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up" sheetId="1" r:id="rId5"/>
    <sheet state="visible" name="TVC-10" sheetId="2" r:id="rId6"/>
    <sheet state="visible" name="Tracker" sheetId="3" r:id="rId7"/>
    <sheet state="visible" name="Trades" sheetId="4" r:id="rId8"/>
    <sheet state="visible" name="Waivers" sheetId="5" r:id="rId9"/>
    <sheet state="visible" name="Notes" sheetId="6" r:id="rId10"/>
    <sheet state="visible" name="TokenAwards" sheetId="7" r:id="rId11"/>
    <sheet state="visible" name="RisersFalls" sheetId="8" r:id="rId12"/>
    <sheet state="visible" name="PlayerValues" sheetId="9" r:id="rId13"/>
    <sheet state="visible" name="DraftPickValues" sheetId="10" r:id="rId14"/>
    <sheet state="visible" name="FAABTokenValue" sheetId="11" r:id="rId15"/>
    <sheet state="visible" name="TVC-09" sheetId="12" r:id="rId16"/>
    <sheet state="visible" name="TVC-08" sheetId="13" r:id="rId17"/>
    <sheet state="visible" name="TVC-07" sheetId="14" r:id="rId18"/>
    <sheet state="visible" name="TVC-06" sheetId="15" r:id="rId19"/>
    <sheet state="visible" name="TVC-05" sheetId="16" r:id="rId20"/>
    <sheet state="visible" name="TVC-04" sheetId="17" r:id="rId21"/>
    <sheet state="visible" name="TVC-03" sheetId="18" r:id="rId22"/>
    <sheet state="visible" name="TVC-02" sheetId="19" r:id="rId23"/>
    <sheet state="visible" name="TVC-01" sheetId="20" r:id="rId24"/>
    <sheet state="hidden" name="Special Names" sheetId="21" r:id="rId25"/>
  </sheets>
  <definedNames>
    <definedName hidden="1" localSheetId="8" name="_xlnm._FilterDatabase">PlayerValues!$A$1:$R$3222</definedName>
  </definedNames>
  <calcPr/>
</workbook>
</file>

<file path=xl/sharedStrings.xml><?xml version="1.0" encoding="utf-8"?>
<sst xmlns="http://schemas.openxmlformats.org/spreadsheetml/2006/main" count="81389" uniqueCount="876">
  <si>
    <t>Once MFL 2024 is live</t>
  </si>
  <si>
    <t>Team</t>
  </si>
  <si>
    <t>The Wild Cards</t>
  </si>
  <si>
    <t>Hamsterdam</t>
  </si>
  <si>
    <t>Shankly's Ghost</t>
  </si>
  <si>
    <t>2 Roops, 1 Silva</t>
  </si>
  <si>
    <t>Orcan Terror</t>
  </si>
  <si>
    <t>The Meaty Ogres</t>
  </si>
  <si>
    <t>Ted Lasso</t>
  </si>
  <si>
    <t>Peaky Fookin Blinders</t>
  </si>
  <si>
    <t>Springfield Isotopes</t>
  </si>
  <si>
    <t>Battlebots</t>
  </si>
  <si>
    <t>The Two Tones</t>
  </si>
  <si>
    <t>Norsemen</t>
  </si>
  <si>
    <t>Date</t>
  </si>
  <si>
    <t>Conditional Trades to Resolve</t>
  </si>
  <si>
    <t>BB has rights to swap 2026 5th round picks with PFB</t>
  </si>
  <si>
    <t>Done on 8/29</t>
  </si>
  <si>
    <t>Add</t>
  </si>
  <si>
    <t>Amount</t>
  </si>
  <si>
    <t>Current Tokens</t>
  </si>
  <si>
    <t>Value</t>
  </si>
  <si>
    <t>Voided</t>
  </si>
  <si>
    <t>Start</t>
  </si>
  <si>
    <t>Start of Year</t>
  </si>
  <si>
    <t>Jan-Mar</t>
  </si>
  <si>
    <t>Entries for Wheel</t>
  </si>
  <si>
    <t>Trades</t>
  </si>
  <si>
    <r>
      <rPr>
        <rFont val="Arial"/>
        <color theme="1"/>
      </rPr>
      <t xml:space="preserve">Tokens Given </t>
    </r>
    <r>
      <rPr>
        <rFont val="Arial"/>
        <i/>
        <color theme="1"/>
      </rPr>
      <t>(Assuming min 50%)</t>
    </r>
  </si>
  <si>
    <t>Entry Verification</t>
  </si>
  <si>
    <t>Odds for #1</t>
  </si>
  <si>
    <t>Actual Draw Slot</t>
  </si>
  <si>
    <t>Prize Selected</t>
  </si>
  <si>
    <t>Available Awards</t>
  </si>
  <si>
    <t>Top 10 Risers</t>
  </si>
  <si>
    <r>
      <rPr>
        <rFont val="Arial"/>
        <b/>
        <color rgb="FFFF9900"/>
      </rPr>
      <t>2026</t>
    </r>
    <r>
      <rPr>
        <rFont val="Arial"/>
        <color theme="1"/>
      </rPr>
      <t xml:space="preserve"> Draft Pick 1.13</t>
    </r>
  </si>
  <si>
    <t>Top 10 Fallers</t>
  </si>
  <si>
    <r>
      <rPr>
        <rFont val="Arial"/>
        <b/>
        <color rgb="FFFF0000"/>
      </rPr>
      <t>2027</t>
    </r>
    <r>
      <rPr>
        <rFont val="Arial"/>
        <color theme="1"/>
      </rPr>
      <t xml:space="preserve"> Draft Pick 2.13</t>
    </r>
  </si>
  <si>
    <r>
      <rPr>
        <rFont val="Arial"/>
        <b/>
        <color rgb="FFFF9900"/>
      </rPr>
      <t>2026</t>
    </r>
    <r>
      <rPr>
        <rFont val="Arial"/>
        <color theme="1"/>
      </rPr>
      <t xml:space="preserve"> Draft Pick 2.14</t>
    </r>
  </si>
  <si>
    <r>
      <rPr>
        <rFont val="Arial"/>
        <b/>
        <color rgb="FFFF0000"/>
      </rPr>
      <t xml:space="preserve">2027 </t>
    </r>
    <r>
      <rPr>
        <rFont val="Arial"/>
        <color theme="1"/>
      </rPr>
      <t>Draft Pick 3.13</t>
    </r>
  </si>
  <si>
    <r>
      <rPr>
        <rFont val="Arial"/>
        <b/>
        <color rgb="FFFF9900"/>
      </rPr>
      <t>2026</t>
    </r>
    <r>
      <rPr>
        <rFont val="Arial"/>
        <color theme="1"/>
      </rPr>
      <t xml:space="preserve"> Draft Pick 3.14</t>
    </r>
  </si>
  <si>
    <r>
      <rPr>
        <rFont val="Arial"/>
        <b/>
        <color rgb="FFFF9900"/>
      </rPr>
      <t xml:space="preserve">2026 </t>
    </r>
    <r>
      <rPr>
        <rFont val="Arial"/>
        <color theme="1"/>
      </rPr>
      <t>Draft Pick 4th Rd - Draft pick forfeiture from Q2 Upper division relegation</t>
    </r>
  </si>
  <si>
    <t>Tokens Traded/Voided</t>
  </si>
  <si>
    <r>
      <rPr>
        <rFont val="Arial"/>
        <b/>
        <color rgb="FFFF9900"/>
      </rPr>
      <t xml:space="preserve">2026 </t>
    </r>
    <r>
      <rPr>
        <rFont val="Arial"/>
        <color theme="1"/>
      </rPr>
      <t>Draft Pick 4th Rd - Draft pick forfeiture from Q2 Middle division relegation</t>
    </r>
  </si>
  <si>
    <r>
      <rPr>
        <rFont val="Arial"/>
        <b/>
        <color rgb="FFFF9900"/>
      </rPr>
      <t xml:space="preserve">2026 </t>
    </r>
    <r>
      <rPr>
        <rFont val="Arial"/>
        <color theme="1"/>
      </rPr>
      <t>Draft Pick 3rd Rd - Draft pick forfeiture from Q3 Upper division relegation</t>
    </r>
  </si>
  <si>
    <r>
      <rPr>
        <rFont val="Arial"/>
        <b/>
        <color rgb="FFFF9900"/>
      </rPr>
      <t xml:space="preserve">2026 </t>
    </r>
    <r>
      <rPr>
        <rFont val="Arial"/>
        <color theme="1"/>
      </rPr>
      <t>Draft Pick 3rd Rd - Draft pick forfeiture from Q3 Middle division relegation</t>
    </r>
  </si>
  <si>
    <t>Apr-Jun</t>
  </si>
  <si>
    <t>Refund of Committed Tokens Back to Team</t>
  </si>
  <si>
    <t>10 Tokens</t>
  </si>
  <si>
    <t>Tokens Traded</t>
  </si>
  <si>
    <t>Jul-Wk1</t>
  </si>
  <si>
    <t>Q1 Reg</t>
  </si>
  <si>
    <t>Adds &gt;= $25</t>
  </si>
  <si>
    <t>First Name Last</t>
  </si>
  <si>
    <t>1 Month Rise/Fall</t>
  </si>
  <si>
    <t>Promotion Award</t>
  </si>
  <si>
    <t>Q2 Reg</t>
  </si>
  <si>
    <t>Pick</t>
  </si>
  <si>
    <t>Name</t>
  </si>
  <si>
    <t>TOP-3 PICK</t>
  </si>
  <si>
    <t>TOP-6 PICK</t>
  </si>
  <si>
    <t>TOP-12 PICK</t>
  </si>
  <si>
    <t>EARLY 2ND ROUND</t>
  </si>
  <si>
    <t>LATE 2ND ROUND</t>
  </si>
  <si>
    <t>EARLY 3RD ROUND</t>
  </si>
  <si>
    <t>LATE 3RD ROUND</t>
  </si>
  <si>
    <t>FP_1</t>
  </si>
  <si>
    <t>1st Round</t>
  </si>
  <si>
    <t>FP_2</t>
  </si>
  <si>
    <t>2nd Round</t>
  </si>
  <si>
    <t>FP_3</t>
  </si>
  <si>
    <t>3rd Round</t>
  </si>
  <si>
    <t>FP_4</t>
  </si>
  <si>
    <t>4th Round</t>
  </si>
  <si>
    <t>FP_5</t>
  </si>
  <si>
    <t>5th Round</t>
  </si>
  <si>
    <t>FP_6</t>
  </si>
  <si>
    <t>6th Round</t>
  </si>
  <si>
    <t>KTC Values</t>
  </si>
  <si>
    <t>2026 Early 1st</t>
  </si>
  <si>
    <t>2026 Mid 1st</t>
  </si>
  <si>
    <t>2026 Late 1st</t>
  </si>
  <si>
    <t>2026 Early 2nd</t>
  </si>
  <si>
    <t>Q3 Reg</t>
  </si>
  <si>
    <t>2026 Mid 2nd</t>
  </si>
  <si>
    <t>2026 Late 2nd</t>
  </si>
  <si>
    <t>2026 Early 3rd</t>
  </si>
  <si>
    <t>2026 Mid 3rd</t>
  </si>
  <si>
    <t>2026 Late 3rd</t>
  </si>
  <si>
    <t>2026 Early 4th</t>
  </si>
  <si>
    <t>2026 Mid 4th</t>
  </si>
  <si>
    <t>2026 Late 4th</t>
  </si>
  <si>
    <t>2027 Early 1st</t>
  </si>
  <si>
    <t>2027 Mid 1st</t>
  </si>
  <si>
    <t>2027 Late 1st</t>
  </si>
  <si>
    <t>2027 Early 2nd</t>
  </si>
  <si>
    <t>2027 Mid 2nd</t>
  </si>
  <si>
    <t>2027 Late 2nd</t>
  </si>
  <si>
    <t>2027 Early 3rd</t>
  </si>
  <si>
    <t>2027 Mid 3rd</t>
  </si>
  <si>
    <t>2027 Late 3rd</t>
  </si>
  <si>
    <t>2027 Early 4th</t>
  </si>
  <si>
    <t>2027 Mid 4th</t>
  </si>
  <si>
    <t>2027 Late 4th</t>
  </si>
  <si>
    <t>2028 Early 1st</t>
  </si>
  <si>
    <t>2028 Mid 1st</t>
  </si>
  <si>
    <t>Post</t>
  </si>
  <si>
    <t>2028 Late 1st</t>
  </si>
  <si>
    <t>2028 Early 2nd</t>
  </si>
  <si>
    <t>2028 Mid 2nd</t>
  </si>
  <si>
    <t>2028 Late 2nd</t>
  </si>
  <si>
    <t>Season</t>
  </si>
  <si>
    <t>2028 Early 3rd</t>
  </si>
  <si>
    <t>2028 Mid 3rd</t>
  </si>
  <si>
    <t>2028 Late 3rd</t>
  </si>
  <si>
    <t>2028 Early 4th</t>
  </si>
  <si>
    <t>2028 Mid 4th</t>
  </si>
  <si>
    <t>2028 Late 4th</t>
  </si>
  <si>
    <t>2029 Early 1st</t>
  </si>
  <si>
    <t>2029 Mid 1st</t>
  </si>
  <si>
    <t>2029 Late 1st</t>
  </si>
  <si>
    <t>2029 Early 2nd</t>
  </si>
  <si>
    <t>2029 Mid 2nd</t>
  </si>
  <si>
    <t>2029 Late 2nd</t>
  </si>
  <si>
    <t>2029 Early 3rd</t>
  </si>
  <si>
    <t>2029 Mid 3rd</t>
  </si>
  <si>
    <t>2029 Late 3rd</t>
  </si>
  <si>
    <t>2029 Early 4th</t>
  </si>
  <si>
    <t>2029 Mid 4th</t>
  </si>
  <si>
    <t>2029 Late 4th</t>
  </si>
  <si>
    <t>Averaged Values per Round</t>
  </si>
  <si>
    <t>2026 FP_1</t>
  </si>
  <si>
    <t>2026 FP_2</t>
  </si>
  <si>
    <t>2026 FP_3</t>
  </si>
  <si>
    <t>2026 FP_4</t>
  </si>
  <si>
    <t>Token Award Draw</t>
  </si>
  <si>
    <t>Tokens Committed</t>
  </si>
  <si>
    <t>2026 FP_5</t>
  </si>
  <si>
    <t>Tokens Won</t>
  </si>
  <si>
    <t>2026 FP_6</t>
  </si>
  <si>
    <t>2027 FP_1</t>
  </si>
  <si>
    <t>2027 FP_2</t>
  </si>
  <si>
    <t>2027 FP_3</t>
  </si>
  <si>
    <t>2027 FP_4</t>
  </si>
  <si>
    <t>2027 FP_5</t>
  </si>
  <si>
    <t>2027 FP_6</t>
  </si>
  <si>
    <t>2028 FP_1</t>
  </si>
  <si>
    <t>2028 FP_2</t>
  </si>
  <si>
    <t>2028 FP_3</t>
  </si>
  <si>
    <t>2028 FP_4</t>
  </si>
  <si>
    <t>2028 FP_5</t>
  </si>
  <si>
    <t>2028 FP_6</t>
  </si>
  <si>
    <t>2029 FP_1</t>
  </si>
  <si>
    <t>2029 FP_2</t>
  </si>
  <si>
    <t>2029 FP_3</t>
  </si>
  <si>
    <t>2029 FP_4</t>
  </si>
  <si>
    <t>2029 FP_5</t>
  </si>
  <si>
    <t>2029 FP_6</t>
  </si>
  <si>
    <t>Current Year Specific Value (based on KTC Values)</t>
  </si>
  <si>
    <t>MFL Code-y Value</t>
  </si>
  <si>
    <t>Draft Pick</t>
  </si>
  <si>
    <t>DP_0_0</t>
  </si>
  <si>
    <t>1.01</t>
  </si>
  <si>
    <t>DP_0_1</t>
  </si>
  <si>
    <t>1.02</t>
  </si>
  <si>
    <t>DP_0_2</t>
  </si>
  <si>
    <t>1.03</t>
  </si>
  <si>
    <t>DP_0_3</t>
  </si>
  <si>
    <t>1.04</t>
  </si>
  <si>
    <t>DP_0_4</t>
  </si>
  <si>
    <t>1.05</t>
  </si>
  <si>
    <t>DP_0_5</t>
  </si>
  <si>
    <t>1.06</t>
  </si>
  <si>
    <t>DP_0_6</t>
  </si>
  <si>
    <t>1.07</t>
  </si>
  <si>
    <t>DP_0_7</t>
  </si>
  <si>
    <t>1.08</t>
  </si>
  <si>
    <t>DP_0_8</t>
  </si>
  <si>
    <t>1.09</t>
  </si>
  <si>
    <t>DP_0_9</t>
  </si>
  <si>
    <t>1.10</t>
  </si>
  <si>
    <t>DP_0_10</t>
  </si>
  <si>
    <t>1.11</t>
  </si>
  <si>
    <t>DP_0_11</t>
  </si>
  <si>
    <t>1.12</t>
  </si>
  <si>
    <t>DP_0_12</t>
  </si>
  <si>
    <t>1.13</t>
  </si>
  <si>
    <t>DP_1_0</t>
  </si>
  <si>
    <t>2.01</t>
  </si>
  <si>
    <t>DP_1_1</t>
  </si>
  <si>
    <t>2.02</t>
  </si>
  <si>
    <t>DP_1_2</t>
  </si>
  <si>
    <t>2.03</t>
  </si>
  <si>
    <t>DP_1_3</t>
  </si>
  <si>
    <t>2.04</t>
  </si>
  <si>
    <t>DP_1_4</t>
  </si>
  <si>
    <t>2.05</t>
  </si>
  <si>
    <t>DP_1_5</t>
  </si>
  <si>
    <t>2.06</t>
  </si>
  <si>
    <t>DP_1_6</t>
  </si>
  <si>
    <t>2.07</t>
  </si>
  <si>
    <t>DP_1_7</t>
  </si>
  <si>
    <t>2.08</t>
  </si>
  <si>
    <t>DP_1_8</t>
  </si>
  <si>
    <t>2.09</t>
  </si>
  <si>
    <t>DP_1_9</t>
  </si>
  <si>
    <t>2.10</t>
  </si>
  <si>
    <t>DP_1_10</t>
  </si>
  <si>
    <t>2.11</t>
  </si>
  <si>
    <t>DP_1_11</t>
  </si>
  <si>
    <t>2.12</t>
  </si>
  <si>
    <t>DP_1_12</t>
  </si>
  <si>
    <t>2.13</t>
  </si>
  <si>
    <t>DP_1_13</t>
  </si>
  <si>
    <t>2.14</t>
  </si>
  <si>
    <t>DP_2_0</t>
  </si>
  <si>
    <t>3.01</t>
  </si>
  <si>
    <t>DP_2_1</t>
  </si>
  <si>
    <t>3.02</t>
  </si>
  <si>
    <t>DP_2_2</t>
  </si>
  <si>
    <t>3.03</t>
  </si>
  <si>
    <t>DP_2_3</t>
  </si>
  <si>
    <t>3.04</t>
  </si>
  <si>
    <t>DP_2_4</t>
  </si>
  <si>
    <t>3.05</t>
  </si>
  <si>
    <t>DP_2_5</t>
  </si>
  <si>
    <t>3.06</t>
  </si>
  <si>
    <t>DP_2_6</t>
  </si>
  <si>
    <t>3.07</t>
  </si>
  <si>
    <t>DP_2_7</t>
  </si>
  <si>
    <t>3.08</t>
  </si>
  <si>
    <t>DP_2_8</t>
  </si>
  <si>
    <t>3.09</t>
  </si>
  <si>
    <t>DP_2_9</t>
  </si>
  <si>
    <t>3.10</t>
  </si>
  <si>
    <t>DP_2_10</t>
  </si>
  <si>
    <t>3.11</t>
  </si>
  <si>
    <t>DP_2_11</t>
  </si>
  <si>
    <t>3.12</t>
  </si>
  <si>
    <t>DP_2_12</t>
  </si>
  <si>
    <t>3.13</t>
  </si>
  <si>
    <t>DP_2_13</t>
  </si>
  <si>
    <t>3.14</t>
  </si>
  <si>
    <t>DP_3_0</t>
  </si>
  <si>
    <t>4.01</t>
  </si>
  <si>
    <t>DP_3_1</t>
  </si>
  <si>
    <t>4.02</t>
  </si>
  <si>
    <t>DP_3_2</t>
  </si>
  <si>
    <t>4.03</t>
  </si>
  <si>
    <t>DP_3_3</t>
  </si>
  <si>
    <t>4.04</t>
  </si>
  <si>
    <t>FAAB</t>
  </si>
  <si>
    <t>Trade Value</t>
  </si>
  <si>
    <t>Tokens "Earned"</t>
  </si>
  <si>
    <t>Total Trade Value</t>
  </si>
  <si>
    <t>DP_3_4</t>
  </si>
  <si>
    <t>4.05</t>
  </si>
  <si>
    <t>DP_3_5</t>
  </si>
  <si>
    <t>4.06</t>
  </si>
  <si>
    <t>DP_3_6</t>
  </si>
  <si>
    <t>4.07</t>
  </si>
  <si>
    <t>DP_3_7</t>
  </si>
  <si>
    <t>4.08</t>
  </si>
  <si>
    <t>DP_3_8</t>
  </si>
  <si>
    <t>4.09</t>
  </si>
  <si>
    <t>DP_3_9</t>
  </si>
  <si>
    <t>4.10</t>
  </si>
  <si>
    <t>DP_3_10</t>
  </si>
  <si>
    <t>4.11</t>
  </si>
  <si>
    <t>DP_3_11</t>
  </si>
  <si>
    <t>4.12</t>
  </si>
  <si>
    <t>DP_3_12</t>
  </si>
  <si>
    <t>4.13</t>
  </si>
  <si>
    <t>DP_3_13</t>
  </si>
  <si>
    <t>4.14</t>
  </si>
  <si>
    <t>DP_4_0</t>
  </si>
  <si>
    <t>5.01</t>
  </si>
  <si>
    <t>Bijan Robinson</t>
  </si>
  <si>
    <t>RB</t>
  </si>
  <si>
    <t>DP_4_1</t>
  </si>
  <si>
    <t>5.02</t>
  </si>
  <si>
    <t>Jahmyr Gibbs</t>
  </si>
  <si>
    <t>Josh Allen</t>
  </si>
  <si>
    <t>QB</t>
  </si>
  <si>
    <t>DP_4_2</t>
  </si>
  <si>
    <t>5.03</t>
  </si>
  <si>
    <t>Ja'Marr Chase</t>
  </si>
  <si>
    <t>WR</t>
  </si>
  <si>
    <t>DP_4_3</t>
  </si>
  <si>
    <t>5.04</t>
  </si>
  <si>
    <t>Jaxon Smith-Njigba</t>
  </si>
  <si>
    <t>Drake Maye</t>
  </si>
  <si>
    <t>DP_4_4</t>
  </si>
  <si>
    <t>5.05</t>
  </si>
  <si>
    <t>Puka Nacua</t>
  </si>
  <si>
    <t>DP_4_5</t>
  </si>
  <si>
    <t>5.06</t>
  </si>
  <si>
    <t>Brock Bowers</t>
  </si>
  <si>
    <t>TE</t>
  </si>
  <si>
    <t>Amon-Ra St. Brown</t>
  </si>
  <si>
    <t>DP_4_6</t>
  </si>
  <si>
    <t>5.07</t>
  </si>
  <si>
    <t>Caleb Williams</t>
  </si>
  <si>
    <t>DP_4_7</t>
  </si>
  <si>
    <t>5.08</t>
  </si>
  <si>
    <t>Lamar Jackson</t>
  </si>
  <si>
    <t>Justin Jefferson</t>
  </si>
  <si>
    <t>DP_4_8</t>
  </si>
  <si>
    <t>5.09</t>
  </si>
  <si>
    <t>Malik Nabers</t>
  </si>
  <si>
    <t>Jeremiyah Love</t>
  </si>
  <si>
    <t>DP_4_9</t>
  </si>
  <si>
    <t>5.10</t>
  </si>
  <si>
    <t>Trey McBride</t>
  </si>
  <si>
    <t>Ashton Jeanty</t>
  </si>
  <si>
    <t>Jayden Daniels</t>
  </si>
  <si>
    <t>DP_4_10</t>
  </si>
  <si>
    <t>5.11</t>
  </si>
  <si>
    <t>Joe Burrow</t>
  </si>
  <si>
    <t>CeeDee Lamb</t>
  </si>
  <si>
    <t>DP_4_11</t>
  </si>
  <si>
    <t>5.12</t>
  </si>
  <si>
    <t>Omarion Hampton</t>
  </si>
  <si>
    <t>De'Von Achane</t>
  </si>
  <si>
    <t>DP_4_12</t>
  </si>
  <si>
    <t>RDP</t>
  </si>
  <si>
    <t>5.13</t>
  </si>
  <si>
    <t>Justin Herbert</t>
  </si>
  <si>
    <t>Drake London</t>
  </si>
  <si>
    <t>DP_4_13</t>
  </si>
  <si>
    <t>5.14</t>
  </si>
  <si>
    <t>James Cook</t>
  </si>
  <si>
    <t>Jonathan Taylor</t>
  </si>
  <si>
    <t>Colston Loveland</t>
  </si>
  <si>
    <t>DP_5_0</t>
  </si>
  <si>
    <t>6.01</t>
  </si>
  <si>
    <t>Trevor Lawrence</t>
  </si>
  <si>
    <t>George Pickens</t>
  </si>
  <si>
    <t>DP_5_1</t>
  </si>
  <si>
    <t>6.02</t>
  </si>
  <si>
    <t>Emeka Egbuka</t>
  </si>
  <si>
    <t>Tetairoa McMillan</t>
  </si>
  <si>
    <t>Jalen Hurts</t>
  </si>
  <si>
    <t>Bo Nix</t>
  </si>
  <si>
    <t>Tyler Warren</t>
  </si>
  <si>
    <t>Patrick Mahomes</t>
  </si>
  <si>
    <t>DP_5_2</t>
  </si>
  <si>
    <t>6.03</t>
  </si>
  <si>
    <t>Jaxson Dart</t>
  </si>
  <si>
    <t>Kenneth Walker III</t>
  </si>
  <si>
    <t>Chase Brown</t>
  </si>
  <si>
    <t>Ladd McConkey</t>
  </si>
  <si>
    <t>DP_5_3</t>
  </si>
  <si>
    <t>6.04</t>
  </si>
  <si>
    <t>Chris Olave</t>
  </si>
  <si>
    <t>Nico Collins</t>
  </si>
  <si>
    <t>DP_5_4</t>
  </si>
  <si>
    <t>6.05</t>
  </si>
  <si>
    <t>Brock Purdy</t>
  </si>
  <si>
    <t>Garrett Wilson</t>
  </si>
  <si>
    <t>DP_5_5</t>
  </si>
  <si>
    <t>6.06</t>
  </si>
  <si>
    <t>DP_5_6</t>
  </si>
  <si>
    <t>6.07</t>
  </si>
  <si>
    <t>DeVonta Smith</t>
  </si>
  <si>
    <t>Carnell Tate</t>
  </si>
  <si>
    <t>DP_5_7</t>
  </si>
  <si>
    <t>6.08</t>
  </si>
  <si>
    <t>DP_5_8</t>
  </si>
  <si>
    <t>6.09</t>
  </si>
  <si>
    <t>Luther Burden</t>
  </si>
  <si>
    <t>Zay Flowers</t>
  </si>
  <si>
    <t>DP_5_9</t>
  </si>
  <si>
    <t>6.10</t>
  </si>
  <si>
    <t>Christian McCaffrey</t>
  </si>
  <si>
    <t>Fernando Mendoza</t>
  </si>
  <si>
    <t>DP_5_10</t>
  </si>
  <si>
    <t>6.11</t>
  </si>
  <si>
    <t>Saquon Barkley</t>
  </si>
  <si>
    <t>A.J. Brown</t>
  </si>
  <si>
    <t>DP_5_11</t>
  </si>
  <si>
    <t>6.12</t>
  </si>
  <si>
    <t>Breece Hall</t>
  </si>
  <si>
    <t>DP_5_12</t>
  </si>
  <si>
    <t>6.13</t>
  </si>
  <si>
    <t>Jordan Love</t>
  </si>
  <si>
    <t>Quinshon Judkins</t>
  </si>
  <si>
    <t>DP_5_13</t>
  </si>
  <si>
    <t>6.14</t>
  </si>
  <si>
    <t>Rome Odunze</t>
  </si>
  <si>
    <t>Jaylen Waddle</t>
  </si>
  <si>
    <t>Jadarian Price</t>
  </si>
  <si>
    <t>Tee Higgins</t>
  </si>
  <si>
    <t>Tucker Kraft</t>
  </si>
  <si>
    <t>Dak Prescott</t>
  </si>
  <si>
    <t>Kyren Williams</t>
  </si>
  <si>
    <t>Jordyn Tyson</t>
  </si>
  <si>
    <t>TreVeyon Henderson</t>
  </si>
  <si>
    <t>Rashee Rice</t>
  </si>
  <si>
    <t>Jameson Williams</t>
  </si>
  <si>
    <t>Tyler Shough</t>
  </si>
  <si>
    <t>Javonte Williams</t>
  </si>
  <si>
    <t>Makai Lemon</t>
  </si>
  <si>
    <t>Marvin Harrison Jr.</t>
  </si>
  <si>
    <t>KC Concepcion</t>
  </si>
  <si>
    <t>Harold Fannin</t>
  </si>
  <si>
    <t>Cam Ward</t>
  </si>
  <si>
    <t>Cam Skattebo</t>
  </si>
  <si>
    <t>Bucky Irving</t>
  </si>
  <si>
    <t>Baker Mayfield</t>
  </si>
  <si>
    <t>Jared Goff</t>
  </si>
  <si>
    <t>Brian Thomas Jr.</t>
  </si>
  <si>
    <t>Parker Washington</t>
  </si>
  <si>
    <t>Sam LaPorta</t>
  </si>
  <si>
    <t>C.J. Stroud</t>
  </si>
  <si>
    <t>Travis Etienne</t>
  </si>
  <si>
    <t>Kyle Pitts</t>
  </si>
  <si>
    <t>Bhayshul Tuten</t>
  </si>
  <si>
    <t>Sam Darnold</t>
  </si>
  <si>
    <t>Derrick Henry</t>
  </si>
  <si>
    <t>D'Andre Swift</t>
  </si>
  <si>
    <t>Christian Watson</t>
  </si>
  <si>
    <t>De'Zhaun Stribling</t>
  </si>
  <si>
    <t>Kyler Murray</t>
  </si>
  <si>
    <t>D.J. Moore</t>
  </si>
  <si>
    <t>Jordan Addison</t>
  </si>
  <si>
    <t>Bryce Young</t>
  </si>
  <si>
    <t>Jonathon Brooks</t>
  </si>
  <si>
    <t>Matthew Stafford</t>
  </si>
  <si>
    <t>Matthew Golden</t>
  </si>
  <si>
    <t>Denzel Boston</t>
  </si>
  <si>
    <t>Michael Wilson</t>
  </si>
  <si>
    <t>Alec Pierce</t>
  </si>
  <si>
    <t>Ty Simpson</t>
  </si>
  <si>
    <t>Malik Willis</t>
  </si>
  <si>
    <t>Daniel Jones</t>
  </si>
  <si>
    <t>Kenyon Sadiq</t>
  </si>
  <si>
    <t>Terry McLaurin</t>
  </si>
  <si>
    <t>Davante Adams</t>
  </si>
  <si>
    <t>Quentin Johnston</t>
  </si>
  <si>
    <t>David Montgomery</t>
  </si>
  <si>
    <t>Josh Downs</t>
  </si>
  <si>
    <t>Blake Corum</t>
  </si>
  <si>
    <t>Isaiah Likely</t>
  </si>
  <si>
    <t>DK Metcalf</t>
  </si>
  <si>
    <t>Jayden Reed</t>
  </si>
  <si>
    <t>Kyle Monangai</t>
  </si>
  <si>
    <t>Jaylen Warren</t>
  </si>
  <si>
    <t>George Kittle</t>
  </si>
  <si>
    <t>Wan'Dale Robinson</t>
  </si>
  <si>
    <t>RJ Harvey</t>
  </si>
  <si>
    <t>Omar Cooper Jr.</t>
  </si>
  <si>
    <t>Jonah Coleman</t>
  </si>
  <si>
    <t>Rhamondre Stevenson</t>
  </si>
  <si>
    <t>Ja'Kobi Lane</t>
  </si>
  <si>
    <t>Jalen Coker</t>
  </si>
  <si>
    <t>Michael Pittman</t>
  </si>
  <si>
    <t>Zach Charbonnet</t>
  </si>
  <si>
    <t>Dalton Kincaid</t>
  </si>
  <si>
    <t>Rico Dowdle</t>
  </si>
  <si>
    <t>Mike Washington Jr.</t>
  </si>
  <si>
    <t>Romeo Doubs</t>
  </si>
  <si>
    <t>Jacory Croskey-Merritt</t>
  </si>
  <si>
    <t>Mike Evans</t>
  </si>
  <si>
    <t>Josh Jacobs</t>
  </si>
  <si>
    <t>Courtland Sutton</t>
  </si>
  <si>
    <t>Chuba Hubbard</t>
  </si>
  <si>
    <t>Xavier Worthy</t>
  </si>
  <si>
    <t>Jake Ferguson</t>
  </si>
  <si>
    <t>Jordan Mason</t>
  </si>
  <si>
    <t>Eli Stowers</t>
  </si>
  <si>
    <t>Chris Bell</t>
  </si>
  <si>
    <t>J.K. Dobbins</t>
  </si>
  <si>
    <t>Chris Godwin</t>
  </si>
  <si>
    <t>Oronde Gadsden</t>
  </si>
  <si>
    <t>Travis Hunter</t>
  </si>
  <si>
    <t>MarShawn Lloyd</t>
  </si>
  <si>
    <t>Kenneth Gainwell</t>
  </si>
  <si>
    <t>Terrance Ferguson</t>
  </si>
  <si>
    <t>Jayden Higgins</t>
  </si>
  <si>
    <t>Germie Bernard</t>
  </si>
  <si>
    <t>Brenton Strange</t>
  </si>
  <si>
    <t>Cyrus Allen</t>
  </si>
  <si>
    <t>Antonio Williams</t>
  </si>
  <si>
    <t>Woody Marks</t>
  </si>
  <si>
    <t>Malachi Fields</t>
  </si>
  <si>
    <t>Jakobi Meyers</t>
  </si>
  <si>
    <t>Kayshon Boutte</t>
  </si>
  <si>
    <t>Tyler Allgeier</t>
  </si>
  <si>
    <t>Tony Pollard</t>
  </si>
  <si>
    <t>Jalen McMillan</t>
  </si>
  <si>
    <t>Khalil Shakir</t>
  </si>
  <si>
    <t>Carson Beck</t>
  </si>
  <si>
    <t>Michael Penix Jr.</t>
  </si>
  <si>
    <t>Nicholas Singleton</t>
  </si>
  <si>
    <t>Zachariah Branch</t>
  </si>
  <si>
    <t>Caleb Douglas</t>
  </si>
  <si>
    <t>Stefon Diggs</t>
  </si>
  <si>
    <t>Pat Bryant</t>
  </si>
  <si>
    <t>Rashid Shaheed</t>
  </si>
  <si>
    <t>Malik Washington</t>
  </si>
  <si>
    <t>Braelon Allen</t>
  </si>
  <si>
    <t>AJ Barner</t>
  </si>
  <si>
    <t>Chigoziem Okonkwo</t>
  </si>
  <si>
    <t>Rachaad White</t>
  </si>
  <si>
    <t>Chris Rodriguez</t>
  </si>
  <si>
    <t>Mark Andrews</t>
  </si>
  <si>
    <t>Keaton Mitchell</t>
  </si>
  <si>
    <t>Tre Harris</t>
  </si>
  <si>
    <t>Dontayvion Wicks</t>
  </si>
  <si>
    <t>Dylan Sampson</t>
  </si>
  <si>
    <t>Dallas Goedert</t>
  </si>
  <si>
    <t>Tank Bigsby</t>
  </si>
  <si>
    <t>Emmett Johnson</t>
  </si>
  <si>
    <t>Drew Allar</t>
  </si>
  <si>
    <t>Adonai Mitchell</t>
  </si>
  <si>
    <t>Tre Tucker</t>
  </si>
  <si>
    <t>Ricky Pearsall</t>
  </si>
  <si>
    <t>Ted Hurst</t>
  </si>
  <si>
    <t>Travis Kelce</t>
  </si>
  <si>
    <t>Tyjae Spears</t>
  </si>
  <si>
    <t>Jalen Nailor</t>
  </si>
  <si>
    <t>Kaelon Black</t>
  </si>
  <si>
    <t>Juwan Johnson</t>
  </si>
  <si>
    <t>Isaac TeSlaa</t>
  </si>
  <si>
    <t>Gunnar Helm</t>
  </si>
  <si>
    <t>Eli Raridon</t>
  </si>
  <si>
    <t>Kaytron Allen</t>
  </si>
  <si>
    <t>Elijah Sarratt</t>
  </si>
  <si>
    <t>Jacoby Brissett</t>
  </si>
  <si>
    <t>Tank Dell</t>
  </si>
  <si>
    <t>T.J. Hockenson</t>
  </si>
  <si>
    <t>Jaylin Noel</t>
  </si>
  <si>
    <t>Tory Horton</t>
  </si>
  <si>
    <t>Skyler Bell</t>
  </si>
  <si>
    <t>Shedeur Sanders</t>
  </si>
  <si>
    <t>Deebo Samuel</t>
  </si>
  <si>
    <t>Hunter Henry</t>
  </si>
  <si>
    <t>Troy Franklin</t>
  </si>
  <si>
    <t>Kaleb Johnson</t>
  </si>
  <si>
    <t>Demond Claiborne</t>
  </si>
  <si>
    <t>Keon Coleman</t>
  </si>
  <si>
    <t>Elijah Arroyo</t>
  </si>
  <si>
    <t>Jack Bech</t>
  </si>
  <si>
    <t>Dalton Schultz</t>
  </si>
  <si>
    <t>Brian Robinson</t>
  </si>
  <si>
    <t>Mac Jones</t>
  </si>
  <si>
    <t>Elic Ayomanor</t>
  </si>
  <si>
    <t>Kyle Williams</t>
  </si>
  <si>
    <t>Aaron Jones</t>
  </si>
  <si>
    <t>Mason Taylor</t>
  </si>
  <si>
    <t>Chris Brazzell II</t>
  </si>
  <si>
    <t>Max Klare</t>
  </si>
  <si>
    <t>Jerry Jeudy</t>
  </si>
  <si>
    <t>Jauan Jennings</t>
  </si>
  <si>
    <t>Tyrone Tracy</t>
  </si>
  <si>
    <t>Greg Dulcich</t>
  </si>
  <si>
    <t>Ollie Gordon</t>
  </si>
  <si>
    <t>Kimani Vidal</t>
  </si>
  <si>
    <t>Geno Smith</t>
  </si>
  <si>
    <t>Pat Freiermuth</t>
  </si>
  <si>
    <t>Chimere Dike</t>
  </si>
  <si>
    <t>Jaylen Wright</t>
  </si>
  <si>
    <t>David Njoku</t>
  </si>
  <si>
    <t>Tua Tagovailoa</t>
  </si>
  <si>
    <t>Jordan James</t>
  </si>
  <si>
    <t>Cade Otton</t>
  </si>
  <si>
    <t>Sean Tucker</t>
  </si>
  <si>
    <t>Michael Mayer</t>
  </si>
  <si>
    <t>J.J. McCarthy</t>
  </si>
  <si>
    <t>Jalen Milroe</t>
  </si>
  <si>
    <t>Oscar Delp</t>
  </si>
  <si>
    <t>Tez Johnson</t>
  </si>
  <si>
    <t>Zavion Thomas</t>
  </si>
  <si>
    <t>Isiah Pacheco</t>
  </si>
  <si>
    <t>Cade Klubnik</t>
  </si>
  <si>
    <t>Adam Randall</t>
  </si>
  <si>
    <t>Ryan Flournoy</t>
  </si>
  <si>
    <t>Rashod Bateman</t>
  </si>
  <si>
    <t>Kevin Coleman</t>
  </si>
  <si>
    <t>LeQuint Allen</t>
  </si>
  <si>
    <t>Trevor Etienne</t>
  </si>
  <si>
    <t>Marvin Mims</t>
  </si>
  <si>
    <t>Demario Douglas</t>
  </si>
  <si>
    <t>Colby Parkinson</t>
  </si>
  <si>
    <t>Isaiah Bond</t>
  </si>
  <si>
    <t>Theo Johnson</t>
  </si>
  <si>
    <t>Ray Davis</t>
  </si>
  <si>
    <t>Jaylin Lane</t>
  </si>
  <si>
    <t>Xavier Hutchinson</t>
  </si>
  <si>
    <t>Aaron Rodgers</t>
  </si>
  <si>
    <t>Cole Kmet</t>
  </si>
  <si>
    <t>Jake Tonges</t>
  </si>
  <si>
    <t>Bryce Lance</t>
  </si>
  <si>
    <t>Justin Joly</t>
  </si>
  <si>
    <t>Darnell Washington</t>
  </si>
  <si>
    <t>Kirk Cousins</t>
  </si>
  <si>
    <t>Isaiah Davis</t>
  </si>
  <si>
    <t>Alvin Kamara</t>
  </si>
  <si>
    <t>Xavier Legette</t>
  </si>
  <si>
    <t>Dont'e Thornton</t>
  </si>
  <si>
    <t>Anthony Richardson</t>
  </si>
  <si>
    <t>Devin Neal</t>
  </si>
  <si>
    <t>DJ Giddens</t>
  </si>
  <si>
    <t>Jaydon Blue</t>
  </si>
  <si>
    <t>Roman Wilson</t>
  </si>
  <si>
    <t>Deshaun Watson</t>
  </si>
  <si>
    <t>Trey Benson</t>
  </si>
  <si>
    <t>Brenen Thompson</t>
  </si>
  <si>
    <t>Ja'Tavion Sanders</t>
  </si>
  <si>
    <t>Tyquan Thornton</t>
  </si>
  <si>
    <t>Darnell Mooney</t>
  </si>
  <si>
    <t>Jalen Royals</t>
  </si>
  <si>
    <t>Justin Fields</t>
  </si>
  <si>
    <t>Malik Benson</t>
  </si>
  <si>
    <t>Seth McGowan</t>
  </si>
  <si>
    <t>Barion Brown</t>
  </si>
  <si>
    <t>Will Howard</t>
  </si>
  <si>
    <t>Kendre Miller</t>
  </si>
  <si>
    <t>Calvin Ridley</t>
  </si>
  <si>
    <t>Emanuel Wilson</t>
  </si>
  <si>
    <t>Devaughn Vele</t>
  </si>
  <si>
    <t>Keenan Allen</t>
  </si>
  <si>
    <t>Joe Milton</t>
  </si>
  <si>
    <t>Brashard Smith</t>
  </si>
  <si>
    <t>Christian Kirk</t>
  </si>
  <si>
    <t>Evan Engram</t>
  </si>
  <si>
    <t>Jalen Tolbert</t>
  </si>
  <si>
    <t>Jahan Dotson</t>
  </si>
  <si>
    <t>George Holani</t>
  </si>
  <si>
    <t>Eli Heidenreich</t>
  </si>
  <si>
    <t>Jarquez Hunter</t>
  </si>
  <si>
    <t>Cooper Kupp</t>
  </si>
  <si>
    <t>Najee Harris</t>
  </si>
  <si>
    <t>Malik Davis</t>
  </si>
  <si>
    <t>Dawson Knox</t>
  </si>
  <si>
    <t>Andrei Iosivas</t>
  </si>
  <si>
    <t>Luke Musgrave</t>
  </si>
  <si>
    <t>Savion Williams</t>
  </si>
  <si>
    <t>Justice Hill</t>
  </si>
  <si>
    <t>Ben Sinnott</t>
  </si>
  <si>
    <t>Tahj Brooks</t>
  </si>
  <si>
    <t>Taylen Green</t>
  </si>
  <si>
    <t>Quinn Ewers</t>
  </si>
  <si>
    <t>Joshua Palmer</t>
  </si>
  <si>
    <t>Luke McCaffrey</t>
  </si>
  <si>
    <t>Chris Brooks</t>
  </si>
  <si>
    <t>Treylon Burks</t>
  </si>
  <si>
    <t>Will Shipley</t>
  </si>
  <si>
    <t>Garrett Nussmeier</t>
  </si>
  <si>
    <t>Riley Leonard</t>
  </si>
  <si>
    <t>Erick All</t>
  </si>
  <si>
    <t>James Conner</t>
  </si>
  <si>
    <t>Jimmy Horn</t>
  </si>
  <si>
    <t>Roschon Johnson</t>
  </si>
  <si>
    <t>Noah Gray</t>
  </si>
  <si>
    <t>Jordan Whittington</t>
  </si>
  <si>
    <t>Tutu Atwell</t>
  </si>
  <si>
    <t>Spencer Rattler</t>
  </si>
  <si>
    <t>Tai Felton</t>
  </si>
  <si>
    <t>Jack Strand</t>
  </si>
  <si>
    <t>Deion Burks</t>
  </si>
  <si>
    <t>John Metchie</t>
  </si>
  <si>
    <t>Darius Slayton</t>
  </si>
  <si>
    <t>Audric Estime</t>
  </si>
  <si>
    <t>KeAndre Lambert-Smith</t>
  </si>
  <si>
    <t>Cedric Tillman</t>
  </si>
  <si>
    <t>Mike Gesicki</t>
  </si>
  <si>
    <t>Jahdae Walker</t>
  </si>
  <si>
    <t>Charlie Kolar</t>
  </si>
  <si>
    <t>Damien Martinez</t>
  </si>
  <si>
    <t>Michael Trigg</t>
  </si>
  <si>
    <t>Devontez Walker</t>
  </si>
  <si>
    <t>Greg Dortch</t>
  </si>
  <si>
    <t>Marlin Klein</t>
  </si>
  <si>
    <t>Marquise Brown</t>
  </si>
  <si>
    <t>Noah Fant</t>
  </si>
  <si>
    <t>Jordan Watkins</t>
  </si>
  <si>
    <t>Jalin Hyatt</t>
  </si>
  <si>
    <t>Konata Mumpfield</t>
  </si>
  <si>
    <t>Ty Johnson</t>
  </si>
  <si>
    <t>Daniel Bellinger</t>
  </si>
  <si>
    <t>Dyami Brown</t>
  </si>
  <si>
    <t>Kameron Johnson</t>
  </si>
  <si>
    <t>Matthew Hibner</t>
  </si>
  <si>
    <t>Colbie Young</t>
  </si>
  <si>
    <t>Phil Mafah</t>
  </si>
  <si>
    <t>Trey Palmer</t>
  </si>
  <si>
    <t>Isaac Guerendo</t>
  </si>
  <si>
    <t>Jaleel McLaughlin</t>
  </si>
  <si>
    <t>Emari Demercado</t>
  </si>
  <si>
    <t>Cade Stover</t>
  </si>
  <si>
    <t>J'Mari Taylor</t>
  </si>
  <si>
    <t>CJ Daniels</t>
  </si>
  <si>
    <t>Calvin Austin III</t>
  </si>
  <si>
    <t>Jam Miller</t>
  </si>
  <si>
    <t>Tyson Bagent</t>
  </si>
  <si>
    <t>Darren Waller</t>
  </si>
  <si>
    <t>Tommy Tremble</t>
  </si>
  <si>
    <t>Malachi Corley</t>
  </si>
  <si>
    <t>Elijah Moore</t>
  </si>
  <si>
    <t>Raheim Sanders</t>
  </si>
  <si>
    <t>Jameis Winston</t>
  </si>
  <si>
    <t>Tyler Higbee</t>
  </si>
  <si>
    <t>Tahj Washington</t>
  </si>
  <si>
    <t>Olamide Zaccheaus</t>
  </si>
  <si>
    <t>Kendrick Bourne</t>
  </si>
  <si>
    <t>Mitchell Evans</t>
  </si>
  <si>
    <t>Donovan Edwards</t>
  </si>
  <si>
    <t>Rasheen Ali</t>
  </si>
  <si>
    <t>Tanner Koziol</t>
  </si>
  <si>
    <t>Elijah Higgins</t>
  </si>
  <si>
    <t>Jacob Cowing</t>
  </si>
  <si>
    <t>Kalel Mullings</t>
  </si>
  <si>
    <t>Xavier Restrepo</t>
  </si>
  <si>
    <t>Davis Mills</t>
  </si>
  <si>
    <t>Devin Singletary</t>
  </si>
  <si>
    <t>Gabriel Davis</t>
  </si>
  <si>
    <t>Efton Chism</t>
  </si>
  <si>
    <t>Jack Endries</t>
  </si>
  <si>
    <t>Sam Roush</t>
  </si>
  <si>
    <t>Tyler Huntley</t>
  </si>
  <si>
    <t>Tyreek Hill</t>
  </si>
  <si>
    <t>Tanner McKee</t>
  </si>
  <si>
    <t>David Bell</t>
  </si>
  <si>
    <t>Luke Schoonmaker</t>
  </si>
  <si>
    <t>Jonathan Mingo</t>
  </si>
  <si>
    <t>Dillon Gabriel</t>
  </si>
  <si>
    <t>Nick Westbrook-Ikhine</t>
  </si>
  <si>
    <t>KaVontae Turpin</t>
  </si>
  <si>
    <t>Bam Knight</t>
  </si>
  <si>
    <t>Brandon Aiyuk</t>
  </si>
  <si>
    <t>Jerome Ford</t>
  </si>
  <si>
    <t>Isaiah Hodgins</t>
  </si>
  <si>
    <t>Tyler Goodson</t>
  </si>
  <si>
    <t>Gardner Minshew</t>
  </si>
  <si>
    <t>Javon Baker</t>
  </si>
  <si>
    <t>Frank Gore Jr.</t>
  </si>
  <si>
    <t>Israel Abanikanda</t>
  </si>
  <si>
    <t>Davis Allen</t>
  </si>
  <si>
    <t>Will Levis</t>
  </si>
  <si>
    <t>Khalil Herbert</t>
  </si>
  <si>
    <t>Tyler Scott</t>
  </si>
  <si>
    <t>Kendall Milton</t>
  </si>
  <si>
    <t>Marcus Mariota</t>
  </si>
  <si>
    <t>Dameon Pierce</t>
  </si>
  <si>
    <t>Mack Hollins</t>
  </si>
  <si>
    <t>Arian Smith</t>
  </si>
  <si>
    <t>Jared Wiley</t>
  </si>
  <si>
    <t>Brevin Jordan</t>
  </si>
  <si>
    <t>Kenny Pickett</t>
  </si>
  <si>
    <t>Trey Lance</t>
  </si>
  <si>
    <t>Xavier Gipson</t>
  </si>
  <si>
    <t>Tyler Badie</t>
  </si>
  <si>
    <t>Mason Tipton</t>
  </si>
  <si>
    <t>Sam Howell</t>
  </si>
  <si>
    <t>Le'Veon Moss</t>
  </si>
  <si>
    <t>Michael Carter</t>
  </si>
  <si>
    <t>Sione Vaki</t>
  </si>
  <si>
    <t>Skyy Moore</t>
  </si>
  <si>
    <t>Reggie Virgil</t>
  </si>
  <si>
    <t>Joe Flacco</t>
  </si>
  <si>
    <t>Bub Means</t>
  </si>
  <si>
    <t>Bo Melton</t>
  </si>
  <si>
    <t>Samaje Perine</t>
  </si>
  <si>
    <t>Drew Lock</t>
  </si>
  <si>
    <t>Brock Wright</t>
  </si>
  <si>
    <t>Cole Payton</t>
  </si>
  <si>
    <t>Jake Bobo</t>
  </si>
  <si>
    <t>Tyrell Shavers</t>
  </si>
  <si>
    <t>AJ Dillon</t>
  </si>
  <si>
    <t>Lil'Jordan Humphrey</t>
  </si>
  <si>
    <t>Demarcus Robinson</t>
  </si>
  <si>
    <t>Jonnu Smith</t>
  </si>
  <si>
    <t>Kyle McCord</t>
  </si>
  <si>
    <t>Zamir White</t>
  </si>
  <si>
    <t>Stetson Bennett</t>
  </si>
  <si>
    <t>Dohnte Meyers</t>
  </si>
  <si>
    <t>Johnny Wilson</t>
  </si>
  <si>
    <t>Odell Beckham</t>
  </si>
  <si>
    <t>Sincere McCormick</t>
  </si>
  <si>
    <t>Malik Heath</t>
  </si>
  <si>
    <t>Dylan Laube</t>
  </si>
  <si>
    <t>Jawhar Jordan</t>
  </si>
  <si>
    <t>LaJohntay Wester</t>
  </si>
  <si>
    <t>Alexander Mattison</t>
  </si>
  <si>
    <t>Jeremy McNichols</t>
  </si>
  <si>
    <t>Derius Davis</t>
  </si>
  <si>
    <t>Mecole Hardman</t>
  </si>
  <si>
    <t>Tyler Johnson</t>
  </si>
  <si>
    <t>Trayveon Williams</t>
  </si>
  <si>
    <t>Julius Chestnut</t>
  </si>
  <si>
    <t>Tylan Wallace</t>
  </si>
  <si>
    <t>Zavier Scott</t>
  </si>
  <si>
    <t>Jeremy Ruckert</t>
  </si>
  <si>
    <t>Hassan Haskins</t>
  </si>
  <si>
    <t>Jamari Thrash</t>
  </si>
  <si>
    <t>Nathan Carter</t>
  </si>
  <si>
    <t>Ty Chandler</t>
  </si>
  <si>
    <t>Van Jefferson</t>
  </si>
  <si>
    <t>Ja'Lynn Polk</t>
  </si>
  <si>
    <t>Kenny McIntosh</t>
  </si>
  <si>
    <t>Zach Wilson</t>
  </si>
  <si>
    <t>Brenden Rice</t>
  </si>
  <si>
    <t>Elijah Mitchell</t>
  </si>
  <si>
    <t>Ainias Smith</t>
  </si>
  <si>
    <t>Terrell Jennings</t>
  </si>
  <si>
    <t>Zay Jones</t>
  </si>
  <si>
    <t>Ray-Ray McCloud</t>
  </si>
  <si>
    <t>Josh Oliver</t>
  </si>
  <si>
    <t>Thomas Fidone</t>
  </si>
  <si>
    <t>Tyrod Taylor</t>
  </si>
  <si>
    <t>Deuce Vaughn</t>
  </si>
  <si>
    <t>Jake Browning</t>
  </si>
  <si>
    <t>Robert Henry</t>
  </si>
  <si>
    <t>Joe Mixon</t>
  </si>
  <si>
    <t>Zach Ertz</t>
  </si>
  <si>
    <t>Kareem Hunt</t>
  </si>
  <si>
    <t>Mason Rudolph</t>
  </si>
  <si>
    <t>Aidan O'Connell</t>
  </si>
  <si>
    <t>Harrison Bryant</t>
  </si>
  <si>
    <t>Grant Calcaterra</t>
  </si>
  <si>
    <t>Kalif Raymond</t>
  </si>
  <si>
    <t>Sterling Shepard</t>
  </si>
  <si>
    <t>Foster Moreau</t>
  </si>
  <si>
    <t>Nick Chubb</t>
  </si>
  <si>
    <t>DeAndre Hopkins</t>
  </si>
  <si>
    <t>Austin Ekeler</t>
  </si>
  <si>
    <t>Trinidad Chambliss</t>
  </si>
  <si>
    <t>Cam Akers</t>
  </si>
  <si>
    <t>Miles Sanders</t>
  </si>
  <si>
    <t>Will Dissly</t>
  </si>
  <si>
    <t>Tyler Lockett</t>
  </si>
  <si>
    <t>Max Brosmer</t>
  </si>
  <si>
    <t>Nate Boerkircher</t>
  </si>
  <si>
    <t>JuJu Smith-Schuster</t>
  </si>
  <si>
    <t>Curtis Samuel</t>
  </si>
  <si>
    <t>Antonio Gibson</t>
  </si>
  <si>
    <t>Carson Wentz</t>
  </si>
  <si>
    <t>Tyler Conklin</t>
  </si>
  <si>
    <t>Noah Brown</t>
  </si>
  <si>
    <t>Luke Altmyer</t>
  </si>
  <si>
    <t>Jermaine Burton</t>
  </si>
  <si>
    <t>Adam Trautman</t>
  </si>
  <si>
    <t>Rondale Moore</t>
  </si>
  <si>
    <t>Terion Stewart</t>
  </si>
  <si>
    <t>Taysom Hill</t>
  </si>
  <si>
    <t>Tim Patrick</t>
  </si>
  <si>
    <t>Hunter Long</t>
  </si>
  <si>
    <t>Josh Reynolds</t>
  </si>
  <si>
    <t>Philip Rivers</t>
  </si>
  <si>
    <t>Trey Sermon</t>
  </si>
  <si>
    <t>Hunter Renfrow</t>
  </si>
  <si>
    <t>Austin Hooper</t>
  </si>
  <si>
    <t>Devin Duvernay</t>
  </si>
  <si>
    <t>Brandin Cooks</t>
  </si>
  <si>
    <t>Travis Homer</t>
  </si>
  <si>
    <t>Jaheim Bell</t>
  </si>
  <si>
    <t>Jalen Reagor</t>
  </si>
  <si>
    <t>Ben Skowronek</t>
  </si>
  <si>
    <t>Ashton Dulin</t>
  </si>
  <si>
    <t>Hendon Hooker</t>
  </si>
  <si>
    <t>Justin Shorter</t>
  </si>
  <si>
    <t>Jimmy Garoppolo</t>
  </si>
  <si>
    <t>DeeJay Dallas</t>
  </si>
  <si>
    <t>Pierre Strong Jr.</t>
  </si>
  <si>
    <t>Rakim Jarrett</t>
  </si>
  <si>
    <t>Eric Gray</t>
  </si>
  <si>
    <t>Russell Wilson</t>
  </si>
  <si>
    <t>Malik Cunningham</t>
  </si>
  <si>
    <t>Jelani Woods</t>
  </si>
  <si>
    <t>Tip Reiman</t>
  </si>
  <si>
    <t>Mitchell Trubisky</t>
  </si>
  <si>
    <t>Clyde Edwards-Helaire</t>
  </si>
  <si>
    <t>Chris Evans</t>
  </si>
  <si>
    <t>Bailey Zappe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</si>
</sst>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m/d/yy"/>
  </numFmts>
  <fonts count="14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"/>
    </font>
    <font>
      <color theme="1"/>
      <name val="Arial"/>
      <scheme val="minor"/>
    </font>
    <font>
      <b/>
      <color theme="1"/>
      <name val="Arial Narrow"/>
    </font>
    <font>
      <color theme="1"/>
      <name val="Arial"/>
    </font>
    <font>
      <color rgb="FFFFFFFF"/>
      <name val="Arial Narrow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&quot;Arial Narrow&quot;"/>
    </font>
    <font>
      <i/>
      <color theme="1"/>
      <name val="Arial Narrow"/>
    </font>
    <font>
      <sz val="11.0"/>
      <color theme="1"/>
      <name val="&quot;Arial Narrow&quot;"/>
    </font>
    <font>
      <sz val="11.0"/>
      <color theme="1"/>
      <name val="Calibri"/>
    </font>
    <font>
      <sz val="10.0"/>
      <color theme="1"/>
      <name val="Arial Narrow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EB887"/>
        <bgColor rgb="FFDEB887"/>
      </patternFill>
    </fill>
    <fill>
      <patternFill patternType="solid">
        <fgColor rgb="FF90EE90"/>
        <bgColor rgb="FF90EE9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3">
    <border/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center"/>
    </xf>
    <xf borderId="0" fillId="0" fontId="1" numFmtId="49" xfId="0" applyFont="1" applyNumberFormat="1"/>
    <xf borderId="0" fillId="0" fontId="3" numFmtId="0" xfId="0" applyAlignment="1" applyFont="1">
      <alignment readingOrder="0"/>
    </xf>
    <xf borderId="0" fillId="0" fontId="1" numFmtId="3" xfId="0" applyFont="1" applyNumberFormat="1"/>
    <xf borderId="0" fillId="0" fontId="1" numFmtId="1" xfId="0" applyFont="1" applyNumberFormat="1"/>
    <xf borderId="0" fillId="0" fontId="1" numFmtId="49" xfId="0" applyFont="1" applyNumberFormat="1"/>
    <xf borderId="0" fillId="0" fontId="2" numFmtId="0" xfId="0" applyAlignment="1" applyFont="1">
      <alignment horizontal="center" readingOrder="0" shrinkToFit="0" vertical="center" wrapText="1"/>
    </xf>
    <xf borderId="0" fillId="3" fontId="4" numFmtId="164" xfId="0" applyFill="1" applyFont="1" applyNumberFormat="1"/>
    <xf borderId="0" fillId="3" fontId="4" numFmtId="49" xfId="0" applyFill="1" applyFont="1" applyNumberFormat="1"/>
    <xf borderId="0" fillId="3" fontId="4" numFmtId="3" xfId="0" applyFill="1" applyFont="1" applyNumberFormat="1"/>
    <xf borderId="0" fillId="4" fontId="4" numFmtId="1" xfId="0" applyFill="1" applyFont="1" applyNumberFormat="1"/>
    <xf borderId="0" fillId="4" fontId="4" numFmtId="49" xfId="0" applyFill="1" applyFont="1" applyNumberFormat="1"/>
    <xf borderId="0" fillId="0" fontId="5" numFmtId="0" xfId="0" applyAlignment="1" applyFont="1">
      <alignment horizontal="center"/>
    </xf>
    <xf borderId="0" fillId="0" fontId="1" numFmtId="164" xfId="0" applyFont="1" applyNumberFormat="1"/>
    <xf borderId="0" fillId="0" fontId="5" numFmtId="0" xfId="0" applyFont="1"/>
    <xf borderId="0" fillId="5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5" xfId="0" applyAlignment="1" applyFont="1" applyNumberFormat="1">
      <alignment shrinkToFit="0" wrapText="0"/>
    </xf>
    <xf borderId="0" fillId="5" fontId="2" numFmtId="0" xfId="0" applyAlignment="1" applyFill="1" applyFont="1">
      <alignment horizontal="center" readingOrder="0"/>
    </xf>
    <xf borderId="0" fillId="0" fontId="1" numFmtId="165" xfId="0" applyAlignment="1" applyFont="1" applyNumberFormat="1">
      <alignment readingOrder="0" shrinkToFit="0" wrapText="0"/>
    </xf>
    <xf borderId="0" fillId="6" fontId="5" numFmtId="0" xfId="0" applyAlignment="1" applyFill="1" applyFont="1">
      <alignment horizontal="center" readingOrder="0"/>
    </xf>
    <xf borderId="0" fillId="6" fontId="5" numFmtId="166" xfId="0" applyAlignment="1" applyFill="1" applyFont="1" applyNumberFormat="1">
      <alignment readingOrder="0"/>
    </xf>
    <xf borderId="0" fillId="0" fontId="1" numFmtId="164" xfId="0" applyAlignment="1" applyFont="1" applyNumberFormat="1">
      <alignment shrinkToFit="0" wrapText="0"/>
    </xf>
    <xf borderId="0" fillId="6" fontId="5" numFmtId="0" xfId="0" applyAlignment="1" applyFill="1" applyFont="1">
      <alignment readingOrder="0"/>
    </xf>
    <xf borderId="1" fillId="7" fontId="5" numFmtId="0" xfId="0" applyAlignment="1" applyBorder="1" applyFill="1" applyFont="1">
      <alignment horizontal="center" readingOrder="0"/>
    </xf>
    <xf borderId="1" fillId="7" fontId="5" numFmtId="166" xfId="0" applyAlignment="1" applyBorder="1" applyFill="1" applyFont="1" applyNumberFormat="1">
      <alignment readingOrder="0"/>
    </xf>
    <xf borderId="1" fillId="7" fontId="5" numFmtId="0" xfId="0" applyAlignment="1" applyBorder="1" applyFill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1" fillId="7" fontId="5" numFmtId="0" xfId="0" applyAlignment="1" applyBorder="1" applyFill="1" applyFont="1">
      <alignment horizontal="center"/>
    </xf>
    <xf borderId="0" fillId="0" fontId="8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1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8" fontId="5" numFmtId="0" xfId="0" applyAlignment="1" applyFill="1" applyFont="1">
      <alignment horizontal="center"/>
    </xf>
    <xf borderId="0" fillId="8" fontId="5" numFmtId="0" xfId="0" applyFill="1" applyFont="1"/>
    <xf borderId="0" fillId="7" fontId="5" numFmtId="0" xfId="0" applyAlignment="1" applyFill="1" applyFont="1">
      <alignment horizontal="center" readingOrder="0"/>
    </xf>
    <xf borderId="0" fillId="7" fontId="5" numFmtId="166" xfId="0" applyAlignment="1" applyFill="1" applyFont="1" applyNumberFormat="1">
      <alignment readingOrder="0"/>
    </xf>
    <xf borderId="0" fillId="7" fontId="5" numFmtId="0" xfId="0" applyAlignment="1" applyFill="1" applyFont="1">
      <alignment readingOrder="0"/>
    </xf>
    <xf borderId="0" fillId="7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/>
    </xf>
    <xf borderId="2" fillId="7" fontId="5" numFmtId="0" xfId="0" applyAlignment="1" applyBorder="1" applyFill="1" applyFont="1">
      <alignment readingOrder="0"/>
    </xf>
    <xf borderId="2" fillId="7" fontId="5" numFmtId="166" xfId="0" applyAlignment="1" applyBorder="1" applyFill="1" applyFont="1" applyNumberFormat="1">
      <alignment readingOrder="0"/>
    </xf>
    <xf borderId="2" fillId="7" fontId="5" numFmtId="0" xfId="0" applyAlignment="1" applyBorder="1" applyFill="1" applyFont="1">
      <alignment horizontal="center"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shrinkToFit="0" wrapText="1"/>
    </xf>
    <xf borderId="1" fillId="6" fontId="5" numFmtId="0" xfId="0" applyAlignment="1" applyBorder="1" applyFill="1" applyFont="1">
      <alignment horizontal="center" readingOrder="0"/>
    </xf>
    <xf borderId="1" fillId="6" fontId="5" numFmtId="166" xfId="0" applyAlignment="1" applyBorder="1" applyFill="1" applyFont="1" applyNumberFormat="1">
      <alignment readingOrder="0"/>
    </xf>
    <xf borderId="1" fillId="6" fontId="5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2" fillId="6" fontId="5" numFmtId="0" xfId="0" applyAlignment="1" applyBorder="1" applyFill="1" applyFont="1">
      <alignment readingOrder="0"/>
    </xf>
    <xf borderId="2" fillId="6" fontId="5" numFmtId="166" xfId="0" applyAlignment="1" applyBorder="1" applyFill="1" applyFont="1" applyNumberFormat="1">
      <alignment readingOrder="0"/>
    </xf>
    <xf borderId="2" fillId="6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49" xfId="0" applyAlignment="1" applyFont="1" applyNumberFormat="1">
      <alignment readingOrder="0"/>
    </xf>
    <xf borderId="0" fillId="0" fontId="1" numFmtId="1" xfId="0" applyFont="1" applyNumberFormat="1"/>
    <xf borderId="0" fillId="9" fontId="4" numFmtId="0" xfId="0" applyAlignment="1" applyFill="1" applyFont="1">
      <alignment readingOrder="0"/>
    </xf>
    <xf borderId="0" fillId="9" fontId="1" numFmtId="49" xfId="0" applyAlignment="1" applyFill="1" applyFont="1" applyNumberFormat="1">
      <alignment readingOrder="0"/>
    </xf>
    <xf borderId="0" fillId="9" fontId="1" numFmtId="1" xfId="0" applyFill="1" applyFont="1" applyNumberFormat="1"/>
    <xf borderId="2" fillId="0" fontId="5" numFmtId="0" xfId="0" applyAlignment="1" applyBorder="1" applyFont="1">
      <alignment readingOrder="0"/>
    </xf>
    <xf borderId="2" fillId="0" fontId="5" numFmtId="166" xfId="0" applyAlignment="1" applyBorder="1" applyFont="1" applyNumberFormat="1">
      <alignment readingOrder="0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6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8" fontId="4" numFmtId="0" xfId="0" applyAlignment="1" applyFill="1" applyFont="1">
      <alignment readingOrder="0"/>
    </xf>
    <xf borderId="0" fillId="8" fontId="4" numFmtId="49" xfId="0" applyAlignment="1" applyFill="1" applyFont="1" applyNumberFormat="1">
      <alignment horizontal="center" readingOrder="0"/>
    </xf>
    <xf borderId="0" fillId="0" fontId="9" numFmtId="1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center" readingOrder="0"/>
    </xf>
    <xf borderId="0" fillId="0" fontId="10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104775</xdr:rowOff>
    </xdr:from>
    <xdr:ext cx="6096000" cy="5762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17.63"/>
    <col customWidth="1" min="4" max="15" width="8.0"/>
    <col customWidth="1" min="16" max="28" width="5.0"/>
    <col customWidth="1" min="29" max="29" width="8.38"/>
  </cols>
  <sheetData>
    <row r="1">
      <c r="A1" s="2"/>
      <c r="B1" s="2"/>
      <c r="C1" s="2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>
      <c r="A2" s="17"/>
      <c r="B2" s="17">
        <f>sum(D2:O2)</f>
        <v>210</v>
      </c>
      <c r="C2" s="17" t="s">
        <v>20</v>
      </c>
      <c r="D2" s="22">
        <f t="shared" ref="D2:O2" si="1">sum(D3:D996)</f>
        <v>11</v>
      </c>
      <c r="E2" s="22">
        <f t="shared" si="1"/>
        <v>13</v>
      </c>
      <c r="F2" s="22">
        <f t="shared" si="1"/>
        <v>3</v>
      </c>
      <c r="G2" s="22">
        <f t="shared" si="1"/>
        <v>12</v>
      </c>
      <c r="H2" s="22">
        <f t="shared" si="1"/>
        <v>18</v>
      </c>
      <c r="I2" s="22">
        <f t="shared" si="1"/>
        <v>16</v>
      </c>
      <c r="J2" s="22">
        <f t="shared" si="1"/>
        <v>3</v>
      </c>
      <c r="K2" s="22">
        <f t="shared" si="1"/>
        <v>0</v>
      </c>
      <c r="L2" s="22">
        <f t="shared" si="1"/>
        <v>21</v>
      </c>
      <c r="M2" s="22">
        <f t="shared" si="1"/>
        <v>86</v>
      </c>
      <c r="N2" s="22">
        <f t="shared" si="1"/>
        <v>12</v>
      </c>
      <c r="O2" s="22">
        <f t="shared" si="1"/>
        <v>15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24" t="s">
        <v>23</v>
      </c>
      <c r="B3" s="25">
        <v>46037.0</v>
      </c>
      <c r="C3" s="27" t="s">
        <v>24</v>
      </c>
      <c r="D3" s="24">
        <v>11.0</v>
      </c>
      <c r="E3" s="24">
        <v>13.0</v>
      </c>
      <c r="F3" s="24">
        <v>0.0</v>
      </c>
      <c r="G3" s="24">
        <v>9.0</v>
      </c>
      <c r="H3" s="24">
        <v>15.0</v>
      </c>
      <c r="I3" s="24">
        <v>13.0</v>
      </c>
      <c r="J3" s="24">
        <v>3.0</v>
      </c>
      <c r="K3" s="24">
        <v>0.0</v>
      </c>
      <c r="L3" s="24">
        <v>20.0</v>
      </c>
      <c r="M3" s="24">
        <v>84.0</v>
      </c>
      <c r="N3" s="24">
        <v>11.0</v>
      </c>
      <c r="O3" s="24">
        <v>15.0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>
      <c r="A4" s="28" t="s">
        <v>25</v>
      </c>
      <c r="B4" s="29">
        <v>46023.0</v>
      </c>
      <c r="C4" s="30" t="s">
        <v>27</v>
      </c>
      <c r="D4" s="34">
        <f>IFERROR(__xludf.DUMMYFUNCTION("IFNA(filter(Trades!$J:$J,Trades!$B:$B=D$1,Trades!$A:$A&gt;=$B4,Trades!$A:$A&lt;=$B6),0)+IFNA(filter(Trades!$J:$J,Trades!$F:$F=D$1,Trades!$A:$A&gt;=$B4,Trades!$A:$A&lt;=$B6),0)"),0.0)</f>
        <v>0</v>
      </c>
      <c r="E4" s="34">
        <f>IFERROR(__xludf.DUMMYFUNCTION("IFNA(filter(Trades!$J:$J,Trades!$B:$B=E$1,Trades!$A:$A&gt;=$B4,Trades!$A:$A&lt;=$B6),0)+IFNA(filter(Trades!$J:$J,Trades!$F:$F=E$1,Trades!$A:$A&gt;=$B4,Trades!$A:$A&lt;=$B6),0)"),0.0)</f>
        <v>0</v>
      </c>
      <c r="F4" s="34">
        <f>IFERROR(__xludf.DUMMYFUNCTION("IFNA(filter(Trades!$J:$J,Trades!$B:$B=F$1,Trades!$A:$A&gt;=$B4,Trades!$A:$A&lt;=$B6),0)+IFNA(filter(Trades!$J:$J,Trades!$F:$F=F$1,Trades!$A:$A&gt;=$B4,Trades!$A:$A&lt;=$B6),0)"),0.0)</f>
        <v>0</v>
      </c>
      <c r="G4" s="34">
        <f>IFERROR(__xludf.DUMMYFUNCTION("IFNA(filter(Trades!$J:$J,Trades!$B:$B=G$1,Trades!$A:$A&gt;=$B4,Trades!$A:$A&lt;=$B6),0)+IFNA(filter(Trades!$J:$J,Trades!$F:$F=G$1,Trades!$A:$A&gt;=$B4,Trades!$A:$A&lt;=$B6),0)"),0.0)</f>
        <v>0</v>
      </c>
      <c r="H4" s="34">
        <f>IFERROR(__xludf.DUMMYFUNCTION("IFNA(filter(Trades!$J:$J,Trades!$B:$B=H$1,Trades!$A:$A&gt;=$B4,Trades!$A:$A&lt;=$B6),0)+IFNA(filter(Trades!$J:$J,Trades!$F:$F=H$1,Trades!$A:$A&gt;=$B4,Trades!$A:$A&lt;=$B6),0)"),0.0)</f>
        <v>0</v>
      </c>
      <c r="I4" s="34">
        <f>IFERROR(__xludf.DUMMYFUNCTION("IFNA(filter(Trades!$J:$J,Trades!$B:$B=I$1,Trades!$A:$A&gt;=$B4,Trades!$A:$A&lt;=$B6),0)+IFNA(filter(Trades!$J:$J,Trades!$F:$F=I$1,Trades!$A:$A&gt;=$B4,Trades!$A:$A&lt;=$B6),0)"),0.0)</f>
        <v>0</v>
      </c>
      <c r="J4" s="34">
        <f>IFERROR(__xludf.DUMMYFUNCTION("IFNA(filter(Trades!$J:$J,Trades!$B:$B=J$1,Trades!$A:$A&gt;=$B4,Trades!$A:$A&lt;=$B6),0)+IFNA(filter(Trades!$J:$J,Trades!$F:$F=J$1,Trades!$A:$A&gt;=$B4,Trades!$A:$A&lt;=$B6),0)"),0.0)</f>
        <v>0</v>
      </c>
      <c r="K4" s="34">
        <f>IFERROR(__xludf.DUMMYFUNCTION("IFNA(filter(Trades!$J:$J,Trades!$B:$B=K$1,Trades!$A:$A&gt;=$B4,Trades!$A:$A&lt;=$B6),0)+IFNA(filter(Trades!$J:$J,Trades!$F:$F=K$1,Trades!$A:$A&gt;=$B4,Trades!$A:$A&lt;=$B6),0)"),0.0)</f>
        <v>0</v>
      </c>
      <c r="L4" s="34">
        <f>IFERROR(__xludf.DUMMYFUNCTION("IFNA(filter(Trades!$J:$J,Trades!$B:$B=L$1,Trades!$A:$A&gt;=$B4,Trades!$A:$A&lt;=$B6),0)+IFNA(filter(Trades!$J:$J,Trades!$F:$F=L$1,Trades!$A:$A&gt;=$B4,Trades!$A:$A&lt;=$B6),0)"),0.0)</f>
        <v>0</v>
      </c>
      <c r="M4" s="34">
        <f>IFERROR(__xludf.DUMMYFUNCTION("IFNA(filter(Trades!$J:$J,Trades!$B:$B=M$1,Trades!$A:$A&gt;=$B4,Trades!$A:$A&lt;=$B6),0)+IFNA(filter(Trades!$J:$J,Trades!$F:$F=M$1,Trades!$A:$A&gt;=$B4,Trades!$A:$A&lt;=$B6),0)"),0.0)</f>
        <v>0</v>
      </c>
      <c r="N4" s="34">
        <f>IFERROR(__xludf.DUMMYFUNCTION("IFNA(filter(Trades!$J:$J,Trades!$B:$B=N$1,Trades!$A:$A&gt;=$B4,Trades!$A:$A&lt;=$B6),0)+IFNA(filter(Trades!$J:$J,Trades!$F:$F=N$1,Trades!$A:$A&gt;=$B4,Trades!$A:$A&lt;=$B6),0)"),0.0)</f>
        <v>0</v>
      </c>
      <c r="O4" s="34">
        <f>IFERROR(__xludf.DUMMYFUNCTION("IFNA(filter(Trades!$J:$J,Trades!$B:$B=O$1,Trades!$A:$A&gt;=$B4,Trades!$A:$A&lt;=$B6),0)+IFNA(filter(Trades!$J:$J,Trades!$F:$F=O$1,Trades!$A:$A&gt;=$B4,Trades!$A:$A&lt;=$B6),0)"),0.0)</f>
        <v>0</v>
      </c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</row>
    <row r="5">
      <c r="A5" s="44"/>
      <c r="B5" s="45"/>
      <c r="C5" s="46" t="s">
        <v>42</v>
      </c>
      <c r="D5" s="47"/>
      <c r="E5" s="47"/>
      <c r="F5" s="47"/>
      <c r="G5" s="47"/>
      <c r="H5" s="48"/>
      <c r="I5" s="47"/>
      <c r="J5" s="47"/>
      <c r="K5" s="47"/>
      <c r="L5" s="47"/>
      <c r="M5" s="48"/>
      <c r="N5" s="47"/>
      <c r="O5" s="48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>
      <c r="A6" s="49"/>
      <c r="B6" s="50">
        <v>46112.0</v>
      </c>
      <c r="C6" s="49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</row>
    <row r="7">
      <c r="A7" s="28" t="s">
        <v>46</v>
      </c>
      <c r="B7" s="29">
        <v>46113.0</v>
      </c>
      <c r="C7" s="30" t="s">
        <v>27</v>
      </c>
      <c r="D7" s="34">
        <f>IFERROR(__xludf.DUMMYFUNCTION("IFNA(filter(Trades!$J:$J,Trades!$B:$B=D$1,Trades!$A:$A&gt;=$B7,Trades!$A:$A&lt;=$B9),0)+IFNA(filter(Trades!$J:$J,Trades!$F:$F=D$1,Trades!$A:$A&gt;=$B7,Trades!$A:$A&lt;=$B9),0)"),0.0)</f>
        <v>0</v>
      </c>
      <c r="E7" s="34">
        <f>IFERROR(__xludf.DUMMYFUNCTION("IFNA(filter(Trades!$J:$J,Trades!$B:$B=E$1,Trades!$A:$A&gt;=$B7,Trades!$A:$A&lt;=$B9),0)+IFNA(filter(Trades!$J:$J,Trades!$F:$F=E$1,Trades!$A:$A&gt;=$B7,Trades!$A:$A&lt;=$B9),0)"),0.0)</f>
        <v>0</v>
      </c>
      <c r="F7" s="34">
        <f>IFERROR(__xludf.DUMMYFUNCTION("IFNA(filter(Trades!$J:$J,Trades!$B:$B=F$1,Trades!$A:$A&gt;=$B7,Trades!$A:$A&lt;=$B9),0)+IFNA(filter(Trades!$J:$J,Trades!$F:$F=F$1,Trades!$A:$A&gt;=$B7,Trades!$A:$A&lt;=$B9),0)"),0.0)</f>
        <v>0</v>
      </c>
      <c r="G7" s="34">
        <f>IFERROR(__xludf.DUMMYFUNCTION("IFNA(filter(Trades!$J:$J,Trades!$B:$B=G$1,Trades!$A:$A&gt;=$B7,Trades!$A:$A&lt;=$B9),0)+IFNA(filter(Trades!$J:$J,Trades!$F:$F=G$1,Trades!$A:$A&gt;=$B7,Trades!$A:$A&lt;=$B9),0)"),0.0)</f>
        <v>0</v>
      </c>
      <c r="H7" s="34">
        <f>IFERROR(__xludf.DUMMYFUNCTION("IFNA(filter(Trades!$J:$J,Trades!$B:$B=H$1,Trades!$A:$A&gt;=$B7,Trades!$A:$A&lt;=$B9),0)+IFNA(filter(Trades!$J:$J,Trades!$F:$F=H$1,Trades!$A:$A&gt;=$B7,Trades!$A:$A&lt;=$B9),0)"),0.0)</f>
        <v>0</v>
      </c>
      <c r="I7" s="34">
        <f>IFERROR(__xludf.DUMMYFUNCTION("IFNA(filter(Trades!$J:$J,Trades!$B:$B=I$1,Trades!$A:$A&gt;=$B7,Trades!$A:$A&lt;=$B9),0)+IFNA(filter(Trades!$J:$J,Trades!$F:$F=I$1,Trades!$A:$A&gt;=$B7,Trades!$A:$A&lt;=$B9),0)"),0.0)</f>
        <v>0</v>
      </c>
      <c r="J7" s="34">
        <f>IFERROR(__xludf.DUMMYFUNCTION("IFNA(filter(Trades!$J:$J,Trades!$B:$B=J$1,Trades!$A:$A&gt;=$B7,Trades!$A:$A&lt;=$B9),0)+IFNA(filter(Trades!$J:$J,Trades!$F:$F=J$1,Trades!$A:$A&gt;=$B7,Trades!$A:$A&lt;=$B9),0)"),0.0)</f>
        <v>0</v>
      </c>
      <c r="K7" s="34">
        <f>IFERROR(__xludf.DUMMYFUNCTION("IFNA(filter(Trades!$J:$J,Trades!$B:$B=K$1,Trades!$A:$A&gt;=$B7,Trades!$A:$A&lt;=$B9),0)+IFNA(filter(Trades!$J:$J,Trades!$F:$F=K$1,Trades!$A:$A&gt;=$B7,Trades!$A:$A&lt;=$B9),0)"),0.0)</f>
        <v>0</v>
      </c>
      <c r="L7" s="34">
        <f>IFERROR(__xludf.DUMMYFUNCTION("IFNA(filter(Trades!$J:$J,Trades!$B:$B=L$1,Trades!$A:$A&gt;=$B7,Trades!$A:$A&lt;=$B9),0)+IFNA(filter(Trades!$J:$J,Trades!$F:$F=L$1,Trades!$A:$A&gt;=$B7,Trades!$A:$A&lt;=$B9),0)"),0.0)</f>
        <v>0</v>
      </c>
      <c r="M7" s="34">
        <f>IFERROR(__xludf.DUMMYFUNCTION("IFNA(filter(Trades!$J:$J,Trades!$B:$B=M$1,Trades!$A:$A&gt;=$B7,Trades!$A:$A&lt;=$B9),0)+IFNA(filter(Trades!$J:$J,Trades!$F:$F=M$1,Trades!$A:$A&gt;=$B7,Trades!$A:$A&lt;=$B9),0)"),0.0)</f>
        <v>0</v>
      </c>
      <c r="N7" s="34">
        <f>IFERROR(__xludf.DUMMYFUNCTION("IFNA(filter(Trades!$J:$J,Trades!$B:$B=N$1,Trades!$A:$A&gt;=$B7,Trades!$A:$A&lt;=$B9),0)+IFNA(filter(Trades!$J:$J,Trades!$F:$F=N$1,Trades!$A:$A&gt;=$B7,Trades!$A:$A&lt;=$B9),0)"),0.0)</f>
        <v>0</v>
      </c>
      <c r="O7" s="34">
        <f>IFERROR(__xludf.DUMMYFUNCTION("IFNA(filter(Trades!$J:$J,Trades!$B:$B=O$1,Trades!$A:$A&gt;=$B7,Trades!$A:$A&lt;=$B9),0)+IFNA(filter(Trades!$J:$J,Trades!$F:$F=O$1,Trades!$A:$A&gt;=$B7,Trades!$A:$A&lt;=$B9),0)"),0.0)</f>
        <v>0</v>
      </c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</row>
    <row r="8">
      <c r="A8" s="44"/>
      <c r="B8" s="45"/>
      <c r="C8" s="46" t="s">
        <v>49</v>
      </c>
      <c r="D8" s="47"/>
      <c r="E8" s="47"/>
      <c r="F8" s="47"/>
      <c r="G8" s="47"/>
      <c r="H8" s="48"/>
      <c r="I8" s="47"/>
      <c r="J8" s="47"/>
      <c r="K8" s="47"/>
      <c r="L8" s="47"/>
      <c r="M8" s="48"/>
      <c r="N8" s="47"/>
      <c r="O8" s="48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</row>
    <row r="9">
      <c r="A9" s="49"/>
      <c r="B9" s="50">
        <v>46203.0</v>
      </c>
      <c r="C9" s="49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</row>
    <row r="10">
      <c r="A10" s="28" t="s">
        <v>50</v>
      </c>
      <c r="B10" s="29">
        <v>46204.0</v>
      </c>
      <c r="C10" s="30" t="s">
        <v>27</v>
      </c>
      <c r="D10" s="34">
        <f>IFERROR(__xludf.DUMMYFUNCTION("IFNA(filter(Trades!$J:$J,Trades!$B:$B=D$1,Trades!$A:$A&gt;=$B10,Trades!$A:$A&lt;=$B12),0)+IFNA(filter(Trades!$J:$J,Trades!$F:$F=D$1,Trades!$A:$A&gt;=$B10,Trades!$A:$A&lt;=$B12),0)"),0.0)</f>
        <v>0</v>
      </c>
      <c r="E10" s="34">
        <f>IFERROR(__xludf.DUMMYFUNCTION("IFNA(filter(Trades!$J:$J,Trades!$B:$B=E$1,Trades!$A:$A&gt;=$B10,Trades!$A:$A&lt;=$B12),0)+IFNA(filter(Trades!$J:$J,Trades!$F:$F=E$1,Trades!$A:$A&gt;=$B10,Trades!$A:$A&lt;=$B12),0)"),0.0)</f>
        <v>0</v>
      </c>
      <c r="F10" s="34">
        <f>IFERROR(__xludf.DUMMYFUNCTION("IFNA(filter(Trades!$J:$J,Trades!$B:$B=F$1,Trades!$A:$A&gt;=$B10,Trades!$A:$A&lt;=$B12),0)+IFNA(filter(Trades!$J:$J,Trades!$F:$F=F$1,Trades!$A:$A&gt;=$B10,Trades!$A:$A&lt;=$B12),0)"),0.0)</f>
        <v>0</v>
      </c>
      <c r="G10" s="34">
        <f>IFERROR(__xludf.DUMMYFUNCTION("IFNA(filter(Trades!$J:$J,Trades!$B:$B=G$1,Trades!$A:$A&gt;=$B10,Trades!$A:$A&lt;=$B12),0)+IFNA(filter(Trades!$J:$J,Trades!$F:$F=G$1,Trades!$A:$A&gt;=$B10,Trades!$A:$A&lt;=$B12),0)"),0.0)</f>
        <v>0</v>
      </c>
      <c r="H10" s="34">
        <f>IFERROR(__xludf.DUMMYFUNCTION("IFNA(filter(Trades!$J:$J,Trades!$B:$B=H$1,Trades!$A:$A&gt;=$B10,Trades!$A:$A&lt;=$B12),0)+IFNA(filter(Trades!$J:$J,Trades!$F:$F=H$1,Trades!$A:$A&gt;=$B10,Trades!$A:$A&lt;=$B12),0)"),0.0)</f>
        <v>0</v>
      </c>
      <c r="I10" s="34">
        <f>IFERROR(__xludf.DUMMYFUNCTION("IFNA(filter(Trades!$J:$J,Trades!$B:$B=I$1,Trades!$A:$A&gt;=$B10,Trades!$A:$A&lt;=$B12),0)+IFNA(filter(Trades!$J:$J,Trades!$F:$F=I$1,Trades!$A:$A&gt;=$B10,Trades!$A:$A&lt;=$B12),0)"),0.0)</f>
        <v>0</v>
      </c>
      <c r="J10" s="34">
        <f>IFERROR(__xludf.DUMMYFUNCTION("IFNA(filter(Trades!$J:$J,Trades!$B:$B=J$1,Trades!$A:$A&gt;=$B10,Trades!$A:$A&lt;=$B12),0)+IFNA(filter(Trades!$J:$J,Trades!$F:$F=J$1,Trades!$A:$A&gt;=$B10,Trades!$A:$A&lt;=$B12),0)"),0.0)</f>
        <v>0</v>
      </c>
      <c r="K10" s="34">
        <f>IFERROR(__xludf.DUMMYFUNCTION("IFNA(filter(Trades!$J:$J,Trades!$B:$B=K$1,Trades!$A:$A&gt;=$B10,Trades!$A:$A&lt;=$B12),0)+IFNA(filter(Trades!$J:$J,Trades!$F:$F=K$1,Trades!$A:$A&gt;=$B10,Trades!$A:$A&lt;=$B12),0)"),0.0)</f>
        <v>0</v>
      </c>
      <c r="L10" s="34">
        <f>IFERROR(__xludf.DUMMYFUNCTION("IFNA(filter(Trades!$J:$J,Trades!$B:$B=L$1,Trades!$A:$A&gt;=$B10,Trades!$A:$A&lt;=$B12),0)+IFNA(filter(Trades!$J:$J,Trades!$F:$F=L$1,Trades!$A:$A&gt;=$B10,Trades!$A:$A&lt;=$B12),0)"),0.0)</f>
        <v>0</v>
      </c>
      <c r="M10" s="34">
        <f>IFERROR(__xludf.DUMMYFUNCTION("IFNA(filter(Trades!$J:$J,Trades!$B:$B=M$1,Trades!$A:$A&gt;=$B10,Trades!$A:$A&lt;=$B12),0)+IFNA(filter(Trades!$J:$J,Trades!$F:$F=M$1,Trades!$A:$A&gt;=$B10,Trades!$A:$A&lt;=$B12),0)"),0.0)</f>
        <v>0</v>
      </c>
      <c r="N10" s="34">
        <f>IFERROR(__xludf.DUMMYFUNCTION("IFNA(filter(Trades!$J:$J,Trades!$B:$B=N$1,Trades!$A:$A&gt;=$B10,Trades!$A:$A&lt;=$B12),0)+IFNA(filter(Trades!$J:$J,Trades!$F:$F=N$1,Trades!$A:$A&gt;=$B10,Trades!$A:$A&lt;=$B12),0)"),0.0)</f>
        <v>0</v>
      </c>
      <c r="O10" s="34">
        <f>IFERROR(__xludf.DUMMYFUNCTION("IFNA(filter(Trades!$J:$J,Trades!$B:$B=O$1,Trades!$A:$A&gt;=$B10,Trades!$A:$A&lt;=$B12),0)+IFNA(filter(Trades!$J:$J,Trades!$F:$F=O$1,Trades!$A:$A&gt;=$B10,Trades!$A:$A&lt;=$B12),0)"),0.0)</f>
        <v>0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</row>
    <row r="11">
      <c r="A11" s="44"/>
      <c r="B11" s="45"/>
      <c r="C11" s="46" t="s">
        <v>49</v>
      </c>
      <c r="D11" s="47"/>
      <c r="E11" s="47"/>
      <c r="F11" s="47"/>
      <c r="G11" s="47"/>
      <c r="H11" s="48"/>
      <c r="I11" s="47"/>
      <c r="J11" s="47"/>
      <c r="K11" s="47">
        <v>-2.0</v>
      </c>
      <c r="L11" s="47"/>
      <c r="M11" s="48">
        <v>-2.0</v>
      </c>
      <c r="N11" s="47"/>
      <c r="O11" s="48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</row>
    <row r="12">
      <c r="A12" s="49"/>
      <c r="B12" s="50">
        <v>46266.0</v>
      </c>
      <c r="C12" s="49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</row>
    <row r="13">
      <c r="A13" s="54" t="s">
        <v>51</v>
      </c>
      <c r="B13" s="55">
        <v>46267.0</v>
      </c>
      <c r="C13" s="56" t="s">
        <v>27</v>
      </c>
      <c r="D13" s="57">
        <f>IFERROR(__xludf.DUMMYFUNCTION("IFNA(filter(Trades!$J:$J,Trades!$B:$B=D$1,Trades!$A:$A&gt;=$B13,Trades!$A:$A&lt;=$B16),0)+IFNA(filter(Trades!$J:$J,Trades!$F:$F=D$1,Trades!$A:$A&gt;=$B13,Trades!$A:$A&lt;=$B16),0)"),0.0)</f>
        <v>0</v>
      </c>
      <c r="E13" s="57">
        <f>IFERROR(__xludf.DUMMYFUNCTION("IFNA(filter(Trades!$J:$J,Trades!$B:$B=E$1,Trades!$A:$A&gt;=$B13,Trades!$A:$A&lt;=$B15),0)+IFNA(filter(Trades!$J:$J,Trades!$F:$F=E$1,Trades!$A:$A&gt;=$B13,Trades!$A:$A&lt;=$B15),0)"),0.0)</f>
        <v>0</v>
      </c>
      <c r="F13" s="57">
        <f>IFERROR(__xludf.DUMMYFUNCTION("IFNA(filter(Trades!$J:$J,Trades!$B:$B=F$1,Trades!$A:$A&gt;=$B13,Trades!$A:$A&lt;=$B15),0)+IFNA(filter(Trades!$J:$J,Trades!$F:$F=F$1,Trades!$A:$A&gt;=$B13,Trades!$A:$A&lt;=$B15),0)"),0.0)</f>
        <v>0</v>
      </c>
      <c r="G13" s="57">
        <f>IFERROR(__xludf.DUMMYFUNCTION("IFNA(filter(Trades!$J:$J,Trades!$B:$B=G$1,Trades!$A:$A&gt;=$B13,Trades!$A:$A&lt;=$B15),0)+IFNA(filter(Trades!$J:$J,Trades!$F:$F=G$1,Trades!$A:$A&gt;=$B13,Trades!$A:$A&lt;=$B15),0)"),0.0)</f>
        <v>0</v>
      </c>
      <c r="H13" s="57">
        <f>IFERROR(__xludf.DUMMYFUNCTION("IFNA(filter(Trades!$J:$J,Trades!$B:$B=H$1,Trades!$A:$A&gt;=$B13,Trades!$A:$A&lt;=$B15),0)+IFNA(filter(Trades!$J:$J,Trades!$F:$F=H$1,Trades!$A:$A&gt;=$B13,Trades!$A:$A&lt;=$B15),0)"),0.0)</f>
        <v>0</v>
      </c>
      <c r="I13" s="57">
        <f>IFERROR(__xludf.DUMMYFUNCTION("IFNA(filter(Trades!$J:$J,Trades!$B:$B=I$1,Trades!$A:$A&gt;=$B13,Trades!$A:$A&lt;=$B15),0)+IFNA(filter(Trades!$J:$J,Trades!$F:$F=I$1,Trades!$A:$A&gt;=$B13,Trades!$A:$A&lt;=$B15),0)"),0.0)</f>
        <v>0</v>
      </c>
      <c r="J13" s="57">
        <f>IFERROR(__xludf.DUMMYFUNCTION("IFNA(filter(Trades!$J:$J,Trades!$B:$B=J$1,Trades!$A:$A&gt;=$B13,Trades!$A:$A&lt;=$B15),0)+IFNA(filter(Trades!$J:$J,Trades!$F:$F=J$1,Trades!$A:$A&gt;=$B13,Trades!$A:$A&lt;=$B15),0)"),0.0)</f>
        <v>0</v>
      </c>
      <c r="K13" s="57">
        <f>IFERROR(__xludf.DUMMYFUNCTION("IFNA(filter(Trades!$J:$J,Trades!$B:$B=K$1,Trades!$A:$A&gt;=$B13,Trades!$A:$A&lt;=$B15),0)+IFNA(filter(Trades!$J:$J,Trades!$F:$F=K$1,Trades!$A:$A&gt;=$B13,Trades!$A:$A&lt;=$B15),0)"),0.0)</f>
        <v>0</v>
      </c>
      <c r="L13" s="57">
        <f>IFERROR(__xludf.DUMMYFUNCTION("IFNA(filter(Trades!$J:$J,Trades!$B:$B=L$1,Trades!$A:$A&gt;=$B13,Trades!$A:$A&lt;=$B15),0)+IFNA(filter(Trades!$J:$J,Trades!$F:$F=L$1,Trades!$A:$A&gt;=$B13,Trades!$A:$A&lt;=$B15),0)"),0.0)</f>
        <v>0</v>
      </c>
      <c r="M13" s="57">
        <f>IFERROR(__xludf.DUMMYFUNCTION("IFNA(filter(Trades!$J:$J,Trades!$B:$B=M$1,Trades!$A:$A&gt;=$B13,Trades!$A:$A&lt;=$B15),0)+IFNA(filter(Trades!$J:$J,Trades!$F:$F=M$1,Trades!$A:$A&gt;=$B13,Trades!$A:$A&lt;=$B15),0)"),0.0)</f>
        <v>0</v>
      </c>
      <c r="N13" s="57">
        <f>IFERROR(__xludf.DUMMYFUNCTION("IFNA(filter(Trades!$J:$J,Trades!$B:$B=N$1,Trades!$A:$A&gt;=$B13,Trades!$A:$A&lt;=$B15),0)+IFNA(filter(Trades!$J:$J,Trades!$F:$F=N$1,Trades!$A:$A&gt;=$B13,Trades!$A:$A&lt;=$B15),0)"),0.0)</f>
        <v>0</v>
      </c>
      <c r="O13" s="57">
        <f>IFERROR(__xludf.DUMMYFUNCTION("IFNA(filter(Trades!$J:$J,Trades!$B:$B=O$1,Trades!$A:$A&gt;=$B13,Trades!$A:$A&lt;=$B15),0)+IFNA(filter(Trades!$J:$J,Trades!$F:$F=O$1,Trades!$A:$A&gt;=$B13,Trades!$A:$A&lt;=$B15),0)"),0.0)</f>
        <v>0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</row>
    <row r="14">
      <c r="A14" s="58"/>
      <c r="B14" s="25"/>
      <c r="C14" s="27" t="s">
        <v>49</v>
      </c>
      <c r="D14" s="24"/>
      <c r="E14" s="24"/>
      <c r="F14" s="59"/>
      <c r="G14" s="24"/>
      <c r="H14" s="59"/>
      <c r="I14" s="24"/>
      <c r="J14" s="59"/>
      <c r="K14" s="24"/>
      <c r="L14" s="59"/>
      <c r="M14" s="59"/>
      <c r="N14" s="59"/>
      <c r="O14" s="59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</row>
    <row r="15">
      <c r="A15" s="58"/>
      <c r="B15" s="25"/>
      <c r="C15" s="27" t="s">
        <v>52</v>
      </c>
      <c r="D15" s="24">
        <f>IF(countifs(Waivers!$B:$B,"="&amp;D$1,Waivers!$F:$F,"&gt;"&amp;datevalue($B12-1),Waivers!$F:$F,"&lt;"&amp;datevalue($B16+1),Waivers!$G:$G,"&gt;9")&gt;4,5,countifs(Waivers!$B:$B,"="&amp;D$1,Waivers!$F:$F,"&gt;"&amp;datevalue($B12-1),Waivers!$F:$F,"&lt;"&amp;datevalue($B16+1),Waivers!$G:$G,"&gt;9"))</f>
        <v>0</v>
      </c>
      <c r="E15" s="24">
        <f>IF(countifs(Waivers!$B:$B,"="&amp;E$1,Waivers!$F:$F,"&gt;"&amp;datevalue($B12-1),Waivers!$F:$F,"&lt;"&amp;datevalue($B16+1),Waivers!$G:$G,"&gt;9")&gt;4,5,countifs(Waivers!$B:$B,"="&amp;E$1,Waivers!$F:$F,"&gt;"&amp;datevalue($B12-1),Waivers!$F:$F,"&lt;"&amp;datevalue($B16+1),Waivers!$G:$G,"&gt;9"))</f>
        <v>0</v>
      </c>
      <c r="F15" s="59">
        <f>IF(countifs(Waivers!$B:$B,"="&amp;F$1,Waivers!$F:$F,"&gt;"&amp;datevalue($B12-1),Waivers!$F:$F,"&lt;"&amp;datevalue($B16+1),Waivers!$G:$G,"&gt;9")&gt;4,5,countifs(Waivers!$B:$B,"="&amp;F$1,Waivers!$F:$F,"&gt;"&amp;datevalue($B12-1),Waivers!$F:$F,"&lt;"&amp;datevalue($B16+1),Waivers!$G:$G,"&gt;9"))</f>
        <v>3</v>
      </c>
      <c r="G15" s="24">
        <f>IF(countifs(Waivers!$B:$B,"="&amp;G$1,Waivers!$F:$F,"&gt;"&amp;datevalue($B12-1),Waivers!$F:$F,"&lt;"&amp;datevalue($B16+1),Waivers!$G:$G,"&gt;9")&gt;4,5,countifs(Waivers!$B:$B,"="&amp;G$1,Waivers!$F:$F,"&gt;"&amp;datevalue($B12-1),Waivers!$F:$F,"&lt;"&amp;datevalue($B16+1),Waivers!$G:$G,"&gt;9"))</f>
        <v>3</v>
      </c>
      <c r="H15" s="59">
        <f>IF(countifs(Waivers!$B:$B,"="&amp;H$1,Waivers!$F:$F,"&gt;"&amp;datevalue($B12-1),Waivers!$F:$F,"&lt;"&amp;datevalue($B16+1),Waivers!$G:$G,"&gt;9")&gt;4,5,countifs(Waivers!$B:$B,"="&amp;H$1,Waivers!$F:$F,"&gt;"&amp;datevalue($B12-1),Waivers!$F:$F,"&lt;"&amp;datevalue($B16+1),Waivers!$G:$G,"&gt;9"))</f>
        <v>1</v>
      </c>
      <c r="I15" s="24">
        <f>IF(countifs(Waivers!$B:$B,"="&amp;I$1,Waivers!$F:$F,"&gt;"&amp;datevalue($B12-1),Waivers!$F:$F,"&lt;"&amp;datevalue($B16+1),Waivers!$G:$G,"&gt;9")&gt;4,5,countifs(Waivers!$B:$B,"="&amp;I$1,Waivers!$F:$F,"&gt;"&amp;datevalue($B12-1),Waivers!$F:$F,"&lt;"&amp;datevalue($B16+1),Waivers!$G:$G,"&gt;9"))</f>
        <v>3</v>
      </c>
      <c r="J15" s="59">
        <f>IF(countifs(Waivers!$B:$B,"="&amp;J$1,Waivers!$F:$F,"&gt;"&amp;datevalue($B12-1),Waivers!$F:$F,"&lt;"&amp;datevalue($B16+1),Waivers!$G:$G,"&gt;9")&gt;4,5,countifs(Waivers!$B:$B,"="&amp;J$1,Waivers!$F:$F,"&gt;"&amp;datevalue($B12-1),Waivers!$F:$F,"&lt;"&amp;datevalue($B16+1),Waivers!$G:$G,"&gt;9"))</f>
        <v>0</v>
      </c>
      <c r="K15" s="24">
        <f>IF(countifs(Waivers!$B:$B,"="&amp;K$1,Waivers!$F:$F,"&gt;"&amp;datevalue($B12-1),Waivers!$F:$F,"&lt;"&amp;datevalue($B16+1),Waivers!$G:$G,"&gt;9")&gt;4,5,countifs(Waivers!$B:$B,"="&amp;K$1,Waivers!$F:$F,"&gt;"&amp;datevalue($B12-1),Waivers!$F:$F,"&lt;"&amp;datevalue($B16+1),Waivers!$G:$G,"&gt;9"))</f>
        <v>1</v>
      </c>
      <c r="L15" s="59">
        <f>IF(countifs(Waivers!$B:$B,"="&amp;L$1,Waivers!$F:$F,"&gt;"&amp;datevalue($B12-1),Waivers!$F:$F,"&lt;"&amp;datevalue($B16+1),Waivers!$G:$G,"&gt;9")&gt;4,5,countifs(Waivers!$B:$B,"="&amp;L$1,Waivers!$F:$F,"&gt;"&amp;datevalue($B12-1),Waivers!$F:$F,"&lt;"&amp;datevalue($B16+1),Waivers!$G:$G,"&gt;9"))</f>
        <v>0</v>
      </c>
      <c r="M15" s="59">
        <f>IF(countifs(Waivers!$B:$B,"="&amp;M$1,Waivers!$F:$F,"&gt;"&amp;datevalue($B12-1),Waivers!$F:$F,"&lt;"&amp;datevalue($B16+1),Waivers!$G:$G,"&gt;9")&gt;4,5,countifs(Waivers!$B:$B,"="&amp;M$1,Waivers!$F:$F,"&gt;"&amp;datevalue($B12-1),Waivers!$F:$F,"&lt;"&amp;datevalue($B16+1),Waivers!$G:$G,"&gt;9"))</f>
        <v>1</v>
      </c>
      <c r="N15" s="59">
        <f>IF(countifs(Waivers!$B:$B,"="&amp;N$1,Waivers!$F:$F,"&gt;"&amp;datevalue($B12-1),Waivers!$F:$F,"&lt;"&amp;datevalue($B16+1),Waivers!$G:$G,"&gt;9")&gt;4,5,countifs(Waivers!$B:$B,"="&amp;N$1,Waivers!$F:$F,"&gt;"&amp;datevalue($B12-1),Waivers!$F:$F,"&lt;"&amp;datevalue($B16+1),Waivers!$G:$G,"&gt;9"))</f>
        <v>0</v>
      </c>
      <c r="O15" s="59">
        <f>IF(countifs(Waivers!$B:$B,"="&amp;O$1,Waivers!$F:$F,"&gt;"&amp;datevalue($B12-1),Waivers!$F:$F,"&lt;"&amp;datevalue($B16+1),Waivers!$G:$G,"&gt;9")&gt;4,5,countifs(Waivers!$B:$B,"="&amp;O$1,Waivers!$F:$F,"&gt;"&amp;datevalue($B12-1),Waivers!$F:$F,"&lt;"&amp;datevalue($B16+1),Waivers!$G:$G,"&gt;9"))</f>
        <v>0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</row>
    <row r="16">
      <c r="A16" s="63"/>
      <c r="B16" s="64">
        <v>46293.0</v>
      </c>
      <c r="C16" s="63" t="s">
        <v>55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</row>
    <row r="17">
      <c r="A17" s="66" t="s">
        <v>56</v>
      </c>
      <c r="B17" s="67">
        <v>46294.0</v>
      </c>
      <c r="C17" s="68" t="s">
        <v>27</v>
      </c>
      <c r="D17" s="69">
        <f>IFERROR(__xludf.DUMMYFUNCTION("IFNA(filter(Trades!$J:$J,Trades!$B:$B=D$1,Trades!$A:$A&gt;=$B17,Trades!$A:$A&lt;=$B20),0)+IFNA(filter(Trades!$J:$J,Trades!$F:$F=D$1,Trades!$A:$A&gt;=$B17,Trades!$A:$A&lt;=$B20),0)"),0.0)</f>
        <v>0</v>
      </c>
      <c r="E17" s="69">
        <f>IFERROR(__xludf.DUMMYFUNCTION("IFNA(filter(Trades!$J:$J,Trades!$B:$B=E$1,Trades!$A:$A&gt;=$B17,Trades!$A:$A&lt;=$B19),0)+IFNA(filter(Trades!$J:$J,Trades!$F:$F=E$1,Trades!$A:$A&gt;=$B17,Trades!$A:$A&lt;=$B19),0)"),0.0)</f>
        <v>0</v>
      </c>
      <c r="F17" s="69">
        <f>IFERROR(__xludf.DUMMYFUNCTION("IFNA(filter(Trades!$J:$J,Trades!$B:$B=F$1,Trades!$A:$A&gt;=$B17,Trades!$A:$A&lt;=$B19),0)+IFNA(filter(Trades!$J:$J,Trades!$F:$F=F$1,Trades!$A:$A&gt;=$B17,Trades!$A:$A&lt;=$B19),0)"),0.0)</f>
        <v>0</v>
      </c>
      <c r="G17" s="69">
        <f>IFERROR(__xludf.DUMMYFUNCTION("IFNA(filter(Trades!$J:$J,Trades!$B:$B=G$1,Trades!$A:$A&gt;=$B17,Trades!$A:$A&lt;=$B19),0)+IFNA(filter(Trades!$J:$J,Trades!$F:$F=G$1,Trades!$A:$A&gt;=$B17,Trades!$A:$A&lt;=$B19),0)"),0.0)</f>
        <v>0</v>
      </c>
      <c r="H17" s="69">
        <f>IFERROR(__xludf.DUMMYFUNCTION("IFNA(filter(Trades!$J:$J,Trades!$B:$B=H$1,Trades!$A:$A&gt;=$B17,Trades!$A:$A&lt;=$B19),0)+IFNA(filter(Trades!$J:$J,Trades!$F:$F=H$1,Trades!$A:$A&gt;=$B17,Trades!$A:$A&lt;=$B19),0)"),0.0)</f>
        <v>0</v>
      </c>
      <c r="I17" s="69">
        <f>IFERROR(__xludf.DUMMYFUNCTION("IFNA(filter(Trades!$J:$J,Trades!$B:$B=I$1,Trades!$A:$A&gt;=$B17,Trades!$A:$A&lt;=$B19),0)+IFNA(filter(Trades!$J:$J,Trades!$F:$F=I$1,Trades!$A:$A&gt;=$B17,Trades!$A:$A&lt;=$B19),0)"),0.0)</f>
        <v>0</v>
      </c>
      <c r="J17" s="69">
        <f>IFERROR(__xludf.DUMMYFUNCTION("IFNA(filter(Trades!$J:$J,Trades!$B:$B=J$1,Trades!$A:$A&gt;=$B17,Trades!$A:$A&lt;=$B19),0)+IFNA(filter(Trades!$J:$J,Trades!$F:$F=J$1,Trades!$A:$A&gt;=$B17,Trades!$A:$A&lt;=$B19),0)"),0.0)</f>
        <v>0</v>
      </c>
      <c r="K17" s="69">
        <f>IFERROR(__xludf.DUMMYFUNCTION("IFNA(filter(Trades!$J:$J,Trades!$B:$B=K$1,Trades!$A:$A&gt;=$B17,Trades!$A:$A&lt;=$B19),0)+IFNA(filter(Trades!$J:$J,Trades!$F:$F=K$1,Trades!$A:$A&gt;=$B17,Trades!$A:$A&lt;=$B19),0)"),0.0)</f>
        <v>0</v>
      </c>
      <c r="L17" s="69">
        <f>IFERROR(__xludf.DUMMYFUNCTION("IFNA(filter(Trades!$J:$J,Trades!$B:$B=L$1,Trades!$A:$A&gt;=$B17,Trades!$A:$A&lt;=$B19),0)+IFNA(filter(Trades!$J:$J,Trades!$F:$F=L$1,Trades!$A:$A&gt;=$B17,Trades!$A:$A&lt;=$B19),0)"),0.0)</f>
        <v>0</v>
      </c>
      <c r="M17" s="69">
        <f>IFERROR(__xludf.DUMMYFUNCTION("IFNA(filter(Trades!$J:$J,Trades!$B:$B=M$1,Trades!$A:$A&gt;=$B17,Trades!$A:$A&lt;=$B19),0)+IFNA(filter(Trades!$J:$J,Trades!$F:$F=M$1,Trades!$A:$A&gt;=$B17,Trades!$A:$A&lt;=$B19),0)"),0.0)</f>
        <v>0</v>
      </c>
      <c r="N17" s="69">
        <f>IFERROR(__xludf.DUMMYFUNCTION("IFNA(filter(Trades!$J:$J,Trades!$B:$B=N$1,Trades!$A:$A&gt;=$B17,Trades!$A:$A&lt;=$B19),0)+IFNA(filter(Trades!$J:$J,Trades!$F:$F=N$1,Trades!$A:$A&gt;=$B17,Trades!$A:$A&lt;=$B19),0)"),0.0)</f>
        <v>0</v>
      </c>
      <c r="O17" s="69">
        <f>IFERROR(__xludf.DUMMYFUNCTION("IFNA(filter(Trades!$J:$J,Trades!$B:$B=O$1,Trades!$A:$A&gt;=$B17,Trades!$A:$A&lt;=$B19),0)+IFNA(filter(Trades!$J:$J,Trades!$F:$F=O$1,Trades!$A:$A&gt;=$B17,Trades!$A:$A&lt;=$B19),0)"),0.0)</f>
        <v>0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</row>
    <row r="18">
      <c r="A18" s="70"/>
      <c r="B18" s="71"/>
      <c r="C18" s="72" t="s">
        <v>42</v>
      </c>
      <c r="D18" s="73"/>
      <c r="E18" s="73"/>
      <c r="F18" s="74"/>
      <c r="G18" s="73"/>
      <c r="H18" s="74"/>
      <c r="I18" s="73"/>
      <c r="J18" s="74"/>
      <c r="K18" s="73"/>
      <c r="L18" s="74"/>
      <c r="M18" s="74"/>
      <c r="N18" s="74"/>
      <c r="O18" s="7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</row>
    <row r="19">
      <c r="A19" s="70"/>
      <c r="B19" s="71"/>
      <c r="C19" s="72" t="s">
        <v>52</v>
      </c>
      <c r="D19" s="73">
        <f>IF(countifs(Waivers!$B:$B,"="&amp;D$1,Waivers!$F:$F,"&gt;"&amp;datevalue($B16-1),Waivers!$F:$F,"&lt;"&amp;datevalue($B20+1),Waivers!$G:$G,"&gt;9")&gt;4,5,countifs(Waivers!$B:$B,"="&amp;D$1,Waivers!$F:$F,"&gt;"&amp;datevalue($B16-1),Waivers!$F:$F,"&lt;"&amp;datevalue($B20+1),Waivers!$G:$G,"&gt;9"))</f>
        <v>0</v>
      </c>
      <c r="E19" s="73">
        <f>IF(countifs(Waivers!$B:$B,"="&amp;E$1,Waivers!$F:$F,"&gt;"&amp;datevalue($B16-1),Waivers!$F:$F,"&lt;"&amp;datevalue($B20+1),Waivers!$G:$G,"&gt;9")&gt;4,5,countifs(Waivers!$B:$B,"="&amp;E$1,Waivers!$F:$F,"&gt;"&amp;datevalue($B16-1),Waivers!$F:$F,"&lt;"&amp;datevalue($B20+1),Waivers!$G:$G,"&gt;9"))</f>
        <v>0</v>
      </c>
      <c r="F19" s="74">
        <f>IF(countifs(Waivers!$B:$B,"="&amp;F$1,Waivers!$F:$F,"&gt;"&amp;datevalue($B16-1),Waivers!$F:$F,"&lt;"&amp;datevalue($B20+1),Waivers!$G:$G,"&gt;9")&gt;4,5,countifs(Waivers!$B:$B,"="&amp;F$1,Waivers!$F:$F,"&gt;"&amp;datevalue($B16-1),Waivers!$F:$F,"&lt;"&amp;datevalue($B20+1),Waivers!$G:$G,"&gt;9"))</f>
        <v>0</v>
      </c>
      <c r="G19" s="73">
        <f>IF(countifs(Waivers!$B:$B,"="&amp;G$1,Waivers!$F:$F,"&gt;"&amp;datevalue($B16-1),Waivers!$F:$F,"&lt;"&amp;datevalue($B20+1),Waivers!$G:$G,"&gt;9")&gt;4,5,countifs(Waivers!$B:$B,"="&amp;G$1,Waivers!$F:$F,"&gt;"&amp;datevalue($B16-1),Waivers!$F:$F,"&lt;"&amp;datevalue($B20+1),Waivers!$G:$G,"&gt;9"))</f>
        <v>0</v>
      </c>
      <c r="H19" s="74">
        <f>IF(countifs(Waivers!$B:$B,"="&amp;H$1,Waivers!$F:$F,"&gt;"&amp;datevalue($B16-1),Waivers!$F:$F,"&lt;"&amp;datevalue($B20+1),Waivers!$G:$G,"&gt;9")&gt;4,5,countifs(Waivers!$B:$B,"="&amp;H$1,Waivers!$F:$F,"&gt;"&amp;datevalue($B16-1),Waivers!$F:$F,"&lt;"&amp;datevalue($B20+1),Waivers!$G:$G,"&gt;9"))</f>
        <v>2</v>
      </c>
      <c r="I19" s="73">
        <f>IF(countifs(Waivers!$B:$B,"="&amp;I$1,Waivers!$F:$F,"&gt;"&amp;datevalue($B16-1),Waivers!$F:$F,"&lt;"&amp;datevalue($B20+1),Waivers!$G:$G,"&gt;9")&gt;4,5,countifs(Waivers!$B:$B,"="&amp;I$1,Waivers!$F:$F,"&gt;"&amp;datevalue($B16-1),Waivers!$F:$F,"&lt;"&amp;datevalue($B20+1),Waivers!$G:$G,"&gt;9"))</f>
        <v>0</v>
      </c>
      <c r="J19" s="74">
        <f>IF(countifs(Waivers!$B:$B,"="&amp;J$1,Waivers!$F:$F,"&gt;"&amp;datevalue($B16-1),Waivers!$F:$F,"&lt;"&amp;datevalue($B20+1),Waivers!$G:$G,"&gt;9")&gt;4,5,countifs(Waivers!$B:$B,"="&amp;J$1,Waivers!$F:$F,"&gt;"&amp;datevalue($B16-1),Waivers!$F:$F,"&lt;"&amp;datevalue($B20+1),Waivers!$G:$G,"&gt;9"))</f>
        <v>0</v>
      </c>
      <c r="K19" s="73">
        <f>IF(countifs(Waivers!$B:$B,"="&amp;K$1,Waivers!$F:$F,"&gt;"&amp;datevalue($B16-1),Waivers!$F:$F,"&lt;"&amp;datevalue($B20+1),Waivers!$G:$G,"&gt;9")&gt;4,5,countifs(Waivers!$B:$B,"="&amp;K$1,Waivers!$F:$F,"&gt;"&amp;datevalue($B16-1),Waivers!$F:$F,"&lt;"&amp;datevalue($B20+1),Waivers!$G:$G,"&gt;9"))</f>
        <v>1</v>
      </c>
      <c r="L19" s="74">
        <f>IF(countifs(Waivers!$B:$B,"="&amp;L$1,Waivers!$F:$F,"&gt;"&amp;datevalue($B16-1),Waivers!$F:$F,"&lt;"&amp;datevalue($B20+1),Waivers!$G:$G,"&gt;9")&gt;4,5,countifs(Waivers!$B:$B,"="&amp;L$1,Waivers!$F:$F,"&gt;"&amp;datevalue($B16-1),Waivers!$F:$F,"&lt;"&amp;datevalue($B20+1),Waivers!$G:$G,"&gt;9"))</f>
        <v>1</v>
      </c>
      <c r="M19" s="74">
        <f>IF(countifs(Waivers!$B:$B,"="&amp;M$1,Waivers!$F:$F,"&gt;"&amp;datevalue($B16-1),Waivers!$F:$F,"&lt;"&amp;datevalue($B20+1),Waivers!$G:$G,"&gt;9")&gt;4,5,countifs(Waivers!$B:$B,"="&amp;M$1,Waivers!$F:$F,"&gt;"&amp;datevalue($B16-1),Waivers!$F:$F,"&lt;"&amp;datevalue($B20+1),Waivers!$G:$G,"&gt;9"))</f>
        <v>3</v>
      </c>
      <c r="N19" s="74">
        <f>IF(countifs(Waivers!$B:$B,"="&amp;N$1,Waivers!$F:$F,"&gt;"&amp;datevalue($B16-1),Waivers!$F:$F,"&lt;"&amp;datevalue($B20+1),Waivers!$G:$G,"&gt;9")&gt;4,5,countifs(Waivers!$B:$B,"="&amp;N$1,Waivers!$F:$F,"&gt;"&amp;datevalue($B16-1),Waivers!$F:$F,"&lt;"&amp;datevalue($B20+1),Waivers!$G:$G,"&gt;9"))</f>
        <v>1</v>
      </c>
      <c r="O19" s="74">
        <f>IF(countifs(Waivers!$B:$B,"="&amp;O$1,Waivers!$F:$F,"&gt;"&amp;datevalue($B16-1),Waivers!$F:$F,"&lt;"&amp;datevalue($B20+1),Waivers!$G:$G,"&gt;9")&gt;4,5,countifs(Waivers!$B:$B,"="&amp;O$1,Waivers!$F:$F,"&gt;"&amp;datevalue($B16-1),Waivers!$F:$F,"&lt;"&amp;datevalue($B20+1),Waivers!$G:$G,"&gt;9"))</f>
        <v>0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</row>
    <row r="20">
      <c r="A20" s="80"/>
      <c r="B20" s="81">
        <v>46321.0</v>
      </c>
      <c r="C20" s="80" t="s">
        <v>55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</row>
    <row r="21">
      <c r="A21" s="66" t="s">
        <v>83</v>
      </c>
      <c r="B21" s="67">
        <v>46322.0</v>
      </c>
      <c r="C21" s="68" t="s">
        <v>27</v>
      </c>
      <c r="D21" s="69">
        <f>IFERROR(__xludf.DUMMYFUNCTION("IFNA(filter(Trades!$J:$J,Trades!$B:$B=D$1,Trades!$A:$A&gt;=$B21,Trades!$A:$A&lt;=$B24),0)+IFNA(filter(Trades!$J:$J,Trades!$F:$F=D$1,Trades!$A:$A&gt;=$B21,Trades!$A:$A&lt;=$B24),0)"),0.0)</f>
        <v>0</v>
      </c>
      <c r="E21" s="69">
        <f>IFERROR(__xludf.DUMMYFUNCTION("IFNA(filter(Trades!$J:$J,Trades!$B:$B=E$1,Trades!$A:$A&gt;=$B21,Trades!$A:$A&lt;=$B23),0)+IFNA(filter(Trades!$J:$J,Trades!$F:$F=E$1,Trades!$A:$A&gt;=$B21,Trades!$A:$A&lt;=$B23),0)"),0.0)</f>
        <v>0</v>
      </c>
      <c r="F21" s="69">
        <f>IFERROR(__xludf.DUMMYFUNCTION("IFNA(filter(Trades!$J:$J,Trades!$B:$B=F$1,Trades!$A:$A&gt;=$B21,Trades!$A:$A&lt;=$B23),0)+IFNA(filter(Trades!$J:$J,Trades!$F:$F=F$1,Trades!$A:$A&gt;=$B21,Trades!$A:$A&lt;=$B23),0)"),0.0)</f>
        <v>0</v>
      </c>
      <c r="G21" s="69">
        <f>IFERROR(__xludf.DUMMYFUNCTION("IFNA(filter(Trades!$J:$J,Trades!$B:$B=G$1,Trades!$A:$A&gt;=$B21,Trades!$A:$A&lt;=$B23),0)+IFNA(filter(Trades!$J:$J,Trades!$F:$F=G$1,Trades!$A:$A&gt;=$B21,Trades!$A:$A&lt;=$B23),0)"),0.0)</f>
        <v>0</v>
      </c>
      <c r="H21" s="69">
        <f>IFERROR(__xludf.DUMMYFUNCTION("IFNA(filter(Trades!$J:$J,Trades!$B:$B=H$1,Trades!$A:$A&gt;=$B21,Trades!$A:$A&lt;=$B23),0)+IFNA(filter(Trades!$J:$J,Trades!$F:$F=H$1,Trades!$A:$A&gt;=$B21,Trades!$A:$A&lt;=$B23),0)"),0.0)</f>
        <v>0</v>
      </c>
      <c r="I21" s="69">
        <f>IFERROR(__xludf.DUMMYFUNCTION("IFNA(filter(Trades!$J:$J,Trades!$B:$B=I$1,Trades!$A:$A&gt;=$B21,Trades!$A:$A&lt;=$B23),0)+IFNA(filter(Trades!$J:$J,Trades!$F:$F=I$1,Trades!$A:$A&gt;=$B21,Trades!$A:$A&lt;=$B23),0)"),0.0)</f>
        <v>0</v>
      </c>
      <c r="J21" s="69">
        <f>IFERROR(__xludf.DUMMYFUNCTION("IFNA(filter(Trades!$J:$J,Trades!$B:$B=J$1,Trades!$A:$A&gt;=$B21,Trades!$A:$A&lt;=$B23),0)+IFNA(filter(Trades!$J:$J,Trades!$F:$F=J$1,Trades!$A:$A&gt;=$B21,Trades!$A:$A&lt;=$B23),0)"),0.0)</f>
        <v>0</v>
      </c>
      <c r="K21" s="69">
        <f>IFERROR(__xludf.DUMMYFUNCTION("IFNA(filter(Trades!$J:$J,Trades!$B:$B=K$1,Trades!$A:$A&gt;=$B21,Trades!$A:$A&lt;=$B23),0)+IFNA(filter(Trades!$J:$J,Trades!$F:$F=K$1,Trades!$A:$A&gt;=$B21,Trades!$A:$A&lt;=$B23),0)"),0.0)</f>
        <v>0</v>
      </c>
      <c r="L21" s="69">
        <f>IFERROR(__xludf.DUMMYFUNCTION("IFNA(filter(Trades!$J:$J,Trades!$B:$B=L$1,Trades!$A:$A&gt;=$B21,Trades!$A:$A&lt;=$B23),0)+IFNA(filter(Trades!$J:$J,Trades!$F:$F=L$1,Trades!$A:$A&gt;=$B21,Trades!$A:$A&lt;=$B23),0)"),0.0)</f>
        <v>0</v>
      </c>
      <c r="M21" s="69">
        <f>IFERROR(__xludf.DUMMYFUNCTION("IFNA(filter(Trades!$J:$J,Trades!$B:$B=M$1,Trades!$A:$A&gt;=$B21,Trades!$A:$A&lt;=$B23),0)+IFNA(filter(Trades!$J:$J,Trades!$F:$F=M$1,Trades!$A:$A&gt;=$B21,Trades!$A:$A&lt;=$B23),0)"),0.0)</f>
        <v>0</v>
      </c>
      <c r="N21" s="69">
        <f>IFERROR(__xludf.DUMMYFUNCTION("IFNA(filter(Trades!$J:$J,Trades!$B:$B=N$1,Trades!$A:$A&gt;=$B21,Trades!$A:$A&lt;=$B23),0)+IFNA(filter(Trades!$J:$J,Trades!$F:$F=N$1,Trades!$A:$A&gt;=$B21,Trades!$A:$A&lt;=$B23),0)"),0.0)</f>
        <v>0</v>
      </c>
      <c r="O21" s="69">
        <f>IFERROR(__xludf.DUMMYFUNCTION("IFNA(filter(Trades!$J:$J,Trades!$B:$B=O$1,Trades!$A:$A&gt;=$B21,Trades!$A:$A&lt;=$B23),0)+IFNA(filter(Trades!$J:$J,Trades!$F:$F=O$1,Trades!$A:$A&gt;=$B21,Trades!$A:$A&lt;=$B23),0)"),0.0)</f>
        <v>0</v>
      </c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</row>
    <row r="22">
      <c r="A22" s="70"/>
      <c r="B22" s="71"/>
      <c r="C22" s="72" t="s">
        <v>42</v>
      </c>
      <c r="D22" s="73"/>
      <c r="E22" s="73"/>
      <c r="F22" s="74"/>
      <c r="G22" s="73"/>
      <c r="H22" s="74"/>
      <c r="I22" s="73"/>
      <c r="J22" s="74"/>
      <c r="K22" s="73"/>
      <c r="L22" s="74"/>
      <c r="M22" s="74"/>
      <c r="N22" s="74"/>
      <c r="O22" s="74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</row>
    <row r="23">
      <c r="A23" s="70"/>
      <c r="B23" s="71"/>
      <c r="C23" s="72" t="s">
        <v>52</v>
      </c>
      <c r="D23" s="73">
        <f>IF(countifs(Waivers!$B:$B,"="&amp;D$1,Waivers!$F:$F,"&gt;"&amp;datevalue($B20-1),Waivers!$F:$F,"&lt;"&amp;datevalue($B24+1),Waivers!$G:$G,"&gt;9")&gt;4,5,countifs(Waivers!$B:$B,"="&amp;D$1,Waivers!$F:$F,"&gt;"&amp;datevalue($B20-1),Waivers!$F:$F,"&lt;"&amp;datevalue($B24+1),Waivers!$G:$G,"&gt;9"))</f>
        <v>0</v>
      </c>
      <c r="E23" s="73">
        <f>IF(countifs(Waivers!$B:$B,"="&amp;E$1,Waivers!$F:$F,"&gt;"&amp;datevalue($B20-1),Waivers!$F:$F,"&lt;"&amp;datevalue($B24+1),Waivers!$G:$G,"&gt;9")&gt;4,5,countifs(Waivers!$B:$B,"="&amp;E$1,Waivers!$F:$F,"&gt;"&amp;datevalue($B20-1),Waivers!$F:$F,"&lt;"&amp;datevalue($B24+1),Waivers!$G:$G,"&gt;9"))</f>
        <v>0</v>
      </c>
      <c r="F23" s="74">
        <f>IF(countifs(Waivers!$B:$B,"="&amp;F$1,Waivers!$F:$F,"&gt;"&amp;datevalue($B20-1),Waivers!$F:$F,"&lt;"&amp;datevalue($B24+1),Waivers!$G:$G,"&gt;9")&gt;4,5,countifs(Waivers!$B:$B,"="&amp;F$1,Waivers!$F:$F,"&gt;"&amp;datevalue($B20-1),Waivers!$F:$F,"&lt;"&amp;datevalue($B24+1),Waivers!$G:$G,"&gt;9"))</f>
        <v>0</v>
      </c>
      <c r="G23" s="73">
        <f>IF(countifs(Waivers!$B:$B,"="&amp;G$1,Waivers!$F:$F,"&gt;"&amp;datevalue($B20-1),Waivers!$F:$F,"&lt;"&amp;datevalue($B24+1),Waivers!$G:$G,"&gt;9")&gt;4,5,countifs(Waivers!$B:$B,"="&amp;G$1,Waivers!$F:$F,"&gt;"&amp;datevalue($B20-1),Waivers!$F:$F,"&lt;"&amp;datevalue($B24+1),Waivers!$G:$G,"&gt;9"))</f>
        <v>0</v>
      </c>
      <c r="H23" s="74">
        <f>IF(countifs(Waivers!$B:$B,"="&amp;H$1,Waivers!$F:$F,"&gt;"&amp;datevalue($B20-1),Waivers!$F:$F,"&lt;"&amp;datevalue($B24+1),Waivers!$G:$G,"&gt;9")&gt;4,5,countifs(Waivers!$B:$B,"="&amp;H$1,Waivers!$F:$F,"&gt;"&amp;datevalue($B20-1),Waivers!$F:$F,"&lt;"&amp;datevalue($B24+1),Waivers!$G:$G,"&gt;9"))</f>
        <v>0</v>
      </c>
      <c r="I23" s="73">
        <f>IF(countifs(Waivers!$B:$B,"="&amp;I$1,Waivers!$F:$F,"&gt;"&amp;datevalue($B20-1),Waivers!$F:$F,"&lt;"&amp;datevalue($B24+1),Waivers!$G:$G,"&gt;9")&gt;4,5,countifs(Waivers!$B:$B,"="&amp;I$1,Waivers!$F:$F,"&gt;"&amp;datevalue($B20-1),Waivers!$F:$F,"&lt;"&amp;datevalue($B24+1),Waivers!$G:$G,"&gt;9"))</f>
        <v>0</v>
      </c>
      <c r="J23" s="74">
        <f>IF(countifs(Waivers!$B:$B,"="&amp;J$1,Waivers!$F:$F,"&gt;"&amp;datevalue($B20-1),Waivers!$F:$F,"&lt;"&amp;datevalue($B24+1),Waivers!$G:$G,"&gt;9")&gt;4,5,countifs(Waivers!$B:$B,"="&amp;J$1,Waivers!$F:$F,"&gt;"&amp;datevalue($B20-1),Waivers!$F:$F,"&lt;"&amp;datevalue($B24+1),Waivers!$G:$G,"&gt;9"))</f>
        <v>0</v>
      </c>
      <c r="K23" s="73">
        <f>IF(countifs(Waivers!$B:$B,"="&amp;K$1,Waivers!$F:$F,"&gt;"&amp;datevalue($B20-1),Waivers!$F:$F,"&lt;"&amp;datevalue($B24+1),Waivers!$G:$G,"&gt;9")&gt;4,5,countifs(Waivers!$B:$B,"="&amp;K$1,Waivers!$F:$F,"&gt;"&amp;datevalue($B20-1),Waivers!$F:$F,"&lt;"&amp;datevalue($B24+1),Waivers!$G:$G,"&gt;9"))</f>
        <v>0</v>
      </c>
      <c r="L23" s="74">
        <f>IF(countifs(Waivers!$B:$B,"="&amp;L$1,Waivers!$F:$F,"&gt;"&amp;datevalue($B20-1),Waivers!$F:$F,"&lt;"&amp;datevalue($B24+1),Waivers!$G:$G,"&gt;9")&gt;4,5,countifs(Waivers!$B:$B,"="&amp;L$1,Waivers!$F:$F,"&gt;"&amp;datevalue($B20-1),Waivers!$F:$F,"&lt;"&amp;datevalue($B24+1),Waivers!$G:$G,"&gt;9"))</f>
        <v>0</v>
      </c>
      <c r="M23" s="74">
        <f>IF(countifs(Waivers!$B:$B,"="&amp;M$1,Waivers!$F:$F,"&gt;"&amp;datevalue($B20-1),Waivers!$F:$F,"&lt;"&amp;datevalue($B24+1),Waivers!$G:$G,"&gt;9")&gt;4,5,countifs(Waivers!$B:$B,"="&amp;M$1,Waivers!$F:$F,"&gt;"&amp;datevalue($B20-1),Waivers!$F:$F,"&lt;"&amp;datevalue($B24+1),Waivers!$G:$G,"&gt;9"))</f>
        <v>0</v>
      </c>
      <c r="N23" s="74">
        <f>IF(countifs(Waivers!$B:$B,"="&amp;N$1,Waivers!$F:$F,"&gt;"&amp;datevalue($B20-1),Waivers!$F:$F,"&lt;"&amp;datevalue($B24+1),Waivers!$G:$G,"&gt;9")&gt;4,5,countifs(Waivers!$B:$B,"="&amp;N$1,Waivers!$F:$F,"&gt;"&amp;datevalue($B20-1),Waivers!$F:$F,"&lt;"&amp;datevalue($B24+1),Waivers!$G:$G,"&gt;9"))</f>
        <v>0</v>
      </c>
      <c r="O23" s="74">
        <f>IF(countifs(Waivers!$B:$B,"="&amp;O$1,Waivers!$F:$F,"&gt;"&amp;datevalue($B20-1),Waivers!$F:$F,"&lt;"&amp;datevalue($B24+1),Waivers!$G:$G,"&gt;9")&gt;4,5,countifs(Waivers!$B:$B,"="&amp;O$1,Waivers!$F:$F,"&gt;"&amp;datevalue($B20-1),Waivers!$F:$F,"&lt;"&amp;datevalue($B24+1),Waivers!$G:$G,"&gt;9"))</f>
        <v>0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</row>
    <row r="24">
      <c r="A24" s="80"/>
      <c r="B24" s="81">
        <v>46349.0</v>
      </c>
      <c r="C24" s="80" t="s">
        <v>55</v>
      </c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</row>
    <row r="25">
      <c r="A25" s="66" t="s">
        <v>106</v>
      </c>
      <c r="B25" s="67">
        <v>46350.0</v>
      </c>
      <c r="C25" s="68" t="s">
        <v>27</v>
      </c>
      <c r="D25" s="69">
        <f>IFERROR(__xludf.DUMMYFUNCTION("IFNA(filter(Trades!$J:$J,Trades!$B:$B=D$1,Trades!$A:$A&gt;=$B25,Trades!$A:$A&lt;=$B27),0)+IFNA(filter(Trades!$J:$J,Trades!$F:$F=D$1,Trades!$A:$A&gt;=$B25,Trades!$A:$A&lt;=$B27),0)"),0.0)</f>
        <v>0</v>
      </c>
      <c r="E25" s="69">
        <f>IFERROR(__xludf.DUMMYFUNCTION("IFNA(filter(Trades!$J:$J,Trades!$B:$B=E$1,Trades!$A:$A&gt;=$B25,Trades!$A:$A&lt;=$B27),0)+IFNA(filter(Trades!$J:$J,Trades!$F:$F=E$1,Trades!$A:$A&gt;=$B25,Trades!$A:$A&lt;=$B27),0)"),0.0)</f>
        <v>0</v>
      </c>
      <c r="F25" s="69">
        <f>IFERROR(__xludf.DUMMYFUNCTION("IFNA(filter(Trades!$J:$J,Trades!$B:$B=F$1,Trades!$A:$A&gt;=$B25,Trades!$A:$A&lt;=$B27),0)+IFNA(filter(Trades!$J:$J,Trades!$F:$F=F$1,Trades!$A:$A&gt;=$B25,Trades!$A:$A&lt;=$B27),0)"),0.0)</f>
        <v>0</v>
      </c>
      <c r="G25" s="69">
        <f>IFERROR(__xludf.DUMMYFUNCTION("IFNA(filter(Trades!$J:$J,Trades!$B:$B=G$1,Trades!$A:$A&gt;=$B25,Trades!$A:$A&lt;=$B27),0)+IFNA(filter(Trades!$J:$J,Trades!$F:$F=G$1,Trades!$A:$A&gt;=$B25,Trades!$A:$A&lt;=$B27),0)"),0.0)</f>
        <v>0</v>
      </c>
      <c r="H25" s="69">
        <f>IFERROR(__xludf.DUMMYFUNCTION("IFNA(filter(Trades!$J:$J,Trades!$B:$B=H$1,Trades!$A:$A&gt;=$B25,Trades!$A:$A&lt;=$B27),0)+IFNA(filter(Trades!$J:$J,Trades!$F:$F=H$1,Trades!$A:$A&gt;=$B25,Trades!$A:$A&lt;=$B27),0)"),0.0)</f>
        <v>0</v>
      </c>
      <c r="I25" s="69">
        <f>IFERROR(__xludf.DUMMYFUNCTION("IFNA(filter(Trades!$J:$J,Trades!$B:$B=I$1,Trades!$A:$A&gt;=$B25,Trades!$A:$A&lt;=$B27),0)+IFNA(filter(Trades!$J:$J,Trades!$F:$F=I$1,Trades!$A:$A&gt;=$B25,Trades!$A:$A&lt;=$B27),0)"),0.0)</f>
        <v>0</v>
      </c>
      <c r="J25" s="69">
        <f>IFERROR(__xludf.DUMMYFUNCTION("IFNA(filter(Trades!$J:$J,Trades!$B:$B=J$1,Trades!$A:$A&gt;=$B25,Trades!$A:$A&lt;=$B27),0)+IFNA(filter(Trades!$J:$J,Trades!$F:$F=J$1,Trades!$A:$A&gt;=$B25,Trades!$A:$A&lt;=$B27),0)"),0.0)</f>
        <v>0</v>
      </c>
      <c r="K25" s="69">
        <f>IFERROR(__xludf.DUMMYFUNCTION("IFNA(filter(Trades!$J:$J,Trades!$B:$B=K$1,Trades!$A:$A&gt;=$B25,Trades!$A:$A&lt;=$B27),0)+IFNA(filter(Trades!$J:$J,Trades!$F:$F=K$1,Trades!$A:$A&gt;=$B25,Trades!$A:$A&lt;=$B27),0)"),0.0)</f>
        <v>0</v>
      </c>
      <c r="L25" s="69">
        <f>IFERROR(__xludf.DUMMYFUNCTION("IFNA(filter(Trades!$J:$J,Trades!$B:$B=L$1,Trades!$A:$A&gt;=$B25,Trades!$A:$A&lt;=$B27),0)+IFNA(filter(Trades!$J:$J,Trades!$F:$F=L$1,Trades!$A:$A&gt;=$B25,Trades!$A:$A&lt;=$B27),0)"),0.0)</f>
        <v>0</v>
      </c>
      <c r="M25" s="69">
        <f>IFERROR(__xludf.DUMMYFUNCTION("IFNA(filter(Trades!$J:$J,Trades!$B:$B=M$1,Trades!$A:$A&gt;=$B25,Trades!$A:$A&lt;=$B27),0)+IFNA(filter(Trades!$J:$J,Trades!$F:$F=M$1,Trades!$A:$A&gt;=$B25,Trades!$A:$A&lt;=$B27),0)"),0.0)</f>
        <v>0</v>
      </c>
      <c r="N25" s="69">
        <f>IFERROR(__xludf.DUMMYFUNCTION("IFNA(filter(Trades!$J:$J,Trades!$B:$B=N$1,Trades!$A:$A&gt;=$B25,Trades!$A:$A&lt;=$B27),0)+IFNA(filter(Trades!$J:$J,Trades!$F:$F=N$1,Trades!$A:$A&gt;=$B25,Trades!$A:$A&lt;=$B27),0)"),0.0)</f>
        <v>0</v>
      </c>
      <c r="O25" s="69">
        <f>IFERROR(__xludf.DUMMYFUNCTION("IFNA(filter(Trades!$J:$J,Trades!$B:$B=O$1,Trades!$A:$A&gt;=$B25,Trades!$A:$A&lt;=$B27),0)+IFNA(filter(Trades!$J:$J,Trades!$F:$F=O$1,Trades!$A:$A&gt;=$B25,Trades!$A:$A&lt;=$B27),0)"),0.0)</f>
        <v>0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>
      <c r="A26" s="70" t="s">
        <v>111</v>
      </c>
      <c r="B26" s="71"/>
      <c r="C26" s="72" t="s">
        <v>49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>
      <c r="A27" s="80"/>
      <c r="B27" s="81">
        <v>46387.0</v>
      </c>
      <c r="C27" s="80" t="s">
        <v>52</v>
      </c>
      <c r="D27" s="82">
        <f>IF(countifs(Waivers!$B:$B,"="&amp;D$1,Waivers!$F:$F,"&gt;"&amp;datevalue($B25-1),Waivers!$F:$F,"&lt;"&amp;datevalue($B27+1),Waivers!$G:$G,"&gt;9")&gt;4,5,countifs(Waivers!$B:$B,"="&amp;D$1,Waivers!$F:$F,"&gt;"&amp;datevalue($B25-1),Waivers!$F:$F,"&lt;"&amp;datevalue($B27+1),Waivers!$G:$G,"&gt;9"))</f>
        <v>0</v>
      </c>
      <c r="E27" s="82">
        <f>IF(countifs(Waivers!$B:$B,"="&amp;E$1,Waivers!$F:$F,"&gt;"&amp;datevalue($B25-1),Waivers!$F:$F,"&lt;"&amp;datevalue($B27+1),Waivers!$G:$G,"&gt;9")&gt;4,5,countifs(Waivers!$B:$B,"="&amp;E$1,Waivers!$F:$F,"&gt;"&amp;datevalue($B25-1),Waivers!$F:$F,"&lt;"&amp;datevalue($B27+1),Waivers!$G:$G,"&gt;9"))</f>
        <v>0</v>
      </c>
      <c r="F27" s="82">
        <f>IF(countifs(Waivers!$B:$B,"="&amp;F$1,Waivers!$F:$F,"&gt;"&amp;datevalue($B25-1),Waivers!$F:$F,"&lt;"&amp;datevalue($B27+1),Waivers!$G:$G,"&gt;9")&gt;4,5,countifs(Waivers!$B:$B,"="&amp;F$1,Waivers!$F:$F,"&gt;"&amp;datevalue($B25-1),Waivers!$F:$F,"&lt;"&amp;datevalue($B27+1),Waivers!$G:$G,"&gt;9"))</f>
        <v>0</v>
      </c>
      <c r="G27" s="82">
        <f>IF(countifs(Waivers!$B:$B,"="&amp;G$1,Waivers!$F:$F,"&gt;"&amp;datevalue($B25-1),Waivers!$F:$F,"&lt;"&amp;datevalue($B27+1),Waivers!$G:$G,"&gt;9")&gt;4,5,countifs(Waivers!$B:$B,"="&amp;G$1,Waivers!$F:$F,"&gt;"&amp;datevalue($B25-1),Waivers!$F:$F,"&lt;"&amp;datevalue($B27+1),Waivers!$G:$G,"&gt;9"))</f>
        <v>0</v>
      </c>
      <c r="H27" s="82">
        <f>IF(countifs(Waivers!$B:$B,"="&amp;H$1,Waivers!$F:$F,"&gt;"&amp;datevalue($B25-1),Waivers!$F:$F,"&lt;"&amp;datevalue($B27+1),Waivers!$G:$G,"&gt;9")&gt;4,5,countifs(Waivers!$B:$B,"="&amp;H$1,Waivers!$F:$F,"&gt;"&amp;datevalue($B25-1),Waivers!$F:$F,"&lt;"&amp;datevalue($B27+1),Waivers!$G:$G,"&gt;9"))</f>
        <v>0</v>
      </c>
      <c r="I27" s="82">
        <f>IF(countifs(Waivers!$B:$B,"="&amp;I$1,Waivers!$F:$F,"&gt;"&amp;datevalue($B25-1),Waivers!$F:$F,"&lt;"&amp;datevalue($B27+1),Waivers!$G:$G,"&gt;9")&gt;4,5,countifs(Waivers!$B:$B,"="&amp;I$1,Waivers!$F:$F,"&gt;"&amp;datevalue($B25-1),Waivers!$F:$F,"&lt;"&amp;datevalue($B27+1),Waivers!$G:$G,"&gt;9"))</f>
        <v>0</v>
      </c>
      <c r="J27" s="82">
        <f>IF(countifs(Waivers!$B:$B,"="&amp;J$1,Waivers!$F:$F,"&gt;"&amp;datevalue($B25-1),Waivers!$F:$F,"&lt;"&amp;datevalue($B27+1),Waivers!$G:$G,"&gt;9")&gt;4,5,countifs(Waivers!$B:$B,"="&amp;J$1,Waivers!$F:$F,"&gt;"&amp;datevalue($B25-1),Waivers!$F:$F,"&lt;"&amp;datevalue($B27+1),Waivers!$G:$G,"&gt;9"))</f>
        <v>0</v>
      </c>
      <c r="K27" s="82">
        <f>IF(countifs(Waivers!$B:$B,"="&amp;K$1,Waivers!$F:$F,"&gt;"&amp;datevalue($B25-1),Waivers!$F:$F,"&lt;"&amp;datevalue($B27+1),Waivers!$G:$G,"&gt;9")&gt;4,5,countifs(Waivers!$B:$B,"="&amp;K$1,Waivers!$F:$F,"&gt;"&amp;datevalue($B25-1),Waivers!$F:$F,"&lt;"&amp;datevalue($B27+1),Waivers!$G:$G,"&gt;9"))</f>
        <v>0</v>
      </c>
      <c r="L27" s="82">
        <f>IF(countifs(Waivers!$B:$B,"="&amp;L$1,Waivers!$F:$F,"&gt;"&amp;datevalue($B25-1),Waivers!$F:$F,"&lt;"&amp;datevalue($B27+1),Waivers!$G:$G,"&gt;9")&gt;4,5,countifs(Waivers!$B:$B,"="&amp;L$1,Waivers!$F:$F,"&gt;"&amp;datevalue($B25-1),Waivers!$F:$F,"&lt;"&amp;datevalue($B27+1),Waivers!$G:$G,"&gt;9"))</f>
        <v>0</v>
      </c>
      <c r="M27" s="82">
        <f>IF(countifs(Waivers!$B:$B,"="&amp;M$1,Waivers!$F:$F,"&gt;"&amp;datevalue($B25-1),Waivers!$F:$F,"&lt;"&amp;datevalue($B27+1),Waivers!$G:$G,"&gt;9")&gt;4,5,countifs(Waivers!$B:$B,"="&amp;M$1,Waivers!$F:$F,"&gt;"&amp;datevalue($B25-1),Waivers!$F:$F,"&lt;"&amp;datevalue($B27+1),Waivers!$G:$G,"&gt;9"))</f>
        <v>0</v>
      </c>
      <c r="N27" s="82">
        <f>IF(countifs(Waivers!$B:$B,"="&amp;N$1,Waivers!$F:$F,"&gt;"&amp;datevalue($B25-1),Waivers!$F:$F,"&lt;"&amp;datevalue($B27+1),Waivers!$G:$G,"&gt;9")&gt;4,5,countifs(Waivers!$B:$B,"="&amp;N$1,Waivers!$F:$F,"&gt;"&amp;datevalue($B25-1),Waivers!$F:$F,"&lt;"&amp;datevalue($B27+1),Waivers!$G:$G,"&gt;9"))</f>
        <v>0</v>
      </c>
      <c r="O27" s="82">
        <f>IF(countifs(Waivers!$B:$B,"="&amp;O$1,Waivers!$F:$F,"&gt;"&amp;datevalue($B25-1),Waivers!$F:$F,"&lt;"&amp;datevalue($B27+1),Waivers!$G:$G,"&gt;9")&gt;4,5,countifs(Waivers!$B:$B,"="&amp;O$1,Waivers!$F:$F,"&gt;"&amp;datevalue($B25-1),Waivers!$F:$F,"&lt;"&amp;datevalue($B27+1),Waivers!$G:$G,"&gt;9"))</f>
        <v>0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>
      <c r="A28" s="83" t="s">
        <v>135</v>
      </c>
      <c r="B28" s="84">
        <v>46395.0</v>
      </c>
      <c r="C28" s="85" t="s">
        <v>136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>
      <c r="A29" s="83" t="s">
        <v>135</v>
      </c>
      <c r="B29" s="84">
        <v>46397.0</v>
      </c>
      <c r="C29" s="85" t="s">
        <v>138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</row>
    <row r="30">
      <c r="A30" s="16"/>
      <c r="B30" s="16"/>
      <c r="C30" s="16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>
      <c r="A31" s="16"/>
      <c r="B31" s="16"/>
      <c r="C31" s="16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</row>
    <row r="32">
      <c r="A32" s="16"/>
      <c r="B32" s="16"/>
      <c r="C32" s="16"/>
      <c r="D32" s="7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>
      <c r="A33" s="16"/>
      <c r="B33" s="16"/>
      <c r="C33" s="16"/>
      <c r="D33" s="7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>
      <c r="A34" s="16"/>
      <c r="B34" s="16"/>
      <c r="C34" s="16"/>
      <c r="D34" s="7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>
      <c r="A35" s="16"/>
      <c r="B35" s="16"/>
      <c r="C35" s="16"/>
      <c r="D35" s="7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>
      <c r="A36" s="16"/>
      <c r="B36" s="16"/>
      <c r="C36" s="16"/>
      <c r="D36" s="7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>
      <c r="A37" s="16"/>
      <c r="B37" s="16"/>
      <c r="C37" s="16"/>
      <c r="D37" s="7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>
      <c r="A38" s="16"/>
      <c r="B38" s="16"/>
      <c r="C38" s="16"/>
      <c r="D38" s="7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>
      <c r="A39" s="16"/>
      <c r="B39" s="16"/>
      <c r="C39" s="16"/>
      <c r="D39" s="7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>
      <c r="A40" s="16"/>
      <c r="B40" s="16"/>
      <c r="C40" s="16"/>
      <c r="D40" s="7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>
      <c r="A41" s="16"/>
      <c r="B41" s="16"/>
      <c r="C41" s="16"/>
      <c r="D41" s="7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>
      <c r="A42" s="16"/>
      <c r="B42" s="16"/>
      <c r="C42" s="16"/>
      <c r="D42" s="7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>
      <c r="A43" s="16"/>
      <c r="B43" s="16"/>
      <c r="C43" s="16"/>
      <c r="D43" s="7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>
      <c r="A44" s="16"/>
      <c r="B44" s="16"/>
      <c r="C44" s="16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</row>
    <row r="45">
      <c r="A45" s="16"/>
      <c r="B45" s="16"/>
      <c r="C45" s="1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>
      <c r="A46" s="16"/>
      <c r="B46" s="16"/>
      <c r="C46" s="1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>
      <c r="A47" s="16"/>
      <c r="B47" s="16"/>
      <c r="C47" s="16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>
      <c r="A48" s="16"/>
      <c r="B48" s="16"/>
      <c r="C48" s="16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>
      <c r="A49" s="16"/>
      <c r="B49" s="16"/>
      <c r="C49" s="16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>
      <c r="A50" s="16"/>
      <c r="B50" s="16"/>
      <c r="C50" s="16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>
      <c r="A51" s="16"/>
      <c r="B51" s="16"/>
      <c r="C51" s="16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>
      <c r="A52" s="16"/>
      <c r="B52" s="16"/>
      <c r="C52" s="16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>
      <c r="A53" s="16"/>
      <c r="B53" s="16"/>
      <c r="C53" s="16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>
      <c r="A54" s="16"/>
      <c r="B54" s="16"/>
      <c r="C54" s="16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>
      <c r="A55" s="16"/>
      <c r="B55" s="16"/>
      <c r="C55" s="16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>
      <c r="A56" s="16"/>
      <c r="B56" s="16"/>
      <c r="C56" s="16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>
      <c r="A57" s="16"/>
      <c r="B57" s="16"/>
      <c r="C57" s="16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>
      <c r="A58" s="16"/>
      <c r="B58" s="16"/>
      <c r="C58" s="16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>
      <c r="A59" s="16"/>
      <c r="B59" s="16"/>
      <c r="C59" s="16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>
      <c r="A60" s="16"/>
      <c r="B60" s="16"/>
      <c r="C60" s="16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>
      <c r="A61" s="16"/>
      <c r="B61" s="16"/>
      <c r="C61" s="16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>
      <c r="A62" s="16"/>
      <c r="B62" s="16"/>
      <c r="C62" s="16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>
      <c r="A63" s="16"/>
      <c r="B63" s="16"/>
      <c r="C63" s="16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>
      <c r="A64" s="16"/>
      <c r="B64" s="16"/>
      <c r="C64" s="16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>
      <c r="A65" s="16"/>
      <c r="B65" s="16"/>
      <c r="C65" s="16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>
      <c r="A66" s="16"/>
      <c r="B66" s="16"/>
      <c r="C66" s="16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</row>
    <row r="67">
      <c r="A67" s="16"/>
      <c r="B67" s="16"/>
      <c r="C67" s="16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>
      <c r="A68" s="16"/>
      <c r="B68" s="16"/>
      <c r="C68" s="16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>
      <c r="A69" s="16"/>
      <c r="B69" s="16"/>
      <c r="C69" s="16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>
      <c r="A70" s="16"/>
      <c r="B70" s="16"/>
      <c r="C70" s="16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>
      <c r="A71" s="16"/>
      <c r="B71" s="16"/>
      <c r="C71" s="16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>
      <c r="A72" s="16"/>
      <c r="B72" s="16"/>
      <c r="C72" s="16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>
      <c r="A73" s="16"/>
      <c r="B73" s="16"/>
      <c r="C73" s="16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>
      <c r="A74" s="16"/>
      <c r="B74" s="16"/>
      <c r="C74" s="16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>
      <c r="A75" s="16"/>
      <c r="B75" s="16"/>
      <c r="C75" s="16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</row>
    <row r="76">
      <c r="A76" s="16"/>
      <c r="B76" s="16"/>
      <c r="C76" s="16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>
      <c r="A77" s="16"/>
      <c r="B77" s="16"/>
      <c r="C77" s="1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>
      <c r="A78" s="16"/>
      <c r="B78" s="16"/>
      <c r="C78" s="16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>
      <c r="A79" s="16"/>
      <c r="B79" s="16"/>
      <c r="C79" s="16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</row>
    <row r="80">
      <c r="A80" s="16"/>
      <c r="B80" s="16"/>
      <c r="C80" s="16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>
      <c r="A81" s="16"/>
      <c r="B81" s="16"/>
      <c r="C81" s="16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>
      <c r="A82" s="16"/>
      <c r="B82" s="16"/>
      <c r="C82" s="16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>
      <c r="A83" s="16"/>
      <c r="B83" s="16"/>
      <c r="C83" s="16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>
      <c r="A84" s="16"/>
      <c r="B84" s="16"/>
      <c r="C84" s="16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>
      <c r="A85" s="16"/>
      <c r="B85" s="16"/>
      <c r="C85" s="16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>
      <c r="A86" s="16"/>
      <c r="B86" s="16"/>
      <c r="C86" s="16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>
      <c r="A87" s="16"/>
      <c r="B87" s="16"/>
      <c r="C87" s="16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>
      <c r="A88" s="16"/>
      <c r="B88" s="16"/>
      <c r="C88" s="16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</row>
    <row r="89">
      <c r="A89" s="16"/>
      <c r="B89" s="16"/>
      <c r="C89" s="16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>
      <c r="A90" s="16"/>
      <c r="B90" s="16"/>
      <c r="C90" s="16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>
      <c r="A91" s="16"/>
      <c r="B91" s="16"/>
      <c r="C91" s="16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>
      <c r="A92" s="16"/>
      <c r="B92" s="16"/>
      <c r="C92" s="16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>
      <c r="A93" s="16"/>
      <c r="B93" s="16"/>
      <c r="C93" s="16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>
      <c r="A94" s="16"/>
      <c r="B94" s="16"/>
      <c r="C94" s="16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</row>
    <row r="95">
      <c r="A95" s="16"/>
      <c r="B95" s="16"/>
      <c r="C95" s="16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>
      <c r="A96" s="16"/>
      <c r="B96" s="16"/>
      <c r="C96" s="16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>
      <c r="A97" s="16"/>
      <c r="B97" s="16"/>
      <c r="C97" s="16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>
      <c r="A98" s="16"/>
      <c r="B98" s="16"/>
      <c r="C98" s="16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>
      <c r="A99" s="16"/>
      <c r="B99" s="16"/>
      <c r="C99" s="1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>
      <c r="A100" s="16"/>
      <c r="B100" s="16"/>
      <c r="C100" s="16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>
      <c r="A101" s="16"/>
      <c r="B101" s="16"/>
      <c r="C101" s="16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>
      <c r="A102" s="16"/>
      <c r="B102" s="16"/>
      <c r="C102" s="16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>
      <c r="A103" s="16"/>
      <c r="B103" s="16"/>
      <c r="C103" s="16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>
      <c r="A104" s="16"/>
      <c r="B104" s="16"/>
      <c r="C104" s="16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>
      <c r="A105" s="16"/>
      <c r="B105" s="16"/>
      <c r="C105" s="16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>
      <c r="A106" s="16"/>
      <c r="B106" s="16"/>
      <c r="C106" s="16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>
      <c r="A107" s="16"/>
      <c r="B107" s="16"/>
      <c r="C107" s="16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>
      <c r="A108" s="16"/>
      <c r="B108" s="16"/>
      <c r="C108" s="16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>
      <c r="A109" s="16"/>
      <c r="B109" s="16"/>
      <c r="C109" s="16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>
      <c r="A110" s="16"/>
      <c r="B110" s="16"/>
      <c r="C110" s="16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>
      <c r="A111" s="16"/>
      <c r="B111" s="16"/>
      <c r="C111" s="16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>
      <c r="A112" s="16"/>
      <c r="B112" s="16"/>
      <c r="C112" s="16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>
      <c r="A113" s="16"/>
      <c r="B113" s="16"/>
      <c r="C113" s="16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</row>
    <row r="114">
      <c r="A114" s="16"/>
      <c r="B114" s="16"/>
      <c r="C114" s="16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>
      <c r="A115" s="16"/>
      <c r="B115" s="16"/>
      <c r="C115" s="16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>
      <c r="A116" s="16"/>
      <c r="B116" s="16"/>
      <c r="C116" s="16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>
      <c r="A117" s="16"/>
      <c r="B117" s="16"/>
      <c r="C117" s="16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>
      <c r="A118" s="16"/>
      <c r="B118" s="16"/>
      <c r="C118" s="16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</row>
    <row r="119">
      <c r="A119" s="16"/>
      <c r="B119" s="16"/>
      <c r="C119" s="16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</row>
    <row r="120">
      <c r="A120" s="16"/>
      <c r="B120" s="16"/>
      <c r="C120" s="16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</row>
    <row r="121">
      <c r="A121" s="16"/>
      <c r="B121" s="16"/>
      <c r="C121" s="16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</row>
    <row r="122">
      <c r="A122" s="16"/>
      <c r="B122" s="16"/>
      <c r="C122" s="16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</row>
    <row r="123">
      <c r="A123" s="16"/>
      <c r="B123" s="16"/>
      <c r="C123" s="16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>
      <c r="A124" s="16"/>
      <c r="B124" s="16"/>
      <c r="C124" s="16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</row>
    <row r="125">
      <c r="A125" s="16"/>
      <c r="B125" s="16"/>
      <c r="C125" s="16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</row>
    <row r="126">
      <c r="A126" s="16"/>
      <c r="B126" s="16"/>
      <c r="C126" s="16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>
      <c r="A127" s="16"/>
      <c r="B127" s="16"/>
      <c r="C127" s="16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</row>
    <row r="128">
      <c r="A128" s="16"/>
      <c r="B128" s="16"/>
      <c r="C128" s="16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>
      <c r="A129" s="16"/>
      <c r="B129" s="16"/>
      <c r="C129" s="16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>
      <c r="A130" s="16"/>
      <c r="B130" s="16"/>
      <c r="C130" s="16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>
      <c r="A131" s="16"/>
      <c r="B131" s="16"/>
      <c r="C131" s="16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>
      <c r="A132" s="16"/>
      <c r="B132" s="16"/>
      <c r="C132" s="16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</row>
    <row r="133">
      <c r="A133" s="16"/>
      <c r="B133" s="16"/>
      <c r="C133" s="16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>
      <c r="A134" s="16"/>
      <c r="B134" s="16"/>
      <c r="C134" s="16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>
      <c r="A135" s="16"/>
      <c r="B135" s="16"/>
      <c r="C135" s="16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>
      <c r="A136" s="16"/>
      <c r="B136" s="16"/>
      <c r="C136" s="16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>
      <c r="A137" s="16"/>
      <c r="B137" s="16"/>
      <c r="C137" s="16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>
      <c r="A138" s="16"/>
      <c r="B138" s="16"/>
      <c r="C138" s="16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>
      <c r="A139" s="16"/>
      <c r="B139" s="16"/>
      <c r="C139" s="16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>
      <c r="A140" s="16"/>
      <c r="B140" s="16"/>
      <c r="C140" s="16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>
      <c r="A141" s="16"/>
      <c r="B141" s="16"/>
      <c r="C141" s="16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>
      <c r="A142" s="16"/>
      <c r="B142" s="16"/>
      <c r="C142" s="16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</row>
    <row r="143">
      <c r="A143" s="16"/>
      <c r="B143" s="16"/>
      <c r="C143" s="16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</row>
    <row r="144">
      <c r="A144" s="16"/>
      <c r="B144" s="16"/>
      <c r="C144" s="16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>
      <c r="A145" s="16"/>
      <c r="B145" s="16"/>
      <c r="C145" s="16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>
      <c r="A146" s="16"/>
      <c r="B146" s="16"/>
      <c r="C146" s="16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</row>
    <row r="147">
      <c r="A147" s="16"/>
      <c r="B147" s="16"/>
      <c r="C147" s="16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>
      <c r="A148" s="16"/>
      <c r="B148" s="16"/>
      <c r="C148" s="16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>
      <c r="A149" s="16"/>
      <c r="B149" s="16"/>
      <c r="C149" s="16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>
      <c r="A150" s="16"/>
      <c r="B150" s="16"/>
      <c r="C150" s="16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</row>
    <row r="151">
      <c r="A151" s="16"/>
      <c r="B151" s="16"/>
      <c r="C151" s="16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</row>
    <row r="152">
      <c r="A152" s="16"/>
      <c r="B152" s="16"/>
      <c r="C152" s="1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>
      <c r="A153" s="16"/>
      <c r="B153" s="16"/>
      <c r="C153" s="16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>
      <c r="A154" s="16"/>
      <c r="B154" s="16"/>
      <c r="C154" s="16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>
      <c r="A155" s="16"/>
      <c r="B155" s="16"/>
      <c r="C155" s="16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>
      <c r="A156" s="16"/>
      <c r="B156" s="16"/>
      <c r="C156" s="16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>
      <c r="A157" s="16"/>
      <c r="B157" s="16"/>
      <c r="C157" s="16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>
      <c r="A158" s="16"/>
      <c r="B158" s="16"/>
      <c r="C158" s="16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>
      <c r="A159" s="16"/>
      <c r="B159" s="16"/>
      <c r="C159" s="16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>
      <c r="A160" s="16"/>
      <c r="B160" s="16"/>
      <c r="C160" s="16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>
      <c r="A161" s="16"/>
      <c r="B161" s="16"/>
      <c r="C161" s="16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>
      <c r="A162" s="16"/>
      <c r="B162" s="16"/>
      <c r="C162" s="16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>
      <c r="A163" s="16"/>
      <c r="B163" s="16"/>
      <c r="C163" s="16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>
      <c r="A164" s="16"/>
      <c r="B164" s="16"/>
      <c r="C164" s="16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>
      <c r="A165" s="16"/>
      <c r="B165" s="16"/>
      <c r="C165" s="16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>
      <c r="A166" s="16"/>
      <c r="B166" s="16"/>
      <c r="C166" s="16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</row>
    <row r="167">
      <c r="A167" s="16"/>
      <c r="B167" s="16"/>
      <c r="C167" s="16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>
      <c r="A168" s="16"/>
      <c r="B168" s="16"/>
      <c r="C168" s="16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>
      <c r="A169" s="16"/>
      <c r="B169" s="16"/>
      <c r="C169" s="16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>
      <c r="A170" s="16"/>
      <c r="B170" s="16"/>
      <c r="C170" s="16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>
      <c r="A171" s="16"/>
      <c r="B171" s="16"/>
      <c r="C171" s="16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>
      <c r="A172" s="16"/>
      <c r="B172" s="16"/>
      <c r="C172" s="16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>
      <c r="A173" s="16"/>
      <c r="B173" s="16"/>
      <c r="C173" s="16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>
      <c r="A174" s="16"/>
      <c r="B174" s="16"/>
      <c r="C174" s="16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>
      <c r="A175" s="16"/>
      <c r="B175" s="16"/>
      <c r="C175" s="16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>
      <c r="A176" s="16"/>
      <c r="B176" s="16"/>
      <c r="C176" s="16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>
      <c r="A177" s="16"/>
      <c r="B177" s="16"/>
      <c r="C177" s="16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>
      <c r="A178" s="16"/>
      <c r="B178" s="16"/>
      <c r="C178" s="16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>
      <c r="A179" s="16"/>
      <c r="B179" s="16"/>
      <c r="C179" s="16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>
      <c r="A180" s="16"/>
      <c r="B180" s="16"/>
      <c r="C180" s="16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>
      <c r="A181" s="16"/>
      <c r="B181" s="16"/>
      <c r="C181" s="16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>
      <c r="A182" s="16"/>
      <c r="B182" s="16"/>
      <c r="C182" s="16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>
      <c r="A183" s="16"/>
      <c r="B183" s="16"/>
      <c r="C183" s="16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>
      <c r="A184" s="16"/>
      <c r="B184" s="16"/>
      <c r="C184" s="16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>
      <c r="A185" s="16"/>
      <c r="B185" s="16"/>
      <c r="C185" s="16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>
      <c r="A186" s="16"/>
      <c r="B186" s="16"/>
      <c r="C186" s="16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>
      <c r="A187" s="16"/>
      <c r="B187" s="16"/>
      <c r="C187" s="16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>
      <c r="A188" s="16"/>
      <c r="B188" s="16"/>
      <c r="C188" s="16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>
      <c r="A189" s="16"/>
      <c r="B189" s="16"/>
      <c r="C189" s="16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>
      <c r="A190" s="16"/>
      <c r="B190" s="16"/>
      <c r="C190" s="16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>
      <c r="A191" s="16"/>
      <c r="B191" s="16"/>
      <c r="C191" s="16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>
      <c r="A192" s="16"/>
      <c r="B192" s="16"/>
      <c r="C192" s="16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>
      <c r="A193" s="16"/>
      <c r="B193" s="16"/>
      <c r="C193" s="16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>
      <c r="A194" s="16"/>
      <c r="B194" s="16"/>
      <c r="C194" s="16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</row>
    <row r="195">
      <c r="A195" s="16"/>
      <c r="B195" s="16"/>
      <c r="C195" s="16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>
      <c r="A196" s="16"/>
      <c r="B196" s="16"/>
      <c r="C196" s="16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>
      <c r="A197" s="16"/>
      <c r="B197" s="16"/>
      <c r="C197" s="16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>
      <c r="A198" s="16"/>
      <c r="B198" s="16"/>
      <c r="C198" s="16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>
      <c r="A199" s="16"/>
      <c r="B199" s="16"/>
      <c r="C199" s="16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>
      <c r="A200" s="16"/>
      <c r="B200" s="16"/>
      <c r="C200" s="16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>
      <c r="A201" s="16"/>
      <c r="B201" s="16"/>
      <c r="C201" s="16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>
      <c r="A202" s="16"/>
      <c r="B202" s="16"/>
      <c r="C202" s="16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>
      <c r="A203" s="16"/>
      <c r="B203" s="16"/>
      <c r="C203" s="16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>
      <c r="A204" s="16"/>
      <c r="B204" s="16"/>
      <c r="C204" s="16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>
      <c r="A205" s="16"/>
      <c r="B205" s="16"/>
      <c r="C205" s="16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>
      <c r="A206" s="16"/>
      <c r="B206" s="16"/>
      <c r="C206" s="16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>
      <c r="A207" s="16"/>
      <c r="B207" s="16"/>
      <c r="C207" s="16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>
      <c r="A208" s="16"/>
      <c r="B208" s="16"/>
      <c r="C208" s="16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>
      <c r="A209" s="16"/>
      <c r="B209" s="16"/>
      <c r="C209" s="16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>
      <c r="A210" s="16"/>
      <c r="B210" s="16"/>
      <c r="C210" s="16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>
      <c r="A211" s="16"/>
      <c r="B211" s="16"/>
      <c r="C211" s="16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>
      <c r="A212" s="16"/>
      <c r="B212" s="16"/>
      <c r="C212" s="16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>
      <c r="A213" s="16"/>
      <c r="B213" s="16"/>
      <c r="C213" s="16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>
      <c r="A214" s="16"/>
      <c r="B214" s="16"/>
      <c r="C214" s="16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>
      <c r="A215" s="16"/>
      <c r="B215" s="16"/>
      <c r="C215" s="16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>
      <c r="A216" s="16"/>
      <c r="B216" s="16"/>
      <c r="C216" s="16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>
      <c r="A217" s="16"/>
      <c r="B217" s="16"/>
      <c r="C217" s="16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>
      <c r="A218" s="16"/>
      <c r="B218" s="16"/>
      <c r="C218" s="16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>
      <c r="A219" s="16"/>
      <c r="B219" s="16"/>
      <c r="C219" s="16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>
      <c r="A220" s="16"/>
      <c r="B220" s="16"/>
      <c r="C220" s="16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>
      <c r="A221" s="16"/>
      <c r="B221" s="16"/>
      <c r="C221" s="16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</row>
    <row r="222">
      <c r="A222" s="16"/>
      <c r="B222" s="16"/>
      <c r="C222" s="16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</row>
    <row r="223">
      <c r="A223" s="16"/>
      <c r="B223" s="16"/>
      <c r="C223" s="16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</row>
    <row r="224">
      <c r="A224" s="16"/>
      <c r="B224" s="16"/>
      <c r="C224" s="16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</row>
    <row r="225">
      <c r="A225" s="16"/>
      <c r="B225" s="16"/>
      <c r="C225" s="16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>
      <c r="A226" s="16"/>
      <c r="B226" s="16"/>
      <c r="C226" s="16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</row>
    <row r="227">
      <c r="A227" s="16"/>
      <c r="B227" s="16"/>
      <c r="C227" s="16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</row>
    <row r="228">
      <c r="A228" s="16"/>
      <c r="B228" s="16"/>
      <c r="C228" s="16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>
      <c r="A229" s="16"/>
      <c r="B229" s="16"/>
      <c r="C229" s="16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>
      <c r="A230" s="16"/>
      <c r="B230" s="16"/>
      <c r="C230" s="16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>
      <c r="A231" s="16"/>
      <c r="B231" s="16"/>
      <c r="C231" s="16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</row>
    <row r="232">
      <c r="A232" s="16"/>
      <c r="B232" s="16"/>
      <c r="C232" s="16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</row>
    <row r="233">
      <c r="A233" s="16"/>
      <c r="B233" s="16"/>
      <c r="C233" s="16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</row>
    <row r="234">
      <c r="A234" s="16"/>
      <c r="B234" s="16"/>
      <c r="C234" s="16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</row>
    <row r="235">
      <c r="A235" s="16"/>
      <c r="B235" s="16"/>
      <c r="C235" s="16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>
      <c r="A236" s="16"/>
      <c r="B236" s="16"/>
      <c r="C236" s="16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>
      <c r="A237" s="16"/>
      <c r="B237" s="16"/>
      <c r="C237" s="16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</row>
    <row r="238">
      <c r="A238" s="16"/>
      <c r="B238" s="16"/>
      <c r="C238" s="16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>
      <c r="A239" s="16"/>
      <c r="B239" s="16"/>
      <c r="C239" s="16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>
      <c r="A240" s="16"/>
      <c r="B240" s="16"/>
      <c r="C240" s="16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>
      <c r="A241" s="16"/>
      <c r="B241" s="16"/>
      <c r="C241" s="16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>
      <c r="A242" s="16"/>
      <c r="B242" s="16"/>
      <c r="C242" s="16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>
      <c r="A243" s="16"/>
      <c r="B243" s="16"/>
      <c r="C243" s="16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>
      <c r="A244" s="16"/>
      <c r="B244" s="16"/>
      <c r="C244" s="16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</row>
    <row r="245">
      <c r="A245" s="16"/>
      <c r="B245" s="16"/>
      <c r="C245" s="16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>
      <c r="A246" s="16"/>
      <c r="B246" s="16"/>
      <c r="C246" s="16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>
      <c r="A247" s="16"/>
      <c r="B247" s="16"/>
      <c r="C247" s="16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</row>
    <row r="248">
      <c r="A248" s="16"/>
      <c r="B248" s="16"/>
      <c r="C248" s="16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</row>
    <row r="249">
      <c r="A249" s="16"/>
      <c r="B249" s="16"/>
      <c r="C249" s="16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</row>
    <row r="250">
      <c r="A250" s="16"/>
      <c r="B250" s="16"/>
      <c r="C250" s="16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</row>
    <row r="251">
      <c r="A251" s="16"/>
      <c r="B251" s="16"/>
      <c r="C251" s="16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</row>
    <row r="252">
      <c r="A252" s="16"/>
      <c r="B252" s="16"/>
      <c r="C252" s="16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</row>
    <row r="253">
      <c r="A253" s="16"/>
      <c r="B253" s="16"/>
      <c r="C253" s="16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</row>
    <row r="254">
      <c r="A254" s="16"/>
      <c r="B254" s="16"/>
      <c r="C254" s="16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</row>
    <row r="255">
      <c r="A255" s="16"/>
      <c r="B255" s="16"/>
      <c r="C255" s="16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</row>
    <row r="256">
      <c r="A256" s="16"/>
      <c r="B256" s="16"/>
      <c r="C256" s="16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</row>
    <row r="257">
      <c r="A257" s="16"/>
      <c r="B257" s="16"/>
      <c r="C257" s="16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</row>
    <row r="258">
      <c r="A258" s="16"/>
      <c r="B258" s="16"/>
      <c r="C258" s="16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</row>
    <row r="259">
      <c r="A259" s="16"/>
      <c r="B259" s="16"/>
      <c r="C259" s="16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</row>
    <row r="260">
      <c r="A260" s="16"/>
      <c r="B260" s="16"/>
      <c r="C260" s="16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</row>
    <row r="261">
      <c r="A261" s="16"/>
      <c r="B261" s="16"/>
      <c r="C261" s="16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</row>
    <row r="262">
      <c r="A262" s="16"/>
      <c r="B262" s="16"/>
      <c r="C262" s="16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</row>
    <row r="263">
      <c r="A263" s="16"/>
      <c r="B263" s="16"/>
      <c r="C263" s="16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>
      <c r="A264" s="16"/>
      <c r="B264" s="16"/>
      <c r="C264" s="16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</row>
    <row r="265">
      <c r="A265" s="16"/>
      <c r="B265" s="16"/>
      <c r="C265" s="16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</row>
    <row r="266">
      <c r="A266" s="16"/>
      <c r="B266" s="16"/>
      <c r="C266" s="16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</row>
    <row r="267">
      <c r="A267" s="16"/>
      <c r="B267" s="16"/>
      <c r="C267" s="16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</row>
    <row r="268">
      <c r="A268" s="16"/>
      <c r="B268" s="16"/>
      <c r="C268" s="16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</row>
    <row r="269">
      <c r="A269" s="16"/>
      <c r="B269" s="16"/>
      <c r="C269" s="16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</row>
    <row r="270">
      <c r="A270" s="16"/>
      <c r="B270" s="16"/>
      <c r="C270" s="16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</row>
    <row r="271">
      <c r="A271" s="16"/>
      <c r="B271" s="16"/>
      <c r="C271" s="16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</row>
    <row r="272">
      <c r="A272" s="16"/>
      <c r="B272" s="16"/>
      <c r="C272" s="16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</row>
    <row r="273">
      <c r="A273" s="16"/>
      <c r="B273" s="16"/>
      <c r="C273" s="16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</row>
    <row r="274">
      <c r="A274" s="16"/>
      <c r="B274" s="16"/>
      <c r="C274" s="16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</row>
    <row r="275">
      <c r="A275" s="16"/>
      <c r="B275" s="16"/>
      <c r="C275" s="16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</row>
    <row r="276">
      <c r="A276" s="16"/>
      <c r="B276" s="16"/>
      <c r="C276" s="16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</row>
    <row r="277">
      <c r="A277" s="16"/>
      <c r="B277" s="16"/>
      <c r="C277" s="16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>
      <c r="A278" s="16"/>
      <c r="B278" s="16"/>
      <c r="C278" s="16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>
      <c r="A279" s="16"/>
      <c r="B279" s="16"/>
      <c r="C279" s="16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>
      <c r="A280" s="16"/>
      <c r="B280" s="16"/>
      <c r="C280" s="16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>
      <c r="A281" s="16"/>
      <c r="B281" s="16"/>
      <c r="C281" s="16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>
      <c r="A282" s="16"/>
      <c r="B282" s="16"/>
      <c r="C282" s="16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>
      <c r="A283" s="16"/>
      <c r="B283" s="16"/>
      <c r="C283" s="16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>
      <c r="A284" s="16"/>
      <c r="B284" s="16"/>
      <c r="C284" s="16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>
      <c r="A285" s="16"/>
      <c r="B285" s="16"/>
      <c r="C285" s="16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>
      <c r="A286" s="16"/>
      <c r="B286" s="16"/>
      <c r="C286" s="16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>
      <c r="A287" s="16"/>
      <c r="B287" s="16"/>
      <c r="C287" s="16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>
      <c r="A288" s="16"/>
      <c r="B288" s="16"/>
      <c r="C288" s="16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>
      <c r="A289" s="16"/>
      <c r="B289" s="16"/>
      <c r="C289" s="16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>
      <c r="A290" s="16"/>
      <c r="B290" s="16"/>
      <c r="C290" s="16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>
      <c r="A291" s="16"/>
      <c r="B291" s="16"/>
      <c r="C291" s="16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>
      <c r="A292" s="16"/>
      <c r="B292" s="16"/>
      <c r="C292" s="16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>
      <c r="A293" s="16"/>
      <c r="B293" s="16"/>
      <c r="C293" s="16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>
      <c r="A294" s="16"/>
      <c r="B294" s="16"/>
      <c r="C294" s="16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>
      <c r="A295" s="16"/>
      <c r="B295" s="16"/>
      <c r="C295" s="16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>
      <c r="A296" s="16"/>
      <c r="B296" s="16"/>
      <c r="C296" s="16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>
      <c r="A297" s="16"/>
      <c r="B297" s="16"/>
      <c r="C297" s="16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>
      <c r="A298" s="16"/>
      <c r="B298" s="16"/>
      <c r="C298" s="16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>
      <c r="A299" s="16"/>
      <c r="B299" s="16"/>
      <c r="C299" s="16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>
      <c r="A300" s="16"/>
      <c r="B300" s="16"/>
      <c r="C300" s="16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>
      <c r="A301" s="16"/>
      <c r="B301" s="16"/>
      <c r="C301" s="16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>
      <c r="A302" s="16"/>
      <c r="B302" s="16"/>
      <c r="C302" s="16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>
      <c r="A303" s="16"/>
      <c r="B303" s="16"/>
      <c r="C303" s="16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>
      <c r="A304" s="16"/>
      <c r="B304" s="16"/>
      <c r="C304" s="16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>
      <c r="A305" s="16"/>
      <c r="B305" s="16"/>
      <c r="C305" s="16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>
      <c r="A306" s="16"/>
      <c r="B306" s="16"/>
      <c r="C306" s="16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>
      <c r="A307" s="16"/>
      <c r="B307" s="16"/>
      <c r="C307" s="16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>
      <c r="A308" s="16"/>
      <c r="B308" s="16"/>
      <c r="C308" s="16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>
      <c r="A309" s="16"/>
      <c r="B309" s="16"/>
      <c r="C309" s="16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>
      <c r="A310" s="16"/>
      <c r="B310" s="16"/>
      <c r="C310" s="16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>
      <c r="A311" s="16"/>
      <c r="B311" s="16"/>
      <c r="C311" s="16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>
      <c r="A312" s="16"/>
      <c r="B312" s="16"/>
      <c r="C312" s="16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>
      <c r="A313" s="16"/>
      <c r="B313" s="16"/>
      <c r="C313" s="16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>
      <c r="A314" s="16"/>
      <c r="B314" s="16"/>
      <c r="C314" s="16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>
      <c r="A315" s="16"/>
      <c r="B315" s="16"/>
      <c r="C315" s="16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>
      <c r="A316" s="16"/>
      <c r="B316" s="16"/>
      <c r="C316" s="16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>
      <c r="A317" s="16"/>
      <c r="B317" s="16"/>
      <c r="C317" s="16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>
      <c r="A318" s="16"/>
      <c r="B318" s="16"/>
      <c r="C318" s="16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>
      <c r="A319" s="16"/>
      <c r="B319" s="16"/>
      <c r="C319" s="16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>
      <c r="A320" s="16"/>
      <c r="B320" s="16"/>
      <c r="C320" s="16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>
      <c r="A321" s="16"/>
      <c r="B321" s="16"/>
      <c r="C321" s="16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>
      <c r="A322" s="16"/>
      <c r="B322" s="16"/>
      <c r="C322" s="16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>
      <c r="A323" s="16"/>
      <c r="B323" s="16"/>
      <c r="C323" s="16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>
      <c r="A324" s="16"/>
      <c r="B324" s="16"/>
      <c r="C324" s="16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>
      <c r="A325" s="16"/>
      <c r="B325" s="16"/>
      <c r="C325" s="16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>
      <c r="A326" s="16"/>
      <c r="B326" s="16"/>
      <c r="C326" s="16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>
      <c r="A327" s="16"/>
      <c r="B327" s="16"/>
      <c r="C327" s="16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>
      <c r="A328" s="16"/>
      <c r="B328" s="16"/>
      <c r="C328" s="16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>
      <c r="A329" s="16"/>
      <c r="B329" s="16"/>
      <c r="C329" s="16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>
      <c r="A330" s="16"/>
      <c r="B330" s="16"/>
      <c r="C330" s="16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>
      <c r="A331" s="16"/>
      <c r="B331" s="16"/>
      <c r="C331" s="16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>
      <c r="A332" s="16"/>
      <c r="B332" s="16"/>
      <c r="C332" s="16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>
      <c r="A333" s="16"/>
      <c r="B333" s="16"/>
      <c r="C333" s="16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>
      <c r="A334" s="16"/>
      <c r="B334" s="16"/>
      <c r="C334" s="16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>
      <c r="A335" s="16"/>
      <c r="B335" s="16"/>
      <c r="C335" s="16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>
      <c r="A336" s="16"/>
      <c r="B336" s="16"/>
      <c r="C336" s="16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>
      <c r="A337" s="16"/>
      <c r="B337" s="16"/>
      <c r="C337" s="16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>
      <c r="A338" s="16"/>
      <c r="B338" s="16"/>
      <c r="C338" s="16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>
      <c r="A339" s="16"/>
      <c r="B339" s="16"/>
      <c r="C339" s="16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>
      <c r="A340" s="16"/>
      <c r="B340" s="16"/>
      <c r="C340" s="16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>
      <c r="A341" s="16"/>
      <c r="B341" s="16"/>
      <c r="C341" s="16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>
      <c r="A342" s="16"/>
      <c r="B342" s="16"/>
      <c r="C342" s="16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>
      <c r="A343" s="16"/>
      <c r="B343" s="16"/>
      <c r="C343" s="16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>
      <c r="A344" s="16"/>
      <c r="B344" s="16"/>
      <c r="C344" s="16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>
      <c r="A345" s="16"/>
      <c r="B345" s="16"/>
      <c r="C345" s="16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>
      <c r="A346" s="16"/>
      <c r="B346" s="16"/>
      <c r="C346" s="16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>
      <c r="A347" s="16"/>
      <c r="B347" s="16"/>
      <c r="C347" s="16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>
      <c r="A348" s="16"/>
      <c r="B348" s="16"/>
      <c r="C348" s="16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>
      <c r="A349" s="16"/>
      <c r="B349" s="16"/>
      <c r="C349" s="16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>
      <c r="A350" s="16"/>
      <c r="B350" s="16"/>
      <c r="C350" s="16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>
      <c r="A351" s="16"/>
      <c r="B351" s="16"/>
      <c r="C351" s="16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>
      <c r="A352" s="16"/>
      <c r="B352" s="16"/>
      <c r="C352" s="16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>
      <c r="A353" s="16"/>
      <c r="B353" s="16"/>
      <c r="C353" s="16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>
      <c r="A354" s="16"/>
      <c r="B354" s="16"/>
      <c r="C354" s="16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>
      <c r="A355" s="16"/>
      <c r="B355" s="16"/>
      <c r="C355" s="16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>
      <c r="A356" s="16"/>
      <c r="B356" s="16"/>
      <c r="C356" s="16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>
      <c r="A357" s="16"/>
      <c r="B357" s="16"/>
      <c r="C357" s="16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>
      <c r="A358" s="16"/>
      <c r="B358" s="16"/>
      <c r="C358" s="16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>
      <c r="A359" s="16"/>
      <c r="B359" s="16"/>
      <c r="C359" s="16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>
      <c r="A360" s="16"/>
      <c r="B360" s="16"/>
      <c r="C360" s="16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>
      <c r="A361" s="16"/>
      <c r="B361" s="16"/>
      <c r="C361" s="16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>
      <c r="A362" s="16"/>
      <c r="B362" s="16"/>
      <c r="C362" s="16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>
      <c r="A363" s="16"/>
      <c r="B363" s="16"/>
      <c r="C363" s="16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>
      <c r="A364" s="16"/>
      <c r="B364" s="16"/>
      <c r="C364" s="16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>
      <c r="A365" s="16"/>
      <c r="B365" s="16"/>
      <c r="C365" s="16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>
      <c r="A366" s="16"/>
      <c r="B366" s="16"/>
      <c r="C366" s="16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>
      <c r="A367" s="16"/>
      <c r="B367" s="16"/>
      <c r="C367" s="16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>
      <c r="A368" s="16"/>
      <c r="B368" s="16"/>
      <c r="C368" s="16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>
      <c r="A369" s="16"/>
      <c r="B369" s="16"/>
      <c r="C369" s="16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>
      <c r="A370" s="16"/>
      <c r="B370" s="16"/>
      <c r="C370" s="16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>
      <c r="A371" s="16"/>
      <c r="B371" s="16"/>
      <c r="C371" s="16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>
      <c r="A372" s="16"/>
      <c r="B372" s="16"/>
      <c r="C372" s="16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>
      <c r="A373" s="16"/>
      <c r="B373" s="16"/>
      <c r="C373" s="16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>
      <c r="A374" s="16"/>
      <c r="B374" s="16"/>
      <c r="C374" s="16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>
      <c r="A375" s="16"/>
      <c r="B375" s="16"/>
      <c r="C375" s="16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>
      <c r="A376" s="16"/>
      <c r="B376" s="16"/>
      <c r="C376" s="16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>
      <c r="A377" s="16"/>
      <c r="B377" s="16"/>
      <c r="C377" s="16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>
      <c r="A378" s="16"/>
      <c r="B378" s="16"/>
      <c r="C378" s="16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>
      <c r="A379" s="16"/>
      <c r="B379" s="16"/>
      <c r="C379" s="16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>
      <c r="A380" s="16"/>
      <c r="B380" s="16"/>
      <c r="C380" s="16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>
      <c r="A381" s="16"/>
      <c r="B381" s="16"/>
      <c r="C381" s="16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>
      <c r="A382" s="16"/>
      <c r="B382" s="16"/>
      <c r="C382" s="16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>
      <c r="A383" s="16"/>
      <c r="B383" s="16"/>
      <c r="C383" s="16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>
      <c r="A384" s="16"/>
      <c r="B384" s="16"/>
      <c r="C384" s="16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>
      <c r="A385" s="16"/>
      <c r="B385" s="16"/>
      <c r="C385" s="16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>
      <c r="A386" s="16"/>
      <c r="B386" s="16"/>
      <c r="C386" s="16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>
      <c r="A387" s="16"/>
      <c r="B387" s="16"/>
      <c r="C387" s="16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>
      <c r="A388" s="16"/>
      <c r="B388" s="16"/>
      <c r="C388" s="16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>
      <c r="A389" s="16"/>
      <c r="B389" s="16"/>
      <c r="C389" s="16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>
      <c r="A390" s="16"/>
      <c r="B390" s="16"/>
      <c r="C390" s="16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>
      <c r="A391" s="16"/>
      <c r="B391" s="16"/>
      <c r="C391" s="16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>
      <c r="A392" s="16"/>
      <c r="B392" s="16"/>
      <c r="C392" s="16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>
      <c r="A393" s="16"/>
      <c r="B393" s="16"/>
      <c r="C393" s="16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>
      <c r="A394" s="16"/>
      <c r="B394" s="16"/>
      <c r="C394" s="16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>
      <c r="A395" s="16"/>
      <c r="B395" s="16"/>
      <c r="C395" s="16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>
      <c r="A396" s="16"/>
      <c r="B396" s="16"/>
      <c r="C396" s="16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>
      <c r="A397" s="16"/>
      <c r="B397" s="16"/>
      <c r="C397" s="16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>
      <c r="A398" s="16"/>
      <c r="B398" s="16"/>
      <c r="C398" s="16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>
      <c r="A399" s="16"/>
      <c r="B399" s="16"/>
      <c r="C399" s="16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>
      <c r="A400" s="16"/>
      <c r="B400" s="16"/>
      <c r="C400" s="16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>
      <c r="A401" s="16"/>
      <c r="B401" s="16"/>
      <c r="C401" s="16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>
      <c r="A402" s="16"/>
      <c r="B402" s="16"/>
      <c r="C402" s="16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>
      <c r="A403" s="16"/>
      <c r="B403" s="16"/>
      <c r="C403" s="16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>
      <c r="A404" s="16"/>
      <c r="B404" s="16"/>
      <c r="C404" s="16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>
      <c r="A405" s="16"/>
      <c r="B405" s="16"/>
      <c r="C405" s="16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>
      <c r="A406" s="16"/>
      <c r="B406" s="16"/>
      <c r="C406" s="16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>
      <c r="A407" s="16"/>
      <c r="B407" s="16"/>
      <c r="C407" s="16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>
      <c r="A408" s="16"/>
      <c r="B408" s="16"/>
      <c r="C408" s="16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>
      <c r="A409" s="16"/>
      <c r="B409" s="16"/>
      <c r="C409" s="16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>
      <c r="A410" s="16"/>
      <c r="B410" s="16"/>
      <c r="C410" s="16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>
      <c r="A411" s="16"/>
      <c r="B411" s="16"/>
      <c r="C411" s="16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>
      <c r="A412" s="16"/>
      <c r="B412" s="16"/>
      <c r="C412" s="16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>
      <c r="A413" s="16"/>
      <c r="B413" s="16"/>
      <c r="C413" s="16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>
      <c r="A414" s="16"/>
      <c r="B414" s="16"/>
      <c r="C414" s="16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>
      <c r="A415" s="16"/>
      <c r="B415" s="16"/>
      <c r="C415" s="16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>
      <c r="A416" s="16"/>
      <c r="B416" s="16"/>
      <c r="C416" s="16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>
      <c r="A417" s="16"/>
      <c r="B417" s="16"/>
      <c r="C417" s="16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>
      <c r="A418" s="16"/>
      <c r="B418" s="16"/>
      <c r="C418" s="16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>
      <c r="A419" s="16"/>
      <c r="B419" s="16"/>
      <c r="C419" s="16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>
      <c r="A420" s="16"/>
      <c r="B420" s="16"/>
      <c r="C420" s="16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>
      <c r="A421" s="16"/>
      <c r="B421" s="16"/>
      <c r="C421" s="16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>
      <c r="A422" s="16"/>
      <c r="B422" s="16"/>
      <c r="C422" s="16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>
      <c r="A423" s="16"/>
      <c r="B423" s="16"/>
      <c r="C423" s="16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>
      <c r="A424" s="16"/>
      <c r="B424" s="16"/>
      <c r="C424" s="16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>
      <c r="A425" s="16"/>
      <c r="B425" s="16"/>
      <c r="C425" s="16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>
      <c r="A426" s="16"/>
      <c r="B426" s="16"/>
      <c r="C426" s="16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>
      <c r="A427" s="16"/>
      <c r="B427" s="16"/>
      <c r="C427" s="16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>
      <c r="A428" s="16"/>
      <c r="B428" s="16"/>
      <c r="C428" s="16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>
      <c r="A429" s="16"/>
      <c r="B429" s="16"/>
      <c r="C429" s="16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>
      <c r="A430" s="16"/>
      <c r="B430" s="16"/>
      <c r="C430" s="16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>
      <c r="A431" s="16"/>
      <c r="B431" s="16"/>
      <c r="C431" s="16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>
      <c r="A432" s="16"/>
      <c r="B432" s="16"/>
      <c r="C432" s="16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>
      <c r="A433" s="16"/>
      <c r="B433" s="16"/>
      <c r="C433" s="16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>
      <c r="A434" s="16"/>
      <c r="B434" s="16"/>
      <c r="C434" s="16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>
      <c r="A435" s="16"/>
      <c r="B435" s="16"/>
      <c r="C435" s="16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>
      <c r="A436" s="16"/>
      <c r="B436" s="16"/>
      <c r="C436" s="16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>
      <c r="A437" s="16"/>
      <c r="B437" s="16"/>
      <c r="C437" s="16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>
      <c r="A438" s="16"/>
      <c r="B438" s="16"/>
      <c r="C438" s="16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>
      <c r="A439" s="16"/>
      <c r="B439" s="16"/>
      <c r="C439" s="16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>
      <c r="A440" s="16"/>
      <c r="B440" s="16"/>
      <c r="C440" s="16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>
      <c r="A441" s="16"/>
      <c r="B441" s="16"/>
      <c r="C441" s="16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>
      <c r="A442" s="16"/>
      <c r="B442" s="16"/>
      <c r="C442" s="16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>
      <c r="A443" s="16"/>
      <c r="B443" s="16"/>
      <c r="C443" s="16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>
      <c r="A444" s="16"/>
      <c r="B444" s="16"/>
      <c r="C444" s="16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>
      <c r="A445" s="16"/>
      <c r="B445" s="16"/>
      <c r="C445" s="16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>
      <c r="A446" s="16"/>
      <c r="B446" s="16"/>
      <c r="C446" s="16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>
      <c r="A447" s="16"/>
      <c r="B447" s="16"/>
      <c r="C447" s="16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>
      <c r="A448" s="16"/>
      <c r="B448" s="16"/>
      <c r="C448" s="16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>
      <c r="A449" s="16"/>
      <c r="B449" s="16"/>
      <c r="C449" s="16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>
      <c r="A450" s="16"/>
      <c r="B450" s="16"/>
      <c r="C450" s="16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>
      <c r="A451" s="16"/>
      <c r="B451" s="16"/>
      <c r="C451" s="16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>
      <c r="A452" s="16"/>
      <c r="B452" s="16"/>
      <c r="C452" s="16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>
      <c r="A453" s="16"/>
      <c r="B453" s="16"/>
      <c r="C453" s="16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>
      <c r="A454" s="16"/>
      <c r="B454" s="16"/>
      <c r="C454" s="16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>
      <c r="A455" s="16"/>
      <c r="B455" s="16"/>
      <c r="C455" s="16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>
      <c r="A456" s="16"/>
      <c r="B456" s="16"/>
      <c r="C456" s="16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>
      <c r="A457" s="16"/>
      <c r="B457" s="16"/>
      <c r="C457" s="16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>
      <c r="A458" s="16"/>
      <c r="B458" s="16"/>
      <c r="C458" s="16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>
      <c r="A459" s="16"/>
      <c r="B459" s="16"/>
      <c r="C459" s="16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>
      <c r="A460" s="16"/>
      <c r="B460" s="16"/>
      <c r="C460" s="16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>
      <c r="A461" s="16"/>
      <c r="B461" s="16"/>
      <c r="C461" s="16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>
      <c r="A462" s="16"/>
      <c r="B462" s="16"/>
      <c r="C462" s="16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>
      <c r="A463" s="16"/>
      <c r="B463" s="16"/>
      <c r="C463" s="16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>
      <c r="A464" s="16"/>
      <c r="B464" s="16"/>
      <c r="C464" s="16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>
      <c r="A465" s="16"/>
      <c r="B465" s="16"/>
      <c r="C465" s="16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>
      <c r="A466" s="16"/>
      <c r="B466" s="16"/>
      <c r="C466" s="16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>
      <c r="A467" s="16"/>
      <c r="B467" s="16"/>
      <c r="C467" s="16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>
      <c r="A468" s="16"/>
      <c r="B468" s="16"/>
      <c r="C468" s="16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>
      <c r="A469" s="16"/>
      <c r="B469" s="16"/>
      <c r="C469" s="16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>
      <c r="A470" s="16"/>
      <c r="B470" s="16"/>
      <c r="C470" s="16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>
      <c r="A471" s="16"/>
      <c r="B471" s="16"/>
      <c r="C471" s="16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>
      <c r="A472" s="16"/>
      <c r="B472" s="16"/>
      <c r="C472" s="16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>
      <c r="A473" s="16"/>
      <c r="B473" s="16"/>
      <c r="C473" s="16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>
      <c r="A474" s="16"/>
      <c r="B474" s="16"/>
      <c r="C474" s="16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>
      <c r="A475" s="16"/>
      <c r="B475" s="16"/>
      <c r="C475" s="16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>
      <c r="A476" s="16"/>
      <c r="B476" s="16"/>
      <c r="C476" s="16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>
      <c r="A477" s="16"/>
      <c r="B477" s="16"/>
      <c r="C477" s="16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>
      <c r="A478" s="16"/>
      <c r="B478" s="16"/>
      <c r="C478" s="16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>
      <c r="A479" s="16"/>
      <c r="B479" s="16"/>
      <c r="C479" s="16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>
      <c r="A480" s="16"/>
      <c r="B480" s="16"/>
      <c r="C480" s="16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>
      <c r="A481" s="16"/>
      <c r="B481" s="16"/>
      <c r="C481" s="16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>
      <c r="A482" s="16"/>
      <c r="B482" s="16"/>
      <c r="C482" s="16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>
      <c r="A483" s="16"/>
      <c r="B483" s="16"/>
      <c r="C483" s="16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>
      <c r="A484" s="16"/>
      <c r="B484" s="16"/>
      <c r="C484" s="16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>
      <c r="A485" s="16"/>
      <c r="B485" s="16"/>
      <c r="C485" s="16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>
      <c r="A486" s="16"/>
      <c r="B486" s="16"/>
      <c r="C486" s="16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>
      <c r="A487" s="16"/>
      <c r="B487" s="16"/>
      <c r="C487" s="16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>
      <c r="A488" s="16"/>
      <c r="B488" s="16"/>
      <c r="C488" s="16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>
      <c r="A489" s="16"/>
      <c r="B489" s="16"/>
      <c r="C489" s="16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>
      <c r="A490" s="16"/>
      <c r="B490" s="16"/>
      <c r="C490" s="16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>
      <c r="A491" s="16"/>
      <c r="B491" s="16"/>
      <c r="C491" s="16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>
      <c r="A492" s="16"/>
      <c r="B492" s="16"/>
      <c r="C492" s="16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>
      <c r="A493" s="16"/>
      <c r="B493" s="16"/>
      <c r="C493" s="16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>
      <c r="A494" s="16"/>
      <c r="B494" s="16"/>
      <c r="C494" s="16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>
      <c r="A495" s="16"/>
      <c r="B495" s="16"/>
      <c r="C495" s="16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>
      <c r="A496" s="16"/>
      <c r="B496" s="16"/>
      <c r="C496" s="16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>
      <c r="A497" s="16"/>
      <c r="B497" s="16"/>
      <c r="C497" s="16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>
      <c r="A498" s="16"/>
      <c r="B498" s="16"/>
      <c r="C498" s="16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  <row r="499">
      <c r="A499" s="16"/>
      <c r="B499" s="16"/>
      <c r="C499" s="16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</row>
    <row r="500">
      <c r="A500" s="16"/>
      <c r="B500" s="16"/>
      <c r="C500" s="16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</row>
    <row r="501">
      <c r="A501" s="16"/>
      <c r="B501" s="16"/>
      <c r="C501" s="16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</row>
    <row r="502">
      <c r="A502" s="16"/>
      <c r="B502" s="16"/>
      <c r="C502" s="16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</row>
    <row r="503">
      <c r="A503" s="16"/>
      <c r="B503" s="16"/>
      <c r="C503" s="16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</row>
    <row r="504">
      <c r="A504" s="16"/>
      <c r="B504" s="16"/>
      <c r="C504" s="16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</row>
    <row r="505">
      <c r="A505" s="16"/>
      <c r="B505" s="16"/>
      <c r="C505" s="16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</row>
    <row r="506">
      <c r="A506" s="16"/>
      <c r="B506" s="16"/>
      <c r="C506" s="16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</row>
    <row r="507">
      <c r="A507" s="16"/>
      <c r="B507" s="16"/>
      <c r="C507" s="16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</row>
    <row r="508">
      <c r="A508" s="16"/>
      <c r="B508" s="16"/>
      <c r="C508" s="16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</row>
    <row r="509">
      <c r="A509" s="16"/>
      <c r="B509" s="16"/>
      <c r="C509" s="16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</row>
    <row r="510">
      <c r="A510" s="16"/>
      <c r="B510" s="16"/>
      <c r="C510" s="16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</row>
    <row r="511">
      <c r="A511" s="16"/>
      <c r="B511" s="16"/>
      <c r="C511" s="16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</row>
    <row r="512">
      <c r="A512" s="16"/>
      <c r="B512" s="16"/>
      <c r="C512" s="16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</row>
    <row r="513">
      <c r="A513" s="16"/>
      <c r="B513" s="16"/>
      <c r="C513" s="16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</row>
    <row r="514">
      <c r="A514" s="16"/>
      <c r="B514" s="16"/>
      <c r="C514" s="16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</row>
    <row r="515">
      <c r="A515" s="16"/>
      <c r="B515" s="16"/>
      <c r="C515" s="16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</row>
    <row r="516">
      <c r="A516" s="16"/>
      <c r="B516" s="16"/>
      <c r="C516" s="16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</row>
    <row r="517">
      <c r="A517" s="16"/>
      <c r="B517" s="16"/>
      <c r="C517" s="16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</row>
    <row r="518">
      <c r="A518" s="16"/>
      <c r="B518" s="16"/>
      <c r="C518" s="16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</row>
    <row r="519">
      <c r="A519" s="16"/>
      <c r="B519" s="16"/>
      <c r="C519" s="16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</row>
    <row r="520">
      <c r="A520" s="16"/>
      <c r="B520" s="16"/>
      <c r="C520" s="16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</row>
    <row r="521">
      <c r="A521" s="16"/>
      <c r="B521" s="16"/>
      <c r="C521" s="16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</row>
    <row r="522">
      <c r="A522" s="16"/>
      <c r="B522" s="16"/>
      <c r="C522" s="16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</row>
    <row r="523">
      <c r="A523" s="16"/>
      <c r="B523" s="16"/>
      <c r="C523" s="16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</row>
    <row r="524">
      <c r="A524" s="16"/>
      <c r="B524" s="16"/>
      <c r="C524" s="16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</row>
    <row r="525">
      <c r="A525" s="16"/>
      <c r="B525" s="16"/>
      <c r="C525" s="16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</row>
    <row r="526">
      <c r="A526" s="16"/>
      <c r="B526" s="16"/>
      <c r="C526" s="16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</row>
    <row r="527">
      <c r="A527" s="16"/>
      <c r="B527" s="16"/>
      <c r="C527" s="16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</row>
    <row r="528">
      <c r="A528" s="16"/>
      <c r="B528" s="16"/>
      <c r="C528" s="16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</row>
    <row r="529">
      <c r="A529" s="16"/>
      <c r="B529" s="16"/>
      <c r="C529" s="16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</row>
    <row r="530">
      <c r="A530" s="16"/>
      <c r="B530" s="16"/>
      <c r="C530" s="16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</row>
    <row r="531">
      <c r="A531" s="16"/>
      <c r="B531" s="16"/>
      <c r="C531" s="16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</row>
    <row r="532">
      <c r="A532" s="16"/>
      <c r="B532" s="16"/>
      <c r="C532" s="16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</row>
    <row r="533">
      <c r="A533" s="16"/>
      <c r="B533" s="16"/>
      <c r="C533" s="16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</row>
    <row r="534">
      <c r="A534" s="16"/>
      <c r="B534" s="16"/>
      <c r="C534" s="16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</row>
    <row r="535">
      <c r="A535" s="16"/>
      <c r="B535" s="16"/>
      <c r="C535" s="16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</row>
    <row r="536">
      <c r="A536" s="16"/>
      <c r="B536" s="16"/>
      <c r="C536" s="16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</row>
    <row r="537">
      <c r="A537" s="16"/>
      <c r="B537" s="16"/>
      <c r="C537" s="16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</row>
    <row r="538">
      <c r="A538" s="16"/>
      <c r="B538" s="16"/>
      <c r="C538" s="16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</row>
    <row r="539">
      <c r="A539" s="16"/>
      <c r="B539" s="16"/>
      <c r="C539" s="16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</row>
    <row r="540">
      <c r="A540" s="16"/>
      <c r="B540" s="16"/>
      <c r="C540" s="16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</row>
    <row r="541">
      <c r="A541" s="16"/>
      <c r="B541" s="16"/>
      <c r="C541" s="16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</row>
    <row r="542">
      <c r="A542" s="16"/>
      <c r="B542" s="16"/>
      <c r="C542" s="16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</row>
    <row r="543">
      <c r="A543" s="16"/>
      <c r="B543" s="16"/>
      <c r="C543" s="16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</row>
    <row r="544">
      <c r="A544" s="16"/>
      <c r="B544" s="16"/>
      <c r="C544" s="16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</row>
    <row r="545">
      <c r="A545" s="16"/>
      <c r="B545" s="16"/>
      <c r="C545" s="16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</row>
    <row r="546">
      <c r="A546" s="16"/>
      <c r="B546" s="16"/>
      <c r="C546" s="16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</row>
    <row r="547">
      <c r="A547" s="16"/>
      <c r="B547" s="16"/>
      <c r="C547" s="16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</row>
    <row r="548">
      <c r="A548" s="16"/>
      <c r="B548" s="16"/>
      <c r="C548" s="16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</row>
    <row r="549">
      <c r="A549" s="16"/>
      <c r="B549" s="16"/>
      <c r="C549" s="16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</row>
    <row r="550">
      <c r="A550" s="16"/>
      <c r="B550" s="16"/>
      <c r="C550" s="16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</row>
    <row r="551">
      <c r="A551" s="16"/>
      <c r="B551" s="16"/>
      <c r="C551" s="16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</row>
    <row r="552">
      <c r="A552" s="16"/>
      <c r="B552" s="16"/>
      <c r="C552" s="16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</row>
    <row r="553">
      <c r="A553" s="16"/>
      <c r="B553" s="16"/>
      <c r="C553" s="16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</row>
    <row r="554">
      <c r="A554" s="16"/>
      <c r="B554" s="16"/>
      <c r="C554" s="16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</row>
    <row r="555">
      <c r="A555" s="16"/>
      <c r="B555" s="16"/>
      <c r="C555" s="16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</row>
    <row r="556">
      <c r="A556" s="16"/>
      <c r="B556" s="16"/>
      <c r="C556" s="16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</row>
    <row r="557">
      <c r="A557" s="16"/>
      <c r="B557" s="16"/>
      <c r="C557" s="16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</row>
    <row r="558">
      <c r="A558" s="16"/>
      <c r="B558" s="16"/>
      <c r="C558" s="16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</row>
    <row r="559">
      <c r="A559" s="16"/>
      <c r="B559" s="16"/>
      <c r="C559" s="16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</row>
    <row r="560">
      <c r="A560" s="16"/>
      <c r="B560" s="16"/>
      <c r="C560" s="16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</row>
    <row r="561">
      <c r="A561" s="16"/>
      <c r="B561" s="16"/>
      <c r="C561" s="16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</row>
    <row r="562">
      <c r="A562" s="16"/>
      <c r="B562" s="16"/>
      <c r="C562" s="16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</row>
    <row r="563">
      <c r="A563" s="16"/>
      <c r="B563" s="16"/>
      <c r="C563" s="16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</row>
    <row r="564">
      <c r="A564" s="16"/>
      <c r="B564" s="16"/>
      <c r="C564" s="16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</row>
    <row r="565">
      <c r="A565" s="16"/>
      <c r="B565" s="16"/>
      <c r="C565" s="16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</row>
    <row r="566">
      <c r="A566" s="16"/>
      <c r="B566" s="16"/>
      <c r="C566" s="16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</row>
    <row r="567">
      <c r="A567" s="16"/>
      <c r="B567" s="16"/>
      <c r="C567" s="16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</row>
    <row r="568">
      <c r="A568" s="16"/>
      <c r="B568" s="16"/>
      <c r="C568" s="16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</row>
    <row r="569">
      <c r="A569" s="16"/>
      <c r="B569" s="16"/>
      <c r="C569" s="16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</row>
    <row r="570">
      <c r="A570" s="16"/>
      <c r="B570" s="16"/>
      <c r="C570" s="16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</row>
    <row r="571">
      <c r="A571" s="16"/>
      <c r="B571" s="16"/>
      <c r="C571" s="16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</row>
    <row r="572">
      <c r="A572" s="16"/>
      <c r="B572" s="16"/>
      <c r="C572" s="16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</row>
    <row r="573">
      <c r="A573" s="16"/>
      <c r="B573" s="16"/>
      <c r="C573" s="16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</row>
    <row r="574">
      <c r="A574" s="16"/>
      <c r="B574" s="16"/>
      <c r="C574" s="16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</row>
    <row r="575">
      <c r="A575" s="16"/>
      <c r="B575" s="16"/>
      <c r="C575" s="16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</row>
    <row r="576">
      <c r="A576" s="16"/>
      <c r="B576" s="16"/>
      <c r="C576" s="16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</row>
    <row r="577">
      <c r="A577" s="16"/>
      <c r="B577" s="16"/>
      <c r="C577" s="16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</row>
    <row r="578">
      <c r="A578" s="16"/>
      <c r="B578" s="16"/>
      <c r="C578" s="16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</row>
    <row r="579">
      <c r="A579" s="16"/>
      <c r="B579" s="16"/>
      <c r="C579" s="16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</row>
    <row r="580">
      <c r="A580" s="16"/>
      <c r="B580" s="16"/>
      <c r="C580" s="16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</row>
    <row r="581">
      <c r="A581" s="16"/>
      <c r="B581" s="16"/>
      <c r="C581" s="16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</row>
    <row r="582">
      <c r="A582" s="16"/>
      <c r="B582" s="16"/>
      <c r="C582" s="16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</row>
    <row r="583">
      <c r="A583" s="16"/>
      <c r="B583" s="16"/>
      <c r="C583" s="16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</row>
    <row r="584">
      <c r="A584" s="16"/>
      <c r="B584" s="16"/>
      <c r="C584" s="16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</row>
    <row r="585">
      <c r="A585" s="16"/>
      <c r="B585" s="16"/>
      <c r="C585" s="16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</row>
    <row r="586">
      <c r="A586" s="16"/>
      <c r="B586" s="16"/>
      <c r="C586" s="16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</row>
    <row r="587">
      <c r="A587" s="16"/>
      <c r="B587" s="16"/>
      <c r="C587" s="16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</row>
    <row r="588">
      <c r="A588" s="16"/>
      <c r="B588" s="16"/>
      <c r="C588" s="16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</row>
    <row r="589">
      <c r="A589" s="16"/>
      <c r="B589" s="16"/>
      <c r="C589" s="16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</row>
    <row r="590">
      <c r="A590" s="16"/>
      <c r="B590" s="16"/>
      <c r="C590" s="16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</row>
    <row r="591">
      <c r="A591" s="16"/>
      <c r="B591" s="16"/>
      <c r="C591" s="16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</row>
    <row r="592">
      <c r="A592" s="16"/>
      <c r="B592" s="16"/>
      <c r="C592" s="16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</row>
    <row r="593">
      <c r="A593" s="16"/>
      <c r="B593" s="16"/>
      <c r="C593" s="16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</row>
    <row r="594">
      <c r="A594" s="16"/>
      <c r="B594" s="16"/>
      <c r="C594" s="16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</row>
    <row r="595">
      <c r="A595" s="16"/>
      <c r="B595" s="16"/>
      <c r="C595" s="16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</row>
    <row r="596">
      <c r="A596" s="16"/>
      <c r="B596" s="16"/>
      <c r="C596" s="16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>
      <c r="A597" s="16"/>
      <c r="B597" s="16"/>
      <c r="C597" s="16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</row>
    <row r="598">
      <c r="A598" s="16"/>
      <c r="B598" s="16"/>
      <c r="C598" s="16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</row>
    <row r="599">
      <c r="A599" s="16"/>
      <c r="B599" s="16"/>
      <c r="C599" s="16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>
      <c r="A600" s="16"/>
      <c r="B600" s="16"/>
      <c r="C600" s="16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</row>
    <row r="601">
      <c r="A601" s="16"/>
      <c r="B601" s="16"/>
      <c r="C601" s="16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</row>
    <row r="602">
      <c r="A602" s="16"/>
      <c r="B602" s="16"/>
      <c r="C602" s="16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</row>
    <row r="603">
      <c r="A603" s="16"/>
      <c r="B603" s="16"/>
      <c r="C603" s="16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</row>
    <row r="604">
      <c r="A604" s="16"/>
      <c r="B604" s="16"/>
      <c r="C604" s="16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</row>
    <row r="605">
      <c r="A605" s="16"/>
      <c r="B605" s="16"/>
      <c r="C605" s="16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</row>
    <row r="606">
      <c r="A606" s="16"/>
      <c r="B606" s="16"/>
      <c r="C606" s="16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</row>
    <row r="607">
      <c r="A607" s="16"/>
      <c r="B607" s="16"/>
      <c r="C607" s="16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</row>
    <row r="608">
      <c r="A608" s="16"/>
      <c r="B608" s="16"/>
      <c r="C608" s="16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</row>
    <row r="609">
      <c r="A609" s="16"/>
      <c r="B609" s="16"/>
      <c r="C609" s="16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</row>
    <row r="610">
      <c r="A610" s="16"/>
      <c r="B610" s="16"/>
      <c r="C610" s="16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</row>
    <row r="611">
      <c r="A611" s="16"/>
      <c r="B611" s="16"/>
      <c r="C611" s="16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</row>
    <row r="612">
      <c r="A612" s="16"/>
      <c r="B612" s="16"/>
      <c r="C612" s="16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</row>
    <row r="613">
      <c r="A613" s="16"/>
      <c r="B613" s="16"/>
      <c r="C613" s="16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</row>
    <row r="614">
      <c r="A614" s="16"/>
      <c r="B614" s="16"/>
      <c r="C614" s="16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</row>
    <row r="615">
      <c r="A615" s="16"/>
      <c r="B615" s="16"/>
      <c r="C615" s="16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</row>
    <row r="616">
      <c r="A616" s="16"/>
      <c r="B616" s="16"/>
      <c r="C616" s="16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</row>
    <row r="617">
      <c r="A617" s="16"/>
      <c r="B617" s="16"/>
      <c r="C617" s="16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</row>
    <row r="618">
      <c r="A618" s="16"/>
      <c r="B618" s="16"/>
      <c r="C618" s="16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</row>
    <row r="619">
      <c r="A619" s="16"/>
      <c r="B619" s="16"/>
      <c r="C619" s="16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</row>
    <row r="620">
      <c r="A620" s="16"/>
      <c r="B620" s="16"/>
      <c r="C620" s="16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</row>
    <row r="621">
      <c r="A621" s="16"/>
      <c r="B621" s="16"/>
      <c r="C621" s="16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</row>
    <row r="622">
      <c r="A622" s="16"/>
      <c r="B622" s="16"/>
      <c r="C622" s="16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</row>
    <row r="623">
      <c r="A623" s="16"/>
      <c r="B623" s="16"/>
      <c r="C623" s="16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</row>
    <row r="624">
      <c r="A624" s="16"/>
      <c r="B624" s="16"/>
      <c r="C624" s="16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</row>
    <row r="625">
      <c r="A625" s="16"/>
      <c r="B625" s="16"/>
      <c r="C625" s="16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</row>
    <row r="626">
      <c r="A626" s="16"/>
      <c r="B626" s="16"/>
      <c r="C626" s="16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</row>
    <row r="627">
      <c r="A627" s="16"/>
      <c r="B627" s="16"/>
      <c r="C627" s="16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</row>
    <row r="628">
      <c r="A628" s="16"/>
      <c r="B628" s="16"/>
      <c r="C628" s="16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</row>
    <row r="629">
      <c r="A629" s="16"/>
      <c r="B629" s="16"/>
      <c r="C629" s="16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</row>
    <row r="630">
      <c r="A630" s="16"/>
      <c r="B630" s="16"/>
      <c r="C630" s="16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</row>
    <row r="631">
      <c r="A631" s="16"/>
      <c r="B631" s="16"/>
      <c r="C631" s="16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</row>
    <row r="632">
      <c r="A632" s="16"/>
      <c r="B632" s="16"/>
      <c r="C632" s="16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</row>
    <row r="633">
      <c r="A633" s="16"/>
      <c r="B633" s="16"/>
      <c r="C633" s="16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</row>
    <row r="634">
      <c r="A634" s="16"/>
      <c r="B634" s="16"/>
      <c r="C634" s="16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</row>
    <row r="635">
      <c r="A635" s="16"/>
      <c r="B635" s="16"/>
      <c r="C635" s="16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</row>
    <row r="636">
      <c r="A636" s="16"/>
      <c r="B636" s="16"/>
      <c r="C636" s="16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</row>
    <row r="637">
      <c r="A637" s="16"/>
      <c r="B637" s="16"/>
      <c r="C637" s="16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</row>
    <row r="638">
      <c r="A638" s="16"/>
      <c r="B638" s="16"/>
      <c r="C638" s="16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</row>
    <row r="639">
      <c r="A639" s="16"/>
      <c r="B639" s="16"/>
      <c r="C639" s="16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</row>
    <row r="640">
      <c r="A640" s="16"/>
      <c r="B640" s="16"/>
      <c r="C640" s="16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</row>
    <row r="641">
      <c r="A641" s="16"/>
      <c r="B641" s="16"/>
      <c r="C641" s="16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</row>
    <row r="642">
      <c r="A642" s="16"/>
      <c r="B642" s="16"/>
      <c r="C642" s="16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</row>
    <row r="643">
      <c r="A643" s="16"/>
      <c r="B643" s="16"/>
      <c r="C643" s="16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</row>
    <row r="644">
      <c r="A644" s="16"/>
      <c r="B644" s="16"/>
      <c r="C644" s="16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</row>
    <row r="645">
      <c r="A645" s="16"/>
      <c r="B645" s="16"/>
      <c r="C645" s="16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</row>
    <row r="646">
      <c r="A646" s="16"/>
      <c r="B646" s="16"/>
      <c r="C646" s="16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</row>
    <row r="647">
      <c r="A647" s="16"/>
      <c r="B647" s="16"/>
      <c r="C647" s="16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</row>
    <row r="648">
      <c r="A648" s="16"/>
      <c r="B648" s="16"/>
      <c r="C648" s="16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</row>
    <row r="649">
      <c r="A649" s="16"/>
      <c r="B649" s="16"/>
      <c r="C649" s="16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</row>
    <row r="650">
      <c r="A650" s="16"/>
      <c r="B650" s="16"/>
      <c r="C650" s="16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</row>
    <row r="651">
      <c r="A651" s="16"/>
      <c r="B651" s="16"/>
      <c r="C651" s="16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</row>
    <row r="652">
      <c r="A652" s="16"/>
      <c r="B652" s="16"/>
      <c r="C652" s="16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</row>
    <row r="653">
      <c r="A653" s="16"/>
      <c r="B653" s="16"/>
      <c r="C653" s="16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</row>
    <row r="654">
      <c r="A654" s="16"/>
      <c r="B654" s="16"/>
      <c r="C654" s="16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</row>
    <row r="655">
      <c r="A655" s="16"/>
      <c r="B655" s="16"/>
      <c r="C655" s="16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</row>
    <row r="656">
      <c r="A656" s="16"/>
      <c r="B656" s="16"/>
      <c r="C656" s="16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</row>
    <row r="657">
      <c r="A657" s="16"/>
      <c r="B657" s="16"/>
      <c r="C657" s="16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</row>
    <row r="658">
      <c r="A658" s="16"/>
      <c r="B658" s="16"/>
      <c r="C658" s="16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</row>
    <row r="659">
      <c r="A659" s="16"/>
      <c r="B659" s="16"/>
      <c r="C659" s="16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</row>
    <row r="660">
      <c r="A660" s="16"/>
      <c r="B660" s="16"/>
      <c r="C660" s="16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</row>
    <row r="661">
      <c r="A661" s="16"/>
      <c r="B661" s="16"/>
      <c r="C661" s="16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</row>
    <row r="662">
      <c r="A662" s="16"/>
      <c r="B662" s="16"/>
      <c r="C662" s="16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</row>
    <row r="663">
      <c r="A663" s="16"/>
      <c r="B663" s="16"/>
      <c r="C663" s="16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</row>
    <row r="664">
      <c r="A664" s="16"/>
      <c r="B664" s="16"/>
      <c r="C664" s="16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</row>
    <row r="665">
      <c r="A665" s="16"/>
      <c r="B665" s="16"/>
      <c r="C665" s="16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</row>
    <row r="666">
      <c r="A666" s="16"/>
      <c r="B666" s="16"/>
      <c r="C666" s="16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</row>
    <row r="667">
      <c r="A667" s="16"/>
      <c r="B667" s="16"/>
      <c r="C667" s="16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</row>
    <row r="668">
      <c r="A668" s="16"/>
      <c r="B668" s="16"/>
      <c r="C668" s="16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</row>
    <row r="669">
      <c r="A669" s="16"/>
      <c r="B669" s="16"/>
      <c r="C669" s="16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</row>
    <row r="670">
      <c r="A670" s="16"/>
      <c r="B670" s="16"/>
      <c r="C670" s="16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</row>
    <row r="671">
      <c r="A671" s="16"/>
      <c r="B671" s="16"/>
      <c r="C671" s="16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</row>
    <row r="672">
      <c r="A672" s="16"/>
      <c r="B672" s="16"/>
      <c r="C672" s="16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</row>
    <row r="673">
      <c r="A673" s="16"/>
      <c r="B673" s="16"/>
      <c r="C673" s="16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</row>
    <row r="674">
      <c r="A674" s="16"/>
      <c r="B674" s="16"/>
      <c r="C674" s="16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</row>
    <row r="675">
      <c r="A675" s="16"/>
      <c r="B675" s="16"/>
      <c r="C675" s="16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</row>
    <row r="676">
      <c r="A676" s="16"/>
      <c r="B676" s="16"/>
      <c r="C676" s="16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</row>
    <row r="677">
      <c r="A677" s="16"/>
      <c r="B677" s="16"/>
      <c r="C677" s="16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</row>
    <row r="678">
      <c r="A678" s="16"/>
      <c r="B678" s="16"/>
      <c r="C678" s="16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</row>
    <row r="679">
      <c r="A679" s="16"/>
      <c r="B679" s="16"/>
      <c r="C679" s="16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</row>
    <row r="680">
      <c r="A680" s="16"/>
      <c r="B680" s="16"/>
      <c r="C680" s="16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</row>
    <row r="681">
      <c r="A681" s="16"/>
      <c r="B681" s="16"/>
      <c r="C681" s="16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</row>
    <row r="682">
      <c r="A682" s="16"/>
      <c r="B682" s="16"/>
      <c r="C682" s="16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</row>
    <row r="683">
      <c r="A683" s="16"/>
      <c r="B683" s="16"/>
      <c r="C683" s="16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</row>
    <row r="684">
      <c r="A684" s="16"/>
      <c r="B684" s="16"/>
      <c r="C684" s="16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</row>
    <row r="685">
      <c r="A685" s="16"/>
      <c r="B685" s="16"/>
      <c r="C685" s="16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</row>
    <row r="686">
      <c r="A686" s="16"/>
      <c r="B686" s="16"/>
      <c r="C686" s="16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</row>
    <row r="687">
      <c r="A687" s="16"/>
      <c r="B687" s="16"/>
      <c r="C687" s="16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</row>
    <row r="688">
      <c r="A688" s="16"/>
      <c r="B688" s="16"/>
      <c r="C688" s="16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</row>
    <row r="689">
      <c r="A689" s="16"/>
      <c r="B689" s="16"/>
      <c r="C689" s="16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</row>
    <row r="690">
      <c r="A690" s="16"/>
      <c r="B690" s="16"/>
      <c r="C690" s="16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</row>
    <row r="691">
      <c r="A691" s="16"/>
      <c r="B691" s="16"/>
      <c r="C691" s="16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</row>
    <row r="692">
      <c r="A692" s="16"/>
      <c r="B692" s="16"/>
      <c r="C692" s="16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</row>
    <row r="693">
      <c r="A693" s="16"/>
      <c r="B693" s="16"/>
      <c r="C693" s="16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</row>
    <row r="694">
      <c r="A694" s="16"/>
      <c r="B694" s="16"/>
      <c r="C694" s="16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</row>
    <row r="695">
      <c r="A695" s="16"/>
      <c r="B695" s="16"/>
      <c r="C695" s="16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</row>
    <row r="696">
      <c r="A696" s="16"/>
      <c r="B696" s="16"/>
      <c r="C696" s="16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</row>
    <row r="697">
      <c r="A697" s="16"/>
      <c r="B697" s="16"/>
      <c r="C697" s="16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</row>
    <row r="698">
      <c r="A698" s="16"/>
      <c r="B698" s="16"/>
      <c r="C698" s="16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</row>
    <row r="699">
      <c r="A699" s="16"/>
      <c r="B699" s="16"/>
      <c r="C699" s="16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</row>
    <row r="700">
      <c r="A700" s="16"/>
      <c r="B700" s="16"/>
      <c r="C700" s="16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</row>
    <row r="701">
      <c r="A701" s="16"/>
      <c r="B701" s="16"/>
      <c r="C701" s="16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</row>
    <row r="702">
      <c r="A702" s="16"/>
      <c r="B702" s="16"/>
      <c r="C702" s="16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</row>
    <row r="703">
      <c r="A703" s="16"/>
      <c r="B703" s="16"/>
      <c r="C703" s="16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</row>
    <row r="704">
      <c r="A704" s="16"/>
      <c r="B704" s="16"/>
      <c r="C704" s="16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</row>
    <row r="705">
      <c r="A705" s="16"/>
      <c r="B705" s="16"/>
      <c r="C705" s="16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</row>
    <row r="706">
      <c r="A706" s="16"/>
      <c r="B706" s="16"/>
      <c r="C706" s="16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</row>
    <row r="707">
      <c r="A707" s="16"/>
      <c r="B707" s="16"/>
      <c r="C707" s="16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</row>
    <row r="708">
      <c r="A708" s="16"/>
      <c r="B708" s="16"/>
      <c r="C708" s="16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</row>
    <row r="709">
      <c r="A709" s="16"/>
      <c r="B709" s="16"/>
      <c r="C709" s="16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</row>
    <row r="710">
      <c r="A710" s="16"/>
      <c r="B710" s="16"/>
      <c r="C710" s="16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</row>
    <row r="711">
      <c r="A711" s="16"/>
      <c r="B711" s="16"/>
      <c r="C711" s="16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</row>
    <row r="712">
      <c r="A712" s="16"/>
      <c r="B712" s="16"/>
      <c r="C712" s="16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</row>
    <row r="713">
      <c r="A713" s="16"/>
      <c r="B713" s="16"/>
      <c r="C713" s="16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</row>
    <row r="714">
      <c r="A714" s="16"/>
      <c r="B714" s="16"/>
      <c r="C714" s="16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</row>
    <row r="715">
      <c r="A715" s="16"/>
      <c r="B715" s="16"/>
      <c r="C715" s="16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</row>
    <row r="716">
      <c r="A716" s="16"/>
      <c r="B716" s="16"/>
      <c r="C716" s="16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</row>
    <row r="717">
      <c r="A717" s="16"/>
      <c r="B717" s="16"/>
      <c r="C717" s="16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</row>
    <row r="718">
      <c r="A718" s="16"/>
      <c r="B718" s="16"/>
      <c r="C718" s="16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</row>
    <row r="719">
      <c r="A719" s="16"/>
      <c r="B719" s="16"/>
      <c r="C719" s="16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</row>
    <row r="720">
      <c r="A720" s="16"/>
      <c r="B720" s="16"/>
      <c r="C720" s="16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</row>
    <row r="721">
      <c r="A721" s="16"/>
      <c r="B721" s="16"/>
      <c r="C721" s="16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</row>
    <row r="722">
      <c r="A722" s="16"/>
      <c r="B722" s="16"/>
      <c r="C722" s="16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</row>
    <row r="723">
      <c r="A723" s="16"/>
      <c r="B723" s="16"/>
      <c r="C723" s="16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</row>
    <row r="724">
      <c r="A724" s="16"/>
      <c r="B724" s="16"/>
      <c r="C724" s="16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</row>
    <row r="725">
      <c r="A725" s="16"/>
      <c r="B725" s="16"/>
      <c r="C725" s="16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</row>
    <row r="726">
      <c r="A726" s="16"/>
      <c r="B726" s="16"/>
      <c r="C726" s="16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</row>
    <row r="727">
      <c r="A727" s="16"/>
      <c r="B727" s="16"/>
      <c r="C727" s="16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</row>
    <row r="728">
      <c r="A728" s="16"/>
      <c r="B728" s="16"/>
      <c r="C728" s="16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</row>
    <row r="729">
      <c r="A729" s="16"/>
      <c r="B729" s="16"/>
      <c r="C729" s="16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</row>
    <row r="730">
      <c r="A730" s="16"/>
      <c r="B730" s="16"/>
      <c r="C730" s="16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</row>
    <row r="731">
      <c r="A731" s="16"/>
      <c r="B731" s="16"/>
      <c r="C731" s="16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</row>
    <row r="732">
      <c r="A732" s="16"/>
      <c r="B732" s="16"/>
      <c r="C732" s="16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</row>
    <row r="733">
      <c r="A733" s="16"/>
      <c r="B733" s="16"/>
      <c r="C733" s="16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</row>
    <row r="734">
      <c r="A734" s="16"/>
      <c r="B734" s="16"/>
      <c r="C734" s="16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</row>
    <row r="735">
      <c r="A735" s="16"/>
      <c r="B735" s="16"/>
      <c r="C735" s="16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</row>
    <row r="736">
      <c r="A736" s="16"/>
      <c r="B736" s="16"/>
      <c r="C736" s="16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</row>
    <row r="737">
      <c r="A737" s="16"/>
      <c r="B737" s="16"/>
      <c r="C737" s="16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</row>
    <row r="738">
      <c r="A738" s="16"/>
      <c r="B738" s="16"/>
      <c r="C738" s="16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</row>
    <row r="739">
      <c r="A739" s="16"/>
      <c r="B739" s="16"/>
      <c r="C739" s="16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</row>
    <row r="740">
      <c r="A740" s="16"/>
      <c r="B740" s="16"/>
      <c r="C740" s="16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</row>
    <row r="741">
      <c r="A741" s="16"/>
      <c r="B741" s="16"/>
      <c r="C741" s="16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</row>
    <row r="742">
      <c r="A742" s="16"/>
      <c r="B742" s="16"/>
      <c r="C742" s="16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</row>
    <row r="743">
      <c r="A743" s="16"/>
      <c r="B743" s="16"/>
      <c r="C743" s="16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</row>
    <row r="744">
      <c r="A744" s="16"/>
      <c r="B744" s="16"/>
      <c r="C744" s="16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</row>
    <row r="745">
      <c r="A745" s="16"/>
      <c r="B745" s="16"/>
      <c r="C745" s="16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</row>
    <row r="746">
      <c r="A746" s="16"/>
      <c r="B746" s="16"/>
      <c r="C746" s="16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</row>
    <row r="747">
      <c r="A747" s="16"/>
      <c r="B747" s="16"/>
      <c r="C747" s="16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</row>
    <row r="748">
      <c r="A748" s="16"/>
      <c r="B748" s="16"/>
      <c r="C748" s="16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</row>
    <row r="749">
      <c r="A749" s="16"/>
      <c r="B749" s="16"/>
      <c r="C749" s="16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</row>
    <row r="750">
      <c r="A750" s="16"/>
      <c r="B750" s="16"/>
      <c r="C750" s="16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</row>
    <row r="751">
      <c r="A751" s="16"/>
      <c r="B751" s="16"/>
      <c r="C751" s="16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</row>
    <row r="752">
      <c r="A752" s="16"/>
      <c r="B752" s="16"/>
      <c r="C752" s="16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</row>
    <row r="753">
      <c r="A753" s="16"/>
      <c r="B753" s="16"/>
      <c r="C753" s="16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</row>
    <row r="754">
      <c r="A754" s="16"/>
      <c r="B754" s="16"/>
      <c r="C754" s="16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</row>
    <row r="755">
      <c r="A755" s="16"/>
      <c r="B755" s="16"/>
      <c r="C755" s="16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</row>
    <row r="756">
      <c r="A756" s="16"/>
      <c r="B756" s="16"/>
      <c r="C756" s="16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</row>
    <row r="757">
      <c r="A757" s="16"/>
      <c r="B757" s="16"/>
      <c r="C757" s="16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</row>
    <row r="758">
      <c r="A758" s="16"/>
      <c r="B758" s="16"/>
      <c r="C758" s="16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</row>
    <row r="759">
      <c r="A759" s="16"/>
      <c r="B759" s="16"/>
      <c r="C759" s="16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</row>
    <row r="760">
      <c r="A760" s="16"/>
      <c r="B760" s="16"/>
      <c r="C760" s="16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</row>
    <row r="761">
      <c r="A761" s="16"/>
      <c r="B761" s="16"/>
      <c r="C761" s="16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</row>
    <row r="762">
      <c r="A762" s="16"/>
      <c r="B762" s="16"/>
      <c r="C762" s="16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</row>
    <row r="763">
      <c r="A763" s="16"/>
      <c r="B763" s="16"/>
      <c r="C763" s="16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</row>
    <row r="764">
      <c r="A764" s="16"/>
      <c r="B764" s="16"/>
      <c r="C764" s="16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</row>
    <row r="765">
      <c r="A765" s="16"/>
      <c r="B765" s="16"/>
      <c r="C765" s="16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</row>
    <row r="766">
      <c r="A766" s="16"/>
      <c r="B766" s="16"/>
      <c r="C766" s="16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</row>
    <row r="767">
      <c r="A767" s="16"/>
      <c r="B767" s="16"/>
      <c r="C767" s="16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</row>
    <row r="768">
      <c r="A768" s="16"/>
      <c r="B768" s="16"/>
      <c r="C768" s="16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</row>
    <row r="769">
      <c r="A769" s="16"/>
      <c r="B769" s="16"/>
      <c r="C769" s="16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</row>
    <row r="770">
      <c r="A770" s="16"/>
      <c r="B770" s="16"/>
      <c r="C770" s="16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</row>
    <row r="771">
      <c r="A771" s="16"/>
      <c r="B771" s="16"/>
      <c r="C771" s="16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</row>
    <row r="772">
      <c r="A772" s="16"/>
      <c r="B772" s="16"/>
      <c r="C772" s="16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</row>
    <row r="773">
      <c r="A773" s="16"/>
      <c r="B773" s="16"/>
      <c r="C773" s="16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</row>
    <row r="774">
      <c r="A774" s="16"/>
      <c r="B774" s="16"/>
      <c r="C774" s="16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</row>
    <row r="775">
      <c r="A775" s="16"/>
      <c r="B775" s="16"/>
      <c r="C775" s="16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</row>
    <row r="776">
      <c r="A776" s="16"/>
      <c r="B776" s="16"/>
      <c r="C776" s="16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</row>
    <row r="777">
      <c r="A777" s="16"/>
      <c r="B777" s="16"/>
      <c r="C777" s="16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</row>
    <row r="778">
      <c r="A778" s="16"/>
      <c r="B778" s="16"/>
      <c r="C778" s="16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</row>
    <row r="779">
      <c r="A779" s="16"/>
      <c r="B779" s="16"/>
      <c r="C779" s="16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</row>
    <row r="780">
      <c r="A780" s="16"/>
      <c r="B780" s="16"/>
      <c r="C780" s="16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</row>
    <row r="781">
      <c r="A781" s="16"/>
      <c r="B781" s="16"/>
      <c r="C781" s="16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</row>
    <row r="782">
      <c r="A782" s="16"/>
      <c r="B782" s="16"/>
      <c r="C782" s="16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</row>
    <row r="783">
      <c r="A783" s="16"/>
      <c r="B783" s="16"/>
      <c r="C783" s="16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</row>
    <row r="784">
      <c r="A784" s="16"/>
      <c r="B784" s="16"/>
      <c r="C784" s="16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</row>
    <row r="785">
      <c r="A785" s="16"/>
      <c r="B785" s="16"/>
      <c r="C785" s="16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</row>
    <row r="786">
      <c r="A786" s="16"/>
      <c r="B786" s="16"/>
      <c r="C786" s="16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</row>
    <row r="787">
      <c r="A787" s="16"/>
      <c r="B787" s="16"/>
      <c r="C787" s="16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</row>
    <row r="788">
      <c r="A788" s="16"/>
      <c r="B788" s="16"/>
      <c r="C788" s="16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</row>
    <row r="789">
      <c r="A789" s="16"/>
      <c r="B789" s="16"/>
      <c r="C789" s="16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</row>
    <row r="790">
      <c r="A790" s="16"/>
      <c r="B790" s="16"/>
      <c r="C790" s="16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</row>
    <row r="791">
      <c r="A791" s="16"/>
      <c r="B791" s="16"/>
      <c r="C791" s="16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</row>
    <row r="792">
      <c r="A792" s="16"/>
      <c r="B792" s="16"/>
      <c r="C792" s="16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</row>
    <row r="793">
      <c r="A793" s="16"/>
      <c r="B793" s="16"/>
      <c r="C793" s="16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</row>
    <row r="794">
      <c r="A794" s="16"/>
      <c r="B794" s="16"/>
      <c r="C794" s="16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</row>
    <row r="795">
      <c r="A795" s="16"/>
      <c r="B795" s="16"/>
      <c r="C795" s="16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</row>
    <row r="796">
      <c r="A796" s="16"/>
      <c r="B796" s="16"/>
      <c r="C796" s="16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</row>
    <row r="797">
      <c r="A797" s="16"/>
      <c r="B797" s="16"/>
      <c r="C797" s="16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</row>
    <row r="798">
      <c r="A798" s="16"/>
      <c r="B798" s="16"/>
      <c r="C798" s="16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</row>
    <row r="799">
      <c r="A799" s="16"/>
      <c r="B799" s="16"/>
      <c r="C799" s="16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</row>
    <row r="800">
      <c r="A800" s="16"/>
      <c r="B800" s="16"/>
      <c r="C800" s="16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</row>
    <row r="801">
      <c r="A801" s="16"/>
      <c r="B801" s="16"/>
      <c r="C801" s="16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</row>
    <row r="802">
      <c r="A802" s="16"/>
      <c r="B802" s="16"/>
      <c r="C802" s="16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</row>
    <row r="803">
      <c r="A803" s="16"/>
      <c r="B803" s="16"/>
      <c r="C803" s="16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</row>
    <row r="804">
      <c r="A804" s="16"/>
      <c r="B804" s="16"/>
      <c r="C804" s="16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</row>
    <row r="805">
      <c r="A805" s="16"/>
      <c r="B805" s="16"/>
      <c r="C805" s="16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</row>
    <row r="806">
      <c r="A806" s="16"/>
      <c r="B806" s="16"/>
      <c r="C806" s="16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</row>
    <row r="807">
      <c r="A807" s="16"/>
      <c r="B807" s="16"/>
      <c r="C807" s="16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</row>
    <row r="808">
      <c r="A808" s="16"/>
      <c r="B808" s="16"/>
      <c r="C808" s="16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</row>
    <row r="809">
      <c r="A809" s="16"/>
      <c r="B809" s="16"/>
      <c r="C809" s="16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</row>
    <row r="810">
      <c r="A810" s="16"/>
      <c r="B810" s="16"/>
      <c r="C810" s="16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</row>
    <row r="811">
      <c r="A811" s="16"/>
      <c r="B811" s="16"/>
      <c r="C811" s="16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</row>
    <row r="812">
      <c r="A812" s="16"/>
      <c r="B812" s="16"/>
      <c r="C812" s="16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</row>
    <row r="813">
      <c r="A813" s="16"/>
      <c r="B813" s="16"/>
      <c r="C813" s="16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</row>
    <row r="814">
      <c r="A814" s="16"/>
      <c r="B814" s="16"/>
      <c r="C814" s="16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</row>
    <row r="815">
      <c r="A815" s="16"/>
      <c r="B815" s="16"/>
      <c r="C815" s="16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</row>
    <row r="816">
      <c r="A816" s="16"/>
      <c r="B816" s="16"/>
      <c r="C816" s="16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</row>
    <row r="817">
      <c r="A817" s="16"/>
      <c r="B817" s="16"/>
      <c r="C817" s="16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</row>
    <row r="818">
      <c r="A818" s="16"/>
      <c r="B818" s="16"/>
      <c r="C818" s="16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</row>
    <row r="819">
      <c r="A819" s="16"/>
      <c r="B819" s="16"/>
      <c r="C819" s="16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</row>
    <row r="820">
      <c r="A820" s="16"/>
      <c r="B820" s="16"/>
      <c r="C820" s="16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</row>
    <row r="821">
      <c r="A821" s="16"/>
      <c r="B821" s="16"/>
      <c r="C821" s="16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</row>
    <row r="822">
      <c r="A822" s="16"/>
      <c r="B822" s="16"/>
      <c r="C822" s="16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</row>
    <row r="823">
      <c r="A823" s="16"/>
      <c r="B823" s="16"/>
      <c r="C823" s="16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</row>
    <row r="824">
      <c r="A824" s="16"/>
      <c r="B824" s="16"/>
      <c r="C824" s="16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</row>
    <row r="825">
      <c r="A825" s="16"/>
      <c r="B825" s="16"/>
      <c r="C825" s="16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</row>
    <row r="826">
      <c r="A826" s="16"/>
      <c r="B826" s="16"/>
      <c r="C826" s="16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</row>
    <row r="827">
      <c r="A827" s="16"/>
      <c r="B827" s="16"/>
      <c r="C827" s="16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</row>
    <row r="828">
      <c r="A828" s="16"/>
      <c r="B828" s="16"/>
      <c r="C828" s="16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</row>
    <row r="829">
      <c r="A829" s="16"/>
      <c r="B829" s="16"/>
      <c r="C829" s="16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</row>
    <row r="830">
      <c r="A830" s="16"/>
      <c r="B830" s="16"/>
      <c r="C830" s="16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</row>
    <row r="831">
      <c r="A831" s="16"/>
      <c r="B831" s="16"/>
      <c r="C831" s="16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</row>
    <row r="832">
      <c r="A832" s="16"/>
      <c r="B832" s="16"/>
      <c r="C832" s="16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</row>
    <row r="833">
      <c r="A833" s="16"/>
      <c r="B833" s="16"/>
      <c r="C833" s="16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</row>
    <row r="834">
      <c r="A834" s="16"/>
      <c r="B834" s="16"/>
      <c r="C834" s="16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</row>
    <row r="835">
      <c r="A835" s="16"/>
      <c r="B835" s="16"/>
      <c r="C835" s="16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</row>
    <row r="836">
      <c r="A836" s="16"/>
      <c r="B836" s="16"/>
      <c r="C836" s="16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</row>
    <row r="837">
      <c r="A837" s="16"/>
      <c r="B837" s="16"/>
      <c r="C837" s="16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</row>
    <row r="838">
      <c r="A838" s="16"/>
      <c r="B838" s="16"/>
      <c r="C838" s="16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</row>
    <row r="839">
      <c r="A839" s="16"/>
      <c r="B839" s="16"/>
      <c r="C839" s="16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</row>
    <row r="840">
      <c r="A840" s="16"/>
      <c r="B840" s="16"/>
      <c r="C840" s="16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</row>
    <row r="841">
      <c r="A841" s="16"/>
      <c r="B841" s="16"/>
      <c r="C841" s="16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</row>
    <row r="842">
      <c r="A842" s="16"/>
      <c r="B842" s="16"/>
      <c r="C842" s="16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</row>
    <row r="843">
      <c r="A843" s="16"/>
      <c r="B843" s="16"/>
      <c r="C843" s="16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</row>
    <row r="844">
      <c r="A844" s="16"/>
      <c r="B844" s="16"/>
      <c r="C844" s="16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</row>
    <row r="845">
      <c r="A845" s="16"/>
      <c r="B845" s="16"/>
      <c r="C845" s="16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</row>
    <row r="846">
      <c r="A846" s="16"/>
      <c r="B846" s="16"/>
      <c r="C846" s="16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</row>
    <row r="847">
      <c r="A847" s="16"/>
      <c r="B847" s="16"/>
      <c r="C847" s="16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</row>
    <row r="848">
      <c r="A848" s="16"/>
      <c r="B848" s="16"/>
      <c r="C848" s="16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</row>
    <row r="849">
      <c r="A849" s="16"/>
      <c r="B849" s="16"/>
      <c r="C849" s="16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</row>
    <row r="850">
      <c r="A850" s="16"/>
      <c r="B850" s="16"/>
      <c r="C850" s="16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</row>
    <row r="851">
      <c r="A851" s="16"/>
      <c r="B851" s="16"/>
      <c r="C851" s="16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</row>
    <row r="852">
      <c r="A852" s="16"/>
      <c r="B852" s="16"/>
      <c r="C852" s="16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</row>
    <row r="853">
      <c r="A853" s="16"/>
      <c r="B853" s="16"/>
      <c r="C853" s="16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</row>
    <row r="854">
      <c r="A854" s="16"/>
      <c r="B854" s="16"/>
      <c r="C854" s="16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</row>
    <row r="855">
      <c r="A855" s="16"/>
      <c r="B855" s="16"/>
      <c r="C855" s="16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</row>
    <row r="856">
      <c r="A856" s="16"/>
      <c r="B856" s="16"/>
      <c r="C856" s="16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</row>
    <row r="857">
      <c r="A857" s="16"/>
      <c r="B857" s="16"/>
      <c r="C857" s="16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</row>
    <row r="858">
      <c r="A858" s="16"/>
      <c r="B858" s="16"/>
      <c r="C858" s="16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</row>
    <row r="859">
      <c r="A859" s="16"/>
      <c r="B859" s="16"/>
      <c r="C859" s="16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</row>
    <row r="860">
      <c r="A860" s="16"/>
      <c r="B860" s="16"/>
      <c r="C860" s="16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</row>
    <row r="861">
      <c r="A861" s="16"/>
      <c r="B861" s="16"/>
      <c r="C861" s="16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</row>
    <row r="862">
      <c r="A862" s="16"/>
      <c r="B862" s="16"/>
      <c r="C862" s="16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</row>
    <row r="863">
      <c r="A863" s="16"/>
      <c r="B863" s="16"/>
      <c r="C863" s="16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</row>
    <row r="864">
      <c r="A864" s="16"/>
      <c r="B864" s="16"/>
      <c r="C864" s="16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</row>
    <row r="865">
      <c r="A865" s="16"/>
      <c r="B865" s="16"/>
      <c r="C865" s="16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</row>
    <row r="866">
      <c r="A866" s="16"/>
      <c r="B866" s="16"/>
      <c r="C866" s="16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</row>
    <row r="867">
      <c r="A867" s="16"/>
      <c r="B867" s="16"/>
      <c r="C867" s="16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</row>
    <row r="868">
      <c r="A868" s="16"/>
      <c r="B868" s="16"/>
      <c r="C868" s="16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</row>
    <row r="869">
      <c r="A869" s="16"/>
      <c r="B869" s="16"/>
      <c r="C869" s="16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</row>
    <row r="870">
      <c r="A870" s="16"/>
      <c r="B870" s="16"/>
      <c r="C870" s="16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</row>
    <row r="871">
      <c r="A871" s="16"/>
      <c r="B871" s="16"/>
      <c r="C871" s="16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</row>
    <row r="872">
      <c r="A872" s="16"/>
      <c r="B872" s="16"/>
      <c r="C872" s="16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</row>
    <row r="873">
      <c r="A873" s="16"/>
      <c r="B873" s="16"/>
      <c r="C873" s="16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</row>
    <row r="874">
      <c r="A874" s="16"/>
      <c r="B874" s="16"/>
      <c r="C874" s="16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</row>
    <row r="875">
      <c r="A875" s="16"/>
      <c r="B875" s="16"/>
      <c r="C875" s="16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</row>
    <row r="876">
      <c r="A876" s="16"/>
      <c r="B876" s="16"/>
      <c r="C876" s="16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</row>
    <row r="877">
      <c r="A877" s="16"/>
      <c r="B877" s="16"/>
      <c r="C877" s="16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</row>
    <row r="878">
      <c r="A878" s="16"/>
      <c r="B878" s="16"/>
      <c r="C878" s="16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</row>
    <row r="879">
      <c r="A879" s="16"/>
      <c r="B879" s="16"/>
      <c r="C879" s="16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</row>
    <row r="880">
      <c r="A880" s="16"/>
      <c r="B880" s="16"/>
      <c r="C880" s="16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</row>
    <row r="881">
      <c r="A881" s="16"/>
      <c r="B881" s="16"/>
      <c r="C881" s="16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</row>
    <row r="882">
      <c r="A882" s="16"/>
      <c r="B882" s="16"/>
      <c r="C882" s="16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</row>
    <row r="883">
      <c r="A883" s="16"/>
      <c r="B883" s="16"/>
      <c r="C883" s="16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</row>
    <row r="884">
      <c r="A884" s="16"/>
      <c r="B884" s="16"/>
      <c r="C884" s="16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</row>
    <row r="885">
      <c r="A885" s="16"/>
      <c r="B885" s="16"/>
      <c r="C885" s="16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</row>
    <row r="886">
      <c r="A886" s="16"/>
      <c r="B886" s="16"/>
      <c r="C886" s="16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</row>
    <row r="887">
      <c r="A887" s="16"/>
      <c r="B887" s="16"/>
      <c r="C887" s="16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</row>
    <row r="888">
      <c r="A888" s="16"/>
      <c r="B888" s="16"/>
      <c r="C888" s="16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</row>
    <row r="889">
      <c r="A889" s="16"/>
      <c r="B889" s="16"/>
      <c r="C889" s="16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</row>
    <row r="890">
      <c r="A890" s="16"/>
      <c r="B890" s="16"/>
      <c r="C890" s="16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</row>
    <row r="891">
      <c r="A891" s="16"/>
      <c r="B891" s="16"/>
      <c r="C891" s="16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</row>
    <row r="892">
      <c r="A892" s="16"/>
      <c r="B892" s="16"/>
      <c r="C892" s="16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</row>
    <row r="893">
      <c r="A893" s="16"/>
      <c r="B893" s="16"/>
      <c r="C893" s="16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</row>
    <row r="894">
      <c r="A894" s="16"/>
      <c r="B894" s="16"/>
      <c r="C894" s="16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</row>
    <row r="895">
      <c r="A895" s="16"/>
      <c r="B895" s="16"/>
      <c r="C895" s="16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</row>
    <row r="896">
      <c r="A896" s="16"/>
      <c r="B896" s="16"/>
      <c r="C896" s="16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</row>
    <row r="897">
      <c r="A897" s="16"/>
      <c r="B897" s="16"/>
      <c r="C897" s="16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</row>
    <row r="898">
      <c r="A898" s="16"/>
      <c r="B898" s="16"/>
      <c r="C898" s="16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</row>
    <row r="899">
      <c r="A899" s="16"/>
      <c r="B899" s="16"/>
      <c r="C899" s="16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</row>
    <row r="900">
      <c r="A900" s="16"/>
      <c r="B900" s="16"/>
      <c r="C900" s="16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</row>
    <row r="901">
      <c r="A901" s="16"/>
      <c r="B901" s="16"/>
      <c r="C901" s="16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</row>
    <row r="902">
      <c r="A902" s="16"/>
      <c r="B902" s="16"/>
      <c r="C902" s="16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</row>
    <row r="903">
      <c r="A903" s="16"/>
      <c r="B903" s="16"/>
      <c r="C903" s="16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</row>
    <row r="904">
      <c r="A904" s="16"/>
      <c r="B904" s="16"/>
      <c r="C904" s="16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</row>
    <row r="905">
      <c r="A905" s="16"/>
      <c r="B905" s="16"/>
      <c r="C905" s="16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</row>
    <row r="906">
      <c r="A906" s="16"/>
      <c r="B906" s="16"/>
      <c r="C906" s="16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</row>
    <row r="907">
      <c r="A907" s="16"/>
      <c r="B907" s="16"/>
      <c r="C907" s="16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</row>
    <row r="908">
      <c r="A908" s="16"/>
      <c r="B908" s="16"/>
      <c r="C908" s="16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</row>
    <row r="909">
      <c r="A909" s="16"/>
      <c r="B909" s="16"/>
      <c r="C909" s="16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</row>
    <row r="910">
      <c r="A910" s="16"/>
      <c r="B910" s="16"/>
      <c r="C910" s="16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</row>
    <row r="911">
      <c r="A911" s="16"/>
      <c r="B911" s="16"/>
      <c r="C911" s="16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</row>
    <row r="912">
      <c r="A912" s="16"/>
      <c r="B912" s="16"/>
      <c r="C912" s="16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</row>
    <row r="913">
      <c r="A913" s="16"/>
      <c r="B913" s="16"/>
      <c r="C913" s="16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</row>
    <row r="914">
      <c r="A914" s="16"/>
      <c r="B914" s="16"/>
      <c r="C914" s="16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</row>
    <row r="915">
      <c r="A915" s="16"/>
      <c r="B915" s="16"/>
      <c r="C915" s="16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</row>
    <row r="916">
      <c r="A916" s="16"/>
      <c r="B916" s="16"/>
      <c r="C916" s="16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</row>
    <row r="917">
      <c r="A917" s="16"/>
      <c r="B917" s="16"/>
      <c r="C917" s="16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</row>
    <row r="918">
      <c r="A918" s="16"/>
      <c r="B918" s="16"/>
      <c r="C918" s="16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</row>
    <row r="919">
      <c r="A919" s="16"/>
      <c r="B919" s="16"/>
      <c r="C919" s="16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</row>
    <row r="920">
      <c r="A920" s="16"/>
      <c r="B920" s="16"/>
      <c r="C920" s="16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</row>
    <row r="921">
      <c r="A921" s="16"/>
      <c r="B921" s="16"/>
      <c r="C921" s="16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</row>
    <row r="922">
      <c r="A922" s="16"/>
      <c r="B922" s="16"/>
      <c r="C922" s="16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</row>
    <row r="923">
      <c r="A923" s="16"/>
      <c r="B923" s="16"/>
      <c r="C923" s="16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</row>
    <row r="924">
      <c r="A924" s="16"/>
      <c r="B924" s="16"/>
      <c r="C924" s="16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</row>
    <row r="925">
      <c r="A925" s="16"/>
      <c r="B925" s="16"/>
      <c r="C925" s="16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</row>
    <row r="926">
      <c r="A926" s="16"/>
      <c r="B926" s="16"/>
      <c r="C926" s="16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</row>
    <row r="927">
      <c r="A927" s="16"/>
      <c r="B927" s="16"/>
      <c r="C927" s="16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</row>
    <row r="928">
      <c r="A928" s="16"/>
      <c r="B928" s="16"/>
      <c r="C928" s="16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</row>
    <row r="929">
      <c r="A929" s="16"/>
      <c r="B929" s="16"/>
      <c r="C929" s="16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</row>
    <row r="930">
      <c r="A930" s="16"/>
      <c r="B930" s="16"/>
      <c r="C930" s="16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</row>
    <row r="931">
      <c r="A931" s="16"/>
      <c r="B931" s="16"/>
      <c r="C931" s="16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</row>
    <row r="932">
      <c r="A932" s="16"/>
      <c r="B932" s="16"/>
      <c r="C932" s="16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</row>
    <row r="933">
      <c r="A933" s="16"/>
      <c r="B933" s="16"/>
      <c r="C933" s="16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</row>
    <row r="934">
      <c r="A934" s="16"/>
      <c r="B934" s="16"/>
      <c r="C934" s="16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</row>
    <row r="935">
      <c r="A935" s="16"/>
      <c r="B935" s="16"/>
      <c r="C935" s="16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</row>
    <row r="936">
      <c r="A936" s="16"/>
      <c r="B936" s="16"/>
      <c r="C936" s="16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</row>
    <row r="937">
      <c r="A937" s="16"/>
      <c r="B937" s="16"/>
      <c r="C937" s="16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</row>
    <row r="938">
      <c r="A938" s="16"/>
      <c r="B938" s="16"/>
      <c r="C938" s="16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</row>
    <row r="939">
      <c r="A939" s="16"/>
      <c r="B939" s="16"/>
      <c r="C939" s="16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</row>
    <row r="940">
      <c r="A940" s="16"/>
      <c r="B940" s="16"/>
      <c r="C940" s="16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</row>
    <row r="941">
      <c r="A941" s="16"/>
      <c r="B941" s="16"/>
      <c r="C941" s="16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</row>
    <row r="942">
      <c r="A942" s="16"/>
      <c r="B942" s="16"/>
      <c r="C942" s="16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</row>
    <row r="943">
      <c r="A943" s="16"/>
      <c r="B943" s="16"/>
      <c r="C943" s="16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</row>
    <row r="944">
      <c r="A944" s="16"/>
      <c r="B944" s="16"/>
      <c r="C944" s="16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</row>
    <row r="945">
      <c r="A945" s="16"/>
      <c r="B945" s="16"/>
      <c r="C945" s="16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</row>
    <row r="946">
      <c r="A946" s="16"/>
      <c r="B946" s="16"/>
      <c r="C946" s="16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</row>
    <row r="947">
      <c r="A947" s="16"/>
      <c r="B947" s="16"/>
      <c r="C947" s="16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</row>
    <row r="948">
      <c r="A948" s="16"/>
      <c r="B948" s="16"/>
      <c r="C948" s="16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</row>
    <row r="949">
      <c r="A949" s="16"/>
      <c r="B949" s="16"/>
      <c r="C949" s="16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</row>
    <row r="950">
      <c r="A950" s="16"/>
      <c r="B950" s="16"/>
      <c r="C950" s="16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</row>
    <row r="951">
      <c r="A951" s="16"/>
      <c r="B951" s="16"/>
      <c r="C951" s="16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</row>
    <row r="952">
      <c r="A952" s="16"/>
      <c r="B952" s="16"/>
      <c r="C952" s="16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</row>
    <row r="953">
      <c r="A953" s="16"/>
      <c r="B953" s="16"/>
      <c r="C953" s="16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</row>
    <row r="954">
      <c r="A954" s="16"/>
      <c r="B954" s="16"/>
      <c r="C954" s="16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</row>
    <row r="955">
      <c r="A955" s="16"/>
      <c r="B955" s="16"/>
      <c r="C955" s="16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</row>
    <row r="956">
      <c r="A956" s="16"/>
      <c r="B956" s="16"/>
      <c r="C956" s="16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</row>
    <row r="957">
      <c r="A957" s="16"/>
      <c r="B957" s="16"/>
      <c r="C957" s="16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</row>
    <row r="958">
      <c r="A958" s="16"/>
      <c r="B958" s="16"/>
      <c r="C958" s="16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</row>
    <row r="959">
      <c r="A959" s="16"/>
      <c r="B959" s="16"/>
      <c r="C959" s="16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</row>
    <row r="960">
      <c r="A960" s="16"/>
      <c r="B960" s="16"/>
      <c r="C960" s="16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</row>
    <row r="961">
      <c r="A961" s="16"/>
      <c r="B961" s="16"/>
      <c r="C961" s="16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</row>
    <row r="962">
      <c r="A962" s="16"/>
      <c r="B962" s="16"/>
      <c r="C962" s="16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</row>
    <row r="963">
      <c r="A963" s="16"/>
      <c r="B963" s="16"/>
      <c r="C963" s="16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</row>
    <row r="964">
      <c r="A964" s="16"/>
      <c r="B964" s="16"/>
      <c r="C964" s="16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</row>
    <row r="965">
      <c r="A965" s="16"/>
      <c r="B965" s="16"/>
      <c r="C965" s="16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</row>
    <row r="966">
      <c r="A966" s="16"/>
      <c r="B966" s="16"/>
      <c r="C966" s="16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</row>
    <row r="967">
      <c r="A967" s="16"/>
      <c r="B967" s="16"/>
      <c r="C967" s="16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</row>
    <row r="968">
      <c r="A968" s="16"/>
      <c r="B968" s="16"/>
      <c r="C968" s="16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</row>
    <row r="969">
      <c r="A969" s="16"/>
      <c r="B969" s="16"/>
      <c r="C969" s="16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</row>
    <row r="970">
      <c r="A970" s="16"/>
      <c r="B970" s="16"/>
      <c r="C970" s="16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</row>
    <row r="971">
      <c r="A971" s="16"/>
      <c r="B971" s="16"/>
      <c r="C971" s="16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</row>
    <row r="972">
      <c r="A972" s="16"/>
      <c r="B972" s="16"/>
      <c r="C972" s="16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</row>
    <row r="973">
      <c r="A973" s="16"/>
      <c r="B973" s="16"/>
      <c r="C973" s="16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</row>
    <row r="974">
      <c r="A974" s="16"/>
      <c r="B974" s="16"/>
      <c r="C974" s="16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</row>
    <row r="975">
      <c r="A975" s="16"/>
      <c r="B975" s="16"/>
      <c r="C975" s="16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</row>
    <row r="976">
      <c r="A976" s="16"/>
      <c r="B976" s="16"/>
      <c r="C976" s="16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</row>
    <row r="977">
      <c r="A977" s="16"/>
      <c r="B977" s="16"/>
      <c r="C977" s="16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</row>
    <row r="978">
      <c r="A978" s="16"/>
      <c r="B978" s="16"/>
      <c r="C978" s="16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</row>
    <row r="979">
      <c r="A979" s="16"/>
      <c r="B979" s="16"/>
      <c r="C979" s="16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</row>
    <row r="980">
      <c r="A980" s="16"/>
      <c r="B980" s="16"/>
      <c r="C980" s="16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</row>
    <row r="981">
      <c r="A981" s="16"/>
      <c r="B981" s="16"/>
      <c r="C981" s="16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</row>
    <row r="982">
      <c r="A982" s="16"/>
      <c r="B982" s="16"/>
      <c r="C982" s="16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</row>
    <row r="983">
      <c r="A983" s="16"/>
      <c r="B983" s="16"/>
      <c r="C983" s="16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</row>
    <row r="984">
      <c r="A984" s="16"/>
      <c r="B984" s="16"/>
      <c r="C984" s="16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</row>
    <row r="985">
      <c r="A985" s="16"/>
      <c r="B985" s="16"/>
      <c r="C985" s="16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</row>
    <row r="986">
      <c r="A986" s="16"/>
      <c r="B986" s="16"/>
      <c r="C986" s="16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</row>
    <row r="987">
      <c r="A987" s="16"/>
      <c r="B987" s="16"/>
      <c r="C987" s="16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</row>
    <row r="988">
      <c r="A988" s="16"/>
      <c r="B988" s="16"/>
      <c r="C988" s="16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</row>
    <row r="989">
      <c r="A989" s="16"/>
      <c r="B989" s="16"/>
      <c r="C989" s="16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</row>
    <row r="990">
      <c r="A990" s="16"/>
      <c r="B990" s="16"/>
      <c r="C990" s="16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</row>
    <row r="991">
      <c r="A991" s="16"/>
      <c r="B991" s="16"/>
      <c r="C991" s="16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</row>
    <row r="992">
      <c r="A992" s="16"/>
      <c r="B992" s="16"/>
      <c r="C992" s="16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</row>
    <row r="993">
      <c r="A993" s="16"/>
      <c r="B993" s="16"/>
      <c r="C993" s="16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</row>
    <row r="994">
      <c r="A994" s="16"/>
      <c r="B994" s="16"/>
      <c r="C994" s="16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</row>
    <row r="995">
      <c r="A995" s="16"/>
      <c r="B995" s="16"/>
      <c r="C995" s="16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</row>
    <row r="996">
      <c r="A996" s="16"/>
      <c r="B996" s="16"/>
      <c r="C996" s="16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22.88"/>
    <col customWidth="1" min="4" max="4" width="6.5"/>
    <col customWidth="1" min="5" max="5" width="4.75"/>
    <col customWidth="1" min="6" max="6" width="8.0"/>
    <col customWidth="1" min="7" max="7" width="22.88"/>
    <col customWidth="1" min="8" max="8" width="6.5"/>
    <col customWidth="1" min="9" max="9" width="14.63"/>
    <col customWidth="1" min="10" max="10" width="14.88"/>
  </cols>
  <sheetData>
    <row r="1">
      <c r="A1" s="1"/>
      <c r="B1" s="3"/>
      <c r="C1" s="3"/>
      <c r="D1" s="5"/>
      <c r="E1" s="3"/>
      <c r="F1" s="3"/>
      <c r="G1" s="3"/>
      <c r="H1" s="5"/>
      <c r="I1" s="6"/>
      <c r="J1" s="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/>
      <c r="B2" s="10"/>
      <c r="C2" s="10"/>
      <c r="D2" s="11"/>
      <c r="E2" s="10"/>
      <c r="F2" s="10"/>
      <c r="G2" s="10"/>
      <c r="H2" s="11"/>
      <c r="I2" s="12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5"/>
      <c r="B3" s="3"/>
      <c r="C3" s="3"/>
      <c r="D3" s="5"/>
      <c r="E3" s="3"/>
      <c r="F3" s="3"/>
      <c r="G3" s="3"/>
      <c r="H3" s="5"/>
      <c r="I3" s="6"/>
      <c r="J3" s="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5"/>
      <c r="B4" s="3"/>
      <c r="C4" s="3"/>
      <c r="D4" s="5"/>
      <c r="E4" s="3"/>
      <c r="F4" s="3"/>
      <c r="G4" s="3"/>
      <c r="H4" s="5"/>
      <c r="I4" s="6"/>
      <c r="J4" s="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5"/>
      <c r="B5" s="3"/>
      <c r="C5" s="3"/>
      <c r="D5" s="5"/>
      <c r="E5" s="3"/>
      <c r="F5" s="3"/>
      <c r="G5" s="3"/>
      <c r="H5" s="5"/>
      <c r="I5" s="6"/>
      <c r="J5" s="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5"/>
      <c r="B6" s="3"/>
      <c r="C6" s="3"/>
      <c r="D6" s="5"/>
      <c r="E6" s="3"/>
      <c r="F6" s="3"/>
      <c r="G6" s="3"/>
      <c r="H6" s="5"/>
      <c r="I6" s="6"/>
      <c r="J6" s="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5"/>
      <c r="B7" s="3"/>
      <c r="C7" s="3"/>
      <c r="D7" s="5"/>
      <c r="E7" s="3"/>
      <c r="F7" s="3"/>
      <c r="G7" s="3"/>
      <c r="H7" s="5"/>
      <c r="I7" s="6"/>
      <c r="J7" s="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5"/>
      <c r="B8" s="3"/>
      <c r="C8" s="3"/>
      <c r="D8" s="5"/>
      <c r="E8" s="3"/>
      <c r="F8" s="3"/>
      <c r="G8" s="3"/>
      <c r="H8" s="5"/>
      <c r="I8" s="6"/>
      <c r="J8" s="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5"/>
      <c r="B9" s="3"/>
      <c r="C9" s="3"/>
      <c r="D9" s="5"/>
      <c r="E9" s="3"/>
      <c r="F9" s="3"/>
      <c r="G9" s="3"/>
      <c r="H9" s="5"/>
      <c r="I9" s="6"/>
      <c r="J9" s="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5"/>
      <c r="B10" s="3"/>
      <c r="C10" s="3"/>
      <c r="D10" s="5"/>
      <c r="E10" s="3"/>
      <c r="F10" s="3"/>
      <c r="G10" s="3"/>
      <c r="H10" s="5"/>
      <c r="I10" s="6"/>
      <c r="J10" s="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5"/>
      <c r="B11" s="3"/>
      <c r="C11" s="3"/>
      <c r="D11" s="5"/>
      <c r="E11" s="3"/>
      <c r="F11" s="3"/>
      <c r="G11" s="3"/>
      <c r="H11" s="5"/>
      <c r="I11" s="6"/>
      <c r="J11" s="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5"/>
      <c r="B12" s="3"/>
      <c r="C12" s="3"/>
      <c r="D12" s="5"/>
      <c r="E12" s="3"/>
      <c r="F12" s="3"/>
      <c r="G12" s="3"/>
      <c r="H12" s="5"/>
      <c r="I12" s="6"/>
      <c r="J12" s="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5"/>
      <c r="B13" s="3"/>
      <c r="C13" s="3"/>
      <c r="D13" s="5"/>
      <c r="E13" s="3"/>
      <c r="F13" s="3"/>
      <c r="G13" s="3"/>
      <c r="H13" s="5"/>
      <c r="I13" s="6"/>
      <c r="J13" s="3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5"/>
      <c r="B14" s="3"/>
      <c r="C14" s="3"/>
      <c r="D14" s="5"/>
      <c r="E14" s="3"/>
      <c r="F14" s="3"/>
      <c r="G14" s="3"/>
      <c r="H14" s="5"/>
      <c r="I14" s="6"/>
      <c r="J14" s="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5"/>
      <c r="B15" s="3"/>
      <c r="C15" s="3"/>
      <c r="D15" s="5"/>
      <c r="E15" s="3"/>
      <c r="F15" s="3"/>
      <c r="G15" s="3"/>
      <c r="H15" s="5"/>
      <c r="I15" s="6"/>
      <c r="J15" s="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3"/>
      <c r="C16" s="3"/>
      <c r="D16" s="5"/>
      <c r="E16" s="3"/>
      <c r="F16" s="3"/>
      <c r="G16" s="3"/>
      <c r="H16" s="5"/>
      <c r="I16" s="6"/>
      <c r="J16" s="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5"/>
      <c r="B17" s="3"/>
      <c r="C17" s="3"/>
      <c r="D17" s="5"/>
      <c r="E17" s="3"/>
      <c r="F17" s="3"/>
      <c r="G17" s="3"/>
      <c r="H17" s="5"/>
      <c r="I17" s="6"/>
      <c r="J17" s="3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5"/>
      <c r="B18" s="3"/>
      <c r="C18" s="3"/>
      <c r="D18" s="5"/>
      <c r="E18" s="3"/>
      <c r="F18" s="3"/>
      <c r="G18" s="3"/>
      <c r="H18" s="5"/>
      <c r="I18" s="6"/>
      <c r="J18" s="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5"/>
      <c r="B19" s="3"/>
      <c r="C19" s="3"/>
      <c r="D19" s="5"/>
      <c r="E19" s="3"/>
      <c r="F19" s="3"/>
      <c r="G19" s="3"/>
      <c r="H19" s="5"/>
      <c r="I19" s="6"/>
      <c r="J19" s="3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5"/>
      <c r="B20" s="3"/>
      <c r="C20" s="3"/>
      <c r="D20" s="5"/>
      <c r="E20" s="3"/>
      <c r="F20" s="3"/>
      <c r="G20" s="3"/>
      <c r="H20" s="5"/>
      <c r="I20" s="6"/>
      <c r="J20" s="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5"/>
      <c r="B21" s="3"/>
      <c r="C21" s="3"/>
      <c r="D21" s="5"/>
      <c r="E21" s="3"/>
      <c r="F21" s="3"/>
      <c r="G21" s="3"/>
      <c r="H21" s="5"/>
      <c r="I21" s="6"/>
      <c r="J21" s="3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3"/>
      <c r="C22" s="3"/>
      <c r="D22" s="5"/>
      <c r="E22" s="3"/>
      <c r="F22" s="3"/>
      <c r="G22" s="3"/>
      <c r="H22" s="5"/>
      <c r="I22" s="6"/>
      <c r="J22" s="3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5"/>
      <c r="B23" s="3"/>
      <c r="C23" s="3"/>
      <c r="D23" s="5"/>
      <c r="E23" s="3"/>
      <c r="F23" s="3"/>
      <c r="G23" s="3"/>
      <c r="H23" s="5"/>
      <c r="I23" s="6"/>
      <c r="J23" s="3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5"/>
      <c r="B24" s="3"/>
      <c r="C24" s="3"/>
      <c r="D24" s="5"/>
      <c r="E24" s="3"/>
      <c r="F24" s="3"/>
      <c r="G24" s="3"/>
      <c r="H24" s="5"/>
      <c r="I24" s="6"/>
      <c r="J24" s="3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5"/>
      <c r="B25" s="3"/>
      <c r="C25" s="3"/>
      <c r="D25" s="5"/>
      <c r="E25" s="3"/>
      <c r="F25" s="3"/>
      <c r="G25" s="3"/>
      <c r="H25" s="5"/>
      <c r="I25" s="6"/>
      <c r="J25" s="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5"/>
      <c r="B26" s="3"/>
      <c r="C26" s="3"/>
      <c r="D26" s="5"/>
      <c r="E26" s="3"/>
      <c r="F26" s="3"/>
      <c r="G26" s="3"/>
      <c r="H26" s="5"/>
      <c r="I26" s="6"/>
      <c r="J26" s="3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5"/>
      <c r="B27" s="3"/>
      <c r="C27" s="3"/>
      <c r="D27" s="5"/>
      <c r="E27" s="3"/>
      <c r="F27" s="3"/>
      <c r="G27" s="3"/>
      <c r="H27" s="5"/>
      <c r="I27" s="6"/>
      <c r="J27" s="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5"/>
      <c r="B28" s="3"/>
      <c r="C28" s="3"/>
      <c r="D28" s="5"/>
      <c r="E28" s="3"/>
      <c r="F28" s="3"/>
      <c r="G28" s="3"/>
      <c r="H28" s="5"/>
      <c r="I28" s="6"/>
      <c r="J28" s="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5"/>
      <c r="B29" s="3"/>
      <c r="C29" s="3"/>
      <c r="D29" s="5"/>
      <c r="E29" s="3"/>
      <c r="F29" s="3"/>
      <c r="G29" s="3"/>
      <c r="H29" s="5"/>
      <c r="I29" s="6"/>
      <c r="J29" s="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5"/>
      <c r="B30" s="3"/>
      <c r="C30" s="3"/>
      <c r="D30" s="5"/>
      <c r="E30" s="3"/>
      <c r="F30" s="3"/>
      <c r="G30" s="3"/>
      <c r="H30" s="5"/>
      <c r="I30" s="6"/>
      <c r="J30" s="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5"/>
      <c r="B31" s="3"/>
      <c r="C31" s="3"/>
      <c r="D31" s="5"/>
      <c r="E31" s="3"/>
      <c r="F31" s="3"/>
      <c r="G31" s="3"/>
      <c r="H31" s="5"/>
      <c r="I31" s="6"/>
      <c r="J31" s="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5"/>
      <c r="B32" s="3"/>
      <c r="C32" s="3"/>
      <c r="D32" s="5"/>
      <c r="E32" s="3"/>
      <c r="F32" s="3"/>
      <c r="G32" s="3"/>
      <c r="H32" s="5"/>
      <c r="I32" s="6"/>
      <c r="J32" s="3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5"/>
      <c r="B33" s="3"/>
      <c r="C33" s="3"/>
      <c r="D33" s="5"/>
      <c r="E33" s="3"/>
      <c r="F33" s="3"/>
      <c r="G33" s="3"/>
      <c r="H33" s="5"/>
      <c r="I33" s="6"/>
      <c r="J33" s="3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3"/>
      <c r="C34" s="3"/>
      <c r="D34" s="5"/>
      <c r="E34" s="3"/>
      <c r="F34" s="3"/>
      <c r="G34" s="3"/>
      <c r="H34" s="5"/>
      <c r="I34" s="6"/>
      <c r="J34" s="3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3"/>
      <c r="C35" s="3"/>
      <c r="D35" s="5"/>
      <c r="E35" s="3"/>
      <c r="F35" s="3"/>
      <c r="G35" s="3"/>
      <c r="H35" s="5"/>
      <c r="I35" s="6"/>
      <c r="J35" s="3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3"/>
      <c r="C36" s="3"/>
      <c r="D36" s="5"/>
      <c r="E36" s="3"/>
      <c r="F36" s="3"/>
      <c r="G36" s="3"/>
      <c r="H36" s="5"/>
      <c r="I36" s="6"/>
      <c r="J36" s="3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3"/>
      <c r="C37" s="3"/>
      <c r="D37" s="5"/>
      <c r="E37" s="3"/>
      <c r="F37" s="3"/>
      <c r="G37" s="3"/>
      <c r="H37" s="5"/>
      <c r="I37" s="6"/>
      <c r="J37" s="3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3"/>
      <c r="C38" s="3"/>
      <c r="D38" s="5"/>
      <c r="E38" s="3"/>
      <c r="F38" s="3"/>
      <c r="G38" s="3"/>
      <c r="H38" s="5"/>
      <c r="I38" s="6"/>
      <c r="J38" s="3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3"/>
      <c r="C39" s="3"/>
      <c r="D39" s="5"/>
      <c r="E39" s="3"/>
      <c r="F39" s="3"/>
      <c r="G39" s="3"/>
      <c r="H39" s="5"/>
      <c r="I39" s="6"/>
      <c r="J39" s="3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3"/>
      <c r="C40" s="3"/>
      <c r="D40" s="5"/>
      <c r="E40" s="3"/>
      <c r="F40" s="3"/>
      <c r="G40" s="3"/>
      <c r="H40" s="5"/>
      <c r="I40" s="6"/>
      <c r="J40" s="3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3"/>
      <c r="C41" s="3"/>
      <c r="D41" s="5"/>
      <c r="E41" s="3"/>
      <c r="F41" s="3"/>
      <c r="G41" s="3"/>
      <c r="H41" s="5"/>
      <c r="I41" s="6"/>
      <c r="J41" s="3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3"/>
      <c r="C42" s="3"/>
      <c r="D42" s="5"/>
      <c r="E42" s="3"/>
      <c r="F42" s="3"/>
      <c r="G42" s="3"/>
      <c r="H42" s="5"/>
      <c r="I42" s="6"/>
      <c r="J42" s="3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3"/>
      <c r="C43" s="3"/>
      <c r="D43" s="5"/>
      <c r="E43" s="3"/>
      <c r="F43" s="3"/>
      <c r="G43" s="3"/>
      <c r="H43" s="5"/>
      <c r="I43" s="6"/>
      <c r="J43" s="3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3"/>
      <c r="C44" s="3"/>
      <c r="D44" s="5"/>
      <c r="E44" s="3"/>
      <c r="F44" s="3"/>
      <c r="G44" s="3"/>
      <c r="H44" s="5"/>
      <c r="I44" s="6"/>
      <c r="J44" s="3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3"/>
      <c r="C45" s="3"/>
      <c r="D45" s="5"/>
      <c r="E45" s="3"/>
      <c r="F45" s="3"/>
      <c r="G45" s="3"/>
      <c r="H45" s="5"/>
      <c r="I45" s="6"/>
      <c r="J45" s="3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3"/>
      <c r="C46" s="3"/>
      <c r="D46" s="5"/>
      <c r="E46" s="3"/>
      <c r="F46" s="3"/>
      <c r="G46" s="3"/>
      <c r="H46" s="5"/>
      <c r="I46" s="6"/>
      <c r="J46" s="3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3"/>
      <c r="C47" s="3"/>
      <c r="D47" s="5"/>
      <c r="E47" s="3"/>
      <c r="F47" s="3"/>
      <c r="G47" s="3"/>
      <c r="H47" s="5"/>
      <c r="I47" s="6"/>
      <c r="J47" s="3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3"/>
      <c r="C48" s="3"/>
      <c r="D48" s="5"/>
      <c r="E48" s="3"/>
      <c r="F48" s="3"/>
      <c r="G48" s="3"/>
      <c r="H48" s="5"/>
      <c r="I48" s="6"/>
      <c r="J48" s="3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3"/>
      <c r="C49" s="3"/>
      <c r="D49" s="5"/>
      <c r="E49" s="3"/>
      <c r="F49" s="3"/>
      <c r="G49" s="3"/>
      <c r="H49" s="5"/>
      <c r="I49" s="6"/>
      <c r="J49" s="3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3"/>
      <c r="C50" s="3"/>
      <c r="D50" s="5"/>
      <c r="E50" s="3"/>
      <c r="F50" s="3"/>
      <c r="G50" s="3"/>
      <c r="H50" s="5"/>
      <c r="I50" s="6"/>
      <c r="J50" s="3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3"/>
      <c r="C51" s="3"/>
      <c r="D51" s="5"/>
      <c r="E51" s="3"/>
      <c r="F51" s="3"/>
      <c r="G51" s="3"/>
      <c r="H51" s="5"/>
      <c r="I51" s="6"/>
      <c r="J51" s="3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3"/>
      <c r="C52" s="3"/>
      <c r="D52" s="5"/>
      <c r="E52" s="3"/>
      <c r="F52" s="3"/>
      <c r="G52" s="3"/>
      <c r="H52" s="5"/>
      <c r="I52" s="6"/>
      <c r="J52" s="3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3"/>
      <c r="C53" s="3"/>
      <c r="D53" s="5"/>
      <c r="E53" s="3"/>
      <c r="F53" s="3"/>
      <c r="G53" s="3"/>
      <c r="H53" s="5"/>
      <c r="I53" s="6"/>
      <c r="J53" s="3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3"/>
      <c r="C54" s="3"/>
      <c r="D54" s="5"/>
      <c r="E54" s="3"/>
      <c r="F54" s="3"/>
      <c r="G54" s="3"/>
      <c r="H54" s="5"/>
      <c r="I54" s="6"/>
      <c r="J54" s="3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3"/>
      <c r="C55" s="3"/>
      <c r="D55" s="5"/>
      <c r="E55" s="3"/>
      <c r="F55" s="3"/>
      <c r="G55" s="3"/>
      <c r="H55" s="5"/>
      <c r="I55" s="6"/>
      <c r="J55" s="3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3"/>
      <c r="C56" s="3"/>
      <c r="D56" s="5"/>
      <c r="E56" s="3"/>
      <c r="F56" s="3"/>
      <c r="G56" s="3"/>
      <c r="H56" s="5"/>
      <c r="I56" s="6"/>
      <c r="J56" s="3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3"/>
      <c r="C57" s="3"/>
      <c r="D57" s="5"/>
      <c r="E57" s="3"/>
      <c r="F57" s="3"/>
      <c r="G57" s="3"/>
      <c r="H57" s="5"/>
      <c r="I57" s="6"/>
      <c r="J57" s="3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3"/>
      <c r="C58" s="3"/>
      <c r="D58" s="5"/>
      <c r="E58" s="3"/>
      <c r="F58" s="3"/>
      <c r="G58" s="3"/>
      <c r="H58" s="5"/>
      <c r="I58" s="6"/>
      <c r="J58" s="3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3"/>
      <c r="C59" s="3"/>
      <c r="D59" s="5"/>
      <c r="E59" s="3"/>
      <c r="F59" s="3"/>
      <c r="G59" s="3"/>
      <c r="H59" s="5"/>
      <c r="I59" s="6"/>
      <c r="J59" s="3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3"/>
      <c r="C60" s="3"/>
      <c r="D60" s="5"/>
      <c r="E60" s="3"/>
      <c r="F60" s="3"/>
      <c r="G60" s="3"/>
      <c r="H60" s="5"/>
      <c r="I60" s="6"/>
      <c r="J60" s="3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3"/>
      <c r="C61" s="3"/>
      <c r="D61" s="5"/>
      <c r="E61" s="3"/>
      <c r="F61" s="3"/>
      <c r="G61" s="3"/>
      <c r="H61" s="5"/>
      <c r="I61" s="6"/>
      <c r="J61" s="3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13"/>
    <col customWidth="1" min="3" max="3" width="8.0"/>
    <col customWidth="1" min="4" max="4" width="31.75"/>
    <col customWidth="1" min="5" max="5" width="21.5"/>
    <col customWidth="1" min="6" max="6" width="7.88"/>
    <col customWidth="1" min="7" max="7" width="10.25"/>
    <col customWidth="1" min="8" max="8" width="8.38"/>
    <col customWidth="1" min="9" max="26" width="5.13"/>
  </cols>
  <sheetData>
    <row r="1">
      <c r="A1" s="18" t="s">
        <v>14</v>
      </c>
      <c r="B1" s="18" t="s">
        <v>1</v>
      </c>
      <c r="C1" s="18" t="s">
        <v>18</v>
      </c>
      <c r="D1" s="18" t="s">
        <v>19</v>
      </c>
      <c r="E1" s="19">
        <v>371.0</v>
      </c>
      <c r="F1" s="20"/>
      <c r="G1" s="21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 t="str">
        <f>IFERROR(__xludf.DUMMYFUNCTION("importhtml(""https://www.myfantasyleague.com/2026/options?L=63213&amp;O=03&amp;TYPE=WAIVER&amp;FRANCHISE=0000&amp;DAYS=3000&amp;REFRESH=""&amp;E1,""table"",2)"),"#")</f>
        <v>#</v>
      </c>
      <c r="B2" s="20" t="str">
        <f>IFERROR(__xludf.DUMMYFUNCTION("""COMPUTED_VALUE"""),"Franchise")</f>
        <v>Franchise</v>
      </c>
      <c r="C2" s="20" t="str">
        <f>IFERROR(__xludf.DUMMYFUNCTION("""COMPUTED_VALUE"""),"Type")</f>
        <v>Type</v>
      </c>
      <c r="D2" s="20" t="str">
        <f>IFERROR(__xludf.DUMMYFUNCTION("""COMPUTED_VALUE"""),"Transaction")</f>
        <v>Transaction</v>
      </c>
      <c r="E2" s="20" t="str">
        <f>IFERROR(__xludf.DUMMYFUNCTION("""COMPUTED_VALUE"""),"Date")</f>
        <v>Date</v>
      </c>
      <c r="F2" s="18" t="s">
        <v>14</v>
      </c>
      <c r="G2" s="23" t="s">
        <v>21</v>
      </c>
      <c r="H2" s="18" t="s">
        <v>22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>
        <f>IFERROR(__xludf.DUMMYFUNCTION("""COMPUTED_VALUE"""),1.0)</f>
        <v>1</v>
      </c>
      <c r="B3" s="20" t="str">
        <f>IFERROR(__xludf.DUMMYFUNCTION("""COMPUTED_VALUE"""),"BattleBots")</f>
        <v>BattleBots</v>
      </c>
      <c r="C3" s="20" t="str">
        <f>IFERROR(__xludf.DUMMYFUNCTION("""COMPUTED_VALUE"""),"Waiver")</f>
        <v>Waiver</v>
      </c>
      <c r="D3" s="20" t="str">
        <f>IFERROR(__xludf.DUMMYFUNCTION("""COMPUTED_VALUE"""),"- Acquired Tremble, Tommy CAR TE for $1.00")</f>
        <v>- Acquired Tremble, Tommy CAR TE for $1.00</v>
      </c>
      <c r="E3" s="20" t="str">
        <f>IFERROR(__xludf.DUMMYFUNCTION("""COMPUTED_VALUE"""),"Wed Oct 21 11:00:00 a.m. ET 2026")</f>
        <v>Wed Oct 21 11:00:00 a.m. ET 2026</v>
      </c>
      <c r="F3" s="26">
        <f t="shared" ref="F3:F998" si="1">iferror(datevalue(left(E3,10)&amp;right(E3,5)),"")</f>
        <v>46316</v>
      </c>
      <c r="G3" s="21">
        <f t="shared" ref="G3:G998" si="2">iferror(value(mid(D3,find("$",D3)+1,4)),"")</f>
        <v>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>
        <f>IFERROR(__xludf.DUMMYFUNCTION("""COMPUTED_VALUE"""),2.0)</f>
        <v>2</v>
      </c>
      <c r="B4" s="20" t="str">
        <f>IFERROR(__xludf.DUMMYFUNCTION("""COMPUTED_VALUE"""),"Orcan Terror")</f>
        <v>Orcan Terror</v>
      </c>
      <c r="C4" s="20" t="str">
        <f>IFERROR(__xludf.DUMMYFUNCTION("""COMPUTED_VALUE"""),"Waiver")</f>
        <v>Waiver</v>
      </c>
      <c r="D4" s="20" t="str">
        <f>IFERROR(__xludf.DUMMYFUNCTION("""COMPUTED_VALUE"""),"- Acquired Cooks, Brandin SFO WR for $25.00
   - Dropped Cooper, Darius PHI WR")</f>
        <v>- Acquired Cooks, Brandin SFO WR for $25.00
   - Dropped Cooper, Darius PHI WR</v>
      </c>
      <c r="E4" s="20" t="str">
        <f>IFERROR(__xludf.DUMMYFUNCTION("""COMPUTED_VALUE"""),"Wed Oct 21 11:00:00 a.m. ET 2026")</f>
        <v>Wed Oct 21 11:00:00 a.m. ET 2026</v>
      </c>
      <c r="F4" s="26">
        <f t="shared" si="1"/>
        <v>46316</v>
      </c>
      <c r="G4" s="21">
        <f t="shared" si="2"/>
        <v>25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>
        <f>IFERROR(__xludf.DUMMYFUNCTION("""COMPUTED_VALUE"""),3.0)</f>
        <v>3</v>
      </c>
      <c r="B5" s="20" t="str">
        <f>IFERROR(__xludf.DUMMYFUNCTION("""COMPUTED_VALUE"""),"Springfield Isotopes")</f>
        <v>Springfield Isotopes</v>
      </c>
      <c r="C5" s="20" t="str">
        <f>IFERROR(__xludf.DUMMYFUNCTION("""COMPUTED_VALUE"""),"Waiver")</f>
        <v>Waiver</v>
      </c>
      <c r="D5" s="20" t="str">
        <f>IFERROR(__xludf.DUMMYFUNCTION("""COMPUTED_VALUE"""),"- Acquired Mumpfield, Konata LAR WR for $37.00
   - Dropped Patrick, Tim NYJ WR")</f>
        <v>- Acquired Mumpfield, Konata LAR WR for $37.00
   - Dropped Patrick, Tim NYJ WR</v>
      </c>
      <c r="E5" s="20" t="str">
        <f>IFERROR(__xludf.DUMMYFUNCTION("""COMPUTED_VALUE"""),"Wed Oct 21 11:00:00 a.m. ET 2026")</f>
        <v>Wed Oct 21 11:00:00 a.m. ET 2026</v>
      </c>
      <c r="F5" s="26">
        <f t="shared" si="1"/>
        <v>46316</v>
      </c>
      <c r="G5" s="21">
        <f t="shared" si="2"/>
        <v>37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>
        <f>IFERROR(__xludf.DUMMYFUNCTION("""COMPUTED_VALUE"""),4.0)</f>
        <v>4</v>
      </c>
      <c r="B6" s="20" t="str">
        <f>IFERROR(__xludf.DUMMYFUNCTION("""COMPUTED_VALUE"""),"BattleBots")</f>
        <v>BattleBots</v>
      </c>
      <c r="C6" s="20" t="str">
        <f>IFERROR(__xludf.DUMMYFUNCTION("""COMPUTED_VALUE"""),"Waiver")</f>
        <v>Waiver</v>
      </c>
      <c r="D6" s="20" t="str">
        <f>IFERROR(__xludf.DUMMYFUNCTION("""COMPUTED_VALUE"""),"- Acquired Johnson, Roschon CHI RB for $51.00")</f>
        <v>- Acquired Johnson, Roschon CHI RB for $51.00</v>
      </c>
      <c r="E6" s="20" t="str">
        <f>IFERROR(__xludf.DUMMYFUNCTION("""COMPUTED_VALUE"""),"Wed Oct 21 11:00:00 a.m. ET 2026")</f>
        <v>Wed Oct 21 11:00:00 a.m. ET 2026</v>
      </c>
      <c r="F6" s="26">
        <f t="shared" si="1"/>
        <v>46316</v>
      </c>
      <c r="G6" s="21">
        <f t="shared" si="2"/>
        <v>51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>
        <f>IFERROR(__xludf.DUMMYFUNCTION("""COMPUTED_VALUE"""),5.0)</f>
        <v>5</v>
      </c>
      <c r="B7" s="20" t="str">
        <f>IFERROR(__xludf.DUMMYFUNCTION("""COMPUTED_VALUE"""),"BattleBots")</f>
        <v>BattleBots</v>
      </c>
      <c r="C7" s="20" t="str">
        <f>IFERROR(__xludf.DUMMYFUNCTION("""COMPUTED_VALUE"""),"Waiver")</f>
        <v>Waiver</v>
      </c>
      <c r="D7" s="20" t="str">
        <f>IFERROR(__xludf.DUMMYFUNCTION("""COMPUTED_VALUE"""),"- Acquired Bagent, Tyson CHI QB for $1.00")</f>
        <v>- Acquired Bagent, Tyson CHI QB for $1.00</v>
      </c>
      <c r="E7" s="20" t="str">
        <f>IFERROR(__xludf.DUMMYFUNCTION("""COMPUTED_VALUE"""),"Fri Oct 16 11:00:00 a.m. ET 2026")</f>
        <v>Fri Oct 16 11:00:00 a.m. ET 2026</v>
      </c>
      <c r="F7" s="26">
        <f t="shared" si="1"/>
        <v>46311</v>
      </c>
      <c r="G7" s="21">
        <f t="shared" si="2"/>
        <v>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>
        <f>IFERROR(__xludf.DUMMYFUNCTION("""COMPUTED_VALUE"""),6.0)</f>
        <v>6</v>
      </c>
      <c r="B8" s="20" t="str">
        <f>IFERROR(__xludf.DUMMYFUNCTION("""COMPUTED_VALUE"""),"BattleBots")</f>
        <v>BattleBots</v>
      </c>
      <c r="C8" s="20" t="str">
        <f>IFERROR(__xludf.DUMMYFUNCTION("""COMPUTED_VALUE"""),"Waiver")</f>
        <v>Waiver</v>
      </c>
      <c r="D8" s="20" t="str">
        <f>IFERROR(__xludf.DUMMYFUNCTION("""COMPUTED_VALUE"""),"- Acquired Treadwell, Laquon IND WR for $1.00
   - Dropped Keenum, Case CHI QB")</f>
        <v>- Acquired Treadwell, Laquon IND WR for $1.00
   - Dropped Keenum, Case CHI QB</v>
      </c>
      <c r="E8" s="20" t="str">
        <f>IFERROR(__xludf.DUMMYFUNCTION("""COMPUTED_VALUE"""),"Wed Oct 14 11:00:00 a.m. ET 2026")</f>
        <v>Wed Oct 14 11:00:00 a.m. ET 2026</v>
      </c>
      <c r="F8" s="26">
        <f t="shared" si="1"/>
        <v>46309</v>
      </c>
      <c r="G8" s="21">
        <f t="shared" si="2"/>
        <v>1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>
        <f>IFERROR(__xludf.DUMMYFUNCTION("""COMPUTED_VALUE"""),7.0)</f>
        <v>7</v>
      </c>
      <c r="B9" s="20" t="str">
        <f>IFERROR(__xludf.DUMMYFUNCTION("""COMPUTED_VALUE"""),"Norsemen")</f>
        <v>Norsemen</v>
      </c>
      <c r="C9" s="20" t="str">
        <f>IFERROR(__xludf.DUMMYFUNCTION("""COMPUTED_VALUE"""),"Waiver")</f>
        <v>Waiver</v>
      </c>
      <c r="D9" s="20" t="str">
        <f>IFERROR(__xludf.DUMMYFUNCTION("""COMPUTED_VALUE"""),"- Acquired Felton, Tai MIN WR for $1.00
   - Dropped Vaki, Sione DET RB")</f>
        <v>- Acquired Felton, Tai MIN WR for $1.00
   - Dropped Vaki, Sione DET RB</v>
      </c>
      <c r="E9" s="20" t="str">
        <f>IFERROR(__xludf.DUMMYFUNCTION("""COMPUTED_VALUE"""),"Wed Oct 14 11:00:00 a.m. ET 2026")</f>
        <v>Wed Oct 14 11:00:00 a.m. ET 2026</v>
      </c>
      <c r="F9" s="26">
        <f t="shared" si="1"/>
        <v>46309</v>
      </c>
      <c r="G9" s="21">
        <f t="shared" si="2"/>
        <v>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>
        <f>IFERROR(__xludf.DUMMYFUNCTION("""COMPUTED_VALUE"""),8.0)</f>
        <v>8</v>
      </c>
      <c r="B10" s="20" t="str">
        <f>IFERROR(__xludf.DUMMYFUNCTION("""COMPUTED_VALUE"""),"Orcan Terror")</f>
        <v>Orcan Terror</v>
      </c>
      <c r="C10" s="20" t="str">
        <f>IFERROR(__xludf.DUMMYFUNCTION("""COMPUTED_VALUE"""),"Waiver")</f>
        <v>Waiver</v>
      </c>
      <c r="D10" s="20" t="str">
        <f>IFERROR(__xludf.DUMMYFUNCTION("""COMPUTED_VALUE"""),"- Acquired Pierce, Dameon PHI RB for $28.00
   - Dropped Rattler, Spencer NOS QB")</f>
        <v>- Acquired Pierce, Dameon PHI RB for $28.00
   - Dropped Rattler, Spencer NOS QB</v>
      </c>
      <c r="E10" s="20" t="str">
        <f>IFERROR(__xludf.DUMMYFUNCTION("""COMPUTED_VALUE"""),"Wed Oct 14 11:00:00 a.m. ET 2026")</f>
        <v>Wed Oct 14 11:00:00 a.m. ET 2026</v>
      </c>
      <c r="F10" s="26">
        <f t="shared" si="1"/>
        <v>46309</v>
      </c>
      <c r="G10" s="21">
        <f t="shared" si="2"/>
        <v>28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>
        <f>IFERROR(__xludf.DUMMYFUNCTION("""COMPUTED_VALUE"""),9.0)</f>
        <v>9</v>
      </c>
      <c r="B11" s="20" t="str">
        <f>IFERROR(__xludf.DUMMYFUNCTION("""COMPUTED_VALUE"""),"Shankly's Ghost")</f>
        <v>Shankly's Ghost</v>
      </c>
      <c r="C11" s="20" t="str">
        <f>IFERROR(__xludf.DUMMYFUNCTION("""COMPUTED_VALUE"""),"Waiver")</f>
        <v>Waiver</v>
      </c>
      <c r="D11" s="20" t="str">
        <f>IFERROR(__xludf.DUMMYFUNCTION("""COMPUTED_VALUE"""),"- Acquired Ayomanor, Elic TEN WR for $3.00
   - Dropped Allen, Kaytron MIA RB")</f>
        <v>- Acquired Ayomanor, Elic TEN WR for $3.00
   - Dropped Allen, Kaytron MIA RB</v>
      </c>
      <c r="E11" s="20" t="str">
        <f>IFERROR(__xludf.DUMMYFUNCTION("""COMPUTED_VALUE"""),"Fri Oct 9 11:00:00 a.m. ET 2026")</f>
        <v>Fri Oct 9 11:00:00 a.m. ET 2026</v>
      </c>
      <c r="F11" s="26">
        <f t="shared" si="1"/>
        <v>46304</v>
      </c>
      <c r="G11" s="21">
        <f t="shared" si="2"/>
        <v>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>
        <f>IFERROR(__xludf.DUMMYFUNCTION("""COMPUTED_VALUE"""),10.0)</f>
        <v>10</v>
      </c>
      <c r="B12" s="20" t="str">
        <f>IFERROR(__xludf.DUMMYFUNCTION("""COMPUTED_VALUE"""),"Springfield Isotopes")</f>
        <v>Springfield Isotopes</v>
      </c>
      <c r="C12" s="20" t="str">
        <f>IFERROR(__xludf.DUMMYFUNCTION("""COMPUTED_VALUE"""),"Waiver")</f>
        <v>Waiver</v>
      </c>
      <c r="D12" s="20" t="str">
        <f>IFERROR(__xludf.DUMMYFUNCTION("""COMPUTED_VALUE"""),"- Acquired Vidal, Kimani LAC RB for $2.00
   - Dropped Ridley, Calvin TEN WR")</f>
        <v>- Acquired Vidal, Kimani LAC RB for $2.00
   - Dropped Ridley, Calvin TEN WR</v>
      </c>
      <c r="E12" s="20" t="str">
        <f>IFERROR(__xludf.DUMMYFUNCTION("""COMPUTED_VALUE"""),"Wed Oct 7 11:00:00 a.m. ET 2026")</f>
        <v>Wed Oct 7 11:00:00 a.m. ET 2026</v>
      </c>
      <c r="F12" s="26">
        <f t="shared" si="1"/>
        <v>46302</v>
      </c>
      <c r="G12" s="21">
        <f t="shared" si="2"/>
        <v>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>
        <f>IFERROR(__xludf.DUMMYFUNCTION("""COMPUTED_VALUE"""),11.0)</f>
        <v>11</v>
      </c>
      <c r="B13" s="20" t="str">
        <f>IFERROR(__xludf.DUMMYFUNCTION("""COMPUTED_VALUE"""),"BattleBots")</f>
        <v>BattleBots</v>
      </c>
      <c r="C13" s="20" t="str">
        <f>IFERROR(__xludf.DUMMYFUNCTION("""COMPUTED_VALUE"""),"Waiver")</f>
        <v>Waiver</v>
      </c>
      <c r="D13" s="20" t="str">
        <f>IFERROR(__xludf.DUMMYFUNCTION("""COMPUTED_VALUE"""),"- Acquired Royals, Jalen KCC WR for $25.00
   - Dropped Davis, Ray BUF RB")</f>
        <v>- Acquired Royals, Jalen KCC WR for $25.00
   - Dropped Davis, Ray BUF RB</v>
      </c>
      <c r="E13" s="20" t="str">
        <f>IFERROR(__xludf.DUMMYFUNCTION("""COMPUTED_VALUE"""),"Wed Oct 7 11:00:00 a.m. ET 2026")</f>
        <v>Wed Oct 7 11:00:00 a.m. ET 2026</v>
      </c>
      <c r="F13" s="26">
        <f t="shared" si="1"/>
        <v>46302</v>
      </c>
      <c r="G13" s="21">
        <f t="shared" si="2"/>
        <v>25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>
        <f>IFERROR(__xludf.DUMMYFUNCTION("""COMPUTED_VALUE"""),12.0)</f>
        <v>12</v>
      </c>
      <c r="B14" s="20" t="str">
        <f>IFERROR(__xludf.DUMMYFUNCTION("""COMPUTED_VALUE"""),"The Two Tones")</f>
        <v>The Two Tones</v>
      </c>
      <c r="C14" s="20" t="str">
        <f>IFERROR(__xludf.DUMMYFUNCTION("""COMPUTED_VALUE"""),"Waiver")</f>
        <v>Waiver</v>
      </c>
      <c r="D14" s="20" t="str">
        <f>IFERROR(__xludf.DUMMYFUNCTION("""COMPUTED_VALUE"""),"- Acquired Meyers, Dohnte CIN WR for $45.00
   - Dropped Horn, Jimmy CLE WR")</f>
        <v>- Acquired Meyers, Dohnte CIN WR for $45.00
   - Dropped Horn, Jimmy CLE WR</v>
      </c>
      <c r="E14" s="20" t="str">
        <f>IFERROR(__xludf.DUMMYFUNCTION("""COMPUTED_VALUE"""),"Wed Oct 7 11:00:00 a.m. ET 2026")</f>
        <v>Wed Oct 7 11:00:00 a.m. ET 2026</v>
      </c>
      <c r="F14" s="26">
        <f t="shared" si="1"/>
        <v>46302</v>
      </c>
      <c r="G14" s="21">
        <f t="shared" si="2"/>
        <v>45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>
        <f>IFERROR(__xludf.DUMMYFUNCTION("""COMPUTED_VALUE"""),13.0)</f>
        <v>13</v>
      </c>
      <c r="B15" s="20" t="str">
        <f>IFERROR(__xludf.DUMMYFUNCTION("""COMPUTED_VALUE"""),"BattleBots")</f>
        <v>BattleBots</v>
      </c>
      <c r="C15" s="20" t="str">
        <f>IFERROR(__xludf.DUMMYFUNCTION("""COMPUTED_VALUE"""),"Waiver")</f>
        <v>Waiver</v>
      </c>
      <c r="D15" s="20" t="str">
        <f>IFERROR(__xludf.DUMMYFUNCTION("""COMPUTED_VALUE"""),"- Acquired Johnson, Roschon CHI RB for $25.00
   - Dropped Tremble, Tommy CAR TE")</f>
        <v>- Acquired Johnson, Roschon CHI RB for $25.00
   - Dropped Tremble, Tommy CAR TE</v>
      </c>
      <c r="E15" s="20" t="str">
        <f>IFERROR(__xludf.DUMMYFUNCTION("""COMPUTED_VALUE"""),"Fri Oct 2 11:00:00 a.m. ET 2026")</f>
        <v>Fri Oct 2 11:00:00 a.m. ET 2026</v>
      </c>
      <c r="F15" s="26">
        <f t="shared" si="1"/>
        <v>46297</v>
      </c>
      <c r="G15" s="21">
        <f t="shared" si="2"/>
        <v>25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>
        <f>IFERROR(__xludf.DUMMYFUNCTION("""COMPUTED_VALUE"""),14.0)</f>
        <v>14</v>
      </c>
      <c r="B16" s="20" t="str">
        <f>IFERROR(__xludf.DUMMYFUNCTION("""COMPUTED_VALUE"""),"Peaky Fookin Blinders")</f>
        <v>Peaky Fookin Blinders</v>
      </c>
      <c r="C16" s="20" t="str">
        <f>IFERROR(__xludf.DUMMYFUNCTION("""COMPUTED_VALUE"""),"Waiver")</f>
        <v>Waiver</v>
      </c>
      <c r="D16" s="20" t="str">
        <f>IFERROR(__xludf.DUMMYFUNCTION("""COMPUTED_VALUE"""),"- Acquired Mumpfield, Konata LAR WR for $71.00
   - Dropped Walker, Jahdae CHI WR")</f>
        <v>- Acquired Mumpfield, Konata LAR WR for $71.00
   - Dropped Walker, Jahdae CHI WR</v>
      </c>
      <c r="E16" s="20" t="str">
        <f>IFERROR(__xludf.DUMMYFUNCTION("""COMPUTED_VALUE"""),"Wed Sep 30 11:00:00 a.m. ET 2026")</f>
        <v>Wed Sep 30 11:00:00 a.m. ET 2026</v>
      </c>
      <c r="F16" s="26">
        <f t="shared" si="1"/>
        <v>46295</v>
      </c>
      <c r="G16" s="21">
        <f t="shared" si="2"/>
        <v>71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>
        <f>IFERROR(__xludf.DUMMYFUNCTION("""COMPUTED_VALUE"""),15.0)</f>
        <v>15</v>
      </c>
      <c r="B17" s="20" t="str">
        <f>IFERROR(__xludf.DUMMYFUNCTION("""COMPUTED_VALUE"""),"Orcan Terror")</f>
        <v>Orcan Terror</v>
      </c>
      <c r="C17" s="20" t="str">
        <f>IFERROR(__xludf.DUMMYFUNCTION("""COMPUTED_VALUE"""),"Waiver")</f>
        <v>Waiver</v>
      </c>
      <c r="D17" s="20" t="str">
        <f>IFERROR(__xludf.DUMMYFUNCTION("""COMPUTED_VALUE"""),"- Acquired Wayne, Jared MIA WR for $0.00
   - Dropped Metchie, John CAR WR")</f>
        <v>- Acquired Wayne, Jared MIA WR for $0.00
   - Dropped Metchie, John CAR WR</v>
      </c>
      <c r="E17" s="20" t="str">
        <f>IFERROR(__xludf.DUMMYFUNCTION("""COMPUTED_VALUE"""),"Fri Sep 25 11:00:00 a.m. ET 2026")</f>
        <v>Fri Sep 25 11:00:00 a.m. ET 2026</v>
      </c>
      <c r="F17" s="26">
        <f t="shared" si="1"/>
        <v>46290</v>
      </c>
      <c r="G17" s="21">
        <f t="shared" si="2"/>
        <v>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>
        <f>IFERROR(__xludf.DUMMYFUNCTION("""COMPUTED_VALUE"""),16.0)</f>
        <v>16</v>
      </c>
      <c r="B18" s="20" t="str">
        <f>IFERROR(__xludf.DUMMYFUNCTION("""COMPUTED_VALUE"""),"Ted Lasso")</f>
        <v>Ted Lasso</v>
      </c>
      <c r="C18" s="20" t="str">
        <f>IFERROR(__xludf.DUMMYFUNCTION("""COMPUTED_VALUE"""),"Waiver")</f>
        <v>Waiver</v>
      </c>
      <c r="D18" s="20" t="str">
        <f>IFERROR(__xludf.DUMMYFUNCTION("""COMPUTED_VALUE"""),"- Acquired Knox, Dawson BUF TE for $0.00")</f>
        <v>- Acquired Knox, Dawson BUF TE for $0.00</v>
      </c>
      <c r="E18" s="20" t="str">
        <f>IFERROR(__xludf.DUMMYFUNCTION("""COMPUTED_VALUE"""),"Wed Sep 23 11:00:00 a.m. ET 2026")</f>
        <v>Wed Sep 23 11:00:00 a.m. ET 2026</v>
      </c>
      <c r="F18" s="26">
        <f t="shared" si="1"/>
        <v>46288</v>
      </c>
      <c r="G18" s="21">
        <f t="shared" si="2"/>
        <v>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>
        <f>IFERROR(__xludf.DUMMYFUNCTION("""COMPUTED_VALUE"""),17.0)</f>
        <v>17</v>
      </c>
      <c r="B19" s="20" t="str">
        <f>IFERROR(__xludf.DUMMYFUNCTION("""COMPUTED_VALUE"""),"Springfield Isotopes")</f>
        <v>Springfield Isotopes</v>
      </c>
      <c r="C19" s="20" t="str">
        <f>IFERROR(__xludf.DUMMYFUNCTION("""COMPUTED_VALUE"""),"Waiver")</f>
        <v>Waiver</v>
      </c>
      <c r="D19" s="20" t="str">
        <f>IFERROR(__xludf.DUMMYFUNCTION("""COMPUTED_VALUE"""),"- Acquired Winston, Jameis NYG QB for $4.00
   - Dropped Demercado, Emari DAL RB")</f>
        <v>- Acquired Winston, Jameis NYG QB for $4.00
   - Dropped Demercado, Emari DAL RB</v>
      </c>
      <c r="E19" s="20" t="str">
        <f>IFERROR(__xludf.DUMMYFUNCTION("""COMPUTED_VALUE"""),"Wed Sep 23 11:00:00 a.m. ET 2026")</f>
        <v>Wed Sep 23 11:00:00 a.m. ET 2026</v>
      </c>
      <c r="F19" s="26">
        <f t="shared" si="1"/>
        <v>46288</v>
      </c>
      <c r="G19" s="21">
        <f t="shared" si="2"/>
        <v>4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>
        <f>IFERROR(__xludf.DUMMYFUNCTION("""COMPUTED_VALUE"""),18.0)</f>
        <v>18</v>
      </c>
      <c r="B20" s="20" t="str">
        <f>IFERROR(__xludf.DUMMYFUNCTION("""COMPUTED_VALUE"""),"Shankly's Ghost")</f>
        <v>Shankly's Ghost</v>
      </c>
      <c r="C20" s="20" t="str">
        <f>IFERROR(__xludf.DUMMYFUNCTION("""COMPUTED_VALUE"""),"Waiver")</f>
        <v>Waiver</v>
      </c>
      <c r="D20" s="20" t="str">
        <f>IFERROR(__xludf.DUMMYFUNCTION("""COMPUTED_VALUE"""),"- Acquired Ertz, Zach PHI TE for $21.00
   - Dropped Dotson, Jahan ATL WR")</f>
        <v>- Acquired Ertz, Zach PHI TE for $21.00
   - Dropped Dotson, Jahan ATL WR</v>
      </c>
      <c r="E20" s="20" t="str">
        <f>IFERROR(__xludf.DUMMYFUNCTION("""COMPUTED_VALUE"""),"Wed Sep 23 11:00:00 a.m. ET 2026")</f>
        <v>Wed Sep 23 11:00:00 a.m. ET 2026</v>
      </c>
      <c r="F20" s="26">
        <f t="shared" si="1"/>
        <v>46288</v>
      </c>
      <c r="G20" s="21">
        <f t="shared" si="2"/>
        <v>21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>
        <f>IFERROR(__xludf.DUMMYFUNCTION("""COMPUTED_VALUE"""),19.0)</f>
        <v>19</v>
      </c>
      <c r="B21" s="20" t="str">
        <f>IFERROR(__xludf.DUMMYFUNCTION("""COMPUTED_VALUE"""),"BattleBots")</f>
        <v>BattleBots</v>
      </c>
      <c r="C21" s="20" t="str">
        <f>IFERROR(__xludf.DUMMYFUNCTION("""COMPUTED_VALUE"""),"Waiver")</f>
        <v>Waiver</v>
      </c>
      <c r="D21" s="20" t="str">
        <f>IFERROR(__xludf.DUMMYFUNCTION("""COMPUTED_VALUE"""),"- Acquired Keenum, Case CHI QB for $25.00")</f>
        <v>- Acquired Keenum, Case CHI QB for $25.00</v>
      </c>
      <c r="E21" s="20" t="str">
        <f>IFERROR(__xludf.DUMMYFUNCTION("""COMPUTED_VALUE"""),"Wed Sep 23 11:00:00 a.m. ET 2026")</f>
        <v>Wed Sep 23 11:00:00 a.m. ET 2026</v>
      </c>
      <c r="F21" s="26">
        <f t="shared" si="1"/>
        <v>46288</v>
      </c>
      <c r="G21" s="21">
        <f t="shared" si="2"/>
        <v>25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>
        <f>IFERROR(__xludf.DUMMYFUNCTION("""COMPUTED_VALUE"""),20.0)</f>
        <v>20</v>
      </c>
      <c r="B22" s="20" t="str">
        <f>IFERROR(__xludf.DUMMYFUNCTION("""COMPUTED_VALUE"""),"Peaky Fookin Blinders")</f>
        <v>Peaky Fookin Blinders</v>
      </c>
      <c r="C22" s="20" t="str">
        <f>IFERROR(__xludf.DUMMYFUNCTION("""COMPUTED_VALUE"""),"Waiver")</f>
        <v>Waiver</v>
      </c>
      <c r="D22" s="20" t="str">
        <f>IFERROR(__xludf.DUMMYFUNCTION("""COMPUTED_VALUE"""),"- Acquired Wilson, Emanuel SEA RB for $323.00
   - Dropped Davis, Isaiah NYJ RB")</f>
        <v>- Acquired Wilson, Emanuel SEA RB for $323.00
   - Dropped Davis, Isaiah NYJ RB</v>
      </c>
      <c r="E22" s="20" t="str">
        <f>IFERROR(__xludf.DUMMYFUNCTION("""COMPUTED_VALUE"""),"Wed Sep 23 11:00:00 a.m. ET 2026")</f>
        <v>Wed Sep 23 11:00:00 a.m. ET 2026</v>
      </c>
      <c r="F22" s="26">
        <f t="shared" si="1"/>
        <v>46288</v>
      </c>
      <c r="G22" s="21">
        <f t="shared" si="2"/>
        <v>323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>
        <f>IFERROR(__xludf.DUMMYFUNCTION("""COMPUTED_VALUE"""),21.0)</f>
        <v>21</v>
      </c>
      <c r="B23" s="20" t="str">
        <f>IFERROR(__xludf.DUMMYFUNCTION("""COMPUTED_VALUE"""),"Shankly's Ghost")</f>
        <v>Shankly's Ghost</v>
      </c>
      <c r="C23" s="20" t="str">
        <f>IFERROR(__xludf.DUMMYFUNCTION("""COMPUTED_VALUE"""),"Waiver")</f>
        <v>Waiver</v>
      </c>
      <c r="D23" s="20" t="str">
        <f>IFERROR(__xludf.DUMMYFUNCTION("""COMPUTED_VALUE"""),"- Acquired Wentz, Carson MIN QB for $21.00")</f>
        <v>- Acquired Wentz, Carson MIN QB for $21.00</v>
      </c>
      <c r="E23" s="20" t="str">
        <f>IFERROR(__xludf.DUMMYFUNCTION("""COMPUTED_VALUE"""),"Wed Sep 16 11:00:00 a.m. ET 2026")</f>
        <v>Wed Sep 16 11:00:00 a.m. ET 2026</v>
      </c>
      <c r="F23" s="26">
        <f t="shared" si="1"/>
        <v>46281</v>
      </c>
      <c r="G23" s="21">
        <f t="shared" si="2"/>
        <v>21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>
        <f>IFERROR(__xludf.DUMMYFUNCTION("""COMPUTED_VALUE"""),22.0)</f>
        <v>22</v>
      </c>
      <c r="B24" s="20" t="str">
        <f>IFERROR(__xludf.DUMMYFUNCTION("""COMPUTED_VALUE"""),"2 Roops, 1 Silva")</f>
        <v>2 Roops, 1 Silva</v>
      </c>
      <c r="C24" s="20" t="str">
        <f>IFERROR(__xludf.DUMMYFUNCTION("""COMPUTED_VALUE"""),"Waiver")</f>
        <v>Waiver</v>
      </c>
      <c r="D24" s="20" t="str">
        <f>IFERROR(__xludf.DUMMYFUNCTION("""COMPUTED_VALUE"""),"- Acquired Robinson, Demarcus SFO WR for $25.00")</f>
        <v>- Acquired Robinson, Demarcus SFO WR for $25.00</v>
      </c>
      <c r="E24" s="20" t="str">
        <f>IFERROR(__xludf.DUMMYFUNCTION("""COMPUTED_VALUE"""),"Wed Sep 16 11:00:00 a.m. ET 2026")</f>
        <v>Wed Sep 16 11:00:00 a.m. ET 2026</v>
      </c>
      <c r="F24" s="26">
        <f t="shared" si="1"/>
        <v>46281</v>
      </c>
      <c r="G24" s="21">
        <f t="shared" si="2"/>
        <v>25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>
        <f>IFERROR(__xludf.DUMMYFUNCTION("""COMPUTED_VALUE"""),23.0)</f>
        <v>23</v>
      </c>
      <c r="B25" s="20" t="str">
        <f>IFERROR(__xludf.DUMMYFUNCTION("""COMPUTED_VALUE"""),"Orcan Terror")</f>
        <v>Orcan Terror</v>
      </c>
      <c r="C25" s="20" t="str">
        <f>IFERROR(__xludf.DUMMYFUNCTION("""COMPUTED_VALUE"""),"Waiver")</f>
        <v>Waiver</v>
      </c>
      <c r="D25" s="20" t="str">
        <f>IFERROR(__xludf.DUMMYFUNCTION("""COMPUTED_VALUE"""),"- Acquired Bourne, Kendrick ARI WR for $27.00")</f>
        <v>- Acquired Bourne, Kendrick ARI WR for $27.00</v>
      </c>
      <c r="E25" s="20" t="str">
        <f>IFERROR(__xludf.DUMMYFUNCTION("""COMPUTED_VALUE"""),"Wed Sep 16 11:00:00 a.m. ET 2026")</f>
        <v>Wed Sep 16 11:00:00 a.m. ET 2026</v>
      </c>
      <c r="F25" s="26">
        <f t="shared" si="1"/>
        <v>46281</v>
      </c>
      <c r="G25" s="21">
        <f t="shared" si="2"/>
        <v>27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>
        <f>IFERROR(__xludf.DUMMYFUNCTION("""COMPUTED_VALUE"""),24.0)</f>
        <v>24</v>
      </c>
      <c r="B26" s="20" t="str">
        <f>IFERROR(__xludf.DUMMYFUNCTION("""COMPUTED_VALUE"""),"2 Roops, 1 Silva")</f>
        <v>2 Roops, 1 Silva</v>
      </c>
      <c r="C26" s="20" t="str">
        <f>IFERROR(__xludf.DUMMYFUNCTION("""COMPUTED_VALUE"""),"Waiver")</f>
        <v>Waiver</v>
      </c>
      <c r="D26" s="20" t="str">
        <f>IFERROR(__xludf.DUMMYFUNCTION("""COMPUTED_VALUE"""),"- Acquired Raymond, Kalif CHI WR for $50.00")</f>
        <v>- Acquired Raymond, Kalif CHI WR for $50.00</v>
      </c>
      <c r="E26" s="20" t="str">
        <f>IFERROR(__xludf.DUMMYFUNCTION("""COMPUTED_VALUE"""),"Wed Sep 16 11:00:00 a.m. ET 2026")</f>
        <v>Wed Sep 16 11:00:00 a.m. ET 2026</v>
      </c>
      <c r="F26" s="26">
        <f t="shared" si="1"/>
        <v>46281</v>
      </c>
      <c r="G26" s="21">
        <f t="shared" si="2"/>
        <v>50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>
        <f>IFERROR(__xludf.DUMMYFUNCTION("""COMPUTED_VALUE"""),25.0)</f>
        <v>25</v>
      </c>
      <c r="B27" s="20" t="str">
        <f>IFERROR(__xludf.DUMMYFUNCTION("""COMPUTED_VALUE"""),"2 Roops, 1 Silva")</f>
        <v>2 Roops, 1 Silva</v>
      </c>
      <c r="C27" s="20" t="str">
        <f>IFERROR(__xludf.DUMMYFUNCTION("""COMPUTED_VALUE"""),"Waiver")</f>
        <v>Waiver</v>
      </c>
      <c r="D27" s="20" t="str">
        <f>IFERROR(__xludf.DUMMYFUNCTION("""COMPUTED_VALUE"""),"- Acquired Wilson, Roman PIT WR for $70.00
   - Dropped Atwell, Tutu LAR WR")</f>
        <v>- Acquired Wilson, Roman PIT WR for $70.00
   - Dropped Atwell, Tutu LAR WR</v>
      </c>
      <c r="E27" s="20" t="str">
        <f>IFERROR(__xludf.DUMMYFUNCTION("""COMPUTED_VALUE"""),"Wed Sep 16 11:00:00 a.m. ET 2026")</f>
        <v>Wed Sep 16 11:00:00 a.m. ET 2026</v>
      </c>
      <c r="F27" s="26">
        <f t="shared" si="1"/>
        <v>46281</v>
      </c>
      <c r="G27" s="21">
        <f t="shared" si="2"/>
        <v>70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>
        <f>IFERROR(__xludf.DUMMYFUNCTION("""COMPUTED_VALUE"""),26.0)</f>
        <v>26</v>
      </c>
      <c r="B28" s="20" t="str">
        <f>IFERROR(__xludf.DUMMYFUNCTION("""COMPUTED_VALUE"""),"The Meaty Ogres")</f>
        <v>The Meaty Ogres</v>
      </c>
      <c r="C28" s="20" t="str">
        <f>IFERROR(__xludf.DUMMYFUNCTION("""COMPUTED_VALUE"""),"Waiver")</f>
        <v>Waiver</v>
      </c>
      <c r="D28" s="20" t="str">
        <f>IFERROR(__xludf.DUMMYFUNCTION("""COMPUTED_VALUE"""),"- Acquired Lock, Drew SEA QB for $107.00")</f>
        <v>- Acquired Lock, Drew SEA QB for $107.00</v>
      </c>
      <c r="E28" s="20" t="str">
        <f>IFERROR(__xludf.DUMMYFUNCTION("""COMPUTED_VALUE"""),"Wed Sep 16 11:00:00 a.m. ET 2026")</f>
        <v>Wed Sep 16 11:00:00 a.m. ET 2026</v>
      </c>
      <c r="F28" s="26">
        <f t="shared" si="1"/>
        <v>46281</v>
      </c>
      <c r="G28" s="21">
        <f t="shared" si="2"/>
        <v>107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>
        <f>IFERROR(__xludf.DUMMYFUNCTION("""COMPUTED_VALUE"""),27.0)</f>
        <v>27</v>
      </c>
      <c r="B29" s="20" t="str">
        <f>IFERROR(__xludf.DUMMYFUNCTION("""COMPUTED_VALUE"""),"BattleBots")</f>
        <v>BattleBots</v>
      </c>
      <c r="C29" s="20" t="str">
        <f>IFERROR(__xludf.DUMMYFUNCTION("""COMPUTED_VALUE"""),"Waiver")</f>
        <v>Waiver</v>
      </c>
      <c r="D29" s="20" t="str">
        <f>IFERROR(__xludf.DUMMYFUNCTION("""COMPUTED_VALUE"""),"- Acquired Ayomanor, Elic TEN WR for $1.00")</f>
        <v>- Acquired Ayomanor, Elic TEN WR for $1.00</v>
      </c>
      <c r="E29" s="20" t="str">
        <f>IFERROR(__xludf.DUMMYFUNCTION("""COMPUTED_VALUE"""),"Wed Sep 9 11:00:00 a.m. ET 2026")</f>
        <v>Wed Sep 9 11:00:00 a.m. ET 2026</v>
      </c>
      <c r="F29" s="26">
        <f t="shared" si="1"/>
        <v>46274</v>
      </c>
      <c r="G29" s="21">
        <f t="shared" si="2"/>
        <v>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>
        <f>IFERROR(__xludf.DUMMYFUNCTION("""COMPUTED_VALUE"""),28.0)</f>
        <v>28</v>
      </c>
      <c r="B30" s="20" t="str">
        <f>IFERROR(__xludf.DUMMYFUNCTION("""COMPUTED_VALUE"""),"The Meaty Ogres")</f>
        <v>The Meaty Ogres</v>
      </c>
      <c r="C30" s="20" t="str">
        <f>IFERROR(__xludf.DUMMYFUNCTION("""COMPUTED_VALUE"""),"Waiver")</f>
        <v>Waiver</v>
      </c>
      <c r="D30" s="20" t="str">
        <f>IFERROR(__xludf.DUMMYFUNCTION("""COMPUTED_VALUE"""),"- Acquired Tucker, Sean TBB RB for $34.00")</f>
        <v>- Acquired Tucker, Sean TBB RB for $34.00</v>
      </c>
      <c r="E30" s="20" t="str">
        <f>IFERROR(__xludf.DUMMYFUNCTION("""COMPUTED_VALUE"""),"Wed Sep 9 11:00:00 a.m. ET 2026")</f>
        <v>Wed Sep 9 11:00:00 a.m. ET 2026</v>
      </c>
      <c r="F30" s="26">
        <f t="shared" si="1"/>
        <v>46274</v>
      </c>
      <c r="G30" s="21">
        <f t="shared" si="2"/>
        <v>34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>
        <f>IFERROR(__xludf.DUMMYFUNCTION("""COMPUTED_VALUE"""),29.0)</f>
        <v>29</v>
      </c>
      <c r="B31" s="20" t="str">
        <f>IFERROR(__xludf.DUMMYFUNCTION("""COMPUTED_VALUE"""),"Shankly's Ghost")</f>
        <v>Shankly's Ghost</v>
      </c>
      <c r="C31" s="20" t="str">
        <f>IFERROR(__xludf.DUMMYFUNCTION("""COMPUTED_VALUE"""),"Waiver")</f>
        <v>Waiver</v>
      </c>
      <c r="D31" s="20" t="str">
        <f>IFERROR(__xludf.DUMMYFUNCTION("""COMPUTED_VALUE"""),"- Acquired Flournoy, Ryan DAL WR for $51.00")</f>
        <v>- Acquired Flournoy, Ryan DAL WR for $51.00</v>
      </c>
      <c r="E31" s="20" t="str">
        <f>IFERROR(__xludf.DUMMYFUNCTION("""COMPUTED_VALUE"""),"Wed Sep 9 11:00:00 a.m. ET 2026")</f>
        <v>Wed Sep 9 11:00:00 a.m. ET 2026</v>
      </c>
      <c r="F31" s="26">
        <f t="shared" si="1"/>
        <v>46274</v>
      </c>
      <c r="G31" s="21">
        <f t="shared" si="2"/>
        <v>51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>
        <f>IFERROR(__xludf.DUMMYFUNCTION("""COMPUTED_VALUE"""),30.0)</f>
        <v>30</v>
      </c>
      <c r="B32" s="20" t="str">
        <f>IFERROR(__xludf.DUMMYFUNCTION("""COMPUTED_VALUE"""),"The Meaty Ogres")</f>
        <v>The Meaty Ogres</v>
      </c>
      <c r="C32" s="20" t="str">
        <f>IFERROR(__xludf.DUMMYFUNCTION("""COMPUTED_VALUE"""),"Waiver")</f>
        <v>Waiver</v>
      </c>
      <c r="D32" s="20" t="str">
        <f>IFERROR(__xludf.DUMMYFUNCTION("""COMPUTED_VALUE"""),"- Acquired Kolar, Charlie LAC TE for $93.00")</f>
        <v>- Acquired Kolar, Charlie LAC TE for $93.00</v>
      </c>
      <c r="E32" s="20" t="str">
        <f>IFERROR(__xludf.DUMMYFUNCTION("""COMPUTED_VALUE"""),"Wed Sep 9 11:00:00 a.m. ET 2026")</f>
        <v>Wed Sep 9 11:00:00 a.m. ET 2026</v>
      </c>
      <c r="F32" s="26">
        <f t="shared" si="1"/>
        <v>46274</v>
      </c>
      <c r="G32" s="21">
        <f t="shared" si="2"/>
        <v>93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6" t="str">
        <f t="shared" si="1"/>
        <v/>
      </c>
      <c r="G33" s="21" t="str">
        <f t="shared" si="2"/>
        <v/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6" t="str">
        <f t="shared" si="1"/>
        <v/>
      </c>
      <c r="G34" s="21" t="str">
        <f t="shared" si="2"/>
        <v/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6" t="str">
        <f t="shared" si="1"/>
        <v/>
      </c>
      <c r="G35" s="21" t="str">
        <f t="shared" si="2"/>
        <v/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6" t="str">
        <f t="shared" si="1"/>
        <v/>
      </c>
      <c r="G36" s="21" t="str">
        <f t="shared" si="2"/>
        <v/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6" t="str">
        <f t="shared" si="1"/>
        <v/>
      </c>
      <c r="G37" s="21" t="str">
        <f t="shared" si="2"/>
        <v/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6" t="str">
        <f t="shared" si="1"/>
        <v/>
      </c>
      <c r="G38" s="21" t="str">
        <f t="shared" si="2"/>
        <v/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6" t="str">
        <f t="shared" si="1"/>
        <v/>
      </c>
      <c r="G39" s="21" t="str">
        <f t="shared" si="2"/>
        <v/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6" t="str">
        <f t="shared" si="1"/>
        <v/>
      </c>
      <c r="G40" s="21" t="str">
        <f t="shared" si="2"/>
        <v/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6" t="str">
        <f t="shared" si="1"/>
        <v/>
      </c>
      <c r="G41" s="21" t="str">
        <f t="shared" si="2"/>
        <v/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6" t="str">
        <f t="shared" si="1"/>
        <v/>
      </c>
      <c r="G42" s="21" t="str">
        <f t="shared" si="2"/>
        <v/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6" t="str">
        <f t="shared" si="1"/>
        <v/>
      </c>
      <c r="G43" s="21" t="str">
        <f t="shared" si="2"/>
        <v/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6" t="str">
        <f t="shared" si="1"/>
        <v/>
      </c>
      <c r="G44" s="21" t="str">
        <f t="shared" si="2"/>
        <v/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6" t="str">
        <f t="shared" si="1"/>
        <v/>
      </c>
      <c r="G45" s="21" t="str">
        <f t="shared" si="2"/>
        <v/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6" t="str">
        <f t="shared" si="1"/>
        <v/>
      </c>
      <c r="G46" s="21" t="str">
        <f t="shared" si="2"/>
        <v/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6" t="str">
        <f t="shared" si="1"/>
        <v/>
      </c>
      <c r="G47" s="21" t="str">
        <f t="shared" si="2"/>
        <v/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6" t="str">
        <f t="shared" si="1"/>
        <v/>
      </c>
      <c r="G48" s="21" t="str">
        <f t="shared" si="2"/>
        <v/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6" t="str">
        <f t="shared" si="1"/>
        <v/>
      </c>
      <c r="G49" s="21" t="str">
        <f t="shared" si="2"/>
        <v/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6" t="str">
        <f t="shared" si="1"/>
        <v/>
      </c>
      <c r="G50" s="21" t="str">
        <f t="shared" si="2"/>
        <v/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6" t="str">
        <f t="shared" si="1"/>
        <v/>
      </c>
      <c r="G51" s="21" t="str">
        <f t="shared" si="2"/>
        <v/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6" t="str">
        <f t="shared" si="1"/>
        <v/>
      </c>
      <c r="G52" s="21" t="str">
        <f t="shared" si="2"/>
        <v/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6" t="str">
        <f t="shared" si="1"/>
        <v/>
      </c>
      <c r="G53" s="21" t="str">
        <f t="shared" si="2"/>
        <v/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6" t="str">
        <f t="shared" si="1"/>
        <v/>
      </c>
      <c r="G54" s="21" t="str">
        <f t="shared" si="2"/>
        <v/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6" t="str">
        <f t="shared" si="1"/>
        <v/>
      </c>
      <c r="G55" s="21" t="str">
        <f t="shared" si="2"/>
        <v/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6" t="str">
        <f t="shared" si="1"/>
        <v/>
      </c>
      <c r="G56" s="21" t="str">
        <f t="shared" si="2"/>
        <v/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6" t="str">
        <f t="shared" si="1"/>
        <v/>
      </c>
      <c r="G57" s="21" t="str">
        <f t="shared" si="2"/>
        <v/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6" t="str">
        <f t="shared" si="1"/>
        <v/>
      </c>
      <c r="G58" s="21" t="str">
        <f t="shared" si="2"/>
        <v/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6" t="str">
        <f t="shared" si="1"/>
        <v/>
      </c>
      <c r="G59" s="21" t="str">
        <f t="shared" si="2"/>
        <v/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6" t="str">
        <f t="shared" si="1"/>
        <v/>
      </c>
      <c r="G60" s="21" t="str">
        <f t="shared" si="2"/>
        <v/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6" t="str">
        <f t="shared" si="1"/>
        <v/>
      </c>
      <c r="G61" s="21" t="str">
        <f t="shared" si="2"/>
        <v/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6" t="str">
        <f t="shared" si="1"/>
        <v/>
      </c>
      <c r="G62" s="21" t="str">
        <f t="shared" si="2"/>
        <v/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6" t="str">
        <f t="shared" si="1"/>
        <v/>
      </c>
      <c r="G63" s="21" t="str">
        <f t="shared" si="2"/>
        <v/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6" t="str">
        <f t="shared" si="1"/>
        <v/>
      </c>
      <c r="G64" s="21" t="str">
        <f t="shared" si="2"/>
        <v/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6" t="str">
        <f t="shared" si="1"/>
        <v/>
      </c>
      <c r="G65" s="21" t="str">
        <f t="shared" si="2"/>
        <v/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6" t="str">
        <f t="shared" si="1"/>
        <v/>
      </c>
      <c r="G66" s="21" t="str">
        <f t="shared" si="2"/>
        <v/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6" t="str">
        <f t="shared" si="1"/>
        <v/>
      </c>
      <c r="G67" s="21" t="str">
        <f t="shared" si="2"/>
        <v/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6" t="str">
        <f t="shared" si="1"/>
        <v/>
      </c>
      <c r="G68" s="21" t="str">
        <f t="shared" si="2"/>
        <v/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6" t="str">
        <f t="shared" si="1"/>
        <v/>
      </c>
      <c r="G69" s="21" t="str">
        <f t="shared" si="2"/>
        <v/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6" t="str">
        <f t="shared" si="1"/>
        <v/>
      </c>
      <c r="G70" s="21" t="str">
        <f t="shared" si="2"/>
        <v/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6" t="str">
        <f t="shared" si="1"/>
        <v/>
      </c>
      <c r="G71" s="21" t="str">
        <f t="shared" si="2"/>
        <v/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6" t="str">
        <f t="shared" si="1"/>
        <v/>
      </c>
      <c r="G72" s="21" t="str">
        <f t="shared" si="2"/>
        <v/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6" t="str">
        <f t="shared" si="1"/>
        <v/>
      </c>
      <c r="G73" s="21" t="str">
        <f t="shared" si="2"/>
        <v/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6" t="str">
        <f t="shared" si="1"/>
        <v/>
      </c>
      <c r="G74" s="21" t="str">
        <f t="shared" si="2"/>
        <v/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6" t="str">
        <f t="shared" si="1"/>
        <v/>
      </c>
      <c r="G75" s="21" t="str">
        <f t="shared" si="2"/>
        <v/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6" t="str">
        <f t="shared" si="1"/>
        <v/>
      </c>
      <c r="G76" s="21" t="str">
        <f t="shared" si="2"/>
        <v/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6" t="str">
        <f t="shared" si="1"/>
        <v/>
      </c>
      <c r="G77" s="21" t="str">
        <f t="shared" si="2"/>
        <v/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6" t="str">
        <f t="shared" si="1"/>
        <v/>
      </c>
      <c r="G78" s="21" t="str">
        <f t="shared" si="2"/>
        <v/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6" t="str">
        <f t="shared" si="1"/>
        <v/>
      </c>
      <c r="G79" s="21" t="str">
        <f t="shared" si="2"/>
        <v/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6" t="str">
        <f t="shared" si="1"/>
        <v/>
      </c>
      <c r="G80" s="21" t="str">
        <f t="shared" si="2"/>
        <v/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6" t="str">
        <f t="shared" si="1"/>
        <v/>
      </c>
      <c r="G81" s="21" t="str">
        <f t="shared" si="2"/>
        <v/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6" t="str">
        <f t="shared" si="1"/>
        <v/>
      </c>
      <c r="G82" s="21" t="str">
        <f t="shared" si="2"/>
        <v/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6" t="str">
        <f t="shared" si="1"/>
        <v/>
      </c>
      <c r="G83" s="21" t="str">
        <f t="shared" si="2"/>
        <v/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6" t="str">
        <f t="shared" si="1"/>
        <v/>
      </c>
      <c r="G84" s="21" t="str">
        <f t="shared" si="2"/>
        <v/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6" t="str">
        <f t="shared" si="1"/>
        <v/>
      </c>
      <c r="G85" s="21" t="str">
        <f t="shared" si="2"/>
        <v/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6" t="str">
        <f t="shared" si="1"/>
        <v/>
      </c>
      <c r="G86" s="21" t="str">
        <f t="shared" si="2"/>
        <v/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6" t="str">
        <f t="shared" si="1"/>
        <v/>
      </c>
      <c r="G87" s="21" t="str">
        <f t="shared" si="2"/>
        <v/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6" t="str">
        <f t="shared" si="1"/>
        <v/>
      </c>
      <c r="G88" s="21" t="str">
        <f t="shared" si="2"/>
        <v/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6" t="str">
        <f t="shared" si="1"/>
        <v/>
      </c>
      <c r="G89" s="21" t="str">
        <f t="shared" si="2"/>
        <v/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6" t="str">
        <f t="shared" si="1"/>
        <v/>
      </c>
      <c r="G90" s="21" t="str">
        <f t="shared" si="2"/>
        <v/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6" t="str">
        <f t="shared" si="1"/>
        <v/>
      </c>
      <c r="G91" s="21" t="str">
        <f t="shared" si="2"/>
        <v/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6" t="str">
        <f t="shared" si="1"/>
        <v/>
      </c>
      <c r="G92" s="21" t="str">
        <f t="shared" si="2"/>
        <v/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6" t="str">
        <f t="shared" si="1"/>
        <v/>
      </c>
      <c r="G93" s="21" t="str">
        <f t="shared" si="2"/>
        <v/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6" t="str">
        <f t="shared" si="1"/>
        <v/>
      </c>
      <c r="G94" s="21" t="str">
        <f t="shared" si="2"/>
        <v/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6" t="str">
        <f t="shared" si="1"/>
        <v/>
      </c>
      <c r="G95" s="21" t="str">
        <f t="shared" si="2"/>
        <v/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6" t="str">
        <f t="shared" si="1"/>
        <v/>
      </c>
      <c r="G96" s="21" t="str">
        <f t="shared" si="2"/>
        <v/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6" t="str">
        <f t="shared" si="1"/>
        <v/>
      </c>
      <c r="G97" s="21" t="str">
        <f t="shared" si="2"/>
        <v/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6" t="str">
        <f t="shared" si="1"/>
        <v/>
      </c>
      <c r="G98" s="21" t="str">
        <f t="shared" si="2"/>
        <v/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6" t="str">
        <f t="shared" si="1"/>
        <v/>
      </c>
      <c r="G99" s="21" t="str">
        <f t="shared" si="2"/>
        <v/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6" t="str">
        <f t="shared" si="1"/>
        <v/>
      </c>
      <c r="G100" s="21" t="str">
        <f t="shared" si="2"/>
        <v/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6" t="str">
        <f t="shared" si="1"/>
        <v/>
      </c>
      <c r="G101" s="21" t="str">
        <f t="shared" si="2"/>
        <v/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6" t="str">
        <f t="shared" si="1"/>
        <v/>
      </c>
      <c r="G102" s="21" t="str">
        <f t="shared" si="2"/>
        <v/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6" t="str">
        <f t="shared" si="1"/>
        <v/>
      </c>
      <c r="G103" s="21" t="str">
        <f t="shared" si="2"/>
        <v/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6" t="str">
        <f t="shared" si="1"/>
        <v/>
      </c>
      <c r="G104" s="21" t="str">
        <f t="shared" si="2"/>
        <v/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6" t="str">
        <f t="shared" si="1"/>
        <v/>
      </c>
      <c r="G105" s="21" t="str">
        <f t="shared" si="2"/>
        <v/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6" t="str">
        <f t="shared" si="1"/>
        <v/>
      </c>
      <c r="G106" s="21" t="str">
        <f t="shared" si="2"/>
        <v/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6" t="str">
        <f t="shared" si="1"/>
        <v/>
      </c>
      <c r="G107" s="21" t="str">
        <f t="shared" si="2"/>
        <v/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6" t="str">
        <f t="shared" si="1"/>
        <v/>
      </c>
      <c r="G108" s="21" t="str">
        <f t="shared" si="2"/>
        <v/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6" t="str">
        <f t="shared" si="1"/>
        <v/>
      </c>
      <c r="G109" s="21" t="str">
        <f t="shared" si="2"/>
        <v/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6" t="str">
        <f t="shared" si="1"/>
        <v/>
      </c>
      <c r="G110" s="21" t="str">
        <f t="shared" si="2"/>
        <v/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6" t="str">
        <f t="shared" si="1"/>
        <v/>
      </c>
      <c r="G111" s="21" t="str">
        <f t="shared" si="2"/>
        <v/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6" t="str">
        <f t="shared" si="1"/>
        <v/>
      </c>
      <c r="G112" s="21" t="str">
        <f t="shared" si="2"/>
        <v/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6" t="str">
        <f t="shared" si="1"/>
        <v/>
      </c>
      <c r="G113" s="21" t="str">
        <f t="shared" si="2"/>
        <v/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6" t="str">
        <f t="shared" si="1"/>
        <v/>
      </c>
      <c r="G114" s="21" t="str">
        <f t="shared" si="2"/>
        <v/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6" t="str">
        <f t="shared" si="1"/>
        <v/>
      </c>
      <c r="G115" s="21" t="str">
        <f t="shared" si="2"/>
        <v/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6" t="str">
        <f t="shared" si="1"/>
        <v/>
      </c>
      <c r="G116" s="21" t="str">
        <f t="shared" si="2"/>
        <v/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6" t="str">
        <f t="shared" si="1"/>
        <v/>
      </c>
      <c r="G117" s="21" t="str">
        <f t="shared" si="2"/>
        <v/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6" t="str">
        <f t="shared" si="1"/>
        <v/>
      </c>
      <c r="G118" s="21" t="str">
        <f t="shared" si="2"/>
        <v/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6" t="str">
        <f t="shared" si="1"/>
        <v/>
      </c>
      <c r="G119" s="21" t="str">
        <f t="shared" si="2"/>
        <v/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6" t="str">
        <f t="shared" si="1"/>
        <v/>
      </c>
      <c r="G120" s="21" t="str">
        <f t="shared" si="2"/>
        <v/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6" t="str">
        <f t="shared" si="1"/>
        <v/>
      </c>
      <c r="G121" s="21" t="str">
        <f t="shared" si="2"/>
        <v/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6" t="str">
        <f t="shared" si="1"/>
        <v/>
      </c>
      <c r="G122" s="21" t="str">
        <f t="shared" si="2"/>
        <v/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6" t="str">
        <f t="shared" si="1"/>
        <v/>
      </c>
      <c r="G123" s="21" t="str">
        <f t="shared" si="2"/>
        <v/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6" t="str">
        <f t="shared" si="1"/>
        <v/>
      </c>
      <c r="G124" s="21" t="str">
        <f t="shared" si="2"/>
        <v/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6" t="str">
        <f t="shared" si="1"/>
        <v/>
      </c>
      <c r="G125" s="21" t="str">
        <f t="shared" si="2"/>
        <v/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6" t="str">
        <f t="shared" si="1"/>
        <v/>
      </c>
      <c r="G126" s="21" t="str">
        <f t="shared" si="2"/>
        <v/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6" t="str">
        <f t="shared" si="1"/>
        <v/>
      </c>
      <c r="G127" s="21" t="str">
        <f t="shared" si="2"/>
        <v/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6" t="str">
        <f t="shared" si="1"/>
        <v/>
      </c>
      <c r="G128" s="21" t="str">
        <f t="shared" si="2"/>
        <v/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6" t="str">
        <f t="shared" si="1"/>
        <v/>
      </c>
      <c r="G129" s="21" t="str">
        <f t="shared" si="2"/>
        <v/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6" t="str">
        <f t="shared" si="1"/>
        <v/>
      </c>
      <c r="G130" s="21" t="str">
        <f t="shared" si="2"/>
        <v/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6" t="str">
        <f t="shared" si="1"/>
        <v/>
      </c>
      <c r="G131" s="21" t="str">
        <f t="shared" si="2"/>
        <v/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6" t="str">
        <f t="shared" si="1"/>
        <v/>
      </c>
      <c r="G132" s="21" t="str">
        <f t="shared" si="2"/>
        <v/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6" t="str">
        <f t="shared" si="1"/>
        <v/>
      </c>
      <c r="G133" s="21" t="str">
        <f t="shared" si="2"/>
        <v/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6" t="str">
        <f t="shared" si="1"/>
        <v/>
      </c>
      <c r="G134" s="21" t="str">
        <f t="shared" si="2"/>
        <v/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6" t="str">
        <f t="shared" si="1"/>
        <v/>
      </c>
      <c r="G135" s="21" t="str">
        <f t="shared" si="2"/>
        <v/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6" t="str">
        <f t="shared" si="1"/>
        <v/>
      </c>
      <c r="G136" s="21" t="str">
        <f t="shared" si="2"/>
        <v/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6" t="str">
        <f t="shared" si="1"/>
        <v/>
      </c>
      <c r="G137" s="21" t="str">
        <f t="shared" si="2"/>
        <v/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6" t="str">
        <f t="shared" si="1"/>
        <v/>
      </c>
      <c r="G138" s="21" t="str">
        <f t="shared" si="2"/>
        <v/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6" t="str">
        <f t="shared" si="1"/>
        <v/>
      </c>
      <c r="G139" s="21" t="str">
        <f t="shared" si="2"/>
        <v/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6" t="str">
        <f t="shared" si="1"/>
        <v/>
      </c>
      <c r="G140" s="21" t="str">
        <f t="shared" si="2"/>
        <v/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6" t="str">
        <f t="shared" si="1"/>
        <v/>
      </c>
      <c r="G141" s="21" t="str">
        <f t="shared" si="2"/>
        <v/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6" t="str">
        <f t="shared" si="1"/>
        <v/>
      </c>
      <c r="G142" s="21" t="str">
        <f t="shared" si="2"/>
        <v/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6" t="str">
        <f t="shared" si="1"/>
        <v/>
      </c>
      <c r="G143" s="21" t="str">
        <f t="shared" si="2"/>
        <v/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6" t="str">
        <f t="shared" si="1"/>
        <v/>
      </c>
      <c r="G144" s="21" t="str">
        <f t="shared" si="2"/>
        <v/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6" t="str">
        <f t="shared" si="1"/>
        <v/>
      </c>
      <c r="G145" s="21" t="str">
        <f t="shared" si="2"/>
        <v/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6" t="str">
        <f t="shared" si="1"/>
        <v/>
      </c>
      <c r="G146" s="21" t="str">
        <f t="shared" si="2"/>
        <v/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6" t="str">
        <f t="shared" si="1"/>
        <v/>
      </c>
      <c r="G147" s="21" t="str">
        <f t="shared" si="2"/>
        <v/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6" t="str">
        <f t="shared" si="1"/>
        <v/>
      </c>
      <c r="G148" s="21" t="str">
        <f t="shared" si="2"/>
        <v/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6" t="str">
        <f t="shared" si="1"/>
        <v/>
      </c>
      <c r="G149" s="21" t="str">
        <f t="shared" si="2"/>
        <v/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6" t="str">
        <f t="shared" si="1"/>
        <v/>
      </c>
      <c r="G150" s="21" t="str">
        <f t="shared" si="2"/>
        <v/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6" t="str">
        <f t="shared" si="1"/>
        <v/>
      </c>
      <c r="G151" s="21" t="str">
        <f t="shared" si="2"/>
        <v/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6" t="str">
        <f t="shared" si="1"/>
        <v/>
      </c>
      <c r="G152" s="21" t="str">
        <f t="shared" si="2"/>
        <v/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6" t="str">
        <f t="shared" si="1"/>
        <v/>
      </c>
      <c r="G153" s="21" t="str">
        <f t="shared" si="2"/>
        <v/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6" t="str">
        <f t="shared" si="1"/>
        <v/>
      </c>
      <c r="G154" s="21" t="str">
        <f t="shared" si="2"/>
        <v/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6" t="str">
        <f t="shared" si="1"/>
        <v/>
      </c>
      <c r="G155" s="21" t="str">
        <f t="shared" si="2"/>
        <v/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6" t="str">
        <f t="shared" si="1"/>
        <v/>
      </c>
      <c r="G156" s="21" t="str">
        <f t="shared" si="2"/>
        <v/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6" t="str">
        <f t="shared" si="1"/>
        <v/>
      </c>
      <c r="G157" s="21" t="str">
        <f t="shared" si="2"/>
        <v/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6" t="str">
        <f t="shared" si="1"/>
        <v/>
      </c>
      <c r="G158" s="21" t="str">
        <f t="shared" si="2"/>
        <v/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6" t="str">
        <f t="shared" si="1"/>
        <v/>
      </c>
      <c r="G159" s="21" t="str">
        <f t="shared" si="2"/>
        <v/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6" t="str">
        <f t="shared" si="1"/>
        <v/>
      </c>
      <c r="G160" s="21" t="str">
        <f t="shared" si="2"/>
        <v/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6" t="str">
        <f t="shared" si="1"/>
        <v/>
      </c>
      <c r="G161" s="21" t="str">
        <f t="shared" si="2"/>
        <v/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6" t="str">
        <f t="shared" si="1"/>
        <v/>
      </c>
      <c r="G162" s="21" t="str">
        <f t="shared" si="2"/>
        <v/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6" t="str">
        <f t="shared" si="1"/>
        <v/>
      </c>
      <c r="G163" s="21" t="str">
        <f t="shared" si="2"/>
        <v/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6" t="str">
        <f t="shared" si="1"/>
        <v/>
      </c>
      <c r="G164" s="21" t="str">
        <f t="shared" si="2"/>
        <v/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6" t="str">
        <f t="shared" si="1"/>
        <v/>
      </c>
      <c r="G165" s="21" t="str">
        <f t="shared" si="2"/>
        <v/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6" t="str">
        <f t="shared" si="1"/>
        <v/>
      </c>
      <c r="G166" s="21" t="str">
        <f t="shared" si="2"/>
        <v/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6" t="str">
        <f t="shared" si="1"/>
        <v/>
      </c>
      <c r="G167" s="21" t="str">
        <f t="shared" si="2"/>
        <v/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6" t="str">
        <f t="shared" si="1"/>
        <v/>
      </c>
      <c r="G168" s="21" t="str">
        <f t="shared" si="2"/>
        <v/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6" t="str">
        <f t="shared" si="1"/>
        <v/>
      </c>
      <c r="G169" s="21" t="str">
        <f t="shared" si="2"/>
        <v/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6" t="str">
        <f t="shared" si="1"/>
        <v/>
      </c>
      <c r="G170" s="21" t="str">
        <f t="shared" si="2"/>
        <v/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6" t="str">
        <f t="shared" si="1"/>
        <v/>
      </c>
      <c r="G171" s="21" t="str">
        <f t="shared" si="2"/>
        <v/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6" t="str">
        <f t="shared" si="1"/>
        <v/>
      </c>
      <c r="G172" s="21" t="str">
        <f t="shared" si="2"/>
        <v/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6" t="str">
        <f t="shared" si="1"/>
        <v/>
      </c>
      <c r="G173" s="21" t="str">
        <f t="shared" si="2"/>
        <v/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6" t="str">
        <f t="shared" si="1"/>
        <v/>
      </c>
      <c r="G174" s="21" t="str">
        <f t="shared" si="2"/>
        <v/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6" t="str">
        <f t="shared" si="1"/>
        <v/>
      </c>
      <c r="G175" s="21" t="str">
        <f t="shared" si="2"/>
        <v/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6" t="str">
        <f t="shared" si="1"/>
        <v/>
      </c>
      <c r="G176" s="21" t="str">
        <f t="shared" si="2"/>
        <v/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6" t="str">
        <f t="shared" si="1"/>
        <v/>
      </c>
      <c r="G177" s="21" t="str">
        <f t="shared" si="2"/>
        <v/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6" t="str">
        <f t="shared" si="1"/>
        <v/>
      </c>
      <c r="G178" s="21" t="str">
        <f t="shared" si="2"/>
        <v/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6" t="str">
        <f t="shared" si="1"/>
        <v/>
      </c>
      <c r="G179" s="21" t="str">
        <f t="shared" si="2"/>
        <v/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6" t="str">
        <f t="shared" si="1"/>
        <v/>
      </c>
      <c r="G180" s="21" t="str">
        <f t="shared" si="2"/>
        <v/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6" t="str">
        <f t="shared" si="1"/>
        <v/>
      </c>
      <c r="G181" s="21" t="str">
        <f t="shared" si="2"/>
        <v/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6" t="str">
        <f t="shared" si="1"/>
        <v/>
      </c>
      <c r="G182" s="21" t="str">
        <f t="shared" si="2"/>
        <v/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6" t="str">
        <f t="shared" si="1"/>
        <v/>
      </c>
      <c r="G183" s="21" t="str">
        <f t="shared" si="2"/>
        <v/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6" t="str">
        <f t="shared" si="1"/>
        <v/>
      </c>
      <c r="G184" s="21" t="str">
        <f t="shared" si="2"/>
        <v/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6" t="str">
        <f t="shared" si="1"/>
        <v/>
      </c>
      <c r="G185" s="21" t="str">
        <f t="shared" si="2"/>
        <v/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6" t="str">
        <f t="shared" si="1"/>
        <v/>
      </c>
      <c r="G186" s="21" t="str">
        <f t="shared" si="2"/>
        <v/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6" t="str">
        <f t="shared" si="1"/>
        <v/>
      </c>
      <c r="G187" s="21" t="str">
        <f t="shared" si="2"/>
        <v/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6" t="str">
        <f t="shared" si="1"/>
        <v/>
      </c>
      <c r="G188" s="21" t="str">
        <f t="shared" si="2"/>
        <v/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6" t="str">
        <f t="shared" si="1"/>
        <v/>
      </c>
      <c r="G189" s="21" t="str">
        <f t="shared" si="2"/>
        <v/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6" t="str">
        <f t="shared" si="1"/>
        <v/>
      </c>
      <c r="G190" s="21" t="str">
        <f t="shared" si="2"/>
        <v/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6" t="str">
        <f t="shared" si="1"/>
        <v/>
      </c>
      <c r="G191" s="21" t="str">
        <f t="shared" si="2"/>
        <v/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6" t="str">
        <f t="shared" si="1"/>
        <v/>
      </c>
      <c r="G192" s="21" t="str">
        <f t="shared" si="2"/>
        <v/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6" t="str">
        <f t="shared" si="1"/>
        <v/>
      </c>
      <c r="G193" s="21" t="str">
        <f t="shared" si="2"/>
        <v/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6" t="str">
        <f t="shared" si="1"/>
        <v/>
      </c>
      <c r="G194" s="21" t="str">
        <f t="shared" si="2"/>
        <v/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6" t="str">
        <f t="shared" si="1"/>
        <v/>
      </c>
      <c r="G195" s="21" t="str">
        <f t="shared" si="2"/>
        <v/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6" t="str">
        <f t="shared" si="1"/>
        <v/>
      </c>
      <c r="G196" s="21" t="str">
        <f t="shared" si="2"/>
        <v/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6" t="str">
        <f t="shared" si="1"/>
        <v/>
      </c>
      <c r="G197" s="21" t="str">
        <f t="shared" si="2"/>
        <v/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6" t="str">
        <f t="shared" si="1"/>
        <v/>
      </c>
      <c r="G198" s="21" t="str">
        <f t="shared" si="2"/>
        <v/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6" t="str">
        <f t="shared" si="1"/>
        <v/>
      </c>
      <c r="G199" s="21" t="str">
        <f t="shared" si="2"/>
        <v/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6" t="str">
        <f t="shared" si="1"/>
        <v/>
      </c>
      <c r="G200" s="21" t="str">
        <f t="shared" si="2"/>
        <v/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6" t="str">
        <f t="shared" si="1"/>
        <v/>
      </c>
      <c r="G201" s="21" t="str">
        <f t="shared" si="2"/>
        <v/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6" t="str">
        <f t="shared" si="1"/>
        <v/>
      </c>
      <c r="G202" s="21" t="str">
        <f t="shared" si="2"/>
        <v/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6" t="str">
        <f t="shared" si="1"/>
        <v/>
      </c>
      <c r="G203" s="21" t="str">
        <f t="shared" si="2"/>
        <v/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6" t="str">
        <f t="shared" si="1"/>
        <v/>
      </c>
      <c r="G204" s="21" t="str">
        <f t="shared" si="2"/>
        <v/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6" t="str">
        <f t="shared" si="1"/>
        <v/>
      </c>
      <c r="G205" s="21" t="str">
        <f t="shared" si="2"/>
        <v/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6" t="str">
        <f t="shared" si="1"/>
        <v/>
      </c>
      <c r="G206" s="21" t="str">
        <f t="shared" si="2"/>
        <v/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6" t="str">
        <f t="shared" si="1"/>
        <v/>
      </c>
      <c r="G207" s="21" t="str">
        <f t="shared" si="2"/>
        <v/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6" t="str">
        <f t="shared" si="1"/>
        <v/>
      </c>
      <c r="G208" s="21" t="str">
        <f t="shared" si="2"/>
        <v/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6" t="str">
        <f t="shared" si="1"/>
        <v/>
      </c>
      <c r="G209" s="21" t="str">
        <f t="shared" si="2"/>
        <v/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6" t="str">
        <f t="shared" si="1"/>
        <v/>
      </c>
      <c r="G210" s="21" t="str">
        <f t="shared" si="2"/>
        <v/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6" t="str">
        <f t="shared" si="1"/>
        <v/>
      </c>
      <c r="G211" s="21" t="str">
        <f t="shared" si="2"/>
        <v/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6" t="str">
        <f t="shared" si="1"/>
        <v/>
      </c>
      <c r="G212" s="21" t="str">
        <f t="shared" si="2"/>
        <v/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6" t="str">
        <f t="shared" si="1"/>
        <v/>
      </c>
      <c r="G213" s="21" t="str">
        <f t="shared" si="2"/>
        <v/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6" t="str">
        <f t="shared" si="1"/>
        <v/>
      </c>
      <c r="G214" s="21" t="str">
        <f t="shared" si="2"/>
        <v/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6" t="str">
        <f t="shared" si="1"/>
        <v/>
      </c>
      <c r="G215" s="21" t="str">
        <f t="shared" si="2"/>
        <v/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6" t="str">
        <f t="shared" si="1"/>
        <v/>
      </c>
      <c r="G216" s="21" t="str">
        <f t="shared" si="2"/>
        <v/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6" t="str">
        <f t="shared" si="1"/>
        <v/>
      </c>
      <c r="G217" s="21" t="str">
        <f t="shared" si="2"/>
        <v/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6" t="str">
        <f t="shared" si="1"/>
        <v/>
      </c>
      <c r="G218" s="21" t="str">
        <f t="shared" si="2"/>
        <v/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6" t="str">
        <f t="shared" si="1"/>
        <v/>
      </c>
      <c r="G219" s="21" t="str">
        <f t="shared" si="2"/>
        <v/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6" t="str">
        <f t="shared" si="1"/>
        <v/>
      </c>
      <c r="G220" s="21" t="str">
        <f t="shared" si="2"/>
        <v/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6" t="str">
        <f t="shared" si="1"/>
        <v/>
      </c>
      <c r="G221" s="21" t="str">
        <f t="shared" si="2"/>
        <v/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6" t="str">
        <f t="shared" si="1"/>
        <v/>
      </c>
      <c r="G222" s="21" t="str">
        <f t="shared" si="2"/>
        <v/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6" t="str">
        <f t="shared" si="1"/>
        <v/>
      </c>
      <c r="G223" s="21" t="str">
        <f t="shared" si="2"/>
        <v/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6" t="str">
        <f t="shared" si="1"/>
        <v/>
      </c>
      <c r="G224" s="21" t="str">
        <f t="shared" si="2"/>
        <v/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6" t="str">
        <f t="shared" si="1"/>
        <v/>
      </c>
      <c r="G225" s="21" t="str">
        <f t="shared" si="2"/>
        <v/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6" t="str">
        <f t="shared" si="1"/>
        <v/>
      </c>
      <c r="G226" s="21" t="str">
        <f t="shared" si="2"/>
        <v/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6" t="str">
        <f t="shared" si="1"/>
        <v/>
      </c>
      <c r="G227" s="21" t="str">
        <f t="shared" si="2"/>
        <v/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6" t="str">
        <f t="shared" si="1"/>
        <v/>
      </c>
      <c r="G228" s="21" t="str">
        <f t="shared" si="2"/>
        <v/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6" t="str">
        <f t="shared" si="1"/>
        <v/>
      </c>
      <c r="G229" s="21" t="str">
        <f t="shared" si="2"/>
        <v/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6" t="str">
        <f t="shared" si="1"/>
        <v/>
      </c>
      <c r="G230" s="21" t="str">
        <f t="shared" si="2"/>
        <v/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6" t="str">
        <f t="shared" si="1"/>
        <v/>
      </c>
      <c r="G231" s="21" t="str">
        <f t="shared" si="2"/>
        <v/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6" t="str">
        <f t="shared" si="1"/>
        <v/>
      </c>
      <c r="G232" s="21" t="str">
        <f t="shared" si="2"/>
        <v/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6" t="str">
        <f t="shared" si="1"/>
        <v/>
      </c>
      <c r="G233" s="21" t="str">
        <f t="shared" si="2"/>
        <v/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6" t="str">
        <f t="shared" si="1"/>
        <v/>
      </c>
      <c r="G234" s="21" t="str">
        <f t="shared" si="2"/>
        <v/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6" t="str">
        <f t="shared" si="1"/>
        <v/>
      </c>
      <c r="G235" s="21" t="str">
        <f t="shared" si="2"/>
        <v/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6" t="str">
        <f t="shared" si="1"/>
        <v/>
      </c>
      <c r="G236" s="21" t="str">
        <f t="shared" si="2"/>
        <v/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6" t="str">
        <f t="shared" si="1"/>
        <v/>
      </c>
      <c r="G237" s="21" t="str">
        <f t="shared" si="2"/>
        <v/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6" t="str">
        <f t="shared" si="1"/>
        <v/>
      </c>
      <c r="G238" s="21" t="str">
        <f t="shared" si="2"/>
        <v/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6" t="str">
        <f t="shared" si="1"/>
        <v/>
      </c>
      <c r="G239" s="21" t="str">
        <f t="shared" si="2"/>
        <v/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6" t="str">
        <f t="shared" si="1"/>
        <v/>
      </c>
      <c r="G240" s="21" t="str">
        <f t="shared" si="2"/>
        <v/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6" t="str">
        <f t="shared" si="1"/>
        <v/>
      </c>
      <c r="G241" s="21" t="str">
        <f t="shared" si="2"/>
        <v/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6" t="str">
        <f t="shared" si="1"/>
        <v/>
      </c>
      <c r="G242" s="21" t="str">
        <f t="shared" si="2"/>
        <v/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6" t="str">
        <f t="shared" si="1"/>
        <v/>
      </c>
      <c r="G243" s="21" t="str">
        <f t="shared" si="2"/>
        <v/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6" t="str">
        <f t="shared" si="1"/>
        <v/>
      </c>
      <c r="G244" s="21" t="str">
        <f t="shared" si="2"/>
        <v/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6" t="str">
        <f t="shared" si="1"/>
        <v/>
      </c>
      <c r="G245" s="21" t="str">
        <f t="shared" si="2"/>
        <v/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6" t="str">
        <f t="shared" si="1"/>
        <v/>
      </c>
      <c r="G246" s="21" t="str">
        <f t="shared" si="2"/>
        <v/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6" t="str">
        <f t="shared" si="1"/>
        <v/>
      </c>
      <c r="G247" s="21" t="str">
        <f t="shared" si="2"/>
        <v/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6" t="str">
        <f t="shared" si="1"/>
        <v/>
      </c>
      <c r="G248" s="21" t="str">
        <f t="shared" si="2"/>
        <v/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6" t="str">
        <f t="shared" si="1"/>
        <v/>
      </c>
      <c r="G249" s="21" t="str">
        <f t="shared" si="2"/>
        <v/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6" t="str">
        <f t="shared" si="1"/>
        <v/>
      </c>
      <c r="G250" s="21" t="str">
        <f t="shared" si="2"/>
        <v/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6" t="str">
        <f t="shared" si="1"/>
        <v/>
      </c>
      <c r="G251" s="21" t="str">
        <f t="shared" si="2"/>
        <v/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6" t="str">
        <f t="shared" si="1"/>
        <v/>
      </c>
      <c r="G252" s="21" t="str">
        <f t="shared" si="2"/>
        <v/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6" t="str">
        <f t="shared" si="1"/>
        <v/>
      </c>
      <c r="G253" s="21" t="str">
        <f t="shared" si="2"/>
        <v/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6" t="str">
        <f t="shared" si="1"/>
        <v/>
      </c>
      <c r="G254" s="21" t="str">
        <f t="shared" si="2"/>
        <v/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6" t="str">
        <f t="shared" si="1"/>
        <v/>
      </c>
      <c r="G255" s="21" t="str">
        <f t="shared" si="2"/>
        <v/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6" t="str">
        <f t="shared" si="1"/>
        <v/>
      </c>
      <c r="G256" s="21" t="str">
        <f t="shared" si="2"/>
        <v/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6" t="str">
        <f t="shared" si="1"/>
        <v/>
      </c>
      <c r="G257" s="21" t="str">
        <f t="shared" si="2"/>
        <v/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6" t="str">
        <f t="shared" si="1"/>
        <v/>
      </c>
      <c r="G258" s="21" t="str">
        <f t="shared" si="2"/>
        <v/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6" t="str">
        <f t="shared" si="1"/>
        <v/>
      </c>
      <c r="G259" s="21" t="str">
        <f t="shared" si="2"/>
        <v/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6" t="str">
        <f t="shared" si="1"/>
        <v/>
      </c>
      <c r="G260" s="21" t="str">
        <f t="shared" si="2"/>
        <v/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6" t="str">
        <f t="shared" si="1"/>
        <v/>
      </c>
      <c r="G261" s="21" t="str">
        <f t="shared" si="2"/>
        <v/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6" t="str">
        <f t="shared" si="1"/>
        <v/>
      </c>
      <c r="G262" s="21" t="str">
        <f t="shared" si="2"/>
        <v/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6" t="str">
        <f t="shared" si="1"/>
        <v/>
      </c>
      <c r="G263" s="21" t="str">
        <f t="shared" si="2"/>
        <v/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6" t="str">
        <f t="shared" si="1"/>
        <v/>
      </c>
      <c r="G264" s="21" t="str">
        <f t="shared" si="2"/>
        <v/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6" t="str">
        <f t="shared" si="1"/>
        <v/>
      </c>
      <c r="G265" s="21" t="str">
        <f t="shared" si="2"/>
        <v/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6" t="str">
        <f t="shared" si="1"/>
        <v/>
      </c>
      <c r="G266" s="21" t="str">
        <f t="shared" si="2"/>
        <v/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6" t="str">
        <f t="shared" si="1"/>
        <v/>
      </c>
      <c r="G267" s="21" t="str">
        <f t="shared" si="2"/>
        <v/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6" t="str">
        <f t="shared" si="1"/>
        <v/>
      </c>
      <c r="G268" s="21" t="str">
        <f t="shared" si="2"/>
        <v/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6" t="str">
        <f t="shared" si="1"/>
        <v/>
      </c>
      <c r="G269" s="21" t="str">
        <f t="shared" si="2"/>
        <v/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6" t="str">
        <f t="shared" si="1"/>
        <v/>
      </c>
      <c r="G270" s="21" t="str">
        <f t="shared" si="2"/>
        <v/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6" t="str">
        <f t="shared" si="1"/>
        <v/>
      </c>
      <c r="G271" s="21" t="str">
        <f t="shared" si="2"/>
        <v/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6" t="str">
        <f t="shared" si="1"/>
        <v/>
      </c>
      <c r="G272" s="21" t="str">
        <f t="shared" si="2"/>
        <v/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6" t="str">
        <f t="shared" si="1"/>
        <v/>
      </c>
      <c r="G273" s="21" t="str">
        <f t="shared" si="2"/>
        <v/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6" t="str">
        <f t="shared" si="1"/>
        <v/>
      </c>
      <c r="G274" s="21" t="str">
        <f t="shared" si="2"/>
        <v/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6" t="str">
        <f t="shared" si="1"/>
        <v/>
      </c>
      <c r="G275" s="21" t="str">
        <f t="shared" si="2"/>
        <v/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6" t="str">
        <f t="shared" si="1"/>
        <v/>
      </c>
      <c r="G276" s="21" t="str">
        <f t="shared" si="2"/>
        <v/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6" t="str">
        <f t="shared" si="1"/>
        <v/>
      </c>
      <c r="G277" s="21" t="str">
        <f t="shared" si="2"/>
        <v/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6" t="str">
        <f t="shared" si="1"/>
        <v/>
      </c>
      <c r="G278" s="21" t="str">
        <f t="shared" si="2"/>
        <v/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6" t="str">
        <f t="shared" si="1"/>
        <v/>
      </c>
      <c r="G279" s="21" t="str">
        <f t="shared" si="2"/>
        <v/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6" t="str">
        <f t="shared" si="1"/>
        <v/>
      </c>
      <c r="G280" s="21" t="str">
        <f t="shared" si="2"/>
        <v/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6" t="str">
        <f t="shared" si="1"/>
        <v/>
      </c>
      <c r="G281" s="21" t="str">
        <f t="shared" si="2"/>
        <v/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6" t="str">
        <f t="shared" si="1"/>
        <v/>
      </c>
      <c r="G282" s="21" t="str">
        <f t="shared" si="2"/>
        <v/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6" t="str">
        <f t="shared" si="1"/>
        <v/>
      </c>
      <c r="G283" s="21" t="str">
        <f t="shared" si="2"/>
        <v/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6" t="str">
        <f t="shared" si="1"/>
        <v/>
      </c>
      <c r="G284" s="21" t="str">
        <f t="shared" si="2"/>
        <v/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6" t="str">
        <f t="shared" si="1"/>
        <v/>
      </c>
      <c r="G285" s="21" t="str">
        <f t="shared" si="2"/>
        <v/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6" t="str">
        <f t="shared" si="1"/>
        <v/>
      </c>
      <c r="G286" s="21" t="str">
        <f t="shared" si="2"/>
        <v/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6" t="str">
        <f t="shared" si="1"/>
        <v/>
      </c>
      <c r="G287" s="21" t="str">
        <f t="shared" si="2"/>
        <v/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6" t="str">
        <f t="shared" si="1"/>
        <v/>
      </c>
      <c r="G288" s="21" t="str">
        <f t="shared" si="2"/>
        <v/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6" t="str">
        <f t="shared" si="1"/>
        <v/>
      </c>
      <c r="G289" s="21" t="str">
        <f t="shared" si="2"/>
        <v/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6" t="str">
        <f t="shared" si="1"/>
        <v/>
      </c>
      <c r="G290" s="21" t="str">
        <f t="shared" si="2"/>
        <v/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6" t="str">
        <f t="shared" si="1"/>
        <v/>
      </c>
      <c r="G291" s="21" t="str">
        <f t="shared" si="2"/>
        <v/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6" t="str">
        <f t="shared" si="1"/>
        <v/>
      </c>
      <c r="G292" s="21" t="str">
        <f t="shared" si="2"/>
        <v/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6" t="str">
        <f t="shared" si="1"/>
        <v/>
      </c>
      <c r="G293" s="21" t="str">
        <f t="shared" si="2"/>
        <v/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6" t="str">
        <f t="shared" si="1"/>
        <v/>
      </c>
      <c r="G294" s="21" t="str">
        <f t="shared" si="2"/>
        <v/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6" t="str">
        <f t="shared" si="1"/>
        <v/>
      </c>
      <c r="G295" s="21" t="str">
        <f t="shared" si="2"/>
        <v/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6" t="str">
        <f t="shared" si="1"/>
        <v/>
      </c>
      <c r="G296" s="21" t="str">
        <f t="shared" si="2"/>
        <v/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6" t="str">
        <f t="shared" si="1"/>
        <v/>
      </c>
      <c r="G297" s="21" t="str">
        <f t="shared" si="2"/>
        <v/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6" t="str">
        <f t="shared" si="1"/>
        <v/>
      </c>
      <c r="G298" s="21" t="str">
        <f t="shared" si="2"/>
        <v/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6" t="str">
        <f t="shared" si="1"/>
        <v/>
      </c>
      <c r="G299" s="21" t="str">
        <f t="shared" si="2"/>
        <v/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6" t="str">
        <f t="shared" si="1"/>
        <v/>
      </c>
      <c r="G300" s="21" t="str">
        <f t="shared" si="2"/>
        <v/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6" t="str">
        <f t="shared" si="1"/>
        <v/>
      </c>
      <c r="G301" s="21" t="str">
        <f t="shared" si="2"/>
        <v/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6" t="str">
        <f t="shared" si="1"/>
        <v/>
      </c>
      <c r="G302" s="21" t="str">
        <f t="shared" si="2"/>
        <v/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6" t="str">
        <f t="shared" si="1"/>
        <v/>
      </c>
      <c r="G303" s="21" t="str">
        <f t="shared" si="2"/>
        <v/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6" t="str">
        <f t="shared" si="1"/>
        <v/>
      </c>
      <c r="G304" s="21" t="str">
        <f t="shared" si="2"/>
        <v/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6" t="str">
        <f t="shared" si="1"/>
        <v/>
      </c>
      <c r="G305" s="21" t="str">
        <f t="shared" si="2"/>
        <v/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6" t="str">
        <f t="shared" si="1"/>
        <v/>
      </c>
      <c r="G306" s="21" t="str">
        <f t="shared" si="2"/>
        <v/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6" t="str">
        <f t="shared" si="1"/>
        <v/>
      </c>
      <c r="G307" s="21" t="str">
        <f t="shared" si="2"/>
        <v/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6" t="str">
        <f t="shared" si="1"/>
        <v/>
      </c>
      <c r="G308" s="21" t="str">
        <f t="shared" si="2"/>
        <v/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6" t="str">
        <f t="shared" si="1"/>
        <v/>
      </c>
      <c r="G309" s="21" t="str">
        <f t="shared" si="2"/>
        <v/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6" t="str">
        <f t="shared" si="1"/>
        <v/>
      </c>
      <c r="G310" s="21" t="str">
        <f t="shared" si="2"/>
        <v/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6" t="str">
        <f t="shared" si="1"/>
        <v/>
      </c>
      <c r="G311" s="21" t="str">
        <f t="shared" si="2"/>
        <v/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6" t="str">
        <f t="shared" si="1"/>
        <v/>
      </c>
      <c r="G312" s="21" t="str">
        <f t="shared" si="2"/>
        <v/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6" t="str">
        <f t="shared" si="1"/>
        <v/>
      </c>
      <c r="G313" s="21" t="str">
        <f t="shared" si="2"/>
        <v/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6" t="str">
        <f t="shared" si="1"/>
        <v/>
      </c>
      <c r="G314" s="21" t="str">
        <f t="shared" si="2"/>
        <v/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6" t="str">
        <f t="shared" si="1"/>
        <v/>
      </c>
      <c r="G315" s="21" t="str">
        <f t="shared" si="2"/>
        <v/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6" t="str">
        <f t="shared" si="1"/>
        <v/>
      </c>
      <c r="G316" s="21" t="str">
        <f t="shared" si="2"/>
        <v/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6" t="str">
        <f t="shared" si="1"/>
        <v/>
      </c>
      <c r="G317" s="21" t="str">
        <f t="shared" si="2"/>
        <v/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6" t="str">
        <f t="shared" si="1"/>
        <v/>
      </c>
      <c r="G318" s="21" t="str">
        <f t="shared" si="2"/>
        <v/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6" t="str">
        <f t="shared" si="1"/>
        <v/>
      </c>
      <c r="G319" s="21" t="str">
        <f t="shared" si="2"/>
        <v/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6" t="str">
        <f t="shared" si="1"/>
        <v/>
      </c>
      <c r="G320" s="21" t="str">
        <f t="shared" si="2"/>
        <v/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6" t="str">
        <f t="shared" si="1"/>
        <v/>
      </c>
      <c r="G321" s="21" t="str">
        <f t="shared" si="2"/>
        <v/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6" t="str">
        <f t="shared" si="1"/>
        <v/>
      </c>
      <c r="G322" s="21" t="str">
        <f t="shared" si="2"/>
        <v/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6" t="str">
        <f t="shared" si="1"/>
        <v/>
      </c>
      <c r="G323" s="21" t="str">
        <f t="shared" si="2"/>
        <v/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6" t="str">
        <f t="shared" si="1"/>
        <v/>
      </c>
      <c r="G324" s="21" t="str">
        <f t="shared" si="2"/>
        <v/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6" t="str">
        <f t="shared" si="1"/>
        <v/>
      </c>
      <c r="G325" s="21" t="str">
        <f t="shared" si="2"/>
        <v/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6" t="str">
        <f t="shared" si="1"/>
        <v/>
      </c>
      <c r="G326" s="21" t="str">
        <f t="shared" si="2"/>
        <v/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6" t="str">
        <f t="shared" si="1"/>
        <v/>
      </c>
      <c r="G327" s="21" t="str">
        <f t="shared" si="2"/>
        <v/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6" t="str">
        <f t="shared" si="1"/>
        <v/>
      </c>
      <c r="G328" s="21" t="str">
        <f t="shared" si="2"/>
        <v/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6" t="str">
        <f t="shared" si="1"/>
        <v/>
      </c>
      <c r="G329" s="21" t="str">
        <f t="shared" si="2"/>
        <v/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6" t="str">
        <f t="shared" si="1"/>
        <v/>
      </c>
      <c r="G330" s="21" t="str">
        <f t="shared" si="2"/>
        <v/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6" t="str">
        <f t="shared" si="1"/>
        <v/>
      </c>
      <c r="G331" s="21" t="str">
        <f t="shared" si="2"/>
        <v/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6" t="str">
        <f t="shared" si="1"/>
        <v/>
      </c>
      <c r="G332" s="21" t="str">
        <f t="shared" si="2"/>
        <v/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6" t="str">
        <f t="shared" si="1"/>
        <v/>
      </c>
      <c r="G333" s="21" t="str">
        <f t="shared" si="2"/>
        <v/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6" t="str">
        <f t="shared" si="1"/>
        <v/>
      </c>
      <c r="G334" s="21" t="str">
        <f t="shared" si="2"/>
        <v/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6" t="str">
        <f t="shared" si="1"/>
        <v/>
      </c>
      <c r="G335" s="21" t="str">
        <f t="shared" si="2"/>
        <v/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6" t="str">
        <f t="shared" si="1"/>
        <v/>
      </c>
      <c r="G336" s="21" t="str">
        <f t="shared" si="2"/>
        <v/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6" t="str">
        <f t="shared" si="1"/>
        <v/>
      </c>
      <c r="G337" s="21" t="str">
        <f t="shared" si="2"/>
        <v/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6" t="str">
        <f t="shared" si="1"/>
        <v/>
      </c>
      <c r="G338" s="21" t="str">
        <f t="shared" si="2"/>
        <v/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6" t="str">
        <f t="shared" si="1"/>
        <v/>
      </c>
      <c r="G339" s="21" t="str">
        <f t="shared" si="2"/>
        <v/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6" t="str">
        <f t="shared" si="1"/>
        <v/>
      </c>
      <c r="G340" s="21" t="str">
        <f t="shared" si="2"/>
        <v/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6" t="str">
        <f t="shared" si="1"/>
        <v/>
      </c>
      <c r="G341" s="21" t="str">
        <f t="shared" si="2"/>
        <v/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6" t="str">
        <f t="shared" si="1"/>
        <v/>
      </c>
      <c r="G342" s="21" t="str">
        <f t="shared" si="2"/>
        <v/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6" t="str">
        <f t="shared" si="1"/>
        <v/>
      </c>
      <c r="G343" s="21" t="str">
        <f t="shared" si="2"/>
        <v/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6" t="str">
        <f t="shared" si="1"/>
        <v/>
      </c>
      <c r="G344" s="21" t="str">
        <f t="shared" si="2"/>
        <v/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6" t="str">
        <f t="shared" si="1"/>
        <v/>
      </c>
      <c r="G345" s="21" t="str">
        <f t="shared" si="2"/>
        <v/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6" t="str">
        <f t="shared" si="1"/>
        <v/>
      </c>
      <c r="G346" s="21" t="str">
        <f t="shared" si="2"/>
        <v/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6" t="str">
        <f t="shared" si="1"/>
        <v/>
      </c>
      <c r="G347" s="21" t="str">
        <f t="shared" si="2"/>
        <v/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6" t="str">
        <f t="shared" si="1"/>
        <v/>
      </c>
      <c r="G348" s="21" t="str">
        <f t="shared" si="2"/>
        <v/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6" t="str">
        <f t="shared" si="1"/>
        <v/>
      </c>
      <c r="G349" s="21" t="str">
        <f t="shared" si="2"/>
        <v/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6" t="str">
        <f t="shared" si="1"/>
        <v/>
      </c>
      <c r="G350" s="21" t="str">
        <f t="shared" si="2"/>
        <v/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6" t="str">
        <f t="shared" si="1"/>
        <v/>
      </c>
      <c r="G351" s="21" t="str">
        <f t="shared" si="2"/>
        <v/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6" t="str">
        <f t="shared" si="1"/>
        <v/>
      </c>
      <c r="G352" s="21" t="str">
        <f t="shared" si="2"/>
        <v/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6" t="str">
        <f t="shared" si="1"/>
        <v/>
      </c>
      <c r="G353" s="21" t="str">
        <f t="shared" si="2"/>
        <v/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6" t="str">
        <f t="shared" si="1"/>
        <v/>
      </c>
      <c r="G354" s="21" t="str">
        <f t="shared" si="2"/>
        <v/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6" t="str">
        <f t="shared" si="1"/>
        <v/>
      </c>
      <c r="G355" s="21" t="str">
        <f t="shared" si="2"/>
        <v/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6" t="str">
        <f t="shared" si="1"/>
        <v/>
      </c>
      <c r="G356" s="21" t="str">
        <f t="shared" si="2"/>
        <v/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6" t="str">
        <f t="shared" si="1"/>
        <v/>
      </c>
      <c r="G357" s="21" t="str">
        <f t="shared" si="2"/>
        <v/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6" t="str">
        <f t="shared" si="1"/>
        <v/>
      </c>
      <c r="G358" s="21" t="str">
        <f t="shared" si="2"/>
        <v/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6" t="str">
        <f t="shared" si="1"/>
        <v/>
      </c>
      <c r="G359" s="21" t="str">
        <f t="shared" si="2"/>
        <v/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6" t="str">
        <f t="shared" si="1"/>
        <v/>
      </c>
      <c r="G360" s="21" t="str">
        <f t="shared" si="2"/>
        <v/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6" t="str">
        <f t="shared" si="1"/>
        <v/>
      </c>
      <c r="G361" s="21" t="str">
        <f t="shared" si="2"/>
        <v/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6" t="str">
        <f t="shared" si="1"/>
        <v/>
      </c>
      <c r="G362" s="21" t="str">
        <f t="shared" si="2"/>
        <v/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6" t="str">
        <f t="shared" si="1"/>
        <v/>
      </c>
      <c r="G363" s="21" t="str">
        <f t="shared" si="2"/>
        <v/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6" t="str">
        <f t="shared" si="1"/>
        <v/>
      </c>
      <c r="G364" s="21" t="str">
        <f t="shared" si="2"/>
        <v/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6" t="str">
        <f t="shared" si="1"/>
        <v/>
      </c>
      <c r="G365" s="21" t="str">
        <f t="shared" si="2"/>
        <v/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6" t="str">
        <f t="shared" si="1"/>
        <v/>
      </c>
      <c r="G366" s="21" t="str">
        <f t="shared" si="2"/>
        <v/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6" t="str">
        <f t="shared" si="1"/>
        <v/>
      </c>
      <c r="G367" s="21" t="str">
        <f t="shared" si="2"/>
        <v/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6" t="str">
        <f t="shared" si="1"/>
        <v/>
      </c>
      <c r="G368" s="21" t="str">
        <f t="shared" si="2"/>
        <v/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6" t="str">
        <f t="shared" si="1"/>
        <v/>
      </c>
      <c r="G369" s="21" t="str">
        <f t="shared" si="2"/>
        <v/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6" t="str">
        <f t="shared" si="1"/>
        <v/>
      </c>
      <c r="G370" s="21" t="str">
        <f t="shared" si="2"/>
        <v/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6" t="str">
        <f t="shared" si="1"/>
        <v/>
      </c>
      <c r="G371" s="21" t="str">
        <f t="shared" si="2"/>
        <v/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6" t="str">
        <f t="shared" si="1"/>
        <v/>
      </c>
      <c r="G372" s="21" t="str">
        <f t="shared" si="2"/>
        <v/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6" t="str">
        <f t="shared" si="1"/>
        <v/>
      </c>
      <c r="G373" s="21" t="str">
        <f t="shared" si="2"/>
        <v/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6" t="str">
        <f t="shared" si="1"/>
        <v/>
      </c>
      <c r="G374" s="21" t="str">
        <f t="shared" si="2"/>
        <v/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6" t="str">
        <f t="shared" si="1"/>
        <v/>
      </c>
      <c r="G375" s="21" t="str">
        <f t="shared" si="2"/>
        <v/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6" t="str">
        <f t="shared" si="1"/>
        <v/>
      </c>
      <c r="G376" s="21" t="str">
        <f t="shared" si="2"/>
        <v/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6" t="str">
        <f t="shared" si="1"/>
        <v/>
      </c>
      <c r="G377" s="21" t="str">
        <f t="shared" si="2"/>
        <v/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6" t="str">
        <f t="shared" si="1"/>
        <v/>
      </c>
      <c r="G378" s="21" t="str">
        <f t="shared" si="2"/>
        <v/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6" t="str">
        <f t="shared" si="1"/>
        <v/>
      </c>
      <c r="G379" s="21" t="str">
        <f t="shared" si="2"/>
        <v/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6" t="str">
        <f t="shared" si="1"/>
        <v/>
      </c>
      <c r="G380" s="21" t="str">
        <f t="shared" si="2"/>
        <v/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6" t="str">
        <f t="shared" si="1"/>
        <v/>
      </c>
      <c r="G381" s="21" t="str">
        <f t="shared" si="2"/>
        <v/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6" t="str">
        <f t="shared" si="1"/>
        <v/>
      </c>
      <c r="G382" s="21" t="str">
        <f t="shared" si="2"/>
        <v/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6" t="str">
        <f t="shared" si="1"/>
        <v/>
      </c>
      <c r="G383" s="21" t="str">
        <f t="shared" si="2"/>
        <v/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6" t="str">
        <f t="shared" si="1"/>
        <v/>
      </c>
      <c r="G384" s="21" t="str">
        <f t="shared" si="2"/>
        <v/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6" t="str">
        <f t="shared" si="1"/>
        <v/>
      </c>
      <c r="G385" s="21" t="str">
        <f t="shared" si="2"/>
        <v/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6" t="str">
        <f t="shared" si="1"/>
        <v/>
      </c>
      <c r="G386" s="21" t="str">
        <f t="shared" si="2"/>
        <v/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6" t="str">
        <f t="shared" si="1"/>
        <v/>
      </c>
      <c r="G387" s="21" t="str">
        <f t="shared" si="2"/>
        <v/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6" t="str">
        <f t="shared" si="1"/>
        <v/>
      </c>
      <c r="G388" s="21" t="str">
        <f t="shared" si="2"/>
        <v/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6" t="str">
        <f t="shared" si="1"/>
        <v/>
      </c>
      <c r="G389" s="21" t="str">
        <f t="shared" si="2"/>
        <v/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6" t="str">
        <f t="shared" si="1"/>
        <v/>
      </c>
      <c r="G390" s="21" t="str">
        <f t="shared" si="2"/>
        <v/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6" t="str">
        <f t="shared" si="1"/>
        <v/>
      </c>
      <c r="G391" s="21" t="str">
        <f t="shared" si="2"/>
        <v/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6" t="str">
        <f t="shared" si="1"/>
        <v/>
      </c>
      <c r="G392" s="21" t="str">
        <f t="shared" si="2"/>
        <v/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6" t="str">
        <f t="shared" si="1"/>
        <v/>
      </c>
      <c r="G393" s="21" t="str">
        <f t="shared" si="2"/>
        <v/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6" t="str">
        <f t="shared" si="1"/>
        <v/>
      </c>
      <c r="G394" s="21" t="str">
        <f t="shared" si="2"/>
        <v/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6" t="str">
        <f t="shared" si="1"/>
        <v/>
      </c>
      <c r="G395" s="21" t="str">
        <f t="shared" si="2"/>
        <v/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6" t="str">
        <f t="shared" si="1"/>
        <v/>
      </c>
      <c r="G396" s="21" t="str">
        <f t="shared" si="2"/>
        <v/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6" t="str">
        <f t="shared" si="1"/>
        <v/>
      </c>
      <c r="G397" s="21" t="str">
        <f t="shared" si="2"/>
        <v/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6" t="str">
        <f t="shared" si="1"/>
        <v/>
      </c>
      <c r="G398" s="21" t="str">
        <f t="shared" si="2"/>
        <v/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6" t="str">
        <f t="shared" si="1"/>
        <v/>
      </c>
      <c r="G399" s="21" t="str">
        <f t="shared" si="2"/>
        <v/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6" t="str">
        <f t="shared" si="1"/>
        <v/>
      </c>
      <c r="G400" s="21" t="str">
        <f t="shared" si="2"/>
        <v/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6" t="str">
        <f t="shared" si="1"/>
        <v/>
      </c>
      <c r="G401" s="21" t="str">
        <f t="shared" si="2"/>
        <v/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6" t="str">
        <f t="shared" si="1"/>
        <v/>
      </c>
      <c r="G402" s="21" t="str">
        <f t="shared" si="2"/>
        <v/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6" t="str">
        <f t="shared" si="1"/>
        <v/>
      </c>
      <c r="G403" s="21" t="str">
        <f t="shared" si="2"/>
        <v/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6" t="str">
        <f t="shared" si="1"/>
        <v/>
      </c>
      <c r="G404" s="21" t="str">
        <f t="shared" si="2"/>
        <v/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6" t="str">
        <f t="shared" si="1"/>
        <v/>
      </c>
      <c r="G405" s="21" t="str">
        <f t="shared" si="2"/>
        <v/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6" t="str">
        <f t="shared" si="1"/>
        <v/>
      </c>
      <c r="G406" s="21" t="str">
        <f t="shared" si="2"/>
        <v/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6" t="str">
        <f t="shared" si="1"/>
        <v/>
      </c>
      <c r="G407" s="21" t="str">
        <f t="shared" si="2"/>
        <v/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6" t="str">
        <f t="shared" si="1"/>
        <v/>
      </c>
      <c r="G408" s="21" t="str">
        <f t="shared" si="2"/>
        <v/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6" t="str">
        <f t="shared" si="1"/>
        <v/>
      </c>
      <c r="G409" s="21" t="str">
        <f t="shared" si="2"/>
        <v/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6" t="str">
        <f t="shared" si="1"/>
        <v/>
      </c>
      <c r="G410" s="21" t="str">
        <f t="shared" si="2"/>
        <v/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6" t="str">
        <f t="shared" si="1"/>
        <v/>
      </c>
      <c r="G411" s="21" t="str">
        <f t="shared" si="2"/>
        <v/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6" t="str">
        <f t="shared" si="1"/>
        <v/>
      </c>
      <c r="G412" s="21" t="str">
        <f t="shared" si="2"/>
        <v/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6" t="str">
        <f t="shared" si="1"/>
        <v/>
      </c>
      <c r="G413" s="21" t="str">
        <f t="shared" si="2"/>
        <v/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6" t="str">
        <f t="shared" si="1"/>
        <v/>
      </c>
      <c r="G414" s="21" t="str">
        <f t="shared" si="2"/>
        <v/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6" t="str">
        <f t="shared" si="1"/>
        <v/>
      </c>
      <c r="G415" s="21" t="str">
        <f t="shared" si="2"/>
        <v/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6" t="str">
        <f t="shared" si="1"/>
        <v/>
      </c>
      <c r="G416" s="21" t="str">
        <f t="shared" si="2"/>
        <v/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6" t="str">
        <f t="shared" si="1"/>
        <v/>
      </c>
      <c r="G417" s="21" t="str">
        <f t="shared" si="2"/>
        <v/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6" t="str">
        <f t="shared" si="1"/>
        <v/>
      </c>
      <c r="G418" s="21" t="str">
        <f t="shared" si="2"/>
        <v/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6" t="str">
        <f t="shared" si="1"/>
        <v/>
      </c>
      <c r="G419" s="21" t="str">
        <f t="shared" si="2"/>
        <v/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6" t="str">
        <f t="shared" si="1"/>
        <v/>
      </c>
      <c r="G420" s="21" t="str">
        <f t="shared" si="2"/>
        <v/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6" t="str">
        <f t="shared" si="1"/>
        <v/>
      </c>
      <c r="G421" s="21" t="str">
        <f t="shared" si="2"/>
        <v/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6" t="str">
        <f t="shared" si="1"/>
        <v/>
      </c>
      <c r="G422" s="21" t="str">
        <f t="shared" si="2"/>
        <v/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6" t="str">
        <f t="shared" si="1"/>
        <v/>
      </c>
      <c r="G423" s="21" t="str">
        <f t="shared" si="2"/>
        <v/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6" t="str">
        <f t="shared" si="1"/>
        <v/>
      </c>
      <c r="G424" s="21" t="str">
        <f t="shared" si="2"/>
        <v/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6" t="str">
        <f t="shared" si="1"/>
        <v/>
      </c>
      <c r="G425" s="21" t="str">
        <f t="shared" si="2"/>
        <v/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6" t="str">
        <f t="shared" si="1"/>
        <v/>
      </c>
      <c r="G426" s="21" t="str">
        <f t="shared" si="2"/>
        <v/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6" t="str">
        <f t="shared" si="1"/>
        <v/>
      </c>
      <c r="G427" s="21" t="str">
        <f t="shared" si="2"/>
        <v/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6" t="str">
        <f t="shared" si="1"/>
        <v/>
      </c>
      <c r="G428" s="21" t="str">
        <f t="shared" si="2"/>
        <v/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6" t="str">
        <f t="shared" si="1"/>
        <v/>
      </c>
      <c r="G429" s="21" t="str">
        <f t="shared" si="2"/>
        <v/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6" t="str">
        <f t="shared" si="1"/>
        <v/>
      </c>
      <c r="G430" s="21" t="str">
        <f t="shared" si="2"/>
        <v/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6" t="str">
        <f t="shared" si="1"/>
        <v/>
      </c>
      <c r="G431" s="21" t="str">
        <f t="shared" si="2"/>
        <v/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6" t="str">
        <f t="shared" si="1"/>
        <v/>
      </c>
      <c r="G432" s="21" t="str">
        <f t="shared" si="2"/>
        <v/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6" t="str">
        <f t="shared" si="1"/>
        <v/>
      </c>
      <c r="G433" s="21" t="str">
        <f t="shared" si="2"/>
        <v/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6" t="str">
        <f t="shared" si="1"/>
        <v/>
      </c>
      <c r="G434" s="21" t="str">
        <f t="shared" si="2"/>
        <v/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6" t="str">
        <f t="shared" si="1"/>
        <v/>
      </c>
      <c r="G435" s="21" t="str">
        <f t="shared" si="2"/>
        <v/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6" t="str">
        <f t="shared" si="1"/>
        <v/>
      </c>
      <c r="G436" s="21" t="str">
        <f t="shared" si="2"/>
        <v/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6" t="str">
        <f t="shared" si="1"/>
        <v/>
      </c>
      <c r="G437" s="21" t="str">
        <f t="shared" si="2"/>
        <v/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6" t="str">
        <f t="shared" si="1"/>
        <v/>
      </c>
      <c r="G438" s="21" t="str">
        <f t="shared" si="2"/>
        <v/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6" t="str">
        <f t="shared" si="1"/>
        <v/>
      </c>
      <c r="G439" s="21" t="str">
        <f t="shared" si="2"/>
        <v/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6" t="str">
        <f t="shared" si="1"/>
        <v/>
      </c>
      <c r="G440" s="21" t="str">
        <f t="shared" si="2"/>
        <v/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6" t="str">
        <f t="shared" si="1"/>
        <v/>
      </c>
      <c r="G441" s="21" t="str">
        <f t="shared" si="2"/>
        <v/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6" t="str">
        <f t="shared" si="1"/>
        <v/>
      </c>
      <c r="G442" s="21" t="str">
        <f t="shared" si="2"/>
        <v/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6" t="str">
        <f t="shared" si="1"/>
        <v/>
      </c>
      <c r="G443" s="21" t="str">
        <f t="shared" si="2"/>
        <v/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6" t="str">
        <f t="shared" si="1"/>
        <v/>
      </c>
      <c r="G444" s="21" t="str">
        <f t="shared" si="2"/>
        <v/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6" t="str">
        <f t="shared" si="1"/>
        <v/>
      </c>
      <c r="G445" s="21" t="str">
        <f t="shared" si="2"/>
        <v/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6" t="str">
        <f t="shared" si="1"/>
        <v/>
      </c>
      <c r="G446" s="21" t="str">
        <f t="shared" si="2"/>
        <v/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6" t="str">
        <f t="shared" si="1"/>
        <v/>
      </c>
      <c r="G447" s="21" t="str">
        <f t="shared" si="2"/>
        <v/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6" t="str">
        <f t="shared" si="1"/>
        <v/>
      </c>
      <c r="G448" s="21" t="str">
        <f t="shared" si="2"/>
        <v/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6" t="str">
        <f t="shared" si="1"/>
        <v/>
      </c>
      <c r="G449" s="21" t="str">
        <f t="shared" si="2"/>
        <v/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6" t="str">
        <f t="shared" si="1"/>
        <v/>
      </c>
      <c r="G450" s="21" t="str">
        <f t="shared" si="2"/>
        <v/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6" t="str">
        <f t="shared" si="1"/>
        <v/>
      </c>
      <c r="G451" s="21" t="str">
        <f t="shared" si="2"/>
        <v/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6" t="str">
        <f t="shared" si="1"/>
        <v/>
      </c>
      <c r="G452" s="21" t="str">
        <f t="shared" si="2"/>
        <v/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6" t="str">
        <f t="shared" si="1"/>
        <v/>
      </c>
      <c r="G453" s="21" t="str">
        <f t="shared" si="2"/>
        <v/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6" t="str">
        <f t="shared" si="1"/>
        <v/>
      </c>
      <c r="G454" s="21" t="str">
        <f t="shared" si="2"/>
        <v/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6" t="str">
        <f t="shared" si="1"/>
        <v/>
      </c>
      <c r="G455" s="21" t="str">
        <f t="shared" si="2"/>
        <v/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6" t="str">
        <f t="shared" si="1"/>
        <v/>
      </c>
      <c r="G456" s="21" t="str">
        <f t="shared" si="2"/>
        <v/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6" t="str">
        <f t="shared" si="1"/>
        <v/>
      </c>
      <c r="G457" s="21" t="str">
        <f t="shared" si="2"/>
        <v/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6" t="str">
        <f t="shared" si="1"/>
        <v/>
      </c>
      <c r="G458" s="21" t="str">
        <f t="shared" si="2"/>
        <v/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6" t="str">
        <f t="shared" si="1"/>
        <v/>
      </c>
      <c r="G459" s="21" t="str">
        <f t="shared" si="2"/>
        <v/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6" t="str">
        <f t="shared" si="1"/>
        <v/>
      </c>
      <c r="G460" s="21" t="str">
        <f t="shared" si="2"/>
        <v/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6" t="str">
        <f t="shared" si="1"/>
        <v/>
      </c>
      <c r="G461" s="21" t="str">
        <f t="shared" si="2"/>
        <v/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6" t="str">
        <f t="shared" si="1"/>
        <v/>
      </c>
      <c r="G462" s="21" t="str">
        <f t="shared" si="2"/>
        <v/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6" t="str">
        <f t="shared" si="1"/>
        <v/>
      </c>
      <c r="G463" s="21" t="str">
        <f t="shared" si="2"/>
        <v/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6" t="str">
        <f t="shared" si="1"/>
        <v/>
      </c>
      <c r="G464" s="21" t="str">
        <f t="shared" si="2"/>
        <v/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6" t="str">
        <f t="shared" si="1"/>
        <v/>
      </c>
      <c r="G465" s="21" t="str">
        <f t="shared" si="2"/>
        <v/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6" t="str">
        <f t="shared" si="1"/>
        <v/>
      </c>
      <c r="G466" s="21" t="str">
        <f t="shared" si="2"/>
        <v/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6" t="str">
        <f t="shared" si="1"/>
        <v/>
      </c>
      <c r="G467" s="21" t="str">
        <f t="shared" si="2"/>
        <v/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6" t="str">
        <f t="shared" si="1"/>
        <v/>
      </c>
      <c r="G468" s="21" t="str">
        <f t="shared" si="2"/>
        <v/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6" t="str">
        <f t="shared" si="1"/>
        <v/>
      </c>
      <c r="G469" s="21" t="str">
        <f t="shared" si="2"/>
        <v/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6" t="str">
        <f t="shared" si="1"/>
        <v/>
      </c>
      <c r="G470" s="21" t="str">
        <f t="shared" si="2"/>
        <v/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6" t="str">
        <f t="shared" si="1"/>
        <v/>
      </c>
      <c r="G471" s="21" t="str">
        <f t="shared" si="2"/>
        <v/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6" t="str">
        <f t="shared" si="1"/>
        <v/>
      </c>
      <c r="G472" s="21" t="str">
        <f t="shared" si="2"/>
        <v/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6" t="str">
        <f t="shared" si="1"/>
        <v/>
      </c>
      <c r="G473" s="21" t="str">
        <f t="shared" si="2"/>
        <v/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6" t="str">
        <f t="shared" si="1"/>
        <v/>
      </c>
      <c r="G474" s="21" t="str">
        <f t="shared" si="2"/>
        <v/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6" t="str">
        <f t="shared" si="1"/>
        <v/>
      </c>
      <c r="G475" s="21" t="str">
        <f t="shared" si="2"/>
        <v/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6" t="str">
        <f t="shared" si="1"/>
        <v/>
      </c>
      <c r="G476" s="21" t="str">
        <f t="shared" si="2"/>
        <v/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6" t="str">
        <f t="shared" si="1"/>
        <v/>
      </c>
      <c r="G477" s="21" t="str">
        <f t="shared" si="2"/>
        <v/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6" t="str">
        <f t="shared" si="1"/>
        <v/>
      </c>
      <c r="G478" s="21" t="str">
        <f t="shared" si="2"/>
        <v/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6" t="str">
        <f t="shared" si="1"/>
        <v/>
      </c>
      <c r="G479" s="21" t="str">
        <f t="shared" si="2"/>
        <v/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6" t="str">
        <f t="shared" si="1"/>
        <v/>
      </c>
      <c r="G480" s="21" t="str">
        <f t="shared" si="2"/>
        <v/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6" t="str">
        <f t="shared" si="1"/>
        <v/>
      </c>
      <c r="G481" s="21" t="str">
        <f t="shared" si="2"/>
        <v/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6" t="str">
        <f t="shared" si="1"/>
        <v/>
      </c>
      <c r="G482" s="21" t="str">
        <f t="shared" si="2"/>
        <v/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6" t="str">
        <f t="shared" si="1"/>
        <v/>
      </c>
      <c r="G483" s="21" t="str">
        <f t="shared" si="2"/>
        <v/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6" t="str">
        <f t="shared" si="1"/>
        <v/>
      </c>
      <c r="G484" s="21" t="str">
        <f t="shared" si="2"/>
        <v/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6" t="str">
        <f t="shared" si="1"/>
        <v/>
      </c>
      <c r="G485" s="21" t="str">
        <f t="shared" si="2"/>
        <v/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6" t="str">
        <f t="shared" si="1"/>
        <v/>
      </c>
      <c r="G486" s="21" t="str">
        <f t="shared" si="2"/>
        <v/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6" t="str">
        <f t="shared" si="1"/>
        <v/>
      </c>
      <c r="G487" s="21" t="str">
        <f t="shared" si="2"/>
        <v/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6" t="str">
        <f t="shared" si="1"/>
        <v/>
      </c>
      <c r="G488" s="21" t="str">
        <f t="shared" si="2"/>
        <v/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6" t="str">
        <f t="shared" si="1"/>
        <v/>
      </c>
      <c r="G489" s="21" t="str">
        <f t="shared" si="2"/>
        <v/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6" t="str">
        <f t="shared" si="1"/>
        <v/>
      </c>
      <c r="G490" s="21" t="str">
        <f t="shared" si="2"/>
        <v/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6" t="str">
        <f t="shared" si="1"/>
        <v/>
      </c>
      <c r="G491" s="21" t="str">
        <f t="shared" si="2"/>
        <v/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6" t="str">
        <f t="shared" si="1"/>
        <v/>
      </c>
      <c r="G492" s="21" t="str">
        <f t="shared" si="2"/>
        <v/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6" t="str">
        <f t="shared" si="1"/>
        <v/>
      </c>
      <c r="G493" s="21" t="str">
        <f t="shared" si="2"/>
        <v/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6" t="str">
        <f t="shared" si="1"/>
        <v/>
      </c>
      <c r="G494" s="21" t="str">
        <f t="shared" si="2"/>
        <v/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6" t="str">
        <f t="shared" si="1"/>
        <v/>
      </c>
      <c r="G495" s="21" t="str">
        <f t="shared" si="2"/>
        <v/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6" t="str">
        <f t="shared" si="1"/>
        <v/>
      </c>
      <c r="G496" s="21" t="str">
        <f t="shared" si="2"/>
        <v/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6" t="str">
        <f t="shared" si="1"/>
        <v/>
      </c>
      <c r="G497" s="21" t="str">
        <f t="shared" si="2"/>
        <v/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6" t="str">
        <f t="shared" si="1"/>
        <v/>
      </c>
      <c r="G498" s="21" t="str">
        <f t="shared" si="2"/>
        <v/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6" t="str">
        <f t="shared" si="1"/>
        <v/>
      </c>
      <c r="G499" s="21" t="str">
        <f t="shared" si="2"/>
        <v/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6" t="str">
        <f t="shared" si="1"/>
        <v/>
      </c>
      <c r="G500" s="21" t="str">
        <f t="shared" si="2"/>
        <v/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6" t="str">
        <f t="shared" si="1"/>
        <v/>
      </c>
      <c r="G501" s="21" t="str">
        <f t="shared" si="2"/>
        <v/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6" t="str">
        <f t="shared" si="1"/>
        <v/>
      </c>
      <c r="G502" s="21" t="str">
        <f t="shared" si="2"/>
        <v/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6" t="str">
        <f t="shared" si="1"/>
        <v/>
      </c>
      <c r="G503" s="21" t="str">
        <f t="shared" si="2"/>
        <v/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6" t="str">
        <f t="shared" si="1"/>
        <v/>
      </c>
      <c r="G504" s="21" t="str">
        <f t="shared" si="2"/>
        <v/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6" t="str">
        <f t="shared" si="1"/>
        <v/>
      </c>
      <c r="G505" s="21" t="str">
        <f t="shared" si="2"/>
        <v/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6" t="str">
        <f t="shared" si="1"/>
        <v/>
      </c>
      <c r="G506" s="21" t="str">
        <f t="shared" si="2"/>
        <v/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6" t="str">
        <f t="shared" si="1"/>
        <v/>
      </c>
      <c r="G507" s="21" t="str">
        <f t="shared" si="2"/>
        <v/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6" t="str">
        <f t="shared" si="1"/>
        <v/>
      </c>
      <c r="G508" s="21" t="str">
        <f t="shared" si="2"/>
        <v/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6" t="str">
        <f t="shared" si="1"/>
        <v/>
      </c>
      <c r="G509" s="21" t="str">
        <f t="shared" si="2"/>
        <v/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6" t="str">
        <f t="shared" si="1"/>
        <v/>
      </c>
      <c r="G510" s="21" t="str">
        <f t="shared" si="2"/>
        <v/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6" t="str">
        <f t="shared" si="1"/>
        <v/>
      </c>
      <c r="G511" s="21" t="str">
        <f t="shared" si="2"/>
        <v/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6" t="str">
        <f t="shared" si="1"/>
        <v/>
      </c>
      <c r="G512" s="21" t="str">
        <f t="shared" si="2"/>
        <v/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6" t="str">
        <f t="shared" si="1"/>
        <v/>
      </c>
      <c r="G513" s="21" t="str">
        <f t="shared" si="2"/>
        <v/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6" t="str">
        <f t="shared" si="1"/>
        <v/>
      </c>
      <c r="G514" s="21" t="str">
        <f t="shared" si="2"/>
        <v/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6" t="str">
        <f t="shared" si="1"/>
        <v/>
      </c>
      <c r="G515" s="21" t="str">
        <f t="shared" si="2"/>
        <v/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6" t="str">
        <f t="shared" si="1"/>
        <v/>
      </c>
      <c r="G516" s="21" t="str">
        <f t="shared" si="2"/>
        <v/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6" t="str">
        <f t="shared" si="1"/>
        <v/>
      </c>
      <c r="G517" s="21" t="str">
        <f t="shared" si="2"/>
        <v/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6" t="str">
        <f t="shared" si="1"/>
        <v/>
      </c>
      <c r="G518" s="21" t="str">
        <f t="shared" si="2"/>
        <v/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6" t="str">
        <f t="shared" si="1"/>
        <v/>
      </c>
      <c r="G519" s="21" t="str">
        <f t="shared" si="2"/>
        <v/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6" t="str">
        <f t="shared" si="1"/>
        <v/>
      </c>
      <c r="G520" s="21" t="str">
        <f t="shared" si="2"/>
        <v/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6" t="str">
        <f t="shared" si="1"/>
        <v/>
      </c>
      <c r="G521" s="21" t="str">
        <f t="shared" si="2"/>
        <v/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6" t="str">
        <f t="shared" si="1"/>
        <v/>
      </c>
      <c r="G522" s="21" t="str">
        <f t="shared" si="2"/>
        <v/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6" t="str">
        <f t="shared" si="1"/>
        <v/>
      </c>
      <c r="G523" s="21" t="str">
        <f t="shared" si="2"/>
        <v/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6" t="str">
        <f t="shared" si="1"/>
        <v/>
      </c>
      <c r="G524" s="21" t="str">
        <f t="shared" si="2"/>
        <v/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6" t="str">
        <f t="shared" si="1"/>
        <v/>
      </c>
      <c r="G525" s="21" t="str">
        <f t="shared" si="2"/>
        <v/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6" t="str">
        <f t="shared" si="1"/>
        <v/>
      </c>
      <c r="G526" s="21" t="str">
        <f t="shared" si="2"/>
        <v/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6" t="str">
        <f t="shared" si="1"/>
        <v/>
      </c>
      <c r="G527" s="21" t="str">
        <f t="shared" si="2"/>
        <v/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6" t="str">
        <f t="shared" si="1"/>
        <v/>
      </c>
      <c r="G528" s="21" t="str">
        <f t="shared" si="2"/>
        <v/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6" t="str">
        <f t="shared" si="1"/>
        <v/>
      </c>
      <c r="G529" s="21" t="str">
        <f t="shared" si="2"/>
        <v/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6" t="str">
        <f t="shared" si="1"/>
        <v/>
      </c>
      <c r="G530" s="21" t="str">
        <f t="shared" si="2"/>
        <v/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6" t="str">
        <f t="shared" si="1"/>
        <v/>
      </c>
      <c r="G531" s="21" t="str">
        <f t="shared" si="2"/>
        <v/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6" t="str">
        <f t="shared" si="1"/>
        <v/>
      </c>
      <c r="G532" s="21" t="str">
        <f t="shared" si="2"/>
        <v/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6" t="str">
        <f t="shared" si="1"/>
        <v/>
      </c>
      <c r="G533" s="21" t="str">
        <f t="shared" si="2"/>
        <v/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6" t="str">
        <f t="shared" si="1"/>
        <v/>
      </c>
      <c r="G534" s="21" t="str">
        <f t="shared" si="2"/>
        <v/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6" t="str">
        <f t="shared" si="1"/>
        <v/>
      </c>
      <c r="G535" s="21" t="str">
        <f t="shared" si="2"/>
        <v/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6" t="str">
        <f t="shared" si="1"/>
        <v/>
      </c>
      <c r="G536" s="21" t="str">
        <f t="shared" si="2"/>
        <v/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6" t="str">
        <f t="shared" si="1"/>
        <v/>
      </c>
      <c r="G537" s="21" t="str">
        <f t="shared" si="2"/>
        <v/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6" t="str">
        <f t="shared" si="1"/>
        <v/>
      </c>
      <c r="G538" s="21" t="str">
        <f t="shared" si="2"/>
        <v/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6" t="str">
        <f t="shared" si="1"/>
        <v/>
      </c>
      <c r="G539" s="21" t="str">
        <f t="shared" si="2"/>
        <v/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6" t="str">
        <f t="shared" si="1"/>
        <v/>
      </c>
      <c r="G540" s="21" t="str">
        <f t="shared" si="2"/>
        <v/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6" t="str">
        <f t="shared" si="1"/>
        <v/>
      </c>
      <c r="G541" s="21" t="str">
        <f t="shared" si="2"/>
        <v/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6" t="str">
        <f t="shared" si="1"/>
        <v/>
      </c>
      <c r="G542" s="21" t="str">
        <f t="shared" si="2"/>
        <v/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6" t="str">
        <f t="shared" si="1"/>
        <v/>
      </c>
      <c r="G543" s="21" t="str">
        <f t="shared" si="2"/>
        <v/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6" t="str">
        <f t="shared" si="1"/>
        <v/>
      </c>
      <c r="G544" s="21" t="str">
        <f t="shared" si="2"/>
        <v/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6" t="str">
        <f t="shared" si="1"/>
        <v/>
      </c>
      <c r="G545" s="21" t="str">
        <f t="shared" si="2"/>
        <v/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6" t="str">
        <f t="shared" si="1"/>
        <v/>
      </c>
      <c r="G546" s="21" t="str">
        <f t="shared" si="2"/>
        <v/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6" t="str">
        <f t="shared" si="1"/>
        <v/>
      </c>
      <c r="G547" s="21" t="str">
        <f t="shared" si="2"/>
        <v/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6" t="str">
        <f t="shared" si="1"/>
        <v/>
      </c>
      <c r="G548" s="21" t="str">
        <f t="shared" si="2"/>
        <v/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6" t="str">
        <f t="shared" si="1"/>
        <v/>
      </c>
      <c r="G549" s="21" t="str">
        <f t="shared" si="2"/>
        <v/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6" t="str">
        <f t="shared" si="1"/>
        <v/>
      </c>
      <c r="G550" s="21" t="str">
        <f t="shared" si="2"/>
        <v/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6" t="str">
        <f t="shared" si="1"/>
        <v/>
      </c>
      <c r="G551" s="21" t="str">
        <f t="shared" si="2"/>
        <v/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6" t="str">
        <f t="shared" si="1"/>
        <v/>
      </c>
      <c r="G552" s="21" t="str">
        <f t="shared" si="2"/>
        <v/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6" t="str">
        <f t="shared" si="1"/>
        <v/>
      </c>
      <c r="G553" s="21" t="str">
        <f t="shared" si="2"/>
        <v/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6" t="str">
        <f t="shared" si="1"/>
        <v/>
      </c>
      <c r="G554" s="21" t="str">
        <f t="shared" si="2"/>
        <v/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6" t="str">
        <f t="shared" si="1"/>
        <v/>
      </c>
      <c r="G555" s="21" t="str">
        <f t="shared" si="2"/>
        <v/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6" t="str">
        <f t="shared" si="1"/>
        <v/>
      </c>
      <c r="G556" s="21" t="str">
        <f t="shared" si="2"/>
        <v/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6" t="str">
        <f t="shared" si="1"/>
        <v/>
      </c>
      <c r="G557" s="21" t="str">
        <f t="shared" si="2"/>
        <v/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6" t="str">
        <f t="shared" si="1"/>
        <v/>
      </c>
      <c r="G558" s="21" t="str">
        <f t="shared" si="2"/>
        <v/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6" t="str">
        <f t="shared" si="1"/>
        <v/>
      </c>
      <c r="G559" s="21" t="str">
        <f t="shared" si="2"/>
        <v/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6" t="str">
        <f t="shared" si="1"/>
        <v/>
      </c>
      <c r="G560" s="21" t="str">
        <f t="shared" si="2"/>
        <v/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6" t="str">
        <f t="shared" si="1"/>
        <v/>
      </c>
      <c r="G561" s="21" t="str">
        <f t="shared" si="2"/>
        <v/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6" t="str">
        <f t="shared" si="1"/>
        <v/>
      </c>
      <c r="G562" s="21" t="str">
        <f t="shared" si="2"/>
        <v/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6" t="str">
        <f t="shared" si="1"/>
        <v/>
      </c>
      <c r="G563" s="21" t="str">
        <f t="shared" si="2"/>
        <v/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6" t="str">
        <f t="shared" si="1"/>
        <v/>
      </c>
      <c r="G564" s="21" t="str">
        <f t="shared" si="2"/>
        <v/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6" t="str">
        <f t="shared" si="1"/>
        <v/>
      </c>
      <c r="G565" s="21" t="str">
        <f t="shared" si="2"/>
        <v/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6" t="str">
        <f t="shared" si="1"/>
        <v/>
      </c>
      <c r="G566" s="21" t="str">
        <f t="shared" si="2"/>
        <v/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6" t="str">
        <f t="shared" si="1"/>
        <v/>
      </c>
      <c r="G567" s="21" t="str">
        <f t="shared" si="2"/>
        <v/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6" t="str">
        <f t="shared" si="1"/>
        <v/>
      </c>
      <c r="G568" s="21" t="str">
        <f t="shared" si="2"/>
        <v/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6" t="str">
        <f t="shared" si="1"/>
        <v/>
      </c>
      <c r="G569" s="21" t="str">
        <f t="shared" si="2"/>
        <v/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6" t="str">
        <f t="shared" si="1"/>
        <v/>
      </c>
      <c r="G570" s="21" t="str">
        <f t="shared" si="2"/>
        <v/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6" t="str">
        <f t="shared" si="1"/>
        <v/>
      </c>
      <c r="G571" s="21" t="str">
        <f t="shared" si="2"/>
        <v/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6" t="str">
        <f t="shared" si="1"/>
        <v/>
      </c>
      <c r="G572" s="21" t="str">
        <f t="shared" si="2"/>
        <v/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6" t="str">
        <f t="shared" si="1"/>
        <v/>
      </c>
      <c r="G573" s="21" t="str">
        <f t="shared" si="2"/>
        <v/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6" t="str">
        <f t="shared" si="1"/>
        <v/>
      </c>
      <c r="G574" s="21" t="str">
        <f t="shared" si="2"/>
        <v/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6" t="str">
        <f t="shared" si="1"/>
        <v/>
      </c>
      <c r="G575" s="21" t="str">
        <f t="shared" si="2"/>
        <v/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6" t="str">
        <f t="shared" si="1"/>
        <v/>
      </c>
      <c r="G576" s="21" t="str">
        <f t="shared" si="2"/>
        <v/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6" t="str">
        <f t="shared" si="1"/>
        <v/>
      </c>
      <c r="G577" s="21" t="str">
        <f t="shared" si="2"/>
        <v/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6" t="str">
        <f t="shared" si="1"/>
        <v/>
      </c>
      <c r="G578" s="21" t="str">
        <f t="shared" si="2"/>
        <v/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6" t="str">
        <f t="shared" si="1"/>
        <v/>
      </c>
      <c r="G579" s="21" t="str">
        <f t="shared" si="2"/>
        <v/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6" t="str">
        <f t="shared" si="1"/>
        <v/>
      </c>
      <c r="G580" s="21" t="str">
        <f t="shared" si="2"/>
        <v/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6" t="str">
        <f t="shared" si="1"/>
        <v/>
      </c>
      <c r="G581" s="21" t="str">
        <f t="shared" si="2"/>
        <v/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6" t="str">
        <f t="shared" si="1"/>
        <v/>
      </c>
      <c r="G582" s="21" t="str">
        <f t="shared" si="2"/>
        <v/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6" t="str">
        <f t="shared" si="1"/>
        <v/>
      </c>
      <c r="G583" s="21" t="str">
        <f t="shared" si="2"/>
        <v/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6" t="str">
        <f t="shared" si="1"/>
        <v/>
      </c>
      <c r="G584" s="21" t="str">
        <f t="shared" si="2"/>
        <v/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6" t="str">
        <f t="shared" si="1"/>
        <v/>
      </c>
      <c r="G585" s="21" t="str">
        <f t="shared" si="2"/>
        <v/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6" t="str">
        <f t="shared" si="1"/>
        <v/>
      </c>
      <c r="G586" s="21" t="str">
        <f t="shared" si="2"/>
        <v/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6" t="str">
        <f t="shared" si="1"/>
        <v/>
      </c>
      <c r="G587" s="21" t="str">
        <f t="shared" si="2"/>
        <v/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6" t="str">
        <f t="shared" si="1"/>
        <v/>
      </c>
      <c r="G588" s="21" t="str">
        <f t="shared" si="2"/>
        <v/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6" t="str">
        <f t="shared" si="1"/>
        <v/>
      </c>
      <c r="G589" s="21" t="str">
        <f t="shared" si="2"/>
        <v/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6" t="str">
        <f t="shared" si="1"/>
        <v/>
      </c>
      <c r="G590" s="21" t="str">
        <f t="shared" si="2"/>
        <v/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6" t="str">
        <f t="shared" si="1"/>
        <v/>
      </c>
      <c r="G591" s="21" t="str">
        <f t="shared" si="2"/>
        <v/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6" t="str">
        <f t="shared" si="1"/>
        <v/>
      </c>
      <c r="G592" s="21" t="str">
        <f t="shared" si="2"/>
        <v/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6" t="str">
        <f t="shared" si="1"/>
        <v/>
      </c>
      <c r="G593" s="21" t="str">
        <f t="shared" si="2"/>
        <v/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6" t="str">
        <f t="shared" si="1"/>
        <v/>
      </c>
      <c r="G594" s="21" t="str">
        <f t="shared" si="2"/>
        <v/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6" t="str">
        <f t="shared" si="1"/>
        <v/>
      </c>
      <c r="G595" s="21" t="str">
        <f t="shared" si="2"/>
        <v/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6" t="str">
        <f t="shared" si="1"/>
        <v/>
      </c>
      <c r="G596" s="21" t="str">
        <f t="shared" si="2"/>
        <v/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6" t="str">
        <f t="shared" si="1"/>
        <v/>
      </c>
      <c r="G597" s="21" t="str">
        <f t="shared" si="2"/>
        <v/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6" t="str">
        <f t="shared" si="1"/>
        <v/>
      </c>
      <c r="G598" s="21" t="str">
        <f t="shared" si="2"/>
        <v/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6" t="str">
        <f t="shared" si="1"/>
        <v/>
      </c>
      <c r="G599" s="21" t="str">
        <f t="shared" si="2"/>
        <v/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6" t="str">
        <f t="shared" si="1"/>
        <v/>
      </c>
      <c r="G600" s="21" t="str">
        <f t="shared" si="2"/>
        <v/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6" t="str">
        <f t="shared" si="1"/>
        <v/>
      </c>
      <c r="G601" s="21" t="str">
        <f t="shared" si="2"/>
        <v/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6" t="str">
        <f t="shared" si="1"/>
        <v/>
      </c>
      <c r="G602" s="21" t="str">
        <f t="shared" si="2"/>
        <v/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6" t="str">
        <f t="shared" si="1"/>
        <v/>
      </c>
      <c r="G603" s="21" t="str">
        <f t="shared" si="2"/>
        <v/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6" t="str">
        <f t="shared" si="1"/>
        <v/>
      </c>
      <c r="G604" s="21" t="str">
        <f t="shared" si="2"/>
        <v/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6" t="str">
        <f t="shared" si="1"/>
        <v/>
      </c>
      <c r="G605" s="21" t="str">
        <f t="shared" si="2"/>
        <v/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6" t="str">
        <f t="shared" si="1"/>
        <v/>
      </c>
      <c r="G606" s="21" t="str">
        <f t="shared" si="2"/>
        <v/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6" t="str">
        <f t="shared" si="1"/>
        <v/>
      </c>
      <c r="G607" s="21" t="str">
        <f t="shared" si="2"/>
        <v/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6" t="str">
        <f t="shared" si="1"/>
        <v/>
      </c>
      <c r="G608" s="21" t="str">
        <f t="shared" si="2"/>
        <v/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6" t="str">
        <f t="shared" si="1"/>
        <v/>
      </c>
      <c r="G609" s="21" t="str">
        <f t="shared" si="2"/>
        <v/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6" t="str">
        <f t="shared" si="1"/>
        <v/>
      </c>
      <c r="G610" s="21" t="str">
        <f t="shared" si="2"/>
        <v/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6" t="str">
        <f t="shared" si="1"/>
        <v/>
      </c>
      <c r="G611" s="21" t="str">
        <f t="shared" si="2"/>
        <v/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6" t="str">
        <f t="shared" si="1"/>
        <v/>
      </c>
      <c r="G612" s="21" t="str">
        <f t="shared" si="2"/>
        <v/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6" t="str">
        <f t="shared" si="1"/>
        <v/>
      </c>
      <c r="G613" s="21" t="str">
        <f t="shared" si="2"/>
        <v/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6" t="str">
        <f t="shared" si="1"/>
        <v/>
      </c>
      <c r="G614" s="21" t="str">
        <f t="shared" si="2"/>
        <v/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6" t="str">
        <f t="shared" si="1"/>
        <v/>
      </c>
      <c r="G615" s="21" t="str">
        <f t="shared" si="2"/>
        <v/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6" t="str">
        <f t="shared" si="1"/>
        <v/>
      </c>
      <c r="G616" s="21" t="str">
        <f t="shared" si="2"/>
        <v/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6" t="str">
        <f t="shared" si="1"/>
        <v/>
      </c>
      <c r="G617" s="21" t="str">
        <f t="shared" si="2"/>
        <v/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6" t="str">
        <f t="shared" si="1"/>
        <v/>
      </c>
      <c r="G618" s="21" t="str">
        <f t="shared" si="2"/>
        <v/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6" t="str">
        <f t="shared" si="1"/>
        <v/>
      </c>
      <c r="G619" s="21" t="str">
        <f t="shared" si="2"/>
        <v/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6" t="str">
        <f t="shared" si="1"/>
        <v/>
      </c>
      <c r="G620" s="21" t="str">
        <f t="shared" si="2"/>
        <v/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6" t="str">
        <f t="shared" si="1"/>
        <v/>
      </c>
      <c r="G621" s="21" t="str">
        <f t="shared" si="2"/>
        <v/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6" t="str">
        <f t="shared" si="1"/>
        <v/>
      </c>
      <c r="G622" s="21" t="str">
        <f t="shared" si="2"/>
        <v/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6" t="str">
        <f t="shared" si="1"/>
        <v/>
      </c>
      <c r="G623" s="21" t="str">
        <f t="shared" si="2"/>
        <v/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6" t="str">
        <f t="shared" si="1"/>
        <v/>
      </c>
      <c r="G624" s="21" t="str">
        <f t="shared" si="2"/>
        <v/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6" t="str">
        <f t="shared" si="1"/>
        <v/>
      </c>
      <c r="G625" s="21" t="str">
        <f t="shared" si="2"/>
        <v/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6" t="str">
        <f t="shared" si="1"/>
        <v/>
      </c>
      <c r="G626" s="21" t="str">
        <f t="shared" si="2"/>
        <v/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6" t="str">
        <f t="shared" si="1"/>
        <v/>
      </c>
      <c r="G627" s="21" t="str">
        <f t="shared" si="2"/>
        <v/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6" t="str">
        <f t="shared" si="1"/>
        <v/>
      </c>
      <c r="G628" s="21" t="str">
        <f t="shared" si="2"/>
        <v/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6" t="str">
        <f t="shared" si="1"/>
        <v/>
      </c>
      <c r="G629" s="21" t="str">
        <f t="shared" si="2"/>
        <v/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6" t="str">
        <f t="shared" si="1"/>
        <v/>
      </c>
      <c r="G630" s="21" t="str">
        <f t="shared" si="2"/>
        <v/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6" t="str">
        <f t="shared" si="1"/>
        <v/>
      </c>
      <c r="G631" s="21" t="str">
        <f t="shared" si="2"/>
        <v/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6" t="str">
        <f t="shared" si="1"/>
        <v/>
      </c>
      <c r="G632" s="21" t="str">
        <f t="shared" si="2"/>
        <v/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6" t="str">
        <f t="shared" si="1"/>
        <v/>
      </c>
      <c r="G633" s="21" t="str">
        <f t="shared" si="2"/>
        <v/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6" t="str">
        <f t="shared" si="1"/>
        <v/>
      </c>
      <c r="G634" s="21" t="str">
        <f t="shared" si="2"/>
        <v/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6" t="str">
        <f t="shared" si="1"/>
        <v/>
      </c>
      <c r="G635" s="21" t="str">
        <f t="shared" si="2"/>
        <v/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6" t="str">
        <f t="shared" si="1"/>
        <v/>
      </c>
      <c r="G636" s="21" t="str">
        <f t="shared" si="2"/>
        <v/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6" t="str">
        <f t="shared" si="1"/>
        <v/>
      </c>
      <c r="G637" s="21" t="str">
        <f t="shared" si="2"/>
        <v/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6" t="str">
        <f t="shared" si="1"/>
        <v/>
      </c>
      <c r="G638" s="21" t="str">
        <f t="shared" si="2"/>
        <v/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6" t="str">
        <f t="shared" si="1"/>
        <v/>
      </c>
      <c r="G639" s="21" t="str">
        <f t="shared" si="2"/>
        <v/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6" t="str">
        <f t="shared" si="1"/>
        <v/>
      </c>
      <c r="G640" s="21" t="str">
        <f t="shared" si="2"/>
        <v/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6" t="str">
        <f t="shared" si="1"/>
        <v/>
      </c>
      <c r="G641" s="21" t="str">
        <f t="shared" si="2"/>
        <v/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6" t="str">
        <f t="shared" si="1"/>
        <v/>
      </c>
      <c r="G642" s="21" t="str">
        <f t="shared" si="2"/>
        <v/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6" t="str">
        <f t="shared" si="1"/>
        <v/>
      </c>
      <c r="G643" s="21" t="str">
        <f t="shared" si="2"/>
        <v/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6" t="str">
        <f t="shared" si="1"/>
        <v/>
      </c>
      <c r="G644" s="21" t="str">
        <f t="shared" si="2"/>
        <v/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6" t="str">
        <f t="shared" si="1"/>
        <v/>
      </c>
      <c r="G645" s="21" t="str">
        <f t="shared" si="2"/>
        <v/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6" t="str">
        <f t="shared" si="1"/>
        <v/>
      </c>
      <c r="G646" s="21" t="str">
        <f t="shared" si="2"/>
        <v/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6" t="str">
        <f t="shared" si="1"/>
        <v/>
      </c>
      <c r="G647" s="21" t="str">
        <f t="shared" si="2"/>
        <v/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6" t="str">
        <f t="shared" si="1"/>
        <v/>
      </c>
      <c r="G648" s="21" t="str">
        <f t="shared" si="2"/>
        <v/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6" t="str">
        <f t="shared" si="1"/>
        <v/>
      </c>
      <c r="G649" s="21" t="str">
        <f t="shared" si="2"/>
        <v/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6" t="str">
        <f t="shared" si="1"/>
        <v/>
      </c>
      <c r="G650" s="21" t="str">
        <f t="shared" si="2"/>
        <v/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6" t="str">
        <f t="shared" si="1"/>
        <v/>
      </c>
      <c r="G651" s="21" t="str">
        <f t="shared" si="2"/>
        <v/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6" t="str">
        <f t="shared" si="1"/>
        <v/>
      </c>
      <c r="G652" s="21" t="str">
        <f t="shared" si="2"/>
        <v/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6" t="str">
        <f t="shared" si="1"/>
        <v/>
      </c>
      <c r="G653" s="21" t="str">
        <f t="shared" si="2"/>
        <v/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6" t="str">
        <f t="shared" si="1"/>
        <v/>
      </c>
      <c r="G654" s="21" t="str">
        <f t="shared" si="2"/>
        <v/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6" t="str">
        <f t="shared" si="1"/>
        <v/>
      </c>
      <c r="G655" s="21" t="str">
        <f t="shared" si="2"/>
        <v/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6" t="str">
        <f t="shared" si="1"/>
        <v/>
      </c>
      <c r="G656" s="21" t="str">
        <f t="shared" si="2"/>
        <v/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6" t="str">
        <f t="shared" si="1"/>
        <v/>
      </c>
      <c r="G657" s="21" t="str">
        <f t="shared" si="2"/>
        <v/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6" t="str">
        <f t="shared" si="1"/>
        <v/>
      </c>
      <c r="G658" s="21" t="str">
        <f t="shared" si="2"/>
        <v/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6" t="str">
        <f t="shared" si="1"/>
        <v/>
      </c>
      <c r="G659" s="21" t="str">
        <f t="shared" si="2"/>
        <v/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6" t="str">
        <f t="shared" si="1"/>
        <v/>
      </c>
      <c r="G660" s="21" t="str">
        <f t="shared" si="2"/>
        <v/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6" t="str">
        <f t="shared" si="1"/>
        <v/>
      </c>
      <c r="G661" s="21" t="str">
        <f t="shared" si="2"/>
        <v/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6" t="str">
        <f t="shared" si="1"/>
        <v/>
      </c>
      <c r="G662" s="21" t="str">
        <f t="shared" si="2"/>
        <v/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6" t="str">
        <f t="shared" si="1"/>
        <v/>
      </c>
      <c r="G663" s="21" t="str">
        <f t="shared" si="2"/>
        <v/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6" t="str">
        <f t="shared" si="1"/>
        <v/>
      </c>
      <c r="G664" s="21" t="str">
        <f t="shared" si="2"/>
        <v/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6" t="str">
        <f t="shared" si="1"/>
        <v/>
      </c>
      <c r="G665" s="21" t="str">
        <f t="shared" si="2"/>
        <v/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6" t="str">
        <f t="shared" si="1"/>
        <v/>
      </c>
      <c r="G666" s="21" t="str">
        <f t="shared" si="2"/>
        <v/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6" t="str">
        <f t="shared" si="1"/>
        <v/>
      </c>
      <c r="G667" s="21" t="str">
        <f t="shared" si="2"/>
        <v/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6" t="str">
        <f t="shared" si="1"/>
        <v/>
      </c>
      <c r="G668" s="21" t="str">
        <f t="shared" si="2"/>
        <v/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6" t="str">
        <f t="shared" si="1"/>
        <v/>
      </c>
      <c r="G669" s="21" t="str">
        <f t="shared" si="2"/>
        <v/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6" t="str">
        <f t="shared" si="1"/>
        <v/>
      </c>
      <c r="G670" s="21" t="str">
        <f t="shared" si="2"/>
        <v/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6" t="str">
        <f t="shared" si="1"/>
        <v/>
      </c>
      <c r="G671" s="21" t="str">
        <f t="shared" si="2"/>
        <v/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6" t="str">
        <f t="shared" si="1"/>
        <v/>
      </c>
      <c r="G672" s="21" t="str">
        <f t="shared" si="2"/>
        <v/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6" t="str">
        <f t="shared" si="1"/>
        <v/>
      </c>
      <c r="G673" s="21" t="str">
        <f t="shared" si="2"/>
        <v/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6" t="str">
        <f t="shared" si="1"/>
        <v/>
      </c>
      <c r="G674" s="21" t="str">
        <f t="shared" si="2"/>
        <v/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6" t="str">
        <f t="shared" si="1"/>
        <v/>
      </c>
      <c r="G675" s="21" t="str">
        <f t="shared" si="2"/>
        <v/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6" t="str">
        <f t="shared" si="1"/>
        <v/>
      </c>
      <c r="G676" s="21" t="str">
        <f t="shared" si="2"/>
        <v/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6" t="str">
        <f t="shared" si="1"/>
        <v/>
      </c>
      <c r="G677" s="21" t="str">
        <f t="shared" si="2"/>
        <v/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6" t="str">
        <f t="shared" si="1"/>
        <v/>
      </c>
      <c r="G678" s="21" t="str">
        <f t="shared" si="2"/>
        <v/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6" t="str">
        <f t="shared" si="1"/>
        <v/>
      </c>
      <c r="G679" s="21" t="str">
        <f t="shared" si="2"/>
        <v/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6" t="str">
        <f t="shared" si="1"/>
        <v/>
      </c>
      <c r="G680" s="21" t="str">
        <f t="shared" si="2"/>
        <v/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6" t="str">
        <f t="shared" si="1"/>
        <v/>
      </c>
      <c r="G681" s="21" t="str">
        <f t="shared" si="2"/>
        <v/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6" t="str">
        <f t="shared" si="1"/>
        <v/>
      </c>
      <c r="G682" s="21" t="str">
        <f t="shared" si="2"/>
        <v/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6" t="str">
        <f t="shared" si="1"/>
        <v/>
      </c>
      <c r="G683" s="21" t="str">
        <f t="shared" si="2"/>
        <v/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6" t="str">
        <f t="shared" si="1"/>
        <v/>
      </c>
      <c r="G684" s="21" t="str">
        <f t="shared" si="2"/>
        <v/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6" t="str">
        <f t="shared" si="1"/>
        <v/>
      </c>
      <c r="G685" s="21" t="str">
        <f t="shared" si="2"/>
        <v/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6" t="str">
        <f t="shared" si="1"/>
        <v/>
      </c>
      <c r="G686" s="21" t="str">
        <f t="shared" si="2"/>
        <v/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6" t="str">
        <f t="shared" si="1"/>
        <v/>
      </c>
      <c r="G687" s="21" t="str">
        <f t="shared" si="2"/>
        <v/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6" t="str">
        <f t="shared" si="1"/>
        <v/>
      </c>
      <c r="G688" s="21" t="str">
        <f t="shared" si="2"/>
        <v/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6" t="str">
        <f t="shared" si="1"/>
        <v/>
      </c>
      <c r="G689" s="21" t="str">
        <f t="shared" si="2"/>
        <v/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6" t="str">
        <f t="shared" si="1"/>
        <v/>
      </c>
      <c r="G690" s="21" t="str">
        <f t="shared" si="2"/>
        <v/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6" t="str">
        <f t="shared" si="1"/>
        <v/>
      </c>
      <c r="G691" s="21" t="str">
        <f t="shared" si="2"/>
        <v/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6" t="str">
        <f t="shared" si="1"/>
        <v/>
      </c>
      <c r="G692" s="21" t="str">
        <f t="shared" si="2"/>
        <v/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6" t="str">
        <f t="shared" si="1"/>
        <v/>
      </c>
      <c r="G693" s="21" t="str">
        <f t="shared" si="2"/>
        <v/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6" t="str">
        <f t="shared" si="1"/>
        <v/>
      </c>
      <c r="G694" s="21" t="str">
        <f t="shared" si="2"/>
        <v/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6" t="str">
        <f t="shared" si="1"/>
        <v/>
      </c>
      <c r="G695" s="21" t="str">
        <f t="shared" si="2"/>
        <v/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6" t="str">
        <f t="shared" si="1"/>
        <v/>
      </c>
      <c r="G696" s="21" t="str">
        <f t="shared" si="2"/>
        <v/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6" t="str">
        <f t="shared" si="1"/>
        <v/>
      </c>
      <c r="G697" s="21" t="str">
        <f t="shared" si="2"/>
        <v/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6" t="str">
        <f t="shared" si="1"/>
        <v/>
      </c>
      <c r="G698" s="21" t="str">
        <f t="shared" si="2"/>
        <v/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6" t="str">
        <f t="shared" si="1"/>
        <v/>
      </c>
      <c r="G699" s="21" t="str">
        <f t="shared" si="2"/>
        <v/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6" t="str">
        <f t="shared" si="1"/>
        <v/>
      </c>
      <c r="G700" s="21" t="str">
        <f t="shared" si="2"/>
        <v/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6" t="str">
        <f t="shared" si="1"/>
        <v/>
      </c>
      <c r="G701" s="21" t="str">
        <f t="shared" si="2"/>
        <v/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6" t="str">
        <f t="shared" si="1"/>
        <v/>
      </c>
      <c r="G702" s="21" t="str">
        <f t="shared" si="2"/>
        <v/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6" t="str">
        <f t="shared" si="1"/>
        <v/>
      </c>
      <c r="G703" s="21" t="str">
        <f t="shared" si="2"/>
        <v/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6" t="str">
        <f t="shared" si="1"/>
        <v/>
      </c>
      <c r="G704" s="21" t="str">
        <f t="shared" si="2"/>
        <v/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6" t="str">
        <f t="shared" si="1"/>
        <v/>
      </c>
      <c r="G705" s="21" t="str">
        <f t="shared" si="2"/>
        <v/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6" t="str">
        <f t="shared" si="1"/>
        <v/>
      </c>
      <c r="G706" s="21" t="str">
        <f t="shared" si="2"/>
        <v/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6" t="str">
        <f t="shared" si="1"/>
        <v/>
      </c>
      <c r="G707" s="21" t="str">
        <f t="shared" si="2"/>
        <v/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6" t="str">
        <f t="shared" si="1"/>
        <v/>
      </c>
      <c r="G708" s="21" t="str">
        <f t="shared" si="2"/>
        <v/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6" t="str">
        <f t="shared" si="1"/>
        <v/>
      </c>
      <c r="G709" s="21" t="str">
        <f t="shared" si="2"/>
        <v/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6" t="str">
        <f t="shared" si="1"/>
        <v/>
      </c>
      <c r="G710" s="21" t="str">
        <f t="shared" si="2"/>
        <v/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6" t="str">
        <f t="shared" si="1"/>
        <v/>
      </c>
      <c r="G711" s="21" t="str">
        <f t="shared" si="2"/>
        <v/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6" t="str">
        <f t="shared" si="1"/>
        <v/>
      </c>
      <c r="G712" s="21" t="str">
        <f t="shared" si="2"/>
        <v/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6" t="str">
        <f t="shared" si="1"/>
        <v/>
      </c>
      <c r="G713" s="21" t="str">
        <f t="shared" si="2"/>
        <v/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6" t="str">
        <f t="shared" si="1"/>
        <v/>
      </c>
      <c r="G714" s="21" t="str">
        <f t="shared" si="2"/>
        <v/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6" t="str">
        <f t="shared" si="1"/>
        <v/>
      </c>
      <c r="G715" s="21" t="str">
        <f t="shared" si="2"/>
        <v/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6" t="str">
        <f t="shared" si="1"/>
        <v/>
      </c>
      <c r="G716" s="21" t="str">
        <f t="shared" si="2"/>
        <v/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6" t="str">
        <f t="shared" si="1"/>
        <v/>
      </c>
      <c r="G717" s="21" t="str">
        <f t="shared" si="2"/>
        <v/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6" t="str">
        <f t="shared" si="1"/>
        <v/>
      </c>
      <c r="G718" s="21" t="str">
        <f t="shared" si="2"/>
        <v/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6" t="str">
        <f t="shared" si="1"/>
        <v/>
      </c>
      <c r="G719" s="21" t="str">
        <f t="shared" si="2"/>
        <v/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6" t="str">
        <f t="shared" si="1"/>
        <v/>
      </c>
      <c r="G720" s="21" t="str">
        <f t="shared" si="2"/>
        <v/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6" t="str">
        <f t="shared" si="1"/>
        <v/>
      </c>
      <c r="G721" s="21" t="str">
        <f t="shared" si="2"/>
        <v/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6" t="str">
        <f t="shared" si="1"/>
        <v/>
      </c>
      <c r="G722" s="21" t="str">
        <f t="shared" si="2"/>
        <v/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6" t="str">
        <f t="shared" si="1"/>
        <v/>
      </c>
      <c r="G723" s="21" t="str">
        <f t="shared" si="2"/>
        <v/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6" t="str">
        <f t="shared" si="1"/>
        <v/>
      </c>
      <c r="G724" s="21" t="str">
        <f t="shared" si="2"/>
        <v/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6" t="str">
        <f t="shared" si="1"/>
        <v/>
      </c>
      <c r="G725" s="21" t="str">
        <f t="shared" si="2"/>
        <v/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6" t="str">
        <f t="shared" si="1"/>
        <v/>
      </c>
      <c r="G726" s="21" t="str">
        <f t="shared" si="2"/>
        <v/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6" t="str">
        <f t="shared" si="1"/>
        <v/>
      </c>
      <c r="G727" s="21" t="str">
        <f t="shared" si="2"/>
        <v/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6" t="str">
        <f t="shared" si="1"/>
        <v/>
      </c>
      <c r="G728" s="21" t="str">
        <f t="shared" si="2"/>
        <v/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6" t="str">
        <f t="shared" si="1"/>
        <v/>
      </c>
      <c r="G729" s="21" t="str">
        <f t="shared" si="2"/>
        <v/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6" t="str">
        <f t="shared" si="1"/>
        <v/>
      </c>
      <c r="G730" s="21" t="str">
        <f t="shared" si="2"/>
        <v/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6" t="str">
        <f t="shared" si="1"/>
        <v/>
      </c>
      <c r="G731" s="21" t="str">
        <f t="shared" si="2"/>
        <v/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6" t="str">
        <f t="shared" si="1"/>
        <v/>
      </c>
      <c r="G732" s="21" t="str">
        <f t="shared" si="2"/>
        <v/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6" t="str">
        <f t="shared" si="1"/>
        <v/>
      </c>
      <c r="G733" s="21" t="str">
        <f t="shared" si="2"/>
        <v/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6" t="str">
        <f t="shared" si="1"/>
        <v/>
      </c>
      <c r="G734" s="21" t="str">
        <f t="shared" si="2"/>
        <v/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6" t="str">
        <f t="shared" si="1"/>
        <v/>
      </c>
      <c r="G735" s="21" t="str">
        <f t="shared" si="2"/>
        <v/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6" t="str">
        <f t="shared" si="1"/>
        <v/>
      </c>
      <c r="G736" s="21" t="str">
        <f t="shared" si="2"/>
        <v/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6" t="str">
        <f t="shared" si="1"/>
        <v/>
      </c>
      <c r="G737" s="21" t="str">
        <f t="shared" si="2"/>
        <v/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6" t="str">
        <f t="shared" si="1"/>
        <v/>
      </c>
      <c r="G738" s="21" t="str">
        <f t="shared" si="2"/>
        <v/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6" t="str">
        <f t="shared" si="1"/>
        <v/>
      </c>
      <c r="G739" s="21" t="str">
        <f t="shared" si="2"/>
        <v/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6" t="str">
        <f t="shared" si="1"/>
        <v/>
      </c>
      <c r="G740" s="21" t="str">
        <f t="shared" si="2"/>
        <v/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6" t="str">
        <f t="shared" si="1"/>
        <v/>
      </c>
      <c r="G741" s="21" t="str">
        <f t="shared" si="2"/>
        <v/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6" t="str">
        <f t="shared" si="1"/>
        <v/>
      </c>
      <c r="G742" s="21" t="str">
        <f t="shared" si="2"/>
        <v/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6" t="str">
        <f t="shared" si="1"/>
        <v/>
      </c>
      <c r="G743" s="21" t="str">
        <f t="shared" si="2"/>
        <v/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6" t="str">
        <f t="shared" si="1"/>
        <v/>
      </c>
      <c r="G744" s="21" t="str">
        <f t="shared" si="2"/>
        <v/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6" t="str">
        <f t="shared" si="1"/>
        <v/>
      </c>
      <c r="G745" s="21" t="str">
        <f t="shared" si="2"/>
        <v/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6" t="str">
        <f t="shared" si="1"/>
        <v/>
      </c>
      <c r="G746" s="21" t="str">
        <f t="shared" si="2"/>
        <v/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6" t="str">
        <f t="shared" si="1"/>
        <v/>
      </c>
      <c r="G747" s="21" t="str">
        <f t="shared" si="2"/>
        <v/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6" t="str">
        <f t="shared" si="1"/>
        <v/>
      </c>
      <c r="G748" s="21" t="str">
        <f t="shared" si="2"/>
        <v/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6" t="str">
        <f t="shared" si="1"/>
        <v/>
      </c>
      <c r="G749" s="21" t="str">
        <f t="shared" si="2"/>
        <v/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6" t="str">
        <f t="shared" si="1"/>
        <v/>
      </c>
      <c r="G750" s="21" t="str">
        <f t="shared" si="2"/>
        <v/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6" t="str">
        <f t="shared" si="1"/>
        <v/>
      </c>
      <c r="G751" s="21" t="str">
        <f t="shared" si="2"/>
        <v/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6" t="str">
        <f t="shared" si="1"/>
        <v/>
      </c>
      <c r="G752" s="21" t="str">
        <f t="shared" si="2"/>
        <v/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6" t="str">
        <f t="shared" si="1"/>
        <v/>
      </c>
      <c r="G753" s="21" t="str">
        <f t="shared" si="2"/>
        <v/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6" t="str">
        <f t="shared" si="1"/>
        <v/>
      </c>
      <c r="G754" s="21" t="str">
        <f t="shared" si="2"/>
        <v/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6" t="str">
        <f t="shared" si="1"/>
        <v/>
      </c>
      <c r="G755" s="21" t="str">
        <f t="shared" si="2"/>
        <v/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6" t="str">
        <f t="shared" si="1"/>
        <v/>
      </c>
      <c r="G756" s="21" t="str">
        <f t="shared" si="2"/>
        <v/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6" t="str">
        <f t="shared" si="1"/>
        <v/>
      </c>
      <c r="G757" s="21" t="str">
        <f t="shared" si="2"/>
        <v/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6" t="str">
        <f t="shared" si="1"/>
        <v/>
      </c>
      <c r="G758" s="21" t="str">
        <f t="shared" si="2"/>
        <v/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6" t="str">
        <f t="shared" si="1"/>
        <v/>
      </c>
      <c r="G759" s="21" t="str">
        <f t="shared" si="2"/>
        <v/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6" t="str">
        <f t="shared" si="1"/>
        <v/>
      </c>
      <c r="G760" s="21" t="str">
        <f t="shared" si="2"/>
        <v/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6" t="str">
        <f t="shared" si="1"/>
        <v/>
      </c>
      <c r="G761" s="21" t="str">
        <f t="shared" si="2"/>
        <v/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6" t="str">
        <f t="shared" si="1"/>
        <v/>
      </c>
      <c r="G762" s="21" t="str">
        <f t="shared" si="2"/>
        <v/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6" t="str">
        <f t="shared" si="1"/>
        <v/>
      </c>
      <c r="G763" s="21" t="str">
        <f t="shared" si="2"/>
        <v/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6" t="str">
        <f t="shared" si="1"/>
        <v/>
      </c>
      <c r="G764" s="21" t="str">
        <f t="shared" si="2"/>
        <v/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6" t="str">
        <f t="shared" si="1"/>
        <v/>
      </c>
      <c r="G765" s="21" t="str">
        <f t="shared" si="2"/>
        <v/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6" t="str">
        <f t="shared" si="1"/>
        <v/>
      </c>
      <c r="G766" s="21" t="str">
        <f t="shared" si="2"/>
        <v/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6" t="str">
        <f t="shared" si="1"/>
        <v/>
      </c>
      <c r="G767" s="21" t="str">
        <f t="shared" si="2"/>
        <v/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6" t="str">
        <f t="shared" si="1"/>
        <v/>
      </c>
      <c r="G768" s="21" t="str">
        <f t="shared" si="2"/>
        <v/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6" t="str">
        <f t="shared" si="1"/>
        <v/>
      </c>
      <c r="G769" s="21" t="str">
        <f t="shared" si="2"/>
        <v/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6" t="str">
        <f t="shared" si="1"/>
        <v/>
      </c>
      <c r="G770" s="21" t="str">
        <f t="shared" si="2"/>
        <v/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6" t="str">
        <f t="shared" si="1"/>
        <v/>
      </c>
      <c r="G771" s="21" t="str">
        <f t="shared" si="2"/>
        <v/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6" t="str">
        <f t="shared" si="1"/>
        <v/>
      </c>
      <c r="G772" s="21" t="str">
        <f t="shared" si="2"/>
        <v/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6" t="str">
        <f t="shared" si="1"/>
        <v/>
      </c>
      <c r="G773" s="21" t="str">
        <f t="shared" si="2"/>
        <v/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6" t="str">
        <f t="shared" si="1"/>
        <v/>
      </c>
      <c r="G774" s="21" t="str">
        <f t="shared" si="2"/>
        <v/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6" t="str">
        <f t="shared" si="1"/>
        <v/>
      </c>
      <c r="G775" s="21" t="str">
        <f t="shared" si="2"/>
        <v/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6" t="str">
        <f t="shared" si="1"/>
        <v/>
      </c>
      <c r="G776" s="21" t="str">
        <f t="shared" si="2"/>
        <v/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6" t="str">
        <f t="shared" si="1"/>
        <v/>
      </c>
      <c r="G777" s="21" t="str">
        <f t="shared" si="2"/>
        <v/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6" t="str">
        <f t="shared" si="1"/>
        <v/>
      </c>
      <c r="G778" s="21" t="str">
        <f t="shared" si="2"/>
        <v/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6" t="str">
        <f t="shared" si="1"/>
        <v/>
      </c>
      <c r="G779" s="21" t="str">
        <f t="shared" si="2"/>
        <v/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6" t="str">
        <f t="shared" si="1"/>
        <v/>
      </c>
      <c r="G780" s="21" t="str">
        <f t="shared" si="2"/>
        <v/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6" t="str">
        <f t="shared" si="1"/>
        <v/>
      </c>
      <c r="G781" s="21" t="str">
        <f t="shared" si="2"/>
        <v/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6" t="str">
        <f t="shared" si="1"/>
        <v/>
      </c>
      <c r="G782" s="21" t="str">
        <f t="shared" si="2"/>
        <v/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6" t="str">
        <f t="shared" si="1"/>
        <v/>
      </c>
      <c r="G783" s="21" t="str">
        <f t="shared" si="2"/>
        <v/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6" t="str">
        <f t="shared" si="1"/>
        <v/>
      </c>
      <c r="G784" s="21" t="str">
        <f t="shared" si="2"/>
        <v/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6" t="str">
        <f t="shared" si="1"/>
        <v/>
      </c>
      <c r="G785" s="21" t="str">
        <f t="shared" si="2"/>
        <v/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6" t="str">
        <f t="shared" si="1"/>
        <v/>
      </c>
      <c r="G786" s="21" t="str">
        <f t="shared" si="2"/>
        <v/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6" t="str">
        <f t="shared" si="1"/>
        <v/>
      </c>
      <c r="G787" s="21" t="str">
        <f t="shared" si="2"/>
        <v/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6" t="str">
        <f t="shared" si="1"/>
        <v/>
      </c>
      <c r="G788" s="21" t="str">
        <f t="shared" si="2"/>
        <v/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6" t="str">
        <f t="shared" si="1"/>
        <v/>
      </c>
      <c r="G789" s="21" t="str">
        <f t="shared" si="2"/>
        <v/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6" t="str">
        <f t="shared" si="1"/>
        <v/>
      </c>
      <c r="G790" s="21" t="str">
        <f t="shared" si="2"/>
        <v/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6" t="str">
        <f t="shared" si="1"/>
        <v/>
      </c>
      <c r="G791" s="21" t="str">
        <f t="shared" si="2"/>
        <v/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6" t="str">
        <f t="shared" si="1"/>
        <v/>
      </c>
      <c r="G792" s="21" t="str">
        <f t="shared" si="2"/>
        <v/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6" t="str">
        <f t="shared" si="1"/>
        <v/>
      </c>
      <c r="G793" s="21" t="str">
        <f t="shared" si="2"/>
        <v/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6" t="str">
        <f t="shared" si="1"/>
        <v/>
      </c>
      <c r="G794" s="21" t="str">
        <f t="shared" si="2"/>
        <v/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6" t="str">
        <f t="shared" si="1"/>
        <v/>
      </c>
      <c r="G795" s="21" t="str">
        <f t="shared" si="2"/>
        <v/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6" t="str">
        <f t="shared" si="1"/>
        <v/>
      </c>
      <c r="G796" s="21" t="str">
        <f t="shared" si="2"/>
        <v/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6" t="str">
        <f t="shared" si="1"/>
        <v/>
      </c>
      <c r="G797" s="21" t="str">
        <f t="shared" si="2"/>
        <v/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6" t="str">
        <f t="shared" si="1"/>
        <v/>
      </c>
      <c r="G798" s="21" t="str">
        <f t="shared" si="2"/>
        <v/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6" t="str">
        <f t="shared" si="1"/>
        <v/>
      </c>
      <c r="G799" s="21" t="str">
        <f t="shared" si="2"/>
        <v/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6" t="str">
        <f t="shared" si="1"/>
        <v/>
      </c>
      <c r="G800" s="21" t="str">
        <f t="shared" si="2"/>
        <v/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6" t="str">
        <f t="shared" si="1"/>
        <v/>
      </c>
      <c r="G801" s="21" t="str">
        <f t="shared" si="2"/>
        <v/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6" t="str">
        <f t="shared" si="1"/>
        <v/>
      </c>
      <c r="G802" s="21" t="str">
        <f t="shared" si="2"/>
        <v/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6" t="str">
        <f t="shared" si="1"/>
        <v/>
      </c>
      <c r="G803" s="21" t="str">
        <f t="shared" si="2"/>
        <v/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6" t="str">
        <f t="shared" si="1"/>
        <v/>
      </c>
      <c r="G804" s="21" t="str">
        <f t="shared" si="2"/>
        <v/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6" t="str">
        <f t="shared" si="1"/>
        <v/>
      </c>
      <c r="G805" s="21" t="str">
        <f t="shared" si="2"/>
        <v/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6" t="str">
        <f t="shared" si="1"/>
        <v/>
      </c>
      <c r="G806" s="21" t="str">
        <f t="shared" si="2"/>
        <v/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6" t="str">
        <f t="shared" si="1"/>
        <v/>
      </c>
      <c r="G807" s="21" t="str">
        <f t="shared" si="2"/>
        <v/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6" t="str">
        <f t="shared" si="1"/>
        <v/>
      </c>
      <c r="G808" s="21" t="str">
        <f t="shared" si="2"/>
        <v/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6" t="str">
        <f t="shared" si="1"/>
        <v/>
      </c>
      <c r="G809" s="21" t="str">
        <f t="shared" si="2"/>
        <v/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6" t="str">
        <f t="shared" si="1"/>
        <v/>
      </c>
      <c r="G810" s="21" t="str">
        <f t="shared" si="2"/>
        <v/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6" t="str">
        <f t="shared" si="1"/>
        <v/>
      </c>
      <c r="G811" s="21" t="str">
        <f t="shared" si="2"/>
        <v/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6" t="str">
        <f t="shared" si="1"/>
        <v/>
      </c>
      <c r="G812" s="21" t="str">
        <f t="shared" si="2"/>
        <v/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6" t="str">
        <f t="shared" si="1"/>
        <v/>
      </c>
      <c r="G813" s="21" t="str">
        <f t="shared" si="2"/>
        <v/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6" t="str">
        <f t="shared" si="1"/>
        <v/>
      </c>
      <c r="G814" s="21" t="str">
        <f t="shared" si="2"/>
        <v/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6" t="str">
        <f t="shared" si="1"/>
        <v/>
      </c>
      <c r="G815" s="21" t="str">
        <f t="shared" si="2"/>
        <v/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6" t="str">
        <f t="shared" si="1"/>
        <v/>
      </c>
      <c r="G816" s="21" t="str">
        <f t="shared" si="2"/>
        <v/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6" t="str">
        <f t="shared" si="1"/>
        <v/>
      </c>
      <c r="G817" s="21" t="str">
        <f t="shared" si="2"/>
        <v/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6" t="str">
        <f t="shared" si="1"/>
        <v/>
      </c>
      <c r="G818" s="21" t="str">
        <f t="shared" si="2"/>
        <v/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6" t="str">
        <f t="shared" si="1"/>
        <v/>
      </c>
      <c r="G819" s="21" t="str">
        <f t="shared" si="2"/>
        <v/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6" t="str">
        <f t="shared" si="1"/>
        <v/>
      </c>
      <c r="G820" s="21" t="str">
        <f t="shared" si="2"/>
        <v/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6" t="str">
        <f t="shared" si="1"/>
        <v/>
      </c>
      <c r="G821" s="21" t="str">
        <f t="shared" si="2"/>
        <v/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6" t="str">
        <f t="shared" si="1"/>
        <v/>
      </c>
      <c r="G822" s="21" t="str">
        <f t="shared" si="2"/>
        <v/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6" t="str">
        <f t="shared" si="1"/>
        <v/>
      </c>
      <c r="G823" s="21" t="str">
        <f t="shared" si="2"/>
        <v/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6" t="str">
        <f t="shared" si="1"/>
        <v/>
      </c>
      <c r="G824" s="21" t="str">
        <f t="shared" si="2"/>
        <v/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6" t="str">
        <f t="shared" si="1"/>
        <v/>
      </c>
      <c r="G825" s="21" t="str">
        <f t="shared" si="2"/>
        <v/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6" t="str">
        <f t="shared" si="1"/>
        <v/>
      </c>
      <c r="G826" s="21" t="str">
        <f t="shared" si="2"/>
        <v/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6" t="str">
        <f t="shared" si="1"/>
        <v/>
      </c>
      <c r="G827" s="21" t="str">
        <f t="shared" si="2"/>
        <v/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6" t="str">
        <f t="shared" si="1"/>
        <v/>
      </c>
      <c r="G828" s="21" t="str">
        <f t="shared" si="2"/>
        <v/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6" t="str">
        <f t="shared" si="1"/>
        <v/>
      </c>
      <c r="G829" s="21" t="str">
        <f t="shared" si="2"/>
        <v/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6" t="str">
        <f t="shared" si="1"/>
        <v/>
      </c>
      <c r="G830" s="21" t="str">
        <f t="shared" si="2"/>
        <v/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6" t="str">
        <f t="shared" si="1"/>
        <v/>
      </c>
      <c r="G831" s="21" t="str">
        <f t="shared" si="2"/>
        <v/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6" t="str">
        <f t="shared" si="1"/>
        <v/>
      </c>
      <c r="G832" s="21" t="str">
        <f t="shared" si="2"/>
        <v/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6" t="str">
        <f t="shared" si="1"/>
        <v/>
      </c>
      <c r="G833" s="21" t="str">
        <f t="shared" si="2"/>
        <v/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6" t="str">
        <f t="shared" si="1"/>
        <v/>
      </c>
      <c r="G834" s="21" t="str">
        <f t="shared" si="2"/>
        <v/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6" t="str">
        <f t="shared" si="1"/>
        <v/>
      </c>
      <c r="G835" s="21" t="str">
        <f t="shared" si="2"/>
        <v/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6" t="str">
        <f t="shared" si="1"/>
        <v/>
      </c>
      <c r="G836" s="21" t="str">
        <f t="shared" si="2"/>
        <v/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6" t="str">
        <f t="shared" si="1"/>
        <v/>
      </c>
      <c r="G837" s="21" t="str">
        <f t="shared" si="2"/>
        <v/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6" t="str">
        <f t="shared" si="1"/>
        <v/>
      </c>
      <c r="G838" s="21" t="str">
        <f t="shared" si="2"/>
        <v/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6" t="str">
        <f t="shared" si="1"/>
        <v/>
      </c>
      <c r="G839" s="21" t="str">
        <f t="shared" si="2"/>
        <v/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6" t="str">
        <f t="shared" si="1"/>
        <v/>
      </c>
      <c r="G840" s="21" t="str">
        <f t="shared" si="2"/>
        <v/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6" t="str">
        <f t="shared" si="1"/>
        <v/>
      </c>
      <c r="G841" s="21" t="str">
        <f t="shared" si="2"/>
        <v/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6" t="str">
        <f t="shared" si="1"/>
        <v/>
      </c>
      <c r="G842" s="21" t="str">
        <f t="shared" si="2"/>
        <v/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6" t="str">
        <f t="shared" si="1"/>
        <v/>
      </c>
      <c r="G843" s="21" t="str">
        <f t="shared" si="2"/>
        <v/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6" t="str">
        <f t="shared" si="1"/>
        <v/>
      </c>
      <c r="G844" s="21" t="str">
        <f t="shared" si="2"/>
        <v/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6" t="str">
        <f t="shared" si="1"/>
        <v/>
      </c>
      <c r="G845" s="21" t="str">
        <f t="shared" si="2"/>
        <v/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6" t="str">
        <f t="shared" si="1"/>
        <v/>
      </c>
      <c r="G846" s="21" t="str">
        <f t="shared" si="2"/>
        <v/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6" t="str">
        <f t="shared" si="1"/>
        <v/>
      </c>
      <c r="G847" s="21" t="str">
        <f t="shared" si="2"/>
        <v/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6" t="str">
        <f t="shared" si="1"/>
        <v/>
      </c>
      <c r="G848" s="21" t="str">
        <f t="shared" si="2"/>
        <v/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6" t="str">
        <f t="shared" si="1"/>
        <v/>
      </c>
      <c r="G849" s="21" t="str">
        <f t="shared" si="2"/>
        <v/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6" t="str">
        <f t="shared" si="1"/>
        <v/>
      </c>
      <c r="G850" s="21" t="str">
        <f t="shared" si="2"/>
        <v/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6" t="str">
        <f t="shared" si="1"/>
        <v/>
      </c>
      <c r="G851" s="21" t="str">
        <f t="shared" si="2"/>
        <v/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6" t="str">
        <f t="shared" si="1"/>
        <v/>
      </c>
      <c r="G852" s="21" t="str">
        <f t="shared" si="2"/>
        <v/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6" t="str">
        <f t="shared" si="1"/>
        <v/>
      </c>
      <c r="G853" s="21" t="str">
        <f t="shared" si="2"/>
        <v/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6" t="str">
        <f t="shared" si="1"/>
        <v/>
      </c>
      <c r="G854" s="21" t="str">
        <f t="shared" si="2"/>
        <v/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6" t="str">
        <f t="shared" si="1"/>
        <v/>
      </c>
      <c r="G855" s="21" t="str">
        <f t="shared" si="2"/>
        <v/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6" t="str">
        <f t="shared" si="1"/>
        <v/>
      </c>
      <c r="G856" s="21" t="str">
        <f t="shared" si="2"/>
        <v/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6" t="str">
        <f t="shared" si="1"/>
        <v/>
      </c>
      <c r="G857" s="21" t="str">
        <f t="shared" si="2"/>
        <v/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6" t="str">
        <f t="shared" si="1"/>
        <v/>
      </c>
      <c r="G858" s="21" t="str">
        <f t="shared" si="2"/>
        <v/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6" t="str">
        <f t="shared" si="1"/>
        <v/>
      </c>
      <c r="G859" s="21" t="str">
        <f t="shared" si="2"/>
        <v/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6" t="str">
        <f t="shared" si="1"/>
        <v/>
      </c>
      <c r="G860" s="21" t="str">
        <f t="shared" si="2"/>
        <v/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6" t="str">
        <f t="shared" si="1"/>
        <v/>
      </c>
      <c r="G861" s="21" t="str">
        <f t="shared" si="2"/>
        <v/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6" t="str">
        <f t="shared" si="1"/>
        <v/>
      </c>
      <c r="G862" s="21" t="str">
        <f t="shared" si="2"/>
        <v/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6" t="str">
        <f t="shared" si="1"/>
        <v/>
      </c>
      <c r="G863" s="21" t="str">
        <f t="shared" si="2"/>
        <v/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6" t="str">
        <f t="shared" si="1"/>
        <v/>
      </c>
      <c r="G864" s="21" t="str">
        <f t="shared" si="2"/>
        <v/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6" t="str">
        <f t="shared" si="1"/>
        <v/>
      </c>
      <c r="G865" s="21" t="str">
        <f t="shared" si="2"/>
        <v/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6" t="str">
        <f t="shared" si="1"/>
        <v/>
      </c>
      <c r="G866" s="21" t="str">
        <f t="shared" si="2"/>
        <v/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6" t="str">
        <f t="shared" si="1"/>
        <v/>
      </c>
      <c r="G867" s="21" t="str">
        <f t="shared" si="2"/>
        <v/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6" t="str">
        <f t="shared" si="1"/>
        <v/>
      </c>
      <c r="G868" s="21" t="str">
        <f t="shared" si="2"/>
        <v/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6" t="str">
        <f t="shared" si="1"/>
        <v/>
      </c>
      <c r="G869" s="21" t="str">
        <f t="shared" si="2"/>
        <v/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6" t="str">
        <f t="shared" si="1"/>
        <v/>
      </c>
      <c r="G870" s="21" t="str">
        <f t="shared" si="2"/>
        <v/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6" t="str">
        <f t="shared" si="1"/>
        <v/>
      </c>
      <c r="G871" s="21" t="str">
        <f t="shared" si="2"/>
        <v/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6" t="str">
        <f t="shared" si="1"/>
        <v/>
      </c>
      <c r="G872" s="21" t="str">
        <f t="shared" si="2"/>
        <v/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6" t="str">
        <f t="shared" si="1"/>
        <v/>
      </c>
      <c r="G873" s="21" t="str">
        <f t="shared" si="2"/>
        <v/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6" t="str">
        <f t="shared" si="1"/>
        <v/>
      </c>
      <c r="G874" s="21" t="str">
        <f t="shared" si="2"/>
        <v/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6" t="str">
        <f t="shared" si="1"/>
        <v/>
      </c>
      <c r="G875" s="21" t="str">
        <f t="shared" si="2"/>
        <v/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6" t="str">
        <f t="shared" si="1"/>
        <v/>
      </c>
      <c r="G876" s="21" t="str">
        <f t="shared" si="2"/>
        <v/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6" t="str">
        <f t="shared" si="1"/>
        <v/>
      </c>
      <c r="G877" s="21" t="str">
        <f t="shared" si="2"/>
        <v/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6" t="str">
        <f t="shared" si="1"/>
        <v/>
      </c>
      <c r="G878" s="21" t="str">
        <f t="shared" si="2"/>
        <v/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6" t="str">
        <f t="shared" si="1"/>
        <v/>
      </c>
      <c r="G879" s="21" t="str">
        <f t="shared" si="2"/>
        <v/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6" t="str">
        <f t="shared" si="1"/>
        <v/>
      </c>
      <c r="G880" s="21" t="str">
        <f t="shared" si="2"/>
        <v/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6" t="str">
        <f t="shared" si="1"/>
        <v/>
      </c>
      <c r="G881" s="21" t="str">
        <f t="shared" si="2"/>
        <v/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6" t="str">
        <f t="shared" si="1"/>
        <v/>
      </c>
      <c r="G882" s="21" t="str">
        <f t="shared" si="2"/>
        <v/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6" t="str">
        <f t="shared" si="1"/>
        <v/>
      </c>
      <c r="G883" s="21" t="str">
        <f t="shared" si="2"/>
        <v/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6" t="str">
        <f t="shared" si="1"/>
        <v/>
      </c>
      <c r="G884" s="21" t="str">
        <f t="shared" si="2"/>
        <v/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6" t="str">
        <f t="shared" si="1"/>
        <v/>
      </c>
      <c r="G885" s="21" t="str">
        <f t="shared" si="2"/>
        <v/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6" t="str">
        <f t="shared" si="1"/>
        <v/>
      </c>
      <c r="G886" s="21" t="str">
        <f t="shared" si="2"/>
        <v/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6" t="str">
        <f t="shared" si="1"/>
        <v/>
      </c>
      <c r="G887" s="21" t="str">
        <f t="shared" si="2"/>
        <v/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6" t="str">
        <f t="shared" si="1"/>
        <v/>
      </c>
      <c r="G888" s="21" t="str">
        <f t="shared" si="2"/>
        <v/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6" t="str">
        <f t="shared" si="1"/>
        <v/>
      </c>
      <c r="G889" s="21" t="str">
        <f t="shared" si="2"/>
        <v/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6" t="str">
        <f t="shared" si="1"/>
        <v/>
      </c>
      <c r="G890" s="21" t="str">
        <f t="shared" si="2"/>
        <v/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6" t="str">
        <f t="shared" si="1"/>
        <v/>
      </c>
      <c r="G891" s="21" t="str">
        <f t="shared" si="2"/>
        <v/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6" t="str">
        <f t="shared" si="1"/>
        <v/>
      </c>
      <c r="G892" s="21" t="str">
        <f t="shared" si="2"/>
        <v/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6" t="str">
        <f t="shared" si="1"/>
        <v/>
      </c>
      <c r="G893" s="21" t="str">
        <f t="shared" si="2"/>
        <v/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6" t="str">
        <f t="shared" si="1"/>
        <v/>
      </c>
      <c r="G894" s="21" t="str">
        <f t="shared" si="2"/>
        <v/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6" t="str">
        <f t="shared" si="1"/>
        <v/>
      </c>
      <c r="G895" s="21" t="str">
        <f t="shared" si="2"/>
        <v/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6" t="str">
        <f t="shared" si="1"/>
        <v/>
      </c>
      <c r="G896" s="21" t="str">
        <f t="shared" si="2"/>
        <v/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6" t="str">
        <f t="shared" si="1"/>
        <v/>
      </c>
      <c r="G897" s="21" t="str">
        <f t="shared" si="2"/>
        <v/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6" t="str">
        <f t="shared" si="1"/>
        <v/>
      </c>
      <c r="G898" s="21" t="str">
        <f t="shared" si="2"/>
        <v/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6" t="str">
        <f t="shared" si="1"/>
        <v/>
      </c>
      <c r="G899" s="21" t="str">
        <f t="shared" si="2"/>
        <v/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6" t="str">
        <f t="shared" si="1"/>
        <v/>
      </c>
      <c r="G900" s="21" t="str">
        <f t="shared" si="2"/>
        <v/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6" t="str">
        <f t="shared" si="1"/>
        <v/>
      </c>
      <c r="G901" s="21" t="str">
        <f t="shared" si="2"/>
        <v/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6" t="str">
        <f t="shared" si="1"/>
        <v/>
      </c>
      <c r="G902" s="21" t="str">
        <f t="shared" si="2"/>
        <v/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6" t="str">
        <f t="shared" si="1"/>
        <v/>
      </c>
      <c r="G903" s="21" t="str">
        <f t="shared" si="2"/>
        <v/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6" t="str">
        <f t="shared" si="1"/>
        <v/>
      </c>
      <c r="G904" s="21" t="str">
        <f t="shared" si="2"/>
        <v/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6" t="str">
        <f t="shared" si="1"/>
        <v/>
      </c>
      <c r="G905" s="21" t="str">
        <f t="shared" si="2"/>
        <v/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6" t="str">
        <f t="shared" si="1"/>
        <v/>
      </c>
      <c r="G906" s="21" t="str">
        <f t="shared" si="2"/>
        <v/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6" t="str">
        <f t="shared" si="1"/>
        <v/>
      </c>
      <c r="G907" s="21" t="str">
        <f t="shared" si="2"/>
        <v/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6" t="str">
        <f t="shared" si="1"/>
        <v/>
      </c>
      <c r="G908" s="21" t="str">
        <f t="shared" si="2"/>
        <v/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6" t="str">
        <f t="shared" si="1"/>
        <v/>
      </c>
      <c r="G909" s="21" t="str">
        <f t="shared" si="2"/>
        <v/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6" t="str">
        <f t="shared" si="1"/>
        <v/>
      </c>
      <c r="G910" s="21" t="str">
        <f t="shared" si="2"/>
        <v/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6" t="str">
        <f t="shared" si="1"/>
        <v/>
      </c>
      <c r="G911" s="21" t="str">
        <f t="shared" si="2"/>
        <v/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6" t="str">
        <f t="shared" si="1"/>
        <v/>
      </c>
      <c r="G912" s="21" t="str">
        <f t="shared" si="2"/>
        <v/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6" t="str">
        <f t="shared" si="1"/>
        <v/>
      </c>
      <c r="G913" s="21" t="str">
        <f t="shared" si="2"/>
        <v/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6" t="str">
        <f t="shared" si="1"/>
        <v/>
      </c>
      <c r="G914" s="21" t="str">
        <f t="shared" si="2"/>
        <v/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6" t="str">
        <f t="shared" si="1"/>
        <v/>
      </c>
      <c r="G915" s="21" t="str">
        <f t="shared" si="2"/>
        <v/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6" t="str">
        <f t="shared" si="1"/>
        <v/>
      </c>
      <c r="G916" s="21" t="str">
        <f t="shared" si="2"/>
        <v/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6" t="str">
        <f t="shared" si="1"/>
        <v/>
      </c>
      <c r="G917" s="21" t="str">
        <f t="shared" si="2"/>
        <v/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6" t="str">
        <f t="shared" si="1"/>
        <v/>
      </c>
      <c r="G918" s="21" t="str">
        <f t="shared" si="2"/>
        <v/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6" t="str">
        <f t="shared" si="1"/>
        <v/>
      </c>
      <c r="G919" s="21" t="str">
        <f t="shared" si="2"/>
        <v/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6" t="str">
        <f t="shared" si="1"/>
        <v/>
      </c>
      <c r="G920" s="21" t="str">
        <f t="shared" si="2"/>
        <v/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6" t="str">
        <f t="shared" si="1"/>
        <v/>
      </c>
      <c r="G921" s="21" t="str">
        <f t="shared" si="2"/>
        <v/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6" t="str">
        <f t="shared" si="1"/>
        <v/>
      </c>
      <c r="G922" s="21" t="str">
        <f t="shared" si="2"/>
        <v/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6" t="str">
        <f t="shared" si="1"/>
        <v/>
      </c>
      <c r="G923" s="21" t="str">
        <f t="shared" si="2"/>
        <v/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6" t="str">
        <f t="shared" si="1"/>
        <v/>
      </c>
      <c r="G924" s="21" t="str">
        <f t="shared" si="2"/>
        <v/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6" t="str">
        <f t="shared" si="1"/>
        <v/>
      </c>
      <c r="G925" s="21" t="str">
        <f t="shared" si="2"/>
        <v/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6" t="str">
        <f t="shared" si="1"/>
        <v/>
      </c>
      <c r="G926" s="21" t="str">
        <f t="shared" si="2"/>
        <v/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6" t="str">
        <f t="shared" si="1"/>
        <v/>
      </c>
      <c r="G927" s="21" t="str">
        <f t="shared" si="2"/>
        <v/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6" t="str">
        <f t="shared" si="1"/>
        <v/>
      </c>
      <c r="G928" s="21" t="str">
        <f t="shared" si="2"/>
        <v/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6" t="str">
        <f t="shared" si="1"/>
        <v/>
      </c>
      <c r="G929" s="21" t="str">
        <f t="shared" si="2"/>
        <v/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6" t="str">
        <f t="shared" si="1"/>
        <v/>
      </c>
      <c r="G930" s="21" t="str">
        <f t="shared" si="2"/>
        <v/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6" t="str">
        <f t="shared" si="1"/>
        <v/>
      </c>
      <c r="G931" s="21" t="str">
        <f t="shared" si="2"/>
        <v/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6" t="str">
        <f t="shared" si="1"/>
        <v/>
      </c>
      <c r="G932" s="21" t="str">
        <f t="shared" si="2"/>
        <v/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6" t="str">
        <f t="shared" si="1"/>
        <v/>
      </c>
      <c r="G933" s="21" t="str">
        <f t="shared" si="2"/>
        <v/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6" t="str">
        <f t="shared" si="1"/>
        <v/>
      </c>
      <c r="G934" s="21" t="str">
        <f t="shared" si="2"/>
        <v/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6" t="str">
        <f t="shared" si="1"/>
        <v/>
      </c>
      <c r="G935" s="21" t="str">
        <f t="shared" si="2"/>
        <v/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6" t="str">
        <f t="shared" si="1"/>
        <v/>
      </c>
      <c r="G936" s="21" t="str">
        <f t="shared" si="2"/>
        <v/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6" t="str">
        <f t="shared" si="1"/>
        <v/>
      </c>
      <c r="G937" s="21" t="str">
        <f t="shared" si="2"/>
        <v/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6" t="str">
        <f t="shared" si="1"/>
        <v/>
      </c>
      <c r="G938" s="21" t="str">
        <f t="shared" si="2"/>
        <v/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6" t="str">
        <f t="shared" si="1"/>
        <v/>
      </c>
      <c r="G939" s="21" t="str">
        <f t="shared" si="2"/>
        <v/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6" t="str">
        <f t="shared" si="1"/>
        <v/>
      </c>
      <c r="G940" s="21" t="str">
        <f t="shared" si="2"/>
        <v/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6" t="str">
        <f t="shared" si="1"/>
        <v/>
      </c>
      <c r="G941" s="21" t="str">
        <f t="shared" si="2"/>
        <v/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6" t="str">
        <f t="shared" si="1"/>
        <v/>
      </c>
      <c r="G942" s="21" t="str">
        <f t="shared" si="2"/>
        <v/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6" t="str">
        <f t="shared" si="1"/>
        <v/>
      </c>
      <c r="G943" s="21" t="str">
        <f t="shared" si="2"/>
        <v/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6" t="str">
        <f t="shared" si="1"/>
        <v/>
      </c>
      <c r="G944" s="21" t="str">
        <f t="shared" si="2"/>
        <v/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6" t="str">
        <f t="shared" si="1"/>
        <v/>
      </c>
      <c r="G945" s="21" t="str">
        <f t="shared" si="2"/>
        <v/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6" t="str">
        <f t="shared" si="1"/>
        <v/>
      </c>
      <c r="G946" s="21" t="str">
        <f t="shared" si="2"/>
        <v/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6" t="str">
        <f t="shared" si="1"/>
        <v/>
      </c>
      <c r="G947" s="21" t="str">
        <f t="shared" si="2"/>
        <v/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6" t="str">
        <f t="shared" si="1"/>
        <v/>
      </c>
      <c r="G948" s="21" t="str">
        <f t="shared" si="2"/>
        <v/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6" t="str">
        <f t="shared" si="1"/>
        <v/>
      </c>
      <c r="G949" s="21" t="str">
        <f t="shared" si="2"/>
        <v/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6" t="str">
        <f t="shared" si="1"/>
        <v/>
      </c>
      <c r="G950" s="21" t="str">
        <f t="shared" si="2"/>
        <v/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6" t="str">
        <f t="shared" si="1"/>
        <v/>
      </c>
      <c r="G951" s="21" t="str">
        <f t="shared" si="2"/>
        <v/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6" t="str">
        <f t="shared" si="1"/>
        <v/>
      </c>
      <c r="G952" s="21" t="str">
        <f t="shared" si="2"/>
        <v/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6" t="str">
        <f t="shared" si="1"/>
        <v/>
      </c>
      <c r="G953" s="21" t="str">
        <f t="shared" si="2"/>
        <v/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6" t="str">
        <f t="shared" si="1"/>
        <v/>
      </c>
      <c r="G954" s="21" t="str">
        <f t="shared" si="2"/>
        <v/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6" t="str">
        <f t="shared" si="1"/>
        <v/>
      </c>
      <c r="G955" s="21" t="str">
        <f t="shared" si="2"/>
        <v/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6" t="str">
        <f t="shared" si="1"/>
        <v/>
      </c>
      <c r="G956" s="21" t="str">
        <f t="shared" si="2"/>
        <v/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6" t="str">
        <f t="shared" si="1"/>
        <v/>
      </c>
      <c r="G957" s="21" t="str">
        <f t="shared" si="2"/>
        <v/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6" t="str">
        <f t="shared" si="1"/>
        <v/>
      </c>
      <c r="G958" s="21" t="str">
        <f t="shared" si="2"/>
        <v/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6" t="str">
        <f t="shared" si="1"/>
        <v/>
      </c>
      <c r="G959" s="21" t="str">
        <f t="shared" si="2"/>
        <v/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6" t="str">
        <f t="shared" si="1"/>
        <v/>
      </c>
      <c r="G960" s="21" t="str">
        <f t="shared" si="2"/>
        <v/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6" t="str">
        <f t="shared" si="1"/>
        <v/>
      </c>
      <c r="G961" s="21" t="str">
        <f t="shared" si="2"/>
        <v/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6" t="str">
        <f t="shared" si="1"/>
        <v/>
      </c>
      <c r="G962" s="21" t="str">
        <f t="shared" si="2"/>
        <v/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6" t="str">
        <f t="shared" si="1"/>
        <v/>
      </c>
      <c r="G963" s="21" t="str">
        <f t="shared" si="2"/>
        <v/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6" t="str">
        <f t="shared" si="1"/>
        <v/>
      </c>
      <c r="G964" s="21" t="str">
        <f t="shared" si="2"/>
        <v/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6" t="str">
        <f t="shared" si="1"/>
        <v/>
      </c>
      <c r="G965" s="21" t="str">
        <f t="shared" si="2"/>
        <v/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6" t="str">
        <f t="shared" si="1"/>
        <v/>
      </c>
      <c r="G966" s="21" t="str">
        <f t="shared" si="2"/>
        <v/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6" t="str">
        <f t="shared" si="1"/>
        <v/>
      </c>
      <c r="G967" s="21" t="str">
        <f t="shared" si="2"/>
        <v/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6" t="str">
        <f t="shared" si="1"/>
        <v/>
      </c>
      <c r="G968" s="21" t="str">
        <f t="shared" si="2"/>
        <v/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6" t="str">
        <f t="shared" si="1"/>
        <v/>
      </c>
      <c r="G969" s="21" t="str">
        <f t="shared" si="2"/>
        <v/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6" t="str">
        <f t="shared" si="1"/>
        <v/>
      </c>
      <c r="G970" s="21" t="str">
        <f t="shared" si="2"/>
        <v/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6" t="str">
        <f t="shared" si="1"/>
        <v/>
      </c>
      <c r="G971" s="21" t="str">
        <f t="shared" si="2"/>
        <v/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6" t="str">
        <f t="shared" si="1"/>
        <v/>
      </c>
      <c r="G972" s="21" t="str">
        <f t="shared" si="2"/>
        <v/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6" t="str">
        <f t="shared" si="1"/>
        <v/>
      </c>
      <c r="G973" s="21" t="str">
        <f t="shared" si="2"/>
        <v/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6" t="str">
        <f t="shared" si="1"/>
        <v/>
      </c>
      <c r="G974" s="21" t="str">
        <f t="shared" si="2"/>
        <v/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6" t="str">
        <f t="shared" si="1"/>
        <v/>
      </c>
      <c r="G975" s="21" t="str">
        <f t="shared" si="2"/>
        <v/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6" t="str">
        <f t="shared" si="1"/>
        <v/>
      </c>
      <c r="G976" s="21" t="str">
        <f t="shared" si="2"/>
        <v/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6" t="str">
        <f t="shared" si="1"/>
        <v/>
      </c>
      <c r="G977" s="21" t="str">
        <f t="shared" si="2"/>
        <v/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6" t="str">
        <f t="shared" si="1"/>
        <v/>
      </c>
      <c r="G978" s="21" t="str">
        <f t="shared" si="2"/>
        <v/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6" t="str">
        <f t="shared" si="1"/>
        <v/>
      </c>
      <c r="G979" s="21" t="str">
        <f t="shared" si="2"/>
        <v/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6" t="str">
        <f t="shared" si="1"/>
        <v/>
      </c>
      <c r="G980" s="21" t="str">
        <f t="shared" si="2"/>
        <v/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6" t="str">
        <f t="shared" si="1"/>
        <v/>
      </c>
      <c r="G981" s="21" t="str">
        <f t="shared" si="2"/>
        <v/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6" t="str">
        <f t="shared" si="1"/>
        <v/>
      </c>
      <c r="G982" s="21" t="str">
        <f t="shared" si="2"/>
        <v/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6" t="str">
        <f t="shared" si="1"/>
        <v/>
      </c>
      <c r="G983" s="21" t="str">
        <f t="shared" si="2"/>
        <v/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6" t="str">
        <f t="shared" si="1"/>
        <v/>
      </c>
      <c r="G984" s="21" t="str">
        <f t="shared" si="2"/>
        <v/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6" t="str">
        <f t="shared" si="1"/>
        <v/>
      </c>
      <c r="G985" s="21" t="str">
        <f t="shared" si="2"/>
        <v/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6" t="str">
        <f t="shared" si="1"/>
        <v/>
      </c>
      <c r="G986" s="21" t="str">
        <f t="shared" si="2"/>
        <v/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6" t="str">
        <f t="shared" si="1"/>
        <v/>
      </c>
      <c r="G987" s="21" t="str">
        <f t="shared" si="2"/>
        <v/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6" t="str">
        <f t="shared" si="1"/>
        <v/>
      </c>
      <c r="G988" s="21" t="str">
        <f t="shared" si="2"/>
        <v/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6" t="str">
        <f t="shared" si="1"/>
        <v/>
      </c>
      <c r="G989" s="21" t="str">
        <f t="shared" si="2"/>
        <v/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6" t="str">
        <f t="shared" si="1"/>
        <v/>
      </c>
      <c r="G990" s="21" t="str">
        <f t="shared" si="2"/>
        <v/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6" t="str">
        <f t="shared" si="1"/>
        <v/>
      </c>
      <c r="G991" s="21" t="str">
        <f t="shared" si="2"/>
        <v/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6" t="str">
        <f t="shared" si="1"/>
        <v/>
      </c>
      <c r="G992" s="21" t="str">
        <f t="shared" si="2"/>
        <v/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6" t="str">
        <f t="shared" si="1"/>
        <v/>
      </c>
      <c r="G993" s="21" t="str">
        <f t="shared" si="2"/>
        <v/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6" t="str">
        <f t="shared" si="1"/>
        <v/>
      </c>
      <c r="G994" s="21" t="str">
        <f t="shared" si="2"/>
        <v/>
      </c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6" t="str">
        <f t="shared" si="1"/>
        <v/>
      </c>
      <c r="G995" s="21" t="str">
        <f t="shared" si="2"/>
        <v/>
      </c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6" t="str">
        <f t="shared" si="1"/>
        <v/>
      </c>
      <c r="G996" s="21" t="str">
        <f t="shared" si="2"/>
        <v/>
      </c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6" t="str">
        <f t="shared" si="1"/>
        <v/>
      </c>
      <c r="G997" s="21" t="str">
        <f t="shared" si="2"/>
        <v/>
      </c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6" t="str">
        <f t="shared" si="1"/>
        <v/>
      </c>
      <c r="G998" s="21" t="str">
        <f t="shared" si="2"/>
        <v/>
      </c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</row>
    <row r="2">
      <c r="A2" s="4" t="s">
        <v>16</v>
      </c>
      <c r="E2" s="4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13"/>
    <col customWidth="1" min="2" max="2" width="19.13"/>
    <col customWidth="1" min="3" max="3" width="11.38"/>
    <col customWidth="1" hidden="1" min="4" max="4" width="11.38"/>
    <col customWidth="1" min="7" max="7" width="21.25"/>
    <col customWidth="1" min="9" max="9" width="26.88"/>
  </cols>
  <sheetData>
    <row r="1">
      <c r="A1" s="4" t="s">
        <v>26</v>
      </c>
      <c r="B1" s="8" t="s">
        <v>1</v>
      </c>
      <c r="C1" s="31" t="s">
        <v>28</v>
      </c>
      <c r="D1" s="31" t="s">
        <v>29</v>
      </c>
      <c r="E1" s="32" t="s">
        <v>30</v>
      </c>
      <c r="F1" s="8" t="s">
        <v>31</v>
      </c>
      <c r="G1" s="8" t="s">
        <v>32</v>
      </c>
      <c r="H1" s="8"/>
      <c r="I1" s="33" t="s">
        <v>33</v>
      </c>
      <c r="J1" s="8"/>
      <c r="K1" s="8"/>
      <c r="L1" s="8"/>
      <c r="M1" s="8"/>
    </row>
    <row r="2">
      <c r="B2" s="8" t="s">
        <v>2</v>
      </c>
      <c r="C2" s="35">
        <f>Tracker!D2/2</f>
        <v>5.5</v>
      </c>
      <c r="D2" s="36">
        <f t="shared" ref="D2:D13" si="1">countif($A:$A,B2)</f>
        <v>0</v>
      </c>
      <c r="E2" s="37">
        <f t="shared" ref="E2:E13" si="2">C2/sum(C:C)</f>
        <v>0.05238095238</v>
      </c>
      <c r="F2" s="32"/>
      <c r="G2" s="38"/>
      <c r="H2" s="39"/>
      <c r="I2" s="4" t="s">
        <v>35</v>
      </c>
      <c r="J2" s="39"/>
      <c r="K2" s="39"/>
      <c r="L2" s="39"/>
      <c r="M2" s="39"/>
    </row>
    <row r="3">
      <c r="B3" s="8" t="s">
        <v>3</v>
      </c>
      <c r="C3" s="35">
        <f>Tracker!E2/2</f>
        <v>6.5</v>
      </c>
      <c r="D3" s="36">
        <f t="shared" si="1"/>
        <v>0</v>
      </c>
      <c r="E3" s="37">
        <f t="shared" si="2"/>
        <v>0.0619047619</v>
      </c>
      <c r="F3" s="32"/>
      <c r="G3" s="38"/>
      <c r="H3" s="41"/>
      <c r="I3" s="4" t="s">
        <v>37</v>
      </c>
      <c r="J3" s="41"/>
      <c r="K3" s="41"/>
      <c r="L3" s="41"/>
      <c r="M3" s="41"/>
    </row>
    <row r="4">
      <c r="B4" s="8" t="s">
        <v>4</v>
      </c>
      <c r="C4" s="35">
        <f>Tracker!F2/2</f>
        <v>1.5</v>
      </c>
      <c r="D4" s="36">
        <f t="shared" si="1"/>
        <v>0</v>
      </c>
      <c r="E4" s="37">
        <f t="shared" si="2"/>
        <v>0.01428571429</v>
      </c>
      <c r="F4" s="32"/>
      <c r="G4" s="38"/>
      <c r="I4" s="4" t="s">
        <v>38</v>
      </c>
    </row>
    <row r="5">
      <c r="B5" s="8" t="s">
        <v>5</v>
      </c>
      <c r="C5" s="35">
        <f>Tracker!G2/2</f>
        <v>6</v>
      </c>
      <c r="D5" s="36">
        <f t="shared" si="1"/>
        <v>0</v>
      </c>
      <c r="E5" s="37">
        <f t="shared" si="2"/>
        <v>0.05714285714</v>
      </c>
      <c r="F5" s="32"/>
      <c r="G5" s="38"/>
      <c r="I5" s="4" t="s">
        <v>39</v>
      </c>
    </row>
    <row r="6">
      <c r="B6" s="8" t="s">
        <v>6</v>
      </c>
      <c r="C6" s="35">
        <f>Tracker!H2/2</f>
        <v>9</v>
      </c>
      <c r="D6" s="36">
        <f t="shared" si="1"/>
        <v>0</v>
      </c>
      <c r="E6" s="37">
        <f t="shared" si="2"/>
        <v>0.08571428571</v>
      </c>
      <c r="F6" s="32"/>
      <c r="G6" s="38"/>
      <c r="I6" s="4" t="s">
        <v>40</v>
      </c>
    </row>
    <row r="7">
      <c r="B7" s="8" t="s">
        <v>7</v>
      </c>
      <c r="C7" s="35">
        <f>Tracker!I2/2</f>
        <v>8</v>
      </c>
      <c r="D7" s="36">
        <f t="shared" si="1"/>
        <v>0</v>
      </c>
      <c r="E7" s="37">
        <f t="shared" si="2"/>
        <v>0.07619047619</v>
      </c>
      <c r="F7" s="32"/>
      <c r="G7" s="38"/>
      <c r="I7" s="4" t="s">
        <v>41</v>
      </c>
    </row>
    <row r="8">
      <c r="B8" s="8" t="s">
        <v>8</v>
      </c>
      <c r="C8" s="35">
        <f>Tracker!J2/2</f>
        <v>1.5</v>
      </c>
      <c r="D8" s="36">
        <f t="shared" si="1"/>
        <v>0</v>
      </c>
      <c r="E8" s="37">
        <f t="shared" si="2"/>
        <v>0.01428571429</v>
      </c>
      <c r="F8" s="32"/>
      <c r="G8" s="38"/>
      <c r="I8" s="4" t="s">
        <v>43</v>
      </c>
    </row>
    <row r="9">
      <c r="B9" s="8" t="s">
        <v>9</v>
      </c>
      <c r="C9" s="35">
        <f>Tracker!K2/2</f>
        <v>0</v>
      </c>
      <c r="D9" s="36">
        <f t="shared" si="1"/>
        <v>0</v>
      </c>
      <c r="E9" s="37">
        <f t="shared" si="2"/>
        <v>0</v>
      </c>
      <c r="F9" s="32"/>
      <c r="G9" s="38"/>
      <c r="I9" s="4" t="s">
        <v>44</v>
      </c>
    </row>
    <row r="10">
      <c r="B10" s="8" t="s">
        <v>10</v>
      </c>
      <c r="C10" s="35">
        <f>Tracker!L2/2</f>
        <v>10.5</v>
      </c>
      <c r="D10" s="36">
        <f t="shared" si="1"/>
        <v>0</v>
      </c>
      <c r="E10" s="37">
        <f t="shared" si="2"/>
        <v>0.1</v>
      </c>
      <c r="F10" s="32"/>
      <c r="G10" s="38"/>
      <c r="I10" s="4" t="s">
        <v>45</v>
      </c>
    </row>
    <row r="11">
      <c r="B11" s="8" t="s">
        <v>11</v>
      </c>
      <c r="C11" s="35">
        <f>Tracker!M2/2</f>
        <v>43</v>
      </c>
      <c r="D11" s="36">
        <f t="shared" si="1"/>
        <v>0</v>
      </c>
      <c r="E11" s="37">
        <f t="shared" si="2"/>
        <v>0.4095238095</v>
      </c>
      <c r="F11" s="32"/>
      <c r="G11" s="38"/>
      <c r="I11" s="52">
        <v>50.0</v>
      </c>
    </row>
    <row r="12">
      <c r="B12" s="8" t="s">
        <v>12</v>
      </c>
      <c r="C12" s="35">
        <f>Tracker!N2/2</f>
        <v>6</v>
      </c>
      <c r="D12" s="36">
        <f t="shared" si="1"/>
        <v>0</v>
      </c>
      <c r="E12" s="37">
        <f t="shared" si="2"/>
        <v>0.05714285714</v>
      </c>
      <c r="F12" s="32"/>
      <c r="G12" s="38"/>
      <c r="I12" s="4" t="s">
        <v>47</v>
      </c>
    </row>
    <row r="13">
      <c r="B13" s="8" t="s">
        <v>13</v>
      </c>
      <c r="C13" s="35">
        <f>Tracker!O2/2</f>
        <v>7.5</v>
      </c>
      <c r="D13" s="36">
        <f t="shared" si="1"/>
        <v>0</v>
      </c>
      <c r="E13" s="37">
        <f t="shared" si="2"/>
        <v>0.07142857143</v>
      </c>
      <c r="F13" s="32"/>
      <c r="G13" s="38"/>
      <c r="I13" s="4" t="s">
        <v>48</v>
      </c>
    </row>
    <row r="14">
      <c r="C14" s="53"/>
      <c r="D14" s="53"/>
      <c r="E14" s="39"/>
    </row>
    <row r="15">
      <c r="C15" s="53"/>
      <c r="D15" s="53"/>
      <c r="E15" s="39"/>
      <c r="I15" s="4"/>
    </row>
    <row r="16">
      <c r="C16" s="53"/>
      <c r="D16" s="53"/>
      <c r="E16" s="39"/>
    </row>
    <row r="17">
      <c r="C17" s="53"/>
      <c r="D17" s="53"/>
      <c r="E17" s="39"/>
      <c r="I17" s="4"/>
    </row>
    <row r="18">
      <c r="C18" s="53"/>
      <c r="D18" s="53"/>
      <c r="E18" s="39"/>
    </row>
    <row r="19">
      <c r="C19" s="53"/>
      <c r="D19" s="53"/>
      <c r="E19" s="39"/>
      <c r="I19" s="4"/>
    </row>
    <row r="20">
      <c r="C20" s="53"/>
      <c r="D20" s="53"/>
      <c r="E20" s="39"/>
    </row>
    <row r="21">
      <c r="C21" s="53"/>
      <c r="D21" s="53"/>
      <c r="E21" s="39"/>
      <c r="I21" s="4"/>
    </row>
    <row r="22">
      <c r="C22" s="53"/>
      <c r="D22" s="53"/>
      <c r="E22" s="39"/>
    </row>
    <row r="23">
      <c r="C23" s="53"/>
      <c r="D23" s="53"/>
      <c r="E23" s="39"/>
    </row>
    <row r="24">
      <c r="C24" s="53"/>
      <c r="D24" s="53"/>
      <c r="E24" s="39"/>
    </row>
    <row r="25">
      <c r="C25" s="53"/>
      <c r="D25" s="53"/>
      <c r="E25" s="39"/>
    </row>
    <row r="26">
      <c r="C26" s="53"/>
      <c r="D26" s="53"/>
      <c r="E26" s="39"/>
    </row>
    <row r="27">
      <c r="C27" s="53"/>
      <c r="D27" s="53"/>
      <c r="E27" s="39"/>
    </row>
    <row r="28">
      <c r="C28" s="53"/>
      <c r="D28" s="53"/>
      <c r="E28" s="39"/>
    </row>
    <row r="29">
      <c r="C29" s="53"/>
      <c r="D29" s="53"/>
      <c r="E29" s="39"/>
    </row>
    <row r="30">
      <c r="C30" s="53"/>
      <c r="D30" s="53"/>
      <c r="E30" s="39"/>
    </row>
    <row r="31">
      <c r="C31" s="53"/>
      <c r="D31" s="53"/>
      <c r="E31" s="39"/>
    </row>
    <row r="32">
      <c r="C32" s="53"/>
      <c r="D32" s="53"/>
      <c r="E32" s="39"/>
    </row>
    <row r="33">
      <c r="C33" s="53"/>
      <c r="D33" s="53"/>
      <c r="E33" s="39"/>
    </row>
    <row r="34">
      <c r="C34" s="53"/>
      <c r="D34" s="53"/>
      <c r="E34" s="39"/>
    </row>
    <row r="35">
      <c r="C35" s="53"/>
      <c r="D35" s="53"/>
      <c r="E35" s="39"/>
    </row>
    <row r="36">
      <c r="C36" s="53"/>
      <c r="D36" s="53"/>
      <c r="E36" s="39"/>
    </row>
    <row r="37">
      <c r="C37" s="53"/>
      <c r="D37" s="53"/>
      <c r="E37" s="39"/>
    </row>
    <row r="38">
      <c r="C38" s="53"/>
      <c r="D38" s="53"/>
      <c r="E38" s="39"/>
    </row>
    <row r="39">
      <c r="C39" s="53"/>
      <c r="D39" s="53"/>
      <c r="E39" s="39"/>
    </row>
    <row r="40">
      <c r="C40" s="53"/>
      <c r="D40" s="53"/>
      <c r="E40" s="39"/>
    </row>
    <row r="41">
      <c r="C41" s="53"/>
      <c r="D41" s="53"/>
      <c r="E41" s="39"/>
    </row>
    <row r="42">
      <c r="C42" s="53"/>
      <c r="D42" s="53"/>
      <c r="E42" s="39"/>
    </row>
    <row r="43">
      <c r="C43" s="53"/>
      <c r="D43" s="53"/>
      <c r="E43" s="39"/>
    </row>
    <row r="44">
      <c r="C44" s="53"/>
      <c r="D44" s="53"/>
      <c r="E44" s="39"/>
    </row>
    <row r="45">
      <c r="C45" s="53"/>
      <c r="D45" s="53"/>
      <c r="E45" s="39"/>
    </row>
    <row r="46">
      <c r="C46" s="53"/>
      <c r="D46" s="53"/>
      <c r="E46" s="39"/>
    </row>
    <row r="47">
      <c r="C47" s="53"/>
      <c r="D47" s="53"/>
      <c r="E47" s="39"/>
    </row>
    <row r="48">
      <c r="C48" s="53"/>
      <c r="D48" s="53"/>
      <c r="E48" s="39"/>
    </row>
    <row r="49">
      <c r="C49" s="53"/>
      <c r="D49" s="53"/>
      <c r="E49" s="39"/>
    </row>
    <row r="50">
      <c r="C50" s="53"/>
      <c r="D50" s="53"/>
      <c r="E50" s="39"/>
    </row>
    <row r="51">
      <c r="C51" s="53"/>
      <c r="D51" s="53"/>
      <c r="E51" s="39"/>
    </row>
    <row r="52">
      <c r="C52" s="53"/>
      <c r="D52" s="53"/>
      <c r="E52" s="39"/>
    </row>
    <row r="53">
      <c r="C53" s="53"/>
      <c r="D53" s="53"/>
      <c r="E53" s="39"/>
    </row>
    <row r="54">
      <c r="C54" s="53"/>
      <c r="D54" s="53"/>
      <c r="E54" s="39"/>
    </row>
    <row r="55">
      <c r="C55" s="53"/>
      <c r="D55" s="53"/>
      <c r="E55" s="39"/>
    </row>
    <row r="56">
      <c r="C56" s="53"/>
      <c r="D56" s="53"/>
      <c r="E56" s="39"/>
    </row>
    <row r="57">
      <c r="C57" s="53"/>
      <c r="D57" s="53"/>
      <c r="E57" s="39"/>
    </row>
    <row r="58">
      <c r="C58" s="53"/>
      <c r="D58" s="53"/>
      <c r="E58" s="39"/>
    </row>
    <row r="59">
      <c r="C59" s="53"/>
      <c r="D59" s="53"/>
      <c r="E59" s="39"/>
    </row>
    <row r="60">
      <c r="C60" s="53"/>
      <c r="D60" s="53"/>
      <c r="E60" s="39"/>
    </row>
    <row r="61">
      <c r="C61" s="53"/>
      <c r="D61" s="53"/>
      <c r="E61" s="39"/>
    </row>
    <row r="62">
      <c r="C62" s="53"/>
      <c r="D62" s="53"/>
      <c r="E62" s="39"/>
    </row>
    <row r="63">
      <c r="C63" s="53"/>
      <c r="D63" s="53"/>
      <c r="E63" s="39"/>
    </row>
    <row r="64">
      <c r="C64" s="53"/>
      <c r="D64" s="53"/>
      <c r="E64" s="39"/>
    </row>
    <row r="65">
      <c r="C65" s="53"/>
      <c r="D65" s="53"/>
      <c r="E65" s="39"/>
    </row>
    <row r="66">
      <c r="C66" s="53"/>
      <c r="D66" s="53"/>
      <c r="E66" s="39"/>
    </row>
    <row r="67">
      <c r="C67" s="53"/>
      <c r="D67" s="53"/>
      <c r="E67" s="39"/>
    </row>
    <row r="68">
      <c r="C68" s="53"/>
      <c r="D68" s="53"/>
      <c r="E68" s="39"/>
    </row>
    <row r="69">
      <c r="C69" s="53"/>
      <c r="D69" s="53"/>
      <c r="E69" s="39"/>
    </row>
    <row r="70">
      <c r="C70" s="53"/>
      <c r="D70" s="53"/>
      <c r="E70" s="39"/>
    </row>
    <row r="71">
      <c r="C71" s="53"/>
      <c r="D71" s="53"/>
      <c r="E71" s="39"/>
    </row>
    <row r="72">
      <c r="C72" s="53"/>
      <c r="D72" s="53"/>
      <c r="E72" s="39"/>
    </row>
    <row r="73">
      <c r="C73" s="53"/>
      <c r="D73" s="53"/>
      <c r="E73" s="39"/>
    </row>
    <row r="74">
      <c r="C74" s="53"/>
      <c r="D74" s="53"/>
      <c r="E74" s="39"/>
    </row>
    <row r="75">
      <c r="C75" s="53"/>
      <c r="D75" s="53"/>
    </row>
    <row r="76">
      <c r="C76" s="53"/>
      <c r="D76" s="53"/>
    </row>
    <row r="77">
      <c r="C77" s="53"/>
      <c r="D77" s="53"/>
    </row>
    <row r="78">
      <c r="C78" s="53"/>
      <c r="D78" s="53"/>
    </row>
    <row r="79">
      <c r="C79" s="53"/>
      <c r="D79" s="53"/>
    </row>
    <row r="80">
      <c r="C80" s="53"/>
      <c r="D80" s="53"/>
    </row>
    <row r="81">
      <c r="C81" s="53"/>
      <c r="D81" s="53"/>
    </row>
    <row r="82">
      <c r="C82" s="53"/>
      <c r="D82" s="53"/>
    </row>
    <row r="83">
      <c r="C83" s="53"/>
      <c r="D83" s="53"/>
    </row>
    <row r="84">
      <c r="C84" s="53"/>
      <c r="D84" s="53"/>
    </row>
    <row r="85">
      <c r="C85" s="53"/>
      <c r="D85" s="53"/>
    </row>
    <row r="86">
      <c r="C86" s="53"/>
      <c r="D86" s="53"/>
    </row>
    <row r="87">
      <c r="C87" s="53"/>
      <c r="D87" s="53"/>
    </row>
    <row r="88">
      <c r="C88" s="53"/>
      <c r="D88" s="53"/>
    </row>
    <row r="89">
      <c r="C89" s="53"/>
      <c r="D89" s="53"/>
    </row>
    <row r="90">
      <c r="C90" s="53"/>
      <c r="D90" s="53"/>
    </row>
    <row r="91">
      <c r="C91" s="53"/>
      <c r="D91" s="53"/>
    </row>
    <row r="92">
      <c r="C92" s="53"/>
      <c r="D92" s="53"/>
    </row>
    <row r="93">
      <c r="C93" s="53"/>
      <c r="D93" s="53"/>
    </row>
    <row r="94">
      <c r="C94" s="53"/>
      <c r="D94" s="53"/>
    </row>
    <row r="95">
      <c r="C95" s="53"/>
      <c r="D95" s="53"/>
    </row>
    <row r="96">
      <c r="C96" s="53"/>
      <c r="D96" s="53"/>
    </row>
    <row r="97">
      <c r="C97" s="53"/>
      <c r="D97" s="53"/>
    </row>
    <row r="98">
      <c r="C98" s="53"/>
      <c r="D98" s="53"/>
    </row>
    <row r="99">
      <c r="C99" s="53"/>
      <c r="D99" s="53"/>
    </row>
    <row r="100">
      <c r="C100" s="53"/>
      <c r="D100" s="53"/>
    </row>
    <row r="101">
      <c r="C101" s="53"/>
      <c r="D101" s="53"/>
    </row>
    <row r="102">
      <c r="C102" s="53"/>
      <c r="D102" s="53"/>
    </row>
    <row r="103">
      <c r="C103" s="53"/>
      <c r="D103" s="53"/>
    </row>
    <row r="104">
      <c r="C104" s="53"/>
      <c r="D104" s="53"/>
    </row>
    <row r="105">
      <c r="C105" s="53"/>
      <c r="D105" s="53"/>
    </row>
    <row r="106">
      <c r="C106" s="53"/>
      <c r="D106" s="53"/>
    </row>
    <row r="107">
      <c r="C107" s="53"/>
      <c r="D107" s="53"/>
    </row>
    <row r="108">
      <c r="C108" s="53"/>
      <c r="D108" s="53"/>
    </row>
    <row r="109">
      <c r="C109" s="53"/>
      <c r="D109" s="53"/>
    </row>
    <row r="110">
      <c r="C110" s="53"/>
      <c r="D110" s="53"/>
    </row>
    <row r="111">
      <c r="C111" s="53"/>
      <c r="D111" s="53"/>
    </row>
    <row r="112">
      <c r="C112" s="53"/>
      <c r="D112" s="53"/>
    </row>
    <row r="113">
      <c r="C113" s="53"/>
      <c r="D113" s="53"/>
    </row>
    <row r="114">
      <c r="C114" s="53"/>
      <c r="D114" s="53"/>
    </row>
    <row r="115">
      <c r="C115" s="53"/>
      <c r="D115" s="53"/>
    </row>
    <row r="116">
      <c r="C116" s="53"/>
      <c r="D116" s="53"/>
    </row>
    <row r="117">
      <c r="C117" s="53"/>
      <c r="D117" s="53"/>
    </row>
    <row r="118">
      <c r="C118" s="53"/>
      <c r="D118" s="53"/>
    </row>
    <row r="119">
      <c r="C119" s="53"/>
      <c r="D119" s="53"/>
    </row>
    <row r="120">
      <c r="C120" s="53"/>
      <c r="D120" s="53"/>
    </row>
    <row r="121">
      <c r="C121" s="53"/>
      <c r="D121" s="53"/>
    </row>
    <row r="122">
      <c r="C122" s="53"/>
      <c r="D122" s="53"/>
    </row>
    <row r="123">
      <c r="C123" s="53"/>
      <c r="D123" s="53"/>
    </row>
    <row r="124">
      <c r="C124" s="53"/>
      <c r="D124" s="53"/>
    </row>
    <row r="125">
      <c r="C125" s="53"/>
      <c r="D125" s="53"/>
    </row>
    <row r="126">
      <c r="C126" s="53"/>
      <c r="D126" s="53"/>
    </row>
    <row r="127">
      <c r="C127" s="53"/>
      <c r="D127" s="53"/>
    </row>
    <row r="128">
      <c r="C128" s="53"/>
      <c r="D128" s="53"/>
    </row>
    <row r="129">
      <c r="C129" s="53"/>
      <c r="D129" s="53"/>
    </row>
    <row r="130">
      <c r="C130" s="53"/>
      <c r="D130" s="53"/>
    </row>
    <row r="131">
      <c r="C131" s="53"/>
      <c r="D131" s="53"/>
    </row>
    <row r="132">
      <c r="C132" s="53"/>
      <c r="D132" s="53"/>
    </row>
    <row r="133">
      <c r="C133" s="53"/>
      <c r="D133" s="53"/>
    </row>
    <row r="134">
      <c r="C134" s="53"/>
      <c r="D134" s="53"/>
    </row>
    <row r="135">
      <c r="C135" s="53"/>
      <c r="D135" s="53"/>
    </row>
    <row r="136">
      <c r="C136" s="53"/>
      <c r="D136" s="53"/>
    </row>
    <row r="137">
      <c r="C137" s="53"/>
      <c r="D137" s="53"/>
    </row>
    <row r="138">
      <c r="C138" s="53"/>
      <c r="D138" s="53"/>
    </row>
    <row r="139">
      <c r="C139" s="53"/>
      <c r="D139" s="53"/>
    </row>
    <row r="140">
      <c r="C140" s="53"/>
      <c r="D140" s="53"/>
    </row>
    <row r="141">
      <c r="C141" s="53"/>
      <c r="D141" s="53"/>
    </row>
    <row r="142">
      <c r="C142" s="53"/>
      <c r="D142" s="53"/>
    </row>
    <row r="143">
      <c r="C143" s="53"/>
      <c r="D143" s="53"/>
    </row>
    <row r="144">
      <c r="C144" s="53"/>
      <c r="D144" s="53"/>
    </row>
    <row r="145">
      <c r="C145" s="53"/>
      <c r="D145" s="53"/>
    </row>
    <row r="146">
      <c r="C146" s="53"/>
      <c r="D146" s="53"/>
    </row>
    <row r="147">
      <c r="C147" s="53"/>
      <c r="D147" s="53"/>
    </row>
    <row r="148">
      <c r="C148" s="53"/>
      <c r="D148" s="53"/>
    </row>
    <row r="149">
      <c r="C149" s="53"/>
      <c r="D149" s="53"/>
    </row>
    <row r="150">
      <c r="C150" s="53"/>
      <c r="D150" s="53"/>
    </row>
    <row r="151">
      <c r="C151" s="53"/>
      <c r="D151" s="53"/>
    </row>
    <row r="152">
      <c r="C152" s="53"/>
      <c r="D152" s="53"/>
    </row>
    <row r="153">
      <c r="C153" s="53"/>
      <c r="D153" s="53"/>
    </row>
    <row r="154">
      <c r="C154" s="53"/>
      <c r="D154" s="53"/>
    </row>
    <row r="155">
      <c r="C155" s="53"/>
      <c r="D155" s="53"/>
    </row>
    <row r="156">
      <c r="C156" s="53"/>
      <c r="D156" s="53"/>
    </row>
    <row r="157">
      <c r="C157" s="53"/>
      <c r="D157" s="53"/>
    </row>
    <row r="158">
      <c r="C158" s="53"/>
      <c r="D158" s="53"/>
    </row>
    <row r="159">
      <c r="C159" s="53"/>
      <c r="D159" s="53"/>
    </row>
    <row r="160">
      <c r="C160" s="53"/>
      <c r="D160" s="53"/>
    </row>
    <row r="161">
      <c r="C161" s="53"/>
      <c r="D161" s="53"/>
    </row>
    <row r="162">
      <c r="C162" s="53"/>
      <c r="D162" s="53"/>
    </row>
    <row r="163">
      <c r="C163" s="53"/>
      <c r="D163" s="53"/>
    </row>
    <row r="164">
      <c r="C164" s="53"/>
      <c r="D164" s="53"/>
    </row>
    <row r="165">
      <c r="C165" s="53"/>
      <c r="D165" s="53"/>
    </row>
    <row r="166">
      <c r="C166" s="53"/>
      <c r="D166" s="53"/>
    </row>
    <row r="167">
      <c r="C167" s="53"/>
      <c r="D167" s="53"/>
    </row>
    <row r="168">
      <c r="C168" s="53"/>
      <c r="D168" s="53"/>
    </row>
    <row r="169">
      <c r="C169" s="53"/>
      <c r="D169" s="53"/>
    </row>
    <row r="170">
      <c r="C170" s="53"/>
      <c r="D170" s="53"/>
    </row>
    <row r="171">
      <c r="C171" s="53"/>
      <c r="D171" s="53"/>
    </row>
    <row r="172">
      <c r="C172" s="53"/>
      <c r="D172" s="53"/>
    </row>
    <row r="173">
      <c r="C173" s="53"/>
      <c r="D173" s="53"/>
    </row>
    <row r="174">
      <c r="C174" s="53"/>
      <c r="D174" s="53"/>
    </row>
    <row r="175">
      <c r="C175" s="53"/>
      <c r="D175" s="53"/>
    </row>
    <row r="176">
      <c r="C176" s="53"/>
      <c r="D176" s="53"/>
    </row>
    <row r="177">
      <c r="C177" s="53"/>
      <c r="D177" s="53"/>
    </row>
    <row r="178">
      <c r="C178" s="53"/>
      <c r="D178" s="53"/>
    </row>
    <row r="179">
      <c r="C179" s="53"/>
      <c r="D179" s="53"/>
    </row>
    <row r="180">
      <c r="C180" s="53"/>
      <c r="D180" s="53"/>
    </row>
    <row r="181">
      <c r="C181" s="53"/>
      <c r="D181" s="53"/>
    </row>
    <row r="182">
      <c r="C182" s="53"/>
      <c r="D182" s="53"/>
    </row>
    <row r="183">
      <c r="C183" s="53"/>
      <c r="D183" s="53"/>
    </row>
    <row r="184">
      <c r="C184" s="53"/>
      <c r="D184" s="53"/>
    </row>
    <row r="185">
      <c r="C185" s="53"/>
      <c r="D185" s="53"/>
    </row>
    <row r="186">
      <c r="C186" s="53"/>
      <c r="D186" s="53"/>
    </row>
    <row r="187">
      <c r="C187" s="53"/>
      <c r="D187" s="53"/>
    </row>
    <row r="188">
      <c r="C188" s="53"/>
      <c r="D188" s="53"/>
    </row>
    <row r="189">
      <c r="C189" s="53"/>
      <c r="D189" s="53"/>
    </row>
    <row r="190">
      <c r="C190" s="53"/>
      <c r="D190" s="53"/>
    </row>
    <row r="191">
      <c r="C191" s="53"/>
      <c r="D191" s="53"/>
    </row>
    <row r="192">
      <c r="C192" s="53"/>
      <c r="D192" s="53"/>
    </row>
    <row r="193">
      <c r="C193" s="53"/>
      <c r="D193" s="53"/>
    </row>
    <row r="194">
      <c r="C194" s="53"/>
      <c r="D194" s="53"/>
    </row>
    <row r="195">
      <c r="C195" s="53"/>
      <c r="D195" s="53"/>
    </row>
    <row r="196">
      <c r="C196" s="53"/>
      <c r="D196" s="53"/>
    </row>
    <row r="197">
      <c r="C197" s="53"/>
      <c r="D197" s="53"/>
    </row>
    <row r="198">
      <c r="C198" s="53"/>
      <c r="D198" s="53"/>
    </row>
    <row r="199">
      <c r="C199" s="53"/>
      <c r="D199" s="53"/>
    </row>
    <row r="200">
      <c r="C200" s="53"/>
      <c r="D200" s="53"/>
    </row>
    <row r="201">
      <c r="C201" s="53"/>
      <c r="D201" s="53"/>
    </row>
    <row r="202">
      <c r="C202" s="53"/>
      <c r="D202" s="53"/>
    </row>
    <row r="203">
      <c r="C203" s="53"/>
      <c r="D203" s="53"/>
    </row>
    <row r="204">
      <c r="C204" s="53"/>
      <c r="D204" s="53"/>
    </row>
    <row r="205">
      <c r="C205" s="53"/>
      <c r="D205" s="53"/>
    </row>
    <row r="206">
      <c r="C206" s="53"/>
      <c r="D206" s="53"/>
    </row>
    <row r="207">
      <c r="C207" s="53"/>
      <c r="D207" s="53"/>
    </row>
    <row r="208">
      <c r="C208" s="53"/>
      <c r="D208" s="53"/>
    </row>
    <row r="209">
      <c r="C209" s="53"/>
      <c r="D209" s="53"/>
    </row>
    <row r="210">
      <c r="C210" s="53"/>
      <c r="D210" s="53"/>
    </row>
    <row r="211">
      <c r="C211" s="53"/>
      <c r="D211" s="53"/>
    </row>
    <row r="212">
      <c r="C212" s="53"/>
      <c r="D212" s="53"/>
    </row>
    <row r="213">
      <c r="C213" s="53"/>
      <c r="D213" s="53"/>
    </row>
    <row r="214">
      <c r="C214" s="53"/>
      <c r="D214" s="53"/>
    </row>
    <row r="215">
      <c r="C215" s="53"/>
      <c r="D215" s="53"/>
    </row>
    <row r="216">
      <c r="C216" s="53"/>
      <c r="D216" s="53"/>
    </row>
    <row r="217">
      <c r="C217" s="53"/>
      <c r="D217" s="53"/>
    </row>
    <row r="218">
      <c r="C218" s="53"/>
      <c r="D218" s="53"/>
    </row>
    <row r="219">
      <c r="C219" s="53"/>
      <c r="D219" s="53"/>
    </row>
    <row r="220">
      <c r="C220" s="53"/>
      <c r="D220" s="53"/>
    </row>
    <row r="221">
      <c r="C221" s="53"/>
      <c r="D221" s="53"/>
    </row>
    <row r="222">
      <c r="C222" s="53"/>
      <c r="D222" s="53"/>
    </row>
    <row r="223">
      <c r="C223" s="53"/>
      <c r="D223" s="53"/>
    </row>
    <row r="224">
      <c r="C224" s="53"/>
      <c r="D224" s="53"/>
    </row>
    <row r="225">
      <c r="C225" s="53"/>
      <c r="D225" s="53"/>
    </row>
    <row r="226">
      <c r="C226" s="53"/>
      <c r="D226" s="53"/>
    </row>
    <row r="227">
      <c r="C227" s="53"/>
      <c r="D227" s="53"/>
    </row>
    <row r="228">
      <c r="C228" s="53"/>
      <c r="D228" s="53"/>
    </row>
    <row r="229">
      <c r="C229" s="53"/>
      <c r="D229" s="53"/>
    </row>
    <row r="230">
      <c r="C230" s="53"/>
      <c r="D230" s="53"/>
    </row>
    <row r="231">
      <c r="C231" s="53"/>
      <c r="D231" s="53"/>
    </row>
    <row r="232">
      <c r="C232" s="53"/>
      <c r="D232" s="53"/>
    </row>
    <row r="233">
      <c r="C233" s="53"/>
      <c r="D233" s="53"/>
    </row>
    <row r="234">
      <c r="C234" s="53"/>
      <c r="D234" s="53"/>
    </row>
    <row r="235">
      <c r="C235" s="53"/>
      <c r="D235" s="53"/>
    </row>
    <row r="236">
      <c r="C236" s="53"/>
      <c r="D236" s="53"/>
    </row>
    <row r="237">
      <c r="C237" s="53"/>
      <c r="D237" s="53"/>
    </row>
    <row r="238">
      <c r="C238" s="53"/>
      <c r="D238" s="53"/>
    </row>
    <row r="239">
      <c r="C239" s="53"/>
      <c r="D239" s="53"/>
    </row>
    <row r="240">
      <c r="C240" s="53"/>
      <c r="D240" s="53"/>
    </row>
    <row r="241">
      <c r="C241" s="53"/>
      <c r="D241" s="53"/>
    </row>
    <row r="242">
      <c r="C242" s="53"/>
      <c r="D242" s="53"/>
    </row>
    <row r="243">
      <c r="C243" s="53"/>
      <c r="D243" s="53"/>
    </row>
    <row r="244">
      <c r="C244" s="53"/>
      <c r="D244" s="53"/>
    </row>
    <row r="245">
      <c r="C245" s="53"/>
      <c r="D245" s="53"/>
    </row>
    <row r="246">
      <c r="C246" s="53"/>
      <c r="D246" s="53"/>
    </row>
    <row r="247">
      <c r="C247" s="53"/>
      <c r="D247" s="53"/>
    </row>
    <row r="248">
      <c r="C248" s="53"/>
      <c r="D248" s="53"/>
    </row>
    <row r="249">
      <c r="C249" s="53"/>
      <c r="D249" s="53"/>
    </row>
    <row r="250">
      <c r="C250" s="53"/>
      <c r="D250" s="53"/>
    </row>
    <row r="251">
      <c r="C251" s="53"/>
      <c r="D251" s="53"/>
    </row>
    <row r="252">
      <c r="C252" s="53"/>
      <c r="D252" s="53"/>
    </row>
    <row r="253">
      <c r="C253" s="53"/>
      <c r="D253" s="53"/>
    </row>
    <row r="254">
      <c r="C254" s="53"/>
      <c r="D254" s="53"/>
    </row>
    <row r="255">
      <c r="C255" s="53"/>
      <c r="D255" s="53"/>
    </row>
    <row r="256">
      <c r="C256" s="53"/>
      <c r="D256" s="53"/>
    </row>
    <row r="257">
      <c r="C257" s="53"/>
      <c r="D257" s="53"/>
    </row>
    <row r="258">
      <c r="C258" s="53"/>
      <c r="D258" s="53"/>
    </row>
    <row r="259">
      <c r="C259" s="53"/>
      <c r="D259" s="53"/>
    </row>
    <row r="260">
      <c r="C260" s="53"/>
      <c r="D260" s="53"/>
    </row>
    <row r="261">
      <c r="C261" s="53"/>
      <c r="D261" s="53"/>
    </row>
    <row r="262">
      <c r="C262" s="53"/>
      <c r="D262" s="53"/>
    </row>
    <row r="263">
      <c r="C263" s="53"/>
      <c r="D263" s="53"/>
    </row>
    <row r="264">
      <c r="C264" s="53"/>
      <c r="D264" s="53"/>
    </row>
    <row r="265">
      <c r="C265" s="53"/>
      <c r="D265" s="53"/>
    </row>
    <row r="266">
      <c r="C266" s="53"/>
      <c r="D266" s="53"/>
    </row>
    <row r="267">
      <c r="C267" s="53"/>
      <c r="D267" s="53"/>
    </row>
    <row r="268">
      <c r="C268" s="53"/>
      <c r="D268" s="53"/>
    </row>
    <row r="269">
      <c r="C269" s="53"/>
      <c r="D269" s="53"/>
    </row>
    <row r="270">
      <c r="C270" s="53"/>
      <c r="D270" s="53"/>
    </row>
    <row r="271">
      <c r="C271" s="53"/>
      <c r="D271" s="53"/>
    </row>
    <row r="272">
      <c r="C272" s="53"/>
      <c r="D272" s="53"/>
    </row>
    <row r="273">
      <c r="C273" s="53"/>
      <c r="D273" s="53"/>
    </row>
    <row r="274">
      <c r="C274" s="53"/>
      <c r="D274" s="53"/>
    </row>
    <row r="275">
      <c r="C275" s="53"/>
      <c r="D275" s="53"/>
    </row>
    <row r="276">
      <c r="C276" s="53"/>
      <c r="D276" s="53"/>
    </row>
    <row r="277">
      <c r="C277" s="53"/>
      <c r="D277" s="53"/>
    </row>
    <row r="278">
      <c r="C278" s="53"/>
      <c r="D278" s="53"/>
    </row>
    <row r="279">
      <c r="C279" s="53"/>
      <c r="D279" s="53"/>
    </row>
    <row r="280">
      <c r="C280" s="53"/>
      <c r="D280" s="53"/>
    </row>
    <row r="281">
      <c r="C281" s="53"/>
      <c r="D281" s="53"/>
    </row>
    <row r="282">
      <c r="C282" s="53"/>
      <c r="D282" s="53"/>
    </row>
    <row r="283">
      <c r="C283" s="53"/>
      <c r="D283" s="53"/>
    </row>
    <row r="284">
      <c r="C284" s="53"/>
      <c r="D284" s="53"/>
    </row>
    <row r="285">
      <c r="C285" s="53"/>
      <c r="D285" s="53"/>
    </row>
    <row r="286">
      <c r="C286" s="53"/>
      <c r="D286" s="53"/>
    </row>
    <row r="287">
      <c r="C287" s="53"/>
      <c r="D287" s="53"/>
    </row>
    <row r="288">
      <c r="C288" s="53"/>
      <c r="D288" s="53"/>
    </row>
    <row r="289">
      <c r="C289" s="53"/>
      <c r="D289" s="53"/>
    </row>
    <row r="290">
      <c r="C290" s="53"/>
      <c r="D290" s="53"/>
    </row>
    <row r="291">
      <c r="C291" s="53"/>
      <c r="D291" s="53"/>
    </row>
    <row r="292">
      <c r="C292" s="53"/>
      <c r="D292" s="53"/>
    </row>
    <row r="293">
      <c r="C293" s="53"/>
      <c r="D293" s="53"/>
    </row>
    <row r="294">
      <c r="C294" s="53"/>
      <c r="D294" s="53"/>
    </row>
    <row r="295">
      <c r="C295" s="53"/>
      <c r="D295" s="53"/>
    </row>
    <row r="296">
      <c r="C296" s="53"/>
      <c r="D296" s="53"/>
    </row>
    <row r="297">
      <c r="C297" s="53"/>
      <c r="D297" s="53"/>
    </row>
    <row r="298">
      <c r="C298" s="53"/>
      <c r="D298" s="53"/>
    </row>
    <row r="299">
      <c r="C299" s="53"/>
      <c r="D299" s="53"/>
    </row>
    <row r="300">
      <c r="C300" s="53"/>
      <c r="D300" s="53"/>
    </row>
    <row r="301">
      <c r="C301" s="53"/>
      <c r="D301" s="53"/>
    </row>
    <row r="302">
      <c r="C302" s="53"/>
      <c r="D302" s="53"/>
    </row>
    <row r="303">
      <c r="C303" s="53"/>
      <c r="D303" s="53"/>
    </row>
    <row r="304">
      <c r="C304" s="53"/>
      <c r="D304" s="53"/>
    </row>
    <row r="305">
      <c r="C305" s="53"/>
      <c r="D305" s="53"/>
    </row>
    <row r="306">
      <c r="C306" s="53"/>
      <c r="D306" s="53"/>
    </row>
    <row r="307">
      <c r="C307" s="53"/>
      <c r="D307" s="53"/>
    </row>
    <row r="308">
      <c r="C308" s="53"/>
      <c r="D308" s="53"/>
    </row>
    <row r="309">
      <c r="C309" s="53"/>
      <c r="D309" s="53"/>
    </row>
    <row r="310">
      <c r="C310" s="53"/>
      <c r="D310" s="53"/>
    </row>
    <row r="311">
      <c r="C311" s="53"/>
      <c r="D311" s="53"/>
    </row>
    <row r="312">
      <c r="C312" s="53"/>
      <c r="D312" s="53"/>
    </row>
    <row r="313">
      <c r="C313" s="53"/>
      <c r="D313" s="53"/>
    </row>
    <row r="314">
      <c r="C314" s="53"/>
      <c r="D314" s="53"/>
    </row>
    <row r="315">
      <c r="C315" s="53"/>
      <c r="D315" s="53"/>
    </row>
    <row r="316">
      <c r="C316" s="53"/>
      <c r="D316" s="53"/>
    </row>
    <row r="317">
      <c r="C317" s="53"/>
      <c r="D317" s="53"/>
    </row>
    <row r="318">
      <c r="C318" s="53"/>
      <c r="D318" s="53"/>
    </row>
    <row r="319">
      <c r="C319" s="53"/>
      <c r="D319" s="53"/>
    </row>
    <row r="320">
      <c r="C320" s="53"/>
      <c r="D320" s="53"/>
    </row>
    <row r="321">
      <c r="C321" s="53"/>
      <c r="D321" s="53"/>
    </row>
    <row r="322">
      <c r="C322" s="53"/>
      <c r="D322" s="53"/>
    </row>
    <row r="323">
      <c r="C323" s="53"/>
      <c r="D323" s="53"/>
    </row>
    <row r="324">
      <c r="C324" s="53"/>
      <c r="D324" s="53"/>
    </row>
    <row r="325">
      <c r="C325" s="53"/>
      <c r="D325" s="53"/>
    </row>
    <row r="326">
      <c r="C326" s="53"/>
      <c r="D326" s="53"/>
    </row>
    <row r="327">
      <c r="C327" s="53"/>
      <c r="D327" s="53"/>
    </row>
    <row r="328">
      <c r="C328" s="53"/>
      <c r="D328" s="53"/>
    </row>
    <row r="329">
      <c r="C329" s="53"/>
      <c r="D329" s="53"/>
    </row>
    <row r="330">
      <c r="C330" s="53"/>
      <c r="D330" s="53"/>
    </row>
    <row r="331">
      <c r="C331" s="53"/>
      <c r="D331" s="53"/>
    </row>
    <row r="332">
      <c r="C332" s="53"/>
      <c r="D332" s="53"/>
    </row>
    <row r="333">
      <c r="C333" s="53"/>
      <c r="D333" s="53"/>
    </row>
    <row r="334">
      <c r="C334" s="53"/>
      <c r="D334" s="53"/>
    </row>
    <row r="335">
      <c r="C335" s="53"/>
      <c r="D335" s="53"/>
    </row>
    <row r="336">
      <c r="C336" s="53"/>
      <c r="D336" s="53"/>
    </row>
    <row r="337">
      <c r="C337" s="53"/>
      <c r="D337" s="53"/>
    </row>
    <row r="338">
      <c r="C338" s="53"/>
      <c r="D338" s="53"/>
    </row>
    <row r="339">
      <c r="C339" s="53"/>
      <c r="D339" s="53"/>
    </row>
    <row r="340">
      <c r="C340" s="53"/>
      <c r="D340" s="53"/>
    </row>
    <row r="341">
      <c r="C341" s="53"/>
      <c r="D341" s="53"/>
    </row>
    <row r="342">
      <c r="C342" s="53"/>
      <c r="D342" s="53"/>
    </row>
    <row r="343">
      <c r="C343" s="53"/>
      <c r="D343" s="53"/>
    </row>
    <row r="344">
      <c r="C344" s="53"/>
      <c r="D344" s="53"/>
    </row>
    <row r="345">
      <c r="C345" s="53"/>
      <c r="D345" s="53"/>
    </row>
    <row r="346">
      <c r="C346" s="53"/>
      <c r="D346" s="53"/>
    </row>
    <row r="347">
      <c r="C347" s="53"/>
      <c r="D347" s="53"/>
    </row>
    <row r="348">
      <c r="C348" s="53"/>
      <c r="D348" s="53"/>
    </row>
    <row r="349">
      <c r="C349" s="53"/>
      <c r="D349" s="53"/>
    </row>
    <row r="350">
      <c r="C350" s="53"/>
      <c r="D350" s="53"/>
    </row>
    <row r="351">
      <c r="C351" s="53"/>
      <c r="D351" s="53"/>
    </row>
    <row r="352">
      <c r="C352" s="53"/>
      <c r="D352" s="53"/>
    </row>
    <row r="353">
      <c r="C353" s="53"/>
      <c r="D353" s="53"/>
    </row>
    <row r="354">
      <c r="C354" s="53"/>
      <c r="D354" s="53"/>
    </row>
    <row r="355">
      <c r="C355" s="53"/>
      <c r="D355" s="53"/>
    </row>
    <row r="356">
      <c r="C356" s="53"/>
      <c r="D356" s="53"/>
    </row>
    <row r="357">
      <c r="C357" s="53"/>
      <c r="D357" s="53"/>
    </row>
    <row r="358">
      <c r="C358" s="53"/>
      <c r="D358" s="53"/>
    </row>
    <row r="359">
      <c r="C359" s="53"/>
      <c r="D359" s="53"/>
    </row>
    <row r="360">
      <c r="C360" s="53"/>
      <c r="D360" s="53"/>
    </row>
    <row r="361">
      <c r="C361" s="53"/>
      <c r="D361" s="53"/>
    </row>
    <row r="362">
      <c r="C362" s="53"/>
      <c r="D362" s="53"/>
    </row>
    <row r="363">
      <c r="C363" s="53"/>
      <c r="D363" s="53"/>
    </row>
    <row r="364">
      <c r="C364" s="53"/>
      <c r="D364" s="53"/>
    </row>
    <row r="365">
      <c r="C365" s="53"/>
      <c r="D365" s="53"/>
    </row>
    <row r="366">
      <c r="C366" s="53"/>
      <c r="D366" s="53"/>
    </row>
    <row r="367">
      <c r="C367" s="53"/>
      <c r="D367" s="53"/>
    </row>
    <row r="368">
      <c r="C368" s="53"/>
      <c r="D368" s="53"/>
    </row>
    <row r="369">
      <c r="C369" s="53"/>
      <c r="D369" s="53"/>
    </row>
    <row r="370">
      <c r="C370" s="53"/>
      <c r="D370" s="53"/>
    </row>
    <row r="371">
      <c r="C371" s="53"/>
      <c r="D371" s="53"/>
    </row>
    <row r="372">
      <c r="C372" s="53"/>
      <c r="D372" s="53"/>
    </row>
    <row r="373">
      <c r="C373" s="53"/>
      <c r="D373" s="53"/>
    </row>
    <row r="374">
      <c r="C374" s="53"/>
      <c r="D374" s="53"/>
    </row>
    <row r="375">
      <c r="C375" s="53"/>
      <c r="D375" s="53"/>
    </row>
    <row r="376">
      <c r="C376" s="53"/>
      <c r="D376" s="53"/>
    </row>
    <row r="377">
      <c r="C377" s="53"/>
      <c r="D377" s="53"/>
    </row>
    <row r="378">
      <c r="C378" s="53"/>
      <c r="D378" s="53"/>
    </row>
    <row r="379">
      <c r="C379" s="53"/>
      <c r="D379" s="53"/>
    </row>
    <row r="380">
      <c r="C380" s="53"/>
      <c r="D380" s="53"/>
    </row>
    <row r="381">
      <c r="C381" s="53"/>
      <c r="D381" s="53"/>
    </row>
    <row r="382">
      <c r="C382" s="53"/>
      <c r="D382" s="53"/>
    </row>
    <row r="383">
      <c r="C383" s="53"/>
      <c r="D383" s="53"/>
    </row>
    <row r="384">
      <c r="C384" s="53"/>
      <c r="D384" s="53"/>
    </row>
    <row r="385">
      <c r="C385" s="53"/>
      <c r="D385" s="53"/>
    </row>
    <row r="386">
      <c r="C386" s="53"/>
      <c r="D386" s="53"/>
    </row>
    <row r="387">
      <c r="C387" s="53"/>
      <c r="D387" s="53"/>
    </row>
    <row r="388">
      <c r="C388" s="53"/>
      <c r="D388" s="53"/>
    </row>
    <row r="389">
      <c r="C389" s="53"/>
      <c r="D389" s="53"/>
    </row>
    <row r="390">
      <c r="C390" s="53"/>
      <c r="D390" s="53"/>
    </row>
    <row r="391">
      <c r="C391" s="53"/>
      <c r="D391" s="53"/>
    </row>
    <row r="392">
      <c r="C392" s="53"/>
      <c r="D392" s="53"/>
    </row>
    <row r="393">
      <c r="C393" s="53"/>
      <c r="D393" s="53"/>
    </row>
    <row r="394">
      <c r="C394" s="53"/>
      <c r="D394" s="53"/>
    </row>
    <row r="395">
      <c r="C395" s="53"/>
      <c r="D395" s="53"/>
    </row>
    <row r="396">
      <c r="C396" s="53"/>
      <c r="D396" s="53"/>
    </row>
    <row r="397">
      <c r="C397" s="53"/>
      <c r="D397" s="53"/>
    </row>
    <row r="398">
      <c r="C398" s="53"/>
      <c r="D398" s="53"/>
    </row>
    <row r="399">
      <c r="C399" s="53"/>
      <c r="D399" s="53"/>
    </row>
    <row r="400">
      <c r="C400" s="53"/>
      <c r="D400" s="53"/>
    </row>
    <row r="401">
      <c r="C401" s="53"/>
      <c r="D401" s="53"/>
    </row>
    <row r="402">
      <c r="C402" s="53"/>
      <c r="D402" s="53"/>
    </row>
    <row r="403">
      <c r="C403" s="53"/>
      <c r="D403" s="53"/>
    </row>
    <row r="404">
      <c r="C404" s="53"/>
      <c r="D404" s="53"/>
    </row>
    <row r="405">
      <c r="C405" s="53"/>
      <c r="D405" s="53"/>
    </row>
    <row r="406">
      <c r="C406" s="53"/>
      <c r="D406" s="53"/>
    </row>
    <row r="407">
      <c r="C407" s="53"/>
      <c r="D407" s="53"/>
    </row>
    <row r="408">
      <c r="C408" s="53"/>
      <c r="D408" s="53"/>
    </row>
    <row r="409">
      <c r="C409" s="53"/>
      <c r="D409" s="53"/>
    </row>
    <row r="410">
      <c r="C410" s="53"/>
      <c r="D410" s="53"/>
    </row>
    <row r="411">
      <c r="C411" s="53"/>
      <c r="D411" s="53"/>
    </row>
    <row r="412">
      <c r="C412" s="53"/>
      <c r="D412" s="53"/>
    </row>
    <row r="413">
      <c r="C413" s="53"/>
      <c r="D413" s="53"/>
    </row>
    <row r="414">
      <c r="C414" s="53"/>
      <c r="D414" s="53"/>
    </row>
    <row r="415">
      <c r="C415" s="53"/>
      <c r="D415" s="53"/>
    </row>
    <row r="416">
      <c r="C416" s="53"/>
      <c r="D416" s="53"/>
    </row>
    <row r="417">
      <c r="C417" s="53"/>
      <c r="D417" s="53"/>
    </row>
    <row r="418">
      <c r="C418" s="53"/>
      <c r="D418" s="53"/>
    </row>
    <row r="419">
      <c r="C419" s="53"/>
      <c r="D419" s="53"/>
    </row>
    <row r="420">
      <c r="C420" s="53"/>
      <c r="D420" s="53"/>
    </row>
    <row r="421">
      <c r="C421" s="53"/>
      <c r="D421" s="53"/>
    </row>
    <row r="422">
      <c r="C422" s="53"/>
      <c r="D422" s="53"/>
    </row>
    <row r="423">
      <c r="C423" s="53"/>
      <c r="D423" s="53"/>
    </row>
    <row r="424">
      <c r="C424" s="53"/>
      <c r="D424" s="53"/>
    </row>
    <row r="425">
      <c r="C425" s="53"/>
      <c r="D425" s="53"/>
    </row>
    <row r="426">
      <c r="C426" s="53"/>
      <c r="D426" s="53"/>
    </row>
    <row r="427">
      <c r="C427" s="53"/>
      <c r="D427" s="53"/>
    </row>
    <row r="428">
      <c r="C428" s="53"/>
      <c r="D428" s="53"/>
    </row>
    <row r="429">
      <c r="C429" s="53"/>
      <c r="D429" s="53"/>
    </row>
    <row r="430">
      <c r="C430" s="53"/>
      <c r="D430" s="53"/>
    </row>
    <row r="431">
      <c r="C431" s="53"/>
      <c r="D431" s="53"/>
    </row>
    <row r="432">
      <c r="C432" s="53"/>
      <c r="D432" s="53"/>
    </row>
    <row r="433">
      <c r="C433" s="53"/>
      <c r="D433" s="53"/>
    </row>
    <row r="434">
      <c r="C434" s="53"/>
      <c r="D434" s="53"/>
    </row>
    <row r="435">
      <c r="C435" s="53"/>
      <c r="D435" s="53"/>
    </row>
    <row r="436">
      <c r="C436" s="53"/>
      <c r="D436" s="53"/>
    </row>
    <row r="437">
      <c r="C437" s="53"/>
      <c r="D437" s="53"/>
    </row>
    <row r="438">
      <c r="C438" s="53"/>
      <c r="D438" s="53"/>
    </row>
    <row r="439">
      <c r="C439" s="53"/>
      <c r="D439" s="53"/>
    </row>
    <row r="440">
      <c r="C440" s="53"/>
      <c r="D440" s="53"/>
    </row>
    <row r="441">
      <c r="C441" s="53"/>
      <c r="D441" s="53"/>
    </row>
    <row r="442">
      <c r="C442" s="53"/>
      <c r="D442" s="53"/>
    </row>
    <row r="443">
      <c r="C443" s="53"/>
      <c r="D443" s="53"/>
    </row>
    <row r="444">
      <c r="C444" s="53"/>
      <c r="D444" s="53"/>
    </row>
    <row r="445">
      <c r="C445" s="53"/>
      <c r="D445" s="53"/>
    </row>
    <row r="446">
      <c r="C446" s="53"/>
      <c r="D446" s="53"/>
    </row>
    <row r="447">
      <c r="C447" s="53"/>
      <c r="D447" s="53"/>
    </row>
    <row r="448">
      <c r="C448" s="53"/>
      <c r="D448" s="53"/>
    </row>
    <row r="449">
      <c r="C449" s="53"/>
      <c r="D449" s="53"/>
    </row>
    <row r="450">
      <c r="C450" s="53"/>
      <c r="D450" s="53"/>
    </row>
    <row r="451">
      <c r="C451" s="53"/>
      <c r="D451" s="53"/>
    </row>
    <row r="452">
      <c r="C452" s="53"/>
      <c r="D452" s="53"/>
    </row>
    <row r="453">
      <c r="C453" s="53"/>
      <c r="D453" s="53"/>
    </row>
    <row r="454">
      <c r="C454" s="53"/>
      <c r="D454" s="53"/>
    </row>
    <row r="455">
      <c r="C455" s="53"/>
      <c r="D455" s="53"/>
    </row>
    <row r="456">
      <c r="C456" s="53"/>
      <c r="D456" s="53"/>
    </row>
    <row r="457">
      <c r="C457" s="53"/>
      <c r="D457" s="53"/>
    </row>
    <row r="458">
      <c r="C458" s="53"/>
      <c r="D458" s="53"/>
    </row>
    <row r="459">
      <c r="C459" s="53"/>
      <c r="D459" s="53"/>
    </row>
    <row r="460">
      <c r="C460" s="53"/>
      <c r="D460" s="53"/>
    </row>
    <row r="461">
      <c r="C461" s="53"/>
      <c r="D461" s="53"/>
    </row>
    <row r="462">
      <c r="C462" s="53"/>
      <c r="D462" s="53"/>
    </row>
    <row r="463">
      <c r="C463" s="53"/>
      <c r="D463" s="53"/>
    </row>
    <row r="464">
      <c r="C464" s="53"/>
      <c r="D464" s="53"/>
    </row>
    <row r="465">
      <c r="C465" s="53"/>
      <c r="D465" s="53"/>
    </row>
    <row r="466">
      <c r="C466" s="53"/>
      <c r="D466" s="53"/>
    </row>
    <row r="467">
      <c r="C467" s="53"/>
      <c r="D467" s="53"/>
    </row>
    <row r="468">
      <c r="C468" s="53"/>
      <c r="D468" s="53"/>
    </row>
    <row r="469">
      <c r="C469" s="53"/>
      <c r="D469" s="53"/>
    </row>
    <row r="470">
      <c r="C470" s="53"/>
      <c r="D470" s="53"/>
    </row>
    <row r="471">
      <c r="C471" s="53"/>
      <c r="D471" s="53"/>
    </row>
    <row r="472">
      <c r="C472" s="53"/>
      <c r="D472" s="53"/>
    </row>
    <row r="473">
      <c r="C473" s="53"/>
      <c r="D473" s="53"/>
    </row>
    <row r="474">
      <c r="C474" s="53"/>
      <c r="D474" s="53"/>
    </row>
    <row r="475">
      <c r="C475" s="53"/>
      <c r="D475" s="53"/>
    </row>
    <row r="476">
      <c r="C476" s="53"/>
      <c r="D476" s="53"/>
    </row>
    <row r="477">
      <c r="C477" s="53"/>
      <c r="D477" s="53"/>
    </row>
    <row r="478">
      <c r="C478" s="53"/>
      <c r="D478" s="53"/>
    </row>
    <row r="479">
      <c r="C479" s="53"/>
      <c r="D479" s="53"/>
    </row>
    <row r="480">
      <c r="C480" s="53"/>
      <c r="D480" s="53"/>
    </row>
    <row r="481">
      <c r="C481" s="53"/>
      <c r="D481" s="53"/>
    </row>
    <row r="482">
      <c r="C482" s="53"/>
      <c r="D482" s="53"/>
    </row>
    <row r="483">
      <c r="C483" s="53"/>
      <c r="D483" s="53"/>
    </row>
    <row r="484">
      <c r="C484" s="53"/>
      <c r="D484" s="53"/>
    </row>
    <row r="485">
      <c r="C485" s="53"/>
      <c r="D485" s="53"/>
    </row>
    <row r="486">
      <c r="C486" s="53"/>
      <c r="D486" s="53"/>
    </row>
    <row r="487">
      <c r="C487" s="53"/>
      <c r="D487" s="53"/>
    </row>
    <row r="488">
      <c r="C488" s="53"/>
      <c r="D488" s="53"/>
    </row>
    <row r="489">
      <c r="C489" s="53"/>
      <c r="D489" s="53"/>
    </row>
    <row r="490">
      <c r="C490" s="53"/>
      <c r="D490" s="53"/>
    </row>
    <row r="491">
      <c r="C491" s="53"/>
      <c r="D491" s="53"/>
    </row>
    <row r="492">
      <c r="C492" s="53"/>
      <c r="D492" s="53"/>
    </row>
    <row r="493">
      <c r="C493" s="53"/>
      <c r="D493" s="53"/>
    </row>
    <row r="494">
      <c r="C494" s="53"/>
      <c r="D494" s="53"/>
    </row>
    <row r="495">
      <c r="C495" s="53"/>
      <c r="D495" s="53"/>
    </row>
    <row r="496">
      <c r="C496" s="53"/>
      <c r="D496" s="53"/>
    </row>
    <row r="497">
      <c r="C497" s="53"/>
      <c r="D497" s="53"/>
    </row>
    <row r="498">
      <c r="C498" s="53"/>
      <c r="D498" s="53"/>
    </row>
    <row r="499">
      <c r="C499" s="53"/>
      <c r="D499" s="53"/>
    </row>
    <row r="500">
      <c r="C500" s="53"/>
      <c r="D500" s="53"/>
    </row>
    <row r="501">
      <c r="C501" s="53"/>
      <c r="D501" s="53"/>
    </row>
    <row r="502">
      <c r="C502" s="53"/>
      <c r="D502" s="53"/>
    </row>
    <row r="503">
      <c r="C503" s="53"/>
      <c r="D503" s="53"/>
    </row>
    <row r="504">
      <c r="C504" s="53"/>
      <c r="D504" s="53"/>
    </row>
    <row r="505">
      <c r="C505" s="53"/>
      <c r="D505" s="53"/>
    </row>
    <row r="506">
      <c r="C506" s="53"/>
      <c r="D506" s="53"/>
    </row>
    <row r="507">
      <c r="C507" s="53"/>
      <c r="D507" s="53"/>
    </row>
    <row r="508">
      <c r="C508" s="53"/>
      <c r="D508" s="53"/>
    </row>
    <row r="509">
      <c r="C509" s="53"/>
      <c r="D509" s="53"/>
    </row>
    <row r="510">
      <c r="C510" s="53"/>
      <c r="D510" s="53"/>
    </row>
    <row r="511">
      <c r="C511" s="53"/>
      <c r="D511" s="53"/>
    </row>
    <row r="512">
      <c r="C512" s="53"/>
      <c r="D512" s="53"/>
    </row>
    <row r="513">
      <c r="C513" s="53"/>
      <c r="D513" s="53"/>
    </row>
    <row r="514">
      <c r="C514" s="53"/>
      <c r="D514" s="53"/>
    </row>
    <row r="515">
      <c r="C515" s="53"/>
      <c r="D515" s="53"/>
    </row>
    <row r="516">
      <c r="C516" s="53"/>
      <c r="D516" s="53"/>
    </row>
    <row r="517">
      <c r="C517" s="53"/>
      <c r="D517" s="53"/>
    </row>
    <row r="518">
      <c r="C518" s="53"/>
      <c r="D518" s="53"/>
    </row>
    <row r="519">
      <c r="C519" s="53"/>
      <c r="D519" s="53"/>
    </row>
    <row r="520">
      <c r="C520" s="53"/>
      <c r="D520" s="53"/>
    </row>
    <row r="521">
      <c r="C521" s="53"/>
      <c r="D521" s="53"/>
    </row>
    <row r="522">
      <c r="C522" s="53"/>
      <c r="D522" s="53"/>
    </row>
    <row r="523">
      <c r="C523" s="53"/>
      <c r="D523" s="53"/>
    </row>
    <row r="524">
      <c r="C524" s="53"/>
      <c r="D524" s="53"/>
    </row>
    <row r="525">
      <c r="C525" s="53"/>
      <c r="D525" s="53"/>
    </row>
    <row r="526">
      <c r="C526" s="53"/>
      <c r="D526" s="53"/>
    </row>
    <row r="527">
      <c r="C527" s="53"/>
      <c r="D527" s="53"/>
    </row>
    <row r="528">
      <c r="C528" s="53"/>
      <c r="D528" s="53"/>
    </row>
    <row r="529">
      <c r="C529" s="53"/>
      <c r="D529" s="53"/>
    </row>
    <row r="530">
      <c r="C530" s="53"/>
      <c r="D530" s="53"/>
    </row>
    <row r="531">
      <c r="C531" s="53"/>
      <c r="D531" s="53"/>
    </row>
    <row r="532">
      <c r="C532" s="53"/>
      <c r="D532" s="53"/>
    </row>
    <row r="533">
      <c r="C533" s="53"/>
      <c r="D533" s="53"/>
    </row>
    <row r="534">
      <c r="C534" s="53"/>
      <c r="D534" s="53"/>
    </row>
    <row r="535">
      <c r="C535" s="53"/>
      <c r="D535" s="53"/>
    </row>
    <row r="536">
      <c r="C536" s="53"/>
      <c r="D536" s="53"/>
    </row>
    <row r="537">
      <c r="C537" s="53"/>
      <c r="D537" s="53"/>
    </row>
    <row r="538">
      <c r="C538" s="53"/>
      <c r="D538" s="53"/>
    </row>
    <row r="539">
      <c r="C539" s="53"/>
      <c r="D539" s="53"/>
    </row>
    <row r="540">
      <c r="C540" s="53"/>
      <c r="D540" s="53"/>
    </row>
    <row r="541">
      <c r="C541" s="53"/>
      <c r="D541" s="53"/>
    </row>
    <row r="542">
      <c r="C542" s="53"/>
      <c r="D542" s="53"/>
    </row>
    <row r="543">
      <c r="C543" s="53"/>
      <c r="D543" s="53"/>
    </row>
    <row r="544">
      <c r="C544" s="53"/>
      <c r="D544" s="53"/>
    </row>
    <row r="545">
      <c r="C545" s="53"/>
      <c r="D545" s="53"/>
    </row>
    <row r="546">
      <c r="C546" s="53"/>
      <c r="D546" s="53"/>
    </row>
    <row r="547">
      <c r="C547" s="53"/>
      <c r="D547" s="53"/>
    </row>
    <row r="548">
      <c r="C548" s="53"/>
      <c r="D548" s="53"/>
    </row>
    <row r="549">
      <c r="C549" s="53"/>
      <c r="D549" s="53"/>
    </row>
    <row r="550">
      <c r="C550" s="53"/>
      <c r="D550" s="53"/>
    </row>
    <row r="551">
      <c r="C551" s="53"/>
      <c r="D551" s="53"/>
    </row>
    <row r="552">
      <c r="C552" s="53"/>
      <c r="D552" s="53"/>
    </row>
    <row r="553">
      <c r="C553" s="53"/>
      <c r="D553" s="53"/>
    </row>
    <row r="554">
      <c r="C554" s="53"/>
      <c r="D554" s="53"/>
    </row>
    <row r="555">
      <c r="C555" s="53"/>
      <c r="D555" s="53"/>
    </row>
    <row r="556">
      <c r="C556" s="53"/>
      <c r="D556" s="53"/>
    </row>
    <row r="557">
      <c r="C557" s="53"/>
      <c r="D557" s="53"/>
    </row>
    <row r="558">
      <c r="C558" s="53"/>
      <c r="D558" s="53"/>
    </row>
    <row r="559">
      <c r="C559" s="53"/>
      <c r="D559" s="53"/>
    </row>
    <row r="560">
      <c r="C560" s="53"/>
      <c r="D560" s="53"/>
    </row>
    <row r="561">
      <c r="C561" s="53"/>
      <c r="D561" s="53"/>
    </row>
    <row r="562">
      <c r="C562" s="53"/>
      <c r="D562" s="53"/>
    </row>
    <row r="563">
      <c r="C563" s="53"/>
      <c r="D563" s="53"/>
    </row>
    <row r="564">
      <c r="C564" s="53"/>
      <c r="D564" s="53"/>
    </row>
    <row r="565">
      <c r="C565" s="53"/>
      <c r="D565" s="53"/>
    </row>
    <row r="566">
      <c r="C566" s="53"/>
      <c r="D566" s="53"/>
    </row>
    <row r="567">
      <c r="C567" s="53"/>
      <c r="D567" s="53"/>
    </row>
    <row r="568">
      <c r="C568" s="53"/>
      <c r="D568" s="53"/>
    </row>
    <row r="569">
      <c r="C569" s="53"/>
      <c r="D569" s="53"/>
    </row>
    <row r="570">
      <c r="C570" s="53"/>
      <c r="D570" s="53"/>
    </row>
    <row r="571">
      <c r="C571" s="53"/>
      <c r="D571" s="53"/>
    </row>
    <row r="572">
      <c r="C572" s="53"/>
      <c r="D572" s="53"/>
    </row>
    <row r="573">
      <c r="C573" s="53"/>
      <c r="D573" s="53"/>
    </row>
    <row r="574">
      <c r="C574" s="53"/>
      <c r="D574" s="53"/>
    </row>
    <row r="575">
      <c r="C575" s="53"/>
      <c r="D575" s="53"/>
    </row>
    <row r="576">
      <c r="C576" s="53"/>
      <c r="D576" s="53"/>
    </row>
    <row r="577">
      <c r="C577" s="53"/>
      <c r="D577" s="53"/>
    </row>
    <row r="578">
      <c r="C578" s="53"/>
      <c r="D578" s="53"/>
    </row>
    <row r="579">
      <c r="C579" s="53"/>
      <c r="D579" s="53"/>
    </row>
    <row r="580">
      <c r="C580" s="53"/>
      <c r="D580" s="53"/>
    </row>
    <row r="581">
      <c r="C581" s="53"/>
      <c r="D581" s="53"/>
    </row>
    <row r="582">
      <c r="C582" s="53"/>
      <c r="D582" s="53"/>
    </row>
    <row r="583">
      <c r="C583" s="53"/>
      <c r="D583" s="53"/>
    </row>
    <row r="584">
      <c r="C584" s="53"/>
      <c r="D584" s="53"/>
    </row>
    <row r="585">
      <c r="C585" s="53"/>
      <c r="D585" s="53"/>
    </row>
    <row r="586">
      <c r="C586" s="53"/>
      <c r="D586" s="53"/>
    </row>
    <row r="587">
      <c r="C587" s="53"/>
      <c r="D587" s="53"/>
    </row>
    <row r="588">
      <c r="C588" s="53"/>
      <c r="D588" s="53"/>
    </row>
    <row r="589">
      <c r="C589" s="53"/>
      <c r="D589" s="53"/>
    </row>
    <row r="590">
      <c r="C590" s="53"/>
      <c r="D590" s="53"/>
    </row>
    <row r="591">
      <c r="C591" s="53"/>
      <c r="D591" s="53"/>
    </row>
    <row r="592">
      <c r="C592" s="53"/>
      <c r="D592" s="53"/>
    </row>
    <row r="593">
      <c r="C593" s="53"/>
      <c r="D593" s="53"/>
    </row>
    <row r="594">
      <c r="C594" s="53"/>
      <c r="D594" s="53"/>
    </row>
    <row r="595">
      <c r="C595" s="53"/>
      <c r="D595" s="53"/>
    </row>
    <row r="596">
      <c r="C596" s="53"/>
      <c r="D596" s="53"/>
    </row>
    <row r="597">
      <c r="C597" s="53"/>
      <c r="D597" s="53"/>
    </row>
    <row r="598">
      <c r="C598" s="53"/>
      <c r="D598" s="53"/>
    </row>
    <row r="599">
      <c r="C599" s="53"/>
      <c r="D599" s="53"/>
    </row>
    <row r="600">
      <c r="C600" s="53"/>
      <c r="D600" s="53"/>
    </row>
    <row r="601">
      <c r="C601" s="53"/>
      <c r="D601" s="53"/>
    </row>
    <row r="602">
      <c r="C602" s="53"/>
      <c r="D602" s="53"/>
    </row>
    <row r="603">
      <c r="C603" s="53"/>
      <c r="D603" s="53"/>
    </row>
    <row r="604">
      <c r="C604" s="53"/>
      <c r="D604" s="53"/>
    </row>
    <row r="605">
      <c r="C605" s="53"/>
      <c r="D605" s="53"/>
    </row>
    <row r="606">
      <c r="C606" s="53"/>
      <c r="D606" s="53"/>
    </row>
    <row r="607">
      <c r="C607" s="53"/>
      <c r="D607" s="53"/>
    </row>
    <row r="608">
      <c r="C608" s="53"/>
      <c r="D608" s="53"/>
    </row>
    <row r="609">
      <c r="C609" s="53"/>
      <c r="D609" s="53"/>
    </row>
    <row r="610">
      <c r="C610" s="53"/>
      <c r="D610" s="53"/>
    </row>
    <row r="611">
      <c r="C611" s="53"/>
      <c r="D611" s="53"/>
    </row>
    <row r="612">
      <c r="C612" s="53"/>
      <c r="D612" s="53"/>
    </row>
    <row r="613">
      <c r="C613" s="53"/>
      <c r="D613" s="53"/>
    </row>
    <row r="614">
      <c r="C614" s="53"/>
      <c r="D614" s="53"/>
    </row>
    <row r="615">
      <c r="C615" s="53"/>
      <c r="D615" s="53"/>
    </row>
    <row r="616">
      <c r="C616" s="53"/>
      <c r="D616" s="53"/>
    </row>
    <row r="617">
      <c r="C617" s="53"/>
      <c r="D617" s="53"/>
    </row>
    <row r="618">
      <c r="C618" s="53"/>
      <c r="D618" s="53"/>
    </row>
    <row r="619">
      <c r="C619" s="53"/>
      <c r="D619" s="53"/>
    </row>
    <row r="620">
      <c r="C620" s="53"/>
      <c r="D620" s="53"/>
    </row>
    <row r="621">
      <c r="C621" s="53"/>
      <c r="D621" s="53"/>
    </row>
    <row r="622">
      <c r="C622" s="53"/>
      <c r="D622" s="53"/>
    </row>
    <row r="623">
      <c r="C623" s="53"/>
      <c r="D623" s="53"/>
    </row>
    <row r="624">
      <c r="C624" s="53"/>
      <c r="D624" s="53"/>
    </row>
    <row r="625">
      <c r="C625" s="53"/>
      <c r="D625" s="53"/>
    </row>
    <row r="626">
      <c r="C626" s="53"/>
      <c r="D626" s="53"/>
    </row>
    <row r="627">
      <c r="C627" s="53"/>
      <c r="D627" s="53"/>
    </row>
    <row r="628">
      <c r="C628" s="53"/>
      <c r="D628" s="53"/>
    </row>
    <row r="629">
      <c r="C629" s="53"/>
      <c r="D629" s="53"/>
    </row>
    <row r="630">
      <c r="C630" s="53"/>
      <c r="D630" s="53"/>
    </row>
    <row r="631">
      <c r="C631" s="53"/>
      <c r="D631" s="53"/>
    </row>
    <row r="632">
      <c r="C632" s="53"/>
      <c r="D632" s="53"/>
    </row>
    <row r="633">
      <c r="C633" s="53"/>
      <c r="D633" s="53"/>
    </row>
    <row r="634">
      <c r="C634" s="53"/>
      <c r="D634" s="53"/>
    </row>
    <row r="635">
      <c r="C635" s="53"/>
      <c r="D635" s="53"/>
    </row>
    <row r="636">
      <c r="C636" s="53"/>
      <c r="D636" s="53"/>
    </row>
    <row r="637">
      <c r="C637" s="53"/>
      <c r="D637" s="53"/>
    </row>
    <row r="638">
      <c r="C638" s="53"/>
      <c r="D638" s="53"/>
    </row>
    <row r="639">
      <c r="C639" s="53"/>
      <c r="D639" s="53"/>
    </row>
    <row r="640">
      <c r="C640" s="53"/>
      <c r="D640" s="53"/>
    </row>
    <row r="641">
      <c r="C641" s="53"/>
      <c r="D641" s="53"/>
    </row>
    <row r="642">
      <c r="C642" s="53"/>
      <c r="D642" s="53"/>
    </row>
    <row r="643">
      <c r="C643" s="53"/>
      <c r="D643" s="53"/>
    </row>
    <row r="644">
      <c r="C644" s="53"/>
      <c r="D644" s="53"/>
    </row>
    <row r="645">
      <c r="C645" s="53"/>
      <c r="D645" s="53"/>
    </row>
    <row r="646">
      <c r="C646" s="53"/>
      <c r="D646" s="53"/>
    </row>
    <row r="647">
      <c r="C647" s="53"/>
      <c r="D647" s="53"/>
    </row>
    <row r="648">
      <c r="C648" s="53"/>
      <c r="D648" s="53"/>
    </row>
    <row r="649">
      <c r="C649" s="53"/>
      <c r="D649" s="53"/>
    </row>
    <row r="650">
      <c r="C650" s="53"/>
      <c r="D650" s="53"/>
    </row>
    <row r="651">
      <c r="C651" s="53"/>
      <c r="D651" s="53"/>
    </row>
    <row r="652">
      <c r="C652" s="53"/>
      <c r="D652" s="53"/>
    </row>
    <row r="653">
      <c r="C653" s="53"/>
      <c r="D653" s="53"/>
    </row>
    <row r="654">
      <c r="C654" s="53"/>
      <c r="D654" s="53"/>
    </row>
    <row r="655">
      <c r="C655" s="53"/>
      <c r="D655" s="53"/>
    </row>
    <row r="656">
      <c r="C656" s="53"/>
      <c r="D656" s="53"/>
    </row>
    <row r="657">
      <c r="C657" s="53"/>
      <c r="D657" s="53"/>
    </row>
    <row r="658">
      <c r="C658" s="53"/>
      <c r="D658" s="53"/>
    </row>
    <row r="659">
      <c r="C659" s="53"/>
      <c r="D659" s="53"/>
    </row>
    <row r="660">
      <c r="C660" s="53"/>
      <c r="D660" s="53"/>
    </row>
    <row r="661">
      <c r="C661" s="53"/>
      <c r="D661" s="53"/>
    </row>
    <row r="662">
      <c r="C662" s="53"/>
      <c r="D662" s="53"/>
    </row>
    <row r="663">
      <c r="C663" s="53"/>
      <c r="D663" s="53"/>
    </row>
    <row r="664">
      <c r="C664" s="53"/>
      <c r="D664" s="53"/>
    </row>
    <row r="665">
      <c r="C665" s="53"/>
      <c r="D665" s="53"/>
    </row>
    <row r="666">
      <c r="C666" s="53"/>
      <c r="D666" s="53"/>
    </row>
    <row r="667">
      <c r="C667" s="53"/>
      <c r="D667" s="53"/>
    </row>
    <row r="668">
      <c r="C668" s="53"/>
      <c r="D668" s="53"/>
    </row>
    <row r="669">
      <c r="C669" s="53"/>
      <c r="D669" s="53"/>
    </row>
    <row r="670">
      <c r="C670" s="53"/>
      <c r="D670" s="53"/>
    </row>
    <row r="671">
      <c r="C671" s="53"/>
      <c r="D671" s="53"/>
    </row>
    <row r="672">
      <c r="C672" s="53"/>
      <c r="D672" s="53"/>
    </row>
    <row r="673">
      <c r="C673" s="53"/>
      <c r="D673" s="53"/>
    </row>
    <row r="674">
      <c r="C674" s="53"/>
      <c r="D674" s="53"/>
    </row>
    <row r="675">
      <c r="C675" s="53"/>
      <c r="D675" s="53"/>
    </row>
    <row r="676">
      <c r="C676" s="53"/>
      <c r="D676" s="53"/>
    </row>
    <row r="677">
      <c r="C677" s="53"/>
      <c r="D677" s="53"/>
    </row>
    <row r="678">
      <c r="C678" s="53"/>
      <c r="D678" s="53"/>
    </row>
    <row r="679">
      <c r="C679" s="53"/>
      <c r="D679" s="53"/>
    </row>
    <row r="680">
      <c r="C680" s="53"/>
      <c r="D680" s="53"/>
    </row>
    <row r="681">
      <c r="C681" s="53"/>
      <c r="D681" s="53"/>
    </row>
    <row r="682">
      <c r="C682" s="53"/>
      <c r="D682" s="53"/>
    </row>
    <row r="683">
      <c r="C683" s="53"/>
      <c r="D683" s="53"/>
    </row>
    <row r="684">
      <c r="C684" s="53"/>
      <c r="D684" s="53"/>
    </row>
    <row r="685">
      <c r="C685" s="53"/>
      <c r="D685" s="53"/>
    </row>
    <row r="686">
      <c r="C686" s="53"/>
      <c r="D686" s="53"/>
    </row>
    <row r="687">
      <c r="C687" s="53"/>
      <c r="D687" s="53"/>
    </row>
    <row r="688">
      <c r="C688" s="53"/>
      <c r="D688" s="53"/>
    </row>
    <row r="689">
      <c r="C689" s="53"/>
      <c r="D689" s="53"/>
    </row>
    <row r="690">
      <c r="C690" s="53"/>
      <c r="D690" s="53"/>
    </row>
    <row r="691">
      <c r="C691" s="53"/>
      <c r="D691" s="53"/>
    </row>
    <row r="692">
      <c r="C692" s="53"/>
      <c r="D692" s="53"/>
    </row>
    <row r="693">
      <c r="C693" s="53"/>
      <c r="D693" s="53"/>
    </row>
    <row r="694">
      <c r="C694" s="53"/>
      <c r="D694" s="53"/>
    </row>
    <row r="695">
      <c r="C695" s="53"/>
      <c r="D695" s="53"/>
    </row>
    <row r="696">
      <c r="C696" s="53"/>
      <c r="D696" s="53"/>
    </row>
    <row r="697">
      <c r="C697" s="53"/>
      <c r="D697" s="53"/>
    </row>
    <row r="698">
      <c r="C698" s="53"/>
      <c r="D698" s="53"/>
    </row>
    <row r="699">
      <c r="C699" s="53"/>
      <c r="D699" s="53"/>
    </row>
    <row r="700">
      <c r="C700" s="53"/>
      <c r="D700" s="53"/>
    </row>
    <row r="701">
      <c r="C701" s="53"/>
      <c r="D701" s="53"/>
    </row>
    <row r="702">
      <c r="C702" s="53"/>
      <c r="D702" s="53"/>
    </row>
    <row r="703">
      <c r="C703" s="53"/>
      <c r="D703" s="53"/>
    </row>
    <row r="704">
      <c r="C704" s="53"/>
      <c r="D704" s="53"/>
    </row>
    <row r="705">
      <c r="C705" s="53"/>
      <c r="D705" s="53"/>
    </row>
    <row r="706">
      <c r="C706" s="53"/>
      <c r="D706" s="53"/>
    </row>
    <row r="707">
      <c r="C707" s="53"/>
      <c r="D707" s="53"/>
    </row>
    <row r="708">
      <c r="C708" s="53"/>
      <c r="D708" s="53"/>
    </row>
    <row r="709">
      <c r="C709" s="53"/>
      <c r="D709" s="53"/>
    </row>
    <row r="710">
      <c r="C710" s="53"/>
      <c r="D710" s="53"/>
    </row>
    <row r="711">
      <c r="C711" s="53"/>
      <c r="D711" s="53"/>
    </row>
    <row r="712">
      <c r="C712" s="53"/>
      <c r="D712" s="53"/>
    </row>
    <row r="713">
      <c r="C713" s="53"/>
      <c r="D713" s="53"/>
    </row>
    <row r="714">
      <c r="C714" s="53"/>
      <c r="D714" s="53"/>
    </row>
    <row r="715">
      <c r="C715" s="53"/>
      <c r="D715" s="53"/>
    </row>
    <row r="716">
      <c r="C716" s="53"/>
      <c r="D716" s="53"/>
    </row>
    <row r="717">
      <c r="C717" s="53"/>
      <c r="D717" s="53"/>
    </row>
    <row r="718">
      <c r="C718" s="53"/>
      <c r="D718" s="53"/>
    </row>
    <row r="719">
      <c r="C719" s="53"/>
      <c r="D719" s="53"/>
    </row>
    <row r="720">
      <c r="C720" s="53"/>
      <c r="D720" s="53"/>
    </row>
    <row r="721">
      <c r="C721" s="53"/>
      <c r="D721" s="53"/>
    </row>
    <row r="722">
      <c r="C722" s="53"/>
      <c r="D722" s="53"/>
    </row>
    <row r="723">
      <c r="C723" s="53"/>
      <c r="D723" s="53"/>
    </row>
    <row r="724">
      <c r="C724" s="53"/>
      <c r="D724" s="53"/>
    </row>
    <row r="725">
      <c r="C725" s="53"/>
      <c r="D725" s="53"/>
    </row>
    <row r="726">
      <c r="C726" s="53"/>
      <c r="D726" s="53"/>
    </row>
    <row r="727">
      <c r="C727" s="53"/>
      <c r="D727" s="53"/>
    </row>
    <row r="728">
      <c r="C728" s="53"/>
      <c r="D728" s="53"/>
    </row>
    <row r="729">
      <c r="C729" s="53"/>
      <c r="D729" s="53"/>
    </row>
    <row r="730">
      <c r="C730" s="53"/>
      <c r="D730" s="53"/>
    </row>
    <row r="731">
      <c r="C731" s="53"/>
      <c r="D731" s="53"/>
    </row>
    <row r="732">
      <c r="C732" s="53"/>
      <c r="D732" s="53"/>
    </row>
    <row r="733">
      <c r="C733" s="53"/>
      <c r="D733" s="53"/>
    </row>
    <row r="734">
      <c r="C734" s="53"/>
      <c r="D734" s="53"/>
    </row>
    <row r="735">
      <c r="C735" s="53"/>
      <c r="D735" s="53"/>
    </row>
    <row r="736">
      <c r="C736" s="53"/>
      <c r="D736" s="53"/>
    </row>
    <row r="737">
      <c r="C737" s="53"/>
      <c r="D737" s="53"/>
    </row>
    <row r="738">
      <c r="C738" s="53"/>
      <c r="D738" s="53"/>
    </row>
    <row r="739">
      <c r="C739" s="53"/>
      <c r="D739" s="53"/>
    </row>
    <row r="740">
      <c r="C740" s="53"/>
      <c r="D740" s="53"/>
    </row>
    <row r="741">
      <c r="C741" s="53"/>
      <c r="D741" s="53"/>
    </row>
    <row r="742">
      <c r="C742" s="53"/>
      <c r="D742" s="53"/>
    </row>
    <row r="743">
      <c r="C743" s="53"/>
      <c r="D743" s="53"/>
    </row>
    <row r="744">
      <c r="C744" s="53"/>
      <c r="D744" s="53"/>
    </row>
    <row r="745">
      <c r="C745" s="53"/>
      <c r="D745" s="53"/>
    </row>
    <row r="746">
      <c r="C746" s="53"/>
      <c r="D746" s="53"/>
    </row>
    <row r="747">
      <c r="C747" s="53"/>
      <c r="D747" s="53"/>
    </row>
    <row r="748">
      <c r="C748" s="53"/>
      <c r="D748" s="53"/>
    </row>
    <row r="749">
      <c r="C749" s="53"/>
      <c r="D749" s="53"/>
    </row>
    <row r="750">
      <c r="C750" s="53"/>
      <c r="D750" s="53"/>
    </row>
    <row r="751">
      <c r="C751" s="53"/>
      <c r="D751" s="53"/>
    </row>
    <row r="752">
      <c r="C752" s="53"/>
      <c r="D752" s="53"/>
    </row>
    <row r="753">
      <c r="C753" s="53"/>
      <c r="D753" s="53"/>
    </row>
    <row r="754">
      <c r="C754" s="53"/>
      <c r="D754" s="53"/>
    </row>
    <row r="755">
      <c r="C755" s="53"/>
      <c r="D755" s="53"/>
    </row>
    <row r="756">
      <c r="C756" s="53"/>
      <c r="D756" s="53"/>
    </row>
    <row r="757">
      <c r="C757" s="53"/>
      <c r="D757" s="53"/>
    </row>
    <row r="758">
      <c r="C758" s="53"/>
      <c r="D758" s="53"/>
    </row>
    <row r="759">
      <c r="C759" s="53"/>
      <c r="D759" s="53"/>
    </row>
    <row r="760">
      <c r="C760" s="53"/>
      <c r="D760" s="53"/>
    </row>
    <row r="761">
      <c r="C761" s="53"/>
      <c r="D761" s="53"/>
    </row>
    <row r="762">
      <c r="C762" s="53"/>
      <c r="D762" s="53"/>
    </row>
    <row r="763">
      <c r="C763" s="53"/>
      <c r="D763" s="53"/>
    </row>
    <row r="764">
      <c r="C764" s="53"/>
      <c r="D764" s="53"/>
    </row>
    <row r="765">
      <c r="C765" s="53"/>
      <c r="D765" s="53"/>
    </row>
    <row r="766">
      <c r="C766" s="53"/>
      <c r="D766" s="53"/>
    </row>
    <row r="767">
      <c r="C767" s="53"/>
      <c r="D767" s="53"/>
    </row>
    <row r="768">
      <c r="C768" s="53"/>
      <c r="D768" s="53"/>
    </row>
    <row r="769">
      <c r="C769" s="53"/>
      <c r="D769" s="53"/>
    </row>
    <row r="770">
      <c r="C770" s="53"/>
      <c r="D770" s="53"/>
    </row>
    <row r="771">
      <c r="C771" s="53"/>
      <c r="D771" s="53"/>
    </row>
    <row r="772">
      <c r="C772" s="53"/>
      <c r="D772" s="53"/>
    </row>
    <row r="773">
      <c r="C773" s="53"/>
      <c r="D773" s="53"/>
    </row>
    <row r="774">
      <c r="C774" s="53"/>
      <c r="D774" s="53"/>
    </row>
    <row r="775">
      <c r="C775" s="53"/>
      <c r="D775" s="53"/>
    </row>
    <row r="776">
      <c r="C776" s="53"/>
      <c r="D776" s="53"/>
    </row>
    <row r="777">
      <c r="C777" s="53"/>
      <c r="D777" s="53"/>
    </row>
    <row r="778">
      <c r="C778" s="53"/>
      <c r="D778" s="53"/>
    </row>
    <row r="779">
      <c r="C779" s="53"/>
      <c r="D779" s="53"/>
    </row>
    <row r="780">
      <c r="C780" s="53"/>
      <c r="D780" s="53"/>
    </row>
    <row r="781">
      <c r="C781" s="53"/>
      <c r="D781" s="53"/>
    </row>
    <row r="782">
      <c r="C782" s="53"/>
      <c r="D782" s="53"/>
    </row>
    <row r="783">
      <c r="C783" s="53"/>
      <c r="D783" s="53"/>
    </row>
    <row r="784">
      <c r="C784" s="53"/>
      <c r="D784" s="53"/>
    </row>
    <row r="785">
      <c r="C785" s="53"/>
      <c r="D785" s="53"/>
    </row>
    <row r="786">
      <c r="C786" s="53"/>
      <c r="D786" s="53"/>
    </row>
    <row r="787">
      <c r="C787" s="53"/>
      <c r="D787" s="53"/>
    </row>
    <row r="788">
      <c r="C788" s="53"/>
      <c r="D788" s="53"/>
    </row>
    <row r="789">
      <c r="C789" s="53"/>
      <c r="D789" s="53"/>
    </row>
    <row r="790">
      <c r="C790" s="53"/>
      <c r="D790" s="53"/>
    </row>
    <row r="791">
      <c r="C791" s="53"/>
      <c r="D791" s="53"/>
    </row>
    <row r="792">
      <c r="C792" s="53"/>
      <c r="D792" s="53"/>
    </row>
    <row r="793">
      <c r="C793" s="53"/>
      <c r="D793" s="53"/>
    </row>
    <row r="794">
      <c r="C794" s="53"/>
      <c r="D794" s="53"/>
    </row>
    <row r="795">
      <c r="C795" s="53"/>
      <c r="D795" s="53"/>
    </row>
    <row r="796">
      <c r="C796" s="53"/>
      <c r="D796" s="53"/>
    </row>
    <row r="797">
      <c r="C797" s="53"/>
      <c r="D797" s="53"/>
    </row>
    <row r="798">
      <c r="C798" s="53"/>
      <c r="D798" s="53"/>
    </row>
    <row r="799">
      <c r="C799" s="53"/>
      <c r="D799" s="53"/>
    </row>
    <row r="800">
      <c r="C800" s="53"/>
      <c r="D800" s="53"/>
    </row>
    <row r="801">
      <c r="C801" s="53"/>
      <c r="D801" s="53"/>
    </row>
    <row r="802">
      <c r="C802" s="53"/>
      <c r="D802" s="53"/>
    </row>
    <row r="803">
      <c r="C803" s="53"/>
      <c r="D803" s="53"/>
    </row>
    <row r="804">
      <c r="C804" s="53"/>
      <c r="D804" s="53"/>
    </row>
    <row r="805">
      <c r="C805" s="53"/>
      <c r="D805" s="53"/>
    </row>
    <row r="806">
      <c r="C806" s="53"/>
      <c r="D806" s="53"/>
    </row>
    <row r="807">
      <c r="C807" s="53"/>
      <c r="D807" s="53"/>
    </row>
    <row r="808">
      <c r="C808" s="53"/>
      <c r="D808" s="53"/>
    </row>
    <row r="809">
      <c r="C809" s="53"/>
      <c r="D809" s="53"/>
    </row>
    <row r="810">
      <c r="C810" s="53"/>
      <c r="D810" s="53"/>
    </row>
    <row r="811">
      <c r="C811" s="53"/>
      <c r="D811" s="53"/>
    </row>
    <row r="812">
      <c r="C812" s="53"/>
      <c r="D812" s="53"/>
    </row>
    <row r="813">
      <c r="C813" s="53"/>
      <c r="D813" s="53"/>
    </row>
    <row r="814">
      <c r="C814" s="53"/>
      <c r="D814" s="53"/>
    </row>
    <row r="815">
      <c r="C815" s="53"/>
      <c r="D815" s="53"/>
    </row>
    <row r="816">
      <c r="C816" s="53"/>
      <c r="D816" s="53"/>
    </row>
    <row r="817">
      <c r="C817" s="53"/>
      <c r="D817" s="53"/>
    </row>
    <row r="818">
      <c r="C818" s="53"/>
      <c r="D818" s="53"/>
    </row>
    <row r="819">
      <c r="C819" s="53"/>
      <c r="D819" s="53"/>
    </row>
    <row r="820">
      <c r="C820" s="53"/>
      <c r="D820" s="53"/>
    </row>
    <row r="821">
      <c r="C821" s="53"/>
      <c r="D821" s="53"/>
    </row>
    <row r="822">
      <c r="C822" s="53"/>
      <c r="D822" s="53"/>
    </row>
    <row r="823">
      <c r="C823" s="53"/>
      <c r="D823" s="53"/>
    </row>
    <row r="824">
      <c r="C824" s="53"/>
      <c r="D824" s="53"/>
    </row>
    <row r="825">
      <c r="C825" s="53"/>
      <c r="D825" s="53"/>
    </row>
    <row r="826">
      <c r="C826" s="53"/>
      <c r="D826" s="53"/>
    </row>
    <row r="827">
      <c r="C827" s="53"/>
      <c r="D827" s="53"/>
    </row>
    <row r="828">
      <c r="C828" s="53"/>
      <c r="D828" s="53"/>
    </row>
    <row r="829">
      <c r="C829" s="53"/>
      <c r="D829" s="53"/>
    </row>
    <row r="830">
      <c r="C830" s="53"/>
      <c r="D830" s="53"/>
    </row>
    <row r="831">
      <c r="C831" s="53"/>
      <c r="D831" s="53"/>
    </row>
    <row r="832">
      <c r="C832" s="53"/>
      <c r="D832" s="53"/>
    </row>
    <row r="833">
      <c r="C833" s="53"/>
      <c r="D833" s="53"/>
    </row>
    <row r="834">
      <c r="C834" s="53"/>
      <c r="D834" s="53"/>
    </row>
    <row r="835">
      <c r="C835" s="53"/>
      <c r="D835" s="53"/>
    </row>
    <row r="836">
      <c r="C836" s="53"/>
      <c r="D836" s="53"/>
    </row>
    <row r="837">
      <c r="C837" s="53"/>
      <c r="D837" s="53"/>
    </row>
    <row r="838">
      <c r="C838" s="53"/>
      <c r="D838" s="53"/>
    </row>
    <row r="839">
      <c r="C839" s="53"/>
      <c r="D839" s="53"/>
    </row>
    <row r="840">
      <c r="C840" s="53"/>
      <c r="D840" s="53"/>
    </row>
    <row r="841">
      <c r="C841" s="53"/>
      <c r="D841" s="53"/>
    </row>
    <row r="842">
      <c r="C842" s="53"/>
      <c r="D842" s="53"/>
    </row>
    <row r="843">
      <c r="C843" s="53"/>
      <c r="D843" s="53"/>
    </row>
    <row r="844">
      <c r="C844" s="53"/>
      <c r="D844" s="53"/>
    </row>
    <row r="845">
      <c r="C845" s="53"/>
      <c r="D845" s="53"/>
    </row>
    <row r="846">
      <c r="C846" s="53"/>
      <c r="D846" s="53"/>
    </row>
    <row r="847">
      <c r="C847" s="53"/>
      <c r="D847" s="53"/>
    </row>
    <row r="848">
      <c r="C848" s="53"/>
      <c r="D848" s="53"/>
    </row>
    <row r="849">
      <c r="C849" s="53"/>
      <c r="D849" s="53"/>
    </row>
    <row r="850">
      <c r="C850" s="53"/>
      <c r="D850" s="53"/>
    </row>
    <row r="851">
      <c r="C851" s="53"/>
      <c r="D851" s="53"/>
    </row>
    <row r="852">
      <c r="C852" s="53"/>
      <c r="D852" s="53"/>
    </row>
    <row r="853">
      <c r="C853" s="53"/>
      <c r="D853" s="53"/>
    </row>
    <row r="854">
      <c r="C854" s="53"/>
      <c r="D854" s="53"/>
    </row>
    <row r="855">
      <c r="C855" s="53"/>
      <c r="D855" s="53"/>
    </row>
    <row r="856">
      <c r="C856" s="53"/>
      <c r="D856" s="53"/>
    </row>
    <row r="857">
      <c r="C857" s="53"/>
      <c r="D857" s="53"/>
    </row>
    <row r="858">
      <c r="C858" s="53"/>
      <c r="D858" s="53"/>
    </row>
    <row r="859">
      <c r="C859" s="53"/>
      <c r="D859" s="53"/>
    </row>
    <row r="860">
      <c r="C860" s="53"/>
      <c r="D860" s="53"/>
    </row>
    <row r="861">
      <c r="C861" s="53"/>
      <c r="D861" s="53"/>
    </row>
    <row r="862">
      <c r="C862" s="53"/>
      <c r="D862" s="53"/>
    </row>
    <row r="863">
      <c r="C863" s="53"/>
      <c r="D863" s="53"/>
    </row>
    <row r="864">
      <c r="C864" s="53"/>
      <c r="D864" s="53"/>
    </row>
    <row r="865">
      <c r="C865" s="53"/>
      <c r="D865" s="53"/>
    </row>
    <row r="866">
      <c r="C866" s="53"/>
      <c r="D866" s="53"/>
    </row>
    <row r="867">
      <c r="C867" s="53"/>
      <c r="D867" s="53"/>
    </row>
    <row r="868">
      <c r="C868" s="53"/>
      <c r="D868" s="53"/>
    </row>
    <row r="869">
      <c r="C869" s="53"/>
      <c r="D869" s="53"/>
    </row>
    <row r="870">
      <c r="C870" s="53"/>
      <c r="D870" s="53"/>
    </row>
    <row r="871">
      <c r="C871" s="53"/>
      <c r="D871" s="53"/>
    </row>
    <row r="872">
      <c r="C872" s="53"/>
      <c r="D872" s="53"/>
    </row>
    <row r="873">
      <c r="C873" s="53"/>
      <c r="D873" s="53"/>
    </row>
    <row r="874">
      <c r="C874" s="53"/>
      <c r="D874" s="53"/>
    </row>
    <row r="875">
      <c r="C875" s="53"/>
      <c r="D875" s="53"/>
    </row>
    <row r="876">
      <c r="C876" s="53"/>
      <c r="D876" s="53"/>
    </row>
    <row r="877">
      <c r="C877" s="53"/>
      <c r="D877" s="53"/>
    </row>
    <row r="878">
      <c r="C878" s="53"/>
      <c r="D878" s="53"/>
    </row>
    <row r="879">
      <c r="C879" s="53"/>
      <c r="D879" s="53"/>
    </row>
    <row r="880">
      <c r="C880" s="53"/>
      <c r="D880" s="53"/>
    </row>
    <row r="881">
      <c r="C881" s="53"/>
      <c r="D881" s="53"/>
    </row>
    <row r="882">
      <c r="C882" s="53"/>
      <c r="D882" s="53"/>
    </row>
    <row r="883">
      <c r="C883" s="53"/>
      <c r="D883" s="53"/>
    </row>
    <row r="884">
      <c r="C884" s="53"/>
      <c r="D884" s="53"/>
    </row>
    <row r="885">
      <c r="C885" s="53"/>
      <c r="D885" s="53"/>
    </row>
    <row r="886">
      <c r="C886" s="53"/>
      <c r="D886" s="53"/>
    </row>
    <row r="887">
      <c r="C887" s="53"/>
      <c r="D887" s="53"/>
    </row>
    <row r="888">
      <c r="C888" s="53"/>
      <c r="D888" s="53"/>
    </row>
    <row r="889">
      <c r="C889" s="53"/>
      <c r="D889" s="53"/>
    </row>
    <row r="890">
      <c r="C890" s="53"/>
      <c r="D890" s="53"/>
    </row>
    <row r="891">
      <c r="C891" s="53"/>
      <c r="D891" s="53"/>
    </row>
    <row r="892">
      <c r="C892" s="53"/>
      <c r="D892" s="53"/>
    </row>
    <row r="893">
      <c r="C893" s="53"/>
      <c r="D893" s="53"/>
    </row>
    <row r="894">
      <c r="C894" s="53"/>
      <c r="D894" s="53"/>
    </row>
    <row r="895">
      <c r="C895" s="53"/>
      <c r="D895" s="53"/>
    </row>
    <row r="896">
      <c r="C896" s="53"/>
      <c r="D896" s="53"/>
    </row>
    <row r="897">
      <c r="C897" s="53"/>
      <c r="D897" s="53"/>
    </row>
    <row r="898">
      <c r="C898" s="53"/>
      <c r="D898" s="53"/>
    </row>
    <row r="899">
      <c r="C899" s="53"/>
      <c r="D899" s="53"/>
    </row>
    <row r="900">
      <c r="C900" s="53"/>
      <c r="D900" s="53"/>
    </row>
    <row r="901">
      <c r="C901" s="53"/>
      <c r="D901" s="53"/>
    </row>
    <row r="902">
      <c r="C902" s="53"/>
      <c r="D902" s="53"/>
    </row>
    <row r="903">
      <c r="C903" s="53"/>
      <c r="D903" s="53"/>
    </row>
    <row r="904">
      <c r="C904" s="53"/>
      <c r="D904" s="53"/>
    </row>
    <row r="905">
      <c r="C905" s="53"/>
      <c r="D905" s="53"/>
    </row>
    <row r="906">
      <c r="C906" s="53"/>
      <c r="D906" s="53"/>
    </row>
    <row r="907">
      <c r="C907" s="53"/>
      <c r="D907" s="53"/>
    </row>
    <row r="908">
      <c r="C908" s="53"/>
      <c r="D908" s="53"/>
    </row>
    <row r="909">
      <c r="C909" s="53"/>
      <c r="D909" s="53"/>
    </row>
    <row r="910">
      <c r="C910" s="53"/>
      <c r="D910" s="53"/>
    </row>
    <row r="911">
      <c r="C911" s="53"/>
      <c r="D911" s="53"/>
    </row>
    <row r="912">
      <c r="C912" s="53"/>
      <c r="D912" s="53"/>
    </row>
    <row r="913">
      <c r="C913" s="53"/>
      <c r="D913" s="53"/>
    </row>
    <row r="914">
      <c r="C914" s="53"/>
      <c r="D914" s="53"/>
    </row>
    <row r="915">
      <c r="C915" s="53"/>
      <c r="D915" s="53"/>
    </row>
    <row r="916">
      <c r="C916" s="53"/>
      <c r="D916" s="53"/>
    </row>
    <row r="917">
      <c r="C917" s="53"/>
      <c r="D917" s="53"/>
    </row>
    <row r="918">
      <c r="C918" s="53"/>
      <c r="D918" s="53"/>
    </row>
    <row r="919">
      <c r="C919" s="53"/>
      <c r="D919" s="53"/>
    </row>
    <row r="920">
      <c r="C920" s="53"/>
      <c r="D920" s="53"/>
    </row>
    <row r="921">
      <c r="C921" s="53"/>
      <c r="D921" s="53"/>
    </row>
    <row r="922">
      <c r="C922" s="53"/>
      <c r="D922" s="53"/>
    </row>
    <row r="923">
      <c r="C923" s="53"/>
      <c r="D923" s="53"/>
    </row>
    <row r="924">
      <c r="C924" s="53"/>
      <c r="D924" s="53"/>
    </row>
    <row r="925">
      <c r="C925" s="53"/>
      <c r="D925" s="53"/>
    </row>
    <row r="926">
      <c r="C926" s="53"/>
      <c r="D926" s="53"/>
    </row>
    <row r="927">
      <c r="C927" s="53"/>
      <c r="D927" s="53"/>
    </row>
    <row r="928">
      <c r="C928" s="53"/>
      <c r="D928" s="53"/>
    </row>
    <row r="929">
      <c r="C929" s="53"/>
      <c r="D929" s="53"/>
    </row>
    <row r="930">
      <c r="C930" s="53"/>
      <c r="D930" s="53"/>
    </row>
    <row r="931">
      <c r="C931" s="53"/>
      <c r="D931" s="53"/>
    </row>
    <row r="932">
      <c r="C932" s="53"/>
      <c r="D932" s="53"/>
    </row>
    <row r="933">
      <c r="C933" s="53"/>
      <c r="D933" s="53"/>
    </row>
    <row r="934">
      <c r="C934" s="53"/>
      <c r="D934" s="53"/>
    </row>
    <row r="935">
      <c r="C935" s="53"/>
      <c r="D935" s="53"/>
    </row>
    <row r="936">
      <c r="C936" s="53"/>
      <c r="D936" s="53"/>
    </row>
    <row r="937">
      <c r="C937" s="53"/>
      <c r="D937" s="53"/>
    </row>
    <row r="938">
      <c r="C938" s="53"/>
      <c r="D938" s="53"/>
    </row>
    <row r="939">
      <c r="C939" s="53"/>
      <c r="D939" s="53"/>
    </row>
    <row r="940">
      <c r="C940" s="53"/>
      <c r="D940" s="53"/>
    </row>
    <row r="941">
      <c r="C941" s="53"/>
      <c r="D941" s="53"/>
    </row>
    <row r="942">
      <c r="C942" s="53"/>
      <c r="D942" s="53"/>
    </row>
    <row r="943">
      <c r="C943" s="53"/>
      <c r="D943" s="53"/>
    </row>
    <row r="944">
      <c r="C944" s="53"/>
      <c r="D944" s="53"/>
    </row>
    <row r="945">
      <c r="C945" s="53"/>
      <c r="D945" s="53"/>
    </row>
    <row r="946">
      <c r="C946" s="53"/>
      <c r="D946" s="53"/>
    </row>
    <row r="947">
      <c r="C947" s="53"/>
      <c r="D947" s="53"/>
    </row>
    <row r="948">
      <c r="C948" s="53"/>
      <c r="D948" s="53"/>
    </row>
    <row r="949">
      <c r="C949" s="53"/>
      <c r="D949" s="53"/>
    </row>
    <row r="950">
      <c r="C950" s="53"/>
      <c r="D950" s="53"/>
    </row>
    <row r="951">
      <c r="C951" s="53"/>
      <c r="D951" s="53"/>
    </row>
    <row r="952">
      <c r="C952" s="53"/>
      <c r="D952" s="53"/>
    </row>
    <row r="953">
      <c r="C953" s="53"/>
      <c r="D953" s="53"/>
    </row>
    <row r="954">
      <c r="C954" s="53"/>
      <c r="D954" s="53"/>
    </row>
    <row r="955">
      <c r="C955" s="53"/>
      <c r="D955" s="53"/>
    </row>
    <row r="956">
      <c r="C956" s="53"/>
      <c r="D956" s="53"/>
    </row>
    <row r="957">
      <c r="C957" s="53"/>
      <c r="D957" s="53"/>
    </row>
    <row r="958">
      <c r="C958" s="53"/>
      <c r="D958" s="53"/>
    </row>
    <row r="959">
      <c r="C959" s="53"/>
      <c r="D959" s="53"/>
    </row>
    <row r="960">
      <c r="C960" s="53"/>
      <c r="D960" s="53"/>
    </row>
    <row r="961">
      <c r="C961" s="53"/>
      <c r="D961" s="53"/>
    </row>
    <row r="962">
      <c r="C962" s="53"/>
      <c r="D962" s="53"/>
    </row>
    <row r="963">
      <c r="C963" s="53"/>
      <c r="D963" s="53"/>
    </row>
    <row r="964">
      <c r="C964" s="53"/>
      <c r="D964" s="53"/>
    </row>
    <row r="965">
      <c r="C965" s="53"/>
      <c r="D965" s="53"/>
    </row>
    <row r="966">
      <c r="C966" s="53"/>
      <c r="D966" s="53"/>
    </row>
    <row r="967">
      <c r="C967" s="53"/>
      <c r="D967" s="53"/>
    </row>
    <row r="968">
      <c r="C968" s="53"/>
      <c r="D968" s="53"/>
    </row>
    <row r="969">
      <c r="C969" s="53"/>
      <c r="D969" s="53"/>
    </row>
    <row r="970">
      <c r="C970" s="53"/>
      <c r="D970" s="53"/>
    </row>
    <row r="971">
      <c r="C971" s="53"/>
      <c r="D971" s="53"/>
    </row>
    <row r="972">
      <c r="C972" s="53"/>
      <c r="D972" s="53"/>
    </row>
    <row r="973">
      <c r="C973" s="53"/>
      <c r="D973" s="53"/>
    </row>
    <row r="974">
      <c r="C974" s="53"/>
      <c r="D974" s="53"/>
    </row>
    <row r="975">
      <c r="C975" s="53"/>
      <c r="D975" s="53"/>
    </row>
    <row r="976">
      <c r="C976" s="53"/>
      <c r="D976" s="53"/>
    </row>
    <row r="977">
      <c r="C977" s="53"/>
      <c r="D977" s="53"/>
    </row>
    <row r="978">
      <c r="C978" s="53"/>
      <c r="D978" s="53"/>
    </row>
    <row r="979">
      <c r="C979" s="53"/>
      <c r="D979" s="53"/>
    </row>
    <row r="980">
      <c r="C980" s="53"/>
      <c r="D980" s="53"/>
    </row>
    <row r="981">
      <c r="C981" s="53"/>
      <c r="D981" s="53"/>
    </row>
    <row r="982">
      <c r="C982" s="53"/>
      <c r="D982" s="53"/>
    </row>
    <row r="983">
      <c r="C983" s="53"/>
      <c r="D983" s="53"/>
    </row>
    <row r="984">
      <c r="C984" s="53"/>
      <c r="D984" s="53"/>
    </row>
    <row r="985">
      <c r="C985" s="53"/>
      <c r="D985" s="53"/>
    </row>
    <row r="986">
      <c r="C986" s="53"/>
      <c r="D986" s="53"/>
    </row>
    <row r="987">
      <c r="C987" s="53"/>
      <c r="D987" s="53"/>
    </row>
    <row r="988">
      <c r="C988" s="53"/>
      <c r="D988" s="53"/>
    </row>
    <row r="989">
      <c r="C989" s="53"/>
      <c r="D989" s="53"/>
    </row>
    <row r="990">
      <c r="C990" s="53"/>
      <c r="D990" s="53"/>
    </row>
    <row r="991">
      <c r="C991" s="53"/>
      <c r="D991" s="53"/>
    </row>
    <row r="992">
      <c r="C992" s="53"/>
      <c r="D992" s="53"/>
    </row>
    <row r="993">
      <c r="C993" s="53"/>
      <c r="D993" s="53"/>
    </row>
    <row r="994">
      <c r="C994" s="53"/>
      <c r="D994" s="53"/>
    </row>
    <row r="995">
      <c r="C995" s="53"/>
      <c r="D995" s="53"/>
    </row>
    <row r="996">
      <c r="C996" s="53"/>
      <c r="D996" s="53"/>
    </row>
    <row r="997">
      <c r="C997" s="53"/>
      <c r="D997" s="53"/>
    </row>
    <row r="998">
      <c r="C998" s="53"/>
      <c r="D998" s="53"/>
    </row>
    <row r="999">
      <c r="C999" s="53"/>
      <c r="D999" s="53"/>
    </row>
    <row r="1000">
      <c r="C1000" s="53"/>
      <c r="D1000" s="5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4" t="s">
        <v>34</v>
      </c>
    </row>
    <row r="2">
      <c r="A2" s="40" t="str">
        <f>IFERROR(__xludf.DUMMYFUNCTION("sort(filter({PlayerValues!B2:B3222,PlayerValues!R2:R3222},PlayerValues!R2:R3222&gt;large(PlayerValues!R2:R3222,11)),2,false)"),"#N/A")</f>
        <v>#N/A</v>
      </c>
    </row>
    <row r="13">
      <c r="A13" s="4" t="s">
        <v>36</v>
      </c>
    </row>
    <row r="14">
      <c r="A14" s="40" t="str">
        <f>IFERROR(__xludf.DUMMYFUNCTION("sort(filter({PlayerValues!B2:B3222,PlayerValues!R2:R3222},PlayerValues!R2:R3222&lt;small(PlayerValues!R2:R3222,11)),2,true)"),"Robinson, Bijan")</f>
        <v>Robinson, Bijan</v>
      </c>
      <c r="B14" s="40">
        <f>IFERROR(__xludf.DUMMYFUNCTION("""COMPUTED_VALUE"""),-9998.0)</f>
        <v>-9998</v>
      </c>
    </row>
    <row r="15">
      <c r="A15" s="40" t="str">
        <f>IFERROR(__xludf.DUMMYFUNCTION("""COMPUTED_VALUE"""),"Gibbs, Jahmyr")</f>
        <v>Gibbs, Jahmyr</v>
      </c>
      <c r="B15" s="40">
        <f>IFERROR(__xludf.DUMMYFUNCTION("""COMPUTED_VALUE"""),-9998.0)</f>
        <v>-9998</v>
      </c>
    </row>
    <row r="16">
      <c r="A16" s="40" t="str">
        <f>IFERROR(__xludf.DUMMYFUNCTION("""COMPUTED_VALUE"""),"Allen, Josh")</f>
        <v>Allen, Josh</v>
      </c>
      <c r="B16" s="40">
        <f>IFERROR(__xludf.DUMMYFUNCTION("""COMPUTED_VALUE"""),-9993.0)</f>
        <v>-9993</v>
      </c>
    </row>
    <row r="17">
      <c r="A17" s="40" t="str">
        <f>IFERROR(__xludf.DUMMYFUNCTION("""COMPUTED_VALUE"""),"Chase, Ja'Marr")</f>
        <v>Chase, Ja'Marr</v>
      </c>
      <c r="B17" s="40">
        <f>IFERROR(__xludf.DUMMYFUNCTION("""COMPUTED_VALUE"""),-9977.0)</f>
        <v>-9977</v>
      </c>
    </row>
    <row r="18">
      <c r="A18" s="40" t="str">
        <f>IFERROR(__xludf.DUMMYFUNCTION("""COMPUTED_VALUE"""),"Smith-Njigba, Jaxon")</f>
        <v>Smith-Njigba, Jaxon</v>
      </c>
      <c r="B18" s="40">
        <f>IFERROR(__xludf.DUMMYFUNCTION("""COMPUTED_VALUE"""),-9195.0)</f>
        <v>-9195</v>
      </c>
    </row>
    <row r="19">
      <c r="A19" s="40" t="str">
        <f>IFERROR(__xludf.DUMMYFUNCTION("""COMPUTED_VALUE"""),"Bowers, Brock")</f>
        <v>Bowers, Brock</v>
      </c>
      <c r="B19" s="40">
        <f>IFERROR(__xludf.DUMMYFUNCTION("""COMPUTED_VALUE"""),-9139.0)</f>
        <v>-9139</v>
      </c>
    </row>
    <row r="20">
      <c r="A20" s="40" t="str">
        <f>IFERROR(__xludf.DUMMYFUNCTION("""COMPUTED_VALUE"""),"Maye, Drake")</f>
        <v>Maye, Drake</v>
      </c>
      <c r="B20" s="40">
        <f>IFERROR(__xludf.DUMMYFUNCTION("""COMPUTED_VALUE"""),-8897.0)</f>
        <v>-8897</v>
      </c>
    </row>
    <row r="21">
      <c r="A21" s="40" t="str">
        <f>IFERROR(__xludf.DUMMYFUNCTION("""COMPUTED_VALUE"""),"Nacua, Puka")</f>
        <v>Nacua, Puka</v>
      </c>
      <c r="B21" s="40">
        <f>IFERROR(__xludf.DUMMYFUNCTION("""COMPUTED_VALUE"""),-8580.0)</f>
        <v>-8580</v>
      </c>
    </row>
    <row r="22">
      <c r="A22" s="40" t="str">
        <f>IFERROR(__xludf.DUMMYFUNCTION("""COMPUTED_VALUE"""),"St. Brown, Amon-Ra")</f>
        <v>St. Brown, Amon-Ra</v>
      </c>
      <c r="B22" s="40">
        <f>IFERROR(__xludf.DUMMYFUNCTION("""COMPUTED_VALUE"""),-8188.0)</f>
        <v>-8188</v>
      </c>
    </row>
    <row r="23">
      <c r="A23" s="40" t="str">
        <f>IFERROR(__xludf.DUMMYFUNCTION("""COMPUTED_VALUE"""),"McBride, Trey")</f>
        <v>McBride, Trey</v>
      </c>
      <c r="B23" s="40">
        <f>IFERROR(__xludf.DUMMYFUNCTION("""COMPUTED_VALUE"""),-8090.0)</f>
        <v>-8090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88"/>
    <col customWidth="1" min="3" max="3" width="5.75"/>
    <col customWidth="1" min="4" max="4" width="4.0"/>
    <col customWidth="1" min="6" max="17" width="8.88"/>
  </cols>
  <sheetData>
    <row r="1">
      <c r="A1" s="60" t="str">
        <f>IFERROR(__xludf.DUMMYFUNCTION("importrange(""https://docs.google.com/spreadsheets/d/1Sq384NvzuOA5vLi-wT_7CYoq3hD-kgu--fETQsusM8A"",""Current!A:D"")"),"#REF!")</f>
        <v>#REF!</v>
      </c>
      <c r="B1" s="60"/>
      <c r="C1" s="60"/>
      <c r="D1" s="60"/>
      <c r="E1" s="60" t="s">
        <v>53</v>
      </c>
      <c r="F1" s="61">
        <v>46023.0</v>
      </c>
      <c r="G1" s="61">
        <f t="shared" ref="G1:Q1" si="1">if(today()&gt;=date(2026,month(F1)+1,1),date(2026,month(F1)+1,1),)</f>
        <v>46054</v>
      </c>
      <c r="H1" s="61">
        <f t="shared" si="1"/>
        <v>46082</v>
      </c>
      <c r="I1" s="61">
        <f t="shared" si="1"/>
        <v>46113</v>
      </c>
      <c r="J1" s="61">
        <f t="shared" si="1"/>
        <v>46143</v>
      </c>
      <c r="K1" s="61">
        <f t="shared" si="1"/>
        <v>46174</v>
      </c>
      <c r="L1" s="61">
        <f t="shared" si="1"/>
        <v>46204</v>
      </c>
      <c r="M1" s="61">
        <f t="shared" si="1"/>
        <v>46235</v>
      </c>
      <c r="N1" s="61">
        <f t="shared" si="1"/>
        <v>46266</v>
      </c>
      <c r="O1" s="61">
        <f t="shared" si="1"/>
        <v>46296</v>
      </c>
      <c r="P1" s="61" t="str">
        <f t="shared" si="1"/>
        <v/>
      </c>
      <c r="Q1" s="61" t="str">
        <f t="shared" si="1"/>
        <v/>
      </c>
      <c r="R1" s="60" t="s">
        <v>54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hidden="1">
      <c r="A2" s="60">
        <f>IFERROR(__xludf.DUMMYFUNCTION("""COMPUTED_VALUE"""),151.0)</f>
        <v>151</v>
      </c>
      <c r="B2" s="60" t="str">
        <f>IFERROR(__xludf.DUMMYFUNCTION("""COMPUTED_VALUE"""),"Bills, Buffalo")</f>
        <v>Bills, Buffalo</v>
      </c>
      <c r="C2" s="60" t="str">
        <f>IFERROR(__xludf.DUMMYFUNCTION("""COMPUTED_VALUE"""),"TMWR")</f>
        <v>TMWR</v>
      </c>
      <c r="D2" s="60" t="str">
        <f>IFERROR(__xludf.DUMMYFUNCTION("""COMPUTED_VALUE"""),"BUF")</f>
        <v>BUF</v>
      </c>
      <c r="E2" s="62" t="str">
        <f t="shared" ref="E2:E2575" si="4">mid(B2,find(",",B2)+2,30)&amp;" "&amp;left(B2,find(",",B2)-1)</f>
        <v>Buffalo Bills</v>
      </c>
      <c r="F2" s="62">
        <f t="shared" ref="F2:G2" si="2">IF(isblank(F$1),,IF(isblank($A2),,IFERROR(vlookup($A2,indirect("'TVC-"&amp;text(month(F$1),"00")&amp;"'!$A:$D"),4,false),1)))</f>
        <v>1</v>
      </c>
      <c r="G2" s="62">
        <f t="shared" si="2"/>
        <v>1</v>
      </c>
      <c r="H2" s="62">
        <f t="shared" ref="H2:Q2" si="3">IF(isblank(H$1),,IFERROR(vlookup($A2,indirect("'TVC-"&amp;text(month(H$1),"00")&amp;"'!$A:$D"),4,false),1))</f>
        <v>1</v>
      </c>
      <c r="I2" s="62">
        <f t="shared" si="3"/>
        <v>1</v>
      </c>
      <c r="J2" s="62">
        <f t="shared" si="3"/>
        <v>1</v>
      </c>
      <c r="K2" s="62">
        <f t="shared" si="3"/>
        <v>1</v>
      </c>
      <c r="L2" s="62">
        <f t="shared" si="3"/>
        <v>1</v>
      </c>
      <c r="M2" s="62">
        <f t="shared" si="3"/>
        <v>1</v>
      </c>
      <c r="N2" s="62">
        <f t="shared" si="3"/>
        <v>1</v>
      </c>
      <c r="O2" s="62">
        <f t="shared" si="3"/>
        <v>1</v>
      </c>
      <c r="P2" s="62" t="str">
        <f t="shared" si="3"/>
        <v/>
      </c>
      <c r="Q2" s="62" t="str">
        <f t="shared" si="3"/>
        <v/>
      </c>
      <c r="R2" s="62">
        <f t="shared" ref="R2:R3222" si="7">index(A2:Q2,,month(today())+5)-index(A2:Q2,,month(today())+4)</f>
        <v>0</v>
      </c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hidden="1">
      <c r="A3" s="60">
        <f>IFERROR(__xludf.DUMMYFUNCTION("""COMPUTED_VALUE"""),152.0)</f>
        <v>152</v>
      </c>
      <c r="B3" s="60" t="str">
        <f>IFERROR(__xludf.DUMMYFUNCTION("""COMPUTED_VALUE"""),"Colts, Indianapolis")</f>
        <v>Colts, Indianapolis</v>
      </c>
      <c r="C3" s="60" t="str">
        <f>IFERROR(__xludf.DUMMYFUNCTION("""COMPUTED_VALUE"""),"TMWR")</f>
        <v>TMWR</v>
      </c>
      <c r="D3" s="60" t="str">
        <f>IFERROR(__xludf.DUMMYFUNCTION("""COMPUTED_VALUE"""),"IND")</f>
        <v>IND</v>
      </c>
      <c r="E3" s="62" t="str">
        <f t="shared" si="4"/>
        <v>Indianapolis Colts</v>
      </c>
      <c r="F3" s="62">
        <f t="shared" ref="F3:G3" si="5">IF(isblank(F$1),,IF(isblank($A3),,IFERROR(vlookup($A3,indirect("'TVC-"&amp;text(month(F$1),"00")&amp;"'!$A:$D"),4,false),1)))</f>
        <v>1</v>
      </c>
      <c r="G3" s="62">
        <f t="shared" si="5"/>
        <v>1</v>
      </c>
      <c r="H3" s="62">
        <f t="shared" ref="H3:Q3" si="6">IF(isblank(H$1),,IFERROR(vlookup($A3,indirect("'TVC-"&amp;text(month(H$1),"00")&amp;"'!$A:$D"),4,false),1))</f>
        <v>1</v>
      </c>
      <c r="I3" s="62">
        <f t="shared" si="6"/>
        <v>1</v>
      </c>
      <c r="J3" s="62">
        <f t="shared" si="6"/>
        <v>1</v>
      </c>
      <c r="K3" s="62">
        <f t="shared" si="6"/>
        <v>1</v>
      </c>
      <c r="L3" s="62">
        <f t="shared" si="6"/>
        <v>1</v>
      </c>
      <c r="M3" s="62">
        <f t="shared" si="6"/>
        <v>1</v>
      </c>
      <c r="N3" s="62">
        <f t="shared" si="6"/>
        <v>1</v>
      </c>
      <c r="O3" s="62">
        <f t="shared" si="6"/>
        <v>1</v>
      </c>
      <c r="P3" s="62" t="str">
        <f t="shared" si="6"/>
        <v/>
      </c>
      <c r="Q3" s="62" t="str">
        <f t="shared" si="6"/>
        <v/>
      </c>
      <c r="R3" s="62">
        <f t="shared" si="7"/>
        <v>0</v>
      </c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hidden="1">
      <c r="A4" s="60">
        <f>IFERROR(__xludf.DUMMYFUNCTION("""COMPUTED_VALUE"""),153.0)</f>
        <v>153</v>
      </c>
      <c r="B4" s="60" t="str">
        <f>IFERROR(__xludf.DUMMYFUNCTION("""COMPUTED_VALUE"""),"Dolphins, Miami")</f>
        <v>Dolphins, Miami</v>
      </c>
      <c r="C4" s="60" t="str">
        <f>IFERROR(__xludf.DUMMYFUNCTION("""COMPUTED_VALUE"""),"TMWR")</f>
        <v>TMWR</v>
      </c>
      <c r="D4" s="60" t="str">
        <f>IFERROR(__xludf.DUMMYFUNCTION("""COMPUTED_VALUE"""),"MIA")</f>
        <v>MIA</v>
      </c>
      <c r="E4" s="62" t="str">
        <f t="shared" si="4"/>
        <v>Miami Dolphins</v>
      </c>
      <c r="F4" s="62">
        <f t="shared" ref="F4:G4" si="8">IF(isblank(F$1),,IF(isblank($A4),,IFERROR(vlookup($A4,indirect("'TVC-"&amp;text(month(F$1),"00")&amp;"'!$A:$D"),4,false),1)))</f>
        <v>1</v>
      </c>
      <c r="G4" s="62">
        <f t="shared" si="8"/>
        <v>1</v>
      </c>
      <c r="H4" s="62">
        <f t="shared" ref="H4:Q4" si="9">IF(isblank(H$1),,IFERROR(vlookup($A4,indirect("'TVC-"&amp;text(month(H$1),"00")&amp;"'!$A:$D"),4,false),1))</f>
        <v>1</v>
      </c>
      <c r="I4" s="62">
        <f t="shared" si="9"/>
        <v>1</v>
      </c>
      <c r="J4" s="62">
        <f t="shared" si="9"/>
        <v>1</v>
      </c>
      <c r="K4" s="62">
        <f t="shared" si="9"/>
        <v>1</v>
      </c>
      <c r="L4" s="62">
        <f t="shared" si="9"/>
        <v>1</v>
      </c>
      <c r="M4" s="62">
        <f t="shared" si="9"/>
        <v>1</v>
      </c>
      <c r="N4" s="62">
        <f t="shared" si="9"/>
        <v>1</v>
      </c>
      <c r="O4" s="62">
        <f t="shared" si="9"/>
        <v>1</v>
      </c>
      <c r="P4" s="62" t="str">
        <f t="shared" si="9"/>
        <v/>
      </c>
      <c r="Q4" s="62" t="str">
        <f t="shared" si="9"/>
        <v/>
      </c>
      <c r="R4" s="62">
        <f t="shared" si="7"/>
        <v>0</v>
      </c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</row>
    <row r="5" hidden="1">
      <c r="A5" s="60">
        <f>IFERROR(__xludf.DUMMYFUNCTION("""COMPUTED_VALUE"""),154.0)</f>
        <v>154</v>
      </c>
      <c r="B5" s="60" t="str">
        <f>IFERROR(__xludf.DUMMYFUNCTION("""COMPUTED_VALUE"""),"Patriots, New England")</f>
        <v>Patriots, New England</v>
      </c>
      <c r="C5" s="60" t="str">
        <f>IFERROR(__xludf.DUMMYFUNCTION("""COMPUTED_VALUE"""),"TMWR")</f>
        <v>TMWR</v>
      </c>
      <c r="D5" s="60" t="str">
        <f>IFERROR(__xludf.DUMMYFUNCTION("""COMPUTED_VALUE"""),"NEP")</f>
        <v>NEP</v>
      </c>
      <c r="E5" s="62" t="str">
        <f t="shared" si="4"/>
        <v>New England Patriots</v>
      </c>
      <c r="F5" s="62">
        <f t="shared" ref="F5:G5" si="10">IF(isblank(F$1),,IF(isblank($A5),,IFERROR(vlookup($A5,indirect("'TVC-"&amp;text(month(F$1),"00")&amp;"'!$A:$D"),4,false),1)))</f>
        <v>1</v>
      </c>
      <c r="G5" s="62">
        <f t="shared" si="10"/>
        <v>1</v>
      </c>
      <c r="H5" s="62">
        <f t="shared" ref="H5:Q5" si="11">IF(isblank(H$1),,IFERROR(vlookup($A5,indirect("'TVC-"&amp;text(month(H$1),"00")&amp;"'!$A:$D"),4,false),1))</f>
        <v>1</v>
      </c>
      <c r="I5" s="62">
        <f t="shared" si="11"/>
        <v>1</v>
      </c>
      <c r="J5" s="62">
        <f t="shared" si="11"/>
        <v>1</v>
      </c>
      <c r="K5" s="62">
        <f t="shared" si="11"/>
        <v>1</v>
      </c>
      <c r="L5" s="62">
        <f t="shared" si="11"/>
        <v>1</v>
      </c>
      <c r="M5" s="62">
        <f t="shared" si="11"/>
        <v>1</v>
      </c>
      <c r="N5" s="62">
        <f t="shared" si="11"/>
        <v>1</v>
      </c>
      <c r="O5" s="62">
        <f t="shared" si="11"/>
        <v>1</v>
      </c>
      <c r="P5" s="62" t="str">
        <f t="shared" si="11"/>
        <v/>
      </c>
      <c r="Q5" s="62" t="str">
        <f t="shared" si="11"/>
        <v/>
      </c>
      <c r="R5" s="62">
        <f t="shared" si="7"/>
        <v>0</v>
      </c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</row>
    <row r="6" hidden="1">
      <c r="A6" s="60">
        <f>IFERROR(__xludf.DUMMYFUNCTION("""COMPUTED_VALUE"""),155.0)</f>
        <v>155</v>
      </c>
      <c r="B6" s="60" t="str">
        <f>IFERROR(__xludf.DUMMYFUNCTION("""COMPUTED_VALUE"""),"Jets, New York")</f>
        <v>Jets, New York</v>
      </c>
      <c r="C6" s="60" t="str">
        <f>IFERROR(__xludf.DUMMYFUNCTION("""COMPUTED_VALUE"""),"TMWR")</f>
        <v>TMWR</v>
      </c>
      <c r="D6" s="60" t="str">
        <f>IFERROR(__xludf.DUMMYFUNCTION("""COMPUTED_VALUE"""),"NYJ")</f>
        <v>NYJ</v>
      </c>
      <c r="E6" s="62" t="str">
        <f t="shared" si="4"/>
        <v>New York Jets</v>
      </c>
      <c r="F6" s="62">
        <f t="shared" ref="F6:G6" si="12">IF(isblank(F$1),,IF(isblank($A6),,IFERROR(vlookup($A6,indirect("'TVC-"&amp;text(month(F$1),"00")&amp;"'!$A:$D"),4,false),1)))</f>
        <v>1</v>
      </c>
      <c r="G6" s="62">
        <f t="shared" si="12"/>
        <v>1</v>
      </c>
      <c r="H6" s="62">
        <f t="shared" ref="H6:Q6" si="13">IF(isblank(H$1),,IFERROR(vlookup($A6,indirect("'TVC-"&amp;text(month(H$1),"00")&amp;"'!$A:$D"),4,false),1))</f>
        <v>1</v>
      </c>
      <c r="I6" s="62">
        <f t="shared" si="13"/>
        <v>1</v>
      </c>
      <c r="J6" s="62">
        <f t="shared" si="13"/>
        <v>1</v>
      </c>
      <c r="K6" s="62">
        <f t="shared" si="13"/>
        <v>1</v>
      </c>
      <c r="L6" s="62">
        <f t="shared" si="13"/>
        <v>1</v>
      </c>
      <c r="M6" s="62">
        <f t="shared" si="13"/>
        <v>1</v>
      </c>
      <c r="N6" s="62">
        <f t="shared" si="13"/>
        <v>1</v>
      </c>
      <c r="O6" s="62">
        <f t="shared" si="13"/>
        <v>1</v>
      </c>
      <c r="P6" s="62" t="str">
        <f t="shared" si="13"/>
        <v/>
      </c>
      <c r="Q6" s="62" t="str">
        <f t="shared" si="13"/>
        <v/>
      </c>
      <c r="R6" s="62">
        <f t="shared" si="7"/>
        <v>0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</row>
    <row r="7" hidden="1">
      <c r="A7" s="60">
        <f>IFERROR(__xludf.DUMMYFUNCTION("""COMPUTED_VALUE"""),156.0)</f>
        <v>156</v>
      </c>
      <c r="B7" s="60" t="str">
        <f>IFERROR(__xludf.DUMMYFUNCTION("""COMPUTED_VALUE"""),"Bengals, Cincinnati")</f>
        <v>Bengals, Cincinnati</v>
      </c>
      <c r="C7" s="60" t="str">
        <f>IFERROR(__xludf.DUMMYFUNCTION("""COMPUTED_VALUE"""),"TMWR")</f>
        <v>TMWR</v>
      </c>
      <c r="D7" s="60" t="str">
        <f>IFERROR(__xludf.DUMMYFUNCTION("""COMPUTED_VALUE"""),"CIN")</f>
        <v>CIN</v>
      </c>
      <c r="E7" s="62" t="str">
        <f t="shared" si="4"/>
        <v>Cincinnati Bengals</v>
      </c>
      <c r="F7" s="62">
        <f t="shared" ref="F7:G7" si="14">IF(isblank(F$1),,IF(isblank($A7),,IFERROR(vlookup($A7,indirect("'TVC-"&amp;text(month(F$1),"00")&amp;"'!$A:$D"),4,false),1)))</f>
        <v>1</v>
      </c>
      <c r="G7" s="62">
        <f t="shared" si="14"/>
        <v>1</v>
      </c>
      <c r="H7" s="62">
        <f t="shared" ref="H7:Q7" si="15">IF(isblank(H$1),,IFERROR(vlookup($A7,indirect("'TVC-"&amp;text(month(H$1),"00")&amp;"'!$A:$D"),4,false),1))</f>
        <v>1</v>
      </c>
      <c r="I7" s="62">
        <f t="shared" si="15"/>
        <v>1</v>
      </c>
      <c r="J7" s="62">
        <f t="shared" si="15"/>
        <v>1</v>
      </c>
      <c r="K7" s="62">
        <f t="shared" si="15"/>
        <v>1</v>
      </c>
      <c r="L7" s="62">
        <f t="shared" si="15"/>
        <v>1</v>
      </c>
      <c r="M7" s="62">
        <f t="shared" si="15"/>
        <v>1</v>
      </c>
      <c r="N7" s="62">
        <f t="shared" si="15"/>
        <v>1</v>
      </c>
      <c r="O7" s="62">
        <f t="shared" si="15"/>
        <v>1</v>
      </c>
      <c r="P7" s="62" t="str">
        <f t="shared" si="15"/>
        <v/>
      </c>
      <c r="Q7" s="62" t="str">
        <f t="shared" si="15"/>
        <v/>
      </c>
      <c r="R7" s="62">
        <f t="shared" si="7"/>
        <v>0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hidden="1">
      <c r="A8" s="60">
        <f>IFERROR(__xludf.DUMMYFUNCTION("""COMPUTED_VALUE"""),157.0)</f>
        <v>157</v>
      </c>
      <c r="B8" s="60" t="str">
        <f>IFERROR(__xludf.DUMMYFUNCTION("""COMPUTED_VALUE"""),"Browns, Cleveland")</f>
        <v>Browns, Cleveland</v>
      </c>
      <c r="C8" s="60" t="str">
        <f>IFERROR(__xludf.DUMMYFUNCTION("""COMPUTED_VALUE"""),"TMWR")</f>
        <v>TMWR</v>
      </c>
      <c r="D8" s="60" t="str">
        <f>IFERROR(__xludf.DUMMYFUNCTION("""COMPUTED_VALUE"""),"CLE")</f>
        <v>CLE</v>
      </c>
      <c r="E8" s="62" t="str">
        <f t="shared" si="4"/>
        <v>Cleveland Browns</v>
      </c>
      <c r="F8" s="62">
        <f t="shared" ref="F8:G8" si="16">IF(isblank(F$1),,IF(isblank($A8),,IFERROR(vlookup($A8,indirect("'TVC-"&amp;text(month(F$1),"00")&amp;"'!$A:$D"),4,false),1)))</f>
        <v>1</v>
      </c>
      <c r="G8" s="62">
        <f t="shared" si="16"/>
        <v>1</v>
      </c>
      <c r="H8" s="62">
        <f t="shared" ref="H8:Q8" si="17">IF(isblank(H$1),,IFERROR(vlookup($A8,indirect("'TVC-"&amp;text(month(H$1),"00")&amp;"'!$A:$D"),4,false),1))</f>
        <v>1</v>
      </c>
      <c r="I8" s="62">
        <f t="shared" si="17"/>
        <v>1</v>
      </c>
      <c r="J8" s="62">
        <f t="shared" si="17"/>
        <v>1</v>
      </c>
      <c r="K8" s="62">
        <f t="shared" si="17"/>
        <v>1</v>
      </c>
      <c r="L8" s="62">
        <f t="shared" si="17"/>
        <v>1</v>
      </c>
      <c r="M8" s="62">
        <f t="shared" si="17"/>
        <v>1</v>
      </c>
      <c r="N8" s="62">
        <f t="shared" si="17"/>
        <v>1</v>
      </c>
      <c r="O8" s="62">
        <f t="shared" si="17"/>
        <v>1</v>
      </c>
      <c r="P8" s="62" t="str">
        <f t="shared" si="17"/>
        <v/>
      </c>
      <c r="Q8" s="62" t="str">
        <f t="shared" si="17"/>
        <v/>
      </c>
      <c r="R8" s="62">
        <f t="shared" si="7"/>
        <v>0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</row>
    <row r="9" hidden="1">
      <c r="A9" s="60">
        <f>IFERROR(__xludf.DUMMYFUNCTION("""COMPUTED_VALUE"""),158.0)</f>
        <v>158</v>
      </c>
      <c r="B9" s="60" t="str">
        <f>IFERROR(__xludf.DUMMYFUNCTION("""COMPUTED_VALUE"""),"Titans, Tennessee")</f>
        <v>Titans, Tennessee</v>
      </c>
      <c r="C9" s="60" t="str">
        <f>IFERROR(__xludf.DUMMYFUNCTION("""COMPUTED_VALUE"""),"TMWR")</f>
        <v>TMWR</v>
      </c>
      <c r="D9" s="60" t="str">
        <f>IFERROR(__xludf.DUMMYFUNCTION("""COMPUTED_VALUE"""),"TEN")</f>
        <v>TEN</v>
      </c>
      <c r="E9" s="62" t="str">
        <f t="shared" si="4"/>
        <v>Tennessee Titans</v>
      </c>
      <c r="F9" s="62">
        <f t="shared" ref="F9:G9" si="18">IF(isblank(F$1),,IF(isblank($A9),,IFERROR(vlookup($A9,indirect("'TVC-"&amp;text(month(F$1),"00")&amp;"'!$A:$D"),4,false),1)))</f>
        <v>1</v>
      </c>
      <c r="G9" s="62">
        <f t="shared" si="18"/>
        <v>1</v>
      </c>
      <c r="H9" s="62">
        <f t="shared" ref="H9:Q9" si="19">IF(isblank(H$1),,IFERROR(vlookup($A9,indirect("'TVC-"&amp;text(month(H$1),"00")&amp;"'!$A:$D"),4,false),1))</f>
        <v>1</v>
      </c>
      <c r="I9" s="62">
        <f t="shared" si="19"/>
        <v>1</v>
      </c>
      <c r="J9" s="62">
        <f t="shared" si="19"/>
        <v>1</v>
      </c>
      <c r="K9" s="62">
        <f t="shared" si="19"/>
        <v>1</v>
      </c>
      <c r="L9" s="62">
        <f t="shared" si="19"/>
        <v>1</v>
      </c>
      <c r="M9" s="62">
        <f t="shared" si="19"/>
        <v>1</v>
      </c>
      <c r="N9" s="62">
        <f t="shared" si="19"/>
        <v>1</v>
      </c>
      <c r="O9" s="62">
        <f t="shared" si="19"/>
        <v>1</v>
      </c>
      <c r="P9" s="62" t="str">
        <f t="shared" si="19"/>
        <v/>
      </c>
      <c r="Q9" s="62" t="str">
        <f t="shared" si="19"/>
        <v/>
      </c>
      <c r="R9" s="62">
        <f t="shared" si="7"/>
        <v>0</v>
      </c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</row>
    <row r="10" hidden="1">
      <c r="A10" s="60">
        <f>IFERROR(__xludf.DUMMYFUNCTION("""COMPUTED_VALUE"""),159.0)</f>
        <v>159</v>
      </c>
      <c r="B10" s="60" t="str">
        <f>IFERROR(__xludf.DUMMYFUNCTION("""COMPUTED_VALUE"""),"Jaguars, Jacksonville")</f>
        <v>Jaguars, Jacksonville</v>
      </c>
      <c r="C10" s="60" t="str">
        <f>IFERROR(__xludf.DUMMYFUNCTION("""COMPUTED_VALUE"""),"TMWR")</f>
        <v>TMWR</v>
      </c>
      <c r="D10" s="60" t="str">
        <f>IFERROR(__xludf.DUMMYFUNCTION("""COMPUTED_VALUE"""),"JAC")</f>
        <v>JAC</v>
      </c>
      <c r="E10" s="62" t="str">
        <f t="shared" si="4"/>
        <v>Jacksonville Jaguars</v>
      </c>
      <c r="F10" s="62">
        <f t="shared" ref="F10:G10" si="20">IF(isblank(F$1),,IF(isblank($A10),,IFERROR(vlookup($A10,indirect("'TVC-"&amp;text(month(F$1),"00")&amp;"'!$A:$D"),4,false),1)))</f>
        <v>1</v>
      </c>
      <c r="G10" s="62">
        <f t="shared" si="20"/>
        <v>1</v>
      </c>
      <c r="H10" s="62">
        <f t="shared" ref="H10:Q10" si="21">IF(isblank(H$1),,IFERROR(vlookup($A10,indirect("'TVC-"&amp;text(month(H$1),"00")&amp;"'!$A:$D"),4,false),1))</f>
        <v>1</v>
      </c>
      <c r="I10" s="62">
        <f t="shared" si="21"/>
        <v>1</v>
      </c>
      <c r="J10" s="62">
        <f t="shared" si="21"/>
        <v>1</v>
      </c>
      <c r="K10" s="62">
        <f t="shared" si="21"/>
        <v>1</v>
      </c>
      <c r="L10" s="62">
        <f t="shared" si="21"/>
        <v>1</v>
      </c>
      <c r="M10" s="62">
        <f t="shared" si="21"/>
        <v>1</v>
      </c>
      <c r="N10" s="62">
        <f t="shared" si="21"/>
        <v>1</v>
      </c>
      <c r="O10" s="62">
        <f t="shared" si="21"/>
        <v>1</v>
      </c>
      <c r="P10" s="62" t="str">
        <f t="shared" si="21"/>
        <v/>
      </c>
      <c r="Q10" s="62" t="str">
        <f t="shared" si="21"/>
        <v/>
      </c>
      <c r="R10" s="62">
        <f t="shared" si="7"/>
        <v>0</v>
      </c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</row>
    <row r="11" hidden="1">
      <c r="A11" s="60">
        <f>IFERROR(__xludf.DUMMYFUNCTION("""COMPUTED_VALUE"""),160.0)</f>
        <v>160</v>
      </c>
      <c r="B11" s="60" t="str">
        <f>IFERROR(__xludf.DUMMYFUNCTION("""COMPUTED_VALUE"""),"Steelers, Pittsburgh")</f>
        <v>Steelers, Pittsburgh</v>
      </c>
      <c r="C11" s="60" t="str">
        <f>IFERROR(__xludf.DUMMYFUNCTION("""COMPUTED_VALUE"""),"TMWR")</f>
        <v>TMWR</v>
      </c>
      <c r="D11" s="60" t="str">
        <f>IFERROR(__xludf.DUMMYFUNCTION("""COMPUTED_VALUE"""),"PIT")</f>
        <v>PIT</v>
      </c>
      <c r="E11" s="62" t="str">
        <f t="shared" si="4"/>
        <v>Pittsburgh Steelers</v>
      </c>
      <c r="F11" s="62">
        <f t="shared" ref="F11:G11" si="22">IF(isblank(F$1),,IF(isblank($A11),,IFERROR(vlookup($A11,indirect("'TVC-"&amp;text(month(F$1),"00")&amp;"'!$A:$D"),4,false),1)))</f>
        <v>1</v>
      </c>
      <c r="G11" s="62">
        <f t="shared" si="22"/>
        <v>1</v>
      </c>
      <c r="H11" s="62">
        <f t="shared" ref="H11:Q11" si="23">IF(isblank(H$1),,IFERROR(vlookup($A11,indirect("'TVC-"&amp;text(month(H$1),"00")&amp;"'!$A:$D"),4,false),1))</f>
        <v>1</v>
      </c>
      <c r="I11" s="62">
        <f t="shared" si="23"/>
        <v>1</v>
      </c>
      <c r="J11" s="62">
        <f t="shared" si="23"/>
        <v>1</v>
      </c>
      <c r="K11" s="62">
        <f t="shared" si="23"/>
        <v>1</v>
      </c>
      <c r="L11" s="62">
        <f t="shared" si="23"/>
        <v>1</v>
      </c>
      <c r="M11" s="62">
        <f t="shared" si="23"/>
        <v>1</v>
      </c>
      <c r="N11" s="62">
        <f t="shared" si="23"/>
        <v>1</v>
      </c>
      <c r="O11" s="62">
        <f t="shared" si="23"/>
        <v>1</v>
      </c>
      <c r="P11" s="62" t="str">
        <f t="shared" si="23"/>
        <v/>
      </c>
      <c r="Q11" s="62" t="str">
        <f t="shared" si="23"/>
        <v/>
      </c>
      <c r="R11" s="62">
        <f t="shared" si="7"/>
        <v>0</v>
      </c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</row>
    <row r="12" hidden="1">
      <c r="A12" s="60">
        <f>IFERROR(__xludf.DUMMYFUNCTION("""COMPUTED_VALUE"""),161.0)</f>
        <v>161</v>
      </c>
      <c r="B12" s="60" t="str">
        <f>IFERROR(__xludf.DUMMYFUNCTION("""COMPUTED_VALUE"""),"Broncos, Denver")</f>
        <v>Broncos, Denver</v>
      </c>
      <c r="C12" s="60" t="str">
        <f>IFERROR(__xludf.DUMMYFUNCTION("""COMPUTED_VALUE"""),"TMWR")</f>
        <v>TMWR</v>
      </c>
      <c r="D12" s="60" t="str">
        <f>IFERROR(__xludf.DUMMYFUNCTION("""COMPUTED_VALUE"""),"DEN")</f>
        <v>DEN</v>
      </c>
      <c r="E12" s="62" t="str">
        <f t="shared" si="4"/>
        <v>Denver Broncos</v>
      </c>
      <c r="F12" s="62">
        <f t="shared" ref="F12:G12" si="24">IF(isblank(F$1),,IF(isblank($A12),,IFERROR(vlookup($A12,indirect("'TVC-"&amp;text(month(F$1),"00")&amp;"'!$A:$D"),4,false),1)))</f>
        <v>1</v>
      </c>
      <c r="G12" s="62">
        <f t="shared" si="24"/>
        <v>1</v>
      </c>
      <c r="H12" s="62">
        <f t="shared" ref="H12:Q12" si="25">IF(isblank(H$1),,IFERROR(vlookup($A12,indirect("'TVC-"&amp;text(month(H$1),"00")&amp;"'!$A:$D"),4,false),1))</f>
        <v>1</v>
      </c>
      <c r="I12" s="62">
        <f t="shared" si="25"/>
        <v>1</v>
      </c>
      <c r="J12" s="62">
        <f t="shared" si="25"/>
        <v>1</v>
      </c>
      <c r="K12" s="62">
        <f t="shared" si="25"/>
        <v>1</v>
      </c>
      <c r="L12" s="62">
        <f t="shared" si="25"/>
        <v>1</v>
      </c>
      <c r="M12" s="62">
        <f t="shared" si="25"/>
        <v>1</v>
      </c>
      <c r="N12" s="62">
        <f t="shared" si="25"/>
        <v>1</v>
      </c>
      <c r="O12" s="62">
        <f t="shared" si="25"/>
        <v>1</v>
      </c>
      <c r="P12" s="62" t="str">
        <f t="shared" si="25"/>
        <v/>
      </c>
      <c r="Q12" s="62" t="str">
        <f t="shared" si="25"/>
        <v/>
      </c>
      <c r="R12" s="62">
        <f t="shared" si="7"/>
        <v>0</v>
      </c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</row>
    <row r="13" hidden="1">
      <c r="A13" s="60">
        <f>IFERROR(__xludf.DUMMYFUNCTION("""COMPUTED_VALUE"""),162.0)</f>
        <v>162</v>
      </c>
      <c r="B13" s="60" t="str">
        <f>IFERROR(__xludf.DUMMYFUNCTION("""COMPUTED_VALUE"""),"Chiefs, Kansas City")</f>
        <v>Chiefs, Kansas City</v>
      </c>
      <c r="C13" s="60" t="str">
        <f>IFERROR(__xludf.DUMMYFUNCTION("""COMPUTED_VALUE"""),"TMWR")</f>
        <v>TMWR</v>
      </c>
      <c r="D13" s="60" t="str">
        <f>IFERROR(__xludf.DUMMYFUNCTION("""COMPUTED_VALUE"""),"KCC")</f>
        <v>KCC</v>
      </c>
      <c r="E13" s="62" t="str">
        <f t="shared" si="4"/>
        <v>Kansas City Chiefs</v>
      </c>
      <c r="F13" s="62">
        <f t="shared" ref="F13:G13" si="26">IF(isblank(F$1),,IF(isblank($A13),,IFERROR(vlookup($A13,indirect("'TVC-"&amp;text(month(F$1),"00")&amp;"'!$A:$D"),4,false),1)))</f>
        <v>1</v>
      </c>
      <c r="G13" s="62">
        <f t="shared" si="26"/>
        <v>1</v>
      </c>
      <c r="H13" s="62">
        <f t="shared" ref="H13:Q13" si="27">IF(isblank(H$1),,IFERROR(vlookup($A13,indirect("'TVC-"&amp;text(month(H$1),"00")&amp;"'!$A:$D"),4,false),1))</f>
        <v>1</v>
      </c>
      <c r="I13" s="62">
        <f t="shared" si="27"/>
        <v>1</v>
      </c>
      <c r="J13" s="62">
        <f t="shared" si="27"/>
        <v>1</v>
      </c>
      <c r="K13" s="62">
        <f t="shared" si="27"/>
        <v>1</v>
      </c>
      <c r="L13" s="62">
        <f t="shared" si="27"/>
        <v>1</v>
      </c>
      <c r="M13" s="62">
        <f t="shared" si="27"/>
        <v>1</v>
      </c>
      <c r="N13" s="62">
        <f t="shared" si="27"/>
        <v>1</v>
      </c>
      <c r="O13" s="62">
        <f t="shared" si="27"/>
        <v>1</v>
      </c>
      <c r="P13" s="62" t="str">
        <f t="shared" si="27"/>
        <v/>
      </c>
      <c r="Q13" s="62" t="str">
        <f t="shared" si="27"/>
        <v/>
      </c>
      <c r="R13" s="62">
        <f t="shared" si="7"/>
        <v>0</v>
      </c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</row>
    <row r="14" hidden="1">
      <c r="A14" s="60">
        <f>IFERROR(__xludf.DUMMYFUNCTION("""COMPUTED_VALUE"""),163.0)</f>
        <v>163</v>
      </c>
      <c r="B14" s="60" t="str">
        <f>IFERROR(__xludf.DUMMYFUNCTION("""COMPUTED_VALUE"""),"Raiders, Las Vegas")</f>
        <v>Raiders, Las Vegas</v>
      </c>
      <c r="C14" s="60" t="str">
        <f>IFERROR(__xludf.DUMMYFUNCTION("""COMPUTED_VALUE"""),"TMWR")</f>
        <v>TMWR</v>
      </c>
      <c r="D14" s="60" t="str">
        <f>IFERROR(__xludf.DUMMYFUNCTION("""COMPUTED_VALUE"""),"LVR")</f>
        <v>LVR</v>
      </c>
      <c r="E14" s="62" t="str">
        <f t="shared" si="4"/>
        <v>Las Vegas Raiders</v>
      </c>
      <c r="F14" s="62">
        <f t="shared" ref="F14:G14" si="28">IF(isblank(F$1),,IF(isblank($A14),,IFERROR(vlookup($A14,indirect("'TVC-"&amp;text(month(F$1),"00")&amp;"'!$A:$D"),4,false),1)))</f>
        <v>1</v>
      </c>
      <c r="G14" s="62">
        <f t="shared" si="28"/>
        <v>1</v>
      </c>
      <c r="H14" s="62">
        <f t="shared" ref="H14:Q14" si="29">IF(isblank(H$1),,IFERROR(vlookup($A14,indirect("'TVC-"&amp;text(month(H$1),"00")&amp;"'!$A:$D"),4,false),1))</f>
        <v>1</v>
      </c>
      <c r="I14" s="62">
        <f t="shared" si="29"/>
        <v>1</v>
      </c>
      <c r="J14" s="62">
        <f t="shared" si="29"/>
        <v>1</v>
      </c>
      <c r="K14" s="62">
        <f t="shared" si="29"/>
        <v>1</v>
      </c>
      <c r="L14" s="62">
        <f t="shared" si="29"/>
        <v>1</v>
      </c>
      <c r="M14" s="62">
        <f t="shared" si="29"/>
        <v>1</v>
      </c>
      <c r="N14" s="62">
        <f t="shared" si="29"/>
        <v>1</v>
      </c>
      <c r="O14" s="62">
        <f t="shared" si="29"/>
        <v>1</v>
      </c>
      <c r="P14" s="62" t="str">
        <f t="shared" si="29"/>
        <v/>
      </c>
      <c r="Q14" s="62" t="str">
        <f t="shared" si="29"/>
        <v/>
      </c>
      <c r="R14" s="62">
        <f t="shared" si="7"/>
        <v>0</v>
      </c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</row>
    <row r="15" hidden="1">
      <c r="A15" s="60">
        <f>IFERROR(__xludf.DUMMYFUNCTION("""COMPUTED_VALUE"""),164.0)</f>
        <v>164</v>
      </c>
      <c r="B15" s="60" t="str">
        <f>IFERROR(__xludf.DUMMYFUNCTION("""COMPUTED_VALUE"""),"Chargers, Los Angeles")</f>
        <v>Chargers, Los Angeles</v>
      </c>
      <c r="C15" s="60" t="str">
        <f>IFERROR(__xludf.DUMMYFUNCTION("""COMPUTED_VALUE"""),"TMWR")</f>
        <v>TMWR</v>
      </c>
      <c r="D15" s="60" t="str">
        <f>IFERROR(__xludf.DUMMYFUNCTION("""COMPUTED_VALUE"""),"LAC")</f>
        <v>LAC</v>
      </c>
      <c r="E15" s="62" t="str">
        <f t="shared" si="4"/>
        <v>Los Angeles Chargers</v>
      </c>
      <c r="F15" s="62">
        <f t="shared" ref="F15:G15" si="30">IF(isblank(F$1),,IF(isblank($A15),,IFERROR(vlookup($A15,indirect("'TVC-"&amp;text(month(F$1),"00")&amp;"'!$A:$D"),4,false),1)))</f>
        <v>1</v>
      </c>
      <c r="G15" s="62">
        <f t="shared" si="30"/>
        <v>1</v>
      </c>
      <c r="H15" s="62">
        <f t="shared" ref="H15:Q15" si="31">IF(isblank(H$1),,IFERROR(vlookup($A15,indirect("'TVC-"&amp;text(month(H$1),"00")&amp;"'!$A:$D"),4,false),1))</f>
        <v>1</v>
      </c>
      <c r="I15" s="62">
        <f t="shared" si="31"/>
        <v>1</v>
      </c>
      <c r="J15" s="62">
        <f t="shared" si="31"/>
        <v>1</v>
      </c>
      <c r="K15" s="62">
        <f t="shared" si="31"/>
        <v>1</v>
      </c>
      <c r="L15" s="62">
        <f t="shared" si="31"/>
        <v>1</v>
      </c>
      <c r="M15" s="62">
        <f t="shared" si="31"/>
        <v>1</v>
      </c>
      <c r="N15" s="62">
        <f t="shared" si="31"/>
        <v>1</v>
      </c>
      <c r="O15" s="62">
        <f t="shared" si="31"/>
        <v>1</v>
      </c>
      <c r="P15" s="62" t="str">
        <f t="shared" si="31"/>
        <v/>
      </c>
      <c r="Q15" s="62" t="str">
        <f t="shared" si="31"/>
        <v/>
      </c>
      <c r="R15" s="62">
        <f t="shared" si="7"/>
        <v>0</v>
      </c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</row>
    <row r="16" hidden="1">
      <c r="A16" s="60">
        <f>IFERROR(__xludf.DUMMYFUNCTION("""COMPUTED_VALUE"""),165.0)</f>
        <v>165</v>
      </c>
      <c r="B16" s="60" t="str">
        <f>IFERROR(__xludf.DUMMYFUNCTION("""COMPUTED_VALUE"""),"Seahawks, Seattle")</f>
        <v>Seahawks, Seattle</v>
      </c>
      <c r="C16" s="60" t="str">
        <f>IFERROR(__xludf.DUMMYFUNCTION("""COMPUTED_VALUE"""),"TMWR")</f>
        <v>TMWR</v>
      </c>
      <c r="D16" s="60" t="str">
        <f>IFERROR(__xludf.DUMMYFUNCTION("""COMPUTED_VALUE"""),"SEA")</f>
        <v>SEA</v>
      </c>
      <c r="E16" s="62" t="str">
        <f t="shared" si="4"/>
        <v>Seattle Seahawks</v>
      </c>
      <c r="F16" s="62">
        <f t="shared" ref="F16:G16" si="32">IF(isblank(F$1),,IF(isblank($A16),,IFERROR(vlookup($A16,indirect("'TVC-"&amp;text(month(F$1),"00")&amp;"'!$A:$D"),4,false),1)))</f>
        <v>1</v>
      </c>
      <c r="G16" s="62">
        <f t="shared" si="32"/>
        <v>1</v>
      </c>
      <c r="H16" s="62">
        <f t="shared" ref="H16:Q16" si="33">IF(isblank(H$1),,IFERROR(vlookup($A16,indirect("'TVC-"&amp;text(month(H$1),"00")&amp;"'!$A:$D"),4,false),1))</f>
        <v>1</v>
      </c>
      <c r="I16" s="62">
        <f t="shared" si="33"/>
        <v>1</v>
      </c>
      <c r="J16" s="62">
        <f t="shared" si="33"/>
        <v>1</v>
      </c>
      <c r="K16" s="62">
        <f t="shared" si="33"/>
        <v>1</v>
      </c>
      <c r="L16" s="62">
        <f t="shared" si="33"/>
        <v>1</v>
      </c>
      <c r="M16" s="62">
        <f t="shared" si="33"/>
        <v>1</v>
      </c>
      <c r="N16" s="62">
        <f t="shared" si="33"/>
        <v>1</v>
      </c>
      <c r="O16" s="62">
        <f t="shared" si="33"/>
        <v>1</v>
      </c>
      <c r="P16" s="62" t="str">
        <f t="shared" si="33"/>
        <v/>
      </c>
      <c r="Q16" s="62" t="str">
        <f t="shared" si="33"/>
        <v/>
      </c>
      <c r="R16" s="62">
        <f t="shared" si="7"/>
        <v>0</v>
      </c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</row>
    <row r="17" hidden="1">
      <c r="A17" s="60">
        <f>IFERROR(__xludf.DUMMYFUNCTION("""COMPUTED_VALUE"""),166.0)</f>
        <v>166</v>
      </c>
      <c r="B17" s="60" t="str">
        <f>IFERROR(__xludf.DUMMYFUNCTION("""COMPUTED_VALUE"""),"Cowboys, Dallas")</f>
        <v>Cowboys, Dallas</v>
      </c>
      <c r="C17" s="60" t="str">
        <f>IFERROR(__xludf.DUMMYFUNCTION("""COMPUTED_VALUE"""),"TMWR")</f>
        <v>TMWR</v>
      </c>
      <c r="D17" s="60" t="str">
        <f>IFERROR(__xludf.DUMMYFUNCTION("""COMPUTED_VALUE"""),"DAL")</f>
        <v>DAL</v>
      </c>
      <c r="E17" s="62" t="str">
        <f t="shared" si="4"/>
        <v>Dallas Cowboys</v>
      </c>
      <c r="F17" s="62">
        <f t="shared" ref="F17:G17" si="34">IF(isblank(F$1),,IF(isblank($A17),,IFERROR(vlookup($A17,indirect("'TVC-"&amp;text(month(F$1),"00")&amp;"'!$A:$D"),4,false),1)))</f>
        <v>1</v>
      </c>
      <c r="G17" s="62">
        <f t="shared" si="34"/>
        <v>1</v>
      </c>
      <c r="H17" s="62">
        <f t="shared" ref="H17:Q17" si="35">IF(isblank(H$1),,IFERROR(vlookup($A17,indirect("'TVC-"&amp;text(month(H$1),"00")&amp;"'!$A:$D"),4,false),1))</f>
        <v>1</v>
      </c>
      <c r="I17" s="62">
        <f t="shared" si="35"/>
        <v>1</v>
      </c>
      <c r="J17" s="62">
        <f t="shared" si="35"/>
        <v>1</v>
      </c>
      <c r="K17" s="62">
        <f t="shared" si="35"/>
        <v>1</v>
      </c>
      <c r="L17" s="62">
        <f t="shared" si="35"/>
        <v>1</v>
      </c>
      <c r="M17" s="62">
        <f t="shared" si="35"/>
        <v>1</v>
      </c>
      <c r="N17" s="62">
        <f t="shared" si="35"/>
        <v>1</v>
      </c>
      <c r="O17" s="62">
        <f t="shared" si="35"/>
        <v>1</v>
      </c>
      <c r="P17" s="62" t="str">
        <f t="shared" si="35"/>
        <v/>
      </c>
      <c r="Q17" s="62" t="str">
        <f t="shared" si="35"/>
        <v/>
      </c>
      <c r="R17" s="62">
        <f t="shared" si="7"/>
        <v>0</v>
      </c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</row>
    <row r="18" hidden="1">
      <c r="A18" s="60">
        <f>IFERROR(__xludf.DUMMYFUNCTION("""COMPUTED_VALUE"""),167.0)</f>
        <v>167</v>
      </c>
      <c r="B18" s="60" t="str">
        <f>IFERROR(__xludf.DUMMYFUNCTION("""COMPUTED_VALUE"""),"Giants, New York")</f>
        <v>Giants, New York</v>
      </c>
      <c r="C18" s="60" t="str">
        <f>IFERROR(__xludf.DUMMYFUNCTION("""COMPUTED_VALUE"""),"TMWR")</f>
        <v>TMWR</v>
      </c>
      <c r="D18" s="60" t="str">
        <f>IFERROR(__xludf.DUMMYFUNCTION("""COMPUTED_VALUE"""),"NYG")</f>
        <v>NYG</v>
      </c>
      <c r="E18" s="62" t="str">
        <f t="shared" si="4"/>
        <v>New York Giants</v>
      </c>
      <c r="F18" s="62">
        <f t="shared" ref="F18:G18" si="36">IF(isblank(F$1),,IF(isblank($A18),,IFERROR(vlookup($A18,indirect("'TVC-"&amp;text(month(F$1),"00")&amp;"'!$A:$D"),4,false),1)))</f>
        <v>1</v>
      </c>
      <c r="G18" s="62">
        <f t="shared" si="36"/>
        <v>1</v>
      </c>
      <c r="H18" s="62">
        <f t="shared" ref="H18:Q18" si="37">IF(isblank(H$1),,IFERROR(vlookup($A18,indirect("'TVC-"&amp;text(month(H$1),"00")&amp;"'!$A:$D"),4,false),1))</f>
        <v>1</v>
      </c>
      <c r="I18" s="62">
        <f t="shared" si="37"/>
        <v>1</v>
      </c>
      <c r="J18" s="62">
        <f t="shared" si="37"/>
        <v>1</v>
      </c>
      <c r="K18" s="62">
        <f t="shared" si="37"/>
        <v>1</v>
      </c>
      <c r="L18" s="62">
        <f t="shared" si="37"/>
        <v>1</v>
      </c>
      <c r="M18" s="62">
        <f t="shared" si="37"/>
        <v>1</v>
      </c>
      <c r="N18" s="62">
        <f t="shared" si="37"/>
        <v>1</v>
      </c>
      <c r="O18" s="62">
        <f t="shared" si="37"/>
        <v>1</v>
      </c>
      <c r="P18" s="62" t="str">
        <f t="shared" si="37"/>
        <v/>
      </c>
      <c r="Q18" s="62" t="str">
        <f t="shared" si="37"/>
        <v/>
      </c>
      <c r="R18" s="62">
        <f t="shared" si="7"/>
        <v>0</v>
      </c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</row>
    <row r="19" hidden="1">
      <c r="A19" s="60">
        <f>IFERROR(__xludf.DUMMYFUNCTION("""COMPUTED_VALUE"""),168.0)</f>
        <v>168</v>
      </c>
      <c r="B19" s="60" t="str">
        <f>IFERROR(__xludf.DUMMYFUNCTION("""COMPUTED_VALUE"""),"Eagles, Philadelphia")</f>
        <v>Eagles, Philadelphia</v>
      </c>
      <c r="C19" s="60" t="str">
        <f>IFERROR(__xludf.DUMMYFUNCTION("""COMPUTED_VALUE"""),"TMWR")</f>
        <v>TMWR</v>
      </c>
      <c r="D19" s="60" t="str">
        <f>IFERROR(__xludf.DUMMYFUNCTION("""COMPUTED_VALUE"""),"PHI")</f>
        <v>PHI</v>
      </c>
      <c r="E19" s="62" t="str">
        <f t="shared" si="4"/>
        <v>Philadelphia Eagles</v>
      </c>
      <c r="F19" s="62">
        <f t="shared" ref="F19:G19" si="38">IF(isblank(F$1),,IF(isblank($A19),,IFERROR(vlookup($A19,indirect("'TVC-"&amp;text(month(F$1),"00")&amp;"'!$A:$D"),4,false),1)))</f>
        <v>1</v>
      </c>
      <c r="G19" s="62">
        <f t="shared" si="38"/>
        <v>1</v>
      </c>
      <c r="H19" s="62">
        <f t="shared" ref="H19:Q19" si="39">IF(isblank(H$1),,IFERROR(vlookup($A19,indirect("'TVC-"&amp;text(month(H$1),"00")&amp;"'!$A:$D"),4,false),1))</f>
        <v>1</v>
      </c>
      <c r="I19" s="62">
        <f t="shared" si="39"/>
        <v>1</v>
      </c>
      <c r="J19" s="62">
        <f t="shared" si="39"/>
        <v>1</v>
      </c>
      <c r="K19" s="62">
        <f t="shared" si="39"/>
        <v>1</v>
      </c>
      <c r="L19" s="62">
        <f t="shared" si="39"/>
        <v>1</v>
      </c>
      <c r="M19" s="62">
        <f t="shared" si="39"/>
        <v>1</v>
      </c>
      <c r="N19" s="62">
        <f t="shared" si="39"/>
        <v>1</v>
      </c>
      <c r="O19" s="62">
        <f t="shared" si="39"/>
        <v>1</v>
      </c>
      <c r="P19" s="62" t="str">
        <f t="shared" si="39"/>
        <v/>
      </c>
      <c r="Q19" s="62" t="str">
        <f t="shared" si="39"/>
        <v/>
      </c>
      <c r="R19" s="62">
        <f t="shared" si="7"/>
        <v>0</v>
      </c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</row>
    <row r="20" hidden="1">
      <c r="A20" s="60">
        <f>IFERROR(__xludf.DUMMYFUNCTION("""COMPUTED_VALUE"""),169.0)</f>
        <v>169</v>
      </c>
      <c r="B20" s="60" t="str">
        <f>IFERROR(__xludf.DUMMYFUNCTION("""COMPUTED_VALUE"""),"Cardinals, Arizona")</f>
        <v>Cardinals, Arizona</v>
      </c>
      <c r="C20" s="60" t="str">
        <f>IFERROR(__xludf.DUMMYFUNCTION("""COMPUTED_VALUE"""),"TMWR")</f>
        <v>TMWR</v>
      </c>
      <c r="D20" s="60" t="str">
        <f>IFERROR(__xludf.DUMMYFUNCTION("""COMPUTED_VALUE"""),"ARI")</f>
        <v>ARI</v>
      </c>
      <c r="E20" s="62" t="str">
        <f t="shared" si="4"/>
        <v>Arizona Cardinals</v>
      </c>
      <c r="F20" s="62">
        <f t="shared" ref="F20:G20" si="40">IF(isblank(F$1),,IF(isblank($A20),,IFERROR(vlookup($A20,indirect("'TVC-"&amp;text(month(F$1),"00")&amp;"'!$A:$D"),4,false),1)))</f>
        <v>1</v>
      </c>
      <c r="G20" s="62">
        <f t="shared" si="40"/>
        <v>1</v>
      </c>
      <c r="H20" s="62">
        <f t="shared" ref="H20:Q20" si="41">IF(isblank(H$1),,IFERROR(vlookup($A20,indirect("'TVC-"&amp;text(month(H$1),"00")&amp;"'!$A:$D"),4,false),1))</f>
        <v>1</v>
      </c>
      <c r="I20" s="62">
        <f t="shared" si="41"/>
        <v>1</v>
      </c>
      <c r="J20" s="62">
        <f t="shared" si="41"/>
        <v>1</v>
      </c>
      <c r="K20" s="62">
        <f t="shared" si="41"/>
        <v>1</v>
      </c>
      <c r="L20" s="62">
        <f t="shared" si="41"/>
        <v>1</v>
      </c>
      <c r="M20" s="62">
        <f t="shared" si="41"/>
        <v>1</v>
      </c>
      <c r="N20" s="62">
        <f t="shared" si="41"/>
        <v>1</v>
      </c>
      <c r="O20" s="62">
        <f t="shared" si="41"/>
        <v>1</v>
      </c>
      <c r="P20" s="62" t="str">
        <f t="shared" si="41"/>
        <v/>
      </c>
      <c r="Q20" s="62" t="str">
        <f t="shared" si="41"/>
        <v/>
      </c>
      <c r="R20" s="62">
        <f t="shared" si="7"/>
        <v>0</v>
      </c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</row>
    <row r="21" hidden="1">
      <c r="A21" s="60">
        <f>IFERROR(__xludf.DUMMYFUNCTION("""COMPUTED_VALUE"""),170.0)</f>
        <v>170</v>
      </c>
      <c r="B21" s="60" t="str">
        <f>IFERROR(__xludf.DUMMYFUNCTION("""COMPUTED_VALUE"""),"Commanders, Washington")</f>
        <v>Commanders, Washington</v>
      </c>
      <c r="C21" s="60" t="str">
        <f>IFERROR(__xludf.DUMMYFUNCTION("""COMPUTED_VALUE"""),"TMWR")</f>
        <v>TMWR</v>
      </c>
      <c r="D21" s="60" t="str">
        <f>IFERROR(__xludf.DUMMYFUNCTION("""COMPUTED_VALUE"""),"WAS")</f>
        <v>WAS</v>
      </c>
      <c r="E21" s="62" t="str">
        <f t="shared" si="4"/>
        <v>Washington Commanders</v>
      </c>
      <c r="F21" s="62">
        <f t="shared" ref="F21:G21" si="42">IF(isblank(F$1),,IF(isblank($A21),,IFERROR(vlookup($A21,indirect("'TVC-"&amp;text(month(F$1),"00")&amp;"'!$A:$D"),4,false),1)))</f>
        <v>1</v>
      </c>
      <c r="G21" s="62">
        <f t="shared" si="42"/>
        <v>1</v>
      </c>
      <c r="H21" s="62">
        <f t="shared" ref="H21:Q21" si="43">IF(isblank(H$1),,IFERROR(vlookup($A21,indirect("'TVC-"&amp;text(month(H$1),"00")&amp;"'!$A:$D"),4,false),1))</f>
        <v>1</v>
      </c>
      <c r="I21" s="62">
        <f t="shared" si="43"/>
        <v>1</v>
      </c>
      <c r="J21" s="62">
        <f t="shared" si="43"/>
        <v>1</v>
      </c>
      <c r="K21" s="62">
        <f t="shared" si="43"/>
        <v>1</v>
      </c>
      <c r="L21" s="62">
        <f t="shared" si="43"/>
        <v>1</v>
      </c>
      <c r="M21" s="62">
        <f t="shared" si="43"/>
        <v>1</v>
      </c>
      <c r="N21" s="62">
        <f t="shared" si="43"/>
        <v>1</v>
      </c>
      <c r="O21" s="62">
        <f t="shared" si="43"/>
        <v>1</v>
      </c>
      <c r="P21" s="62" t="str">
        <f t="shared" si="43"/>
        <v/>
      </c>
      <c r="Q21" s="62" t="str">
        <f t="shared" si="43"/>
        <v/>
      </c>
      <c r="R21" s="62">
        <f t="shared" si="7"/>
        <v>0</v>
      </c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hidden="1">
      <c r="A22" s="60">
        <f>IFERROR(__xludf.DUMMYFUNCTION("""COMPUTED_VALUE"""),171.0)</f>
        <v>171</v>
      </c>
      <c r="B22" s="60" t="str">
        <f>IFERROR(__xludf.DUMMYFUNCTION("""COMPUTED_VALUE"""),"Bears, Chicago")</f>
        <v>Bears, Chicago</v>
      </c>
      <c r="C22" s="60" t="str">
        <f>IFERROR(__xludf.DUMMYFUNCTION("""COMPUTED_VALUE"""),"TMWR")</f>
        <v>TMWR</v>
      </c>
      <c r="D22" s="60" t="str">
        <f>IFERROR(__xludf.DUMMYFUNCTION("""COMPUTED_VALUE"""),"CHI")</f>
        <v>CHI</v>
      </c>
      <c r="E22" s="62" t="str">
        <f t="shared" si="4"/>
        <v>Chicago Bears</v>
      </c>
      <c r="F22" s="62">
        <f t="shared" ref="F22:G22" si="44">IF(isblank(F$1),,IF(isblank($A22),,IFERROR(vlookup($A22,indirect("'TVC-"&amp;text(month(F$1),"00")&amp;"'!$A:$D"),4,false),1)))</f>
        <v>1</v>
      </c>
      <c r="G22" s="62">
        <f t="shared" si="44"/>
        <v>1</v>
      </c>
      <c r="H22" s="62">
        <f t="shared" ref="H22:Q22" si="45">IF(isblank(H$1),,IFERROR(vlookup($A22,indirect("'TVC-"&amp;text(month(H$1),"00")&amp;"'!$A:$D"),4,false),1))</f>
        <v>1</v>
      </c>
      <c r="I22" s="62">
        <f t="shared" si="45"/>
        <v>1</v>
      </c>
      <c r="J22" s="62">
        <f t="shared" si="45"/>
        <v>1</v>
      </c>
      <c r="K22" s="62">
        <f t="shared" si="45"/>
        <v>1</v>
      </c>
      <c r="L22" s="62">
        <f t="shared" si="45"/>
        <v>1</v>
      </c>
      <c r="M22" s="62">
        <f t="shared" si="45"/>
        <v>1</v>
      </c>
      <c r="N22" s="62">
        <f t="shared" si="45"/>
        <v>1</v>
      </c>
      <c r="O22" s="62">
        <f t="shared" si="45"/>
        <v>1</v>
      </c>
      <c r="P22" s="62" t="str">
        <f t="shared" si="45"/>
        <v/>
      </c>
      <c r="Q22" s="62" t="str">
        <f t="shared" si="45"/>
        <v/>
      </c>
      <c r="R22" s="62">
        <f t="shared" si="7"/>
        <v>0</v>
      </c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</row>
    <row r="23" hidden="1">
      <c r="A23" s="60">
        <f>IFERROR(__xludf.DUMMYFUNCTION("""COMPUTED_VALUE"""),172.0)</f>
        <v>172</v>
      </c>
      <c r="B23" s="60" t="str">
        <f>IFERROR(__xludf.DUMMYFUNCTION("""COMPUTED_VALUE"""),"Lions, Detroit")</f>
        <v>Lions, Detroit</v>
      </c>
      <c r="C23" s="60" t="str">
        <f>IFERROR(__xludf.DUMMYFUNCTION("""COMPUTED_VALUE"""),"TMWR")</f>
        <v>TMWR</v>
      </c>
      <c r="D23" s="60" t="str">
        <f>IFERROR(__xludf.DUMMYFUNCTION("""COMPUTED_VALUE"""),"DET")</f>
        <v>DET</v>
      </c>
      <c r="E23" s="62" t="str">
        <f t="shared" si="4"/>
        <v>Detroit Lions</v>
      </c>
      <c r="F23" s="62">
        <f t="shared" ref="F23:G23" si="46">IF(isblank(F$1),,IF(isblank($A23),,IFERROR(vlookup($A23,indirect("'TVC-"&amp;text(month(F$1),"00")&amp;"'!$A:$D"),4,false),1)))</f>
        <v>1</v>
      </c>
      <c r="G23" s="62">
        <f t="shared" si="46"/>
        <v>1</v>
      </c>
      <c r="H23" s="62">
        <f t="shared" ref="H23:Q23" si="47">IF(isblank(H$1),,IFERROR(vlookup($A23,indirect("'TVC-"&amp;text(month(H$1),"00")&amp;"'!$A:$D"),4,false),1))</f>
        <v>1</v>
      </c>
      <c r="I23" s="62">
        <f t="shared" si="47"/>
        <v>1</v>
      </c>
      <c r="J23" s="62">
        <f t="shared" si="47"/>
        <v>1</v>
      </c>
      <c r="K23" s="62">
        <f t="shared" si="47"/>
        <v>1</v>
      </c>
      <c r="L23" s="62">
        <f t="shared" si="47"/>
        <v>1</v>
      </c>
      <c r="M23" s="62">
        <f t="shared" si="47"/>
        <v>1</v>
      </c>
      <c r="N23" s="62">
        <f t="shared" si="47"/>
        <v>1</v>
      </c>
      <c r="O23" s="62">
        <f t="shared" si="47"/>
        <v>1</v>
      </c>
      <c r="P23" s="62" t="str">
        <f t="shared" si="47"/>
        <v/>
      </c>
      <c r="Q23" s="62" t="str">
        <f t="shared" si="47"/>
        <v/>
      </c>
      <c r="R23" s="62">
        <f t="shared" si="7"/>
        <v>0</v>
      </c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</row>
    <row r="24" hidden="1">
      <c r="A24" s="60">
        <f>IFERROR(__xludf.DUMMYFUNCTION("""COMPUTED_VALUE"""),173.0)</f>
        <v>173</v>
      </c>
      <c r="B24" s="60" t="str">
        <f>IFERROR(__xludf.DUMMYFUNCTION("""COMPUTED_VALUE"""),"Packers, Green Bay")</f>
        <v>Packers, Green Bay</v>
      </c>
      <c r="C24" s="60" t="str">
        <f>IFERROR(__xludf.DUMMYFUNCTION("""COMPUTED_VALUE"""),"TMWR")</f>
        <v>TMWR</v>
      </c>
      <c r="D24" s="60" t="str">
        <f>IFERROR(__xludf.DUMMYFUNCTION("""COMPUTED_VALUE"""),"GBP")</f>
        <v>GBP</v>
      </c>
      <c r="E24" s="62" t="str">
        <f t="shared" si="4"/>
        <v>Green Bay Packers</v>
      </c>
      <c r="F24" s="62">
        <f t="shared" ref="F24:G24" si="48">IF(isblank(F$1),,IF(isblank($A24),,IFERROR(vlookup($A24,indirect("'TVC-"&amp;text(month(F$1),"00")&amp;"'!$A:$D"),4,false),1)))</f>
        <v>1</v>
      </c>
      <c r="G24" s="62">
        <f t="shared" si="48"/>
        <v>1</v>
      </c>
      <c r="H24" s="62">
        <f t="shared" ref="H24:Q24" si="49">IF(isblank(H$1),,IFERROR(vlookup($A24,indirect("'TVC-"&amp;text(month(H$1),"00")&amp;"'!$A:$D"),4,false),1))</f>
        <v>1</v>
      </c>
      <c r="I24" s="62">
        <f t="shared" si="49"/>
        <v>1</v>
      </c>
      <c r="J24" s="62">
        <f t="shared" si="49"/>
        <v>1</v>
      </c>
      <c r="K24" s="62">
        <f t="shared" si="49"/>
        <v>1</v>
      </c>
      <c r="L24" s="62">
        <f t="shared" si="49"/>
        <v>1</v>
      </c>
      <c r="M24" s="62">
        <f t="shared" si="49"/>
        <v>1</v>
      </c>
      <c r="N24" s="62">
        <f t="shared" si="49"/>
        <v>1</v>
      </c>
      <c r="O24" s="62">
        <f t="shared" si="49"/>
        <v>1</v>
      </c>
      <c r="P24" s="62" t="str">
        <f t="shared" si="49"/>
        <v/>
      </c>
      <c r="Q24" s="62" t="str">
        <f t="shared" si="49"/>
        <v/>
      </c>
      <c r="R24" s="62">
        <f t="shared" si="7"/>
        <v>0</v>
      </c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hidden="1">
      <c r="A25" s="60">
        <f>IFERROR(__xludf.DUMMYFUNCTION("""COMPUTED_VALUE"""),174.0)</f>
        <v>174</v>
      </c>
      <c r="B25" s="60" t="str">
        <f>IFERROR(__xludf.DUMMYFUNCTION("""COMPUTED_VALUE"""),"Vikings, Minnesota")</f>
        <v>Vikings, Minnesota</v>
      </c>
      <c r="C25" s="60" t="str">
        <f>IFERROR(__xludf.DUMMYFUNCTION("""COMPUTED_VALUE"""),"TMWR")</f>
        <v>TMWR</v>
      </c>
      <c r="D25" s="60" t="str">
        <f>IFERROR(__xludf.DUMMYFUNCTION("""COMPUTED_VALUE"""),"MIN")</f>
        <v>MIN</v>
      </c>
      <c r="E25" s="62" t="str">
        <f t="shared" si="4"/>
        <v>Minnesota Vikings</v>
      </c>
      <c r="F25" s="62">
        <f t="shared" ref="F25:G25" si="50">IF(isblank(F$1),,IF(isblank($A25),,IFERROR(vlookup($A25,indirect("'TVC-"&amp;text(month(F$1),"00")&amp;"'!$A:$D"),4,false),1)))</f>
        <v>1</v>
      </c>
      <c r="G25" s="62">
        <f t="shared" si="50"/>
        <v>1</v>
      </c>
      <c r="H25" s="62">
        <f t="shared" ref="H25:Q25" si="51">IF(isblank(H$1),,IFERROR(vlookup($A25,indirect("'TVC-"&amp;text(month(H$1),"00")&amp;"'!$A:$D"),4,false),1))</f>
        <v>1</v>
      </c>
      <c r="I25" s="62">
        <f t="shared" si="51"/>
        <v>1</v>
      </c>
      <c r="J25" s="62">
        <f t="shared" si="51"/>
        <v>1</v>
      </c>
      <c r="K25" s="62">
        <f t="shared" si="51"/>
        <v>1</v>
      </c>
      <c r="L25" s="62">
        <f t="shared" si="51"/>
        <v>1</v>
      </c>
      <c r="M25" s="62">
        <f t="shared" si="51"/>
        <v>1</v>
      </c>
      <c r="N25" s="62">
        <f t="shared" si="51"/>
        <v>1</v>
      </c>
      <c r="O25" s="62">
        <f t="shared" si="51"/>
        <v>1</v>
      </c>
      <c r="P25" s="62" t="str">
        <f t="shared" si="51"/>
        <v/>
      </c>
      <c r="Q25" s="62" t="str">
        <f t="shared" si="51"/>
        <v/>
      </c>
      <c r="R25" s="62">
        <f t="shared" si="7"/>
        <v>0</v>
      </c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hidden="1">
      <c r="A26" s="60">
        <f>IFERROR(__xludf.DUMMYFUNCTION("""COMPUTED_VALUE"""),175.0)</f>
        <v>175</v>
      </c>
      <c r="B26" s="60" t="str">
        <f>IFERROR(__xludf.DUMMYFUNCTION("""COMPUTED_VALUE"""),"Buccaneers, Tampa Bay")</f>
        <v>Buccaneers, Tampa Bay</v>
      </c>
      <c r="C26" s="60" t="str">
        <f>IFERROR(__xludf.DUMMYFUNCTION("""COMPUTED_VALUE"""),"TMWR")</f>
        <v>TMWR</v>
      </c>
      <c r="D26" s="60" t="str">
        <f>IFERROR(__xludf.DUMMYFUNCTION("""COMPUTED_VALUE"""),"TBB")</f>
        <v>TBB</v>
      </c>
      <c r="E26" s="62" t="str">
        <f t="shared" si="4"/>
        <v>Tampa Bay Buccaneers</v>
      </c>
      <c r="F26" s="62">
        <f t="shared" ref="F26:G26" si="52">IF(isblank(F$1),,IF(isblank($A26),,IFERROR(vlookup($A26,indirect("'TVC-"&amp;text(month(F$1),"00")&amp;"'!$A:$D"),4,false),1)))</f>
        <v>1</v>
      </c>
      <c r="G26" s="62">
        <f t="shared" si="52"/>
        <v>1</v>
      </c>
      <c r="H26" s="62">
        <f t="shared" ref="H26:Q26" si="53">IF(isblank(H$1),,IFERROR(vlookup($A26,indirect("'TVC-"&amp;text(month(H$1),"00")&amp;"'!$A:$D"),4,false),1))</f>
        <v>1</v>
      </c>
      <c r="I26" s="62">
        <f t="shared" si="53"/>
        <v>1</v>
      </c>
      <c r="J26" s="62">
        <f t="shared" si="53"/>
        <v>1</v>
      </c>
      <c r="K26" s="62">
        <f t="shared" si="53"/>
        <v>1</v>
      </c>
      <c r="L26" s="62">
        <f t="shared" si="53"/>
        <v>1</v>
      </c>
      <c r="M26" s="62">
        <f t="shared" si="53"/>
        <v>1</v>
      </c>
      <c r="N26" s="62">
        <f t="shared" si="53"/>
        <v>1</v>
      </c>
      <c r="O26" s="62">
        <f t="shared" si="53"/>
        <v>1</v>
      </c>
      <c r="P26" s="62" t="str">
        <f t="shared" si="53"/>
        <v/>
      </c>
      <c r="Q26" s="62" t="str">
        <f t="shared" si="53"/>
        <v/>
      </c>
      <c r="R26" s="62">
        <f t="shared" si="7"/>
        <v>0</v>
      </c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</row>
    <row r="27" hidden="1">
      <c r="A27" s="60">
        <f>IFERROR(__xludf.DUMMYFUNCTION("""COMPUTED_VALUE"""),176.0)</f>
        <v>176</v>
      </c>
      <c r="B27" s="60" t="str">
        <f>IFERROR(__xludf.DUMMYFUNCTION("""COMPUTED_VALUE"""),"Falcons, Atlanta")</f>
        <v>Falcons, Atlanta</v>
      </c>
      <c r="C27" s="60" t="str">
        <f>IFERROR(__xludf.DUMMYFUNCTION("""COMPUTED_VALUE"""),"TMWR")</f>
        <v>TMWR</v>
      </c>
      <c r="D27" s="60" t="str">
        <f>IFERROR(__xludf.DUMMYFUNCTION("""COMPUTED_VALUE"""),"ATL")</f>
        <v>ATL</v>
      </c>
      <c r="E27" s="62" t="str">
        <f t="shared" si="4"/>
        <v>Atlanta Falcons</v>
      </c>
      <c r="F27" s="62">
        <f t="shared" ref="F27:G27" si="54">IF(isblank(F$1),,IF(isblank($A27),,IFERROR(vlookup($A27,indirect("'TVC-"&amp;text(month(F$1),"00")&amp;"'!$A:$D"),4,false),1)))</f>
        <v>1</v>
      </c>
      <c r="G27" s="62">
        <f t="shared" si="54"/>
        <v>1</v>
      </c>
      <c r="H27" s="62">
        <f t="shared" ref="H27:Q27" si="55">IF(isblank(H$1),,IFERROR(vlookup($A27,indirect("'TVC-"&amp;text(month(H$1),"00")&amp;"'!$A:$D"),4,false),1))</f>
        <v>1</v>
      </c>
      <c r="I27" s="62">
        <f t="shared" si="55"/>
        <v>1</v>
      </c>
      <c r="J27" s="62">
        <f t="shared" si="55"/>
        <v>1</v>
      </c>
      <c r="K27" s="62">
        <f t="shared" si="55"/>
        <v>1</v>
      </c>
      <c r="L27" s="62">
        <f t="shared" si="55"/>
        <v>1</v>
      </c>
      <c r="M27" s="62">
        <f t="shared" si="55"/>
        <v>1</v>
      </c>
      <c r="N27" s="62">
        <f t="shared" si="55"/>
        <v>1</v>
      </c>
      <c r="O27" s="62">
        <f t="shared" si="55"/>
        <v>1</v>
      </c>
      <c r="P27" s="62" t="str">
        <f t="shared" si="55"/>
        <v/>
      </c>
      <c r="Q27" s="62" t="str">
        <f t="shared" si="55"/>
        <v/>
      </c>
      <c r="R27" s="62">
        <f t="shared" si="7"/>
        <v>0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</row>
    <row r="28" hidden="1">
      <c r="A28" s="60">
        <f>IFERROR(__xludf.DUMMYFUNCTION("""COMPUTED_VALUE"""),177.0)</f>
        <v>177</v>
      </c>
      <c r="B28" s="60" t="str">
        <f>IFERROR(__xludf.DUMMYFUNCTION("""COMPUTED_VALUE"""),"Panthers, Carolina")</f>
        <v>Panthers, Carolina</v>
      </c>
      <c r="C28" s="60" t="str">
        <f>IFERROR(__xludf.DUMMYFUNCTION("""COMPUTED_VALUE"""),"TMWR")</f>
        <v>TMWR</v>
      </c>
      <c r="D28" s="60" t="str">
        <f>IFERROR(__xludf.DUMMYFUNCTION("""COMPUTED_VALUE"""),"CAR")</f>
        <v>CAR</v>
      </c>
      <c r="E28" s="62" t="str">
        <f t="shared" si="4"/>
        <v>Carolina Panthers</v>
      </c>
      <c r="F28" s="62">
        <f t="shared" ref="F28:G28" si="56">IF(isblank(F$1),,IF(isblank($A28),,IFERROR(vlookup($A28,indirect("'TVC-"&amp;text(month(F$1),"00")&amp;"'!$A:$D"),4,false),1)))</f>
        <v>1</v>
      </c>
      <c r="G28" s="62">
        <f t="shared" si="56"/>
        <v>1</v>
      </c>
      <c r="H28" s="62">
        <f t="shared" ref="H28:Q28" si="57">IF(isblank(H$1),,IFERROR(vlookup($A28,indirect("'TVC-"&amp;text(month(H$1),"00")&amp;"'!$A:$D"),4,false),1))</f>
        <v>1</v>
      </c>
      <c r="I28" s="62">
        <f t="shared" si="57"/>
        <v>1</v>
      </c>
      <c r="J28" s="62">
        <f t="shared" si="57"/>
        <v>1</v>
      </c>
      <c r="K28" s="62">
        <f t="shared" si="57"/>
        <v>1</v>
      </c>
      <c r="L28" s="62">
        <f t="shared" si="57"/>
        <v>1</v>
      </c>
      <c r="M28" s="62">
        <f t="shared" si="57"/>
        <v>1</v>
      </c>
      <c r="N28" s="62">
        <f t="shared" si="57"/>
        <v>1</v>
      </c>
      <c r="O28" s="62">
        <f t="shared" si="57"/>
        <v>1</v>
      </c>
      <c r="P28" s="62" t="str">
        <f t="shared" si="57"/>
        <v/>
      </c>
      <c r="Q28" s="62" t="str">
        <f t="shared" si="57"/>
        <v/>
      </c>
      <c r="R28" s="62">
        <f t="shared" si="7"/>
        <v>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</row>
    <row r="29" hidden="1">
      <c r="A29" s="60">
        <f>IFERROR(__xludf.DUMMYFUNCTION("""COMPUTED_VALUE"""),178.0)</f>
        <v>178</v>
      </c>
      <c r="B29" s="60" t="str">
        <f>IFERROR(__xludf.DUMMYFUNCTION("""COMPUTED_VALUE"""),"Rams, Los Angeles")</f>
        <v>Rams, Los Angeles</v>
      </c>
      <c r="C29" s="60" t="str">
        <f>IFERROR(__xludf.DUMMYFUNCTION("""COMPUTED_VALUE"""),"TMWR")</f>
        <v>TMWR</v>
      </c>
      <c r="D29" s="60" t="str">
        <f>IFERROR(__xludf.DUMMYFUNCTION("""COMPUTED_VALUE"""),"LAR")</f>
        <v>LAR</v>
      </c>
      <c r="E29" s="62" t="str">
        <f t="shared" si="4"/>
        <v>Los Angeles Rams</v>
      </c>
      <c r="F29" s="62">
        <f t="shared" ref="F29:G29" si="58">IF(isblank(F$1),,IF(isblank($A29),,IFERROR(vlookup($A29,indirect("'TVC-"&amp;text(month(F$1),"00")&amp;"'!$A:$D"),4,false),1)))</f>
        <v>1</v>
      </c>
      <c r="G29" s="62">
        <f t="shared" si="58"/>
        <v>1</v>
      </c>
      <c r="H29" s="62">
        <f t="shared" ref="H29:Q29" si="59">IF(isblank(H$1),,IFERROR(vlookup($A29,indirect("'TVC-"&amp;text(month(H$1),"00")&amp;"'!$A:$D"),4,false),1))</f>
        <v>1</v>
      </c>
      <c r="I29" s="62">
        <f t="shared" si="59"/>
        <v>1</v>
      </c>
      <c r="J29" s="62">
        <f t="shared" si="59"/>
        <v>1</v>
      </c>
      <c r="K29" s="62">
        <f t="shared" si="59"/>
        <v>1</v>
      </c>
      <c r="L29" s="62">
        <f t="shared" si="59"/>
        <v>1</v>
      </c>
      <c r="M29" s="62">
        <f t="shared" si="59"/>
        <v>1</v>
      </c>
      <c r="N29" s="62">
        <f t="shared" si="59"/>
        <v>1</v>
      </c>
      <c r="O29" s="62">
        <f t="shared" si="59"/>
        <v>1</v>
      </c>
      <c r="P29" s="62" t="str">
        <f t="shared" si="59"/>
        <v/>
      </c>
      <c r="Q29" s="62" t="str">
        <f t="shared" si="59"/>
        <v/>
      </c>
      <c r="R29" s="62">
        <f t="shared" si="7"/>
        <v>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hidden="1">
      <c r="A30" s="60">
        <f>IFERROR(__xludf.DUMMYFUNCTION("""COMPUTED_VALUE"""),179.0)</f>
        <v>179</v>
      </c>
      <c r="B30" s="60" t="str">
        <f>IFERROR(__xludf.DUMMYFUNCTION("""COMPUTED_VALUE"""),"Saints, New Orleans")</f>
        <v>Saints, New Orleans</v>
      </c>
      <c r="C30" s="60" t="str">
        <f>IFERROR(__xludf.DUMMYFUNCTION("""COMPUTED_VALUE"""),"TMWR")</f>
        <v>TMWR</v>
      </c>
      <c r="D30" s="60" t="str">
        <f>IFERROR(__xludf.DUMMYFUNCTION("""COMPUTED_VALUE"""),"NOS")</f>
        <v>NOS</v>
      </c>
      <c r="E30" s="62" t="str">
        <f t="shared" si="4"/>
        <v>New Orleans Saints</v>
      </c>
      <c r="F30" s="62">
        <f t="shared" ref="F30:G30" si="60">IF(isblank(F$1),,IF(isblank($A30),,IFERROR(vlookup($A30,indirect("'TVC-"&amp;text(month(F$1),"00")&amp;"'!$A:$D"),4,false),1)))</f>
        <v>1</v>
      </c>
      <c r="G30" s="62">
        <f t="shared" si="60"/>
        <v>1</v>
      </c>
      <c r="H30" s="62">
        <f t="shared" ref="H30:Q30" si="61">IF(isblank(H$1),,IFERROR(vlookup($A30,indirect("'TVC-"&amp;text(month(H$1),"00")&amp;"'!$A:$D"),4,false),1))</f>
        <v>1</v>
      </c>
      <c r="I30" s="62">
        <f t="shared" si="61"/>
        <v>1</v>
      </c>
      <c r="J30" s="62">
        <f t="shared" si="61"/>
        <v>1</v>
      </c>
      <c r="K30" s="62">
        <f t="shared" si="61"/>
        <v>1</v>
      </c>
      <c r="L30" s="62">
        <f t="shared" si="61"/>
        <v>1</v>
      </c>
      <c r="M30" s="62">
        <f t="shared" si="61"/>
        <v>1</v>
      </c>
      <c r="N30" s="62">
        <f t="shared" si="61"/>
        <v>1</v>
      </c>
      <c r="O30" s="62">
        <f t="shared" si="61"/>
        <v>1</v>
      </c>
      <c r="P30" s="62" t="str">
        <f t="shared" si="61"/>
        <v/>
      </c>
      <c r="Q30" s="62" t="str">
        <f t="shared" si="61"/>
        <v/>
      </c>
      <c r="R30" s="62">
        <f t="shared" si="7"/>
        <v>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hidden="1">
      <c r="A31" s="60">
        <f>IFERROR(__xludf.DUMMYFUNCTION("""COMPUTED_VALUE"""),180.0)</f>
        <v>180</v>
      </c>
      <c r="B31" s="60" t="str">
        <f>IFERROR(__xludf.DUMMYFUNCTION("""COMPUTED_VALUE"""),"49ers, San Francisco")</f>
        <v>49ers, San Francisco</v>
      </c>
      <c r="C31" s="60" t="str">
        <f>IFERROR(__xludf.DUMMYFUNCTION("""COMPUTED_VALUE"""),"TMWR")</f>
        <v>TMWR</v>
      </c>
      <c r="D31" s="60" t="str">
        <f>IFERROR(__xludf.DUMMYFUNCTION("""COMPUTED_VALUE"""),"SFO")</f>
        <v>SFO</v>
      </c>
      <c r="E31" s="62" t="str">
        <f t="shared" si="4"/>
        <v>San Francisco 49ers</v>
      </c>
      <c r="F31" s="62">
        <f t="shared" ref="F31:G31" si="62">IF(isblank(F$1),,IF(isblank($A31),,IFERROR(vlookup($A31,indirect("'TVC-"&amp;text(month(F$1),"00")&amp;"'!$A:$D"),4,false),1)))</f>
        <v>1</v>
      </c>
      <c r="G31" s="62">
        <f t="shared" si="62"/>
        <v>1</v>
      </c>
      <c r="H31" s="62">
        <f t="shared" ref="H31:Q31" si="63">IF(isblank(H$1),,IFERROR(vlookup($A31,indirect("'TVC-"&amp;text(month(H$1),"00")&amp;"'!$A:$D"),4,false),1))</f>
        <v>1</v>
      </c>
      <c r="I31" s="62">
        <f t="shared" si="63"/>
        <v>1</v>
      </c>
      <c r="J31" s="62">
        <f t="shared" si="63"/>
        <v>1</v>
      </c>
      <c r="K31" s="62">
        <f t="shared" si="63"/>
        <v>1</v>
      </c>
      <c r="L31" s="62">
        <f t="shared" si="63"/>
        <v>1</v>
      </c>
      <c r="M31" s="62">
        <f t="shared" si="63"/>
        <v>1</v>
      </c>
      <c r="N31" s="62">
        <f t="shared" si="63"/>
        <v>1</v>
      </c>
      <c r="O31" s="62">
        <f t="shared" si="63"/>
        <v>1</v>
      </c>
      <c r="P31" s="62" t="str">
        <f t="shared" si="63"/>
        <v/>
      </c>
      <c r="Q31" s="62" t="str">
        <f t="shared" si="63"/>
        <v/>
      </c>
      <c r="R31" s="62">
        <f t="shared" si="7"/>
        <v>0</v>
      </c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</row>
    <row r="32" hidden="1">
      <c r="A32" s="60">
        <f>IFERROR(__xludf.DUMMYFUNCTION("""COMPUTED_VALUE"""),181.0)</f>
        <v>181</v>
      </c>
      <c r="B32" s="60" t="str">
        <f>IFERROR(__xludf.DUMMYFUNCTION("""COMPUTED_VALUE"""),"Ravens, Baltimore")</f>
        <v>Ravens, Baltimore</v>
      </c>
      <c r="C32" s="60" t="str">
        <f>IFERROR(__xludf.DUMMYFUNCTION("""COMPUTED_VALUE"""),"TMWR")</f>
        <v>TMWR</v>
      </c>
      <c r="D32" s="60" t="str">
        <f>IFERROR(__xludf.DUMMYFUNCTION("""COMPUTED_VALUE"""),"BAL")</f>
        <v>BAL</v>
      </c>
      <c r="E32" s="62" t="str">
        <f t="shared" si="4"/>
        <v>Baltimore Ravens</v>
      </c>
      <c r="F32" s="62">
        <f t="shared" ref="F32:G32" si="64">IF(isblank(F$1),,IF(isblank($A32),,IFERROR(vlookup($A32,indirect("'TVC-"&amp;text(month(F$1),"00")&amp;"'!$A:$D"),4,false),1)))</f>
        <v>1</v>
      </c>
      <c r="G32" s="62">
        <f t="shared" si="64"/>
        <v>1</v>
      </c>
      <c r="H32" s="62">
        <f t="shared" ref="H32:Q32" si="65">IF(isblank(H$1),,IFERROR(vlookup($A32,indirect("'TVC-"&amp;text(month(H$1),"00")&amp;"'!$A:$D"),4,false),1))</f>
        <v>1</v>
      </c>
      <c r="I32" s="62">
        <f t="shared" si="65"/>
        <v>1</v>
      </c>
      <c r="J32" s="62">
        <f t="shared" si="65"/>
        <v>1</v>
      </c>
      <c r="K32" s="62">
        <f t="shared" si="65"/>
        <v>1</v>
      </c>
      <c r="L32" s="62">
        <f t="shared" si="65"/>
        <v>1</v>
      </c>
      <c r="M32" s="62">
        <f t="shared" si="65"/>
        <v>1</v>
      </c>
      <c r="N32" s="62">
        <f t="shared" si="65"/>
        <v>1</v>
      </c>
      <c r="O32" s="62">
        <f t="shared" si="65"/>
        <v>1</v>
      </c>
      <c r="P32" s="62" t="str">
        <f t="shared" si="65"/>
        <v/>
      </c>
      <c r="Q32" s="62" t="str">
        <f t="shared" si="65"/>
        <v/>
      </c>
      <c r="R32" s="62">
        <f t="shared" si="7"/>
        <v>0</v>
      </c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</row>
    <row r="33" hidden="1">
      <c r="A33" s="60">
        <f>IFERROR(__xludf.DUMMYFUNCTION("""COMPUTED_VALUE"""),182.0)</f>
        <v>182</v>
      </c>
      <c r="B33" s="60" t="str">
        <f>IFERROR(__xludf.DUMMYFUNCTION("""COMPUTED_VALUE"""),"Texans, Houston")</f>
        <v>Texans, Houston</v>
      </c>
      <c r="C33" s="60" t="str">
        <f>IFERROR(__xludf.DUMMYFUNCTION("""COMPUTED_VALUE"""),"TMWR")</f>
        <v>TMWR</v>
      </c>
      <c r="D33" s="60" t="str">
        <f>IFERROR(__xludf.DUMMYFUNCTION("""COMPUTED_VALUE"""),"HOU")</f>
        <v>HOU</v>
      </c>
      <c r="E33" s="62" t="str">
        <f t="shared" si="4"/>
        <v>Houston Texans</v>
      </c>
      <c r="F33" s="62">
        <f t="shared" ref="F33:G33" si="66">IF(isblank(F$1),,IF(isblank($A33),,IFERROR(vlookup($A33,indirect("'TVC-"&amp;text(month(F$1),"00")&amp;"'!$A:$D"),4,false),1)))</f>
        <v>1</v>
      </c>
      <c r="G33" s="62">
        <f t="shared" si="66"/>
        <v>1</v>
      </c>
      <c r="H33" s="62">
        <f t="shared" ref="H33:Q33" si="67">IF(isblank(H$1),,IFERROR(vlookup($A33,indirect("'TVC-"&amp;text(month(H$1),"00")&amp;"'!$A:$D"),4,false),1))</f>
        <v>1</v>
      </c>
      <c r="I33" s="62">
        <f t="shared" si="67"/>
        <v>1</v>
      </c>
      <c r="J33" s="62">
        <f t="shared" si="67"/>
        <v>1</v>
      </c>
      <c r="K33" s="62">
        <f t="shared" si="67"/>
        <v>1</v>
      </c>
      <c r="L33" s="62">
        <f t="shared" si="67"/>
        <v>1</v>
      </c>
      <c r="M33" s="62">
        <f t="shared" si="67"/>
        <v>1</v>
      </c>
      <c r="N33" s="62">
        <f t="shared" si="67"/>
        <v>1</v>
      </c>
      <c r="O33" s="62">
        <f t="shared" si="67"/>
        <v>1</v>
      </c>
      <c r="P33" s="62" t="str">
        <f t="shared" si="67"/>
        <v/>
      </c>
      <c r="Q33" s="62" t="str">
        <f t="shared" si="67"/>
        <v/>
      </c>
      <c r="R33" s="62">
        <f t="shared" si="7"/>
        <v>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</row>
    <row r="34" hidden="1">
      <c r="A34" s="60">
        <f>IFERROR(__xludf.DUMMYFUNCTION("""COMPUTED_VALUE"""),201.0)</f>
        <v>201</v>
      </c>
      <c r="B34" s="60" t="str">
        <f>IFERROR(__xludf.DUMMYFUNCTION("""COMPUTED_VALUE"""),"Bills, Buffalo")</f>
        <v>Bills, Buffalo</v>
      </c>
      <c r="C34" s="60" t="str">
        <f>IFERROR(__xludf.DUMMYFUNCTION("""COMPUTED_VALUE"""),"TMRB")</f>
        <v>TMRB</v>
      </c>
      <c r="D34" s="60" t="str">
        <f>IFERROR(__xludf.DUMMYFUNCTION("""COMPUTED_VALUE"""),"BUF")</f>
        <v>BUF</v>
      </c>
      <c r="E34" s="62" t="str">
        <f t="shared" si="4"/>
        <v>Buffalo Bills</v>
      </c>
      <c r="F34" s="62">
        <f t="shared" ref="F34:G34" si="68">IF(isblank(F$1),,IF(isblank($A34),,IFERROR(vlookup($A34,indirect("'TVC-"&amp;text(month(F$1),"00")&amp;"'!$A:$D"),4,false),1)))</f>
        <v>1</v>
      </c>
      <c r="G34" s="62">
        <f t="shared" si="68"/>
        <v>1</v>
      </c>
      <c r="H34" s="62">
        <f t="shared" ref="H34:Q34" si="69">IF(isblank(H$1),,IFERROR(vlookup($A34,indirect("'TVC-"&amp;text(month(H$1),"00")&amp;"'!$A:$D"),4,false),1))</f>
        <v>1</v>
      </c>
      <c r="I34" s="62">
        <f t="shared" si="69"/>
        <v>1</v>
      </c>
      <c r="J34" s="62">
        <f t="shared" si="69"/>
        <v>1</v>
      </c>
      <c r="K34" s="62">
        <f t="shared" si="69"/>
        <v>1</v>
      </c>
      <c r="L34" s="62">
        <f t="shared" si="69"/>
        <v>1</v>
      </c>
      <c r="M34" s="62">
        <f t="shared" si="69"/>
        <v>1</v>
      </c>
      <c r="N34" s="62">
        <f t="shared" si="69"/>
        <v>1</v>
      </c>
      <c r="O34" s="62">
        <f t="shared" si="69"/>
        <v>1</v>
      </c>
      <c r="P34" s="62" t="str">
        <f t="shared" si="69"/>
        <v/>
      </c>
      <c r="Q34" s="62" t="str">
        <f t="shared" si="69"/>
        <v/>
      </c>
      <c r="R34" s="62">
        <f t="shared" si="7"/>
        <v>0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</row>
    <row r="35" hidden="1">
      <c r="A35" s="60">
        <f>IFERROR(__xludf.DUMMYFUNCTION("""COMPUTED_VALUE"""),202.0)</f>
        <v>202</v>
      </c>
      <c r="B35" s="60" t="str">
        <f>IFERROR(__xludf.DUMMYFUNCTION("""COMPUTED_VALUE"""),"Colts, Indianapolis")</f>
        <v>Colts, Indianapolis</v>
      </c>
      <c r="C35" s="60" t="str">
        <f>IFERROR(__xludf.DUMMYFUNCTION("""COMPUTED_VALUE"""),"TMRB")</f>
        <v>TMRB</v>
      </c>
      <c r="D35" s="60" t="str">
        <f>IFERROR(__xludf.DUMMYFUNCTION("""COMPUTED_VALUE"""),"IND")</f>
        <v>IND</v>
      </c>
      <c r="E35" s="62" t="str">
        <f t="shared" si="4"/>
        <v>Indianapolis Colts</v>
      </c>
      <c r="F35" s="62">
        <f t="shared" ref="F35:G35" si="70">IF(isblank(F$1),,IF(isblank($A35),,IFERROR(vlookup($A35,indirect("'TVC-"&amp;text(month(F$1),"00")&amp;"'!$A:$D"),4,false),1)))</f>
        <v>1</v>
      </c>
      <c r="G35" s="62">
        <f t="shared" si="70"/>
        <v>1</v>
      </c>
      <c r="H35" s="62">
        <f t="shared" ref="H35:Q35" si="71">IF(isblank(H$1),,IFERROR(vlookup($A35,indirect("'TVC-"&amp;text(month(H$1),"00")&amp;"'!$A:$D"),4,false),1))</f>
        <v>1</v>
      </c>
      <c r="I35" s="62">
        <f t="shared" si="71"/>
        <v>1</v>
      </c>
      <c r="J35" s="62">
        <f t="shared" si="71"/>
        <v>1</v>
      </c>
      <c r="K35" s="62">
        <f t="shared" si="71"/>
        <v>1</v>
      </c>
      <c r="L35" s="62">
        <f t="shared" si="71"/>
        <v>1</v>
      </c>
      <c r="M35" s="62">
        <f t="shared" si="71"/>
        <v>1</v>
      </c>
      <c r="N35" s="62">
        <f t="shared" si="71"/>
        <v>1</v>
      </c>
      <c r="O35" s="62">
        <f t="shared" si="71"/>
        <v>1</v>
      </c>
      <c r="P35" s="62" t="str">
        <f t="shared" si="71"/>
        <v/>
      </c>
      <c r="Q35" s="62" t="str">
        <f t="shared" si="71"/>
        <v/>
      </c>
      <c r="R35" s="62">
        <f t="shared" si="7"/>
        <v>0</v>
      </c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hidden="1">
      <c r="A36" s="60">
        <f>IFERROR(__xludf.DUMMYFUNCTION("""COMPUTED_VALUE"""),203.0)</f>
        <v>203</v>
      </c>
      <c r="B36" s="60" t="str">
        <f>IFERROR(__xludf.DUMMYFUNCTION("""COMPUTED_VALUE"""),"Dolphins, Miami")</f>
        <v>Dolphins, Miami</v>
      </c>
      <c r="C36" s="60" t="str">
        <f>IFERROR(__xludf.DUMMYFUNCTION("""COMPUTED_VALUE"""),"TMRB")</f>
        <v>TMRB</v>
      </c>
      <c r="D36" s="60" t="str">
        <f>IFERROR(__xludf.DUMMYFUNCTION("""COMPUTED_VALUE"""),"MIA")</f>
        <v>MIA</v>
      </c>
      <c r="E36" s="62" t="str">
        <f t="shared" si="4"/>
        <v>Miami Dolphins</v>
      </c>
      <c r="F36" s="62">
        <f t="shared" ref="F36:G36" si="72">IF(isblank(F$1),,IF(isblank($A36),,IFERROR(vlookup($A36,indirect("'TVC-"&amp;text(month(F$1),"00")&amp;"'!$A:$D"),4,false),1)))</f>
        <v>1</v>
      </c>
      <c r="G36" s="62">
        <f t="shared" si="72"/>
        <v>1</v>
      </c>
      <c r="H36" s="62">
        <f t="shared" ref="H36:Q36" si="73">IF(isblank(H$1),,IFERROR(vlookup($A36,indirect("'TVC-"&amp;text(month(H$1),"00")&amp;"'!$A:$D"),4,false),1))</f>
        <v>1</v>
      </c>
      <c r="I36" s="62">
        <f t="shared" si="73"/>
        <v>1</v>
      </c>
      <c r="J36" s="62">
        <f t="shared" si="73"/>
        <v>1</v>
      </c>
      <c r="K36" s="62">
        <f t="shared" si="73"/>
        <v>1</v>
      </c>
      <c r="L36" s="62">
        <f t="shared" si="73"/>
        <v>1</v>
      </c>
      <c r="M36" s="62">
        <f t="shared" si="73"/>
        <v>1</v>
      </c>
      <c r="N36" s="62">
        <f t="shared" si="73"/>
        <v>1</v>
      </c>
      <c r="O36" s="62">
        <f t="shared" si="73"/>
        <v>1</v>
      </c>
      <c r="P36" s="62" t="str">
        <f t="shared" si="73"/>
        <v/>
      </c>
      <c r="Q36" s="62" t="str">
        <f t="shared" si="73"/>
        <v/>
      </c>
      <c r="R36" s="62">
        <f t="shared" si="7"/>
        <v>0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hidden="1">
      <c r="A37" s="60">
        <f>IFERROR(__xludf.DUMMYFUNCTION("""COMPUTED_VALUE"""),204.0)</f>
        <v>204</v>
      </c>
      <c r="B37" s="60" t="str">
        <f>IFERROR(__xludf.DUMMYFUNCTION("""COMPUTED_VALUE"""),"Patriots, New England")</f>
        <v>Patriots, New England</v>
      </c>
      <c r="C37" s="60" t="str">
        <f>IFERROR(__xludf.DUMMYFUNCTION("""COMPUTED_VALUE"""),"TMRB")</f>
        <v>TMRB</v>
      </c>
      <c r="D37" s="60" t="str">
        <f>IFERROR(__xludf.DUMMYFUNCTION("""COMPUTED_VALUE"""),"NEP")</f>
        <v>NEP</v>
      </c>
      <c r="E37" s="62" t="str">
        <f t="shared" si="4"/>
        <v>New England Patriots</v>
      </c>
      <c r="F37" s="62">
        <f t="shared" ref="F37:G37" si="74">IF(isblank(F$1),,IF(isblank($A37),,IFERROR(vlookup($A37,indirect("'TVC-"&amp;text(month(F$1),"00")&amp;"'!$A:$D"),4,false),1)))</f>
        <v>1</v>
      </c>
      <c r="G37" s="62">
        <f t="shared" si="74"/>
        <v>1</v>
      </c>
      <c r="H37" s="62">
        <f t="shared" ref="H37:Q37" si="75">IF(isblank(H$1),,IFERROR(vlookup($A37,indirect("'TVC-"&amp;text(month(H$1),"00")&amp;"'!$A:$D"),4,false),1))</f>
        <v>1</v>
      </c>
      <c r="I37" s="62">
        <f t="shared" si="75"/>
        <v>1</v>
      </c>
      <c r="J37" s="62">
        <f t="shared" si="75"/>
        <v>1</v>
      </c>
      <c r="K37" s="62">
        <f t="shared" si="75"/>
        <v>1</v>
      </c>
      <c r="L37" s="62">
        <f t="shared" si="75"/>
        <v>1</v>
      </c>
      <c r="M37" s="62">
        <f t="shared" si="75"/>
        <v>1</v>
      </c>
      <c r="N37" s="62">
        <f t="shared" si="75"/>
        <v>1</v>
      </c>
      <c r="O37" s="62">
        <f t="shared" si="75"/>
        <v>1</v>
      </c>
      <c r="P37" s="62" t="str">
        <f t="shared" si="75"/>
        <v/>
      </c>
      <c r="Q37" s="62" t="str">
        <f t="shared" si="75"/>
        <v/>
      </c>
      <c r="R37" s="62">
        <f t="shared" si="7"/>
        <v>0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</row>
    <row r="38" hidden="1">
      <c r="A38" s="60">
        <f>IFERROR(__xludf.DUMMYFUNCTION("""COMPUTED_VALUE"""),205.0)</f>
        <v>205</v>
      </c>
      <c r="B38" s="60" t="str">
        <f>IFERROR(__xludf.DUMMYFUNCTION("""COMPUTED_VALUE"""),"Jets, New York")</f>
        <v>Jets, New York</v>
      </c>
      <c r="C38" s="60" t="str">
        <f>IFERROR(__xludf.DUMMYFUNCTION("""COMPUTED_VALUE"""),"TMRB")</f>
        <v>TMRB</v>
      </c>
      <c r="D38" s="60" t="str">
        <f>IFERROR(__xludf.DUMMYFUNCTION("""COMPUTED_VALUE"""),"NYJ")</f>
        <v>NYJ</v>
      </c>
      <c r="E38" s="62" t="str">
        <f t="shared" si="4"/>
        <v>New York Jets</v>
      </c>
      <c r="F38" s="62">
        <f t="shared" ref="F38:G38" si="76">IF(isblank(F$1),,IF(isblank($A38),,IFERROR(vlookup($A38,indirect("'TVC-"&amp;text(month(F$1),"00")&amp;"'!$A:$D"),4,false),1)))</f>
        <v>1</v>
      </c>
      <c r="G38" s="62">
        <f t="shared" si="76"/>
        <v>1</v>
      </c>
      <c r="H38" s="62">
        <f t="shared" ref="H38:Q38" si="77">IF(isblank(H$1),,IFERROR(vlookup($A38,indirect("'TVC-"&amp;text(month(H$1),"00")&amp;"'!$A:$D"),4,false),1))</f>
        <v>1</v>
      </c>
      <c r="I38" s="62">
        <f t="shared" si="77"/>
        <v>1</v>
      </c>
      <c r="J38" s="62">
        <f t="shared" si="77"/>
        <v>1</v>
      </c>
      <c r="K38" s="62">
        <f t="shared" si="77"/>
        <v>1</v>
      </c>
      <c r="L38" s="62">
        <f t="shared" si="77"/>
        <v>1</v>
      </c>
      <c r="M38" s="62">
        <f t="shared" si="77"/>
        <v>1</v>
      </c>
      <c r="N38" s="62">
        <f t="shared" si="77"/>
        <v>1</v>
      </c>
      <c r="O38" s="62">
        <f t="shared" si="77"/>
        <v>1</v>
      </c>
      <c r="P38" s="62" t="str">
        <f t="shared" si="77"/>
        <v/>
      </c>
      <c r="Q38" s="62" t="str">
        <f t="shared" si="77"/>
        <v/>
      </c>
      <c r="R38" s="62">
        <f t="shared" si="7"/>
        <v>0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</row>
    <row r="39" hidden="1">
      <c r="A39" s="60">
        <f>IFERROR(__xludf.DUMMYFUNCTION("""COMPUTED_VALUE"""),206.0)</f>
        <v>206</v>
      </c>
      <c r="B39" s="60" t="str">
        <f>IFERROR(__xludf.DUMMYFUNCTION("""COMPUTED_VALUE"""),"Bengals, Cincinnati")</f>
        <v>Bengals, Cincinnati</v>
      </c>
      <c r="C39" s="60" t="str">
        <f>IFERROR(__xludf.DUMMYFUNCTION("""COMPUTED_VALUE"""),"TMRB")</f>
        <v>TMRB</v>
      </c>
      <c r="D39" s="60" t="str">
        <f>IFERROR(__xludf.DUMMYFUNCTION("""COMPUTED_VALUE"""),"CIN")</f>
        <v>CIN</v>
      </c>
      <c r="E39" s="62" t="str">
        <f t="shared" si="4"/>
        <v>Cincinnati Bengals</v>
      </c>
      <c r="F39" s="62">
        <f t="shared" ref="F39:G39" si="78">IF(isblank(F$1),,IF(isblank($A39),,IFERROR(vlookup($A39,indirect("'TVC-"&amp;text(month(F$1),"00")&amp;"'!$A:$D"),4,false),1)))</f>
        <v>1</v>
      </c>
      <c r="G39" s="62">
        <f t="shared" si="78"/>
        <v>1</v>
      </c>
      <c r="H39" s="62">
        <f t="shared" ref="H39:Q39" si="79">IF(isblank(H$1),,IFERROR(vlookup($A39,indirect("'TVC-"&amp;text(month(H$1),"00")&amp;"'!$A:$D"),4,false),1))</f>
        <v>1</v>
      </c>
      <c r="I39" s="62">
        <f t="shared" si="79"/>
        <v>1</v>
      </c>
      <c r="J39" s="62">
        <f t="shared" si="79"/>
        <v>1</v>
      </c>
      <c r="K39" s="62">
        <f t="shared" si="79"/>
        <v>1</v>
      </c>
      <c r="L39" s="62">
        <f t="shared" si="79"/>
        <v>1</v>
      </c>
      <c r="M39" s="62">
        <f t="shared" si="79"/>
        <v>1</v>
      </c>
      <c r="N39" s="62">
        <f t="shared" si="79"/>
        <v>1</v>
      </c>
      <c r="O39" s="62">
        <f t="shared" si="79"/>
        <v>1</v>
      </c>
      <c r="P39" s="62" t="str">
        <f t="shared" si="79"/>
        <v/>
      </c>
      <c r="Q39" s="62" t="str">
        <f t="shared" si="79"/>
        <v/>
      </c>
      <c r="R39" s="62">
        <f t="shared" si="7"/>
        <v>0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</row>
    <row r="40" hidden="1">
      <c r="A40" s="60">
        <f>IFERROR(__xludf.DUMMYFUNCTION("""COMPUTED_VALUE"""),207.0)</f>
        <v>207</v>
      </c>
      <c r="B40" s="60" t="str">
        <f>IFERROR(__xludf.DUMMYFUNCTION("""COMPUTED_VALUE"""),"Browns, Cleveland")</f>
        <v>Browns, Cleveland</v>
      </c>
      <c r="C40" s="60" t="str">
        <f>IFERROR(__xludf.DUMMYFUNCTION("""COMPUTED_VALUE"""),"TMRB")</f>
        <v>TMRB</v>
      </c>
      <c r="D40" s="60" t="str">
        <f>IFERROR(__xludf.DUMMYFUNCTION("""COMPUTED_VALUE"""),"CLE")</f>
        <v>CLE</v>
      </c>
      <c r="E40" s="62" t="str">
        <f t="shared" si="4"/>
        <v>Cleveland Browns</v>
      </c>
      <c r="F40" s="62">
        <f t="shared" ref="F40:G40" si="80">IF(isblank(F$1),,IF(isblank($A40),,IFERROR(vlookup($A40,indirect("'TVC-"&amp;text(month(F$1),"00")&amp;"'!$A:$D"),4,false),1)))</f>
        <v>1</v>
      </c>
      <c r="G40" s="62">
        <f t="shared" si="80"/>
        <v>1</v>
      </c>
      <c r="H40" s="62">
        <f t="shared" ref="H40:Q40" si="81">IF(isblank(H$1),,IFERROR(vlookup($A40,indirect("'TVC-"&amp;text(month(H$1),"00")&amp;"'!$A:$D"),4,false),1))</f>
        <v>1</v>
      </c>
      <c r="I40" s="62">
        <f t="shared" si="81"/>
        <v>1</v>
      </c>
      <c r="J40" s="62">
        <f t="shared" si="81"/>
        <v>1</v>
      </c>
      <c r="K40" s="62">
        <f t="shared" si="81"/>
        <v>1</v>
      </c>
      <c r="L40" s="62">
        <f t="shared" si="81"/>
        <v>1</v>
      </c>
      <c r="M40" s="62">
        <f t="shared" si="81"/>
        <v>1</v>
      </c>
      <c r="N40" s="62">
        <f t="shared" si="81"/>
        <v>1</v>
      </c>
      <c r="O40" s="62">
        <f t="shared" si="81"/>
        <v>1</v>
      </c>
      <c r="P40" s="62" t="str">
        <f t="shared" si="81"/>
        <v/>
      </c>
      <c r="Q40" s="62" t="str">
        <f t="shared" si="81"/>
        <v/>
      </c>
      <c r="R40" s="62">
        <f t="shared" si="7"/>
        <v>0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</row>
    <row r="41" hidden="1">
      <c r="A41" s="60">
        <f>IFERROR(__xludf.DUMMYFUNCTION("""COMPUTED_VALUE"""),208.0)</f>
        <v>208</v>
      </c>
      <c r="B41" s="60" t="str">
        <f>IFERROR(__xludf.DUMMYFUNCTION("""COMPUTED_VALUE"""),"Titans, Tennessee")</f>
        <v>Titans, Tennessee</v>
      </c>
      <c r="C41" s="60" t="str">
        <f>IFERROR(__xludf.DUMMYFUNCTION("""COMPUTED_VALUE"""),"TMRB")</f>
        <v>TMRB</v>
      </c>
      <c r="D41" s="60" t="str">
        <f>IFERROR(__xludf.DUMMYFUNCTION("""COMPUTED_VALUE"""),"TEN")</f>
        <v>TEN</v>
      </c>
      <c r="E41" s="62" t="str">
        <f t="shared" si="4"/>
        <v>Tennessee Titans</v>
      </c>
      <c r="F41" s="62">
        <f t="shared" ref="F41:G41" si="82">IF(isblank(F$1),,IF(isblank($A41),,IFERROR(vlookup($A41,indirect("'TVC-"&amp;text(month(F$1),"00")&amp;"'!$A:$D"),4,false),1)))</f>
        <v>1</v>
      </c>
      <c r="G41" s="62">
        <f t="shared" si="82"/>
        <v>1</v>
      </c>
      <c r="H41" s="62">
        <f t="shared" ref="H41:Q41" si="83">IF(isblank(H$1),,IFERROR(vlookup($A41,indirect("'TVC-"&amp;text(month(H$1),"00")&amp;"'!$A:$D"),4,false),1))</f>
        <v>1</v>
      </c>
      <c r="I41" s="62">
        <f t="shared" si="83"/>
        <v>1</v>
      </c>
      <c r="J41" s="62">
        <f t="shared" si="83"/>
        <v>1</v>
      </c>
      <c r="K41" s="62">
        <f t="shared" si="83"/>
        <v>1</v>
      </c>
      <c r="L41" s="62">
        <f t="shared" si="83"/>
        <v>1</v>
      </c>
      <c r="M41" s="62">
        <f t="shared" si="83"/>
        <v>1</v>
      </c>
      <c r="N41" s="62">
        <f t="shared" si="83"/>
        <v>1</v>
      </c>
      <c r="O41" s="62">
        <f t="shared" si="83"/>
        <v>1</v>
      </c>
      <c r="P41" s="62" t="str">
        <f t="shared" si="83"/>
        <v/>
      </c>
      <c r="Q41" s="62" t="str">
        <f t="shared" si="83"/>
        <v/>
      </c>
      <c r="R41" s="62">
        <f t="shared" si="7"/>
        <v>0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</row>
    <row r="42" hidden="1">
      <c r="A42" s="60">
        <f>IFERROR(__xludf.DUMMYFUNCTION("""COMPUTED_VALUE"""),209.0)</f>
        <v>209</v>
      </c>
      <c r="B42" s="60" t="str">
        <f>IFERROR(__xludf.DUMMYFUNCTION("""COMPUTED_VALUE"""),"Jaguars, Jacksonville")</f>
        <v>Jaguars, Jacksonville</v>
      </c>
      <c r="C42" s="60" t="str">
        <f>IFERROR(__xludf.DUMMYFUNCTION("""COMPUTED_VALUE"""),"TMRB")</f>
        <v>TMRB</v>
      </c>
      <c r="D42" s="60" t="str">
        <f>IFERROR(__xludf.DUMMYFUNCTION("""COMPUTED_VALUE"""),"JAC")</f>
        <v>JAC</v>
      </c>
      <c r="E42" s="62" t="str">
        <f t="shared" si="4"/>
        <v>Jacksonville Jaguars</v>
      </c>
      <c r="F42" s="62">
        <f t="shared" ref="F42:G42" si="84">IF(isblank(F$1),,IF(isblank($A42),,IFERROR(vlookup($A42,indirect("'TVC-"&amp;text(month(F$1),"00")&amp;"'!$A:$D"),4,false),1)))</f>
        <v>1</v>
      </c>
      <c r="G42" s="62">
        <f t="shared" si="84"/>
        <v>1</v>
      </c>
      <c r="H42" s="62">
        <f t="shared" ref="H42:Q42" si="85">IF(isblank(H$1),,IFERROR(vlookup($A42,indirect("'TVC-"&amp;text(month(H$1),"00")&amp;"'!$A:$D"),4,false),1))</f>
        <v>1</v>
      </c>
      <c r="I42" s="62">
        <f t="shared" si="85"/>
        <v>1</v>
      </c>
      <c r="J42" s="62">
        <f t="shared" si="85"/>
        <v>1</v>
      </c>
      <c r="K42" s="62">
        <f t="shared" si="85"/>
        <v>1</v>
      </c>
      <c r="L42" s="62">
        <f t="shared" si="85"/>
        <v>1</v>
      </c>
      <c r="M42" s="62">
        <f t="shared" si="85"/>
        <v>1</v>
      </c>
      <c r="N42" s="62">
        <f t="shared" si="85"/>
        <v>1</v>
      </c>
      <c r="O42" s="62">
        <f t="shared" si="85"/>
        <v>1</v>
      </c>
      <c r="P42" s="62" t="str">
        <f t="shared" si="85"/>
        <v/>
      </c>
      <c r="Q42" s="62" t="str">
        <f t="shared" si="85"/>
        <v/>
      </c>
      <c r="R42" s="62">
        <f t="shared" si="7"/>
        <v>0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</row>
    <row r="43" hidden="1">
      <c r="A43" s="60">
        <f>IFERROR(__xludf.DUMMYFUNCTION("""COMPUTED_VALUE"""),210.0)</f>
        <v>210</v>
      </c>
      <c r="B43" s="60" t="str">
        <f>IFERROR(__xludf.DUMMYFUNCTION("""COMPUTED_VALUE"""),"Steelers, Pittsburgh")</f>
        <v>Steelers, Pittsburgh</v>
      </c>
      <c r="C43" s="60" t="str">
        <f>IFERROR(__xludf.DUMMYFUNCTION("""COMPUTED_VALUE"""),"TMRB")</f>
        <v>TMRB</v>
      </c>
      <c r="D43" s="60" t="str">
        <f>IFERROR(__xludf.DUMMYFUNCTION("""COMPUTED_VALUE"""),"PIT")</f>
        <v>PIT</v>
      </c>
      <c r="E43" s="62" t="str">
        <f t="shared" si="4"/>
        <v>Pittsburgh Steelers</v>
      </c>
      <c r="F43" s="62">
        <f t="shared" ref="F43:G43" si="86">IF(isblank(F$1),,IF(isblank($A43),,IFERROR(vlookup($A43,indirect("'TVC-"&amp;text(month(F$1),"00")&amp;"'!$A:$D"),4,false),1)))</f>
        <v>1</v>
      </c>
      <c r="G43" s="62">
        <f t="shared" si="86"/>
        <v>1</v>
      </c>
      <c r="H43" s="62">
        <f t="shared" ref="H43:Q43" si="87">IF(isblank(H$1),,IFERROR(vlookup($A43,indirect("'TVC-"&amp;text(month(H$1),"00")&amp;"'!$A:$D"),4,false),1))</f>
        <v>1</v>
      </c>
      <c r="I43" s="62">
        <f t="shared" si="87"/>
        <v>1</v>
      </c>
      <c r="J43" s="62">
        <f t="shared" si="87"/>
        <v>1</v>
      </c>
      <c r="K43" s="62">
        <f t="shared" si="87"/>
        <v>1</v>
      </c>
      <c r="L43" s="62">
        <f t="shared" si="87"/>
        <v>1</v>
      </c>
      <c r="M43" s="62">
        <f t="shared" si="87"/>
        <v>1</v>
      </c>
      <c r="N43" s="62">
        <f t="shared" si="87"/>
        <v>1</v>
      </c>
      <c r="O43" s="62">
        <f t="shared" si="87"/>
        <v>1</v>
      </c>
      <c r="P43" s="62" t="str">
        <f t="shared" si="87"/>
        <v/>
      </c>
      <c r="Q43" s="62" t="str">
        <f t="shared" si="87"/>
        <v/>
      </c>
      <c r="R43" s="62">
        <f t="shared" si="7"/>
        <v>0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</row>
    <row r="44" hidden="1">
      <c r="A44" s="60">
        <f>IFERROR(__xludf.DUMMYFUNCTION("""COMPUTED_VALUE"""),211.0)</f>
        <v>211</v>
      </c>
      <c r="B44" s="60" t="str">
        <f>IFERROR(__xludf.DUMMYFUNCTION("""COMPUTED_VALUE"""),"Broncos, Denver")</f>
        <v>Broncos, Denver</v>
      </c>
      <c r="C44" s="60" t="str">
        <f>IFERROR(__xludf.DUMMYFUNCTION("""COMPUTED_VALUE"""),"TMRB")</f>
        <v>TMRB</v>
      </c>
      <c r="D44" s="60" t="str">
        <f>IFERROR(__xludf.DUMMYFUNCTION("""COMPUTED_VALUE"""),"DEN")</f>
        <v>DEN</v>
      </c>
      <c r="E44" s="62" t="str">
        <f t="shared" si="4"/>
        <v>Denver Broncos</v>
      </c>
      <c r="F44" s="62">
        <f t="shared" ref="F44:G44" si="88">IF(isblank(F$1),,IF(isblank($A44),,IFERROR(vlookup($A44,indirect("'TVC-"&amp;text(month(F$1),"00")&amp;"'!$A:$D"),4,false),1)))</f>
        <v>1</v>
      </c>
      <c r="G44" s="62">
        <f t="shared" si="88"/>
        <v>1</v>
      </c>
      <c r="H44" s="62">
        <f t="shared" ref="H44:Q44" si="89">IF(isblank(H$1),,IFERROR(vlookup($A44,indirect("'TVC-"&amp;text(month(H$1),"00")&amp;"'!$A:$D"),4,false),1))</f>
        <v>1</v>
      </c>
      <c r="I44" s="62">
        <f t="shared" si="89"/>
        <v>1</v>
      </c>
      <c r="J44" s="62">
        <f t="shared" si="89"/>
        <v>1</v>
      </c>
      <c r="K44" s="62">
        <f t="shared" si="89"/>
        <v>1</v>
      </c>
      <c r="L44" s="62">
        <f t="shared" si="89"/>
        <v>1</v>
      </c>
      <c r="M44" s="62">
        <f t="shared" si="89"/>
        <v>1</v>
      </c>
      <c r="N44" s="62">
        <f t="shared" si="89"/>
        <v>1</v>
      </c>
      <c r="O44" s="62">
        <f t="shared" si="89"/>
        <v>1</v>
      </c>
      <c r="P44" s="62" t="str">
        <f t="shared" si="89"/>
        <v/>
      </c>
      <c r="Q44" s="62" t="str">
        <f t="shared" si="89"/>
        <v/>
      </c>
      <c r="R44" s="62">
        <f t="shared" si="7"/>
        <v>0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</row>
    <row r="45" hidden="1">
      <c r="A45" s="60">
        <f>IFERROR(__xludf.DUMMYFUNCTION("""COMPUTED_VALUE"""),212.0)</f>
        <v>212</v>
      </c>
      <c r="B45" s="60" t="str">
        <f>IFERROR(__xludf.DUMMYFUNCTION("""COMPUTED_VALUE"""),"Chiefs, Kansas City")</f>
        <v>Chiefs, Kansas City</v>
      </c>
      <c r="C45" s="60" t="str">
        <f>IFERROR(__xludf.DUMMYFUNCTION("""COMPUTED_VALUE"""),"TMRB")</f>
        <v>TMRB</v>
      </c>
      <c r="D45" s="60" t="str">
        <f>IFERROR(__xludf.DUMMYFUNCTION("""COMPUTED_VALUE"""),"KCC")</f>
        <v>KCC</v>
      </c>
      <c r="E45" s="62" t="str">
        <f t="shared" si="4"/>
        <v>Kansas City Chiefs</v>
      </c>
      <c r="F45" s="62">
        <f t="shared" ref="F45:G45" si="90">IF(isblank(F$1),,IF(isblank($A45),,IFERROR(vlookup($A45,indirect("'TVC-"&amp;text(month(F$1),"00")&amp;"'!$A:$D"),4,false),1)))</f>
        <v>1</v>
      </c>
      <c r="G45" s="62">
        <f t="shared" si="90"/>
        <v>1</v>
      </c>
      <c r="H45" s="62">
        <f t="shared" ref="H45:Q45" si="91">IF(isblank(H$1),,IFERROR(vlookup($A45,indirect("'TVC-"&amp;text(month(H$1),"00")&amp;"'!$A:$D"),4,false),1))</f>
        <v>1</v>
      </c>
      <c r="I45" s="62">
        <f t="shared" si="91"/>
        <v>1</v>
      </c>
      <c r="J45" s="62">
        <f t="shared" si="91"/>
        <v>1</v>
      </c>
      <c r="K45" s="62">
        <f t="shared" si="91"/>
        <v>1</v>
      </c>
      <c r="L45" s="62">
        <f t="shared" si="91"/>
        <v>1</v>
      </c>
      <c r="M45" s="62">
        <f t="shared" si="91"/>
        <v>1</v>
      </c>
      <c r="N45" s="62">
        <f t="shared" si="91"/>
        <v>1</v>
      </c>
      <c r="O45" s="62">
        <f t="shared" si="91"/>
        <v>1</v>
      </c>
      <c r="P45" s="62" t="str">
        <f t="shared" si="91"/>
        <v/>
      </c>
      <c r="Q45" s="62" t="str">
        <f t="shared" si="91"/>
        <v/>
      </c>
      <c r="R45" s="62">
        <f t="shared" si="7"/>
        <v>0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</row>
    <row r="46" hidden="1">
      <c r="A46" s="60">
        <f>IFERROR(__xludf.DUMMYFUNCTION("""COMPUTED_VALUE"""),213.0)</f>
        <v>213</v>
      </c>
      <c r="B46" s="60" t="str">
        <f>IFERROR(__xludf.DUMMYFUNCTION("""COMPUTED_VALUE"""),"Raiders, Las Vegas")</f>
        <v>Raiders, Las Vegas</v>
      </c>
      <c r="C46" s="60" t="str">
        <f>IFERROR(__xludf.DUMMYFUNCTION("""COMPUTED_VALUE"""),"TMRB")</f>
        <v>TMRB</v>
      </c>
      <c r="D46" s="60" t="str">
        <f>IFERROR(__xludf.DUMMYFUNCTION("""COMPUTED_VALUE"""),"LVR")</f>
        <v>LVR</v>
      </c>
      <c r="E46" s="62" t="str">
        <f t="shared" si="4"/>
        <v>Las Vegas Raiders</v>
      </c>
      <c r="F46" s="62">
        <f t="shared" ref="F46:G46" si="92">IF(isblank(F$1),,IF(isblank($A46),,IFERROR(vlookup($A46,indirect("'TVC-"&amp;text(month(F$1),"00")&amp;"'!$A:$D"),4,false),1)))</f>
        <v>1</v>
      </c>
      <c r="G46" s="62">
        <f t="shared" si="92"/>
        <v>1</v>
      </c>
      <c r="H46" s="62">
        <f t="shared" ref="H46:Q46" si="93">IF(isblank(H$1),,IFERROR(vlookup($A46,indirect("'TVC-"&amp;text(month(H$1),"00")&amp;"'!$A:$D"),4,false),1))</f>
        <v>1</v>
      </c>
      <c r="I46" s="62">
        <f t="shared" si="93"/>
        <v>1</v>
      </c>
      <c r="J46" s="62">
        <f t="shared" si="93"/>
        <v>1</v>
      </c>
      <c r="K46" s="62">
        <f t="shared" si="93"/>
        <v>1</v>
      </c>
      <c r="L46" s="62">
        <f t="shared" si="93"/>
        <v>1</v>
      </c>
      <c r="M46" s="62">
        <f t="shared" si="93"/>
        <v>1</v>
      </c>
      <c r="N46" s="62">
        <f t="shared" si="93"/>
        <v>1</v>
      </c>
      <c r="O46" s="62">
        <f t="shared" si="93"/>
        <v>1</v>
      </c>
      <c r="P46" s="62" t="str">
        <f t="shared" si="93"/>
        <v/>
      </c>
      <c r="Q46" s="62" t="str">
        <f t="shared" si="93"/>
        <v/>
      </c>
      <c r="R46" s="62">
        <f t="shared" si="7"/>
        <v>0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</row>
    <row r="47" hidden="1">
      <c r="A47" s="60">
        <f>IFERROR(__xludf.DUMMYFUNCTION("""COMPUTED_VALUE"""),214.0)</f>
        <v>214</v>
      </c>
      <c r="B47" s="60" t="str">
        <f>IFERROR(__xludf.DUMMYFUNCTION("""COMPUTED_VALUE"""),"Chargers, Los Angeles")</f>
        <v>Chargers, Los Angeles</v>
      </c>
      <c r="C47" s="60" t="str">
        <f>IFERROR(__xludf.DUMMYFUNCTION("""COMPUTED_VALUE"""),"TMRB")</f>
        <v>TMRB</v>
      </c>
      <c r="D47" s="60" t="str">
        <f>IFERROR(__xludf.DUMMYFUNCTION("""COMPUTED_VALUE"""),"LAC")</f>
        <v>LAC</v>
      </c>
      <c r="E47" s="62" t="str">
        <f t="shared" si="4"/>
        <v>Los Angeles Chargers</v>
      </c>
      <c r="F47" s="62">
        <f t="shared" ref="F47:G47" si="94">IF(isblank(F$1),,IF(isblank($A47),,IFERROR(vlookup($A47,indirect("'TVC-"&amp;text(month(F$1),"00")&amp;"'!$A:$D"),4,false),1)))</f>
        <v>1</v>
      </c>
      <c r="G47" s="62">
        <f t="shared" si="94"/>
        <v>1</v>
      </c>
      <c r="H47" s="62">
        <f t="shared" ref="H47:Q47" si="95">IF(isblank(H$1),,IFERROR(vlookup($A47,indirect("'TVC-"&amp;text(month(H$1),"00")&amp;"'!$A:$D"),4,false),1))</f>
        <v>1</v>
      </c>
      <c r="I47" s="62">
        <f t="shared" si="95"/>
        <v>1</v>
      </c>
      <c r="J47" s="62">
        <f t="shared" si="95"/>
        <v>1</v>
      </c>
      <c r="K47" s="62">
        <f t="shared" si="95"/>
        <v>1</v>
      </c>
      <c r="L47" s="62">
        <f t="shared" si="95"/>
        <v>1</v>
      </c>
      <c r="M47" s="62">
        <f t="shared" si="95"/>
        <v>1</v>
      </c>
      <c r="N47" s="62">
        <f t="shared" si="95"/>
        <v>1</v>
      </c>
      <c r="O47" s="62">
        <f t="shared" si="95"/>
        <v>1</v>
      </c>
      <c r="P47" s="62" t="str">
        <f t="shared" si="95"/>
        <v/>
      </c>
      <c r="Q47" s="62" t="str">
        <f t="shared" si="95"/>
        <v/>
      </c>
      <c r="R47" s="62">
        <f t="shared" si="7"/>
        <v>0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</row>
    <row r="48" hidden="1">
      <c r="A48" s="60">
        <f>IFERROR(__xludf.DUMMYFUNCTION("""COMPUTED_VALUE"""),215.0)</f>
        <v>215</v>
      </c>
      <c r="B48" s="60" t="str">
        <f>IFERROR(__xludf.DUMMYFUNCTION("""COMPUTED_VALUE"""),"Seahawks, Seattle")</f>
        <v>Seahawks, Seattle</v>
      </c>
      <c r="C48" s="60" t="str">
        <f>IFERROR(__xludf.DUMMYFUNCTION("""COMPUTED_VALUE"""),"TMRB")</f>
        <v>TMRB</v>
      </c>
      <c r="D48" s="60" t="str">
        <f>IFERROR(__xludf.DUMMYFUNCTION("""COMPUTED_VALUE"""),"SEA")</f>
        <v>SEA</v>
      </c>
      <c r="E48" s="62" t="str">
        <f t="shared" si="4"/>
        <v>Seattle Seahawks</v>
      </c>
      <c r="F48" s="62">
        <f t="shared" ref="F48:G48" si="96">IF(isblank(F$1),,IF(isblank($A48),,IFERROR(vlookup($A48,indirect("'TVC-"&amp;text(month(F$1),"00")&amp;"'!$A:$D"),4,false),1)))</f>
        <v>1</v>
      </c>
      <c r="G48" s="62">
        <f t="shared" si="96"/>
        <v>1</v>
      </c>
      <c r="H48" s="62">
        <f t="shared" ref="H48:Q48" si="97">IF(isblank(H$1),,IFERROR(vlookup($A48,indirect("'TVC-"&amp;text(month(H$1),"00")&amp;"'!$A:$D"),4,false),1))</f>
        <v>1</v>
      </c>
      <c r="I48" s="62">
        <f t="shared" si="97"/>
        <v>1</v>
      </c>
      <c r="J48" s="62">
        <f t="shared" si="97"/>
        <v>1</v>
      </c>
      <c r="K48" s="62">
        <f t="shared" si="97"/>
        <v>1</v>
      </c>
      <c r="L48" s="62">
        <f t="shared" si="97"/>
        <v>1</v>
      </c>
      <c r="M48" s="62">
        <f t="shared" si="97"/>
        <v>1</v>
      </c>
      <c r="N48" s="62">
        <f t="shared" si="97"/>
        <v>1</v>
      </c>
      <c r="O48" s="62">
        <f t="shared" si="97"/>
        <v>1</v>
      </c>
      <c r="P48" s="62" t="str">
        <f t="shared" si="97"/>
        <v/>
      </c>
      <c r="Q48" s="62" t="str">
        <f t="shared" si="97"/>
        <v/>
      </c>
      <c r="R48" s="62">
        <f t="shared" si="7"/>
        <v>0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</row>
    <row r="49" hidden="1">
      <c r="A49" s="60">
        <f>IFERROR(__xludf.DUMMYFUNCTION("""COMPUTED_VALUE"""),216.0)</f>
        <v>216</v>
      </c>
      <c r="B49" s="60" t="str">
        <f>IFERROR(__xludf.DUMMYFUNCTION("""COMPUTED_VALUE"""),"Cowboys, Dallas")</f>
        <v>Cowboys, Dallas</v>
      </c>
      <c r="C49" s="60" t="str">
        <f>IFERROR(__xludf.DUMMYFUNCTION("""COMPUTED_VALUE"""),"TMRB")</f>
        <v>TMRB</v>
      </c>
      <c r="D49" s="60" t="str">
        <f>IFERROR(__xludf.DUMMYFUNCTION("""COMPUTED_VALUE"""),"DAL")</f>
        <v>DAL</v>
      </c>
      <c r="E49" s="62" t="str">
        <f t="shared" si="4"/>
        <v>Dallas Cowboys</v>
      </c>
      <c r="F49" s="62">
        <f t="shared" ref="F49:G49" si="98">IF(isblank(F$1),,IF(isblank($A49),,IFERROR(vlookup($A49,indirect("'TVC-"&amp;text(month(F$1),"00")&amp;"'!$A:$D"),4,false),1)))</f>
        <v>1</v>
      </c>
      <c r="G49" s="62">
        <f t="shared" si="98"/>
        <v>1</v>
      </c>
      <c r="H49" s="62">
        <f t="shared" ref="H49:Q49" si="99">IF(isblank(H$1),,IFERROR(vlookup($A49,indirect("'TVC-"&amp;text(month(H$1),"00")&amp;"'!$A:$D"),4,false),1))</f>
        <v>1</v>
      </c>
      <c r="I49" s="62">
        <f t="shared" si="99"/>
        <v>1</v>
      </c>
      <c r="J49" s="62">
        <f t="shared" si="99"/>
        <v>1</v>
      </c>
      <c r="K49" s="62">
        <f t="shared" si="99"/>
        <v>1</v>
      </c>
      <c r="L49" s="62">
        <f t="shared" si="99"/>
        <v>1</v>
      </c>
      <c r="M49" s="62">
        <f t="shared" si="99"/>
        <v>1</v>
      </c>
      <c r="N49" s="62">
        <f t="shared" si="99"/>
        <v>1</v>
      </c>
      <c r="O49" s="62">
        <f t="shared" si="99"/>
        <v>1</v>
      </c>
      <c r="P49" s="62" t="str">
        <f t="shared" si="99"/>
        <v/>
      </c>
      <c r="Q49" s="62" t="str">
        <f t="shared" si="99"/>
        <v/>
      </c>
      <c r="R49" s="62">
        <f t="shared" si="7"/>
        <v>0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</row>
    <row r="50" hidden="1">
      <c r="A50" s="60">
        <f>IFERROR(__xludf.DUMMYFUNCTION("""COMPUTED_VALUE"""),217.0)</f>
        <v>217</v>
      </c>
      <c r="B50" s="60" t="str">
        <f>IFERROR(__xludf.DUMMYFUNCTION("""COMPUTED_VALUE"""),"Giants, New York")</f>
        <v>Giants, New York</v>
      </c>
      <c r="C50" s="60" t="str">
        <f>IFERROR(__xludf.DUMMYFUNCTION("""COMPUTED_VALUE"""),"TMRB")</f>
        <v>TMRB</v>
      </c>
      <c r="D50" s="60" t="str">
        <f>IFERROR(__xludf.DUMMYFUNCTION("""COMPUTED_VALUE"""),"NYG")</f>
        <v>NYG</v>
      </c>
      <c r="E50" s="62" t="str">
        <f t="shared" si="4"/>
        <v>New York Giants</v>
      </c>
      <c r="F50" s="62">
        <f t="shared" ref="F50:G50" si="100">IF(isblank(F$1),,IF(isblank($A50),,IFERROR(vlookup($A50,indirect("'TVC-"&amp;text(month(F$1),"00")&amp;"'!$A:$D"),4,false),1)))</f>
        <v>1</v>
      </c>
      <c r="G50" s="62">
        <f t="shared" si="100"/>
        <v>1</v>
      </c>
      <c r="H50" s="62">
        <f t="shared" ref="H50:Q50" si="101">IF(isblank(H$1),,IFERROR(vlookup($A50,indirect("'TVC-"&amp;text(month(H$1),"00")&amp;"'!$A:$D"),4,false),1))</f>
        <v>1</v>
      </c>
      <c r="I50" s="62">
        <f t="shared" si="101"/>
        <v>1</v>
      </c>
      <c r="J50" s="62">
        <f t="shared" si="101"/>
        <v>1</v>
      </c>
      <c r="K50" s="62">
        <f t="shared" si="101"/>
        <v>1</v>
      </c>
      <c r="L50" s="62">
        <f t="shared" si="101"/>
        <v>1</v>
      </c>
      <c r="M50" s="62">
        <f t="shared" si="101"/>
        <v>1</v>
      </c>
      <c r="N50" s="62">
        <f t="shared" si="101"/>
        <v>1</v>
      </c>
      <c r="O50" s="62">
        <f t="shared" si="101"/>
        <v>1</v>
      </c>
      <c r="P50" s="62" t="str">
        <f t="shared" si="101"/>
        <v/>
      </c>
      <c r="Q50" s="62" t="str">
        <f t="shared" si="101"/>
        <v/>
      </c>
      <c r="R50" s="62">
        <f t="shared" si="7"/>
        <v>0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</row>
    <row r="51" hidden="1">
      <c r="A51" s="60">
        <f>IFERROR(__xludf.DUMMYFUNCTION("""COMPUTED_VALUE"""),218.0)</f>
        <v>218</v>
      </c>
      <c r="B51" s="60" t="str">
        <f>IFERROR(__xludf.DUMMYFUNCTION("""COMPUTED_VALUE"""),"Eagles, Philadelphia")</f>
        <v>Eagles, Philadelphia</v>
      </c>
      <c r="C51" s="60" t="str">
        <f>IFERROR(__xludf.DUMMYFUNCTION("""COMPUTED_VALUE"""),"TMRB")</f>
        <v>TMRB</v>
      </c>
      <c r="D51" s="60" t="str">
        <f>IFERROR(__xludf.DUMMYFUNCTION("""COMPUTED_VALUE"""),"PHI")</f>
        <v>PHI</v>
      </c>
      <c r="E51" s="62" t="str">
        <f t="shared" si="4"/>
        <v>Philadelphia Eagles</v>
      </c>
      <c r="F51" s="62">
        <f t="shared" ref="F51:G51" si="102">IF(isblank(F$1),,IF(isblank($A51),,IFERROR(vlookup($A51,indirect("'TVC-"&amp;text(month(F$1),"00")&amp;"'!$A:$D"),4,false),1)))</f>
        <v>1</v>
      </c>
      <c r="G51" s="62">
        <f t="shared" si="102"/>
        <v>1</v>
      </c>
      <c r="H51" s="62">
        <f t="shared" ref="H51:Q51" si="103">IF(isblank(H$1),,IFERROR(vlookup($A51,indirect("'TVC-"&amp;text(month(H$1),"00")&amp;"'!$A:$D"),4,false),1))</f>
        <v>1</v>
      </c>
      <c r="I51" s="62">
        <f t="shared" si="103"/>
        <v>1</v>
      </c>
      <c r="J51" s="62">
        <f t="shared" si="103"/>
        <v>1</v>
      </c>
      <c r="K51" s="62">
        <f t="shared" si="103"/>
        <v>1</v>
      </c>
      <c r="L51" s="62">
        <f t="shared" si="103"/>
        <v>1</v>
      </c>
      <c r="M51" s="62">
        <f t="shared" si="103"/>
        <v>1</v>
      </c>
      <c r="N51" s="62">
        <f t="shared" si="103"/>
        <v>1</v>
      </c>
      <c r="O51" s="62">
        <f t="shared" si="103"/>
        <v>1</v>
      </c>
      <c r="P51" s="62" t="str">
        <f t="shared" si="103"/>
        <v/>
      </c>
      <c r="Q51" s="62" t="str">
        <f t="shared" si="103"/>
        <v/>
      </c>
      <c r="R51" s="62">
        <f t="shared" si="7"/>
        <v>0</v>
      </c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</row>
    <row r="52" hidden="1">
      <c r="A52" s="60">
        <f>IFERROR(__xludf.DUMMYFUNCTION("""COMPUTED_VALUE"""),219.0)</f>
        <v>219</v>
      </c>
      <c r="B52" s="60" t="str">
        <f>IFERROR(__xludf.DUMMYFUNCTION("""COMPUTED_VALUE"""),"Cardinals, Arizona")</f>
        <v>Cardinals, Arizona</v>
      </c>
      <c r="C52" s="60" t="str">
        <f>IFERROR(__xludf.DUMMYFUNCTION("""COMPUTED_VALUE"""),"TMRB")</f>
        <v>TMRB</v>
      </c>
      <c r="D52" s="60" t="str">
        <f>IFERROR(__xludf.DUMMYFUNCTION("""COMPUTED_VALUE"""),"ARI")</f>
        <v>ARI</v>
      </c>
      <c r="E52" s="62" t="str">
        <f t="shared" si="4"/>
        <v>Arizona Cardinals</v>
      </c>
      <c r="F52" s="62">
        <f t="shared" ref="F52:G52" si="104">IF(isblank(F$1),,IF(isblank($A52),,IFERROR(vlookup($A52,indirect("'TVC-"&amp;text(month(F$1),"00")&amp;"'!$A:$D"),4,false),1)))</f>
        <v>1</v>
      </c>
      <c r="G52" s="62">
        <f t="shared" si="104"/>
        <v>1</v>
      </c>
      <c r="H52" s="62">
        <f t="shared" ref="H52:Q52" si="105">IF(isblank(H$1),,IFERROR(vlookup($A52,indirect("'TVC-"&amp;text(month(H$1),"00")&amp;"'!$A:$D"),4,false),1))</f>
        <v>1</v>
      </c>
      <c r="I52" s="62">
        <f t="shared" si="105"/>
        <v>1</v>
      </c>
      <c r="J52" s="62">
        <f t="shared" si="105"/>
        <v>1</v>
      </c>
      <c r="K52" s="62">
        <f t="shared" si="105"/>
        <v>1</v>
      </c>
      <c r="L52" s="62">
        <f t="shared" si="105"/>
        <v>1</v>
      </c>
      <c r="M52" s="62">
        <f t="shared" si="105"/>
        <v>1</v>
      </c>
      <c r="N52" s="62">
        <f t="shared" si="105"/>
        <v>1</v>
      </c>
      <c r="O52" s="62">
        <f t="shared" si="105"/>
        <v>1</v>
      </c>
      <c r="P52" s="62" t="str">
        <f t="shared" si="105"/>
        <v/>
      </c>
      <c r="Q52" s="62" t="str">
        <f t="shared" si="105"/>
        <v/>
      </c>
      <c r="R52" s="62">
        <f t="shared" si="7"/>
        <v>0</v>
      </c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hidden="1">
      <c r="A53" s="60">
        <f>IFERROR(__xludf.DUMMYFUNCTION("""COMPUTED_VALUE"""),220.0)</f>
        <v>220</v>
      </c>
      <c r="B53" s="60" t="str">
        <f>IFERROR(__xludf.DUMMYFUNCTION("""COMPUTED_VALUE"""),"Commanders, Washington")</f>
        <v>Commanders, Washington</v>
      </c>
      <c r="C53" s="60" t="str">
        <f>IFERROR(__xludf.DUMMYFUNCTION("""COMPUTED_VALUE"""),"TMRB")</f>
        <v>TMRB</v>
      </c>
      <c r="D53" s="60" t="str">
        <f>IFERROR(__xludf.DUMMYFUNCTION("""COMPUTED_VALUE"""),"WAS")</f>
        <v>WAS</v>
      </c>
      <c r="E53" s="62" t="str">
        <f t="shared" si="4"/>
        <v>Washington Commanders</v>
      </c>
      <c r="F53" s="62">
        <f t="shared" ref="F53:G53" si="106">IF(isblank(F$1),,IF(isblank($A53),,IFERROR(vlookup($A53,indirect("'TVC-"&amp;text(month(F$1),"00")&amp;"'!$A:$D"),4,false),1)))</f>
        <v>1</v>
      </c>
      <c r="G53" s="62">
        <f t="shared" si="106"/>
        <v>1</v>
      </c>
      <c r="H53" s="62">
        <f t="shared" ref="H53:Q53" si="107">IF(isblank(H$1),,IFERROR(vlookup($A53,indirect("'TVC-"&amp;text(month(H$1),"00")&amp;"'!$A:$D"),4,false),1))</f>
        <v>1</v>
      </c>
      <c r="I53" s="62">
        <f t="shared" si="107"/>
        <v>1</v>
      </c>
      <c r="J53" s="62">
        <f t="shared" si="107"/>
        <v>1</v>
      </c>
      <c r="K53" s="62">
        <f t="shared" si="107"/>
        <v>1</v>
      </c>
      <c r="L53" s="62">
        <f t="shared" si="107"/>
        <v>1</v>
      </c>
      <c r="M53" s="62">
        <f t="shared" si="107"/>
        <v>1</v>
      </c>
      <c r="N53" s="62">
        <f t="shared" si="107"/>
        <v>1</v>
      </c>
      <c r="O53" s="62">
        <f t="shared" si="107"/>
        <v>1</v>
      </c>
      <c r="P53" s="62" t="str">
        <f t="shared" si="107"/>
        <v/>
      </c>
      <c r="Q53" s="62" t="str">
        <f t="shared" si="107"/>
        <v/>
      </c>
      <c r="R53" s="62">
        <f t="shared" si="7"/>
        <v>0</v>
      </c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</row>
    <row r="54" hidden="1">
      <c r="A54" s="60">
        <f>IFERROR(__xludf.DUMMYFUNCTION("""COMPUTED_VALUE"""),221.0)</f>
        <v>221</v>
      </c>
      <c r="B54" s="60" t="str">
        <f>IFERROR(__xludf.DUMMYFUNCTION("""COMPUTED_VALUE"""),"Bears, Chicago")</f>
        <v>Bears, Chicago</v>
      </c>
      <c r="C54" s="60" t="str">
        <f>IFERROR(__xludf.DUMMYFUNCTION("""COMPUTED_VALUE"""),"TMRB")</f>
        <v>TMRB</v>
      </c>
      <c r="D54" s="60" t="str">
        <f>IFERROR(__xludf.DUMMYFUNCTION("""COMPUTED_VALUE"""),"CHI")</f>
        <v>CHI</v>
      </c>
      <c r="E54" s="62" t="str">
        <f t="shared" si="4"/>
        <v>Chicago Bears</v>
      </c>
      <c r="F54" s="62">
        <f t="shared" ref="F54:G54" si="108">IF(isblank(F$1),,IF(isblank($A54),,IFERROR(vlookup($A54,indirect("'TVC-"&amp;text(month(F$1),"00")&amp;"'!$A:$D"),4,false),1)))</f>
        <v>1</v>
      </c>
      <c r="G54" s="62">
        <f t="shared" si="108"/>
        <v>1</v>
      </c>
      <c r="H54" s="62">
        <f t="shared" ref="H54:Q54" si="109">IF(isblank(H$1),,IFERROR(vlookup($A54,indirect("'TVC-"&amp;text(month(H$1),"00")&amp;"'!$A:$D"),4,false),1))</f>
        <v>1</v>
      </c>
      <c r="I54" s="62">
        <f t="shared" si="109"/>
        <v>1</v>
      </c>
      <c r="J54" s="62">
        <f t="shared" si="109"/>
        <v>1</v>
      </c>
      <c r="K54" s="62">
        <f t="shared" si="109"/>
        <v>1</v>
      </c>
      <c r="L54" s="62">
        <f t="shared" si="109"/>
        <v>1</v>
      </c>
      <c r="M54" s="62">
        <f t="shared" si="109"/>
        <v>1</v>
      </c>
      <c r="N54" s="62">
        <f t="shared" si="109"/>
        <v>1</v>
      </c>
      <c r="O54" s="62">
        <f t="shared" si="109"/>
        <v>1</v>
      </c>
      <c r="P54" s="62" t="str">
        <f t="shared" si="109"/>
        <v/>
      </c>
      <c r="Q54" s="62" t="str">
        <f t="shared" si="109"/>
        <v/>
      </c>
      <c r="R54" s="62">
        <f t="shared" si="7"/>
        <v>0</v>
      </c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</row>
    <row r="55" hidden="1">
      <c r="A55" s="60">
        <f>IFERROR(__xludf.DUMMYFUNCTION("""COMPUTED_VALUE"""),222.0)</f>
        <v>222</v>
      </c>
      <c r="B55" s="60" t="str">
        <f>IFERROR(__xludf.DUMMYFUNCTION("""COMPUTED_VALUE"""),"Lions, Detroit")</f>
        <v>Lions, Detroit</v>
      </c>
      <c r="C55" s="60" t="str">
        <f>IFERROR(__xludf.DUMMYFUNCTION("""COMPUTED_VALUE"""),"TMRB")</f>
        <v>TMRB</v>
      </c>
      <c r="D55" s="60" t="str">
        <f>IFERROR(__xludf.DUMMYFUNCTION("""COMPUTED_VALUE"""),"DET")</f>
        <v>DET</v>
      </c>
      <c r="E55" s="62" t="str">
        <f t="shared" si="4"/>
        <v>Detroit Lions</v>
      </c>
      <c r="F55" s="62">
        <f t="shared" ref="F55:G55" si="110">IF(isblank(F$1),,IF(isblank($A55),,IFERROR(vlookup($A55,indirect("'TVC-"&amp;text(month(F$1),"00")&amp;"'!$A:$D"),4,false),1)))</f>
        <v>1</v>
      </c>
      <c r="G55" s="62">
        <f t="shared" si="110"/>
        <v>1</v>
      </c>
      <c r="H55" s="62">
        <f t="shared" ref="H55:Q55" si="111">IF(isblank(H$1),,IFERROR(vlookup($A55,indirect("'TVC-"&amp;text(month(H$1),"00")&amp;"'!$A:$D"),4,false),1))</f>
        <v>1</v>
      </c>
      <c r="I55" s="62">
        <f t="shared" si="111"/>
        <v>1</v>
      </c>
      <c r="J55" s="62">
        <f t="shared" si="111"/>
        <v>1</v>
      </c>
      <c r="K55" s="62">
        <f t="shared" si="111"/>
        <v>1</v>
      </c>
      <c r="L55" s="62">
        <f t="shared" si="111"/>
        <v>1</v>
      </c>
      <c r="M55" s="62">
        <f t="shared" si="111"/>
        <v>1</v>
      </c>
      <c r="N55" s="62">
        <f t="shared" si="111"/>
        <v>1</v>
      </c>
      <c r="O55" s="62">
        <f t="shared" si="111"/>
        <v>1</v>
      </c>
      <c r="P55" s="62" t="str">
        <f t="shared" si="111"/>
        <v/>
      </c>
      <c r="Q55" s="62" t="str">
        <f t="shared" si="111"/>
        <v/>
      </c>
      <c r="R55" s="62">
        <f t="shared" si="7"/>
        <v>0</v>
      </c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</row>
    <row r="56" hidden="1">
      <c r="A56" s="60">
        <f>IFERROR(__xludf.DUMMYFUNCTION("""COMPUTED_VALUE"""),223.0)</f>
        <v>223</v>
      </c>
      <c r="B56" s="60" t="str">
        <f>IFERROR(__xludf.DUMMYFUNCTION("""COMPUTED_VALUE"""),"Packers, Green Bay")</f>
        <v>Packers, Green Bay</v>
      </c>
      <c r="C56" s="60" t="str">
        <f>IFERROR(__xludf.DUMMYFUNCTION("""COMPUTED_VALUE"""),"TMRB")</f>
        <v>TMRB</v>
      </c>
      <c r="D56" s="60" t="str">
        <f>IFERROR(__xludf.DUMMYFUNCTION("""COMPUTED_VALUE"""),"GBP")</f>
        <v>GBP</v>
      </c>
      <c r="E56" s="62" t="str">
        <f t="shared" si="4"/>
        <v>Green Bay Packers</v>
      </c>
      <c r="F56" s="62">
        <f t="shared" ref="F56:G56" si="112">IF(isblank(F$1),,IF(isblank($A56),,IFERROR(vlookup($A56,indirect("'TVC-"&amp;text(month(F$1),"00")&amp;"'!$A:$D"),4,false),1)))</f>
        <v>1</v>
      </c>
      <c r="G56" s="62">
        <f t="shared" si="112"/>
        <v>1</v>
      </c>
      <c r="H56" s="62">
        <f t="shared" ref="H56:Q56" si="113">IF(isblank(H$1),,IFERROR(vlookup($A56,indirect("'TVC-"&amp;text(month(H$1),"00")&amp;"'!$A:$D"),4,false),1))</f>
        <v>1</v>
      </c>
      <c r="I56" s="62">
        <f t="shared" si="113"/>
        <v>1</v>
      </c>
      <c r="J56" s="62">
        <f t="shared" si="113"/>
        <v>1</v>
      </c>
      <c r="K56" s="62">
        <f t="shared" si="113"/>
        <v>1</v>
      </c>
      <c r="L56" s="62">
        <f t="shared" si="113"/>
        <v>1</v>
      </c>
      <c r="M56" s="62">
        <f t="shared" si="113"/>
        <v>1</v>
      </c>
      <c r="N56" s="62">
        <f t="shared" si="113"/>
        <v>1</v>
      </c>
      <c r="O56" s="62">
        <f t="shared" si="113"/>
        <v>1</v>
      </c>
      <c r="P56" s="62" t="str">
        <f t="shared" si="113"/>
        <v/>
      </c>
      <c r="Q56" s="62" t="str">
        <f t="shared" si="113"/>
        <v/>
      </c>
      <c r="R56" s="62">
        <f t="shared" si="7"/>
        <v>0</v>
      </c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</row>
    <row r="57" hidden="1">
      <c r="A57" s="60">
        <f>IFERROR(__xludf.DUMMYFUNCTION("""COMPUTED_VALUE"""),224.0)</f>
        <v>224</v>
      </c>
      <c r="B57" s="60" t="str">
        <f>IFERROR(__xludf.DUMMYFUNCTION("""COMPUTED_VALUE"""),"Vikings, Minnesota")</f>
        <v>Vikings, Minnesota</v>
      </c>
      <c r="C57" s="60" t="str">
        <f>IFERROR(__xludf.DUMMYFUNCTION("""COMPUTED_VALUE"""),"TMRB")</f>
        <v>TMRB</v>
      </c>
      <c r="D57" s="60" t="str">
        <f>IFERROR(__xludf.DUMMYFUNCTION("""COMPUTED_VALUE"""),"MIN")</f>
        <v>MIN</v>
      </c>
      <c r="E57" s="62" t="str">
        <f t="shared" si="4"/>
        <v>Minnesota Vikings</v>
      </c>
      <c r="F57" s="62">
        <f t="shared" ref="F57:G57" si="114">IF(isblank(F$1),,IF(isblank($A57),,IFERROR(vlookup($A57,indirect("'TVC-"&amp;text(month(F$1),"00")&amp;"'!$A:$D"),4,false),1)))</f>
        <v>1</v>
      </c>
      <c r="G57" s="62">
        <f t="shared" si="114"/>
        <v>1</v>
      </c>
      <c r="H57" s="62">
        <f t="shared" ref="H57:Q57" si="115">IF(isblank(H$1),,IFERROR(vlookup($A57,indirect("'TVC-"&amp;text(month(H$1),"00")&amp;"'!$A:$D"),4,false),1))</f>
        <v>1</v>
      </c>
      <c r="I57" s="62">
        <f t="shared" si="115"/>
        <v>1</v>
      </c>
      <c r="J57" s="62">
        <f t="shared" si="115"/>
        <v>1</v>
      </c>
      <c r="K57" s="62">
        <f t="shared" si="115"/>
        <v>1</v>
      </c>
      <c r="L57" s="62">
        <f t="shared" si="115"/>
        <v>1</v>
      </c>
      <c r="M57" s="62">
        <f t="shared" si="115"/>
        <v>1</v>
      </c>
      <c r="N57" s="62">
        <f t="shared" si="115"/>
        <v>1</v>
      </c>
      <c r="O57" s="62">
        <f t="shared" si="115"/>
        <v>1</v>
      </c>
      <c r="P57" s="62" t="str">
        <f t="shared" si="115"/>
        <v/>
      </c>
      <c r="Q57" s="62" t="str">
        <f t="shared" si="115"/>
        <v/>
      </c>
      <c r="R57" s="62">
        <f t="shared" si="7"/>
        <v>0</v>
      </c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</row>
    <row r="58" hidden="1">
      <c r="A58" s="60">
        <f>IFERROR(__xludf.DUMMYFUNCTION("""COMPUTED_VALUE"""),225.0)</f>
        <v>225</v>
      </c>
      <c r="B58" s="60" t="str">
        <f>IFERROR(__xludf.DUMMYFUNCTION("""COMPUTED_VALUE"""),"Buccaneers, Tampa Bay")</f>
        <v>Buccaneers, Tampa Bay</v>
      </c>
      <c r="C58" s="60" t="str">
        <f>IFERROR(__xludf.DUMMYFUNCTION("""COMPUTED_VALUE"""),"TMRB")</f>
        <v>TMRB</v>
      </c>
      <c r="D58" s="60" t="str">
        <f>IFERROR(__xludf.DUMMYFUNCTION("""COMPUTED_VALUE"""),"TBB")</f>
        <v>TBB</v>
      </c>
      <c r="E58" s="62" t="str">
        <f t="shared" si="4"/>
        <v>Tampa Bay Buccaneers</v>
      </c>
      <c r="F58" s="62">
        <f t="shared" ref="F58:G58" si="116">IF(isblank(F$1),,IF(isblank($A58),,IFERROR(vlookup($A58,indirect("'TVC-"&amp;text(month(F$1),"00")&amp;"'!$A:$D"),4,false),1)))</f>
        <v>1</v>
      </c>
      <c r="G58" s="62">
        <f t="shared" si="116"/>
        <v>1</v>
      </c>
      <c r="H58" s="62">
        <f t="shared" ref="H58:Q58" si="117">IF(isblank(H$1),,IFERROR(vlookup($A58,indirect("'TVC-"&amp;text(month(H$1),"00")&amp;"'!$A:$D"),4,false),1))</f>
        <v>1</v>
      </c>
      <c r="I58" s="62">
        <f t="shared" si="117"/>
        <v>1</v>
      </c>
      <c r="J58" s="62">
        <f t="shared" si="117"/>
        <v>1</v>
      </c>
      <c r="K58" s="62">
        <f t="shared" si="117"/>
        <v>1</v>
      </c>
      <c r="L58" s="62">
        <f t="shared" si="117"/>
        <v>1</v>
      </c>
      <c r="M58" s="62">
        <f t="shared" si="117"/>
        <v>1</v>
      </c>
      <c r="N58" s="62">
        <f t="shared" si="117"/>
        <v>1</v>
      </c>
      <c r="O58" s="62">
        <f t="shared" si="117"/>
        <v>1</v>
      </c>
      <c r="P58" s="62" t="str">
        <f t="shared" si="117"/>
        <v/>
      </c>
      <c r="Q58" s="62" t="str">
        <f t="shared" si="117"/>
        <v/>
      </c>
      <c r="R58" s="62">
        <f t="shared" si="7"/>
        <v>0</v>
      </c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</row>
    <row r="59" hidden="1">
      <c r="A59" s="60">
        <f>IFERROR(__xludf.DUMMYFUNCTION("""COMPUTED_VALUE"""),226.0)</f>
        <v>226</v>
      </c>
      <c r="B59" s="60" t="str">
        <f>IFERROR(__xludf.DUMMYFUNCTION("""COMPUTED_VALUE"""),"Falcons, Atlanta")</f>
        <v>Falcons, Atlanta</v>
      </c>
      <c r="C59" s="60" t="str">
        <f>IFERROR(__xludf.DUMMYFUNCTION("""COMPUTED_VALUE"""),"TMRB")</f>
        <v>TMRB</v>
      </c>
      <c r="D59" s="60" t="str">
        <f>IFERROR(__xludf.DUMMYFUNCTION("""COMPUTED_VALUE"""),"ATL")</f>
        <v>ATL</v>
      </c>
      <c r="E59" s="62" t="str">
        <f t="shared" si="4"/>
        <v>Atlanta Falcons</v>
      </c>
      <c r="F59" s="62">
        <f t="shared" ref="F59:G59" si="118">IF(isblank(F$1),,IF(isblank($A59),,IFERROR(vlookup($A59,indirect("'TVC-"&amp;text(month(F$1),"00")&amp;"'!$A:$D"),4,false),1)))</f>
        <v>1</v>
      </c>
      <c r="G59" s="62">
        <f t="shared" si="118"/>
        <v>1</v>
      </c>
      <c r="H59" s="62">
        <f t="shared" ref="H59:Q59" si="119">IF(isblank(H$1),,IFERROR(vlookup($A59,indirect("'TVC-"&amp;text(month(H$1),"00")&amp;"'!$A:$D"),4,false),1))</f>
        <v>1</v>
      </c>
      <c r="I59" s="62">
        <f t="shared" si="119"/>
        <v>1</v>
      </c>
      <c r="J59" s="62">
        <f t="shared" si="119"/>
        <v>1</v>
      </c>
      <c r="K59" s="62">
        <f t="shared" si="119"/>
        <v>1</v>
      </c>
      <c r="L59" s="62">
        <f t="shared" si="119"/>
        <v>1</v>
      </c>
      <c r="M59" s="62">
        <f t="shared" si="119"/>
        <v>1</v>
      </c>
      <c r="N59" s="62">
        <f t="shared" si="119"/>
        <v>1</v>
      </c>
      <c r="O59" s="62">
        <f t="shared" si="119"/>
        <v>1</v>
      </c>
      <c r="P59" s="62" t="str">
        <f t="shared" si="119"/>
        <v/>
      </c>
      <c r="Q59" s="62" t="str">
        <f t="shared" si="119"/>
        <v/>
      </c>
      <c r="R59" s="62">
        <f t="shared" si="7"/>
        <v>0</v>
      </c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</row>
    <row r="60" hidden="1">
      <c r="A60" s="60">
        <f>IFERROR(__xludf.DUMMYFUNCTION("""COMPUTED_VALUE"""),227.0)</f>
        <v>227</v>
      </c>
      <c r="B60" s="60" t="str">
        <f>IFERROR(__xludf.DUMMYFUNCTION("""COMPUTED_VALUE"""),"Panthers, Carolina")</f>
        <v>Panthers, Carolina</v>
      </c>
      <c r="C60" s="60" t="str">
        <f>IFERROR(__xludf.DUMMYFUNCTION("""COMPUTED_VALUE"""),"TMRB")</f>
        <v>TMRB</v>
      </c>
      <c r="D60" s="60" t="str">
        <f>IFERROR(__xludf.DUMMYFUNCTION("""COMPUTED_VALUE"""),"CAR")</f>
        <v>CAR</v>
      </c>
      <c r="E60" s="62" t="str">
        <f t="shared" si="4"/>
        <v>Carolina Panthers</v>
      </c>
      <c r="F60" s="62">
        <f t="shared" ref="F60:G60" si="120">IF(isblank(F$1),,IF(isblank($A60),,IFERROR(vlookup($A60,indirect("'TVC-"&amp;text(month(F$1),"00")&amp;"'!$A:$D"),4,false),1)))</f>
        <v>1</v>
      </c>
      <c r="G60" s="62">
        <f t="shared" si="120"/>
        <v>1</v>
      </c>
      <c r="H60" s="62">
        <f t="shared" ref="H60:Q60" si="121">IF(isblank(H$1),,IFERROR(vlookup($A60,indirect("'TVC-"&amp;text(month(H$1),"00")&amp;"'!$A:$D"),4,false),1))</f>
        <v>1</v>
      </c>
      <c r="I60" s="62">
        <f t="shared" si="121"/>
        <v>1</v>
      </c>
      <c r="J60" s="62">
        <f t="shared" si="121"/>
        <v>1</v>
      </c>
      <c r="K60" s="62">
        <f t="shared" si="121"/>
        <v>1</v>
      </c>
      <c r="L60" s="62">
        <f t="shared" si="121"/>
        <v>1</v>
      </c>
      <c r="M60" s="62">
        <f t="shared" si="121"/>
        <v>1</v>
      </c>
      <c r="N60" s="62">
        <f t="shared" si="121"/>
        <v>1</v>
      </c>
      <c r="O60" s="62">
        <f t="shared" si="121"/>
        <v>1</v>
      </c>
      <c r="P60" s="62" t="str">
        <f t="shared" si="121"/>
        <v/>
      </c>
      <c r="Q60" s="62" t="str">
        <f t="shared" si="121"/>
        <v/>
      </c>
      <c r="R60" s="62">
        <f t="shared" si="7"/>
        <v>0</v>
      </c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</row>
    <row r="61" hidden="1">
      <c r="A61" s="60">
        <f>IFERROR(__xludf.DUMMYFUNCTION("""COMPUTED_VALUE"""),228.0)</f>
        <v>228</v>
      </c>
      <c r="B61" s="60" t="str">
        <f>IFERROR(__xludf.DUMMYFUNCTION("""COMPUTED_VALUE"""),"Rams, Los Angeles")</f>
        <v>Rams, Los Angeles</v>
      </c>
      <c r="C61" s="60" t="str">
        <f>IFERROR(__xludf.DUMMYFUNCTION("""COMPUTED_VALUE"""),"TMRB")</f>
        <v>TMRB</v>
      </c>
      <c r="D61" s="60" t="str">
        <f>IFERROR(__xludf.DUMMYFUNCTION("""COMPUTED_VALUE"""),"LAR")</f>
        <v>LAR</v>
      </c>
      <c r="E61" s="62" t="str">
        <f t="shared" si="4"/>
        <v>Los Angeles Rams</v>
      </c>
      <c r="F61" s="62">
        <f t="shared" ref="F61:G61" si="122">IF(isblank(F$1),,IF(isblank($A61),,IFERROR(vlookup($A61,indirect("'TVC-"&amp;text(month(F$1),"00")&amp;"'!$A:$D"),4,false),1)))</f>
        <v>1</v>
      </c>
      <c r="G61" s="62">
        <f t="shared" si="122"/>
        <v>1</v>
      </c>
      <c r="H61" s="62">
        <f t="shared" ref="H61:Q61" si="123">IF(isblank(H$1),,IFERROR(vlookup($A61,indirect("'TVC-"&amp;text(month(H$1),"00")&amp;"'!$A:$D"),4,false),1))</f>
        <v>1</v>
      </c>
      <c r="I61" s="62">
        <f t="shared" si="123"/>
        <v>1</v>
      </c>
      <c r="J61" s="62">
        <f t="shared" si="123"/>
        <v>1</v>
      </c>
      <c r="K61" s="62">
        <f t="shared" si="123"/>
        <v>1</v>
      </c>
      <c r="L61" s="62">
        <f t="shared" si="123"/>
        <v>1</v>
      </c>
      <c r="M61" s="62">
        <f t="shared" si="123"/>
        <v>1</v>
      </c>
      <c r="N61" s="62">
        <f t="shared" si="123"/>
        <v>1</v>
      </c>
      <c r="O61" s="62">
        <f t="shared" si="123"/>
        <v>1</v>
      </c>
      <c r="P61" s="62" t="str">
        <f t="shared" si="123"/>
        <v/>
      </c>
      <c r="Q61" s="62" t="str">
        <f t="shared" si="123"/>
        <v/>
      </c>
      <c r="R61" s="62">
        <f t="shared" si="7"/>
        <v>0</v>
      </c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</row>
    <row r="62" hidden="1">
      <c r="A62" s="60">
        <f>IFERROR(__xludf.DUMMYFUNCTION("""COMPUTED_VALUE"""),229.0)</f>
        <v>229</v>
      </c>
      <c r="B62" s="60" t="str">
        <f>IFERROR(__xludf.DUMMYFUNCTION("""COMPUTED_VALUE"""),"Saints, New Orleans")</f>
        <v>Saints, New Orleans</v>
      </c>
      <c r="C62" s="60" t="str">
        <f>IFERROR(__xludf.DUMMYFUNCTION("""COMPUTED_VALUE"""),"TMRB")</f>
        <v>TMRB</v>
      </c>
      <c r="D62" s="60" t="str">
        <f>IFERROR(__xludf.DUMMYFUNCTION("""COMPUTED_VALUE"""),"NOS")</f>
        <v>NOS</v>
      </c>
      <c r="E62" s="62" t="str">
        <f t="shared" si="4"/>
        <v>New Orleans Saints</v>
      </c>
      <c r="F62" s="62">
        <f t="shared" ref="F62:G62" si="124">IF(isblank(F$1),,IF(isblank($A62),,IFERROR(vlookup($A62,indirect("'TVC-"&amp;text(month(F$1),"00")&amp;"'!$A:$D"),4,false),1)))</f>
        <v>1</v>
      </c>
      <c r="G62" s="62">
        <f t="shared" si="124"/>
        <v>1</v>
      </c>
      <c r="H62" s="62">
        <f t="shared" ref="H62:Q62" si="125">IF(isblank(H$1),,IFERROR(vlookup($A62,indirect("'TVC-"&amp;text(month(H$1),"00")&amp;"'!$A:$D"),4,false),1))</f>
        <v>1</v>
      </c>
      <c r="I62" s="62">
        <f t="shared" si="125"/>
        <v>1</v>
      </c>
      <c r="J62" s="62">
        <f t="shared" si="125"/>
        <v>1</v>
      </c>
      <c r="K62" s="62">
        <f t="shared" si="125"/>
        <v>1</v>
      </c>
      <c r="L62" s="62">
        <f t="shared" si="125"/>
        <v>1</v>
      </c>
      <c r="M62" s="62">
        <f t="shared" si="125"/>
        <v>1</v>
      </c>
      <c r="N62" s="62">
        <f t="shared" si="125"/>
        <v>1</v>
      </c>
      <c r="O62" s="62">
        <f t="shared" si="125"/>
        <v>1</v>
      </c>
      <c r="P62" s="62" t="str">
        <f t="shared" si="125"/>
        <v/>
      </c>
      <c r="Q62" s="62" t="str">
        <f t="shared" si="125"/>
        <v/>
      </c>
      <c r="R62" s="62">
        <f t="shared" si="7"/>
        <v>0</v>
      </c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</row>
    <row r="63" hidden="1">
      <c r="A63" s="60">
        <f>IFERROR(__xludf.DUMMYFUNCTION("""COMPUTED_VALUE"""),230.0)</f>
        <v>230</v>
      </c>
      <c r="B63" s="60" t="str">
        <f>IFERROR(__xludf.DUMMYFUNCTION("""COMPUTED_VALUE"""),"49ers, San Francisco")</f>
        <v>49ers, San Francisco</v>
      </c>
      <c r="C63" s="60" t="str">
        <f>IFERROR(__xludf.DUMMYFUNCTION("""COMPUTED_VALUE"""),"TMRB")</f>
        <v>TMRB</v>
      </c>
      <c r="D63" s="60" t="str">
        <f>IFERROR(__xludf.DUMMYFUNCTION("""COMPUTED_VALUE"""),"SFO")</f>
        <v>SFO</v>
      </c>
      <c r="E63" s="62" t="str">
        <f t="shared" si="4"/>
        <v>San Francisco 49ers</v>
      </c>
      <c r="F63" s="62">
        <f t="shared" ref="F63:G63" si="126">IF(isblank(F$1),,IF(isblank($A63),,IFERROR(vlookup($A63,indirect("'TVC-"&amp;text(month(F$1),"00")&amp;"'!$A:$D"),4,false),1)))</f>
        <v>1</v>
      </c>
      <c r="G63" s="62">
        <f t="shared" si="126"/>
        <v>1</v>
      </c>
      <c r="H63" s="62">
        <f t="shared" ref="H63:Q63" si="127">IF(isblank(H$1),,IFERROR(vlookup($A63,indirect("'TVC-"&amp;text(month(H$1),"00")&amp;"'!$A:$D"),4,false),1))</f>
        <v>1</v>
      </c>
      <c r="I63" s="62">
        <f t="shared" si="127"/>
        <v>1</v>
      </c>
      <c r="J63" s="62">
        <f t="shared" si="127"/>
        <v>1</v>
      </c>
      <c r="K63" s="62">
        <f t="shared" si="127"/>
        <v>1</v>
      </c>
      <c r="L63" s="62">
        <f t="shared" si="127"/>
        <v>1</v>
      </c>
      <c r="M63" s="62">
        <f t="shared" si="127"/>
        <v>1</v>
      </c>
      <c r="N63" s="62">
        <f t="shared" si="127"/>
        <v>1</v>
      </c>
      <c r="O63" s="62">
        <f t="shared" si="127"/>
        <v>1</v>
      </c>
      <c r="P63" s="62" t="str">
        <f t="shared" si="127"/>
        <v/>
      </c>
      <c r="Q63" s="62" t="str">
        <f t="shared" si="127"/>
        <v/>
      </c>
      <c r="R63" s="62">
        <f t="shared" si="7"/>
        <v>0</v>
      </c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</row>
    <row r="64" hidden="1">
      <c r="A64" s="60">
        <f>IFERROR(__xludf.DUMMYFUNCTION("""COMPUTED_VALUE"""),231.0)</f>
        <v>231</v>
      </c>
      <c r="B64" s="60" t="str">
        <f>IFERROR(__xludf.DUMMYFUNCTION("""COMPUTED_VALUE"""),"Ravens, Baltimore")</f>
        <v>Ravens, Baltimore</v>
      </c>
      <c r="C64" s="60" t="str">
        <f>IFERROR(__xludf.DUMMYFUNCTION("""COMPUTED_VALUE"""),"TMRB")</f>
        <v>TMRB</v>
      </c>
      <c r="D64" s="60" t="str">
        <f>IFERROR(__xludf.DUMMYFUNCTION("""COMPUTED_VALUE"""),"BAL")</f>
        <v>BAL</v>
      </c>
      <c r="E64" s="62" t="str">
        <f t="shared" si="4"/>
        <v>Baltimore Ravens</v>
      </c>
      <c r="F64" s="62">
        <f t="shared" ref="F64:G64" si="128">IF(isblank(F$1),,IF(isblank($A64),,IFERROR(vlookup($A64,indirect("'TVC-"&amp;text(month(F$1),"00")&amp;"'!$A:$D"),4,false),1)))</f>
        <v>1</v>
      </c>
      <c r="G64" s="62">
        <f t="shared" si="128"/>
        <v>1</v>
      </c>
      <c r="H64" s="62">
        <f t="shared" ref="H64:Q64" si="129">IF(isblank(H$1),,IFERROR(vlookup($A64,indirect("'TVC-"&amp;text(month(H$1),"00")&amp;"'!$A:$D"),4,false),1))</f>
        <v>1</v>
      </c>
      <c r="I64" s="62">
        <f t="shared" si="129"/>
        <v>1</v>
      </c>
      <c r="J64" s="62">
        <f t="shared" si="129"/>
        <v>1</v>
      </c>
      <c r="K64" s="62">
        <f t="shared" si="129"/>
        <v>1</v>
      </c>
      <c r="L64" s="62">
        <f t="shared" si="129"/>
        <v>1</v>
      </c>
      <c r="M64" s="62">
        <f t="shared" si="129"/>
        <v>1</v>
      </c>
      <c r="N64" s="62">
        <f t="shared" si="129"/>
        <v>1</v>
      </c>
      <c r="O64" s="62">
        <f t="shared" si="129"/>
        <v>1</v>
      </c>
      <c r="P64" s="62" t="str">
        <f t="shared" si="129"/>
        <v/>
      </c>
      <c r="Q64" s="62" t="str">
        <f t="shared" si="129"/>
        <v/>
      </c>
      <c r="R64" s="62">
        <f t="shared" si="7"/>
        <v>0</v>
      </c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</row>
    <row r="65" hidden="1">
      <c r="A65" s="60">
        <f>IFERROR(__xludf.DUMMYFUNCTION("""COMPUTED_VALUE"""),232.0)</f>
        <v>232</v>
      </c>
      <c r="B65" s="60" t="str">
        <f>IFERROR(__xludf.DUMMYFUNCTION("""COMPUTED_VALUE"""),"Texans, Houston")</f>
        <v>Texans, Houston</v>
      </c>
      <c r="C65" s="60" t="str">
        <f>IFERROR(__xludf.DUMMYFUNCTION("""COMPUTED_VALUE"""),"TMRB")</f>
        <v>TMRB</v>
      </c>
      <c r="D65" s="60" t="str">
        <f>IFERROR(__xludf.DUMMYFUNCTION("""COMPUTED_VALUE"""),"HOU")</f>
        <v>HOU</v>
      </c>
      <c r="E65" s="62" t="str">
        <f t="shared" si="4"/>
        <v>Houston Texans</v>
      </c>
      <c r="F65" s="62">
        <f t="shared" ref="F65:G65" si="130">IF(isblank(F$1),,IF(isblank($A65),,IFERROR(vlookup($A65,indirect("'TVC-"&amp;text(month(F$1),"00")&amp;"'!$A:$D"),4,false),1)))</f>
        <v>1</v>
      </c>
      <c r="G65" s="62">
        <f t="shared" si="130"/>
        <v>1</v>
      </c>
      <c r="H65" s="62">
        <f t="shared" ref="H65:Q65" si="131">IF(isblank(H$1),,IFERROR(vlookup($A65,indirect("'TVC-"&amp;text(month(H$1),"00")&amp;"'!$A:$D"),4,false),1))</f>
        <v>1</v>
      </c>
      <c r="I65" s="62">
        <f t="shared" si="131"/>
        <v>1</v>
      </c>
      <c r="J65" s="62">
        <f t="shared" si="131"/>
        <v>1</v>
      </c>
      <c r="K65" s="62">
        <f t="shared" si="131"/>
        <v>1</v>
      </c>
      <c r="L65" s="62">
        <f t="shared" si="131"/>
        <v>1</v>
      </c>
      <c r="M65" s="62">
        <f t="shared" si="131"/>
        <v>1</v>
      </c>
      <c r="N65" s="62">
        <f t="shared" si="131"/>
        <v>1</v>
      </c>
      <c r="O65" s="62">
        <f t="shared" si="131"/>
        <v>1</v>
      </c>
      <c r="P65" s="62" t="str">
        <f t="shared" si="131"/>
        <v/>
      </c>
      <c r="Q65" s="62" t="str">
        <f t="shared" si="131"/>
        <v/>
      </c>
      <c r="R65" s="62">
        <f t="shared" si="7"/>
        <v>0</v>
      </c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</row>
    <row r="66" hidden="1">
      <c r="A66" s="60">
        <f>IFERROR(__xludf.DUMMYFUNCTION("""COMPUTED_VALUE"""),251.0)</f>
        <v>251</v>
      </c>
      <c r="B66" s="60" t="str">
        <f>IFERROR(__xludf.DUMMYFUNCTION("""COMPUTED_VALUE"""),"Bills, Buffalo")</f>
        <v>Bills, Buffalo</v>
      </c>
      <c r="C66" s="60" t="str">
        <f>IFERROR(__xludf.DUMMYFUNCTION("""COMPUTED_VALUE"""),"TMDL")</f>
        <v>TMDL</v>
      </c>
      <c r="D66" s="60" t="str">
        <f>IFERROR(__xludf.DUMMYFUNCTION("""COMPUTED_VALUE"""),"BUF")</f>
        <v>BUF</v>
      </c>
      <c r="E66" s="62" t="str">
        <f t="shared" si="4"/>
        <v>Buffalo Bills</v>
      </c>
      <c r="F66" s="62">
        <f t="shared" ref="F66:G66" si="132">IF(isblank(F$1),,IF(isblank($A66),,IFERROR(vlookup($A66,indirect("'TVC-"&amp;text(month(F$1),"00")&amp;"'!$A:$D"),4,false),1)))</f>
        <v>1</v>
      </c>
      <c r="G66" s="62">
        <f t="shared" si="132"/>
        <v>1</v>
      </c>
      <c r="H66" s="62">
        <f t="shared" ref="H66:Q66" si="133">IF(isblank(H$1),,IFERROR(vlookup($A66,indirect("'TVC-"&amp;text(month(H$1),"00")&amp;"'!$A:$D"),4,false),1))</f>
        <v>1</v>
      </c>
      <c r="I66" s="62">
        <f t="shared" si="133"/>
        <v>1</v>
      </c>
      <c r="J66" s="62">
        <f t="shared" si="133"/>
        <v>1</v>
      </c>
      <c r="K66" s="62">
        <f t="shared" si="133"/>
        <v>1</v>
      </c>
      <c r="L66" s="62">
        <f t="shared" si="133"/>
        <v>1</v>
      </c>
      <c r="M66" s="62">
        <f t="shared" si="133"/>
        <v>1</v>
      </c>
      <c r="N66" s="62">
        <f t="shared" si="133"/>
        <v>1</v>
      </c>
      <c r="O66" s="62">
        <f t="shared" si="133"/>
        <v>1</v>
      </c>
      <c r="P66" s="62" t="str">
        <f t="shared" si="133"/>
        <v/>
      </c>
      <c r="Q66" s="62" t="str">
        <f t="shared" si="133"/>
        <v/>
      </c>
      <c r="R66" s="62">
        <f t="shared" si="7"/>
        <v>0</v>
      </c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</row>
    <row r="67" hidden="1">
      <c r="A67" s="60">
        <f>IFERROR(__xludf.DUMMYFUNCTION("""COMPUTED_VALUE"""),252.0)</f>
        <v>252</v>
      </c>
      <c r="B67" s="60" t="str">
        <f>IFERROR(__xludf.DUMMYFUNCTION("""COMPUTED_VALUE"""),"Colts, Indianapolis")</f>
        <v>Colts, Indianapolis</v>
      </c>
      <c r="C67" s="60" t="str">
        <f>IFERROR(__xludf.DUMMYFUNCTION("""COMPUTED_VALUE"""),"TMDL")</f>
        <v>TMDL</v>
      </c>
      <c r="D67" s="60" t="str">
        <f>IFERROR(__xludf.DUMMYFUNCTION("""COMPUTED_VALUE"""),"IND")</f>
        <v>IND</v>
      </c>
      <c r="E67" s="62" t="str">
        <f t="shared" si="4"/>
        <v>Indianapolis Colts</v>
      </c>
      <c r="F67" s="62">
        <f t="shared" ref="F67:G67" si="134">IF(isblank(F$1),,IF(isblank($A67),,IFERROR(vlookup($A67,indirect("'TVC-"&amp;text(month(F$1),"00")&amp;"'!$A:$D"),4,false),1)))</f>
        <v>1</v>
      </c>
      <c r="G67" s="62">
        <f t="shared" si="134"/>
        <v>1</v>
      </c>
      <c r="H67" s="62">
        <f t="shared" ref="H67:Q67" si="135">IF(isblank(H$1),,IFERROR(vlookup($A67,indirect("'TVC-"&amp;text(month(H$1),"00")&amp;"'!$A:$D"),4,false),1))</f>
        <v>1</v>
      </c>
      <c r="I67" s="62">
        <f t="shared" si="135"/>
        <v>1</v>
      </c>
      <c r="J67" s="62">
        <f t="shared" si="135"/>
        <v>1</v>
      </c>
      <c r="K67" s="62">
        <f t="shared" si="135"/>
        <v>1</v>
      </c>
      <c r="L67" s="62">
        <f t="shared" si="135"/>
        <v>1</v>
      </c>
      <c r="M67" s="62">
        <f t="shared" si="135"/>
        <v>1</v>
      </c>
      <c r="N67" s="62">
        <f t="shared" si="135"/>
        <v>1</v>
      </c>
      <c r="O67" s="62">
        <f t="shared" si="135"/>
        <v>1</v>
      </c>
      <c r="P67" s="62" t="str">
        <f t="shared" si="135"/>
        <v/>
      </c>
      <c r="Q67" s="62" t="str">
        <f t="shared" si="135"/>
        <v/>
      </c>
      <c r="R67" s="62">
        <f t="shared" si="7"/>
        <v>0</v>
      </c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</row>
    <row r="68" hidden="1">
      <c r="A68" s="60">
        <f>IFERROR(__xludf.DUMMYFUNCTION("""COMPUTED_VALUE"""),253.0)</f>
        <v>253</v>
      </c>
      <c r="B68" s="60" t="str">
        <f>IFERROR(__xludf.DUMMYFUNCTION("""COMPUTED_VALUE"""),"Dolphins, Miami")</f>
        <v>Dolphins, Miami</v>
      </c>
      <c r="C68" s="60" t="str">
        <f>IFERROR(__xludf.DUMMYFUNCTION("""COMPUTED_VALUE"""),"TMDL")</f>
        <v>TMDL</v>
      </c>
      <c r="D68" s="60" t="str">
        <f>IFERROR(__xludf.DUMMYFUNCTION("""COMPUTED_VALUE"""),"MIA")</f>
        <v>MIA</v>
      </c>
      <c r="E68" s="62" t="str">
        <f t="shared" si="4"/>
        <v>Miami Dolphins</v>
      </c>
      <c r="F68" s="62">
        <f t="shared" ref="F68:G68" si="136">IF(isblank(F$1),,IF(isblank($A68),,IFERROR(vlookup($A68,indirect("'TVC-"&amp;text(month(F$1),"00")&amp;"'!$A:$D"),4,false),1)))</f>
        <v>1</v>
      </c>
      <c r="G68" s="62">
        <f t="shared" si="136"/>
        <v>1</v>
      </c>
      <c r="H68" s="62">
        <f t="shared" ref="H68:Q68" si="137">IF(isblank(H$1),,IFERROR(vlookup($A68,indirect("'TVC-"&amp;text(month(H$1),"00")&amp;"'!$A:$D"),4,false),1))</f>
        <v>1</v>
      </c>
      <c r="I68" s="62">
        <f t="shared" si="137"/>
        <v>1</v>
      </c>
      <c r="J68" s="62">
        <f t="shared" si="137"/>
        <v>1</v>
      </c>
      <c r="K68" s="62">
        <f t="shared" si="137"/>
        <v>1</v>
      </c>
      <c r="L68" s="62">
        <f t="shared" si="137"/>
        <v>1</v>
      </c>
      <c r="M68" s="62">
        <f t="shared" si="137"/>
        <v>1</v>
      </c>
      <c r="N68" s="62">
        <f t="shared" si="137"/>
        <v>1</v>
      </c>
      <c r="O68" s="62">
        <f t="shared" si="137"/>
        <v>1</v>
      </c>
      <c r="P68" s="62" t="str">
        <f t="shared" si="137"/>
        <v/>
      </c>
      <c r="Q68" s="62" t="str">
        <f t="shared" si="137"/>
        <v/>
      </c>
      <c r="R68" s="62">
        <f t="shared" si="7"/>
        <v>0</v>
      </c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</row>
    <row r="69" hidden="1">
      <c r="A69" s="60">
        <f>IFERROR(__xludf.DUMMYFUNCTION("""COMPUTED_VALUE"""),254.0)</f>
        <v>254</v>
      </c>
      <c r="B69" s="60" t="str">
        <f>IFERROR(__xludf.DUMMYFUNCTION("""COMPUTED_VALUE"""),"Patriots, New England")</f>
        <v>Patriots, New England</v>
      </c>
      <c r="C69" s="60" t="str">
        <f>IFERROR(__xludf.DUMMYFUNCTION("""COMPUTED_VALUE"""),"TMDL")</f>
        <v>TMDL</v>
      </c>
      <c r="D69" s="60" t="str">
        <f>IFERROR(__xludf.DUMMYFUNCTION("""COMPUTED_VALUE"""),"NEP")</f>
        <v>NEP</v>
      </c>
      <c r="E69" s="62" t="str">
        <f t="shared" si="4"/>
        <v>New England Patriots</v>
      </c>
      <c r="F69" s="62">
        <f t="shared" ref="F69:G69" si="138">IF(isblank(F$1),,IF(isblank($A69),,IFERROR(vlookup($A69,indirect("'TVC-"&amp;text(month(F$1),"00")&amp;"'!$A:$D"),4,false),1)))</f>
        <v>1</v>
      </c>
      <c r="G69" s="62">
        <f t="shared" si="138"/>
        <v>1</v>
      </c>
      <c r="H69" s="62">
        <f t="shared" ref="H69:Q69" si="139">IF(isblank(H$1),,IFERROR(vlookup($A69,indirect("'TVC-"&amp;text(month(H$1),"00")&amp;"'!$A:$D"),4,false),1))</f>
        <v>1</v>
      </c>
      <c r="I69" s="62">
        <f t="shared" si="139"/>
        <v>1</v>
      </c>
      <c r="J69" s="62">
        <f t="shared" si="139"/>
        <v>1</v>
      </c>
      <c r="K69" s="62">
        <f t="shared" si="139"/>
        <v>1</v>
      </c>
      <c r="L69" s="62">
        <f t="shared" si="139"/>
        <v>1</v>
      </c>
      <c r="M69" s="62">
        <f t="shared" si="139"/>
        <v>1</v>
      </c>
      <c r="N69" s="62">
        <f t="shared" si="139"/>
        <v>1</v>
      </c>
      <c r="O69" s="62">
        <f t="shared" si="139"/>
        <v>1</v>
      </c>
      <c r="P69" s="62" t="str">
        <f t="shared" si="139"/>
        <v/>
      </c>
      <c r="Q69" s="62" t="str">
        <f t="shared" si="139"/>
        <v/>
      </c>
      <c r="R69" s="62">
        <f t="shared" si="7"/>
        <v>0</v>
      </c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</row>
    <row r="70" hidden="1">
      <c r="A70" s="60">
        <f>IFERROR(__xludf.DUMMYFUNCTION("""COMPUTED_VALUE"""),255.0)</f>
        <v>255</v>
      </c>
      <c r="B70" s="60" t="str">
        <f>IFERROR(__xludf.DUMMYFUNCTION("""COMPUTED_VALUE"""),"Jets, New York")</f>
        <v>Jets, New York</v>
      </c>
      <c r="C70" s="60" t="str">
        <f>IFERROR(__xludf.DUMMYFUNCTION("""COMPUTED_VALUE"""),"TMDL")</f>
        <v>TMDL</v>
      </c>
      <c r="D70" s="60" t="str">
        <f>IFERROR(__xludf.DUMMYFUNCTION("""COMPUTED_VALUE"""),"NYJ")</f>
        <v>NYJ</v>
      </c>
      <c r="E70" s="62" t="str">
        <f t="shared" si="4"/>
        <v>New York Jets</v>
      </c>
      <c r="F70" s="62">
        <f t="shared" ref="F70:G70" si="140">IF(isblank(F$1),,IF(isblank($A70),,IFERROR(vlookup($A70,indirect("'TVC-"&amp;text(month(F$1),"00")&amp;"'!$A:$D"),4,false),1)))</f>
        <v>1</v>
      </c>
      <c r="G70" s="62">
        <f t="shared" si="140"/>
        <v>1</v>
      </c>
      <c r="H70" s="62">
        <f t="shared" ref="H70:Q70" si="141">IF(isblank(H$1),,IFERROR(vlookup($A70,indirect("'TVC-"&amp;text(month(H$1),"00")&amp;"'!$A:$D"),4,false),1))</f>
        <v>1</v>
      </c>
      <c r="I70" s="62">
        <f t="shared" si="141"/>
        <v>1</v>
      </c>
      <c r="J70" s="62">
        <f t="shared" si="141"/>
        <v>1</v>
      </c>
      <c r="K70" s="62">
        <f t="shared" si="141"/>
        <v>1</v>
      </c>
      <c r="L70" s="62">
        <f t="shared" si="141"/>
        <v>1</v>
      </c>
      <c r="M70" s="62">
        <f t="shared" si="141"/>
        <v>1</v>
      </c>
      <c r="N70" s="62">
        <f t="shared" si="141"/>
        <v>1</v>
      </c>
      <c r="O70" s="62">
        <f t="shared" si="141"/>
        <v>1</v>
      </c>
      <c r="P70" s="62" t="str">
        <f t="shared" si="141"/>
        <v/>
      </c>
      <c r="Q70" s="62" t="str">
        <f t="shared" si="141"/>
        <v/>
      </c>
      <c r="R70" s="62">
        <f t="shared" si="7"/>
        <v>0</v>
      </c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</row>
    <row r="71" hidden="1">
      <c r="A71" s="60">
        <f>IFERROR(__xludf.DUMMYFUNCTION("""COMPUTED_VALUE"""),256.0)</f>
        <v>256</v>
      </c>
      <c r="B71" s="60" t="str">
        <f>IFERROR(__xludf.DUMMYFUNCTION("""COMPUTED_VALUE"""),"Bengals, Cincinnati")</f>
        <v>Bengals, Cincinnati</v>
      </c>
      <c r="C71" s="60" t="str">
        <f>IFERROR(__xludf.DUMMYFUNCTION("""COMPUTED_VALUE"""),"TMDL")</f>
        <v>TMDL</v>
      </c>
      <c r="D71" s="60" t="str">
        <f>IFERROR(__xludf.DUMMYFUNCTION("""COMPUTED_VALUE"""),"CIN")</f>
        <v>CIN</v>
      </c>
      <c r="E71" s="62" t="str">
        <f t="shared" si="4"/>
        <v>Cincinnati Bengals</v>
      </c>
      <c r="F71" s="62">
        <f t="shared" ref="F71:G71" si="142">IF(isblank(F$1),,IF(isblank($A71),,IFERROR(vlookup($A71,indirect("'TVC-"&amp;text(month(F$1),"00")&amp;"'!$A:$D"),4,false),1)))</f>
        <v>1</v>
      </c>
      <c r="G71" s="62">
        <f t="shared" si="142"/>
        <v>1</v>
      </c>
      <c r="H71" s="62">
        <f t="shared" ref="H71:Q71" si="143">IF(isblank(H$1),,IFERROR(vlookup($A71,indirect("'TVC-"&amp;text(month(H$1),"00")&amp;"'!$A:$D"),4,false),1))</f>
        <v>1</v>
      </c>
      <c r="I71" s="62">
        <f t="shared" si="143"/>
        <v>1</v>
      </c>
      <c r="J71" s="62">
        <f t="shared" si="143"/>
        <v>1</v>
      </c>
      <c r="K71" s="62">
        <f t="shared" si="143"/>
        <v>1</v>
      </c>
      <c r="L71" s="62">
        <f t="shared" si="143"/>
        <v>1</v>
      </c>
      <c r="M71" s="62">
        <f t="shared" si="143"/>
        <v>1</v>
      </c>
      <c r="N71" s="62">
        <f t="shared" si="143"/>
        <v>1</v>
      </c>
      <c r="O71" s="62">
        <f t="shared" si="143"/>
        <v>1</v>
      </c>
      <c r="P71" s="62" t="str">
        <f t="shared" si="143"/>
        <v/>
      </c>
      <c r="Q71" s="62" t="str">
        <f t="shared" si="143"/>
        <v/>
      </c>
      <c r="R71" s="62">
        <f t="shared" si="7"/>
        <v>0</v>
      </c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</row>
    <row r="72" hidden="1">
      <c r="A72" s="60">
        <f>IFERROR(__xludf.DUMMYFUNCTION("""COMPUTED_VALUE"""),257.0)</f>
        <v>257</v>
      </c>
      <c r="B72" s="60" t="str">
        <f>IFERROR(__xludf.DUMMYFUNCTION("""COMPUTED_VALUE"""),"Browns, Cleveland")</f>
        <v>Browns, Cleveland</v>
      </c>
      <c r="C72" s="60" t="str">
        <f>IFERROR(__xludf.DUMMYFUNCTION("""COMPUTED_VALUE"""),"TMDL")</f>
        <v>TMDL</v>
      </c>
      <c r="D72" s="60" t="str">
        <f>IFERROR(__xludf.DUMMYFUNCTION("""COMPUTED_VALUE"""),"CLE")</f>
        <v>CLE</v>
      </c>
      <c r="E72" s="62" t="str">
        <f t="shared" si="4"/>
        <v>Cleveland Browns</v>
      </c>
      <c r="F72" s="62">
        <f t="shared" ref="F72:G72" si="144">IF(isblank(F$1),,IF(isblank($A72),,IFERROR(vlookup($A72,indirect("'TVC-"&amp;text(month(F$1),"00")&amp;"'!$A:$D"),4,false),1)))</f>
        <v>1</v>
      </c>
      <c r="G72" s="62">
        <f t="shared" si="144"/>
        <v>1</v>
      </c>
      <c r="H72" s="62">
        <f t="shared" ref="H72:Q72" si="145">IF(isblank(H$1),,IFERROR(vlookup($A72,indirect("'TVC-"&amp;text(month(H$1),"00")&amp;"'!$A:$D"),4,false),1))</f>
        <v>1</v>
      </c>
      <c r="I72" s="62">
        <f t="shared" si="145"/>
        <v>1</v>
      </c>
      <c r="J72" s="62">
        <f t="shared" si="145"/>
        <v>1</v>
      </c>
      <c r="K72" s="62">
        <f t="shared" si="145"/>
        <v>1</v>
      </c>
      <c r="L72" s="62">
        <f t="shared" si="145"/>
        <v>1</v>
      </c>
      <c r="M72" s="62">
        <f t="shared" si="145"/>
        <v>1</v>
      </c>
      <c r="N72" s="62">
        <f t="shared" si="145"/>
        <v>1</v>
      </c>
      <c r="O72" s="62">
        <f t="shared" si="145"/>
        <v>1</v>
      </c>
      <c r="P72" s="62" t="str">
        <f t="shared" si="145"/>
        <v/>
      </c>
      <c r="Q72" s="62" t="str">
        <f t="shared" si="145"/>
        <v/>
      </c>
      <c r="R72" s="62">
        <f t="shared" si="7"/>
        <v>0</v>
      </c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</row>
    <row r="73" hidden="1">
      <c r="A73" s="60">
        <f>IFERROR(__xludf.DUMMYFUNCTION("""COMPUTED_VALUE"""),258.0)</f>
        <v>258</v>
      </c>
      <c r="B73" s="60" t="str">
        <f>IFERROR(__xludf.DUMMYFUNCTION("""COMPUTED_VALUE"""),"Titans, Tennessee")</f>
        <v>Titans, Tennessee</v>
      </c>
      <c r="C73" s="60" t="str">
        <f>IFERROR(__xludf.DUMMYFUNCTION("""COMPUTED_VALUE"""),"TMDL")</f>
        <v>TMDL</v>
      </c>
      <c r="D73" s="60" t="str">
        <f>IFERROR(__xludf.DUMMYFUNCTION("""COMPUTED_VALUE"""),"TEN")</f>
        <v>TEN</v>
      </c>
      <c r="E73" s="62" t="str">
        <f t="shared" si="4"/>
        <v>Tennessee Titans</v>
      </c>
      <c r="F73" s="62">
        <f t="shared" ref="F73:G73" si="146">IF(isblank(F$1),,IF(isblank($A73),,IFERROR(vlookup($A73,indirect("'TVC-"&amp;text(month(F$1),"00")&amp;"'!$A:$D"),4,false),1)))</f>
        <v>1</v>
      </c>
      <c r="G73" s="62">
        <f t="shared" si="146"/>
        <v>1</v>
      </c>
      <c r="H73" s="62">
        <f t="shared" ref="H73:Q73" si="147">IF(isblank(H$1),,IFERROR(vlookup($A73,indirect("'TVC-"&amp;text(month(H$1),"00")&amp;"'!$A:$D"),4,false),1))</f>
        <v>1</v>
      </c>
      <c r="I73" s="62">
        <f t="shared" si="147"/>
        <v>1</v>
      </c>
      <c r="J73" s="62">
        <f t="shared" si="147"/>
        <v>1</v>
      </c>
      <c r="K73" s="62">
        <f t="shared" si="147"/>
        <v>1</v>
      </c>
      <c r="L73" s="62">
        <f t="shared" si="147"/>
        <v>1</v>
      </c>
      <c r="M73" s="62">
        <f t="shared" si="147"/>
        <v>1</v>
      </c>
      <c r="N73" s="62">
        <f t="shared" si="147"/>
        <v>1</v>
      </c>
      <c r="O73" s="62">
        <f t="shared" si="147"/>
        <v>1</v>
      </c>
      <c r="P73" s="62" t="str">
        <f t="shared" si="147"/>
        <v/>
      </c>
      <c r="Q73" s="62" t="str">
        <f t="shared" si="147"/>
        <v/>
      </c>
      <c r="R73" s="62">
        <f t="shared" si="7"/>
        <v>0</v>
      </c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</row>
    <row r="74" hidden="1">
      <c r="A74" s="60">
        <f>IFERROR(__xludf.DUMMYFUNCTION("""COMPUTED_VALUE"""),259.0)</f>
        <v>259</v>
      </c>
      <c r="B74" s="60" t="str">
        <f>IFERROR(__xludf.DUMMYFUNCTION("""COMPUTED_VALUE"""),"Jaguars, Jacksonville")</f>
        <v>Jaguars, Jacksonville</v>
      </c>
      <c r="C74" s="60" t="str">
        <f>IFERROR(__xludf.DUMMYFUNCTION("""COMPUTED_VALUE"""),"TMDL")</f>
        <v>TMDL</v>
      </c>
      <c r="D74" s="60" t="str">
        <f>IFERROR(__xludf.DUMMYFUNCTION("""COMPUTED_VALUE"""),"JAC")</f>
        <v>JAC</v>
      </c>
      <c r="E74" s="62" t="str">
        <f t="shared" si="4"/>
        <v>Jacksonville Jaguars</v>
      </c>
      <c r="F74" s="62">
        <f t="shared" ref="F74:G74" si="148">IF(isblank(F$1),,IF(isblank($A74),,IFERROR(vlookup($A74,indirect("'TVC-"&amp;text(month(F$1),"00")&amp;"'!$A:$D"),4,false),1)))</f>
        <v>1</v>
      </c>
      <c r="G74" s="62">
        <f t="shared" si="148"/>
        <v>1</v>
      </c>
      <c r="H74" s="62">
        <f t="shared" ref="H74:Q74" si="149">IF(isblank(H$1),,IFERROR(vlookup($A74,indirect("'TVC-"&amp;text(month(H$1),"00")&amp;"'!$A:$D"),4,false),1))</f>
        <v>1</v>
      </c>
      <c r="I74" s="62">
        <f t="shared" si="149"/>
        <v>1</v>
      </c>
      <c r="J74" s="62">
        <f t="shared" si="149"/>
        <v>1</v>
      </c>
      <c r="K74" s="62">
        <f t="shared" si="149"/>
        <v>1</v>
      </c>
      <c r="L74" s="62">
        <f t="shared" si="149"/>
        <v>1</v>
      </c>
      <c r="M74" s="62">
        <f t="shared" si="149"/>
        <v>1</v>
      </c>
      <c r="N74" s="62">
        <f t="shared" si="149"/>
        <v>1</v>
      </c>
      <c r="O74" s="62">
        <f t="shared" si="149"/>
        <v>1</v>
      </c>
      <c r="P74" s="62" t="str">
        <f t="shared" si="149"/>
        <v/>
      </c>
      <c r="Q74" s="62" t="str">
        <f t="shared" si="149"/>
        <v/>
      </c>
      <c r="R74" s="62">
        <f t="shared" si="7"/>
        <v>0</v>
      </c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</row>
    <row r="75" hidden="1">
      <c r="A75" s="60">
        <f>IFERROR(__xludf.DUMMYFUNCTION("""COMPUTED_VALUE"""),260.0)</f>
        <v>260</v>
      </c>
      <c r="B75" s="60" t="str">
        <f>IFERROR(__xludf.DUMMYFUNCTION("""COMPUTED_VALUE"""),"Steelers, Pittsburgh")</f>
        <v>Steelers, Pittsburgh</v>
      </c>
      <c r="C75" s="60" t="str">
        <f>IFERROR(__xludf.DUMMYFUNCTION("""COMPUTED_VALUE"""),"TMDL")</f>
        <v>TMDL</v>
      </c>
      <c r="D75" s="60" t="str">
        <f>IFERROR(__xludf.DUMMYFUNCTION("""COMPUTED_VALUE"""),"PIT")</f>
        <v>PIT</v>
      </c>
      <c r="E75" s="62" t="str">
        <f t="shared" si="4"/>
        <v>Pittsburgh Steelers</v>
      </c>
      <c r="F75" s="62">
        <f t="shared" ref="F75:G75" si="150">IF(isblank(F$1),,IF(isblank($A75),,IFERROR(vlookup($A75,indirect("'TVC-"&amp;text(month(F$1),"00")&amp;"'!$A:$D"),4,false),1)))</f>
        <v>1</v>
      </c>
      <c r="G75" s="62">
        <f t="shared" si="150"/>
        <v>1</v>
      </c>
      <c r="H75" s="62">
        <f t="shared" ref="H75:Q75" si="151">IF(isblank(H$1),,IFERROR(vlookup($A75,indirect("'TVC-"&amp;text(month(H$1),"00")&amp;"'!$A:$D"),4,false),1))</f>
        <v>1</v>
      </c>
      <c r="I75" s="62">
        <f t="shared" si="151"/>
        <v>1</v>
      </c>
      <c r="J75" s="62">
        <f t="shared" si="151"/>
        <v>1</v>
      </c>
      <c r="K75" s="62">
        <f t="shared" si="151"/>
        <v>1</v>
      </c>
      <c r="L75" s="62">
        <f t="shared" si="151"/>
        <v>1</v>
      </c>
      <c r="M75" s="62">
        <f t="shared" si="151"/>
        <v>1</v>
      </c>
      <c r="N75" s="62">
        <f t="shared" si="151"/>
        <v>1</v>
      </c>
      <c r="O75" s="62">
        <f t="shared" si="151"/>
        <v>1</v>
      </c>
      <c r="P75" s="62" t="str">
        <f t="shared" si="151"/>
        <v/>
      </c>
      <c r="Q75" s="62" t="str">
        <f t="shared" si="151"/>
        <v/>
      </c>
      <c r="R75" s="62">
        <f t="shared" si="7"/>
        <v>0</v>
      </c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</row>
    <row r="76" hidden="1">
      <c r="A76" s="60">
        <f>IFERROR(__xludf.DUMMYFUNCTION("""COMPUTED_VALUE"""),261.0)</f>
        <v>261</v>
      </c>
      <c r="B76" s="60" t="str">
        <f>IFERROR(__xludf.DUMMYFUNCTION("""COMPUTED_VALUE"""),"Broncos, Denver")</f>
        <v>Broncos, Denver</v>
      </c>
      <c r="C76" s="60" t="str">
        <f>IFERROR(__xludf.DUMMYFUNCTION("""COMPUTED_VALUE"""),"TMDL")</f>
        <v>TMDL</v>
      </c>
      <c r="D76" s="60" t="str">
        <f>IFERROR(__xludf.DUMMYFUNCTION("""COMPUTED_VALUE"""),"DEN")</f>
        <v>DEN</v>
      </c>
      <c r="E76" s="62" t="str">
        <f t="shared" si="4"/>
        <v>Denver Broncos</v>
      </c>
      <c r="F76" s="62">
        <f t="shared" ref="F76:G76" si="152">IF(isblank(F$1),,IF(isblank($A76),,IFERROR(vlookup($A76,indirect("'TVC-"&amp;text(month(F$1),"00")&amp;"'!$A:$D"),4,false),1)))</f>
        <v>1</v>
      </c>
      <c r="G76" s="62">
        <f t="shared" si="152"/>
        <v>1</v>
      </c>
      <c r="H76" s="62">
        <f t="shared" ref="H76:Q76" si="153">IF(isblank(H$1),,IFERROR(vlookup($A76,indirect("'TVC-"&amp;text(month(H$1),"00")&amp;"'!$A:$D"),4,false),1))</f>
        <v>1</v>
      </c>
      <c r="I76" s="62">
        <f t="shared" si="153"/>
        <v>1</v>
      </c>
      <c r="J76" s="62">
        <f t="shared" si="153"/>
        <v>1</v>
      </c>
      <c r="K76" s="62">
        <f t="shared" si="153"/>
        <v>1</v>
      </c>
      <c r="L76" s="62">
        <f t="shared" si="153"/>
        <v>1</v>
      </c>
      <c r="M76" s="62">
        <f t="shared" si="153"/>
        <v>1</v>
      </c>
      <c r="N76" s="62">
        <f t="shared" si="153"/>
        <v>1</v>
      </c>
      <c r="O76" s="62">
        <f t="shared" si="153"/>
        <v>1</v>
      </c>
      <c r="P76" s="62" t="str">
        <f t="shared" si="153"/>
        <v/>
      </c>
      <c r="Q76" s="62" t="str">
        <f t="shared" si="153"/>
        <v/>
      </c>
      <c r="R76" s="62">
        <f t="shared" si="7"/>
        <v>0</v>
      </c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</row>
    <row r="77" hidden="1">
      <c r="A77" s="60">
        <f>IFERROR(__xludf.DUMMYFUNCTION("""COMPUTED_VALUE"""),262.0)</f>
        <v>262</v>
      </c>
      <c r="B77" s="60" t="str">
        <f>IFERROR(__xludf.DUMMYFUNCTION("""COMPUTED_VALUE"""),"Chiefs, Kansas City")</f>
        <v>Chiefs, Kansas City</v>
      </c>
      <c r="C77" s="60" t="str">
        <f>IFERROR(__xludf.DUMMYFUNCTION("""COMPUTED_VALUE"""),"TMDL")</f>
        <v>TMDL</v>
      </c>
      <c r="D77" s="60" t="str">
        <f>IFERROR(__xludf.DUMMYFUNCTION("""COMPUTED_VALUE"""),"KCC")</f>
        <v>KCC</v>
      </c>
      <c r="E77" s="62" t="str">
        <f t="shared" si="4"/>
        <v>Kansas City Chiefs</v>
      </c>
      <c r="F77" s="62">
        <f t="shared" ref="F77:G77" si="154">IF(isblank(F$1),,IF(isblank($A77),,IFERROR(vlookup($A77,indirect("'TVC-"&amp;text(month(F$1),"00")&amp;"'!$A:$D"),4,false),1)))</f>
        <v>1</v>
      </c>
      <c r="G77" s="62">
        <f t="shared" si="154"/>
        <v>1</v>
      </c>
      <c r="H77" s="62">
        <f t="shared" ref="H77:Q77" si="155">IF(isblank(H$1),,IFERROR(vlookup($A77,indirect("'TVC-"&amp;text(month(H$1),"00")&amp;"'!$A:$D"),4,false),1))</f>
        <v>1</v>
      </c>
      <c r="I77" s="62">
        <f t="shared" si="155"/>
        <v>1</v>
      </c>
      <c r="J77" s="62">
        <f t="shared" si="155"/>
        <v>1</v>
      </c>
      <c r="K77" s="62">
        <f t="shared" si="155"/>
        <v>1</v>
      </c>
      <c r="L77" s="62">
        <f t="shared" si="155"/>
        <v>1</v>
      </c>
      <c r="M77" s="62">
        <f t="shared" si="155"/>
        <v>1</v>
      </c>
      <c r="N77" s="62">
        <f t="shared" si="155"/>
        <v>1</v>
      </c>
      <c r="O77" s="62">
        <f t="shared" si="155"/>
        <v>1</v>
      </c>
      <c r="P77" s="62" t="str">
        <f t="shared" si="155"/>
        <v/>
      </c>
      <c r="Q77" s="62" t="str">
        <f t="shared" si="155"/>
        <v/>
      </c>
      <c r="R77" s="62">
        <f t="shared" si="7"/>
        <v>0</v>
      </c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</row>
    <row r="78" hidden="1">
      <c r="A78" s="60">
        <f>IFERROR(__xludf.DUMMYFUNCTION("""COMPUTED_VALUE"""),263.0)</f>
        <v>263</v>
      </c>
      <c r="B78" s="60" t="str">
        <f>IFERROR(__xludf.DUMMYFUNCTION("""COMPUTED_VALUE"""),"Raiders, Las Vegas")</f>
        <v>Raiders, Las Vegas</v>
      </c>
      <c r="C78" s="60" t="str">
        <f>IFERROR(__xludf.DUMMYFUNCTION("""COMPUTED_VALUE"""),"TMDL")</f>
        <v>TMDL</v>
      </c>
      <c r="D78" s="60" t="str">
        <f>IFERROR(__xludf.DUMMYFUNCTION("""COMPUTED_VALUE"""),"LVR")</f>
        <v>LVR</v>
      </c>
      <c r="E78" s="62" t="str">
        <f t="shared" si="4"/>
        <v>Las Vegas Raiders</v>
      </c>
      <c r="F78" s="62">
        <f t="shared" ref="F78:G78" si="156">IF(isblank(F$1),,IF(isblank($A78),,IFERROR(vlookup($A78,indirect("'TVC-"&amp;text(month(F$1),"00")&amp;"'!$A:$D"),4,false),1)))</f>
        <v>1</v>
      </c>
      <c r="G78" s="62">
        <f t="shared" si="156"/>
        <v>1</v>
      </c>
      <c r="H78" s="62">
        <f t="shared" ref="H78:Q78" si="157">IF(isblank(H$1),,IFERROR(vlookup($A78,indirect("'TVC-"&amp;text(month(H$1),"00")&amp;"'!$A:$D"),4,false),1))</f>
        <v>1</v>
      </c>
      <c r="I78" s="62">
        <f t="shared" si="157"/>
        <v>1</v>
      </c>
      <c r="J78" s="62">
        <f t="shared" si="157"/>
        <v>1</v>
      </c>
      <c r="K78" s="62">
        <f t="shared" si="157"/>
        <v>1</v>
      </c>
      <c r="L78" s="62">
        <f t="shared" si="157"/>
        <v>1</v>
      </c>
      <c r="M78" s="62">
        <f t="shared" si="157"/>
        <v>1</v>
      </c>
      <c r="N78" s="62">
        <f t="shared" si="157"/>
        <v>1</v>
      </c>
      <c r="O78" s="62">
        <f t="shared" si="157"/>
        <v>1</v>
      </c>
      <c r="P78" s="62" t="str">
        <f t="shared" si="157"/>
        <v/>
      </c>
      <c r="Q78" s="62" t="str">
        <f t="shared" si="157"/>
        <v/>
      </c>
      <c r="R78" s="62">
        <f t="shared" si="7"/>
        <v>0</v>
      </c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</row>
    <row r="79" hidden="1">
      <c r="A79" s="60">
        <f>IFERROR(__xludf.DUMMYFUNCTION("""COMPUTED_VALUE"""),264.0)</f>
        <v>264</v>
      </c>
      <c r="B79" s="60" t="str">
        <f>IFERROR(__xludf.DUMMYFUNCTION("""COMPUTED_VALUE"""),"Chargers, Los Angeles")</f>
        <v>Chargers, Los Angeles</v>
      </c>
      <c r="C79" s="60" t="str">
        <f>IFERROR(__xludf.DUMMYFUNCTION("""COMPUTED_VALUE"""),"TMDL")</f>
        <v>TMDL</v>
      </c>
      <c r="D79" s="60" t="str">
        <f>IFERROR(__xludf.DUMMYFUNCTION("""COMPUTED_VALUE"""),"LAC")</f>
        <v>LAC</v>
      </c>
      <c r="E79" s="62" t="str">
        <f t="shared" si="4"/>
        <v>Los Angeles Chargers</v>
      </c>
      <c r="F79" s="62">
        <f t="shared" ref="F79:G79" si="158">IF(isblank(F$1),,IF(isblank($A79),,IFERROR(vlookup($A79,indirect("'TVC-"&amp;text(month(F$1),"00")&amp;"'!$A:$D"),4,false),1)))</f>
        <v>1</v>
      </c>
      <c r="G79" s="62">
        <f t="shared" si="158"/>
        <v>1</v>
      </c>
      <c r="H79" s="62">
        <f t="shared" ref="H79:Q79" si="159">IF(isblank(H$1),,IFERROR(vlookup($A79,indirect("'TVC-"&amp;text(month(H$1),"00")&amp;"'!$A:$D"),4,false),1))</f>
        <v>1</v>
      </c>
      <c r="I79" s="62">
        <f t="shared" si="159"/>
        <v>1</v>
      </c>
      <c r="J79" s="62">
        <f t="shared" si="159"/>
        <v>1</v>
      </c>
      <c r="K79" s="62">
        <f t="shared" si="159"/>
        <v>1</v>
      </c>
      <c r="L79" s="62">
        <f t="shared" si="159"/>
        <v>1</v>
      </c>
      <c r="M79" s="62">
        <f t="shared" si="159"/>
        <v>1</v>
      </c>
      <c r="N79" s="62">
        <f t="shared" si="159"/>
        <v>1</v>
      </c>
      <c r="O79" s="62">
        <f t="shared" si="159"/>
        <v>1</v>
      </c>
      <c r="P79" s="62" t="str">
        <f t="shared" si="159"/>
        <v/>
      </c>
      <c r="Q79" s="62" t="str">
        <f t="shared" si="159"/>
        <v/>
      </c>
      <c r="R79" s="62">
        <f t="shared" si="7"/>
        <v>0</v>
      </c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</row>
    <row r="80" hidden="1">
      <c r="A80" s="60">
        <f>IFERROR(__xludf.DUMMYFUNCTION("""COMPUTED_VALUE"""),265.0)</f>
        <v>265</v>
      </c>
      <c r="B80" s="60" t="str">
        <f>IFERROR(__xludf.DUMMYFUNCTION("""COMPUTED_VALUE"""),"Seahawks, Seattle")</f>
        <v>Seahawks, Seattle</v>
      </c>
      <c r="C80" s="60" t="str">
        <f>IFERROR(__xludf.DUMMYFUNCTION("""COMPUTED_VALUE"""),"TMDL")</f>
        <v>TMDL</v>
      </c>
      <c r="D80" s="60" t="str">
        <f>IFERROR(__xludf.DUMMYFUNCTION("""COMPUTED_VALUE"""),"SEA")</f>
        <v>SEA</v>
      </c>
      <c r="E80" s="62" t="str">
        <f t="shared" si="4"/>
        <v>Seattle Seahawks</v>
      </c>
      <c r="F80" s="62">
        <f t="shared" ref="F80:G80" si="160">IF(isblank(F$1),,IF(isblank($A80),,IFERROR(vlookup($A80,indirect("'TVC-"&amp;text(month(F$1),"00")&amp;"'!$A:$D"),4,false),1)))</f>
        <v>1</v>
      </c>
      <c r="G80" s="62">
        <f t="shared" si="160"/>
        <v>1</v>
      </c>
      <c r="H80" s="62">
        <f t="shared" ref="H80:Q80" si="161">IF(isblank(H$1),,IFERROR(vlookup($A80,indirect("'TVC-"&amp;text(month(H$1),"00")&amp;"'!$A:$D"),4,false),1))</f>
        <v>1</v>
      </c>
      <c r="I80" s="62">
        <f t="shared" si="161"/>
        <v>1</v>
      </c>
      <c r="J80" s="62">
        <f t="shared" si="161"/>
        <v>1</v>
      </c>
      <c r="K80" s="62">
        <f t="shared" si="161"/>
        <v>1</v>
      </c>
      <c r="L80" s="62">
        <f t="shared" si="161"/>
        <v>1</v>
      </c>
      <c r="M80" s="62">
        <f t="shared" si="161"/>
        <v>1</v>
      </c>
      <c r="N80" s="62">
        <f t="shared" si="161"/>
        <v>1</v>
      </c>
      <c r="O80" s="62">
        <f t="shared" si="161"/>
        <v>1</v>
      </c>
      <c r="P80" s="62" t="str">
        <f t="shared" si="161"/>
        <v/>
      </c>
      <c r="Q80" s="62" t="str">
        <f t="shared" si="161"/>
        <v/>
      </c>
      <c r="R80" s="62">
        <f t="shared" si="7"/>
        <v>0</v>
      </c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</row>
    <row r="81" hidden="1">
      <c r="A81" s="60">
        <f>IFERROR(__xludf.DUMMYFUNCTION("""COMPUTED_VALUE"""),266.0)</f>
        <v>266</v>
      </c>
      <c r="B81" s="60" t="str">
        <f>IFERROR(__xludf.DUMMYFUNCTION("""COMPUTED_VALUE"""),"Cowboys, Dallas")</f>
        <v>Cowboys, Dallas</v>
      </c>
      <c r="C81" s="60" t="str">
        <f>IFERROR(__xludf.DUMMYFUNCTION("""COMPUTED_VALUE"""),"TMDL")</f>
        <v>TMDL</v>
      </c>
      <c r="D81" s="60" t="str">
        <f>IFERROR(__xludf.DUMMYFUNCTION("""COMPUTED_VALUE"""),"DAL")</f>
        <v>DAL</v>
      </c>
      <c r="E81" s="62" t="str">
        <f t="shared" si="4"/>
        <v>Dallas Cowboys</v>
      </c>
      <c r="F81" s="62">
        <f t="shared" ref="F81:G81" si="162">IF(isblank(F$1),,IF(isblank($A81),,IFERROR(vlookup($A81,indirect("'TVC-"&amp;text(month(F$1),"00")&amp;"'!$A:$D"),4,false),1)))</f>
        <v>1</v>
      </c>
      <c r="G81" s="62">
        <f t="shared" si="162"/>
        <v>1</v>
      </c>
      <c r="H81" s="62">
        <f t="shared" ref="H81:Q81" si="163">IF(isblank(H$1),,IFERROR(vlookup($A81,indirect("'TVC-"&amp;text(month(H$1),"00")&amp;"'!$A:$D"),4,false),1))</f>
        <v>1</v>
      </c>
      <c r="I81" s="62">
        <f t="shared" si="163"/>
        <v>1</v>
      </c>
      <c r="J81" s="62">
        <f t="shared" si="163"/>
        <v>1</v>
      </c>
      <c r="K81" s="62">
        <f t="shared" si="163"/>
        <v>1</v>
      </c>
      <c r="L81" s="62">
        <f t="shared" si="163"/>
        <v>1</v>
      </c>
      <c r="M81" s="62">
        <f t="shared" si="163"/>
        <v>1</v>
      </c>
      <c r="N81" s="62">
        <f t="shared" si="163"/>
        <v>1</v>
      </c>
      <c r="O81" s="62">
        <f t="shared" si="163"/>
        <v>1</v>
      </c>
      <c r="P81" s="62" t="str">
        <f t="shared" si="163"/>
        <v/>
      </c>
      <c r="Q81" s="62" t="str">
        <f t="shared" si="163"/>
        <v/>
      </c>
      <c r="R81" s="62">
        <f t="shared" si="7"/>
        <v>0</v>
      </c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</row>
    <row r="82" hidden="1">
      <c r="A82" s="60">
        <f>IFERROR(__xludf.DUMMYFUNCTION("""COMPUTED_VALUE"""),267.0)</f>
        <v>267</v>
      </c>
      <c r="B82" s="60" t="str">
        <f>IFERROR(__xludf.DUMMYFUNCTION("""COMPUTED_VALUE"""),"Giants, New York")</f>
        <v>Giants, New York</v>
      </c>
      <c r="C82" s="60" t="str">
        <f>IFERROR(__xludf.DUMMYFUNCTION("""COMPUTED_VALUE"""),"TMDL")</f>
        <v>TMDL</v>
      </c>
      <c r="D82" s="60" t="str">
        <f>IFERROR(__xludf.DUMMYFUNCTION("""COMPUTED_VALUE"""),"NYG")</f>
        <v>NYG</v>
      </c>
      <c r="E82" s="62" t="str">
        <f t="shared" si="4"/>
        <v>New York Giants</v>
      </c>
      <c r="F82" s="62">
        <f t="shared" ref="F82:G82" si="164">IF(isblank(F$1),,IF(isblank($A82),,IFERROR(vlookup($A82,indirect("'TVC-"&amp;text(month(F$1),"00")&amp;"'!$A:$D"),4,false),1)))</f>
        <v>1</v>
      </c>
      <c r="G82" s="62">
        <f t="shared" si="164"/>
        <v>1</v>
      </c>
      <c r="H82" s="62">
        <f t="shared" ref="H82:Q82" si="165">IF(isblank(H$1),,IFERROR(vlookup($A82,indirect("'TVC-"&amp;text(month(H$1),"00")&amp;"'!$A:$D"),4,false),1))</f>
        <v>1</v>
      </c>
      <c r="I82" s="62">
        <f t="shared" si="165"/>
        <v>1</v>
      </c>
      <c r="J82" s="62">
        <f t="shared" si="165"/>
        <v>1</v>
      </c>
      <c r="K82" s="62">
        <f t="shared" si="165"/>
        <v>1</v>
      </c>
      <c r="L82" s="62">
        <f t="shared" si="165"/>
        <v>1</v>
      </c>
      <c r="M82" s="62">
        <f t="shared" si="165"/>
        <v>1</v>
      </c>
      <c r="N82" s="62">
        <f t="shared" si="165"/>
        <v>1</v>
      </c>
      <c r="O82" s="62">
        <f t="shared" si="165"/>
        <v>1</v>
      </c>
      <c r="P82" s="62" t="str">
        <f t="shared" si="165"/>
        <v/>
      </c>
      <c r="Q82" s="62" t="str">
        <f t="shared" si="165"/>
        <v/>
      </c>
      <c r="R82" s="62">
        <f t="shared" si="7"/>
        <v>0</v>
      </c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</row>
    <row r="83" hidden="1">
      <c r="A83" s="60">
        <f>IFERROR(__xludf.DUMMYFUNCTION("""COMPUTED_VALUE"""),268.0)</f>
        <v>268</v>
      </c>
      <c r="B83" s="60" t="str">
        <f>IFERROR(__xludf.DUMMYFUNCTION("""COMPUTED_VALUE"""),"Eagles, Philadelphia")</f>
        <v>Eagles, Philadelphia</v>
      </c>
      <c r="C83" s="60" t="str">
        <f>IFERROR(__xludf.DUMMYFUNCTION("""COMPUTED_VALUE"""),"TMDL")</f>
        <v>TMDL</v>
      </c>
      <c r="D83" s="60" t="str">
        <f>IFERROR(__xludf.DUMMYFUNCTION("""COMPUTED_VALUE"""),"PHI")</f>
        <v>PHI</v>
      </c>
      <c r="E83" s="62" t="str">
        <f t="shared" si="4"/>
        <v>Philadelphia Eagles</v>
      </c>
      <c r="F83" s="62">
        <f t="shared" ref="F83:G83" si="166">IF(isblank(F$1),,IF(isblank($A83),,IFERROR(vlookup($A83,indirect("'TVC-"&amp;text(month(F$1),"00")&amp;"'!$A:$D"),4,false),1)))</f>
        <v>1</v>
      </c>
      <c r="G83" s="62">
        <f t="shared" si="166"/>
        <v>1</v>
      </c>
      <c r="H83" s="62">
        <f t="shared" ref="H83:Q83" si="167">IF(isblank(H$1),,IFERROR(vlookup($A83,indirect("'TVC-"&amp;text(month(H$1),"00")&amp;"'!$A:$D"),4,false),1))</f>
        <v>1</v>
      </c>
      <c r="I83" s="62">
        <f t="shared" si="167"/>
        <v>1</v>
      </c>
      <c r="J83" s="62">
        <f t="shared" si="167"/>
        <v>1</v>
      </c>
      <c r="K83" s="62">
        <f t="shared" si="167"/>
        <v>1</v>
      </c>
      <c r="L83" s="62">
        <f t="shared" si="167"/>
        <v>1</v>
      </c>
      <c r="M83" s="62">
        <f t="shared" si="167"/>
        <v>1</v>
      </c>
      <c r="N83" s="62">
        <f t="shared" si="167"/>
        <v>1</v>
      </c>
      <c r="O83" s="62">
        <f t="shared" si="167"/>
        <v>1</v>
      </c>
      <c r="P83" s="62" t="str">
        <f t="shared" si="167"/>
        <v/>
      </c>
      <c r="Q83" s="62" t="str">
        <f t="shared" si="167"/>
        <v/>
      </c>
      <c r="R83" s="62">
        <f t="shared" si="7"/>
        <v>0</v>
      </c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</row>
    <row r="84" hidden="1">
      <c r="A84" s="60">
        <f>IFERROR(__xludf.DUMMYFUNCTION("""COMPUTED_VALUE"""),269.0)</f>
        <v>269</v>
      </c>
      <c r="B84" s="60" t="str">
        <f>IFERROR(__xludf.DUMMYFUNCTION("""COMPUTED_VALUE"""),"Cardinals, Arizona")</f>
        <v>Cardinals, Arizona</v>
      </c>
      <c r="C84" s="60" t="str">
        <f>IFERROR(__xludf.DUMMYFUNCTION("""COMPUTED_VALUE"""),"TMDL")</f>
        <v>TMDL</v>
      </c>
      <c r="D84" s="60" t="str">
        <f>IFERROR(__xludf.DUMMYFUNCTION("""COMPUTED_VALUE"""),"ARI")</f>
        <v>ARI</v>
      </c>
      <c r="E84" s="62" t="str">
        <f t="shared" si="4"/>
        <v>Arizona Cardinals</v>
      </c>
      <c r="F84" s="62">
        <f t="shared" ref="F84:G84" si="168">IF(isblank(F$1),,IF(isblank($A84),,IFERROR(vlookup($A84,indirect("'TVC-"&amp;text(month(F$1),"00")&amp;"'!$A:$D"),4,false),1)))</f>
        <v>1</v>
      </c>
      <c r="G84" s="62">
        <f t="shared" si="168"/>
        <v>1</v>
      </c>
      <c r="H84" s="62">
        <f t="shared" ref="H84:Q84" si="169">IF(isblank(H$1),,IFERROR(vlookup($A84,indirect("'TVC-"&amp;text(month(H$1),"00")&amp;"'!$A:$D"),4,false),1))</f>
        <v>1</v>
      </c>
      <c r="I84" s="62">
        <f t="shared" si="169"/>
        <v>1</v>
      </c>
      <c r="J84" s="62">
        <f t="shared" si="169"/>
        <v>1</v>
      </c>
      <c r="K84" s="62">
        <f t="shared" si="169"/>
        <v>1</v>
      </c>
      <c r="L84" s="62">
        <f t="shared" si="169"/>
        <v>1</v>
      </c>
      <c r="M84" s="62">
        <f t="shared" si="169"/>
        <v>1</v>
      </c>
      <c r="N84" s="62">
        <f t="shared" si="169"/>
        <v>1</v>
      </c>
      <c r="O84" s="62">
        <f t="shared" si="169"/>
        <v>1</v>
      </c>
      <c r="P84" s="62" t="str">
        <f t="shared" si="169"/>
        <v/>
      </c>
      <c r="Q84" s="62" t="str">
        <f t="shared" si="169"/>
        <v/>
      </c>
      <c r="R84" s="62">
        <f t="shared" si="7"/>
        <v>0</v>
      </c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</row>
    <row r="85" hidden="1">
      <c r="A85" s="60">
        <f>IFERROR(__xludf.DUMMYFUNCTION("""COMPUTED_VALUE"""),270.0)</f>
        <v>270</v>
      </c>
      <c r="B85" s="60" t="str">
        <f>IFERROR(__xludf.DUMMYFUNCTION("""COMPUTED_VALUE"""),"Commanders, Washington")</f>
        <v>Commanders, Washington</v>
      </c>
      <c r="C85" s="60" t="str">
        <f>IFERROR(__xludf.DUMMYFUNCTION("""COMPUTED_VALUE"""),"TMDL")</f>
        <v>TMDL</v>
      </c>
      <c r="D85" s="60" t="str">
        <f>IFERROR(__xludf.DUMMYFUNCTION("""COMPUTED_VALUE"""),"WAS")</f>
        <v>WAS</v>
      </c>
      <c r="E85" s="62" t="str">
        <f t="shared" si="4"/>
        <v>Washington Commanders</v>
      </c>
      <c r="F85" s="62">
        <f t="shared" ref="F85:G85" si="170">IF(isblank(F$1),,IF(isblank($A85),,IFERROR(vlookup($A85,indirect("'TVC-"&amp;text(month(F$1),"00")&amp;"'!$A:$D"),4,false),1)))</f>
        <v>1</v>
      </c>
      <c r="G85" s="62">
        <f t="shared" si="170"/>
        <v>1</v>
      </c>
      <c r="H85" s="62">
        <f t="shared" ref="H85:Q85" si="171">IF(isblank(H$1),,IFERROR(vlookup($A85,indirect("'TVC-"&amp;text(month(H$1),"00")&amp;"'!$A:$D"),4,false),1))</f>
        <v>1</v>
      </c>
      <c r="I85" s="62">
        <f t="shared" si="171"/>
        <v>1</v>
      </c>
      <c r="J85" s="62">
        <f t="shared" si="171"/>
        <v>1</v>
      </c>
      <c r="K85" s="62">
        <f t="shared" si="171"/>
        <v>1</v>
      </c>
      <c r="L85" s="62">
        <f t="shared" si="171"/>
        <v>1</v>
      </c>
      <c r="M85" s="62">
        <f t="shared" si="171"/>
        <v>1</v>
      </c>
      <c r="N85" s="62">
        <f t="shared" si="171"/>
        <v>1</v>
      </c>
      <c r="O85" s="62">
        <f t="shared" si="171"/>
        <v>1</v>
      </c>
      <c r="P85" s="62" t="str">
        <f t="shared" si="171"/>
        <v/>
      </c>
      <c r="Q85" s="62" t="str">
        <f t="shared" si="171"/>
        <v/>
      </c>
      <c r="R85" s="62">
        <f t="shared" si="7"/>
        <v>0</v>
      </c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</row>
    <row r="86" hidden="1">
      <c r="A86" s="60">
        <f>IFERROR(__xludf.DUMMYFUNCTION("""COMPUTED_VALUE"""),271.0)</f>
        <v>271</v>
      </c>
      <c r="B86" s="60" t="str">
        <f>IFERROR(__xludf.DUMMYFUNCTION("""COMPUTED_VALUE"""),"Bears, Chicago")</f>
        <v>Bears, Chicago</v>
      </c>
      <c r="C86" s="60" t="str">
        <f>IFERROR(__xludf.DUMMYFUNCTION("""COMPUTED_VALUE"""),"TMDL")</f>
        <v>TMDL</v>
      </c>
      <c r="D86" s="60" t="str">
        <f>IFERROR(__xludf.DUMMYFUNCTION("""COMPUTED_VALUE"""),"CHI")</f>
        <v>CHI</v>
      </c>
      <c r="E86" s="62" t="str">
        <f t="shared" si="4"/>
        <v>Chicago Bears</v>
      </c>
      <c r="F86" s="62">
        <f t="shared" ref="F86:G86" si="172">IF(isblank(F$1),,IF(isblank($A86),,IFERROR(vlookup($A86,indirect("'TVC-"&amp;text(month(F$1),"00")&amp;"'!$A:$D"),4,false),1)))</f>
        <v>1</v>
      </c>
      <c r="G86" s="62">
        <f t="shared" si="172"/>
        <v>1</v>
      </c>
      <c r="H86" s="62">
        <f t="shared" ref="H86:Q86" si="173">IF(isblank(H$1),,IFERROR(vlookup($A86,indirect("'TVC-"&amp;text(month(H$1),"00")&amp;"'!$A:$D"),4,false),1))</f>
        <v>1</v>
      </c>
      <c r="I86" s="62">
        <f t="shared" si="173"/>
        <v>1</v>
      </c>
      <c r="J86" s="62">
        <f t="shared" si="173"/>
        <v>1</v>
      </c>
      <c r="K86" s="62">
        <f t="shared" si="173"/>
        <v>1</v>
      </c>
      <c r="L86" s="62">
        <f t="shared" si="173"/>
        <v>1</v>
      </c>
      <c r="M86" s="62">
        <f t="shared" si="173"/>
        <v>1</v>
      </c>
      <c r="N86" s="62">
        <f t="shared" si="173"/>
        <v>1</v>
      </c>
      <c r="O86" s="62">
        <f t="shared" si="173"/>
        <v>1</v>
      </c>
      <c r="P86" s="62" t="str">
        <f t="shared" si="173"/>
        <v/>
      </c>
      <c r="Q86" s="62" t="str">
        <f t="shared" si="173"/>
        <v/>
      </c>
      <c r="R86" s="62">
        <f t="shared" si="7"/>
        <v>0</v>
      </c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</row>
    <row r="87" hidden="1">
      <c r="A87" s="60">
        <f>IFERROR(__xludf.DUMMYFUNCTION("""COMPUTED_VALUE"""),272.0)</f>
        <v>272</v>
      </c>
      <c r="B87" s="60" t="str">
        <f>IFERROR(__xludf.DUMMYFUNCTION("""COMPUTED_VALUE"""),"Lions, Detroit")</f>
        <v>Lions, Detroit</v>
      </c>
      <c r="C87" s="60" t="str">
        <f>IFERROR(__xludf.DUMMYFUNCTION("""COMPUTED_VALUE"""),"TMDL")</f>
        <v>TMDL</v>
      </c>
      <c r="D87" s="60" t="str">
        <f>IFERROR(__xludf.DUMMYFUNCTION("""COMPUTED_VALUE"""),"DET")</f>
        <v>DET</v>
      </c>
      <c r="E87" s="62" t="str">
        <f t="shared" si="4"/>
        <v>Detroit Lions</v>
      </c>
      <c r="F87" s="62">
        <f t="shared" ref="F87:G87" si="174">IF(isblank(F$1),,IF(isblank($A87),,IFERROR(vlookup($A87,indirect("'TVC-"&amp;text(month(F$1),"00")&amp;"'!$A:$D"),4,false),1)))</f>
        <v>1</v>
      </c>
      <c r="G87" s="62">
        <f t="shared" si="174"/>
        <v>1</v>
      </c>
      <c r="H87" s="62">
        <f t="shared" ref="H87:Q87" si="175">IF(isblank(H$1),,IFERROR(vlookup($A87,indirect("'TVC-"&amp;text(month(H$1),"00")&amp;"'!$A:$D"),4,false),1))</f>
        <v>1</v>
      </c>
      <c r="I87" s="62">
        <f t="shared" si="175"/>
        <v>1</v>
      </c>
      <c r="J87" s="62">
        <f t="shared" si="175"/>
        <v>1</v>
      </c>
      <c r="K87" s="62">
        <f t="shared" si="175"/>
        <v>1</v>
      </c>
      <c r="L87" s="62">
        <f t="shared" si="175"/>
        <v>1</v>
      </c>
      <c r="M87" s="62">
        <f t="shared" si="175"/>
        <v>1</v>
      </c>
      <c r="N87" s="62">
        <f t="shared" si="175"/>
        <v>1</v>
      </c>
      <c r="O87" s="62">
        <f t="shared" si="175"/>
        <v>1</v>
      </c>
      <c r="P87" s="62" t="str">
        <f t="shared" si="175"/>
        <v/>
      </c>
      <c r="Q87" s="62" t="str">
        <f t="shared" si="175"/>
        <v/>
      </c>
      <c r="R87" s="62">
        <f t="shared" si="7"/>
        <v>0</v>
      </c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</row>
    <row r="88" hidden="1">
      <c r="A88" s="60">
        <f>IFERROR(__xludf.DUMMYFUNCTION("""COMPUTED_VALUE"""),273.0)</f>
        <v>273</v>
      </c>
      <c r="B88" s="60" t="str">
        <f>IFERROR(__xludf.DUMMYFUNCTION("""COMPUTED_VALUE"""),"Packers, Green Bay")</f>
        <v>Packers, Green Bay</v>
      </c>
      <c r="C88" s="60" t="str">
        <f>IFERROR(__xludf.DUMMYFUNCTION("""COMPUTED_VALUE"""),"TMDL")</f>
        <v>TMDL</v>
      </c>
      <c r="D88" s="60" t="str">
        <f>IFERROR(__xludf.DUMMYFUNCTION("""COMPUTED_VALUE"""),"GBP")</f>
        <v>GBP</v>
      </c>
      <c r="E88" s="62" t="str">
        <f t="shared" si="4"/>
        <v>Green Bay Packers</v>
      </c>
      <c r="F88" s="62">
        <f t="shared" ref="F88:G88" si="176">IF(isblank(F$1),,IF(isblank($A88),,IFERROR(vlookup($A88,indirect("'TVC-"&amp;text(month(F$1),"00")&amp;"'!$A:$D"),4,false),1)))</f>
        <v>1</v>
      </c>
      <c r="G88" s="62">
        <f t="shared" si="176"/>
        <v>1</v>
      </c>
      <c r="H88" s="62">
        <f t="shared" ref="H88:Q88" si="177">IF(isblank(H$1),,IFERROR(vlookup($A88,indirect("'TVC-"&amp;text(month(H$1),"00")&amp;"'!$A:$D"),4,false),1))</f>
        <v>1</v>
      </c>
      <c r="I88" s="62">
        <f t="shared" si="177"/>
        <v>1</v>
      </c>
      <c r="J88" s="62">
        <f t="shared" si="177"/>
        <v>1</v>
      </c>
      <c r="K88" s="62">
        <f t="shared" si="177"/>
        <v>1</v>
      </c>
      <c r="L88" s="62">
        <f t="shared" si="177"/>
        <v>1</v>
      </c>
      <c r="M88" s="62">
        <f t="shared" si="177"/>
        <v>1</v>
      </c>
      <c r="N88" s="62">
        <f t="shared" si="177"/>
        <v>1</v>
      </c>
      <c r="O88" s="62">
        <f t="shared" si="177"/>
        <v>1</v>
      </c>
      <c r="P88" s="62" t="str">
        <f t="shared" si="177"/>
        <v/>
      </c>
      <c r="Q88" s="62" t="str">
        <f t="shared" si="177"/>
        <v/>
      </c>
      <c r="R88" s="62">
        <f t="shared" si="7"/>
        <v>0</v>
      </c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</row>
    <row r="89" hidden="1">
      <c r="A89" s="60">
        <f>IFERROR(__xludf.DUMMYFUNCTION("""COMPUTED_VALUE"""),274.0)</f>
        <v>274</v>
      </c>
      <c r="B89" s="60" t="str">
        <f>IFERROR(__xludf.DUMMYFUNCTION("""COMPUTED_VALUE"""),"Vikings, Minnesota")</f>
        <v>Vikings, Minnesota</v>
      </c>
      <c r="C89" s="60" t="str">
        <f>IFERROR(__xludf.DUMMYFUNCTION("""COMPUTED_VALUE"""),"TMDL")</f>
        <v>TMDL</v>
      </c>
      <c r="D89" s="60" t="str">
        <f>IFERROR(__xludf.DUMMYFUNCTION("""COMPUTED_VALUE"""),"MIN")</f>
        <v>MIN</v>
      </c>
      <c r="E89" s="62" t="str">
        <f t="shared" si="4"/>
        <v>Minnesota Vikings</v>
      </c>
      <c r="F89" s="62">
        <f t="shared" ref="F89:G89" si="178">IF(isblank(F$1),,IF(isblank($A89),,IFERROR(vlookup($A89,indirect("'TVC-"&amp;text(month(F$1),"00")&amp;"'!$A:$D"),4,false),1)))</f>
        <v>1</v>
      </c>
      <c r="G89" s="62">
        <f t="shared" si="178"/>
        <v>1</v>
      </c>
      <c r="H89" s="62">
        <f t="shared" ref="H89:Q89" si="179">IF(isblank(H$1),,IFERROR(vlookup($A89,indirect("'TVC-"&amp;text(month(H$1),"00")&amp;"'!$A:$D"),4,false),1))</f>
        <v>1</v>
      </c>
      <c r="I89" s="62">
        <f t="shared" si="179"/>
        <v>1</v>
      </c>
      <c r="J89" s="62">
        <f t="shared" si="179"/>
        <v>1</v>
      </c>
      <c r="K89" s="62">
        <f t="shared" si="179"/>
        <v>1</v>
      </c>
      <c r="L89" s="62">
        <f t="shared" si="179"/>
        <v>1</v>
      </c>
      <c r="M89" s="62">
        <f t="shared" si="179"/>
        <v>1</v>
      </c>
      <c r="N89" s="62">
        <f t="shared" si="179"/>
        <v>1</v>
      </c>
      <c r="O89" s="62">
        <f t="shared" si="179"/>
        <v>1</v>
      </c>
      <c r="P89" s="62" t="str">
        <f t="shared" si="179"/>
        <v/>
      </c>
      <c r="Q89" s="62" t="str">
        <f t="shared" si="179"/>
        <v/>
      </c>
      <c r="R89" s="62">
        <f t="shared" si="7"/>
        <v>0</v>
      </c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</row>
    <row r="90" hidden="1">
      <c r="A90" s="60">
        <f>IFERROR(__xludf.DUMMYFUNCTION("""COMPUTED_VALUE"""),275.0)</f>
        <v>275</v>
      </c>
      <c r="B90" s="60" t="str">
        <f>IFERROR(__xludf.DUMMYFUNCTION("""COMPUTED_VALUE"""),"Buccaneers, Tampa Bay")</f>
        <v>Buccaneers, Tampa Bay</v>
      </c>
      <c r="C90" s="60" t="str">
        <f>IFERROR(__xludf.DUMMYFUNCTION("""COMPUTED_VALUE"""),"TMDL")</f>
        <v>TMDL</v>
      </c>
      <c r="D90" s="60" t="str">
        <f>IFERROR(__xludf.DUMMYFUNCTION("""COMPUTED_VALUE"""),"TBB")</f>
        <v>TBB</v>
      </c>
      <c r="E90" s="62" t="str">
        <f t="shared" si="4"/>
        <v>Tampa Bay Buccaneers</v>
      </c>
      <c r="F90" s="62">
        <f t="shared" ref="F90:G90" si="180">IF(isblank(F$1),,IF(isblank($A90),,IFERROR(vlookup($A90,indirect("'TVC-"&amp;text(month(F$1),"00")&amp;"'!$A:$D"),4,false),1)))</f>
        <v>1</v>
      </c>
      <c r="G90" s="62">
        <f t="shared" si="180"/>
        <v>1</v>
      </c>
      <c r="H90" s="62">
        <f t="shared" ref="H90:Q90" si="181">IF(isblank(H$1),,IFERROR(vlookup($A90,indirect("'TVC-"&amp;text(month(H$1),"00")&amp;"'!$A:$D"),4,false),1))</f>
        <v>1</v>
      </c>
      <c r="I90" s="62">
        <f t="shared" si="181"/>
        <v>1</v>
      </c>
      <c r="J90" s="62">
        <f t="shared" si="181"/>
        <v>1</v>
      </c>
      <c r="K90" s="62">
        <f t="shared" si="181"/>
        <v>1</v>
      </c>
      <c r="L90" s="62">
        <f t="shared" si="181"/>
        <v>1</v>
      </c>
      <c r="M90" s="62">
        <f t="shared" si="181"/>
        <v>1</v>
      </c>
      <c r="N90" s="62">
        <f t="shared" si="181"/>
        <v>1</v>
      </c>
      <c r="O90" s="62">
        <f t="shared" si="181"/>
        <v>1</v>
      </c>
      <c r="P90" s="62" t="str">
        <f t="shared" si="181"/>
        <v/>
      </c>
      <c r="Q90" s="62" t="str">
        <f t="shared" si="181"/>
        <v/>
      </c>
      <c r="R90" s="62">
        <f t="shared" si="7"/>
        <v>0</v>
      </c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</row>
    <row r="91" hidden="1">
      <c r="A91" s="60">
        <f>IFERROR(__xludf.DUMMYFUNCTION("""COMPUTED_VALUE"""),276.0)</f>
        <v>276</v>
      </c>
      <c r="B91" s="60" t="str">
        <f>IFERROR(__xludf.DUMMYFUNCTION("""COMPUTED_VALUE"""),"Falcons, Atlanta")</f>
        <v>Falcons, Atlanta</v>
      </c>
      <c r="C91" s="60" t="str">
        <f>IFERROR(__xludf.DUMMYFUNCTION("""COMPUTED_VALUE"""),"TMDL")</f>
        <v>TMDL</v>
      </c>
      <c r="D91" s="60" t="str">
        <f>IFERROR(__xludf.DUMMYFUNCTION("""COMPUTED_VALUE"""),"ATL")</f>
        <v>ATL</v>
      </c>
      <c r="E91" s="62" t="str">
        <f t="shared" si="4"/>
        <v>Atlanta Falcons</v>
      </c>
      <c r="F91" s="62">
        <f t="shared" ref="F91:G91" si="182">IF(isblank(F$1),,IF(isblank($A91),,IFERROR(vlookup($A91,indirect("'TVC-"&amp;text(month(F$1),"00")&amp;"'!$A:$D"),4,false),1)))</f>
        <v>1</v>
      </c>
      <c r="G91" s="62">
        <f t="shared" si="182"/>
        <v>1</v>
      </c>
      <c r="H91" s="62">
        <f t="shared" ref="H91:Q91" si="183">IF(isblank(H$1),,IFERROR(vlookup($A91,indirect("'TVC-"&amp;text(month(H$1),"00")&amp;"'!$A:$D"),4,false),1))</f>
        <v>1</v>
      </c>
      <c r="I91" s="62">
        <f t="shared" si="183"/>
        <v>1</v>
      </c>
      <c r="J91" s="62">
        <f t="shared" si="183"/>
        <v>1</v>
      </c>
      <c r="K91" s="62">
        <f t="shared" si="183"/>
        <v>1</v>
      </c>
      <c r="L91" s="62">
        <f t="shared" si="183"/>
        <v>1</v>
      </c>
      <c r="M91" s="62">
        <f t="shared" si="183"/>
        <v>1</v>
      </c>
      <c r="N91" s="62">
        <f t="shared" si="183"/>
        <v>1</v>
      </c>
      <c r="O91" s="62">
        <f t="shared" si="183"/>
        <v>1</v>
      </c>
      <c r="P91" s="62" t="str">
        <f t="shared" si="183"/>
        <v/>
      </c>
      <c r="Q91" s="62" t="str">
        <f t="shared" si="183"/>
        <v/>
      </c>
      <c r="R91" s="62">
        <f t="shared" si="7"/>
        <v>0</v>
      </c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</row>
    <row r="92" hidden="1">
      <c r="A92" s="60">
        <f>IFERROR(__xludf.DUMMYFUNCTION("""COMPUTED_VALUE"""),277.0)</f>
        <v>277</v>
      </c>
      <c r="B92" s="60" t="str">
        <f>IFERROR(__xludf.DUMMYFUNCTION("""COMPUTED_VALUE"""),"Panthers, Carolina")</f>
        <v>Panthers, Carolina</v>
      </c>
      <c r="C92" s="60" t="str">
        <f>IFERROR(__xludf.DUMMYFUNCTION("""COMPUTED_VALUE"""),"TMDL")</f>
        <v>TMDL</v>
      </c>
      <c r="D92" s="60" t="str">
        <f>IFERROR(__xludf.DUMMYFUNCTION("""COMPUTED_VALUE"""),"CAR")</f>
        <v>CAR</v>
      </c>
      <c r="E92" s="62" t="str">
        <f t="shared" si="4"/>
        <v>Carolina Panthers</v>
      </c>
      <c r="F92" s="62">
        <f t="shared" ref="F92:G92" si="184">IF(isblank(F$1),,IF(isblank($A92),,IFERROR(vlookup($A92,indirect("'TVC-"&amp;text(month(F$1),"00")&amp;"'!$A:$D"),4,false),1)))</f>
        <v>1</v>
      </c>
      <c r="G92" s="62">
        <f t="shared" si="184"/>
        <v>1</v>
      </c>
      <c r="H92" s="62">
        <f t="shared" ref="H92:Q92" si="185">IF(isblank(H$1),,IFERROR(vlookup($A92,indirect("'TVC-"&amp;text(month(H$1),"00")&amp;"'!$A:$D"),4,false),1))</f>
        <v>1</v>
      </c>
      <c r="I92" s="62">
        <f t="shared" si="185"/>
        <v>1</v>
      </c>
      <c r="J92" s="62">
        <f t="shared" si="185"/>
        <v>1</v>
      </c>
      <c r="K92" s="62">
        <f t="shared" si="185"/>
        <v>1</v>
      </c>
      <c r="L92" s="62">
        <f t="shared" si="185"/>
        <v>1</v>
      </c>
      <c r="M92" s="62">
        <f t="shared" si="185"/>
        <v>1</v>
      </c>
      <c r="N92" s="62">
        <f t="shared" si="185"/>
        <v>1</v>
      </c>
      <c r="O92" s="62">
        <f t="shared" si="185"/>
        <v>1</v>
      </c>
      <c r="P92" s="62" t="str">
        <f t="shared" si="185"/>
        <v/>
      </c>
      <c r="Q92" s="62" t="str">
        <f t="shared" si="185"/>
        <v/>
      </c>
      <c r="R92" s="62">
        <f t="shared" si="7"/>
        <v>0</v>
      </c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</row>
    <row r="93" hidden="1">
      <c r="A93" s="60">
        <f>IFERROR(__xludf.DUMMYFUNCTION("""COMPUTED_VALUE"""),278.0)</f>
        <v>278</v>
      </c>
      <c r="B93" s="60" t="str">
        <f>IFERROR(__xludf.DUMMYFUNCTION("""COMPUTED_VALUE"""),"Rams, Los Angeles")</f>
        <v>Rams, Los Angeles</v>
      </c>
      <c r="C93" s="60" t="str">
        <f>IFERROR(__xludf.DUMMYFUNCTION("""COMPUTED_VALUE"""),"TMDL")</f>
        <v>TMDL</v>
      </c>
      <c r="D93" s="60" t="str">
        <f>IFERROR(__xludf.DUMMYFUNCTION("""COMPUTED_VALUE"""),"LAR")</f>
        <v>LAR</v>
      </c>
      <c r="E93" s="62" t="str">
        <f t="shared" si="4"/>
        <v>Los Angeles Rams</v>
      </c>
      <c r="F93" s="62">
        <f t="shared" ref="F93:G93" si="186">IF(isblank(F$1),,IF(isblank($A93),,IFERROR(vlookup($A93,indirect("'TVC-"&amp;text(month(F$1),"00")&amp;"'!$A:$D"),4,false),1)))</f>
        <v>1</v>
      </c>
      <c r="G93" s="62">
        <f t="shared" si="186"/>
        <v>1</v>
      </c>
      <c r="H93" s="62">
        <f t="shared" ref="H93:Q93" si="187">IF(isblank(H$1),,IFERROR(vlookup($A93,indirect("'TVC-"&amp;text(month(H$1),"00")&amp;"'!$A:$D"),4,false),1))</f>
        <v>1</v>
      </c>
      <c r="I93" s="62">
        <f t="shared" si="187"/>
        <v>1</v>
      </c>
      <c r="J93" s="62">
        <f t="shared" si="187"/>
        <v>1</v>
      </c>
      <c r="K93" s="62">
        <f t="shared" si="187"/>
        <v>1</v>
      </c>
      <c r="L93" s="62">
        <f t="shared" si="187"/>
        <v>1</v>
      </c>
      <c r="M93" s="62">
        <f t="shared" si="187"/>
        <v>1</v>
      </c>
      <c r="N93" s="62">
        <f t="shared" si="187"/>
        <v>1</v>
      </c>
      <c r="O93" s="62">
        <f t="shared" si="187"/>
        <v>1</v>
      </c>
      <c r="P93" s="62" t="str">
        <f t="shared" si="187"/>
        <v/>
      </c>
      <c r="Q93" s="62" t="str">
        <f t="shared" si="187"/>
        <v/>
      </c>
      <c r="R93" s="62">
        <f t="shared" si="7"/>
        <v>0</v>
      </c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</row>
    <row r="94" hidden="1">
      <c r="A94" s="60">
        <f>IFERROR(__xludf.DUMMYFUNCTION("""COMPUTED_VALUE"""),279.0)</f>
        <v>279</v>
      </c>
      <c r="B94" s="60" t="str">
        <f>IFERROR(__xludf.DUMMYFUNCTION("""COMPUTED_VALUE"""),"Saints, New Orleans")</f>
        <v>Saints, New Orleans</v>
      </c>
      <c r="C94" s="60" t="str">
        <f>IFERROR(__xludf.DUMMYFUNCTION("""COMPUTED_VALUE"""),"TMDL")</f>
        <v>TMDL</v>
      </c>
      <c r="D94" s="60" t="str">
        <f>IFERROR(__xludf.DUMMYFUNCTION("""COMPUTED_VALUE"""),"NOS")</f>
        <v>NOS</v>
      </c>
      <c r="E94" s="62" t="str">
        <f t="shared" si="4"/>
        <v>New Orleans Saints</v>
      </c>
      <c r="F94" s="62">
        <f t="shared" ref="F94:G94" si="188">IF(isblank(F$1),,IF(isblank($A94),,IFERROR(vlookup($A94,indirect("'TVC-"&amp;text(month(F$1),"00")&amp;"'!$A:$D"),4,false),1)))</f>
        <v>1</v>
      </c>
      <c r="G94" s="62">
        <f t="shared" si="188"/>
        <v>1</v>
      </c>
      <c r="H94" s="62">
        <f t="shared" ref="H94:Q94" si="189">IF(isblank(H$1),,IFERROR(vlookup($A94,indirect("'TVC-"&amp;text(month(H$1),"00")&amp;"'!$A:$D"),4,false),1))</f>
        <v>1</v>
      </c>
      <c r="I94" s="62">
        <f t="shared" si="189"/>
        <v>1</v>
      </c>
      <c r="J94" s="62">
        <f t="shared" si="189"/>
        <v>1</v>
      </c>
      <c r="K94" s="62">
        <f t="shared" si="189"/>
        <v>1</v>
      </c>
      <c r="L94" s="62">
        <f t="shared" si="189"/>
        <v>1</v>
      </c>
      <c r="M94" s="62">
        <f t="shared" si="189"/>
        <v>1</v>
      </c>
      <c r="N94" s="62">
        <f t="shared" si="189"/>
        <v>1</v>
      </c>
      <c r="O94" s="62">
        <f t="shared" si="189"/>
        <v>1</v>
      </c>
      <c r="P94" s="62" t="str">
        <f t="shared" si="189"/>
        <v/>
      </c>
      <c r="Q94" s="62" t="str">
        <f t="shared" si="189"/>
        <v/>
      </c>
      <c r="R94" s="62">
        <f t="shared" si="7"/>
        <v>0</v>
      </c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</row>
    <row r="95" hidden="1">
      <c r="A95" s="60">
        <f>IFERROR(__xludf.DUMMYFUNCTION("""COMPUTED_VALUE"""),280.0)</f>
        <v>280</v>
      </c>
      <c r="B95" s="60" t="str">
        <f>IFERROR(__xludf.DUMMYFUNCTION("""COMPUTED_VALUE"""),"49ers, San Francisco")</f>
        <v>49ers, San Francisco</v>
      </c>
      <c r="C95" s="60" t="str">
        <f>IFERROR(__xludf.DUMMYFUNCTION("""COMPUTED_VALUE"""),"TMDL")</f>
        <v>TMDL</v>
      </c>
      <c r="D95" s="60" t="str">
        <f>IFERROR(__xludf.DUMMYFUNCTION("""COMPUTED_VALUE"""),"SFO")</f>
        <v>SFO</v>
      </c>
      <c r="E95" s="62" t="str">
        <f t="shared" si="4"/>
        <v>San Francisco 49ers</v>
      </c>
      <c r="F95" s="62">
        <f t="shared" ref="F95:G95" si="190">IF(isblank(F$1),,IF(isblank($A95),,IFERROR(vlookup($A95,indirect("'TVC-"&amp;text(month(F$1),"00")&amp;"'!$A:$D"),4,false),1)))</f>
        <v>1</v>
      </c>
      <c r="G95" s="62">
        <f t="shared" si="190"/>
        <v>1</v>
      </c>
      <c r="H95" s="62">
        <f t="shared" ref="H95:Q95" si="191">IF(isblank(H$1),,IFERROR(vlookup($A95,indirect("'TVC-"&amp;text(month(H$1),"00")&amp;"'!$A:$D"),4,false),1))</f>
        <v>1</v>
      </c>
      <c r="I95" s="62">
        <f t="shared" si="191"/>
        <v>1</v>
      </c>
      <c r="J95" s="62">
        <f t="shared" si="191"/>
        <v>1</v>
      </c>
      <c r="K95" s="62">
        <f t="shared" si="191"/>
        <v>1</v>
      </c>
      <c r="L95" s="62">
        <f t="shared" si="191"/>
        <v>1</v>
      </c>
      <c r="M95" s="62">
        <f t="shared" si="191"/>
        <v>1</v>
      </c>
      <c r="N95" s="62">
        <f t="shared" si="191"/>
        <v>1</v>
      </c>
      <c r="O95" s="62">
        <f t="shared" si="191"/>
        <v>1</v>
      </c>
      <c r="P95" s="62" t="str">
        <f t="shared" si="191"/>
        <v/>
      </c>
      <c r="Q95" s="62" t="str">
        <f t="shared" si="191"/>
        <v/>
      </c>
      <c r="R95" s="62">
        <f t="shared" si="7"/>
        <v>0</v>
      </c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</row>
    <row r="96" hidden="1">
      <c r="A96" s="60">
        <f>IFERROR(__xludf.DUMMYFUNCTION("""COMPUTED_VALUE"""),281.0)</f>
        <v>281</v>
      </c>
      <c r="B96" s="60" t="str">
        <f>IFERROR(__xludf.DUMMYFUNCTION("""COMPUTED_VALUE"""),"Ravens, Baltimore")</f>
        <v>Ravens, Baltimore</v>
      </c>
      <c r="C96" s="60" t="str">
        <f>IFERROR(__xludf.DUMMYFUNCTION("""COMPUTED_VALUE"""),"TMDL")</f>
        <v>TMDL</v>
      </c>
      <c r="D96" s="60" t="str">
        <f>IFERROR(__xludf.DUMMYFUNCTION("""COMPUTED_VALUE"""),"BAL")</f>
        <v>BAL</v>
      </c>
      <c r="E96" s="62" t="str">
        <f t="shared" si="4"/>
        <v>Baltimore Ravens</v>
      </c>
      <c r="F96" s="62">
        <f t="shared" ref="F96:G96" si="192">IF(isblank(F$1),,IF(isblank($A96),,IFERROR(vlookup($A96,indirect("'TVC-"&amp;text(month(F$1),"00")&amp;"'!$A:$D"),4,false),1)))</f>
        <v>1</v>
      </c>
      <c r="G96" s="62">
        <f t="shared" si="192"/>
        <v>1</v>
      </c>
      <c r="H96" s="62">
        <f t="shared" ref="H96:Q96" si="193">IF(isblank(H$1),,IFERROR(vlookup($A96,indirect("'TVC-"&amp;text(month(H$1),"00")&amp;"'!$A:$D"),4,false),1))</f>
        <v>1</v>
      </c>
      <c r="I96" s="62">
        <f t="shared" si="193"/>
        <v>1</v>
      </c>
      <c r="J96" s="62">
        <f t="shared" si="193"/>
        <v>1</v>
      </c>
      <c r="K96" s="62">
        <f t="shared" si="193"/>
        <v>1</v>
      </c>
      <c r="L96" s="62">
        <f t="shared" si="193"/>
        <v>1</v>
      </c>
      <c r="M96" s="62">
        <f t="shared" si="193"/>
        <v>1</v>
      </c>
      <c r="N96" s="62">
        <f t="shared" si="193"/>
        <v>1</v>
      </c>
      <c r="O96" s="62">
        <f t="shared" si="193"/>
        <v>1</v>
      </c>
      <c r="P96" s="62" t="str">
        <f t="shared" si="193"/>
        <v/>
      </c>
      <c r="Q96" s="62" t="str">
        <f t="shared" si="193"/>
        <v/>
      </c>
      <c r="R96" s="62">
        <f t="shared" si="7"/>
        <v>0</v>
      </c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</row>
    <row r="97" hidden="1">
      <c r="A97" s="60">
        <f>IFERROR(__xludf.DUMMYFUNCTION("""COMPUTED_VALUE"""),282.0)</f>
        <v>282</v>
      </c>
      <c r="B97" s="60" t="str">
        <f>IFERROR(__xludf.DUMMYFUNCTION("""COMPUTED_VALUE"""),"Texans, Houston")</f>
        <v>Texans, Houston</v>
      </c>
      <c r="C97" s="60" t="str">
        <f>IFERROR(__xludf.DUMMYFUNCTION("""COMPUTED_VALUE"""),"TMDL")</f>
        <v>TMDL</v>
      </c>
      <c r="D97" s="60" t="str">
        <f>IFERROR(__xludf.DUMMYFUNCTION("""COMPUTED_VALUE"""),"HOU")</f>
        <v>HOU</v>
      </c>
      <c r="E97" s="62" t="str">
        <f t="shared" si="4"/>
        <v>Houston Texans</v>
      </c>
      <c r="F97" s="62">
        <f t="shared" ref="F97:G97" si="194">IF(isblank(F$1),,IF(isblank($A97),,IFERROR(vlookup($A97,indirect("'TVC-"&amp;text(month(F$1),"00")&amp;"'!$A:$D"),4,false),1)))</f>
        <v>1</v>
      </c>
      <c r="G97" s="62">
        <f t="shared" si="194"/>
        <v>1</v>
      </c>
      <c r="H97" s="62">
        <f t="shared" ref="H97:Q97" si="195">IF(isblank(H$1),,IFERROR(vlookup($A97,indirect("'TVC-"&amp;text(month(H$1),"00")&amp;"'!$A:$D"),4,false),1))</f>
        <v>1</v>
      </c>
      <c r="I97" s="62">
        <f t="shared" si="195"/>
        <v>1</v>
      </c>
      <c r="J97" s="62">
        <f t="shared" si="195"/>
        <v>1</v>
      </c>
      <c r="K97" s="62">
        <f t="shared" si="195"/>
        <v>1</v>
      </c>
      <c r="L97" s="62">
        <f t="shared" si="195"/>
        <v>1</v>
      </c>
      <c r="M97" s="62">
        <f t="shared" si="195"/>
        <v>1</v>
      </c>
      <c r="N97" s="62">
        <f t="shared" si="195"/>
        <v>1</v>
      </c>
      <c r="O97" s="62">
        <f t="shared" si="195"/>
        <v>1</v>
      </c>
      <c r="P97" s="62" t="str">
        <f t="shared" si="195"/>
        <v/>
      </c>
      <c r="Q97" s="62" t="str">
        <f t="shared" si="195"/>
        <v/>
      </c>
      <c r="R97" s="62">
        <f t="shared" si="7"/>
        <v>0</v>
      </c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hidden="1">
      <c r="A98" s="60">
        <f>IFERROR(__xludf.DUMMYFUNCTION("""COMPUTED_VALUE"""),301.0)</f>
        <v>301</v>
      </c>
      <c r="B98" s="60" t="str">
        <f>IFERROR(__xludf.DUMMYFUNCTION("""COMPUTED_VALUE"""),"Bills, Buffalo")</f>
        <v>Bills, Buffalo</v>
      </c>
      <c r="C98" s="60" t="str">
        <f>IFERROR(__xludf.DUMMYFUNCTION("""COMPUTED_VALUE"""),"TMLB")</f>
        <v>TMLB</v>
      </c>
      <c r="D98" s="60" t="str">
        <f>IFERROR(__xludf.DUMMYFUNCTION("""COMPUTED_VALUE"""),"BUF")</f>
        <v>BUF</v>
      </c>
      <c r="E98" s="62" t="str">
        <f t="shared" si="4"/>
        <v>Buffalo Bills</v>
      </c>
      <c r="F98" s="62">
        <f t="shared" ref="F98:G98" si="196">IF(isblank(F$1),,IF(isblank($A98),,IFERROR(vlookup($A98,indirect("'TVC-"&amp;text(month(F$1),"00")&amp;"'!$A:$D"),4,false),1)))</f>
        <v>1</v>
      </c>
      <c r="G98" s="62">
        <f t="shared" si="196"/>
        <v>1</v>
      </c>
      <c r="H98" s="62">
        <f t="shared" ref="H98:Q98" si="197">IF(isblank(H$1),,IFERROR(vlookup($A98,indirect("'TVC-"&amp;text(month(H$1),"00")&amp;"'!$A:$D"),4,false),1))</f>
        <v>1</v>
      </c>
      <c r="I98" s="62">
        <f t="shared" si="197"/>
        <v>1</v>
      </c>
      <c r="J98" s="62">
        <f t="shared" si="197"/>
        <v>1</v>
      </c>
      <c r="K98" s="62">
        <f t="shared" si="197"/>
        <v>1</v>
      </c>
      <c r="L98" s="62">
        <f t="shared" si="197"/>
        <v>1</v>
      </c>
      <c r="M98" s="62">
        <f t="shared" si="197"/>
        <v>1</v>
      </c>
      <c r="N98" s="62">
        <f t="shared" si="197"/>
        <v>1</v>
      </c>
      <c r="O98" s="62">
        <f t="shared" si="197"/>
        <v>1</v>
      </c>
      <c r="P98" s="62" t="str">
        <f t="shared" si="197"/>
        <v/>
      </c>
      <c r="Q98" s="62" t="str">
        <f t="shared" si="197"/>
        <v/>
      </c>
      <c r="R98" s="62">
        <f t="shared" si="7"/>
        <v>0</v>
      </c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</row>
    <row r="99" hidden="1">
      <c r="A99" s="60">
        <f>IFERROR(__xludf.DUMMYFUNCTION("""COMPUTED_VALUE"""),302.0)</f>
        <v>302</v>
      </c>
      <c r="B99" s="60" t="str">
        <f>IFERROR(__xludf.DUMMYFUNCTION("""COMPUTED_VALUE"""),"Colts, Indianapolis")</f>
        <v>Colts, Indianapolis</v>
      </c>
      <c r="C99" s="60" t="str">
        <f>IFERROR(__xludf.DUMMYFUNCTION("""COMPUTED_VALUE"""),"TMLB")</f>
        <v>TMLB</v>
      </c>
      <c r="D99" s="60" t="str">
        <f>IFERROR(__xludf.DUMMYFUNCTION("""COMPUTED_VALUE"""),"IND")</f>
        <v>IND</v>
      </c>
      <c r="E99" s="62" t="str">
        <f t="shared" si="4"/>
        <v>Indianapolis Colts</v>
      </c>
      <c r="F99" s="62">
        <f t="shared" ref="F99:G99" si="198">IF(isblank(F$1),,IF(isblank($A99),,IFERROR(vlookup($A99,indirect("'TVC-"&amp;text(month(F$1),"00")&amp;"'!$A:$D"),4,false),1)))</f>
        <v>1</v>
      </c>
      <c r="G99" s="62">
        <f t="shared" si="198"/>
        <v>1</v>
      </c>
      <c r="H99" s="62">
        <f t="shared" ref="H99:Q99" si="199">IF(isblank(H$1),,IFERROR(vlookup($A99,indirect("'TVC-"&amp;text(month(H$1),"00")&amp;"'!$A:$D"),4,false),1))</f>
        <v>1</v>
      </c>
      <c r="I99" s="62">
        <f t="shared" si="199"/>
        <v>1</v>
      </c>
      <c r="J99" s="62">
        <f t="shared" si="199"/>
        <v>1</v>
      </c>
      <c r="K99" s="62">
        <f t="shared" si="199"/>
        <v>1</v>
      </c>
      <c r="L99" s="62">
        <f t="shared" si="199"/>
        <v>1</v>
      </c>
      <c r="M99" s="62">
        <f t="shared" si="199"/>
        <v>1</v>
      </c>
      <c r="N99" s="62">
        <f t="shared" si="199"/>
        <v>1</v>
      </c>
      <c r="O99" s="62">
        <f t="shared" si="199"/>
        <v>1</v>
      </c>
      <c r="P99" s="62" t="str">
        <f t="shared" si="199"/>
        <v/>
      </c>
      <c r="Q99" s="62" t="str">
        <f t="shared" si="199"/>
        <v/>
      </c>
      <c r="R99" s="62">
        <f t="shared" si="7"/>
        <v>0</v>
      </c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</row>
    <row r="100" hidden="1">
      <c r="A100" s="60">
        <f>IFERROR(__xludf.DUMMYFUNCTION("""COMPUTED_VALUE"""),303.0)</f>
        <v>303</v>
      </c>
      <c r="B100" s="60" t="str">
        <f>IFERROR(__xludf.DUMMYFUNCTION("""COMPUTED_VALUE"""),"Dolphins, Miami")</f>
        <v>Dolphins, Miami</v>
      </c>
      <c r="C100" s="60" t="str">
        <f>IFERROR(__xludf.DUMMYFUNCTION("""COMPUTED_VALUE"""),"TMLB")</f>
        <v>TMLB</v>
      </c>
      <c r="D100" s="60" t="str">
        <f>IFERROR(__xludf.DUMMYFUNCTION("""COMPUTED_VALUE"""),"MIA")</f>
        <v>MIA</v>
      </c>
      <c r="E100" s="62" t="str">
        <f t="shared" si="4"/>
        <v>Miami Dolphins</v>
      </c>
      <c r="F100" s="62">
        <f t="shared" ref="F100:G100" si="200">IF(isblank(F$1),,IF(isblank($A100),,IFERROR(vlookup($A100,indirect("'TVC-"&amp;text(month(F$1),"00")&amp;"'!$A:$D"),4,false),1)))</f>
        <v>1</v>
      </c>
      <c r="G100" s="62">
        <f t="shared" si="200"/>
        <v>1</v>
      </c>
      <c r="H100" s="62">
        <f t="shared" ref="H100:Q100" si="201">IF(isblank(H$1),,IFERROR(vlookup($A100,indirect("'TVC-"&amp;text(month(H$1),"00")&amp;"'!$A:$D"),4,false),1))</f>
        <v>1</v>
      </c>
      <c r="I100" s="62">
        <f t="shared" si="201"/>
        <v>1</v>
      </c>
      <c r="J100" s="62">
        <f t="shared" si="201"/>
        <v>1</v>
      </c>
      <c r="K100" s="62">
        <f t="shared" si="201"/>
        <v>1</v>
      </c>
      <c r="L100" s="62">
        <f t="shared" si="201"/>
        <v>1</v>
      </c>
      <c r="M100" s="62">
        <f t="shared" si="201"/>
        <v>1</v>
      </c>
      <c r="N100" s="62">
        <f t="shared" si="201"/>
        <v>1</v>
      </c>
      <c r="O100" s="62">
        <f t="shared" si="201"/>
        <v>1</v>
      </c>
      <c r="P100" s="62" t="str">
        <f t="shared" si="201"/>
        <v/>
      </c>
      <c r="Q100" s="62" t="str">
        <f t="shared" si="201"/>
        <v/>
      </c>
      <c r="R100" s="62">
        <f t="shared" si="7"/>
        <v>0</v>
      </c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</row>
    <row r="101" hidden="1">
      <c r="A101" s="60">
        <f>IFERROR(__xludf.DUMMYFUNCTION("""COMPUTED_VALUE"""),304.0)</f>
        <v>304</v>
      </c>
      <c r="B101" s="60" t="str">
        <f>IFERROR(__xludf.DUMMYFUNCTION("""COMPUTED_VALUE"""),"Patriots, New England")</f>
        <v>Patriots, New England</v>
      </c>
      <c r="C101" s="60" t="str">
        <f>IFERROR(__xludf.DUMMYFUNCTION("""COMPUTED_VALUE"""),"TMLB")</f>
        <v>TMLB</v>
      </c>
      <c r="D101" s="60" t="str">
        <f>IFERROR(__xludf.DUMMYFUNCTION("""COMPUTED_VALUE"""),"NEP")</f>
        <v>NEP</v>
      </c>
      <c r="E101" s="62" t="str">
        <f t="shared" si="4"/>
        <v>New England Patriots</v>
      </c>
      <c r="F101" s="62">
        <f t="shared" ref="F101:G101" si="202">IF(isblank(F$1),,IF(isblank($A101),,IFERROR(vlookup($A101,indirect("'TVC-"&amp;text(month(F$1),"00")&amp;"'!$A:$D"),4,false),1)))</f>
        <v>1</v>
      </c>
      <c r="G101" s="62">
        <f t="shared" si="202"/>
        <v>1</v>
      </c>
      <c r="H101" s="62">
        <f t="shared" ref="H101:Q101" si="203">IF(isblank(H$1),,IFERROR(vlookup($A101,indirect("'TVC-"&amp;text(month(H$1),"00")&amp;"'!$A:$D"),4,false),1))</f>
        <v>1</v>
      </c>
      <c r="I101" s="62">
        <f t="shared" si="203"/>
        <v>1</v>
      </c>
      <c r="J101" s="62">
        <f t="shared" si="203"/>
        <v>1</v>
      </c>
      <c r="K101" s="62">
        <f t="shared" si="203"/>
        <v>1</v>
      </c>
      <c r="L101" s="62">
        <f t="shared" si="203"/>
        <v>1</v>
      </c>
      <c r="M101" s="62">
        <f t="shared" si="203"/>
        <v>1</v>
      </c>
      <c r="N101" s="62">
        <f t="shared" si="203"/>
        <v>1</v>
      </c>
      <c r="O101" s="62">
        <f t="shared" si="203"/>
        <v>1</v>
      </c>
      <c r="P101" s="62" t="str">
        <f t="shared" si="203"/>
        <v/>
      </c>
      <c r="Q101" s="62" t="str">
        <f t="shared" si="203"/>
        <v/>
      </c>
      <c r="R101" s="62">
        <f t="shared" si="7"/>
        <v>0</v>
      </c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</row>
    <row r="102" hidden="1">
      <c r="A102" s="60">
        <f>IFERROR(__xludf.DUMMYFUNCTION("""COMPUTED_VALUE"""),305.0)</f>
        <v>305</v>
      </c>
      <c r="B102" s="60" t="str">
        <f>IFERROR(__xludf.DUMMYFUNCTION("""COMPUTED_VALUE"""),"Jets, New York")</f>
        <v>Jets, New York</v>
      </c>
      <c r="C102" s="60" t="str">
        <f>IFERROR(__xludf.DUMMYFUNCTION("""COMPUTED_VALUE"""),"TMLB")</f>
        <v>TMLB</v>
      </c>
      <c r="D102" s="60" t="str">
        <f>IFERROR(__xludf.DUMMYFUNCTION("""COMPUTED_VALUE"""),"NYJ")</f>
        <v>NYJ</v>
      </c>
      <c r="E102" s="62" t="str">
        <f t="shared" si="4"/>
        <v>New York Jets</v>
      </c>
      <c r="F102" s="62">
        <f t="shared" ref="F102:G102" si="204">IF(isblank(F$1),,IF(isblank($A102),,IFERROR(vlookup($A102,indirect("'TVC-"&amp;text(month(F$1),"00")&amp;"'!$A:$D"),4,false),1)))</f>
        <v>1</v>
      </c>
      <c r="G102" s="62">
        <f t="shared" si="204"/>
        <v>1</v>
      </c>
      <c r="H102" s="62">
        <f t="shared" ref="H102:Q102" si="205">IF(isblank(H$1),,IFERROR(vlookup($A102,indirect("'TVC-"&amp;text(month(H$1),"00")&amp;"'!$A:$D"),4,false),1))</f>
        <v>1</v>
      </c>
      <c r="I102" s="62">
        <f t="shared" si="205"/>
        <v>1</v>
      </c>
      <c r="J102" s="62">
        <f t="shared" si="205"/>
        <v>1</v>
      </c>
      <c r="K102" s="62">
        <f t="shared" si="205"/>
        <v>1</v>
      </c>
      <c r="L102" s="62">
        <f t="shared" si="205"/>
        <v>1</v>
      </c>
      <c r="M102" s="62">
        <f t="shared" si="205"/>
        <v>1</v>
      </c>
      <c r="N102" s="62">
        <f t="shared" si="205"/>
        <v>1</v>
      </c>
      <c r="O102" s="62">
        <f t="shared" si="205"/>
        <v>1</v>
      </c>
      <c r="P102" s="62" t="str">
        <f t="shared" si="205"/>
        <v/>
      </c>
      <c r="Q102" s="62" t="str">
        <f t="shared" si="205"/>
        <v/>
      </c>
      <c r="R102" s="62">
        <f t="shared" si="7"/>
        <v>0</v>
      </c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</row>
    <row r="103" hidden="1">
      <c r="A103" s="60">
        <f>IFERROR(__xludf.DUMMYFUNCTION("""COMPUTED_VALUE"""),306.0)</f>
        <v>306</v>
      </c>
      <c r="B103" s="60" t="str">
        <f>IFERROR(__xludf.DUMMYFUNCTION("""COMPUTED_VALUE"""),"Bengals, Cincinnati")</f>
        <v>Bengals, Cincinnati</v>
      </c>
      <c r="C103" s="60" t="str">
        <f>IFERROR(__xludf.DUMMYFUNCTION("""COMPUTED_VALUE"""),"TMLB")</f>
        <v>TMLB</v>
      </c>
      <c r="D103" s="60" t="str">
        <f>IFERROR(__xludf.DUMMYFUNCTION("""COMPUTED_VALUE"""),"CIN")</f>
        <v>CIN</v>
      </c>
      <c r="E103" s="62" t="str">
        <f t="shared" si="4"/>
        <v>Cincinnati Bengals</v>
      </c>
      <c r="F103" s="62">
        <f t="shared" ref="F103:G103" si="206">IF(isblank(F$1),,IF(isblank($A103),,IFERROR(vlookup($A103,indirect("'TVC-"&amp;text(month(F$1),"00")&amp;"'!$A:$D"),4,false),1)))</f>
        <v>1</v>
      </c>
      <c r="G103" s="62">
        <f t="shared" si="206"/>
        <v>1</v>
      </c>
      <c r="H103" s="62">
        <f t="shared" ref="H103:Q103" si="207">IF(isblank(H$1),,IFERROR(vlookup($A103,indirect("'TVC-"&amp;text(month(H$1),"00")&amp;"'!$A:$D"),4,false),1))</f>
        <v>1</v>
      </c>
      <c r="I103" s="62">
        <f t="shared" si="207"/>
        <v>1</v>
      </c>
      <c r="J103" s="62">
        <f t="shared" si="207"/>
        <v>1</v>
      </c>
      <c r="K103" s="62">
        <f t="shared" si="207"/>
        <v>1</v>
      </c>
      <c r="L103" s="62">
        <f t="shared" si="207"/>
        <v>1</v>
      </c>
      <c r="M103" s="62">
        <f t="shared" si="207"/>
        <v>1</v>
      </c>
      <c r="N103" s="62">
        <f t="shared" si="207"/>
        <v>1</v>
      </c>
      <c r="O103" s="62">
        <f t="shared" si="207"/>
        <v>1</v>
      </c>
      <c r="P103" s="62" t="str">
        <f t="shared" si="207"/>
        <v/>
      </c>
      <c r="Q103" s="62" t="str">
        <f t="shared" si="207"/>
        <v/>
      </c>
      <c r="R103" s="62">
        <f t="shared" si="7"/>
        <v>0</v>
      </c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</row>
    <row r="104" hidden="1">
      <c r="A104" s="60">
        <f>IFERROR(__xludf.DUMMYFUNCTION("""COMPUTED_VALUE"""),307.0)</f>
        <v>307</v>
      </c>
      <c r="B104" s="60" t="str">
        <f>IFERROR(__xludf.DUMMYFUNCTION("""COMPUTED_VALUE"""),"Browns, Cleveland")</f>
        <v>Browns, Cleveland</v>
      </c>
      <c r="C104" s="60" t="str">
        <f>IFERROR(__xludf.DUMMYFUNCTION("""COMPUTED_VALUE"""),"TMLB")</f>
        <v>TMLB</v>
      </c>
      <c r="D104" s="60" t="str">
        <f>IFERROR(__xludf.DUMMYFUNCTION("""COMPUTED_VALUE"""),"CLE")</f>
        <v>CLE</v>
      </c>
      <c r="E104" s="62" t="str">
        <f t="shared" si="4"/>
        <v>Cleveland Browns</v>
      </c>
      <c r="F104" s="62">
        <f t="shared" ref="F104:G104" si="208">IF(isblank(F$1),,IF(isblank($A104),,IFERROR(vlookup($A104,indirect("'TVC-"&amp;text(month(F$1),"00")&amp;"'!$A:$D"),4,false),1)))</f>
        <v>1</v>
      </c>
      <c r="G104" s="62">
        <f t="shared" si="208"/>
        <v>1</v>
      </c>
      <c r="H104" s="62">
        <f t="shared" ref="H104:Q104" si="209">IF(isblank(H$1),,IFERROR(vlookup($A104,indirect("'TVC-"&amp;text(month(H$1),"00")&amp;"'!$A:$D"),4,false),1))</f>
        <v>1</v>
      </c>
      <c r="I104" s="62">
        <f t="shared" si="209"/>
        <v>1</v>
      </c>
      <c r="J104" s="62">
        <f t="shared" si="209"/>
        <v>1</v>
      </c>
      <c r="K104" s="62">
        <f t="shared" si="209"/>
        <v>1</v>
      </c>
      <c r="L104" s="62">
        <f t="shared" si="209"/>
        <v>1</v>
      </c>
      <c r="M104" s="62">
        <f t="shared" si="209"/>
        <v>1</v>
      </c>
      <c r="N104" s="62">
        <f t="shared" si="209"/>
        <v>1</v>
      </c>
      <c r="O104" s="62">
        <f t="shared" si="209"/>
        <v>1</v>
      </c>
      <c r="P104" s="62" t="str">
        <f t="shared" si="209"/>
        <v/>
      </c>
      <c r="Q104" s="62" t="str">
        <f t="shared" si="209"/>
        <v/>
      </c>
      <c r="R104" s="62">
        <f t="shared" si="7"/>
        <v>0</v>
      </c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</row>
    <row r="105" hidden="1">
      <c r="A105" s="60">
        <f>IFERROR(__xludf.DUMMYFUNCTION("""COMPUTED_VALUE"""),308.0)</f>
        <v>308</v>
      </c>
      <c r="B105" s="60" t="str">
        <f>IFERROR(__xludf.DUMMYFUNCTION("""COMPUTED_VALUE"""),"Titans, Tennessee")</f>
        <v>Titans, Tennessee</v>
      </c>
      <c r="C105" s="60" t="str">
        <f>IFERROR(__xludf.DUMMYFUNCTION("""COMPUTED_VALUE"""),"TMLB")</f>
        <v>TMLB</v>
      </c>
      <c r="D105" s="60" t="str">
        <f>IFERROR(__xludf.DUMMYFUNCTION("""COMPUTED_VALUE"""),"TEN")</f>
        <v>TEN</v>
      </c>
      <c r="E105" s="62" t="str">
        <f t="shared" si="4"/>
        <v>Tennessee Titans</v>
      </c>
      <c r="F105" s="62">
        <f t="shared" ref="F105:G105" si="210">IF(isblank(F$1),,IF(isblank($A105),,IFERROR(vlookup($A105,indirect("'TVC-"&amp;text(month(F$1),"00")&amp;"'!$A:$D"),4,false),1)))</f>
        <v>1</v>
      </c>
      <c r="G105" s="62">
        <f t="shared" si="210"/>
        <v>1</v>
      </c>
      <c r="H105" s="62">
        <f t="shared" ref="H105:Q105" si="211">IF(isblank(H$1),,IFERROR(vlookup($A105,indirect("'TVC-"&amp;text(month(H$1),"00")&amp;"'!$A:$D"),4,false),1))</f>
        <v>1</v>
      </c>
      <c r="I105" s="62">
        <f t="shared" si="211"/>
        <v>1</v>
      </c>
      <c r="J105" s="62">
        <f t="shared" si="211"/>
        <v>1</v>
      </c>
      <c r="K105" s="62">
        <f t="shared" si="211"/>
        <v>1</v>
      </c>
      <c r="L105" s="62">
        <f t="shared" si="211"/>
        <v>1</v>
      </c>
      <c r="M105" s="62">
        <f t="shared" si="211"/>
        <v>1</v>
      </c>
      <c r="N105" s="62">
        <f t="shared" si="211"/>
        <v>1</v>
      </c>
      <c r="O105" s="62">
        <f t="shared" si="211"/>
        <v>1</v>
      </c>
      <c r="P105" s="62" t="str">
        <f t="shared" si="211"/>
        <v/>
      </c>
      <c r="Q105" s="62" t="str">
        <f t="shared" si="211"/>
        <v/>
      </c>
      <c r="R105" s="62">
        <f t="shared" si="7"/>
        <v>0</v>
      </c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</row>
    <row r="106" hidden="1">
      <c r="A106" s="60">
        <f>IFERROR(__xludf.DUMMYFUNCTION("""COMPUTED_VALUE"""),309.0)</f>
        <v>309</v>
      </c>
      <c r="B106" s="60" t="str">
        <f>IFERROR(__xludf.DUMMYFUNCTION("""COMPUTED_VALUE"""),"Jaguars, Jacksonville")</f>
        <v>Jaguars, Jacksonville</v>
      </c>
      <c r="C106" s="60" t="str">
        <f>IFERROR(__xludf.DUMMYFUNCTION("""COMPUTED_VALUE"""),"TMLB")</f>
        <v>TMLB</v>
      </c>
      <c r="D106" s="60" t="str">
        <f>IFERROR(__xludf.DUMMYFUNCTION("""COMPUTED_VALUE"""),"JAC")</f>
        <v>JAC</v>
      </c>
      <c r="E106" s="62" t="str">
        <f t="shared" si="4"/>
        <v>Jacksonville Jaguars</v>
      </c>
      <c r="F106" s="62">
        <f t="shared" ref="F106:G106" si="212">IF(isblank(F$1),,IF(isblank($A106),,IFERROR(vlookup($A106,indirect("'TVC-"&amp;text(month(F$1),"00")&amp;"'!$A:$D"),4,false),1)))</f>
        <v>1</v>
      </c>
      <c r="G106" s="62">
        <f t="shared" si="212"/>
        <v>1</v>
      </c>
      <c r="H106" s="62">
        <f t="shared" ref="H106:Q106" si="213">IF(isblank(H$1),,IFERROR(vlookup($A106,indirect("'TVC-"&amp;text(month(H$1),"00")&amp;"'!$A:$D"),4,false),1))</f>
        <v>1</v>
      </c>
      <c r="I106" s="62">
        <f t="shared" si="213"/>
        <v>1</v>
      </c>
      <c r="J106" s="62">
        <f t="shared" si="213"/>
        <v>1</v>
      </c>
      <c r="K106" s="62">
        <f t="shared" si="213"/>
        <v>1</v>
      </c>
      <c r="L106" s="62">
        <f t="shared" si="213"/>
        <v>1</v>
      </c>
      <c r="M106" s="62">
        <f t="shared" si="213"/>
        <v>1</v>
      </c>
      <c r="N106" s="62">
        <f t="shared" si="213"/>
        <v>1</v>
      </c>
      <c r="O106" s="62">
        <f t="shared" si="213"/>
        <v>1</v>
      </c>
      <c r="P106" s="62" t="str">
        <f t="shared" si="213"/>
        <v/>
      </c>
      <c r="Q106" s="62" t="str">
        <f t="shared" si="213"/>
        <v/>
      </c>
      <c r="R106" s="62">
        <f t="shared" si="7"/>
        <v>0</v>
      </c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</row>
    <row r="107" hidden="1">
      <c r="A107" s="60">
        <f>IFERROR(__xludf.DUMMYFUNCTION("""COMPUTED_VALUE"""),310.0)</f>
        <v>310</v>
      </c>
      <c r="B107" s="60" t="str">
        <f>IFERROR(__xludf.DUMMYFUNCTION("""COMPUTED_VALUE"""),"Steelers, Pittsburgh")</f>
        <v>Steelers, Pittsburgh</v>
      </c>
      <c r="C107" s="60" t="str">
        <f>IFERROR(__xludf.DUMMYFUNCTION("""COMPUTED_VALUE"""),"TMLB")</f>
        <v>TMLB</v>
      </c>
      <c r="D107" s="60" t="str">
        <f>IFERROR(__xludf.DUMMYFUNCTION("""COMPUTED_VALUE"""),"PIT")</f>
        <v>PIT</v>
      </c>
      <c r="E107" s="62" t="str">
        <f t="shared" si="4"/>
        <v>Pittsburgh Steelers</v>
      </c>
      <c r="F107" s="62">
        <f t="shared" ref="F107:G107" si="214">IF(isblank(F$1),,IF(isblank($A107),,IFERROR(vlookup($A107,indirect("'TVC-"&amp;text(month(F$1),"00")&amp;"'!$A:$D"),4,false),1)))</f>
        <v>1</v>
      </c>
      <c r="G107" s="62">
        <f t="shared" si="214"/>
        <v>1</v>
      </c>
      <c r="H107" s="62">
        <f t="shared" ref="H107:Q107" si="215">IF(isblank(H$1),,IFERROR(vlookup($A107,indirect("'TVC-"&amp;text(month(H$1),"00")&amp;"'!$A:$D"),4,false),1))</f>
        <v>1</v>
      </c>
      <c r="I107" s="62">
        <f t="shared" si="215"/>
        <v>1</v>
      </c>
      <c r="J107" s="62">
        <f t="shared" si="215"/>
        <v>1</v>
      </c>
      <c r="K107" s="62">
        <f t="shared" si="215"/>
        <v>1</v>
      </c>
      <c r="L107" s="62">
        <f t="shared" si="215"/>
        <v>1</v>
      </c>
      <c r="M107" s="62">
        <f t="shared" si="215"/>
        <v>1</v>
      </c>
      <c r="N107" s="62">
        <f t="shared" si="215"/>
        <v>1</v>
      </c>
      <c r="O107" s="62">
        <f t="shared" si="215"/>
        <v>1</v>
      </c>
      <c r="P107" s="62" t="str">
        <f t="shared" si="215"/>
        <v/>
      </c>
      <c r="Q107" s="62" t="str">
        <f t="shared" si="215"/>
        <v/>
      </c>
      <c r="R107" s="62">
        <f t="shared" si="7"/>
        <v>0</v>
      </c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</row>
    <row r="108" hidden="1">
      <c r="A108" s="60">
        <f>IFERROR(__xludf.DUMMYFUNCTION("""COMPUTED_VALUE"""),311.0)</f>
        <v>311</v>
      </c>
      <c r="B108" s="60" t="str">
        <f>IFERROR(__xludf.DUMMYFUNCTION("""COMPUTED_VALUE"""),"Broncos, Denver")</f>
        <v>Broncos, Denver</v>
      </c>
      <c r="C108" s="60" t="str">
        <f>IFERROR(__xludf.DUMMYFUNCTION("""COMPUTED_VALUE"""),"TMLB")</f>
        <v>TMLB</v>
      </c>
      <c r="D108" s="60" t="str">
        <f>IFERROR(__xludf.DUMMYFUNCTION("""COMPUTED_VALUE"""),"DEN")</f>
        <v>DEN</v>
      </c>
      <c r="E108" s="62" t="str">
        <f t="shared" si="4"/>
        <v>Denver Broncos</v>
      </c>
      <c r="F108" s="62">
        <f t="shared" ref="F108:G108" si="216">IF(isblank(F$1),,IF(isblank($A108),,IFERROR(vlookup($A108,indirect("'TVC-"&amp;text(month(F$1),"00")&amp;"'!$A:$D"),4,false),1)))</f>
        <v>1</v>
      </c>
      <c r="G108" s="62">
        <f t="shared" si="216"/>
        <v>1</v>
      </c>
      <c r="H108" s="62">
        <f t="shared" ref="H108:Q108" si="217">IF(isblank(H$1),,IFERROR(vlookup($A108,indirect("'TVC-"&amp;text(month(H$1),"00")&amp;"'!$A:$D"),4,false),1))</f>
        <v>1</v>
      </c>
      <c r="I108" s="62">
        <f t="shared" si="217"/>
        <v>1</v>
      </c>
      <c r="J108" s="62">
        <f t="shared" si="217"/>
        <v>1</v>
      </c>
      <c r="K108" s="62">
        <f t="shared" si="217"/>
        <v>1</v>
      </c>
      <c r="L108" s="62">
        <f t="shared" si="217"/>
        <v>1</v>
      </c>
      <c r="M108" s="62">
        <f t="shared" si="217"/>
        <v>1</v>
      </c>
      <c r="N108" s="62">
        <f t="shared" si="217"/>
        <v>1</v>
      </c>
      <c r="O108" s="62">
        <f t="shared" si="217"/>
        <v>1</v>
      </c>
      <c r="P108" s="62" t="str">
        <f t="shared" si="217"/>
        <v/>
      </c>
      <c r="Q108" s="62" t="str">
        <f t="shared" si="217"/>
        <v/>
      </c>
      <c r="R108" s="62">
        <f t="shared" si="7"/>
        <v>0</v>
      </c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</row>
    <row r="109" hidden="1">
      <c r="A109" s="60">
        <f>IFERROR(__xludf.DUMMYFUNCTION("""COMPUTED_VALUE"""),312.0)</f>
        <v>312</v>
      </c>
      <c r="B109" s="60" t="str">
        <f>IFERROR(__xludf.DUMMYFUNCTION("""COMPUTED_VALUE"""),"Chiefs, Kansas City")</f>
        <v>Chiefs, Kansas City</v>
      </c>
      <c r="C109" s="60" t="str">
        <f>IFERROR(__xludf.DUMMYFUNCTION("""COMPUTED_VALUE"""),"TMLB")</f>
        <v>TMLB</v>
      </c>
      <c r="D109" s="60" t="str">
        <f>IFERROR(__xludf.DUMMYFUNCTION("""COMPUTED_VALUE"""),"KCC")</f>
        <v>KCC</v>
      </c>
      <c r="E109" s="62" t="str">
        <f t="shared" si="4"/>
        <v>Kansas City Chiefs</v>
      </c>
      <c r="F109" s="62">
        <f t="shared" ref="F109:G109" si="218">IF(isblank(F$1),,IF(isblank($A109),,IFERROR(vlookup($A109,indirect("'TVC-"&amp;text(month(F$1),"00")&amp;"'!$A:$D"),4,false),1)))</f>
        <v>1</v>
      </c>
      <c r="G109" s="62">
        <f t="shared" si="218"/>
        <v>1</v>
      </c>
      <c r="H109" s="62">
        <f t="shared" ref="H109:Q109" si="219">IF(isblank(H$1),,IFERROR(vlookup($A109,indirect("'TVC-"&amp;text(month(H$1),"00")&amp;"'!$A:$D"),4,false),1))</f>
        <v>1</v>
      </c>
      <c r="I109" s="62">
        <f t="shared" si="219"/>
        <v>1</v>
      </c>
      <c r="J109" s="62">
        <f t="shared" si="219"/>
        <v>1</v>
      </c>
      <c r="K109" s="62">
        <f t="shared" si="219"/>
        <v>1</v>
      </c>
      <c r="L109" s="62">
        <f t="shared" si="219"/>
        <v>1</v>
      </c>
      <c r="M109" s="62">
        <f t="shared" si="219"/>
        <v>1</v>
      </c>
      <c r="N109" s="62">
        <f t="shared" si="219"/>
        <v>1</v>
      </c>
      <c r="O109" s="62">
        <f t="shared" si="219"/>
        <v>1</v>
      </c>
      <c r="P109" s="62" t="str">
        <f t="shared" si="219"/>
        <v/>
      </c>
      <c r="Q109" s="62" t="str">
        <f t="shared" si="219"/>
        <v/>
      </c>
      <c r="R109" s="62">
        <f t="shared" si="7"/>
        <v>0</v>
      </c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</row>
    <row r="110" hidden="1">
      <c r="A110" s="60">
        <f>IFERROR(__xludf.DUMMYFUNCTION("""COMPUTED_VALUE"""),313.0)</f>
        <v>313</v>
      </c>
      <c r="B110" s="60" t="str">
        <f>IFERROR(__xludf.DUMMYFUNCTION("""COMPUTED_VALUE"""),"Raiders, Las Vegas")</f>
        <v>Raiders, Las Vegas</v>
      </c>
      <c r="C110" s="60" t="str">
        <f>IFERROR(__xludf.DUMMYFUNCTION("""COMPUTED_VALUE"""),"TMLB")</f>
        <v>TMLB</v>
      </c>
      <c r="D110" s="60" t="str">
        <f>IFERROR(__xludf.DUMMYFUNCTION("""COMPUTED_VALUE"""),"LVR")</f>
        <v>LVR</v>
      </c>
      <c r="E110" s="62" t="str">
        <f t="shared" si="4"/>
        <v>Las Vegas Raiders</v>
      </c>
      <c r="F110" s="62">
        <f t="shared" ref="F110:G110" si="220">IF(isblank(F$1),,IF(isblank($A110),,IFERROR(vlookup($A110,indirect("'TVC-"&amp;text(month(F$1),"00")&amp;"'!$A:$D"),4,false),1)))</f>
        <v>1</v>
      </c>
      <c r="G110" s="62">
        <f t="shared" si="220"/>
        <v>1</v>
      </c>
      <c r="H110" s="62">
        <f t="shared" ref="H110:Q110" si="221">IF(isblank(H$1),,IFERROR(vlookup($A110,indirect("'TVC-"&amp;text(month(H$1),"00")&amp;"'!$A:$D"),4,false),1))</f>
        <v>1</v>
      </c>
      <c r="I110" s="62">
        <f t="shared" si="221"/>
        <v>1</v>
      </c>
      <c r="J110" s="62">
        <f t="shared" si="221"/>
        <v>1</v>
      </c>
      <c r="K110" s="62">
        <f t="shared" si="221"/>
        <v>1</v>
      </c>
      <c r="L110" s="62">
        <f t="shared" si="221"/>
        <v>1</v>
      </c>
      <c r="M110" s="62">
        <f t="shared" si="221"/>
        <v>1</v>
      </c>
      <c r="N110" s="62">
        <f t="shared" si="221"/>
        <v>1</v>
      </c>
      <c r="O110" s="62">
        <f t="shared" si="221"/>
        <v>1</v>
      </c>
      <c r="P110" s="62" t="str">
        <f t="shared" si="221"/>
        <v/>
      </c>
      <c r="Q110" s="62" t="str">
        <f t="shared" si="221"/>
        <v/>
      </c>
      <c r="R110" s="62">
        <f t="shared" si="7"/>
        <v>0</v>
      </c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</row>
    <row r="111" hidden="1">
      <c r="A111" s="60">
        <f>IFERROR(__xludf.DUMMYFUNCTION("""COMPUTED_VALUE"""),314.0)</f>
        <v>314</v>
      </c>
      <c r="B111" s="60" t="str">
        <f>IFERROR(__xludf.DUMMYFUNCTION("""COMPUTED_VALUE"""),"Chargers, Los Angeles")</f>
        <v>Chargers, Los Angeles</v>
      </c>
      <c r="C111" s="60" t="str">
        <f>IFERROR(__xludf.DUMMYFUNCTION("""COMPUTED_VALUE"""),"TMLB")</f>
        <v>TMLB</v>
      </c>
      <c r="D111" s="60" t="str">
        <f>IFERROR(__xludf.DUMMYFUNCTION("""COMPUTED_VALUE"""),"LAC")</f>
        <v>LAC</v>
      </c>
      <c r="E111" s="62" t="str">
        <f t="shared" si="4"/>
        <v>Los Angeles Chargers</v>
      </c>
      <c r="F111" s="62">
        <f t="shared" ref="F111:G111" si="222">IF(isblank(F$1),,IF(isblank($A111),,IFERROR(vlookup($A111,indirect("'TVC-"&amp;text(month(F$1),"00")&amp;"'!$A:$D"),4,false),1)))</f>
        <v>1</v>
      </c>
      <c r="G111" s="62">
        <f t="shared" si="222"/>
        <v>1</v>
      </c>
      <c r="H111" s="62">
        <f t="shared" ref="H111:Q111" si="223">IF(isblank(H$1),,IFERROR(vlookup($A111,indirect("'TVC-"&amp;text(month(H$1),"00")&amp;"'!$A:$D"),4,false),1))</f>
        <v>1</v>
      </c>
      <c r="I111" s="62">
        <f t="shared" si="223"/>
        <v>1</v>
      </c>
      <c r="J111" s="62">
        <f t="shared" si="223"/>
        <v>1</v>
      </c>
      <c r="K111" s="62">
        <f t="shared" si="223"/>
        <v>1</v>
      </c>
      <c r="L111" s="62">
        <f t="shared" si="223"/>
        <v>1</v>
      </c>
      <c r="M111" s="62">
        <f t="shared" si="223"/>
        <v>1</v>
      </c>
      <c r="N111" s="62">
        <f t="shared" si="223"/>
        <v>1</v>
      </c>
      <c r="O111" s="62">
        <f t="shared" si="223"/>
        <v>1</v>
      </c>
      <c r="P111" s="62" t="str">
        <f t="shared" si="223"/>
        <v/>
      </c>
      <c r="Q111" s="62" t="str">
        <f t="shared" si="223"/>
        <v/>
      </c>
      <c r="R111" s="62">
        <f t="shared" si="7"/>
        <v>0</v>
      </c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</row>
    <row r="112" hidden="1">
      <c r="A112" s="60">
        <f>IFERROR(__xludf.DUMMYFUNCTION("""COMPUTED_VALUE"""),315.0)</f>
        <v>315</v>
      </c>
      <c r="B112" s="60" t="str">
        <f>IFERROR(__xludf.DUMMYFUNCTION("""COMPUTED_VALUE"""),"Seahawks, Seattle")</f>
        <v>Seahawks, Seattle</v>
      </c>
      <c r="C112" s="60" t="str">
        <f>IFERROR(__xludf.DUMMYFUNCTION("""COMPUTED_VALUE"""),"TMLB")</f>
        <v>TMLB</v>
      </c>
      <c r="D112" s="60" t="str">
        <f>IFERROR(__xludf.DUMMYFUNCTION("""COMPUTED_VALUE"""),"SEA")</f>
        <v>SEA</v>
      </c>
      <c r="E112" s="62" t="str">
        <f t="shared" si="4"/>
        <v>Seattle Seahawks</v>
      </c>
      <c r="F112" s="62">
        <f t="shared" ref="F112:G112" si="224">IF(isblank(F$1),,IF(isblank($A112),,IFERROR(vlookup($A112,indirect("'TVC-"&amp;text(month(F$1),"00")&amp;"'!$A:$D"),4,false),1)))</f>
        <v>1</v>
      </c>
      <c r="G112" s="62">
        <f t="shared" si="224"/>
        <v>1</v>
      </c>
      <c r="H112" s="62">
        <f t="shared" ref="H112:Q112" si="225">IF(isblank(H$1),,IFERROR(vlookup($A112,indirect("'TVC-"&amp;text(month(H$1),"00")&amp;"'!$A:$D"),4,false),1))</f>
        <v>1</v>
      </c>
      <c r="I112" s="62">
        <f t="shared" si="225"/>
        <v>1</v>
      </c>
      <c r="J112" s="62">
        <f t="shared" si="225"/>
        <v>1</v>
      </c>
      <c r="K112" s="62">
        <f t="shared" si="225"/>
        <v>1</v>
      </c>
      <c r="L112" s="62">
        <f t="shared" si="225"/>
        <v>1</v>
      </c>
      <c r="M112" s="62">
        <f t="shared" si="225"/>
        <v>1</v>
      </c>
      <c r="N112" s="62">
        <f t="shared" si="225"/>
        <v>1</v>
      </c>
      <c r="O112" s="62">
        <f t="shared" si="225"/>
        <v>1</v>
      </c>
      <c r="P112" s="62" t="str">
        <f t="shared" si="225"/>
        <v/>
      </c>
      <c r="Q112" s="62" t="str">
        <f t="shared" si="225"/>
        <v/>
      </c>
      <c r="R112" s="62">
        <f t="shared" si="7"/>
        <v>0</v>
      </c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</row>
    <row r="113" hidden="1">
      <c r="A113" s="60">
        <f>IFERROR(__xludf.DUMMYFUNCTION("""COMPUTED_VALUE"""),316.0)</f>
        <v>316</v>
      </c>
      <c r="B113" s="60" t="str">
        <f>IFERROR(__xludf.DUMMYFUNCTION("""COMPUTED_VALUE"""),"Cowboys, Dallas")</f>
        <v>Cowboys, Dallas</v>
      </c>
      <c r="C113" s="60" t="str">
        <f>IFERROR(__xludf.DUMMYFUNCTION("""COMPUTED_VALUE"""),"TMLB")</f>
        <v>TMLB</v>
      </c>
      <c r="D113" s="60" t="str">
        <f>IFERROR(__xludf.DUMMYFUNCTION("""COMPUTED_VALUE"""),"DAL")</f>
        <v>DAL</v>
      </c>
      <c r="E113" s="62" t="str">
        <f t="shared" si="4"/>
        <v>Dallas Cowboys</v>
      </c>
      <c r="F113" s="62">
        <f t="shared" ref="F113:G113" si="226">IF(isblank(F$1),,IF(isblank($A113),,IFERROR(vlookup($A113,indirect("'TVC-"&amp;text(month(F$1),"00")&amp;"'!$A:$D"),4,false),1)))</f>
        <v>1</v>
      </c>
      <c r="G113" s="62">
        <f t="shared" si="226"/>
        <v>1</v>
      </c>
      <c r="H113" s="62">
        <f t="shared" ref="H113:Q113" si="227">IF(isblank(H$1),,IFERROR(vlookup($A113,indirect("'TVC-"&amp;text(month(H$1),"00")&amp;"'!$A:$D"),4,false),1))</f>
        <v>1</v>
      </c>
      <c r="I113" s="62">
        <f t="shared" si="227"/>
        <v>1</v>
      </c>
      <c r="J113" s="62">
        <f t="shared" si="227"/>
        <v>1</v>
      </c>
      <c r="K113" s="62">
        <f t="shared" si="227"/>
        <v>1</v>
      </c>
      <c r="L113" s="62">
        <f t="shared" si="227"/>
        <v>1</v>
      </c>
      <c r="M113" s="62">
        <f t="shared" si="227"/>
        <v>1</v>
      </c>
      <c r="N113" s="62">
        <f t="shared" si="227"/>
        <v>1</v>
      </c>
      <c r="O113" s="62">
        <f t="shared" si="227"/>
        <v>1</v>
      </c>
      <c r="P113" s="62" t="str">
        <f t="shared" si="227"/>
        <v/>
      </c>
      <c r="Q113" s="62" t="str">
        <f t="shared" si="227"/>
        <v/>
      </c>
      <c r="R113" s="62">
        <f t="shared" si="7"/>
        <v>0</v>
      </c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</row>
    <row r="114" hidden="1">
      <c r="A114" s="60">
        <f>IFERROR(__xludf.DUMMYFUNCTION("""COMPUTED_VALUE"""),317.0)</f>
        <v>317</v>
      </c>
      <c r="B114" s="60" t="str">
        <f>IFERROR(__xludf.DUMMYFUNCTION("""COMPUTED_VALUE"""),"Giants, New York")</f>
        <v>Giants, New York</v>
      </c>
      <c r="C114" s="60" t="str">
        <f>IFERROR(__xludf.DUMMYFUNCTION("""COMPUTED_VALUE"""),"TMLB")</f>
        <v>TMLB</v>
      </c>
      <c r="D114" s="60" t="str">
        <f>IFERROR(__xludf.DUMMYFUNCTION("""COMPUTED_VALUE"""),"NYG")</f>
        <v>NYG</v>
      </c>
      <c r="E114" s="62" t="str">
        <f t="shared" si="4"/>
        <v>New York Giants</v>
      </c>
      <c r="F114" s="62">
        <f t="shared" ref="F114:G114" si="228">IF(isblank(F$1),,IF(isblank($A114),,IFERROR(vlookup($A114,indirect("'TVC-"&amp;text(month(F$1),"00")&amp;"'!$A:$D"),4,false),1)))</f>
        <v>1</v>
      </c>
      <c r="G114" s="62">
        <f t="shared" si="228"/>
        <v>1</v>
      </c>
      <c r="H114" s="62">
        <f t="shared" ref="H114:Q114" si="229">IF(isblank(H$1),,IFERROR(vlookup($A114,indirect("'TVC-"&amp;text(month(H$1),"00")&amp;"'!$A:$D"),4,false),1))</f>
        <v>1</v>
      </c>
      <c r="I114" s="62">
        <f t="shared" si="229"/>
        <v>1</v>
      </c>
      <c r="J114" s="62">
        <f t="shared" si="229"/>
        <v>1</v>
      </c>
      <c r="K114" s="62">
        <f t="shared" si="229"/>
        <v>1</v>
      </c>
      <c r="L114" s="62">
        <f t="shared" si="229"/>
        <v>1</v>
      </c>
      <c r="M114" s="62">
        <f t="shared" si="229"/>
        <v>1</v>
      </c>
      <c r="N114" s="62">
        <f t="shared" si="229"/>
        <v>1</v>
      </c>
      <c r="O114" s="62">
        <f t="shared" si="229"/>
        <v>1</v>
      </c>
      <c r="P114" s="62" t="str">
        <f t="shared" si="229"/>
        <v/>
      </c>
      <c r="Q114" s="62" t="str">
        <f t="shared" si="229"/>
        <v/>
      </c>
      <c r="R114" s="62">
        <f t="shared" si="7"/>
        <v>0</v>
      </c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</row>
    <row r="115" hidden="1">
      <c r="A115" s="60">
        <f>IFERROR(__xludf.DUMMYFUNCTION("""COMPUTED_VALUE"""),318.0)</f>
        <v>318</v>
      </c>
      <c r="B115" s="60" t="str">
        <f>IFERROR(__xludf.DUMMYFUNCTION("""COMPUTED_VALUE"""),"Eagles, Philadelphia")</f>
        <v>Eagles, Philadelphia</v>
      </c>
      <c r="C115" s="60" t="str">
        <f>IFERROR(__xludf.DUMMYFUNCTION("""COMPUTED_VALUE"""),"TMLB")</f>
        <v>TMLB</v>
      </c>
      <c r="D115" s="60" t="str">
        <f>IFERROR(__xludf.DUMMYFUNCTION("""COMPUTED_VALUE"""),"PHI")</f>
        <v>PHI</v>
      </c>
      <c r="E115" s="62" t="str">
        <f t="shared" si="4"/>
        <v>Philadelphia Eagles</v>
      </c>
      <c r="F115" s="62">
        <f t="shared" ref="F115:G115" si="230">IF(isblank(F$1),,IF(isblank($A115),,IFERROR(vlookup($A115,indirect("'TVC-"&amp;text(month(F$1),"00")&amp;"'!$A:$D"),4,false),1)))</f>
        <v>1</v>
      </c>
      <c r="G115" s="62">
        <f t="shared" si="230"/>
        <v>1</v>
      </c>
      <c r="H115" s="62">
        <f t="shared" ref="H115:Q115" si="231">IF(isblank(H$1),,IFERROR(vlookup($A115,indirect("'TVC-"&amp;text(month(H$1),"00")&amp;"'!$A:$D"),4,false),1))</f>
        <v>1</v>
      </c>
      <c r="I115" s="62">
        <f t="shared" si="231"/>
        <v>1</v>
      </c>
      <c r="J115" s="62">
        <f t="shared" si="231"/>
        <v>1</v>
      </c>
      <c r="K115" s="62">
        <f t="shared" si="231"/>
        <v>1</v>
      </c>
      <c r="L115" s="62">
        <f t="shared" si="231"/>
        <v>1</v>
      </c>
      <c r="M115" s="62">
        <f t="shared" si="231"/>
        <v>1</v>
      </c>
      <c r="N115" s="62">
        <f t="shared" si="231"/>
        <v>1</v>
      </c>
      <c r="O115" s="62">
        <f t="shared" si="231"/>
        <v>1</v>
      </c>
      <c r="P115" s="62" t="str">
        <f t="shared" si="231"/>
        <v/>
      </c>
      <c r="Q115" s="62" t="str">
        <f t="shared" si="231"/>
        <v/>
      </c>
      <c r="R115" s="62">
        <f t="shared" si="7"/>
        <v>0</v>
      </c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</row>
    <row r="116" hidden="1">
      <c r="A116" s="60">
        <f>IFERROR(__xludf.DUMMYFUNCTION("""COMPUTED_VALUE"""),319.0)</f>
        <v>319</v>
      </c>
      <c r="B116" s="60" t="str">
        <f>IFERROR(__xludf.DUMMYFUNCTION("""COMPUTED_VALUE"""),"Cardinals, Arizona")</f>
        <v>Cardinals, Arizona</v>
      </c>
      <c r="C116" s="60" t="str">
        <f>IFERROR(__xludf.DUMMYFUNCTION("""COMPUTED_VALUE"""),"TMLB")</f>
        <v>TMLB</v>
      </c>
      <c r="D116" s="60" t="str">
        <f>IFERROR(__xludf.DUMMYFUNCTION("""COMPUTED_VALUE"""),"ARI")</f>
        <v>ARI</v>
      </c>
      <c r="E116" s="62" t="str">
        <f t="shared" si="4"/>
        <v>Arizona Cardinals</v>
      </c>
      <c r="F116" s="62">
        <f t="shared" ref="F116:G116" si="232">IF(isblank(F$1),,IF(isblank($A116),,IFERROR(vlookup($A116,indirect("'TVC-"&amp;text(month(F$1),"00")&amp;"'!$A:$D"),4,false),1)))</f>
        <v>1</v>
      </c>
      <c r="G116" s="62">
        <f t="shared" si="232"/>
        <v>1</v>
      </c>
      <c r="H116" s="62">
        <f t="shared" ref="H116:Q116" si="233">IF(isblank(H$1),,IFERROR(vlookup($A116,indirect("'TVC-"&amp;text(month(H$1),"00")&amp;"'!$A:$D"),4,false),1))</f>
        <v>1</v>
      </c>
      <c r="I116" s="62">
        <f t="shared" si="233"/>
        <v>1</v>
      </c>
      <c r="J116" s="62">
        <f t="shared" si="233"/>
        <v>1</v>
      </c>
      <c r="K116" s="62">
        <f t="shared" si="233"/>
        <v>1</v>
      </c>
      <c r="L116" s="62">
        <f t="shared" si="233"/>
        <v>1</v>
      </c>
      <c r="M116" s="62">
        <f t="shared" si="233"/>
        <v>1</v>
      </c>
      <c r="N116" s="62">
        <f t="shared" si="233"/>
        <v>1</v>
      </c>
      <c r="O116" s="62">
        <f t="shared" si="233"/>
        <v>1</v>
      </c>
      <c r="P116" s="62" t="str">
        <f t="shared" si="233"/>
        <v/>
      </c>
      <c r="Q116" s="62" t="str">
        <f t="shared" si="233"/>
        <v/>
      </c>
      <c r="R116" s="62">
        <f t="shared" si="7"/>
        <v>0</v>
      </c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</row>
    <row r="117" hidden="1">
      <c r="A117" s="60">
        <f>IFERROR(__xludf.DUMMYFUNCTION("""COMPUTED_VALUE"""),320.0)</f>
        <v>320</v>
      </c>
      <c r="B117" s="60" t="str">
        <f>IFERROR(__xludf.DUMMYFUNCTION("""COMPUTED_VALUE"""),"Commanders, Washington")</f>
        <v>Commanders, Washington</v>
      </c>
      <c r="C117" s="60" t="str">
        <f>IFERROR(__xludf.DUMMYFUNCTION("""COMPUTED_VALUE"""),"TMLB")</f>
        <v>TMLB</v>
      </c>
      <c r="D117" s="60" t="str">
        <f>IFERROR(__xludf.DUMMYFUNCTION("""COMPUTED_VALUE"""),"WAS")</f>
        <v>WAS</v>
      </c>
      <c r="E117" s="62" t="str">
        <f t="shared" si="4"/>
        <v>Washington Commanders</v>
      </c>
      <c r="F117" s="62">
        <f t="shared" ref="F117:G117" si="234">IF(isblank(F$1),,IF(isblank($A117),,IFERROR(vlookup($A117,indirect("'TVC-"&amp;text(month(F$1),"00")&amp;"'!$A:$D"),4,false),1)))</f>
        <v>1</v>
      </c>
      <c r="G117" s="62">
        <f t="shared" si="234"/>
        <v>1</v>
      </c>
      <c r="H117" s="62">
        <f t="shared" ref="H117:Q117" si="235">IF(isblank(H$1),,IFERROR(vlookup($A117,indirect("'TVC-"&amp;text(month(H$1),"00")&amp;"'!$A:$D"),4,false),1))</f>
        <v>1</v>
      </c>
      <c r="I117" s="62">
        <f t="shared" si="235"/>
        <v>1</v>
      </c>
      <c r="J117" s="62">
        <f t="shared" si="235"/>
        <v>1</v>
      </c>
      <c r="K117" s="62">
        <f t="shared" si="235"/>
        <v>1</v>
      </c>
      <c r="L117" s="62">
        <f t="shared" si="235"/>
        <v>1</v>
      </c>
      <c r="M117" s="62">
        <f t="shared" si="235"/>
        <v>1</v>
      </c>
      <c r="N117" s="62">
        <f t="shared" si="235"/>
        <v>1</v>
      </c>
      <c r="O117" s="62">
        <f t="shared" si="235"/>
        <v>1</v>
      </c>
      <c r="P117" s="62" t="str">
        <f t="shared" si="235"/>
        <v/>
      </c>
      <c r="Q117" s="62" t="str">
        <f t="shared" si="235"/>
        <v/>
      </c>
      <c r="R117" s="62">
        <f t="shared" si="7"/>
        <v>0</v>
      </c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</row>
    <row r="118" hidden="1">
      <c r="A118" s="60">
        <f>IFERROR(__xludf.DUMMYFUNCTION("""COMPUTED_VALUE"""),321.0)</f>
        <v>321</v>
      </c>
      <c r="B118" s="60" t="str">
        <f>IFERROR(__xludf.DUMMYFUNCTION("""COMPUTED_VALUE"""),"Bears, Chicago")</f>
        <v>Bears, Chicago</v>
      </c>
      <c r="C118" s="60" t="str">
        <f>IFERROR(__xludf.DUMMYFUNCTION("""COMPUTED_VALUE"""),"TMLB")</f>
        <v>TMLB</v>
      </c>
      <c r="D118" s="60" t="str">
        <f>IFERROR(__xludf.DUMMYFUNCTION("""COMPUTED_VALUE"""),"CHI")</f>
        <v>CHI</v>
      </c>
      <c r="E118" s="62" t="str">
        <f t="shared" si="4"/>
        <v>Chicago Bears</v>
      </c>
      <c r="F118" s="62">
        <f t="shared" ref="F118:G118" si="236">IF(isblank(F$1),,IF(isblank($A118),,IFERROR(vlookup($A118,indirect("'TVC-"&amp;text(month(F$1),"00")&amp;"'!$A:$D"),4,false),1)))</f>
        <v>1</v>
      </c>
      <c r="G118" s="62">
        <f t="shared" si="236"/>
        <v>1</v>
      </c>
      <c r="H118" s="62">
        <f t="shared" ref="H118:Q118" si="237">IF(isblank(H$1),,IFERROR(vlookup($A118,indirect("'TVC-"&amp;text(month(H$1),"00")&amp;"'!$A:$D"),4,false),1))</f>
        <v>1</v>
      </c>
      <c r="I118" s="62">
        <f t="shared" si="237"/>
        <v>1</v>
      </c>
      <c r="J118" s="62">
        <f t="shared" si="237"/>
        <v>1</v>
      </c>
      <c r="K118" s="62">
        <f t="shared" si="237"/>
        <v>1</v>
      </c>
      <c r="L118" s="62">
        <f t="shared" si="237"/>
        <v>1</v>
      </c>
      <c r="M118" s="62">
        <f t="shared" si="237"/>
        <v>1</v>
      </c>
      <c r="N118" s="62">
        <f t="shared" si="237"/>
        <v>1</v>
      </c>
      <c r="O118" s="62">
        <f t="shared" si="237"/>
        <v>1</v>
      </c>
      <c r="P118" s="62" t="str">
        <f t="shared" si="237"/>
        <v/>
      </c>
      <c r="Q118" s="62" t="str">
        <f t="shared" si="237"/>
        <v/>
      </c>
      <c r="R118" s="62">
        <f t="shared" si="7"/>
        <v>0</v>
      </c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</row>
    <row r="119" hidden="1">
      <c r="A119" s="60">
        <f>IFERROR(__xludf.DUMMYFUNCTION("""COMPUTED_VALUE"""),322.0)</f>
        <v>322</v>
      </c>
      <c r="B119" s="60" t="str">
        <f>IFERROR(__xludf.DUMMYFUNCTION("""COMPUTED_VALUE"""),"Lions, Detroit")</f>
        <v>Lions, Detroit</v>
      </c>
      <c r="C119" s="60" t="str">
        <f>IFERROR(__xludf.DUMMYFUNCTION("""COMPUTED_VALUE"""),"TMLB")</f>
        <v>TMLB</v>
      </c>
      <c r="D119" s="60" t="str">
        <f>IFERROR(__xludf.DUMMYFUNCTION("""COMPUTED_VALUE"""),"DET")</f>
        <v>DET</v>
      </c>
      <c r="E119" s="62" t="str">
        <f t="shared" si="4"/>
        <v>Detroit Lions</v>
      </c>
      <c r="F119" s="62">
        <f t="shared" ref="F119:G119" si="238">IF(isblank(F$1),,IF(isblank($A119),,IFERROR(vlookup($A119,indirect("'TVC-"&amp;text(month(F$1),"00")&amp;"'!$A:$D"),4,false),1)))</f>
        <v>1</v>
      </c>
      <c r="G119" s="62">
        <f t="shared" si="238"/>
        <v>1</v>
      </c>
      <c r="H119" s="62">
        <f t="shared" ref="H119:Q119" si="239">IF(isblank(H$1),,IFERROR(vlookup($A119,indirect("'TVC-"&amp;text(month(H$1),"00")&amp;"'!$A:$D"),4,false),1))</f>
        <v>1</v>
      </c>
      <c r="I119" s="62">
        <f t="shared" si="239"/>
        <v>1</v>
      </c>
      <c r="J119" s="62">
        <f t="shared" si="239"/>
        <v>1</v>
      </c>
      <c r="K119" s="62">
        <f t="shared" si="239"/>
        <v>1</v>
      </c>
      <c r="L119" s="62">
        <f t="shared" si="239"/>
        <v>1</v>
      </c>
      <c r="M119" s="62">
        <f t="shared" si="239"/>
        <v>1</v>
      </c>
      <c r="N119" s="62">
        <f t="shared" si="239"/>
        <v>1</v>
      </c>
      <c r="O119" s="62">
        <f t="shared" si="239"/>
        <v>1</v>
      </c>
      <c r="P119" s="62" t="str">
        <f t="shared" si="239"/>
        <v/>
      </c>
      <c r="Q119" s="62" t="str">
        <f t="shared" si="239"/>
        <v/>
      </c>
      <c r="R119" s="62">
        <f t="shared" si="7"/>
        <v>0</v>
      </c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</row>
    <row r="120" hidden="1">
      <c r="A120" s="60">
        <f>IFERROR(__xludf.DUMMYFUNCTION("""COMPUTED_VALUE"""),323.0)</f>
        <v>323</v>
      </c>
      <c r="B120" s="60" t="str">
        <f>IFERROR(__xludf.DUMMYFUNCTION("""COMPUTED_VALUE"""),"Packers, Green Bay")</f>
        <v>Packers, Green Bay</v>
      </c>
      <c r="C120" s="60" t="str">
        <f>IFERROR(__xludf.DUMMYFUNCTION("""COMPUTED_VALUE"""),"TMLB")</f>
        <v>TMLB</v>
      </c>
      <c r="D120" s="60" t="str">
        <f>IFERROR(__xludf.DUMMYFUNCTION("""COMPUTED_VALUE"""),"GBP")</f>
        <v>GBP</v>
      </c>
      <c r="E120" s="62" t="str">
        <f t="shared" si="4"/>
        <v>Green Bay Packers</v>
      </c>
      <c r="F120" s="62">
        <f t="shared" ref="F120:G120" si="240">IF(isblank(F$1),,IF(isblank($A120),,IFERROR(vlookup($A120,indirect("'TVC-"&amp;text(month(F$1),"00")&amp;"'!$A:$D"),4,false),1)))</f>
        <v>1</v>
      </c>
      <c r="G120" s="62">
        <f t="shared" si="240"/>
        <v>1</v>
      </c>
      <c r="H120" s="62">
        <f t="shared" ref="H120:Q120" si="241">IF(isblank(H$1),,IFERROR(vlookup($A120,indirect("'TVC-"&amp;text(month(H$1),"00")&amp;"'!$A:$D"),4,false),1))</f>
        <v>1</v>
      </c>
      <c r="I120" s="62">
        <f t="shared" si="241"/>
        <v>1</v>
      </c>
      <c r="J120" s="62">
        <f t="shared" si="241"/>
        <v>1</v>
      </c>
      <c r="K120" s="62">
        <f t="shared" si="241"/>
        <v>1</v>
      </c>
      <c r="L120" s="62">
        <f t="shared" si="241"/>
        <v>1</v>
      </c>
      <c r="M120" s="62">
        <f t="shared" si="241"/>
        <v>1</v>
      </c>
      <c r="N120" s="62">
        <f t="shared" si="241"/>
        <v>1</v>
      </c>
      <c r="O120" s="62">
        <f t="shared" si="241"/>
        <v>1</v>
      </c>
      <c r="P120" s="62" t="str">
        <f t="shared" si="241"/>
        <v/>
      </c>
      <c r="Q120" s="62" t="str">
        <f t="shared" si="241"/>
        <v/>
      </c>
      <c r="R120" s="62">
        <f t="shared" si="7"/>
        <v>0</v>
      </c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</row>
    <row r="121" hidden="1">
      <c r="A121" s="60">
        <f>IFERROR(__xludf.DUMMYFUNCTION("""COMPUTED_VALUE"""),324.0)</f>
        <v>324</v>
      </c>
      <c r="B121" s="60" t="str">
        <f>IFERROR(__xludf.DUMMYFUNCTION("""COMPUTED_VALUE"""),"Vikings, Minnesota")</f>
        <v>Vikings, Minnesota</v>
      </c>
      <c r="C121" s="60" t="str">
        <f>IFERROR(__xludf.DUMMYFUNCTION("""COMPUTED_VALUE"""),"TMLB")</f>
        <v>TMLB</v>
      </c>
      <c r="D121" s="60" t="str">
        <f>IFERROR(__xludf.DUMMYFUNCTION("""COMPUTED_VALUE"""),"MIN")</f>
        <v>MIN</v>
      </c>
      <c r="E121" s="62" t="str">
        <f t="shared" si="4"/>
        <v>Minnesota Vikings</v>
      </c>
      <c r="F121" s="62">
        <f t="shared" ref="F121:G121" si="242">IF(isblank(F$1),,IF(isblank($A121),,IFERROR(vlookup($A121,indirect("'TVC-"&amp;text(month(F$1),"00")&amp;"'!$A:$D"),4,false),1)))</f>
        <v>1</v>
      </c>
      <c r="G121" s="62">
        <f t="shared" si="242"/>
        <v>1</v>
      </c>
      <c r="H121" s="62">
        <f t="shared" ref="H121:Q121" si="243">IF(isblank(H$1),,IFERROR(vlookup($A121,indirect("'TVC-"&amp;text(month(H$1),"00")&amp;"'!$A:$D"),4,false),1))</f>
        <v>1</v>
      </c>
      <c r="I121" s="62">
        <f t="shared" si="243"/>
        <v>1</v>
      </c>
      <c r="J121" s="62">
        <f t="shared" si="243"/>
        <v>1</v>
      </c>
      <c r="K121" s="62">
        <f t="shared" si="243"/>
        <v>1</v>
      </c>
      <c r="L121" s="62">
        <f t="shared" si="243"/>
        <v>1</v>
      </c>
      <c r="M121" s="62">
        <f t="shared" si="243"/>
        <v>1</v>
      </c>
      <c r="N121" s="62">
        <f t="shared" si="243"/>
        <v>1</v>
      </c>
      <c r="O121" s="62">
        <f t="shared" si="243"/>
        <v>1</v>
      </c>
      <c r="P121" s="62" t="str">
        <f t="shared" si="243"/>
        <v/>
      </c>
      <c r="Q121" s="62" t="str">
        <f t="shared" si="243"/>
        <v/>
      </c>
      <c r="R121" s="62">
        <f t="shared" si="7"/>
        <v>0</v>
      </c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</row>
    <row r="122" hidden="1">
      <c r="A122" s="60">
        <f>IFERROR(__xludf.DUMMYFUNCTION("""COMPUTED_VALUE"""),325.0)</f>
        <v>325</v>
      </c>
      <c r="B122" s="60" t="str">
        <f>IFERROR(__xludf.DUMMYFUNCTION("""COMPUTED_VALUE"""),"Buccaneers, Tampa Bay")</f>
        <v>Buccaneers, Tampa Bay</v>
      </c>
      <c r="C122" s="60" t="str">
        <f>IFERROR(__xludf.DUMMYFUNCTION("""COMPUTED_VALUE"""),"TMLB")</f>
        <v>TMLB</v>
      </c>
      <c r="D122" s="60" t="str">
        <f>IFERROR(__xludf.DUMMYFUNCTION("""COMPUTED_VALUE"""),"TBB")</f>
        <v>TBB</v>
      </c>
      <c r="E122" s="62" t="str">
        <f t="shared" si="4"/>
        <v>Tampa Bay Buccaneers</v>
      </c>
      <c r="F122" s="62">
        <f t="shared" ref="F122:G122" si="244">IF(isblank(F$1),,IF(isblank($A122),,IFERROR(vlookup($A122,indirect("'TVC-"&amp;text(month(F$1),"00")&amp;"'!$A:$D"),4,false),1)))</f>
        <v>1</v>
      </c>
      <c r="G122" s="62">
        <f t="shared" si="244"/>
        <v>1</v>
      </c>
      <c r="H122" s="62">
        <f t="shared" ref="H122:Q122" si="245">IF(isblank(H$1),,IFERROR(vlookup($A122,indirect("'TVC-"&amp;text(month(H$1),"00")&amp;"'!$A:$D"),4,false),1))</f>
        <v>1</v>
      </c>
      <c r="I122" s="62">
        <f t="shared" si="245"/>
        <v>1</v>
      </c>
      <c r="J122" s="62">
        <f t="shared" si="245"/>
        <v>1</v>
      </c>
      <c r="K122" s="62">
        <f t="shared" si="245"/>
        <v>1</v>
      </c>
      <c r="L122" s="62">
        <f t="shared" si="245"/>
        <v>1</v>
      </c>
      <c r="M122" s="62">
        <f t="shared" si="245"/>
        <v>1</v>
      </c>
      <c r="N122" s="62">
        <f t="shared" si="245"/>
        <v>1</v>
      </c>
      <c r="O122" s="62">
        <f t="shared" si="245"/>
        <v>1</v>
      </c>
      <c r="P122" s="62" t="str">
        <f t="shared" si="245"/>
        <v/>
      </c>
      <c r="Q122" s="62" t="str">
        <f t="shared" si="245"/>
        <v/>
      </c>
      <c r="R122" s="62">
        <f t="shared" si="7"/>
        <v>0</v>
      </c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</row>
    <row r="123" hidden="1">
      <c r="A123" s="60">
        <f>IFERROR(__xludf.DUMMYFUNCTION("""COMPUTED_VALUE"""),326.0)</f>
        <v>326</v>
      </c>
      <c r="B123" s="60" t="str">
        <f>IFERROR(__xludf.DUMMYFUNCTION("""COMPUTED_VALUE"""),"Falcons, Atlanta")</f>
        <v>Falcons, Atlanta</v>
      </c>
      <c r="C123" s="60" t="str">
        <f>IFERROR(__xludf.DUMMYFUNCTION("""COMPUTED_VALUE"""),"TMLB")</f>
        <v>TMLB</v>
      </c>
      <c r="D123" s="60" t="str">
        <f>IFERROR(__xludf.DUMMYFUNCTION("""COMPUTED_VALUE"""),"ATL")</f>
        <v>ATL</v>
      </c>
      <c r="E123" s="62" t="str">
        <f t="shared" si="4"/>
        <v>Atlanta Falcons</v>
      </c>
      <c r="F123" s="62">
        <f t="shared" ref="F123:G123" si="246">IF(isblank(F$1),,IF(isblank($A123),,IFERROR(vlookup($A123,indirect("'TVC-"&amp;text(month(F$1),"00")&amp;"'!$A:$D"),4,false),1)))</f>
        <v>1</v>
      </c>
      <c r="G123" s="62">
        <f t="shared" si="246"/>
        <v>1</v>
      </c>
      <c r="H123" s="62">
        <f t="shared" ref="H123:Q123" si="247">IF(isblank(H$1),,IFERROR(vlookup($A123,indirect("'TVC-"&amp;text(month(H$1),"00")&amp;"'!$A:$D"),4,false),1))</f>
        <v>1</v>
      </c>
      <c r="I123" s="62">
        <f t="shared" si="247"/>
        <v>1</v>
      </c>
      <c r="J123" s="62">
        <f t="shared" si="247"/>
        <v>1</v>
      </c>
      <c r="K123" s="62">
        <f t="shared" si="247"/>
        <v>1</v>
      </c>
      <c r="L123" s="62">
        <f t="shared" si="247"/>
        <v>1</v>
      </c>
      <c r="M123" s="62">
        <f t="shared" si="247"/>
        <v>1</v>
      </c>
      <c r="N123" s="62">
        <f t="shared" si="247"/>
        <v>1</v>
      </c>
      <c r="O123" s="62">
        <f t="shared" si="247"/>
        <v>1</v>
      </c>
      <c r="P123" s="62" t="str">
        <f t="shared" si="247"/>
        <v/>
      </c>
      <c r="Q123" s="62" t="str">
        <f t="shared" si="247"/>
        <v/>
      </c>
      <c r="R123" s="62">
        <f t="shared" si="7"/>
        <v>0</v>
      </c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</row>
    <row r="124" hidden="1">
      <c r="A124" s="60">
        <f>IFERROR(__xludf.DUMMYFUNCTION("""COMPUTED_VALUE"""),327.0)</f>
        <v>327</v>
      </c>
      <c r="B124" s="60" t="str">
        <f>IFERROR(__xludf.DUMMYFUNCTION("""COMPUTED_VALUE"""),"Panthers, Carolina")</f>
        <v>Panthers, Carolina</v>
      </c>
      <c r="C124" s="60" t="str">
        <f>IFERROR(__xludf.DUMMYFUNCTION("""COMPUTED_VALUE"""),"TMLB")</f>
        <v>TMLB</v>
      </c>
      <c r="D124" s="60" t="str">
        <f>IFERROR(__xludf.DUMMYFUNCTION("""COMPUTED_VALUE"""),"CAR")</f>
        <v>CAR</v>
      </c>
      <c r="E124" s="62" t="str">
        <f t="shared" si="4"/>
        <v>Carolina Panthers</v>
      </c>
      <c r="F124" s="62">
        <f t="shared" ref="F124:G124" si="248">IF(isblank(F$1),,IF(isblank($A124),,IFERROR(vlookup($A124,indirect("'TVC-"&amp;text(month(F$1),"00")&amp;"'!$A:$D"),4,false),1)))</f>
        <v>1</v>
      </c>
      <c r="G124" s="62">
        <f t="shared" si="248"/>
        <v>1</v>
      </c>
      <c r="H124" s="62">
        <f t="shared" ref="H124:Q124" si="249">IF(isblank(H$1),,IFERROR(vlookup($A124,indirect("'TVC-"&amp;text(month(H$1),"00")&amp;"'!$A:$D"),4,false),1))</f>
        <v>1</v>
      </c>
      <c r="I124" s="62">
        <f t="shared" si="249"/>
        <v>1</v>
      </c>
      <c r="J124" s="62">
        <f t="shared" si="249"/>
        <v>1</v>
      </c>
      <c r="K124" s="62">
        <f t="shared" si="249"/>
        <v>1</v>
      </c>
      <c r="L124" s="62">
        <f t="shared" si="249"/>
        <v>1</v>
      </c>
      <c r="M124" s="62">
        <f t="shared" si="249"/>
        <v>1</v>
      </c>
      <c r="N124" s="62">
        <f t="shared" si="249"/>
        <v>1</v>
      </c>
      <c r="O124" s="62">
        <f t="shared" si="249"/>
        <v>1</v>
      </c>
      <c r="P124" s="62" t="str">
        <f t="shared" si="249"/>
        <v/>
      </c>
      <c r="Q124" s="62" t="str">
        <f t="shared" si="249"/>
        <v/>
      </c>
      <c r="R124" s="62">
        <f t="shared" si="7"/>
        <v>0</v>
      </c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</row>
    <row r="125" hidden="1">
      <c r="A125" s="60">
        <f>IFERROR(__xludf.DUMMYFUNCTION("""COMPUTED_VALUE"""),328.0)</f>
        <v>328</v>
      </c>
      <c r="B125" s="60" t="str">
        <f>IFERROR(__xludf.DUMMYFUNCTION("""COMPUTED_VALUE"""),"Rams, Los Angeles")</f>
        <v>Rams, Los Angeles</v>
      </c>
      <c r="C125" s="60" t="str">
        <f>IFERROR(__xludf.DUMMYFUNCTION("""COMPUTED_VALUE"""),"TMLB")</f>
        <v>TMLB</v>
      </c>
      <c r="D125" s="60" t="str">
        <f>IFERROR(__xludf.DUMMYFUNCTION("""COMPUTED_VALUE"""),"LAR")</f>
        <v>LAR</v>
      </c>
      <c r="E125" s="62" t="str">
        <f t="shared" si="4"/>
        <v>Los Angeles Rams</v>
      </c>
      <c r="F125" s="62">
        <f t="shared" ref="F125:G125" si="250">IF(isblank(F$1),,IF(isblank($A125),,IFERROR(vlookup($A125,indirect("'TVC-"&amp;text(month(F$1),"00")&amp;"'!$A:$D"),4,false),1)))</f>
        <v>1</v>
      </c>
      <c r="G125" s="62">
        <f t="shared" si="250"/>
        <v>1</v>
      </c>
      <c r="H125" s="62">
        <f t="shared" ref="H125:Q125" si="251">IF(isblank(H$1),,IFERROR(vlookup($A125,indirect("'TVC-"&amp;text(month(H$1),"00")&amp;"'!$A:$D"),4,false),1))</f>
        <v>1</v>
      </c>
      <c r="I125" s="62">
        <f t="shared" si="251"/>
        <v>1</v>
      </c>
      <c r="J125" s="62">
        <f t="shared" si="251"/>
        <v>1</v>
      </c>
      <c r="K125" s="62">
        <f t="shared" si="251"/>
        <v>1</v>
      </c>
      <c r="L125" s="62">
        <f t="shared" si="251"/>
        <v>1</v>
      </c>
      <c r="M125" s="62">
        <f t="shared" si="251"/>
        <v>1</v>
      </c>
      <c r="N125" s="62">
        <f t="shared" si="251"/>
        <v>1</v>
      </c>
      <c r="O125" s="62">
        <f t="shared" si="251"/>
        <v>1</v>
      </c>
      <c r="P125" s="62" t="str">
        <f t="shared" si="251"/>
        <v/>
      </c>
      <c r="Q125" s="62" t="str">
        <f t="shared" si="251"/>
        <v/>
      </c>
      <c r="R125" s="62">
        <f t="shared" si="7"/>
        <v>0</v>
      </c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</row>
    <row r="126" hidden="1">
      <c r="A126" s="60">
        <f>IFERROR(__xludf.DUMMYFUNCTION("""COMPUTED_VALUE"""),329.0)</f>
        <v>329</v>
      </c>
      <c r="B126" s="60" t="str">
        <f>IFERROR(__xludf.DUMMYFUNCTION("""COMPUTED_VALUE"""),"Saints, New Orleans")</f>
        <v>Saints, New Orleans</v>
      </c>
      <c r="C126" s="60" t="str">
        <f>IFERROR(__xludf.DUMMYFUNCTION("""COMPUTED_VALUE"""),"TMLB")</f>
        <v>TMLB</v>
      </c>
      <c r="D126" s="60" t="str">
        <f>IFERROR(__xludf.DUMMYFUNCTION("""COMPUTED_VALUE"""),"NOS")</f>
        <v>NOS</v>
      </c>
      <c r="E126" s="62" t="str">
        <f t="shared" si="4"/>
        <v>New Orleans Saints</v>
      </c>
      <c r="F126" s="62">
        <f t="shared" ref="F126:G126" si="252">IF(isblank(F$1),,IF(isblank($A126),,IFERROR(vlookup($A126,indirect("'TVC-"&amp;text(month(F$1),"00")&amp;"'!$A:$D"),4,false),1)))</f>
        <v>1</v>
      </c>
      <c r="G126" s="62">
        <f t="shared" si="252"/>
        <v>1</v>
      </c>
      <c r="H126" s="62">
        <f t="shared" ref="H126:Q126" si="253">IF(isblank(H$1),,IFERROR(vlookup($A126,indirect("'TVC-"&amp;text(month(H$1),"00")&amp;"'!$A:$D"),4,false),1))</f>
        <v>1</v>
      </c>
      <c r="I126" s="62">
        <f t="shared" si="253"/>
        <v>1</v>
      </c>
      <c r="J126" s="62">
        <f t="shared" si="253"/>
        <v>1</v>
      </c>
      <c r="K126" s="62">
        <f t="shared" si="253"/>
        <v>1</v>
      </c>
      <c r="L126" s="62">
        <f t="shared" si="253"/>
        <v>1</v>
      </c>
      <c r="M126" s="62">
        <f t="shared" si="253"/>
        <v>1</v>
      </c>
      <c r="N126" s="62">
        <f t="shared" si="253"/>
        <v>1</v>
      </c>
      <c r="O126" s="62">
        <f t="shared" si="253"/>
        <v>1</v>
      </c>
      <c r="P126" s="62" t="str">
        <f t="shared" si="253"/>
        <v/>
      </c>
      <c r="Q126" s="62" t="str">
        <f t="shared" si="253"/>
        <v/>
      </c>
      <c r="R126" s="62">
        <f t="shared" si="7"/>
        <v>0</v>
      </c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</row>
    <row r="127" hidden="1">
      <c r="A127" s="60">
        <f>IFERROR(__xludf.DUMMYFUNCTION("""COMPUTED_VALUE"""),330.0)</f>
        <v>330</v>
      </c>
      <c r="B127" s="60" t="str">
        <f>IFERROR(__xludf.DUMMYFUNCTION("""COMPUTED_VALUE"""),"49ers, San Francisco")</f>
        <v>49ers, San Francisco</v>
      </c>
      <c r="C127" s="60" t="str">
        <f>IFERROR(__xludf.DUMMYFUNCTION("""COMPUTED_VALUE"""),"TMLB")</f>
        <v>TMLB</v>
      </c>
      <c r="D127" s="60" t="str">
        <f>IFERROR(__xludf.DUMMYFUNCTION("""COMPUTED_VALUE"""),"SFO")</f>
        <v>SFO</v>
      </c>
      <c r="E127" s="62" t="str">
        <f t="shared" si="4"/>
        <v>San Francisco 49ers</v>
      </c>
      <c r="F127" s="62">
        <f t="shared" ref="F127:G127" si="254">IF(isblank(F$1),,IF(isblank($A127),,IFERROR(vlookup($A127,indirect("'TVC-"&amp;text(month(F$1),"00")&amp;"'!$A:$D"),4,false),1)))</f>
        <v>1</v>
      </c>
      <c r="G127" s="62">
        <f t="shared" si="254"/>
        <v>1</v>
      </c>
      <c r="H127" s="62">
        <f t="shared" ref="H127:Q127" si="255">IF(isblank(H$1),,IFERROR(vlookup($A127,indirect("'TVC-"&amp;text(month(H$1),"00")&amp;"'!$A:$D"),4,false),1))</f>
        <v>1</v>
      </c>
      <c r="I127" s="62">
        <f t="shared" si="255"/>
        <v>1</v>
      </c>
      <c r="J127" s="62">
        <f t="shared" si="255"/>
        <v>1</v>
      </c>
      <c r="K127" s="62">
        <f t="shared" si="255"/>
        <v>1</v>
      </c>
      <c r="L127" s="62">
        <f t="shared" si="255"/>
        <v>1</v>
      </c>
      <c r="M127" s="62">
        <f t="shared" si="255"/>
        <v>1</v>
      </c>
      <c r="N127" s="62">
        <f t="shared" si="255"/>
        <v>1</v>
      </c>
      <c r="O127" s="62">
        <f t="shared" si="255"/>
        <v>1</v>
      </c>
      <c r="P127" s="62" t="str">
        <f t="shared" si="255"/>
        <v/>
      </c>
      <c r="Q127" s="62" t="str">
        <f t="shared" si="255"/>
        <v/>
      </c>
      <c r="R127" s="62">
        <f t="shared" si="7"/>
        <v>0</v>
      </c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</row>
    <row r="128" hidden="1">
      <c r="A128" s="60">
        <f>IFERROR(__xludf.DUMMYFUNCTION("""COMPUTED_VALUE"""),331.0)</f>
        <v>331</v>
      </c>
      <c r="B128" s="60" t="str">
        <f>IFERROR(__xludf.DUMMYFUNCTION("""COMPUTED_VALUE"""),"Ravens, Baltimore")</f>
        <v>Ravens, Baltimore</v>
      </c>
      <c r="C128" s="60" t="str">
        <f>IFERROR(__xludf.DUMMYFUNCTION("""COMPUTED_VALUE"""),"TMLB")</f>
        <v>TMLB</v>
      </c>
      <c r="D128" s="60" t="str">
        <f>IFERROR(__xludf.DUMMYFUNCTION("""COMPUTED_VALUE"""),"BAL")</f>
        <v>BAL</v>
      </c>
      <c r="E128" s="62" t="str">
        <f t="shared" si="4"/>
        <v>Baltimore Ravens</v>
      </c>
      <c r="F128" s="62">
        <f t="shared" ref="F128:G128" si="256">IF(isblank(F$1),,IF(isblank($A128),,IFERROR(vlookup($A128,indirect("'TVC-"&amp;text(month(F$1),"00")&amp;"'!$A:$D"),4,false),1)))</f>
        <v>1</v>
      </c>
      <c r="G128" s="62">
        <f t="shared" si="256"/>
        <v>1</v>
      </c>
      <c r="H128" s="62">
        <f t="shared" ref="H128:Q128" si="257">IF(isblank(H$1),,IFERROR(vlookup($A128,indirect("'TVC-"&amp;text(month(H$1),"00")&amp;"'!$A:$D"),4,false),1))</f>
        <v>1</v>
      </c>
      <c r="I128" s="62">
        <f t="shared" si="257"/>
        <v>1</v>
      </c>
      <c r="J128" s="62">
        <f t="shared" si="257"/>
        <v>1</v>
      </c>
      <c r="K128" s="62">
        <f t="shared" si="257"/>
        <v>1</v>
      </c>
      <c r="L128" s="62">
        <f t="shared" si="257"/>
        <v>1</v>
      </c>
      <c r="M128" s="62">
        <f t="shared" si="257"/>
        <v>1</v>
      </c>
      <c r="N128" s="62">
        <f t="shared" si="257"/>
        <v>1</v>
      </c>
      <c r="O128" s="62">
        <f t="shared" si="257"/>
        <v>1</v>
      </c>
      <c r="P128" s="62" t="str">
        <f t="shared" si="257"/>
        <v/>
      </c>
      <c r="Q128" s="62" t="str">
        <f t="shared" si="257"/>
        <v/>
      </c>
      <c r="R128" s="62">
        <f t="shared" si="7"/>
        <v>0</v>
      </c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</row>
    <row r="129" hidden="1">
      <c r="A129" s="60">
        <f>IFERROR(__xludf.DUMMYFUNCTION("""COMPUTED_VALUE"""),332.0)</f>
        <v>332</v>
      </c>
      <c r="B129" s="60" t="str">
        <f>IFERROR(__xludf.DUMMYFUNCTION("""COMPUTED_VALUE"""),"Texans, Houston")</f>
        <v>Texans, Houston</v>
      </c>
      <c r="C129" s="60" t="str">
        <f>IFERROR(__xludf.DUMMYFUNCTION("""COMPUTED_VALUE"""),"TMLB")</f>
        <v>TMLB</v>
      </c>
      <c r="D129" s="60" t="str">
        <f>IFERROR(__xludf.DUMMYFUNCTION("""COMPUTED_VALUE"""),"HOU")</f>
        <v>HOU</v>
      </c>
      <c r="E129" s="62" t="str">
        <f t="shared" si="4"/>
        <v>Houston Texans</v>
      </c>
      <c r="F129" s="62">
        <f t="shared" ref="F129:G129" si="258">IF(isblank(F$1),,IF(isblank($A129),,IFERROR(vlookup($A129,indirect("'TVC-"&amp;text(month(F$1),"00")&amp;"'!$A:$D"),4,false),1)))</f>
        <v>1</v>
      </c>
      <c r="G129" s="62">
        <f t="shared" si="258"/>
        <v>1</v>
      </c>
      <c r="H129" s="62">
        <f t="shared" ref="H129:Q129" si="259">IF(isblank(H$1),,IFERROR(vlookup($A129,indirect("'TVC-"&amp;text(month(H$1),"00")&amp;"'!$A:$D"),4,false),1))</f>
        <v>1</v>
      </c>
      <c r="I129" s="62">
        <f t="shared" si="259"/>
        <v>1</v>
      </c>
      <c r="J129" s="62">
        <f t="shared" si="259"/>
        <v>1</v>
      </c>
      <c r="K129" s="62">
        <f t="shared" si="259"/>
        <v>1</v>
      </c>
      <c r="L129" s="62">
        <f t="shared" si="259"/>
        <v>1</v>
      </c>
      <c r="M129" s="62">
        <f t="shared" si="259"/>
        <v>1</v>
      </c>
      <c r="N129" s="62">
        <f t="shared" si="259"/>
        <v>1</v>
      </c>
      <c r="O129" s="62">
        <f t="shared" si="259"/>
        <v>1</v>
      </c>
      <c r="P129" s="62" t="str">
        <f t="shared" si="259"/>
        <v/>
      </c>
      <c r="Q129" s="62" t="str">
        <f t="shared" si="259"/>
        <v/>
      </c>
      <c r="R129" s="62">
        <f t="shared" si="7"/>
        <v>0</v>
      </c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</row>
    <row r="130" hidden="1">
      <c r="A130" s="60">
        <f>IFERROR(__xludf.DUMMYFUNCTION("""COMPUTED_VALUE"""),351.0)</f>
        <v>351</v>
      </c>
      <c r="B130" s="60" t="str">
        <f>IFERROR(__xludf.DUMMYFUNCTION("""COMPUTED_VALUE"""),"Bills, Buffalo")</f>
        <v>Bills, Buffalo</v>
      </c>
      <c r="C130" s="60" t="str">
        <f>IFERROR(__xludf.DUMMYFUNCTION("""COMPUTED_VALUE"""),"TMDB")</f>
        <v>TMDB</v>
      </c>
      <c r="D130" s="60" t="str">
        <f>IFERROR(__xludf.DUMMYFUNCTION("""COMPUTED_VALUE"""),"BUF")</f>
        <v>BUF</v>
      </c>
      <c r="E130" s="62" t="str">
        <f t="shared" si="4"/>
        <v>Buffalo Bills</v>
      </c>
      <c r="F130" s="62">
        <f t="shared" ref="F130:G130" si="260">IF(isblank(F$1),,IF(isblank($A130),,IFERROR(vlookup($A130,indirect("'TVC-"&amp;text(month(F$1),"00")&amp;"'!$A:$D"),4,false),1)))</f>
        <v>1</v>
      </c>
      <c r="G130" s="62">
        <f t="shared" si="260"/>
        <v>1</v>
      </c>
      <c r="H130" s="62">
        <f t="shared" ref="H130:Q130" si="261">IF(isblank(H$1),,IFERROR(vlookup($A130,indirect("'TVC-"&amp;text(month(H$1),"00")&amp;"'!$A:$D"),4,false),1))</f>
        <v>1</v>
      </c>
      <c r="I130" s="62">
        <f t="shared" si="261"/>
        <v>1</v>
      </c>
      <c r="J130" s="62">
        <f t="shared" si="261"/>
        <v>1</v>
      </c>
      <c r="K130" s="62">
        <f t="shared" si="261"/>
        <v>1</v>
      </c>
      <c r="L130" s="62">
        <f t="shared" si="261"/>
        <v>1</v>
      </c>
      <c r="M130" s="62">
        <f t="shared" si="261"/>
        <v>1</v>
      </c>
      <c r="N130" s="62">
        <f t="shared" si="261"/>
        <v>1</v>
      </c>
      <c r="O130" s="62">
        <f t="shared" si="261"/>
        <v>1</v>
      </c>
      <c r="P130" s="62" t="str">
        <f t="shared" si="261"/>
        <v/>
      </c>
      <c r="Q130" s="62" t="str">
        <f t="shared" si="261"/>
        <v/>
      </c>
      <c r="R130" s="62">
        <f t="shared" si="7"/>
        <v>0</v>
      </c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</row>
    <row r="131" hidden="1">
      <c r="A131" s="60">
        <f>IFERROR(__xludf.DUMMYFUNCTION("""COMPUTED_VALUE"""),352.0)</f>
        <v>352</v>
      </c>
      <c r="B131" s="60" t="str">
        <f>IFERROR(__xludf.DUMMYFUNCTION("""COMPUTED_VALUE"""),"Colts, Indianapolis")</f>
        <v>Colts, Indianapolis</v>
      </c>
      <c r="C131" s="60" t="str">
        <f>IFERROR(__xludf.DUMMYFUNCTION("""COMPUTED_VALUE"""),"TMDB")</f>
        <v>TMDB</v>
      </c>
      <c r="D131" s="60" t="str">
        <f>IFERROR(__xludf.DUMMYFUNCTION("""COMPUTED_VALUE"""),"IND")</f>
        <v>IND</v>
      </c>
      <c r="E131" s="62" t="str">
        <f t="shared" si="4"/>
        <v>Indianapolis Colts</v>
      </c>
      <c r="F131" s="62">
        <f t="shared" ref="F131:G131" si="262">IF(isblank(F$1),,IF(isblank($A131),,IFERROR(vlookup($A131,indirect("'TVC-"&amp;text(month(F$1),"00")&amp;"'!$A:$D"),4,false),1)))</f>
        <v>1</v>
      </c>
      <c r="G131" s="62">
        <f t="shared" si="262"/>
        <v>1</v>
      </c>
      <c r="H131" s="62">
        <f t="shared" ref="H131:Q131" si="263">IF(isblank(H$1),,IFERROR(vlookup($A131,indirect("'TVC-"&amp;text(month(H$1),"00")&amp;"'!$A:$D"),4,false),1))</f>
        <v>1</v>
      </c>
      <c r="I131" s="62">
        <f t="shared" si="263"/>
        <v>1</v>
      </c>
      <c r="J131" s="62">
        <f t="shared" si="263"/>
        <v>1</v>
      </c>
      <c r="K131" s="62">
        <f t="shared" si="263"/>
        <v>1</v>
      </c>
      <c r="L131" s="62">
        <f t="shared" si="263"/>
        <v>1</v>
      </c>
      <c r="M131" s="62">
        <f t="shared" si="263"/>
        <v>1</v>
      </c>
      <c r="N131" s="62">
        <f t="shared" si="263"/>
        <v>1</v>
      </c>
      <c r="O131" s="62">
        <f t="shared" si="263"/>
        <v>1</v>
      </c>
      <c r="P131" s="62" t="str">
        <f t="shared" si="263"/>
        <v/>
      </c>
      <c r="Q131" s="62" t="str">
        <f t="shared" si="263"/>
        <v/>
      </c>
      <c r="R131" s="62">
        <f t="shared" si="7"/>
        <v>0</v>
      </c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</row>
    <row r="132" hidden="1">
      <c r="A132" s="60">
        <f>IFERROR(__xludf.DUMMYFUNCTION("""COMPUTED_VALUE"""),353.0)</f>
        <v>353</v>
      </c>
      <c r="B132" s="60" t="str">
        <f>IFERROR(__xludf.DUMMYFUNCTION("""COMPUTED_VALUE"""),"Dolphins, Miami")</f>
        <v>Dolphins, Miami</v>
      </c>
      <c r="C132" s="60" t="str">
        <f>IFERROR(__xludf.DUMMYFUNCTION("""COMPUTED_VALUE"""),"TMDB")</f>
        <v>TMDB</v>
      </c>
      <c r="D132" s="60" t="str">
        <f>IFERROR(__xludf.DUMMYFUNCTION("""COMPUTED_VALUE"""),"MIA")</f>
        <v>MIA</v>
      </c>
      <c r="E132" s="62" t="str">
        <f t="shared" si="4"/>
        <v>Miami Dolphins</v>
      </c>
      <c r="F132" s="62">
        <f t="shared" ref="F132:G132" si="264">IF(isblank(F$1),,IF(isblank($A132),,IFERROR(vlookup($A132,indirect("'TVC-"&amp;text(month(F$1),"00")&amp;"'!$A:$D"),4,false),1)))</f>
        <v>1</v>
      </c>
      <c r="G132" s="62">
        <f t="shared" si="264"/>
        <v>1</v>
      </c>
      <c r="H132" s="62">
        <f t="shared" ref="H132:Q132" si="265">IF(isblank(H$1),,IFERROR(vlookup($A132,indirect("'TVC-"&amp;text(month(H$1),"00")&amp;"'!$A:$D"),4,false),1))</f>
        <v>1</v>
      </c>
      <c r="I132" s="62">
        <f t="shared" si="265"/>
        <v>1</v>
      </c>
      <c r="J132" s="62">
        <f t="shared" si="265"/>
        <v>1</v>
      </c>
      <c r="K132" s="62">
        <f t="shared" si="265"/>
        <v>1</v>
      </c>
      <c r="L132" s="62">
        <f t="shared" si="265"/>
        <v>1</v>
      </c>
      <c r="M132" s="62">
        <f t="shared" si="265"/>
        <v>1</v>
      </c>
      <c r="N132" s="62">
        <f t="shared" si="265"/>
        <v>1</v>
      </c>
      <c r="O132" s="62">
        <f t="shared" si="265"/>
        <v>1</v>
      </c>
      <c r="P132" s="62" t="str">
        <f t="shared" si="265"/>
        <v/>
      </c>
      <c r="Q132" s="62" t="str">
        <f t="shared" si="265"/>
        <v/>
      </c>
      <c r="R132" s="62">
        <f t="shared" si="7"/>
        <v>0</v>
      </c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</row>
    <row r="133" hidden="1">
      <c r="A133" s="60">
        <f>IFERROR(__xludf.DUMMYFUNCTION("""COMPUTED_VALUE"""),354.0)</f>
        <v>354</v>
      </c>
      <c r="B133" s="60" t="str">
        <f>IFERROR(__xludf.DUMMYFUNCTION("""COMPUTED_VALUE"""),"Patriots, New England")</f>
        <v>Patriots, New England</v>
      </c>
      <c r="C133" s="60" t="str">
        <f>IFERROR(__xludf.DUMMYFUNCTION("""COMPUTED_VALUE"""),"TMDB")</f>
        <v>TMDB</v>
      </c>
      <c r="D133" s="60" t="str">
        <f>IFERROR(__xludf.DUMMYFUNCTION("""COMPUTED_VALUE"""),"NEP")</f>
        <v>NEP</v>
      </c>
      <c r="E133" s="62" t="str">
        <f t="shared" si="4"/>
        <v>New England Patriots</v>
      </c>
      <c r="F133" s="62">
        <f t="shared" ref="F133:G133" si="266">IF(isblank(F$1),,IF(isblank($A133),,IFERROR(vlookup($A133,indirect("'TVC-"&amp;text(month(F$1),"00")&amp;"'!$A:$D"),4,false),1)))</f>
        <v>1</v>
      </c>
      <c r="G133" s="62">
        <f t="shared" si="266"/>
        <v>1</v>
      </c>
      <c r="H133" s="62">
        <f t="shared" ref="H133:Q133" si="267">IF(isblank(H$1),,IFERROR(vlookup($A133,indirect("'TVC-"&amp;text(month(H$1),"00")&amp;"'!$A:$D"),4,false),1))</f>
        <v>1</v>
      </c>
      <c r="I133" s="62">
        <f t="shared" si="267"/>
        <v>1</v>
      </c>
      <c r="J133" s="62">
        <f t="shared" si="267"/>
        <v>1</v>
      </c>
      <c r="K133" s="62">
        <f t="shared" si="267"/>
        <v>1</v>
      </c>
      <c r="L133" s="62">
        <f t="shared" si="267"/>
        <v>1</v>
      </c>
      <c r="M133" s="62">
        <f t="shared" si="267"/>
        <v>1</v>
      </c>
      <c r="N133" s="62">
        <f t="shared" si="267"/>
        <v>1</v>
      </c>
      <c r="O133" s="62">
        <f t="shared" si="267"/>
        <v>1</v>
      </c>
      <c r="P133" s="62" t="str">
        <f t="shared" si="267"/>
        <v/>
      </c>
      <c r="Q133" s="62" t="str">
        <f t="shared" si="267"/>
        <v/>
      </c>
      <c r="R133" s="62">
        <f t="shared" si="7"/>
        <v>0</v>
      </c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</row>
    <row r="134" hidden="1">
      <c r="A134" s="60">
        <f>IFERROR(__xludf.DUMMYFUNCTION("""COMPUTED_VALUE"""),355.0)</f>
        <v>355</v>
      </c>
      <c r="B134" s="60" t="str">
        <f>IFERROR(__xludf.DUMMYFUNCTION("""COMPUTED_VALUE"""),"Jets, New York")</f>
        <v>Jets, New York</v>
      </c>
      <c r="C134" s="60" t="str">
        <f>IFERROR(__xludf.DUMMYFUNCTION("""COMPUTED_VALUE"""),"TMDB")</f>
        <v>TMDB</v>
      </c>
      <c r="D134" s="60" t="str">
        <f>IFERROR(__xludf.DUMMYFUNCTION("""COMPUTED_VALUE"""),"NYJ")</f>
        <v>NYJ</v>
      </c>
      <c r="E134" s="62" t="str">
        <f t="shared" si="4"/>
        <v>New York Jets</v>
      </c>
      <c r="F134" s="62">
        <f t="shared" ref="F134:G134" si="268">IF(isblank(F$1),,IF(isblank($A134),,IFERROR(vlookup($A134,indirect("'TVC-"&amp;text(month(F$1),"00")&amp;"'!$A:$D"),4,false),1)))</f>
        <v>1</v>
      </c>
      <c r="G134" s="62">
        <f t="shared" si="268"/>
        <v>1</v>
      </c>
      <c r="H134" s="62">
        <f t="shared" ref="H134:Q134" si="269">IF(isblank(H$1),,IFERROR(vlookup($A134,indirect("'TVC-"&amp;text(month(H$1),"00")&amp;"'!$A:$D"),4,false),1))</f>
        <v>1</v>
      </c>
      <c r="I134" s="62">
        <f t="shared" si="269"/>
        <v>1</v>
      </c>
      <c r="J134" s="62">
        <f t="shared" si="269"/>
        <v>1</v>
      </c>
      <c r="K134" s="62">
        <f t="shared" si="269"/>
        <v>1</v>
      </c>
      <c r="L134" s="62">
        <f t="shared" si="269"/>
        <v>1</v>
      </c>
      <c r="M134" s="62">
        <f t="shared" si="269"/>
        <v>1</v>
      </c>
      <c r="N134" s="62">
        <f t="shared" si="269"/>
        <v>1</v>
      </c>
      <c r="O134" s="62">
        <f t="shared" si="269"/>
        <v>1</v>
      </c>
      <c r="P134" s="62" t="str">
        <f t="shared" si="269"/>
        <v/>
      </c>
      <c r="Q134" s="62" t="str">
        <f t="shared" si="269"/>
        <v/>
      </c>
      <c r="R134" s="62">
        <f t="shared" si="7"/>
        <v>0</v>
      </c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</row>
    <row r="135" hidden="1">
      <c r="A135" s="60">
        <f>IFERROR(__xludf.DUMMYFUNCTION("""COMPUTED_VALUE"""),356.0)</f>
        <v>356</v>
      </c>
      <c r="B135" s="60" t="str">
        <f>IFERROR(__xludf.DUMMYFUNCTION("""COMPUTED_VALUE"""),"Bengals, Cincinnati")</f>
        <v>Bengals, Cincinnati</v>
      </c>
      <c r="C135" s="60" t="str">
        <f>IFERROR(__xludf.DUMMYFUNCTION("""COMPUTED_VALUE"""),"TMDB")</f>
        <v>TMDB</v>
      </c>
      <c r="D135" s="60" t="str">
        <f>IFERROR(__xludf.DUMMYFUNCTION("""COMPUTED_VALUE"""),"CIN")</f>
        <v>CIN</v>
      </c>
      <c r="E135" s="62" t="str">
        <f t="shared" si="4"/>
        <v>Cincinnati Bengals</v>
      </c>
      <c r="F135" s="62">
        <f t="shared" ref="F135:G135" si="270">IF(isblank(F$1),,IF(isblank($A135),,IFERROR(vlookup($A135,indirect("'TVC-"&amp;text(month(F$1),"00")&amp;"'!$A:$D"),4,false),1)))</f>
        <v>1</v>
      </c>
      <c r="G135" s="62">
        <f t="shared" si="270"/>
        <v>1</v>
      </c>
      <c r="H135" s="62">
        <f t="shared" ref="H135:Q135" si="271">IF(isblank(H$1),,IFERROR(vlookup($A135,indirect("'TVC-"&amp;text(month(H$1),"00")&amp;"'!$A:$D"),4,false),1))</f>
        <v>1</v>
      </c>
      <c r="I135" s="62">
        <f t="shared" si="271"/>
        <v>1</v>
      </c>
      <c r="J135" s="62">
        <f t="shared" si="271"/>
        <v>1</v>
      </c>
      <c r="K135" s="62">
        <f t="shared" si="271"/>
        <v>1</v>
      </c>
      <c r="L135" s="62">
        <f t="shared" si="271"/>
        <v>1</v>
      </c>
      <c r="M135" s="62">
        <f t="shared" si="271"/>
        <v>1</v>
      </c>
      <c r="N135" s="62">
        <f t="shared" si="271"/>
        <v>1</v>
      </c>
      <c r="O135" s="62">
        <f t="shared" si="271"/>
        <v>1</v>
      </c>
      <c r="P135" s="62" t="str">
        <f t="shared" si="271"/>
        <v/>
      </c>
      <c r="Q135" s="62" t="str">
        <f t="shared" si="271"/>
        <v/>
      </c>
      <c r="R135" s="62">
        <f t="shared" si="7"/>
        <v>0</v>
      </c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</row>
    <row r="136" hidden="1">
      <c r="A136" s="60">
        <f>IFERROR(__xludf.DUMMYFUNCTION("""COMPUTED_VALUE"""),357.0)</f>
        <v>357</v>
      </c>
      <c r="B136" s="60" t="str">
        <f>IFERROR(__xludf.DUMMYFUNCTION("""COMPUTED_VALUE"""),"Browns, Cleveland")</f>
        <v>Browns, Cleveland</v>
      </c>
      <c r="C136" s="60" t="str">
        <f>IFERROR(__xludf.DUMMYFUNCTION("""COMPUTED_VALUE"""),"TMDB")</f>
        <v>TMDB</v>
      </c>
      <c r="D136" s="60" t="str">
        <f>IFERROR(__xludf.DUMMYFUNCTION("""COMPUTED_VALUE"""),"CLE")</f>
        <v>CLE</v>
      </c>
      <c r="E136" s="62" t="str">
        <f t="shared" si="4"/>
        <v>Cleveland Browns</v>
      </c>
      <c r="F136" s="62">
        <f t="shared" ref="F136:G136" si="272">IF(isblank(F$1),,IF(isblank($A136),,IFERROR(vlookup($A136,indirect("'TVC-"&amp;text(month(F$1),"00")&amp;"'!$A:$D"),4,false),1)))</f>
        <v>1</v>
      </c>
      <c r="G136" s="62">
        <f t="shared" si="272"/>
        <v>1</v>
      </c>
      <c r="H136" s="62">
        <f t="shared" ref="H136:Q136" si="273">IF(isblank(H$1),,IFERROR(vlookup($A136,indirect("'TVC-"&amp;text(month(H$1),"00")&amp;"'!$A:$D"),4,false),1))</f>
        <v>1</v>
      </c>
      <c r="I136" s="62">
        <f t="shared" si="273"/>
        <v>1</v>
      </c>
      <c r="J136" s="62">
        <f t="shared" si="273"/>
        <v>1</v>
      </c>
      <c r="K136" s="62">
        <f t="shared" si="273"/>
        <v>1</v>
      </c>
      <c r="L136" s="62">
        <f t="shared" si="273"/>
        <v>1</v>
      </c>
      <c r="M136" s="62">
        <f t="shared" si="273"/>
        <v>1</v>
      </c>
      <c r="N136" s="62">
        <f t="shared" si="273"/>
        <v>1</v>
      </c>
      <c r="O136" s="62">
        <f t="shared" si="273"/>
        <v>1</v>
      </c>
      <c r="P136" s="62" t="str">
        <f t="shared" si="273"/>
        <v/>
      </c>
      <c r="Q136" s="62" t="str">
        <f t="shared" si="273"/>
        <v/>
      </c>
      <c r="R136" s="62">
        <f t="shared" si="7"/>
        <v>0</v>
      </c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</row>
    <row r="137" hidden="1">
      <c r="A137" s="60">
        <f>IFERROR(__xludf.DUMMYFUNCTION("""COMPUTED_VALUE"""),358.0)</f>
        <v>358</v>
      </c>
      <c r="B137" s="60" t="str">
        <f>IFERROR(__xludf.DUMMYFUNCTION("""COMPUTED_VALUE"""),"Titans, Tennessee")</f>
        <v>Titans, Tennessee</v>
      </c>
      <c r="C137" s="60" t="str">
        <f>IFERROR(__xludf.DUMMYFUNCTION("""COMPUTED_VALUE"""),"TMDB")</f>
        <v>TMDB</v>
      </c>
      <c r="D137" s="60" t="str">
        <f>IFERROR(__xludf.DUMMYFUNCTION("""COMPUTED_VALUE"""),"TEN")</f>
        <v>TEN</v>
      </c>
      <c r="E137" s="62" t="str">
        <f t="shared" si="4"/>
        <v>Tennessee Titans</v>
      </c>
      <c r="F137" s="62">
        <f t="shared" ref="F137:G137" si="274">IF(isblank(F$1),,IF(isblank($A137),,IFERROR(vlookup($A137,indirect("'TVC-"&amp;text(month(F$1),"00")&amp;"'!$A:$D"),4,false),1)))</f>
        <v>1</v>
      </c>
      <c r="G137" s="62">
        <f t="shared" si="274"/>
        <v>1</v>
      </c>
      <c r="H137" s="62">
        <f t="shared" ref="H137:Q137" si="275">IF(isblank(H$1),,IFERROR(vlookup($A137,indirect("'TVC-"&amp;text(month(H$1),"00")&amp;"'!$A:$D"),4,false),1))</f>
        <v>1</v>
      </c>
      <c r="I137" s="62">
        <f t="shared" si="275"/>
        <v>1</v>
      </c>
      <c r="J137" s="62">
        <f t="shared" si="275"/>
        <v>1</v>
      </c>
      <c r="K137" s="62">
        <f t="shared" si="275"/>
        <v>1</v>
      </c>
      <c r="L137" s="62">
        <f t="shared" si="275"/>
        <v>1</v>
      </c>
      <c r="M137" s="62">
        <f t="shared" si="275"/>
        <v>1</v>
      </c>
      <c r="N137" s="62">
        <f t="shared" si="275"/>
        <v>1</v>
      </c>
      <c r="O137" s="62">
        <f t="shared" si="275"/>
        <v>1</v>
      </c>
      <c r="P137" s="62" t="str">
        <f t="shared" si="275"/>
        <v/>
      </c>
      <c r="Q137" s="62" t="str">
        <f t="shared" si="275"/>
        <v/>
      </c>
      <c r="R137" s="62">
        <f t="shared" si="7"/>
        <v>0</v>
      </c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</row>
    <row r="138" hidden="1">
      <c r="A138" s="60">
        <f>IFERROR(__xludf.DUMMYFUNCTION("""COMPUTED_VALUE"""),359.0)</f>
        <v>359</v>
      </c>
      <c r="B138" s="60" t="str">
        <f>IFERROR(__xludf.DUMMYFUNCTION("""COMPUTED_VALUE"""),"Jaguars, Jacksonville")</f>
        <v>Jaguars, Jacksonville</v>
      </c>
      <c r="C138" s="60" t="str">
        <f>IFERROR(__xludf.DUMMYFUNCTION("""COMPUTED_VALUE"""),"TMDB")</f>
        <v>TMDB</v>
      </c>
      <c r="D138" s="60" t="str">
        <f>IFERROR(__xludf.DUMMYFUNCTION("""COMPUTED_VALUE"""),"JAC")</f>
        <v>JAC</v>
      </c>
      <c r="E138" s="62" t="str">
        <f t="shared" si="4"/>
        <v>Jacksonville Jaguars</v>
      </c>
      <c r="F138" s="62">
        <f t="shared" ref="F138:G138" si="276">IF(isblank(F$1),,IF(isblank($A138),,IFERROR(vlookup($A138,indirect("'TVC-"&amp;text(month(F$1),"00")&amp;"'!$A:$D"),4,false),1)))</f>
        <v>1</v>
      </c>
      <c r="G138" s="62">
        <f t="shared" si="276"/>
        <v>1</v>
      </c>
      <c r="H138" s="62">
        <f t="shared" ref="H138:Q138" si="277">IF(isblank(H$1),,IFERROR(vlookup($A138,indirect("'TVC-"&amp;text(month(H$1),"00")&amp;"'!$A:$D"),4,false),1))</f>
        <v>1</v>
      </c>
      <c r="I138" s="62">
        <f t="shared" si="277"/>
        <v>1</v>
      </c>
      <c r="J138" s="62">
        <f t="shared" si="277"/>
        <v>1</v>
      </c>
      <c r="K138" s="62">
        <f t="shared" si="277"/>
        <v>1</v>
      </c>
      <c r="L138" s="62">
        <f t="shared" si="277"/>
        <v>1</v>
      </c>
      <c r="M138" s="62">
        <f t="shared" si="277"/>
        <v>1</v>
      </c>
      <c r="N138" s="62">
        <f t="shared" si="277"/>
        <v>1</v>
      </c>
      <c r="O138" s="62">
        <f t="shared" si="277"/>
        <v>1</v>
      </c>
      <c r="P138" s="62" t="str">
        <f t="shared" si="277"/>
        <v/>
      </c>
      <c r="Q138" s="62" t="str">
        <f t="shared" si="277"/>
        <v/>
      </c>
      <c r="R138" s="62">
        <f t="shared" si="7"/>
        <v>0</v>
      </c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</row>
    <row r="139" hidden="1">
      <c r="A139" s="60">
        <f>IFERROR(__xludf.DUMMYFUNCTION("""COMPUTED_VALUE"""),360.0)</f>
        <v>360</v>
      </c>
      <c r="B139" s="60" t="str">
        <f>IFERROR(__xludf.DUMMYFUNCTION("""COMPUTED_VALUE"""),"Steelers, Pittsburgh")</f>
        <v>Steelers, Pittsburgh</v>
      </c>
      <c r="C139" s="60" t="str">
        <f>IFERROR(__xludf.DUMMYFUNCTION("""COMPUTED_VALUE"""),"TMDB")</f>
        <v>TMDB</v>
      </c>
      <c r="D139" s="60" t="str">
        <f>IFERROR(__xludf.DUMMYFUNCTION("""COMPUTED_VALUE"""),"PIT")</f>
        <v>PIT</v>
      </c>
      <c r="E139" s="62" t="str">
        <f t="shared" si="4"/>
        <v>Pittsburgh Steelers</v>
      </c>
      <c r="F139" s="62">
        <f t="shared" ref="F139:G139" si="278">IF(isblank(F$1),,IF(isblank($A139),,IFERROR(vlookup($A139,indirect("'TVC-"&amp;text(month(F$1),"00")&amp;"'!$A:$D"),4,false),1)))</f>
        <v>1</v>
      </c>
      <c r="G139" s="62">
        <f t="shared" si="278"/>
        <v>1</v>
      </c>
      <c r="H139" s="62">
        <f t="shared" ref="H139:Q139" si="279">IF(isblank(H$1),,IFERROR(vlookup($A139,indirect("'TVC-"&amp;text(month(H$1),"00")&amp;"'!$A:$D"),4,false),1))</f>
        <v>1</v>
      </c>
      <c r="I139" s="62">
        <f t="shared" si="279"/>
        <v>1</v>
      </c>
      <c r="J139" s="62">
        <f t="shared" si="279"/>
        <v>1</v>
      </c>
      <c r="K139" s="62">
        <f t="shared" si="279"/>
        <v>1</v>
      </c>
      <c r="L139" s="62">
        <f t="shared" si="279"/>
        <v>1</v>
      </c>
      <c r="M139" s="62">
        <f t="shared" si="279"/>
        <v>1</v>
      </c>
      <c r="N139" s="62">
        <f t="shared" si="279"/>
        <v>1</v>
      </c>
      <c r="O139" s="62">
        <f t="shared" si="279"/>
        <v>1</v>
      </c>
      <c r="P139" s="62" t="str">
        <f t="shared" si="279"/>
        <v/>
      </c>
      <c r="Q139" s="62" t="str">
        <f t="shared" si="279"/>
        <v/>
      </c>
      <c r="R139" s="62">
        <f t="shared" si="7"/>
        <v>0</v>
      </c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</row>
    <row r="140" hidden="1">
      <c r="A140" s="60">
        <f>IFERROR(__xludf.DUMMYFUNCTION("""COMPUTED_VALUE"""),361.0)</f>
        <v>361</v>
      </c>
      <c r="B140" s="60" t="str">
        <f>IFERROR(__xludf.DUMMYFUNCTION("""COMPUTED_VALUE"""),"Broncos, Denver")</f>
        <v>Broncos, Denver</v>
      </c>
      <c r="C140" s="60" t="str">
        <f>IFERROR(__xludf.DUMMYFUNCTION("""COMPUTED_VALUE"""),"TMDB")</f>
        <v>TMDB</v>
      </c>
      <c r="D140" s="60" t="str">
        <f>IFERROR(__xludf.DUMMYFUNCTION("""COMPUTED_VALUE"""),"DEN")</f>
        <v>DEN</v>
      </c>
      <c r="E140" s="62" t="str">
        <f t="shared" si="4"/>
        <v>Denver Broncos</v>
      </c>
      <c r="F140" s="62">
        <f t="shared" ref="F140:G140" si="280">IF(isblank(F$1),,IF(isblank($A140),,IFERROR(vlookup($A140,indirect("'TVC-"&amp;text(month(F$1),"00")&amp;"'!$A:$D"),4,false),1)))</f>
        <v>1</v>
      </c>
      <c r="G140" s="62">
        <f t="shared" si="280"/>
        <v>1</v>
      </c>
      <c r="H140" s="62">
        <f t="shared" ref="H140:Q140" si="281">IF(isblank(H$1),,IFERROR(vlookup($A140,indirect("'TVC-"&amp;text(month(H$1),"00")&amp;"'!$A:$D"),4,false),1))</f>
        <v>1</v>
      </c>
      <c r="I140" s="62">
        <f t="shared" si="281"/>
        <v>1</v>
      </c>
      <c r="J140" s="62">
        <f t="shared" si="281"/>
        <v>1</v>
      </c>
      <c r="K140" s="62">
        <f t="shared" si="281"/>
        <v>1</v>
      </c>
      <c r="L140" s="62">
        <f t="shared" si="281"/>
        <v>1</v>
      </c>
      <c r="M140" s="62">
        <f t="shared" si="281"/>
        <v>1</v>
      </c>
      <c r="N140" s="62">
        <f t="shared" si="281"/>
        <v>1</v>
      </c>
      <c r="O140" s="62">
        <f t="shared" si="281"/>
        <v>1</v>
      </c>
      <c r="P140" s="62" t="str">
        <f t="shared" si="281"/>
        <v/>
      </c>
      <c r="Q140" s="62" t="str">
        <f t="shared" si="281"/>
        <v/>
      </c>
      <c r="R140" s="62">
        <f t="shared" si="7"/>
        <v>0</v>
      </c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</row>
    <row r="141" hidden="1">
      <c r="A141" s="60">
        <f>IFERROR(__xludf.DUMMYFUNCTION("""COMPUTED_VALUE"""),362.0)</f>
        <v>362</v>
      </c>
      <c r="B141" s="60" t="str">
        <f>IFERROR(__xludf.DUMMYFUNCTION("""COMPUTED_VALUE"""),"Chiefs, Kansas City")</f>
        <v>Chiefs, Kansas City</v>
      </c>
      <c r="C141" s="60" t="str">
        <f>IFERROR(__xludf.DUMMYFUNCTION("""COMPUTED_VALUE"""),"TMDB")</f>
        <v>TMDB</v>
      </c>
      <c r="D141" s="60" t="str">
        <f>IFERROR(__xludf.DUMMYFUNCTION("""COMPUTED_VALUE"""),"KCC")</f>
        <v>KCC</v>
      </c>
      <c r="E141" s="62" t="str">
        <f t="shared" si="4"/>
        <v>Kansas City Chiefs</v>
      </c>
      <c r="F141" s="62">
        <f t="shared" ref="F141:G141" si="282">IF(isblank(F$1),,IF(isblank($A141),,IFERROR(vlookup($A141,indirect("'TVC-"&amp;text(month(F$1),"00")&amp;"'!$A:$D"),4,false),1)))</f>
        <v>1</v>
      </c>
      <c r="G141" s="62">
        <f t="shared" si="282"/>
        <v>1</v>
      </c>
      <c r="H141" s="62">
        <f t="shared" ref="H141:Q141" si="283">IF(isblank(H$1),,IFERROR(vlookup($A141,indirect("'TVC-"&amp;text(month(H$1),"00")&amp;"'!$A:$D"),4,false),1))</f>
        <v>1</v>
      </c>
      <c r="I141" s="62">
        <f t="shared" si="283"/>
        <v>1</v>
      </c>
      <c r="J141" s="62">
        <f t="shared" si="283"/>
        <v>1</v>
      </c>
      <c r="K141" s="62">
        <f t="shared" si="283"/>
        <v>1</v>
      </c>
      <c r="L141" s="62">
        <f t="shared" si="283"/>
        <v>1</v>
      </c>
      <c r="M141" s="62">
        <f t="shared" si="283"/>
        <v>1</v>
      </c>
      <c r="N141" s="62">
        <f t="shared" si="283"/>
        <v>1</v>
      </c>
      <c r="O141" s="62">
        <f t="shared" si="283"/>
        <v>1</v>
      </c>
      <c r="P141" s="62" t="str">
        <f t="shared" si="283"/>
        <v/>
      </c>
      <c r="Q141" s="62" t="str">
        <f t="shared" si="283"/>
        <v/>
      </c>
      <c r="R141" s="62">
        <f t="shared" si="7"/>
        <v>0</v>
      </c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</row>
    <row r="142" hidden="1">
      <c r="A142" s="60">
        <f>IFERROR(__xludf.DUMMYFUNCTION("""COMPUTED_VALUE"""),363.0)</f>
        <v>363</v>
      </c>
      <c r="B142" s="60" t="str">
        <f>IFERROR(__xludf.DUMMYFUNCTION("""COMPUTED_VALUE"""),"Raiders, Las Vegas")</f>
        <v>Raiders, Las Vegas</v>
      </c>
      <c r="C142" s="60" t="str">
        <f>IFERROR(__xludf.DUMMYFUNCTION("""COMPUTED_VALUE"""),"TMDB")</f>
        <v>TMDB</v>
      </c>
      <c r="D142" s="60" t="str">
        <f>IFERROR(__xludf.DUMMYFUNCTION("""COMPUTED_VALUE"""),"LVR")</f>
        <v>LVR</v>
      </c>
      <c r="E142" s="62" t="str">
        <f t="shared" si="4"/>
        <v>Las Vegas Raiders</v>
      </c>
      <c r="F142" s="62">
        <f t="shared" ref="F142:G142" si="284">IF(isblank(F$1),,IF(isblank($A142),,IFERROR(vlookup($A142,indirect("'TVC-"&amp;text(month(F$1),"00")&amp;"'!$A:$D"),4,false),1)))</f>
        <v>1</v>
      </c>
      <c r="G142" s="62">
        <f t="shared" si="284"/>
        <v>1</v>
      </c>
      <c r="H142" s="62">
        <f t="shared" ref="H142:Q142" si="285">IF(isblank(H$1),,IFERROR(vlookup($A142,indirect("'TVC-"&amp;text(month(H$1),"00")&amp;"'!$A:$D"),4,false),1))</f>
        <v>1</v>
      </c>
      <c r="I142" s="62">
        <f t="shared" si="285"/>
        <v>1</v>
      </c>
      <c r="J142" s="62">
        <f t="shared" si="285"/>
        <v>1</v>
      </c>
      <c r="K142" s="62">
        <f t="shared" si="285"/>
        <v>1</v>
      </c>
      <c r="L142" s="62">
        <f t="shared" si="285"/>
        <v>1</v>
      </c>
      <c r="M142" s="62">
        <f t="shared" si="285"/>
        <v>1</v>
      </c>
      <c r="N142" s="62">
        <f t="shared" si="285"/>
        <v>1</v>
      </c>
      <c r="O142" s="62">
        <f t="shared" si="285"/>
        <v>1</v>
      </c>
      <c r="P142" s="62" t="str">
        <f t="shared" si="285"/>
        <v/>
      </c>
      <c r="Q142" s="62" t="str">
        <f t="shared" si="285"/>
        <v/>
      </c>
      <c r="R142" s="62">
        <f t="shared" si="7"/>
        <v>0</v>
      </c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</row>
    <row r="143" hidden="1">
      <c r="A143" s="60">
        <f>IFERROR(__xludf.DUMMYFUNCTION("""COMPUTED_VALUE"""),364.0)</f>
        <v>364</v>
      </c>
      <c r="B143" s="60" t="str">
        <f>IFERROR(__xludf.DUMMYFUNCTION("""COMPUTED_VALUE"""),"Chargers, Los Angeles")</f>
        <v>Chargers, Los Angeles</v>
      </c>
      <c r="C143" s="60" t="str">
        <f>IFERROR(__xludf.DUMMYFUNCTION("""COMPUTED_VALUE"""),"TMDB")</f>
        <v>TMDB</v>
      </c>
      <c r="D143" s="60" t="str">
        <f>IFERROR(__xludf.DUMMYFUNCTION("""COMPUTED_VALUE"""),"LAC")</f>
        <v>LAC</v>
      </c>
      <c r="E143" s="62" t="str">
        <f t="shared" si="4"/>
        <v>Los Angeles Chargers</v>
      </c>
      <c r="F143" s="62">
        <f t="shared" ref="F143:G143" si="286">IF(isblank(F$1),,IF(isblank($A143),,IFERROR(vlookup($A143,indirect("'TVC-"&amp;text(month(F$1),"00")&amp;"'!$A:$D"),4,false),1)))</f>
        <v>1</v>
      </c>
      <c r="G143" s="62">
        <f t="shared" si="286"/>
        <v>1</v>
      </c>
      <c r="H143" s="62">
        <f t="shared" ref="H143:Q143" si="287">IF(isblank(H$1),,IFERROR(vlookup($A143,indirect("'TVC-"&amp;text(month(H$1),"00")&amp;"'!$A:$D"),4,false),1))</f>
        <v>1</v>
      </c>
      <c r="I143" s="62">
        <f t="shared" si="287"/>
        <v>1</v>
      </c>
      <c r="J143" s="62">
        <f t="shared" si="287"/>
        <v>1</v>
      </c>
      <c r="K143" s="62">
        <f t="shared" si="287"/>
        <v>1</v>
      </c>
      <c r="L143" s="62">
        <f t="shared" si="287"/>
        <v>1</v>
      </c>
      <c r="M143" s="62">
        <f t="shared" si="287"/>
        <v>1</v>
      </c>
      <c r="N143" s="62">
        <f t="shared" si="287"/>
        <v>1</v>
      </c>
      <c r="O143" s="62">
        <f t="shared" si="287"/>
        <v>1</v>
      </c>
      <c r="P143" s="62" t="str">
        <f t="shared" si="287"/>
        <v/>
      </c>
      <c r="Q143" s="62" t="str">
        <f t="shared" si="287"/>
        <v/>
      </c>
      <c r="R143" s="62">
        <f t="shared" si="7"/>
        <v>0</v>
      </c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</row>
    <row r="144" hidden="1">
      <c r="A144" s="60">
        <f>IFERROR(__xludf.DUMMYFUNCTION("""COMPUTED_VALUE"""),365.0)</f>
        <v>365</v>
      </c>
      <c r="B144" s="60" t="str">
        <f>IFERROR(__xludf.DUMMYFUNCTION("""COMPUTED_VALUE"""),"Seahawks, Seattle")</f>
        <v>Seahawks, Seattle</v>
      </c>
      <c r="C144" s="60" t="str">
        <f>IFERROR(__xludf.DUMMYFUNCTION("""COMPUTED_VALUE"""),"TMDB")</f>
        <v>TMDB</v>
      </c>
      <c r="D144" s="60" t="str">
        <f>IFERROR(__xludf.DUMMYFUNCTION("""COMPUTED_VALUE"""),"SEA")</f>
        <v>SEA</v>
      </c>
      <c r="E144" s="62" t="str">
        <f t="shared" si="4"/>
        <v>Seattle Seahawks</v>
      </c>
      <c r="F144" s="62">
        <f t="shared" ref="F144:G144" si="288">IF(isblank(F$1),,IF(isblank($A144),,IFERROR(vlookup($A144,indirect("'TVC-"&amp;text(month(F$1),"00")&amp;"'!$A:$D"),4,false),1)))</f>
        <v>1</v>
      </c>
      <c r="G144" s="62">
        <f t="shared" si="288"/>
        <v>1</v>
      </c>
      <c r="H144" s="62">
        <f t="shared" ref="H144:Q144" si="289">IF(isblank(H$1),,IFERROR(vlookup($A144,indirect("'TVC-"&amp;text(month(H$1),"00")&amp;"'!$A:$D"),4,false),1))</f>
        <v>1</v>
      </c>
      <c r="I144" s="62">
        <f t="shared" si="289"/>
        <v>1</v>
      </c>
      <c r="J144" s="62">
        <f t="shared" si="289"/>
        <v>1</v>
      </c>
      <c r="K144" s="62">
        <f t="shared" si="289"/>
        <v>1</v>
      </c>
      <c r="L144" s="62">
        <f t="shared" si="289"/>
        <v>1</v>
      </c>
      <c r="M144" s="62">
        <f t="shared" si="289"/>
        <v>1</v>
      </c>
      <c r="N144" s="62">
        <f t="shared" si="289"/>
        <v>1</v>
      </c>
      <c r="O144" s="62">
        <f t="shared" si="289"/>
        <v>1</v>
      </c>
      <c r="P144" s="62" t="str">
        <f t="shared" si="289"/>
        <v/>
      </c>
      <c r="Q144" s="62" t="str">
        <f t="shared" si="289"/>
        <v/>
      </c>
      <c r="R144" s="62">
        <f t="shared" si="7"/>
        <v>0</v>
      </c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</row>
    <row r="145" hidden="1">
      <c r="A145" s="60">
        <f>IFERROR(__xludf.DUMMYFUNCTION("""COMPUTED_VALUE"""),366.0)</f>
        <v>366</v>
      </c>
      <c r="B145" s="60" t="str">
        <f>IFERROR(__xludf.DUMMYFUNCTION("""COMPUTED_VALUE"""),"Cowboys, Dallas")</f>
        <v>Cowboys, Dallas</v>
      </c>
      <c r="C145" s="60" t="str">
        <f>IFERROR(__xludf.DUMMYFUNCTION("""COMPUTED_VALUE"""),"TMDB")</f>
        <v>TMDB</v>
      </c>
      <c r="D145" s="60" t="str">
        <f>IFERROR(__xludf.DUMMYFUNCTION("""COMPUTED_VALUE"""),"DAL")</f>
        <v>DAL</v>
      </c>
      <c r="E145" s="62" t="str">
        <f t="shared" si="4"/>
        <v>Dallas Cowboys</v>
      </c>
      <c r="F145" s="62">
        <f t="shared" ref="F145:G145" si="290">IF(isblank(F$1),,IF(isblank($A145),,IFERROR(vlookup($A145,indirect("'TVC-"&amp;text(month(F$1),"00")&amp;"'!$A:$D"),4,false),1)))</f>
        <v>1</v>
      </c>
      <c r="G145" s="62">
        <f t="shared" si="290"/>
        <v>1</v>
      </c>
      <c r="H145" s="62">
        <f t="shared" ref="H145:Q145" si="291">IF(isblank(H$1),,IFERROR(vlookup($A145,indirect("'TVC-"&amp;text(month(H$1),"00")&amp;"'!$A:$D"),4,false),1))</f>
        <v>1</v>
      </c>
      <c r="I145" s="62">
        <f t="shared" si="291"/>
        <v>1</v>
      </c>
      <c r="J145" s="62">
        <f t="shared" si="291"/>
        <v>1</v>
      </c>
      <c r="K145" s="62">
        <f t="shared" si="291"/>
        <v>1</v>
      </c>
      <c r="L145" s="62">
        <f t="shared" si="291"/>
        <v>1</v>
      </c>
      <c r="M145" s="62">
        <f t="shared" si="291"/>
        <v>1</v>
      </c>
      <c r="N145" s="62">
        <f t="shared" si="291"/>
        <v>1</v>
      </c>
      <c r="O145" s="62">
        <f t="shared" si="291"/>
        <v>1</v>
      </c>
      <c r="P145" s="62" t="str">
        <f t="shared" si="291"/>
        <v/>
      </c>
      <c r="Q145" s="62" t="str">
        <f t="shared" si="291"/>
        <v/>
      </c>
      <c r="R145" s="62">
        <f t="shared" si="7"/>
        <v>0</v>
      </c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</row>
    <row r="146" hidden="1">
      <c r="A146" s="60">
        <f>IFERROR(__xludf.DUMMYFUNCTION("""COMPUTED_VALUE"""),367.0)</f>
        <v>367</v>
      </c>
      <c r="B146" s="60" t="str">
        <f>IFERROR(__xludf.DUMMYFUNCTION("""COMPUTED_VALUE"""),"Giants, New York")</f>
        <v>Giants, New York</v>
      </c>
      <c r="C146" s="60" t="str">
        <f>IFERROR(__xludf.DUMMYFUNCTION("""COMPUTED_VALUE"""),"TMDB")</f>
        <v>TMDB</v>
      </c>
      <c r="D146" s="60" t="str">
        <f>IFERROR(__xludf.DUMMYFUNCTION("""COMPUTED_VALUE"""),"NYG")</f>
        <v>NYG</v>
      </c>
      <c r="E146" s="62" t="str">
        <f t="shared" si="4"/>
        <v>New York Giants</v>
      </c>
      <c r="F146" s="62">
        <f t="shared" ref="F146:G146" si="292">IF(isblank(F$1),,IF(isblank($A146),,IFERROR(vlookup($A146,indirect("'TVC-"&amp;text(month(F$1),"00")&amp;"'!$A:$D"),4,false),1)))</f>
        <v>1</v>
      </c>
      <c r="G146" s="62">
        <f t="shared" si="292"/>
        <v>1</v>
      </c>
      <c r="H146" s="62">
        <f t="shared" ref="H146:Q146" si="293">IF(isblank(H$1),,IFERROR(vlookup($A146,indirect("'TVC-"&amp;text(month(H$1),"00")&amp;"'!$A:$D"),4,false),1))</f>
        <v>1</v>
      </c>
      <c r="I146" s="62">
        <f t="shared" si="293"/>
        <v>1</v>
      </c>
      <c r="J146" s="62">
        <f t="shared" si="293"/>
        <v>1</v>
      </c>
      <c r="K146" s="62">
        <f t="shared" si="293"/>
        <v>1</v>
      </c>
      <c r="L146" s="62">
        <f t="shared" si="293"/>
        <v>1</v>
      </c>
      <c r="M146" s="62">
        <f t="shared" si="293"/>
        <v>1</v>
      </c>
      <c r="N146" s="62">
        <f t="shared" si="293"/>
        <v>1</v>
      </c>
      <c r="O146" s="62">
        <f t="shared" si="293"/>
        <v>1</v>
      </c>
      <c r="P146" s="62" t="str">
        <f t="shared" si="293"/>
        <v/>
      </c>
      <c r="Q146" s="62" t="str">
        <f t="shared" si="293"/>
        <v/>
      </c>
      <c r="R146" s="62">
        <f t="shared" si="7"/>
        <v>0</v>
      </c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</row>
    <row r="147" hidden="1">
      <c r="A147" s="60">
        <f>IFERROR(__xludf.DUMMYFUNCTION("""COMPUTED_VALUE"""),368.0)</f>
        <v>368</v>
      </c>
      <c r="B147" s="60" t="str">
        <f>IFERROR(__xludf.DUMMYFUNCTION("""COMPUTED_VALUE"""),"Eagles, Philadelphia")</f>
        <v>Eagles, Philadelphia</v>
      </c>
      <c r="C147" s="60" t="str">
        <f>IFERROR(__xludf.DUMMYFUNCTION("""COMPUTED_VALUE"""),"TMDB")</f>
        <v>TMDB</v>
      </c>
      <c r="D147" s="60" t="str">
        <f>IFERROR(__xludf.DUMMYFUNCTION("""COMPUTED_VALUE"""),"PHI")</f>
        <v>PHI</v>
      </c>
      <c r="E147" s="62" t="str">
        <f t="shared" si="4"/>
        <v>Philadelphia Eagles</v>
      </c>
      <c r="F147" s="62">
        <f t="shared" ref="F147:G147" si="294">IF(isblank(F$1),,IF(isblank($A147),,IFERROR(vlookup($A147,indirect("'TVC-"&amp;text(month(F$1),"00")&amp;"'!$A:$D"),4,false),1)))</f>
        <v>1</v>
      </c>
      <c r="G147" s="62">
        <f t="shared" si="294"/>
        <v>1</v>
      </c>
      <c r="H147" s="62">
        <f t="shared" ref="H147:Q147" si="295">IF(isblank(H$1),,IFERROR(vlookup($A147,indirect("'TVC-"&amp;text(month(H$1),"00")&amp;"'!$A:$D"),4,false),1))</f>
        <v>1</v>
      </c>
      <c r="I147" s="62">
        <f t="shared" si="295"/>
        <v>1</v>
      </c>
      <c r="J147" s="62">
        <f t="shared" si="295"/>
        <v>1</v>
      </c>
      <c r="K147" s="62">
        <f t="shared" si="295"/>
        <v>1</v>
      </c>
      <c r="L147" s="62">
        <f t="shared" si="295"/>
        <v>1</v>
      </c>
      <c r="M147" s="62">
        <f t="shared" si="295"/>
        <v>1</v>
      </c>
      <c r="N147" s="62">
        <f t="shared" si="295"/>
        <v>1</v>
      </c>
      <c r="O147" s="62">
        <f t="shared" si="295"/>
        <v>1</v>
      </c>
      <c r="P147" s="62" t="str">
        <f t="shared" si="295"/>
        <v/>
      </c>
      <c r="Q147" s="62" t="str">
        <f t="shared" si="295"/>
        <v/>
      </c>
      <c r="R147" s="62">
        <f t="shared" si="7"/>
        <v>0</v>
      </c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</row>
    <row r="148" hidden="1">
      <c r="A148" s="60">
        <f>IFERROR(__xludf.DUMMYFUNCTION("""COMPUTED_VALUE"""),369.0)</f>
        <v>369</v>
      </c>
      <c r="B148" s="60" t="str">
        <f>IFERROR(__xludf.DUMMYFUNCTION("""COMPUTED_VALUE"""),"Cardinals, Arizona")</f>
        <v>Cardinals, Arizona</v>
      </c>
      <c r="C148" s="60" t="str">
        <f>IFERROR(__xludf.DUMMYFUNCTION("""COMPUTED_VALUE"""),"TMDB")</f>
        <v>TMDB</v>
      </c>
      <c r="D148" s="60" t="str">
        <f>IFERROR(__xludf.DUMMYFUNCTION("""COMPUTED_VALUE"""),"ARI")</f>
        <v>ARI</v>
      </c>
      <c r="E148" s="62" t="str">
        <f t="shared" si="4"/>
        <v>Arizona Cardinals</v>
      </c>
      <c r="F148" s="62">
        <f t="shared" ref="F148:G148" si="296">IF(isblank(F$1),,IF(isblank($A148),,IFERROR(vlookup($A148,indirect("'TVC-"&amp;text(month(F$1),"00")&amp;"'!$A:$D"),4,false),1)))</f>
        <v>1</v>
      </c>
      <c r="G148" s="62">
        <f t="shared" si="296"/>
        <v>1</v>
      </c>
      <c r="H148" s="62">
        <f t="shared" ref="H148:Q148" si="297">IF(isblank(H$1),,IFERROR(vlookup($A148,indirect("'TVC-"&amp;text(month(H$1),"00")&amp;"'!$A:$D"),4,false),1))</f>
        <v>1</v>
      </c>
      <c r="I148" s="62">
        <f t="shared" si="297"/>
        <v>1</v>
      </c>
      <c r="J148" s="62">
        <f t="shared" si="297"/>
        <v>1</v>
      </c>
      <c r="K148" s="62">
        <f t="shared" si="297"/>
        <v>1</v>
      </c>
      <c r="L148" s="62">
        <f t="shared" si="297"/>
        <v>1</v>
      </c>
      <c r="M148" s="62">
        <f t="shared" si="297"/>
        <v>1</v>
      </c>
      <c r="N148" s="62">
        <f t="shared" si="297"/>
        <v>1</v>
      </c>
      <c r="O148" s="62">
        <f t="shared" si="297"/>
        <v>1</v>
      </c>
      <c r="P148" s="62" t="str">
        <f t="shared" si="297"/>
        <v/>
      </c>
      <c r="Q148" s="62" t="str">
        <f t="shared" si="297"/>
        <v/>
      </c>
      <c r="R148" s="62">
        <f t="shared" si="7"/>
        <v>0</v>
      </c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</row>
    <row r="149" hidden="1">
      <c r="A149" s="60">
        <f>IFERROR(__xludf.DUMMYFUNCTION("""COMPUTED_VALUE"""),370.0)</f>
        <v>370</v>
      </c>
      <c r="B149" s="60" t="str">
        <f>IFERROR(__xludf.DUMMYFUNCTION("""COMPUTED_VALUE"""),"Commanders, Washington")</f>
        <v>Commanders, Washington</v>
      </c>
      <c r="C149" s="60" t="str">
        <f>IFERROR(__xludf.DUMMYFUNCTION("""COMPUTED_VALUE"""),"TMDB")</f>
        <v>TMDB</v>
      </c>
      <c r="D149" s="60" t="str">
        <f>IFERROR(__xludf.DUMMYFUNCTION("""COMPUTED_VALUE"""),"WAS")</f>
        <v>WAS</v>
      </c>
      <c r="E149" s="62" t="str">
        <f t="shared" si="4"/>
        <v>Washington Commanders</v>
      </c>
      <c r="F149" s="62">
        <f t="shared" ref="F149:G149" si="298">IF(isblank(F$1),,IF(isblank($A149),,IFERROR(vlookup($A149,indirect("'TVC-"&amp;text(month(F$1),"00")&amp;"'!$A:$D"),4,false),1)))</f>
        <v>1</v>
      </c>
      <c r="G149" s="62">
        <f t="shared" si="298"/>
        <v>1</v>
      </c>
      <c r="H149" s="62">
        <f t="shared" ref="H149:Q149" si="299">IF(isblank(H$1),,IFERROR(vlookup($A149,indirect("'TVC-"&amp;text(month(H$1),"00")&amp;"'!$A:$D"),4,false),1))</f>
        <v>1</v>
      </c>
      <c r="I149" s="62">
        <f t="shared" si="299"/>
        <v>1</v>
      </c>
      <c r="J149" s="62">
        <f t="shared" si="299"/>
        <v>1</v>
      </c>
      <c r="K149" s="62">
        <f t="shared" si="299"/>
        <v>1</v>
      </c>
      <c r="L149" s="62">
        <f t="shared" si="299"/>
        <v>1</v>
      </c>
      <c r="M149" s="62">
        <f t="shared" si="299"/>
        <v>1</v>
      </c>
      <c r="N149" s="62">
        <f t="shared" si="299"/>
        <v>1</v>
      </c>
      <c r="O149" s="62">
        <f t="shared" si="299"/>
        <v>1</v>
      </c>
      <c r="P149" s="62" t="str">
        <f t="shared" si="299"/>
        <v/>
      </c>
      <c r="Q149" s="62" t="str">
        <f t="shared" si="299"/>
        <v/>
      </c>
      <c r="R149" s="62">
        <f t="shared" si="7"/>
        <v>0</v>
      </c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</row>
    <row r="150" hidden="1">
      <c r="A150" s="60">
        <f>IFERROR(__xludf.DUMMYFUNCTION("""COMPUTED_VALUE"""),371.0)</f>
        <v>371</v>
      </c>
      <c r="B150" s="60" t="str">
        <f>IFERROR(__xludf.DUMMYFUNCTION("""COMPUTED_VALUE"""),"Bears, Chicago")</f>
        <v>Bears, Chicago</v>
      </c>
      <c r="C150" s="60" t="str">
        <f>IFERROR(__xludf.DUMMYFUNCTION("""COMPUTED_VALUE"""),"TMDB")</f>
        <v>TMDB</v>
      </c>
      <c r="D150" s="60" t="str">
        <f>IFERROR(__xludf.DUMMYFUNCTION("""COMPUTED_VALUE"""),"CHI")</f>
        <v>CHI</v>
      </c>
      <c r="E150" s="62" t="str">
        <f t="shared" si="4"/>
        <v>Chicago Bears</v>
      </c>
      <c r="F150" s="62">
        <f t="shared" ref="F150:G150" si="300">IF(isblank(F$1),,IF(isblank($A150),,IFERROR(vlookup($A150,indirect("'TVC-"&amp;text(month(F$1),"00")&amp;"'!$A:$D"),4,false),1)))</f>
        <v>1</v>
      </c>
      <c r="G150" s="62">
        <f t="shared" si="300"/>
        <v>1</v>
      </c>
      <c r="H150" s="62">
        <f t="shared" ref="H150:Q150" si="301">IF(isblank(H$1),,IFERROR(vlookup($A150,indirect("'TVC-"&amp;text(month(H$1),"00")&amp;"'!$A:$D"),4,false),1))</f>
        <v>1</v>
      </c>
      <c r="I150" s="62">
        <f t="shared" si="301"/>
        <v>1</v>
      </c>
      <c r="J150" s="62">
        <f t="shared" si="301"/>
        <v>1</v>
      </c>
      <c r="K150" s="62">
        <f t="shared" si="301"/>
        <v>1</v>
      </c>
      <c r="L150" s="62">
        <f t="shared" si="301"/>
        <v>1</v>
      </c>
      <c r="M150" s="62">
        <f t="shared" si="301"/>
        <v>1</v>
      </c>
      <c r="N150" s="62">
        <f t="shared" si="301"/>
        <v>1</v>
      </c>
      <c r="O150" s="62">
        <f t="shared" si="301"/>
        <v>1</v>
      </c>
      <c r="P150" s="62" t="str">
        <f t="shared" si="301"/>
        <v/>
      </c>
      <c r="Q150" s="62" t="str">
        <f t="shared" si="301"/>
        <v/>
      </c>
      <c r="R150" s="62">
        <f t="shared" si="7"/>
        <v>0</v>
      </c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</row>
    <row r="151" hidden="1">
      <c r="A151" s="60">
        <f>IFERROR(__xludf.DUMMYFUNCTION("""COMPUTED_VALUE"""),372.0)</f>
        <v>372</v>
      </c>
      <c r="B151" s="60" t="str">
        <f>IFERROR(__xludf.DUMMYFUNCTION("""COMPUTED_VALUE"""),"Lions, Detroit")</f>
        <v>Lions, Detroit</v>
      </c>
      <c r="C151" s="60" t="str">
        <f>IFERROR(__xludf.DUMMYFUNCTION("""COMPUTED_VALUE"""),"TMDB")</f>
        <v>TMDB</v>
      </c>
      <c r="D151" s="60" t="str">
        <f>IFERROR(__xludf.DUMMYFUNCTION("""COMPUTED_VALUE"""),"DET")</f>
        <v>DET</v>
      </c>
      <c r="E151" s="62" t="str">
        <f t="shared" si="4"/>
        <v>Detroit Lions</v>
      </c>
      <c r="F151" s="62">
        <f t="shared" ref="F151:G151" si="302">IF(isblank(F$1),,IF(isblank($A151),,IFERROR(vlookup($A151,indirect("'TVC-"&amp;text(month(F$1),"00")&amp;"'!$A:$D"),4,false),1)))</f>
        <v>1</v>
      </c>
      <c r="G151" s="62">
        <f t="shared" si="302"/>
        <v>1</v>
      </c>
      <c r="H151" s="62">
        <f t="shared" ref="H151:Q151" si="303">IF(isblank(H$1),,IFERROR(vlookup($A151,indirect("'TVC-"&amp;text(month(H$1),"00")&amp;"'!$A:$D"),4,false),1))</f>
        <v>1</v>
      </c>
      <c r="I151" s="62">
        <f t="shared" si="303"/>
        <v>1</v>
      </c>
      <c r="J151" s="62">
        <f t="shared" si="303"/>
        <v>1</v>
      </c>
      <c r="K151" s="62">
        <f t="shared" si="303"/>
        <v>1</v>
      </c>
      <c r="L151" s="62">
        <f t="shared" si="303"/>
        <v>1</v>
      </c>
      <c r="M151" s="62">
        <f t="shared" si="303"/>
        <v>1</v>
      </c>
      <c r="N151" s="62">
        <f t="shared" si="303"/>
        <v>1</v>
      </c>
      <c r="O151" s="62">
        <f t="shared" si="303"/>
        <v>1</v>
      </c>
      <c r="P151" s="62" t="str">
        <f t="shared" si="303"/>
        <v/>
      </c>
      <c r="Q151" s="62" t="str">
        <f t="shared" si="303"/>
        <v/>
      </c>
      <c r="R151" s="62">
        <f t="shared" si="7"/>
        <v>0</v>
      </c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</row>
    <row r="152" hidden="1">
      <c r="A152" s="60">
        <f>IFERROR(__xludf.DUMMYFUNCTION("""COMPUTED_VALUE"""),373.0)</f>
        <v>373</v>
      </c>
      <c r="B152" s="60" t="str">
        <f>IFERROR(__xludf.DUMMYFUNCTION("""COMPUTED_VALUE"""),"Packers, Green Bay")</f>
        <v>Packers, Green Bay</v>
      </c>
      <c r="C152" s="60" t="str">
        <f>IFERROR(__xludf.DUMMYFUNCTION("""COMPUTED_VALUE"""),"TMDB")</f>
        <v>TMDB</v>
      </c>
      <c r="D152" s="60" t="str">
        <f>IFERROR(__xludf.DUMMYFUNCTION("""COMPUTED_VALUE"""),"GBP")</f>
        <v>GBP</v>
      </c>
      <c r="E152" s="62" t="str">
        <f t="shared" si="4"/>
        <v>Green Bay Packers</v>
      </c>
      <c r="F152" s="62">
        <f t="shared" ref="F152:G152" si="304">IF(isblank(F$1),,IF(isblank($A152),,IFERROR(vlookup($A152,indirect("'TVC-"&amp;text(month(F$1),"00")&amp;"'!$A:$D"),4,false),1)))</f>
        <v>1</v>
      </c>
      <c r="G152" s="62">
        <f t="shared" si="304"/>
        <v>1</v>
      </c>
      <c r="H152" s="62">
        <f t="shared" ref="H152:Q152" si="305">IF(isblank(H$1),,IFERROR(vlookup($A152,indirect("'TVC-"&amp;text(month(H$1),"00")&amp;"'!$A:$D"),4,false),1))</f>
        <v>1</v>
      </c>
      <c r="I152" s="62">
        <f t="shared" si="305"/>
        <v>1</v>
      </c>
      <c r="J152" s="62">
        <f t="shared" si="305"/>
        <v>1</v>
      </c>
      <c r="K152" s="62">
        <f t="shared" si="305"/>
        <v>1</v>
      </c>
      <c r="L152" s="62">
        <f t="shared" si="305"/>
        <v>1</v>
      </c>
      <c r="M152" s="62">
        <f t="shared" si="305"/>
        <v>1</v>
      </c>
      <c r="N152" s="62">
        <f t="shared" si="305"/>
        <v>1</v>
      </c>
      <c r="O152" s="62">
        <f t="shared" si="305"/>
        <v>1</v>
      </c>
      <c r="P152" s="62" t="str">
        <f t="shared" si="305"/>
        <v/>
      </c>
      <c r="Q152" s="62" t="str">
        <f t="shared" si="305"/>
        <v/>
      </c>
      <c r="R152" s="62">
        <f t="shared" si="7"/>
        <v>0</v>
      </c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</row>
    <row r="153" hidden="1">
      <c r="A153" s="60">
        <f>IFERROR(__xludf.DUMMYFUNCTION("""COMPUTED_VALUE"""),374.0)</f>
        <v>374</v>
      </c>
      <c r="B153" s="60" t="str">
        <f>IFERROR(__xludf.DUMMYFUNCTION("""COMPUTED_VALUE"""),"Vikings, Minnesota")</f>
        <v>Vikings, Minnesota</v>
      </c>
      <c r="C153" s="60" t="str">
        <f>IFERROR(__xludf.DUMMYFUNCTION("""COMPUTED_VALUE"""),"TMDB")</f>
        <v>TMDB</v>
      </c>
      <c r="D153" s="60" t="str">
        <f>IFERROR(__xludf.DUMMYFUNCTION("""COMPUTED_VALUE"""),"MIN")</f>
        <v>MIN</v>
      </c>
      <c r="E153" s="62" t="str">
        <f t="shared" si="4"/>
        <v>Minnesota Vikings</v>
      </c>
      <c r="F153" s="62">
        <f t="shared" ref="F153:G153" si="306">IF(isblank(F$1),,IF(isblank($A153),,IFERROR(vlookup($A153,indirect("'TVC-"&amp;text(month(F$1),"00")&amp;"'!$A:$D"),4,false),1)))</f>
        <v>1</v>
      </c>
      <c r="G153" s="62">
        <f t="shared" si="306"/>
        <v>1</v>
      </c>
      <c r="H153" s="62">
        <f t="shared" ref="H153:Q153" si="307">IF(isblank(H$1),,IFERROR(vlookup($A153,indirect("'TVC-"&amp;text(month(H$1),"00")&amp;"'!$A:$D"),4,false),1))</f>
        <v>1</v>
      </c>
      <c r="I153" s="62">
        <f t="shared" si="307"/>
        <v>1</v>
      </c>
      <c r="J153" s="62">
        <f t="shared" si="307"/>
        <v>1</v>
      </c>
      <c r="K153" s="62">
        <f t="shared" si="307"/>
        <v>1</v>
      </c>
      <c r="L153" s="62">
        <f t="shared" si="307"/>
        <v>1</v>
      </c>
      <c r="M153" s="62">
        <f t="shared" si="307"/>
        <v>1</v>
      </c>
      <c r="N153" s="62">
        <f t="shared" si="307"/>
        <v>1</v>
      </c>
      <c r="O153" s="62">
        <f t="shared" si="307"/>
        <v>1</v>
      </c>
      <c r="P153" s="62" t="str">
        <f t="shared" si="307"/>
        <v/>
      </c>
      <c r="Q153" s="62" t="str">
        <f t="shared" si="307"/>
        <v/>
      </c>
      <c r="R153" s="62">
        <f t="shared" si="7"/>
        <v>0</v>
      </c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</row>
    <row r="154" hidden="1">
      <c r="A154" s="60">
        <f>IFERROR(__xludf.DUMMYFUNCTION("""COMPUTED_VALUE"""),375.0)</f>
        <v>375</v>
      </c>
      <c r="B154" s="60" t="str">
        <f>IFERROR(__xludf.DUMMYFUNCTION("""COMPUTED_VALUE"""),"Buccaneers, Tampa Bay")</f>
        <v>Buccaneers, Tampa Bay</v>
      </c>
      <c r="C154" s="60" t="str">
        <f>IFERROR(__xludf.DUMMYFUNCTION("""COMPUTED_VALUE"""),"TMDB")</f>
        <v>TMDB</v>
      </c>
      <c r="D154" s="60" t="str">
        <f>IFERROR(__xludf.DUMMYFUNCTION("""COMPUTED_VALUE"""),"TBB")</f>
        <v>TBB</v>
      </c>
      <c r="E154" s="62" t="str">
        <f t="shared" si="4"/>
        <v>Tampa Bay Buccaneers</v>
      </c>
      <c r="F154" s="62">
        <f t="shared" ref="F154:G154" si="308">IF(isblank(F$1),,IF(isblank($A154),,IFERROR(vlookup($A154,indirect("'TVC-"&amp;text(month(F$1),"00")&amp;"'!$A:$D"),4,false),1)))</f>
        <v>1</v>
      </c>
      <c r="G154" s="62">
        <f t="shared" si="308"/>
        <v>1</v>
      </c>
      <c r="H154" s="62">
        <f t="shared" ref="H154:Q154" si="309">IF(isblank(H$1),,IFERROR(vlookup($A154,indirect("'TVC-"&amp;text(month(H$1),"00")&amp;"'!$A:$D"),4,false),1))</f>
        <v>1</v>
      </c>
      <c r="I154" s="62">
        <f t="shared" si="309"/>
        <v>1</v>
      </c>
      <c r="J154" s="62">
        <f t="shared" si="309"/>
        <v>1</v>
      </c>
      <c r="K154" s="62">
        <f t="shared" si="309"/>
        <v>1</v>
      </c>
      <c r="L154" s="62">
        <f t="shared" si="309"/>
        <v>1</v>
      </c>
      <c r="M154" s="62">
        <f t="shared" si="309"/>
        <v>1</v>
      </c>
      <c r="N154" s="62">
        <f t="shared" si="309"/>
        <v>1</v>
      </c>
      <c r="O154" s="62">
        <f t="shared" si="309"/>
        <v>1</v>
      </c>
      <c r="P154" s="62" t="str">
        <f t="shared" si="309"/>
        <v/>
      </c>
      <c r="Q154" s="62" t="str">
        <f t="shared" si="309"/>
        <v/>
      </c>
      <c r="R154" s="62">
        <f t="shared" si="7"/>
        <v>0</v>
      </c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</row>
    <row r="155" hidden="1">
      <c r="A155" s="60">
        <f>IFERROR(__xludf.DUMMYFUNCTION("""COMPUTED_VALUE"""),376.0)</f>
        <v>376</v>
      </c>
      <c r="B155" s="60" t="str">
        <f>IFERROR(__xludf.DUMMYFUNCTION("""COMPUTED_VALUE"""),"Falcons, Atlanta")</f>
        <v>Falcons, Atlanta</v>
      </c>
      <c r="C155" s="60" t="str">
        <f>IFERROR(__xludf.DUMMYFUNCTION("""COMPUTED_VALUE"""),"TMDB")</f>
        <v>TMDB</v>
      </c>
      <c r="D155" s="60" t="str">
        <f>IFERROR(__xludf.DUMMYFUNCTION("""COMPUTED_VALUE"""),"ATL")</f>
        <v>ATL</v>
      </c>
      <c r="E155" s="62" t="str">
        <f t="shared" si="4"/>
        <v>Atlanta Falcons</v>
      </c>
      <c r="F155" s="62">
        <f t="shared" ref="F155:G155" si="310">IF(isblank(F$1),,IF(isblank($A155),,IFERROR(vlookup($A155,indirect("'TVC-"&amp;text(month(F$1),"00")&amp;"'!$A:$D"),4,false),1)))</f>
        <v>1</v>
      </c>
      <c r="G155" s="62">
        <f t="shared" si="310"/>
        <v>1</v>
      </c>
      <c r="H155" s="62">
        <f t="shared" ref="H155:Q155" si="311">IF(isblank(H$1),,IFERROR(vlookup($A155,indirect("'TVC-"&amp;text(month(H$1),"00")&amp;"'!$A:$D"),4,false),1))</f>
        <v>1</v>
      </c>
      <c r="I155" s="62">
        <f t="shared" si="311"/>
        <v>1</v>
      </c>
      <c r="J155" s="62">
        <f t="shared" si="311"/>
        <v>1</v>
      </c>
      <c r="K155" s="62">
        <f t="shared" si="311"/>
        <v>1</v>
      </c>
      <c r="L155" s="62">
        <f t="shared" si="311"/>
        <v>1</v>
      </c>
      <c r="M155" s="62">
        <f t="shared" si="311"/>
        <v>1</v>
      </c>
      <c r="N155" s="62">
        <f t="shared" si="311"/>
        <v>1</v>
      </c>
      <c r="O155" s="62">
        <f t="shared" si="311"/>
        <v>1</v>
      </c>
      <c r="P155" s="62" t="str">
        <f t="shared" si="311"/>
        <v/>
      </c>
      <c r="Q155" s="62" t="str">
        <f t="shared" si="311"/>
        <v/>
      </c>
      <c r="R155" s="62">
        <f t="shared" si="7"/>
        <v>0</v>
      </c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</row>
    <row r="156" hidden="1">
      <c r="A156" s="60">
        <f>IFERROR(__xludf.DUMMYFUNCTION("""COMPUTED_VALUE"""),377.0)</f>
        <v>377</v>
      </c>
      <c r="B156" s="60" t="str">
        <f>IFERROR(__xludf.DUMMYFUNCTION("""COMPUTED_VALUE"""),"Panthers, Carolina")</f>
        <v>Panthers, Carolina</v>
      </c>
      <c r="C156" s="60" t="str">
        <f>IFERROR(__xludf.DUMMYFUNCTION("""COMPUTED_VALUE"""),"TMDB")</f>
        <v>TMDB</v>
      </c>
      <c r="D156" s="60" t="str">
        <f>IFERROR(__xludf.DUMMYFUNCTION("""COMPUTED_VALUE"""),"CAR")</f>
        <v>CAR</v>
      </c>
      <c r="E156" s="62" t="str">
        <f t="shared" si="4"/>
        <v>Carolina Panthers</v>
      </c>
      <c r="F156" s="62">
        <f t="shared" ref="F156:G156" si="312">IF(isblank(F$1),,IF(isblank($A156),,IFERROR(vlookup($A156,indirect("'TVC-"&amp;text(month(F$1),"00")&amp;"'!$A:$D"),4,false),1)))</f>
        <v>1</v>
      </c>
      <c r="G156" s="62">
        <f t="shared" si="312"/>
        <v>1</v>
      </c>
      <c r="H156" s="62">
        <f t="shared" ref="H156:Q156" si="313">IF(isblank(H$1),,IFERROR(vlookup($A156,indirect("'TVC-"&amp;text(month(H$1),"00")&amp;"'!$A:$D"),4,false),1))</f>
        <v>1</v>
      </c>
      <c r="I156" s="62">
        <f t="shared" si="313"/>
        <v>1</v>
      </c>
      <c r="J156" s="62">
        <f t="shared" si="313"/>
        <v>1</v>
      </c>
      <c r="K156" s="62">
        <f t="shared" si="313"/>
        <v>1</v>
      </c>
      <c r="L156" s="62">
        <f t="shared" si="313"/>
        <v>1</v>
      </c>
      <c r="M156" s="62">
        <f t="shared" si="313"/>
        <v>1</v>
      </c>
      <c r="N156" s="62">
        <f t="shared" si="313"/>
        <v>1</v>
      </c>
      <c r="O156" s="62">
        <f t="shared" si="313"/>
        <v>1</v>
      </c>
      <c r="P156" s="62" t="str">
        <f t="shared" si="313"/>
        <v/>
      </c>
      <c r="Q156" s="62" t="str">
        <f t="shared" si="313"/>
        <v/>
      </c>
      <c r="R156" s="62">
        <f t="shared" si="7"/>
        <v>0</v>
      </c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</row>
    <row r="157" hidden="1">
      <c r="A157" s="60">
        <f>IFERROR(__xludf.DUMMYFUNCTION("""COMPUTED_VALUE"""),378.0)</f>
        <v>378</v>
      </c>
      <c r="B157" s="60" t="str">
        <f>IFERROR(__xludf.DUMMYFUNCTION("""COMPUTED_VALUE"""),"Rams, Los Angeles")</f>
        <v>Rams, Los Angeles</v>
      </c>
      <c r="C157" s="60" t="str">
        <f>IFERROR(__xludf.DUMMYFUNCTION("""COMPUTED_VALUE"""),"TMDB")</f>
        <v>TMDB</v>
      </c>
      <c r="D157" s="60" t="str">
        <f>IFERROR(__xludf.DUMMYFUNCTION("""COMPUTED_VALUE"""),"LAR")</f>
        <v>LAR</v>
      </c>
      <c r="E157" s="62" t="str">
        <f t="shared" si="4"/>
        <v>Los Angeles Rams</v>
      </c>
      <c r="F157" s="62">
        <f t="shared" ref="F157:G157" si="314">IF(isblank(F$1),,IF(isblank($A157),,IFERROR(vlookup($A157,indirect("'TVC-"&amp;text(month(F$1),"00")&amp;"'!$A:$D"),4,false),1)))</f>
        <v>1</v>
      </c>
      <c r="G157" s="62">
        <f t="shared" si="314"/>
        <v>1</v>
      </c>
      <c r="H157" s="62">
        <f t="shared" ref="H157:Q157" si="315">IF(isblank(H$1),,IFERROR(vlookup($A157,indirect("'TVC-"&amp;text(month(H$1),"00")&amp;"'!$A:$D"),4,false),1))</f>
        <v>1</v>
      </c>
      <c r="I157" s="62">
        <f t="shared" si="315"/>
        <v>1</v>
      </c>
      <c r="J157" s="62">
        <f t="shared" si="315"/>
        <v>1</v>
      </c>
      <c r="K157" s="62">
        <f t="shared" si="315"/>
        <v>1</v>
      </c>
      <c r="L157" s="62">
        <f t="shared" si="315"/>
        <v>1</v>
      </c>
      <c r="M157" s="62">
        <f t="shared" si="315"/>
        <v>1</v>
      </c>
      <c r="N157" s="62">
        <f t="shared" si="315"/>
        <v>1</v>
      </c>
      <c r="O157" s="62">
        <f t="shared" si="315"/>
        <v>1</v>
      </c>
      <c r="P157" s="62" t="str">
        <f t="shared" si="315"/>
        <v/>
      </c>
      <c r="Q157" s="62" t="str">
        <f t="shared" si="315"/>
        <v/>
      </c>
      <c r="R157" s="62">
        <f t="shared" si="7"/>
        <v>0</v>
      </c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</row>
    <row r="158" hidden="1">
      <c r="A158" s="60">
        <f>IFERROR(__xludf.DUMMYFUNCTION("""COMPUTED_VALUE"""),379.0)</f>
        <v>379</v>
      </c>
      <c r="B158" s="60" t="str">
        <f>IFERROR(__xludf.DUMMYFUNCTION("""COMPUTED_VALUE"""),"Saints, New Orleans")</f>
        <v>Saints, New Orleans</v>
      </c>
      <c r="C158" s="60" t="str">
        <f>IFERROR(__xludf.DUMMYFUNCTION("""COMPUTED_VALUE"""),"TMDB")</f>
        <v>TMDB</v>
      </c>
      <c r="D158" s="60" t="str">
        <f>IFERROR(__xludf.DUMMYFUNCTION("""COMPUTED_VALUE"""),"NOS")</f>
        <v>NOS</v>
      </c>
      <c r="E158" s="62" t="str">
        <f t="shared" si="4"/>
        <v>New Orleans Saints</v>
      </c>
      <c r="F158" s="62">
        <f t="shared" ref="F158:G158" si="316">IF(isblank(F$1),,IF(isblank($A158),,IFERROR(vlookup($A158,indirect("'TVC-"&amp;text(month(F$1),"00")&amp;"'!$A:$D"),4,false),1)))</f>
        <v>1</v>
      </c>
      <c r="G158" s="62">
        <f t="shared" si="316"/>
        <v>1</v>
      </c>
      <c r="H158" s="62">
        <f t="shared" ref="H158:Q158" si="317">IF(isblank(H$1),,IFERROR(vlookup($A158,indirect("'TVC-"&amp;text(month(H$1),"00")&amp;"'!$A:$D"),4,false),1))</f>
        <v>1</v>
      </c>
      <c r="I158" s="62">
        <f t="shared" si="317"/>
        <v>1</v>
      </c>
      <c r="J158" s="62">
        <f t="shared" si="317"/>
        <v>1</v>
      </c>
      <c r="K158" s="62">
        <f t="shared" si="317"/>
        <v>1</v>
      </c>
      <c r="L158" s="62">
        <f t="shared" si="317"/>
        <v>1</v>
      </c>
      <c r="M158" s="62">
        <f t="shared" si="317"/>
        <v>1</v>
      </c>
      <c r="N158" s="62">
        <f t="shared" si="317"/>
        <v>1</v>
      </c>
      <c r="O158" s="62">
        <f t="shared" si="317"/>
        <v>1</v>
      </c>
      <c r="P158" s="62" t="str">
        <f t="shared" si="317"/>
        <v/>
      </c>
      <c r="Q158" s="62" t="str">
        <f t="shared" si="317"/>
        <v/>
      </c>
      <c r="R158" s="62">
        <f t="shared" si="7"/>
        <v>0</v>
      </c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</row>
    <row r="159" hidden="1">
      <c r="A159" s="60">
        <f>IFERROR(__xludf.DUMMYFUNCTION("""COMPUTED_VALUE"""),380.0)</f>
        <v>380</v>
      </c>
      <c r="B159" s="60" t="str">
        <f>IFERROR(__xludf.DUMMYFUNCTION("""COMPUTED_VALUE"""),"49ers, San Francisco")</f>
        <v>49ers, San Francisco</v>
      </c>
      <c r="C159" s="60" t="str">
        <f>IFERROR(__xludf.DUMMYFUNCTION("""COMPUTED_VALUE"""),"TMDB")</f>
        <v>TMDB</v>
      </c>
      <c r="D159" s="60" t="str">
        <f>IFERROR(__xludf.DUMMYFUNCTION("""COMPUTED_VALUE"""),"SFO")</f>
        <v>SFO</v>
      </c>
      <c r="E159" s="62" t="str">
        <f t="shared" si="4"/>
        <v>San Francisco 49ers</v>
      </c>
      <c r="F159" s="62">
        <f t="shared" ref="F159:G159" si="318">IF(isblank(F$1),,IF(isblank($A159),,IFERROR(vlookup($A159,indirect("'TVC-"&amp;text(month(F$1),"00")&amp;"'!$A:$D"),4,false),1)))</f>
        <v>1</v>
      </c>
      <c r="G159" s="62">
        <f t="shared" si="318"/>
        <v>1</v>
      </c>
      <c r="H159" s="62">
        <f t="shared" ref="H159:Q159" si="319">IF(isblank(H$1),,IFERROR(vlookup($A159,indirect("'TVC-"&amp;text(month(H$1),"00")&amp;"'!$A:$D"),4,false),1))</f>
        <v>1</v>
      </c>
      <c r="I159" s="62">
        <f t="shared" si="319"/>
        <v>1</v>
      </c>
      <c r="J159" s="62">
        <f t="shared" si="319"/>
        <v>1</v>
      </c>
      <c r="K159" s="62">
        <f t="shared" si="319"/>
        <v>1</v>
      </c>
      <c r="L159" s="62">
        <f t="shared" si="319"/>
        <v>1</v>
      </c>
      <c r="M159" s="62">
        <f t="shared" si="319"/>
        <v>1</v>
      </c>
      <c r="N159" s="62">
        <f t="shared" si="319"/>
        <v>1</v>
      </c>
      <c r="O159" s="62">
        <f t="shared" si="319"/>
        <v>1</v>
      </c>
      <c r="P159" s="62" t="str">
        <f t="shared" si="319"/>
        <v/>
      </c>
      <c r="Q159" s="62" t="str">
        <f t="shared" si="319"/>
        <v/>
      </c>
      <c r="R159" s="62">
        <f t="shared" si="7"/>
        <v>0</v>
      </c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</row>
    <row r="160" hidden="1">
      <c r="A160" s="60">
        <f>IFERROR(__xludf.DUMMYFUNCTION("""COMPUTED_VALUE"""),381.0)</f>
        <v>381</v>
      </c>
      <c r="B160" s="60" t="str">
        <f>IFERROR(__xludf.DUMMYFUNCTION("""COMPUTED_VALUE"""),"Ravens, Baltimore")</f>
        <v>Ravens, Baltimore</v>
      </c>
      <c r="C160" s="60" t="str">
        <f>IFERROR(__xludf.DUMMYFUNCTION("""COMPUTED_VALUE"""),"TMDB")</f>
        <v>TMDB</v>
      </c>
      <c r="D160" s="60" t="str">
        <f>IFERROR(__xludf.DUMMYFUNCTION("""COMPUTED_VALUE"""),"BAL")</f>
        <v>BAL</v>
      </c>
      <c r="E160" s="62" t="str">
        <f t="shared" si="4"/>
        <v>Baltimore Ravens</v>
      </c>
      <c r="F160" s="62">
        <f t="shared" ref="F160:G160" si="320">IF(isblank(F$1),,IF(isblank($A160),,IFERROR(vlookup($A160,indirect("'TVC-"&amp;text(month(F$1),"00")&amp;"'!$A:$D"),4,false),1)))</f>
        <v>1</v>
      </c>
      <c r="G160" s="62">
        <f t="shared" si="320"/>
        <v>1</v>
      </c>
      <c r="H160" s="62">
        <f t="shared" ref="H160:Q160" si="321">IF(isblank(H$1),,IFERROR(vlookup($A160,indirect("'TVC-"&amp;text(month(H$1),"00")&amp;"'!$A:$D"),4,false),1))</f>
        <v>1</v>
      </c>
      <c r="I160" s="62">
        <f t="shared" si="321"/>
        <v>1</v>
      </c>
      <c r="J160" s="62">
        <f t="shared" si="321"/>
        <v>1</v>
      </c>
      <c r="K160" s="62">
        <f t="shared" si="321"/>
        <v>1</v>
      </c>
      <c r="L160" s="62">
        <f t="shared" si="321"/>
        <v>1</v>
      </c>
      <c r="M160" s="62">
        <f t="shared" si="321"/>
        <v>1</v>
      </c>
      <c r="N160" s="62">
        <f t="shared" si="321"/>
        <v>1</v>
      </c>
      <c r="O160" s="62">
        <f t="shared" si="321"/>
        <v>1</v>
      </c>
      <c r="P160" s="62" t="str">
        <f t="shared" si="321"/>
        <v/>
      </c>
      <c r="Q160" s="62" t="str">
        <f t="shared" si="321"/>
        <v/>
      </c>
      <c r="R160" s="62">
        <f t="shared" si="7"/>
        <v>0</v>
      </c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</row>
    <row r="161" hidden="1">
      <c r="A161" s="60">
        <f>IFERROR(__xludf.DUMMYFUNCTION("""COMPUTED_VALUE"""),382.0)</f>
        <v>382</v>
      </c>
      <c r="B161" s="60" t="str">
        <f>IFERROR(__xludf.DUMMYFUNCTION("""COMPUTED_VALUE"""),"Texans, Houston")</f>
        <v>Texans, Houston</v>
      </c>
      <c r="C161" s="60" t="str">
        <f>IFERROR(__xludf.DUMMYFUNCTION("""COMPUTED_VALUE"""),"TMDB")</f>
        <v>TMDB</v>
      </c>
      <c r="D161" s="60" t="str">
        <f>IFERROR(__xludf.DUMMYFUNCTION("""COMPUTED_VALUE"""),"HOU")</f>
        <v>HOU</v>
      </c>
      <c r="E161" s="62" t="str">
        <f t="shared" si="4"/>
        <v>Houston Texans</v>
      </c>
      <c r="F161" s="62">
        <f t="shared" ref="F161:G161" si="322">IF(isblank(F$1),,IF(isblank($A161),,IFERROR(vlookup($A161,indirect("'TVC-"&amp;text(month(F$1),"00")&amp;"'!$A:$D"),4,false),1)))</f>
        <v>1</v>
      </c>
      <c r="G161" s="62">
        <f t="shared" si="322"/>
        <v>1</v>
      </c>
      <c r="H161" s="62">
        <f t="shared" ref="H161:Q161" si="323">IF(isblank(H$1),,IFERROR(vlookup($A161,indirect("'TVC-"&amp;text(month(H$1),"00")&amp;"'!$A:$D"),4,false),1))</f>
        <v>1</v>
      </c>
      <c r="I161" s="62">
        <f t="shared" si="323"/>
        <v>1</v>
      </c>
      <c r="J161" s="62">
        <f t="shared" si="323"/>
        <v>1</v>
      </c>
      <c r="K161" s="62">
        <f t="shared" si="323"/>
        <v>1</v>
      </c>
      <c r="L161" s="62">
        <f t="shared" si="323"/>
        <v>1</v>
      </c>
      <c r="M161" s="62">
        <f t="shared" si="323"/>
        <v>1</v>
      </c>
      <c r="N161" s="62">
        <f t="shared" si="323"/>
        <v>1</v>
      </c>
      <c r="O161" s="62">
        <f t="shared" si="323"/>
        <v>1</v>
      </c>
      <c r="P161" s="62" t="str">
        <f t="shared" si="323"/>
        <v/>
      </c>
      <c r="Q161" s="62" t="str">
        <f t="shared" si="323"/>
        <v/>
      </c>
      <c r="R161" s="62">
        <f t="shared" si="7"/>
        <v>0</v>
      </c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</row>
    <row r="162" hidden="1">
      <c r="A162" s="60">
        <f>IFERROR(__xludf.DUMMYFUNCTION("""COMPUTED_VALUE"""),401.0)</f>
        <v>401</v>
      </c>
      <c r="B162" s="60" t="str">
        <f>IFERROR(__xludf.DUMMYFUNCTION("""COMPUTED_VALUE"""),"Bills, Buffalo")</f>
        <v>Bills, Buffalo</v>
      </c>
      <c r="C162" s="60" t="str">
        <f>IFERROR(__xludf.DUMMYFUNCTION("""COMPUTED_VALUE"""),"TMTE")</f>
        <v>TMTE</v>
      </c>
      <c r="D162" s="60" t="str">
        <f>IFERROR(__xludf.DUMMYFUNCTION("""COMPUTED_VALUE"""),"BUF")</f>
        <v>BUF</v>
      </c>
      <c r="E162" s="62" t="str">
        <f t="shared" si="4"/>
        <v>Buffalo Bills</v>
      </c>
      <c r="F162" s="62">
        <f t="shared" ref="F162:G162" si="324">IF(isblank(F$1),,IF(isblank($A162),,IFERROR(vlookup($A162,indirect("'TVC-"&amp;text(month(F$1),"00")&amp;"'!$A:$D"),4,false),1)))</f>
        <v>1</v>
      </c>
      <c r="G162" s="62">
        <f t="shared" si="324"/>
        <v>1</v>
      </c>
      <c r="H162" s="62">
        <f t="shared" ref="H162:Q162" si="325">IF(isblank(H$1),,IFERROR(vlookup($A162,indirect("'TVC-"&amp;text(month(H$1),"00")&amp;"'!$A:$D"),4,false),1))</f>
        <v>1</v>
      </c>
      <c r="I162" s="62">
        <f t="shared" si="325"/>
        <v>1</v>
      </c>
      <c r="J162" s="62">
        <f t="shared" si="325"/>
        <v>1</v>
      </c>
      <c r="K162" s="62">
        <f t="shared" si="325"/>
        <v>1</v>
      </c>
      <c r="L162" s="62">
        <f t="shared" si="325"/>
        <v>1</v>
      </c>
      <c r="M162" s="62">
        <f t="shared" si="325"/>
        <v>1</v>
      </c>
      <c r="N162" s="62">
        <f t="shared" si="325"/>
        <v>1</v>
      </c>
      <c r="O162" s="62">
        <f t="shared" si="325"/>
        <v>1</v>
      </c>
      <c r="P162" s="62" t="str">
        <f t="shared" si="325"/>
        <v/>
      </c>
      <c r="Q162" s="62" t="str">
        <f t="shared" si="325"/>
        <v/>
      </c>
      <c r="R162" s="62">
        <f t="shared" si="7"/>
        <v>0</v>
      </c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</row>
    <row r="163" hidden="1">
      <c r="A163" s="60">
        <f>IFERROR(__xludf.DUMMYFUNCTION("""COMPUTED_VALUE"""),402.0)</f>
        <v>402</v>
      </c>
      <c r="B163" s="60" t="str">
        <f>IFERROR(__xludf.DUMMYFUNCTION("""COMPUTED_VALUE"""),"Colts, Indianapolis")</f>
        <v>Colts, Indianapolis</v>
      </c>
      <c r="C163" s="60" t="str">
        <f>IFERROR(__xludf.DUMMYFUNCTION("""COMPUTED_VALUE"""),"TMTE")</f>
        <v>TMTE</v>
      </c>
      <c r="D163" s="60" t="str">
        <f>IFERROR(__xludf.DUMMYFUNCTION("""COMPUTED_VALUE"""),"IND")</f>
        <v>IND</v>
      </c>
      <c r="E163" s="62" t="str">
        <f t="shared" si="4"/>
        <v>Indianapolis Colts</v>
      </c>
      <c r="F163" s="62">
        <f t="shared" ref="F163:G163" si="326">IF(isblank(F$1),,IF(isblank($A163),,IFERROR(vlookup($A163,indirect("'TVC-"&amp;text(month(F$1),"00")&amp;"'!$A:$D"),4,false),1)))</f>
        <v>1</v>
      </c>
      <c r="G163" s="62">
        <f t="shared" si="326"/>
        <v>1</v>
      </c>
      <c r="H163" s="62">
        <f t="shared" ref="H163:Q163" si="327">IF(isblank(H$1),,IFERROR(vlookup($A163,indirect("'TVC-"&amp;text(month(H$1),"00")&amp;"'!$A:$D"),4,false),1))</f>
        <v>1</v>
      </c>
      <c r="I163" s="62">
        <f t="shared" si="327"/>
        <v>1</v>
      </c>
      <c r="J163" s="62">
        <f t="shared" si="327"/>
        <v>1</v>
      </c>
      <c r="K163" s="62">
        <f t="shared" si="327"/>
        <v>1</v>
      </c>
      <c r="L163" s="62">
        <f t="shared" si="327"/>
        <v>1</v>
      </c>
      <c r="M163" s="62">
        <f t="shared" si="327"/>
        <v>1</v>
      </c>
      <c r="N163" s="62">
        <f t="shared" si="327"/>
        <v>1</v>
      </c>
      <c r="O163" s="62">
        <f t="shared" si="327"/>
        <v>1</v>
      </c>
      <c r="P163" s="62" t="str">
        <f t="shared" si="327"/>
        <v/>
      </c>
      <c r="Q163" s="62" t="str">
        <f t="shared" si="327"/>
        <v/>
      </c>
      <c r="R163" s="62">
        <f t="shared" si="7"/>
        <v>0</v>
      </c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</row>
    <row r="164" hidden="1">
      <c r="A164" s="60">
        <f>IFERROR(__xludf.DUMMYFUNCTION("""COMPUTED_VALUE"""),403.0)</f>
        <v>403</v>
      </c>
      <c r="B164" s="60" t="str">
        <f>IFERROR(__xludf.DUMMYFUNCTION("""COMPUTED_VALUE"""),"Dolphins, Miami")</f>
        <v>Dolphins, Miami</v>
      </c>
      <c r="C164" s="60" t="str">
        <f>IFERROR(__xludf.DUMMYFUNCTION("""COMPUTED_VALUE"""),"TMTE")</f>
        <v>TMTE</v>
      </c>
      <c r="D164" s="60" t="str">
        <f>IFERROR(__xludf.DUMMYFUNCTION("""COMPUTED_VALUE"""),"MIA")</f>
        <v>MIA</v>
      </c>
      <c r="E164" s="62" t="str">
        <f t="shared" si="4"/>
        <v>Miami Dolphins</v>
      </c>
      <c r="F164" s="62">
        <f t="shared" ref="F164:G164" si="328">IF(isblank(F$1),,IF(isblank($A164),,IFERROR(vlookup($A164,indirect("'TVC-"&amp;text(month(F$1),"00")&amp;"'!$A:$D"),4,false),1)))</f>
        <v>1</v>
      </c>
      <c r="G164" s="62">
        <f t="shared" si="328"/>
        <v>1</v>
      </c>
      <c r="H164" s="62">
        <f t="shared" ref="H164:Q164" si="329">IF(isblank(H$1),,IFERROR(vlookup($A164,indirect("'TVC-"&amp;text(month(H$1),"00")&amp;"'!$A:$D"),4,false),1))</f>
        <v>1</v>
      </c>
      <c r="I164" s="62">
        <f t="shared" si="329"/>
        <v>1</v>
      </c>
      <c r="J164" s="62">
        <f t="shared" si="329"/>
        <v>1</v>
      </c>
      <c r="K164" s="62">
        <f t="shared" si="329"/>
        <v>1</v>
      </c>
      <c r="L164" s="62">
        <f t="shared" si="329"/>
        <v>1</v>
      </c>
      <c r="M164" s="62">
        <f t="shared" si="329"/>
        <v>1</v>
      </c>
      <c r="N164" s="62">
        <f t="shared" si="329"/>
        <v>1</v>
      </c>
      <c r="O164" s="62">
        <f t="shared" si="329"/>
        <v>1</v>
      </c>
      <c r="P164" s="62" t="str">
        <f t="shared" si="329"/>
        <v/>
      </c>
      <c r="Q164" s="62" t="str">
        <f t="shared" si="329"/>
        <v/>
      </c>
      <c r="R164" s="62">
        <f t="shared" si="7"/>
        <v>0</v>
      </c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</row>
    <row r="165" hidden="1">
      <c r="A165" s="60">
        <f>IFERROR(__xludf.DUMMYFUNCTION("""COMPUTED_VALUE"""),404.0)</f>
        <v>404</v>
      </c>
      <c r="B165" s="60" t="str">
        <f>IFERROR(__xludf.DUMMYFUNCTION("""COMPUTED_VALUE"""),"Patriots, New England")</f>
        <v>Patriots, New England</v>
      </c>
      <c r="C165" s="60" t="str">
        <f>IFERROR(__xludf.DUMMYFUNCTION("""COMPUTED_VALUE"""),"TMTE")</f>
        <v>TMTE</v>
      </c>
      <c r="D165" s="60" t="str">
        <f>IFERROR(__xludf.DUMMYFUNCTION("""COMPUTED_VALUE"""),"NEP")</f>
        <v>NEP</v>
      </c>
      <c r="E165" s="62" t="str">
        <f t="shared" si="4"/>
        <v>New England Patriots</v>
      </c>
      <c r="F165" s="62">
        <f t="shared" ref="F165:G165" si="330">IF(isblank(F$1),,IF(isblank($A165),,IFERROR(vlookup($A165,indirect("'TVC-"&amp;text(month(F$1),"00")&amp;"'!$A:$D"),4,false),1)))</f>
        <v>1</v>
      </c>
      <c r="G165" s="62">
        <f t="shared" si="330"/>
        <v>1</v>
      </c>
      <c r="H165" s="62">
        <f t="shared" ref="H165:Q165" si="331">IF(isblank(H$1),,IFERROR(vlookup($A165,indirect("'TVC-"&amp;text(month(H$1),"00")&amp;"'!$A:$D"),4,false),1))</f>
        <v>1</v>
      </c>
      <c r="I165" s="62">
        <f t="shared" si="331"/>
        <v>1</v>
      </c>
      <c r="J165" s="62">
        <f t="shared" si="331"/>
        <v>1</v>
      </c>
      <c r="K165" s="62">
        <f t="shared" si="331"/>
        <v>1</v>
      </c>
      <c r="L165" s="62">
        <f t="shared" si="331"/>
        <v>1</v>
      </c>
      <c r="M165" s="62">
        <f t="shared" si="331"/>
        <v>1</v>
      </c>
      <c r="N165" s="62">
        <f t="shared" si="331"/>
        <v>1</v>
      </c>
      <c r="O165" s="62">
        <f t="shared" si="331"/>
        <v>1</v>
      </c>
      <c r="P165" s="62" t="str">
        <f t="shared" si="331"/>
        <v/>
      </c>
      <c r="Q165" s="62" t="str">
        <f t="shared" si="331"/>
        <v/>
      </c>
      <c r="R165" s="62">
        <f t="shared" si="7"/>
        <v>0</v>
      </c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</row>
    <row r="166" hidden="1">
      <c r="A166" s="60">
        <f>IFERROR(__xludf.DUMMYFUNCTION("""COMPUTED_VALUE"""),405.0)</f>
        <v>405</v>
      </c>
      <c r="B166" s="60" t="str">
        <f>IFERROR(__xludf.DUMMYFUNCTION("""COMPUTED_VALUE"""),"Jets, New York")</f>
        <v>Jets, New York</v>
      </c>
      <c r="C166" s="60" t="str">
        <f>IFERROR(__xludf.DUMMYFUNCTION("""COMPUTED_VALUE"""),"TMTE")</f>
        <v>TMTE</v>
      </c>
      <c r="D166" s="60" t="str">
        <f>IFERROR(__xludf.DUMMYFUNCTION("""COMPUTED_VALUE"""),"NYJ")</f>
        <v>NYJ</v>
      </c>
      <c r="E166" s="62" t="str">
        <f t="shared" si="4"/>
        <v>New York Jets</v>
      </c>
      <c r="F166" s="62">
        <f t="shared" ref="F166:G166" si="332">IF(isblank(F$1),,IF(isblank($A166),,IFERROR(vlookup($A166,indirect("'TVC-"&amp;text(month(F$1),"00")&amp;"'!$A:$D"),4,false),1)))</f>
        <v>1</v>
      </c>
      <c r="G166" s="62">
        <f t="shared" si="332"/>
        <v>1</v>
      </c>
      <c r="H166" s="62">
        <f t="shared" ref="H166:Q166" si="333">IF(isblank(H$1),,IFERROR(vlookup($A166,indirect("'TVC-"&amp;text(month(H$1),"00")&amp;"'!$A:$D"),4,false),1))</f>
        <v>1</v>
      </c>
      <c r="I166" s="62">
        <f t="shared" si="333"/>
        <v>1</v>
      </c>
      <c r="J166" s="62">
        <f t="shared" si="333"/>
        <v>1</v>
      </c>
      <c r="K166" s="62">
        <f t="shared" si="333"/>
        <v>1</v>
      </c>
      <c r="L166" s="62">
        <f t="shared" si="333"/>
        <v>1</v>
      </c>
      <c r="M166" s="62">
        <f t="shared" si="333"/>
        <v>1</v>
      </c>
      <c r="N166" s="62">
        <f t="shared" si="333"/>
        <v>1</v>
      </c>
      <c r="O166" s="62">
        <f t="shared" si="333"/>
        <v>1</v>
      </c>
      <c r="P166" s="62" t="str">
        <f t="shared" si="333"/>
        <v/>
      </c>
      <c r="Q166" s="62" t="str">
        <f t="shared" si="333"/>
        <v/>
      </c>
      <c r="R166" s="62">
        <f t="shared" si="7"/>
        <v>0</v>
      </c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</row>
    <row r="167" hidden="1">
      <c r="A167" s="60">
        <f>IFERROR(__xludf.DUMMYFUNCTION("""COMPUTED_VALUE"""),406.0)</f>
        <v>406</v>
      </c>
      <c r="B167" s="60" t="str">
        <f>IFERROR(__xludf.DUMMYFUNCTION("""COMPUTED_VALUE"""),"Bengals, Cincinnati")</f>
        <v>Bengals, Cincinnati</v>
      </c>
      <c r="C167" s="60" t="str">
        <f>IFERROR(__xludf.DUMMYFUNCTION("""COMPUTED_VALUE"""),"TMTE")</f>
        <v>TMTE</v>
      </c>
      <c r="D167" s="60" t="str">
        <f>IFERROR(__xludf.DUMMYFUNCTION("""COMPUTED_VALUE"""),"CIN")</f>
        <v>CIN</v>
      </c>
      <c r="E167" s="62" t="str">
        <f t="shared" si="4"/>
        <v>Cincinnati Bengals</v>
      </c>
      <c r="F167" s="62">
        <f t="shared" ref="F167:G167" si="334">IF(isblank(F$1),,IF(isblank($A167),,IFERROR(vlookup($A167,indirect("'TVC-"&amp;text(month(F$1),"00")&amp;"'!$A:$D"),4,false),1)))</f>
        <v>1</v>
      </c>
      <c r="G167" s="62">
        <f t="shared" si="334"/>
        <v>1</v>
      </c>
      <c r="H167" s="62">
        <f t="shared" ref="H167:Q167" si="335">IF(isblank(H$1),,IFERROR(vlookup($A167,indirect("'TVC-"&amp;text(month(H$1),"00")&amp;"'!$A:$D"),4,false),1))</f>
        <v>1</v>
      </c>
      <c r="I167" s="62">
        <f t="shared" si="335"/>
        <v>1</v>
      </c>
      <c r="J167" s="62">
        <f t="shared" si="335"/>
        <v>1</v>
      </c>
      <c r="K167" s="62">
        <f t="shared" si="335"/>
        <v>1</v>
      </c>
      <c r="L167" s="62">
        <f t="shared" si="335"/>
        <v>1</v>
      </c>
      <c r="M167" s="62">
        <f t="shared" si="335"/>
        <v>1</v>
      </c>
      <c r="N167" s="62">
        <f t="shared" si="335"/>
        <v>1</v>
      </c>
      <c r="O167" s="62">
        <f t="shared" si="335"/>
        <v>1</v>
      </c>
      <c r="P167" s="62" t="str">
        <f t="shared" si="335"/>
        <v/>
      </c>
      <c r="Q167" s="62" t="str">
        <f t="shared" si="335"/>
        <v/>
      </c>
      <c r="R167" s="62">
        <f t="shared" si="7"/>
        <v>0</v>
      </c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</row>
    <row r="168" hidden="1">
      <c r="A168" s="60">
        <f>IFERROR(__xludf.DUMMYFUNCTION("""COMPUTED_VALUE"""),407.0)</f>
        <v>407</v>
      </c>
      <c r="B168" s="60" t="str">
        <f>IFERROR(__xludf.DUMMYFUNCTION("""COMPUTED_VALUE"""),"Browns, Cleveland")</f>
        <v>Browns, Cleveland</v>
      </c>
      <c r="C168" s="60" t="str">
        <f>IFERROR(__xludf.DUMMYFUNCTION("""COMPUTED_VALUE"""),"TMTE")</f>
        <v>TMTE</v>
      </c>
      <c r="D168" s="60" t="str">
        <f>IFERROR(__xludf.DUMMYFUNCTION("""COMPUTED_VALUE"""),"CLE")</f>
        <v>CLE</v>
      </c>
      <c r="E168" s="62" t="str">
        <f t="shared" si="4"/>
        <v>Cleveland Browns</v>
      </c>
      <c r="F168" s="62">
        <f t="shared" ref="F168:G168" si="336">IF(isblank(F$1),,IF(isblank($A168),,IFERROR(vlookup($A168,indirect("'TVC-"&amp;text(month(F$1),"00")&amp;"'!$A:$D"),4,false),1)))</f>
        <v>1</v>
      </c>
      <c r="G168" s="62">
        <f t="shared" si="336"/>
        <v>1</v>
      </c>
      <c r="H168" s="62">
        <f t="shared" ref="H168:Q168" si="337">IF(isblank(H$1),,IFERROR(vlookup($A168,indirect("'TVC-"&amp;text(month(H$1),"00")&amp;"'!$A:$D"),4,false),1))</f>
        <v>1</v>
      </c>
      <c r="I168" s="62">
        <f t="shared" si="337"/>
        <v>1</v>
      </c>
      <c r="J168" s="62">
        <f t="shared" si="337"/>
        <v>1</v>
      </c>
      <c r="K168" s="62">
        <f t="shared" si="337"/>
        <v>1</v>
      </c>
      <c r="L168" s="62">
        <f t="shared" si="337"/>
        <v>1</v>
      </c>
      <c r="M168" s="62">
        <f t="shared" si="337"/>
        <v>1</v>
      </c>
      <c r="N168" s="62">
        <f t="shared" si="337"/>
        <v>1</v>
      </c>
      <c r="O168" s="62">
        <f t="shared" si="337"/>
        <v>1</v>
      </c>
      <c r="P168" s="62" t="str">
        <f t="shared" si="337"/>
        <v/>
      </c>
      <c r="Q168" s="62" t="str">
        <f t="shared" si="337"/>
        <v/>
      </c>
      <c r="R168" s="62">
        <f t="shared" si="7"/>
        <v>0</v>
      </c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</row>
    <row r="169" hidden="1">
      <c r="A169" s="60">
        <f>IFERROR(__xludf.DUMMYFUNCTION("""COMPUTED_VALUE"""),408.0)</f>
        <v>408</v>
      </c>
      <c r="B169" s="60" t="str">
        <f>IFERROR(__xludf.DUMMYFUNCTION("""COMPUTED_VALUE"""),"Titans, Tennessee")</f>
        <v>Titans, Tennessee</v>
      </c>
      <c r="C169" s="60" t="str">
        <f>IFERROR(__xludf.DUMMYFUNCTION("""COMPUTED_VALUE"""),"TMTE")</f>
        <v>TMTE</v>
      </c>
      <c r="D169" s="60" t="str">
        <f>IFERROR(__xludf.DUMMYFUNCTION("""COMPUTED_VALUE"""),"TEN")</f>
        <v>TEN</v>
      </c>
      <c r="E169" s="62" t="str">
        <f t="shared" si="4"/>
        <v>Tennessee Titans</v>
      </c>
      <c r="F169" s="62">
        <f t="shared" ref="F169:G169" si="338">IF(isblank(F$1),,IF(isblank($A169),,IFERROR(vlookup($A169,indirect("'TVC-"&amp;text(month(F$1),"00")&amp;"'!$A:$D"),4,false),1)))</f>
        <v>1</v>
      </c>
      <c r="G169" s="62">
        <f t="shared" si="338"/>
        <v>1</v>
      </c>
      <c r="H169" s="62">
        <f t="shared" ref="H169:Q169" si="339">IF(isblank(H$1),,IFERROR(vlookup($A169,indirect("'TVC-"&amp;text(month(H$1),"00")&amp;"'!$A:$D"),4,false),1))</f>
        <v>1</v>
      </c>
      <c r="I169" s="62">
        <f t="shared" si="339"/>
        <v>1</v>
      </c>
      <c r="J169" s="62">
        <f t="shared" si="339"/>
        <v>1</v>
      </c>
      <c r="K169" s="62">
        <f t="shared" si="339"/>
        <v>1</v>
      </c>
      <c r="L169" s="62">
        <f t="shared" si="339"/>
        <v>1</v>
      </c>
      <c r="M169" s="62">
        <f t="shared" si="339"/>
        <v>1</v>
      </c>
      <c r="N169" s="62">
        <f t="shared" si="339"/>
        <v>1</v>
      </c>
      <c r="O169" s="62">
        <f t="shared" si="339"/>
        <v>1</v>
      </c>
      <c r="P169" s="62" t="str">
        <f t="shared" si="339"/>
        <v/>
      </c>
      <c r="Q169" s="62" t="str">
        <f t="shared" si="339"/>
        <v/>
      </c>
      <c r="R169" s="62">
        <f t="shared" si="7"/>
        <v>0</v>
      </c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</row>
    <row r="170" hidden="1">
      <c r="A170" s="60">
        <f>IFERROR(__xludf.DUMMYFUNCTION("""COMPUTED_VALUE"""),409.0)</f>
        <v>409</v>
      </c>
      <c r="B170" s="60" t="str">
        <f>IFERROR(__xludf.DUMMYFUNCTION("""COMPUTED_VALUE"""),"Jaguars, Jacksonville")</f>
        <v>Jaguars, Jacksonville</v>
      </c>
      <c r="C170" s="60" t="str">
        <f>IFERROR(__xludf.DUMMYFUNCTION("""COMPUTED_VALUE"""),"TMTE")</f>
        <v>TMTE</v>
      </c>
      <c r="D170" s="60" t="str">
        <f>IFERROR(__xludf.DUMMYFUNCTION("""COMPUTED_VALUE"""),"JAC")</f>
        <v>JAC</v>
      </c>
      <c r="E170" s="62" t="str">
        <f t="shared" si="4"/>
        <v>Jacksonville Jaguars</v>
      </c>
      <c r="F170" s="62">
        <f t="shared" ref="F170:G170" si="340">IF(isblank(F$1),,IF(isblank($A170),,IFERROR(vlookup($A170,indirect("'TVC-"&amp;text(month(F$1),"00")&amp;"'!$A:$D"),4,false),1)))</f>
        <v>1</v>
      </c>
      <c r="G170" s="62">
        <f t="shared" si="340"/>
        <v>1</v>
      </c>
      <c r="H170" s="62">
        <f t="shared" ref="H170:Q170" si="341">IF(isblank(H$1),,IFERROR(vlookup($A170,indirect("'TVC-"&amp;text(month(H$1),"00")&amp;"'!$A:$D"),4,false),1))</f>
        <v>1</v>
      </c>
      <c r="I170" s="62">
        <f t="shared" si="341"/>
        <v>1</v>
      </c>
      <c r="J170" s="62">
        <f t="shared" si="341"/>
        <v>1</v>
      </c>
      <c r="K170" s="62">
        <f t="shared" si="341"/>
        <v>1</v>
      </c>
      <c r="L170" s="62">
        <f t="shared" si="341"/>
        <v>1</v>
      </c>
      <c r="M170" s="62">
        <f t="shared" si="341"/>
        <v>1</v>
      </c>
      <c r="N170" s="62">
        <f t="shared" si="341"/>
        <v>1</v>
      </c>
      <c r="O170" s="62">
        <f t="shared" si="341"/>
        <v>1</v>
      </c>
      <c r="P170" s="62" t="str">
        <f t="shared" si="341"/>
        <v/>
      </c>
      <c r="Q170" s="62" t="str">
        <f t="shared" si="341"/>
        <v/>
      </c>
      <c r="R170" s="62">
        <f t="shared" si="7"/>
        <v>0</v>
      </c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</row>
    <row r="171" hidden="1">
      <c r="A171" s="60">
        <f>IFERROR(__xludf.DUMMYFUNCTION("""COMPUTED_VALUE"""),410.0)</f>
        <v>410</v>
      </c>
      <c r="B171" s="60" t="str">
        <f>IFERROR(__xludf.DUMMYFUNCTION("""COMPUTED_VALUE"""),"Steelers, Pittsburgh")</f>
        <v>Steelers, Pittsburgh</v>
      </c>
      <c r="C171" s="60" t="str">
        <f>IFERROR(__xludf.DUMMYFUNCTION("""COMPUTED_VALUE"""),"TMTE")</f>
        <v>TMTE</v>
      </c>
      <c r="D171" s="60" t="str">
        <f>IFERROR(__xludf.DUMMYFUNCTION("""COMPUTED_VALUE"""),"PIT")</f>
        <v>PIT</v>
      </c>
      <c r="E171" s="62" t="str">
        <f t="shared" si="4"/>
        <v>Pittsburgh Steelers</v>
      </c>
      <c r="F171" s="62">
        <f t="shared" ref="F171:G171" si="342">IF(isblank(F$1),,IF(isblank($A171),,IFERROR(vlookup($A171,indirect("'TVC-"&amp;text(month(F$1),"00")&amp;"'!$A:$D"),4,false),1)))</f>
        <v>1</v>
      </c>
      <c r="G171" s="62">
        <f t="shared" si="342"/>
        <v>1</v>
      </c>
      <c r="H171" s="62">
        <f t="shared" ref="H171:Q171" si="343">IF(isblank(H$1),,IFERROR(vlookup($A171,indirect("'TVC-"&amp;text(month(H$1),"00")&amp;"'!$A:$D"),4,false),1))</f>
        <v>1</v>
      </c>
      <c r="I171" s="62">
        <f t="shared" si="343"/>
        <v>1</v>
      </c>
      <c r="J171" s="62">
        <f t="shared" si="343"/>
        <v>1</v>
      </c>
      <c r="K171" s="62">
        <f t="shared" si="343"/>
        <v>1</v>
      </c>
      <c r="L171" s="62">
        <f t="shared" si="343"/>
        <v>1</v>
      </c>
      <c r="M171" s="62">
        <f t="shared" si="343"/>
        <v>1</v>
      </c>
      <c r="N171" s="62">
        <f t="shared" si="343"/>
        <v>1</v>
      </c>
      <c r="O171" s="62">
        <f t="shared" si="343"/>
        <v>1</v>
      </c>
      <c r="P171" s="62" t="str">
        <f t="shared" si="343"/>
        <v/>
      </c>
      <c r="Q171" s="62" t="str">
        <f t="shared" si="343"/>
        <v/>
      </c>
      <c r="R171" s="62">
        <f t="shared" si="7"/>
        <v>0</v>
      </c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</row>
    <row r="172" hidden="1">
      <c r="A172" s="60">
        <f>IFERROR(__xludf.DUMMYFUNCTION("""COMPUTED_VALUE"""),411.0)</f>
        <v>411</v>
      </c>
      <c r="B172" s="60" t="str">
        <f>IFERROR(__xludf.DUMMYFUNCTION("""COMPUTED_VALUE"""),"Broncos, Denver")</f>
        <v>Broncos, Denver</v>
      </c>
      <c r="C172" s="60" t="str">
        <f>IFERROR(__xludf.DUMMYFUNCTION("""COMPUTED_VALUE"""),"TMTE")</f>
        <v>TMTE</v>
      </c>
      <c r="D172" s="60" t="str">
        <f>IFERROR(__xludf.DUMMYFUNCTION("""COMPUTED_VALUE"""),"DEN")</f>
        <v>DEN</v>
      </c>
      <c r="E172" s="62" t="str">
        <f t="shared" si="4"/>
        <v>Denver Broncos</v>
      </c>
      <c r="F172" s="62">
        <f t="shared" ref="F172:G172" si="344">IF(isblank(F$1),,IF(isblank($A172),,IFERROR(vlookup($A172,indirect("'TVC-"&amp;text(month(F$1),"00")&amp;"'!$A:$D"),4,false),1)))</f>
        <v>1</v>
      </c>
      <c r="G172" s="62">
        <f t="shared" si="344"/>
        <v>1</v>
      </c>
      <c r="H172" s="62">
        <f t="shared" ref="H172:Q172" si="345">IF(isblank(H$1),,IFERROR(vlookup($A172,indirect("'TVC-"&amp;text(month(H$1),"00")&amp;"'!$A:$D"),4,false),1))</f>
        <v>1</v>
      </c>
      <c r="I172" s="62">
        <f t="shared" si="345"/>
        <v>1</v>
      </c>
      <c r="J172" s="62">
        <f t="shared" si="345"/>
        <v>1</v>
      </c>
      <c r="K172" s="62">
        <f t="shared" si="345"/>
        <v>1</v>
      </c>
      <c r="L172" s="62">
        <f t="shared" si="345"/>
        <v>1</v>
      </c>
      <c r="M172" s="62">
        <f t="shared" si="345"/>
        <v>1</v>
      </c>
      <c r="N172" s="62">
        <f t="shared" si="345"/>
        <v>1</v>
      </c>
      <c r="O172" s="62">
        <f t="shared" si="345"/>
        <v>1</v>
      </c>
      <c r="P172" s="62" t="str">
        <f t="shared" si="345"/>
        <v/>
      </c>
      <c r="Q172" s="62" t="str">
        <f t="shared" si="345"/>
        <v/>
      </c>
      <c r="R172" s="62">
        <f t="shared" si="7"/>
        <v>0</v>
      </c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</row>
    <row r="173" hidden="1">
      <c r="A173" s="60">
        <f>IFERROR(__xludf.DUMMYFUNCTION("""COMPUTED_VALUE"""),412.0)</f>
        <v>412</v>
      </c>
      <c r="B173" s="60" t="str">
        <f>IFERROR(__xludf.DUMMYFUNCTION("""COMPUTED_VALUE"""),"Chiefs, Kansas City")</f>
        <v>Chiefs, Kansas City</v>
      </c>
      <c r="C173" s="60" t="str">
        <f>IFERROR(__xludf.DUMMYFUNCTION("""COMPUTED_VALUE"""),"TMTE")</f>
        <v>TMTE</v>
      </c>
      <c r="D173" s="60" t="str">
        <f>IFERROR(__xludf.DUMMYFUNCTION("""COMPUTED_VALUE"""),"KCC")</f>
        <v>KCC</v>
      </c>
      <c r="E173" s="62" t="str">
        <f t="shared" si="4"/>
        <v>Kansas City Chiefs</v>
      </c>
      <c r="F173" s="62">
        <f t="shared" ref="F173:G173" si="346">IF(isblank(F$1),,IF(isblank($A173),,IFERROR(vlookup($A173,indirect("'TVC-"&amp;text(month(F$1),"00")&amp;"'!$A:$D"),4,false),1)))</f>
        <v>1</v>
      </c>
      <c r="G173" s="62">
        <f t="shared" si="346"/>
        <v>1</v>
      </c>
      <c r="H173" s="62">
        <f t="shared" ref="H173:Q173" si="347">IF(isblank(H$1),,IFERROR(vlookup($A173,indirect("'TVC-"&amp;text(month(H$1),"00")&amp;"'!$A:$D"),4,false),1))</f>
        <v>1</v>
      </c>
      <c r="I173" s="62">
        <f t="shared" si="347"/>
        <v>1</v>
      </c>
      <c r="J173" s="62">
        <f t="shared" si="347"/>
        <v>1</v>
      </c>
      <c r="K173" s="62">
        <f t="shared" si="347"/>
        <v>1</v>
      </c>
      <c r="L173" s="62">
        <f t="shared" si="347"/>
        <v>1</v>
      </c>
      <c r="M173" s="62">
        <f t="shared" si="347"/>
        <v>1</v>
      </c>
      <c r="N173" s="62">
        <f t="shared" si="347"/>
        <v>1</v>
      </c>
      <c r="O173" s="62">
        <f t="shared" si="347"/>
        <v>1</v>
      </c>
      <c r="P173" s="62" t="str">
        <f t="shared" si="347"/>
        <v/>
      </c>
      <c r="Q173" s="62" t="str">
        <f t="shared" si="347"/>
        <v/>
      </c>
      <c r="R173" s="62">
        <f t="shared" si="7"/>
        <v>0</v>
      </c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</row>
    <row r="174" hidden="1">
      <c r="A174" s="60">
        <f>IFERROR(__xludf.DUMMYFUNCTION("""COMPUTED_VALUE"""),413.0)</f>
        <v>413</v>
      </c>
      <c r="B174" s="60" t="str">
        <f>IFERROR(__xludf.DUMMYFUNCTION("""COMPUTED_VALUE"""),"Raiders, Las Vegas")</f>
        <v>Raiders, Las Vegas</v>
      </c>
      <c r="C174" s="60" t="str">
        <f>IFERROR(__xludf.DUMMYFUNCTION("""COMPUTED_VALUE"""),"TMTE")</f>
        <v>TMTE</v>
      </c>
      <c r="D174" s="60" t="str">
        <f>IFERROR(__xludf.DUMMYFUNCTION("""COMPUTED_VALUE"""),"LVR")</f>
        <v>LVR</v>
      </c>
      <c r="E174" s="62" t="str">
        <f t="shared" si="4"/>
        <v>Las Vegas Raiders</v>
      </c>
      <c r="F174" s="62">
        <f t="shared" ref="F174:G174" si="348">IF(isblank(F$1),,IF(isblank($A174),,IFERROR(vlookup($A174,indirect("'TVC-"&amp;text(month(F$1),"00")&amp;"'!$A:$D"),4,false),1)))</f>
        <v>1</v>
      </c>
      <c r="G174" s="62">
        <f t="shared" si="348"/>
        <v>1</v>
      </c>
      <c r="H174" s="62">
        <f t="shared" ref="H174:Q174" si="349">IF(isblank(H$1),,IFERROR(vlookup($A174,indirect("'TVC-"&amp;text(month(H$1),"00")&amp;"'!$A:$D"),4,false),1))</f>
        <v>1</v>
      </c>
      <c r="I174" s="62">
        <f t="shared" si="349"/>
        <v>1</v>
      </c>
      <c r="J174" s="62">
        <f t="shared" si="349"/>
        <v>1</v>
      </c>
      <c r="K174" s="62">
        <f t="shared" si="349"/>
        <v>1</v>
      </c>
      <c r="L174" s="62">
        <f t="shared" si="349"/>
        <v>1</v>
      </c>
      <c r="M174" s="62">
        <f t="shared" si="349"/>
        <v>1</v>
      </c>
      <c r="N174" s="62">
        <f t="shared" si="349"/>
        <v>1</v>
      </c>
      <c r="O174" s="62">
        <f t="shared" si="349"/>
        <v>1</v>
      </c>
      <c r="P174" s="62" t="str">
        <f t="shared" si="349"/>
        <v/>
      </c>
      <c r="Q174" s="62" t="str">
        <f t="shared" si="349"/>
        <v/>
      </c>
      <c r="R174" s="62">
        <f t="shared" si="7"/>
        <v>0</v>
      </c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</row>
    <row r="175" hidden="1">
      <c r="A175" s="60">
        <f>IFERROR(__xludf.DUMMYFUNCTION("""COMPUTED_VALUE"""),414.0)</f>
        <v>414</v>
      </c>
      <c r="B175" s="60" t="str">
        <f>IFERROR(__xludf.DUMMYFUNCTION("""COMPUTED_VALUE"""),"Chargers, Los Angeles")</f>
        <v>Chargers, Los Angeles</v>
      </c>
      <c r="C175" s="60" t="str">
        <f>IFERROR(__xludf.DUMMYFUNCTION("""COMPUTED_VALUE"""),"TMTE")</f>
        <v>TMTE</v>
      </c>
      <c r="D175" s="60" t="str">
        <f>IFERROR(__xludf.DUMMYFUNCTION("""COMPUTED_VALUE"""),"LAC")</f>
        <v>LAC</v>
      </c>
      <c r="E175" s="62" t="str">
        <f t="shared" si="4"/>
        <v>Los Angeles Chargers</v>
      </c>
      <c r="F175" s="62">
        <f t="shared" ref="F175:G175" si="350">IF(isblank(F$1),,IF(isblank($A175),,IFERROR(vlookup($A175,indirect("'TVC-"&amp;text(month(F$1),"00")&amp;"'!$A:$D"),4,false),1)))</f>
        <v>1</v>
      </c>
      <c r="G175" s="62">
        <f t="shared" si="350"/>
        <v>1</v>
      </c>
      <c r="H175" s="62">
        <f t="shared" ref="H175:Q175" si="351">IF(isblank(H$1),,IFERROR(vlookup($A175,indirect("'TVC-"&amp;text(month(H$1),"00")&amp;"'!$A:$D"),4,false),1))</f>
        <v>1</v>
      </c>
      <c r="I175" s="62">
        <f t="shared" si="351"/>
        <v>1</v>
      </c>
      <c r="J175" s="62">
        <f t="shared" si="351"/>
        <v>1</v>
      </c>
      <c r="K175" s="62">
        <f t="shared" si="351"/>
        <v>1</v>
      </c>
      <c r="L175" s="62">
        <f t="shared" si="351"/>
        <v>1</v>
      </c>
      <c r="M175" s="62">
        <f t="shared" si="351"/>
        <v>1</v>
      </c>
      <c r="N175" s="62">
        <f t="shared" si="351"/>
        <v>1</v>
      </c>
      <c r="O175" s="62">
        <f t="shared" si="351"/>
        <v>1</v>
      </c>
      <c r="P175" s="62" t="str">
        <f t="shared" si="351"/>
        <v/>
      </c>
      <c r="Q175" s="62" t="str">
        <f t="shared" si="351"/>
        <v/>
      </c>
      <c r="R175" s="62">
        <f t="shared" si="7"/>
        <v>0</v>
      </c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</row>
    <row r="176" hidden="1">
      <c r="A176" s="60">
        <f>IFERROR(__xludf.DUMMYFUNCTION("""COMPUTED_VALUE"""),415.0)</f>
        <v>415</v>
      </c>
      <c r="B176" s="60" t="str">
        <f>IFERROR(__xludf.DUMMYFUNCTION("""COMPUTED_VALUE"""),"Seahawks, Seattle")</f>
        <v>Seahawks, Seattle</v>
      </c>
      <c r="C176" s="60" t="str">
        <f>IFERROR(__xludf.DUMMYFUNCTION("""COMPUTED_VALUE"""),"TMTE")</f>
        <v>TMTE</v>
      </c>
      <c r="D176" s="60" t="str">
        <f>IFERROR(__xludf.DUMMYFUNCTION("""COMPUTED_VALUE"""),"SEA")</f>
        <v>SEA</v>
      </c>
      <c r="E176" s="62" t="str">
        <f t="shared" si="4"/>
        <v>Seattle Seahawks</v>
      </c>
      <c r="F176" s="62">
        <f t="shared" ref="F176:G176" si="352">IF(isblank(F$1),,IF(isblank($A176),,IFERROR(vlookup($A176,indirect("'TVC-"&amp;text(month(F$1),"00")&amp;"'!$A:$D"),4,false),1)))</f>
        <v>1</v>
      </c>
      <c r="G176" s="62">
        <f t="shared" si="352"/>
        <v>1</v>
      </c>
      <c r="H176" s="62">
        <f t="shared" ref="H176:Q176" si="353">IF(isblank(H$1),,IFERROR(vlookup($A176,indirect("'TVC-"&amp;text(month(H$1),"00")&amp;"'!$A:$D"),4,false),1))</f>
        <v>1</v>
      </c>
      <c r="I176" s="62">
        <f t="shared" si="353"/>
        <v>1</v>
      </c>
      <c r="J176" s="62">
        <f t="shared" si="353"/>
        <v>1</v>
      </c>
      <c r="K176" s="62">
        <f t="shared" si="353"/>
        <v>1</v>
      </c>
      <c r="L176" s="62">
        <f t="shared" si="353"/>
        <v>1</v>
      </c>
      <c r="M176" s="62">
        <f t="shared" si="353"/>
        <v>1</v>
      </c>
      <c r="N176" s="62">
        <f t="shared" si="353"/>
        <v>1</v>
      </c>
      <c r="O176" s="62">
        <f t="shared" si="353"/>
        <v>1</v>
      </c>
      <c r="P176" s="62" t="str">
        <f t="shared" si="353"/>
        <v/>
      </c>
      <c r="Q176" s="62" t="str">
        <f t="shared" si="353"/>
        <v/>
      </c>
      <c r="R176" s="62">
        <f t="shared" si="7"/>
        <v>0</v>
      </c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</row>
    <row r="177" hidden="1">
      <c r="A177" s="60">
        <f>IFERROR(__xludf.DUMMYFUNCTION("""COMPUTED_VALUE"""),416.0)</f>
        <v>416</v>
      </c>
      <c r="B177" s="60" t="str">
        <f>IFERROR(__xludf.DUMMYFUNCTION("""COMPUTED_VALUE"""),"Cowboys, Dallas")</f>
        <v>Cowboys, Dallas</v>
      </c>
      <c r="C177" s="60" t="str">
        <f>IFERROR(__xludf.DUMMYFUNCTION("""COMPUTED_VALUE"""),"TMTE")</f>
        <v>TMTE</v>
      </c>
      <c r="D177" s="60" t="str">
        <f>IFERROR(__xludf.DUMMYFUNCTION("""COMPUTED_VALUE"""),"DAL")</f>
        <v>DAL</v>
      </c>
      <c r="E177" s="62" t="str">
        <f t="shared" si="4"/>
        <v>Dallas Cowboys</v>
      </c>
      <c r="F177" s="62">
        <f t="shared" ref="F177:G177" si="354">IF(isblank(F$1),,IF(isblank($A177),,IFERROR(vlookup($A177,indirect("'TVC-"&amp;text(month(F$1),"00")&amp;"'!$A:$D"),4,false),1)))</f>
        <v>1</v>
      </c>
      <c r="G177" s="62">
        <f t="shared" si="354"/>
        <v>1</v>
      </c>
      <c r="H177" s="62">
        <f t="shared" ref="H177:Q177" si="355">IF(isblank(H$1),,IFERROR(vlookup($A177,indirect("'TVC-"&amp;text(month(H$1),"00")&amp;"'!$A:$D"),4,false),1))</f>
        <v>1</v>
      </c>
      <c r="I177" s="62">
        <f t="shared" si="355"/>
        <v>1</v>
      </c>
      <c r="J177" s="62">
        <f t="shared" si="355"/>
        <v>1</v>
      </c>
      <c r="K177" s="62">
        <f t="shared" si="355"/>
        <v>1</v>
      </c>
      <c r="L177" s="62">
        <f t="shared" si="355"/>
        <v>1</v>
      </c>
      <c r="M177" s="62">
        <f t="shared" si="355"/>
        <v>1</v>
      </c>
      <c r="N177" s="62">
        <f t="shared" si="355"/>
        <v>1</v>
      </c>
      <c r="O177" s="62">
        <f t="shared" si="355"/>
        <v>1</v>
      </c>
      <c r="P177" s="62" t="str">
        <f t="shared" si="355"/>
        <v/>
      </c>
      <c r="Q177" s="62" t="str">
        <f t="shared" si="355"/>
        <v/>
      </c>
      <c r="R177" s="62">
        <f t="shared" si="7"/>
        <v>0</v>
      </c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</row>
    <row r="178" hidden="1">
      <c r="A178" s="60">
        <f>IFERROR(__xludf.DUMMYFUNCTION("""COMPUTED_VALUE"""),417.0)</f>
        <v>417</v>
      </c>
      <c r="B178" s="60" t="str">
        <f>IFERROR(__xludf.DUMMYFUNCTION("""COMPUTED_VALUE"""),"Giants, New York")</f>
        <v>Giants, New York</v>
      </c>
      <c r="C178" s="60" t="str">
        <f>IFERROR(__xludf.DUMMYFUNCTION("""COMPUTED_VALUE"""),"TMTE")</f>
        <v>TMTE</v>
      </c>
      <c r="D178" s="60" t="str">
        <f>IFERROR(__xludf.DUMMYFUNCTION("""COMPUTED_VALUE"""),"NYG")</f>
        <v>NYG</v>
      </c>
      <c r="E178" s="62" t="str">
        <f t="shared" si="4"/>
        <v>New York Giants</v>
      </c>
      <c r="F178" s="62">
        <f t="shared" ref="F178:G178" si="356">IF(isblank(F$1),,IF(isblank($A178),,IFERROR(vlookup($A178,indirect("'TVC-"&amp;text(month(F$1),"00")&amp;"'!$A:$D"),4,false),1)))</f>
        <v>1</v>
      </c>
      <c r="G178" s="62">
        <f t="shared" si="356"/>
        <v>1</v>
      </c>
      <c r="H178" s="62">
        <f t="shared" ref="H178:Q178" si="357">IF(isblank(H$1),,IFERROR(vlookup($A178,indirect("'TVC-"&amp;text(month(H$1),"00")&amp;"'!$A:$D"),4,false),1))</f>
        <v>1</v>
      </c>
      <c r="I178" s="62">
        <f t="shared" si="357"/>
        <v>1</v>
      </c>
      <c r="J178" s="62">
        <f t="shared" si="357"/>
        <v>1</v>
      </c>
      <c r="K178" s="62">
        <f t="shared" si="357"/>
        <v>1</v>
      </c>
      <c r="L178" s="62">
        <f t="shared" si="357"/>
        <v>1</v>
      </c>
      <c r="M178" s="62">
        <f t="shared" si="357"/>
        <v>1</v>
      </c>
      <c r="N178" s="62">
        <f t="shared" si="357"/>
        <v>1</v>
      </c>
      <c r="O178" s="62">
        <f t="shared" si="357"/>
        <v>1</v>
      </c>
      <c r="P178" s="62" t="str">
        <f t="shared" si="357"/>
        <v/>
      </c>
      <c r="Q178" s="62" t="str">
        <f t="shared" si="357"/>
        <v/>
      </c>
      <c r="R178" s="62">
        <f t="shared" si="7"/>
        <v>0</v>
      </c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</row>
    <row r="179" hidden="1">
      <c r="A179" s="60">
        <f>IFERROR(__xludf.DUMMYFUNCTION("""COMPUTED_VALUE"""),418.0)</f>
        <v>418</v>
      </c>
      <c r="B179" s="60" t="str">
        <f>IFERROR(__xludf.DUMMYFUNCTION("""COMPUTED_VALUE"""),"Eagles, Philadelphia")</f>
        <v>Eagles, Philadelphia</v>
      </c>
      <c r="C179" s="60" t="str">
        <f>IFERROR(__xludf.DUMMYFUNCTION("""COMPUTED_VALUE"""),"TMTE")</f>
        <v>TMTE</v>
      </c>
      <c r="D179" s="60" t="str">
        <f>IFERROR(__xludf.DUMMYFUNCTION("""COMPUTED_VALUE"""),"PHI")</f>
        <v>PHI</v>
      </c>
      <c r="E179" s="62" t="str">
        <f t="shared" si="4"/>
        <v>Philadelphia Eagles</v>
      </c>
      <c r="F179" s="62">
        <f t="shared" ref="F179:G179" si="358">IF(isblank(F$1),,IF(isblank($A179),,IFERROR(vlookup($A179,indirect("'TVC-"&amp;text(month(F$1),"00")&amp;"'!$A:$D"),4,false),1)))</f>
        <v>1</v>
      </c>
      <c r="G179" s="62">
        <f t="shared" si="358"/>
        <v>1</v>
      </c>
      <c r="H179" s="62">
        <f t="shared" ref="H179:Q179" si="359">IF(isblank(H$1),,IFERROR(vlookup($A179,indirect("'TVC-"&amp;text(month(H$1),"00")&amp;"'!$A:$D"),4,false),1))</f>
        <v>1</v>
      </c>
      <c r="I179" s="62">
        <f t="shared" si="359"/>
        <v>1</v>
      </c>
      <c r="J179" s="62">
        <f t="shared" si="359"/>
        <v>1</v>
      </c>
      <c r="K179" s="62">
        <f t="shared" si="359"/>
        <v>1</v>
      </c>
      <c r="L179" s="62">
        <f t="shared" si="359"/>
        <v>1</v>
      </c>
      <c r="M179" s="62">
        <f t="shared" si="359"/>
        <v>1</v>
      </c>
      <c r="N179" s="62">
        <f t="shared" si="359"/>
        <v>1</v>
      </c>
      <c r="O179" s="62">
        <f t="shared" si="359"/>
        <v>1</v>
      </c>
      <c r="P179" s="62" t="str">
        <f t="shared" si="359"/>
        <v/>
      </c>
      <c r="Q179" s="62" t="str">
        <f t="shared" si="359"/>
        <v/>
      </c>
      <c r="R179" s="62">
        <f t="shared" si="7"/>
        <v>0</v>
      </c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</row>
    <row r="180" hidden="1">
      <c r="A180" s="60">
        <f>IFERROR(__xludf.DUMMYFUNCTION("""COMPUTED_VALUE"""),419.0)</f>
        <v>419</v>
      </c>
      <c r="B180" s="60" t="str">
        <f>IFERROR(__xludf.DUMMYFUNCTION("""COMPUTED_VALUE"""),"Cardinals, Arizona")</f>
        <v>Cardinals, Arizona</v>
      </c>
      <c r="C180" s="60" t="str">
        <f>IFERROR(__xludf.DUMMYFUNCTION("""COMPUTED_VALUE"""),"TMTE")</f>
        <v>TMTE</v>
      </c>
      <c r="D180" s="60" t="str">
        <f>IFERROR(__xludf.DUMMYFUNCTION("""COMPUTED_VALUE"""),"ARI")</f>
        <v>ARI</v>
      </c>
      <c r="E180" s="62" t="str">
        <f t="shared" si="4"/>
        <v>Arizona Cardinals</v>
      </c>
      <c r="F180" s="62">
        <f t="shared" ref="F180:G180" si="360">IF(isblank(F$1),,IF(isblank($A180),,IFERROR(vlookup($A180,indirect("'TVC-"&amp;text(month(F$1),"00")&amp;"'!$A:$D"),4,false),1)))</f>
        <v>1</v>
      </c>
      <c r="G180" s="62">
        <f t="shared" si="360"/>
        <v>1</v>
      </c>
      <c r="H180" s="62">
        <f t="shared" ref="H180:Q180" si="361">IF(isblank(H$1),,IFERROR(vlookup($A180,indirect("'TVC-"&amp;text(month(H$1),"00")&amp;"'!$A:$D"),4,false),1))</f>
        <v>1</v>
      </c>
      <c r="I180" s="62">
        <f t="shared" si="361"/>
        <v>1</v>
      </c>
      <c r="J180" s="62">
        <f t="shared" si="361"/>
        <v>1</v>
      </c>
      <c r="K180" s="62">
        <f t="shared" si="361"/>
        <v>1</v>
      </c>
      <c r="L180" s="62">
        <f t="shared" si="361"/>
        <v>1</v>
      </c>
      <c r="M180" s="62">
        <f t="shared" si="361"/>
        <v>1</v>
      </c>
      <c r="N180" s="62">
        <f t="shared" si="361"/>
        <v>1</v>
      </c>
      <c r="O180" s="62">
        <f t="shared" si="361"/>
        <v>1</v>
      </c>
      <c r="P180" s="62" t="str">
        <f t="shared" si="361"/>
        <v/>
      </c>
      <c r="Q180" s="62" t="str">
        <f t="shared" si="361"/>
        <v/>
      </c>
      <c r="R180" s="62">
        <f t="shared" si="7"/>
        <v>0</v>
      </c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</row>
    <row r="181" hidden="1">
      <c r="A181" s="60">
        <f>IFERROR(__xludf.DUMMYFUNCTION("""COMPUTED_VALUE"""),420.0)</f>
        <v>420</v>
      </c>
      <c r="B181" s="60" t="str">
        <f>IFERROR(__xludf.DUMMYFUNCTION("""COMPUTED_VALUE"""),"Commanders, Washington")</f>
        <v>Commanders, Washington</v>
      </c>
      <c r="C181" s="60" t="str">
        <f>IFERROR(__xludf.DUMMYFUNCTION("""COMPUTED_VALUE"""),"TMTE")</f>
        <v>TMTE</v>
      </c>
      <c r="D181" s="60" t="str">
        <f>IFERROR(__xludf.DUMMYFUNCTION("""COMPUTED_VALUE"""),"WAS")</f>
        <v>WAS</v>
      </c>
      <c r="E181" s="62" t="str">
        <f t="shared" si="4"/>
        <v>Washington Commanders</v>
      </c>
      <c r="F181" s="62">
        <f t="shared" ref="F181:G181" si="362">IF(isblank(F$1),,IF(isblank($A181),,IFERROR(vlookup($A181,indirect("'TVC-"&amp;text(month(F$1),"00")&amp;"'!$A:$D"),4,false),1)))</f>
        <v>1</v>
      </c>
      <c r="G181" s="62">
        <f t="shared" si="362"/>
        <v>1</v>
      </c>
      <c r="H181" s="62">
        <f t="shared" ref="H181:Q181" si="363">IF(isblank(H$1),,IFERROR(vlookup($A181,indirect("'TVC-"&amp;text(month(H$1),"00")&amp;"'!$A:$D"),4,false),1))</f>
        <v>1</v>
      </c>
      <c r="I181" s="62">
        <f t="shared" si="363"/>
        <v>1</v>
      </c>
      <c r="J181" s="62">
        <f t="shared" si="363"/>
        <v>1</v>
      </c>
      <c r="K181" s="62">
        <f t="shared" si="363"/>
        <v>1</v>
      </c>
      <c r="L181" s="62">
        <f t="shared" si="363"/>
        <v>1</v>
      </c>
      <c r="M181" s="62">
        <f t="shared" si="363"/>
        <v>1</v>
      </c>
      <c r="N181" s="62">
        <f t="shared" si="363"/>
        <v>1</v>
      </c>
      <c r="O181" s="62">
        <f t="shared" si="363"/>
        <v>1</v>
      </c>
      <c r="P181" s="62" t="str">
        <f t="shared" si="363"/>
        <v/>
      </c>
      <c r="Q181" s="62" t="str">
        <f t="shared" si="363"/>
        <v/>
      </c>
      <c r="R181" s="62">
        <f t="shared" si="7"/>
        <v>0</v>
      </c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</row>
    <row r="182" hidden="1">
      <c r="A182" s="60">
        <f>IFERROR(__xludf.DUMMYFUNCTION("""COMPUTED_VALUE"""),421.0)</f>
        <v>421</v>
      </c>
      <c r="B182" s="60" t="str">
        <f>IFERROR(__xludf.DUMMYFUNCTION("""COMPUTED_VALUE"""),"Bears, Chicago")</f>
        <v>Bears, Chicago</v>
      </c>
      <c r="C182" s="60" t="str">
        <f>IFERROR(__xludf.DUMMYFUNCTION("""COMPUTED_VALUE"""),"TMTE")</f>
        <v>TMTE</v>
      </c>
      <c r="D182" s="60" t="str">
        <f>IFERROR(__xludf.DUMMYFUNCTION("""COMPUTED_VALUE"""),"CHI")</f>
        <v>CHI</v>
      </c>
      <c r="E182" s="62" t="str">
        <f t="shared" si="4"/>
        <v>Chicago Bears</v>
      </c>
      <c r="F182" s="62">
        <f t="shared" ref="F182:G182" si="364">IF(isblank(F$1),,IF(isblank($A182),,IFERROR(vlookup($A182,indirect("'TVC-"&amp;text(month(F$1),"00")&amp;"'!$A:$D"),4,false),1)))</f>
        <v>1</v>
      </c>
      <c r="G182" s="62">
        <f t="shared" si="364"/>
        <v>1</v>
      </c>
      <c r="H182" s="62">
        <f t="shared" ref="H182:Q182" si="365">IF(isblank(H$1),,IFERROR(vlookup($A182,indirect("'TVC-"&amp;text(month(H$1),"00")&amp;"'!$A:$D"),4,false),1))</f>
        <v>1</v>
      </c>
      <c r="I182" s="62">
        <f t="shared" si="365"/>
        <v>1</v>
      </c>
      <c r="J182" s="62">
        <f t="shared" si="365"/>
        <v>1</v>
      </c>
      <c r="K182" s="62">
        <f t="shared" si="365"/>
        <v>1</v>
      </c>
      <c r="L182" s="62">
        <f t="shared" si="365"/>
        <v>1</v>
      </c>
      <c r="M182" s="62">
        <f t="shared" si="365"/>
        <v>1</v>
      </c>
      <c r="N182" s="62">
        <f t="shared" si="365"/>
        <v>1</v>
      </c>
      <c r="O182" s="62">
        <f t="shared" si="365"/>
        <v>1</v>
      </c>
      <c r="P182" s="62" t="str">
        <f t="shared" si="365"/>
        <v/>
      </c>
      <c r="Q182" s="62" t="str">
        <f t="shared" si="365"/>
        <v/>
      </c>
      <c r="R182" s="62">
        <f t="shared" si="7"/>
        <v>0</v>
      </c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</row>
    <row r="183" hidden="1">
      <c r="A183" s="60">
        <f>IFERROR(__xludf.DUMMYFUNCTION("""COMPUTED_VALUE"""),422.0)</f>
        <v>422</v>
      </c>
      <c r="B183" s="60" t="str">
        <f>IFERROR(__xludf.DUMMYFUNCTION("""COMPUTED_VALUE"""),"Lions, Detroit")</f>
        <v>Lions, Detroit</v>
      </c>
      <c r="C183" s="60" t="str">
        <f>IFERROR(__xludf.DUMMYFUNCTION("""COMPUTED_VALUE"""),"TMTE")</f>
        <v>TMTE</v>
      </c>
      <c r="D183" s="60" t="str">
        <f>IFERROR(__xludf.DUMMYFUNCTION("""COMPUTED_VALUE"""),"DET")</f>
        <v>DET</v>
      </c>
      <c r="E183" s="62" t="str">
        <f t="shared" si="4"/>
        <v>Detroit Lions</v>
      </c>
      <c r="F183" s="62">
        <f t="shared" ref="F183:G183" si="366">IF(isblank(F$1),,IF(isblank($A183),,IFERROR(vlookup($A183,indirect("'TVC-"&amp;text(month(F$1),"00")&amp;"'!$A:$D"),4,false),1)))</f>
        <v>1</v>
      </c>
      <c r="G183" s="62">
        <f t="shared" si="366"/>
        <v>1</v>
      </c>
      <c r="H183" s="62">
        <f t="shared" ref="H183:Q183" si="367">IF(isblank(H$1),,IFERROR(vlookup($A183,indirect("'TVC-"&amp;text(month(H$1),"00")&amp;"'!$A:$D"),4,false),1))</f>
        <v>1</v>
      </c>
      <c r="I183" s="62">
        <f t="shared" si="367"/>
        <v>1</v>
      </c>
      <c r="J183" s="62">
        <f t="shared" si="367"/>
        <v>1</v>
      </c>
      <c r="K183" s="62">
        <f t="shared" si="367"/>
        <v>1</v>
      </c>
      <c r="L183" s="62">
        <f t="shared" si="367"/>
        <v>1</v>
      </c>
      <c r="M183" s="62">
        <f t="shared" si="367"/>
        <v>1</v>
      </c>
      <c r="N183" s="62">
        <f t="shared" si="367"/>
        <v>1</v>
      </c>
      <c r="O183" s="62">
        <f t="shared" si="367"/>
        <v>1</v>
      </c>
      <c r="P183" s="62" t="str">
        <f t="shared" si="367"/>
        <v/>
      </c>
      <c r="Q183" s="62" t="str">
        <f t="shared" si="367"/>
        <v/>
      </c>
      <c r="R183" s="62">
        <f t="shared" si="7"/>
        <v>0</v>
      </c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</row>
    <row r="184" hidden="1">
      <c r="A184" s="60">
        <f>IFERROR(__xludf.DUMMYFUNCTION("""COMPUTED_VALUE"""),423.0)</f>
        <v>423</v>
      </c>
      <c r="B184" s="60" t="str">
        <f>IFERROR(__xludf.DUMMYFUNCTION("""COMPUTED_VALUE"""),"Packers, Green Bay")</f>
        <v>Packers, Green Bay</v>
      </c>
      <c r="C184" s="60" t="str">
        <f>IFERROR(__xludf.DUMMYFUNCTION("""COMPUTED_VALUE"""),"TMTE")</f>
        <v>TMTE</v>
      </c>
      <c r="D184" s="60" t="str">
        <f>IFERROR(__xludf.DUMMYFUNCTION("""COMPUTED_VALUE"""),"GBP")</f>
        <v>GBP</v>
      </c>
      <c r="E184" s="62" t="str">
        <f t="shared" si="4"/>
        <v>Green Bay Packers</v>
      </c>
      <c r="F184" s="62">
        <f t="shared" ref="F184:G184" si="368">IF(isblank(F$1),,IF(isblank($A184),,IFERROR(vlookup($A184,indirect("'TVC-"&amp;text(month(F$1),"00")&amp;"'!$A:$D"),4,false),1)))</f>
        <v>1</v>
      </c>
      <c r="G184" s="62">
        <f t="shared" si="368"/>
        <v>1</v>
      </c>
      <c r="H184" s="62">
        <f t="shared" ref="H184:Q184" si="369">IF(isblank(H$1),,IFERROR(vlookup($A184,indirect("'TVC-"&amp;text(month(H$1),"00")&amp;"'!$A:$D"),4,false),1))</f>
        <v>1</v>
      </c>
      <c r="I184" s="62">
        <f t="shared" si="369"/>
        <v>1</v>
      </c>
      <c r="J184" s="62">
        <f t="shared" si="369"/>
        <v>1</v>
      </c>
      <c r="K184" s="62">
        <f t="shared" si="369"/>
        <v>1</v>
      </c>
      <c r="L184" s="62">
        <f t="shared" si="369"/>
        <v>1</v>
      </c>
      <c r="M184" s="62">
        <f t="shared" si="369"/>
        <v>1</v>
      </c>
      <c r="N184" s="62">
        <f t="shared" si="369"/>
        <v>1</v>
      </c>
      <c r="O184" s="62">
        <f t="shared" si="369"/>
        <v>1</v>
      </c>
      <c r="P184" s="62" t="str">
        <f t="shared" si="369"/>
        <v/>
      </c>
      <c r="Q184" s="62" t="str">
        <f t="shared" si="369"/>
        <v/>
      </c>
      <c r="R184" s="62">
        <f t="shared" si="7"/>
        <v>0</v>
      </c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</row>
    <row r="185" hidden="1">
      <c r="A185" s="60">
        <f>IFERROR(__xludf.DUMMYFUNCTION("""COMPUTED_VALUE"""),424.0)</f>
        <v>424</v>
      </c>
      <c r="B185" s="60" t="str">
        <f>IFERROR(__xludf.DUMMYFUNCTION("""COMPUTED_VALUE"""),"Vikings, Minnesota")</f>
        <v>Vikings, Minnesota</v>
      </c>
      <c r="C185" s="60" t="str">
        <f>IFERROR(__xludf.DUMMYFUNCTION("""COMPUTED_VALUE"""),"TMTE")</f>
        <v>TMTE</v>
      </c>
      <c r="D185" s="60" t="str">
        <f>IFERROR(__xludf.DUMMYFUNCTION("""COMPUTED_VALUE"""),"MIN")</f>
        <v>MIN</v>
      </c>
      <c r="E185" s="62" t="str">
        <f t="shared" si="4"/>
        <v>Minnesota Vikings</v>
      </c>
      <c r="F185" s="62">
        <f t="shared" ref="F185:G185" si="370">IF(isblank(F$1),,IF(isblank($A185),,IFERROR(vlookup($A185,indirect("'TVC-"&amp;text(month(F$1),"00")&amp;"'!$A:$D"),4,false),1)))</f>
        <v>1</v>
      </c>
      <c r="G185" s="62">
        <f t="shared" si="370"/>
        <v>1</v>
      </c>
      <c r="H185" s="62">
        <f t="shared" ref="H185:Q185" si="371">IF(isblank(H$1),,IFERROR(vlookup($A185,indirect("'TVC-"&amp;text(month(H$1),"00")&amp;"'!$A:$D"),4,false),1))</f>
        <v>1</v>
      </c>
      <c r="I185" s="62">
        <f t="shared" si="371"/>
        <v>1</v>
      </c>
      <c r="J185" s="62">
        <f t="shared" si="371"/>
        <v>1</v>
      </c>
      <c r="K185" s="62">
        <f t="shared" si="371"/>
        <v>1</v>
      </c>
      <c r="L185" s="62">
        <f t="shared" si="371"/>
        <v>1</v>
      </c>
      <c r="M185" s="62">
        <f t="shared" si="371"/>
        <v>1</v>
      </c>
      <c r="N185" s="62">
        <f t="shared" si="371"/>
        <v>1</v>
      </c>
      <c r="O185" s="62">
        <f t="shared" si="371"/>
        <v>1</v>
      </c>
      <c r="P185" s="62" t="str">
        <f t="shared" si="371"/>
        <v/>
      </c>
      <c r="Q185" s="62" t="str">
        <f t="shared" si="371"/>
        <v/>
      </c>
      <c r="R185" s="62">
        <f t="shared" si="7"/>
        <v>0</v>
      </c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</row>
    <row r="186" hidden="1">
      <c r="A186" s="60">
        <f>IFERROR(__xludf.DUMMYFUNCTION("""COMPUTED_VALUE"""),425.0)</f>
        <v>425</v>
      </c>
      <c r="B186" s="60" t="str">
        <f>IFERROR(__xludf.DUMMYFUNCTION("""COMPUTED_VALUE"""),"Buccaneers, Tampa Bay")</f>
        <v>Buccaneers, Tampa Bay</v>
      </c>
      <c r="C186" s="60" t="str">
        <f>IFERROR(__xludf.DUMMYFUNCTION("""COMPUTED_VALUE"""),"TMTE")</f>
        <v>TMTE</v>
      </c>
      <c r="D186" s="60" t="str">
        <f>IFERROR(__xludf.DUMMYFUNCTION("""COMPUTED_VALUE"""),"TBB")</f>
        <v>TBB</v>
      </c>
      <c r="E186" s="62" t="str">
        <f t="shared" si="4"/>
        <v>Tampa Bay Buccaneers</v>
      </c>
      <c r="F186" s="62">
        <f t="shared" ref="F186:G186" si="372">IF(isblank(F$1),,IF(isblank($A186),,IFERROR(vlookup($A186,indirect("'TVC-"&amp;text(month(F$1),"00")&amp;"'!$A:$D"),4,false),1)))</f>
        <v>1</v>
      </c>
      <c r="G186" s="62">
        <f t="shared" si="372"/>
        <v>1</v>
      </c>
      <c r="H186" s="62">
        <f t="shared" ref="H186:Q186" si="373">IF(isblank(H$1),,IFERROR(vlookup($A186,indirect("'TVC-"&amp;text(month(H$1),"00")&amp;"'!$A:$D"),4,false),1))</f>
        <v>1</v>
      </c>
      <c r="I186" s="62">
        <f t="shared" si="373"/>
        <v>1</v>
      </c>
      <c r="J186" s="62">
        <f t="shared" si="373"/>
        <v>1</v>
      </c>
      <c r="K186" s="62">
        <f t="shared" si="373"/>
        <v>1</v>
      </c>
      <c r="L186" s="62">
        <f t="shared" si="373"/>
        <v>1</v>
      </c>
      <c r="M186" s="62">
        <f t="shared" si="373"/>
        <v>1</v>
      </c>
      <c r="N186" s="62">
        <f t="shared" si="373"/>
        <v>1</v>
      </c>
      <c r="O186" s="62">
        <f t="shared" si="373"/>
        <v>1</v>
      </c>
      <c r="P186" s="62" t="str">
        <f t="shared" si="373"/>
        <v/>
      </c>
      <c r="Q186" s="62" t="str">
        <f t="shared" si="373"/>
        <v/>
      </c>
      <c r="R186" s="62">
        <f t="shared" si="7"/>
        <v>0</v>
      </c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</row>
    <row r="187" hidden="1">
      <c r="A187" s="60">
        <f>IFERROR(__xludf.DUMMYFUNCTION("""COMPUTED_VALUE"""),426.0)</f>
        <v>426</v>
      </c>
      <c r="B187" s="60" t="str">
        <f>IFERROR(__xludf.DUMMYFUNCTION("""COMPUTED_VALUE"""),"Falcons, Atlanta")</f>
        <v>Falcons, Atlanta</v>
      </c>
      <c r="C187" s="60" t="str">
        <f>IFERROR(__xludf.DUMMYFUNCTION("""COMPUTED_VALUE"""),"TMTE")</f>
        <v>TMTE</v>
      </c>
      <c r="D187" s="60" t="str">
        <f>IFERROR(__xludf.DUMMYFUNCTION("""COMPUTED_VALUE"""),"ATL")</f>
        <v>ATL</v>
      </c>
      <c r="E187" s="62" t="str">
        <f t="shared" si="4"/>
        <v>Atlanta Falcons</v>
      </c>
      <c r="F187" s="62">
        <f t="shared" ref="F187:G187" si="374">IF(isblank(F$1),,IF(isblank($A187),,IFERROR(vlookup($A187,indirect("'TVC-"&amp;text(month(F$1),"00")&amp;"'!$A:$D"),4,false),1)))</f>
        <v>1</v>
      </c>
      <c r="G187" s="62">
        <f t="shared" si="374"/>
        <v>1</v>
      </c>
      <c r="H187" s="62">
        <f t="shared" ref="H187:Q187" si="375">IF(isblank(H$1),,IFERROR(vlookup($A187,indirect("'TVC-"&amp;text(month(H$1),"00")&amp;"'!$A:$D"),4,false),1))</f>
        <v>1</v>
      </c>
      <c r="I187" s="62">
        <f t="shared" si="375"/>
        <v>1</v>
      </c>
      <c r="J187" s="62">
        <f t="shared" si="375"/>
        <v>1</v>
      </c>
      <c r="K187" s="62">
        <f t="shared" si="375"/>
        <v>1</v>
      </c>
      <c r="L187" s="62">
        <f t="shared" si="375"/>
        <v>1</v>
      </c>
      <c r="M187" s="62">
        <f t="shared" si="375"/>
        <v>1</v>
      </c>
      <c r="N187" s="62">
        <f t="shared" si="375"/>
        <v>1</v>
      </c>
      <c r="O187" s="62">
        <f t="shared" si="375"/>
        <v>1</v>
      </c>
      <c r="P187" s="62" t="str">
        <f t="shared" si="375"/>
        <v/>
      </c>
      <c r="Q187" s="62" t="str">
        <f t="shared" si="375"/>
        <v/>
      </c>
      <c r="R187" s="62">
        <f t="shared" si="7"/>
        <v>0</v>
      </c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</row>
    <row r="188" hidden="1">
      <c r="A188" s="60">
        <f>IFERROR(__xludf.DUMMYFUNCTION("""COMPUTED_VALUE"""),427.0)</f>
        <v>427</v>
      </c>
      <c r="B188" s="60" t="str">
        <f>IFERROR(__xludf.DUMMYFUNCTION("""COMPUTED_VALUE"""),"Panthers, Carolina")</f>
        <v>Panthers, Carolina</v>
      </c>
      <c r="C188" s="60" t="str">
        <f>IFERROR(__xludf.DUMMYFUNCTION("""COMPUTED_VALUE"""),"TMTE")</f>
        <v>TMTE</v>
      </c>
      <c r="D188" s="60" t="str">
        <f>IFERROR(__xludf.DUMMYFUNCTION("""COMPUTED_VALUE"""),"CAR")</f>
        <v>CAR</v>
      </c>
      <c r="E188" s="62" t="str">
        <f t="shared" si="4"/>
        <v>Carolina Panthers</v>
      </c>
      <c r="F188" s="62">
        <f t="shared" ref="F188:G188" si="376">IF(isblank(F$1),,IF(isblank($A188),,IFERROR(vlookup($A188,indirect("'TVC-"&amp;text(month(F$1),"00")&amp;"'!$A:$D"),4,false),1)))</f>
        <v>1</v>
      </c>
      <c r="G188" s="62">
        <f t="shared" si="376"/>
        <v>1</v>
      </c>
      <c r="H188" s="62">
        <f t="shared" ref="H188:Q188" si="377">IF(isblank(H$1),,IFERROR(vlookup($A188,indirect("'TVC-"&amp;text(month(H$1),"00")&amp;"'!$A:$D"),4,false),1))</f>
        <v>1</v>
      </c>
      <c r="I188" s="62">
        <f t="shared" si="377"/>
        <v>1</v>
      </c>
      <c r="J188" s="62">
        <f t="shared" si="377"/>
        <v>1</v>
      </c>
      <c r="K188" s="62">
        <f t="shared" si="377"/>
        <v>1</v>
      </c>
      <c r="L188" s="62">
        <f t="shared" si="377"/>
        <v>1</v>
      </c>
      <c r="M188" s="62">
        <f t="shared" si="377"/>
        <v>1</v>
      </c>
      <c r="N188" s="62">
        <f t="shared" si="377"/>
        <v>1</v>
      </c>
      <c r="O188" s="62">
        <f t="shared" si="377"/>
        <v>1</v>
      </c>
      <c r="P188" s="62" t="str">
        <f t="shared" si="377"/>
        <v/>
      </c>
      <c r="Q188" s="62" t="str">
        <f t="shared" si="377"/>
        <v/>
      </c>
      <c r="R188" s="62">
        <f t="shared" si="7"/>
        <v>0</v>
      </c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</row>
    <row r="189" hidden="1">
      <c r="A189" s="60">
        <f>IFERROR(__xludf.DUMMYFUNCTION("""COMPUTED_VALUE"""),428.0)</f>
        <v>428</v>
      </c>
      <c r="B189" s="60" t="str">
        <f>IFERROR(__xludf.DUMMYFUNCTION("""COMPUTED_VALUE"""),"Rams, Los Angeles")</f>
        <v>Rams, Los Angeles</v>
      </c>
      <c r="C189" s="60" t="str">
        <f>IFERROR(__xludf.DUMMYFUNCTION("""COMPUTED_VALUE"""),"TMTE")</f>
        <v>TMTE</v>
      </c>
      <c r="D189" s="60" t="str">
        <f>IFERROR(__xludf.DUMMYFUNCTION("""COMPUTED_VALUE"""),"LAR")</f>
        <v>LAR</v>
      </c>
      <c r="E189" s="62" t="str">
        <f t="shared" si="4"/>
        <v>Los Angeles Rams</v>
      </c>
      <c r="F189" s="62">
        <f t="shared" ref="F189:G189" si="378">IF(isblank(F$1),,IF(isblank($A189),,IFERROR(vlookup($A189,indirect("'TVC-"&amp;text(month(F$1),"00")&amp;"'!$A:$D"),4,false),1)))</f>
        <v>1</v>
      </c>
      <c r="G189" s="62">
        <f t="shared" si="378"/>
        <v>1</v>
      </c>
      <c r="H189" s="62">
        <f t="shared" ref="H189:Q189" si="379">IF(isblank(H$1),,IFERROR(vlookup($A189,indirect("'TVC-"&amp;text(month(H$1),"00")&amp;"'!$A:$D"),4,false),1))</f>
        <v>1</v>
      </c>
      <c r="I189" s="62">
        <f t="shared" si="379"/>
        <v>1</v>
      </c>
      <c r="J189" s="62">
        <f t="shared" si="379"/>
        <v>1</v>
      </c>
      <c r="K189" s="62">
        <f t="shared" si="379"/>
        <v>1</v>
      </c>
      <c r="L189" s="62">
        <f t="shared" si="379"/>
        <v>1</v>
      </c>
      <c r="M189" s="62">
        <f t="shared" si="379"/>
        <v>1</v>
      </c>
      <c r="N189" s="62">
        <f t="shared" si="379"/>
        <v>1</v>
      </c>
      <c r="O189" s="62">
        <f t="shared" si="379"/>
        <v>1</v>
      </c>
      <c r="P189" s="62" t="str">
        <f t="shared" si="379"/>
        <v/>
      </c>
      <c r="Q189" s="62" t="str">
        <f t="shared" si="379"/>
        <v/>
      </c>
      <c r="R189" s="62">
        <f t="shared" si="7"/>
        <v>0</v>
      </c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</row>
    <row r="190" hidden="1">
      <c r="A190" s="60">
        <f>IFERROR(__xludf.DUMMYFUNCTION("""COMPUTED_VALUE"""),429.0)</f>
        <v>429</v>
      </c>
      <c r="B190" s="60" t="str">
        <f>IFERROR(__xludf.DUMMYFUNCTION("""COMPUTED_VALUE"""),"Saints, New Orleans")</f>
        <v>Saints, New Orleans</v>
      </c>
      <c r="C190" s="60" t="str">
        <f>IFERROR(__xludf.DUMMYFUNCTION("""COMPUTED_VALUE"""),"TMTE")</f>
        <v>TMTE</v>
      </c>
      <c r="D190" s="60" t="str">
        <f>IFERROR(__xludf.DUMMYFUNCTION("""COMPUTED_VALUE"""),"NOS")</f>
        <v>NOS</v>
      </c>
      <c r="E190" s="62" t="str">
        <f t="shared" si="4"/>
        <v>New Orleans Saints</v>
      </c>
      <c r="F190" s="62">
        <f t="shared" ref="F190:G190" si="380">IF(isblank(F$1),,IF(isblank($A190),,IFERROR(vlookup($A190,indirect("'TVC-"&amp;text(month(F$1),"00")&amp;"'!$A:$D"),4,false),1)))</f>
        <v>1</v>
      </c>
      <c r="G190" s="62">
        <f t="shared" si="380"/>
        <v>1</v>
      </c>
      <c r="H190" s="62">
        <f t="shared" ref="H190:Q190" si="381">IF(isblank(H$1),,IFERROR(vlookup($A190,indirect("'TVC-"&amp;text(month(H$1),"00")&amp;"'!$A:$D"),4,false),1))</f>
        <v>1</v>
      </c>
      <c r="I190" s="62">
        <f t="shared" si="381"/>
        <v>1</v>
      </c>
      <c r="J190" s="62">
        <f t="shared" si="381"/>
        <v>1</v>
      </c>
      <c r="K190" s="62">
        <f t="shared" si="381"/>
        <v>1</v>
      </c>
      <c r="L190" s="62">
        <f t="shared" si="381"/>
        <v>1</v>
      </c>
      <c r="M190" s="62">
        <f t="shared" si="381"/>
        <v>1</v>
      </c>
      <c r="N190" s="62">
        <f t="shared" si="381"/>
        <v>1</v>
      </c>
      <c r="O190" s="62">
        <f t="shared" si="381"/>
        <v>1</v>
      </c>
      <c r="P190" s="62" t="str">
        <f t="shared" si="381"/>
        <v/>
      </c>
      <c r="Q190" s="62" t="str">
        <f t="shared" si="381"/>
        <v/>
      </c>
      <c r="R190" s="62">
        <f t="shared" si="7"/>
        <v>0</v>
      </c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</row>
    <row r="191" hidden="1">
      <c r="A191" s="60">
        <f>IFERROR(__xludf.DUMMYFUNCTION("""COMPUTED_VALUE"""),430.0)</f>
        <v>430</v>
      </c>
      <c r="B191" s="60" t="str">
        <f>IFERROR(__xludf.DUMMYFUNCTION("""COMPUTED_VALUE"""),"49ers, San Francisco")</f>
        <v>49ers, San Francisco</v>
      </c>
      <c r="C191" s="60" t="str">
        <f>IFERROR(__xludf.DUMMYFUNCTION("""COMPUTED_VALUE"""),"TMTE")</f>
        <v>TMTE</v>
      </c>
      <c r="D191" s="60" t="str">
        <f>IFERROR(__xludf.DUMMYFUNCTION("""COMPUTED_VALUE"""),"SFO")</f>
        <v>SFO</v>
      </c>
      <c r="E191" s="62" t="str">
        <f t="shared" si="4"/>
        <v>San Francisco 49ers</v>
      </c>
      <c r="F191" s="62">
        <f t="shared" ref="F191:G191" si="382">IF(isblank(F$1),,IF(isblank($A191),,IFERROR(vlookup($A191,indirect("'TVC-"&amp;text(month(F$1),"00")&amp;"'!$A:$D"),4,false),1)))</f>
        <v>1</v>
      </c>
      <c r="G191" s="62">
        <f t="shared" si="382"/>
        <v>1</v>
      </c>
      <c r="H191" s="62">
        <f t="shared" ref="H191:Q191" si="383">IF(isblank(H$1),,IFERROR(vlookup($A191,indirect("'TVC-"&amp;text(month(H$1),"00")&amp;"'!$A:$D"),4,false),1))</f>
        <v>1</v>
      </c>
      <c r="I191" s="62">
        <f t="shared" si="383"/>
        <v>1</v>
      </c>
      <c r="J191" s="62">
        <f t="shared" si="383"/>
        <v>1</v>
      </c>
      <c r="K191" s="62">
        <f t="shared" si="383"/>
        <v>1</v>
      </c>
      <c r="L191" s="62">
        <f t="shared" si="383"/>
        <v>1</v>
      </c>
      <c r="M191" s="62">
        <f t="shared" si="383"/>
        <v>1</v>
      </c>
      <c r="N191" s="62">
        <f t="shared" si="383"/>
        <v>1</v>
      </c>
      <c r="O191" s="62">
        <f t="shared" si="383"/>
        <v>1</v>
      </c>
      <c r="P191" s="62" t="str">
        <f t="shared" si="383"/>
        <v/>
      </c>
      <c r="Q191" s="62" t="str">
        <f t="shared" si="383"/>
        <v/>
      </c>
      <c r="R191" s="62">
        <f t="shared" si="7"/>
        <v>0</v>
      </c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</row>
    <row r="192" hidden="1">
      <c r="A192" s="60">
        <f>IFERROR(__xludf.DUMMYFUNCTION("""COMPUTED_VALUE"""),431.0)</f>
        <v>431</v>
      </c>
      <c r="B192" s="60" t="str">
        <f>IFERROR(__xludf.DUMMYFUNCTION("""COMPUTED_VALUE"""),"Ravens, Baltimore")</f>
        <v>Ravens, Baltimore</v>
      </c>
      <c r="C192" s="60" t="str">
        <f>IFERROR(__xludf.DUMMYFUNCTION("""COMPUTED_VALUE"""),"TMTE")</f>
        <v>TMTE</v>
      </c>
      <c r="D192" s="60" t="str">
        <f>IFERROR(__xludf.DUMMYFUNCTION("""COMPUTED_VALUE"""),"BAL")</f>
        <v>BAL</v>
      </c>
      <c r="E192" s="62" t="str">
        <f t="shared" si="4"/>
        <v>Baltimore Ravens</v>
      </c>
      <c r="F192" s="62">
        <f t="shared" ref="F192:G192" si="384">IF(isblank(F$1),,IF(isblank($A192),,IFERROR(vlookup($A192,indirect("'TVC-"&amp;text(month(F$1),"00")&amp;"'!$A:$D"),4,false),1)))</f>
        <v>1</v>
      </c>
      <c r="G192" s="62">
        <f t="shared" si="384"/>
        <v>1</v>
      </c>
      <c r="H192" s="62">
        <f t="shared" ref="H192:Q192" si="385">IF(isblank(H$1),,IFERROR(vlookup($A192,indirect("'TVC-"&amp;text(month(H$1),"00")&amp;"'!$A:$D"),4,false),1))</f>
        <v>1</v>
      </c>
      <c r="I192" s="62">
        <f t="shared" si="385"/>
        <v>1</v>
      </c>
      <c r="J192" s="62">
        <f t="shared" si="385"/>
        <v>1</v>
      </c>
      <c r="K192" s="62">
        <f t="shared" si="385"/>
        <v>1</v>
      </c>
      <c r="L192" s="62">
        <f t="shared" si="385"/>
        <v>1</v>
      </c>
      <c r="M192" s="62">
        <f t="shared" si="385"/>
        <v>1</v>
      </c>
      <c r="N192" s="62">
        <f t="shared" si="385"/>
        <v>1</v>
      </c>
      <c r="O192" s="62">
        <f t="shared" si="385"/>
        <v>1</v>
      </c>
      <c r="P192" s="62" t="str">
        <f t="shared" si="385"/>
        <v/>
      </c>
      <c r="Q192" s="62" t="str">
        <f t="shared" si="385"/>
        <v/>
      </c>
      <c r="R192" s="62">
        <f t="shared" si="7"/>
        <v>0</v>
      </c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</row>
    <row r="193" hidden="1">
      <c r="A193" s="60">
        <f>IFERROR(__xludf.DUMMYFUNCTION("""COMPUTED_VALUE"""),432.0)</f>
        <v>432</v>
      </c>
      <c r="B193" s="60" t="str">
        <f>IFERROR(__xludf.DUMMYFUNCTION("""COMPUTED_VALUE"""),"Texans, Houston")</f>
        <v>Texans, Houston</v>
      </c>
      <c r="C193" s="60" t="str">
        <f>IFERROR(__xludf.DUMMYFUNCTION("""COMPUTED_VALUE"""),"TMTE")</f>
        <v>TMTE</v>
      </c>
      <c r="D193" s="60" t="str">
        <f>IFERROR(__xludf.DUMMYFUNCTION("""COMPUTED_VALUE"""),"HOU")</f>
        <v>HOU</v>
      </c>
      <c r="E193" s="62" t="str">
        <f t="shared" si="4"/>
        <v>Houston Texans</v>
      </c>
      <c r="F193" s="62">
        <f t="shared" ref="F193:G193" si="386">IF(isblank(F$1),,IF(isblank($A193),,IFERROR(vlookup($A193,indirect("'TVC-"&amp;text(month(F$1),"00")&amp;"'!$A:$D"),4,false),1)))</f>
        <v>1</v>
      </c>
      <c r="G193" s="62">
        <f t="shared" si="386"/>
        <v>1</v>
      </c>
      <c r="H193" s="62">
        <f t="shared" ref="H193:Q193" si="387">IF(isblank(H$1),,IFERROR(vlookup($A193,indirect("'TVC-"&amp;text(month(H$1),"00")&amp;"'!$A:$D"),4,false),1))</f>
        <v>1</v>
      </c>
      <c r="I193" s="62">
        <f t="shared" si="387"/>
        <v>1</v>
      </c>
      <c r="J193" s="62">
        <f t="shared" si="387"/>
        <v>1</v>
      </c>
      <c r="K193" s="62">
        <f t="shared" si="387"/>
        <v>1</v>
      </c>
      <c r="L193" s="62">
        <f t="shared" si="387"/>
        <v>1</v>
      </c>
      <c r="M193" s="62">
        <f t="shared" si="387"/>
        <v>1</v>
      </c>
      <c r="N193" s="62">
        <f t="shared" si="387"/>
        <v>1</v>
      </c>
      <c r="O193" s="62">
        <f t="shared" si="387"/>
        <v>1</v>
      </c>
      <c r="P193" s="62" t="str">
        <f t="shared" si="387"/>
        <v/>
      </c>
      <c r="Q193" s="62" t="str">
        <f t="shared" si="387"/>
        <v/>
      </c>
      <c r="R193" s="62">
        <f t="shared" si="7"/>
        <v>0</v>
      </c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</row>
    <row r="194" hidden="1">
      <c r="A194" s="60">
        <f>IFERROR(__xludf.DUMMYFUNCTION("""COMPUTED_VALUE"""),501.0)</f>
        <v>501</v>
      </c>
      <c r="B194" s="60" t="str">
        <f>IFERROR(__xludf.DUMMYFUNCTION("""COMPUTED_VALUE"""),"Bills, Buffalo")</f>
        <v>Bills, Buffalo</v>
      </c>
      <c r="C194" s="60" t="str">
        <f>IFERROR(__xludf.DUMMYFUNCTION("""COMPUTED_VALUE"""),"Def")</f>
        <v>Def</v>
      </c>
      <c r="D194" s="60" t="str">
        <f>IFERROR(__xludf.DUMMYFUNCTION("""COMPUTED_VALUE"""),"BUF")</f>
        <v>BUF</v>
      </c>
      <c r="E194" s="62" t="str">
        <f t="shared" si="4"/>
        <v>Buffalo Bills</v>
      </c>
      <c r="F194" s="62">
        <f t="shared" ref="F194:G194" si="388">IF(isblank(F$1),,IF(isblank($A194),,IFERROR(vlookup($A194,indirect("'TVC-"&amp;text(month(F$1),"00")&amp;"'!$A:$D"),4,false),1)))</f>
        <v>1</v>
      </c>
      <c r="G194" s="62">
        <f t="shared" si="388"/>
        <v>1</v>
      </c>
      <c r="H194" s="62">
        <f t="shared" ref="H194:Q194" si="389">IF(isblank(H$1),,IFERROR(vlookup($A194,indirect("'TVC-"&amp;text(month(H$1),"00")&amp;"'!$A:$D"),4,false),1))</f>
        <v>1</v>
      </c>
      <c r="I194" s="62">
        <f t="shared" si="389"/>
        <v>1</v>
      </c>
      <c r="J194" s="62">
        <f t="shared" si="389"/>
        <v>1</v>
      </c>
      <c r="K194" s="62">
        <f t="shared" si="389"/>
        <v>1</v>
      </c>
      <c r="L194" s="62">
        <f t="shared" si="389"/>
        <v>1</v>
      </c>
      <c r="M194" s="62">
        <f t="shared" si="389"/>
        <v>1</v>
      </c>
      <c r="N194" s="62">
        <f t="shared" si="389"/>
        <v>1</v>
      </c>
      <c r="O194" s="62">
        <f t="shared" si="389"/>
        <v>1</v>
      </c>
      <c r="P194" s="62" t="str">
        <f t="shared" si="389"/>
        <v/>
      </c>
      <c r="Q194" s="62" t="str">
        <f t="shared" si="389"/>
        <v/>
      </c>
      <c r="R194" s="62">
        <f t="shared" si="7"/>
        <v>0</v>
      </c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</row>
    <row r="195" hidden="1">
      <c r="A195" s="60">
        <f>IFERROR(__xludf.DUMMYFUNCTION("""COMPUTED_VALUE"""),502.0)</f>
        <v>502</v>
      </c>
      <c r="B195" s="60" t="str">
        <f>IFERROR(__xludf.DUMMYFUNCTION("""COMPUTED_VALUE"""),"Colts, Indianapolis")</f>
        <v>Colts, Indianapolis</v>
      </c>
      <c r="C195" s="60" t="str">
        <f>IFERROR(__xludf.DUMMYFUNCTION("""COMPUTED_VALUE"""),"Def")</f>
        <v>Def</v>
      </c>
      <c r="D195" s="60" t="str">
        <f>IFERROR(__xludf.DUMMYFUNCTION("""COMPUTED_VALUE"""),"IND")</f>
        <v>IND</v>
      </c>
      <c r="E195" s="62" t="str">
        <f t="shared" si="4"/>
        <v>Indianapolis Colts</v>
      </c>
      <c r="F195" s="62">
        <f t="shared" ref="F195:G195" si="390">IF(isblank(F$1),,IF(isblank($A195),,IFERROR(vlookup($A195,indirect("'TVC-"&amp;text(month(F$1),"00")&amp;"'!$A:$D"),4,false),1)))</f>
        <v>1</v>
      </c>
      <c r="G195" s="62">
        <f t="shared" si="390"/>
        <v>1</v>
      </c>
      <c r="H195" s="62">
        <f t="shared" ref="H195:Q195" si="391">IF(isblank(H$1),,IFERROR(vlookup($A195,indirect("'TVC-"&amp;text(month(H$1),"00")&amp;"'!$A:$D"),4,false),1))</f>
        <v>1</v>
      </c>
      <c r="I195" s="62">
        <f t="shared" si="391"/>
        <v>1</v>
      </c>
      <c r="J195" s="62">
        <f t="shared" si="391"/>
        <v>1</v>
      </c>
      <c r="K195" s="62">
        <f t="shared" si="391"/>
        <v>1</v>
      </c>
      <c r="L195" s="62">
        <f t="shared" si="391"/>
        <v>1</v>
      </c>
      <c r="M195" s="62">
        <f t="shared" si="391"/>
        <v>1</v>
      </c>
      <c r="N195" s="62">
        <f t="shared" si="391"/>
        <v>1</v>
      </c>
      <c r="O195" s="62">
        <f t="shared" si="391"/>
        <v>1</v>
      </c>
      <c r="P195" s="62" t="str">
        <f t="shared" si="391"/>
        <v/>
      </c>
      <c r="Q195" s="62" t="str">
        <f t="shared" si="391"/>
        <v/>
      </c>
      <c r="R195" s="62">
        <f t="shared" si="7"/>
        <v>0</v>
      </c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</row>
    <row r="196" hidden="1">
      <c r="A196" s="60">
        <f>IFERROR(__xludf.DUMMYFUNCTION("""COMPUTED_VALUE"""),503.0)</f>
        <v>503</v>
      </c>
      <c r="B196" s="60" t="str">
        <f>IFERROR(__xludf.DUMMYFUNCTION("""COMPUTED_VALUE"""),"Dolphins, Miami")</f>
        <v>Dolphins, Miami</v>
      </c>
      <c r="C196" s="60" t="str">
        <f>IFERROR(__xludf.DUMMYFUNCTION("""COMPUTED_VALUE"""),"Def")</f>
        <v>Def</v>
      </c>
      <c r="D196" s="60" t="str">
        <f>IFERROR(__xludf.DUMMYFUNCTION("""COMPUTED_VALUE"""),"MIA")</f>
        <v>MIA</v>
      </c>
      <c r="E196" s="62" t="str">
        <f t="shared" si="4"/>
        <v>Miami Dolphins</v>
      </c>
      <c r="F196" s="62">
        <f t="shared" ref="F196:G196" si="392">IF(isblank(F$1),,IF(isblank($A196),,IFERROR(vlookup($A196,indirect("'TVC-"&amp;text(month(F$1),"00")&amp;"'!$A:$D"),4,false),1)))</f>
        <v>1</v>
      </c>
      <c r="G196" s="62">
        <f t="shared" si="392"/>
        <v>1</v>
      </c>
      <c r="H196" s="62">
        <f t="shared" ref="H196:Q196" si="393">IF(isblank(H$1),,IFERROR(vlookup($A196,indirect("'TVC-"&amp;text(month(H$1),"00")&amp;"'!$A:$D"),4,false),1))</f>
        <v>1</v>
      </c>
      <c r="I196" s="62">
        <f t="shared" si="393"/>
        <v>1</v>
      </c>
      <c r="J196" s="62">
        <f t="shared" si="393"/>
        <v>1</v>
      </c>
      <c r="K196" s="62">
        <f t="shared" si="393"/>
        <v>1</v>
      </c>
      <c r="L196" s="62">
        <f t="shared" si="393"/>
        <v>1</v>
      </c>
      <c r="M196" s="62">
        <f t="shared" si="393"/>
        <v>1</v>
      </c>
      <c r="N196" s="62">
        <f t="shared" si="393"/>
        <v>1</v>
      </c>
      <c r="O196" s="62">
        <f t="shared" si="393"/>
        <v>1</v>
      </c>
      <c r="P196" s="62" t="str">
        <f t="shared" si="393"/>
        <v/>
      </c>
      <c r="Q196" s="62" t="str">
        <f t="shared" si="393"/>
        <v/>
      </c>
      <c r="R196" s="62">
        <f t="shared" si="7"/>
        <v>0</v>
      </c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</row>
    <row r="197" hidden="1">
      <c r="A197" s="60">
        <f>IFERROR(__xludf.DUMMYFUNCTION("""COMPUTED_VALUE"""),504.0)</f>
        <v>504</v>
      </c>
      <c r="B197" s="60" t="str">
        <f>IFERROR(__xludf.DUMMYFUNCTION("""COMPUTED_VALUE"""),"Patriots, New England")</f>
        <v>Patriots, New England</v>
      </c>
      <c r="C197" s="60" t="str">
        <f>IFERROR(__xludf.DUMMYFUNCTION("""COMPUTED_VALUE"""),"Def")</f>
        <v>Def</v>
      </c>
      <c r="D197" s="60" t="str">
        <f>IFERROR(__xludf.DUMMYFUNCTION("""COMPUTED_VALUE"""),"NEP")</f>
        <v>NEP</v>
      </c>
      <c r="E197" s="62" t="str">
        <f t="shared" si="4"/>
        <v>New England Patriots</v>
      </c>
      <c r="F197" s="62">
        <f t="shared" ref="F197:G197" si="394">IF(isblank(F$1),,IF(isblank($A197),,IFERROR(vlookup($A197,indirect("'TVC-"&amp;text(month(F$1),"00")&amp;"'!$A:$D"),4,false),1)))</f>
        <v>1</v>
      </c>
      <c r="G197" s="62">
        <f t="shared" si="394"/>
        <v>1</v>
      </c>
      <c r="H197" s="62">
        <f t="shared" ref="H197:Q197" si="395">IF(isblank(H$1),,IFERROR(vlookup($A197,indirect("'TVC-"&amp;text(month(H$1),"00")&amp;"'!$A:$D"),4,false),1))</f>
        <v>1</v>
      </c>
      <c r="I197" s="62">
        <f t="shared" si="395"/>
        <v>1</v>
      </c>
      <c r="J197" s="62">
        <f t="shared" si="395"/>
        <v>1</v>
      </c>
      <c r="K197" s="62">
        <f t="shared" si="395"/>
        <v>1</v>
      </c>
      <c r="L197" s="62">
        <f t="shared" si="395"/>
        <v>1</v>
      </c>
      <c r="M197" s="62">
        <f t="shared" si="395"/>
        <v>1</v>
      </c>
      <c r="N197" s="62">
        <f t="shared" si="395"/>
        <v>1</v>
      </c>
      <c r="O197" s="62">
        <f t="shared" si="395"/>
        <v>1</v>
      </c>
      <c r="P197" s="62" t="str">
        <f t="shared" si="395"/>
        <v/>
      </c>
      <c r="Q197" s="62" t="str">
        <f t="shared" si="395"/>
        <v/>
      </c>
      <c r="R197" s="62">
        <f t="shared" si="7"/>
        <v>0</v>
      </c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</row>
    <row r="198" hidden="1">
      <c r="A198" s="60">
        <f>IFERROR(__xludf.DUMMYFUNCTION("""COMPUTED_VALUE"""),505.0)</f>
        <v>505</v>
      </c>
      <c r="B198" s="60" t="str">
        <f>IFERROR(__xludf.DUMMYFUNCTION("""COMPUTED_VALUE"""),"Jets, New York")</f>
        <v>Jets, New York</v>
      </c>
      <c r="C198" s="60" t="str">
        <f>IFERROR(__xludf.DUMMYFUNCTION("""COMPUTED_VALUE"""),"Def")</f>
        <v>Def</v>
      </c>
      <c r="D198" s="60" t="str">
        <f>IFERROR(__xludf.DUMMYFUNCTION("""COMPUTED_VALUE"""),"NYJ")</f>
        <v>NYJ</v>
      </c>
      <c r="E198" s="62" t="str">
        <f t="shared" si="4"/>
        <v>New York Jets</v>
      </c>
      <c r="F198" s="62">
        <f t="shared" ref="F198:G198" si="396">IF(isblank(F$1),,IF(isblank($A198),,IFERROR(vlookup($A198,indirect("'TVC-"&amp;text(month(F$1),"00")&amp;"'!$A:$D"),4,false),1)))</f>
        <v>1</v>
      </c>
      <c r="G198" s="62">
        <f t="shared" si="396"/>
        <v>1</v>
      </c>
      <c r="H198" s="62">
        <f t="shared" ref="H198:Q198" si="397">IF(isblank(H$1),,IFERROR(vlookup($A198,indirect("'TVC-"&amp;text(month(H$1),"00")&amp;"'!$A:$D"),4,false),1))</f>
        <v>1</v>
      </c>
      <c r="I198" s="62">
        <f t="shared" si="397"/>
        <v>1</v>
      </c>
      <c r="J198" s="62">
        <f t="shared" si="397"/>
        <v>1</v>
      </c>
      <c r="K198" s="62">
        <f t="shared" si="397"/>
        <v>1</v>
      </c>
      <c r="L198" s="62">
        <f t="shared" si="397"/>
        <v>1</v>
      </c>
      <c r="M198" s="62">
        <f t="shared" si="397"/>
        <v>1</v>
      </c>
      <c r="N198" s="62">
        <f t="shared" si="397"/>
        <v>1</v>
      </c>
      <c r="O198" s="62">
        <f t="shared" si="397"/>
        <v>1</v>
      </c>
      <c r="P198" s="62" t="str">
        <f t="shared" si="397"/>
        <v/>
      </c>
      <c r="Q198" s="62" t="str">
        <f t="shared" si="397"/>
        <v/>
      </c>
      <c r="R198" s="62">
        <f t="shared" si="7"/>
        <v>0</v>
      </c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</row>
    <row r="199" hidden="1">
      <c r="A199" s="60">
        <f>IFERROR(__xludf.DUMMYFUNCTION("""COMPUTED_VALUE"""),506.0)</f>
        <v>506</v>
      </c>
      <c r="B199" s="60" t="str">
        <f>IFERROR(__xludf.DUMMYFUNCTION("""COMPUTED_VALUE"""),"Bengals, Cincinnati")</f>
        <v>Bengals, Cincinnati</v>
      </c>
      <c r="C199" s="60" t="str">
        <f>IFERROR(__xludf.DUMMYFUNCTION("""COMPUTED_VALUE"""),"Def")</f>
        <v>Def</v>
      </c>
      <c r="D199" s="60" t="str">
        <f>IFERROR(__xludf.DUMMYFUNCTION("""COMPUTED_VALUE"""),"CIN")</f>
        <v>CIN</v>
      </c>
      <c r="E199" s="62" t="str">
        <f t="shared" si="4"/>
        <v>Cincinnati Bengals</v>
      </c>
      <c r="F199" s="62">
        <f t="shared" ref="F199:G199" si="398">IF(isblank(F$1),,IF(isblank($A199),,IFERROR(vlookup($A199,indirect("'TVC-"&amp;text(month(F$1),"00")&amp;"'!$A:$D"),4,false),1)))</f>
        <v>1</v>
      </c>
      <c r="G199" s="62">
        <f t="shared" si="398"/>
        <v>1</v>
      </c>
      <c r="H199" s="62">
        <f t="shared" ref="H199:Q199" si="399">IF(isblank(H$1),,IFERROR(vlookup($A199,indirect("'TVC-"&amp;text(month(H$1),"00")&amp;"'!$A:$D"),4,false),1))</f>
        <v>1</v>
      </c>
      <c r="I199" s="62">
        <f t="shared" si="399"/>
        <v>1</v>
      </c>
      <c r="J199" s="62">
        <f t="shared" si="399"/>
        <v>1</v>
      </c>
      <c r="K199" s="62">
        <f t="shared" si="399"/>
        <v>1</v>
      </c>
      <c r="L199" s="62">
        <f t="shared" si="399"/>
        <v>1</v>
      </c>
      <c r="M199" s="62">
        <f t="shared" si="399"/>
        <v>1</v>
      </c>
      <c r="N199" s="62">
        <f t="shared" si="399"/>
        <v>1</v>
      </c>
      <c r="O199" s="62">
        <f t="shared" si="399"/>
        <v>1</v>
      </c>
      <c r="P199" s="62" t="str">
        <f t="shared" si="399"/>
        <v/>
      </c>
      <c r="Q199" s="62" t="str">
        <f t="shared" si="399"/>
        <v/>
      </c>
      <c r="R199" s="62">
        <f t="shared" si="7"/>
        <v>0</v>
      </c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</row>
    <row r="200" hidden="1">
      <c r="A200" s="60">
        <f>IFERROR(__xludf.DUMMYFUNCTION("""COMPUTED_VALUE"""),507.0)</f>
        <v>507</v>
      </c>
      <c r="B200" s="60" t="str">
        <f>IFERROR(__xludf.DUMMYFUNCTION("""COMPUTED_VALUE"""),"Browns, Cleveland")</f>
        <v>Browns, Cleveland</v>
      </c>
      <c r="C200" s="60" t="str">
        <f>IFERROR(__xludf.DUMMYFUNCTION("""COMPUTED_VALUE"""),"Def")</f>
        <v>Def</v>
      </c>
      <c r="D200" s="60" t="str">
        <f>IFERROR(__xludf.DUMMYFUNCTION("""COMPUTED_VALUE"""),"CLE")</f>
        <v>CLE</v>
      </c>
      <c r="E200" s="62" t="str">
        <f t="shared" si="4"/>
        <v>Cleveland Browns</v>
      </c>
      <c r="F200" s="62">
        <f t="shared" ref="F200:G200" si="400">IF(isblank(F$1),,IF(isblank($A200),,IFERROR(vlookup($A200,indirect("'TVC-"&amp;text(month(F$1),"00")&amp;"'!$A:$D"),4,false),1)))</f>
        <v>1</v>
      </c>
      <c r="G200" s="62">
        <f t="shared" si="400"/>
        <v>1</v>
      </c>
      <c r="H200" s="62">
        <f t="shared" ref="H200:Q200" si="401">IF(isblank(H$1),,IFERROR(vlookup($A200,indirect("'TVC-"&amp;text(month(H$1),"00")&amp;"'!$A:$D"),4,false),1))</f>
        <v>1</v>
      </c>
      <c r="I200" s="62">
        <f t="shared" si="401"/>
        <v>1</v>
      </c>
      <c r="J200" s="62">
        <f t="shared" si="401"/>
        <v>1</v>
      </c>
      <c r="K200" s="62">
        <f t="shared" si="401"/>
        <v>1</v>
      </c>
      <c r="L200" s="62">
        <f t="shared" si="401"/>
        <v>1</v>
      </c>
      <c r="M200" s="62">
        <f t="shared" si="401"/>
        <v>1</v>
      </c>
      <c r="N200" s="62">
        <f t="shared" si="401"/>
        <v>1</v>
      </c>
      <c r="O200" s="62">
        <f t="shared" si="401"/>
        <v>1</v>
      </c>
      <c r="P200" s="62" t="str">
        <f t="shared" si="401"/>
        <v/>
      </c>
      <c r="Q200" s="62" t="str">
        <f t="shared" si="401"/>
        <v/>
      </c>
      <c r="R200" s="62">
        <f t="shared" si="7"/>
        <v>0</v>
      </c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</row>
    <row r="201" hidden="1">
      <c r="A201" s="60">
        <f>IFERROR(__xludf.DUMMYFUNCTION("""COMPUTED_VALUE"""),508.0)</f>
        <v>508</v>
      </c>
      <c r="B201" s="60" t="str">
        <f>IFERROR(__xludf.DUMMYFUNCTION("""COMPUTED_VALUE"""),"Titans, Tennessee")</f>
        <v>Titans, Tennessee</v>
      </c>
      <c r="C201" s="60" t="str">
        <f>IFERROR(__xludf.DUMMYFUNCTION("""COMPUTED_VALUE"""),"Def")</f>
        <v>Def</v>
      </c>
      <c r="D201" s="60" t="str">
        <f>IFERROR(__xludf.DUMMYFUNCTION("""COMPUTED_VALUE"""),"TEN")</f>
        <v>TEN</v>
      </c>
      <c r="E201" s="62" t="str">
        <f t="shared" si="4"/>
        <v>Tennessee Titans</v>
      </c>
      <c r="F201" s="62">
        <f t="shared" ref="F201:G201" si="402">IF(isblank(F$1),,IF(isblank($A201),,IFERROR(vlookup($A201,indirect("'TVC-"&amp;text(month(F$1),"00")&amp;"'!$A:$D"),4,false),1)))</f>
        <v>1</v>
      </c>
      <c r="G201" s="62">
        <f t="shared" si="402"/>
        <v>1</v>
      </c>
      <c r="H201" s="62">
        <f t="shared" ref="H201:Q201" si="403">IF(isblank(H$1),,IFERROR(vlookup($A201,indirect("'TVC-"&amp;text(month(H$1),"00")&amp;"'!$A:$D"),4,false),1))</f>
        <v>1</v>
      </c>
      <c r="I201" s="62">
        <f t="shared" si="403"/>
        <v>1</v>
      </c>
      <c r="J201" s="62">
        <f t="shared" si="403"/>
        <v>1</v>
      </c>
      <c r="K201" s="62">
        <f t="shared" si="403"/>
        <v>1</v>
      </c>
      <c r="L201" s="62">
        <f t="shared" si="403"/>
        <v>1</v>
      </c>
      <c r="M201" s="62">
        <f t="shared" si="403"/>
        <v>1</v>
      </c>
      <c r="N201" s="62">
        <f t="shared" si="403"/>
        <v>1</v>
      </c>
      <c r="O201" s="62">
        <f t="shared" si="403"/>
        <v>1</v>
      </c>
      <c r="P201" s="62" t="str">
        <f t="shared" si="403"/>
        <v/>
      </c>
      <c r="Q201" s="62" t="str">
        <f t="shared" si="403"/>
        <v/>
      </c>
      <c r="R201" s="62">
        <f t="shared" si="7"/>
        <v>0</v>
      </c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</row>
    <row r="202" hidden="1">
      <c r="A202" s="60">
        <f>IFERROR(__xludf.DUMMYFUNCTION("""COMPUTED_VALUE"""),509.0)</f>
        <v>509</v>
      </c>
      <c r="B202" s="60" t="str">
        <f>IFERROR(__xludf.DUMMYFUNCTION("""COMPUTED_VALUE"""),"Jaguars, Jacksonville")</f>
        <v>Jaguars, Jacksonville</v>
      </c>
      <c r="C202" s="60" t="str">
        <f>IFERROR(__xludf.DUMMYFUNCTION("""COMPUTED_VALUE"""),"Def")</f>
        <v>Def</v>
      </c>
      <c r="D202" s="60" t="str">
        <f>IFERROR(__xludf.DUMMYFUNCTION("""COMPUTED_VALUE"""),"JAC")</f>
        <v>JAC</v>
      </c>
      <c r="E202" s="62" t="str">
        <f t="shared" si="4"/>
        <v>Jacksonville Jaguars</v>
      </c>
      <c r="F202" s="62">
        <f t="shared" ref="F202:G202" si="404">IF(isblank(F$1),,IF(isblank($A202),,IFERROR(vlookup($A202,indirect("'TVC-"&amp;text(month(F$1),"00")&amp;"'!$A:$D"),4,false),1)))</f>
        <v>1</v>
      </c>
      <c r="G202" s="62">
        <f t="shared" si="404"/>
        <v>1</v>
      </c>
      <c r="H202" s="62">
        <f t="shared" ref="H202:Q202" si="405">IF(isblank(H$1),,IFERROR(vlookup($A202,indirect("'TVC-"&amp;text(month(H$1),"00")&amp;"'!$A:$D"),4,false),1))</f>
        <v>1</v>
      </c>
      <c r="I202" s="62">
        <f t="shared" si="405"/>
        <v>1</v>
      </c>
      <c r="J202" s="62">
        <f t="shared" si="405"/>
        <v>1</v>
      </c>
      <c r="K202" s="62">
        <f t="shared" si="405"/>
        <v>1</v>
      </c>
      <c r="L202" s="62">
        <f t="shared" si="405"/>
        <v>1</v>
      </c>
      <c r="M202" s="62">
        <f t="shared" si="405"/>
        <v>1</v>
      </c>
      <c r="N202" s="62">
        <f t="shared" si="405"/>
        <v>1</v>
      </c>
      <c r="O202" s="62">
        <f t="shared" si="405"/>
        <v>1</v>
      </c>
      <c r="P202" s="62" t="str">
        <f t="shared" si="405"/>
        <v/>
      </c>
      <c r="Q202" s="62" t="str">
        <f t="shared" si="405"/>
        <v/>
      </c>
      <c r="R202" s="62">
        <f t="shared" si="7"/>
        <v>0</v>
      </c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</row>
    <row r="203" hidden="1">
      <c r="A203" s="60">
        <f>IFERROR(__xludf.DUMMYFUNCTION("""COMPUTED_VALUE"""),510.0)</f>
        <v>510</v>
      </c>
      <c r="B203" s="60" t="str">
        <f>IFERROR(__xludf.DUMMYFUNCTION("""COMPUTED_VALUE"""),"Steelers, Pittsburgh")</f>
        <v>Steelers, Pittsburgh</v>
      </c>
      <c r="C203" s="60" t="str">
        <f>IFERROR(__xludf.DUMMYFUNCTION("""COMPUTED_VALUE"""),"Def")</f>
        <v>Def</v>
      </c>
      <c r="D203" s="60" t="str">
        <f>IFERROR(__xludf.DUMMYFUNCTION("""COMPUTED_VALUE"""),"PIT")</f>
        <v>PIT</v>
      </c>
      <c r="E203" s="62" t="str">
        <f t="shared" si="4"/>
        <v>Pittsburgh Steelers</v>
      </c>
      <c r="F203" s="62">
        <f t="shared" ref="F203:G203" si="406">IF(isblank(F$1),,IF(isblank($A203),,IFERROR(vlookup($A203,indirect("'TVC-"&amp;text(month(F$1),"00")&amp;"'!$A:$D"),4,false),1)))</f>
        <v>1</v>
      </c>
      <c r="G203" s="62">
        <f t="shared" si="406"/>
        <v>1</v>
      </c>
      <c r="H203" s="62">
        <f t="shared" ref="H203:Q203" si="407">IF(isblank(H$1),,IFERROR(vlookup($A203,indirect("'TVC-"&amp;text(month(H$1),"00")&amp;"'!$A:$D"),4,false),1))</f>
        <v>1</v>
      </c>
      <c r="I203" s="62">
        <f t="shared" si="407"/>
        <v>1</v>
      </c>
      <c r="J203" s="62">
        <f t="shared" si="407"/>
        <v>1</v>
      </c>
      <c r="K203" s="62">
        <f t="shared" si="407"/>
        <v>1</v>
      </c>
      <c r="L203" s="62">
        <f t="shared" si="407"/>
        <v>1</v>
      </c>
      <c r="M203" s="62">
        <f t="shared" si="407"/>
        <v>1</v>
      </c>
      <c r="N203" s="62">
        <f t="shared" si="407"/>
        <v>1</v>
      </c>
      <c r="O203" s="62">
        <f t="shared" si="407"/>
        <v>1</v>
      </c>
      <c r="P203" s="62" t="str">
        <f t="shared" si="407"/>
        <v/>
      </c>
      <c r="Q203" s="62" t="str">
        <f t="shared" si="407"/>
        <v/>
      </c>
      <c r="R203" s="62">
        <f t="shared" si="7"/>
        <v>0</v>
      </c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</row>
    <row r="204" hidden="1">
      <c r="A204" s="60">
        <f>IFERROR(__xludf.DUMMYFUNCTION("""COMPUTED_VALUE"""),511.0)</f>
        <v>511</v>
      </c>
      <c r="B204" s="60" t="str">
        <f>IFERROR(__xludf.DUMMYFUNCTION("""COMPUTED_VALUE"""),"Broncos, Denver")</f>
        <v>Broncos, Denver</v>
      </c>
      <c r="C204" s="60" t="str">
        <f>IFERROR(__xludf.DUMMYFUNCTION("""COMPUTED_VALUE"""),"Def")</f>
        <v>Def</v>
      </c>
      <c r="D204" s="60" t="str">
        <f>IFERROR(__xludf.DUMMYFUNCTION("""COMPUTED_VALUE"""),"DEN")</f>
        <v>DEN</v>
      </c>
      <c r="E204" s="62" t="str">
        <f t="shared" si="4"/>
        <v>Denver Broncos</v>
      </c>
      <c r="F204" s="62">
        <f t="shared" ref="F204:G204" si="408">IF(isblank(F$1),,IF(isblank($A204),,IFERROR(vlookup($A204,indirect("'TVC-"&amp;text(month(F$1),"00")&amp;"'!$A:$D"),4,false),1)))</f>
        <v>1</v>
      </c>
      <c r="G204" s="62">
        <f t="shared" si="408"/>
        <v>1</v>
      </c>
      <c r="H204" s="62">
        <f t="shared" ref="H204:Q204" si="409">IF(isblank(H$1),,IFERROR(vlookup($A204,indirect("'TVC-"&amp;text(month(H$1),"00")&amp;"'!$A:$D"),4,false),1))</f>
        <v>1</v>
      </c>
      <c r="I204" s="62">
        <f t="shared" si="409"/>
        <v>1</v>
      </c>
      <c r="J204" s="62">
        <f t="shared" si="409"/>
        <v>1</v>
      </c>
      <c r="K204" s="62">
        <f t="shared" si="409"/>
        <v>1</v>
      </c>
      <c r="L204" s="62">
        <f t="shared" si="409"/>
        <v>1</v>
      </c>
      <c r="M204" s="62">
        <f t="shared" si="409"/>
        <v>1</v>
      </c>
      <c r="N204" s="62">
        <f t="shared" si="409"/>
        <v>1</v>
      </c>
      <c r="O204" s="62">
        <f t="shared" si="409"/>
        <v>1</v>
      </c>
      <c r="P204" s="62" t="str">
        <f t="shared" si="409"/>
        <v/>
      </c>
      <c r="Q204" s="62" t="str">
        <f t="shared" si="409"/>
        <v/>
      </c>
      <c r="R204" s="62">
        <f t="shared" si="7"/>
        <v>0</v>
      </c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</row>
    <row r="205" hidden="1">
      <c r="A205" s="60">
        <f>IFERROR(__xludf.DUMMYFUNCTION("""COMPUTED_VALUE"""),512.0)</f>
        <v>512</v>
      </c>
      <c r="B205" s="60" t="str">
        <f>IFERROR(__xludf.DUMMYFUNCTION("""COMPUTED_VALUE"""),"Chiefs, Kansas City")</f>
        <v>Chiefs, Kansas City</v>
      </c>
      <c r="C205" s="60" t="str">
        <f>IFERROR(__xludf.DUMMYFUNCTION("""COMPUTED_VALUE"""),"Def")</f>
        <v>Def</v>
      </c>
      <c r="D205" s="60" t="str">
        <f>IFERROR(__xludf.DUMMYFUNCTION("""COMPUTED_VALUE"""),"KCC")</f>
        <v>KCC</v>
      </c>
      <c r="E205" s="62" t="str">
        <f t="shared" si="4"/>
        <v>Kansas City Chiefs</v>
      </c>
      <c r="F205" s="62">
        <f t="shared" ref="F205:G205" si="410">IF(isblank(F$1),,IF(isblank($A205),,IFERROR(vlookup($A205,indirect("'TVC-"&amp;text(month(F$1),"00")&amp;"'!$A:$D"),4,false),1)))</f>
        <v>1</v>
      </c>
      <c r="G205" s="62">
        <f t="shared" si="410"/>
        <v>1</v>
      </c>
      <c r="H205" s="62">
        <f t="shared" ref="H205:Q205" si="411">IF(isblank(H$1),,IFERROR(vlookup($A205,indirect("'TVC-"&amp;text(month(H$1),"00")&amp;"'!$A:$D"),4,false),1))</f>
        <v>1</v>
      </c>
      <c r="I205" s="62">
        <f t="shared" si="411"/>
        <v>1</v>
      </c>
      <c r="J205" s="62">
        <f t="shared" si="411"/>
        <v>1</v>
      </c>
      <c r="K205" s="62">
        <f t="shared" si="411"/>
        <v>1</v>
      </c>
      <c r="L205" s="62">
        <f t="shared" si="411"/>
        <v>1</v>
      </c>
      <c r="M205" s="62">
        <f t="shared" si="411"/>
        <v>1</v>
      </c>
      <c r="N205" s="62">
        <f t="shared" si="411"/>
        <v>1</v>
      </c>
      <c r="O205" s="62">
        <f t="shared" si="411"/>
        <v>1</v>
      </c>
      <c r="P205" s="62" t="str">
        <f t="shared" si="411"/>
        <v/>
      </c>
      <c r="Q205" s="62" t="str">
        <f t="shared" si="411"/>
        <v/>
      </c>
      <c r="R205" s="62">
        <f t="shared" si="7"/>
        <v>0</v>
      </c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</row>
    <row r="206" hidden="1">
      <c r="A206" s="60">
        <f>IFERROR(__xludf.DUMMYFUNCTION("""COMPUTED_VALUE"""),513.0)</f>
        <v>513</v>
      </c>
      <c r="B206" s="60" t="str">
        <f>IFERROR(__xludf.DUMMYFUNCTION("""COMPUTED_VALUE"""),"Raiders, Las Vegas")</f>
        <v>Raiders, Las Vegas</v>
      </c>
      <c r="C206" s="60" t="str">
        <f>IFERROR(__xludf.DUMMYFUNCTION("""COMPUTED_VALUE"""),"Def")</f>
        <v>Def</v>
      </c>
      <c r="D206" s="60" t="str">
        <f>IFERROR(__xludf.DUMMYFUNCTION("""COMPUTED_VALUE"""),"LVR")</f>
        <v>LVR</v>
      </c>
      <c r="E206" s="62" t="str">
        <f t="shared" si="4"/>
        <v>Las Vegas Raiders</v>
      </c>
      <c r="F206" s="62">
        <f t="shared" ref="F206:G206" si="412">IF(isblank(F$1),,IF(isblank($A206),,IFERROR(vlookup($A206,indirect("'TVC-"&amp;text(month(F$1),"00")&amp;"'!$A:$D"),4,false),1)))</f>
        <v>1</v>
      </c>
      <c r="G206" s="62">
        <f t="shared" si="412"/>
        <v>1</v>
      </c>
      <c r="H206" s="62">
        <f t="shared" ref="H206:Q206" si="413">IF(isblank(H$1),,IFERROR(vlookup($A206,indirect("'TVC-"&amp;text(month(H$1),"00")&amp;"'!$A:$D"),4,false),1))</f>
        <v>1</v>
      </c>
      <c r="I206" s="62">
        <f t="shared" si="413"/>
        <v>1</v>
      </c>
      <c r="J206" s="62">
        <f t="shared" si="413"/>
        <v>1</v>
      </c>
      <c r="K206" s="62">
        <f t="shared" si="413"/>
        <v>1</v>
      </c>
      <c r="L206" s="62">
        <f t="shared" si="413"/>
        <v>1</v>
      </c>
      <c r="M206" s="62">
        <f t="shared" si="413"/>
        <v>1</v>
      </c>
      <c r="N206" s="62">
        <f t="shared" si="413"/>
        <v>1</v>
      </c>
      <c r="O206" s="62">
        <f t="shared" si="413"/>
        <v>1</v>
      </c>
      <c r="P206" s="62" t="str">
        <f t="shared" si="413"/>
        <v/>
      </c>
      <c r="Q206" s="62" t="str">
        <f t="shared" si="413"/>
        <v/>
      </c>
      <c r="R206" s="62">
        <f t="shared" si="7"/>
        <v>0</v>
      </c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</row>
    <row r="207" hidden="1">
      <c r="A207" s="60">
        <f>IFERROR(__xludf.DUMMYFUNCTION("""COMPUTED_VALUE"""),514.0)</f>
        <v>514</v>
      </c>
      <c r="B207" s="60" t="str">
        <f>IFERROR(__xludf.DUMMYFUNCTION("""COMPUTED_VALUE"""),"Chargers, Los Angeles")</f>
        <v>Chargers, Los Angeles</v>
      </c>
      <c r="C207" s="60" t="str">
        <f>IFERROR(__xludf.DUMMYFUNCTION("""COMPUTED_VALUE"""),"Def")</f>
        <v>Def</v>
      </c>
      <c r="D207" s="60" t="str">
        <f>IFERROR(__xludf.DUMMYFUNCTION("""COMPUTED_VALUE"""),"LAC")</f>
        <v>LAC</v>
      </c>
      <c r="E207" s="62" t="str">
        <f t="shared" si="4"/>
        <v>Los Angeles Chargers</v>
      </c>
      <c r="F207" s="62">
        <f t="shared" ref="F207:G207" si="414">IF(isblank(F$1),,IF(isblank($A207),,IFERROR(vlookup($A207,indirect("'TVC-"&amp;text(month(F$1),"00")&amp;"'!$A:$D"),4,false),1)))</f>
        <v>1</v>
      </c>
      <c r="G207" s="62">
        <f t="shared" si="414"/>
        <v>1</v>
      </c>
      <c r="H207" s="62">
        <f t="shared" ref="H207:Q207" si="415">IF(isblank(H$1),,IFERROR(vlookup($A207,indirect("'TVC-"&amp;text(month(H$1),"00")&amp;"'!$A:$D"),4,false),1))</f>
        <v>1</v>
      </c>
      <c r="I207" s="62">
        <f t="shared" si="415"/>
        <v>1</v>
      </c>
      <c r="J207" s="62">
        <f t="shared" si="415"/>
        <v>1</v>
      </c>
      <c r="K207" s="62">
        <f t="shared" si="415"/>
        <v>1</v>
      </c>
      <c r="L207" s="62">
        <f t="shared" si="415"/>
        <v>1</v>
      </c>
      <c r="M207" s="62">
        <f t="shared" si="415"/>
        <v>1</v>
      </c>
      <c r="N207" s="62">
        <f t="shared" si="415"/>
        <v>1</v>
      </c>
      <c r="O207" s="62">
        <f t="shared" si="415"/>
        <v>1</v>
      </c>
      <c r="P207" s="62" t="str">
        <f t="shared" si="415"/>
        <v/>
      </c>
      <c r="Q207" s="62" t="str">
        <f t="shared" si="415"/>
        <v/>
      </c>
      <c r="R207" s="62">
        <f t="shared" si="7"/>
        <v>0</v>
      </c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</row>
    <row r="208" hidden="1">
      <c r="A208" s="60">
        <f>IFERROR(__xludf.DUMMYFUNCTION("""COMPUTED_VALUE"""),515.0)</f>
        <v>515</v>
      </c>
      <c r="B208" s="60" t="str">
        <f>IFERROR(__xludf.DUMMYFUNCTION("""COMPUTED_VALUE"""),"Seahawks, Seattle")</f>
        <v>Seahawks, Seattle</v>
      </c>
      <c r="C208" s="60" t="str">
        <f>IFERROR(__xludf.DUMMYFUNCTION("""COMPUTED_VALUE"""),"Def")</f>
        <v>Def</v>
      </c>
      <c r="D208" s="60" t="str">
        <f>IFERROR(__xludf.DUMMYFUNCTION("""COMPUTED_VALUE"""),"SEA")</f>
        <v>SEA</v>
      </c>
      <c r="E208" s="62" t="str">
        <f t="shared" si="4"/>
        <v>Seattle Seahawks</v>
      </c>
      <c r="F208" s="62">
        <f t="shared" ref="F208:G208" si="416">IF(isblank(F$1),,IF(isblank($A208),,IFERROR(vlookup($A208,indirect("'TVC-"&amp;text(month(F$1),"00")&amp;"'!$A:$D"),4,false),1)))</f>
        <v>1</v>
      </c>
      <c r="G208" s="62">
        <f t="shared" si="416"/>
        <v>1</v>
      </c>
      <c r="H208" s="62">
        <f t="shared" ref="H208:Q208" si="417">IF(isblank(H$1),,IFERROR(vlookup($A208,indirect("'TVC-"&amp;text(month(H$1),"00")&amp;"'!$A:$D"),4,false),1))</f>
        <v>1</v>
      </c>
      <c r="I208" s="62">
        <f t="shared" si="417"/>
        <v>1</v>
      </c>
      <c r="J208" s="62">
        <f t="shared" si="417"/>
        <v>1</v>
      </c>
      <c r="K208" s="62">
        <f t="shared" si="417"/>
        <v>1</v>
      </c>
      <c r="L208" s="62">
        <f t="shared" si="417"/>
        <v>1</v>
      </c>
      <c r="M208" s="62">
        <f t="shared" si="417"/>
        <v>1</v>
      </c>
      <c r="N208" s="62">
        <f t="shared" si="417"/>
        <v>1</v>
      </c>
      <c r="O208" s="62">
        <f t="shared" si="417"/>
        <v>1</v>
      </c>
      <c r="P208" s="62" t="str">
        <f t="shared" si="417"/>
        <v/>
      </c>
      <c r="Q208" s="62" t="str">
        <f t="shared" si="417"/>
        <v/>
      </c>
      <c r="R208" s="62">
        <f t="shared" si="7"/>
        <v>0</v>
      </c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</row>
    <row r="209" hidden="1">
      <c r="A209" s="60">
        <f>IFERROR(__xludf.DUMMYFUNCTION("""COMPUTED_VALUE"""),516.0)</f>
        <v>516</v>
      </c>
      <c r="B209" s="60" t="str">
        <f>IFERROR(__xludf.DUMMYFUNCTION("""COMPUTED_VALUE"""),"Cowboys, Dallas")</f>
        <v>Cowboys, Dallas</v>
      </c>
      <c r="C209" s="60" t="str">
        <f>IFERROR(__xludf.DUMMYFUNCTION("""COMPUTED_VALUE"""),"Def")</f>
        <v>Def</v>
      </c>
      <c r="D209" s="60" t="str">
        <f>IFERROR(__xludf.DUMMYFUNCTION("""COMPUTED_VALUE"""),"DAL")</f>
        <v>DAL</v>
      </c>
      <c r="E209" s="62" t="str">
        <f t="shared" si="4"/>
        <v>Dallas Cowboys</v>
      </c>
      <c r="F209" s="62">
        <f t="shared" ref="F209:G209" si="418">IF(isblank(F$1),,IF(isblank($A209),,IFERROR(vlookup($A209,indirect("'TVC-"&amp;text(month(F$1),"00")&amp;"'!$A:$D"),4,false),1)))</f>
        <v>1</v>
      </c>
      <c r="G209" s="62">
        <f t="shared" si="418"/>
        <v>1</v>
      </c>
      <c r="H209" s="62">
        <f t="shared" ref="H209:Q209" si="419">IF(isblank(H$1),,IFERROR(vlookup($A209,indirect("'TVC-"&amp;text(month(H$1),"00")&amp;"'!$A:$D"),4,false),1))</f>
        <v>1</v>
      </c>
      <c r="I209" s="62">
        <f t="shared" si="419"/>
        <v>1</v>
      </c>
      <c r="J209" s="62">
        <f t="shared" si="419"/>
        <v>1</v>
      </c>
      <c r="K209" s="62">
        <f t="shared" si="419"/>
        <v>1</v>
      </c>
      <c r="L209" s="62">
        <f t="shared" si="419"/>
        <v>1</v>
      </c>
      <c r="M209" s="62">
        <f t="shared" si="419"/>
        <v>1</v>
      </c>
      <c r="N209" s="62">
        <f t="shared" si="419"/>
        <v>1</v>
      </c>
      <c r="O209" s="62">
        <f t="shared" si="419"/>
        <v>1</v>
      </c>
      <c r="P209" s="62" t="str">
        <f t="shared" si="419"/>
        <v/>
      </c>
      <c r="Q209" s="62" t="str">
        <f t="shared" si="419"/>
        <v/>
      </c>
      <c r="R209" s="62">
        <f t="shared" si="7"/>
        <v>0</v>
      </c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</row>
    <row r="210" hidden="1">
      <c r="A210" s="60">
        <f>IFERROR(__xludf.DUMMYFUNCTION("""COMPUTED_VALUE"""),517.0)</f>
        <v>517</v>
      </c>
      <c r="B210" s="60" t="str">
        <f>IFERROR(__xludf.DUMMYFUNCTION("""COMPUTED_VALUE"""),"Giants, New York")</f>
        <v>Giants, New York</v>
      </c>
      <c r="C210" s="60" t="str">
        <f>IFERROR(__xludf.DUMMYFUNCTION("""COMPUTED_VALUE"""),"Def")</f>
        <v>Def</v>
      </c>
      <c r="D210" s="60" t="str">
        <f>IFERROR(__xludf.DUMMYFUNCTION("""COMPUTED_VALUE"""),"NYG")</f>
        <v>NYG</v>
      </c>
      <c r="E210" s="62" t="str">
        <f t="shared" si="4"/>
        <v>New York Giants</v>
      </c>
      <c r="F210" s="62">
        <f t="shared" ref="F210:G210" si="420">IF(isblank(F$1),,IF(isblank($A210),,IFERROR(vlookup($A210,indirect("'TVC-"&amp;text(month(F$1),"00")&amp;"'!$A:$D"),4,false),1)))</f>
        <v>1</v>
      </c>
      <c r="G210" s="62">
        <f t="shared" si="420"/>
        <v>1</v>
      </c>
      <c r="H210" s="62">
        <f t="shared" ref="H210:Q210" si="421">IF(isblank(H$1),,IFERROR(vlookup($A210,indirect("'TVC-"&amp;text(month(H$1),"00")&amp;"'!$A:$D"),4,false),1))</f>
        <v>1</v>
      </c>
      <c r="I210" s="62">
        <f t="shared" si="421"/>
        <v>1</v>
      </c>
      <c r="J210" s="62">
        <f t="shared" si="421"/>
        <v>1</v>
      </c>
      <c r="K210" s="62">
        <f t="shared" si="421"/>
        <v>1</v>
      </c>
      <c r="L210" s="62">
        <f t="shared" si="421"/>
        <v>1</v>
      </c>
      <c r="M210" s="62">
        <f t="shared" si="421"/>
        <v>1</v>
      </c>
      <c r="N210" s="62">
        <f t="shared" si="421"/>
        <v>1</v>
      </c>
      <c r="O210" s="62">
        <f t="shared" si="421"/>
        <v>1</v>
      </c>
      <c r="P210" s="62" t="str">
        <f t="shared" si="421"/>
        <v/>
      </c>
      <c r="Q210" s="62" t="str">
        <f t="shared" si="421"/>
        <v/>
      </c>
      <c r="R210" s="62">
        <f t="shared" si="7"/>
        <v>0</v>
      </c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</row>
    <row r="211" hidden="1">
      <c r="A211" s="60">
        <f>IFERROR(__xludf.DUMMYFUNCTION("""COMPUTED_VALUE"""),518.0)</f>
        <v>518</v>
      </c>
      <c r="B211" s="60" t="str">
        <f>IFERROR(__xludf.DUMMYFUNCTION("""COMPUTED_VALUE"""),"Eagles, Philadelphia")</f>
        <v>Eagles, Philadelphia</v>
      </c>
      <c r="C211" s="60" t="str">
        <f>IFERROR(__xludf.DUMMYFUNCTION("""COMPUTED_VALUE"""),"Def")</f>
        <v>Def</v>
      </c>
      <c r="D211" s="60" t="str">
        <f>IFERROR(__xludf.DUMMYFUNCTION("""COMPUTED_VALUE"""),"PHI")</f>
        <v>PHI</v>
      </c>
      <c r="E211" s="62" t="str">
        <f t="shared" si="4"/>
        <v>Philadelphia Eagles</v>
      </c>
      <c r="F211" s="62">
        <f t="shared" ref="F211:G211" si="422">IF(isblank(F$1),,IF(isblank($A211),,IFERROR(vlookup($A211,indirect("'TVC-"&amp;text(month(F$1),"00")&amp;"'!$A:$D"),4,false),1)))</f>
        <v>1</v>
      </c>
      <c r="G211" s="62">
        <f t="shared" si="422"/>
        <v>1</v>
      </c>
      <c r="H211" s="62">
        <f t="shared" ref="H211:Q211" si="423">IF(isblank(H$1),,IFERROR(vlookup($A211,indirect("'TVC-"&amp;text(month(H$1),"00")&amp;"'!$A:$D"),4,false),1))</f>
        <v>1</v>
      </c>
      <c r="I211" s="62">
        <f t="shared" si="423"/>
        <v>1</v>
      </c>
      <c r="J211" s="62">
        <f t="shared" si="423"/>
        <v>1</v>
      </c>
      <c r="K211" s="62">
        <f t="shared" si="423"/>
        <v>1</v>
      </c>
      <c r="L211" s="62">
        <f t="shared" si="423"/>
        <v>1</v>
      </c>
      <c r="M211" s="62">
        <f t="shared" si="423"/>
        <v>1</v>
      </c>
      <c r="N211" s="62">
        <f t="shared" si="423"/>
        <v>1</v>
      </c>
      <c r="O211" s="62">
        <f t="shared" si="423"/>
        <v>1</v>
      </c>
      <c r="P211" s="62" t="str">
        <f t="shared" si="423"/>
        <v/>
      </c>
      <c r="Q211" s="62" t="str">
        <f t="shared" si="423"/>
        <v/>
      </c>
      <c r="R211" s="62">
        <f t="shared" si="7"/>
        <v>0</v>
      </c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</row>
    <row r="212" hidden="1">
      <c r="A212" s="60">
        <f>IFERROR(__xludf.DUMMYFUNCTION("""COMPUTED_VALUE"""),519.0)</f>
        <v>519</v>
      </c>
      <c r="B212" s="60" t="str">
        <f>IFERROR(__xludf.DUMMYFUNCTION("""COMPUTED_VALUE"""),"Cardinals, Arizona")</f>
        <v>Cardinals, Arizona</v>
      </c>
      <c r="C212" s="60" t="str">
        <f>IFERROR(__xludf.DUMMYFUNCTION("""COMPUTED_VALUE"""),"Def")</f>
        <v>Def</v>
      </c>
      <c r="D212" s="60" t="str">
        <f>IFERROR(__xludf.DUMMYFUNCTION("""COMPUTED_VALUE"""),"ARI")</f>
        <v>ARI</v>
      </c>
      <c r="E212" s="62" t="str">
        <f t="shared" si="4"/>
        <v>Arizona Cardinals</v>
      </c>
      <c r="F212" s="62">
        <f t="shared" ref="F212:G212" si="424">IF(isblank(F$1),,IF(isblank($A212),,IFERROR(vlookup($A212,indirect("'TVC-"&amp;text(month(F$1),"00")&amp;"'!$A:$D"),4,false),1)))</f>
        <v>1</v>
      </c>
      <c r="G212" s="62">
        <f t="shared" si="424"/>
        <v>1</v>
      </c>
      <c r="H212" s="62">
        <f t="shared" ref="H212:Q212" si="425">IF(isblank(H$1),,IFERROR(vlookup($A212,indirect("'TVC-"&amp;text(month(H$1),"00")&amp;"'!$A:$D"),4,false),1))</f>
        <v>1</v>
      </c>
      <c r="I212" s="62">
        <f t="shared" si="425"/>
        <v>1</v>
      </c>
      <c r="J212" s="62">
        <f t="shared" si="425"/>
        <v>1</v>
      </c>
      <c r="K212" s="62">
        <f t="shared" si="425"/>
        <v>1</v>
      </c>
      <c r="L212" s="62">
        <f t="shared" si="425"/>
        <v>1</v>
      </c>
      <c r="M212" s="62">
        <f t="shared" si="425"/>
        <v>1</v>
      </c>
      <c r="N212" s="62">
        <f t="shared" si="425"/>
        <v>1</v>
      </c>
      <c r="O212" s="62">
        <f t="shared" si="425"/>
        <v>1</v>
      </c>
      <c r="P212" s="62" t="str">
        <f t="shared" si="425"/>
        <v/>
      </c>
      <c r="Q212" s="62" t="str">
        <f t="shared" si="425"/>
        <v/>
      </c>
      <c r="R212" s="62">
        <f t="shared" si="7"/>
        <v>0</v>
      </c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</row>
    <row r="213" hidden="1">
      <c r="A213" s="60">
        <f>IFERROR(__xludf.DUMMYFUNCTION("""COMPUTED_VALUE"""),520.0)</f>
        <v>520</v>
      </c>
      <c r="B213" s="60" t="str">
        <f>IFERROR(__xludf.DUMMYFUNCTION("""COMPUTED_VALUE"""),"Commanders, Washington")</f>
        <v>Commanders, Washington</v>
      </c>
      <c r="C213" s="60" t="str">
        <f>IFERROR(__xludf.DUMMYFUNCTION("""COMPUTED_VALUE"""),"Def")</f>
        <v>Def</v>
      </c>
      <c r="D213" s="60" t="str">
        <f>IFERROR(__xludf.DUMMYFUNCTION("""COMPUTED_VALUE"""),"WAS")</f>
        <v>WAS</v>
      </c>
      <c r="E213" s="62" t="str">
        <f t="shared" si="4"/>
        <v>Washington Commanders</v>
      </c>
      <c r="F213" s="62">
        <f t="shared" ref="F213:G213" si="426">IF(isblank(F$1),,IF(isblank($A213),,IFERROR(vlookup($A213,indirect("'TVC-"&amp;text(month(F$1),"00")&amp;"'!$A:$D"),4,false),1)))</f>
        <v>1</v>
      </c>
      <c r="G213" s="62">
        <f t="shared" si="426"/>
        <v>1</v>
      </c>
      <c r="H213" s="62">
        <f t="shared" ref="H213:Q213" si="427">IF(isblank(H$1),,IFERROR(vlookup($A213,indirect("'TVC-"&amp;text(month(H$1),"00")&amp;"'!$A:$D"),4,false),1))</f>
        <v>1</v>
      </c>
      <c r="I213" s="62">
        <f t="shared" si="427"/>
        <v>1</v>
      </c>
      <c r="J213" s="62">
        <f t="shared" si="427"/>
        <v>1</v>
      </c>
      <c r="K213" s="62">
        <f t="shared" si="427"/>
        <v>1</v>
      </c>
      <c r="L213" s="62">
        <f t="shared" si="427"/>
        <v>1</v>
      </c>
      <c r="M213" s="62">
        <f t="shared" si="427"/>
        <v>1</v>
      </c>
      <c r="N213" s="62">
        <f t="shared" si="427"/>
        <v>1</v>
      </c>
      <c r="O213" s="62">
        <f t="shared" si="427"/>
        <v>1</v>
      </c>
      <c r="P213" s="62" t="str">
        <f t="shared" si="427"/>
        <v/>
      </c>
      <c r="Q213" s="62" t="str">
        <f t="shared" si="427"/>
        <v/>
      </c>
      <c r="R213" s="62">
        <f t="shared" si="7"/>
        <v>0</v>
      </c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</row>
    <row r="214" hidden="1">
      <c r="A214" s="60">
        <f>IFERROR(__xludf.DUMMYFUNCTION("""COMPUTED_VALUE"""),521.0)</f>
        <v>521</v>
      </c>
      <c r="B214" s="60" t="str">
        <f>IFERROR(__xludf.DUMMYFUNCTION("""COMPUTED_VALUE"""),"Bears, Chicago")</f>
        <v>Bears, Chicago</v>
      </c>
      <c r="C214" s="60" t="str">
        <f>IFERROR(__xludf.DUMMYFUNCTION("""COMPUTED_VALUE"""),"Def")</f>
        <v>Def</v>
      </c>
      <c r="D214" s="60" t="str">
        <f>IFERROR(__xludf.DUMMYFUNCTION("""COMPUTED_VALUE"""),"CHI")</f>
        <v>CHI</v>
      </c>
      <c r="E214" s="62" t="str">
        <f t="shared" si="4"/>
        <v>Chicago Bears</v>
      </c>
      <c r="F214" s="62">
        <f t="shared" ref="F214:G214" si="428">IF(isblank(F$1),,IF(isblank($A214),,IFERROR(vlookup($A214,indirect("'TVC-"&amp;text(month(F$1),"00")&amp;"'!$A:$D"),4,false),1)))</f>
        <v>1</v>
      </c>
      <c r="G214" s="62">
        <f t="shared" si="428"/>
        <v>1</v>
      </c>
      <c r="H214" s="62">
        <f t="shared" ref="H214:Q214" si="429">IF(isblank(H$1),,IFERROR(vlookup($A214,indirect("'TVC-"&amp;text(month(H$1),"00")&amp;"'!$A:$D"),4,false),1))</f>
        <v>1</v>
      </c>
      <c r="I214" s="62">
        <f t="shared" si="429"/>
        <v>1</v>
      </c>
      <c r="J214" s="62">
        <f t="shared" si="429"/>
        <v>1</v>
      </c>
      <c r="K214" s="62">
        <f t="shared" si="429"/>
        <v>1</v>
      </c>
      <c r="L214" s="62">
        <f t="shared" si="429"/>
        <v>1</v>
      </c>
      <c r="M214" s="62">
        <f t="shared" si="429"/>
        <v>1</v>
      </c>
      <c r="N214" s="62">
        <f t="shared" si="429"/>
        <v>1</v>
      </c>
      <c r="O214" s="62">
        <f t="shared" si="429"/>
        <v>1</v>
      </c>
      <c r="P214" s="62" t="str">
        <f t="shared" si="429"/>
        <v/>
      </c>
      <c r="Q214" s="62" t="str">
        <f t="shared" si="429"/>
        <v/>
      </c>
      <c r="R214" s="62">
        <f t="shared" si="7"/>
        <v>0</v>
      </c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</row>
    <row r="215" hidden="1">
      <c r="A215" s="60">
        <f>IFERROR(__xludf.DUMMYFUNCTION("""COMPUTED_VALUE"""),522.0)</f>
        <v>522</v>
      </c>
      <c r="B215" s="60" t="str">
        <f>IFERROR(__xludf.DUMMYFUNCTION("""COMPUTED_VALUE"""),"Lions, Detroit")</f>
        <v>Lions, Detroit</v>
      </c>
      <c r="C215" s="60" t="str">
        <f>IFERROR(__xludf.DUMMYFUNCTION("""COMPUTED_VALUE"""),"Def")</f>
        <v>Def</v>
      </c>
      <c r="D215" s="60" t="str">
        <f>IFERROR(__xludf.DUMMYFUNCTION("""COMPUTED_VALUE"""),"DET")</f>
        <v>DET</v>
      </c>
      <c r="E215" s="62" t="str">
        <f t="shared" si="4"/>
        <v>Detroit Lions</v>
      </c>
      <c r="F215" s="62">
        <f t="shared" ref="F215:G215" si="430">IF(isblank(F$1),,IF(isblank($A215),,IFERROR(vlookup($A215,indirect("'TVC-"&amp;text(month(F$1),"00")&amp;"'!$A:$D"),4,false),1)))</f>
        <v>1</v>
      </c>
      <c r="G215" s="62">
        <f t="shared" si="430"/>
        <v>1</v>
      </c>
      <c r="H215" s="62">
        <f t="shared" ref="H215:Q215" si="431">IF(isblank(H$1),,IFERROR(vlookup($A215,indirect("'TVC-"&amp;text(month(H$1),"00")&amp;"'!$A:$D"),4,false),1))</f>
        <v>1</v>
      </c>
      <c r="I215" s="62">
        <f t="shared" si="431"/>
        <v>1</v>
      </c>
      <c r="J215" s="62">
        <f t="shared" si="431"/>
        <v>1</v>
      </c>
      <c r="K215" s="62">
        <f t="shared" si="431"/>
        <v>1</v>
      </c>
      <c r="L215" s="62">
        <f t="shared" si="431"/>
        <v>1</v>
      </c>
      <c r="M215" s="62">
        <f t="shared" si="431"/>
        <v>1</v>
      </c>
      <c r="N215" s="62">
        <f t="shared" si="431"/>
        <v>1</v>
      </c>
      <c r="O215" s="62">
        <f t="shared" si="431"/>
        <v>1</v>
      </c>
      <c r="P215" s="62" t="str">
        <f t="shared" si="431"/>
        <v/>
      </c>
      <c r="Q215" s="62" t="str">
        <f t="shared" si="431"/>
        <v/>
      </c>
      <c r="R215" s="62">
        <f t="shared" si="7"/>
        <v>0</v>
      </c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</row>
    <row r="216" hidden="1">
      <c r="A216" s="60">
        <f>IFERROR(__xludf.DUMMYFUNCTION("""COMPUTED_VALUE"""),523.0)</f>
        <v>523</v>
      </c>
      <c r="B216" s="60" t="str">
        <f>IFERROR(__xludf.DUMMYFUNCTION("""COMPUTED_VALUE"""),"Packers, Green Bay")</f>
        <v>Packers, Green Bay</v>
      </c>
      <c r="C216" s="60" t="str">
        <f>IFERROR(__xludf.DUMMYFUNCTION("""COMPUTED_VALUE"""),"Def")</f>
        <v>Def</v>
      </c>
      <c r="D216" s="60" t="str">
        <f>IFERROR(__xludf.DUMMYFUNCTION("""COMPUTED_VALUE"""),"GBP")</f>
        <v>GBP</v>
      </c>
      <c r="E216" s="62" t="str">
        <f t="shared" si="4"/>
        <v>Green Bay Packers</v>
      </c>
      <c r="F216" s="62">
        <f t="shared" ref="F216:G216" si="432">IF(isblank(F$1),,IF(isblank($A216),,IFERROR(vlookup($A216,indirect("'TVC-"&amp;text(month(F$1),"00")&amp;"'!$A:$D"),4,false),1)))</f>
        <v>1</v>
      </c>
      <c r="G216" s="62">
        <f t="shared" si="432"/>
        <v>1</v>
      </c>
      <c r="H216" s="62">
        <f t="shared" ref="H216:Q216" si="433">IF(isblank(H$1),,IFERROR(vlookup($A216,indirect("'TVC-"&amp;text(month(H$1),"00")&amp;"'!$A:$D"),4,false),1))</f>
        <v>1</v>
      </c>
      <c r="I216" s="62">
        <f t="shared" si="433"/>
        <v>1</v>
      </c>
      <c r="J216" s="62">
        <f t="shared" si="433"/>
        <v>1</v>
      </c>
      <c r="K216" s="62">
        <f t="shared" si="433"/>
        <v>1</v>
      </c>
      <c r="L216" s="62">
        <f t="shared" si="433"/>
        <v>1</v>
      </c>
      <c r="M216" s="62">
        <f t="shared" si="433"/>
        <v>1</v>
      </c>
      <c r="N216" s="62">
        <f t="shared" si="433"/>
        <v>1</v>
      </c>
      <c r="O216" s="62">
        <f t="shared" si="433"/>
        <v>1</v>
      </c>
      <c r="P216" s="62" t="str">
        <f t="shared" si="433"/>
        <v/>
      </c>
      <c r="Q216" s="62" t="str">
        <f t="shared" si="433"/>
        <v/>
      </c>
      <c r="R216" s="62">
        <f t="shared" si="7"/>
        <v>0</v>
      </c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</row>
    <row r="217" hidden="1">
      <c r="A217" s="60">
        <f>IFERROR(__xludf.DUMMYFUNCTION("""COMPUTED_VALUE"""),524.0)</f>
        <v>524</v>
      </c>
      <c r="B217" s="60" t="str">
        <f>IFERROR(__xludf.DUMMYFUNCTION("""COMPUTED_VALUE"""),"Vikings, Minnesota")</f>
        <v>Vikings, Minnesota</v>
      </c>
      <c r="C217" s="60" t="str">
        <f>IFERROR(__xludf.DUMMYFUNCTION("""COMPUTED_VALUE"""),"Def")</f>
        <v>Def</v>
      </c>
      <c r="D217" s="60" t="str">
        <f>IFERROR(__xludf.DUMMYFUNCTION("""COMPUTED_VALUE"""),"MIN")</f>
        <v>MIN</v>
      </c>
      <c r="E217" s="62" t="str">
        <f t="shared" si="4"/>
        <v>Minnesota Vikings</v>
      </c>
      <c r="F217" s="62">
        <f t="shared" ref="F217:G217" si="434">IF(isblank(F$1),,IF(isblank($A217),,IFERROR(vlookup($A217,indirect("'TVC-"&amp;text(month(F$1),"00")&amp;"'!$A:$D"),4,false),1)))</f>
        <v>1</v>
      </c>
      <c r="G217" s="62">
        <f t="shared" si="434"/>
        <v>1</v>
      </c>
      <c r="H217" s="62">
        <f t="shared" ref="H217:Q217" si="435">IF(isblank(H$1),,IFERROR(vlookup($A217,indirect("'TVC-"&amp;text(month(H$1),"00")&amp;"'!$A:$D"),4,false),1))</f>
        <v>1</v>
      </c>
      <c r="I217" s="62">
        <f t="shared" si="435"/>
        <v>1</v>
      </c>
      <c r="J217" s="62">
        <f t="shared" si="435"/>
        <v>1</v>
      </c>
      <c r="K217" s="62">
        <f t="shared" si="435"/>
        <v>1</v>
      </c>
      <c r="L217" s="62">
        <f t="shared" si="435"/>
        <v>1</v>
      </c>
      <c r="M217" s="62">
        <f t="shared" si="435"/>
        <v>1</v>
      </c>
      <c r="N217" s="62">
        <f t="shared" si="435"/>
        <v>1</v>
      </c>
      <c r="O217" s="62">
        <f t="shared" si="435"/>
        <v>1</v>
      </c>
      <c r="P217" s="62" t="str">
        <f t="shared" si="435"/>
        <v/>
      </c>
      <c r="Q217" s="62" t="str">
        <f t="shared" si="435"/>
        <v/>
      </c>
      <c r="R217" s="62">
        <f t="shared" si="7"/>
        <v>0</v>
      </c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</row>
    <row r="218" hidden="1">
      <c r="A218" s="60">
        <f>IFERROR(__xludf.DUMMYFUNCTION("""COMPUTED_VALUE"""),525.0)</f>
        <v>525</v>
      </c>
      <c r="B218" s="60" t="str">
        <f>IFERROR(__xludf.DUMMYFUNCTION("""COMPUTED_VALUE"""),"Buccaneers, Tampa Bay")</f>
        <v>Buccaneers, Tampa Bay</v>
      </c>
      <c r="C218" s="60" t="str">
        <f>IFERROR(__xludf.DUMMYFUNCTION("""COMPUTED_VALUE"""),"Def")</f>
        <v>Def</v>
      </c>
      <c r="D218" s="60" t="str">
        <f>IFERROR(__xludf.DUMMYFUNCTION("""COMPUTED_VALUE"""),"TBB")</f>
        <v>TBB</v>
      </c>
      <c r="E218" s="62" t="str">
        <f t="shared" si="4"/>
        <v>Tampa Bay Buccaneers</v>
      </c>
      <c r="F218" s="62">
        <f t="shared" ref="F218:G218" si="436">IF(isblank(F$1),,IF(isblank($A218),,IFERROR(vlookup($A218,indirect("'TVC-"&amp;text(month(F$1),"00")&amp;"'!$A:$D"),4,false),1)))</f>
        <v>1</v>
      </c>
      <c r="G218" s="62">
        <f t="shared" si="436"/>
        <v>1</v>
      </c>
      <c r="H218" s="62">
        <f t="shared" ref="H218:Q218" si="437">IF(isblank(H$1),,IFERROR(vlookup($A218,indirect("'TVC-"&amp;text(month(H$1),"00")&amp;"'!$A:$D"),4,false),1))</f>
        <v>1</v>
      </c>
      <c r="I218" s="62">
        <f t="shared" si="437"/>
        <v>1</v>
      </c>
      <c r="J218" s="62">
        <f t="shared" si="437"/>
        <v>1</v>
      </c>
      <c r="K218" s="62">
        <f t="shared" si="437"/>
        <v>1</v>
      </c>
      <c r="L218" s="62">
        <f t="shared" si="437"/>
        <v>1</v>
      </c>
      <c r="M218" s="62">
        <f t="shared" si="437"/>
        <v>1</v>
      </c>
      <c r="N218" s="62">
        <f t="shared" si="437"/>
        <v>1</v>
      </c>
      <c r="O218" s="62">
        <f t="shared" si="437"/>
        <v>1</v>
      </c>
      <c r="P218" s="62" t="str">
        <f t="shared" si="437"/>
        <v/>
      </c>
      <c r="Q218" s="62" t="str">
        <f t="shared" si="437"/>
        <v/>
      </c>
      <c r="R218" s="62">
        <f t="shared" si="7"/>
        <v>0</v>
      </c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</row>
    <row r="219" hidden="1">
      <c r="A219" s="60">
        <f>IFERROR(__xludf.DUMMYFUNCTION("""COMPUTED_VALUE"""),526.0)</f>
        <v>526</v>
      </c>
      <c r="B219" s="60" t="str">
        <f>IFERROR(__xludf.DUMMYFUNCTION("""COMPUTED_VALUE"""),"Falcons, Atlanta")</f>
        <v>Falcons, Atlanta</v>
      </c>
      <c r="C219" s="60" t="str">
        <f>IFERROR(__xludf.DUMMYFUNCTION("""COMPUTED_VALUE"""),"Def")</f>
        <v>Def</v>
      </c>
      <c r="D219" s="60" t="str">
        <f>IFERROR(__xludf.DUMMYFUNCTION("""COMPUTED_VALUE"""),"ATL")</f>
        <v>ATL</v>
      </c>
      <c r="E219" s="62" t="str">
        <f t="shared" si="4"/>
        <v>Atlanta Falcons</v>
      </c>
      <c r="F219" s="62">
        <f t="shared" ref="F219:G219" si="438">IF(isblank(F$1),,IF(isblank($A219),,IFERROR(vlookup($A219,indirect("'TVC-"&amp;text(month(F$1),"00")&amp;"'!$A:$D"),4,false),1)))</f>
        <v>1</v>
      </c>
      <c r="G219" s="62">
        <f t="shared" si="438"/>
        <v>1</v>
      </c>
      <c r="H219" s="62">
        <f t="shared" ref="H219:Q219" si="439">IF(isblank(H$1),,IFERROR(vlookup($A219,indirect("'TVC-"&amp;text(month(H$1),"00")&amp;"'!$A:$D"),4,false),1))</f>
        <v>1</v>
      </c>
      <c r="I219" s="62">
        <f t="shared" si="439"/>
        <v>1</v>
      </c>
      <c r="J219" s="62">
        <f t="shared" si="439"/>
        <v>1</v>
      </c>
      <c r="K219" s="62">
        <f t="shared" si="439"/>
        <v>1</v>
      </c>
      <c r="L219" s="62">
        <f t="shared" si="439"/>
        <v>1</v>
      </c>
      <c r="M219" s="62">
        <f t="shared" si="439"/>
        <v>1</v>
      </c>
      <c r="N219" s="62">
        <f t="shared" si="439"/>
        <v>1</v>
      </c>
      <c r="O219" s="62">
        <f t="shared" si="439"/>
        <v>1</v>
      </c>
      <c r="P219" s="62" t="str">
        <f t="shared" si="439"/>
        <v/>
      </c>
      <c r="Q219" s="62" t="str">
        <f t="shared" si="439"/>
        <v/>
      </c>
      <c r="R219" s="62">
        <f t="shared" si="7"/>
        <v>0</v>
      </c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</row>
    <row r="220" hidden="1">
      <c r="A220" s="60">
        <f>IFERROR(__xludf.DUMMYFUNCTION("""COMPUTED_VALUE"""),527.0)</f>
        <v>527</v>
      </c>
      <c r="B220" s="60" t="str">
        <f>IFERROR(__xludf.DUMMYFUNCTION("""COMPUTED_VALUE"""),"Panthers, Carolina")</f>
        <v>Panthers, Carolina</v>
      </c>
      <c r="C220" s="60" t="str">
        <f>IFERROR(__xludf.DUMMYFUNCTION("""COMPUTED_VALUE"""),"Def")</f>
        <v>Def</v>
      </c>
      <c r="D220" s="60" t="str">
        <f>IFERROR(__xludf.DUMMYFUNCTION("""COMPUTED_VALUE"""),"CAR")</f>
        <v>CAR</v>
      </c>
      <c r="E220" s="62" t="str">
        <f t="shared" si="4"/>
        <v>Carolina Panthers</v>
      </c>
      <c r="F220" s="62">
        <f t="shared" ref="F220:G220" si="440">IF(isblank(F$1),,IF(isblank($A220),,IFERROR(vlookup($A220,indirect("'TVC-"&amp;text(month(F$1),"00")&amp;"'!$A:$D"),4,false),1)))</f>
        <v>1</v>
      </c>
      <c r="G220" s="62">
        <f t="shared" si="440"/>
        <v>1</v>
      </c>
      <c r="H220" s="62">
        <f t="shared" ref="H220:Q220" si="441">IF(isblank(H$1),,IFERROR(vlookup($A220,indirect("'TVC-"&amp;text(month(H$1),"00")&amp;"'!$A:$D"),4,false),1))</f>
        <v>1</v>
      </c>
      <c r="I220" s="62">
        <f t="shared" si="441"/>
        <v>1</v>
      </c>
      <c r="J220" s="62">
        <f t="shared" si="441"/>
        <v>1</v>
      </c>
      <c r="K220" s="62">
        <f t="shared" si="441"/>
        <v>1</v>
      </c>
      <c r="L220" s="62">
        <f t="shared" si="441"/>
        <v>1</v>
      </c>
      <c r="M220" s="62">
        <f t="shared" si="441"/>
        <v>1</v>
      </c>
      <c r="N220" s="62">
        <f t="shared" si="441"/>
        <v>1</v>
      </c>
      <c r="O220" s="62">
        <f t="shared" si="441"/>
        <v>1</v>
      </c>
      <c r="P220" s="62" t="str">
        <f t="shared" si="441"/>
        <v/>
      </c>
      <c r="Q220" s="62" t="str">
        <f t="shared" si="441"/>
        <v/>
      </c>
      <c r="R220" s="62">
        <f t="shared" si="7"/>
        <v>0</v>
      </c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</row>
    <row r="221" hidden="1">
      <c r="A221" s="60">
        <f>IFERROR(__xludf.DUMMYFUNCTION("""COMPUTED_VALUE"""),528.0)</f>
        <v>528</v>
      </c>
      <c r="B221" s="60" t="str">
        <f>IFERROR(__xludf.DUMMYFUNCTION("""COMPUTED_VALUE"""),"Rams, Los Angeles")</f>
        <v>Rams, Los Angeles</v>
      </c>
      <c r="C221" s="60" t="str">
        <f>IFERROR(__xludf.DUMMYFUNCTION("""COMPUTED_VALUE"""),"Def")</f>
        <v>Def</v>
      </c>
      <c r="D221" s="60" t="str">
        <f>IFERROR(__xludf.DUMMYFUNCTION("""COMPUTED_VALUE"""),"LAR")</f>
        <v>LAR</v>
      </c>
      <c r="E221" s="62" t="str">
        <f t="shared" si="4"/>
        <v>Los Angeles Rams</v>
      </c>
      <c r="F221" s="62">
        <f t="shared" ref="F221:G221" si="442">IF(isblank(F$1),,IF(isblank($A221),,IFERROR(vlookup($A221,indirect("'TVC-"&amp;text(month(F$1),"00")&amp;"'!$A:$D"),4,false),1)))</f>
        <v>1</v>
      </c>
      <c r="G221" s="62">
        <f t="shared" si="442"/>
        <v>1</v>
      </c>
      <c r="H221" s="62">
        <f t="shared" ref="H221:Q221" si="443">IF(isblank(H$1),,IFERROR(vlookup($A221,indirect("'TVC-"&amp;text(month(H$1),"00")&amp;"'!$A:$D"),4,false),1))</f>
        <v>1</v>
      </c>
      <c r="I221" s="62">
        <f t="shared" si="443"/>
        <v>1</v>
      </c>
      <c r="J221" s="62">
        <f t="shared" si="443"/>
        <v>1</v>
      </c>
      <c r="K221" s="62">
        <f t="shared" si="443"/>
        <v>1</v>
      </c>
      <c r="L221" s="62">
        <f t="shared" si="443"/>
        <v>1</v>
      </c>
      <c r="M221" s="62">
        <f t="shared" si="443"/>
        <v>1</v>
      </c>
      <c r="N221" s="62">
        <f t="shared" si="443"/>
        <v>1</v>
      </c>
      <c r="O221" s="62">
        <f t="shared" si="443"/>
        <v>1</v>
      </c>
      <c r="P221" s="62" t="str">
        <f t="shared" si="443"/>
        <v/>
      </c>
      <c r="Q221" s="62" t="str">
        <f t="shared" si="443"/>
        <v/>
      </c>
      <c r="R221" s="62">
        <f t="shared" si="7"/>
        <v>0</v>
      </c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</row>
    <row r="222" hidden="1">
      <c r="A222" s="60">
        <f>IFERROR(__xludf.DUMMYFUNCTION("""COMPUTED_VALUE"""),529.0)</f>
        <v>529</v>
      </c>
      <c r="B222" s="60" t="str">
        <f>IFERROR(__xludf.DUMMYFUNCTION("""COMPUTED_VALUE"""),"Saints, New Orleans")</f>
        <v>Saints, New Orleans</v>
      </c>
      <c r="C222" s="60" t="str">
        <f>IFERROR(__xludf.DUMMYFUNCTION("""COMPUTED_VALUE"""),"Def")</f>
        <v>Def</v>
      </c>
      <c r="D222" s="60" t="str">
        <f>IFERROR(__xludf.DUMMYFUNCTION("""COMPUTED_VALUE"""),"NOS")</f>
        <v>NOS</v>
      </c>
      <c r="E222" s="62" t="str">
        <f t="shared" si="4"/>
        <v>New Orleans Saints</v>
      </c>
      <c r="F222" s="62">
        <f t="shared" ref="F222:G222" si="444">IF(isblank(F$1),,IF(isblank($A222),,IFERROR(vlookup($A222,indirect("'TVC-"&amp;text(month(F$1),"00")&amp;"'!$A:$D"),4,false),1)))</f>
        <v>1</v>
      </c>
      <c r="G222" s="62">
        <f t="shared" si="444"/>
        <v>1</v>
      </c>
      <c r="H222" s="62">
        <f t="shared" ref="H222:Q222" si="445">IF(isblank(H$1),,IFERROR(vlookup($A222,indirect("'TVC-"&amp;text(month(H$1),"00")&amp;"'!$A:$D"),4,false),1))</f>
        <v>1</v>
      </c>
      <c r="I222" s="62">
        <f t="shared" si="445"/>
        <v>1</v>
      </c>
      <c r="J222" s="62">
        <f t="shared" si="445"/>
        <v>1</v>
      </c>
      <c r="K222" s="62">
        <f t="shared" si="445"/>
        <v>1</v>
      </c>
      <c r="L222" s="62">
        <f t="shared" si="445"/>
        <v>1</v>
      </c>
      <c r="M222" s="62">
        <f t="shared" si="445"/>
        <v>1</v>
      </c>
      <c r="N222" s="62">
        <f t="shared" si="445"/>
        <v>1</v>
      </c>
      <c r="O222" s="62">
        <f t="shared" si="445"/>
        <v>1</v>
      </c>
      <c r="P222" s="62" t="str">
        <f t="shared" si="445"/>
        <v/>
      </c>
      <c r="Q222" s="62" t="str">
        <f t="shared" si="445"/>
        <v/>
      </c>
      <c r="R222" s="62">
        <f t="shared" si="7"/>
        <v>0</v>
      </c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</row>
    <row r="223" hidden="1">
      <c r="A223" s="60">
        <f>IFERROR(__xludf.DUMMYFUNCTION("""COMPUTED_VALUE"""),530.0)</f>
        <v>530</v>
      </c>
      <c r="B223" s="60" t="str">
        <f>IFERROR(__xludf.DUMMYFUNCTION("""COMPUTED_VALUE"""),"49ers, San Francisco")</f>
        <v>49ers, San Francisco</v>
      </c>
      <c r="C223" s="60" t="str">
        <f>IFERROR(__xludf.DUMMYFUNCTION("""COMPUTED_VALUE"""),"Def")</f>
        <v>Def</v>
      </c>
      <c r="D223" s="60" t="str">
        <f>IFERROR(__xludf.DUMMYFUNCTION("""COMPUTED_VALUE"""),"SFO")</f>
        <v>SFO</v>
      </c>
      <c r="E223" s="62" t="str">
        <f t="shared" si="4"/>
        <v>San Francisco 49ers</v>
      </c>
      <c r="F223" s="62">
        <f t="shared" ref="F223:G223" si="446">IF(isblank(F$1),,IF(isblank($A223),,IFERROR(vlookup($A223,indirect("'TVC-"&amp;text(month(F$1),"00")&amp;"'!$A:$D"),4,false),1)))</f>
        <v>1</v>
      </c>
      <c r="G223" s="62">
        <f t="shared" si="446"/>
        <v>1</v>
      </c>
      <c r="H223" s="62">
        <f t="shared" ref="H223:Q223" si="447">IF(isblank(H$1),,IFERROR(vlookup($A223,indirect("'TVC-"&amp;text(month(H$1),"00")&amp;"'!$A:$D"),4,false),1))</f>
        <v>1</v>
      </c>
      <c r="I223" s="62">
        <f t="shared" si="447"/>
        <v>1</v>
      </c>
      <c r="J223" s="62">
        <f t="shared" si="447"/>
        <v>1</v>
      </c>
      <c r="K223" s="62">
        <f t="shared" si="447"/>
        <v>1</v>
      </c>
      <c r="L223" s="62">
        <f t="shared" si="447"/>
        <v>1</v>
      </c>
      <c r="M223" s="62">
        <f t="shared" si="447"/>
        <v>1</v>
      </c>
      <c r="N223" s="62">
        <f t="shared" si="447"/>
        <v>1</v>
      </c>
      <c r="O223" s="62">
        <f t="shared" si="447"/>
        <v>1</v>
      </c>
      <c r="P223" s="62" t="str">
        <f t="shared" si="447"/>
        <v/>
      </c>
      <c r="Q223" s="62" t="str">
        <f t="shared" si="447"/>
        <v/>
      </c>
      <c r="R223" s="62">
        <f t="shared" si="7"/>
        <v>0</v>
      </c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</row>
    <row r="224" hidden="1">
      <c r="A224" s="60">
        <f>IFERROR(__xludf.DUMMYFUNCTION("""COMPUTED_VALUE"""),531.0)</f>
        <v>531</v>
      </c>
      <c r="B224" s="60" t="str">
        <f>IFERROR(__xludf.DUMMYFUNCTION("""COMPUTED_VALUE"""),"Ravens, Baltimore")</f>
        <v>Ravens, Baltimore</v>
      </c>
      <c r="C224" s="60" t="str">
        <f>IFERROR(__xludf.DUMMYFUNCTION("""COMPUTED_VALUE"""),"Def")</f>
        <v>Def</v>
      </c>
      <c r="D224" s="60" t="str">
        <f>IFERROR(__xludf.DUMMYFUNCTION("""COMPUTED_VALUE"""),"BAL")</f>
        <v>BAL</v>
      </c>
      <c r="E224" s="62" t="str">
        <f t="shared" si="4"/>
        <v>Baltimore Ravens</v>
      </c>
      <c r="F224" s="62">
        <f t="shared" ref="F224:G224" si="448">IF(isblank(F$1),,IF(isblank($A224),,IFERROR(vlookup($A224,indirect("'TVC-"&amp;text(month(F$1),"00")&amp;"'!$A:$D"),4,false),1)))</f>
        <v>1</v>
      </c>
      <c r="G224" s="62">
        <f t="shared" si="448"/>
        <v>1</v>
      </c>
      <c r="H224" s="62">
        <f t="shared" ref="H224:Q224" si="449">IF(isblank(H$1),,IFERROR(vlookup($A224,indirect("'TVC-"&amp;text(month(H$1),"00")&amp;"'!$A:$D"),4,false),1))</f>
        <v>1</v>
      </c>
      <c r="I224" s="62">
        <f t="shared" si="449"/>
        <v>1</v>
      </c>
      <c r="J224" s="62">
        <f t="shared" si="449"/>
        <v>1</v>
      </c>
      <c r="K224" s="62">
        <f t="shared" si="449"/>
        <v>1</v>
      </c>
      <c r="L224" s="62">
        <f t="shared" si="449"/>
        <v>1</v>
      </c>
      <c r="M224" s="62">
        <f t="shared" si="449"/>
        <v>1</v>
      </c>
      <c r="N224" s="62">
        <f t="shared" si="449"/>
        <v>1</v>
      </c>
      <c r="O224" s="62">
        <f t="shared" si="449"/>
        <v>1</v>
      </c>
      <c r="P224" s="62" t="str">
        <f t="shared" si="449"/>
        <v/>
      </c>
      <c r="Q224" s="62" t="str">
        <f t="shared" si="449"/>
        <v/>
      </c>
      <c r="R224" s="62">
        <f t="shared" si="7"/>
        <v>0</v>
      </c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</row>
    <row r="225" hidden="1">
      <c r="A225" s="60">
        <f>IFERROR(__xludf.DUMMYFUNCTION("""COMPUTED_VALUE"""),532.0)</f>
        <v>532</v>
      </c>
      <c r="B225" s="60" t="str">
        <f>IFERROR(__xludf.DUMMYFUNCTION("""COMPUTED_VALUE"""),"Texans, Houston")</f>
        <v>Texans, Houston</v>
      </c>
      <c r="C225" s="60" t="str">
        <f>IFERROR(__xludf.DUMMYFUNCTION("""COMPUTED_VALUE"""),"Def")</f>
        <v>Def</v>
      </c>
      <c r="D225" s="60" t="str">
        <f>IFERROR(__xludf.DUMMYFUNCTION("""COMPUTED_VALUE"""),"HOU")</f>
        <v>HOU</v>
      </c>
      <c r="E225" s="62" t="str">
        <f t="shared" si="4"/>
        <v>Houston Texans</v>
      </c>
      <c r="F225" s="62">
        <f t="shared" ref="F225:G225" si="450">IF(isblank(F$1),,IF(isblank($A225),,IFERROR(vlookup($A225,indirect("'TVC-"&amp;text(month(F$1),"00")&amp;"'!$A:$D"),4,false),1)))</f>
        <v>1</v>
      </c>
      <c r="G225" s="62">
        <f t="shared" si="450"/>
        <v>1</v>
      </c>
      <c r="H225" s="62">
        <f t="shared" ref="H225:Q225" si="451">IF(isblank(H$1),,IFERROR(vlookup($A225,indirect("'TVC-"&amp;text(month(H$1),"00")&amp;"'!$A:$D"),4,false),1))</f>
        <v>1</v>
      </c>
      <c r="I225" s="62">
        <f t="shared" si="451"/>
        <v>1</v>
      </c>
      <c r="J225" s="62">
        <f t="shared" si="451"/>
        <v>1</v>
      </c>
      <c r="K225" s="62">
        <f t="shared" si="451"/>
        <v>1</v>
      </c>
      <c r="L225" s="62">
        <f t="shared" si="451"/>
        <v>1</v>
      </c>
      <c r="M225" s="62">
        <f t="shared" si="451"/>
        <v>1</v>
      </c>
      <c r="N225" s="62">
        <f t="shared" si="451"/>
        <v>1</v>
      </c>
      <c r="O225" s="62">
        <f t="shared" si="451"/>
        <v>1</v>
      </c>
      <c r="P225" s="62" t="str">
        <f t="shared" si="451"/>
        <v/>
      </c>
      <c r="Q225" s="62" t="str">
        <f t="shared" si="451"/>
        <v/>
      </c>
      <c r="R225" s="62">
        <f t="shared" si="7"/>
        <v>0</v>
      </c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</row>
    <row r="226" hidden="1">
      <c r="A226" s="60">
        <f>IFERROR(__xludf.DUMMYFUNCTION("""COMPUTED_VALUE"""),551.0)</f>
        <v>551</v>
      </c>
      <c r="B226" s="60" t="str">
        <f>IFERROR(__xludf.DUMMYFUNCTION("""COMPUTED_VALUE"""),"Bills, Buffalo")</f>
        <v>Bills, Buffalo</v>
      </c>
      <c r="C226" s="60" t="str">
        <f>IFERROR(__xludf.DUMMYFUNCTION("""COMPUTED_VALUE"""),"ST")</f>
        <v>ST</v>
      </c>
      <c r="D226" s="60" t="str">
        <f>IFERROR(__xludf.DUMMYFUNCTION("""COMPUTED_VALUE"""),"BUF")</f>
        <v>BUF</v>
      </c>
      <c r="E226" s="62" t="str">
        <f t="shared" si="4"/>
        <v>Buffalo Bills</v>
      </c>
      <c r="F226" s="62">
        <f t="shared" ref="F226:G226" si="452">IF(isblank(F$1),,IF(isblank($A226),,IFERROR(vlookup($A226,indirect("'TVC-"&amp;text(month(F$1),"00")&amp;"'!$A:$D"),4,false),1)))</f>
        <v>1</v>
      </c>
      <c r="G226" s="62">
        <f t="shared" si="452"/>
        <v>1</v>
      </c>
      <c r="H226" s="62">
        <f t="shared" ref="H226:Q226" si="453">IF(isblank(H$1),,IFERROR(vlookup($A226,indirect("'TVC-"&amp;text(month(H$1),"00")&amp;"'!$A:$D"),4,false),1))</f>
        <v>1</v>
      </c>
      <c r="I226" s="62">
        <f t="shared" si="453"/>
        <v>1</v>
      </c>
      <c r="J226" s="62">
        <f t="shared" si="453"/>
        <v>1</v>
      </c>
      <c r="K226" s="62">
        <f t="shared" si="453"/>
        <v>1</v>
      </c>
      <c r="L226" s="62">
        <f t="shared" si="453"/>
        <v>1</v>
      </c>
      <c r="M226" s="62">
        <f t="shared" si="453"/>
        <v>1</v>
      </c>
      <c r="N226" s="62">
        <f t="shared" si="453"/>
        <v>1</v>
      </c>
      <c r="O226" s="62">
        <f t="shared" si="453"/>
        <v>1</v>
      </c>
      <c r="P226" s="62" t="str">
        <f t="shared" si="453"/>
        <v/>
      </c>
      <c r="Q226" s="62" t="str">
        <f t="shared" si="453"/>
        <v/>
      </c>
      <c r="R226" s="62">
        <f t="shared" si="7"/>
        <v>0</v>
      </c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</row>
    <row r="227" hidden="1">
      <c r="A227" s="60">
        <f>IFERROR(__xludf.DUMMYFUNCTION("""COMPUTED_VALUE"""),552.0)</f>
        <v>552</v>
      </c>
      <c r="B227" s="60" t="str">
        <f>IFERROR(__xludf.DUMMYFUNCTION("""COMPUTED_VALUE"""),"Colts, Indianapolis")</f>
        <v>Colts, Indianapolis</v>
      </c>
      <c r="C227" s="60" t="str">
        <f>IFERROR(__xludf.DUMMYFUNCTION("""COMPUTED_VALUE"""),"ST")</f>
        <v>ST</v>
      </c>
      <c r="D227" s="60" t="str">
        <f>IFERROR(__xludf.DUMMYFUNCTION("""COMPUTED_VALUE"""),"IND")</f>
        <v>IND</v>
      </c>
      <c r="E227" s="62" t="str">
        <f t="shared" si="4"/>
        <v>Indianapolis Colts</v>
      </c>
      <c r="F227" s="62">
        <f t="shared" ref="F227:G227" si="454">IF(isblank(F$1),,IF(isblank($A227),,IFERROR(vlookup($A227,indirect("'TVC-"&amp;text(month(F$1),"00")&amp;"'!$A:$D"),4,false),1)))</f>
        <v>1</v>
      </c>
      <c r="G227" s="62">
        <f t="shared" si="454"/>
        <v>1</v>
      </c>
      <c r="H227" s="62">
        <f t="shared" ref="H227:Q227" si="455">IF(isblank(H$1),,IFERROR(vlookup($A227,indirect("'TVC-"&amp;text(month(H$1),"00")&amp;"'!$A:$D"),4,false),1))</f>
        <v>1</v>
      </c>
      <c r="I227" s="62">
        <f t="shared" si="455"/>
        <v>1</v>
      </c>
      <c r="J227" s="62">
        <f t="shared" si="455"/>
        <v>1</v>
      </c>
      <c r="K227" s="62">
        <f t="shared" si="455"/>
        <v>1</v>
      </c>
      <c r="L227" s="62">
        <f t="shared" si="455"/>
        <v>1</v>
      </c>
      <c r="M227" s="62">
        <f t="shared" si="455"/>
        <v>1</v>
      </c>
      <c r="N227" s="62">
        <f t="shared" si="455"/>
        <v>1</v>
      </c>
      <c r="O227" s="62">
        <f t="shared" si="455"/>
        <v>1</v>
      </c>
      <c r="P227" s="62" t="str">
        <f t="shared" si="455"/>
        <v/>
      </c>
      <c r="Q227" s="62" t="str">
        <f t="shared" si="455"/>
        <v/>
      </c>
      <c r="R227" s="62">
        <f t="shared" si="7"/>
        <v>0</v>
      </c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</row>
    <row r="228" hidden="1">
      <c r="A228" s="60">
        <f>IFERROR(__xludf.DUMMYFUNCTION("""COMPUTED_VALUE"""),553.0)</f>
        <v>553</v>
      </c>
      <c r="B228" s="60" t="str">
        <f>IFERROR(__xludf.DUMMYFUNCTION("""COMPUTED_VALUE"""),"Dolphins, Miami")</f>
        <v>Dolphins, Miami</v>
      </c>
      <c r="C228" s="60" t="str">
        <f>IFERROR(__xludf.DUMMYFUNCTION("""COMPUTED_VALUE"""),"ST")</f>
        <v>ST</v>
      </c>
      <c r="D228" s="60" t="str">
        <f>IFERROR(__xludf.DUMMYFUNCTION("""COMPUTED_VALUE"""),"MIA")</f>
        <v>MIA</v>
      </c>
      <c r="E228" s="62" t="str">
        <f t="shared" si="4"/>
        <v>Miami Dolphins</v>
      </c>
      <c r="F228" s="62">
        <f t="shared" ref="F228:G228" si="456">IF(isblank(F$1),,IF(isblank($A228),,IFERROR(vlookup($A228,indirect("'TVC-"&amp;text(month(F$1),"00")&amp;"'!$A:$D"),4,false),1)))</f>
        <v>1</v>
      </c>
      <c r="G228" s="62">
        <f t="shared" si="456"/>
        <v>1</v>
      </c>
      <c r="H228" s="62">
        <f t="shared" ref="H228:Q228" si="457">IF(isblank(H$1),,IFERROR(vlookup($A228,indirect("'TVC-"&amp;text(month(H$1),"00")&amp;"'!$A:$D"),4,false),1))</f>
        <v>1</v>
      </c>
      <c r="I228" s="62">
        <f t="shared" si="457"/>
        <v>1</v>
      </c>
      <c r="J228" s="62">
        <f t="shared" si="457"/>
        <v>1</v>
      </c>
      <c r="K228" s="62">
        <f t="shared" si="457"/>
        <v>1</v>
      </c>
      <c r="L228" s="62">
        <f t="shared" si="457"/>
        <v>1</v>
      </c>
      <c r="M228" s="62">
        <f t="shared" si="457"/>
        <v>1</v>
      </c>
      <c r="N228" s="62">
        <f t="shared" si="457"/>
        <v>1</v>
      </c>
      <c r="O228" s="62">
        <f t="shared" si="457"/>
        <v>1</v>
      </c>
      <c r="P228" s="62" t="str">
        <f t="shared" si="457"/>
        <v/>
      </c>
      <c r="Q228" s="62" t="str">
        <f t="shared" si="457"/>
        <v/>
      </c>
      <c r="R228" s="62">
        <f t="shared" si="7"/>
        <v>0</v>
      </c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</row>
    <row r="229" hidden="1">
      <c r="A229" s="60">
        <f>IFERROR(__xludf.DUMMYFUNCTION("""COMPUTED_VALUE"""),554.0)</f>
        <v>554</v>
      </c>
      <c r="B229" s="60" t="str">
        <f>IFERROR(__xludf.DUMMYFUNCTION("""COMPUTED_VALUE"""),"Patriots, New England")</f>
        <v>Patriots, New England</v>
      </c>
      <c r="C229" s="60" t="str">
        <f>IFERROR(__xludf.DUMMYFUNCTION("""COMPUTED_VALUE"""),"ST")</f>
        <v>ST</v>
      </c>
      <c r="D229" s="60" t="str">
        <f>IFERROR(__xludf.DUMMYFUNCTION("""COMPUTED_VALUE"""),"NEP")</f>
        <v>NEP</v>
      </c>
      <c r="E229" s="62" t="str">
        <f t="shared" si="4"/>
        <v>New England Patriots</v>
      </c>
      <c r="F229" s="62">
        <f t="shared" ref="F229:G229" si="458">IF(isblank(F$1),,IF(isblank($A229),,IFERROR(vlookup($A229,indirect("'TVC-"&amp;text(month(F$1),"00")&amp;"'!$A:$D"),4,false),1)))</f>
        <v>1</v>
      </c>
      <c r="G229" s="62">
        <f t="shared" si="458"/>
        <v>1</v>
      </c>
      <c r="H229" s="62">
        <f t="shared" ref="H229:Q229" si="459">IF(isblank(H$1),,IFERROR(vlookup($A229,indirect("'TVC-"&amp;text(month(H$1),"00")&amp;"'!$A:$D"),4,false),1))</f>
        <v>1</v>
      </c>
      <c r="I229" s="62">
        <f t="shared" si="459"/>
        <v>1</v>
      </c>
      <c r="J229" s="62">
        <f t="shared" si="459"/>
        <v>1</v>
      </c>
      <c r="K229" s="62">
        <f t="shared" si="459"/>
        <v>1</v>
      </c>
      <c r="L229" s="62">
        <f t="shared" si="459"/>
        <v>1</v>
      </c>
      <c r="M229" s="62">
        <f t="shared" si="459"/>
        <v>1</v>
      </c>
      <c r="N229" s="62">
        <f t="shared" si="459"/>
        <v>1</v>
      </c>
      <c r="O229" s="62">
        <f t="shared" si="459"/>
        <v>1</v>
      </c>
      <c r="P229" s="62" t="str">
        <f t="shared" si="459"/>
        <v/>
      </c>
      <c r="Q229" s="62" t="str">
        <f t="shared" si="459"/>
        <v/>
      </c>
      <c r="R229" s="62">
        <f t="shared" si="7"/>
        <v>0</v>
      </c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</row>
    <row r="230" hidden="1">
      <c r="A230" s="60">
        <f>IFERROR(__xludf.DUMMYFUNCTION("""COMPUTED_VALUE"""),555.0)</f>
        <v>555</v>
      </c>
      <c r="B230" s="60" t="str">
        <f>IFERROR(__xludf.DUMMYFUNCTION("""COMPUTED_VALUE"""),"Jets, New York")</f>
        <v>Jets, New York</v>
      </c>
      <c r="C230" s="60" t="str">
        <f>IFERROR(__xludf.DUMMYFUNCTION("""COMPUTED_VALUE"""),"ST")</f>
        <v>ST</v>
      </c>
      <c r="D230" s="60" t="str">
        <f>IFERROR(__xludf.DUMMYFUNCTION("""COMPUTED_VALUE"""),"NYJ")</f>
        <v>NYJ</v>
      </c>
      <c r="E230" s="62" t="str">
        <f t="shared" si="4"/>
        <v>New York Jets</v>
      </c>
      <c r="F230" s="62">
        <f t="shared" ref="F230:G230" si="460">IF(isblank(F$1),,IF(isblank($A230),,IFERROR(vlookup($A230,indirect("'TVC-"&amp;text(month(F$1),"00")&amp;"'!$A:$D"),4,false),1)))</f>
        <v>1</v>
      </c>
      <c r="G230" s="62">
        <f t="shared" si="460"/>
        <v>1</v>
      </c>
      <c r="H230" s="62">
        <f t="shared" ref="H230:Q230" si="461">IF(isblank(H$1),,IFERROR(vlookup($A230,indirect("'TVC-"&amp;text(month(H$1),"00")&amp;"'!$A:$D"),4,false),1))</f>
        <v>1</v>
      </c>
      <c r="I230" s="62">
        <f t="shared" si="461"/>
        <v>1</v>
      </c>
      <c r="J230" s="62">
        <f t="shared" si="461"/>
        <v>1</v>
      </c>
      <c r="K230" s="62">
        <f t="shared" si="461"/>
        <v>1</v>
      </c>
      <c r="L230" s="62">
        <f t="shared" si="461"/>
        <v>1</v>
      </c>
      <c r="M230" s="62">
        <f t="shared" si="461"/>
        <v>1</v>
      </c>
      <c r="N230" s="62">
        <f t="shared" si="461"/>
        <v>1</v>
      </c>
      <c r="O230" s="62">
        <f t="shared" si="461"/>
        <v>1</v>
      </c>
      <c r="P230" s="62" t="str">
        <f t="shared" si="461"/>
        <v/>
      </c>
      <c r="Q230" s="62" t="str">
        <f t="shared" si="461"/>
        <v/>
      </c>
      <c r="R230" s="62">
        <f t="shared" si="7"/>
        <v>0</v>
      </c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</row>
    <row r="231" hidden="1">
      <c r="A231" s="60">
        <f>IFERROR(__xludf.DUMMYFUNCTION("""COMPUTED_VALUE"""),556.0)</f>
        <v>556</v>
      </c>
      <c r="B231" s="60" t="str">
        <f>IFERROR(__xludf.DUMMYFUNCTION("""COMPUTED_VALUE"""),"Bengals, Cincinnati")</f>
        <v>Bengals, Cincinnati</v>
      </c>
      <c r="C231" s="60" t="str">
        <f>IFERROR(__xludf.DUMMYFUNCTION("""COMPUTED_VALUE"""),"ST")</f>
        <v>ST</v>
      </c>
      <c r="D231" s="60" t="str">
        <f>IFERROR(__xludf.DUMMYFUNCTION("""COMPUTED_VALUE"""),"CIN")</f>
        <v>CIN</v>
      </c>
      <c r="E231" s="62" t="str">
        <f t="shared" si="4"/>
        <v>Cincinnati Bengals</v>
      </c>
      <c r="F231" s="62">
        <f t="shared" ref="F231:G231" si="462">IF(isblank(F$1),,IF(isblank($A231),,IFERROR(vlookup($A231,indirect("'TVC-"&amp;text(month(F$1),"00")&amp;"'!$A:$D"),4,false),1)))</f>
        <v>1</v>
      </c>
      <c r="G231" s="62">
        <f t="shared" si="462"/>
        <v>1</v>
      </c>
      <c r="H231" s="62">
        <f t="shared" ref="H231:Q231" si="463">IF(isblank(H$1),,IFERROR(vlookup($A231,indirect("'TVC-"&amp;text(month(H$1),"00")&amp;"'!$A:$D"),4,false),1))</f>
        <v>1</v>
      </c>
      <c r="I231" s="62">
        <f t="shared" si="463"/>
        <v>1</v>
      </c>
      <c r="J231" s="62">
        <f t="shared" si="463"/>
        <v>1</v>
      </c>
      <c r="K231" s="62">
        <f t="shared" si="463"/>
        <v>1</v>
      </c>
      <c r="L231" s="62">
        <f t="shared" si="463"/>
        <v>1</v>
      </c>
      <c r="M231" s="62">
        <f t="shared" si="463"/>
        <v>1</v>
      </c>
      <c r="N231" s="62">
        <f t="shared" si="463"/>
        <v>1</v>
      </c>
      <c r="O231" s="62">
        <f t="shared" si="463"/>
        <v>1</v>
      </c>
      <c r="P231" s="62" t="str">
        <f t="shared" si="463"/>
        <v/>
      </c>
      <c r="Q231" s="62" t="str">
        <f t="shared" si="463"/>
        <v/>
      </c>
      <c r="R231" s="62">
        <f t="shared" si="7"/>
        <v>0</v>
      </c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</row>
    <row r="232" hidden="1">
      <c r="A232" s="60">
        <f>IFERROR(__xludf.DUMMYFUNCTION("""COMPUTED_VALUE"""),557.0)</f>
        <v>557</v>
      </c>
      <c r="B232" s="60" t="str">
        <f>IFERROR(__xludf.DUMMYFUNCTION("""COMPUTED_VALUE"""),"Browns, Cleveland")</f>
        <v>Browns, Cleveland</v>
      </c>
      <c r="C232" s="60" t="str">
        <f>IFERROR(__xludf.DUMMYFUNCTION("""COMPUTED_VALUE"""),"ST")</f>
        <v>ST</v>
      </c>
      <c r="D232" s="60" t="str">
        <f>IFERROR(__xludf.DUMMYFUNCTION("""COMPUTED_VALUE"""),"CLE")</f>
        <v>CLE</v>
      </c>
      <c r="E232" s="62" t="str">
        <f t="shared" si="4"/>
        <v>Cleveland Browns</v>
      </c>
      <c r="F232" s="62">
        <f t="shared" ref="F232:G232" si="464">IF(isblank(F$1),,IF(isblank($A232),,IFERROR(vlookup($A232,indirect("'TVC-"&amp;text(month(F$1),"00")&amp;"'!$A:$D"),4,false),1)))</f>
        <v>1</v>
      </c>
      <c r="G232" s="62">
        <f t="shared" si="464"/>
        <v>1</v>
      </c>
      <c r="H232" s="62">
        <f t="shared" ref="H232:Q232" si="465">IF(isblank(H$1),,IFERROR(vlookup($A232,indirect("'TVC-"&amp;text(month(H$1),"00")&amp;"'!$A:$D"),4,false),1))</f>
        <v>1</v>
      </c>
      <c r="I232" s="62">
        <f t="shared" si="465"/>
        <v>1</v>
      </c>
      <c r="J232" s="62">
        <f t="shared" si="465"/>
        <v>1</v>
      </c>
      <c r="K232" s="62">
        <f t="shared" si="465"/>
        <v>1</v>
      </c>
      <c r="L232" s="62">
        <f t="shared" si="465"/>
        <v>1</v>
      </c>
      <c r="M232" s="62">
        <f t="shared" si="465"/>
        <v>1</v>
      </c>
      <c r="N232" s="62">
        <f t="shared" si="465"/>
        <v>1</v>
      </c>
      <c r="O232" s="62">
        <f t="shared" si="465"/>
        <v>1</v>
      </c>
      <c r="P232" s="62" t="str">
        <f t="shared" si="465"/>
        <v/>
      </c>
      <c r="Q232" s="62" t="str">
        <f t="shared" si="465"/>
        <v/>
      </c>
      <c r="R232" s="62">
        <f t="shared" si="7"/>
        <v>0</v>
      </c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</row>
    <row r="233" hidden="1">
      <c r="A233" s="60">
        <f>IFERROR(__xludf.DUMMYFUNCTION("""COMPUTED_VALUE"""),558.0)</f>
        <v>558</v>
      </c>
      <c r="B233" s="60" t="str">
        <f>IFERROR(__xludf.DUMMYFUNCTION("""COMPUTED_VALUE"""),"Titans, Tennessee")</f>
        <v>Titans, Tennessee</v>
      </c>
      <c r="C233" s="60" t="str">
        <f>IFERROR(__xludf.DUMMYFUNCTION("""COMPUTED_VALUE"""),"ST")</f>
        <v>ST</v>
      </c>
      <c r="D233" s="60" t="str">
        <f>IFERROR(__xludf.DUMMYFUNCTION("""COMPUTED_VALUE"""),"TEN")</f>
        <v>TEN</v>
      </c>
      <c r="E233" s="62" t="str">
        <f t="shared" si="4"/>
        <v>Tennessee Titans</v>
      </c>
      <c r="F233" s="62">
        <f t="shared" ref="F233:G233" si="466">IF(isblank(F$1),,IF(isblank($A233),,IFERROR(vlookup($A233,indirect("'TVC-"&amp;text(month(F$1),"00")&amp;"'!$A:$D"),4,false),1)))</f>
        <v>1</v>
      </c>
      <c r="G233" s="62">
        <f t="shared" si="466"/>
        <v>1</v>
      </c>
      <c r="H233" s="62">
        <f t="shared" ref="H233:Q233" si="467">IF(isblank(H$1),,IFERROR(vlookup($A233,indirect("'TVC-"&amp;text(month(H$1),"00")&amp;"'!$A:$D"),4,false),1))</f>
        <v>1</v>
      </c>
      <c r="I233" s="62">
        <f t="shared" si="467"/>
        <v>1</v>
      </c>
      <c r="J233" s="62">
        <f t="shared" si="467"/>
        <v>1</v>
      </c>
      <c r="K233" s="62">
        <f t="shared" si="467"/>
        <v>1</v>
      </c>
      <c r="L233" s="62">
        <f t="shared" si="467"/>
        <v>1</v>
      </c>
      <c r="M233" s="62">
        <f t="shared" si="467"/>
        <v>1</v>
      </c>
      <c r="N233" s="62">
        <f t="shared" si="467"/>
        <v>1</v>
      </c>
      <c r="O233" s="62">
        <f t="shared" si="467"/>
        <v>1</v>
      </c>
      <c r="P233" s="62" t="str">
        <f t="shared" si="467"/>
        <v/>
      </c>
      <c r="Q233" s="62" t="str">
        <f t="shared" si="467"/>
        <v/>
      </c>
      <c r="R233" s="62">
        <f t="shared" si="7"/>
        <v>0</v>
      </c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</row>
    <row r="234" hidden="1">
      <c r="A234" s="60">
        <f>IFERROR(__xludf.DUMMYFUNCTION("""COMPUTED_VALUE"""),559.0)</f>
        <v>559</v>
      </c>
      <c r="B234" s="60" t="str">
        <f>IFERROR(__xludf.DUMMYFUNCTION("""COMPUTED_VALUE"""),"Jaguars, Jacksonville")</f>
        <v>Jaguars, Jacksonville</v>
      </c>
      <c r="C234" s="60" t="str">
        <f>IFERROR(__xludf.DUMMYFUNCTION("""COMPUTED_VALUE"""),"ST")</f>
        <v>ST</v>
      </c>
      <c r="D234" s="60" t="str">
        <f>IFERROR(__xludf.DUMMYFUNCTION("""COMPUTED_VALUE"""),"JAC")</f>
        <v>JAC</v>
      </c>
      <c r="E234" s="62" t="str">
        <f t="shared" si="4"/>
        <v>Jacksonville Jaguars</v>
      </c>
      <c r="F234" s="62">
        <f t="shared" ref="F234:G234" si="468">IF(isblank(F$1),,IF(isblank($A234),,IFERROR(vlookup($A234,indirect("'TVC-"&amp;text(month(F$1),"00")&amp;"'!$A:$D"),4,false),1)))</f>
        <v>1</v>
      </c>
      <c r="G234" s="62">
        <f t="shared" si="468"/>
        <v>1</v>
      </c>
      <c r="H234" s="62">
        <f t="shared" ref="H234:Q234" si="469">IF(isblank(H$1),,IFERROR(vlookup($A234,indirect("'TVC-"&amp;text(month(H$1),"00")&amp;"'!$A:$D"),4,false),1))</f>
        <v>1</v>
      </c>
      <c r="I234" s="62">
        <f t="shared" si="469"/>
        <v>1</v>
      </c>
      <c r="J234" s="62">
        <f t="shared" si="469"/>
        <v>1</v>
      </c>
      <c r="K234" s="62">
        <f t="shared" si="469"/>
        <v>1</v>
      </c>
      <c r="L234" s="62">
        <f t="shared" si="469"/>
        <v>1</v>
      </c>
      <c r="M234" s="62">
        <f t="shared" si="469"/>
        <v>1</v>
      </c>
      <c r="N234" s="62">
        <f t="shared" si="469"/>
        <v>1</v>
      </c>
      <c r="O234" s="62">
        <f t="shared" si="469"/>
        <v>1</v>
      </c>
      <c r="P234" s="62" t="str">
        <f t="shared" si="469"/>
        <v/>
      </c>
      <c r="Q234" s="62" t="str">
        <f t="shared" si="469"/>
        <v/>
      </c>
      <c r="R234" s="62">
        <f t="shared" si="7"/>
        <v>0</v>
      </c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</row>
    <row r="235" hidden="1">
      <c r="A235" s="60">
        <f>IFERROR(__xludf.DUMMYFUNCTION("""COMPUTED_VALUE"""),560.0)</f>
        <v>560</v>
      </c>
      <c r="B235" s="60" t="str">
        <f>IFERROR(__xludf.DUMMYFUNCTION("""COMPUTED_VALUE"""),"Steelers, Pittsburgh")</f>
        <v>Steelers, Pittsburgh</v>
      </c>
      <c r="C235" s="60" t="str">
        <f>IFERROR(__xludf.DUMMYFUNCTION("""COMPUTED_VALUE"""),"ST")</f>
        <v>ST</v>
      </c>
      <c r="D235" s="60" t="str">
        <f>IFERROR(__xludf.DUMMYFUNCTION("""COMPUTED_VALUE"""),"PIT")</f>
        <v>PIT</v>
      </c>
      <c r="E235" s="62" t="str">
        <f t="shared" si="4"/>
        <v>Pittsburgh Steelers</v>
      </c>
      <c r="F235" s="62">
        <f t="shared" ref="F235:G235" si="470">IF(isblank(F$1),,IF(isblank($A235),,IFERROR(vlookup($A235,indirect("'TVC-"&amp;text(month(F$1),"00")&amp;"'!$A:$D"),4,false),1)))</f>
        <v>1</v>
      </c>
      <c r="G235" s="62">
        <f t="shared" si="470"/>
        <v>1</v>
      </c>
      <c r="H235" s="62">
        <f t="shared" ref="H235:Q235" si="471">IF(isblank(H$1),,IFERROR(vlookup($A235,indirect("'TVC-"&amp;text(month(H$1),"00")&amp;"'!$A:$D"),4,false),1))</f>
        <v>1</v>
      </c>
      <c r="I235" s="62">
        <f t="shared" si="471"/>
        <v>1</v>
      </c>
      <c r="J235" s="62">
        <f t="shared" si="471"/>
        <v>1</v>
      </c>
      <c r="K235" s="62">
        <f t="shared" si="471"/>
        <v>1</v>
      </c>
      <c r="L235" s="62">
        <f t="shared" si="471"/>
        <v>1</v>
      </c>
      <c r="M235" s="62">
        <f t="shared" si="471"/>
        <v>1</v>
      </c>
      <c r="N235" s="62">
        <f t="shared" si="471"/>
        <v>1</v>
      </c>
      <c r="O235" s="62">
        <f t="shared" si="471"/>
        <v>1</v>
      </c>
      <c r="P235" s="62" t="str">
        <f t="shared" si="471"/>
        <v/>
      </c>
      <c r="Q235" s="62" t="str">
        <f t="shared" si="471"/>
        <v/>
      </c>
      <c r="R235" s="62">
        <f t="shared" si="7"/>
        <v>0</v>
      </c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</row>
    <row r="236" hidden="1">
      <c r="A236" s="60">
        <f>IFERROR(__xludf.DUMMYFUNCTION("""COMPUTED_VALUE"""),561.0)</f>
        <v>561</v>
      </c>
      <c r="B236" s="60" t="str">
        <f>IFERROR(__xludf.DUMMYFUNCTION("""COMPUTED_VALUE"""),"Broncos, Denver")</f>
        <v>Broncos, Denver</v>
      </c>
      <c r="C236" s="60" t="str">
        <f>IFERROR(__xludf.DUMMYFUNCTION("""COMPUTED_VALUE"""),"ST")</f>
        <v>ST</v>
      </c>
      <c r="D236" s="60" t="str">
        <f>IFERROR(__xludf.DUMMYFUNCTION("""COMPUTED_VALUE"""),"DEN")</f>
        <v>DEN</v>
      </c>
      <c r="E236" s="62" t="str">
        <f t="shared" si="4"/>
        <v>Denver Broncos</v>
      </c>
      <c r="F236" s="62">
        <f t="shared" ref="F236:G236" si="472">IF(isblank(F$1),,IF(isblank($A236),,IFERROR(vlookup($A236,indirect("'TVC-"&amp;text(month(F$1),"00")&amp;"'!$A:$D"),4,false),1)))</f>
        <v>1</v>
      </c>
      <c r="G236" s="62">
        <f t="shared" si="472"/>
        <v>1</v>
      </c>
      <c r="H236" s="62">
        <f t="shared" ref="H236:Q236" si="473">IF(isblank(H$1),,IFERROR(vlookup($A236,indirect("'TVC-"&amp;text(month(H$1),"00")&amp;"'!$A:$D"),4,false),1))</f>
        <v>1</v>
      </c>
      <c r="I236" s="62">
        <f t="shared" si="473"/>
        <v>1</v>
      </c>
      <c r="J236" s="62">
        <f t="shared" si="473"/>
        <v>1</v>
      </c>
      <c r="K236" s="62">
        <f t="shared" si="473"/>
        <v>1</v>
      </c>
      <c r="L236" s="62">
        <f t="shared" si="473"/>
        <v>1</v>
      </c>
      <c r="M236" s="62">
        <f t="shared" si="473"/>
        <v>1</v>
      </c>
      <c r="N236" s="62">
        <f t="shared" si="473"/>
        <v>1</v>
      </c>
      <c r="O236" s="62">
        <f t="shared" si="473"/>
        <v>1</v>
      </c>
      <c r="P236" s="62" t="str">
        <f t="shared" si="473"/>
        <v/>
      </c>
      <c r="Q236" s="62" t="str">
        <f t="shared" si="473"/>
        <v/>
      </c>
      <c r="R236" s="62">
        <f t="shared" si="7"/>
        <v>0</v>
      </c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</row>
    <row r="237" hidden="1">
      <c r="A237" s="60">
        <f>IFERROR(__xludf.DUMMYFUNCTION("""COMPUTED_VALUE"""),562.0)</f>
        <v>562</v>
      </c>
      <c r="B237" s="60" t="str">
        <f>IFERROR(__xludf.DUMMYFUNCTION("""COMPUTED_VALUE"""),"Chiefs, Kansas City")</f>
        <v>Chiefs, Kansas City</v>
      </c>
      <c r="C237" s="60" t="str">
        <f>IFERROR(__xludf.DUMMYFUNCTION("""COMPUTED_VALUE"""),"ST")</f>
        <v>ST</v>
      </c>
      <c r="D237" s="60" t="str">
        <f>IFERROR(__xludf.DUMMYFUNCTION("""COMPUTED_VALUE"""),"KCC")</f>
        <v>KCC</v>
      </c>
      <c r="E237" s="62" t="str">
        <f t="shared" si="4"/>
        <v>Kansas City Chiefs</v>
      </c>
      <c r="F237" s="62">
        <f t="shared" ref="F237:G237" si="474">IF(isblank(F$1),,IF(isblank($A237),,IFERROR(vlookup($A237,indirect("'TVC-"&amp;text(month(F$1),"00")&amp;"'!$A:$D"),4,false),1)))</f>
        <v>1</v>
      </c>
      <c r="G237" s="62">
        <f t="shared" si="474"/>
        <v>1</v>
      </c>
      <c r="H237" s="62">
        <f t="shared" ref="H237:Q237" si="475">IF(isblank(H$1),,IFERROR(vlookup($A237,indirect("'TVC-"&amp;text(month(H$1),"00")&amp;"'!$A:$D"),4,false),1))</f>
        <v>1</v>
      </c>
      <c r="I237" s="62">
        <f t="shared" si="475"/>
        <v>1</v>
      </c>
      <c r="J237" s="62">
        <f t="shared" si="475"/>
        <v>1</v>
      </c>
      <c r="K237" s="62">
        <f t="shared" si="475"/>
        <v>1</v>
      </c>
      <c r="L237" s="62">
        <f t="shared" si="475"/>
        <v>1</v>
      </c>
      <c r="M237" s="62">
        <f t="shared" si="475"/>
        <v>1</v>
      </c>
      <c r="N237" s="62">
        <f t="shared" si="475"/>
        <v>1</v>
      </c>
      <c r="O237" s="62">
        <f t="shared" si="475"/>
        <v>1</v>
      </c>
      <c r="P237" s="62" t="str">
        <f t="shared" si="475"/>
        <v/>
      </c>
      <c r="Q237" s="62" t="str">
        <f t="shared" si="475"/>
        <v/>
      </c>
      <c r="R237" s="62">
        <f t="shared" si="7"/>
        <v>0</v>
      </c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</row>
    <row r="238" hidden="1">
      <c r="A238" s="60">
        <f>IFERROR(__xludf.DUMMYFUNCTION("""COMPUTED_VALUE"""),563.0)</f>
        <v>563</v>
      </c>
      <c r="B238" s="60" t="str">
        <f>IFERROR(__xludf.DUMMYFUNCTION("""COMPUTED_VALUE"""),"Raiders, Las Vegas")</f>
        <v>Raiders, Las Vegas</v>
      </c>
      <c r="C238" s="60" t="str">
        <f>IFERROR(__xludf.DUMMYFUNCTION("""COMPUTED_VALUE"""),"ST")</f>
        <v>ST</v>
      </c>
      <c r="D238" s="60" t="str">
        <f>IFERROR(__xludf.DUMMYFUNCTION("""COMPUTED_VALUE"""),"LVR")</f>
        <v>LVR</v>
      </c>
      <c r="E238" s="62" t="str">
        <f t="shared" si="4"/>
        <v>Las Vegas Raiders</v>
      </c>
      <c r="F238" s="62">
        <f t="shared" ref="F238:G238" si="476">IF(isblank(F$1),,IF(isblank($A238),,IFERROR(vlookup($A238,indirect("'TVC-"&amp;text(month(F$1),"00")&amp;"'!$A:$D"),4,false),1)))</f>
        <v>1</v>
      </c>
      <c r="G238" s="62">
        <f t="shared" si="476"/>
        <v>1</v>
      </c>
      <c r="H238" s="62">
        <f t="shared" ref="H238:Q238" si="477">IF(isblank(H$1),,IFERROR(vlookup($A238,indirect("'TVC-"&amp;text(month(H$1),"00")&amp;"'!$A:$D"),4,false),1))</f>
        <v>1</v>
      </c>
      <c r="I238" s="62">
        <f t="shared" si="477"/>
        <v>1</v>
      </c>
      <c r="J238" s="62">
        <f t="shared" si="477"/>
        <v>1</v>
      </c>
      <c r="K238" s="62">
        <f t="shared" si="477"/>
        <v>1</v>
      </c>
      <c r="L238" s="62">
        <f t="shared" si="477"/>
        <v>1</v>
      </c>
      <c r="M238" s="62">
        <f t="shared" si="477"/>
        <v>1</v>
      </c>
      <c r="N238" s="62">
        <f t="shared" si="477"/>
        <v>1</v>
      </c>
      <c r="O238" s="62">
        <f t="shared" si="477"/>
        <v>1</v>
      </c>
      <c r="P238" s="62" t="str">
        <f t="shared" si="477"/>
        <v/>
      </c>
      <c r="Q238" s="62" t="str">
        <f t="shared" si="477"/>
        <v/>
      </c>
      <c r="R238" s="62">
        <f t="shared" si="7"/>
        <v>0</v>
      </c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</row>
    <row r="239" hidden="1">
      <c r="A239" s="60">
        <f>IFERROR(__xludf.DUMMYFUNCTION("""COMPUTED_VALUE"""),564.0)</f>
        <v>564</v>
      </c>
      <c r="B239" s="60" t="str">
        <f>IFERROR(__xludf.DUMMYFUNCTION("""COMPUTED_VALUE"""),"Chargers, Los Angeles")</f>
        <v>Chargers, Los Angeles</v>
      </c>
      <c r="C239" s="60" t="str">
        <f>IFERROR(__xludf.DUMMYFUNCTION("""COMPUTED_VALUE"""),"ST")</f>
        <v>ST</v>
      </c>
      <c r="D239" s="60" t="str">
        <f>IFERROR(__xludf.DUMMYFUNCTION("""COMPUTED_VALUE"""),"LAC")</f>
        <v>LAC</v>
      </c>
      <c r="E239" s="62" t="str">
        <f t="shared" si="4"/>
        <v>Los Angeles Chargers</v>
      </c>
      <c r="F239" s="62">
        <f t="shared" ref="F239:G239" si="478">IF(isblank(F$1),,IF(isblank($A239),,IFERROR(vlookup($A239,indirect("'TVC-"&amp;text(month(F$1),"00")&amp;"'!$A:$D"),4,false),1)))</f>
        <v>1</v>
      </c>
      <c r="G239" s="62">
        <f t="shared" si="478"/>
        <v>1</v>
      </c>
      <c r="H239" s="62">
        <f t="shared" ref="H239:Q239" si="479">IF(isblank(H$1),,IFERROR(vlookup($A239,indirect("'TVC-"&amp;text(month(H$1),"00")&amp;"'!$A:$D"),4,false),1))</f>
        <v>1</v>
      </c>
      <c r="I239" s="62">
        <f t="shared" si="479"/>
        <v>1</v>
      </c>
      <c r="J239" s="62">
        <f t="shared" si="479"/>
        <v>1</v>
      </c>
      <c r="K239" s="62">
        <f t="shared" si="479"/>
        <v>1</v>
      </c>
      <c r="L239" s="62">
        <f t="shared" si="479"/>
        <v>1</v>
      </c>
      <c r="M239" s="62">
        <f t="shared" si="479"/>
        <v>1</v>
      </c>
      <c r="N239" s="62">
        <f t="shared" si="479"/>
        <v>1</v>
      </c>
      <c r="O239" s="62">
        <f t="shared" si="479"/>
        <v>1</v>
      </c>
      <c r="P239" s="62" t="str">
        <f t="shared" si="479"/>
        <v/>
      </c>
      <c r="Q239" s="62" t="str">
        <f t="shared" si="479"/>
        <v/>
      </c>
      <c r="R239" s="62">
        <f t="shared" si="7"/>
        <v>0</v>
      </c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</row>
    <row r="240" hidden="1">
      <c r="A240" s="60">
        <f>IFERROR(__xludf.DUMMYFUNCTION("""COMPUTED_VALUE"""),565.0)</f>
        <v>565</v>
      </c>
      <c r="B240" s="60" t="str">
        <f>IFERROR(__xludf.DUMMYFUNCTION("""COMPUTED_VALUE"""),"Seahawks, Seattle")</f>
        <v>Seahawks, Seattle</v>
      </c>
      <c r="C240" s="60" t="str">
        <f>IFERROR(__xludf.DUMMYFUNCTION("""COMPUTED_VALUE"""),"ST")</f>
        <v>ST</v>
      </c>
      <c r="D240" s="60" t="str">
        <f>IFERROR(__xludf.DUMMYFUNCTION("""COMPUTED_VALUE"""),"SEA")</f>
        <v>SEA</v>
      </c>
      <c r="E240" s="62" t="str">
        <f t="shared" si="4"/>
        <v>Seattle Seahawks</v>
      </c>
      <c r="F240" s="62">
        <f t="shared" ref="F240:G240" si="480">IF(isblank(F$1),,IF(isblank($A240),,IFERROR(vlookup($A240,indirect("'TVC-"&amp;text(month(F$1),"00")&amp;"'!$A:$D"),4,false),1)))</f>
        <v>1</v>
      </c>
      <c r="G240" s="62">
        <f t="shared" si="480"/>
        <v>1</v>
      </c>
      <c r="H240" s="62">
        <f t="shared" ref="H240:Q240" si="481">IF(isblank(H$1),,IFERROR(vlookup($A240,indirect("'TVC-"&amp;text(month(H$1),"00")&amp;"'!$A:$D"),4,false),1))</f>
        <v>1</v>
      </c>
      <c r="I240" s="62">
        <f t="shared" si="481"/>
        <v>1</v>
      </c>
      <c r="J240" s="62">
        <f t="shared" si="481"/>
        <v>1</v>
      </c>
      <c r="K240" s="62">
        <f t="shared" si="481"/>
        <v>1</v>
      </c>
      <c r="L240" s="62">
        <f t="shared" si="481"/>
        <v>1</v>
      </c>
      <c r="M240" s="62">
        <f t="shared" si="481"/>
        <v>1</v>
      </c>
      <c r="N240" s="62">
        <f t="shared" si="481"/>
        <v>1</v>
      </c>
      <c r="O240" s="62">
        <f t="shared" si="481"/>
        <v>1</v>
      </c>
      <c r="P240" s="62" t="str">
        <f t="shared" si="481"/>
        <v/>
      </c>
      <c r="Q240" s="62" t="str">
        <f t="shared" si="481"/>
        <v/>
      </c>
      <c r="R240" s="62">
        <f t="shared" si="7"/>
        <v>0</v>
      </c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</row>
    <row r="241" hidden="1">
      <c r="A241" s="60">
        <f>IFERROR(__xludf.DUMMYFUNCTION("""COMPUTED_VALUE"""),566.0)</f>
        <v>566</v>
      </c>
      <c r="B241" s="60" t="str">
        <f>IFERROR(__xludf.DUMMYFUNCTION("""COMPUTED_VALUE"""),"Cowboys, Dallas")</f>
        <v>Cowboys, Dallas</v>
      </c>
      <c r="C241" s="60" t="str">
        <f>IFERROR(__xludf.DUMMYFUNCTION("""COMPUTED_VALUE"""),"ST")</f>
        <v>ST</v>
      </c>
      <c r="D241" s="60" t="str">
        <f>IFERROR(__xludf.DUMMYFUNCTION("""COMPUTED_VALUE"""),"DAL")</f>
        <v>DAL</v>
      </c>
      <c r="E241" s="62" t="str">
        <f t="shared" si="4"/>
        <v>Dallas Cowboys</v>
      </c>
      <c r="F241" s="62">
        <f t="shared" ref="F241:G241" si="482">IF(isblank(F$1),,IF(isblank($A241),,IFERROR(vlookup($A241,indirect("'TVC-"&amp;text(month(F$1),"00")&amp;"'!$A:$D"),4,false),1)))</f>
        <v>1</v>
      </c>
      <c r="G241" s="62">
        <f t="shared" si="482"/>
        <v>1</v>
      </c>
      <c r="H241" s="62">
        <f t="shared" ref="H241:Q241" si="483">IF(isblank(H$1),,IFERROR(vlookup($A241,indirect("'TVC-"&amp;text(month(H$1),"00")&amp;"'!$A:$D"),4,false),1))</f>
        <v>1</v>
      </c>
      <c r="I241" s="62">
        <f t="shared" si="483"/>
        <v>1</v>
      </c>
      <c r="J241" s="62">
        <f t="shared" si="483"/>
        <v>1</v>
      </c>
      <c r="K241" s="62">
        <f t="shared" si="483"/>
        <v>1</v>
      </c>
      <c r="L241" s="62">
        <f t="shared" si="483"/>
        <v>1</v>
      </c>
      <c r="M241" s="62">
        <f t="shared" si="483"/>
        <v>1</v>
      </c>
      <c r="N241" s="62">
        <f t="shared" si="483"/>
        <v>1</v>
      </c>
      <c r="O241" s="62">
        <f t="shared" si="483"/>
        <v>1</v>
      </c>
      <c r="P241" s="62" t="str">
        <f t="shared" si="483"/>
        <v/>
      </c>
      <c r="Q241" s="62" t="str">
        <f t="shared" si="483"/>
        <v/>
      </c>
      <c r="R241" s="62">
        <f t="shared" si="7"/>
        <v>0</v>
      </c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</row>
    <row r="242" hidden="1">
      <c r="A242" s="60">
        <f>IFERROR(__xludf.DUMMYFUNCTION("""COMPUTED_VALUE"""),567.0)</f>
        <v>567</v>
      </c>
      <c r="B242" s="60" t="str">
        <f>IFERROR(__xludf.DUMMYFUNCTION("""COMPUTED_VALUE"""),"Giants, New York")</f>
        <v>Giants, New York</v>
      </c>
      <c r="C242" s="60" t="str">
        <f>IFERROR(__xludf.DUMMYFUNCTION("""COMPUTED_VALUE"""),"ST")</f>
        <v>ST</v>
      </c>
      <c r="D242" s="60" t="str">
        <f>IFERROR(__xludf.DUMMYFUNCTION("""COMPUTED_VALUE"""),"NYG")</f>
        <v>NYG</v>
      </c>
      <c r="E242" s="62" t="str">
        <f t="shared" si="4"/>
        <v>New York Giants</v>
      </c>
      <c r="F242" s="62">
        <f t="shared" ref="F242:G242" si="484">IF(isblank(F$1),,IF(isblank($A242),,IFERROR(vlookup($A242,indirect("'TVC-"&amp;text(month(F$1),"00")&amp;"'!$A:$D"),4,false),1)))</f>
        <v>1</v>
      </c>
      <c r="G242" s="62">
        <f t="shared" si="484"/>
        <v>1</v>
      </c>
      <c r="H242" s="62">
        <f t="shared" ref="H242:Q242" si="485">IF(isblank(H$1),,IFERROR(vlookup($A242,indirect("'TVC-"&amp;text(month(H$1),"00")&amp;"'!$A:$D"),4,false),1))</f>
        <v>1</v>
      </c>
      <c r="I242" s="62">
        <f t="shared" si="485"/>
        <v>1</v>
      </c>
      <c r="J242" s="62">
        <f t="shared" si="485"/>
        <v>1</v>
      </c>
      <c r="K242" s="62">
        <f t="shared" si="485"/>
        <v>1</v>
      </c>
      <c r="L242" s="62">
        <f t="shared" si="485"/>
        <v>1</v>
      </c>
      <c r="M242" s="62">
        <f t="shared" si="485"/>
        <v>1</v>
      </c>
      <c r="N242" s="62">
        <f t="shared" si="485"/>
        <v>1</v>
      </c>
      <c r="O242" s="62">
        <f t="shared" si="485"/>
        <v>1</v>
      </c>
      <c r="P242" s="62" t="str">
        <f t="shared" si="485"/>
        <v/>
      </c>
      <c r="Q242" s="62" t="str">
        <f t="shared" si="485"/>
        <v/>
      </c>
      <c r="R242" s="62">
        <f t="shared" si="7"/>
        <v>0</v>
      </c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</row>
    <row r="243" hidden="1">
      <c r="A243" s="60">
        <f>IFERROR(__xludf.DUMMYFUNCTION("""COMPUTED_VALUE"""),568.0)</f>
        <v>568</v>
      </c>
      <c r="B243" s="60" t="str">
        <f>IFERROR(__xludf.DUMMYFUNCTION("""COMPUTED_VALUE"""),"Eagles, Philadelphia")</f>
        <v>Eagles, Philadelphia</v>
      </c>
      <c r="C243" s="60" t="str">
        <f>IFERROR(__xludf.DUMMYFUNCTION("""COMPUTED_VALUE"""),"ST")</f>
        <v>ST</v>
      </c>
      <c r="D243" s="60" t="str">
        <f>IFERROR(__xludf.DUMMYFUNCTION("""COMPUTED_VALUE"""),"PHI")</f>
        <v>PHI</v>
      </c>
      <c r="E243" s="62" t="str">
        <f t="shared" si="4"/>
        <v>Philadelphia Eagles</v>
      </c>
      <c r="F243" s="62">
        <f t="shared" ref="F243:G243" si="486">IF(isblank(F$1),,IF(isblank($A243),,IFERROR(vlookup($A243,indirect("'TVC-"&amp;text(month(F$1),"00")&amp;"'!$A:$D"),4,false),1)))</f>
        <v>1</v>
      </c>
      <c r="G243" s="62">
        <f t="shared" si="486"/>
        <v>1</v>
      </c>
      <c r="H243" s="62">
        <f t="shared" ref="H243:Q243" si="487">IF(isblank(H$1),,IFERROR(vlookup($A243,indirect("'TVC-"&amp;text(month(H$1),"00")&amp;"'!$A:$D"),4,false),1))</f>
        <v>1</v>
      </c>
      <c r="I243" s="62">
        <f t="shared" si="487"/>
        <v>1</v>
      </c>
      <c r="J243" s="62">
        <f t="shared" si="487"/>
        <v>1</v>
      </c>
      <c r="K243" s="62">
        <f t="shared" si="487"/>
        <v>1</v>
      </c>
      <c r="L243" s="62">
        <f t="shared" si="487"/>
        <v>1</v>
      </c>
      <c r="M243" s="62">
        <f t="shared" si="487"/>
        <v>1</v>
      </c>
      <c r="N243" s="62">
        <f t="shared" si="487"/>
        <v>1</v>
      </c>
      <c r="O243" s="62">
        <f t="shared" si="487"/>
        <v>1</v>
      </c>
      <c r="P243" s="62" t="str">
        <f t="shared" si="487"/>
        <v/>
      </c>
      <c r="Q243" s="62" t="str">
        <f t="shared" si="487"/>
        <v/>
      </c>
      <c r="R243" s="62">
        <f t="shared" si="7"/>
        <v>0</v>
      </c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</row>
    <row r="244" hidden="1">
      <c r="A244" s="60">
        <f>IFERROR(__xludf.DUMMYFUNCTION("""COMPUTED_VALUE"""),569.0)</f>
        <v>569</v>
      </c>
      <c r="B244" s="60" t="str">
        <f>IFERROR(__xludf.DUMMYFUNCTION("""COMPUTED_VALUE"""),"Cardinals, Arizona")</f>
        <v>Cardinals, Arizona</v>
      </c>
      <c r="C244" s="60" t="str">
        <f>IFERROR(__xludf.DUMMYFUNCTION("""COMPUTED_VALUE"""),"ST")</f>
        <v>ST</v>
      </c>
      <c r="D244" s="60" t="str">
        <f>IFERROR(__xludf.DUMMYFUNCTION("""COMPUTED_VALUE"""),"ARI")</f>
        <v>ARI</v>
      </c>
      <c r="E244" s="62" t="str">
        <f t="shared" si="4"/>
        <v>Arizona Cardinals</v>
      </c>
      <c r="F244" s="62">
        <f t="shared" ref="F244:G244" si="488">IF(isblank(F$1),,IF(isblank($A244),,IFERROR(vlookup($A244,indirect("'TVC-"&amp;text(month(F$1),"00")&amp;"'!$A:$D"),4,false),1)))</f>
        <v>1</v>
      </c>
      <c r="G244" s="62">
        <f t="shared" si="488"/>
        <v>1</v>
      </c>
      <c r="H244" s="62">
        <f t="shared" ref="H244:Q244" si="489">IF(isblank(H$1),,IFERROR(vlookup($A244,indirect("'TVC-"&amp;text(month(H$1),"00")&amp;"'!$A:$D"),4,false),1))</f>
        <v>1</v>
      </c>
      <c r="I244" s="62">
        <f t="shared" si="489"/>
        <v>1</v>
      </c>
      <c r="J244" s="62">
        <f t="shared" si="489"/>
        <v>1</v>
      </c>
      <c r="K244" s="62">
        <f t="shared" si="489"/>
        <v>1</v>
      </c>
      <c r="L244" s="62">
        <f t="shared" si="489"/>
        <v>1</v>
      </c>
      <c r="M244" s="62">
        <f t="shared" si="489"/>
        <v>1</v>
      </c>
      <c r="N244" s="62">
        <f t="shared" si="489"/>
        <v>1</v>
      </c>
      <c r="O244" s="62">
        <f t="shared" si="489"/>
        <v>1</v>
      </c>
      <c r="P244" s="62" t="str">
        <f t="shared" si="489"/>
        <v/>
      </c>
      <c r="Q244" s="62" t="str">
        <f t="shared" si="489"/>
        <v/>
      </c>
      <c r="R244" s="62">
        <f t="shared" si="7"/>
        <v>0</v>
      </c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</row>
    <row r="245" hidden="1">
      <c r="A245" s="60">
        <f>IFERROR(__xludf.DUMMYFUNCTION("""COMPUTED_VALUE"""),570.0)</f>
        <v>570</v>
      </c>
      <c r="B245" s="60" t="str">
        <f>IFERROR(__xludf.DUMMYFUNCTION("""COMPUTED_VALUE"""),"Commanders, Washington")</f>
        <v>Commanders, Washington</v>
      </c>
      <c r="C245" s="60" t="str">
        <f>IFERROR(__xludf.DUMMYFUNCTION("""COMPUTED_VALUE"""),"ST")</f>
        <v>ST</v>
      </c>
      <c r="D245" s="60" t="str">
        <f>IFERROR(__xludf.DUMMYFUNCTION("""COMPUTED_VALUE"""),"WAS")</f>
        <v>WAS</v>
      </c>
      <c r="E245" s="62" t="str">
        <f t="shared" si="4"/>
        <v>Washington Commanders</v>
      </c>
      <c r="F245" s="62">
        <f t="shared" ref="F245:G245" si="490">IF(isblank(F$1),,IF(isblank($A245),,IFERROR(vlookup($A245,indirect("'TVC-"&amp;text(month(F$1),"00")&amp;"'!$A:$D"),4,false),1)))</f>
        <v>1</v>
      </c>
      <c r="G245" s="62">
        <f t="shared" si="490"/>
        <v>1</v>
      </c>
      <c r="H245" s="62">
        <f t="shared" ref="H245:Q245" si="491">IF(isblank(H$1),,IFERROR(vlookup($A245,indirect("'TVC-"&amp;text(month(H$1),"00")&amp;"'!$A:$D"),4,false),1))</f>
        <v>1</v>
      </c>
      <c r="I245" s="62">
        <f t="shared" si="491"/>
        <v>1</v>
      </c>
      <c r="J245" s="62">
        <f t="shared" si="491"/>
        <v>1</v>
      </c>
      <c r="K245" s="62">
        <f t="shared" si="491"/>
        <v>1</v>
      </c>
      <c r="L245" s="62">
        <f t="shared" si="491"/>
        <v>1</v>
      </c>
      <c r="M245" s="62">
        <f t="shared" si="491"/>
        <v>1</v>
      </c>
      <c r="N245" s="62">
        <f t="shared" si="491"/>
        <v>1</v>
      </c>
      <c r="O245" s="62">
        <f t="shared" si="491"/>
        <v>1</v>
      </c>
      <c r="P245" s="62" t="str">
        <f t="shared" si="491"/>
        <v/>
      </c>
      <c r="Q245" s="62" t="str">
        <f t="shared" si="491"/>
        <v/>
      </c>
      <c r="R245" s="62">
        <f t="shared" si="7"/>
        <v>0</v>
      </c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</row>
    <row r="246" hidden="1">
      <c r="A246" s="60">
        <f>IFERROR(__xludf.DUMMYFUNCTION("""COMPUTED_VALUE"""),571.0)</f>
        <v>571</v>
      </c>
      <c r="B246" s="60" t="str">
        <f>IFERROR(__xludf.DUMMYFUNCTION("""COMPUTED_VALUE"""),"Bears, Chicago")</f>
        <v>Bears, Chicago</v>
      </c>
      <c r="C246" s="60" t="str">
        <f>IFERROR(__xludf.DUMMYFUNCTION("""COMPUTED_VALUE"""),"ST")</f>
        <v>ST</v>
      </c>
      <c r="D246" s="60" t="str">
        <f>IFERROR(__xludf.DUMMYFUNCTION("""COMPUTED_VALUE"""),"CHI")</f>
        <v>CHI</v>
      </c>
      <c r="E246" s="62" t="str">
        <f t="shared" si="4"/>
        <v>Chicago Bears</v>
      </c>
      <c r="F246" s="62">
        <f t="shared" ref="F246:G246" si="492">IF(isblank(F$1),,IF(isblank($A246),,IFERROR(vlookup($A246,indirect("'TVC-"&amp;text(month(F$1),"00")&amp;"'!$A:$D"),4,false),1)))</f>
        <v>1</v>
      </c>
      <c r="G246" s="62">
        <f t="shared" si="492"/>
        <v>1</v>
      </c>
      <c r="H246" s="62">
        <f t="shared" ref="H246:Q246" si="493">IF(isblank(H$1),,IFERROR(vlookup($A246,indirect("'TVC-"&amp;text(month(H$1),"00")&amp;"'!$A:$D"),4,false),1))</f>
        <v>1</v>
      </c>
      <c r="I246" s="62">
        <f t="shared" si="493"/>
        <v>1</v>
      </c>
      <c r="J246" s="62">
        <f t="shared" si="493"/>
        <v>1</v>
      </c>
      <c r="K246" s="62">
        <f t="shared" si="493"/>
        <v>1</v>
      </c>
      <c r="L246" s="62">
        <f t="shared" si="493"/>
        <v>1</v>
      </c>
      <c r="M246" s="62">
        <f t="shared" si="493"/>
        <v>1</v>
      </c>
      <c r="N246" s="62">
        <f t="shared" si="493"/>
        <v>1</v>
      </c>
      <c r="O246" s="62">
        <f t="shared" si="493"/>
        <v>1</v>
      </c>
      <c r="P246" s="62" t="str">
        <f t="shared" si="493"/>
        <v/>
      </c>
      <c r="Q246" s="62" t="str">
        <f t="shared" si="493"/>
        <v/>
      </c>
      <c r="R246" s="62">
        <f t="shared" si="7"/>
        <v>0</v>
      </c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</row>
    <row r="247" hidden="1">
      <c r="A247" s="60">
        <f>IFERROR(__xludf.DUMMYFUNCTION("""COMPUTED_VALUE"""),572.0)</f>
        <v>572</v>
      </c>
      <c r="B247" s="60" t="str">
        <f>IFERROR(__xludf.DUMMYFUNCTION("""COMPUTED_VALUE"""),"Lions, Detroit")</f>
        <v>Lions, Detroit</v>
      </c>
      <c r="C247" s="60" t="str">
        <f>IFERROR(__xludf.DUMMYFUNCTION("""COMPUTED_VALUE"""),"ST")</f>
        <v>ST</v>
      </c>
      <c r="D247" s="60" t="str">
        <f>IFERROR(__xludf.DUMMYFUNCTION("""COMPUTED_VALUE"""),"DET")</f>
        <v>DET</v>
      </c>
      <c r="E247" s="62" t="str">
        <f t="shared" si="4"/>
        <v>Detroit Lions</v>
      </c>
      <c r="F247" s="62">
        <f t="shared" ref="F247:G247" si="494">IF(isblank(F$1),,IF(isblank($A247),,IFERROR(vlookup($A247,indirect("'TVC-"&amp;text(month(F$1),"00")&amp;"'!$A:$D"),4,false),1)))</f>
        <v>1</v>
      </c>
      <c r="G247" s="62">
        <f t="shared" si="494"/>
        <v>1</v>
      </c>
      <c r="H247" s="62">
        <f t="shared" ref="H247:Q247" si="495">IF(isblank(H$1),,IFERROR(vlookup($A247,indirect("'TVC-"&amp;text(month(H$1),"00")&amp;"'!$A:$D"),4,false),1))</f>
        <v>1</v>
      </c>
      <c r="I247" s="62">
        <f t="shared" si="495"/>
        <v>1</v>
      </c>
      <c r="J247" s="62">
        <f t="shared" si="495"/>
        <v>1</v>
      </c>
      <c r="K247" s="62">
        <f t="shared" si="495"/>
        <v>1</v>
      </c>
      <c r="L247" s="62">
        <f t="shared" si="495"/>
        <v>1</v>
      </c>
      <c r="M247" s="62">
        <f t="shared" si="495"/>
        <v>1</v>
      </c>
      <c r="N247" s="62">
        <f t="shared" si="495"/>
        <v>1</v>
      </c>
      <c r="O247" s="62">
        <f t="shared" si="495"/>
        <v>1</v>
      </c>
      <c r="P247" s="62" t="str">
        <f t="shared" si="495"/>
        <v/>
      </c>
      <c r="Q247" s="62" t="str">
        <f t="shared" si="495"/>
        <v/>
      </c>
      <c r="R247" s="62">
        <f t="shared" si="7"/>
        <v>0</v>
      </c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</row>
    <row r="248" hidden="1">
      <c r="A248" s="60">
        <f>IFERROR(__xludf.DUMMYFUNCTION("""COMPUTED_VALUE"""),573.0)</f>
        <v>573</v>
      </c>
      <c r="B248" s="60" t="str">
        <f>IFERROR(__xludf.DUMMYFUNCTION("""COMPUTED_VALUE"""),"Packers, Green Bay")</f>
        <v>Packers, Green Bay</v>
      </c>
      <c r="C248" s="60" t="str">
        <f>IFERROR(__xludf.DUMMYFUNCTION("""COMPUTED_VALUE"""),"ST")</f>
        <v>ST</v>
      </c>
      <c r="D248" s="60" t="str">
        <f>IFERROR(__xludf.DUMMYFUNCTION("""COMPUTED_VALUE"""),"GBP")</f>
        <v>GBP</v>
      </c>
      <c r="E248" s="62" t="str">
        <f t="shared" si="4"/>
        <v>Green Bay Packers</v>
      </c>
      <c r="F248" s="62">
        <f t="shared" ref="F248:G248" si="496">IF(isblank(F$1),,IF(isblank($A248),,IFERROR(vlookup($A248,indirect("'TVC-"&amp;text(month(F$1),"00")&amp;"'!$A:$D"),4,false),1)))</f>
        <v>1</v>
      </c>
      <c r="G248" s="62">
        <f t="shared" si="496"/>
        <v>1</v>
      </c>
      <c r="H248" s="62">
        <f t="shared" ref="H248:Q248" si="497">IF(isblank(H$1),,IFERROR(vlookup($A248,indirect("'TVC-"&amp;text(month(H$1),"00")&amp;"'!$A:$D"),4,false),1))</f>
        <v>1</v>
      </c>
      <c r="I248" s="62">
        <f t="shared" si="497"/>
        <v>1</v>
      </c>
      <c r="J248" s="62">
        <f t="shared" si="497"/>
        <v>1</v>
      </c>
      <c r="K248" s="62">
        <f t="shared" si="497"/>
        <v>1</v>
      </c>
      <c r="L248" s="62">
        <f t="shared" si="497"/>
        <v>1</v>
      </c>
      <c r="M248" s="62">
        <f t="shared" si="497"/>
        <v>1</v>
      </c>
      <c r="N248" s="62">
        <f t="shared" si="497"/>
        <v>1</v>
      </c>
      <c r="O248" s="62">
        <f t="shared" si="497"/>
        <v>1</v>
      </c>
      <c r="P248" s="62" t="str">
        <f t="shared" si="497"/>
        <v/>
      </c>
      <c r="Q248" s="62" t="str">
        <f t="shared" si="497"/>
        <v/>
      </c>
      <c r="R248" s="62">
        <f t="shared" si="7"/>
        <v>0</v>
      </c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</row>
    <row r="249" hidden="1">
      <c r="A249" s="60">
        <f>IFERROR(__xludf.DUMMYFUNCTION("""COMPUTED_VALUE"""),574.0)</f>
        <v>574</v>
      </c>
      <c r="B249" s="60" t="str">
        <f>IFERROR(__xludf.DUMMYFUNCTION("""COMPUTED_VALUE"""),"Vikings, Minnesota")</f>
        <v>Vikings, Minnesota</v>
      </c>
      <c r="C249" s="60" t="str">
        <f>IFERROR(__xludf.DUMMYFUNCTION("""COMPUTED_VALUE"""),"ST")</f>
        <v>ST</v>
      </c>
      <c r="D249" s="60" t="str">
        <f>IFERROR(__xludf.DUMMYFUNCTION("""COMPUTED_VALUE"""),"MIN")</f>
        <v>MIN</v>
      </c>
      <c r="E249" s="62" t="str">
        <f t="shared" si="4"/>
        <v>Minnesota Vikings</v>
      </c>
      <c r="F249" s="62">
        <f t="shared" ref="F249:G249" si="498">IF(isblank(F$1),,IF(isblank($A249),,IFERROR(vlookup($A249,indirect("'TVC-"&amp;text(month(F$1),"00")&amp;"'!$A:$D"),4,false),1)))</f>
        <v>1</v>
      </c>
      <c r="G249" s="62">
        <f t="shared" si="498"/>
        <v>1</v>
      </c>
      <c r="H249" s="62">
        <f t="shared" ref="H249:Q249" si="499">IF(isblank(H$1),,IFERROR(vlookup($A249,indirect("'TVC-"&amp;text(month(H$1),"00")&amp;"'!$A:$D"),4,false),1))</f>
        <v>1</v>
      </c>
      <c r="I249" s="62">
        <f t="shared" si="499"/>
        <v>1</v>
      </c>
      <c r="J249" s="62">
        <f t="shared" si="499"/>
        <v>1</v>
      </c>
      <c r="K249" s="62">
        <f t="shared" si="499"/>
        <v>1</v>
      </c>
      <c r="L249" s="62">
        <f t="shared" si="499"/>
        <v>1</v>
      </c>
      <c r="M249" s="62">
        <f t="shared" si="499"/>
        <v>1</v>
      </c>
      <c r="N249" s="62">
        <f t="shared" si="499"/>
        <v>1</v>
      </c>
      <c r="O249" s="62">
        <f t="shared" si="499"/>
        <v>1</v>
      </c>
      <c r="P249" s="62" t="str">
        <f t="shared" si="499"/>
        <v/>
      </c>
      <c r="Q249" s="62" t="str">
        <f t="shared" si="499"/>
        <v/>
      </c>
      <c r="R249" s="62">
        <f t="shared" si="7"/>
        <v>0</v>
      </c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</row>
    <row r="250" hidden="1">
      <c r="A250" s="60">
        <f>IFERROR(__xludf.DUMMYFUNCTION("""COMPUTED_VALUE"""),575.0)</f>
        <v>575</v>
      </c>
      <c r="B250" s="60" t="str">
        <f>IFERROR(__xludf.DUMMYFUNCTION("""COMPUTED_VALUE"""),"Buccaneers, Tampa Bay")</f>
        <v>Buccaneers, Tampa Bay</v>
      </c>
      <c r="C250" s="60" t="str">
        <f>IFERROR(__xludf.DUMMYFUNCTION("""COMPUTED_VALUE"""),"ST")</f>
        <v>ST</v>
      </c>
      <c r="D250" s="60" t="str">
        <f>IFERROR(__xludf.DUMMYFUNCTION("""COMPUTED_VALUE"""),"TBB")</f>
        <v>TBB</v>
      </c>
      <c r="E250" s="62" t="str">
        <f t="shared" si="4"/>
        <v>Tampa Bay Buccaneers</v>
      </c>
      <c r="F250" s="62">
        <f t="shared" ref="F250:G250" si="500">IF(isblank(F$1),,IF(isblank($A250),,IFERROR(vlookup($A250,indirect("'TVC-"&amp;text(month(F$1),"00")&amp;"'!$A:$D"),4,false),1)))</f>
        <v>1</v>
      </c>
      <c r="G250" s="62">
        <f t="shared" si="500"/>
        <v>1</v>
      </c>
      <c r="H250" s="62">
        <f t="shared" ref="H250:Q250" si="501">IF(isblank(H$1),,IFERROR(vlookup($A250,indirect("'TVC-"&amp;text(month(H$1),"00")&amp;"'!$A:$D"),4,false),1))</f>
        <v>1</v>
      </c>
      <c r="I250" s="62">
        <f t="shared" si="501"/>
        <v>1</v>
      </c>
      <c r="J250" s="62">
        <f t="shared" si="501"/>
        <v>1</v>
      </c>
      <c r="K250" s="62">
        <f t="shared" si="501"/>
        <v>1</v>
      </c>
      <c r="L250" s="62">
        <f t="shared" si="501"/>
        <v>1</v>
      </c>
      <c r="M250" s="62">
        <f t="shared" si="501"/>
        <v>1</v>
      </c>
      <c r="N250" s="62">
        <f t="shared" si="501"/>
        <v>1</v>
      </c>
      <c r="O250" s="62">
        <f t="shared" si="501"/>
        <v>1</v>
      </c>
      <c r="P250" s="62" t="str">
        <f t="shared" si="501"/>
        <v/>
      </c>
      <c r="Q250" s="62" t="str">
        <f t="shared" si="501"/>
        <v/>
      </c>
      <c r="R250" s="62">
        <f t="shared" si="7"/>
        <v>0</v>
      </c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</row>
    <row r="251" hidden="1">
      <c r="A251" s="60">
        <f>IFERROR(__xludf.DUMMYFUNCTION("""COMPUTED_VALUE"""),576.0)</f>
        <v>576</v>
      </c>
      <c r="B251" s="60" t="str">
        <f>IFERROR(__xludf.DUMMYFUNCTION("""COMPUTED_VALUE"""),"Falcons, Atlanta")</f>
        <v>Falcons, Atlanta</v>
      </c>
      <c r="C251" s="60" t="str">
        <f>IFERROR(__xludf.DUMMYFUNCTION("""COMPUTED_VALUE"""),"ST")</f>
        <v>ST</v>
      </c>
      <c r="D251" s="60" t="str">
        <f>IFERROR(__xludf.DUMMYFUNCTION("""COMPUTED_VALUE"""),"ATL")</f>
        <v>ATL</v>
      </c>
      <c r="E251" s="62" t="str">
        <f t="shared" si="4"/>
        <v>Atlanta Falcons</v>
      </c>
      <c r="F251" s="62">
        <f t="shared" ref="F251:G251" si="502">IF(isblank(F$1),,IF(isblank($A251),,IFERROR(vlookup($A251,indirect("'TVC-"&amp;text(month(F$1),"00")&amp;"'!$A:$D"),4,false),1)))</f>
        <v>1</v>
      </c>
      <c r="G251" s="62">
        <f t="shared" si="502"/>
        <v>1</v>
      </c>
      <c r="H251" s="62">
        <f t="shared" ref="H251:Q251" si="503">IF(isblank(H$1),,IFERROR(vlookup($A251,indirect("'TVC-"&amp;text(month(H$1),"00")&amp;"'!$A:$D"),4,false),1))</f>
        <v>1</v>
      </c>
      <c r="I251" s="62">
        <f t="shared" si="503"/>
        <v>1</v>
      </c>
      <c r="J251" s="62">
        <f t="shared" si="503"/>
        <v>1</v>
      </c>
      <c r="K251" s="62">
        <f t="shared" si="503"/>
        <v>1</v>
      </c>
      <c r="L251" s="62">
        <f t="shared" si="503"/>
        <v>1</v>
      </c>
      <c r="M251" s="62">
        <f t="shared" si="503"/>
        <v>1</v>
      </c>
      <c r="N251" s="62">
        <f t="shared" si="503"/>
        <v>1</v>
      </c>
      <c r="O251" s="62">
        <f t="shared" si="503"/>
        <v>1</v>
      </c>
      <c r="P251" s="62" t="str">
        <f t="shared" si="503"/>
        <v/>
      </c>
      <c r="Q251" s="62" t="str">
        <f t="shared" si="503"/>
        <v/>
      </c>
      <c r="R251" s="62">
        <f t="shared" si="7"/>
        <v>0</v>
      </c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</row>
    <row r="252" hidden="1">
      <c r="A252" s="60">
        <f>IFERROR(__xludf.DUMMYFUNCTION("""COMPUTED_VALUE"""),577.0)</f>
        <v>577</v>
      </c>
      <c r="B252" s="60" t="str">
        <f>IFERROR(__xludf.DUMMYFUNCTION("""COMPUTED_VALUE"""),"Panthers, Carolina")</f>
        <v>Panthers, Carolina</v>
      </c>
      <c r="C252" s="60" t="str">
        <f>IFERROR(__xludf.DUMMYFUNCTION("""COMPUTED_VALUE"""),"ST")</f>
        <v>ST</v>
      </c>
      <c r="D252" s="60" t="str">
        <f>IFERROR(__xludf.DUMMYFUNCTION("""COMPUTED_VALUE"""),"CAR")</f>
        <v>CAR</v>
      </c>
      <c r="E252" s="62" t="str">
        <f t="shared" si="4"/>
        <v>Carolina Panthers</v>
      </c>
      <c r="F252" s="62">
        <f t="shared" ref="F252:G252" si="504">IF(isblank(F$1),,IF(isblank($A252),,IFERROR(vlookup($A252,indirect("'TVC-"&amp;text(month(F$1),"00")&amp;"'!$A:$D"),4,false),1)))</f>
        <v>1</v>
      </c>
      <c r="G252" s="62">
        <f t="shared" si="504"/>
        <v>1</v>
      </c>
      <c r="H252" s="62">
        <f t="shared" ref="H252:Q252" si="505">IF(isblank(H$1),,IFERROR(vlookup($A252,indirect("'TVC-"&amp;text(month(H$1),"00")&amp;"'!$A:$D"),4,false),1))</f>
        <v>1</v>
      </c>
      <c r="I252" s="62">
        <f t="shared" si="505"/>
        <v>1</v>
      </c>
      <c r="J252" s="62">
        <f t="shared" si="505"/>
        <v>1</v>
      </c>
      <c r="K252" s="62">
        <f t="shared" si="505"/>
        <v>1</v>
      </c>
      <c r="L252" s="62">
        <f t="shared" si="505"/>
        <v>1</v>
      </c>
      <c r="M252" s="62">
        <f t="shared" si="505"/>
        <v>1</v>
      </c>
      <c r="N252" s="62">
        <f t="shared" si="505"/>
        <v>1</v>
      </c>
      <c r="O252" s="62">
        <f t="shared" si="505"/>
        <v>1</v>
      </c>
      <c r="P252" s="62" t="str">
        <f t="shared" si="505"/>
        <v/>
      </c>
      <c r="Q252" s="62" t="str">
        <f t="shared" si="505"/>
        <v/>
      </c>
      <c r="R252" s="62">
        <f t="shared" si="7"/>
        <v>0</v>
      </c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</row>
    <row r="253" hidden="1">
      <c r="A253" s="60">
        <f>IFERROR(__xludf.DUMMYFUNCTION("""COMPUTED_VALUE"""),578.0)</f>
        <v>578</v>
      </c>
      <c r="B253" s="60" t="str">
        <f>IFERROR(__xludf.DUMMYFUNCTION("""COMPUTED_VALUE"""),"Rams, Los Angeles")</f>
        <v>Rams, Los Angeles</v>
      </c>
      <c r="C253" s="60" t="str">
        <f>IFERROR(__xludf.DUMMYFUNCTION("""COMPUTED_VALUE"""),"ST")</f>
        <v>ST</v>
      </c>
      <c r="D253" s="60" t="str">
        <f>IFERROR(__xludf.DUMMYFUNCTION("""COMPUTED_VALUE"""),"LAR")</f>
        <v>LAR</v>
      </c>
      <c r="E253" s="62" t="str">
        <f t="shared" si="4"/>
        <v>Los Angeles Rams</v>
      </c>
      <c r="F253" s="62">
        <f t="shared" ref="F253:G253" si="506">IF(isblank(F$1),,IF(isblank($A253),,IFERROR(vlookup($A253,indirect("'TVC-"&amp;text(month(F$1),"00")&amp;"'!$A:$D"),4,false),1)))</f>
        <v>1</v>
      </c>
      <c r="G253" s="62">
        <f t="shared" si="506"/>
        <v>1</v>
      </c>
      <c r="H253" s="62">
        <f t="shared" ref="H253:Q253" si="507">IF(isblank(H$1),,IFERROR(vlookup($A253,indirect("'TVC-"&amp;text(month(H$1),"00")&amp;"'!$A:$D"),4,false),1))</f>
        <v>1</v>
      </c>
      <c r="I253" s="62">
        <f t="shared" si="507"/>
        <v>1</v>
      </c>
      <c r="J253" s="62">
        <f t="shared" si="507"/>
        <v>1</v>
      </c>
      <c r="K253" s="62">
        <f t="shared" si="507"/>
        <v>1</v>
      </c>
      <c r="L253" s="62">
        <f t="shared" si="507"/>
        <v>1</v>
      </c>
      <c r="M253" s="62">
        <f t="shared" si="507"/>
        <v>1</v>
      </c>
      <c r="N253" s="62">
        <f t="shared" si="507"/>
        <v>1</v>
      </c>
      <c r="O253" s="62">
        <f t="shared" si="507"/>
        <v>1</v>
      </c>
      <c r="P253" s="62" t="str">
        <f t="shared" si="507"/>
        <v/>
      </c>
      <c r="Q253" s="62" t="str">
        <f t="shared" si="507"/>
        <v/>
      </c>
      <c r="R253" s="62">
        <f t="shared" si="7"/>
        <v>0</v>
      </c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</row>
    <row r="254" hidden="1">
      <c r="A254" s="60">
        <f>IFERROR(__xludf.DUMMYFUNCTION("""COMPUTED_VALUE"""),579.0)</f>
        <v>579</v>
      </c>
      <c r="B254" s="60" t="str">
        <f>IFERROR(__xludf.DUMMYFUNCTION("""COMPUTED_VALUE"""),"Saints, New Orleans")</f>
        <v>Saints, New Orleans</v>
      </c>
      <c r="C254" s="60" t="str">
        <f>IFERROR(__xludf.DUMMYFUNCTION("""COMPUTED_VALUE"""),"ST")</f>
        <v>ST</v>
      </c>
      <c r="D254" s="60" t="str">
        <f>IFERROR(__xludf.DUMMYFUNCTION("""COMPUTED_VALUE"""),"NOS")</f>
        <v>NOS</v>
      </c>
      <c r="E254" s="62" t="str">
        <f t="shared" si="4"/>
        <v>New Orleans Saints</v>
      </c>
      <c r="F254" s="62">
        <f t="shared" ref="F254:G254" si="508">IF(isblank(F$1),,IF(isblank($A254),,IFERROR(vlookup($A254,indirect("'TVC-"&amp;text(month(F$1),"00")&amp;"'!$A:$D"),4,false),1)))</f>
        <v>1</v>
      </c>
      <c r="G254" s="62">
        <f t="shared" si="508"/>
        <v>1</v>
      </c>
      <c r="H254" s="62">
        <f t="shared" ref="H254:Q254" si="509">IF(isblank(H$1),,IFERROR(vlookup($A254,indirect("'TVC-"&amp;text(month(H$1),"00")&amp;"'!$A:$D"),4,false),1))</f>
        <v>1</v>
      </c>
      <c r="I254" s="62">
        <f t="shared" si="509"/>
        <v>1</v>
      </c>
      <c r="J254" s="62">
        <f t="shared" si="509"/>
        <v>1</v>
      </c>
      <c r="K254" s="62">
        <f t="shared" si="509"/>
        <v>1</v>
      </c>
      <c r="L254" s="62">
        <f t="shared" si="509"/>
        <v>1</v>
      </c>
      <c r="M254" s="62">
        <f t="shared" si="509"/>
        <v>1</v>
      </c>
      <c r="N254" s="62">
        <f t="shared" si="509"/>
        <v>1</v>
      </c>
      <c r="O254" s="62">
        <f t="shared" si="509"/>
        <v>1</v>
      </c>
      <c r="P254" s="62" t="str">
        <f t="shared" si="509"/>
        <v/>
      </c>
      <c r="Q254" s="62" t="str">
        <f t="shared" si="509"/>
        <v/>
      </c>
      <c r="R254" s="62">
        <f t="shared" si="7"/>
        <v>0</v>
      </c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</row>
    <row r="255" hidden="1">
      <c r="A255" s="60">
        <f>IFERROR(__xludf.DUMMYFUNCTION("""COMPUTED_VALUE"""),580.0)</f>
        <v>580</v>
      </c>
      <c r="B255" s="60" t="str">
        <f>IFERROR(__xludf.DUMMYFUNCTION("""COMPUTED_VALUE"""),"49ers, San Francisco")</f>
        <v>49ers, San Francisco</v>
      </c>
      <c r="C255" s="60" t="str">
        <f>IFERROR(__xludf.DUMMYFUNCTION("""COMPUTED_VALUE"""),"ST")</f>
        <v>ST</v>
      </c>
      <c r="D255" s="60" t="str">
        <f>IFERROR(__xludf.DUMMYFUNCTION("""COMPUTED_VALUE"""),"SFO")</f>
        <v>SFO</v>
      </c>
      <c r="E255" s="62" t="str">
        <f t="shared" si="4"/>
        <v>San Francisco 49ers</v>
      </c>
      <c r="F255" s="62">
        <f t="shared" ref="F255:G255" si="510">IF(isblank(F$1),,IF(isblank($A255),,IFERROR(vlookup($A255,indirect("'TVC-"&amp;text(month(F$1),"00")&amp;"'!$A:$D"),4,false),1)))</f>
        <v>1</v>
      </c>
      <c r="G255" s="62">
        <f t="shared" si="510"/>
        <v>1</v>
      </c>
      <c r="H255" s="62">
        <f t="shared" ref="H255:Q255" si="511">IF(isblank(H$1),,IFERROR(vlookup($A255,indirect("'TVC-"&amp;text(month(H$1),"00")&amp;"'!$A:$D"),4,false),1))</f>
        <v>1</v>
      </c>
      <c r="I255" s="62">
        <f t="shared" si="511"/>
        <v>1</v>
      </c>
      <c r="J255" s="62">
        <f t="shared" si="511"/>
        <v>1</v>
      </c>
      <c r="K255" s="62">
        <f t="shared" si="511"/>
        <v>1</v>
      </c>
      <c r="L255" s="62">
        <f t="shared" si="511"/>
        <v>1</v>
      </c>
      <c r="M255" s="62">
        <f t="shared" si="511"/>
        <v>1</v>
      </c>
      <c r="N255" s="62">
        <f t="shared" si="511"/>
        <v>1</v>
      </c>
      <c r="O255" s="62">
        <f t="shared" si="511"/>
        <v>1</v>
      </c>
      <c r="P255" s="62" t="str">
        <f t="shared" si="511"/>
        <v/>
      </c>
      <c r="Q255" s="62" t="str">
        <f t="shared" si="511"/>
        <v/>
      </c>
      <c r="R255" s="62">
        <f t="shared" si="7"/>
        <v>0</v>
      </c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</row>
    <row r="256" hidden="1">
      <c r="A256" s="60">
        <f>IFERROR(__xludf.DUMMYFUNCTION("""COMPUTED_VALUE"""),581.0)</f>
        <v>581</v>
      </c>
      <c r="B256" s="60" t="str">
        <f>IFERROR(__xludf.DUMMYFUNCTION("""COMPUTED_VALUE"""),"Ravens, Baltimore")</f>
        <v>Ravens, Baltimore</v>
      </c>
      <c r="C256" s="60" t="str">
        <f>IFERROR(__xludf.DUMMYFUNCTION("""COMPUTED_VALUE"""),"ST")</f>
        <v>ST</v>
      </c>
      <c r="D256" s="60" t="str">
        <f>IFERROR(__xludf.DUMMYFUNCTION("""COMPUTED_VALUE"""),"BAL")</f>
        <v>BAL</v>
      </c>
      <c r="E256" s="62" t="str">
        <f t="shared" si="4"/>
        <v>Baltimore Ravens</v>
      </c>
      <c r="F256" s="62">
        <f t="shared" ref="F256:G256" si="512">IF(isblank(F$1),,IF(isblank($A256),,IFERROR(vlookup($A256,indirect("'TVC-"&amp;text(month(F$1),"00")&amp;"'!$A:$D"),4,false),1)))</f>
        <v>1</v>
      </c>
      <c r="G256" s="62">
        <f t="shared" si="512"/>
        <v>1</v>
      </c>
      <c r="H256" s="62">
        <f t="shared" ref="H256:Q256" si="513">IF(isblank(H$1),,IFERROR(vlookup($A256,indirect("'TVC-"&amp;text(month(H$1),"00")&amp;"'!$A:$D"),4,false),1))</f>
        <v>1</v>
      </c>
      <c r="I256" s="62">
        <f t="shared" si="513"/>
        <v>1</v>
      </c>
      <c r="J256" s="62">
        <f t="shared" si="513"/>
        <v>1</v>
      </c>
      <c r="K256" s="62">
        <f t="shared" si="513"/>
        <v>1</v>
      </c>
      <c r="L256" s="62">
        <f t="shared" si="513"/>
        <v>1</v>
      </c>
      <c r="M256" s="62">
        <f t="shared" si="513"/>
        <v>1</v>
      </c>
      <c r="N256" s="62">
        <f t="shared" si="513"/>
        <v>1</v>
      </c>
      <c r="O256" s="62">
        <f t="shared" si="513"/>
        <v>1</v>
      </c>
      <c r="P256" s="62" t="str">
        <f t="shared" si="513"/>
        <v/>
      </c>
      <c r="Q256" s="62" t="str">
        <f t="shared" si="513"/>
        <v/>
      </c>
      <c r="R256" s="62">
        <f t="shared" si="7"/>
        <v>0</v>
      </c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</row>
    <row r="257" hidden="1">
      <c r="A257" s="60">
        <f>IFERROR(__xludf.DUMMYFUNCTION("""COMPUTED_VALUE"""),582.0)</f>
        <v>582</v>
      </c>
      <c r="B257" s="60" t="str">
        <f>IFERROR(__xludf.DUMMYFUNCTION("""COMPUTED_VALUE"""),"Texans, Houston")</f>
        <v>Texans, Houston</v>
      </c>
      <c r="C257" s="60" t="str">
        <f>IFERROR(__xludf.DUMMYFUNCTION("""COMPUTED_VALUE"""),"ST")</f>
        <v>ST</v>
      </c>
      <c r="D257" s="60" t="str">
        <f>IFERROR(__xludf.DUMMYFUNCTION("""COMPUTED_VALUE"""),"HOU")</f>
        <v>HOU</v>
      </c>
      <c r="E257" s="62" t="str">
        <f t="shared" si="4"/>
        <v>Houston Texans</v>
      </c>
      <c r="F257" s="62">
        <f t="shared" ref="F257:G257" si="514">IF(isblank(F$1),,IF(isblank($A257),,IFERROR(vlookup($A257,indirect("'TVC-"&amp;text(month(F$1),"00")&amp;"'!$A:$D"),4,false),1)))</f>
        <v>1</v>
      </c>
      <c r="G257" s="62">
        <f t="shared" si="514"/>
        <v>1</v>
      </c>
      <c r="H257" s="62">
        <f t="shared" ref="H257:Q257" si="515">IF(isblank(H$1),,IFERROR(vlookup($A257,indirect("'TVC-"&amp;text(month(H$1),"00")&amp;"'!$A:$D"),4,false),1))</f>
        <v>1</v>
      </c>
      <c r="I257" s="62">
        <f t="shared" si="515"/>
        <v>1</v>
      </c>
      <c r="J257" s="62">
        <f t="shared" si="515"/>
        <v>1</v>
      </c>
      <c r="K257" s="62">
        <f t="shared" si="515"/>
        <v>1</v>
      </c>
      <c r="L257" s="62">
        <f t="shared" si="515"/>
        <v>1</v>
      </c>
      <c r="M257" s="62">
        <f t="shared" si="515"/>
        <v>1</v>
      </c>
      <c r="N257" s="62">
        <f t="shared" si="515"/>
        <v>1</v>
      </c>
      <c r="O257" s="62">
        <f t="shared" si="515"/>
        <v>1</v>
      </c>
      <c r="P257" s="62" t="str">
        <f t="shared" si="515"/>
        <v/>
      </c>
      <c r="Q257" s="62" t="str">
        <f t="shared" si="515"/>
        <v/>
      </c>
      <c r="R257" s="62">
        <f t="shared" si="7"/>
        <v>0</v>
      </c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</row>
    <row r="258" hidden="1">
      <c r="A258" s="60">
        <f>IFERROR(__xludf.DUMMYFUNCTION("""COMPUTED_VALUE"""),601.0)</f>
        <v>601</v>
      </c>
      <c r="B258" s="60" t="str">
        <f>IFERROR(__xludf.DUMMYFUNCTION("""COMPUTED_VALUE"""),"Bills, Buffalo")</f>
        <v>Bills, Buffalo</v>
      </c>
      <c r="C258" s="60" t="str">
        <f>IFERROR(__xludf.DUMMYFUNCTION("""COMPUTED_VALUE"""),"Off")</f>
        <v>Off</v>
      </c>
      <c r="D258" s="60" t="str">
        <f>IFERROR(__xludf.DUMMYFUNCTION("""COMPUTED_VALUE"""),"BUF")</f>
        <v>BUF</v>
      </c>
      <c r="E258" s="62" t="str">
        <f t="shared" si="4"/>
        <v>Buffalo Bills</v>
      </c>
      <c r="F258" s="62">
        <f t="shared" ref="F258:G258" si="516">IF(isblank(F$1),,IF(isblank($A258),,IFERROR(vlookup($A258,indirect("'TVC-"&amp;text(month(F$1),"00")&amp;"'!$A:$D"),4,false),1)))</f>
        <v>1</v>
      </c>
      <c r="G258" s="62">
        <f t="shared" si="516"/>
        <v>1</v>
      </c>
      <c r="H258" s="62">
        <f t="shared" ref="H258:Q258" si="517">IF(isblank(H$1),,IFERROR(vlookup($A258,indirect("'TVC-"&amp;text(month(H$1),"00")&amp;"'!$A:$D"),4,false),1))</f>
        <v>1</v>
      </c>
      <c r="I258" s="62">
        <f t="shared" si="517"/>
        <v>1</v>
      </c>
      <c r="J258" s="62">
        <f t="shared" si="517"/>
        <v>1</v>
      </c>
      <c r="K258" s="62">
        <f t="shared" si="517"/>
        <v>1</v>
      </c>
      <c r="L258" s="62">
        <f t="shared" si="517"/>
        <v>1</v>
      </c>
      <c r="M258" s="62">
        <f t="shared" si="517"/>
        <v>1</v>
      </c>
      <c r="N258" s="62">
        <f t="shared" si="517"/>
        <v>1</v>
      </c>
      <c r="O258" s="62">
        <f t="shared" si="517"/>
        <v>1</v>
      </c>
      <c r="P258" s="62" t="str">
        <f t="shared" si="517"/>
        <v/>
      </c>
      <c r="Q258" s="62" t="str">
        <f t="shared" si="517"/>
        <v/>
      </c>
      <c r="R258" s="62">
        <f t="shared" si="7"/>
        <v>0</v>
      </c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</row>
    <row r="259" hidden="1">
      <c r="A259" s="60">
        <f>IFERROR(__xludf.DUMMYFUNCTION("""COMPUTED_VALUE"""),602.0)</f>
        <v>602</v>
      </c>
      <c r="B259" s="60" t="str">
        <f>IFERROR(__xludf.DUMMYFUNCTION("""COMPUTED_VALUE"""),"Colts, Indianapolis")</f>
        <v>Colts, Indianapolis</v>
      </c>
      <c r="C259" s="60" t="str">
        <f>IFERROR(__xludf.DUMMYFUNCTION("""COMPUTED_VALUE"""),"Off")</f>
        <v>Off</v>
      </c>
      <c r="D259" s="60" t="str">
        <f>IFERROR(__xludf.DUMMYFUNCTION("""COMPUTED_VALUE"""),"IND")</f>
        <v>IND</v>
      </c>
      <c r="E259" s="62" t="str">
        <f t="shared" si="4"/>
        <v>Indianapolis Colts</v>
      </c>
      <c r="F259" s="62">
        <f t="shared" ref="F259:G259" si="518">IF(isblank(F$1),,IF(isblank($A259),,IFERROR(vlookup($A259,indirect("'TVC-"&amp;text(month(F$1),"00")&amp;"'!$A:$D"),4,false),1)))</f>
        <v>1</v>
      </c>
      <c r="G259" s="62">
        <f t="shared" si="518"/>
        <v>1</v>
      </c>
      <c r="H259" s="62">
        <f t="shared" ref="H259:Q259" si="519">IF(isblank(H$1),,IFERROR(vlookup($A259,indirect("'TVC-"&amp;text(month(H$1),"00")&amp;"'!$A:$D"),4,false),1))</f>
        <v>1</v>
      </c>
      <c r="I259" s="62">
        <f t="shared" si="519"/>
        <v>1</v>
      </c>
      <c r="J259" s="62">
        <f t="shared" si="519"/>
        <v>1</v>
      </c>
      <c r="K259" s="62">
        <f t="shared" si="519"/>
        <v>1</v>
      </c>
      <c r="L259" s="62">
        <f t="shared" si="519"/>
        <v>1</v>
      </c>
      <c r="M259" s="62">
        <f t="shared" si="519"/>
        <v>1</v>
      </c>
      <c r="N259" s="62">
        <f t="shared" si="519"/>
        <v>1</v>
      </c>
      <c r="O259" s="62">
        <f t="shared" si="519"/>
        <v>1</v>
      </c>
      <c r="P259" s="62" t="str">
        <f t="shared" si="519"/>
        <v/>
      </c>
      <c r="Q259" s="62" t="str">
        <f t="shared" si="519"/>
        <v/>
      </c>
      <c r="R259" s="62">
        <f t="shared" si="7"/>
        <v>0</v>
      </c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</row>
    <row r="260" hidden="1">
      <c r="A260" s="60">
        <f>IFERROR(__xludf.DUMMYFUNCTION("""COMPUTED_VALUE"""),603.0)</f>
        <v>603</v>
      </c>
      <c r="B260" s="60" t="str">
        <f>IFERROR(__xludf.DUMMYFUNCTION("""COMPUTED_VALUE"""),"Dolphins, Miami")</f>
        <v>Dolphins, Miami</v>
      </c>
      <c r="C260" s="60" t="str">
        <f>IFERROR(__xludf.DUMMYFUNCTION("""COMPUTED_VALUE"""),"Off")</f>
        <v>Off</v>
      </c>
      <c r="D260" s="60" t="str">
        <f>IFERROR(__xludf.DUMMYFUNCTION("""COMPUTED_VALUE"""),"MIA")</f>
        <v>MIA</v>
      </c>
      <c r="E260" s="62" t="str">
        <f t="shared" si="4"/>
        <v>Miami Dolphins</v>
      </c>
      <c r="F260" s="62">
        <f t="shared" ref="F260:G260" si="520">IF(isblank(F$1),,IF(isblank($A260),,IFERROR(vlookup($A260,indirect("'TVC-"&amp;text(month(F$1),"00")&amp;"'!$A:$D"),4,false),1)))</f>
        <v>1</v>
      </c>
      <c r="G260" s="62">
        <f t="shared" si="520"/>
        <v>1</v>
      </c>
      <c r="H260" s="62">
        <f t="shared" ref="H260:Q260" si="521">IF(isblank(H$1),,IFERROR(vlookup($A260,indirect("'TVC-"&amp;text(month(H$1),"00")&amp;"'!$A:$D"),4,false),1))</f>
        <v>1</v>
      </c>
      <c r="I260" s="62">
        <f t="shared" si="521"/>
        <v>1</v>
      </c>
      <c r="J260" s="62">
        <f t="shared" si="521"/>
        <v>1</v>
      </c>
      <c r="K260" s="62">
        <f t="shared" si="521"/>
        <v>1</v>
      </c>
      <c r="L260" s="62">
        <f t="shared" si="521"/>
        <v>1</v>
      </c>
      <c r="M260" s="62">
        <f t="shared" si="521"/>
        <v>1</v>
      </c>
      <c r="N260" s="62">
        <f t="shared" si="521"/>
        <v>1</v>
      </c>
      <c r="O260" s="62">
        <f t="shared" si="521"/>
        <v>1</v>
      </c>
      <c r="P260" s="62" t="str">
        <f t="shared" si="521"/>
        <v/>
      </c>
      <c r="Q260" s="62" t="str">
        <f t="shared" si="521"/>
        <v/>
      </c>
      <c r="R260" s="62">
        <f t="shared" si="7"/>
        <v>0</v>
      </c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</row>
    <row r="261" hidden="1">
      <c r="A261" s="60">
        <f>IFERROR(__xludf.DUMMYFUNCTION("""COMPUTED_VALUE"""),604.0)</f>
        <v>604</v>
      </c>
      <c r="B261" s="60" t="str">
        <f>IFERROR(__xludf.DUMMYFUNCTION("""COMPUTED_VALUE"""),"Patriots, New England")</f>
        <v>Patriots, New England</v>
      </c>
      <c r="C261" s="60" t="str">
        <f>IFERROR(__xludf.DUMMYFUNCTION("""COMPUTED_VALUE"""),"Off")</f>
        <v>Off</v>
      </c>
      <c r="D261" s="60" t="str">
        <f>IFERROR(__xludf.DUMMYFUNCTION("""COMPUTED_VALUE"""),"NEP")</f>
        <v>NEP</v>
      </c>
      <c r="E261" s="62" t="str">
        <f t="shared" si="4"/>
        <v>New England Patriots</v>
      </c>
      <c r="F261" s="62">
        <f t="shared" ref="F261:G261" si="522">IF(isblank(F$1),,IF(isblank($A261),,IFERROR(vlookup($A261,indirect("'TVC-"&amp;text(month(F$1),"00")&amp;"'!$A:$D"),4,false),1)))</f>
        <v>1</v>
      </c>
      <c r="G261" s="62">
        <f t="shared" si="522"/>
        <v>1</v>
      </c>
      <c r="H261" s="62">
        <f t="shared" ref="H261:Q261" si="523">IF(isblank(H$1),,IFERROR(vlookup($A261,indirect("'TVC-"&amp;text(month(H$1),"00")&amp;"'!$A:$D"),4,false),1))</f>
        <v>1</v>
      </c>
      <c r="I261" s="62">
        <f t="shared" si="523"/>
        <v>1</v>
      </c>
      <c r="J261" s="62">
        <f t="shared" si="523"/>
        <v>1</v>
      </c>
      <c r="K261" s="62">
        <f t="shared" si="523"/>
        <v>1</v>
      </c>
      <c r="L261" s="62">
        <f t="shared" si="523"/>
        <v>1</v>
      </c>
      <c r="M261" s="62">
        <f t="shared" si="523"/>
        <v>1</v>
      </c>
      <c r="N261" s="62">
        <f t="shared" si="523"/>
        <v>1</v>
      </c>
      <c r="O261" s="62">
        <f t="shared" si="523"/>
        <v>1</v>
      </c>
      <c r="P261" s="62" t="str">
        <f t="shared" si="523"/>
        <v/>
      </c>
      <c r="Q261" s="62" t="str">
        <f t="shared" si="523"/>
        <v/>
      </c>
      <c r="R261" s="62">
        <f t="shared" si="7"/>
        <v>0</v>
      </c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</row>
    <row r="262" hidden="1">
      <c r="A262" s="60">
        <f>IFERROR(__xludf.DUMMYFUNCTION("""COMPUTED_VALUE"""),605.0)</f>
        <v>605</v>
      </c>
      <c r="B262" s="60" t="str">
        <f>IFERROR(__xludf.DUMMYFUNCTION("""COMPUTED_VALUE"""),"Jets, New York")</f>
        <v>Jets, New York</v>
      </c>
      <c r="C262" s="60" t="str">
        <f>IFERROR(__xludf.DUMMYFUNCTION("""COMPUTED_VALUE"""),"Off")</f>
        <v>Off</v>
      </c>
      <c r="D262" s="60" t="str">
        <f>IFERROR(__xludf.DUMMYFUNCTION("""COMPUTED_VALUE"""),"NYJ")</f>
        <v>NYJ</v>
      </c>
      <c r="E262" s="62" t="str">
        <f t="shared" si="4"/>
        <v>New York Jets</v>
      </c>
      <c r="F262" s="62">
        <f t="shared" ref="F262:G262" si="524">IF(isblank(F$1),,IF(isblank($A262),,IFERROR(vlookup($A262,indirect("'TVC-"&amp;text(month(F$1),"00")&amp;"'!$A:$D"),4,false),1)))</f>
        <v>1</v>
      </c>
      <c r="G262" s="62">
        <f t="shared" si="524"/>
        <v>1</v>
      </c>
      <c r="H262" s="62">
        <f t="shared" ref="H262:Q262" si="525">IF(isblank(H$1),,IFERROR(vlookup($A262,indirect("'TVC-"&amp;text(month(H$1),"00")&amp;"'!$A:$D"),4,false),1))</f>
        <v>1</v>
      </c>
      <c r="I262" s="62">
        <f t="shared" si="525"/>
        <v>1</v>
      </c>
      <c r="J262" s="62">
        <f t="shared" si="525"/>
        <v>1</v>
      </c>
      <c r="K262" s="62">
        <f t="shared" si="525"/>
        <v>1</v>
      </c>
      <c r="L262" s="62">
        <f t="shared" si="525"/>
        <v>1</v>
      </c>
      <c r="M262" s="62">
        <f t="shared" si="525"/>
        <v>1</v>
      </c>
      <c r="N262" s="62">
        <f t="shared" si="525"/>
        <v>1</v>
      </c>
      <c r="O262" s="62">
        <f t="shared" si="525"/>
        <v>1</v>
      </c>
      <c r="P262" s="62" t="str">
        <f t="shared" si="525"/>
        <v/>
      </c>
      <c r="Q262" s="62" t="str">
        <f t="shared" si="525"/>
        <v/>
      </c>
      <c r="R262" s="62">
        <f t="shared" si="7"/>
        <v>0</v>
      </c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</row>
    <row r="263" hidden="1">
      <c r="A263" s="60">
        <f>IFERROR(__xludf.DUMMYFUNCTION("""COMPUTED_VALUE"""),606.0)</f>
        <v>606</v>
      </c>
      <c r="B263" s="60" t="str">
        <f>IFERROR(__xludf.DUMMYFUNCTION("""COMPUTED_VALUE"""),"Bengals, Cincinnati")</f>
        <v>Bengals, Cincinnati</v>
      </c>
      <c r="C263" s="60" t="str">
        <f>IFERROR(__xludf.DUMMYFUNCTION("""COMPUTED_VALUE"""),"Off")</f>
        <v>Off</v>
      </c>
      <c r="D263" s="60" t="str">
        <f>IFERROR(__xludf.DUMMYFUNCTION("""COMPUTED_VALUE"""),"CIN")</f>
        <v>CIN</v>
      </c>
      <c r="E263" s="62" t="str">
        <f t="shared" si="4"/>
        <v>Cincinnati Bengals</v>
      </c>
      <c r="F263" s="62">
        <f t="shared" ref="F263:G263" si="526">IF(isblank(F$1),,IF(isblank($A263),,IFERROR(vlookup($A263,indirect("'TVC-"&amp;text(month(F$1),"00")&amp;"'!$A:$D"),4,false),1)))</f>
        <v>1</v>
      </c>
      <c r="G263" s="62">
        <f t="shared" si="526"/>
        <v>1</v>
      </c>
      <c r="H263" s="62">
        <f t="shared" ref="H263:Q263" si="527">IF(isblank(H$1),,IFERROR(vlookup($A263,indirect("'TVC-"&amp;text(month(H$1),"00")&amp;"'!$A:$D"),4,false),1))</f>
        <v>1</v>
      </c>
      <c r="I263" s="62">
        <f t="shared" si="527"/>
        <v>1</v>
      </c>
      <c r="J263" s="62">
        <f t="shared" si="527"/>
        <v>1</v>
      </c>
      <c r="K263" s="62">
        <f t="shared" si="527"/>
        <v>1</v>
      </c>
      <c r="L263" s="62">
        <f t="shared" si="527"/>
        <v>1</v>
      </c>
      <c r="M263" s="62">
        <f t="shared" si="527"/>
        <v>1</v>
      </c>
      <c r="N263" s="62">
        <f t="shared" si="527"/>
        <v>1</v>
      </c>
      <c r="O263" s="62">
        <f t="shared" si="527"/>
        <v>1</v>
      </c>
      <c r="P263" s="62" t="str">
        <f t="shared" si="527"/>
        <v/>
      </c>
      <c r="Q263" s="62" t="str">
        <f t="shared" si="527"/>
        <v/>
      </c>
      <c r="R263" s="62">
        <f t="shared" si="7"/>
        <v>0</v>
      </c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</row>
    <row r="264" hidden="1">
      <c r="A264" s="60">
        <f>IFERROR(__xludf.DUMMYFUNCTION("""COMPUTED_VALUE"""),607.0)</f>
        <v>607</v>
      </c>
      <c r="B264" s="60" t="str">
        <f>IFERROR(__xludf.DUMMYFUNCTION("""COMPUTED_VALUE"""),"Browns, Cleveland")</f>
        <v>Browns, Cleveland</v>
      </c>
      <c r="C264" s="60" t="str">
        <f>IFERROR(__xludf.DUMMYFUNCTION("""COMPUTED_VALUE"""),"Off")</f>
        <v>Off</v>
      </c>
      <c r="D264" s="60" t="str">
        <f>IFERROR(__xludf.DUMMYFUNCTION("""COMPUTED_VALUE"""),"CLE")</f>
        <v>CLE</v>
      </c>
      <c r="E264" s="62" t="str">
        <f t="shared" si="4"/>
        <v>Cleveland Browns</v>
      </c>
      <c r="F264" s="62">
        <f t="shared" ref="F264:G264" si="528">IF(isblank(F$1),,IF(isblank($A264),,IFERROR(vlookup($A264,indirect("'TVC-"&amp;text(month(F$1),"00")&amp;"'!$A:$D"),4,false),1)))</f>
        <v>1</v>
      </c>
      <c r="G264" s="62">
        <f t="shared" si="528"/>
        <v>1</v>
      </c>
      <c r="H264" s="62">
        <f t="shared" ref="H264:Q264" si="529">IF(isblank(H$1),,IFERROR(vlookup($A264,indirect("'TVC-"&amp;text(month(H$1),"00")&amp;"'!$A:$D"),4,false),1))</f>
        <v>1</v>
      </c>
      <c r="I264" s="62">
        <f t="shared" si="529"/>
        <v>1</v>
      </c>
      <c r="J264" s="62">
        <f t="shared" si="529"/>
        <v>1</v>
      </c>
      <c r="K264" s="62">
        <f t="shared" si="529"/>
        <v>1</v>
      </c>
      <c r="L264" s="62">
        <f t="shared" si="529"/>
        <v>1</v>
      </c>
      <c r="M264" s="62">
        <f t="shared" si="529"/>
        <v>1</v>
      </c>
      <c r="N264" s="62">
        <f t="shared" si="529"/>
        <v>1</v>
      </c>
      <c r="O264" s="62">
        <f t="shared" si="529"/>
        <v>1</v>
      </c>
      <c r="P264" s="62" t="str">
        <f t="shared" si="529"/>
        <v/>
      </c>
      <c r="Q264" s="62" t="str">
        <f t="shared" si="529"/>
        <v/>
      </c>
      <c r="R264" s="62">
        <f t="shared" si="7"/>
        <v>0</v>
      </c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</row>
    <row r="265" hidden="1">
      <c r="A265" s="60">
        <f>IFERROR(__xludf.DUMMYFUNCTION("""COMPUTED_VALUE"""),608.0)</f>
        <v>608</v>
      </c>
      <c r="B265" s="60" t="str">
        <f>IFERROR(__xludf.DUMMYFUNCTION("""COMPUTED_VALUE"""),"Titans, Tennessee")</f>
        <v>Titans, Tennessee</v>
      </c>
      <c r="C265" s="60" t="str">
        <f>IFERROR(__xludf.DUMMYFUNCTION("""COMPUTED_VALUE"""),"Off")</f>
        <v>Off</v>
      </c>
      <c r="D265" s="60" t="str">
        <f>IFERROR(__xludf.DUMMYFUNCTION("""COMPUTED_VALUE"""),"TEN")</f>
        <v>TEN</v>
      </c>
      <c r="E265" s="62" t="str">
        <f t="shared" si="4"/>
        <v>Tennessee Titans</v>
      </c>
      <c r="F265" s="62">
        <f t="shared" ref="F265:G265" si="530">IF(isblank(F$1),,IF(isblank($A265),,IFERROR(vlookup($A265,indirect("'TVC-"&amp;text(month(F$1),"00")&amp;"'!$A:$D"),4,false),1)))</f>
        <v>1</v>
      </c>
      <c r="G265" s="62">
        <f t="shared" si="530"/>
        <v>1</v>
      </c>
      <c r="H265" s="62">
        <f t="shared" ref="H265:Q265" si="531">IF(isblank(H$1),,IFERROR(vlookup($A265,indirect("'TVC-"&amp;text(month(H$1),"00")&amp;"'!$A:$D"),4,false),1))</f>
        <v>1</v>
      </c>
      <c r="I265" s="62">
        <f t="shared" si="531"/>
        <v>1</v>
      </c>
      <c r="J265" s="62">
        <f t="shared" si="531"/>
        <v>1</v>
      </c>
      <c r="K265" s="62">
        <f t="shared" si="531"/>
        <v>1</v>
      </c>
      <c r="L265" s="62">
        <f t="shared" si="531"/>
        <v>1</v>
      </c>
      <c r="M265" s="62">
        <f t="shared" si="531"/>
        <v>1</v>
      </c>
      <c r="N265" s="62">
        <f t="shared" si="531"/>
        <v>1</v>
      </c>
      <c r="O265" s="62">
        <f t="shared" si="531"/>
        <v>1</v>
      </c>
      <c r="P265" s="62" t="str">
        <f t="shared" si="531"/>
        <v/>
      </c>
      <c r="Q265" s="62" t="str">
        <f t="shared" si="531"/>
        <v/>
      </c>
      <c r="R265" s="62">
        <f t="shared" si="7"/>
        <v>0</v>
      </c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</row>
    <row r="266" hidden="1">
      <c r="A266" s="60">
        <f>IFERROR(__xludf.DUMMYFUNCTION("""COMPUTED_VALUE"""),609.0)</f>
        <v>609</v>
      </c>
      <c r="B266" s="60" t="str">
        <f>IFERROR(__xludf.DUMMYFUNCTION("""COMPUTED_VALUE"""),"Jaguars, Jacksonville")</f>
        <v>Jaguars, Jacksonville</v>
      </c>
      <c r="C266" s="60" t="str">
        <f>IFERROR(__xludf.DUMMYFUNCTION("""COMPUTED_VALUE"""),"Off")</f>
        <v>Off</v>
      </c>
      <c r="D266" s="60" t="str">
        <f>IFERROR(__xludf.DUMMYFUNCTION("""COMPUTED_VALUE"""),"JAC")</f>
        <v>JAC</v>
      </c>
      <c r="E266" s="62" t="str">
        <f t="shared" si="4"/>
        <v>Jacksonville Jaguars</v>
      </c>
      <c r="F266" s="62">
        <f t="shared" ref="F266:G266" si="532">IF(isblank(F$1),,IF(isblank($A266),,IFERROR(vlookup($A266,indirect("'TVC-"&amp;text(month(F$1),"00")&amp;"'!$A:$D"),4,false),1)))</f>
        <v>1</v>
      </c>
      <c r="G266" s="62">
        <f t="shared" si="532"/>
        <v>1</v>
      </c>
      <c r="H266" s="62">
        <f t="shared" ref="H266:Q266" si="533">IF(isblank(H$1),,IFERROR(vlookup($A266,indirect("'TVC-"&amp;text(month(H$1),"00")&amp;"'!$A:$D"),4,false),1))</f>
        <v>1</v>
      </c>
      <c r="I266" s="62">
        <f t="shared" si="533"/>
        <v>1</v>
      </c>
      <c r="J266" s="62">
        <f t="shared" si="533"/>
        <v>1</v>
      </c>
      <c r="K266" s="62">
        <f t="shared" si="533"/>
        <v>1</v>
      </c>
      <c r="L266" s="62">
        <f t="shared" si="533"/>
        <v>1</v>
      </c>
      <c r="M266" s="62">
        <f t="shared" si="533"/>
        <v>1</v>
      </c>
      <c r="N266" s="62">
        <f t="shared" si="533"/>
        <v>1</v>
      </c>
      <c r="O266" s="62">
        <f t="shared" si="533"/>
        <v>1</v>
      </c>
      <c r="P266" s="62" t="str">
        <f t="shared" si="533"/>
        <v/>
      </c>
      <c r="Q266" s="62" t="str">
        <f t="shared" si="533"/>
        <v/>
      </c>
      <c r="R266" s="62">
        <f t="shared" si="7"/>
        <v>0</v>
      </c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</row>
    <row r="267" hidden="1">
      <c r="A267" s="60">
        <f>IFERROR(__xludf.DUMMYFUNCTION("""COMPUTED_VALUE"""),610.0)</f>
        <v>610</v>
      </c>
      <c r="B267" s="60" t="str">
        <f>IFERROR(__xludf.DUMMYFUNCTION("""COMPUTED_VALUE"""),"Steelers, Pittsburgh")</f>
        <v>Steelers, Pittsburgh</v>
      </c>
      <c r="C267" s="60" t="str">
        <f>IFERROR(__xludf.DUMMYFUNCTION("""COMPUTED_VALUE"""),"Off")</f>
        <v>Off</v>
      </c>
      <c r="D267" s="60" t="str">
        <f>IFERROR(__xludf.DUMMYFUNCTION("""COMPUTED_VALUE"""),"PIT")</f>
        <v>PIT</v>
      </c>
      <c r="E267" s="62" t="str">
        <f t="shared" si="4"/>
        <v>Pittsburgh Steelers</v>
      </c>
      <c r="F267" s="62">
        <f t="shared" ref="F267:G267" si="534">IF(isblank(F$1),,IF(isblank($A267),,IFERROR(vlookup($A267,indirect("'TVC-"&amp;text(month(F$1),"00")&amp;"'!$A:$D"),4,false),1)))</f>
        <v>1</v>
      </c>
      <c r="G267" s="62">
        <f t="shared" si="534"/>
        <v>1</v>
      </c>
      <c r="H267" s="62">
        <f t="shared" ref="H267:Q267" si="535">IF(isblank(H$1),,IFERROR(vlookup($A267,indirect("'TVC-"&amp;text(month(H$1),"00")&amp;"'!$A:$D"),4,false),1))</f>
        <v>1</v>
      </c>
      <c r="I267" s="62">
        <f t="shared" si="535"/>
        <v>1</v>
      </c>
      <c r="J267" s="62">
        <f t="shared" si="535"/>
        <v>1</v>
      </c>
      <c r="K267" s="62">
        <f t="shared" si="535"/>
        <v>1</v>
      </c>
      <c r="L267" s="62">
        <f t="shared" si="535"/>
        <v>1</v>
      </c>
      <c r="M267" s="62">
        <f t="shared" si="535"/>
        <v>1</v>
      </c>
      <c r="N267" s="62">
        <f t="shared" si="535"/>
        <v>1</v>
      </c>
      <c r="O267" s="62">
        <f t="shared" si="535"/>
        <v>1</v>
      </c>
      <c r="P267" s="62" t="str">
        <f t="shared" si="535"/>
        <v/>
      </c>
      <c r="Q267" s="62" t="str">
        <f t="shared" si="535"/>
        <v/>
      </c>
      <c r="R267" s="62">
        <f t="shared" si="7"/>
        <v>0</v>
      </c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</row>
    <row r="268" hidden="1">
      <c r="A268" s="60">
        <f>IFERROR(__xludf.DUMMYFUNCTION("""COMPUTED_VALUE"""),611.0)</f>
        <v>611</v>
      </c>
      <c r="B268" s="60" t="str">
        <f>IFERROR(__xludf.DUMMYFUNCTION("""COMPUTED_VALUE"""),"Broncos, Denver")</f>
        <v>Broncos, Denver</v>
      </c>
      <c r="C268" s="60" t="str">
        <f>IFERROR(__xludf.DUMMYFUNCTION("""COMPUTED_VALUE"""),"Off")</f>
        <v>Off</v>
      </c>
      <c r="D268" s="60" t="str">
        <f>IFERROR(__xludf.DUMMYFUNCTION("""COMPUTED_VALUE"""),"DEN")</f>
        <v>DEN</v>
      </c>
      <c r="E268" s="62" t="str">
        <f t="shared" si="4"/>
        <v>Denver Broncos</v>
      </c>
      <c r="F268" s="62">
        <f t="shared" ref="F268:G268" si="536">IF(isblank(F$1),,IF(isblank($A268),,IFERROR(vlookup($A268,indirect("'TVC-"&amp;text(month(F$1),"00")&amp;"'!$A:$D"),4,false),1)))</f>
        <v>1</v>
      </c>
      <c r="G268" s="62">
        <f t="shared" si="536"/>
        <v>1</v>
      </c>
      <c r="H268" s="62">
        <f t="shared" ref="H268:Q268" si="537">IF(isblank(H$1),,IFERROR(vlookup($A268,indirect("'TVC-"&amp;text(month(H$1),"00")&amp;"'!$A:$D"),4,false),1))</f>
        <v>1</v>
      </c>
      <c r="I268" s="62">
        <f t="shared" si="537"/>
        <v>1</v>
      </c>
      <c r="J268" s="62">
        <f t="shared" si="537"/>
        <v>1</v>
      </c>
      <c r="K268" s="62">
        <f t="shared" si="537"/>
        <v>1</v>
      </c>
      <c r="L268" s="62">
        <f t="shared" si="537"/>
        <v>1</v>
      </c>
      <c r="M268" s="62">
        <f t="shared" si="537"/>
        <v>1</v>
      </c>
      <c r="N268" s="62">
        <f t="shared" si="537"/>
        <v>1</v>
      </c>
      <c r="O268" s="62">
        <f t="shared" si="537"/>
        <v>1</v>
      </c>
      <c r="P268" s="62" t="str">
        <f t="shared" si="537"/>
        <v/>
      </c>
      <c r="Q268" s="62" t="str">
        <f t="shared" si="537"/>
        <v/>
      </c>
      <c r="R268" s="62">
        <f t="shared" si="7"/>
        <v>0</v>
      </c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</row>
    <row r="269" hidden="1">
      <c r="A269" s="60">
        <f>IFERROR(__xludf.DUMMYFUNCTION("""COMPUTED_VALUE"""),612.0)</f>
        <v>612</v>
      </c>
      <c r="B269" s="60" t="str">
        <f>IFERROR(__xludf.DUMMYFUNCTION("""COMPUTED_VALUE"""),"Chiefs, Kansas City")</f>
        <v>Chiefs, Kansas City</v>
      </c>
      <c r="C269" s="60" t="str">
        <f>IFERROR(__xludf.DUMMYFUNCTION("""COMPUTED_VALUE"""),"Off")</f>
        <v>Off</v>
      </c>
      <c r="D269" s="60" t="str">
        <f>IFERROR(__xludf.DUMMYFUNCTION("""COMPUTED_VALUE"""),"KCC")</f>
        <v>KCC</v>
      </c>
      <c r="E269" s="62" t="str">
        <f t="shared" si="4"/>
        <v>Kansas City Chiefs</v>
      </c>
      <c r="F269" s="62">
        <f t="shared" ref="F269:G269" si="538">IF(isblank(F$1),,IF(isblank($A269),,IFERROR(vlookup($A269,indirect("'TVC-"&amp;text(month(F$1),"00")&amp;"'!$A:$D"),4,false),1)))</f>
        <v>1</v>
      </c>
      <c r="G269" s="62">
        <f t="shared" si="538"/>
        <v>1</v>
      </c>
      <c r="H269" s="62">
        <f t="shared" ref="H269:Q269" si="539">IF(isblank(H$1),,IFERROR(vlookup($A269,indirect("'TVC-"&amp;text(month(H$1),"00")&amp;"'!$A:$D"),4,false),1))</f>
        <v>1</v>
      </c>
      <c r="I269" s="62">
        <f t="shared" si="539"/>
        <v>1</v>
      </c>
      <c r="J269" s="62">
        <f t="shared" si="539"/>
        <v>1</v>
      </c>
      <c r="K269" s="62">
        <f t="shared" si="539"/>
        <v>1</v>
      </c>
      <c r="L269" s="62">
        <f t="shared" si="539"/>
        <v>1</v>
      </c>
      <c r="M269" s="62">
        <f t="shared" si="539"/>
        <v>1</v>
      </c>
      <c r="N269" s="62">
        <f t="shared" si="539"/>
        <v>1</v>
      </c>
      <c r="O269" s="62">
        <f t="shared" si="539"/>
        <v>1</v>
      </c>
      <c r="P269" s="62" t="str">
        <f t="shared" si="539"/>
        <v/>
      </c>
      <c r="Q269" s="62" t="str">
        <f t="shared" si="539"/>
        <v/>
      </c>
      <c r="R269" s="62">
        <f t="shared" si="7"/>
        <v>0</v>
      </c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</row>
    <row r="270" hidden="1">
      <c r="A270" s="60">
        <f>IFERROR(__xludf.DUMMYFUNCTION("""COMPUTED_VALUE"""),613.0)</f>
        <v>613</v>
      </c>
      <c r="B270" s="60" t="str">
        <f>IFERROR(__xludf.DUMMYFUNCTION("""COMPUTED_VALUE"""),"Raiders, Las Vegas")</f>
        <v>Raiders, Las Vegas</v>
      </c>
      <c r="C270" s="60" t="str">
        <f>IFERROR(__xludf.DUMMYFUNCTION("""COMPUTED_VALUE"""),"Off")</f>
        <v>Off</v>
      </c>
      <c r="D270" s="60" t="str">
        <f>IFERROR(__xludf.DUMMYFUNCTION("""COMPUTED_VALUE"""),"LVR")</f>
        <v>LVR</v>
      </c>
      <c r="E270" s="62" t="str">
        <f t="shared" si="4"/>
        <v>Las Vegas Raiders</v>
      </c>
      <c r="F270" s="62">
        <f t="shared" ref="F270:G270" si="540">IF(isblank(F$1),,IF(isblank($A270),,IFERROR(vlookup($A270,indirect("'TVC-"&amp;text(month(F$1),"00")&amp;"'!$A:$D"),4,false),1)))</f>
        <v>1</v>
      </c>
      <c r="G270" s="62">
        <f t="shared" si="540"/>
        <v>1</v>
      </c>
      <c r="H270" s="62">
        <f t="shared" ref="H270:Q270" si="541">IF(isblank(H$1),,IFERROR(vlookup($A270,indirect("'TVC-"&amp;text(month(H$1),"00")&amp;"'!$A:$D"),4,false),1))</f>
        <v>1</v>
      </c>
      <c r="I270" s="62">
        <f t="shared" si="541"/>
        <v>1</v>
      </c>
      <c r="J270" s="62">
        <f t="shared" si="541"/>
        <v>1</v>
      </c>
      <c r="K270" s="62">
        <f t="shared" si="541"/>
        <v>1</v>
      </c>
      <c r="L270" s="62">
        <f t="shared" si="541"/>
        <v>1</v>
      </c>
      <c r="M270" s="62">
        <f t="shared" si="541"/>
        <v>1</v>
      </c>
      <c r="N270" s="62">
        <f t="shared" si="541"/>
        <v>1</v>
      </c>
      <c r="O270" s="62">
        <f t="shared" si="541"/>
        <v>1</v>
      </c>
      <c r="P270" s="62" t="str">
        <f t="shared" si="541"/>
        <v/>
      </c>
      <c r="Q270" s="62" t="str">
        <f t="shared" si="541"/>
        <v/>
      </c>
      <c r="R270" s="62">
        <f t="shared" si="7"/>
        <v>0</v>
      </c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</row>
    <row r="271" hidden="1">
      <c r="A271" s="60">
        <f>IFERROR(__xludf.DUMMYFUNCTION("""COMPUTED_VALUE"""),614.0)</f>
        <v>614</v>
      </c>
      <c r="B271" s="60" t="str">
        <f>IFERROR(__xludf.DUMMYFUNCTION("""COMPUTED_VALUE"""),"Chargers, Los Angeles")</f>
        <v>Chargers, Los Angeles</v>
      </c>
      <c r="C271" s="60" t="str">
        <f>IFERROR(__xludf.DUMMYFUNCTION("""COMPUTED_VALUE"""),"Off")</f>
        <v>Off</v>
      </c>
      <c r="D271" s="60" t="str">
        <f>IFERROR(__xludf.DUMMYFUNCTION("""COMPUTED_VALUE"""),"LAC")</f>
        <v>LAC</v>
      </c>
      <c r="E271" s="62" t="str">
        <f t="shared" si="4"/>
        <v>Los Angeles Chargers</v>
      </c>
      <c r="F271" s="62">
        <f t="shared" ref="F271:G271" si="542">IF(isblank(F$1),,IF(isblank($A271),,IFERROR(vlookup($A271,indirect("'TVC-"&amp;text(month(F$1),"00")&amp;"'!$A:$D"),4,false),1)))</f>
        <v>1</v>
      </c>
      <c r="G271" s="62">
        <f t="shared" si="542"/>
        <v>1</v>
      </c>
      <c r="H271" s="62">
        <f t="shared" ref="H271:Q271" si="543">IF(isblank(H$1),,IFERROR(vlookup($A271,indirect("'TVC-"&amp;text(month(H$1),"00")&amp;"'!$A:$D"),4,false),1))</f>
        <v>1</v>
      </c>
      <c r="I271" s="62">
        <f t="shared" si="543"/>
        <v>1</v>
      </c>
      <c r="J271" s="62">
        <f t="shared" si="543"/>
        <v>1</v>
      </c>
      <c r="K271" s="62">
        <f t="shared" si="543"/>
        <v>1</v>
      </c>
      <c r="L271" s="62">
        <f t="shared" si="543"/>
        <v>1</v>
      </c>
      <c r="M271" s="62">
        <f t="shared" si="543"/>
        <v>1</v>
      </c>
      <c r="N271" s="62">
        <f t="shared" si="543"/>
        <v>1</v>
      </c>
      <c r="O271" s="62">
        <f t="shared" si="543"/>
        <v>1</v>
      </c>
      <c r="P271" s="62" t="str">
        <f t="shared" si="543"/>
        <v/>
      </c>
      <c r="Q271" s="62" t="str">
        <f t="shared" si="543"/>
        <v/>
      </c>
      <c r="R271" s="62">
        <f t="shared" si="7"/>
        <v>0</v>
      </c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</row>
    <row r="272" hidden="1">
      <c r="A272" s="60">
        <f>IFERROR(__xludf.DUMMYFUNCTION("""COMPUTED_VALUE"""),615.0)</f>
        <v>615</v>
      </c>
      <c r="B272" s="60" t="str">
        <f>IFERROR(__xludf.DUMMYFUNCTION("""COMPUTED_VALUE"""),"Seahawks, Seattle")</f>
        <v>Seahawks, Seattle</v>
      </c>
      <c r="C272" s="60" t="str">
        <f>IFERROR(__xludf.DUMMYFUNCTION("""COMPUTED_VALUE"""),"Off")</f>
        <v>Off</v>
      </c>
      <c r="D272" s="60" t="str">
        <f>IFERROR(__xludf.DUMMYFUNCTION("""COMPUTED_VALUE"""),"SEA")</f>
        <v>SEA</v>
      </c>
      <c r="E272" s="62" t="str">
        <f t="shared" si="4"/>
        <v>Seattle Seahawks</v>
      </c>
      <c r="F272" s="62">
        <f t="shared" ref="F272:G272" si="544">IF(isblank(F$1),,IF(isblank($A272),,IFERROR(vlookup($A272,indirect("'TVC-"&amp;text(month(F$1),"00")&amp;"'!$A:$D"),4,false),1)))</f>
        <v>1</v>
      </c>
      <c r="G272" s="62">
        <f t="shared" si="544"/>
        <v>1</v>
      </c>
      <c r="H272" s="62">
        <f t="shared" ref="H272:Q272" si="545">IF(isblank(H$1),,IFERROR(vlookup($A272,indirect("'TVC-"&amp;text(month(H$1),"00")&amp;"'!$A:$D"),4,false),1))</f>
        <v>1</v>
      </c>
      <c r="I272" s="62">
        <f t="shared" si="545"/>
        <v>1</v>
      </c>
      <c r="J272" s="62">
        <f t="shared" si="545"/>
        <v>1</v>
      </c>
      <c r="K272" s="62">
        <f t="shared" si="545"/>
        <v>1</v>
      </c>
      <c r="L272" s="62">
        <f t="shared" si="545"/>
        <v>1</v>
      </c>
      <c r="M272" s="62">
        <f t="shared" si="545"/>
        <v>1</v>
      </c>
      <c r="N272" s="62">
        <f t="shared" si="545"/>
        <v>1</v>
      </c>
      <c r="O272" s="62">
        <f t="shared" si="545"/>
        <v>1</v>
      </c>
      <c r="P272" s="62" t="str">
        <f t="shared" si="545"/>
        <v/>
      </c>
      <c r="Q272" s="62" t="str">
        <f t="shared" si="545"/>
        <v/>
      </c>
      <c r="R272" s="62">
        <f t="shared" si="7"/>
        <v>0</v>
      </c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</row>
    <row r="273" hidden="1">
      <c r="A273" s="60">
        <f>IFERROR(__xludf.DUMMYFUNCTION("""COMPUTED_VALUE"""),616.0)</f>
        <v>616</v>
      </c>
      <c r="B273" s="60" t="str">
        <f>IFERROR(__xludf.DUMMYFUNCTION("""COMPUTED_VALUE"""),"Cowboys, Dallas")</f>
        <v>Cowboys, Dallas</v>
      </c>
      <c r="C273" s="60" t="str">
        <f>IFERROR(__xludf.DUMMYFUNCTION("""COMPUTED_VALUE"""),"Off")</f>
        <v>Off</v>
      </c>
      <c r="D273" s="60" t="str">
        <f>IFERROR(__xludf.DUMMYFUNCTION("""COMPUTED_VALUE"""),"DAL")</f>
        <v>DAL</v>
      </c>
      <c r="E273" s="62" t="str">
        <f t="shared" si="4"/>
        <v>Dallas Cowboys</v>
      </c>
      <c r="F273" s="62">
        <f t="shared" ref="F273:G273" si="546">IF(isblank(F$1),,IF(isblank($A273),,IFERROR(vlookup($A273,indirect("'TVC-"&amp;text(month(F$1),"00")&amp;"'!$A:$D"),4,false),1)))</f>
        <v>1</v>
      </c>
      <c r="G273" s="62">
        <f t="shared" si="546"/>
        <v>1</v>
      </c>
      <c r="H273" s="62">
        <f t="shared" ref="H273:Q273" si="547">IF(isblank(H$1),,IFERROR(vlookup($A273,indirect("'TVC-"&amp;text(month(H$1),"00")&amp;"'!$A:$D"),4,false),1))</f>
        <v>1</v>
      </c>
      <c r="I273" s="62">
        <f t="shared" si="547"/>
        <v>1</v>
      </c>
      <c r="J273" s="62">
        <f t="shared" si="547"/>
        <v>1</v>
      </c>
      <c r="K273" s="62">
        <f t="shared" si="547"/>
        <v>1</v>
      </c>
      <c r="L273" s="62">
        <f t="shared" si="547"/>
        <v>1</v>
      </c>
      <c r="M273" s="62">
        <f t="shared" si="547"/>
        <v>1</v>
      </c>
      <c r="N273" s="62">
        <f t="shared" si="547"/>
        <v>1</v>
      </c>
      <c r="O273" s="62">
        <f t="shared" si="547"/>
        <v>1</v>
      </c>
      <c r="P273" s="62" t="str">
        <f t="shared" si="547"/>
        <v/>
      </c>
      <c r="Q273" s="62" t="str">
        <f t="shared" si="547"/>
        <v/>
      </c>
      <c r="R273" s="62">
        <f t="shared" si="7"/>
        <v>0</v>
      </c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</row>
    <row r="274" hidden="1">
      <c r="A274" s="60">
        <f>IFERROR(__xludf.DUMMYFUNCTION("""COMPUTED_VALUE"""),617.0)</f>
        <v>617</v>
      </c>
      <c r="B274" s="60" t="str">
        <f>IFERROR(__xludf.DUMMYFUNCTION("""COMPUTED_VALUE"""),"Giants, New York")</f>
        <v>Giants, New York</v>
      </c>
      <c r="C274" s="60" t="str">
        <f>IFERROR(__xludf.DUMMYFUNCTION("""COMPUTED_VALUE"""),"Off")</f>
        <v>Off</v>
      </c>
      <c r="D274" s="60" t="str">
        <f>IFERROR(__xludf.DUMMYFUNCTION("""COMPUTED_VALUE"""),"NYG")</f>
        <v>NYG</v>
      </c>
      <c r="E274" s="62" t="str">
        <f t="shared" si="4"/>
        <v>New York Giants</v>
      </c>
      <c r="F274" s="62">
        <f t="shared" ref="F274:G274" si="548">IF(isblank(F$1),,IF(isblank($A274),,IFERROR(vlookup($A274,indirect("'TVC-"&amp;text(month(F$1),"00")&amp;"'!$A:$D"),4,false),1)))</f>
        <v>1</v>
      </c>
      <c r="G274" s="62">
        <f t="shared" si="548"/>
        <v>1</v>
      </c>
      <c r="H274" s="62">
        <f t="shared" ref="H274:Q274" si="549">IF(isblank(H$1),,IFERROR(vlookup($A274,indirect("'TVC-"&amp;text(month(H$1),"00")&amp;"'!$A:$D"),4,false),1))</f>
        <v>1</v>
      </c>
      <c r="I274" s="62">
        <f t="shared" si="549"/>
        <v>1</v>
      </c>
      <c r="J274" s="62">
        <f t="shared" si="549"/>
        <v>1</v>
      </c>
      <c r="K274" s="62">
        <f t="shared" si="549"/>
        <v>1</v>
      </c>
      <c r="L274" s="62">
        <f t="shared" si="549"/>
        <v>1</v>
      </c>
      <c r="M274" s="62">
        <f t="shared" si="549"/>
        <v>1</v>
      </c>
      <c r="N274" s="62">
        <f t="shared" si="549"/>
        <v>1</v>
      </c>
      <c r="O274" s="62">
        <f t="shared" si="549"/>
        <v>1</v>
      </c>
      <c r="P274" s="62" t="str">
        <f t="shared" si="549"/>
        <v/>
      </c>
      <c r="Q274" s="62" t="str">
        <f t="shared" si="549"/>
        <v/>
      </c>
      <c r="R274" s="62">
        <f t="shared" si="7"/>
        <v>0</v>
      </c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</row>
    <row r="275" hidden="1">
      <c r="A275" s="60">
        <f>IFERROR(__xludf.DUMMYFUNCTION("""COMPUTED_VALUE"""),618.0)</f>
        <v>618</v>
      </c>
      <c r="B275" s="60" t="str">
        <f>IFERROR(__xludf.DUMMYFUNCTION("""COMPUTED_VALUE"""),"Eagles, Philadelphia")</f>
        <v>Eagles, Philadelphia</v>
      </c>
      <c r="C275" s="60" t="str">
        <f>IFERROR(__xludf.DUMMYFUNCTION("""COMPUTED_VALUE"""),"Off")</f>
        <v>Off</v>
      </c>
      <c r="D275" s="60" t="str">
        <f>IFERROR(__xludf.DUMMYFUNCTION("""COMPUTED_VALUE"""),"PHI")</f>
        <v>PHI</v>
      </c>
      <c r="E275" s="62" t="str">
        <f t="shared" si="4"/>
        <v>Philadelphia Eagles</v>
      </c>
      <c r="F275" s="62">
        <f t="shared" ref="F275:G275" si="550">IF(isblank(F$1),,IF(isblank($A275),,IFERROR(vlookup($A275,indirect("'TVC-"&amp;text(month(F$1),"00")&amp;"'!$A:$D"),4,false),1)))</f>
        <v>1</v>
      </c>
      <c r="G275" s="62">
        <f t="shared" si="550"/>
        <v>1</v>
      </c>
      <c r="H275" s="62">
        <f t="shared" ref="H275:Q275" si="551">IF(isblank(H$1),,IFERROR(vlookup($A275,indirect("'TVC-"&amp;text(month(H$1),"00")&amp;"'!$A:$D"),4,false),1))</f>
        <v>1</v>
      </c>
      <c r="I275" s="62">
        <f t="shared" si="551"/>
        <v>1</v>
      </c>
      <c r="J275" s="62">
        <f t="shared" si="551"/>
        <v>1</v>
      </c>
      <c r="K275" s="62">
        <f t="shared" si="551"/>
        <v>1</v>
      </c>
      <c r="L275" s="62">
        <f t="shared" si="551"/>
        <v>1</v>
      </c>
      <c r="M275" s="62">
        <f t="shared" si="551"/>
        <v>1</v>
      </c>
      <c r="N275" s="62">
        <f t="shared" si="551"/>
        <v>1</v>
      </c>
      <c r="O275" s="62">
        <f t="shared" si="551"/>
        <v>1</v>
      </c>
      <c r="P275" s="62" t="str">
        <f t="shared" si="551"/>
        <v/>
      </c>
      <c r="Q275" s="62" t="str">
        <f t="shared" si="551"/>
        <v/>
      </c>
      <c r="R275" s="62">
        <f t="shared" si="7"/>
        <v>0</v>
      </c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</row>
    <row r="276" hidden="1">
      <c r="A276" s="60">
        <f>IFERROR(__xludf.DUMMYFUNCTION("""COMPUTED_VALUE"""),619.0)</f>
        <v>619</v>
      </c>
      <c r="B276" s="60" t="str">
        <f>IFERROR(__xludf.DUMMYFUNCTION("""COMPUTED_VALUE"""),"Cardinals, Arizona")</f>
        <v>Cardinals, Arizona</v>
      </c>
      <c r="C276" s="60" t="str">
        <f>IFERROR(__xludf.DUMMYFUNCTION("""COMPUTED_VALUE"""),"Off")</f>
        <v>Off</v>
      </c>
      <c r="D276" s="60" t="str">
        <f>IFERROR(__xludf.DUMMYFUNCTION("""COMPUTED_VALUE"""),"ARI")</f>
        <v>ARI</v>
      </c>
      <c r="E276" s="62" t="str">
        <f t="shared" si="4"/>
        <v>Arizona Cardinals</v>
      </c>
      <c r="F276" s="62">
        <f t="shared" ref="F276:G276" si="552">IF(isblank(F$1),,IF(isblank($A276),,IFERROR(vlookup($A276,indirect("'TVC-"&amp;text(month(F$1),"00")&amp;"'!$A:$D"),4,false),1)))</f>
        <v>1</v>
      </c>
      <c r="G276" s="62">
        <f t="shared" si="552"/>
        <v>1</v>
      </c>
      <c r="H276" s="62">
        <f t="shared" ref="H276:Q276" si="553">IF(isblank(H$1),,IFERROR(vlookup($A276,indirect("'TVC-"&amp;text(month(H$1),"00")&amp;"'!$A:$D"),4,false),1))</f>
        <v>1</v>
      </c>
      <c r="I276" s="62">
        <f t="shared" si="553"/>
        <v>1</v>
      </c>
      <c r="J276" s="62">
        <f t="shared" si="553"/>
        <v>1</v>
      </c>
      <c r="K276" s="62">
        <f t="shared" si="553"/>
        <v>1</v>
      </c>
      <c r="L276" s="62">
        <f t="shared" si="553"/>
        <v>1</v>
      </c>
      <c r="M276" s="62">
        <f t="shared" si="553"/>
        <v>1</v>
      </c>
      <c r="N276" s="62">
        <f t="shared" si="553"/>
        <v>1</v>
      </c>
      <c r="O276" s="62">
        <f t="shared" si="553"/>
        <v>1</v>
      </c>
      <c r="P276" s="62" t="str">
        <f t="shared" si="553"/>
        <v/>
      </c>
      <c r="Q276" s="62" t="str">
        <f t="shared" si="553"/>
        <v/>
      </c>
      <c r="R276" s="62">
        <f t="shared" si="7"/>
        <v>0</v>
      </c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</row>
    <row r="277" hidden="1">
      <c r="A277" s="60">
        <f>IFERROR(__xludf.DUMMYFUNCTION("""COMPUTED_VALUE"""),620.0)</f>
        <v>620</v>
      </c>
      <c r="B277" s="60" t="str">
        <f>IFERROR(__xludf.DUMMYFUNCTION("""COMPUTED_VALUE"""),"Commanders, Washington")</f>
        <v>Commanders, Washington</v>
      </c>
      <c r="C277" s="60" t="str">
        <f>IFERROR(__xludf.DUMMYFUNCTION("""COMPUTED_VALUE"""),"Off")</f>
        <v>Off</v>
      </c>
      <c r="D277" s="60" t="str">
        <f>IFERROR(__xludf.DUMMYFUNCTION("""COMPUTED_VALUE"""),"WAS")</f>
        <v>WAS</v>
      </c>
      <c r="E277" s="62" t="str">
        <f t="shared" si="4"/>
        <v>Washington Commanders</v>
      </c>
      <c r="F277" s="62">
        <f t="shared" ref="F277:G277" si="554">IF(isblank(F$1),,IF(isblank($A277),,IFERROR(vlookup($A277,indirect("'TVC-"&amp;text(month(F$1),"00")&amp;"'!$A:$D"),4,false),1)))</f>
        <v>1</v>
      </c>
      <c r="G277" s="62">
        <f t="shared" si="554"/>
        <v>1</v>
      </c>
      <c r="H277" s="62">
        <f t="shared" ref="H277:Q277" si="555">IF(isblank(H$1),,IFERROR(vlookup($A277,indirect("'TVC-"&amp;text(month(H$1),"00")&amp;"'!$A:$D"),4,false),1))</f>
        <v>1</v>
      </c>
      <c r="I277" s="62">
        <f t="shared" si="555"/>
        <v>1</v>
      </c>
      <c r="J277" s="62">
        <f t="shared" si="555"/>
        <v>1</v>
      </c>
      <c r="K277" s="62">
        <f t="shared" si="555"/>
        <v>1</v>
      </c>
      <c r="L277" s="62">
        <f t="shared" si="555"/>
        <v>1</v>
      </c>
      <c r="M277" s="62">
        <f t="shared" si="555"/>
        <v>1</v>
      </c>
      <c r="N277" s="62">
        <f t="shared" si="555"/>
        <v>1</v>
      </c>
      <c r="O277" s="62">
        <f t="shared" si="555"/>
        <v>1</v>
      </c>
      <c r="P277" s="62" t="str">
        <f t="shared" si="555"/>
        <v/>
      </c>
      <c r="Q277" s="62" t="str">
        <f t="shared" si="555"/>
        <v/>
      </c>
      <c r="R277" s="62">
        <f t="shared" si="7"/>
        <v>0</v>
      </c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</row>
    <row r="278" hidden="1">
      <c r="A278" s="60">
        <f>IFERROR(__xludf.DUMMYFUNCTION("""COMPUTED_VALUE"""),621.0)</f>
        <v>621</v>
      </c>
      <c r="B278" s="60" t="str">
        <f>IFERROR(__xludf.DUMMYFUNCTION("""COMPUTED_VALUE"""),"Bears, Chicago")</f>
        <v>Bears, Chicago</v>
      </c>
      <c r="C278" s="60" t="str">
        <f>IFERROR(__xludf.DUMMYFUNCTION("""COMPUTED_VALUE"""),"Off")</f>
        <v>Off</v>
      </c>
      <c r="D278" s="60" t="str">
        <f>IFERROR(__xludf.DUMMYFUNCTION("""COMPUTED_VALUE"""),"CHI")</f>
        <v>CHI</v>
      </c>
      <c r="E278" s="62" t="str">
        <f t="shared" si="4"/>
        <v>Chicago Bears</v>
      </c>
      <c r="F278" s="62">
        <f t="shared" ref="F278:G278" si="556">IF(isblank(F$1),,IF(isblank($A278),,IFERROR(vlookup($A278,indirect("'TVC-"&amp;text(month(F$1),"00")&amp;"'!$A:$D"),4,false),1)))</f>
        <v>1</v>
      </c>
      <c r="G278" s="62">
        <f t="shared" si="556"/>
        <v>1</v>
      </c>
      <c r="H278" s="62">
        <f t="shared" ref="H278:Q278" si="557">IF(isblank(H$1),,IFERROR(vlookup($A278,indirect("'TVC-"&amp;text(month(H$1),"00")&amp;"'!$A:$D"),4,false),1))</f>
        <v>1</v>
      </c>
      <c r="I278" s="62">
        <f t="shared" si="557"/>
        <v>1</v>
      </c>
      <c r="J278" s="62">
        <f t="shared" si="557"/>
        <v>1</v>
      </c>
      <c r="K278" s="62">
        <f t="shared" si="557"/>
        <v>1</v>
      </c>
      <c r="L278" s="62">
        <f t="shared" si="557"/>
        <v>1</v>
      </c>
      <c r="M278" s="62">
        <f t="shared" si="557"/>
        <v>1</v>
      </c>
      <c r="N278" s="62">
        <f t="shared" si="557"/>
        <v>1</v>
      </c>
      <c r="O278" s="62">
        <f t="shared" si="557"/>
        <v>1</v>
      </c>
      <c r="P278" s="62" t="str">
        <f t="shared" si="557"/>
        <v/>
      </c>
      <c r="Q278" s="62" t="str">
        <f t="shared" si="557"/>
        <v/>
      </c>
      <c r="R278" s="62">
        <f t="shared" si="7"/>
        <v>0</v>
      </c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</row>
    <row r="279" hidden="1">
      <c r="A279" s="60">
        <f>IFERROR(__xludf.DUMMYFUNCTION("""COMPUTED_VALUE"""),622.0)</f>
        <v>622</v>
      </c>
      <c r="B279" s="60" t="str">
        <f>IFERROR(__xludf.DUMMYFUNCTION("""COMPUTED_VALUE"""),"Lions, Detroit")</f>
        <v>Lions, Detroit</v>
      </c>
      <c r="C279" s="60" t="str">
        <f>IFERROR(__xludf.DUMMYFUNCTION("""COMPUTED_VALUE"""),"Off")</f>
        <v>Off</v>
      </c>
      <c r="D279" s="60" t="str">
        <f>IFERROR(__xludf.DUMMYFUNCTION("""COMPUTED_VALUE"""),"DET")</f>
        <v>DET</v>
      </c>
      <c r="E279" s="62" t="str">
        <f t="shared" si="4"/>
        <v>Detroit Lions</v>
      </c>
      <c r="F279" s="62">
        <f t="shared" ref="F279:G279" si="558">IF(isblank(F$1),,IF(isblank($A279),,IFERROR(vlookup($A279,indirect("'TVC-"&amp;text(month(F$1),"00")&amp;"'!$A:$D"),4,false),1)))</f>
        <v>1</v>
      </c>
      <c r="G279" s="62">
        <f t="shared" si="558"/>
        <v>1</v>
      </c>
      <c r="H279" s="62">
        <f t="shared" ref="H279:Q279" si="559">IF(isblank(H$1),,IFERROR(vlookup($A279,indirect("'TVC-"&amp;text(month(H$1),"00")&amp;"'!$A:$D"),4,false),1))</f>
        <v>1</v>
      </c>
      <c r="I279" s="62">
        <f t="shared" si="559"/>
        <v>1</v>
      </c>
      <c r="J279" s="62">
        <f t="shared" si="559"/>
        <v>1</v>
      </c>
      <c r="K279" s="62">
        <f t="shared" si="559"/>
        <v>1</v>
      </c>
      <c r="L279" s="62">
        <f t="shared" si="559"/>
        <v>1</v>
      </c>
      <c r="M279" s="62">
        <f t="shared" si="559"/>
        <v>1</v>
      </c>
      <c r="N279" s="62">
        <f t="shared" si="559"/>
        <v>1</v>
      </c>
      <c r="O279" s="62">
        <f t="shared" si="559"/>
        <v>1</v>
      </c>
      <c r="P279" s="62" t="str">
        <f t="shared" si="559"/>
        <v/>
      </c>
      <c r="Q279" s="62" t="str">
        <f t="shared" si="559"/>
        <v/>
      </c>
      <c r="R279" s="62">
        <f t="shared" si="7"/>
        <v>0</v>
      </c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</row>
    <row r="280" hidden="1">
      <c r="A280" s="60">
        <f>IFERROR(__xludf.DUMMYFUNCTION("""COMPUTED_VALUE"""),623.0)</f>
        <v>623</v>
      </c>
      <c r="B280" s="60" t="str">
        <f>IFERROR(__xludf.DUMMYFUNCTION("""COMPUTED_VALUE"""),"Packers, Green Bay")</f>
        <v>Packers, Green Bay</v>
      </c>
      <c r="C280" s="60" t="str">
        <f>IFERROR(__xludf.DUMMYFUNCTION("""COMPUTED_VALUE"""),"Off")</f>
        <v>Off</v>
      </c>
      <c r="D280" s="60" t="str">
        <f>IFERROR(__xludf.DUMMYFUNCTION("""COMPUTED_VALUE"""),"GBP")</f>
        <v>GBP</v>
      </c>
      <c r="E280" s="62" t="str">
        <f t="shared" si="4"/>
        <v>Green Bay Packers</v>
      </c>
      <c r="F280" s="62">
        <f t="shared" ref="F280:G280" si="560">IF(isblank(F$1),,IF(isblank($A280),,IFERROR(vlookup($A280,indirect("'TVC-"&amp;text(month(F$1),"00")&amp;"'!$A:$D"),4,false),1)))</f>
        <v>1</v>
      </c>
      <c r="G280" s="62">
        <f t="shared" si="560"/>
        <v>1</v>
      </c>
      <c r="H280" s="62">
        <f t="shared" ref="H280:Q280" si="561">IF(isblank(H$1),,IFERROR(vlookup($A280,indirect("'TVC-"&amp;text(month(H$1),"00")&amp;"'!$A:$D"),4,false),1))</f>
        <v>1</v>
      </c>
      <c r="I280" s="62">
        <f t="shared" si="561"/>
        <v>1</v>
      </c>
      <c r="J280" s="62">
        <f t="shared" si="561"/>
        <v>1</v>
      </c>
      <c r="K280" s="62">
        <f t="shared" si="561"/>
        <v>1</v>
      </c>
      <c r="L280" s="62">
        <f t="shared" si="561"/>
        <v>1</v>
      </c>
      <c r="M280" s="62">
        <f t="shared" si="561"/>
        <v>1</v>
      </c>
      <c r="N280" s="62">
        <f t="shared" si="561"/>
        <v>1</v>
      </c>
      <c r="O280" s="62">
        <f t="shared" si="561"/>
        <v>1</v>
      </c>
      <c r="P280" s="62" t="str">
        <f t="shared" si="561"/>
        <v/>
      </c>
      <c r="Q280" s="62" t="str">
        <f t="shared" si="561"/>
        <v/>
      </c>
      <c r="R280" s="62">
        <f t="shared" si="7"/>
        <v>0</v>
      </c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</row>
    <row r="281" hidden="1">
      <c r="A281" s="60">
        <f>IFERROR(__xludf.DUMMYFUNCTION("""COMPUTED_VALUE"""),624.0)</f>
        <v>624</v>
      </c>
      <c r="B281" s="60" t="str">
        <f>IFERROR(__xludf.DUMMYFUNCTION("""COMPUTED_VALUE"""),"Vikings, Minnesota")</f>
        <v>Vikings, Minnesota</v>
      </c>
      <c r="C281" s="60" t="str">
        <f>IFERROR(__xludf.DUMMYFUNCTION("""COMPUTED_VALUE"""),"Off")</f>
        <v>Off</v>
      </c>
      <c r="D281" s="60" t="str">
        <f>IFERROR(__xludf.DUMMYFUNCTION("""COMPUTED_VALUE"""),"MIN")</f>
        <v>MIN</v>
      </c>
      <c r="E281" s="62" t="str">
        <f t="shared" si="4"/>
        <v>Minnesota Vikings</v>
      </c>
      <c r="F281" s="62">
        <f t="shared" ref="F281:G281" si="562">IF(isblank(F$1),,IF(isblank($A281),,IFERROR(vlookup($A281,indirect("'TVC-"&amp;text(month(F$1),"00")&amp;"'!$A:$D"),4,false),1)))</f>
        <v>1</v>
      </c>
      <c r="G281" s="62">
        <f t="shared" si="562"/>
        <v>1</v>
      </c>
      <c r="H281" s="62">
        <f t="shared" ref="H281:Q281" si="563">IF(isblank(H$1),,IFERROR(vlookup($A281,indirect("'TVC-"&amp;text(month(H$1),"00")&amp;"'!$A:$D"),4,false),1))</f>
        <v>1</v>
      </c>
      <c r="I281" s="62">
        <f t="shared" si="563"/>
        <v>1</v>
      </c>
      <c r="J281" s="62">
        <f t="shared" si="563"/>
        <v>1</v>
      </c>
      <c r="K281" s="62">
        <f t="shared" si="563"/>
        <v>1</v>
      </c>
      <c r="L281" s="62">
        <f t="shared" si="563"/>
        <v>1</v>
      </c>
      <c r="M281" s="62">
        <f t="shared" si="563"/>
        <v>1</v>
      </c>
      <c r="N281" s="62">
        <f t="shared" si="563"/>
        <v>1</v>
      </c>
      <c r="O281" s="62">
        <f t="shared" si="563"/>
        <v>1</v>
      </c>
      <c r="P281" s="62" t="str">
        <f t="shared" si="563"/>
        <v/>
      </c>
      <c r="Q281" s="62" t="str">
        <f t="shared" si="563"/>
        <v/>
      </c>
      <c r="R281" s="62">
        <f t="shared" si="7"/>
        <v>0</v>
      </c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</row>
    <row r="282" hidden="1">
      <c r="A282" s="60">
        <f>IFERROR(__xludf.DUMMYFUNCTION("""COMPUTED_VALUE"""),625.0)</f>
        <v>625</v>
      </c>
      <c r="B282" s="60" t="str">
        <f>IFERROR(__xludf.DUMMYFUNCTION("""COMPUTED_VALUE"""),"Buccaneers, Tampa Bay")</f>
        <v>Buccaneers, Tampa Bay</v>
      </c>
      <c r="C282" s="60" t="str">
        <f>IFERROR(__xludf.DUMMYFUNCTION("""COMPUTED_VALUE"""),"Off")</f>
        <v>Off</v>
      </c>
      <c r="D282" s="60" t="str">
        <f>IFERROR(__xludf.DUMMYFUNCTION("""COMPUTED_VALUE"""),"TBB")</f>
        <v>TBB</v>
      </c>
      <c r="E282" s="62" t="str">
        <f t="shared" si="4"/>
        <v>Tampa Bay Buccaneers</v>
      </c>
      <c r="F282" s="62">
        <f t="shared" ref="F282:G282" si="564">IF(isblank(F$1),,IF(isblank($A282),,IFERROR(vlookup($A282,indirect("'TVC-"&amp;text(month(F$1),"00")&amp;"'!$A:$D"),4,false),1)))</f>
        <v>1</v>
      </c>
      <c r="G282" s="62">
        <f t="shared" si="564"/>
        <v>1</v>
      </c>
      <c r="H282" s="62">
        <f t="shared" ref="H282:Q282" si="565">IF(isblank(H$1),,IFERROR(vlookup($A282,indirect("'TVC-"&amp;text(month(H$1),"00")&amp;"'!$A:$D"),4,false),1))</f>
        <v>1</v>
      </c>
      <c r="I282" s="62">
        <f t="shared" si="565"/>
        <v>1</v>
      </c>
      <c r="J282" s="62">
        <f t="shared" si="565"/>
        <v>1</v>
      </c>
      <c r="K282" s="62">
        <f t="shared" si="565"/>
        <v>1</v>
      </c>
      <c r="L282" s="62">
        <f t="shared" si="565"/>
        <v>1</v>
      </c>
      <c r="M282" s="62">
        <f t="shared" si="565"/>
        <v>1</v>
      </c>
      <c r="N282" s="62">
        <f t="shared" si="565"/>
        <v>1</v>
      </c>
      <c r="O282" s="62">
        <f t="shared" si="565"/>
        <v>1</v>
      </c>
      <c r="P282" s="62" t="str">
        <f t="shared" si="565"/>
        <v/>
      </c>
      <c r="Q282" s="62" t="str">
        <f t="shared" si="565"/>
        <v/>
      </c>
      <c r="R282" s="62">
        <f t="shared" si="7"/>
        <v>0</v>
      </c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</row>
    <row r="283" hidden="1">
      <c r="A283" s="60">
        <f>IFERROR(__xludf.DUMMYFUNCTION("""COMPUTED_VALUE"""),626.0)</f>
        <v>626</v>
      </c>
      <c r="B283" s="60" t="str">
        <f>IFERROR(__xludf.DUMMYFUNCTION("""COMPUTED_VALUE"""),"Falcons, Atlanta")</f>
        <v>Falcons, Atlanta</v>
      </c>
      <c r="C283" s="60" t="str">
        <f>IFERROR(__xludf.DUMMYFUNCTION("""COMPUTED_VALUE"""),"Off")</f>
        <v>Off</v>
      </c>
      <c r="D283" s="60" t="str">
        <f>IFERROR(__xludf.DUMMYFUNCTION("""COMPUTED_VALUE"""),"ATL")</f>
        <v>ATL</v>
      </c>
      <c r="E283" s="62" t="str">
        <f t="shared" si="4"/>
        <v>Atlanta Falcons</v>
      </c>
      <c r="F283" s="62">
        <f t="shared" ref="F283:G283" si="566">IF(isblank(F$1),,IF(isblank($A283),,IFERROR(vlookup($A283,indirect("'TVC-"&amp;text(month(F$1),"00")&amp;"'!$A:$D"),4,false),1)))</f>
        <v>1</v>
      </c>
      <c r="G283" s="62">
        <f t="shared" si="566"/>
        <v>1</v>
      </c>
      <c r="H283" s="62">
        <f t="shared" ref="H283:Q283" si="567">IF(isblank(H$1),,IFERROR(vlookup($A283,indirect("'TVC-"&amp;text(month(H$1),"00")&amp;"'!$A:$D"),4,false),1))</f>
        <v>1</v>
      </c>
      <c r="I283" s="62">
        <f t="shared" si="567"/>
        <v>1</v>
      </c>
      <c r="J283" s="62">
        <f t="shared" si="567"/>
        <v>1</v>
      </c>
      <c r="K283" s="62">
        <f t="shared" si="567"/>
        <v>1</v>
      </c>
      <c r="L283" s="62">
        <f t="shared" si="567"/>
        <v>1</v>
      </c>
      <c r="M283" s="62">
        <f t="shared" si="567"/>
        <v>1</v>
      </c>
      <c r="N283" s="62">
        <f t="shared" si="567"/>
        <v>1</v>
      </c>
      <c r="O283" s="62">
        <f t="shared" si="567"/>
        <v>1</v>
      </c>
      <c r="P283" s="62" t="str">
        <f t="shared" si="567"/>
        <v/>
      </c>
      <c r="Q283" s="62" t="str">
        <f t="shared" si="567"/>
        <v/>
      </c>
      <c r="R283" s="62">
        <f t="shared" si="7"/>
        <v>0</v>
      </c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</row>
    <row r="284" hidden="1">
      <c r="A284" s="60">
        <f>IFERROR(__xludf.DUMMYFUNCTION("""COMPUTED_VALUE"""),627.0)</f>
        <v>627</v>
      </c>
      <c r="B284" s="60" t="str">
        <f>IFERROR(__xludf.DUMMYFUNCTION("""COMPUTED_VALUE"""),"Panthers, Carolina")</f>
        <v>Panthers, Carolina</v>
      </c>
      <c r="C284" s="60" t="str">
        <f>IFERROR(__xludf.DUMMYFUNCTION("""COMPUTED_VALUE"""),"Off")</f>
        <v>Off</v>
      </c>
      <c r="D284" s="60" t="str">
        <f>IFERROR(__xludf.DUMMYFUNCTION("""COMPUTED_VALUE"""),"CAR")</f>
        <v>CAR</v>
      </c>
      <c r="E284" s="62" t="str">
        <f t="shared" si="4"/>
        <v>Carolina Panthers</v>
      </c>
      <c r="F284" s="62">
        <f t="shared" ref="F284:G284" si="568">IF(isblank(F$1),,IF(isblank($A284),,IFERROR(vlookup($A284,indirect("'TVC-"&amp;text(month(F$1),"00")&amp;"'!$A:$D"),4,false),1)))</f>
        <v>1</v>
      </c>
      <c r="G284" s="62">
        <f t="shared" si="568"/>
        <v>1</v>
      </c>
      <c r="H284" s="62">
        <f t="shared" ref="H284:Q284" si="569">IF(isblank(H$1),,IFERROR(vlookup($A284,indirect("'TVC-"&amp;text(month(H$1),"00")&amp;"'!$A:$D"),4,false),1))</f>
        <v>1</v>
      </c>
      <c r="I284" s="62">
        <f t="shared" si="569"/>
        <v>1</v>
      </c>
      <c r="J284" s="62">
        <f t="shared" si="569"/>
        <v>1</v>
      </c>
      <c r="K284" s="62">
        <f t="shared" si="569"/>
        <v>1</v>
      </c>
      <c r="L284" s="62">
        <f t="shared" si="569"/>
        <v>1</v>
      </c>
      <c r="M284" s="62">
        <f t="shared" si="569"/>
        <v>1</v>
      </c>
      <c r="N284" s="62">
        <f t="shared" si="569"/>
        <v>1</v>
      </c>
      <c r="O284" s="62">
        <f t="shared" si="569"/>
        <v>1</v>
      </c>
      <c r="P284" s="62" t="str">
        <f t="shared" si="569"/>
        <v/>
      </c>
      <c r="Q284" s="62" t="str">
        <f t="shared" si="569"/>
        <v/>
      </c>
      <c r="R284" s="62">
        <f t="shared" si="7"/>
        <v>0</v>
      </c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</row>
    <row r="285" hidden="1">
      <c r="A285" s="60">
        <f>IFERROR(__xludf.DUMMYFUNCTION("""COMPUTED_VALUE"""),628.0)</f>
        <v>628</v>
      </c>
      <c r="B285" s="60" t="str">
        <f>IFERROR(__xludf.DUMMYFUNCTION("""COMPUTED_VALUE"""),"Rams, Los Angeles")</f>
        <v>Rams, Los Angeles</v>
      </c>
      <c r="C285" s="60" t="str">
        <f>IFERROR(__xludf.DUMMYFUNCTION("""COMPUTED_VALUE"""),"Off")</f>
        <v>Off</v>
      </c>
      <c r="D285" s="60" t="str">
        <f>IFERROR(__xludf.DUMMYFUNCTION("""COMPUTED_VALUE"""),"LAR")</f>
        <v>LAR</v>
      </c>
      <c r="E285" s="62" t="str">
        <f t="shared" si="4"/>
        <v>Los Angeles Rams</v>
      </c>
      <c r="F285" s="62">
        <f t="shared" ref="F285:G285" si="570">IF(isblank(F$1),,IF(isblank($A285),,IFERROR(vlookup($A285,indirect("'TVC-"&amp;text(month(F$1),"00")&amp;"'!$A:$D"),4,false),1)))</f>
        <v>1</v>
      </c>
      <c r="G285" s="62">
        <f t="shared" si="570"/>
        <v>1</v>
      </c>
      <c r="H285" s="62">
        <f t="shared" ref="H285:Q285" si="571">IF(isblank(H$1),,IFERROR(vlookup($A285,indirect("'TVC-"&amp;text(month(H$1),"00")&amp;"'!$A:$D"),4,false),1))</f>
        <v>1</v>
      </c>
      <c r="I285" s="62">
        <f t="shared" si="571"/>
        <v>1</v>
      </c>
      <c r="J285" s="62">
        <f t="shared" si="571"/>
        <v>1</v>
      </c>
      <c r="K285" s="62">
        <f t="shared" si="571"/>
        <v>1</v>
      </c>
      <c r="L285" s="62">
        <f t="shared" si="571"/>
        <v>1</v>
      </c>
      <c r="M285" s="62">
        <f t="shared" si="571"/>
        <v>1</v>
      </c>
      <c r="N285" s="62">
        <f t="shared" si="571"/>
        <v>1</v>
      </c>
      <c r="O285" s="62">
        <f t="shared" si="571"/>
        <v>1</v>
      </c>
      <c r="P285" s="62" t="str">
        <f t="shared" si="571"/>
        <v/>
      </c>
      <c r="Q285" s="62" t="str">
        <f t="shared" si="571"/>
        <v/>
      </c>
      <c r="R285" s="62">
        <f t="shared" si="7"/>
        <v>0</v>
      </c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</row>
    <row r="286" hidden="1">
      <c r="A286" s="60">
        <f>IFERROR(__xludf.DUMMYFUNCTION("""COMPUTED_VALUE"""),629.0)</f>
        <v>629</v>
      </c>
      <c r="B286" s="60" t="str">
        <f>IFERROR(__xludf.DUMMYFUNCTION("""COMPUTED_VALUE"""),"Saints, New Orleans")</f>
        <v>Saints, New Orleans</v>
      </c>
      <c r="C286" s="60" t="str">
        <f>IFERROR(__xludf.DUMMYFUNCTION("""COMPUTED_VALUE"""),"Off")</f>
        <v>Off</v>
      </c>
      <c r="D286" s="60" t="str">
        <f>IFERROR(__xludf.DUMMYFUNCTION("""COMPUTED_VALUE"""),"NOS")</f>
        <v>NOS</v>
      </c>
      <c r="E286" s="62" t="str">
        <f t="shared" si="4"/>
        <v>New Orleans Saints</v>
      </c>
      <c r="F286" s="62">
        <f t="shared" ref="F286:G286" si="572">IF(isblank(F$1),,IF(isblank($A286),,IFERROR(vlookup($A286,indirect("'TVC-"&amp;text(month(F$1),"00")&amp;"'!$A:$D"),4,false),1)))</f>
        <v>1</v>
      </c>
      <c r="G286" s="62">
        <f t="shared" si="572"/>
        <v>1</v>
      </c>
      <c r="H286" s="62">
        <f t="shared" ref="H286:Q286" si="573">IF(isblank(H$1),,IFERROR(vlookup($A286,indirect("'TVC-"&amp;text(month(H$1),"00")&amp;"'!$A:$D"),4,false),1))</f>
        <v>1</v>
      </c>
      <c r="I286" s="62">
        <f t="shared" si="573"/>
        <v>1</v>
      </c>
      <c r="J286" s="62">
        <f t="shared" si="573"/>
        <v>1</v>
      </c>
      <c r="K286" s="62">
        <f t="shared" si="573"/>
        <v>1</v>
      </c>
      <c r="L286" s="62">
        <f t="shared" si="573"/>
        <v>1</v>
      </c>
      <c r="M286" s="62">
        <f t="shared" si="573"/>
        <v>1</v>
      </c>
      <c r="N286" s="62">
        <f t="shared" si="573"/>
        <v>1</v>
      </c>
      <c r="O286" s="62">
        <f t="shared" si="573"/>
        <v>1</v>
      </c>
      <c r="P286" s="62" t="str">
        <f t="shared" si="573"/>
        <v/>
      </c>
      <c r="Q286" s="62" t="str">
        <f t="shared" si="573"/>
        <v/>
      </c>
      <c r="R286" s="62">
        <f t="shared" si="7"/>
        <v>0</v>
      </c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</row>
    <row r="287" hidden="1">
      <c r="A287" s="60">
        <f>IFERROR(__xludf.DUMMYFUNCTION("""COMPUTED_VALUE"""),630.0)</f>
        <v>630</v>
      </c>
      <c r="B287" s="60" t="str">
        <f>IFERROR(__xludf.DUMMYFUNCTION("""COMPUTED_VALUE"""),"49ers, San Francisco")</f>
        <v>49ers, San Francisco</v>
      </c>
      <c r="C287" s="60" t="str">
        <f>IFERROR(__xludf.DUMMYFUNCTION("""COMPUTED_VALUE"""),"Off")</f>
        <v>Off</v>
      </c>
      <c r="D287" s="60" t="str">
        <f>IFERROR(__xludf.DUMMYFUNCTION("""COMPUTED_VALUE"""),"SFO")</f>
        <v>SFO</v>
      </c>
      <c r="E287" s="62" t="str">
        <f t="shared" si="4"/>
        <v>San Francisco 49ers</v>
      </c>
      <c r="F287" s="62">
        <f t="shared" ref="F287:G287" si="574">IF(isblank(F$1),,IF(isblank($A287),,IFERROR(vlookup($A287,indirect("'TVC-"&amp;text(month(F$1),"00")&amp;"'!$A:$D"),4,false),1)))</f>
        <v>1</v>
      </c>
      <c r="G287" s="62">
        <f t="shared" si="574"/>
        <v>1</v>
      </c>
      <c r="H287" s="62">
        <f t="shared" ref="H287:Q287" si="575">IF(isblank(H$1),,IFERROR(vlookup($A287,indirect("'TVC-"&amp;text(month(H$1),"00")&amp;"'!$A:$D"),4,false),1))</f>
        <v>1</v>
      </c>
      <c r="I287" s="62">
        <f t="shared" si="575"/>
        <v>1</v>
      </c>
      <c r="J287" s="62">
        <f t="shared" si="575"/>
        <v>1</v>
      </c>
      <c r="K287" s="62">
        <f t="shared" si="575"/>
        <v>1</v>
      </c>
      <c r="L287" s="62">
        <f t="shared" si="575"/>
        <v>1</v>
      </c>
      <c r="M287" s="62">
        <f t="shared" si="575"/>
        <v>1</v>
      </c>
      <c r="N287" s="62">
        <f t="shared" si="575"/>
        <v>1</v>
      </c>
      <c r="O287" s="62">
        <f t="shared" si="575"/>
        <v>1</v>
      </c>
      <c r="P287" s="62" t="str">
        <f t="shared" si="575"/>
        <v/>
      </c>
      <c r="Q287" s="62" t="str">
        <f t="shared" si="575"/>
        <v/>
      </c>
      <c r="R287" s="62">
        <f t="shared" si="7"/>
        <v>0</v>
      </c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</row>
    <row r="288" hidden="1">
      <c r="A288" s="60">
        <f>IFERROR(__xludf.DUMMYFUNCTION("""COMPUTED_VALUE"""),631.0)</f>
        <v>631</v>
      </c>
      <c r="B288" s="60" t="str">
        <f>IFERROR(__xludf.DUMMYFUNCTION("""COMPUTED_VALUE"""),"Ravens, Baltimore")</f>
        <v>Ravens, Baltimore</v>
      </c>
      <c r="C288" s="60" t="str">
        <f>IFERROR(__xludf.DUMMYFUNCTION("""COMPUTED_VALUE"""),"Off")</f>
        <v>Off</v>
      </c>
      <c r="D288" s="60" t="str">
        <f>IFERROR(__xludf.DUMMYFUNCTION("""COMPUTED_VALUE"""),"BAL")</f>
        <v>BAL</v>
      </c>
      <c r="E288" s="62" t="str">
        <f t="shared" si="4"/>
        <v>Baltimore Ravens</v>
      </c>
      <c r="F288" s="62">
        <f t="shared" ref="F288:G288" si="576">IF(isblank(F$1),,IF(isblank($A288),,IFERROR(vlookup($A288,indirect("'TVC-"&amp;text(month(F$1),"00")&amp;"'!$A:$D"),4,false),1)))</f>
        <v>1</v>
      </c>
      <c r="G288" s="62">
        <f t="shared" si="576"/>
        <v>1</v>
      </c>
      <c r="H288" s="62">
        <f t="shared" ref="H288:Q288" si="577">IF(isblank(H$1),,IFERROR(vlookup($A288,indirect("'TVC-"&amp;text(month(H$1),"00")&amp;"'!$A:$D"),4,false),1))</f>
        <v>1</v>
      </c>
      <c r="I288" s="62">
        <f t="shared" si="577"/>
        <v>1</v>
      </c>
      <c r="J288" s="62">
        <f t="shared" si="577"/>
        <v>1</v>
      </c>
      <c r="K288" s="62">
        <f t="shared" si="577"/>
        <v>1</v>
      </c>
      <c r="L288" s="62">
        <f t="shared" si="577"/>
        <v>1</v>
      </c>
      <c r="M288" s="62">
        <f t="shared" si="577"/>
        <v>1</v>
      </c>
      <c r="N288" s="62">
        <f t="shared" si="577"/>
        <v>1</v>
      </c>
      <c r="O288" s="62">
        <f t="shared" si="577"/>
        <v>1</v>
      </c>
      <c r="P288" s="62" t="str">
        <f t="shared" si="577"/>
        <v/>
      </c>
      <c r="Q288" s="62" t="str">
        <f t="shared" si="577"/>
        <v/>
      </c>
      <c r="R288" s="62">
        <f t="shared" si="7"/>
        <v>0</v>
      </c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</row>
    <row r="289" hidden="1">
      <c r="A289" s="60">
        <f>IFERROR(__xludf.DUMMYFUNCTION("""COMPUTED_VALUE"""),632.0)</f>
        <v>632</v>
      </c>
      <c r="B289" s="60" t="str">
        <f>IFERROR(__xludf.DUMMYFUNCTION("""COMPUTED_VALUE"""),"Texans, Houston")</f>
        <v>Texans, Houston</v>
      </c>
      <c r="C289" s="60" t="str">
        <f>IFERROR(__xludf.DUMMYFUNCTION("""COMPUTED_VALUE"""),"Off")</f>
        <v>Off</v>
      </c>
      <c r="D289" s="60" t="str">
        <f>IFERROR(__xludf.DUMMYFUNCTION("""COMPUTED_VALUE"""),"HOU")</f>
        <v>HOU</v>
      </c>
      <c r="E289" s="62" t="str">
        <f t="shared" si="4"/>
        <v>Houston Texans</v>
      </c>
      <c r="F289" s="62">
        <f t="shared" ref="F289:G289" si="578">IF(isblank(F$1),,IF(isblank($A289),,IFERROR(vlookup($A289,indirect("'TVC-"&amp;text(month(F$1),"00")&amp;"'!$A:$D"),4,false),1)))</f>
        <v>1</v>
      </c>
      <c r="G289" s="62">
        <f t="shared" si="578"/>
        <v>1</v>
      </c>
      <c r="H289" s="62">
        <f t="shared" ref="H289:Q289" si="579">IF(isblank(H$1),,IFERROR(vlookup($A289,indirect("'TVC-"&amp;text(month(H$1),"00")&amp;"'!$A:$D"),4,false),1))</f>
        <v>1</v>
      </c>
      <c r="I289" s="62">
        <f t="shared" si="579"/>
        <v>1</v>
      </c>
      <c r="J289" s="62">
        <f t="shared" si="579"/>
        <v>1</v>
      </c>
      <c r="K289" s="62">
        <f t="shared" si="579"/>
        <v>1</v>
      </c>
      <c r="L289" s="62">
        <f t="shared" si="579"/>
        <v>1</v>
      </c>
      <c r="M289" s="62">
        <f t="shared" si="579"/>
        <v>1</v>
      </c>
      <c r="N289" s="62">
        <f t="shared" si="579"/>
        <v>1</v>
      </c>
      <c r="O289" s="62">
        <f t="shared" si="579"/>
        <v>1</v>
      </c>
      <c r="P289" s="62" t="str">
        <f t="shared" si="579"/>
        <v/>
      </c>
      <c r="Q289" s="62" t="str">
        <f t="shared" si="579"/>
        <v/>
      </c>
      <c r="R289" s="62">
        <f t="shared" si="7"/>
        <v>0</v>
      </c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</row>
    <row r="290" hidden="1">
      <c r="A290" s="60">
        <f>IFERROR(__xludf.DUMMYFUNCTION("""COMPUTED_VALUE"""),651.0)</f>
        <v>651</v>
      </c>
      <c r="B290" s="60" t="str">
        <f>IFERROR(__xludf.DUMMYFUNCTION("""COMPUTED_VALUE"""),"Bills, Buffalo")</f>
        <v>Bills, Buffalo</v>
      </c>
      <c r="C290" s="60" t="str">
        <f>IFERROR(__xludf.DUMMYFUNCTION("""COMPUTED_VALUE"""),"TMQB")</f>
        <v>TMQB</v>
      </c>
      <c r="D290" s="60" t="str">
        <f>IFERROR(__xludf.DUMMYFUNCTION("""COMPUTED_VALUE"""),"BUF")</f>
        <v>BUF</v>
      </c>
      <c r="E290" s="62" t="str">
        <f t="shared" si="4"/>
        <v>Buffalo Bills</v>
      </c>
      <c r="F290" s="62">
        <f t="shared" ref="F290:G290" si="580">IF(isblank(F$1),,IF(isblank($A290),,IFERROR(vlookup($A290,indirect("'TVC-"&amp;text(month(F$1),"00")&amp;"'!$A:$D"),4,false),1)))</f>
        <v>1</v>
      </c>
      <c r="G290" s="62">
        <f t="shared" si="580"/>
        <v>1</v>
      </c>
      <c r="H290" s="62">
        <f t="shared" ref="H290:Q290" si="581">IF(isblank(H$1),,IFERROR(vlookup($A290,indirect("'TVC-"&amp;text(month(H$1),"00")&amp;"'!$A:$D"),4,false),1))</f>
        <v>1</v>
      </c>
      <c r="I290" s="62">
        <f t="shared" si="581"/>
        <v>1</v>
      </c>
      <c r="J290" s="62">
        <f t="shared" si="581"/>
        <v>1</v>
      </c>
      <c r="K290" s="62">
        <f t="shared" si="581"/>
        <v>1</v>
      </c>
      <c r="L290" s="62">
        <f t="shared" si="581"/>
        <v>1</v>
      </c>
      <c r="M290" s="62">
        <f t="shared" si="581"/>
        <v>1</v>
      </c>
      <c r="N290" s="62">
        <f t="shared" si="581"/>
        <v>1</v>
      </c>
      <c r="O290" s="62">
        <f t="shared" si="581"/>
        <v>1</v>
      </c>
      <c r="P290" s="62" t="str">
        <f t="shared" si="581"/>
        <v/>
      </c>
      <c r="Q290" s="62" t="str">
        <f t="shared" si="581"/>
        <v/>
      </c>
      <c r="R290" s="62">
        <f t="shared" si="7"/>
        <v>0</v>
      </c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</row>
    <row r="291" hidden="1">
      <c r="A291" s="60">
        <f>IFERROR(__xludf.DUMMYFUNCTION("""COMPUTED_VALUE"""),652.0)</f>
        <v>652</v>
      </c>
      <c r="B291" s="60" t="str">
        <f>IFERROR(__xludf.DUMMYFUNCTION("""COMPUTED_VALUE"""),"Colts, Indianapolis")</f>
        <v>Colts, Indianapolis</v>
      </c>
      <c r="C291" s="60" t="str">
        <f>IFERROR(__xludf.DUMMYFUNCTION("""COMPUTED_VALUE"""),"TMQB")</f>
        <v>TMQB</v>
      </c>
      <c r="D291" s="60" t="str">
        <f>IFERROR(__xludf.DUMMYFUNCTION("""COMPUTED_VALUE"""),"IND")</f>
        <v>IND</v>
      </c>
      <c r="E291" s="62" t="str">
        <f t="shared" si="4"/>
        <v>Indianapolis Colts</v>
      </c>
      <c r="F291" s="62">
        <f t="shared" ref="F291:G291" si="582">IF(isblank(F$1),,IF(isblank($A291),,IFERROR(vlookup($A291,indirect("'TVC-"&amp;text(month(F$1),"00")&amp;"'!$A:$D"),4,false),1)))</f>
        <v>1</v>
      </c>
      <c r="G291" s="62">
        <f t="shared" si="582"/>
        <v>1</v>
      </c>
      <c r="H291" s="62">
        <f t="shared" ref="H291:Q291" si="583">IF(isblank(H$1),,IFERROR(vlookup($A291,indirect("'TVC-"&amp;text(month(H$1),"00")&amp;"'!$A:$D"),4,false),1))</f>
        <v>1</v>
      </c>
      <c r="I291" s="62">
        <f t="shared" si="583"/>
        <v>1</v>
      </c>
      <c r="J291" s="62">
        <f t="shared" si="583"/>
        <v>1</v>
      </c>
      <c r="K291" s="62">
        <f t="shared" si="583"/>
        <v>1</v>
      </c>
      <c r="L291" s="62">
        <f t="shared" si="583"/>
        <v>1</v>
      </c>
      <c r="M291" s="62">
        <f t="shared" si="583"/>
        <v>1</v>
      </c>
      <c r="N291" s="62">
        <f t="shared" si="583"/>
        <v>1</v>
      </c>
      <c r="O291" s="62">
        <f t="shared" si="583"/>
        <v>1</v>
      </c>
      <c r="P291" s="62" t="str">
        <f t="shared" si="583"/>
        <v/>
      </c>
      <c r="Q291" s="62" t="str">
        <f t="shared" si="583"/>
        <v/>
      </c>
      <c r="R291" s="62">
        <f t="shared" si="7"/>
        <v>0</v>
      </c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</row>
    <row r="292" hidden="1">
      <c r="A292" s="60">
        <f>IFERROR(__xludf.DUMMYFUNCTION("""COMPUTED_VALUE"""),653.0)</f>
        <v>653</v>
      </c>
      <c r="B292" s="60" t="str">
        <f>IFERROR(__xludf.DUMMYFUNCTION("""COMPUTED_VALUE"""),"Dolphins, Miami")</f>
        <v>Dolphins, Miami</v>
      </c>
      <c r="C292" s="60" t="str">
        <f>IFERROR(__xludf.DUMMYFUNCTION("""COMPUTED_VALUE"""),"TMQB")</f>
        <v>TMQB</v>
      </c>
      <c r="D292" s="60" t="str">
        <f>IFERROR(__xludf.DUMMYFUNCTION("""COMPUTED_VALUE"""),"MIA")</f>
        <v>MIA</v>
      </c>
      <c r="E292" s="62" t="str">
        <f t="shared" si="4"/>
        <v>Miami Dolphins</v>
      </c>
      <c r="F292" s="62">
        <f t="shared" ref="F292:G292" si="584">IF(isblank(F$1),,IF(isblank($A292),,IFERROR(vlookup($A292,indirect("'TVC-"&amp;text(month(F$1),"00")&amp;"'!$A:$D"),4,false),1)))</f>
        <v>1</v>
      </c>
      <c r="G292" s="62">
        <f t="shared" si="584"/>
        <v>1</v>
      </c>
      <c r="H292" s="62">
        <f t="shared" ref="H292:Q292" si="585">IF(isblank(H$1),,IFERROR(vlookup($A292,indirect("'TVC-"&amp;text(month(H$1),"00")&amp;"'!$A:$D"),4,false),1))</f>
        <v>1</v>
      </c>
      <c r="I292" s="62">
        <f t="shared" si="585"/>
        <v>1</v>
      </c>
      <c r="J292" s="62">
        <f t="shared" si="585"/>
        <v>1</v>
      </c>
      <c r="K292" s="62">
        <f t="shared" si="585"/>
        <v>1</v>
      </c>
      <c r="L292" s="62">
        <f t="shared" si="585"/>
        <v>1</v>
      </c>
      <c r="M292" s="62">
        <f t="shared" si="585"/>
        <v>1</v>
      </c>
      <c r="N292" s="62">
        <f t="shared" si="585"/>
        <v>1</v>
      </c>
      <c r="O292" s="62">
        <f t="shared" si="585"/>
        <v>1</v>
      </c>
      <c r="P292" s="62" t="str">
        <f t="shared" si="585"/>
        <v/>
      </c>
      <c r="Q292" s="62" t="str">
        <f t="shared" si="585"/>
        <v/>
      </c>
      <c r="R292" s="62">
        <f t="shared" si="7"/>
        <v>0</v>
      </c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</row>
    <row r="293" hidden="1">
      <c r="A293" s="60">
        <f>IFERROR(__xludf.DUMMYFUNCTION("""COMPUTED_VALUE"""),654.0)</f>
        <v>654</v>
      </c>
      <c r="B293" s="60" t="str">
        <f>IFERROR(__xludf.DUMMYFUNCTION("""COMPUTED_VALUE"""),"Patriots, New England")</f>
        <v>Patriots, New England</v>
      </c>
      <c r="C293" s="60" t="str">
        <f>IFERROR(__xludf.DUMMYFUNCTION("""COMPUTED_VALUE"""),"TMQB")</f>
        <v>TMQB</v>
      </c>
      <c r="D293" s="60" t="str">
        <f>IFERROR(__xludf.DUMMYFUNCTION("""COMPUTED_VALUE"""),"NEP")</f>
        <v>NEP</v>
      </c>
      <c r="E293" s="62" t="str">
        <f t="shared" si="4"/>
        <v>New England Patriots</v>
      </c>
      <c r="F293" s="62">
        <f t="shared" ref="F293:G293" si="586">IF(isblank(F$1),,IF(isblank($A293),,IFERROR(vlookup($A293,indirect("'TVC-"&amp;text(month(F$1),"00")&amp;"'!$A:$D"),4,false),1)))</f>
        <v>1</v>
      </c>
      <c r="G293" s="62">
        <f t="shared" si="586"/>
        <v>1</v>
      </c>
      <c r="H293" s="62">
        <f t="shared" ref="H293:Q293" si="587">IF(isblank(H$1),,IFERROR(vlookup($A293,indirect("'TVC-"&amp;text(month(H$1),"00")&amp;"'!$A:$D"),4,false),1))</f>
        <v>1</v>
      </c>
      <c r="I293" s="62">
        <f t="shared" si="587"/>
        <v>1</v>
      </c>
      <c r="J293" s="62">
        <f t="shared" si="587"/>
        <v>1</v>
      </c>
      <c r="K293" s="62">
        <f t="shared" si="587"/>
        <v>1</v>
      </c>
      <c r="L293" s="62">
        <f t="shared" si="587"/>
        <v>1</v>
      </c>
      <c r="M293" s="62">
        <f t="shared" si="587"/>
        <v>1</v>
      </c>
      <c r="N293" s="62">
        <f t="shared" si="587"/>
        <v>1</v>
      </c>
      <c r="O293" s="62">
        <f t="shared" si="587"/>
        <v>1</v>
      </c>
      <c r="P293" s="62" t="str">
        <f t="shared" si="587"/>
        <v/>
      </c>
      <c r="Q293" s="62" t="str">
        <f t="shared" si="587"/>
        <v/>
      </c>
      <c r="R293" s="62">
        <f t="shared" si="7"/>
        <v>0</v>
      </c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</row>
    <row r="294" hidden="1">
      <c r="A294" s="60">
        <f>IFERROR(__xludf.DUMMYFUNCTION("""COMPUTED_VALUE"""),655.0)</f>
        <v>655</v>
      </c>
      <c r="B294" s="60" t="str">
        <f>IFERROR(__xludf.DUMMYFUNCTION("""COMPUTED_VALUE"""),"Jets, New York")</f>
        <v>Jets, New York</v>
      </c>
      <c r="C294" s="60" t="str">
        <f>IFERROR(__xludf.DUMMYFUNCTION("""COMPUTED_VALUE"""),"TMQB")</f>
        <v>TMQB</v>
      </c>
      <c r="D294" s="60" t="str">
        <f>IFERROR(__xludf.DUMMYFUNCTION("""COMPUTED_VALUE"""),"NYJ")</f>
        <v>NYJ</v>
      </c>
      <c r="E294" s="62" t="str">
        <f t="shared" si="4"/>
        <v>New York Jets</v>
      </c>
      <c r="F294" s="62">
        <f t="shared" ref="F294:G294" si="588">IF(isblank(F$1),,IF(isblank($A294),,IFERROR(vlookup($A294,indirect("'TVC-"&amp;text(month(F$1),"00")&amp;"'!$A:$D"),4,false),1)))</f>
        <v>1</v>
      </c>
      <c r="G294" s="62">
        <f t="shared" si="588"/>
        <v>1</v>
      </c>
      <c r="H294" s="62">
        <f t="shared" ref="H294:Q294" si="589">IF(isblank(H$1),,IFERROR(vlookup($A294,indirect("'TVC-"&amp;text(month(H$1),"00")&amp;"'!$A:$D"),4,false),1))</f>
        <v>1</v>
      </c>
      <c r="I294" s="62">
        <f t="shared" si="589"/>
        <v>1</v>
      </c>
      <c r="J294" s="62">
        <f t="shared" si="589"/>
        <v>1</v>
      </c>
      <c r="K294" s="62">
        <f t="shared" si="589"/>
        <v>1</v>
      </c>
      <c r="L294" s="62">
        <f t="shared" si="589"/>
        <v>1</v>
      </c>
      <c r="M294" s="62">
        <f t="shared" si="589"/>
        <v>1</v>
      </c>
      <c r="N294" s="62">
        <f t="shared" si="589"/>
        <v>1</v>
      </c>
      <c r="O294" s="62">
        <f t="shared" si="589"/>
        <v>1</v>
      </c>
      <c r="P294" s="62" t="str">
        <f t="shared" si="589"/>
        <v/>
      </c>
      <c r="Q294" s="62" t="str">
        <f t="shared" si="589"/>
        <v/>
      </c>
      <c r="R294" s="62">
        <f t="shared" si="7"/>
        <v>0</v>
      </c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</row>
    <row r="295" hidden="1">
      <c r="A295" s="60">
        <f>IFERROR(__xludf.DUMMYFUNCTION("""COMPUTED_VALUE"""),656.0)</f>
        <v>656</v>
      </c>
      <c r="B295" s="60" t="str">
        <f>IFERROR(__xludf.DUMMYFUNCTION("""COMPUTED_VALUE"""),"Bengals, Cincinnati")</f>
        <v>Bengals, Cincinnati</v>
      </c>
      <c r="C295" s="60" t="str">
        <f>IFERROR(__xludf.DUMMYFUNCTION("""COMPUTED_VALUE"""),"TMQB")</f>
        <v>TMQB</v>
      </c>
      <c r="D295" s="60" t="str">
        <f>IFERROR(__xludf.DUMMYFUNCTION("""COMPUTED_VALUE"""),"CIN")</f>
        <v>CIN</v>
      </c>
      <c r="E295" s="62" t="str">
        <f t="shared" si="4"/>
        <v>Cincinnati Bengals</v>
      </c>
      <c r="F295" s="62">
        <f t="shared" ref="F295:G295" si="590">IF(isblank(F$1),,IF(isblank($A295),,IFERROR(vlookup($A295,indirect("'TVC-"&amp;text(month(F$1),"00")&amp;"'!$A:$D"),4,false),1)))</f>
        <v>1</v>
      </c>
      <c r="G295" s="62">
        <f t="shared" si="590"/>
        <v>1</v>
      </c>
      <c r="H295" s="62">
        <f t="shared" ref="H295:Q295" si="591">IF(isblank(H$1),,IFERROR(vlookup($A295,indirect("'TVC-"&amp;text(month(H$1),"00")&amp;"'!$A:$D"),4,false),1))</f>
        <v>1</v>
      </c>
      <c r="I295" s="62">
        <f t="shared" si="591"/>
        <v>1</v>
      </c>
      <c r="J295" s="62">
        <f t="shared" si="591"/>
        <v>1</v>
      </c>
      <c r="K295" s="62">
        <f t="shared" si="591"/>
        <v>1</v>
      </c>
      <c r="L295" s="62">
        <f t="shared" si="591"/>
        <v>1</v>
      </c>
      <c r="M295" s="62">
        <f t="shared" si="591"/>
        <v>1</v>
      </c>
      <c r="N295" s="62">
        <f t="shared" si="591"/>
        <v>1</v>
      </c>
      <c r="O295" s="62">
        <f t="shared" si="591"/>
        <v>1</v>
      </c>
      <c r="P295" s="62" t="str">
        <f t="shared" si="591"/>
        <v/>
      </c>
      <c r="Q295" s="62" t="str">
        <f t="shared" si="591"/>
        <v/>
      </c>
      <c r="R295" s="62">
        <f t="shared" si="7"/>
        <v>0</v>
      </c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</row>
    <row r="296" hidden="1">
      <c r="A296" s="60">
        <f>IFERROR(__xludf.DUMMYFUNCTION("""COMPUTED_VALUE"""),657.0)</f>
        <v>657</v>
      </c>
      <c r="B296" s="60" t="str">
        <f>IFERROR(__xludf.DUMMYFUNCTION("""COMPUTED_VALUE"""),"Browns, Cleveland")</f>
        <v>Browns, Cleveland</v>
      </c>
      <c r="C296" s="60" t="str">
        <f>IFERROR(__xludf.DUMMYFUNCTION("""COMPUTED_VALUE"""),"TMQB")</f>
        <v>TMQB</v>
      </c>
      <c r="D296" s="60" t="str">
        <f>IFERROR(__xludf.DUMMYFUNCTION("""COMPUTED_VALUE"""),"CLE")</f>
        <v>CLE</v>
      </c>
      <c r="E296" s="62" t="str">
        <f t="shared" si="4"/>
        <v>Cleveland Browns</v>
      </c>
      <c r="F296" s="62">
        <f t="shared" ref="F296:G296" si="592">IF(isblank(F$1),,IF(isblank($A296),,IFERROR(vlookup($A296,indirect("'TVC-"&amp;text(month(F$1),"00")&amp;"'!$A:$D"),4,false),1)))</f>
        <v>1</v>
      </c>
      <c r="G296" s="62">
        <f t="shared" si="592"/>
        <v>1</v>
      </c>
      <c r="H296" s="62">
        <f t="shared" ref="H296:Q296" si="593">IF(isblank(H$1),,IFERROR(vlookup($A296,indirect("'TVC-"&amp;text(month(H$1),"00")&amp;"'!$A:$D"),4,false),1))</f>
        <v>1</v>
      </c>
      <c r="I296" s="62">
        <f t="shared" si="593"/>
        <v>1</v>
      </c>
      <c r="J296" s="62">
        <f t="shared" si="593"/>
        <v>1</v>
      </c>
      <c r="K296" s="62">
        <f t="shared" si="593"/>
        <v>1</v>
      </c>
      <c r="L296" s="62">
        <f t="shared" si="593"/>
        <v>1</v>
      </c>
      <c r="M296" s="62">
        <f t="shared" si="593"/>
        <v>1</v>
      </c>
      <c r="N296" s="62">
        <f t="shared" si="593"/>
        <v>1</v>
      </c>
      <c r="O296" s="62">
        <f t="shared" si="593"/>
        <v>1</v>
      </c>
      <c r="P296" s="62" t="str">
        <f t="shared" si="593"/>
        <v/>
      </c>
      <c r="Q296" s="62" t="str">
        <f t="shared" si="593"/>
        <v/>
      </c>
      <c r="R296" s="62">
        <f t="shared" si="7"/>
        <v>0</v>
      </c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</row>
    <row r="297" hidden="1">
      <c r="A297" s="60">
        <f>IFERROR(__xludf.DUMMYFUNCTION("""COMPUTED_VALUE"""),658.0)</f>
        <v>658</v>
      </c>
      <c r="B297" s="60" t="str">
        <f>IFERROR(__xludf.DUMMYFUNCTION("""COMPUTED_VALUE"""),"Titans, Tennessee")</f>
        <v>Titans, Tennessee</v>
      </c>
      <c r="C297" s="60" t="str">
        <f>IFERROR(__xludf.DUMMYFUNCTION("""COMPUTED_VALUE"""),"TMQB")</f>
        <v>TMQB</v>
      </c>
      <c r="D297" s="60" t="str">
        <f>IFERROR(__xludf.DUMMYFUNCTION("""COMPUTED_VALUE"""),"TEN")</f>
        <v>TEN</v>
      </c>
      <c r="E297" s="62" t="str">
        <f t="shared" si="4"/>
        <v>Tennessee Titans</v>
      </c>
      <c r="F297" s="62">
        <f t="shared" ref="F297:G297" si="594">IF(isblank(F$1),,IF(isblank($A297),,IFERROR(vlookup($A297,indirect("'TVC-"&amp;text(month(F$1),"00")&amp;"'!$A:$D"),4,false),1)))</f>
        <v>1</v>
      </c>
      <c r="G297" s="62">
        <f t="shared" si="594"/>
        <v>1</v>
      </c>
      <c r="H297" s="62">
        <f t="shared" ref="H297:Q297" si="595">IF(isblank(H$1),,IFERROR(vlookup($A297,indirect("'TVC-"&amp;text(month(H$1),"00")&amp;"'!$A:$D"),4,false),1))</f>
        <v>1</v>
      </c>
      <c r="I297" s="62">
        <f t="shared" si="595"/>
        <v>1</v>
      </c>
      <c r="J297" s="62">
        <f t="shared" si="595"/>
        <v>1</v>
      </c>
      <c r="K297" s="62">
        <f t="shared" si="595"/>
        <v>1</v>
      </c>
      <c r="L297" s="62">
        <f t="shared" si="595"/>
        <v>1</v>
      </c>
      <c r="M297" s="62">
        <f t="shared" si="595"/>
        <v>1</v>
      </c>
      <c r="N297" s="62">
        <f t="shared" si="595"/>
        <v>1</v>
      </c>
      <c r="O297" s="62">
        <f t="shared" si="595"/>
        <v>1</v>
      </c>
      <c r="P297" s="62" t="str">
        <f t="shared" si="595"/>
        <v/>
      </c>
      <c r="Q297" s="62" t="str">
        <f t="shared" si="595"/>
        <v/>
      </c>
      <c r="R297" s="62">
        <f t="shared" si="7"/>
        <v>0</v>
      </c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</row>
    <row r="298" hidden="1">
      <c r="A298" s="60">
        <f>IFERROR(__xludf.DUMMYFUNCTION("""COMPUTED_VALUE"""),659.0)</f>
        <v>659</v>
      </c>
      <c r="B298" s="60" t="str">
        <f>IFERROR(__xludf.DUMMYFUNCTION("""COMPUTED_VALUE"""),"Jaguars, Jacksonville")</f>
        <v>Jaguars, Jacksonville</v>
      </c>
      <c r="C298" s="60" t="str">
        <f>IFERROR(__xludf.DUMMYFUNCTION("""COMPUTED_VALUE"""),"TMQB")</f>
        <v>TMQB</v>
      </c>
      <c r="D298" s="60" t="str">
        <f>IFERROR(__xludf.DUMMYFUNCTION("""COMPUTED_VALUE"""),"JAC")</f>
        <v>JAC</v>
      </c>
      <c r="E298" s="62" t="str">
        <f t="shared" si="4"/>
        <v>Jacksonville Jaguars</v>
      </c>
      <c r="F298" s="62">
        <f t="shared" ref="F298:G298" si="596">IF(isblank(F$1),,IF(isblank($A298),,IFERROR(vlookup($A298,indirect("'TVC-"&amp;text(month(F$1),"00")&amp;"'!$A:$D"),4,false),1)))</f>
        <v>1</v>
      </c>
      <c r="G298" s="62">
        <f t="shared" si="596"/>
        <v>1</v>
      </c>
      <c r="H298" s="62">
        <f t="shared" ref="H298:Q298" si="597">IF(isblank(H$1),,IFERROR(vlookup($A298,indirect("'TVC-"&amp;text(month(H$1),"00")&amp;"'!$A:$D"),4,false),1))</f>
        <v>1</v>
      </c>
      <c r="I298" s="62">
        <f t="shared" si="597"/>
        <v>1</v>
      </c>
      <c r="J298" s="62">
        <f t="shared" si="597"/>
        <v>1</v>
      </c>
      <c r="K298" s="62">
        <f t="shared" si="597"/>
        <v>1</v>
      </c>
      <c r="L298" s="62">
        <f t="shared" si="597"/>
        <v>1</v>
      </c>
      <c r="M298" s="62">
        <f t="shared" si="597"/>
        <v>1</v>
      </c>
      <c r="N298" s="62">
        <f t="shared" si="597"/>
        <v>1</v>
      </c>
      <c r="O298" s="62">
        <f t="shared" si="597"/>
        <v>1</v>
      </c>
      <c r="P298" s="62" t="str">
        <f t="shared" si="597"/>
        <v/>
      </c>
      <c r="Q298" s="62" t="str">
        <f t="shared" si="597"/>
        <v/>
      </c>
      <c r="R298" s="62">
        <f t="shared" si="7"/>
        <v>0</v>
      </c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</row>
    <row r="299" hidden="1">
      <c r="A299" s="60">
        <f>IFERROR(__xludf.DUMMYFUNCTION("""COMPUTED_VALUE"""),660.0)</f>
        <v>660</v>
      </c>
      <c r="B299" s="60" t="str">
        <f>IFERROR(__xludf.DUMMYFUNCTION("""COMPUTED_VALUE"""),"Steelers, Pittsburgh")</f>
        <v>Steelers, Pittsburgh</v>
      </c>
      <c r="C299" s="60" t="str">
        <f>IFERROR(__xludf.DUMMYFUNCTION("""COMPUTED_VALUE"""),"TMQB")</f>
        <v>TMQB</v>
      </c>
      <c r="D299" s="60" t="str">
        <f>IFERROR(__xludf.DUMMYFUNCTION("""COMPUTED_VALUE"""),"PIT")</f>
        <v>PIT</v>
      </c>
      <c r="E299" s="62" t="str">
        <f t="shared" si="4"/>
        <v>Pittsburgh Steelers</v>
      </c>
      <c r="F299" s="62">
        <f t="shared" ref="F299:G299" si="598">IF(isblank(F$1),,IF(isblank($A299),,IFERROR(vlookup($A299,indirect("'TVC-"&amp;text(month(F$1),"00")&amp;"'!$A:$D"),4,false),1)))</f>
        <v>1</v>
      </c>
      <c r="G299" s="62">
        <f t="shared" si="598"/>
        <v>1</v>
      </c>
      <c r="H299" s="62">
        <f t="shared" ref="H299:Q299" si="599">IF(isblank(H$1),,IFERROR(vlookup($A299,indirect("'TVC-"&amp;text(month(H$1),"00")&amp;"'!$A:$D"),4,false),1))</f>
        <v>1</v>
      </c>
      <c r="I299" s="62">
        <f t="shared" si="599"/>
        <v>1</v>
      </c>
      <c r="J299" s="62">
        <f t="shared" si="599"/>
        <v>1</v>
      </c>
      <c r="K299" s="62">
        <f t="shared" si="599"/>
        <v>1</v>
      </c>
      <c r="L299" s="62">
        <f t="shared" si="599"/>
        <v>1</v>
      </c>
      <c r="M299" s="62">
        <f t="shared" si="599"/>
        <v>1</v>
      </c>
      <c r="N299" s="62">
        <f t="shared" si="599"/>
        <v>1</v>
      </c>
      <c r="O299" s="62">
        <f t="shared" si="599"/>
        <v>1</v>
      </c>
      <c r="P299" s="62" t="str">
        <f t="shared" si="599"/>
        <v/>
      </c>
      <c r="Q299" s="62" t="str">
        <f t="shared" si="599"/>
        <v/>
      </c>
      <c r="R299" s="62">
        <f t="shared" si="7"/>
        <v>0</v>
      </c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</row>
    <row r="300" hidden="1">
      <c r="A300" s="60">
        <f>IFERROR(__xludf.DUMMYFUNCTION("""COMPUTED_VALUE"""),661.0)</f>
        <v>661</v>
      </c>
      <c r="B300" s="60" t="str">
        <f>IFERROR(__xludf.DUMMYFUNCTION("""COMPUTED_VALUE"""),"Broncos, Denver")</f>
        <v>Broncos, Denver</v>
      </c>
      <c r="C300" s="60" t="str">
        <f>IFERROR(__xludf.DUMMYFUNCTION("""COMPUTED_VALUE"""),"TMQB")</f>
        <v>TMQB</v>
      </c>
      <c r="D300" s="60" t="str">
        <f>IFERROR(__xludf.DUMMYFUNCTION("""COMPUTED_VALUE"""),"DEN")</f>
        <v>DEN</v>
      </c>
      <c r="E300" s="62" t="str">
        <f t="shared" si="4"/>
        <v>Denver Broncos</v>
      </c>
      <c r="F300" s="62">
        <f t="shared" ref="F300:G300" si="600">IF(isblank(F$1),,IF(isblank($A300),,IFERROR(vlookup($A300,indirect("'TVC-"&amp;text(month(F$1),"00")&amp;"'!$A:$D"),4,false),1)))</f>
        <v>1</v>
      </c>
      <c r="G300" s="62">
        <f t="shared" si="600"/>
        <v>1</v>
      </c>
      <c r="H300" s="62">
        <f t="shared" ref="H300:Q300" si="601">IF(isblank(H$1),,IFERROR(vlookup($A300,indirect("'TVC-"&amp;text(month(H$1),"00")&amp;"'!$A:$D"),4,false),1))</f>
        <v>1</v>
      </c>
      <c r="I300" s="62">
        <f t="shared" si="601"/>
        <v>1</v>
      </c>
      <c r="J300" s="62">
        <f t="shared" si="601"/>
        <v>1</v>
      </c>
      <c r="K300" s="62">
        <f t="shared" si="601"/>
        <v>1</v>
      </c>
      <c r="L300" s="62">
        <f t="shared" si="601"/>
        <v>1</v>
      </c>
      <c r="M300" s="62">
        <f t="shared" si="601"/>
        <v>1</v>
      </c>
      <c r="N300" s="62">
        <f t="shared" si="601"/>
        <v>1</v>
      </c>
      <c r="O300" s="62">
        <f t="shared" si="601"/>
        <v>1</v>
      </c>
      <c r="P300" s="62" t="str">
        <f t="shared" si="601"/>
        <v/>
      </c>
      <c r="Q300" s="62" t="str">
        <f t="shared" si="601"/>
        <v/>
      </c>
      <c r="R300" s="62">
        <f t="shared" si="7"/>
        <v>0</v>
      </c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</row>
    <row r="301" hidden="1">
      <c r="A301" s="60">
        <f>IFERROR(__xludf.DUMMYFUNCTION("""COMPUTED_VALUE"""),662.0)</f>
        <v>662</v>
      </c>
      <c r="B301" s="60" t="str">
        <f>IFERROR(__xludf.DUMMYFUNCTION("""COMPUTED_VALUE"""),"Chiefs, Kansas City")</f>
        <v>Chiefs, Kansas City</v>
      </c>
      <c r="C301" s="60" t="str">
        <f>IFERROR(__xludf.DUMMYFUNCTION("""COMPUTED_VALUE"""),"TMQB")</f>
        <v>TMQB</v>
      </c>
      <c r="D301" s="60" t="str">
        <f>IFERROR(__xludf.DUMMYFUNCTION("""COMPUTED_VALUE"""),"KCC")</f>
        <v>KCC</v>
      </c>
      <c r="E301" s="62" t="str">
        <f t="shared" si="4"/>
        <v>Kansas City Chiefs</v>
      </c>
      <c r="F301" s="62">
        <f t="shared" ref="F301:G301" si="602">IF(isblank(F$1),,IF(isblank($A301),,IFERROR(vlookup($A301,indirect("'TVC-"&amp;text(month(F$1),"00")&amp;"'!$A:$D"),4,false),1)))</f>
        <v>1</v>
      </c>
      <c r="G301" s="62">
        <f t="shared" si="602"/>
        <v>1</v>
      </c>
      <c r="H301" s="62">
        <f t="shared" ref="H301:Q301" si="603">IF(isblank(H$1),,IFERROR(vlookup($A301,indirect("'TVC-"&amp;text(month(H$1),"00")&amp;"'!$A:$D"),4,false),1))</f>
        <v>1</v>
      </c>
      <c r="I301" s="62">
        <f t="shared" si="603"/>
        <v>1</v>
      </c>
      <c r="J301" s="62">
        <f t="shared" si="603"/>
        <v>1</v>
      </c>
      <c r="K301" s="62">
        <f t="shared" si="603"/>
        <v>1</v>
      </c>
      <c r="L301" s="62">
        <f t="shared" si="603"/>
        <v>1</v>
      </c>
      <c r="M301" s="62">
        <f t="shared" si="603"/>
        <v>1</v>
      </c>
      <c r="N301" s="62">
        <f t="shared" si="603"/>
        <v>1</v>
      </c>
      <c r="O301" s="62">
        <f t="shared" si="603"/>
        <v>1</v>
      </c>
      <c r="P301" s="62" t="str">
        <f t="shared" si="603"/>
        <v/>
      </c>
      <c r="Q301" s="62" t="str">
        <f t="shared" si="603"/>
        <v/>
      </c>
      <c r="R301" s="62">
        <f t="shared" si="7"/>
        <v>0</v>
      </c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</row>
    <row r="302" hidden="1">
      <c r="A302" s="60">
        <f>IFERROR(__xludf.DUMMYFUNCTION("""COMPUTED_VALUE"""),663.0)</f>
        <v>663</v>
      </c>
      <c r="B302" s="60" t="str">
        <f>IFERROR(__xludf.DUMMYFUNCTION("""COMPUTED_VALUE"""),"Raiders, Las Vegas")</f>
        <v>Raiders, Las Vegas</v>
      </c>
      <c r="C302" s="60" t="str">
        <f>IFERROR(__xludf.DUMMYFUNCTION("""COMPUTED_VALUE"""),"TMQB")</f>
        <v>TMQB</v>
      </c>
      <c r="D302" s="60" t="str">
        <f>IFERROR(__xludf.DUMMYFUNCTION("""COMPUTED_VALUE"""),"LVR")</f>
        <v>LVR</v>
      </c>
      <c r="E302" s="62" t="str">
        <f t="shared" si="4"/>
        <v>Las Vegas Raiders</v>
      </c>
      <c r="F302" s="62">
        <f t="shared" ref="F302:G302" si="604">IF(isblank(F$1),,IF(isblank($A302),,IFERROR(vlookup($A302,indirect("'TVC-"&amp;text(month(F$1),"00")&amp;"'!$A:$D"),4,false),1)))</f>
        <v>1</v>
      </c>
      <c r="G302" s="62">
        <f t="shared" si="604"/>
        <v>1</v>
      </c>
      <c r="H302" s="62">
        <f t="shared" ref="H302:Q302" si="605">IF(isblank(H$1),,IFERROR(vlookup($A302,indirect("'TVC-"&amp;text(month(H$1),"00")&amp;"'!$A:$D"),4,false),1))</f>
        <v>1</v>
      </c>
      <c r="I302" s="62">
        <f t="shared" si="605"/>
        <v>1</v>
      </c>
      <c r="J302" s="62">
        <f t="shared" si="605"/>
        <v>1</v>
      </c>
      <c r="K302" s="62">
        <f t="shared" si="605"/>
        <v>1</v>
      </c>
      <c r="L302" s="62">
        <f t="shared" si="605"/>
        <v>1</v>
      </c>
      <c r="M302" s="62">
        <f t="shared" si="605"/>
        <v>1</v>
      </c>
      <c r="N302" s="62">
        <f t="shared" si="605"/>
        <v>1</v>
      </c>
      <c r="O302" s="62">
        <f t="shared" si="605"/>
        <v>1</v>
      </c>
      <c r="P302" s="62" t="str">
        <f t="shared" si="605"/>
        <v/>
      </c>
      <c r="Q302" s="62" t="str">
        <f t="shared" si="605"/>
        <v/>
      </c>
      <c r="R302" s="62">
        <f t="shared" si="7"/>
        <v>0</v>
      </c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</row>
    <row r="303" hidden="1">
      <c r="A303" s="60">
        <f>IFERROR(__xludf.DUMMYFUNCTION("""COMPUTED_VALUE"""),664.0)</f>
        <v>664</v>
      </c>
      <c r="B303" s="60" t="str">
        <f>IFERROR(__xludf.DUMMYFUNCTION("""COMPUTED_VALUE"""),"Chargers, Los Angeles")</f>
        <v>Chargers, Los Angeles</v>
      </c>
      <c r="C303" s="60" t="str">
        <f>IFERROR(__xludf.DUMMYFUNCTION("""COMPUTED_VALUE"""),"TMQB")</f>
        <v>TMQB</v>
      </c>
      <c r="D303" s="60" t="str">
        <f>IFERROR(__xludf.DUMMYFUNCTION("""COMPUTED_VALUE"""),"LAC")</f>
        <v>LAC</v>
      </c>
      <c r="E303" s="62" t="str">
        <f t="shared" si="4"/>
        <v>Los Angeles Chargers</v>
      </c>
      <c r="F303" s="62">
        <f t="shared" ref="F303:G303" si="606">IF(isblank(F$1),,IF(isblank($A303),,IFERROR(vlookup($A303,indirect("'TVC-"&amp;text(month(F$1),"00")&amp;"'!$A:$D"),4,false),1)))</f>
        <v>1</v>
      </c>
      <c r="G303" s="62">
        <f t="shared" si="606"/>
        <v>1</v>
      </c>
      <c r="H303" s="62">
        <f t="shared" ref="H303:Q303" si="607">IF(isblank(H$1),,IFERROR(vlookup($A303,indirect("'TVC-"&amp;text(month(H$1),"00")&amp;"'!$A:$D"),4,false),1))</f>
        <v>1</v>
      </c>
      <c r="I303" s="62">
        <f t="shared" si="607"/>
        <v>1</v>
      </c>
      <c r="J303" s="62">
        <f t="shared" si="607"/>
        <v>1</v>
      </c>
      <c r="K303" s="62">
        <f t="shared" si="607"/>
        <v>1</v>
      </c>
      <c r="L303" s="62">
        <f t="shared" si="607"/>
        <v>1</v>
      </c>
      <c r="M303" s="62">
        <f t="shared" si="607"/>
        <v>1</v>
      </c>
      <c r="N303" s="62">
        <f t="shared" si="607"/>
        <v>1</v>
      </c>
      <c r="O303" s="62">
        <f t="shared" si="607"/>
        <v>1</v>
      </c>
      <c r="P303" s="62" t="str">
        <f t="shared" si="607"/>
        <v/>
      </c>
      <c r="Q303" s="62" t="str">
        <f t="shared" si="607"/>
        <v/>
      </c>
      <c r="R303" s="62">
        <f t="shared" si="7"/>
        <v>0</v>
      </c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</row>
    <row r="304" hidden="1">
      <c r="A304" s="60">
        <f>IFERROR(__xludf.DUMMYFUNCTION("""COMPUTED_VALUE"""),665.0)</f>
        <v>665</v>
      </c>
      <c r="B304" s="60" t="str">
        <f>IFERROR(__xludf.DUMMYFUNCTION("""COMPUTED_VALUE"""),"Seahawks, Seattle")</f>
        <v>Seahawks, Seattle</v>
      </c>
      <c r="C304" s="60" t="str">
        <f>IFERROR(__xludf.DUMMYFUNCTION("""COMPUTED_VALUE"""),"TMQB")</f>
        <v>TMQB</v>
      </c>
      <c r="D304" s="60" t="str">
        <f>IFERROR(__xludf.DUMMYFUNCTION("""COMPUTED_VALUE"""),"SEA")</f>
        <v>SEA</v>
      </c>
      <c r="E304" s="62" t="str">
        <f t="shared" si="4"/>
        <v>Seattle Seahawks</v>
      </c>
      <c r="F304" s="62">
        <f t="shared" ref="F304:G304" si="608">IF(isblank(F$1),,IF(isblank($A304),,IFERROR(vlookup($A304,indirect("'TVC-"&amp;text(month(F$1),"00")&amp;"'!$A:$D"),4,false),1)))</f>
        <v>1</v>
      </c>
      <c r="G304" s="62">
        <f t="shared" si="608"/>
        <v>1</v>
      </c>
      <c r="H304" s="62">
        <f t="shared" ref="H304:Q304" si="609">IF(isblank(H$1),,IFERROR(vlookup($A304,indirect("'TVC-"&amp;text(month(H$1),"00")&amp;"'!$A:$D"),4,false),1))</f>
        <v>1</v>
      </c>
      <c r="I304" s="62">
        <f t="shared" si="609"/>
        <v>1</v>
      </c>
      <c r="J304" s="62">
        <f t="shared" si="609"/>
        <v>1</v>
      </c>
      <c r="K304" s="62">
        <f t="shared" si="609"/>
        <v>1</v>
      </c>
      <c r="L304" s="62">
        <f t="shared" si="609"/>
        <v>1</v>
      </c>
      <c r="M304" s="62">
        <f t="shared" si="609"/>
        <v>1</v>
      </c>
      <c r="N304" s="62">
        <f t="shared" si="609"/>
        <v>1</v>
      </c>
      <c r="O304" s="62">
        <f t="shared" si="609"/>
        <v>1</v>
      </c>
      <c r="P304" s="62" t="str">
        <f t="shared" si="609"/>
        <v/>
      </c>
      <c r="Q304" s="62" t="str">
        <f t="shared" si="609"/>
        <v/>
      </c>
      <c r="R304" s="62">
        <f t="shared" si="7"/>
        <v>0</v>
      </c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</row>
    <row r="305" hidden="1">
      <c r="A305" s="60">
        <f>IFERROR(__xludf.DUMMYFUNCTION("""COMPUTED_VALUE"""),666.0)</f>
        <v>666</v>
      </c>
      <c r="B305" s="60" t="str">
        <f>IFERROR(__xludf.DUMMYFUNCTION("""COMPUTED_VALUE"""),"Cowboys, Dallas")</f>
        <v>Cowboys, Dallas</v>
      </c>
      <c r="C305" s="60" t="str">
        <f>IFERROR(__xludf.DUMMYFUNCTION("""COMPUTED_VALUE"""),"TMQB")</f>
        <v>TMQB</v>
      </c>
      <c r="D305" s="60" t="str">
        <f>IFERROR(__xludf.DUMMYFUNCTION("""COMPUTED_VALUE"""),"DAL")</f>
        <v>DAL</v>
      </c>
      <c r="E305" s="62" t="str">
        <f t="shared" si="4"/>
        <v>Dallas Cowboys</v>
      </c>
      <c r="F305" s="62">
        <f t="shared" ref="F305:G305" si="610">IF(isblank(F$1),,IF(isblank($A305),,IFERROR(vlookup($A305,indirect("'TVC-"&amp;text(month(F$1),"00")&amp;"'!$A:$D"),4,false),1)))</f>
        <v>1</v>
      </c>
      <c r="G305" s="62">
        <f t="shared" si="610"/>
        <v>1</v>
      </c>
      <c r="H305" s="62">
        <f t="shared" ref="H305:Q305" si="611">IF(isblank(H$1),,IFERROR(vlookup($A305,indirect("'TVC-"&amp;text(month(H$1),"00")&amp;"'!$A:$D"),4,false),1))</f>
        <v>1</v>
      </c>
      <c r="I305" s="62">
        <f t="shared" si="611"/>
        <v>1</v>
      </c>
      <c r="J305" s="62">
        <f t="shared" si="611"/>
        <v>1</v>
      </c>
      <c r="K305" s="62">
        <f t="shared" si="611"/>
        <v>1</v>
      </c>
      <c r="L305" s="62">
        <f t="shared" si="611"/>
        <v>1</v>
      </c>
      <c r="M305" s="62">
        <f t="shared" si="611"/>
        <v>1</v>
      </c>
      <c r="N305" s="62">
        <f t="shared" si="611"/>
        <v>1</v>
      </c>
      <c r="O305" s="62">
        <f t="shared" si="611"/>
        <v>1</v>
      </c>
      <c r="P305" s="62" t="str">
        <f t="shared" si="611"/>
        <v/>
      </c>
      <c r="Q305" s="62" t="str">
        <f t="shared" si="611"/>
        <v/>
      </c>
      <c r="R305" s="62">
        <f t="shared" si="7"/>
        <v>0</v>
      </c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</row>
    <row r="306" hidden="1">
      <c r="A306" s="60">
        <f>IFERROR(__xludf.DUMMYFUNCTION("""COMPUTED_VALUE"""),667.0)</f>
        <v>667</v>
      </c>
      <c r="B306" s="60" t="str">
        <f>IFERROR(__xludf.DUMMYFUNCTION("""COMPUTED_VALUE"""),"Giants, New York")</f>
        <v>Giants, New York</v>
      </c>
      <c r="C306" s="60" t="str">
        <f>IFERROR(__xludf.DUMMYFUNCTION("""COMPUTED_VALUE"""),"TMQB")</f>
        <v>TMQB</v>
      </c>
      <c r="D306" s="60" t="str">
        <f>IFERROR(__xludf.DUMMYFUNCTION("""COMPUTED_VALUE"""),"NYG")</f>
        <v>NYG</v>
      </c>
      <c r="E306" s="62" t="str">
        <f t="shared" si="4"/>
        <v>New York Giants</v>
      </c>
      <c r="F306" s="62">
        <f t="shared" ref="F306:G306" si="612">IF(isblank(F$1),,IF(isblank($A306),,IFERROR(vlookup($A306,indirect("'TVC-"&amp;text(month(F$1),"00")&amp;"'!$A:$D"),4,false),1)))</f>
        <v>1</v>
      </c>
      <c r="G306" s="62">
        <f t="shared" si="612"/>
        <v>1</v>
      </c>
      <c r="H306" s="62">
        <f t="shared" ref="H306:Q306" si="613">IF(isblank(H$1),,IFERROR(vlookup($A306,indirect("'TVC-"&amp;text(month(H$1),"00")&amp;"'!$A:$D"),4,false),1))</f>
        <v>1</v>
      </c>
      <c r="I306" s="62">
        <f t="shared" si="613"/>
        <v>1</v>
      </c>
      <c r="J306" s="62">
        <f t="shared" si="613"/>
        <v>1</v>
      </c>
      <c r="K306" s="62">
        <f t="shared" si="613"/>
        <v>1</v>
      </c>
      <c r="L306" s="62">
        <f t="shared" si="613"/>
        <v>1</v>
      </c>
      <c r="M306" s="62">
        <f t="shared" si="613"/>
        <v>1</v>
      </c>
      <c r="N306" s="62">
        <f t="shared" si="613"/>
        <v>1</v>
      </c>
      <c r="O306" s="62">
        <f t="shared" si="613"/>
        <v>1</v>
      </c>
      <c r="P306" s="62" t="str">
        <f t="shared" si="613"/>
        <v/>
      </c>
      <c r="Q306" s="62" t="str">
        <f t="shared" si="613"/>
        <v/>
      </c>
      <c r="R306" s="62">
        <f t="shared" si="7"/>
        <v>0</v>
      </c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</row>
    <row r="307" hidden="1">
      <c r="A307" s="60">
        <f>IFERROR(__xludf.DUMMYFUNCTION("""COMPUTED_VALUE"""),668.0)</f>
        <v>668</v>
      </c>
      <c r="B307" s="60" t="str">
        <f>IFERROR(__xludf.DUMMYFUNCTION("""COMPUTED_VALUE"""),"Eagles, Philadelphia")</f>
        <v>Eagles, Philadelphia</v>
      </c>
      <c r="C307" s="60" t="str">
        <f>IFERROR(__xludf.DUMMYFUNCTION("""COMPUTED_VALUE"""),"TMQB")</f>
        <v>TMQB</v>
      </c>
      <c r="D307" s="60" t="str">
        <f>IFERROR(__xludf.DUMMYFUNCTION("""COMPUTED_VALUE"""),"PHI")</f>
        <v>PHI</v>
      </c>
      <c r="E307" s="62" t="str">
        <f t="shared" si="4"/>
        <v>Philadelphia Eagles</v>
      </c>
      <c r="F307" s="62">
        <f t="shared" ref="F307:G307" si="614">IF(isblank(F$1),,IF(isblank($A307),,IFERROR(vlookup($A307,indirect("'TVC-"&amp;text(month(F$1),"00")&amp;"'!$A:$D"),4,false),1)))</f>
        <v>1</v>
      </c>
      <c r="G307" s="62">
        <f t="shared" si="614"/>
        <v>1</v>
      </c>
      <c r="H307" s="62">
        <f t="shared" ref="H307:Q307" si="615">IF(isblank(H$1),,IFERROR(vlookup($A307,indirect("'TVC-"&amp;text(month(H$1),"00")&amp;"'!$A:$D"),4,false),1))</f>
        <v>1</v>
      </c>
      <c r="I307" s="62">
        <f t="shared" si="615"/>
        <v>1</v>
      </c>
      <c r="J307" s="62">
        <f t="shared" si="615"/>
        <v>1</v>
      </c>
      <c r="K307" s="62">
        <f t="shared" si="615"/>
        <v>1</v>
      </c>
      <c r="L307" s="62">
        <f t="shared" si="615"/>
        <v>1</v>
      </c>
      <c r="M307" s="62">
        <f t="shared" si="615"/>
        <v>1</v>
      </c>
      <c r="N307" s="62">
        <f t="shared" si="615"/>
        <v>1</v>
      </c>
      <c r="O307" s="62">
        <f t="shared" si="615"/>
        <v>1</v>
      </c>
      <c r="P307" s="62" t="str">
        <f t="shared" si="615"/>
        <v/>
      </c>
      <c r="Q307" s="62" t="str">
        <f t="shared" si="615"/>
        <v/>
      </c>
      <c r="R307" s="62">
        <f t="shared" si="7"/>
        <v>0</v>
      </c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</row>
    <row r="308" hidden="1">
      <c r="A308" s="60">
        <f>IFERROR(__xludf.DUMMYFUNCTION("""COMPUTED_VALUE"""),669.0)</f>
        <v>669</v>
      </c>
      <c r="B308" s="60" t="str">
        <f>IFERROR(__xludf.DUMMYFUNCTION("""COMPUTED_VALUE"""),"Cardinals, Arizona")</f>
        <v>Cardinals, Arizona</v>
      </c>
      <c r="C308" s="60" t="str">
        <f>IFERROR(__xludf.DUMMYFUNCTION("""COMPUTED_VALUE"""),"TMQB")</f>
        <v>TMQB</v>
      </c>
      <c r="D308" s="60" t="str">
        <f>IFERROR(__xludf.DUMMYFUNCTION("""COMPUTED_VALUE"""),"ARI")</f>
        <v>ARI</v>
      </c>
      <c r="E308" s="62" t="str">
        <f t="shared" si="4"/>
        <v>Arizona Cardinals</v>
      </c>
      <c r="F308" s="62">
        <f t="shared" ref="F308:G308" si="616">IF(isblank(F$1),,IF(isblank($A308),,IFERROR(vlookup($A308,indirect("'TVC-"&amp;text(month(F$1),"00")&amp;"'!$A:$D"),4,false),1)))</f>
        <v>1</v>
      </c>
      <c r="G308" s="62">
        <f t="shared" si="616"/>
        <v>1</v>
      </c>
      <c r="H308" s="62">
        <f t="shared" ref="H308:Q308" si="617">IF(isblank(H$1),,IFERROR(vlookup($A308,indirect("'TVC-"&amp;text(month(H$1),"00")&amp;"'!$A:$D"),4,false),1))</f>
        <v>1</v>
      </c>
      <c r="I308" s="62">
        <f t="shared" si="617"/>
        <v>1</v>
      </c>
      <c r="J308" s="62">
        <f t="shared" si="617"/>
        <v>1</v>
      </c>
      <c r="K308" s="62">
        <f t="shared" si="617"/>
        <v>1</v>
      </c>
      <c r="L308" s="62">
        <f t="shared" si="617"/>
        <v>1</v>
      </c>
      <c r="M308" s="62">
        <f t="shared" si="617"/>
        <v>1</v>
      </c>
      <c r="N308" s="62">
        <f t="shared" si="617"/>
        <v>1</v>
      </c>
      <c r="O308" s="62">
        <f t="shared" si="617"/>
        <v>1</v>
      </c>
      <c r="P308" s="62" t="str">
        <f t="shared" si="617"/>
        <v/>
      </c>
      <c r="Q308" s="62" t="str">
        <f t="shared" si="617"/>
        <v/>
      </c>
      <c r="R308" s="62">
        <f t="shared" si="7"/>
        <v>0</v>
      </c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</row>
    <row r="309" hidden="1">
      <c r="A309" s="60">
        <f>IFERROR(__xludf.DUMMYFUNCTION("""COMPUTED_VALUE"""),670.0)</f>
        <v>670</v>
      </c>
      <c r="B309" s="60" t="str">
        <f>IFERROR(__xludf.DUMMYFUNCTION("""COMPUTED_VALUE"""),"Commanders, Washington")</f>
        <v>Commanders, Washington</v>
      </c>
      <c r="C309" s="60" t="str">
        <f>IFERROR(__xludf.DUMMYFUNCTION("""COMPUTED_VALUE"""),"TMQB")</f>
        <v>TMQB</v>
      </c>
      <c r="D309" s="60" t="str">
        <f>IFERROR(__xludf.DUMMYFUNCTION("""COMPUTED_VALUE"""),"WAS")</f>
        <v>WAS</v>
      </c>
      <c r="E309" s="62" t="str">
        <f t="shared" si="4"/>
        <v>Washington Commanders</v>
      </c>
      <c r="F309" s="62">
        <f t="shared" ref="F309:G309" si="618">IF(isblank(F$1),,IF(isblank($A309),,IFERROR(vlookup($A309,indirect("'TVC-"&amp;text(month(F$1),"00")&amp;"'!$A:$D"),4,false),1)))</f>
        <v>1</v>
      </c>
      <c r="G309" s="62">
        <f t="shared" si="618"/>
        <v>1</v>
      </c>
      <c r="H309" s="62">
        <f t="shared" ref="H309:Q309" si="619">IF(isblank(H$1),,IFERROR(vlookup($A309,indirect("'TVC-"&amp;text(month(H$1),"00")&amp;"'!$A:$D"),4,false),1))</f>
        <v>1</v>
      </c>
      <c r="I309" s="62">
        <f t="shared" si="619"/>
        <v>1</v>
      </c>
      <c r="J309" s="62">
        <f t="shared" si="619"/>
        <v>1</v>
      </c>
      <c r="K309" s="62">
        <f t="shared" si="619"/>
        <v>1</v>
      </c>
      <c r="L309" s="62">
        <f t="shared" si="619"/>
        <v>1</v>
      </c>
      <c r="M309" s="62">
        <f t="shared" si="619"/>
        <v>1</v>
      </c>
      <c r="N309" s="62">
        <f t="shared" si="619"/>
        <v>1</v>
      </c>
      <c r="O309" s="62">
        <f t="shared" si="619"/>
        <v>1</v>
      </c>
      <c r="P309" s="62" t="str">
        <f t="shared" si="619"/>
        <v/>
      </c>
      <c r="Q309" s="62" t="str">
        <f t="shared" si="619"/>
        <v/>
      </c>
      <c r="R309" s="62">
        <f t="shared" si="7"/>
        <v>0</v>
      </c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</row>
    <row r="310" hidden="1">
      <c r="A310" s="60">
        <f>IFERROR(__xludf.DUMMYFUNCTION("""COMPUTED_VALUE"""),671.0)</f>
        <v>671</v>
      </c>
      <c r="B310" s="60" t="str">
        <f>IFERROR(__xludf.DUMMYFUNCTION("""COMPUTED_VALUE"""),"Bears, Chicago")</f>
        <v>Bears, Chicago</v>
      </c>
      <c r="C310" s="60" t="str">
        <f>IFERROR(__xludf.DUMMYFUNCTION("""COMPUTED_VALUE"""),"TMQB")</f>
        <v>TMQB</v>
      </c>
      <c r="D310" s="60" t="str">
        <f>IFERROR(__xludf.DUMMYFUNCTION("""COMPUTED_VALUE"""),"CHI")</f>
        <v>CHI</v>
      </c>
      <c r="E310" s="62" t="str">
        <f t="shared" si="4"/>
        <v>Chicago Bears</v>
      </c>
      <c r="F310" s="62">
        <f t="shared" ref="F310:G310" si="620">IF(isblank(F$1),,IF(isblank($A310),,IFERROR(vlookup($A310,indirect("'TVC-"&amp;text(month(F$1),"00")&amp;"'!$A:$D"),4,false),1)))</f>
        <v>1</v>
      </c>
      <c r="G310" s="62">
        <f t="shared" si="620"/>
        <v>1</v>
      </c>
      <c r="H310" s="62">
        <f t="shared" ref="H310:Q310" si="621">IF(isblank(H$1),,IFERROR(vlookup($A310,indirect("'TVC-"&amp;text(month(H$1),"00")&amp;"'!$A:$D"),4,false),1))</f>
        <v>1</v>
      </c>
      <c r="I310" s="62">
        <f t="shared" si="621"/>
        <v>1</v>
      </c>
      <c r="J310" s="62">
        <f t="shared" si="621"/>
        <v>1</v>
      </c>
      <c r="K310" s="62">
        <f t="shared" si="621"/>
        <v>1</v>
      </c>
      <c r="L310" s="62">
        <f t="shared" si="621"/>
        <v>1</v>
      </c>
      <c r="M310" s="62">
        <f t="shared" si="621"/>
        <v>1</v>
      </c>
      <c r="N310" s="62">
        <f t="shared" si="621"/>
        <v>1</v>
      </c>
      <c r="O310" s="62">
        <f t="shared" si="621"/>
        <v>1</v>
      </c>
      <c r="P310" s="62" t="str">
        <f t="shared" si="621"/>
        <v/>
      </c>
      <c r="Q310" s="62" t="str">
        <f t="shared" si="621"/>
        <v/>
      </c>
      <c r="R310" s="62">
        <f t="shared" si="7"/>
        <v>0</v>
      </c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</row>
    <row r="311" hidden="1">
      <c r="A311" s="60">
        <f>IFERROR(__xludf.DUMMYFUNCTION("""COMPUTED_VALUE"""),672.0)</f>
        <v>672</v>
      </c>
      <c r="B311" s="60" t="str">
        <f>IFERROR(__xludf.DUMMYFUNCTION("""COMPUTED_VALUE"""),"Lions, Detroit")</f>
        <v>Lions, Detroit</v>
      </c>
      <c r="C311" s="60" t="str">
        <f>IFERROR(__xludf.DUMMYFUNCTION("""COMPUTED_VALUE"""),"TMQB")</f>
        <v>TMQB</v>
      </c>
      <c r="D311" s="60" t="str">
        <f>IFERROR(__xludf.DUMMYFUNCTION("""COMPUTED_VALUE"""),"DET")</f>
        <v>DET</v>
      </c>
      <c r="E311" s="62" t="str">
        <f t="shared" si="4"/>
        <v>Detroit Lions</v>
      </c>
      <c r="F311" s="62">
        <f t="shared" ref="F311:G311" si="622">IF(isblank(F$1),,IF(isblank($A311),,IFERROR(vlookup($A311,indirect("'TVC-"&amp;text(month(F$1),"00")&amp;"'!$A:$D"),4,false),1)))</f>
        <v>1</v>
      </c>
      <c r="G311" s="62">
        <f t="shared" si="622"/>
        <v>1</v>
      </c>
      <c r="H311" s="62">
        <f t="shared" ref="H311:Q311" si="623">IF(isblank(H$1),,IFERROR(vlookup($A311,indirect("'TVC-"&amp;text(month(H$1),"00")&amp;"'!$A:$D"),4,false),1))</f>
        <v>1</v>
      </c>
      <c r="I311" s="62">
        <f t="shared" si="623"/>
        <v>1</v>
      </c>
      <c r="J311" s="62">
        <f t="shared" si="623"/>
        <v>1</v>
      </c>
      <c r="K311" s="62">
        <f t="shared" si="623"/>
        <v>1</v>
      </c>
      <c r="L311" s="62">
        <f t="shared" si="623"/>
        <v>1</v>
      </c>
      <c r="M311" s="62">
        <f t="shared" si="623"/>
        <v>1</v>
      </c>
      <c r="N311" s="62">
        <f t="shared" si="623"/>
        <v>1</v>
      </c>
      <c r="O311" s="62">
        <f t="shared" si="623"/>
        <v>1</v>
      </c>
      <c r="P311" s="62" t="str">
        <f t="shared" si="623"/>
        <v/>
      </c>
      <c r="Q311" s="62" t="str">
        <f t="shared" si="623"/>
        <v/>
      </c>
      <c r="R311" s="62">
        <f t="shared" si="7"/>
        <v>0</v>
      </c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</row>
    <row r="312" hidden="1">
      <c r="A312" s="60">
        <f>IFERROR(__xludf.DUMMYFUNCTION("""COMPUTED_VALUE"""),673.0)</f>
        <v>673</v>
      </c>
      <c r="B312" s="60" t="str">
        <f>IFERROR(__xludf.DUMMYFUNCTION("""COMPUTED_VALUE"""),"Packers, Green Bay")</f>
        <v>Packers, Green Bay</v>
      </c>
      <c r="C312" s="60" t="str">
        <f>IFERROR(__xludf.DUMMYFUNCTION("""COMPUTED_VALUE"""),"TMQB")</f>
        <v>TMQB</v>
      </c>
      <c r="D312" s="60" t="str">
        <f>IFERROR(__xludf.DUMMYFUNCTION("""COMPUTED_VALUE"""),"GBP")</f>
        <v>GBP</v>
      </c>
      <c r="E312" s="62" t="str">
        <f t="shared" si="4"/>
        <v>Green Bay Packers</v>
      </c>
      <c r="F312" s="62">
        <f t="shared" ref="F312:G312" si="624">IF(isblank(F$1),,IF(isblank($A312),,IFERROR(vlookup($A312,indirect("'TVC-"&amp;text(month(F$1),"00")&amp;"'!$A:$D"),4,false),1)))</f>
        <v>1</v>
      </c>
      <c r="G312" s="62">
        <f t="shared" si="624"/>
        <v>1</v>
      </c>
      <c r="H312" s="62">
        <f t="shared" ref="H312:Q312" si="625">IF(isblank(H$1),,IFERROR(vlookup($A312,indirect("'TVC-"&amp;text(month(H$1),"00")&amp;"'!$A:$D"),4,false),1))</f>
        <v>1</v>
      </c>
      <c r="I312" s="62">
        <f t="shared" si="625"/>
        <v>1</v>
      </c>
      <c r="J312" s="62">
        <f t="shared" si="625"/>
        <v>1</v>
      </c>
      <c r="K312" s="62">
        <f t="shared" si="625"/>
        <v>1</v>
      </c>
      <c r="L312" s="62">
        <f t="shared" si="625"/>
        <v>1</v>
      </c>
      <c r="M312" s="62">
        <f t="shared" si="625"/>
        <v>1</v>
      </c>
      <c r="N312" s="62">
        <f t="shared" si="625"/>
        <v>1</v>
      </c>
      <c r="O312" s="62">
        <f t="shared" si="625"/>
        <v>1</v>
      </c>
      <c r="P312" s="62" t="str">
        <f t="shared" si="625"/>
        <v/>
      </c>
      <c r="Q312" s="62" t="str">
        <f t="shared" si="625"/>
        <v/>
      </c>
      <c r="R312" s="62">
        <f t="shared" si="7"/>
        <v>0</v>
      </c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</row>
    <row r="313" hidden="1">
      <c r="A313" s="60">
        <f>IFERROR(__xludf.DUMMYFUNCTION("""COMPUTED_VALUE"""),674.0)</f>
        <v>674</v>
      </c>
      <c r="B313" s="60" t="str">
        <f>IFERROR(__xludf.DUMMYFUNCTION("""COMPUTED_VALUE"""),"Vikings, Minnesota")</f>
        <v>Vikings, Minnesota</v>
      </c>
      <c r="C313" s="60" t="str">
        <f>IFERROR(__xludf.DUMMYFUNCTION("""COMPUTED_VALUE"""),"TMQB")</f>
        <v>TMQB</v>
      </c>
      <c r="D313" s="60" t="str">
        <f>IFERROR(__xludf.DUMMYFUNCTION("""COMPUTED_VALUE"""),"MIN")</f>
        <v>MIN</v>
      </c>
      <c r="E313" s="62" t="str">
        <f t="shared" si="4"/>
        <v>Minnesota Vikings</v>
      </c>
      <c r="F313" s="62">
        <f t="shared" ref="F313:G313" si="626">IF(isblank(F$1),,IF(isblank($A313),,IFERROR(vlookup($A313,indirect("'TVC-"&amp;text(month(F$1),"00")&amp;"'!$A:$D"),4,false),1)))</f>
        <v>1</v>
      </c>
      <c r="G313" s="62">
        <f t="shared" si="626"/>
        <v>1</v>
      </c>
      <c r="H313" s="62">
        <f t="shared" ref="H313:Q313" si="627">IF(isblank(H$1),,IFERROR(vlookup($A313,indirect("'TVC-"&amp;text(month(H$1),"00")&amp;"'!$A:$D"),4,false),1))</f>
        <v>1</v>
      </c>
      <c r="I313" s="62">
        <f t="shared" si="627"/>
        <v>1</v>
      </c>
      <c r="J313" s="62">
        <f t="shared" si="627"/>
        <v>1</v>
      </c>
      <c r="K313" s="62">
        <f t="shared" si="627"/>
        <v>1</v>
      </c>
      <c r="L313" s="62">
        <f t="shared" si="627"/>
        <v>1</v>
      </c>
      <c r="M313" s="62">
        <f t="shared" si="627"/>
        <v>1</v>
      </c>
      <c r="N313" s="62">
        <f t="shared" si="627"/>
        <v>1</v>
      </c>
      <c r="O313" s="62">
        <f t="shared" si="627"/>
        <v>1</v>
      </c>
      <c r="P313" s="62" t="str">
        <f t="shared" si="627"/>
        <v/>
      </c>
      <c r="Q313" s="62" t="str">
        <f t="shared" si="627"/>
        <v/>
      </c>
      <c r="R313" s="62">
        <f t="shared" si="7"/>
        <v>0</v>
      </c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</row>
    <row r="314" hidden="1">
      <c r="A314" s="60">
        <f>IFERROR(__xludf.DUMMYFUNCTION("""COMPUTED_VALUE"""),675.0)</f>
        <v>675</v>
      </c>
      <c r="B314" s="60" t="str">
        <f>IFERROR(__xludf.DUMMYFUNCTION("""COMPUTED_VALUE"""),"Buccaneers, Tampa Bay")</f>
        <v>Buccaneers, Tampa Bay</v>
      </c>
      <c r="C314" s="60" t="str">
        <f>IFERROR(__xludf.DUMMYFUNCTION("""COMPUTED_VALUE"""),"TMQB")</f>
        <v>TMQB</v>
      </c>
      <c r="D314" s="60" t="str">
        <f>IFERROR(__xludf.DUMMYFUNCTION("""COMPUTED_VALUE"""),"TBB")</f>
        <v>TBB</v>
      </c>
      <c r="E314" s="62" t="str">
        <f t="shared" si="4"/>
        <v>Tampa Bay Buccaneers</v>
      </c>
      <c r="F314" s="62">
        <f t="shared" ref="F314:G314" si="628">IF(isblank(F$1),,IF(isblank($A314),,IFERROR(vlookup($A314,indirect("'TVC-"&amp;text(month(F$1),"00")&amp;"'!$A:$D"),4,false),1)))</f>
        <v>1</v>
      </c>
      <c r="G314" s="62">
        <f t="shared" si="628"/>
        <v>1</v>
      </c>
      <c r="H314" s="62">
        <f t="shared" ref="H314:Q314" si="629">IF(isblank(H$1),,IFERROR(vlookup($A314,indirect("'TVC-"&amp;text(month(H$1),"00")&amp;"'!$A:$D"),4,false),1))</f>
        <v>1</v>
      </c>
      <c r="I314" s="62">
        <f t="shared" si="629"/>
        <v>1</v>
      </c>
      <c r="J314" s="62">
        <f t="shared" si="629"/>
        <v>1</v>
      </c>
      <c r="K314" s="62">
        <f t="shared" si="629"/>
        <v>1</v>
      </c>
      <c r="L314" s="62">
        <f t="shared" si="629"/>
        <v>1</v>
      </c>
      <c r="M314" s="62">
        <f t="shared" si="629"/>
        <v>1</v>
      </c>
      <c r="N314" s="62">
        <f t="shared" si="629"/>
        <v>1</v>
      </c>
      <c r="O314" s="62">
        <f t="shared" si="629"/>
        <v>1</v>
      </c>
      <c r="P314" s="62" t="str">
        <f t="shared" si="629"/>
        <v/>
      </c>
      <c r="Q314" s="62" t="str">
        <f t="shared" si="629"/>
        <v/>
      </c>
      <c r="R314" s="62">
        <f t="shared" si="7"/>
        <v>0</v>
      </c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</row>
    <row r="315" hidden="1">
      <c r="A315" s="60">
        <f>IFERROR(__xludf.DUMMYFUNCTION("""COMPUTED_VALUE"""),676.0)</f>
        <v>676</v>
      </c>
      <c r="B315" s="60" t="str">
        <f>IFERROR(__xludf.DUMMYFUNCTION("""COMPUTED_VALUE"""),"Falcons, Atlanta")</f>
        <v>Falcons, Atlanta</v>
      </c>
      <c r="C315" s="60" t="str">
        <f>IFERROR(__xludf.DUMMYFUNCTION("""COMPUTED_VALUE"""),"TMQB")</f>
        <v>TMQB</v>
      </c>
      <c r="D315" s="60" t="str">
        <f>IFERROR(__xludf.DUMMYFUNCTION("""COMPUTED_VALUE"""),"ATL")</f>
        <v>ATL</v>
      </c>
      <c r="E315" s="62" t="str">
        <f t="shared" si="4"/>
        <v>Atlanta Falcons</v>
      </c>
      <c r="F315" s="62">
        <f t="shared" ref="F315:G315" si="630">IF(isblank(F$1),,IF(isblank($A315),,IFERROR(vlookup($A315,indirect("'TVC-"&amp;text(month(F$1),"00")&amp;"'!$A:$D"),4,false),1)))</f>
        <v>1</v>
      </c>
      <c r="G315" s="62">
        <f t="shared" si="630"/>
        <v>1</v>
      </c>
      <c r="H315" s="62">
        <f t="shared" ref="H315:Q315" si="631">IF(isblank(H$1),,IFERROR(vlookup($A315,indirect("'TVC-"&amp;text(month(H$1),"00")&amp;"'!$A:$D"),4,false),1))</f>
        <v>1</v>
      </c>
      <c r="I315" s="62">
        <f t="shared" si="631"/>
        <v>1</v>
      </c>
      <c r="J315" s="62">
        <f t="shared" si="631"/>
        <v>1</v>
      </c>
      <c r="K315" s="62">
        <f t="shared" si="631"/>
        <v>1</v>
      </c>
      <c r="L315" s="62">
        <f t="shared" si="631"/>
        <v>1</v>
      </c>
      <c r="M315" s="62">
        <f t="shared" si="631"/>
        <v>1</v>
      </c>
      <c r="N315" s="62">
        <f t="shared" si="631"/>
        <v>1</v>
      </c>
      <c r="O315" s="62">
        <f t="shared" si="631"/>
        <v>1</v>
      </c>
      <c r="P315" s="62" t="str">
        <f t="shared" si="631"/>
        <v/>
      </c>
      <c r="Q315" s="62" t="str">
        <f t="shared" si="631"/>
        <v/>
      </c>
      <c r="R315" s="62">
        <f t="shared" si="7"/>
        <v>0</v>
      </c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</row>
    <row r="316" hidden="1">
      <c r="A316" s="60">
        <f>IFERROR(__xludf.DUMMYFUNCTION("""COMPUTED_VALUE"""),677.0)</f>
        <v>677</v>
      </c>
      <c r="B316" s="60" t="str">
        <f>IFERROR(__xludf.DUMMYFUNCTION("""COMPUTED_VALUE"""),"Panthers, Carolina")</f>
        <v>Panthers, Carolina</v>
      </c>
      <c r="C316" s="60" t="str">
        <f>IFERROR(__xludf.DUMMYFUNCTION("""COMPUTED_VALUE"""),"TMQB")</f>
        <v>TMQB</v>
      </c>
      <c r="D316" s="60" t="str">
        <f>IFERROR(__xludf.DUMMYFUNCTION("""COMPUTED_VALUE"""),"CAR")</f>
        <v>CAR</v>
      </c>
      <c r="E316" s="62" t="str">
        <f t="shared" si="4"/>
        <v>Carolina Panthers</v>
      </c>
      <c r="F316" s="62">
        <f t="shared" ref="F316:G316" si="632">IF(isblank(F$1),,IF(isblank($A316),,IFERROR(vlookup($A316,indirect("'TVC-"&amp;text(month(F$1),"00")&amp;"'!$A:$D"),4,false),1)))</f>
        <v>1</v>
      </c>
      <c r="G316" s="62">
        <f t="shared" si="632"/>
        <v>1</v>
      </c>
      <c r="H316" s="62">
        <f t="shared" ref="H316:Q316" si="633">IF(isblank(H$1),,IFERROR(vlookup($A316,indirect("'TVC-"&amp;text(month(H$1),"00")&amp;"'!$A:$D"),4,false),1))</f>
        <v>1</v>
      </c>
      <c r="I316" s="62">
        <f t="shared" si="633"/>
        <v>1</v>
      </c>
      <c r="J316" s="62">
        <f t="shared" si="633"/>
        <v>1</v>
      </c>
      <c r="K316" s="62">
        <f t="shared" si="633"/>
        <v>1</v>
      </c>
      <c r="L316" s="62">
        <f t="shared" si="633"/>
        <v>1</v>
      </c>
      <c r="M316" s="62">
        <f t="shared" si="633"/>
        <v>1</v>
      </c>
      <c r="N316" s="62">
        <f t="shared" si="633"/>
        <v>1</v>
      </c>
      <c r="O316" s="62">
        <f t="shared" si="633"/>
        <v>1</v>
      </c>
      <c r="P316" s="62" t="str">
        <f t="shared" si="633"/>
        <v/>
      </c>
      <c r="Q316" s="62" t="str">
        <f t="shared" si="633"/>
        <v/>
      </c>
      <c r="R316" s="62">
        <f t="shared" si="7"/>
        <v>0</v>
      </c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</row>
    <row r="317" hidden="1">
      <c r="A317" s="60">
        <f>IFERROR(__xludf.DUMMYFUNCTION("""COMPUTED_VALUE"""),678.0)</f>
        <v>678</v>
      </c>
      <c r="B317" s="60" t="str">
        <f>IFERROR(__xludf.DUMMYFUNCTION("""COMPUTED_VALUE"""),"Rams, Los Angeles")</f>
        <v>Rams, Los Angeles</v>
      </c>
      <c r="C317" s="60" t="str">
        <f>IFERROR(__xludf.DUMMYFUNCTION("""COMPUTED_VALUE"""),"TMQB")</f>
        <v>TMQB</v>
      </c>
      <c r="D317" s="60" t="str">
        <f>IFERROR(__xludf.DUMMYFUNCTION("""COMPUTED_VALUE"""),"LAR")</f>
        <v>LAR</v>
      </c>
      <c r="E317" s="62" t="str">
        <f t="shared" si="4"/>
        <v>Los Angeles Rams</v>
      </c>
      <c r="F317" s="62">
        <f t="shared" ref="F317:G317" si="634">IF(isblank(F$1),,IF(isblank($A317),,IFERROR(vlookup($A317,indirect("'TVC-"&amp;text(month(F$1),"00")&amp;"'!$A:$D"),4,false),1)))</f>
        <v>1</v>
      </c>
      <c r="G317" s="62">
        <f t="shared" si="634"/>
        <v>1</v>
      </c>
      <c r="H317" s="62">
        <f t="shared" ref="H317:Q317" si="635">IF(isblank(H$1),,IFERROR(vlookup($A317,indirect("'TVC-"&amp;text(month(H$1),"00")&amp;"'!$A:$D"),4,false),1))</f>
        <v>1</v>
      </c>
      <c r="I317" s="62">
        <f t="shared" si="635"/>
        <v>1</v>
      </c>
      <c r="J317" s="62">
        <f t="shared" si="635"/>
        <v>1</v>
      </c>
      <c r="K317" s="62">
        <f t="shared" si="635"/>
        <v>1</v>
      </c>
      <c r="L317" s="62">
        <f t="shared" si="635"/>
        <v>1</v>
      </c>
      <c r="M317" s="62">
        <f t="shared" si="635"/>
        <v>1</v>
      </c>
      <c r="N317" s="62">
        <f t="shared" si="635"/>
        <v>1</v>
      </c>
      <c r="O317" s="62">
        <f t="shared" si="635"/>
        <v>1</v>
      </c>
      <c r="P317" s="62" t="str">
        <f t="shared" si="635"/>
        <v/>
      </c>
      <c r="Q317" s="62" t="str">
        <f t="shared" si="635"/>
        <v/>
      </c>
      <c r="R317" s="62">
        <f t="shared" si="7"/>
        <v>0</v>
      </c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</row>
    <row r="318" hidden="1">
      <c r="A318" s="60">
        <f>IFERROR(__xludf.DUMMYFUNCTION("""COMPUTED_VALUE"""),679.0)</f>
        <v>679</v>
      </c>
      <c r="B318" s="60" t="str">
        <f>IFERROR(__xludf.DUMMYFUNCTION("""COMPUTED_VALUE"""),"Saints, New Orleans")</f>
        <v>Saints, New Orleans</v>
      </c>
      <c r="C318" s="60" t="str">
        <f>IFERROR(__xludf.DUMMYFUNCTION("""COMPUTED_VALUE"""),"TMQB")</f>
        <v>TMQB</v>
      </c>
      <c r="D318" s="60" t="str">
        <f>IFERROR(__xludf.DUMMYFUNCTION("""COMPUTED_VALUE"""),"NOS")</f>
        <v>NOS</v>
      </c>
      <c r="E318" s="62" t="str">
        <f t="shared" si="4"/>
        <v>New Orleans Saints</v>
      </c>
      <c r="F318" s="62">
        <f t="shared" ref="F318:G318" si="636">IF(isblank(F$1),,IF(isblank($A318),,IFERROR(vlookup($A318,indirect("'TVC-"&amp;text(month(F$1),"00")&amp;"'!$A:$D"),4,false),1)))</f>
        <v>1</v>
      </c>
      <c r="G318" s="62">
        <f t="shared" si="636"/>
        <v>1</v>
      </c>
      <c r="H318" s="62">
        <f t="shared" ref="H318:Q318" si="637">IF(isblank(H$1),,IFERROR(vlookup($A318,indirect("'TVC-"&amp;text(month(H$1),"00")&amp;"'!$A:$D"),4,false),1))</f>
        <v>1</v>
      </c>
      <c r="I318" s="62">
        <f t="shared" si="637"/>
        <v>1</v>
      </c>
      <c r="J318" s="62">
        <f t="shared" si="637"/>
        <v>1</v>
      </c>
      <c r="K318" s="62">
        <f t="shared" si="637"/>
        <v>1</v>
      </c>
      <c r="L318" s="62">
        <f t="shared" si="637"/>
        <v>1</v>
      </c>
      <c r="M318" s="62">
        <f t="shared" si="637"/>
        <v>1</v>
      </c>
      <c r="N318" s="62">
        <f t="shared" si="637"/>
        <v>1</v>
      </c>
      <c r="O318" s="62">
        <f t="shared" si="637"/>
        <v>1</v>
      </c>
      <c r="P318" s="62" t="str">
        <f t="shared" si="637"/>
        <v/>
      </c>
      <c r="Q318" s="62" t="str">
        <f t="shared" si="637"/>
        <v/>
      </c>
      <c r="R318" s="62">
        <f t="shared" si="7"/>
        <v>0</v>
      </c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</row>
    <row r="319" hidden="1">
      <c r="A319" s="60">
        <f>IFERROR(__xludf.DUMMYFUNCTION("""COMPUTED_VALUE"""),680.0)</f>
        <v>680</v>
      </c>
      <c r="B319" s="60" t="str">
        <f>IFERROR(__xludf.DUMMYFUNCTION("""COMPUTED_VALUE"""),"49ers, San Francisco")</f>
        <v>49ers, San Francisco</v>
      </c>
      <c r="C319" s="60" t="str">
        <f>IFERROR(__xludf.DUMMYFUNCTION("""COMPUTED_VALUE"""),"TMQB")</f>
        <v>TMQB</v>
      </c>
      <c r="D319" s="60" t="str">
        <f>IFERROR(__xludf.DUMMYFUNCTION("""COMPUTED_VALUE"""),"SFO")</f>
        <v>SFO</v>
      </c>
      <c r="E319" s="62" t="str">
        <f t="shared" si="4"/>
        <v>San Francisco 49ers</v>
      </c>
      <c r="F319" s="62">
        <f t="shared" ref="F319:G319" si="638">IF(isblank(F$1),,IF(isblank($A319),,IFERROR(vlookup($A319,indirect("'TVC-"&amp;text(month(F$1),"00")&amp;"'!$A:$D"),4,false),1)))</f>
        <v>1</v>
      </c>
      <c r="G319" s="62">
        <f t="shared" si="638"/>
        <v>1</v>
      </c>
      <c r="H319" s="62">
        <f t="shared" ref="H319:Q319" si="639">IF(isblank(H$1),,IFERROR(vlookup($A319,indirect("'TVC-"&amp;text(month(H$1),"00")&amp;"'!$A:$D"),4,false),1))</f>
        <v>1</v>
      </c>
      <c r="I319" s="62">
        <f t="shared" si="639"/>
        <v>1</v>
      </c>
      <c r="J319" s="62">
        <f t="shared" si="639"/>
        <v>1</v>
      </c>
      <c r="K319" s="62">
        <f t="shared" si="639"/>
        <v>1</v>
      </c>
      <c r="L319" s="62">
        <f t="shared" si="639"/>
        <v>1</v>
      </c>
      <c r="M319" s="62">
        <f t="shared" si="639"/>
        <v>1</v>
      </c>
      <c r="N319" s="62">
        <f t="shared" si="639"/>
        <v>1</v>
      </c>
      <c r="O319" s="62">
        <f t="shared" si="639"/>
        <v>1</v>
      </c>
      <c r="P319" s="62" t="str">
        <f t="shared" si="639"/>
        <v/>
      </c>
      <c r="Q319" s="62" t="str">
        <f t="shared" si="639"/>
        <v/>
      </c>
      <c r="R319" s="62">
        <f t="shared" si="7"/>
        <v>0</v>
      </c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</row>
    <row r="320" hidden="1">
      <c r="A320" s="60">
        <f>IFERROR(__xludf.DUMMYFUNCTION("""COMPUTED_VALUE"""),681.0)</f>
        <v>681</v>
      </c>
      <c r="B320" s="60" t="str">
        <f>IFERROR(__xludf.DUMMYFUNCTION("""COMPUTED_VALUE"""),"Ravens, Baltimore")</f>
        <v>Ravens, Baltimore</v>
      </c>
      <c r="C320" s="60" t="str">
        <f>IFERROR(__xludf.DUMMYFUNCTION("""COMPUTED_VALUE"""),"TMQB")</f>
        <v>TMQB</v>
      </c>
      <c r="D320" s="60" t="str">
        <f>IFERROR(__xludf.DUMMYFUNCTION("""COMPUTED_VALUE"""),"BAL")</f>
        <v>BAL</v>
      </c>
      <c r="E320" s="62" t="str">
        <f t="shared" si="4"/>
        <v>Baltimore Ravens</v>
      </c>
      <c r="F320" s="62">
        <f t="shared" ref="F320:G320" si="640">IF(isblank(F$1),,IF(isblank($A320),,IFERROR(vlookup($A320,indirect("'TVC-"&amp;text(month(F$1),"00")&amp;"'!$A:$D"),4,false),1)))</f>
        <v>1</v>
      </c>
      <c r="G320" s="62">
        <f t="shared" si="640"/>
        <v>1</v>
      </c>
      <c r="H320" s="62">
        <f t="shared" ref="H320:Q320" si="641">IF(isblank(H$1),,IFERROR(vlookup($A320,indirect("'TVC-"&amp;text(month(H$1),"00")&amp;"'!$A:$D"),4,false),1))</f>
        <v>1</v>
      </c>
      <c r="I320" s="62">
        <f t="shared" si="641"/>
        <v>1</v>
      </c>
      <c r="J320" s="62">
        <f t="shared" si="641"/>
        <v>1</v>
      </c>
      <c r="K320" s="62">
        <f t="shared" si="641"/>
        <v>1</v>
      </c>
      <c r="L320" s="62">
        <f t="shared" si="641"/>
        <v>1</v>
      </c>
      <c r="M320" s="62">
        <f t="shared" si="641"/>
        <v>1</v>
      </c>
      <c r="N320" s="62">
        <f t="shared" si="641"/>
        <v>1</v>
      </c>
      <c r="O320" s="62">
        <f t="shared" si="641"/>
        <v>1</v>
      </c>
      <c r="P320" s="62" t="str">
        <f t="shared" si="641"/>
        <v/>
      </c>
      <c r="Q320" s="62" t="str">
        <f t="shared" si="641"/>
        <v/>
      </c>
      <c r="R320" s="62">
        <f t="shared" si="7"/>
        <v>0</v>
      </c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</row>
    <row r="321" hidden="1">
      <c r="A321" s="60">
        <f>IFERROR(__xludf.DUMMYFUNCTION("""COMPUTED_VALUE"""),682.0)</f>
        <v>682</v>
      </c>
      <c r="B321" s="60" t="str">
        <f>IFERROR(__xludf.DUMMYFUNCTION("""COMPUTED_VALUE"""),"Texans, Houston")</f>
        <v>Texans, Houston</v>
      </c>
      <c r="C321" s="60" t="str">
        <f>IFERROR(__xludf.DUMMYFUNCTION("""COMPUTED_VALUE"""),"TMQB")</f>
        <v>TMQB</v>
      </c>
      <c r="D321" s="60" t="str">
        <f>IFERROR(__xludf.DUMMYFUNCTION("""COMPUTED_VALUE"""),"HOU")</f>
        <v>HOU</v>
      </c>
      <c r="E321" s="62" t="str">
        <f t="shared" si="4"/>
        <v>Houston Texans</v>
      </c>
      <c r="F321" s="62">
        <f t="shared" ref="F321:G321" si="642">IF(isblank(F$1),,IF(isblank($A321),,IFERROR(vlookup($A321,indirect("'TVC-"&amp;text(month(F$1),"00")&amp;"'!$A:$D"),4,false),1)))</f>
        <v>1</v>
      </c>
      <c r="G321" s="62">
        <f t="shared" si="642"/>
        <v>1</v>
      </c>
      <c r="H321" s="62">
        <f t="shared" ref="H321:Q321" si="643">IF(isblank(H$1),,IFERROR(vlookup($A321,indirect("'TVC-"&amp;text(month(H$1),"00")&amp;"'!$A:$D"),4,false),1))</f>
        <v>1</v>
      </c>
      <c r="I321" s="62">
        <f t="shared" si="643"/>
        <v>1</v>
      </c>
      <c r="J321" s="62">
        <f t="shared" si="643"/>
        <v>1</v>
      </c>
      <c r="K321" s="62">
        <f t="shared" si="643"/>
        <v>1</v>
      </c>
      <c r="L321" s="62">
        <f t="shared" si="643"/>
        <v>1</v>
      </c>
      <c r="M321" s="62">
        <f t="shared" si="643"/>
        <v>1</v>
      </c>
      <c r="N321" s="62">
        <f t="shared" si="643"/>
        <v>1</v>
      </c>
      <c r="O321" s="62">
        <f t="shared" si="643"/>
        <v>1</v>
      </c>
      <c r="P321" s="62" t="str">
        <f t="shared" si="643"/>
        <v/>
      </c>
      <c r="Q321" s="62" t="str">
        <f t="shared" si="643"/>
        <v/>
      </c>
      <c r="R321" s="62">
        <f t="shared" si="7"/>
        <v>0</v>
      </c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</row>
    <row r="322" hidden="1">
      <c r="A322" s="60">
        <f>IFERROR(__xludf.DUMMYFUNCTION("""COMPUTED_VALUE"""),701.0)</f>
        <v>701</v>
      </c>
      <c r="B322" s="60" t="str">
        <f>IFERROR(__xludf.DUMMYFUNCTION("""COMPUTED_VALUE"""),"Bills, Buffalo")</f>
        <v>Bills, Buffalo</v>
      </c>
      <c r="C322" s="60" t="str">
        <f>IFERROR(__xludf.DUMMYFUNCTION("""COMPUTED_VALUE"""),"TMPK")</f>
        <v>TMPK</v>
      </c>
      <c r="D322" s="60" t="str">
        <f>IFERROR(__xludf.DUMMYFUNCTION("""COMPUTED_VALUE"""),"BUF")</f>
        <v>BUF</v>
      </c>
      <c r="E322" s="62" t="str">
        <f t="shared" si="4"/>
        <v>Buffalo Bills</v>
      </c>
      <c r="F322" s="62">
        <f t="shared" ref="F322:G322" si="644">IF(isblank(F$1),,IF(isblank($A322),,IFERROR(vlookup($A322,indirect("'TVC-"&amp;text(month(F$1),"00")&amp;"'!$A:$D"),4,false),1)))</f>
        <v>1</v>
      </c>
      <c r="G322" s="62">
        <f t="shared" si="644"/>
        <v>1</v>
      </c>
      <c r="H322" s="62">
        <f t="shared" ref="H322:Q322" si="645">IF(isblank(H$1),,IFERROR(vlookup($A322,indirect("'TVC-"&amp;text(month(H$1),"00")&amp;"'!$A:$D"),4,false),1))</f>
        <v>1</v>
      </c>
      <c r="I322" s="62">
        <f t="shared" si="645"/>
        <v>1</v>
      </c>
      <c r="J322" s="62">
        <f t="shared" si="645"/>
        <v>1</v>
      </c>
      <c r="K322" s="62">
        <f t="shared" si="645"/>
        <v>1</v>
      </c>
      <c r="L322" s="62">
        <f t="shared" si="645"/>
        <v>1</v>
      </c>
      <c r="M322" s="62">
        <f t="shared" si="645"/>
        <v>1</v>
      </c>
      <c r="N322" s="62">
        <f t="shared" si="645"/>
        <v>1</v>
      </c>
      <c r="O322" s="62">
        <f t="shared" si="645"/>
        <v>1</v>
      </c>
      <c r="P322" s="62" t="str">
        <f t="shared" si="645"/>
        <v/>
      </c>
      <c r="Q322" s="62" t="str">
        <f t="shared" si="645"/>
        <v/>
      </c>
      <c r="R322" s="62">
        <f t="shared" si="7"/>
        <v>0</v>
      </c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</row>
    <row r="323" hidden="1">
      <c r="A323" s="60">
        <f>IFERROR(__xludf.DUMMYFUNCTION("""COMPUTED_VALUE"""),702.0)</f>
        <v>702</v>
      </c>
      <c r="B323" s="60" t="str">
        <f>IFERROR(__xludf.DUMMYFUNCTION("""COMPUTED_VALUE"""),"Colts, Indianapolis")</f>
        <v>Colts, Indianapolis</v>
      </c>
      <c r="C323" s="60" t="str">
        <f>IFERROR(__xludf.DUMMYFUNCTION("""COMPUTED_VALUE"""),"TMPK")</f>
        <v>TMPK</v>
      </c>
      <c r="D323" s="60" t="str">
        <f>IFERROR(__xludf.DUMMYFUNCTION("""COMPUTED_VALUE"""),"IND")</f>
        <v>IND</v>
      </c>
      <c r="E323" s="62" t="str">
        <f t="shared" si="4"/>
        <v>Indianapolis Colts</v>
      </c>
      <c r="F323" s="62">
        <f t="shared" ref="F323:G323" si="646">IF(isblank(F$1),,IF(isblank($A323),,IFERROR(vlookup($A323,indirect("'TVC-"&amp;text(month(F$1),"00")&amp;"'!$A:$D"),4,false),1)))</f>
        <v>1</v>
      </c>
      <c r="G323" s="62">
        <f t="shared" si="646"/>
        <v>1</v>
      </c>
      <c r="H323" s="62">
        <f t="shared" ref="H323:Q323" si="647">IF(isblank(H$1),,IFERROR(vlookup($A323,indirect("'TVC-"&amp;text(month(H$1),"00")&amp;"'!$A:$D"),4,false),1))</f>
        <v>1</v>
      </c>
      <c r="I323" s="62">
        <f t="shared" si="647"/>
        <v>1</v>
      </c>
      <c r="J323" s="62">
        <f t="shared" si="647"/>
        <v>1</v>
      </c>
      <c r="K323" s="62">
        <f t="shared" si="647"/>
        <v>1</v>
      </c>
      <c r="L323" s="62">
        <f t="shared" si="647"/>
        <v>1</v>
      </c>
      <c r="M323" s="62">
        <f t="shared" si="647"/>
        <v>1</v>
      </c>
      <c r="N323" s="62">
        <f t="shared" si="647"/>
        <v>1</v>
      </c>
      <c r="O323" s="62">
        <f t="shared" si="647"/>
        <v>1</v>
      </c>
      <c r="P323" s="62" t="str">
        <f t="shared" si="647"/>
        <v/>
      </c>
      <c r="Q323" s="62" t="str">
        <f t="shared" si="647"/>
        <v/>
      </c>
      <c r="R323" s="62">
        <f t="shared" si="7"/>
        <v>0</v>
      </c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</row>
    <row r="324" hidden="1">
      <c r="A324" s="60">
        <f>IFERROR(__xludf.DUMMYFUNCTION("""COMPUTED_VALUE"""),703.0)</f>
        <v>703</v>
      </c>
      <c r="B324" s="60" t="str">
        <f>IFERROR(__xludf.DUMMYFUNCTION("""COMPUTED_VALUE"""),"Dolphins, Miami")</f>
        <v>Dolphins, Miami</v>
      </c>
      <c r="C324" s="60" t="str">
        <f>IFERROR(__xludf.DUMMYFUNCTION("""COMPUTED_VALUE"""),"TMPK")</f>
        <v>TMPK</v>
      </c>
      <c r="D324" s="60" t="str">
        <f>IFERROR(__xludf.DUMMYFUNCTION("""COMPUTED_VALUE"""),"MIA")</f>
        <v>MIA</v>
      </c>
      <c r="E324" s="62" t="str">
        <f t="shared" si="4"/>
        <v>Miami Dolphins</v>
      </c>
      <c r="F324" s="62">
        <f t="shared" ref="F324:G324" si="648">IF(isblank(F$1),,IF(isblank($A324),,IFERROR(vlookup($A324,indirect("'TVC-"&amp;text(month(F$1),"00")&amp;"'!$A:$D"),4,false),1)))</f>
        <v>1</v>
      </c>
      <c r="G324" s="62">
        <f t="shared" si="648"/>
        <v>1</v>
      </c>
      <c r="H324" s="62">
        <f t="shared" ref="H324:Q324" si="649">IF(isblank(H$1),,IFERROR(vlookup($A324,indirect("'TVC-"&amp;text(month(H$1),"00")&amp;"'!$A:$D"),4,false),1))</f>
        <v>1</v>
      </c>
      <c r="I324" s="62">
        <f t="shared" si="649"/>
        <v>1</v>
      </c>
      <c r="J324" s="62">
        <f t="shared" si="649"/>
        <v>1</v>
      </c>
      <c r="K324" s="62">
        <f t="shared" si="649"/>
        <v>1</v>
      </c>
      <c r="L324" s="62">
        <f t="shared" si="649"/>
        <v>1</v>
      </c>
      <c r="M324" s="62">
        <f t="shared" si="649"/>
        <v>1</v>
      </c>
      <c r="N324" s="62">
        <f t="shared" si="649"/>
        <v>1</v>
      </c>
      <c r="O324" s="62">
        <f t="shared" si="649"/>
        <v>1</v>
      </c>
      <c r="P324" s="62" t="str">
        <f t="shared" si="649"/>
        <v/>
      </c>
      <c r="Q324" s="62" t="str">
        <f t="shared" si="649"/>
        <v/>
      </c>
      <c r="R324" s="62">
        <f t="shared" si="7"/>
        <v>0</v>
      </c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</row>
    <row r="325" hidden="1">
      <c r="A325" s="60">
        <f>IFERROR(__xludf.DUMMYFUNCTION("""COMPUTED_VALUE"""),704.0)</f>
        <v>704</v>
      </c>
      <c r="B325" s="60" t="str">
        <f>IFERROR(__xludf.DUMMYFUNCTION("""COMPUTED_VALUE"""),"Patriots, New England")</f>
        <v>Patriots, New England</v>
      </c>
      <c r="C325" s="60" t="str">
        <f>IFERROR(__xludf.DUMMYFUNCTION("""COMPUTED_VALUE"""),"TMPK")</f>
        <v>TMPK</v>
      </c>
      <c r="D325" s="60" t="str">
        <f>IFERROR(__xludf.DUMMYFUNCTION("""COMPUTED_VALUE"""),"NEP")</f>
        <v>NEP</v>
      </c>
      <c r="E325" s="62" t="str">
        <f t="shared" si="4"/>
        <v>New England Patriots</v>
      </c>
      <c r="F325" s="62">
        <f t="shared" ref="F325:G325" si="650">IF(isblank(F$1),,IF(isblank($A325),,IFERROR(vlookup($A325,indirect("'TVC-"&amp;text(month(F$1),"00")&amp;"'!$A:$D"),4,false),1)))</f>
        <v>1</v>
      </c>
      <c r="G325" s="62">
        <f t="shared" si="650"/>
        <v>1</v>
      </c>
      <c r="H325" s="62">
        <f t="shared" ref="H325:Q325" si="651">IF(isblank(H$1),,IFERROR(vlookup($A325,indirect("'TVC-"&amp;text(month(H$1),"00")&amp;"'!$A:$D"),4,false),1))</f>
        <v>1</v>
      </c>
      <c r="I325" s="62">
        <f t="shared" si="651"/>
        <v>1</v>
      </c>
      <c r="J325" s="62">
        <f t="shared" si="651"/>
        <v>1</v>
      </c>
      <c r="K325" s="62">
        <f t="shared" si="651"/>
        <v>1</v>
      </c>
      <c r="L325" s="62">
        <f t="shared" si="651"/>
        <v>1</v>
      </c>
      <c r="M325" s="62">
        <f t="shared" si="651"/>
        <v>1</v>
      </c>
      <c r="N325" s="62">
        <f t="shared" si="651"/>
        <v>1</v>
      </c>
      <c r="O325" s="62">
        <f t="shared" si="651"/>
        <v>1</v>
      </c>
      <c r="P325" s="62" t="str">
        <f t="shared" si="651"/>
        <v/>
      </c>
      <c r="Q325" s="62" t="str">
        <f t="shared" si="651"/>
        <v/>
      </c>
      <c r="R325" s="62">
        <f t="shared" si="7"/>
        <v>0</v>
      </c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</row>
    <row r="326" hidden="1">
      <c r="A326" s="60">
        <f>IFERROR(__xludf.DUMMYFUNCTION("""COMPUTED_VALUE"""),705.0)</f>
        <v>705</v>
      </c>
      <c r="B326" s="60" t="str">
        <f>IFERROR(__xludf.DUMMYFUNCTION("""COMPUTED_VALUE"""),"Jets, New York")</f>
        <v>Jets, New York</v>
      </c>
      <c r="C326" s="60" t="str">
        <f>IFERROR(__xludf.DUMMYFUNCTION("""COMPUTED_VALUE"""),"TMPK")</f>
        <v>TMPK</v>
      </c>
      <c r="D326" s="60" t="str">
        <f>IFERROR(__xludf.DUMMYFUNCTION("""COMPUTED_VALUE"""),"NYJ")</f>
        <v>NYJ</v>
      </c>
      <c r="E326" s="62" t="str">
        <f t="shared" si="4"/>
        <v>New York Jets</v>
      </c>
      <c r="F326" s="62">
        <f t="shared" ref="F326:G326" si="652">IF(isblank(F$1),,IF(isblank($A326),,IFERROR(vlookup($A326,indirect("'TVC-"&amp;text(month(F$1),"00")&amp;"'!$A:$D"),4,false),1)))</f>
        <v>1</v>
      </c>
      <c r="G326" s="62">
        <f t="shared" si="652"/>
        <v>1</v>
      </c>
      <c r="H326" s="62">
        <f t="shared" ref="H326:Q326" si="653">IF(isblank(H$1),,IFERROR(vlookup($A326,indirect("'TVC-"&amp;text(month(H$1),"00")&amp;"'!$A:$D"),4,false),1))</f>
        <v>1</v>
      </c>
      <c r="I326" s="62">
        <f t="shared" si="653"/>
        <v>1</v>
      </c>
      <c r="J326" s="62">
        <f t="shared" si="653"/>
        <v>1</v>
      </c>
      <c r="K326" s="62">
        <f t="shared" si="653"/>
        <v>1</v>
      </c>
      <c r="L326" s="62">
        <f t="shared" si="653"/>
        <v>1</v>
      </c>
      <c r="M326" s="62">
        <f t="shared" si="653"/>
        <v>1</v>
      </c>
      <c r="N326" s="62">
        <f t="shared" si="653"/>
        <v>1</v>
      </c>
      <c r="O326" s="62">
        <f t="shared" si="653"/>
        <v>1</v>
      </c>
      <c r="P326" s="62" t="str">
        <f t="shared" si="653"/>
        <v/>
      </c>
      <c r="Q326" s="62" t="str">
        <f t="shared" si="653"/>
        <v/>
      </c>
      <c r="R326" s="62">
        <f t="shared" si="7"/>
        <v>0</v>
      </c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</row>
    <row r="327" hidden="1">
      <c r="A327" s="60">
        <f>IFERROR(__xludf.DUMMYFUNCTION("""COMPUTED_VALUE"""),706.0)</f>
        <v>706</v>
      </c>
      <c r="B327" s="60" t="str">
        <f>IFERROR(__xludf.DUMMYFUNCTION("""COMPUTED_VALUE"""),"Bengals, Cincinnati")</f>
        <v>Bengals, Cincinnati</v>
      </c>
      <c r="C327" s="60" t="str">
        <f>IFERROR(__xludf.DUMMYFUNCTION("""COMPUTED_VALUE"""),"TMPK")</f>
        <v>TMPK</v>
      </c>
      <c r="D327" s="60" t="str">
        <f>IFERROR(__xludf.DUMMYFUNCTION("""COMPUTED_VALUE"""),"CIN")</f>
        <v>CIN</v>
      </c>
      <c r="E327" s="62" t="str">
        <f t="shared" si="4"/>
        <v>Cincinnati Bengals</v>
      </c>
      <c r="F327" s="62">
        <f t="shared" ref="F327:G327" si="654">IF(isblank(F$1),,IF(isblank($A327),,IFERROR(vlookup($A327,indirect("'TVC-"&amp;text(month(F$1),"00")&amp;"'!$A:$D"),4,false),1)))</f>
        <v>1</v>
      </c>
      <c r="G327" s="62">
        <f t="shared" si="654"/>
        <v>1</v>
      </c>
      <c r="H327" s="62">
        <f t="shared" ref="H327:Q327" si="655">IF(isblank(H$1),,IFERROR(vlookup($A327,indirect("'TVC-"&amp;text(month(H$1),"00")&amp;"'!$A:$D"),4,false),1))</f>
        <v>1</v>
      </c>
      <c r="I327" s="62">
        <f t="shared" si="655"/>
        <v>1</v>
      </c>
      <c r="J327" s="62">
        <f t="shared" si="655"/>
        <v>1</v>
      </c>
      <c r="K327" s="62">
        <f t="shared" si="655"/>
        <v>1</v>
      </c>
      <c r="L327" s="62">
        <f t="shared" si="655"/>
        <v>1</v>
      </c>
      <c r="M327" s="62">
        <f t="shared" si="655"/>
        <v>1</v>
      </c>
      <c r="N327" s="62">
        <f t="shared" si="655"/>
        <v>1</v>
      </c>
      <c r="O327" s="62">
        <f t="shared" si="655"/>
        <v>1</v>
      </c>
      <c r="P327" s="62" t="str">
        <f t="shared" si="655"/>
        <v/>
      </c>
      <c r="Q327" s="62" t="str">
        <f t="shared" si="655"/>
        <v/>
      </c>
      <c r="R327" s="62">
        <f t="shared" si="7"/>
        <v>0</v>
      </c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</row>
    <row r="328" hidden="1">
      <c r="A328" s="60">
        <f>IFERROR(__xludf.DUMMYFUNCTION("""COMPUTED_VALUE"""),707.0)</f>
        <v>707</v>
      </c>
      <c r="B328" s="60" t="str">
        <f>IFERROR(__xludf.DUMMYFUNCTION("""COMPUTED_VALUE"""),"Browns, Cleveland")</f>
        <v>Browns, Cleveland</v>
      </c>
      <c r="C328" s="60" t="str">
        <f>IFERROR(__xludf.DUMMYFUNCTION("""COMPUTED_VALUE"""),"TMPK")</f>
        <v>TMPK</v>
      </c>
      <c r="D328" s="60" t="str">
        <f>IFERROR(__xludf.DUMMYFUNCTION("""COMPUTED_VALUE"""),"CLE")</f>
        <v>CLE</v>
      </c>
      <c r="E328" s="62" t="str">
        <f t="shared" si="4"/>
        <v>Cleveland Browns</v>
      </c>
      <c r="F328" s="62">
        <f t="shared" ref="F328:G328" si="656">IF(isblank(F$1),,IF(isblank($A328),,IFERROR(vlookup($A328,indirect("'TVC-"&amp;text(month(F$1),"00")&amp;"'!$A:$D"),4,false),1)))</f>
        <v>1</v>
      </c>
      <c r="G328" s="62">
        <f t="shared" si="656"/>
        <v>1</v>
      </c>
      <c r="H328" s="62">
        <f t="shared" ref="H328:Q328" si="657">IF(isblank(H$1),,IFERROR(vlookup($A328,indirect("'TVC-"&amp;text(month(H$1),"00")&amp;"'!$A:$D"),4,false),1))</f>
        <v>1</v>
      </c>
      <c r="I328" s="62">
        <f t="shared" si="657"/>
        <v>1</v>
      </c>
      <c r="J328" s="62">
        <f t="shared" si="657"/>
        <v>1</v>
      </c>
      <c r="K328" s="62">
        <f t="shared" si="657"/>
        <v>1</v>
      </c>
      <c r="L328" s="62">
        <f t="shared" si="657"/>
        <v>1</v>
      </c>
      <c r="M328" s="62">
        <f t="shared" si="657"/>
        <v>1</v>
      </c>
      <c r="N328" s="62">
        <f t="shared" si="657"/>
        <v>1</v>
      </c>
      <c r="O328" s="62">
        <f t="shared" si="657"/>
        <v>1</v>
      </c>
      <c r="P328" s="62" t="str">
        <f t="shared" si="657"/>
        <v/>
      </c>
      <c r="Q328" s="62" t="str">
        <f t="shared" si="657"/>
        <v/>
      </c>
      <c r="R328" s="62">
        <f t="shared" si="7"/>
        <v>0</v>
      </c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</row>
    <row r="329" hidden="1">
      <c r="A329" s="60">
        <f>IFERROR(__xludf.DUMMYFUNCTION("""COMPUTED_VALUE"""),708.0)</f>
        <v>708</v>
      </c>
      <c r="B329" s="60" t="str">
        <f>IFERROR(__xludf.DUMMYFUNCTION("""COMPUTED_VALUE"""),"Titans, Tennessee")</f>
        <v>Titans, Tennessee</v>
      </c>
      <c r="C329" s="60" t="str">
        <f>IFERROR(__xludf.DUMMYFUNCTION("""COMPUTED_VALUE"""),"TMPK")</f>
        <v>TMPK</v>
      </c>
      <c r="D329" s="60" t="str">
        <f>IFERROR(__xludf.DUMMYFUNCTION("""COMPUTED_VALUE"""),"TEN")</f>
        <v>TEN</v>
      </c>
      <c r="E329" s="62" t="str">
        <f t="shared" si="4"/>
        <v>Tennessee Titans</v>
      </c>
      <c r="F329" s="62">
        <f t="shared" ref="F329:G329" si="658">IF(isblank(F$1),,IF(isblank($A329),,IFERROR(vlookup($A329,indirect("'TVC-"&amp;text(month(F$1),"00")&amp;"'!$A:$D"),4,false),1)))</f>
        <v>1</v>
      </c>
      <c r="G329" s="62">
        <f t="shared" si="658"/>
        <v>1</v>
      </c>
      <c r="H329" s="62">
        <f t="shared" ref="H329:Q329" si="659">IF(isblank(H$1),,IFERROR(vlookup($A329,indirect("'TVC-"&amp;text(month(H$1),"00")&amp;"'!$A:$D"),4,false),1))</f>
        <v>1</v>
      </c>
      <c r="I329" s="62">
        <f t="shared" si="659"/>
        <v>1</v>
      </c>
      <c r="J329" s="62">
        <f t="shared" si="659"/>
        <v>1</v>
      </c>
      <c r="K329" s="62">
        <f t="shared" si="659"/>
        <v>1</v>
      </c>
      <c r="L329" s="62">
        <f t="shared" si="659"/>
        <v>1</v>
      </c>
      <c r="M329" s="62">
        <f t="shared" si="659"/>
        <v>1</v>
      </c>
      <c r="N329" s="62">
        <f t="shared" si="659"/>
        <v>1</v>
      </c>
      <c r="O329" s="62">
        <f t="shared" si="659"/>
        <v>1</v>
      </c>
      <c r="P329" s="62" t="str">
        <f t="shared" si="659"/>
        <v/>
      </c>
      <c r="Q329" s="62" t="str">
        <f t="shared" si="659"/>
        <v/>
      </c>
      <c r="R329" s="62">
        <f t="shared" si="7"/>
        <v>0</v>
      </c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</row>
    <row r="330" hidden="1">
      <c r="A330" s="60">
        <f>IFERROR(__xludf.DUMMYFUNCTION("""COMPUTED_VALUE"""),709.0)</f>
        <v>709</v>
      </c>
      <c r="B330" s="60" t="str">
        <f>IFERROR(__xludf.DUMMYFUNCTION("""COMPUTED_VALUE"""),"Jaguars, Jacksonville")</f>
        <v>Jaguars, Jacksonville</v>
      </c>
      <c r="C330" s="60" t="str">
        <f>IFERROR(__xludf.DUMMYFUNCTION("""COMPUTED_VALUE"""),"TMPK")</f>
        <v>TMPK</v>
      </c>
      <c r="D330" s="60" t="str">
        <f>IFERROR(__xludf.DUMMYFUNCTION("""COMPUTED_VALUE"""),"JAC")</f>
        <v>JAC</v>
      </c>
      <c r="E330" s="62" t="str">
        <f t="shared" si="4"/>
        <v>Jacksonville Jaguars</v>
      </c>
      <c r="F330" s="62">
        <f t="shared" ref="F330:G330" si="660">IF(isblank(F$1),,IF(isblank($A330),,IFERROR(vlookup($A330,indirect("'TVC-"&amp;text(month(F$1),"00")&amp;"'!$A:$D"),4,false),1)))</f>
        <v>1</v>
      </c>
      <c r="G330" s="62">
        <f t="shared" si="660"/>
        <v>1</v>
      </c>
      <c r="H330" s="62">
        <f t="shared" ref="H330:Q330" si="661">IF(isblank(H$1),,IFERROR(vlookup($A330,indirect("'TVC-"&amp;text(month(H$1),"00")&amp;"'!$A:$D"),4,false),1))</f>
        <v>1</v>
      </c>
      <c r="I330" s="62">
        <f t="shared" si="661"/>
        <v>1</v>
      </c>
      <c r="J330" s="62">
        <f t="shared" si="661"/>
        <v>1</v>
      </c>
      <c r="K330" s="62">
        <f t="shared" si="661"/>
        <v>1</v>
      </c>
      <c r="L330" s="62">
        <f t="shared" si="661"/>
        <v>1</v>
      </c>
      <c r="M330" s="62">
        <f t="shared" si="661"/>
        <v>1</v>
      </c>
      <c r="N330" s="62">
        <f t="shared" si="661"/>
        <v>1</v>
      </c>
      <c r="O330" s="62">
        <f t="shared" si="661"/>
        <v>1</v>
      </c>
      <c r="P330" s="62" t="str">
        <f t="shared" si="661"/>
        <v/>
      </c>
      <c r="Q330" s="62" t="str">
        <f t="shared" si="661"/>
        <v/>
      </c>
      <c r="R330" s="62">
        <f t="shared" si="7"/>
        <v>0</v>
      </c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</row>
    <row r="331" hidden="1">
      <c r="A331" s="60">
        <f>IFERROR(__xludf.DUMMYFUNCTION("""COMPUTED_VALUE"""),710.0)</f>
        <v>710</v>
      </c>
      <c r="B331" s="60" t="str">
        <f>IFERROR(__xludf.DUMMYFUNCTION("""COMPUTED_VALUE"""),"Steelers, Pittsburgh")</f>
        <v>Steelers, Pittsburgh</v>
      </c>
      <c r="C331" s="60" t="str">
        <f>IFERROR(__xludf.DUMMYFUNCTION("""COMPUTED_VALUE"""),"TMPK")</f>
        <v>TMPK</v>
      </c>
      <c r="D331" s="60" t="str">
        <f>IFERROR(__xludf.DUMMYFUNCTION("""COMPUTED_VALUE"""),"PIT")</f>
        <v>PIT</v>
      </c>
      <c r="E331" s="62" t="str">
        <f t="shared" si="4"/>
        <v>Pittsburgh Steelers</v>
      </c>
      <c r="F331" s="62">
        <f t="shared" ref="F331:G331" si="662">IF(isblank(F$1),,IF(isblank($A331),,IFERROR(vlookup($A331,indirect("'TVC-"&amp;text(month(F$1),"00")&amp;"'!$A:$D"),4,false),1)))</f>
        <v>1</v>
      </c>
      <c r="G331" s="62">
        <f t="shared" si="662"/>
        <v>1</v>
      </c>
      <c r="H331" s="62">
        <f t="shared" ref="H331:Q331" si="663">IF(isblank(H$1),,IFERROR(vlookup($A331,indirect("'TVC-"&amp;text(month(H$1),"00")&amp;"'!$A:$D"),4,false),1))</f>
        <v>1</v>
      </c>
      <c r="I331" s="62">
        <f t="shared" si="663"/>
        <v>1</v>
      </c>
      <c r="J331" s="62">
        <f t="shared" si="663"/>
        <v>1</v>
      </c>
      <c r="K331" s="62">
        <f t="shared" si="663"/>
        <v>1</v>
      </c>
      <c r="L331" s="62">
        <f t="shared" si="663"/>
        <v>1</v>
      </c>
      <c r="M331" s="62">
        <f t="shared" si="663"/>
        <v>1</v>
      </c>
      <c r="N331" s="62">
        <f t="shared" si="663"/>
        <v>1</v>
      </c>
      <c r="O331" s="62">
        <f t="shared" si="663"/>
        <v>1</v>
      </c>
      <c r="P331" s="62" t="str">
        <f t="shared" si="663"/>
        <v/>
      </c>
      <c r="Q331" s="62" t="str">
        <f t="shared" si="663"/>
        <v/>
      </c>
      <c r="R331" s="62">
        <f t="shared" si="7"/>
        <v>0</v>
      </c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</row>
    <row r="332" hidden="1">
      <c r="A332" s="60">
        <f>IFERROR(__xludf.DUMMYFUNCTION("""COMPUTED_VALUE"""),711.0)</f>
        <v>711</v>
      </c>
      <c r="B332" s="60" t="str">
        <f>IFERROR(__xludf.DUMMYFUNCTION("""COMPUTED_VALUE"""),"Broncos, Denver")</f>
        <v>Broncos, Denver</v>
      </c>
      <c r="C332" s="60" t="str">
        <f>IFERROR(__xludf.DUMMYFUNCTION("""COMPUTED_VALUE"""),"TMPK")</f>
        <v>TMPK</v>
      </c>
      <c r="D332" s="60" t="str">
        <f>IFERROR(__xludf.DUMMYFUNCTION("""COMPUTED_VALUE"""),"DEN")</f>
        <v>DEN</v>
      </c>
      <c r="E332" s="62" t="str">
        <f t="shared" si="4"/>
        <v>Denver Broncos</v>
      </c>
      <c r="F332" s="62">
        <f t="shared" ref="F332:G332" si="664">IF(isblank(F$1),,IF(isblank($A332),,IFERROR(vlookup($A332,indirect("'TVC-"&amp;text(month(F$1),"00")&amp;"'!$A:$D"),4,false),1)))</f>
        <v>1</v>
      </c>
      <c r="G332" s="62">
        <f t="shared" si="664"/>
        <v>1</v>
      </c>
      <c r="H332" s="62">
        <f t="shared" ref="H332:Q332" si="665">IF(isblank(H$1),,IFERROR(vlookup($A332,indirect("'TVC-"&amp;text(month(H$1),"00")&amp;"'!$A:$D"),4,false),1))</f>
        <v>1</v>
      </c>
      <c r="I332" s="62">
        <f t="shared" si="665"/>
        <v>1</v>
      </c>
      <c r="J332" s="62">
        <f t="shared" si="665"/>
        <v>1</v>
      </c>
      <c r="K332" s="62">
        <f t="shared" si="665"/>
        <v>1</v>
      </c>
      <c r="L332" s="62">
        <f t="shared" si="665"/>
        <v>1</v>
      </c>
      <c r="M332" s="62">
        <f t="shared" si="665"/>
        <v>1</v>
      </c>
      <c r="N332" s="62">
        <f t="shared" si="665"/>
        <v>1</v>
      </c>
      <c r="O332" s="62">
        <f t="shared" si="665"/>
        <v>1</v>
      </c>
      <c r="P332" s="62" t="str">
        <f t="shared" si="665"/>
        <v/>
      </c>
      <c r="Q332" s="62" t="str">
        <f t="shared" si="665"/>
        <v/>
      </c>
      <c r="R332" s="62">
        <f t="shared" si="7"/>
        <v>0</v>
      </c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</row>
    <row r="333" hidden="1">
      <c r="A333" s="60">
        <f>IFERROR(__xludf.DUMMYFUNCTION("""COMPUTED_VALUE"""),712.0)</f>
        <v>712</v>
      </c>
      <c r="B333" s="60" t="str">
        <f>IFERROR(__xludf.DUMMYFUNCTION("""COMPUTED_VALUE"""),"Chiefs, Kansas City")</f>
        <v>Chiefs, Kansas City</v>
      </c>
      <c r="C333" s="60" t="str">
        <f>IFERROR(__xludf.DUMMYFUNCTION("""COMPUTED_VALUE"""),"TMPK")</f>
        <v>TMPK</v>
      </c>
      <c r="D333" s="60" t="str">
        <f>IFERROR(__xludf.DUMMYFUNCTION("""COMPUTED_VALUE"""),"KCC")</f>
        <v>KCC</v>
      </c>
      <c r="E333" s="62" t="str">
        <f t="shared" si="4"/>
        <v>Kansas City Chiefs</v>
      </c>
      <c r="F333" s="62">
        <f t="shared" ref="F333:G333" si="666">IF(isblank(F$1),,IF(isblank($A333),,IFERROR(vlookup($A333,indirect("'TVC-"&amp;text(month(F$1),"00")&amp;"'!$A:$D"),4,false),1)))</f>
        <v>1</v>
      </c>
      <c r="G333" s="62">
        <f t="shared" si="666"/>
        <v>1</v>
      </c>
      <c r="H333" s="62">
        <f t="shared" ref="H333:Q333" si="667">IF(isblank(H$1),,IFERROR(vlookup($A333,indirect("'TVC-"&amp;text(month(H$1),"00")&amp;"'!$A:$D"),4,false),1))</f>
        <v>1</v>
      </c>
      <c r="I333" s="62">
        <f t="shared" si="667"/>
        <v>1</v>
      </c>
      <c r="J333" s="62">
        <f t="shared" si="667"/>
        <v>1</v>
      </c>
      <c r="K333" s="62">
        <f t="shared" si="667"/>
        <v>1</v>
      </c>
      <c r="L333" s="62">
        <f t="shared" si="667"/>
        <v>1</v>
      </c>
      <c r="M333" s="62">
        <f t="shared" si="667"/>
        <v>1</v>
      </c>
      <c r="N333" s="62">
        <f t="shared" si="667"/>
        <v>1</v>
      </c>
      <c r="O333" s="62">
        <f t="shared" si="667"/>
        <v>1</v>
      </c>
      <c r="P333" s="62" t="str">
        <f t="shared" si="667"/>
        <v/>
      </c>
      <c r="Q333" s="62" t="str">
        <f t="shared" si="667"/>
        <v/>
      </c>
      <c r="R333" s="62">
        <f t="shared" si="7"/>
        <v>0</v>
      </c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</row>
    <row r="334" hidden="1">
      <c r="A334" s="60">
        <f>IFERROR(__xludf.DUMMYFUNCTION("""COMPUTED_VALUE"""),713.0)</f>
        <v>713</v>
      </c>
      <c r="B334" s="60" t="str">
        <f>IFERROR(__xludf.DUMMYFUNCTION("""COMPUTED_VALUE"""),"Raiders, Las Vegas")</f>
        <v>Raiders, Las Vegas</v>
      </c>
      <c r="C334" s="60" t="str">
        <f>IFERROR(__xludf.DUMMYFUNCTION("""COMPUTED_VALUE"""),"TMPK")</f>
        <v>TMPK</v>
      </c>
      <c r="D334" s="60" t="str">
        <f>IFERROR(__xludf.DUMMYFUNCTION("""COMPUTED_VALUE"""),"LVR")</f>
        <v>LVR</v>
      </c>
      <c r="E334" s="62" t="str">
        <f t="shared" si="4"/>
        <v>Las Vegas Raiders</v>
      </c>
      <c r="F334" s="62">
        <f t="shared" ref="F334:G334" si="668">IF(isblank(F$1),,IF(isblank($A334),,IFERROR(vlookup($A334,indirect("'TVC-"&amp;text(month(F$1),"00")&amp;"'!$A:$D"),4,false),1)))</f>
        <v>1</v>
      </c>
      <c r="G334" s="62">
        <f t="shared" si="668"/>
        <v>1</v>
      </c>
      <c r="H334" s="62">
        <f t="shared" ref="H334:Q334" si="669">IF(isblank(H$1),,IFERROR(vlookup($A334,indirect("'TVC-"&amp;text(month(H$1),"00")&amp;"'!$A:$D"),4,false),1))</f>
        <v>1</v>
      </c>
      <c r="I334" s="62">
        <f t="shared" si="669"/>
        <v>1</v>
      </c>
      <c r="J334" s="62">
        <f t="shared" si="669"/>
        <v>1</v>
      </c>
      <c r="K334" s="62">
        <f t="shared" si="669"/>
        <v>1</v>
      </c>
      <c r="L334" s="62">
        <f t="shared" si="669"/>
        <v>1</v>
      </c>
      <c r="M334" s="62">
        <f t="shared" si="669"/>
        <v>1</v>
      </c>
      <c r="N334" s="62">
        <f t="shared" si="669"/>
        <v>1</v>
      </c>
      <c r="O334" s="62">
        <f t="shared" si="669"/>
        <v>1</v>
      </c>
      <c r="P334" s="62" t="str">
        <f t="shared" si="669"/>
        <v/>
      </c>
      <c r="Q334" s="62" t="str">
        <f t="shared" si="669"/>
        <v/>
      </c>
      <c r="R334" s="62">
        <f t="shared" si="7"/>
        <v>0</v>
      </c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</row>
    <row r="335" hidden="1">
      <c r="A335" s="60">
        <f>IFERROR(__xludf.DUMMYFUNCTION("""COMPUTED_VALUE"""),714.0)</f>
        <v>714</v>
      </c>
      <c r="B335" s="60" t="str">
        <f>IFERROR(__xludf.DUMMYFUNCTION("""COMPUTED_VALUE"""),"Chargers, Los Angeles")</f>
        <v>Chargers, Los Angeles</v>
      </c>
      <c r="C335" s="60" t="str">
        <f>IFERROR(__xludf.DUMMYFUNCTION("""COMPUTED_VALUE"""),"TMPK")</f>
        <v>TMPK</v>
      </c>
      <c r="D335" s="60" t="str">
        <f>IFERROR(__xludf.DUMMYFUNCTION("""COMPUTED_VALUE"""),"LAC")</f>
        <v>LAC</v>
      </c>
      <c r="E335" s="62" t="str">
        <f t="shared" si="4"/>
        <v>Los Angeles Chargers</v>
      </c>
      <c r="F335" s="62">
        <f t="shared" ref="F335:G335" si="670">IF(isblank(F$1),,IF(isblank($A335),,IFERROR(vlookup($A335,indirect("'TVC-"&amp;text(month(F$1),"00")&amp;"'!$A:$D"),4,false),1)))</f>
        <v>1</v>
      </c>
      <c r="G335" s="62">
        <f t="shared" si="670"/>
        <v>1</v>
      </c>
      <c r="H335" s="62">
        <f t="shared" ref="H335:Q335" si="671">IF(isblank(H$1),,IFERROR(vlookup($A335,indirect("'TVC-"&amp;text(month(H$1),"00")&amp;"'!$A:$D"),4,false),1))</f>
        <v>1</v>
      </c>
      <c r="I335" s="62">
        <f t="shared" si="671"/>
        <v>1</v>
      </c>
      <c r="J335" s="62">
        <f t="shared" si="671"/>
        <v>1</v>
      </c>
      <c r="K335" s="62">
        <f t="shared" si="671"/>
        <v>1</v>
      </c>
      <c r="L335" s="62">
        <f t="shared" si="671"/>
        <v>1</v>
      </c>
      <c r="M335" s="62">
        <f t="shared" si="671"/>
        <v>1</v>
      </c>
      <c r="N335" s="62">
        <f t="shared" si="671"/>
        <v>1</v>
      </c>
      <c r="O335" s="62">
        <f t="shared" si="671"/>
        <v>1</v>
      </c>
      <c r="P335" s="62" t="str">
        <f t="shared" si="671"/>
        <v/>
      </c>
      <c r="Q335" s="62" t="str">
        <f t="shared" si="671"/>
        <v/>
      </c>
      <c r="R335" s="62">
        <f t="shared" si="7"/>
        <v>0</v>
      </c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</row>
    <row r="336" hidden="1">
      <c r="A336" s="60">
        <f>IFERROR(__xludf.DUMMYFUNCTION("""COMPUTED_VALUE"""),715.0)</f>
        <v>715</v>
      </c>
      <c r="B336" s="60" t="str">
        <f>IFERROR(__xludf.DUMMYFUNCTION("""COMPUTED_VALUE"""),"Seahawks, Seattle")</f>
        <v>Seahawks, Seattle</v>
      </c>
      <c r="C336" s="60" t="str">
        <f>IFERROR(__xludf.DUMMYFUNCTION("""COMPUTED_VALUE"""),"TMPK")</f>
        <v>TMPK</v>
      </c>
      <c r="D336" s="60" t="str">
        <f>IFERROR(__xludf.DUMMYFUNCTION("""COMPUTED_VALUE"""),"SEA")</f>
        <v>SEA</v>
      </c>
      <c r="E336" s="62" t="str">
        <f t="shared" si="4"/>
        <v>Seattle Seahawks</v>
      </c>
      <c r="F336" s="62">
        <f t="shared" ref="F336:G336" si="672">IF(isblank(F$1),,IF(isblank($A336),,IFERROR(vlookup($A336,indirect("'TVC-"&amp;text(month(F$1),"00")&amp;"'!$A:$D"),4,false),1)))</f>
        <v>1</v>
      </c>
      <c r="G336" s="62">
        <f t="shared" si="672"/>
        <v>1</v>
      </c>
      <c r="H336" s="62">
        <f t="shared" ref="H336:Q336" si="673">IF(isblank(H$1),,IFERROR(vlookup($A336,indirect("'TVC-"&amp;text(month(H$1),"00")&amp;"'!$A:$D"),4,false),1))</f>
        <v>1</v>
      </c>
      <c r="I336" s="62">
        <f t="shared" si="673"/>
        <v>1</v>
      </c>
      <c r="J336" s="62">
        <f t="shared" si="673"/>
        <v>1</v>
      </c>
      <c r="K336" s="62">
        <f t="shared" si="673"/>
        <v>1</v>
      </c>
      <c r="L336" s="62">
        <f t="shared" si="673"/>
        <v>1</v>
      </c>
      <c r="M336" s="62">
        <f t="shared" si="673"/>
        <v>1</v>
      </c>
      <c r="N336" s="62">
        <f t="shared" si="673"/>
        <v>1</v>
      </c>
      <c r="O336" s="62">
        <f t="shared" si="673"/>
        <v>1</v>
      </c>
      <c r="P336" s="62" t="str">
        <f t="shared" si="673"/>
        <v/>
      </c>
      <c r="Q336" s="62" t="str">
        <f t="shared" si="673"/>
        <v/>
      </c>
      <c r="R336" s="62">
        <f t="shared" si="7"/>
        <v>0</v>
      </c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</row>
    <row r="337" hidden="1">
      <c r="A337" s="60">
        <f>IFERROR(__xludf.DUMMYFUNCTION("""COMPUTED_VALUE"""),716.0)</f>
        <v>716</v>
      </c>
      <c r="B337" s="60" t="str">
        <f>IFERROR(__xludf.DUMMYFUNCTION("""COMPUTED_VALUE"""),"Cowboys, Dallas")</f>
        <v>Cowboys, Dallas</v>
      </c>
      <c r="C337" s="60" t="str">
        <f>IFERROR(__xludf.DUMMYFUNCTION("""COMPUTED_VALUE"""),"TMPK")</f>
        <v>TMPK</v>
      </c>
      <c r="D337" s="60" t="str">
        <f>IFERROR(__xludf.DUMMYFUNCTION("""COMPUTED_VALUE"""),"DAL")</f>
        <v>DAL</v>
      </c>
      <c r="E337" s="62" t="str">
        <f t="shared" si="4"/>
        <v>Dallas Cowboys</v>
      </c>
      <c r="F337" s="62">
        <f t="shared" ref="F337:G337" si="674">IF(isblank(F$1),,IF(isblank($A337),,IFERROR(vlookup($A337,indirect("'TVC-"&amp;text(month(F$1),"00")&amp;"'!$A:$D"),4,false),1)))</f>
        <v>1</v>
      </c>
      <c r="G337" s="62">
        <f t="shared" si="674"/>
        <v>1</v>
      </c>
      <c r="H337" s="62">
        <f t="shared" ref="H337:Q337" si="675">IF(isblank(H$1),,IFERROR(vlookup($A337,indirect("'TVC-"&amp;text(month(H$1),"00")&amp;"'!$A:$D"),4,false),1))</f>
        <v>1</v>
      </c>
      <c r="I337" s="62">
        <f t="shared" si="675"/>
        <v>1</v>
      </c>
      <c r="J337" s="62">
        <f t="shared" si="675"/>
        <v>1</v>
      </c>
      <c r="K337" s="62">
        <f t="shared" si="675"/>
        <v>1</v>
      </c>
      <c r="L337" s="62">
        <f t="shared" si="675"/>
        <v>1</v>
      </c>
      <c r="M337" s="62">
        <f t="shared" si="675"/>
        <v>1</v>
      </c>
      <c r="N337" s="62">
        <f t="shared" si="675"/>
        <v>1</v>
      </c>
      <c r="O337" s="62">
        <f t="shared" si="675"/>
        <v>1</v>
      </c>
      <c r="P337" s="62" t="str">
        <f t="shared" si="675"/>
        <v/>
      </c>
      <c r="Q337" s="62" t="str">
        <f t="shared" si="675"/>
        <v/>
      </c>
      <c r="R337" s="62">
        <f t="shared" si="7"/>
        <v>0</v>
      </c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</row>
    <row r="338" hidden="1">
      <c r="A338" s="60">
        <f>IFERROR(__xludf.DUMMYFUNCTION("""COMPUTED_VALUE"""),717.0)</f>
        <v>717</v>
      </c>
      <c r="B338" s="60" t="str">
        <f>IFERROR(__xludf.DUMMYFUNCTION("""COMPUTED_VALUE"""),"Giants, New York")</f>
        <v>Giants, New York</v>
      </c>
      <c r="C338" s="60" t="str">
        <f>IFERROR(__xludf.DUMMYFUNCTION("""COMPUTED_VALUE"""),"TMPK")</f>
        <v>TMPK</v>
      </c>
      <c r="D338" s="60" t="str">
        <f>IFERROR(__xludf.DUMMYFUNCTION("""COMPUTED_VALUE"""),"NYG")</f>
        <v>NYG</v>
      </c>
      <c r="E338" s="62" t="str">
        <f t="shared" si="4"/>
        <v>New York Giants</v>
      </c>
      <c r="F338" s="62">
        <f t="shared" ref="F338:G338" si="676">IF(isblank(F$1),,IF(isblank($A338),,IFERROR(vlookup($A338,indirect("'TVC-"&amp;text(month(F$1),"00")&amp;"'!$A:$D"),4,false),1)))</f>
        <v>1</v>
      </c>
      <c r="G338" s="62">
        <f t="shared" si="676"/>
        <v>1</v>
      </c>
      <c r="H338" s="62">
        <f t="shared" ref="H338:Q338" si="677">IF(isblank(H$1),,IFERROR(vlookup($A338,indirect("'TVC-"&amp;text(month(H$1),"00")&amp;"'!$A:$D"),4,false),1))</f>
        <v>1</v>
      </c>
      <c r="I338" s="62">
        <f t="shared" si="677"/>
        <v>1</v>
      </c>
      <c r="J338" s="62">
        <f t="shared" si="677"/>
        <v>1</v>
      </c>
      <c r="K338" s="62">
        <f t="shared" si="677"/>
        <v>1</v>
      </c>
      <c r="L338" s="62">
        <f t="shared" si="677"/>
        <v>1</v>
      </c>
      <c r="M338" s="62">
        <f t="shared" si="677"/>
        <v>1</v>
      </c>
      <c r="N338" s="62">
        <f t="shared" si="677"/>
        <v>1</v>
      </c>
      <c r="O338" s="62">
        <f t="shared" si="677"/>
        <v>1</v>
      </c>
      <c r="P338" s="62" t="str">
        <f t="shared" si="677"/>
        <v/>
      </c>
      <c r="Q338" s="62" t="str">
        <f t="shared" si="677"/>
        <v/>
      </c>
      <c r="R338" s="62">
        <f t="shared" si="7"/>
        <v>0</v>
      </c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</row>
    <row r="339" hidden="1">
      <c r="A339" s="60">
        <f>IFERROR(__xludf.DUMMYFUNCTION("""COMPUTED_VALUE"""),718.0)</f>
        <v>718</v>
      </c>
      <c r="B339" s="60" t="str">
        <f>IFERROR(__xludf.DUMMYFUNCTION("""COMPUTED_VALUE"""),"Eagles, Philadelphia")</f>
        <v>Eagles, Philadelphia</v>
      </c>
      <c r="C339" s="60" t="str">
        <f>IFERROR(__xludf.DUMMYFUNCTION("""COMPUTED_VALUE"""),"TMPK")</f>
        <v>TMPK</v>
      </c>
      <c r="D339" s="60" t="str">
        <f>IFERROR(__xludf.DUMMYFUNCTION("""COMPUTED_VALUE"""),"PHI")</f>
        <v>PHI</v>
      </c>
      <c r="E339" s="62" t="str">
        <f t="shared" si="4"/>
        <v>Philadelphia Eagles</v>
      </c>
      <c r="F339" s="62">
        <f t="shared" ref="F339:G339" si="678">IF(isblank(F$1),,IF(isblank($A339),,IFERROR(vlookup($A339,indirect("'TVC-"&amp;text(month(F$1),"00")&amp;"'!$A:$D"),4,false),1)))</f>
        <v>1</v>
      </c>
      <c r="G339" s="62">
        <f t="shared" si="678"/>
        <v>1</v>
      </c>
      <c r="H339" s="62">
        <f t="shared" ref="H339:Q339" si="679">IF(isblank(H$1),,IFERROR(vlookup($A339,indirect("'TVC-"&amp;text(month(H$1),"00")&amp;"'!$A:$D"),4,false),1))</f>
        <v>1</v>
      </c>
      <c r="I339" s="62">
        <f t="shared" si="679"/>
        <v>1</v>
      </c>
      <c r="J339" s="62">
        <f t="shared" si="679"/>
        <v>1</v>
      </c>
      <c r="K339" s="62">
        <f t="shared" si="679"/>
        <v>1</v>
      </c>
      <c r="L339" s="62">
        <f t="shared" si="679"/>
        <v>1</v>
      </c>
      <c r="M339" s="62">
        <f t="shared" si="679"/>
        <v>1</v>
      </c>
      <c r="N339" s="62">
        <f t="shared" si="679"/>
        <v>1</v>
      </c>
      <c r="O339" s="62">
        <f t="shared" si="679"/>
        <v>1</v>
      </c>
      <c r="P339" s="62" t="str">
        <f t="shared" si="679"/>
        <v/>
      </c>
      <c r="Q339" s="62" t="str">
        <f t="shared" si="679"/>
        <v/>
      </c>
      <c r="R339" s="62">
        <f t="shared" si="7"/>
        <v>0</v>
      </c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</row>
    <row r="340" hidden="1">
      <c r="A340" s="60">
        <f>IFERROR(__xludf.DUMMYFUNCTION("""COMPUTED_VALUE"""),719.0)</f>
        <v>719</v>
      </c>
      <c r="B340" s="60" t="str">
        <f>IFERROR(__xludf.DUMMYFUNCTION("""COMPUTED_VALUE"""),"Cardinals, Arizona")</f>
        <v>Cardinals, Arizona</v>
      </c>
      <c r="C340" s="60" t="str">
        <f>IFERROR(__xludf.DUMMYFUNCTION("""COMPUTED_VALUE"""),"TMPK")</f>
        <v>TMPK</v>
      </c>
      <c r="D340" s="60" t="str">
        <f>IFERROR(__xludf.DUMMYFUNCTION("""COMPUTED_VALUE"""),"ARI")</f>
        <v>ARI</v>
      </c>
      <c r="E340" s="62" t="str">
        <f t="shared" si="4"/>
        <v>Arizona Cardinals</v>
      </c>
      <c r="F340" s="62">
        <f t="shared" ref="F340:G340" si="680">IF(isblank(F$1),,IF(isblank($A340),,IFERROR(vlookup($A340,indirect("'TVC-"&amp;text(month(F$1),"00")&amp;"'!$A:$D"),4,false),1)))</f>
        <v>1</v>
      </c>
      <c r="G340" s="62">
        <f t="shared" si="680"/>
        <v>1</v>
      </c>
      <c r="H340" s="62">
        <f t="shared" ref="H340:Q340" si="681">IF(isblank(H$1),,IFERROR(vlookup($A340,indirect("'TVC-"&amp;text(month(H$1),"00")&amp;"'!$A:$D"),4,false),1))</f>
        <v>1</v>
      </c>
      <c r="I340" s="62">
        <f t="shared" si="681"/>
        <v>1</v>
      </c>
      <c r="J340" s="62">
        <f t="shared" si="681"/>
        <v>1</v>
      </c>
      <c r="K340" s="62">
        <f t="shared" si="681"/>
        <v>1</v>
      </c>
      <c r="L340" s="62">
        <f t="shared" si="681"/>
        <v>1</v>
      </c>
      <c r="M340" s="62">
        <f t="shared" si="681"/>
        <v>1</v>
      </c>
      <c r="N340" s="62">
        <f t="shared" si="681"/>
        <v>1</v>
      </c>
      <c r="O340" s="62">
        <f t="shared" si="681"/>
        <v>1</v>
      </c>
      <c r="P340" s="62" t="str">
        <f t="shared" si="681"/>
        <v/>
      </c>
      <c r="Q340" s="62" t="str">
        <f t="shared" si="681"/>
        <v/>
      </c>
      <c r="R340" s="62">
        <f t="shared" si="7"/>
        <v>0</v>
      </c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</row>
    <row r="341" hidden="1">
      <c r="A341" s="60">
        <f>IFERROR(__xludf.DUMMYFUNCTION("""COMPUTED_VALUE"""),720.0)</f>
        <v>720</v>
      </c>
      <c r="B341" s="60" t="str">
        <f>IFERROR(__xludf.DUMMYFUNCTION("""COMPUTED_VALUE"""),"Commanders, Washington")</f>
        <v>Commanders, Washington</v>
      </c>
      <c r="C341" s="60" t="str">
        <f>IFERROR(__xludf.DUMMYFUNCTION("""COMPUTED_VALUE"""),"TMPK")</f>
        <v>TMPK</v>
      </c>
      <c r="D341" s="60" t="str">
        <f>IFERROR(__xludf.DUMMYFUNCTION("""COMPUTED_VALUE"""),"WAS")</f>
        <v>WAS</v>
      </c>
      <c r="E341" s="62" t="str">
        <f t="shared" si="4"/>
        <v>Washington Commanders</v>
      </c>
      <c r="F341" s="62">
        <f t="shared" ref="F341:G341" si="682">IF(isblank(F$1),,IF(isblank($A341),,IFERROR(vlookup($A341,indirect("'TVC-"&amp;text(month(F$1),"00")&amp;"'!$A:$D"),4,false),1)))</f>
        <v>1</v>
      </c>
      <c r="G341" s="62">
        <f t="shared" si="682"/>
        <v>1</v>
      </c>
      <c r="H341" s="62">
        <f t="shared" ref="H341:Q341" si="683">IF(isblank(H$1),,IFERROR(vlookup($A341,indirect("'TVC-"&amp;text(month(H$1),"00")&amp;"'!$A:$D"),4,false),1))</f>
        <v>1</v>
      </c>
      <c r="I341" s="62">
        <f t="shared" si="683"/>
        <v>1</v>
      </c>
      <c r="J341" s="62">
        <f t="shared" si="683"/>
        <v>1</v>
      </c>
      <c r="K341" s="62">
        <f t="shared" si="683"/>
        <v>1</v>
      </c>
      <c r="L341" s="62">
        <f t="shared" si="683"/>
        <v>1</v>
      </c>
      <c r="M341" s="62">
        <f t="shared" si="683"/>
        <v>1</v>
      </c>
      <c r="N341" s="62">
        <f t="shared" si="683"/>
        <v>1</v>
      </c>
      <c r="O341" s="62">
        <f t="shared" si="683"/>
        <v>1</v>
      </c>
      <c r="P341" s="62" t="str">
        <f t="shared" si="683"/>
        <v/>
      </c>
      <c r="Q341" s="62" t="str">
        <f t="shared" si="683"/>
        <v/>
      </c>
      <c r="R341" s="62">
        <f t="shared" si="7"/>
        <v>0</v>
      </c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</row>
    <row r="342" hidden="1">
      <c r="A342" s="60">
        <f>IFERROR(__xludf.DUMMYFUNCTION("""COMPUTED_VALUE"""),721.0)</f>
        <v>721</v>
      </c>
      <c r="B342" s="60" t="str">
        <f>IFERROR(__xludf.DUMMYFUNCTION("""COMPUTED_VALUE"""),"Bears, Chicago")</f>
        <v>Bears, Chicago</v>
      </c>
      <c r="C342" s="60" t="str">
        <f>IFERROR(__xludf.DUMMYFUNCTION("""COMPUTED_VALUE"""),"TMPK")</f>
        <v>TMPK</v>
      </c>
      <c r="D342" s="60" t="str">
        <f>IFERROR(__xludf.DUMMYFUNCTION("""COMPUTED_VALUE"""),"CHI")</f>
        <v>CHI</v>
      </c>
      <c r="E342" s="62" t="str">
        <f t="shared" si="4"/>
        <v>Chicago Bears</v>
      </c>
      <c r="F342" s="62">
        <f t="shared" ref="F342:G342" si="684">IF(isblank(F$1),,IF(isblank($A342),,IFERROR(vlookup($A342,indirect("'TVC-"&amp;text(month(F$1),"00")&amp;"'!$A:$D"),4,false),1)))</f>
        <v>1</v>
      </c>
      <c r="G342" s="62">
        <f t="shared" si="684"/>
        <v>1</v>
      </c>
      <c r="H342" s="62">
        <f t="shared" ref="H342:Q342" si="685">IF(isblank(H$1),,IFERROR(vlookup($A342,indirect("'TVC-"&amp;text(month(H$1),"00")&amp;"'!$A:$D"),4,false),1))</f>
        <v>1</v>
      </c>
      <c r="I342" s="62">
        <f t="shared" si="685"/>
        <v>1</v>
      </c>
      <c r="J342" s="62">
        <f t="shared" si="685"/>
        <v>1</v>
      </c>
      <c r="K342" s="62">
        <f t="shared" si="685"/>
        <v>1</v>
      </c>
      <c r="L342" s="62">
        <f t="shared" si="685"/>
        <v>1</v>
      </c>
      <c r="M342" s="62">
        <f t="shared" si="685"/>
        <v>1</v>
      </c>
      <c r="N342" s="62">
        <f t="shared" si="685"/>
        <v>1</v>
      </c>
      <c r="O342" s="62">
        <f t="shared" si="685"/>
        <v>1</v>
      </c>
      <c r="P342" s="62" t="str">
        <f t="shared" si="685"/>
        <v/>
      </c>
      <c r="Q342" s="62" t="str">
        <f t="shared" si="685"/>
        <v/>
      </c>
      <c r="R342" s="62">
        <f t="shared" si="7"/>
        <v>0</v>
      </c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</row>
    <row r="343" hidden="1">
      <c r="A343" s="60">
        <f>IFERROR(__xludf.DUMMYFUNCTION("""COMPUTED_VALUE"""),722.0)</f>
        <v>722</v>
      </c>
      <c r="B343" s="60" t="str">
        <f>IFERROR(__xludf.DUMMYFUNCTION("""COMPUTED_VALUE"""),"Lions, Detroit")</f>
        <v>Lions, Detroit</v>
      </c>
      <c r="C343" s="60" t="str">
        <f>IFERROR(__xludf.DUMMYFUNCTION("""COMPUTED_VALUE"""),"TMPK")</f>
        <v>TMPK</v>
      </c>
      <c r="D343" s="60" t="str">
        <f>IFERROR(__xludf.DUMMYFUNCTION("""COMPUTED_VALUE"""),"DET")</f>
        <v>DET</v>
      </c>
      <c r="E343" s="62" t="str">
        <f t="shared" si="4"/>
        <v>Detroit Lions</v>
      </c>
      <c r="F343" s="62">
        <f t="shared" ref="F343:G343" si="686">IF(isblank(F$1),,IF(isblank($A343),,IFERROR(vlookup($A343,indirect("'TVC-"&amp;text(month(F$1),"00")&amp;"'!$A:$D"),4,false),1)))</f>
        <v>1</v>
      </c>
      <c r="G343" s="62">
        <f t="shared" si="686"/>
        <v>1</v>
      </c>
      <c r="H343" s="62">
        <f t="shared" ref="H343:Q343" si="687">IF(isblank(H$1),,IFERROR(vlookup($A343,indirect("'TVC-"&amp;text(month(H$1),"00")&amp;"'!$A:$D"),4,false),1))</f>
        <v>1</v>
      </c>
      <c r="I343" s="62">
        <f t="shared" si="687"/>
        <v>1</v>
      </c>
      <c r="J343" s="62">
        <f t="shared" si="687"/>
        <v>1</v>
      </c>
      <c r="K343" s="62">
        <f t="shared" si="687"/>
        <v>1</v>
      </c>
      <c r="L343" s="62">
        <f t="shared" si="687"/>
        <v>1</v>
      </c>
      <c r="M343" s="62">
        <f t="shared" si="687"/>
        <v>1</v>
      </c>
      <c r="N343" s="62">
        <f t="shared" si="687"/>
        <v>1</v>
      </c>
      <c r="O343" s="62">
        <f t="shared" si="687"/>
        <v>1</v>
      </c>
      <c r="P343" s="62" t="str">
        <f t="shared" si="687"/>
        <v/>
      </c>
      <c r="Q343" s="62" t="str">
        <f t="shared" si="687"/>
        <v/>
      </c>
      <c r="R343" s="62">
        <f t="shared" si="7"/>
        <v>0</v>
      </c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</row>
    <row r="344" hidden="1">
      <c r="A344" s="60">
        <f>IFERROR(__xludf.DUMMYFUNCTION("""COMPUTED_VALUE"""),723.0)</f>
        <v>723</v>
      </c>
      <c r="B344" s="60" t="str">
        <f>IFERROR(__xludf.DUMMYFUNCTION("""COMPUTED_VALUE"""),"Packers, Green Bay")</f>
        <v>Packers, Green Bay</v>
      </c>
      <c r="C344" s="60" t="str">
        <f>IFERROR(__xludf.DUMMYFUNCTION("""COMPUTED_VALUE"""),"TMPK")</f>
        <v>TMPK</v>
      </c>
      <c r="D344" s="60" t="str">
        <f>IFERROR(__xludf.DUMMYFUNCTION("""COMPUTED_VALUE"""),"GBP")</f>
        <v>GBP</v>
      </c>
      <c r="E344" s="62" t="str">
        <f t="shared" si="4"/>
        <v>Green Bay Packers</v>
      </c>
      <c r="F344" s="62">
        <f t="shared" ref="F344:G344" si="688">IF(isblank(F$1),,IF(isblank($A344),,IFERROR(vlookup($A344,indirect("'TVC-"&amp;text(month(F$1),"00")&amp;"'!$A:$D"),4,false),1)))</f>
        <v>1</v>
      </c>
      <c r="G344" s="62">
        <f t="shared" si="688"/>
        <v>1</v>
      </c>
      <c r="H344" s="62">
        <f t="shared" ref="H344:Q344" si="689">IF(isblank(H$1),,IFERROR(vlookup($A344,indirect("'TVC-"&amp;text(month(H$1),"00")&amp;"'!$A:$D"),4,false),1))</f>
        <v>1</v>
      </c>
      <c r="I344" s="62">
        <f t="shared" si="689"/>
        <v>1</v>
      </c>
      <c r="J344" s="62">
        <f t="shared" si="689"/>
        <v>1</v>
      </c>
      <c r="K344" s="62">
        <f t="shared" si="689"/>
        <v>1</v>
      </c>
      <c r="L344" s="62">
        <f t="shared" si="689"/>
        <v>1</v>
      </c>
      <c r="M344" s="62">
        <f t="shared" si="689"/>
        <v>1</v>
      </c>
      <c r="N344" s="62">
        <f t="shared" si="689"/>
        <v>1</v>
      </c>
      <c r="O344" s="62">
        <f t="shared" si="689"/>
        <v>1</v>
      </c>
      <c r="P344" s="62" t="str">
        <f t="shared" si="689"/>
        <v/>
      </c>
      <c r="Q344" s="62" t="str">
        <f t="shared" si="689"/>
        <v/>
      </c>
      <c r="R344" s="62">
        <f t="shared" si="7"/>
        <v>0</v>
      </c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</row>
    <row r="345" hidden="1">
      <c r="A345" s="60">
        <f>IFERROR(__xludf.DUMMYFUNCTION("""COMPUTED_VALUE"""),724.0)</f>
        <v>724</v>
      </c>
      <c r="B345" s="60" t="str">
        <f>IFERROR(__xludf.DUMMYFUNCTION("""COMPUTED_VALUE"""),"Vikings, Minnesota")</f>
        <v>Vikings, Minnesota</v>
      </c>
      <c r="C345" s="60" t="str">
        <f>IFERROR(__xludf.DUMMYFUNCTION("""COMPUTED_VALUE"""),"TMPK")</f>
        <v>TMPK</v>
      </c>
      <c r="D345" s="60" t="str">
        <f>IFERROR(__xludf.DUMMYFUNCTION("""COMPUTED_VALUE"""),"MIN")</f>
        <v>MIN</v>
      </c>
      <c r="E345" s="62" t="str">
        <f t="shared" si="4"/>
        <v>Minnesota Vikings</v>
      </c>
      <c r="F345" s="62">
        <f t="shared" ref="F345:G345" si="690">IF(isblank(F$1),,IF(isblank($A345),,IFERROR(vlookup($A345,indirect("'TVC-"&amp;text(month(F$1),"00")&amp;"'!$A:$D"),4,false),1)))</f>
        <v>1</v>
      </c>
      <c r="G345" s="62">
        <f t="shared" si="690"/>
        <v>1</v>
      </c>
      <c r="H345" s="62">
        <f t="shared" ref="H345:Q345" si="691">IF(isblank(H$1),,IFERROR(vlookup($A345,indirect("'TVC-"&amp;text(month(H$1),"00")&amp;"'!$A:$D"),4,false),1))</f>
        <v>1</v>
      </c>
      <c r="I345" s="62">
        <f t="shared" si="691"/>
        <v>1</v>
      </c>
      <c r="J345" s="62">
        <f t="shared" si="691"/>
        <v>1</v>
      </c>
      <c r="K345" s="62">
        <f t="shared" si="691"/>
        <v>1</v>
      </c>
      <c r="L345" s="62">
        <f t="shared" si="691"/>
        <v>1</v>
      </c>
      <c r="M345" s="62">
        <f t="shared" si="691"/>
        <v>1</v>
      </c>
      <c r="N345" s="62">
        <f t="shared" si="691"/>
        <v>1</v>
      </c>
      <c r="O345" s="62">
        <f t="shared" si="691"/>
        <v>1</v>
      </c>
      <c r="P345" s="62" t="str">
        <f t="shared" si="691"/>
        <v/>
      </c>
      <c r="Q345" s="62" t="str">
        <f t="shared" si="691"/>
        <v/>
      </c>
      <c r="R345" s="62">
        <f t="shared" si="7"/>
        <v>0</v>
      </c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</row>
    <row r="346" hidden="1">
      <c r="A346" s="60">
        <f>IFERROR(__xludf.DUMMYFUNCTION("""COMPUTED_VALUE"""),725.0)</f>
        <v>725</v>
      </c>
      <c r="B346" s="60" t="str">
        <f>IFERROR(__xludf.DUMMYFUNCTION("""COMPUTED_VALUE"""),"Buccaneers, Tampa Bay")</f>
        <v>Buccaneers, Tampa Bay</v>
      </c>
      <c r="C346" s="60" t="str">
        <f>IFERROR(__xludf.DUMMYFUNCTION("""COMPUTED_VALUE"""),"TMPK")</f>
        <v>TMPK</v>
      </c>
      <c r="D346" s="60" t="str">
        <f>IFERROR(__xludf.DUMMYFUNCTION("""COMPUTED_VALUE"""),"TBB")</f>
        <v>TBB</v>
      </c>
      <c r="E346" s="62" t="str">
        <f t="shared" si="4"/>
        <v>Tampa Bay Buccaneers</v>
      </c>
      <c r="F346" s="62">
        <f t="shared" ref="F346:G346" si="692">IF(isblank(F$1),,IF(isblank($A346),,IFERROR(vlookup($A346,indirect("'TVC-"&amp;text(month(F$1),"00")&amp;"'!$A:$D"),4,false),1)))</f>
        <v>1</v>
      </c>
      <c r="G346" s="62">
        <f t="shared" si="692"/>
        <v>1</v>
      </c>
      <c r="H346" s="62">
        <f t="shared" ref="H346:Q346" si="693">IF(isblank(H$1),,IFERROR(vlookup($A346,indirect("'TVC-"&amp;text(month(H$1),"00")&amp;"'!$A:$D"),4,false),1))</f>
        <v>1</v>
      </c>
      <c r="I346" s="62">
        <f t="shared" si="693"/>
        <v>1</v>
      </c>
      <c r="J346" s="62">
        <f t="shared" si="693"/>
        <v>1</v>
      </c>
      <c r="K346" s="62">
        <f t="shared" si="693"/>
        <v>1</v>
      </c>
      <c r="L346" s="62">
        <f t="shared" si="693"/>
        <v>1</v>
      </c>
      <c r="M346" s="62">
        <f t="shared" si="693"/>
        <v>1</v>
      </c>
      <c r="N346" s="62">
        <f t="shared" si="693"/>
        <v>1</v>
      </c>
      <c r="O346" s="62">
        <f t="shared" si="693"/>
        <v>1</v>
      </c>
      <c r="P346" s="62" t="str">
        <f t="shared" si="693"/>
        <v/>
      </c>
      <c r="Q346" s="62" t="str">
        <f t="shared" si="693"/>
        <v/>
      </c>
      <c r="R346" s="62">
        <f t="shared" si="7"/>
        <v>0</v>
      </c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</row>
    <row r="347" hidden="1">
      <c r="A347" s="60">
        <f>IFERROR(__xludf.DUMMYFUNCTION("""COMPUTED_VALUE"""),726.0)</f>
        <v>726</v>
      </c>
      <c r="B347" s="60" t="str">
        <f>IFERROR(__xludf.DUMMYFUNCTION("""COMPUTED_VALUE"""),"Falcons, Atlanta")</f>
        <v>Falcons, Atlanta</v>
      </c>
      <c r="C347" s="60" t="str">
        <f>IFERROR(__xludf.DUMMYFUNCTION("""COMPUTED_VALUE"""),"TMPK")</f>
        <v>TMPK</v>
      </c>
      <c r="D347" s="60" t="str">
        <f>IFERROR(__xludf.DUMMYFUNCTION("""COMPUTED_VALUE"""),"ATL")</f>
        <v>ATL</v>
      </c>
      <c r="E347" s="62" t="str">
        <f t="shared" si="4"/>
        <v>Atlanta Falcons</v>
      </c>
      <c r="F347" s="62">
        <f t="shared" ref="F347:G347" si="694">IF(isblank(F$1),,IF(isblank($A347),,IFERROR(vlookup($A347,indirect("'TVC-"&amp;text(month(F$1),"00")&amp;"'!$A:$D"),4,false),1)))</f>
        <v>1</v>
      </c>
      <c r="G347" s="62">
        <f t="shared" si="694"/>
        <v>1</v>
      </c>
      <c r="H347" s="62">
        <f t="shared" ref="H347:Q347" si="695">IF(isblank(H$1),,IFERROR(vlookup($A347,indirect("'TVC-"&amp;text(month(H$1),"00")&amp;"'!$A:$D"),4,false),1))</f>
        <v>1</v>
      </c>
      <c r="I347" s="62">
        <f t="shared" si="695"/>
        <v>1</v>
      </c>
      <c r="J347" s="62">
        <f t="shared" si="695"/>
        <v>1</v>
      </c>
      <c r="K347" s="62">
        <f t="shared" si="695"/>
        <v>1</v>
      </c>
      <c r="L347" s="62">
        <f t="shared" si="695"/>
        <v>1</v>
      </c>
      <c r="M347" s="62">
        <f t="shared" si="695"/>
        <v>1</v>
      </c>
      <c r="N347" s="62">
        <f t="shared" si="695"/>
        <v>1</v>
      </c>
      <c r="O347" s="62">
        <f t="shared" si="695"/>
        <v>1</v>
      </c>
      <c r="P347" s="62" t="str">
        <f t="shared" si="695"/>
        <v/>
      </c>
      <c r="Q347" s="62" t="str">
        <f t="shared" si="695"/>
        <v/>
      </c>
      <c r="R347" s="62">
        <f t="shared" si="7"/>
        <v>0</v>
      </c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</row>
    <row r="348" hidden="1">
      <c r="A348" s="60">
        <f>IFERROR(__xludf.DUMMYFUNCTION("""COMPUTED_VALUE"""),727.0)</f>
        <v>727</v>
      </c>
      <c r="B348" s="60" t="str">
        <f>IFERROR(__xludf.DUMMYFUNCTION("""COMPUTED_VALUE"""),"Panthers, Carolina")</f>
        <v>Panthers, Carolina</v>
      </c>
      <c r="C348" s="60" t="str">
        <f>IFERROR(__xludf.DUMMYFUNCTION("""COMPUTED_VALUE"""),"TMPK")</f>
        <v>TMPK</v>
      </c>
      <c r="D348" s="60" t="str">
        <f>IFERROR(__xludf.DUMMYFUNCTION("""COMPUTED_VALUE"""),"CAR")</f>
        <v>CAR</v>
      </c>
      <c r="E348" s="62" t="str">
        <f t="shared" si="4"/>
        <v>Carolina Panthers</v>
      </c>
      <c r="F348" s="62">
        <f t="shared" ref="F348:G348" si="696">IF(isblank(F$1),,IF(isblank($A348),,IFERROR(vlookup($A348,indirect("'TVC-"&amp;text(month(F$1),"00")&amp;"'!$A:$D"),4,false),1)))</f>
        <v>1</v>
      </c>
      <c r="G348" s="62">
        <f t="shared" si="696"/>
        <v>1</v>
      </c>
      <c r="H348" s="62">
        <f t="shared" ref="H348:Q348" si="697">IF(isblank(H$1),,IFERROR(vlookup($A348,indirect("'TVC-"&amp;text(month(H$1),"00")&amp;"'!$A:$D"),4,false),1))</f>
        <v>1</v>
      </c>
      <c r="I348" s="62">
        <f t="shared" si="697"/>
        <v>1</v>
      </c>
      <c r="J348" s="62">
        <f t="shared" si="697"/>
        <v>1</v>
      </c>
      <c r="K348" s="62">
        <f t="shared" si="697"/>
        <v>1</v>
      </c>
      <c r="L348" s="62">
        <f t="shared" si="697"/>
        <v>1</v>
      </c>
      <c r="M348" s="62">
        <f t="shared" si="697"/>
        <v>1</v>
      </c>
      <c r="N348" s="62">
        <f t="shared" si="697"/>
        <v>1</v>
      </c>
      <c r="O348" s="62">
        <f t="shared" si="697"/>
        <v>1</v>
      </c>
      <c r="P348" s="62" t="str">
        <f t="shared" si="697"/>
        <v/>
      </c>
      <c r="Q348" s="62" t="str">
        <f t="shared" si="697"/>
        <v/>
      </c>
      <c r="R348" s="62">
        <f t="shared" si="7"/>
        <v>0</v>
      </c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</row>
    <row r="349" hidden="1">
      <c r="A349" s="60">
        <f>IFERROR(__xludf.DUMMYFUNCTION("""COMPUTED_VALUE"""),728.0)</f>
        <v>728</v>
      </c>
      <c r="B349" s="60" t="str">
        <f>IFERROR(__xludf.DUMMYFUNCTION("""COMPUTED_VALUE"""),"Rams, Los Angeles")</f>
        <v>Rams, Los Angeles</v>
      </c>
      <c r="C349" s="60" t="str">
        <f>IFERROR(__xludf.DUMMYFUNCTION("""COMPUTED_VALUE"""),"TMPK")</f>
        <v>TMPK</v>
      </c>
      <c r="D349" s="60" t="str">
        <f>IFERROR(__xludf.DUMMYFUNCTION("""COMPUTED_VALUE"""),"LAR")</f>
        <v>LAR</v>
      </c>
      <c r="E349" s="62" t="str">
        <f t="shared" si="4"/>
        <v>Los Angeles Rams</v>
      </c>
      <c r="F349" s="62">
        <f t="shared" ref="F349:G349" si="698">IF(isblank(F$1),,IF(isblank($A349),,IFERROR(vlookup($A349,indirect("'TVC-"&amp;text(month(F$1),"00")&amp;"'!$A:$D"),4,false),1)))</f>
        <v>1</v>
      </c>
      <c r="G349" s="62">
        <f t="shared" si="698"/>
        <v>1</v>
      </c>
      <c r="H349" s="62">
        <f t="shared" ref="H349:Q349" si="699">IF(isblank(H$1),,IFERROR(vlookup($A349,indirect("'TVC-"&amp;text(month(H$1),"00")&amp;"'!$A:$D"),4,false),1))</f>
        <v>1</v>
      </c>
      <c r="I349" s="62">
        <f t="shared" si="699"/>
        <v>1</v>
      </c>
      <c r="J349" s="62">
        <f t="shared" si="699"/>
        <v>1</v>
      </c>
      <c r="K349" s="62">
        <f t="shared" si="699"/>
        <v>1</v>
      </c>
      <c r="L349" s="62">
        <f t="shared" si="699"/>
        <v>1</v>
      </c>
      <c r="M349" s="62">
        <f t="shared" si="699"/>
        <v>1</v>
      </c>
      <c r="N349" s="62">
        <f t="shared" si="699"/>
        <v>1</v>
      </c>
      <c r="O349" s="62">
        <f t="shared" si="699"/>
        <v>1</v>
      </c>
      <c r="P349" s="62" t="str">
        <f t="shared" si="699"/>
        <v/>
      </c>
      <c r="Q349" s="62" t="str">
        <f t="shared" si="699"/>
        <v/>
      </c>
      <c r="R349" s="62">
        <f t="shared" si="7"/>
        <v>0</v>
      </c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</row>
    <row r="350" hidden="1">
      <c r="A350" s="60">
        <f>IFERROR(__xludf.DUMMYFUNCTION("""COMPUTED_VALUE"""),729.0)</f>
        <v>729</v>
      </c>
      <c r="B350" s="60" t="str">
        <f>IFERROR(__xludf.DUMMYFUNCTION("""COMPUTED_VALUE"""),"Saints, New Orleans")</f>
        <v>Saints, New Orleans</v>
      </c>
      <c r="C350" s="60" t="str">
        <f>IFERROR(__xludf.DUMMYFUNCTION("""COMPUTED_VALUE"""),"TMPK")</f>
        <v>TMPK</v>
      </c>
      <c r="D350" s="60" t="str">
        <f>IFERROR(__xludf.DUMMYFUNCTION("""COMPUTED_VALUE"""),"NOS")</f>
        <v>NOS</v>
      </c>
      <c r="E350" s="62" t="str">
        <f t="shared" si="4"/>
        <v>New Orleans Saints</v>
      </c>
      <c r="F350" s="62">
        <f t="shared" ref="F350:G350" si="700">IF(isblank(F$1),,IF(isblank($A350),,IFERROR(vlookup($A350,indirect("'TVC-"&amp;text(month(F$1),"00")&amp;"'!$A:$D"),4,false),1)))</f>
        <v>1</v>
      </c>
      <c r="G350" s="62">
        <f t="shared" si="700"/>
        <v>1</v>
      </c>
      <c r="H350" s="62">
        <f t="shared" ref="H350:Q350" si="701">IF(isblank(H$1),,IFERROR(vlookup($A350,indirect("'TVC-"&amp;text(month(H$1),"00")&amp;"'!$A:$D"),4,false),1))</f>
        <v>1</v>
      </c>
      <c r="I350" s="62">
        <f t="shared" si="701"/>
        <v>1</v>
      </c>
      <c r="J350" s="62">
        <f t="shared" si="701"/>
        <v>1</v>
      </c>
      <c r="K350" s="62">
        <f t="shared" si="701"/>
        <v>1</v>
      </c>
      <c r="L350" s="62">
        <f t="shared" si="701"/>
        <v>1</v>
      </c>
      <c r="M350" s="62">
        <f t="shared" si="701"/>
        <v>1</v>
      </c>
      <c r="N350" s="62">
        <f t="shared" si="701"/>
        <v>1</v>
      </c>
      <c r="O350" s="62">
        <f t="shared" si="701"/>
        <v>1</v>
      </c>
      <c r="P350" s="62" t="str">
        <f t="shared" si="701"/>
        <v/>
      </c>
      <c r="Q350" s="62" t="str">
        <f t="shared" si="701"/>
        <v/>
      </c>
      <c r="R350" s="62">
        <f t="shared" si="7"/>
        <v>0</v>
      </c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</row>
    <row r="351" hidden="1">
      <c r="A351" s="60">
        <f>IFERROR(__xludf.DUMMYFUNCTION("""COMPUTED_VALUE"""),730.0)</f>
        <v>730</v>
      </c>
      <c r="B351" s="60" t="str">
        <f>IFERROR(__xludf.DUMMYFUNCTION("""COMPUTED_VALUE"""),"49ers, San Francisco")</f>
        <v>49ers, San Francisco</v>
      </c>
      <c r="C351" s="60" t="str">
        <f>IFERROR(__xludf.DUMMYFUNCTION("""COMPUTED_VALUE"""),"TMPK")</f>
        <v>TMPK</v>
      </c>
      <c r="D351" s="60" t="str">
        <f>IFERROR(__xludf.DUMMYFUNCTION("""COMPUTED_VALUE"""),"SFO")</f>
        <v>SFO</v>
      </c>
      <c r="E351" s="62" t="str">
        <f t="shared" si="4"/>
        <v>San Francisco 49ers</v>
      </c>
      <c r="F351" s="62">
        <f t="shared" ref="F351:G351" si="702">IF(isblank(F$1),,IF(isblank($A351),,IFERROR(vlookup($A351,indirect("'TVC-"&amp;text(month(F$1),"00")&amp;"'!$A:$D"),4,false),1)))</f>
        <v>1</v>
      </c>
      <c r="G351" s="62">
        <f t="shared" si="702"/>
        <v>1</v>
      </c>
      <c r="H351" s="62">
        <f t="shared" ref="H351:Q351" si="703">IF(isblank(H$1),,IFERROR(vlookup($A351,indirect("'TVC-"&amp;text(month(H$1),"00")&amp;"'!$A:$D"),4,false),1))</f>
        <v>1</v>
      </c>
      <c r="I351" s="62">
        <f t="shared" si="703"/>
        <v>1</v>
      </c>
      <c r="J351" s="62">
        <f t="shared" si="703"/>
        <v>1</v>
      </c>
      <c r="K351" s="62">
        <f t="shared" si="703"/>
        <v>1</v>
      </c>
      <c r="L351" s="62">
        <f t="shared" si="703"/>
        <v>1</v>
      </c>
      <c r="M351" s="62">
        <f t="shared" si="703"/>
        <v>1</v>
      </c>
      <c r="N351" s="62">
        <f t="shared" si="703"/>
        <v>1</v>
      </c>
      <c r="O351" s="62">
        <f t="shared" si="703"/>
        <v>1</v>
      </c>
      <c r="P351" s="62" t="str">
        <f t="shared" si="703"/>
        <v/>
      </c>
      <c r="Q351" s="62" t="str">
        <f t="shared" si="703"/>
        <v/>
      </c>
      <c r="R351" s="62">
        <f t="shared" si="7"/>
        <v>0</v>
      </c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</row>
    <row r="352" hidden="1">
      <c r="A352" s="60">
        <f>IFERROR(__xludf.DUMMYFUNCTION("""COMPUTED_VALUE"""),731.0)</f>
        <v>731</v>
      </c>
      <c r="B352" s="60" t="str">
        <f>IFERROR(__xludf.DUMMYFUNCTION("""COMPUTED_VALUE"""),"Ravens, Baltimore")</f>
        <v>Ravens, Baltimore</v>
      </c>
      <c r="C352" s="60" t="str">
        <f>IFERROR(__xludf.DUMMYFUNCTION("""COMPUTED_VALUE"""),"TMPK")</f>
        <v>TMPK</v>
      </c>
      <c r="D352" s="60" t="str">
        <f>IFERROR(__xludf.DUMMYFUNCTION("""COMPUTED_VALUE"""),"BAL")</f>
        <v>BAL</v>
      </c>
      <c r="E352" s="62" t="str">
        <f t="shared" si="4"/>
        <v>Baltimore Ravens</v>
      </c>
      <c r="F352" s="62">
        <f t="shared" ref="F352:G352" si="704">IF(isblank(F$1),,IF(isblank($A352),,IFERROR(vlookup($A352,indirect("'TVC-"&amp;text(month(F$1),"00")&amp;"'!$A:$D"),4,false),1)))</f>
        <v>1</v>
      </c>
      <c r="G352" s="62">
        <f t="shared" si="704"/>
        <v>1</v>
      </c>
      <c r="H352" s="62">
        <f t="shared" ref="H352:Q352" si="705">IF(isblank(H$1),,IFERROR(vlookup($A352,indirect("'TVC-"&amp;text(month(H$1),"00")&amp;"'!$A:$D"),4,false),1))</f>
        <v>1</v>
      </c>
      <c r="I352" s="62">
        <f t="shared" si="705"/>
        <v>1</v>
      </c>
      <c r="J352" s="62">
        <f t="shared" si="705"/>
        <v>1</v>
      </c>
      <c r="K352" s="62">
        <f t="shared" si="705"/>
        <v>1</v>
      </c>
      <c r="L352" s="62">
        <f t="shared" si="705"/>
        <v>1</v>
      </c>
      <c r="M352" s="62">
        <f t="shared" si="705"/>
        <v>1</v>
      </c>
      <c r="N352" s="62">
        <f t="shared" si="705"/>
        <v>1</v>
      </c>
      <c r="O352" s="62">
        <f t="shared" si="705"/>
        <v>1</v>
      </c>
      <c r="P352" s="62" t="str">
        <f t="shared" si="705"/>
        <v/>
      </c>
      <c r="Q352" s="62" t="str">
        <f t="shared" si="705"/>
        <v/>
      </c>
      <c r="R352" s="62">
        <f t="shared" si="7"/>
        <v>0</v>
      </c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</row>
    <row r="353" hidden="1">
      <c r="A353" s="60">
        <f>IFERROR(__xludf.DUMMYFUNCTION("""COMPUTED_VALUE"""),732.0)</f>
        <v>732</v>
      </c>
      <c r="B353" s="60" t="str">
        <f>IFERROR(__xludf.DUMMYFUNCTION("""COMPUTED_VALUE"""),"Texans, Houston")</f>
        <v>Texans, Houston</v>
      </c>
      <c r="C353" s="60" t="str">
        <f>IFERROR(__xludf.DUMMYFUNCTION("""COMPUTED_VALUE"""),"TMPK")</f>
        <v>TMPK</v>
      </c>
      <c r="D353" s="60" t="str">
        <f>IFERROR(__xludf.DUMMYFUNCTION("""COMPUTED_VALUE"""),"HOU")</f>
        <v>HOU</v>
      </c>
      <c r="E353" s="62" t="str">
        <f t="shared" si="4"/>
        <v>Houston Texans</v>
      </c>
      <c r="F353" s="62">
        <f t="shared" ref="F353:G353" si="706">IF(isblank(F$1),,IF(isblank($A353),,IFERROR(vlookup($A353,indirect("'TVC-"&amp;text(month(F$1),"00")&amp;"'!$A:$D"),4,false),1)))</f>
        <v>1</v>
      </c>
      <c r="G353" s="62">
        <f t="shared" si="706"/>
        <v>1</v>
      </c>
      <c r="H353" s="62">
        <f t="shared" ref="H353:Q353" si="707">IF(isblank(H$1),,IFERROR(vlookup($A353,indirect("'TVC-"&amp;text(month(H$1),"00")&amp;"'!$A:$D"),4,false),1))</f>
        <v>1</v>
      </c>
      <c r="I353" s="62">
        <f t="shared" si="707"/>
        <v>1</v>
      </c>
      <c r="J353" s="62">
        <f t="shared" si="707"/>
        <v>1</v>
      </c>
      <c r="K353" s="62">
        <f t="shared" si="707"/>
        <v>1</v>
      </c>
      <c r="L353" s="62">
        <f t="shared" si="707"/>
        <v>1</v>
      </c>
      <c r="M353" s="62">
        <f t="shared" si="707"/>
        <v>1</v>
      </c>
      <c r="N353" s="62">
        <f t="shared" si="707"/>
        <v>1</v>
      </c>
      <c r="O353" s="62">
        <f t="shared" si="707"/>
        <v>1</v>
      </c>
      <c r="P353" s="62" t="str">
        <f t="shared" si="707"/>
        <v/>
      </c>
      <c r="Q353" s="62" t="str">
        <f t="shared" si="707"/>
        <v/>
      </c>
      <c r="R353" s="62">
        <f t="shared" si="7"/>
        <v>0</v>
      </c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</row>
    <row r="354" hidden="1">
      <c r="A354" s="60">
        <f>IFERROR(__xludf.DUMMYFUNCTION("""COMPUTED_VALUE"""),751.0)</f>
        <v>751</v>
      </c>
      <c r="B354" s="60" t="str">
        <f>IFERROR(__xludf.DUMMYFUNCTION("""COMPUTED_VALUE"""),"Bills, Buffalo")</f>
        <v>Bills, Buffalo</v>
      </c>
      <c r="C354" s="60" t="str">
        <f>IFERROR(__xludf.DUMMYFUNCTION("""COMPUTED_VALUE"""),"TMPN")</f>
        <v>TMPN</v>
      </c>
      <c r="D354" s="60" t="str">
        <f>IFERROR(__xludf.DUMMYFUNCTION("""COMPUTED_VALUE"""),"BUF")</f>
        <v>BUF</v>
      </c>
      <c r="E354" s="62" t="str">
        <f t="shared" si="4"/>
        <v>Buffalo Bills</v>
      </c>
      <c r="F354" s="62">
        <f t="shared" ref="F354:G354" si="708">IF(isblank(F$1),,IF(isblank($A354),,IFERROR(vlookup($A354,indirect("'TVC-"&amp;text(month(F$1),"00")&amp;"'!$A:$D"),4,false),1)))</f>
        <v>1</v>
      </c>
      <c r="G354" s="62">
        <f t="shared" si="708"/>
        <v>1</v>
      </c>
      <c r="H354" s="62">
        <f t="shared" ref="H354:Q354" si="709">IF(isblank(H$1),,IFERROR(vlookup($A354,indirect("'TVC-"&amp;text(month(H$1),"00")&amp;"'!$A:$D"),4,false),1))</f>
        <v>1</v>
      </c>
      <c r="I354" s="62">
        <f t="shared" si="709"/>
        <v>1</v>
      </c>
      <c r="J354" s="62">
        <f t="shared" si="709"/>
        <v>1</v>
      </c>
      <c r="K354" s="62">
        <f t="shared" si="709"/>
        <v>1</v>
      </c>
      <c r="L354" s="62">
        <f t="shared" si="709"/>
        <v>1</v>
      </c>
      <c r="M354" s="62">
        <f t="shared" si="709"/>
        <v>1</v>
      </c>
      <c r="N354" s="62">
        <f t="shared" si="709"/>
        <v>1</v>
      </c>
      <c r="O354" s="62">
        <f t="shared" si="709"/>
        <v>1</v>
      </c>
      <c r="P354" s="62" t="str">
        <f t="shared" si="709"/>
        <v/>
      </c>
      <c r="Q354" s="62" t="str">
        <f t="shared" si="709"/>
        <v/>
      </c>
      <c r="R354" s="62">
        <f t="shared" si="7"/>
        <v>0</v>
      </c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</row>
    <row r="355" hidden="1">
      <c r="A355" s="60">
        <f>IFERROR(__xludf.DUMMYFUNCTION("""COMPUTED_VALUE"""),752.0)</f>
        <v>752</v>
      </c>
      <c r="B355" s="60" t="str">
        <f>IFERROR(__xludf.DUMMYFUNCTION("""COMPUTED_VALUE"""),"Colts, Indianapolis")</f>
        <v>Colts, Indianapolis</v>
      </c>
      <c r="C355" s="60" t="str">
        <f>IFERROR(__xludf.DUMMYFUNCTION("""COMPUTED_VALUE"""),"TMPN")</f>
        <v>TMPN</v>
      </c>
      <c r="D355" s="60" t="str">
        <f>IFERROR(__xludf.DUMMYFUNCTION("""COMPUTED_VALUE"""),"IND")</f>
        <v>IND</v>
      </c>
      <c r="E355" s="62" t="str">
        <f t="shared" si="4"/>
        <v>Indianapolis Colts</v>
      </c>
      <c r="F355" s="62">
        <f t="shared" ref="F355:G355" si="710">IF(isblank(F$1),,IF(isblank($A355),,IFERROR(vlookup($A355,indirect("'TVC-"&amp;text(month(F$1),"00")&amp;"'!$A:$D"),4,false),1)))</f>
        <v>1</v>
      </c>
      <c r="G355" s="62">
        <f t="shared" si="710"/>
        <v>1</v>
      </c>
      <c r="H355" s="62">
        <f t="shared" ref="H355:Q355" si="711">IF(isblank(H$1),,IFERROR(vlookup($A355,indirect("'TVC-"&amp;text(month(H$1),"00")&amp;"'!$A:$D"),4,false),1))</f>
        <v>1</v>
      </c>
      <c r="I355" s="62">
        <f t="shared" si="711"/>
        <v>1</v>
      </c>
      <c r="J355" s="62">
        <f t="shared" si="711"/>
        <v>1</v>
      </c>
      <c r="K355" s="62">
        <f t="shared" si="711"/>
        <v>1</v>
      </c>
      <c r="L355" s="62">
        <f t="shared" si="711"/>
        <v>1</v>
      </c>
      <c r="M355" s="62">
        <f t="shared" si="711"/>
        <v>1</v>
      </c>
      <c r="N355" s="62">
        <f t="shared" si="711"/>
        <v>1</v>
      </c>
      <c r="O355" s="62">
        <f t="shared" si="711"/>
        <v>1</v>
      </c>
      <c r="P355" s="62" t="str">
        <f t="shared" si="711"/>
        <v/>
      </c>
      <c r="Q355" s="62" t="str">
        <f t="shared" si="711"/>
        <v/>
      </c>
      <c r="R355" s="62">
        <f t="shared" si="7"/>
        <v>0</v>
      </c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</row>
    <row r="356" hidden="1">
      <c r="A356" s="60">
        <f>IFERROR(__xludf.DUMMYFUNCTION("""COMPUTED_VALUE"""),753.0)</f>
        <v>753</v>
      </c>
      <c r="B356" s="60" t="str">
        <f>IFERROR(__xludf.DUMMYFUNCTION("""COMPUTED_VALUE"""),"Dolphins, Miami")</f>
        <v>Dolphins, Miami</v>
      </c>
      <c r="C356" s="60" t="str">
        <f>IFERROR(__xludf.DUMMYFUNCTION("""COMPUTED_VALUE"""),"TMPN")</f>
        <v>TMPN</v>
      </c>
      <c r="D356" s="60" t="str">
        <f>IFERROR(__xludf.DUMMYFUNCTION("""COMPUTED_VALUE"""),"MIA")</f>
        <v>MIA</v>
      </c>
      <c r="E356" s="62" t="str">
        <f t="shared" si="4"/>
        <v>Miami Dolphins</v>
      </c>
      <c r="F356" s="62">
        <f t="shared" ref="F356:G356" si="712">IF(isblank(F$1),,IF(isblank($A356),,IFERROR(vlookup($A356,indirect("'TVC-"&amp;text(month(F$1),"00")&amp;"'!$A:$D"),4,false),1)))</f>
        <v>1</v>
      </c>
      <c r="G356" s="62">
        <f t="shared" si="712"/>
        <v>1</v>
      </c>
      <c r="H356" s="62">
        <f t="shared" ref="H356:Q356" si="713">IF(isblank(H$1),,IFERROR(vlookup($A356,indirect("'TVC-"&amp;text(month(H$1),"00")&amp;"'!$A:$D"),4,false),1))</f>
        <v>1</v>
      </c>
      <c r="I356" s="62">
        <f t="shared" si="713"/>
        <v>1</v>
      </c>
      <c r="J356" s="62">
        <f t="shared" si="713"/>
        <v>1</v>
      </c>
      <c r="K356" s="62">
        <f t="shared" si="713"/>
        <v>1</v>
      </c>
      <c r="L356" s="62">
        <f t="shared" si="713"/>
        <v>1</v>
      </c>
      <c r="M356" s="62">
        <f t="shared" si="713"/>
        <v>1</v>
      </c>
      <c r="N356" s="62">
        <f t="shared" si="713"/>
        <v>1</v>
      </c>
      <c r="O356" s="62">
        <f t="shared" si="713"/>
        <v>1</v>
      </c>
      <c r="P356" s="62" t="str">
        <f t="shared" si="713"/>
        <v/>
      </c>
      <c r="Q356" s="62" t="str">
        <f t="shared" si="713"/>
        <v/>
      </c>
      <c r="R356" s="62">
        <f t="shared" si="7"/>
        <v>0</v>
      </c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</row>
    <row r="357" hidden="1">
      <c r="A357" s="60">
        <f>IFERROR(__xludf.DUMMYFUNCTION("""COMPUTED_VALUE"""),754.0)</f>
        <v>754</v>
      </c>
      <c r="B357" s="60" t="str">
        <f>IFERROR(__xludf.DUMMYFUNCTION("""COMPUTED_VALUE"""),"Patriots, New England")</f>
        <v>Patriots, New England</v>
      </c>
      <c r="C357" s="60" t="str">
        <f>IFERROR(__xludf.DUMMYFUNCTION("""COMPUTED_VALUE"""),"TMPN")</f>
        <v>TMPN</v>
      </c>
      <c r="D357" s="60" t="str">
        <f>IFERROR(__xludf.DUMMYFUNCTION("""COMPUTED_VALUE"""),"NEP")</f>
        <v>NEP</v>
      </c>
      <c r="E357" s="62" t="str">
        <f t="shared" si="4"/>
        <v>New England Patriots</v>
      </c>
      <c r="F357" s="62">
        <f t="shared" ref="F357:G357" si="714">IF(isblank(F$1),,IF(isblank($A357),,IFERROR(vlookup($A357,indirect("'TVC-"&amp;text(month(F$1),"00")&amp;"'!$A:$D"),4,false),1)))</f>
        <v>1</v>
      </c>
      <c r="G357" s="62">
        <f t="shared" si="714"/>
        <v>1</v>
      </c>
      <c r="H357" s="62">
        <f t="shared" ref="H357:Q357" si="715">IF(isblank(H$1),,IFERROR(vlookup($A357,indirect("'TVC-"&amp;text(month(H$1),"00")&amp;"'!$A:$D"),4,false),1))</f>
        <v>1</v>
      </c>
      <c r="I357" s="62">
        <f t="shared" si="715"/>
        <v>1</v>
      </c>
      <c r="J357" s="62">
        <f t="shared" si="715"/>
        <v>1</v>
      </c>
      <c r="K357" s="62">
        <f t="shared" si="715"/>
        <v>1</v>
      </c>
      <c r="L357" s="62">
        <f t="shared" si="715"/>
        <v>1</v>
      </c>
      <c r="M357" s="62">
        <f t="shared" si="715"/>
        <v>1</v>
      </c>
      <c r="N357" s="62">
        <f t="shared" si="715"/>
        <v>1</v>
      </c>
      <c r="O357" s="62">
        <f t="shared" si="715"/>
        <v>1</v>
      </c>
      <c r="P357" s="62" t="str">
        <f t="shared" si="715"/>
        <v/>
      </c>
      <c r="Q357" s="62" t="str">
        <f t="shared" si="715"/>
        <v/>
      </c>
      <c r="R357" s="62">
        <f t="shared" si="7"/>
        <v>0</v>
      </c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</row>
    <row r="358" hidden="1">
      <c r="A358" s="60">
        <f>IFERROR(__xludf.DUMMYFUNCTION("""COMPUTED_VALUE"""),755.0)</f>
        <v>755</v>
      </c>
      <c r="B358" s="60" t="str">
        <f>IFERROR(__xludf.DUMMYFUNCTION("""COMPUTED_VALUE"""),"Jets, New York")</f>
        <v>Jets, New York</v>
      </c>
      <c r="C358" s="60" t="str">
        <f>IFERROR(__xludf.DUMMYFUNCTION("""COMPUTED_VALUE"""),"TMPN")</f>
        <v>TMPN</v>
      </c>
      <c r="D358" s="60" t="str">
        <f>IFERROR(__xludf.DUMMYFUNCTION("""COMPUTED_VALUE"""),"NYJ")</f>
        <v>NYJ</v>
      </c>
      <c r="E358" s="62" t="str">
        <f t="shared" si="4"/>
        <v>New York Jets</v>
      </c>
      <c r="F358" s="62">
        <f t="shared" ref="F358:G358" si="716">IF(isblank(F$1),,IF(isblank($A358),,IFERROR(vlookup($A358,indirect("'TVC-"&amp;text(month(F$1),"00")&amp;"'!$A:$D"),4,false),1)))</f>
        <v>1</v>
      </c>
      <c r="G358" s="62">
        <f t="shared" si="716"/>
        <v>1</v>
      </c>
      <c r="H358" s="62">
        <f t="shared" ref="H358:Q358" si="717">IF(isblank(H$1),,IFERROR(vlookup($A358,indirect("'TVC-"&amp;text(month(H$1),"00")&amp;"'!$A:$D"),4,false),1))</f>
        <v>1</v>
      </c>
      <c r="I358" s="62">
        <f t="shared" si="717"/>
        <v>1</v>
      </c>
      <c r="J358" s="62">
        <f t="shared" si="717"/>
        <v>1</v>
      </c>
      <c r="K358" s="62">
        <f t="shared" si="717"/>
        <v>1</v>
      </c>
      <c r="L358" s="62">
        <f t="shared" si="717"/>
        <v>1</v>
      </c>
      <c r="M358" s="62">
        <f t="shared" si="717"/>
        <v>1</v>
      </c>
      <c r="N358" s="62">
        <f t="shared" si="717"/>
        <v>1</v>
      </c>
      <c r="O358" s="62">
        <f t="shared" si="717"/>
        <v>1</v>
      </c>
      <c r="P358" s="62" t="str">
        <f t="shared" si="717"/>
        <v/>
      </c>
      <c r="Q358" s="62" t="str">
        <f t="shared" si="717"/>
        <v/>
      </c>
      <c r="R358" s="62">
        <f t="shared" si="7"/>
        <v>0</v>
      </c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</row>
    <row r="359" hidden="1">
      <c r="A359" s="60">
        <f>IFERROR(__xludf.DUMMYFUNCTION("""COMPUTED_VALUE"""),756.0)</f>
        <v>756</v>
      </c>
      <c r="B359" s="60" t="str">
        <f>IFERROR(__xludf.DUMMYFUNCTION("""COMPUTED_VALUE"""),"Bengals, Cincinnati")</f>
        <v>Bengals, Cincinnati</v>
      </c>
      <c r="C359" s="60" t="str">
        <f>IFERROR(__xludf.DUMMYFUNCTION("""COMPUTED_VALUE"""),"TMPN")</f>
        <v>TMPN</v>
      </c>
      <c r="D359" s="60" t="str">
        <f>IFERROR(__xludf.DUMMYFUNCTION("""COMPUTED_VALUE"""),"CIN")</f>
        <v>CIN</v>
      </c>
      <c r="E359" s="62" t="str">
        <f t="shared" si="4"/>
        <v>Cincinnati Bengals</v>
      </c>
      <c r="F359" s="62">
        <f t="shared" ref="F359:G359" si="718">IF(isblank(F$1),,IF(isblank($A359),,IFERROR(vlookup($A359,indirect("'TVC-"&amp;text(month(F$1),"00")&amp;"'!$A:$D"),4,false),1)))</f>
        <v>1</v>
      </c>
      <c r="G359" s="62">
        <f t="shared" si="718"/>
        <v>1</v>
      </c>
      <c r="H359" s="62">
        <f t="shared" ref="H359:Q359" si="719">IF(isblank(H$1),,IFERROR(vlookup($A359,indirect("'TVC-"&amp;text(month(H$1),"00")&amp;"'!$A:$D"),4,false),1))</f>
        <v>1</v>
      </c>
      <c r="I359" s="62">
        <f t="shared" si="719"/>
        <v>1</v>
      </c>
      <c r="J359" s="62">
        <f t="shared" si="719"/>
        <v>1</v>
      </c>
      <c r="K359" s="62">
        <f t="shared" si="719"/>
        <v>1</v>
      </c>
      <c r="L359" s="62">
        <f t="shared" si="719"/>
        <v>1</v>
      </c>
      <c r="M359" s="62">
        <f t="shared" si="719"/>
        <v>1</v>
      </c>
      <c r="N359" s="62">
        <f t="shared" si="719"/>
        <v>1</v>
      </c>
      <c r="O359" s="62">
        <f t="shared" si="719"/>
        <v>1</v>
      </c>
      <c r="P359" s="62" t="str">
        <f t="shared" si="719"/>
        <v/>
      </c>
      <c r="Q359" s="62" t="str">
        <f t="shared" si="719"/>
        <v/>
      </c>
      <c r="R359" s="62">
        <f t="shared" si="7"/>
        <v>0</v>
      </c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</row>
    <row r="360" hidden="1">
      <c r="A360" s="60">
        <f>IFERROR(__xludf.DUMMYFUNCTION("""COMPUTED_VALUE"""),757.0)</f>
        <v>757</v>
      </c>
      <c r="B360" s="60" t="str">
        <f>IFERROR(__xludf.DUMMYFUNCTION("""COMPUTED_VALUE"""),"Browns, Cleveland")</f>
        <v>Browns, Cleveland</v>
      </c>
      <c r="C360" s="60" t="str">
        <f>IFERROR(__xludf.DUMMYFUNCTION("""COMPUTED_VALUE"""),"TMPN")</f>
        <v>TMPN</v>
      </c>
      <c r="D360" s="60" t="str">
        <f>IFERROR(__xludf.DUMMYFUNCTION("""COMPUTED_VALUE"""),"CLE")</f>
        <v>CLE</v>
      </c>
      <c r="E360" s="62" t="str">
        <f t="shared" si="4"/>
        <v>Cleveland Browns</v>
      </c>
      <c r="F360" s="62">
        <f t="shared" ref="F360:G360" si="720">IF(isblank(F$1),,IF(isblank($A360),,IFERROR(vlookup($A360,indirect("'TVC-"&amp;text(month(F$1),"00")&amp;"'!$A:$D"),4,false),1)))</f>
        <v>1</v>
      </c>
      <c r="G360" s="62">
        <f t="shared" si="720"/>
        <v>1</v>
      </c>
      <c r="H360" s="62">
        <f t="shared" ref="H360:Q360" si="721">IF(isblank(H$1),,IFERROR(vlookup($A360,indirect("'TVC-"&amp;text(month(H$1),"00")&amp;"'!$A:$D"),4,false),1))</f>
        <v>1</v>
      </c>
      <c r="I360" s="62">
        <f t="shared" si="721"/>
        <v>1</v>
      </c>
      <c r="J360" s="62">
        <f t="shared" si="721"/>
        <v>1</v>
      </c>
      <c r="K360" s="62">
        <f t="shared" si="721"/>
        <v>1</v>
      </c>
      <c r="L360" s="62">
        <f t="shared" si="721"/>
        <v>1</v>
      </c>
      <c r="M360" s="62">
        <f t="shared" si="721"/>
        <v>1</v>
      </c>
      <c r="N360" s="62">
        <f t="shared" si="721"/>
        <v>1</v>
      </c>
      <c r="O360" s="62">
        <f t="shared" si="721"/>
        <v>1</v>
      </c>
      <c r="P360" s="62" t="str">
        <f t="shared" si="721"/>
        <v/>
      </c>
      <c r="Q360" s="62" t="str">
        <f t="shared" si="721"/>
        <v/>
      </c>
      <c r="R360" s="62">
        <f t="shared" si="7"/>
        <v>0</v>
      </c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</row>
    <row r="361" hidden="1">
      <c r="A361" s="60">
        <f>IFERROR(__xludf.DUMMYFUNCTION("""COMPUTED_VALUE"""),758.0)</f>
        <v>758</v>
      </c>
      <c r="B361" s="60" t="str">
        <f>IFERROR(__xludf.DUMMYFUNCTION("""COMPUTED_VALUE"""),"Titans, Tennessee")</f>
        <v>Titans, Tennessee</v>
      </c>
      <c r="C361" s="60" t="str">
        <f>IFERROR(__xludf.DUMMYFUNCTION("""COMPUTED_VALUE"""),"TMPN")</f>
        <v>TMPN</v>
      </c>
      <c r="D361" s="60" t="str">
        <f>IFERROR(__xludf.DUMMYFUNCTION("""COMPUTED_VALUE"""),"TEN")</f>
        <v>TEN</v>
      </c>
      <c r="E361" s="62" t="str">
        <f t="shared" si="4"/>
        <v>Tennessee Titans</v>
      </c>
      <c r="F361" s="62">
        <f t="shared" ref="F361:G361" si="722">IF(isblank(F$1),,IF(isblank($A361),,IFERROR(vlookup($A361,indirect("'TVC-"&amp;text(month(F$1),"00")&amp;"'!$A:$D"),4,false),1)))</f>
        <v>1</v>
      </c>
      <c r="G361" s="62">
        <f t="shared" si="722"/>
        <v>1</v>
      </c>
      <c r="H361" s="62">
        <f t="shared" ref="H361:Q361" si="723">IF(isblank(H$1),,IFERROR(vlookup($A361,indirect("'TVC-"&amp;text(month(H$1),"00")&amp;"'!$A:$D"),4,false),1))</f>
        <v>1</v>
      </c>
      <c r="I361" s="62">
        <f t="shared" si="723"/>
        <v>1</v>
      </c>
      <c r="J361" s="62">
        <f t="shared" si="723"/>
        <v>1</v>
      </c>
      <c r="K361" s="62">
        <f t="shared" si="723"/>
        <v>1</v>
      </c>
      <c r="L361" s="62">
        <f t="shared" si="723"/>
        <v>1</v>
      </c>
      <c r="M361" s="62">
        <f t="shared" si="723"/>
        <v>1</v>
      </c>
      <c r="N361" s="62">
        <f t="shared" si="723"/>
        <v>1</v>
      </c>
      <c r="O361" s="62">
        <f t="shared" si="723"/>
        <v>1</v>
      </c>
      <c r="P361" s="62" t="str">
        <f t="shared" si="723"/>
        <v/>
      </c>
      <c r="Q361" s="62" t="str">
        <f t="shared" si="723"/>
        <v/>
      </c>
      <c r="R361" s="62">
        <f t="shared" si="7"/>
        <v>0</v>
      </c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</row>
    <row r="362" hidden="1">
      <c r="A362" s="60">
        <f>IFERROR(__xludf.DUMMYFUNCTION("""COMPUTED_VALUE"""),759.0)</f>
        <v>759</v>
      </c>
      <c r="B362" s="60" t="str">
        <f>IFERROR(__xludf.DUMMYFUNCTION("""COMPUTED_VALUE"""),"Jaguars, Jacksonville")</f>
        <v>Jaguars, Jacksonville</v>
      </c>
      <c r="C362" s="60" t="str">
        <f>IFERROR(__xludf.DUMMYFUNCTION("""COMPUTED_VALUE"""),"TMPN")</f>
        <v>TMPN</v>
      </c>
      <c r="D362" s="60" t="str">
        <f>IFERROR(__xludf.DUMMYFUNCTION("""COMPUTED_VALUE"""),"JAC")</f>
        <v>JAC</v>
      </c>
      <c r="E362" s="62" t="str">
        <f t="shared" si="4"/>
        <v>Jacksonville Jaguars</v>
      </c>
      <c r="F362" s="62">
        <f t="shared" ref="F362:G362" si="724">IF(isblank(F$1),,IF(isblank($A362),,IFERROR(vlookup($A362,indirect("'TVC-"&amp;text(month(F$1),"00")&amp;"'!$A:$D"),4,false),1)))</f>
        <v>1</v>
      </c>
      <c r="G362" s="62">
        <f t="shared" si="724"/>
        <v>1</v>
      </c>
      <c r="H362" s="62">
        <f t="shared" ref="H362:Q362" si="725">IF(isblank(H$1),,IFERROR(vlookup($A362,indirect("'TVC-"&amp;text(month(H$1),"00")&amp;"'!$A:$D"),4,false),1))</f>
        <v>1</v>
      </c>
      <c r="I362" s="62">
        <f t="shared" si="725"/>
        <v>1</v>
      </c>
      <c r="J362" s="62">
        <f t="shared" si="725"/>
        <v>1</v>
      </c>
      <c r="K362" s="62">
        <f t="shared" si="725"/>
        <v>1</v>
      </c>
      <c r="L362" s="62">
        <f t="shared" si="725"/>
        <v>1</v>
      </c>
      <c r="M362" s="62">
        <f t="shared" si="725"/>
        <v>1</v>
      </c>
      <c r="N362" s="62">
        <f t="shared" si="725"/>
        <v>1</v>
      </c>
      <c r="O362" s="62">
        <f t="shared" si="725"/>
        <v>1</v>
      </c>
      <c r="P362" s="62" t="str">
        <f t="shared" si="725"/>
        <v/>
      </c>
      <c r="Q362" s="62" t="str">
        <f t="shared" si="725"/>
        <v/>
      </c>
      <c r="R362" s="62">
        <f t="shared" si="7"/>
        <v>0</v>
      </c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</row>
    <row r="363" hidden="1">
      <c r="A363" s="60">
        <f>IFERROR(__xludf.DUMMYFUNCTION("""COMPUTED_VALUE"""),760.0)</f>
        <v>760</v>
      </c>
      <c r="B363" s="60" t="str">
        <f>IFERROR(__xludf.DUMMYFUNCTION("""COMPUTED_VALUE"""),"Steelers, Pittsburgh")</f>
        <v>Steelers, Pittsburgh</v>
      </c>
      <c r="C363" s="60" t="str">
        <f>IFERROR(__xludf.DUMMYFUNCTION("""COMPUTED_VALUE"""),"TMPN")</f>
        <v>TMPN</v>
      </c>
      <c r="D363" s="60" t="str">
        <f>IFERROR(__xludf.DUMMYFUNCTION("""COMPUTED_VALUE"""),"PIT")</f>
        <v>PIT</v>
      </c>
      <c r="E363" s="62" t="str">
        <f t="shared" si="4"/>
        <v>Pittsburgh Steelers</v>
      </c>
      <c r="F363" s="62">
        <f t="shared" ref="F363:G363" si="726">IF(isblank(F$1),,IF(isblank($A363),,IFERROR(vlookup($A363,indirect("'TVC-"&amp;text(month(F$1),"00")&amp;"'!$A:$D"),4,false),1)))</f>
        <v>1</v>
      </c>
      <c r="G363" s="62">
        <f t="shared" si="726"/>
        <v>1</v>
      </c>
      <c r="H363" s="62">
        <f t="shared" ref="H363:Q363" si="727">IF(isblank(H$1),,IFERROR(vlookup($A363,indirect("'TVC-"&amp;text(month(H$1),"00")&amp;"'!$A:$D"),4,false),1))</f>
        <v>1</v>
      </c>
      <c r="I363" s="62">
        <f t="shared" si="727"/>
        <v>1</v>
      </c>
      <c r="J363" s="62">
        <f t="shared" si="727"/>
        <v>1</v>
      </c>
      <c r="K363" s="62">
        <f t="shared" si="727"/>
        <v>1</v>
      </c>
      <c r="L363" s="62">
        <f t="shared" si="727"/>
        <v>1</v>
      </c>
      <c r="M363" s="62">
        <f t="shared" si="727"/>
        <v>1</v>
      </c>
      <c r="N363" s="62">
        <f t="shared" si="727"/>
        <v>1</v>
      </c>
      <c r="O363" s="62">
        <f t="shared" si="727"/>
        <v>1</v>
      </c>
      <c r="P363" s="62" t="str">
        <f t="shared" si="727"/>
        <v/>
      </c>
      <c r="Q363" s="62" t="str">
        <f t="shared" si="727"/>
        <v/>
      </c>
      <c r="R363" s="62">
        <f t="shared" si="7"/>
        <v>0</v>
      </c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</row>
    <row r="364" hidden="1">
      <c r="A364" s="60">
        <f>IFERROR(__xludf.DUMMYFUNCTION("""COMPUTED_VALUE"""),761.0)</f>
        <v>761</v>
      </c>
      <c r="B364" s="60" t="str">
        <f>IFERROR(__xludf.DUMMYFUNCTION("""COMPUTED_VALUE"""),"Broncos, Denver")</f>
        <v>Broncos, Denver</v>
      </c>
      <c r="C364" s="60" t="str">
        <f>IFERROR(__xludf.DUMMYFUNCTION("""COMPUTED_VALUE"""),"TMPN")</f>
        <v>TMPN</v>
      </c>
      <c r="D364" s="60" t="str">
        <f>IFERROR(__xludf.DUMMYFUNCTION("""COMPUTED_VALUE"""),"DEN")</f>
        <v>DEN</v>
      </c>
      <c r="E364" s="62" t="str">
        <f t="shared" si="4"/>
        <v>Denver Broncos</v>
      </c>
      <c r="F364" s="62">
        <f t="shared" ref="F364:G364" si="728">IF(isblank(F$1),,IF(isblank($A364),,IFERROR(vlookup($A364,indirect("'TVC-"&amp;text(month(F$1),"00")&amp;"'!$A:$D"),4,false),1)))</f>
        <v>1</v>
      </c>
      <c r="G364" s="62">
        <f t="shared" si="728"/>
        <v>1</v>
      </c>
      <c r="H364" s="62">
        <f t="shared" ref="H364:Q364" si="729">IF(isblank(H$1),,IFERROR(vlookup($A364,indirect("'TVC-"&amp;text(month(H$1),"00")&amp;"'!$A:$D"),4,false),1))</f>
        <v>1</v>
      </c>
      <c r="I364" s="62">
        <f t="shared" si="729"/>
        <v>1</v>
      </c>
      <c r="J364" s="62">
        <f t="shared" si="729"/>
        <v>1</v>
      </c>
      <c r="K364" s="62">
        <f t="shared" si="729"/>
        <v>1</v>
      </c>
      <c r="L364" s="62">
        <f t="shared" si="729"/>
        <v>1</v>
      </c>
      <c r="M364" s="62">
        <f t="shared" si="729"/>
        <v>1</v>
      </c>
      <c r="N364" s="62">
        <f t="shared" si="729"/>
        <v>1</v>
      </c>
      <c r="O364" s="62">
        <f t="shared" si="729"/>
        <v>1</v>
      </c>
      <c r="P364" s="62" t="str">
        <f t="shared" si="729"/>
        <v/>
      </c>
      <c r="Q364" s="62" t="str">
        <f t="shared" si="729"/>
        <v/>
      </c>
      <c r="R364" s="62">
        <f t="shared" si="7"/>
        <v>0</v>
      </c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</row>
    <row r="365" hidden="1">
      <c r="A365" s="60">
        <f>IFERROR(__xludf.DUMMYFUNCTION("""COMPUTED_VALUE"""),762.0)</f>
        <v>762</v>
      </c>
      <c r="B365" s="60" t="str">
        <f>IFERROR(__xludf.DUMMYFUNCTION("""COMPUTED_VALUE"""),"Chiefs, Kansas City")</f>
        <v>Chiefs, Kansas City</v>
      </c>
      <c r="C365" s="60" t="str">
        <f>IFERROR(__xludf.DUMMYFUNCTION("""COMPUTED_VALUE"""),"TMPN")</f>
        <v>TMPN</v>
      </c>
      <c r="D365" s="60" t="str">
        <f>IFERROR(__xludf.DUMMYFUNCTION("""COMPUTED_VALUE"""),"KCC")</f>
        <v>KCC</v>
      </c>
      <c r="E365" s="62" t="str">
        <f t="shared" si="4"/>
        <v>Kansas City Chiefs</v>
      </c>
      <c r="F365" s="62">
        <f t="shared" ref="F365:G365" si="730">IF(isblank(F$1),,IF(isblank($A365),,IFERROR(vlookup($A365,indirect("'TVC-"&amp;text(month(F$1),"00")&amp;"'!$A:$D"),4,false),1)))</f>
        <v>1</v>
      </c>
      <c r="G365" s="62">
        <f t="shared" si="730"/>
        <v>1</v>
      </c>
      <c r="H365" s="62">
        <f t="shared" ref="H365:Q365" si="731">IF(isblank(H$1),,IFERROR(vlookup($A365,indirect("'TVC-"&amp;text(month(H$1),"00")&amp;"'!$A:$D"),4,false),1))</f>
        <v>1</v>
      </c>
      <c r="I365" s="62">
        <f t="shared" si="731"/>
        <v>1</v>
      </c>
      <c r="J365" s="62">
        <f t="shared" si="731"/>
        <v>1</v>
      </c>
      <c r="K365" s="62">
        <f t="shared" si="731"/>
        <v>1</v>
      </c>
      <c r="L365" s="62">
        <f t="shared" si="731"/>
        <v>1</v>
      </c>
      <c r="M365" s="62">
        <f t="shared" si="731"/>
        <v>1</v>
      </c>
      <c r="N365" s="62">
        <f t="shared" si="731"/>
        <v>1</v>
      </c>
      <c r="O365" s="62">
        <f t="shared" si="731"/>
        <v>1</v>
      </c>
      <c r="P365" s="62" t="str">
        <f t="shared" si="731"/>
        <v/>
      </c>
      <c r="Q365" s="62" t="str">
        <f t="shared" si="731"/>
        <v/>
      </c>
      <c r="R365" s="62">
        <f t="shared" si="7"/>
        <v>0</v>
      </c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</row>
    <row r="366" hidden="1">
      <c r="A366" s="60">
        <f>IFERROR(__xludf.DUMMYFUNCTION("""COMPUTED_VALUE"""),763.0)</f>
        <v>763</v>
      </c>
      <c r="B366" s="60" t="str">
        <f>IFERROR(__xludf.DUMMYFUNCTION("""COMPUTED_VALUE"""),"Raiders, Las Vegas")</f>
        <v>Raiders, Las Vegas</v>
      </c>
      <c r="C366" s="60" t="str">
        <f>IFERROR(__xludf.DUMMYFUNCTION("""COMPUTED_VALUE"""),"TMPN")</f>
        <v>TMPN</v>
      </c>
      <c r="D366" s="60" t="str">
        <f>IFERROR(__xludf.DUMMYFUNCTION("""COMPUTED_VALUE"""),"LVR")</f>
        <v>LVR</v>
      </c>
      <c r="E366" s="62" t="str">
        <f t="shared" si="4"/>
        <v>Las Vegas Raiders</v>
      </c>
      <c r="F366" s="62">
        <f t="shared" ref="F366:G366" si="732">IF(isblank(F$1),,IF(isblank($A366),,IFERROR(vlookup($A366,indirect("'TVC-"&amp;text(month(F$1),"00")&amp;"'!$A:$D"),4,false),1)))</f>
        <v>1</v>
      </c>
      <c r="G366" s="62">
        <f t="shared" si="732"/>
        <v>1</v>
      </c>
      <c r="H366" s="62">
        <f t="shared" ref="H366:Q366" si="733">IF(isblank(H$1),,IFERROR(vlookup($A366,indirect("'TVC-"&amp;text(month(H$1),"00")&amp;"'!$A:$D"),4,false),1))</f>
        <v>1</v>
      </c>
      <c r="I366" s="62">
        <f t="shared" si="733"/>
        <v>1</v>
      </c>
      <c r="J366" s="62">
        <f t="shared" si="733"/>
        <v>1</v>
      </c>
      <c r="K366" s="62">
        <f t="shared" si="733"/>
        <v>1</v>
      </c>
      <c r="L366" s="62">
        <f t="shared" si="733"/>
        <v>1</v>
      </c>
      <c r="M366" s="62">
        <f t="shared" si="733"/>
        <v>1</v>
      </c>
      <c r="N366" s="62">
        <f t="shared" si="733"/>
        <v>1</v>
      </c>
      <c r="O366" s="62">
        <f t="shared" si="733"/>
        <v>1</v>
      </c>
      <c r="P366" s="62" t="str">
        <f t="shared" si="733"/>
        <v/>
      </c>
      <c r="Q366" s="62" t="str">
        <f t="shared" si="733"/>
        <v/>
      </c>
      <c r="R366" s="62">
        <f t="shared" si="7"/>
        <v>0</v>
      </c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</row>
    <row r="367" hidden="1">
      <c r="A367" s="60">
        <f>IFERROR(__xludf.DUMMYFUNCTION("""COMPUTED_VALUE"""),764.0)</f>
        <v>764</v>
      </c>
      <c r="B367" s="60" t="str">
        <f>IFERROR(__xludf.DUMMYFUNCTION("""COMPUTED_VALUE"""),"Chargers, Los Angeles")</f>
        <v>Chargers, Los Angeles</v>
      </c>
      <c r="C367" s="60" t="str">
        <f>IFERROR(__xludf.DUMMYFUNCTION("""COMPUTED_VALUE"""),"TMPN")</f>
        <v>TMPN</v>
      </c>
      <c r="D367" s="60" t="str">
        <f>IFERROR(__xludf.DUMMYFUNCTION("""COMPUTED_VALUE"""),"LAC")</f>
        <v>LAC</v>
      </c>
      <c r="E367" s="62" t="str">
        <f t="shared" si="4"/>
        <v>Los Angeles Chargers</v>
      </c>
      <c r="F367" s="62">
        <f t="shared" ref="F367:G367" si="734">IF(isblank(F$1),,IF(isblank($A367),,IFERROR(vlookup($A367,indirect("'TVC-"&amp;text(month(F$1),"00")&amp;"'!$A:$D"),4,false),1)))</f>
        <v>1</v>
      </c>
      <c r="G367" s="62">
        <f t="shared" si="734"/>
        <v>1</v>
      </c>
      <c r="H367" s="62">
        <f t="shared" ref="H367:Q367" si="735">IF(isblank(H$1),,IFERROR(vlookup($A367,indirect("'TVC-"&amp;text(month(H$1),"00")&amp;"'!$A:$D"),4,false),1))</f>
        <v>1</v>
      </c>
      <c r="I367" s="62">
        <f t="shared" si="735"/>
        <v>1</v>
      </c>
      <c r="J367" s="62">
        <f t="shared" si="735"/>
        <v>1</v>
      </c>
      <c r="K367" s="62">
        <f t="shared" si="735"/>
        <v>1</v>
      </c>
      <c r="L367" s="62">
        <f t="shared" si="735"/>
        <v>1</v>
      </c>
      <c r="M367" s="62">
        <f t="shared" si="735"/>
        <v>1</v>
      </c>
      <c r="N367" s="62">
        <f t="shared" si="735"/>
        <v>1</v>
      </c>
      <c r="O367" s="62">
        <f t="shared" si="735"/>
        <v>1</v>
      </c>
      <c r="P367" s="62" t="str">
        <f t="shared" si="735"/>
        <v/>
      </c>
      <c r="Q367" s="62" t="str">
        <f t="shared" si="735"/>
        <v/>
      </c>
      <c r="R367" s="62">
        <f t="shared" si="7"/>
        <v>0</v>
      </c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</row>
    <row r="368" hidden="1">
      <c r="A368" s="60">
        <f>IFERROR(__xludf.DUMMYFUNCTION("""COMPUTED_VALUE"""),765.0)</f>
        <v>765</v>
      </c>
      <c r="B368" s="60" t="str">
        <f>IFERROR(__xludf.DUMMYFUNCTION("""COMPUTED_VALUE"""),"Seahawks, Seattle")</f>
        <v>Seahawks, Seattle</v>
      </c>
      <c r="C368" s="60" t="str">
        <f>IFERROR(__xludf.DUMMYFUNCTION("""COMPUTED_VALUE"""),"TMPN")</f>
        <v>TMPN</v>
      </c>
      <c r="D368" s="60" t="str">
        <f>IFERROR(__xludf.DUMMYFUNCTION("""COMPUTED_VALUE"""),"SEA")</f>
        <v>SEA</v>
      </c>
      <c r="E368" s="62" t="str">
        <f t="shared" si="4"/>
        <v>Seattle Seahawks</v>
      </c>
      <c r="F368" s="62">
        <f t="shared" ref="F368:G368" si="736">IF(isblank(F$1),,IF(isblank($A368),,IFERROR(vlookup($A368,indirect("'TVC-"&amp;text(month(F$1),"00")&amp;"'!$A:$D"),4,false),1)))</f>
        <v>1</v>
      </c>
      <c r="G368" s="62">
        <f t="shared" si="736"/>
        <v>1</v>
      </c>
      <c r="H368" s="62">
        <f t="shared" ref="H368:Q368" si="737">IF(isblank(H$1),,IFERROR(vlookup($A368,indirect("'TVC-"&amp;text(month(H$1),"00")&amp;"'!$A:$D"),4,false),1))</f>
        <v>1</v>
      </c>
      <c r="I368" s="62">
        <f t="shared" si="737"/>
        <v>1</v>
      </c>
      <c r="J368" s="62">
        <f t="shared" si="737"/>
        <v>1</v>
      </c>
      <c r="K368" s="62">
        <f t="shared" si="737"/>
        <v>1</v>
      </c>
      <c r="L368" s="62">
        <f t="shared" si="737"/>
        <v>1</v>
      </c>
      <c r="M368" s="62">
        <f t="shared" si="737"/>
        <v>1</v>
      </c>
      <c r="N368" s="62">
        <f t="shared" si="737"/>
        <v>1</v>
      </c>
      <c r="O368" s="62">
        <f t="shared" si="737"/>
        <v>1</v>
      </c>
      <c r="P368" s="62" t="str">
        <f t="shared" si="737"/>
        <v/>
      </c>
      <c r="Q368" s="62" t="str">
        <f t="shared" si="737"/>
        <v/>
      </c>
      <c r="R368" s="62">
        <f t="shared" si="7"/>
        <v>0</v>
      </c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</row>
    <row r="369" hidden="1">
      <c r="A369" s="60">
        <f>IFERROR(__xludf.DUMMYFUNCTION("""COMPUTED_VALUE"""),766.0)</f>
        <v>766</v>
      </c>
      <c r="B369" s="60" t="str">
        <f>IFERROR(__xludf.DUMMYFUNCTION("""COMPUTED_VALUE"""),"Cowboys, Dallas")</f>
        <v>Cowboys, Dallas</v>
      </c>
      <c r="C369" s="60" t="str">
        <f>IFERROR(__xludf.DUMMYFUNCTION("""COMPUTED_VALUE"""),"TMPN")</f>
        <v>TMPN</v>
      </c>
      <c r="D369" s="60" t="str">
        <f>IFERROR(__xludf.DUMMYFUNCTION("""COMPUTED_VALUE"""),"DAL")</f>
        <v>DAL</v>
      </c>
      <c r="E369" s="62" t="str">
        <f t="shared" si="4"/>
        <v>Dallas Cowboys</v>
      </c>
      <c r="F369" s="62">
        <f t="shared" ref="F369:G369" si="738">IF(isblank(F$1),,IF(isblank($A369),,IFERROR(vlookup($A369,indirect("'TVC-"&amp;text(month(F$1),"00")&amp;"'!$A:$D"),4,false),1)))</f>
        <v>1</v>
      </c>
      <c r="G369" s="62">
        <f t="shared" si="738"/>
        <v>1</v>
      </c>
      <c r="H369" s="62">
        <f t="shared" ref="H369:Q369" si="739">IF(isblank(H$1),,IFERROR(vlookup($A369,indirect("'TVC-"&amp;text(month(H$1),"00")&amp;"'!$A:$D"),4,false),1))</f>
        <v>1</v>
      </c>
      <c r="I369" s="62">
        <f t="shared" si="739"/>
        <v>1</v>
      </c>
      <c r="J369" s="62">
        <f t="shared" si="739"/>
        <v>1</v>
      </c>
      <c r="K369" s="62">
        <f t="shared" si="739"/>
        <v>1</v>
      </c>
      <c r="L369" s="62">
        <f t="shared" si="739"/>
        <v>1</v>
      </c>
      <c r="M369" s="62">
        <f t="shared" si="739"/>
        <v>1</v>
      </c>
      <c r="N369" s="62">
        <f t="shared" si="739"/>
        <v>1</v>
      </c>
      <c r="O369" s="62">
        <f t="shared" si="739"/>
        <v>1</v>
      </c>
      <c r="P369" s="62" t="str">
        <f t="shared" si="739"/>
        <v/>
      </c>
      <c r="Q369" s="62" t="str">
        <f t="shared" si="739"/>
        <v/>
      </c>
      <c r="R369" s="62">
        <f t="shared" si="7"/>
        <v>0</v>
      </c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</row>
    <row r="370" hidden="1">
      <c r="A370" s="60">
        <f>IFERROR(__xludf.DUMMYFUNCTION("""COMPUTED_VALUE"""),767.0)</f>
        <v>767</v>
      </c>
      <c r="B370" s="60" t="str">
        <f>IFERROR(__xludf.DUMMYFUNCTION("""COMPUTED_VALUE"""),"Giants, New York")</f>
        <v>Giants, New York</v>
      </c>
      <c r="C370" s="60" t="str">
        <f>IFERROR(__xludf.DUMMYFUNCTION("""COMPUTED_VALUE"""),"TMPN")</f>
        <v>TMPN</v>
      </c>
      <c r="D370" s="60" t="str">
        <f>IFERROR(__xludf.DUMMYFUNCTION("""COMPUTED_VALUE"""),"NYG")</f>
        <v>NYG</v>
      </c>
      <c r="E370" s="62" t="str">
        <f t="shared" si="4"/>
        <v>New York Giants</v>
      </c>
      <c r="F370" s="62">
        <f t="shared" ref="F370:G370" si="740">IF(isblank(F$1),,IF(isblank($A370),,IFERROR(vlookup($A370,indirect("'TVC-"&amp;text(month(F$1),"00")&amp;"'!$A:$D"),4,false),1)))</f>
        <v>1</v>
      </c>
      <c r="G370" s="62">
        <f t="shared" si="740"/>
        <v>1</v>
      </c>
      <c r="H370" s="62">
        <f t="shared" ref="H370:Q370" si="741">IF(isblank(H$1),,IFERROR(vlookup($A370,indirect("'TVC-"&amp;text(month(H$1),"00")&amp;"'!$A:$D"),4,false),1))</f>
        <v>1</v>
      </c>
      <c r="I370" s="62">
        <f t="shared" si="741"/>
        <v>1</v>
      </c>
      <c r="J370" s="62">
        <f t="shared" si="741"/>
        <v>1</v>
      </c>
      <c r="K370" s="62">
        <f t="shared" si="741"/>
        <v>1</v>
      </c>
      <c r="L370" s="62">
        <f t="shared" si="741"/>
        <v>1</v>
      </c>
      <c r="M370" s="62">
        <f t="shared" si="741"/>
        <v>1</v>
      </c>
      <c r="N370" s="62">
        <f t="shared" si="741"/>
        <v>1</v>
      </c>
      <c r="O370" s="62">
        <f t="shared" si="741"/>
        <v>1</v>
      </c>
      <c r="P370" s="62" t="str">
        <f t="shared" si="741"/>
        <v/>
      </c>
      <c r="Q370" s="62" t="str">
        <f t="shared" si="741"/>
        <v/>
      </c>
      <c r="R370" s="62">
        <f t="shared" si="7"/>
        <v>0</v>
      </c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</row>
    <row r="371" hidden="1">
      <c r="A371" s="60">
        <f>IFERROR(__xludf.DUMMYFUNCTION("""COMPUTED_VALUE"""),768.0)</f>
        <v>768</v>
      </c>
      <c r="B371" s="60" t="str">
        <f>IFERROR(__xludf.DUMMYFUNCTION("""COMPUTED_VALUE"""),"Eagles, Philadelphia")</f>
        <v>Eagles, Philadelphia</v>
      </c>
      <c r="C371" s="60" t="str">
        <f>IFERROR(__xludf.DUMMYFUNCTION("""COMPUTED_VALUE"""),"TMPN")</f>
        <v>TMPN</v>
      </c>
      <c r="D371" s="60" t="str">
        <f>IFERROR(__xludf.DUMMYFUNCTION("""COMPUTED_VALUE"""),"PHI")</f>
        <v>PHI</v>
      </c>
      <c r="E371" s="62" t="str">
        <f t="shared" si="4"/>
        <v>Philadelphia Eagles</v>
      </c>
      <c r="F371" s="62">
        <f t="shared" ref="F371:G371" si="742">IF(isblank(F$1),,IF(isblank($A371),,IFERROR(vlookup($A371,indirect("'TVC-"&amp;text(month(F$1),"00")&amp;"'!$A:$D"),4,false),1)))</f>
        <v>1</v>
      </c>
      <c r="G371" s="62">
        <f t="shared" si="742"/>
        <v>1</v>
      </c>
      <c r="H371" s="62">
        <f t="shared" ref="H371:Q371" si="743">IF(isblank(H$1),,IFERROR(vlookup($A371,indirect("'TVC-"&amp;text(month(H$1),"00")&amp;"'!$A:$D"),4,false),1))</f>
        <v>1</v>
      </c>
      <c r="I371" s="62">
        <f t="shared" si="743"/>
        <v>1</v>
      </c>
      <c r="J371" s="62">
        <f t="shared" si="743"/>
        <v>1</v>
      </c>
      <c r="K371" s="62">
        <f t="shared" si="743"/>
        <v>1</v>
      </c>
      <c r="L371" s="62">
        <f t="shared" si="743"/>
        <v>1</v>
      </c>
      <c r="M371" s="62">
        <f t="shared" si="743"/>
        <v>1</v>
      </c>
      <c r="N371" s="62">
        <f t="shared" si="743"/>
        <v>1</v>
      </c>
      <c r="O371" s="62">
        <f t="shared" si="743"/>
        <v>1</v>
      </c>
      <c r="P371" s="62" t="str">
        <f t="shared" si="743"/>
        <v/>
      </c>
      <c r="Q371" s="62" t="str">
        <f t="shared" si="743"/>
        <v/>
      </c>
      <c r="R371" s="62">
        <f t="shared" si="7"/>
        <v>0</v>
      </c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</row>
    <row r="372" hidden="1">
      <c r="A372" s="60">
        <f>IFERROR(__xludf.DUMMYFUNCTION("""COMPUTED_VALUE"""),769.0)</f>
        <v>769</v>
      </c>
      <c r="B372" s="60" t="str">
        <f>IFERROR(__xludf.DUMMYFUNCTION("""COMPUTED_VALUE"""),"Cardinals, Arizona")</f>
        <v>Cardinals, Arizona</v>
      </c>
      <c r="C372" s="60" t="str">
        <f>IFERROR(__xludf.DUMMYFUNCTION("""COMPUTED_VALUE"""),"TMPN")</f>
        <v>TMPN</v>
      </c>
      <c r="D372" s="60" t="str">
        <f>IFERROR(__xludf.DUMMYFUNCTION("""COMPUTED_VALUE"""),"ARI")</f>
        <v>ARI</v>
      </c>
      <c r="E372" s="62" t="str">
        <f t="shared" si="4"/>
        <v>Arizona Cardinals</v>
      </c>
      <c r="F372" s="62">
        <f t="shared" ref="F372:G372" si="744">IF(isblank(F$1),,IF(isblank($A372),,IFERROR(vlookup($A372,indirect("'TVC-"&amp;text(month(F$1),"00")&amp;"'!$A:$D"),4,false),1)))</f>
        <v>1</v>
      </c>
      <c r="G372" s="62">
        <f t="shared" si="744"/>
        <v>1</v>
      </c>
      <c r="H372" s="62">
        <f t="shared" ref="H372:Q372" si="745">IF(isblank(H$1),,IFERROR(vlookup($A372,indirect("'TVC-"&amp;text(month(H$1),"00")&amp;"'!$A:$D"),4,false),1))</f>
        <v>1</v>
      </c>
      <c r="I372" s="62">
        <f t="shared" si="745"/>
        <v>1</v>
      </c>
      <c r="J372" s="62">
        <f t="shared" si="745"/>
        <v>1</v>
      </c>
      <c r="K372" s="62">
        <f t="shared" si="745"/>
        <v>1</v>
      </c>
      <c r="L372" s="62">
        <f t="shared" si="745"/>
        <v>1</v>
      </c>
      <c r="M372" s="62">
        <f t="shared" si="745"/>
        <v>1</v>
      </c>
      <c r="N372" s="62">
        <f t="shared" si="745"/>
        <v>1</v>
      </c>
      <c r="O372" s="62">
        <f t="shared" si="745"/>
        <v>1</v>
      </c>
      <c r="P372" s="62" t="str">
        <f t="shared" si="745"/>
        <v/>
      </c>
      <c r="Q372" s="62" t="str">
        <f t="shared" si="745"/>
        <v/>
      </c>
      <c r="R372" s="62">
        <f t="shared" si="7"/>
        <v>0</v>
      </c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</row>
    <row r="373" hidden="1">
      <c r="A373" s="60">
        <f>IFERROR(__xludf.DUMMYFUNCTION("""COMPUTED_VALUE"""),770.0)</f>
        <v>770</v>
      </c>
      <c r="B373" s="60" t="str">
        <f>IFERROR(__xludf.DUMMYFUNCTION("""COMPUTED_VALUE"""),"Commanders, Washington")</f>
        <v>Commanders, Washington</v>
      </c>
      <c r="C373" s="60" t="str">
        <f>IFERROR(__xludf.DUMMYFUNCTION("""COMPUTED_VALUE"""),"TMPN")</f>
        <v>TMPN</v>
      </c>
      <c r="D373" s="60" t="str">
        <f>IFERROR(__xludf.DUMMYFUNCTION("""COMPUTED_VALUE"""),"WAS")</f>
        <v>WAS</v>
      </c>
      <c r="E373" s="62" t="str">
        <f t="shared" si="4"/>
        <v>Washington Commanders</v>
      </c>
      <c r="F373" s="62">
        <f t="shared" ref="F373:G373" si="746">IF(isblank(F$1),,IF(isblank($A373),,IFERROR(vlookup($A373,indirect("'TVC-"&amp;text(month(F$1),"00")&amp;"'!$A:$D"),4,false),1)))</f>
        <v>1</v>
      </c>
      <c r="G373" s="62">
        <f t="shared" si="746"/>
        <v>1</v>
      </c>
      <c r="H373" s="62">
        <f t="shared" ref="H373:Q373" si="747">IF(isblank(H$1),,IFERROR(vlookup($A373,indirect("'TVC-"&amp;text(month(H$1),"00")&amp;"'!$A:$D"),4,false),1))</f>
        <v>1</v>
      </c>
      <c r="I373" s="62">
        <f t="shared" si="747"/>
        <v>1</v>
      </c>
      <c r="J373" s="62">
        <f t="shared" si="747"/>
        <v>1</v>
      </c>
      <c r="K373" s="62">
        <f t="shared" si="747"/>
        <v>1</v>
      </c>
      <c r="L373" s="62">
        <f t="shared" si="747"/>
        <v>1</v>
      </c>
      <c r="M373" s="62">
        <f t="shared" si="747"/>
        <v>1</v>
      </c>
      <c r="N373" s="62">
        <f t="shared" si="747"/>
        <v>1</v>
      </c>
      <c r="O373" s="62">
        <f t="shared" si="747"/>
        <v>1</v>
      </c>
      <c r="P373" s="62" t="str">
        <f t="shared" si="747"/>
        <v/>
      </c>
      <c r="Q373" s="62" t="str">
        <f t="shared" si="747"/>
        <v/>
      </c>
      <c r="R373" s="62">
        <f t="shared" si="7"/>
        <v>0</v>
      </c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</row>
    <row r="374" hidden="1">
      <c r="A374" s="60">
        <f>IFERROR(__xludf.DUMMYFUNCTION("""COMPUTED_VALUE"""),771.0)</f>
        <v>771</v>
      </c>
      <c r="B374" s="60" t="str">
        <f>IFERROR(__xludf.DUMMYFUNCTION("""COMPUTED_VALUE"""),"Bears, Chicago")</f>
        <v>Bears, Chicago</v>
      </c>
      <c r="C374" s="60" t="str">
        <f>IFERROR(__xludf.DUMMYFUNCTION("""COMPUTED_VALUE"""),"TMPN")</f>
        <v>TMPN</v>
      </c>
      <c r="D374" s="60" t="str">
        <f>IFERROR(__xludf.DUMMYFUNCTION("""COMPUTED_VALUE"""),"CHI")</f>
        <v>CHI</v>
      </c>
      <c r="E374" s="62" t="str">
        <f t="shared" si="4"/>
        <v>Chicago Bears</v>
      </c>
      <c r="F374" s="62">
        <f t="shared" ref="F374:G374" si="748">IF(isblank(F$1),,IF(isblank($A374),,IFERROR(vlookup($A374,indirect("'TVC-"&amp;text(month(F$1),"00")&amp;"'!$A:$D"),4,false),1)))</f>
        <v>1</v>
      </c>
      <c r="G374" s="62">
        <f t="shared" si="748"/>
        <v>1</v>
      </c>
      <c r="H374" s="62">
        <f t="shared" ref="H374:Q374" si="749">IF(isblank(H$1),,IFERROR(vlookup($A374,indirect("'TVC-"&amp;text(month(H$1),"00")&amp;"'!$A:$D"),4,false),1))</f>
        <v>1</v>
      </c>
      <c r="I374" s="62">
        <f t="shared" si="749"/>
        <v>1</v>
      </c>
      <c r="J374" s="62">
        <f t="shared" si="749"/>
        <v>1</v>
      </c>
      <c r="K374" s="62">
        <f t="shared" si="749"/>
        <v>1</v>
      </c>
      <c r="L374" s="62">
        <f t="shared" si="749"/>
        <v>1</v>
      </c>
      <c r="M374" s="62">
        <f t="shared" si="749"/>
        <v>1</v>
      </c>
      <c r="N374" s="62">
        <f t="shared" si="749"/>
        <v>1</v>
      </c>
      <c r="O374" s="62">
        <f t="shared" si="749"/>
        <v>1</v>
      </c>
      <c r="P374" s="62" t="str">
        <f t="shared" si="749"/>
        <v/>
      </c>
      <c r="Q374" s="62" t="str">
        <f t="shared" si="749"/>
        <v/>
      </c>
      <c r="R374" s="62">
        <f t="shared" si="7"/>
        <v>0</v>
      </c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</row>
    <row r="375" hidden="1">
      <c r="A375" s="60">
        <f>IFERROR(__xludf.DUMMYFUNCTION("""COMPUTED_VALUE"""),772.0)</f>
        <v>772</v>
      </c>
      <c r="B375" s="60" t="str">
        <f>IFERROR(__xludf.DUMMYFUNCTION("""COMPUTED_VALUE"""),"Lions, Detroit")</f>
        <v>Lions, Detroit</v>
      </c>
      <c r="C375" s="60" t="str">
        <f>IFERROR(__xludf.DUMMYFUNCTION("""COMPUTED_VALUE"""),"TMPN")</f>
        <v>TMPN</v>
      </c>
      <c r="D375" s="60" t="str">
        <f>IFERROR(__xludf.DUMMYFUNCTION("""COMPUTED_VALUE"""),"DET")</f>
        <v>DET</v>
      </c>
      <c r="E375" s="62" t="str">
        <f t="shared" si="4"/>
        <v>Detroit Lions</v>
      </c>
      <c r="F375" s="62">
        <f t="shared" ref="F375:G375" si="750">IF(isblank(F$1),,IF(isblank($A375),,IFERROR(vlookup($A375,indirect("'TVC-"&amp;text(month(F$1),"00")&amp;"'!$A:$D"),4,false),1)))</f>
        <v>1</v>
      </c>
      <c r="G375" s="62">
        <f t="shared" si="750"/>
        <v>1</v>
      </c>
      <c r="H375" s="62">
        <f t="shared" ref="H375:Q375" si="751">IF(isblank(H$1),,IFERROR(vlookup($A375,indirect("'TVC-"&amp;text(month(H$1),"00")&amp;"'!$A:$D"),4,false),1))</f>
        <v>1</v>
      </c>
      <c r="I375" s="62">
        <f t="shared" si="751"/>
        <v>1</v>
      </c>
      <c r="J375" s="62">
        <f t="shared" si="751"/>
        <v>1</v>
      </c>
      <c r="K375" s="62">
        <f t="shared" si="751"/>
        <v>1</v>
      </c>
      <c r="L375" s="62">
        <f t="shared" si="751"/>
        <v>1</v>
      </c>
      <c r="M375" s="62">
        <f t="shared" si="751"/>
        <v>1</v>
      </c>
      <c r="N375" s="62">
        <f t="shared" si="751"/>
        <v>1</v>
      </c>
      <c r="O375" s="62">
        <f t="shared" si="751"/>
        <v>1</v>
      </c>
      <c r="P375" s="62" t="str">
        <f t="shared" si="751"/>
        <v/>
      </c>
      <c r="Q375" s="62" t="str">
        <f t="shared" si="751"/>
        <v/>
      </c>
      <c r="R375" s="62">
        <f t="shared" si="7"/>
        <v>0</v>
      </c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</row>
    <row r="376" hidden="1">
      <c r="A376" s="60">
        <f>IFERROR(__xludf.DUMMYFUNCTION("""COMPUTED_VALUE"""),773.0)</f>
        <v>773</v>
      </c>
      <c r="B376" s="60" t="str">
        <f>IFERROR(__xludf.DUMMYFUNCTION("""COMPUTED_VALUE"""),"Packers, Green Bay")</f>
        <v>Packers, Green Bay</v>
      </c>
      <c r="C376" s="60" t="str">
        <f>IFERROR(__xludf.DUMMYFUNCTION("""COMPUTED_VALUE"""),"TMPN")</f>
        <v>TMPN</v>
      </c>
      <c r="D376" s="60" t="str">
        <f>IFERROR(__xludf.DUMMYFUNCTION("""COMPUTED_VALUE"""),"GBP")</f>
        <v>GBP</v>
      </c>
      <c r="E376" s="62" t="str">
        <f t="shared" si="4"/>
        <v>Green Bay Packers</v>
      </c>
      <c r="F376" s="62">
        <f t="shared" ref="F376:G376" si="752">IF(isblank(F$1),,IF(isblank($A376),,IFERROR(vlookup($A376,indirect("'TVC-"&amp;text(month(F$1),"00")&amp;"'!$A:$D"),4,false),1)))</f>
        <v>1</v>
      </c>
      <c r="G376" s="62">
        <f t="shared" si="752"/>
        <v>1</v>
      </c>
      <c r="H376" s="62">
        <f t="shared" ref="H376:Q376" si="753">IF(isblank(H$1),,IFERROR(vlookup($A376,indirect("'TVC-"&amp;text(month(H$1),"00")&amp;"'!$A:$D"),4,false),1))</f>
        <v>1</v>
      </c>
      <c r="I376" s="62">
        <f t="shared" si="753"/>
        <v>1</v>
      </c>
      <c r="J376" s="62">
        <f t="shared" si="753"/>
        <v>1</v>
      </c>
      <c r="K376" s="62">
        <f t="shared" si="753"/>
        <v>1</v>
      </c>
      <c r="L376" s="62">
        <f t="shared" si="753"/>
        <v>1</v>
      </c>
      <c r="M376" s="62">
        <f t="shared" si="753"/>
        <v>1</v>
      </c>
      <c r="N376" s="62">
        <f t="shared" si="753"/>
        <v>1</v>
      </c>
      <c r="O376" s="62">
        <f t="shared" si="753"/>
        <v>1</v>
      </c>
      <c r="P376" s="62" t="str">
        <f t="shared" si="753"/>
        <v/>
      </c>
      <c r="Q376" s="62" t="str">
        <f t="shared" si="753"/>
        <v/>
      </c>
      <c r="R376" s="62">
        <f t="shared" si="7"/>
        <v>0</v>
      </c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</row>
    <row r="377" hidden="1">
      <c r="A377" s="60">
        <f>IFERROR(__xludf.DUMMYFUNCTION("""COMPUTED_VALUE"""),774.0)</f>
        <v>774</v>
      </c>
      <c r="B377" s="60" t="str">
        <f>IFERROR(__xludf.DUMMYFUNCTION("""COMPUTED_VALUE"""),"Vikings, Minnesota")</f>
        <v>Vikings, Minnesota</v>
      </c>
      <c r="C377" s="60" t="str">
        <f>IFERROR(__xludf.DUMMYFUNCTION("""COMPUTED_VALUE"""),"TMPN")</f>
        <v>TMPN</v>
      </c>
      <c r="D377" s="60" t="str">
        <f>IFERROR(__xludf.DUMMYFUNCTION("""COMPUTED_VALUE"""),"MIN")</f>
        <v>MIN</v>
      </c>
      <c r="E377" s="62" t="str">
        <f t="shared" si="4"/>
        <v>Minnesota Vikings</v>
      </c>
      <c r="F377" s="62">
        <f t="shared" ref="F377:G377" si="754">IF(isblank(F$1),,IF(isblank($A377),,IFERROR(vlookup($A377,indirect("'TVC-"&amp;text(month(F$1),"00")&amp;"'!$A:$D"),4,false),1)))</f>
        <v>1</v>
      </c>
      <c r="G377" s="62">
        <f t="shared" si="754"/>
        <v>1</v>
      </c>
      <c r="H377" s="62">
        <f t="shared" ref="H377:Q377" si="755">IF(isblank(H$1),,IFERROR(vlookup($A377,indirect("'TVC-"&amp;text(month(H$1),"00")&amp;"'!$A:$D"),4,false),1))</f>
        <v>1</v>
      </c>
      <c r="I377" s="62">
        <f t="shared" si="755"/>
        <v>1</v>
      </c>
      <c r="J377" s="62">
        <f t="shared" si="755"/>
        <v>1</v>
      </c>
      <c r="K377" s="62">
        <f t="shared" si="755"/>
        <v>1</v>
      </c>
      <c r="L377" s="62">
        <f t="shared" si="755"/>
        <v>1</v>
      </c>
      <c r="M377" s="62">
        <f t="shared" si="755"/>
        <v>1</v>
      </c>
      <c r="N377" s="62">
        <f t="shared" si="755"/>
        <v>1</v>
      </c>
      <c r="O377" s="62">
        <f t="shared" si="755"/>
        <v>1</v>
      </c>
      <c r="P377" s="62" t="str">
        <f t="shared" si="755"/>
        <v/>
      </c>
      <c r="Q377" s="62" t="str">
        <f t="shared" si="755"/>
        <v/>
      </c>
      <c r="R377" s="62">
        <f t="shared" si="7"/>
        <v>0</v>
      </c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</row>
    <row r="378" hidden="1">
      <c r="A378" s="60">
        <f>IFERROR(__xludf.DUMMYFUNCTION("""COMPUTED_VALUE"""),775.0)</f>
        <v>775</v>
      </c>
      <c r="B378" s="60" t="str">
        <f>IFERROR(__xludf.DUMMYFUNCTION("""COMPUTED_VALUE"""),"Buccaneers, Tampa Bay")</f>
        <v>Buccaneers, Tampa Bay</v>
      </c>
      <c r="C378" s="60" t="str">
        <f>IFERROR(__xludf.DUMMYFUNCTION("""COMPUTED_VALUE"""),"TMPN")</f>
        <v>TMPN</v>
      </c>
      <c r="D378" s="60" t="str">
        <f>IFERROR(__xludf.DUMMYFUNCTION("""COMPUTED_VALUE"""),"TBB")</f>
        <v>TBB</v>
      </c>
      <c r="E378" s="62" t="str">
        <f t="shared" si="4"/>
        <v>Tampa Bay Buccaneers</v>
      </c>
      <c r="F378" s="62">
        <f t="shared" ref="F378:G378" si="756">IF(isblank(F$1),,IF(isblank($A378),,IFERROR(vlookup($A378,indirect("'TVC-"&amp;text(month(F$1),"00")&amp;"'!$A:$D"),4,false),1)))</f>
        <v>1</v>
      </c>
      <c r="G378" s="62">
        <f t="shared" si="756"/>
        <v>1</v>
      </c>
      <c r="H378" s="62">
        <f t="shared" ref="H378:Q378" si="757">IF(isblank(H$1),,IFERROR(vlookup($A378,indirect("'TVC-"&amp;text(month(H$1),"00")&amp;"'!$A:$D"),4,false),1))</f>
        <v>1</v>
      </c>
      <c r="I378" s="62">
        <f t="shared" si="757"/>
        <v>1</v>
      </c>
      <c r="J378" s="62">
        <f t="shared" si="757"/>
        <v>1</v>
      </c>
      <c r="K378" s="62">
        <f t="shared" si="757"/>
        <v>1</v>
      </c>
      <c r="L378" s="62">
        <f t="shared" si="757"/>
        <v>1</v>
      </c>
      <c r="M378" s="62">
        <f t="shared" si="757"/>
        <v>1</v>
      </c>
      <c r="N378" s="62">
        <f t="shared" si="757"/>
        <v>1</v>
      </c>
      <c r="O378" s="62">
        <f t="shared" si="757"/>
        <v>1</v>
      </c>
      <c r="P378" s="62" t="str">
        <f t="shared" si="757"/>
        <v/>
      </c>
      <c r="Q378" s="62" t="str">
        <f t="shared" si="757"/>
        <v/>
      </c>
      <c r="R378" s="62">
        <f t="shared" si="7"/>
        <v>0</v>
      </c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</row>
    <row r="379" hidden="1">
      <c r="A379" s="60">
        <f>IFERROR(__xludf.DUMMYFUNCTION("""COMPUTED_VALUE"""),776.0)</f>
        <v>776</v>
      </c>
      <c r="B379" s="60" t="str">
        <f>IFERROR(__xludf.DUMMYFUNCTION("""COMPUTED_VALUE"""),"Falcons, Atlanta")</f>
        <v>Falcons, Atlanta</v>
      </c>
      <c r="C379" s="60" t="str">
        <f>IFERROR(__xludf.DUMMYFUNCTION("""COMPUTED_VALUE"""),"TMPN")</f>
        <v>TMPN</v>
      </c>
      <c r="D379" s="60" t="str">
        <f>IFERROR(__xludf.DUMMYFUNCTION("""COMPUTED_VALUE"""),"ATL")</f>
        <v>ATL</v>
      </c>
      <c r="E379" s="62" t="str">
        <f t="shared" si="4"/>
        <v>Atlanta Falcons</v>
      </c>
      <c r="F379" s="62">
        <f t="shared" ref="F379:G379" si="758">IF(isblank(F$1),,IF(isblank($A379),,IFERROR(vlookup($A379,indirect("'TVC-"&amp;text(month(F$1),"00")&amp;"'!$A:$D"),4,false),1)))</f>
        <v>1</v>
      </c>
      <c r="G379" s="62">
        <f t="shared" si="758"/>
        <v>1</v>
      </c>
      <c r="H379" s="62">
        <f t="shared" ref="H379:Q379" si="759">IF(isblank(H$1),,IFERROR(vlookup($A379,indirect("'TVC-"&amp;text(month(H$1),"00")&amp;"'!$A:$D"),4,false),1))</f>
        <v>1</v>
      </c>
      <c r="I379" s="62">
        <f t="shared" si="759"/>
        <v>1</v>
      </c>
      <c r="J379" s="62">
        <f t="shared" si="759"/>
        <v>1</v>
      </c>
      <c r="K379" s="62">
        <f t="shared" si="759"/>
        <v>1</v>
      </c>
      <c r="L379" s="62">
        <f t="shared" si="759"/>
        <v>1</v>
      </c>
      <c r="M379" s="62">
        <f t="shared" si="759"/>
        <v>1</v>
      </c>
      <c r="N379" s="62">
        <f t="shared" si="759"/>
        <v>1</v>
      </c>
      <c r="O379" s="62">
        <f t="shared" si="759"/>
        <v>1</v>
      </c>
      <c r="P379" s="62" t="str">
        <f t="shared" si="759"/>
        <v/>
      </c>
      <c r="Q379" s="62" t="str">
        <f t="shared" si="759"/>
        <v/>
      </c>
      <c r="R379" s="62">
        <f t="shared" si="7"/>
        <v>0</v>
      </c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</row>
    <row r="380" hidden="1">
      <c r="A380" s="60">
        <f>IFERROR(__xludf.DUMMYFUNCTION("""COMPUTED_VALUE"""),777.0)</f>
        <v>777</v>
      </c>
      <c r="B380" s="60" t="str">
        <f>IFERROR(__xludf.DUMMYFUNCTION("""COMPUTED_VALUE"""),"Panthers, Carolina")</f>
        <v>Panthers, Carolina</v>
      </c>
      <c r="C380" s="60" t="str">
        <f>IFERROR(__xludf.DUMMYFUNCTION("""COMPUTED_VALUE"""),"TMPN")</f>
        <v>TMPN</v>
      </c>
      <c r="D380" s="60" t="str">
        <f>IFERROR(__xludf.DUMMYFUNCTION("""COMPUTED_VALUE"""),"CAR")</f>
        <v>CAR</v>
      </c>
      <c r="E380" s="62" t="str">
        <f t="shared" si="4"/>
        <v>Carolina Panthers</v>
      </c>
      <c r="F380" s="62">
        <f t="shared" ref="F380:G380" si="760">IF(isblank(F$1),,IF(isblank($A380),,IFERROR(vlookup($A380,indirect("'TVC-"&amp;text(month(F$1),"00")&amp;"'!$A:$D"),4,false),1)))</f>
        <v>1</v>
      </c>
      <c r="G380" s="62">
        <f t="shared" si="760"/>
        <v>1</v>
      </c>
      <c r="H380" s="62">
        <f t="shared" ref="H380:Q380" si="761">IF(isblank(H$1),,IFERROR(vlookup($A380,indirect("'TVC-"&amp;text(month(H$1),"00")&amp;"'!$A:$D"),4,false),1))</f>
        <v>1</v>
      </c>
      <c r="I380" s="62">
        <f t="shared" si="761"/>
        <v>1</v>
      </c>
      <c r="J380" s="62">
        <f t="shared" si="761"/>
        <v>1</v>
      </c>
      <c r="K380" s="62">
        <f t="shared" si="761"/>
        <v>1</v>
      </c>
      <c r="L380" s="62">
        <f t="shared" si="761"/>
        <v>1</v>
      </c>
      <c r="M380" s="62">
        <f t="shared" si="761"/>
        <v>1</v>
      </c>
      <c r="N380" s="62">
        <f t="shared" si="761"/>
        <v>1</v>
      </c>
      <c r="O380" s="62">
        <f t="shared" si="761"/>
        <v>1</v>
      </c>
      <c r="P380" s="62" t="str">
        <f t="shared" si="761"/>
        <v/>
      </c>
      <c r="Q380" s="62" t="str">
        <f t="shared" si="761"/>
        <v/>
      </c>
      <c r="R380" s="62">
        <f t="shared" si="7"/>
        <v>0</v>
      </c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</row>
    <row r="381" hidden="1">
      <c r="A381" s="60">
        <f>IFERROR(__xludf.DUMMYFUNCTION("""COMPUTED_VALUE"""),778.0)</f>
        <v>778</v>
      </c>
      <c r="B381" s="60" t="str">
        <f>IFERROR(__xludf.DUMMYFUNCTION("""COMPUTED_VALUE"""),"Rams, Los Angeles")</f>
        <v>Rams, Los Angeles</v>
      </c>
      <c r="C381" s="60" t="str">
        <f>IFERROR(__xludf.DUMMYFUNCTION("""COMPUTED_VALUE"""),"TMPN")</f>
        <v>TMPN</v>
      </c>
      <c r="D381" s="60" t="str">
        <f>IFERROR(__xludf.DUMMYFUNCTION("""COMPUTED_VALUE"""),"LAR")</f>
        <v>LAR</v>
      </c>
      <c r="E381" s="62" t="str">
        <f t="shared" si="4"/>
        <v>Los Angeles Rams</v>
      </c>
      <c r="F381" s="62">
        <f t="shared" ref="F381:G381" si="762">IF(isblank(F$1),,IF(isblank($A381),,IFERROR(vlookup($A381,indirect("'TVC-"&amp;text(month(F$1),"00")&amp;"'!$A:$D"),4,false),1)))</f>
        <v>1</v>
      </c>
      <c r="G381" s="62">
        <f t="shared" si="762"/>
        <v>1</v>
      </c>
      <c r="H381" s="62">
        <f t="shared" ref="H381:Q381" si="763">IF(isblank(H$1),,IFERROR(vlookup($A381,indirect("'TVC-"&amp;text(month(H$1),"00")&amp;"'!$A:$D"),4,false),1))</f>
        <v>1</v>
      </c>
      <c r="I381" s="62">
        <f t="shared" si="763"/>
        <v>1</v>
      </c>
      <c r="J381" s="62">
        <f t="shared" si="763"/>
        <v>1</v>
      </c>
      <c r="K381" s="62">
        <f t="shared" si="763"/>
        <v>1</v>
      </c>
      <c r="L381" s="62">
        <f t="shared" si="763"/>
        <v>1</v>
      </c>
      <c r="M381" s="62">
        <f t="shared" si="763"/>
        <v>1</v>
      </c>
      <c r="N381" s="62">
        <f t="shared" si="763"/>
        <v>1</v>
      </c>
      <c r="O381" s="62">
        <f t="shared" si="763"/>
        <v>1</v>
      </c>
      <c r="P381" s="62" t="str">
        <f t="shared" si="763"/>
        <v/>
      </c>
      <c r="Q381" s="62" t="str">
        <f t="shared" si="763"/>
        <v/>
      </c>
      <c r="R381" s="62">
        <f t="shared" si="7"/>
        <v>0</v>
      </c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</row>
    <row r="382" hidden="1">
      <c r="A382" s="60">
        <f>IFERROR(__xludf.DUMMYFUNCTION("""COMPUTED_VALUE"""),779.0)</f>
        <v>779</v>
      </c>
      <c r="B382" s="60" t="str">
        <f>IFERROR(__xludf.DUMMYFUNCTION("""COMPUTED_VALUE"""),"Saints, New Orleans")</f>
        <v>Saints, New Orleans</v>
      </c>
      <c r="C382" s="60" t="str">
        <f>IFERROR(__xludf.DUMMYFUNCTION("""COMPUTED_VALUE"""),"TMPN")</f>
        <v>TMPN</v>
      </c>
      <c r="D382" s="60" t="str">
        <f>IFERROR(__xludf.DUMMYFUNCTION("""COMPUTED_VALUE"""),"NOS")</f>
        <v>NOS</v>
      </c>
      <c r="E382" s="62" t="str">
        <f t="shared" si="4"/>
        <v>New Orleans Saints</v>
      </c>
      <c r="F382" s="62">
        <f t="shared" ref="F382:G382" si="764">IF(isblank(F$1),,IF(isblank($A382),,IFERROR(vlookup($A382,indirect("'TVC-"&amp;text(month(F$1),"00")&amp;"'!$A:$D"),4,false),1)))</f>
        <v>1</v>
      </c>
      <c r="G382" s="62">
        <f t="shared" si="764"/>
        <v>1</v>
      </c>
      <c r="H382" s="62">
        <f t="shared" ref="H382:Q382" si="765">IF(isblank(H$1),,IFERROR(vlookup($A382,indirect("'TVC-"&amp;text(month(H$1),"00")&amp;"'!$A:$D"),4,false),1))</f>
        <v>1</v>
      </c>
      <c r="I382" s="62">
        <f t="shared" si="765"/>
        <v>1</v>
      </c>
      <c r="J382" s="62">
        <f t="shared" si="765"/>
        <v>1</v>
      </c>
      <c r="K382" s="62">
        <f t="shared" si="765"/>
        <v>1</v>
      </c>
      <c r="L382" s="62">
        <f t="shared" si="765"/>
        <v>1</v>
      </c>
      <c r="M382" s="62">
        <f t="shared" si="765"/>
        <v>1</v>
      </c>
      <c r="N382" s="62">
        <f t="shared" si="765"/>
        <v>1</v>
      </c>
      <c r="O382" s="62">
        <f t="shared" si="765"/>
        <v>1</v>
      </c>
      <c r="P382" s="62" t="str">
        <f t="shared" si="765"/>
        <v/>
      </c>
      <c r="Q382" s="62" t="str">
        <f t="shared" si="765"/>
        <v/>
      </c>
      <c r="R382" s="62">
        <f t="shared" si="7"/>
        <v>0</v>
      </c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</row>
    <row r="383" hidden="1">
      <c r="A383" s="60">
        <f>IFERROR(__xludf.DUMMYFUNCTION("""COMPUTED_VALUE"""),780.0)</f>
        <v>780</v>
      </c>
      <c r="B383" s="60" t="str">
        <f>IFERROR(__xludf.DUMMYFUNCTION("""COMPUTED_VALUE"""),"49ers, San Francisco")</f>
        <v>49ers, San Francisco</v>
      </c>
      <c r="C383" s="60" t="str">
        <f>IFERROR(__xludf.DUMMYFUNCTION("""COMPUTED_VALUE"""),"TMPN")</f>
        <v>TMPN</v>
      </c>
      <c r="D383" s="60" t="str">
        <f>IFERROR(__xludf.DUMMYFUNCTION("""COMPUTED_VALUE"""),"SFO")</f>
        <v>SFO</v>
      </c>
      <c r="E383" s="62" t="str">
        <f t="shared" si="4"/>
        <v>San Francisco 49ers</v>
      </c>
      <c r="F383" s="62">
        <f t="shared" ref="F383:G383" si="766">IF(isblank(F$1),,IF(isblank($A383),,IFERROR(vlookup($A383,indirect("'TVC-"&amp;text(month(F$1),"00")&amp;"'!$A:$D"),4,false),1)))</f>
        <v>1</v>
      </c>
      <c r="G383" s="62">
        <f t="shared" si="766"/>
        <v>1</v>
      </c>
      <c r="H383" s="62">
        <f t="shared" ref="H383:Q383" si="767">IF(isblank(H$1),,IFERROR(vlookup($A383,indirect("'TVC-"&amp;text(month(H$1),"00")&amp;"'!$A:$D"),4,false),1))</f>
        <v>1</v>
      </c>
      <c r="I383" s="62">
        <f t="shared" si="767"/>
        <v>1</v>
      </c>
      <c r="J383" s="62">
        <f t="shared" si="767"/>
        <v>1</v>
      </c>
      <c r="K383" s="62">
        <f t="shared" si="767"/>
        <v>1</v>
      </c>
      <c r="L383" s="62">
        <f t="shared" si="767"/>
        <v>1</v>
      </c>
      <c r="M383" s="62">
        <f t="shared" si="767"/>
        <v>1</v>
      </c>
      <c r="N383" s="62">
        <f t="shared" si="767"/>
        <v>1</v>
      </c>
      <c r="O383" s="62">
        <f t="shared" si="767"/>
        <v>1</v>
      </c>
      <c r="P383" s="62" t="str">
        <f t="shared" si="767"/>
        <v/>
      </c>
      <c r="Q383" s="62" t="str">
        <f t="shared" si="767"/>
        <v/>
      </c>
      <c r="R383" s="62">
        <f t="shared" si="7"/>
        <v>0</v>
      </c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</row>
    <row r="384" hidden="1">
      <c r="A384" s="60">
        <f>IFERROR(__xludf.DUMMYFUNCTION("""COMPUTED_VALUE"""),781.0)</f>
        <v>781</v>
      </c>
      <c r="B384" s="60" t="str">
        <f>IFERROR(__xludf.DUMMYFUNCTION("""COMPUTED_VALUE"""),"Ravens, Baltimore")</f>
        <v>Ravens, Baltimore</v>
      </c>
      <c r="C384" s="60" t="str">
        <f>IFERROR(__xludf.DUMMYFUNCTION("""COMPUTED_VALUE"""),"TMPN")</f>
        <v>TMPN</v>
      </c>
      <c r="D384" s="60" t="str">
        <f>IFERROR(__xludf.DUMMYFUNCTION("""COMPUTED_VALUE"""),"BAL")</f>
        <v>BAL</v>
      </c>
      <c r="E384" s="62" t="str">
        <f t="shared" si="4"/>
        <v>Baltimore Ravens</v>
      </c>
      <c r="F384" s="62">
        <f t="shared" ref="F384:G384" si="768">IF(isblank(F$1),,IF(isblank($A384),,IFERROR(vlookup($A384,indirect("'TVC-"&amp;text(month(F$1),"00")&amp;"'!$A:$D"),4,false),1)))</f>
        <v>1</v>
      </c>
      <c r="G384" s="62">
        <f t="shared" si="768"/>
        <v>1</v>
      </c>
      <c r="H384" s="62">
        <f t="shared" ref="H384:Q384" si="769">IF(isblank(H$1),,IFERROR(vlookup($A384,indirect("'TVC-"&amp;text(month(H$1),"00")&amp;"'!$A:$D"),4,false),1))</f>
        <v>1</v>
      </c>
      <c r="I384" s="62">
        <f t="shared" si="769"/>
        <v>1</v>
      </c>
      <c r="J384" s="62">
        <f t="shared" si="769"/>
        <v>1</v>
      </c>
      <c r="K384" s="62">
        <f t="shared" si="769"/>
        <v>1</v>
      </c>
      <c r="L384" s="62">
        <f t="shared" si="769"/>
        <v>1</v>
      </c>
      <c r="M384" s="62">
        <f t="shared" si="769"/>
        <v>1</v>
      </c>
      <c r="N384" s="62">
        <f t="shared" si="769"/>
        <v>1</v>
      </c>
      <c r="O384" s="62">
        <f t="shared" si="769"/>
        <v>1</v>
      </c>
      <c r="P384" s="62" t="str">
        <f t="shared" si="769"/>
        <v/>
      </c>
      <c r="Q384" s="62" t="str">
        <f t="shared" si="769"/>
        <v/>
      </c>
      <c r="R384" s="62">
        <f t="shared" si="7"/>
        <v>0</v>
      </c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</row>
    <row r="385" hidden="1">
      <c r="A385" s="60">
        <f>IFERROR(__xludf.DUMMYFUNCTION("""COMPUTED_VALUE"""),782.0)</f>
        <v>782</v>
      </c>
      <c r="B385" s="60" t="str">
        <f>IFERROR(__xludf.DUMMYFUNCTION("""COMPUTED_VALUE"""),"Texans, Houston")</f>
        <v>Texans, Houston</v>
      </c>
      <c r="C385" s="60" t="str">
        <f>IFERROR(__xludf.DUMMYFUNCTION("""COMPUTED_VALUE"""),"TMPN")</f>
        <v>TMPN</v>
      </c>
      <c r="D385" s="60" t="str">
        <f>IFERROR(__xludf.DUMMYFUNCTION("""COMPUTED_VALUE"""),"HOU")</f>
        <v>HOU</v>
      </c>
      <c r="E385" s="62" t="str">
        <f t="shared" si="4"/>
        <v>Houston Texans</v>
      </c>
      <c r="F385" s="62">
        <f t="shared" ref="F385:G385" si="770">IF(isblank(F$1),,IF(isblank($A385),,IFERROR(vlookup($A385,indirect("'TVC-"&amp;text(month(F$1),"00")&amp;"'!$A:$D"),4,false),1)))</f>
        <v>1</v>
      </c>
      <c r="G385" s="62">
        <f t="shared" si="770"/>
        <v>1</v>
      </c>
      <c r="H385" s="62">
        <f t="shared" ref="H385:Q385" si="771">IF(isblank(H$1),,IFERROR(vlookup($A385,indirect("'TVC-"&amp;text(month(H$1),"00")&amp;"'!$A:$D"),4,false),1))</f>
        <v>1</v>
      </c>
      <c r="I385" s="62">
        <f t="shared" si="771"/>
        <v>1</v>
      </c>
      <c r="J385" s="62">
        <f t="shared" si="771"/>
        <v>1</v>
      </c>
      <c r="K385" s="62">
        <f t="shared" si="771"/>
        <v>1</v>
      </c>
      <c r="L385" s="62">
        <f t="shared" si="771"/>
        <v>1</v>
      </c>
      <c r="M385" s="62">
        <f t="shared" si="771"/>
        <v>1</v>
      </c>
      <c r="N385" s="62">
        <f t="shared" si="771"/>
        <v>1</v>
      </c>
      <c r="O385" s="62">
        <f t="shared" si="771"/>
        <v>1</v>
      </c>
      <c r="P385" s="62" t="str">
        <f t="shared" si="771"/>
        <v/>
      </c>
      <c r="Q385" s="62" t="str">
        <f t="shared" si="771"/>
        <v/>
      </c>
      <c r="R385" s="62">
        <f t="shared" si="7"/>
        <v>0</v>
      </c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</row>
    <row r="386" hidden="1">
      <c r="A386" s="60">
        <f>IFERROR(__xludf.DUMMYFUNCTION("""COMPUTED_VALUE"""),1276.0)</f>
        <v>1276</v>
      </c>
      <c r="B386" s="60" t="str">
        <f>IFERROR(__xludf.DUMMYFUNCTION("""COMPUTED_VALUE"""),"Harbaugh, Jim")</f>
        <v>Harbaugh, Jim</v>
      </c>
      <c r="C386" s="60" t="str">
        <f>IFERROR(__xludf.DUMMYFUNCTION("""COMPUTED_VALUE"""),"Coach")</f>
        <v>Coach</v>
      </c>
      <c r="D386" s="60" t="str">
        <f>IFERROR(__xludf.DUMMYFUNCTION("""COMPUTED_VALUE"""),"LAC")</f>
        <v>LAC</v>
      </c>
      <c r="E386" s="62" t="str">
        <f t="shared" si="4"/>
        <v>Jim Harbaugh</v>
      </c>
      <c r="F386" s="62">
        <f t="shared" ref="F386:G386" si="772">IF(isblank(F$1),,IF(isblank($A386),,IFERROR(vlookup($A386,indirect("'TVC-"&amp;text(month(F$1),"00")&amp;"'!$A:$D"),4,false),1)))</f>
        <v>1</v>
      </c>
      <c r="G386" s="62">
        <f t="shared" si="772"/>
        <v>1</v>
      </c>
      <c r="H386" s="62">
        <f t="shared" ref="H386:Q386" si="773">IF(isblank(H$1),,IFERROR(vlookup($A386,indirect("'TVC-"&amp;text(month(H$1),"00")&amp;"'!$A:$D"),4,false),1))</f>
        <v>1</v>
      </c>
      <c r="I386" s="62">
        <f t="shared" si="773"/>
        <v>1</v>
      </c>
      <c r="J386" s="62">
        <f t="shared" si="773"/>
        <v>1</v>
      </c>
      <c r="K386" s="62">
        <f t="shared" si="773"/>
        <v>1</v>
      </c>
      <c r="L386" s="62">
        <f t="shared" si="773"/>
        <v>1</v>
      </c>
      <c r="M386" s="62">
        <f t="shared" si="773"/>
        <v>1</v>
      </c>
      <c r="N386" s="62">
        <f t="shared" si="773"/>
        <v>1</v>
      </c>
      <c r="O386" s="62">
        <f t="shared" si="773"/>
        <v>1</v>
      </c>
      <c r="P386" s="62" t="str">
        <f t="shared" si="773"/>
        <v/>
      </c>
      <c r="Q386" s="62" t="str">
        <f t="shared" si="773"/>
        <v/>
      </c>
      <c r="R386" s="62">
        <f t="shared" si="7"/>
        <v>0</v>
      </c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</row>
    <row r="387" hidden="1">
      <c r="A387" s="60">
        <f>IFERROR(__xludf.DUMMYFUNCTION("""COMPUTED_VALUE"""),2020.0)</f>
        <v>2020</v>
      </c>
      <c r="B387" s="60" t="str">
        <f>IFERROR(__xludf.DUMMYFUNCTION("""COMPUTED_VALUE"""),"Glenn, Aaron")</f>
        <v>Glenn, Aaron</v>
      </c>
      <c r="C387" s="60" t="str">
        <f>IFERROR(__xludf.DUMMYFUNCTION("""COMPUTED_VALUE"""),"Coach")</f>
        <v>Coach</v>
      </c>
      <c r="D387" s="60" t="str">
        <f>IFERROR(__xludf.DUMMYFUNCTION("""COMPUTED_VALUE"""),"NYJ")</f>
        <v>NYJ</v>
      </c>
      <c r="E387" s="62" t="str">
        <f t="shared" si="4"/>
        <v>Aaron Glenn</v>
      </c>
      <c r="F387" s="62">
        <f t="shared" ref="F387:G387" si="774">IF(isblank(F$1),,IF(isblank($A387),,IFERROR(vlookup($A387,indirect("'TVC-"&amp;text(month(F$1),"00")&amp;"'!$A:$D"),4,false),1)))</f>
        <v>1</v>
      </c>
      <c r="G387" s="62">
        <f t="shared" si="774"/>
        <v>1</v>
      </c>
      <c r="H387" s="62">
        <f t="shared" ref="H387:Q387" si="775">IF(isblank(H$1),,IFERROR(vlookup($A387,indirect("'TVC-"&amp;text(month(H$1),"00")&amp;"'!$A:$D"),4,false),1))</f>
        <v>1</v>
      </c>
      <c r="I387" s="62">
        <f t="shared" si="775"/>
        <v>1</v>
      </c>
      <c r="J387" s="62">
        <f t="shared" si="775"/>
        <v>1</v>
      </c>
      <c r="K387" s="62">
        <f t="shared" si="775"/>
        <v>1</v>
      </c>
      <c r="L387" s="62">
        <f t="shared" si="775"/>
        <v>1</v>
      </c>
      <c r="M387" s="62">
        <f t="shared" si="775"/>
        <v>1</v>
      </c>
      <c r="N387" s="62">
        <f t="shared" si="775"/>
        <v>1</v>
      </c>
      <c r="O387" s="62">
        <f t="shared" si="775"/>
        <v>1</v>
      </c>
      <c r="P387" s="62" t="str">
        <f t="shared" si="775"/>
        <v/>
      </c>
      <c r="Q387" s="62" t="str">
        <f t="shared" si="775"/>
        <v/>
      </c>
      <c r="R387" s="62">
        <f t="shared" si="7"/>
        <v>0</v>
      </c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</row>
    <row r="388" hidden="1">
      <c r="A388" s="60">
        <f>IFERROR(__xludf.DUMMYFUNCTION("""COMPUTED_VALUE"""),2982.0)</f>
        <v>2982</v>
      </c>
      <c r="B388" s="60" t="str">
        <f>IFERROR(__xludf.DUMMYFUNCTION("""COMPUTED_VALUE"""),"Vrabel, Mike")</f>
        <v>Vrabel, Mike</v>
      </c>
      <c r="C388" s="60" t="str">
        <f>IFERROR(__xludf.DUMMYFUNCTION("""COMPUTED_VALUE"""),"Coach")</f>
        <v>Coach</v>
      </c>
      <c r="D388" s="60" t="str">
        <f>IFERROR(__xludf.DUMMYFUNCTION("""COMPUTED_VALUE"""),"NEP")</f>
        <v>NEP</v>
      </c>
      <c r="E388" s="62" t="str">
        <f t="shared" si="4"/>
        <v>Mike Vrabel</v>
      </c>
      <c r="F388" s="62">
        <f t="shared" ref="F388:G388" si="776">IF(isblank(F$1),,IF(isblank($A388),,IFERROR(vlookup($A388,indirect("'TVC-"&amp;text(month(F$1),"00")&amp;"'!$A:$D"),4,false),1)))</f>
        <v>1</v>
      </c>
      <c r="G388" s="62">
        <f t="shared" si="776"/>
        <v>1</v>
      </c>
      <c r="H388" s="62">
        <f t="shared" ref="H388:Q388" si="777">IF(isblank(H$1),,IFERROR(vlookup($A388,indirect("'TVC-"&amp;text(month(H$1),"00")&amp;"'!$A:$D"),4,false),1))</f>
        <v>1</v>
      </c>
      <c r="I388" s="62">
        <f t="shared" si="777"/>
        <v>1</v>
      </c>
      <c r="J388" s="62">
        <f t="shared" si="777"/>
        <v>1</v>
      </c>
      <c r="K388" s="62">
        <f t="shared" si="777"/>
        <v>1</v>
      </c>
      <c r="L388" s="62">
        <f t="shared" si="777"/>
        <v>1</v>
      </c>
      <c r="M388" s="62">
        <f t="shared" si="777"/>
        <v>1</v>
      </c>
      <c r="N388" s="62">
        <f t="shared" si="777"/>
        <v>1</v>
      </c>
      <c r="O388" s="62">
        <f t="shared" si="777"/>
        <v>1</v>
      </c>
      <c r="P388" s="62" t="str">
        <f t="shared" si="777"/>
        <v/>
      </c>
      <c r="Q388" s="62" t="str">
        <f t="shared" si="777"/>
        <v/>
      </c>
      <c r="R388" s="62">
        <f t="shared" si="7"/>
        <v>0</v>
      </c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</row>
    <row r="389" hidden="1">
      <c r="A389" s="60">
        <f>IFERROR(__xludf.DUMMYFUNCTION("""COMPUTED_VALUE"""),3622.0)</f>
        <v>3622</v>
      </c>
      <c r="B389" s="60" t="str">
        <f>IFERROR(__xludf.DUMMYFUNCTION("""COMPUTED_VALUE"""),"Reid, Andy")</f>
        <v>Reid, Andy</v>
      </c>
      <c r="C389" s="60" t="str">
        <f>IFERROR(__xludf.DUMMYFUNCTION("""COMPUTED_VALUE"""),"Coach")</f>
        <v>Coach</v>
      </c>
      <c r="D389" s="60" t="str">
        <f>IFERROR(__xludf.DUMMYFUNCTION("""COMPUTED_VALUE"""),"KCC")</f>
        <v>KCC</v>
      </c>
      <c r="E389" s="62" t="str">
        <f t="shared" si="4"/>
        <v>Andy Reid</v>
      </c>
      <c r="F389" s="62">
        <f t="shared" ref="F389:G389" si="778">IF(isblank(F$1),,IF(isblank($A389),,IFERROR(vlookup($A389,indirect("'TVC-"&amp;text(month(F$1),"00")&amp;"'!$A:$D"),4,false),1)))</f>
        <v>1</v>
      </c>
      <c r="G389" s="62">
        <f t="shared" si="778"/>
        <v>1</v>
      </c>
      <c r="H389" s="62">
        <f t="shared" ref="H389:Q389" si="779">IF(isblank(H$1),,IFERROR(vlookup($A389,indirect("'TVC-"&amp;text(month(H$1),"00")&amp;"'!$A:$D"),4,false),1))</f>
        <v>1</v>
      </c>
      <c r="I389" s="62">
        <f t="shared" si="779"/>
        <v>1</v>
      </c>
      <c r="J389" s="62">
        <f t="shared" si="779"/>
        <v>1</v>
      </c>
      <c r="K389" s="62">
        <f t="shared" si="779"/>
        <v>1</v>
      </c>
      <c r="L389" s="62">
        <f t="shared" si="779"/>
        <v>1</v>
      </c>
      <c r="M389" s="62">
        <f t="shared" si="779"/>
        <v>1</v>
      </c>
      <c r="N389" s="62">
        <f t="shared" si="779"/>
        <v>1</v>
      </c>
      <c r="O389" s="62">
        <f t="shared" si="779"/>
        <v>1</v>
      </c>
      <c r="P389" s="62" t="str">
        <f t="shared" si="779"/>
        <v/>
      </c>
      <c r="Q389" s="62" t="str">
        <f t="shared" si="779"/>
        <v/>
      </c>
      <c r="R389" s="62">
        <f t="shared" si="7"/>
        <v>0</v>
      </c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</row>
    <row r="390" hidden="1">
      <c r="A390" s="60">
        <f>IFERROR(__xludf.DUMMYFUNCTION("""COMPUTED_VALUE"""),5848.0)</f>
        <v>5848</v>
      </c>
      <c r="B390" s="60" t="str">
        <f>IFERROR(__xludf.DUMMYFUNCTION("""COMPUTED_VALUE"""),"Brady, Tom")</f>
        <v>Brady, Tom</v>
      </c>
      <c r="C390" s="60" t="str">
        <f>IFERROR(__xludf.DUMMYFUNCTION("""COMPUTED_VALUE"""),"QB")</f>
        <v>QB</v>
      </c>
      <c r="D390" s="60" t="str">
        <f>IFERROR(__xludf.DUMMYFUNCTION("""COMPUTED_VALUE"""),"FA")</f>
        <v>FA</v>
      </c>
      <c r="E390" s="62" t="str">
        <f t="shared" si="4"/>
        <v>Tom Brady</v>
      </c>
      <c r="F390" s="62">
        <f t="shared" ref="F390:G390" si="780">IF(isblank(F$1),,IF(isblank($A390),,IFERROR(vlookup($A390,indirect("'TVC-"&amp;text(month(F$1),"00")&amp;"'!$A:$D"),4,false),1)))</f>
        <v>1</v>
      </c>
      <c r="G390" s="62">
        <f t="shared" si="780"/>
        <v>1</v>
      </c>
      <c r="H390" s="62">
        <f t="shared" ref="H390:Q390" si="781">IF(isblank(H$1),,IFERROR(vlookup($A390,indirect("'TVC-"&amp;text(month(H$1),"00")&amp;"'!$A:$D"),4,false),1))</f>
        <v>1</v>
      </c>
      <c r="I390" s="62">
        <f t="shared" si="781"/>
        <v>1</v>
      </c>
      <c r="J390" s="62">
        <f t="shared" si="781"/>
        <v>1</v>
      </c>
      <c r="K390" s="62">
        <f t="shared" si="781"/>
        <v>1</v>
      </c>
      <c r="L390" s="62">
        <f t="shared" si="781"/>
        <v>1</v>
      </c>
      <c r="M390" s="62">
        <f t="shared" si="781"/>
        <v>1</v>
      </c>
      <c r="N390" s="62">
        <f t="shared" si="781"/>
        <v>1</v>
      </c>
      <c r="O390" s="62">
        <f t="shared" si="781"/>
        <v>1</v>
      </c>
      <c r="P390" s="62" t="str">
        <f t="shared" si="781"/>
        <v/>
      </c>
      <c r="Q390" s="62" t="str">
        <f t="shared" si="781"/>
        <v/>
      </c>
      <c r="R390" s="62">
        <f t="shared" si="7"/>
        <v>0</v>
      </c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</row>
    <row r="391" hidden="1">
      <c r="A391" s="60">
        <f>IFERROR(__xludf.DUMMYFUNCTION("""COMPUTED_VALUE"""),7394.0)</f>
        <v>7394</v>
      </c>
      <c r="B391" s="60" t="str">
        <f>IFERROR(__xludf.DUMMYFUNCTION("""COMPUTED_VALUE"""),"Rivers, Philip")</f>
        <v>Rivers, Philip</v>
      </c>
      <c r="C391" s="60" t="str">
        <f>IFERROR(__xludf.DUMMYFUNCTION("""COMPUTED_VALUE"""),"QB")</f>
        <v>QB</v>
      </c>
      <c r="D391" s="60" t="str">
        <f>IFERROR(__xludf.DUMMYFUNCTION("""COMPUTED_VALUE"""),"FA")</f>
        <v>FA</v>
      </c>
      <c r="E391" s="62" t="str">
        <f t="shared" si="4"/>
        <v>Philip Rivers</v>
      </c>
      <c r="F391" s="62">
        <f t="shared" ref="F391:G391" si="782">IF(isblank(F$1),,IF(isblank($A391),,IFERROR(vlookup($A391,indirect("'TVC-"&amp;text(month(F$1),"00")&amp;"'!$A:$D"),4,false),1)))</f>
        <v>643</v>
      </c>
      <c r="G391" s="62">
        <f t="shared" si="782"/>
        <v>1</v>
      </c>
      <c r="H391" s="62">
        <f t="shared" ref="H391:Q391" si="783">IF(isblank(H$1),,IFERROR(vlookup($A391,indirect("'TVC-"&amp;text(month(H$1),"00")&amp;"'!$A:$D"),4,false),1))</f>
        <v>1</v>
      </c>
      <c r="I391" s="62">
        <f t="shared" si="783"/>
        <v>1</v>
      </c>
      <c r="J391" s="62">
        <f t="shared" si="783"/>
        <v>1</v>
      </c>
      <c r="K391" s="62">
        <f t="shared" si="783"/>
        <v>1</v>
      </c>
      <c r="L391" s="62">
        <f t="shared" si="783"/>
        <v>1</v>
      </c>
      <c r="M391" s="62">
        <f t="shared" si="783"/>
        <v>1</v>
      </c>
      <c r="N391" s="62">
        <f t="shared" si="783"/>
        <v>1</v>
      </c>
      <c r="O391" s="62">
        <f t="shared" si="783"/>
        <v>1</v>
      </c>
      <c r="P391" s="62" t="str">
        <f t="shared" si="783"/>
        <v/>
      </c>
      <c r="Q391" s="62" t="str">
        <f t="shared" si="783"/>
        <v/>
      </c>
      <c r="R391" s="62">
        <f t="shared" si="7"/>
        <v>0</v>
      </c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</row>
    <row r="392">
      <c r="A392" s="60">
        <f>IFERROR(__xludf.DUMMYFUNCTION("""COMPUTED_VALUE"""),7836.0)</f>
        <v>7836</v>
      </c>
      <c r="B392" s="60" t="str">
        <f>IFERROR(__xludf.DUMMYFUNCTION("""COMPUTED_VALUE"""),"Rodgers, Aaron")</f>
        <v>Rodgers, Aaron</v>
      </c>
      <c r="C392" s="60" t="str">
        <f>IFERROR(__xludf.DUMMYFUNCTION("""COMPUTED_VALUE"""),"QB")</f>
        <v>QB</v>
      </c>
      <c r="D392" s="60" t="str">
        <f>IFERROR(__xludf.DUMMYFUNCTION("""COMPUTED_VALUE"""),"PIT")</f>
        <v>PIT</v>
      </c>
      <c r="E392" s="62" t="str">
        <f t="shared" si="4"/>
        <v>Aaron Rodgers</v>
      </c>
      <c r="F392" s="62">
        <f t="shared" ref="F392:G392" si="784">IF(isblank(F$1),,IF(isblank($A392),,IFERROR(vlookup($A392,indirect("'TVC-"&amp;text(month(F$1),"00")&amp;"'!$A:$D"),4,false),1)))</f>
        <v>1719</v>
      </c>
      <c r="G392" s="62">
        <f t="shared" si="784"/>
        <v>1714</v>
      </c>
      <c r="H392" s="62">
        <f t="shared" ref="H392:Q392" si="785">IF(isblank(H$1),,IFERROR(vlookup($A392,indirect("'TVC-"&amp;text(month(H$1),"00")&amp;"'!$A:$D"),4,false),1))</f>
        <v>1726</v>
      </c>
      <c r="I392" s="62">
        <f t="shared" si="785"/>
        <v>1829</v>
      </c>
      <c r="J392" s="62">
        <f t="shared" si="785"/>
        <v>1794</v>
      </c>
      <c r="K392" s="62">
        <f t="shared" si="785"/>
        <v>1889</v>
      </c>
      <c r="L392" s="62">
        <f t="shared" si="785"/>
        <v>1981</v>
      </c>
      <c r="M392" s="62">
        <f t="shared" si="785"/>
        <v>1929</v>
      </c>
      <c r="N392" s="62">
        <f t="shared" si="785"/>
        <v>1951</v>
      </c>
      <c r="O392" s="62">
        <f t="shared" si="785"/>
        <v>1</v>
      </c>
      <c r="P392" s="62" t="str">
        <f t="shared" si="785"/>
        <v/>
      </c>
      <c r="Q392" s="62" t="str">
        <f t="shared" si="785"/>
        <v/>
      </c>
      <c r="R392" s="62">
        <f t="shared" si="7"/>
        <v>-1950</v>
      </c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</row>
    <row r="393" hidden="1">
      <c r="A393" s="60">
        <f>IFERROR(__xludf.DUMMYFUNCTION("""COMPUTED_VALUE"""),8235.0)</f>
        <v>8235</v>
      </c>
      <c r="B393" s="60" t="str">
        <f>IFERROR(__xludf.DUMMYFUNCTION("""COMPUTED_VALUE"""),"McCarthy, Mike")</f>
        <v>McCarthy, Mike</v>
      </c>
      <c r="C393" s="60" t="str">
        <f>IFERROR(__xludf.DUMMYFUNCTION("""COMPUTED_VALUE"""),"Coach")</f>
        <v>Coach</v>
      </c>
      <c r="D393" s="60" t="str">
        <f>IFERROR(__xludf.DUMMYFUNCTION("""COMPUTED_VALUE"""),"PIT")</f>
        <v>PIT</v>
      </c>
      <c r="E393" s="62" t="str">
        <f t="shared" si="4"/>
        <v>Mike McCarthy</v>
      </c>
      <c r="F393" s="62">
        <f t="shared" ref="F393:G393" si="786">IF(isblank(F$1),,IF(isblank($A393),,IFERROR(vlookup($A393,indirect("'TVC-"&amp;text(month(F$1),"00")&amp;"'!$A:$D"),4,false),1)))</f>
        <v>1</v>
      </c>
      <c r="G393" s="62">
        <f t="shared" si="786"/>
        <v>1</v>
      </c>
      <c r="H393" s="62">
        <f t="shared" ref="H393:Q393" si="787">IF(isblank(H$1),,IFERROR(vlookup($A393,indirect("'TVC-"&amp;text(month(H$1),"00")&amp;"'!$A:$D"),4,false),1))</f>
        <v>1</v>
      </c>
      <c r="I393" s="62">
        <f t="shared" si="787"/>
        <v>1</v>
      </c>
      <c r="J393" s="62">
        <f t="shared" si="787"/>
        <v>1</v>
      </c>
      <c r="K393" s="62">
        <f t="shared" si="787"/>
        <v>1</v>
      </c>
      <c r="L393" s="62">
        <f t="shared" si="787"/>
        <v>1</v>
      </c>
      <c r="M393" s="62">
        <f t="shared" si="787"/>
        <v>1</v>
      </c>
      <c r="N393" s="62">
        <f t="shared" si="787"/>
        <v>1</v>
      </c>
      <c r="O393" s="62">
        <f t="shared" si="787"/>
        <v>1</v>
      </c>
      <c r="P393" s="62" t="str">
        <f t="shared" si="787"/>
        <v/>
      </c>
      <c r="Q393" s="62" t="str">
        <f t="shared" si="787"/>
        <v/>
      </c>
      <c r="R393" s="62">
        <f t="shared" si="7"/>
        <v>0</v>
      </c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</row>
    <row r="394" hidden="1">
      <c r="A394" s="60">
        <f>IFERROR(__xludf.DUMMYFUNCTION("""COMPUTED_VALUE"""),8237.0)</f>
        <v>8237</v>
      </c>
      <c r="B394" s="60" t="str">
        <f>IFERROR(__xludf.DUMMYFUNCTION("""COMPUTED_VALUE"""),"Payton, Sean")</f>
        <v>Payton, Sean</v>
      </c>
      <c r="C394" s="60" t="str">
        <f>IFERROR(__xludf.DUMMYFUNCTION("""COMPUTED_VALUE"""),"Coach")</f>
        <v>Coach</v>
      </c>
      <c r="D394" s="60" t="str">
        <f>IFERROR(__xludf.DUMMYFUNCTION("""COMPUTED_VALUE"""),"DEN")</f>
        <v>DEN</v>
      </c>
      <c r="E394" s="62" t="str">
        <f t="shared" si="4"/>
        <v>Sean Payton</v>
      </c>
      <c r="F394" s="62">
        <f t="shared" ref="F394:G394" si="788">IF(isblank(F$1),,IF(isblank($A394),,IFERROR(vlookup($A394,indirect("'TVC-"&amp;text(month(F$1),"00")&amp;"'!$A:$D"),4,false),1)))</f>
        <v>1</v>
      </c>
      <c r="G394" s="62">
        <f t="shared" si="788"/>
        <v>1</v>
      </c>
      <c r="H394" s="62">
        <f t="shared" ref="H394:Q394" si="789">IF(isblank(H$1),,IFERROR(vlookup($A394,indirect("'TVC-"&amp;text(month(H$1),"00")&amp;"'!$A:$D"),4,false),1))</f>
        <v>1</v>
      </c>
      <c r="I394" s="62">
        <f t="shared" si="789"/>
        <v>1</v>
      </c>
      <c r="J394" s="62">
        <f t="shared" si="789"/>
        <v>1</v>
      </c>
      <c r="K394" s="62">
        <f t="shared" si="789"/>
        <v>1</v>
      </c>
      <c r="L394" s="62">
        <f t="shared" si="789"/>
        <v>1</v>
      </c>
      <c r="M394" s="62">
        <f t="shared" si="789"/>
        <v>1</v>
      </c>
      <c r="N394" s="62">
        <f t="shared" si="789"/>
        <v>1</v>
      </c>
      <c r="O394" s="62">
        <f t="shared" si="789"/>
        <v>1</v>
      </c>
      <c r="P394" s="62" t="str">
        <f t="shared" si="789"/>
        <v/>
      </c>
      <c r="Q394" s="62" t="str">
        <f t="shared" si="789"/>
        <v/>
      </c>
      <c r="R394" s="62">
        <f t="shared" si="7"/>
        <v>0</v>
      </c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</row>
    <row r="395" hidden="1">
      <c r="A395" s="60">
        <f>IFERROR(__xludf.DUMMYFUNCTION("""COMPUTED_VALUE"""),8269.0)</f>
        <v>8269</v>
      </c>
      <c r="B395" s="60" t="str">
        <f>IFERROR(__xludf.DUMMYFUNCTION("""COMPUTED_VALUE"""),"Lewis, Marcedes")</f>
        <v>Lewis, Marcedes</v>
      </c>
      <c r="C395" s="60" t="str">
        <f>IFERROR(__xludf.DUMMYFUNCTION("""COMPUTED_VALUE"""),"TE")</f>
        <v>TE</v>
      </c>
      <c r="D395" s="60" t="str">
        <f>IFERROR(__xludf.DUMMYFUNCTION("""COMPUTED_VALUE"""),"DEN")</f>
        <v>DEN</v>
      </c>
      <c r="E395" s="62" t="str">
        <f t="shared" si="4"/>
        <v>Marcedes Lewis</v>
      </c>
      <c r="F395" s="62">
        <f t="shared" ref="F395:G395" si="790">IF(isblank(F$1),,IF(isblank($A395),,IFERROR(vlookup($A395,indirect("'TVC-"&amp;text(month(F$1),"00")&amp;"'!$A:$D"),4,false),1)))</f>
        <v>1</v>
      </c>
      <c r="G395" s="62">
        <f t="shared" si="790"/>
        <v>1</v>
      </c>
      <c r="H395" s="62">
        <f t="shared" ref="H395:Q395" si="791">IF(isblank(H$1),,IFERROR(vlookup($A395,indirect("'TVC-"&amp;text(month(H$1),"00")&amp;"'!$A:$D"),4,false),1))</f>
        <v>1</v>
      </c>
      <c r="I395" s="62">
        <f t="shared" si="791"/>
        <v>1</v>
      </c>
      <c r="J395" s="62">
        <f t="shared" si="791"/>
        <v>1</v>
      </c>
      <c r="K395" s="62">
        <f t="shared" si="791"/>
        <v>1</v>
      </c>
      <c r="L395" s="62">
        <f t="shared" si="791"/>
        <v>1</v>
      </c>
      <c r="M395" s="62">
        <f t="shared" si="791"/>
        <v>1</v>
      </c>
      <c r="N395" s="62">
        <f t="shared" si="791"/>
        <v>1</v>
      </c>
      <c r="O395" s="62">
        <f t="shared" si="791"/>
        <v>1</v>
      </c>
      <c r="P395" s="62" t="str">
        <f t="shared" si="791"/>
        <v/>
      </c>
      <c r="Q395" s="62" t="str">
        <f t="shared" si="791"/>
        <v/>
      </c>
      <c r="R395" s="62">
        <f t="shared" si="7"/>
        <v>0</v>
      </c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</row>
    <row r="396" hidden="1">
      <c r="A396" s="60">
        <f>IFERROR(__xludf.DUMMYFUNCTION("""COMPUTED_VALUE"""),8274.0)</f>
        <v>8274</v>
      </c>
      <c r="B396" s="60" t="str">
        <f>IFERROR(__xludf.DUMMYFUNCTION("""COMPUTED_VALUE"""),"Ryans, DeMeco")</f>
        <v>Ryans, DeMeco</v>
      </c>
      <c r="C396" s="60" t="str">
        <f>IFERROR(__xludf.DUMMYFUNCTION("""COMPUTED_VALUE"""),"Coach")</f>
        <v>Coach</v>
      </c>
      <c r="D396" s="60" t="str">
        <f>IFERROR(__xludf.DUMMYFUNCTION("""COMPUTED_VALUE"""),"HOU")</f>
        <v>HOU</v>
      </c>
      <c r="E396" s="62" t="str">
        <f t="shared" si="4"/>
        <v>DeMeco Ryans</v>
      </c>
      <c r="F396" s="62">
        <f t="shared" ref="F396:G396" si="792">IF(isblank(F$1),,IF(isblank($A396),,IFERROR(vlookup($A396,indirect("'TVC-"&amp;text(month(F$1),"00")&amp;"'!$A:$D"),4,false),1)))</f>
        <v>1</v>
      </c>
      <c r="G396" s="62">
        <f t="shared" si="792"/>
        <v>1</v>
      </c>
      <c r="H396" s="62">
        <f t="shared" ref="H396:Q396" si="793">IF(isblank(H$1),,IFERROR(vlookup($A396,indirect("'TVC-"&amp;text(month(H$1),"00")&amp;"'!$A:$D"),4,false),1))</f>
        <v>1</v>
      </c>
      <c r="I396" s="62">
        <f t="shared" si="793"/>
        <v>1</v>
      </c>
      <c r="J396" s="62">
        <f t="shared" si="793"/>
        <v>1</v>
      </c>
      <c r="K396" s="62">
        <f t="shared" si="793"/>
        <v>1</v>
      </c>
      <c r="L396" s="62">
        <f t="shared" si="793"/>
        <v>1</v>
      </c>
      <c r="M396" s="62">
        <f t="shared" si="793"/>
        <v>1</v>
      </c>
      <c r="N396" s="62">
        <f t="shared" si="793"/>
        <v>1</v>
      </c>
      <c r="O396" s="62">
        <f t="shared" si="793"/>
        <v>1</v>
      </c>
      <c r="P396" s="62" t="str">
        <f t="shared" si="793"/>
        <v/>
      </c>
      <c r="Q396" s="62" t="str">
        <f t="shared" si="793"/>
        <v/>
      </c>
      <c r="R396" s="62">
        <f t="shared" si="7"/>
        <v>0</v>
      </c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</row>
    <row r="397" hidden="1">
      <c r="A397" s="60">
        <f>IFERROR(__xludf.DUMMYFUNCTION("""COMPUTED_VALUE"""),8851.0)</f>
        <v>8851</v>
      </c>
      <c r="B397" s="60" t="str">
        <f>IFERROR(__xludf.DUMMYFUNCTION("""COMPUTED_VALUE"""),"Folk, Nick")</f>
        <v>Folk, Nick</v>
      </c>
      <c r="C397" s="60" t="str">
        <f>IFERROR(__xludf.DUMMYFUNCTION("""COMPUTED_VALUE"""),"PK")</f>
        <v>PK</v>
      </c>
      <c r="D397" s="60" t="str">
        <f>IFERROR(__xludf.DUMMYFUNCTION("""COMPUTED_VALUE"""),"ATL")</f>
        <v>ATL</v>
      </c>
      <c r="E397" s="62" t="str">
        <f t="shared" si="4"/>
        <v>Nick Folk</v>
      </c>
      <c r="F397" s="62">
        <f t="shared" ref="F397:G397" si="794">IF(isblank(F$1),,IF(isblank($A397),,IFERROR(vlookup($A397,indirect("'TVC-"&amp;text(month(F$1),"00")&amp;"'!$A:$D"),4,false),1)))</f>
        <v>1</v>
      </c>
      <c r="G397" s="62">
        <f t="shared" si="794"/>
        <v>1</v>
      </c>
      <c r="H397" s="62">
        <f t="shared" ref="H397:Q397" si="795">IF(isblank(H$1),,IFERROR(vlookup($A397,indirect("'TVC-"&amp;text(month(H$1),"00")&amp;"'!$A:$D"),4,false),1))</f>
        <v>1</v>
      </c>
      <c r="I397" s="62">
        <f t="shared" si="795"/>
        <v>1</v>
      </c>
      <c r="J397" s="62">
        <f t="shared" si="795"/>
        <v>1</v>
      </c>
      <c r="K397" s="62">
        <f t="shared" si="795"/>
        <v>1</v>
      </c>
      <c r="L397" s="62">
        <f t="shared" si="795"/>
        <v>1</v>
      </c>
      <c r="M397" s="62">
        <f t="shared" si="795"/>
        <v>1</v>
      </c>
      <c r="N397" s="62">
        <f t="shared" si="795"/>
        <v>1</v>
      </c>
      <c r="O397" s="62">
        <f t="shared" si="795"/>
        <v>1</v>
      </c>
      <c r="P397" s="62" t="str">
        <f t="shared" si="795"/>
        <v/>
      </c>
      <c r="Q397" s="62" t="str">
        <f t="shared" si="795"/>
        <v/>
      </c>
      <c r="R397" s="62">
        <f t="shared" si="7"/>
        <v>0</v>
      </c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</row>
    <row r="398" hidden="1">
      <c r="A398" s="60">
        <f>IFERROR(__xludf.DUMMYFUNCTION("""COMPUTED_VALUE"""),8930.0)</f>
        <v>8930</v>
      </c>
      <c r="B398" s="60" t="str">
        <f>IFERROR(__xludf.DUMMYFUNCTION("""COMPUTED_VALUE"""),"Prater, Matt")</f>
        <v>Prater, Matt</v>
      </c>
      <c r="C398" s="60" t="str">
        <f>IFERROR(__xludf.DUMMYFUNCTION("""COMPUTED_VALUE"""),"PK")</f>
        <v>PK</v>
      </c>
      <c r="D398" s="60" t="str">
        <f>IFERROR(__xludf.DUMMYFUNCTION("""COMPUTED_VALUE"""),"FA")</f>
        <v>FA</v>
      </c>
      <c r="E398" s="62" t="str">
        <f t="shared" si="4"/>
        <v>Matt Prater</v>
      </c>
      <c r="F398" s="62">
        <f t="shared" ref="F398:G398" si="796">IF(isblank(F$1),,IF(isblank($A398),,IFERROR(vlookup($A398,indirect("'TVC-"&amp;text(month(F$1),"00")&amp;"'!$A:$D"),4,false),1)))</f>
        <v>1</v>
      </c>
      <c r="G398" s="62">
        <f t="shared" si="796"/>
        <v>1</v>
      </c>
      <c r="H398" s="62">
        <f t="shared" ref="H398:Q398" si="797">IF(isblank(H$1),,IFERROR(vlookup($A398,indirect("'TVC-"&amp;text(month(H$1),"00")&amp;"'!$A:$D"),4,false),1))</f>
        <v>1</v>
      </c>
      <c r="I398" s="62">
        <f t="shared" si="797"/>
        <v>1</v>
      </c>
      <c r="J398" s="62">
        <f t="shared" si="797"/>
        <v>1</v>
      </c>
      <c r="K398" s="62">
        <f t="shared" si="797"/>
        <v>1</v>
      </c>
      <c r="L398" s="62">
        <f t="shared" si="797"/>
        <v>1</v>
      </c>
      <c r="M398" s="62">
        <f t="shared" si="797"/>
        <v>1</v>
      </c>
      <c r="N398" s="62">
        <f t="shared" si="797"/>
        <v>1</v>
      </c>
      <c r="O398" s="62">
        <f t="shared" si="797"/>
        <v>1</v>
      </c>
      <c r="P398" s="62" t="str">
        <f t="shared" si="797"/>
        <v/>
      </c>
      <c r="Q398" s="62" t="str">
        <f t="shared" si="797"/>
        <v/>
      </c>
      <c r="R398" s="62">
        <f t="shared" si="7"/>
        <v>0</v>
      </c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</row>
    <row r="399" hidden="1">
      <c r="A399" s="60">
        <f>IFERROR(__xludf.DUMMYFUNCTION("""COMPUTED_VALUE"""),9051.0)</f>
        <v>9051</v>
      </c>
      <c r="B399" s="60" t="str">
        <f>IFERROR(__xludf.DUMMYFUNCTION("""COMPUTED_VALUE"""),"Campbell, Calais")</f>
        <v>Campbell, Calais</v>
      </c>
      <c r="C399" s="60" t="str">
        <f>IFERROR(__xludf.DUMMYFUNCTION("""COMPUTED_VALUE"""),"DT")</f>
        <v>DT</v>
      </c>
      <c r="D399" s="60" t="str">
        <f>IFERROR(__xludf.DUMMYFUNCTION("""COMPUTED_VALUE"""),"BAL")</f>
        <v>BAL</v>
      </c>
      <c r="E399" s="62" t="str">
        <f t="shared" si="4"/>
        <v>Calais Campbell</v>
      </c>
      <c r="F399" s="62">
        <f t="shared" ref="F399:G399" si="798">IF(isblank(F$1),,IF(isblank($A399),,IFERROR(vlookup($A399,indirect("'TVC-"&amp;text(month(F$1),"00")&amp;"'!$A:$D"),4,false),1)))</f>
        <v>1</v>
      </c>
      <c r="G399" s="62">
        <f t="shared" si="798"/>
        <v>1</v>
      </c>
      <c r="H399" s="62">
        <f t="shared" ref="H399:Q399" si="799">IF(isblank(H$1),,IFERROR(vlookup($A399,indirect("'TVC-"&amp;text(month(H$1),"00")&amp;"'!$A:$D"),4,false),1))</f>
        <v>1</v>
      </c>
      <c r="I399" s="62">
        <f t="shared" si="799"/>
        <v>1</v>
      </c>
      <c r="J399" s="62">
        <f t="shared" si="799"/>
        <v>1</v>
      </c>
      <c r="K399" s="62">
        <f t="shared" si="799"/>
        <v>1</v>
      </c>
      <c r="L399" s="62">
        <f t="shared" si="799"/>
        <v>1</v>
      </c>
      <c r="M399" s="62">
        <f t="shared" si="799"/>
        <v>1</v>
      </c>
      <c r="N399" s="62">
        <f t="shared" si="799"/>
        <v>1</v>
      </c>
      <c r="O399" s="62">
        <f t="shared" si="799"/>
        <v>1</v>
      </c>
      <c r="P399" s="62" t="str">
        <f t="shared" si="799"/>
        <v/>
      </c>
      <c r="Q399" s="62" t="str">
        <f t="shared" si="799"/>
        <v/>
      </c>
      <c r="R399" s="62">
        <f t="shared" si="7"/>
        <v>0</v>
      </c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</row>
    <row r="400">
      <c r="A400" s="60">
        <f>IFERROR(__xludf.DUMMYFUNCTION("""COMPUTED_VALUE"""),9064.0)</f>
        <v>9064</v>
      </c>
      <c r="B400" s="60" t="str">
        <f>IFERROR(__xludf.DUMMYFUNCTION("""COMPUTED_VALUE"""),"Flacco, Joe")</f>
        <v>Flacco, Joe</v>
      </c>
      <c r="C400" s="60" t="str">
        <f>IFERROR(__xludf.DUMMYFUNCTION("""COMPUTED_VALUE"""),"QB")</f>
        <v>QB</v>
      </c>
      <c r="D400" s="60" t="str">
        <f>IFERROR(__xludf.DUMMYFUNCTION("""COMPUTED_VALUE"""),"CIN")</f>
        <v>CIN</v>
      </c>
      <c r="E400" s="62" t="str">
        <f t="shared" si="4"/>
        <v>Joe Flacco</v>
      </c>
      <c r="F400" s="62">
        <f t="shared" ref="F400:G400" si="800">IF(isblank(F$1),,IF(isblank($A400),,IFERROR(vlookup($A400,indirect("'TVC-"&amp;text(month(F$1),"00")&amp;"'!$A:$D"),4,false),1)))</f>
        <v>1068</v>
      </c>
      <c r="G400" s="62">
        <f t="shared" si="800"/>
        <v>950</v>
      </c>
      <c r="H400" s="62">
        <f t="shared" ref="H400:Q400" si="801">IF(isblank(H$1),,IFERROR(vlookup($A400,indirect("'TVC-"&amp;text(month(H$1),"00")&amp;"'!$A:$D"),4,false),1))</f>
        <v>984</v>
      </c>
      <c r="I400" s="62">
        <f t="shared" si="801"/>
        <v>1081</v>
      </c>
      <c r="J400" s="62">
        <f t="shared" si="801"/>
        <v>1218</v>
      </c>
      <c r="K400" s="62">
        <f t="shared" si="801"/>
        <v>1089</v>
      </c>
      <c r="L400" s="62">
        <f t="shared" si="801"/>
        <v>1126</v>
      </c>
      <c r="M400" s="62">
        <f t="shared" si="801"/>
        <v>1025</v>
      </c>
      <c r="N400" s="62">
        <f t="shared" si="801"/>
        <v>827</v>
      </c>
      <c r="O400" s="62">
        <f t="shared" si="801"/>
        <v>1</v>
      </c>
      <c r="P400" s="62" t="str">
        <f t="shared" si="801"/>
        <v/>
      </c>
      <c r="Q400" s="62" t="str">
        <f t="shared" si="801"/>
        <v/>
      </c>
      <c r="R400" s="62">
        <f t="shared" si="7"/>
        <v>-826</v>
      </c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</row>
    <row r="401" hidden="1">
      <c r="A401" s="60">
        <f>IFERROR(__xludf.DUMMYFUNCTION("""COMPUTED_VALUE"""),9151.0)</f>
        <v>9151</v>
      </c>
      <c r="B401" s="60" t="str">
        <f>IFERROR(__xludf.DUMMYFUNCTION("""COMPUTED_VALUE"""),"O'Connell, Kevin")</f>
        <v>O'Connell, Kevin</v>
      </c>
      <c r="C401" s="60" t="str">
        <f>IFERROR(__xludf.DUMMYFUNCTION("""COMPUTED_VALUE"""),"Coach")</f>
        <v>Coach</v>
      </c>
      <c r="D401" s="60" t="str">
        <f>IFERROR(__xludf.DUMMYFUNCTION("""COMPUTED_VALUE"""),"MIN")</f>
        <v>MIN</v>
      </c>
      <c r="E401" s="62" t="str">
        <f t="shared" si="4"/>
        <v>Kevin O'Connell</v>
      </c>
      <c r="F401" s="62">
        <f t="shared" ref="F401:G401" si="802">IF(isblank(F$1),,IF(isblank($A401),,IFERROR(vlookup($A401,indirect("'TVC-"&amp;text(month(F$1),"00")&amp;"'!$A:$D"),4,false),1)))</f>
        <v>1</v>
      </c>
      <c r="G401" s="62">
        <f t="shared" si="802"/>
        <v>1</v>
      </c>
      <c r="H401" s="62">
        <f t="shared" ref="H401:Q401" si="803">IF(isblank(H$1),,IFERROR(vlookup($A401,indirect("'TVC-"&amp;text(month(H$1),"00")&amp;"'!$A:$D"),4,false),1))</f>
        <v>1</v>
      </c>
      <c r="I401" s="62">
        <f t="shared" si="803"/>
        <v>1</v>
      </c>
      <c r="J401" s="62">
        <f t="shared" si="803"/>
        <v>1</v>
      </c>
      <c r="K401" s="62">
        <f t="shared" si="803"/>
        <v>1</v>
      </c>
      <c r="L401" s="62">
        <f t="shared" si="803"/>
        <v>1</v>
      </c>
      <c r="M401" s="62">
        <f t="shared" si="803"/>
        <v>1</v>
      </c>
      <c r="N401" s="62">
        <f t="shared" si="803"/>
        <v>1</v>
      </c>
      <c r="O401" s="62">
        <f t="shared" si="803"/>
        <v>1</v>
      </c>
      <c r="P401" s="62" t="str">
        <f t="shared" si="803"/>
        <v/>
      </c>
      <c r="Q401" s="62" t="str">
        <f t="shared" si="803"/>
        <v/>
      </c>
      <c r="R401" s="62">
        <f t="shared" si="7"/>
        <v>0</v>
      </c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</row>
    <row r="402" hidden="1">
      <c r="A402" s="60">
        <f>IFERROR(__xludf.DUMMYFUNCTION("""COMPUTED_VALUE"""),9207.0)</f>
        <v>9207</v>
      </c>
      <c r="B402" s="60" t="str">
        <f>IFERROR(__xludf.DUMMYFUNCTION("""COMPUTED_VALUE"""),"Johnson, Josh")</f>
        <v>Johnson, Josh</v>
      </c>
      <c r="C402" s="60" t="str">
        <f>IFERROR(__xludf.DUMMYFUNCTION("""COMPUTED_VALUE"""),"QB")</f>
        <v>QB</v>
      </c>
      <c r="D402" s="60" t="str">
        <f>IFERROR(__xludf.DUMMYFUNCTION("""COMPUTED_VALUE"""),"CIN")</f>
        <v>CIN</v>
      </c>
      <c r="E402" s="62" t="str">
        <f t="shared" si="4"/>
        <v>Josh Johnson</v>
      </c>
      <c r="F402" s="62">
        <f t="shared" ref="F402:G402" si="804">IF(isblank(F$1),,IF(isblank($A402),,IFERROR(vlookup($A402,indirect("'TVC-"&amp;text(month(F$1),"00")&amp;"'!$A:$D"),4,false),1)))</f>
        <v>1</v>
      </c>
      <c r="G402" s="62">
        <f t="shared" si="804"/>
        <v>1</v>
      </c>
      <c r="H402" s="62">
        <f t="shared" ref="H402:Q402" si="805">IF(isblank(H$1),,IFERROR(vlookup($A402,indirect("'TVC-"&amp;text(month(H$1),"00")&amp;"'!$A:$D"),4,false),1))</f>
        <v>1</v>
      </c>
      <c r="I402" s="62">
        <f t="shared" si="805"/>
        <v>1</v>
      </c>
      <c r="J402" s="62">
        <f t="shared" si="805"/>
        <v>1</v>
      </c>
      <c r="K402" s="62">
        <f t="shared" si="805"/>
        <v>1</v>
      </c>
      <c r="L402" s="62">
        <f t="shared" si="805"/>
        <v>1</v>
      </c>
      <c r="M402" s="62">
        <f t="shared" si="805"/>
        <v>1</v>
      </c>
      <c r="N402" s="62">
        <f t="shared" si="805"/>
        <v>1</v>
      </c>
      <c r="O402" s="62">
        <f t="shared" si="805"/>
        <v>1</v>
      </c>
      <c r="P402" s="62" t="str">
        <f t="shared" si="805"/>
        <v/>
      </c>
      <c r="Q402" s="62" t="str">
        <f t="shared" si="805"/>
        <v/>
      </c>
      <c r="R402" s="62">
        <f t="shared" si="7"/>
        <v>0</v>
      </c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</row>
    <row r="403" hidden="1">
      <c r="A403" s="60">
        <f>IFERROR(__xludf.DUMMYFUNCTION("""COMPUTED_VALUE"""),9298.0)</f>
        <v>9298</v>
      </c>
      <c r="B403" s="60" t="str">
        <f>IFERROR(__xludf.DUMMYFUNCTION("""COMPUTED_VALUE"""),"Harbaugh, John")</f>
        <v>Harbaugh, John</v>
      </c>
      <c r="C403" s="60" t="str">
        <f>IFERROR(__xludf.DUMMYFUNCTION("""COMPUTED_VALUE"""),"Coach")</f>
        <v>Coach</v>
      </c>
      <c r="D403" s="60" t="str">
        <f>IFERROR(__xludf.DUMMYFUNCTION("""COMPUTED_VALUE"""),"NYG")</f>
        <v>NYG</v>
      </c>
      <c r="E403" s="62" t="str">
        <f t="shared" si="4"/>
        <v>John Harbaugh</v>
      </c>
      <c r="F403" s="62">
        <f t="shared" ref="F403:G403" si="806">IF(isblank(F$1),,IF(isblank($A403),,IFERROR(vlookup($A403,indirect("'TVC-"&amp;text(month(F$1),"00")&amp;"'!$A:$D"),4,false),1)))</f>
        <v>1</v>
      </c>
      <c r="G403" s="62">
        <f t="shared" si="806"/>
        <v>1</v>
      </c>
      <c r="H403" s="62">
        <f t="shared" ref="H403:Q403" si="807">IF(isblank(H$1),,IFERROR(vlookup($A403,indirect("'TVC-"&amp;text(month(H$1),"00")&amp;"'!$A:$D"),4,false),1))</f>
        <v>1</v>
      </c>
      <c r="I403" s="62">
        <f t="shared" si="807"/>
        <v>1</v>
      </c>
      <c r="J403" s="62">
        <f t="shared" si="807"/>
        <v>1</v>
      </c>
      <c r="K403" s="62">
        <f t="shared" si="807"/>
        <v>1</v>
      </c>
      <c r="L403" s="62">
        <f t="shared" si="807"/>
        <v>1</v>
      </c>
      <c r="M403" s="62">
        <f t="shared" si="807"/>
        <v>1</v>
      </c>
      <c r="N403" s="62">
        <f t="shared" si="807"/>
        <v>1</v>
      </c>
      <c r="O403" s="62">
        <f t="shared" si="807"/>
        <v>1</v>
      </c>
      <c r="P403" s="62" t="str">
        <f t="shared" si="807"/>
        <v/>
      </c>
      <c r="Q403" s="62" t="str">
        <f t="shared" si="807"/>
        <v/>
      </c>
      <c r="R403" s="62">
        <f t="shared" si="7"/>
        <v>0</v>
      </c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</row>
    <row r="404">
      <c r="A404" s="60">
        <f>IFERROR(__xludf.DUMMYFUNCTION("""COMPUTED_VALUE"""),9431.0)</f>
        <v>9431</v>
      </c>
      <c r="B404" s="60" t="str">
        <f>IFERROR(__xludf.DUMMYFUNCTION("""COMPUTED_VALUE"""),"Stafford, Matthew")</f>
        <v>Stafford, Matthew</v>
      </c>
      <c r="C404" s="60" t="str">
        <f>IFERROR(__xludf.DUMMYFUNCTION("""COMPUTED_VALUE"""),"QB")</f>
        <v>QB</v>
      </c>
      <c r="D404" s="60" t="str">
        <f>IFERROR(__xludf.DUMMYFUNCTION("""COMPUTED_VALUE"""),"LAR")</f>
        <v>LAR</v>
      </c>
      <c r="E404" s="62" t="str">
        <f t="shared" si="4"/>
        <v>Matthew Stafford</v>
      </c>
      <c r="F404" s="62">
        <f t="shared" ref="F404:G404" si="808">IF(isblank(F$1),,IF(isblank($A404),,IFERROR(vlookup($A404,indirect("'TVC-"&amp;text(month(F$1),"00")&amp;"'!$A:$D"),4,false),1)))</f>
        <v>3797</v>
      </c>
      <c r="G404" s="62">
        <f t="shared" si="808"/>
        <v>3717</v>
      </c>
      <c r="H404" s="62">
        <f t="shared" ref="H404:Q404" si="809">IF(isblank(H$1),,IFERROR(vlookup($A404,indirect("'TVC-"&amp;text(month(H$1),"00")&amp;"'!$A:$D"),4,false),1))</f>
        <v>3697</v>
      </c>
      <c r="I404" s="62">
        <f t="shared" si="809"/>
        <v>3747</v>
      </c>
      <c r="J404" s="62">
        <f t="shared" si="809"/>
        <v>3703</v>
      </c>
      <c r="K404" s="62">
        <f t="shared" si="809"/>
        <v>3737</v>
      </c>
      <c r="L404" s="62">
        <f t="shared" si="809"/>
        <v>3807</v>
      </c>
      <c r="M404" s="62">
        <f t="shared" si="809"/>
        <v>3878</v>
      </c>
      <c r="N404" s="62">
        <f t="shared" si="809"/>
        <v>3735</v>
      </c>
      <c r="O404" s="62">
        <f t="shared" si="809"/>
        <v>1</v>
      </c>
      <c r="P404" s="62" t="str">
        <f t="shared" si="809"/>
        <v/>
      </c>
      <c r="Q404" s="62" t="str">
        <f t="shared" si="809"/>
        <v/>
      </c>
      <c r="R404" s="62">
        <f t="shared" si="7"/>
        <v>-3734</v>
      </c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</row>
    <row r="405" hidden="1">
      <c r="A405" s="60">
        <f>IFERROR(__xludf.DUMMYFUNCTION("""COMPUTED_VALUE"""),9596.0)</f>
        <v>9596</v>
      </c>
      <c r="B405" s="60" t="str">
        <f>IFERROR(__xludf.DUMMYFUNCTION("""COMPUTED_VALUE"""),"Morstead, Thomas")</f>
        <v>Morstead, Thomas</v>
      </c>
      <c r="C405" s="60" t="str">
        <f>IFERROR(__xludf.DUMMYFUNCTION("""COMPUTED_VALUE"""),"PN")</f>
        <v>PN</v>
      </c>
      <c r="D405" s="60" t="str">
        <f>IFERROR(__xludf.DUMMYFUNCTION("""COMPUTED_VALUE"""),"SFO")</f>
        <v>SFO</v>
      </c>
      <c r="E405" s="62" t="str">
        <f t="shared" si="4"/>
        <v>Thomas Morstead</v>
      </c>
      <c r="F405" s="62">
        <f t="shared" ref="F405:G405" si="810">IF(isblank(F$1),,IF(isblank($A405),,IFERROR(vlookup($A405,indirect("'TVC-"&amp;text(month(F$1),"00")&amp;"'!$A:$D"),4,false),1)))</f>
        <v>1</v>
      </c>
      <c r="G405" s="62">
        <f t="shared" si="810"/>
        <v>1</v>
      </c>
      <c r="H405" s="62">
        <f t="shared" ref="H405:Q405" si="811">IF(isblank(H$1),,IFERROR(vlookup($A405,indirect("'TVC-"&amp;text(month(H$1),"00")&amp;"'!$A:$D"),4,false),1))</f>
        <v>1</v>
      </c>
      <c r="I405" s="62">
        <f t="shared" si="811"/>
        <v>1</v>
      </c>
      <c r="J405" s="62">
        <f t="shared" si="811"/>
        <v>1</v>
      </c>
      <c r="K405" s="62">
        <f t="shared" si="811"/>
        <v>1</v>
      </c>
      <c r="L405" s="62">
        <f t="shared" si="811"/>
        <v>1</v>
      </c>
      <c r="M405" s="62">
        <f t="shared" si="811"/>
        <v>1</v>
      </c>
      <c r="N405" s="62">
        <f t="shared" si="811"/>
        <v>1</v>
      </c>
      <c r="O405" s="62">
        <f t="shared" si="811"/>
        <v>1</v>
      </c>
      <c r="P405" s="62" t="str">
        <f t="shared" si="811"/>
        <v/>
      </c>
      <c r="Q405" s="62" t="str">
        <f t="shared" si="811"/>
        <v/>
      </c>
      <c r="R405" s="62">
        <f t="shared" si="7"/>
        <v>0</v>
      </c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</row>
    <row r="406" hidden="1">
      <c r="A406" s="60">
        <f>IFERROR(__xludf.DUMMYFUNCTION("""COMPUTED_VALUE"""),9694.0)</f>
        <v>9694</v>
      </c>
      <c r="B406" s="60" t="str">
        <f>IFERROR(__xludf.DUMMYFUNCTION("""COMPUTED_VALUE"""),"Gano, Graham")</f>
        <v>Gano, Graham</v>
      </c>
      <c r="C406" s="60" t="str">
        <f>IFERROR(__xludf.DUMMYFUNCTION("""COMPUTED_VALUE"""),"PK")</f>
        <v>PK</v>
      </c>
      <c r="D406" s="60" t="str">
        <f>IFERROR(__xludf.DUMMYFUNCTION("""COMPUTED_VALUE"""),"FA")</f>
        <v>FA</v>
      </c>
      <c r="E406" s="62" t="str">
        <f t="shared" si="4"/>
        <v>Graham Gano</v>
      </c>
      <c r="F406" s="62">
        <f t="shared" ref="F406:G406" si="812">IF(isblank(F$1),,IF(isblank($A406),,IFERROR(vlookup($A406,indirect("'TVC-"&amp;text(month(F$1),"00")&amp;"'!$A:$D"),4,false),1)))</f>
        <v>1</v>
      </c>
      <c r="G406" s="62">
        <f t="shared" si="812"/>
        <v>1</v>
      </c>
      <c r="H406" s="62">
        <f t="shared" ref="H406:Q406" si="813">IF(isblank(H$1),,IFERROR(vlookup($A406,indirect("'TVC-"&amp;text(month(H$1),"00")&amp;"'!$A:$D"),4,false),1))</f>
        <v>1</v>
      </c>
      <c r="I406" s="62">
        <f t="shared" si="813"/>
        <v>1</v>
      </c>
      <c r="J406" s="62">
        <f t="shared" si="813"/>
        <v>1</v>
      </c>
      <c r="K406" s="62">
        <f t="shared" si="813"/>
        <v>1</v>
      </c>
      <c r="L406" s="62">
        <f t="shared" si="813"/>
        <v>1</v>
      </c>
      <c r="M406" s="62">
        <f t="shared" si="813"/>
        <v>1</v>
      </c>
      <c r="N406" s="62">
        <f t="shared" si="813"/>
        <v>1</v>
      </c>
      <c r="O406" s="62">
        <f t="shared" si="813"/>
        <v>1</v>
      </c>
      <c r="P406" s="62" t="str">
        <f t="shared" si="813"/>
        <v/>
      </c>
      <c r="Q406" s="62" t="str">
        <f t="shared" si="813"/>
        <v/>
      </c>
      <c r="R406" s="62">
        <f t="shared" si="7"/>
        <v>0</v>
      </c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</row>
    <row r="407" hidden="1">
      <c r="A407" s="60">
        <f>IFERROR(__xludf.DUMMYFUNCTION("""COMPUTED_VALUE"""),9826.0)</f>
        <v>9826</v>
      </c>
      <c r="B407" s="60" t="str">
        <f>IFERROR(__xludf.DUMMYFUNCTION("""COMPUTED_VALUE"""),"Graham, Brandon")</f>
        <v>Graham, Brandon</v>
      </c>
      <c r="C407" s="60" t="str">
        <f>IFERROR(__xludf.DUMMYFUNCTION("""COMPUTED_VALUE"""),"DE")</f>
        <v>DE</v>
      </c>
      <c r="D407" s="60" t="str">
        <f>IFERROR(__xludf.DUMMYFUNCTION("""COMPUTED_VALUE"""),"FA")</f>
        <v>FA</v>
      </c>
      <c r="E407" s="62" t="str">
        <f t="shared" si="4"/>
        <v>Brandon Graham</v>
      </c>
      <c r="F407" s="62">
        <f t="shared" ref="F407:G407" si="814">IF(isblank(F$1),,IF(isblank($A407),,IFERROR(vlookup($A407,indirect("'TVC-"&amp;text(month(F$1),"00")&amp;"'!$A:$D"),4,false),1)))</f>
        <v>1</v>
      </c>
      <c r="G407" s="62">
        <f t="shared" si="814"/>
        <v>1</v>
      </c>
      <c r="H407" s="62">
        <f t="shared" ref="H407:Q407" si="815">IF(isblank(H$1),,IFERROR(vlookup($A407,indirect("'TVC-"&amp;text(month(H$1),"00")&amp;"'!$A:$D"),4,false),1))</f>
        <v>1</v>
      </c>
      <c r="I407" s="62">
        <f t="shared" si="815"/>
        <v>1</v>
      </c>
      <c r="J407" s="62">
        <f t="shared" si="815"/>
        <v>1</v>
      </c>
      <c r="K407" s="62">
        <f t="shared" si="815"/>
        <v>1</v>
      </c>
      <c r="L407" s="62">
        <f t="shared" si="815"/>
        <v>1</v>
      </c>
      <c r="M407" s="62">
        <f t="shared" si="815"/>
        <v>1</v>
      </c>
      <c r="N407" s="62">
        <f t="shared" si="815"/>
        <v>1</v>
      </c>
      <c r="O407" s="62">
        <f t="shared" si="815"/>
        <v>1</v>
      </c>
      <c r="P407" s="62" t="str">
        <f t="shared" si="815"/>
        <v/>
      </c>
      <c r="Q407" s="62" t="str">
        <f t="shared" si="815"/>
        <v/>
      </c>
      <c r="R407" s="62">
        <f t="shared" si="7"/>
        <v>0</v>
      </c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</row>
    <row r="408" hidden="1">
      <c r="A408" s="60">
        <f>IFERROR(__xludf.DUMMYFUNCTION("""COMPUTED_VALUE"""),10266.0)</f>
        <v>10266</v>
      </c>
      <c r="B408" s="60" t="str">
        <f>IFERROR(__xludf.DUMMYFUNCTION("""COMPUTED_VALUE"""),"Heyward, Cameron")</f>
        <v>Heyward, Cameron</v>
      </c>
      <c r="C408" s="60" t="str">
        <f>IFERROR(__xludf.DUMMYFUNCTION("""COMPUTED_VALUE"""),"DT")</f>
        <v>DT</v>
      </c>
      <c r="D408" s="60" t="str">
        <f>IFERROR(__xludf.DUMMYFUNCTION("""COMPUTED_VALUE"""),"PIT")</f>
        <v>PIT</v>
      </c>
      <c r="E408" s="62" t="str">
        <f t="shared" si="4"/>
        <v>Cameron Heyward</v>
      </c>
      <c r="F408" s="62">
        <f t="shared" ref="F408:G408" si="816">IF(isblank(F$1),,IF(isblank($A408),,IFERROR(vlookup($A408,indirect("'TVC-"&amp;text(month(F$1),"00")&amp;"'!$A:$D"),4,false),1)))</f>
        <v>1</v>
      </c>
      <c r="G408" s="62">
        <f t="shared" si="816"/>
        <v>1</v>
      </c>
      <c r="H408" s="62">
        <f t="shared" ref="H408:Q408" si="817">IF(isblank(H$1),,IFERROR(vlookup($A408,indirect("'TVC-"&amp;text(month(H$1),"00")&amp;"'!$A:$D"),4,false),1))</f>
        <v>1</v>
      </c>
      <c r="I408" s="62">
        <f t="shared" si="817"/>
        <v>1</v>
      </c>
      <c r="J408" s="62">
        <f t="shared" si="817"/>
        <v>1</v>
      </c>
      <c r="K408" s="62">
        <f t="shared" si="817"/>
        <v>1</v>
      </c>
      <c r="L408" s="62">
        <f t="shared" si="817"/>
        <v>1</v>
      </c>
      <c r="M408" s="62">
        <f t="shared" si="817"/>
        <v>1</v>
      </c>
      <c r="N408" s="62">
        <f t="shared" si="817"/>
        <v>1</v>
      </c>
      <c r="O408" s="62">
        <f t="shared" si="817"/>
        <v>1</v>
      </c>
      <c r="P408" s="62" t="str">
        <f t="shared" si="817"/>
        <v/>
      </c>
      <c r="Q408" s="62" t="str">
        <f t="shared" si="817"/>
        <v/>
      </c>
      <c r="R408" s="62">
        <f t="shared" si="7"/>
        <v>0</v>
      </c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</row>
    <row r="409" hidden="1">
      <c r="A409" s="60">
        <f>IFERROR(__xludf.DUMMYFUNCTION("""COMPUTED_VALUE"""),10267.0)</f>
        <v>10267</v>
      </c>
      <c r="B409" s="60" t="str">
        <f>IFERROR(__xludf.DUMMYFUNCTION("""COMPUTED_VALUE"""),"Miller, Von")</f>
        <v>Miller, Von</v>
      </c>
      <c r="C409" s="60" t="str">
        <f>IFERROR(__xludf.DUMMYFUNCTION("""COMPUTED_VALUE"""),"DE")</f>
        <v>DE</v>
      </c>
      <c r="D409" s="60" t="str">
        <f>IFERROR(__xludf.DUMMYFUNCTION("""COMPUTED_VALUE"""),"DAL")</f>
        <v>DAL</v>
      </c>
      <c r="E409" s="62" t="str">
        <f t="shared" si="4"/>
        <v>Von Miller</v>
      </c>
      <c r="F409" s="62">
        <f t="shared" ref="F409:G409" si="818">IF(isblank(F$1),,IF(isblank($A409),,IFERROR(vlookup($A409,indirect("'TVC-"&amp;text(month(F$1),"00")&amp;"'!$A:$D"),4,false),1)))</f>
        <v>1</v>
      </c>
      <c r="G409" s="62">
        <f t="shared" si="818"/>
        <v>1</v>
      </c>
      <c r="H409" s="62">
        <f t="shared" ref="H409:Q409" si="819">IF(isblank(H$1),,IFERROR(vlookup($A409,indirect("'TVC-"&amp;text(month(H$1),"00")&amp;"'!$A:$D"),4,false),1))</f>
        <v>1</v>
      </c>
      <c r="I409" s="62">
        <f t="shared" si="819"/>
        <v>1</v>
      </c>
      <c r="J409" s="62">
        <f t="shared" si="819"/>
        <v>1</v>
      </c>
      <c r="K409" s="62">
        <f t="shared" si="819"/>
        <v>1</v>
      </c>
      <c r="L409" s="62">
        <f t="shared" si="819"/>
        <v>1</v>
      </c>
      <c r="M409" s="62">
        <f t="shared" si="819"/>
        <v>1</v>
      </c>
      <c r="N409" s="62">
        <f t="shared" si="819"/>
        <v>1</v>
      </c>
      <c r="O409" s="62">
        <f t="shared" si="819"/>
        <v>1</v>
      </c>
      <c r="P409" s="62" t="str">
        <f t="shared" si="819"/>
        <v/>
      </c>
      <c r="Q409" s="62" t="str">
        <f t="shared" si="819"/>
        <v/>
      </c>
      <c r="R409" s="62">
        <f t="shared" si="7"/>
        <v>0</v>
      </c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</row>
    <row r="410" hidden="1">
      <c r="A410" s="60">
        <f>IFERROR(__xludf.DUMMYFUNCTION("""COMPUTED_VALUE"""),10292.0)</f>
        <v>10292</v>
      </c>
      <c r="B410" s="60" t="str">
        <f>IFERROR(__xludf.DUMMYFUNCTION("""COMPUTED_VALUE"""),"Jordan, Cameron")</f>
        <v>Jordan, Cameron</v>
      </c>
      <c r="C410" s="60" t="str">
        <f>IFERROR(__xludf.DUMMYFUNCTION("""COMPUTED_VALUE"""),"DE")</f>
        <v>DE</v>
      </c>
      <c r="D410" s="60" t="str">
        <f>IFERROR(__xludf.DUMMYFUNCTION("""COMPUTED_VALUE"""),"NOS")</f>
        <v>NOS</v>
      </c>
      <c r="E410" s="62" t="str">
        <f t="shared" si="4"/>
        <v>Cameron Jordan</v>
      </c>
      <c r="F410" s="62">
        <f t="shared" ref="F410:G410" si="820">IF(isblank(F$1),,IF(isblank($A410),,IFERROR(vlookup($A410,indirect("'TVC-"&amp;text(month(F$1),"00")&amp;"'!$A:$D"),4,false),1)))</f>
        <v>1</v>
      </c>
      <c r="G410" s="62">
        <f t="shared" si="820"/>
        <v>1</v>
      </c>
      <c r="H410" s="62">
        <f t="shared" ref="H410:Q410" si="821">IF(isblank(H$1),,IFERROR(vlookup($A410,indirect("'TVC-"&amp;text(month(H$1),"00")&amp;"'!$A:$D"),4,false),1))</f>
        <v>1</v>
      </c>
      <c r="I410" s="62">
        <f t="shared" si="821"/>
        <v>1</v>
      </c>
      <c r="J410" s="62">
        <f t="shared" si="821"/>
        <v>1</v>
      </c>
      <c r="K410" s="62">
        <f t="shared" si="821"/>
        <v>1</v>
      </c>
      <c r="L410" s="62">
        <f t="shared" si="821"/>
        <v>1</v>
      </c>
      <c r="M410" s="62">
        <f t="shared" si="821"/>
        <v>1</v>
      </c>
      <c r="N410" s="62">
        <f t="shared" si="821"/>
        <v>1</v>
      </c>
      <c r="O410" s="62">
        <f t="shared" si="821"/>
        <v>1</v>
      </c>
      <c r="P410" s="62" t="str">
        <f t="shared" si="821"/>
        <v/>
      </c>
      <c r="Q410" s="62" t="str">
        <f t="shared" si="821"/>
        <v/>
      </c>
      <c r="R410" s="62">
        <f t="shared" si="7"/>
        <v>0</v>
      </c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</row>
    <row r="411" hidden="1">
      <c r="A411" s="60">
        <f>IFERROR(__xludf.DUMMYFUNCTION("""COMPUTED_VALUE"""),10313.0)</f>
        <v>10313</v>
      </c>
      <c r="B411" s="60" t="str">
        <f>IFERROR(__xludf.DUMMYFUNCTION("""COMPUTED_VALUE"""),"Dalton, Andy")</f>
        <v>Dalton, Andy</v>
      </c>
      <c r="C411" s="60" t="str">
        <f>IFERROR(__xludf.DUMMYFUNCTION("""COMPUTED_VALUE"""),"QB")</f>
        <v>QB</v>
      </c>
      <c r="D411" s="60" t="str">
        <f>IFERROR(__xludf.DUMMYFUNCTION("""COMPUTED_VALUE"""),"FA")</f>
        <v>FA</v>
      </c>
      <c r="E411" s="62" t="str">
        <f t="shared" si="4"/>
        <v>Andy Dalton</v>
      </c>
      <c r="F411" s="62">
        <f t="shared" ref="F411:G411" si="822">IF(isblank(F$1),,IF(isblank($A411),,IFERROR(vlookup($A411,indirect("'TVC-"&amp;text(month(F$1),"00")&amp;"'!$A:$D"),4,false),1)))</f>
        <v>1</v>
      </c>
      <c r="G411" s="62">
        <f t="shared" si="822"/>
        <v>1</v>
      </c>
      <c r="H411" s="62">
        <f t="shared" ref="H411:Q411" si="823">IF(isblank(H$1),,IFERROR(vlookup($A411,indirect("'TVC-"&amp;text(month(H$1),"00")&amp;"'!$A:$D"),4,false),1))</f>
        <v>1</v>
      </c>
      <c r="I411" s="62">
        <f t="shared" si="823"/>
        <v>1</v>
      </c>
      <c r="J411" s="62">
        <f t="shared" si="823"/>
        <v>1</v>
      </c>
      <c r="K411" s="62">
        <f t="shared" si="823"/>
        <v>1</v>
      </c>
      <c r="L411" s="62">
        <f t="shared" si="823"/>
        <v>1</v>
      </c>
      <c r="M411" s="62">
        <f t="shared" si="823"/>
        <v>1</v>
      </c>
      <c r="N411" s="62">
        <f t="shared" si="823"/>
        <v>1</v>
      </c>
      <c r="O411" s="62">
        <f t="shared" si="823"/>
        <v>1</v>
      </c>
      <c r="P411" s="62" t="str">
        <f t="shared" si="823"/>
        <v/>
      </c>
      <c r="Q411" s="62" t="str">
        <f t="shared" si="823"/>
        <v/>
      </c>
      <c r="R411" s="62">
        <f t="shared" si="7"/>
        <v>0</v>
      </c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</row>
    <row r="412">
      <c r="A412" s="60">
        <f>IFERROR(__xludf.DUMMYFUNCTION("""COMPUTED_VALUE"""),10413.0)</f>
        <v>10413</v>
      </c>
      <c r="B412" s="60" t="str">
        <f>IFERROR(__xludf.DUMMYFUNCTION("""COMPUTED_VALUE"""),"Taylor, Tyrod")</f>
        <v>Taylor, Tyrod</v>
      </c>
      <c r="C412" s="60" t="str">
        <f>IFERROR(__xludf.DUMMYFUNCTION("""COMPUTED_VALUE"""),"QB")</f>
        <v>QB</v>
      </c>
      <c r="D412" s="60" t="str">
        <f>IFERROR(__xludf.DUMMYFUNCTION("""COMPUTED_VALUE"""),"GBP")</f>
        <v>GBP</v>
      </c>
      <c r="E412" s="62" t="str">
        <f t="shared" si="4"/>
        <v>Tyrod Taylor</v>
      </c>
      <c r="F412" s="62">
        <f t="shared" ref="F412:G412" si="824">IF(isblank(F$1),,IF(isblank($A412),,IFERROR(vlookup($A412,indirect("'TVC-"&amp;text(month(F$1),"00")&amp;"'!$A:$D"),4,false),1)))</f>
        <v>1006</v>
      </c>
      <c r="G412" s="62">
        <f t="shared" si="824"/>
        <v>808</v>
      </c>
      <c r="H412" s="62">
        <f t="shared" ref="H412:Q412" si="825">IF(isblank(H$1),,IFERROR(vlookup($A412,indirect("'TVC-"&amp;text(month(H$1),"00")&amp;"'!$A:$D"),4,false),1))</f>
        <v>823</v>
      </c>
      <c r="I412" s="62">
        <f t="shared" si="825"/>
        <v>705</v>
      </c>
      <c r="J412" s="62">
        <f t="shared" si="825"/>
        <v>1</v>
      </c>
      <c r="K412" s="62">
        <f t="shared" si="825"/>
        <v>494</v>
      </c>
      <c r="L412" s="62">
        <f t="shared" si="825"/>
        <v>488</v>
      </c>
      <c r="M412" s="62">
        <f t="shared" si="825"/>
        <v>482</v>
      </c>
      <c r="N412" s="62">
        <f t="shared" si="825"/>
        <v>1</v>
      </c>
      <c r="O412" s="62">
        <f t="shared" si="825"/>
        <v>1</v>
      </c>
      <c r="P412" s="62" t="str">
        <f t="shared" si="825"/>
        <v/>
      </c>
      <c r="Q412" s="62" t="str">
        <f t="shared" si="825"/>
        <v/>
      </c>
      <c r="R412" s="62">
        <f t="shared" si="7"/>
        <v>0</v>
      </c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</row>
    <row r="413" hidden="1">
      <c r="A413" s="60">
        <f>IFERROR(__xludf.DUMMYFUNCTION("""COMPUTED_VALUE"""),10514.0)</f>
        <v>10514</v>
      </c>
      <c r="B413" s="60" t="str">
        <f>IFERROR(__xludf.DUMMYFUNCTION("""COMPUTED_VALUE"""),"Bellore, Nick")</f>
        <v>Bellore, Nick</v>
      </c>
      <c r="C413" s="60" t="str">
        <f>IFERROR(__xludf.DUMMYFUNCTION("""COMPUTED_VALUE"""),"LB")</f>
        <v>LB</v>
      </c>
      <c r="D413" s="60" t="str">
        <f>IFERROR(__xludf.DUMMYFUNCTION("""COMPUTED_VALUE"""),"FA")</f>
        <v>FA</v>
      </c>
      <c r="E413" s="62" t="str">
        <f t="shared" si="4"/>
        <v>Nick Bellore</v>
      </c>
      <c r="F413" s="62">
        <f t="shared" ref="F413:G413" si="826">IF(isblank(F$1),,IF(isblank($A413),,IFERROR(vlookup($A413,indirect("'TVC-"&amp;text(month(F$1),"00")&amp;"'!$A:$D"),4,false),1)))</f>
        <v>1</v>
      </c>
      <c r="G413" s="62">
        <f t="shared" si="826"/>
        <v>1</v>
      </c>
      <c r="H413" s="62">
        <f t="shared" ref="H413:Q413" si="827">IF(isblank(H$1),,IFERROR(vlookup($A413,indirect("'TVC-"&amp;text(month(H$1),"00")&amp;"'!$A:$D"),4,false),1))</f>
        <v>1</v>
      </c>
      <c r="I413" s="62">
        <f t="shared" si="827"/>
        <v>1</v>
      </c>
      <c r="J413" s="62">
        <f t="shared" si="827"/>
        <v>1</v>
      </c>
      <c r="K413" s="62">
        <f t="shared" si="827"/>
        <v>1</v>
      </c>
      <c r="L413" s="62">
        <f t="shared" si="827"/>
        <v>1</v>
      </c>
      <c r="M413" s="62">
        <f t="shared" si="827"/>
        <v>1</v>
      </c>
      <c r="N413" s="62">
        <f t="shared" si="827"/>
        <v>1</v>
      </c>
      <c r="O413" s="62">
        <f t="shared" si="827"/>
        <v>1</v>
      </c>
      <c r="P413" s="62" t="str">
        <f t="shared" si="827"/>
        <v/>
      </c>
      <c r="Q413" s="62" t="str">
        <f t="shared" si="827"/>
        <v/>
      </c>
      <c r="R413" s="62">
        <f t="shared" si="7"/>
        <v>0</v>
      </c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</row>
    <row r="414" hidden="1">
      <c r="A414" s="60">
        <f>IFERROR(__xludf.DUMMYFUNCTION("""COMPUTED_VALUE"""),10671.0)</f>
        <v>10671</v>
      </c>
      <c r="B414" s="60" t="str">
        <f>IFERROR(__xludf.DUMMYFUNCTION("""COMPUTED_VALUE"""),"Bowles, Todd")</f>
        <v>Bowles, Todd</v>
      </c>
      <c r="C414" s="60" t="str">
        <f>IFERROR(__xludf.DUMMYFUNCTION("""COMPUTED_VALUE"""),"Coach")</f>
        <v>Coach</v>
      </c>
      <c r="D414" s="60" t="str">
        <f>IFERROR(__xludf.DUMMYFUNCTION("""COMPUTED_VALUE"""),"TBB")</f>
        <v>TBB</v>
      </c>
      <c r="E414" s="62" t="str">
        <f t="shared" si="4"/>
        <v>Todd Bowles</v>
      </c>
      <c r="F414" s="62">
        <f t="shared" ref="F414:G414" si="828">IF(isblank(F$1),,IF(isblank($A414),,IFERROR(vlookup($A414,indirect("'TVC-"&amp;text(month(F$1),"00")&amp;"'!$A:$D"),4,false),1)))</f>
        <v>1</v>
      </c>
      <c r="G414" s="62">
        <f t="shared" si="828"/>
        <v>1</v>
      </c>
      <c r="H414" s="62">
        <f t="shared" ref="H414:Q414" si="829">IF(isblank(H$1),,IFERROR(vlookup($A414,indirect("'TVC-"&amp;text(month(H$1),"00")&amp;"'!$A:$D"),4,false),1))</f>
        <v>1</v>
      </c>
      <c r="I414" s="62">
        <f t="shared" si="829"/>
        <v>1</v>
      </c>
      <c r="J414" s="62">
        <f t="shared" si="829"/>
        <v>1</v>
      </c>
      <c r="K414" s="62">
        <f t="shared" si="829"/>
        <v>1</v>
      </c>
      <c r="L414" s="62">
        <f t="shared" si="829"/>
        <v>1</v>
      </c>
      <c r="M414" s="62">
        <f t="shared" si="829"/>
        <v>1</v>
      </c>
      <c r="N414" s="62">
        <f t="shared" si="829"/>
        <v>1</v>
      </c>
      <c r="O414" s="62">
        <f t="shared" si="829"/>
        <v>1</v>
      </c>
      <c r="P414" s="62" t="str">
        <f t="shared" si="829"/>
        <v/>
      </c>
      <c r="Q414" s="62" t="str">
        <f t="shared" si="829"/>
        <v/>
      </c>
      <c r="R414" s="62">
        <f t="shared" si="7"/>
        <v>0</v>
      </c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</row>
    <row r="415">
      <c r="A415" s="60">
        <f>IFERROR(__xludf.DUMMYFUNCTION("""COMPUTED_VALUE"""),10700.0)</f>
        <v>10700</v>
      </c>
      <c r="B415" s="60" t="str">
        <f>IFERROR(__xludf.DUMMYFUNCTION("""COMPUTED_VALUE"""),"Cousins, Kirk")</f>
        <v>Cousins, Kirk</v>
      </c>
      <c r="C415" s="60" t="str">
        <f>IFERROR(__xludf.DUMMYFUNCTION("""COMPUTED_VALUE"""),"QB")</f>
        <v>QB</v>
      </c>
      <c r="D415" s="60" t="str">
        <f>IFERROR(__xludf.DUMMYFUNCTION("""COMPUTED_VALUE"""),"LVR")</f>
        <v>LVR</v>
      </c>
      <c r="E415" s="62" t="str">
        <f t="shared" si="4"/>
        <v>Kirk Cousins</v>
      </c>
      <c r="F415" s="62">
        <f t="shared" ref="F415:G415" si="830">IF(isblank(F$1),,IF(isblank($A415),,IFERROR(vlookup($A415,indirect("'TVC-"&amp;text(month(F$1),"00")&amp;"'!$A:$D"),4,false),1)))</f>
        <v>1401</v>
      </c>
      <c r="G415" s="62">
        <f t="shared" si="830"/>
        <v>1669</v>
      </c>
      <c r="H415" s="62">
        <f t="shared" ref="H415:Q415" si="831">IF(isblank(H$1),,IFERROR(vlookup($A415,indirect("'TVC-"&amp;text(month(H$1),"00")&amp;"'!$A:$D"),4,false),1))</f>
        <v>1730</v>
      </c>
      <c r="I415" s="62">
        <f t="shared" si="831"/>
        <v>1752</v>
      </c>
      <c r="J415" s="62">
        <f t="shared" si="831"/>
        <v>1981</v>
      </c>
      <c r="K415" s="62">
        <f t="shared" si="831"/>
        <v>1978</v>
      </c>
      <c r="L415" s="62">
        <f t="shared" si="831"/>
        <v>1900</v>
      </c>
      <c r="M415" s="62">
        <f t="shared" si="831"/>
        <v>1848</v>
      </c>
      <c r="N415" s="62">
        <f t="shared" si="831"/>
        <v>1926</v>
      </c>
      <c r="O415" s="62">
        <f t="shared" si="831"/>
        <v>1</v>
      </c>
      <c r="P415" s="62" t="str">
        <f t="shared" si="831"/>
        <v/>
      </c>
      <c r="Q415" s="62" t="str">
        <f t="shared" si="831"/>
        <v/>
      </c>
      <c r="R415" s="62">
        <f t="shared" si="7"/>
        <v>-1925</v>
      </c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</row>
    <row r="416" hidden="1">
      <c r="A416" s="60">
        <f>IFERROR(__xludf.DUMMYFUNCTION("""COMPUTED_VALUE"""),10701.0)</f>
        <v>10701</v>
      </c>
      <c r="B416" s="60" t="str">
        <f>IFERROR(__xludf.DUMMYFUNCTION("""COMPUTED_VALUE"""),"Moore, Kellen")</f>
        <v>Moore, Kellen</v>
      </c>
      <c r="C416" s="60" t="str">
        <f>IFERROR(__xludf.DUMMYFUNCTION("""COMPUTED_VALUE"""),"Coach")</f>
        <v>Coach</v>
      </c>
      <c r="D416" s="60" t="str">
        <f>IFERROR(__xludf.DUMMYFUNCTION("""COMPUTED_VALUE"""),"NOS")</f>
        <v>NOS</v>
      </c>
      <c r="E416" s="62" t="str">
        <f t="shared" si="4"/>
        <v>Kellen Moore</v>
      </c>
      <c r="F416" s="62">
        <f t="shared" ref="F416:G416" si="832">IF(isblank(F$1),,IF(isblank($A416),,IFERROR(vlookup($A416,indirect("'TVC-"&amp;text(month(F$1),"00")&amp;"'!$A:$D"),4,false),1)))</f>
        <v>1</v>
      </c>
      <c r="G416" s="62">
        <f t="shared" si="832"/>
        <v>1</v>
      </c>
      <c r="H416" s="62">
        <f t="shared" ref="H416:Q416" si="833">IF(isblank(H$1),,IFERROR(vlookup($A416,indirect("'TVC-"&amp;text(month(H$1),"00")&amp;"'!$A:$D"),4,false),1))</f>
        <v>1</v>
      </c>
      <c r="I416" s="62">
        <f t="shared" si="833"/>
        <v>1</v>
      </c>
      <c r="J416" s="62">
        <f t="shared" si="833"/>
        <v>1</v>
      </c>
      <c r="K416" s="62">
        <f t="shared" si="833"/>
        <v>1</v>
      </c>
      <c r="L416" s="62">
        <f t="shared" si="833"/>
        <v>1</v>
      </c>
      <c r="M416" s="62">
        <f t="shared" si="833"/>
        <v>1</v>
      </c>
      <c r="N416" s="62">
        <f t="shared" si="833"/>
        <v>1</v>
      </c>
      <c r="O416" s="62">
        <f t="shared" si="833"/>
        <v>1</v>
      </c>
      <c r="P416" s="62" t="str">
        <f t="shared" si="833"/>
        <v/>
      </c>
      <c r="Q416" s="62" t="str">
        <f t="shared" si="833"/>
        <v/>
      </c>
      <c r="R416" s="62">
        <f t="shared" si="7"/>
        <v>0</v>
      </c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</row>
    <row r="417" hidden="1">
      <c r="A417" s="60">
        <f>IFERROR(__xludf.DUMMYFUNCTION("""COMPUTED_VALUE"""),10703.0)</f>
        <v>10703</v>
      </c>
      <c r="B417" s="60" t="str">
        <f>IFERROR(__xludf.DUMMYFUNCTION("""COMPUTED_VALUE"""),"Wilson, Russell")</f>
        <v>Wilson, Russell</v>
      </c>
      <c r="C417" s="60" t="str">
        <f>IFERROR(__xludf.DUMMYFUNCTION("""COMPUTED_VALUE"""),"QB")</f>
        <v>QB</v>
      </c>
      <c r="D417" s="60" t="str">
        <f>IFERROR(__xludf.DUMMYFUNCTION("""COMPUTED_VALUE"""),"FA")</f>
        <v>FA</v>
      </c>
      <c r="E417" s="62" t="str">
        <f t="shared" si="4"/>
        <v>Russell Wilson</v>
      </c>
      <c r="F417" s="62">
        <f t="shared" ref="F417:G417" si="834">IF(isblank(F$1),,IF(isblank($A417),,IFERROR(vlookup($A417,indirect("'TVC-"&amp;text(month(F$1),"00")&amp;"'!$A:$D"),4,false),1)))</f>
        <v>369</v>
      </c>
      <c r="G417" s="62">
        <f t="shared" si="834"/>
        <v>1</v>
      </c>
      <c r="H417" s="62">
        <f t="shared" ref="H417:Q417" si="835">IF(isblank(H$1),,IFERROR(vlookup($A417,indirect("'TVC-"&amp;text(month(H$1),"00")&amp;"'!$A:$D"),4,false),1))</f>
        <v>1</v>
      </c>
      <c r="I417" s="62">
        <f t="shared" si="835"/>
        <v>1</v>
      </c>
      <c r="J417" s="62">
        <f t="shared" si="835"/>
        <v>1</v>
      </c>
      <c r="K417" s="62">
        <f t="shared" si="835"/>
        <v>1</v>
      </c>
      <c r="L417" s="62">
        <f t="shared" si="835"/>
        <v>1</v>
      </c>
      <c r="M417" s="62">
        <f t="shared" si="835"/>
        <v>1</v>
      </c>
      <c r="N417" s="62">
        <f t="shared" si="835"/>
        <v>1</v>
      </c>
      <c r="O417" s="62">
        <f t="shared" si="835"/>
        <v>1</v>
      </c>
      <c r="P417" s="62" t="str">
        <f t="shared" si="835"/>
        <v/>
      </c>
      <c r="Q417" s="62" t="str">
        <f t="shared" si="835"/>
        <v/>
      </c>
      <c r="R417" s="62">
        <f t="shared" si="7"/>
        <v>0</v>
      </c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</row>
    <row r="418" hidden="1">
      <c r="A418" s="60">
        <f>IFERROR(__xludf.DUMMYFUNCTION("""COMPUTED_VALUE"""),10768.0)</f>
        <v>10768</v>
      </c>
      <c r="B418" s="60" t="str">
        <f>IFERROR(__xludf.DUMMYFUNCTION("""COMPUTED_VALUE"""),"David, Lavonte")</f>
        <v>David, Lavonte</v>
      </c>
      <c r="C418" s="60" t="str">
        <f>IFERROR(__xludf.DUMMYFUNCTION("""COMPUTED_VALUE"""),"LB")</f>
        <v>LB</v>
      </c>
      <c r="D418" s="60" t="str">
        <f>IFERROR(__xludf.DUMMYFUNCTION("""COMPUTED_VALUE"""),"FA")</f>
        <v>FA</v>
      </c>
      <c r="E418" s="62" t="str">
        <f t="shared" si="4"/>
        <v>Lavonte David</v>
      </c>
      <c r="F418" s="62">
        <f t="shared" ref="F418:G418" si="836">IF(isblank(F$1),,IF(isblank($A418),,IFERROR(vlookup($A418,indirect("'TVC-"&amp;text(month(F$1),"00")&amp;"'!$A:$D"),4,false),1)))</f>
        <v>1</v>
      </c>
      <c r="G418" s="62">
        <f t="shared" si="836"/>
        <v>1</v>
      </c>
      <c r="H418" s="62">
        <f t="shared" ref="H418:Q418" si="837">IF(isblank(H$1),,IFERROR(vlookup($A418,indirect("'TVC-"&amp;text(month(H$1),"00")&amp;"'!$A:$D"),4,false),1))</f>
        <v>1</v>
      </c>
      <c r="I418" s="62">
        <f t="shared" si="837"/>
        <v>1</v>
      </c>
      <c r="J418" s="62">
        <f t="shared" si="837"/>
        <v>1</v>
      </c>
      <c r="K418" s="62">
        <f t="shared" si="837"/>
        <v>1</v>
      </c>
      <c r="L418" s="62">
        <f t="shared" si="837"/>
        <v>1</v>
      </c>
      <c r="M418" s="62">
        <f t="shared" si="837"/>
        <v>1</v>
      </c>
      <c r="N418" s="62">
        <f t="shared" si="837"/>
        <v>1</v>
      </c>
      <c r="O418" s="62">
        <f t="shared" si="837"/>
        <v>1</v>
      </c>
      <c r="P418" s="62" t="str">
        <f t="shared" si="837"/>
        <v/>
      </c>
      <c r="Q418" s="62" t="str">
        <f t="shared" si="837"/>
        <v/>
      </c>
      <c r="R418" s="62">
        <f t="shared" si="7"/>
        <v>0</v>
      </c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</row>
    <row r="419" hidden="1">
      <c r="A419" s="60">
        <f>IFERROR(__xludf.DUMMYFUNCTION("""COMPUTED_VALUE"""),10775.0)</f>
        <v>10775</v>
      </c>
      <c r="B419" s="60" t="str">
        <f>IFERROR(__xludf.DUMMYFUNCTION("""COMPUTED_VALUE"""),"Wagner, Bobby")</f>
        <v>Wagner, Bobby</v>
      </c>
      <c r="C419" s="60" t="str">
        <f>IFERROR(__xludf.DUMMYFUNCTION("""COMPUTED_VALUE"""),"LB")</f>
        <v>LB</v>
      </c>
      <c r="D419" s="60" t="str">
        <f>IFERROR(__xludf.DUMMYFUNCTION("""COMPUTED_VALUE"""),"FA")</f>
        <v>FA</v>
      </c>
      <c r="E419" s="62" t="str">
        <f t="shared" si="4"/>
        <v>Bobby Wagner</v>
      </c>
      <c r="F419" s="62">
        <f t="shared" ref="F419:G419" si="838">IF(isblank(F$1),,IF(isblank($A419),,IFERROR(vlookup($A419,indirect("'TVC-"&amp;text(month(F$1),"00")&amp;"'!$A:$D"),4,false),1)))</f>
        <v>1</v>
      </c>
      <c r="G419" s="62">
        <f t="shared" si="838"/>
        <v>1</v>
      </c>
      <c r="H419" s="62">
        <f t="shared" ref="H419:Q419" si="839">IF(isblank(H$1),,IFERROR(vlookup($A419,indirect("'TVC-"&amp;text(month(H$1),"00")&amp;"'!$A:$D"),4,false),1))</f>
        <v>1</v>
      </c>
      <c r="I419" s="62">
        <f t="shared" si="839"/>
        <v>1</v>
      </c>
      <c r="J419" s="62">
        <f t="shared" si="839"/>
        <v>1</v>
      </c>
      <c r="K419" s="62">
        <f t="shared" si="839"/>
        <v>1</v>
      </c>
      <c r="L419" s="62">
        <f t="shared" si="839"/>
        <v>1</v>
      </c>
      <c r="M419" s="62">
        <f t="shared" si="839"/>
        <v>1</v>
      </c>
      <c r="N419" s="62">
        <f t="shared" si="839"/>
        <v>1</v>
      </c>
      <c r="O419" s="62">
        <f t="shared" si="839"/>
        <v>1</v>
      </c>
      <c r="P419" s="62" t="str">
        <f t="shared" si="839"/>
        <v/>
      </c>
      <c r="Q419" s="62" t="str">
        <f t="shared" si="839"/>
        <v/>
      </c>
      <c r="R419" s="62">
        <f t="shared" si="7"/>
        <v>0</v>
      </c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</row>
    <row r="420" hidden="1">
      <c r="A420" s="60">
        <f>IFERROR(__xludf.DUMMYFUNCTION("""COMPUTED_VALUE"""),10783.0)</f>
        <v>10783</v>
      </c>
      <c r="B420" s="60" t="str">
        <f>IFERROR(__xludf.DUMMYFUNCTION("""COMPUTED_VALUE"""),"Smith, Harrison")</f>
        <v>Smith, Harrison</v>
      </c>
      <c r="C420" s="60" t="str">
        <f>IFERROR(__xludf.DUMMYFUNCTION("""COMPUTED_VALUE"""),"S")</f>
        <v>S</v>
      </c>
      <c r="D420" s="60" t="str">
        <f>IFERROR(__xludf.DUMMYFUNCTION("""COMPUTED_VALUE"""),"MIN")</f>
        <v>MIN</v>
      </c>
      <c r="E420" s="62" t="str">
        <f t="shared" si="4"/>
        <v>Harrison Smith</v>
      </c>
      <c r="F420" s="62">
        <f t="shared" ref="F420:G420" si="840">IF(isblank(F$1),,IF(isblank($A420),,IFERROR(vlookup($A420,indirect("'TVC-"&amp;text(month(F$1),"00")&amp;"'!$A:$D"),4,false),1)))</f>
        <v>1</v>
      </c>
      <c r="G420" s="62">
        <f t="shared" si="840"/>
        <v>1</v>
      </c>
      <c r="H420" s="62">
        <f t="shared" ref="H420:Q420" si="841">IF(isblank(H$1),,IFERROR(vlookup($A420,indirect("'TVC-"&amp;text(month(H$1),"00")&amp;"'!$A:$D"),4,false),1))</f>
        <v>1</v>
      </c>
      <c r="I420" s="62">
        <f t="shared" si="841"/>
        <v>1</v>
      </c>
      <c r="J420" s="62">
        <f t="shared" si="841"/>
        <v>1</v>
      </c>
      <c r="K420" s="62">
        <f t="shared" si="841"/>
        <v>1</v>
      </c>
      <c r="L420" s="62">
        <f t="shared" si="841"/>
        <v>1</v>
      </c>
      <c r="M420" s="62">
        <f t="shared" si="841"/>
        <v>1</v>
      </c>
      <c r="N420" s="62">
        <f t="shared" si="841"/>
        <v>1</v>
      </c>
      <c r="O420" s="62">
        <f t="shared" si="841"/>
        <v>1</v>
      </c>
      <c r="P420" s="62" t="str">
        <f t="shared" si="841"/>
        <v/>
      </c>
      <c r="Q420" s="62" t="str">
        <f t="shared" si="841"/>
        <v/>
      </c>
      <c r="R420" s="62">
        <f t="shared" si="7"/>
        <v>0</v>
      </c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</row>
    <row r="421" hidden="1">
      <c r="A421" s="60">
        <f>IFERROR(__xludf.DUMMYFUNCTION("""COMPUTED_VALUE"""),10814.0)</f>
        <v>10814</v>
      </c>
      <c r="B421" s="60" t="str">
        <f>IFERROR(__xludf.DUMMYFUNCTION("""COMPUTED_VALUE"""),"Anger, Bryan")</f>
        <v>Anger, Bryan</v>
      </c>
      <c r="C421" s="60" t="str">
        <f>IFERROR(__xludf.DUMMYFUNCTION("""COMPUTED_VALUE"""),"PN")</f>
        <v>PN</v>
      </c>
      <c r="D421" s="60" t="str">
        <f>IFERROR(__xludf.DUMMYFUNCTION("""COMPUTED_VALUE"""),"DAL")</f>
        <v>DAL</v>
      </c>
      <c r="E421" s="62" t="str">
        <f t="shared" si="4"/>
        <v>Bryan Anger</v>
      </c>
      <c r="F421" s="62">
        <f t="shared" ref="F421:G421" si="842">IF(isblank(F$1),,IF(isblank($A421),,IFERROR(vlookup($A421,indirect("'TVC-"&amp;text(month(F$1),"00")&amp;"'!$A:$D"),4,false),1)))</f>
        <v>1</v>
      </c>
      <c r="G421" s="62">
        <f t="shared" si="842"/>
        <v>1</v>
      </c>
      <c r="H421" s="62">
        <f t="shared" ref="H421:Q421" si="843">IF(isblank(H$1),,IFERROR(vlookup($A421,indirect("'TVC-"&amp;text(month(H$1),"00")&amp;"'!$A:$D"),4,false),1))</f>
        <v>1</v>
      </c>
      <c r="I421" s="62">
        <f t="shared" si="843"/>
        <v>1</v>
      </c>
      <c r="J421" s="62">
        <f t="shared" si="843"/>
        <v>1</v>
      </c>
      <c r="K421" s="62">
        <f t="shared" si="843"/>
        <v>1</v>
      </c>
      <c r="L421" s="62">
        <f t="shared" si="843"/>
        <v>1</v>
      </c>
      <c r="M421" s="62">
        <f t="shared" si="843"/>
        <v>1</v>
      </c>
      <c r="N421" s="62">
        <f t="shared" si="843"/>
        <v>1</v>
      </c>
      <c r="O421" s="62">
        <f t="shared" si="843"/>
        <v>1</v>
      </c>
      <c r="P421" s="62" t="str">
        <f t="shared" si="843"/>
        <v/>
      </c>
      <c r="Q421" s="62" t="str">
        <f t="shared" si="843"/>
        <v/>
      </c>
      <c r="R421" s="62">
        <f t="shared" si="7"/>
        <v>0</v>
      </c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</row>
    <row r="422" hidden="1">
      <c r="A422" s="60">
        <f>IFERROR(__xludf.DUMMYFUNCTION("""COMPUTED_VALUE"""),10816.0)</f>
        <v>10816</v>
      </c>
      <c r="B422" s="60" t="str">
        <f>IFERROR(__xludf.DUMMYFUNCTION("""COMPUTED_VALUE"""),"Davis, Demario")</f>
        <v>Davis, Demario</v>
      </c>
      <c r="C422" s="60" t="str">
        <f>IFERROR(__xludf.DUMMYFUNCTION("""COMPUTED_VALUE"""),"LB")</f>
        <v>LB</v>
      </c>
      <c r="D422" s="60" t="str">
        <f>IFERROR(__xludf.DUMMYFUNCTION("""COMPUTED_VALUE"""),"NYJ")</f>
        <v>NYJ</v>
      </c>
      <c r="E422" s="62" t="str">
        <f t="shared" si="4"/>
        <v>Demario Davis</v>
      </c>
      <c r="F422" s="62">
        <f t="shared" ref="F422:G422" si="844">IF(isblank(F$1),,IF(isblank($A422),,IFERROR(vlookup($A422,indirect("'TVC-"&amp;text(month(F$1),"00")&amp;"'!$A:$D"),4,false),1)))</f>
        <v>1</v>
      </c>
      <c r="G422" s="62">
        <f t="shared" si="844"/>
        <v>1</v>
      </c>
      <c r="H422" s="62">
        <f t="shared" ref="H422:Q422" si="845">IF(isblank(H$1),,IFERROR(vlookup($A422,indirect("'TVC-"&amp;text(month(H$1),"00")&amp;"'!$A:$D"),4,false),1))</f>
        <v>1</v>
      </c>
      <c r="I422" s="62">
        <f t="shared" si="845"/>
        <v>1</v>
      </c>
      <c r="J422" s="62">
        <f t="shared" si="845"/>
        <v>1</v>
      </c>
      <c r="K422" s="62">
        <f t="shared" si="845"/>
        <v>1</v>
      </c>
      <c r="L422" s="62">
        <f t="shared" si="845"/>
        <v>1</v>
      </c>
      <c r="M422" s="62">
        <f t="shared" si="845"/>
        <v>1</v>
      </c>
      <c r="N422" s="62">
        <f t="shared" si="845"/>
        <v>1</v>
      </c>
      <c r="O422" s="62">
        <f t="shared" si="845"/>
        <v>1</v>
      </c>
      <c r="P422" s="62" t="str">
        <f t="shared" si="845"/>
        <v/>
      </c>
      <c r="Q422" s="62" t="str">
        <f t="shared" si="845"/>
        <v/>
      </c>
      <c r="R422" s="62">
        <f t="shared" si="7"/>
        <v>0</v>
      </c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</row>
    <row r="423" hidden="1">
      <c r="A423" s="60">
        <f>IFERROR(__xludf.DUMMYFUNCTION("""COMPUTED_VALUE"""),10945.0)</f>
        <v>10945</v>
      </c>
      <c r="B423" s="60" t="str">
        <f>IFERROR(__xludf.DUMMYFUNCTION("""COMPUTED_VALUE"""),"Hekker, Johnny")</f>
        <v>Hekker, Johnny</v>
      </c>
      <c r="C423" s="60" t="str">
        <f>IFERROR(__xludf.DUMMYFUNCTION("""COMPUTED_VALUE"""),"PN")</f>
        <v>PN</v>
      </c>
      <c r="D423" s="60" t="str">
        <f>IFERROR(__xludf.DUMMYFUNCTION("""COMPUTED_VALUE"""),"MIN")</f>
        <v>MIN</v>
      </c>
      <c r="E423" s="62" t="str">
        <f t="shared" si="4"/>
        <v>Johnny Hekker</v>
      </c>
      <c r="F423" s="62">
        <f t="shared" ref="F423:G423" si="846">IF(isblank(F$1),,IF(isblank($A423),,IFERROR(vlookup($A423,indirect("'TVC-"&amp;text(month(F$1),"00")&amp;"'!$A:$D"),4,false),1)))</f>
        <v>1</v>
      </c>
      <c r="G423" s="62">
        <f t="shared" si="846"/>
        <v>1</v>
      </c>
      <c r="H423" s="62">
        <f t="shared" ref="H423:Q423" si="847">IF(isblank(H$1),,IFERROR(vlookup($A423,indirect("'TVC-"&amp;text(month(H$1),"00")&amp;"'!$A:$D"),4,false),1))</f>
        <v>1</v>
      </c>
      <c r="I423" s="62">
        <f t="shared" si="847"/>
        <v>1</v>
      </c>
      <c r="J423" s="62">
        <f t="shared" si="847"/>
        <v>1</v>
      </c>
      <c r="K423" s="62">
        <f t="shared" si="847"/>
        <v>1</v>
      </c>
      <c r="L423" s="62">
        <f t="shared" si="847"/>
        <v>1</v>
      </c>
      <c r="M423" s="62">
        <f t="shared" si="847"/>
        <v>1</v>
      </c>
      <c r="N423" s="62">
        <f t="shared" si="847"/>
        <v>1</v>
      </c>
      <c r="O423" s="62">
        <f t="shared" si="847"/>
        <v>1</v>
      </c>
      <c r="P423" s="62" t="str">
        <f t="shared" si="847"/>
        <v/>
      </c>
      <c r="Q423" s="62" t="str">
        <f t="shared" si="847"/>
        <v/>
      </c>
      <c r="R423" s="62">
        <f t="shared" si="7"/>
        <v>0</v>
      </c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</row>
    <row r="424" hidden="1">
      <c r="A424" s="60">
        <f>IFERROR(__xludf.DUMMYFUNCTION("""COMPUTED_VALUE"""),10948.0)</f>
        <v>10948</v>
      </c>
      <c r="B424" s="60" t="str">
        <f>IFERROR(__xludf.DUMMYFUNCTION("""COMPUTED_VALUE"""),"Keenum, Case")</f>
        <v>Keenum, Case</v>
      </c>
      <c r="C424" s="60" t="str">
        <f>IFERROR(__xludf.DUMMYFUNCTION("""COMPUTED_VALUE"""),"QB")</f>
        <v>QB</v>
      </c>
      <c r="D424" s="60" t="str">
        <f>IFERROR(__xludf.DUMMYFUNCTION("""COMPUTED_VALUE"""),"CHI")</f>
        <v>CHI</v>
      </c>
      <c r="E424" s="62" t="str">
        <f t="shared" si="4"/>
        <v>Case Keenum</v>
      </c>
      <c r="F424" s="62">
        <f t="shared" ref="F424:G424" si="848">IF(isblank(F$1),,IF(isblank($A424),,IFERROR(vlookup($A424,indirect("'TVC-"&amp;text(month(F$1),"00")&amp;"'!$A:$D"),4,false),1)))</f>
        <v>1</v>
      </c>
      <c r="G424" s="62">
        <f t="shared" si="848"/>
        <v>1</v>
      </c>
      <c r="H424" s="62">
        <f t="shared" ref="H424:Q424" si="849">IF(isblank(H$1),,IFERROR(vlookup($A424,indirect("'TVC-"&amp;text(month(H$1),"00")&amp;"'!$A:$D"),4,false),1))</f>
        <v>1</v>
      </c>
      <c r="I424" s="62">
        <f t="shared" si="849"/>
        <v>1</v>
      </c>
      <c r="J424" s="62">
        <f t="shared" si="849"/>
        <v>1</v>
      </c>
      <c r="K424" s="62">
        <f t="shared" si="849"/>
        <v>1</v>
      </c>
      <c r="L424" s="62">
        <f t="shared" si="849"/>
        <v>1</v>
      </c>
      <c r="M424" s="62">
        <f t="shared" si="849"/>
        <v>1</v>
      </c>
      <c r="N424" s="62">
        <f t="shared" si="849"/>
        <v>1</v>
      </c>
      <c r="O424" s="62">
        <f t="shared" si="849"/>
        <v>1</v>
      </c>
      <c r="P424" s="62" t="str">
        <f t="shared" si="849"/>
        <v/>
      </c>
      <c r="Q424" s="62" t="str">
        <f t="shared" si="849"/>
        <v/>
      </c>
      <c r="R424" s="62">
        <f t="shared" si="7"/>
        <v>0</v>
      </c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</row>
    <row r="425" hidden="1">
      <c r="A425" s="60">
        <f>IFERROR(__xludf.DUMMYFUNCTION("""COMPUTED_VALUE"""),10976.0)</f>
        <v>10976</v>
      </c>
      <c r="B425" s="60" t="str">
        <f>IFERROR(__xludf.DUMMYFUNCTION("""COMPUTED_VALUE"""),"Tucker, Justin")</f>
        <v>Tucker, Justin</v>
      </c>
      <c r="C425" s="60" t="str">
        <f>IFERROR(__xludf.DUMMYFUNCTION("""COMPUTED_VALUE"""),"PK")</f>
        <v>PK</v>
      </c>
      <c r="D425" s="60" t="str">
        <f>IFERROR(__xludf.DUMMYFUNCTION("""COMPUTED_VALUE"""),"FA")</f>
        <v>FA</v>
      </c>
      <c r="E425" s="62" t="str">
        <f t="shared" si="4"/>
        <v>Justin Tucker</v>
      </c>
      <c r="F425" s="62">
        <f t="shared" ref="F425:G425" si="850">IF(isblank(F$1),,IF(isblank($A425),,IFERROR(vlookup($A425,indirect("'TVC-"&amp;text(month(F$1),"00")&amp;"'!$A:$D"),4,false),1)))</f>
        <v>1</v>
      </c>
      <c r="G425" s="62">
        <f t="shared" si="850"/>
        <v>1</v>
      </c>
      <c r="H425" s="62">
        <f t="shared" ref="H425:Q425" si="851">IF(isblank(H$1),,IFERROR(vlookup($A425,indirect("'TVC-"&amp;text(month(H$1),"00")&amp;"'!$A:$D"),4,false),1))</f>
        <v>1</v>
      </c>
      <c r="I425" s="62">
        <f t="shared" si="851"/>
        <v>1</v>
      </c>
      <c r="J425" s="62">
        <f t="shared" si="851"/>
        <v>1</v>
      </c>
      <c r="K425" s="62">
        <f t="shared" si="851"/>
        <v>1</v>
      </c>
      <c r="L425" s="62">
        <f t="shared" si="851"/>
        <v>1</v>
      </c>
      <c r="M425" s="62">
        <f t="shared" si="851"/>
        <v>1</v>
      </c>
      <c r="N425" s="62">
        <f t="shared" si="851"/>
        <v>1</v>
      </c>
      <c r="O425" s="62">
        <f t="shared" si="851"/>
        <v>1</v>
      </c>
      <c r="P425" s="62" t="str">
        <f t="shared" si="851"/>
        <v/>
      </c>
      <c r="Q425" s="62" t="str">
        <f t="shared" si="851"/>
        <v/>
      </c>
      <c r="R425" s="62">
        <f t="shared" si="7"/>
        <v>0</v>
      </c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</row>
    <row r="426">
      <c r="A426" s="60">
        <f>IFERROR(__xludf.DUMMYFUNCTION("""COMPUTED_VALUE"""),11150.0)</f>
        <v>11150</v>
      </c>
      <c r="B426" s="60" t="str">
        <f>IFERROR(__xludf.DUMMYFUNCTION("""COMPUTED_VALUE"""),"Smith, Geno")</f>
        <v>Smith, Geno</v>
      </c>
      <c r="C426" s="60" t="str">
        <f>IFERROR(__xludf.DUMMYFUNCTION("""COMPUTED_VALUE"""),"QB")</f>
        <v>QB</v>
      </c>
      <c r="D426" s="60" t="str">
        <f>IFERROR(__xludf.DUMMYFUNCTION("""COMPUTED_VALUE"""),"NYJ")</f>
        <v>NYJ</v>
      </c>
      <c r="E426" s="62" t="str">
        <f t="shared" si="4"/>
        <v>Geno Smith</v>
      </c>
      <c r="F426" s="62">
        <f t="shared" ref="F426:G426" si="852">IF(isblank(F$1),,IF(isblank($A426),,IFERROR(vlookup($A426,indirect("'TVC-"&amp;text(month(F$1),"00")&amp;"'!$A:$D"),4,false),1)))</f>
        <v>1591</v>
      </c>
      <c r="G426" s="62">
        <f t="shared" si="852"/>
        <v>1458</v>
      </c>
      <c r="H426" s="62">
        <f t="shared" ref="H426:Q426" si="853">IF(isblank(H$1),,IFERROR(vlookup($A426,indirect("'TVC-"&amp;text(month(H$1),"00")&amp;"'!$A:$D"),4,false),1))</f>
        <v>1449</v>
      </c>
      <c r="I426" s="62">
        <f t="shared" si="853"/>
        <v>2122</v>
      </c>
      <c r="J426" s="62">
        <f t="shared" si="853"/>
        <v>2147</v>
      </c>
      <c r="K426" s="62">
        <f t="shared" si="853"/>
        <v>2239</v>
      </c>
      <c r="L426" s="62">
        <f t="shared" si="853"/>
        <v>2264</v>
      </c>
      <c r="M426" s="62">
        <f t="shared" si="853"/>
        <v>2201</v>
      </c>
      <c r="N426" s="62">
        <f t="shared" si="853"/>
        <v>2159</v>
      </c>
      <c r="O426" s="62">
        <f t="shared" si="853"/>
        <v>1</v>
      </c>
      <c r="P426" s="62" t="str">
        <f t="shared" si="853"/>
        <v/>
      </c>
      <c r="Q426" s="62" t="str">
        <f t="shared" si="853"/>
        <v/>
      </c>
      <c r="R426" s="62">
        <f t="shared" si="7"/>
        <v>-2158</v>
      </c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</row>
    <row r="427" hidden="1">
      <c r="A427" s="60">
        <f>IFERROR(__xludf.DUMMYFUNCTION("""COMPUTED_VALUE"""),11222.0)</f>
        <v>11222</v>
      </c>
      <c r="B427" s="60" t="str">
        <f>IFERROR(__xludf.DUMMYFUNCTION("""COMPUTED_VALUE"""),"Allen, Keenan")</f>
        <v>Allen, Keenan</v>
      </c>
      <c r="C427" s="60" t="str">
        <f>IFERROR(__xludf.DUMMYFUNCTION("""COMPUTED_VALUE"""),"WR")</f>
        <v>WR</v>
      </c>
      <c r="D427" s="60" t="str">
        <f>IFERROR(__xludf.DUMMYFUNCTION("""COMPUTED_VALUE"""),"IND")</f>
        <v>IND</v>
      </c>
      <c r="E427" s="62" t="str">
        <f t="shared" si="4"/>
        <v>Keenan Allen</v>
      </c>
      <c r="F427" s="62">
        <f t="shared" ref="F427:G427" si="854">IF(isblank(F$1),,IF(isblank($A427),,IFERROR(vlookup($A427,indirect("'TVC-"&amp;text(month(F$1),"00")&amp;"'!$A:$D"),4,false),1)))</f>
        <v>1832</v>
      </c>
      <c r="G427" s="62">
        <f t="shared" si="854"/>
        <v>1754</v>
      </c>
      <c r="H427" s="62">
        <f t="shared" ref="H427:Q427" si="855">IF(isblank(H$1),,IFERROR(vlookup($A427,indirect("'TVC-"&amp;text(month(H$1),"00")&amp;"'!$A:$D"),4,false),1))</f>
        <v>1761</v>
      </c>
      <c r="I427" s="62">
        <f t="shared" si="855"/>
        <v>1749</v>
      </c>
      <c r="J427" s="62">
        <f t="shared" si="855"/>
        <v>1566</v>
      </c>
      <c r="K427" s="62">
        <f t="shared" si="855"/>
        <v>1364</v>
      </c>
      <c r="L427" s="62">
        <f t="shared" si="855"/>
        <v>1233</v>
      </c>
      <c r="M427" s="62">
        <f t="shared" si="855"/>
        <v>1166</v>
      </c>
      <c r="N427" s="62">
        <f t="shared" si="855"/>
        <v>1702</v>
      </c>
      <c r="O427" s="62">
        <f t="shared" si="855"/>
        <v>1</v>
      </c>
      <c r="P427" s="62" t="str">
        <f t="shared" si="855"/>
        <v/>
      </c>
      <c r="Q427" s="62" t="str">
        <f t="shared" si="855"/>
        <v/>
      </c>
      <c r="R427" s="62">
        <f t="shared" si="7"/>
        <v>-1701</v>
      </c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</row>
    <row r="428" hidden="1">
      <c r="A428" s="60">
        <f>IFERROR(__xludf.DUMMYFUNCTION("""COMPUTED_VALUE"""),11225.0)</f>
        <v>11225</v>
      </c>
      <c r="B428" s="60" t="str">
        <f>IFERROR(__xludf.DUMMYFUNCTION("""COMPUTED_VALUE"""),"Patterson, Cordarrelle")</f>
        <v>Patterson, Cordarrelle</v>
      </c>
      <c r="C428" s="60" t="str">
        <f>IFERROR(__xludf.DUMMYFUNCTION("""COMPUTED_VALUE"""),"RB")</f>
        <v>RB</v>
      </c>
      <c r="D428" s="60" t="str">
        <f>IFERROR(__xludf.DUMMYFUNCTION("""COMPUTED_VALUE"""),"FA")</f>
        <v>FA</v>
      </c>
      <c r="E428" s="62" t="str">
        <f t="shared" si="4"/>
        <v>Cordarrelle Patterson</v>
      </c>
      <c r="F428" s="62">
        <f t="shared" ref="F428:G428" si="856">IF(isblank(F$1),,IF(isblank($A428),,IFERROR(vlookup($A428,indirect("'TVC-"&amp;text(month(F$1),"00")&amp;"'!$A:$D"),4,false),1)))</f>
        <v>1</v>
      </c>
      <c r="G428" s="62">
        <f t="shared" si="856"/>
        <v>1</v>
      </c>
      <c r="H428" s="62">
        <f t="shared" ref="H428:Q428" si="857">IF(isblank(H$1),,IFERROR(vlookup($A428,indirect("'TVC-"&amp;text(month(H$1),"00")&amp;"'!$A:$D"),4,false),1))</f>
        <v>1</v>
      </c>
      <c r="I428" s="62">
        <f t="shared" si="857"/>
        <v>1</v>
      </c>
      <c r="J428" s="62">
        <f t="shared" si="857"/>
        <v>1</v>
      </c>
      <c r="K428" s="62">
        <f t="shared" si="857"/>
        <v>1</v>
      </c>
      <c r="L428" s="62">
        <f t="shared" si="857"/>
        <v>1</v>
      </c>
      <c r="M428" s="62">
        <f t="shared" si="857"/>
        <v>1</v>
      </c>
      <c r="N428" s="62">
        <f t="shared" si="857"/>
        <v>1</v>
      </c>
      <c r="O428" s="62">
        <f t="shared" si="857"/>
        <v>1</v>
      </c>
      <c r="P428" s="62" t="str">
        <f t="shared" si="857"/>
        <v/>
      </c>
      <c r="Q428" s="62" t="str">
        <f t="shared" si="857"/>
        <v/>
      </c>
      <c r="R428" s="62">
        <f t="shared" si="7"/>
        <v>0</v>
      </c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</row>
    <row r="429" hidden="1">
      <c r="A429" s="60">
        <f>IFERROR(__xludf.DUMMYFUNCTION("""COMPUTED_VALUE"""),11232.0)</f>
        <v>11232</v>
      </c>
      <c r="B429" s="60" t="str">
        <f>IFERROR(__xludf.DUMMYFUNCTION("""COMPUTED_VALUE"""),"Hopkins, DeAndre")</f>
        <v>Hopkins, DeAndre</v>
      </c>
      <c r="C429" s="60" t="str">
        <f>IFERROR(__xludf.DUMMYFUNCTION("""COMPUTED_VALUE"""),"WR")</f>
        <v>WR</v>
      </c>
      <c r="D429" s="60" t="str">
        <f>IFERROR(__xludf.DUMMYFUNCTION("""COMPUTED_VALUE"""),"FA")</f>
        <v>FA</v>
      </c>
      <c r="E429" s="62" t="str">
        <f t="shared" si="4"/>
        <v>DeAndre Hopkins</v>
      </c>
      <c r="F429" s="62">
        <f t="shared" ref="F429:G429" si="858">IF(isblank(F$1),,IF(isblank($A429),,IFERROR(vlookup($A429,indirect("'TVC-"&amp;text(month(F$1),"00")&amp;"'!$A:$D"),4,false),1)))</f>
        <v>927</v>
      </c>
      <c r="G429" s="62">
        <f t="shared" si="858"/>
        <v>878</v>
      </c>
      <c r="H429" s="62">
        <f t="shared" ref="H429:Q429" si="859">IF(isblank(H$1),,IFERROR(vlookup($A429,indirect("'TVC-"&amp;text(month(H$1),"00")&amp;"'!$A:$D"),4,false),1))</f>
        <v>884</v>
      </c>
      <c r="I429" s="62">
        <f t="shared" si="859"/>
        <v>870</v>
      </c>
      <c r="J429" s="62">
        <f t="shared" si="859"/>
        <v>708</v>
      </c>
      <c r="K429" s="62">
        <f t="shared" si="859"/>
        <v>495</v>
      </c>
      <c r="L429" s="62">
        <f t="shared" si="859"/>
        <v>1</v>
      </c>
      <c r="M429" s="62">
        <f t="shared" si="859"/>
        <v>1</v>
      </c>
      <c r="N429" s="62">
        <f t="shared" si="859"/>
        <v>1</v>
      </c>
      <c r="O429" s="62">
        <f t="shared" si="859"/>
        <v>1</v>
      </c>
      <c r="P429" s="62" t="str">
        <f t="shared" si="859"/>
        <v/>
      </c>
      <c r="Q429" s="62" t="str">
        <f t="shared" si="859"/>
        <v/>
      </c>
      <c r="R429" s="62">
        <f t="shared" si="7"/>
        <v>0</v>
      </c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</row>
    <row r="430">
      <c r="A430" s="60">
        <f>IFERROR(__xludf.DUMMYFUNCTION("""COMPUTED_VALUE"""),11244.0)</f>
        <v>11244</v>
      </c>
      <c r="B430" s="60" t="str">
        <f>IFERROR(__xludf.DUMMYFUNCTION("""COMPUTED_VALUE"""),"Kelce, Travis")</f>
        <v>Kelce, Travis</v>
      </c>
      <c r="C430" s="60" t="str">
        <f>IFERROR(__xludf.DUMMYFUNCTION("""COMPUTED_VALUE"""),"TE")</f>
        <v>TE</v>
      </c>
      <c r="D430" s="60" t="str">
        <f>IFERROR(__xludf.DUMMYFUNCTION("""COMPUTED_VALUE"""),"KCC")</f>
        <v>KCC</v>
      </c>
      <c r="E430" s="62" t="str">
        <f t="shared" si="4"/>
        <v>Travis Kelce</v>
      </c>
      <c r="F430" s="62">
        <f t="shared" ref="F430:G430" si="860">IF(isblank(F$1),,IF(isblank($A430),,IFERROR(vlookup($A430,indirect("'TVC-"&amp;text(month(F$1),"00")&amp;"'!$A:$D"),4,false),1)))</f>
        <v>2338</v>
      </c>
      <c r="G430" s="62">
        <f t="shared" si="860"/>
        <v>2317</v>
      </c>
      <c r="H430" s="62">
        <f t="shared" ref="H430:Q430" si="861">IF(isblank(H$1),,IFERROR(vlookup($A430,indirect("'TVC-"&amp;text(month(H$1),"00")&amp;"'!$A:$D"),4,false),1))</f>
        <v>2373</v>
      </c>
      <c r="I430" s="62">
        <f t="shared" si="861"/>
        <v>2859</v>
      </c>
      <c r="J430" s="62">
        <f t="shared" si="861"/>
        <v>2807</v>
      </c>
      <c r="K430" s="62">
        <f t="shared" si="861"/>
        <v>2846</v>
      </c>
      <c r="L430" s="62">
        <f t="shared" si="861"/>
        <v>2907</v>
      </c>
      <c r="M430" s="62">
        <f t="shared" si="861"/>
        <v>3040</v>
      </c>
      <c r="N430" s="62">
        <f t="shared" si="861"/>
        <v>2930</v>
      </c>
      <c r="O430" s="62">
        <f t="shared" si="861"/>
        <v>1</v>
      </c>
      <c r="P430" s="62" t="str">
        <f t="shared" si="861"/>
        <v/>
      </c>
      <c r="Q430" s="62" t="str">
        <f t="shared" si="861"/>
        <v/>
      </c>
      <c r="R430" s="62">
        <f t="shared" si="7"/>
        <v>-2929</v>
      </c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</row>
    <row r="431" hidden="1">
      <c r="A431" s="60">
        <f>IFERROR(__xludf.DUMMYFUNCTION("""COMPUTED_VALUE"""),11247.0)</f>
        <v>11247</v>
      </c>
      <c r="B431" s="60" t="str">
        <f>IFERROR(__xludf.DUMMYFUNCTION("""COMPUTED_VALUE"""),"Ertz, Zach")</f>
        <v>Ertz, Zach</v>
      </c>
      <c r="C431" s="60" t="str">
        <f>IFERROR(__xludf.DUMMYFUNCTION("""COMPUTED_VALUE"""),"TE")</f>
        <v>TE</v>
      </c>
      <c r="D431" s="60" t="str">
        <f>IFERROR(__xludf.DUMMYFUNCTION("""COMPUTED_VALUE"""),"PHI")</f>
        <v>PHI</v>
      </c>
      <c r="E431" s="62" t="str">
        <f t="shared" si="4"/>
        <v>Zach Ertz</v>
      </c>
      <c r="F431" s="62">
        <f t="shared" ref="F431:G431" si="862">IF(isblank(F$1),,IF(isblank($A431),,IFERROR(vlookup($A431,indirect("'TVC-"&amp;text(month(F$1),"00")&amp;"'!$A:$D"),4,false),1)))</f>
        <v>1420</v>
      </c>
      <c r="G431" s="62">
        <f t="shared" si="862"/>
        <v>1280</v>
      </c>
      <c r="H431" s="62">
        <f t="shared" ref="H431:Q431" si="863">IF(isblank(H$1),,IFERROR(vlookup($A431,indirect("'TVC-"&amp;text(month(H$1),"00")&amp;"'!$A:$D"),4,false),1))</f>
        <v>1286</v>
      </c>
      <c r="I431" s="62">
        <f t="shared" si="863"/>
        <v>1394</v>
      </c>
      <c r="J431" s="62">
        <f t="shared" si="863"/>
        <v>1482</v>
      </c>
      <c r="K431" s="62">
        <f t="shared" si="863"/>
        <v>1394</v>
      </c>
      <c r="L431" s="62">
        <f t="shared" si="863"/>
        <v>1295</v>
      </c>
      <c r="M431" s="62">
        <f t="shared" si="863"/>
        <v>1</v>
      </c>
      <c r="N431" s="62">
        <f t="shared" si="863"/>
        <v>1</v>
      </c>
      <c r="O431" s="62">
        <f t="shared" si="863"/>
        <v>1</v>
      </c>
      <c r="P431" s="62" t="str">
        <f t="shared" si="863"/>
        <v/>
      </c>
      <c r="Q431" s="62" t="str">
        <f t="shared" si="863"/>
        <v/>
      </c>
      <c r="R431" s="62">
        <f t="shared" si="7"/>
        <v>0</v>
      </c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</row>
    <row r="432" hidden="1">
      <c r="A432" s="60">
        <f>IFERROR(__xludf.DUMMYFUNCTION("""COMPUTED_VALUE"""),11286.0)</f>
        <v>11286</v>
      </c>
      <c r="B432" s="60" t="str">
        <f>IFERROR(__xludf.DUMMYFUNCTION("""COMPUTED_VALUE"""),"Jenkins, John")</f>
        <v>Jenkins, John</v>
      </c>
      <c r="C432" s="60" t="str">
        <f>IFERROR(__xludf.DUMMYFUNCTION("""COMPUTED_VALUE"""),"DT")</f>
        <v>DT</v>
      </c>
      <c r="D432" s="60" t="str">
        <f>IFERROR(__xludf.DUMMYFUNCTION("""COMPUTED_VALUE"""),"BAL")</f>
        <v>BAL</v>
      </c>
      <c r="E432" s="62" t="str">
        <f t="shared" si="4"/>
        <v>John Jenkins</v>
      </c>
      <c r="F432" s="62">
        <f t="shared" ref="F432:G432" si="864">IF(isblank(F$1),,IF(isblank($A432),,IFERROR(vlookup($A432,indirect("'TVC-"&amp;text(month(F$1),"00")&amp;"'!$A:$D"),4,false),1)))</f>
        <v>1</v>
      </c>
      <c r="G432" s="62">
        <f t="shared" si="864"/>
        <v>1</v>
      </c>
      <c r="H432" s="62">
        <f t="shared" ref="H432:Q432" si="865">IF(isblank(H$1),,IFERROR(vlookup($A432,indirect("'TVC-"&amp;text(month(H$1),"00")&amp;"'!$A:$D"),4,false),1))</f>
        <v>1</v>
      </c>
      <c r="I432" s="62">
        <f t="shared" si="865"/>
        <v>1</v>
      </c>
      <c r="J432" s="62">
        <f t="shared" si="865"/>
        <v>1</v>
      </c>
      <c r="K432" s="62">
        <f t="shared" si="865"/>
        <v>1</v>
      </c>
      <c r="L432" s="62">
        <f t="shared" si="865"/>
        <v>1</v>
      </c>
      <c r="M432" s="62">
        <f t="shared" si="865"/>
        <v>1</v>
      </c>
      <c r="N432" s="62">
        <f t="shared" si="865"/>
        <v>1</v>
      </c>
      <c r="O432" s="62">
        <f t="shared" si="865"/>
        <v>1</v>
      </c>
      <c r="P432" s="62" t="str">
        <f t="shared" si="865"/>
        <v/>
      </c>
      <c r="Q432" s="62" t="str">
        <f t="shared" si="865"/>
        <v/>
      </c>
      <c r="R432" s="62">
        <f t="shared" si="7"/>
        <v>0</v>
      </c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</row>
    <row r="433" hidden="1">
      <c r="A433" s="60">
        <f>IFERROR(__xludf.DUMMYFUNCTION("""COMPUTED_VALUE"""),11317.0)</f>
        <v>11317</v>
      </c>
      <c r="B433" s="60" t="str">
        <f>IFERROR(__xludf.DUMMYFUNCTION("""COMPUTED_VALUE"""),"Poyer, Jordan")</f>
        <v>Poyer, Jordan</v>
      </c>
      <c r="C433" s="60" t="str">
        <f>IFERROR(__xludf.DUMMYFUNCTION("""COMPUTED_VALUE"""),"S")</f>
        <v>S</v>
      </c>
      <c r="D433" s="60" t="str">
        <f>IFERROR(__xludf.DUMMYFUNCTION("""COMPUTED_VALUE"""),"BUF")</f>
        <v>BUF</v>
      </c>
      <c r="E433" s="62" t="str">
        <f t="shared" si="4"/>
        <v>Jordan Poyer</v>
      </c>
      <c r="F433" s="62">
        <f t="shared" ref="F433:G433" si="866">IF(isblank(F$1),,IF(isblank($A433),,IFERROR(vlookup($A433,indirect("'TVC-"&amp;text(month(F$1),"00")&amp;"'!$A:$D"),4,false),1)))</f>
        <v>1</v>
      </c>
      <c r="G433" s="62">
        <f t="shared" si="866"/>
        <v>1</v>
      </c>
      <c r="H433" s="62">
        <f t="shared" ref="H433:Q433" si="867">IF(isblank(H$1),,IFERROR(vlookup($A433,indirect("'TVC-"&amp;text(month(H$1),"00")&amp;"'!$A:$D"),4,false),1))</f>
        <v>1</v>
      </c>
      <c r="I433" s="62">
        <f t="shared" si="867"/>
        <v>1</v>
      </c>
      <c r="J433" s="62">
        <f t="shared" si="867"/>
        <v>1</v>
      </c>
      <c r="K433" s="62">
        <f t="shared" si="867"/>
        <v>1</v>
      </c>
      <c r="L433" s="62">
        <f t="shared" si="867"/>
        <v>1</v>
      </c>
      <c r="M433" s="62">
        <f t="shared" si="867"/>
        <v>1</v>
      </c>
      <c r="N433" s="62">
        <f t="shared" si="867"/>
        <v>1</v>
      </c>
      <c r="O433" s="62">
        <f t="shared" si="867"/>
        <v>1</v>
      </c>
      <c r="P433" s="62" t="str">
        <f t="shared" si="867"/>
        <v/>
      </c>
      <c r="Q433" s="62" t="str">
        <f t="shared" si="867"/>
        <v/>
      </c>
      <c r="R433" s="62">
        <f t="shared" si="7"/>
        <v>0</v>
      </c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</row>
    <row r="434" hidden="1">
      <c r="A434" s="60">
        <f>IFERROR(__xludf.DUMMYFUNCTION("""COMPUTED_VALUE"""),11327.0)</f>
        <v>11327</v>
      </c>
      <c r="B434" s="60" t="str">
        <f>IFERROR(__xludf.DUMMYFUNCTION("""COMPUTED_VALUE"""),"Jefferson, Tony")</f>
        <v>Jefferson, Tony</v>
      </c>
      <c r="C434" s="60" t="str">
        <f>IFERROR(__xludf.DUMMYFUNCTION("""COMPUTED_VALUE"""),"S")</f>
        <v>S</v>
      </c>
      <c r="D434" s="60" t="str">
        <f>IFERROR(__xludf.DUMMYFUNCTION("""COMPUTED_VALUE"""),"LAC")</f>
        <v>LAC</v>
      </c>
      <c r="E434" s="62" t="str">
        <f t="shared" si="4"/>
        <v>Tony Jefferson</v>
      </c>
      <c r="F434" s="62">
        <f t="shared" ref="F434:G434" si="868">IF(isblank(F$1),,IF(isblank($A434),,IFERROR(vlookup($A434,indirect("'TVC-"&amp;text(month(F$1),"00")&amp;"'!$A:$D"),4,false),1)))</f>
        <v>1</v>
      </c>
      <c r="G434" s="62">
        <f t="shared" si="868"/>
        <v>1</v>
      </c>
      <c r="H434" s="62">
        <f t="shared" ref="H434:Q434" si="869">IF(isblank(H$1),,IFERROR(vlookup($A434,indirect("'TVC-"&amp;text(month(H$1),"00")&amp;"'!$A:$D"),4,false),1))</f>
        <v>1</v>
      </c>
      <c r="I434" s="62">
        <f t="shared" si="869"/>
        <v>1</v>
      </c>
      <c r="J434" s="62">
        <f t="shared" si="869"/>
        <v>1</v>
      </c>
      <c r="K434" s="62">
        <f t="shared" si="869"/>
        <v>1</v>
      </c>
      <c r="L434" s="62">
        <f t="shared" si="869"/>
        <v>1</v>
      </c>
      <c r="M434" s="62">
        <f t="shared" si="869"/>
        <v>1</v>
      </c>
      <c r="N434" s="62">
        <f t="shared" si="869"/>
        <v>1</v>
      </c>
      <c r="O434" s="62">
        <f t="shared" si="869"/>
        <v>1</v>
      </c>
      <c r="P434" s="62" t="str">
        <f t="shared" si="869"/>
        <v/>
      </c>
      <c r="Q434" s="62" t="str">
        <f t="shared" si="869"/>
        <v/>
      </c>
      <c r="R434" s="62">
        <f t="shared" si="7"/>
        <v>0</v>
      </c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</row>
    <row r="435" hidden="1">
      <c r="A435" s="60">
        <f>IFERROR(__xludf.DUMMYFUNCTION("""COMPUTED_VALUE"""),11348.0)</f>
        <v>11348</v>
      </c>
      <c r="B435" s="60" t="str">
        <f>IFERROR(__xludf.DUMMYFUNCTION("""COMPUTED_VALUE"""),"Slay, Darius")</f>
        <v>Slay, Darius</v>
      </c>
      <c r="C435" s="60" t="str">
        <f>IFERROR(__xludf.DUMMYFUNCTION("""COMPUTED_VALUE"""),"CB")</f>
        <v>CB</v>
      </c>
      <c r="D435" s="60" t="str">
        <f>IFERROR(__xludf.DUMMYFUNCTION("""COMPUTED_VALUE"""),"FA")</f>
        <v>FA</v>
      </c>
      <c r="E435" s="62" t="str">
        <f t="shared" si="4"/>
        <v>Darius Slay</v>
      </c>
      <c r="F435" s="62">
        <f t="shared" ref="F435:G435" si="870">IF(isblank(F$1),,IF(isblank($A435),,IFERROR(vlookup($A435,indirect("'TVC-"&amp;text(month(F$1),"00")&amp;"'!$A:$D"),4,false),1)))</f>
        <v>1</v>
      </c>
      <c r="G435" s="62">
        <f t="shared" si="870"/>
        <v>1</v>
      </c>
      <c r="H435" s="62">
        <f t="shared" ref="H435:Q435" si="871">IF(isblank(H$1),,IFERROR(vlookup($A435,indirect("'TVC-"&amp;text(month(H$1),"00")&amp;"'!$A:$D"),4,false),1))</f>
        <v>1</v>
      </c>
      <c r="I435" s="62">
        <f t="shared" si="871"/>
        <v>1</v>
      </c>
      <c r="J435" s="62">
        <f t="shared" si="871"/>
        <v>1</v>
      </c>
      <c r="K435" s="62">
        <f t="shared" si="871"/>
        <v>1</v>
      </c>
      <c r="L435" s="62">
        <f t="shared" si="871"/>
        <v>1</v>
      </c>
      <c r="M435" s="62">
        <f t="shared" si="871"/>
        <v>1</v>
      </c>
      <c r="N435" s="62">
        <f t="shared" si="871"/>
        <v>1</v>
      </c>
      <c r="O435" s="62">
        <f t="shared" si="871"/>
        <v>1</v>
      </c>
      <c r="P435" s="62" t="str">
        <f t="shared" si="871"/>
        <v/>
      </c>
      <c r="Q435" s="62" t="str">
        <f t="shared" si="871"/>
        <v/>
      </c>
      <c r="R435" s="62">
        <f t="shared" si="7"/>
        <v>0</v>
      </c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</row>
    <row r="436" hidden="1">
      <c r="A436" s="60">
        <f>IFERROR(__xludf.DUMMYFUNCTION("""COMPUTED_VALUE"""),11367.0)</f>
        <v>11367</v>
      </c>
      <c r="B436" s="60" t="str">
        <f>IFERROR(__xludf.DUMMYFUNCTION("""COMPUTED_VALUE"""),"Juszczyk, Kyle")</f>
        <v>Juszczyk, Kyle</v>
      </c>
      <c r="C436" s="60" t="str">
        <f>IFERROR(__xludf.DUMMYFUNCTION("""COMPUTED_VALUE"""),"RB")</f>
        <v>RB</v>
      </c>
      <c r="D436" s="60" t="str">
        <f>IFERROR(__xludf.DUMMYFUNCTION("""COMPUTED_VALUE"""),"SFO")</f>
        <v>SFO</v>
      </c>
      <c r="E436" s="62" t="str">
        <f t="shared" si="4"/>
        <v>Kyle Juszczyk</v>
      </c>
      <c r="F436" s="62">
        <f t="shared" ref="F436:G436" si="872">IF(isblank(F$1),,IF(isblank($A436),,IFERROR(vlookup($A436,indirect("'TVC-"&amp;text(month(F$1),"00")&amp;"'!$A:$D"),4,false),1)))</f>
        <v>1</v>
      </c>
      <c r="G436" s="62">
        <f t="shared" si="872"/>
        <v>1</v>
      </c>
      <c r="H436" s="62">
        <f t="shared" ref="H436:Q436" si="873">IF(isblank(H$1),,IFERROR(vlookup($A436,indirect("'TVC-"&amp;text(month(H$1),"00")&amp;"'!$A:$D"),4,false),1))</f>
        <v>1</v>
      </c>
      <c r="I436" s="62">
        <f t="shared" si="873"/>
        <v>1</v>
      </c>
      <c r="J436" s="62">
        <f t="shared" si="873"/>
        <v>1</v>
      </c>
      <c r="K436" s="62">
        <f t="shared" si="873"/>
        <v>1</v>
      </c>
      <c r="L436" s="62">
        <f t="shared" si="873"/>
        <v>1</v>
      </c>
      <c r="M436" s="62">
        <f t="shared" si="873"/>
        <v>1</v>
      </c>
      <c r="N436" s="62">
        <f t="shared" si="873"/>
        <v>1</v>
      </c>
      <c r="O436" s="62">
        <f t="shared" si="873"/>
        <v>1</v>
      </c>
      <c r="P436" s="62" t="str">
        <f t="shared" si="873"/>
        <v/>
      </c>
      <c r="Q436" s="62" t="str">
        <f t="shared" si="873"/>
        <v/>
      </c>
      <c r="R436" s="62">
        <f t="shared" si="7"/>
        <v>0</v>
      </c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</row>
    <row r="437" hidden="1">
      <c r="A437" s="60">
        <f>IFERROR(__xludf.DUMMYFUNCTION("""COMPUTED_VALUE"""),11383.0)</f>
        <v>11383</v>
      </c>
      <c r="B437" s="60" t="str">
        <f>IFERROR(__xludf.DUMMYFUNCTION("""COMPUTED_VALUE"""),"Martin, Sam")</f>
        <v>Martin, Sam</v>
      </c>
      <c r="C437" s="60" t="str">
        <f>IFERROR(__xludf.DUMMYFUNCTION("""COMPUTED_VALUE"""),"PN")</f>
        <v>PN</v>
      </c>
      <c r="D437" s="60" t="str">
        <f>IFERROR(__xludf.DUMMYFUNCTION("""COMPUTED_VALUE"""),"CAR")</f>
        <v>CAR</v>
      </c>
      <c r="E437" s="62" t="str">
        <f t="shared" si="4"/>
        <v>Sam Martin</v>
      </c>
      <c r="F437" s="62">
        <f t="shared" ref="F437:G437" si="874">IF(isblank(F$1),,IF(isblank($A437),,IFERROR(vlookup($A437,indirect("'TVC-"&amp;text(month(F$1),"00")&amp;"'!$A:$D"),4,false),1)))</f>
        <v>1</v>
      </c>
      <c r="G437" s="62">
        <f t="shared" si="874"/>
        <v>1</v>
      </c>
      <c r="H437" s="62">
        <f t="shared" ref="H437:Q437" si="875">IF(isblank(H$1),,IFERROR(vlookup($A437,indirect("'TVC-"&amp;text(month(H$1),"00")&amp;"'!$A:$D"),4,false),1))</f>
        <v>1</v>
      </c>
      <c r="I437" s="62">
        <f t="shared" si="875"/>
        <v>1</v>
      </c>
      <c r="J437" s="62">
        <f t="shared" si="875"/>
        <v>1</v>
      </c>
      <c r="K437" s="62">
        <f t="shared" si="875"/>
        <v>1</v>
      </c>
      <c r="L437" s="62">
        <f t="shared" si="875"/>
        <v>1</v>
      </c>
      <c r="M437" s="62">
        <f t="shared" si="875"/>
        <v>1</v>
      </c>
      <c r="N437" s="62">
        <f t="shared" si="875"/>
        <v>1</v>
      </c>
      <c r="O437" s="62">
        <f t="shared" si="875"/>
        <v>1</v>
      </c>
      <c r="P437" s="62" t="str">
        <f t="shared" si="875"/>
        <v/>
      </c>
      <c r="Q437" s="62" t="str">
        <f t="shared" si="875"/>
        <v/>
      </c>
      <c r="R437" s="62">
        <f t="shared" si="7"/>
        <v>0</v>
      </c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</row>
    <row r="438" hidden="1">
      <c r="A438" s="60">
        <f>IFERROR(__xludf.DUMMYFUNCTION("""COMPUTED_VALUE"""),11387.0)</f>
        <v>11387</v>
      </c>
      <c r="B438" s="60" t="str">
        <f>IFERROR(__xludf.DUMMYFUNCTION("""COMPUTED_VALUE"""),"Hopkins, Dustin")</f>
        <v>Hopkins, Dustin</v>
      </c>
      <c r="C438" s="60" t="str">
        <f>IFERROR(__xludf.DUMMYFUNCTION("""COMPUTED_VALUE"""),"PK")</f>
        <v>PK</v>
      </c>
      <c r="D438" s="60" t="str">
        <f>IFERROR(__xludf.DUMMYFUNCTION("""COMPUTED_VALUE"""),"FA")</f>
        <v>FA</v>
      </c>
      <c r="E438" s="62" t="str">
        <f t="shared" si="4"/>
        <v>Dustin Hopkins</v>
      </c>
      <c r="F438" s="62">
        <f t="shared" ref="F438:G438" si="876">IF(isblank(F$1),,IF(isblank($A438),,IFERROR(vlookup($A438,indirect("'TVC-"&amp;text(month(F$1),"00")&amp;"'!$A:$D"),4,false),1)))</f>
        <v>1</v>
      </c>
      <c r="G438" s="62">
        <f t="shared" si="876"/>
        <v>1</v>
      </c>
      <c r="H438" s="62">
        <f t="shared" ref="H438:Q438" si="877">IF(isblank(H$1),,IFERROR(vlookup($A438,indirect("'TVC-"&amp;text(month(H$1),"00")&amp;"'!$A:$D"),4,false),1))</f>
        <v>1</v>
      </c>
      <c r="I438" s="62">
        <f t="shared" si="877"/>
        <v>1</v>
      </c>
      <c r="J438" s="62">
        <f t="shared" si="877"/>
        <v>1</v>
      </c>
      <c r="K438" s="62">
        <f t="shared" si="877"/>
        <v>1</v>
      </c>
      <c r="L438" s="62">
        <f t="shared" si="877"/>
        <v>1</v>
      </c>
      <c r="M438" s="62">
        <f t="shared" si="877"/>
        <v>1</v>
      </c>
      <c r="N438" s="62">
        <f t="shared" si="877"/>
        <v>1</v>
      </c>
      <c r="O438" s="62">
        <f t="shared" si="877"/>
        <v>1</v>
      </c>
      <c r="P438" s="62" t="str">
        <f t="shared" si="877"/>
        <v/>
      </c>
      <c r="Q438" s="62" t="str">
        <f t="shared" si="877"/>
        <v/>
      </c>
      <c r="R438" s="62">
        <f t="shared" si="7"/>
        <v>0</v>
      </c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</row>
    <row r="439" hidden="1">
      <c r="A439" s="60">
        <f>IFERROR(__xludf.DUMMYFUNCTION("""COMPUTED_VALUE"""),11640.0)</f>
        <v>11640</v>
      </c>
      <c r="B439" s="60" t="str">
        <f>IFERROR(__xludf.DUMMYFUNCTION("""COMPUTED_VALUE"""),"Bridgewater, Teddy")</f>
        <v>Bridgewater, Teddy</v>
      </c>
      <c r="C439" s="60" t="str">
        <f>IFERROR(__xludf.DUMMYFUNCTION("""COMPUTED_VALUE"""),"QB")</f>
        <v>QB</v>
      </c>
      <c r="D439" s="60" t="str">
        <f>IFERROR(__xludf.DUMMYFUNCTION("""COMPUTED_VALUE"""),"FA")</f>
        <v>FA</v>
      </c>
      <c r="E439" s="62" t="str">
        <f t="shared" si="4"/>
        <v>Teddy Bridgewater</v>
      </c>
      <c r="F439" s="62">
        <f t="shared" ref="F439:G439" si="878">IF(isblank(F$1),,IF(isblank($A439),,IFERROR(vlookup($A439,indirect("'TVC-"&amp;text(month(F$1),"00")&amp;"'!$A:$D"),4,false),1)))</f>
        <v>1</v>
      </c>
      <c r="G439" s="62">
        <f t="shared" si="878"/>
        <v>1</v>
      </c>
      <c r="H439" s="62">
        <f t="shared" ref="H439:Q439" si="879">IF(isblank(H$1),,IFERROR(vlookup($A439,indirect("'TVC-"&amp;text(month(H$1),"00")&amp;"'!$A:$D"),4,false),1))</f>
        <v>1</v>
      </c>
      <c r="I439" s="62">
        <f t="shared" si="879"/>
        <v>1</v>
      </c>
      <c r="J439" s="62">
        <f t="shared" si="879"/>
        <v>1</v>
      </c>
      <c r="K439" s="62">
        <f t="shared" si="879"/>
        <v>1</v>
      </c>
      <c r="L439" s="62">
        <f t="shared" si="879"/>
        <v>1</v>
      </c>
      <c r="M439" s="62">
        <f t="shared" si="879"/>
        <v>1</v>
      </c>
      <c r="N439" s="62">
        <f t="shared" si="879"/>
        <v>1</v>
      </c>
      <c r="O439" s="62">
        <f t="shared" si="879"/>
        <v>1</v>
      </c>
      <c r="P439" s="62" t="str">
        <f t="shared" si="879"/>
        <v/>
      </c>
      <c r="Q439" s="62" t="str">
        <f t="shared" si="879"/>
        <v/>
      </c>
      <c r="R439" s="62">
        <f t="shared" si="7"/>
        <v>0</v>
      </c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</row>
    <row r="440" hidden="1">
      <c r="A440" s="60">
        <f>IFERROR(__xludf.DUMMYFUNCTION("""COMPUTED_VALUE"""),11644.0)</f>
        <v>11644</v>
      </c>
      <c r="B440" s="60" t="str">
        <f>IFERROR(__xludf.DUMMYFUNCTION("""COMPUTED_VALUE"""),"Carr, Derek")</f>
        <v>Carr, Derek</v>
      </c>
      <c r="C440" s="60" t="str">
        <f>IFERROR(__xludf.DUMMYFUNCTION("""COMPUTED_VALUE"""),"QB")</f>
        <v>QB</v>
      </c>
      <c r="D440" s="60" t="str">
        <f>IFERROR(__xludf.DUMMYFUNCTION("""COMPUTED_VALUE"""),"FA")</f>
        <v>FA</v>
      </c>
      <c r="E440" s="62" t="str">
        <f t="shared" si="4"/>
        <v>Derek Carr</v>
      </c>
      <c r="F440" s="62">
        <f t="shared" ref="F440:G440" si="880">IF(isblank(F$1),,IF(isblank($A440),,IFERROR(vlookup($A440,indirect("'TVC-"&amp;text(month(F$1),"00")&amp;"'!$A:$D"),4,false),1)))</f>
        <v>1</v>
      </c>
      <c r="G440" s="62">
        <f t="shared" si="880"/>
        <v>1</v>
      </c>
      <c r="H440" s="62">
        <f t="shared" ref="H440:Q440" si="881">IF(isblank(H$1),,IFERROR(vlookup($A440,indirect("'TVC-"&amp;text(month(H$1),"00")&amp;"'!$A:$D"),4,false),1))</f>
        <v>1</v>
      </c>
      <c r="I440" s="62">
        <f t="shared" si="881"/>
        <v>1</v>
      </c>
      <c r="J440" s="62">
        <f t="shared" si="881"/>
        <v>1</v>
      </c>
      <c r="K440" s="62">
        <f t="shared" si="881"/>
        <v>1</v>
      </c>
      <c r="L440" s="62">
        <f t="shared" si="881"/>
        <v>1</v>
      </c>
      <c r="M440" s="62">
        <f t="shared" si="881"/>
        <v>1</v>
      </c>
      <c r="N440" s="62">
        <f t="shared" si="881"/>
        <v>1</v>
      </c>
      <c r="O440" s="62">
        <f t="shared" si="881"/>
        <v>1</v>
      </c>
      <c r="P440" s="62" t="str">
        <f t="shared" si="881"/>
        <v/>
      </c>
      <c r="Q440" s="62" t="str">
        <f t="shared" si="881"/>
        <v/>
      </c>
      <c r="R440" s="62">
        <f t="shared" si="7"/>
        <v>0</v>
      </c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</row>
    <row r="441">
      <c r="A441" s="60">
        <f>IFERROR(__xludf.DUMMYFUNCTION("""COMPUTED_VALUE"""),11671.0)</f>
        <v>11671</v>
      </c>
      <c r="B441" s="60" t="str">
        <f>IFERROR(__xludf.DUMMYFUNCTION("""COMPUTED_VALUE"""),"Evans, Mike")</f>
        <v>Evans, Mike</v>
      </c>
      <c r="C441" s="60" t="str">
        <f>IFERROR(__xludf.DUMMYFUNCTION("""COMPUTED_VALUE"""),"WR")</f>
        <v>WR</v>
      </c>
      <c r="D441" s="60" t="str">
        <f>IFERROR(__xludf.DUMMYFUNCTION("""COMPUTED_VALUE"""),"SFO")</f>
        <v>SFO</v>
      </c>
      <c r="E441" s="62" t="str">
        <f t="shared" si="4"/>
        <v>Mike Evans</v>
      </c>
      <c r="F441" s="62">
        <f t="shared" ref="F441:G441" si="882">IF(isblank(F$1),,IF(isblank($A441),,IFERROR(vlookup($A441,indirect("'TVC-"&amp;text(month(F$1),"00")&amp;"'!$A:$D"),4,false),1)))</f>
        <v>2834</v>
      </c>
      <c r="G441" s="62">
        <f t="shared" si="882"/>
        <v>2867</v>
      </c>
      <c r="H441" s="62">
        <f t="shared" ref="H441:Q441" si="883">IF(isblank(H$1),,IFERROR(vlookup($A441,indirect("'TVC-"&amp;text(month(H$1),"00")&amp;"'!$A:$D"),4,false),1))</f>
        <v>2902</v>
      </c>
      <c r="I441" s="62">
        <f t="shared" si="883"/>
        <v>3338</v>
      </c>
      <c r="J441" s="62">
        <f t="shared" si="883"/>
        <v>3277</v>
      </c>
      <c r="K441" s="62">
        <f t="shared" si="883"/>
        <v>3279</v>
      </c>
      <c r="L441" s="62">
        <f t="shared" si="883"/>
        <v>3312</v>
      </c>
      <c r="M441" s="62">
        <f t="shared" si="883"/>
        <v>3322</v>
      </c>
      <c r="N441" s="62">
        <f t="shared" si="883"/>
        <v>3149</v>
      </c>
      <c r="O441" s="62">
        <f t="shared" si="883"/>
        <v>1</v>
      </c>
      <c r="P441" s="62" t="str">
        <f t="shared" si="883"/>
        <v/>
      </c>
      <c r="Q441" s="62" t="str">
        <f t="shared" si="883"/>
        <v/>
      </c>
      <c r="R441" s="62">
        <f t="shared" si="7"/>
        <v>-3148</v>
      </c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</row>
    <row r="442" hidden="1">
      <c r="A442" s="60">
        <f>IFERROR(__xludf.DUMMYFUNCTION("""COMPUTED_VALUE"""),11674.0)</f>
        <v>11674</v>
      </c>
      <c r="B442" s="60" t="str">
        <f>IFERROR(__xludf.DUMMYFUNCTION("""COMPUTED_VALUE"""),"Cooks, Brandin")</f>
        <v>Cooks, Brandin</v>
      </c>
      <c r="C442" s="60" t="str">
        <f>IFERROR(__xludf.DUMMYFUNCTION("""COMPUTED_VALUE"""),"WR")</f>
        <v>WR</v>
      </c>
      <c r="D442" s="60" t="str">
        <f>IFERROR(__xludf.DUMMYFUNCTION("""COMPUTED_VALUE"""),"SFO")</f>
        <v>SFO</v>
      </c>
      <c r="E442" s="62" t="str">
        <f t="shared" si="4"/>
        <v>Brandin Cooks</v>
      </c>
      <c r="F442" s="62">
        <f t="shared" ref="F442:G442" si="884">IF(isblank(F$1),,IF(isblank($A442),,IFERROR(vlookup($A442,indirect("'TVC-"&amp;text(month(F$1),"00")&amp;"'!$A:$D"),4,false),1)))</f>
        <v>407</v>
      </c>
      <c r="G442" s="62">
        <f t="shared" si="884"/>
        <v>1</v>
      </c>
      <c r="H442" s="62">
        <f t="shared" ref="H442:Q442" si="885">IF(isblank(H$1),,IFERROR(vlookup($A442,indirect("'TVC-"&amp;text(month(H$1),"00")&amp;"'!$A:$D"),4,false),1))</f>
        <v>1</v>
      </c>
      <c r="I442" s="62">
        <f t="shared" si="885"/>
        <v>1</v>
      </c>
      <c r="J442" s="62">
        <f t="shared" si="885"/>
        <v>1</v>
      </c>
      <c r="K442" s="62">
        <f t="shared" si="885"/>
        <v>1</v>
      </c>
      <c r="L442" s="62">
        <f t="shared" si="885"/>
        <v>1</v>
      </c>
      <c r="M442" s="62">
        <f t="shared" si="885"/>
        <v>1</v>
      </c>
      <c r="N442" s="62">
        <f t="shared" si="885"/>
        <v>1</v>
      </c>
      <c r="O442" s="62">
        <f t="shared" si="885"/>
        <v>1</v>
      </c>
      <c r="P442" s="62" t="str">
        <f t="shared" si="885"/>
        <v/>
      </c>
      <c r="Q442" s="62" t="str">
        <f t="shared" si="885"/>
        <v/>
      </c>
      <c r="R442" s="62">
        <f t="shared" si="7"/>
        <v>0</v>
      </c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</row>
    <row r="443">
      <c r="A443" s="60">
        <f>IFERROR(__xludf.DUMMYFUNCTION("""COMPUTED_VALUE"""),11675.0)</f>
        <v>11675</v>
      </c>
      <c r="B443" s="60" t="str">
        <f>IFERROR(__xludf.DUMMYFUNCTION("""COMPUTED_VALUE"""),"Adams, Davante")</f>
        <v>Adams, Davante</v>
      </c>
      <c r="C443" s="60" t="str">
        <f>IFERROR(__xludf.DUMMYFUNCTION("""COMPUTED_VALUE"""),"WR")</f>
        <v>WR</v>
      </c>
      <c r="D443" s="60" t="str">
        <f>IFERROR(__xludf.DUMMYFUNCTION("""COMPUTED_VALUE"""),"LAR")</f>
        <v>LAR</v>
      </c>
      <c r="E443" s="62" t="str">
        <f t="shared" si="4"/>
        <v>Davante Adams</v>
      </c>
      <c r="F443" s="62">
        <f t="shared" ref="F443:G443" si="886">IF(isblank(F$1),,IF(isblank($A443),,IFERROR(vlookup($A443,indirect("'TVC-"&amp;text(month(F$1),"00")&amp;"'!$A:$D"),4,false),1)))</f>
        <v>3675</v>
      </c>
      <c r="G443" s="62">
        <f t="shared" si="886"/>
        <v>3658</v>
      </c>
      <c r="H443" s="62">
        <f t="shared" ref="H443:Q443" si="887">IF(isblank(H$1),,IFERROR(vlookup($A443,indirect("'TVC-"&amp;text(month(H$1),"00")&amp;"'!$A:$D"),4,false),1))</f>
        <v>3692</v>
      </c>
      <c r="I443" s="62">
        <f t="shared" si="887"/>
        <v>3540</v>
      </c>
      <c r="J443" s="62">
        <f t="shared" si="887"/>
        <v>3425</v>
      </c>
      <c r="K443" s="62">
        <f t="shared" si="887"/>
        <v>3279</v>
      </c>
      <c r="L443" s="62">
        <f t="shared" si="887"/>
        <v>3329</v>
      </c>
      <c r="M443" s="62">
        <f t="shared" si="887"/>
        <v>3451</v>
      </c>
      <c r="N443" s="62">
        <f t="shared" si="887"/>
        <v>3545</v>
      </c>
      <c r="O443" s="62">
        <f t="shared" si="887"/>
        <v>1</v>
      </c>
      <c r="P443" s="62" t="str">
        <f t="shared" si="887"/>
        <v/>
      </c>
      <c r="Q443" s="62" t="str">
        <f t="shared" si="887"/>
        <v/>
      </c>
      <c r="R443" s="62">
        <f t="shared" si="7"/>
        <v>-3544</v>
      </c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</row>
    <row r="444" hidden="1">
      <c r="A444" s="60">
        <f>IFERROR(__xludf.DUMMYFUNCTION("""COMPUTED_VALUE"""),11679.0)</f>
        <v>11679</v>
      </c>
      <c r="B444" s="60" t="str">
        <f>IFERROR(__xludf.DUMMYFUNCTION("""COMPUTED_VALUE"""),"Beckham, Odell")</f>
        <v>Beckham, Odell</v>
      </c>
      <c r="C444" s="60" t="str">
        <f>IFERROR(__xludf.DUMMYFUNCTION("""COMPUTED_VALUE"""),"WR")</f>
        <v>WR</v>
      </c>
      <c r="D444" s="60" t="str">
        <f>IFERROR(__xludf.DUMMYFUNCTION("""COMPUTED_VALUE"""),"MIN")</f>
        <v>MIN</v>
      </c>
      <c r="E444" s="62" t="str">
        <f t="shared" si="4"/>
        <v>Odell Beckham</v>
      </c>
      <c r="F444" s="62">
        <f t="shared" ref="F444:G444" si="888">IF(isblank(F$1),,IF(isblank($A444),,IFERROR(vlookup($A444,indirect("'TVC-"&amp;text(month(F$1),"00")&amp;"'!$A:$D"),4,false),1)))</f>
        <v>1</v>
      </c>
      <c r="G444" s="62">
        <f t="shared" si="888"/>
        <v>1</v>
      </c>
      <c r="H444" s="62">
        <f t="shared" ref="H444:Q444" si="889">IF(isblank(H$1),,IFERROR(vlookup($A444,indirect("'TVC-"&amp;text(month(H$1),"00")&amp;"'!$A:$D"),4,false),1))</f>
        <v>1</v>
      </c>
      <c r="I444" s="62">
        <f t="shared" si="889"/>
        <v>1</v>
      </c>
      <c r="J444" s="62">
        <f t="shared" si="889"/>
        <v>1</v>
      </c>
      <c r="K444" s="62">
        <f t="shared" si="889"/>
        <v>1</v>
      </c>
      <c r="L444" s="62">
        <f t="shared" si="889"/>
        <v>1</v>
      </c>
      <c r="M444" s="62">
        <f t="shared" si="889"/>
        <v>1</v>
      </c>
      <c r="N444" s="62">
        <f t="shared" si="889"/>
        <v>521</v>
      </c>
      <c r="O444" s="62">
        <f t="shared" si="889"/>
        <v>1</v>
      </c>
      <c r="P444" s="62" t="str">
        <f t="shared" si="889"/>
        <v/>
      </c>
      <c r="Q444" s="62" t="str">
        <f t="shared" si="889"/>
        <v/>
      </c>
      <c r="R444" s="62">
        <f t="shared" si="7"/>
        <v>-520</v>
      </c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</row>
    <row r="445" hidden="1">
      <c r="A445" s="60">
        <f>IFERROR(__xludf.DUMMYFUNCTION("""COMPUTED_VALUE"""),11706.0)</f>
        <v>11706</v>
      </c>
      <c r="B445" s="60" t="str">
        <f>IFERROR(__xludf.DUMMYFUNCTION("""COMPUTED_VALUE"""),"Clowney, Jadeveon")</f>
        <v>Clowney, Jadeveon</v>
      </c>
      <c r="C445" s="60" t="str">
        <f>IFERROR(__xludf.DUMMYFUNCTION("""COMPUTED_VALUE"""),"DE")</f>
        <v>DE</v>
      </c>
      <c r="D445" s="60" t="str">
        <f>IFERROR(__xludf.DUMMYFUNCTION("""COMPUTED_VALUE"""),"HOU")</f>
        <v>HOU</v>
      </c>
      <c r="E445" s="62" t="str">
        <f t="shared" si="4"/>
        <v>Jadeveon Clowney</v>
      </c>
      <c r="F445" s="62">
        <f t="shared" ref="F445:G445" si="890">IF(isblank(F$1),,IF(isblank($A445),,IFERROR(vlookup($A445,indirect("'TVC-"&amp;text(month(F$1),"00")&amp;"'!$A:$D"),4,false),1)))</f>
        <v>1</v>
      </c>
      <c r="G445" s="62">
        <f t="shared" si="890"/>
        <v>1</v>
      </c>
      <c r="H445" s="62">
        <f t="shared" ref="H445:Q445" si="891">IF(isblank(H$1),,IFERROR(vlookup($A445,indirect("'TVC-"&amp;text(month(H$1),"00")&amp;"'!$A:$D"),4,false),1))</f>
        <v>1</v>
      </c>
      <c r="I445" s="62">
        <f t="shared" si="891"/>
        <v>1</v>
      </c>
      <c r="J445" s="62">
        <f t="shared" si="891"/>
        <v>1</v>
      </c>
      <c r="K445" s="62">
        <f t="shared" si="891"/>
        <v>1</v>
      </c>
      <c r="L445" s="62">
        <f t="shared" si="891"/>
        <v>1</v>
      </c>
      <c r="M445" s="62">
        <f t="shared" si="891"/>
        <v>1</v>
      </c>
      <c r="N445" s="62">
        <f t="shared" si="891"/>
        <v>1</v>
      </c>
      <c r="O445" s="62">
        <f t="shared" si="891"/>
        <v>1</v>
      </c>
      <c r="P445" s="62" t="str">
        <f t="shared" si="891"/>
        <v/>
      </c>
      <c r="Q445" s="62" t="str">
        <f t="shared" si="891"/>
        <v/>
      </c>
      <c r="R445" s="62">
        <f t="shared" si="7"/>
        <v>0</v>
      </c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</row>
    <row r="446" hidden="1">
      <c r="A446" s="60">
        <f>IFERROR(__xludf.DUMMYFUNCTION("""COMPUTED_VALUE"""),11721.0)</f>
        <v>11721</v>
      </c>
      <c r="B446" s="60" t="str">
        <f>IFERROR(__xludf.DUMMYFUNCTION("""COMPUTED_VALUE"""),"Mack, Khalil")</f>
        <v>Mack, Khalil</v>
      </c>
      <c r="C446" s="60" t="str">
        <f>IFERROR(__xludf.DUMMYFUNCTION("""COMPUTED_VALUE"""),"DE")</f>
        <v>DE</v>
      </c>
      <c r="D446" s="60" t="str">
        <f>IFERROR(__xludf.DUMMYFUNCTION("""COMPUTED_VALUE"""),"LAC")</f>
        <v>LAC</v>
      </c>
      <c r="E446" s="62" t="str">
        <f t="shared" si="4"/>
        <v>Khalil Mack</v>
      </c>
      <c r="F446" s="62">
        <f t="shared" ref="F446:G446" si="892">IF(isblank(F$1),,IF(isblank($A446),,IFERROR(vlookup($A446,indirect("'TVC-"&amp;text(month(F$1),"00")&amp;"'!$A:$D"),4,false),1)))</f>
        <v>1</v>
      </c>
      <c r="G446" s="62">
        <f t="shared" si="892"/>
        <v>1</v>
      </c>
      <c r="H446" s="62">
        <f t="shared" ref="H446:Q446" si="893">IF(isblank(H$1),,IFERROR(vlookup($A446,indirect("'TVC-"&amp;text(month(H$1),"00")&amp;"'!$A:$D"),4,false),1))</f>
        <v>1</v>
      </c>
      <c r="I446" s="62">
        <f t="shared" si="893"/>
        <v>1</v>
      </c>
      <c r="J446" s="62">
        <f t="shared" si="893"/>
        <v>1</v>
      </c>
      <c r="K446" s="62">
        <f t="shared" si="893"/>
        <v>1</v>
      </c>
      <c r="L446" s="62">
        <f t="shared" si="893"/>
        <v>1</v>
      </c>
      <c r="M446" s="62">
        <f t="shared" si="893"/>
        <v>1</v>
      </c>
      <c r="N446" s="62">
        <f t="shared" si="893"/>
        <v>1</v>
      </c>
      <c r="O446" s="62">
        <f t="shared" si="893"/>
        <v>1</v>
      </c>
      <c r="P446" s="62" t="str">
        <f t="shared" si="893"/>
        <v/>
      </c>
      <c r="Q446" s="62" t="str">
        <f t="shared" si="893"/>
        <v/>
      </c>
      <c r="R446" s="62">
        <f t="shared" si="7"/>
        <v>0</v>
      </c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</row>
    <row r="447" hidden="1">
      <c r="A447" s="60">
        <f>IFERROR(__xludf.DUMMYFUNCTION("""COMPUTED_VALUE"""),11723.0)</f>
        <v>11723</v>
      </c>
      <c r="B447" s="60" t="str">
        <f>IFERROR(__xludf.DUMMYFUNCTION("""COMPUTED_VALUE"""),"Van Noy, Kyle")</f>
        <v>Van Noy, Kyle</v>
      </c>
      <c r="C447" s="60" t="str">
        <f>IFERROR(__xludf.DUMMYFUNCTION("""COMPUTED_VALUE"""),"DE")</f>
        <v>DE</v>
      </c>
      <c r="D447" s="60" t="str">
        <f>IFERROR(__xludf.DUMMYFUNCTION("""COMPUTED_VALUE"""),"MIN")</f>
        <v>MIN</v>
      </c>
      <c r="E447" s="62" t="str">
        <f t="shared" si="4"/>
        <v>Kyle Van Noy</v>
      </c>
      <c r="F447" s="62">
        <f t="shared" ref="F447:G447" si="894">IF(isblank(F$1),,IF(isblank($A447),,IFERROR(vlookup($A447,indirect("'TVC-"&amp;text(month(F$1),"00")&amp;"'!$A:$D"),4,false),1)))</f>
        <v>1</v>
      </c>
      <c r="G447" s="62">
        <f t="shared" si="894"/>
        <v>1</v>
      </c>
      <c r="H447" s="62">
        <f t="shared" ref="H447:Q447" si="895">IF(isblank(H$1),,IFERROR(vlookup($A447,indirect("'TVC-"&amp;text(month(H$1),"00")&amp;"'!$A:$D"),4,false),1))</f>
        <v>1</v>
      </c>
      <c r="I447" s="62">
        <f t="shared" si="895"/>
        <v>1</v>
      </c>
      <c r="J447" s="62">
        <f t="shared" si="895"/>
        <v>1</v>
      </c>
      <c r="K447" s="62">
        <f t="shared" si="895"/>
        <v>1</v>
      </c>
      <c r="L447" s="62">
        <f t="shared" si="895"/>
        <v>1</v>
      </c>
      <c r="M447" s="62">
        <f t="shared" si="895"/>
        <v>1</v>
      </c>
      <c r="N447" s="62">
        <f t="shared" si="895"/>
        <v>1</v>
      </c>
      <c r="O447" s="62">
        <f t="shared" si="895"/>
        <v>1</v>
      </c>
      <c r="P447" s="62" t="str">
        <f t="shared" si="895"/>
        <v/>
      </c>
      <c r="Q447" s="62" t="str">
        <f t="shared" si="895"/>
        <v/>
      </c>
      <c r="R447" s="62">
        <f t="shared" si="7"/>
        <v>0</v>
      </c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</row>
    <row r="448" hidden="1">
      <c r="A448" s="60">
        <f>IFERROR(__xludf.DUMMYFUNCTION("""COMPUTED_VALUE"""),11757.0)</f>
        <v>11757</v>
      </c>
      <c r="B448" s="60" t="str">
        <f>IFERROR(__xludf.DUMMYFUNCTION("""COMPUTED_VALUE"""),"Donald, Aaron")</f>
        <v>Donald, Aaron</v>
      </c>
      <c r="C448" s="60" t="str">
        <f>IFERROR(__xludf.DUMMYFUNCTION("""COMPUTED_VALUE"""),"DT")</f>
        <v>DT</v>
      </c>
      <c r="D448" s="60" t="str">
        <f>IFERROR(__xludf.DUMMYFUNCTION("""COMPUTED_VALUE"""),"LAR")</f>
        <v>LAR</v>
      </c>
      <c r="E448" s="62" t="str">
        <f t="shared" si="4"/>
        <v>Aaron Donald</v>
      </c>
      <c r="F448" s="62">
        <f t="shared" ref="F448:G448" si="896">IF(isblank(F$1),,IF(isblank($A448),,IFERROR(vlookup($A448,indirect("'TVC-"&amp;text(month(F$1),"00")&amp;"'!$A:$D"),4,false),1)))</f>
        <v>1</v>
      </c>
      <c r="G448" s="62">
        <f t="shared" si="896"/>
        <v>1</v>
      </c>
      <c r="H448" s="62">
        <f t="shared" ref="H448:Q448" si="897">IF(isblank(H$1),,IFERROR(vlookup($A448,indirect("'TVC-"&amp;text(month(H$1),"00")&amp;"'!$A:$D"),4,false),1))</f>
        <v>1</v>
      </c>
      <c r="I448" s="62">
        <f t="shared" si="897"/>
        <v>1</v>
      </c>
      <c r="J448" s="62">
        <f t="shared" si="897"/>
        <v>1</v>
      </c>
      <c r="K448" s="62">
        <f t="shared" si="897"/>
        <v>1</v>
      </c>
      <c r="L448" s="62">
        <f t="shared" si="897"/>
        <v>1</v>
      </c>
      <c r="M448" s="62">
        <f t="shared" si="897"/>
        <v>1</v>
      </c>
      <c r="N448" s="62">
        <f t="shared" si="897"/>
        <v>1</v>
      </c>
      <c r="O448" s="62">
        <f t="shared" si="897"/>
        <v>1</v>
      </c>
      <c r="P448" s="62" t="str">
        <f t="shared" si="897"/>
        <v/>
      </c>
      <c r="Q448" s="62" t="str">
        <f t="shared" si="897"/>
        <v/>
      </c>
      <c r="R448" s="62">
        <f t="shared" si="7"/>
        <v>0</v>
      </c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</row>
    <row r="449" hidden="1">
      <c r="A449" s="60">
        <f>IFERROR(__xludf.DUMMYFUNCTION("""COMPUTED_VALUE"""),11760.0)</f>
        <v>11760</v>
      </c>
      <c r="B449" s="60" t="str">
        <f>IFERROR(__xludf.DUMMYFUNCTION("""COMPUTED_VALUE"""),"Garoppolo, Jimmy")</f>
        <v>Garoppolo, Jimmy</v>
      </c>
      <c r="C449" s="60" t="str">
        <f>IFERROR(__xludf.DUMMYFUNCTION("""COMPUTED_VALUE"""),"QB")</f>
        <v>QB</v>
      </c>
      <c r="D449" s="60" t="str">
        <f>IFERROR(__xludf.DUMMYFUNCTION("""COMPUTED_VALUE"""),"LAR")</f>
        <v>LAR</v>
      </c>
      <c r="E449" s="62" t="str">
        <f t="shared" si="4"/>
        <v>Jimmy Garoppolo</v>
      </c>
      <c r="F449" s="62">
        <f t="shared" ref="F449:G449" si="898">IF(isblank(F$1),,IF(isblank($A449),,IFERROR(vlookup($A449,indirect("'TVC-"&amp;text(month(F$1),"00")&amp;"'!$A:$D"),4,false),1)))</f>
        <v>387</v>
      </c>
      <c r="G449" s="62">
        <f t="shared" si="898"/>
        <v>1</v>
      </c>
      <c r="H449" s="62">
        <f t="shared" ref="H449:Q449" si="899">IF(isblank(H$1),,IFERROR(vlookup($A449,indirect("'TVC-"&amp;text(month(H$1),"00")&amp;"'!$A:$D"),4,false),1))</f>
        <v>1</v>
      </c>
      <c r="I449" s="62">
        <f t="shared" si="899"/>
        <v>1</v>
      </c>
      <c r="J449" s="62">
        <f t="shared" si="899"/>
        <v>1</v>
      </c>
      <c r="K449" s="62">
        <f t="shared" si="899"/>
        <v>1</v>
      </c>
      <c r="L449" s="62">
        <f t="shared" si="899"/>
        <v>1</v>
      </c>
      <c r="M449" s="62">
        <f t="shared" si="899"/>
        <v>1</v>
      </c>
      <c r="N449" s="62">
        <f t="shared" si="899"/>
        <v>1</v>
      </c>
      <c r="O449" s="62">
        <f t="shared" si="899"/>
        <v>1</v>
      </c>
      <c r="P449" s="62" t="str">
        <f t="shared" si="899"/>
        <v/>
      </c>
      <c r="Q449" s="62" t="str">
        <f t="shared" si="899"/>
        <v/>
      </c>
      <c r="R449" s="62">
        <f t="shared" si="7"/>
        <v>0</v>
      </c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</row>
    <row r="450" hidden="1">
      <c r="A450" s="60">
        <f>IFERROR(__xludf.DUMMYFUNCTION("""COMPUTED_VALUE"""),11768.0)</f>
        <v>11768</v>
      </c>
      <c r="B450" s="60" t="str">
        <f>IFERROR(__xludf.DUMMYFUNCTION("""COMPUTED_VALUE"""),"Ward, Jimmie")</f>
        <v>Ward, Jimmie</v>
      </c>
      <c r="C450" s="60" t="str">
        <f>IFERROR(__xludf.DUMMYFUNCTION("""COMPUTED_VALUE"""),"S")</f>
        <v>S</v>
      </c>
      <c r="D450" s="60" t="str">
        <f>IFERROR(__xludf.DUMMYFUNCTION("""COMPUTED_VALUE"""),"FA")</f>
        <v>FA</v>
      </c>
      <c r="E450" s="62" t="str">
        <f t="shared" si="4"/>
        <v>Jimmie Ward</v>
      </c>
      <c r="F450" s="62">
        <f t="shared" ref="F450:G450" si="900">IF(isblank(F$1),,IF(isblank($A450),,IFERROR(vlookup($A450,indirect("'TVC-"&amp;text(month(F$1),"00")&amp;"'!$A:$D"),4,false),1)))</f>
        <v>1</v>
      </c>
      <c r="G450" s="62">
        <f t="shared" si="900"/>
        <v>1</v>
      </c>
      <c r="H450" s="62">
        <f t="shared" ref="H450:Q450" si="901">IF(isblank(H$1),,IFERROR(vlookup($A450,indirect("'TVC-"&amp;text(month(H$1),"00")&amp;"'!$A:$D"),4,false),1))</f>
        <v>1</v>
      </c>
      <c r="I450" s="62">
        <f t="shared" si="901"/>
        <v>1</v>
      </c>
      <c r="J450" s="62">
        <f t="shared" si="901"/>
        <v>1</v>
      </c>
      <c r="K450" s="62">
        <f t="shared" si="901"/>
        <v>1</v>
      </c>
      <c r="L450" s="62">
        <f t="shared" si="901"/>
        <v>1</v>
      </c>
      <c r="M450" s="62">
        <f t="shared" si="901"/>
        <v>1</v>
      </c>
      <c r="N450" s="62">
        <f t="shared" si="901"/>
        <v>1</v>
      </c>
      <c r="O450" s="62">
        <f t="shared" si="901"/>
        <v>1</v>
      </c>
      <c r="P450" s="62" t="str">
        <f t="shared" si="901"/>
        <v/>
      </c>
      <c r="Q450" s="62" t="str">
        <f t="shared" si="901"/>
        <v/>
      </c>
      <c r="R450" s="62">
        <f t="shared" si="7"/>
        <v>0</v>
      </c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</row>
    <row r="451" hidden="1">
      <c r="A451" s="60">
        <f>IFERROR(__xludf.DUMMYFUNCTION("""COMPUTED_VALUE"""),11769.0)</f>
        <v>11769</v>
      </c>
      <c r="B451" s="60" t="str">
        <f>IFERROR(__xludf.DUMMYFUNCTION("""COMPUTED_VALUE"""),"Lawrence, Demarcus")</f>
        <v>Lawrence, Demarcus</v>
      </c>
      <c r="C451" s="60" t="str">
        <f>IFERROR(__xludf.DUMMYFUNCTION("""COMPUTED_VALUE"""),"DE")</f>
        <v>DE</v>
      </c>
      <c r="D451" s="60" t="str">
        <f>IFERROR(__xludf.DUMMYFUNCTION("""COMPUTED_VALUE"""),"SEA")</f>
        <v>SEA</v>
      </c>
      <c r="E451" s="62" t="str">
        <f t="shared" si="4"/>
        <v>Demarcus Lawrence</v>
      </c>
      <c r="F451" s="62">
        <f t="shared" ref="F451:G451" si="902">IF(isblank(F$1),,IF(isblank($A451),,IFERROR(vlookup($A451,indirect("'TVC-"&amp;text(month(F$1),"00")&amp;"'!$A:$D"),4,false),1)))</f>
        <v>1</v>
      </c>
      <c r="G451" s="62">
        <f t="shared" si="902"/>
        <v>1</v>
      </c>
      <c r="H451" s="62">
        <f t="shared" ref="H451:Q451" si="903">IF(isblank(H$1),,IFERROR(vlookup($A451,indirect("'TVC-"&amp;text(month(H$1),"00")&amp;"'!$A:$D"),4,false),1))</f>
        <v>1</v>
      </c>
      <c r="I451" s="62">
        <f t="shared" si="903"/>
        <v>1</v>
      </c>
      <c r="J451" s="62">
        <f t="shared" si="903"/>
        <v>1</v>
      </c>
      <c r="K451" s="62">
        <f t="shared" si="903"/>
        <v>1</v>
      </c>
      <c r="L451" s="62">
        <f t="shared" si="903"/>
        <v>1</v>
      </c>
      <c r="M451" s="62">
        <f t="shared" si="903"/>
        <v>1</v>
      </c>
      <c r="N451" s="62">
        <f t="shared" si="903"/>
        <v>1</v>
      </c>
      <c r="O451" s="62">
        <f t="shared" si="903"/>
        <v>1</v>
      </c>
      <c r="P451" s="62" t="str">
        <f t="shared" si="903"/>
        <v/>
      </c>
      <c r="Q451" s="62" t="str">
        <f t="shared" si="903"/>
        <v/>
      </c>
      <c r="R451" s="62">
        <f t="shared" si="7"/>
        <v>0</v>
      </c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</row>
    <row r="452" hidden="1">
      <c r="A452" s="60">
        <f>IFERROR(__xludf.DUMMYFUNCTION("""COMPUTED_VALUE"""),11793.0)</f>
        <v>11793</v>
      </c>
      <c r="B452" s="60" t="str">
        <f>IFERROR(__xludf.DUMMYFUNCTION("""COMPUTED_VALUE"""),"Jones, DaQuan")</f>
        <v>Jones, DaQuan</v>
      </c>
      <c r="C452" s="60" t="str">
        <f>IFERROR(__xludf.DUMMYFUNCTION("""COMPUTED_VALUE"""),"DT")</f>
        <v>DT</v>
      </c>
      <c r="D452" s="60" t="str">
        <f>IFERROR(__xludf.DUMMYFUNCTION("""COMPUTED_VALUE"""),"NEP")</f>
        <v>NEP</v>
      </c>
      <c r="E452" s="62" t="str">
        <f t="shared" si="4"/>
        <v>DaQuan Jones</v>
      </c>
      <c r="F452" s="62">
        <f t="shared" ref="F452:G452" si="904">IF(isblank(F$1),,IF(isblank($A452),,IFERROR(vlookup($A452,indirect("'TVC-"&amp;text(month(F$1),"00")&amp;"'!$A:$D"),4,false),1)))</f>
        <v>1</v>
      </c>
      <c r="G452" s="62">
        <f t="shared" si="904"/>
        <v>1</v>
      </c>
      <c r="H452" s="62">
        <f t="shared" ref="H452:Q452" si="905">IF(isblank(H$1),,IFERROR(vlookup($A452,indirect("'TVC-"&amp;text(month(H$1),"00")&amp;"'!$A:$D"),4,false),1))</f>
        <v>1</v>
      </c>
      <c r="I452" s="62">
        <f t="shared" si="905"/>
        <v>1</v>
      </c>
      <c r="J452" s="62">
        <f t="shared" si="905"/>
        <v>1</v>
      </c>
      <c r="K452" s="62">
        <f t="shared" si="905"/>
        <v>1</v>
      </c>
      <c r="L452" s="62">
        <f t="shared" si="905"/>
        <v>1</v>
      </c>
      <c r="M452" s="62">
        <f t="shared" si="905"/>
        <v>1</v>
      </c>
      <c r="N452" s="62">
        <f t="shared" si="905"/>
        <v>1</v>
      </c>
      <c r="O452" s="62">
        <f t="shared" si="905"/>
        <v>1</v>
      </c>
      <c r="P452" s="62" t="str">
        <f t="shared" si="905"/>
        <v/>
      </c>
      <c r="Q452" s="62" t="str">
        <f t="shared" si="905"/>
        <v/>
      </c>
      <c r="R452" s="62">
        <f t="shared" si="7"/>
        <v>0</v>
      </c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</row>
    <row r="453" hidden="1">
      <c r="A453" s="60">
        <f>IFERROR(__xludf.DUMMYFUNCTION("""COMPUTED_VALUE"""),11807.0)</f>
        <v>11807</v>
      </c>
      <c r="B453" s="60" t="str">
        <f>IFERROR(__xludf.DUMMYFUNCTION("""COMPUTED_VALUE"""),"Urban, Brent")</f>
        <v>Urban, Brent</v>
      </c>
      <c r="C453" s="60" t="str">
        <f>IFERROR(__xludf.DUMMYFUNCTION("""COMPUTED_VALUE"""),"DT")</f>
        <v>DT</v>
      </c>
      <c r="D453" s="60" t="str">
        <f>IFERROR(__xludf.DUMMYFUNCTION("""COMPUTED_VALUE"""),"BAL")</f>
        <v>BAL</v>
      </c>
      <c r="E453" s="62" t="str">
        <f t="shared" si="4"/>
        <v>Brent Urban</v>
      </c>
      <c r="F453" s="62">
        <f t="shared" ref="F453:G453" si="906">IF(isblank(F$1),,IF(isblank($A453),,IFERROR(vlookup($A453,indirect("'TVC-"&amp;text(month(F$1),"00")&amp;"'!$A:$D"),4,false),1)))</f>
        <v>1</v>
      </c>
      <c r="G453" s="62">
        <f t="shared" si="906"/>
        <v>1</v>
      </c>
      <c r="H453" s="62">
        <f t="shared" ref="H453:Q453" si="907">IF(isblank(H$1),,IFERROR(vlookup($A453,indirect("'TVC-"&amp;text(month(H$1),"00")&amp;"'!$A:$D"),4,false),1))</f>
        <v>1</v>
      </c>
      <c r="I453" s="62">
        <f t="shared" si="907"/>
        <v>1</v>
      </c>
      <c r="J453" s="62">
        <f t="shared" si="907"/>
        <v>1</v>
      </c>
      <c r="K453" s="62">
        <f t="shared" si="907"/>
        <v>1</v>
      </c>
      <c r="L453" s="62">
        <f t="shared" si="907"/>
        <v>1</v>
      </c>
      <c r="M453" s="62">
        <f t="shared" si="907"/>
        <v>1</v>
      </c>
      <c r="N453" s="62">
        <f t="shared" si="907"/>
        <v>1</v>
      </c>
      <c r="O453" s="62">
        <f t="shared" si="907"/>
        <v>1</v>
      </c>
      <c r="P453" s="62" t="str">
        <f t="shared" si="907"/>
        <v/>
      </c>
      <c r="Q453" s="62" t="str">
        <f t="shared" si="907"/>
        <v/>
      </c>
      <c r="R453" s="62">
        <f t="shared" si="7"/>
        <v>0</v>
      </c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</row>
    <row r="454" hidden="1">
      <c r="A454" s="60">
        <f>IFERROR(__xludf.DUMMYFUNCTION("""COMPUTED_VALUE"""),11840.0)</f>
        <v>11840</v>
      </c>
      <c r="B454" s="60" t="str">
        <f>IFERROR(__xludf.DUMMYFUNCTION("""COMPUTED_VALUE"""),"O'Donnell, Pat")</f>
        <v>O'Donnell, Pat</v>
      </c>
      <c r="C454" s="60" t="str">
        <f>IFERROR(__xludf.DUMMYFUNCTION("""COMPUTED_VALUE"""),"PN")</f>
        <v>PN</v>
      </c>
      <c r="D454" s="60" t="str">
        <f>IFERROR(__xludf.DUMMYFUNCTION("""COMPUTED_VALUE"""),"FA")</f>
        <v>FA</v>
      </c>
      <c r="E454" s="62" t="str">
        <f t="shared" si="4"/>
        <v>Pat O'Donnell</v>
      </c>
      <c r="F454" s="62">
        <f t="shared" ref="F454:G454" si="908">IF(isblank(F$1),,IF(isblank($A454),,IFERROR(vlookup($A454,indirect("'TVC-"&amp;text(month(F$1),"00")&amp;"'!$A:$D"),4,false),1)))</f>
        <v>1</v>
      </c>
      <c r="G454" s="62">
        <f t="shared" si="908"/>
        <v>1</v>
      </c>
      <c r="H454" s="62">
        <f t="shared" ref="H454:Q454" si="909">IF(isblank(H$1),,IFERROR(vlookup($A454,indirect("'TVC-"&amp;text(month(H$1),"00")&amp;"'!$A:$D"),4,false),1))</f>
        <v>1</v>
      </c>
      <c r="I454" s="62">
        <f t="shared" si="909"/>
        <v>1</v>
      </c>
      <c r="J454" s="62">
        <f t="shared" si="909"/>
        <v>1</v>
      </c>
      <c r="K454" s="62">
        <f t="shared" si="909"/>
        <v>1</v>
      </c>
      <c r="L454" s="62">
        <f t="shared" si="909"/>
        <v>1</v>
      </c>
      <c r="M454" s="62">
        <f t="shared" si="909"/>
        <v>1</v>
      </c>
      <c r="N454" s="62">
        <f t="shared" si="909"/>
        <v>1</v>
      </c>
      <c r="O454" s="62">
        <f t="shared" si="909"/>
        <v>1</v>
      </c>
      <c r="P454" s="62" t="str">
        <f t="shared" si="909"/>
        <v/>
      </c>
      <c r="Q454" s="62" t="str">
        <f t="shared" si="909"/>
        <v/>
      </c>
      <c r="R454" s="62">
        <f t="shared" si="7"/>
        <v>0</v>
      </c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</row>
    <row r="455" hidden="1">
      <c r="A455" s="60">
        <f>IFERROR(__xludf.DUMMYFUNCTION("""COMPUTED_VALUE"""),11872.0)</f>
        <v>11872</v>
      </c>
      <c r="B455" s="60" t="str">
        <f>IFERROR(__xludf.DUMMYFUNCTION("""COMPUTED_VALUE"""),"Harris, Shelby")</f>
        <v>Harris, Shelby</v>
      </c>
      <c r="C455" s="60" t="str">
        <f>IFERROR(__xludf.DUMMYFUNCTION("""COMPUTED_VALUE"""),"DT")</f>
        <v>DT</v>
      </c>
      <c r="D455" s="60" t="str">
        <f>IFERROR(__xludf.DUMMYFUNCTION("""COMPUTED_VALUE"""),"NYG")</f>
        <v>NYG</v>
      </c>
      <c r="E455" s="62" t="str">
        <f t="shared" si="4"/>
        <v>Shelby Harris</v>
      </c>
      <c r="F455" s="62">
        <f t="shared" ref="F455:G455" si="910">IF(isblank(F$1),,IF(isblank($A455),,IFERROR(vlookup($A455,indirect("'TVC-"&amp;text(month(F$1),"00")&amp;"'!$A:$D"),4,false),1)))</f>
        <v>1</v>
      </c>
      <c r="G455" s="62">
        <f t="shared" si="910"/>
        <v>1</v>
      </c>
      <c r="H455" s="62">
        <f t="shared" ref="H455:Q455" si="911">IF(isblank(H$1),,IFERROR(vlookup($A455,indirect("'TVC-"&amp;text(month(H$1),"00")&amp;"'!$A:$D"),4,false),1))</f>
        <v>1</v>
      </c>
      <c r="I455" s="62">
        <f t="shared" si="911"/>
        <v>1</v>
      </c>
      <c r="J455" s="62">
        <f t="shared" si="911"/>
        <v>1</v>
      </c>
      <c r="K455" s="62">
        <f t="shared" si="911"/>
        <v>1</v>
      </c>
      <c r="L455" s="62">
        <f t="shared" si="911"/>
        <v>1</v>
      </c>
      <c r="M455" s="62">
        <f t="shared" si="911"/>
        <v>1</v>
      </c>
      <c r="N455" s="62">
        <f t="shared" si="911"/>
        <v>1</v>
      </c>
      <c r="O455" s="62">
        <f t="shared" si="911"/>
        <v>1</v>
      </c>
      <c r="P455" s="62" t="str">
        <f t="shared" si="911"/>
        <v/>
      </c>
      <c r="Q455" s="62" t="str">
        <f t="shared" si="911"/>
        <v/>
      </c>
      <c r="R455" s="62">
        <f t="shared" si="7"/>
        <v>0</v>
      </c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</row>
    <row r="456" hidden="1">
      <c r="A456" s="60">
        <f>IFERROR(__xludf.DUMMYFUNCTION("""COMPUTED_VALUE"""),11936.0)</f>
        <v>11936</v>
      </c>
      <c r="B456" s="60" t="str">
        <f>IFERROR(__xludf.DUMMYFUNCTION("""COMPUTED_VALUE"""),"Boswell, Chris")</f>
        <v>Boswell, Chris</v>
      </c>
      <c r="C456" s="60" t="str">
        <f>IFERROR(__xludf.DUMMYFUNCTION("""COMPUTED_VALUE"""),"PK")</f>
        <v>PK</v>
      </c>
      <c r="D456" s="60" t="str">
        <f>IFERROR(__xludf.DUMMYFUNCTION("""COMPUTED_VALUE"""),"PIT")</f>
        <v>PIT</v>
      </c>
      <c r="E456" s="62" t="str">
        <f t="shared" si="4"/>
        <v>Chris Boswell</v>
      </c>
      <c r="F456" s="62">
        <f t="shared" ref="F456:G456" si="912">IF(isblank(F$1),,IF(isblank($A456),,IFERROR(vlookup($A456,indirect("'TVC-"&amp;text(month(F$1),"00")&amp;"'!$A:$D"),4,false),1)))</f>
        <v>1</v>
      </c>
      <c r="G456" s="62">
        <f t="shared" si="912"/>
        <v>1</v>
      </c>
      <c r="H456" s="62">
        <f t="shared" ref="H456:Q456" si="913">IF(isblank(H$1),,IFERROR(vlookup($A456,indirect("'TVC-"&amp;text(month(H$1),"00")&amp;"'!$A:$D"),4,false),1))</f>
        <v>1</v>
      </c>
      <c r="I456" s="62">
        <f t="shared" si="913"/>
        <v>1</v>
      </c>
      <c r="J456" s="62">
        <f t="shared" si="913"/>
        <v>1</v>
      </c>
      <c r="K456" s="62">
        <f t="shared" si="913"/>
        <v>1</v>
      </c>
      <c r="L456" s="62">
        <f t="shared" si="913"/>
        <v>1</v>
      </c>
      <c r="M456" s="62">
        <f t="shared" si="913"/>
        <v>1</v>
      </c>
      <c r="N456" s="62">
        <f t="shared" si="913"/>
        <v>1</v>
      </c>
      <c r="O456" s="62">
        <f t="shared" si="913"/>
        <v>1</v>
      </c>
      <c r="P456" s="62" t="str">
        <f t="shared" si="913"/>
        <v/>
      </c>
      <c r="Q456" s="62" t="str">
        <f t="shared" si="913"/>
        <v/>
      </c>
      <c r="R456" s="62">
        <f t="shared" si="7"/>
        <v>0</v>
      </c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</row>
    <row r="457" hidden="1">
      <c r="A457" s="60">
        <f>IFERROR(__xludf.DUMMYFUNCTION("""COMPUTED_VALUE"""),11938.0)</f>
        <v>11938</v>
      </c>
      <c r="B457" s="60" t="str">
        <f>IFERROR(__xludf.DUMMYFUNCTION("""COMPUTED_VALUE"""),"Thielen, Adam")</f>
        <v>Thielen, Adam</v>
      </c>
      <c r="C457" s="60" t="str">
        <f>IFERROR(__xludf.DUMMYFUNCTION("""COMPUTED_VALUE"""),"WR")</f>
        <v>WR</v>
      </c>
      <c r="D457" s="60" t="str">
        <f>IFERROR(__xludf.DUMMYFUNCTION("""COMPUTED_VALUE"""),"FA")</f>
        <v>FA</v>
      </c>
      <c r="E457" s="62" t="str">
        <f t="shared" si="4"/>
        <v>Adam Thielen</v>
      </c>
      <c r="F457" s="62">
        <f t="shared" ref="F457:G457" si="914">IF(isblank(F$1),,IF(isblank($A457),,IFERROR(vlookup($A457,indirect("'TVC-"&amp;text(month(F$1),"00")&amp;"'!$A:$D"),4,false),1)))</f>
        <v>1</v>
      </c>
      <c r="G457" s="62">
        <f t="shared" si="914"/>
        <v>1</v>
      </c>
      <c r="H457" s="62">
        <f t="shared" ref="H457:Q457" si="915">IF(isblank(H$1),,IFERROR(vlookup($A457,indirect("'TVC-"&amp;text(month(H$1),"00")&amp;"'!$A:$D"),4,false),1))</f>
        <v>1</v>
      </c>
      <c r="I457" s="62">
        <f t="shared" si="915"/>
        <v>1</v>
      </c>
      <c r="J457" s="62">
        <f t="shared" si="915"/>
        <v>1</v>
      </c>
      <c r="K457" s="62">
        <f t="shared" si="915"/>
        <v>1</v>
      </c>
      <c r="L457" s="62">
        <f t="shared" si="915"/>
        <v>1</v>
      </c>
      <c r="M457" s="62">
        <f t="shared" si="915"/>
        <v>1</v>
      </c>
      <c r="N457" s="62">
        <f t="shared" si="915"/>
        <v>1</v>
      </c>
      <c r="O457" s="62">
        <f t="shared" si="915"/>
        <v>1</v>
      </c>
      <c r="P457" s="62" t="str">
        <f t="shared" si="915"/>
        <v/>
      </c>
      <c r="Q457" s="62" t="str">
        <f t="shared" si="915"/>
        <v/>
      </c>
      <c r="R457" s="62">
        <f t="shared" si="7"/>
        <v>0</v>
      </c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</row>
    <row r="458" hidden="1">
      <c r="A458" s="60">
        <f>IFERROR(__xludf.DUMMYFUNCTION("""COMPUTED_VALUE"""),11945.0)</f>
        <v>11945</v>
      </c>
      <c r="B458" s="60" t="str">
        <f>IFERROR(__xludf.DUMMYFUNCTION("""COMPUTED_VALUE"""),"Santos, Cairo")</f>
        <v>Santos, Cairo</v>
      </c>
      <c r="C458" s="60" t="str">
        <f>IFERROR(__xludf.DUMMYFUNCTION("""COMPUTED_VALUE"""),"PK")</f>
        <v>PK</v>
      </c>
      <c r="D458" s="60" t="str">
        <f>IFERROR(__xludf.DUMMYFUNCTION("""COMPUTED_VALUE"""),"CHI")</f>
        <v>CHI</v>
      </c>
      <c r="E458" s="62" t="str">
        <f t="shared" si="4"/>
        <v>Cairo Santos</v>
      </c>
      <c r="F458" s="62">
        <f t="shared" ref="F458:G458" si="916">IF(isblank(F$1),,IF(isblank($A458),,IFERROR(vlookup($A458,indirect("'TVC-"&amp;text(month(F$1),"00")&amp;"'!$A:$D"),4,false),1)))</f>
        <v>1</v>
      </c>
      <c r="G458" s="62">
        <f t="shared" si="916"/>
        <v>1</v>
      </c>
      <c r="H458" s="62">
        <f t="shared" ref="H458:Q458" si="917">IF(isblank(H$1),,IFERROR(vlookup($A458,indirect("'TVC-"&amp;text(month(H$1),"00")&amp;"'!$A:$D"),4,false),1))</f>
        <v>1</v>
      </c>
      <c r="I458" s="62">
        <f t="shared" si="917"/>
        <v>1</v>
      </c>
      <c r="J458" s="62">
        <f t="shared" si="917"/>
        <v>1</v>
      </c>
      <c r="K458" s="62">
        <f t="shared" si="917"/>
        <v>1</v>
      </c>
      <c r="L458" s="62">
        <f t="shared" si="917"/>
        <v>1</v>
      </c>
      <c r="M458" s="62">
        <f t="shared" si="917"/>
        <v>1</v>
      </c>
      <c r="N458" s="62">
        <f t="shared" si="917"/>
        <v>1</v>
      </c>
      <c r="O458" s="62">
        <f t="shared" si="917"/>
        <v>1</v>
      </c>
      <c r="P458" s="62" t="str">
        <f t="shared" si="917"/>
        <v/>
      </c>
      <c r="Q458" s="62" t="str">
        <f t="shared" si="917"/>
        <v/>
      </c>
      <c r="R458" s="62">
        <f t="shared" si="7"/>
        <v>0</v>
      </c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</row>
    <row r="459" hidden="1">
      <c r="A459" s="60">
        <f>IFERROR(__xludf.DUMMYFUNCTION("""COMPUTED_VALUE"""),11947.0)</f>
        <v>11947</v>
      </c>
      <c r="B459" s="60" t="str">
        <f>IFERROR(__xludf.DUMMYFUNCTION("""COMPUTED_VALUE"""),"McManus, Brandon")</f>
        <v>McManus, Brandon</v>
      </c>
      <c r="C459" s="60" t="str">
        <f>IFERROR(__xludf.DUMMYFUNCTION("""COMPUTED_VALUE"""),"PK")</f>
        <v>PK</v>
      </c>
      <c r="D459" s="60" t="str">
        <f>IFERROR(__xludf.DUMMYFUNCTION("""COMPUTED_VALUE"""),"FA")</f>
        <v>FA</v>
      </c>
      <c r="E459" s="62" t="str">
        <f t="shared" si="4"/>
        <v>Brandon McManus</v>
      </c>
      <c r="F459" s="62">
        <f t="shared" ref="F459:G459" si="918">IF(isblank(F$1),,IF(isblank($A459),,IFERROR(vlookup($A459,indirect("'TVC-"&amp;text(month(F$1),"00")&amp;"'!$A:$D"),4,false),1)))</f>
        <v>1</v>
      </c>
      <c r="G459" s="62">
        <f t="shared" si="918"/>
        <v>1</v>
      </c>
      <c r="H459" s="62">
        <f t="shared" ref="H459:Q459" si="919">IF(isblank(H$1),,IFERROR(vlookup($A459,indirect("'TVC-"&amp;text(month(H$1),"00")&amp;"'!$A:$D"),4,false),1))</f>
        <v>1</v>
      </c>
      <c r="I459" s="62">
        <f t="shared" si="919"/>
        <v>1</v>
      </c>
      <c r="J459" s="62">
        <f t="shared" si="919"/>
        <v>1</v>
      </c>
      <c r="K459" s="62">
        <f t="shared" si="919"/>
        <v>1</v>
      </c>
      <c r="L459" s="62">
        <f t="shared" si="919"/>
        <v>1</v>
      </c>
      <c r="M459" s="62">
        <f t="shared" si="919"/>
        <v>1</v>
      </c>
      <c r="N459" s="62">
        <f t="shared" si="919"/>
        <v>1</v>
      </c>
      <c r="O459" s="62">
        <f t="shared" si="919"/>
        <v>1</v>
      </c>
      <c r="P459" s="62" t="str">
        <f t="shared" si="919"/>
        <v/>
      </c>
      <c r="Q459" s="62" t="str">
        <f t="shared" si="919"/>
        <v/>
      </c>
      <c r="R459" s="62">
        <f t="shared" si="7"/>
        <v>0</v>
      </c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</row>
    <row r="460" hidden="1">
      <c r="A460" s="60">
        <f>IFERROR(__xludf.DUMMYFUNCTION("""COMPUTED_VALUE"""),11970.0)</f>
        <v>11970</v>
      </c>
      <c r="B460" s="60" t="str">
        <f>IFERROR(__xludf.DUMMYFUNCTION("""COMPUTED_VALUE"""),"Pennel, Mike")</f>
        <v>Pennel, Mike</v>
      </c>
      <c r="C460" s="60" t="str">
        <f>IFERROR(__xludf.DUMMYFUNCTION("""COMPUTED_VALUE"""),"DT")</f>
        <v>DT</v>
      </c>
      <c r="D460" s="60" t="str">
        <f>IFERROR(__xludf.DUMMYFUNCTION("""COMPUTED_VALUE"""),"KCC")</f>
        <v>KCC</v>
      </c>
      <c r="E460" s="62" t="str">
        <f t="shared" si="4"/>
        <v>Mike Pennel</v>
      </c>
      <c r="F460" s="62">
        <f t="shared" ref="F460:G460" si="920">IF(isblank(F$1),,IF(isblank($A460),,IFERROR(vlookup($A460,indirect("'TVC-"&amp;text(month(F$1),"00")&amp;"'!$A:$D"),4,false),1)))</f>
        <v>1</v>
      </c>
      <c r="G460" s="62">
        <f t="shared" si="920"/>
        <v>1</v>
      </c>
      <c r="H460" s="62">
        <f t="shared" ref="H460:Q460" si="921">IF(isblank(H$1),,IFERROR(vlookup($A460,indirect("'TVC-"&amp;text(month(H$1),"00")&amp;"'!$A:$D"),4,false),1))</f>
        <v>1</v>
      </c>
      <c r="I460" s="62">
        <f t="shared" si="921"/>
        <v>1</v>
      </c>
      <c r="J460" s="62">
        <f t="shared" si="921"/>
        <v>1</v>
      </c>
      <c r="K460" s="62">
        <f t="shared" si="921"/>
        <v>1</v>
      </c>
      <c r="L460" s="62">
        <f t="shared" si="921"/>
        <v>1</v>
      </c>
      <c r="M460" s="62">
        <f t="shared" si="921"/>
        <v>1</v>
      </c>
      <c r="N460" s="62">
        <f t="shared" si="921"/>
        <v>1</v>
      </c>
      <c r="O460" s="62">
        <f t="shared" si="921"/>
        <v>1</v>
      </c>
      <c r="P460" s="62" t="str">
        <f t="shared" si="921"/>
        <v/>
      </c>
      <c r="Q460" s="62" t="str">
        <f t="shared" si="921"/>
        <v/>
      </c>
      <c r="R460" s="62">
        <f t="shared" si="7"/>
        <v>0</v>
      </c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</row>
    <row r="461" hidden="1">
      <c r="A461" s="60">
        <f>IFERROR(__xludf.DUMMYFUNCTION("""COMPUTED_VALUE"""),11985.0)</f>
        <v>11985</v>
      </c>
      <c r="B461" s="60" t="str">
        <f>IFERROR(__xludf.DUMMYFUNCTION("""COMPUTED_VALUE"""),"Way, Tress")</f>
        <v>Way, Tress</v>
      </c>
      <c r="C461" s="60" t="str">
        <f>IFERROR(__xludf.DUMMYFUNCTION("""COMPUTED_VALUE"""),"PN")</f>
        <v>PN</v>
      </c>
      <c r="D461" s="60" t="str">
        <f>IFERROR(__xludf.DUMMYFUNCTION("""COMPUTED_VALUE"""),"WAS")</f>
        <v>WAS</v>
      </c>
      <c r="E461" s="62" t="str">
        <f t="shared" si="4"/>
        <v>Tress Way</v>
      </c>
      <c r="F461" s="62">
        <f t="shared" ref="F461:G461" si="922">IF(isblank(F$1),,IF(isblank($A461),,IFERROR(vlookup($A461,indirect("'TVC-"&amp;text(month(F$1),"00")&amp;"'!$A:$D"),4,false),1)))</f>
        <v>1</v>
      </c>
      <c r="G461" s="62">
        <f t="shared" si="922"/>
        <v>1</v>
      </c>
      <c r="H461" s="62">
        <f t="shared" ref="H461:Q461" si="923">IF(isblank(H$1),,IFERROR(vlookup($A461,indirect("'TVC-"&amp;text(month(H$1),"00")&amp;"'!$A:$D"),4,false),1))</f>
        <v>1</v>
      </c>
      <c r="I461" s="62">
        <f t="shared" si="923"/>
        <v>1</v>
      </c>
      <c r="J461" s="62">
        <f t="shared" si="923"/>
        <v>1</v>
      </c>
      <c r="K461" s="62">
        <f t="shared" si="923"/>
        <v>1</v>
      </c>
      <c r="L461" s="62">
        <f t="shared" si="923"/>
        <v>1</v>
      </c>
      <c r="M461" s="62">
        <f t="shared" si="923"/>
        <v>1</v>
      </c>
      <c r="N461" s="62">
        <f t="shared" si="923"/>
        <v>1</v>
      </c>
      <c r="O461" s="62">
        <f t="shared" si="923"/>
        <v>1</v>
      </c>
      <c r="P461" s="62" t="str">
        <f t="shared" si="923"/>
        <v/>
      </c>
      <c r="Q461" s="62" t="str">
        <f t="shared" si="923"/>
        <v/>
      </c>
      <c r="R461" s="62">
        <f t="shared" si="7"/>
        <v>0</v>
      </c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</row>
    <row r="462" hidden="1">
      <c r="A462" s="60">
        <f>IFERROR(__xludf.DUMMYFUNCTION("""COMPUTED_VALUE"""),12083.0)</f>
        <v>12083</v>
      </c>
      <c r="B462" s="60" t="str">
        <f>IFERROR(__xludf.DUMMYFUNCTION("""COMPUTED_VALUE"""),"Autry, Denico")</f>
        <v>Autry, Denico</v>
      </c>
      <c r="C462" s="60" t="str">
        <f>IFERROR(__xludf.DUMMYFUNCTION("""COMPUTED_VALUE"""),"DE")</f>
        <v>DE</v>
      </c>
      <c r="D462" s="60" t="str">
        <f>IFERROR(__xludf.DUMMYFUNCTION("""COMPUTED_VALUE"""),"FA")</f>
        <v>FA</v>
      </c>
      <c r="E462" s="62" t="str">
        <f t="shared" si="4"/>
        <v>Denico Autry</v>
      </c>
      <c r="F462" s="62">
        <f t="shared" ref="F462:G462" si="924">IF(isblank(F$1),,IF(isblank($A462),,IFERROR(vlookup($A462,indirect("'TVC-"&amp;text(month(F$1),"00")&amp;"'!$A:$D"),4,false),1)))</f>
        <v>1</v>
      </c>
      <c r="G462" s="62">
        <f t="shared" si="924"/>
        <v>1</v>
      </c>
      <c r="H462" s="62">
        <f t="shared" ref="H462:Q462" si="925">IF(isblank(H$1),,IFERROR(vlookup($A462,indirect("'TVC-"&amp;text(month(H$1),"00")&amp;"'!$A:$D"),4,false),1))</f>
        <v>1</v>
      </c>
      <c r="I462" s="62">
        <f t="shared" si="925"/>
        <v>1</v>
      </c>
      <c r="J462" s="62">
        <f t="shared" si="925"/>
        <v>1</v>
      </c>
      <c r="K462" s="62">
        <f t="shared" si="925"/>
        <v>1</v>
      </c>
      <c r="L462" s="62">
        <f t="shared" si="925"/>
        <v>1</v>
      </c>
      <c r="M462" s="62">
        <f t="shared" si="925"/>
        <v>1</v>
      </c>
      <c r="N462" s="62">
        <f t="shared" si="925"/>
        <v>1</v>
      </c>
      <c r="O462" s="62">
        <f t="shared" si="925"/>
        <v>1</v>
      </c>
      <c r="P462" s="62" t="str">
        <f t="shared" si="925"/>
        <v/>
      </c>
      <c r="Q462" s="62" t="str">
        <f t="shared" si="925"/>
        <v/>
      </c>
      <c r="R462" s="62">
        <f t="shared" si="7"/>
        <v>0</v>
      </c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</row>
    <row r="463">
      <c r="A463" s="60">
        <f>IFERROR(__xludf.DUMMYFUNCTION("""COMPUTED_VALUE"""),12140.0)</f>
        <v>12140</v>
      </c>
      <c r="B463" s="60" t="str">
        <f>IFERROR(__xludf.DUMMYFUNCTION("""COMPUTED_VALUE"""),"Winston, Jameis")</f>
        <v>Winston, Jameis</v>
      </c>
      <c r="C463" s="60" t="str">
        <f>IFERROR(__xludf.DUMMYFUNCTION("""COMPUTED_VALUE"""),"QB")</f>
        <v>QB</v>
      </c>
      <c r="D463" s="60" t="str">
        <f>IFERROR(__xludf.DUMMYFUNCTION("""COMPUTED_VALUE"""),"NYG")</f>
        <v>NYG</v>
      </c>
      <c r="E463" s="62" t="str">
        <f t="shared" si="4"/>
        <v>Jameis Winston</v>
      </c>
      <c r="F463" s="62">
        <f t="shared" ref="F463:G463" si="926">IF(isblank(F$1),,IF(isblank($A463),,IFERROR(vlookup($A463,indirect("'TVC-"&amp;text(month(F$1),"00")&amp;"'!$A:$D"),4,false),1)))</f>
        <v>1508</v>
      </c>
      <c r="G463" s="62">
        <f t="shared" si="926"/>
        <v>1566</v>
      </c>
      <c r="H463" s="62">
        <f t="shared" ref="H463:Q463" si="927">IF(isblank(H$1),,IFERROR(vlookup($A463,indirect("'TVC-"&amp;text(month(H$1),"00")&amp;"'!$A:$D"),4,false),1))</f>
        <v>1588</v>
      </c>
      <c r="I463" s="62">
        <f t="shared" si="927"/>
        <v>1556</v>
      </c>
      <c r="J463" s="62">
        <f t="shared" si="927"/>
        <v>1485</v>
      </c>
      <c r="K463" s="62">
        <f t="shared" si="927"/>
        <v>1378</v>
      </c>
      <c r="L463" s="62">
        <f t="shared" si="927"/>
        <v>1312</v>
      </c>
      <c r="M463" s="62">
        <f t="shared" si="927"/>
        <v>1258</v>
      </c>
      <c r="N463" s="62">
        <f t="shared" si="927"/>
        <v>1182</v>
      </c>
      <c r="O463" s="62">
        <f t="shared" si="927"/>
        <v>1</v>
      </c>
      <c r="P463" s="62" t="str">
        <f t="shared" si="927"/>
        <v/>
      </c>
      <c r="Q463" s="62" t="str">
        <f t="shared" si="927"/>
        <v/>
      </c>
      <c r="R463" s="62">
        <f t="shared" si="7"/>
        <v>-1181</v>
      </c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</row>
    <row r="464">
      <c r="A464" s="60">
        <f>IFERROR(__xludf.DUMMYFUNCTION("""COMPUTED_VALUE"""),12141.0)</f>
        <v>12141</v>
      </c>
      <c r="B464" s="60" t="str">
        <f>IFERROR(__xludf.DUMMYFUNCTION("""COMPUTED_VALUE"""),"Mariota, Marcus")</f>
        <v>Mariota, Marcus</v>
      </c>
      <c r="C464" s="60" t="str">
        <f>IFERROR(__xludf.DUMMYFUNCTION("""COMPUTED_VALUE"""),"QB")</f>
        <v>QB</v>
      </c>
      <c r="D464" s="60" t="str">
        <f>IFERROR(__xludf.DUMMYFUNCTION("""COMPUTED_VALUE"""),"WAS")</f>
        <v>WAS</v>
      </c>
      <c r="E464" s="62" t="str">
        <f t="shared" si="4"/>
        <v>Marcus Mariota</v>
      </c>
      <c r="F464" s="62">
        <f t="shared" ref="F464:G464" si="928">IF(isblank(F$1),,IF(isblank($A464),,IFERROR(vlookup($A464,indirect("'TVC-"&amp;text(month(F$1),"00")&amp;"'!$A:$D"),4,false),1)))</f>
        <v>1710</v>
      </c>
      <c r="G464" s="62">
        <f t="shared" si="928"/>
        <v>1615</v>
      </c>
      <c r="H464" s="62">
        <f t="shared" ref="H464:Q464" si="929">IF(isblank(H$1),,IFERROR(vlookup($A464,indirect("'TVC-"&amp;text(month(H$1),"00")&amp;"'!$A:$D"),4,false),1))</f>
        <v>1535</v>
      </c>
      <c r="I464" s="62">
        <f t="shared" si="929"/>
        <v>1529</v>
      </c>
      <c r="J464" s="62">
        <f t="shared" si="929"/>
        <v>1417</v>
      </c>
      <c r="K464" s="62">
        <f t="shared" si="929"/>
        <v>1288</v>
      </c>
      <c r="L464" s="62">
        <f t="shared" si="929"/>
        <v>1257</v>
      </c>
      <c r="M464" s="62">
        <f t="shared" si="929"/>
        <v>1083</v>
      </c>
      <c r="N464" s="62">
        <f t="shared" si="929"/>
        <v>949</v>
      </c>
      <c r="O464" s="62">
        <f t="shared" si="929"/>
        <v>1</v>
      </c>
      <c r="P464" s="62" t="str">
        <f t="shared" si="929"/>
        <v/>
      </c>
      <c r="Q464" s="62" t="str">
        <f t="shared" si="929"/>
        <v/>
      </c>
      <c r="R464" s="62">
        <f t="shared" si="7"/>
        <v>-948</v>
      </c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</row>
    <row r="465" hidden="1">
      <c r="A465" s="60">
        <f>IFERROR(__xludf.DUMMYFUNCTION("""COMPUTED_VALUE"""),12155.0)</f>
        <v>12155</v>
      </c>
      <c r="B465" s="60" t="str">
        <f>IFERROR(__xludf.DUMMYFUNCTION("""COMPUTED_VALUE"""),"Abdullah, Ameer")</f>
        <v>Abdullah, Ameer</v>
      </c>
      <c r="C465" s="60" t="str">
        <f>IFERROR(__xludf.DUMMYFUNCTION("""COMPUTED_VALUE"""),"RB")</f>
        <v>RB</v>
      </c>
      <c r="D465" s="60" t="str">
        <f>IFERROR(__xludf.DUMMYFUNCTION("""COMPUTED_VALUE"""),"JAC")</f>
        <v>JAC</v>
      </c>
      <c r="E465" s="62" t="str">
        <f t="shared" si="4"/>
        <v>Ameer Abdullah</v>
      </c>
      <c r="F465" s="62">
        <f t="shared" ref="F465:G465" si="930">IF(isblank(F$1),,IF(isblank($A465),,IFERROR(vlookup($A465,indirect("'TVC-"&amp;text(month(F$1),"00")&amp;"'!$A:$D"),4,false),1)))</f>
        <v>1</v>
      </c>
      <c r="G465" s="62">
        <f t="shared" si="930"/>
        <v>1</v>
      </c>
      <c r="H465" s="62">
        <f t="shared" ref="H465:Q465" si="931">IF(isblank(H$1),,IFERROR(vlookup($A465,indirect("'TVC-"&amp;text(month(H$1),"00")&amp;"'!$A:$D"),4,false),1))</f>
        <v>1</v>
      </c>
      <c r="I465" s="62">
        <f t="shared" si="931"/>
        <v>1</v>
      </c>
      <c r="J465" s="62">
        <f t="shared" si="931"/>
        <v>1</v>
      </c>
      <c r="K465" s="62">
        <f t="shared" si="931"/>
        <v>1</v>
      </c>
      <c r="L465" s="62">
        <f t="shared" si="931"/>
        <v>1</v>
      </c>
      <c r="M465" s="62">
        <f t="shared" si="931"/>
        <v>1</v>
      </c>
      <c r="N465" s="62">
        <f t="shared" si="931"/>
        <v>1</v>
      </c>
      <c r="O465" s="62">
        <f t="shared" si="931"/>
        <v>1</v>
      </c>
      <c r="P465" s="62" t="str">
        <f t="shared" si="931"/>
        <v/>
      </c>
      <c r="Q465" s="62" t="str">
        <f t="shared" si="931"/>
        <v/>
      </c>
      <c r="R465" s="62">
        <f t="shared" si="7"/>
        <v>0</v>
      </c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</row>
    <row r="466" hidden="1">
      <c r="A466" s="60">
        <f>IFERROR(__xludf.DUMMYFUNCTION("""COMPUTED_VALUE"""),12175.0)</f>
        <v>12175</v>
      </c>
      <c r="B466" s="60" t="str">
        <f>IFERROR(__xludf.DUMMYFUNCTION("""COMPUTED_VALUE"""),"Cooper, Amari")</f>
        <v>Cooper, Amari</v>
      </c>
      <c r="C466" s="60" t="str">
        <f>IFERROR(__xludf.DUMMYFUNCTION("""COMPUTED_VALUE"""),"WR")</f>
        <v>WR</v>
      </c>
      <c r="D466" s="60" t="str">
        <f>IFERROR(__xludf.DUMMYFUNCTION("""COMPUTED_VALUE"""),"FA")</f>
        <v>FA</v>
      </c>
      <c r="E466" s="62" t="str">
        <f t="shared" si="4"/>
        <v>Amari Cooper</v>
      </c>
      <c r="F466" s="62">
        <f t="shared" ref="F466:G466" si="932">IF(isblank(F$1),,IF(isblank($A466),,IFERROR(vlookup($A466,indirect("'TVC-"&amp;text(month(F$1),"00")&amp;"'!$A:$D"),4,false),1)))</f>
        <v>1</v>
      </c>
      <c r="G466" s="62">
        <f t="shared" si="932"/>
        <v>1</v>
      </c>
      <c r="H466" s="62">
        <f t="shared" ref="H466:Q466" si="933">IF(isblank(H$1),,IFERROR(vlookup($A466,indirect("'TVC-"&amp;text(month(H$1),"00")&amp;"'!$A:$D"),4,false),1))</f>
        <v>1</v>
      </c>
      <c r="I466" s="62">
        <f t="shared" si="933"/>
        <v>1</v>
      </c>
      <c r="J466" s="62">
        <f t="shared" si="933"/>
        <v>1</v>
      </c>
      <c r="K466" s="62">
        <f t="shared" si="933"/>
        <v>1</v>
      </c>
      <c r="L466" s="62">
        <f t="shared" si="933"/>
        <v>1</v>
      </c>
      <c r="M466" s="62">
        <f t="shared" si="933"/>
        <v>1</v>
      </c>
      <c r="N466" s="62">
        <f t="shared" si="933"/>
        <v>1</v>
      </c>
      <c r="O466" s="62">
        <f t="shared" si="933"/>
        <v>1</v>
      </c>
      <c r="P466" s="62" t="str">
        <f t="shared" si="933"/>
        <v/>
      </c>
      <c r="Q466" s="62" t="str">
        <f t="shared" si="933"/>
        <v/>
      </c>
      <c r="R466" s="62">
        <f t="shared" si="7"/>
        <v>0</v>
      </c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</row>
    <row r="467" hidden="1">
      <c r="A467" s="60">
        <f>IFERROR(__xludf.DUMMYFUNCTION("""COMPUTED_VALUE"""),12181.0)</f>
        <v>12181</v>
      </c>
      <c r="B467" s="60" t="str">
        <f>IFERROR(__xludf.DUMMYFUNCTION("""COMPUTED_VALUE"""),"Agholor, Nelson")</f>
        <v>Agholor, Nelson</v>
      </c>
      <c r="C467" s="60" t="str">
        <f>IFERROR(__xludf.DUMMYFUNCTION("""COMPUTED_VALUE"""),"WR")</f>
        <v>WR</v>
      </c>
      <c r="D467" s="60" t="str">
        <f>IFERROR(__xludf.DUMMYFUNCTION("""COMPUTED_VALUE"""),"FA")</f>
        <v>FA</v>
      </c>
      <c r="E467" s="62" t="str">
        <f t="shared" si="4"/>
        <v>Nelson Agholor</v>
      </c>
      <c r="F467" s="62">
        <f t="shared" ref="F467:G467" si="934">IF(isblank(F$1),,IF(isblank($A467),,IFERROR(vlookup($A467,indirect("'TVC-"&amp;text(month(F$1),"00")&amp;"'!$A:$D"),4,false),1)))</f>
        <v>1</v>
      </c>
      <c r="G467" s="62">
        <f t="shared" si="934"/>
        <v>1</v>
      </c>
      <c r="H467" s="62">
        <f t="shared" ref="H467:Q467" si="935">IF(isblank(H$1),,IFERROR(vlookup($A467,indirect("'TVC-"&amp;text(month(H$1),"00")&amp;"'!$A:$D"),4,false),1))</f>
        <v>1</v>
      </c>
      <c r="I467" s="62">
        <f t="shared" si="935"/>
        <v>1</v>
      </c>
      <c r="J467" s="62">
        <f t="shared" si="935"/>
        <v>1</v>
      </c>
      <c r="K467" s="62">
        <f t="shared" si="935"/>
        <v>1</v>
      </c>
      <c r="L467" s="62">
        <f t="shared" si="935"/>
        <v>1</v>
      </c>
      <c r="M467" s="62">
        <f t="shared" si="935"/>
        <v>1</v>
      </c>
      <c r="N467" s="62">
        <f t="shared" si="935"/>
        <v>1</v>
      </c>
      <c r="O467" s="62">
        <f t="shared" si="935"/>
        <v>1</v>
      </c>
      <c r="P467" s="62" t="str">
        <f t="shared" si="935"/>
        <v/>
      </c>
      <c r="Q467" s="62" t="str">
        <f t="shared" si="935"/>
        <v/>
      </c>
      <c r="R467" s="62">
        <f t="shared" si="7"/>
        <v>0</v>
      </c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</row>
    <row r="468" hidden="1">
      <c r="A468" s="60">
        <f>IFERROR(__xludf.DUMMYFUNCTION("""COMPUTED_VALUE"""),12186.0)</f>
        <v>12186</v>
      </c>
      <c r="B468" s="60" t="str">
        <f>IFERROR(__xludf.DUMMYFUNCTION("""COMPUTED_VALUE"""),"Diggs, Stefon")</f>
        <v>Diggs, Stefon</v>
      </c>
      <c r="C468" s="60" t="str">
        <f>IFERROR(__xludf.DUMMYFUNCTION("""COMPUTED_VALUE"""),"WR")</f>
        <v>WR</v>
      </c>
      <c r="D468" s="60" t="str">
        <f>IFERROR(__xludf.DUMMYFUNCTION("""COMPUTED_VALUE"""),"WAS")</f>
        <v>WAS</v>
      </c>
      <c r="E468" s="62" t="str">
        <f t="shared" si="4"/>
        <v>Stefon Diggs</v>
      </c>
      <c r="F468" s="62">
        <f t="shared" ref="F468:G468" si="936">IF(isblank(F$1),,IF(isblank($A468),,IFERROR(vlookup($A468,indirect("'TVC-"&amp;text(month(F$1),"00")&amp;"'!$A:$D"),4,false),1)))</f>
        <v>2697</v>
      </c>
      <c r="G468" s="62">
        <f t="shared" si="936"/>
        <v>2628</v>
      </c>
      <c r="H468" s="62">
        <f t="shared" ref="H468:Q468" si="937">IF(isblank(H$1),,IFERROR(vlookup($A468,indirect("'TVC-"&amp;text(month(H$1),"00")&amp;"'!$A:$D"),4,false),1))</f>
        <v>2655</v>
      </c>
      <c r="I468" s="62">
        <f t="shared" si="937"/>
        <v>2246</v>
      </c>
      <c r="J468" s="62">
        <f t="shared" si="937"/>
        <v>2140</v>
      </c>
      <c r="K468" s="62">
        <f t="shared" si="937"/>
        <v>2172</v>
      </c>
      <c r="L468" s="62">
        <f t="shared" si="937"/>
        <v>2145</v>
      </c>
      <c r="M468" s="62">
        <f t="shared" si="937"/>
        <v>2139</v>
      </c>
      <c r="N468" s="62">
        <f t="shared" si="937"/>
        <v>2676</v>
      </c>
      <c r="O468" s="62">
        <f t="shared" si="937"/>
        <v>1</v>
      </c>
      <c r="P468" s="62" t="str">
        <f t="shared" si="937"/>
        <v/>
      </c>
      <c r="Q468" s="62" t="str">
        <f t="shared" si="937"/>
        <v/>
      </c>
      <c r="R468" s="62">
        <f t="shared" si="7"/>
        <v>-2675</v>
      </c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</row>
    <row r="469" hidden="1">
      <c r="A469" s="60">
        <f>IFERROR(__xludf.DUMMYFUNCTION("""COMPUTED_VALUE"""),12187.0)</f>
        <v>12187</v>
      </c>
      <c r="B469" s="60" t="str">
        <f>IFERROR(__xludf.DUMMYFUNCTION("""COMPUTED_VALUE"""),"Lockett, Tyler")</f>
        <v>Lockett, Tyler</v>
      </c>
      <c r="C469" s="60" t="str">
        <f>IFERROR(__xludf.DUMMYFUNCTION("""COMPUTED_VALUE"""),"WR")</f>
        <v>WR</v>
      </c>
      <c r="D469" s="60" t="str">
        <f>IFERROR(__xludf.DUMMYFUNCTION("""COMPUTED_VALUE"""),"FA")</f>
        <v>FA</v>
      </c>
      <c r="E469" s="62" t="str">
        <f t="shared" si="4"/>
        <v>Tyler Lockett</v>
      </c>
      <c r="F469" s="62">
        <f t="shared" ref="F469:G469" si="938">IF(isblank(F$1),,IF(isblank($A469),,IFERROR(vlookup($A469,indirect("'TVC-"&amp;text(month(F$1),"00")&amp;"'!$A:$D"),4,false),1)))</f>
        <v>805</v>
      </c>
      <c r="G469" s="62">
        <f t="shared" si="938"/>
        <v>1</v>
      </c>
      <c r="H469" s="62">
        <f t="shared" ref="H469:Q469" si="939">IF(isblank(H$1),,IFERROR(vlookup($A469,indirect("'TVC-"&amp;text(month(H$1),"00")&amp;"'!$A:$D"),4,false),1))</f>
        <v>1</v>
      </c>
      <c r="I469" s="62">
        <f t="shared" si="939"/>
        <v>1</v>
      </c>
      <c r="J469" s="62">
        <f t="shared" si="939"/>
        <v>572</v>
      </c>
      <c r="K469" s="62">
        <f t="shared" si="939"/>
        <v>1</v>
      </c>
      <c r="L469" s="62">
        <f t="shared" si="939"/>
        <v>1</v>
      </c>
      <c r="M469" s="62">
        <f t="shared" si="939"/>
        <v>1</v>
      </c>
      <c r="N469" s="62">
        <f t="shared" si="939"/>
        <v>1</v>
      </c>
      <c r="O469" s="62">
        <f t="shared" si="939"/>
        <v>1</v>
      </c>
      <c r="P469" s="62" t="str">
        <f t="shared" si="939"/>
        <v/>
      </c>
      <c r="Q469" s="62" t="str">
        <f t="shared" si="939"/>
        <v/>
      </c>
      <c r="R469" s="62">
        <f t="shared" si="7"/>
        <v>0</v>
      </c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</row>
    <row r="470" hidden="1">
      <c r="A470" s="60">
        <f>IFERROR(__xludf.DUMMYFUNCTION("""COMPUTED_VALUE"""),12188.0)</f>
        <v>12188</v>
      </c>
      <c r="B470" s="60" t="str">
        <f>IFERROR(__xludf.DUMMYFUNCTION("""COMPUTED_VALUE"""),"Dorsett, Phillip")</f>
        <v>Dorsett, Phillip</v>
      </c>
      <c r="C470" s="60" t="str">
        <f>IFERROR(__xludf.DUMMYFUNCTION("""COMPUTED_VALUE"""),"WR")</f>
        <v>WR</v>
      </c>
      <c r="D470" s="60" t="str">
        <f>IFERROR(__xludf.DUMMYFUNCTION("""COMPUTED_VALUE"""),"LVR")</f>
        <v>LVR</v>
      </c>
      <c r="E470" s="62" t="str">
        <f t="shared" si="4"/>
        <v>Phillip Dorsett</v>
      </c>
      <c r="F470" s="62">
        <f t="shared" ref="F470:G470" si="940">IF(isblank(F$1),,IF(isblank($A470),,IFERROR(vlookup($A470,indirect("'TVC-"&amp;text(month(F$1),"00")&amp;"'!$A:$D"),4,false),1)))</f>
        <v>1</v>
      </c>
      <c r="G470" s="62">
        <f t="shared" si="940"/>
        <v>1</v>
      </c>
      <c r="H470" s="62">
        <f t="shared" ref="H470:Q470" si="941">IF(isblank(H$1),,IFERROR(vlookup($A470,indirect("'TVC-"&amp;text(month(H$1),"00")&amp;"'!$A:$D"),4,false),1))</f>
        <v>1</v>
      </c>
      <c r="I470" s="62">
        <f t="shared" si="941"/>
        <v>1</v>
      </c>
      <c r="J470" s="62">
        <f t="shared" si="941"/>
        <v>1</v>
      </c>
      <c r="K470" s="62">
        <f t="shared" si="941"/>
        <v>1</v>
      </c>
      <c r="L470" s="62">
        <f t="shared" si="941"/>
        <v>1</v>
      </c>
      <c r="M470" s="62">
        <f t="shared" si="941"/>
        <v>1</v>
      </c>
      <c r="N470" s="62">
        <f t="shared" si="941"/>
        <v>1</v>
      </c>
      <c r="O470" s="62">
        <f t="shared" si="941"/>
        <v>1</v>
      </c>
      <c r="P470" s="62" t="str">
        <f t="shared" si="941"/>
        <v/>
      </c>
      <c r="Q470" s="62" t="str">
        <f t="shared" si="941"/>
        <v/>
      </c>
      <c r="R470" s="62">
        <f t="shared" si="7"/>
        <v>0</v>
      </c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</row>
    <row r="471" hidden="1">
      <c r="A471" s="60">
        <f>IFERROR(__xludf.DUMMYFUNCTION("""COMPUTED_VALUE"""),12217.0)</f>
        <v>12217</v>
      </c>
      <c r="B471" s="60" t="str">
        <f>IFERROR(__xludf.DUMMYFUNCTION("""COMPUTED_VALUE"""),"Fowler, Dante")</f>
        <v>Fowler, Dante</v>
      </c>
      <c r="C471" s="60" t="str">
        <f>IFERROR(__xludf.DUMMYFUNCTION("""COMPUTED_VALUE"""),"DE")</f>
        <v>DE</v>
      </c>
      <c r="D471" s="60" t="str">
        <f>IFERROR(__xludf.DUMMYFUNCTION("""COMPUTED_VALUE"""),"SEA")</f>
        <v>SEA</v>
      </c>
      <c r="E471" s="62" t="str">
        <f t="shared" si="4"/>
        <v>Dante Fowler</v>
      </c>
      <c r="F471" s="62">
        <f t="shared" ref="F471:G471" si="942">IF(isblank(F$1),,IF(isblank($A471),,IFERROR(vlookup($A471,indirect("'TVC-"&amp;text(month(F$1),"00")&amp;"'!$A:$D"),4,false),1)))</f>
        <v>1</v>
      </c>
      <c r="G471" s="62">
        <f t="shared" si="942"/>
        <v>1</v>
      </c>
      <c r="H471" s="62">
        <f t="shared" ref="H471:Q471" si="943">IF(isblank(H$1),,IFERROR(vlookup($A471,indirect("'TVC-"&amp;text(month(H$1),"00")&amp;"'!$A:$D"),4,false),1))</f>
        <v>1</v>
      </c>
      <c r="I471" s="62">
        <f t="shared" si="943"/>
        <v>1</v>
      </c>
      <c r="J471" s="62">
        <f t="shared" si="943"/>
        <v>1</v>
      </c>
      <c r="K471" s="62">
        <f t="shared" si="943"/>
        <v>1</v>
      </c>
      <c r="L471" s="62">
        <f t="shared" si="943"/>
        <v>1</v>
      </c>
      <c r="M471" s="62">
        <f t="shared" si="943"/>
        <v>1</v>
      </c>
      <c r="N471" s="62">
        <f t="shared" si="943"/>
        <v>1</v>
      </c>
      <c r="O471" s="62">
        <f t="shared" si="943"/>
        <v>1</v>
      </c>
      <c r="P471" s="62" t="str">
        <f t="shared" si="943"/>
        <v/>
      </c>
      <c r="Q471" s="62" t="str">
        <f t="shared" si="943"/>
        <v/>
      </c>
      <c r="R471" s="62">
        <f t="shared" si="7"/>
        <v>0</v>
      </c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</row>
    <row r="472" hidden="1">
      <c r="A472" s="60">
        <f>IFERROR(__xludf.DUMMYFUNCTION("""COMPUTED_VALUE"""),12218.0)</f>
        <v>12218</v>
      </c>
      <c r="B472" s="60" t="str">
        <f>IFERROR(__xludf.DUMMYFUNCTION("""COMPUTED_VALUE"""),"Armstead, Arik")</f>
        <v>Armstead, Arik</v>
      </c>
      <c r="C472" s="60" t="str">
        <f>IFERROR(__xludf.DUMMYFUNCTION("""COMPUTED_VALUE"""),"DT")</f>
        <v>DT</v>
      </c>
      <c r="D472" s="60" t="str">
        <f>IFERROR(__xludf.DUMMYFUNCTION("""COMPUTED_VALUE"""),"JAC")</f>
        <v>JAC</v>
      </c>
      <c r="E472" s="62" t="str">
        <f t="shared" si="4"/>
        <v>Arik Armstead</v>
      </c>
      <c r="F472" s="62">
        <f t="shared" ref="F472:G472" si="944">IF(isblank(F$1),,IF(isblank($A472),,IFERROR(vlookup($A472,indirect("'TVC-"&amp;text(month(F$1),"00")&amp;"'!$A:$D"),4,false),1)))</f>
        <v>1</v>
      </c>
      <c r="G472" s="62">
        <f t="shared" si="944"/>
        <v>1</v>
      </c>
      <c r="H472" s="62">
        <f t="shared" ref="H472:Q472" si="945">IF(isblank(H$1),,IFERROR(vlookup($A472,indirect("'TVC-"&amp;text(month(H$1),"00")&amp;"'!$A:$D"),4,false),1))</f>
        <v>1</v>
      </c>
      <c r="I472" s="62">
        <f t="shared" si="945"/>
        <v>1</v>
      </c>
      <c r="J472" s="62">
        <f t="shared" si="945"/>
        <v>1</v>
      </c>
      <c r="K472" s="62">
        <f t="shared" si="945"/>
        <v>1</v>
      </c>
      <c r="L472" s="62">
        <f t="shared" si="945"/>
        <v>1</v>
      </c>
      <c r="M472" s="62">
        <f t="shared" si="945"/>
        <v>1</v>
      </c>
      <c r="N472" s="62">
        <f t="shared" si="945"/>
        <v>1</v>
      </c>
      <c r="O472" s="62">
        <f t="shared" si="945"/>
        <v>1</v>
      </c>
      <c r="P472" s="62" t="str">
        <f t="shared" si="945"/>
        <v/>
      </c>
      <c r="Q472" s="62" t="str">
        <f t="shared" si="945"/>
        <v/>
      </c>
      <c r="R472" s="62">
        <f t="shared" si="7"/>
        <v>0</v>
      </c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</row>
    <row r="473" hidden="1">
      <c r="A473" s="60">
        <f>IFERROR(__xludf.DUMMYFUNCTION("""COMPUTED_VALUE"""),12219.0)</f>
        <v>12219</v>
      </c>
      <c r="B473" s="60" t="str">
        <f>IFERROR(__xludf.DUMMYFUNCTION("""COMPUTED_VALUE"""),"Edwards, Mario")</f>
        <v>Edwards, Mario</v>
      </c>
      <c r="C473" s="60" t="str">
        <f>IFERROR(__xludf.DUMMYFUNCTION("""COMPUTED_VALUE"""),"DT")</f>
        <v>DT</v>
      </c>
      <c r="D473" s="60" t="str">
        <f>IFERROR(__xludf.DUMMYFUNCTION("""COMPUTED_VALUE"""),"HOU")</f>
        <v>HOU</v>
      </c>
      <c r="E473" s="62" t="str">
        <f t="shared" si="4"/>
        <v>Mario Edwards</v>
      </c>
      <c r="F473" s="62">
        <f t="shared" ref="F473:G473" si="946">IF(isblank(F$1),,IF(isblank($A473),,IFERROR(vlookup($A473,indirect("'TVC-"&amp;text(month(F$1),"00")&amp;"'!$A:$D"),4,false),1)))</f>
        <v>1</v>
      </c>
      <c r="G473" s="62">
        <f t="shared" si="946"/>
        <v>1</v>
      </c>
      <c r="H473" s="62">
        <f t="shared" ref="H473:Q473" si="947">IF(isblank(H$1),,IFERROR(vlookup($A473,indirect("'TVC-"&amp;text(month(H$1),"00")&amp;"'!$A:$D"),4,false),1))</f>
        <v>1</v>
      </c>
      <c r="I473" s="62">
        <f t="shared" si="947"/>
        <v>1</v>
      </c>
      <c r="J473" s="62">
        <f t="shared" si="947"/>
        <v>1</v>
      </c>
      <c r="K473" s="62">
        <f t="shared" si="947"/>
        <v>1</v>
      </c>
      <c r="L473" s="62">
        <f t="shared" si="947"/>
        <v>1</v>
      </c>
      <c r="M473" s="62">
        <f t="shared" si="947"/>
        <v>1</v>
      </c>
      <c r="N473" s="62">
        <f t="shared" si="947"/>
        <v>1</v>
      </c>
      <c r="O473" s="62">
        <f t="shared" si="947"/>
        <v>1</v>
      </c>
      <c r="P473" s="62" t="str">
        <f t="shared" si="947"/>
        <v/>
      </c>
      <c r="Q473" s="62" t="str">
        <f t="shared" si="947"/>
        <v/>
      </c>
      <c r="R473" s="62">
        <f t="shared" si="7"/>
        <v>0</v>
      </c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</row>
    <row r="474" hidden="1">
      <c r="A474" s="60">
        <f>IFERROR(__xludf.DUMMYFUNCTION("""COMPUTED_VALUE"""),12221.0)</f>
        <v>12221</v>
      </c>
      <c r="B474" s="60" t="str">
        <f>IFERROR(__xludf.DUMMYFUNCTION("""COMPUTED_VALUE"""),"Hunter, Danielle")</f>
        <v>Hunter, Danielle</v>
      </c>
      <c r="C474" s="60" t="str">
        <f>IFERROR(__xludf.DUMMYFUNCTION("""COMPUTED_VALUE"""),"DE")</f>
        <v>DE</v>
      </c>
      <c r="D474" s="60" t="str">
        <f>IFERROR(__xludf.DUMMYFUNCTION("""COMPUTED_VALUE"""),"HOU")</f>
        <v>HOU</v>
      </c>
      <c r="E474" s="62" t="str">
        <f t="shared" si="4"/>
        <v>Danielle Hunter</v>
      </c>
      <c r="F474" s="62">
        <f t="shared" ref="F474:G474" si="948">IF(isblank(F$1),,IF(isblank($A474),,IFERROR(vlookup($A474,indirect("'TVC-"&amp;text(month(F$1),"00")&amp;"'!$A:$D"),4,false),1)))</f>
        <v>1</v>
      </c>
      <c r="G474" s="62">
        <f t="shared" si="948"/>
        <v>1</v>
      </c>
      <c r="H474" s="62">
        <f t="shared" ref="H474:Q474" si="949">IF(isblank(H$1),,IFERROR(vlookup($A474,indirect("'TVC-"&amp;text(month(H$1),"00")&amp;"'!$A:$D"),4,false),1))</f>
        <v>1</v>
      </c>
      <c r="I474" s="62">
        <f t="shared" si="949"/>
        <v>1</v>
      </c>
      <c r="J474" s="62">
        <f t="shared" si="949"/>
        <v>1</v>
      </c>
      <c r="K474" s="62">
        <f t="shared" si="949"/>
        <v>1</v>
      </c>
      <c r="L474" s="62">
        <f t="shared" si="949"/>
        <v>1</v>
      </c>
      <c r="M474" s="62">
        <f t="shared" si="949"/>
        <v>1</v>
      </c>
      <c r="N474" s="62">
        <f t="shared" si="949"/>
        <v>1</v>
      </c>
      <c r="O474" s="62">
        <f t="shared" si="949"/>
        <v>1</v>
      </c>
      <c r="P474" s="62" t="str">
        <f t="shared" si="949"/>
        <v/>
      </c>
      <c r="Q474" s="62" t="str">
        <f t="shared" si="949"/>
        <v/>
      </c>
      <c r="R474" s="62">
        <f t="shared" si="7"/>
        <v>0</v>
      </c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</row>
    <row r="475" hidden="1">
      <c r="A475" s="60">
        <f>IFERROR(__xludf.DUMMYFUNCTION("""COMPUTED_VALUE"""),12225.0)</f>
        <v>12225</v>
      </c>
      <c r="B475" s="60" t="str">
        <f>IFERROR(__xludf.DUMMYFUNCTION("""COMPUTED_VALUE"""),"Williams, Leonard")</f>
        <v>Williams, Leonard</v>
      </c>
      <c r="C475" s="60" t="str">
        <f>IFERROR(__xludf.DUMMYFUNCTION("""COMPUTED_VALUE"""),"DT")</f>
        <v>DT</v>
      </c>
      <c r="D475" s="60" t="str">
        <f>IFERROR(__xludf.DUMMYFUNCTION("""COMPUTED_VALUE"""),"SEA")</f>
        <v>SEA</v>
      </c>
      <c r="E475" s="62" t="str">
        <f t="shared" si="4"/>
        <v>Leonard Williams</v>
      </c>
      <c r="F475" s="62">
        <f t="shared" ref="F475:G475" si="950">IF(isblank(F$1),,IF(isblank($A475),,IFERROR(vlookup($A475,indirect("'TVC-"&amp;text(month(F$1),"00")&amp;"'!$A:$D"),4,false),1)))</f>
        <v>1</v>
      </c>
      <c r="G475" s="62">
        <f t="shared" si="950"/>
        <v>1</v>
      </c>
      <c r="H475" s="62">
        <f t="shared" ref="H475:Q475" si="951">IF(isblank(H$1),,IFERROR(vlookup($A475,indirect("'TVC-"&amp;text(month(H$1),"00")&amp;"'!$A:$D"),4,false),1))</f>
        <v>1</v>
      </c>
      <c r="I475" s="62">
        <f t="shared" si="951"/>
        <v>1</v>
      </c>
      <c r="J475" s="62">
        <f t="shared" si="951"/>
        <v>1</v>
      </c>
      <c r="K475" s="62">
        <f t="shared" si="951"/>
        <v>1</v>
      </c>
      <c r="L475" s="62">
        <f t="shared" si="951"/>
        <v>1</v>
      </c>
      <c r="M475" s="62">
        <f t="shared" si="951"/>
        <v>1</v>
      </c>
      <c r="N475" s="62">
        <f t="shared" si="951"/>
        <v>1</v>
      </c>
      <c r="O475" s="62">
        <f t="shared" si="951"/>
        <v>1</v>
      </c>
      <c r="P475" s="62" t="str">
        <f t="shared" si="951"/>
        <v/>
      </c>
      <c r="Q475" s="62" t="str">
        <f t="shared" si="951"/>
        <v/>
      </c>
      <c r="R475" s="62">
        <f t="shared" si="7"/>
        <v>0</v>
      </c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</row>
    <row r="476" hidden="1">
      <c r="A476" s="60">
        <f>IFERROR(__xludf.DUMMYFUNCTION("""COMPUTED_VALUE"""),12229.0)</f>
        <v>12229</v>
      </c>
      <c r="B476" s="60" t="str">
        <f>IFERROR(__xludf.DUMMYFUNCTION("""COMPUTED_VALUE"""),"Phillips, Jordan")</f>
        <v>Phillips, Jordan</v>
      </c>
      <c r="C476" s="60" t="str">
        <f>IFERROR(__xludf.DUMMYFUNCTION("""COMPUTED_VALUE"""),"DT")</f>
        <v>DT</v>
      </c>
      <c r="D476" s="60" t="str">
        <f>IFERROR(__xludf.DUMMYFUNCTION("""COMPUTED_VALUE"""),"BUF")</f>
        <v>BUF</v>
      </c>
      <c r="E476" s="62" t="str">
        <f t="shared" si="4"/>
        <v>Jordan Phillips</v>
      </c>
      <c r="F476" s="62">
        <f t="shared" ref="F476:G476" si="952">IF(isblank(F$1),,IF(isblank($A476),,IFERROR(vlookup($A476,indirect("'TVC-"&amp;text(month(F$1),"00")&amp;"'!$A:$D"),4,false),1)))</f>
        <v>1</v>
      </c>
      <c r="G476" s="62">
        <f t="shared" si="952"/>
        <v>1</v>
      </c>
      <c r="H476" s="62">
        <f t="shared" ref="H476:Q476" si="953">IF(isblank(H$1),,IFERROR(vlookup($A476,indirect("'TVC-"&amp;text(month(H$1),"00")&amp;"'!$A:$D"),4,false),1))</f>
        <v>1</v>
      </c>
      <c r="I476" s="62">
        <f t="shared" si="953"/>
        <v>1</v>
      </c>
      <c r="J476" s="62">
        <f t="shared" si="953"/>
        <v>1</v>
      </c>
      <c r="K476" s="62">
        <f t="shared" si="953"/>
        <v>1</v>
      </c>
      <c r="L476" s="62">
        <f t="shared" si="953"/>
        <v>1</v>
      </c>
      <c r="M476" s="62">
        <f t="shared" si="953"/>
        <v>1</v>
      </c>
      <c r="N476" s="62">
        <f t="shared" si="953"/>
        <v>1</v>
      </c>
      <c r="O476" s="62">
        <f t="shared" si="953"/>
        <v>1</v>
      </c>
      <c r="P476" s="62" t="str">
        <f t="shared" si="953"/>
        <v/>
      </c>
      <c r="Q476" s="62" t="str">
        <f t="shared" si="953"/>
        <v/>
      </c>
      <c r="R476" s="62">
        <f t="shared" si="7"/>
        <v>0</v>
      </c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</row>
    <row r="477" hidden="1">
      <c r="A477" s="60">
        <f>IFERROR(__xludf.DUMMYFUNCTION("""COMPUTED_VALUE"""),12231.0)</f>
        <v>12231</v>
      </c>
      <c r="B477" s="60" t="str">
        <f>IFERROR(__xludf.DUMMYFUNCTION("""COMPUTED_VALUE"""),"Thompson, Shaq")</f>
        <v>Thompson, Shaq</v>
      </c>
      <c r="C477" s="60" t="str">
        <f>IFERROR(__xludf.DUMMYFUNCTION("""COMPUTED_VALUE"""),"LB")</f>
        <v>LB</v>
      </c>
      <c r="D477" s="60" t="str">
        <f>IFERROR(__xludf.DUMMYFUNCTION("""COMPUTED_VALUE"""),"BUF")</f>
        <v>BUF</v>
      </c>
      <c r="E477" s="62" t="str">
        <f t="shared" si="4"/>
        <v>Shaq Thompson</v>
      </c>
      <c r="F477" s="62">
        <f t="shared" ref="F477:G477" si="954">IF(isblank(F$1),,IF(isblank($A477),,IFERROR(vlookup($A477,indirect("'TVC-"&amp;text(month(F$1),"00")&amp;"'!$A:$D"),4,false),1)))</f>
        <v>1</v>
      </c>
      <c r="G477" s="62">
        <f t="shared" si="954"/>
        <v>1</v>
      </c>
      <c r="H477" s="62">
        <f t="shared" ref="H477:Q477" si="955">IF(isblank(H$1),,IFERROR(vlookup($A477,indirect("'TVC-"&amp;text(month(H$1),"00")&amp;"'!$A:$D"),4,false),1))</f>
        <v>1</v>
      </c>
      <c r="I477" s="62">
        <f t="shared" si="955"/>
        <v>1</v>
      </c>
      <c r="J477" s="62">
        <f t="shared" si="955"/>
        <v>1</v>
      </c>
      <c r="K477" s="62">
        <f t="shared" si="955"/>
        <v>1</v>
      </c>
      <c r="L477" s="62">
        <f t="shared" si="955"/>
        <v>1</v>
      </c>
      <c r="M477" s="62">
        <f t="shared" si="955"/>
        <v>1</v>
      </c>
      <c r="N477" s="62">
        <f t="shared" si="955"/>
        <v>1</v>
      </c>
      <c r="O477" s="62">
        <f t="shared" si="955"/>
        <v>1</v>
      </c>
      <c r="P477" s="62" t="str">
        <f t="shared" si="955"/>
        <v/>
      </c>
      <c r="Q477" s="62" t="str">
        <f t="shared" si="955"/>
        <v/>
      </c>
      <c r="R477" s="62">
        <f t="shared" si="7"/>
        <v>0</v>
      </c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</row>
    <row r="478" hidden="1">
      <c r="A478" s="60">
        <f>IFERROR(__xludf.DUMMYFUNCTION("""COMPUTED_VALUE"""),12234.0)</f>
        <v>12234</v>
      </c>
      <c r="B478" s="60" t="str">
        <f>IFERROR(__xludf.DUMMYFUNCTION("""COMPUTED_VALUE"""),"Dupree, Bud")</f>
        <v>Dupree, Bud</v>
      </c>
      <c r="C478" s="60" t="str">
        <f>IFERROR(__xludf.DUMMYFUNCTION("""COMPUTED_VALUE"""),"DE")</f>
        <v>DE</v>
      </c>
      <c r="D478" s="60" t="str">
        <f>IFERROR(__xludf.DUMMYFUNCTION("""COMPUTED_VALUE"""),"LAC")</f>
        <v>LAC</v>
      </c>
      <c r="E478" s="62" t="str">
        <f t="shared" si="4"/>
        <v>Bud Dupree</v>
      </c>
      <c r="F478" s="62">
        <f t="shared" ref="F478:G478" si="956">IF(isblank(F$1),,IF(isblank($A478),,IFERROR(vlookup($A478,indirect("'TVC-"&amp;text(month(F$1),"00")&amp;"'!$A:$D"),4,false),1)))</f>
        <v>1</v>
      </c>
      <c r="G478" s="62">
        <f t="shared" si="956"/>
        <v>1</v>
      </c>
      <c r="H478" s="62">
        <f t="shared" ref="H478:Q478" si="957">IF(isblank(H$1),,IFERROR(vlookup($A478,indirect("'TVC-"&amp;text(month(H$1),"00")&amp;"'!$A:$D"),4,false),1))</f>
        <v>1</v>
      </c>
      <c r="I478" s="62">
        <f t="shared" si="957"/>
        <v>1</v>
      </c>
      <c r="J478" s="62">
        <f t="shared" si="957"/>
        <v>1</v>
      </c>
      <c r="K478" s="62">
        <f t="shared" si="957"/>
        <v>1</v>
      </c>
      <c r="L478" s="62">
        <f t="shared" si="957"/>
        <v>1</v>
      </c>
      <c r="M478" s="62">
        <f t="shared" si="957"/>
        <v>1</v>
      </c>
      <c r="N478" s="62">
        <f t="shared" si="957"/>
        <v>1</v>
      </c>
      <c r="O478" s="62">
        <f t="shared" si="957"/>
        <v>1</v>
      </c>
      <c r="P478" s="62" t="str">
        <f t="shared" si="957"/>
        <v/>
      </c>
      <c r="Q478" s="62" t="str">
        <f t="shared" si="957"/>
        <v/>
      </c>
      <c r="R478" s="62">
        <f t="shared" si="7"/>
        <v>0</v>
      </c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</row>
    <row r="479" hidden="1">
      <c r="A479" s="60">
        <f>IFERROR(__xludf.DUMMYFUNCTION("""COMPUTED_VALUE"""),12238.0)</f>
        <v>12238</v>
      </c>
      <c r="B479" s="60" t="str">
        <f>IFERROR(__xludf.DUMMYFUNCTION("""COMPUTED_VALUE"""),"Perryman, Denzel")</f>
        <v>Perryman, Denzel</v>
      </c>
      <c r="C479" s="60" t="str">
        <f>IFERROR(__xludf.DUMMYFUNCTION("""COMPUTED_VALUE"""),"LB")</f>
        <v>LB</v>
      </c>
      <c r="D479" s="60" t="str">
        <f>IFERROR(__xludf.DUMMYFUNCTION("""COMPUTED_VALUE"""),"LAC")</f>
        <v>LAC</v>
      </c>
      <c r="E479" s="62" t="str">
        <f t="shared" si="4"/>
        <v>Denzel Perryman</v>
      </c>
      <c r="F479" s="62">
        <f t="shared" ref="F479:G479" si="958">IF(isblank(F$1),,IF(isblank($A479),,IFERROR(vlookup($A479,indirect("'TVC-"&amp;text(month(F$1),"00")&amp;"'!$A:$D"),4,false),1)))</f>
        <v>1</v>
      </c>
      <c r="G479" s="62">
        <f t="shared" si="958"/>
        <v>1</v>
      </c>
      <c r="H479" s="62">
        <f t="shared" ref="H479:Q479" si="959">IF(isblank(H$1),,IFERROR(vlookup($A479,indirect("'TVC-"&amp;text(month(H$1),"00")&amp;"'!$A:$D"),4,false),1))</f>
        <v>1</v>
      </c>
      <c r="I479" s="62">
        <f t="shared" si="959"/>
        <v>1</v>
      </c>
      <c r="J479" s="62">
        <f t="shared" si="959"/>
        <v>1</v>
      </c>
      <c r="K479" s="62">
        <f t="shared" si="959"/>
        <v>1</v>
      </c>
      <c r="L479" s="62">
        <f t="shared" si="959"/>
        <v>1</v>
      </c>
      <c r="M479" s="62">
        <f t="shared" si="959"/>
        <v>1</v>
      </c>
      <c r="N479" s="62">
        <f t="shared" si="959"/>
        <v>1</v>
      </c>
      <c r="O479" s="62">
        <f t="shared" si="959"/>
        <v>1</v>
      </c>
      <c r="P479" s="62" t="str">
        <f t="shared" si="959"/>
        <v/>
      </c>
      <c r="Q479" s="62" t="str">
        <f t="shared" si="959"/>
        <v/>
      </c>
      <c r="R479" s="62">
        <f t="shared" si="7"/>
        <v>0</v>
      </c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</row>
    <row r="480" hidden="1">
      <c r="A480" s="60">
        <f>IFERROR(__xludf.DUMMYFUNCTION("""COMPUTED_VALUE"""),12239.0)</f>
        <v>12239</v>
      </c>
      <c r="B480" s="60" t="str">
        <f>IFERROR(__xludf.DUMMYFUNCTION("""COMPUTED_VALUE"""),"Kendricks, Eric")</f>
        <v>Kendricks, Eric</v>
      </c>
      <c r="C480" s="60" t="str">
        <f>IFERROR(__xludf.DUMMYFUNCTION("""COMPUTED_VALUE"""),"LB")</f>
        <v>LB</v>
      </c>
      <c r="D480" s="60" t="str">
        <f>IFERROR(__xludf.DUMMYFUNCTION("""COMPUTED_VALUE"""),"LAR")</f>
        <v>LAR</v>
      </c>
      <c r="E480" s="62" t="str">
        <f t="shared" si="4"/>
        <v>Eric Kendricks</v>
      </c>
      <c r="F480" s="62">
        <f t="shared" ref="F480:G480" si="960">IF(isblank(F$1),,IF(isblank($A480),,IFERROR(vlookup($A480,indirect("'TVC-"&amp;text(month(F$1),"00")&amp;"'!$A:$D"),4,false),1)))</f>
        <v>1</v>
      </c>
      <c r="G480" s="62">
        <f t="shared" si="960"/>
        <v>1</v>
      </c>
      <c r="H480" s="62">
        <f t="shared" ref="H480:Q480" si="961">IF(isblank(H$1),,IFERROR(vlookup($A480,indirect("'TVC-"&amp;text(month(H$1),"00")&amp;"'!$A:$D"),4,false),1))</f>
        <v>1</v>
      </c>
      <c r="I480" s="62">
        <f t="shared" si="961"/>
        <v>1</v>
      </c>
      <c r="J480" s="62">
        <f t="shared" si="961"/>
        <v>1</v>
      </c>
      <c r="K480" s="62">
        <f t="shared" si="961"/>
        <v>1</v>
      </c>
      <c r="L480" s="62">
        <f t="shared" si="961"/>
        <v>1</v>
      </c>
      <c r="M480" s="62">
        <f t="shared" si="961"/>
        <v>1</v>
      </c>
      <c r="N480" s="62">
        <f t="shared" si="961"/>
        <v>1</v>
      </c>
      <c r="O480" s="62">
        <f t="shared" si="961"/>
        <v>1</v>
      </c>
      <c r="P480" s="62" t="str">
        <f t="shared" si="961"/>
        <v/>
      </c>
      <c r="Q480" s="62" t="str">
        <f t="shared" si="961"/>
        <v/>
      </c>
      <c r="R480" s="62">
        <f t="shared" si="7"/>
        <v>0</v>
      </c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</row>
    <row r="481" hidden="1">
      <c r="A481" s="60">
        <f>IFERROR(__xludf.DUMMYFUNCTION("""COMPUTED_VALUE"""),12255.0)</f>
        <v>12255</v>
      </c>
      <c r="B481" s="60" t="str">
        <f>IFERROR(__xludf.DUMMYFUNCTION("""COMPUTED_VALUE"""),"Quinn, Dan")</f>
        <v>Quinn, Dan</v>
      </c>
      <c r="C481" s="60" t="str">
        <f>IFERROR(__xludf.DUMMYFUNCTION("""COMPUTED_VALUE"""),"Coach")</f>
        <v>Coach</v>
      </c>
      <c r="D481" s="60" t="str">
        <f>IFERROR(__xludf.DUMMYFUNCTION("""COMPUTED_VALUE"""),"WAS")</f>
        <v>WAS</v>
      </c>
      <c r="E481" s="62" t="str">
        <f t="shared" si="4"/>
        <v>Dan Quinn</v>
      </c>
      <c r="F481" s="62">
        <f t="shared" ref="F481:G481" si="962">IF(isblank(F$1),,IF(isblank($A481),,IFERROR(vlookup($A481,indirect("'TVC-"&amp;text(month(F$1),"00")&amp;"'!$A:$D"),4,false),1)))</f>
        <v>1</v>
      </c>
      <c r="G481" s="62">
        <f t="shared" si="962"/>
        <v>1</v>
      </c>
      <c r="H481" s="62">
        <f t="shared" ref="H481:Q481" si="963">IF(isblank(H$1),,IFERROR(vlookup($A481,indirect("'TVC-"&amp;text(month(H$1),"00")&amp;"'!$A:$D"),4,false),1))</f>
        <v>1</v>
      </c>
      <c r="I481" s="62">
        <f t="shared" si="963"/>
        <v>1</v>
      </c>
      <c r="J481" s="62">
        <f t="shared" si="963"/>
        <v>1</v>
      </c>
      <c r="K481" s="62">
        <f t="shared" si="963"/>
        <v>1</v>
      </c>
      <c r="L481" s="62">
        <f t="shared" si="963"/>
        <v>1</v>
      </c>
      <c r="M481" s="62">
        <f t="shared" si="963"/>
        <v>1</v>
      </c>
      <c r="N481" s="62">
        <f t="shared" si="963"/>
        <v>1</v>
      </c>
      <c r="O481" s="62">
        <f t="shared" si="963"/>
        <v>1</v>
      </c>
      <c r="P481" s="62" t="str">
        <f t="shared" si="963"/>
        <v/>
      </c>
      <c r="Q481" s="62" t="str">
        <f t="shared" si="963"/>
        <v/>
      </c>
      <c r="R481" s="62">
        <f t="shared" si="7"/>
        <v>0</v>
      </c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</row>
    <row r="482" hidden="1">
      <c r="A482" s="60">
        <f>IFERROR(__xludf.DUMMYFUNCTION("""COMPUTED_VALUE"""),12263.0)</f>
        <v>12263</v>
      </c>
      <c r="B482" s="60" t="str">
        <f>IFERROR(__xludf.DUMMYFUNCTION("""COMPUTED_VALUE"""),"Waller, Darren")</f>
        <v>Waller, Darren</v>
      </c>
      <c r="C482" s="60" t="str">
        <f>IFERROR(__xludf.DUMMYFUNCTION("""COMPUTED_VALUE"""),"TE")</f>
        <v>TE</v>
      </c>
      <c r="D482" s="60" t="str">
        <f>IFERROR(__xludf.DUMMYFUNCTION("""COMPUTED_VALUE"""),"CAR")</f>
        <v>CAR</v>
      </c>
      <c r="E482" s="62" t="str">
        <f t="shared" si="4"/>
        <v>Darren Waller</v>
      </c>
      <c r="F482" s="62">
        <f t="shared" ref="F482:G482" si="964">IF(isblank(F$1),,IF(isblank($A482),,IFERROR(vlookup($A482,indirect("'TVC-"&amp;text(month(F$1),"00")&amp;"'!$A:$D"),4,false),1)))</f>
        <v>1704</v>
      </c>
      <c r="G482" s="62">
        <f t="shared" si="964"/>
        <v>1588</v>
      </c>
      <c r="H482" s="62">
        <f t="shared" ref="H482:Q482" si="965">IF(isblank(H$1),,IFERROR(vlookup($A482,indirect("'TVC-"&amp;text(month(H$1),"00")&amp;"'!$A:$D"),4,false),1))</f>
        <v>1585</v>
      </c>
      <c r="I482" s="62">
        <f t="shared" si="965"/>
        <v>1545</v>
      </c>
      <c r="J482" s="62">
        <f t="shared" si="965"/>
        <v>1348</v>
      </c>
      <c r="K482" s="62">
        <f t="shared" si="965"/>
        <v>1055</v>
      </c>
      <c r="L482" s="62">
        <f t="shared" si="965"/>
        <v>1</v>
      </c>
      <c r="M482" s="62">
        <f t="shared" si="965"/>
        <v>1</v>
      </c>
      <c r="N482" s="62">
        <f t="shared" si="965"/>
        <v>1577</v>
      </c>
      <c r="O482" s="62">
        <f t="shared" si="965"/>
        <v>1</v>
      </c>
      <c r="P482" s="62" t="str">
        <f t="shared" si="965"/>
        <v/>
      </c>
      <c r="Q482" s="62" t="str">
        <f t="shared" si="965"/>
        <v/>
      </c>
      <c r="R482" s="62">
        <f t="shared" si="7"/>
        <v>-1576</v>
      </c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</row>
    <row r="483" hidden="1">
      <c r="A483" s="60">
        <f>IFERROR(__xludf.DUMMYFUNCTION("""COMPUTED_VALUE"""),12270.0)</f>
        <v>12270</v>
      </c>
      <c r="B483" s="60" t="str">
        <f>IFERROR(__xludf.DUMMYFUNCTION("""COMPUTED_VALUE"""),"Smith, Preston")</f>
        <v>Smith, Preston</v>
      </c>
      <c r="C483" s="60" t="str">
        <f>IFERROR(__xludf.DUMMYFUNCTION("""COMPUTED_VALUE"""),"DE")</f>
        <v>DE</v>
      </c>
      <c r="D483" s="60" t="str">
        <f>IFERROR(__xludf.DUMMYFUNCTION("""COMPUTED_VALUE"""),"WAS")</f>
        <v>WAS</v>
      </c>
      <c r="E483" s="62" t="str">
        <f t="shared" si="4"/>
        <v>Preston Smith</v>
      </c>
      <c r="F483" s="62">
        <f t="shared" ref="F483:G483" si="966">IF(isblank(F$1),,IF(isblank($A483),,IFERROR(vlookup($A483,indirect("'TVC-"&amp;text(month(F$1),"00")&amp;"'!$A:$D"),4,false),1)))</f>
        <v>1</v>
      </c>
      <c r="G483" s="62">
        <f t="shared" si="966"/>
        <v>1</v>
      </c>
      <c r="H483" s="62">
        <f t="shared" ref="H483:Q483" si="967">IF(isblank(H$1),,IFERROR(vlookup($A483,indirect("'TVC-"&amp;text(month(H$1),"00")&amp;"'!$A:$D"),4,false),1))</f>
        <v>1</v>
      </c>
      <c r="I483" s="62">
        <f t="shared" si="967"/>
        <v>1</v>
      </c>
      <c r="J483" s="62">
        <f t="shared" si="967"/>
        <v>1</v>
      </c>
      <c r="K483" s="62">
        <f t="shared" si="967"/>
        <v>1</v>
      </c>
      <c r="L483" s="62">
        <f t="shared" si="967"/>
        <v>1</v>
      </c>
      <c r="M483" s="62">
        <f t="shared" si="967"/>
        <v>1</v>
      </c>
      <c r="N483" s="62">
        <f t="shared" si="967"/>
        <v>1</v>
      </c>
      <c r="O483" s="62">
        <f t="shared" si="967"/>
        <v>1</v>
      </c>
      <c r="P483" s="62" t="str">
        <f t="shared" si="967"/>
        <v/>
      </c>
      <c r="Q483" s="62" t="str">
        <f t="shared" si="967"/>
        <v/>
      </c>
      <c r="R483" s="62">
        <f t="shared" si="7"/>
        <v>0</v>
      </c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</row>
    <row r="484" hidden="1">
      <c r="A484" s="60">
        <f>IFERROR(__xludf.DUMMYFUNCTION("""COMPUTED_VALUE"""),12271.0)</f>
        <v>12271</v>
      </c>
      <c r="B484" s="60" t="str">
        <f>IFERROR(__xludf.DUMMYFUNCTION("""COMPUTED_VALUE"""),"Goldman, Eddie")</f>
        <v>Goldman, Eddie</v>
      </c>
      <c r="C484" s="60" t="str">
        <f>IFERROR(__xludf.DUMMYFUNCTION("""COMPUTED_VALUE"""),"DT")</f>
        <v>DT</v>
      </c>
      <c r="D484" s="60" t="str">
        <f>IFERROR(__xludf.DUMMYFUNCTION("""COMPUTED_VALUE"""),"WAS")</f>
        <v>WAS</v>
      </c>
      <c r="E484" s="62" t="str">
        <f t="shared" si="4"/>
        <v>Eddie Goldman</v>
      </c>
      <c r="F484" s="62">
        <f t="shared" ref="F484:G484" si="968">IF(isblank(F$1),,IF(isblank($A484),,IFERROR(vlookup($A484,indirect("'TVC-"&amp;text(month(F$1),"00")&amp;"'!$A:$D"),4,false),1)))</f>
        <v>1</v>
      </c>
      <c r="G484" s="62">
        <f t="shared" si="968"/>
        <v>1</v>
      </c>
      <c r="H484" s="62">
        <f t="shared" ref="H484:Q484" si="969">IF(isblank(H$1),,IFERROR(vlookup($A484,indirect("'TVC-"&amp;text(month(H$1),"00")&amp;"'!$A:$D"),4,false),1))</f>
        <v>1</v>
      </c>
      <c r="I484" s="62">
        <f t="shared" si="969"/>
        <v>1</v>
      </c>
      <c r="J484" s="62">
        <f t="shared" si="969"/>
        <v>1</v>
      </c>
      <c r="K484" s="62">
        <f t="shared" si="969"/>
        <v>1</v>
      </c>
      <c r="L484" s="62">
        <f t="shared" si="969"/>
        <v>1</v>
      </c>
      <c r="M484" s="62">
        <f t="shared" si="969"/>
        <v>1</v>
      </c>
      <c r="N484" s="62">
        <f t="shared" si="969"/>
        <v>1</v>
      </c>
      <c r="O484" s="62">
        <f t="shared" si="969"/>
        <v>1</v>
      </c>
      <c r="P484" s="62" t="str">
        <f t="shared" si="969"/>
        <v/>
      </c>
      <c r="Q484" s="62" t="str">
        <f t="shared" si="969"/>
        <v/>
      </c>
      <c r="R484" s="62">
        <f t="shared" si="7"/>
        <v>0</v>
      </c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</row>
    <row r="485" hidden="1">
      <c r="A485" s="60">
        <f>IFERROR(__xludf.DUMMYFUNCTION("""COMPUTED_VALUE"""),12301.0)</f>
        <v>12301</v>
      </c>
      <c r="B485" s="60" t="str">
        <f>IFERROR(__xludf.DUMMYFUNCTION("""COMPUTED_VALUE"""),"Smith, Za'Darius")</f>
        <v>Smith, Za'Darius</v>
      </c>
      <c r="C485" s="60" t="str">
        <f>IFERROR(__xludf.DUMMYFUNCTION("""COMPUTED_VALUE"""),"DE")</f>
        <v>DE</v>
      </c>
      <c r="D485" s="60" t="str">
        <f>IFERROR(__xludf.DUMMYFUNCTION("""COMPUTED_VALUE"""),"ATL")</f>
        <v>ATL</v>
      </c>
      <c r="E485" s="62" t="str">
        <f t="shared" si="4"/>
        <v>Za'Darius Smith</v>
      </c>
      <c r="F485" s="62">
        <f t="shared" ref="F485:G485" si="970">IF(isblank(F$1),,IF(isblank($A485),,IFERROR(vlookup($A485,indirect("'TVC-"&amp;text(month(F$1),"00")&amp;"'!$A:$D"),4,false),1)))</f>
        <v>1</v>
      </c>
      <c r="G485" s="62">
        <f t="shared" si="970"/>
        <v>1</v>
      </c>
      <c r="H485" s="62">
        <f t="shared" ref="H485:Q485" si="971">IF(isblank(H$1),,IFERROR(vlookup($A485,indirect("'TVC-"&amp;text(month(H$1),"00")&amp;"'!$A:$D"),4,false),1))</f>
        <v>1</v>
      </c>
      <c r="I485" s="62">
        <f t="shared" si="971"/>
        <v>1</v>
      </c>
      <c r="J485" s="62">
        <f t="shared" si="971"/>
        <v>1</v>
      </c>
      <c r="K485" s="62">
        <f t="shared" si="971"/>
        <v>1</v>
      </c>
      <c r="L485" s="62">
        <f t="shared" si="971"/>
        <v>1</v>
      </c>
      <c r="M485" s="62">
        <f t="shared" si="971"/>
        <v>1</v>
      </c>
      <c r="N485" s="62">
        <f t="shared" si="971"/>
        <v>1</v>
      </c>
      <c r="O485" s="62">
        <f t="shared" si="971"/>
        <v>1</v>
      </c>
      <c r="P485" s="62" t="str">
        <f t="shared" si="971"/>
        <v/>
      </c>
      <c r="Q485" s="62" t="str">
        <f t="shared" si="971"/>
        <v/>
      </c>
      <c r="R485" s="62">
        <f t="shared" si="7"/>
        <v>0</v>
      </c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</row>
    <row r="486" hidden="1">
      <c r="A486" s="60">
        <f>IFERROR(__xludf.DUMMYFUNCTION("""COMPUTED_VALUE"""),12305.0)</f>
        <v>12305</v>
      </c>
      <c r="B486" s="60" t="str">
        <f>IFERROR(__xludf.DUMMYFUNCTION("""COMPUTED_VALUE"""),"Jarrett, Grady")</f>
        <v>Jarrett, Grady</v>
      </c>
      <c r="C486" s="60" t="str">
        <f>IFERROR(__xludf.DUMMYFUNCTION("""COMPUTED_VALUE"""),"DT")</f>
        <v>DT</v>
      </c>
      <c r="D486" s="60" t="str">
        <f>IFERROR(__xludf.DUMMYFUNCTION("""COMPUTED_VALUE"""),"CHI")</f>
        <v>CHI</v>
      </c>
      <c r="E486" s="62" t="str">
        <f t="shared" si="4"/>
        <v>Grady Jarrett</v>
      </c>
      <c r="F486" s="62">
        <f t="shared" ref="F486:G486" si="972">IF(isblank(F$1),,IF(isblank($A486),,IFERROR(vlookup($A486,indirect("'TVC-"&amp;text(month(F$1),"00")&amp;"'!$A:$D"),4,false),1)))</f>
        <v>1</v>
      </c>
      <c r="G486" s="62">
        <f t="shared" si="972"/>
        <v>1</v>
      </c>
      <c r="H486" s="62">
        <f t="shared" ref="H486:Q486" si="973">IF(isblank(H$1),,IFERROR(vlookup($A486,indirect("'TVC-"&amp;text(month(H$1),"00")&amp;"'!$A:$D"),4,false),1))</f>
        <v>1</v>
      </c>
      <c r="I486" s="62">
        <f t="shared" si="973"/>
        <v>1</v>
      </c>
      <c r="J486" s="62">
        <f t="shared" si="973"/>
        <v>1</v>
      </c>
      <c r="K486" s="62">
        <f t="shared" si="973"/>
        <v>1</v>
      </c>
      <c r="L486" s="62">
        <f t="shared" si="973"/>
        <v>1</v>
      </c>
      <c r="M486" s="62">
        <f t="shared" si="973"/>
        <v>1</v>
      </c>
      <c r="N486" s="62">
        <f t="shared" si="973"/>
        <v>1</v>
      </c>
      <c r="O486" s="62">
        <f t="shared" si="973"/>
        <v>1</v>
      </c>
      <c r="P486" s="62" t="str">
        <f t="shared" si="973"/>
        <v/>
      </c>
      <c r="Q486" s="62" t="str">
        <f t="shared" si="973"/>
        <v/>
      </c>
      <c r="R486" s="62">
        <f t="shared" si="7"/>
        <v>0</v>
      </c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</row>
    <row r="487" hidden="1">
      <c r="A487" s="60">
        <f>IFERROR(__xludf.DUMMYFUNCTION("""COMPUTED_VALUE"""),12323.0)</f>
        <v>12323</v>
      </c>
      <c r="B487" s="60" t="str">
        <f>IFERROR(__xludf.DUMMYFUNCTION("""COMPUTED_VALUE"""),"Pinion, Bradley")</f>
        <v>Pinion, Bradley</v>
      </c>
      <c r="C487" s="60" t="str">
        <f>IFERROR(__xludf.DUMMYFUNCTION("""COMPUTED_VALUE"""),"PN")</f>
        <v>PN</v>
      </c>
      <c r="D487" s="60" t="str">
        <f>IFERROR(__xludf.DUMMYFUNCTION("""COMPUTED_VALUE"""),"MIA")</f>
        <v>MIA</v>
      </c>
      <c r="E487" s="62" t="str">
        <f t="shared" si="4"/>
        <v>Bradley Pinion</v>
      </c>
      <c r="F487" s="62">
        <f t="shared" ref="F487:G487" si="974">IF(isblank(F$1),,IF(isblank($A487),,IFERROR(vlookup($A487,indirect("'TVC-"&amp;text(month(F$1),"00")&amp;"'!$A:$D"),4,false),1)))</f>
        <v>1</v>
      </c>
      <c r="G487" s="62">
        <f t="shared" si="974"/>
        <v>1</v>
      </c>
      <c r="H487" s="62">
        <f t="shared" ref="H487:Q487" si="975">IF(isblank(H$1),,IFERROR(vlookup($A487,indirect("'TVC-"&amp;text(month(H$1),"00")&amp;"'!$A:$D"),4,false),1))</f>
        <v>1</v>
      </c>
      <c r="I487" s="62">
        <f t="shared" si="975"/>
        <v>1</v>
      </c>
      <c r="J487" s="62">
        <f t="shared" si="975"/>
        <v>1</v>
      </c>
      <c r="K487" s="62">
        <f t="shared" si="975"/>
        <v>1</v>
      </c>
      <c r="L487" s="62">
        <f t="shared" si="975"/>
        <v>1</v>
      </c>
      <c r="M487" s="62">
        <f t="shared" si="975"/>
        <v>1</v>
      </c>
      <c r="N487" s="62">
        <f t="shared" si="975"/>
        <v>1</v>
      </c>
      <c r="O487" s="62">
        <f t="shared" si="975"/>
        <v>1</v>
      </c>
      <c r="P487" s="62" t="str">
        <f t="shared" si="975"/>
        <v/>
      </c>
      <c r="Q487" s="62" t="str">
        <f t="shared" si="975"/>
        <v/>
      </c>
      <c r="R487" s="62">
        <f t="shared" si="7"/>
        <v>0</v>
      </c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</row>
    <row r="488" hidden="1">
      <c r="A488" s="60">
        <f>IFERROR(__xludf.DUMMYFUNCTION("""COMPUTED_VALUE"""),12325.0)</f>
        <v>12325</v>
      </c>
      <c r="B488" s="60" t="str">
        <f>IFERROR(__xludf.DUMMYFUNCTION("""COMPUTED_VALUE"""),"Burton, Michael")</f>
        <v>Burton, Michael</v>
      </c>
      <c r="C488" s="60" t="str">
        <f>IFERROR(__xludf.DUMMYFUNCTION("""COMPUTED_VALUE"""),"RB")</f>
        <v>RB</v>
      </c>
      <c r="D488" s="60" t="str">
        <f>IFERROR(__xludf.DUMMYFUNCTION("""COMPUTED_VALUE"""),"CLE")</f>
        <v>CLE</v>
      </c>
      <c r="E488" s="62" t="str">
        <f t="shared" si="4"/>
        <v>Michael Burton</v>
      </c>
      <c r="F488" s="62">
        <f t="shared" ref="F488:G488" si="976">IF(isblank(F$1),,IF(isblank($A488),,IFERROR(vlookup($A488,indirect("'TVC-"&amp;text(month(F$1),"00")&amp;"'!$A:$D"),4,false),1)))</f>
        <v>1</v>
      </c>
      <c r="G488" s="62">
        <f t="shared" si="976"/>
        <v>1</v>
      </c>
      <c r="H488" s="62">
        <f t="shared" ref="H488:Q488" si="977">IF(isblank(H$1),,IFERROR(vlookup($A488,indirect("'TVC-"&amp;text(month(H$1),"00")&amp;"'!$A:$D"),4,false),1))</f>
        <v>1</v>
      </c>
      <c r="I488" s="62">
        <f t="shared" si="977"/>
        <v>1</v>
      </c>
      <c r="J488" s="62">
        <f t="shared" si="977"/>
        <v>1</v>
      </c>
      <c r="K488" s="62">
        <f t="shared" si="977"/>
        <v>1</v>
      </c>
      <c r="L488" s="62">
        <f t="shared" si="977"/>
        <v>1</v>
      </c>
      <c r="M488" s="62">
        <f t="shared" si="977"/>
        <v>1</v>
      </c>
      <c r="N488" s="62">
        <f t="shared" si="977"/>
        <v>1</v>
      </c>
      <c r="O488" s="62">
        <f t="shared" si="977"/>
        <v>1</v>
      </c>
      <c r="P488" s="62" t="str">
        <f t="shared" si="977"/>
        <v/>
      </c>
      <c r="Q488" s="62" t="str">
        <f t="shared" si="977"/>
        <v/>
      </c>
      <c r="R488" s="62">
        <f t="shared" si="7"/>
        <v>0</v>
      </c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</row>
    <row r="489" hidden="1">
      <c r="A489" s="60">
        <f>IFERROR(__xludf.DUMMYFUNCTION("""COMPUTED_VALUE"""),12349.0)</f>
        <v>12349</v>
      </c>
      <c r="B489" s="60" t="str">
        <f>IFERROR(__xludf.DUMMYFUNCTION("""COMPUTED_VALUE"""),"Diggs, Quandre")</f>
        <v>Diggs, Quandre</v>
      </c>
      <c r="C489" s="60" t="str">
        <f>IFERROR(__xludf.DUMMYFUNCTION("""COMPUTED_VALUE"""),"S")</f>
        <v>S</v>
      </c>
      <c r="D489" s="60" t="str">
        <f>IFERROR(__xludf.DUMMYFUNCTION("""COMPUTED_VALUE"""),"SEA")</f>
        <v>SEA</v>
      </c>
      <c r="E489" s="62" t="str">
        <f t="shared" si="4"/>
        <v>Quandre Diggs</v>
      </c>
      <c r="F489" s="62">
        <f t="shared" ref="F489:G489" si="978">IF(isblank(F$1),,IF(isblank($A489),,IFERROR(vlookup($A489,indirect("'TVC-"&amp;text(month(F$1),"00")&amp;"'!$A:$D"),4,false),1)))</f>
        <v>1</v>
      </c>
      <c r="G489" s="62">
        <f t="shared" si="978"/>
        <v>1</v>
      </c>
      <c r="H489" s="62">
        <f t="shared" ref="H489:Q489" si="979">IF(isblank(H$1),,IFERROR(vlookup($A489,indirect("'TVC-"&amp;text(month(H$1),"00")&amp;"'!$A:$D"),4,false),1))</f>
        <v>1</v>
      </c>
      <c r="I489" s="62">
        <f t="shared" si="979"/>
        <v>1</v>
      </c>
      <c r="J489" s="62">
        <f t="shared" si="979"/>
        <v>1</v>
      </c>
      <c r="K489" s="62">
        <f t="shared" si="979"/>
        <v>1</v>
      </c>
      <c r="L489" s="62">
        <f t="shared" si="979"/>
        <v>1</v>
      </c>
      <c r="M489" s="62">
        <f t="shared" si="979"/>
        <v>1</v>
      </c>
      <c r="N489" s="62">
        <f t="shared" si="979"/>
        <v>1</v>
      </c>
      <c r="O489" s="62">
        <f t="shared" si="979"/>
        <v>1</v>
      </c>
      <c r="P489" s="62" t="str">
        <f t="shared" si="979"/>
        <v/>
      </c>
      <c r="Q489" s="62" t="str">
        <f t="shared" si="979"/>
        <v/>
      </c>
      <c r="R489" s="62">
        <f t="shared" si="7"/>
        <v>0</v>
      </c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</row>
    <row r="490" hidden="1">
      <c r="A490" s="60">
        <f>IFERROR(__xludf.DUMMYFUNCTION("""COMPUTED_VALUE"""),12361.0)</f>
        <v>12361</v>
      </c>
      <c r="B490" s="60" t="str">
        <f>IFERROR(__xludf.DUMMYFUNCTION("""COMPUTED_VALUE"""),"Nunez-Roches, Rakeem")</f>
        <v>Nunez-Roches, Rakeem</v>
      </c>
      <c r="C490" s="60" t="str">
        <f>IFERROR(__xludf.DUMMYFUNCTION("""COMPUTED_VALUE"""),"DT")</f>
        <v>DT</v>
      </c>
      <c r="D490" s="60" t="str">
        <f>IFERROR(__xludf.DUMMYFUNCTION("""COMPUTED_VALUE"""),"TBB")</f>
        <v>TBB</v>
      </c>
      <c r="E490" s="62" t="str">
        <f t="shared" si="4"/>
        <v>Rakeem Nunez-Roches</v>
      </c>
      <c r="F490" s="62">
        <f t="shared" ref="F490:G490" si="980">IF(isblank(F$1),,IF(isblank($A490),,IFERROR(vlookup($A490,indirect("'TVC-"&amp;text(month(F$1),"00")&amp;"'!$A:$D"),4,false),1)))</f>
        <v>1</v>
      </c>
      <c r="G490" s="62">
        <f t="shared" si="980"/>
        <v>1</v>
      </c>
      <c r="H490" s="62">
        <f t="shared" ref="H490:Q490" si="981">IF(isblank(H$1),,IFERROR(vlookup($A490,indirect("'TVC-"&amp;text(month(H$1),"00")&amp;"'!$A:$D"),4,false),1))</f>
        <v>1</v>
      </c>
      <c r="I490" s="62">
        <f t="shared" si="981"/>
        <v>1</v>
      </c>
      <c r="J490" s="62">
        <f t="shared" si="981"/>
        <v>1</v>
      </c>
      <c r="K490" s="62">
        <f t="shared" si="981"/>
        <v>1</v>
      </c>
      <c r="L490" s="62">
        <f t="shared" si="981"/>
        <v>1</v>
      </c>
      <c r="M490" s="62">
        <f t="shared" si="981"/>
        <v>1</v>
      </c>
      <c r="N490" s="62">
        <f t="shared" si="981"/>
        <v>1</v>
      </c>
      <c r="O490" s="62">
        <f t="shared" si="981"/>
        <v>1</v>
      </c>
      <c r="P490" s="62" t="str">
        <f t="shared" si="981"/>
        <v/>
      </c>
      <c r="Q490" s="62" t="str">
        <f t="shared" si="981"/>
        <v/>
      </c>
      <c r="R490" s="62">
        <f t="shared" si="7"/>
        <v>0</v>
      </c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</row>
    <row r="491" hidden="1">
      <c r="A491" s="60">
        <f>IFERROR(__xludf.DUMMYFUNCTION("""COMPUTED_VALUE"""),12381.0)</f>
        <v>12381</v>
      </c>
      <c r="B491" s="60" t="str">
        <f>IFERROR(__xludf.DUMMYFUNCTION("""COMPUTED_VALUE"""),"Siemian, Trevor")</f>
        <v>Siemian, Trevor</v>
      </c>
      <c r="C491" s="60" t="str">
        <f>IFERROR(__xludf.DUMMYFUNCTION("""COMPUTED_VALUE"""),"QB")</f>
        <v>QB</v>
      </c>
      <c r="D491" s="60" t="str">
        <f>IFERROR(__xludf.DUMMYFUNCTION("""COMPUTED_VALUE"""),"FA")</f>
        <v>FA</v>
      </c>
      <c r="E491" s="62" t="str">
        <f t="shared" si="4"/>
        <v>Trevor Siemian</v>
      </c>
      <c r="F491" s="62">
        <f t="shared" ref="F491:G491" si="982">IF(isblank(F$1),,IF(isblank($A491),,IFERROR(vlookup($A491,indirect("'TVC-"&amp;text(month(F$1),"00")&amp;"'!$A:$D"),4,false),1)))</f>
        <v>1</v>
      </c>
      <c r="G491" s="62">
        <f t="shared" si="982"/>
        <v>1</v>
      </c>
      <c r="H491" s="62">
        <f t="shared" ref="H491:Q491" si="983">IF(isblank(H$1),,IFERROR(vlookup($A491,indirect("'TVC-"&amp;text(month(H$1),"00")&amp;"'!$A:$D"),4,false),1))</f>
        <v>1</v>
      </c>
      <c r="I491" s="62">
        <f t="shared" si="983"/>
        <v>1</v>
      </c>
      <c r="J491" s="62">
        <f t="shared" si="983"/>
        <v>1</v>
      </c>
      <c r="K491" s="62">
        <f t="shared" si="983"/>
        <v>1</v>
      </c>
      <c r="L491" s="62">
        <f t="shared" si="983"/>
        <v>1</v>
      </c>
      <c r="M491" s="62">
        <f t="shared" si="983"/>
        <v>1</v>
      </c>
      <c r="N491" s="62">
        <f t="shared" si="983"/>
        <v>1</v>
      </c>
      <c r="O491" s="62">
        <f t="shared" si="983"/>
        <v>1</v>
      </c>
      <c r="P491" s="62" t="str">
        <f t="shared" si="983"/>
        <v/>
      </c>
      <c r="Q491" s="62" t="str">
        <f t="shared" si="983"/>
        <v/>
      </c>
      <c r="R491" s="62">
        <f t="shared" si="7"/>
        <v>0</v>
      </c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</row>
    <row r="492" hidden="1">
      <c r="A492" s="60">
        <f>IFERROR(__xludf.DUMMYFUNCTION("""COMPUTED_VALUE"""),12394.0)</f>
        <v>12394</v>
      </c>
      <c r="B492" s="60" t="str">
        <f>IFERROR(__xludf.DUMMYFUNCTION("""COMPUTED_VALUE"""),"Carter, DeAndre")</f>
        <v>Carter, DeAndre</v>
      </c>
      <c r="C492" s="60" t="str">
        <f>IFERROR(__xludf.DUMMYFUNCTION("""COMPUTED_VALUE"""),"WR")</f>
        <v>WR</v>
      </c>
      <c r="D492" s="60" t="str">
        <f>IFERROR(__xludf.DUMMYFUNCTION("""COMPUTED_VALUE"""),"FA")</f>
        <v>FA</v>
      </c>
      <c r="E492" s="62" t="str">
        <f t="shared" si="4"/>
        <v>DeAndre Carter</v>
      </c>
      <c r="F492" s="62">
        <f t="shared" ref="F492:G492" si="984">IF(isblank(F$1),,IF(isblank($A492),,IFERROR(vlookup($A492,indirect("'TVC-"&amp;text(month(F$1),"00")&amp;"'!$A:$D"),4,false),1)))</f>
        <v>1</v>
      </c>
      <c r="G492" s="62">
        <f t="shared" si="984"/>
        <v>1</v>
      </c>
      <c r="H492" s="62">
        <f t="shared" ref="H492:Q492" si="985">IF(isblank(H$1),,IFERROR(vlookup($A492,indirect("'TVC-"&amp;text(month(H$1),"00")&amp;"'!$A:$D"),4,false),1))</f>
        <v>1</v>
      </c>
      <c r="I492" s="62">
        <f t="shared" si="985"/>
        <v>1</v>
      </c>
      <c r="J492" s="62">
        <f t="shared" si="985"/>
        <v>1</v>
      </c>
      <c r="K492" s="62">
        <f t="shared" si="985"/>
        <v>1</v>
      </c>
      <c r="L492" s="62">
        <f t="shared" si="985"/>
        <v>1</v>
      </c>
      <c r="M492" s="62">
        <f t="shared" si="985"/>
        <v>1</v>
      </c>
      <c r="N492" s="62">
        <f t="shared" si="985"/>
        <v>1</v>
      </c>
      <c r="O492" s="62">
        <f t="shared" si="985"/>
        <v>1</v>
      </c>
      <c r="P492" s="62" t="str">
        <f t="shared" si="985"/>
        <v/>
      </c>
      <c r="Q492" s="62" t="str">
        <f t="shared" si="985"/>
        <v/>
      </c>
      <c r="R492" s="62">
        <f t="shared" si="7"/>
        <v>0</v>
      </c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</row>
    <row r="493" hidden="1">
      <c r="A493" s="60">
        <f>IFERROR(__xludf.DUMMYFUNCTION("""COMPUTED_VALUE"""),12437.0)</f>
        <v>12437</v>
      </c>
      <c r="B493" s="60" t="str">
        <f>IFERROR(__xludf.DUMMYFUNCTION("""COMPUTED_VALUE"""),"Myers, Jason")</f>
        <v>Myers, Jason</v>
      </c>
      <c r="C493" s="60" t="str">
        <f>IFERROR(__xludf.DUMMYFUNCTION("""COMPUTED_VALUE"""),"PK")</f>
        <v>PK</v>
      </c>
      <c r="D493" s="60" t="str">
        <f>IFERROR(__xludf.DUMMYFUNCTION("""COMPUTED_VALUE"""),"SEA")</f>
        <v>SEA</v>
      </c>
      <c r="E493" s="62" t="str">
        <f t="shared" si="4"/>
        <v>Jason Myers</v>
      </c>
      <c r="F493" s="62">
        <f t="shared" ref="F493:G493" si="986">IF(isblank(F$1),,IF(isblank($A493),,IFERROR(vlookup($A493,indirect("'TVC-"&amp;text(month(F$1),"00")&amp;"'!$A:$D"),4,false),1)))</f>
        <v>1</v>
      </c>
      <c r="G493" s="62">
        <f t="shared" si="986"/>
        <v>1</v>
      </c>
      <c r="H493" s="62">
        <f t="shared" ref="H493:Q493" si="987">IF(isblank(H$1),,IFERROR(vlookup($A493,indirect("'TVC-"&amp;text(month(H$1),"00")&amp;"'!$A:$D"),4,false),1))</f>
        <v>1</v>
      </c>
      <c r="I493" s="62">
        <f t="shared" si="987"/>
        <v>1</v>
      </c>
      <c r="J493" s="62">
        <f t="shared" si="987"/>
        <v>1</v>
      </c>
      <c r="K493" s="62">
        <f t="shared" si="987"/>
        <v>1</v>
      </c>
      <c r="L493" s="62">
        <f t="shared" si="987"/>
        <v>1</v>
      </c>
      <c r="M493" s="62">
        <f t="shared" si="987"/>
        <v>1</v>
      </c>
      <c r="N493" s="62">
        <f t="shared" si="987"/>
        <v>1</v>
      </c>
      <c r="O493" s="62">
        <f t="shared" si="987"/>
        <v>1</v>
      </c>
      <c r="P493" s="62" t="str">
        <f t="shared" si="987"/>
        <v/>
      </c>
      <c r="Q493" s="62" t="str">
        <f t="shared" si="987"/>
        <v/>
      </c>
      <c r="R493" s="62">
        <f t="shared" si="7"/>
        <v>0</v>
      </c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</row>
    <row r="494" hidden="1">
      <c r="A494" s="60">
        <f>IFERROR(__xludf.DUMMYFUNCTION("""COMPUTED_VALUE"""),12447.0)</f>
        <v>12447</v>
      </c>
      <c r="B494" s="60" t="str">
        <f>IFERROR(__xludf.DUMMYFUNCTION("""COMPUTED_VALUE"""),"Mostert, Raheem")</f>
        <v>Mostert, Raheem</v>
      </c>
      <c r="C494" s="60" t="str">
        <f>IFERROR(__xludf.DUMMYFUNCTION("""COMPUTED_VALUE"""),"RB")</f>
        <v>RB</v>
      </c>
      <c r="D494" s="60" t="str">
        <f>IFERROR(__xludf.DUMMYFUNCTION("""COMPUTED_VALUE"""),"FA")</f>
        <v>FA</v>
      </c>
      <c r="E494" s="62" t="str">
        <f t="shared" si="4"/>
        <v>Raheem Mostert</v>
      </c>
      <c r="F494" s="62">
        <f t="shared" ref="F494:G494" si="988">IF(isblank(F$1),,IF(isblank($A494),,IFERROR(vlookup($A494,indirect("'TVC-"&amp;text(month(F$1),"00")&amp;"'!$A:$D"),4,false),1)))</f>
        <v>1</v>
      </c>
      <c r="G494" s="62">
        <f t="shared" si="988"/>
        <v>1</v>
      </c>
      <c r="H494" s="62">
        <f t="shared" ref="H494:Q494" si="989">IF(isblank(H$1),,IFERROR(vlookup($A494,indirect("'TVC-"&amp;text(month(H$1),"00")&amp;"'!$A:$D"),4,false),1))</f>
        <v>1</v>
      </c>
      <c r="I494" s="62">
        <f t="shared" si="989"/>
        <v>1</v>
      </c>
      <c r="J494" s="62">
        <f t="shared" si="989"/>
        <v>1</v>
      </c>
      <c r="K494" s="62">
        <f t="shared" si="989"/>
        <v>1</v>
      </c>
      <c r="L494" s="62">
        <f t="shared" si="989"/>
        <v>1</v>
      </c>
      <c r="M494" s="62">
        <f t="shared" si="989"/>
        <v>1</v>
      </c>
      <c r="N494" s="62">
        <f t="shared" si="989"/>
        <v>1</v>
      </c>
      <c r="O494" s="62">
        <f t="shared" si="989"/>
        <v>1</v>
      </c>
      <c r="P494" s="62" t="str">
        <f t="shared" si="989"/>
        <v/>
      </c>
      <c r="Q494" s="62" t="str">
        <f t="shared" si="989"/>
        <v/>
      </c>
      <c r="R494" s="62">
        <f t="shared" si="7"/>
        <v>0</v>
      </c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</row>
    <row r="495" hidden="1">
      <c r="A495" s="60">
        <f>IFERROR(__xludf.DUMMYFUNCTION("""COMPUTED_VALUE"""),12476.0)</f>
        <v>12476</v>
      </c>
      <c r="B495" s="60" t="str">
        <f>IFERROR(__xludf.DUMMYFUNCTION("""COMPUTED_VALUE"""),"Heinicke, Taylor")</f>
        <v>Heinicke, Taylor</v>
      </c>
      <c r="C495" s="60" t="str">
        <f>IFERROR(__xludf.DUMMYFUNCTION("""COMPUTED_VALUE"""),"QB")</f>
        <v>QB</v>
      </c>
      <c r="D495" s="60" t="str">
        <f>IFERROR(__xludf.DUMMYFUNCTION("""COMPUTED_VALUE"""),"FA")</f>
        <v>FA</v>
      </c>
      <c r="E495" s="62" t="str">
        <f t="shared" si="4"/>
        <v>Taylor Heinicke</v>
      </c>
      <c r="F495" s="62">
        <f t="shared" ref="F495:G495" si="990">IF(isblank(F$1),,IF(isblank($A495),,IFERROR(vlookup($A495,indirect("'TVC-"&amp;text(month(F$1),"00")&amp;"'!$A:$D"),4,false),1)))</f>
        <v>1</v>
      </c>
      <c r="G495" s="62">
        <f t="shared" si="990"/>
        <v>1</v>
      </c>
      <c r="H495" s="62">
        <f t="shared" ref="H495:Q495" si="991">IF(isblank(H$1),,IFERROR(vlookup($A495,indirect("'TVC-"&amp;text(month(H$1),"00")&amp;"'!$A:$D"),4,false),1))</f>
        <v>1</v>
      </c>
      <c r="I495" s="62">
        <f t="shared" si="991"/>
        <v>1</v>
      </c>
      <c r="J495" s="62">
        <f t="shared" si="991"/>
        <v>1</v>
      </c>
      <c r="K495" s="62">
        <f t="shared" si="991"/>
        <v>1</v>
      </c>
      <c r="L495" s="62">
        <f t="shared" si="991"/>
        <v>1</v>
      </c>
      <c r="M495" s="62">
        <f t="shared" si="991"/>
        <v>1</v>
      </c>
      <c r="N495" s="62">
        <f t="shared" si="991"/>
        <v>1</v>
      </c>
      <c r="O495" s="62">
        <f t="shared" si="991"/>
        <v>1</v>
      </c>
      <c r="P495" s="62" t="str">
        <f t="shared" si="991"/>
        <v/>
      </c>
      <c r="Q495" s="62" t="str">
        <f t="shared" si="991"/>
        <v/>
      </c>
      <c r="R495" s="62">
        <f t="shared" si="7"/>
        <v>0</v>
      </c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</row>
    <row r="496" hidden="1">
      <c r="A496" s="60">
        <f>IFERROR(__xludf.DUMMYFUNCTION("""COMPUTED_VALUE"""),12481.0)</f>
        <v>12481</v>
      </c>
      <c r="B496" s="60" t="str">
        <f>IFERROR(__xludf.DUMMYFUNCTION("""COMPUTED_VALUE"""),"Hewitt, Neville")</f>
        <v>Hewitt, Neville</v>
      </c>
      <c r="C496" s="60" t="str">
        <f>IFERROR(__xludf.DUMMYFUNCTION("""COMPUTED_VALUE"""),"LB")</f>
        <v>LB</v>
      </c>
      <c r="D496" s="60" t="str">
        <f>IFERROR(__xludf.DUMMYFUNCTION("""COMPUTED_VALUE"""),"NYG")</f>
        <v>NYG</v>
      </c>
      <c r="E496" s="62" t="str">
        <f t="shared" si="4"/>
        <v>Neville Hewitt</v>
      </c>
      <c r="F496" s="62">
        <f t="shared" ref="F496:G496" si="992">IF(isblank(F$1),,IF(isblank($A496),,IFERROR(vlookup($A496,indirect("'TVC-"&amp;text(month(F$1),"00")&amp;"'!$A:$D"),4,false),1)))</f>
        <v>1</v>
      </c>
      <c r="G496" s="62">
        <f t="shared" si="992"/>
        <v>1</v>
      </c>
      <c r="H496" s="62">
        <f t="shared" ref="H496:Q496" si="993">IF(isblank(H$1),,IFERROR(vlookup($A496,indirect("'TVC-"&amp;text(month(H$1),"00")&amp;"'!$A:$D"),4,false),1))</f>
        <v>1</v>
      </c>
      <c r="I496" s="62">
        <f t="shared" si="993"/>
        <v>1</v>
      </c>
      <c r="J496" s="62">
        <f t="shared" si="993"/>
        <v>1</v>
      </c>
      <c r="K496" s="62">
        <f t="shared" si="993"/>
        <v>1</v>
      </c>
      <c r="L496" s="62">
        <f t="shared" si="993"/>
        <v>1</v>
      </c>
      <c r="M496" s="62">
        <f t="shared" si="993"/>
        <v>1</v>
      </c>
      <c r="N496" s="62">
        <f t="shared" si="993"/>
        <v>1</v>
      </c>
      <c r="O496" s="62">
        <f t="shared" si="993"/>
        <v>1</v>
      </c>
      <c r="P496" s="62" t="str">
        <f t="shared" si="993"/>
        <v/>
      </c>
      <c r="Q496" s="62" t="str">
        <f t="shared" si="993"/>
        <v/>
      </c>
      <c r="R496" s="62">
        <f t="shared" si="7"/>
        <v>0</v>
      </c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</row>
    <row r="497" hidden="1">
      <c r="A497" s="60">
        <f>IFERROR(__xludf.DUMMYFUNCTION("""COMPUTED_VALUE"""),12539.0)</f>
        <v>12539</v>
      </c>
      <c r="B497" s="60" t="str">
        <f>IFERROR(__xludf.DUMMYFUNCTION("""COMPUTED_VALUE"""),"Campbell, Dan")</f>
        <v>Campbell, Dan</v>
      </c>
      <c r="C497" s="60" t="str">
        <f>IFERROR(__xludf.DUMMYFUNCTION("""COMPUTED_VALUE"""),"Coach")</f>
        <v>Coach</v>
      </c>
      <c r="D497" s="60" t="str">
        <f>IFERROR(__xludf.DUMMYFUNCTION("""COMPUTED_VALUE"""),"DET")</f>
        <v>DET</v>
      </c>
      <c r="E497" s="62" t="str">
        <f t="shared" si="4"/>
        <v>Dan Campbell</v>
      </c>
      <c r="F497" s="62">
        <f t="shared" ref="F497:G497" si="994">IF(isblank(F$1),,IF(isblank($A497),,IFERROR(vlookup($A497,indirect("'TVC-"&amp;text(month(F$1),"00")&amp;"'!$A:$D"),4,false),1)))</f>
        <v>1</v>
      </c>
      <c r="G497" s="62">
        <f t="shared" si="994"/>
        <v>1</v>
      </c>
      <c r="H497" s="62">
        <f t="shared" ref="H497:Q497" si="995">IF(isblank(H$1),,IFERROR(vlookup($A497,indirect("'TVC-"&amp;text(month(H$1),"00")&amp;"'!$A:$D"),4,false),1))</f>
        <v>1</v>
      </c>
      <c r="I497" s="62">
        <f t="shared" si="995"/>
        <v>1</v>
      </c>
      <c r="J497" s="62">
        <f t="shared" si="995"/>
        <v>1</v>
      </c>
      <c r="K497" s="62">
        <f t="shared" si="995"/>
        <v>1</v>
      </c>
      <c r="L497" s="62">
        <f t="shared" si="995"/>
        <v>1</v>
      </c>
      <c r="M497" s="62">
        <f t="shared" si="995"/>
        <v>1</v>
      </c>
      <c r="N497" s="62">
        <f t="shared" si="995"/>
        <v>1</v>
      </c>
      <c r="O497" s="62">
        <f t="shared" si="995"/>
        <v>1</v>
      </c>
      <c r="P497" s="62" t="str">
        <f t="shared" si="995"/>
        <v/>
      </c>
      <c r="Q497" s="62" t="str">
        <f t="shared" si="995"/>
        <v/>
      </c>
      <c r="R497" s="62">
        <f t="shared" si="7"/>
        <v>0</v>
      </c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</row>
    <row r="498" hidden="1">
      <c r="A498" s="60">
        <f>IFERROR(__xludf.DUMMYFUNCTION("""COMPUTED_VALUE"""),12608.0)</f>
        <v>12608</v>
      </c>
      <c r="B498" s="60" t="str">
        <f>IFERROR(__xludf.DUMMYFUNCTION("""COMPUTED_VALUE"""),"Winchester, James")</f>
        <v>Winchester, James</v>
      </c>
      <c r="C498" s="60" t="str">
        <f>IFERROR(__xludf.DUMMYFUNCTION("""COMPUTED_VALUE"""),"TE")</f>
        <v>TE</v>
      </c>
      <c r="D498" s="60" t="str">
        <f>IFERROR(__xludf.DUMMYFUNCTION("""COMPUTED_VALUE"""),"KCC")</f>
        <v>KCC</v>
      </c>
      <c r="E498" s="62" t="str">
        <f t="shared" si="4"/>
        <v>James Winchester</v>
      </c>
      <c r="F498" s="62">
        <f t="shared" ref="F498:G498" si="996">IF(isblank(F$1),,IF(isblank($A498),,IFERROR(vlookup($A498,indirect("'TVC-"&amp;text(month(F$1),"00")&amp;"'!$A:$D"),4,false),1)))</f>
        <v>1</v>
      </c>
      <c r="G498" s="62">
        <f t="shared" si="996"/>
        <v>1</v>
      </c>
      <c r="H498" s="62">
        <f t="shared" ref="H498:Q498" si="997">IF(isblank(H$1),,IFERROR(vlookup($A498,indirect("'TVC-"&amp;text(month(H$1),"00")&amp;"'!$A:$D"),4,false),1))</f>
        <v>1</v>
      </c>
      <c r="I498" s="62">
        <f t="shared" si="997"/>
        <v>1</v>
      </c>
      <c r="J498" s="62">
        <f t="shared" si="997"/>
        <v>1</v>
      </c>
      <c r="K498" s="62">
        <f t="shared" si="997"/>
        <v>1</v>
      </c>
      <c r="L498" s="62">
        <f t="shared" si="997"/>
        <v>1</v>
      </c>
      <c r="M498" s="62">
        <f t="shared" si="997"/>
        <v>1</v>
      </c>
      <c r="N498" s="62">
        <f t="shared" si="997"/>
        <v>1</v>
      </c>
      <c r="O498" s="62">
        <f t="shared" si="997"/>
        <v>1</v>
      </c>
      <c r="P498" s="62" t="str">
        <f t="shared" si="997"/>
        <v/>
      </c>
      <c r="Q498" s="62" t="str">
        <f t="shared" si="997"/>
        <v/>
      </c>
      <c r="R498" s="62">
        <f t="shared" si="7"/>
        <v>0</v>
      </c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</row>
    <row r="499">
      <c r="A499" s="60">
        <f>IFERROR(__xludf.DUMMYFUNCTION("""COMPUTED_VALUE"""),12610.0)</f>
        <v>12610</v>
      </c>
      <c r="B499" s="60" t="str">
        <f>IFERROR(__xludf.DUMMYFUNCTION("""COMPUTED_VALUE"""),"Wentz, Carson")</f>
        <v>Wentz, Carson</v>
      </c>
      <c r="C499" s="60" t="str">
        <f>IFERROR(__xludf.DUMMYFUNCTION("""COMPUTED_VALUE"""),"QB")</f>
        <v>QB</v>
      </c>
      <c r="D499" s="60" t="str">
        <f>IFERROR(__xludf.DUMMYFUNCTION("""COMPUTED_VALUE"""),"MIN")</f>
        <v>MIN</v>
      </c>
      <c r="E499" s="62" t="str">
        <f t="shared" si="4"/>
        <v>Carson Wentz</v>
      </c>
      <c r="F499" s="62">
        <f t="shared" ref="F499:G499" si="998">IF(isblank(F$1),,IF(isblank($A499),,IFERROR(vlookup($A499,indirect("'TVC-"&amp;text(month(F$1),"00")&amp;"'!$A:$D"),4,false),1)))</f>
        <v>711</v>
      </c>
      <c r="G499" s="62">
        <f t="shared" si="998"/>
        <v>1</v>
      </c>
      <c r="H499" s="62">
        <f t="shared" ref="H499:Q499" si="999">IF(isblank(H$1),,IFERROR(vlookup($A499,indirect("'TVC-"&amp;text(month(H$1),"00")&amp;"'!$A:$D"),4,false),1))</f>
        <v>1</v>
      </c>
      <c r="I499" s="62">
        <f t="shared" si="999"/>
        <v>744</v>
      </c>
      <c r="J499" s="62">
        <f t="shared" si="999"/>
        <v>1</v>
      </c>
      <c r="K499" s="62">
        <f t="shared" si="999"/>
        <v>1</v>
      </c>
      <c r="L499" s="62">
        <f t="shared" si="999"/>
        <v>1</v>
      </c>
      <c r="M499" s="62">
        <f t="shared" si="999"/>
        <v>1</v>
      </c>
      <c r="N499" s="62">
        <f t="shared" si="999"/>
        <v>1</v>
      </c>
      <c r="O499" s="62">
        <f t="shared" si="999"/>
        <v>1</v>
      </c>
      <c r="P499" s="62" t="str">
        <f t="shared" si="999"/>
        <v/>
      </c>
      <c r="Q499" s="62" t="str">
        <f t="shared" si="999"/>
        <v/>
      </c>
      <c r="R499" s="62">
        <f t="shared" si="7"/>
        <v>0</v>
      </c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</row>
    <row r="500">
      <c r="A500" s="60">
        <f>IFERROR(__xludf.DUMMYFUNCTION("""COMPUTED_VALUE"""),12611.0)</f>
        <v>12611</v>
      </c>
      <c r="B500" s="60" t="str">
        <f>IFERROR(__xludf.DUMMYFUNCTION("""COMPUTED_VALUE"""),"Goff, Jared")</f>
        <v>Goff, Jared</v>
      </c>
      <c r="C500" s="60" t="str">
        <f>IFERROR(__xludf.DUMMYFUNCTION("""COMPUTED_VALUE"""),"QB")</f>
        <v>QB</v>
      </c>
      <c r="D500" s="60" t="str">
        <f>IFERROR(__xludf.DUMMYFUNCTION("""COMPUTED_VALUE"""),"DET")</f>
        <v>DET</v>
      </c>
      <c r="E500" s="62" t="str">
        <f t="shared" si="4"/>
        <v>Jared Goff</v>
      </c>
      <c r="F500" s="62">
        <f t="shared" ref="F500:G500" si="1000">IF(isblank(F$1),,IF(isblank($A500),,IFERROR(vlookup($A500,indirect("'TVC-"&amp;text(month(F$1),"00")&amp;"'!$A:$D"),4,false),1)))</f>
        <v>4574</v>
      </c>
      <c r="G500" s="62">
        <f t="shared" si="1000"/>
        <v>4626</v>
      </c>
      <c r="H500" s="62">
        <f t="shared" ref="H500:Q500" si="1001">IF(isblank(H$1),,IFERROR(vlookup($A500,indirect("'TVC-"&amp;text(month(H$1),"00")&amp;"'!$A:$D"),4,false),1))</f>
        <v>4625</v>
      </c>
      <c r="I500" s="62">
        <f t="shared" si="1001"/>
        <v>4676</v>
      </c>
      <c r="J500" s="62">
        <f t="shared" si="1001"/>
        <v>4670</v>
      </c>
      <c r="K500" s="62">
        <f t="shared" si="1001"/>
        <v>4670</v>
      </c>
      <c r="L500" s="62">
        <f t="shared" si="1001"/>
        <v>4683</v>
      </c>
      <c r="M500" s="62">
        <f t="shared" si="1001"/>
        <v>4678</v>
      </c>
      <c r="N500" s="62">
        <f t="shared" si="1001"/>
        <v>4567</v>
      </c>
      <c r="O500" s="62">
        <f t="shared" si="1001"/>
        <v>1</v>
      </c>
      <c r="P500" s="62" t="str">
        <f t="shared" si="1001"/>
        <v/>
      </c>
      <c r="Q500" s="62" t="str">
        <f t="shared" si="1001"/>
        <v/>
      </c>
      <c r="R500" s="62">
        <f t="shared" si="7"/>
        <v>-4566</v>
      </c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</row>
    <row r="501">
      <c r="A501" s="60">
        <f>IFERROR(__xludf.DUMMYFUNCTION("""COMPUTED_VALUE"""),12616.0)</f>
        <v>12616</v>
      </c>
      <c r="B501" s="60" t="str">
        <f>IFERROR(__xludf.DUMMYFUNCTION("""COMPUTED_VALUE"""),"Brissett, Jacoby")</f>
        <v>Brissett, Jacoby</v>
      </c>
      <c r="C501" s="60" t="str">
        <f>IFERROR(__xludf.DUMMYFUNCTION("""COMPUTED_VALUE"""),"QB")</f>
        <v>QB</v>
      </c>
      <c r="D501" s="60" t="str">
        <f>IFERROR(__xludf.DUMMYFUNCTION("""COMPUTED_VALUE"""),"ARI")</f>
        <v>ARI</v>
      </c>
      <c r="E501" s="62" t="str">
        <f t="shared" si="4"/>
        <v>Jacoby Brissett</v>
      </c>
      <c r="F501" s="62">
        <f t="shared" ref="F501:G501" si="1002">IF(isblank(F$1),,IF(isblank($A501),,IFERROR(vlookup($A501,indirect("'TVC-"&amp;text(month(F$1),"00")&amp;"'!$A:$D"),4,false),1)))</f>
        <v>2406</v>
      </c>
      <c r="G501" s="62">
        <f t="shared" si="1002"/>
        <v>2427</v>
      </c>
      <c r="H501" s="62">
        <f t="shared" ref="H501:Q501" si="1003">IF(isblank(H$1),,IFERROR(vlookup($A501,indirect("'TVC-"&amp;text(month(H$1),"00")&amp;"'!$A:$D"),4,false),1))</f>
        <v>2503</v>
      </c>
      <c r="I501" s="62">
        <f t="shared" si="1003"/>
        <v>2772</v>
      </c>
      <c r="J501" s="62">
        <f t="shared" si="1003"/>
        <v>2743</v>
      </c>
      <c r="K501" s="62">
        <f t="shared" si="1003"/>
        <v>2688</v>
      </c>
      <c r="L501" s="62">
        <f t="shared" si="1003"/>
        <v>2652</v>
      </c>
      <c r="M501" s="62">
        <f t="shared" si="1003"/>
        <v>2578</v>
      </c>
      <c r="N501" s="62">
        <f t="shared" si="1003"/>
        <v>2477</v>
      </c>
      <c r="O501" s="62">
        <f t="shared" si="1003"/>
        <v>1</v>
      </c>
      <c r="P501" s="62" t="str">
        <f t="shared" si="1003"/>
        <v/>
      </c>
      <c r="Q501" s="62" t="str">
        <f t="shared" si="1003"/>
        <v/>
      </c>
      <c r="R501" s="62">
        <f t="shared" si="7"/>
        <v>-2476</v>
      </c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</row>
    <row r="502" hidden="1">
      <c r="A502" s="60">
        <f>IFERROR(__xludf.DUMMYFUNCTION("""COMPUTED_VALUE"""),12620.0)</f>
        <v>12620</v>
      </c>
      <c r="B502" s="60" t="str">
        <f>IFERROR(__xludf.DUMMYFUNCTION("""COMPUTED_VALUE"""),"Prescott, Dak")</f>
        <v>Prescott, Dak</v>
      </c>
      <c r="C502" s="60" t="str">
        <f>IFERROR(__xludf.DUMMYFUNCTION("""COMPUTED_VALUE"""),"QB")</f>
        <v>QB</v>
      </c>
      <c r="D502" s="60" t="str">
        <f>IFERROR(__xludf.DUMMYFUNCTION("""COMPUTED_VALUE"""),"DAL")</f>
        <v>DAL</v>
      </c>
      <c r="E502" s="62" t="str">
        <f t="shared" si="4"/>
        <v>Dak Prescott</v>
      </c>
      <c r="F502" s="62">
        <f t="shared" ref="F502:G502" si="1004">IF(isblank(F$1),,IF(isblank($A502),,IFERROR(vlookup($A502,indirect("'TVC-"&amp;text(month(F$1),"00")&amp;"'!$A:$D"),4,false),1)))</f>
        <v>5157</v>
      </c>
      <c r="G502" s="62">
        <f t="shared" si="1004"/>
        <v>4998</v>
      </c>
      <c r="H502" s="62">
        <f t="shared" ref="H502:Q502" si="1005">IF(isblank(H$1),,IFERROR(vlookup($A502,indirect("'TVC-"&amp;text(month(H$1),"00")&amp;"'!$A:$D"),4,false),1))</f>
        <v>5011</v>
      </c>
      <c r="I502" s="62">
        <f t="shared" si="1005"/>
        <v>5061</v>
      </c>
      <c r="J502" s="62">
        <f t="shared" si="1005"/>
        <v>4918</v>
      </c>
      <c r="K502" s="62">
        <f t="shared" si="1005"/>
        <v>4972</v>
      </c>
      <c r="L502" s="62">
        <f t="shared" si="1005"/>
        <v>4881</v>
      </c>
      <c r="M502" s="62">
        <f t="shared" si="1005"/>
        <v>4922</v>
      </c>
      <c r="N502" s="62">
        <f t="shared" si="1005"/>
        <v>5050</v>
      </c>
      <c r="O502" s="62">
        <f t="shared" si="1005"/>
        <v>1</v>
      </c>
      <c r="P502" s="62" t="str">
        <f t="shared" si="1005"/>
        <v/>
      </c>
      <c r="Q502" s="62" t="str">
        <f t="shared" si="1005"/>
        <v/>
      </c>
      <c r="R502" s="62">
        <f t="shared" si="7"/>
        <v>-5049</v>
      </c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</row>
    <row r="503" hidden="1">
      <c r="A503" s="60">
        <f>IFERROR(__xludf.DUMMYFUNCTION("""COMPUTED_VALUE"""),12621.0)</f>
        <v>12621</v>
      </c>
      <c r="B503" s="60" t="str">
        <f>IFERROR(__xludf.DUMMYFUNCTION("""COMPUTED_VALUE"""),"Allen, Brandon")</f>
        <v>Allen, Brandon</v>
      </c>
      <c r="C503" s="60" t="str">
        <f>IFERROR(__xludf.DUMMYFUNCTION("""COMPUTED_VALUE"""),"QB")</f>
        <v>QB</v>
      </c>
      <c r="D503" s="60" t="str">
        <f>IFERROR(__xludf.DUMMYFUNCTION("""COMPUTED_VALUE"""),"FA")</f>
        <v>FA</v>
      </c>
      <c r="E503" s="62" t="str">
        <f t="shared" si="4"/>
        <v>Brandon Allen</v>
      </c>
      <c r="F503" s="62">
        <f t="shared" ref="F503:G503" si="1006">IF(isblank(F$1),,IF(isblank($A503),,IFERROR(vlookup($A503,indirect("'TVC-"&amp;text(month(F$1),"00")&amp;"'!$A:$D"),4,false),1)))</f>
        <v>1</v>
      </c>
      <c r="G503" s="62">
        <f t="shared" si="1006"/>
        <v>1</v>
      </c>
      <c r="H503" s="62">
        <f t="shared" ref="H503:Q503" si="1007">IF(isblank(H$1),,IFERROR(vlookup($A503,indirect("'TVC-"&amp;text(month(H$1),"00")&amp;"'!$A:$D"),4,false),1))</f>
        <v>1</v>
      </c>
      <c r="I503" s="62">
        <f t="shared" si="1007"/>
        <v>1</v>
      </c>
      <c r="J503" s="62">
        <f t="shared" si="1007"/>
        <v>1</v>
      </c>
      <c r="K503" s="62">
        <f t="shared" si="1007"/>
        <v>1</v>
      </c>
      <c r="L503" s="62">
        <f t="shared" si="1007"/>
        <v>1</v>
      </c>
      <c r="M503" s="62">
        <f t="shared" si="1007"/>
        <v>1</v>
      </c>
      <c r="N503" s="62">
        <f t="shared" si="1007"/>
        <v>1</v>
      </c>
      <c r="O503" s="62">
        <f t="shared" si="1007"/>
        <v>1</v>
      </c>
      <c r="P503" s="62" t="str">
        <f t="shared" si="1007"/>
        <v/>
      </c>
      <c r="Q503" s="62" t="str">
        <f t="shared" si="1007"/>
        <v/>
      </c>
      <c r="R503" s="62">
        <f t="shared" si="7"/>
        <v>0</v>
      </c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</row>
    <row r="504" hidden="1">
      <c r="A504" s="60">
        <f>IFERROR(__xludf.DUMMYFUNCTION("""COMPUTED_VALUE"""),12623.0)</f>
        <v>12623</v>
      </c>
      <c r="B504" s="60" t="str">
        <f>IFERROR(__xludf.DUMMYFUNCTION("""COMPUTED_VALUE"""),"Driskel, Jeff")</f>
        <v>Driskel, Jeff</v>
      </c>
      <c r="C504" s="60" t="str">
        <f>IFERROR(__xludf.DUMMYFUNCTION("""COMPUTED_VALUE"""),"QB")</f>
        <v>QB</v>
      </c>
      <c r="D504" s="60" t="str">
        <f>IFERROR(__xludf.DUMMYFUNCTION("""COMPUTED_VALUE"""),"WAS")</f>
        <v>WAS</v>
      </c>
      <c r="E504" s="62" t="str">
        <f t="shared" si="4"/>
        <v>Jeff Driskel</v>
      </c>
      <c r="F504" s="62">
        <f t="shared" ref="F504:G504" si="1008">IF(isblank(F$1),,IF(isblank($A504),,IFERROR(vlookup($A504,indirect("'TVC-"&amp;text(month(F$1),"00")&amp;"'!$A:$D"),4,false),1)))</f>
        <v>1</v>
      </c>
      <c r="G504" s="62">
        <f t="shared" si="1008"/>
        <v>1</v>
      </c>
      <c r="H504" s="62">
        <f t="shared" ref="H504:Q504" si="1009">IF(isblank(H$1),,IFERROR(vlookup($A504,indirect("'TVC-"&amp;text(month(H$1),"00")&amp;"'!$A:$D"),4,false),1))</f>
        <v>1</v>
      </c>
      <c r="I504" s="62">
        <f t="shared" si="1009"/>
        <v>1</v>
      </c>
      <c r="J504" s="62">
        <f t="shared" si="1009"/>
        <v>1</v>
      </c>
      <c r="K504" s="62">
        <f t="shared" si="1009"/>
        <v>1</v>
      </c>
      <c r="L504" s="62">
        <f t="shared" si="1009"/>
        <v>1</v>
      </c>
      <c r="M504" s="62">
        <f t="shared" si="1009"/>
        <v>1</v>
      </c>
      <c r="N504" s="62">
        <f t="shared" si="1009"/>
        <v>1</v>
      </c>
      <c r="O504" s="62">
        <f t="shared" si="1009"/>
        <v>1</v>
      </c>
      <c r="P504" s="62" t="str">
        <f t="shared" si="1009"/>
        <v/>
      </c>
      <c r="Q504" s="62" t="str">
        <f t="shared" si="1009"/>
        <v/>
      </c>
      <c r="R504" s="62">
        <f t="shared" si="7"/>
        <v>0</v>
      </c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</row>
    <row r="505">
      <c r="A505" s="60">
        <f>IFERROR(__xludf.DUMMYFUNCTION("""COMPUTED_VALUE"""),12625.0)</f>
        <v>12625</v>
      </c>
      <c r="B505" s="60" t="str">
        <f>IFERROR(__xludf.DUMMYFUNCTION("""COMPUTED_VALUE"""),"Elliott, Ezekiel")</f>
        <v>Elliott, Ezekiel</v>
      </c>
      <c r="C505" s="60" t="str">
        <f>IFERROR(__xludf.DUMMYFUNCTION("""COMPUTED_VALUE"""),"RB")</f>
        <v>RB</v>
      </c>
      <c r="D505" s="60" t="str">
        <f>IFERROR(__xludf.DUMMYFUNCTION("""COMPUTED_VALUE"""),"FA")</f>
        <v>FA</v>
      </c>
      <c r="E505" s="62" t="str">
        <f t="shared" si="4"/>
        <v>Ezekiel Elliott</v>
      </c>
      <c r="F505" s="62">
        <f t="shared" ref="F505:G505" si="1010">IF(isblank(F$1),,IF(isblank($A505),,IFERROR(vlookup($A505,indirect("'TVC-"&amp;text(month(F$1),"00")&amp;"'!$A:$D"),4,false),1)))</f>
        <v>1</v>
      </c>
      <c r="G505" s="62">
        <f t="shared" si="1010"/>
        <v>1</v>
      </c>
      <c r="H505" s="62">
        <f t="shared" ref="H505:Q505" si="1011">IF(isblank(H$1),,IFERROR(vlookup($A505,indirect("'TVC-"&amp;text(month(H$1),"00")&amp;"'!$A:$D"),4,false),1))</f>
        <v>1</v>
      </c>
      <c r="I505" s="62">
        <f t="shared" si="1011"/>
        <v>1</v>
      </c>
      <c r="J505" s="62">
        <f t="shared" si="1011"/>
        <v>1</v>
      </c>
      <c r="K505" s="62">
        <f t="shared" si="1011"/>
        <v>1</v>
      </c>
      <c r="L505" s="62">
        <f t="shared" si="1011"/>
        <v>1</v>
      </c>
      <c r="M505" s="62">
        <f t="shared" si="1011"/>
        <v>1</v>
      </c>
      <c r="N505" s="62">
        <f t="shared" si="1011"/>
        <v>1</v>
      </c>
      <c r="O505" s="62">
        <f t="shared" si="1011"/>
        <v>1</v>
      </c>
      <c r="P505" s="62" t="str">
        <f t="shared" si="1011"/>
        <v/>
      </c>
      <c r="Q505" s="62" t="str">
        <f t="shared" si="1011"/>
        <v/>
      </c>
      <c r="R505" s="62">
        <f t="shared" si="7"/>
        <v>0</v>
      </c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</row>
    <row r="506" hidden="1">
      <c r="A506" s="60">
        <f>IFERROR(__xludf.DUMMYFUNCTION("""COMPUTED_VALUE"""),12626.0)</f>
        <v>12626</v>
      </c>
      <c r="B506" s="60" t="str">
        <f>IFERROR(__xludf.DUMMYFUNCTION("""COMPUTED_VALUE"""),"Henry, Derrick")</f>
        <v>Henry, Derrick</v>
      </c>
      <c r="C506" s="60" t="str">
        <f>IFERROR(__xludf.DUMMYFUNCTION("""COMPUTED_VALUE"""),"RB")</f>
        <v>RB</v>
      </c>
      <c r="D506" s="60" t="str">
        <f>IFERROR(__xludf.DUMMYFUNCTION("""COMPUTED_VALUE"""),"BAL")</f>
        <v>BAL</v>
      </c>
      <c r="E506" s="62" t="str">
        <f t="shared" si="4"/>
        <v>Derrick Henry</v>
      </c>
      <c r="F506" s="62">
        <f t="shared" ref="F506:G506" si="1012">IF(isblank(F$1),,IF(isblank($A506),,IFERROR(vlookup($A506,indirect("'TVC-"&amp;text(month(F$1),"00")&amp;"'!$A:$D"),4,false),1)))</f>
        <v>3867</v>
      </c>
      <c r="G506" s="62">
        <f t="shared" si="1012"/>
        <v>3906</v>
      </c>
      <c r="H506" s="62">
        <f t="shared" ref="H506:Q506" si="1013">IF(isblank(H$1),,IFERROR(vlookup($A506,indirect("'TVC-"&amp;text(month(H$1),"00")&amp;"'!$A:$D"),4,false),1))</f>
        <v>3932</v>
      </c>
      <c r="I506" s="62">
        <f t="shared" si="1013"/>
        <v>3771</v>
      </c>
      <c r="J506" s="62">
        <f t="shared" si="1013"/>
        <v>3818</v>
      </c>
      <c r="K506" s="62">
        <f t="shared" si="1013"/>
        <v>3965</v>
      </c>
      <c r="L506" s="62">
        <f t="shared" si="1013"/>
        <v>4005</v>
      </c>
      <c r="M506" s="62">
        <f t="shared" si="1013"/>
        <v>4205</v>
      </c>
      <c r="N506" s="62">
        <f t="shared" si="1013"/>
        <v>4232</v>
      </c>
      <c r="O506" s="62">
        <f t="shared" si="1013"/>
        <v>1</v>
      </c>
      <c r="P506" s="62" t="str">
        <f t="shared" si="1013"/>
        <v/>
      </c>
      <c r="Q506" s="62" t="str">
        <f t="shared" si="1013"/>
        <v/>
      </c>
      <c r="R506" s="62">
        <f t="shared" si="7"/>
        <v>-4231</v>
      </c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</row>
    <row r="507" hidden="1">
      <c r="A507" s="60">
        <f>IFERROR(__xludf.DUMMYFUNCTION("""COMPUTED_VALUE"""),12645.0)</f>
        <v>12645</v>
      </c>
      <c r="B507" s="60" t="str">
        <f>IFERROR(__xludf.DUMMYFUNCTION("""COMPUTED_VALUE"""),"Treadwell, Laquon")</f>
        <v>Treadwell, Laquon</v>
      </c>
      <c r="C507" s="60" t="str">
        <f>IFERROR(__xludf.DUMMYFUNCTION("""COMPUTED_VALUE"""),"WR")</f>
        <v>WR</v>
      </c>
      <c r="D507" s="60" t="str">
        <f>IFERROR(__xludf.DUMMYFUNCTION("""COMPUTED_VALUE"""),"IND")</f>
        <v>IND</v>
      </c>
      <c r="E507" s="62" t="str">
        <f t="shared" si="4"/>
        <v>Laquon Treadwell</v>
      </c>
      <c r="F507" s="62">
        <f t="shared" ref="F507:G507" si="1014">IF(isblank(F$1),,IF(isblank($A507),,IFERROR(vlookup($A507,indirect("'TVC-"&amp;text(month(F$1),"00")&amp;"'!$A:$D"),4,false),1)))</f>
        <v>1</v>
      </c>
      <c r="G507" s="62">
        <f t="shared" si="1014"/>
        <v>1</v>
      </c>
      <c r="H507" s="62">
        <f t="shared" ref="H507:Q507" si="1015">IF(isblank(H$1),,IFERROR(vlookup($A507,indirect("'TVC-"&amp;text(month(H$1),"00")&amp;"'!$A:$D"),4,false),1))</f>
        <v>1</v>
      </c>
      <c r="I507" s="62">
        <f t="shared" si="1015"/>
        <v>1</v>
      </c>
      <c r="J507" s="62">
        <f t="shared" si="1015"/>
        <v>1</v>
      </c>
      <c r="K507" s="62">
        <f t="shared" si="1015"/>
        <v>1</v>
      </c>
      <c r="L507" s="62">
        <f t="shared" si="1015"/>
        <v>1</v>
      </c>
      <c r="M507" s="62">
        <f t="shared" si="1015"/>
        <v>1</v>
      </c>
      <c r="N507" s="62">
        <f t="shared" si="1015"/>
        <v>1</v>
      </c>
      <c r="O507" s="62">
        <f t="shared" si="1015"/>
        <v>1</v>
      </c>
      <c r="P507" s="62" t="str">
        <f t="shared" si="1015"/>
        <v/>
      </c>
      <c r="Q507" s="62" t="str">
        <f t="shared" si="1015"/>
        <v/>
      </c>
      <c r="R507" s="62">
        <f t="shared" si="7"/>
        <v>0</v>
      </c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</row>
    <row r="508" hidden="1">
      <c r="A508" s="60">
        <f>IFERROR(__xludf.DUMMYFUNCTION("""COMPUTED_VALUE"""),12650.0)</f>
        <v>12650</v>
      </c>
      <c r="B508" s="60" t="str">
        <f>IFERROR(__xludf.DUMMYFUNCTION("""COMPUTED_VALUE"""),"Boyd, Tyler")</f>
        <v>Boyd, Tyler</v>
      </c>
      <c r="C508" s="60" t="str">
        <f>IFERROR(__xludf.DUMMYFUNCTION("""COMPUTED_VALUE"""),"WR")</f>
        <v>WR</v>
      </c>
      <c r="D508" s="60" t="str">
        <f>IFERROR(__xludf.DUMMYFUNCTION("""COMPUTED_VALUE"""),"FA")</f>
        <v>FA</v>
      </c>
      <c r="E508" s="62" t="str">
        <f t="shared" si="4"/>
        <v>Tyler Boyd</v>
      </c>
      <c r="F508" s="62">
        <f t="shared" ref="F508:G508" si="1016">IF(isblank(F$1),,IF(isblank($A508),,IFERROR(vlookup($A508,indirect("'TVC-"&amp;text(month(F$1),"00")&amp;"'!$A:$D"),4,false),1)))</f>
        <v>1</v>
      </c>
      <c r="G508" s="62">
        <f t="shared" si="1016"/>
        <v>1</v>
      </c>
      <c r="H508" s="62">
        <f t="shared" ref="H508:Q508" si="1017">IF(isblank(H$1),,IFERROR(vlookup($A508,indirect("'TVC-"&amp;text(month(H$1),"00")&amp;"'!$A:$D"),4,false),1))</f>
        <v>1</v>
      </c>
      <c r="I508" s="62">
        <f t="shared" si="1017"/>
        <v>1</v>
      </c>
      <c r="J508" s="62">
        <f t="shared" si="1017"/>
        <v>1</v>
      </c>
      <c r="K508" s="62">
        <f t="shared" si="1017"/>
        <v>1</v>
      </c>
      <c r="L508" s="62">
        <f t="shared" si="1017"/>
        <v>1</v>
      </c>
      <c r="M508" s="62">
        <f t="shared" si="1017"/>
        <v>1</v>
      </c>
      <c r="N508" s="62">
        <f t="shared" si="1017"/>
        <v>1</v>
      </c>
      <c r="O508" s="62">
        <f t="shared" si="1017"/>
        <v>1</v>
      </c>
      <c r="P508" s="62" t="str">
        <f t="shared" si="1017"/>
        <v/>
      </c>
      <c r="Q508" s="62" t="str">
        <f t="shared" si="1017"/>
        <v/>
      </c>
      <c r="R508" s="62">
        <f t="shared" si="7"/>
        <v>0</v>
      </c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</row>
    <row r="509">
      <c r="A509" s="60">
        <f>IFERROR(__xludf.DUMMYFUNCTION("""COMPUTED_VALUE"""),12658.0)</f>
        <v>12658</v>
      </c>
      <c r="B509" s="60" t="str">
        <f>IFERROR(__xludf.DUMMYFUNCTION("""COMPUTED_VALUE"""),"Shepard, Sterling")</f>
        <v>Shepard, Sterling</v>
      </c>
      <c r="C509" s="60" t="str">
        <f>IFERROR(__xludf.DUMMYFUNCTION("""COMPUTED_VALUE"""),"WR")</f>
        <v>WR</v>
      </c>
      <c r="D509" s="60" t="str">
        <f>IFERROR(__xludf.DUMMYFUNCTION("""COMPUTED_VALUE"""),"NYJ")</f>
        <v>NYJ</v>
      </c>
      <c r="E509" s="62" t="str">
        <f t="shared" si="4"/>
        <v>Sterling Shepard</v>
      </c>
      <c r="F509" s="62">
        <f t="shared" ref="F509:G509" si="1018">IF(isblank(F$1),,IF(isblank($A509),,IFERROR(vlookup($A509,indirect("'TVC-"&amp;text(month(F$1),"00")&amp;"'!$A:$D"),4,false),1)))</f>
        <v>900</v>
      </c>
      <c r="G509" s="62">
        <f t="shared" si="1018"/>
        <v>807</v>
      </c>
      <c r="H509" s="62">
        <f t="shared" ref="H509:Q509" si="1019">IF(isblank(H$1),,IFERROR(vlookup($A509,indirect("'TVC-"&amp;text(month(H$1),"00")&amp;"'!$A:$D"),4,false),1))</f>
        <v>773</v>
      </c>
      <c r="I509" s="62">
        <f t="shared" si="1019"/>
        <v>690</v>
      </c>
      <c r="J509" s="62">
        <f t="shared" si="1019"/>
        <v>1</v>
      </c>
      <c r="K509" s="62">
        <f t="shared" si="1019"/>
        <v>501</v>
      </c>
      <c r="L509" s="62">
        <f t="shared" si="1019"/>
        <v>1</v>
      </c>
      <c r="M509" s="62">
        <f t="shared" si="1019"/>
        <v>1</v>
      </c>
      <c r="N509" s="62">
        <f t="shared" si="1019"/>
        <v>1</v>
      </c>
      <c r="O509" s="62">
        <f t="shared" si="1019"/>
        <v>1</v>
      </c>
      <c r="P509" s="62" t="str">
        <f t="shared" si="1019"/>
        <v/>
      </c>
      <c r="Q509" s="62" t="str">
        <f t="shared" si="1019"/>
        <v/>
      </c>
      <c r="R509" s="62">
        <f t="shared" si="7"/>
        <v>0</v>
      </c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</row>
    <row r="510" hidden="1">
      <c r="A510" s="60">
        <f>IFERROR(__xludf.DUMMYFUNCTION("""COMPUTED_VALUE"""),12676.0)</f>
        <v>12676</v>
      </c>
      <c r="B510" s="60" t="str">
        <f>IFERROR(__xludf.DUMMYFUNCTION("""COMPUTED_VALUE"""),"Henry, Hunter")</f>
        <v>Henry, Hunter</v>
      </c>
      <c r="C510" s="60" t="str">
        <f>IFERROR(__xludf.DUMMYFUNCTION("""COMPUTED_VALUE"""),"TE")</f>
        <v>TE</v>
      </c>
      <c r="D510" s="60" t="str">
        <f>IFERROR(__xludf.DUMMYFUNCTION("""COMPUTED_VALUE"""),"NEP")</f>
        <v>NEP</v>
      </c>
      <c r="E510" s="62" t="str">
        <f t="shared" si="4"/>
        <v>Hunter Henry</v>
      </c>
      <c r="F510" s="62">
        <f t="shared" ref="F510:G510" si="1020">IF(isblank(F$1),,IF(isblank($A510),,IFERROR(vlookup($A510,indirect("'TVC-"&amp;text(month(F$1),"00")&amp;"'!$A:$D"),4,false),1)))</f>
        <v>2804</v>
      </c>
      <c r="G510" s="62">
        <f t="shared" si="1020"/>
        <v>2792</v>
      </c>
      <c r="H510" s="62">
        <f t="shared" ref="H510:Q510" si="1021">IF(isblank(H$1),,IFERROR(vlookup($A510,indirect("'TVC-"&amp;text(month(H$1),"00")&amp;"'!$A:$D"),4,false),1))</f>
        <v>2813</v>
      </c>
      <c r="I510" s="62">
        <f t="shared" si="1021"/>
        <v>2741</v>
      </c>
      <c r="J510" s="62">
        <f t="shared" si="1021"/>
        <v>2736</v>
      </c>
      <c r="K510" s="62">
        <f t="shared" si="1021"/>
        <v>2634</v>
      </c>
      <c r="L510" s="62">
        <f t="shared" si="1021"/>
        <v>2627</v>
      </c>
      <c r="M510" s="62">
        <f t="shared" si="1021"/>
        <v>2762</v>
      </c>
      <c r="N510" s="62">
        <f t="shared" si="1021"/>
        <v>2755</v>
      </c>
      <c r="O510" s="62">
        <f t="shared" si="1021"/>
        <v>1</v>
      </c>
      <c r="P510" s="62" t="str">
        <f t="shared" si="1021"/>
        <v/>
      </c>
      <c r="Q510" s="62" t="str">
        <f t="shared" si="1021"/>
        <v/>
      </c>
      <c r="R510" s="62">
        <f t="shared" si="7"/>
        <v>-2754</v>
      </c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</row>
    <row r="511">
      <c r="A511" s="60">
        <f>IFERROR(__xludf.DUMMYFUNCTION("""COMPUTED_VALUE"""),12677.0)</f>
        <v>12677</v>
      </c>
      <c r="B511" s="60" t="str">
        <f>IFERROR(__xludf.DUMMYFUNCTION("""COMPUTED_VALUE"""),"Hooper, Austin")</f>
        <v>Hooper, Austin</v>
      </c>
      <c r="C511" s="60" t="str">
        <f>IFERROR(__xludf.DUMMYFUNCTION("""COMPUTED_VALUE"""),"TE")</f>
        <v>TE</v>
      </c>
      <c r="D511" s="60" t="str">
        <f>IFERROR(__xludf.DUMMYFUNCTION("""COMPUTED_VALUE"""),"ATL")</f>
        <v>ATL</v>
      </c>
      <c r="E511" s="62" t="str">
        <f t="shared" si="4"/>
        <v>Austin Hooper</v>
      </c>
      <c r="F511" s="62">
        <f t="shared" ref="F511:G511" si="1022">IF(isblank(F$1),,IF(isblank($A511),,IFERROR(vlookup($A511,indirect("'TVC-"&amp;text(month(F$1),"00")&amp;"'!$A:$D"),4,false),1)))</f>
        <v>769</v>
      </c>
      <c r="G511" s="62">
        <f t="shared" si="1022"/>
        <v>1</v>
      </c>
      <c r="H511" s="62">
        <f t="shared" ref="H511:Q511" si="1023">IF(isblank(H$1),,IFERROR(vlookup($A511,indirect("'TVC-"&amp;text(month(H$1),"00")&amp;"'!$A:$D"),4,false),1))</f>
        <v>1</v>
      </c>
      <c r="I511" s="62">
        <f t="shared" si="1023"/>
        <v>1</v>
      </c>
      <c r="J511" s="62">
        <f t="shared" si="1023"/>
        <v>1</v>
      </c>
      <c r="K511" s="62">
        <f t="shared" si="1023"/>
        <v>1</v>
      </c>
      <c r="L511" s="62">
        <f t="shared" si="1023"/>
        <v>1</v>
      </c>
      <c r="M511" s="62">
        <f t="shared" si="1023"/>
        <v>1</v>
      </c>
      <c r="N511" s="62">
        <f t="shared" si="1023"/>
        <v>1</v>
      </c>
      <c r="O511" s="62">
        <f t="shared" si="1023"/>
        <v>1</v>
      </c>
      <c r="P511" s="62" t="str">
        <f t="shared" si="1023"/>
        <v/>
      </c>
      <c r="Q511" s="62" t="str">
        <f t="shared" si="1023"/>
        <v/>
      </c>
      <c r="R511" s="62">
        <f t="shared" si="7"/>
        <v>0</v>
      </c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</row>
    <row r="512" hidden="1">
      <c r="A512" s="60">
        <f>IFERROR(__xludf.DUMMYFUNCTION("""COMPUTED_VALUE"""),12678.0)</f>
        <v>12678</v>
      </c>
      <c r="B512" s="60" t="str">
        <f>IFERROR(__xludf.DUMMYFUNCTION("""COMPUTED_VALUE"""),"Higbee, Tyler")</f>
        <v>Higbee, Tyler</v>
      </c>
      <c r="C512" s="60" t="str">
        <f>IFERROR(__xludf.DUMMYFUNCTION("""COMPUTED_VALUE"""),"TE")</f>
        <v>TE</v>
      </c>
      <c r="D512" s="60" t="str">
        <f>IFERROR(__xludf.DUMMYFUNCTION("""COMPUTED_VALUE"""),"LAR")</f>
        <v>LAR</v>
      </c>
      <c r="E512" s="62" t="str">
        <f t="shared" si="4"/>
        <v>Tyler Higbee</v>
      </c>
      <c r="F512" s="62">
        <f t="shared" ref="F512:G512" si="1024">IF(isblank(F$1),,IF(isblank($A512),,IFERROR(vlookup($A512,indirect("'TVC-"&amp;text(month(F$1),"00")&amp;"'!$A:$D"),4,false),1)))</f>
        <v>1431</v>
      </c>
      <c r="G512" s="62">
        <f t="shared" si="1024"/>
        <v>1524</v>
      </c>
      <c r="H512" s="62">
        <f t="shared" ref="H512:Q512" si="1025">IF(isblank(H$1),,IFERROR(vlookup($A512,indirect("'TVC-"&amp;text(month(H$1),"00")&amp;"'!$A:$D"),4,false),1))</f>
        <v>1524</v>
      </c>
      <c r="I512" s="62">
        <f t="shared" si="1025"/>
        <v>1722</v>
      </c>
      <c r="J512" s="62">
        <f t="shared" si="1025"/>
        <v>1781</v>
      </c>
      <c r="K512" s="62">
        <f t="shared" si="1025"/>
        <v>1664</v>
      </c>
      <c r="L512" s="62">
        <f t="shared" si="1025"/>
        <v>1653</v>
      </c>
      <c r="M512" s="62">
        <f t="shared" si="1025"/>
        <v>1665</v>
      </c>
      <c r="N512" s="62">
        <f t="shared" si="1025"/>
        <v>1550</v>
      </c>
      <c r="O512" s="62">
        <f t="shared" si="1025"/>
        <v>1</v>
      </c>
      <c r="P512" s="62" t="str">
        <f t="shared" si="1025"/>
        <v/>
      </c>
      <c r="Q512" s="62" t="str">
        <f t="shared" si="1025"/>
        <v/>
      </c>
      <c r="R512" s="62">
        <f t="shared" si="7"/>
        <v>-1549</v>
      </c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</row>
    <row r="513" hidden="1">
      <c r="A513" s="60">
        <f>IFERROR(__xludf.DUMMYFUNCTION("""COMPUTED_VALUE"""),12680.0)</f>
        <v>12680</v>
      </c>
      <c r="B513" s="60" t="str">
        <f>IFERROR(__xludf.DUMMYFUNCTION("""COMPUTED_VALUE"""),"Vannett, Nick")</f>
        <v>Vannett, Nick</v>
      </c>
      <c r="C513" s="60" t="str">
        <f>IFERROR(__xludf.DUMMYFUNCTION("""COMPUTED_VALUE"""),"TE")</f>
        <v>TE</v>
      </c>
      <c r="D513" s="60" t="str">
        <f>IFERROR(__xludf.DUMMYFUNCTION("""COMPUTED_VALUE"""),"BAL")</f>
        <v>BAL</v>
      </c>
      <c r="E513" s="62" t="str">
        <f t="shared" si="4"/>
        <v>Nick Vannett</v>
      </c>
      <c r="F513" s="62">
        <f t="shared" ref="F513:G513" si="1026">IF(isblank(F$1),,IF(isblank($A513),,IFERROR(vlookup($A513,indirect("'TVC-"&amp;text(month(F$1),"00")&amp;"'!$A:$D"),4,false),1)))</f>
        <v>1</v>
      </c>
      <c r="G513" s="62">
        <f t="shared" si="1026"/>
        <v>1</v>
      </c>
      <c r="H513" s="62">
        <f t="shared" ref="H513:Q513" si="1027">IF(isblank(H$1),,IFERROR(vlookup($A513,indirect("'TVC-"&amp;text(month(H$1),"00")&amp;"'!$A:$D"),4,false),1))</f>
        <v>1</v>
      </c>
      <c r="I513" s="62">
        <f t="shared" si="1027"/>
        <v>1</v>
      </c>
      <c r="J513" s="62">
        <f t="shared" si="1027"/>
        <v>1</v>
      </c>
      <c r="K513" s="62">
        <f t="shared" si="1027"/>
        <v>1</v>
      </c>
      <c r="L513" s="62">
        <f t="shared" si="1027"/>
        <v>1</v>
      </c>
      <c r="M513" s="62">
        <f t="shared" si="1027"/>
        <v>1</v>
      </c>
      <c r="N513" s="62">
        <f t="shared" si="1027"/>
        <v>1</v>
      </c>
      <c r="O513" s="62">
        <f t="shared" si="1027"/>
        <v>1</v>
      </c>
      <c r="P513" s="62" t="str">
        <f t="shared" si="1027"/>
        <v/>
      </c>
      <c r="Q513" s="62" t="str">
        <f t="shared" si="1027"/>
        <v/>
      </c>
      <c r="R513" s="62">
        <f t="shared" si="7"/>
        <v>0</v>
      </c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</row>
    <row r="514" hidden="1">
      <c r="A514" s="60">
        <f>IFERROR(__xludf.DUMMYFUNCTION("""COMPUTED_VALUE"""),12686.0)</f>
        <v>12686</v>
      </c>
      <c r="B514" s="60" t="str">
        <f>IFERROR(__xludf.DUMMYFUNCTION("""COMPUTED_VALUE"""),"Bosa, Joey")</f>
        <v>Bosa, Joey</v>
      </c>
      <c r="C514" s="60" t="str">
        <f>IFERROR(__xludf.DUMMYFUNCTION("""COMPUTED_VALUE"""),"DE")</f>
        <v>DE</v>
      </c>
      <c r="D514" s="60" t="str">
        <f>IFERROR(__xludf.DUMMYFUNCTION("""COMPUTED_VALUE"""),"FA")</f>
        <v>FA</v>
      </c>
      <c r="E514" s="62" t="str">
        <f t="shared" si="4"/>
        <v>Joey Bosa</v>
      </c>
      <c r="F514" s="62">
        <f t="shared" ref="F514:G514" si="1028">IF(isblank(F$1),,IF(isblank($A514),,IFERROR(vlookup($A514,indirect("'TVC-"&amp;text(month(F$1),"00")&amp;"'!$A:$D"),4,false),1)))</f>
        <v>1</v>
      </c>
      <c r="G514" s="62">
        <f t="shared" si="1028"/>
        <v>1</v>
      </c>
      <c r="H514" s="62">
        <f t="shared" ref="H514:Q514" si="1029">IF(isblank(H$1),,IFERROR(vlookup($A514,indirect("'TVC-"&amp;text(month(H$1),"00")&amp;"'!$A:$D"),4,false),1))</f>
        <v>1</v>
      </c>
      <c r="I514" s="62">
        <f t="shared" si="1029"/>
        <v>1</v>
      </c>
      <c r="J514" s="62">
        <f t="shared" si="1029"/>
        <v>1</v>
      </c>
      <c r="K514" s="62">
        <f t="shared" si="1029"/>
        <v>1</v>
      </c>
      <c r="L514" s="62">
        <f t="shared" si="1029"/>
        <v>1</v>
      </c>
      <c r="M514" s="62">
        <f t="shared" si="1029"/>
        <v>1</v>
      </c>
      <c r="N514" s="62">
        <f t="shared" si="1029"/>
        <v>1</v>
      </c>
      <c r="O514" s="62">
        <f t="shared" si="1029"/>
        <v>1</v>
      </c>
      <c r="P514" s="62" t="str">
        <f t="shared" si="1029"/>
        <v/>
      </c>
      <c r="Q514" s="62" t="str">
        <f t="shared" si="1029"/>
        <v/>
      </c>
      <c r="R514" s="62">
        <f t="shared" si="7"/>
        <v>0</v>
      </c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</row>
    <row r="515" hidden="1">
      <c r="A515" s="60">
        <f>IFERROR(__xludf.DUMMYFUNCTION("""COMPUTED_VALUE"""),12688.0)</f>
        <v>12688</v>
      </c>
      <c r="B515" s="60" t="str">
        <f>IFERROR(__xludf.DUMMYFUNCTION("""COMPUTED_VALUE"""),"Buckner, DeForest")</f>
        <v>Buckner, DeForest</v>
      </c>
      <c r="C515" s="60" t="str">
        <f>IFERROR(__xludf.DUMMYFUNCTION("""COMPUTED_VALUE"""),"DT")</f>
        <v>DT</v>
      </c>
      <c r="D515" s="60" t="str">
        <f>IFERROR(__xludf.DUMMYFUNCTION("""COMPUTED_VALUE"""),"IND")</f>
        <v>IND</v>
      </c>
      <c r="E515" s="62" t="str">
        <f t="shared" si="4"/>
        <v>DeForest Buckner</v>
      </c>
      <c r="F515" s="62">
        <f t="shared" ref="F515:G515" si="1030">IF(isblank(F$1),,IF(isblank($A515),,IFERROR(vlookup($A515,indirect("'TVC-"&amp;text(month(F$1),"00")&amp;"'!$A:$D"),4,false),1)))</f>
        <v>1</v>
      </c>
      <c r="G515" s="62">
        <f t="shared" si="1030"/>
        <v>1</v>
      </c>
      <c r="H515" s="62">
        <f t="shared" ref="H515:Q515" si="1031">IF(isblank(H$1),,IFERROR(vlookup($A515,indirect("'TVC-"&amp;text(month(H$1),"00")&amp;"'!$A:$D"),4,false),1))</f>
        <v>1</v>
      </c>
      <c r="I515" s="62">
        <f t="shared" si="1031"/>
        <v>1</v>
      </c>
      <c r="J515" s="62">
        <f t="shared" si="1031"/>
        <v>1</v>
      </c>
      <c r="K515" s="62">
        <f t="shared" si="1031"/>
        <v>1</v>
      </c>
      <c r="L515" s="62">
        <f t="shared" si="1031"/>
        <v>1</v>
      </c>
      <c r="M515" s="62">
        <f t="shared" si="1031"/>
        <v>1</v>
      </c>
      <c r="N515" s="62">
        <f t="shared" si="1031"/>
        <v>1</v>
      </c>
      <c r="O515" s="62">
        <f t="shared" si="1031"/>
        <v>1</v>
      </c>
      <c r="P515" s="62" t="str">
        <f t="shared" si="1031"/>
        <v/>
      </c>
      <c r="Q515" s="62" t="str">
        <f t="shared" si="1031"/>
        <v/>
      </c>
      <c r="R515" s="62">
        <f t="shared" si="7"/>
        <v>0</v>
      </c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</row>
    <row r="516" hidden="1">
      <c r="A516" s="60">
        <f>IFERROR(__xludf.DUMMYFUNCTION("""COMPUTED_VALUE"""),12691.0)</f>
        <v>12691</v>
      </c>
      <c r="B516" s="60" t="str">
        <f>IFERROR(__xludf.DUMMYFUNCTION("""COMPUTED_VALUE"""),"Ogbah, Emmanuel")</f>
        <v>Ogbah, Emmanuel</v>
      </c>
      <c r="C516" s="60" t="str">
        <f>IFERROR(__xludf.DUMMYFUNCTION("""COMPUTED_VALUE"""),"DE")</f>
        <v>DE</v>
      </c>
      <c r="D516" s="60" t="str">
        <f>IFERROR(__xludf.DUMMYFUNCTION("""COMPUTED_VALUE"""),"KCC")</f>
        <v>KCC</v>
      </c>
      <c r="E516" s="62" t="str">
        <f t="shared" si="4"/>
        <v>Emmanuel Ogbah</v>
      </c>
      <c r="F516" s="62">
        <f t="shared" ref="F516:G516" si="1032">IF(isblank(F$1),,IF(isblank($A516),,IFERROR(vlookup($A516,indirect("'TVC-"&amp;text(month(F$1),"00")&amp;"'!$A:$D"),4,false),1)))</f>
        <v>1</v>
      </c>
      <c r="G516" s="62">
        <f t="shared" si="1032"/>
        <v>1</v>
      </c>
      <c r="H516" s="62">
        <f t="shared" ref="H516:Q516" si="1033">IF(isblank(H$1),,IFERROR(vlookup($A516,indirect("'TVC-"&amp;text(month(H$1),"00")&amp;"'!$A:$D"),4,false),1))</f>
        <v>1</v>
      </c>
      <c r="I516" s="62">
        <f t="shared" si="1033"/>
        <v>1</v>
      </c>
      <c r="J516" s="62">
        <f t="shared" si="1033"/>
        <v>1</v>
      </c>
      <c r="K516" s="62">
        <f t="shared" si="1033"/>
        <v>1</v>
      </c>
      <c r="L516" s="62">
        <f t="shared" si="1033"/>
        <v>1</v>
      </c>
      <c r="M516" s="62">
        <f t="shared" si="1033"/>
        <v>1</v>
      </c>
      <c r="N516" s="62">
        <f t="shared" si="1033"/>
        <v>1</v>
      </c>
      <c r="O516" s="62">
        <f t="shared" si="1033"/>
        <v>1</v>
      </c>
      <c r="P516" s="62" t="str">
        <f t="shared" si="1033"/>
        <v/>
      </c>
      <c r="Q516" s="62" t="str">
        <f t="shared" si="1033"/>
        <v/>
      </c>
      <c r="R516" s="62">
        <f t="shared" si="7"/>
        <v>0</v>
      </c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</row>
    <row r="517" hidden="1">
      <c r="A517" s="60">
        <f>IFERROR(__xludf.DUMMYFUNCTION("""COMPUTED_VALUE"""),12697.0)</f>
        <v>12697</v>
      </c>
      <c r="B517" s="60" t="str">
        <f>IFERROR(__xludf.DUMMYFUNCTION("""COMPUTED_VALUE"""),"Robinson, A'Shawn")</f>
        <v>Robinson, A'Shawn</v>
      </c>
      <c r="C517" s="60" t="str">
        <f>IFERROR(__xludf.DUMMYFUNCTION("""COMPUTED_VALUE"""),"DT")</f>
        <v>DT</v>
      </c>
      <c r="D517" s="60" t="str">
        <f>IFERROR(__xludf.DUMMYFUNCTION("""COMPUTED_VALUE"""),"TBB")</f>
        <v>TBB</v>
      </c>
      <c r="E517" s="62" t="str">
        <f t="shared" si="4"/>
        <v>A'Shawn Robinson</v>
      </c>
      <c r="F517" s="62">
        <f t="shared" ref="F517:G517" si="1034">IF(isblank(F$1),,IF(isblank($A517),,IFERROR(vlookup($A517,indirect("'TVC-"&amp;text(month(F$1),"00")&amp;"'!$A:$D"),4,false),1)))</f>
        <v>1</v>
      </c>
      <c r="G517" s="62">
        <f t="shared" si="1034"/>
        <v>1</v>
      </c>
      <c r="H517" s="62">
        <f t="shared" ref="H517:Q517" si="1035">IF(isblank(H$1),,IFERROR(vlookup($A517,indirect("'TVC-"&amp;text(month(H$1),"00")&amp;"'!$A:$D"),4,false),1))</f>
        <v>1</v>
      </c>
      <c r="I517" s="62">
        <f t="shared" si="1035"/>
        <v>1</v>
      </c>
      <c r="J517" s="62">
        <f t="shared" si="1035"/>
        <v>1</v>
      </c>
      <c r="K517" s="62">
        <f t="shared" si="1035"/>
        <v>1</v>
      </c>
      <c r="L517" s="62">
        <f t="shared" si="1035"/>
        <v>1</v>
      </c>
      <c r="M517" s="62">
        <f t="shared" si="1035"/>
        <v>1</v>
      </c>
      <c r="N517" s="62">
        <f t="shared" si="1035"/>
        <v>1</v>
      </c>
      <c r="O517" s="62">
        <f t="shared" si="1035"/>
        <v>1</v>
      </c>
      <c r="P517" s="62" t="str">
        <f t="shared" si="1035"/>
        <v/>
      </c>
      <c r="Q517" s="62" t="str">
        <f t="shared" si="1035"/>
        <v/>
      </c>
      <c r="R517" s="62">
        <f t="shared" si="7"/>
        <v>0</v>
      </c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</row>
    <row r="518" hidden="1">
      <c r="A518" s="60">
        <f>IFERROR(__xludf.DUMMYFUNCTION("""COMPUTED_VALUE"""),12698.0)</f>
        <v>12698</v>
      </c>
      <c r="B518" s="60" t="str">
        <f>IFERROR(__xludf.DUMMYFUNCTION("""COMPUTED_VALUE"""),"Reed, Jarran")</f>
        <v>Reed, Jarran</v>
      </c>
      <c r="C518" s="60" t="str">
        <f>IFERROR(__xludf.DUMMYFUNCTION("""COMPUTED_VALUE"""),"DT")</f>
        <v>DT</v>
      </c>
      <c r="D518" s="60" t="str">
        <f>IFERROR(__xludf.DUMMYFUNCTION("""COMPUTED_VALUE"""),"SEA")</f>
        <v>SEA</v>
      </c>
      <c r="E518" s="62" t="str">
        <f t="shared" si="4"/>
        <v>Jarran Reed</v>
      </c>
      <c r="F518" s="62">
        <f t="shared" ref="F518:G518" si="1036">IF(isblank(F$1),,IF(isblank($A518),,IFERROR(vlookup($A518,indirect("'TVC-"&amp;text(month(F$1),"00")&amp;"'!$A:$D"),4,false),1)))</f>
        <v>1</v>
      </c>
      <c r="G518" s="62">
        <f t="shared" si="1036"/>
        <v>1</v>
      </c>
      <c r="H518" s="62">
        <f t="shared" ref="H518:Q518" si="1037">IF(isblank(H$1),,IFERROR(vlookup($A518,indirect("'TVC-"&amp;text(month(H$1),"00")&amp;"'!$A:$D"),4,false),1))</f>
        <v>1</v>
      </c>
      <c r="I518" s="62">
        <f t="shared" si="1037"/>
        <v>1</v>
      </c>
      <c r="J518" s="62">
        <f t="shared" si="1037"/>
        <v>1</v>
      </c>
      <c r="K518" s="62">
        <f t="shared" si="1037"/>
        <v>1</v>
      </c>
      <c r="L518" s="62">
        <f t="shared" si="1037"/>
        <v>1</v>
      </c>
      <c r="M518" s="62">
        <f t="shared" si="1037"/>
        <v>1</v>
      </c>
      <c r="N518" s="62">
        <f t="shared" si="1037"/>
        <v>1</v>
      </c>
      <c r="O518" s="62">
        <f t="shared" si="1037"/>
        <v>1</v>
      </c>
      <c r="P518" s="62" t="str">
        <f t="shared" si="1037"/>
        <v/>
      </c>
      <c r="Q518" s="62" t="str">
        <f t="shared" si="1037"/>
        <v/>
      </c>
      <c r="R518" s="62">
        <f t="shared" si="7"/>
        <v>0</v>
      </c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</row>
    <row r="519" hidden="1">
      <c r="A519" s="60">
        <f>IFERROR(__xludf.DUMMYFUNCTION("""COMPUTED_VALUE"""),12699.0)</f>
        <v>12699</v>
      </c>
      <c r="B519" s="60" t="str">
        <f>IFERROR(__xludf.DUMMYFUNCTION("""COMPUTED_VALUE"""),"Billings, Andrew")</f>
        <v>Billings, Andrew</v>
      </c>
      <c r="C519" s="60" t="str">
        <f>IFERROR(__xludf.DUMMYFUNCTION("""COMPUTED_VALUE"""),"DT")</f>
        <v>DT</v>
      </c>
      <c r="D519" s="60" t="str">
        <f>IFERROR(__xludf.DUMMYFUNCTION("""COMPUTED_VALUE"""),"ARI")</f>
        <v>ARI</v>
      </c>
      <c r="E519" s="62" t="str">
        <f t="shared" si="4"/>
        <v>Andrew Billings</v>
      </c>
      <c r="F519" s="62">
        <f t="shared" ref="F519:G519" si="1038">IF(isblank(F$1),,IF(isblank($A519),,IFERROR(vlookup($A519,indirect("'TVC-"&amp;text(month(F$1),"00")&amp;"'!$A:$D"),4,false),1)))</f>
        <v>1</v>
      </c>
      <c r="G519" s="62">
        <f t="shared" si="1038"/>
        <v>1</v>
      </c>
      <c r="H519" s="62">
        <f t="shared" ref="H519:Q519" si="1039">IF(isblank(H$1),,IFERROR(vlookup($A519,indirect("'TVC-"&amp;text(month(H$1),"00")&amp;"'!$A:$D"),4,false),1))</f>
        <v>1</v>
      </c>
      <c r="I519" s="62">
        <f t="shared" si="1039"/>
        <v>1</v>
      </c>
      <c r="J519" s="62">
        <f t="shared" si="1039"/>
        <v>1</v>
      </c>
      <c r="K519" s="62">
        <f t="shared" si="1039"/>
        <v>1</v>
      </c>
      <c r="L519" s="62">
        <f t="shared" si="1039"/>
        <v>1</v>
      </c>
      <c r="M519" s="62">
        <f t="shared" si="1039"/>
        <v>1</v>
      </c>
      <c r="N519" s="62">
        <f t="shared" si="1039"/>
        <v>1</v>
      </c>
      <c r="O519" s="62">
        <f t="shared" si="1039"/>
        <v>1</v>
      </c>
      <c r="P519" s="62" t="str">
        <f t="shared" si="1039"/>
        <v/>
      </c>
      <c r="Q519" s="62" t="str">
        <f t="shared" si="1039"/>
        <v/>
      </c>
      <c r="R519" s="62">
        <f t="shared" si="7"/>
        <v>0</v>
      </c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</row>
    <row r="520" hidden="1">
      <c r="A520" s="60">
        <f>IFERROR(__xludf.DUMMYFUNCTION("""COMPUTED_VALUE"""),12700.0)</f>
        <v>12700</v>
      </c>
      <c r="B520" s="60" t="str">
        <f>IFERROR(__xludf.DUMMYFUNCTION("""COMPUTED_VALUE"""),"Johnson, Austin")</f>
        <v>Johnson, Austin</v>
      </c>
      <c r="C520" s="60" t="str">
        <f>IFERROR(__xludf.DUMMYFUNCTION("""COMPUTED_VALUE"""),"DT")</f>
        <v>DT</v>
      </c>
      <c r="D520" s="60" t="str">
        <f>IFERROR(__xludf.DUMMYFUNCTION("""COMPUTED_VALUE"""),"BUF")</f>
        <v>BUF</v>
      </c>
      <c r="E520" s="62" t="str">
        <f t="shared" si="4"/>
        <v>Austin Johnson</v>
      </c>
      <c r="F520" s="62">
        <f t="shared" ref="F520:G520" si="1040">IF(isblank(F$1),,IF(isblank($A520),,IFERROR(vlookup($A520,indirect("'TVC-"&amp;text(month(F$1),"00")&amp;"'!$A:$D"),4,false),1)))</f>
        <v>1</v>
      </c>
      <c r="G520" s="62">
        <f t="shared" si="1040"/>
        <v>1</v>
      </c>
      <c r="H520" s="62">
        <f t="shared" ref="H520:Q520" si="1041">IF(isblank(H$1),,IFERROR(vlookup($A520,indirect("'TVC-"&amp;text(month(H$1),"00")&amp;"'!$A:$D"),4,false),1))</f>
        <v>1</v>
      </c>
      <c r="I520" s="62">
        <f t="shared" si="1041"/>
        <v>1</v>
      </c>
      <c r="J520" s="62">
        <f t="shared" si="1041"/>
        <v>1</v>
      </c>
      <c r="K520" s="62">
        <f t="shared" si="1041"/>
        <v>1</v>
      </c>
      <c r="L520" s="62">
        <f t="shared" si="1041"/>
        <v>1</v>
      </c>
      <c r="M520" s="62">
        <f t="shared" si="1041"/>
        <v>1</v>
      </c>
      <c r="N520" s="62">
        <f t="shared" si="1041"/>
        <v>1</v>
      </c>
      <c r="O520" s="62">
        <f t="shared" si="1041"/>
        <v>1</v>
      </c>
      <c r="P520" s="62" t="str">
        <f t="shared" si="1041"/>
        <v/>
      </c>
      <c r="Q520" s="62" t="str">
        <f t="shared" si="1041"/>
        <v/>
      </c>
      <c r="R520" s="62">
        <f t="shared" si="7"/>
        <v>0</v>
      </c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</row>
    <row r="521" hidden="1">
      <c r="A521" s="60">
        <f>IFERROR(__xludf.DUMMYFUNCTION("""COMPUTED_VALUE"""),12711.0)</f>
        <v>12711</v>
      </c>
      <c r="B521" s="60" t="str">
        <f>IFERROR(__xludf.DUMMYFUNCTION("""COMPUTED_VALUE"""),"Ramsey, Jalen")</f>
        <v>Ramsey, Jalen</v>
      </c>
      <c r="C521" s="60" t="str">
        <f>IFERROR(__xludf.DUMMYFUNCTION("""COMPUTED_VALUE"""),"CB")</f>
        <v>CB</v>
      </c>
      <c r="D521" s="60" t="str">
        <f>IFERROR(__xludf.DUMMYFUNCTION("""COMPUTED_VALUE"""),"PIT")</f>
        <v>PIT</v>
      </c>
      <c r="E521" s="62" t="str">
        <f t="shared" si="4"/>
        <v>Jalen Ramsey</v>
      </c>
      <c r="F521" s="62">
        <f t="shared" ref="F521:G521" si="1042">IF(isblank(F$1),,IF(isblank($A521),,IFERROR(vlookup($A521,indirect("'TVC-"&amp;text(month(F$1),"00")&amp;"'!$A:$D"),4,false),1)))</f>
        <v>1</v>
      </c>
      <c r="G521" s="62">
        <f t="shared" si="1042"/>
        <v>1</v>
      </c>
      <c r="H521" s="62">
        <f t="shared" ref="H521:Q521" si="1043">IF(isblank(H$1),,IFERROR(vlookup($A521,indirect("'TVC-"&amp;text(month(H$1),"00")&amp;"'!$A:$D"),4,false),1))</f>
        <v>1</v>
      </c>
      <c r="I521" s="62">
        <f t="shared" si="1043"/>
        <v>1</v>
      </c>
      <c r="J521" s="62">
        <f t="shared" si="1043"/>
        <v>1</v>
      </c>
      <c r="K521" s="62">
        <f t="shared" si="1043"/>
        <v>1</v>
      </c>
      <c r="L521" s="62">
        <f t="shared" si="1043"/>
        <v>1</v>
      </c>
      <c r="M521" s="62">
        <f t="shared" si="1043"/>
        <v>1</v>
      </c>
      <c r="N521" s="62">
        <f t="shared" si="1043"/>
        <v>1</v>
      </c>
      <c r="O521" s="62">
        <f t="shared" si="1043"/>
        <v>1</v>
      </c>
      <c r="P521" s="62" t="str">
        <f t="shared" si="1043"/>
        <v/>
      </c>
      <c r="Q521" s="62" t="str">
        <f t="shared" si="1043"/>
        <v/>
      </c>
      <c r="R521" s="62">
        <f t="shared" si="7"/>
        <v>0</v>
      </c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</row>
    <row r="522" hidden="1">
      <c r="A522" s="60">
        <f>IFERROR(__xludf.DUMMYFUNCTION("""COMPUTED_VALUE"""),12715.0)</f>
        <v>12715</v>
      </c>
      <c r="B522" s="60" t="str">
        <f>IFERROR(__xludf.DUMMYFUNCTION("""COMPUTED_VALUE"""),"Apple, Eli")</f>
        <v>Apple, Eli</v>
      </c>
      <c r="C522" s="60" t="str">
        <f>IFERROR(__xludf.DUMMYFUNCTION("""COMPUTED_VALUE"""),"CB")</f>
        <v>CB</v>
      </c>
      <c r="D522" s="60" t="str">
        <f>IFERROR(__xludf.DUMMYFUNCTION("""COMPUTED_VALUE"""),"FA")</f>
        <v>FA</v>
      </c>
      <c r="E522" s="62" t="str">
        <f t="shared" si="4"/>
        <v>Eli Apple</v>
      </c>
      <c r="F522" s="62">
        <f t="shared" ref="F522:G522" si="1044">IF(isblank(F$1),,IF(isblank($A522),,IFERROR(vlookup($A522,indirect("'TVC-"&amp;text(month(F$1),"00")&amp;"'!$A:$D"),4,false),1)))</f>
        <v>1</v>
      </c>
      <c r="G522" s="62">
        <f t="shared" si="1044"/>
        <v>1</v>
      </c>
      <c r="H522" s="62">
        <f t="shared" ref="H522:Q522" si="1045">IF(isblank(H$1),,IFERROR(vlookup($A522,indirect("'TVC-"&amp;text(month(H$1),"00")&amp;"'!$A:$D"),4,false),1))</f>
        <v>1</v>
      </c>
      <c r="I522" s="62">
        <f t="shared" si="1045"/>
        <v>1</v>
      </c>
      <c r="J522" s="62">
        <f t="shared" si="1045"/>
        <v>1</v>
      </c>
      <c r="K522" s="62">
        <f t="shared" si="1045"/>
        <v>1</v>
      </c>
      <c r="L522" s="62">
        <f t="shared" si="1045"/>
        <v>1</v>
      </c>
      <c r="M522" s="62">
        <f t="shared" si="1045"/>
        <v>1</v>
      </c>
      <c r="N522" s="62">
        <f t="shared" si="1045"/>
        <v>1</v>
      </c>
      <c r="O522" s="62">
        <f t="shared" si="1045"/>
        <v>1</v>
      </c>
      <c r="P522" s="62" t="str">
        <f t="shared" si="1045"/>
        <v/>
      </c>
      <c r="Q522" s="62" t="str">
        <f t="shared" si="1045"/>
        <v/>
      </c>
      <c r="R522" s="62">
        <f t="shared" si="7"/>
        <v>0</v>
      </c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</row>
    <row r="523" hidden="1">
      <c r="A523" s="60">
        <f>IFERROR(__xludf.DUMMYFUNCTION("""COMPUTED_VALUE"""),12716.0)</f>
        <v>12716</v>
      </c>
      <c r="B523" s="60" t="str">
        <f>IFERROR(__xludf.DUMMYFUNCTION("""COMPUTED_VALUE"""),"Mills, Jalen")</f>
        <v>Mills, Jalen</v>
      </c>
      <c r="C523" s="60" t="str">
        <f>IFERROR(__xludf.DUMMYFUNCTION("""COMPUTED_VALUE"""),"S")</f>
        <v>S</v>
      </c>
      <c r="D523" s="60" t="str">
        <f>IFERROR(__xludf.DUMMYFUNCTION("""COMPUTED_VALUE"""),"DET")</f>
        <v>DET</v>
      </c>
      <c r="E523" s="62" t="str">
        <f t="shared" si="4"/>
        <v>Jalen Mills</v>
      </c>
      <c r="F523" s="62">
        <f t="shared" ref="F523:G523" si="1046">IF(isblank(F$1),,IF(isblank($A523),,IFERROR(vlookup($A523,indirect("'TVC-"&amp;text(month(F$1),"00")&amp;"'!$A:$D"),4,false),1)))</f>
        <v>1</v>
      </c>
      <c r="G523" s="62">
        <f t="shared" si="1046"/>
        <v>1</v>
      </c>
      <c r="H523" s="62">
        <f t="shared" ref="H523:Q523" si="1047">IF(isblank(H$1),,IFERROR(vlookup($A523,indirect("'TVC-"&amp;text(month(H$1),"00")&amp;"'!$A:$D"),4,false),1))</f>
        <v>1</v>
      </c>
      <c r="I523" s="62">
        <f t="shared" si="1047"/>
        <v>1</v>
      </c>
      <c r="J523" s="62">
        <f t="shared" si="1047"/>
        <v>1</v>
      </c>
      <c r="K523" s="62">
        <f t="shared" si="1047"/>
        <v>1</v>
      </c>
      <c r="L523" s="62">
        <f t="shared" si="1047"/>
        <v>1</v>
      </c>
      <c r="M523" s="62">
        <f t="shared" si="1047"/>
        <v>1</v>
      </c>
      <c r="N523" s="62">
        <f t="shared" si="1047"/>
        <v>1</v>
      </c>
      <c r="O523" s="62">
        <f t="shared" si="1047"/>
        <v>1</v>
      </c>
      <c r="P523" s="62" t="str">
        <f t="shared" si="1047"/>
        <v/>
      </c>
      <c r="Q523" s="62" t="str">
        <f t="shared" si="1047"/>
        <v/>
      </c>
      <c r="R523" s="62">
        <f t="shared" si="7"/>
        <v>0</v>
      </c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</row>
    <row r="524" hidden="1">
      <c r="A524" s="60">
        <f>IFERROR(__xludf.DUMMYFUNCTION("""COMPUTED_VALUE"""),12718.0)</f>
        <v>12718</v>
      </c>
      <c r="B524" s="60" t="str">
        <f>IFERROR(__xludf.DUMMYFUNCTION("""COMPUTED_VALUE"""),"Bell, Vonn")</f>
        <v>Bell, Vonn</v>
      </c>
      <c r="C524" s="60" t="str">
        <f>IFERROR(__xludf.DUMMYFUNCTION("""COMPUTED_VALUE"""),"S")</f>
        <v>S</v>
      </c>
      <c r="D524" s="60" t="str">
        <f>IFERROR(__xludf.DUMMYFUNCTION("""COMPUTED_VALUE"""),"FA")</f>
        <v>FA</v>
      </c>
      <c r="E524" s="62" t="str">
        <f t="shared" si="4"/>
        <v>Vonn Bell</v>
      </c>
      <c r="F524" s="62">
        <f t="shared" ref="F524:G524" si="1048">IF(isblank(F$1),,IF(isblank($A524),,IFERROR(vlookup($A524,indirect("'TVC-"&amp;text(month(F$1),"00")&amp;"'!$A:$D"),4,false),1)))</f>
        <v>1</v>
      </c>
      <c r="G524" s="62">
        <f t="shared" si="1048"/>
        <v>1</v>
      </c>
      <c r="H524" s="62">
        <f t="shared" ref="H524:Q524" si="1049">IF(isblank(H$1),,IFERROR(vlookup($A524,indirect("'TVC-"&amp;text(month(H$1),"00")&amp;"'!$A:$D"),4,false),1))</f>
        <v>1</v>
      </c>
      <c r="I524" s="62">
        <f t="shared" si="1049"/>
        <v>1</v>
      </c>
      <c r="J524" s="62">
        <f t="shared" si="1049"/>
        <v>1</v>
      </c>
      <c r="K524" s="62">
        <f t="shared" si="1049"/>
        <v>1</v>
      </c>
      <c r="L524" s="62">
        <f t="shared" si="1049"/>
        <v>1</v>
      </c>
      <c r="M524" s="62">
        <f t="shared" si="1049"/>
        <v>1</v>
      </c>
      <c r="N524" s="62">
        <f t="shared" si="1049"/>
        <v>1</v>
      </c>
      <c r="O524" s="62">
        <f t="shared" si="1049"/>
        <v>1</v>
      </c>
      <c r="P524" s="62" t="str">
        <f t="shared" si="1049"/>
        <v/>
      </c>
      <c r="Q524" s="62" t="str">
        <f t="shared" si="1049"/>
        <v/>
      </c>
      <c r="R524" s="62">
        <f t="shared" si="7"/>
        <v>0</v>
      </c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</row>
    <row r="525" hidden="1">
      <c r="A525" s="60">
        <f>IFERROR(__xludf.DUMMYFUNCTION("""COMPUTED_VALUE"""),12734.0)</f>
        <v>12734</v>
      </c>
      <c r="B525" s="60" t="str">
        <f>IFERROR(__xludf.DUMMYFUNCTION("""COMPUTED_VALUE"""),"Floyd, Leonard")</f>
        <v>Floyd, Leonard</v>
      </c>
      <c r="C525" s="60" t="str">
        <f>IFERROR(__xludf.DUMMYFUNCTION("""COMPUTED_VALUE"""),"DE")</f>
        <v>DE</v>
      </c>
      <c r="D525" s="60" t="str">
        <f>IFERROR(__xludf.DUMMYFUNCTION("""COMPUTED_VALUE"""),"FA")</f>
        <v>FA</v>
      </c>
      <c r="E525" s="62" t="str">
        <f t="shared" si="4"/>
        <v>Leonard Floyd</v>
      </c>
      <c r="F525" s="62">
        <f t="shared" ref="F525:G525" si="1050">IF(isblank(F$1),,IF(isblank($A525),,IFERROR(vlookup($A525,indirect("'TVC-"&amp;text(month(F$1),"00")&amp;"'!$A:$D"),4,false),1)))</f>
        <v>1</v>
      </c>
      <c r="G525" s="62">
        <f t="shared" si="1050"/>
        <v>1</v>
      </c>
      <c r="H525" s="62">
        <f t="shared" ref="H525:Q525" si="1051">IF(isblank(H$1),,IFERROR(vlookup($A525,indirect("'TVC-"&amp;text(month(H$1),"00")&amp;"'!$A:$D"),4,false),1))</f>
        <v>1</v>
      </c>
      <c r="I525" s="62">
        <f t="shared" si="1051"/>
        <v>1</v>
      </c>
      <c r="J525" s="62">
        <f t="shared" si="1051"/>
        <v>1</v>
      </c>
      <c r="K525" s="62">
        <f t="shared" si="1051"/>
        <v>1</v>
      </c>
      <c r="L525" s="62">
        <f t="shared" si="1051"/>
        <v>1</v>
      </c>
      <c r="M525" s="62">
        <f t="shared" si="1051"/>
        <v>1</v>
      </c>
      <c r="N525" s="62">
        <f t="shared" si="1051"/>
        <v>1</v>
      </c>
      <c r="O525" s="62">
        <f t="shared" si="1051"/>
        <v>1</v>
      </c>
      <c r="P525" s="62" t="str">
        <f t="shared" si="1051"/>
        <v/>
      </c>
      <c r="Q525" s="62" t="str">
        <f t="shared" si="1051"/>
        <v/>
      </c>
      <c r="R525" s="62">
        <f t="shared" si="7"/>
        <v>0</v>
      </c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</row>
    <row r="526" hidden="1">
      <c r="A526" s="60">
        <f>IFERROR(__xludf.DUMMYFUNCTION("""COMPUTED_VALUE"""),12735.0)</f>
        <v>12735</v>
      </c>
      <c r="B526" s="60" t="str">
        <f>IFERROR(__xludf.DUMMYFUNCTION("""COMPUTED_VALUE"""),"Rankins, Sheldon")</f>
        <v>Rankins, Sheldon</v>
      </c>
      <c r="C526" s="60" t="str">
        <f>IFERROR(__xludf.DUMMYFUNCTION("""COMPUTED_VALUE"""),"DT")</f>
        <v>DT</v>
      </c>
      <c r="D526" s="60" t="str">
        <f>IFERROR(__xludf.DUMMYFUNCTION("""COMPUTED_VALUE"""),"HOU")</f>
        <v>HOU</v>
      </c>
      <c r="E526" s="62" t="str">
        <f t="shared" si="4"/>
        <v>Sheldon Rankins</v>
      </c>
      <c r="F526" s="62">
        <f t="shared" ref="F526:G526" si="1052">IF(isblank(F$1),,IF(isblank($A526),,IFERROR(vlookup($A526,indirect("'TVC-"&amp;text(month(F$1),"00")&amp;"'!$A:$D"),4,false),1)))</f>
        <v>1</v>
      </c>
      <c r="G526" s="62">
        <f t="shared" si="1052"/>
        <v>1</v>
      </c>
      <c r="H526" s="62">
        <f t="shared" ref="H526:Q526" si="1053">IF(isblank(H$1),,IFERROR(vlookup($A526,indirect("'TVC-"&amp;text(month(H$1),"00")&amp;"'!$A:$D"),4,false),1))</f>
        <v>1</v>
      </c>
      <c r="I526" s="62">
        <f t="shared" si="1053"/>
        <v>1</v>
      </c>
      <c r="J526" s="62">
        <f t="shared" si="1053"/>
        <v>1</v>
      </c>
      <c r="K526" s="62">
        <f t="shared" si="1053"/>
        <v>1</v>
      </c>
      <c r="L526" s="62">
        <f t="shared" si="1053"/>
        <v>1</v>
      </c>
      <c r="M526" s="62">
        <f t="shared" si="1053"/>
        <v>1</v>
      </c>
      <c r="N526" s="62">
        <f t="shared" si="1053"/>
        <v>1</v>
      </c>
      <c r="O526" s="62">
        <f t="shared" si="1053"/>
        <v>1</v>
      </c>
      <c r="P526" s="62" t="str">
        <f t="shared" si="1053"/>
        <v/>
      </c>
      <c r="Q526" s="62" t="str">
        <f t="shared" si="1053"/>
        <v/>
      </c>
      <c r="R526" s="62">
        <f t="shared" si="7"/>
        <v>0</v>
      </c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</row>
    <row r="527" hidden="1">
      <c r="A527" s="60">
        <f>IFERROR(__xludf.DUMMYFUNCTION("""COMPUTED_VALUE"""),12739.0)</f>
        <v>12739</v>
      </c>
      <c r="B527" s="60" t="str">
        <f>IFERROR(__xludf.DUMMYFUNCTION("""COMPUTED_VALUE"""),"Clark, Kenny")</f>
        <v>Clark, Kenny</v>
      </c>
      <c r="C527" s="60" t="str">
        <f>IFERROR(__xludf.DUMMYFUNCTION("""COMPUTED_VALUE"""),"DT")</f>
        <v>DT</v>
      </c>
      <c r="D527" s="60" t="str">
        <f>IFERROR(__xludf.DUMMYFUNCTION("""COMPUTED_VALUE"""),"DAL")</f>
        <v>DAL</v>
      </c>
      <c r="E527" s="62" t="str">
        <f t="shared" si="4"/>
        <v>Kenny Clark</v>
      </c>
      <c r="F527" s="62">
        <f t="shared" ref="F527:G527" si="1054">IF(isblank(F$1),,IF(isblank($A527),,IFERROR(vlookup($A527,indirect("'TVC-"&amp;text(month(F$1),"00")&amp;"'!$A:$D"),4,false),1)))</f>
        <v>1</v>
      </c>
      <c r="G527" s="62">
        <f t="shared" si="1054"/>
        <v>1</v>
      </c>
      <c r="H527" s="62">
        <f t="shared" ref="H527:Q527" si="1055">IF(isblank(H$1),,IFERROR(vlookup($A527,indirect("'TVC-"&amp;text(month(H$1),"00")&amp;"'!$A:$D"),4,false),1))</f>
        <v>1</v>
      </c>
      <c r="I527" s="62">
        <f t="shared" si="1055"/>
        <v>1</v>
      </c>
      <c r="J527" s="62">
        <f t="shared" si="1055"/>
        <v>1</v>
      </c>
      <c r="K527" s="62">
        <f t="shared" si="1055"/>
        <v>1</v>
      </c>
      <c r="L527" s="62">
        <f t="shared" si="1055"/>
        <v>1</v>
      </c>
      <c r="M527" s="62">
        <f t="shared" si="1055"/>
        <v>1</v>
      </c>
      <c r="N527" s="62">
        <f t="shared" si="1055"/>
        <v>1</v>
      </c>
      <c r="O527" s="62">
        <f t="shared" si="1055"/>
        <v>1</v>
      </c>
      <c r="P527" s="62" t="str">
        <f t="shared" si="1055"/>
        <v/>
      </c>
      <c r="Q527" s="62" t="str">
        <f t="shared" si="1055"/>
        <v/>
      </c>
      <c r="R527" s="62">
        <f t="shared" si="7"/>
        <v>0</v>
      </c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</row>
    <row r="528" hidden="1">
      <c r="A528" s="60">
        <f>IFERROR(__xludf.DUMMYFUNCTION("""COMPUTED_VALUE"""),12741.0)</f>
        <v>12741</v>
      </c>
      <c r="B528" s="60" t="str">
        <f>IFERROR(__xludf.DUMMYFUNCTION("""COMPUTED_VALUE"""),"Jones, Chris")</f>
        <v>Jones, Chris</v>
      </c>
      <c r="C528" s="60" t="str">
        <f>IFERROR(__xludf.DUMMYFUNCTION("""COMPUTED_VALUE"""),"DT")</f>
        <v>DT</v>
      </c>
      <c r="D528" s="60" t="str">
        <f>IFERROR(__xludf.DUMMYFUNCTION("""COMPUTED_VALUE"""),"KCC")</f>
        <v>KCC</v>
      </c>
      <c r="E528" s="62" t="str">
        <f t="shared" si="4"/>
        <v>Chris Jones</v>
      </c>
      <c r="F528" s="62">
        <f t="shared" ref="F528:G528" si="1056">IF(isblank(F$1),,IF(isblank($A528),,IFERROR(vlookup($A528,indirect("'TVC-"&amp;text(month(F$1),"00")&amp;"'!$A:$D"),4,false),1)))</f>
        <v>1</v>
      </c>
      <c r="G528" s="62">
        <f t="shared" si="1056"/>
        <v>1</v>
      </c>
      <c r="H528" s="62">
        <f t="shared" ref="H528:Q528" si="1057">IF(isblank(H$1),,IFERROR(vlookup($A528,indirect("'TVC-"&amp;text(month(H$1),"00")&amp;"'!$A:$D"),4,false),1))</f>
        <v>1</v>
      </c>
      <c r="I528" s="62">
        <f t="shared" si="1057"/>
        <v>1</v>
      </c>
      <c r="J528" s="62">
        <f t="shared" si="1057"/>
        <v>1</v>
      </c>
      <c r="K528" s="62">
        <f t="shared" si="1057"/>
        <v>1</v>
      </c>
      <c r="L528" s="62">
        <f t="shared" si="1057"/>
        <v>1</v>
      </c>
      <c r="M528" s="62">
        <f t="shared" si="1057"/>
        <v>1</v>
      </c>
      <c r="N528" s="62">
        <f t="shared" si="1057"/>
        <v>1</v>
      </c>
      <c r="O528" s="62">
        <f t="shared" si="1057"/>
        <v>1</v>
      </c>
      <c r="P528" s="62" t="str">
        <f t="shared" si="1057"/>
        <v/>
      </c>
      <c r="Q528" s="62" t="str">
        <f t="shared" si="1057"/>
        <v/>
      </c>
      <c r="R528" s="62">
        <f t="shared" si="7"/>
        <v>0</v>
      </c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</row>
    <row r="529" hidden="1">
      <c r="A529" s="60">
        <f>IFERROR(__xludf.DUMMYFUNCTION("""COMPUTED_VALUE"""),12744.0)</f>
        <v>12744</v>
      </c>
      <c r="B529" s="60" t="str">
        <f>IFERROR(__xludf.DUMMYFUNCTION("""COMPUTED_VALUE"""),"Ward, Jihad")</f>
        <v>Ward, Jihad</v>
      </c>
      <c r="C529" s="60" t="str">
        <f>IFERROR(__xludf.DUMMYFUNCTION("""COMPUTED_VALUE"""),"DT")</f>
        <v>DT</v>
      </c>
      <c r="D529" s="60" t="str">
        <f>IFERROR(__xludf.DUMMYFUNCTION("""COMPUTED_VALUE"""),"NYG")</f>
        <v>NYG</v>
      </c>
      <c r="E529" s="62" t="str">
        <f t="shared" si="4"/>
        <v>Jihad Ward</v>
      </c>
      <c r="F529" s="62">
        <f t="shared" ref="F529:G529" si="1058">IF(isblank(F$1),,IF(isblank($A529),,IFERROR(vlookup($A529,indirect("'TVC-"&amp;text(month(F$1),"00")&amp;"'!$A:$D"),4,false),1)))</f>
        <v>1</v>
      </c>
      <c r="G529" s="62">
        <f t="shared" si="1058"/>
        <v>1</v>
      </c>
      <c r="H529" s="62">
        <f t="shared" ref="H529:Q529" si="1059">IF(isblank(H$1),,IFERROR(vlookup($A529,indirect("'TVC-"&amp;text(month(H$1),"00")&amp;"'!$A:$D"),4,false),1))</f>
        <v>1</v>
      </c>
      <c r="I529" s="62">
        <f t="shared" si="1059"/>
        <v>1</v>
      </c>
      <c r="J529" s="62">
        <f t="shared" si="1059"/>
        <v>1</v>
      </c>
      <c r="K529" s="62">
        <f t="shared" si="1059"/>
        <v>1</v>
      </c>
      <c r="L529" s="62">
        <f t="shared" si="1059"/>
        <v>1</v>
      </c>
      <c r="M529" s="62">
        <f t="shared" si="1059"/>
        <v>1</v>
      </c>
      <c r="N529" s="62">
        <f t="shared" si="1059"/>
        <v>1</v>
      </c>
      <c r="O529" s="62">
        <f t="shared" si="1059"/>
        <v>1</v>
      </c>
      <c r="P529" s="62" t="str">
        <f t="shared" si="1059"/>
        <v/>
      </c>
      <c r="Q529" s="62" t="str">
        <f t="shared" si="1059"/>
        <v/>
      </c>
      <c r="R529" s="62">
        <f t="shared" si="7"/>
        <v>0</v>
      </c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</row>
    <row r="530" hidden="1">
      <c r="A530" s="60">
        <f>IFERROR(__xludf.DUMMYFUNCTION("""COMPUTED_VALUE"""),12745.0)</f>
        <v>12745</v>
      </c>
      <c r="B530" s="60" t="str">
        <f>IFERROR(__xludf.DUMMYFUNCTION("""COMPUTED_VALUE"""),"Jones, Deion")</f>
        <v>Jones, Deion</v>
      </c>
      <c r="C530" s="60" t="str">
        <f>IFERROR(__xludf.DUMMYFUNCTION("""COMPUTED_VALUE"""),"LB")</f>
        <v>LB</v>
      </c>
      <c r="D530" s="60" t="str">
        <f>IFERROR(__xludf.DUMMYFUNCTION("""COMPUTED_VALUE"""),"FA")</f>
        <v>FA</v>
      </c>
      <c r="E530" s="62" t="str">
        <f t="shared" si="4"/>
        <v>Deion Jones</v>
      </c>
      <c r="F530" s="62">
        <f t="shared" ref="F530:G530" si="1060">IF(isblank(F$1),,IF(isblank($A530),,IFERROR(vlookup($A530,indirect("'TVC-"&amp;text(month(F$1),"00")&amp;"'!$A:$D"),4,false),1)))</f>
        <v>1</v>
      </c>
      <c r="G530" s="62">
        <f t="shared" si="1060"/>
        <v>1</v>
      </c>
      <c r="H530" s="62">
        <f t="shared" ref="H530:Q530" si="1061">IF(isblank(H$1),,IFERROR(vlookup($A530,indirect("'TVC-"&amp;text(month(H$1),"00")&amp;"'!$A:$D"),4,false),1))</f>
        <v>1</v>
      </c>
      <c r="I530" s="62">
        <f t="shared" si="1061"/>
        <v>1</v>
      </c>
      <c r="J530" s="62">
        <f t="shared" si="1061"/>
        <v>1</v>
      </c>
      <c r="K530" s="62">
        <f t="shared" si="1061"/>
        <v>1</v>
      </c>
      <c r="L530" s="62">
        <f t="shared" si="1061"/>
        <v>1</v>
      </c>
      <c r="M530" s="62">
        <f t="shared" si="1061"/>
        <v>1</v>
      </c>
      <c r="N530" s="62">
        <f t="shared" si="1061"/>
        <v>1</v>
      </c>
      <c r="O530" s="62">
        <f t="shared" si="1061"/>
        <v>1</v>
      </c>
      <c r="P530" s="62" t="str">
        <f t="shared" si="1061"/>
        <v/>
      </c>
      <c r="Q530" s="62" t="str">
        <f t="shared" si="1061"/>
        <v/>
      </c>
      <c r="R530" s="62">
        <f t="shared" si="7"/>
        <v>0</v>
      </c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</row>
    <row r="531" hidden="1">
      <c r="A531" s="60">
        <f>IFERROR(__xludf.DUMMYFUNCTION("""COMPUTED_VALUE"""),12751.0)</f>
        <v>12751</v>
      </c>
      <c r="B531" s="60" t="str">
        <f>IFERROR(__xludf.DUMMYFUNCTION("""COMPUTED_VALUE"""),"Gotsis, Adam")</f>
        <v>Gotsis, Adam</v>
      </c>
      <c r="C531" s="60" t="str">
        <f>IFERROR(__xludf.DUMMYFUNCTION("""COMPUTED_VALUE"""),"DT")</f>
        <v>DT</v>
      </c>
      <c r="D531" s="60" t="str">
        <f>IFERROR(__xludf.DUMMYFUNCTION("""COMPUTED_VALUE"""),"TBB")</f>
        <v>TBB</v>
      </c>
      <c r="E531" s="62" t="str">
        <f t="shared" si="4"/>
        <v>Adam Gotsis</v>
      </c>
      <c r="F531" s="62">
        <f t="shared" ref="F531:G531" si="1062">IF(isblank(F$1),,IF(isblank($A531),,IFERROR(vlookup($A531,indirect("'TVC-"&amp;text(month(F$1),"00")&amp;"'!$A:$D"),4,false),1)))</f>
        <v>1</v>
      </c>
      <c r="G531" s="62">
        <f t="shared" si="1062"/>
        <v>1</v>
      </c>
      <c r="H531" s="62">
        <f t="shared" ref="H531:Q531" si="1063">IF(isblank(H$1),,IFERROR(vlookup($A531,indirect("'TVC-"&amp;text(month(H$1),"00")&amp;"'!$A:$D"),4,false),1))</f>
        <v>1</v>
      </c>
      <c r="I531" s="62">
        <f t="shared" si="1063"/>
        <v>1</v>
      </c>
      <c r="J531" s="62">
        <f t="shared" si="1063"/>
        <v>1</v>
      </c>
      <c r="K531" s="62">
        <f t="shared" si="1063"/>
        <v>1</v>
      </c>
      <c r="L531" s="62">
        <f t="shared" si="1063"/>
        <v>1</v>
      </c>
      <c r="M531" s="62">
        <f t="shared" si="1063"/>
        <v>1</v>
      </c>
      <c r="N531" s="62">
        <f t="shared" si="1063"/>
        <v>1</v>
      </c>
      <c r="O531" s="62">
        <f t="shared" si="1063"/>
        <v>1</v>
      </c>
      <c r="P531" s="62" t="str">
        <f t="shared" si="1063"/>
        <v/>
      </c>
      <c r="Q531" s="62" t="str">
        <f t="shared" si="1063"/>
        <v/>
      </c>
      <c r="R531" s="62">
        <f t="shared" si="7"/>
        <v>0</v>
      </c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</row>
    <row r="532" hidden="1">
      <c r="A532" s="60">
        <f>IFERROR(__xludf.DUMMYFUNCTION("""COMPUTED_VALUE"""),12752.0)</f>
        <v>12752</v>
      </c>
      <c r="B532" s="60" t="str">
        <f>IFERROR(__xludf.DUMMYFUNCTION("""COMPUTED_VALUE"""),"Byard, Kevin")</f>
        <v>Byard, Kevin</v>
      </c>
      <c r="C532" s="60" t="str">
        <f>IFERROR(__xludf.DUMMYFUNCTION("""COMPUTED_VALUE"""),"S")</f>
        <v>S</v>
      </c>
      <c r="D532" s="60" t="str">
        <f>IFERROR(__xludf.DUMMYFUNCTION("""COMPUTED_VALUE"""),"NEP")</f>
        <v>NEP</v>
      </c>
      <c r="E532" s="62" t="str">
        <f t="shared" si="4"/>
        <v>Kevin Byard</v>
      </c>
      <c r="F532" s="62">
        <f t="shared" ref="F532:G532" si="1064">IF(isblank(F$1),,IF(isblank($A532),,IFERROR(vlookup($A532,indirect("'TVC-"&amp;text(month(F$1),"00")&amp;"'!$A:$D"),4,false),1)))</f>
        <v>1</v>
      </c>
      <c r="G532" s="62">
        <f t="shared" si="1064"/>
        <v>1</v>
      </c>
      <c r="H532" s="62">
        <f t="shared" ref="H532:Q532" si="1065">IF(isblank(H$1),,IFERROR(vlookup($A532,indirect("'TVC-"&amp;text(month(H$1),"00")&amp;"'!$A:$D"),4,false),1))</f>
        <v>1</v>
      </c>
      <c r="I532" s="62">
        <f t="shared" si="1065"/>
        <v>1</v>
      </c>
      <c r="J532" s="62">
        <f t="shared" si="1065"/>
        <v>1</v>
      </c>
      <c r="K532" s="62">
        <f t="shared" si="1065"/>
        <v>1</v>
      </c>
      <c r="L532" s="62">
        <f t="shared" si="1065"/>
        <v>1</v>
      </c>
      <c r="M532" s="62">
        <f t="shared" si="1065"/>
        <v>1</v>
      </c>
      <c r="N532" s="62">
        <f t="shared" si="1065"/>
        <v>1</v>
      </c>
      <c r="O532" s="62">
        <f t="shared" si="1065"/>
        <v>1</v>
      </c>
      <c r="P532" s="62" t="str">
        <f t="shared" si="1065"/>
        <v/>
      </c>
      <c r="Q532" s="62" t="str">
        <f t="shared" si="1065"/>
        <v/>
      </c>
      <c r="R532" s="62">
        <f t="shared" si="7"/>
        <v>0</v>
      </c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</row>
    <row r="533" hidden="1">
      <c r="A533" s="60">
        <f>IFERROR(__xludf.DUMMYFUNCTION("""COMPUTED_VALUE"""),12754.0)</f>
        <v>12754</v>
      </c>
      <c r="B533" s="60" t="str">
        <f>IFERROR(__xludf.DUMMYFUNCTION("""COMPUTED_VALUE"""),"Collins, Maliek")</f>
        <v>Collins, Maliek</v>
      </c>
      <c r="C533" s="60" t="str">
        <f>IFERROR(__xludf.DUMMYFUNCTION("""COMPUTED_VALUE"""),"DT")</f>
        <v>DT</v>
      </c>
      <c r="D533" s="60" t="str">
        <f>IFERROR(__xludf.DUMMYFUNCTION("""COMPUTED_VALUE"""),"CLE")</f>
        <v>CLE</v>
      </c>
      <c r="E533" s="62" t="str">
        <f t="shared" si="4"/>
        <v>Maliek Collins</v>
      </c>
      <c r="F533" s="62">
        <f t="shared" ref="F533:G533" si="1066">IF(isblank(F$1),,IF(isblank($A533),,IFERROR(vlookup($A533,indirect("'TVC-"&amp;text(month(F$1),"00")&amp;"'!$A:$D"),4,false),1)))</f>
        <v>1</v>
      </c>
      <c r="G533" s="62">
        <f t="shared" si="1066"/>
        <v>1</v>
      </c>
      <c r="H533" s="62">
        <f t="shared" ref="H533:Q533" si="1067">IF(isblank(H$1),,IFERROR(vlookup($A533,indirect("'TVC-"&amp;text(month(H$1),"00")&amp;"'!$A:$D"),4,false),1))</f>
        <v>1</v>
      </c>
      <c r="I533" s="62">
        <f t="shared" si="1067"/>
        <v>1</v>
      </c>
      <c r="J533" s="62">
        <f t="shared" si="1067"/>
        <v>1</v>
      </c>
      <c r="K533" s="62">
        <f t="shared" si="1067"/>
        <v>1</v>
      </c>
      <c r="L533" s="62">
        <f t="shared" si="1067"/>
        <v>1</v>
      </c>
      <c r="M533" s="62">
        <f t="shared" si="1067"/>
        <v>1</v>
      </c>
      <c r="N533" s="62">
        <f t="shared" si="1067"/>
        <v>1</v>
      </c>
      <c r="O533" s="62">
        <f t="shared" si="1067"/>
        <v>1</v>
      </c>
      <c r="P533" s="62" t="str">
        <f t="shared" si="1067"/>
        <v/>
      </c>
      <c r="Q533" s="62" t="str">
        <f t="shared" si="1067"/>
        <v/>
      </c>
      <c r="R533" s="62">
        <f t="shared" si="7"/>
        <v>0</v>
      </c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</row>
    <row r="534" hidden="1">
      <c r="A534" s="60">
        <f>IFERROR(__xludf.DUMMYFUNCTION("""COMPUTED_VALUE"""),12758.0)</f>
        <v>12758</v>
      </c>
      <c r="B534" s="60" t="str">
        <f>IFERROR(__xludf.DUMMYFUNCTION("""COMPUTED_VALUE"""),"Bullard, Jonathan")</f>
        <v>Bullard, Jonathan</v>
      </c>
      <c r="C534" s="60" t="str">
        <f>IFERROR(__xludf.DUMMYFUNCTION("""COMPUTED_VALUE"""),"DT")</f>
        <v>DT</v>
      </c>
      <c r="D534" s="60" t="str">
        <f>IFERROR(__xludf.DUMMYFUNCTION("""COMPUTED_VALUE"""),"DAL")</f>
        <v>DAL</v>
      </c>
      <c r="E534" s="62" t="str">
        <f t="shared" si="4"/>
        <v>Jonathan Bullard</v>
      </c>
      <c r="F534" s="62">
        <f t="shared" ref="F534:G534" si="1068">IF(isblank(F$1),,IF(isblank($A534),,IFERROR(vlookup($A534,indirect("'TVC-"&amp;text(month(F$1),"00")&amp;"'!$A:$D"),4,false),1)))</f>
        <v>1</v>
      </c>
      <c r="G534" s="62">
        <f t="shared" si="1068"/>
        <v>1</v>
      </c>
      <c r="H534" s="62">
        <f t="shared" ref="H534:Q534" si="1069">IF(isblank(H$1),,IFERROR(vlookup($A534,indirect("'TVC-"&amp;text(month(H$1),"00")&amp;"'!$A:$D"),4,false),1))</f>
        <v>1</v>
      </c>
      <c r="I534" s="62">
        <f t="shared" si="1069"/>
        <v>1</v>
      </c>
      <c r="J534" s="62">
        <f t="shared" si="1069"/>
        <v>1</v>
      </c>
      <c r="K534" s="62">
        <f t="shared" si="1069"/>
        <v>1</v>
      </c>
      <c r="L534" s="62">
        <f t="shared" si="1069"/>
        <v>1</v>
      </c>
      <c r="M534" s="62">
        <f t="shared" si="1069"/>
        <v>1</v>
      </c>
      <c r="N534" s="62">
        <f t="shared" si="1069"/>
        <v>1</v>
      </c>
      <c r="O534" s="62">
        <f t="shared" si="1069"/>
        <v>1</v>
      </c>
      <c r="P534" s="62" t="str">
        <f t="shared" si="1069"/>
        <v/>
      </c>
      <c r="Q534" s="62" t="str">
        <f t="shared" si="1069"/>
        <v/>
      </c>
      <c r="R534" s="62">
        <f t="shared" si="7"/>
        <v>0</v>
      </c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</row>
    <row r="535" hidden="1">
      <c r="A535" s="60">
        <f>IFERROR(__xludf.DUMMYFUNCTION("""COMPUTED_VALUE"""),12764.0)</f>
        <v>12764</v>
      </c>
      <c r="B535" s="60" t="str">
        <f>IFERROR(__xludf.DUMMYFUNCTION("""COMPUTED_VALUE"""),"Hargrave, Javon")</f>
        <v>Hargrave, Javon</v>
      </c>
      <c r="C535" s="60" t="str">
        <f>IFERROR(__xludf.DUMMYFUNCTION("""COMPUTED_VALUE"""),"DT")</f>
        <v>DT</v>
      </c>
      <c r="D535" s="60" t="str">
        <f>IFERROR(__xludf.DUMMYFUNCTION("""COMPUTED_VALUE"""),"GBP")</f>
        <v>GBP</v>
      </c>
      <c r="E535" s="62" t="str">
        <f t="shared" si="4"/>
        <v>Javon Hargrave</v>
      </c>
      <c r="F535" s="62">
        <f t="shared" ref="F535:G535" si="1070">IF(isblank(F$1),,IF(isblank($A535),,IFERROR(vlookup($A535,indirect("'TVC-"&amp;text(month(F$1),"00")&amp;"'!$A:$D"),4,false),1)))</f>
        <v>1</v>
      </c>
      <c r="G535" s="62">
        <f t="shared" si="1070"/>
        <v>1</v>
      </c>
      <c r="H535" s="62">
        <f t="shared" ref="H535:Q535" si="1071">IF(isblank(H$1),,IFERROR(vlookup($A535,indirect("'TVC-"&amp;text(month(H$1),"00")&amp;"'!$A:$D"),4,false),1))</f>
        <v>1</v>
      </c>
      <c r="I535" s="62">
        <f t="shared" si="1071"/>
        <v>1</v>
      </c>
      <c r="J535" s="62">
        <f t="shared" si="1071"/>
        <v>1</v>
      </c>
      <c r="K535" s="62">
        <f t="shared" si="1071"/>
        <v>1</v>
      </c>
      <c r="L535" s="62">
        <f t="shared" si="1071"/>
        <v>1</v>
      </c>
      <c r="M535" s="62">
        <f t="shared" si="1071"/>
        <v>1</v>
      </c>
      <c r="N535" s="62">
        <f t="shared" si="1071"/>
        <v>1</v>
      </c>
      <c r="O535" s="62">
        <f t="shared" si="1071"/>
        <v>1</v>
      </c>
      <c r="P535" s="62" t="str">
        <f t="shared" si="1071"/>
        <v/>
      </c>
      <c r="Q535" s="62" t="str">
        <f t="shared" si="1071"/>
        <v/>
      </c>
      <c r="R535" s="62">
        <f t="shared" si="7"/>
        <v>0</v>
      </c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</row>
    <row r="536" hidden="1">
      <c r="A536" s="60">
        <f>IFERROR(__xludf.DUMMYFUNCTION("""COMPUTED_VALUE"""),12767.0)</f>
        <v>12767</v>
      </c>
      <c r="B536" s="60" t="str">
        <f>IFERROR(__xludf.DUMMYFUNCTION("""COMPUTED_VALUE"""),"Simmons, Justin")</f>
        <v>Simmons, Justin</v>
      </c>
      <c r="C536" s="60" t="str">
        <f>IFERROR(__xludf.DUMMYFUNCTION("""COMPUTED_VALUE"""),"S")</f>
        <v>S</v>
      </c>
      <c r="D536" s="60" t="str">
        <f>IFERROR(__xludf.DUMMYFUNCTION("""COMPUTED_VALUE"""),"FA")</f>
        <v>FA</v>
      </c>
      <c r="E536" s="62" t="str">
        <f t="shared" si="4"/>
        <v>Justin Simmons</v>
      </c>
      <c r="F536" s="62">
        <f t="shared" ref="F536:G536" si="1072">IF(isblank(F$1),,IF(isblank($A536),,IFERROR(vlookup($A536,indirect("'TVC-"&amp;text(month(F$1),"00")&amp;"'!$A:$D"),4,false),1)))</f>
        <v>1</v>
      </c>
      <c r="G536" s="62">
        <f t="shared" si="1072"/>
        <v>1</v>
      </c>
      <c r="H536" s="62">
        <f t="shared" ref="H536:Q536" si="1073">IF(isblank(H$1),,IFERROR(vlookup($A536,indirect("'TVC-"&amp;text(month(H$1),"00")&amp;"'!$A:$D"),4,false),1))</f>
        <v>1</v>
      </c>
      <c r="I536" s="62">
        <f t="shared" si="1073"/>
        <v>1</v>
      </c>
      <c r="J536" s="62">
        <f t="shared" si="1073"/>
        <v>1</v>
      </c>
      <c r="K536" s="62">
        <f t="shared" si="1073"/>
        <v>1</v>
      </c>
      <c r="L536" s="62">
        <f t="shared" si="1073"/>
        <v>1</v>
      </c>
      <c r="M536" s="62">
        <f t="shared" si="1073"/>
        <v>1</v>
      </c>
      <c r="N536" s="62">
        <f t="shared" si="1073"/>
        <v>1</v>
      </c>
      <c r="O536" s="62">
        <f t="shared" si="1073"/>
        <v>1</v>
      </c>
      <c r="P536" s="62" t="str">
        <f t="shared" si="1073"/>
        <v/>
      </c>
      <c r="Q536" s="62" t="str">
        <f t="shared" si="1073"/>
        <v/>
      </c>
      <c r="R536" s="62">
        <f t="shared" si="7"/>
        <v>0</v>
      </c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</row>
    <row r="537" hidden="1">
      <c r="A537" s="60">
        <f>IFERROR(__xludf.DUMMYFUNCTION("""COMPUTED_VALUE"""),12772.0)</f>
        <v>12772</v>
      </c>
      <c r="B537" s="60" t="str">
        <f>IFERROR(__xludf.DUMMYFUNCTION("""COMPUTED_VALUE"""),"Murray, Eric")</f>
        <v>Murray, Eric</v>
      </c>
      <c r="C537" s="60" t="str">
        <f>IFERROR(__xludf.DUMMYFUNCTION("""COMPUTED_VALUE"""),"S")</f>
        <v>S</v>
      </c>
      <c r="D537" s="60" t="str">
        <f>IFERROR(__xludf.DUMMYFUNCTION("""COMPUTED_VALUE"""),"JAC")</f>
        <v>JAC</v>
      </c>
      <c r="E537" s="62" t="str">
        <f t="shared" si="4"/>
        <v>Eric Murray</v>
      </c>
      <c r="F537" s="62">
        <f t="shared" ref="F537:G537" si="1074">IF(isblank(F$1),,IF(isblank($A537),,IFERROR(vlookup($A537,indirect("'TVC-"&amp;text(month(F$1),"00")&amp;"'!$A:$D"),4,false),1)))</f>
        <v>1</v>
      </c>
      <c r="G537" s="62">
        <f t="shared" si="1074"/>
        <v>1</v>
      </c>
      <c r="H537" s="62">
        <f t="shared" ref="H537:Q537" si="1075">IF(isblank(H$1),,IFERROR(vlookup($A537,indirect("'TVC-"&amp;text(month(H$1),"00")&amp;"'!$A:$D"),4,false),1))</f>
        <v>1</v>
      </c>
      <c r="I537" s="62">
        <f t="shared" si="1075"/>
        <v>1</v>
      </c>
      <c r="J537" s="62">
        <f t="shared" si="1075"/>
        <v>1</v>
      </c>
      <c r="K537" s="62">
        <f t="shared" si="1075"/>
        <v>1</v>
      </c>
      <c r="L537" s="62">
        <f t="shared" si="1075"/>
        <v>1</v>
      </c>
      <c r="M537" s="62">
        <f t="shared" si="1075"/>
        <v>1</v>
      </c>
      <c r="N537" s="62">
        <f t="shared" si="1075"/>
        <v>1</v>
      </c>
      <c r="O537" s="62">
        <f t="shared" si="1075"/>
        <v>1</v>
      </c>
      <c r="P537" s="62" t="str">
        <f t="shared" si="1075"/>
        <v/>
      </c>
      <c r="Q537" s="62" t="str">
        <f t="shared" si="1075"/>
        <v/>
      </c>
      <c r="R537" s="62">
        <f t="shared" si="7"/>
        <v>0</v>
      </c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</row>
    <row r="538" hidden="1">
      <c r="A538" s="60">
        <f>IFERROR(__xludf.DUMMYFUNCTION("""COMPUTED_VALUE"""),12773.0)</f>
        <v>12773</v>
      </c>
      <c r="B538" s="60" t="str">
        <f>IFERROR(__xludf.DUMMYFUNCTION("""COMPUTED_VALUE"""),"Moore, Chris")</f>
        <v>Moore, Chris</v>
      </c>
      <c r="C538" s="60" t="str">
        <f>IFERROR(__xludf.DUMMYFUNCTION("""COMPUTED_VALUE"""),"WR")</f>
        <v>WR</v>
      </c>
      <c r="D538" s="60" t="str">
        <f>IFERROR(__xludf.DUMMYFUNCTION("""COMPUTED_VALUE"""),"BAL")</f>
        <v>BAL</v>
      </c>
      <c r="E538" s="62" t="str">
        <f t="shared" si="4"/>
        <v>Chris Moore</v>
      </c>
      <c r="F538" s="62">
        <f t="shared" ref="F538:G538" si="1076">IF(isblank(F$1),,IF(isblank($A538),,IFERROR(vlookup($A538,indirect("'TVC-"&amp;text(month(F$1),"00")&amp;"'!$A:$D"),4,false),1)))</f>
        <v>1</v>
      </c>
      <c r="G538" s="62">
        <f t="shared" si="1076"/>
        <v>1</v>
      </c>
      <c r="H538" s="62">
        <f t="shared" ref="H538:Q538" si="1077">IF(isblank(H$1),,IFERROR(vlookup($A538,indirect("'TVC-"&amp;text(month(H$1),"00")&amp;"'!$A:$D"),4,false),1))</f>
        <v>1</v>
      </c>
      <c r="I538" s="62">
        <f t="shared" si="1077"/>
        <v>1</v>
      </c>
      <c r="J538" s="62">
        <f t="shared" si="1077"/>
        <v>1</v>
      </c>
      <c r="K538" s="62">
        <f t="shared" si="1077"/>
        <v>1</v>
      </c>
      <c r="L538" s="62">
        <f t="shared" si="1077"/>
        <v>1</v>
      </c>
      <c r="M538" s="62">
        <f t="shared" si="1077"/>
        <v>1</v>
      </c>
      <c r="N538" s="62">
        <f t="shared" si="1077"/>
        <v>1</v>
      </c>
      <c r="O538" s="62">
        <f t="shared" si="1077"/>
        <v>1</v>
      </c>
      <c r="P538" s="62" t="str">
        <f t="shared" si="1077"/>
        <v/>
      </c>
      <c r="Q538" s="62" t="str">
        <f t="shared" si="1077"/>
        <v/>
      </c>
      <c r="R538" s="62">
        <f t="shared" si="7"/>
        <v>0</v>
      </c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</row>
    <row r="539" hidden="1">
      <c r="A539" s="60">
        <f>IFERROR(__xludf.DUMMYFUNCTION("""COMPUTED_VALUE"""),12776.0)</f>
        <v>12776</v>
      </c>
      <c r="B539" s="60" t="str">
        <f>IFERROR(__xludf.DUMMYFUNCTION("""COMPUTED_VALUE"""),"Killebrew, Miles")</f>
        <v>Killebrew, Miles</v>
      </c>
      <c r="C539" s="60" t="str">
        <f>IFERROR(__xludf.DUMMYFUNCTION("""COMPUTED_VALUE"""),"S")</f>
        <v>S</v>
      </c>
      <c r="D539" s="60" t="str">
        <f>IFERROR(__xludf.DUMMYFUNCTION("""COMPUTED_VALUE"""),"TBB")</f>
        <v>TBB</v>
      </c>
      <c r="E539" s="62" t="str">
        <f t="shared" si="4"/>
        <v>Miles Killebrew</v>
      </c>
      <c r="F539" s="62">
        <f t="shared" ref="F539:G539" si="1078">IF(isblank(F$1),,IF(isblank($A539),,IFERROR(vlookup($A539,indirect("'TVC-"&amp;text(month(F$1),"00")&amp;"'!$A:$D"),4,false),1)))</f>
        <v>1</v>
      </c>
      <c r="G539" s="62">
        <f t="shared" si="1078"/>
        <v>1</v>
      </c>
      <c r="H539" s="62">
        <f t="shared" ref="H539:Q539" si="1079">IF(isblank(H$1),,IFERROR(vlookup($A539,indirect("'TVC-"&amp;text(month(H$1),"00")&amp;"'!$A:$D"),4,false),1))</f>
        <v>1</v>
      </c>
      <c r="I539" s="62">
        <f t="shared" si="1079"/>
        <v>1</v>
      </c>
      <c r="J539" s="62">
        <f t="shared" si="1079"/>
        <v>1</v>
      </c>
      <c r="K539" s="62">
        <f t="shared" si="1079"/>
        <v>1</v>
      </c>
      <c r="L539" s="62">
        <f t="shared" si="1079"/>
        <v>1</v>
      </c>
      <c r="M539" s="62">
        <f t="shared" si="1079"/>
        <v>1</v>
      </c>
      <c r="N539" s="62">
        <f t="shared" si="1079"/>
        <v>1</v>
      </c>
      <c r="O539" s="62">
        <f t="shared" si="1079"/>
        <v>1</v>
      </c>
      <c r="P539" s="62" t="str">
        <f t="shared" si="1079"/>
        <v/>
      </c>
      <c r="Q539" s="62" t="str">
        <f t="shared" si="1079"/>
        <v/>
      </c>
      <c r="R539" s="62">
        <f t="shared" si="7"/>
        <v>0</v>
      </c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</row>
    <row r="540">
      <c r="A540" s="60">
        <f>IFERROR(__xludf.DUMMYFUNCTION("""COMPUTED_VALUE"""),12782.0)</f>
        <v>12782</v>
      </c>
      <c r="B540" s="60" t="str">
        <f>IFERROR(__xludf.DUMMYFUNCTION("""COMPUTED_VALUE"""),"Onyemata, David")</f>
        <v>Onyemata, David</v>
      </c>
      <c r="C540" s="60" t="str">
        <f>IFERROR(__xludf.DUMMYFUNCTION("""COMPUTED_VALUE"""),"DT")</f>
        <v>DT</v>
      </c>
      <c r="D540" s="60" t="str">
        <f>IFERROR(__xludf.DUMMYFUNCTION("""COMPUTED_VALUE"""),"NYJ")</f>
        <v>NYJ</v>
      </c>
      <c r="E540" s="62" t="str">
        <f t="shared" si="4"/>
        <v>David Onyemata</v>
      </c>
      <c r="F540" s="62">
        <f t="shared" ref="F540:G540" si="1080">IF(isblank(F$1),,IF(isblank($A540),,IFERROR(vlookup($A540,indirect("'TVC-"&amp;text(month(F$1),"00")&amp;"'!$A:$D"),4,false),1)))</f>
        <v>1</v>
      </c>
      <c r="G540" s="62">
        <f t="shared" si="1080"/>
        <v>1</v>
      </c>
      <c r="H540" s="62">
        <f t="shared" ref="H540:Q540" si="1081">IF(isblank(H$1),,IFERROR(vlookup($A540,indirect("'TVC-"&amp;text(month(H$1),"00")&amp;"'!$A:$D"),4,false),1))</f>
        <v>1</v>
      </c>
      <c r="I540" s="62">
        <f t="shared" si="1081"/>
        <v>1</v>
      </c>
      <c r="J540" s="62">
        <f t="shared" si="1081"/>
        <v>1</v>
      </c>
      <c r="K540" s="62">
        <f t="shared" si="1081"/>
        <v>1</v>
      </c>
      <c r="L540" s="62">
        <f t="shared" si="1081"/>
        <v>1</v>
      </c>
      <c r="M540" s="62">
        <f t="shared" si="1081"/>
        <v>1</v>
      </c>
      <c r="N540" s="62">
        <f t="shared" si="1081"/>
        <v>1</v>
      </c>
      <c r="O540" s="62">
        <f t="shared" si="1081"/>
        <v>1</v>
      </c>
      <c r="P540" s="62" t="str">
        <f t="shared" si="1081"/>
        <v/>
      </c>
      <c r="Q540" s="62" t="str">
        <f t="shared" si="1081"/>
        <v/>
      </c>
      <c r="R540" s="62">
        <f t="shared" si="7"/>
        <v>0</v>
      </c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</row>
    <row r="541" hidden="1">
      <c r="A541" s="60">
        <f>IFERROR(__xludf.DUMMYFUNCTION("""COMPUTED_VALUE"""),12785.0)</f>
        <v>12785</v>
      </c>
      <c r="B541" s="60" t="str">
        <f>IFERROR(__xludf.DUMMYFUNCTION("""COMPUTED_VALUE"""),"Robinson, Demarcus")</f>
        <v>Robinson, Demarcus</v>
      </c>
      <c r="C541" s="60" t="str">
        <f>IFERROR(__xludf.DUMMYFUNCTION("""COMPUTED_VALUE"""),"WR")</f>
        <v>WR</v>
      </c>
      <c r="D541" s="60" t="str">
        <f>IFERROR(__xludf.DUMMYFUNCTION("""COMPUTED_VALUE"""),"SFO")</f>
        <v>SFO</v>
      </c>
      <c r="E541" s="62" t="str">
        <f t="shared" si="4"/>
        <v>Demarcus Robinson</v>
      </c>
      <c r="F541" s="62">
        <f t="shared" ref="F541:G541" si="1082">IF(isblank(F$1),,IF(isblank($A541),,IFERROR(vlookup($A541,indirect("'TVC-"&amp;text(month(F$1),"00")&amp;"'!$A:$D"),4,false),1)))</f>
        <v>865</v>
      </c>
      <c r="G541" s="62">
        <f t="shared" si="1082"/>
        <v>924</v>
      </c>
      <c r="H541" s="62">
        <f t="shared" ref="H541:Q541" si="1083">IF(isblank(H$1),,IFERROR(vlookup($A541,indirect("'TVC-"&amp;text(month(H$1),"00")&amp;"'!$A:$D"),4,false),1))</f>
        <v>907</v>
      </c>
      <c r="I541" s="62">
        <f t="shared" si="1083"/>
        <v>907</v>
      </c>
      <c r="J541" s="62">
        <f t="shared" si="1083"/>
        <v>942</v>
      </c>
      <c r="K541" s="62">
        <f t="shared" si="1083"/>
        <v>841</v>
      </c>
      <c r="L541" s="62">
        <f t="shared" si="1083"/>
        <v>848</v>
      </c>
      <c r="M541" s="62">
        <f t="shared" si="1083"/>
        <v>816</v>
      </c>
      <c r="N541" s="62">
        <f t="shared" si="1083"/>
        <v>676</v>
      </c>
      <c r="O541" s="62">
        <f t="shared" si="1083"/>
        <v>1</v>
      </c>
      <c r="P541" s="62" t="str">
        <f t="shared" si="1083"/>
        <v/>
      </c>
      <c r="Q541" s="62" t="str">
        <f t="shared" si="1083"/>
        <v/>
      </c>
      <c r="R541" s="62">
        <f t="shared" si="7"/>
        <v>-675</v>
      </c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</row>
    <row r="542" hidden="1">
      <c r="A542" s="60">
        <f>IFERROR(__xludf.DUMMYFUNCTION("""COMPUTED_VALUE"""),12795.0)</f>
        <v>12795</v>
      </c>
      <c r="B542" s="60" t="str">
        <f>IFERROR(__xludf.DUMMYFUNCTION("""COMPUTED_VALUE"""),"Judon, Matt")</f>
        <v>Judon, Matt</v>
      </c>
      <c r="C542" s="60" t="str">
        <f>IFERROR(__xludf.DUMMYFUNCTION("""COMPUTED_VALUE"""),"DE")</f>
        <v>DE</v>
      </c>
      <c r="D542" s="60" t="str">
        <f>IFERROR(__xludf.DUMMYFUNCTION("""COMPUTED_VALUE"""),"SFO")</f>
        <v>SFO</v>
      </c>
      <c r="E542" s="62" t="str">
        <f t="shared" si="4"/>
        <v>Matt Judon</v>
      </c>
      <c r="F542" s="62">
        <f t="shared" ref="F542:G542" si="1084">IF(isblank(F$1),,IF(isblank($A542),,IFERROR(vlookup($A542,indirect("'TVC-"&amp;text(month(F$1),"00")&amp;"'!$A:$D"),4,false),1)))</f>
        <v>1</v>
      </c>
      <c r="G542" s="62">
        <f t="shared" si="1084"/>
        <v>1</v>
      </c>
      <c r="H542" s="62">
        <f t="shared" ref="H542:Q542" si="1085">IF(isblank(H$1),,IFERROR(vlookup($A542,indirect("'TVC-"&amp;text(month(H$1),"00")&amp;"'!$A:$D"),4,false),1))</f>
        <v>1</v>
      </c>
      <c r="I542" s="62">
        <f t="shared" si="1085"/>
        <v>1</v>
      </c>
      <c r="J542" s="62">
        <f t="shared" si="1085"/>
        <v>1</v>
      </c>
      <c r="K542" s="62">
        <f t="shared" si="1085"/>
        <v>1</v>
      </c>
      <c r="L542" s="62">
        <f t="shared" si="1085"/>
        <v>1</v>
      </c>
      <c r="M542" s="62">
        <f t="shared" si="1085"/>
        <v>1</v>
      </c>
      <c r="N542" s="62">
        <f t="shared" si="1085"/>
        <v>1</v>
      </c>
      <c r="O542" s="62">
        <f t="shared" si="1085"/>
        <v>1</v>
      </c>
      <c r="P542" s="62" t="str">
        <f t="shared" si="1085"/>
        <v/>
      </c>
      <c r="Q542" s="62" t="str">
        <f t="shared" si="1085"/>
        <v/>
      </c>
      <c r="R542" s="62">
        <f t="shared" si="7"/>
        <v>0</v>
      </c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</row>
    <row r="543" hidden="1">
      <c r="A543" s="60">
        <f>IFERROR(__xludf.DUMMYFUNCTION("""COMPUTED_VALUE"""),12796.0)</f>
        <v>12796</v>
      </c>
      <c r="B543" s="60" t="str">
        <f>IFERROR(__xludf.DUMMYFUNCTION("""COMPUTED_VALUE"""),"Jefferson, Quinton")</f>
        <v>Jefferson, Quinton</v>
      </c>
      <c r="C543" s="60" t="str">
        <f>IFERROR(__xludf.DUMMYFUNCTION("""COMPUTED_VALUE"""),"DT")</f>
        <v>DT</v>
      </c>
      <c r="D543" s="60" t="str">
        <f>IFERROR(__xludf.DUMMYFUNCTION("""COMPUTED_VALUE"""),"FA")</f>
        <v>FA</v>
      </c>
      <c r="E543" s="62" t="str">
        <f t="shared" si="4"/>
        <v>Quinton Jefferson</v>
      </c>
      <c r="F543" s="62">
        <f t="shared" ref="F543:G543" si="1086">IF(isblank(F$1),,IF(isblank($A543),,IFERROR(vlookup($A543,indirect("'TVC-"&amp;text(month(F$1),"00")&amp;"'!$A:$D"),4,false),1)))</f>
        <v>1</v>
      </c>
      <c r="G543" s="62">
        <f t="shared" si="1086"/>
        <v>1</v>
      </c>
      <c r="H543" s="62">
        <f t="shared" ref="H543:Q543" si="1087">IF(isblank(H$1),,IFERROR(vlookup($A543,indirect("'TVC-"&amp;text(month(H$1),"00")&amp;"'!$A:$D"),4,false),1))</f>
        <v>1</v>
      </c>
      <c r="I543" s="62">
        <f t="shared" si="1087"/>
        <v>1</v>
      </c>
      <c r="J543" s="62">
        <f t="shared" si="1087"/>
        <v>1</v>
      </c>
      <c r="K543" s="62">
        <f t="shared" si="1087"/>
        <v>1</v>
      </c>
      <c r="L543" s="62">
        <f t="shared" si="1087"/>
        <v>1</v>
      </c>
      <c r="M543" s="62">
        <f t="shared" si="1087"/>
        <v>1</v>
      </c>
      <c r="N543" s="62">
        <f t="shared" si="1087"/>
        <v>1</v>
      </c>
      <c r="O543" s="62">
        <f t="shared" si="1087"/>
        <v>1</v>
      </c>
      <c r="P543" s="62" t="str">
        <f t="shared" si="1087"/>
        <v/>
      </c>
      <c r="Q543" s="62" t="str">
        <f t="shared" si="1087"/>
        <v/>
      </c>
      <c r="R543" s="62">
        <f t="shared" si="7"/>
        <v>0</v>
      </c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</row>
    <row r="544" hidden="1">
      <c r="A544" s="60">
        <f>IFERROR(__xludf.DUMMYFUNCTION("""COMPUTED_VALUE"""),12801.0)</f>
        <v>12801</v>
      </c>
      <c r="B544" s="60" t="str">
        <f>IFERROR(__xludf.DUMMYFUNCTION("""COMPUTED_VALUE"""),"Hill, Tyreek")</f>
        <v>Hill, Tyreek</v>
      </c>
      <c r="C544" s="60" t="str">
        <f>IFERROR(__xludf.DUMMYFUNCTION("""COMPUTED_VALUE"""),"WR")</f>
        <v>WR</v>
      </c>
      <c r="D544" s="60" t="str">
        <f>IFERROR(__xludf.DUMMYFUNCTION("""COMPUTED_VALUE"""),"FA")</f>
        <v>FA</v>
      </c>
      <c r="E544" s="62" t="str">
        <f t="shared" si="4"/>
        <v>Tyreek Hill</v>
      </c>
      <c r="F544" s="62">
        <f t="shared" ref="F544:G544" si="1088">IF(isblank(F$1),,IF(isblank($A544),,IFERROR(vlookup($A544,indirect("'TVC-"&amp;text(month(F$1),"00")&amp;"'!$A:$D"),4,false),1)))</f>
        <v>2159</v>
      </c>
      <c r="G544" s="62">
        <f t="shared" si="1088"/>
        <v>2303</v>
      </c>
      <c r="H544" s="62">
        <f t="shared" ref="H544:Q544" si="1089">IF(isblank(H$1),,IFERROR(vlookup($A544,indirect("'TVC-"&amp;text(month(H$1),"00")&amp;"'!$A:$D"),4,false),1))</f>
        <v>2306</v>
      </c>
      <c r="I544" s="62">
        <f t="shared" si="1089"/>
        <v>2305</v>
      </c>
      <c r="J544" s="62">
        <f t="shared" si="1089"/>
        <v>2122</v>
      </c>
      <c r="K544" s="62">
        <f t="shared" si="1089"/>
        <v>2025</v>
      </c>
      <c r="L544" s="62">
        <f t="shared" si="1089"/>
        <v>1871</v>
      </c>
      <c r="M544" s="62">
        <f t="shared" si="1089"/>
        <v>1539</v>
      </c>
      <c r="N544" s="62">
        <f t="shared" si="1089"/>
        <v>1072</v>
      </c>
      <c r="O544" s="62">
        <f t="shared" si="1089"/>
        <v>1</v>
      </c>
      <c r="P544" s="62" t="str">
        <f t="shared" si="1089"/>
        <v/>
      </c>
      <c r="Q544" s="62" t="str">
        <f t="shared" si="1089"/>
        <v/>
      </c>
      <c r="R544" s="62">
        <f t="shared" si="7"/>
        <v>-1071</v>
      </c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</row>
    <row r="545" hidden="1">
      <c r="A545" s="60">
        <f>IFERROR(__xludf.DUMMYFUNCTION("""COMPUTED_VALUE"""),12802.0)</f>
        <v>12802</v>
      </c>
      <c r="B545" s="60" t="str">
        <f>IFERROR(__xludf.DUMMYFUNCTION("""COMPUTED_VALUE"""),"Reader, D.J.")</f>
        <v>Reader, D.J.</v>
      </c>
      <c r="C545" s="60" t="str">
        <f>IFERROR(__xludf.DUMMYFUNCTION("""COMPUTED_VALUE"""),"DT")</f>
        <v>DT</v>
      </c>
      <c r="D545" s="60" t="str">
        <f>IFERROR(__xludf.DUMMYFUNCTION("""COMPUTED_VALUE"""),"NYG")</f>
        <v>NYG</v>
      </c>
      <c r="E545" s="62" t="str">
        <f t="shared" si="4"/>
        <v>D.J. Reader</v>
      </c>
      <c r="F545" s="62">
        <f t="shared" ref="F545:G545" si="1090">IF(isblank(F$1),,IF(isblank($A545),,IFERROR(vlookup($A545,indirect("'TVC-"&amp;text(month(F$1),"00")&amp;"'!$A:$D"),4,false),1)))</f>
        <v>1</v>
      </c>
      <c r="G545" s="62">
        <f t="shared" si="1090"/>
        <v>1</v>
      </c>
      <c r="H545" s="62">
        <f t="shared" ref="H545:Q545" si="1091">IF(isblank(H$1),,IFERROR(vlookup($A545,indirect("'TVC-"&amp;text(month(H$1),"00")&amp;"'!$A:$D"),4,false),1))</f>
        <v>1</v>
      </c>
      <c r="I545" s="62">
        <f t="shared" si="1091"/>
        <v>1</v>
      </c>
      <c r="J545" s="62">
        <f t="shared" si="1091"/>
        <v>1</v>
      </c>
      <c r="K545" s="62">
        <f t="shared" si="1091"/>
        <v>1</v>
      </c>
      <c r="L545" s="62">
        <f t="shared" si="1091"/>
        <v>1</v>
      </c>
      <c r="M545" s="62">
        <f t="shared" si="1091"/>
        <v>1</v>
      </c>
      <c r="N545" s="62">
        <f t="shared" si="1091"/>
        <v>1</v>
      </c>
      <c r="O545" s="62">
        <f t="shared" si="1091"/>
        <v>1</v>
      </c>
      <c r="P545" s="62" t="str">
        <f t="shared" si="1091"/>
        <v/>
      </c>
      <c r="Q545" s="62" t="str">
        <f t="shared" si="1091"/>
        <v/>
      </c>
      <c r="R545" s="62">
        <f t="shared" si="7"/>
        <v>0</v>
      </c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</row>
    <row r="546" hidden="1">
      <c r="A546" s="60">
        <f>IFERROR(__xludf.DUMMYFUNCTION("""COMPUTED_VALUE"""),12831.0)</f>
        <v>12831</v>
      </c>
      <c r="B546" s="60" t="str">
        <f>IFERROR(__xludf.DUMMYFUNCTION("""COMPUTED_VALUE"""),"Roberts, Elandon")</f>
        <v>Roberts, Elandon</v>
      </c>
      <c r="C546" s="60" t="str">
        <f>IFERROR(__xludf.DUMMYFUNCTION("""COMPUTED_VALUE"""),"LB")</f>
        <v>LB</v>
      </c>
      <c r="D546" s="60" t="str">
        <f>IFERROR(__xludf.DUMMYFUNCTION("""COMPUTED_VALUE"""),"PIT")</f>
        <v>PIT</v>
      </c>
      <c r="E546" s="62" t="str">
        <f t="shared" si="4"/>
        <v>Elandon Roberts</v>
      </c>
      <c r="F546" s="62">
        <f t="shared" ref="F546:G546" si="1092">IF(isblank(F$1),,IF(isblank($A546),,IFERROR(vlookup($A546,indirect("'TVC-"&amp;text(month(F$1),"00")&amp;"'!$A:$D"),4,false),1)))</f>
        <v>1</v>
      </c>
      <c r="G546" s="62">
        <f t="shared" si="1092"/>
        <v>1</v>
      </c>
      <c r="H546" s="62">
        <f t="shared" ref="H546:Q546" si="1093">IF(isblank(H$1),,IFERROR(vlookup($A546,indirect("'TVC-"&amp;text(month(H$1),"00")&amp;"'!$A:$D"),4,false),1))</f>
        <v>1</v>
      </c>
      <c r="I546" s="62">
        <f t="shared" si="1093"/>
        <v>1</v>
      </c>
      <c r="J546" s="62">
        <f t="shared" si="1093"/>
        <v>1</v>
      </c>
      <c r="K546" s="62">
        <f t="shared" si="1093"/>
        <v>1</v>
      </c>
      <c r="L546" s="62">
        <f t="shared" si="1093"/>
        <v>1</v>
      </c>
      <c r="M546" s="62">
        <f t="shared" si="1093"/>
        <v>1</v>
      </c>
      <c r="N546" s="62">
        <f t="shared" si="1093"/>
        <v>1</v>
      </c>
      <c r="O546" s="62">
        <f t="shared" si="1093"/>
        <v>1</v>
      </c>
      <c r="P546" s="62" t="str">
        <f t="shared" si="1093"/>
        <v/>
      </c>
      <c r="Q546" s="62" t="str">
        <f t="shared" si="1093"/>
        <v/>
      </c>
      <c r="R546" s="62">
        <f t="shared" si="7"/>
        <v>0</v>
      </c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</row>
    <row r="547" hidden="1">
      <c r="A547" s="60">
        <f>IFERROR(__xludf.DUMMYFUNCTION("""COMPUTED_VALUE"""),12842.0)</f>
        <v>12842</v>
      </c>
      <c r="B547" s="60" t="str">
        <f>IFERROR(__xludf.DUMMYFUNCTION("""COMPUTED_VALUE"""),"Dixon, Riley")</f>
        <v>Dixon, Riley</v>
      </c>
      <c r="C547" s="60" t="str">
        <f>IFERROR(__xludf.DUMMYFUNCTION("""COMPUTED_VALUE"""),"PN")</f>
        <v>PN</v>
      </c>
      <c r="D547" s="60" t="str">
        <f>IFERROR(__xludf.DUMMYFUNCTION("""COMPUTED_VALUE"""),"TBB")</f>
        <v>TBB</v>
      </c>
      <c r="E547" s="62" t="str">
        <f t="shared" si="4"/>
        <v>Riley Dixon</v>
      </c>
      <c r="F547" s="62">
        <f>IFERROR(__xludf.DUMMYFUNCTION("let(month,concat(""TVC-"",text(month(F$1),""00"")),IF(isblank(F$1),,IF(isblank($A547),,IFERROR(filter(indirect(month&amp;""'!$B:$B""),4,false),1))))"),1.0)</f>
        <v>1</v>
      </c>
      <c r="G547" s="62">
        <f t="array" ref="G547">IF(isblank(G$1),,IF(isblank($A547),,IFERROR(vlookup($A547,indirect("'TVC-"&amp;text(month(G$1),"00")&amp;"'!$A:$D"),4,false),1)))</f>
        <v>1</v>
      </c>
      <c r="H547" s="62">
        <f t="shared" ref="H547:Q547" si="1094">IF(isblank(H$1),,IFERROR(vlookup($A547,indirect("'TVC-"&amp;text(month(H$1),"00")&amp;"'!$A:$D"),4,false),1))</f>
        <v>1</v>
      </c>
      <c r="I547" s="62">
        <f t="shared" si="1094"/>
        <v>1</v>
      </c>
      <c r="J547" s="62">
        <f t="shared" si="1094"/>
        <v>1</v>
      </c>
      <c r="K547" s="62">
        <f t="shared" si="1094"/>
        <v>1</v>
      </c>
      <c r="L547" s="62">
        <f t="shared" si="1094"/>
        <v>1</v>
      </c>
      <c r="M547" s="62">
        <f t="shared" si="1094"/>
        <v>1</v>
      </c>
      <c r="N547" s="62">
        <f t="shared" si="1094"/>
        <v>1</v>
      </c>
      <c r="O547" s="62">
        <f t="shared" si="1094"/>
        <v>1</v>
      </c>
      <c r="P547" s="62" t="str">
        <f t="shared" si="1094"/>
        <v/>
      </c>
      <c r="Q547" s="62" t="str">
        <f t="shared" si="1094"/>
        <v/>
      </c>
      <c r="R547" s="62">
        <f t="shared" si="7"/>
        <v>0</v>
      </c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</row>
    <row r="548" hidden="1">
      <c r="A548" s="60">
        <f>IFERROR(__xludf.DUMMYFUNCTION("""COMPUTED_VALUE"""),12860.0)</f>
        <v>12860</v>
      </c>
      <c r="B548" s="60" t="str">
        <f>IFERROR(__xludf.DUMMYFUNCTION("""COMPUTED_VALUE"""),"Fairbairn, Ka'imi")</f>
        <v>Fairbairn, Ka'imi</v>
      </c>
      <c r="C548" s="60" t="str">
        <f>IFERROR(__xludf.DUMMYFUNCTION("""COMPUTED_VALUE"""),"PK")</f>
        <v>PK</v>
      </c>
      <c r="D548" s="60" t="str">
        <f>IFERROR(__xludf.DUMMYFUNCTION("""COMPUTED_VALUE"""),"HOU")</f>
        <v>HOU</v>
      </c>
      <c r="E548" s="62" t="str">
        <f t="shared" si="4"/>
        <v>Ka'imi Fairbairn</v>
      </c>
      <c r="F548" s="62">
        <f t="shared" ref="F548:G548" si="1095">IF(isblank(F$1),,IF(isblank($A548),,IFERROR(vlookup($A548,indirect("'TVC-"&amp;text(month(F$1),"00")&amp;"'!$A:$D"),4,false),1)))</f>
        <v>1</v>
      </c>
      <c r="G548" s="62">
        <f t="shared" si="1095"/>
        <v>1</v>
      </c>
      <c r="H548" s="62">
        <f t="shared" ref="H548:Q548" si="1096">IF(isblank(H$1),,IFERROR(vlookup($A548,indirect("'TVC-"&amp;text(month(H$1),"00")&amp;"'!$A:$D"),4,false),1))</f>
        <v>1</v>
      </c>
      <c r="I548" s="62">
        <f t="shared" si="1096"/>
        <v>1</v>
      </c>
      <c r="J548" s="62">
        <f t="shared" si="1096"/>
        <v>1</v>
      </c>
      <c r="K548" s="62">
        <f t="shared" si="1096"/>
        <v>1</v>
      </c>
      <c r="L548" s="62">
        <f t="shared" si="1096"/>
        <v>1</v>
      </c>
      <c r="M548" s="62">
        <f t="shared" si="1096"/>
        <v>1</v>
      </c>
      <c r="N548" s="62">
        <f t="shared" si="1096"/>
        <v>1</v>
      </c>
      <c r="O548" s="62">
        <f t="shared" si="1096"/>
        <v>1</v>
      </c>
      <c r="P548" s="62" t="str">
        <f t="shared" si="1096"/>
        <v/>
      </c>
      <c r="Q548" s="62" t="str">
        <f t="shared" si="1096"/>
        <v/>
      </c>
      <c r="R548" s="62">
        <f t="shared" si="7"/>
        <v>0</v>
      </c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</row>
    <row r="549" hidden="1">
      <c r="A549" s="60">
        <f>IFERROR(__xludf.DUMMYFUNCTION("""COMPUTED_VALUE"""),12923.0)</f>
        <v>12923</v>
      </c>
      <c r="B549" s="60" t="str">
        <f>IFERROR(__xludf.DUMMYFUNCTION("""COMPUTED_VALUE"""),"Ham, C.J.")</f>
        <v>Ham, C.J.</v>
      </c>
      <c r="C549" s="60" t="str">
        <f>IFERROR(__xludf.DUMMYFUNCTION("""COMPUTED_VALUE"""),"RB")</f>
        <v>RB</v>
      </c>
      <c r="D549" s="60" t="str">
        <f>IFERROR(__xludf.DUMMYFUNCTION("""COMPUTED_VALUE"""),"FA")</f>
        <v>FA</v>
      </c>
      <c r="E549" s="62" t="str">
        <f t="shared" si="4"/>
        <v>C.J. Ham</v>
      </c>
      <c r="F549" s="62">
        <f t="shared" ref="F549:G549" si="1097">IF(isblank(F$1),,IF(isblank($A549),,IFERROR(vlookup($A549,indirect("'TVC-"&amp;text(month(F$1),"00")&amp;"'!$A:$D"),4,false),1)))</f>
        <v>1</v>
      </c>
      <c r="G549" s="62">
        <f t="shared" si="1097"/>
        <v>1</v>
      </c>
      <c r="H549" s="62">
        <f t="shared" ref="H549:Q549" si="1098">IF(isblank(H$1),,IFERROR(vlookup($A549,indirect("'TVC-"&amp;text(month(H$1),"00")&amp;"'!$A:$D"),4,false),1))</f>
        <v>1</v>
      </c>
      <c r="I549" s="62">
        <f t="shared" si="1098"/>
        <v>1</v>
      </c>
      <c r="J549" s="62">
        <f t="shared" si="1098"/>
        <v>1</v>
      </c>
      <c r="K549" s="62">
        <f t="shared" si="1098"/>
        <v>1</v>
      </c>
      <c r="L549" s="62">
        <f t="shared" si="1098"/>
        <v>1</v>
      </c>
      <c r="M549" s="62">
        <f t="shared" si="1098"/>
        <v>1</v>
      </c>
      <c r="N549" s="62">
        <f t="shared" si="1098"/>
        <v>1</v>
      </c>
      <c r="O549" s="62">
        <f t="shared" si="1098"/>
        <v>1</v>
      </c>
      <c r="P549" s="62" t="str">
        <f t="shared" si="1098"/>
        <v/>
      </c>
      <c r="Q549" s="62" t="str">
        <f t="shared" si="1098"/>
        <v/>
      </c>
      <c r="R549" s="62">
        <f t="shared" si="7"/>
        <v>0</v>
      </c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</row>
    <row r="550" hidden="1">
      <c r="A550" s="60">
        <f>IFERROR(__xludf.DUMMYFUNCTION("""COMPUTED_VALUE"""),12930.0)</f>
        <v>12930</v>
      </c>
      <c r="B550" s="60" t="str">
        <f>IFERROR(__xludf.DUMMYFUNCTION("""COMPUTED_VALUE"""),"Chosen, Robbie")</f>
        <v>Chosen, Robbie</v>
      </c>
      <c r="C550" s="60" t="str">
        <f>IFERROR(__xludf.DUMMYFUNCTION("""COMPUTED_VALUE"""),"WR")</f>
        <v>WR</v>
      </c>
      <c r="D550" s="60" t="str">
        <f>IFERROR(__xludf.DUMMYFUNCTION("""COMPUTED_VALUE"""),"WAS")</f>
        <v>WAS</v>
      </c>
      <c r="E550" s="62" t="str">
        <f t="shared" si="4"/>
        <v>Robbie Chosen</v>
      </c>
      <c r="F550" s="62">
        <f t="shared" ref="F550:G550" si="1099">IF(isblank(F$1),,IF(isblank($A550),,IFERROR(vlookup($A550,indirect("'TVC-"&amp;text(month(F$1),"00")&amp;"'!$A:$D"),4,false),1)))</f>
        <v>1</v>
      </c>
      <c r="G550" s="62">
        <f t="shared" si="1099"/>
        <v>1</v>
      </c>
      <c r="H550" s="62">
        <f t="shared" ref="H550:Q550" si="1100">IF(isblank(H$1),,IFERROR(vlookup($A550,indirect("'TVC-"&amp;text(month(H$1),"00")&amp;"'!$A:$D"),4,false),1))</f>
        <v>1</v>
      </c>
      <c r="I550" s="62">
        <f t="shared" si="1100"/>
        <v>1</v>
      </c>
      <c r="J550" s="62">
        <f t="shared" si="1100"/>
        <v>1</v>
      </c>
      <c r="K550" s="62">
        <f t="shared" si="1100"/>
        <v>1</v>
      </c>
      <c r="L550" s="62">
        <f t="shared" si="1100"/>
        <v>1</v>
      </c>
      <c r="M550" s="62">
        <f t="shared" si="1100"/>
        <v>1</v>
      </c>
      <c r="N550" s="62">
        <f t="shared" si="1100"/>
        <v>1</v>
      </c>
      <c r="O550" s="62">
        <f t="shared" si="1100"/>
        <v>1</v>
      </c>
      <c r="P550" s="62" t="str">
        <f t="shared" si="1100"/>
        <v/>
      </c>
      <c r="Q550" s="62" t="str">
        <f t="shared" si="1100"/>
        <v/>
      </c>
      <c r="R550" s="62">
        <f t="shared" si="7"/>
        <v>0</v>
      </c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</row>
    <row r="551" hidden="1">
      <c r="A551" s="60">
        <f>IFERROR(__xludf.DUMMYFUNCTION("""COMPUTED_VALUE"""),12955.0)</f>
        <v>12955</v>
      </c>
      <c r="B551" s="60" t="str">
        <f>IFERROR(__xludf.DUMMYFUNCTION("""COMPUTED_VALUE"""),"Manhertz, Chris")</f>
        <v>Manhertz, Chris</v>
      </c>
      <c r="C551" s="60" t="str">
        <f>IFERROR(__xludf.DUMMYFUNCTION("""COMPUTED_VALUE"""),"TE")</f>
        <v>TE</v>
      </c>
      <c r="D551" s="60" t="str">
        <f>IFERROR(__xludf.DUMMYFUNCTION("""COMPUTED_VALUE"""),"NYG")</f>
        <v>NYG</v>
      </c>
      <c r="E551" s="62" t="str">
        <f t="shared" si="4"/>
        <v>Chris Manhertz</v>
      </c>
      <c r="F551" s="62">
        <f t="shared" ref="F551:G551" si="1101">IF(isblank(F$1),,IF(isblank($A551),,IFERROR(vlookup($A551,indirect("'TVC-"&amp;text(month(F$1),"00")&amp;"'!$A:$D"),4,false),1)))</f>
        <v>1</v>
      </c>
      <c r="G551" s="62">
        <f t="shared" si="1101"/>
        <v>1</v>
      </c>
      <c r="H551" s="62">
        <f t="shared" ref="H551:Q551" si="1102">IF(isblank(H$1),,IFERROR(vlookup($A551,indirect("'TVC-"&amp;text(month(H$1),"00")&amp;"'!$A:$D"),4,false),1))</f>
        <v>1</v>
      </c>
      <c r="I551" s="62">
        <f t="shared" si="1102"/>
        <v>1</v>
      </c>
      <c r="J551" s="62">
        <f t="shared" si="1102"/>
        <v>1</v>
      </c>
      <c r="K551" s="62">
        <f t="shared" si="1102"/>
        <v>1</v>
      </c>
      <c r="L551" s="62">
        <f t="shared" si="1102"/>
        <v>1</v>
      </c>
      <c r="M551" s="62">
        <f t="shared" si="1102"/>
        <v>1</v>
      </c>
      <c r="N551" s="62">
        <f t="shared" si="1102"/>
        <v>1</v>
      </c>
      <c r="O551" s="62">
        <f t="shared" si="1102"/>
        <v>1</v>
      </c>
      <c r="P551" s="62" t="str">
        <f t="shared" si="1102"/>
        <v/>
      </c>
      <c r="Q551" s="62" t="str">
        <f t="shared" si="1102"/>
        <v/>
      </c>
      <c r="R551" s="62">
        <f t="shared" si="7"/>
        <v>0</v>
      </c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</row>
    <row r="552" hidden="1">
      <c r="A552" s="60">
        <f>IFERROR(__xludf.DUMMYFUNCTION("""COMPUTED_VALUE"""),12956.0)</f>
        <v>12956</v>
      </c>
      <c r="B552" s="60" t="str">
        <f>IFERROR(__xludf.DUMMYFUNCTION("""COMPUTED_VALUE"""),"Lutz, Wil")</f>
        <v>Lutz, Wil</v>
      </c>
      <c r="C552" s="60" t="str">
        <f>IFERROR(__xludf.DUMMYFUNCTION("""COMPUTED_VALUE"""),"PK")</f>
        <v>PK</v>
      </c>
      <c r="D552" s="60" t="str">
        <f>IFERROR(__xludf.DUMMYFUNCTION("""COMPUTED_VALUE"""),"DEN")</f>
        <v>DEN</v>
      </c>
      <c r="E552" s="62" t="str">
        <f t="shared" si="4"/>
        <v>Wil Lutz</v>
      </c>
      <c r="F552" s="62">
        <f t="shared" ref="F552:G552" si="1103">IF(isblank(F$1),,IF(isblank($A552),,IFERROR(vlookup($A552,indirect("'TVC-"&amp;text(month(F$1),"00")&amp;"'!$A:$D"),4,false),1)))</f>
        <v>1</v>
      </c>
      <c r="G552" s="62">
        <f t="shared" si="1103"/>
        <v>1</v>
      </c>
      <c r="H552" s="62">
        <f t="shared" ref="H552:Q552" si="1104">IF(isblank(H$1),,IFERROR(vlookup($A552,indirect("'TVC-"&amp;text(month(H$1),"00")&amp;"'!$A:$D"),4,false),1))</f>
        <v>1</v>
      </c>
      <c r="I552" s="62">
        <f t="shared" si="1104"/>
        <v>1</v>
      </c>
      <c r="J552" s="62">
        <f t="shared" si="1104"/>
        <v>1</v>
      </c>
      <c r="K552" s="62">
        <f t="shared" si="1104"/>
        <v>1</v>
      </c>
      <c r="L552" s="62">
        <f t="shared" si="1104"/>
        <v>1</v>
      </c>
      <c r="M552" s="62">
        <f t="shared" si="1104"/>
        <v>1</v>
      </c>
      <c r="N552" s="62">
        <f t="shared" si="1104"/>
        <v>1</v>
      </c>
      <c r="O552" s="62">
        <f t="shared" si="1104"/>
        <v>1</v>
      </c>
      <c r="P552" s="62" t="str">
        <f t="shared" si="1104"/>
        <v/>
      </c>
      <c r="Q552" s="62" t="str">
        <f t="shared" si="1104"/>
        <v/>
      </c>
      <c r="R552" s="62">
        <f t="shared" si="7"/>
        <v>0</v>
      </c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</row>
    <row r="553" hidden="1">
      <c r="A553" s="60">
        <f>IFERROR(__xludf.DUMMYFUNCTION("""COMPUTED_VALUE"""),12976.0)</f>
        <v>12976</v>
      </c>
      <c r="B553" s="60" t="str">
        <f>IFERROR(__xludf.DUMMYFUNCTION("""COMPUTED_VALUE"""),"Hamilton, Antonio")</f>
        <v>Hamilton, Antonio</v>
      </c>
      <c r="C553" s="60" t="str">
        <f>IFERROR(__xludf.DUMMYFUNCTION("""COMPUTED_VALUE"""),"CB")</f>
        <v>CB</v>
      </c>
      <c r="D553" s="60" t="str">
        <f>IFERROR(__xludf.DUMMYFUNCTION("""COMPUTED_VALUE"""),"FA")</f>
        <v>FA</v>
      </c>
      <c r="E553" s="62" t="str">
        <f t="shared" si="4"/>
        <v>Antonio Hamilton</v>
      </c>
      <c r="F553" s="62">
        <f t="shared" ref="F553:G553" si="1105">IF(isblank(F$1),,IF(isblank($A553),,IFERROR(vlookup($A553,indirect("'TVC-"&amp;text(month(F$1),"00")&amp;"'!$A:$D"),4,false),1)))</f>
        <v>1</v>
      </c>
      <c r="G553" s="62">
        <f t="shared" si="1105"/>
        <v>1</v>
      </c>
      <c r="H553" s="62">
        <f t="shared" ref="H553:Q553" si="1106">IF(isblank(H$1),,IFERROR(vlookup($A553,indirect("'TVC-"&amp;text(month(H$1),"00")&amp;"'!$A:$D"),4,false),1))</f>
        <v>1</v>
      </c>
      <c r="I553" s="62">
        <f t="shared" si="1106"/>
        <v>1</v>
      </c>
      <c r="J553" s="62">
        <f t="shared" si="1106"/>
        <v>1</v>
      </c>
      <c r="K553" s="62">
        <f t="shared" si="1106"/>
        <v>1</v>
      </c>
      <c r="L553" s="62">
        <f t="shared" si="1106"/>
        <v>1</v>
      </c>
      <c r="M553" s="62">
        <f t="shared" si="1106"/>
        <v>1</v>
      </c>
      <c r="N553" s="62">
        <f t="shared" si="1106"/>
        <v>1</v>
      </c>
      <c r="O553" s="62">
        <f t="shared" si="1106"/>
        <v>1</v>
      </c>
      <c r="P553" s="62" t="str">
        <f t="shared" si="1106"/>
        <v/>
      </c>
      <c r="Q553" s="62" t="str">
        <f t="shared" si="1106"/>
        <v/>
      </c>
      <c r="R553" s="62">
        <f t="shared" si="7"/>
        <v>0</v>
      </c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</row>
    <row r="554" hidden="1">
      <c r="A554" s="60">
        <f>IFERROR(__xludf.DUMMYFUNCTION("""COMPUTED_VALUE"""),12978.0)</f>
        <v>12978</v>
      </c>
      <c r="B554" s="60" t="str">
        <f>IFERROR(__xludf.DUMMYFUNCTION("""COMPUTED_VALUE"""),"Goodwin, C.J.")</f>
        <v>Goodwin, C.J.</v>
      </c>
      <c r="C554" s="60" t="str">
        <f>IFERROR(__xludf.DUMMYFUNCTION("""COMPUTED_VALUE"""),"CB")</f>
        <v>CB</v>
      </c>
      <c r="D554" s="60" t="str">
        <f>IFERROR(__xludf.DUMMYFUNCTION("""COMPUTED_VALUE"""),"FA")</f>
        <v>FA</v>
      </c>
      <c r="E554" s="62" t="str">
        <f t="shared" si="4"/>
        <v>C.J. Goodwin</v>
      </c>
      <c r="F554" s="62">
        <f t="shared" ref="F554:G554" si="1107">IF(isblank(F$1),,IF(isblank($A554),,IFERROR(vlookup($A554,indirect("'TVC-"&amp;text(month(F$1),"00")&amp;"'!$A:$D"),4,false),1)))</f>
        <v>1</v>
      </c>
      <c r="G554" s="62">
        <f t="shared" si="1107"/>
        <v>1</v>
      </c>
      <c r="H554" s="62">
        <f t="shared" ref="H554:Q554" si="1108">IF(isblank(H$1),,IFERROR(vlookup($A554,indirect("'TVC-"&amp;text(month(H$1),"00")&amp;"'!$A:$D"),4,false),1))</f>
        <v>1</v>
      </c>
      <c r="I554" s="62">
        <f t="shared" si="1108"/>
        <v>1</v>
      </c>
      <c r="J554" s="62">
        <f t="shared" si="1108"/>
        <v>1</v>
      </c>
      <c r="K554" s="62">
        <f t="shared" si="1108"/>
        <v>1</v>
      </c>
      <c r="L554" s="62">
        <f t="shared" si="1108"/>
        <v>1</v>
      </c>
      <c r="M554" s="62">
        <f t="shared" si="1108"/>
        <v>1</v>
      </c>
      <c r="N554" s="62">
        <f t="shared" si="1108"/>
        <v>1</v>
      </c>
      <c r="O554" s="62">
        <f t="shared" si="1108"/>
        <v>1</v>
      </c>
      <c r="P554" s="62" t="str">
        <f t="shared" si="1108"/>
        <v/>
      </c>
      <c r="Q554" s="62" t="str">
        <f t="shared" si="1108"/>
        <v/>
      </c>
      <c r="R554" s="62">
        <f t="shared" si="7"/>
        <v>0</v>
      </c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</row>
    <row r="555" hidden="1">
      <c r="A555" s="60">
        <f>IFERROR(__xludf.DUMMYFUNCTION("""COMPUTED_VALUE"""),12988.0)</f>
        <v>12988</v>
      </c>
      <c r="B555" s="60" t="str">
        <f>IFERROR(__xludf.DUMMYFUNCTION("""COMPUTED_VALUE"""),"Jones, Jonathan")</f>
        <v>Jones, Jonathan</v>
      </c>
      <c r="C555" s="60" t="str">
        <f>IFERROR(__xludf.DUMMYFUNCTION("""COMPUTED_VALUE"""),"CB")</f>
        <v>CB</v>
      </c>
      <c r="D555" s="60" t="str">
        <f>IFERROR(__xludf.DUMMYFUNCTION("""COMPUTED_VALUE"""),"PHI")</f>
        <v>PHI</v>
      </c>
      <c r="E555" s="62" t="str">
        <f t="shared" si="4"/>
        <v>Jonathan Jones</v>
      </c>
      <c r="F555" s="62">
        <f t="shared" ref="F555:G555" si="1109">IF(isblank(F$1),,IF(isblank($A555),,IFERROR(vlookup($A555,indirect("'TVC-"&amp;text(month(F$1),"00")&amp;"'!$A:$D"),4,false),1)))</f>
        <v>1</v>
      </c>
      <c r="G555" s="62">
        <f t="shared" si="1109"/>
        <v>1</v>
      </c>
      <c r="H555" s="62">
        <f t="shared" ref="H555:Q555" si="1110">IF(isblank(H$1),,IFERROR(vlookup($A555,indirect("'TVC-"&amp;text(month(H$1),"00")&amp;"'!$A:$D"),4,false),1))</f>
        <v>1</v>
      </c>
      <c r="I555" s="62">
        <f t="shared" si="1110"/>
        <v>1</v>
      </c>
      <c r="J555" s="62">
        <f t="shared" si="1110"/>
        <v>1</v>
      </c>
      <c r="K555" s="62">
        <f t="shared" si="1110"/>
        <v>1</v>
      </c>
      <c r="L555" s="62">
        <f t="shared" si="1110"/>
        <v>1</v>
      </c>
      <c r="M555" s="62">
        <f t="shared" si="1110"/>
        <v>1</v>
      </c>
      <c r="N555" s="62">
        <f t="shared" si="1110"/>
        <v>1</v>
      </c>
      <c r="O555" s="62">
        <f t="shared" si="1110"/>
        <v>1</v>
      </c>
      <c r="P555" s="62" t="str">
        <f t="shared" si="1110"/>
        <v/>
      </c>
      <c r="Q555" s="62" t="str">
        <f t="shared" si="1110"/>
        <v/>
      </c>
      <c r="R555" s="62">
        <f t="shared" si="7"/>
        <v>0</v>
      </c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</row>
    <row r="556" hidden="1">
      <c r="A556" s="60">
        <f>IFERROR(__xludf.DUMMYFUNCTION("""COMPUTED_VALUE"""),13066.0)</f>
        <v>13066</v>
      </c>
      <c r="B556" s="60" t="str">
        <f>IFERROR(__xludf.DUMMYFUNCTION("""COMPUTED_VALUE"""),"Raymond, Kalif")</f>
        <v>Raymond, Kalif</v>
      </c>
      <c r="C556" s="60" t="str">
        <f>IFERROR(__xludf.DUMMYFUNCTION("""COMPUTED_VALUE"""),"WR")</f>
        <v>WR</v>
      </c>
      <c r="D556" s="60" t="str">
        <f>IFERROR(__xludf.DUMMYFUNCTION("""COMPUTED_VALUE"""),"CHI")</f>
        <v>CHI</v>
      </c>
      <c r="E556" s="62" t="str">
        <f t="shared" si="4"/>
        <v>Kalif Raymond</v>
      </c>
      <c r="F556" s="62">
        <f t="shared" ref="F556:G556" si="1111">IF(isblank(F$1),,IF(isblank($A556),,IFERROR(vlookup($A556,indirect("'TVC-"&amp;text(month(F$1),"00")&amp;"'!$A:$D"),4,false),1)))</f>
        <v>560</v>
      </c>
      <c r="G556" s="62">
        <f t="shared" si="1111"/>
        <v>1</v>
      </c>
      <c r="H556" s="62">
        <f t="shared" ref="H556:Q556" si="1112">IF(isblank(H$1),,IFERROR(vlookup($A556,indirect("'TVC-"&amp;text(month(H$1),"00")&amp;"'!$A:$D"),4,false),1))</f>
        <v>1</v>
      </c>
      <c r="I556" s="62">
        <f t="shared" si="1112"/>
        <v>1</v>
      </c>
      <c r="J556" s="62">
        <f t="shared" si="1112"/>
        <v>1</v>
      </c>
      <c r="K556" s="62">
        <f t="shared" si="1112"/>
        <v>502</v>
      </c>
      <c r="L556" s="62">
        <f t="shared" si="1112"/>
        <v>1</v>
      </c>
      <c r="M556" s="62">
        <f t="shared" si="1112"/>
        <v>1</v>
      </c>
      <c r="N556" s="62">
        <f t="shared" si="1112"/>
        <v>1</v>
      </c>
      <c r="O556" s="62">
        <f t="shared" si="1112"/>
        <v>1</v>
      </c>
      <c r="P556" s="62" t="str">
        <f t="shared" si="1112"/>
        <v/>
      </c>
      <c r="Q556" s="62" t="str">
        <f t="shared" si="1112"/>
        <v/>
      </c>
      <c r="R556" s="62">
        <f t="shared" si="7"/>
        <v>0</v>
      </c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</row>
    <row r="557" hidden="1">
      <c r="A557" s="60">
        <f>IFERROR(__xludf.DUMMYFUNCTION("""COMPUTED_VALUE"""),13085.0)</f>
        <v>13085</v>
      </c>
      <c r="B557" s="60" t="str">
        <f>IFERROR(__xludf.DUMMYFUNCTION("""COMPUTED_VALUE"""),"Fox, Morgan")</f>
        <v>Fox, Morgan</v>
      </c>
      <c r="C557" s="60" t="str">
        <f>IFERROR(__xludf.DUMMYFUNCTION("""COMPUTED_VALUE"""),"DT")</f>
        <v>DT</v>
      </c>
      <c r="D557" s="60" t="str">
        <f>IFERROR(__xludf.DUMMYFUNCTION("""COMPUTED_VALUE"""),"BUF")</f>
        <v>BUF</v>
      </c>
      <c r="E557" s="62" t="str">
        <f t="shared" si="4"/>
        <v>Morgan Fox</v>
      </c>
      <c r="F557" s="62">
        <f t="shared" ref="F557:G557" si="1113">IF(isblank(F$1),,IF(isblank($A557),,IFERROR(vlookup($A557,indirect("'TVC-"&amp;text(month(F$1),"00")&amp;"'!$A:$D"),4,false),1)))</f>
        <v>1</v>
      </c>
      <c r="G557" s="62">
        <f t="shared" si="1113"/>
        <v>1</v>
      </c>
      <c r="H557" s="62">
        <f t="shared" ref="H557:Q557" si="1114">IF(isblank(H$1),,IFERROR(vlookup($A557,indirect("'TVC-"&amp;text(month(H$1),"00")&amp;"'!$A:$D"),4,false),1))</f>
        <v>1</v>
      </c>
      <c r="I557" s="62">
        <f t="shared" si="1114"/>
        <v>1</v>
      </c>
      <c r="J557" s="62">
        <f t="shared" si="1114"/>
        <v>1</v>
      </c>
      <c r="K557" s="62">
        <f t="shared" si="1114"/>
        <v>1</v>
      </c>
      <c r="L557" s="62">
        <f t="shared" si="1114"/>
        <v>1</v>
      </c>
      <c r="M557" s="62">
        <f t="shared" si="1114"/>
        <v>1</v>
      </c>
      <c r="N557" s="62">
        <f t="shared" si="1114"/>
        <v>1</v>
      </c>
      <c r="O557" s="62">
        <f t="shared" si="1114"/>
        <v>1</v>
      </c>
      <c r="P557" s="62" t="str">
        <f t="shared" si="1114"/>
        <v/>
      </c>
      <c r="Q557" s="62" t="str">
        <f t="shared" si="1114"/>
        <v/>
      </c>
      <c r="R557" s="62">
        <f t="shared" si="7"/>
        <v>0</v>
      </c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</row>
    <row r="558">
      <c r="A558" s="60">
        <f>IFERROR(__xludf.DUMMYFUNCTION("""COMPUTED_VALUE"""),13111.0)</f>
        <v>13111</v>
      </c>
      <c r="B558" s="60" t="str">
        <f>IFERROR(__xludf.DUMMYFUNCTION("""COMPUTED_VALUE"""),"McVay, Sean")</f>
        <v>McVay, Sean</v>
      </c>
      <c r="C558" s="60" t="str">
        <f>IFERROR(__xludf.DUMMYFUNCTION("""COMPUTED_VALUE"""),"Coach")</f>
        <v>Coach</v>
      </c>
      <c r="D558" s="60" t="str">
        <f>IFERROR(__xludf.DUMMYFUNCTION("""COMPUTED_VALUE"""),"LAR")</f>
        <v>LAR</v>
      </c>
      <c r="E558" s="62" t="str">
        <f t="shared" si="4"/>
        <v>Sean McVay</v>
      </c>
      <c r="F558" s="62">
        <f t="shared" ref="F558:G558" si="1115">IF(isblank(F$1),,IF(isblank($A558),,IFERROR(vlookup($A558,indirect("'TVC-"&amp;text(month(F$1),"00")&amp;"'!$A:$D"),4,false),1)))</f>
        <v>1</v>
      </c>
      <c r="G558" s="62">
        <f t="shared" si="1115"/>
        <v>1</v>
      </c>
      <c r="H558" s="62">
        <f t="shared" ref="H558:Q558" si="1116">IF(isblank(H$1),,IFERROR(vlookup($A558,indirect("'TVC-"&amp;text(month(H$1),"00")&amp;"'!$A:$D"),4,false),1))</f>
        <v>1</v>
      </c>
      <c r="I558" s="62">
        <f t="shared" si="1116"/>
        <v>1</v>
      </c>
      <c r="J558" s="62">
        <f t="shared" si="1116"/>
        <v>1</v>
      </c>
      <c r="K558" s="62">
        <f t="shared" si="1116"/>
        <v>1</v>
      </c>
      <c r="L558" s="62">
        <f t="shared" si="1116"/>
        <v>1</v>
      </c>
      <c r="M558" s="62">
        <f t="shared" si="1116"/>
        <v>1</v>
      </c>
      <c r="N558" s="62">
        <f t="shared" si="1116"/>
        <v>1</v>
      </c>
      <c r="O558" s="62">
        <f t="shared" si="1116"/>
        <v>1</v>
      </c>
      <c r="P558" s="62" t="str">
        <f t="shared" si="1116"/>
        <v/>
      </c>
      <c r="Q558" s="62" t="str">
        <f t="shared" si="1116"/>
        <v/>
      </c>
      <c r="R558" s="62">
        <f t="shared" si="7"/>
        <v>0</v>
      </c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</row>
    <row r="559" hidden="1">
      <c r="A559" s="60">
        <f>IFERROR(__xludf.DUMMYFUNCTION("""COMPUTED_VALUE"""),13113.0)</f>
        <v>13113</v>
      </c>
      <c r="B559" s="60" t="str">
        <f>IFERROR(__xludf.DUMMYFUNCTION("""COMPUTED_VALUE"""),"Watson, Deshaun")</f>
        <v>Watson, Deshaun</v>
      </c>
      <c r="C559" s="60" t="str">
        <f>IFERROR(__xludf.DUMMYFUNCTION("""COMPUTED_VALUE"""),"QB")</f>
        <v>QB</v>
      </c>
      <c r="D559" s="60" t="str">
        <f>IFERROR(__xludf.DUMMYFUNCTION("""COMPUTED_VALUE"""),"CLE")</f>
        <v>CLE</v>
      </c>
      <c r="E559" s="62" t="str">
        <f t="shared" si="4"/>
        <v>Deshaun Watson</v>
      </c>
      <c r="F559" s="62">
        <f t="shared" ref="F559:G559" si="1117">IF(isblank(F$1),,IF(isblank($A559),,IFERROR(vlookup($A559,indirect("'TVC-"&amp;text(month(F$1),"00")&amp;"'!$A:$D"),4,false),1)))</f>
        <v>1</v>
      </c>
      <c r="G559" s="62">
        <f t="shared" si="1117"/>
        <v>1</v>
      </c>
      <c r="H559" s="62">
        <f t="shared" ref="H559:Q559" si="1118">IF(isblank(H$1),,IFERROR(vlookup($A559,indirect("'TVC-"&amp;text(month(H$1),"00")&amp;"'!$A:$D"),4,false),1))</f>
        <v>1</v>
      </c>
      <c r="I559" s="62">
        <f t="shared" si="1118"/>
        <v>873</v>
      </c>
      <c r="J559" s="62">
        <f t="shared" si="1118"/>
        <v>1895</v>
      </c>
      <c r="K559" s="62">
        <f t="shared" si="1118"/>
        <v>2134</v>
      </c>
      <c r="L559" s="62">
        <f t="shared" si="1118"/>
        <v>2165</v>
      </c>
      <c r="M559" s="62">
        <f t="shared" si="1118"/>
        <v>2009</v>
      </c>
      <c r="N559" s="62">
        <f t="shared" si="1118"/>
        <v>1822</v>
      </c>
      <c r="O559" s="62">
        <f t="shared" si="1118"/>
        <v>1</v>
      </c>
      <c r="P559" s="62" t="str">
        <f t="shared" si="1118"/>
        <v/>
      </c>
      <c r="Q559" s="62" t="str">
        <f t="shared" si="1118"/>
        <v/>
      </c>
      <c r="R559" s="62">
        <f t="shared" si="7"/>
        <v>-1821</v>
      </c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</row>
    <row r="560">
      <c r="A560" s="60">
        <f>IFERROR(__xludf.DUMMYFUNCTION("""COMPUTED_VALUE"""),13115.0)</f>
        <v>13115</v>
      </c>
      <c r="B560" s="60" t="str">
        <f>IFERROR(__xludf.DUMMYFUNCTION("""COMPUTED_VALUE"""),"Trubisky, Mitchell")</f>
        <v>Trubisky, Mitchell</v>
      </c>
      <c r="C560" s="60" t="str">
        <f>IFERROR(__xludf.DUMMYFUNCTION("""COMPUTED_VALUE"""),"QB")</f>
        <v>QB</v>
      </c>
      <c r="D560" s="60" t="str">
        <f>IFERROR(__xludf.DUMMYFUNCTION("""COMPUTED_VALUE"""),"TEN")</f>
        <v>TEN</v>
      </c>
      <c r="E560" s="62" t="str">
        <f t="shared" si="4"/>
        <v>Mitchell Trubisky</v>
      </c>
      <c r="F560" s="62">
        <f t="shared" ref="F560:G560" si="1119">IF(isblank(F$1),,IF(isblank($A560),,IFERROR(vlookup($A560,indirect("'TVC-"&amp;text(month(F$1),"00")&amp;"'!$A:$D"),4,false),1)))</f>
        <v>360</v>
      </c>
      <c r="G560" s="62">
        <f t="shared" si="1119"/>
        <v>1</v>
      </c>
      <c r="H560" s="62">
        <f t="shared" ref="H560:Q560" si="1120">IF(isblank(H$1),,IFERROR(vlookup($A560,indirect("'TVC-"&amp;text(month(H$1),"00")&amp;"'!$A:$D"),4,false),1))</f>
        <v>1</v>
      </c>
      <c r="I560" s="62">
        <f t="shared" si="1120"/>
        <v>1</v>
      </c>
      <c r="J560" s="62">
        <f t="shared" si="1120"/>
        <v>1</v>
      </c>
      <c r="K560" s="62">
        <f t="shared" si="1120"/>
        <v>1</v>
      </c>
      <c r="L560" s="62">
        <f t="shared" si="1120"/>
        <v>1</v>
      </c>
      <c r="M560" s="62">
        <f t="shared" si="1120"/>
        <v>1</v>
      </c>
      <c r="N560" s="62">
        <f t="shared" si="1120"/>
        <v>1</v>
      </c>
      <c r="O560" s="62">
        <f t="shared" si="1120"/>
        <v>1</v>
      </c>
      <c r="P560" s="62" t="str">
        <f t="shared" si="1120"/>
        <v/>
      </c>
      <c r="Q560" s="62" t="str">
        <f t="shared" si="1120"/>
        <v/>
      </c>
      <c r="R560" s="62">
        <f t="shared" si="7"/>
        <v>0</v>
      </c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</row>
    <row r="561" hidden="1">
      <c r="A561" s="60">
        <f>IFERROR(__xludf.DUMMYFUNCTION("""COMPUTED_VALUE"""),13116.0)</f>
        <v>13116</v>
      </c>
      <c r="B561" s="60" t="str">
        <f>IFERROR(__xludf.DUMMYFUNCTION("""COMPUTED_VALUE"""),"Mahomes, Patrick")</f>
        <v>Mahomes, Patrick</v>
      </c>
      <c r="C561" s="60" t="str">
        <f>IFERROR(__xludf.DUMMYFUNCTION("""COMPUTED_VALUE"""),"QB")</f>
        <v>QB</v>
      </c>
      <c r="D561" s="60" t="str">
        <f>IFERROR(__xludf.DUMMYFUNCTION("""COMPUTED_VALUE"""),"KCC")</f>
        <v>KCC</v>
      </c>
      <c r="E561" s="62" t="str">
        <f t="shared" si="4"/>
        <v>Patrick Mahomes</v>
      </c>
      <c r="F561" s="62">
        <f t="shared" ref="F561:G561" si="1121">IF(isblank(F$1),,IF(isblank($A561),,IFERROR(vlookup($A561,indirect("'TVC-"&amp;text(month(F$1),"00")&amp;"'!$A:$D"),4,false),1)))</f>
        <v>6727</v>
      </c>
      <c r="G561" s="62">
        <f t="shared" si="1121"/>
        <v>6608</v>
      </c>
      <c r="H561" s="62">
        <f t="shared" ref="H561:Q561" si="1122">IF(isblank(H$1),,IFERROR(vlookup($A561,indirect("'TVC-"&amp;text(month(H$1),"00")&amp;"'!$A:$D"),4,false),1))</f>
        <v>6579</v>
      </c>
      <c r="I561" s="62">
        <f t="shared" si="1122"/>
        <v>6801</v>
      </c>
      <c r="J561" s="62">
        <f t="shared" si="1122"/>
        <v>6837</v>
      </c>
      <c r="K561" s="62">
        <f t="shared" si="1122"/>
        <v>6688</v>
      </c>
      <c r="L561" s="62">
        <f t="shared" si="1122"/>
        <v>6645</v>
      </c>
      <c r="M561" s="62">
        <f t="shared" si="1122"/>
        <v>6349</v>
      </c>
      <c r="N561" s="62">
        <f t="shared" si="1122"/>
        <v>5960</v>
      </c>
      <c r="O561" s="62">
        <f t="shared" si="1122"/>
        <v>1</v>
      </c>
      <c r="P561" s="62" t="str">
        <f t="shared" si="1122"/>
        <v/>
      </c>
      <c r="Q561" s="62" t="str">
        <f t="shared" si="1122"/>
        <v/>
      </c>
      <c r="R561" s="62">
        <f t="shared" si="7"/>
        <v>-5959</v>
      </c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</row>
    <row r="562" hidden="1">
      <c r="A562" s="60">
        <f>IFERROR(__xludf.DUMMYFUNCTION("""COMPUTED_VALUE"""),13119.0)</f>
        <v>13119</v>
      </c>
      <c r="B562" s="60" t="str">
        <f>IFERROR(__xludf.DUMMYFUNCTION("""COMPUTED_VALUE"""),"Dobbs, Joshua")</f>
        <v>Dobbs, Joshua</v>
      </c>
      <c r="C562" s="60" t="str">
        <f>IFERROR(__xludf.DUMMYFUNCTION("""COMPUTED_VALUE"""),"QB")</f>
        <v>QB</v>
      </c>
      <c r="D562" s="60" t="str">
        <f>IFERROR(__xludf.DUMMYFUNCTION("""COMPUTED_VALUE"""),"DET")</f>
        <v>DET</v>
      </c>
      <c r="E562" s="62" t="str">
        <f t="shared" si="4"/>
        <v>Joshua Dobbs</v>
      </c>
      <c r="F562" s="62">
        <f t="shared" ref="F562:G562" si="1123">IF(isblank(F$1),,IF(isblank($A562),,IFERROR(vlookup($A562,indirect("'TVC-"&amp;text(month(F$1),"00")&amp;"'!$A:$D"),4,false),1)))</f>
        <v>1</v>
      </c>
      <c r="G562" s="62">
        <f t="shared" si="1123"/>
        <v>1</v>
      </c>
      <c r="H562" s="62">
        <f t="shared" ref="H562:Q562" si="1124">IF(isblank(H$1),,IFERROR(vlookup($A562,indirect("'TVC-"&amp;text(month(H$1),"00")&amp;"'!$A:$D"),4,false),1))</f>
        <v>1</v>
      </c>
      <c r="I562" s="62">
        <f t="shared" si="1124"/>
        <v>1</v>
      </c>
      <c r="J562" s="62">
        <f t="shared" si="1124"/>
        <v>1</v>
      </c>
      <c r="K562" s="62">
        <f t="shared" si="1124"/>
        <v>1</v>
      </c>
      <c r="L562" s="62">
        <f t="shared" si="1124"/>
        <v>1</v>
      </c>
      <c r="M562" s="62">
        <f t="shared" si="1124"/>
        <v>1</v>
      </c>
      <c r="N562" s="62">
        <f t="shared" si="1124"/>
        <v>1</v>
      </c>
      <c r="O562" s="62">
        <f t="shared" si="1124"/>
        <v>1</v>
      </c>
      <c r="P562" s="62" t="str">
        <f t="shared" si="1124"/>
        <v/>
      </c>
      <c r="Q562" s="62" t="str">
        <f t="shared" si="1124"/>
        <v/>
      </c>
      <c r="R562" s="62">
        <f t="shared" si="7"/>
        <v>0</v>
      </c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</row>
    <row r="563" hidden="1">
      <c r="A563" s="60">
        <f>IFERROR(__xludf.DUMMYFUNCTION("""COMPUTED_VALUE"""),13124.0)</f>
        <v>13124</v>
      </c>
      <c r="B563" s="60" t="str">
        <f>IFERROR(__xludf.DUMMYFUNCTION("""COMPUTED_VALUE"""),"Rush, Cooper")</f>
        <v>Rush, Cooper</v>
      </c>
      <c r="C563" s="60" t="str">
        <f>IFERROR(__xludf.DUMMYFUNCTION("""COMPUTED_VALUE"""),"QB")</f>
        <v>QB</v>
      </c>
      <c r="D563" s="60" t="str">
        <f>IFERROR(__xludf.DUMMYFUNCTION("""COMPUTED_VALUE"""),"ATL")</f>
        <v>ATL</v>
      </c>
      <c r="E563" s="62" t="str">
        <f t="shared" si="4"/>
        <v>Cooper Rush</v>
      </c>
      <c r="F563" s="62">
        <f t="shared" ref="F563:G563" si="1125">IF(isblank(F$1),,IF(isblank($A563),,IFERROR(vlookup($A563,indirect("'TVC-"&amp;text(month(F$1),"00")&amp;"'!$A:$D"),4,false),1)))</f>
        <v>1</v>
      </c>
      <c r="G563" s="62">
        <f t="shared" si="1125"/>
        <v>1</v>
      </c>
      <c r="H563" s="62">
        <f t="shared" ref="H563:Q563" si="1126">IF(isblank(H$1),,IFERROR(vlookup($A563,indirect("'TVC-"&amp;text(month(H$1),"00")&amp;"'!$A:$D"),4,false),1))</f>
        <v>1</v>
      </c>
      <c r="I563" s="62">
        <f t="shared" si="1126"/>
        <v>1</v>
      </c>
      <c r="J563" s="62">
        <f t="shared" si="1126"/>
        <v>1</v>
      </c>
      <c r="K563" s="62">
        <f t="shared" si="1126"/>
        <v>1</v>
      </c>
      <c r="L563" s="62">
        <f t="shared" si="1126"/>
        <v>1</v>
      </c>
      <c r="M563" s="62">
        <f t="shared" si="1126"/>
        <v>1</v>
      </c>
      <c r="N563" s="62">
        <f t="shared" si="1126"/>
        <v>1</v>
      </c>
      <c r="O563" s="62">
        <f t="shared" si="1126"/>
        <v>1</v>
      </c>
      <c r="P563" s="62" t="str">
        <f t="shared" si="1126"/>
        <v/>
      </c>
      <c r="Q563" s="62" t="str">
        <f t="shared" si="1126"/>
        <v/>
      </c>
      <c r="R563" s="62">
        <f t="shared" si="7"/>
        <v>0</v>
      </c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</row>
    <row r="564">
      <c r="A564" s="60">
        <f>IFERROR(__xludf.DUMMYFUNCTION("""COMPUTED_VALUE"""),13128.0)</f>
        <v>13128</v>
      </c>
      <c r="B564" s="60" t="str">
        <f>IFERROR(__xludf.DUMMYFUNCTION("""COMPUTED_VALUE"""),"Cook, Dalvin")</f>
        <v>Cook, Dalvin</v>
      </c>
      <c r="C564" s="60" t="str">
        <f>IFERROR(__xludf.DUMMYFUNCTION("""COMPUTED_VALUE"""),"RB")</f>
        <v>RB</v>
      </c>
      <c r="D564" s="60" t="str">
        <f>IFERROR(__xludf.DUMMYFUNCTION("""COMPUTED_VALUE"""),"FA")</f>
        <v>FA</v>
      </c>
      <c r="E564" s="62" t="str">
        <f t="shared" si="4"/>
        <v>Dalvin Cook</v>
      </c>
      <c r="F564" s="62">
        <f t="shared" ref="F564:G564" si="1127">IF(isblank(F$1),,IF(isblank($A564),,IFERROR(vlookup($A564,indirect("'TVC-"&amp;text(month(F$1),"00")&amp;"'!$A:$D"),4,false),1)))</f>
        <v>1</v>
      </c>
      <c r="G564" s="62">
        <f t="shared" si="1127"/>
        <v>1</v>
      </c>
      <c r="H564" s="62">
        <f t="shared" ref="H564:Q564" si="1128">IF(isblank(H$1),,IFERROR(vlookup($A564,indirect("'TVC-"&amp;text(month(H$1),"00")&amp;"'!$A:$D"),4,false),1))</f>
        <v>1</v>
      </c>
      <c r="I564" s="62">
        <f t="shared" si="1128"/>
        <v>1</v>
      </c>
      <c r="J564" s="62">
        <f t="shared" si="1128"/>
        <v>1</v>
      </c>
      <c r="K564" s="62">
        <f t="shared" si="1128"/>
        <v>1</v>
      </c>
      <c r="L564" s="62">
        <f t="shared" si="1128"/>
        <v>1</v>
      </c>
      <c r="M564" s="62">
        <f t="shared" si="1128"/>
        <v>1</v>
      </c>
      <c r="N564" s="62">
        <f t="shared" si="1128"/>
        <v>1</v>
      </c>
      <c r="O564" s="62">
        <f t="shared" si="1128"/>
        <v>1</v>
      </c>
      <c r="P564" s="62" t="str">
        <f t="shared" si="1128"/>
        <v/>
      </c>
      <c r="Q564" s="62" t="str">
        <f t="shared" si="1128"/>
        <v/>
      </c>
      <c r="R564" s="62">
        <f t="shared" si="7"/>
        <v>0</v>
      </c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</row>
    <row r="565" hidden="1">
      <c r="A565" s="60">
        <f>IFERROR(__xludf.DUMMYFUNCTION("""COMPUTED_VALUE"""),13130.0)</f>
        <v>13130</v>
      </c>
      <c r="B565" s="60" t="str">
        <f>IFERROR(__xludf.DUMMYFUNCTION("""COMPUTED_VALUE"""),"McCaffrey, Christian")</f>
        <v>McCaffrey, Christian</v>
      </c>
      <c r="C565" s="60" t="str">
        <f>IFERROR(__xludf.DUMMYFUNCTION("""COMPUTED_VALUE"""),"RB")</f>
        <v>RB</v>
      </c>
      <c r="D565" s="60" t="str">
        <f>IFERROR(__xludf.DUMMYFUNCTION("""COMPUTED_VALUE"""),"SFO")</f>
        <v>SFO</v>
      </c>
      <c r="E565" s="62" t="str">
        <f t="shared" si="4"/>
        <v>Christian McCaffrey</v>
      </c>
      <c r="F565" s="62">
        <f t="shared" ref="F565:G565" si="1129">IF(isblank(F$1),,IF(isblank($A565),,IFERROR(vlookup($A565,indirect("'TVC-"&amp;text(month(F$1),"00")&amp;"'!$A:$D"),4,false),1)))</f>
        <v>5503</v>
      </c>
      <c r="G565" s="62">
        <f t="shared" si="1129"/>
        <v>5183</v>
      </c>
      <c r="H565" s="62">
        <f t="shared" ref="H565:Q565" si="1130">IF(isblank(H$1),,IFERROR(vlookup($A565,indirect("'TVC-"&amp;text(month(H$1),"00")&amp;"'!$A:$D"),4,false),1))</f>
        <v>5077</v>
      </c>
      <c r="I565" s="62">
        <f t="shared" si="1130"/>
        <v>5130</v>
      </c>
      <c r="J565" s="62">
        <f t="shared" si="1130"/>
        <v>4978</v>
      </c>
      <c r="K565" s="62">
        <f t="shared" si="1130"/>
        <v>5021</v>
      </c>
      <c r="L565" s="62">
        <f t="shared" si="1130"/>
        <v>4985</v>
      </c>
      <c r="M565" s="62">
        <f t="shared" si="1130"/>
        <v>5250</v>
      </c>
      <c r="N565" s="62">
        <f t="shared" si="1130"/>
        <v>5305</v>
      </c>
      <c r="O565" s="62">
        <f t="shared" si="1130"/>
        <v>1</v>
      </c>
      <c r="P565" s="62" t="str">
        <f t="shared" si="1130"/>
        <v/>
      </c>
      <c r="Q565" s="62" t="str">
        <f t="shared" si="1130"/>
        <v/>
      </c>
      <c r="R565" s="62">
        <f t="shared" si="7"/>
        <v>-5304</v>
      </c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</row>
    <row r="566">
      <c r="A566" s="60">
        <f>IFERROR(__xludf.DUMMYFUNCTION("""COMPUTED_VALUE"""),13131.0)</f>
        <v>13131</v>
      </c>
      <c r="B566" s="60" t="str">
        <f>IFERROR(__xludf.DUMMYFUNCTION("""COMPUTED_VALUE"""),"Mixon, Joe")</f>
        <v>Mixon, Joe</v>
      </c>
      <c r="C566" s="60" t="str">
        <f>IFERROR(__xludf.DUMMYFUNCTION("""COMPUTED_VALUE"""),"RB")</f>
        <v>RB</v>
      </c>
      <c r="D566" s="60" t="str">
        <f>IFERROR(__xludf.DUMMYFUNCTION("""COMPUTED_VALUE"""),"FA")</f>
        <v>FA</v>
      </c>
      <c r="E566" s="62" t="str">
        <f t="shared" si="4"/>
        <v>Joe Mixon</v>
      </c>
      <c r="F566" s="62">
        <f t="shared" ref="F566:G566" si="1131">IF(isblank(F$1),,IF(isblank($A566),,IFERROR(vlookup($A566,indirect("'TVC-"&amp;text(month(F$1),"00")&amp;"'!$A:$D"),4,false),1)))</f>
        <v>1579</v>
      </c>
      <c r="G566" s="62">
        <f t="shared" si="1131"/>
        <v>1635</v>
      </c>
      <c r="H566" s="62">
        <f t="shared" ref="H566:Q566" si="1132">IF(isblank(H$1),,IFERROR(vlookup($A566,indirect("'TVC-"&amp;text(month(H$1),"00")&amp;"'!$A:$D"),4,false),1))</f>
        <v>1612</v>
      </c>
      <c r="I566" s="62">
        <f t="shared" si="1132"/>
        <v>1320</v>
      </c>
      <c r="J566" s="62">
        <f t="shared" si="1132"/>
        <v>1195</v>
      </c>
      <c r="K566" s="62">
        <f t="shared" si="1132"/>
        <v>1106</v>
      </c>
      <c r="L566" s="62">
        <f t="shared" si="1132"/>
        <v>1047</v>
      </c>
      <c r="M566" s="62">
        <f t="shared" si="1132"/>
        <v>1</v>
      </c>
      <c r="N566" s="62">
        <f t="shared" si="1132"/>
        <v>1</v>
      </c>
      <c r="O566" s="62">
        <f t="shared" si="1132"/>
        <v>1</v>
      </c>
      <c r="P566" s="62" t="str">
        <f t="shared" si="1132"/>
        <v/>
      </c>
      <c r="Q566" s="62" t="str">
        <f t="shared" si="1132"/>
        <v/>
      </c>
      <c r="R566" s="62">
        <f t="shared" si="7"/>
        <v>0</v>
      </c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</row>
    <row r="567">
      <c r="A567" s="60">
        <f>IFERROR(__xludf.DUMMYFUNCTION("""COMPUTED_VALUE"""),13132.0)</f>
        <v>13132</v>
      </c>
      <c r="B567" s="60" t="str">
        <f>IFERROR(__xludf.DUMMYFUNCTION("""COMPUTED_VALUE"""),"Kamara, Alvin")</f>
        <v>Kamara, Alvin</v>
      </c>
      <c r="C567" s="60" t="str">
        <f>IFERROR(__xludf.DUMMYFUNCTION("""COMPUTED_VALUE"""),"RB")</f>
        <v>RB</v>
      </c>
      <c r="D567" s="60" t="str">
        <f>IFERROR(__xludf.DUMMYFUNCTION("""COMPUTED_VALUE"""),"NOS")</f>
        <v>NOS</v>
      </c>
      <c r="E567" s="62" t="str">
        <f t="shared" si="4"/>
        <v>Alvin Kamara</v>
      </c>
      <c r="F567" s="62">
        <f t="shared" ref="F567:G567" si="1133">IF(isblank(F$1),,IF(isblank($A567),,IFERROR(vlookup($A567,indirect("'TVC-"&amp;text(month(F$1),"00")&amp;"'!$A:$D"),4,false),1)))</f>
        <v>2314</v>
      </c>
      <c r="G567" s="62">
        <f t="shared" si="1133"/>
        <v>2346</v>
      </c>
      <c r="H567" s="62">
        <f t="shared" ref="H567:Q567" si="1134">IF(isblank(H$1),,IFERROR(vlookup($A567,indirect("'TVC-"&amp;text(month(H$1),"00")&amp;"'!$A:$D"),4,false),1))</f>
        <v>2357</v>
      </c>
      <c r="I567" s="62">
        <f t="shared" si="1134"/>
        <v>2128</v>
      </c>
      <c r="J567" s="62">
        <f t="shared" si="1134"/>
        <v>2045</v>
      </c>
      <c r="K567" s="62">
        <f t="shared" si="1134"/>
        <v>2079</v>
      </c>
      <c r="L567" s="62">
        <f t="shared" si="1134"/>
        <v>2045</v>
      </c>
      <c r="M567" s="62">
        <f t="shared" si="1134"/>
        <v>2037</v>
      </c>
      <c r="N567" s="62">
        <f t="shared" si="1134"/>
        <v>1920</v>
      </c>
      <c r="O567" s="62">
        <f t="shared" si="1134"/>
        <v>1</v>
      </c>
      <c r="P567" s="62" t="str">
        <f t="shared" si="1134"/>
        <v/>
      </c>
      <c r="Q567" s="62" t="str">
        <f t="shared" si="1134"/>
        <v/>
      </c>
      <c r="R567" s="62">
        <f t="shared" si="7"/>
        <v>-1919</v>
      </c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</row>
    <row r="568" hidden="1">
      <c r="A568" s="60">
        <f>IFERROR(__xludf.DUMMYFUNCTION("""COMPUTED_VALUE"""),13133.0)</f>
        <v>13133</v>
      </c>
      <c r="B568" s="60" t="str">
        <f>IFERROR(__xludf.DUMMYFUNCTION("""COMPUTED_VALUE"""),"Perine, Samaje")</f>
        <v>Perine, Samaje</v>
      </c>
      <c r="C568" s="60" t="str">
        <f>IFERROR(__xludf.DUMMYFUNCTION("""COMPUTED_VALUE"""),"RB")</f>
        <v>RB</v>
      </c>
      <c r="D568" s="60" t="str">
        <f>IFERROR(__xludf.DUMMYFUNCTION("""COMPUTED_VALUE"""),"CIN")</f>
        <v>CIN</v>
      </c>
      <c r="E568" s="62" t="str">
        <f t="shared" si="4"/>
        <v>Samaje Perine</v>
      </c>
      <c r="F568" s="62">
        <f t="shared" ref="F568:G568" si="1135">IF(isblank(F$1),,IF(isblank($A568),,IFERROR(vlookup($A568,indirect("'TVC-"&amp;text(month(F$1),"00")&amp;"'!$A:$D"),4,false),1)))</f>
        <v>986</v>
      </c>
      <c r="G568" s="62">
        <f t="shared" si="1135"/>
        <v>937</v>
      </c>
      <c r="H568" s="62">
        <f t="shared" ref="H568:Q568" si="1136">IF(isblank(H$1),,IFERROR(vlookup($A568,indirect("'TVC-"&amp;text(month(H$1),"00")&amp;"'!$A:$D"),4,false),1))</f>
        <v>932</v>
      </c>
      <c r="I568" s="62">
        <f t="shared" si="1136"/>
        <v>926</v>
      </c>
      <c r="J568" s="62">
        <f t="shared" si="1136"/>
        <v>860</v>
      </c>
      <c r="K568" s="62">
        <f t="shared" si="1136"/>
        <v>606</v>
      </c>
      <c r="L568" s="62">
        <f t="shared" si="1136"/>
        <v>599</v>
      </c>
      <c r="M568" s="62">
        <f t="shared" si="1136"/>
        <v>783</v>
      </c>
      <c r="N568" s="62">
        <f t="shared" si="1136"/>
        <v>820</v>
      </c>
      <c r="O568" s="62">
        <f t="shared" si="1136"/>
        <v>1</v>
      </c>
      <c r="P568" s="62" t="str">
        <f t="shared" si="1136"/>
        <v/>
      </c>
      <c r="Q568" s="62" t="str">
        <f t="shared" si="1136"/>
        <v/>
      </c>
      <c r="R568" s="62">
        <f t="shared" si="7"/>
        <v>-819</v>
      </c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</row>
    <row r="569" hidden="1">
      <c r="A569" s="60">
        <f>IFERROR(__xludf.DUMMYFUNCTION("""COMPUTED_VALUE"""),13134.0)</f>
        <v>13134</v>
      </c>
      <c r="B569" s="60" t="str">
        <f>IFERROR(__xludf.DUMMYFUNCTION("""COMPUTED_VALUE"""),"Foreman, D'Onta")</f>
        <v>Foreman, D'Onta</v>
      </c>
      <c r="C569" s="60" t="str">
        <f>IFERROR(__xludf.DUMMYFUNCTION("""COMPUTED_VALUE"""),"RB")</f>
        <v>RB</v>
      </c>
      <c r="D569" s="60" t="str">
        <f>IFERROR(__xludf.DUMMYFUNCTION("""COMPUTED_VALUE"""),"FA")</f>
        <v>FA</v>
      </c>
      <c r="E569" s="62" t="str">
        <f t="shared" si="4"/>
        <v>D'Onta Foreman</v>
      </c>
      <c r="F569" s="62">
        <f t="shared" ref="F569:G569" si="1137">IF(isblank(F$1),,IF(isblank($A569),,IFERROR(vlookup($A569,indirect("'TVC-"&amp;text(month(F$1),"00")&amp;"'!$A:$D"),4,false),1)))</f>
        <v>1</v>
      </c>
      <c r="G569" s="62">
        <f t="shared" si="1137"/>
        <v>1</v>
      </c>
      <c r="H569" s="62">
        <f t="shared" ref="H569:Q569" si="1138">IF(isblank(H$1),,IFERROR(vlookup($A569,indirect("'TVC-"&amp;text(month(H$1),"00")&amp;"'!$A:$D"),4,false),1))</f>
        <v>1</v>
      </c>
      <c r="I569" s="62">
        <f t="shared" si="1138"/>
        <v>1</v>
      </c>
      <c r="J569" s="62">
        <f t="shared" si="1138"/>
        <v>1</v>
      </c>
      <c r="K569" s="62">
        <f t="shared" si="1138"/>
        <v>1</v>
      </c>
      <c r="L569" s="62">
        <f t="shared" si="1138"/>
        <v>1</v>
      </c>
      <c r="M569" s="62">
        <f t="shared" si="1138"/>
        <v>1</v>
      </c>
      <c r="N569" s="62">
        <f t="shared" si="1138"/>
        <v>1</v>
      </c>
      <c r="O569" s="62">
        <f t="shared" si="1138"/>
        <v>1</v>
      </c>
      <c r="P569" s="62" t="str">
        <f t="shared" si="1138"/>
        <v/>
      </c>
      <c r="Q569" s="62" t="str">
        <f t="shared" si="1138"/>
        <v/>
      </c>
      <c r="R569" s="62">
        <f t="shared" si="7"/>
        <v>0</v>
      </c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</row>
    <row r="570" hidden="1">
      <c r="A570" s="60">
        <f>IFERROR(__xludf.DUMMYFUNCTION("""COMPUTED_VALUE"""),13138.0)</f>
        <v>13138</v>
      </c>
      <c r="B570" s="60" t="str">
        <f>IFERROR(__xludf.DUMMYFUNCTION("""COMPUTED_VALUE"""),"Hunt, Kareem")</f>
        <v>Hunt, Kareem</v>
      </c>
      <c r="C570" s="60" t="str">
        <f>IFERROR(__xludf.DUMMYFUNCTION("""COMPUTED_VALUE"""),"RB")</f>
        <v>RB</v>
      </c>
      <c r="D570" s="60" t="str">
        <f>IFERROR(__xludf.DUMMYFUNCTION("""COMPUTED_VALUE"""),"FA")</f>
        <v>FA</v>
      </c>
      <c r="E570" s="62" t="str">
        <f t="shared" si="4"/>
        <v>Kareem Hunt</v>
      </c>
      <c r="F570" s="62">
        <f t="shared" ref="F570:G570" si="1139">IF(isblank(F$1),,IF(isblank($A570),,IFERROR(vlookup($A570,indirect("'TVC-"&amp;text(month(F$1),"00")&amp;"'!$A:$D"),4,false),1)))</f>
        <v>1613</v>
      </c>
      <c r="G570" s="62">
        <f t="shared" si="1139"/>
        <v>1405</v>
      </c>
      <c r="H570" s="62">
        <f t="shared" ref="H570:Q570" si="1140">IF(isblank(H$1),,IFERROR(vlookup($A570,indirect("'TVC-"&amp;text(month(H$1),"00")&amp;"'!$A:$D"),4,false),1))</f>
        <v>1400</v>
      </c>
      <c r="I570" s="62">
        <f t="shared" si="1140"/>
        <v>1140</v>
      </c>
      <c r="J570" s="62">
        <f t="shared" si="1140"/>
        <v>1039</v>
      </c>
      <c r="K570" s="62">
        <f t="shared" si="1140"/>
        <v>862</v>
      </c>
      <c r="L570" s="62">
        <f t="shared" si="1140"/>
        <v>597</v>
      </c>
      <c r="M570" s="62">
        <f t="shared" si="1140"/>
        <v>1</v>
      </c>
      <c r="N570" s="62">
        <f t="shared" si="1140"/>
        <v>1</v>
      </c>
      <c r="O570" s="62">
        <f t="shared" si="1140"/>
        <v>1</v>
      </c>
      <c r="P570" s="62" t="str">
        <f t="shared" si="1140"/>
        <v/>
      </c>
      <c r="Q570" s="62" t="str">
        <f t="shared" si="1140"/>
        <v/>
      </c>
      <c r="R570" s="62">
        <f t="shared" si="7"/>
        <v>0</v>
      </c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</row>
    <row r="571">
      <c r="A571" s="60">
        <f>IFERROR(__xludf.DUMMYFUNCTION("""COMPUTED_VALUE"""),13139.0)</f>
        <v>13139</v>
      </c>
      <c r="B571" s="60" t="str">
        <f>IFERROR(__xludf.DUMMYFUNCTION("""COMPUTED_VALUE"""),"Williams, Jamaal")</f>
        <v>Williams, Jamaal</v>
      </c>
      <c r="C571" s="60" t="str">
        <f>IFERROR(__xludf.DUMMYFUNCTION("""COMPUTED_VALUE"""),"RB")</f>
        <v>RB</v>
      </c>
      <c r="D571" s="60" t="str">
        <f>IFERROR(__xludf.DUMMYFUNCTION("""COMPUTED_VALUE"""),"FA")</f>
        <v>FA</v>
      </c>
      <c r="E571" s="62" t="str">
        <f t="shared" si="4"/>
        <v>Jamaal Williams</v>
      </c>
      <c r="F571" s="62">
        <f t="shared" ref="F571:G571" si="1141">IF(isblank(F$1),,IF(isblank($A571),,IFERROR(vlookup($A571,indirect("'TVC-"&amp;text(month(F$1),"00")&amp;"'!$A:$D"),4,false),1)))</f>
        <v>1</v>
      </c>
      <c r="G571" s="62">
        <f t="shared" si="1141"/>
        <v>1</v>
      </c>
      <c r="H571" s="62">
        <f t="shared" ref="H571:Q571" si="1142">IF(isblank(H$1),,IFERROR(vlookup($A571,indirect("'TVC-"&amp;text(month(H$1),"00")&amp;"'!$A:$D"),4,false),1))</f>
        <v>1</v>
      </c>
      <c r="I571" s="62">
        <f t="shared" si="1142"/>
        <v>1</v>
      </c>
      <c r="J571" s="62">
        <f t="shared" si="1142"/>
        <v>1</v>
      </c>
      <c r="K571" s="62">
        <f t="shared" si="1142"/>
        <v>1</v>
      </c>
      <c r="L571" s="62">
        <f t="shared" si="1142"/>
        <v>1</v>
      </c>
      <c r="M571" s="62">
        <f t="shared" si="1142"/>
        <v>1</v>
      </c>
      <c r="N571" s="62">
        <f t="shared" si="1142"/>
        <v>1</v>
      </c>
      <c r="O571" s="62">
        <f t="shared" si="1142"/>
        <v>1</v>
      </c>
      <c r="P571" s="62" t="str">
        <f t="shared" si="1142"/>
        <v/>
      </c>
      <c r="Q571" s="62" t="str">
        <f t="shared" si="1142"/>
        <v/>
      </c>
      <c r="R571" s="62">
        <f t="shared" si="7"/>
        <v>0</v>
      </c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</row>
    <row r="572">
      <c r="A572" s="60">
        <f>IFERROR(__xludf.DUMMYFUNCTION("""COMPUTED_VALUE"""),13143.0)</f>
        <v>13143</v>
      </c>
      <c r="B572" s="60" t="str">
        <f>IFERROR(__xludf.DUMMYFUNCTION("""COMPUTED_VALUE"""),"McNichols, Jeremy")</f>
        <v>McNichols, Jeremy</v>
      </c>
      <c r="C572" s="60" t="str">
        <f>IFERROR(__xludf.DUMMYFUNCTION("""COMPUTED_VALUE"""),"RB")</f>
        <v>RB</v>
      </c>
      <c r="D572" s="60" t="str">
        <f>IFERROR(__xludf.DUMMYFUNCTION("""COMPUTED_VALUE"""),"WAS")</f>
        <v>WAS</v>
      </c>
      <c r="E572" s="62" t="str">
        <f t="shared" si="4"/>
        <v>Jeremy McNichols</v>
      </c>
      <c r="F572" s="62">
        <f t="shared" ref="F572:G572" si="1143">IF(isblank(F$1),,IF(isblank($A572),,IFERROR(vlookup($A572,indirect("'TVC-"&amp;text(month(F$1),"00")&amp;"'!$A:$D"),4,false),1)))</f>
        <v>1053</v>
      </c>
      <c r="G572" s="62">
        <f t="shared" si="1143"/>
        <v>1024</v>
      </c>
      <c r="H572" s="62">
        <f t="shared" ref="H572:Q572" si="1144">IF(isblank(H$1),,IFERROR(vlookup($A572,indirect("'TVC-"&amp;text(month(H$1),"00")&amp;"'!$A:$D"),4,false),1))</f>
        <v>968</v>
      </c>
      <c r="I572" s="62">
        <f t="shared" si="1144"/>
        <v>889</v>
      </c>
      <c r="J572" s="62">
        <f t="shared" si="1144"/>
        <v>786</v>
      </c>
      <c r="K572" s="62">
        <f t="shared" si="1144"/>
        <v>504</v>
      </c>
      <c r="L572" s="62">
        <f t="shared" si="1144"/>
        <v>1</v>
      </c>
      <c r="M572" s="62">
        <f t="shared" si="1144"/>
        <v>621</v>
      </c>
      <c r="N572" s="62">
        <f t="shared" si="1144"/>
        <v>487</v>
      </c>
      <c r="O572" s="62">
        <f t="shared" si="1144"/>
        <v>1</v>
      </c>
      <c r="P572" s="62" t="str">
        <f t="shared" si="1144"/>
        <v/>
      </c>
      <c r="Q572" s="62" t="str">
        <f t="shared" si="1144"/>
        <v/>
      </c>
      <c r="R572" s="62">
        <f t="shared" si="7"/>
        <v>-486</v>
      </c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</row>
    <row r="573" hidden="1">
      <c r="A573" s="60">
        <f>IFERROR(__xludf.DUMMYFUNCTION("""COMPUTED_VALUE"""),13146.0)</f>
        <v>13146</v>
      </c>
      <c r="B573" s="60" t="str">
        <f>IFERROR(__xludf.DUMMYFUNCTION("""COMPUTED_VALUE"""),"Conner, James")</f>
        <v>Conner, James</v>
      </c>
      <c r="C573" s="60" t="str">
        <f>IFERROR(__xludf.DUMMYFUNCTION("""COMPUTED_VALUE"""),"RB")</f>
        <v>RB</v>
      </c>
      <c r="D573" s="60" t="str">
        <f>IFERROR(__xludf.DUMMYFUNCTION("""COMPUTED_VALUE"""),"ARI")</f>
        <v>ARI</v>
      </c>
      <c r="E573" s="62" t="str">
        <f t="shared" si="4"/>
        <v>James Conner</v>
      </c>
      <c r="F573" s="62">
        <f t="shared" ref="F573:G573" si="1145">IF(isblank(F$1),,IF(isblank($A573),,IFERROR(vlookup($A573,indirect("'TVC-"&amp;text(month(F$1),"00")&amp;"'!$A:$D"),4,false),1)))</f>
        <v>1954</v>
      </c>
      <c r="G573" s="62">
        <f t="shared" si="1145"/>
        <v>2013</v>
      </c>
      <c r="H573" s="62">
        <f t="shared" ref="H573:Q573" si="1146">IF(isblank(H$1),,IFERROR(vlookup($A573,indirect("'TVC-"&amp;text(month(H$1),"00")&amp;"'!$A:$D"),4,false),1))</f>
        <v>2060</v>
      </c>
      <c r="I573" s="62">
        <f t="shared" si="1146"/>
        <v>2138</v>
      </c>
      <c r="J573" s="62">
        <f t="shared" si="1146"/>
        <v>1984</v>
      </c>
      <c r="K573" s="62">
        <f t="shared" si="1146"/>
        <v>1806</v>
      </c>
      <c r="L573" s="62">
        <f t="shared" si="1146"/>
        <v>1756</v>
      </c>
      <c r="M573" s="62">
        <f t="shared" si="1146"/>
        <v>1747</v>
      </c>
      <c r="N573" s="62">
        <f t="shared" si="1146"/>
        <v>1460</v>
      </c>
      <c r="O573" s="62">
        <f t="shared" si="1146"/>
        <v>1</v>
      </c>
      <c r="P573" s="62" t="str">
        <f t="shared" si="1146"/>
        <v/>
      </c>
      <c r="Q573" s="62" t="str">
        <f t="shared" si="1146"/>
        <v/>
      </c>
      <c r="R573" s="62">
        <f t="shared" si="7"/>
        <v>-1459</v>
      </c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</row>
    <row r="574" hidden="1">
      <c r="A574" s="60">
        <f>IFERROR(__xludf.DUMMYFUNCTION("""COMPUTED_VALUE"""),13148.0)</f>
        <v>13148</v>
      </c>
      <c r="B574" s="60" t="str">
        <f>IFERROR(__xludf.DUMMYFUNCTION("""COMPUTED_VALUE"""),"Ogunbowale, Dare")</f>
        <v>Ogunbowale, Dare</v>
      </c>
      <c r="C574" s="60" t="str">
        <f>IFERROR(__xludf.DUMMYFUNCTION("""COMPUTED_VALUE"""),"RB")</f>
        <v>RB</v>
      </c>
      <c r="D574" s="60" t="str">
        <f>IFERROR(__xludf.DUMMYFUNCTION("""COMPUTED_VALUE"""),"HOU")</f>
        <v>HOU</v>
      </c>
      <c r="E574" s="62" t="str">
        <f t="shared" si="4"/>
        <v>Dare Ogunbowale</v>
      </c>
      <c r="F574" s="62">
        <f t="shared" ref="F574:G574" si="1147">IF(isblank(F$1),,IF(isblank($A574),,IFERROR(vlookup($A574,indirect("'TVC-"&amp;text(month(F$1),"00")&amp;"'!$A:$D"),4,false),1)))</f>
        <v>1</v>
      </c>
      <c r="G574" s="62">
        <f t="shared" si="1147"/>
        <v>1</v>
      </c>
      <c r="H574" s="62">
        <f t="shared" ref="H574:Q574" si="1148">IF(isblank(H$1),,IFERROR(vlookup($A574,indirect("'TVC-"&amp;text(month(H$1),"00")&amp;"'!$A:$D"),4,false),1))</f>
        <v>1</v>
      </c>
      <c r="I574" s="62">
        <f t="shared" si="1148"/>
        <v>1</v>
      </c>
      <c r="J574" s="62">
        <f t="shared" si="1148"/>
        <v>1</v>
      </c>
      <c r="K574" s="62">
        <f t="shared" si="1148"/>
        <v>1</v>
      </c>
      <c r="L574" s="62">
        <f t="shared" si="1148"/>
        <v>1</v>
      </c>
      <c r="M574" s="62">
        <f t="shared" si="1148"/>
        <v>1</v>
      </c>
      <c r="N574" s="62">
        <f t="shared" si="1148"/>
        <v>1</v>
      </c>
      <c r="O574" s="62">
        <f t="shared" si="1148"/>
        <v>1</v>
      </c>
      <c r="P574" s="62" t="str">
        <f t="shared" si="1148"/>
        <v/>
      </c>
      <c r="Q574" s="62" t="str">
        <f t="shared" si="1148"/>
        <v/>
      </c>
      <c r="R574" s="62">
        <f t="shared" si="7"/>
        <v>0</v>
      </c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</row>
    <row r="575" hidden="1">
      <c r="A575" s="60">
        <f>IFERROR(__xludf.DUMMYFUNCTION("""COMPUTED_VALUE"""),13154.0)</f>
        <v>13154</v>
      </c>
      <c r="B575" s="60" t="str">
        <f>IFERROR(__xludf.DUMMYFUNCTION("""COMPUTED_VALUE"""),"Williams, Mike")</f>
        <v>Williams, Mike</v>
      </c>
      <c r="C575" s="60" t="str">
        <f>IFERROR(__xludf.DUMMYFUNCTION("""COMPUTED_VALUE"""),"WR")</f>
        <v>WR</v>
      </c>
      <c r="D575" s="60" t="str">
        <f>IFERROR(__xludf.DUMMYFUNCTION("""COMPUTED_VALUE"""),"FA")</f>
        <v>FA</v>
      </c>
      <c r="E575" s="62" t="str">
        <f t="shared" si="4"/>
        <v>Mike Williams</v>
      </c>
      <c r="F575" s="62">
        <f t="shared" ref="F575:G575" si="1149">IF(isblank(F$1),,IF(isblank($A575),,IFERROR(vlookup($A575,indirect("'TVC-"&amp;text(month(F$1),"00")&amp;"'!$A:$D"),4,false),1)))</f>
        <v>1</v>
      </c>
      <c r="G575" s="62">
        <f t="shared" si="1149"/>
        <v>1</v>
      </c>
      <c r="H575" s="62">
        <f t="shared" ref="H575:Q575" si="1150">IF(isblank(H$1),,IFERROR(vlookup($A575,indirect("'TVC-"&amp;text(month(H$1),"00")&amp;"'!$A:$D"),4,false),1))</f>
        <v>1</v>
      </c>
      <c r="I575" s="62">
        <f t="shared" si="1150"/>
        <v>1</v>
      </c>
      <c r="J575" s="62">
        <f t="shared" si="1150"/>
        <v>1</v>
      </c>
      <c r="K575" s="62">
        <f t="shared" si="1150"/>
        <v>1</v>
      </c>
      <c r="L575" s="62">
        <f t="shared" si="1150"/>
        <v>1</v>
      </c>
      <c r="M575" s="62">
        <f t="shared" si="1150"/>
        <v>1</v>
      </c>
      <c r="N575" s="62">
        <f t="shared" si="1150"/>
        <v>1</v>
      </c>
      <c r="O575" s="62">
        <f t="shared" si="1150"/>
        <v>1</v>
      </c>
      <c r="P575" s="62" t="str">
        <f t="shared" si="1150"/>
        <v/>
      </c>
      <c r="Q575" s="62" t="str">
        <f t="shared" si="1150"/>
        <v/>
      </c>
      <c r="R575" s="62">
        <f t="shared" si="7"/>
        <v>0</v>
      </c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</row>
    <row r="576" hidden="1">
      <c r="A576" s="60">
        <f>IFERROR(__xludf.DUMMYFUNCTION("""COMPUTED_VALUE"""),13156.0)</f>
        <v>13156</v>
      </c>
      <c r="B576" s="60" t="str">
        <f>IFERROR(__xludf.DUMMYFUNCTION("""COMPUTED_VALUE"""),"Smith-Schuster, JuJu")</f>
        <v>Smith-Schuster, JuJu</v>
      </c>
      <c r="C576" s="60" t="str">
        <f>IFERROR(__xludf.DUMMYFUNCTION("""COMPUTED_VALUE"""),"WR")</f>
        <v>WR</v>
      </c>
      <c r="D576" s="60" t="str">
        <f>IFERROR(__xludf.DUMMYFUNCTION("""COMPUTED_VALUE"""),"FA")</f>
        <v>FA</v>
      </c>
      <c r="E576" s="62" t="str">
        <f t="shared" si="4"/>
        <v>JuJu Smith-Schuster</v>
      </c>
      <c r="F576" s="62">
        <f t="shared" ref="F576:G576" si="1151">IF(isblank(F$1),,IF(isblank($A576),,IFERROR(vlookup($A576,indirect("'TVC-"&amp;text(month(F$1),"00")&amp;"'!$A:$D"),4,false),1)))</f>
        <v>954</v>
      </c>
      <c r="G576" s="62">
        <f t="shared" si="1151"/>
        <v>938</v>
      </c>
      <c r="H576" s="62">
        <f t="shared" ref="H576:Q576" si="1152">IF(isblank(H$1),,IFERROR(vlookup($A576,indirect("'TVC-"&amp;text(month(H$1),"00")&amp;"'!$A:$D"),4,false),1))</f>
        <v>933</v>
      </c>
      <c r="I576" s="62">
        <f t="shared" si="1152"/>
        <v>827</v>
      </c>
      <c r="J576" s="62">
        <f t="shared" si="1152"/>
        <v>1</v>
      </c>
      <c r="K576" s="62">
        <f t="shared" si="1152"/>
        <v>1</v>
      </c>
      <c r="L576" s="62">
        <f t="shared" si="1152"/>
        <v>1</v>
      </c>
      <c r="M576" s="62">
        <f t="shared" si="1152"/>
        <v>1</v>
      </c>
      <c r="N576" s="62">
        <f t="shared" si="1152"/>
        <v>1</v>
      </c>
      <c r="O576" s="62">
        <f t="shared" si="1152"/>
        <v>1</v>
      </c>
      <c r="P576" s="62" t="str">
        <f t="shared" si="1152"/>
        <v/>
      </c>
      <c r="Q576" s="62" t="str">
        <f t="shared" si="1152"/>
        <v/>
      </c>
      <c r="R576" s="62">
        <f t="shared" si="7"/>
        <v>0</v>
      </c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</row>
    <row r="577">
      <c r="A577" s="60">
        <f>IFERROR(__xludf.DUMMYFUNCTION("""COMPUTED_VALUE"""),13157.0)</f>
        <v>13157</v>
      </c>
      <c r="B577" s="60" t="str">
        <f>IFERROR(__xludf.DUMMYFUNCTION("""COMPUTED_VALUE"""),"Samuel, Curtis")</f>
        <v>Samuel, Curtis</v>
      </c>
      <c r="C577" s="60" t="str">
        <f>IFERROR(__xludf.DUMMYFUNCTION("""COMPUTED_VALUE"""),"WR")</f>
        <v>WR</v>
      </c>
      <c r="D577" s="60" t="str">
        <f>IFERROR(__xludf.DUMMYFUNCTION("""COMPUTED_VALUE"""),"FA")</f>
        <v>FA</v>
      </c>
      <c r="E577" s="62" t="str">
        <f t="shared" si="4"/>
        <v>Curtis Samuel</v>
      </c>
      <c r="F577" s="62">
        <f t="shared" ref="F577:G577" si="1153">IF(isblank(F$1),,IF(isblank($A577),,IFERROR(vlookup($A577,indirect("'TVC-"&amp;text(month(F$1),"00")&amp;"'!$A:$D"),4,false),1)))</f>
        <v>922</v>
      </c>
      <c r="G577" s="62">
        <f t="shared" si="1153"/>
        <v>868</v>
      </c>
      <c r="H577" s="62">
        <f t="shared" ref="H577:Q577" si="1154">IF(isblank(H$1),,IFERROR(vlookup($A577,indirect("'TVC-"&amp;text(month(H$1),"00")&amp;"'!$A:$D"),4,false),1))</f>
        <v>892</v>
      </c>
      <c r="I577" s="62">
        <f t="shared" si="1154"/>
        <v>776</v>
      </c>
      <c r="J577" s="62">
        <f t="shared" si="1154"/>
        <v>1</v>
      </c>
      <c r="K577" s="62">
        <f t="shared" si="1154"/>
        <v>1</v>
      </c>
      <c r="L577" s="62">
        <f t="shared" si="1154"/>
        <v>1</v>
      </c>
      <c r="M577" s="62">
        <f t="shared" si="1154"/>
        <v>1</v>
      </c>
      <c r="N577" s="62">
        <f t="shared" si="1154"/>
        <v>1</v>
      </c>
      <c r="O577" s="62">
        <f t="shared" si="1154"/>
        <v>1</v>
      </c>
      <c r="P577" s="62" t="str">
        <f t="shared" si="1154"/>
        <v/>
      </c>
      <c r="Q577" s="62" t="str">
        <f t="shared" si="1154"/>
        <v/>
      </c>
      <c r="R577" s="62">
        <f t="shared" si="7"/>
        <v>0</v>
      </c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</row>
    <row r="578">
      <c r="A578" s="60">
        <f>IFERROR(__xludf.DUMMYFUNCTION("""COMPUTED_VALUE"""),13163.0)</f>
        <v>13163</v>
      </c>
      <c r="B578" s="60" t="str">
        <f>IFERROR(__xludf.DUMMYFUNCTION("""COMPUTED_VALUE"""),"Godwin, Chris")</f>
        <v>Godwin, Chris</v>
      </c>
      <c r="C578" s="60" t="str">
        <f>IFERROR(__xludf.DUMMYFUNCTION("""COMPUTED_VALUE"""),"WR")</f>
        <v>WR</v>
      </c>
      <c r="D578" s="60" t="str">
        <f>IFERROR(__xludf.DUMMYFUNCTION("""COMPUTED_VALUE"""),"TBB")</f>
        <v>TBB</v>
      </c>
      <c r="E578" s="62" t="str">
        <f t="shared" si="4"/>
        <v>Chris Godwin</v>
      </c>
      <c r="F578" s="62">
        <f t="shared" ref="F578:G578" si="1155">IF(isblank(F$1),,IF(isblank($A578),,IFERROR(vlookup($A578,indirect("'TVC-"&amp;text(month(F$1),"00")&amp;"'!$A:$D"),4,false),1)))</f>
        <v>2690</v>
      </c>
      <c r="G578" s="62">
        <f t="shared" si="1155"/>
        <v>2764</v>
      </c>
      <c r="H578" s="62">
        <f t="shared" ref="H578:Q578" si="1156">IF(isblank(H$1),,IFERROR(vlookup($A578,indirect("'TVC-"&amp;text(month(H$1),"00")&amp;"'!$A:$D"),4,false),1))</f>
        <v>2785</v>
      </c>
      <c r="I578" s="62">
        <f t="shared" si="1156"/>
        <v>2873</v>
      </c>
      <c r="J578" s="62">
        <f t="shared" si="1156"/>
        <v>2925</v>
      </c>
      <c r="K578" s="62">
        <f t="shared" si="1156"/>
        <v>2962</v>
      </c>
      <c r="L578" s="62">
        <f t="shared" si="1156"/>
        <v>2913</v>
      </c>
      <c r="M578" s="62">
        <f t="shared" si="1156"/>
        <v>2958</v>
      </c>
      <c r="N578" s="62">
        <f t="shared" si="1156"/>
        <v>3022</v>
      </c>
      <c r="O578" s="62">
        <f t="shared" si="1156"/>
        <v>1</v>
      </c>
      <c r="P578" s="62" t="str">
        <f t="shared" si="1156"/>
        <v/>
      </c>
      <c r="Q578" s="62" t="str">
        <f t="shared" si="1156"/>
        <v/>
      </c>
      <c r="R578" s="62">
        <f t="shared" si="7"/>
        <v>-3021</v>
      </c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</row>
    <row r="579" hidden="1">
      <c r="A579" s="60">
        <f>IFERROR(__xludf.DUMMYFUNCTION("""COMPUTED_VALUE"""),13164.0)</f>
        <v>13164</v>
      </c>
      <c r="B579" s="60" t="str">
        <f>IFERROR(__xludf.DUMMYFUNCTION("""COMPUTED_VALUE"""),"Kupp, Cooper")</f>
        <v>Kupp, Cooper</v>
      </c>
      <c r="C579" s="60" t="str">
        <f>IFERROR(__xludf.DUMMYFUNCTION("""COMPUTED_VALUE"""),"WR")</f>
        <v>WR</v>
      </c>
      <c r="D579" s="60" t="str">
        <f>IFERROR(__xludf.DUMMYFUNCTION("""COMPUTED_VALUE"""),"SEA")</f>
        <v>SEA</v>
      </c>
      <c r="E579" s="62" t="str">
        <f t="shared" si="4"/>
        <v>Cooper Kupp</v>
      </c>
      <c r="F579" s="62">
        <f t="shared" ref="F579:G579" si="1157">IF(isblank(F$1),,IF(isblank($A579),,IFERROR(vlookup($A579,indirect("'TVC-"&amp;text(month(F$1),"00")&amp;"'!$A:$D"),4,false),1)))</f>
        <v>1553</v>
      </c>
      <c r="G579" s="62">
        <f t="shared" si="1157"/>
        <v>1629</v>
      </c>
      <c r="H579" s="62">
        <f t="shared" ref="H579:Q579" si="1158">IF(isblank(H$1),,IFERROR(vlookup($A579,indirect("'TVC-"&amp;text(month(H$1),"00")&amp;"'!$A:$D"),4,false),1))</f>
        <v>1668</v>
      </c>
      <c r="I579" s="62">
        <f t="shared" si="1158"/>
        <v>1847</v>
      </c>
      <c r="J579" s="62">
        <f t="shared" si="1158"/>
        <v>1808</v>
      </c>
      <c r="K579" s="62">
        <f t="shared" si="1158"/>
        <v>1753</v>
      </c>
      <c r="L579" s="62">
        <f t="shared" si="1158"/>
        <v>1724</v>
      </c>
      <c r="M579" s="62">
        <f t="shared" si="1158"/>
        <v>1718</v>
      </c>
      <c r="N579" s="62">
        <f t="shared" si="1158"/>
        <v>1617</v>
      </c>
      <c r="O579" s="62">
        <f t="shared" si="1158"/>
        <v>1</v>
      </c>
      <c r="P579" s="62" t="str">
        <f t="shared" si="1158"/>
        <v/>
      </c>
      <c r="Q579" s="62" t="str">
        <f t="shared" si="1158"/>
        <v/>
      </c>
      <c r="R579" s="62">
        <f t="shared" si="7"/>
        <v>-1616</v>
      </c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</row>
    <row r="580" hidden="1">
      <c r="A580" s="60">
        <f>IFERROR(__xludf.DUMMYFUNCTION("""COMPUTED_VALUE"""),13168.0)</f>
        <v>13168</v>
      </c>
      <c r="B580" s="60" t="str">
        <f>IFERROR(__xludf.DUMMYFUNCTION("""COMPUTED_VALUE"""),"Reynolds, Josh")</f>
        <v>Reynolds, Josh</v>
      </c>
      <c r="C580" s="60" t="str">
        <f>IFERROR(__xludf.DUMMYFUNCTION("""COMPUTED_VALUE"""),"WR")</f>
        <v>WR</v>
      </c>
      <c r="D580" s="60" t="str">
        <f>IFERROR(__xludf.DUMMYFUNCTION("""COMPUTED_VALUE"""),"NYJ")</f>
        <v>NYJ</v>
      </c>
      <c r="E580" s="62" t="str">
        <f t="shared" si="4"/>
        <v>Josh Reynolds</v>
      </c>
      <c r="F580" s="62">
        <f t="shared" ref="F580:G580" si="1159">IF(isblank(F$1),,IF(isblank($A580),,IFERROR(vlookup($A580,indirect("'TVC-"&amp;text(month(F$1),"00")&amp;"'!$A:$D"),4,false),1)))</f>
        <v>653</v>
      </c>
      <c r="G580" s="62">
        <f t="shared" si="1159"/>
        <v>1</v>
      </c>
      <c r="H580" s="62">
        <f t="shared" ref="H580:Q580" si="1160">IF(isblank(H$1),,IFERROR(vlookup($A580,indirect("'TVC-"&amp;text(month(H$1),"00")&amp;"'!$A:$D"),4,false),1))</f>
        <v>1</v>
      </c>
      <c r="I580" s="62">
        <f t="shared" si="1160"/>
        <v>1</v>
      </c>
      <c r="J580" s="62">
        <f t="shared" si="1160"/>
        <v>1</v>
      </c>
      <c r="K580" s="62">
        <f t="shared" si="1160"/>
        <v>1</v>
      </c>
      <c r="L580" s="62">
        <f t="shared" si="1160"/>
        <v>1</v>
      </c>
      <c r="M580" s="62">
        <f t="shared" si="1160"/>
        <v>1</v>
      </c>
      <c r="N580" s="62">
        <f t="shared" si="1160"/>
        <v>1</v>
      </c>
      <c r="O580" s="62">
        <f t="shared" si="1160"/>
        <v>1</v>
      </c>
      <c r="P580" s="62" t="str">
        <f t="shared" si="1160"/>
        <v/>
      </c>
      <c r="Q580" s="62" t="str">
        <f t="shared" si="1160"/>
        <v/>
      </c>
      <c r="R580" s="62">
        <f t="shared" si="7"/>
        <v>0</v>
      </c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</row>
    <row r="581">
      <c r="A581" s="60">
        <f>IFERROR(__xludf.DUMMYFUNCTION("""COMPUTED_VALUE"""),13172.0)</f>
        <v>13172</v>
      </c>
      <c r="B581" s="60" t="str">
        <f>IFERROR(__xludf.DUMMYFUNCTION("""COMPUTED_VALUE"""),"Brown, Noah")</f>
        <v>Brown, Noah</v>
      </c>
      <c r="C581" s="60" t="str">
        <f>IFERROR(__xludf.DUMMYFUNCTION("""COMPUTED_VALUE"""),"WR")</f>
        <v>WR</v>
      </c>
      <c r="D581" s="60" t="str">
        <f>IFERROR(__xludf.DUMMYFUNCTION("""COMPUTED_VALUE"""),"FA")</f>
        <v>FA</v>
      </c>
      <c r="E581" s="62" t="str">
        <f t="shared" si="4"/>
        <v>Noah Brown</v>
      </c>
      <c r="F581" s="62">
        <f t="shared" ref="F581:G581" si="1161">IF(isblank(F$1),,IF(isblank($A581),,IFERROR(vlookup($A581,indirect("'TVC-"&amp;text(month(F$1),"00")&amp;"'!$A:$D"),4,false),1)))</f>
        <v>858</v>
      </c>
      <c r="G581" s="62">
        <f t="shared" si="1161"/>
        <v>845</v>
      </c>
      <c r="H581" s="62">
        <f t="shared" ref="H581:Q581" si="1162">IF(isblank(H$1),,IFERROR(vlookup($A581,indirect("'TVC-"&amp;text(month(H$1),"00")&amp;"'!$A:$D"),4,false),1))</f>
        <v>854</v>
      </c>
      <c r="I581" s="62">
        <f t="shared" si="1162"/>
        <v>712</v>
      </c>
      <c r="J581" s="62">
        <f t="shared" si="1162"/>
        <v>1</v>
      </c>
      <c r="K581" s="62">
        <f t="shared" si="1162"/>
        <v>1</v>
      </c>
      <c r="L581" s="62">
        <f t="shared" si="1162"/>
        <v>1</v>
      </c>
      <c r="M581" s="62">
        <f t="shared" si="1162"/>
        <v>1</v>
      </c>
      <c r="N581" s="62">
        <f t="shared" si="1162"/>
        <v>1</v>
      </c>
      <c r="O581" s="62">
        <f t="shared" si="1162"/>
        <v>1</v>
      </c>
      <c r="P581" s="62" t="str">
        <f t="shared" si="1162"/>
        <v/>
      </c>
      <c r="Q581" s="62" t="str">
        <f t="shared" si="1162"/>
        <v/>
      </c>
      <c r="R581" s="62">
        <f t="shared" si="7"/>
        <v>0</v>
      </c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</row>
    <row r="582">
      <c r="A582" s="60">
        <f>IFERROR(__xludf.DUMMYFUNCTION("""COMPUTED_VALUE"""),13176.0)</f>
        <v>13176</v>
      </c>
      <c r="B582" s="60" t="str">
        <f>IFERROR(__xludf.DUMMYFUNCTION("""COMPUTED_VALUE"""),"Jones, Zay")</f>
        <v>Jones, Zay</v>
      </c>
      <c r="C582" s="60" t="str">
        <f>IFERROR(__xludf.DUMMYFUNCTION("""COMPUTED_VALUE"""),"WR")</f>
        <v>WR</v>
      </c>
      <c r="D582" s="60" t="str">
        <f>IFERROR(__xludf.DUMMYFUNCTION("""COMPUTED_VALUE"""),"FA")</f>
        <v>FA</v>
      </c>
      <c r="E582" s="62" t="str">
        <f t="shared" si="4"/>
        <v>Zay Jones</v>
      </c>
      <c r="F582" s="62">
        <f t="shared" ref="F582:G582" si="1163">IF(isblank(F$1),,IF(isblank($A582),,IFERROR(vlookup($A582,indirect("'TVC-"&amp;text(month(F$1),"00")&amp;"'!$A:$D"),4,false),1)))</f>
        <v>883</v>
      </c>
      <c r="G582" s="62">
        <f t="shared" si="1163"/>
        <v>796</v>
      </c>
      <c r="H582" s="62">
        <f t="shared" ref="H582:Q582" si="1164">IF(isblank(H$1),,IFERROR(vlookup($A582,indirect("'TVC-"&amp;text(month(H$1),"00")&amp;"'!$A:$D"),4,false),1))</f>
        <v>759</v>
      </c>
      <c r="I582" s="62">
        <f t="shared" si="1164"/>
        <v>741</v>
      </c>
      <c r="J582" s="62">
        <f t="shared" si="1164"/>
        <v>594</v>
      </c>
      <c r="K582" s="62">
        <f t="shared" si="1164"/>
        <v>1</v>
      </c>
      <c r="L582" s="62">
        <f t="shared" si="1164"/>
        <v>1</v>
      </c>
      <c r="M582" s="62">
        <f t="shared" si="1164"/>
        <v>506</v>
      </c>
      <c r="N582" s="62">
        <f t="shared" si="1164"/>
        <v>1</v>
      </c>
      <c r="O582" s="62">
        <f t="shared" si="1164"/>
        <v>1</v>
      </c>
      <c r="P582" s="62" t="str">
        <f t="shared" si="1164"/>
        <v/>
      </c>
      <c r="Q582" s="62" t="str">
        <f t="shared" si="1164"/>
        <v/>
      </c>
      <c r="R582" s="62">
        <f t="shared" si="7"/>
        <v>0</v>
      </c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</row>
    <row r="583">
      <c r="A583" s="60">
        <f>IFERROR(__xludf.DUMMYFUNCTION("""COMPUTED_VALUE"""),13189.0)</f>
        <v>13189</v>
      </c>
      <c r="B583" s="60" t="str">
        <f>IFERROR(__xludf.DUMMYFUNCTION("""COMPUTED_VALUE"""),"Engram, Evan")</f>
        <v>Engram, Evan</v>
      </c>
      <c r="C583" s="60" t="str">
        <f>IFERROR(__xludf.DUMMYFUNCTION("""COMPUTED_VALUE"""),"TE")</f>
        <v>TE</v>
      </c>
      <c r="D583" s="60" t="str">
        <f>IFERROR(__xludf.DUMMYFUNCTION("""COMPUTED_VALUE"""),"DEN")</f>
        <v>DEN</v>
      </c>
      <c r="E583" s="62" t="str">
        <f t="shared" si="4"/>
        <v>Evan Engram</v>
      </c>
      <c r="F583" s="62">
        <f t="shared" ref="F583:G583" si="1165">IF(isblank(F$1),,IF(isblank($A583),,IFERROR(vlookup($A583,indirect("'TVC-"&amp;text(month(F$1),"00")&amp;"'!$A:$D"),4,false),1)))</f>
        <v>2244</v>
      </c>
      <c r="G583" s="62">
        <f t="shared" si="1165"/>
        <v>2275</v>
      </c>
      <c r="H583" s="62">
        <f t="shared" ref="H583:Q583" si="1166">IF(isblank(H$1),,IFERROR(vlookup($A583,indirect("'TVC-"&amp;text(month(H$1),"00")&amp;"'!$A:$D"),4,false),1))</f>
        <v>2291</v>
      </c>
      <c r="I583" s="62">
        <f t="shared" si="1166"/>
        <v>2211</v>
      </c>
      <c r="J583" s="62">
        <f t="shared" si="1166"/>
        <v>2303</v>
      </c>
      <c r="K583" s="62">
        <f t="shared" si="1166"/>
        <v>2260</v>
      </c>
      <c r="L583" s="62">
        <f t="shared" si="1166"/>
        <v>2205</v>
      </c>
      <c r="M583" s="62">
        <f t="shared" si="1166"/>
        <v>2143</v>
      </c>
      <c r="N583" s="62">
        <f t="shared" si="1166"/>
        <v>2050</v>
      </c>
      <c r="O583" s="62">
        <f t="shared" si="1166"/>
        <v>1</v>
      </c>
      <c r="P583" s="62" t="str">
        <f t="shared" si="1166"/>
        <v/>
      </c>
      <c r="Q583" s="62" t="str">
        <f t="shared" si="1166"/>
        <v/>
      </c>
      <c r="R583" s="62">
        <f t="shared" si="7"/>
        <v>-2049</v>
      </c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</row>
    <row r="584" hidden="1">
      <c r="A584" s="60">
        <f>IFERROR(__xludf.DUMMYFUNCTION("""COMPUTED_VALUE"""),13192.0)</f>
        <v>13192</v>
      </c>
      <c r="B584" s="60" t="str">
        <f>IFERROR(__xludf.DUMMYFUNCTION("""COMPUTED_VALUE"""),"Njoku, David")</f>
        <v>Njoku, David</v>
      </c>
      <c r="C584" s="60" t="str">
        <f>IFERROR(__xludf.DUMMYFUNCTION("""COMPUTED_VALUE"""),"TE")</f>
        <v>TE</v>
      </c>
      <c r="D584" s="60" t="str">
        <f>IFERROR(__xludf.DUMMYFUNCTION("""COMPUTED_VALUE"""),"LAC")</f>
        <v>LAC</v>
      </c>
      <c r="E584" s="62" t="str">
        <f t="shared" si="4"/>
        <v>David Njoku</v>
      </c>
      <c r="F584" s="62">
        <f t="shared" ref="F584:G584" si="1167">IF(isblank(F$1),,IF(isblank($A584),,IFERROR(vlookup($A584,indirect("'TVC-"&amp;text(month(F$1),"00")&amp;"'!$A:$D"),4,false),1)))</f>
        <v>2795</v>
      </c>
      <c r="G584" s="62">
        <f t="shared" si="1167"/>
        <v>2964</v>
      </c>
      <c r="H584" s="62">
        <f t="shared" ref="H584:Q584" si="1168">IF(isblank(H$1),,IFERROR(vlookup($A584,indirect("'TVC-"&amp;text(month(H$1),"00")&amp;"'!$A:$D"),4,false),1))</f>
        <v>3046</v>
      </c>
      <c r="I584" s="62">
        <f t="shared" si="1168"/>
        <v>3118</v>
      </c>
      <c r="J584" s="62">
        <f t="shared" si="1168"/>
        <v>2836</v>
      </c>
      <c r="K584" s="62">
        <f t="shared" si="1168"/>
        <v>2864</v>
      </c>
      <c r="L584" s="62">
        <f t="shared" si="1168"/>
        <v>2820</v>
      </c>
      <c r="M584" s="62">
        <f t="shared" si="1168"/>
        <v>2595</v>
      </c>
      <c r="N584" s="62">
        <f t="shared" si="1168"/>
        <v>2529</v>
      </c>
      <c r="O584" s="62">
        <f t="shared" si="1168"/>
        <v>1</v>
      </c>
      <c r="P584" s="62" t="str">
        <f t="shared" si="1168"/>
        <v/>
      </c>
      <c r="Q584" s="62" t="str">
        <f t="shared" si="1168"/>
        <v/>
      </c>
      <c r="R584" s="62">
        <f t="shared" si="7"/>
        <v>-2528</v>
      </c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</row>
    <row r="585" hidden="1">
      <c r="A585" s="60">
        <f>IFERROR(__xludf.DUMMYFUNCTION("""COMPUTED_VALUE"""),13193.0)</f>
        <v>13193</v>
      </c>
      <c r="B585" s="60" t="str">
        <f>IFERROR(__xludf.DUMMYFUNCTION("""COMPUTED_VALUE"""),"Smith, Jonnu")</f>
        <v>Smith, Jonnu</v>
      </c>
      <c r="C585" s="60" t="str">
        <f>IFERROR(__xludf.DUMMYFUNCTION("""COMPUTED_VALUE"""),"TE")</f>
        <v>TE</v>
      </c>
      <c r="D585" s="60" t="str">
        <f>IFERROR(__xludf.DUMMYFUNCTION("""COMPUTED_VALUE"""),"GBP")</f>
        <v>GBP</v>
      </c>
      <c r="E585" s="62" t="str">
        <f t="shared" si="4"/>
        <v>Jonnu Smith</v>
      </c>
      <c r="F585" s="62">
        <f t="shared" ref="F585:G585" si="1169">IF(isblank(F$1),,IF(isblank($A585),,IFERROR(vlookup($A585,indirect("'TVC-"&amp;text(month(F$1),"00")&amp;"'!$A:$D"),4,false),1)))</f>
        <v>1902</v>
      </c>
      <c r="G585" s="62">
        <f t="shared" si="1169"/>
        <v>1965</v>
      </c>
      <c r="H585" s="62">
        <f t="shared" ref="H585:Q585" si="1170">IF(isblank(H$1),,IFERROR(vlookup($A585,indirect("'TVC-"&amp;text(month(H$1),"00")&amp;"'!$A:$D"),4,false),1))</f>
        <v>1970</v>
      </c>
      <c r="I585" s="62">
        <f t="shared" si="1170"/>
        <v>1796</v>
      </c>
      <c r="J585" s="62">
        <f t="shared" si="1170"/>
        <v>1568</v>
      </c>
      <c r="K585" s="62">
        <f t="shared" si="1170"/>
        <v>1402</v>
      </c>
      <c r="L585" s="62">
        <f t="shared" si="1170"/>
        <v>1346</v>
      </c>
      <c r="M585" s="62">
        <f t="shared" si="1170"/>
        <v>1235</v>
      </c>
      <c r="N585" s="62">
        <f t="shared" si="1170"/>
        <v>1018</v>
      </c>
      <c r="O585" s="62">
        <f t="shared" si="1170"/>
        <v>1</v>
      </c>
      <c r="P585" s="62" t="str">
        <f t="shared" si="1170"/>
        <v/>
      </c>
      <c r="Q585" s="62" t="str">
        <f t="shared" si="1170"/>
        <v/>
      </c>
      <c r="R585" s="62">
        <f t="shared" si="7"/>
        <v>-1017</v>
      </c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</row>
    <row r="586" hidden="1">
      <c r="A586" s="60">
        <f>IFERROR(__xludf.DUMMYFUNCTION("""COMPUTED_VALUE"""),13198.0)</f>
        <v>13198</v>
      </c>
      <c r="B586" s="60" t="str">
        <f>IFERROR(__xludf.DUMMYFUNCTION("""COMPUTED_VALUE"""),"Garrett, Myles")</f>
        <v>Garrett, Myles</v>
      </c>
      <c r="C586" s="60" t="str">
        <f>IFERROR(__xludf.DUMMYFUNCTION("""COMPUTED_VALUE"""),"DE")</f>
        <v>DE</v>
      </c>
      <c r="D586" s="60" t="str">
        <f>IFERROR(__xludf.DUMMYFUNCTION("""COMPUTED_VALUE"""),"LAR")</f>
        <v>LAR</v>
      </c>
      <c r="E586" s="62" t="str">
        <f t="shared" si="4"/>
        <v>Myles Garrett</v>
      </c>
      <c r="F586" s="62">
        <f t="shared" ref="F586:G586" si="1171">IF(isblank(F$1),,IF(isblank($A586),,IFERROR(vlookup($A586,indirect("'TVC-"&amp;text(month(F$1),"00")&amp;"'!$A:$D"),4,false),1)))</f>
        <v>1</v>
      </c>
      <c r="G586" s="62">
        <f t="shared" si="1171"/>
        <v>1</v>
      </c>
      <c r="H586" s="62">
        <f t="shared" ref="H586:Q586" si="1172">IF(isblank(H$1),,IFERROR(vlookup($A586,indirect("'TVC-"&amp;text(month(H$1),"00")&amp;"'!$A:$D"),4,false),1))</f>
        <v>1</v>
      </c>
      <c r="I586" s="62">
        <f t="shared" si="1172"/>
        <v>1</v>
      </c>
      <c r="J586" s="62">
        <f t="shared" si="1172"/>
        <v>1</v>
      </c>
      <c r="K586" s="62">
        <f t="shared" si="1172"/>
        <v>1</v>
      </c>
      <c r="L586" s="62">
        <f t="shared" si="1172"/>
        <v>1</v>
      </c>
      <c r="M586" s="62">
        <f t="shared" si="1172"/>
        <v>1</v>
      </c>
      <c r="N586" s="62">
        <f t="shared" si="1172"/>
        <v>1</v>
      </c>
      <c r="O586" s="62">
        <f t="shared" si="1172"/>
        <v>1</v>
      </c>
      <c r="P586" s="62" t="str">
        <f t="shared" si="1172"/>
        <v/>
      </c>
      <c r="Q586" s="62" t="str">
        <f t="shared" si="1172"/>
        <v/>
      </c>
      <c r="R586" s="62">
        <f t="shared" si="7"/>
        <v>0</v>
      </c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</row>
    <row r="587" hidden="1">
      <c r="A587" s="60">
        <f>IFERROR(__xludf.DUMMYFUNCTION("""COMPUTED_VALUE"""),13199.0)</f>
        <v>13199</v>
      </c>
      <c r="B587" s="60" t="str">
        <f>IFERROR(__xludf.DUMMYFUNCTION("""COMPUTED_VALUE"""),"Thomas, Solomon")</f>
        <v>Thomas, Solomon</v>
      </c>
      <c r="C587" s="60" t="str">
        <f>IFERROR(__xludf.DUMMYFUNCTION("""COMPUTED_VALUE"""),"DT")</f>
        <v>DT</v>
      </c>
      <c r="D587" s="60" t="str">
        <f>IFERROR(__xludf.DUMMYFUNCTION("""COMPUTED_VALUE"""),"TEN")</f>
        <v>TEN</v>
      </c>
      <c r="E587" s="62" t="str">
        <f t="shared" si="4"/>
        <v>Solomon Thomas</v>
      </c>
      <c r="F587" s="62">
        <f t="shared" ref="F587:G587" si="1173">IF(isblank(F$1),,IF(isblank($A587),,IFERROR(vlookup($A587,indirect("'TVC-"&amp;text(month(F$1),"00")&amp;"'!$A:$D"),4,false),1)))</f>
        <v>1</v>
      </c>
      <c r="G587" s="62">
        <f t="shared" si="1173"/>
        <v>1</v>
      </c>
      <c r="H587" s="62">
        <f t="shared" ref="H587:Q587" si="1174">IF(isblank(H$1),,IFERROR(vlookup($A587,indirect("'TVC-"&amp;text(month(H$1),"00")&amp;"'!$A:$D"),4,false),1))</f>
        <v>1</v>
      </c>
      <c r="I587" s="62">
        <f t="shared" si="1174"/>
        <v>1</v>
      </c>
      <c r="J587" s="62">
        <f t="shared" si="1174"/>
        <v>1</v>
      </c>
      <c r="K587" s="62">
        <f t="shared" si="1174"/>
        <v>1</v>
      </c>
      <c r="L587" s="62">
        <f t="shared" si="1174"/>
        <v>1</v>
      </c>
      <c r="M587" s="62">
        <f t="shared" si="1174"/>
        <v>1</v>
      </c>
      <c r="N587" s="62">
        <f t="shared" si="1174"/>
        <v>1</v>
      </c>
      <c r="O587" s="62">
        <f t="shared" si="1174"/>
        <v>1</v>
      </c>
      <c r="P587" s="62" t="str">
        <f t="shared" si="1174"/>
        <v/>
      </c>
      <c r="Q587" s="62" t="str">
        <f t="shared" si="1174"/>
        <v/>
      </c>
      <c r="R587" s="62">
        <f t="shared" si="7"/>
        <v>0</v>
      </c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</row>
    <row r="588" hidden="1">
      <c r="A588" s="60">
        <f>IFERROR(__xludf.DUMMYFUNCTION("""COMPUTED_VALUE"""),13201.0)</f>
        <v>13201</v>
      </c>
      <c r="B588" s="60" t="str">
        <f>IFERROR(__xludf.DUMMYFUNCTION("""COMPUTED_VALUE"""),"Barnett, Derek")</f>
        <v>Barnett, Derek</v>
      </c>
      <c r="C588" s="60" t="str">
        <f>IFERROR(__xludf.DUMMYFUNCTION("""COMPUTED_VALUE"""),"DE")</f>
        <v>DE</v>
      </c>
      <c r="D588" s="60" t="str">
        <f>IFERROR(__xludf.DUMMYFUNCTION("""COMPUTED_VALUE"""),"CLE")</f>
        <v>CLE</v>
      </c>
      <c r="E588" s="62" t="str">
        <f t="shared" si="4"/>
        <v>Derek Barnett</v>
      </c>
      <c r="F588" s="62">
        <f t="shared" ref="F588:G588" si="1175">IF(isblank(F$1),,IF(isblank($A588),,IFERROR(vlookup($A588,indirect("'TVC-"&amp;text(month(F$1),"00")&amp;"'!$A:$D"),4,false),1)))</f>
        <v>1</v>
      </c>
      <c r="G588" s="62">
        <f t="shared" si="1175"/>
        <v>1</v>
      </c>
      <c r="H588" s="62">
        <f t="shared" ref="H588:Q588" si="1176">IF(isblank(H$1),,IFERROR(vlookup($A588,indirect("'TVC-"&amp;text(month(H$1),"00")&amp;"'!$A:$D"),4,false),1))</f>
        <v>1</v>
      </c>
      <c r="I588" s="62">
        <f t="shared" si="1176"/>
        <v>1</v>
      </c>
      <c r="J588" s="62">
        <f t="shared" si="1176"/>
        <v>1</v>
      </c>
      <c r="K588" s="62">
        <f t="shared" si="1176"/>
        <v>1</v>
      </c>
      <c r="L588" s="62">
        <f t="shared" si="1176"/>
        <v>1</v>
      </c>
      <c r="M588" s="62">
        <f t="shared" si="1176"/>
        <v>1</v>
      </c>
      <c r="N588" s="62">
        <f t="shared" si="1176"/>
        <v>1</v>
      </c>
      <c r="O588" s="62">
        <f t="shared" si="1176"/>
        <v>1</v>
      </c>
      <c r="P588" s="62" t="str">
        <f t="shared" si="1176"/>
        <v/>
      </c>
      <c r="Q588" s="62" t="str">
        <f t="shared" si="1176"/>
        <v/>
      </c>
      <c r="R588" s="62">
        <f t="shared" si="7"/>
        <v>0</v>
      </c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</row>
    <row r="589" hidden="1">
      <c r="A589" s="60">
        <f>IFERROR(__xludf.DUMMYFUNCTION("""COMPUTED_VALUE"""),13202.0)</f>
        <v>13202</v>
      </c>
      <c r="B589" s="60" t="str">
        <f>IFERROR(__xludf.DUMMYFUNCTION("""COMPUTED_VALUE"""),"Lawson, Carl")</f>
        <v>Lawson, Carl</v>
      </c>
      <c r="C589" s="60" t="str">
        <f>IFERROR(__xludf.DUMMYFUNCTION("""COMPUTED_VALUE"""),"DE")</f>
        <v>DE</v>
      </c>
      <c r="D589" s="60" t="str">
        <f>IFERROR(__xludf.DUMMYFUNCTION("""COMPUTED_VALUE"""),"IND")</f>
        <v>IND</v>
      </c>
      <c r="E589" s="62" t="str">
        <f t="shared" si="4"/>
        <v>Carl Lawson</v>
      </c>
      <c r="F589" s="62">
        <f t="shared" ref="F589:G589" si="1177">IF(isblank(F$1),,IF(isblank($A589),,IFERROR(vlookup($A589,indirect("'TVC-"&amp;text(month(F$1),"00")&amp;"'!$A:$D"),4,false),1)))</f>
        <v>1</v>
      </c>
      <c r="G589" s="62">
        <f t="shared" si="1177"/>
        <v>1</v>
      </c>
      <c r="H589" s="62">
        <f t="shared" ref="H589:Q589" si="1178">IF(isblank(H$1),,IFERROR(vlookup($A589,indirect("'TVC-"&amp;text(month(H$1),"00")&amp;"'!$A:$D"),4,false),1))</f>
        <v>1</v>
      </c>
      <c r="I589" s="62">
        <f t="shared" si="1178"/>
        <v>1</v>
      </c>
      <c r="J589" s="62">
        <f t="shared" si="1178"/>
        <v>1</v>
      </c>
      <c r="K589" s="62">
        <f t="shared" si="1178"/>
        <v>1</v>
      </c>
      <c r="L589" s="62">
        <f t="shared" si="1178"/>
        <v>1</v>
      </c>
      <c r="M589" s="62">
        <f t="shared" si="1178"/>
        <v>1</v>
      </c>
      <c r="N589" s="62">
        <f t="shared" si="1178"/>
        <v>1</v>
      </c>
      <c r="O589" s="62">
        <f t="shared" si="1178"/>
        <v>1</v>
      </c>
      <c r="P589" s="62" t="str">
        <f t="shared" si="1178"/>
        <v/>
      </c>
      <c r="Q589" s="62" t="str">
        <f t="shared" si="1178"/>
        <v/>
      </c>
      <c r="R589" s="62">
        <f t="shared" si="7"/>
        <v>0</v>
      </c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</row>
    <row r="590" hidden="1">
      <c r="A590" s="60">
        <f>IFERROR(__xludf.DUMMYFUNCTION("""COMPUTED_VALUE"""),13208.0)</f>
        <v>13208</v>
      </c>
      <c r="B590" s="60" t="str">
        <f>IFERROR(__xludf.DUMMYFUNCTION("""COMPUTED_VALUE"""),"Allen, Jonathan")</f>
        <v>Allen, Jonathan</v>
      </c>
      <c r="C590" s="60" t="str">
        <f>IFERROR(__xludf.DUMMYFUNCTION("""COMPUTED_VALUE"""),"DT")</f>
        <v>DT</v>
      </c>
      <c r="D590" s="60" t="str">
        <f>IFERROR(__xludf.DUMMYFUNCTION("""COMPUTED_VALUE"""),"CIN")</f>
        <v>CIN</v>
      </c>
      <c r="E590" s="62" t="str">
        <f t="shared" si="4"/>
        <v>Jonathan Allen</v>
      </c>
      <c r="F590" s="62">
        <f t="shared" ref="F590:G590" si="1179">IF(isblank(F$1),,IF(isblank($A590),,IFERROR(vlookup($A590,indirect("'TVC-"&amp;text(month(F$1),"00")&amp;"'!$A:$D"),4,false),1)))</f>
        <v>1</v>
      </c>
      <c r="G590" s="62">
        <f t="shared" si="1179"/>
        <v>1</v>
      </c>
      <c r="H590" s="62">
        <f t="shared" ref="H590:Q590" si="1180">IF(isblank(H$1),,IFERROR(vlookup($A590,indirect("'TVC-"&amp;text(month(H$1),"00")&amp;"'!$A:$D"),4,false),1))</f>
        <v>1</v>
      </c>
      <c r="I590" s="62">
        <f t="shared" si="1180"/>
        <v>1</v>
      </c>
      <c r="J590" s="62">
        <f t="shared" si="1180"/>
        <v>1</v>
      </c>
      <c r="K590" s="62">
        <f t="shared" si="1180"/>
        <v>1</v>
      </c>
      <c r="L590" s="62">
        <f t="shared" si="1180"/>
        <v>1</v>
      </c>
      <c r="M590" s="62">
        <f t="shared" si="1180"/>
        <v>1</v>
      </c>
      <c r="N590" s="62">
        <f t="shared" si="1180"/>
        <v>1</v>
      </c>
      <c r="O590" s="62">
        <f t="shared" si="1180"/>
        <v>1</v>
      </c>
      <c r="P590" s="62" t="str">
        <f t="shared" si="1180"/>
        <v/>
      </c>
      <c r="Q590" s="62" t="str">
        <f t="shared" si="1180"/>
        <v/>
      </c>
      <c r="R590" s="62">
        <f t="shared" si="7"/>
        <v>0</v>
      </c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</row>
    <row r="591" hidden="1">
      <c r="A591" s="60">
        <f>IFERROR(__xludf.DUMMYFUNCTION("""COMPUTED_VALUE"""),13211.0)</f>
        <v>13211</v>
      </c>
      <c r="B591" s="60" t="str">
        <f>IFERROR(__xludf.DUMMYFUNCTION("""COMPUTED_VALUE"""),"Watkins, Carlos")</f>
        <v>Watkins, Carlos</v>
      </c>
      <c r="C591" s="60" t="str">
        <f>IFERROR(__xludf.DUMMYFUNCTION("""COMPUTED_VALUE"""),"DT")</f>
        <v>DT</v>
      </c>
      <c r="D591" s="60" t="str">
        <f>IFERROR(__xludf.DUMMYFUNCTION("""COMPUTED_VALUE"""),"TEN")</f>
        <v>TEN</v>
      </c>
      <c r="E591" s="62" t="str">
        <f t="shared" si="4"/>
        <v>Carlos Watkins</v>
      </c>
      <c r="F591" s="62">
        <f t="shared" ref="F591:G591" si="1181">IF(isblank(F$1),,IF(isblank($A591),,IFERROR(vlookup($A591,indirect("'TVC-"&amp;text(month(F$1),"00")&amp;"'!$A:$D"),4,false),1)))</f>
        <v>1</v>
      </c>
      <c r="G591" s="62">
        <f t="shared" si="1181"/>
        <v>1</v>
      </c>
      <c r="H591" s="62">
        <f t="shared" ref="H591:Q591" si="1182">IF(isblank(H$1),,IFERROR(vlookup($A591,indirect("'TVC-"&amp;text(month(H$1),"00")&amp;"'!$A:$D"),4,false),1))</f>
        <v>1</v>
      </c>
      <c r="I591" s="62">
        <f t="shared" si="1182"/>
        <v>1</v>
      </c>
      <c r="J591" s="62">
        <f t="shared" si="1182"/>
        <v>1</v>
      </c>
      <c r="K591" s="62">
        <f t="shared" si="1182"/>
        <v>1</v>
      </c>
      <c r="L591" s="62">
        <f t="shared" si="1182"/>
        <v>1</v>
      </c>
      <c r="M591" s="62">
        <f t="shared" si="1182"/>
        <v>1</v>
      </c>
      <c r="N591" s="62">
        <f t="shared" si="1182"/>
        <v>1</v>
      </c>
      <c r="O591" s="62">
        <f t="shared" si="1182"/>
        <v>1</v>
      </c>
      <c r="P591" s="62" t="str">
        <f t="shared" si="1182"/>
        <v/>
      </c>
      <c r="Q591" s="62" t="str">
        <f t="shared" si="1182"/>
        <v/>
      </c>
      <c r="R591" s="62">
        <f t="shared" si="7"/>
        <v>0</v>
      </c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</row>
    <row r="592" hidden="1">
      <c r="A592" s="60">
        <f>IFERROR(__xludf.DUMMYFUNCTION("""COMPUTED_VALUE"""),13214.0)</f>
        <v>13214</v>
      </c>
      <c r="B592" s="60" t="str">
        <f>IFERROR(__xludf.DUMMYFUNCTION("""COMPUTED_VALUE"""),"Watt, T.J.")</f>
        <v>Watt, T.J.</v>
      </c>
      <c r="C592" s="60" t="str">
        <f>IFERROR(__xludf.DUMMYFUNCTION("""COMPUTED_VALUE"""),"DE")</f>
        <v>DE</v>
      </c>
      <c r="D592" s="60" t="str">
        <f>IFERROR(__xludf.DUMMYFUNCTION("""COMPUTED_VALUE"""),"PIT")</f>
        <v>PIT</v>
      </c>
      <c r="E592" s="62" t="str">
        <f t="shared" si="4"/>
        <v>T.J. Watt</v>
      </c>
      <c r="F592" s="62">
        <f t="shared" ref="F592:G592" si="1183">IF(isblank(F$1),,IF(isblank($A592),,IFERROR(vlookup($A592,indirect("'TVC-"&amp;text(month(F$1),"00")&amp;"'!$A:$D"),4,false),1)))</f>
        <v>1</v>
      </c>
      <c r="G592" s="62">
        <f t="shared" si="1183"/>
        <v>1</v>
      </c>
      <c r="H592" s="62">
        <f t="shared" ref="H592:Q592" si="1184">IF(isblank(H$1),,IFERROR(vlookup($A592,indirect("'TVC-"&amp;text(month(H$1),"00")&amp;"'!$A:$D"),4,false),1))</f>
        <v>1</v>
      </c>
      <c r="I592" s="62">
        <f t="shared" si="1184"/>
        <v>1</v>
      </c>
      <c r="J592" s="62">
        <f t="shared" si="1184"/>
        <v>1</v>
      </c>
      <c r="K592" s="62">
        <f t="shared" si="1184"/>
        <v>1</v>
      </c>
      <c r="L592" s="62">
        <f t="shared" si="1184"/>
        <v>1</v>
      </c>
      <c r="M592" s="62">
        <f t="shared" si="1184"/>
        <v>1</v>
      </c>
      <c r="N592" s="62">
        <f t="shared" si="1184"/>
        <v>1</v>
      </c>
      <c r="O592" s="62">
        <f t="shared" si="1184"/>
        <v>1</v>
      </c>
      <c r="P592" s="62" t="str">
        <f t="shared" si="1184"/>
        <v/>
      </c>
      <c r="Q592" s="62" t="str">
        <f t="shared" si="1184"/>
        <v/>
      </c>
      <c r="R592" s="62">
        <f t="shared" si="7"/>
        <v>0</v>
      </c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</row>
    <row r="593" hidden="1">
      <c r="A593" s="60">
        <f>IFERROR(__xludf.DUMMYFUNCTION("""COMPUTED_VALUE"""),13216.0)</f>
        <v>13216</v>
      </c>
      <c r="B593" s="60" t="str">
        <f>IFERROR(__xludf.DUMMYFUNCTION("""COMPUTED_VALUE"""),"Cunningham, Zach")</f>
        <v>Cunningham, Zach</v>
      </c>
      <c r="C593" s="60" t="str">
        <f>IFERROR(__xludf.DUMMYFUNCTION("""COMPUTED_VALUE"""),"LB")</f>
        <v>LB</v>
      </c>
      <c r="D593" s="60" t="str">
        <f>IFERROR(__xludf.DUMMYFUNCTION("""COMPUTED_VALUE"""),"DET")</f>
        <v>DET</v>
      </c>
      <c r="E593" s="62" t="str">
        <f t="shared" si="4"/>
        <v>Zach Cunningham</v>
      </c>
      <c r="F593" s="62">
        <f t="shared" ref="F593:G593" si="1185">IF(isblank(F$1),,IF(isblank($A593),,IFERROR(vlookup($A593,indirect("'TVC-"&amp;text(month(F$1),"00")&amp;"'!$A:$D"),4,false),1)))</f>
        <v>1</v>
      </c>
      <c r="G593" s="62">
        <f t="shared" si="1185"/>
        <v>1</v>
      </c>
      <c r="H593" s="62">
        <f t="shared" ref="H593:Q593" si="1186">IF(isblank(H$1),,IFERROR(vlookup($A593,indirect("'TVC-"&amp;text(month(H$1),"00")&amp;"'!$A:$D"),4,false),1))</f>
        <v>1</v>
      </c>
      <c r="I593" s="62">
        <f t="shared" si="1186"/>
        <v>1</v>
      </c>
      <c r="J593" s="62">
        <f t="shared" si="1186"/>
        <v>1</v>
      </c>
      <c r="K593" s="62">
        <f t="shared" si="1186"/>
        <v>1</v>
      </c>
      <c r="L593" s="62">
        <f t="shared" si="1186"/>
        <v>1</v>
      </c>
      <c r="M593" s="62">
        <f t="shared" si="1186"/>
        <v>1</v>
      </c>
      <c r="N593" s="62">
        <f t="shared" si="1186"/>
        <v>1</v>
      </c>
      <c r="O593" s="62">
        <f t="shared" si="1186"/>
        <v>1</v>
      </c>
      <c r="P593" s="62" t="str">
        <f t="shared" si="1186"/>
        <v/>
      </c>
      <c r="Q593" s="62" t="str">
        <f t="shared" si="1186"/>
        <v/>
      </c>
      <c r="R593" s="62">
        <f t="shared" si="7"/>
        <v>0</v>
      </c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</row>
    <row r="594" hidden="1">
      <c r="A594" s="60">
        <f>IFERROR(__xludf.DUMMYFUNCTION("""COMPUTED_VALUE"""),13223.0)</f>
        <v>13223</v>
      </c>
      <c r="B594" s="60" t="str">
        <f>IFERROR(__xludf.DUMMYFUNCTION("""COMPUTED_VALUE"""),"Humphrey, Marlon")</f>
        <v>Humphrey, Marlon</v>
      </c>
      <c r="C594" s="60" t="str">
        <f>IFERROR(__xludf.DUMMYFUNCTION("""COMPUTED_VALUE"""),"CB")</f>
        <v>CB</v>
      </c>
      <c r="D594" s="60" t="str">
        <f>IFERROR(__xludf.DUMMYFUNCTION("""COMPUTED_VALUE"""),"BAL")</f>
        <v>BAL</v>
      </c>
      <c r="E594" s="62" t="str">
        <f t="shared" si="4"/>
        <v>Marlon Humphrey</v>
      </c>
      <c r="F594" s="62">
        <f t="shared" ref="F594:G594" si="1187">IF(isblank(F$1),,IF(isblank($A594),,IFERROR(vlookup($A594,indirect("'TVC-"&amp;text(month(F$1),"00")&amp;"'!$A:$D"),4,false),1)))</f>
        <v>1</v>
      </c>
      <c r="G594" s="62">
        <f t="shared" si="1187"/>
        <v>1</v>
      </c>
      <c r="H594" s="62">
        <f t="shared" ref="H594:Q594" si="1188">IF(isblank(H$1),,IFERROR(vlookup($A594,indirect("'TVC-"&amp;text(month(H$1),"00")&amp;"'!$A:$D"),4,false),1))</f>
        <v>1</v>
      </c>
      <c r="I594" s="62">
        <f t="shared" si="1188"/>
        <v>1</v>
      </c>
      <c r="J594" s="62">
        <f t="shared" si="1188"/>
        <v>1</v>
      </c>
      <c r="K594" s="62">
        <f t="shared" si="1188"/>
        <v>1</v>
      </c>
      <c r="L594" s="62">
        <f t="shared" si="1188"/>
        <v>1</v>
      </c>
      <c r="M594" s="62">
        <f t="shared" si="1188"/>
        <v>1</v>
      </c>
      <c r="N594" s="62">
        <f t="shared" si="1188"/>
        <v>1</v>
      </c>
      <c r="O594" s="62">
        <f t="shared" si="1188"/>
        <v>1</v>
      </c>
      <c r="P594" s="62" t="str">
        <f t="shared" si="1188"/>
        <v/>
      </c>
      <c r="Q594" s="62" t="str">
        <f t="shared" si="1188"/>
        <v/>
      </c>
      <c r="R594" s="62">
        <f t="shared" si="7"/>
        <v>0</v>
      </c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</row>
    <row r="595" hidden="1">
      <c r="A595" s="60">
        <f>IFERROR(__xludf.DUMMYFUNCTION("""COMPUTED_VALUE"""),13224.0)</f>
        <v>13224</v>
      </c>
      <c r="B595" s="60" t="str">
        <f>IFERROR(__xludf.DUMMYFUNCTION("""COMPUTED_VALUE"""),"Lattimore, Marshon")</f>
        <v>Lattimore, Marshon</v>
      </c>
      <c r="C595" s="60" t="str">
        <f>IFERROR(__xludf.DUMMYFUNCTION("""COMPUTED_VALUE"""),"CB")</f>
        <v>CB</v>
      </c>
      <c r="D595" s="60" t="str">
        <f>IFERROR(__xludf.DUMMYFUNCTION("""COMPUTED_VALUE"""),"FA")</f>
        <v>FA</v>
      </c>
      <c r="E595" s="62" t="str">
        <f t="shared" si="4"/>
        <v>Marshon Lattimore</v>
      </c>
      <c r="F595" s="62">
        <f t="shared" ref="F595:G595" si="1189">IF(isblank(F$1),,IF(isblank($A595),,IFERROR(vlookup($A595,indirect("'TVC-"&amp;text(month(F$1),"00")&amp;"'!$A:$D"),4,false),1)))</f>
        <v>1</v>
      </c>
      <c r="G595" s="62">
        <f t="shared" si="1189"/>
        <v>1</v>
      </c>
      <c r="H595" s="62">
        <f t="shared" ref="H595:Q595" si="1190">IF(isblank(H$1),,IFERROR(vlookup($A595,indirect("'TVC-"&amp;text(month(H$1),"00")&amp;"'!$A:$D"),4,false),1))</f>
        <v>1</v>
      </c>
      <c r="I595" s="62">
        <f t="shared" si="1190"/>
        <v>1</v>
      </c>
      <c r="J595" s="62">
        <f t="shared" si="1190"/>
        <v>1</v>
      </c>
      <c r="K595" s="62">
        <f t="shared" si="1190"/>
        <v>1</v>
      </c>
      <c r="L595" s="62">
        <f t="shared" si="1190"/>
        <v>1</v>
      </c>
      <c r="M595" s="62">
        <f t="shared" si="1190"/>
        <v>1</v>
      </c>
      <c r="N595" s="62">
        <f t="shared" si="1190"/>
        <v>1</v>
      </c>
      <c r="O595" s="62">
        <f t="shared" si="1190"/>
        <v>1</v>
      </c>
      <c r="P595" s="62" t="str">
        <f t="shared" si="1190"/>
        <v/>
      </c>
      <c r="Q595" s="62" t="str">
        <f t="shared" si="1190"/>
        <v/>
      </c>
      <c r="R595" s="62">
        <f t="shared" si="7"/>
        <v>0</v>
      </c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</row>
    <row r="596" hidden="1">
      <c r="A596" s="60">
        <f>IFERROR(__xludf.DUMMYFUNCTION("""COMPUTED_VALUE"""),13226.0)</f>
        <v>13226</v>
      </c>
      <c r="B596" s="60" t="str">
        <f>IFERROR(__xludf.DUMMYFUNCTION("""COMPUTED_VALUE"""),"Jackson, Adoree")</f>
        <v>Jackson, Adoree</v>
      </c>
      <c r="C596" s="60" t="str">
        <f>IFERROR(__xludf.DUMMYFUNCTION("""COMPUTED_VALUE"""),"CB")</f>
        <v>CB</v>
      </c>
      <c r="D596" s="60" t="str">
        <f>IFERROR(__xludf.DUMMYFUNCTION("""COMPUTED_VALUE"""),"PHI")</f>
        <v>PHI</v>
      </c>
      <c r="E596" s="62" t="str">
        <f t="shared" si="4"/>
        <v>Adoree Jackson</v>
      </c>
      <c r="F596" s="62">
        <f t="shared" ref="F596:G596" si="1191">IF(isblank(F$1),,IF(isblank($A596),,IFERROR(vlookup($A596,indirect("'TVC-"&amp;text(month(F$1),"00")&amp;"'!$A:$D"),4,false),1)))</f>
        <v>1</v>
      </c>
      <c r="G596" s="62">
        <f t="shared" si="1191"/>
        <v>1</v>
      </c>
      <c r="H596" s="62">
        <f t="shared" ref="H596:Q596" si="1192">IF(isblank(H$1),,IFERROR(vlookup($A596,indirect("'TVC-"&amp;text(month(H$1),"00")&amp;"'!$A:$D"),4,false),1))</f>
        <v>1</v>
      </c>
      <c r="I596" s="62">
        <f t="shared" si="1192"/>
        <v>1</v>
      </c>
      <c r="J596" s="62">
        <f t="shared" si="1192"/>
        <v>1</v>
      </c>
      <c r="K596" s="62">
        <f t="shared" si="1192"/>
        <v>1</v>
      </c>
      <c r="L596" s="62">
        <f t="shared" si="1192"/>
        <v>1</v>
      </c>
      <c r="M596" s="62">
        <f t="shared" si="1192"/>
        <v>1</v>
      </c>
      <c r="N596" s="62">
        <f t="shared" si="1192"/>
        <v>1</v>
      </c>
      <c r="O596" s="62">
        <f t="shared" si="1192"/>
        <v>1</v>
      </c>
      <c r="P596" s="62" t="str">
        <f t="shared" si="1192"/>
        <v/>
      </c>
      <c r="Q596" s="62" t="str">
        <f t="shared" si="1192"/>
        <v/>
      </c>
      <c r="R596" s="62">
        <f t="shared" si="7"/>
        <v>0</v>
      </c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</row>
    <row r="597" hidden="1">
      <c r="A597" s="60">
        <f>IFERROR(__xludf.DUMMYFUNCTION("""COMPUTED_VALUE"""),13227.0)</f>
        <v>13227</v>
      </c>
      <c r="B597" s="60" t="str">
        <f>IFERROR(__xludf.DUMMYFUNCTION("""COMPUTED_VALUE"""),"Lewis, Jourdan")</f>
        <v>Lewis, Jourdan</v>
      </c>
      <c r="C597" s="60" t="str">
        <f>IFERROR(__xludf.DUMMYFUNCTION("""COMPUTED_VALUE"""),"CB")</f>
        <v>CB</v>
      </c>
      <c r="D597" s="60" t="str">
        <f>IFERROR(__xludf.DUMMYFUNCTION("""COMPUTED_VALUE"""),"JAC")</f>
        <v>JAC</v>
      </c>
      <c r="E597" s="62" t="str">
        <f t="shared" si="4"/>
        <v>Jourdan Lewis</v>
      </c>
      <c r="F597" s="62">
        <f t="shared" ref="F597:G597" si="1193">IF(isblank(F$1),,IF(isblank($A597),,IFERROR(vlookup($A597,indirect("'TVC-"&amp;text(month(F$1),"00")&amp;"'!$A:$D"),4,false),1)))</f>
        <v>1</v>
      </c>
      <c r="G597" s="62">
        <f t="shared" si="1193"/>
        <v>1</v>
      </c>
      <c r="H597" s="62">
        <f t="shared" ref="H597:Q597" si="1194">IF(isblank(H$1),,IFERROR(vlookup($A597,indirect("'TVC-"&amp;text(month(H$1),"00")&amp;"'!$A:$D"),4,false),1))</f>
        <v>1</v>
      </c>
      <c r="I597" s="62">
        <f t="shared" si="1194"/>
        <v>1</v>
      </c>
      <c r="J597" s="62">
        <f t="shared" si="1194"/>
        <v>1</v>
      </c>
      <c r="K597" s="62">
        <f t="shared" si="1194"/>
        <v>1</v>
      </c>
      <c r="L597" s="62">
        <f t="shared" si="1194"/>
        <v>1</v>
      </c>
      <c r="M597" s="62">
        <f t="shared" si="1194"/>
        <v>1</v>
      </c>
      <c r="N597" s="62">
        <f t="shared" si="1194"/>
        <v>1</v>
      </c>
      <c r="O597" s="62">
        <f t="shared" si="1194"/>
        <v>1</v>
      </c>
      <c r="P597" s="62" t="str">
        <f t="shared" si="1194"/>
        <v/>
      </c>
      <c r="Q597" s="62" t="str">
        <f t="shared" si="1194"/>
        <v/>
      </c>
      <c r="R597" s="62">
        <f t="shared" si="7"/>
        <v>0</v>
      </c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</row>
    <row r="598" hidden="1">
      <c r="A598" s="60">
        <f>IFERROR(__xludf.DUMMYFUNCTION("""COMPUTED_VALUE"""),13228.0)</f>
        <v>13228</v>
      </c>
      <c r="B598" s="60" t="str">
        <f>IFERROR(__xludf.DUMMYFUNCTION("""COMPUTED_VALUE"""),"Hooker, Malik")</f>
        <v>Hooker, Malik</v>
      </c>
      <c r="C598" s="60" t="str">
        <f>IFERROR(__xludf.DUMMYFUNCTION("""COMPUTED_VALUE"""),"S")</f>
        <v>S</v>
      </c>
      <c r="D598" s="60" t="str">
        <f>IFERROR(__xludf.DUMMYFUNCTION("""COMPUTED_VALUE"""),"DAL")</f>
        <v>DAL</v>
      </c>
      <c r="E598" s="62" t="str">
        <f t="shared" si="4"/>
        <v>Malik Hooker</v>
      </c>
      <c r="F598" s="62">
        <f t="shared" ref="F598:G598" si="1195">IF(isblank(F$1),,IF(isblank($A598),,IFERROR(vlookup($A598,indirect("'TVC-"&amp;text(month(F$1),"00")&amp;"'!$A:$D"),4,false),1)))</f>
        <v>1</v>
      </c>
      <c r="G598" s="62">
        <f t="shared" si="1195"/>
        <v>1</v>
      </c>
      <c r="H598" s="62">
        <f t="shared" ref="H598:Q598" si="1196">IF(isblank(H$1),,IFERROR(vlookup($A598,indirect("'TVC-"&amp;text(month(H$1),"00")&amp;"'!$A:$D"),4,false),1))</f>
        <v>1</v>
      </c>
      <c r="I598" s="62">
        <f t="shared" si="1196"/>
        <v>1</v>
      </c>
      <c r="J598" s="62">
        <f t="shared" si="1196"/>
        <v>1</v>
      </c>
      <c r="K598" s="62">
        <f t="shared" si="1196"/>
        <v>1</v>
      </c>
      <c r="L598" s="62">
        <f t="shared" si="1196"/>
        <v>1</v>
      </c>
      <c r="M598" s="62">
        <f t="shared" si="1196"/>
        <v>1</v>
      </c>
      <c r="N598" s="62">
        <f t="shared" si="1196"/>
        <v>1</v>
      </c>
      <c r="O598" s="62">
        <f t="shared" si="1196"/>
        <v>1</v>
      </c>
      <c r="P598" s="62" t="str">
        <f t="shared" si="1196"/>
        <v/>
      </c>
      <c r="Q598" s="62" t="str">
        <f t="shared" si="1196"/>
        <v/>
      </c>
      <c r="R598" s="62">
        <f t="shared" si="7"/>
        <v>0</v>
      </c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</row>
    <row r="599" hidden="1">
      <c r="A599" s="60">
        <f>IFERROR(__xludf.DUMMYFUNCTION("""COMPUTED_VALUE"""),13230.0)</f>
        <v>13230</v>
      </c>
      <c r="B599" s="60" t="str">
        <f>IFERROR(__xludf.DUMMYFUNCTION("""COMPUTED_VALUE"""),"Adams, Jamal")</f>
        <v>Adams, Jamal</v>
      </c>
      <c r="C599" s="60" t="str">
        <f>IFERROR(__xludf.DUMMYFUNCTION("""COMPUTED_VALUE"""),"LB")</f>
        <v>LB</v>
      </c>
      <c r="D599" s="60" t="str">
        <f>IFERROR(__xludf.DUMMYFUNCTION("""COMPUTED_VALUE"""),"MIN")</f>
        <v>MIN</v>
      </c>
      <c r="E599" s="62" t="str">
        <f t="shared" si="4"/>
        <v>Jamal Adams</v>
      </c>
      <c r="F599" s="62">
        <f t="shared" ref="F599:G599" si="1197">IF(isblank(F$1),,IF(isblank($A599),,IFERROR(vlookup($A599,indirect("'TVC-"&amp;text(month(F$1),"00")&amp;"'!$A:$D"),4,false),1)))</f>
        <v>1</v>
      </c>
      <c r="G599" s="62">
        <f t="shared" si="1197"/>
        <v>1</v>
      </c>
      <c r="H599" s="62">
        <f t="shared" ref="H599:Q599" si="1198">IF(isblank(H$1),,IFERROR(vlookup($A599,indirect("'TVC-"&amp;text(month(H$1),"00")&amp;"'!$A:$D"),4,false),1))</f>
        <v>1</v>
      </c>
      <c r="I599" s="62">
        <f t="shared" si="1198"/>
        <v>1</v>
      </c>
      <c r="J599" s="62">
        <f t="shared" si="1198"/>
        <v>1</v>
      </c>
      <c r="K599" s="62">
        <f t="shared" si="1198"/>
        <v>1</v>
      </c>
      <c r="L599" s="62">
        <f t="shared" si="1198"/>
        <v>1</v>
      </c>
      <c r="M599" s="62">
        <f t="shared" si="1198"/>
        <v>1</v>
      </c>
      <c r="N599" s="62">
        <f t="shared" si="1198"/>
        <v>1</v>
      </c>
      <c r="O599" s="62">
        <f t="shared" si="1198"/>
        <v>1</v>
      </c>
      <c r="P599" s="62" t="str">
        <f t="shared" si="1198"/>
        <v/>
      </c>
      <c r="Q599" s="62" t="str">
        <f t="shared" si="1198"/>
        <v/>
      </c>
      <c r="R599" s="62">
        <f t="shared" si="7"/>
        <v>0</v>
      </c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</row>
    <row r="600" hidden="1">
      <c r="A600" s="60">
        <f>IFERROR(__xludf.DUMMYFUNCTION("""COMPUTED_VALUE"""),13231.0)</f>
        <v>13231</v>
      </c>
      <c r="B600" s="60" t="str">
        <f>IFERROR(__xludf.DUMMYFUNCTION("""COMPUTED_VALUE"""),"Peppers, Jabrill")</f>
        <v>Peppers, Jabrill</v>
      </c>
      <c r="C600" s="60" t="str">
        <f>IFERROR(__xludf.DUMMYFUNCTION("""COMPUTED_VALUE"""),"S")</f>
        <v>S</v>
      </c>
      <c r="D600" s="60" t="str">
        <f>IFERROR(__xludf.DUMMYFUNCTION("""COMPUTED_VALUE"""),"PIT")</f>
        <v>PIT</v>
      </c>
      <c r="E600" s="62" t="str">
        <f t="shared" si="4"/>
        <v>Jabrill Peppers</v>
      </c>
      <c r="F600" s="62">
        <f t="shared" ref="F600:G600" si="1199">IF(isblank(F$1),,IF(isblank($A600),,IFERROR(vlookup($A600,indirect("'TVC-"&amp;text(month(F$1),"00")&amp;"'!$A:$D"),4,false),1)))</f>
        <v>1</v>
      </c>
      <c r="G600" s="62">
        <f t="shared" si="1199"/>
        <v>1</v>
      </c>
      <c r="H600" s="62">
        <f t="shared" ref="H600:Q600" si="1200">IF(isblank(H$1),,IFERROR(vlookup($A600,indirect("'TVC-"&amp;text(month(H$1),"00")&amp;"'!$A:$D"),4,false),1))</f>
        <v>1</v>
      </c>
      <c r="I600" s="62">
        <f t="shared" si="1200"/>
        <v>1</v>
      </c>
      <c r="J600" s="62">
        <f t="shared" si="1200"/>
        <v>1</v>
      </c>
      <c r="K600" s="62">
        <f t="shared" si="1200"/>
        <v>1</v>
      </c>
      <c r="L600" s="62">
        <f t="shared" si="1200"/>
        <v>1</v>
      </c>
      <c r="M600" s="62">
        <f t="shared" si="1200"/>
        <v>1</v>
      </c>
      <c r="N600" s="62">
        <f t="shared" si="1200"/>
        <v>1</v>
      </c>
      <c r="O600" s="62">
        <f t="shared" si="1200"/>
        <v>1</v>
      </c>
      <c r="P600" s="62" t="str">
        <f t="shared" si="1200"/>
        <v/>
      </c>
      <c r="Q600" s="62" t="str">
        <f t="shared" si="1200"/>
        <v/>
      </c>
      <c r="R600" s="62">
        <f t="shared" si="7"/>
        <v>0</v>
      </c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</row>
    <row r="601" hidden="1">
      <c r="A601" s="60">
        <f>IFERROR(__xludf.DUMMYFUNCTION("""COMPUTED_VALUE"""),13233.0)</f>
        <v>13233</v>
      </c>
      <c r="B601" s="60" t="str">
        <f>IFERROR(__xludf.DUMMYFUNCTION("""COMPUTED_VALUE"""),"Shanahan, Kyle")</f>
        <v>Shanahan, Kyle</v>
      </c>
      <c r="C601" s="60" t="str">
        <f>IFERROR(__xludf.DUMMYFUNCTION("""COMPUTED_VALUE"""),"Coach")</f>
        <v>Coach</v>
      </c>
      <c r="D601" s="60" t="str">
        <f>IFERROR(__xludf.DUMMYFUNCTION("""COMPUTED_VALUE"""),"SFO")</f>
        <v>SFO</v>
      </c>
      <c r="E601" s="62" t="str">
        <f t="shared" si="4"/>
        <v>Kyle Shanahan</v>
      </c>
      <c r="F601" s="62">
        <f t="shared" ref="F601:G601" si="1201">IF(isblank(F$1),,IF(isblank($A601),,IFERROR(vlookup($A601,indirect("'TVC-"&amp;text(month(F$1),"00")&amp;"'!$A:$D"),4,false),1)))</f>
        <v>1</v>
      </c>
      <c r="G601" s="62">
        <f t="shared" si="1201"/>
        <v>1</v>
      </c>
      <c r="H601" s="62">
        <f t="shared" ref="H601:Q601" si="1202">IF(isblank(H$1),,IFERROR(vlookup($A601,indirect("'TVC-"&amp;text(month(H$1),"00")&amp;"'!$A:$D"),4,false),1))</f>
        <v>1</v>
      </c>
      <c r="I601" s="62">
        <f t="shared" si="1202"/>
        <v>1</v>
      </c>
      <c r="J601" s="62">
        <f t="shared" si="1202"/>
        <v>1</v>
      </c>
      <c r="K601" s="62">
        <f t="shared" si="1202"/>
        <v>1</v>
      </c>
      <c r="L601" s="62">
        <f t="shared" si="1202"/>
        <v>1</v>
      </c>
      <c r="M601" s="62">
        <f t="shared" si="1202"/>
        <v>1</v>
      </c>
      <c r="N601" s="62">
        <f t="shared" si="1202"/>
        <v>1</v>
      </c>
      <c r="O601" s="62">
        <f t="shared" si="1202"/>
        <v>1</v>
      </c>
      <c r="P601" s="62" t="str">
        <f t="shared" si="1202"/>
        <v/>
      </c>
      <c r="Q601" s="62" t="str">
        <f t="shared" si="1202"/>
        <v/>
      </c>
      <c r="R601" s="62">
        <f t="shared" si="7"/>
        <v>0</v>
      </c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</row>
    <row r="602" hidden="1">
      <c r="A602" s="60">
        <f>IFERROR(__xludf.DUMMYFUNCTION("""COMPUTED_VALUE"""),13236.0)</f>
        <v>13236</v>
      </c>
      <c r="B602" s="60" t="str">
        <f>IFERROR(__xludf.DUMMYFUNCTION("""COMPUTED_VALUE"""),"Everett, Gerald")</f>
        <v>Everett, Gerald</v>
      </c>
      <c r="C602" s="60" t="str">
        <f>IFERROR(__xludf.DUMMYFUNCTION("""COMPUTED_VALUE"""),"TE")</f>
        <v>TE</v>
      </c>
      <c r="D602" s="60" t="str">
        <f>IFERROR(__xludf.DUMMYFUNCTION("""COMPUTED_VALUE"""),"FA")</f>
        <v>FA</v>
      </c>
      <c r="E602" s="62" t="str">
        <f t="shared" si="4"/>
        <v>Gerald Everett</v>
      </c>
      <c r="F602" s="62">
        <f t="shared" ref="F602:G602" si="1203">IF(isblank(F$1),,IF(isblank($A602),,IFERROR(vlookup($A602,indirect("'TVC-"&amp;text(month(F$1),"00")&amp;"'!$A:$D"),4,false),1)))</f>
        <v>1</v>
      </c>
      <c r="G602" s="62">
        <f t="shared" si="1203"/>
        <v>1</v>
      </c>
      <c r="H602" s="62">
        <f t="shared" ref="H602:Q602" si="1204">IF(isblank(H$1),,IFERROR(vlookup($A602,indirect("'TVC-"&amp;text(month(H$1),"00")&amp;"'!$A:$D"),4,false),1))</f>
        <v>1</v>
      </c>
      <c r="I602" s="62">
        <f t="shared" si="1204"/>
        <v>1</v>
      </c>
      <c r="J602" s="62">
        <f t="shared" si="1204"/>
        <v>1</v>
      </c>
      <c r="K602" s="62">
        <f t="shared" si="1204"/>
        <v>1</v>
      </c>
      <c r="L602" s="62">
        <f t="shared" si="1204"/>
        <v>1</v>
      </c>
      <c r="M602" s="62">
        <f t="shared" si="1204"/>
        <v>1</v>
      </c>
      <c r="N602" s="62">
        <f t="shared" si="1204"/>
        <v>1</v>
      </c>
      <c r="O602" s="62">
        <f t="shared" si="1204"/>
        <v>1</v>
      </c>
      <c r="P602" s="62" t="str">
        <f t="shared" si="1204"/>
        <v/>
      </c>
      <c r="Q602" s="62" t="str">
        <f t="shared" si="1204"/>
        <v/>
      </c>
      <c r="R602" s="62">
        <f t="shared" si="7"/>
        <v>0</v>
      </c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</row>
    <row r="603" hidden="1">
      <c r="A603" s="60">
        <f>IFERROR(__xludf.DUMMYFUNCTION("""COMPUTED_VALUE"""),13245.0)</f>
        <v>13245</v>
      </c>
      <c r="B603" s="60" t="str">
        <f>IFERROR(__xludf.DUMMYFUNCTION("""COMPUTED_VALUE"""),"Reddick, Haason")</f>
        <v>Reddick, Haason</v>
      </c>
      <c r="C603" s="60" t="str">
        <f>IFERROR(__xludf.DUMMYFUNCTION("""COMPUTED_VALUE"""),"DE")</f>
        <v>DE</v>
      </c>
      <c r="D603" s="60" t="str">
        <f>IFERROR(__xludf.DUMMYFUNCTION("""COMPUTED_VALUE"""),"TBB")</f>
        <v>TBB</v>
      </c>
      <c r="E603" s="62" t="str">
        <f t="shared" si="4"/>
        <v>Haason Reddick</v>
      </c>
      <c r="F603" s="62">
        <f t="shared" ref="F603:G603" si="1205">IF(isblank(F$1),,IF(isblank($A603),,IFERROR(vlookup($A603,indirect("'TVC-"&amp;text(month(F$1),"00")&amp;"'!$A:$D"),4,false),1)))</f>
        <v>1</v>
      </c>
      <c r="G603" s="62">
        <f t="shared" si="1205"/>
        <v>1</v>
      </c>
      <c r="H603" s="62">
        <f t="shared" ref="H603:Q603" si="1206">IF(isblank(H$1),,IFERROR(vlookup($A603,indirect("'TVC-"&amp;text(month(H$1),"00")&amp;"'!$A:$D"),4,false),1))</f>
        <v>1</v>
      </c>
      <c r="I603" s="62">
        <f t="shared" si="1206"/>
        <v>1</v>
      </c>
      <c r="J603" s="62">
        <f t="shared" si="1206"/>
        <v>1</v>
      </c>
      <c r="K603" s="62">
        <f t="shared" si="1206"/>
        <v>1</v>
      </c>
      <c r="L603" s="62">
        <f t="shared" si="1206"/>
        <v>1</v>
      </c>
      <c r="M603" s="62">
        <f t="shared" si="1206"/>
        <v>1</v>
      </c>
      <c r="N603" s="62">
        <f t="shared" si="1206"/>
        <v>1</v>
      </c>
      <c r="O603" s="62">
        <f t="shared" si="1206"/>
        <v>1</v>
      </c>
      <c r="P603" s="62" t="str">
        <f t="shared" si="1206"/>
        <v/>
      </c>
      <c r="Q603" s="62" t="str">
        <f t="shared" si="1206"/>
        <v/>
      </c>
      <c r="R603" s="62">
        <f t="shared" si="7"/>
        <v>0</v>
      </c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</row>
    <row r="604" hidden="1">
      <c r="A604" s="60">
        <f>IFERROR(__xludf.DUMMYFUNCTION("""COMPUTED_VALUE"""),13246.0)</f>
        <v>13246</v>
      </c>
      <c r="B604" s="60" t="str">
        <f>IFERROR(__xludf.DUMMYFUNCTION("""COMPUTED_VALUE"""),"Alie-Cox, Mo")</f>
        <v>Alie-Cox, Mo</v>
      </c>
      <c r="C604" s="60" t="str">
        <f>IFERROR(__xludf.DUMMYFUNCTION("""COMPUTED_VALUE"""),"TE")</f>
        <v>TE</v>
      </c>
      <c r="D604" s="60" t="str">
        <f>IFERROR(__xludf.DUMMYFUNCTION("""COMPUTED_VALUE"""),"IND")</f>
        <v>IND</v>
      </c>
      <c r="E604" s="62" t="str">
        <f t="shared" si="4"/>
        <v>Mo Alie-Cox</v>
      </c>
      <c r="F604" s="62">
        <f t="shared" ref="F604:G604" si="1207">IF(isblank(F$1),,IF(isblank($A604),,IFERROR(vlookup($A604,indirect("'TVC-"&amp;text(month(F$1),"00")&amp;"'!$A:$D"),4,false),1)))</f>
        <v>1</v>
      </c>
      <c r="G604" s="62">
        <f t="shared" si="1207"/>
        <v>1</v>
      </c>
      <c r="H604" s="62">
        <f t="shared" ref="H604:Q604" si="1208">IF(isblank(H$1),,IFERROR(vlookup($A604,indirect("'TVC-"&amp;text(month(H$1),"00")&amp;"'!$A:$D"),4,false),1))</f>
        <v>1</v>
      </c>
      <c r="I604" s="62">
        <f t="shared" si="1208"/>
        <v>1</v>
      </c>
      <c r="J604" s="62">
        <f t="shared" si="1208"/>
        <v>1</v>
      </c>
      <c r="K604" s="62">
        <f t="shared" si="1208"/>
        <v>1</v>
      </c>
      <c r="L604" s="62">
        <f t="shared" si="1208"/>
        <v>1</v>
      </c>
      <c r="M604" s="62">
        <f t="shared" si="1208"/>
        <v>1</v>
      </c>
      <c r="N604" s="62">
        <f t="shared" si="1208"/>
        <v>1</v>
      </c>
      <c r="O604" s="62">
        <f t="shared" si="1208"/>
        <v>1</v>
      </c>
      <c r="P604" s="62" t="str">
        <f t="shared" si="1208"/>
        <v/>
      </c>
      <c r="Q604" s="62" t="str">
        <f t="shared" si="1208"/>
        <v/>
      </c>
      <c r="R604" s="62">
        <f t="shared" si="7"/>
        <v>0</v>
      </c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</row>
    <row r="605" hidden="1">
      <c r="A605" s="60">
        <f>IFERROR(__xludf.DUMMYFUNCTION("""COMPUTED_VALUE"""),13249.0)</f>
        <v>13249</v>
      </c>
      <c r="B605" s="60" t="str">
        <f>IFERROR(__xludf.DUMMYFUNCTION("""COMPUTED_VALUE"""),"White, Tre'Davious")</f>
        <v>White, Tre'Davious</v>
      </c>
      <c r="C605" s="60" t="str">
        <f>IFERROR(__xludf.DUMMYFUNCTION("""COMPUTED_VALUE"""),"CB")</f>
        <v>CB</v>
      </c>
      <c r="D605" s="60" t="str">
        <f>IFERROR(__xludf.DUMMYFUNCTION("""COMPUTED_VALUE"""),"BUF")</f>
        <v>BUF</v>
      </c>
      <c r="E605" s="62" t="str">
        <f t="shared" si="4"/>
        <v>Tre'Davious White</v>
      </c>
      <c r="F605" s="62">
        <f t="shared" ref="F605:G605" si="1209">IF(isblank(F$1),,IF(isblank($A605),,IFERROR(vlookup($A605,indirect("'TVC-"&amp;text(month(F$1),"00")&amp;"'!$A:$D"),4,false),1)))</f>
        <v>1</v>
      </c>
      <c r="G605" s="62">
        <f t="shared" si="1209"/>
        <v>1</v>
      </c>
      <c r="H605" s="62">
        <f t="shared" ref="H605:Q605" si="1210">IF(isblank(H$1),,IFERROR(vlookup($A605,indirect("'TVC-"&amp;text(month(H$1),"00")&amp;"'!$A:$D"),4,false),1))</f>
        <v>1</v>
      </c>
      <c r="I605" s="62">
        <f t="shared" si="1210"/>
        <v>1</v>
      </c>
      <c r="J605" s="62">
        <f t="shared" si="1210"/>
        <v>1</v>
      </c>
      <c r="K605" s="62">
        <f t="shared" si="1210"/>
        <v>1</v>
      </c>
      <c r="L605" s="62">
        <f t="shared" si="1210"/>
        <v>1</v>
      </c>
      <c r="M605" s="62">
        <f t="shared" si="1210"/>
        <v>1</v>
      </c>
      <c r="N605" s="62">
        <f t="shared" si="1210"/>
        <v>1</v>
      </c>
      <c r="O605" s="62">
        <f t="shared" si="1210"/>
        <v>1</v>
      </c>
      <c r="P605" s="62" t="str">
        <f t="shared" si="1210"/>
        <v/>
      </c>
      <c r="Q605" s="62" t="str">
        <f t="shared" si="1210"/>
        <v/>
      </c>
      <c r="R605" s="62">
        <f t="shared" si="7"/>
        <v>0</v>
      </c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</row>
    <row r="606" hidden="1">
      <c r="A606" s="60">
        <f>IFERROR(__xludf.DUMMYFUNCTION("""COMPUTED_VALUE"""),13251.0)</f>
        <v>13251</v>
      </c>
      <c r="B606" s="60" t="str">
        <f>IFERROR(__xludf.DUMMYFUNCTION("""COMPUTED_VALUE"""),"Baker, Budda")</f>
        <v>Baker, Budda</v>
      </c>
      <c r="C606" s="60" t="str">
        <f>IFERROR(__xludf.DUMMYFUNCTION("""COMPUTED_VALUE"""),"S")</f>
        <v>S</v>
      </c>
      <c r="D606" s="60" t="str">
        <f>IFERROR(__xludf.DUMMYFUNCTION("""COMPUTED_VALUE"""),"ARI")</f>
        <v>ARI</v>
      </c>
      <c r="E606" s="62" t="str">
        <f t="shared" si="4"/>
        <v>Budda Baker</v>
      </c>
      <c r="F606" s="62">
        <f t="shared" ref="F606:G606" si="1211">IF(isblank(F$1),,IF(isblank($A606),,IFERROR(vlookup($A606,indirect("'TVC-"&amp;text(month(F$1),"00")&amp;"'!$A:$D"),4,false),1)))</f>
        <v>1</v>
      </c>
      <c r="G606" s="62">
        <f t="shared" si="1211"/>
        <v>1</v>
      </c>
      <c r="H606" s="62">
        <f t="shared" ref="H606:Q606" si="1212">IF(isblank(H$1),,IFERROR(vlookup($A606,indirect("'TVC-"&amp;text(month(H$1),"00")&amp;"'!$A:$D"),4,false),1))</f>
        <v>1</v>
      </c>
      <c r="I606" s="62">
        <f t="shared" si="1212"/>
        <v>1</v>
      </c>
      <c r="J606" s="62">
        <f t="shared" si="1212"/>
        <v>1</v>
      </c>
      <c r="K606" s="62">
        <f t="shared" si="1212"/>
        <v>1</v>
      </c>
      <c r="L606" s="62">
        <f t="shared" si="1212"/>
        <v>1</v>
      </c>
      <c r="M606" s="62">
        <f t="shared" si="1212"/>
        <v>1</v>
      </c>
      <c r="N606" s="62">
        <f t="shared" si="1212"/>
        <v>1</v>
      </c>
      <c r="O606" s="62">
        <f t="shared" si="1212"/>
        <v>1</v>
      </c>
      <c r="P606" s="62" t="str">
        <f t="shared" si="1212"/>
        <v/>
      </c>
      <c r="Q606" s="62" t="str">
        <f t="shared" si="1212"/>
        <v/>
      </c>
      <c r="R606" s="62">
        <f t="shared" si="7"/>
        <v>0</v>
      </c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</row>
    <row r="607" hidden="1">
      <c r="A607" s="60">
        <f>IFERROR(__xludf.DUMMYFUNCTION("""COMPUTED_VALUE"""),13252.0)</f>
        <v>13252</v>
      </c>
      <c r="B607" s="60" t="str">
        <f>IFERROR(__xludf.DUMMYFUNCTION("""COMPUTED_VALUE"""),"Maye, Marcus")</f>
        <v>Maye, Marcus</v>
      </c>
      <c r="C607" s="60" t="str">
        <f>IFERROR(__xludf.DUMMYFUNCTION("""COMPUTED_VALUE"""),"S")</f>
        <v>S</v>
      </c>
      <c r="D607" s="60" t="str">
        <f>IFERROR(__xludf.DUMMYFUNCTION("""COMPUTED_VALUE"""),"LAC")</f>
        <v>LAC</v>
      </c>
      <c r="E607" s="62" t="str">
        <f t="shared" si="4"/>
        <v>Marcus Maye</v>
      </c>
      <c r="F607" s="62">
        <f t="shared" ref="F607:G607" si="1213">IF(isblank(F$1),,IF(isblank($A607),,IFERROR(vlookup($A607,indirect("'TVC-"&amp;text(month(F$1),"00")&amp;"'!$A:$D"),4,false),1)))</f>
        <v>1</v>
      </c>
      <c r="G607" s="62">
        <f t="shared" si="1213"/>
        <v>1</v>
      </c>
      <c r="H607" s="62">
        <f t="shared" ref="H607:Q607" si="1214">IF(isblank(H$1),,IFERROR(vlookup($A607,indirect("'TVC-"&amp;text(month(H$1),"00")&amp;"'!$A:$D"),4,false),1))</f>
        <v>1</v>
      </c>
      <c r="I607" s="62">
        <f t="shared" si="1214"/>
        <v>1</v>
      </c>
      <c r="J607" s="62">
        <f t="shared" si="1214"/>
        <v>1</v>
      </c>
      <c r="K607" s="62">
        <f t="shared" si="1214"/>
        <v>1</v>
      </c>
      <c r="L607" s="62">
        <f t="shared" si="1214"/>
        <v>1</v>
      </c>
      <c r="M607" s="62">
        <f t="shared" si="1214"/>
        <v>1</v>
      </c>
      <c r="N607" s="62">
        <f t="shared" si="1214"/>
        <v>1</v>
      </c>
      <c r="O607" s="62">
        <f t="shared" si="1214"/>
        <v>1</v>
      </c>
      <c r="P607" s="62" t="str">
        <f t="shared" si="1214"/>
        <v/>
      </c>
      <c r="Q607" s="62" t="str">
        <f t="shared" si="1214"/>
        <v/>
      </c>
      <c r="R607" s="62">
        <f t="shared" si="7"/>
        <v>0</v>
      </c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</row>
    <row r="608" hidden="1">
      <c r="A608" s="60">
        <f>IFERROR(__xludf.DUMMYFUNCTION("""COMPUTED_VALUE"""),13253.0)</f>
        <v>13253</v>
      </c>
      <c r="B608" s="60" t="str">
        <f>IFERROR(__xludf.DUMMYFUNCTION("""COMPUTED_VALUE"""),"Williams, Marcus")</f>
        <v>Williams, Marcus</v>
      </c>
      <c r="C608" s="60" t="str">
        <f>IFERROR(__xludf.DUMMYFUNCTION("""COMPUTED_VALUE"""),"S")</f>
        <v>S</v>
      </c>
      <c r="D608" s="60" t="str">
        <f>IFERROR(__xludf.DUMMYFUNCTION("""COMPUTED_VALUE"""),"LAC")</f>
        <v>LAC</v>
      </c>
      <c r="E608" s="62" t="str">
        <f t="shared" si="4"/>
        <v>Marcus Williams</v>
      </c>
      <c r="F608" s="62">
        <f t="shared" ref="F608:G608" si="1215">IF(isblank(F$1),,IF(isblank($A608),,IFERROR(vlookup($A608,indirect("'TVC-"&amp;text(month(F$1),"00")&amp;"'!$A:$D"),4,false),1)))</f>
        <v>1</v>
      </c>
      <c r="G608" s="62">
        <f t="shared" si="1215"/>
        <v>1</v>
      </c>
      <c r="H608" s="62">
        <f t="shared" ref="H608:Q608" si="1216">IF(isblank(H$1),,IFERROR(vlookup($A608,indirect("'TVC-"&amp;text(month(H$1),"00")&amp;"'!$A:$D"),4,false),1))</f>
        <v>1</v>
      </c>
      <c r="I608" s="62">
        <f t="shared" si="1216"/>
        <v>1</v>
      </c>
      <c r="J608" s="62">
        <f t="shared" si="1216"/>
        <v>1</v>
      </c>
      <c r="K608" s="62">
        <f t="shared" si="1216"/>
        <v>1</v>
      </c>
      <c r="L608" s="62">
        <f t="shared" si="1216"/>
        <v>1</v>
      </c>
      <c r="M608" s="62">
        <f t="shared" si="1216"/>
        <v>1</v>
      </c>
      <c r="N608" s="62">
        <f t="shared" si="1216"/>
        <v>1</v>
      </c>
      <c r="O608" s="62">
        <f t="shared" si="1216"/>
        <v>1</v>
      </c>
      <c r="P608" s="62" t="str">
        <f t="shared" si="1216"/>
        <v/>
      </c>
      <c r="Q608" s="62" t="str">
        <f t="shared" si="1216"/>
        <v/>
      </c>
      <c r="R608" s="62">
        <f t="shared" si="7"/>
        <v>0</v>
      </c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</row>
    <row r="609" hidden="1">
      <c r="A609" s="60">
        <f>IFERROR(__xludf.DUMMYFUNCTION("""COMPUTED_VALUE"""),13258.0)</f>
        <v>13258</v>
      </c>
      <c r="B609" s="60" t="str">
        <f>IFERROR(__xludf.DUMMYFUNCTION("""COMPUTED_VALUE"""),"Walker, DeMarcus")</f>
        <v>Walker, DeMarcus</v>
      </c>
      <c r="C609" s="60" t="str">
        <f>IFERROR(__xludf.DUMMYFUNCTION("""COMPUTED_VALUE"""),"DE")</f>
        <v>DE</v>
      </c>
      <c r="D609" s="60" t="str">
        <f>IFERROR(__xludf.DUMMYFUNCTION("""COMPUTED_VALUE"""),"WAS")</f>
        <v>WAS</v>
      </c>
      <c r="E609" s="62" t="str">
        <f t="shared" si="4"/>
        <v>DeMarcus Walker</v>
      </c>
      <c r="F609" s="62">
        <f t="shared" ref="F609:G609" si="1217">IF(isblank(F$1),,IF(isblank($A609),,IFERROR(vlookup($A609,indirect("'TVC-"&amp;text(month(F$1),"00")&amp;"'!$A:$D"),4,false),1)))</f>
        <v>1</v>
      </c>
      <c r="G609" s="62">
        <f t="shared" si="1217"/>
        <v>1</v>
      </c>
      <c r="H609" s="62">
        <f t="shared" ref="H609:Q609" si="1218">IF(isblank(H$1),,IFERROR(vlookup($A609,indirect("'TVC-"&amp;text(month(H$1),"00")&amp;"'!$A:$D"),4,false),1))</f>
        <v>1</v>
      </c>
      <c r="I609" s="62">
        <f t="shared" si="1218"/>
        <v>1</v>
      </c>
      <c r="J609" s="62">
        <f t="shared" si="1218"/>
        <v>1</v>
      </c>
      <c r="K609" s="62">
        <f t="shared" si="1218"/>
        <v>1</v>
      </c>
      <c r="L609" s="62">
        <f t="shared" si="1218"/>
        <v>1</v>
      </c>
      <c r="M609" s="62">
        <f t="shared" si="1218"/>
        <v>1</v>
      </c>
      <c r="N609" s="62">
        <f t="shared" si="1218"/>
        <v>1</v>
      </c>
      <c r="O609" s="62">
        <f t="shared" si="1218"/>
        <v>1</v>
      </c>
      <c r="P609" s="62" t="str">
        <f t="shared" si="1218"/>
        <v/>
      </c>
      <c r="Q609" s="62" t="str">
        <f t="shared" si="1218"/>
        <v/>
      </c>
      <c r="R609" s="62">
        <f t="shared" si="7"/>
        <v>0</v>
      </c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</row>
    <row r="610" hidden="1">
      <c r="A610" s="60">
        <f>IFERROR(__xludf.DUMMYFUNCTION("""COMPUTED_VALUE"""),13260.0)</f>
        <v>13260</v>
      </c>
      <c r="B610" s="60" t="str">
        <f>IFERROR(__xludf.DUMMYFUNCTION("""COMPUTED_VALUE"""),"Tomlinson, Dalvin")</f>
        <v>Tomlinson, Dalvin</v>
      </c>
      <c r="C610" s="60" t="str">
        <f>IFERROR(__xludf.DUMMYFUNCTION("""COMPUTED_VALUE"""),"DT")</f>
        <v>DT</v>
      </c>
      <c r="D610" s="60" t="str">
        <f>IFERROR(__xludf.DUMMYFUNCTION("""COMPUTED_VALUE"""),"LAC")</f>
        <v>LAC</v>
      </c>
      <c r="E610" s="62" t="str">
        <f t="shared" si="4"/>
        <v>Dalvin Tomlinson</v>
      </c>
      <c r="F610" s="62">
        <f t="shared" ref="F610:G610" si="1219">IF(isblank(F$1),,IF(isblank($A610),,IFERROR(vlookup($A610,indirect("'TVC-"&amp;text(month(F$1),"00")&amp;"'!$A:$D"),4,false),1)))</f>
        <v>1</v>
      </c>
      <c r="G610" s="62">
        <f t="shared" si="1219"/>
        <v>1</v>
      </c>
      <c r="H610" s="62">
        <f t="shared" ref="H610:Q610" si="1220">IF(isblank(H$1),,IFERROR(vlookup($A610,indirect("'TVC-"&amp;text(month(H$1),"00")&amp;"'!$A:$D"),4,false),1))</f>
        <v>1</v>
      </c>
      <c r="I610" s="62">
        <f t="shared" si="1220"/>
        <v>1</v>
      </c>
      <c r="J610" s="62">
        <f t="shared" si="1220"/>
        <v>1</v>
      </c>
      <c r="K610" s="62">
        <f t="shared" si="1220"/>
        <v>1</v>
      </c>
      <c r="L610" s="62">
        <f t="shared" si="1220"/>
        <v>1</v>
      </c>
      <c r="M610" s="62">
        <f t="shared" si="1220"/>
        <v>1</v>
      </c>
      <c r="N610" s="62">
        <f t="shared" si="1220"/>
        <v>1</v>
      </c>
      <c r="O610" s="62">
        <f t="shared" si="1220"/>
        <v>1</v>
      </c>
      <c r="P610" s="62" t="str">
        <f t="shared" si="1220"/>
        <v/>
      </c>
      <c r="Q610" s="62" t="str">
        <f t="shared" si="1220"/>
        <v/>
      </c>
      <c r="R610" s="62">
        <f t="shared" si="7"/>
        <v>0</v>
      </c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</row>
    <row r="611" hidden="1">
      <c r="A611" s="60">
        <f>IFERROR(__xludf.DUMMYFUNCTION("""COMPUTED_VALUE"""),13262.0)</f>
        <v>13262</v>
      </c>
      <c r="B611" s="60" t="str">
        <f>IFERROR(__xludf.DUMMYFUNCTION("""COMPUTED_VALUE"""),"Kpassagnon, Tanoh")</f>
        <v>Kpassagnon, Tanoh</v>
      </c>
      <c r="C611" s="60" t="str">
        <f>IFERROR(__xludf.DUMMYFUNCTION("""COMPUTED_VALUE"""),"DE")</f>
        <v>DE</v>
      </c>
      <c r="D611" s="60" t="str">
        <f>IFERROR(__xludf.DUMMYFUNCTION("""COMPUTED_VALUE"""),"TEN")</f>
        <v>TEN</v>
      </c>
      <c r="E611" s="62" t="str">
        <f t="shared" si="4"/>
        <v>Tanoh Kpassagnon</v>
      </c>
      <c r="F611" s="62">
        <f t="shared" ref="F611:G611" si="1221">IF(isblank(F$1),,IF(isblank($A611),,IFERROR(vlookup($A611,indirect("'TVC-"&amp;text(month(F$1),"00")&amp;"'!$A:$D"),4,false),1)))</f>
        <v>1</v>
      </c>
      <c r="G611" s="62">
        <f t="shared" si="1221"/>
        <v>1</v>
      </c>
      <c r="H611" s="62">
        <f t="shared" ref="H611:Q611" si="1222">IF(isblank(H$1),,IFERROR(vlookup($A611,indirect("'TVC-"&amp;text(month(H$1),"00")&amp;"'!$A:$D"),4,false),1))</f>
        <v>1</v>
      </c>
      <c r="I611" s="62">
        <f t="shared" si="1222"/>
        <v>1</v>
      </c>
      <c r="J611" s="62">
        <f t="shared" si="1222"/>
        <v>1</v>
      </c>
      <c r="K611" s="62">
        <f t="shared" si="1222"/>
        <v>1</v>
      </c>
      <c r="L611" s="62">
        <f t="shared" si="1222"/>
        <v>1</v>
      </c>
      <c r="M611" s="62">
        <f t="shared" si="1222"/>
        <v>1</v>
      </c>
      <c r="N611" s="62">
        <f t="shared" si="1222"/>
        <v>1</v>
      </c>
      <c r="O611" s="62">
        <f t="shared" si="1222"/>
        <v>1</v>
      </c>
      <c r="P611" s="62" t="str">
        <f t="shared" si="1222"/>
        <v/>
      </c>
      <c r="Q611" s="62" t="str">
        <f t="shared" si="1222"/>
        <v/>
      </c>
      <c r="R611" s="62">
        <f t="shared" si="7"/>
        <v>0</v>
      </c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</row>
    <row r="612" hidden="1">
      <c r="A612" s="60">
        <f>IFERROR(__xludf.DUMMYFUNCTION("""COMPUTED_VALUE"""),13263.0)</f>
        <v>13263</v>
      </c>
      <c r="B612" s="60" t="str">
        <f>IFERROR(__xludf.DUMMYFUNCTION("""COMPUTED_VALUE"""),"Awuzie, Chidobe")</f>
        <v>Awuzie, Chidobe</v>
      </c>
      <c r="C612" s="60" t="str">
        <f>IFERROR(__xludf.DUMMYFUNCTION("""COMPUTED_VALUE"""),"CB")</f>
        <v>CB</v>
      </c>
      <c r="D612" s="60" t="str">
        <f>IFERROR(__xludf.DUMMYFUNCTION("""COMPUTED_VALUE"""),"BAL")</f>
        <v>BAL</v>
      </c>
      <c r="E612" s="62" t="str">
        <f t="shared" si="4"/>
        <v>Chidobe Awuzie</v>
      </c>
      <c r="F612" s="62">
        <f t="shared" ref="F612:G612" si="1223">IF(isblank(F$1),,IF(isblank($A612),,IFERROR(vlookup($A612,indirect("'TVC-"&amp;text(month(F$1),"00")&amp;"'!$A:$D"),4,false),1)))</f>
        <v>1</v>
      </c>
      <c r="G612" s="62">
        <f t="shared" si="1223"/>
        <v>1</v>
      </c>
      <c r="H612" s="62">
        <f t="shared" ref="H612:Q612" si="1224">IF(isblank(H$1),,IFERROR(vlookup($A612,indirect("'TVC-"&amp;text(month(H$1),"00")&amp;"'!$A:$D"),4,false),1))</f>
        <v>1</v>
      </c>
      <c r="I612" s="62">
        <f t="shared" si="1224"/>
        <v>1</v>
      </c>
      <c r="J612" s="62">
        <f t="shared" si="1224"/>
        <v>1</v>
      </c>
      <c r="K612" s="62">
        <f t="shared" si="1224"/>
        <v>1</v>
      </c>
      <c r="L612" s="62">
        <f t="shared" si="1224"/>
        <v>1</v>
      </c>
      <c r="M612" s="62">
        <f t="shared" si="1224"/>
        <v>1</v>
      </c>
      <c r="N612" s="62">
        <f t="shared" si="1224"/>
        <v>1</v>
      </c>
      <c r="O612" s="62">
        <f t="shared" si="1224"/>
        <v>1</v>
      </c>
      <c r="P612" s="62" t="str">
        <f t="shared" si="1224"/>
        <v/>
      </c>
      <c r="Q612" s="62" t="str">
        <f t="shared" si="1224"/>
        <v/>
      </c>
      <c r="R612" s="62">
        <f t="shared" si="7"/>
        <v>0</v>
      </c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</row>
    <row r="613" hidden="1">
      <c r="A613" s="60">
        <f>IFERROR(__xludf.DUMMYFUNCTION("""COMPUTED_VALUE"""),13265.0)</f>
        <v>13265</v>
      </c>
      <c r="B613" s="60" t="str">
        <f>IFERROR(__xludf.DUMMYFUNCTION("""COMPUTED_VALUE"""),"Ogunjobi, Larry")</f>
        <v>Ogunjobi, Larry</v>
      </c>
      <c r="C613" s="60" t="str">
        <f>IFERROR(__xludf.DUMMYFUNCTION("""COMPUTED_VALUE"""),"DT")</f>
        <v>DT</v>
      </c>
      <c r="D613" s="60" t="str">
        <f>IFERROR(__xludf.DUMMYFUNCTION("""COMPUTED_VALUE"""),"BUF")</f>
        <v>BUF</v>
      </c>
      <c r="E613" s="62" t="str">
        <f t="shared" si="4"/>
        <v>Larry Ogunjobi</v>
      </c>
      <c r="F613" s="62">
        <f t="shared" ref="F613:G613" si="1225">IF(isblank(F$1),,IF(isblank($A613),,IFERROR(vlookup($A613,indirect("'TVC-"&amp;text(month(F$1),"00")&amp;"'!$A:$D"),4,false),1)))</f>
        <v>1</v>
      </c>
      <c r="G613" s="62">
        <f t="shared" si="1225"/>
        <v>1</v>
      </c>
      <c r="H613" s="62">
        <f t="shared" ref="H613:Q613" si="1226">IF(isblank(H$1),,IFERROR(vlookup($A613,indirect("'TVC-"&amp;text(month(H$1),"00")&amp;"'!$A:$D"),4,false),1))</f>
        <v>1</v>
      </c>
      <c r="I613" s="62">
        <f t="shared" si="1226"/>
        <v>1</v>
      </c>
      <c r="J613" s="62">
        <f t="shared" si="1226"/>
        <v>1</v>
      </c>
      <c r="K613" s="62">
        <f t="shared" si="1226"/>
        <v>1</v>
      </c>
      <c r="L613" s="62">
        <f t="shared" si="1226"/>
        <v>1</v>
      </c>
      <c r="M613" s="62">
        <f t="shared" si="1226"/>
        <v>1</v>
      </c>
      <c r="N613" s="62">
        <f t="shared" si="1226"/>
        <v>1</v>
      </c>
      <c r="O613" s="62">
        <f t="shared" si="1226"/>
        <v>1</v>
      </c>
      <c r="P613" s="62" t="str">
        <f t="shared" si="1226"/>
        <v/>
      </c>
      <c r="Q613" s="62" t="str">
        <f t="shared" si="1226"/>
        <v/>
      </c>
      <c r="R613" s="62">
        <f t="shared" si="7"/>
        <v>0</v>
      </c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</row>
    <row r="614" hidden="1">
      <c r="A614" s="60">
        <f>IFERROR(__xludf.DUMMYFUNCTION("""COMPUTED_VALUE"""),13266.0)</f>
        <v>13266</v>
      </c>
      <c r="B614" s="60" t="str">
        <f>IFERROR(__xludf.DUMMYFUNCTION("""COMPUTED_VALUE"""),"Witherspoon, Ahkello")</f>
        <v>Witherspoon, Ahkello</v>
      </c>
      <c r="C614" s="60" t="str">
        <f>IFERROR(__xludf.DUMMYFUNCTION("""COMPUTED_VALUE"""),"CB")</f>
        <v>CB</v>
      </c>
      <c r="D614" s="60" t="str">
        <f>IFERROR(__xludf.DUMMYFUNCTION("""COMPUTED_VALUE"""),"FA")</f>
        <v>FA</v>
      </c>
      <c r="E614" s="62" t="str">
        <f t="shared" si="4"/>
        <v>Ahkello Witherspoon</v>
      </c>
      <c r="F614" s="62">
        <f t="shared" ref="F614:G614" si="1227">IF(isblank(F$1),,IF(isblank($A614),,IFERROR(vlookup($A614,indirect("'TVC-"&amp;text(month(F$1),"00")&amp;"'!$A:$D"),4,false),1)))</f>
        <v>1</v>
      </c>
      <c r="G614" s="62">
        <f t="shared" si="1227"/>
        <v>1</v>
      </c>
      <c r="H614" s="62">
        <f t="shared" ref="H614:Q614" si="1228">IF(isblank(H$1),,IFERROR(vlookup($A614,indirect("'TVC-"&amp;text(month(H$1),"00")&amp;"'!$A:$D"),4,false),1))</f>
        <v>1</v>
      </c>
      <c r="I614" s="62">
        <f t="shared" si="1228"/>
        <v>1</v>
      </c>
      <c r="J614" s="62">
        <f t="shared" si="1228"/>
        <v>1</v>
      </c>
      <c r="K614" s="62">
        <f t="shared" si="1228"/>
        <v>1</v>
      </c>
      <c r="L614" s="62">
        <f t="shared" si="1228"/>
        <v>1</v>
      </c>
      <c r="M614" s="62">
        <f t="shared" si="1228"/>
        <v>1</v>
      </c>
      <c r="N614" s="62">
        <f t="shared" si="1228"/>
        <v>1</v>
      </c>
      <c r="O614" s="62">
        <f t="shared" si="1228"/>
        <v>1</v>
      </c>
      <c r="P614" s="62" t="str">
        <f t="shared" si="1228"/>
        <v/>
      </c>
      <c r="Q614" s="62" t="str">
        <f t="shared" si="1228"/>
        <v/>
      </c>
      <c r="R614" s="62">
        <f t="shared" si="7"/>
        <v>0</v>
      </c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</row>
    <row r="615" hidden="1">
      <c r="A615" s="60">
        <f>IFERROR(__xludf.DUMMYFUNCTION("""COMPUTED_VALUE"""),13267.0)</f>
        <v>13267</v>
      </c>
      <c r="B615" s="60" t="str">
        <f>IFERROR(__xludf.DUMMYFUNCTION("""COMPUTED_VALUE"""),"Smoot, Dawuane")</f>
        <v>Smoot, Dawuane</v>
      </c>
      <c r="C615" s="60" t="str">
        <f>IFERROR(__xludf.DUMMYFUNCTION("""COMPUTED_VALUE"""),"DE")</f>
        <v>DE</v>
      </c>
      <c r="D615" s="60" t="str">
        <f>IFERROR(__xludf.DUMMYFUNCTION("""COMPUTED_VALUE"""),"NYG")</f>
        <v>NYG</v>
      </c>
      <c r="E615" s="62" t="str">
        <f t="shared" si="4"/>
        <v>Dawuane Smoot</v>
      </c>
      <c r="F615" s="62">
        <f t="shared" ref="F615:G615" si="1229">IF(isblank(F$1),,IF(isblank($A615),,IFERROR(vlookup($A615,indirect("'TVC-"&amp;text(month(F$1),"00")&amp;"'!$A:$D"),4,false),1)))</f>
        <v>1</v>
      </c>
      <c r="G615" s="62">
        <f t="shared" si="1229"/>
        <v>1</v>
      </c>
      <c r="H615" s="62">
        <f t="shared" ref="H615:Q615" si="1230">IF(isblank(H$1),,IFERROR(vlookup($A615,indirect("'TVC-"&amp;text(month(H$1),"00")&amp;"'!$A:$D"),4,false),1))</f>
        <v>1</v>
      </c>
      <c r="I615" s="62">
        <f t="shared" si="1230"/>
        <v>1</v>
      </c>
      <c r="J615" s="62">
        <f t="shared" si="1230"/>
        <v>1</v>
      </c>
      <c r="K615" s="62">
        <f t="shared" si="1230"/>
        <v>1</v>
      </c>
      <c r="L615" s="62">
        <f t="shared" si="1230"/>
        <v>1</v>
      </c>
      <c r="M615" s="62">
        <f t="shared" si="1230"/>
        <v>1</v>
      </c>
      <c r="N615" s="62">
        <f t="shared" si="1230"/>
        <v>1</v>
      </c>
      <c r="O615" s="62">
        <f t="shared" si="1230"/>
        <v>1</v>
      </c>
      <c r="P615" s="62" t="str">
        <f t="shared" si="1230"/>
        <v/>
      </c>
      <c r="Q615" s="62" t="str">
        <f t="shared" si="1230"/>
        <v/>
      </c>
      <c r="R615" s="62">
        <f t="shared" si="7"/>
        <v>0</v>
      </c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</row>
    <row r="616" hidden="1">
      <c r="A616" s="60">
        <f>IFERROR(__xludf.DUMMYFUNCTION("""COMPUTED_VALUE"""),13268.0)</f>
        <v>13268</v>
      </c>
      <c r="B616" s="60" t="str">
        <f>IFERROR(__xludf.DUMMYFUNCTION("""COMPUTED_VALUE"""),"Anzalone, Alex")</f>
        <v>Anzalone, Alex</v>
      </c>
      <c r="C616" s="60" t="str">
        <f>IFERROR(__xludf.DUMMYFUNCTION("""COMPUTED_VALUE"""),"LB")</f>
        <v>LB</v>
      </c>
      <c r="D616" s="60" t="str">
        <f>IFERROR(__xludf.DUMMYFUNCTION("""COMPUTED_VALUE"""),"TBB")</f>
        <v>TBB</v>
      </c>
      <c r="E616" s="62" t="str">
        <f t="shared" si="4"/>
        <v>Alex Anzalone</v>
      </c>
      <c r="F616" s="62">
        <f t="shared" ref="F616:G616" si="1231">IF(isblank(F$1),,IF(isblank($A616),,IFERROR(vlookup($A616,indirect("'TVC-"&amp;text(month(F$1),"00")&amp;"'!$A:$D"),4,false),1)))</f>
        <v>1</v>
      </c>
      <c r="G616" s="62">
        <f t="shared" si="1231"/>
        <v>1</v>
      </c>
      <c r="H616" s="62">
        <f t="shared" ref="H616:Q616" si="1232">IF(isblank(H$1),,IFERROR(vlookup($A616,indirect("'TVC-"&amp;text(month(H$1),"00")&amp;"'!$A:$D"),4,false),1))</f>
        <v>1</v>
      </c>
      <c r="I616" s="62">
        <f t="shared" si="1232"/>
        <v>1</v>
      </c>
      <c r="J616" s="62">
        <f t="shared" si="1232"/>
        <v>1</v>
      </c>
      <c r="K616" s="62">
        <f t="shared" si="1232"/>
        <v>1</v>
      </c>
      <c r="L616" s="62">
        <f t="shared" si="1232"/>
        <v>1</v>
      </c>
      <c r="M616" s="62">
        <f t="shared" si="1232"/>
        <v>1</v>
      </c>
      <c r="N616" s="62">
        <f t="shared" si="1232"/>
        <v>1</v>
      </c>
      <c r="O616" s="62">
        <f t="shared" si="1232"/>
        <v>1</v>
      </c>
      <c r="P616" s="62" t="str">
        <f t="shared" si="1232"/>
        <v/>
      </c>
      <c r="Q616" s="62" t="str">
        <f t="shared" si="1232"/>
        <v/>
      </c>
      <c r="R616" s="62">
        <f t="shared" si="7"/>
        <v>0</v>
      </c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</row>
    <row r="617" hidden="1">
      <c r="A617" s="60">
        <f>IFERROR(__xludf.DUMMYFUNCTION("""COMPUTED_VALUE"""),13270.0)</f>
        <v>13270</v>
      </c>
      <c r="B617" s="60" t="str">
        <f>IFERROR(__xludf.DUMMYFUNCTION("""COMPUTED_VALUE"""),"Moreau, Fabian")</f>
        <v>Moreau, Fabian</v>
      </c>
      <c r="C617" s="60" t="str">
        <f>IFERROR(__xludf.DUMMYFUNCTION("""COMPUTED_VALUE"""),"CB")</f>
        <v>CB</v>
      </c>
      <c r="D617" s="60" t="str">
        <f>IFERROR(__xludf.DUMMYFUNCTION("""COMPUTED_VALUE"""),"WAS")</f>
        <v>WAS</v>
      </c>
      <c r="E617" s="62" t="str">
        <f t="shared" si="4"/>
        <v>Fabian Moreau</v>
      </c>
      <c r="F617" s="62">
        <f t="shared" ref="F617:G617" si="1233">IF(isblank(F$1),,IF(isblank($A617),,IFERROR(vlookup($A617,indirect("'TVC-"&amp;text(month(F$1),"00")&amp;"'!$A:$D"),4,false),1)))</f>
        <v>1</v>
      </c>
      <c r="G617" s="62">
        <f t="shared" si="1233"/>
        <v>1</v>
      </c>
      <c r="H617" s="62">
        <f t="shared" ref="H617:Q617" si="1234">IF(isblank(H$1),,IFERROR(vlookup($A617,indirect("'TVC-"&amp;text(month(H$1),"00")&amp;"'!$A:$D"),4,false),1))</f>
        <v>1</v>
      </c>
      <c r="I617" s="62">
        <f t="shared" si="1234"/>
        <v>1</v>
      </c>
      <c r="J617" s="62">
        <f t="shared" si="1234"/>
        <v>1</v>
      </c>
      <c r="K617" s="62">
        <f t="shared" si="1234"/>
        <v>1</v>
      </c>
      <c r="L617" s="62">
        <f t="shared" si="1234"/>
        <v>1</v>
      </c>
      <c r="M617" s="62">
        <f t="shared" si="1234"/>
        <v>1</v>
      </c>
      <c r="N617" s="62">
        <f t="shared" si="1234"/>
        <v>1</v>
      </c>
      <c r="O617" s="62">
        <f t="shared" si="1234"/>
        <v>1</v>
      </c>
      <c r="P617" s="62" t="str">
        <f t="shared" si="1234"/>
        <v/>
      </c>
      <c r="Q617" s="62" t="str">
        <f t="shared" si="1234"/>
        <v/>
      </c>
      <c r="R617" s="62">
        <f t="shared" si="7"/>
        <v>0</v>
      </c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</row>
    <row r="618" hidden="1">
      <c r="A618" s="60">
        <f>IFERROR(__xludf.DUMMYFUNCTION("""COMPUTED_VALUE"""),13273.0)</f>
        <v>13273</v>
      </c>
      <c r="B618" s="60" t="str">
        <f>IFERROR(__xludf.DUMMYFUNCTION("""COMPUTED_VALUE"""),"Griffin, Shaq")</f>
        <v>Griffin, Shaq</v>
      </c>
      <c r="C618" s="60" t="str">
        <f>IFERROR(__xludf.DUMMYFUNCTION("""COMPUTED_VALUE"""),"CB")</f>
        <v>CB</v>
      </c>
      <c r="D618" s="60" t="str">
        <f>IFERROR(__xludf.DUMMYFUNCTION("""COMPUTED_VALUE"""),"FA")</f>
        <v>FA</v>
      </c>
      <c r="E618" s="62" t="str">
        <f t="shared" si="4"/>
        <v>Shaq Griffin</v>
      </c>
      <c r="F618" s="62">
        <f t="shared" ref="F618:G618" si="1235">IF(isblank(F$1),,IF(isblank($A618),,IFERROR(vlookup($A618,indirect("'TVC-"&amp;text(month(F$1),"00")&amp;"'!$A:$D"),4,false),1)))</f>
        <v>1</v>
      </c>
      <c r="G618" s="62">
        <f t="shared" si="1235"/>
        <v>1</v>
      </c>
      <c r="H618" s="62">
        <f t="shared" ref="H618:Q618" si="1236">IF(isblank(H$1),,IFERROR(vlookup($A618,indirect("'TVC-"&amp;text(month(H$1),"00")&amp;"'!$A:$D"),4,false),1))</f>
        <v>1</v>
      </c>
      <c r="I618" s="62">
        <f t="shared" si="1236"/>
        <v>1</v>
      </c>
      <c r="J618" s="62">
        <f t="shared" si="1236"/>
        <v>1</v>
      </c>
      <c r="K618" s="62">
        <f t="shared" si="1236"/>
        <v>1</v>
      </c>
      <c r="L618" s="62">
        <f t="shared" si="1236"/>
        <v>1</v>
      </c>
      <c r="M618" s="62">
        <f t="shared" si="1236"/>
        <v>1</v>
      </c>
      <c r="N618" s="62">
        <f t="shared" si="1236"/>
        <v>1</v>
      </c>
      <c r="O618" s="62">
        <f t="shared" si="1236"/>
        <v>1</v>
      </c>
      <c r="P618" s="62" t="str">
        <f t="shared" si="1236"/>
        <v/>
      </c>
      <c r="Q618" s="62" t="str">
        <f t="shared" si="1236"/>
        <v/>
      </c>
      <c r="R618" s="62">
        <f t="shared" si="7"/>
        <v>0</v>
      </c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</row>
    <row r="619" hidden="1">
      <c r="A619" s="60">
        <f>IFERROR(__xludf.DUMMYFUNCTION("""COMPUTED_VALUE"""),13281.0)</f>
        <v>13281</v>
      </c>
      <c r="B619" s="60" t="str">
        <f>IFERROR(__xludf.DUMMYFUNCTION("""COMPUTED_VALUE"""),"Douglas, Rasul")</f>
        <v>Douglas, Rasul</v>
      </c>
      <c r="C619" s="60" t="str">
        <f>IFERROR(__xludf.DUMMYFUNCTION("""COMPUTED_VALUE"""),"CB")</f>
        <v>CB</v>
      </c>
      <c r="D619" s="60" t="str">
        <f>IFERROR(__xludf.DUMMYFUNCTION("""COMPUTED_VALUE"""),"WAS")</f>
        <v>WAS</v>
      </c>
      <c r="E619" s="62" t="str">
        <f t="shared" si="4"/>
        <v>Rasul Douglas</v>
      </c>
      <c r="F619" s="62">
        <f t="shared" ref="F619:G619" si="1237">IF(isblank(F$1),,IF(isblank($A619),,IFERROR(vlookup($A619,indirect("'TVC-"&amp;text(month(F$1),"00")&amp;"'!$A:$D"),4,false),1)))</f>
        <v>1</v>
      </c>
      <c r="G619" s="62">
        <f t="shared" si="1237"/>
        <v>1</v>
      </c>
      <c r="H619" s="62">
        <f t="shared" ref="H619:Q619" si="1238">IF(isblank(H$1),,IFERROR(vlookup($A619,indirect("'TVC-"&amp;text(month(H$1),"00")&amp;"'!$A:$D"),4,false),1))</f>
        <v>1</v>
      </c>
      <c r="I619" s="62">
        <f t="shared" si="1238"/>
        <v>1</v>
      </c>
      <c r="J619" s="62">
        <f t="shared" si="1238"/>
        <v>1</v>
      </c>
      <c r="K619" s="62">
        <f t="shared" si="1238"/>
        <v>1</v>
      </c>
      <c r="L619" s="62">
        <f t="shared" si="1238"/>
        <v>1</v>
      </c>
      <c r="M619" s="62">
        <f t="shared" si="1238"/>
        <v>1</v>
      </c>
      <c r="N619" s="62">
        <f t="shared" si="1238"/>
        <v>1</v>
      </c>
      <c r="O619" s="62">
        <f t="shared" si="1238"/>
        <v>1</v>
      </c>
      <c r="P619" s="62" t="str">
        <f t="shared" si="1238"/>
        <v/>
      </c>
      <c r="Q619" s="62" t="str">
        <f t="shared" si="1238"/>
        <v/>
      </c>
      <c r="R619" s="62">
        <f t="shared" si="7"/>
        <v>0</v>
      </c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</row>
    <row r="620" hidden="1">
      <c r="A620" s="60">
        <f>IFERROR(__xludf.DUMMYFUNCTION("""COMPUTED_VALUE"""),13284.0)</f>
        <v>13284</v>
      </c>
      <c r="B620" s="60" t="str">
        <f>IFERROR(__xludf.DUMMYFUNCTION("""COMPUTED_VALUE"""),"Hendrickson, Trey")</f>
        <v>Hendrickson, Trey</v>
      </c>
      <c r="C620" s="60" t="str">
        <f>IFERROR(__xludf.DUMMYFUNCTION("""COMPUTED_VALUE"""),"DE")</f>
        <v>DE</v>
      </c>
      <c r="D620" s="60" t="str">
        <f>IFERROR(__xludf.DUMMYFUNCTION("""COMPUTED_VALUE"""),"BAL")</f>
        <v>BAL</v>
      </c>
      <c r="E620" s="62" t="str">
        <f t="shared" si="4"/>
        <v>Trey Hendrickson</v>
      </c>
      <c r="F620" s="62">
        <f t="shared" ref="F620:G620" si="1239">IF(isblank(F$1),,IF(isblank($A620),,IFERROR(vlookup($A620,indirect("'TVC-"&amp;text(month(F$1),"00")&amp;"'!$A:$D"),4,false),1)))</f>
        <v>1</v>
      </c>
      <c r="G620" s="62">
        <f t="shared" si="1239"/>
        <v>1</v>
      </c>
      <c r="H620" s="62">
        <f t="shared" ref="H620:Q620" si="1240">IF(isblank(H$1),,IFERROR(vlookup($A620,indirect("'TVC-"&amp;text(month(H$1),"00")&amp;"'!$A:$D"),4,false),1))</f>
        <v>1</v>
      </c>
      <c r="I620" s="62">
        <f t="shared" si="1240"/>
        <v>1</v>
      </c>
      <c r="J620" s="62">
        <f t="shared" si="1240"/>
        <v>1</v>
      </c>
      <c r="K620" s="62">
        <f t="shared" si="1240"/>
        <v>1</v>
      </c>
      <c r="L620" s="62">
        <f t="shared" si="1240"/>
        <v>1</v>
      </c>
      <c r="M620" s="62">
        <f t="shared" si="1240"/>
        <v>1</v>
      </c>
      <c r="N620" s="62">
        <f t="shared" si="1240"/>
        <v>1</v>
      </c>
      <c r="O620" s="62">
        <f t="shared" si="1240"/>
        <v>1</v>
      </c>
      <c r="P620" s="62" t="str">
        <f t="shared" si="1240"/>
        <v/>
      </c>
      <c r="Q620" s="62" t="str">
        <f t="shared" si="1240"/>
        <v/>
      </c>
      <c r="R620" s="62">
        <f t="shared" si="7"/>
        <v>0</v>
      </c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</row>
    <row r="621">
      <c r="A621" s="60">
        <f>IFERROR(__xludf.DUMMYFUNCTION("""COMPUTED_VALUE"""),13288.0)</f>
        <v>13288</v>
      </c>
      <c r="B621" s="60" t="str">
        <f>IFERROR(__xludf.DUMMYFUNCTION("""COMPUTED_VALUE"""),"Jenkins, Rayshawn")</f>
        <v>Jenkins, Rayshawn</v>
      </c>
      <c r="C621" s="60" t="str">
        <f>IFERROR(__xludf.DUMMYFUNCTION("""COMPUTED_VALUE"""),"S")</f>
        <v>S</v>
      </c>
      <c r="D621" s="60" t="str">
        <f>IFERROR(__xludf.DUMMYFUNCTION("""COMPUTED_VALUE"""),"PIT")</f>
        <v>PIT</v>
      </c>
      <c r="E621" s="62" t="str">
        <f t="shared" si="4"/>
        <v>Rayshawn Jenkins</v>
      </c>
      <c r="F621" s="62">
        <f t="shared" ref="F621:G621" si="1241">IF(isblank(F$1),,IF(isblank($A621),,IFERROR(vlookup($A621,indirect("'TVC-"&amp;text(month(F$1),"00")&amp;"'!$A:$D"),4,false),1)))</f>
        <v>1</v>
      </c>
      <c r="G621" s="62">
        <f t="shared" si="1241"/>
        <v>1</v>
      </c>
      <c r="H621" s="62">
        <f t="shared" ref="H621:Q621" si="1242">IF(isblank(H$1),,IFERROR(vlookup($A621,indirect("'TVC-"&amp;text(month(H$1),"00")&amp;"'!$A:$D"),4,false),1))</f>
        <v>1</v>
      </c>
      <c r="I621" s="62">
        <f t="shared" si="1242"/>
        <v>1</v>
      </c>
      <c r="J621" s="62">
        <f t="shared" si="1242"/>
        <v>1</v>
      </c>
      <c r="K621" s="62">
        <f t="shared" si="1242"/>
        <v>1</v>
      </c>
      <c r="L621" s="62">
        <f t="shared" si="1242"/>
        <v>1</v>
      </c>
      <c r="M621" s="62">
        <f t="shared" si="1242"/>
        <v>1</v>
      </c>
      <c r="N621" s="62">
        <f t="shared" si="1242"/>
        <v>1</v>
      </c>
      <c r="O621" s="62">
        <f t="shared" si="1242"/>
        <v>1</v>
      </c>
      <c r="P621" s="62" t="str">
        <f t="shared" si="1242"/>
        <v/>
      </c>
      <c r="Q621" s="62" t="str">
        <f t="shared" si="1242"/>
        <v/>
      </c>
      <c r="R621" s="62">
        <f t="shared" si="7"/>
        <v>0</v>
      </c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</row>
    <row r="622" hidden="1">
      <c r="A622" s="60">
        <f>IFERROR(__xludf.DUMMYFUNCTION("""COMPUTED_VALUE"""),13289.0)</f>
        <v>13289</v>
      </c>
      <c r="B622" s="60" t="str">
        <f>IFERROR(__xludf.DUMMYFUNCTION("""COMPUTED_VALUE"""),"Hollins, Mack")</f>
        <v>Hollins, Mack</v>
      </c>
      <c r="C622" s="60" t="str">
        <f>IFERROR(__xludf.DUMMYFUNCTION("""COMPUTED_VALUE"""),"WR")</f>
        <v>WR</v>
      </c>
      <c r="D622" s="60" t="str">
        <f>IFERROR(__xludf.DUMMYFUNCTION("""COMPUTED_VALUE"""),"NEP")</f>
        <v>NEP</v>
      </c>
      <c r="E622" s="62" t="str">
        <f t="shared" si="4"/>
        <v>Mack Hollins</v>
      </c>
      <c r="F622" s="62">
        <f t="shared" ref="F622:G622" si="1243">IF(isblank(F$1),,IF(isblank($A622),,IFERROR(vlookup($A622,indirect("'TVC-"&amp;text(month(F$1),"00")&amp;"'!$A:$D"),4,false),1)))</f>
        <v>1177</v>
      </c>
      <c r="G622" s="62">
        <f t="shared" si="1243"/>
        <v>1117</v>
      </c>
      <c r="H622" s="62">
        <f t="shared" ref="H622:Q622" si="1244">IF(isblank(H$1),,IFERROR(vlookup($A622,indirect("'TVC-"&amp;text(month(H$1),"00")&amp;"'!$A:$D"),4,false),1))</f>
        <v>1124</v>
      </c>
      <c r="I622" s="62">
        <f t="shared" si="1244"/>
        <v>1223</v>
      </c>
      <c r="J622" s="62">
        <f t="shared" si="1244"/>
        <v>1180</v>
      </c>
      <c r="K622" s="62">
        <f t="shared" si="1244"/>
        <v>1121</v>
      </c>
      <c r="L622" s="62">
        <f t="shared" si="1244"/>
        <v>1095</v>
      </c>
      <c r="M622" s="62">
        <f t="shared" si="1244"/>
        <v>1064</v>
      </c>
      <c r="N622" s="62">
        <f t="shared" si="1244"/>
        <v>947</v>
      </c>
      <c r="O622" s="62">
        <f t="shared" si="1244"/>
        <v>1</v>
      </c>
      <c r="P622" s="62" t="str">
        <f t="shared" si="1244"/>
        <v/>
      </c>
      <c r="Q622" s="62" t="str">
        <f t="shared" si="1244"/>
        <v/>
      </c>
      <c r="R622" s="62">
        <f t="shared" si="7"/>
        <v>-946</v>
      </c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</row>
    <row r="623" hidden="1">
      <c r="A623" s="60">
        <f>IFERROR(__xludf.DUMMYFUNCTION("""COMPUTED_VALUE"""),13293.0)</f>
        <v>13293</v>
      </c>
      <c r="B623" s="60" t="str">
        <f>IFERROR(__xludf.DUMMYFUNCTION("""COMPUTED_VALUE"""),"Reeves-Maybin, Jalen")</f>
        <v>Reeves-Maybin, Jalen</v>
      </c>
      <c r="C623" s="60" t="str">
        <f>IFERROR(__xludf.DUMMYFUNCTION("""COMPUTED_VALUE"""),"LB")</f>
        <v>LB</v>
      </c>
      <c r="D623" s="60" t="str">
        <f>IFERROR(__xludf.DUMMYFUNCTION("""COMPUTED_VALUE"""),"CHI")</f>
        <v>CHI</v>
      </c>
      <c r="E623" s="62" t="str">
        <f t="shared" si="4"/>
        <v>Jalen Reeves-Maybin</v>
      </c>
      <c r="F623" s="62">
        <f t="shared" ref="F623:G623" si="1245">IF(isblank(F$1),,IF(isblank($A623),,IFERROR(vlookup($A623,indirect("'TVC-"&amp;text(month(F$1),"00")&amp;"'!$A:$D"),4,false),1)))</f>
        <v>1</v>
      </c>
      <c r="G623" s="62">
        <f t="shared" si="1245"/>
        <v>1</v>
      </c>
      <c r="H623" s="62">
        <f t="shared" ref="H623:Q623" si="1246">IF(isblank(H$1),,IFERROR(vlookup($A623,indirect("'TVC-"&amp;text(month(H$1),"00")&amp;"'!$A:$D"),4,false),1))</f>
        <v>1</v>
      </c>
      <c r="I623" s="62">
        <f t="shared" si="1246"/>
        <v>1</v>
      </c>
      <c r="J623" s="62">
        <f t="shared" si="1246"/>
        <v>1</v>
      </c>
      <c r="K623" s="62">
        <f t="shared" si="1246"/>
        <v>1</v>
      </c>
      <c r="L623" s="62">
        <f t="shared" si="1246"/>
        <v>1</v>
      </c>
      <c r="M623" s="62">
        <f t="shared" si="1246"/>
        <v>1</v>
      </c>
      <c r="N623" s="62">
        <f t="shared" si="1246"/>
        <v>1</v>
      </c>
      <c r="O623" s="62">
        <f t="shared" si="1246"/>
        <v>1</v>
      </c>
      <c r="P623" s="62" t="str">
        <f t="shared" si="1246"/>
        <v/>
      </c>
      <c r="Q623" s="62" t="str">
        <f t="shared" si="1246"/>
        <v/>
      </c>
      <c r="R623" s="62">
        <f t="shared" si="7"/>
        <v>0</v>
      </c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</row>
    <row r="624" hidden="1">
      <c r="A624" s="60">
        <f>IFERROR(__xludf.DUMMYFUNCTION("""COMPUTED_VALUE"""),13294.0)</f>
        <v>13294</v>
      </c>
      <c r="B624" s="60" t="str">
        <f>IFERROR(__xludf.DUMMYFUNCTION("""COMPUTED_VALUE"""),"Ebukam, Samson")</f>
        <v>Ebukam, Samson</v>
      </c>
      <c r="C624" s="60" t="str">
        <f>IFERROR(__xludf.DUMMYFUNCTION("""COMPUTED_VALUE"""),"DE")</f>
        <v>DE</v>
      </c>
      <c r="D624" s="60" t="str">
        <f>IFERROR(__xludf.DUMMYFUNCTION("""COMPUTED_VALUE"""),"ATL")</f>
        <v>ATL</v>
      </c>
      <c r="E624" s="62" t="str">
        <f t="shared" si="4"/>
        <v>Samson Ebukam</v>
      </c>
      <c r="F624" s="62">
        <f t="shared" ref="F624:G624" si="1247">IF(isblank(F$1),,IF(isblank($A624),,IFERROR(vlookup($A624,indirect("'TVC-"&amp;text(month(F$1),"00")&amp;"'!$A:$D"),4,false),1)))</f>
        <v>1</v>
      </c>
      <c r="G624" s="62">
        <f t="shared" si="1247"/>
        <v>1</v>
      </c>
      <c r="H624" s="62">
        <f t="shared" ref="H624:Q624" si="1248">IF(isblank(H$1),,IFERROR(vlookup($A624,indirect("'TVC-"&amp;text(month(H$1),"00")&amp;"'!$A:$D"),4,false),1))</f>
        <v>1</v>
      </c>
      <c r="I624" s="62">
        <f t="shared" si="1248"/>
        <v>1</v>
      </c>
      <c r="J624" s="62">
        <f t="shared" si="1248"/>
        <v>1</v>
      </c>
      <c r="K624" s="62">
        <f t="shared" si="1248"/>
        <v>1</v>
      </c>
      <c r="L624" s="62">
        <f t="shared" si="1248"/>
        <v>1</v>
      </c>
      <c r="M624" s="62">
        <f t="shared" si="1248"/>
        <v>1</v>
      </c>
      <c r="N624" s="62">
        <f t="shared" si="1248"/>
        <v>1</v>
      </c>
      <c r="O624" s="62">
        <f t="shared" si="1248"/>
        <v>1</v>
      </c>
      <c r="P624" s="62" t="str">
        <f t="shared" si="1248"/>
        <v/>
      </c>
      <c r="Q624" s="62" t="str">
        <f t="shared" si="1248"/>
        <v/>
      </c>
      <c r="R624" s="62">
        <f t="shared" si="7"/>
        <v>0</v>
      </c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</row>
    <row r="625" hidden="1">
      <c r="A625" s="60">
        <f>IFERROR(__xludf.DUMMYFUNCTION("""COMPUTED_VALUE"""),13296.0)</f>
        <v>13296</v>
      </c>
      <c r="B625" s="60" t="str">
        <f>IFERROR(__xludf.DUMMYFUNCTION("""COMPUTED_VALUE"""),"Wise, Deatrich")</f>
        <v>Wise, Deatrich</v>
      </c>
      <c r="C625" s="60" t="str">
        <f>IFERROR(__xludf.DUMMYFUNCTION("""COMPUTED_VALUE"""),"DE")</f>
        <v>DE</v>
      </c>
      <c r="D625" s="60" t="str">
        <f>IFERROR(__xludf.DUMMYFUNCTION("""COMPUTED_VALUE"""),"WAS")</f>
        <v>WAS</v>
      </c>
      <c r="E625" s="62" t="str">
        <f t="shared" si="4"/>
        <v>Deatrich Wise</v>
      </c>
      <c r="F625" s="62">
        <f t="shared" ref="F625:G625" si="1249">IF(isblank(F$1),,IF(isblank($A625),,IFERROR(vlookup($A625,indirect("'TVC-"&amp;text(month(F$1),"00")&amp;"'!$A:$D"),4,false),1)))</f>
        <v>1</v>
      </c>
      <c r="G625" s="62">
        <f t="shared" si="1249"/>
        <v>1</v>
      </c>
      <c r="H625" s="62">
        <f t="shared" ref="H625:Q625" si="1250">IF(isblank(H$1),,IFERROR(vlookup($A625,indirect("'TVC-"&amp;text(month(H$1),"00")&amp;"'!$A:$D"),4,false),1))</f>
        <v>1</v>
      </c>
      <c r="I625" s="62">
        <f t="shared" si="1250"/>
        <v>1</v>
      </c>
      <c r="J625" s="62">
        <f t="shared" si="1250"/>
        <v>1</v>
      </c>
      <c r="K625" s="62">
        <f t="shared" si="1250"/>
        <v>1</v>
      </c>
      <c r="L625" s="62">
        <f t="shared" si="1250"/>
        <v>1</v>
      </c>
      <c r="M625" s="62">
        <f t="shared" si="1250"/>
        <v>1</v>
      </c>
      <c r="N625" s="62">
        <f t="shared" si="1250"/>
        <v>1</v>
      </c>
      <c r="O625" s="62">
        <f t="shared" si="1250"/>
        <v>1</v>
      </c>
      <c r="P625" s="62" t="str">
        <f t="shared" si="1250"/>
        <v/>
      </c>
      <c r="Q625" s="62" t="str">
        <f t="shared" si="1250"/>
        <v/>
      </c>
      <c r="R625" s="62">
        <f t="shared" si="7"/>
        <v>0</v>
      </c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</row>
    <row r="626">
      <c r="A626" s="60">
        <f>IFERROR(__xludf.DUMMYFUNCTION("""COMPUTED_VALUE"""),13298.0)</f>
        <v>13298</v>
      </c>
      <c r="B626" s="60" t="str">
        <f>IFERROR(__xludf.DUMMYFUNCTION("""COMPUTED_VALUE"""),"Stewart, Grover")</f>
        <v>Stewart, Grover</v>
      </c>
      <c r="C626" s="60" t="str">
        <f>IFERROR(__xludf.DUMMYFUNCTION("""COMPUTED_VALUE"""),"DT")</f>
        <v>DT</v>
      </c>
      <c r="D626" s="60" t="str">
        <f>IFERROR(__xludf.DUMMYFUNCTION("""COMPUTED_VALUE"""),"IND")</f>
        <v>IND</v>
      </c>
      <c r="E626" s="62" t="str">
        <f t="shared" si="4"/>
        <v>Grover Stewart</v>
      </c>
      <c r="F626" s="62">
        <f t="shared" ref="F626:G626" si="1251">IF(isblank(F$1),,IF(isblank($A626),,IFERROR(vlookup($A626,indirect("'TVC-"&amp;text(month(F$1),"00")&amp;"'!$A:$D"),4,false),1)))</f>
        <v>1</v>
      </c>
      <c r="G626" s="62">
        <f t="shared" si="1251"/>
        <v>1</v>
      </c>
      <c r="H626" s="62">
        <f t="shared" ref="H626:Q626" si="1252">IF(isblank(H$1),,IFERROR(vlookup($A626,indirect("'TVC-"&amp;text(month(H$1),"00")&amp;"'!$A:$D"),4,false),1))</f>
        <v>1</v>
      </c>
      <c r="I626" s="62">
        <f t="shared" si="1252"/>
        <v>1</v>
      </c>
      <c r="J626" s="62">
        <f t="shared" si="1252"/>
        <v>1</v>
      </c>
      <c r="K626" s="62">
        <f t="shared" si="1252"/>
        <v>1</v>
      </c>
      <c r="L626" s="62">
        <f t="shared" si="1252"/>
        <v>1</v>
      </c>
      <c r="M626" s="62">
        <f t="shared" si="1252"/>
        <v>1</v>
      </c>
      <c r="N626" s="62">
        <f t="shared" si="1252"/>
        <v>1</v>
      </c>
      <c r="O626" s="62">
        <f t="shared" si="1252"/>
        <v>1</v>
      </c>
      <c r="P626" s="62" t="str">
        <f t="shared" si="1252"/>
        <v/>
      </c>
      <c r="Q626" s="62" t="str">
        <f t="shared" si="1252"/>
        <v/>
      </c>
      <c r="R626" s="62">
        <f t="shared" si="7"/>
        <v>0</v>
      </c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</row>
    <row r="627" hidden="1">
      <c r="A627" s="60">
        <f>IFERROR(__xludf.DUMMYFUNCTION("""COMPUTED_VALUE"""),13299.0)</f>
        <v>13299</v>
      </c>
      <c r="B627" s="60" t="str">
        <f>IFERROR(__xludf.DUMMYFUNCTION("""COMPUTED_VALUE"""),"Kittle, George")</f>
        <v>Kittle, George</v>
      </c>
      <c r="C627" s="60" t="str">
        <f>IFERROR(__xludf.DUMMYFUNCTION("""COMPUTED_VALUE"""),"TE")</f>
        <v>TE</v>
      </c>
      <c r="D627" s="60" t="str">
        <f>IFERROR(__xludf.DUMMYFUNCTION("""COMPUTED_VALUE"""),"SFO")</f>
        <v>SFO</v>
      </c>
      <c r="E627" s="62" t="str">
        <f t="shared" si="4"/>
        <v>George Kittle</v>
      </c>
      <c r="F627" s="62">
        <f t="shared" ref="F627:G627" si="1253">IF(isblank(F$1),,IF(isblank($A627),,IFERROR(vlookup($A627,indirect("'TVC-"&amp;text(month(F$1),"00")&amp;"'!$A:$D"),4,false),1)))</f>
        <v>4549</v>
      </c>
      <c r="G627" s="62">
        <f t="shared" si="1253"/>
        <v>3945</v>
      </c>
      <c r="H627" s="62">
        <f t="shared" ref="H627:Q627" si="1254">IF(isblank(H$1),,IFERROR(vlookup($A627,indirect("'TVC-"&amp;text(month(H$1),"00")&amp;"'!$A:$D"),4,false),1))</f>
        <v>3888</v>
      </c>
      <c r="I627" s="62">
        <f t="shared" si="1254"/>
        <v>3726</v>
      </c>
      <c r="J627" s="62">
        <f t="shared" si="1254"/>
        <v>3768</v>
      </c>
      <c r="K627" s="62">
        <f t="shared" si="1254"/>
        <v>3674</v>
      </c>
      <c r="L627" s="62">
        <f t="shared" si="1254"/>
        <v>3728</v>
      </c>
      <c r="M627" s="62">
        <f t="shared" si="1254"/>
        <v>3822</v>
      </c>
      <c r="N627" s="62">
        <f t="shared" si="1254"/>
        <v>3755</v>
      </c>
      <c r="O627" s="62">
        <f t="shared" si="1254"/>
        <v>1</v>
      </c>
      <c r="P627" s="62" t="str">
        <f t="shared" si="1254"/>
        <v/>
      </c>
      <c r="Q627" s="62" t="str">
        <f t="shared" si="1254"/>
        <v/>
      </c>
      <c r="R627" s="62">
        <f t="shared" si="7"/>
        <v>-3754</v>
      </c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</row>
    <row r="628" hidden="1">
      <c r="A628" s="60">
        <f>IFERROR(__xludf.DUMMYFUNCTION("""COMPUTED_VALUE"""),13301.0)</f>
        <v>13301</v>
      </c>
      <c r="B628" s="60" t="str">
        <f>IFERROR(__xludf.DUMMYFUNCTION("""COMPUTED_VALUE"""),"Kazee, Damontae")</f>
        <v>Kazee, Damontae</v>
      </c>
      <c r="C628" s="60" t="str">
        <f>IFERROR(__xludf.DUMMYFUNCTION("""COMPUTED_VALUE"""),"S")</f>
        <v>S</v>
      </c>
      <c r="D628" s="60" t="str">
        <f>IFERROR(__xludf.DUMMYFUNCTION("""COMPUTED_VALUE"""),"DET")</f>
        <v>DET</v>
      </c>
      <c r="E628" s="62" t="str">
        <f t="shared" si="4"/>
        <v>Damontae Kazee</v>
      </c>
      <c r="F628" s="62">
        <f t="shared" ref="F628:G628" si="1255">IF(isblank(F$1),,IF(isblank($A628),,IFERROR(vlookup($A628,indirect("'TVC-"&amp;text(month(F$1),"00")&amp;"'!$A:$D"),4,false),1)))</f>
        <v>1</v>
      </c>
      <c r="G628" s="62">
        <f t="shared" si="1255"/>
        <v>1</v>
      </c>
      <c r="H628" s="62">
        <f t="shared" ref="H628:Q628" si="1256">IF(isblank(H$1),,IFERROR(vlookup($A628,indirect("'TVC-"&amp;text(month(H$1),"00")&amp;"'!$A:$D"),4,false),1))</f>
        <v>1</v>
      </c>
      <c r="I628" s="62">
        <f t="shared" si="1256"/>
        <v>1</v>
      </c>
      <c r="J628" s="62">
        <f t="shared" si="1256"/>
        <v>1</v>
      </c>
      <c r="K628" s="62">
        <f t="shared" si="1256"/>
        <v>1</v>
      </c>
      <c r="L628" s="62">
        <f t="shared" si="1256"/>
        <v>1</v>
      </c>
      <c r="M628" s="62">
        <f t="shared" si="1256"/>
        <v>1</v>
      </c>
      <c r="N628" s="62">
        <f t="shared" si="1256"/>
        <v>1</v>
      </c>
      <c r="O628" s="62">
        <f t="shared" si="1256"/>
        <v>1</v>
      </c>
      <c r="P628" s="62" t="str">
        <f t="shared" si="1256"/>
        <v/>
      </c>
      <c r="Q628" s="62" t="str">
        <f t="shared" si="1256"/>
        <v/>
      </c>
      <c r="R628" s="62">
        <f t="shared" si="7"/>
        <v>0</v>
      </c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</row>
    <row r="629" hidden="1">
      <c r="A629" s="60">
        <f>IFERROR(__xludf.DUMMYFUNCTION("""COMPUTED_VALUE"""),13303.0)</f>
        <v>13303</v>
      </c>
      <c r="B629" s="60" t="str">
        <f>IFERROR(__xludf.DUMMYFUNCTION("""COMPUTED_VALUE"""),"Elliott, Jake")</f>
        <v>Elliott, Jake</v>
      </c>
      <c r="C629" s="60" t="str">
        <f>IFERROR(__xludf.DUMMYFUNCTION("""COMPUTED_VALUE"""),"PK")</f>
        <v>PK</v>
      </c>
      <c r="D629" s="60" t="str">
        <f>IFERROR(__xludf.DUMMYFUNCTION("""COMPUTED_VALUE"""),"PHI")</f>
        <v>PHI</v>
      </c>
      <c r="E629" s="62" t="str">
        <f t="shared" si="4"/>
        <v>Jake Elliott</v>
      </c>
      <c r="F629" s="62">
        <f t="shared" ref="F629:G629" si="1257">IF(isblank(F$1),,IF(isblank($A629),,IFERROR(vlookup($A629,indirect("'TVC-"&amp;text(month(F$1),"00")&amp;"'!$A:$D"),4,false),1)))</f>
        <v>1</v>
      </c>
      <c r="G629" s="62">
        <f t="shared" si="1257"/>
        <v>1</v>
      </c>
      <c r="H629" s="62">
        <f t="shared" ref="H629:Q629" si="1258">IF(isblank(H$1),,IFERROR(vlookup($A629,indirect("'TVC-"&amp;text(month(H$1),"00")&amp;"'!$A:$D"),4,false),1))</f>
        <v>1</v>
      </c>
      <c r="I629" s="62">
        <f t="shared" si="1258"/>
        <v>1</v>
      </c>
      <c r="J629" s="62">
        <f t="shared" si="1258"/>
        <v>1</v>
      </c>
      <c r="K629" s="62">
        <f t="shared" si="1258"/>
        <v>1</v>
      </c>
      <c r="L629" s="62">
        <f t="shared" si="1258"/>
        <v>1</v>
      </c>
      <c r="M629" s="62">
        <f t="shared" si="1258"/>
        <v>1</v>
      </c>
      <c r="N629" s="62">
        <f t="shared" si="1258"/>
        <v>1</v>
      </c>
      <c r="O629" s="62">
        <f t="shared" si="1258"/>
        <v>1</v>
      </c>
      <c r="P629" s="62" t="str">
        <f t="shared" si="1258"/>
        <v/>
      </c>
      <c r="Q629" s="62" t="str">
        <f t="shared" si="1258"/>
        <v/>
      </c>
      <c r="R629" s="62">
        <f t="shared" si="7"/>
        <v>0</v>
      </c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</row>
    <row r="630" hidden="1">
      <c r="A630" s="60">
        <f>IFERROR(__xludf.DUMMYFUNCTION("""COMPUTED_VALUE"""),13306.0)</f>
        <v>13306</v>
      </c>
      <c r="B630" s="60" t="str">
        <f>IFERROR(__xludf.DUMMYFUNCTION("""COMPUTED_VALUE"""),"Walker, Anthony")</f>
        <v>Walker, Anthony</v>
      </c>
      <c r="C630" s="60" t="str">
        <f>IFERROR(__xludf.DUMMYFUNCTION("""COMPUTED_VALUE"""),"LB")</f>
        <v>LB</v>
      </c>
      <c r="D630" s="60" t="str">
        <f>IFERROR(__xludf.DUMMYFUNCTION("""COMPUTED_VALUE"""),"FA")</f>
        <v>FA</v>
      </c>
      <c r="E630" s="62" t="str">
        <f t="shared" si="4"/>
        <v>Anthony Walker</v>
      </c>
      <c r="F630" s="62">
        <f t="shared" ref="F630:G630" si="1259">IF(isblank(F$1),,IF(isblank($A630),,IFERROR(vlookup($A630,indirect("'TVC-"&amp;text(month(F$1),"00")&amp;"'!$A:$D"),4,false),1)))</f>
        <v>1</v>
      </c>
      <c r="G630" s="62">
        <f t="shared" si="1259"/>
        <v>1</v>
      </c>
      <c r="H630" s="62">
        <f t="shared" ref="H630:Q630" si="1260">IF(isblank(H$1),,IFERROR(vlookup($A630,indirect("'TVC-"&amp;text(month(H$1),"00")&amp;"'!$A:$D"),4,false),1))</f>
        <v>1</v>
      </c>
      <c r="I630" s="62">
        <f t="shared" si="1260"/>
        <v>1</v>
      </c>
      <c r="J630" s="62">
        <f t="shared" si="1260"/>
        <v>1</v>
      </c>
      <c r="K630" s="62">
        <f t="shared" si="1260"/>
        <v>1</v>
      </c>
      <c r="L630" s="62">
        <f t="shared" si="1260"/>
        <v>1</v>
      </c>
      <c r="M630" s="62">
        <f t="shared" si="1260"/>
        <v>1</v>
      </c>
      <c r="N630" s="62">
        <f t="shared" si="1260"/>
        <v>1</v>
      </c>
      <c r="O630" s="62">
        <f t="shared" si="1260"/>
        <v>1</v>
      </c>
      <c r="P630" s="62" t="str">
        <f t="shared" si="1260"/>
        <v/>
      </c>
      <c r="Q630" s="62" t="str">
        <f t="shared" si="1260"/>
        <v/>
      </c>
      <c r="R630" s="62">
        <f t="shared" si="7"/>
        <v>0</v>
      </c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</row>
    <row r="631" hidden="1">
      <c r="A631" s="60">
        <f>IFERROR(__xludf.DUMMYFUNCTION("""COMPUTED_VALUE"""),13307.0)</f>
        <v>13307</v>
      </c>
      <c r="B631" s="60" t="str">
        <f>IFERROR(__xludf.DUMMYFUNCTION("""COMPUTED_VALUE"""),"Milano, Matt")</f>
        <v>Milano, Matt</v>
      </c>
      <c r="C631" s="60" t="str">
        <f>IFERROR(__xludf.DUMMYFUNCTION("""COMPUTED_VALUE"""),"LB")</f>
        <v>LB</v>
      </c>
      <c r="D631" s="60" t="str">
        <f>IFERROR(__xludf.DUMMYFUNCTION("""COMPUTED_VALUE"""),"BUF")</f>
        <v>BUF</v>
      </c>
      <c r="E631" s="62" t="str">
        <f t="shared" si="4"/>
        <v>Matt Milano</v>
      </c>
      <c r="F631" s="62">
        <f t="shared" ref="F631:G631" si="1261">IF(isblank(F$1),,IF(isblank($A631),,IFERROR(vlookup($A631,indirect("'TVC-"&amp;text(month(F$1),"00")&amp;"'!$A:$D"),4,false),1)))</f>
        <v>1</v>
      </c>
      <c r="G631" s="62">
        <f t="shared" si="1261"/>
        <v>1</v>
      </c>
      <c r="H631" s="62">
        <f t="shared" ref="H631:Q631" si="1262">IF(isblank(H$1),,IFERROR(vlookup($A631,indirect("'TVC-"&amp;text(month(H$1),"00")&amp;"'!$A:$D"),4,false),1))</f>
        <v>1</v>
      </c>
      <c r="I631" s="62">
        <f t="shared" si="1262"/>
        <v>1</v>
      </c>
      <c r="J631" s="62">
        <f t="shared" si="1262"/>
        <v>1</v>
      </c>
      <c r="K631" s="62">
        <f t="shared" si="1262"/>
        <v>1</v>
      </c>
      <c r="L631" s="62">
        <f t="shared" si="1262"/>
        <v>1</v>
      </c>
      <c r="M631" s="62">
        <f t="shared" si="1262"/>
        <v>1</v>
      </c>
      <c r="N631" s="62">
        <f t="shared" si="1262"/>
        <v>1</v>
      </c>
      <c r="O631" s="62">
        <f t="shared" si="1262"/>
        <v>1</v>
      </c>
      <c r="P631" s="62" t="str">
        <f t="shared" si="1262"/>
        <v/>
      </c>
      <c r="Q631" s="62" t="str">
        <f t="shared" si="1262"/>
        <v/>
      </c>
      <c r="R631" s="62">
        <f t="shared" si="7"/>
        <v>0</v>
      </c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</row>
    <row r="632" hidden="1">
      <c r="A632" s="60">
        <f>IFERROR(__xludf.DUMMYFUNCTION("""COMPUTED_VALUE"""),13308.0)</f>
        <v>13308</v>
      </c>
      <c r="B632" s="60" t="str">
        <f>IFERROR(__xludf.DUMMYFUNCTION("""COMPUTED_VALUE"""),"Agnew, Jamal")</f>
        <v>Agnew, Jamal</v>
      </c>
      <c r="C632" s="60" t="str">
        <f>IFERROR(__xludf.DUMMYFUNCTION("""COMPUTED_VALUE"""),"WR")</f>
        <v>WR</v>
      </c>
      <c r="D632" s="60" t="str">
        <f>IFERROR(__xludf.DUMMYFUNCTION("""COMPUTED_VALUE"""),"FA")</f>
        <v>FA</v>
      </c>
      <c r="E632" s="62" t="str">
        <f t="shared" si="4"/>
        <v>Jamal Agnew</v>
      </c>
      <c r="F632" s="62">
        <f t="shared" ref="F632:G632" si="1263">IF(isblank(F$1),,IF(isblank($A632),,IFERROR(vlookup($A632,indirect("'TVC-"&amp;text(month(F$1),"00")&amp;"'!$A:$D"),4,false),1)))</f>
        <v>1</v>
      </c>
      <c r="G632" s="62">
        <f t="shared" si="1263"/>
        <v>1</v>
      </c>
      <c r="H632" s="62">
        <f t="shared" ref="H632:Q632" si="1264">IF(isblank(H$1),,IFERROR(vlookup($A632,indirect("'TVC-"&amp;text(month(H$1),"00")&amp;"'!$A:$D"),4,false),1))</f>
        <v>1</v>
      </c>
      <c r="I632" s="62">
        <f t="shared" si="1264"/>
        <v>1</v>
      </c>
      <c r="J632" s="62">
        <f t="shared" si="1264"/>
        <v>1</v>
      </c>
      <c r="K632" s="62">
        <f t="shared" si="1264"/>
        <v>1</v>
      </c>
      <c r="L632" s="62">
        <f t="shared" si="1264"/>
        <v>1</v>
      </c>
      <c r="M632" s="62">
        <f t="shared" si="1264"/>
        <v>1</v>
      </c>
      <c r="N632" s="62">
        <f t="shared" si="1264"/>
        <v>1</v>
      </c>
      <c r="O632" s="62">
        <f t="shared" si="1264"/>
        <v>1</v>
      </c>
      <c r="P632" s="62" t="str">
        <f t="shared" si="1264"/>
        <v/>
      </c>
      <c r="Q632" s="62" t="str">
        <f t="shared" si="1264"/>
        <v/>
      </c>
      <c r="R632" s="62">
        <f t="shared" si="7"/>
        <v>0</v>
      </c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</row>
    <row r="633" hidden="1">
      <c r="A633" s="60">
        <f>IFERROR(__xludf.DUMMYFUNCTION("""COMPUTED_VALUE"""),13315.0)</f>
        <v>13315</v>
      </c>
      <c r="B633" s="60" t="str">
        <f>IFERROR(__xludf.DUMMYFUNCTION("""COMPUTED_VALUE"""),"Saubert, Eric")</f>
        <v>Saubert, Eric</v>
      </c>
      <c r="C633" s="60" t="str">
        <f>IFERROR(__xludf.DUMMYFUNCTION("""COMPUTED_VALUE"""),"TE")</f>
        <v>TE</v>
      </c>
      <c r="D633" s="60" t="str">
        <f>IFERROR(__xludf.DUMMYFUNCTION("""COMPUTED_VALUE"""),"SEA")</f>
        <v>SEA</v>
      </c>
      <c r="E633" s="62" t="str">
        <f t="shared" si="4"/>
        <v>Eric Saubert</v>
      </c>
      <c r="F633" s="62">
        <f t="shared" ref="F633:G633" si="1265">IF(isblank(F$1),,IF(isblank($A633),,IFERROR(vlookup($A633,indirect("'TVC-"&amp;text(month(F$1),"00")&amp;"'!$A:$D"),4,false),1)))</f>
        <v>1</v>
      </c>
      <c r="G633" s="62">
        <f t="shared" si="1265"/>
        <v>1</v>
      </c>
      <c r="H633" s="62">
        <f t="shared" ref="H633:Q633" si="1266">IF(isblank(H$1),,IFERROR(vlookup($A633,indirect("'TVC-"&amp;text(month(H$1),"00")&amp;"'!$A:$D"),4,false),1))</f>
        <v>1</v>
      </c>
      <c r="I633" s="62">
        <f t="shared" si="1266"/>
        <v>1</v>
      </c>
      <c r="J633" s="62">
        <f t="shared" si="1266"/>
        <v>1</v>
      </c>
      <c r="K633" s="62">
        <f t="shared" si="1266"/>
        <v>1</v>
      </c>
      <c r="L633" s="62">
        <f t="shared" si="1266"/>
        <v>1</v>
      </c>
      <c r="M633" s="62">
        <f t="shared" si="1266"/>
        <v>1</v>
      </c>
      <c r="N633" s="62">
        <f t="shared" si="1266"/>
        <v>1</v>
      </c>
      <c r="O633" s="62">
        <f t="shared" si="1266"/>
        <v>1</v>
      </c>
      <c r="P633" s="62" t="str">
        <f t="shared" si="1266"/>
        <v/>
      </c>
      <c r="Q633" s="62" t="str">
        <f t="shared" si="1266"/>
        <v/>
      </c>
      <c r="R633" s="62">
        <f t="shared" si="7"/>
        <v>0</v>
      </c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</row>
    <row r="634" hidden="1">
      <c r="A634" s="60">
        <f>IFERROR(__xludf.DUMMYFUNCTION("""COMPUTED_VALUE"""),13316.0)</f>
        <v>13316</v>
      </c>
      <c r="B634" s="60" t="str">
        <f>IFERROR(__xludf.DUMMYFUNCTION("""COMPUTED_VALUE"""),"Taylor, Trent")</f>
        <v>Taylor, Trent</v>
      </c>
      <c r="C634" s="60" t="str">
        <f>IFERROR(__xludf.DUMMYFUNCTION("""COMPUTED_VALUE"""),"WR")</f>
        <v>WR</v>
      </c>
      <c r="D634" s="60" t="str">
        <f>IFERROR(__xludf.DUMMYFUNCTION("""COMPUTED_VALUE"""),"FA")</f>
        <v>FA</v>
      </c>
      <c r="E634" s="62" t="str">
        <f t="shared" si="4"/>
        <v>Trent Taylor</v>
      </c>
      <c r="F634" s="62">
        <f t="shared" ref="F634:G634" si="1267">IF(isblank(F$1),,IF(isblank($A634),,IFERROR(vlookup($A634,indirect("'TVC-"&amp;text(month(F$1),"00")&amp;"'!$A:$D"),4,false),1)))</f>
        <v>1</v>
      </c>
      <c r="G634" s="62">
        <f t="shared" si="1267"/>
        <v>1</v>
      </c>
      <c r="H634" s="62">
        <f t="shared" ref="H634:Q634" si="1268">IF(isblank(H$1),,IFERROR(vlookup($A634,indirect("'TVC-"&amp;text(month(H$1),"00")&amp;"'!$A:$D"),4,false),1))</f>
        <v>1</v>
      </c>
      <c r="I634" s="62">
        <f t="shared" si="1268"/>
        <v>1</v>
      </c>
      <c r="J634" s="62">
        <f t="shared" si="1268"/>
        <v>1</v>
      </c>
      <c r="K634" s="62">
        <f t="shared" si="1268"/>
        <v>1</v>
      </c>
      <c r="L634" s="62">
        <f t="shared" si="1268"/>
        <v>1</v>
      </c>
      <c r="M634" s="62">
        <f t="shared" si="1268"/>
        <v>1</v>
      </c>
      <c r="N634" s="62">
        <f t="shared" si="1268"/>
        <v>1</v>
      </c>
      <c r="O634" s="62">
        <f t="shared" si="1268"/>
        <v>1</v>
      </c>
      <c r="P634" s="62" t="str">
        <f t="shared" si="1268"/>
        <v/>
      </c>
      <c r="Q634" s="62" t="str">
        <f t="shared" si="1268"/>
        <v/>
      </c>
      <c r="R634" s="62">
        <f t="shared" si="7"/>
        <v>0</v>
      </c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</row>
    <row r="635">
      <c r="A635" s="60">
        <f>IFERROR(__xludf.DUMMYFUNCTION("""COMPUTED_VALUE"""),13317.0)</f>
        <v>13317</v>
      </c>
      <c r="B635" s="60" t="str">
        <f>IFERROR(__xludf.DUMMYFUNCTION("""COMPUTED_VALUE"""),"Godchaux, Davon")</f>
        <v>Godchaux, Davon</v>
      </c>
      <c r="C635" s="60" t="str">
        <f>IFERROR(__xludf.DUMMYFUNCTION("""COMPUTED_VALUE"""),"DT")</f>
        <v>DT</v>
      </c>
      <c r="D635" s="60" t="str">
        <f>IFERROR(__xludf.DUMMYFUNCTION("""COMPUTED_VALUE"""),"NOS")</f>
        <v>NOS</v>
      </c>
      <c r="E635" s="62" t="str">
        <f t="shared" si="4"/>
        <v>Davon Godchaux</v>
      </c>
      <c r="F635" s="62">
        <f t="shared" ref="F635:G635" si="1269">IF(isblank(F$1),,IF(isblank($A635),,IFERROR(vlookup($A635,indirect("'TVC-"&amp;text(month(F$1),"00")&amp;"'!$A:$D"),4,false),1)))</f>
        <v>1</v>
      </c>
      <c r="G635" s="62">
        <f t="shared" si="1269"/>
        <v>1</v>
      </c>
      <c r="H635" s="62">
        <f t="shared" ref="H635:Q635" si="1270">IF(isblank(H$1),,IFERROR(vlookup($A635,indirect("'TVC-"&amp;text(month(H$1),"00")&amp;"'!$A:$D"),4,false),1))</f>
        <v>1</v>
      </c>
      <c r="I635" s="62">
        <f t="shared" si="1270"/>
        <v>1</v>
      </c>
      <c r="J635" s="62">
        <f t="shared" si="1270"/>
        <v>1</v>
      </c>
      <c r="K635" s="62">
        <f t="shared" si="1270"/>
        <v>1</v>
      </c>
      <c r="L635" s="62">
        <f t="shared" si="1270"/>
        <v>1</v>
      </c>
      <c r="M635" s="62">
        <f t="shared" si="1270"/>
        <v>1</v>
      </c>
      <c r="N635" s="62">
        <f t="shared" si="1270"/>
        <v>1</v>
      </c>
      <c r="O635" s="62">
        <f t="shared" si="1270"/>
        <v>1</v>
      </c>
      <c r="P635" s="62" t="str">
        <f t="shared" si="1270"/>
        <v/>
      </c>
      <c r="Q635" s="62" t="str">
        <f t="shared" si="1270"/>
        <v/>
      </c>
      <c r="R635" s="62">
        <f t="shared" si="7"/>
        <v>0</v>
      </c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</row>
    <row r="636" hidden="1">
      <c r="A636" s="60">
        <f>IFERROR(__xludf.DUMMYFUNCTION("""COMPUTED_VALUE"""),13319.0)</f>
        <v>13319</v>
      </c>
      <c r="B636" s="60" t="str">
        <f>IFERROR(__xludf.DUMMYFUNCTION("""COMPUTED_VALUE"""),"Jones, Aaron")</f>
        <v>Jones, Aaron</v>
      </c>
      <c r="C636" s="60" t="str">
        <f>IFERROR(__xludf.DUMMYFUNCTION("""COMPUTED_VALUE"""),"RB")</f>
        <v>RB</v>
      </c>
      <c r="D636" s="60" t="str">
        <f>IFERROR(__xludf.DUMMYFUNCTION("""COMPUTED_VALUE"""),"MIN")</f>
        <v>MIN</v>
      </c>
      <c r="E636" s="62" t="str">
        <f t="shared" si="4"/>
        <v>Aaron Jones</v>
      </c>
      <c r="F636" s="62">
        <f t="shared" ref="F636:G636" si="1271">IF(isblank(F$1),,IF(isblank($A636),,IFERROR(vlookup($A636,indirect("'TVC-"&amp;text(month(F$1),"00")&amp;"'!$A:$D"),4,false),1)))</f>
        <v>2319</v>
      </c>
      <c r="G636" s="62">
        <f t="shared" si="1271"/>
        <v>2190</v>
      </c>
      <c r="H636" s="62">
        <f t="shared" ref="H636:Q636" si="1272">IF(isblank(H$1),,IFERROR(vlookup($A636,indirect("'TVC-"&amp;text(month(H$1),"00")&amp;"'!$A:$D"),4,false),1))</f>
        <v>2217</v>
      </c>
      <c r="I636" s="62">
        <f t="shared" si="1272"/>
        <v>2087</v>
      </c>
      <c r="J636" s="62">
        <f t="shared" si="1272"/>
        <v>2235</v>
      </c>
      <c r="K636" s="62">
        <f t="shared" si="1272"/>
        <v>2217</v>
      </c>
      <c r="L636" s="62">
        <f t="shared" si="1272"/>
        <v>2290</v>
      </c>
      <c r="M636" s="62">
        <f t="shared" si="1272"/>
        <v>2356</v>
      </c>
      <c r="N636" s="62">
        <f t="shared" si="1272"/>
        <v>2263</v>
      </c>
      <c r="O636" s="62">
        <f t="shared" si="1272"/>
        <v>1</v>
      </c>
      <c r="P636" s="62" t="str">
        <f t="shared" si="1272"/>
        <v/>
      </c>
      <c r="Q636" s="62" t="str">
        <f t="shared" si="1272"/>
        <v/>
      </c>
      <c r="R636" s="62">
        <f t="shared" si="7"/>
        <v>-2262</v>
      </c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</row>
    <row r="637" hidden="1">
      <c r="A637" s="60">
        <f>IFERROR(__xludf.DUMMYFUNCTION("""COMPUTED_VALUE"""),13322.0)</f>
        <v>13322</v>
      </c>
      <c r="B637" s="60" t="str">
        <f>IFERROR(__xludf.DUMMYFUNCTION("""COMPUTED_VALUE"""),"Clark, Chuck")</f>
        <v>Clark, Chuck</v>
      </c>
      <c r="C637" s="60" t="str">
        <f>IFERROR(__xludf.DUMMYFUNCTION("""COMPUTED_VALUE"""),"S")</f>
        <v>S</v>
      </c>
      <c r="D637" s="60" t="str">
        <f>IFERROR(__xludf.DUMMYFUNCTION("""COMPUTED_VALUE"""),"DET")</f>
        <v>DET</v>
      </c>
      <c r="E637" s="62" t="str">
        <f t="shared" si="4"/>
        <v>Chuck Clark</v>
      </c>
      <c r="F637" s="62">
        <f t="shared" ref="F637:G637" si="1273">IF(isblank(F$1),,IF(isblank($A637),,IFERROR(vlookup($A637,indirect("'TVC-"&amp;text(month(F$1),"00")&amp;"'!$A:$D"),4,false),1)))</f>
        <v>1</v>
      </c>
      <c r="G637" s="62">
        <f t="shared" si="1273"/>
        <v>1</v>
      </c>
      <c r="H637" s="62">
        <f t="shared" ref="H637:Q637" si="1274">IF(isblank(H$1),,IFERROR(vlookup($A637,indirect("'TVC-"&amp;text(month(H$1),"00")&amp;"'!$A:$D"),4,false),1))</f>
        <v>1</v>
      </c>
      <c r="I637" s="62">
        <f t="shared" si="1274"/>
        <v>1</v>
      </c>
      <c r="J637" s="62">
        <f t="shared" si="1274"/>
        <v>1</v>
      </c>
      <c r="K637" s="62">
        <f t="shared" si="1274"/>
        <v>1</v>
      </c>
      <c r="L637" s="62">
        <f t="shared" si="1274"/>
        <v>1</v>
      </c>
      <c r="M637" s="62">
        <f t="shared" si="1274"/>
        <v>1</v>
      </c>
      <c r="N637" s="62">
        <f t="shared" si="1274"/>
        <v>1</v>
      </c>
      <c r="O637" s="62">
        <f t="shared" si="1274"/>
        <v>1</v>
      </c>
      <c r="P637" s="62" t="str">
        <f t="shared" si="1274"/>
        <v/>
      </c>
      <c r="Q637" s="62" t="str">
        <f t="shared" si="1274"/>
        <v/>
      </c>
      <c r="R637" s="62">
        <f t="shared" si="7"/>
        <v>0</v>
      </c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</row>
    <row r="638" hidden="1">
      <c r="A638" s="60">
        <f>IFERROR(__xludf.DUMMYFUNCTION("""COMPUTED_VALUE"""),13325.0)</f>
        <v>13325</v>
      </c>
      <c r="B638" s="60" t="str">
        <f>IFERROR(__xludf.DUMMYFUNCTION("""COMPUTED_VALUE"""),"Woods, Xavier")</f>
        <v>Woods, Xavier</v>
      </c>
      <c r="C638" s="60" t="str">
        <f>IFERROR(__xludf.DUMMYFUNCTION("""COMPUTED_VALUE"""),"S")</f>
        <v>S</v>
      </c>
      <c r="D638" s="60" t="str">
        <f>IFERROR(__xludf.DUMMYFUNCTION("""COMPUTED_VALUE"""),"FA")</f>
        <v>FA</v>
      </c>
      <c r="E638" s="62" t="str">
        <f t="shared" si="4"/>
        <v>Xavier Woods</v>
      </c>
      <c r="F638" s="62">
        <f t="shared" ref="F638:G638" si="1275">IF(isblank(F$1),,IF(isblank($A638),,IFERROR(vlookup($A638,indirect("'TVC-"&amp;text(month(F$1),"00")&amp;"'!$A:$D"),4,false),1)))</f>
        <v>1</v>
      </c>
      <c r="G638" s="62">
        <f t="shared" si="1275"/>
        <v>1</v>
      </c>
      <c r="H638" s="62">
        <f t="shared" ref="H638:Q638" si="1276">IF(isblank(H$1),,IFERROR(vlookup($A638,indirect("'TVC-"&amp;text(month(H$1),"00")&amp;"'!$A:$D"),4,false),1))</f>
        <v>1</v>
      </c>
      <c r="I638" s="62">
        <f t="shared" si="1276"/>
        <v>1</v>
      </c>
      <c r="J638" s="62">
        <f t="shared" si="1276"/>
        <v>1</v>
      </c>
      <c r="K638" s="62">
        <f t="shared" si="1276"/>
        <v>1</v>
      </c>
      <c r="L638" s="62">
        <f t="shared" si="1276"/>
        <v>1</v>
      </c>
      <c r="M638" s="62">
        <f t="shared" si="1276"/>
        <v>1</v>
      </c>
      <c r="N638" s="62">
        <f t="shared" si="1276"/>
        <v>1</v>
      </c>
      <c r="O638" s="62">
        <f t="shared" si="1276"/>
        <v>1</v>
      </c>
      <c r="P638" s="62" t="str">
        <f t="shared" si="1276"/>
        <v/>
      </c>
      <c r="Q638" s="62" t="str">
        <f t="shared" si="1276"/>
        <v/>
      </c>
      <c r="R638" s="62">
        <f t="shared" si="7"/>
        <v>0</v>
      </c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</row>
    <row r="639" hidden="1">
      <c r="A639" s="60">
        <f>IFERROR(__xludf.DUMMYFUNCTION("""COMPUTED_VALUE"""),13330.0)</f>
        <v>13330</v>
      </c>
      <c r="B639" s="60" t="str">
        <f>IFERROR(__xludf.DUMMYFUNCTION("""COMPUTED_VALUE"""),"Muhammad, Al-Quadin")</f>
        <v>Muhammad, Al-Quadin</v>
      </c>
      <c r="C639" s="60" t="str">
        <f>IFERROR(__xludf.DUMMYFUNCTION("""COMPUTED_VALUE"""),"DE")</f>
        <v>DE</v>
      </c>
      <c r="D639" s="60" t="str">
        <f>IFERROR(__xludf.DUMMYFUNCTION("""COMPUTED_VALUE"""),"TBB")</f>
        <v>TBB</v>
      </c>
      <c r="E639" s="62" t="str">
        <f t="shared" si="4"/>
        <v>Al-Quadin Muhammad</v>
      </c>
      <c r="F639" s="62">
        <f t="shared" ref="F639:G639" si="1277">IF(isblank(F$1),,IF(isblank($A639),,IFERROR(vlookup($A639,indirect("'TVC-"&amp;text(month(F$1),"00")&amp;"'!$A:$D"),4,false),1)))</f>
        <v>1</v>
      </c>
      <c r="G639" s="62">
        <f t="shared" si="1277"/>
        <v>1</v>
      </c>
      <c r="H639" s="62">
        <f t="shared" ref="H639:Q639" si="1278">IF(isblank(H$1),,IFERROR(vlookup($A639,indirect("'TVC-"&amp;text(month(H$1),"00")&amp;"'!$A:$D"),4,false),1))</f>
        <v>1</v>
      </c>
      <c r="I639" s="62">
        <f t="shared" si="1278"/>
        <v>1</v>
      </c>
      <c r="J639" s="62">
        <f t="shared" si="1278"/>
        <v>1</v>
      </c>
      <c r="K639" s="62">
        <f t="shared" si="1278"/>
        <v>1</v>
      </c>
      <c r="L639" s="62">
        <f t="shared" si="1278"/>
        <v>1</v>
      </c>
      <c r="M639" s="62">
        <f t="shared" si="1278"/>
        <v>1</v>
      </c>
      <c r="N639" s="62">
        <f t="shared" si="1278"/>
        <v>1</v>
      </c>
      <c r="O639" s="62">
        <f t="shared" si="1278"/>
        <v>1</v>
      </c>
      <c r="P639" s="62" t="str">
        <f t="shared" si="1278"/>
        <v/>
      </c>
      <c r="Q639" s="62" t="str">
        <f t="shared" si="1278"/>
        <v/>
      </c>
      <c r="R639" s="62">
        <f t="shared" si="7"/>
        <v>0</v>
      </c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</row>
    <row r="640" hidden="1">
      <c r="A640" s="60">
        <f>IFERROR(__xludf.DUMMYFUNCTION("""COMPUTED_VALUE"""),13332.0)</f>
        <v>13332</v>
      </c>
      <c r="B640" s="60" t="str">
        <f>IFERROR(__xludf.DUMMYFUNCTION("""COMPUTED_VALUE"""),"Jones, D.J.")</f>
        <v>Jones, D.J.</v>
      </c>
      <c r="C640" s="60" t="str">
        <f>IFERROR(__xludf.DUMMYFUNCTION("""COMPUTED_VALUE"""),"DT")</f>
        <v>DT</v>
      </c>
      <c r="D640" s="60" t="str">
        <f>IFERROR(__xludf.DUMMYFUNCTION("""COMPUTED_VALUE"""),"DEN")</f>
        <v>DEN</v>
      </c>
      <c r="E640" s="62" t="str">
        <f t="shared" si="4"/>
        <v>D.J. Jones</v>
      </c>
      <c r="F640" s="62">
        <f t="shared" ref="F640:G640" si="1279">IF(isblank(F$1),,IF(isblank($A640),,IFERROR(vlookup($A640,indirect("'TVC-"&amp;text(month(F$1),"00")&amp;"'!$A:$D"),4,false),1)))</f>
        <v>1</v>
      </c>
      <c r="G640" s="62">
        <f t="shared" si="1279"/>
        <v>1</v>
      </c>
      <c r="H640" s="62">
        <f t="shared" ref="H640:Q640" si="1280">IF(isblank(H$1),,IFERROR(vlookup($A640,indirect("'TVC-"&amp;text(month(H$1),"00")&amp;"'!$A:$D"),4,false),1))</f>
        <v>1</v>
      </c>
      <c r="I640" s="62">
        <f t="shared" si="1280"/>
        <v>1</v>
      </c>
      <c r="J640" s="62">
        <f t="shared" si="1280"/>
        <v>1</v>
      </c>
      <c r="K640" s="62">
        <f t="shared" si="1280"/>
        <v>1</v>
      </c>
      <c r="L640" s="62">
        <f t="shared" si="1280"/>
        <v>1</v>
      </c>
      <c r="M640" s="62">
        <f t="shared" si="1280"/>
        <v>1</v>
      </c>
      <c r="N640" s="62">
        <f t="shared" si="1280"/>
        <v>1</v>
      </c>
      <c r="O640" s="62">
        <f t="shared" si="1280"/>
        <v>1</v>
      </c>
      <c r="P640" s="62" t="str">
        <f t="shared" si="1280"/>
        <v/>
      </c>
      <c r="Q640" s="62" t="str">
        <f t="shared" si="1280"/>
        <v/>
      </c>
      <c r="R640" s="62">
        <f t="shared" si="7"/>
        <v>0</v>
      </c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</row>
    <row r="641" hidden="1">
      <c r="A641" s="60">
        <f>IFERROR(__xludf.DUMMYFUNCTION("""COMPUTED_VALUE"""),13347.0)</f>
        <v>13347</v>
      </c>
      <c r="B641" s="60" t="str">
        <f>IFERROR(__xludf.DUMMYFUNCTION("""COMPUTED_VALUE"""),"Gonzalez, Zane")</f>
        <v>Gonzalez, Zane</v>
      </c>
      <c r="C641" s="60" t="str">
        <f>IFERROR(__xludf.DUMMYFUNCTION("""COMPUTED_VALUE"""),"PK")</f>
        <v>PK</v>
      </c>
      <c r="D641" s="60" t="str">
        <f>IFERROR(__xludf.DUMMYFUNCTION("""COMPUTED_VALUE"""),"FA")</f>
        <v>FA</v>
      </c>
      <c r="E641" s="62" t="str">
        <f t="shared" si="4"/>
        <v>Zane Gonzalez</v>
      </c>
      <c r="F641" s="62">
        <f t="shared" ref="F641:G641" si="1281">IF(isblank(F$1),,IF(isblank($A641),,IFERROR(vlookup($A641,indirect("'TVC-"&amp;text(month(F$1),"00")&amp;"'!$A:$D"),4,false),1)))</f>
        <v>1</v>
      </c>
      <c r="G641" s="62">
        <f t="shared" si="1281"/>
        <v>1</v>
      </c>
      <c r="H641" s="62">
        <f t="shared" ref="H641:Q641" si="1282">IF(isblank(H$1),,IFERROR(vlookup($A641,indirect("'TVC-"&amp;text(month(H$1),"00")&amp;"'!$A:$D"),4,false),1))</f>
        <v>1</v>
      </c>
      <c r="I641" s="62">
        <f t="shared" si="1282"/>
        <v>1</v>
      </c>
      <c r="J641" s="62">
        <f t="shared" si="1282"/>
        <v>1</v>
      </c>
      <c r="K641" s="62">
        <f t="shared" si="1282"/>
        <v>1</v>
      </c>
      <c r="L641" s="62">
        <f t="shared" si="1282"/>
        <v>1</v>
      </c>
      <c r="M641" s="62">
        <f t="shared" si="1282"/>
        <v>1</v>
      </c>
      <c r="N641" s="62">
        <f t="shared" si="1282"/>
        <v>1</v>
      </c>
      <c r="O641" s="62">
        <f t="shared" si="1282"/>
        <v>1</v>
      </c>
      <c r="P641" s="62" t="str">
        <f t="shared" si="1282"/>
        <v/>
      </c>
      <c r="Q641" s="62" t="str">
        <f t="shared" si="1282"/>
        <v/>
      </c>
      <c r="R641" s="62">
        <f t="shared" si="7"/>
        <v>0</v>
      </c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</row>
    <row r="642" hidden="1">
      <c r="A642" s="60">
        <f>IFERROR(__xludf.DUMMYFUNCTION("""COMPUTED_VALUE"""),13348.0)</f>
        <v>13348</v>
      </c>
      <c r="B642" s="60" t="str">
        <f>IFERROR(__xludf.DUMMYFUNCTION("""COMPUTED_VALUE"""),"Moore, David")</f>
        <v>Moore, David</v>
      </c>
      <c r="C642" s="60" t="str">
        <f>IFERROR(__xludf.DUMMYFUNCTION("""COMPUTED_VALUE"""),"WR")</f>
        <v>WR</v>
      </c>
      <c r="D642" s="60" t="str">
        <f>IFERROR(__xludf.DUMMYFUNCTION("""COMPUTED_VALUE"""),"CAR")</f>
        <v>CAR</v>
      </c>
      <c r="E642" s="62" t="str">
        <f t="shared" si="4"/>
        <v>David Moore</v>
      </c>
      <c r="F642" s="62">
        <f t="shared" ref="F642:G642" si="1283">IF(isblank(F$1),,IF(isblank($A642),,IFERROR(vlookup($A642,indirect("'TVC-"&amp;text(month(F$1),"00")&amp;"'!$A:$D"),4,false),1)))</f>
        <v>1</v>
      </c>
      <c r="G642" s="62">
        <f t="shared" si="1283"/>
        <v>1</v>
      </c>
      <c r="H642" s="62">
        <f t="shared" ref="H642:Q642" si="1284">IF(isblank(H$1),,IFERROR(vlookup($A642,indirect("'TVC-"&amp;text(month(H$1),"00")&amp;"'!$A:$D"),4,false),1))</f>
        <v>1</v>
      </c>
      <c r="I642" s="62">
        <f t="shared" si="1284"/>
        <v>1</v>
      </c>
      <c r="J642" s="62">
        <f t="shared" si="1284"/>
        <v>1</v>
      </c>
      <c r="K642" s="62">
        <f t="shared" si="1284"/>
        <v>1</v>
      </c>
      <c r="L642" s="62">
        <f t="shared" si="1284"/>
        <v>1</v>
      </c>
      <c r="M642" s="62">
        <f t="shared" si="1284"/>
        <v>1</v>
      </c>
      <c r="N642" s="62">
        <f t="shared" si="1284"/>
        <v>1</v>
      </c>
      <c r="O642" s="62">
        <f t="shared" si="1284"/>
        <v>1</v>
      </c>
      <c r="P642" s="62" t="str">
        <f t="shared" si="1284"/>
        <v/>
      </c>
      <c r="Q642" s="62" t="str">
        <f t="shared" si="1284"/>
        <v/>
      </c>
      <c r="R642" s="62">
        <f t="shared" si="7"/>
        <v>0</v>
      </c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</row>
    <row r="643" hidden="1">
      <c r="A643" s="60">
        <f>IFERROR(__xludf.DUMMYFUNCTION("""COMPUTED_VALUE"""),13354.0)</f>
        <v>13354</v>
      </c>
      <c r="B643" s="60" t="str">
        <f>IFERROR(__xludf.DUMMYFUNCTION("""COMPUTED_VALUE"""),"Butker, Harrison")</f>
        <v>Butker, Harrison</v>
      </c>
      <c r="C643" s="60" t="str">
        <f>IFERROR(__xludf.DUMMYFUNCTION("""COMPUTED_VALUE"""),"PK")</f>
        <v>PK</v>
      </c>
      <c r="D643" s="60" t="str">
        <f>IFERROR(__xludf.DUMMYFUNCTION("""COMPUTED_VALUE"""),"KCC")</f>
        <v>KCC</v>
      </c>
      <c r="E643" s="62" t="str">
        <f t="shared" si="4"/>
        <v>Harrison Butker</v>
      </c>
      <c r="F643" s="62">
        <f t="shared" ref="F643:G643" si="1285">IF(isblank(F$1),,IF(isblank($A643),,IFERROR(vlookup($A643,indirect("'TVC-"&amp;text(month(F$1),"00")&amp;"'!$A:$D"),4,false),1)))</f>
        <v>1</v>
      </c>
      <c r="G643" s="62">
        <f t="shared" si="1285"/>
        <v>1</v>
      </c>
      <c r="H643" s="62">
        <f t="shared" ref="H643:Q643" si="1286">IF(isblank(H$1),,IFERROR(vlookup($A643,indirect("'TVC-"&amp;text(month(H$1),"00")&amp;"'!$A:$D"),4,false),1))</f>
        <v>1</v>
      </c>
      <c r="I643" s="62">
        <f t="shared" si="1286"/>
        <v>1</v>
      </c>
      <c r="J643" s="62">
        <f t="shared" si="1286"/>
        <v>1</v>
      </c>
      <c r="K643" s="62">
        <f t="shared" si="1286"/>
        <v>1</v>
      </c>
      <c r="L643" s="62">
        <f t="shared" si="1286"/>
        <v>1</v>
      </c>
      <c r="M643" s="62">
        <f t="shared" si="1286"/>
        <v>1</v>
      </c>
      <c r="N643" s="62">
        <f t="shared" si="1286"/>
        <v>1</v>
      </c>
      <c r="O643" s="62">
        <f t="shared" si="1286"/>
        <v>1</v>
      </c>
      <c r="P643" s="62" t="str">
        <f t="shared" si="1286"/>
        <v/>
      </c>
      <c r="Q643" s="62" t="str">
        <f t="shared" si="1286"/>
        <v/>
      </c>
      <c r="R643" s="62">
        <f t="shared" si="7"/>
        <v>0</v>
      </c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</row>
    <row r="644" hidden="1">
      <c r="A644" s="60">
        <f>IFERROR(__xludf.DUMMYFUNCTION("""COMPUTED_VALUE"""),13377.0)</f>
        <v>13377</v>
      </c>
      <c r="B644" s="60" t="str">
        <f>IFERROR(__xludf.DUMMYFUNCTION("""COMPUTED_VALUE"""),"Patrick, Tim")</f>
        <v>Patrick, Tim</v>
      </c>
      <c r="C644" s="60" t="str">
        <f>IFERROR(__xludf.DUMMYFUNCTION("""COMPUTED_VALUE"""),"WR")</f>
        <v>WR</v>
      </c>
      <c r="D644" s="60" t="str">
        <f>IFERROR(__xludf.DUMMYFUNCTION("""COMPUTED_VALUE"""),"NYJ")</f>
        <v>NYJ</v>
      </c>
      <c r="E644" s="62" t="str">
        <f t="shared" si="4"/>
        <v>Tim Patrick</v>
      </c>
      <c r="F644" s="62">
        <f t="shared" ref="F644:G644" si="1287">IF(isblank(F$1),,IF(isblank($A644),,IFERROR(vlookup($A644,indirect("'TVC-"&amp;text(month(F$1),"00")&amp;"'!$A:$D"),4,false),1)))</f>
        <v>779</v>
      </c>
      <c r="G644" s="62">
        <f t="shared" si="1287"/>
        <v>728</v>
      </c>
      <c r="H644" s="62">
        <f t="shared" ref="H644:Q644" si="1288">IF(isblank(H$1),,IFERROR(vlookup($A644,indirect("'TVC-"&amp;text(month(H$1),"00")&amp;"'!$A:$D"),4,false),1))</f>
        <v>720</v>
      </c>
      <c r="I644" s="62">
        <f t="shared" si="1288"/>
        <v>1</v>
      </c>
      <c r="J644" s="62">
        <f t="shared" si="1288"/>
        <v>1</v>
      </c>
      <c r="K644" s="62">
        <f t="shared" si="1288"/>
        <v>1</v>
      </c>
      <c r="L644" s="62">
        <f t="shared" si="1288"/>
        <v>1</v>
      </c>
      <c r="M644" s="62">
        <f t="shared" si="1288"/>
        <v>1</v>
      </c>
      <c r="N644" s="62">
        <f t="shared" si="1288"/>
        <v>1</v>
      </c>
      <c r="O644" s="62">
        <f t="shared" si="1288"/>
        <v>1</v>
      </c>
      <c r="P644" s="62" t="str">
        <f t="shared" si="1288"/>
        <v/>
      </c>
      <c r="Q644" s="62" t="str">
        <f t="shared" si="1288"/>
        <v/>
      </c>
      <c r="R644" s="62">
        <f t="shared" si="7"/>
        <v>0</v>
      </c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</row>
    <row r="645" hidden="1">
      <c r="A645" s="60">
        <f>IFERROR(__xludf.DUMMYFUNCTION("""COMPUTED_VALUE"""),13403.0)</f>
        <v>13403</v>
      </c>
      <c r="B645" s="60" t="str">
        <f>IFERROR(__xludf.DUMMYFUNCTION("""COMPUTED_VALUE"""),"Koo, Younghoe")</f>
        <v>Koo, Younghoe</v>
      </c>
      <c r="C645" s="60" t="str">
        <f>IFERROR(__xludf.DUMMYFUNCTION("""COMPUTED_VALUE"""),"PK")</f>
        <v>PK</v>
      </c>
      <c r="D645" s="60" t="str">
        <f>IFERROR(__xludf.DUMMYFUNCTION("""COMPUTED_VALUE"""),"FA")</f>
        <v>FA</v>
      </c>
      <c r="E645" s="62" t="str">
        <f t="shared" si="4"/>
        <v>Younghoe Koo</v>
      </c>
      <c r="F645" s="62">
        <f t="shared" ref="F645:G645" si="1289">IF(isblank(F$1),,IF(isblank($A645),,IFERROR(vlookup($A645,indirect("'TVC-"&amp;text(month(F$1),"00")&amp;"'!$A:$D"),4,false),1)))</f>
        <v>1</v>
      </c>
      <c r="G645" s="62">
        <f t="shared" si="1289"/>
        <v>1</v>
      </c>
      <c r="H645" s="62">
        <f t="shared" ref="H645:Q645" si="1290">IF(isblank(H$1),,IFERROR(vlookup($A645,indirect("'TVC-"&amp;text(month(H$1),"00")&amp;"'!$A:$D"),4,false),1))</f>
        <v>1</v>
      </c>
      <c r="I645" s="62">
        <f t="shared" si="1290"/>
        <v>1</v>
      </c>
      <c r="J645" s="62">
        <f t="shared" si="1290"/>
        <v>1</v>
      </c>
      <c r="K645" s="62">
        <f t="shared" si="1290"/>
        <v>1</v>
      </c>
      <c r="L645" s="62">
        <f t="shared" si="1290"/>
        <v>1</v>
      </c>
      <c r="M645" s="62">
        <f t="shared" si="1290"/>
        <v>1</v>
      </c>
      <c r="N645" s="62">
        <f t="shared" si="1290"/>
        <v>1</v>
      </c>
      <c r="O645" s="62">
        <f t="shared" si="1290"/>
        <v>1</v>
      </c>
      <c r="P645" s="62" t="str">
        <f t="shared" si="1290"/>
        <v/>
      </c>
      <c r="Q645" s="62" t="str">
        <f t="shared" si="1290"/>
        <v/>
      </c>
      <c r="R645" s="62">
        <f t="shared" si="7"/>
        <v>0</v>
      </c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</row>
    <row r="646" hidden="1">
      <c r="A646" s="60">
        <f>IFERROR(__xludf.DUMMYFUNCTION("""COMPUTED_VALUE"""),13404.0)</f>
        <v>13404</v>
      </c>
      <c r="B646" s="60" t="str">
        <f>IFERROR(__xludf.DUMMYFUNCTION("""COMPUTED_VALUE"""),"Ekeler, Austin")</f>
        <v>Ekeler, Austin</v>
      </c>
      <c r="C646" s="60" t="str">
        <f>IFERROR(__xludf.DUMMYFUNCTION("""COMPUTED_VALUE"""),"RB")</f>
        <v>RB</v>
      </c>
      <c r="D646" s="60" t="str">
        <f>IFERROR(__xludf.DUMMYFUNCTION("""COMPUTED_VALUE"""),"WAS")</f>
        <v>WAS</v>
      </c>
      <c r="E646" s="62" t="str">
        <f t="shared" si="4"/>
        <v>Austin Ekeler</v>
      </c>
      <c r="F646" s="62">
        <f t="shared" ref="F646:G646" si="1291">IF(isblank(F$1),,IF(isblank($A646),,IFERROR(vlookup($A646,indirect("'TVC-"&amp;text(month(F$1),"00")&amp;"'!$A:$D"),4,false),1)))</f>
        <v>1</v>
      </c>
      <c r="G646" s="62">
        <f t="shared" si="1291"/>
        <v>1</v>
      </c>
      <c r="H646" s="62">
        <f t="shared" ref="H646:Q646" si="1292">IF(isblank(H$1),,IFERROR(vlookup($A646,indirect("'TVC-"&amp;text(month(H$1),"00")&amp;"'!$A:$D"),4,false),1))</f>
        <v>1</v>
      </c>
      <c r="I646" s="62">
        <f t="shared" si="1292"/>
        <v>1</v>
      </c>
      <c r="J646" s="62">
        <f t="shared" si="1292"/>
        <v>1</v>
      </c>
      <c r="K646" s="62">
        <f t="shared" si="1292"/>
        <v>11</v>
      </c>
      <c r="L646" s="62">
        <f t="shared" si="1292"/>
        <v>1</v>
      </c>
      <c r="M646" s="62">
        <f t="shared" si="1292"/>
        <v>1</v>
      </c>
      <c r="N646" s="62">
        <f t="shared" si="1292"/>
        <v>1</v>
      </c>
      <c r="O646" s="62">
        <f t="shared" si="1292"/>
        <v>1</v>
      </c>
      <c r="P646" s="62" t="str">
        <f t="shared" si="1292"/>
        <v/>
      </c>
      <c r="Q646" s="62" t="str">
        <f t="shared" si="1292"/>
        <v/>
      </c>
      <c r="R646" s="62">
        <f t="shared" si="7"/>
        <v>0</v>
      </c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</row>
    <row r="647">
      <c r="A647" s="60">
        <f>IFERROR(__xludf.DUMMYFUNCTION("""COMPUTED_VALUE"""),13414.0)</f>
        <v>13414</v>
      </c>
      <c r="B647" s="60" t="str">
        <f>IFERROR(__xludf.DUMMYFUNCTION("""COMPUTED_VALUE"""),"Hilton, Mike")</f>
        <v>Hilton, Mike</v>
      </c>
      <c r="C647" s="60" t="str">
        <f>IFERROR(__xludf.DUMMYFUNCTION("""COMPUTED_VALUE"""),"CB")</f>
        <v>CB</v>
      </c>
      <c r="D647" s="60" t="str">
        <f>IFERROR(__xludf.DUMMYFUNCTION("""COMPUTED_VALUE"""),"IND")</f>
        <v>IND</v>
      </c>
      <c r="E647" s="62" t="str">
        <f t="shared" si="4"/>
        <v>Mike Hilton</v>
      </c>
      <c r="F647" s="62">
        <f t="shared" ref="F647:G647" si="1293">IF(isblank(F$1),,IF(isblank($A647),,IFERROR(vlookup($A647,indirect("'TVC-"&amp;text(month(F$1),"00")&amp;"'!$A:$D"),4,false),1)))</f>
        <v>1</v>
      </c>
      <c r="G647" s="62">
        <f t="shared" si="1293"/>
        <v>1</v>
      </c>
      <c r="H647" s="62">
        <f t="shared" ref="H647:Q647" si="1294">IF(isblank(H$1),,IFERROR(vlookup($A647,indirect("'TVC-"&amp;text(month(H$1),"00")&amp;"'!$A:$D"),4,false),1))</f>
        <v>1</v>
      </c>
      <c r="I647" s="62">
        <f t="shared" si="1294"/>
        <v>1</v>
      </c>
      <c r="J647" s="62">
        <f t="shared" si="1294"/>
        <v>1</v>
      </c>
      <c r="K647" s="62">
        <f t="shared" si="1294"/>
        <v>1</v>
      </c>
      <c r="L647" s="62">
        <f t="shared" si="1294"/>
        <v>1</v>
      </c>
      <c r="M647" s="62">
        <f t="shared" si="1294"/>
        <v>1</v>
      </c>
      <c r="N647" s="62">
        <f t="shared" si="1294"/>
        <v>1</v>
      </c>
      <c r="O647" s="62">
        <f t="shared" si="1294"/>
        <v>1</v>
      </c>
      <c r="P647" s="62" t="str">
        <f t="shared" si="1294"/>
        <v/>
      </c>
      <c r="Q647" s="62" t="str">
        <f t="shared" si="1294"/>
        <v/>
      </c>
      <c r="R647" s="62">
        <f t="shared" si="7"/>
        <v>0</v>
      </c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</row>
    <row r="648" hidden="1">
      <c r="A648" s="60">
        <f>IFERROR(__xludf.DUMMYFUNCTION("""COMPUTED_VALUE"""),13418.0)</f>
        <v>13418</v>
      </c>
      <c r="B648" s="60" t="str">
        <f>IFERROR(__xludf.DUMMYFUNCTION("""COMPUTED_VALUE"""),"Bourne, Kendrick")</f>
        <v>Bourne, Kendrick</v>
      </c>
      <c r="C648" s="60" t="str">
        <f>IFERROR(__xludf.DUMMYFUNCTION("""COMPUTED_VALUE"""),"WR")</f>
        <v>WR</v>
      </c>
      <c r="D648" s="60" t="str">
        <f>IFERROR(__xludf.DUMMYFUNCTION("""COMPUTED_VALUE"""),"ARI")</f>
        <v>ARI</v>
      </c>
      <c r="E648" s="62" t="str">
        <f t="shared" si="4"/>
        <v>Kendrick Bourne</v>
      </c>
      <c r="F648" s="62">
        <f t="shared" ref="F648:G648" si="1295">IF(isblank(F$1),,IF(isblank($A648),,IFERROR(vlookup($A648,indirect("'TVC-"&amp;text(month(F$1),"00")&amp;"'!$A:$D"),4,false),1)))</f>
        <v>1404</v>
      </c>
      <c r="G648" s="62">
        <f t="shared" si="1295"/>
        <v>1455</v>
      </c>
      <c r="H648" s="62">
        <f t="shared" ref="H648:Q648" si="1296">IF(isblank(H$1),,IFERROR(vlookup($A648,indirect("'TVC-"&amp;text(month(H$1),"00")&amp;"'!$A:$D"),4,false),1))</f>
        <v>1474</v>
      </c>
      <c r="I648" s="62">
        <f t="shared" si="1296"/>
        <v>1540</v>
      </c>
      <c r="J648" s="62">
        <f t="shared" si="1296"/>
        <v>1442</v>
      </c>
      <c r="K648" s="62">
        <f t="shared" si="1296"/>
        <v>1425</v>
      </c>
      <c r="L648" s="62">
        <f t="shared" si="1296"/>
        <v>1275</v>
      </c>
      <c r="M648" s="62">
        <f t="shared" si="1296"/>
        <v>1201</v>
      </c>
      <c r="N648" s="62">
        <f t="shared" si="1296"/>
        <v>1154</v>
      </c>
      <c r="O648" s="62">
        <f t="shared" si="1296"/>
        <v>1</v>
      </c>
      <c r="P648" s="62" t="str">
        <f t="shared" si="1296"/>
        <v/>
      </c>
      <c r="Q648" s="62" t="str">
        <f t="shared" si="1296"/>
        <v/>
      </c>
      <c r="R648" s="62">
        <f t="shared" si="7"/>
        <v>-1153</v>
      </c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</row>
    <row r="649" hidden="1">
      <c r="A649" s="60">
        <f>IFERROR(__xludf.DUMMYFUNCTION("""COMPUTED_VALUE"""),13424.0)</f>
        <v>13424</v>
      </c>
      <c r="B649" s="60" t="str">
        <f>IFERROR(__xludf.DUMMYFUNCTION("""COMPUTED_VALUE"""),"Hill, Taysom")</f>
        <v>Hill, Taysom</v>
      </c>
      <c r="C649" s="60" t="str">
        <f>IFERROR(__xludf.DUMMYFUNCTION("""COMPUTED_VALUE"""),"TE")</f>
        <v>TE</v>
      </c>
      <c r="D649" s="60" t="str">
        <f>IFERROR(__xludf.DUMMYFUNCTION("""COMPUTED_VALUE"""),"FA")</f>
        <v>FA</v>
      </c>
      <c r="E649" s="62" t="str">
        <f t="shared" si="4"/>
        <v>Taysom Hill</v>
      </c>
      <c r="F649" s="62">
        <f t="shared" ref="F649:G649" si="1297">IF(isblank(F$1),,IF(isblank($A649),,IFERROR(vlookup($A649,indirect("'TVC-"&amp;text(month(F$1),"00")&amp;"'!$A:$D"),4,false),1)))</f>
        <v>1156</v>
      </c>
      <c r="G649" s="62">
        <f t="shared" si="1297"/>
        <v>1116</v>
      </c>
      <c r="H649" s="62">
        <f t="shared" ref="H649:Q649" si="1298">IF(isblank(H$1),,IFERROR(vlookup($A649,indirect("'TVC-"&amp;text(month(H$1),"00")&amp;"'!$A:$D"),4,false),1))</f>
        <v>1106</v>
      </c>
      <c r="I649" s="62">
        <f t="shared" si="1298"/>
        <v>1</v>
      </c>
      <c r="J649" s="62">
        <f t="shared" si="1298"/>
        <v>1</v>
      </c>
      <c r="K649" s="62">
        <f t="shared" si="1298"/>
        <v>1</v>
      </c>
      <c r="L649" s="62">
        <f t="shared" si="1298"/>
        <v>1</v>
      </c>
      <c r="M649" s="62">
        <f t="shared" si="1298"/>
        <v>1</v>
      </c>
      <c r="N649" s="62">
        <f t="shared" si="1298"/>
        <v>1</v>
      </c>
      <c r="O649" s="62">
        <f t="shared" si="1298"/>
        <v>1</v>
      </c>
      <c r="P649" s="62" t="str">
        <f t="shared" si="1298"/>
        <v/>
      </c>
      <c r="Q649" s="62" t="str">
        <f t="shared" si="1298"/>
        <v/>
      </c>
      <c r="R649" s="62">
        <f t="shared" si="7"/>
        <v>0</v>
      </c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</row>
    <row r="650" hidden="1">
      <c r="A650" s="60">
        <f>IFERROR(__xludf.DUMMYFUNCTION("""COMPUTED_VALUE"""),13427.0)</f>
        <v>13427</v>
      </c>
      <c r="B650" s="60" t="str">
        <f>IFERROR(__xludf.DUMMYFUNCTION("""COMPUTED_VALUE"""),"Tonyan, Robert")</f>
        <v>Tonyan, Robert</v>
      </c>
      <c r="C650" s="60" t="str">
        <f>IFERROR(__xludf.DUMMYFUNCTION("""COMPUTED_VALUE"""),"TE")</f>
        <v>TE</v>
      </c>
      <c r="D650" s="60" t="str">
        <f>IFERROR(__xludf.DUMMYFUNCTION("""COMPUTED_VALUE"""),"PIT")</f>
        <v>PIT</v>
      </c>
      <c r="E650" s="62" t="str">
        <f t="shared" si="4"/>
        <v>Robert Tonyan</v>
      </c>
      <c r="F650" s="62">
        <f t="shared" ref="F650:G650" si="1299">IF(isblank(F$1),,IF(isblank($A650),,IFERROR(vlookup($A650,indirect("'TVC-"&amp;text(month(F$1),"00")&amp;"'!$A:$D"),4,false),1)))</f>
        <v>1</v>
      </c>
      <c r="G650" s="62">
        <f t="shared" si="1299"/>
        <v>1</v>
      </c>
      <c r="H650" s="62">
        <f t="shared" ref="H650:Q650" si="1300">IF(isblank(H$1),,IFERROR(vlookup($A650,indirect("'TVC-"&amp;text(month(H$1),"00")&amp;"'!$A:$D"),4,false),1))</f>
        <v>1</v>
      </c>
      <c r="I650" s="62">
        <f t="shared" si="1300"/>
        <v>1</v>
      </c>
      <c r="J650" s="62">
        <f t="shared" si="1300"/>
        <v>1</v>
      </c>
      <c r="K650" s="62">
        <f t="shared" si="1300"/>
        <v>1</v>
      </c>
      <c r="L650" s="62">
        <f t="shared" si="1300"/>
        <v>1</v>
      </c>
      <c r="M650" s="62">
        <f t="shared" si="1300"/>
        <v>1</v>
      </c>
      <c r="N650" s="62">
        <f t="shared" si="1300"/>
        <v>1</v>
      </c>
      <c r="O650" s="62">
        <f t="shared" si="1300"/>
        <v>1</v>
      </c>
      <c r="P650" s="62" t="str">
        <f t="shared" si="1300"/>
        <v/>
      </c>
      <c r="Q650" s="62" t="str">
        <f t="shared" si="1300"/>
        <v/>
      </c>
      <c r="R650" s="62">
        <f t="shared" si="7"/>
        <v>0</v>
      </c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</row>
    <row r="651" hidden="1">
      <c r="A651" s="60">
        <f>IFERROR(__xludf.DUMMYFUNCTION("""COMPUTED_VALUE"""),13430.0)</f>
        <v>13430</v>
      </c>
      <c r="B651" s="60" t="str">
        <f>IFERROR(__xludf.DUMMYFUNCTION("""COMPUTED_VALUE"""),"Haack, Matt")</f>
        <v>Haack, Matt</v>
      </c>
      <c r="C651" s="60" t="str">
        <f>IFERROR(__xludf.DUMMYFUNCTION("""COMPUTED_VALUE"""),"PN")</f>
        <v>PN</v>
      </c>
      <c r="D651" s="60" t="str">
        <f>IFERROR(__xludf.DUMMYFUNCTION("""COMPUTED_VALUE"""),"FA")</f>
        <v>FA</v>
      </c>
      <c r="E651" s="62" t="str">
        <f t="shared" si="4"/>
        <v>Matt Haack</v>
      </c>
      <c r="F651" s="62">
        <f t="shared" ref="F651:G651" si="1301">IF(isblank(F$1),,IF(isblank($A651),,IFERROR(vlookup($A651,indirect("'TVC-"&amp;text(month(F$1),"00")&amp;"'!$A:$D"),4,false),1)))</f>
        <v>1</v>
      </c>
      <c r="G651" s="62">
        <f t="shared" si="1301"/>
        <v>1</v>
      </c>
      <c r="H651" s="62">
        <f t="shared" ref="H651:Q651" si="1302">IF(isblank(H$1),,IFERROR(vlookup($A651,indirect("'TVC-"&amp;text(month(H$1),"00")&amp;"'!$A:$D"),4,false),1))</f>
        <v>1</v>
      </c>
      <c r="I651" s="62">
        <f t="shared" si="1302"/>
        <v>1</v>
      </c>
      <c r="J651" s="62">
        <f t="shared" si="1302"/>
        <v>1</v>
      </c>
      <c r="K651" s="62">
        <f t="shared" si="1302"/>
        <v>1</v>
      </c>
      <c r="L651" s="62">
        <f t="shared" si="1302"/>
        <v>1</v>
      </c>
      <c r="M651" s="62">
        <f t="shared" si="1302"/>
        <v>1</v>
      </c>
      <c r="N651" s="62">
        <f t="shared" si="1302"/>
        <v>1</v>
      </c>
      <c r="O651" s="62">
        <f t="shared" si="1302"/>
        <v>1</v>
      </c>
      <c r="P651" s="62" t="str">
        <f t="shared" si="1302"/>
        <v/>
      </c>
      <c r="Q651" s="62" t="str">
        <f t="shared" si="1302"/>
        <v/>
      </c>
      <c r="R651" s="62">
        <f t="shared" si="7"/>
        <v>0</v>
      </c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</row>
    <row r="652" hidden="1">
      <c r="A652" s="60">
        <f>IFERROR(__xludf.DUMMYFUNCTION("""COMPUTED_VALUE"""),13431.0)</f>
        <v>13431</v>
      </c>
      <c r="B652" s="60" t="str">
        <f>IFERROR(__xludf.DUMMYFUNCTION("""COMPUTED_VALUE"""),"Sanchez, Rigoberto")</f>
        <v>Sanchez, Rigoberto</v>
      </c>
      <c r="C652" s="60" t="str">
        <f>IFERROR(__xludf.DUMMYFUNCTION("""COMPUTED_VALUE"""),"PN")</f>
        <v>PN</v>
      </c>
      <c r="D652" s="60" t="str">
        <f>IFERROR(__xludf.DUMMYFUNCTION("""COMPUTED_VALUE"""),"IND")</f>
        <v>IND</v>
      </c>
      <c r="E652" s="62" t="str">
        <f t="shared" si="4"/>
        <v>Rigoberto Sanchez</v>
      </c>
      <c r="F652" s="62">
        <f t="shared" ref="F652:G652" si="1303">IF(isblank(F$1),,IF(isblank($A652),,IFERROR(vlookup($A652,indirect("'TVC-"&amp;text(month(F$1),"00")&amp;"'!$A:$D"),4,false),1)))</f>
        <v>1</v>
      </c>
      <c r="G652" s="62">
        <f t="shared" si="1303"/>
        <v>1</v>
      </c>
      <c r="H652" s="62">
        <f t="shared" ref="H652:Q652" si="1304">IF(isblank(H$1),,IFERROR(vlookup($A652,indirect("'TVC-"&amp;text(month(H$1),"00")&amp;"'!$A:$D"),4,false),1))</f>
        <v>1</v>
      </c>
      <c r="I652" s="62">
        <f t="shared" si="1304"/>
        <v>1</v>
      </c>
      <c r="J652" s="62">
        <f t="shared" si="1304"/>
        <v>1</v>
      </c>
      <c r="K652" s="62">
        <f t="shared" si="1304"/>
        <v>1</v>
      </c>
      <c r="L652" s="62">
        <f t="shared" si="1304"/>
        <v>1</v>
      </c>
      <c r="M652" s="62">
        <f t="shared" si="1304"/>
        <v>1</v>
      </c>
      <c r="N652" s="62">
        <f t="shared" si="1304"/>
        <v>1</v>
      </c>
      <c r="O652" s="62">
        <f t="shared" si="1304"/>
        <v>1</v>
      </c>
      <c r="P652" s="62" t="str">
        <f t="shared" si="1304"/>
        <v/>
      </c>
      <c r="Q652" s="62" t="str">
        <f t="shared" si="1304"/>
        <v/>
      </c>
      <c r="R652" s="62">
        <f t="shared" si="7"/>
        <v>0</v>
      </c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</row>
    <row r="653" hidden="1">
      <c r="A653" s="60">
        <f>IFERROR(__xludf.DUMMYFUNCTION("""COMPUTED_VALUE"""),13434.0)</f>
        <v>13434</v>
      </c>
      <c r="B653" s="60" t="str">
        <f>IFERROR(__xludf.DUMMYFUNCTION("""COMPUTED_VALUE"""),"Robertson-Harris, Roy")</f>
        <v>Robertson-Harris, Roy</v>
      </c>
      <c r="C653" s="60" t="str">
        <f>IFERROR(__xludf.DUMMYFUNCTION("""COMPUTED_VALUE"""),"DT")</f>
        <v>DT</v>
      </c>
      <c r="D653" s="60" t="str">
        <f>IFERROR(__xludf.DUMMYFUNCTION("""COMPUTED_VALUE"""),"NYG")</f>
        <v>NYG</v>
      </c>
      <c r="E653" s="62" t="str">
        <f t="shared" si="4"/>
        <v>Roy Robertson-Harris</v>
      </c>
      <c r="F653" s="62">
        <f t="shared" ref="F653:G653" si="1305">IF(isblank(F$1),,IF(isblank($A653),,IFERROR(vlookup($A653,indirect("'TVC-"&amp;text(month(F$1),"00")&amp;"'!$A:$D"),4,false),1)))</f>
        <v>1</v>
      </c>
      <c r="G653" s="62">
        <f t="shared" si="1305"/>
        <v>1</v>
      </c>
      <c r="H653" s="62">
        <f t="shared" ref="H653:Q653" si="1306">IF(isblank(H$1),,IFERROR(vlookup($A653,indirect("'TVC-"&amp;text(month(H$1),"00")&amp;"'!$A:$D"),4,false),1))</f>
        <v>1</v>
      </c>
      <c r="I653" s="62">
        <f t="shared" si="1306"/>
        <v>1</v>
      </c>
      <c r="J653" s="62">
        <f t="shared" si="1306"/>
        <v>1</v>
      </c>
      <c r="K653" s="62">
        <f t="shared" si="1306"/>
        <v>1</v>
      </c>
      <c r="L653" s="62">
        <f t="shared" si="1306"/>
        <v>1</v>
      </c>
      <c r="M653" s="62">
        <f t="shared" si="1306"/>
        <v>1</v>
      </c>
      <c r="N653" s="62">
        <f t="shared" si="1306"/>
        <v>1</v>
      </c>
      <c r="O653" s="62">
        <f t="shared" si="1306"/>
        <v>1</v>
      </c>
      <c r="P653" s="62" t="str">
        <f t="shared" si="1306"/>
        <v/>
      </c>
      <c r="Q653" s="62" t="str">
        <f t="shared" si="1306"/>
        <v/>
      </c>
      <c r="R653" s="62">
        <f t="shared" si="7"/>
        <v>0</v>
      </c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</row>
    <row r="654" hidden="1">
      <c r="A654" s="60">
        <f>IFERROR(__xludf.DUMMYFUNCTION("""COMPUTED_VALUE"""),13447.0)</f>
        <v>13447</v>
      </c>
      <c r="B654" s="60" t="str">
        <f>IFERROR(__xludf.DUMMYFUNCTION("""COMPUTED_VALUE"""),"Wilson, Eric")</f>
        <v>Wilson, Eric</v>
      </c>
      <c r="C654" s="60" t="str">
        <f>IFERROR(__xludf.DUMMYFUNCTION("""COMPUTED_VALUE"""),"LB")</f>
        <v>LB</v>
      </c>
      <c r="D654" s="60" t="str">
        <f>IFERROR(__xludf.DUMMYFUNCTION("""COMPUTED_VALUE"""),"MIN")</f>
        <v>MIN</v>
      </c>
      <c r="E654" s="62" t="str">
        <f t="shared" si="4"/>
        <v>Eric Wilson</v>
      </c>
      <c r="F654" s="62">
        <f t="shared" ref="F654:G654" si="1307">IF(isblank(F$1),,IF(isblank($A654),,IFERROR(vlookup($A654,indirect("'TVC-"&amp;text(month(F$1),"00")&amp;"'!$A:$D"),4,false),1)))</f>
        <v>1</v>
      </c>
      <c r="G654" s="62">
        <f t="shared" si="1307"/>
        <v>1</v>
      </c>
      <c r="H654" s="62">
        <f t="shared" ref="H654:Q654" si="1308">IF(isblank(H$1),,IFERROR(vlookup($A654,indirect("'TVC-"&amp;text(month(H$1),"00")&amp;"'!$A:$D"),4,false),1))</f>
        <v>1</v>
      </c>
      <c r="I654" s="62">
        <f t="shared" si="1308"/>
        <v>1</v>
      </c>
      <c r="J654" s="62">
        <f t="shared" si="1308"/>
        <v>1</v>
      </c>
      <c r="K654" s="62">
        <f t="shared" si="1308"/>
        <v>1</v>
      </c>
      <c r="L654" s="62">
        <f t="shared" si="1308"/>
        <v>1</v>
      </c>
      <c r="M654" s="62">
        <f t="shared" si="1308"/>
        <v>1</v>
      </c>
      <c r="N654" s="62">
        <f t="shared" si="1308"/>
        <v>1</v>
      </c>
      <c r="O654" s="62">
        <f t="shared" si="1308"/>
        <v>1</v>
      </c>
      <c r="P654" s="62" t="str">
        <f t="shared" si="1308"/>
        <v/>
      </c>
      <c r="Q654" s="62" t="str">
        <f t="shared" si="1308"/>
        <v/>
      </c>
      <c r="R654" s="62">
        <f t="shared" si="7"/>
        <v>0</v>
      </c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</row>
    <row r="655" hidden="1">
      <c r="A655" s="60">
        <f>IFERROR(__xludf.DUMMYFUNCTION("""COMPUTED_VALUE"""),13448.0)</f>
        <v>13448</v>
      </c>
      <c r="B655" s="60" t="str">
        <f>IFERROR(__xludf.DUMMYFUNCTION("""COMPUTED_VALUE"""),"Butler, Adam")</f>
        <v>Butler, Adam</v>
      </c>
      <c r="C655" s="60" t="str">
        <f>IFERROR(__xludf.DUMMYFUNCTION("""COMPUTED_VALUE"""),"DT")</f>
        <v>DT</v>
      </c>
      <c r="D655" s="60" t="str">
        <f>IFERROR(__xludf.DUMMYFUNCTION("""COMPUTED_VALUE"""),"LVR")</f>
        <v>LVR</v>
      </c>
      <c r="E655" s="62" t="str">
        <f t="shared" si="4"/>
        <v>Adam Butler</v>
      </c>
      <c r="F655" s="62">
        <f t="shared" ref="F655:G655" si="1309">IF(isblank(F$1),,IF(isblank($A655),,IFERROR(vlookup($A655,indirect("'TVC-"&amp;text(month(F$1),"00")&amp;"'!$A:$D"),4,false),1)))</f>
        <v>1</v>
      </c>
      <c r="G655" s="62">
        <f t="shared" si="1309"/>
        <v>1</v>
      </c>
      <c r="H655" s="62">
        <f t="shared" ref="H655:Q655" si="1310">IF(isblank(H$1),,IFERROR(vlookup($A655,indirect("'TVC-"&amp;text(month(H$1),"00")&amp;"'!$A:$D"),4,false),1))</f>
        <v>1</v>
      </c>
      <c r="I655" s="62">
        <f t="shared" si="1310"/>
        <v>1</v>
      </c>
      <c r="J655" s="62">
        <f t="shared" si="1310"/>
        <v>1</v>
      </c>
      <c r="K655" s="62">
        <f t="shared" si="1310"/>
        <v>1</v>
      </c>
      <c r="L655" s="62">
        <f t="shared" si="1310"/>
        <v>1</v>
      </c>
      <c r="M655" s="62">
        <f t="shared" si="1310"/>
        <v>1</v>
      </c>
      <c r="N655" s="62">
        <f t="shared" si="1310"/>
        <v>1</v>
      </c>
      <c r="O655" s="62">
        <f t="shared" si="1310"/>
        <v>1</v>
      </c>
      <c r="P655" s="62" t="str">
        <f t="shared" si="1310"/>
        <v/>
      </c>
      <c r="Q655" s="62" t="str">
        <f t="shared" si="1310"/>
        <v/>
      </c>
      <c r="R655" s="62">
        <f t="shared" si="7"/>
        <v>0</v>
      </c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</row>
    <row r="656" hidden="1">
      <c r="A656" s="60">
        <f>IFERROR(__xludf.DUMMYFUNCTION("""COMPUTED_VALUE"""),13455.0)</f>
        <v>13455</v>
      </c>
      <c r="B656" s="60" t="str">
        <f>IFERROR(__xludf.DUMMYFUNCTION("""COMPUTED_VALUE"""),"Ricard, Patrick")</f>
        <v>Ricard, Patrick</v>
      </c>
      <c r="C656" s="60" t="str">
        <f>IFERROR(__xludf.DUMMYFUNCTION("""COMPUTED_VALUE"""),"RB")</f>
        <v>RB</v>
      </c>
      <c r="D656" s="60" t="str">
        <f>IFERROR(__xludf.DUMMYFUNCTION("""COMPUTED_VALUE"""),"NYG")</f>
        <v>NYG</v>
      </c>
      <c r="E656" s="62" t="str">
        <f t="shared" si="4"/>
        <v>Patrick Ricard</v>
      </c>
      <c r="F656" s="62">
        <f t="shared" ref="F656:G656" si="1311">IF(isblank(F$1),,IF(isblank($A656),,IFERROR(vlookup($A656,indirect("'TVC-"&amp;text(month(F$1),"00")&amp;"'!$A:$D"),4,false),1)))</f>
        <v>1</v>
      </c>
      <c r="G656" s="62">
        <f t="shared" si="1311"/>
        <v>1</v>
      </c>
      <c r="H656" s="62">
        <f t="shared" ref="H656:Q656" si="1312">IF(isblank(H$1),,IFERROR(vlookup($A656,indirect("'TVC-"&amp;text(month(H$1),"00")&amp;"'!$A:$D"),4,false),1))</f>
        <v>1</v>
      </c>
      <c r="I656" s="62">
        <f t="shared" si="1312"/>
        <v>1</v>
      </c>
      <c r="J656" s="62">
        <f t="shared" si="1312"/>
        <v>1</v>
      </c>
      <c r="K656" s="62">
        <f t="shared" si="1312"/>
        <v>1</v>
      </c>
      <c r="L656" s="62">
        <f t="shared" si="1312"/>
        <v>1</v>
      </c>
      <c r="M656" s="62">
        <f t="shared" si="1312"/>
        <v>1</v>
      </c>
      <c r="N656" s="62">
        <f t="shared" si="1312"/>
        <v>1</v>
      </c>
      <c r="O656" s="62">
        <f t="shared" si="1312"/>
        <v>1</v>
      </c>
      <c r="P656" s="62" t="str">
        <f t="shared" si="1312"/>
        <v/>
      </c>
      <c r="Q656" s="62" t="str">
        <f t="shared" si="1312"/>
        <v/>
      </c>
      <c r="R656" s="62">
        <f t="shared" si="7"/>
        <v>0</v>
      </c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</row>
    <row r="657" hidden="1">
      <c r="A657" s="60">
        <f>IFERROR(__xludf.DUMMYFUNCTION("""COMPUTED_VALUE"""),13470.0)</f>
        <v>13470</v>
      </c>
      <c r="B657" s="60" t="str">
        <f>IFERROR(__xludf.DUMMYFUNCTION("""COMPUTED_VALUE"""),"Moore, Kenny")</f>
        <v>Moore, Kenny</v>
      </c>
      <c r="C657" s="60" t="str">
        <f>IFERROR(__xludf.DUMMYFUNCTION("""COMPUTED_VALUE"""),"CB")</f>
        <v>CB</v>
      </c>
      <c r="D657" s="60" t="str">
        <f>IFERROR(__xludf.DUMMYFUNCTION("""COMPUTED_VALUE"""),"PHI")</f>
        <v>PHI</v>
      </c>
      <c r="E657" s="62" t="str">
        <f t="shared" si="4"/>
        <v>Kenny Moore</v>
      </c>
      <c r="F657" s="62">
        <f t="shared" ref="F657:G657" si="1313">IF(isblank(F$1),,IF(isblank($A657),,IFERROR(vlookup($A657,indirect("'TVC-"&amp;text(month(F$1),"00")&amp;"'!$A:$D"),4,false),1)))</f>
        <v>1</v>
      </c>
      <c r="G657" s="62">
        <f t="shared" si="1313"/>
        <v>1</v>
      </c>
      <c r="H657" s="62">
        <f t="shared" ref="H657:Q657" si="1314">IF(isblank(H$1),,IFERROR(vlookup($A657,indirect("'TVC-"&amp;text(month(H$1),"00")&amp;"'!$A:$D"),4,false),1))</f>
        <v>1</v>
      </c>
      <c r="I657" s="62">
        <f t="shared" si="1314"/>
        <v>1</v>
      </c>
      <c r="J657" s="62">
        <f t="shared" si="1314"/>
        <v>1</v>
      </c>
      <c r="K657" s="62">
        <f t="shared" si="1314"/>
        <v>1</v>
      </c>
      <c r="L657" s="62">
        <f t="shared" si="1314"/>
        <v>1</v>
      </c>
      <c r="M657" s="62">
        <f t="shared" si="1314"/>
        <v>1</v>
      </c>
      <c r="N657" s="62">
        <f t="shared" si="1314"/>
        <v>1</v>
      </c>
      <c r="O657" s="62">
        <f t="shared" si="1314"/>
        <v>1</v>
      </c>
      <c r="P657" s="62" t="str">
        <f t="shared" si="1314"/>
        <v/>
      </c>
      <c r="Q657" s="62" t="str">
        <f t="shared" si="1314"/>
        <v/>
      </c>
      <c r="R657" s="62">
        <f t="shared" si="7"/>
        <v>0</v>
      </c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</row>
    <row r="658" hidden="1">
      <c r="A658" s="60">
        <f>IFERROR(__xludf.DUMMYFUNCTION("""COMPUTED_VALUE"""),13479.0)</f>
        <v>13479</v>
      </c>
      <c r="B658" s="60" t="str">
        <f>IFERROR(__xludf.DUMMYFUNCTION("""COMPUTED_VALUE"""),"Davis, Michael")</f>
        <v>Davis, Michael</v>
      </c>
      <c r="C658" s="60" t="str">
        <f>IFERROR(__xludf.DUMMYFUNCTION("""COMPUTED_VALUE"""),"CB")</f>
        <v>CB</v>
      </c>
      <c r="D658" s="60" t="str">
        <f>IFERROR(__xludf.DUMMYFUNCTION("""COMPUTED_VALUE"""),"FA")</f>
        <v>FA</v>
      </c>
      <c r="E658" s="62" t="str">
        <f t="shared" si="4"/>
        <v>Michael Davis</v>
      </c>
      <c r="F658" s="62">
        <f t="shared" ref="F658:G658" si="1315">IF(isblank(F$1),,IF(isblank($A658),,IFERROR(vlookup($A658,indirect("'TVC-"&amp;text(month(F$1),"00")&amp;"'!$A:$D"),4,false),1)))</f>
        <v>1</v>
      </c>
      <c r="G658" s="62">
        <f t="shared" si="1315"/>
        <v>1</v>
      </c>
      <c r="H658" s="62">
        <f t="shared" ref="H658:Q658" si="1316">IF(isblank(H$1),,IFERROR(vlookup($A658,indirect("'TVC-"&amp;text(month(H$1),"00")&amp;"'!$A:$D"),4,false),1))</f>
        <v>1</v>
      </c>
      <c r="I658" s="62">
        <f t="shared" si="1316"/>
        <v>1</v>
      </c>
      <c r="J658" s="62">
        <f t="shared" si="1316"/>
        <v>1</v>
      </c>
      <c r="K658" s="62">
        <f t="shared" si="1316"/>
        <v>1</v>
      </c>
      <c r="L658" s="62">
        <f t="shared" si="1316"/>
        <v>1</v>
      </c>
      <c r="M658" s="62">
        <f t="shared" si="1316"/>
        <v>1</v>
      </c>
      <c r="N658" s="62">
        <f t="shared" si="1316"/>
        <v>1</v>
      </c>
      <c r="O658" s="62">
        <f t="shared" si="1316"/>
        <v>1</v>
      </c>
      <c r="P658" s="62" t="str">
        <f t="shared" si="1316"/>
        <v/>
      </c>
      <c r="Q658" s="62" t="str">
        <f t="shared" si="1316"/>
        <v/>
      </c>
      <c r="R658" s="62">
        <f t="shared" si="7"/>
        <v>0</v>
      </c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</row>
    <row r="659" hidden="1">
      <c r="A659" s="60">
        <f>IFERROR(__xludf.DUMMYFUNCTION("""COMPUTED_VALUE"""),13488.0)</f>
        <v>13488</v>
      </c>
      <c r="B659" s="60" t="str">
        <f>IFERROR(__xludf.DUMMYFUNCTION("""COMPUTED_VALUE"""),"Pascal, Zach")</f>
        <v>Pascal, Zach</v>
      </c>
      <c r="C659" s="60" t="str">
        <f>IFERROR(__xludf.DUMMYFUNCTION("""COMPUTED_VALUE"""),"WR")</f>
        <v>WR</v>
      </c>
      <c r="D659" s="60" t="str">
        <f>IFERROR(__xludf.DUMMYFUNCTION("""COMPUTED_VALUE"""),"FA")</f>
        <v>FA</v>
      </c>
      <c r="E659" s="62" t="str">
        <f t="shared" si="4"/>
        <v>Zach Pascal</v>
      </c>
      <c r="F659" s="62">
        <f t="shared" ref="F659:G659" si="1317">IF(isblank(F$1),,IF(isblank($A659),,IFERROR(vlookup($A659,indirect("'TVC-"&amp;text(month(F$1),"00")&amp;"'!$A:$D"),4,false),1)))</f>
        <v>1</v>
      </c>
      <c r="G659" s="62">
        <f t="shared" si="1317"/>
        <v>1</v>
      </c>
      <c r="H659" s="62">
        <f t="shared" ref="H659:Q659" si="1318">IF(isblank(H$1),,IFERROR(vlookup($A659,indirect("'TVC-"&amp;text(month(H$1),"00")&amp;"'!$A:$D"),4,false),1))</f>
        <v>1</v>
      </c>
      <c r="I659" s="62">
        <f t="shared" si="1318"/>
        <v>1</v>
      </c>
      <c r="J659" s="62">
        <f t="shared" si="1318"/>
        <v>1</v>
      </c>
      <c r="K659" s="62">
        <f t="shared" si="1318"/>
        <v>1</v>
      </c>
      <c r="L659" s="62">
        <f t="shared" si="1318"/>
        <v>1</v>
      </c>
      <c r="M659" s="62">
        <f t="shared" si="1318"/>
        <v>1</v>
      </c>
      <c r="N659" s="62">
        <f t="shared" si="1318"/>
        <v>1</v>
      </c>
      <c r="O659" s="62">
        <f t="shared" si="1318"/>
        <v>1</v>
      </c>
      <c r="P659" s="62" t="str">
        <f t="shared" si="1318"/>
        <v/>
      </c>
      <c r="Q659" s="62" t="str">
        <f t="shared" si="1318"/>
        <v/>
      </c>
      <c r="R659" s="62">
        <f t="shared" si="7"/>
        <v>0</v>
      </c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</row>
    <row r="660">
      <c r="A660" s="60">
        <f>IFERROR(__xludf.DUMMYFUNCTION("""COMPUTED_VALUE"""),13547.0)</f>
        <v>13547</v>
      </c>
      <c r="B660" s="60" t="str">
        <f>IFERROR(__xludf.DUMMYFUNCTION("""COMPUTED_VALUE"""),"Maulet, Art")</f>
        <v>Maulet, Art</v>
      </c>
      <c r="C660" s="60" t="str">
        <f>IFERROR(__xludf.DUMMYFUNCTION("""COMPUTED_VALUE"""),"CB")</f>
        <v>CB</v>
      </c>
      <c r="D660" s="60" t="str">
        <f>IFERROR(__xludf.DUMMYFUNCTION("""COMPUTED_VALUE"""),"DET")</f>
        <v>DET</v>
      </c>
      <c r="E660" s="62" t="str">
        <f t="shared" si="4"/>
        <v>Art Maulet</v>
      </c>
      <c r="F660" s="62">
        <f t="shared" ref="F660:G660" si="1319">IF(isblank(F$1),,IF(isblank($A660),,IFERROR(vlookup($A660,indirect("'TVC-"&amp;text(month(F$1),"00")&amp;"'!$A:$D"),4,false),1)))</f>
        <v>1</v>
      </c>
      <c r="G660" s="62">
        <f t="shared" si="1319"/>
        <v>1</v>
      </c>
      <c r="H660" s="62">
        <f t="shared" ref="H660:Q660" si="1320">IF(isblank(H$1),,IFERROR(vlookup($A660,indirect("'TVC-"&amp;text(month(H$1),"00")&amp;"'!$A:$D"),4,false),1))</f>
        <v>1</v>
      </c>
      <c r="I660" s="62">
        <f t="shared" si="1320"/>
        <v>1</v>
      </c>
      <c r="J660" s="62">
        <f t="shared" si="1320"/>
        <v>1</v>
      </c>
      <c r="K660" s="62">
        <f t="shared" si="1320"/>
        <v>1</v>
      </c>
      <c r="L660" s="62">
        <f t="shared" si="1320"/>
        <v>1</v>
      </c>
      <c r="M660" s="62">
        <f t="shared" si="1320"/>
        <v>1</v>
      </c>
      <c r="N660" s="62">
        <f t="shared" si="1320"/>
        <v>1</v>
      </c>
      <c r="O660" s="62">
        <f t="shared" si="1320"/>
        <v>1</v>
      </c>
      <c r="P660" s="62" t="str">
        <f t="shared" si="1320"/>
        <v/>
      </c>
      <c r="Q660" s="62" t="str">
        <f t="shared" si="1320"/>
        <v/>
      </c>
      <c r="R660" s="62">
        <f t="shared" si="7"/>
        <v>0</v>
      </c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</row>
    <row r="661">
      <c r="A661" s="60">
        <f>IFERROR(__xludf.DUMMYFUNCTION("""COMPUTED_VALUE"""),13589.0)</f>
        <v>13589</v>
      </c>
      <c r="B661" s="60" t="str">
        <f>IFERROR(__xludf.DUMMYFUNCTION("""COMPUTED_VALUE"""),"Allen, Josh")</f>
        <v>Allen, Josh</v>
      </c>
      <c r="C661" s="60" t="str">
        <f>IFERROR(__xludf.DUMMYFUNCTION("""COMPUTED_VALUE"""),"QB")</f>
        <v>QB</v>
      </c>
      <c r="D661" s="60" t="str">
        <f>IFERROR(__xludf.DUMMYFUNCTION("""COMPUTED_VALUE"""),"BUF")</f>
        <v>BUF</v>
      </c>
      <c r="E661" s="62" t="str">
        <f t="shared" si="4"/>
        <v>Josh Allen</v>
      </c>
      <c r="F661" s="62">
        <f t="shared" ref="F661:G661" si="1321">IF(isblank(F$1),,IF(isblank($A661),,IFERROR(vlookup($A661,indirect("'TVC-"&amp;text(month(F$1),"00")&amp;"'!$A:$D"),4,false),1)))</f>
        <v>9982</v>
      </c>
      <c r="G661" s="62">
        <f t="shared" si="1321"/>
        <v>9997</v>
      </c>
      <c r="H661" s="62">
        <f t="shared" ref="H661:Q661" si="1322">IF(isblank(H$1),,IFERROR(vlookup($A661,indirect("'TVC-"&amp;text(month(H$1),"00")&amp;"'!$A:$D"),4,false),1))</f>
        <v>9999</v>
      </c>
      <c r="I661" s="62">
        <f t="shared" si="1322"/>
        <v>9987</v>
      </c>
      <c r="J661" s="62">
        <f t="shared" si="1322"/>
        <v>9999</v>
      </c>
      <c r="K661" s="62">
        <f t="shared" si="1322"/>
        <v>9995</v>
      </c>
      <c r="L661" s="62">
        <f t="shared" si="1322"/>
        <v>9996</v>
      </c>
      <c r="M661" s="62">
        <f t="shared" si="1322"/>
        <v>9995</v>
      </c>
      <c r="N661" s="62">
        <f t="shared" si="1322"/>
        <v>9994</v>
      </c>
      <c r="O661" s="62">
        <f t="shared" si="1322"/>
        <v>1</v>
      </c>
      <c r="P661" s="62" t="str">
        <f t="shared" si="1322"/>
        <v/>
      </c>
      <c r="Q661" s="62" t="str">
        <f t="shared" si="1322"/>
        <v/>
      </c>
      <c r="R661" s="62">
        <f t="shared" si="7"/>
        <v>-9993</v>
      </c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</row>
    <row r="662">
      <c r="A662" s="60">
        <f>IFERROR(__xludf.DUMMYFUNCTION("""COMPUTED_VALUE"""),13590.0)</f>
        <v>13590</v>
      </c>
      <c r="B662" s="60" t="str">
        <f>IFERROR(__xludf.DUMMYFUNCTION("""COMPUTED_VALUE"""),"Mayfield, Baker")</f>
        <v>Mayfield, Baker</v>
      </c>
      <c r="C662" s="60" t="str">
        <f>IFERROR(__xludf.DUMMYFUNCTION("""COMPUTED_VALUE"""),"QB")</f>
        <v>QB</v>
      </c>
      <c r="D662" s="60" t="str">
        <f>IFERROR(__xludf.DUMMYFUNCTION("""COMPUTED_VALUE"""),"TBB")</f>
        <v>TBB</v>
      </c>
      <c r="E662" s="62" t="str">
        <f t="shared" si="4"/>
        <v>Baker Mayfield</v>
      </c>
      <c r="F662" s="62">
        <f t="shared" ref="F662:G662" si="1323">IF(isblank(F$1),,IF(isblank($A662),,IFERROR(vlookup($A662,indirect("'TVC-"&amp;text(month(F$1),"00")&amp;"'!$A:$D"),4,false),1)))</f>
        <v>4880</v>
      </c>
      <c r="G662" s="62">
        <f t="shared" si="1323"/>
        <v>4769</v>
      </c>
      <c r="H662" s="62">
        <f t="shared" ref="H662:Q662" si="1324">IF(isblank(H$1),,IFERROR(vlookup($A662,indirect("'TVC-"&amp;text(month(H$1),"00")&amp;"'!$A:$D"),4,false),1))</f>
        <v>4839</v>
      </c>
      <c r="I662" s="62">
        <f t="shared" si="1324"/>
        <v>4782</v>
      </c>
      <c r="J662" s="62">
        <f t="shared" si="1324"/>
        <v>4746</v>
      </c>
      <c r="K662" s="62">
        <f t="shared" si="1324"/>
        <v>4826</v>
      </c>
      <c r="L662" s="62">
        <f t="shared" si="1324"/>
        <v>4707</v>
      </c>
      <c r="M662" s="62">
        <f t="shared" si="1324"/>
        <v>4648</v>
      </c>
      <c r="N662" s="62">
        <f t="shared" si="1324"/>
        <v>4588</v>
      </c>
      <c r="O662" s="62">
        <f t="shared" si="1324"/>
        <v>1</v>
      </c>
      <c r="P662" s="62" t="str">
        <f t="shared" si="1324"/>
        <v/>
      </c>
      <c r="Q662" s="62" t="str">
        <f t="shared" si="1324"/>
        <v/>
      </c>
      <c r="R662" s="62">
        <f t="shared" si="7"/>
        <v>-4587</v>
      </c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</row>
    <row r="663">
      <c r="A663" s="60">
        <f>IFERROR(__xludf.DUMMYFUNCTION("""COMPUTED_VALUE"""),13592.0)</f>
        <v>13592</v>
      </c>
      <c r="B663" s="60" t="str">
        <f>IFERROR(__xludf.DUMMYFUNCTION("""COMPUTED_VALUE"""),"Darnold, Sam")</f>
        <v>Darnold, Sam</v>
      </c>
      <c r="C663" s="60" t="str">
        <f>IFERROR(__xludf.DUMMYFUNCTION("""COMPUTED_VALUE"""),"QB")</f>
        <v>QB</v>
      </c>
      <c r="D663" s="60" t="str">
        <f>IFERROR(__xludf.DUMMYFUNCTION("""COMPUTED_VALUE"""),"SEA")</f>
        <v>SEA</v>
      </c>
      <c r="E663" s="62" t="str">
        <f t="shared" si="4"/>
        <v>Sam Darnold</v>
      </c>
      <c r="F663" s="62">
        <f t="shared" ref="F663:G663" si="1325">IF(isblank(F$1),,IF(isblank($A663),,IFERROR(vlookup($A663,indirect("'TVC-"&amp;text(month(F$1),"00")&amp;"'!$A:$D"),4,false),1)))</f>
        <v>4625</v>
      </c>
      <c r="G663" s="62">
        <f t="shared" si="1325"/>
        <v>4790</v>
      </c>
      <c r="H663" s="62">
        <f t="shared" ref="H663:Q663" si="1326">IF(isblank(H$1),,IFERROR(vlookup($A663,indirect("'TVC-"&amp;text(month(H$1),"00")&amp;"'!$A:$D"),4,false),1))</f>
        <v>4832</v>
      </c>
      <c r="I663" s="62">
        <f t="shared" si="1326"/>
        <v>4768</v>
      </c>
      <c r="J663" s="62">
        <f t="shared" si="1326"/>
        <v>4806</v>
      </c>
      <c r="K663" s="62">
        <f t="shared" si="1326"/>
        <v>4639</v>
      </c>
      <c r="L663" s="62">
        <f t="shared" si="1326"/>
        <v>4519</v>
      </c>
      <c r="M663" s="62">
        <f t="shared" si="1326"/>
        <v>4394</v>
      </c>
      <c r="N663" s="62">
        <f t="shared" si="1326"/>
        <v>4259</v>
      </c>
      <c r="O663" s="62">
        <f t="shared" si="1326"/>
        <v>1</v>
      </c>
      <c r="P663" s="62" t="str">
        <f t="shared" si="1326"/>
        <v/>
      </c>
      <c r="Q663" s="62" t="str">
        <f t="shared" si="1326"/>
        <v/>
      </c>
      <c r="R663" s="62">
        <f t="shared" si="7"/>
        <v>-4258</v>
      </c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</row>
    <row r="664">
      <c r="A664" s="60">
        <f>IFERROR(__xludf.DUMMYFUNCTION("""COMPUTED_VALUE"""),13593.0)</f>
        <v>13593</v>
      </c>
      <c r="B664" s="60" t="str">
        <f>IFERROR(__xludf.DUMMYFUNCTION("""COMPUTED_VALUE"""),"Jackson, Lamar")</f>
        <v>Jackson, Lamar</v>
      </c>
      <c r="C664" s="60" t="str">
        <f>IFERROR(__xludf.DUMMYFUNCTION("""COMPUTED_VALUE"""),"QB")</f>
        <v>QB</v>
      </c>
      <c r="D664" s="60" t="str">
        <f>IFERROR(__xludf.DUMMYFUNCTION("""COMPUTED_VALUE"""),"BAL")</f>
        <v>BAL</v>
      </c>
      <c r="E664" s="62" t="str">
        <f t="shared" si="4"/>
        <v>Lamar Jackson</v>
      </c>
      <c r="F664" s="62">
        <f t="shared" ref="F664:G664" si="1327">IF(isblank(F$1),,IF(isblank($A664),,IFERROR(vlookup($A664,indirect("'TVC-"&amp;text(month(F$1),"00")&amp;"'!$A:$D"),4,false),1)))</f>
        <v>7468</v>
      </c>
      <c r="G664" s="62">
        <f t="shared" si="1327"/>
        <v>7516</v>
      </c>
      <c r="H664" s="62">
        <f t="shared" ref="H664:Q664" si="1328">IF(isblank(H$1),,IFERROR(vlookup($A664,indirect("'TVC-"&amp;text(month(H$1),"00")&amp;"'!$A:$D"),4,false),1))</f>
        <v>7546</v>
      </c>
      <c r="I664" s="62">
        <f t="shared" si="1328"/>
        <v>7682</v>
      </c>
      <c r="J664" s="62">
        <f t="shared" si="1328"/>
        <v>7671</v>
      </c>
      <c r="K664" s="62">
        <f t="shared" si="1328"/>
        <v>7650</v>
      </c>
      <c r="L664" s="62">
        <f t="shared" si="1328"/>
        <v>7596</v>
      </c>
      <c r="M664" s="62">
        <f t="shared" si="1328"/>
        <v>7630</v>
      </c>
      <c r="N664" s="62">
        <f t="shared" si="1328"/>
        <v>7542</v>
      </c>
      <c r="O664" s="62">
        <f t="shared" si="1328"/>
        <v>1</v>
      </c>
      <c r="P664" s="62" t="str">
        <f t="shared" si="1328"/>
        <v/>
      </c>
      <c r="Q664" s="62" t="str">
        <f t="shared" si="1328"/>
        <v/>
      </c>
      <c r="R664" s="62">
        <f t="shared" si="7"/>
        <v>-7541</v>
      </c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</row>
    <row r="665" hidden="1">
      <c r="A665" s="60">
        <f>IFERROR(__xludf.DUMMYFUNCTION("""COMPUTED_VALUE"""),13595.0)</f>
        <v>13595</v>
      </c>
      <c r="B665" s="60" t="str">
        <f>IFERROR(__xludf.DUMMYFUNCTION("""COMPUTED_VALUE"""),"Rudolph, Mason")</f>
        <v>Rudolph, Mason</v>
      </c>
      <c r="C665" s="60" t="str">
        <f>IFERROR(__xludf.DUMMYFUNCTION("""COMPUTED_VALUE"""),"QB")</f>
        <v>QB</v>
      </c>
      <c r="D665" s="60" t="str">
        <f>IFERROR(__xludf.DUMMYFUNCTION("""COMPUTED_VALUE"""),"PIT")</f>
        <v>PIT</v>
      </c>
      <c r="E665" s="62" t="str">
        <f t="shared" si="4"/>
        <v>Mason Rudolph</v>
      </c>
      <c r="F665" s="62">
        <f t="shared" ref="F665:G665" si="1329">IF(isblank(F$1),,IF(isblank($A665),,IFERROR(vlookup($A665,indirect("'TVC-"&amp;text(month(F$1),"00")&amp;"'!$A:$D"),4,false),1)))</f>
        <v>939</v>
      </c>
      <c r="G665" s="62">
        <f t="shared" si="1329"/>
        <v>929</v>
      </c>
      <c r="H665" s="62">
        <f t="shared" ref="H665:Q665" si="1330">IF(isblank(H$1),,IFERROR(vlookup($A665,indirect("'TVC-"&amp;text(month(H$1),"00")&amp;"'!$A:$D"),4,false),1))</f>
        <v>938</v>
      </c>
      <c r="I665" s="62">
        <f t="shared" si="1330"/>
        <v>938</v>
      </c>
      <c r="J665" s="62">
        <f t="shared" si="1330"/>
        <v>907</v>
      </c>
      <c r="K665" s="62">
        <f t="shared" si="1330"/>
        <v>591</v>
      </c>
      <c r="L665" s="62">
        <f t="shared" si="1330"/>
        <v>533</v>
      </c>
      <c r="M665" s="62">
        <f t="shared" si="1330"/>
        <v>1</v>
      </c>
      <c r="N665" s="62">
        <f t="shared" si="1330"/>
        <v>1</v>
      </c>
      <c r="O665" s="62">
        <f t="shared" si="1330"/>
        <v>1</v>
      </c>
      <c r="P665" s="62" t="str">
        <f t="shared" si="1330"/>
        <v/>
      </c>
      <c r="Q665" s="62" t="str">
        <f t="shared" si="1330"/>
        <v/>
      </c>
      <c r="R665" s="62">
        <f t="shared" si="7"/>
        <v>0</v>
      </c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</row>
    <row r="666">
      <c r="A666" s="60">
        <f>IFERROR(__xludf.DUMMYFUNCTION("""COMPUTED_VALUE"""),13598.0)</f>
        <v>13598</v>
      </c>
      <c r="B666" s="60" t="str">
        <f>IFERROR(__xludf.DUMMYFUNCTION("""COMPUTED_VALUE"""),"White, Mike")</f>
        <v>White, Mike</v>
      </c>
      <c r="C666" s="60" t="str">
        <f>IFERROR(__xludf.DUMMYFUNCTION("""COMPUTED_VALUE"""),"QB")</f>
        <v>QB</v>
      </c>
      <c r="D666" s="60" t="str">
        <f>IFERROR(__xludf.DUMMYFUNCTION("""COMPUTED_VALUE"""),"FA")</f>
        <v>FA</v>
      </c>
      <c r="E666" s="62" t="str">
        <f t="shared" si="4"/>
        <v>Mike White</v>
      </c>
      <c r="F666" s="62">
        <f t="shared" ref="F666:G666" si="1331">IF(isblank(F$1),,IF(isblank($A666),,IFERROR(vlookup($A666,indirect("'TVC-"&amp;text(month(F$1),"00")&amp;"'!$A:$D"),4,false),1)))</f>
        <v>1</v>
      </c>
      <c r="G666" s="62">
        <f t="shared" si="1331"/>
        <v>1</v>
      </c>
      <c r="H666" s="62">
        <f t="shared" ref="H666:Q666" si="1332">IF(isblank(H$1),,IFERROR(vlookup($A666,indirect("'TVC-"&amp;text(month(H$1),"00")&amp;"'!$A:$D"),4,false),1))</f>
        <v>1</v>
      </c>
      <c r="I666" s="62">
        <f t="shared" si="1332"/>
        <v>1</v>
      </c>
      <c r="J666" s="62">
        <f t="shared" si="1332"/>
        <v>1</v>
      </c>
      <c r="K666" s="62">
        <f t="shared" si="1332"/>
        <v>1</v>
      </c>
      <c r="L666" s="62">
        <f t="shared" si="1332"/>
        <v>1</v>
      </c>
      <c r="M666" s="62">
        <f t="shared" si="1332"/>
        <v>1</v>
      </c>
      <c r="N666" s="62">
        <f t="shared" si="1332"/>
        <v>1</v>
      </c>
      <c r="O666" s="62">
        <f t="shared" si="1332"/>
        <v>1</v>
      </c>
      <c r="P666" s="62" t="str">
        <f t="shared" si="1332"/>
        <v/>
      </c>
      <c r="Q666" s="62" t="str">
        <f t="shared" si="1332"/>
        <v/>
      </c>
      <c r="R666" s="62">
        <f t="shared" si="7"/>
        <v>0</v>
      </c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</row>
    <row r="667" hidden="1">
      <c r="A667" s="60">
        <f>IFERROR(__xludf.DUMMYFUNCTION("""COMPUTED_VALUE"""),13604.0)</f>
        <v>13604</v>
      </c>
      <c r="B667" s="60" t="str">
        <f>IFERROR(__xludf.DUMMYFUNCTION("""COMPUTED_VALUE"""),"Barkley, Saquon")</f>
        <v>Barkley, Saquon</v>
      </c>
      <c r="C667" s="60" t="str">
        <f>IFERROR(__xludf.DUMMYFUNCTION("""COMPUTED_VALUE"""),"RB")</f>
        <v>RB</v>
      </c>
      <c r="D667" s="60" t="str">
        <f>IFERROR(__xludf.DUMMYFUNCTION("""COMPUTED_VALUE"""),"PHI")</f>
        <v>PHI</v>
      </c>
      <c r="E667" s="62" t="str">
        <f t="shared" si="4"/>
        <v>Saquon Barkley</v>
      </c>
      <c r="F667" s="62">
        <f t="shared" ref="F667:G667" si="1333">IF(isblank(F$1),,IF(isblank($A667),,IFERROR(vlookup($A667,indirect("'TVC-"&amp;text(month(F$1),"00")&amp;"'!$A:$D"),4,false),1)))</f>
        <v>4849</v>
      </c>
      <c r="G667" s="62">
        <f t="shared" si="1333"/>
        <v>4796</v>
      </c>
      <c r="H667" s="62">
        <f t="shared" ref="H667:Q667" si="1334">IF(isblank(H$1),,IFERROR(vlookup($A667,indirect("'TVC-"&amp;text(month(H$1),"00")&amp;"'!$A:$D"),4,false),1))</f>
        <v>4781</v>
      </c>
      <c r="I667" s="62">
        <f t="shared" si="1334"/>
        <v>4911</v>
      </c>
      <c r="J667" s="62">
        <f t="shared" si="1334"/>
        <v>4883</v>
      </c>
      <c r="K667" s="62">
        <f t="shared" si="1334"/>
        <v>4913</v>
      </c>
      <c r="L667" s="62">
        <f t="shared" si="1334"/>
        <v>4946</v>
      </c>
      <c r="M667" s="62">
        <f t="shared" si="1334"/>
        <v>5079</v>
      </c>
      <c r="N667" s="62">
        <f t="shared" si="1334"/>
        <v>5288</v>
      </c>
      <c r="O667" s="62">
        <f t="shared" si="1334"/>
        <v>1</v>
      </c>
      <c r="P667" s="62" t="str">
        <f t="shared" si="1334"/>
        <v/>
      </c>
      <c r="Q667" s="62" t="str">
        <f t="shared" si="1334"/>
        <v/>
      </c>
      <c r="R667" s="62">
        <f t="shared" si="7"/>
        <v>-5287</v>
      </c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</row>
    <row r="668" hidden="1">
      <c r="A668" s="60">
        <f>IFERROR(__xludf.DUMMYFUNCTION("""COMPUTED_VALUE"""),13610.0)</f>
        <v>13610</v>
      </c>
      <c r="B668" s="60" t="str">
        <f>IFERROR(__xludf.DUMMYFUNCTION("""COMPUTED_VALUE"""),"Chubb, Nick")</f>
        <v>Chubb, Nick</v>
      </c>
      <c r="C668" s="60" t="str">
        <f>IFERROR(__xludf.DUMMYFUNCTION("""COMPUTED_VALUE"""),"RB")</f>
        <v>RB</v>
      </c>
      <c r="D668" s="60" t="str">
        <f>IFERROR(__xludf.DUMMYFUNCTION("""COMPUTED_VALUE"""),"FA")</f>
        <v>FA</v>
      </c>
      <c r="E668" s="62" t="str">
        <f t="shared" si="4"/>
        <v>Nick Chubb</v>
      </c>
      <c r="F668" s="62">
        <f t="shared" ref="F668:G668" si="1335">IF(isblank(F$1),,IF(isblank($A668),,IFERROR(vlookup($A668,indirect("'TVC-"&amp;text(month(F$1),"00")&amp;"'!$A:$D"),4,false),1)))</f>
        <v>1183</v>
      </c>
      <c r="G668" s="62">
        <f t="shared" si="1335"/>
        <v>1069</v>
      </c>
      <c r="H668" s="62">
        <f t="shared" ref="H668:Q668" si="1336">IF(isblank(H$1),,IFERROR(vlookup($A668,indirect("'TVC-"&amp;text(month(H$1),"00")&amp;"'!$A:$D"),4,false),1))</f>
        <v>1082</v>
      </c>
      <c r="I668" s="62">
        <f t="shared" si="1336"/>
        <v>914</v>
      </c>
      <c r="J668" s="62">
        <f t="shared" si="1336"/>
        <v>810</v>
      </c>
      <c r="K668" s="62">
        <f t="shared" si="1336"/>
        <v>496</v>
      </c>
      <c r="L668" s="62">
        <f t="shared" si="1336"/>
        <v>1</v>
      </c>
      <c r="M668" s="62">
        <f t="shared" si="1336"/>
        <v>1</v>
      </c>
      <c r="N668" s="62">
        <f t="shared" si="1336"/>
        <v>1</v>
      </c>
      <c r="O668" s="62">
        <f t="shared" si="1336"/>
        <v>1</v>
      </c>
      <c r="P668" s="62" t="str">
        <f t="shared" si="1336"/>
        <v/>
      </c>
      <c r="Q668" s="62" t="str">
        <f t="shared" si="1336"/>
        <v/>
      </c>
      <c r="R668" s="62">
        <f t="shared" si="7"/>
        <v>0</v>
      </c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</row>
    <row r="669">
      <c r="A669" s="60">
        <f>IFERROR(__xludf.DUMMYFUNCTION("""COMPUTED_VALUE"""),13622.0)</f>
        <v>13622</v>
      </c>
      <c r="B669" s="60" t="str">
        <f>IFERROR(__xludf.DUMMYFUNCTION("""COMPUTED_VALUE"""),"Hines, Nyheim")</f>
        <v>Hines, Nyheim</v>
      </c>
      <c r="C669" s="60" t="str">
        <f>IFERROR(__xludf.DUMMYFUNCTION("""COMPUTED_VALUE"""),"RB")</f>
        <v>RB</v>
      </c>
      <c r="D669" s="60" t="str">
        <f>IFERROR(__xludf.DUMMYFUNCTION("""COMPUTED_VALUE"""),"NOS")</f>
        <v>NOS</v>
      </c>
      <c r="E669" s="62" t="str">
        <f t="shared" si="4"/>
        <v>Nyheim Hines</v>
      </c>
      <c r="F669" s="62">
        <f t="shared" ref="F669:G669" si="1337">IF(isblank(F$1),,IF(isblank($A669),,IFERROR(vlookup($A669,indirect("'TVC-"&amp;text(month(F$1),"00")&amp;"'!$A:$D"),4,false),1)))</f>
        <v>1</v>
      </c>
      <c r="G669" s="62">
        <f t="shared" si="1337"/>
        <v>1</v>
      </c>
      <c r="H669" s="62">
        <f t="shared" ref="H669:Q669" si="1338">IF(isblank(H$1),,IFERROR(vlookup($A669,indirect("'TVC-"&amp;text(month(H$1),"00")&amp;"'!$A:$D"),4,false),1))</f>
        <v>1</v>
      </c>
      <c r="I669" s="62">
        <f t="shared" si="1338"/>
        <v>1</v>
      </c>
      <c r="J669" s="62">
        <f t="shared" si="1338"/>
        <v>1</v>
      </c>
      <c r="K669" s="62">
        <f t="shared" si="1338"/>
        <v>1</v>
      </c>
      <c r="L669" s="62">
        <f t="shared" si="1338"/>
        <v>1</v>
      </c>
      <c r="M669" s="62">
        <f t="shared" si="1338"/>
        <v>1</v>
      </c>
      <c r="N669" s="62">
        <f t="shared" si="1338"/>
        <v>1</v>
      </c>
      <c r="O669" s="62">
        <f t="shared" si="1338"/>
        <v>1</v>
      </c>
      <c r="P669" s="62" t="str">
        <f t="shared" si="1338"/>
        <v/>
      </c>
      <c r="Q669" s="62" t="str">
        <f t="shared" si="1338"/>
        <v/>
      </c>
      <c r="R669" s="62">
        <f t="shared" si="7"/>
        <v>0</v>
      </c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</row>
    <row r="670">
      <c r="A670" s="60">
        <f>IFERROR(__xludf.DUMMYFUNCTION("""COMPUTED_VALUE"""),13629.0)</f>
        <v>13629</v>
      </c>
      <c r="B670" s="60" t="str">
        <f>IFERROR(__xludf.DUMMYFUNCTION("""COMPUTED_VALUE"""),"Ridley, Calvin")</f>
        <v>Ridley, Calvin</v>
      </c>
      <c r="C670" s="60" t="str">
        <f>IFERROR(__xludf.DUMMYFUNCTION("""COMPUTED_VALUE"""),"WR")</f>
        <v>WR</v>
      </c>
      <c r="D670" s="60" t="str">
        <f>IFERROR(__xludf.DUMMYFUNCTION("""COMPUTED_VALUE"""),"TEN")</f>
        <v>TEN</v>
      </c>
      <c r="E670" s="62" t="str">
        <f t="shared" si="4"/>
        <v>Calvin Ridley</v>
      </c>
      <c r="F670" s="62">
        <f t="shared" ref="F670:G670" si="1339">IF(isblank(F$1),,IF(isblank($A670),,IFERROR(vlookup($A670,indirect("'TVC-"&amp;text(month(F$1),"00")&amp;"'!$A:$D"),4,false),1)))</f>
        <v>1646</v>
      </c>
      <c r="G670" s="62">
        <f t="shared" si="1339"/>
        <v>1664</v>
      </c>
      <c r="H670" s="62">
        <f t="shared" ref="H670:Q670" si="1340">IF(isblank(H$1),,IFERROR(vlookup($A670,indirect("'TVC-"&amp;text(month(H$1),"00")&amp;"'!$A:$D"),4,false),1))</f>
        <v>1699</v>
      </c>
      <c r="I670" s="62">
        <f t="shared" si="1340"/>
        <v>1848</v>
      </c>
      <c r="J670" s="62">
        <f t="shared" si="1340"/>
        <v>1952</v>
      </c>
      <c r="K670" s="62">
        <f t="shared" si="1340"/>
        <v>1868</v>
      </c>
      <c r="L670" s="62">
        <f t="shared" si="1340"/>
        <v>1871</v>
      </c>
      <c r="M670" s="62">
        <f t="shared" si="1340"/>
        <v>1826</v>
      </c>
      <c r="N670" s="62">
        <f t="shared" si="1340"/>
        <v>1723</v>
      </c>
      <c r="O670" s="62">
        <f t="shared" si="1340"/>
        <v>1</v>
      </c>
      <c r="P670" s="62" t="str">
        <f t="shared" si="1340"/>
        <v/>
      </c>
      <c r="Q670" s="62" t="str">
        <f t="shared" si="1340"/>
        <v/>
      </c>
      <c r="R670" s="62">
        <f t="shared" si="7"/>
        <v>-1722</v>
      </c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</row>
    <row r="671" hidden="1">
      <c r="A671" s="60">
        <f>IFERROR(__xludf.DUMMYFUNCTION("""COMPUTED_VALUE"""),13630.0)</f>
        <v>13630</v>
      </c>
      <c r="B671" s="60" t="str">
        <f>IFERROR(__xludf.DUMMYFUNCTION("""COMPUTED_VALUE"""),"Sutton, Courtland")</f>
        <v>Sutton, Courtland</v>
      </c>
      <c r="C671" s="60" t="str">
        <f>IFERROR(__xludf.DUMMYFUNCTION("""COMPUTED_VALUE"""),"WR")</f>
        <v>WR</v>
      </c>
      <c r="D671" s="60" t="str">
        <f>IFERROR(__xludf.DUMMYFUNCTION("""COMPUTED_VALUE"""),"DEN")</f>
        <v>DEN</v>
      </c>
      <c r="E671" s="62" t="str">
        <f t="shared" si="4"/>
        <v>Courtland Sutton</v>
      </c>
      <c r="F671" s="62">
        <f t="shared" ref="F671:G671" si="1341">IF(isblank(F$1),,IF(isblank($A671),,IFERROR(vlookup($A671,indirect("'TVC-"&amp;text(month(F$1),"00")&amp;"'!$A:$D"),4,false),1)))</f>
        <v>3316</v>
      </c>
      <c r="G671" s="62">
        <f t="shared" si="1341"/>
        <v>3298</v>
      </c>
      <c r="H671" s="62">
        <f t="shared" ref="H671:Q671" si="1342">IF(isblank(H$1),,IFERROR(vlookup($A671,indirect("'TVC-"&amp;text(month(H$1),"00")&amp;"'!$A:$D"),4,false),1))</f>
        <v>3364</v>
      </c>
      <c r="I671" s="62">
        <f t="shared" si="1342"/>
        <v>3188</v>
      </c>
      <c r="J671" s="62">
        <f t="shared" si="1342"/>
        <v>3238</v>
      </c>
      <c r="K671" s="62">
        <f t="shared" si="1342"/>
        <v>3152</v>
      </c>
      <c r="L671" s="62">
        <f t="shared" si="1342"/>
        <v>3108</v>
      </c>
      <c r="M671" s="62">
        <f t="shared" si="1342"/>
        <v>3058</v>
      </c>
      <c r="N671" s="62">
        <f t="shared" si="1342"/>
        <v>3120</v>
      </c>
      <c r="O671" s="62">
        <f t="shared" si="1342"/>
        <v>1</v>
      </c>
      <c r="P671" s="62" t="str">
        <f t="shared" si="1342"/>
        <v/>
      </c>
      <c r="Q671" s="62" t="str">
        <f t="shared" si="1342"/>
        <v/>
      </c>
      <c r="R671" s="62">
        <f t="shared" si="7"/>
        <v>-3119</v>
      </c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</row>
    <row r="672">
      <c r="A672" s="60">
        <f>IFERROR(__xludf.DUMMYFUNCTION("""COMPUTED_VALUE"""),13632.0)</f>
        <v>13632</v>
      </c>
      <c r="B672" s="60" t="str">
        <f>IFERROR(__xludf.DUMMYFUNCTION("""COMPUTED_VALUE"""),"Lazard, Allen")</f>
        <v>Lazard, Allen</v>
      </c>
      <c r="C672" s="60" t="str">
        <f>IFERROR(__xludf.DUMMYFUNCTION("""COMPUTED_VALUE"""),"WR")</f>
        <v>WR</v>
      </c>
      <c r="D672" s="60" t="str">
        <f>IFERROR(__xludf.DUMMYFUNCTION("""COMPUTED_VALUE"""),"FA")</f>
        <v>FA</v>
      </c>
      <c r="E672" s="62" t="str">
        <f t="shared" si="4"/>
        <v>Allen Lazard</v>
      </c>
      <c r="F672" s="62">
        <f t="shared" ref="F672:G672" si="1343">IF(isblank(F$1),,IF(isblank($A672),,IFERROR(vlookup($A672,indirect("'TVC-"&amp;text(month(F$1),"00")&amp;"'!$A:$D"),4,false),1)))</f>
        <v>1</v>
      </c>
      <c r="G672" s="62">
        <f t="shared" si="1343"/>
        <v>1</v>
      </c>
      <c r="H672" s="62">
        <f t="shared" ref="H672:Q672" si="1344">IF(isblank(H$1),,IFERROR(vlookup($A672,indirect("'TVC-"&amp;text(month(H$1),"00")&amp;"'!$A:$D"),4,false),1))</f>
        <v>1</v>
      </c>
      <c r="I672" s="62">
        <f t="shared" si="1344"/>
        <v>1</v>
      </c>
      <c r="J672" s="62">
        <f t="shared" si="1344"/>
        <v>1</v>
      </c>
      <c r="K672" s="62">
        <f t="shared" si="1344"/>
        <v>1</v>
      </c>
      <c r="L672" s="62">
        <f t="shared" si="1344"/>
        <v>1</v>
      </c>
      <c r="M672" s="62">
        <f t="shared" si="1344"/>
        <v>1</v>
      </c>
      <c r="N672" s="62">
        <f t="shared" si="1344"/>
        <v>1</v>
      </c>
      <c r="O672" s="62">
        <f t="shared" si="1344"/>
        <v>1</v>
      </c>
      <c r="P672" s="62" t="str">
        <f t="shared" si="1344"/>
        <v/>
      </c>
      <c r="Q672" s="62" t="str">
        <f t="shared" si="1344"/>
        <v/>
      </c>
      <c r="R672" s="62">
        <f t="shared" si="7"/>
        <v>0</v>
      </c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</row>
    <row r="673" hidden="1">
      <c r="A673" s="60">
        <f>IFERROR(__xludf.DUMMYFUNCTION("""COMPUTED_VALUE"""),13633.0)</f>
        <v>13633</v>
      </c>
      <c r="B673" s="60" t="str">
        <f>IFERROR(__xludf.DUMMYFUNCTION("""COMPUTED_VALUE"""),"Kirk, Christian")</f>
        <v>Kirk, Christian</v>
      </c>
      <c r="C673" s="60" t="str">
        <f>IFERROR(__xludf.DUMMYFUNCTION("""COMPUTED_VALUE"""),"WR")</f>
        <v>WR</v>
      </c>
      <c r="D673" s="60" t="str">
        <f>IFERROR(__xludf.DUMMYFUNCTION("""COMPUTED_VALUE"""),"SFO")</f>
        <v>SFO</v>
      </c>
      <c r="E673" s="62" t="str">
        <f t="shared" si="4"/>
        <v>Christian Kirk</v>
      </c>
      <c r="F673" s="62">
        <f t="shared" ref="F673:G673" si="1345">IF(isblank(F$1),,IF(isblank($A673),,IFERROR(vlookup($A673,indirect("'TVC-"&amp;text(month(F$1),"00")&amp;"'!$A:$D"),4,false),1)))</f>
        <v>1730</v>
      </c>
      <c r="G673" s="62">
        <f t="shared" si="1345"/>
        <v>1964</v>
      </c>
      <c r="H673" s="62">
        <f t="shared" ref="H673:Q673" si="1346">IF(isblank(H$1),,IFERROR(vlookup($A673,indirect("'TVC-"&amp;text(month(H$1),"00")&amp;"'!$A:$D"),4,false),1))</f>
        <v>2030</v>
      </c>
      <c r="I673" s="62">
        <f t="shared" si="1346"/>
        <v>2098</v>
      </c>
      <c r="J673" s="62">
        <f t="shared" si="1346"/>
        <v>2066</v>
      </c>
      <c r="K673" s="62">
        <f t="shared" si="1346"/>
        <v>1987</v>
      </c>
      <c r="L673" s="62">
        <f t="shared" si="1346"/>
        <v>1940</v>
      </c>
      <c r="M673" s="62">
        <f t="shared" si="1346"/>
        <v>1845</v>
      </c>
      <c r="N673" s="62">
        <f t="shared" si="1346"/>
        <v>1686</v>
      </c>
      <c r="O673" s="62">
        <f t="shared" si="1346"/>
        <v>1</v>
      </c>
      <c r="P673" s="62" t="str">
        <f t="shared" si="1346"/>
        <v/>
      </c>
      <c r="Q673" s="62" t="str">
        <f t="shared" si="1346"/>
        <v/>
      </c>
      <c r="R673" s="62">
        <f t="shared" si="7"/>
        <v>-1685</v>
      </c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</row>
    <row r="674">
      <c r="A674" s="60">
        <f>IFERROR(__xludf.DUMMYFUNCTION("""COMPUTED_VALUE"""),13634.0)</f>
        <v>13634</v>
      </c>
      <c r="B674" s="60" t="str">
        <f>IFERROR(__xludf.DUMMYFUNCTION("""COMPUTED_VALUE"""),"Pettis, Dante")</f>
        <v>Pettis, Dante</v>
      </c>
      <c r="C674" s="60" t="str">
        <f>IFERROR(__xludf.DUMMYFUNCTION("""COMPUTED_VALUE"""),"WR")</f>
        <v>WR</v>
      </c>
      <c r="D674" s="60" t="str">
        <f>IFERROR(__xludf.DUMMYFUNCTION("""COMPUTED_VALUE"""),"SFO")</f>
        <v>SFO</v>
      </c>
      <c r="E674" s="62" t="str">
        <f t="shared" si="4"/>
        <v>Dante Pettis</v>
      </c>
      <c r="F674" s="62">
        <f t="shared" ref="F674:G674" si="1347">IF(isblank(F$1),,IF(isblank($A674),,IFERROR(vlookup($A674,indirect("'TVC-"&amp;text(month(F$1),"00")&amp;"'!$A:$D"),4,false),1)))</f>
        <v>1</v>
      </c>
      <c r="G674" s="62">
        <f t="shared" si="1347"/>
        <v>1</v>
      </c>
      <c r="H674" s="62">
        <f t="shared" ref="H674:Q674" si="1348">IF(isblank(H$1),,IFERROR(vlookup($A674,indirect("'TVC-"&amp;text(month(H$1),"00")&amp;"'!$A:$D"),4,false),1))</f>
        <v>1</v>
      </c>
      <c r="I674" s="62">
        <f t="shared" si="1348"/>
        <v>1</v>
      </c>
      <c r="J674" s="62">
        <f t="shared" si="1348"/>
        <v>1</v>
      </c>
      <c r="K674" s="62">
        <f t="shared" si="1348"/>
        <v>1</v>
      </c>
      <c r="L674" s="62">
        <f t="shared" si="1348"/>
        <v>1</v>
      </c>
      <c r="M674" s="62">
        <f t="shared" si="1348"/>
        <v>1</v>
      </c>
      <c r="N674" s="62">
        <f t="shared" si="1348"/>
        <v>1</v>
      </c>
      <c r="O674" s="62">
        <f t="shared" si="1348"/>
        <v>1</v>
      </c>
      <c r="P674" s="62" t="str">
        <f t="shared" si="1348"/>
        <v/>
      </c>
      <c r="Q674" s="62" t="str">
        <f t="shared" si="1348"/>
        <v/>
      </c>
      <c r="R674" s="62">
        <f t="shared" si="7"/>
        <v>0</v>
      </c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</row>
    <row r="675" hidden="1">
      <c r="A675" s="60">
        <f>IFERROR(__xludf.DUMMYFUNCTION("""COMPUTED_VALUE"""),13635.0)</f>
        <v>13635</v>
      </c>
      <c r="B675" s="60" t="str">
        <f>IFERROR(__xludf.DUMMYFUNCTION("""COMPUTED_VALUE"""),"Moore, D.J.")</f>
        <v>Moore, D.J.</v>
      </c>
      <c r="C675" s="60" t="str">
        <f>IFERROR(__xludf.DUMMYFUNCTION("""COMPUTED_VALUE"""),"WR")</f>
        <v>WR</v>
      </c>
      <c r="D675" s="60" t="str">
        <f>IFERROR(__xludf.DUMMYFUNCTION("""COMPUTED_VALUE"""),"BUF")</f>
        <v>BUF</v>
      </c>
      <c r="E675" s="62" t="str">
        <f t="shared" si="4"/>
        <v>D.J. Moore</v>
      </c>
      <c r="F675" s="62">
        <f t="shared" ref="F675:G675" si="1349">IF(isblank(F$1),,IF(isblank($A675),,IFERROR(vlookup($A675,indirect("'TVC-"&amp;text(month(F$1),"00")&amp;"'!$A:$D"),4,false),1)))</f>
        <v>3197</v>
      </c>
      <c r="G675" s="62">
        <f t="shared" si="1349"/>
        <v>3274</v>
      </c>
      <c r="H675" s="62">
        <f t="shared" ref="H675:Q675" si="1350">IF(isblank(H$1),,IFERROR(vlookup($A675,indirect("'TVC-"&amp;text(month(H$1),"00")&amp;"'!$A:$D"),4,false),1))</f>
        <v>3273</v>
      </c>
      <c r="I675" s="62">
        <f t="shared" si="1350"/>
        <v>3905</v>
      </c>
      <c r="J675" s="62">
        <f t="shared" si="1350"/>
        <v>3806</v>
      </c>
      <c r="K675" s="62">
        <f t="shared" si="1350"/>
        <v>3716</v>
      </c>
      <c r="L675" s="62">
        <f t="shared" si="1350"/>
        <v>3613</v>
      </c>
      <c r="M675" s="62">
        <f t="shared" si="1350"/>
        <v>3530</v>
      </c>
      <c r="N675" s="62">
        <f t="shared" si="1350"/>
        <v>3811</v>
      </c>
      <c r="O675" s="62">
        <f t="shared" si="1350"/>
        <v>1</v>
      </c>
      <c r="P675" s="62" t="str">
        <f t="shared" si="1350"/>
        <v/>
      </c>
      <c r="Q675" s="62" t="str">
        <f t="shared" si="1350"/>
        <v/>
      </c>
      <c r="R675" s="62">
        <f t="shared" si="7"/>
        <v>-3810</v>
      </c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</row>
    <row r="676">
      <c r="A676" s="60">
        <f>IFERROR(__xludf.DUMMYFUNCTION("""COMPUTED_VALUE"""),13638.0)</f>
        <v>13638</v>
      </c>
      <c r="B676" s="60" t="str">
        <f>IFERROR(__xludf.DUMMYFUNCTION("""COMPUTED_VALUE"""),"Berrios, Braxton")</f>
        <v>Berrios, Braxton</v>
      </c>
      <c r="C676" s="60" t="str">
        <f>IFERROR(__xludf.DUMMYFUNCTION("""COMPUTED_VALUE"""),"WR")</f>
        <v>WR</v>
      </c>
      <c r="D676" s="60" t="str">
        <f>IFERROR(__xludf.DUMMYFUNCTION("""COMPUTED_VALUE"""),"NYG")</f>
        <v>NYG</v>
      </c>
      <c r="E676" s="62" t="str">
        <f t="shared" si="4"/>
        <v>Braxton Berrios</v>
      </c>
      <c r="F676" s="62">
        <f t="shared" ref="F676:G676" si="1351">IF(isblank(F$1),,IF(isblank($A676),,IFERROR(vlookup($A676,indirect("'TVC-"&amp;text(month(F$1),"00")&amp;"'!$A:$D"),4,false),1)))</f>
        <v>1</v>
      </c>
      <c r="G676" s="62">
        <f t="shared" si="1351"/>
        <v>1</v>
      </c>
      <c r="H676" s="62">
        <f t="shared" ref="H676:Q676" si="1352">IF(isblank(H$1),,IFERROR(vlookup($A676,indirect("'TVC-"&amp;text(month(H$1),"00")&amp;"'!$A:$D"),4,false),1))</f>
        <v>1</v>
      </c>
      <c r="I676" s="62">
        <f t="shared" si="1352"/>
        <v>1</v>
      </c>
      <c r="J676" s="62">
        <f t="shared" si="1352"/>
        <v>1</v>
      </c>
      <c r="K676" s="62">
        <f t="shared" si="1352"/>
        <v>1</v>
      </c>
      <c r="L676" s="62">
        <f t="shared" si="1352"/>
        <v>1</v>
      </c>
      <c r="M676" s="62">
        <f t="shared" si="1352"/>
        <v>1</v>
      </c>
      <c r="N676" s="62">
        <f t="shared" si="1352"/>
        <v>1</v>
      </c>
      <c r="O676" s="62">
        <f t="shared" si="1352"/>
        <v>1</v>
      </c>
      <c r="P676" s="62" t="str">
        <f t="shared" si="1352"/>
        <v/>
      </c>
      <c r="Q676" s="62" t="str">
        <f t="shared" si="1352"/>
        <v/>
      </c>
      <c r="R676" s="62">
        <f t="shared" si="7"/>
        <v>0</v>
      </c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</row>
    <row r="677" hidden="1">
      <c r="A677" s="60">
        <f>IFERROR(__xludf.DUMMYFUNCTION("""COMPUTED_VALUE"""),13641.0)</f>
        <v>13641</v>
      </c>
      <c r="B677" s="60" t="str">
        <f>IFERROR(__xludf.DUMMYFUNCTION("""COMPUTED_VALUE"""),"McCloud, Ray-Ray")</f>
        <v>McCloud, Ray-Ray</v>
      </c>
      <c r="C677" s="60" t="str">
        <f>IFERROR(__xludf.DUMMYFUNCTION("""COMPUTED_VALUE"""),"WR")</f>
        <v>WR</v>
      </c>
      <c r="D677" s="60" t="str">
        <f>IFERROR(__xludf.DUMMYFUNCTION("""COMPUTED_VALUE"""),"FA")</f>
        <v>FA</v>
      </c>
      <c r="E677" s="62" t="str">
        <f t="shared" si="4"/>
        <v>Ray-Ray McCloud</v>
      </c>
      <c r="F677" s="62">
        <f t="shared" ref="F677:G677" si="1353">IF(isblank(F$1),,IF(isblank($A677),,IFERROR(vlookup($A677,indirect("'TVC-"&amp;text(month(F$1),"00")&amp;"'!$A:$D"),4,false),1)))</f>
        <v>646</v>
      </c>
      <c r="G677" s="62">
        <f t="shared" si="1353"/>
        <v>1</v>
      </c>
      <c r="H677" s="62">
        <f t="shared" ref="H677:Q677" si="1354">IF(isblank(H$1),,IFERROR(vlookup($A677,indirect("'TVC-"&amp;text(month(H$1),"00")&amp;"'!$A:$D"),4,false),1))</f>
        <v>1</v>
      </c>
      <c r="I677" s="62">
        <f t="shared" si="1354"/>
        <v>1</v>
      </c>
      <c r="J677" s="62">
        <f t="shared" si="1354"/>
        <v>1</v>
      </c>
      <c r="K677" s="62">
        <f t="shared" si="1354"/>
        <v>1</v>
      </c>
      <c r="L677" s="62">
        <f t="shared" si="1354"/>
        <v>1</v>
      </c>
      <c r="M677" s="62">
        <f t="shared" si="1354"/>
        <v>496</v>
      </c>
      <c r="N677" s="62">
        <f t="shared" si="1354"/>
        <v>1</v>
      </c>
      <c r="O677" s="62">
        <f t="shared" si="1354"/>
        <v>1</v>
      </c>
      <c r="P677" s="62" t="str">
        <f t="shared" si="1354"/>
        <v/>
      </c>
      <c r="Q677" s="62" t="str">
        <f t="shared" si="1354"/>
        <v/>
      </c>
      <c r="R677" s="62">
        <f t="shared" si="7"/>
        <v>0</v>
      </c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</row>
    <row r="678" hidden="1">
      <c r="A678" s="60">
        <f>IFERROR(__xludf.DUMMYFUNCTION("""COMPUTED_VALUE"""),13652.0)</f>
        <v>13652</v>
      </c>
      <c r="B678" s="60" t="str">
        <f>IFERROR(__xludf.DUMMYFUNCTION("""COMPUTED_VALUE"""),"Wilson, Cedrick")</f>
        <v>Wilson, Cedrick</v>
      </c>
      <c r="C678" s="60" t="str">
        <f>IFERROR(__xludf.DUMMYFUNCTION("""COMPUTED_VALUE"""),"WR")</f>
        <v>WR</v>
      </c>
      <c r="D678" s="60" t="str">
        <f>IFERROR(__xludf.DUMMYFUNCTION("""COMPUTED_VALUE"""),"FA")</f>
        <v>FA</v>
      </c>
      <c r="E678" s="62" t="str">
        <f t="shared" si="4"/>
        <v>Cedrick Wilson</v>
      </c>
      <c r="F678" s="62">
        <f t="shared" ref="F678:G678" si="1355">IF(isblank(F$1),,IF(isblank($A678),,IFERROR(vlookup($A678,indirect("'TVC-"&amp;text(month(F$1),"00")&amp;"'!$A:$D"),4,false),1)))</f>
        <v>1</v>
      </c>
      <c r="G678" s="62">
        <f t="shared" si="1355"/>
        <v>1</v>
      </c>
      <c r="H678" s="62">
        <f t="shared" ref="H678:Q678" si="1356">IF(isblank(H$1),,IFERROR(vlookup($A678,indirect("'TVC-"&amp;text(month(H$1),"00")&amp;"'!$A:$D"),4,false),1))</f>
        <v>1</v>
      </c>
      <c r="I678" s="62">
        <f t="shared" si="1356"/>
        <v>1</v>
      </c>
      <c r="J678" s="62">
        <f t="shared" si="1356"/>
        <v>1</v>
      </c>
      <c r="K678" s="62">
        <f t="shared" si="1356"/>
        <v>1</v>
      </c>
      <c r="L678" s="62">
        <f t="shared" si="1356"/>
        <v>1</v>
      </c>
      <c r="M678" s="62">
        <f t="shared" si="1356"/>
        <v>1</v>
      </c>
      <c r="N678" s="62">
        <f t="shared" si="1356"/>
        <v>1</v>
      </c>
      <c r="O678" s="62">
        <f t="shared" si="1356"/>
        <v>1</v>
      </c>
      <c r="P678" s="62" t="str">
        <f t="shared" si="1356"/>
        <v/>
      </c>
      <c r="Q678" s="62" t="str">
        <f t="shared" si="1356"/>
        <v/>
      </c>
      <c r="R678" s="62">
        <f t="shared" si="7"/>
        <v>0</v>
      </c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</row>
    <row r="679" hidden="1">
      <c r="A679" s="60">
        <f>IFERROR(__xludf.DUMMYFUNCTION("""COMPUTED_VALUE"""),13668.0)</f>
        <v>13668</v>
      </c>
      <c r="B679" s="60" t="str">
        <f>IFERROR(__xludf.DUMMYFUNCTION("""COMPUTED_VALUE"""),"Chark, D.J.")</f>
        <v>Chark, D.J.</v>
      </c>
      <c r="C679" s="60" t="str">
        <f>IFERROR(__xludf.DUMMYFUNCTION("""COMPUTED_VALUE"""),"WR")</f>
        <v>WR</v>
      </c>
      <c r="D679" s="60" t="str">
        <f>IFERROR(__xludf.DUMMYFUNCTION("""COMPUTED_VALUE"""),"FA")</f>
        <v>FA</v>
      </c>
      <c r="E679" s="62" t="str">
        <f t="shared" si="4"/>
        <v>D.J. Chark</v>
      </c>
      <c r="F679" s="62">
        <f t="shared" ref="F679:G679" si="1357">IF(isblank(F$1),,IF(isblank($A679),,IFERROR(vlookup($A679,indirect("'TVC-"&amp;text(month(F$1),"00")&amp;"'!$A:$D"),4,false),1)))</f>
        <v>1</v>
      </c>
      <c r="G679" s="62">
        <f t="shared" si="1357"/>
        <v>1</v>
      </c>
      <c r="H679" s="62">
        <f t="shared" ref="H679:Q679" si="1358">IF(isblank(H$1),,IFERROR(vlookup($A679,indirect("'TVC-"&amp;text(month(H$1),"00")&amp;"'!$A:$D"),4,false),1))</f>
        <v>1</v>
      </c>
      <c r="I679" s="62">
        <f t="shared" si="1358"/>
        <v>1</v>
      </c>
      <c r="J679" s="62">
        <f t="shared" si="1358"/>
        <v>1</v>
      </c>
      <c r="K679" s="62">
        <f t="shared" si="1358"/>
        <v>1</v>
      </c>
      <c r="L679" s="62">
        <f t="shared" si="1358"/>
        <v>1</v>
      </c>
      <c r="M679" s="62">
        <f t="shared" si="1358"/>
        <v>1</v>
      </c>
      <c r="N679" s="62">
        <f t="shared" si="1358"/>
        <v>1</v>
      </c>
      <c r="O679" s="62">
        <f t="shared" si="1358"/>
        <v>1</v>
      </c>
      <c r="P679" s="62" t="str">
        <f t="shared" si="1358"/>
        <v/>
      </c>
      <c r="Q679" s="62" t="str">
        <f t="shared" si="1358"/>
        <v/>
      </c>
      <c r="R679" s="62">
        <f t="shared" si="7"/>
        <v>0</v>
      </c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</row>
    <row r="680">
      <c r="A680" s="60">
        <f>IFERROR(__xludf.DUMMYFUNCTION("""COMPUTED_VALUE"""),13669.0)</f>
        <v>13669</v>
      </c>
      <c r="B680" s="60" t="str">
        <f>IFERROR(__xludf.DUMMYFUNCTION("""COMPUTED_VALUE"""),"Turner, Malik")</f>
        <v>Turner, Malik</v>
      </c>
      <c r="C680" s="60" t="str">
        <f>IFERROR(__xludf.DUMMYFUNCTION("""COMPUTED_VALUE"""),"WR")</f>
        <v>WR</v>
      </c>
      <c r="D680" s="60" t="str">
        <f>IFERROR(__xludf.DUMMYFUNCTION("""COMPUTED_VALUE"""),"SFO")</f>
        <v>SFO</v>
      </c>
      <c r="E680" s="62" t="str">
        <f t="shared" si="4"/>
        <v>Malik Turner</v>
      </c>
      <c r="F680" s="62">
        <f t="shared" ref="F680:G680" si="1359">IF(isblank(F$1),,IF(isblank($A680),,IFERROR(vlookup($A680,indirect("'TVC-"&amp;text(month(F$1),"00")&amp;"'!$A:$D"),4,false),1)))</f>
        <v>1</v>
      </c>
      <c r="G680" s="62">
        <f t="shared" si="1359"/>
        <v>1</v>
      </c>
      <c r="H680" s="62">
        <f t="shared" ref="H680:Q680" si="1360">IF(isblank(H$1),,IFERROR(vlookup($A680,indirect("'TVC-"&amp;text(month(H$1),"00")&amp;"'!$A:$D"),4,false),1))</f>
        <v>1</v>
      </c>
      <c r="I680" s="62">
        <f t="shared" si="1360"/>
        <v>1</v>
      </c>
      <c r="J680" s="62">
        <f t="shared" si="1360"/>
        <v>1</v>
      </c>
      <c r="K680" s="62">
        <f t="shared" si="1360"/>
        <v>1</v>
      </c>
      <c r="L680" s="62">
        <f t="shared" si="1360"/>
        <v>1</v>
      </c>
      <c r="M680" s="62">
        <f t="shared" si="1360"/>
        <v>1</v>
      </c>
      <c r="N680" s="62">
        <f t="shared" si="1360"/>
        <v>1</v>
      </c>
      <c r="O680" s="62">
        <f t="shared" si="1360"/>
        <v>1</v>
      </c>
      <c r="P680" s="62" t="str">
        <f t="shared" si="1360"/>
        <v/>
      </c>
      <c r="Q680" s="62" t="str">
        <f t="shared" si="1360"/>
        <v/>
      </c>
      <c r="R680" s="62">
        <f t="shared" si="7"/>
        <v>0</v>
      </c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</row>
    <row r="681">
      <c r="A681" s="60">
        <f>IFERROR(__xludf.DUMMYFUNCTION("""COMPUTED_VALUE"""),13671.0)</f>
        <v>13671</v>
      </c>
      <c r="B681" s="60" t="str">
        <f>IFERROR(__xludf.DUMMYFUNCTION("""COMPUTED_VALUE"""),"Andrews, Mark")</f>
        <v>Andrews, Mark</v>
      </c>
      <c r="C681" s="60" t="str">
        <f>IFERROR(__xludf.DUMMYFUNCTION("""COMPUTED_VALUE"""),"TE")</f>
        <v>TE</v>
      </c>
      <c r="D681" s="60" t="str">
        <f>IFERROR(__xludf.DUMMYFUNCTION("""COMPUTED_VALUE"""),"BAL")</f>
        <v>BAL</v>
      </c>
      <c r="E681" s="62" t="str">
        <f t="shared" si="4"/>
        <v>Mark Andrews</v>
      </c>
      <c r="F681" s="62">
        <f t="shared" ref="F681:G681" si="1361">IF(isblank(F$1),,IF(isblank($A681),,IFERROR(vlookup($A681,indirect("'TVC-"&amp;text(month(F$1),"00")&amp;"'!$A:$D"),4,false),1)))</f>
        <v>2986</v>
      </c>
      <c r="G681" s="62">
        <f t="shared" si="1361"/>
        <v>2939</v>
      </c>
      <c r="H681" s="62">
        <f t="shared" ref="H681:Q681" si="1362">IF(isblank(H$1),,IFERROR(vlookup($A681,indirect("'TVC-"&amp;text(month(H$1),"00")&amp;"'!$A:$D"),4,false),1))</f>
        <v>2968</v>
      </c>
      <c r="I681" s="62">
        <f t="shared" si="1362"/>
        <v>3151</v>
      </c>
      <c r="J681" s="62">
        <f t="shared" si="1362"/>
        <v>3230</v>
      </c>
      <c r="K681" s="62">
        <f t="shared" si="1362"/>
        <v>3176</v>
      </c>
      <c r="L681" s="62">
        <f t="shared" si="1362"/>
        <v>3189</v>
      </c>
      <c r="M681" s="62">
        <f t="shared" si="1362"/>
        <v>3164</v>
      </c>
      <c r="N681" s="62">
        <f t="shared" si="1362"/>
        <v>3030</v>
      </c>
      <c r="O681" s="62">
        <f t="shared" si="1362"/>
        <v>1</v>
      </c>
      <c r="P681" s="62" t="str">
        <f t="shared" si="1362"/>
        <v/>
      </c>
      <c r="Q681" s="62" t="str">
        <f t="shared" si="1362"/>
        <v/>
      </c>
      <c r="R681" s="62">
        <f t="shared" si="7"/>
        <v>-3029</v>
      </c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</row>
    <row r="682">
      <c r="A682" s="60">
        <f>IFERROR(__xludf.DUMMYFUNCTION("""COMPUTED_VALUE"""),13672.0)</f>
        <v>13672</v>
      </c>
      <c r="B682" s="60" t="str">
        <f>IFERROR(__xludf.DUMMYFUNCTION("""COMPUTED_VALUE"""),"Gesicki, Mike")</f>
        <v>Gesicki, Mike</v>
      </c>
      <c r="C682" s="60" t="str">
        <f>IFERROR(__xludf.DUMMYFUNCTION("""COMPUTED_VALUE"""),"TE")</f>
        <v>TE</v>
      </c>
      <c r="D682" s="60" t="str">
        <f>IFERROR(__xludf.DUMMYFUNCTION("""COMPUTED_VALUE"""),"CIN")</f>
        <v>CIN</v>
      </c>
      <c r="E682" s="62" t="str">
        <f t="shared" si="4"/>
        <v>Mike Gesicki</v>
      </c>
      <c r="F682" s="62">
        <f t="shared" ref="F682:G682" si="1363">IF(isblank(F$1),,IF(isblank($A682),,IFERROR(vlookup($A682,indirect("'TVC-"&amp;text(month(F$1),"00")&amp;"'!$A:$D"),4,false),1)))</f>
        <v>1742</v>
      </c>
      <c r="G682" s="62">
        <f t="shared" si="1363"/>
        <v>1790</v>
      </c>
      <c r="H682" s="62">
        <f t="shared" ref="H682:Q682" si="1364">IF(isblank(H$1),,IFERROR(vlookup($A682,indirect("'TVC-"&amp;text(month(H$1),"00")&amp;"'!$A:$D"),4,false),1))</f>
        <v>1823</v>
      </c>
      <c r="I682" s="62">
        <f t="shared" si="1364"/>
        <v>1777</v>
      </c>
      <c r="J682" s="62">
        <f t="shared" si="1364"/>
        <v>1724</v>
      </c>
      <c r="K682" s="62">
        <f t="shared" si="1364"/>
        <v>1806</v>
      </c>
      <c r="L682" s="62">
        <f t="shared" si="1364"/>
        <v>1834</v>
      </c>
      <c r="M682" s="62">
        <f t="shared" si="1364"/>
        <v>1871</v>
      </c>
      <c r="N682" s="62">
        <f t="shared" si="1364"/>
        <v>1709</v>
      </c>
      <c r="O682" s="62">
        <f t="shared" si="1364"/>
        <v>1</v>
      </c>
      <c r="P682" s="62" t="str">
        <f t="shared" si="1364"/>
        <v/>
      </c>
      <c r="Q682" s="62" t="str">
        <f t="shared" si="1364"/>
        <v/>
      </c>
      <c r="R682" s="62">
        <f t="shared" si="7"/>
        <v>-1708</v>
      </c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</row>
    <row r="683" hidden="1">
      <c r="A683" s="60">
        <f>IFERROR(__xludf.DUMMYFUNCTION("""COMPUTED_VALUE"""),13674.0)</f>
        <v>13674</v>
      </c>
      <c r="B683" s="60" t="str">
        <f>IFERROR(__xludf.DUMMYFUNCTION("""COMPUTED_VALUE"""),"Goedert, Dallas")</f>
        <v>Goedert, Dallas</v>
      </c>
      <c r="C683" s="60" t="str">
        <f>IFERROR(__xludf.DUMMYFUNCTION("""COMPUTED_VALUE"""),"TE")</f>
        <v>TE</v>
      </c>
      <c r="D683" s="60" t="str">
        <f>IFERROR(__xludf.DUMMYFUNCTION("""COMPUTED_VALUE"""),"PHI")</f>
        <v>PHI</v>
      </c>
      <c r="E683" s="62" t="str">
        <f t="shared" si="4"/>
        <v>Dallas Goedert</v>
      </c>
      <c r="F683" s="62">
        <f t="shared" ref="F683:G683" si="1365">IF(isblank(F$1),,IF(isblank($A683),,IFERROR(vlookup($A683,indirect("'TVC-"&amp;text(month(F$1),"00")&amp;"'!$A:$D"),4,false),1)))</f>
        <v>3012</v>
      </c>
      <c r="G683" s="62">
        <f t="shared" si="1365"/>
        <v>3014</v>
      </c>
      <c r="H683" s="62">
        <f t="shared" ref="H683:Q683" si="1366">IF(isblank(H$1),,IFERROR(vlookup($A683,indirect("'TVC-"&amp;text(month(H$1),"00")&amp;"'!$A:$D"),4,false),1))</f>
        <v>2993</v>
      </c>
      <c r="I683" s="62">
        <f t="shared" si="1366"/>
        <v>3048</v>
      </c>
      <c r="J683" s="62">
        <f t="shared" si="1366"/>
        <v>3010</v>
      </c>
      <c r="K683" s="62">
        <f t="shared" si="1366"/>
        <v>2978</v>
      </c>
      <c r="L683" s="62">
        <f t="shared" si="1366"/>
        <v>2998</v>
      </c>
      <c r="M683" s="62">
        <f t="shared" si="1366"/>
        <v>3072</v>
      </c>
      <c r="N683" s="62">
        <f t="shared" si="1366"/>
        <v>2996</v>
      </c>
      <c r="O683" s="62">
        <f t="shared" si="1366"/>
        <v>1</v>
      </c>
      <c r="P683" s="62" t="str">
        <f t="shared" si="1366"/>
        <v/>
      </c>
      <c r="Q683" s="62" t="str">
        <f t="shared" si="1366"/>
        <v/>
      </c>
      <c r="R683" s="62">
        <f t="shared" si="7"/>
        <v>-2995</v>
      </c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</row>
    <row r="684" hidden="1">
      <c r="A684" s="60">
        <f>IFERROR(__xludf.DUMMYFUNCTION("""COMPUTED_VALUE"""),13675.0)</f>
        <v>13675</v>
      </c>
      <c r="B684" s="60" t="str">
        <f>IFERROR(__xludf.DUMMYFUNCTION("""COMPUTED_VALUE"""),"Conklin, Tyler")</f>
        <v>Conklin, Tyler</v>
      </c>
      <c r="C684" s="60" t="str">
        <f>IFERROR(__xludf.DUMMYFUNCTION("""COMPUTED_VALUE"""),"TE")</f>
        <v>TE</v>
      </c>
      <c r="D684" s="60" t="str">
        <f>IFERROR(__xludf.DUMMYFUNCTION("""COMPUTED_VALUE"""),"DET")</f>
        <v>DET</v>
      </c>
      <c r="E684" s="62" t="str">
        <f t="shared" si="4"/>
        <v>Tyler Conklin</v>
      </c>
      <c r="F684" s="62">
        <f t="shared" ref="F684:G684" si="1367">IF(isblank(F$1),,IF(isblank($A684),,IFERROR(vlookup($A684,indirect("'TVC-"&amp;text(month(F$1),"00")&amp;"'!$A:$D"),4,false),1)))</f>
        <v>1140</v>
      </c>
      <c r="G684" s="62">
        <f t="shared" si="1367"/>
        <v>1111</v>
      </c>
      <c r="H684" s="62">
        <f t="shared" ref="H684:Q684" si="1368">IF(isblank(H$1),,IFERROR(vlookup($A684,indirect("'TVC-"&amp;text(month(H$1),"00")&amp;"'!$A:$D"),4,false),1))</f>
        <v>1</v>
      </c>
      <c r="I684" s="62">
        <f t="shared" si="1368"/>
        <v>1106</v>
      </c>
      <c r="J684" s="62">
        <f t="shared" si="1368"/>
        <v>1</v>
      </c>
      <c r="K684" s="62">
        <f t="shared" si="1368"/>
        <v>1</v>
      </c>
      <c r="L684" s="62">
        <f t="shared" si="1368"/>
        <v>1</v>
      </c>
      <c r="M684" s="62">
        <f t="shared" si="1368"/>
        <v>1</v>
      </c>
      <c r="N684" s="62">
        <f t="shared" si="1368"/>
        <v>1</v>
      </c>
      <c r="O684" s="62">
        <f t="shared" si="1368"/>
        <v>1</v>
      </c>
      <c r="P684" s="62" t="str">
        <f t="shared" si="1368"/>
        <v/>
      </c>
      <c r="Q684" s="62" t="str">
        <f t="shared" si="1368"/>
        <v/>
      </c>
      <c r="R684" s="62">
        <f t="shared" si="7"/>
        <v>0</v>
      </c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</row>
    <row r="685" hidden="1">
      <c r="A685" s="60">
        <f>IFERROR(__xludf.DUMMYFUNCTION("""COMPUTED_VALUE"""),13676.0)</f>
        <v>13676</v>
      </c>
      <c r="B685" s="60" t="str">
        <f>IFERROR(__xludf.DUMMYFUNCTION("""COMPUTED_VALUE"""),"Smythe, Durham")</f>
        <v>Smythe, Durham</v>
      </c>
      <c r="C685" s="60" t="str">
        <f>IFERROR(__xludf.DUMMYFUNCTION("""COMPUTED_VALUE"""),"TE")</f>
        <v>TE</v>
      </c>
      <c r="D685" s="60" t="str">
        <f>IFERROR(__xludf.DUMMYFUNCTION("""COMPUTED_VALUE"""),"BAL")</f>
        <v>BAL</v>
      </c>
      <c r="E685" s="62" t="str">
        <f t="shared" si="4"/>
        <v>Durham Smythe</v>
      </c>
      <c r="F685" s="62">
        <f t="shared" ref="F685:G685" si="1369">IF(isblank(F$1),,IF(isblank($A685),,IFERROR(vlookup($A685,indirect("'TVC-"&amp;text(month(F$1),"00")&amp;"'!$A:$D"),4,false),1)))</f>
        <v>1</v>
      </c>
      <c r="G685" s="62">
        <f t="shared" si="1369"/>
        <v>1</v>
      </c>
      <c r="H685" s="62">
        <f t="shared" ref="H685:Q685" si="1370">IF(isblank(H$1),,IFERROR(vlookup($A685,indirect("'TVC-"&amp;text(month(H$1),"00")&amp;"'!$A:$D"),4,false),1))</f>
        <v>1</v>
      </c>
      <c r="I685" s="62">
        <f t="shared" si="1370"/>
        <v>1</v>
      </c>
      <c r="J685" s="62">
        <f t="shared" si="1370"/>
        <v>1</v>
      </c>
      <c r="K685" s="62">
        <f t="shared" si="1370"/>
        <v>1</v>
      </c>
      <c r="L685" s="62">
        <f t="shared" si="1370"/>
        <v>1</v>
      </c>
      <c r="M685" s="62">
        <f t="shared" si="1370"/>
        <v>1</v>
      </c>
      <c r="N685" s="62">
        <f t="shared" si="1370"/>
        <v>1</v>
      </c>
      <c r="O685" s="62">
        <f t="shared" si="1370"/>
        <v>1</v>
      </c>
      <c r="P685" s="62" t="str">
        <f t="shared" si="1370"/>
        <v/>
      </c>
      <c r="Q685" s="62" t="str">
        <f t="shared" si="1370"/>
        <v/>
      </c>
      <c r="R685" s="62">
        <f t="shared" si="7"/>
        <v>0</v>
      </c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</row>
    <row r="686" hidden="1">
      <c r="A686" s="60">
        <f>IFERROR(__xludf.DUMMYFUNCTION("""COMPUTED_VALUE"""),13678.0)</f>
        <v>13678</v>
      </c>
      <c r="B686" s="60" t="str">
        <f>IFERROR(__xludf.DUMMYFUNCTION("""COMPUTED_VALUE"""),"Thomas, Ian")</f>
        <v>Thomas, Ian</v>
      </c>
      <c r="C686" s="60" t="str">
        <f>IFERROR(__xludf.DUMMYFUNCTION("""COMPUTED_VALUE"""),"TE")</f>
        <v>TE</v>
      </c>
      <c r="D686" s="60" t="str">
        <f>IFERROR(__xludf.DUMMYFUNCTION("""COMPUTED_VALUE"""),"LVR")</f>
        <v>LVR</v>
      </c>
      <c r="E686" s="62" t="str">
        <f t="shared" si="4"/>
        <v>Ian Thomas</v>
      </c>
      <c r="F686" s="62">
        <f t="shared" ref="F686:G686" si="1371">IF(isblank(F$1),,IF(isblank($A686),,IFERROR(vlookup($A686,indirect("'TVC-"&amp;text(month(F$1),"00")&amp;"'!$A:$D"),4,false),1)))</f>
        <v>1</v>
      </c>
      <c r="G686" s="62">
        <f t="shared" si="1371"/>
        <v>1</v>
      </c>
      <c r="H686" s="62">
        <f t="shared" ref="H686:Q686" si="1372">IF(isblank(H$1),,IFERROR(vlookup($A686,indirect("'TVC-"&amp;text(month(H$1),"00")&amp;"'!$A:$D"),4,false),1))</f>
        <v>1</v>
      </c>
      <c r="I686" s="62">
        <f t="shared" si="1372"/>
        <v>1</v>
      </c>
      <c r="J686" s="62">
        <f t="shared" si="1372"/>
        <v>1</v>
      </c>
      <c r="K686" s="62">
        <f t="shared" si="1372"/>
        <v>1</v>
      </c>
      <c r="L686" s="62">
        <f t="shared" si="1372"/>
        <v>1</v>
      </c>
      <c r="M686" s="62">
        <f t="shared" si="1372"/>
        <v>1</v>
      </c>
      <c r="N686" s="62">
        <f t="shared" si="1372"/>
        <v>1</v>
      </c>
      <c r="O686" s="62">
        <f t="shared" si="1372"/>
        <v>1</v>
      </c>
      <c r="P686" s="62" t="str">
        <f t="shared" si="1372"/>
        <v/>
      </c>
      <c r="Q686" s="62" t="str">
        <f t="shared" si="1372"/>
        <v/>
      </c>
      <c r="R686" s="62">
        <f t="shared" si="7"/>
        <v>0</v>
      </c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</row>
    <row r="687" hidden="1">
      <c r="A687" s="60">
        <f>IFERROR(__xludf.DUMMYFUNCTION("""COMPUTED_VALUE"""),13680.0)</f>
        <v>13680</v>
      </c>
      <c r="B687" s="60" t="str">
        <f>IFERROR(__xludf.DUMMYFUNCTION("""COMPUTED_VALUE"""),"Hurst, Hayden")</f>
        <v>Hurst, Hayden</v>
      </c>
      <c r="C687" s="60" t="str">
        <f>IFERROR(__xludf.DUMMYFUNCTION("""COMPUTED_VALUE"""),"TE")</f>
        <v>TE</v>
      </c>
      <c r="D687" s="60" t="str">
        <f>IFERROR(__xludf.DUMMYFUNCTION("""COMPUTED_VALUE"""),"FA")</f>
        <v>FA</v>
      </c>
      <c r="E687" s="62" t="str">
        <f t="shared" si="4"/>
        <v>Hayden Hurst</v>
      </c>
      <c r="F687" s="62">
        <f t="shared" ref="F687:G687" si="1373">IF(isblank(F$1),,IF(isblank($A687),,IFERROR(vlookup($A687,indirect("'TVC-"&amp;text(month(F$1),"00")&amp;"'!$A:$D"),4,false),1)))</f>
        <v>1</v>
      </c>
      <c r="G687" s="62">
        <f t="shared" si="1373"/>
        <v>1</v>
      </c>
      <c r="H687" s="62">
        <f t="shared" ref="H687:Q687" si="1374">IF(isblank(H$1),,IFERROR(vlookup($A687,indirect("'TVC-"&amp;text(month(H$1),"00")&amp;"'!$A:$D"),4,false),1))</f>
        <v>1</v>
      </c>
      <c r="I687" s="62">
        <f t="shared" si="1374"/>
        <v>1</v>
      </c>
      <c r="J687" s="62">
        <f t="shared" si="1374"/>
        <v>1</v>
      </c>
      <c r="K687" s="62">
        <f t="shared" si="1374"/>
        <v>1</v>
      </c>
      <c r="L687" s="62">
        <f t="shared" si="1374"/>
        <v>1</v>
      </c>
      <c r="M687" s="62">
        <f t="shared" si="1374"/>
        <v>1</v>
      </c>
      <c r="N687" s="62">
        <f t="shared" si="1374"/>
        <v>1</v>
      </c>
      <c r="O687" s="62">
        <f t="shared" si="1374"/>
        <v>1</v>
      </c>
      <c r="P687" s="62" t="str">
        <f t="shared" si="1374"/>
        <v/>
      </c>
      <c r="Q687" s="62" t="str">
        <f t="shared" si="1374"/>
        <v/>
      </c>
      <c r="R687" s="62">
        <f t="shared" si="7"/>
        <v>0</v>
      </c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</row>
    <row r="688" hidden="1">
      <c r="A688" s="60">
        <f>IFERROR(__xludf.DUMMYFUNCTION("""COMPUTED_VALUE"""),13681.0)</f>
        <v>13681</v>
      </c>
      <c r="B688" s="60" t="str">
        <f>IFERROR(__xludf.DUMMYFUNCTION("""COMPUTED_VALUE"""),"Chubb, Bradley")</f>
        <v>Chubb, Bradley</v>
      </c>
      <c r="C688" s="60" t="str">
        <f>IFERROR(__xludf.DUMMYFUNCTION("""COMPUTED_VALUE"""),"DE")</f>
        <v>DE</v>
      </c>
      <c r="D688" s="60" t="str">
        <f>IFERROR(__xludf.DUMMYFUNCTION("""COMPUTED_VALUE"""),"BUF")</f>
        <v>BUF</v>
      </c>
      <c r="E688" s="62" t="str">
        <f t="shared" si="4"/>
        <v>Bradley Chubb</v>
      </c>
      <c r="F688" s="62">
        <f t="shared" ref="F688:G688" si="1375">IF(isblank(F$1),,IF(isblank($A688),,IFERROR(vlookup($A688,indirect("'TVC-"&amp;text(month(F$1),"00")&amp;"'!$A:$D"),4,false),1)))</f>
        <v>1</v>
      </c>
      <c r="G688" s="62">
        <f t="shared" si="1375"/>
        <v>1</v>
      </c>
      <c r="H688" s="62">
        <f t="shared" ref="H688:Q688" si="1376">IF(isblank(H$1),,IFERROR(vlookup($A688,indirect("'TVC-"&amp;text(month(H$1),"00")&amp;"'!$A:$D"),4,false),1))</f>
        <v>1</v>
      </c>
      <c r="I688" s="62">
        <f t="shared" si="1376"/>
        <v>1</v>
      </c>
      <c r="J688" s="62">
        <f t="shared" si="1376"/>
        <v>1</v>
      </c>
      <c r="K688" s="62">
        <f t="shared" si="1376"/>
        <v>1</v>
      </c>
      <c r="L688" s="62">
        <f t="shared" si="1376"/>
        <v>1</v>
      </c>
      <c r="M688" s="62">
        <f t="shared" si="1376"/>
        <v>1</v>
      </c>
      <c r="N688" s="62">
        <f t="shared" si="1376"/>
        <v>1</v>
      </c>
      <c r="O688" s="62">
        <f t="shared" si="1376"/>
        <v>1</v>
      </c>
      <c r="P688" s="62" t="str">
        <f t="shared" si="1376"/>
        <v/>
      </c>
      <c r="Q688" s="62" t="str">
        <f t="shared" si="1376"/>
        <v/>
      </c>
      <c r="R688" s="62">
        <f t="shared" si="7"/>
        <v>0</v>
      </c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</row>
    <row r="689" hidden="1">
      <c r="A689" s="60">
        <f>IFERROR(__xludf.DUMMYFUNCTION("""COMPUTED_VALUE"""),13682.0)</f>
        <v>13682</v>
      </c>
      <c r="B689" s="60" t="str">
        <f>IFERROR(__xludf.DUMMYFUNCTION("""COMPUTED_VALUE"""),"Key, Arden")</f>
        <v>Key, Arden</v>
      </c>
      <c r="C689" s="60" t="str">
        <f>IFERROR(__xludf.DUMMYFUNCTION("""COMPUTED_VALUE"""),"DE")</f>
        <v>DE</v>
      </c>
      <c r="D689" s="60" t="str">
        <f>IFERROR(__xludf.DUMMYFUNCTION("""COMPUTED_VALUE"""),"IND")</f>
        <v>IND</v>
      </c>
      <c r="E689" s="62" t="str">
        <f t="shared" si="4"/>
        <v>Arden Key</v>
      </c>
      <c r="F689" s="62">
        <f t="shared" ref="F689:G689" si="1377">IF(isblank(F$1),,IF(isblank($A689),,IFERROR(vlookup($A689,indirect("'TVC-"&amp;text(month(F$1),"00")&amp;"'!$A:$D"),4,false),1)))</f>
        <v>1</v>
      </c>
      <c r="G689" s="62">
        <f t="shared" si="1377"/>
        <v>1</v>
      </c>
      <c r="H689" s="62">
        <f t="shared" ref="H689:Q689" si="1378">IF(isblank(H$1),,IFERROR(vlookup($A689,indirect("'TVC-"&amp;text(month(H$1),"00")&amp;"'!$A:$D"),4,false),1))</f>
        <v>1</v>
      </c>
      <c r="I689" s="62">
        <f t="shared" si="1378"/>
        <v>1</v>
      </c>
      <c r="J689" s="62">
        <f t="shared" si="1378"/>
        <v>1</v>
      </c>
      <c r="K689" s="62">
        <f t="shared" si="1378"/>
        <v>1</v>
      </c>
      <c r="L689" s="62">
        <f t="shared" si="1378"/>
        <v>1</v>
      </c>
      <c r="M689" s="62">
        <f t="shared" si="1378"/>
        <v>1</v>
      </c>
      <c r="N689" s="62">
        <f t="shared" si="1378"/>
        <v>1</v>
      </c>
      <c r="O689" s="62">
        <f t="shared" si="1378"/>
        <v>1</v>
      </c>
      <c r="P689" s="62" t="str">
        <f t="shared" si="1378"/>
        <v/>
      </c>
      <c r="Q689" s="62" t="str">
        <f t="shared" si="1378"/>
        <v/>
      </c>
      <c r="R689" s="62">
        <f t="shared" si="7"/>
        <v>0</v>
      </c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</row>
    <row r="690" hidden="1">
      <c r="A690" s="60">
        <f>IFERROR(__xludf.DUMMYFUNCTION("""COMPUTED_VALUE"""),13683.0)</f>
        <v>13683</v>
      </c>
      <c r="B690" s="60" t="str">
        <f>IFERROR(__xludf.DUMMYFUNCTION("""COMPUTED_VALUE"""),"Hand, Da'Shawn")</f>
        <v>Hand, Da'Shawn</v>
      </c>
      <c r="C690" s="60" t="str">
        <f>IFERROR(__xludf.DUMMYFUNCTION("""COMPUTED_VALUE"""),"DT")</f>
        <v>DT</v>
      </c>
      <c r="D690" s="60" t="str">
        <f>IFERROR(__xludf.DUMMYFUNCTION("""COMPUTED_VALUE"""),"ATL")</f>
        <v>ATL</v>
      </c>
      <c r="E690" s="62" t="str">
        <f t="shared" si="4"/>
        <v>Da'Shawn Hand</v>
      </c>
      <c r="F690" s="62">
        <f t="shared" ref="F690:G690" si="1379">IF(isblank(F$1),,IF(isblank($A690),,IFERROR(vlookup($A690,indirect("'TVC-"&amp;text(month(F$1),"00")&amp;"'!$A:$D"),4,false),1)))</f>
        <v>1</v>
      </c>
      <c r="G690" s="62">
        <f t="shared" si="1379"/>
        <v>1</v>
      </c>
      <c r="H690" s="62">
        <f t="shared" ref="H690:Q690" si="1380">IF(isblank(H$1),,IFERROR(vlookup($A690,indirect("'TVC-"&amp;text(month(H$1),"00")&amp;"'!$A:$D"),4,false),1))</f>
        <v>1</v>
      </c>
      <c r="I690" s="62">
        <f t="shared" si="1380"/>
        <v>1</v>
      </c>
      <c r="J690" s="62">
        <f t="shared" si="1380"/>
        <v>1</v>
      </c>
      <c r="K690" s="62">
        <f t="shared" si="1380"/>
        <v>1</v>
      </c>
      <c r="L690" s="62">
        <f t="shared" si="1380"/>
        <v>1</v>
      </c>
      <c r="M690" s="62">
        <f t="shared" si="1380"/>
        <v>1</v>
      </c>
      <c r="N690" s="62">
        <f t="shared" si="1380"/>
        <v>1</v>
      </c>
      <c r="O690" s="62">
        <f t="shared" si="1380"/>
        <v>1</v>
      </c>
      <c r="P690" s="62" t="str">
        <f t="shared" si="1380"/>
        <v/>
      </c>
      <c r="Q690" s="62" t="str">
        <f t="shared" si="1380"/>
        <v/>
      </c>
      <c r="R690" s="62">
        <f t="shared" si="7"/>
        <v>0</v>
      </c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</row>
    <row r="691" hidden="1">
      <c r="A691" s="60">
        <f>IFERROR(__xludf.DUMMYFUNCTION("""COMPUTED_VALUE"""),13685.0)</f>
        <v>13685</v>
      </c>
      <c r="B691" s="60" t="str">
        <f>IFERROR(__xludf.DUMMYFUNCTION("""COMPUTED_VALUE"""),"Okoronkwo, Ogbonnia")</f>
        <v>Okoronkwo, Ogbonnia</v>
      </c>
      <c r="C691" s="60" t="str">
        <f>IFERROR(__xludf.DUMMYFUNCTION("""COMPUTED_VALUE"""),"DE")</f>
        <v>DE</v>
      </c>
      <c r="D691" s="60" t="str">
        <f>IFERROR(__xludf.DUMMYFUNCTION("""COMPUTED_VALUE"""),"SFO")</f>
        <v>SFO</v>
      </c>
      <c r="E691" s="62" t="str">
        <f t="shared" si="4"/>
        <v>Ogbonnia Okoronkwo</v>
      </c>
      <c r="F691" s="62">
        <f t="shared" ref="F691:G691" si="1381">IF(isblank(F$1),,IF(isblank($A691),,IFERROR(vlookup($A691,indirect("'TVC-"&amp;text(month(F$1),"00")&amp;"'!$A:$D"),4,false),1)))</f>
        <v>1</v>
      </c>
      <c r="G691" s="62">
        <f t="shared" si="1381"/>
        <v>1</v>
      </c>
      <c r="H691" s="62">
        <f t="shared" ref="H691:Q691" si="1382">IF(isblank(H$1),,IFERROR(vlookup($A691,indirect("'TVC-"&amp;text(month(H$1),"00")&amp;"'!$A:$D"),4,false),1))</f>
        <v>1</v>
      </c>
      <c r="I691" s="62">
        <f t="shared" si="1382"/>
        <v>1</v>
      </c>
      <c r="J691" s="62">
        <f t="shared" si="1382"/>
        <v>1</v>
      </c>
      <c r="K691" s="62">
        <f t="shared" si="1382"/>
        <v>1</v>
      </c>
      <c r="L691" s="62">
        <f t="shared" si="1382"/>
        <v>1</v>
      </c>
      <c r="M691" s="62">
        <f t="shared" si="1382"/>
        <v>1</v>
      </c>
      <c r="N691" s="62">
        <f t="shared" si="1382"/>
        <v>1</v>
      </c>
      <c r="O691" s="62">
        <f t="shared" si="1382"/>
        <v>1</v>
      </c>
      <c r="P691" s="62" t="str">
        <f t="shared" si="1382"/>
        <v/>
      </c>
      <c r="Q691" s="62" t="str">
        <f t="shared" si="1382"/>
        <v/>
      </c>
      <c r="R691" s="62">
        <f t="shared" si="7"/>
        <v>0</v>
      </c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</row>
    <row r="692" hidden="1">
      <c r="A692" s="60">
        <f>IFERROR(__xludf.DUMMYFUNCTION("""COMPUTED_VALUE"""),13687.0)</f>
        <v>13687</v>
      </c>
      <c r="B692" s="60" t="str">
        <f>IFERROR(__xludf.DUMMYFUNCTION("""COMPUTED_VALUE"""),"Lewis, Tyquan")</f>
        <v>Lewis, Tyquan</v>
      </c>
      <c r="C692" s="60" t="str">
        <f>IFERROR(__xludf.DUMMYFUNCTION("""COMPUTED_VALUE"""),"DE")</f>
        <v>DE</v>
      </c>
      <c r="D692" s="60" t="str">
        <f>IFERROR(__xludf.DUMMYFUNCTION("""COMPUTED_VALUE"""),"IND")</f>
        <v>IND</v>
      </c>
      <c r="E692" s="62" t="str">
        <f t="shared" si="4"/>
        <v>Tyquan Lewis</v>
      </c>
      <c r="F692" s="62">
        <f t="shared" ref="F692:G692" si="1383">IF(isblank(F$1),,IF(isblank($A692),,IFERROR(vlookup($A692,indirect("'TVC-"&amp;text(month(F$1),"00")&amp;"'!$A:$D"),4,false),1)))</f>
        <v>1</v>
      </c>
      <c r="G692" s="62">
        <f t="shared" si="1383"/>
        <v>1</v>
      </c>
      <c r="H692" s="62">
        <f t="shared" ref="H692:Q692" si="1384">IF(isblank(H$1),,IFERROR(vlookup($A692,indirect("'TVC-"&amp;text(month(H$1),"00")&amp;"'!$A:$D"),4,false),1))</f>
        <v>1</v>
      </c>
      <c r="I692" s="62">
        <f t="shared" si="1384"/>
        <v>1</v>
      </c>
      <c r="J692" s="62">
        <f t="shared" si="1384"/>
        <v>1</v>
      </c>
      <c r="K692" s="62">
        <f t="shared" si="1384"/>
        <v>1</v>
      </c>
      <c r="L692" s="62">
        <f t="shared" si="1384"/>
        <v>1</v>
      </c>
      <c r="M692" s="62">
        <f t="shared" si="1384"/>
        <v>1</v>
      </c>
      <c r="N692" s="62">
        <f t="shared" si="1384"/>
        <v>1</v>
      </c>
      <c r="O692" s="62">
        <f t="shared" si="1384"/>
        <v>1</v>
      </c>
      <c r="P692" s="62" t="str">
        <f t="shared" si="1384"/>
        <v/>
      </c>
      <c r="Q692" s="62" t="str">
        <f t="shared" si="1384"/>
        <v/>
      </c>
      <c r="R692" s="62">
        <f t="shared" si="7"/>
        <v>0</v>
      </c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</row>
    <row r="693" hidden="1">
      <c r="A693" s="60">
        <f>IFERROR(__xludf.DUMMYFUNCTION("""COMPUTED_VALUE"""),13688.0)</f>
        <v>13688</v>
      </c>
      <c r="B693" s="60" t="str">
        <f>IFERROR(__xludf.DUMMYFUNCTION("""COMPUTED_VALUE"""),"Davenport, Marcus")</f>
        <v>Davenport, Marcus</v>
      </c>
      <c r="C693" s="60" t="str">
        <f>IFERROR(__xludf.DUMMYFUNCTION("""COMPUTED_VALUE"""),"DE")</f>
        <v>DE</v>
      </c>
      <c r="D693" s="60" t="str">
        <f>IFERROR(__xludf.DUMMYFUNCTION("""COMPUTED_VALUE"""),"CHI")</f>
        <v>CHI</v>
      </c>
      <c r="E693" s="62" t="str">
        <f t="shared" si="4"/>
        <v>Marcus Davenport</v>
      </c>
      <c r="F693" s="62">
        <f t="shared" ref="F693:G693" si="1385">IF(isblank(F$1),,IF(isblank($A693),,IFERROR(vlookup($A693,indirect("'TVC-"&amp;text(month(F$1),"00")&amp;"'!$A:$D"),4,false),1)))</f>
        <v>1</v>
      </c>
      <c r="G693" s="62">
        <f t="shared" si="1385"/>
        <v>1</v>
      </c>
      <c r="H693" s="62">
        <f t="shared" ref="H693:Q693" si="1386">IF(isblank(H$1),,IFERROR(vlookup($A693,indirect("'TVC-"&amp;text(month(H$1),"00")&amp;"'!$A:$D"),4,false),1))</f>
        <v>1</v>
      </c>
      <c r="I693" s="62">
        <f t="shared" si="1386"/>
        <v>1</v>
      </c>
      <c r="J693" s="62">
        <f t="shared" si="1386"/>
        <v>1</v>
      </c>
      <c r="K693" s="62">
        <f t="shared" si="1386"/>
        <v>1</v>
      </c>
      <c r="L693" s="62">
        <f t="shared" si="1386"/>
        <v>1</v>
      </c>
      <c r="M693" s="62">
        <f t="shared" si="1386"/>
        <v>1</v>
      </c>
      <c r="N693" s="62">
        <f t="shared" si="1386"/>
        <v>1</v>
      </c>
      <c r="O693" s="62">
        <f t="shared" si="1386"/>
        <v>1</v>
      </c>
      <c r="P693" s="62" t="str">
        <f t="shared" si="1386"/>
        <v/>
      </c>
      <c r="Q693" s="62" t="str">
        <f t="shared" si="1386"/>
        <v/>
      </c>
      <c r="R693" s="62">
        <f t="shared" si="7"/>
        <v>0</v>
      </c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</row>
    <row r="694" hidden="1">
      <c r="A694" s="60">
        <f>IFERROR(__xludf.DUMMYFUNCTION("""COMPUTED_VALUE"""),13690.0)</f>
        <v>13690</v>
      </c>
      <c r="B694" s="60" t="str">
        <f>IFERROR(__xludf.DUMMYFUNCTION("""COMPUTED_VALUE"""),"Sweat, Josh")</f>
        <v>Sweat, Josh</v>
      </c>
      <c r="C694" s="60" t="str">
        <f>IFERROR(__xludf.DUMMYFUNCTION("""COMPUTED_VALUE"""),"DE")</f>
        <v>DE</v>
      </c>
      <c r="D694" s="60" t="str">
        <f>IFERROR(__xludf.DUMMYFUNCTION("""COMPUTED_VALUE"""),"ARI")</f>
        <v>ARI</v>
      </c>
      <c r="E694" s="62" t="str">
        <f t="shared" si="4"/>
        <v>Josh Sweat</v>
      </c>
      <c r="F694" s="62">
        <f t="shared" ref="F694:G694" si="1387">IF(isblank(F$1),,IF(isblank($A694),,IFERROR(vlookup($A694,indirect("'TVC-"&amp;text(month(F$1),"00")&amp;"'!$A:$D"),4,false),1)))</f>
        <v>1</v>
      </c>
      <c r="G694" s="62">
        <f t="shared" si="1387"/>
        <v>1</v>
      </c>
      <c r="H694" s="62">
        <f t="shared" ref="H694:Q694" si="1388">IF(isblank(H$1),,IFERROR(vlookup($A694,indirect("'TVC-"&amp;text(month(H$1),"00")&amp;"'!$A:$D"),4,false),1))</f>
        <v>1</v>
      </c>
      <c r="I694" s="62">
        <f t="shared" si="1388"/>
        <v>1</v>
      </c>
      <c r="J694" s="62">
        <f t="shared" si="1388"/>
        <v>1</v>
      </c>
      <c r="K694" s="62">
        <f t="shared" si="1388"/>
        <v>1</v>
      </c>
      <c r="L694" s="62">
        <f t="shared" si="1388"/>
        <v>1</v>
      </c>
      <c r="M694" s="62">
        <f t="shared" si="1388"/>
        <v>1</v>
      </c>
      <c r="N694" s="62">
        <f t="shared" si="1388"/>
        <v>1</v>
      </c>
      <c r="O694" s="62">
        <f t="shared" si="1388"/>
        <v>1</v>
      </c>
      <c r="P694" s="62" t="str">
        <f t="shared" si="1388"/>
        <v/>
      </c>
      <c r="Q694" s="62" t="str">
        <f t="shared" si="1388"/>
        <v/>
      </c>
      <c r="R694" s="62">
        <f t="shared" si="7"/>
        <v>0</v>
      </c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</row>
    <row r="695" hidden="1">
      <c r="A695" s="60">
        <f>IFERROR(__xludf.DUMMYFUNCTION("""COMPUTED_VALUE"""),13692.0)</f>
        <v>13692</v>
      </c>
      <c r="B695" s="60" t="str">
        <f>IFERROR(__xludf.DUMMYFUNCTION("""COMPUTED_VALUE"""),"Vea, Vita")</f>
        <v>Vea, Vita</v>
      </c>
      <c r="C695" s="60" t="str">
        <f>IFERROR(__xludf.DUMMYFUNCTION("""COMPUTED_VALUE"""),"DT")</f>
        <v>DT</v>
      </c>
      <c r="D695" s="60" t="str">
        <f>IFERROR(__xludf.DUMMYFUNCTION("""COMPUTED_VALUE"""),"TBB")</f>
        <v>TBB</v>
      </c>
      <c r="E695" s="62" t="str">
        <f t="shared" si="4"/>
        <v>Vita Vea</v>
      </c>
      <c r="F695" s="62">
        <f t="shared" ref="F695:G695" si="1389">IF(isblank(F$1),,IF(isblank($A695),,IFERROR(vlookup($A695,indirect("'TVC-"&amp;text(month(F$1),"00")&amp;"'!$A:$D"),4,false),1)))</f>
        <v>1</v>
      </c>
      <c r="G695" s="62">
        <f t="shared" si="1389"/>
        <v>1</v>
      </c>
      <c r="H695" s="62">
        <f t="shared" ref="H695:Q695" si="1390">IF(isblank(H$1),,IFERROR(vlookup($A695,indirect("'TVC-"&amp;text(month(H$1),"00")&amp;"'!$A:$D"),4,false),1))</f>
        <v>1</v>
      </c>
      <c r="I695" s="62">
        <f t="shared" si="1390"/>
        <v>1</v>
      </c>
      <c r="J695" s="62">
        <f t="shared" si="1390"/>
        <v>1</v>
      </c>
      <c r="K695" s="62">
        <f t="shared" si="1390"/>
        <v>1</v>
      </c>
      <c r="L695" s="62">
        <f t="shared" si="1390"/>
        <v>1</v>
      </c>
      <c r="M695" s="62">
        <f t="shared" si="1390"/>
        <v>1</v>
      </c>
      <c r="N695" s="62">
        <f t="shared" si="1390"/>
        <v>1</v>
      </c>
      <c r="O695" s="62">
        <f t="shared" si="1390"/>
        <v>1</v>
      </c>
      <c r="P695" s="62" t="str">
        <f t="shared" si="1390"/>
        <v/>
      </c>
      <c r="Q695" s="62" t="str">
        <f t="shared" si="1390"/>
        <v/>
      </c>
      <c r="R695" s="62">
        <f t="shared" si="7"/>
        <v>0</v>
      </c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</row>
    <row r="696" hidden="1">
      <c r="A696" s="60">
        <f>IFERROR(__xludf.DUMMYFUNCTION("""COMPUTED_VALUE"""),13693.0)</f>
        <v>13693</v>
      </c>
      <c r="B696" s="60" t="str">
        <f>IFERROR(__xludf.DUMMYFUNCTION("""COMPUTED_VALUE"""),"Phillips, Harrison")</f>
        <v>Phillips, Harrison</v>
      </c>
      <c r="C696" s="60" t="str">
        <f>IFERROR(__xludf.DUMMYFUNCTION("""COMPUTED_VALUE"""),"DT")</f>
        <v>DT</v>
      </c>
      <c r="D696" s="60" t="str">
        <f>IFERROR(__xludf.DUMMYFUNCTION("""COMPUTED_VALUE"""),"NYJ")</f>
        <v>NYJ</v>
      </c>
      <c r="E696" s="62" t="str">
        <f t="shared" si="4"/>
        <v>Harrison Phillips</v>
      </c>
      <c r="F696" s="62">
        <f t="shared" ref="F696:G696" si="1391">IF(isblank(F$1),,IF(isblank($A696),,IFERROR(vlookup($A696,indirect("'TVC-"&amp;text(month(F$1),"00")&amp;"'!$A:$D"),4,false),1)))</f>
        <v>1</v>
      </c>
      <c r="G696" s="62">
        <f t="shared" si="1391"/>
        <v>1</v>
      </c>
      <c r="H696" s="62">
        <f t="shared" ref="H696:Q696" si="1392">IF(isblank(H$1),,IFERROR(vlookup($A696,indirect("'TVC-"&amp;text(month(H$1),"00")&amp;"'!$A:$D"),4,false),1))</f>
        <v>1</v>
      </c>
      <c r="I696" s="62">
        <f t="shared" si="1392"/>
        <v>1</v>
      </c>
      <c r="J696" s="62">
        <f t="shared" si="1392"/>
        <v>1</v>
      </c>
      <c r="K696" s="62">
        <f t="shared" si="1392"/>
        <v>1</v>
      </c>
      <c r="L696" s="62">
        <f t="shared" si="1392"/>
        <v>1</v>
      </c>
      <c r="M696" s="62">
        <f t="shared" si="1392"/>
        <v>1</v>
      </c>
      <c r="N696" s="62">
        <f t="shared" si="1392"/>
        <v>1</v>
      </c>
      <c r="O696" s="62">
        <f t="shared" si="1392"/>
        <v>1</v>
      </c>
      <c r="P696" s="62" t="str">
        <f t="shared" si="1392"/>
        <v/>
      </c>
      <c r="Q696" s="62" t="str">
        <f t="shared" si="1392"/>
        <v/>
      </c>
      <c r="R696" s="62">
        <f t="shared" si="7"/>
        <v>0</v>
      </c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</row>
    <row r="697" hidden="1">
      <c r="A697" s="60">
        <f>IFERROR(__xludf.DUMMYFUNCTION("""COMPUTED_VALUE"""),13694.0)</f>
        <v>13694</v>
      </c>
      <c r="B697" s="60" t="str">
        <f>IFERROR(__xludf.DUMMYFUNCTION("""COMPUTED_VALUE"""),"Settle, Tim")</f>
        <v>Settle, Tim</v>
      </c>
      <c r="C697" s="60" t="str">
        <f>IFERROR(__xludf.DUMMYFUNCTION("""COMPUTED_VALUE"""),"DT")</f>
        <v>DT</v>
      </c>
      <c r="D697" s="60" t="str">
        <f>IFERROR(__xludf.DUMMYFUNCTION("""COMPUTED_VALUE"""),"WAS")</f>
        <v>WAS</v>
      </c>
      <c r="E697" s="62" t="str">
        <f t="shared" si="4"/>
        <v>Tim Settle</v>
      </c>
      <c r="F697" s="62">
        <f t="shared" ref="F697:G697" si="1393">IF(isblank(F$1),,IF(isblank($A697),,IFERROR(vlookup($A697,indirect("'TVC-"&amp;text(month(F$1),"00")&amp;"'!$A:$D"),4,false),1)))</f>
        <v>1</v>
      </c>
      <c r="G697" s="62">
        <f t="shared" si="1393"/>
        <v>1</v>
      </c>
      <c r="H697" s="62">
        <f t="shared" ref="H697:Q697" si="1394">IF(isblank(H$1),,IFERROR(vlookup($A697,indirect("'TVC-"&amp;text(month(H$1),"00")&amp;"'!$A:$D"),4,false),1))</f>
        <v>1</v>
      </c>
      <c r="I697" s="62">
        <f t="shared" si="1394"/>
        <v>1</v>
      </c>
      <c r="J697" s="62">
        <f t="shared" si="1394"/>
        <v>1</v>
      </c>
      <c r="K697" s="62">
        <f t="shared" si="1394"/>
        <v>1</v>
      </c>
      <c r="L697" s="62">
        <f t="shared" si="1394"/>
        <v>1</v>
      </c>
      <c r="M697" s="62">
        <f t="shared" si="1394"/>
        <v>1</v>
      </c>
      <c r="N697" s="62">
        <f t="shared" si="1394"/>
        <v>1</v>
      </c>
      <c r="O697" s="62">
        <f t="shared" si="1394"/>
        <v>1</v>
      </c>
      <c r="P697" s="62" t="str">
        <f t="shared" si="1394"/>
        <v/>
      </c>
      <c r="Q697" s="62" t="str">
        <f t="shared" si="1394"/>
        <v/>
      </c>
      <c r="R697" s="62">
        <f t="shared" si="7"/>
        <v>0</v>
      </c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</row>
    <row r="698" hidden="1">
      <c r="A698" s="60">
        <f>IFERROR(__xludf.DUMMYFUNCTION("""COMPUTED_VALUE"""),13695.0)</f>
        <v>13695</v>
      </c>
      <c r="B698" s="60" t="str">
        <f>IFERROR(__xludf.DUMMYFUNCTION("""COMPUTED_VALUE"""),"Bryan, Taven")</f>
        <v>Bryan, Taven</v>
      </c>
      <c r="C698" s="60" t="str">
        <f>IFERROR(__xludf.DUMMYFUNCTION("""COMPUTED_VALUE"""),"DT")</f>
        <v>DT</v>
      </c>
      <c r="D698" s="60" t="str">
        <f>IFERROR(__xludf.DUMMYFUNCTION("""COMPUTED_VALUE"""),"BAL")</f>
        <v>BAL</v>
      </c>
      <c r="E698" s="62" t="str">
        <f t="shared" si="4"/>
        <v>Taven Bryan</v>
      </c>
      <c r="F698" s="62">
        <f t="shared" ref="F698:G698" si="1395">IF(isblank(F$1),,IF(isblank($A698),,IFERROR(vlookup($A698,indirect("'TVC-"&amp;text(month(F$1),"00")&amp;"'!$A:$D"),4,false),1)))</f>
        <v>1</v>
      </c>
      <c r="G698" s="62">
        <f t="shared" si="1395"/>
        <v>1</v>
      </c>
      <c r="H698" s="62">
        <f t="shared" ref="H698:Q698" si="1396">IF(isblank(H$1),,IFERROR(vlookup($A698,indirect("'TVC-"&amp;text(month(H$1),"00")&amp;"'!$A:$D"),4,false),1))</f>
        <v>1</v>
      </c>
      <c r="I698" s="62">
        <f t="shared" si="1396"/>
        <v>1</v>
      </c>
      <c r="J698" s="62">
        <f t="shared" si="1396"/>
        <v>1</v>
      </c>
      <c r="K698" s="62">
        <f t="shared" si="1396"/>
        <v>1</v>
      </c>
      <c r="L698" s="62">
        <f t="shared" si="1396"/>
        <v>1</v>
      </c>
      <c r="M698" s="62">
        <f t="shared" si="1396"/>
        <v>1</v>
      </c>
      <c r="N698" s="62">
        <f t="shared" si="1396"/>
        <v>1</v>
      </c>
      <c r="O698" s="62">
        <f t="shared" si="1396"/>
        <v>1</v>
      </c>
      <c r="P698" s="62" t="str">
        <f t="shared" si="1396"/>
        <v/>
      </c>
      <c r="Q698" s="62" t="str">
        <f t="shared" si="1396"/>
        <v/>
      </c>
      <c r="R698" s="62">
        <f t="shared" si="7"/>
        <v>0</v>
      </c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</row>
    <row r="699" hidden="1">
      <c r="A699" s="60">
        <f>IFERROR(__xludf.DUMMYFUNCTION("""COMPUTED_VALUE"""),13696.0)</f>
        <v>13696</v>
      </c>
      <c r="B699" s="60" t="str">
        <f>IFERROR(__xludf.DUMMYFUNCTION("""COMPUTED_VALUE"""),"Smith, Roquan")</f>
        <v>Smith, Roquan</v>
      </c>
      <c r="C699" s="60" t="str">
        <f>IFERROR(__xludf.DUMMYFUNCTION("""COMPUTED_VALUE"""),"LB")</f>
        <v>LB</v>
      </c>
      <c r="D699" s="60" t="str">
        <f>IFERROR(__xludf.DUMMYFUNCTION("""COMPUTED_VALUE"""),"BAL")</f>
        <v>BAL</v>
      </c>
      <c r="E699" s="62" t="str">
        <f t="shared" si="4"/>
        <v>Roquan Smith</v>
      </c>
      <c r="F699" s="62">
        <f t="shared" ref="F699:G699" si="1397">IF(isblank(F$1),,IF(isblank($A699),,IFERROR(vlookup($A699,indirect("'TVC-"&amp;text(month(F$1),"00")&amp;"'!$A:$D"),4,false),1)))</f>
        <v>1</v>
      </c>
      <c r="G699" s="62">
        <f t="shared" si="1397"/>
        <v>1</v>
      </c>
      <c r="H699" s="62">
        <f t="shared" ref="H699:Q699" si="1398">IF(isblank(H$1),,IFERROR(vlookup($A699,indirect("'TVC-"&amp;text(month(H$1),"00")&amp;"'!$A:$D"),4,false),1))</f>
        <v>1</v>
      </c>
      <c r="I699" s="62">
        <f t="shared" si="1398"/>
        <v>1</v>
      </c>
      <c r="J699" s="62">
        <f t="shared" si="1398"/>
        <v>1</v>
      </c>
      <c r="K699" s="62">
        <f t="shared" si="1398"/>
        <v>1</v>
      </c>
      <c r="L699" s="62">
        <f t="shared" si="1398"/>
        <v>1</v>
      </c>
      <c r="M699" s="62">
        <f t="shared" si="1398"/>
        <v>1</v>
      </c>
      <c r="N699" s="62">
        <f t="shared" si="1398"/>
        <v>1</v>
      </c>
      <c r="O699" s="62">
        <f t="shared" si="1398"/>
        <v>1</v>
      </c>
      <c r="P699" s="62" t="str">
        <f t="shared" si="1398"/>
        <v/>
      </c>
      <c r="Q699" s="62" t="str">
        <f t="shared" si="1398"/>
        <v/>
      </c>
      <c r="R699" s="62">
        <f t="shared" si="7"/>
        <v>0</v>
      </c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</row>
    <row r="700" hidden="1">
      <c r="A700" s="60">
        <f>IFERROR(__xludf.DUMMYFUNCTION("""COMPUTED_VALUE"""),13697.0)</f>
        <v>13697</v>
      </c>
      <c r="B700" s="60" t="str">
        <f>IFERROR(__xludf.DUMMYFUNCTION("""COMPUTED_VALUE"""),"Edmunds, Tremaine")</f>
        <v>Edmunds, Tremaine</v>
      </c>
      <c r="C700" s="60" t="str">
        <f>IFERROR(__xludf.DUMMYFUNCTION("""COMPUTED_VALUE"""),"LB")</f>
        <v>LB</v>
      </c>
      <c r="D700" s="60" t="str">
        <f>IFERROR(__xludf.DUMMYFUNCTION("""COMPUTED_VALUE"""),"NYG")</f>
        <v>NYG</v>
      </c>
      <c r="E700" s="62" t="str">
        <f t="shared" si="4"/>
        <v>Tremaine Edmunds</v>
      </c>
      <c r="F700" s="62">
        <f t="shared" ref="F700:G700" si="1399">IF(isblank(F$1),,IF(isblank($A700),,IFERROR(vlookup($A700,indirect("'TVC-"&amp;text(month(F$1),"00")&amp;"'!$A:$D"),4,false),1)))</f>
        <v>1</v>
      </c>
      <c r="G700" s="62">
        <f t="shared" si="1399"/>
        <v>1</v>
      </c>
      <c r="H700" s="62">
        <f t="shared" ref="H700:Q700" si="1400">IF(isblank(H$1),,IFERROR(vlookup($A700,indirect("'TVC-"&amp;text(month(H$1),"00")&amp;"'!$A:$D"),4,false),1))</f>
        <v>1</v>
      </c>
      <c r="I700" s="62">
        <f t="shared" si="1400"/>
        <v>1</v>
      </c>
      <c r="J700" s="62">
        <f t="shared" si="1400"/>
        <v>1</v>
      </c>
      <c r="K700" s="62">
        <f t="shared" si="1400"/>
        <v>1</v>
      </c>
      <c r="L700" s="62">
        <f t="shared" si="1400"/>
        <v>1</v>
      </c>
      <c r="M700" s="62">
        <f t="shared" si="1400"/>
        <v>1</v>
      </c>
      <c r="N700" s="62">
        <f t="shared" si="1400"/>
        <v>1</v>
      </c>
      <c r="O700" s="62">
        <f t="shared" si="1400"/>
        <v>1</v>
      </c>
      <c r="P700" s="62" t="str">
        <f t="shared" si="1400"/>
        <v/>
      </c>
      <c r="Q700" s="62" t="str">
        <f t="shared" si="1400"/>
        <v/>
      </c>
      <c r="R700" s="62">
        <f t="shared" si="7"/>
        <v>0</v>
      </c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</row>
    <row r="701" hidden="1">
      <c r="A701" s="60">
        <f>IFERROR(__xludf.DUMMYFUNCTION("""COMPUTED_VALUE"""),13700.0)</f>
        <v>13700</v>
      </c>
      <c r="B701" s="60" t="str">
        <f>IFERROR(__xludf.DUMMYFUNCTION("""COMPUTED_VALUE"""),"Landry, Harold")</f>
        <v>Landry, Harold</v>
      </c>
      <c r="C701" s="60" t="str">
        <f>IFERROR(__xludf.DUMMYFUNCTION("""COMPUTED_VALUE"""),"DE")</f>
        <v>DE</v>
      </c>
      <c r="D701" s="60" t="str">
        <f>IFERROR(__xludf.DUMMYFUNCTION("""COMPUTED_VALUE"""),"NEP")</f>
        <v>NEP</v>
      </c>
      <c r="E701" s="62" t="str">
        <f t="shared" si="4"/>
        <v>Harold Landry</v>
      </c>
      <c r="F701" s="62">
        <f t="shared" ref="F701:G701" si="1401">IF(isblank(F$1),,IF(isblank($A701),,IFERROR(vlookup($A701,indirect("'TVC-"&amp;text(month(F$1),"00")&amp;"'!$A:$D"),4,false),1)))</f>
        <v>1</v>
      </c>
      <c r="G701" s="62">
        <f t="shared" si="1401"/>
        <v>1</v>
      </c>
      <c r="H701" s="62">
        <f t="shared" ref="H701:Q701" si="1402">IF(isblank(H$1),,IFERROR(vlookup($A701,indirect("'TVC-"&amp;text(month(H$1),"00")&amp;"'!$A:$D"),4,false),1))</f>
        <v>1</v>
      </c>
      <c r="I701" s="62">
        <f t="shared" si="1402"/>
        <v>1</v>
      </c>
      <c r="J701" s="62">
        <f t="shared" si="1402"/>
        <v>1</v>
      </c>
      <c r="K701" s="62">
        <f t="shared" si="1402"/>
        <v>1</v>
      </c>
      <c r="L701" s="62">
        <f t="shared" si="1402"/>
        <v>1</v>
      </c>
      <c r="M701" s="62">
        <f t="shared" si="1402"/>
        <v>1</v>
      </c>
      <c r="N701" s="62">
        <f t="shared" si="1402"/>
        <v>1</v>
      </c>
      <c r="O701" s="62">
        <f t="shared" si="1402"/>
        <v>1</v>
      </c>
      <c r="P701" s="62" t="str">
        <f t="shared" si="1402"/>
        <v/>
      </c>
      <c r="Q701" s="62" t="str">
        <f t="shared" si="1402"/>
        <v/>
      </c>
      <c r="R701" s="62">
        <f t="shared" si="7"/>
        <v>0</v>
      </c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</row>
    <row r="702" hidden="1">
      <c r="A702" s="60">
        <f>IFERROR(__xludf.DUMMYFUNCTION("""COMPUTED_VALUE"""),13702.0)</f>
        <v>13702</v>
      </c>
      <c r="B702" s="60" t="str">
        <f>IFERROR(__xludf.DUMMYFUNCTION("""COMPUTED_VALUE"""),"Jewell, Josey")</f>
        <v>Jewell, Josey</v>
      </c>
      <c r="C702" s="60" t="str">
        <f>IFERROR(__xludf.DUMMYFUNCTION("""COMPUTED_VALUE"""),"LB")</f>
        <v>LB</v>
      </c>
      <c r="D702" s="60" t="str">
        <f>IFERROR(__xludf.DUMMYFUNCTION("""COMPUTED_VALUE"""),"FA")</f>
        <v>FA</v>
      </c>
      <c r="E702" s="62" t="str">
        <f t="shared" si="4"/>
        <v>Josey Jewell</v>
      </c>
      <c r="F702" s="62">
        <f t="shared" ref="F702:G702" si="1403">IF(isblank(F$1),,IF(isblank($A702),,IFERROR(vlookup($A702,indirect("'TVC-"&amp;text(month(F$1),"00")&amp;"'!$A:$D"),4,false),1)))</f>
        <v>1</v>
      </c>
      <c r="G702" s="62">
        <f t="shared" si="1403"/>
        <v>1</v>
      </c>
      <c r="H702" s="62">
        <f t="shared" ref="H702:Q702" si="1404">IF(isblank(H$1),,IFERROR(vlookup($A702,indirect("'TVC-"&amp;text(month(H$1),"00")&amp;"'!$A:$D"),4,false),1))</f>
        <v>1</v>
      </c>
      <c r="I702" s="62">
        <f t="shared" si="1404"/>
        <v>1</v>
      </c>
      <c r="J702" s="62">
        <f t="shared" si="1404"/>
        <v>1</v>
      </c>
      <c r="K702" s="62">
        <f t="shared" si="1404"/>
        <v>1</v>
      </c>
      <c r="L702" s="62">
        <f t="shared" si="1404"/>
        <v>1</v>
      </c>
      <c r="M702" s="62">
        <f t="shared" si="1404"/>
        <v>1</v>
      </c>
      <c r="N702" s="62">
        <f t="shared" si="1404"/>
        <v>1</v>
      </c>
      <c r="O702" s="62">
        <f t="shared" si="1404"/>
        <v>1</v>
      </c>
      <c r="P702" s="62" t="str">
        <f t="shared" si="1404"/>
        <v/>
      </c>
      <c r="Q702" s="62" t="str">
        <f t="shared" si="1404"/>
        <v/>
      </c>
      <c r="R702" s="62">
        <f t="shared" si="7"/>
        <v>0</v>
      </c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</row>
    <row r="703" hidden="1">
      <c r="A703" s="60">
        <f>IFERROR(__xludf.DUMMYFUNCTION("""COMPUTED_VALUE"""),13704.0)</f>
        <v>13704</v>
      </c>
      <c r="B703" s="60" t="str">
        <f>IFERROR(__xludf.DUMMYFUNCTION("""COMPUTED_VALUE"""),"Nwosu, Uchenna")</f>
        <v>Nwosu, Uchenna</v>
      </c>
      <c r="C703" s="60" t="str">
        <f>IFERROR(__xludf.DUMMYFUNCTION("""COMPUTED_VALUE"""),"DE")</f>
        <v>DE</v>
      </c>
      <c r="D703" s="60" t="str">
        <f>IFERROR(__xludf.DUMMYFUNCTION("""COMPUTED_VALUE"""),"SEA")</f>
        <v>SEA</v>
      </c>
      <c r="E703" s="62" t="str">
        <f t="shared" si="4"/>
        <v>Uchenna Nwosu</v>
      </c>
      <c r="F703" s="62">
        <f t="shared" ref="F703:G703" si="1405">IF(isblank(F$1),,IF(isblank($A703),,IFERROR(vlookup($A703,indirect("'TVC-"&amp;text(month(F$1),"00")&amp;"'!$A:$D"),4,false),1)))</f>
        <v>1</v>
      </c>
      <c r="G703" s="62">
        <f t="shared" si="1405"/>
        <v>1</v>
      </c>
      <c r="H703" s="62">
        <f t="shared" ref="H703:Q703" si="1406">IF(isblank(H$1),,IFERROR(vlookup($A703,indirect("'TVC-"&amp;text(month(H$1),"00")&amp;"'!$A:$D"),4,false),1))</f>
        <v>1</v>
      </c>
      <c r="I703" s="62">
        <f t="shared" si="1406"/>
        <v>1</v>
      </c>
      <c r="J703" s="62">
        <f t="shared" si="1406"/>
        <v>1</v>
      </c>
      <c r="K703" s="62">
        <f t="shared" si="1406"/>
        <v>1</v>
      </c>
      <c r="L703" s="62">
        <f t="shared" si="1406"/>
        <v>1</v>
      </c>
      <c r="M703" s="62">
        <f t="shared" si="1406"/>
        <v>1</v>
      </c>
      <c r="N703" s="62">
        <f t="shared" si="1406"/>
        <v>1</v>
      </c>
      <c r="O703" s="62">
        <f t="shared" si="1406"/>
        <v>1</v>
      </c>
      <c r="P703" s="62" t="str">
        <f t="shared" si="1406"/>
        <v/>
      </c>
      <c r="Q703" s="62" t="str">
        <f t="shared" si="1406"/>
        <v/>
      </c>
      <c r="R703" s="62">
        <f t="shared" si="7"/>
        <v>0</v>
      </c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</row>
    <row r="704" hidden="1">
      <c r="A704" s="60">
        <f>IFERROR(__xludf.DUMMYFUNCTION("""COMPUTED_VALUE"""),13706.0)</f>
        <v>13706</v>
      </c>
      <c r="B704" s="60" t="str">
        <f>IFERROR(__xludf.DUMMYFUNCTION("""COMPUTED_VALUE"""),"Baker, Jerome")</f>
        <v>Baker, Jerome</v>
      </c>
      <c r="C704" s="60" t="str">
        <f>IFERROR(__xludf.DUMMYFUNCTION("""COMPUTED_VALUE"""),"LB")</f>
        <v>LB</v>
      </c>
      <c r="D704" s="60" t="str">
        <f>IFERROR(__xludf.DUMMYFUNCTION("""COMPUTED_VALUE"""),"FA")</f>
        <v>FA</v>
      </c>
      <c r="E704" s="62" t="str">
        <f t="shared" si="4"/>
        <v>Jerome Baker</v>
      </c>
      <c r="F704" s="62">
        <f t="shared" ref="F704:G704" si="1407">IF(isblank(F$1),,IF(isblank($A704),,IFERROR(vlookup($A704,indirect("'TVC-"&amp;text(month(F$1),"00")&amp;"'!$A:$D"),4,false),1)))</f>
        <v>1</v>
      </c>
      <c r="G704" s="62">
        <f t="shared" si="1407"/>
        <v>1</v>
      </c>
      <c r="H704" s="62">
        <f t="shared" ref="H704:Q704" si="1408">IF(isblank(H$1),,IFERROR(vlookup($A704,indirect("'TVC-"&amp;text(month(H$1),"00")&amp;"'!$A:$D"),4,false),1))</f>
        <v>1</v>
      </c>
      <c r="I704" s="62">
        <f t="shared" si="1408"/>
        <v>1</v>
      </c>
      <c r="J704" s="62">
        <f t="shared" si="1408"/>
        <v>1</v>
      </c>
      <c r="K704" s="62">
        <f t="shared" si="1408"/>
        <v>1</v>
      </c>
      <c r="L704" s="62">
        <f t="shared" si="1408"/>
        <v>1</v>
      </c>
      <c r="M704" s="62">
        <f t="shared" si="1408"/>
        <v>1</v>
      </c>
      <c r="N704" s="62">
        <f t="shared" si="1408"/>
        <v>1</v>
      </c>
      <c r="O704" s="62">
        <f t="shared" si="1408"/>
        <v>1</v>
      </c>
      <c r="P704" s="62" t="str">
        <f t="shared" si="1408"/>
        <v/>
      </c>
      <c r="Q704" s="62" t="str">
        <f t="shared" si="1408"/>
        <v/>
      </c>
      <c r="R704" s="62">
        <f t="shared" si="7"/>
        <v>0</v>
      </c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</row>
    <row r="705" hidden="1">
      <c r="A705" s="60">
        <f>IFERROR(__xludf.DUMMYFUNCTION("""COMPUTED_VALUE"""),13707.0)</f>
        <v>13707</v>
      </c>
      <c r="B705" s="60" t="str">
        <f>IFERROR(__xludf.DUMMYFUNCTION("""COMPUTED_VALUE"""),"Ward, Denzel")</f>
        <v>Ward, Denzel</v>
      </c>
      <c r="C705" s="60" t="str">
        <f>IFERROR(__xludf.DUMMYFUNCTION("""COMPUTED_VALUE"""),"CB")</f>
        <v>CB</v>
      </c>
      <c r="D705" s="60" t="str">
        <f>IFERROR(__xludf.DUMMYFUNCTION("""COMPUTED_VALUE"""),"CLE")</f>
        <v>CLE</v>
      </c>
      <c r="E705" s="62" t="str">
        <f t="shared" si="4"/>
        <v>Denzel Ward</v>
      </c>
      <c r="F705" s="62">
        <f t="shared" ref="F705:G705" si="1409">IF(isblank(F$1),,IF(isblank($A705),,IFERROR(vlookup($A705,indirect("'TVC-"&amp;text(month(F$1),"00")&amp;"'!$A:$D"),4,false),1)))</f>
        <v>1</v>
      </c>
      <c r="G705" s="62">
        <f t="shared" si="1409"/>
        <v>1</v>
      </c>
      <c r="H705" s="62">
        <f t="shared" ref="H705:Q705" si="1410">IF(isblank(H$1),,IFERROR(vlookup($A705,indirect("'TVC-"&amp;text(month(H$1),"00")&amp;"'!$A:$D"),4,false),1))</f>
        <v>1</v>
      </c>
      <c r="I705" s="62">
        <f t="shared" si="1410"/>
        <v>1</v>
      </c>
      <c r="J705" s="62">
        <f t="shared" si="1410"/>
        <v>1</v>
      </c>
      <c r="K705" s="62">
        <f t="shared" si="1410"/>
        <v>1</v>
      </c>
      <c r="L705" s="62">
        <f t="shared" si="1410"/>
        <v>1</v>
      </c>
      <c r="M705" s="62">
        <f t="shared" si="1410"/>
        <v>1</v>
      </c>
      <c r="N705" s="62">
        <f t="shared" si="1410"/>
        <v>1</v>
      </c>
      <c r="O705" s="62">
        <f t="shared" si="1410"/>
        <v>1</v>
      </c>
      <c r="P705" s="62" t="str">
        <f t="shared" si="1410"/>
        <v/>
      </c>
      <c r="Q705" s="62" t="str">
        <f t="shared" si="1410"/>
        <v/>
      </c>
      <c r="R705" s="62">
        <f t="shared" si="7"/>
        <v>0</v>
      </c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</row>
    <row r="706" hidden="1">
      <c r="A706" s="60">
        <f>IFERROR(__xludf.DUMMYFUNCTION("""COMPUTED_VALUE"""),13709.0)</f>
        <v>13709</v>
      </c>
      <c r="B706" s="60" t="str">
        <f>IFERROR(__xludf.DUMMYFUNCTION("""COMPUTED_VALUE"""),"Oliver, Isaiah")</f>
        <v>Oliver, Isaiah</v>
      </c>
      <c r="C706" s="60" t="str">
        <f>IFERROR(__xludf.DUMMYFUNCTION("""COMPUTED_VALUE"""),"S")</f>
        <v>S</v>
      </c>
      <c r="D706" s="60" t="str">
        <f>IFERROR(__xludf.DUMMYFUNCTION("""COMPUTED_VALUE"""),"TEN")</f>
        <v>TEN</v>
      </c>
      <c r="E706" s="62" t="str">
        <f t="shared" si="4"/>
        <v>Isaiah Oliver</v>
      </c>
      <c r="F706" s="62">
        <f t="shared" ref="F706:G706" si="1411">IF(isblank(F$1),,IF(isblank($A706),,IFERROR(vlookup($A706,indirect("'TVC-"&amp;text(month(F$1),"00")&amp;"'!$A:$D"),4,false),1)))</f>
        <v>1</v>
      </c>
      <c r="G706" s="62">
        <f t="shared" si="1411"/>
        <v>1</v>
      </c>
      <c r="H706" s="62">
        <f t="shared" ref="H706:Q706" si="1412">IF(isblank(H$1),,IFERROR(vlookup($A706,indirect("'TVC-"&amp;text(month(H$1),"00")&amp;"'!$A:$D"),4,false),1))</f>
        <v>1</v>
      </c>
      <c r="I706" s="62">
        <f t="shared" si="1412"/>
        <v>1</v>
      </c>
      <c r="J706" s="62">
        <f t="shared" si="1412"/>
        <v>1</v>
      </c>
      <c r="K706" s="62">
        <f t="shared" si="1412"/>
        <v>1</v>
      </c>
      <c r="L706" s="62">
        <f t="shared" si="1412"/>
        <v>1</v>
      </c>
      <c r="M706" s="62">
        <f t="shared" si="1412"/>
        <v>1</v>
      </c>
      <c r="N706" s="62">
        <f t="shared" si="1412"/>
        <v>1</v>
      </c>
      <c r="O706" s="62">
        <f t="shared" si="1412"/>
        <v>1</v>
      </c>
      <c r="P706" s="62" t="str">
        <f t="shared" si="1412"/>
        <v/>
      </c>
      <c r="Q706" s="62" t="str">
        <f t="shared" si="1412"/>
        <v/>
      </c>
      <c r="R706" s="62">
        <f t="shared" si="7"/>
        <v>0</v>
      </c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</row>
    <row r="707" hidden="1">
      <c r="A707" s="60">
        <f>IFERROR(__xludf.DUMMYFUNCTION("""COMPUTED_VALUE"""),13710.0)</f>
        <v>13710</v>
      </c>
      <c r="B707" s="60" t="str">
        <f>IFERROR(__xludf.DUMMYFUNCTION("""COMPUTED_VALUE"""),"Davis, Carlton")</f>
        <v>Davis, Carlton</v>
      </c>
      <c r="C707" s="60" t="str">
        <f>IFERROR(__xludf.DUMMYFUNCTION("""COMPUTED_VALUE"""),"CB")</f>
        <v>CB</v>
      </c>
      <c r="D707" s="60" t="str">
        <f>IFERROR(__xludf.DUMMYFUNCTION("""COMPUTED_VALUE"""),"NEP")</f>
        <v>NEP</v>
      </c>
      <c r="E707" s="62" t="str">
        <f t="shared" si="4"/>
        <v>Carlton Davis</v>
      </c>
      <c r="F707" s="62">
        <f t="shared" ref="F707:G707" si="1413">IF(isblank(F$1),,IF(isblank($A707),,IFERROR(vlookup($A707,indirect("'TVC-"&amp;text(month(F$1),"00")&amp;"'!$A:$D"),4,false),1)))</f>
        <v>1</v>
      </c>
      <c r="G707" s="62">
        <f t="shared" si="1413"/>
        <v>1</v>
      </c>
      <c r="H707" s="62">
        <f t="shared" ref="H707:Q707" si="1414">IF(isblank(H$1),,IFERROR(vlookup($A707,indirect("'TVC-"&amp;text(month(H$1),"00")&amp;"'!$A:$D"),4,false),1))</f>
        <v>1</v>
      </c>
      <c r="I707" s="62">
        <f t="shared" si="1414"/>
        <v>1</v>
      </c>
      <c r="J707" s="62">
        <f t="shared" si="1414"/>
        <v>1</v>
      </c>
      <c r="K707" s="62">
        <f t="shared" si="1414"/>
        <v>1</v>
      </c>
      <c r="L707" s="62">
        <f t="shared" si="1414"/>
        <v>1</v>
      </c>
      <c r="M707" s="62">
        <f t="shared" si="1414"/>
        <v>1</v>
      </c>
      <c r="N707" s="62">
        <f t="shared" si="1414"/>
        <v>1</v>
      </c>
      <c r="O707" s="62">
        <f t="shared" si="1414"/>
        <v>1</v>
      </c>
      <c r="P707" s="62" t="str">
        <f t="shared" si="1414"/>
        <v/>
      </c>
      <c r="Q707" s="62" t="str">
        <f t="shared" si="1414"/>
        <v/>
      </c>
      <c r="R707" s="62">
        <f t="shared" si="7"/>
        <v>0</v>
      </c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</row>
    <row r="708" hidden="1">
      <c r="A708" s="60">
        <f>IFERROR(__xludf.DUMMYFUNCTION("""COMPUTED_VALUE"""),13713.0)</f>
        <v>13713</v>
      </c>
      <c r="B708" s="60" t="str">
        <f>IFERROR(__xludf.DUMMYFUNCTION("""COMPUTED_VALUE"""),"Fitzpatrick, Minkah")</f>
        <v>Fitzpatrick, Minkah</v>
      </c>
      <c r="C708" s="60" t="str">
        <f>IFERROR(__xludf.DUMMYFUNCTION("""COMPUTED_VALUE"""),"S")</f>
        <v>S</v>
      </c>
      <c r="D708" s="60" t="str">
        <f>IFERROR(__xludf.DUMMYFUNCTION("""COMPUTED_VALUE"""),"NYJ")</f>
        <v>NYJ</v>
      </c>
      <c r="E708" s="62" t="str">
        <f t="shared" si="4"/>
        <v>Minkah Fitzpatrick</v>
      </c>
      <c r="F708" s="62">
        <f t="shared" ref="F708:G708" si="1415">IF(isblank(F$1),,IF(isblank($A708),,IFERROR(vlookup($A708,indirect("'TVC-"&amp;text(month(F$1),"00")&amp;"'!$A:$D"),4,false),1)))</f>
        <v>1</v>
      </c>
      <c r="G708" s="62">
        <f t="shared" si="1415"/>
        <v>1</v>
      </c>
      <c r="H708" s="62">
        <f t="shared" ref="H708:Q708" si="1416">IF(isblank(H$1),,IFERROR(vlookup($A708,indirect("'TVC-"&amp;text(month(H$1),"00")&amp;"'!$A:$D"),4,false),1))</f>
        <v>1</v>
      </c>
      <c r="I708" s="62">
        <f t="shared" si="1416"/>
        <v>1</v>
      </c>
      <c r="J708" s="62">
        <f t="shared" si="1416"/>
        <v>1</v>
      </c>
      <c r="K708" s="62">
        <f t="shared" si="1416"/>
        <v>1</v>
      </c>
      <c r="L708" s="62">
        <f t="shared" si="1416"/>
        <v>1</v>
      </c>
      <c r="M708" s="62">
        <f t="shared" si="1416"/>
        <v>1</v>
      </c>
      <c r="N708" s="62">
        <f t="shared" si="1416"/>
        <v>1</v>
      </c>
      <c r="O708" s="62">
        <f t="shared" si="1416"/>
        <v>1</v>
      </c>
      <c r="P708" s="62" t="str">
        <f t="shared" si="1416"/>
        <v/>
      </c>
      <c r="Q708" s="62" t="str">
        <f t="shared" si="1416"/>
        <v/>
      </c>
      <c r="R708" s="62">
        <f t="shared" si="7"/>
        <v>0</v>
      </c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</row>
    <row r="709" hidden="1">
      <c r="A709" s="60">
        <f>IFERROR(__xludf.DUMMYFUNCTION("""COMPUTED_VALUE"""),13714.0)</f>
        <v>13714</v>
      </c>
      <c r="B709" s="60" t="str">
        <f>IFERROR(__xludf.DUMMYFUNCTION("""COMPUTED_VALUE"""),"James, Derwin")</f>
        <v>James, Derwin</v>
      </c>
      <c r="C709" s="60" t="str">
        <f>IFERROR(__xludf.DUMMYFUNCTION("""COMPUTED_VALUE"""),"S")</f>
        <v>S</v>
      </c>
      <c r="D709" s="60" t="str">
        <f>IFERROR(__xludf.DUMMYFUNCTION("""COMPUTED_VALUE"""),"LAC")</f>
        <v>LAC</v>
      </c>
      <c r="E709" s="62" t="str">
        <f t="shared" si="4"/>
        <v>Derwin James</v>
      </c>
      <c r="F709" s="62">
        <f t="shared" ref="F709:G709" si="1417">IF(isblank(F$1),,IF(isblank($A709),,IFERROR(vlookup($A709,indirect("'TVC-"&amp;text(month(F$1),"00")&amp;"'!$A:$D"),4,false),1)))</f>
        <v>1</v>
      </c>
      <c r="G709" s="62">
        <f t="shared" si="1417"/>
        <v>1</v>
      </c>
      <c r="H709" s="62">
        <f t="shared" ref="H709:Q709" si="1418">IF(isblank(H$1),,IFERROR(vlookup($A709,indirect("'TVC-"&amp;text(month(H$1),"00")&amp;"'!$A:$D"),4,false),1))</f>
        <v>1</v>
      </c>
      <c r="I709" s="62">
        <f t="shared" si="1418"/>
        <v>1</v>
      </c>
      <c r="J709" s="62">
        <f t="shared" si="1418"/>
        <v>1</v>
      </c>
      <c r="K709" s="62">
        <f t="shared" si="1418"/>
        <v>1</v>
      </c>
      <c r="L709" s="62">
        <f t="shared" si="1418"/>
        <v>1</v>
      </c>
      <c r="M709" s="62">
        <f t="shared" si="1418"/>
        <v>1</v>
      </c>
      <c r="N709" s="62">
        <f t="shared" si="1418"/>
        <v>1</v>
      </c>
      <c r="O709" s="62">
        <f t="shared" si="1418"/>
        <v>1</v>
      </c>
      <c r="P709" s="62" t="str">
        <f t="shared" si="1418"/>
        <v/>
      </c>
      <c r="Q709" s="62" t="str">
        <f t="shared" si="1418"/>
        <v/>
      </c>
      <c r="R709" s="62">
        <f t="shared" si="7"/>
        <v>0</v>
      </c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</row>
    <row r="710" hidden="1">
      <c r="A710" s="60">
        <f>IFERROR(__xludf.DUMMYFUNCTION("""COMPUTED_VALUE"""),13715.0)</f>
        <v>13715</v>
      </c>
      <c r="B710" s="60" t="str">
        <f>IFERROR(__xludf.DUMMYFUNCTION("""COMPUTED_VALUE"""),"Harrison, Ronnie")</f>
        <v>Harrison, Ronnie</v>
      </c>
      <c r="C710" s="60" t="str">
        <f>IFERROR(__xludf.DUMMYFUNCTION("""COMPUTED_VALUE"""),"S")</f>
        <v>S</v>
      </c>
      <c r="D710" s="60" t="str">
        <f>IFERROR(__xludf.DUMMYFUNCTION("""COMPUTED_VALUE"""),"MIA")</f>
        <v>MIA</v>
      </c>
      <c r="E710" s="62" t="str">
        <f t="shared" si="4"/>
        <v>Ronnie Harrison</v>
      </c>
      <c r="F710" s="62">
        <f t="shared" ref="F710:G710" si="1419">IF(isblank(F$1),,IF(isblank($A710),,IFERROR(vlookup($A710,indirect("'TVC-"&amp;text(month(F$1),"00")&amp;"'!$A:$D"),4,false),1)))</f>
        <v>1</v>
      </c>
      <c r="G710" s="62">
        <f t="shared" si="1419"/>
        <v>1</v>
      </c>
      <c r="H710" s="62">
        <f t="shared" ref="H710:Q710" si="1420">IF(isblank(H$1),,IFERROR(vlookup($A710,indirect("'TVC-"&amp;text(month(H$1),"00")&amp;"'!$A:$D"),4,false),1))</f>
        <v>1</v>
      </c>
      <c r="I710" s="62">
        <f t="shared" si="1420"/>
        <v>1</v>
      </c>
      <c r="J710" s="62">
        <f t="shared" si="1420"/>
        <v>1</v>
      </c>
      <c r="K710" s="62">
        <f t="shared" si="1420"/>
        <v>1</v>
      </c>
      <c r="L710" s="62">
        <f t="shared" si="1420"/>
        <v>1</v>
      </c>
      <c r="M710" s="62">
        <f t="shared" si="1420"/>
        <v>1</v>
      </c>
      <c r="N710" s="62">
        <f t="shared" si="1420"/>
        <v>1</v>
      </c>
      <c r="O710" s="62">
        <f t="shared" si="1420"/>
        <v>1</v>
      </c>
      <c r="P710" s="62" t="str">
        <f t="shared" si="1420"/>
        <v/>
      </c>
      <c r="Q710" s="62" t="str">
        <f t="shared" si="1420"/>
        <v/>
      </c>
      <c r="R710" s="62">
        <f t="shared" si="7"/>
        <v>0</v>
      </c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</row>
    <row r="711" hidden="1">
      <c r="A711" s="60">
        <f>IFERROR(__xludf.DUMMYFUNCTION("""COMPUTED_VALUE"""),13717.0)</f>
        <v>13717</v>
      </c>
      <c r="B711" s="60" t="str">
        <f>IFERROR(__xludf.DUMMYFUNCTION("""COMPUTED_VALUE"""),"Reid, Justin")</f>
        <v>Reid, Justin</v>
      </c>
      <c r="C711" s="60" t="str">
        <f>IFERROR(__xludf.DUMMYFUNCTION("""COMPUTED_VALUE"""),"S")</f>
        <v>S</v>
      </c>
      <c r="D711" s="60" t="str">
        <f>IFERROR(__xludf.DUMMYFUNCTION("""COMPUTED_VALUE"""),"NOS")</f>
        <v>NOS</v>
      </c>
      <c r="E711" s="62" t="str">
        <f t="shared" si="4"/>
        <v>Justin Reid</v>
      </c>
      <c r="F711" s="62">
        <f t="shared" ref="F711:G711" si="1421">IF(isblank(F$1),,IF(isblank($A711),,IFERROR(vlookup($A711,indirect("'TVC-"&amp;text(month(F$1),"00")&amp;"'!$A:$D"),4,false),1)))</f>
        <v>1</v>
      </c>
      <c r="G711" s="62">
        <f t="shared" si="1421"/>
        <v>1</v>
      </c>
      <c r="H711" s="62">
        <f t="shared" ref="H711:Q711" si="1422">IF(isblank(H$1),,IFERROR(vlookup($A711,indirect("'TVC-"&amp;text(month(H$1),"00")&amp;"'!$A:$D"),4,false),1))</f>
        <v>1</v>
      </c>
      <c r="I711" s="62">
        <f t="shared" si="1422"/>
        <v>1</v>
      </c>
      <c r="J711" s="62">
        <f t="shared" si="1422"/>
        <v>1</v>
      </c>
      <c r="K711" s="62">
        <f t="shared" si="1422"/>
        <v>1</v>
      </c>
      <c r="L711" s="62">
        <f t="shared" si="1422"/>
        <v>1</v>
      </c>
      <c r="M711" s="62">
        <f t="shared" si="1422"/>
        <v>1</v>
      </c>
      <c r="N711" s="62">
        <f t="shared" si="1422"/>
        <v>1</v>
      </c>
      <c r="O711" s="62">
        <f t="shared" si="1422"/>
        <v>1</v>
      </c>
      <c r="P711" s="62" t="str">
        <f t="shared" si="1422"/>
        <v/>
      </c>
      <c r="Q711" s="62" t="str">
        <f t="shared" si="1422"/>
        <v/>
      </c>
      <c r="R711" s="62">
        <f t="shared" si="7"/>
        <v>0</v>
      </c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</row>
    <row r="712" hidden="1">
      <c r="A712" s="60">
        <f>IFERROR(__xludf.DUMMYFUNCTION("""COMPUTED_VALUE"""),13718.0)</f>
        <v>13718</v>
      </c>
      <c r="B712" s="60" t="str">
        <f>IFERROR(__xludf.DUMMYFUNCTION("""COMPUTED_VALUE"""),"Carlson, Daniel")</f>
        <v>Carlson, Daniel</v>
      </c>
      <c r="C712" s="60" t="str">
        <f>IFERROR(__xludf.DUMMYFUNCTION("""COMPUTED_VALUE"""),"PK")</f>
        <v>PK</v>
      </c>
      <c r="D712" s="60" t="str">
        <f>IFERROR(__xludf.DUMMYFUNCTION("""COMPUTED_VALUE"""),"NOS")</f>
        <v>NOS</v>
      </c>
      <c r="E712" s="62" t="str">
        <f t="shared" si="4"/>
        <v>Daniel Carlson</v>
      </c>
      <c r="F712" s="62">
        <f t="shared" ref="F712:G712" si="1423">IF(isblank(F$1),,IF(isblank($A712),,IFERROR(vlookup($A712,indirect("'TVC-"&amp;text(month(F$1),"00")&amp;"'!$A:$D"),4,false),1)))</f>
        <v>1</v>
      </c>
      <c r="G712" s="62">
        <f t="shared" si="1423"/>
        <v>1</v>
      </c>
      <c r="H712" s="62">
        <f t="shared" ref="H712:Q712" si="1424">IF(isblank(H$1),,IFERROR(vlookup($A712,indirect("'TVC-"&amp;text(month(H$1),"00")&amp;"'!$A:$D"),4,false),1))</f>
        <v>1</v>
      </c>
      <c r="I712" s="62">
        <f t="shared" si="1424"/>
        <v>1</v>
      </c>
      <c r="J712" s="62">
        <f t="shared" si="1424"/>
        <v>1</v>
      </c>
      <c r="K712" s="62">
        <f t="shared" si="1424"/>
        <v>1</v>
      </c>
      <c r="L712" s="62">
        <f t="shared" si="1424"/>
        <v>1</v>
      </c>
      <c r="M712" s="62">
        <f t="shared" si="1424"/>
        <v>1</v>
      </c>
      <c r="N712" s="62">
        <f t="shared" si="1424"/>
        <v>1</v>
      </c>
      <c r="O712" s="62">
        <f t="shared" si="1424"/>
        <v>1</v>
      </c>
      <c r="P712" s="62" t="str">
        <f t="shared" si="1424"/>
        <v/>
      </c>
      <c r="Q712" s="62" t="str">
        <f t="shared" si="1424"/>
        <v/>
      </c>
      <c r="R712" s="62">
        <f t="shared" si="7"/>
        <v>0</v>
      </c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</row>
    <row r="713" hidden="1">
      <c r="A713" s="60">
        <f>IFERROR(__xludf.DUMMYFUNCTION("""COMPUTED_VALUE"""),13719.0)</f>
        <v>13719</v>
      </c>
      <c r="B713" s="60" t="str">
        <f>IFERROR(__xludf.DUMMYFUNCTION("""COMPUTED_VALUE"""),"Pineiro, Eddy")</f>
        <v>Pineiro, Eddy</v>
      </c>
      <c r="C713" s="60" t="str">
        <f>IFERROR(__xludf.DUMMYFUNCTION("""COMPUTED_VALUE"""),"PK")</f>
        <v>PK</v>
      </c>
      <c r="D713" s="60" t="str">
        <f>IFERROR(__xludf.DUMMYFUNCTION("""COMPUTED_VALUE"""),"SFO")</f>
        <v>SFO</v>
      </c>
      <c r="E713" s="62" t="str">
        <f t="shared" si="4"/>
        <v>Eddy Pineiro</v>
      </c>
      <c r="F713" s="62">
        <f t="shared" ref="F713:G713" si="1425">IF(isblank(F$1),,IF(isblank($A713),,IFERROR(vlookup($A713,indirect("'TVC-"&amp;text(month(F$1),"00")&amp;"'!$A:$D"),4,false),1)))</f>
        <v>1</v>
      </c>
      <c r="G713" s="62">
        <f t="shared" si="1425"/>
        <v>1</v>
      </c>
      <c r="H713" s="62">
        <f t="shared" ref="H713:Q713" si="1426">IF(isblank(H$1),,IFERROR(vlookup($A713,indirect("'TVC-"&amp;text(month(H$1),"00")&amp;"'!$A:$D"),4,false),1))</f>
        <v>1</v>
      </c>
      <c r="I713" s="62">
        <f t="shared" si="1426"/>
        <v>1</v>
      </c>
      <c r="J713" s="62">
        <f t="shared" si="1426"/>
        <v>1</v>
      </c>
      <c r="K713" s="62">
        <f t="shared" si="1426"/>
        <v>1</v>
      </c>
      <c r="L713" s="62">
        <f t="shared" si="1426"/>
        <v>1</v>
      </c>
      <c r="M713" s="62">
        <f t="shared" si="1426"/>
        <v>1</v>
      </c>
      <c r="N713" s="62">
        <f t="shared" si="1426"/>
        <v>1</v>
      </c>
      <c r="O713" s="62">
        <f t="shared" si="1426"/>
        <v>1</v>
      </c>
      <c r="P713" s="62" t="str">
        <f t="shared" si="1426"/>
        <v/>
      </c>
      <c r="Q713" s="62" t="str">
        <f t="shared" si="1426"/>
        <v/>
      </c>
      <c r="R713" s="62">
        <f t="shared" si="7"/>
        <v>0</v>
      </c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</row>
    <row r="714" hidden="1">
      <c r="A714" s="60">
        <f>IFERROR(__xludf.DUMMYFUNCTION("""COMPUTED_VALUE"""),13723.0)</f>
        <v>13723</v>
      </c>
      <c r="B714" s="60" t="str">
        <f>IFERROR(__xludf.DUMMYFUNCTION("""COMPUTED_VALUE"""),"Payne, Da'Ron")</f>
        <v>Payne, Da'Ron</v>
      </c>
      <c r="C714" s="60" t="str">
        <f>IFERROR(__xludf.DUMMYFUNCTION("""COMPUTED_VALUE"""),"DT")</f>
        <v>DT</v>
      </c>
      <c r="D714" s="60" t="str">
        <f>IFERROR(__xludf.DUMMYFUNCTION("""COMPUTED_VALUE"""),"WAS")</f>
        <v>WAS</v>
      </c>
      <c r="E714" s="62" t="str">
        <f t="shared" si="4"/>
        <v>Da'Ron Payne</v>
      </c>
      <c r="F714" s="62">
        <f t="shared" ref="F714:G714" si="1427">IF(isblank(F$1),,IF(isblank($A714),,IFERROR(vlookup($A714,indirect("'TVC-"&amp;text(month(F$1),"00")&amp;"'!$A:$D"),4,false),1)))</f>
        <v>1</v>
      </c>
      <c r="G714" s="62">
        <f t="shared" si="1427"/>
        <v>1</v>
      </c>
      <c r="H714" s="62">
        <f t="shared" ref="H714:Q714" si="1428">IF(isblank(H$1),,IFERROR(vlookup($A714,indirect("'TVC-"&amp;text(month(H$1),"00")&amp;"'!$A:$D"),4,false),1))</f>
        <v>1</v>
      </c>
      <c r="I714" s="62">
        <f t="shared" si="1428"/>
        <v>1</v>
      </c>
      <c r="J714" s="62">
        <f t="shared" si="1428"/>
        <v>1</v>
      </c>
      <c r="K714" s="62">
        <f t="shared" si="1428"/>
        <v>1</v>
      </c>
      <c r="L714" s="62">
        <f t="shared" si="1428"/>
        <v>1</v>
      </c>
      <c r="M714" s="62">
        <f t="shared" si="1428"/>
        <v>1</v>
      </c>
      <c r="N714" s="62">
        <f t="shared" si="1428"/>
        <v>1</v>
      </c>
      <c r="O714" s="62">
        <f t="shared" si="1428"/>
        <v>1</v>
      </c>
      <c r="P714" s="62" t="str">
        <f t="shared" si="1428"/>
        <v/>
      </c>
      <c r="Q714" s="62" t="str">
        <f t="shared" si="1428"/>
        <v/>
      </c>
      <c r="R714" s="62">
        <f t="shared" si="7"/>
        <v>0</v>
      </c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</row>
    <row r="715" hidden="1">
      <c r="A715" s="60">
        <f>IFERROR(__xludf.DUMMYFUNCTION("""COMPUTED_VALUE"""),13726.0)</f>
        <v>13726</v>
      </c>
      <c r="B715" s="60" t="str">
        <f>IFERROR(__xludf.DUMMYFUNCTION("""COMPUTED_VALUE"""),"Edmonds, Chase")</f>
        <v>Edmonds, Chase</v>
      </c>
      <c r="C715" s="60" t="str">
        <f>IFERROR(__xludf.DUMMYFUNCTION("""COMPUTED_VALUE"""),"RB")</f>
        <v>RB</v>
      </c>
      <c r="D715" s="60" t="str">
        <f>IFERROR(__xludf.DUMMYFUNCTION("""COMPUTED_VALUE"""),"WAS")</f>
        <v>WAS</v>
      </c>
      <c r="E715" s="62" t="str">
        <f t="shared" si="4"/>
        <v>Chase Edmonds</v>
      </c>
      <c r="F715" s="62">
        <f t="shared" ref="F715:G715" si="1429">IF(isblank(F$1),,IF(isblank($A715),,IFERROR(vlookup($A715,indirect("'TVC-"&amp;text(month(F$1),"00")&amp;"'!$A:$D"),4,false),1)))</f>
        <v>1</v>
      </c>
      <c r="G715" s="62">
        <f t="shared" si="1429"/>
        <v>1</v>
      </c>
      <c r="H715" s="62">
        <f t="shared" ref="H715:Q715" si="1430">IF(isblank(H$1),,IFERROR(vlookup($A715,indirect("'TVC-"&amp;text(month(H$1),"00")&amp;"'!$A:$D"),4,false),1))</f>
        <v>1</v>
      </c>
      <c r="I715" s="62">
        <f t="shared" si="1430"/>
        <v>1</v>
      </c>
      <c r="J715" s="62">
        <f t="shared" si="1430"/>
        <v>1</v>
      </c>
      <c r="K715" s="62">
        <f t="shared" si="1430"/>
        <v>1</v>
      </c>
      <c r="L715" s="62">
        <f t="shared" si="1430"/>
        <v>1</v>
      </c>
      <c r="M715" s="62">
        <f t="shared" si="1430"/>
        <v>1</v>
      </c>
      <c r="N715" s="62">
        <f t="shared" si="1430"/>
        <v>1</v>
      </c>
      <c r="O715" s="62">
        <f t="shared" si="1430"/>
        <v>1</v>
      </c>
      <c r="P715" s="62" t="str">
        <f t="shared" si="1430"/>
        <v/>
      </c>
      <c r="Q715" s="62" t="str">
        <f t="shared" si="1430"/>
        <v/>
      </c>
      <c r="R715" s="62">
        <f t="shared" si="7"/>
        <v>0</v>
      </c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</row>
    <row r="716" hidden="1">
      <c r="A716" s="60">
        <f>IFERROR(__xludf.DUMMYFUNCTION("""COMPUTED_VALUE"""),13730.0)</f>
        <v>13730</v>
      </c>
      <c r="B716" s="60" t="str">
        <f>IFERROR(__xludf.DUMMYFUNCTION("""COMPUTED_VALUE"""),"Alexander, Jaire")</f>
        <v>Alexander, Jaire</v>
      </c>
      <c r="C716" s="60" t="str">
        <f>IFERROR(__xludf.DUMMYFUNCTION("""COMPUTED_VALUE"""),"CB")</f>
        <v>CB</v>
      </c>
      <c r="D716" s="60" t="str">
        <f>IFERROR(__xludf.DUMMYFUNCTION("""COMPUTED_VALUE"""),"PHI")</f>
        <v>PHI</v>
      </c>
      <c r="E716" s="62" t="str">
        <f t="shared" si="4"/>
        <v>Jaire Alexander</v>
      </c>
      <c r="F716" s="62">
        <f t="shared" ref="F716:G716" si="1431">IF(isblank(F$1),,IF(isblank($A716),,IFERROR(vlookup($A716,indirect("'TVC-"&amp;text(month(F$1),"00")&amp;"'!$A:$D"),4,false),1)))</f>
        <v>1</v>
      </c>
      <c r="G716" s="62">
        <f t="shared" si="1431"/>
        <v>1</v>
      </c>
      <c r="H716" s="62">
        <f t="shared" ref="H716:Q716" si="1432">IF(isblank(H$1),,IFERROR(vlookup($A716,indirect("'TVC-"&amp;text(month(H$1),"00")&amp;"'!$A:$D"),4,false),1))</f>
        <v>1</v>
      </c>
      <c r="I716" s="62">
        <f t="shared" si="1432"/>
        <v>1</v>
      </c>
      <c r="J716" s="62">
        <f t="shared" si="1432"/>
        <v>1</v>
      </c>
      <c r="K716" s="62">
        <f t="shared" si="1432"/>
        <v>1</v>
      </c>
      <c r="L716" s="62">
        <f t="shared" si="1432"/>
        <v>1</v>
      </c>
      <c r="M716" s="62">
        <f t="shared" si="1432"/>
        <v>1</v>
      </c>
      <c r="N716" s="62">
        <f t="shared" si="1432"/>
        <v>1</v>
      </c>
      <c r="O716" s="62">
        <f t="shared" si="1432"/>
        <v>1</v>
      </c>
      <c r="P716" s="62" t="str">
        <f t="shared" si="1432"/>
        <v/>
      </c>
      <c r="Q716" s="62" t="str">
        <f t="shared" si="1432"/>
        <v/>
      </c>
      <c r="R716" s="62">
        <f t="shared" si="7"/>
        <v>0</v>
      </c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</row>
    <row r="717" hidden="1">
      <c r="A717" s="60">
        <f>IFERROR(__xludf.DUMMYFUNCTION("""COMPUTED_VALUE"""),13731.0)</f>
        <v>13731</v>
      </c>
      <c r="B717" s="60" t="str">
        <f>IFERROR(__xludf.DUMMYFUNCTION("""COMPUTED_VALUE"""),"Hughes, Mike")</f>
        <v>Hughes, Mike</v>
      </c>
      <c r="C717" s="60" t="str">
        <f>IFERROR(__xludf.DUMMYFUNCTION("""COMPUTED_VALUE"""),"CB")</f>
        <v>CB</v>
      </c>
      <c r="D717" s="60" t="str">
        <f>IFERROR(__xludf.DUMMYFUNCTION("""COMPUTED_VALUE"""),"ATL")</f>
        <v>ATL</v>
      </c>
      <c r="E717" s="62" t="str">
        <f t="shared" si="4"/>
        <v>Mike Hughes</v>
      </c>
      <c r="F717" s="62">
        <f t="shared" ref="F717:G717" si="1433">IF(isblank(F$1),,IF(isblank($A717),,IFERROR(vlookup($A717,indirect("'TVC-"&amp;text(month(F$1),"00")&amp;"'!$A:$D"),4,false),1)))</f>
        <v>1</v>
      </c>
      <c r="G717" s="62">
        <f t="shared" si="1433"/>
        <v>1</v>
      </c>
      <c r="H717" s="62">
        <f t="shared" ref="H717:Q717" si="1434">IF(isblank(H$1),,IFERROR(vlookup($A717,indirect("'TVC-"&amp;text(month(H$1),"00")&amp;"'!$A:$D"),4,false),1))</f>
        <v>1</v>
      </c>
      <c r="I717" s="62">
        <f t="shared" si="1434"/>
        <v>1</v>
      </c>
      <c r="J717" s="62">
        <f t="shared" si="1434"/>
        <v>1</v>
      </c>
      <c r="K717" s="62">
        <f t="shared" si="1434"/>
        <v>1</v>
      </c>
      <c r="L717" s="62">
        <f t="shared" si="1434"/>
        <v>1</v>
      </c>
      <c r="M717" s="62">
        <f t="shared" si="1434"/>
        <v>1</v>
      </c>
      <c r="N717" s="62">
        <f t="shared" si="1434"/>
        <v>1</v>
      </c>
      <c r="O717" s="62">
        <f t="shared" si="1434"/>
        <v>1</v>
      </c>
      <c r="P717" s="62" t="str">
        <f t="shared" si="1434"/>
        <v/>
      </c>
      <c r="Q717" s="62" t="str">
        <f t="shared" si="1434"/>
        <v/>
      </c>
      <c r="R717" s="62">
        <f t="shared" si="7"/>
        <v>0</v>
      </c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</row>
    <row r="718" hidden="1">
      <c r="A718" s="60">
        <f>IFERROR(__xludf.DUMMYFUNCTION("""COMPUTED_VALUE"""),13736.0)</f>
        <v>13736</v>
      </c>
      <c r="B718" s="60" t="str">
        <f>IFERROR(__xludf.DUMMYFUNCTION("""COMPUTED_VALUE"""),"Stewart, M.J.")</f>
        <v>Stewart, M.J.</v>
      </c>
      <c r="C718" s="60" t="str">
        <f>IFERROR(__xludf.DUMMYFUNCTION("""COMPUTED_VALUE"""),"S")</f>
        <v>S</v>
      </c>
      <c r="D718" s="60" t="str">
        <f>IFERROR(__xludf.DUMMYFUNCTION("""COMPUTED_VALUE"""),"HOU")</f>
        <v>HOU</v>
      </c>
      <c r="E718" s="62" t="str">
        <f t="shared" si="4"/>
        <v>M.J. Stewart</v>
      </c>
      <c r="F718" s="62">
        <f t="shared" ref="F718:G718" si="1435">IF(isblank(F$1),,IF(isblank($A718),,IFERROR(vlookup($A718,indirect("'TVC-"&amp;text(month(F$1),"00")&amp;"'!$A:$D"),4,false),1)))</f>
        <v>1</v>
      </c>
      <c r="G718" s="62">
        <f t="shared" si="1435"/>
        <v>1</v>
      </c>
      <c r="H718" s="62">
        <f t="shared" ref="H718:Q718" si="1436">IF(isblank(H$1),,IFERROR(vlookup($A718,indirect("'TVC-"&amp;text(month(H$1),"00")&amp;"'!$A:$D"),4,false),1))</f>
        <v>1</v>
      </c>
      <c r="I718" s="62">
        <f t="shared" si="1436"/>
        <v>1</v>
      </c>
      <c r="J718" s="62">
        <f t="shared" si="1436"/>
        <v>1</v>
      </c>
      <c r="K718" s="62">
        <f t="shared" si="1436"/>
        <v>1</v>
      </c>
      <c r="L718" s="62">
        <f t="shared" si="1436"/>
        <v>1</v>
      </c>
      <c r="M718" s="62">
        <f t="shared" si="1436"/>
        <v>1</v>
      </c>
      <c r="N718" s="62">
        <f t="shared" si="1436"/>
        <v>1</v>
      </c>
      <c r="O718" s="62">
        <f t="shared" si="1436"/>
        <v>1</v>
      </c>
      <c r="P718" s="62" t="str">
        <f t="shared" si="1436"/>
        <v/>
      </c>
      <c r="Q718" s="62" t="str">
        <f t="shared" si="1436"/>
        <v/>
      </c>
      <c r="R718" s="62">
        <f t="shared" si="7"/>
        <v>0</v>
      </c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</row>
    <row r="719" hidden="1">
      <c r="A719" s="60">
        <f>IFERROR(__xludf.DUMMYFUNCTION("""COMPUTED_VALUE"""),13737.0)</f>
        <v>13737</v>
      </c>
      <c r="B719" s="60" t="str">
        <f>IFERROR(__xludf.DUMMYFUNCTION("""COMPUTED_VALUE"""),"Bates, Jessie")</f>
        <v>Bates, Jessie</v>
      </c>
      <c r="C719" s="60" t="str">
        <f>IFERROR(__xludf.DUMMYFUNCTION("""COMPUTED_VALUE"""),"S")</f>
        <v>S</v>
      </c>
      <c r="D719" s="60" t="str">
        <f>IFERROR(__xludf.DUMMYFUNCTION("""COMPUTED_VALUE"""),"ATL")</f>
        <v>ATL</v>
      </c>
      <c r="E719" s="62" t="str">
        <f t="shared" si="4"/>
        <v>Jessie Bates</v>
      </c>
      <c r="F719" s="62">
        <f t="shared" ref="F719:G719" si="1437">IF(isblank(F$1),,IF(isblank($A719),,IFERROR(vlookup($A719,indirect("'TVC-"&amp;text(month(F$1),"00")&amp;"'!$A:$D"),4,false),1)))</f>
        <v>1</v>
      </c>
      <c r="G719" s="62">
        <f t="shared" si="1437"/>
        <v>1</v>
      </c>
      <c r="H719" s="62">
        <f t="shared" ref="H719:Q719" si="1438">IF(isblank(H$1),,IFERROR(vlookup($A719,indirect("'TVC-"&amp;text(month(H$1),"00")&amp;"'!$A:$D"),4,false),1))</f>
        <v>1</v>
      </c>
      <c r="I719" s="62">
        <f t="shared" si="1438"/>
        <v>1</v>
      </c>
      <c r="J719" s="62">
        <f t="shared" si="1438"/>
        <v>1</v>
      </c>
      <c r="K719" s="62">
        <f t="shared" si="1438"/>
        <v>1</v>
      </c>
      <c r="L719" s="62">
        <f t="shared" si="1438"/>
        <v>1</v>
      </c>
      <c r="M719" s="62">
        <f t="shared" si="1438"/>
        <v>1</v>
      </c>
      <c r="N719" s="62">
        <f t="shared" si="1438"/>
        <v>1</v>
      </c>
      <c r="O719" s="62">
        <f t="shared" si="1438"/>
        <v>1</v>
      </c>
      <c r="P719" s="62" t="str">
        <f t="shared" si="1438"/>
        <v/>
      </c>
      <c r="Q719" s="62" t="str">
        <f t="shared" si="1438"/>
        <v/>
      </c>
      <c r="R719" s="62">
        <f t="shared" si="7"/>
        <v>0</v>
      </c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</row>
    <row r="720" hidden="1">
      <c r="A720" s="60">
        <f>IFERROR(__xludf.DUMMYFUNCTION("""COMPUTED_VALUE"""),13738.0)</f>
        <v>13738</v>
      </c>
      <c r="B720" s="60" t="str">
        <f>IFERROR(__xludf.DUMMYFUNCTION("""COMPUTED_VALUE"""),"Jackson, Donte")</f>
        <v>Jackson, Donte</v>
      </c>
      <c r="C720" s="60" t="str">
        <f>IFERROR(__xludf.DUMMYFUNCTION("""COMPUTED_VALUE"""),"CB")</f>
        <v>CB</v>
      </c>
      <c r="D720" s="60" t="str">
        <f>IFERROR(__xludf.DUMMYFUNCTION("""COMPUTED_VALUE"""),"LAC")</f>
        <v>LAC</v>
      </c>
      <c r="E720" s="62" t="str">
        <f t="shared" si="4"/>
        <v>Donte Jackson</v>
      </c>
      <c r="F720" s="62">
        <f t="shared" ref="F720:G720" si="1439">IF(isblank(F$1),,IF(isblank($A720),,IFERROR(vlookup($A720,indirect("'TVC-"&amp;text(month(F$1),"00")&amp;"'!$A:$D"),4,false),1)))</f>
        <v>1</v>
      </c>
      <c r="G720" s="62">
        <f t="shared" si="1439"/>
        <v>1</v>
      </c>
      <c r="H720" s="62">
        <f t="shared" ref="H720:Q720" si="1440">IF(isblank(H$1),,IFERROR(vlookup($A720,indirect("'TVC-"&amp;text(month(H$1),"00")&amp;"'!$A:$D"),4,false),1))</f>
        <v>1</v>
      </c>
      <c r="I720" s="62">
        <f t="shared" si="1440"/>
        <v>1</v>
      </c>
      <c r="J720" s="62">
        <f t="shared" si="1440"/>
        <v>1</v>
      </c>
      <c r="K720" s="62">
        <f t="shared" si="1440"/>
        <v>1</v>
      </c>
      <c r="L720" s="62">
        <f t="shared" si="1440"/>
        <v>1</v>
      </c>
      <c r="M720" s="62">
        <f t="shared" si="1440"/>
        <v>1</v>
      </c>
      <c r="N720" s="62">
        <f t="shared" si="1440"/>
        <v>1</v>
      </c>
      <c r="O720" s="62">
        <f t="shared" si="1440"/>
        <v>1</v>
      </c>
      <c r="P720" s="62" t="str">
        <f t="shared" si="1440"/>
        <v/>
      </c>
      <c r="Q720" s="62" t="str">
        <f t="shared" si="1440"/>
        <v/>
      </c>
      <c r="R720" s="62">
        <f t="shared" si="7"/>
        <v>0</v>
      </c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</row>
    <row r="721" hidden="1">
      <c r="A721" s="60">
        <f>IFERROR(__xludf.DUMMYFUNCTION("""COMPUTED_VALUE"""),13742.0)</f>
        <v>13742</v>
      </c>
      <c r="B721" s="60" t="str">
        <f>IFERROR(__xludf.DUMMYFUNCTION("""COMPUTED_VALUE"""),"Hill, B.J.")</f>
        <v>Hill, B.J.</v>
      </c>
      <c r="C721" s="60" t="str">
        <f>IFERROR(__xludf.DUMMYFUNCTION("""COMPUTED_VALUE"""),"DT")</f>
        <v>DT</v>
      </c>
      <c r="D721" s="60" t="str">
        <f>IFERROR(__xludf.DUMMYFUNCTION("""COMPUTED_VALUE"""),"CIN")</f>
        <v>CIN</v>
      </c>
      <c r="E721" s="62" t="str">
        <f t="shared" si="4"/>
        <v>B.J. Hill</v>
      </c>
      <c r="F721" s="62">
        <f t="shared" ref="F721:G721" si="1441">IF(isblank(F$1),,IF(isblank($A721),,IFERROR(vlookup($A721,indirect("'TVC-"&amp;text(month(F$1),"00")&amp;"'!$A:$D"),4,false),1)))</f>
        <v>1</v>
      </c>
      <c r="G721" s="62">
        <f t="shared" si="1441"/>
        <v>1</v>
      </c>
      <c r="H721" s="62">
        <f t="shared" ref="H721:Q721" si="1442">IF(isblank(H$1),,IFERROR(vlookup($A721,indirect("'TVC-"&amp;text(month(H$1),"00")&amp;"'!$A:$D"),4,false),1))</f>
        <v>1</v>
      </c>
      <c r="I721" s="62">
        <f t="shared" si="1442"/>
        <v>1</v>
      </c>
      <c r="J721" s="62">
        <f t="shared" si="1442"/>
        <v>1</v>
      </c>
      <c r="K721" s="62">
        <f t="shared" si="1442"/>
        <v>1</v>
      </c>
      <c r="L721" s="62">
        <f t="shared" si="1442"/>
        <v>1</v>
      </c>
      <c r="M721" s="62">
        <f t="shared" si="1442"/>
        <v>1</v>
      </c>
      <c r="N721" s="62">
        <f t="shared" si="1442"/>
        <v>1</v>
      </c>
      <c r="O721" s="62">
        <f t="shared" si="1442"/>
        <v>1</v>
      </c>
      <c r="P721" s="62" t="str">
        <f t="shared" si="1442"/>
        <v/>
      </c>
      <c r="Q721" s="62" t="str">
        <f t="shared" si="1442"/>
        <v/>
      </c>
      <c r="R721" s="62">
        <f t="shared" si="7"/>
        <v>0</v>
      </c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</row>
    <row r="722" hidden="1">
      <c r="A722" s="60">
        <f>IFERROR(__xludf.DUMMYFUNCTION("""COMPUTED_VALUE"""),13743.0)</f>
        <v>13743</v>
      </c>
      <c r="B722" s="60" t="str">
        <f>IFERROR(__xludf.DUMMYFUNCTION("""COMPUTED_VALUE"""),"Warner, Fred")</f>
        <v>Warner, Fred</v>
      </c>
      <c r="C722" s="60" t="str">
        <f>IFERROR(__xludf.DUMMYFUNCTION("""COMPUTED_VALUE"""),"LB")</f>
        <v>LB</v>
      </c>
      <c r="D722" s="60" t="str">
        <f>IFERROR(__xludf.DUMMYFUNCTION("""COMPUTED_VALUE"""),"SFO")</f>
        <v>SFO</v>
      </c>
      <c r="E722" s="62" t="str">
        <f t="shared" si="4"/>
        <v>Fred Warner</v>
      </c>
      <c r="F722" s="62">
        <f t="shared" ref="F722:G722" si="1443">IF(isblank(F$1),,IF(isblank($A722),,IFERROR(vlookup($A722,indirect("'TVC-"&amp;text(month(F$1),"00")&amp;"'!$A:$D"),4,false),1)))</f>
        <v>1</v>
      </c>
      <c r="G722" s="62">
        <f t="shared" si="1443"/>
        <v>1</v>
      </c>
      <c r="H722" s="62">
        <f t="shared" ref="H722:Q722" si="1444">IF(isblank(H$1),,IFERROR(vlookup($A722,indirect("'TVC-"&amp;text(month(H$1),"00")&amp;"'!$A:$D"),4,false),1))</f>
        <v>1</v>
      </c>
      <c r="I722" s="62">
        <f t="shared" si="1444"/>
        <v>1</v>
      </c>
      <c r="J722" s="62">
        <f t="shared" si="1444"/>
        <v>1</v>
      </c>
      <c r="K722" s="62">
        <f t="shared" si="1444"/>
        <v>1</v>
      </c>
      <c r="L722" s="62">
        <f t="shared" si="1444"/>
        <v>1</v>
      </c>
      <c r="M722" s="62">
        <f t="shared" si="1444"/>
        <v>1</v>
      </c>
      <c r="N722" s="62">
        <f t="shared" si="1444"/>
        <v>1</v>
      </c>
      <c r="O722" s="62">
        <f t="shared" si="1444"/>
        <v>1</v>
      </c>
      <c r="P722" s="62" t="str">
        <f t="shared" si="1444"/>
        <v/>
      </c>
      <c r="Q722" s="62" t="str">
        <f t="shared" si="1444"/>
        <v/>
      </c>
      <c r="R722" s="62">
        <f t="shared" si="7"/>
        <v>0</v>
      </c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</row>
    <row r="723" hidden="1">
      <c r="A723" s="60">
        <f>IFERROR(__xludf.DUMMYFUNCTION("""COMPUTED_VALUE"""),13744.0)</f>
        <v>13744</v>
      </c>
      <c r="B723" s="60" t="str">
        <f>IFERROR(__xludf.DUMMYFUNCTION("""COMPUTED_VALUE"""),"Shepherd, Nathan")</f>
        <v>Shepherd, Nathan</v>
      </c>
      <c r="C723" s="60" t="str">
        <f>IFERROR(__xludf.DUMMYFUNCTION("""COMPUTED_VALUE"""),"DT")</f>
        <v>DT</v>
      </c>
      <c r="D723" s="60" t="str">
        <f>IFERROR(__xludf.DUMMYFUNCTION("""COMPUTED_VALUE"""),"NOS")</f>
        <v>NOS</v>
      </c>
      <c r="E723" s="62" t="str">
        <f t="shared" si="4"/>
        <v>Nathan Shepherd</v>
      </c>
      <c r="F723" s="62">
        <f t="shared" ref="F723:G723" si="1445">IF(isblank(F$1),,IF(isblank($A723),,IFERROR(vlookup($A723,indirect("'TVC-"&amp;text(month(F$1),"00")&amp;"'!$A:$D"),4,false),1)))</f>
        <v>1</v>
      </c>
      <c r="G723" s="62">
        <f t="shared" si="1445"/>
        <v>1</v>
      </c>
      <c r="H723" s="62">
        <f t="shared" ref="H723:Q723" si="1446">IF(isblank(H$1),,IFERROR(vlookup($A723,indirect("'TVC-"&amp;text(month(H$1),"00")&amp;"'!$A:$D"),4,false),1))</f>
        <v>1</v>
      </c>
      <c r="I723" s="62">
        <f t="shared" si="1446"/>
        <v>1</v>
      </c>
      <c r="J723" s="62">
        <f t="shared" si="1446"/>
        <v>1</v>
      </c>
      <c r="K723" s="62">
        <f t="shared" si="1446"/>
        <v>1</v>
      </c>
      <c r="L723" s="62">
        <f t="shared" si="1446"/>
        <v>1</v>
      </c>
      <c r="M723" s="62">
        <f t="shared" si="1446"/>
        <v>1</v>
      </c>
      <c r="N723" s="62">
        <f t="shared" si="1446"/>
        <v>1</v>
      </c>
      <c r="O723" s="62">
        <f t="shared" si="1446"/>
        <v>1</v>
      </c>
      <c r="P723" s="62" t="str">
        <f t="shared" si="1446"/>
        <v/>
      </c>
      <c r="Q723" s="62" t="str">
        <f t="shared" si="1446"/>
        <v/>
      </c>
      <c r="R723" s="62">
        <f t="shared" si="7"/>
        <v>0</v>
      </c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</row>
    <row r="724" hidden="1">
      <c r="A724" s="60">
        <f>IFERROR(__xludf.DUMMYFUNCTION("""COMPUTED_VALUE"""),13745.0)</f>
        <v>13745</v>
      </c>
      <c r="B724" s="60" t="str">
        <f>IFERROR(__xludf.DUMMYFUNCTION("""COMPUTED_VALUE"""),"Nnadi, Derrick")</f>
        <v>Nnadi, Derrick</v>
      </c>
      <c r="C724" s="60" t="str">
        <f>IFERROR(__xludf.DUMMYFUNCTION("""COMPUTED_VALUE"""),"DT")</f>
        <v>DT</v>
      </c>
      <c r="D724" s="60" t="str">
        <f>IFERROR(__xludf.DUMMYFUNCTION("""COMPUTED_VALUE"""),"FA")</f>
        <v>FA</v>
      </c>
      <c r="E724" s="62" t="str">
        <f t="shared" si="4"/>
        <v>Derrick Nnadi</v>
      </c>
      <c r="F724" s="62">
        <f t="shared" ref="F724:G724" si="1447">IF(isblank(F$1),,IF(isblank($A724),,IFERROR(vlookup($A724,indirect("'TVC-"&amp;text(month(F$1),"00")&amp;"'!$A:$D"),4,false),1)))</f>
        <v>1</v>
      </c>
      <c r="G724" s="62">
        <f t="shared" si="1447"/>
        <v>1</v>
      </c>
      <c r="H724" s="62">
        <f t="shared" ref="H724:Q724" si="1448">IF(isblank(H$1),,IFERROR(vlookup($A724,indirect("'TVC-"&amp;text(month(H$1),"00")&amp;"'!$A:$D"),4,false),1))</f>
        <v>1</v>
      </c>
      <c r="I724" s="62">
        <f t="shared" si="1448"/>
        <v>1</v>
      </c>
      <c r="J724" s="62">
        <f t="shared" si="1448"/>
        <v>1</v>
      </c>
      <c r="K724" s="62">
        <f t="shared" si="1448"/>
        <v>1</v>
      </c>
      <c r="L724" s="62">
        <f t="shared" si="1448"/>
        <v>1</v>
      </c>
      <c r="M724" s="62">
        <f t="shared" si="1448"/>
        <v>1</v>
      </c>
      <c r="N724" s="62">
        <f t="shared" si="1448"/>
        <v>1</v>
      </c>
      <c r="O724" s="62">
        <f t="shared" si="1448"/>
        <v>1</v>
      </c>
      <c r="P724" s="62" t="str">
        <f t="shared" si="1448"/>
        <v/>
      </c>
      <c r="Q724" s="62" t="str">
        <f t="shared" si="1448"/>
        <v/>
      </c>
      <c r="R724" s="62">
        <f t="shared" si="7"/>
        <v>0</v>
      </c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</row>
    <row r="725" hidden="1">
      <c r="A725" s="60">
        <f>IFERROR(__xludf.DUMMYFUNCTION("""COMPUTED_VALUE"""),13748.0)</f>
        <v>13748</v>
      </c>
      <c r="B725" s="60" t="str">
        <f>IFERROR(__xludf.DUMMYFUNCTION("""COMPUTED_VALUE"""),"Jones, Justin")</f>
        <v>Jones, Justin</v>
      </c>
      <c r="C725" s="60" t="str">
        <f>IFERROR(__xludf.DUMMYFUNCTION("""COMPUTED_VALUE"""),"DT")</f>
        <v>DT</v>
      </c>
      <c r="D725" s="60" t="str">
        <f>IFERROR(__xludf.DUMMYFUNCTION("""COMPUTED_VALUE"""),"FA")</f>
        <v>FA</v>
      </c>
      <c r="E725" s="62" t="str">
        <f t="shared" si="4"/>
        <v>Justin Jones</v>
      </c>
      <c r="F725" s="62">
        <f t="shared" ref="F725:G725" si="1449">IF(isblank(F$1),,IF(isblank($A725),,IFERROR(vlookup($A725,indirect("'TVC-"&amp;text(month(F$1),"00")&amp;"'!$A:$D"),4,false),1)))</f>
        <v>1</v>
      </c>
      <c r="G725" s="62">
        <f t="shared" si="1449"/>
        <v>1</v>
      </c>
      <c r="H725" s="62">
        <f t="shared" ref="H725:Q725" si="1450">IF(isblank(H$1),,IFERROR(vlookup($A725,indirect("'TVC-"&amp;text(month(H$1),"00")&amp;"'!$A:$D"),4,false),1))</f>
        <v>1</v>
      </c>
      <c r="I725" s="62">
        <f t="shared" si="1450"/>
        <v>1</v>
      </c>
      <c r="J725" s="62">
        <f t="shared" si="1450"/>
        <v>1</v>
      </c>
      <c r="K725" s="62">
        <f t="shared" si="1450"/>
        <v>1</v>
      </c>
      <c r="L725" s="62">
        <f t="shared" si="1450"/>
        <v>1</v>
      </c>
      <c r="M725" s="62">
        <f t="shared" si="1450"/>
        <v>1</v>
      </c>
      <c r="N725" s="62">
        <f t="shared" si="1450"/>
        <v>1</v>
      </c>
      <c r="O725" s="62">
        <f t="shared" si="1450"/>
        <v>1</v>
      </c>
      <c r="P725" s="62" t="str">
        <f t="shared" si="1450"/>
        <v/>
      </c>
      <c r="Q725" s="62" t="str">
        <f t="shared" si="1450"/>
        <v/>
      </c>
      <c r="R725" s="62">
        <f t="shared" si="7"/>
        <v>0</v>
      </c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</row>
    <row r="726" hidden="1">
      <c r="A726" s="60">
        <f>IFERROR(__xludf.DUMMYFUNCTION("""COMPUTED_VALUE"""),13750.0)</f>
        <v>13750</v>
      </c>
      <c r="B726" s="60" t="str">
        <f>IFERROR(__xludf.DUMMYFUNCTION("""COMPUTED_VALUE"""),"Burks, Oren")</f>
        <v>Burks, Oren</v>
      </c>
      <c r="C726" s="60" t="str">
        <f>IFERROR(__xludf.DUMMYFUNCTION("""COMPUTED_VALUE"""),"LB")</f>
        <v>LB</v>
      </c>
      <c r="D726" s="60" t="str">
        <f>IFERROR(__xludf.DUMMYFUNCTION("""COMPUTED_VALUE"""),"CIN")</f>
        <v>CIN</v>
      </c>
      <c r="E726" s="62" t="str">
        <f t="shared" si="4"/>
        <v>Oren Burks</v>
      </c>
      <c r="F726" s="62">
        <f t="shared" ref="F726:G726" si="1451">IF(isblank(F$1),,IF(isblank($A726),,IFERROR(vlookup($A726,indirect("'TVC-"&amp;text(month(F$1),"00")&amp;"'!$A:$D"),4,false),1)))</f>
        <v>1</v>
      </c>
      <c r="G726" s="62">
        <f t="shared" si="1451"/>
        <v>1</v>
      </c>
      <c r="H726" s="62">
        <f t="shared" ref="H726:Q726" si="1452">IF(isblank(H$1),,IFERROR(vlookup($A726,indirect("'TVC-"&amp;text(month(H$1),"00")&amp;"'!$A:$D"),4,false),1))</f>
        <v>1</v>
      </c>
      <c r="I726" s="62">
        <f t="shared" si="1452"/>
        <v>1</v>
      </c>
      <c r="J726" s="62">
        <f t="shared" si="1452"/>
        <v>1</v>
      </c>
      <c r="K726" s="62">
        <f t="shared" si="1452"/>
        <v>1</v>
      </c>
      <c r="L726" s="62">
        <f t="shared" si="1452"/>
        <v>1</v>
      </c>
      <c r="M726" s="62">
        <f t="shared" si="1452"/>
        <v>1</v>
      </c>
      <c r="N726" s="62">
        <f t="shared" si="1452"/>
        <v>1</v>
      </c>
      <c r="O726" s="62">
        <f t="shared" si="1452"/>
        <v>1</v>
      </c>
      <c r="P726" s="62" t="str">
        <f t="shared" si="1452"/>
        <v/>
      </c>
      <c r="Q726" s="62" t="str">
        <f t="shared" si="1452"/>
        <v/>
      </c>
      <c r="R726" s="62">
        <f t="shared" si="7"/>
        <v>0</v>
      </c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</row>
    <row r="727" hidden="1">
      <c r="A727" s="60">
        <f>IFERROR(__xludf.DUMMYFUNCTION("""COMPUTED_VALUE"""),13753.0)</f>
        <v>13753</v>
      </c>
      <c r="B727" s="60" t="str">
        <f>IFERROR(__xludf.DUMMYFUNCTION("""COMPUTED_VALUE"""),"Akins, Jordan")</f>
        <v>Akins, Jordan</v>
      </c>
      <c r="C727" s="60" t="str">
        <f>IFERROR(__xludf.DUMMYFUNCTION("""COMPUTED_VALUE"""),"TE")</f>
        <v>TE</v>
      </c>
      <c r="D727" s="60" t="str">
        <f>IFERROR(__xludf.DUMMYFUNCTION("""COMPUTED_VALUE"""),"JAC")</f>
        <v>JAC</v>
      </c>
      <c r="E727" s="62" t="str">
        <f t="shared" si="4"/>
        <v>Jordan Akins</v>
      </c>
      <c r="F727" s="62">
        <f t="shared" ref="F727:G727" si="1453">IF(isblank(F$1),,IF(isblank($A727),,IFERROR(vlookup($A727,indirect("'TVC-"&amp;text(month(F$1),"00")&amp;"'!$A:$D"),4,false),1)))</f>
        <v>1</v>
      </c>
      <c r="G727" s="62">
        <f t="shared" si="1453"/>
        <v>1</v>
      </c>
      <c r="H727" s="62">
        <f t="shared" ref="H727:Q727" si="1454">IF(isblank(H$1),,IFERROR(vlookup($A727,indirect("'TVC-"&amp;text(month(H$1),"00")&amp;"'!$A:$D"),4,false),1))</f>
        <v>1</v>
      </c>
      <c r="I727" s="62">
        <f t="shared" si="1454"/>
        <v>1</v>
      </c>
      <c r="J727" s="62">
        <f t="shared" si="1454"/>
        <v>1</v>
      </c>
      <c r="K727" s="62">
        <f t="shared" si="1454"/>
        <v>1</v>
      </c>
      <c r="L727" s="62">
        <f t="shared" si="1454"/>
        <v>1</v>
      </c>
      <c r="M727" s="62">
        <f t="shared" si="1454"/>
        <v>1</v>
      </c>
      <c r="N727" s="62">
        <f t="shared" si="1454"/>
        <v>1</v>
      </c>
      <c r="O727" s="62">
        <f t="shared" si="1454"/>
        <v>1</v>
      </c>
      <c r="P727" s="62" t="str">
        <f t="shared" si="1454"/>
        <v/>
      </c>
      <c r="Q727" s="62" t="str">
        <f t="shared" si="1454"/>
        <v/>
      </c>
      <c r="R727" s="62">
        <f t="shared" si="7"/>
        <v>0</v>
      </c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</row>
    <row r="728" hidden="1">
      <c r="A728" s="60">
        <f>IFERROR(__xludf.DUMMYFUNCTION("""COMPUTED_VALUE"""),13754.0)</f>
        <v>13754</v>
      </c>
      <c r="B728" s="60" t="str">
        <f>IFERROR(__xludf.DUMMYFUNCTION("""COMPUTED_VALUE"""),"Yiadom, Isaac")</f>
        <v>Yiadom, Isaac</v>
      </c>
      <c r="C728" s="60" t="str">
        <f>IFERROR(__xludf.DUMMYFUNCTION("""COMPUTED_VALUE"""),"CB")</f>
        <v>CB</v>
      </c>
      <c r="D728" s="60" t="str">
        <f>IFERROR(__xludf.DUMMYFUNCTION("""COMPUTED_VALUE"""),"WAS")</f>
        <v>WAS</v>
      </c>
      <c r="E728" s="62" t="str">
        <f t="shared" si="4"/>
        <v>Isaac Yiadom</v>
      </c>
      <c r="F728" s="62">
        <f t="shared" ref="F728:G728" si="1455">IF(isblank(F$1),,IF(isblank($A728),,IFERROR(vlookup($A728,indirect("'TVC-"&amp;text(month(F$1),"00")&amp;"'!$A:$D"),4,false),1)))</f>
        <v>1</v>
      </c>
      <c r="G728" s="62">
        <f t="shared" si="1455"/>
        <v>1</v>
      </c>
      <c r="H728" s="62">
        <f t="shared" ref="H728:Q728" si="1456">IF(isblank(H$1),,IFERROR(vlookup($A728,indirect("'TVC-"&amp;text(month(H$1),"00")&amp;"'!$A:$D"),4,false),1))</f>
        <v>1</v>
      </c>
      <c r="I728" s="62">
        <f t="shared" si="1456"/>
        <v>1</v>
      </c>
      <c r="J728" s="62">
        <f t="shared" si="1456"/>
        <v>1</v>
      </c>
      <c r="K728" s="62">
        <f t="shared" si="1456"/>
        <v>1</v>
      </c>
      <c r="L728" s="62">
        <f t="shared" si="1456"/>
        <v>1</v>
      </c>
      <c r="M728" s="62">
        <f t="shared" si="1456"/>
        <v>1</v>
      </c>
      <c r="N728" s="62">
        <f t="shared" si="1456"/>
        <v>1</v>
      </c>
      <c r="O728" s="62">
        <f t="shared" si="1456"/>
        <v>1</v>
      </c>
      <c r="P728" s="62" t="str">
        <f t="shared" si="1456"/>
        <v/>
      </c>
      <c r="Q728" s="62" t="str">
        <f t="shared" si="1456"/>
        <v/>
      </c>
      <c r="R728" s="62">
        <f t="shared" si="7"/>
        <v>0</v>
      </c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</row>
    <row r="729" hidden="1">
      <c r="A729" s="60">
        <f>IFERROR(__xludf.DUMMYFUNCTION("""COMPUTED_VALUE"""),13755.0)</f>
        <v>13755</v>
      </c>
      <c r="B729" s="60" t="str">
        <f>IFERROR(__xludf.DUMMYFUNCTION("""COMPUTED_VALUE"""),"Holmes, Jalyn")</f>
        <v>Holmes, Jalyn</v>
      </c>
      <c r="C729" s="60" t="str">
        <f>IFERROR(__xludf.DUMMYFUNCTION("""COMPUTED_VALUE"""),"DE")</f>
        <v>DE</v>
      </c>
      <c r="D729" s="60" t="str">
        <f>IFERROR(__xludf.DUMMYFUNCTION("""COMPUTED_VALUE"""),"TEN")</f>
        <v>TEN</v>
      </c>
      <c r="E729" s="62" t="str">
        <f t="shared" si="4"/>
        <v>Jalyn Holmes</v>
      </c>
      <c r="F729" s="62">
        <f t="shared" ref="F729:G729" si="1457">IF(isblank(F$1),,IF(isblank($A729),,IFERROR(vlookup($A729,indirect("'TVC-"&amp;text(month(F$1),"00")&amp;"'!$A:$D"),4,false),1)))</f>
        <v>1</v>
      </c>
      <c r="G729" s="62">
        <f t="shared" si="1457"/>
        <v>1</v>
      </c>
      <c r="H729" s="62">
        <f t="shared" ref="H729:Q729" si="1458">IF(isblank(H$1),,IFERROR(vlookup($A729,indirect("'TVC-"&amp;text(month(H$1),"00")&amp;"'!$A:$D"),4,false),1))</f>
        <v>1</v>
      </c>
      <c r="I729" s="62">
        <f t="shared" si="1458"/>
        <v>1</v>
      </c>
      <c r="J729" s="62">
        <f t="shared" si="1458"/>
        <v>1</v>
      </c>
      <c r="K729" s="62">
        <f t="shared" si="1458"/>
        <v>1</v>
      </c>
      <c r="L729" s="62">
        <f t="shared" si="1458"/>
        <v>1</v>
      </c>
      <c r="M729" s="62">
        <f t="shared" si="1458"/>
        <v>1</v>
      </c>
      <c r="N729" s="62">
        <f t="shared" si="1458"/>
        <v>1</v>
      </c>
      <c r="O729" s="62">
        <f t="shared" si="1458"/>
        <v>1</v>
      </c>
      <c r="P729" s="62" t="str">
        <f t="shared" si="1458"/>
        <v/>
      </c>
      <c r="Q729" s="62" t="str">
        <f t="shared" si="1458"/>
        <v/>
      </c>
      <c r="R729" s="62">
        <f t="shared" si="7"/>
        <v>0</v>
      </c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</row>
    <row r="730" hidden="1">
      <c r="A730" s="60">
        <f>IFERROR(__xludf.DUMMYFUNCTION("""COMPUTED_VALUE"""),13759.0)</f>
        <v>13759</v>
      </c>
      <c r="B730" s="60" t="str">
        <f>IFERROR(__xludf.DUMMYFUNCTION("""COMPUTED_VALUE"""),"Armstrong, Dorance")</f>
        <v>Armstrong, Dorance</v>
      </c>
      <c r="C730" s="60" t="str">
        <f>IFERROR(__xludf.DUMMYFUNCTION("""COMPUTED_VALUE"""),"DE")</f>
        <v>DE</v>
      </c>
      <c r="D730" s="60" t="str">
        <f>IFERROR(__xludf.DUMMYFUNCTION("""COMPUTED_VALUE"""),"WAS")</f>
        <v>WAS</v>
      </c>
      <c r="E730" s="62" t="str">
        <f t="shared" si="4"/>
        <v>Dorance Armstrong</v>
      </c>
      <c r="F730" s="62">
        <f t="shared" ref="F730:G730" si="1459">IF(isblank(F$1),,IF(isblank($A730),,IFERROR(vlookup($A730,indirect("'TVC-"&amp;text(month(F$1),"00")&amp;"'!$A:$D"),4,false),1)))</f>
        <v>1</v>
      </c>
      <c r="G730" s="62">
        <f t="shared" si="1459"/>
        <v>1</v>
      </c>
      <c r="H730" s="62">
        <f t="shared" ref="H730:Q730" si="1460">IF(isblank(H$1),,IFERROR(vlookup($A730,indirect("'TVC-"&amp;text(month(H$1),"00")&amp;"'!$A:$D"),4,false),1))</f>
        <v>1</v>
      </c>
      <c r="I730" s="62">
        <f t="shared" si="1460"/>
        <v>1</v>
      </c>
      <c r="J730" s="62">
        <f t="shared" si="1460"/>
        <v>1</v>
      </c>
      <c r="K730" s="62">
        <f t="shared" si="1460"/>
        <v>1</v>
      </c>
      <c r="L730" s="62">
        <f t="shared" si="1460"/>
        <v>1</v>
      </c>
      <c r="M730" s="62">
        <f t="shared" si="1460"/>
        <v>1</v>
      </c>
      <c r="N730" s="62">
        <f t="shared" si="1460"/>
        <v>1</v>
      </c>
      <c r="O730" s="62">
        <f t="shared" si="1460"/>
        <v>1</v>
      </c>
      <c r="P730" s="62" t="str">
        <f t="shared" si="1460"/>
        <v/>
      </c>
      <c r="Q730" s="62" t="str">
        <f t="shared" si="1460"/>
        <v/>
      </c>
      <c r="R730" s="62">
        <f t="shared" si="7"/>
        <v>0</v>
      </c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</row>
    <row r="731" hidden="1">
      <c r="A731" s="60">
        <f>IFERROR(__xludf.DUMMYFUNCTION("""COMPUTED_VALUE"""),13760.0)</f>
        <v>13760</v>
      </c>
      <c r="B731" s="60" t="str">
        <f>IFERROR(__xludf.DUMMYFUNCTION("""COMPUTED_VALUE"""),"Whitehead, Jordan")</f>
        <v>Whitehead, Jordan</v>
      </c>
      <c r="C731" s="60" t="str">
        <f>IFERROR(__xludf.DUMMYFUNCTION("""COMPUTED_VALUE"""),"S")</f>
        <v>S</v>
      </c>
      <c r="D731" s="60" t="str">
        <f>IFERROR(__xludf.DUMMYFUNCTION("""COMPUTED_VALUE"""),"FA")</f>
        <v>FA</v>
      </c>
      <c r="E731" s="62" t="str">
        <f t="shared" si="4"/>
        <v>Jordan Whitehead</v>
      </c>
      <c r="F731" s="62">
        <f t="shared" ref="F731:G731" si="1461">IF(isblank(F$1),,IF(isblank($A731),,IFERROR(vlookup($A731,indirect("'TVC-"&amp;text(month(F$1),"00")&amp;"'!$A:$D"),4,false),1)))</f>
        <v>1</v>
      </c>
      <c r="G731" s="62">
        <f t="shared" si="1461"/>
        <v>1</v>
      </c>
      <c r="H731" s="62">
        <f t="shared" ref="H731:Q731" si="1462">IF(isblank(H$1),,IFERROR(vlookup($A731,indirect("'TVC-"&amp;text(month(H$1),"00")&amp;"'!$A:$D"),4,false),1))</f>
        <v>1</v>
      </c>
      <c r="I731" s="62">
        <f t="shared" si="1462"/>
        <v>1</v>
      </c>
      <c r="J731" s="62">
        <f t="shared" si="1462"/>
        <v>1</v>
      </c>
      <c r="K731" s="62">
        <f t="shared" si="1462"/>
        <v>1</v>
      </c>
      <c r="L731" s="62">
        <f t="shared" si="1462"/>
        <v>1</v>
      </c>
      <c r="M731" s="62">
        <f t="shared" si="1462"/>
        <v>1</v>
      </c>
      <c r="N731" s="62">
        <f t="shared" si="1462"/>
        <v>1</v>
      </c>
      <c r="O731" s="62">
        <f t="shared" si="1462"/>
        <v>1</v>
      </c>
      <c r="P731" s="62" t="str">
        <f t="shared" si="1462"/>
        <v/>
      </c>
      <c r="Q731" s="62" t="str">
        <f t="shared" si="1462"/>
        <v/>
      </c>
      <c r="R731" s="62">
        <f t="shared" si="7"/>
        <v>0</v>
      </c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</row>
    <row r="732" hidden="1">
      <c r="A732" s="60">
        <f>IFERROR(__xludf.DUMMYFUNCTION("""COMPUTED_VALUE"""),13762.0)</f>
        <v>13762</v>
      </c>
      <c r="B732" s="60" t="str">
        <f>IFERROR(__xludf.DUMMYFUNCTION("""COMPUTED_VALUE"""),"White, Kyzir")</f>
        <v>White, Kyzir</v>
      </c>
      <c r="C732" s="60" t="str">
        <f>IFERROR(__xludf.DUMMYFUNCTION("""COMPUTED_VALUE"""),"LB")</f>
        <v>LB</v>
      </c>
      <c r="D732" s="60" t="str">
        <f>IFERROR(__xludf.DUMMYFUNCTION("""COMPUTED_VALUE"""),"FA")</f>
        <v>FA</v>
      </c>
      <c r="E732" s="62" t="str">
        <f t="shared" si="4"/>
        <v>Kyzir White</v>
      </c>
      <c r="F732" s="62">
        <f t="shared" ref="F732:G732" si="1463">IF(isblank(F$1),,IF(isblank($A732),,IFERROR(vlookup($A732,indirect("'TVC-"&amp;text(month(F$1),"00")&amp;"'!$A:$D"),4,false),1)))</f>
        <v>1</v>
      </c>
      <c r="G732" s="62">
        <f t="shared" si="1463"/>
        <v>1</v>
      </c>
      <c r="H732" s="62">
        <f t="shared" ref="H732:Q732" si="1464">IF(isblank(H$1),,IFERROR(vlookup($A732,indirect("'TVC-"&amp;text(month(H$1),"00")&amp;"'!$A:$D"),4,false),1))</f>
        <v>1</v>
      </c>
      <c r="I732" s="62">
        <f t="shared" si="1464"/>
        <v>1</v>
      </c>
      <c r="J732" s="62">
        <f t="shared" si="1464"/>
        <v>1</v>
      </c>
      <c r="K732" s="62">
        <f t="shared" si="1464"/>
        <v>1</v>
      </c>
      <c r="L732" s="62">
        <f t="shared" si="1464"/>
        <v>1</v>
      </c>
      <c r="M732" s="62">
        <f t="shared" si="1464"/>
        <v>1</v>
      </c>
      <c r="N732" s="62">
        <f t="shared" si="1464"/>
        <v>1</v>
      </c>
      <c r="O732" s="62">
        <f t="shared" si="1464"/>
        <v>1</v>
      </c>
      <c r="P732" s="62" t="str">
        <f t="shared" si="1464"/>
        <v/>
      </c>
      <c r="Q732" s="62" t="str">
        <f t="shared" si="1464"/>
        <v/>
      </c>
      <c r="R732" s="62">
        <f t="shared" si="7"/>
        <v>0</v>
      </c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</row>
    <row r="733" hidden="1">
      <c r="A733" s="60">
        <f>IFERROR(__xludf.DUMMYFUNCTION("""COMPUTED_VALUE"""),13763.0)</f>
        <v>13763</v>
      </c>
      <c r="B733" s="60" t="str">
        <f>IFERROR(__xludf.DUMMYFUNCTION("""COMPUTED_VALUE"""),"Dissly, Will")</f>
        <v>Dissly, Will</v>
      </c>
      <c r="C733" s="60" t="str">
        <f>IFERROR(__xludf.DUMMYFUNCTION("""COMPUTED_VALUE"""),"TE")</f>
        <v>TE</v>
      </c>
      <c r="D733" s="60" t="str">
        <f>IFERROR(__xludf.DUMMYFUNCTION("""COMPUTED_VALUE"""),"FA")</f>
        <v>FA</v>
      </c>
      <c r="E733" s="62" t="str">
        <f t="shared" si="4"/>
        <v>Will Dissly</v>
      </c>
      <c r="F733" s="62">
        <f t="shared" ref="F733:G733" si="1465">IF(isblank(F$1),,IF(isblank($A733),,IFERROR(vlookup($A733,indirect("'TVC-"&amp;text(month(F$1),"00")&amp;"'!$A:$D"),4,false),1)))</f>
        <v>1260</v>
      </c>
      <c r="G733" s="62">
        <f t="shared" si="1465"/>
        <v>1270</v>
      </c>
      <c r="H733" s="62">
        <f t="shared" ref="H733:Q733" si="1466">IF(isblank(H$1),,IFERROR(vlookup($A733,indirect("'TVC-"&amp;text(month(H$1),"00")&amp;"'!$A:$D"),4,false),1))</f>
        <v>1282</v>
      </c>
      <c r="I733" s="62">
        <f t="shared" si="1466"/>
        <v>1</v>
      </c>
      <c r="J733" s="62">
        <f t="shared" si="1466"/>
        <v>927</v>
      </c>
      <c r="K733" s="62">
        <f t="shared" si="1466"/>
        <v>1</v>
      </c>
      <c r="L733" s="62">
        <f t="shared" si="1466"/>
        <v>1</v>
      </c>
      <c r="M733" s="62">
        <f t="shared" si="1466"/>
        <v>1</v>
      </c>
      <c r="N733" s="62">
        <f t="shared" si="1466"/>
        <v>1</v>
      </c>
      <c r="O733" s="62">
        <f t="shared" si="1466"/>
        <v>1</v>
      </c>
      <c r="P733" s="62" t="str">
        <f t="shared" si="1466"/>
        <v/>
      </c>
      <c r="Q733" s="62" t="str">
        <f t="shared" si="1466"/>
        <v/>
      </c>
      <c r="R733" s="62">
        <f t="shared" si="7"/>
        <v>0</v>
      </c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</row>
    <row r="734" hidden="1">
      <c r="A734" s="60">
        <f>IFERROR(__xludf.DUMMYFUNCTION("""COMPUTED_VALUE"""),13764.0)</f>
        <v>13764</v>
      </c>
      <c r="B734" s="60" t="str">
        <f>IFERROR(__xludf.DUMMYFUNCTION("""COMPUTED_VALUE"""),"Johnson, Taron")</f>
        <v>Johnson, Taron</v>
      </c>
      <c r="C734" s="60" t="str">
        <f>IFERROR(__xludf.DUMMYFUNCTION("""COMPUTED_VALUE"""),"CB")</f>
        <v>CB</v>
      </c>
      <c r="D734" s="60" t="str">
        <f>IFERROR(__xludf.DUMMYFUNCTION("""COMPUTED_VALUE"""),"LVR")</f>
        <v>LVR</v>
      </c>
      <c r="E734" s="62" t="str">
        <f t="shared" si="4"/>
        <v>Taron Johnson</v>
      </c>
      <c r="F734" s="62">
        <f t="shared" ref="F734:G734" si="1467">IF(isblank(F$1),,IF(isblank($A734),,IFERROR(vlookup($A734,indirect("'TVC-"&amp;text(month(F$1),"00")&amp;"'!$A:$D"),4,false),1)))</f>
        <v>1</v>
      </c>
      <c r="G734" s="62">
        <f t="shared" si="1467"/>
        <v>1</v>
      </c>
      <c r="H734" s="62">
        <f t="shared" ref="H734:Q734" si="1468">IF(isblank(H$1),,IFERROR(vlookup($A734,indirect("'TVC-"&amp;text(month(H$1),"00")&amp;"'!$A:$D"),4,false),1))</f>
        <v>1</v>
      </c>
      <c r="I734" s="62">
        <f t="shared" si="1468"/>
        <v>1</v>
      </c>
      <c r="J734" s="62">
        <f t="shared" si="1468"/>
        <v>1</v>
      </c>
      <c r="K734" s="62">
        <f t="shared" si="1468"/>
        <v>1</v>
      </c>
      <c r="L734" s="62">
        <f t="shared" si="1468"/>
        <v>1</v>
      </c>
      <c r="M734" s="62">
        <f t="shared" si="1468"/>
        <v>1</v>
      </c>
      <c r="N734" s="62">
        <f t="shared" si="1468"/>
        <v>1</v>
      </c>
      <c r="O734" s="62">
        <f t="shared" si="1468"/>
        <v>1</v>
      </c>
      <c r="P734" s="62" t="str">
        <f t="shared" si="1468"/>
        <v/>
      </c>
      <c r="Q734" s="62" t="str">
        <f t="shared" si="1468"/>
        <v/>
      </c>
      <c r="R734" s="62">
        <f t="shared" si="7"/>
        <v>0</v>
      </c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</row>
    <row r="735" hidden="1">
      <c r="A735" s="60">
        <f>IFERROR(__xludf.DUMMYFUNCTION("""COMPUTED_VALUE"""),13767.0)</f>
        <v>13767</v>
      </c>
      <c r="B735" s="60" t="str">
        <f>IFERROR(__xludf.DUMMYFUNCTION("""COMPUTED_VALUE"""),"Maddox, Avonte")</f>
        <v>Maddox, Avonte</v>
      </c>
      <c r="C735" s="60" t="str">
        <f>IFERROR(__xludf.DUMMYFUNCTION("""COMPUTED_VALUE"""),"S")</f>
        <v>S</v>
      </c>
      <c r="D735" s="60" t="str">
        <f>IFERROR(__xludf.DUMMYFUNCTION("""COMPUTED_VALUE"""),"DET")</f>
        <v>DET</v>
      </c>
      <c r="E735" s="62" t="str">
        <f t="shared" si="4"/>
        <v>Avonte Maddox</v>
      </c>
      <c r="F735" s="62">
        <f t="shared" ref="F735:G735" si="1469">IF(isblank(F$1),,IF(isblank($A735),,IFERROR(vlookup($A735,indirect("'TVC-"&amp;text(month(F$1),"00")&amp;"'!$A:$D"),4,false),1)))</f>
        <v>1</v>
      </c>
      <c r="G735" s="62">
        <f t="shared" si="1469"/>
        <v>1</v>
      </c>
      <c r="H735" s="62">
        <f t="shared" ref="H735:Q735" si="1470">IF(isblank(H$1),,IFERROR(vlookup($A735,indirect("'TVC-"&amp;text(month(H$1),"00")&amp;"'!$A:$D"),4,false),1))</f>
        <v>1</v>
      </c>
      <c r="I735" s="62">
        <f t="shared" si="1470"/>
        <v>1</v>
      </c>
      <c r="J735" s="62">
        <f t="shared" si="1470"/>
        <v>1</v>
      </c>
      <c r="K735" s="62">
        <f t="shared" si="1470"/>
        <v>1</v>
      </c>
      <c r="L735" s="62">
        <f t="shared" si="1470"/>
        <v>1</v>
      </c>
      <c r="M735" s="62">
        <f t="shared" si="1470"/>
        <v>1</v>
      </c>
      <c r="N735" s="62">
        <f t="shared" si="1470"/>
        <v>1</v>
      </c>
      <c r="O735" s="62">
        <f t="shared" si="1470"/>
        <v>1</v>
      </c>
      <c r="P735" s="62" t="str">
        <f t="shared" si="1470"/>
        <v/>
      </c>
      <c r="Q735" s="62" t="str">
        <f t="shared" si="1470"/>
        <v/>
      </c>
      <c r="R735" s="62">
        <f t="shared" si="7"/>
        <v>0</v>
      </c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</row>
    <row r="736" hidden="1">
      <c r="A736" s="60">
        <f>IFERROR(__xludf.DUMMYFUNCTION("""COMPUTED_VALUE"""),13769.0)</f>
        <v>13769</v>
      </c>
      <c r="B736" s="60" t="str">
        <f>IFERROR(__xludf.DUMMYFUNCTION("""COMPUTED_VALUE"""),"Street, Kentavius")</f>
        <v>Street, Kentavius</v>
      </c>
      <c r="C736" s="60" t="str">
        <f>IFERROR(__xludf.DUMMYFUNCTION("""COMPUTED_VALUE"""),"DT")</f>
        <v>DT</v>
      </c>
      <c r="D736" s="60" t="str">
        <f>IFERROR(__xludf.DUMMYFUNCTION("""COMPUTED_VALUE"""),"CHI")</f>
        <v>CHI</v>
      </c>
      <c r="E736" s="62" t="str">
        <f t="shared" si="4"/>
        <v>Kentavius Street</v>
      </c>
      <c r="F736" s="62">
        <f t="shared" ref="F736:G736" si="1471">IF(isblank(F$1),,IF(isblank($A736),,IFERROR(vlookup($A736,indirect("'TVC-"&amp;text(month(F$1),"00")&amp;"'!$A:$D"),4,false),1)))</f>
        <v>1</v>
      </c>
      <c r="G736" s="62">
        <f t="shared" si="1471"/>
        <v>1</v>
      </c>
      <c r="H736" s="62">
        <f t="shared" ref="H736:Q736" si="1472">IF(isblank(H$1),,IFERROR(vlookup($A736,indirect("'TVC-"&amp;text(month(H$1),"00")&amp;"'!$A:$D"),4,false),1))</f>
        <v>1</v>
      </c>
      <c r="I736" s="62">
        <f t="shared" si="1472"/>
        <v>1</v>
      </c>
      <c r="J736" s="62">
        <f t="shared" si="1472"/>
        <v>1</v>
      </c>
      <c r="K736" s="62">
        <f t="shared" si="1472"/>
        <v>1</v>
      </c>
      <c r="L736" s="62">
        <f t="shared" si="1472"/>
        <v>1</v>
      </c>
      <c r="M736" s="62">
        <f t="shared" si="1472"/>
        <v>1</v>
      </c>
      <c r="N736" s="62">
        <f t="shared" si="1472"/>
        <v>1</v>
      </c>
      <c r="O736" s="62">
        <f t="shared" si="1472"/>
        <v>1</v>
      </c>
      <c r="P736" s="62" t="str">
        <f t="shared" si="1472"/>
        <v/>
      </c>
      <c r="Q736" s="62" t="str">
        <f t="shared" si="1472"/>
        <v/>
      </c>
      <c r="R736" s="62">
        <f t="shared" si="7"/>
        <v>0</v>
      </c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</row>
    <row r="737">
      <c r="A737" s="60">
        <f>IFERROR(__xludf.DUMMYFUNCTION("""COMPUTED_VALUE"""),13770.0)</f>
        <v>13770</v>
      </c>
      <c r="B737" s="60" t="str">
        <f>IFERROR(__xludf.DUMMYFUNCTION("""COMPUTED_VALUE"""),"Franklin-Myers, John")</f>
        <v>Franklin-Myers, John</v>
      </c>
      <c r="C737" s="60" t="str">
        <f>IFERROR(__xludf.DUMMYFUNCTION("""COMPUTED_VALUE"""),"DT")</f>
        <v>DT</v>
      </c>
      <c r="D737" s="60" t="str">
        <f>IFERROR(__xludf.DUMMYFUNCTION("""COMPUTED_VALUE"""),"TEN")</f>
        <v>TEN</v>
      </c>
      <c r="E737" s="62" t="str">
        <f t="shared" si="4"/>
        <v>John Franklin-Myers</v>
      </c>
      <c r="F737" s="62">
        <f t="shared" ref="F737:G737" si="1473">IF(isblank(F$1),,IF(isblank($A737),,IFERROR(vlookup($A737,indirect("'TVC-"&amp;text(month(F$1),"00")&amp;"'!$A:$D"),4,false),1)))</f>
        <v>1</v>
      </c>
      <c r="G737" s="62">
        <f t="shared" si="1473"/>
        <v>1</v>
      </c>
      <c r="H737" s="62">
        <f t="shared" ref="H737:Q737" si="1474">IF(isblank(H$1),,IFERROR(vlookup($A737,indirect("'TVC-"&amp;text(month(H$1),"00")&amp;"'!$A:$D"),4,false),1))</f>
        <v>1</v>
      </c>
      <c r="I737" s="62">
        <f t="shared" si="1474"/>
        <v>1</v>
      </c>
      <c r="J737" s="62">
        <f t="shared" si="1474"/>
        <v>1</v>
      </c>
      <c r="K737" s="62">
        <f t="shared" si="1474"/>
        <v>1</v>
      </c>
      <c r="L737" s="62">
        <f t="shared" si="1474"/>
        <v>1</v>
      </c>
      <c r="M737" s="62">
        <f t="shared" si="1474"/>
        <v>1</v>
      </c>
      <c r="N737" s="62">
        <f t="shared" si="1474"/>
        <v>1</v>
      </c>
      <c r="O737" s="62">
        <f t="shared" si="1474"/>
        <v>1</v>
      </c>
      <c r="P737" s="62" t="str">
        <f t="shared" si="1474"/>
        <v/>
      </c>
      <c r="Q737" s="62" t="str">
        <f t="shared" si="1474"/>
        <v/>
      </c>
      <c r="R737" s="62">
        <f t="shared" si="7"/>
        <v>0</v>
      </c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</row>
    <row r="738" hidden="1">
      <c r="A738" s="60">
        <f>IFERROR(__xludf.DUMMYFUNCTION("""COMPUTED_VALUE"""),13772.0)</f>
        <v>13772</v>
      </c>
      <c r="B738" s="60" t="str">
        <f>IFERROR(__xludf.DUMMYFUNCTION("""COMPUTED_VALUE"""),"Schultz, Dalton")</f>
        <v>Schultz, Dalton</v>
      </c>
      <c r="C738" s="60" t="str">
        <f>IFERROR(__xludf.DUMMYFUNCTION("""COMPUTED_VALUE"""),"TE")</f>
        <v>TE</v>
      </c>
      <c r="D738" s="60" t="str">
        <f>IFERROR(__xludf.DUMMYFUNCTION("""COMPUTED_VALUE"""),"HOU")</f>
        <v>HOU</v>
      </c>
      <c r="E738" s="62" t="str">
        <f t="shared" si="4"/>
        <v>Dalton Schultz</v>
      </c>
      <c r="F738" s="62">
        <f t="shared" ref="F738:G738" si="1475">IF(isblank(F$1),,IF(isblank($A738),,IFERROR(vlookup($A738,indirect("'TVC-"&amp;text(month(F$1),"00")&amp;"'!$A:$D"),4,false),1)))</f>
        <v>2611</v>
      </c>
      <c r="G738" s="62">
        <f t="shared" si="1475"/>
        <v>2742</v>
      </c>
      <c r="H738" s="62">
        <f t="shared" ref="H738:Q738" si="1476">IF(isblank(H$1),,IFERROR(vlookup($A738,indirect("'TVC-"&amp;text(month(H$1),"00")&amp;"'!$A:$D"),4,false),1))</f>
        <v>2738</v>
      </c>
      <c r="I738" s="62">
        <f t="shared" si="1476"/>
        <v>2687</v>
      </c>
      <c r="J738" s="62">
        <f t="shared" si="1476"/>
        <v>2693</v>
      </c>
      <c r="K738" s="62">
        <f t="shared" si="1476"/>
        <v>2634</v>
      </c>
      <c r="L738" s="62">
        <f t="shared" si="1476"/>
        <v>2567</v>
      </c>
      <c r="M738" s="62">
        <f t="shared" si="1476"/>
        <v>2569</v>
      </c>
      <c r="N738" s="62">
        <f t="shared" si="1476"/>
        <v>2708</v>
      </c>
      <c r="O738" s="62">
        <f t="shared" si="1476"/>
        <v>1</v>
      </c>
      <c r="P738" s="62" t="str">
        <f t="shared" si="1476"/>
        <v/>
      </c>
      <c r="Q738" s="62" t="str">
        <f t="shared" si="1476"/>
        <v/>
      </c>
      <c r="R738" s="62">
        <f t="shared" si="7"/>
        <v>-2707</v>
      </c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</row>
    <row r="739" hidden="1">
      <c r="A739" s="60">
        <f>IFERROR(__xludf.DUMMYFUNCTION("""COMPUTED_VALUE"""),13774.0)</f>
        <v>13774</v>
      </c>
      <c r="B739" s="60" t="str">
        <f>IFERROR(__xludf.DUMMYFUNCTION("""COMPUTED_VALUE"""),"Reed, D.J.")</f>
        <v>Reed, D.J.</v>
      </c>
      <c r="C739" s="60" t="str">
        <f>IFERROR(__xludf.DUMMYFUNCTION("""COMPUTED_VALUE"""),"CB")</f>
        <v>CB</v>
      </c>
      <c r="D739" s="60" t="str">
        <f>IFERROR(__xludf.DUMMYFUNCTION("""COMPUTED_VALUE"""),"DET")</f>
        <v>DET</v>
      </c>
      <c r="E739" s="62" t="str">
        <f t="shared" si="4"/>
        <v>D.J. Reed</v>
      </c>
      <c r="F739" s="62">
        <f t="shared" ref="F739:G739" si="1477">IF(isblank(F$1),,IF(isblank($A739),,IFERROR(vlookup($A739,indirect("'TVC-"&amp;text(month(F$1),"00")&amp;"'!$A:$D"),4,false),1)))</f>
        <v>1</v>
      </c>
      <c r="G739" s="62">
        <f t="shared" si="1477"/>
        <v>1</v>
      </c>
      <c r="H739" s="62">
        <f t="shared" ref="H739:Q739" si="1478">IF(isblank(H$1),,IFERROR(vlookup($A739,indirect("'TVC-"&amp;text(month(H$1),"00")&amp;"'!$A:$D"),4,false),1))</f>
        <v>1</v>
      </c>
      <c r="I739" s="62">
        <f t="shared" si="1478"/>
        <v>1</v>
      </c>
      <c r="J739" s="62">
        <f t="shared" si="1478"/>
        <v>1</v>
      </c>
      <c r="K739" s="62">
        <f t="shared" si="1478"/>
        <v>1</v>
      </c>
      <c r="L739" s="62">
        <f t="shared" si="1478"/>
        <v>1</v>
      </c>
      <c r="M739" s="62">
        <f t="shared" si="1478"/>
        <v>1</v>
      </c>
      <c r="N739" s="62">
        <f t="shared" si="1478"/>
        <v>1</v>
      </c>
      <c r="O739" s="62">
        <f t="shared" si="1478"/>
        <v>1</v>
      </c>
      <c r="P739" s="62" t="str">
        <f t="shared" si="1478"/>
        <v/>
      </c>
      <c r="Q739" s="62" t="str">
        <f t="shared" si="1478"/>
        <v/>
      </c>
      <c r="R739" s="62">
        <f t="shared" si="7"/>
        <v>0</v>
      </c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</row>
    <row r="740" hidden="1">
      <c r="A740" s="60">
        <f>IFERROR(__xludf.DUMMYFUNCTION("""COMPUTED_VALUE"""),13775.0)</f>
        <v>13775</v>
      </c>
      <c r="B740" s="60" t="str">
        <f>IFERROR(__xludf.DUMMYFUNCTION("""COMPUTED_VALUE"""),"Bentley, Ja'Whaun")</f>
        <v>Bentley, Ja'Whaun</v>
      </c>
      <c r="C740" s="60" t="str">
        <f>IFERROR(__xludf.DUMMYFUNCTION("""COMPUTED_VALUE"""),"LB")</f>
        <v>LB</v>
      </c>
      <c r="D740" s="60" t="str">
        <f>IFERROR(__xludf.DUMMYFUNCTION("""COMPUTED_VALUE"""),"PIT")</f>
        <v>PIT</v>
      </c>
      <c r="E740" s="62" t="str">
        <f t="shared" si="4"/>
        <v>Ja'Whaun Bentley</v>
      </c>
      <c r="F740" s="62">
        <f t="shared" ref="F740:G740" si="1479">IF(isblank(F$1),,IF(isblank($A740),,IFERROR(vlookup($A740,indirect("'TVC-"&amp;text(month(F$1),"00")&amp;"'!$A:$D"),4,false),1)))</f>
        <v>1</v>
      </c>
      <c r="G740" s="62">
        <f t="shared" si="1479"/>
        <v>1</v>
      </c>
      <c r="H740" s="62">
        <f t="shared" ref="H740:Q740" si="1480">IF(isblank(H$1),,IFERROR(vlookup($A740,indirect("'TVC-"&amp;text(month(H$1),"00")&amp;"'!$A:$D"),4,false),1))</f>
        <v>1</v>
      </c>
      <c r="I740" s="62">
        <f t="shared" si="1480"/>
        <v>1</v>
      </c>
      <c r="J740" s="62">
        <f t="shared" si="1480"/>
        <v>1</v>
      </c>
      <c r="K740" s="62">
        <f t="shared" si="1480"/>
        <v>1</v>
      </c>
      <c r="L740" s="62">
        <f t="shared" si="1480"/>
        <v>1</v>
      </c>
      <c r="M740" s="62">
        <f t="shared" si="1480"/>
        <v>1</v>
      </c>
      <c r="N740" s="62">
        <f t="shared" si="1480"/>
        <v>1</v>
      </c>
      <c r="O740" s="62">
        <f t="shared" si="1480"/>
        <v>1</v>
      </c>
      <c r="P740" s="62" t="str">
        <f t="shared" si="1480"/>
        <v/>
      </c>
      <c r="Q740" s="62" t="str">
        <f t="shared" si="1480"/>
        <v/>
      </c>
      <c r="R740" s="62">
        <f t="shared" si="7"/>
        <v>0</v>
      </c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</row>
    <row r="741" hidden="1">
      <c r="A741" s="60">
        <f>IFERROR(__xludf.DUMMYFUNCTION("""COMPUTED_VALUE"""),13776.0)</f>
        <v>13776</v>
      </c>
      <c r="B741" s="60" t="str">
        <f>IFERROR(__xludf.DUMMYFUNCTION("""COMPUTED_VALUE"""),"Watson, Justin")</f>
        <v>Watson, Justin</v>
      </c>
      <c r="C741" s="60" t="str">
        <f>IFERROR(__xludf.DUMMYFUNCTION("""COMPUTED_VALUE"""),"WR")</f>
        <v>WR</v>
      </c>
      <c r="D741" s="60" t="str">
        <f>IFERROR(__xludf.DUMMYFUNCTION("""COMPUTED_VALUE"""),"HOU")</f>
        <v>HOU</v>
      </c>
      <c r="E741" s="62" t="str">
        <f t="shared" si="4"/>
        <v>Justin Watson</v>
      </c>
      <c r="F741" s="62">
        <f t="shared" ref="F741:G741" si="1481">IF(isblank(F$1),,IF(isblank($A741),,IFERROR(vlookup($A741,indirect("'TVC-"&amp;text(month(F$1),"00")&amp;"'!$A:$D"),4,false),1)))</f>
        <v>1</v>
      </c>
      <c r="G741" s="62">
        <f t="shared" si="1481"/>
        <v>1</v>
      </c>
      <c r="H741" s="62">
        <f t="shared" ref="H741:Q741" si="1482">IF(isblank(H$1),,IFERROR(vlookup($A741,indirect("'TVC-"&amp;text(month(H$1),"00")&amp;"'!$A:$D"),4,false),1))</f>
        <v>1</v>
      </c>
      <c r="I741" s="62">
        <f t="shared" si="1482"/>
        <v>1</v>
      </c>
      <c r="J741" s="62">
        <f t="shared" si="1482"/>
        <v>1</v>
      </c>
      <c r="K741" s="62">
        <f t="shared" si="1482"/>
        <v>1</v>
      </c>
      <c r="L741" s="62">
        <f t="shared" si="1482"/>
        <v>1</v>
      </c>
      <c r="M741" s="62">
        <f t="shared" si="1482"/>
        <v>1</v>
      </c>
      <c r="N741" s="62">
        <f t="shared" si="1482"/>
        <v>1</v>
      </c>
      <c r="O741" s="62">
        <f t="shared" si="1482"/>
        <v>1</v>
      </c>
      <c r="P741" s="62" t="str">
        <f t="shared" si="1482"/>
        <v/>
      </c>
      <c r="Q741" s="62" t="str">
        <f t="shared" si="1482"/>
        <v/>
      </c>
      <c r="R741" s="62">
        <f t="shared" si="7"/>
        <v>0</v>
      </c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</row>
    <row r="742" hidden="1">
      <c r="A742" s="60">
        <f>IFERROR(__xludf.DUMMYFUNCTION("""COMPUTED_VALUE"""),13777.0)</f>
        <v>13777</v>
      </c>
      <c r="B742" s="60" t="str">
        <f>IFERROR(__xludf.DUMMYFUNCTION("""COMPUTED_VALUE"""),"Nichols, Bilal")</f>
        <v>Nichols, Bilal</v>
      </c>
      <c r="C742" s="60" t="str">
        <f>IFERROR(__xludf.DUMMYFUNCTION("""COMPUTED_VALUE"""),"DT")</f>
        <v>DT</v>
      </c>
      <c r="D742" s="60" t="str">
        <f>IFERROR(__xludf.DUMMYFUNCTION("""COMPUTED_VALUE"""),"FA")</f>
        <v>FA</v>
      </c>
      <c r="E742" s="62" t="str">
        <f t="shared" si="4"/>
        <v>Bilal Nichols</v>
      </c>
      <c r="F742" s="62">
        <f t="shared" ref="F742:G742" si="1483">IF(isblank(F$1),,IF(isblank($A742),,IFERROR(vlookup($A742,indirect("'TVC-"&amp;text(month(F$1),"00")&amp;"'!$A:$D"),4,false),1)))</f>
        <v>1</v>
      </c>
      <c r="G742" s="62">
        <f t="shared" si="1483"/>
        <v>1</v>
      </c>
      <c r="H742" s="62">
        <f t="shared" ref="H742:Q742" si="1484">IF(isblank(H$1),,IFERROR(vlookup($A742,indirect("'TVC-"&amp;text(month(H$1),"00")&amp;"'!$A:$D"),4,false),1))</f>
        <v>1</v>
      </c>
      <c r="I742" s="62">
        <f t="shared" si="1484"/>
        <v>1</v>
      </c>
      <c r="J742" s="62">
        <f t="shared" si="1484"/>
        <v>1</v>
      </c>
      <c r="K742" s="62">
        <f t="shared" si="1484"/>
        <v>1</v>
      </c>
      <c r="L742" s="62">
        <f t="shared" si="1484"/>
        <v>1</v>
      </c>
      <c r="M742" s="62">
        <f t="shared" si="1484"/>
        <v>1</v>
      </c>
      <c r="N742" s="62">
        <f t="shared" si="1484"/>
        <v>1</v>
      </c>
      <c r="O742" s="62">
        <f t="shared" si="1484"/>
        <v>1</v>
      </c>
      <c r="P742" s="62" t="str">
        <f t="shared" si="1484"/>
        <v/>
      </c>
      <c r="Q742" s="62" t="str">
        <f t="shared" si="1484"/>
        <v/>
      </c>
      <c r="R742" s="62">
        <f t="shared" si="7"/>
        <v>0</v>
      </c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</row>
    <row r="743" hidden="1">
      <c r="A743" s="60">
        <f>IFERROR(__xludf.DUMMYFUNCTION("""COMPUTED_VALUE"""),13778.0)</f>
        <v>13778</v>
      </c>
      <c r="B743" s="60" t="str">
        <f>IFERROR(__xludf.DUMMYFUNCTION("""COMPUTED_VALUE"""),"Flowers, Tre")</f>
        <v>Flowers, Tre</v>
      </c>
      <c r="C743" s="60" t="str">
        <f>IFERROR(__xludf.DUMMYFUNCTION("""COMPUTED_VALUE"""),"CB")</f>
        <v>CB</v>
      </c>
      <c r="D743" s="60" t="str">
        <f>IFERROR(__xludf.DUMMYFUNCTION("""COMPUTED_VALUE"""),"PIT")</f>
        <v>PIT</v>
      </c>
      <c r="E743" s="62" t="str">
        <f t="shared" si="4"/>
        <v>Tre Flowers</v>
      </c>
      <c r="F743" s="62">
        <f t="shared" ref="F743:G743" si="1485">IF(isblank(F$1),,IF(isblank($A743),,IFERROR(vlookup($A743,indirect("'TVC-"&amp;text(month(F$1),"00")&amp;"'!$A:$D"),4,false),1)))</f>
        <v>1</v>
      </c>
      <c r="G743" s="62">
        <f t="shared" si="1485"/>
        <v>1</v>
      </c>
      <c r="H743" s="62">
        <f t="shared" ref="H743:Q743" si="1486">IF(isblank(H$1),,IFERROR(vlookup($A743,indirect("'TVC-"&amp;text(month(H$1),"00")&amp;"'!$A:$D"),4,false),1))</f>
        <v>1</v>
      </c>
      <c r="I743" s="62">
        <f t="shared" si="1486"/>
        <v>1</v>
      </c>
      <c r="J743" s="62">
        <f t="shared" si="1486"/>
        <v>1</v>
      </c>
      <c r="K743" s="62">
        <f t="shared" si="1486"/>
        <v>1</v>
      </c>
      <c r="L743" s="62">
        <f t="shared" si="1486"/>
        <v>1</v>
      </c>
      <c r="M743" s="62">
        <f t="shared" si="1486"/>
        <v>1</v>
      </c>
      <c r="N743" s="62">
        <f t="shared" si="1486"/>
        <v>1</v>
      </c>
      <c r="O743" s="62">
        <f t="shared" si="1486"/>
        <v>1</v>
      </c>
      <c r="P743" s="62" t="str">
        <f t="shared" si="1486"/>
        <v/>
      </c>
      <c r="Q743" s="62" t="str">
        <f t="shared" si="1486"/>
        <v/>
      </c>
      <c r="R743" s="62">
        <f t="shared" si="7"/>
        <v>0</v>
      </c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</row>
    <row r="744" hidden="1">
      <c r="A744" s="60">
        <f>IFERROR(__xludf.DUMMYFUNCTION("""COMPUTED_VALUE"""),13782.0)</f>
        <v>13782</v>
      </c>
      <c r="B744" s="60" t="str">
        <f>IFERROR(__xludf.DUMMYFUNCTION("""COMPUTED_VALUE"""),"Dickson, Michael")</f>
        <v>Dickson, Michael</v>
      </c>
      <c r="C744" s="60" t="str">
        <f>IFERROR(__xludf.DUMMYFUNCTION("""COMPUTED_VALUE"""),"PN")</f>
        <v>PN</v>
      </c>
      <c r="D744" s="60" t="str">
        <f>IFERROR(__xludf.DUMMYFUNCTION("""COMPUTED_VALUE"""),"SEA")</f>
        <v>SEA</v>
      </c>
      <c r="E744" s="62" t="str">
        <f t="shared" si="4"/>
        <v>Michael Dickson</v>
      </c>
      <c r="F744" s="62">
        <f t="shared" ref="F744:G744" si="1487">IF(isblank(F$1),,IF(isblank($A744),,IFERROR(vlookup($A744,indirect("'TVC-"&amp;text(month(F$1),"00")&amp;"'!$A:$D"),4,false),1)))</f>
        <v>1</v>
      </c>
      <c r="G744" s="62">
        <f t="shared" si="1487"/>
        <v>1</v>
      </c>
      <c r="H744" s="62">
        <f t="shared" ref="H744:Q744" si="1488">IF(isblank(H$1),,IFERROR(vlookup($A744,indirect("'TVC-"&amp;text(month(H$1),"00")&amp;"'!$A:$D"),4,false),1))</f>
        <v>1</v>
      </c>
      <c r="I744" s="62">
        <f t="shared" si="1488"/>
        <v>1</v>
      </c>
      <c r="J744" s="62">
        <f t="shared" si="1488"/>
        <v>1</v>
      </c>
      <c r="K744" s="62">
        <f t="shared" si="1488"/>
        <v>1</v>
      </c>
      <c r="L744" s="62">
        <f t="shared" si="1488"/>
        <v>1</v>
      </c>
      <c r="M744" s="62">
        <f t="shared" si="1488"/>
        <v>1</v>
      </c>
      <c r="N744" s="62">
        <f t="shared" si="1488"/>
        <v>1</v>
      </c>
      <c r="O744" s="62">
        <f t="shared" si="1488"/>
        <v>1</v>
      </c>
      <c r="P744" s="62" t="str">
        <f t="shared" si="1488"/>
        <v/>
      </c>
      <c r="Q744" s="62" t="str">
        <f t="shared" si="1488"/>
        <v/>
      </c>
      <c r="R744" s="62">
        <f t="shared" si="7"/>
        <v>0</v>
      </c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</row>
    <row r="745" hidden="1">
      <c r="A745" s="60">
        <f>IFERROR(__xludf.DUMMYFUNCTION("""COMPUTED_VALUE"""),13785.0)</f>
        <v>13785</v>
      </c>
      <c r="B745" s="60" t="str">
        <f>IFERROR(__xludf.DUMMYFUNCTION("""COMPUTED_VALUE"""),"Neal, Siran")</f>
        <v>Neal, Siran</v>
      </c>
      <c r="C745" s="60" t="str">
        <f>IFERROR(__xludf.DUMMYFUNCTION("""COMPUTED_VALUE"""),"CB")</f>
        <v>CB</v>
      </c>
      <c r="D745" s="60" t="str">
        <f>IFERROR(__xludf.DUMMYFUNCTION("""COMPUTED_VALUE"""),"SFO")</f>
        <v>SFO</v>
      </c>
      <c r="E745" s="62" t="str">
        <f t="shared" si="4"/>
        <v>Siran Neal</v>
      </c>
      <c r="F745" s="62">
        <f t="shared" ref="F745:G745" si="1489">IF(isblank(F$1),,IF(isblank($A745),,IFERROR(vlookup($A745,indirect("'TVC-"&amp;text(month(F$1),"00")&amp;"'!$A:$D"),4,false),1)))</f>
        <v>1</v>
      </c>
      <c r="G745" s="62">
        <f t="shared" si="1489"/>
        <v>1</v>
      </c>
      <c r="H745" s="62">
        <f t="shared" ref="H745:Q745" si="1490">IF(isblank(H$1),,IFERROR(vlookup($A745,indirect("'TVC-"&amp;text(month(H$1),"00")&amp;"'!$A:$D"),4,false),1))</f>
        <v>1</v>
      </c>
      <c r="I745" s="62">
        <f t="shared" si="1490"/>
        <v>1</v>
      </c>
      <c r="J745" s="62">
        <f t="shared" si="1490"/>
        <v>1</v>
      </c>
      <c r="K745" s="62">
        <f t="shared" si="1490"/>
        <v>1</v>
      </c>
      <c r="L745" s="62">
        <f t="shared" si="1490"/>
        <v>1</v>
      </c>
      <c r="M745" s="62">
        <f t="shared" si="1490"/>
        <v>1</v>
      </c>
      <c r="N745" s="62">
        <f t="shared" si="1490"/>
        <v>1</v>
      </c>
      <c r="O745" s="62">
        <f t="shared" si="1490"/>
        <v>1</v>
      </c>
      <c r="P745" s="62" t="str">
        <f t="shared" si="1490"/>
        <v/>
      </c>
      <c r="Q745" s="62" t="str">
        <f t="shared" si="1490"/>
        <v/>
      </c>
      <c r="R745" s="62">
        <f t="shared" si="7"/>
        <v>0</v>
      </c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</row>
    <row r="746" hidden="1">
      <c r="A746" s="60">
        <f>IFERROR(__xludf.DUMMYFUNCTION("""COMPUTED_VALUE"""),13791.0)</f>
        <v>13791</v>
      </c>
      <c r="B746" s="60" t="str">
        <f>IFERROR(__xludf.DUMMYFUNCTION("""COMPUTED_VALUE"""),"Scott, J.K.")</f>
        <v>Scott, J.K.</v>
      </c>
      <c r="C746" s="60" t="str">
        <f>IFERROR(__xludf.DUMMYFUNCTION("""COMPUTED_VALUE"""),"PN")</f>
        <v>PN</v>
      </c>
      <c r="D746" s="60" t="str">
        <f>IFERROR(__xludf.DUMMYFUNCTION("""COMPUTED_VALUE"""),"LAC")</f>
        <v>LAC</v>
      </c>
      <c r="E746" s="62" t="str">
        <f t="shared" si="4"/>
        <v>J.K. Scott</v>
      </c>
      <c r="F746" s="62">
        <f t="shared" ref="F746:G746" si="1491">IF(isblank(F$1),,IF(isblank($A746),,IFERROR(vlookup($A746,indirect("'TVC-"&amp;text(month(F$1),"00")&amp;"'!$A:$D"),4,false),1)))</f>
        <v>1</v>
      </c>
      <c r="G746" s="62">
        <f t="shared" si="1491"/>
        <v>1</v>
      </c>
      <c r="H746" s="62">
        <f t="shared" ref="H746:Q746" si="1492">IF(isblank(H$1),,IFERROR(vlookup($A746,indirect("'TVC-"&amp;text(month(H$1),"00")&amp;"'!$A:$D"),4,false),1))</f>
        <v>1</v>
      </c>
      <c r="I746" s="62">
        <f t="shared" si="1492"/>
        <v>1</v>
      </c>
      <c r="J746" s="62">
        <f t="shared" si="1492"/>
        <v>1</v>
      </c>
      <c r="K746" s="62">
        <f t="shared" si="1492"/>
        <v>1</v>
      </c>
      <c r="L746" s="62">
        <f t="shared" si="1492"/>
        <v>1</v>
      </c>
      <c r="M746" s="62">
        <f t="shared" si="1492"/>
        <v>1</v>
      </c>
      <c r="N746" s="62">
        <f t="shared" si="1492"/>
        <v>1</v>
      </c>
      <c r="O746" s="62">
        <f t="shared" si="1492"/>
        <v>1</v>
      </c>
      <c r="P746" s="62" t="str">
        <f t="shared" si="1492"/>
        <v/>
      </c>
      <c r="Q746" s="62" t="str">
        <f t="shared" si="1492"/>
        <v/>
      </c>
      <c r="R746" s="62">
        <f t="shared" si="7"/>
        <v>0</v>
      </c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</row>
    <row r="747" hidden="1">
      <c r="A747" s="60">
        <f>IFERROR(__xludf.DUMMYFUNCTION("""COMPUTED_VALUE"""),13793.0)</f>
        <v>13793</v>
      </c>
      <c r="B747" s="60" t="str">
        <f>IFERROR(__xludf.DUMMYFUNCTION("""COMPUTED_VALUE"""),"Valdes-Scantling, Marquez")</f>
        <v>Valdes-Scantling, Marquez</v>
      </c>
      <c r="C747" s="60" t="str">
        <f>IFERROR(__xludf.DUMMYFUNCTION("""COMPUTED_VALUE"""),"WR")</f>
        <v>WR</v>
      </c>
      <c r="D747" s="60" t="str">
        <f>IFERROR(__xludf.DUMMYFUNCTION("""COMPUTED_VALUE"""),"FA")</f>
        <v>FA</v>
      </c>
      <c r="E747" s="62" t="str">
        <f t="shared" si="4"/>
        <v>Marquez Valdes-Scantling</v>
      </c>
      <c r="F747" s="62">
        <f t="shared" ref="F747:G747" si="1493">IF(isblank(F$1),,IF(isblank($A747),,IFERROR(vlookup($A747,indirect("'TVC-"&amp;text(month(F$1),"00")&amp;"'!$A:$D"),4,false),1)))</f>
        <v>1</v>
      </c>
      <c r="G747" s="62">
        <f t="shared" si="1493"/>
        <v>1</v>
      </c>
      <c r="H747" s="62">
        <f t="shared" ref="H747:Q747" si="1494">IF(isblank(H$1),,IFERROR(vlookup($A747,indirect("'TVC-"&amp;text(month(H$1),"00")&amp;"'!$A:$D"),4,false),1))</f>
        <v>1</v>
      </c>
      <c r="I747" s="62">
        <f t="shared" si="1494"/>
        <v>1</v>
      </c>
      <c r="J747" s="62">
        <f t="shared" si="1494"/>
        <v>1</v>
      </c>
      <c r="K747" s="62">
        <f t="shared" si="1494"/>
        <v>1</v>
      </c>
      <c r="L747" s="62">
        <f t="shared" si="1494"/>
        <v>1</v>
      </c>
      <c r="M747" s="62">
        <f t="shared" si="1494"/>
        <v>1</v>
      </c>
      <c r="N747" s="62">
        <f t="shared" si="1494"/>
        <v>1</v>
      </c>
      <c r="O747" s="62">
        <f t="shared" si="1494"/>
        <v>1</v>
      </c>
      <c r="P747" s="62" t="str">
        <f t="shared" si="1494"/>
        <v/>
      </c>
      <c r="Q747" s="62" t="str">
        <f t="shared" si="1494"/>
        <v/>
      </c>
      <c r="R747" s="62">
        <f t="shared" si="7"/>
        <v>0</v>
      </c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</row>
    <row r="748" hidden="1">
      <c r="A748" s="60">
        <f>IFERROR(__xludf.DUMMYFUNCTION("""COMPUTED_VALUE"""),13798.0)</f>
        <v>13798</v>
      </c>
      <c r="B748" s="60" t="str">
        <f>IFERROR(__xludf.DUMMYFUNCTION("""COMPUTED_VALUE"""),"Fatukasi, Foley")</f>
        <v>Fatukasi, Foley</v>
      </c>
      <c r="C748" s="60" t="str">
        <f>IFERROR(__xludf.DUMMYFUNCTION("""COMPUTED_VALUE"""),"DT")</f>
        <v>DT</v>
      </c>
      <c r="D748" s="60" t="str">
        <f>IFERROR(__xludf.DUMMYFUNCTION("""COMPUTED_VALUE"""),"LVR")</f>
        <v>LVR</v>
      </c>
      <c r="E748" s="62" t="str">
        <f t="shared" si="4"/>
        <v>Foley Fatukasi</v>
      </c>
      <c r="F748" s="62">
        <f t="shared" ref="F748:G748" si="1495">IF(isblank(F$1),,IF(isblank($A748),,IFERROR(vlookup($A748,indirect("'TVC-"&amp;text(month(F$1),"00")&amp;"'!$A:$D"),4,false),1)))</f>
        <v>1</v>
      </c>
      <c r="G748" s="62">
        <f t="shared" si="1495"/>
        <v>1</v>
      </c>
      <c r="H748" s="62">
        <f t="shared" ref="H748:Q748" si="1496">IF(isblank(H$1),,IFERROR(vlookup($A748,indirect("'TVC-"&amp;text(month(H$1),"00")&amp;"'!$A:$D"),4,false),1))</f>
        <v>1</v>
      </c>
      <c r="I748" s="62">
        <f t="shared" si="1496"/>
        <v>1</v>
      </c>
      <c r="J748" s="62">
        <f t="shared" si="1496"/>
        <v>1</v>
      </c>
      <c r="K748" s="62">
        <f t="shared" si="1496"/>
        <v>1</v>
      </c>
      <c r="L748" s="62">
        <f t="shared" si="1496"/>
        <v>1</v>
      </c>
      <c r="M748" s="62">
        <f t="shared" si="1496"/>
        <v>1</v>
      </c>
      <c r="N748" s="62">
        <f t="shared" si="1496"/>
        <v>1</v>
      </c>
      <c r="O748" s="62">
        <f t="shared" si="1496"/>
        <v>1</v>
      </c>
      <c r="P748" s="62" t="str">
        <f t="shared" si="1496"/>
        <v/>
      </c>
      <c r="Q748" s="62" t="str">
        <f t="shared" si="1496"/>
        <v/>
      </c>
      <c r="R748" s="62">
        <f t="shared" si="7"/>
        <v>0</v>
      </c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</row>
    <row r="749" hidden="1">
      <c r="A749" s="60">
        <f>IFERROR(__xludf.DUMMYFUNCTION("""COMPUTED_VALUE"""),13802.0)</f>
        <v>13802</v>
      </c>
      <c r="B749" s="60" t="str">
        <f>IFERROR(__xludf.DUMMYFUNCTION("""COMPUTED_VALUE"""),"Martin, Jake")</f>
        <v>Martin, Jake</v>
      </c>
      <c r="C749" s="60" t="str">
        <f>IFERROR(__xludf.DUMMYFUNCTION("""COMPUTED_VALUE"""),"DE")</f>
        <v>DE</v>
      </c>
      <c r="D749" s="60" t="str">
        <f>IFERROR(__xludf.DUMMYFUNCTION("""COMPUTED_VALUE"""),"TEN")</f>
        <v>TEN</v>
      </c>
      <c r="E749" s="62" t="str">
        <f t="shared" si="4"/>
        <v>Jake Martin</v>
      </c>
      <c r="F749" s="62">
        <f t="shared" ref="F749:G749" si="1497">IF(isblank(F$1),,IF(isblank($A749),,IFERROR(vlookup($A749,indirect("'TVC-"&amp;text(month(F$1),"00")&amp;"'!$A:$D"),4,false),1)))</f>
        <v>1</v>
      </c>
      <c r="G749" s="62">
        <f t="shared" si="1497"/>
        <v>1</v>
      </c>
      <c r="H749" s="62">
        <f t="shared" ref="H749:Q749" si="1498">IF(isblank(H$1),,IFERROR(vlookup($A749,indirect("'TVC-"&amp;text(month(H$1),"00")&amp;"'!$A:$D"),4,false),1))</f>
        <v>1</v>
      </c>
      <c r="I749" s="62">
        <f t="shared" si="1498"/>
        <v>1</v>
      </c>
      <c r="J749" s="62">
        <f t="shared" si="1498"/>
        <v>1</v>
      </c>
      <c r="K749" s="62">
        <f t="shared" si="1498"/>
        <v>1</v>
      </c>
      <c r="L749" s="62">
        <f t="shared" si="1498"/>
        <v>1</v>
      </c>
      <c r="M749" s="62">
        <f t="shared" si="1498"/>
        <v>1</v>
      </c>
      <c r="N749" s="62">
        <f t="shared" si="1498"/>
        <v>1</v>
      </c>
      <c r="O749" s="62">
        <f t="shared" si="1498"/>
        <v>1</v>
      </c>
      <c r="P749" s="62" t="str">
        <f t="shared" si="1498"/>
        <v/>
      </c>
      <c r="Q749" s="62" t="str">
        <f t="shared" si="1498"/>
        <v/>
      </c>
      <c r="R749" s="62">
        <f t="shared" si="7"/>
        <v>0</v>
      </c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</row>
    <row r="750" hidden="1">
      <c r="A750" s="60">
        <f>IFERROR(__xludf.DUMMYFUNCTION("""COMPUTED_VALUE"""),13806.0)</f>
        <v>13806</v>
      </c>
      <c r="B750" s="60" t="str">
        <f>IFERROR(__xludf.DUMMYFUNCTION("""COMPUTED_VALUE"""),"Elliott, DeShon")</f>
        <v>Elliott, DeShon</v>
      </c>
      <c r="C750" s="60" t="str">
        <f>IFERROR(__xludf.DUMMYFUNCTION("""COMPUTED_VALUE"""),"S")</f>
        <v>S</v>
      </c>
      <c r="D750" s="60" t="str">
        <f>IFERROR(__xludf.DUMMYFUNCTION("""COMPUTED_VALUE"""),"PIT")</f>
        <v>PIT</v>
      </c>
      <c r="E750" s="62" t="str">
        <f t="shared" si="4"/>
        <v>DeShon Elliott</v>
      </c>
      <c r="F750" s="62">
        <f t="shared" ref="F750:G750" si="1499">IF(isblank(F$1),,IF(isblank($A750),,IFERROR(vlookup($A750,indirect("'TVC-"&amp;text(month(F$1),"00")&amp;"'!$A:$D"),4,false),1)))</f>
        <v>1</v>
      </c>
      <c r="G750" s="62">
        <f t="shared" si="1499"/>
        <v>1</v>
      </c>
      <c r="H750" s="62">
        <f t="shared" ref="H750:Q750" si="1500">IF(isblank(H$1),,IFERROR(vlookup($A750,indirect("'TVC-"&amp;text(month(H$1),"00")&amp;"'!$A:$D"),4,false),1))</f>
        <v>1</v>
      </c>
      <c r="I750" s="62">
        <f t="shared" si="1500"/>
        <v>1</v>
      </c>
      <c r="J750" s="62">
        <f t="shared" si="1500"/>
        <v>1</v>
      </c>
      <c r="K750" s="62">
        <f t="shared" si="1500"/>
        <v>1</v>
      </c>
      <c r="L750" s="62">
        <f t="shared" si="1500"/>
        <v>1</v>
      </c>
      <c r="M750" s="62">
        <f t="shared" si="1500"/>
        <v>1</v>
      </c>
      <c r="N750" s="62">
        <f t="shared" si="1500"/>
        <v>1</v>
      </c>
      <c r="O750" s="62">
        <f t="shared" si="1500"/>
        <v>1</v>
      </c>
      <c r="P750" s="62" t="str">
        <f t="shared" si="1500"/>
        <v/>
      </c>
      <c r="Q750" s="62" t="str">
        <f t="shared" si="1500"/>
        <v/>
      </c>
      <c r="R750" s="62">
        <f t="shared" si="7"/>
        <v>0</v>
      </c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</row>
    <row r="751" hidden="1">
      <c r="A751" s="60">
        <f>IFERROR(__xludf.DUMMYFUNCTION("""COMPUTED_VALUE"""),13809.0)</f>
        <v>13809</v>
      </c>
      <c r="B751" s="60" t="str">
        <f>IFERROR(__xludf.DUMMYFUNCTION("""COMPUTED_VALUE"""),"Gage, Russell")</f>
        <v>Gage, Russell</v>
      </c>
      <c r="C751" s="60" t="str">
        <f>IFERROR(__xludf.DUMMYFUNCTION("""COMPUTED_VALUE"""),"WR")</f>
        <v>WR</v>
      </c>
      <c r="D751" s="60" t="str">
        <f>IFERROR(__xludf.DUMMYFUNCTION("""COMPUTED_VALUE"""),"SFO")</f>
        <v>SFO</v>
      </c>
      <c r="E751" s="62" t="str">
        <f t="shared" si="4"/>
        <v>Russell Gage</v>
      </c>
      <c r="F751" s="62">
        <f t="shared" ref="F751:G751" si="1501">IF(isblank(F$1),,IF(isblank($A751),,IFERROR(vlookup($A751,indirect("'TVC-"&amp;text(month(F$1),"00")&amp;"'!$A:$D"),4,false),1)))</f>
        <v>1</v>
      </c>
      <c r="G751" s="62">
        <f t="shared" si="1501"/>
        <v>1</v>
      </c>
      <c r="H751" s="62">
        <f t="shared" ref="H751:Q751" si="1502">IF(isblank(H$1),,IFERROR(vlookup($A751,indirect("'TVC-"&amp;text(month(H$1),"00")&amp;"'!$A:$D"),4,false),1))</f>
        <v>1</v>
      </c>
      <c r="I751" s="62">
        <f t="shared" si="1502"/>
        <v>1</v>
      </c>
      <c r="J751" s="62">
        <f t="shared" si="1502"/>
        <v>1</v>
      </c>
      <c r="K751" s="62">
        <f t="shared" si="1502"/>
        <v>1</v>
      </c>
      <c r="L751" s="62">
        <f t="shared" si="1502"/>
        <v>1</v>
      </c>
      <c r="M751" s="62">
        <f t="shared" si="1502"/>
        <v>1</v>
      </c>
      <c r="N751" s="62">
        <f t="shared" si="1502"/>
        <v>1</v>
      </c>
      <c r="O751" s="62">
        <f t="shared" si="1502"/>
        <v>1</v>
      </c>
      <c r="P751" s="62" t="str">
        <f t="shared" si="1502"/>
        <v/>
      </c>
      <c r="Q751" s="62" t="str">
        <f t="shared" si="1502"/>
        <v/>
      </c>
      <c r="R751" s="62">
        <f t="shared" si="7"/>
        <v>0</v>
      </c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</row>
    <row r="752" hidden="1">
      <c r="A752" s="60">
        <f>IFERROR(__xludf.DUMMYFUNCTION("""COMPUTED_VALUE"""),13810.0)</f>
        <v>13810</v>
      </c>
      <c r="B752" s="60" t="str">
        <f>IFERROR(__xludf.DUMMYFUNCTION("""COMPUTED_VALUE"""),"Joseph-Day, Sebastian")</f>
        <v>Joseph-Day, Sebastian</v>
      </c>
      <c r="C752" s="60" t="str">
        <f>IFERROR(__xludf.DUMMYFUNCTION("""COMPUTED_VALUE"""),"DT")</f>
        <v>DT</v>
      </c>
      <c r="D752" s="60" t="str">
        <f>IFERROR(__xludf.DUMMYFUNCTION("""COMPUTED_VALUE"""),"PIT")</f>
        <v>PIT</v>
      </c>
      <c r="E752" s="62" t="str">
        <f t="shared" si="4"/>
        <v>Sebastian Joseph-Day</v>
      </c>
      <c r="F752" s="62">
        <f t="shared" ref="F752:G752" si="1503">IF(isblank(F$1),,IF(isblank($A752),,IFERROR(vlookup($A752,indirect("'TVC-"&amp;text(month(F$1),"00")&amp;"'!$A:$D"),4,false),1)))</f>
        <v>1</v>
      </c>
      <c r="G752" s="62">
        <f t="shared" si="1503"/>
        <v>1</v>
      </c>
      <c r="H752" s="62">
        <f t="shared" ref="H752:Q752" si="1504">IF(isblank(H$1),,IFERROR(vlookup($A752,indirect("'TVC-"&amp;text(month(H$1),"00")&amp;"'!$A:$D"),4,false),1))</f>
        <v>1</v>
      </c>
      <c r="I752" s="62">
        <f t="shared" si="1504"/>
        <v>1</v>
      </c>
      <c r="J752" s="62">
        <f t="shared" si="1504"/>
        <v>1</v>
      </c>
      <c r="K752" s="62">
        <f t="shared" si="1504"/>
        <v>1</v>
      </c>
      <c r="L752" s="62">
        <f t="shared" si="1504"/>
        <v>1</v>
      </c>
      <c r="M752" s="62">
        <f t="shared" si="1504"/>
        <v>1</v>
      </c>
      <c r="N752" s="62">
        <f t="shared" si="1504"/>
        <v>1</v>
      </c>
      <c r="O752" s="62">
        <f t="shared" si="1504"/>
        <v>1</v>
      </c>
      <c r="P752" s="62" t="str">
        <f t="shared" si="1504"/>
        <v/>
      </c>
      <c r="Q752" s="62" t="str">
        <f t="shared" si="1504"/>
        <v/>
      </c>
      <c r="R752" s="62">
        <f t="shared" si="7"/>
        <v>0</v>
      </c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</row>
    <row r="753" hidden="1">
      <c r="A753" s="60">
        <f>IFERROR(__xludf.DUMMYFUNCTION("""COMPUTED_VALUE"""),13811.0)</f>
        <v>13811</v>
      </c>
      <c r="B753" s="60" t="str">
        <f>IFERROR(__xludf.DUMMYFUNCTION("""COMPUTED_VALUE"""),"Smith, Tremon")</f>
        <v>Smith, Tremon</v>
      </c>
      <c r="C753" s="60" t="str">
        <f>IFERROR(__xludf.DUMMYFUNCTION("""COMPUTED_VALUE"""),"CB")</f>
        <v>CB</v>
      </c>
      <c r="D753" s="60" t="str">
        <f>IFERROR(__xludf.DUMMYFUNCTION("""COMPUTED_VALUE"""),"HOU")</f>
        <v>HOU</v>
      </c>
      <c r="E753" s="62" t="str">
        <f t="shared" si="4"/>
        <v>Tremon Smith</v>
      </c>
      <c r="F753" s="62">
        <f t="shared" ref="F753:G753" si="1505">IF(isblank(F$1),,IF(isblank($A753),,IFERROR(vlookup($A753,indirect("'TVC-"&amp;text(month(F$1),"00")&amp;"'!$A:$D"),4,false),1)))</f>
        <v>1</v>
      </c>
      <c r="G753" s="62">
        <f t="shared" si="1505"/>
        <v>1</v>
      </c>
      <c r="H753" s="62">
        <f t="shared" ref="H753:Q753" si="1506">IF(isblank(H$1),,IFERROR(vlookup($A753,indirect("'TVC-"&amp;text(month(H$1),"00")&amp;"'!$A:$D"),4,false),1))</f>
        <v>1</v>
      </c>
      <c r="I753" s="62">
        <f t="shared" si="1506"/>
        <v>1</v>
      </c>
      <c r="J753" s="62">
        <f t="shared" si="1506"/>
        <v>1</v>
      </c>
      <c r="K753" s="62">
        <f t="shared" si="1506"/>
        <v>1</v>
      </c>
      <c r="L753" s="62">
        <f t="shared" si="1506"/>
        <v>1</v>
      </c>
      <c r="M753" s="62">
        <f t="shared" si="1506"/>
        <v>1</v>
      </c>
      <c r="N753" s="62">
        <f t="shared" si="1506"/>
        <v>1</v>
      </c>
      <c r="O753" s="62">
        <f t="shared" si="1506"/>
        <v>1</v>
      </c>
      <c r="P753" s="62" t="str">
        <f t="shared" si="1506"/>
        <v/>
      </c>
      <c r="Q753" s="62" t="str">
        <f t="shared" si="1506"/>
        <v/>
      </c>
      <c r="R753" s="62">
        <f t="shared" si="7"/>
        <v>0</v>
      </c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</row>
    <row r="754" hidden="1">
      <c r="A754" s="60">
        <f>IFERROR(__xludf.DUMMYFUNCTION("""COMPUTED_VALUE"""),13813.0)</f>
        <v>13813</v>
      </c>
      <c r="B754" s="60" t="str">
        <f>IFERROR(__xludf.DUMMYFUNCTION("""COMPUTED_VALUE"""),"Oluokun, Foyesade")</f>
        <v>Oluokun, Foyesade</v>
      </c>
      <c r="C754" s="60" t="str">
        <f>IFERROR(__xludf.DUMMYFUNCTION("""COMPUTED_VALUE"""),"LB")</f>
        <v>LB</v>
      </c>
      <c r="D754" s="60" t="str">
        <f>IFERROR(__xludf.DUMMYFUNCTION("""COMPUTED_VALUE"""),"JAC")</f>
        <v>JAC</v>
      </c>
      <c r="E754" s="62" t="str">
        <f t="shared" si="4"/>
        <v>Foyesade Oluokun</v>
      </c>
      <c r="F754" s="62">
        <f t="shared" ref="F754:G754" si="1507">IF(isblank(F$1),,IF(isblank($A754),,IFERROR(vlookup($A754,indirect("'TVC-"&amp;text(month(F$1),"00")&amp;"'!$A:$D"),4,false),1)))</f>
        <v>1</v>
      </c>
      <c r="G754" s="62">
        <f t="shared" si="1507"/>
        <v>1</v>
      </c>
      <c r="H754" s="62">
        <f t="shared" ref="H754:Q754" si="1508">IF(isblank(H$1),,IFERROR(vlookup($A754,indirect("'TVC-"&amp;text(month(H$1),"00")&amp;"'!$A:$D"),4,false),1))</f>
        <v>1</v>
      </c>
      <c r="I754" s="62">
        <f t="shared" si="1508"/>
        <v>1</v>
      </c>
      <c r="J754" s="62">
        <f t="shared" si="1508"/>
        <v>1</v>
      </c>
      <c r="K754" s="62">
        <f t="shared" si="1508"/>
        <v>1</v>
      </c>
      <c r="L754" s="62">
        <f t="shared" si="1508"/>
        <v>1</v>
      </c>
      <c r="M754" s="62">
        <f t="shared" si="1508"/>
        <v>1</v>
      </c>
      <c r="N754" s="62">
        <f t="shared" si="1508"/>
        <v>1</v>
      </c>
      <c r="O754" s="62">
        <f t="shared" si="1508"/>
        <v>1</v>
      </c>
      <c r="P754" s="62" t="str">
        <f t="shared" si="1508"/>
        <v/>
      </c>
      <c r="Q754" s="62" t="str">
        <f t="shared" si="1508"/>
        <v/>
      </c>
      <c r="R754" s="62">
        <f t="shared" si="7"/>
        <v>0</v>
      </c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</row>
    <row r="755" hidden="1">
      <c r="A755" s="60">
        <f>IFERROR(__xludf.DUMMYFUNCTION("""COMPUTED_VALUE"""),13832.0)</f>
        <v>13832</v>
      </c>
      <c r="B755" s="60" t="str">
        <f>IFERROR(__xludf.DUMMYFUNCTION("""COMPUTED_VALUE"""),"Sanders, Jason")</f>
        <v>Sanders, Jason</v>
      </c>
      <c r="C755" s="60" t="str">
        <f>IFERROR(__xludf.DUMMYFUNCTION("""COMPUTED_VALUE"""),"PK")</f>
        <v>PK</v>
      </c>
      <c r="D755" s="60" t="str">
        <f>IFERROR(__xludf.DUMMYFUNCTION("""COMPUTED_VALUE"""),"NYJ")</f>
        <v>NYJ</v>
      </c>
      <c r="E755" s="62" t="str">
        <f t="shared" si="4"/>
        <v>Jason Sanders</v>
      </c>
      <c r="F755" s="62">
        <f t="shared" ref="F755:G755" si="1509">IF(isblank(F$1),,IF(isblank($A755),,IFERROR(vlookup($A755,indirect("'TVC-"&amp;text(month(F$1),"00")&amp;"'!$A:$D"),4,false),1)))</f>
        <v>1</v>
      </c>
      <c r="G755" s="62">
        <f t="shared" si="1509"/>
        <v>1</v>
      </c>
      <c r="H755" s="62">
        <f t="shared" ref="H755:Q755" si="1510">IF(isblank(H$1),,IFERROR(vlookup($A755,indirect("'TVC-"&amp;text(month(H$1),"00")&amp;"'!$A:$D"),4,false),1))</f>
        <v>1</v>
      </c>
      <c r="I755" s="62">
        <f t="shared" si="1510"/>
        <v>1</v>
      </c>
      <c r="J755" s="62">
        <f t="shared" si="1510"/>
        <v>1</v>
      </c>
      <c r="K755" s="62">
        <f t="shared" si="1510"/>
        <v>1</v>
      </c>
      <c r="L755" s="62">
        <f t="shared" si="1510"/>
        <v>1</v>
      </c>
      <c r="M755" s="62">
        <f t="shared" si="1510"/>
        <v>1</v>
      </c>
      <c r="N755" s="62">
        <f t="shared" si="1510"/>
        <v>1</v>
      </c>
      <c r="O755" s="62">
        <f t="shared" si="1510"/>
        <v>1</v>
      </c>
      <c r="P755" s="62" t="str">
        <f t="shared" si="1510"/>
        <v/>
      </c>
      <c r="Q755" s="62" t="str">
        <f t="shared" si="1510"/>
        <v/>
      </c>
      <c r="R755" s="62">
        <f t="shared" si="7"/>
        <v>0</v>
      </c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</row>
    <row r="756" hidden="1">
      <c r="A756" s="60">
        <f>IFERROR(__xludf.DUMMYFUNCTION("""COMPUTED_VALUE"""),13837.0)</f>
        <v>13837</v>
      </c>
      <c r="B756" s="60" t="str">
        <f>IFERROR(__xludf.DUMMYFUNCTION("""COMPUTED_VALUE"""),"Franklin, Zaire")</f>
        <v>Franklin, Zaire</v>
      </c>
      <c r="C756" s="60" t="str">
        <f>IFERROR(__xludf.DUMMYFUNCTION("""COMPUTED_VALUE"""),"LB")</f>
        <v>LB</v>
      </c>
      <c r="D756" s="60" t="str">
        <f>IFERROR(__xludf.DUMMYFUNCTION("""COMPUTED_VALUE"""),"GBP")</f>
        <v>GBP</v>
      </c>
      <c r="E756" s="62" t="str">
        <f t="shared" si="4"/>
        <v>Zaire Franklin</v>
      </c>
      <c r="F756" s="62">
        <f t="shared" ref="F756:G756" si="1511">IF(isblank(F$1),,IF(isblank($A756),,IFERROR(vlookup($A756,indirect("'TVC-"&amp;text(month(F$1),"00")&amp;"'!$A:$D"),4,false),1)))</f>
        <v>1</v>
      </c>
      <c r="G756" s="62">
        <f t="shared" si="1511"/>
        <v>1</v>
      </c>
      <c r="H756" s="62">
        <f t="shared" ref="H756:Q756" si="1512">IF(isblank(H$1),,IFERROR(vlookup($A756,indirect("'TVC-"&amp;text(month(H$1),"00")&amp;"'!$A:$D"),4,false),1))</f>
        <v>1</v>
      </c>
      <c r="I756" s="62">
        <f t="shared" si="1512"/>
        <v>1</v>
      </c>
      <c r="J756" s="62">
        <f t="shared" si="1512"/>
        <v>1</v>
      </c>
      <c r="K756" s="62">
        <f t="shared" si="1512"/>
        <v>1</v>
      </c>
      <c r="L756" s="62">
        <f t="shared" si="1512"/>
        <v>1</v>
      </c>
      <c r="M756" s="62">
        <f t="shared" si="1512"/>
        <v>1</v>
      </c>
      <c r="N756" s="62">
        <f t="shared" si="1512"/>
        <v>1</v>
      </c>
      <c r="O756" s="62">
        <f t="shared" si="1512"/>
        <v>1</v>
      </c>
      <c r="P756" s="62" t="str">
        <f t="shared" si="1512"/>
        <v/>
      </c>
      <c r="Q756" s="62" t="str">
        <f t="shared" si="1512"/>
        <v/>
      </c>
      <c r="R756" s="62">
        <f t="shared" si="7"/>
        <v>0</v>
      </c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</row>
    <row r="757" hidden="1">
      <c r="A757" s="60">
        <f>IFERROR(__xludf.DUMMYFUNCTION("""COMPUTED_VALUE"""),13839.0)</f>
        <v>13839</v>
      </c>
      <c r="B757" s="60" t="str">
        <f>IFERROR(__xludf.DUMMYFUNCTION("""COMPUTED_VALUE"""),"Sieler, Zach")</f>
        <v>Sieler, Zach</v>
      </c>
      <c r="C757" s="60" t="str">
        <f>IFERROR(__xludf.DUMMYFUNCTION("""COMPUTED_VALUE"""),"DT")</f>
        <v>DT</v>
      </c>
      <c r="D757" s="60" t="str">
        <f>IFERROR(__xludf.DUMMYFUNCTION("""COMPUTED_VALUE"""),"MIA")</f>
        <v>MIA</v>
      </c>
      <c r="E757" s="62" t="str">
        <f t="shared" si="4"/>
        <v>Zach Sieler</v>
      </c>
      <c r="F757" s="62">
        <f t="shared" ref="F757:G757" si="1513">IF(isblank(F$1),,IF(isblank($A757),,IFERROR(vlookup($A757,indirect("'TVC-"&amp;text(month(F$1),"00")&amp;"'!$A:$D"),4,false),1)))</f>
        <v>1</v>
      </c>
      <c r="G757" s="62">
        <f t="shared" si="1513"/>
        <v>1</v>
      </c>
      <c r="H757" s="62">
        <f t="shared" ref="H757:Q757" si="1514">IF(isblank(H$1),,IFERROR(vlookup($A757,indirect("'TVC-"&amp;text(month(H$1),"00")&amp;"'!$A:$D"),4,false),1))</f>
        <v>1</v>
      </c>
      <c r="I757" s="62">
        <f t="shared" si="1514"/>
        <v>1</v>
      </c>
      <c r="J757" s="62">
        <f t="shared" si="1514"/>
        <v>1</v>
      </c>
      <c r="K757" s="62">
        <f t="shared" si="1514"/>
        <v>1</v>
      </c>
      <c r="L757" s="62">
        <f t="shared" si="1514"/>
        <v>1</v>
      </c>
      <c r="M757" s="62">
        <f t="shared" si="1514"/>
        <v>1</v>
      </c>
      <c r="N757" s="62">
        <f t="shared" si="1514"/>
        <v>1</v>
      </c>
      <c r="O757" s="62">
        <f t="shared" si="1514"/>
        <v>1</v>
      </c>
      <c r="P757" s="62" t="str">
        <f t="shared" si="1514"/>
        <v/>
      </c>
      <c r="Q757" s="62" t="str">
        <f t="shared" si="1514"/>
        <v/>
      </c>
      <c r="R757" s="62">
        <f t="shared" si="7"/>
        <v>0</v>
      </c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</row>
    <row r="758" hidden="1">
      <c r="A758" s="60">
        <f>IFERROR(__xludf.DUMMYFUNCTION("""COMPUTED_VALUE"""),13844.0)</f>
        <v>13844</v>
      </c>
      <c r="B758" s="60" t="str">
        <f>IFERROR(__xludf.DUMMYFUNCTION("""COMPUTED_VALUE"""),"Cooke, Logan")</f>
        <v>Cooke, Logan</v>
      </c>
      <c r="C758" s="60" t="str">
        <f>IFERROR(__xludf.DUMMYFUNCTION("""COMPUTED_VALUE"""),"PN")</f>
        <v>PN</v>
      </c>
      <c r="D758" s="60" t="str">
        <f>IFERROR(__xludf.DUMMYFUNCTION("""COMPUTED_VALUE"""),"JAC")</f>
        <v>JAC</v>
      </c>
      <c r="E758" s="62" t="str">
        <f t="shared" si="4"/>
        <v>Logan Cooke</v>
      </c>
      <c r="F758" s="62">
        <f t="shared" ref="F758:G758" si="1515">IF(isblank(F$1),,IF(isblank($A758),,IFERROR(vlookup($A758,indirect("'TVC-"&amp;text(month(F$1),"00")&amp;"'!$A:$D"),4,false),1)))</f>
        <v>1</v>
      </c>
      <c r="G758" s="62">
        <f t="shared" si="1515"/>
        <v>1</v>
      </c>
      <c r="H758" s="62">
        <f t="shared" ref="H758:Q758" si="1516">IF(isblank(H$1),,IFERROR(vlookup($A758,indirect("'TVC-"&amp;text(month(H$1),"00")&amp;"'!$A:$D"),4,false),1))</f>
        <v>1</v>
      </c>
      <c r="I758" s="62">
        <f t="shared" si="1516"/>
        <v>1</v>
      </c>
      <c r="J758" s="62">
        <f t="shared" si="1516"/>
        <v>1</v>
      </c>
      <c r="K758" s="62">
        <f t="shared" si="1516"/>
        <v>1</v>
      </c>
      <c r="L758" s="62">
        <f t="shared" si="1516"/>
        <v>1</v>
      </c>
      <c r="M758" s="62">
        <f t="shared" si="1516"/>
        <v>1</v>
      </c>
      <c r="N758" s="62">
        <f t="shared" si="1516"/>
        <v>1</v>
      </c>
      <c r="O758" s="62">
        <f t="shared" si="1516"/>
        <v>1</v>
      </c>
      <c r="P758" s="62" t="str">
        <f t="shared" si="1516"/>
        <v/>
      </c>
      <c r="Q758" s="62" t="str">
        <f t="shared" si="1516"/>
        <v/>
      </c>
      <c r="R758" s="62">
        <f t="shared" si="7"/>
        <v>0</v>
      </c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</row>
    <row r="759" hidden="1">
      <c r="A759" s="60">
        <f>IFERROR(__xludf.DUMMYFUNCTION("""COMPUTED_VALUE"""),13848.0)</f>
        <v>13848</v>
      </c>
      <c r="B759" s="60" t="str">
        <f>IFERROR(__xludf.DUMMYFUNCTION("""COMPUTED_VALUE"""),"Johnston, Cam")</f>
        <v>Johnston, Cam</v>
      </c>
      <c r="C759" s="60" t="str">
        <f>IFERROR(__xludf.DUMMYFUNCTION("""COMPUTED_VALUE"""),"PN")</f>
        <v>PN</v>
      </c>
      <c r="D759" s="60" t="str">
        <f>IFERROR(__xludf.DUMMYFUNCTION("""COMPUTED_VALUE"""),"PIT")</f>
        <v>PIT</v>
      </c>
      <c r="E759" s="62" t="str">
        <f t="shared" si="4"/>
        <v>Cam Johnston</v>
      </c>
      <c r="F759" s="62">
        <f t="shared" ref="F759:G759" si="1517">IF(isblank(F$1),,IF(isblank($A759),,IFERROR(vlookup($A759,indirect("'TVC-"&amp;text(month(F$1),"00")&amp;"'!$A:$D"),4,false),1)))</f>
        <v>1</v>
      </c>
      <c r="G759" s="62">
        <f t="shared" si="1517"/>
        <v>1</v>
      </c>
      <c r="H759" s="62">
        <f t="shared" ref="H759:Q759" si="1518">IF(isblank(H$1),,IFERROR(vlookup($A759,indirect("'TVC-"&amp;text(month(H$1),"00")&amp;"'!$A:$D"),4,false),1))</f>
        <v>1</v>
      </c>
      <c r="I759" s="62">
        <f t="shared" si="1518"/>
        <v>1</v>
      </c>
      <c r="J759" s="62">
        <f t="shared" si="1518"/>
        <v>1</v>
      </c>
      <c r="K759" s="62">
        <f t="shared" si="1518"/>
        <v>1</v>
      </c>
      <c r="L759" s="62">
        <f t="shared" si="1518"/>
        <v>1</v>
      </c>
      <c r="M759" s="62">
        <f t="shared" si="1518"/>
        <v>1</v>
      </c>
      <c r="N759" s="62">
        <f t="shared" si="1518"/>
        <v>1</v>
      </c>
      <c r="O759" s="62">
        <f t="shared" si="1518"/>
        <v>1</v>
      </c>
      <c r="P759" s="62" t="str">
        <f t="shared" si="1518"/>
        <v/>
      </c>
      <c r="Q759" s="62" t="str">
        <f t="shared" si="1518"/>
        <v/>
      </c>
      <c r="R759" s="62">
        <f t="shared" si="7"/>
        <v>0</v>
      </c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</row>
    <row r="760" hidden="1">
      <c r="A760" s="60">
        <f>IFERROR(__xludf.DUMMYFUNCTION("""COMPUTED_VALUE"""),13850.0)</f>
        <v>13850</v>
      </c>
      <c r="B760" s="60" t="str">
        <f>IFERROR(__xludf.DUMMYFUNCTION("""COMPUTED_VALUE"""),"Edwards, Gus")</f>
        <v>Edwards, Gus</v>
      </c>
      <c r="C760" s="60" t="str">
        <f>IFERROR(__xludf.DUMMYFUNCTION("""COMPUTED_VALUE"""),"RB")</f>
        <v>RB</v>
      </c>
      <c r="D760" s="60" t="str">
        <f>IFERROR(__xludf.DUMMYFUNCTION("""COMPUTED_VALUE"""),"FA")</f>
        <v>FA</v>
      </c>
      <c r="E760" s="62" t="str">
        <f t="shared" si="4"/>
        <v>Gus Edwards</v>
      </c>
      <c r="F760" s="62">
        <f t="shared" ref="F760:G760" si="1519">IF(isblank(F$1),,IF(isblank($A760),,IFERROR(vlookup($A760,indirect("'TVC-"&amp;text(month(F$1),"00")&amp;"'!$A:$D"),4,false),1)))</f>
        <v>1</v>
      </c>
      <c r="G760" s="62">
        <f t="shared" si="1519"/>
        <v>1</v>
      </c>
      <c r="H760" s="62">
        <f t="shared" ref="H760:Q760" si="1520">IF(isblank(H$1),,IFERROR(vlookup($A760,indirect("'TVC-"&amp;text(month(H$1),"00")&amp;"'!$A:$D"),4,false),1))</f>
        <v>1</v>
      </c>
      <c r="I760" s="62">
        <f t="shared" si="1520"/>
        <v>1</v>
      </c>
      <c r="J760" s="62">
        <f t="shared" si="1520"/>
        <v>1</v>
      </c>
      <c r="K760" s="62">
        <f t="shared" si="1520"/>
        <v>1</v>
      </c>
      <c r="L760" s="62">
        <f t="shared" si="1520"/>
        <v>1</v>
      </c>
      <c r="M760" s="62">
        <f t="shared" si="1520"/>
        <v>1</v>
      </c>
      <c r="N760" s="62">
        <f t="shared" si="1520"/>
        <v>1</v>
      </c>
      <c r="O760" s="62">
        <f t="shared" si="1520"/>
        <v>1</v>
      </c>
      <c r="P760" s="62" t="str">
        <f t="shared" si="1520"/>
        <v/>
      </c>
      <c r="Q760" s="62" t="str">
        <f t="shared" si="1520"/>
        <v/>
      </c>
      <c r="R760" s="62">
        <f t="shared" si="7"/>
        <v>0</v>
      </c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</row>
    <row r="761" hidden="1">
      <c r="A761" s="60">
        <f>IFERROR(__xludf.DUMMYFUNCTION("""COMPUTED_VALUE"""),13862.0)</f>
        <v>13862</v>
      </c>
      <c r="B761" s="60" t="str">
        <f>IFERROR(__xludf.DUMMYFUNCTION("""COMPUTED_VALUE"""),"Cracraft, River")</f>
        <v>Cracraft, River</v>
      </c>
      <c r="C761" s="60" t="str">
        <f>IFERROR(__xludf.DUMMYFUNCTION("""COMPUTED_VALUE"""),"WR")</f>
        <v>WR</v>
      </c>
      <c r="D761" s="60" t="str">
        <f>IFERROR(__xludf.DUMMYFUNCTION("""COMPUTED_VALUE"""),"FA")</f>
        <v>FA</v>
      </c>
      <c r="E761" s="62" t="str">
        <f t="shared" si="4"/>
        <v>River Cracraft</v>
      </c>
      <c r="F761" s="62">
        <f t="shared" ref="F761:G761" si="1521">IF(isblank(F$1),,IF(isblank($A761),,IFERROR(vlookup($A761,indirect("'TVC-"&amp;text(month(F$1),"00")&amp;"'!$A:$D"),4,false),1)))</f>
        <v>1</v>
      </c>
      <c r="G761" s="62">
        <f t="shared" si="1521"/>
        <v>1</v>
      </c>
      <c r="H761" s="62">
        <f t="shared" ref="H761:Q761" si="1522">IF(isblank(H$1),,IFERROR(vlookup($A761,indirect("'TVC-"&amp;text(month(H$1),"00")&amp;"'!$A:$D"),4,false),1))</f>
        <v>1</v>
      </c>
      <c r="I761" s="62">
        <f t="shared" si="1522"/>
        <v>1</v>
      </c>
      <c r="J761" s="62">
        <f t="shared" si="1522"/>
        <v>1</v>
      </c>
      <c r="K761" s="62">
        <f t="shared" si="1522"/>
        <v>1</v>
      </c>
      <c r="L761" s="62">
        <f t="shared" si="1522"/>
        <v>1</v>
      </c>
      <c r="M761" s="62">
        <f t="shared" si="1522"/>
        <v>1</v>
      </c>
      <c r="N761" s="62">
        <f t="shared" si="1522"/>
        <v>1</v>
      </c>
      <c r="O761" s="62">
        <f t="shared" si="1522"/>
        <v>1</v>
      </c>
      <c r="P761" s="62" t="str">
        <f t="shared" si="1522"/>
        <v/>
      </c>
      <c r="Q761" s="62" t="str">
        <f t="shared" si="1522"/>
        <v/>
      </c>
      <c r="R761" s="62">
        <f t="shared" si="7"/>
        <v>0</v>
      </c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</row>
    <row r="762" hidden="1">
      <c r="A762" s="60">
        <f>IFERROR(__xludf.DUMMYFUNCTION("""COMPUTED_VALUE"""),13869.0)</f>
        <v>13869</v>
      </c>
      <c r="B762" s="60" t="str">
        <f>IFERROR(__xludf.DUMMYFUNCTION("""COMPUTED_VALUE"""),"Bojorquez, Corey")</f>
        <v>Bojorquez, Corey</v>
      </c>
      <c r="C762" s="60" t="str">
        <f>IFERROR(__xludf.DUMMYFUNCTION("""COMPUTED_VALUE"""),"PN")</f>
        <v>PN</v>
      </c>
      <c r="D762" s="60" t="str">
        <f>IFERROR(__xludf.DUMMYFUNCTION("""COMPUTED_VALUE"""),"CLE")</f>
        <v>CLE</v>
      </c>
      <c r="E762" s="62" t="str">
        <f t="shared" si="4"/>
        <v>Corey Bojorquez</v>
      </c>
      <c r="F762" s="62">
        <f t="shared" ref="F762:G762" si="1523">IF(isblank(F$1),,IF(isblank($A762),,IFERROR(vlookup($A762,indirect("'TVC-"&amp;text(month(F$1),"00")&amp;"'!$A:$D"),4,false),1)))</f>
        <v>1</v>
      </c>
      <c r="G762" s="62">
        <f t="shared" si="1523"/>
        <v>1</v>
      </c>
      <c r="H762" s="62">
        <f t="shared" ref="H762:Q762" si="1524">IF(isblank(H$1),,IFERROR(vlookup($A762,indirect("'TVC-"&amp;text(month(H$1),"00")&amp;"'!$A:$D"),4,false),1))</f>
        <v>1</v>
      </c>
      <c r="I762" s="62">
        <f t="shared" si="1524"/>
        <v>1</v>
      </c>
      <c r="J762" s="62">
        <f t="shared" si="1524"/>
        <v>1</v>
      </c>
      <c r="K762" s="62">
        <f t="shared" si="1524"/>
        <v>1</v>
      </c>
      <c r="L762" s="62">
        <f t="shared" si="1524"/>
        <v>1</v>
      </c>
      <c r="M762" s="62">
        <f t="shared" si="1524"/>
        <v>1</v>
      </c>
      <c r="N762" s="62">
        <f t="shared" si="1524"/>
        <v>1</v>
      </c>
      <c r="O762" s="62">
        <f t="shared" si="1524"/>
        <v>1</v>
      </c>
      <c r="P762" s="62" t="str">
        <f t="shared" si="1524"/>
        <v/>
      </c>
      <c r="Q762" s="62" t="str">
        <f t="shared" si="1524"/>
        <v/>
      </c>
      <c r="R762" s="62">
        <f t="shared" si="7"/>
        <v>0</v>
      </c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</row>
    <row r="763" hidden="1">
      <c r="A763" s="60">
        <f>IFERROR(__xludf.DUMMYFUNCTION("""COMPUTED_VALUE"""),13879.0)</f>
        <v>13879</v>
      </c>
      <c r="B763" s="60" t="str">
        <f>IFERROR(__xludf.DUMMYFUNCTION("""COMPUTED_VALUE"""),"Allen, Kyle")</f>
        <v>Allen, Kyle</v>
      </c>
      <c r="C763" s="60" t="str">
        <f>IFERROR(__xludf.DUMMYFUNCTION("""COMPUTED_VALUE"""),"QB")</f>
        <v>QB</v>
      </c>
      <c r="D763" s="60" t="str">
        <f>IFERROR(__xludf.DUMMYFUNCTION("""COMPUTED_VALUE"""),"BUF")</f>
        <v>BUF</v>
      </c>
      <c r="E763" s="62" t="str">
        <f t="shared" si="4"/>
        <v>Kyle Allen</v>
      </c>
      <c r="F763" s="62">
        <f t="shared" ref="F763:G763" si="1525">IF(isblank(F$1),,IF(isblank($A763),,IFERROR(vlookup($A763,indirect("'TVC-"&amp;text(month(F$1),"00")&amp;"'!$A:$D"),4,false),1)))</f>
        <v>1</v>
      </c>
      <c r="G763" s="62">
        <f t="shared" si="1525"/>
        <v>1</v>
      </c>
      <c r="H763" s="62">
        <f t="shared" ref="H763:Q763" si="1526">IF(isblank(H$1),,IFERROR(vlookup($A763,indirect("'TVC-"&amp;text(month(H$1),"00")&amp;"'!$A:$D"),4,false),1))</f>
        <v>1</v>
      </c>
      <c r="I763" s="62">
        <f t="shared" si="1526"/>
        <v>1</v>
      </c>
      <c r="J763" s="62">
        <f t="shared" si="1526"/>
        <v>1</v>
      </c>
      <c r="K763" s="62">
        <f t="shared" si="1526"/>
        <v>1</v>
      </c>
      <c r="L763" s="62">
        <f t="shared" si="1526"/>
        <v>1</v>
      </c>
      <c r="M763" s="62">
        <f t="shared" si="1526"/>
        <v>1</v>
      </c>
      <c r="N763" s="62">
        <f t="shared" si="1526"/>
        <v>1</v>
      </c>
      <c r="O763" s="62">
        <f t="shared" si="1526"/>
        <v>1</v>
      </c>
      <c r="P763" s="62" t="str">
        <f t="shared" si="1526"/>
        <v/>
      </c>
      <c r="Q763" s="62" t="str">
        <f t="shared" si="1526"/>
        <v/>
      </c>
      <c r="R763" s="62">
        <f t="shared" si="7"/>
        <v>0</v>
      </c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</row>
    <row r="764" hidden="1">
      <c r="A764" s="60">
        <f>IFERROR(__xludf.DUMMYFUNCTION("""COMPUTED_VALUE"""),13888.0)</f>
        <v>13888</v>
      </c>
      <c r="B764" s="60" t="str">
        <f>IFERROR(__xludf.DUMMYFUNCTION("""COMPUTED_VALUE"""),"Gardeck, Dennis")</f>
        <v>Gardeck, Dennis</v>
      </c>
      <c r="C764" s="60" t="str">
        <f>IFERROR(__xludf.DUMMYFUNCTION("""COMPUTED_VALUE"""),"DE")</f>
        <v>DE</v>
      </c>
      <c r="D764" s="60" t="str">
        <f>IFERROR(__xludf.DUMMYFUNCTION("""COMPUTED_VALUE"""),"JAC")</f>
        <v>JAC</v>
      </c>
      <c r="E764" s="62" t="str">
        <f t="shared" si="4"/>
        <v>Dennis Gardeck</v>
      </c>
      <c r="F764" s="62">
        <f t="shared" ref="F764:G764" si="1527">IF(isblank(F$1),,IF(isblank($A764),,IFERROR(vlookup($A764,indirect("'TVC-"&amp;text(month(F$1),"00")&amp;"'!$A:$D"),4,false),1)))</f>
        <v>1</v>
      </c>
      <c r="G764" s="62">
        <f t="shared" si="1527"/>
        <v>1</v>
      </c>
      <c r="H764" s="62">
        <f t="shared" ref="H764:Q764" si="1528">IF(isblank(H$1),,IFERROR(vlookup($A764,indirect("'TVC-"&amp;text(month(H$1),"00")&amp;"'!$A:$D"),4,false),1))</f>
        <v>1</v>
      </c>
      <c r="I764" s="62">
        <f t="shared" si="1528"/>
        <v>1</v>
      </c>
      <c r="J764" s="62">
        <f t="shared" si="1528"/>
        <v>1</v>
      </c>
      <c r="K764" s="62">
        <f t="shared" si="1528"/>
        <v>1</v>
      </c>
      <c r="L764" s="62">
        <f t="shared" si="1528"/>
        <v>1</v>
      </c>
      <c r="M764" s="62">
        <f t="shared" si="1528"/>
        <v>1</v>
      </c>
      <c r="N764" s="62">
        <f t="shared" si="1528"/>
        <v>1</v>
      </c>
      <c r="O764" s="62">
        <f t="shared" si="1528"/>
        <v>1</v>
      </c>
      <c r="P764" s="62" t="str">
        <f t="shared" si="1528"/>
        <v/>
      </c>
      <c r="Q764" s="62" t="str">
        <f t="shared" si="1528"/>
        <v/>
      </c>
      <c r="R764" s="62">
        <f t="shared" si="7"/>
        <v>0</v>
      </c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</row>
    <row r="765" hidden="1">
      <c r="A765" s="60">
        <f>IFERROR(__xludf.DUMMYFUNCTION("""COMPUTED_VALUE"""),13893.0)</f>
        <v>13893</v>
      </c>
      <c r="B765" s="60" t="str">
        <f>IFERROR(__xludf.DUMMYFUNCTION("""COMPUTED_VALUE"""),"Sherfield, Trent")</f>
        <v>Sherfield, Trent</v>
      </c>
      <c r="C765" s="60" t="str">
        <f>IFERROR(__xludf.DUMMYFUNCTION("""COMPUTED_VALUE"""),"WR")</f>
        <v>WR</v>
      </c>
      <c r="D765" s="60" t="str">
        <f>IFERROR(__xludf.DUMMYFUNCTION("""COMPUTED_VALUE"""),"BUF")</f>
        <v>BUF</v>
      </c>
      <c r="E765" s="62" t="str">
        <f t="shared" si="4"/>
        <v>Trent Sherfield</v>
      </c>
      <c r="F765" s="62">
        <f t="shared" ref="F765:G765" si="1529">IF(isblank(F$1),,IF(isblank($A765),,IFERROR(vlookup($A765,indirect("'TVC-"&amp;text(month(F$1),"00")&amp;"'!$A:$D"),4,false),1)))</f>
        <v>1</v>
      </c>
      <c r="G765" s="62">
        <f t="shared" si="1529"/>
        <v>1</v>
      </c>
      <c r="H765" s="62">
        <f t="shared" ref="H765:Q765" si="1530">IF(isblank(H$1),,IFERROR(vlookup($A765,indirect("'TVC-"&amp;text(month(H$1),"00")&amp;"'!$A:$D"),4,false),1))</f>
        <v>1</v>
      </c>
      <c r="I765" s="62">
        <f t="shared" si="1530"/>
        <v>1</v>
      </c>
      <c r="J765" s="62">
        <f t="shared" si="1530"/>
        <v>1</v>
      </c>
      <c r="K765" s="62">
        <f t="shared" si="1530"/>
        <v>1</v>
      </c>
      <c r="L765" s="62">
        <f t="shared" si="1530"/>
        <v>1</v>
      </c>
      <c r="M765" s="62">
        <f t="shared" si="1530"/>
        <v>1</v>
      </c>
      <c r="N765" s="62">
        <f t="shared" si="1530"/>
        <v>1</v>
      </c>
      <c r="O765" s="62">
        <f t="shared" si="1530"/>
        <v>1</v>
      </c>
      <c r="P765" s="62" t="str">
        <f t="shared" si="1530"/>
        <v/>
      </c>
      <c r="Q765" s="62" t="str">
        <f t="shared" si="1530"/>
        <v/>
      </c>
      <c r="R765" s="62">
        <f t="shared" si="7"/>
        <v>0</v>
      </c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</row>
    <row r="766" hidden="1">
      <c r="A766" s="60">
        <f>IFERROR(__xludf.DUMMYFUNCTION("""COMPUTED_VALUE"""),13898.0)</f>
        <v>13898</v>
      </c>
      <c r="B766" s="60" t="str">
        <f>IFERROR(__xludf.DUMMYFUNCTION("""COMPUTED_VALUE"""),"Joseph, Greg")</f>
        <v>Joseph, Greg</v>
      </c>
      <c r="C766" s="60" t="str">
        <f>IFERROR(__xludf.DUMMYFUNCTION("""COMPUTED_VALUE"""),"PK")</f>
        <v>PK</v>
      </c>
      <c r="D766" s="60" t="str">
        <f>IFERROR(__xludf.DUMMYFUNCTION("""COMPUTED_VALUE"""),"FA")</f>
        <v>FA</v>
      </c>
      <c r="E766" s="62" t="str">
        <f t="shared" si="4"/>
        <v>Greg Joseph</v>
      </c>
      <c r="F766" s="62">
        <f t="shared" ref="F766:G766" si="1531">IF(isblank(F$1),,IF(isblank($A766),,IFERROR(vlookup($A766,indirect("'TVC-"&amp;text(month(F$1),"00")&amp;"'!$A:$D"),4,false),1)))</f>
        <v>1</v>
      </c>
      <c r="G766" s="62">
        <f t="shared" si="1531"/>
        <v>1</v>
      </c>
      <c r="H766" s="62">
        <f t="shared" ref="H766:Q766" si="1532">IF(isblank(H$1),,IFERROR(vlookup($A766,indirect("'TVC-"&amp;text(month(H$1),"00")&amp;"'!$A:$D"),4,false),1))</f>
        <v>1</v>
      </c>
      <c r="I766" s="62">
        <f t="shared" si="1532"/>
        <v>1</v>
      </c>
      <c r="J766" s="62">
        <f t="shared" si="1532"/>
        <v>1</v>
      </c>
      <c r="K766" s="62">
        <f t="shared" si="1532"/>
        <v>1</v>
      </c>
      <c r="L766" s="62">
        <f t="shared" si="1532"/>
        <v>1</v>
      </c>
      <c r="M766" s="62">
        <f t="shared" si="1532"/>
        <v>1</v>
      </c>
      <c r="N766" s="62">
        <f t="shared" si="1532"/>
        <v>1</v>
      </c>
      <c r="O766" s="62">
        <f t="shared" si="1532"/>
        <v>1</v>
      </c>
      <c r="P766" s="62" t="str">
        <f t="shared" si="1532"/>
        <v/>
      </c>
      <c r="Q766" s="62" t="str">
        <f t="shared" si="1532"/>
        <v/>
      </c>
      <c r="R766" s="62">
        <f t="shared" si="7"/>
        <v>0</v>
      </c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</row>
    <row r="767" hidden="1">
      <c r="A767" s="60">
        <f>IFERROR(__xludf.DUMMYFUNCTION("""COMPUTED_VALUE"""),13919.0)</f>
        <v>13919</v>
      </c>
      <c r="B767" s="60" t="str">
        <f>IFERROR(__xludf.DUMMYFUNCTION("""COMPUTED_VALUE"""),"Firkser, Anthony")</f>
        <v>Firkser, Anthony</v>
      </c>
      <c r="C767" s="60" t="str">
        <f>IFERROR(__xludf.DUMMYFUNCTION("""COMPUTED_VALUE"""),"TE")</f>
        <v>TE</v>
      </c>
      <c r="D767" s="60" t="str">
        <f>IFERROR(__xludf.DUMMYFUNCTION("""COMPUTED_VALUE"""),"FA")</f>
        <v>FA</v>
      </c>
      <c r="E767" s="62" t="str">
        <f t="shared" si="4"/>
        <v>Anthony Firkser</v>
      </c>
      <c r="F767" s="62">
        <f t="shared" ref="F767:G767" si="1533">IF(isblank(F$1),,IF(isblank($A767),,IFERROR(vlookup($A767,indirect("'TVC-"&amp;text(month(F$1),"00")&amp;"'!$A:$D"),4,false),1)))</f>
        <v>1</v>
      </c>
      <c r="G767" s="62">
        <f t="shared" si="1533"/>
        <v>1</v>
      </c>
      <c r="H767" s="62">
        <f t="shared" ref="H767:Q767" si="1534">IF(isblank(H$1),,IFERROR(vlookup($A767,indirect("'TVC-"&amp;text(month(H$1),"00")&amp;"'!$A:$D"),4,false),1))</f>
        <v>1</v>
      </c>
      <c r="I767" s="62">
        <f t="shared" si="1534"/>
        <v>1</v>
      </c>
      <c r="J767" s="62">
        <f t="shared" si="1534"/>
        <v>1</v>
      </c>
      <c r="K767" s="62">
        <f t="shared" si="1534"/>
        <v>1</v>
      </c>
      <c r="L767" s="62">
        <f t="shared" si="1534"/>
        <v>1</v>
      </c>
      <c r="M767" s="62">
        <f t="shared" si="1534"/>
        <v>1</v>
      </c>
      <c r="N767" s="62">
        <f t="shared" si="1534"/>
        <v>1</v>
      </c>
      <c r="O767" s="62">
        <f t="shared" si="1534"/>
        <v>1</v>
      </c>
      <c r="P767" s="62" t="str">
        <f t="shared" si="1534"/>
        <v/>
      </c>
      <c r="Q767" s="62" t="str">
        <f t="shared" si="1534"/>
        <v/>
      </c>
      <c r="R767" s="62">
        <f t="shared" si="7"/>
        <v>0</v>
      </c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</row>
    <row r="768" hidden="1">
      <c r="A768" s="60">
        <f>IFERROR(__xludf.DUMMYFUNCTION("""COMPUTED_VALUE"""),13920.0)</f>
        <v>13920</v>
      </c>
      <c r="B768" s="60" t="str">
        <f>IFERROR(__xludf.DUMMYFUNCTION("""COMPUTED_VALUE"""),"Ward, Charvarius")</f>
        <v>Ward, Charvarius</v>
      </c>
      <c r="C768" s="60" t="str">
        <f>IFERROR(__xludf.DUMMYFUNCTION("""COMPUTED_VALUE"""),"CB")</f>
        <v>CB</v>
      </c>
      <c r="D768" s="60" t="str">
        <f>IFERROR(__xludf.DUMMYFUNCTION("""COMPUTED_VALUE"""),"IND")</f>
        <v>IND</v>
      </c>
      <c r="E768" s="62" t="str">
        <f t="shared" si="4"/>
        <v>Charvarius Ward</v>
      </c>
      <c r="F768" s="62">
        <f t="shared" ref="F768:G768" si="1535">IF(isblank(F$1),,IF(isblank($A768),,IFERROR(vlookup($A768,indirect("'TVC-"&amp;text(month(F$1),"00")&amp;"'!$A:$D"),4,false),1)))</f>
        <v>1</v>
      </c>
      <c r="G768" s="62">
        <f t="shared" si="1535"/>
        <v>1</v>
      </c>
      <c r="H768" s="62">
        <f t="shared" ref="H768:Q768" si="1536">IF(isblank(H$1),,IFERROR(vlookup($A768,indirect("'TVC-"&amp;text(month(H$1),"00")&amp;"'!$A:$D"),4,false),1))</f>
        <v>1</v>
      </c>
      <c r="I768" s="62">
        <f t="shared" si="1536"/>
        <v>1</v>
      </c>
      <c r="J768" s="62">
        <f t="shared" si="1536"/>
        <v>1</v>
      </c>
      <c r="K768" s="62">
        <f t="shared" si="1536"/>
        <v>1</v>
      </c>
      <c r="L768" s="62">
        <f t="shared" si="1536"/>
        <v>1</v>
      </c>
      <c r="M768" s="62">
        <f t="shared" si="1536"/>
        <v>1</v>
      </c>
      <c r="N768" s="62">
        <f t="shared" si="1536"/>
        <v>1</v>
      </c>
      <c r="O768" s="62">
        <f t="shared" si="1536"/>
        <v>1</v>
      </c>
      <c r="P768" s="62" t="str">
        <f t="shared" si="1536"/>
        <v/>
      </c>
      <c r="Q768" s="62" t="str">
        <f t="shared" si="1536"/>
        <v/>
      </c>
      <c r="R768" s="62">
        <f t="shared" si="7"/>
        <v>0</v>
      </c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</row>
    <row r="769" hidden="1">
      <c r="A769" s="60">
        <f>IFERROR(__xludf.DUMMYFUNCTION("""COMPUTED_VALUE"""),13926.0)</f>
        <v>13926</v>
      </c>
      <c r="B769" s="60" t="str">
        <f>IFERROR(__xludf.DUMMYFUNCTION("""COMPUTED_VALUE"""),"Board, Chris")</f>
        <v>Board, Chris</v>
      </c>
      <c r="C769" s="60" t="str">
        <f>IFERROR(__xludf.DUMMYFUNCTION("""COMPUTED_VALUE"""),"LB")</f>
        <v>LB</v>
      </c>
      <c r="D769" s="60" t="str">
        <f>IFERROR(__xludf.DUMMYFUNCTION("""COMPUTED_VALUE"""),"FA")</f>
        <v>FA</v>
      </c>
      <c r="E769" s="62" t="str">
        <f t="shared" si="4"/>
        <v>Chris Board</v>
      </c>
      <c r="F769" s="62">
        <f t="shared" ref="F769:G769" si="1537">IF(isblank(F$1),,IF(isblank($A769),,IFERROR(vlookup($A769,indirect("'TVC-"&amp;text(month(F$1),"00")&amp;"'!$A:$D"),4,false),1)))</f>
        <v>1</v>
      </c>
      <c r="G769" s="62">
        <f t="shared" si="1537"/>
        <v>1</v>
      </c>
      <c r="H769" s="62">
        <f t="shared" ref="H769:Q769" si="1538">IF(isblank(H$1),,IFERROR(vlookup($A769,indirect("'TVC-"&amp;text(month(H$1),"00")&amp;"'!$A:$D"),4,false),1))</f>
        <v>1</v>
      </c>
      <c r="I769" s="62">
        <f t="shared" si="1538"/>
        <v>1</v>
      </c>
      <c r="J769" s="62">
        <f t="shared" si="1538"/>
        <v>1</v>
      </c>
      <c r="K769" s="62">
        <f t="shared" si="1538"/>
        <v>1</v>
      </c>
      <c r="L769" s="62">
        <f t="shared" si="1538"/>
        <v>1</v>
      </c>
      <c r="M769" s="62">
        <f t="shared" si="1538"/>
        <v>1</v>
      </c>
      <c r="N769" s="62">
        <f t="shared" si="1538"/>
        <v>1</v>
      </c>
      <c r="O769" s="62">
        <f t="shared" si="1538"/>
        <v>1</v>
      </c>
      <c r="P769" s="62" t="str">
        <f t="shared" si="1538"/>
        <v/>
      </c>
      <c r="Q769" s="62" t="str">
        <f t="shared" si="1538"/>
        <v/>
      </c>
      <c r="R769" s="62">
        <f t="shared" si="7"/>
        <v>0</v>
      </c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</row>
    <row r="770" hidden="1">
      <c r="A770" s="60">
        <f>IFERROR(__xludf.DUMMYFUNCTION("""COMPUTED_VALUE"""),13927.0)</f>
        <v>13927</v>
      </c>
      <c r="B770" s="60" t="str">
        <f>IFERROR(__xludf.DUMMYFUNCTION("""COMPUTED_VALUE"""),"Dickerson, Matt")</f>
        <v>Dickerson, Matt</v>
      </c>
      <c r="C770" s="60" t="str">
        <f>IFERROR(__xludf.DUMMYFUNCTION("""COMPUTED_VALUE"""),"DT")</f>
        <v>DT</v>
      </c>
      <c r="D770" s="60" t="str">
        <f>IFERROR(__xludf.DUMMYFUNCTION("""COMPUTED_VALUE"""),"JAC")</f>
        <v>JAC</v>
      </c>
      <c r="E770" s="62" t="str">
        <f t="shared" si="4"/>
        <v>Matt Dickerson</v>
      </c>
      <c r="F770" s="62">
        <f t="shared" ref="F770:G770" si="1539">IF(isblank(F$1),,IF(isblank($A770),,IFERROR(vlookup($A770,indirect("'TVC-"&amp;text(month(F$1),"00")&amp;"'!$A:$D"),4,false),1)))</f>
        <v>1</v>
      </c>
      <c r="G770" s="62">
        <f t="shared" si="1539"/>
        <v>1</v>
      </c>
      <c r="H770" s="62">
        <f t="shared" ref="H770:Q770" si="1540">IF(isblank(H$1),,IFERROR(vlookup($A770,indirect("'TVC-"&amp;text(month(H$1),"00")&amp;"'!$A:$D"),4,false),1))</f>
        <v>1</v>
      </c>
      <c r="I770" s="62">
        <f t="shared" si="1540"/>
        <v>1</v>
      </c>
      <c r="J770" s="62">
        <f t="shared" si="1540"/>
        <v>1</v>
      </c>
      <c r="K770" s="62">
        <f t="shared" si="1540"/>
        <v>1</v>
      </c>
      <c r="L770" s="62">
        <f t="shared" si="1540"/>
        <v>1</v>
      </c>
      <c r="M770" s="62">
        <f t="shared" si="1540"/>
        <v>1</v>
      </c>
      <c r="N770" s="62">
        <f t="shared" si="1540"/>
        <v>1</v>
      </c>
      <c r="O770" s="62">
        <f t="shared" si="1540"/>
        <v>1</v>
      </c>
      <c r="P770" s="62" t="str">
        <f t="shared" si="1540"/>
        <v/>
      </c>
      <c r="Q770" s="62" t="str">
        <f t="shared" si="1540"/>
        <v/>
      </c>
      <c r="R770" s="62">
        <f t="shared" si="7"/>
        <v>0</v>
      </c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</row>
    <row r="771" hidden="1">
      <c r="A771" s="60">
        <f>IFERROR(__xludf.DUMMYFUNCTION("""COMPUTED_VALUE"""),13933.0)</f>
        <v>13933</v>
      </c>
      <c r="B771" s="60" t="str">
        <f>IFERROR(__xludf.DUMMYFUNCTION("""COMPUTED_VALUE"""),"Ford, Poona")</f>
        <v>Ford, Poona</v>
      </c>
      <c r="C771" s="60" t="str">
        <f>IFERROR(__xludf.DUMMYFUNCTION("""COMPUTED_VALUE"""),"DT")</f>
        <v>DT</v>
      </c>
      <c r="D771" s="60" t="str">
        <f>IFERROR(__xludf.DUMMYFUNCTION("""COMPUTED_VALUE"""),"LAR")</f>
        <v>LAR</v>
      </c>
      <c r="E771" s="62" t="str">
        <f t="shared" si="4"/>
        <v>Poona Ford</v>
      </c>
      <c r="F771" s="62">
        <f t="shared" ref="F771:G771" si="1541">IF(isblank(F$1),,IF(isblank($A771),,IFERROR(vlookup($A771,indirect("'TVC-"&amp;text(month(F$1),"00")&amp;"'!$A:$D"),4,false),1)))</f>
        <v>1</v>
      </c>
      <c r="G771" s="62">
        <f t="shared" si="1541"/>
        <v>1</v>
      </c>
      <c r="H771" s="62">
        <f t="shared" ref="H771:Q771" si="1542">IF(isblank(H$1),,IFERROR(vlookup($A771,indirect("'TVC-"&amp;text(month(H$1),"00")&amp;"'!$A:$D"),4,false),1))</f>
        <v>1</v>
      </c>
      <c r="I771" s="62">
        <f t="shared" si="1542"/>
        <v>1</v>
      </c>
      <c r="J771" s="62">
        <f t="shared" si="1542"/>
        <v>1</v>
      </c>
      <c r="K771" s="62">
        <f t="shared" si="1542"/>
        <v>1</v>
      </c>
      <c r="L771" s="62">
        <f t="shared" si="1542"/>
        <v>1</v>
      </c>
      <c r="M771" s="62">
        <f t="shared" si="1542"/>
        <v>1</v>
      </c>
      <c r="N771" s="62">
        <f t="shared" si="1542"/>
        <v>1</v>
      </c>
      <c r="O771" s="62">
        <f t="shared" si="1542"/>
        <v>1</v>
      </c>
      <c r="P771" s="62" t="str">
        <f t="shared" si="1542"/>
        <v/>
      </c>
      <c r="Q771" s="62" t="str">
        <f t="shared" si="1542"/>
        <v/>
      </c>
      <c r="R771" s="62">
        <f t="shared" si="7"/>
        <v>0</v>
      </c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</row>
    <row r="772" hidden="1">
      <c r="A772" s="60">
        <f>IFERROR(__xludf.DUMMYFUNCTION("""COMPUTED_VALUE"""),13939.0)</f>
        <v>13939</v>
      </c>
      <c r="B772" s="60" t="str">
        <f>IFERROR(__xludf.DUMMYFUNCTION("""COMPUTED_VALUE"""),"Odum, George")</f>
        <v>Odum, George</v>
      </c>
      <c r="C772" s="60" t="str">
        <f>IFERROR(__xludf.DUMMYFUNCTION("""COMPUTED_VALUE"""),"S")</f>
        <v>S</v>
      </c>
      <c r="D772" s="60" t="str">
        <f>IFERROR(__xludf.DUMMYFUNCTION("""COMPUTED_VALUE"""),"HOU")</f>
        <v>HOU</v>
      </c>
      <c r="E772" s="62" t="str">
        <f t="shared" si="4"/>
        <v>George Odum</v>
      </c>
      <c r="F772" s="62">
        <f t="shared" ref="F772:G772" si="1543">IF(isblank(F$1),,IF(isblank($A772),,IFERROR(vlookup($A772,indirect("'TVC-"&amp;text(month(F$1),"00")&amp;"'!$A:$D"),4,false),1)))</f>
        <v>1</v>
      </c>
      <c r="G772" s="62">
        <f t="shared" si="1543"/>
        <v>1</v>
      </c>
      <c r="H772" s="62">
        <f t="shared" ref="H772:Q772" si="1544">IF(isblank(H$1),,IFERROR(vlookup($A772,indirect("'TVC-"&amp;text(month(H$1),"00")&amp;"'!$A:$D"),4,false),1))</f>
        <v>1</v>
      </c>
      <c r="I772" s="62">
        <f t="shared" si="1544"/>
        <v>1</v>
      </c>
      <c r="J772" s="62">
        <f t="shared" si="1544"/>
        <v>1</v>
      </c>
      <c r="K772" s="62">
        <f t="shared" si="1544"/>
        <v>1</v>
      </c>
      <c r="L772" s="62">
        <f t="shared" si="1544"/>
        <v>1</v>
      </c>
      <c r="M772" s="62">
        <f t="shared" si="1544"/>
        <v>1</v>
      </c>
      <c r="N772" s="62">
        <f t="shared" si="1544"/>
        <v>1</v>
      </c>
      <c r="O772" s="62">
        <f t="shared" si="1544"/>
        <v>1</v>
      </c>
      <c r="P772" s="62" t="str">
        <f t="shared" si="1544"/>
        <v/>
      </c>
      <c r="Q772" s="62" t="str">
        <f t="shared" si="1544"/>
        <v/>
      </c>
      <c r="R772" s="62">
        <f t="shared" si="7"/>
        <v>0</v>
      </c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</row>
    <row r="773" hidden="1">
      <c r="A773" s="60">
        <f>IFERROR(__xludf.DUMMYFUNCTION("""COMPUTED_VALUE"""),13940.0)</f>
        <v>13940</v>
      </c>
      <c r="B773" s="60" t="str">
        <f>IFERROR(__xludf.DUMMYFUNCTION("""COMPUTED_VALUE"""),"Mundt, Johnny")</f>
        <v>Mundt, Johnny</v>
      </c>
      <c r="C773" s="60" t="str">
        <f>IFERROR(__xludf.DUMMYFUNCTION("""COMPUTED_VALUE"""),"TE")</f>
        <v>TE</v>
      </c>
      <c r="D773" s="60" t="str">
        <f>IFERROR(__xludf.DUMMYFUNCTION("""COMPUTED_VALUE"""),"PHI")</f>
        <v>PHI</v>
      </c>
      <c r="E773" s="62" t="str">
        <f t="shared" si="4"/>
        <v>Johnny Mundt</v>
      </c>
      <c r="F773" s="62">
        <f t="shared" ref="F773:G773" si="1545">IF(isblank(F$1),,IF(isblank($A773),,IFERROR(vlookup($A773,indirect("'TVC-"&amp;text(month(F$1),"00")&amp;"'!$A:$D"),4,false),1)))</f>
        <v>1</v>
      </c>
      <c r="G773" s="62">
        <f t="shared" si="1545"/>
        <v>1</v>
      </c>
      <c r="H773" s="62">
        <f t="shared" ref="H773:Q773" si="1546">IF(isblank(H$1),,IFERROR(vlookup($A773,indirect("'TVC-"&amp;text(month(H$1),"00")&amp;"'!$A:$D"),4,false),1))</f>
        <v>1</v>
      </c>
      <c r="I773" s="62">
        <f t="shared" si="1546"/>
        <v>1</v>
      </c>
      <c r="J773" s="62">
        <f t="shared" si="1546"/>
        <v>1</v>
      </c>
      <c r="K773" s="62">
        <f t="shared" si="1546"/>
        <v>1</v>
      </c>
      <c r="L773" s="62">
        <f t="shared" si="1546"/>
        <v>1</v>
      </c>
      <c r="M773" s="62">
        <f t="shared" si="1546"/>
        <v>1</v>
      </c>
      <c r="N773" s="62">
        <f t="shared" si="1546"/>
        <v>1</v>
      </c>
      <c r="O773" s="62">
        <f t="shared" si="1546"/>
        <v>1</v>
      </c>
      <c r="P773" s="62" t="str">
        <f t="shared" si="1546"/>
        <v/>
      </c>
      <c r="Q773" s="62" t="str">
        <f t="shared" si="1546"/>
        <v/>
      </c>
      <c r="R773" s="62">
        <f t="shared" si="7"/>
        <v>0</v>
      </c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</row>
    <row r="774" hidden="1">
      <c r="A774" s="60">
        <f>IFERROR(__xludf.DUMMYFUNCTION("""COMPUTED_VALUE"""),13942.0)</f>
        <v>13942</v>
      </c>
      <c r="B774" s="60" t="str">
        <f>IFERROR(__xludf.DUMMYFUNCTION("""COMPUTED_VALUE"""),"Gray, J.T.")</f>
        <v>Gray, J.T.</v>
      </c>
      <c r="C774" s="60" t="str">
        <f>IFERROR(__xludf.DUMMYFUNCTION("""COMPUTED_VALUE"""),"S")</f>
        <v>S</v>
      </c>
      <c r="D774" s="60" t="str">
        <f>IFERROR(__xludf.DUMMYFUNCTION("""COMPUTED_VALUE"""),"FA")</f>
        <v>FA</v>
      </c>
      <c r="E774" s="62" t="str">
        <f t="shared" si="4"/>
        <v>J.T. Gray</v>
      </c>
      <c r="F774" s="62">
        <f t="shared" ref="F774:G774" si="1547">IF(isblank(F$1),,IF(isblank($A774),,IFERROR(vlookup($A774,indirect("'TVC-"&amp;text(month(F$1),"00")&amp;"'!$A:$D"),4,false),1)))</f>
        <v>1</v>
      </c>
      <c r="G774" s="62">
        <f t="shared" si="1547"/>
        <v>1</v>
      </c>
      <c r="H774" s="62">
        <f t="shared" ref="H774:Q774" si="1548">IF(isblank(H$1),,IFERROR(vlookup($A774,indirect("'TVC-"&amp;text(month(H$1),"00")&amp;"'!$A:$D"),4,false),1))</f>
        <v>1</v>
      </c>
      <c r="I774" s="62">
        <f t="shared" si="1548"/>
        <v>1</v>
      </c>
      <c r="J774" s="62">
        <f t="shared" si="1548"/>
        <v>1</v>
      </c>
      <c r="K774" s="62">
        <f t="shared" si="1548"/>
        <v>1</v>
      </c>
      <c r="L774" s="62">
        <f t="shared" si="1548"/>
        <v>1</v>
      </c>
      <c r="M774" s="62">
        <f t="shared" si="1548"/>
        <v>1</v>
      </c>
      <c r="N774" s="62">
        <f t="shared" si="1548"/>
        <v>1</v>
      </c>
      <c r="O774" s="62">
        <f t="shared" si="1548"/>
        <v>1</v>
      </c>
      <c r="P774" s="62" t="str">
        <f t="shared" si="1548"/>
        <v/>
      </c>
      <c r="Q774" s="62" t="str">
        <f t="shared" si="1548"/>
        <v/>
      </c>
      <c r="R774" s="62">
        <f t="shared" si="7"/>
        <v>0</v>
      </c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</row>
    <row r="775" hidden="1">
      <c r="A775" s="60">
        <f>IFERROR(__xludf.DUMMYFUNCTION("""COMPUTED_VALUE"""),13952.0)</f>
        <v>13952</v>
      </c>
      <c r="B775" s="60" t="str">
        <f>IFERROR(__xludf.DUMMYFUNCTION("""COMPUTED_VALUE"""),"Luvu, Frankie")</f>
        <v>Luvu, Frankie</v>
      </c>
      <c r="C775" s="60" t="str">
        <f>IFERROR(__xludf.DUMMYFUNCTION("""COMPUTED_VALUE"""),"LB")</f>
        <v>LB</v>
      </c>
      <c r="D775" s="60" t="str">
        <f>IFERROR(__xludf.DUMMYFUNCTION("""COMPUTED_VALUE"""),"WAS")</f>
        <v>WAS</v>
      </c>
      <c r="E775" s="62" t="str">
        <f t="shared" si="4"/>
        <v>Frankie Luvu</v>
      </c>
      <c r="F775" s="62">
        <f t="shared" ref="F775:G775" si="1549">IF(isblank(F$1),,IF(isblank($A775),,IFERROR(vlookup($A775,indirect("'TVC-"&amp;text(month(F$1),"00")&amp;"'!$A:$D"),4,false),1)))</f>
        <v>1</v>
      </c>
      <c r="G775" s="62">
        <f t="shared" si="1549"/>
        <v>1</v>
      </c>
      <c r="H775" s="62">
        <f t="shared" ref="H775:Q775" si="1550">IF(isblank(H$1),,IFERROR(vlookup($A775,indirect("'TVC-"&amp;text(month(H$1),"00")&amp;"'!$A:$D"),4,false),1))</f>
        <v>1</v>
      </c>
      <c r="I775" s="62">
        <f t="shared" si="1550"/>
        <v>1</v>
      </c>
      <c r="J775" s="62">
        <f t="shared" si="1550"/>
        <v>1</v>
      </c>
      <c r="K775" s="62">
        <f t="shared" si="1550"/>
        <v>1</v>
      </c>
      <c r="L775" s="62">
        <f t="shared" si="1550"/>
        <v>1</v>
      </c>
      <c r="M775" s="62">
        <f t="shared" si="1550"/>
        <v>1</v>
      </c>
      <c r="N775" s="62">
        <f t="shared" si="1550"/>
        <v>1</v>
      </c>
      <c r="O775" s="62">
        <f t="shared" si="1550"/>
        <v>1</v>
      </c>
      <c r="P775" s="62" t="str">
        <f t="shared" si="1550"/>
        <v/>
      </c>
      <c r="Q775" s="62" t="str">
        <f t="shared" si="1550"/>
        <v/>
      </c>
      <c r="R775" s="62">
        <f t="shared" si="7"/>
        <v>0</v>
      </c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</row>
    <row r="776" hidden="1">
      <c r="A776" s="60">
        <f>IFERROR(__xludf.DUMMYFUNCTION("""COMPUTED_VALUE"""),13953.0)</f>
        <v>13953</v>
      </c>
      <c r="B776" s="60" t="str">
        <f>IFERROR(__xludf.DUMMYFUNCTION("""COMPUTED_VALUE"""),"Thomas, Tavierre")</f>
        <v>Thomas, Tavierre</v>
      </c>
      <c r="C776" s="60" t="str">
        <f>IFERROR(__xludf.DUMMYFUNCTION("""COMPUTED_VALUE"""),"CB")</f>
        <v>CB</v>
      </c>
      <c r="D776" s="60" t="str">
        <f>IFERROR(__xludf.DUMMYFUNCTION("""COMPUTED_VALUE"""),"MIN")</f>
        <v>MIN</v>
      </c>
      <c r="E776" s="62" t="str">
        <f t="shared" si="4"/>
        <v>Tavierre Thomas</v>
      </c>
      <c r="F776" s="62">
        <f t="shared" ref="F776:G776" si="1551">IF(isblank(F$1),,IF(isblank($A776),,IFERROR(vlookup($A776,indirect("'TVC-"&amp;text(month(F$1),"00")&amp;"'!$A:$D"),4,false),1)))</f>
        <v>1</v>
      </c>
      <c r="G776" s="62">
        <f t="shared" si="1551"/>
        <v>1</v>
      </c>
      <c r="H776" s="62">
        <f t="shared" ref="H776:Q776" si="1552">IF(isblank(H$1),,IFERROR(vlookup($A776,indirect("'TVC-"&amp;text(month(H$1),"00")&amp;"'!$A:$D"),4,false),1))</f>
        <v>1</v>
      </c>
      <c r="I776" s="62">
        <f t="shared" si="1552"/>
        <v>1</v>
      </c>
      <c r="J776" s="62">
        <f t="shared" si="1552"/>
        <v>1</v>
      </c>
      <c r="K776" s="62">
        <f t="shared" si="1552"/>
        <v>1</v>
      </c>
      <c r="L776" s="62">
        <f t="shared" si="1552"/>
        <v>1</v>
      </c>
      <c r="M776" s="62">
        <f t="shared" si="1552"/>
        <v>1</v>
      </c>
      <c r="N776" s="62">
        <f t="shared" si="1552"/>
        <v>1</v>
      </c>
      <c r="O776" s="62">
        <f t="shared" si="1552"/>
        <v>1</v>
      </c>
      <c r="P776" s="62" t="str">
        <f t="shared" si="1552"/>
        <v/>
      </c>
      <c r="Q776" s="62" t="str">
        <f t="shared" si="1552"/>
        <v/>
      </c>
      <c r="R776" s="62">
        <f t="shared" si="7"/>
        <v>0</v>
      </c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</row>
    <row r="777" hidden="1">
      <c r="A777" s="60">
        <f>IFERROR(__xludf.DUMMYFUNCTION("""COMPUTED_VALUE"""),13959.0)</f>
        <v>13959</v>
      </c>
      <c r="B777" s="60" t="str">
        <f>IFERROR(__xludf.DUMMYFUNCTION("""COMPUTED_VALUE"""),"Williams, Darious")</f>
        <v>Williams, Darious</v>
      </c>
      <c r="C777" s="60" t="str">
        <f>IFERROR(__xludf.DUMMYFUNCTION("""COMPUTED_VALUE"""),"CB")</f>
        <v>CB</v>
      </c>
      <c r="D777" s="60" t="str">
        <f>IFERROR(__xludf.DUMMYFUNCTION("""COMPUTED_VALUE"""),"FA")</f>
        <v>FA</v>
      </c>
      <c r="E777" s="62" t="str">
        <f t="shared" si="4"/>
        <v>Darious Williams</v>
      </c>
      <c r="F777" s="62">
        <f t="shared" ref="F777:G777" si="1553">IF(isblank(F$1),,IF(isblank($A777),,IFERROR(vlookup($A777,indirect("'TVC-"&amp;text(month(F$1),"00")&amp;"'!$A:$D"),4,false),1)))</f>
        <v>1</v>
      </c>
      <c r="G777" s="62">
        <f t="shared" si="1553"/>
        <v>1</v>
      </c>
      <c r="H777" s="62">
        <f t="shared" ref="H777:Q777" si="1554">IF(isblank(H$1),,IFERROR(vlookup($A777,indirect("'TVC-"&amp;text(month(H$1),"00")&amp;"'!$A:$D"),4,false),1))</f>
        <v>1</v>
      </c>
      <c r="I777" s="62">
        <f t="shared" si="1554"/>
        <v>1</v>
      </c>
      <c r="J777" s="62">
        <f t="shared" si="1554"/>
        <v>1</v>
      </c>
      <c r="K777" s="62">
        <f t="shared" si="1554"/>
        <v>1</v>
      </c>
      <c r="L777" s="62">
        <f t="shared" si="1554"/>
        <v>1</v>
      </c>
      <c r="M777" s="62">
        <f t="shared" si="1554"/>
        <v>1</v>
      </c>
      <c r="N777" s="62">
        <f t="shared" si="1554"/>
        <v>1</v>
      </c>
      <c r="O777" s="62">
        <f t="shared" si="1554"/>
        <v>1</v>
      </c>
      <c r="P777" s="62" t="str">
        <f t="shared" si="1554"/>
        <v/>
      </c>
      <c r="Q777" s="62" t="str">
        <f t="shared" si="1554"/>
        <v/>
      </c>
      <c r="R777" s="62">
        <f t="shared" si="7"/>
        <v>0</v>
      </c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</row>
    <row r="778" hidden="1">
      <c r="A778" s="60">
        <f>IFERROR(__xludf.DUMMYFUNCTION("""COMPUTED_VALUE"""),13963.0)</f>
        <v>13963</v>
      </c>
      <c r="B778" s="60" t="str">
        <f>IFERROR(__xludf.DUMMYFUNCTION("""COMPUTED_VALUE"""),"Hodge, KhaDarel")</f>
        <v>Hodge, KhaDarel</v>
      </c>
      <c r="C778" s="60" t="str">
        <f>IFERROR(__xludf.DUMMYFUNCTION("""COMPUTED_VALUE"""),"WR")</f>
        <v>WR</v>
      </c>
      <c r="D778" s="60" t="str">
        <f>IFERROR(__xludf.DUMMYFUNCTION("""COMPUTED_VALUE"""),"FA")</f>
        <v>FA</v>
      </c>
      <c r="E778" s="62" t="str">
        <f t="shared" si="4"/>
        <v>KhaDarel Hodge</v>
      </c>
      <c r="F778" s="62">
        <f t="shared" ref="F778:G778" si="1555">IF(isblank(F$1),,IF(isblank($A778),,IFERROR(vlookup($A778,indirect("'TVC-"&amp;text(month(F$1),"00")&amp;"'!$A:$D"),4,false),1)))</f>
        <v>1</v>
      </c>
      <c r="G778" s="62">
        <f t="shared" si="1555"/>
        <v>1</v>
      </c>
      <c r="H778" s="62">
        <f t="shared" ref="H778:Q778" si="1556">IF(isblank(H$1),,IFERROR(vlookup($A778,indirect("'TVC-"&amp;text(month(H$1),"00")&amp;"'!$A:$D"),4,false),1))</f>
        <v>1</v>
      </c>
      <c r="I778" s="62">
        <f t="shared" si="1556"/>
        <v>1</v>
      </c>
      <c r="J778" s="62">
        <f t="shared" si="1556"/>
        <v>1</v>
      </c>
      <c r="K778" s="62">
        <f t="shared" si="1556"/>
        <v>1</v>
      </c>
      <c r="L778" s="62">
        <f t="shared" si="1556"/>
        <v>1</v>
      </c>
      <c r="M778" s="62">
        <f t="shared" si="1556"/>
        <v>1</v>
      </c>
      <c r="N778" s="62">
        <f t="shared" si="1556"/>
        <v>1</v>
      </c>
      <c r="O778" s="62">
        <f t="shared" si="1556"/>
        <v>1</v>
      </c>
      <c r="P778" s="62" t="str">
        <f t="shared" si="1556"/>
        <v/>
      </c>
      <c r="Q778" s="62" t="str">
        <f t="shared" si="1556"/>
        <v/>
      </c>
      <c r="R778" s="62">
        <f t="shared" si="7"/>
        <v>0</v>
      </c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</row>
    <row r="779" hidden="1">
      <c r="A779" s="60">
        <f>IFERROR(__xludf.DUMMYFUNCTION("""COMPUTED_VALUE"""),13965.0)</f>
        <v>13965</v>
      </c>
      <c r="B779" s="60" t="str">
        <f>IFERROR(__xludf.DUMMYFUNCTION("""COMPUTED_VALUE"""),"Tupou, Josh")</f>
        <v>Tupou, Josh</v>
      </c>
      <c r="C779" s="60" t="str">
        <f>IFERROR(__xludf.DUMMYFUNCTION("""COMPUTED_VALUE"""),"DT")</f>
        <v>DT</v>
      </c>
      <c r="D779" s="60" t="str">
        <f>IFERROR(__xludf.DUMMYFUNCTION("""COMPUTED_VALUE"""),"NYG")</f>
        <v>NYG</v>
      </c>
      <c r="E779" s="62" t="str">
        <f t="shared" si="4"/>
        <v>Josh Tupou</v>
      </c>
      <c r="F779" s="62">
        <f t="shared" ref="F779:G779" si="1557">IF(isblank(F$1),,IF(isblank($A779),,IFERROR(vlookup($A779,indirect("'TVC-"&amp;text(month(F$1),"00")&amp;"'!$A:$D"),4,false),1)))</f>
        <v>1</v>
      </c>
      <c r="G779" s="62">
        <f t="shared" si="1557"/>
        <v>1</v>
      </c>
      <c r="H779" s="62">
        <f t="shared" ref="H779:Q779" si="1558">IF(isblank(H$1),,IFERROR(vlookup($A779,indirect("'TVC-"&amp;text(month(H$1),"00")&amp;"'!$A:$D"),4,false),1))</f>
        <v>1</v>
      </c>
      <c r="I779" s="62">
        <f t="shared" si="1558"/>
        <v>1</v>
      </c>
      <c r="J779" s="62">
        <f t="shared" si="1558"/>
        <v>1</v>
      </c>
      <c r="K779" s="62">
        <f t="shared" si="1558"/>
        <v>1</v>
      </c>
      <c r="L779" s="62">
        <f t="shared" si="1558"/>
        <v>1</v>
      </c>
      <c r="M779" s="62">
        <f t="shared" si="1558"/>
        <v>1</v>
      </c>
      <c r="N779" s="62">
        <f t="shared" si="1558"/>
        <v>1</v>
      </c>
      <c r="O779" s="62">
        <f t="shared" si="1558"/>
        <v>1</v>
      </c>
      <c r="P779" s="62" t="str">
        <f t="shared" si="1558"/>
        <v/>
      </c>
      <c r="Q779" s="62" t="str">
        <f t="shared" si="1558"/>
        <v/>
      </c>
      <c r="R779" s="62">
        <f t="shared" si="7"/>
        <v>0</v>
      </c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</row>
    <row r="780" hidden="1">
      <c r="A780" s="60">
        <f>IFERROR(__xludf.DUMMYFUNCTION("""COMPUTED_VALUE"""),13968.0)</f>
        <v>13968</v>
      </c>
      <c r="B780" s="60" t="str">
        <f>IFERROR(__xludf.DUMMYFUNCTION("""COMPUTED_VALUE"""),"Mullens, Nick")</f>
        <v>Mullens, Nick</v>
      </c>
      <c r="C780" s="60" t="str">
        <f>IFERROR(__xludf.DUMMYFUNCTION("""COMPUTED_VALUE"""),"QB")</f>
        <v>QB</v>
      </c>
      <c r="D780" s="60" t="str">
        <f>IFERROR(__xludf.DUMMYFUNCTION("""COMPUTED_VALUE"""),"JAC")</f>
        <v>JAC</v>
      </c>
      <c r="E780" s="62" t="str">
        <f t="shared" si="4"/>
        <v>Nick Mullens</v>
      </c>
      <c r="F780" s="62">
        <f t="shared" ref="F780:G780" si="1559">IF(isblank(F$1),,IF(isblank($A780),,IFERROR(vlookup($A780,indirect("'TVC-"&amp;text(month(F$1),"00")&amp;"'!$A:$D"),4,false),1)))</f>
        <v>1</v>
      </c>
      <c r="G780" s="62">
        <f t="shared" si="1559"/>
        <v>1</v>
      </c>
      <c r="H780" s="62">
        <f t="shared" ref="H780:Q780" si="1560">IF(isblank(H$1),,IFERROR(vlookup($A780,indirect("'TVC-"&amp;text(month(H$1),"00")&amp;"'!$A:$D"),4,false),1))</f>
        <v>1</v>
      </c>
      <c r="I780" s="62">
        <f t="shared" si="1560"/>
        <v>1</v>
      </c>
      <c r="J780" s="62">
        <f t="shared" si="1560"/>
        <v>1</v>
      </c>
      <c r="K780" s="62">
        <f t="shared" si="1560"/>
        <v>1</v>
      </c>
      <c r="L780" s="62">
        <f t="shared" si="1560"/>
        <v>1</v>
      </c>
      <c r="M780" s="62">
        <f t="shared" si="1560"/>
        <v>1</v>
      </c>
      <c r="N780" s="62">
        <f t="shared" si="1560"/>
        <v>1</v>
      </c>
      <c r="O780" s="62">
        <f t="shared" si="1560"/>
        <v>1</v>
      </c>
      <c r="P780" s="62" t="str">
        <f t="shared" si="1560"/>
        <v/>
      </c>
      <c r="Q780" s="62" t="str">
        <f t="shared" si="1560"/>
        <v/>
      </c>
      <c r="R780" s="62">
        <f t="shared" si="7"/>
        <v>0</v>
      </c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</row>
    <row r="781" hidden="1">
      <c r="A781" s="60">
        <f>IFERROR(__xludf.DUMMYFUNCTION("""COMPUTED_VALUE"""),13980.0)</f>
        <v>13980</v>
      </c>
      <c r="B781" s="60" t="str">
        <f>IFERROR(__xludf.DUMMYFUNCTION("""COMPUTED_VALUE"""),"Badgley, Mike")</f>
        <v>Badgley, Mike</v>
      </c>
      <c r="C781" s="60" t="str">
        <f>IFERROR(__xludf.DUMMYFUNCTION("""COMPUTED_VALUE"""),"PK")</f>
        <v>PK</v>
      </c>
      <c r="D781" s="60" t="str">
        <f>IFERROR(__xludf.DUMMYFUNCTION("""COMPUTED_VALUE"""),"FA")</f>
        <v>FA</v>
      </c>
      <c r="E781" s="62" t="str">
        <f t="shared" si="4"/>
        <v>Mike Badgley</v>
      </c>
      <c r="F781" s="62">
        <f t="shared" ref="F781:G781" si="1561">IF(isblank(F$1),,IF(isblank($A781),,IFERROR(vlookup($A781,indirect("'TVC-"&amp;text(month(F$1),"00")&amp;"'!$A:$D"),4,false),1)))</f>
        <v>1</v>
      </c>
      <c r="G781" s="62">
        <f t="shared" si="1561"/>
        <v>1</v>
      </c>
      <c r="H781" s="62">
        <f t="shared" ref="H781:Q781" si="1562">IF(isblank(H$1),,IFERROR(vlookup($A781,indirect("'TVC-"&amp;text(month(H$1),"00")&amp;"'!$A:$D"),4,false),1))</f>
        <v>1</v>
      </c>
      <c r="I781" s="62">
        <f t="shared" si="1562"/>
        <v>1</v>
      </c>
      <c r="J781" s="62">
        <f t="shared" si="1562"/>
        <v>1</v>
      </c>
      <c r="K781" s="62">
        <f t="shared" si="1562"/>
        <v>1</v>
      </c>
      <c r="L781" s="62">
        <f t="shared" si="1562"/>
        <v>1</v>
      </c>
      <c r="M781" s="62">
        <f t="shared" si="1562"/>
        <v>1</v>
      </c>
      <c r="N781" s="62">
        <f t="shared" si="1562"/>
        <v>1</v>
      </c>
      <c r="O781" s="62">
        <f t="shared" si="1562"/>
        <v>1</v>
      </c>
      <c r="P781" s="62" t="str">
        <f t="shared" si="1562"/>
        <v/>
      </c>
      <c r="Q781" s="62" t="str">
        <f t="shared" si="1562"/>
        <v/>
      </c>
      <c r="R781" s="62">
        <f t="shared" si="7"/>
        <v>0</v>
      </c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</row>
    <row r="782" hidden="1">
      <c r="A782" s="60">
        <f>IFERROR(__xludf.DUMMYFUNCTION("""COMPUTED_VALUE"""),13987.0)</f>
        <v>13987</v>
      </c>
      <c r="B782" s="60" t="str">
        <f>IFERROR(__xludf.DUMMYFUNCTION("""COMPUTED_VALUE"""),"Spillane, Robert")</f>
        <v>Spillane, Robert</v>
      </c>
      <c r="C782" s="60" t="str">
        <f>IFERROR(__xludf.DUMMYFUNCTION("""COMPUTED_VALUE"""),"LB")</f>
        <v>LB</v>
      </c>
      <c r="D782" s="60" t="str">
        <f>IFERROR(__xludf.DUMMYFUNCTION("""COMPUTED_VALUE"""),"NEP")</f>
        <v>NEP</v>
      </c>
      <c r="E782" s="62" t="str">
        <f t="shared" si="4"/>
        <v>Robert Spillane</v>
      </c>
      <c r="F782" s="62">
        <f t="shared" ref="F782:G782" si="1563">IF(isblank(F$1),,IF(isblank($A782),,IFERROR(vlookup($A782,indirect("'TVC-"&amp;text(month(F$1),"00")&amp;"'!$A:$D"),4,false),1)))</f>
        <v>1</v>
      </c>
      <c r="G782" s="62">
        <f t="shared" si="1563"/>
        <v>1</v>
      </c>
      <c r="H782" s="62">
        <f t="shared" ref="H782:Q782" si="1564">IF(isblank(H$1),,IFERROR(vlookup($A782,indirect("'TVC-"&amp;text(month(H$1),"00")&amp;"'!$A:$D"),4,false),1))</f>
        <v>1</v>
      </c>
      <c r="I782" s="62">
        <f t="shared" si="1564"/>
        <v>1</v>
      </c>
      <c r="J782" s="62">
        <f t="shared" si="1564"/>
        <v>1</v>
      </c>
      <c r="K782" s="62">
        <f t="shared" si="1564"/>
        <v>1</v>
      </c>
      <c r="L782" s="62">
        <f t="shared" si="1564"/>
        <v>1</v>
      </c>
      <c r="M782" s="62">
        <f t="shared" si="1564"/>
        <v>1</v>
      </c>
      <c r="N782" s="62">
        <f t="shared" si="1564"/>
        <v>1</v>
      </c>
      <c r="O782" s="62">
        <f t="shared" si="1564"/>
        <v>1</v>
      </c>
      <c r="P782" s="62" t="str">
        <f t="shared" si="1564"/>
        <v/>
      </c>
      <c r="Q782" s="62" t="str">
        <f t="shared" si="1564"/>
        <v/>
      </c>
      <c r="R782" s="62">
        <f t="shared" si="7"/>
        <v>0</v>
      </c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</row>
    <row r="783" hidden="1">
      <c r="A783" s="60">
        <f>IFERROR(__xludf.DUMMYFUNCTION("""COMPUTED_VALUE"""),13988.0)</f>
        <v>13988</v>
      </c>
      <c r="B783" s="60" t="str">
        <f>IFERROR(__xludf.DUMMYFUNCTION("""COMPUTED_VALUE"""),"Dwelley, Ross")</f>
        <v>Dwelley, Ross</v>
      </c>
      <c r="C783" s="60" t="str">
        <f>IFERROR(__xludf.DUMMYFUNCTION("""COMPUTED_VALUE"""),"TE")</f>
        <v>TE</v>
      </c>
      <c r="D783" s="60" t="str">
        <f>IFERROR(__xludf.DUMMYFUNCTION("""COMPUTED_VALUE"""),"CAR")</f>
        <v>CAR</v>
      </c>
      <c r="E783" s="62" t="str">
        <f t="shared" si="4"/>
        <v>Ross Dwelley</v>
      </c>
      <c r="F783" s="62">
        <f t="shared" ref="F783:G783" si="1565">IF(isblank(F$1),,IF(isblank($A783),,IFERROR(vlookup($A783,indirect("'TVC-"&amp;text(month(F$1),"00")&amp;"'!$A:$D"),4,false),1)))</f>
        <v>1</v>
      </c>
      <c r="G783" s="62">
        <f t="shared" si="1565"/>
        <v>1</v>
      </c>
      <c r="H783" s="62">
        <f t="shared" ref="H783:Q783" si="1566">IF(isblank(H$1),,IFERROR(vlookup($A783,indirect("'TVC-"&amp;text(month(H$1),"00")&amp;"'!$A:$D"),4,false),1))</f>
        <v>1</v>
      </c>
      <c r="I783" s="62">
        <f t="shared" si="1566"/>
        <v>1</v>
      </c>
      <c r="J783" s="62">
        <f t="shared" si="1566"/>
        <v>1</v>
      </c>
      <c r="K783" s="62">
        <f t="shared" si="1566"/>
        <v>1</v>
      </c>
      <c r="L783" s="62">
        <f t="shared" si="1566"/>
        <v>1</v>
      </c>
      <c r="M783" s="62">
        <f t="shared" si="1566"/>
        <v>1</v>
      </c>
      <c r="N783" s="62">
        <f t="shared" si="1566"/>
        <v>1</v>
      </c>
      <c r="O783" s="62">
        <f t="shared" si="1566"/>
        <v>1</v>
      </c>
      <c r="P783" s="62" t="str">
        <f t="shared" si="1566"/>
        <v/>
      </c>
      <c r="Q783" s="62" t="str">
        <f t="shared" si="1566"/>
        <v/>
      </c>
      <c r="R783" s="62">
        <f t="shared" si="7"/>
        <v>0</v>
      </c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</row>
    <row r="784" hidden="1">
      <c r="A784" s="60">
        <f>IFERROR(__xludf.DUMMYFUNCTION("""COMPUTED_VALUE"""),13994.0)</f>
        <v>13994</v>
      </c>
      <c r="B784" s="60" t="str">
        <f>IFERROR(__xludf.DUMMYFUNCTION("""COMPUTED_VALUE"""),"Brown, Pharaoh")</f>
        <v>Brown, Pharaoh</v>
      </c>
      <c r="C784" s="60" t="str">
        <f>IFERROR(__xludf.DUMMYFUNCTION("""COMPUTED_VALUE"""),"TE")</f>
        <v>TE</v>
      </c>
      <c r="D784" s="60" t="str">
        <f>IFERROR(__xludf.DUMMYFUNCTION("""COMPUTED_VALUE"""),"IND")</f>
        <v>IND</v>
      </c>
      <c r="E784" s="62" t="str">
        <f t="shared" si="4"/>
        <v>Pharaoh Brown</v>
      </c>
      <c r="F784" s="62">
        <f t="shared" ref="F784:G784" si="1567">IF(isblank(F$1),,IF(isblank($A784),,IFERROR(vlookup($A784,indirect("'TVC-"&amp;text(month(F$1),"00")&amp;"'!$A:$D"),4,false),1)))</f>
        <v>1</v>
      </c>
      <c r="G784" s="62">
        <f t="shared" si="1567"/>
        <v>1</v>
      </c>
      <c r="H784" s="62">
        <f t="shared" ref="H784:Q784" si="1568">IF(isblank(H$1),,IFERROR(vlookup($A784,indirect("'TVC-"&amp;text(month(H$1),"00")&amp;"'!$A:$D"),4,false),1))</f>
        <v>1</v>
      </c>
      <c r="I784" s="62">
        <f t="shared" si="1568"/>
        <v>1</v>
      </c>
      <c r="J784" s="62">
        <f t="shared" si="1568"/>
        <v>1</v>
      </c>
      <c r="K784" s="62">
        <f t="shared" si="1568"/>
        <v>1</v>
      </c>
      <c r="L784" s="62">
        <f t="shared" si="1568"/>
        <v>1</v>
      </c>
      <c r="M784" s="62">
        <f t="shared" si="1568"/>
        <v>1</v>
      </c>
      <c r="N784" s="62">
        <f t="shared" si="1568"/>
        <v>1</v>
      </c>
      <c r="O784" s="62">
        <f t="shared" si="1568"/>
        <v>1</v>
      </c>
      <c r="P784" s="62" t="str">
        <f t="shared" si="1568"/>
        <v/>
      </c>
      <c r="Q784" s="62" t="str">
        <f t="shared" si="1568"/>
        <v/>
      </c>
      <c r="R784" s="62">
        <f t="shared" si="7"/>
        <v>0</v>
      </c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</row>
    <row r="785" hidden="1">
      <c r="A785" s="60">
        <f>IFERROR(__xludf.DUMMYFUNCTION("""COMPUTED_VALUE"""),14012.0)</f>
        <v>14012</v>
      </c>
      <c r="B785" s="60" t="str">
        <f>IFERROR(__xludf.DUMMYFUNCTION("""COMPUTED_VALUE"""),"Ford, Mike")</f>
        <v>Ford, Mike</v>
      </c>
      <c r="C785" s="60" t="str">
        <f>IFERROR(__xludf.DUMMYFUNCTION("""COMPUTED_VALUE"""),"CB")</f>
        <v>CB</v>
      </c>
      <c r="D785" s="60" t="str">
        <f>IFERROR(__xludf.DUMMYFUNCTION("""COMPUTED_VALUE"""),"ATL")</f>
        <v>ATL</v>
      </c>
      <c r="E785" s="62" t="str">
        <f t="shared" si="4"/>
        <v>Mike Ford</v>
      </c>
      <c r="F785" s="62">
        <f t="shared" ref="F785:G785" si="1569">IF(isblank(F$1),,IF(isblank($A785),,IFERROR(vlookup($A785,indirect("'TVC-"&amp;text(month(F$1),"00")&amp;"'!$A:$D"),4,false),1)))</f>
        <v>1</v>
      </c>
      <c r="G785" s="62">
        <f t="shared" si="1569"/>
        <v>1</v>
      </c>
      <c r="H785" s="62">
        <f t="shared" ref="H785:Q785" si="1570">IF(isblank(H$1),,IFERROR(vlookup($A785,indirect("'TVC-"&amp;text(month(H$1),"00")&amp;"'!$A:$D"),4,false),1))</f>
        <v>1</v>
      </c>
      <c r="I785" s="62">
        <f t="shared" si="1570"/>
        <v>1</v>
      </c>
      <c r="J785" s="62">
        <f t="shared" si="1570"/>
        <v>1</v>
      </c>
      <c r="K785" s="62">
        <f t="shared" si="1570"/>
        <v>1</v>
      </c>
      <c r="L785" s="62">
        <f t="shared" si="1570"/>
        <v>1</v>
      </c>
      <c r="M785" s="62">
        <f t="shared" si="1570"/>
        <v>1</v>
      </c>
      <c r="N785" s="62">
        <f t="shared" si="1570"/>
        <v>1</v>
      </c>
      <c r="O785" s="62">
        <f t="shared" si="1570"/>
        <v>1</v>
      </c>
      <c r="P785" s="62" t="str">
        <f t="shared" si="1570"/>
        <v/>
      </c>
      <c r="Q785" s="62" t="str">
        <f t="shared" si="1570"/>
        <v/>
      </c>
      <c r="R785" s="62">
        <f t="shared" si="7"/>
        <v>0</v>
      </c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</row>
    <row r="786" hidden="1">
      <c r="A786" s="60">
        <f>IFERROR(__xludf.DUMMYFUNCTION("""COMPUTED_VALUE"""),14017.0)</f>
        <v>14017</v>
      </c>
      <c r="B786" s="60" t="str">
        <f>IFERROR(__xludf.DUMMYFUNCTION("""COMPUTED_VALUE"""),"Wilson, Jeffery")</f>
        <v>Wilson, Jeffery</v>
      </c>
      <c r="C786" s="60" t="str">
        <f>IFERROR(__xludf.DUMMYFUNCTION("""COMPUTED_VALUE"""),"RB")</f>
        <v>RB</v>
      </c>
      <c r="D786" s="60" t="str">
        <f>IFERROR(__xludf.DUMMYFUNCTION("""COMPUTED_VALUE"""),"MIA")</f>
        <v>MIA</v>
      </c>
      <c r="E786" s="62" t="str">
        <f t="shared" si="4"/>
        <v>Jeffery Wilson</v>
      </c>
      <c r="F786" s="62">
        <f t="shared" ref="F786:G786" si="1571">IF(isblank(F$1),,IF(isblank($A786),,IFERROR(vlookup($A786,indirect("'TVC-"&amp;text(month(F$1),"00")&amp;"'!$A:$D"),4,false),1)))</f>
        <v>1</v>
      </c>
      <c r="G786" s="62">
        <f t="shared" si="1571"/>
        <v>1</v>
      </c>
      <c r="H786" s="62">
        <f t="shared" ref="H786:Q786" si="1572">IF(isblank(H$1),,IFERROR(vlookup($A786,indirect("'TVC-"&amp;text(month(H$1),"00")&amp;"'!$A:$D"),4,false),1))</f>
        <v>1</v>
      </c>
      <c r="I786" s="62">
        <f t="shared" si="1572"/>
        <v>1</v>
      </c>
      <c r="J786" s="62">
        <f t="shared" si="1572"/>
        <v>1</v>
      </c>
      <c r="K786" s="62">
        <f t="shared" si="1572"/>
        <v>1</v>
      </c>
      <c r="L786" s="62">
        <f t="shared" si="1572"/>
        <v>1</v>
      </c>
      <c r="M786" s="62">
        <f t="shared" si="1572"/>
        <v>1</v>
      </c>
      <c r="N786" s="62">
        <f t="shared" si="1572"/>
        <v>1</v>
      </c>
      <c r="O786" s="62">
        <f t="shared" si="1572"/>
        <v>1</v>
      </c>
      <c r="P786" s="62" t="str">
        <f t="shared" si="1572"/>
        <v/>
      </c>
      <c r="Q786" s="62" t="str">
        <f t="shared" si="1572"/>
        <v/>
      </c>
      <c r="R786" s="62">
        <f t="shared" si="7"/>
        <v>0</v>
      </c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</row>
    <row r="787">
      <c r="A787" s="60">
        <f>IFERROR(__xludf.DUMMYFUNCTION("""COMPUTED_VALUE"""),14037.0)</f>
        <v>14037</v>
      </c>
      <c r="B787" s="60" t="str">
        <f>IFERROR(__xludf.DUMMYFUNCTION("""COMPUTED_VALUE"""),"Davis, Jalen")</f>
        <v>Davis, Jalen</v>
      </c>
      <c r="C787" s="60" t="str">
        <f>IFERROR(__xludf.DUMMYFUNCTION("""COMPUTED_VALUE"""),"CB")</f>
        <v>CB</v>
      </c>
      <c r="D787" s="60" t="str">
        <f>IFERROR(__xludf.DUMMYFUNCTION("""COMPUTED_VALUE"""),"CIN")</f>
        <v>CIN</v>
      </c>
      <c r="E787" s="62" t="str">
        <f t="shared" si="4"/>
        <v>Jalen Davis</v>
      </c>
      <c r="F787" s="62">
        <f t="shared" ref="F787:G787" si="1573">IF(isblank(F$1),,IF(isblank($A787),,IFERROR(vlookup($A787,indirect("'TVC-"&amp;text(month(F$1),"00")&amp;"'!$A:$D"),4,false),1)))</f>
        <v>1</v>
      </c>
      <c r="G787" s="62">
        <f t="shared" si="1573"/>
        <v>1</v>
      </c>
      <c r="H787" s="62">
        <f t="shared" ref="H787:Q787" si="1574">IF(isblank(H$1),,IFERROR(vlookup($A787,indirect("'TVC-"&amp;text(month(H$1),"00")&amp;"'!$A:$D"),4,false),1))</f>
        <v>1</v>
      </c>
      <c r="I787" s="62">
        <f t="shared" si="1574"/>
        <v>1</v>
      </c>
      <c r="J787" s="62">
        <f t="shared" si="1574"/>
        <v>1</v>
      </c>
      <c r="K787" s="62">
        <f t="shared" si="1574"/>
        <v>1</v>
      </c>
      <c r="L787" s="62">
        <f t="shared" si="1574"/>
        <v>1</v>
      </c>
      <c r="M787" s="62">
        <f t="shared" si="1574"/>
        <v>1</v>
      </c>
      <c r="N787" s="62">
        <f t="shared" si="1574"/>
        <v>1</v>
      </c>
      <c r="O787" s="62">
        <f t="shared" si="1574"/>
        <v>1</v>
      </c>
      <c r="P787" s="62" t="str">
        <f t="shared" si="1574"/>
        <v/>
      </c>
      <c r="Q787" s="62" t="str">
        <f t="shared" si="1574"/>
        <v/>
      </c>
      <c r="R787" s="62">
        <f t="shared" si="7"/>
        <v>0</v>
      </c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</row>
    <row r="788">
      <c r="A788" s="60">
        <f>IFERROR(__xludf.DUMMYFUNCTION("""COMPUTED_VALUE"""),14050.0)</f>
        <v>14050</v>
      </c>
      <c r="B788" s="60" t="str">
        <f>IFERROR(__xludf.DUMMYFUNCTION("""COMPUTED_VALUE"""),"LaFleur, Matt")</f>
        <v>LaFleur, Matt</v>
      </c>
      <c r="C788" s="60" t="str">
        <f>IFERROR(__xludf.DUMMYFUNCTION("""COMPUTED_VALUE"""),"Coach")</f>
        <v>Coach</v>
      </c>
      <c r="D788" s="60" t="str">
        <f>IFERROR(__xludf.DUMMYFUNCTION("""COMPUTED_VALUE"""),"GBP")</f>
        <v>GBP</v>
      </c>
      <c r="E788" s="62" t="str">
        <f t="shared" si="4"/>
        <v>Matt LaFleur</v>
      </c>
      <c r="F788" s="62">
        <f t="shared" ref="F788:G788" si="1575">IF(isblank(F$1),,IF(isblank($A788),,IFERROR(vlookup($A788,indirect("'TVC-"&amp;text(month(F$1),"00")&amp;"'!$A:$D"),4,false),1)))</f>
        <v>1</v>
      </c>
      <c r="G788" s="62">
        <f t="shared" si="1575"/>
        <v>1</v>
      </c>
      <c r="H788" s="62">
        <f t="shared" ref="H788:Q788" si="1576">IF(isblank(H$1),,IFERROR(vlookup($A788,indirect("'TVC-"&amp;text(month(H$1),"00")&amp;"'!$A:$D"),4,false),1))</f>
        <v>1</v>
      </c>
      <c r="I788" s="62">
        <f t="shared" si="1576"/>
        <v>1</v>
      </c>
      <c r="J788" s="62">
        <f t="shared" si="1576"/>
        <v>1</v>
      </c>
      <c r="K788" s="62">
        <f t="shared" si="1576"/>
        <v>1</v>
      </c>
      <c r="L788" s="62">
        <f t="shared" si="1576"/>
        <v>1</v>
      </c>
      <c r="M788" s="62">
        <f t="shared" si="1576"/>
        <v>1</v>
      </c>
      <c r="N788" s="62">
        <f t="shared" si="1576"/>
        <v>1</v>
      </c>
      <c r="O788" s="62">
        <f t="shared" si="1576"/>
        <v>1</v>
      </c>
      <c r="P788" s="62" t="str">
        <f t="shared" si="1576"/>
        <v/>
      </c>
      <c r="Q788" s="62" t="str">
        <f t="shared" si="1576"/>
        <v/>
      </c>
      <c r="R788" s="62">
        <f t="shared" si="7"/>
        <v>0</v>
      </c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</row>
    <row r="789">
      <c r="A789" s="60">
        <f>IFERROR(__xludf.DUMMYFUNCTION("""COMPUTED_VALUE"""),14054.0)</f>
        <v>14054</v>
      </c>
      <c r="B789" s="60" t="str">
        <f>IFERROR(__xludf.DUMMYFUNCTION("""COMPUTED_VALUE"""),"Taylor, Zac")</f>
        <v>Taylor, Zac</v>
      </c>
      <c r="C789" s="60" t="str">
        <f>IFERROR(__xludf.DUMMYFUNCTION("""COMPUTED_VALUE"""),"Coach")</f>
        <v>Coach</v>
      </c>
      <c r="D789" s="60" t="str">
        <f>IFERROR(__xludf.DUMMYFUNCTION("""COMPUTED_VALUE"""),"CIN")</f>
        <v>CIN</v>
      </c>
      <c r="E789" s="62" t="str">
        <f t="shared" si="4"/>
        <v>Zac Taylor</v>
      </c>
      <c r="F789" s="62">
        <f t="shared" ref="F789:G789" si="1577">IF(isblank(F$1),,IF(isblank($A789),,IFERROR(vlookup($A789,indirect("'TVC-"&amp;text(month(F$1),"00")&amp;"'!$A:$D"),4,false),1)))</f>
        <v>1</v>
      </c>
      <c r="G789" s="62">
        <f t="shared" si="1577"/>
        <v>1</v>
      </c>
      <c r="H789" s="62">
        <f t="shared" ref="H789:Q789" si="1578">IF(isblank(H$1),,IFERROR(vlookup($A789,indirect("'TVC-"&amp;text(month(H$1),"00")&amp;"'!$A:$D"),4,false),1))</f>
        <v>1</v>
      </c>
      <c r="I789" s="62">
        <f t="shared" si="1578"/>
        <v>1</v>
      </c>
      <c r="J789" s="62">
        <f t="shared" si="1578"/>
        <v>1</v>
      </c>
      <c r="K789" s="62">
        <f t="shared" si="1578"/>
        <v>1</v>
      </c>
      <c r="L789" s="62">
        <f t="shared" si="1578"/>
        <v>1</v>
      </c>
      <c r="M789" s="62">
        <f t="shared" si="1578"/>
        <v>1</v>
      </c>
      <c r="N789" s="62">
        <f t="shared" si="1578"/>
        <v>1</v>
      </c>
      <c r="O789" s="62">
        <f t="shared" si="1578"/>
        <v>1</v>
      </c>
      <c r="P789" s="62" t="str">
        <f t="shared" si="1578"/>
        <v/>
      </c>
      <c r="Q789" s="62" t="str">
        <f t="shared" si="1578"/>
        <v/>
      </c>
      <c r="R789" s="62">
        <f t="shared" si="7"/>
        <v>0</v>
      </c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</row>
    <row r="790" hidden="1">
      <c r="A790" s="60">
        <f>IFERROR(__xludf.DUMMYFUNCTION("""COMPUTED_VALUE"""),14056.0)</f>
        <v>14056</v>
      </c>
      <c r="B790" s="60" t="str">
        <f>IFERROR(__xludf.DUMMYFUNCTION("""COMPUTED_VALUE"""),"Murray, Kyler")</f>
        <v>Murray, Kyler</v>
      </c>
      <c r="C790" s="60" t="str">
        <f>IFERROR(__xludf.DUMMYFUNCTION("""COMPUTED_VALUE"""),"QB")</f>
        <v>QB</v>
      </c>
      <c r="D790" s="60" t="str">
        <f>IFERROR(__xludf.DUMMYFUNCTION("""COMPUTED_VALUE"""),"MIN")</f>
        <v>MIN</v>
      </c>
      <c r="E790" s="62" t="str">
        <f t="shared" si="4"/>
        <v>Kyler Murray</v>
      </c>
      <c r="F790" s="62">
        <f t="shared" ref="F790:G790" si="1579">IF(isblank(F$1),,IF(isblank($A790),,IFERROR(vlookup($A790,indirect("'TVC-"&amp;text(month(F$1),"00")&amp;"'!$A:$D"),4,false),1)))</f>
        <v>3430</v>
      </c>
      <c r="G790" s="62">
        <f t="shared" si="1579"/>
        <v>3604</v>
      </c>
      <c r="H790" s="62">
        <f t="shared" ref="H790:Q790" si="1580">IF(isblank(H$1),,IFERROR(vlookup($A790,indirect("'TVC-"&amp;text(month(H$1),"00")&amp;"'!$A:$D"),4,false),1))</f>
        <v>3614</v>
      </c>
      <c r="I790" s="62">
        <f t="shared" si="1580"/>
        <v>4398</v>
      </c>
      <c r="J790" s="62">
        <f t="shared" si="1580"/>
        <v>4099</v>
      </c>
      <c r="K790" s="62">
        <f t="shared" si="1580"/>
        <v>4094</v>
      </c>
      <c r="L790" s="62">
        <f t="shared" si="1580"/>
        <v>4123</v>
      </c>
      <c r="M790" s="62">
        <f t="shared" si="1580"/>
        <v>3987</v>
      </c>
      <c r="N790" s="62">
        <f t="shared" si="1580"/>
        <v>3852</v>
      </c>
      <c r="O790" s="62">
        <f t="shared" si="1580"/>
        <v>1</v>
      </c>
      <c r="P790" s="62" t="str">
        <f t="shared" si="1580"/>
        <v/>
      </c>
      <c r="Q790" s="62" t="str">
        <f t="shared" si="1580"/>
        <v/>
      </c>
      <c r="R790" s="62">
        <f t="shared" si="7"/>
        <v>-3851</v>
      </c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</row>
    <row r="791" hidden="1">
      <c r="A791" s="60">
        <f>IFERROR(__xludf.DUMMYFUNCTION("""COMPUTED_VALUE"""),14057.0)</f>
        <v>14057</v>
      </c>
      <c r="B791" s="60" t="str">
        <f>IFERROR(__xludf.DUMMYFUNCTION("""COMPUTED_VALUE"""),"Lock, Drew")</f>
        <v>Lock, Drew</v>
      </c>
      <c r="C791" s="60" t="str">
        <f>IFERROR(__xludf.DUMMYFUNCTION("""COMPUTED_VALUE"""),"QB")</f>
        <v>QB</v>
      </c>
      <c r="D791" s="60" t="str">
        <f>IFERROR(__xludf.DUMMYFUNCTION("""COMPUTED_VALUE"""),"SEA")</f>
        <v>SEA</v>
      </c>
      <c r="E791" s="62" t="str">
        <f t="shared" si="4"/>
        <v>Drew Lock</v>
      </c>
      <c r="F791" s="62">
        <f t="shared" ref="F791:G791" si="1581">IF(isblank(F$1),,IF(isblank($A791),,IFERROR(vlookup($A791,indirect("'TVC-"&amp;text(month(F$1),"00")&amp;"'!$A:$D"),4,false),1)))</f>
        <v>848</v>
      </c>
      <c r="G791" s="62">
        <f t="shared" si="1581"/>
        <v>929</v>
      </c>
      <c r="H791" s="62">
        <f t="shared" ref="H791:Q791" si="1582">IF(isblank(H$1),,IFERROR(vlookup($A791,indirect("'TVC-"&amp;text(month(H$1),"00")&amp;"'!$A:$D"),4,false),1))</f>
        <v>954</v>
      </c>
      <c r="I791" s="62">
        <f t="shared" si="1582"/>
        <v>1044</v>
      </c>
      <c r="J791" s="62">
        <f t="shared" si="1582"/>
        <v>1021</v>
      </c>
      <c r="K791" s="62">
        <f t="shared" si="1582"/>
        <v>973</v>
      </c>
      <c r="L791" s="62">
        <f t="shared" si="1582"/>
        <v>951</v>
      </c>
      <c r="M791" s="62">
        <f t="shared" si="1582"/>
        <v>856</v>
      </c>
      <c r="N791" s="62">
        <f t="shared" si="1582"/>
        <v>813</v>
      </c>
      <c r="O791" s="62">
        <f t="shared" si="1582"/>
        <v>1</v>
      </c>
      <c r="P791" s="62" t="str">
        <f t="shared" si="1582"/>
        <v/>
      </c>
      <c r="Q791" s="62" t="str">
        <f t="shared" si="1582"/>
        <v/>
      </c>
      <c r="R791" s="62">
        <f t="shared" si="7"/>
        <v>-812</v>
      </c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</row>
    <row r="792" hidden="1">
      <c r="A792" s="60">
        <f>IFERROR(__xludf.DUMMYFUNCTION("""COMPUTED_VALUE"""),14059.0)</f>
        <v>14059</v>
      </c>
      <c r="B792" s="60" t="str">
        <f>IFERROR(__xludf.DUMMYFUNCTION("""COMPUTED_VALUE"""),"Jones, Daniel")</f>
        <v>Jones, Daniel</v>
      </c>
      <c r="C792" s="60" t="str">
        <f>IFERROR(__xludf.DUMMYFUNCTION("""COMPUTED_VALUE"""),"QB")</f>
        <v>QB</v>
      </c>
      <c r="D792" s="60" t="str">
        <f>IFERROR(__xludf.DUMMYFUNCTION("""COMPUTED_VALUE"""),"IND")</f>
        <v>IND</v>
      </c>
      <c r="E792" s="62" t="str">
        <f t="shared" si="4"/>
        <v>Daniel Jones</v>
      </c>
      <c r="F792" s="62">
        <f t="shared" ref="F792:G792" si="1583">IF(isblank(F$1),,IF(isblank($A792),,IFERROR(vlookup($A792,indirect("'TVC-"&amp;text(month(F$1),"00")&amp;"'!$A:$D"),4,false),1)))</f>
        <v>3793</v>
      </c>
      <c r="G792" s="62">
        <f t="shared" si="1583"/>
        <v>3990</v>
      </c>
      <c r="H792" s="62">
        <f t="shared" ref="H792:Q792" si="1584">IF(isblank(H$1),,IFERROR(vlookup($A792,indirect("'TVC-"&amp;text(month(H$1),"00")&amp;"'!$A:$D"),4,false),1))</f>
        <v>4050</v>
      </c>
      <c r="I792" s="62">
        <f t="shared" si="1584"/>
        <v>4274</v>
      </c>
      <c r="J792" s="62">
        <f t="shared" si="1584"/>
        <v>4011</v>
      </c>
      <c r="K792" s="62">
        <f t="shared" si="1584"/>
        <v>3951</v>
      </c>
      <c r="L792" s="62">
        <f t="shared" si="1584"/>
        <v>3929</v>
      </c>
      <c r="M792" s="62">
        <f t="shared" si="1584"/>
        <v>3919</v>
      </c>
      <c r="N792" s="62">
        <f t="shared" si="1584"/>
        <v>3689</v>
      </c>
      <c r="O792" s="62">
        <f t="shared" si="1584"/>
        <v>1</v>
      </c>
      <c r="P792" s="62" t="str">
        <f t="shared" si="1584"/>
        <v/>
      </c>
      <c r="Q792" s="62" t="str">
        <f t="shared" si="1584"/>
        <v/>
      </c>
      <c r="R792" s="62">
        <f t="shared" si="7"/>
        <v>-3688</v>
      </c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</row>
    <row r="793" hidden="1">
      <c r="A793" s="60">
        <f>IFERROR(__xludf.DUMMYFUNCTION("""COMPUTED_VALUE"""),14060.0)</f>
        <v>14060</v>
      </c>
      <c r="B793" s="60" t="str">
        <f>IFERROR(__xludf.DUMMYFUNCTION("""COMPUTED_VALUE"""),"Jackson, Tyree")</f>
        <v>Jackson, Tyree</v>
      </c>
      <c r="C793" s="60" t="str">
        <f>IFERROR(__xludf.DUMMYFUNCTION("""COMPUTED_VALUE"""),"TE")</f>
        <v>TE</v>
      </c>
      <c r="D793" s="60" t="str">
        <f>IFERROR(__xludf.DUMMYFUNCTION("""COMPUTED_VALUE"""),"WAS")</f>
        <v>WAS</v>
      </c>
      <c r="E793" s="62" t="str">
        <f t="shared" si="4"/>
        <v>Tyree Jackson</v>
      </c>
      <c r="F793" s="62">
        <f t="shared" ref="F793:G793" si="1585">IF(isblank(F$1),,IF(isblank($A793),,IFERROR(vlookup($A793,indirect("'TVC-"&amp;text(month(F$1),"00")&amp;"'!$A:$D"),4,false),1)))</f>
        <v>1</v>
      </c>
      <c r="G793" s="62">
        <f t="shared" si="1585"/>
        <v>1</v>
      </c>
      <c r="H793" s="62">
        <f t="shared" ref="H793:Q793" si="1586">IF(isblank(H$1),,IFERROR(vlookup($A793,indirect("'TVC-"&amp;text(month(H$1),"00")&amp;"'!$A:$D"),4,false),1))</f>
        <v>1</v>
      </c>
      <c r="I793" s="62">
        <f t="shared" si="1586"/>
        <v>1</v>
      </c>
      <c r="J793" s="62">
        <f t="shared" si="1586"/>
        <v>1</v>
      </c>
      <c r="K793" s="62">
        <f t="shared" si="1586"/>
        <v>1</v>
      </c>
      <c r="L793" s="62">
        <f t="shared" si="1586"/>
        <v>1</v>
      </c>
      <c r="M793" s="62">
        <f t="shared" si="1586"/>
        <v>1</v>
      </c>
      <c r="N793" s="62">
        <f t="shared" si="1586"/>
        <v>1</v>
      </c>
      <c r="O793" s="62">
        <f t="shared" si="1586"/>
        <v>1</v>
      </c>
      <c r="P793" s="62" t="str">
        <f t="shared" si="1586"/>
        <v/>
      </c>
      <c r="Q793" s="62" t="str">
        <f t="shared" si="1586"/>
        <v/>
      </c>
      <c r="R793" s="62">
        <f t="shared" si="7"/>
        <v>0</v>
      </c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</row>
    <row r="794">
      <c r="A794" s="60">
        <f>IFERROR(__xludf.DUMMYFUNCTION("""COMPUTED_VALUE"""),14062.0)</f>
        <v>14062</v>
      </c>
      <c r="B794" s="60" t="str">
        <f>IFERROR(__xludf.DUMMYFUNCTION("""COMPUTED_VALUE"""),"Grier, Will")</f>
        <v>Grier, Will</v>
      </c>
      <c r="C794" s="60" t="str">
        <f>IFERROR(__xludf.DUMMYFUNCTION("""COMPUTED_VALUE"""),"QB")</f>
        <v>QB</v>
      </c>
      <c r="D794" s="60" t="str">
        <f>IFERROR(__xludf.DUMMYFUNCTION("""COMPUTED_VALUE"""),"FA")</f>
        <v>FA</v>
      </c>
      <c r="E794" s="62" t="str">
        <f t="shared" si="4"/>
        <v>Will Grier</v>
      </c>
      <c r="F794" s="62">
        <f t="shared" ref="F794:G794" si="1587">IF(isblank(F$1),,IF(isblank($A794),,IFERROR(vlookup($A794,indirect("'TVC-"&amp;text(month(F$1),"00")&amp;"'!$A:$D"),4,false),1)))</f>
        <v>1</v>
      </c>
      <c r="G794" s="62">
        <f t="shared" si="1587"/>
        <v>1</v>
      </c>
      <c r="H794" s="62">
        <f t="shared" ref="H794:Q794" si="1588">IF(isblank(H$1),,IFERROR(vlookup($A794,indirect("'TVC-"&amp;text(month(H$1),"00")&amp;"'!$A:$D"),4,false),1))</f>
        <v>1</v>
      </c>
      <c r="I794" s="62">
        <f t="shared" si="1588"/>
        <v>1</v>
      </c>
      <c r="J794" s="62">
        <f t="shared" si="1588"/>
        <v>1</v>
      </c>
      <c r="K794" s="62">
        <f t="shared" si="1588"/>
        <v>1</v>
      </c>
      <c r="L794" s="62">
        <f t="shared" si="1588"/>
        <v>1</v>
      </c>
      <c r="M794" s="62">
        <f t="shared" si="1588"/>
        <v>1</v>
      </c>
      <c r="N794" s="62">
        <f t="shared" si="1588"/>
        <v>1</v>
      </c>
      <c r="O794" s="62">
        <f t="shared" si="1588"/>
        <v>1</v>
      </c>
      <c r="P794" s="62" t="str">
        <f t="shared" si="1588"/>
        <v/>
      </c>
      <c r="Q794" s="62" t="str">
        <f t="shared" si="1588"/>
        <v/>
      </c>
      <c r="R794" s="62">
        <f t="shared" si="7"/>
        <v>0</v>
      </c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</row>
    <row r="795" hidden="1">
      <c r="A795" s="60">
        <f>IFERROR(__xludf.DUMMYFUNCTION("""COMPUTED_VALUE"""),14063.0)</f>
        <v>14063</v>
      </c>
      <c r="B795" s="60" t="str">
        <f>IFERROR(__xludf.DUMMYFUNCTION("""COMPUTED_VALUE"""),"Stidham, Jarrett")</f>
        <v>Stidham, Jarrett</v>
      </c>
      <c r="C795" s="60" t="str">
        <f>IFERROR(__xludf.DUMMYFUNCTION("""COMPUTED_VALUE"""),"QB")</f>
        <v>QB</v>
      </c>
      <c r="D795" s="60" t="str">
        <f>IFERROR(__xludf.DUMMYFUNCTION("""COMPUTED_VALUE"""),"DEN")</f>
        <v>DEN</v>
      </c>
      <c r="E795" s="62" t="str">
        <f t="shared" si="4"/>
        <v>Jarrett Stidham</v>
      </c>
      <c r="F795" s="62">
        <f t="shared" ref="F795:G795" si="1589">IF(isblank(F$1),,IF(isblank($A795),,IFERROR(vlookup($A795,indirect("'TVC-"&amp;text(month(F$1),"00")&amp;"'!$A:$D"),4,false),1)))</f>
        <v>1</v>
      </c>
      <c r="G795" s="62">
        <f t="shared" si="1589"/>
        <v>1</v>
      </c>
      <c r="H795" s="62">
        <f t="shared" ref="H795:Q795" si="1590">IF(isblank(H$1),,IFERROR(vlookup($A795,indirect("'TVC-"&amp;text(month(H$1),"00")&amp;"'!$A:$D"),4,false),1))</f>
        <v>1</v>
      </c>
      <c r="I795" s="62">
        <f t="shared" si="1590"/>
        <v>1</v>
      </c>
      <c r="J795" s="62">
        <f t="shared" si="1590"/>
        <v>1</v>
      </c>
      <c r="K795" s="62">
        <f t="shared" si="1590"/>
        <v>1</v>
      </c>
      <c r="L795" s="62">
        <f t="shared" si="1590"/>
        <v>1</v>
      </c>
      <c r="M795" s="62">
        <f t="shared" si="1590"/>
        <v>1</v>
      </c>
      <c r="N795" s="62">
        <f t="shared" si="1590"/>
        <v>1</v>
      </c>
      <c r="O795" s="62">
        <f t="shared" si="1590"/>
        <v>1</v>
      </c>
      <c r="P795" s="62" t="str">
        <f t="shared" si="1590"/>
        <v/>
      </c>
      <c r="Q795" s="62" t="str">
        <f t="shared" si="1590"/>
        <v/>
      </c>
      <c r="R795" s="62">
        <f t="shared" si="7"/>
        <v>0</v>
      </c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</row>
    <row r="796">
      <c r="A796" s="60">
        <f>IFERROR(__xludf.DUMMYFUNCTION("""COMPUTED_VALUE"""),14065.0)</f>
        <v>14065</v>
      </c>
      <c r="B796" s="60" t="str">
        <f>IFERROR(__xludf.DUMMYFUNCTION("""COMPUTED_VALUE"""),"Rypien, Brett")</f>
        <v>Rypien, Brett</v>
      </c>
      <c r="C796" s="60" t="str">
        <f>IFERROR(__xludf.DUMMYFUNCTION("""COMPUTED_VALUE"""),"QB")</f>
        <v>QB</v>
      </c>
      <c r="D796" s="60" t="str">
        <f>IFERROR(__xludf.DUMMYFUNCTION("""COMPUTED_VALUE"""),"TBB")</f>
        <v>TBB</v>
      </c>
      <c r="E796" s="62" t="str">
        <f t="shared" si="4"/>
        <v>Brett Rypien</v>
      </c>
      <c r="F796" s="62">
        <f t="shared" ref="F796:G796" si="1591">IF(isblank(F$1),,IF(isblank($A796),,IFERROR(vlookup($A796,indirect("'TVC-"&amp;text(month(F$1),"00")&amp;"'!$A:$D"),4,false),1)))</f>
        <v>1</v>
      </c>
      <c r="G796" s="62">
        <f t="shared" si="1591"/>
        <v>1</v>
      </c>
      <c r="H796" s="62">
        <f t="shared" ref="H796:Q796" si="1592">IF(isblank(H$1),,IFERROR(vlookup($A796,indirect("'TVC-"&amp;text(month(H$1),"00")&amp;"'!$A:$D"),4,false),1))</f>
        <v>1</v>
      </c>
      <c r="I796" s="62">
        <f t="shared" si="1592"/>
        <v>1</v>
      </c>
      <c r="J796" s="62">
        <f t="shared" si="1592"/>
        <v>1</v>
      </c>
      <c r="K796" s="62">
        <f t="shared" si="1592"/>
        <v>1</v>
      </c>
      <c r="L796" s="62">
        <f t="shared" si="1592"/>
        <v>1</v>
      </c>
      <c r="M796" s="62">
        <f t="shared" si="1592"/>
        <v>1</v>
      </c>
      <c r="N796" s="62">
        <f t="shared" si="1592"/>
        <v>1</v>
      </c>
      <c r="O796" s="62">
        <f t="shared" si="1592"/>
        <v>1</v>
      </c>
      <c r="P796" s="62" t="str">
        <f t="shared" si="1592"/>
        <v/>
      </c>
      <c r="Q796" s="62" t="str">
        <f t="shared" si="1592"/>
        <v/>
      </c>
      <c r="R796" s="62">
        <f t="shared" si="7"/>
        <v>0</v>
      </c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</row>
    <row r="797">
      <c r="A797" s="60">
        <f>IFERROR(__xludf.DUMMYFUNCTION("""COMPUTED_VALUE"""),14067.0)</f>
        <v>14067</v>
      </c>
      <c r="B797" s="60" t="str">
        <f>IFERROR(__xludf.DUMMYFUNCTION("""COMPUTED_VALUE"""),"Minshew, Gardner")</f>
        <v>Minshew, Gardner</v>
      </c>
      <c r="C797" s="60" t="str">
        <f>IFERROR(__xludf.DUMMYFUNCTION("""COMPUTED_VALUE"""),"QB")</f>
        <v>QB</v>
      </c>
      <c r="D797" s="60" t="str">
        <f>IFERROR(__xludf.DUMMYFUNCTION("""COMPUTED_VALUE"""),"ARI")</f>
        <v>ARI</v>
      </c>
      <c r="E797" s="62" t="str">
        <f t="shared" si="4"/>
        <v>Gardner Minshew</v>
      </c>
      <c r="F797" s="62">
        <f t="shared" ref="F797:G797" si="1593">IF(isblank(F$1),,IF(isblank($A797),,IFERROR(vlookup($A797,indirect("'TVC-"&amp;text(month(F$1),"00")&amp;"'!$A:$D"),4,false),1)))</f>
        <v>893</v>
      </c>
      <c r="G797" s="62">
        <f t="shared" si="1593"/>
        <v>947</v>
      </c>
      <c r="H797" s="62">
        <f t="shared" ref="H797:Q797" si="1594">IF(isblank(H$1),,IFERROR(vlookup($A797,indirect("'TVC-"&amp;text(month(H$1),"00")&amp;"'!$A:$D"),4,false),1))</f>
        <v>983</v>
      </c>
      <c r="I797" s="62">
        <f t="shared" si="1594"/>
        <v>1271</v>
      </c>
      <c r="J797" s="62">
        <f t="shared" si="1594"/>
        <v>1153</v>
      </c>
      <c r="K797" s="62">
        <f t="shared" si="1594"/>
        <v>1136</v>
      </c>
      <c r="L797" s="62">
        <f t="shared" si="1594"/>
        <v>1123</v>
      </c>
      <c r="M797" s="62">
        <f t="shared" si="1594"/>
        <v>1173</v>
      </c>
      <c r="N797" s="62">
        <f t="shared" si="1594"/>
        <v>976</v>
      </c>
      <c r="O797" s="62">
        <f t="shared" si="1594"/>
        <v>1</v>
      </c>
      <c r="P797" s="62" t="str">
        <f t="shared" si="1594"/>
        <v/>
      </c>
      <c r="Q797" s="62" t="str">
        <f t="shared" si="1594"/>
        <v/>
      </c>
      <c r="R797" s="62">
        <f t="shared" si="7"/>
        <v>-975</v>
      </c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</row>
    <row r="798" hidden="1">
      <c r="A798" s="60">
        <f>IFERROR(__xludf.DUMMYFUNCTION("""COMPUTED_VALUE"""),14069.0)</f>
        <v>14069</v>
      </c>
      <c r="B798" s="60" t="str">
        <f>IFERROR(__xludf.DUMMYFUNCTION("""COMPUTED_VALUE"""),"Stick, Easton")</f>
        <v>Stick, Easton</v>
      </c>
      <c r="C798" s="60" t="str">
        <f>IFERROR(__xludf.DUMMYFUNCTION("""COMPUTED_VALUE"""),"QB")</f>
        <v>QB</v>
      </c>
      <c r="D798" s="60" t="str">
        <f>IFERROR(__xludf.DUMMYFUNCTION("""COMPUTED_VALUE"""),"TBB")</f>
        <v>TBB</v>
      </c>
      <c r="E798" s="62" t="str">
        <f t="shared" si="4"/>
        <v>Easton Stick</v>
      </c>
      <c r="F798" s="62">
        <f t="shared" ref="F798:G798" si="1595">IF(isblank(F$1),,IF(isblank($A798),,IFERROR(vlookup($A798,indirect("'TVC-"&amp;text(month(F$1),"00")&amp;"'!$A:$D"),4,false),1)))</f>
        <v>1</v>
      </c>
      <c r="G798" s="62">
        <f t="shared" si="1595"/>
        <v>1</v>
      </c>
      <c r="H798" s="62">
        <f t="shared" ref="H798:Q798" si="1596">IF(isblank(H$1),,IFERROR(vlookup($A798,indirect("'TVC-"&amp;text(month(H$1),"00")&amp;"'!$A:$D"),4,false),1))</f>
        <v>1</v>
      </c>
      <c r="I798" s="62">
        <f t="shared" si="1596"/>
        <v>1</v>
      </c>
      <c r="J798" s="62">
        <f t="shared" si="1596"/>
        <v>1</v>
      </c>
      <c r="K798" s="62">
        <f t="shared" si="1596"/>
        <v>1</v>
      </c>
      <c r="L798" s="62">
        <f t="shared" si="1596"/>
        <v>1</v>
      </c>
      <c r="M798" s="62">
        <f t="shared" si="1596"/>
        <v>1</v>
      </c>
      <c r="N798" s="62">
        <f t="shared" si="1596"/>
        <v>1</v>
      </c>
      <c r="O798" s="62">
        <f t="shared" si="1596"/>
        <v>1</v>
      </c>
      <c r="P798" s="62" t="str">
        <f t="shared" si="1596"/>
        <v/>
      </c>
      <c r="Q798" s="62" t="str">
        <f t="shared" si="1596"/>
        <v/>
      </c>
      <c r="R798" s="62">
        <f t="shared" si="7"/>
        <v>0</v>
      </c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</row>
    <row r="799" hidden="1">
      <c r="A799" s="60">
        <f>IFERROR(__xludf.DUMMYFUNCTION("""COMPUTED_VALUE"""),14071.0)</f>
        <v>14071</v>
      </c>
      <c r="B799" s="60" t="str">
        <f>IFERROR(__xludf.DUMMYFUNCTION("""COMPUTED_VALUE"""),"Montgomery, David")</f>
        <v>Montgomery, David</v>
      </c>
      <c r="C799" s="60" t="str">
        <f>IFERROR(__xludf.DUMMYFUNCTION("""COMPUTED_VALUE"""),"RB")</f>
        <v>RB</v>
      </c>
      <c r="D799" s="60" t="str">
        <f>IFERROR(__xludf.DUMMYFUNCTION("""COMPUTED_VALUE"""),"HOU")</f>
        <v>HOU</v>
      </c>
      <c r="E799" s="62" t="str">
        <f t="shared" si="4"/>
        <v>David Montgomery</v>
      </c>
      <c r="F799" s="62">
        <f t="shared" ref="F799:G799" si="1597">IF(isblank(F$1),,IF(isblank($A799),,IFERROR(vlookup($A799,indirect("'TVC-"&amp;text(month(F$1),"00")&amp;"'!$A:$D"),4,false),1)))</f>
        <v>2816</v>
      </c>
      <c r="G799" s="62">
        <f t="shared" si="1597"/>
        <v>2791</v>
      </c>
      <c r="H799" s="62">
        <f t="shared" ref="H799:Q799" si="1598">IF(isblank(H$1),,IFERROR(vlookup($A799,indirect("'TVC-"&amp;text(month(H$1),"00")&amp;"'!$A:$D"),4,false),1))</f>
        <v>2825</v>
      </c>
      <c r="I799" s="62">
        <f t="shared" si="1598"/>
        <v>3496</v>
      </c>
      <c r="J799" s="62">
        <f t="shared" si="1598"/>
        <v>3375</v>
      </c>
      <c r="K799" s="62">
        <f t="shared" si="1598"/>
        <v>3370</v>
      </c>
      <c r="L799" s="62">
        <f t="shared" si="1598"/>
        <v>3378</v>
      </c>
      <c r="M799" s="62">
        <f t="shared" si="1598"/>
        <v>3465</v>
      </c>
      <c r="N799" s="62">
        <f t="shared" si="1598"/>
        <v>3520</v>
      </c>
      <c r="O799" s="62">
        <f t="shared" si="1598"/>
        <v>1</v>
      </c>
      <c r="P799" s="62" t="str">
        <f t="shared" si="1598"/>
        <v/>
      </c>
      <c r="Q799" s="62" t="str">
        <f t="shared" si="1598"/>
        <v/>
      </c>
      <c r="R799" s="62">
        <f t="shared" si="7"/>
        <v>-3519</v>
      </c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</row>
    <row r="800">
      <c r="A800" s="60">
        <f>IFERROR(__xludf.DUMMYFUNCTION("""COMPUTED_VALUE"""),14073.0)</f>
        <v>14073</v>
      </c>
      <c r="B800" s="60" t="str">
        <f>IFERROR(__xludf.DUMMYFUNCTION("""COMPUTED_VALUE"""),"Jacobs, Josh")</f>
        <v>Jacobs, Josh</v>
      </c>
      <c r="C800" s="60" t="str">
        <f>IFERROR(__xludf.DUMMYFUNCTION("""COMPUTED_VALUE"""),"RB")</f>
        <v>RB</v>
      </c>
      <c r="D800" s="60" t="str">
        <f>IFERROR(__xludf.DUMMYFUNCTION("""COMPUTED_VALUE"""),"GBP")</f>
        <v>GBP</v>
      </c>
      <c r="E800" s="62" t="str">
        <f t="shared" si="4"/>
        <v>Josh Jacobs</v>
      </c>
      <c r="F800" s="62">
        <f t="shared" ref="F800:G800" si="1599">IF(isblank(F$1),,IF(isblank($A800),,IFERROR(vlookup($A800,indirect("'TVC-"&amp;text(month(F$1),"00")&amp;"'!$A:$D"),4,false),1)))</f>
        <v>4659</v>
      </c>
      <c r="G800" s="62">
        <f t="shared" si="1599"/>
        <v>4475</v>
      </c>
      <c r="H800" s="62">
        <f t="shared" ref="H800:Q800" si="1600">IF(isblank(H$1),,IFERROR(vlookup($A800,indirect("'TVC-"&amp;text(month(H$1),"00")&amp;"'!$A:$D"),4,false),1))</f>
        <v>4462</v>
      </c>
      <c r="I800" s="62">
        <f t="shared" si="1600"/>
        <v>4594</v>
      </c>
      <c r="J800" s="62">
        <f t="shared" si="1600"/>
        <v>4451</v>
      </c>
      <c r="K800" s="62">
        <f t="shared" si="1600"/>
        <v>3553</v>
      </c>
      <c r="L800" s="62">
        <f t="shared" si="1600"/>
        <v>3835</v>
      </c>
      <c r="M800" s="62">
        <f t="shared" si="1600"/>
        <v>4090</v>
      </c>
      <c r="N800" s="62">
        <f t="shared" si="1600"/>
        <v>3123</v>
      </c>
      <c r="O800" s="62">
        <f t="shared" si="1600"/>
        <v>1</v>
      </c>
      <c r="P800" s="62" t="str">
        <f t="shared" si="1600"/>
        <v/>
      </c>
      <c r="Q800" s="62" t="str">
        <f t="shared" si="1600"/>
        <v/>
      </c>
      <c r="R800" s="62">
        <f t="shared" si="7"/>
        <v>-3122</v>
      </c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</row>
    <row r="801" hidden="1">
      <c r="A801" s="60">
        <f>IFERROR(__xludf.DUMMYFUNCTION("""COMPUTED_VALUE"""),14076.0)</f>
        <v>14076</v>
      </c>
      <c r="B801" s="60" t="str">
        <f>IFERROR(__xludf.DUMMYFUNCTION("""COMPUTED_VALUE"""),"Williams, Trayveon")</f>
        <v>Williams, Trayveon</v>
      </c>
      <c r="C801" s="60" t="str">
        <f>IFERROR(__xludf.DUMMYFUNCTION("""COMPUTED_VALUE"""),"RB")</f>
        <v>RB</v>
      </c>
      <c r="D801" s="60" t="str">
        <f>IFERROR(__xludf.DUMMYFUNCTION("""COMPUTED_VALUE"""),"FA")</f>
        <v>FA</v>
      </c>
      <c r="E801" s="62" t="str">
        <f t="shared" si="4"/>
        <v>Trayveon Williams</v>
      </c>
      <c r="F801" s="62">
        <f t="shared" ref="F801:G801" si="1601">IF(isblank(F$1),,IF(isblank($A801),,IFERROR(vlookup($A801,indirect("'TVC-"&amp;text(month(F$1),"00")&amp;"'!$A:$D"),4,false),1)))</f>
        <v>544</v>
      </c>
      <c r="G801" s="62">
        <f t="shared" si="1601"/>
        <v>1</v>
      </c>
      <c r="H801" s="62">
        <f t="shared" ref="H801:Q801" si="1602">IF(isblank(H$1),,IFERROR(vlookup($A801,indirect("'TVC-"&amp;text(month(H$1),"00")&amp;"'!$A:$D"),4,false),1))</f>
        <v>1</v>
      </c>
      <c r="I801" s="62">
        <f t="shared" si="1602"/>
        <v>1</v>
      </c>
      <c r="J801" s="62">
        <f t="shared" si="1602"/>
        <v>1</v>
      </c>
      <c r="K801" s="62">
        <f t="shared" si="1602"/>
        <v>1</v>
      </c>
      <c r="L801" s="62">
        <f t="shared" si="1602"/>
        <v>1</v>
      </c>
      <c r="M801" s="62">
        <f t="shared" si="1602"/>
        <v>1</v>
      </c>
      <c r="N801" s="62">
        <f t="shared" si="1602"/>
        <v>480</v>
      </c>
      <c r="O801" s="62">
        <f t="shared" si="1602"/>
        <v>1</v>
      </c>
      <c r="P801" s="62" t="str">
        <f t="shared" si="1602"/>
        <v/>
      </c>
      <c r="Q801" s="62" t="str">
        <f t="shared" si="1602"/>
        <v/>
      </c>
      <c r="R801" s="62">
        <f t="shared" si="7"/>
        <v>-479</v>
      </c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</row>
    <row r="802" hidden="1">
      <c r="A802" s="60">
        <f>IFERROR(__xludf.DUMMYFUNCTION("""COMPUTED_VALUE"""),14079.0)</f>
        <v>14079</v>
      </c>
      <c r="B802" s="60" t="str">
        <f>IFERROR(__xludf.DUMMYFUNCTION("""COMPUTED_VALUE"""),"Sanders, Miles")</f>
        <v>Sanders, Miles</v>
      </c>
      <c r="C802" s="60" t="str">
        <f>IFERROR(__xludf.DUMMYFUNCTION("""COMPUTED_VALUE"""),"RB")</f>
        <v>RB</v>
      </c>
      <c r="D802" s="60" t="str">
        <f>IFERROR(__xludf.DUMMYFUNCTION("""COMPUTED_VALUE"""),"FA")</f>
        <v>FA</v>
      </c>
      <c r="E802" s="62" t="str">
        <f t="shared" si="4"/>
        <v>Miles Sanders</v>
      </c>
      <c r="F802" s="62">
        <f t="shared" ref="F802:G802" si="1603">IF(isblank(F$1),,IF(isblank($A802),,IFERROR(vlookup($A802,indirect("'TVC-"&amp;text(month(F$1),"00")&amp;"'!$A:$D"),4,false),1)))</f>
        <v>914</v>
      </c>
      <c r="G802" s="62">
        <f t="shared" si="1603"/>
        <v>919</v>
      </c>
      <c r="H802" s="62">
        <f t="shared" ref="H802:Q802" si="1604">IF(isblank(H$1),,IFERROR(vlookup($A802,indirect("'TVC-"&amp;text(month(H$1),"00")&amp;"'!$A:$D"),4,false),1))</f>
        <v>913</v>
      </c>
      <c r="I802" s="62">
        <f t="shared" si="1604"/>
        <v>889</v>
      </c>
      <c r="J802" s="62">
        <f t="shared" si="1604"/>
        <v>852</v>
      </c>
      <c r="K802" s="62">
        <f t="shared" si="1604"/>
        <v>1</v>
      </c>
      <c r="L802" s="62">
        <f t="shared" si="1604"/>
        <v>1</v>
      </c>
      <c r="M802" s="62">
        <f t="shared" si="1604"/>
        <v>1</v>
      </c>
      <c r="N802" s="62">
        <f t="shared" si="1604"/>
        <v>1</v>
      </c>
      <c r="O802" s="62">
        <f t="shared" si="1604"/>
        <v>1</v>
      </c>
      <c r="P802" s="62" t="str">
        <f t="shared" si="1604"/>
        <v/>
      </c>
      <c r="Q802" s="62" t="str">
        <f t="shared" si="1604"/>
        <v/>
      </c>
      <c r="R802" s="62">
        <f t="shared" si="7"/>
        <v>0</v>
      </c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</row>
    <row r="803">
      <c r="A803" s="60">
        <f>IFERROR(__xludf.DUMMYFUNCTION("""COMPUTED_VALUE"""),14080.0)</f>
        <v>14080</v>
      </c>
      <c r="B803" s="60" t="str">
        <f>IFERROR(__xludf.DUMMYFUNCTION("""COMPUTED_VALUE"""),"Singletary, Devin")</f>
        <v>Singletary, Devin</v>
      </c>
      <c r="C803" s="60" t="str">
        <f>IFERROR(__xludf.DUMMYFUNCTION("""COMPUTED_VALUE"""),"RB")</f>
        <v>RB</v>
      </c>
      <c r="D803" s="60" t="str">
        <f>IFERROR(__xludf.DUMMYFUNCTION("""COMPUTED_VALUE"""),"NYG")</f>
        <v>NYG</v>
      </c>
      <c r="E803" s="62" t="str">
        <f t="shared" si="4"/>
        <v>Devin Singletary</v>
      </c>
      <c r="F803" s="62">
        <f t="shared" ref="F803:G803" si="1605">IF(isblank(F$1),,IF(isblank($A803),,IFERROR(vlookup($A803,indirect("'TVC-"&amp;text(month(F$1),"00")&amp;"'!$A:$D"),4,false),1)))</f>
        <v>1653</v>
      </c>
      <c r="G803" s="62">
        <f t="shared" si="1605"/>
        <v>1539</v>
      </c>
      <c r="H803" s="62">
        <f t="shared" ref="H803:Q803" si="1606">IF(isblank(H$1),,IFERROR(vlookup($A803,indirect("'TVC-"&amp;text(month(H$1),"00")&amp;"'!$A:$D"),4,false),1))</f>
        <v>1525</v>
      </c>
      <c r="I803" s="62">
        <f t="shared" si="1606"/>
        <v>1460</v>
      </c>
      <c r="J803" s="62">
        <f t="shared" si="1606"/>
        <v>1396</v>
      </c>
      <c r="K803" s="62">
        <f t="shared" si="1606"/>
        <v>1259</v>
      </c>
      <c r="L803" s="62">
        <f t="shared" si="1606"/>
        <v>1246</v>
      </c>
      <c r="M803" s="62">
        <f t="shared" si="1606"/>
        <v>1202</v>
      </c>
      <c r="N803" s="62">
        <f t="shared" si="1606"/>
        <v>1110</v>
      </c>
      <c r="O803" s="62">
        <f t="shared" si="1606"/>
        <v>1</v>
      </c>
      <c r="P803" s="62" t="str">
        <f t="shared" si="1606"/>
        <v/>
      </c>
      <c r="Q803" s="62" t="str">
        <f t="shared" si="1606"/>
        <v/>
      </c>
      <c r="R803" s="62">
        <f t="shared" si="7"/>
        <v>-1109</v>
      </c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</row>
    <row r="804">
      <c r="A804" s="60">
        <f>IFERROR(__xludf.DUMMYFUNCTION("""COMPUTED_VALUE"""),14081.0)</f>
        <v>14081</v>
      </c>
      <c r="B804" s="60" t="str">
        <f>IFERROR(__xludf.DUMMYFUNCTION("""COMPUTED_VALUE"""),"Gaskin, Myles")</f>
        <v>Gaskin, Myles</v>
      </c>
      <c r="C804" s="60" t="str">
        <f>IFERROR(__xludf.DUMMYFUNCTION("""COMPUTED_VALUE"""),"RB")</f>
        <v>RB</v>
      </c>
      <c r="D804" s="60" t="str">
        <f>IFERROR(__xludf.DUMMYFUNCTION("""COMPUTED_VALUE"""),"FA")</f>
        <v>FA</v>
      </c>
      <c r="E804" s="62" t="str">
        <f t="shared" si="4"/>
        <v>Myles Gaskin</v>
      </c>
      <c r="F804" s="62">
        <f t="shared" ref="F804:G804" si="1607">IF(isblank(F$1),,IF(isblank($A804),,IFERROR(vlookup($A804,indirect("'TVC-"&amp;text(month(F$1),"00")&amp;"'!$A:$D"),4,false),1)))</f>
        <v>1</v>
      </c>
      <c r="G804" s="62">
        <f t="shared" si="1607"/>
        <v>1</v>
      </c>
      <c r="H804" s="62">
        <f t="shared" ref="H804:Q804" si="1608">IF(isblank(H$1),,IFERROR(vlookup($A804,indirect("'TVC-"&amp;text(month(H$1),"00")&amp;"'!$A:$D"),4,false),1))</f>
        <v>1</v>
      </c>
      <c r="I804" s="62">
        <f t="shared" si="1608"/>
        <v>1</v>
      </c>
      <c r="J804" s="62">
        <f t="shared" si="1608"/>
        <v>1</v>
      </c>
      <c r="K804" s="62">
        <f t="shared" si="1608"/>
        <v>1</v>
      </c>
      <c r="L804" s="62">
        <f t="shared" si="1608"/>
        <v>1</v>
      </c>
      <c r="M804" s="62">
        <f t="shared" si="1608"/>
        <v>1</v>
      </c>
      <c r="N804" s="62">
        <f t="shared" si="1608"/>
        <v>1</v>
      </c>
      <c r="O804" s="62">
        <f t="shared" si="1608"/>
        <v>1</v>
      </c>
      <c r="P804" s="62" t="str">
        <f t="shared" si="1608"/>
        <v/>
      </c>
      <c r="Q804" s="62" t="str">
        <f t="shared" si="1608"/>
        <v/>
      </c>
      <c r="R804" s="62">
        <f t="shared" si="7"/>
        <v>0</v>
      </c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</row>
    <row r="805">
      <c r="A805" s="60">
        <f>IFERROR(__xludf.DUMMYFUNCTION("""COMPUTED_VALUE"""),14083.0)</f>
        <v>14083</v>
      </c>
      <c r="B805" s="60" t="str">
        <f>IFERROR(__xludf.DUMMYFUNCTION("""COMPUTED_VALUE"""),"Homer, Travis")</f>
        <v>Homer, Travis</v>
      </c>
      <c r="C805" s="60" t="str">
        <f>IFERROR(__xludf.DUMMYFUNCTION("""COMPUTED_VALUE"""),"RB")</f>
        <v>RB</v>
      </c>
      <c r="D805" s="60" t="str">
        <f>IFERROR(__xludf.DUMMYFUNCTION("""COMPUTED_VALUE"""),"PIT")</f>
        <v>PIT</v>
      </c>
      <c r="E805" s="62" t="str">
        <f t="shared" si="4"/>
        <v>Travis Homer</v>
      </c>
      <c r="F805" s="62">
        <f t="shared" ref="F805:G805" si="1609">IF(isblank(F$1),,IF(isblank($A805),,IFERROR(vlookup($A805,indirect("'TVC-"&amp;text(month(F$1),"00")&amp;"'!$A:$D"),4,false),1)))</f>
        <v>405</v>
      </c>
      <c r="G805" s="62">
        <f t="shared" si="1609"/>
        <v>1</v>
      </c>
      <c r="H805" s="62">
        <f t="shared" ref="H805:Q805" si="1610">IF(isblank(H$1),,IFERROR(vlookup($A805,indirect("'TVC-"&amp;text(month(H$1),"00")&amp;"'!$A:$D"),4,false),1))</f>
        <v>1</v>
      </c>
      <c r="I805" s="62">
        <f t="shared" si="1610"/>
        <v>1</v>
      </c>
      <c r="J805" s="62">
        <f t="shared" si="1610"/>
        <v>1</v>
      </c>
      <c r="K805" s="62">
        <f t="shared" si="1610"/>
        <v>1</v>
      </c>
      <c r="L805" s="62">
        <f t="shared" si="1610"/>
        <v>1</v>
      </c>
      <c r="M805" s="62">
        <f t="shared" si="1610"/>
        <v>1</v>
      </c>
      <c r="N805" s="62">
        <f t="shared" si="1610"/>
        <v>1</v>
      </c>
      <c r="O805" s="62">
        <f t="shared" si="1610"/>
        <v>1</v>
      </c>
      <c r="P805" s="62" t="str">
        <f t="shared" si="1610"/>
        <v/>
      </c>
      <c r="Q805" s="62" t="str">
        <f t="shared" si="1610"/>
        <v/>
      </c>
      <c r="R805" s="62">
        <f t="shared" si="7"/>
        <v>0</v>
      </c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</row>
    <row r="806">
      <c r="A806" s="60">
        <f>IFERROR(__xludf.DUMMYFUNCTION("""COMPUTED_VALUE"""),14085.0)</f>
        <v>14085</v>
      </c>
      <c r="B806" s="60" t="str">
        <f>IFERROR(__xludf.DUMMYFUNCTION("""COMPUTED_VALUE"""),"Pollard, Tony")</f>
        <v>Pollard, Tony</v>
      </c>
      <c r="C806" s="60" t="str">
        <f>IFERROR(__xludf.DUMMYFUNCTION("""COMPUTED_VALUE"""),"RB")</f>
        <v>RB</v>
      </c>
      <c r="D806" s="60" t="str">
        <f>IFERROR(__xludf.DUMMYFUNCTION("""COMPUTED_VALUE"""),"TEN")</f>
        <v>TEN</v>
      </c>
      <c r="E806" s="62" t="str">
        <f t="shared" si="4"/>
        <v>Tony Pollard</v>
      </c>
      <c r="F806" s="62">
        <f t="shared" ref="F806:G806" si="1611">IF(isblank(F$1),,IF(isblank($A806),,IFERROR(vlookup($A806,indirect("'TVC-"&amp;text(month(F$1),"00")&amp;"'!$A:$D"),4,false),1)))</f>
        <v>2663</v>
      </c>
      <c r="G806" s="62">
        <f t="shared" si="1611"/>
        <v>2685</v>
      </c>
      <c r="H806" s="62">
        <f t="shared" ref="H806:Q806" si="1612">IF(isblank(H$1),,IFERROR(vlookup($A806,indirect("'TVC-"&amp;text(month(H$1),"00")&amp;"'!$A:$D"),4,false),1))</f>
        <v>2688</v>
      </c>
      <c r="I806" s="62">
        <f t="shared" si="1612"/>
        <v>2668</v>
      </c>
      <c r="J806" s="62">
        <f t="shared" si="1612"/>
        <v>2770</v>
      </c>
      <c r="K806" s="62">
        <f t="shared" si="1612"/>
        <v>2797</v>
      </c>
      <c r="L806" s="62">
        <f t="shared" si="1612"/>
        <v>2828</v>
      </c>
      <c r="M806" s="62">
        <f t="shared" si="1612"/>
        <v>2841</v>
      </c>
      <c r="N806" s="62">
        <f t="shared" si="1612"/>
        <v>2792</v>
      </c>
      <c r="O806" s="62">
        <f t="shared" si="1612"/>
        <v>1</v>
      </c>
      <c r="P806" s="62" t="str">
        <f t="shared" si="1612"/>
        <v/>
      </c>
      <c r="Q806" s="62" t="str">
        <f t="shared" si="1612"/>
        <v/>
      </c>
      <c r="R806" s="62">
        <f t="shared" si="7"/>
        <v>-2791</v>
      </c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</row>
    <row r="807">
      <c r="A807" s="60">
        <f>IFERROR(__xludf.DUMMYFUNCTION("""COMPUTED_VALUE"""),14086.0)</f>
        <v>14086</v>
      </c>
      <c r="B807" s="60" t="str">
        <f>IFERROR(__xludf.DUMMYFUNCTION("""COMPUTED_VALUE"""),"Hill, Justice")</f>
        <v>Hill, Justice</v>
      </c>
      <c r="C807" s="60" t="str">
        <f>IFERROR(__xludf.DUMMYFUNCTION("""COMPUTED_VALUE"""),"RB")</f>
        <v>RB</v>
      </c>
      <c r="D807" s="60" t="str">
        <f>IFERROR(__xludf.DUMMYFUNCTION("""COMPUTED_VALUE"""),"BAL")</f>
        <v>BAL</v>
      </c>
      <c r="E807" s="62" t="str">
        <f t="shared" si="4"/>
        <v>Justice Hill</v>
      </c>
      <c r="F807" s="62">
        <f t="shared" ref="F807:G807" si="1613">IF(isblank(F$1),,IF(isblank($A807),,IFERROR(vlookup($A807,indirect("'TVC-"&amp;text(month(F$1),"00")&amp;"'!$A:$D"),4,false),1)))</f>
        <v>1215</v>
      </c>
      <c r="G807" s="62">
        <f t="shared" si="1613"/>
        <v>1253</v>
      </c>
      <c r="H807" s="62">
        <f t="shared" ref="H807:Q807" si="1614">IF(isblank(H$1),,IFERROR(vlookup($A807,indirect("'TVC-"&amp;text(month(H$1),"00")&amp;"'!$A:$D"),4,false),1))</f>
        <v>1263</v>
      </c>
      <c r="I807" s="62">
        <f t="shared" si="1614"/>
        <v>1321</v>
      </c>
      <c r="J807" s="62">
        <f t="shared" si="1614"/>
        <v>1336</v>
      </c>
      <c r="K807" s="62">
        <f t="shared" si="1614"/>
        <v>1370</v>
      </c>
      <c r="L807" s="62">
        <f t="shared" si="1614"/>
        <v>1351</v>
      </c>
      <c r="M807" s="62">
        <f t="shared" si="1614"/>
        <v>1459</v>
      </c>
      <c r="N807" s="62">
        <f t="shared" si="1614"/>
        <v>1557</v>
      </c>
      <c r="O807" s="62">
        <f t="shared" si="1614"/>
        <v>1</v>
      </c>
      <c r="P807" s="62" t="str">
        <f t="shared" si="1614"/>
        <v/>
      </c>
      <c r="Q807" s="62" t="str">
        <f t="shared" si="1614"/>
        <v/>
      </c>
      <c r="R807" s="62">
        <f t="shared" si="7"/>
        <v>-1556</v>
      </c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</row>
    <row r="808">
      <c r="A808" s="60">
        <f>IFERROR(__xludf.DUMMYFUNCTION("""COMPUTED_VALUE"""),14095.0)</f>
        <v>14095</v>
      </c>
      <c r="B808" s="60" t="str">
        <f>IFERROR(__xludf.DUMMYFUNCTION("""COMPUTED_VALUE"""),"Johnson, Ty")</f>
        <v>Johnson, Ty</v>
      </c>
      <c r="C808" s="60" t="str">
        <f>IFERROR(__xludf.DUMMYFUNCTION("""COMPUTED_VALUE"""),"RB")</f>
        <v>RB</v>
      </c>
      <c r="D808" s="60" t="str">
        <f>IFERROR(__xludf.DUMMYFUNCTION("""COMPUTED_VALUE"""),"BUF")</f>
        <v>BUF</v>
      </c>
      <c r="E808" s="62" t="str">
        <f t="shared" si="4"/>
        <v>Ty Johnson</v>
      </c>
      <c r="F808" s="62">
        <f t="shared" ref="F808:G808" si="1615">IF(isblank(F$1),,IF(isblank($A808),,IFERROR(vlookup($A808,indirect("'TVC-"&amp;text(month(F$1),"00")&amp;"'!$A:$D"),4,false),1)))</f>
        <v>1404</v>
      </c>
      <c r="G808" s="62">
        <f t="shared" si="1615"/>
        <v>1432</v>
      </c>
      <c r="H808" s="62">
        <f t="shared" ref="H808:Q808" si="1616">IF(isblank(H$1),,IFERROR(vlookup($A808,indirect("'TVC-"&amp;text(month(H$1),"00")&amp;"'!$A:$D"),4,false),1))</f>
        <v>1447</v>
      </c>
      <c r="I808" s="62">
        <f t="shared" si="1616"/>
        <v>1258</v>
      </c>
      <c r="J808" s="62">
        <f t="shared" si="1616"/>
        <v>1296</v>
      </c>
      <c r="K808" s="62">
        <f t="shared" si="1616"/>
        <v>1294</v>
      </c>
      <c r="L808" s="62">
        <f t="shared" si="1616"/>
        <v>1245</v>
      </c>
      <c r="M808" s="62">
        <f t="shared" si="1616"/>
        <v>1282</v>
      </c>
      <c r="N808" s="62">
        <f t="shared" si="1616"/>
        <v>1267</v>
      </c>
      <c r="O808" s="62">
        <f t="shared" si="1616"/>
        <v>1</v>
      </c>
      <c r="P808" s="62" t="str">
        <f t="shared" si="1616"/>
        <v/>
      </c>
      <c r="Q808" s="62" t="str">
        <f t="shared" si="1616"/>
        <v/>
      </c>
      <c r="R808" s="62">
        <f t="shared" si="7"/>
        <v>-1266</v>
      </c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</row>
    <row r="809">
      <c r="A809" s="60">
        <f>IFERROR(__xludf.DUMMYFUNCTION("""COMPUTED_VALUE"""),14102.0)</f>
        <v>14102</v>
      </c>
      <c r="B809" s="60" t="str">
        <f>IFERROR(__xludf.DUMMYFUNCTION("""COMPUTED_VALUE"""),"Metcalf, DK")</f>
        <v>Metcalf, DK</v>
      </c>
      <c r="C809" s="60" t="str">
        <f>IFERROR(__xludf.DUMMYFUNCTION("""COMPUTED_VALUE"""),"WR")</f>
        <v>WR</v>
      </c>
      <c r="D809" s="60" t="str">
        <f>IFERROR(__xludf.DUMMYFUNCTION("""COMPUTED_VALUE"""),"PIT")</f>
        <v>PIT</v>
      </c>
      <c r="E809" s="62" t="str">
        <f t="shared" si="4"/>
        <v>DK Metcalf</v>
      </c>
      <c r="F809" s="62">
        <f t="shared" ref="F809:G809" si="1617">IF(isblank(F$1),,IF(isblank($A809),,IFERROR(vlookup($A809,indirect("'TVC-"&amp;text(month(F$1),"00")&amp;"'!$A:$D"),4,false),1)))</f>
        <v>3902</v>
      </c>
      <c r="G809" s="62">
        <f t="shared" si="1617"/>
        <v>3846</v>
      </c>
      <c r="H809" s="62">
        <f t="shared" ref="H809:Q809" si="1618">IF(isblank(H$1),,IFERROR(vlookup($A809,indirect("'TVC-"&amp;text(month(H$1),"00")&amp;"'!$A:$D"),4,false),1))</f>
        <v>3843</v>
      </c>
      <c r="I809" s="62">
        <f t="shared" si="1618"/>
        <v>3638</v>
      </c>
      <c r="J809" s="62">
        <f t="shared" si="1618"/>
        <v>3731</v>
      </c>
      <c r="K809" s="62">
        <f t="shared" si="1618"/>
        <v>3523</v>
      </c>
      <c r="L809" s="62">
        <f t="shared" si="1618"/>
        <v>3439</v>
      </c>
      <c r="M809" s="62">
        <f t="shared" si="1618"/>
        <v>3436</v>
      </c>
      <c r="N809" s="62">
        <f t="shared" si="1618"/>
        <v>3360</v>
      </c>
      <c r="O809" s="62">
        <f t="shared" si="1618"/>
        <v>1</v>
      </c>
      <c r="P809" s="62" t="str">
        <f t="shared" si="1618"/>
        <v/>
      </c>
      <c r="Q809" s="62" t="str">
        <f t="shared" si="1618"/>
        <v/>
      </c>
      <c r="R809" s="62">
        <f t="shared" si="7"/>
        <v>-3359</v>
      </c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</row>
    <row r="810">
      <c r="A810" s="60">
        <f>IFERROR(__xludf.DUMMYFUNCTION("""COMPUTED_VALUE"""),14104.0)</f>
        <v>14104</v>
      </c>
      <c r="B810" s="60" t="str">
        <f>IFERROR(__xludf.DUMMYFUNCTION("""COMPUTED_VALUE"""),"Brown, A.J.")</f>
        <v>Brown, A.J.</v>
      </c>
      <c r="C810" s="60" t="str">
        <f>IFERROR(__xludf.DUMMYFUNCTION("""COMPUTED_VALUE"""),"WR")</f>
        <v>WR</v>
      </c>
      <c r="D810" s="60" t="str">
        <f>IFERROR(__xludf.DUMMYFUNCTION("""COMPUTED_VALUE"""),"NEP")</f>
        <v>NEP</v>
      </c>
      <c r="E810" s="62" t="str">
        <f t="shared" si="4"/>
        <v>A.J. Brown</v>
      </c>
      <c r="F810" s="62">
        <f t="shared" ref="F810:G810" si="1619">IF(isblank(F$1),,IF(isblank($A810),,IFERROR(vlookup($A810,indirect("'TVC-"&amp;text(month(F$1),"00")&amp;"'!$A:$D"),4,false),1)))</f>
        <v>4750</v>
      </c>
      <c r="G810" s="62">
        <f t="shared" si="1619"/>
        <v>4692</v>
      </c>
      <c r="H810" s="62">
        <f t="shared" ref="H810:Q810" si="1620">IF(isblank(H$1),,IFERROR(vlookup($A810,indirect("'TVC-"&amp;text(month(H$1),"00")&amp;"'!$A:$D"),4,false),1))</f>
        <v>4743</v>
      </c>
      <c r="I810" s="62">
        <f t="shared" si="1620"/>
        <v>4786</v>
      </c>
      <c r="J810" s="62">
        <f t="shared" si="1620"/>
        <v>4854</v>
      </c>
      <c r="K810" s="62">
        <f t="shared" si="1620"/>
        <v>4837</v>
      </c>
      <c r="L810" s="62">
        <f t="shared" si="1620"/>
        <v>4951</v>
      </c>
      <c r="M810" s="62">
        <f t="shared" si="1620"/>
        <v>5032</v>
      </c>
      <c r="N810" s="62">
        <f t="shared" si="1620"/>
        <v>5287</v>
      </c>
      <c r="O810" s="62">
        <f t="shared" si="1620"/>
        <v>1</v>
      </c>
      <c r="P810" s="62" t="str">
        <f t="shared" si="1620"/>
        <v/>
      </c>
      <c r="Q810" s="62" t="str">
        <f t="shared" si="1620"/>
        <v/>
      </c>
      <c r="R810" s="62">
        <f t="shared" si="7"/>
        <v>-5286</v>
      </c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</row>
    <row r="811" hidden="1">
      <c r="A811" s="60">
        <f>IFERROR(__xludf.DUMMYFUNCTION("""COMPUTED_VALUE"""),14105.0)</f>
        <v>14105</v>
      </c>
      <c r="B811" s="60" t="str">
        <f>IFERROR(__xludf.DUMMYFUNCTION("""COMPUTED_VALUE"""),"Brown, Marquise")</f>
        <v>Brown, Marquise</v>
      </c>
      <c r="C811" s="60" t="str">
        <f>IFERROR(__xludf.DUMMYFUNCTION("""COMPUTED_VALUE"""),"WR")</f>
        <v>WR</v>
      </c>
      <c r="D811" s="60" t="str">
        <f>IFERROR(__xludf.DUMMYFUNCTION("""COMPUTED_VALUE"""),"PHI")</f>
        <v>PHI</v>
      </c>
      <c r="E811" s="62" t="str">
        <f t="shared" si="4"/>
        <v>Marquise Brown</v>
      </c>
      <c r="F811" s="62">
        <f t="shared" ref="F811:G811" si="1621">IF(isblank(F$1),,IF(isblank($A811),,IFERROR(vlookup($A811,indirect("'TVC-"&amp;text(month(F$1),"00")&amp;"'!$A:$D"),4,false),1)))</f>
        <v>1821</v>
      </c>
      <c r="G811" s="62">
        <f t="shared" si="1621"/>
        <v>1734</v>
      </c>
      <c r="H811" s="62">
        <f t="shared" ref="H811:Q811" si="1622">IF(isblank(H$1),,IFERROR(vlookup($A811,indirect("'TVC-"&amp;text(month(H$1),"00")&amp;"'!$A:$D"),4,false),1))</f>
        <v>1756</v>
      </c>
      <c r="I811" s="62">
        <f t="shared" si="1622"/>
        <v>1920</v>
      </c>
      <c r="J811" s="62">
        <f t="shared" si="1622"/>
        <v>1800</v>
      </c>
      <c r="K811" s="62">
        <f t="shared" si="1622"/>
        <v>1735</v>
      </c>
      <c r="L811" s="62">
        <f t="shared" si="1622"/>
        <v>1620</v>
      </c>
      <c r="M811" s="62">
        <f t="shared" si="1622"/>
        <v>1442</v>
      </c>
      <c r="N811" s="62">
        <f t="shared" si="1622"/>
        <v>1283</v>
      </c>
      <c r="O811" s="62">
        <f t="shared" si="1622"/>
        <v>1</v>
      </c>
      <c r="P811" s="62" t="str">
        <f t="shared" si="1622"/>
        <v/>
      </c>
      <c r="Q811" s="62" t="str">
        <f t="shared" si="1622"/>
        <v/>
      </c>
      <c r="R811" s="62">
        <f t="shared" si="7"/>
        <v>-1282</v>
      </c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</row>
    <row r="812" hidden="1">
      <c r="A812" s="60">
        <f>IFERROR(__xludf.DUMMYFUNCTION("""COMPUTED_VALUE"""),14108.0)</f>
        <v>14108</v>
      </c>
      <c r="B812" s="60" t="str">
        <f>IFERROR(__xludf.DUMMYFUNCTION("""COMPUTED_VALUE"""),"Dortch, Greg")</f>
        <v>Dortch, Greg</v>
      </c>
      <c r="C812" s="60" t="str">
        <f>IFERROR(__xludf.DUMMYFUNCTION("""COMPUTED_VALUE"""),"WR")</f>
        <v>WR</v>
      </c>
      <c r="D812" s="60" t="str">
        <f>IFERROR(__xludf.DUMMYFUNCTION("""COMPUTED_VALUE"""),"BUF")</f>
        <v>BUF</v>
      </c>
      <c r="E812" s="62" t="str">
        <f t="shared" si="4"/>
        <v>Greg Dortch</v>
      </c>
      <c r="F812" s="62">
        <f t="shared" ref="F812:G812" si="1623">IF(isblank(F$1),,IF(isblank($A812),,IFERROR(vlookup($A812,indirect("'TVC-"&amp;text(month(F$1),"00")&amp;"'!$A:$D"),4,false),1)))</f>
        <v>1468</v>
      </c>
      <c r="G812" s="62">
        <f t="shared" si="1623"/>
        <v>1249</v>
      </c>
      <c r="H812" s="62">
        <f t="shared" ref="H812:Q812" si="1624">IF(isblank(H$1),,IFERROR(vlookup($A812,indirect("'TVC-"&amp;text(month(H$1),"00")&amp;"'!$A:$D"),4,false),1))</f>
        <v>1252</v>
      </c>
      <c r="I812" s="62">
        <f t="shared" si="1624"/>
        <v>1221</v>
      </c>
      <c r="J812" s="62">
        <f t="shared" si="1624"/>
        <v>1265</v>
      </c>
      <c r="K812" s="62">
        <f t="shared" si="1624"/>
        <v>1155</v>
      </c>
      <c r="L812" s="62">
        <f t="shared" si="1624"/>
        <v>1147</v>
      </c>
      <c r="M812" s="62">
        <f t="shared" si="1624"/>
        <v>1156</v>
      </c>
      <c r="N812" s="62">
        <f t="shared" si="1624"/>
        <v>1289</v>
      </c>
      <c r="O812" s="62">
        <f t="shared" si="1624"/>
        <v>1</v>
      </c>
      <c r="P812" s="62" t="str">
        <f t="shared" si="1624"/>
        <v/>
      </c>
      <c r="Q812" s="62" t="str">
        <f t="shared" si="1624"/>
        <v/>
      </c>
      <c r="R812" s="62">
        <f t="shared" si="7"/>
        <v>-1288</v>
      </c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</row>
    <row r="813">
      <c r="A813" s="60">
        <f>IFERROR(__xludf.DUMMYFUNCTION("""COMPUTED_VALUE"""),14109.0)</f>
        <v>14109</v>
      </c>
      <c r="B813" s="60" t="str">
        <f>IFERROR(__xludf.DUMMYFUNCTION("""COMPUTED_VALUE"""),"McLaurin, Terry")</f>
        <v>McLaurin, Terry</v>
      </c>
      <c r="C813" s="60" t="str">
        <f>IFERROR(__xludf.DUMMYFUNCTION("""COMPUTED_VALUE"""),"WR")</f>
        <v>WR</v>
      </c>
      <c r="D813" s="60" t="str">
        <f>IFERROR(__xludf.DUMMYFUNCTION("""COMPUTED_VALUE"""),"WAS")</f>
        <v>WAS</v>
      </c>
      <c r="E813" s="62" t="str">
        <f t="shared" si="4"/>
        <v>Terry McLaurin</v>
      </c>
      <c r="F813" s="62">
        <f t="shared" ref="F813:G813" si="1625">IF(isblank(F$1),,IF(isblank($A813),,IFERROR(vlookup($A813,indirect("'TVC-"&amp;text(month(F$1),"00")&amp;"'!$A:$D"),4,false),1)))</f>
        <v>3142</v>
      </c>
      <c r="G813" s="62">
        <f t="shared" si="1625"/>
        <v>3358</v>
      </c>
      <c r="H813" s="62">
        <f t="shared" ref="H813:Q813" si="1626">IF(isblank(H$1),,IFERROR(vlookup($A813,indirect("'TVC-"&amp;text(month(H$1),"00")&amp;"'!$A:$D"),4,false),1))</f>
        <v>3390</v>
      </c>
      <c r="I813" s="62">
        <f t="shared" si="1626"/>
        <v>3388</v>
      </c>
      <c r="J813" s="62">
        <f t="shared" si="1626"/>
        <v>3463</v>
      </c>
      <c r="K813" s="62">
        <f t="shared" si="1626"/>
        <v>3461</v>
      </c>
      <c r="L813" s="62">
        <f t="shared" si="1626"/>
        <v>3486</v>
      </c>
      <c r="M813" s="62">
        <f t="shared" si="1626"/>
        <v>3503</v>
      </c>
      <c r="N813" s="62">
        <f t="shared" si="1626"/>
        <v>3557</v>
      </c>
      <c r="O813" s="62">
        <f t="shared" si="1626"/>
        <v>1</v>
      </c>
      <c r="P813" s="62" t="str">
        <f t="shared" si="1626"/>
        <v/>
      </c>
      <c r="Q813" s="62" t="str">
        <f t="shared" si="1626"/>
        <v/>
      </c>
      <c r="R813" s="62">
        <f t="shared" si="7"/>
        <v>-3556</v>
      </c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</row>
    <row r="814">
      <c r="A814" s="60">
        <f>IFERROR(__xludf.DUMMYFUNCTION("""COMPUTED_VALUE"""),14110.0)</f>
        <v>14110</v>
      </c>
      <c r="B814" s="60" t="str">
        <f>IFERROR(__xludf.DUMMYFUNCTION("""COMPUTED_VALUE"""),"Sills, David")</f>
        <v>Sills, David</v>
      </c>
      <c r="C814" s="60" t="str">
        <f>IFERROR(__xludf.DUMMYFUNCTION("""COMPUTED_VALUE"""),"WR")</f>
        <v>WR</v>
      </c>
      <c r="D814" s="60" t="str">
        <f>IFERROR(__xludf.DUMMYFUNCTION("""COMPUTED_VALUE"""),"TBB")</f>
        <v>TBB</v>
      </c>
      <c r="E814" s="62" t="str">
        <f t="shared" si="4"/>
        <v>David Sills</v>
      </c>
      <c r="F814" s="62">
        <f t="shared" ref="F814:G814" si="1627">IF(isblank(F$1),,IF(isblank($A814),,IFERROR(vlookup($A814,indirect("'TVC-"&amp;text(month(F$1),"00")&amp;"'!$A:$D"),4,false),1)))</f>
        <v>1</v>
      </c>
      <c r="G814" s="62">
        <f t="shared" si="1627"/>
        <v>1</v>
      </c>
      <c r="H814" s="62">
        <f t="shared" ref="H814:Q814" si="1628">IF(isblank(H$1),,IFERROR(vlookup($A814,indirect("'TVC-"&amp;text(month(H$1),"00")&amp;"'!$A:$D"),4,false),1))</f>
        <v>1</v>
      </c>
      <c r="I814" s="62">
        <f t="shared" si="1628"/>
        <v>1</v>
      </c>
      <c r="J814" s="62">
        <f t="shared" si="1628"/>
        <v>1</v>
      </c>
      <c r="K814" s="62">
        <f t="shared" si="1628"/>
        <v>1</v>
      </c>
      <c r="L814" s="62">
        <f t="shared" si="1628"/>
        <v>1</v>
      </c>
      <c r="M814" s="62">
        <f t="shared" si="1628"/>
        <v>1</v>
      </c>
      <c r="N814" s="62">
        <f t="shared" si="1628"/>
        <v>1</v>
      </c>
      <c r="O814" s="62">
        <f t="shared" si="1628"/>
        <v>1</v>
      </c>
      <c r="P814" s="62" t="str">
        <f t="shared" si="1628"/>
        <v/>
      </c>
      <c r="Q814" s="62" t="str">
        <f t="shared" si="1628"/>
        <v/>
      </c>
      <c r="R814" s="62">
        <f t="shared" si="7"/>
        <v>0</v>
      </c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</row>
    <row r="815">
      <c r="A815" s="60">
        <f>IFERROR(__xludf.DUMMYFUNCTION("""COMPUTED_VALUE"""),14112.0)</f>
        <v>14112</v>
      </c>
      <c r="B815" s="60" t="str">
        <f>IFERROR(__xludf.DUMMYFUNCTION("""COMPUTED_VALUE"""),"Campbell, Parris")</f>
        <v>Campbell, Parris</v>
      </c>
      <c r="C815" s="60" t="str">
        <f>IFERROR(__xludf.DUMMYFUNCTION("""COMPUTED_VALUE"""),"WR")</f>
        <v>WR</v>
      </c>
      <c r="D815" s="60" t="str">
        <f>IFERROR(__xludf.DUMMYFUNCTION("""COMPUTED_VALUE"""),"FA")</f>
        <v>FA</v>
      </c>
      <c r="E815" s="62" t="str">
        <f t="shared" si="4"/>
        <v>Parris Campbell</v>
      </c>
      <c r="F815" s="62">
        <f t="shared" ref="F815:G815" si="1629">IF(isblank(F$1),,IF(isblank($A815),,IFERROR(vlookup($A815,indirect("'TVC-"&amp;text(month(F$1),"00")&amp;"'!$A:$D"),4,false),1)))</f>
        <v>1</v>
      </c>
      <c r="G815" s="62">
        <f t="shared" si="1629"/>
        <v>1</v>
      </c>
      <c r="H815" s="62">
        <f t="shared" ref="H815:Q815" si="1630">IF(isblank(H$1),,IFERROR(vlookup($A815,indirect("'TVC-"&amp;text(month(H$1),"00")&amp;"'!$A:$D"),4,false),1))</f>
        <v>1</v>
      </c>
      <c r="I815" s="62">
        <f t="shared" si="1630"/>
        <v>1</v>
      </c>
      <c r="J815" s="62">
        <f t="shared" si="1630"/>
        <v>1</v>
      </c>
      <c r="K815" s="62">
        <f t="shared" si="1630"/>
        <v>1</v>
      </c>
      <c r="L815" s="62">
        <f t="shared" si="1630"/>
        <v>1</v>
      </c>
      <c r="M815" s="62">
        <f t="shared" si="1630"/>
        <v>1</v>
      </c>
      <c r="N815" s="62">
        <f t="shared" si="1630"/>
        <v>1</v>
      </c>
      <c r="O815" s="62">
        <f t="shared" si="1630"/>
        <v>1</v>
      </c>
      <c r="P815" s="62" t="str">
        <f t="shared" si="1630"/>
        <v/>
      </c>
      <c r="Q815" s="62" t="str">
        <f t="shared" si="1630"/>
        <v/>
      </c>
      <c r="R815" s="62">
        <f t="shared" si="7"/>
        <v>0</v>
      </c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</row>
    <row r="816" hidden="1">
      <c r="A816" s="60">
        <f>IFERROR(__xludf.DUMMYFUNCTION("""COMPUTED_VALUE"""),14113.0)</f>
        <v>14113</v>
      </c>
      <c r="B816" s="60" t="str">
        <f>IFERROR(__xludf.DUMMYFUNCTION("""COMPUTED_VALUE"""),"Hardman, Mecole")</f>
        <v>Hardman, Mecole</v>
      </c>
      <c r="C816" s="60" t="str">
        <f>IFERROR(__xludf.DUMMYFUNCTION("""COMPUTED_VALUE"""),"WR")</f>
        <v>WR</v>
      </c>
      <c r="D816" s="60" t="str">
        <f>IFERROR(__xludf.DUMMYFUNCTION("""COMPUTED_VALUE"""),"FA")</f>
        <v>FA</v>
      </c>
      <c r="E816" s="62" t="str">
        <f t="shared" si="4"/>
        <v>Mecole Hardman</v>
      </c>
      <c r="F816" s="62">
        <f t="shared" ref="F816:G816" si="1631">IF(isblank(F$1),,IF(isblank($A816),,IFERROR(vlookup($A816,indirect("'TVC-"&amp;text(month(F$1),"00")&amp;"'!$A:$D"),4,false),1)))</f>
        <v>685</v>
      </c>
      <c r="G816" s="62">
        <f t="shared" si="1631"/>
        <v>1</v>
      </c>
      <c r="H816" s="62">
        <f t="shared" ref="H816:Q816" si="1632">IF(isblank(H$1),,IFERROR(vlookup($A816,indirect("'TVC-"&amp;text(month(H$1),"00")&amp;"'!$A:$D"),4,false),1))</f>
        <v>1</v>
      </c>
      <c r="I816" s="62">
        <f t="shared" si="1632"/>
        <v>742</v>
      </c>
      <c r="J816" s="62">
        <f t="shared" si="1632"/>
        <v>1</v>
      </c>
      <c r="K816" s="62">
        <f t="shared" si="1632"/>
        <v>1</v>
      </c>
      <c r="L816" s="62">
        <f t="shared" si="1632"/>
        <v>1</v>
      </c>
      <c r="M816" s="62">
        <f t="shared" si="1632"/>
        <v>484</v>
      </c>
      <c r="N816" s="62">
        <f t="shared" si="1632"/>
        <v>483</v>
      </c>
      <c r="O816" s="62">
        <f t="shared" si="1632"/>
        <v>1</v>
      </c>
      <c r="P816" s="62" t="str">
        <f t="shared" si="1632"/>
        <v/>
      </c>
      <c r="Q816" s="62" t="str">
        <f t="shared" si="1632"/>
        <v/>
      </c>
      <c r="R816" s="62">
        <f t="shared" si="7"/>
        <v>-482</v>
      </c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</row>
    <row r="817">
      <c r="A817" s="60">
        <f>IFERROR(__xludf.DUMMYFUNCTION("""COMPUTED_VALUE"""),14118.0)</f>
        <v>14118</v>
      </c>
      <c r="B817" s="60" t="str">
        <f>IFERROR(__xludf.DUMMYFUNCTION("""COMPUTED_VALUE"""),"Humphrey, Lil'Jordan")</f>
        <v>Humphrey, Lil'Jordan</v>
      </c>
      <c r="C817" s="60" t="str">
        <f>IFERROR(__xludf.DUMMYFUNCTION("""COMPUTED_VALUE"""),"WR")</f>
        <v>WR</v>
      </c>
      <c r="D817" s="60" t="str">
        <f>IFERROR(__xludf.DUMMYFUNCTION("""COMPUTED_VALUE"""),"DEN")</f>
        <v>DEN</v>
      </c>
      <c r="E817" s="62" t="str">
        <f t="shared" si="4"/>
        <v>Lil'Jordan Humphrey</v>
      </c>
      <c r="F817" s="62">
        <f t="shared" ref="F817:G817" si="1633">IF(isblank(F$1),,IF(isblank($A817),,IFERROR(vlookup($A817,indirect("'TVC-"&amp;text(month(F$1),"00")&amp;"'!$A:$D"),4,false),1)))</f>
        <v>996</v>
      </c>
      <c r="G817" s="62">
        <f t="shared" si="1633"/>
        <v>1038</v>
      </c>
      <c r="H817" s="62">
        <f t="shared" ref="H817:Q817" si="1634">IF(isblank(H$1),,IFERROR(vlookup($A817,indirect("'TVC-"&amp;text(month(H$1),"00")&amp;"'!$A:$D"),4,false),1))</f>
        <v>1033</v>
      </c>
      <c r="I817" s="62">
        <f t="shared" si="1634"/>
        <v>1087</v>
      </c>
      <c r="J817" s="62">
        <f t="shared" si="1634"/>
        <v>1045</v>
      </c>
      <c r="K817" s="62">
        <f t="shared" si="1634"/>
        <v>974</v>
      </c>
      <c r="L817" s="62">
        <f t="shared" si="1634"/>
        <v>937</v>
      </c>
      <c r="M817" s="62">
        <f t="shared" si="1634"/>
        <v>854</v>
      </c>
      <c r="N817" s="62">
        <f t="shared" si="1634"/>
        <v>681</v>
      </c>
      <c r="O817" s="62">
        <f t="shared" si="1634"/>
        <v>1</v>
      </c>
      <c r="P817" s="62" t="str">
        <f t="shared" si="1634"/>
        <v/>
      </c>
      <c r="Q817" s="62" t="str">
        <f t="shared" si="1634"/>
        <v/>
      </c>
      <c r="R817" s="62">
        <f t="shared" si="7"/>
        <v>-680</v>
      </c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</row>
    <row r="818" hidden="1">
      <c r="A818" s="60">
        <f>IFERROR(__xludf.DUMMYFUNCTION("""COMPUTED_VALUE"""),14120.0)</f>
        <v>14120</v>
      </c>
      <c r="B818" s="60" t="str">
        <f>IFERROR(__xludf.DUMMYFUNCTION("""COMPUTED_VALUE"""),"Jennings, Gary")</f>
        <v>Jennings, Gary</v>
      </c>
      <c r="C818" s="60" t="str">
        <f>IFERROR(__xludf.DUMMYFUNCTION("""COMPUTED_VALUE"""),"WR")</f>
        <v>WR</v>
      </c>
      <c r="D818" s="60" t="str">
        <f>IFERROR(__xludf.DUMMYFUNCTION("""COMPUTED_VALUE"""),"LAC")</f>
        <v>LAC</v>
      </c>
      <c r="E818" s="62" t="str">
        <f t="shared" si="4"/>
        <v>Gary Jennings</v>
      </c>
      <c r="F818" s="62">
        <f t="shared" ref="F818:G818" si="1635">IF(isblank(F$1),,IF(isblank($A818),,IFERROR(vlookup($A818,indirect("'TVC-"&amp;text(month(F$1),"00")&amp;"'!$A:$D"),4,false),1)))</f>
        <v>1</v>
      </c>
      <c r="G818" s="62">
        <f t="shared" si="1635"/>
        <v>1</v>
      </c>
      <c r="H818" s="62">
        <f t="shared" ref="H818:Q818" si="1636">IF(isblank(H$1),,IFERROR(vlookup($A818,indirect("'TVC-"&amp;text(month(H$1),"00")&amp;"'!$A:$D"),4,false),1))</f>
        <v>1</v>
      </c>
      <c r="I818" s="62">
        <f t="shared" si="1636"/>
        <v>1</v>
      </c>
      <c r="J818" s="62">
        <f t="shared" si="1636"/>
        <v>1</v>
      </c>
      <c r="K818" s="62">
        <f t="shared" si="1636"/>
        <v>1</v>
      </c>
      <c r="L818" s="62">
        <f t="shared" si="1636"/>
        <v>1</v>
      </c>
      <c r="M818" s="62">
        <f t="shared" si="1636"/>
        <v>1</v>
      </c>
      <c r="N818" s="62">
        <f t="shared" si="1636"/>
        <v>1</v>
      </c>
      <c r="O818" s="62">
        <f t="shared" si="1636"/>
        <v>1</v>
      </c>
      <c r="P818" s="62" t="str">
        <f t="shared" si="1636"/>
        <v/>
      </c>
      <c r="Q818" s="62" t="str">
        <f t="shared" si="1636"/>
        <v/>
      </c>
      <c r="R818" s="62">
        <f t="shared" si="7"/>
        <v>0</v>
      </c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</row>
    <row r="819">
      <c r="A819" s="60">
        <f>IFERROR(__xludf.DUMMYFUNCTION("""COMPUTED_VALUE"""),14122.0)</f>
        <v>14122</v>
      </c>
      <c r="B819" s="60" t="str">
        <f>IFERROR(__xludf.DUMMYFUNCTION("""COMPUTED_VALUE"""),"Slayton, Darius")</f>
        <v>Slayton, Darius</v>
      </c>
      <c r="C819" s="60" t="str">
        <f>IFERROR(__xludf.DUMMYFUNCTION("""COMPUTED_VALUE"""),"WR")</f>
        <v>WR</v>
      </c>
      <c r="D819" s="60" t="str">
        <f>IFERROR(__xludf.DUMMYFUNCTION("""COMPUTED_VALUE"""),"FA")</f>
        <v>FA</v>
      </c>
      <c r="E819" s="62" t="str">
        <f t="shared" si="4"/>
        <v>Darius Slayton</v>
      </c>
      <c r="F819" s="62">
        <f t="shared" ref="F819:G819" si="1637">IF(isblank(F$1),,IF(isblank($A819),,IFERROR(vlookup($A819,indirect("'TVC-"&amp;text(month(F$1),"00")&amp;"'!$A:$D"),4,false),1)))</f>
        <v>1757</v>
      </c>
      <c r="G819" s="62">
        <f t="shared" si="1637"/>
        <v>1579</v>
      </c>
      <c r="H819" s="62">
        <f t="shared" ref="H819:Q819" si="1638">IF(isblank(H$1),,IFERROR(vlookup($A819,indirect("'TVC-"&amp;text(month(H$1),"00")&amp;"'!$A:$D"),4,false),1))</f>
        <v>1588</v>
      </c>
      <c r="I819" s="62">
        <f t="shared" si="1638"/>
        <v>1590</v>
      </c>
      <c r="J819" s="62">
        <f t="shared" si="1638"/>
        <v>1526</v>
      </c>
      <c r="K819" s="62">
        <f t="shared" si="1638"/>
        <v>1556</v>
      </c>
      <c r="L819" s="62">
        <f t="shared" si="1638"/>
        <v>1505</v>
      </c>
      <c r="M819" s="62">
        <f t="shared" si="1638"/>
        <v>1585</v>
      </c>
      <c r="N819" s="62">
        <f t="shared" si="1638"/>
        <v>1384</v>
      </c>
      <c r="O819" s="62">
        <f t="shared" si="1638"/>
        <v>1</v>
      </c>
      <c r="P819" s="62" t="str">
        <f t="shared" si="1638"/>
        <v/>
      </c>
      <c r="Q819" s="62" t="str">
        <f t="shared" si="1638"/>
        <v/>
      </c>
      <c r="R819" s="62">
        <f t="shared" si="7"/>
        <v>-1383</v>
      </c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</row>
    <row r="820">
      <c r="A820" s="60">
        <f>IFERROR(__xludf.DUMMYFUNCTION("""COMPUTED_VALUE"""),14123.0)</f>
        <v>14123</v>
      </c>
      <c r="B820" s="60" t="str">
        <f>IFERROR(__xludf.DUMMYFUNCTION("""COMPUTED_VALUE"""),"Renfrow, Hunter")</f>
        <v>Renfrow, Hunter</v>
      </c>
      <c r="C820" s="60" t="str">
        <f>IFERROR(__xludf.DUMMYFUNCTION("""COMPUTED_VALUE"""),"WR")</f>
        <v>WR</v>
      </c>
      <c r="D820" s="60" t="str">
        <f>IFERROR(__xludf.DUMMYFUNCTION("""COMPUTED_VALUE"""),"FA")</f>
        <v>FA</v>
      </c>
      <c r="E820" s="62" t="str">
        <f t="shared" si="4"/>
        <v>Hunter Renfrow</v>
      </c>
      <c r="F820" s="62">
        <f t="shared" ref="F820:G820" si="1639">IF(isblank(F$1),,IF(isblank($A820),,IFERROR(vlookup($A820,indirect("'TVC-"&amp;text(month(F$1),"00")&amp;"'!$A:$D"),4,false),1)))</f>
        <v>443</v>
      </c>
      <c r="G820" s="62">
        <f t="shared" si="1639"/>
        <v>1</v>
      </c>
      <c r="H820" s="62">
        <f t="shared" ref="H820:Q820" si="1640">IF(isblank(H$1),,IFERROR(vlookup($A820,indirect("'TVC-"&amp;text(month(H$1),"00")&amp;"'!$A:$D"),4,false),1))</f>
        <v>1</v>
      </c>
      <c r="I820" s="62">
        <f t="shared" si="1640"/>
        <v>1</v>
      </c>
      <c r="J820" s="62">
        <f t="shared" si="1640"/>
        <v>1</v>
      </c>
      <c r="K820" s="62">
        <f t="shared" si="1640"/>
        <v>1</v>
      </c>
      <c r="L820" s="62">
        <f t="shared" si="1640"/>
        <v>1</v>
      </c>
      <c r="M820" s="62">
        <f t="shared" si="1640"/>
        <v>1</v>
      </c>
      <c r="N820" s="62">
        <f t="shared" si="1640"/>
        <v>1</v>
      </c>
      <c r="O820" s="62">
        <f t="shared" si="1640"/>
        <v>1</v>
      </c>
      <c r="P820" s="62" t="str">
        <f t="shared" si="1640"/>
        <v/>
      </c>
      <c r="Q820" s="62" t="str">
        <f t="shared" si="1640"/>
        <v/>
      </c>
      <c r="R820" s="62">
        <f t="shared" si="7"/>
        <v>0</v>
      </c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</row>
    <row r="821" hidden="1">
      <c r="A821" s="60">
        <f>IFERROR(__xludf.DUMMYFUNCTION("""COMPUTED_VALUE"""),14127.0)</f>
        <v>14127</v>
      </c>
      <c r="B821" s="60" t="str">
        <f>IFERROR(__xludf.DUMMYFUNCTION("""COMPUTED_VALUE"""),"Meyers, Jakobi")</f>
        <v>Meyers, Jakobi</v>
      </c>
      <c r="C821" s="60" t="str">
        <f>IFERROR(__xludf.DUMMYFUNCTION("""COMPUTED_VALUE"""),"WR")</f>
        <v>WR</v>
      </c>
      <c r="D821" s="60" t="str">
        <f>IFERROR(__xludf.DUMMYFUNCTION("""COMPUTED_VALUE"""),"JAC")</f>
        <v>JAC</v>
      </c>
      <c r="E821" s="62" t="str">
        <f t="shared" si="4"/>
        <v>Jakobi Meyers</v>
      </c>
      <c r="F821" s="62">
        <f t="shared" ref="F821:G821" si="1641">IF(isblank(F$1),,IF(isblank($A821),,IFERROR(vlookup($A821,indirect("'TVC-"&amp;text(month(F$1),"00")&amp;"'!$A:$D"),4,false),1)))</f>
        <v>3272</v>
      </c>
      <c r="G821" s="62">
        <f t="shared" si="1641"/>
        <v>3459</v>
      </c>
      <c r="H821" s="62">
        <f t="shared" ref="H821:Q821" si="1642">IF(isblank(H$1),,IFERROR(vlookup($A821,indirect("'TVC-"&amp;text(month(H$1),"00")&amp;"'!$A:$D"),4,false),1))</f>
        <v>3443</v>
      </c>
      <c r="I821" s="62">
        <f t="shared" si="1642"/>
        <v>3385</v>
      </c>
      <c r="J821" s="62">
        <f t="shared" si="1642"/>
        <v>3243</v>
      </c>
      <c r="K821" s="62">
        <f t="shared" si="1642"/>
        <v>3139</v>
      </c>
      <c r="L821" s="62">
        <f t="shared" si="1642"/>
        <v>3056</v>
      </c>
      <c r="M821" s="62">
        <f t="shared" si="1642"/>
        <v>2965</v>
      </c>
      <c r="N821" s="62">
        <f t="shared" si="1642"/>
        <v>2824</v>
      </c>
      <c r="O821" s="62">
        <f t="shared" si="1642"/>
        <v>1</v>
      </c>
      <c r="P821" s="62" t="str">
        <f t="shared" si="1642"/>
        <v/>
      </c>
      <c r="Q821" s="62" t="str">
        <f t="shared" si="1642"/>
        <v/>
      </c>
      <c r="R821" s="62">
        <f t="shared" si="7"/>
        <v>-2823</v>
      </c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</row>
    <row r="822">
      <c r="A822" s="60">
        <f>IFERROR(__xludf.DUMMYFUNCTION("""COMPUTED_VALUE"""),14136.0)</f>
        <v>14136</v>
      </c>
      <c r="B822" s="60" t="str">
        <f>IFERROR(__xludf.DUMMYFUNCTION("""COMPUTED_VALUE"""),"Samuel, Deebo")</f>
        <v>Samuel, Deebo</v>
      </c>
      <c r="C822" s="60" t="str">
        <f>IFERROR(__xludf.DUMMYFUNCTION("""COMPUTED_VALUE"""),"WR")</f>
        <v>WR</v>
      </c>
      <c r="D822" s="60" t="str">
        <f>IFERROR(__xludf.DUMMYFUNCTION("""COMPUTED_VALUE"""),"SFO")</f>
        <v>SFO</v>
      </c>
      <c r="E822" s="62" t="str">
        <f t="shared" si="4"/>
        <v>Deebo Samuel</v>
      </c>
      <c r="F822" s="62">
        <f t="shared" ref="F822:G822" si="1643">IF(isblank(F$1),,IF(isblank($A822),,IFERROR(vlookup($A822,indirect("'TVC-"&amp;text(month(F$1),"00")&amp;"'!$A:$D"),4,false),1)))</f>
        <v>2583</v>
      </c>
      <c r="G822" s="62">
        <f t="shared" si="1643"/>
        <v>2532</v>
      </c>
      <c r="H822" s="62">
        <f t="shared" ref="H822:Q822" si="1644">IF(isblank(H$1),,IFERROR(vlookup($A822,indirect("'TVC-"&amp;text(month(H$1),"00")&amp;"'!$A:$D"),4,false),1))</f>
        <v>2551</v>
      </c>
      <c r="I822" s="62">
        <f t="shared" si="1644"/>
        <v>2517</v>
      </c>
      <c r="J822" s="62">
        <f t="shared" si="1644"/>
        <v>2370</v>
      </c>
      <c r="K822" s="62">
        <f t="shared" si="1644"/>
        <v>2154</v>
      </c>
      <c r="L822" s="62">
        <f t="shared" si="1644"/>
        <v>1992</v>
      </c>
      <c r="M822" s="62">
        <f t="shared" si="1644"/>
        <v>1852</v>
      </c>
      <c r="N822" s="62">
        <f t="shared" si="1644"/>
        <v>2360</v>
      </c>
      <c r="O822" s="62">
        <f t="shared" si="1644"/>
        <v>1</v>
      </c>
      <c r="P822" s="62" t="str">
        <f t="shared" si="1644"/>
        <v/>
      </c>
      <c r="Q822" s="62" t="str">
        <f t="shared" si="1644"/>
        <v/>
      </c>
      <c r="R822" s="62">
        <f t="shared" si="7"/>
        <v>-2359</v>
      </c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</row>
    <row r="823" hidden="1">
      <c r="A823" s="60">
        <f>IFERROR(__xludf.DUMMYFUNCTION("""COMPUTED_VALUE"""),14137.0)</f>
        <v>14137</v>
      </c>
      <c r="B823" s="60" t="str">
        <f>IFERROR(__xludf.DUMMYFUNCTION("""COMPUTED_VALUE"""),"Fant, Noah")</f>
        <v>Fant, Noah</v>
      </c>
      <c r="C823" s="60" t="str">
        <f>IFERROR(__xludf.DUMMYFUNCTION("""COMPUTED_VALUE"""),"TE")</f>
        <v>TE</v>
      </c>
      <c r="D823" s="60" t="str">
        <f>IFERROR(__xludf.DUMMYFUNCTION("""COMPUTED_VALUE"""),"NOS")</f>
        <v>NOS</v>
      </c>
      <c r="E823" s="62" t="str">
        <f t="shared" si="4"/>
        <v>Noah Fant</v>
      </c>
      <c r="F823" s="62">
        <f t="shared" ref="F823:G823" si="1645">IF(isblank(F$1),,IF(isblank($A823),,IFERROR(vlookup($A823,indirect("'TVC-"&amp;text(month(F$1),"00")&amp;"'!$A:$D"),4,false),1)))</f>
        <v>1737</v>
      </c>
      <c r="G823" s="62">
        <f t="shared" si="1645"/>
        <v>1706</v>
      </c>
      <c r="H823" s="62">
        <f t="shared" ref="H823:Q823" si="1646">IF(isblank(H$1),,IFERROR(vlookup($A823,indirect("'TVC-"&amp;text(month(H$1),"00")&amp;"'!$A:$D"),4,false),1))</f>
        <v>1709</v>
      </c>
      <c r="I823" s="62">
        <f t="shared" si="1646"/>
        <v>1887</v>
      </c>
      <c r="J823" s="62">
        <f t="shared" si="1646"/>
        <v>1773</v>
      </c>
      <c r="K823" s="62">
        <f t="shared" si="1646"/>
        <v>1757</v>
      </c>
      <c r="L823" s="62">
        <f t="shared" si="1646"/>
        <v>1774</v>
      </c>
      <c r="M823" s="62">
        <f t="shared" si="1646"/>
        <v>1778</v>
      </c>
      <c r="N823" s="62">
        <f t="shared" si="1646"/>
        <v>1639</v>
      </c>
      <c r="O823" s="62">
        <f t="shared" si="1646"/>
        <v>1</v>
      </c>
      <c r="P823" s="62" t="str">
        <f t="shared" si="1646"/>
        <v/>
      </c>
      <c r="Q823" s="62" t="str">
        <f t="shared" si="1646"/>
        <v/>
      </c>
      <c r="R823" s="62">
        <f t="shared" si="7"/>
        <v>-1638</v>
      </c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</row>
    <row r="824" hidden="1">
      <c r="A824" s="60">
        <f>IFERROR(__xludf.DUMMYFUNCTION("""COMPUTED_VALUE"""),14138.0)</f>
        <v>14138</v>
      </c>
      <c r="B824" s="60" t="str">
        <f>IFERROR(__xludf.DUMMYFUNCTION("""COMPUTED_VALUE"""),"Hockenson, T.J.")</f>
        <v>Hockenson, T.J.</v>
      </c>
      <c r="C824" s="60" t="str">
        <f>IFERROR(__xludf.DUMMYFUNCTION("""COMPUTED_VALUE"""),"TE")</f>
        <v>TE</v>
      </c>
      <c r="D824" s="60" t="str">
        <f>IFERROR(__xludf.DUMMYFUNCTION("""COMPUTED_VALUE"""),"MIN")</f>
        <v>MIN</v>
      </c>
      <c r="E824" s="62" t="str">
        <f t="shared" si="4"/>
        <v>T.J. Hockenson</v>
      </c>
      <c r="F824" s="62">
        <f t="shared" ref="F824:G824" si="1647">IF(isblank(F$1),,IF(isblank($A824),,IFERROR(vlookup($A824,indirect("'TVC-"&amp;text(month(F$1),"00")&amp;"'!$A:$D"),4,false),1)))</f>
        <v>3034</v>
      </c>
      <c r="G824" s="62">
        <f t="shared" si="1647"/>
        <v>3020</v>
      </c>
      <c r="H824" s="62">
        <f t="shared" ref="H824:Q824" si="1648">IF(isblank(H$1),,IFERROR(vlookup($A824,indirect("'TVC-"&amp;text(month(H$1),"00")&amp;"'!$A:$D"),4,false),1))</f>
        <v>3141</v>
      </c>
      <c r="I824" s="62">
        <f t="shared" si="1648"/>
        <v>3203</v>
      </c>
      <c r="J824" s="62">
        <f t="shared" si="1648"/>
        <v>3253</v>
      </c>
      <c r="K824" s="62">
        <f t="shared" si="1648"/>
        <v>3210</v>
      </c>
      <c r="L824" s="62">
        <f t="shared" si="1648"/>
        <v>3137</v>
      </c>
      <c r="M824" s="62">
        <f t="shared" si="1648"/>
        <v>3112</v>
      </c>
      <c r="N824" s="62">
        <f t="shared" si="1648"/>
        <v>2863</v>
      </c>
      <c r="O824" s="62">
        <f t="shared" si="1648"/>
        <v>1</v>
      </c>
      <c r="P824" s="62" t="str">
        <f t="shared" si="1648"/>
        <v/>
      </c>
      <c r="Q824" s="62" t="str">
        <f t="shared" si="1648"/>
        <v/>
      </c>
      <c r="R824" s="62">
        <f t="shared" si="7"/>
        <v>-2862</v>
      </c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</row>
    <row r="825" hidden="1">
      <c r="A825" s="60">
        <f>IFERROR(__xludf.DUMMYFUNCTION("""COMPUTED_VALUE"""),14141.0)</f>
        <v>14141</v>
      </c>
      <c r="B825" s="60" t="str">
        <f>IFERROR(__xludf.DUMMYFUNCTION("""COMPUTED_VALUE"""),"Smith, Irv")</f>
        <v>Smith, Irv</v>
      </c>
      <c r="C825" s="60" t="str">
        <f>IFERROR(__xludf.DUMMYFUNCTION("""COMPUTED_VALUE"""),"TE")</f>
        <v>TE</v>
      </c>
      <c r="D825" s="60" t="str">
        <f>IFERROR(__xludf.DUMMYFUNCTION("""COMPUTED_VALUE"""),"FA")</f>
        <v>FA</v>
      </c>
      <c r="E825" s="62" t="str">
        <f t="shared" si="4"/>
        <v>Irv Smith</v>
      </c>
      <c r="F825" s="62">
        <f t="shared" ref="F825:G825" si="1649">IF(isblank(F$1),,IF(isblank($A825),,IFERROR(vlookup($A825,indirect("'TVC-"&amp;text(month(F$1),"00")&amp;"'!$A:$D"),4,false),1)))</f>
        <v>1</v>
      </c>
      <c r="G825" s="62">
        <f t="shared" si="1649"/>
        <v>1</v>
      </c>
      <c r="H825" s="62">
        <f t="shared" ref="H825:Q825" si="1650">IF(isblank(H$1),,IFERROR(vlookup($A825,indirect("'TVC-"&amp;text(month(H$1),"00")&amp;"'!$A:$D"),4,false),1))</f>
        <v>1</v>
      </c>
      <c r="I825" s="62">
        <f t="shared" si="1650"/>
        <v>1</v>
      </c>
      <c r="J825" s="62">
        <f t="shared" si="1650"/>
        <v>1</v>
      </c>
      <c r="K825" s="62">
        <f t="shared" si="1650"/>
        <v>1</v>
      </c>
      <c r="L825" s="62">
        <f t="shared" si="1650"/>
        <v>1</v>
      </c>
      <c r="M825" s="62">
        <f t="shared" si="1650"/>
        <v>1</v>
      </c>
      <c r="N825" s="62">
        <f t="shared" si="1650"/>
        <v>1</v>
      </c>
      <c r="O825" s="62">
        <f t="shared" si="1650"/>
        <v>1</v>
      </c>
      <c r="P825" s="62" t="str">
        <f t="shared" si="1650"/>
        <v/>
      </c>
      <c r="Q825" s="62" t="str">
        <f t="shared" si="1650"/>
        <v/>
      </c>
      <c r="R825" s="62">
        <f t="shared" si="7"/>
        <v>0</v>
      </c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</row>
    <row r="826" hidden="1">
      <c r="A826" s="60">
        <f>IFERROR(__xludf.DUMMYFUNCTION("""COMPUTED_VALUE"""),14143.0)</f>
        <v>14143</v>
      </c>
      <c r="B826" s="60" t="str">
        <f>IFERROR(__xludf.DUMMYFUNCTION("""COMPUTED_VALUE"""),"Knox, Dawson")</f>
        <v>Knox, Dawson</v>
      </c>
      <c r="C826" s="60" t="str">
        <f>IFERROR(__xludf.DUMMYFUNCTION("""COMPUTED_VALUE"""),"TE")</f>
        <v>TE</v>
      </c>
      <c r="D826" s="60" t="str">
        <f>IFERROR(__xludf.DUMMYFUNCTION("""COMPUTED_VALUE"""),"BUF")</f>
        <v>BUF</v>
      </c>
      <c r="E826" s="62" t="str">
        <f t="shared" si="4"/>
        <v>Dawson Knox</v>
      </c>
      <c r="F826" s="62">
        <f t="shared" ref="F826:G826" si="1651">IF(isblank(F$1),,IF(isblank($A826),,IFERROR(vlookup($A826,indirect("'TVC-"&amp;text(month(F$1),"00")&amp;"'!$A:$D"),4,false),1)))</f>
        <v>1941</v>
      </c>
      <c r="G826" s="62">
        <f t="shared" si="1651"/>
        <v>1995</v>
      </c>
      <c r="H826" s="62">
        <f t="shared" ref="H826:Q826" si="1652">IF(isblank(H$1),,IFERROR(vlookup($A826,indirect("'TVC-"&amp;text(month(H$1),"00")&amp;"'!$A:$D"),4,false),1))</f>
        <v>1992</v>
      </c>
      <c r="I826" s="62">
        <f t="shared" si="1652"/>
        <v>2125</v>
      </c>
      <c r="J826" s="62">
        <f t="shared" si="1652"/>
        <v>2146</v>
      </c>
      <c r="K826" s="62">
        <f t="shared" si="1652"/>
        <v>2159</v>
      </c>
      <c r="L826" s="62">
        <f t="shared" si="1652"/>
        <v>2080</v>
      </c>
      <c r="M826" s="62">
        <f t="shared" si="1652"/>
        <v>2068</v>
      </c>
      <c r="N826" s="62">
        <f t="shared" si="1652"/>
        <v>1980</v>
      </c>
      <c r="O826" s="62">
        <f t="shared" si="1652"/>
        <v>1</v>
      </c>
      <c r="P826" s="62" t="str">
        <f t="shared" si="1652"/>
        <v/>
      </c>
      <c r="Q826" s="62" t="str">
        <f t="shared" si="1652"/>
        <v/>
      </c>
      <c r="R826" s="62">
        <f t="shared" si="7"/>
        <v>-1979</v>
      </c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</row>
    <row r="827" hidden="1">
      <c r="A827" s="60">
        <f>IFERROR(__xludf.DUMMYFUNCTION("""COMPUTED_VALUE"""),14146.0)</f>
        <v>14146</v>
      </c>
      <c r="B827" s="60" t="str">
        <f>IFERROR(__xludf.DUMMYFUNCTION("""COMPUTED_VALUE"""),"Sample, Drew")</f>
        <v>Sample, Drew</v>
      </c>
      <c r="C827" s="60" t="str">
        <f>IFERROR(__xludf.DUMMYFUNCTION("""COMPUTED_VALUE"""),"TE")</f>
        <v>TE</v>
      </c>
      <c r="D827" s="60" t="str">
        <f>IFERROR(__xludf.DUMMYFUNCTION("""COMPUTED_VALUE"""),"CIN")</f>
        <v>CIN</v>
      </c>
      <c r="E827" s="62" t="str">
        <f t="shared" si="4"/>
        <v>Drew Sample</v>
      </c>
      <c r="F827" s="62">
        <f t="shared" ref="F827:G827" si="1653">IF(isblank(F$1),,IF(isblank($A827),,IFERROR(vlookup($A827,indirect("'TVC-"&amp;text(month(F$1),"00")&amp;"'!$A:$D"),4,false),1)))</f>
        <v>1</v>
      </c>
      <c r="G827" s="62">
        <f t="shared" si="1653"/>
        <v>1</v>
      </c>
      <c r="H827" s="62">
        <f t="shared" ref="H827:Q827" si="1654">IF(isblank(H$1),,IFERROR(vlookup($A827,indirect("'TVC-"&amp;text(month(H$1),"00")&amp;"'!$A:$D"),4,false),1))</f>
        <v>1</v>
      </c>
      <c r="I827" s="62">
        <f t="shared" si="1654"/>
        <v>1</v>
      </c>
      <c r="J827" s="62">
        <f t="shared" si="1654"/>
        <v>1</v>
      </c>
      <c r="K827" s="62">
        <f t="shared" si="1654"/>
        <v>1</v>
      </c>
      <c r="L827" s="62">
        <f t="shared" si="1654"/>
        <v>1</v>
      </c>
      <c r="M827" s="62">
        <f t="shared" si="1654"/>
        <v>1</v>
      </c>
      <c r="N827" s="62">
        <f t="shared" si="1654"/>
        <v>1</v>
      </c>
      <c r="O827" s="62">
        <f t="shared" si="1654"/>
        <v>1</v>
      </c>
      <c r="P827" s="62" t="str">
        <f t="shared" si="1654"/>
        <v/>
      </c>
      <c r="Q827" s="62" t="str">
        <f t="shared" si="1654"/>
        <v/>
      </c>
      <c r="R827" s="62">
        <f t="shared" si="7"/>
        <v>0</v>
      </c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</row>
    <row r="828" hidden="1">
      <c r="A828" s="60">
        <f>IFERROR(__xludf.DUMMYFUNCTION("""COMPUTED_VALUE"""),14147.0)</f>
        <v>14147</v>
      </c>
      <c r="B828" s="60" t="str">
        <f>IFERROR(__xludf.DUMMYFUNCTION("""COMPUTED_VALUE"""),"Bosa, Nick")</f>
        <v>Bosa, Nick</v>
      </c>
      <c r="C828" s="60" t="str">
        <f>IFERROR(__xludf.DUMMYFUNCTION("""COMPUTED_VALUE"""),"DE")</f>
        <v>DE</v>
      </c>
      <c r="D828" s="60" t="str">
        <f>IFERROR(__xludf.DUMMYFUNCTION("""COMPUTED_VALUE"""),"SFO")</f>
        <v>SFO</v>
      </c>
      <c r="E828" s="62" t="str">
        <f t="shared" si="4"/>
        <v>Nick Bosa</v>
      </c>
      <c r="F828" s="62">
        <f t="shared" ref="F828:G828" si="1655">IF(isblank(F$1),,IF(isblank($A828),,IFERROR(vlookup($A828,indirect("'TVC-"&amp;text(month(F$1),"00")&amp;"'!$A:$D"),4,false),1)))</f>
        <v>1</v>
      </c>
      <c r="G828" s="62">
        <f t="shared" si="1655"/>
        <v>1</v>
      </c>
      <c r="H828" s="62">
        <f t="shared" ref="H828:Q828" si="1656">IF(isblank(H$1),,IFERROR(vlookup($A828,indirect("'TVC-"&amp;text(month(H$1),"00")&amp;"'!$A:$D"),4,false),1))</f>
        <v>1</v>
      </c>
      <c r="I828" s="62">
        <f t="shared" si="1656"/>
        <v>1</v>
      </c>
      <c r="J828" s="62">
        <f t="shared" si="1656"/>
        <v>1</v>
      </c>
      <c r="K828" s="62">
        <f t="shared" si="1656"/>
        <v>1</v>
      </c>
      <c r="L828" s="62">
        <f t="shared" si="1656"/>
        <v>1</v>
      </c>
      <c r="M828" s="62">
        <f t="shared" si="1656"/>
        <v>1</v>
      </c>
      <c r="N828" s="62">
        <f t="shared" si="1656"/>
        <v>1</v>
      </c>
      <c r="O828" s="62">
        <f t="shared" si="1656"/>
        <v>1</v>
      </c>
      <c r="P828" s="62" t="str">
        <f t="shared" si="1656"/>
        <v/>
      </c>
      <c r="Q828" s="62" t="str">
        <f t="shared" si="1656"/>
        <v/>
      </c>
      <c r="R828" s="62">
        <f t="shared" si="7"/>
        <v>0</v>
      </c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</row>
    <row r="829" hidden="1">
      <c r="A829" s="60">
        <f>IFERROR(__xludf.DUMMYFUNCTION("""COMPUTED_VALUE"""),14148.0)</f>
        <v>14148</v>
      </c>
      <c r="B829" s="60" t="str">
        <f>IFERROR(__xludf.DUMMYFUNCTION("""COMPUTED_VALUE"""),"Sweat, Montez")</f>
        <v>Sweat, Montez</v>
      </c>
      <c r="C829" s="60" t="str">
        <f>IFERROR(__xludf.DUMMYFUNCTION("""COMPUTED_VALUE"""),"DE")</f>
        <v>DE</v>
      </c>
      <c r="D829" s="60" t="str">
        <f>IFERROR(__xludf.DUMMYFUNCTION("""COMPUTED_VALUE"""),"CHI")</f>
        <v>CHI</v>
      </c>
      <c r="E829" s="62" t="str">
        <f t="shared" si="4"/>
        <v>Montez Sweat</v>
      </c>
      <c r="F829" s="62">
        <f t="shared" ref="F829:G829" si="1657">IF(isblank(F$1),,IF(isblank($A829),,IFERROR(vlookup($A829,indirect("'TVC-"&amp;text(month(F$1),"00")&amp;"'!$A:$D"),4,false),1)))</f>
        <v>1</v>
      </c>
      <c r="G829" s="62">
        <f t="shared" si="1657"/>
        <v>1</v>
      </c>
      <c r="H829" s="62">
        <f t="shared" ref="H829:Q829" si="1658">IF(isblank(H$1),,IFERROR(vlookup($A829,indirect("'TVC-"&amp;text(month(H$1),"00")&amp;"'!$A:$D"),4,false),1))</f>
        <v>1</v>
      </c>
      <c r="I829" s="62">
        <f t="shared" si="1658"/>
        <v>1</v>
      </c>
      <c r="J829" s="62">
        <f t="shared" si="1658"/>
        <v>1</v>
      </c>
      <c r="K829" s="62">
        <f t="shared" si="1658"/>
        <v>1</v>
      </c>
      <c r="L829" s="62">
        <f t="shared" si="1658"/>
        <v>1</v>
      </c>
      <c r="M829" s="62">
        <f t="shared" si="1658"/>
        <v>1</v>
      </c>
      <c r="N829" s="62">
        <f t="shared" si="1658"/>
        <v>1</v>
      </c>
      <c r="O829" s="62">
        <f t="shared" si="1658"/>
        <v>1</v>
      </c>
      <c r="P829" s="62" t="str">
        <f t="shared" si="1658"/>
        <v/>
      </c>
      <c r="Q829" s="62" t="str">
        <f t="shared" si="1658"/>
        <v/>
      </c>
      <c r="R829" s="62">
        <f t="shared" si="7"/>
        <v>0</v>
      </c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</row>
    <row r="830" hidden="1">
      <c r="A830" s="60">
        <f>IFERROR(__xludf.DUMMYFUNCTION("""COMPUTED_VALUE"""),14149.0)</f>
        <v>14149</v>
      </c>
      <c r="B830" s="60" t="str">
        <f>IFERROR(__xludf.DUMMYFUNCTION("""COMPUTED_VALUE"""),"Gary, Rashan")</f>
        <v>Gary, Rashan</v>
      </c>
      <c r="C830" s="60" t="str">
        <f>IFERROR(__xludf.DUMMYFUNCTION("""COMPUTED_VALUE"""),"DE")</f>
        <v>DE</v>
      </c>
      <c r="D830" s="60" t="str">
        <f>IFERROR(__xludf.DUMMYFUNCTION("""COMPUTED_VALUE"""),"DAL")</f>
        <v>DAL</v>
      </c>
      <c r="E830" s="62" t="str">
        <f t="shared" si="4"/>
        <v>Rashan Gary</v>
      </c>
      <c r="F830" s="62">
        <f t="shared" ref="F830:G830" si="1659">IF(isblank(F$1),,IF(isblank($A830),,IFERROR(vlookup($A830,indirect("'TVC-"&amp;text(month(F$1),"00")&amp;"'!$A:$D"),4,false),1)))</f>
        <v>1</v>
      </c>
      <c r="G830" s="62">
        <f t="shared" si="1659"/>
        <v>1</v>
      </c>
      <c r="H830" s="62">
        <f t="shared" ref="H830:Q830" si="1660">IF(isblank(H$1),,IFERROR(vlookup($A830,indirect("'TVC-"&amp;text(month(H$1),"00")&amp;"'!$A:$D"),4,false),1))</f>
        <v>1</v>
      </c>
      <c r="I830" s="62">
        <f t="shared" si="1660"/>
        <v>1</v>
      </c>
      <c r="J830" s="62">
        <f t="shared" si="1660"/>
        <v>1</v>
      </c>
      <c r="K830" s="62">
        <f t="shared" si="1660"/>
        <v>1</v>
      </c>
      <c r="L830" s="62">
        <f t="shared" si="1660"/>
        <v>1</v>
      </c>
      <c r="M830" s="62">
        <f t="shared" si="1660"/>
        <v>1</v>
      </c>
      <c r="N830" s="62">
        <f t="shared" si="1660"/>
        <v>1</v>
      </c>
      <c r="O830" s="62">
        <f t="shared" si="1660"/>
        <v>1</v>
      </c>
      <c r="P830" s="62" t="str">
        <f t="shared" si="1660"/>
        <v/>
      </c>
      <c r="Q830" s="62" t="str">
        <f t="shared" si="1660"/>
        <v/>
      </c>
      <c r="R830" s="62">
        <f t="shared" si="7"/>
        <v>0</v>
      </c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</row>
    <row r="831" hidden="1">
      <c r="A831" s="60">
        <f>IFERROR(__xludf.DUMMYFUNCTION("""COMPUTED_VALUE"""),14151.0)</f>
        <v>14151</v>
      </c>
      <c r="B831" s="60" t="str">
        <f>IFERROR(__xludf.DUMMYFUNCTION("""COMPUTED_VALUE"""),"Ferrell, Clelin")</f>
        <v>Ferrell, Clelin</v>
      </c>
      <c r="C831" s="60" t="str">
        <f>IFERROR(__xludf.DUMMYFUNCTION("""COMPUTED_VALUE"""),"DE")</f>
        <v>DE</v>
      </c>
      <c r="D831" s="60" t="str">
        <f>IFERROR(__xludf.DUMMYFUNCTION("""COMPUTED_VALUE"""),"MIA")</f>
        <v>MIA</v>
      </c>
      <c r="E831" s="62" t="str">
        <f t="shared" si="4"/>
        <v>Clelin Ferrell</v>
      </c>
      <c r="F831" s="62">
        <f t="shared" ref="F831:G831" si="1661">IF(isblank(F$1),,IF(isblank($A831),,IFERROR(vlookup($A831,indirect("'TVC-"&amp;text(month(F$1),"00")&amp;"'!$A:$D"),4,false),1)))</f>
        <v>1</v>
      </c>
      <c r="G831" s="62">
        <f t="shared" si="1661"/>
        <v>1</v>
      </c>
      <c r="H831" s="62">
        <f t="shared" ref="H831:Q831" si="1662">IF(isblank(H$1),,IFERROR(vlookup($A831,indirect("'TVC-"&amp;text(month(H$1),"00")&amp;"'!$A:$D"),4,false),1))</f>
        <v>1</v>
      </c>
      <c r="I831" s="62">
        <f t="shared" si="1662"/>
        <v>1</v>
      </c>
      <c r="J831" s="62">
        <f t="shared" si="1662"/>
        <v>1</v>
      </c>
      <c r="K831" s="62">
        <f t="shared" si="1662"/>
        <v>1</v>
      </c>
      <c r="L831" s="62">
        <f t="shared" si="1662"/>
        <v>1</v>
      </c>
      <c r="M831" s="62">
        <f t="shared" si="1662"/>
        <v>1</v>
      </c>
      <c r="N831" s="62">
        <f t="shared" si="1662"/>
        <v>1</v>
      </c>
      <c r="O831" s="62">
        <f t="shared" si="1662"/>
        <v>1</v>
      </c>
      <c r="P831" s="62" t="str">
        <f t="shared" si="1662"/>
        <v/>
      </c>
      <c r="Q831" s="62" t="str">
        <f t="shared" si="1662"/>
        <v/>
      </c>
      <c r="R831" s="62">
        <f t="shared" si="7"/>
        <v>0</v>
      </c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</row>
    <row r="832" hidden="1">
      <c r="A832" s="60">
        <f>IFERROR(__xludf.DUMMYFUNCTION("""COMPUTED_VALUE"""),14153.0)</f>
        <v>14153</v>
      </c>
      <c r="B832" s="60" t="str">
        <f>IFERROR(__xludf.DUMMYFUNCTION("""COMPUTED_VALUE"""),"Allen, Zach")</f>
        <v>Allen, Zach</v>
      </c>
      <c r="C832" s="60" t="str">
        <f>IFERROR(__xludf.DUMMYFUNCTION("""COMPUTED_VALUE"""),"DT")</f>
        <v>DT</v>
      </c>
      <c r="D832" s="60" t="str">
        <f>IFERROR(__xludf.DUMMYFUNCTION("""COMPUTED_VALUE"""),"DEN")</f>
        <v>DEN</v>
      </c>
      <c r="E832" s="62" t="str">
        <f t="shared" si="4"/>
        <v>Zach Allen</v>
      </c>
      <c r="F832" s="62">
        <f t="shared" ref="F832:G832" si="1663">IF(isblank(F$1),,IF(isblank($A832),,IFERROR(vlookup($A832,indirect("'TVC-"&amp;text(month(F$1),"00")&amp;"'!$A:$D"),4,false),1)))</f>
        <v>1</v>
      </c>
      <c r="G832" s="62">
        <f t="shared" si="1663"/>
        <v>1</v>
      </c>
      <c r="H832" s="62">
        <f t="shared" ref="H832:Q832" si="1664">IF(isblank(H$1),,IFERROR(vlookup($A832,indirect("'TVC-"&amp;text(month(H$1),"00")&amp;"'!$A:$D"),4,false),1))</f>
        <v>1</v>
      </c>
      <c r="I832" s="62">
        <f t="shared" si="1664"/>
        <v>1</v>
      </c>
      <c r="J832" s="62">
        <f t="shared" si="1664"/>
        <v>1</v>
      </c>
      <c r="K832" s="62">
        <f t="shared" si="1664"/>
        <v>1</v>
      </c>
      <c r="L832" s="62">
        <f t="shared" si="1664"/>
        <v>1</v>
      </c>
      <c r="M832" s="62">
        <f t="shared" si="1664"/>
        <v>1</v>
      </c>
      <c r="N832" s="62">
        <f t="shared" si="1664"/>
        <v>1</v>
      </c>
      <c r="O832" s="62">
        <f t="shared" si="1664"/>
        <v>1</v>
      </c>
      <c r="P832" s="62" t="str">
        <f t="shared" si="1664"/>
        <v/>
      </c>
      <c r="Q832" s="62" t="str">
        <f t="shared" si="1664"/>
        <v/>
      </c>
      <c r="R832" s="62">
        <f t="shared" si="7"/>
        <v>0</v>
      </c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</row>
    <row r="833" hidden="1">
      <c r="A833" s="60">
        <f>IFERROR(__xludf.DUMMYFUNCTION("""COMPUTED_VALUE"""),14154.0)</f>
        <v>14154</v>
      </c>
      <c r="B833" s="60" t="str">
        <f>IFERROR(__xludf.DUMMYFUNCTION("""COMPUTED_VALUE"""),"Nelson, Anthony")</f>
        <v>Nelson, Anthony</v>
      </c>
      <c r="C833" s="60" t="str">
        <f>IFERROR(__xludf.DUMMYFUNCTION("""COMPUTED_VALUE"""),"DE")</f>
        <v>DE</v>
      </c>
      <c r="D833" s="60" t="str">
        <f>IFERROR(__xludf.DUMMYFUNCTION("""COMPUTED_VALUE"""),"TBB")</f>
        <v>TBB</v>
      </c>
      <c r="E833" s="62" t="str">
        <f t="shared" si="4"/>
        <v>Anthony Nelson</v>
      </c>
      <c r="F833" s="62">
        <f t="shared" ref="F833:G833" si="1665">IF(isblank(F$1),,IF(isblank($A833),,IFERROR(vlookup($A833,indirect("'TVC-"&amp;text(month(F$1),"00")&amp;"'!$A:$D"),4,false),1)))</f>
        <v>1</v>
      </c>
      <c r="G833" s="62">
        <f t="shared" si="1665"/>
        <v>1</v>
      </c>
      <c r="H833" s="62">
        <f t="shared" ref="H833:Q833" si="1666">IF(isblank(H$1),,IFERROR(vlookup($A833,indirect("'TVC-"&amp;text(month(H$1),"00")&amp;"'!$A:$D"),4,false),1))</f>
        <v>1</v>
      </c>
      <c r="I833" s="62">
        <f t="shared" si="1666"/>
        <v>1</v>
      </c>
      <c r="J833" s="62">
        <f t="shared" si="1666"/>
        <v>1</v>
      </c>
      <c r="K833" s="62">
        <f t="shared" si="1666"/>
        <v>1</v>
      </c>
      <c r="L833" s="62">
        <f t="shared" si="1666"/>
        <v>1</v>
      </c>
      <c r="M833" s="62">
        <f t="shared" si="1666"/>
        <v>1</v>
      </c>
      <c r="N833" s="62">
        <f t="shared" si="1666"/>
        <v>1</v>
      </c>
      <c r="O833" s="62">
        <f t="shared" si="1666"/>
        <v>1</v>
      </c>
      <c r="P833" s="62" t="str">
        <f t="shared" si="1666"/>
        <v/>
      </c>
      <c r="Q833" s="62" t="str">
        <f t="shared" si="1666"/>
        <v/>
      </c>
      <c r="R833" s="62">
        <f t="shared" si="7"/>
        <v>0</v>
      </c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</row>
    <row r="834" hidden="1">
      <c r="A834" s="60">
        <f>IFERROR(__xludf.DUMMYFUNCTION("""COMPUTED_VALUE"""),14155.0)</f>
        <v>14155</v>
      </c>
      <c r="B834" s="60" t="str">
        <f>IFERROR(__xludf.DUMMYFUNCTION("""COMPUTED_VALUE"""),"Collier, L.J.")</f>
        <v>Collier, L.J.</v>
      </c>
      <c r="C834" s="60" t="str">
        <f>IFERROR(__xludf.DUMMYFUNCTION("""COMPUTED_VALUE"""),"DT")</f>
        <v>DT</v>
      </c>
      <c r="D834" s="60" t="str">
        <f>IFERROR(__xludf.DUMMYFUNCTION("""COMPUTED_VALUE"""),"ARI")</f>
        <v>ARI</v>
      </c>
      <c r="E834" s="62" t="str">
        <f t="shared" si="4"/>
        <v>L.J. Collier</v>
      </c>
      <c r="F834" s="62">
        <f t="shared" ref="F834:G834" si="1667">IF(isblank(F$1),,IF(isblank($A834),,IFERROR(vlookup($A834,indirect("'TVC-"&amp;text(month(F$1),"00")&amp;"'!$A:$D"),4,false),1)))</f>
        <v>1</v>
      </c>
      <c r="G834" s="62">
        <f t="shared" si="1667"/>
        <v>1</v>
      </c>
      <c r="H834" s="62">
        <f t="shared" ref="H834:Q834" si="1668">IF(isblank(H$1),,IFERROR(vlookup($A834,indirect("'TVC-"&amp;text(month(H$1),"00")&amp;"'!$A:$D"),4,false),1))</f>
        <v>1</v>
      </c>
      <c r="I834" s="62">
        <f t="shared" si="1668"/>
        <v>1</v>
      </c>
      <c r="J834" s="62">
        <f t="shared" si="1668"/>
        <v>1</v>
      </c>
      <c r="K834" s="62">
        <f t="shared" si="1668"/>
        <v>1</v>
      </c>
      <c r="L834" s="62">
        <f t="shared" si="1668"/>
        <v>1</v>
      </c>
      <c r="M834" s="62">
        <f t="shared" si="1668"/>
        <v>1</v>
      </c>
      <c r="N834" s="62">
        <f t="shared" si="1668"/>
        <v>1</v>
      </c>
      <c r="O834" s="62">
        <f t="shared" si="1668"/>
        <v>1</v>
      </c>
      <c r="P834" s="62" t="str">
        <f t="shared" si="1668"/>
        <v/>
      </c>
      <c r="Q834" s="62" t="str">
        <f t="shared" si="1668"/>
        <v/>
      </c>
      <c r="R834" s="62">
        <f t="shared" si="7"/>
        <v>0</v>
      </c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</row>
    <row r="835" hidden="1">
      <c r="A835" s="60">
        <f>IFERROR(__xludf.DUMMYFUNCTION("""COMPUTED_VALUE"""),14157.0)</f>
        <v>14157</v>
      </c>
      <c r="B835" s="60" t="str">
        <f>IFERROR(__xludf.DUMMYFUNCTION("""COMPUTED_VALUE"""),"Williams, Quinnen")</f>
        <v>Williams, Quinnen</v>
      </c>
      <c r="C835" s="60" t="str">
        <f>IFERROR(__xludf.DUMMYFUNCTION("""COMPUTED_VALUE"""),"DT")</f>
        <v>DT</v>
      </c>
      <c r="D835" s="60" t="str">
        <f>IFERROR(__xludf.DUMMYFUNCTION("""COMPUTED_VALUE"""),"DAL")</f>
        <v>DAL</v>
      </c>
      <c r="E835" s="62" t="str">
        <f t="shared" si="4"/>
        <v>Quinnen Williams</v>
      </c>
      <c r="F835" s="62">
        <f t="shared" ref="F835:G835" si="1669">IF(isblank(F$1),,IF(isblank($A835),,IFERROR(vlookup($A835,indirect("'TVC-"&amp;text(month(F$1),"00")&amp;"'!$A:$D"),4,false),1)))</f>
        <v>1</v>
      </c>
      <c r="G835" s="62">
        <f t="shared" si="1669"/>
        <v>1</v>
      </c>
      <c r="H835" s="62">
        <f t="shared" ref="H835:Q835" si="1670">IF(isblank(H$1),,IFERROR(vlookup($A835,indirect("'TVC-"&amp;text(month(H$1),"00")&amp;"'!$A:$D"),4,false),1))</f>
        <v>1</v>
      </c>
      <c r="I835" s="62">
        <f t="shared" si="1670"/>
        <v>1</v>
      </c>
      <c r="J835" s="62">
        <f t="shared" si="1670"/>
        <v>1</v>
      </c>
      <c r="K835" s="62">
        <f t="shared" si="1670"/>
        <v>1</v>
      </c>
      <c r="L835" s="62">
        <f t="shared" si="1670"/>
        <v>1</v>
      </c>
      <c r="M835" s="62">
        <f t="shared" si="1670"/>
        <v>1</v>
      </c>
      <c r="N835" s="62">
        <f t="shared" si="1670"/>
        <v>1</v>
      </c>
      <c r="O835" s="62">
        <f t="shared" si="1670"/>
        <v>1</v>
      </c>
      <c r="P835" s="62" t="str">
        <f t="shared" si="1670"/>
        <v/>
      </c>
      <c r="Q835" s="62" t="str">
        <f t="shared" si="1670"/>
        <v/>
      </c>
      <c r="R835" s="62">
        <f t="shared" si="7"/>
        <v>0</v>
      </c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</row>
    <row r="836" hidden="1">
      <c r="A836" s="60">
        <f>IFERROR(__xludf.DUMMYFUNCTION("""COMPUTED_VALUE"""),14158.0)</f>
        <v>14158</v>
      </c>
      <c r="B836" s="60" t="str">
        <f>IFERROR(__xludf.DUMMYFUNCTION("""COMPUTED_VALUE"""),"Oliver, Ed")</f>
        <v>Oliver, Ed</v>
      </c>
      <c r="C836" s="60" t="str">
        <f>IFERROR(__xludf.DUMMYFUNCTION("""COMPUTED_VALUE"""),"DT")</f>
        <v>DT</v>
      </c>
      <c r="D836" s="60" t="str">
        <f>IFERROR(__xludf.DUMMYFUNCTION("""COMPUTED_VALUE"""),"BUF")</f>
        <v>BUF</v>
      </c>
      <c r="E836" s="62" t="str">
        <f t="shared" si="4"/>
        <v>Ed Oliver</v>
      </c>
      <c r="F836" s="62">
        <f t="shared" ref="F836:G836" si="1671">IF(isblank(F$1),,IF(isblank($A836),,IFERROR(vlookup($A836,indirect("'TVC-"&amp;text(month(F$1),"00")&amp;"'!$A:$D"),4,false),1)))</f>
        <v>1</v>
      </c>
      <c r="G836" s="62">
        <f t="shared" si="1671"/>
        <v>1</v>
      </c>
      <c r="H836" s="62">
        <f t="shared" ref="H836:Q836" si="1672">IF(isblank(H$1),,IFERROR(vlookup($A836,indirect("'TVC-"&amp;text(month(H$1),"00")&amp;"'!$A:$D"),4,false),1))</f>
        <v>1</v>
      </c>
      <c r="I836" s="62">
        <f t="shared" si="1672"/>
        <v>1</v>
      </c>
      <c r="J836" s="62">
        <f t="shared" si="1672"/>
        <v>1</v>
      </c>
      <c r="K836" s="62">
        <f t="shared" si="1672"/>
        <v>1</v>
      </c>
      <c r="L836" s="62">
        <f t="shared" si="1672"/>
        <v>1</v>
      </c>
      <c r="M836" s="62">
        <f t="shared" si="1672"/>
        <v>1</v>
      </c>
      <c r="N836" s="62">
        <f t="shared" si="1672"/>
        <v>1</v>
      </c>
      <c r="O836" s="62">
        <f t="shared" si="1672"/>
        <v>1</v>
      </c>
      <c r="P836" s="62" t="str">
        <f t="shared" si="1672"/>
        <v/>
      </c>
      <c r="Q836" s="62" t="str">
        <f t="shared" si="1672"/>
        <v/>
      </c>
      <c r="R836" s="62">
        <f t="shared" si="7"/>
        <v>0</v>
      </c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</row>
    <row r="837" hidden="1">
      <c r="A837" s="60">
        <f>IFERROR(__xludf.DUMMYFUNCTION("""COMPUTED_VALUE"""),14159.0)</f>
        <v>14159</v>
      </c>
      <c r="B837" s="60" t="str">
        <f>IFERROR(__xludf.DUMMYFUNCTION("""COMPUTED_VALUE"""),"Lawrence, Dexter")</f>
        <v>Lawrence, Dexter</v>
      </c>
      <c r="C837" s="60" t="str">
        <f>IFERROR(__xludf.DUMMYFUNCTION("""COMPUTED_VALUE"""),"DT")</f>
        <v>DT</v>
      </c>
      <c r="D837" s="60" t="str">
        <f>IFERROR(__xludf.DUMMYFUNCTION("""COMPUTED_VALUE"""),"CIN")</f>
        <v>CIN</v>
      </c>
      <c r="E837" s="62" t="str">
        <f t="shared" si="4"/>
        <v>Dexter Lawrence</v>
      </c>
      <c r="F837" s="62">
        <f t="shared" ref="F837:G837" si="1673">IF(isblank(F$1),,IF(isblank($A837),,IFERROR(vlookup($A837,indirect("'TVC-"&amp;text(month(F$1),"00")&amp;"'!$A:$D"),4,false),1)))</f>
        <v>1</v>
      </c>
      <c r="G837" s="62">
        <f t="shared" si="1673"/>
        <v>1</v>
      </c>
      <c r="H837" s="62">
        <f t="shared" ref="H837:Q837" si="1674">IF(isblank(H$1),,IFERROR(vlookup($A837,indirect("'TVC-"&amp;text(month(H$1),"00")&amp;"'!$A:$D"),4,false),1))</f>
        <v>1</v>
      </c>
      <c r="I837" s="62">
        <f t="shared" si="1674"/>
        <v>1</v>
      </c>
      <c r="J837" s="62">
        <f t="shared" si="1674"/>
        <v>1</v>
      </c>
      <c r="K837" s="62">
        <f t="shared" si="1674"/>
        <v>1</v>
      </c>
      <c r="L837" s="62">
        <f t="shared" si="1674"/>
        <v>1</v>
      </c>
      <c r="M837" s="62">
        <f t="shared" si="1674"/>
        <v>1</v>
      </c>
      <c r="N837" s="62">
        <f t="shared" si="1674"/>
        <v>1</v>
      </c>
      <c r="O837" s="62">
        <f t="shared" si="1674"/>
        <v>1</v>
      </c>
      <c r="P837" s="62" t="str">
        <f t="shared" si="1674"/>
        <v/>
      </c>
      <c r="Q837" s="62" t="str">
        <f t="shared" si="1674"/>
        <v/>
      </c>
      <c r="R837" s="62">
        <f t="shared" si="7"/>
        <v>0</v>
      </c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</row>
    <row r="838" hidden="1">
      <c r="A838" s="60">
        <f>IFERROR(__xludf.DUMMYFUNCTION("""COMPUTED_VALUE"""),14161.0)</f>
        <v>14161</v>
      </c>
      <c r="B838" s="60" t="str">
        <f>IFERROR(__xludf.DUMMYFUNCTION("""COMPUTED_VALUE"""),"Tillery, Jerry")</f>
        <v>Tillery, Jerry</v>
      </c>
      <c r="C838" s="60" t="str">
        <f>IFERROR(__xludf.DUMMYFUNCTION("""COMPUTED_VALUE"""),"DT")</f>
        <v>DT</v>
      </c>
      <c r="D838" s="60" t="str">
        <f>IFERROR(__xludf.DUMMYFUNCTION("""COMPUTED_VALUE"""),"IND")</f>
        <v>IND</v>
      </c>
      <c r="E838" s="62" t="str">
        <f t="shared" si="4"/>
        <v>Jerry Tillery</v>
      </c>
      <c r="F838" s="62">
        <f t="shared" ref="F838:G838" si="1675">IF(isblank(F$1),,IF(isblank($A838),,IFERROR(vlookup($A838,indirect("'TVC-"&amp;text(month(F$1),"00")&amp;"'!$A:$D"),4,false),1)))</f>
        <v>1</v>
      </c>
      <c r="G838" s="62">
        <f t="shared" si="1675"/>
        <v>1</v>
      </c>
      <c r="H838" s="62">
        <f t="shared" ref="H838:Q838" si="1676">IF(isblank(H$1),,IFERROR(vlookup($A838,indirect("'TVC-"&amp;text(month(H$1),"00")&amp;"'!$A:$D"),4,false),1))</f>
        <v>1</v>
      </c>
      <c r="I838" s="62">
        <f t="shared" si="1676"/>
        <v>1</v>
      </c>
      <c r="J838" s="62">
        <f t="shared" si="1676"/>
        <v>1</v>
      </c>
      <c r="K838" s="62">
        <f t="shared" si="1676"/>
        <v>1</v>
      </c>
      <c r="L838" s="62">
        <f t="shared" si="1676"/>
        <v>1</v>
      </c>
      <c r="M838" s="62">
        <f t="shared" si="1676"/>
        <v>1</v>
      </c>
      <c r="N838" s="62">
        <f t="shared" si="1676"/>
        <v>1</v>
      </c>
      <c r="O838" s="62">
        <f t="shared" si="1676"/>
        <v>1</v>
      </c>
      <c r="P838" s="62" t="str">
        <f t="shared" si="1676"/>
        <v/>
      </c>
      <c r="Q838" s="62" t="str">
        <f t="shared" si="1676"/>
        <v/>
      </c>
      <c r="R838" s="62">
        <f t="shared" si="7"/>
        <v>0</v>
      </c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</row>
    <row r="839" hidden="1">
      <c r="A839" s="60">
        <f>IFERROR(__xludf.DUMMYFUNCTION("""COMPUTED_VALUE"""),14162.0)</f>
        <v>14162</v>
      </c>
      <c r="B839" s="60" t="str">
        <f>IFERROR(__xludf.DUMMYFUNCTION("""COMPUTED_VALUE"""),"Wilkins, Christian")</f>
        <v>Wilkins, Christian</v>
      </c>
      <c r="C839" s="60" t="str">
        <f>IFERROR(__xludf.DUMMYFUNCTION("""COMPUTED_VALUE"""),"DT")</f>
        <v>DT</v>
      </c>
      <c r="D839" s="60" t="str">
        <f>IFERROR(__xludf.DUMMYFUNCTION("""COMPUTED_VALUE"""),"FA")</f>
        <v>FA</v>
      </c>
      <c r="E839" s="62" t="str">
        <f t="shared" si="4"/>
        <v>Christian Wilkins</v>
      </c>
      <c r="F839" s="62">
        <f t="shared" ref="F839:G839" si="1677">IF(isblank(F$1),,IF(isblank($A839),,IFERROR(vlookup($A839,indirect("'TVC-"&amp;text(month(F$1),"00")&amp;"'!$A:$D"),4,false),1)))</f>
        <v>1</v>
      </c>
      <c r="G839" s="62">
        <f t="shared" si="1677"/>
        <v>1</v>
      </c>
      <c r="H839" s="62">
        <f t="shared" ref="H839:Q839" si="1678">IF(isblank(H$1),,IFERROR(vlookup($A839,indirect("'TVC-"&amp;text(month(H$1),"00")&amp;"'!$A:$D"),4,false),1))</f>
        <v>1</v>
      </c>
      <c r="I839" s="62">
        <f t="shared" si="1678"/>
        <v>1</v>
      </c>
      <c r="J839" s="62">
        <f t="shared" si="1678"/>
        <v>1</v>
      </c>
      <c r="K839" s="62">
        <f t="shared" si="1678"/>
        <v>1</v>
      </c>
      <c r="L839" s="62">
        <f t="shared" si="1678"/>
        <v>1</v>
      </c>
      <c r="M839" s="62">
        <f t="shared" si="1678"/>
        <v>1</v>
      </c>
      <c r="N839" s="62">
        <f t="shared" si="1678"/>
        <v>1</v>
      </c>
      <c r="O839" s="62">
        <f t="shared" si="1678"/>
        <v>1</v>
      </c>
      <c r="P839" s="62" t="str">
        <f t="shared" si="1678"/>
        <v/>
      </c>
      <c r="Q839" s="62" t="str">
        <f t="shared" si="1678"/>
        <v/>
      </c>
      <c r="R839" s="62">
        <f t="shared" si="7"/>
        <v>0</v>
      </c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</row>
    <row r="840" hidden="1">
      <c r="A840" s="60">
        <f>IFERROR(__xludf.DUMMYFUNCTION("""COMPUTED_VALUE"""),14163.0)</f>
        <v>14163</v>
      </c>
      <c r="B840" s="60" t="str">
        <f>IFERROR(__xludf.DUMMYFUNCTION("""COMPUTED_VALUE"""),"Simmons, Jeffery")</f>
        <v>Simmons, Jeffery</v>
      </c>
      <c r="C840" s="60" t="str">
        <f>IFERROR(__xludf.DUMMYFUNCTION("""COMPUTED_VALUE"""),"DT")</f>
        <v>DT</v>
      </c>
      <c r="D840" s="60" t="str">
        <f>IFERROR(__xludf.DUMMYFUNCTION("""COMPUTED_VALUE"""),"TEN")</f>
        <v>TEN</v>
      </c>
      <c r="E840" s="62" t="str">
        <f t="shared" si="4"/>
        <v>Jeffery Simmons</v>
      </c>
      <c r="F840" s="62">
        <f t="shared" ref="F840:G840" si="1679">IF(isblank(F$1),,IF(isblank($A840),,IFERROR(vlookup($A840,indirect("'TVC-"&amp;text(month(F$1),"00")&amp;"'!$A:$D"),4,false),1)))</f>
        <v>1</v>
      </c>
      <c r="G840" s="62">
        <f t="shared" si="1679"/>
        <v>1</v>
      </c>
      <c r="H840" s="62">
        <f t="shared" ref="H840:Q840" si="1680">IF(isblank(H$1),,IFERROR(vlookup($A840,indirect("'TVC-"&amp;text(month(H$1),"00")&amp;"'!$A:$D"),4,false),1))</f>
        <v>1</v>
      </c>
      <c r="I840" s="62">
        <f t="shared" si="1680"/>
        <v>1</v>
      </c>
      <c r="J840" s="62">
        <f t="shared" si="1680"/>
        <v>1</v>
      </c>
      <c r="K840" s="62">
        <f t="shared" si="1680"/>
        <v>1</v>
      </c>
      <c r="L840" s="62">
        <f t="shared" si="1680"/>
        <v>1</v>
      </c>
      <c r="M840" s="62">
        <f t="shared" si="1680"/>
        <v>1</v>
      </c>
      <c r="N840" s="62">
        <f t="shared" si="1680"/>
        <v>1</v>
      </c>
      <c r="O840" s="62">
        <f t="shared" si="1680"/>
        <v>1</v>
      </c>
      <c r="P840" s="62" t="str">
        <f t="shared" si="1680"/>
        <v/>
      </c>
      <c r="Q840" s="62" t="str">
        <f t="shared" si="1680"/>
        <v/>
      </c>
      <c r="R840" s="62">
        <f t="shared" si="7"/>
        <v>0</v>
      </c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</row>
    <row r="841" hidden="1">
      <c r="A841" s="60">
        <f>IFERROR(__xludf.DUMMYFUNCTION("""COMPUTED_VALUE"""),14164.0)</f>
        <v>14164</v>
      </c>
      <c r="B841" s="60" t="str">
        <f>IFERROR(__xludf.DUMMYFUNCTION("""COMPUTED_VALUE"""),"Jones, Dre'Mont")</f>
        <v>Jones, Dre'Mont</v>
      </c>
      <c r="C841" s="60" t="str">
        <f>IFERROR(__xludf.DUMMYFUNCTION("""COMPUTED_VALUE"""),"DE")</f>
        <v>DE</v>
      </c>
      <c r="D841" s="60" t="str">
        <f>IFERROR(__xludf.DUMMYFUNCTION("""COMPUTED_VALUE"""),"NEP")</f>
        <v>NEP</v>
      </c>
      <c r="E841" s="62" t="str">
        <f t="shared" si="4"/>
        <v>Dre'Mont Jones</v>
      </c>
      <c r="F841" s="62">
        <f t="shared" ref="F841:G841" si="1681">IF(isblank(F$1),,IF(isblank($A841),,IFERROR(vlookup($A841,indirect("'TVC-"&amp;text(month(F$1),"00")&amp;"'!$A:$D"),4,false),1)))</f>
        <v>1</v>
      </c>
      <c r="G841" s="62">
        <f t="shared" si="1681"/>
        <v>1</v>
      </c>
      <c r="H841" s="62">
        <f t="shared" ref="H841:Q841" si="1682">IF(isblank(H$1),,IFERROR(vlookup($A841,indirect("'TVC-"&amp;text(month(H$1),"00")&amp;"'!$A:$D"),4,false),1))</f>
        <v>1</v>
      </c>
      <c r="I841" s="62">
        <f t="shared" si="1682"/>
        <v>1</v>
      </c>
      <c r="J841" s="62">
        <f t="shared" si="1682"/>
        <v>1</v>
      </c>
      <c r="K841" s="62">
        <f t="shared" si="1682"/>
        <v>1</v>
      </c>
      <c r="L841" s="62">
        <f t="shared" si="1682"/>
        <v>1</v>
      </c>
      <c r="M841" s="62">
        <f t="shared" si="1682"/>
        <v>1</v>
      </c>
      <c r="N841" s="62">
        <f t="shared" si="1682"/>
        <v>1</v>
      </c>
      <c r="O841" s="62">
        <f t="shared" si="1682"/>
        <v>1</v>
      </c>
      <c r="P841" s="62" t="str">
        <f t="shared" si="1682"/>
        <v/>
      </c>
      <c r="Q841" s="62" t="str">
        <f t="shared" si="1682"/>
        <v/>
      </c>
      <c r="R841" s="62">
        <f t="shared" si="7"/>
        <v>0</v>
      </c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</row>
    <row r="842" hidden="1">
      <c r="A842" s="60">
        <f>IFERROR(__xludf.DUMMYFUNCTION("""COMPUTED_VALUE"""),14167.0)</f>
        <v>14167</v>
      </c>
      <c r="B842" s="60" t="str">
        <f>IFERROR(__xludf.DUMMYFUNCTION("""COMPUTED_VALUE"""),"Hines-Allen, Josh")</f>
        <v>Hines-Allen, Josh</v>
      </c>
      <c r="C842" s="60" t="str">
        <f>IFERROR(__xludf.DUMMYFUNCTION("""COMPUTED_VALUE"""),"DE")</f>
        <v>DE</v>
      </c>
      <c r="D842" s="60" t="str">
        <f>IFERROR(__xludf.DUMMYFUNCTION("""COMPUTED_VALUE"""),"JAC")</f>
        <v>JAC</v>
      </c>
      <c r="E842" s="62" t="str">
        <f t="shared" si="4"/>
        <v>Josh Hines-Allen</v>
      </c>
      <c r="F842" s="62">
        <f t="shared" ref="F842:G842" si="1683">IF(isblank(F$1),,IF(isblank($A842),,IFERROR(vlookup($A842,indirect("'TVC-"&amp;text(month(F$1),"00")&amp;"'!$A:$D"),4,false),1)))</f>
        <v>1</v>
      </c>
      <c r="G842" s="62">
        <f t="shared" si="1683"/>
        <v>1</v>
      </c>
      <c r="H842" s="62">
        <f t="shared" ref="H842:Q842" si="1684">IF(isblank(H$1),,IFERROR(vlookup($A842,indirect("'TVC-"&amp;text(month(H$1),"00")&amp;"'!$A:$D"),4,false),1))</f>
        <v>1</v>
      </c>
      <c r="I842" s="62">
        <f t="shared" si="1684"/>
        <v>1</v>
      </c>
      <c r="J842" s="62">
        <f t="shared" si="1684"/>
        <v>1</v>
      </c>
      <c r="K842" s="62">
        <f t="shared" si="1684"/>
        <v>1</v>
      </c>
      <c r="L842" s="62">
        <f t="shared" si="1684"/>
        <v>1</v>
      </c>
      <c r="M842" s="62">
        <f t="shared" si="1684"/>
        <v>1</v>
      </c>
      <c r="N842" s="62">
        <f t="shared" si="1684"/>
        <v>1</v>
      </c>
      <c r="O842" s="62">
        <f t="shared" si="1684"/>
        <v>1</v>
      </c>
      <c r="P842" s="62" t="str">
        <f t="shared" si="1684"/>
        <v/>
      </c>
      <c r="Q842" s="62" t="str">
        <f t="shared" si="1684"/>
        <v/>
      </c>
      <c r="R842" s="62">
        <f t="shared" si="7"/>
        <v>0</v>
      </c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</row>
    <row r="843" hidden="1">
      <c r="A843" s="60">
        <f>IFERROR(__xludf.DUMMYFUNCTION("""COMPUTED_VALUE"""),14168.0)</f>
        <v>14168</v>
      </c>
      <c r="B843" s="60" t="str">
        <f>IFERROR(__xludf.DUMMYFUNCTION("""COMPUTED_VALUE"""),"White, Devin")</f>
        <v>White, Devin</v>
      </c>
      <c r="C843" s="60" t="str">
        <f>IFERROR(__xludf.DUMMYFUNCTION("""COMPUTED_VALUE"""),"LB")</f>
        <v>LB</v>
      </c>
      <c r="D843" s="60" t="str">
        <f>IFERROR(__xludf.DUMMYFUNCTION("""COMPUTED_VALUE"""),"DET")</f>
        <v>DET</v>
      </c>
      <c r="E843" s="62" t="str">
        <f t="shared" si="4"/>
        <v>Devin White</v>
      </c>
      <c r="F843" s="62">
        <f t="shared" ref="F843:G843" si="1685">IF(isblank(F$1),,IF(isblank($A843),,IFERROR(vlookup($A843,indirect("'TVC-"&amp;text(month(F$1),"00")&amp;"'!$A:$D"),4,false),1)))</f>
        <v>1</v>
      </c>
      <c r="G843" s="62">
        <f t="shared" si="1685"/>
        <v>1</v>
      </c>
      <c r="H843" s="62">
        <f t="shared" ref="H843:Q843" si="1686">IF(isblank(H$1),,IFERROR(vlookup($A843,indirect("'TVC-"&amp;text(month(H$1),"00")&amp;"'!$A:$D"),4,false),1))</f>
        <v>1</v>
      </c>
      <c r="I843" s="62">
        <f t="shared" si="1686"/>
        <v>1</v>
      </c>
      <c r="J843" s="62">
        <f t="shared" si="1686"/>
        <v>1</v>
      </c>
      <c r="K843" s="62">
        <f t="shared" si="1686"/>
        <v>1</v>
      </c>
      <c r="L843" s="62">
        <f t="shared" si="1686"/>
        <v>1</v>
      </c>
      <c r="M843" s="62">
        <f t="shared" si="1686"/>
        <v>1</v>
      </c>
      <c r="N843" s="62">
        <f t="shared" si="1686"/>
        <v>1</v>
      </c>
      <c r="O843" s="62">
        <f t="shared" si="1686"/>
        <v>1</v>
      </c>
      <c r="P843" s="62" t="str">
        <f t="shared" si="1686"/>
        <v/>
      </c>
      <c r="Q843" s="62" t="str">
        <f t="shared" si="1686"/>
        <v/>
      </c>
      <c r="R843" s="62">
        <f t="shared" si="7"/>
        <v>0</v>
      </c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</row>
    <row r="844" hidden="1">
      <c r="A844" s="60">
        <f>IFERROR(__xludf.DUMMYFUNCTION("""COMPUTED_VALUE"""),14169.0)</f>
        <v>14169</v>
      </c>
      <c r="B844" s="60" t="str">
        <f>IFERROR(__xludf.DUMMYFUNCTION("""COMPUTED_VALUE"""),"Wilson, Mack")</f>
        <v>Wilson, Mack</v>
      </c>
      <c r="C844" s="60" t="str">
        <f>IFERROR(__xludf.DUMMYFUNCTION("""COMPUTED_VALUE"""),"LB")</f>
        <v>LB</v>
      </c>
      <c r="D844" s="60" t="str">
        <f>IFERROR(__xludf.DUMMYFUNCTION("""COMPUTED_VALUE"""),"ARI")</f>
        <v>ARI</v>
      </c>
      <c r="E844" s="62" t="str">
        <f t="shared" si="4"/>
        <v>Mack Wilson</v>
      </c>
      <c r="F844" s="62">
        <f t="shared" ref="F844:G844" si="1687">IF(isblank(F$1),,IF(isblank($A844),,IFERROR(vlookup($A844,indirect("'TVC-"&amp;text(month(F$1),"00")&amp;"'!$A:$D"),4,false),1)))</f>
        <v>1</v>
      </c>
      <c r="G844" s="62">
        <f t="shared" si="1687"/>
        <v>1</v>
      </c>
      <c r="H844" s="62">
        <f t="shared" ref="H844:Q844" si="1688">IF(isblank(H$1),,IFERROR(vlookup($A844,indirect("'TVC-"&amp;text(month(H$1),"00")&amp;"'!$A:$D"),4,false),1))</f>
        <v>1</v>
      </c>
      <c r="I844" s="62">
        <f t="shared" si="1688"/>
        <v>1</v>
      </c>
      <c r="J844" s="62">
        <f t="shared" si="1688"/>
        <v>1</v>
      </c>
      <c r="K844" s="62">
        <f t="shared" si="1688"/>
        <v>1</v>
      </c>
      <c r="L844" s="62">
        <f t="shared" si="1688"/>
        <v>1</v>
      </c>
      <c r="M844" s="62">
        <f t="shared" si="1688"/>
        <v>1</v>
      </c>
      <c r="N844" s="62">
        <f t="shared" si="1688"/>
        <v>1</v>
      </c>
      <c r="O844" s="62">
        <f t="shared" si="1688"/>
        <v>1</v>
      </c>
      <c r="P844" s="62" t="str">
        <f t="shared" si="1688"/>
        <v/>
      </c>
      <c r="Q844" s="62" t="str">
        <f t="shared" si="1688"/>
        <v/>
      </c>
      <c r="R844" s="62">
        <f t="shared" si="7"/>
        <v>0</v>
      </c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</row>
    <row r="845" hidden="1">
      <c r="A845" s="60">
        <f>IFERROR(__xludf.DUMMYFUNCTION("""COMPUTED_VALUE"""),14170.0)</f>
        <v>14170</v>
      </c>
      <c r="B845" s="60" t="str">
        <f>IFERROR(__xludf.DUMMYFUNCTION("""COMPUTED_VALUE"""),"Bush, Devin")</f>
        <v>Bush, Devin</v>
      </c>
      <c r="C845" s="60" t="str">
        <f>IFERROR(__xludf.DUMMYFUNCTION("""COMPUTED_VALUE"""),"LB")</f>
        <v>LB</v>
      </c>
      <c r="D845" s="60" t="str">
        <f>IFERROR(__xludf.DUMMYFUNCTION("""COMPUTED_VALUE"""),"CHI")</f>
        <v>CHI</v>
      </c>
      <c r="E845" s="62" t="str">
        <f t="shared" si="4"/>
        <v>Devin Bush</v>
      </c>
      <c r="F845" s="62">
        <f t="shared" ref="F845:G845" si="1689">IF(isblank(F$1),,IF(isblank($A845),,IFERROR(vlookup($A845,indirect("'TVC-"&amp;text(month(F$1),"00")&amp;"'!$A:$D"),4,false),1)))</f>
        <v>1</v>
      </c>
      <c r="G845" s="62">
        <f t="shared" si="1689"/>
        <v>1</v>
      </c>
      <c r="H845" s="62">
        <f t="shared" ref="H845:Q845" si="1690">IF(isblank(H$1),,IFERROR(vlookup($A845,indirect("'TVC-"&amp;text(month(H$1),"00")&amp;"'!$A:$D"),4,false),1))</f>
        <v>1</v>
      </c>
      <c r="I845" s="62">
        <f t="shared" si="1690"/>
        <v>1</v>
      </c>
      <c r="J845" s="62">
        <f t="shared" si="1690"/>
        <v>1</v>
      </c>
      <c r="K845" s="62">
        <f t="shared" si="1690"/>
        <v>1</v>
      </c>
      <c r="L845" s="62">
        <f t="shared" si="1690"/>
        <v>1</v>
      </c>
      <c r="M845" s="62">
        <f t="shared" si="1690"/>
        <v>1</v>
      </c>
      <c r="N845" s="62">
        <f t="shared" si="1690"/>
        <v>1</v>
      </c>
      <c r="O845" s="62">
        <f t="shared" si="1690"/>
        <v>1</v>
      </c>
      <c r="P845" s="62" t="str">
        <f t="shared" si="1690"/>
        <v/>
      </c>
      <c r="Q845" s="62" t="str">
        <f t="shared" si="1690"/>
        <v/>
      </c>
      <c r="R845" s="62">
        <f t="shared" si="7"/>
        <v>0</v>
      </c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</row>
    <row r="846" hidden="1">
      <c r="A846" s="60">
        <f>IFERROR(__xludf.DUMMYFUNCTION("""COMPUTED_VALUE"""),14171.0)</f>
        <v>14171</v>
      </c>
      <c r="B846" s="60" t="str">
        <f>IFERROR(__xludf.DUMMYFUNCTION("""COMPUTED_VALUE"""),"Burns, Brian")</f>
        <v>Burns, Brian</v>
      </c>
      <c r="C846" s="60" t="str">
        <f>IFERROR(__xludf.DUMMYFUNCTION("""COMPUTED_VALUE"""),"DE")</f>
        <v>DE</v>
      </c>
      <c r="D846" s="60" t="str">
        <f>IFERROR(__xludf.DUMMYFUNCTION("""COMPUTED_VALUE"""),"NYG")</f>
        <v>NYG</v>
      </c>
      <c r="E846" s="62" t="str">
        <f t="shared" si="4"/>
        <v>Brian Burns</v>
      </c>
      <c r="F846" s="62">
        <f t="shared" ref="F846:G846" si="1691">IF(isblank(F$1),,IF(isblank($A846),,IFERROR(vlookup($A846,indirect("'TVC-"&amp;text(month(F$1),"00")&amp;"'!$A:$D"),4,false),1)))</f>
        <v>1</v>
      </c>
      <c r="G846" s="62">
        <f t="shared" si="1691"/>
        <v>1</v>
      </c>
      <c r="H846" s="62">
        <f t="shared" ref="H846:Q846" si="1692">IF(isblank(H$1),,IFERROR(vlookup($A846,indirect("'TVC-"&amp;text(month(H$1),"00")&amp;"'!$A:$D"),4,false),1))</f>
        <v>1</v>
      </c>
      <c r="I846" s="62">
        <f t="shared" si="1692"/>
        <v>1</v>
      </c>
      <c r="J846" s="62">
        <f t="shared" si="1692"/>
        <v>1</v>
      </c>
      <c r="K846" s="62">
        <f t="shared" si="1692"/>
        <v>1</v>
      </c>
      <c r="L846" s="62">
        <f t="shared" si="1692"/>
        <v>1</v>
      </c>
      <c r="M846" s="62">
        <f t="shared" si="1692"/>
        <v>1</v>
      </c>
      <c r="N846" s="62">
        <f t="shared" si="1692"/>
        <v>1</v>
      </c>
      <c r="O846" s="62">
        <f t="shared" si="1692"/>
        <v>1</v>
      </c>
      <c r="P846" s="62" t="str">
        <f t="shared" si="1692"/>
        <v/>
      </c>
      <c r="Q846" s="62" t="str">
        <f t="shared" si="1692"/>
        <v/>
      </c>
      <c r="R846" s="62">
        <f t="shared" si="7"/>
        <v>0</v>
      </c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</row>
    <row r="847" hidden="1">
      <c r="A847" s="60">
        <f>IFERROR(__xludf.DUMMYFUNCTION("""COMPUTED_VALUE"""),14179.0)</f>
        <v>14179</v>
      </c>
      <c r="B847" s="60" t="str">
        <f>IFERROR(__xludf.DUMMYFUNCTION("""COMPUTED_VALUE"""),"Love, Julian")</f>
        <v>Love, Julian</v>
      </c>
      <c r="C847" s="60" t="str">
        <f>IFERROR(__xludf.DUMMYFUNCTION("""COMPUTED_VALUE"""),"S")</f>
        <v>S</v>
      </c>
      <c r="D847" s="60" t="str">
        <f>IFERROR(__xludf.DUMMYFUNCTION("""COMPUTED_VALUE"""),"SEA")</f>
        <v>SEA</v>
      </c>
      <c r="E847" s="62" t="str">
        <f t="shared" si="4"/>
        <v>Julian Love</v>
      </c>
      <c r="F847" s="62">
        <f t="shared" ref="F847:G847" si="1693">IF(isblank(F$1),,IF(isblank($A847),,IFERROR(vlookup($A847,indirect("'TVC-"&amp;text(month(F$1),"00")&amp;"'!$A:$D"),4,false),1)))</f>
        <v>1</v>
      </c>
      <c r="G847" s="62">
        <f t="shared" si="1693"/>
        <v>1</v>
      </c>
      <c r="H847" s="62">
        <f t="shared" ref="H847:Q847" si="1694">IF(isblank(H$1),,IFERROR(vlookup($A847,indirect("'TVC-"&amp;text(month(H$1),"00")&amp;"'!$A:$D"),4,false),1))</f>
        <v>1</v>
      </c>
      <c r="I847" s="62">
        <f t="shared" si="1694"/>
        <v>1</v>
      </c>
      <c r="J847" s="62">
        <f t="shared" si="1694"/>
        <v>1</v>
      </c>
      <c r="K847" s="62">
        <f t="shared" si="1694"/>
        <v>1</v>
      </c>
      <c r="L847" s="62">
        <f t="shared" si="1694"/>
        <v>1</v>
      </c>
      <c r="M847" s="62">
        <f t="shared" si="1694"/>
        <v>1</v>
      </c>
      <c r="N847" s="62">
        <f t="shared" si="1694"/>
        <v>1</v>
      </c>
      <c r="O847" s="62">
        <f t="shared" si="1694"/>
        <v>1</v>
      </c>
      <c r="P847" s="62" t="str">
        <f t="shared" si="1694"/>
        <v/>
      </c>
      <c r="Q847" s="62" t="str">
        <f t="shared" si="1694"/>
        <v/>
      </c>
      <c r="R847" s="62">
        <f t="shared" si="7"/>
        <v>0</v>
      </c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</row>
    <row r="848" hidden="1">
      <c r="A848" s="60">
        <f>IFERROR(__xludf.DUMMYFUNCTION("""COMPUTED_VALUE"""),14180.0)</f>
        <v>14180</v>
      </c>
      <c r="B848" s="60" t="str">
        <f>IFERROR(__xludf.DUMMYFUNCTION("""COMPUTED_VALUE"""),"Murphy, Byron")</f>
        <v>Murphy, Byron</v>
      </c>
      <c r="C848" s="60" t="str">
        <f>IFERROR(__xludf.DUMMYFUNCTION("""COMPUTED_VALUE"""),"CB")</f>
        <v>CB</v>
      </c>
      <c r="D848" s="60" t="str">
        <f>IFERROR(__xludf.DUMMYFUNCTION("""COMPUTED_VALUE"""),"MIN")</f>
        <v>MIN</v>
      </c>
      <c r="E848" s="62" t="str">
        <f t="shared" si="4"/>
        <v>Byron Murphy</v>
      </c>
      <c r="F848" s="62">
        <f t="shared" ref="F848:G848" si="1695">IF(isblank(F$1),,IF(isblank($A848),,IFERROR(vlookup($A848,indirect("'TVC-"&amp;text(month(F$1),"00")&amp;"'!$A:$D"),4,false),1)))</f>
        <v>1</v>
      </c>
      <c r="G848" s="62">
        <f t="shared" si="1695"/>
        <v>1</v>
      </c>
      <c r="H848" s="62">
        <f t="shared" ref="H848:Q848" si="1696">IF(isblank(H$1),,IFERROR(vlookup($A848,indirect("'TVC-"&amp;text(month(H$1),"00")&amp;"'!$A:$D"),4,false),1))</f>
        <v>1</v>
      </c>
      <c r="I848" s="62">
        <f t="shared" si="1696"/>
        <v>1</v>
      </c>
      <c r="J848" s="62">
        <f t="shared" si="1696"/>
        <v>1</v>
      </c>
      <c r="K848" s="62">
        <f t="shared" si="1696"/>
        <v>1</v>
      </c>
      <c r="L848" s="62">
        <f t="shared" si="1696"/>
        <v>1</v>
      </c>
      <c r="M848" s="62">
        <f t="shared" si="1696"/>
        <v>1</v>
      </c>
      <c r="N848" s="62">
        <f t="shared" si="1696"/>
        <v>1</v>
      </c>
      <c r="O848" s="62">
        <f t="shared" si="1696"/>
        <v>1</v>
      </c>
      <c r="P848" s="62" t="str">
        <f t="shared" si="1696"/>
        <v/>
      </c>
      <c r="Q848" s="62" t="str">
        <f t="shared" si="1696"/>
        <v/>
      </c>
      <c r="R848" s="62">
        <f t="shared" si="7"/>
        <v>0</v>
      </c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</row>
    <row r="849" hidden="1">
      <c r="A849" s="60">
        <f>IFERROR(__xludf.DUMMYFUNCTION("""COMPUTED_VALUE"""),14182.0)</f>
        <v>14182</v>
      </c>
      <c r="B849" s="60" t="str">
        <f>IFERROR(__xludf.DUMMYFUNCTION("""COMPUTED_VALUE"""),"Hooker, Amani")</f>
        <v>Hooker, Amani</v>
      </c>
      <c r="C849" s="60" t="str">
        <f>IFERROR(__xludf.DUMMYFUNCTION("""COMPUTED_VALUE"""),"S")</f>
        <v>S</v>
      </c>
      <c r="D849" s="60" t="str">
        <f>IFERROR(__xludf.DUMMYFUNCTION("""COMPUTED_VALUE"""),"TEN")</f>
        <v>TEN</v>
      </c>
      <c r="E849" s="62" t="str">
        <f t="shared" si="4"/>
        <v>Amani Hooker</v>
      </c>
      <c r="F849" s="62">
        <f t="shared" ref="F849:G849" si="1697">IF(isblank(F$1),,IF(isblank($A849),,IFERROR(vlookup($A849,indirect("'TVC-"&amp;text(month(F$1),"00")&amp;"'!$A:$D"),4,false),1)))</f>
        <v>1</v>
      </c>
      <c r="G849" s="62">
        <f t="shared" si="1697"/>
        <v>1</v>
      </c>
      <c r="H849" s="62">
        <f t="shared" ref="H849:Q849" si="1698">IF(isblank(H$1),,IFERROR(vlookup($A849,indirect("'TVC-"&amp;text(month(H$1),"00")&amp;"'!$A:$D"),4,false),1))</f>
        <v>1</v>
      </c>
      <c r="I849" s="62">
        <f t="shared" si="1698"/>
        <v>1</v>
      </c>
      <c r="J849" s="62">
        <f t="shared" si="1698"/>
        <v>1</v>
      </c>
      <c r="K849" s="62">
        <f t="shared" si="1698"/>
        <v>1</v>
      </c>
      <c r="L849" s="62">
        <f t="shared" si="1698"/>
        <v>1</v>
      </c>
      <c r="M849" s="62">
        <f t="shared" si="1698"/>
        <v>1</v>
      </c>
      <c r="N849" s="62">
        <f t="shared" si="1698"/>
        <v>1</v>
      </c>
      <c r="O849" s="62">
        <f t="shared" si="1698"/>
        <v>1</v>
      </c>
      <c r="P849" s="62" t="str">
        <f t="shared" si="1698"/>
        <v/>
      </c>
      <c r="Q849" s="62" t="str">
        <f t="shared" si="1698"/>
        <v/>
      </c>
      <c r="R849" s="62">
        <f t="shared" si="7"/>
        <v>0</v>
      </c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</row>
    <row r="850" hidden="1">
      <c r="A850" s="60">
        <f>IFERROR(__xludf.DUMMYFUNCTION("""COMPUTED_VALUE"""),14185.0)</f>
        <v>14185</v>
      </c>
      <c r="B850" s="60" t="str">
        <f>IFERROR(__xludf.DUMMYFUNCTION("""COMPUTED_VALUE"""),"Adderley, Nasir")</f>
        <v>Adderley, Nasir</v>
      </c>
      <c r="C850" s="60" t="str">
        <f>IFERROR(__xludf.DUMMYFUNCTION("""COMPUTED_VALUE"""),"S")</f>
        <v>S</v>
      </c>
      <c r="D850" s="60" t="str">
        <f>IFERROR(__xludf.DUMMYFUNCTION("""COMPUTED_VALUE"""),"FA")</f>
        <v>FA</v>
      </c>
      <c r="E850" s="62" t="str">
        <f t="shared" si="4"/>
        <v>Nasir Adderley</v>
      </c>
      <c r="F850" s="62">
        <f t="shared" ref="F850:G850" si="1699">IF(isblank(F$1),,IF(isblank($A850),,IFERROR(vlookup($A850,indirect("'TVC-"&amp;text(month(F$1),"00")&amp;"'!$A:$D"),4,false),1)))</f>
        <v>1</v>
      </c>
      <c r="G850" s="62">
        <f t="shared" si="1699"/>
        <v>1</v>
      </c>
      <c r="H850" s="62">
        <f t="shared" ref="H850:Q850" si="1700">IF(isblank(H$1),,IFERROR(vlookup($A850,indirect("'TVC-"&amp;text(month(H$1),"00")&amp;"'!$A:$D"),4,false),1))</f>
        <v>1</v>
      </c>
      <c r="I850" s="62">
        <f t="shared" si="1700"/>
        <v>1</v>
      </c>
      <c r="J850" s="62">
        <f t="shared" si="1700"/>
        <v>1</v>
      </c>
      <c r="K850" s="62">
        <f t="shared" si="1700"/>
        <v>1</v>
      </c>
      <c r="L850" s="62">
        <f t="shared" si="1700"/>
        <v>1</v>
      </c>
      <c r="M850" s="62">
        <f t="shared" si="1700"/>
        <v>1</v>
      </c>
      <c r="N850" s="62">
        <f t="shared" si="1700"/>
        <v>1</v>
      </c>
      <c r="O850" s="62">
        <f t="shared" si="1700"/>
        <v>1</v>
      </c>
      <c r="P850" s="62" t="str">
        <f t="shared" si="1700"/>
        <v/>
      </c>
      <c r="Q850" s="62" t="str">
        <f t="shared" si="1700"/>
        <v/>
      </c>
      <c r="R850" s="62">
        <f t="shared" si="7"/>
        <v>0</v>
      </c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</row>
    <row r="851" hidden="1">
      <c r="A851" s="60">
        <f>IFERROR(__xludf.DUMMYFUNCTION("""COMPUTED_VALUE"""),14186.0)</f>
        <v>14186</v>
      </c>
      <c r="B851" s="60" t="str">
        <f>IFERROR(__xludf.DUMMYFUNCTION("""COMPUTED_VALUE"""),"Rapp, Taylor")</f>
        <v>Rapp, Taylor</v>
      </c>
      <c r="C851" s="60" t="str">
        <f>IFERROR(__xludf.DUMMYFUNCTION("""COMPUTED_VALUE"""),"S")</f>
        <v>S</v>
      </c>
      <c r="D851" s="60" t="str">
        <f>IFERROR(__xludf.DUMMYFUNCTION("""COMPUTED_VALUE"""),"DEN")</f>
        <v>DEN</v>
      </c>
      <c r="E851" s="62" t="str">
        <f t="shared" si="4"/>
        <v>Taylor Rapp</v>
      </c>
      <c r="F851" s="62">
        <f t="shared" ref="F851:G851" si="1701">IF(isblank(F$1),,IF(isblank($A851),,IFERROR(vlookup($A851,indirect("'TVC-"&amp;text(month(F$1),"00")&amp;"'!$A:$D"),4,false),1)))</f>
        <v>1</v>
      </c>
      <c r="G851" s="62">
        <f t="shared" si="1701"/>
        <v>1</v>
      </c>
      <c r="H851" s="62">
        <f t="shared" ref="H851:Q851" si="1702">IF(isblank(H$1),,IFERROR(vlookup($A851,indirect("'TVC-"&amp;text(month(H$1),"00")&amp;"'!$A:$D"),4,false),1))</f>
        <v>1</v>
      </c>
      <c r="I851" s="62">
        <f t="shared" si="1702"/>
        <v>1</v>
      </c>
      <c r="J851" s="62">
        <f t="shared" si="1702"/>
        <v>1</v>
      </c>
      <c r="K851" s="62">
        <f t="shared" si="1702"/>
        <v>1</v>
      </c>
      <c r="L851" s="62">
        <f t="shared" si="1702"/>
        <v>1</v>
      </c>
      <c r="M851" s="62">
        <f t="shared" si="1702"/>
        <v>1</v>
      </c>
      <c r="N851" s="62">
        <f t="shared" si="1702"/>
        <v>1</v>
      </c>
      <c r="O851" s="62">
        <f t="shared" si="1702"/>
        <v>1</v>
      </c>
      <c r="P851" s="62" t="str">
        <f t="shared" si="1702"/>
        <v/>
      </c>
      <c r="Q851" s="62" t="str">
        <f t="shared" si="1702"/>
        <v/>
      </c>
      <c r="R851" s="62">
        <f t="shared" si="7"/>
        <v>0</v>
      </c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</row>
    <row r="852" hidden="1">
      <c r="A852" s="60">
        <f>IFERROR(__xludf.DUMMYFUNCTION("""COMPUTED_VALUE"""),14197.0)</f>
        <v>14197</v>
      </c>
      <c r="B852" s="60" t="str">
        <f>IFERROR(__xludf.DUMMYFUNCTION("""COMPUTED_VALUE"""),"Savage, Darnell")</f>
        <v>Savage, Darnell</v>
      </c>
      <c r="C852" s="60" t="str">
        <f>IFERROR(__xludf.DUMMYFUNCTION("""COMPUTED_VALUE"""),"S")</f>
        <v>S</v>
      </c>
      <c r="D852" s="60" t="str">
        <f>IFERROR(__xludf.DUMMYFUNCTION("""COMPUTED_VALUE"""),"FA")</f>
        <v>FA</v>
      </c>
      <c r="E852" s="62" t="str">
        <f t="shared" si="4"/>
        <v>Darnell Savage</v>
      </c>
      <c r="F852" s="62">
        <f t="shared" ref="F852:G852" si="1703">IF(isblank(F$1),,IF(isblank($A852),,IFERROR(vlookup($A852,indirect("'TVC-"&amp;text(month(F$1),"00")&amp;"'!$A:$D"),4,false),1)))</f>
        <v>1</v>
      </c>
      <c r="G852" s="62">
        <f t="shared" si="1703"/>
        <v>1</v>
      </c>
      <c r="H852" s="62">
        <f t="shared" ref="H852:Q852" si="1704">IF(isblank(H$1),,IFERROR(vlookup($A852,indirect("'TVC-"&amp;text(month(H$1),"00")&amp;"'!$A:$D"),4,false),1))</f>
        <v>1</v>
      </c>
      <c r="I852" s="62">
        <f t="shared" si="1704"/>
        <v>1</v>
      </c>
      <c r="J852" s="62">
        <f t="shared" si="1704"/>
        <v>1</v>
      </c>
      <c r="K852" s="62">
        <f t="shared" si="1704"/>
        <v>1</v>
      </c>
      <c r="L852" s="62">
        <f t="shared" si="1704"/>
        <v>1</v>
      </c>
      <c r="M852" s="62">
        <f t="shared" si="1704"/>
        <v>1</v>
      </c>
      <c r="N852" s="62">
        <f t="shared" si="1704"/>
        <v>1</v>
      </c>
      <c r="O852" s="62">
        <f t="shared" si="1704"/>
        <v>1</v>
      </c>
      <c r="P852" s="62" t="str">
        <f t="shared" si="1704"/>
        <v/>
      </c>
      <c r="Q852" s="62" t="str">
        <f t="shared" si="1704"/>
        <v/>
      </c>
      <c r="R852" s="62">
        <f t="shared" si="7"/>
        <v>0</v>
      </c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</row>
    <row r="853" hidden="1">
      <c r="A853" s="60">
        <f>IFERROR(__xludf.DUMMYFUNCTION("""COMPUTED_VALUE"""),14198.0)</f>
        <v>14198</v>
      </c>
      <c r="B853" s="60" t="str">
        <f>IFERROR(__xludf.DUMMYFUNCTION("""COMPUTED_VALUE"""),"Ya-Sin, Rock")</f>
        <v>Ya-Sin, Rock</v>
      </c>
      <c r="C853" s="60" t="str">
        <f>IFERROR(__xludf.DUMMYFUNCTION("""COMPUTED_VALUE"""),"CB")</f>
        <v>CB</v>
      </c>
      <c r="D853" s="60" t="str">
        <f>IFERROR(__xludf.DUMMYFUNCTION("""COMPUTED_VALUE"""),"DET")</f>
        <v>DET</v>
      </c>
      <c r="E853" s="62" t="str">
        <f t="shared" si="4"/>
        <v>Rock Ya-Sin</v>
      </c>
      <c r="F853" s="62">
        <f t="shared" ref="F853:G853" si="1705">IF(isblank(F$1),,IF(isblank($A853),,IFERROR(vlookup($A853,indirect("'TVC-"&amp;text(month(F$1),"00")&amp;"'!$A:$D"),4,false),1)))</f>
        <v>1</v>
      </c>
      <c r="G853" s="62">
        <f t="shared" si="1705"/>
        <v>1</v>
      </c>
      <c r="H853" s="62">
        <f t="shared" ref="H853:Q853" si="1706">IF(isblank(H$1),,IFERROR(vlookup($A853,indirect("'TVC-"&amp;text(month(H$1),"00")&amp;"'!$A:$D"),4,false),1))</f>
        <v>1</v>
      </c>
      <c r="I853" s="62">
        <f t="shared" si="1706"/>
        <v>1</v>
      </c>
      <c r="J853" s="62">
        <f t="shared" si="1706"/>
        <v>1</v>
      </c>
      <c r="K853" s="62">
        <f t="shared" si="1706"/>
        <v>1</v>
      </c>
      <c r="L853" s="62">
        <f t="shared" si="1706"/>
        <v>1</v>
      </c>
      <c r="M853" s="62">
        <f t="shared" si="1706"/>
        <v>1</v>
      </c>
      <c r="N853" s="62">
        <f t="shared" si="1706"/>
        <v>1</v>
      </c>
      <c r="O853" s="62">
        <f t="shared" si="1706"/>
        <v>1</v>
      </c>
      <c r="P853" s="62" t="str">
        <f t="shared" si="1706"/>
        <v/>
      </c>
      <c r="Q853" s="62" t="str">
        <f t="shared" si="1706"/>
        <v/>
      </c>
      <c r="R853" s="62">
        <f t="shared" si="7"/>
        <v>0</v>
      </c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</row>
    <row r="854" hidden="1">
      <c r="A854" s="60">
        <f>IFERROR(__xludf.DUMMYFUNCTION("""COMPUTED_VALUE"""),14199.0)</f>
        <v>14199</v>
      </c>
      <c r="B854" s="60" t="str">
        <f>IFERROR(__xludf.DUMMYFUNCTION("""COMPUTED_VALUE"""),"Murphy-Bunting, Sean")</f>
        <v>Murphy-Bunting, Sean</v>
      </c>
      <c r="C854" s="60" t="str">
        <f>IFERROR(__xludf.DUMMYFUNCTION("""COMPUTED_VALUE"""),"CB")</f>
        <v>CB</v>
      </c>
      <c r="D854" s="60" t="str">
        <f>IFERROR(__xludf.DUMMYFUNCTION("""COMPUTED_VALUE"""),"PIT")</f>
        <v>PIT</v>
      </c>
      <c r="E854" s="62" t="str">
        <f t="shared" si="4"/>
        <v>Sean Murphy-Bunting</v>
      </c>
      <c r="F854" s="62">
        <f t="shared" ref="F854:G854" si="1707">IF(isblank(F$1),,IF(isblank($A854),,IFERROR(vlookup($A854,indirect("'TVC-"&amp;text(month(F$1),"00")&amp;"'!$A:$D"),4,false),1)))</f>
        <v>1</v>
      </c>
      <c r="G854" s="62">
        <f t="shared" si="1707"/>
        <v>1</v>
      </c>
      <c r="H854" s="62">
        <f t="shared" ref="H854:Q854" si="1708">IF(isblank(H$1),,IFERROR(vlookup($A854,indirect("'TVC-"&amp;text(month(H$1),"00")&amp;"'!$A:$D"),4,false),1))</f>
        <v>1</v>
      </c>
      <c r="I854" s="62">
        <f t="shared" si="1708"/>
        <v>1</v>
      </c>
      <c r="J854" s="62">
        <f t="shared" si="1708"/>
        <v>1</v>
      </c>
      <c r="K854" s="62">
        <f t="shared" si="1708"/>
        <v>1</v>
      </c>
      <c r="L854" s="62">
        <f t="shared" si="1708"/>
        <v>1</v>
      </c>
      <c r="M854" s="62">
        <f t="shared" si="1708"/>
        <v>1</v>
      </c>
      <c r="N854" s="62">
        <f t="shared" si="1708"/>
        <v>1</v>
      </c>
      <c r="O854" s="62">
        <f t="shared" si="1708"/>
        <v>1</v>
      </c>
      <c r="P854" s="62" t="str">
        <f t="shared" si="1708"/>
        <v/>
      </c>
      <c r="Q854" s="62" t="str">
        <f t="shared" si="1708"/>
        <v/>
      </c>
      <c r="R854" s="62">
        <f t="shared" si="7"/>
        <v>0</v>
      </c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</row>
    <row r="855">
      <c r="A855" s="60">
        <f>IFERROR(__xludf.DUMMYFUNCTION("""COMPUTED_VALUE"""),14200.0)</f>
        <v>14200</v>
      </c>
      <c r="B855" s="60" t="str">
        <f>IFERROR(__xludf.DUMMYFUNCTION("""COMPUTED_VALUE"""),"Tavai, Jahlani")</f>
        <v>Tavai, Jahlani</v>
      </c>
      <c r="C855" s="60" t="str">
        <f>IFERROR(__xludf.DUMMYFUNCTION("""COMPUTED_VALUE"""),"LB")</f>
        <v>LB</v>
      </c>
      <c r="D855" s="60" t="str">
        <f>IFERROR(__xludf.DUMMYFUNCTION("""COMPUTED_VALUE"""),"JAC")</f>
        <v>JAC</v>
      </c>
      <c r="E855" s="62" t="str">
        <f t="shared" si="4"/>
        <v>Jahlani Tavai</v>
      </c>
      <c r="F855" s="62">
        <f t="shared" ref="F855:G855" si="1709">IF(isblank(F$1),,IF(isblank($A855),,IFERROR(vlookup($A855,indirect("'TVC-"&amp;text(month(F$1),"00")&amp;"'!$A:$D"),4,false),1)))</f>
        <v>1</v>
      </c>
      <c r="G855" s="62">
        <f t="shared" si="1709"/>
        <v>1</v>
      </c>
      <c r="H855" s="62">
        <f t="shared" ref="H855:Q855" si="1710">IF(isblank(H$1),,IFERROR(vlookup($A855,indirect("'TVC-"&amp;text(month(H$1),"00")&amp;"'!$A:$D"),4,false),1))</f>
        <v>1</v>
      </c>
      <c r="I855" s="62">
        <f t="shared" si="1710"/>
        <v>1</v>
      </c>
      <c r="J855" s="62">
        <f t="shared" si="1710"/>
        <v>1</v>
      </c>
      <c r="K855" s="62">
        <f t="shared" si="1710"/>
        <v>1</v>
      </c>
      <c r="L855" s="62">
        <f t="shared" si="1710"/>
        <v>1</v>
      </c>
      <c r="M855" s="62">
        <f t="shared" si="1710"/>
        <v>1</v>
      </c>
      <c r="N855" s="62">
        <f t="shared" si="1710"/>
        <v>1</v>
      </c>
      <c r="O855" s="62">
        <f t="shared" si="1710"/>
        <v>1</v>
      </c>
      <c r="P855" s="62" t="str">
        <f t="shared" si="1710"/>
        <v/>
      </c>
      <c r="Q855" s="62" t="str">
        <f t="shared" si="1710"/>
        <v/>
      </c>
      <c r="R855" s="62">
        <f t="shared" si="7"/>
        <v>0</v>
      </c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</row>
    <row r="856" hidden="1">
      <c r="A856" s="60">
        <f>IFERROR(__xludf.DUMMYFUNCTION("""COMPUTED_VALUE"""),14205.0)</f>
        <v>14205</v>
      </c>
      <c r="B856" s="60" t="str">
        <f>IFERROR(__xludf.DUMMYFUNCTION("""COMPUTED_VALUE"""),"Johnson, Lonnie")</f>
        <v>Johnson, Lonnie</v>
      </c>
      <c r="C856" s="60" t="str">
        <f>IFERROR(__xludf.DUMMYFUNCTION("""COMPUTED_VALUE"""),"S")</f>
        <v>S</v>
      </c>
      <c r="D856" s="60" t="str">
        <f>IFERROR(__xludf.DUMMYFUNCTION("""COMPUTED_VALUE"""),"FA")</f>
        <v>FA</v>
      </c>
      <c r="E856" s="62" t="str">
        <f t="shared" si="4"/>
        <v>Lonnie Johnson</v>
      </c>
      <c r="F856" s="62">
        <f t="shared" ref="F856:G856" si="1711">IF(isblank(F$1),,IF(isblank($A856),,IFERROR(vlookup($A856,indirect("'TVC-"&amp;text(month(F$1),"00")&amp;"'!$A:$D"),4,false),1)))</f>
        <v>1</v>
      </c>
      <c r="G856" s="62">
        <f t="shared" si="1711"/>
        <v>1</v>
      </c>
      <c r="H856" s="62">
        <f t="shared" ref="H856:Q856" si="1712">IF(isblank(H$1),,IFERROR(vlookup($A856,indirect("'TVC-"&amp;text(month(H$1),"00")&amp;"'!$A:$D"),4,false),1))</f>
        <v>1</v>
      </c>
      <c r="I856" s="62">
        <f t="shared" si="1712"/>
        <v>1</v>
      </c>
      <c r="J856" s="62">
        <f t="shared" si="1712"/>
        <v>1</v>
      </c>
      <c r="K856" s="62">
        <f t="shared" si="1712"/>
        <v>1</v>
      </c>
      <c r="L856" s="62">
        <f t="shared" si="1712"/>
        <v>1</v>
      </c>
      <c r="M856" s="62">
        <f t="shared" si="1712"/>
        <v>1</v>
      </c>
      <c r="N856" s="62">
        <f t="shared" si="1712"/>
        <v>1</v>
      </c>
      <c r="O856" s="62">
        <f t="shared" si="1712"/>
        <v>1</v>
      </c>
      <c r="P856" s="62" t="str">
        <f t="shared" si="1712"/>
        <v/>
      </c>
      <c r="Q856" s="62" t="str">
        <f t="shared" si="1712"/>
        <v/>
      </c>
      <c r="R856" s="62">
        <f t="shared" si="7"/>
        <v>0</v>
      </c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</row>
    <row r="857" hidden="1">
      <c r="A857" s="60">
        <f>IFERROR(__xludf.DUMMYFUNCTION("""COMPUTED_VALUE"""),14207.0)</f>
        <v>14207</v>
      </c>
      <c r="B857" s="60" t="str">
        <f>IFERROR(__xludf.DUMMYFUNCTION("""COMPUTED_VALUE"""),"Thornhill, Juan")</f>
        <v>Thornhill, Juan</v>
      </c>
      <c r="C857" s="60" t="str">
        <f>IFERROR(__xludf.DUMMYFUNCTION("""COMPUTED_VALUE"""),"S")</f>
        <v>S</v>
      </c>
      <c r="D857" s="60" t="str">
        <f>IFERROR(__xludf.DUMMYFUNCTION("""COMPUTED_VALUE"""),"JAC")</f>
        <v>JAC</v>
      </c>
      <c r="E857" s="62" t="str">
        <f t="shared" si="4"/>
        <v>Juan Thornhill</v>
      </c>
      <c r="F857" s="62">
        <f t="shared" ref="F857:G857" si="1713">IF(isblank(F$1),,IF(isblank($A857),,IFERROR(vlookup($A857,indirect("'TVC-"&amp;text(month(F$1),"00")&amp;"'!$A:$D"),4,false),1)))</f>
        <v>1</v>
      </c>
      <c r="G857" s="62">
        <f t="shared" si="1713"/>
        <v>1</v>
      </c>
      <c r="H857" s="62">
        <f t="shared" ref="H857:Q857" si="1714">IF(isblank(H$1),,IFERROR(vlookup($A857,indirect("'TVC-"&amp;text(month(H$1),"00")&amp;"'!$A:$D"),4,false),1))</f>
        <v>1</v>
      </c>
      <c r="I857" s="62">
        <f t="shared" si="1714"/>
        <v>1</v>
      </c>
      <c r="J857" s="62">
        <f t="shared" si="1714"/>
        <v>1</v>
      </c>
      <c r="K857" s="62">
        <f t="shared" si="1714"/>
        <v>1</v>
      </c>
      <c r="L857" s="62">
        <f t="shared" si="1714"/>
        <v>1</v>
      </c>
      <c r="M857" s="62">
        <f t="shared" si="1714"/>
        <v>1</v>
      </c>
      <c r="N857" s="62">
        <f t="shared" si="1714"/>
        <v>1</v>
      </c>
      <c r="O857" s="62">
        <f t="shared" si="1714"/>
        <v>1</v>
      </c>
      <c r="P857" s="62" t="str">
        <f t="shared" si="1714"/>
        <v/>
      </c>
      <c r="Q857" s="62" t="str">
        <f t="shared" si="1714"/>
        <v/>
      </c>
      <c r="R857" s="62">
        <f t="shared" si="7"/>
        <v>0</v>
      </c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</row>
    <row r="858" hidden="1">
      <c r="A858" s="60">
        <f>IFERROR(__xludf.DUMMYFUNCTION("""COMPUTED_VALUE"""),14208.0)</f>
        <v>14208</v>
      </c>
      <c r="B858" s="60" t="str">
        <f>IFERROR(__xludf.DUMMYFUNCTION("""COMPUTED_VALUE"""),"Johnson, Diontae")</f>
        <v>Johnson, Diontae</v>
      </c>
      <c r="C858" s="60" t="str">
        <f>IFERROR(__xludf.DUMMYFUNCTION("""COMPUTED_VALUE"""),"WR")</f>
        <v>WR</v>
      </c>
      <c r="D858" s="60" t="str">
        <f>IFERROR(__xludf.DUMMYFUNCTION("""COMPUTED_VALUE"""),"FA")</f>
        <v>FA</v>
      </c>
      <c r="E858" s="62" t="str">
        <f t="shared" si="4"/>
        <v>Diontae Johnson</v>
      </c>
      <c r="F858" s="62">
        <f t="shared" ref="F858:G858" si="1715">IF(isblank(F$1),,IF(isblank($A858),,IFERROR(vlookup($A858,indirect("'TVC-"&amp;text(month(F$1),"00")&amp;"'!$A:$D"),4,false),1)))</f>
        <v>1</v>
      </c>
      <c r="G858" s="62">
        <f t="shared" si="1715"/>
        <v>1</v>
      </c>
      <c r="H858" s="62">
        <f t="shared" ref="H858:Q858" si="1716">IF(isblank(H$1),,IFERROR(vlookup($A858,indirect("'TVC-"&amp;text(month(H$1),"00")&amp;"'!$A:$D"),4,false),1))</f>
        <v>1</v>
      </c>
      <c r="I858" s="62">
        <f t="shared" si="1716"/>
        <v>1</v>
      </c>
      <c r="J858" s="62">
        <f t="shared" si="1716"/>
        <v>1</v>
      </c>
      <c r="K858" s="62">
        <f t="shared" si="1716"/>
        <v>1</v>
      </c>
      <c r="L858" s="62">
        <f t="shared" si="1716"/>
        <v>1</v>
      </c>
      <c r="M858" s="62">
        <f t="shared" si="1716"/>
        <v>1</v>
      </c>
      <c r="N858" s="62">
        <f t="shared" si="1716"/>
        <v>1</v>
      </c>
      <c r="O858" s="62">
        <f t="shared" si="1716"/>
        <v>1</v>
      </c>
      <c r="P858" s="62" t="str">
        <f t="shared" si="1716"/>
        <v/>
      </c>
      <c r="Q858" s="62" t="str">
        <f t="shared" si="1716"/>
        <v/>
      </c>
      <c r="R858" s="62">
        <f t="shared" si="7"/>
        <v>0</v>
      </c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</row>
    <row r="859" hidden="1">
      <c r="A859" s="60">
        <f>IFERROR(__xludf.DUMMYFUNCTION("""COMPUTED_VALUE"""),14209.0)</f>
        <v>14209</v>
      </c>
      <c r="B859" s="60" t="str">
        <f>IFERROR(__xludf.DUMMYFUNCTION("""COMPUTED_VALUE"""),"Oliver, Josh")</f>
        <v>Oliver, Josh</v>
      </c>
      <c r="C859" s="60" t="str">
        <f>IFERROR(__xludf.DUMMYFUNCTION("""COMPUTED_VALUE"""),"TE")</f>
        <v>TE</v>
      </c>
      <c r="D859" s="60" t="str">
        <f>IFERROR(__xludf.DUMMYFUNCTION("""COMPUTED_VALUE"""),"MIN")</f>
        <v>MIN</v>
      </c>
      <c r="E859" s="62" t="str">
        <f t="shared" si="4"/>
        <v>Josh Oliver</v>
      </c>
      <c r="F859" s="62">
        <f t="shared" ref="F859:G859" si="1717">IF(isblank(F$1),,IF(isblank($A859),,IFERROR(vlookup($A859,indirect("'TVC-"&amp;text(month(F$1),"00")&amp;"'!$A:$D"),4,false),1)))</f>
        <v>1186</v>
      </c>
      <c r="G859" s="62">
        <f t="shared" si="1717"/>
        <v>1198</v>
      </c>
      <c r="H859" s="62">
        <f t="shared" ref="H859:Q859" si="1718">IF(isblank(H$1),,IFERROR(vlookup($A859,indirect("'TVC-"&amp;text(month(H$1),"00")&amp;"'!$A:$D"),4,false),1))</f>
        <v>1177</v>
      </c>
      <c r="I859" s="62">
        <f t="shared" si="1718"/>
        <v>1109</v>
      </c>
      <c r="J859" s="62">
        <f t="shared" si="1718"/>
        <v>1</v>
      </c>
      <c r="K859" s="62">
        <f t="shared" si="1718"/>
        <v>1</v>
      </c>
      <c r="L859" s="62">
        <f t="shared" si="1718"/>
        <v>838</v>
      </c>
      <c r="M859" s="62">
        <f t="shared" si="1718"/>
        <v>836</v>
      </c>
      <c r="N859" s="62">
        <f t="shared" si="1718"/>
        <v>1</v>
      </c>
      <c r="O859" s="62">
        <f t="shared" si="1718"/>
        <v>1</v>
      </c>
      <c r="P859" s="62" t="str">
        <f t="shared" si="1718"/>
        <v/>
      </c>
      <c r="Q859" s="62" t="str">
        <f t="shared" si="1718"/>
        <v/>
      </c>
      <c r="R859" s="62">
        <f t="shared" si="7"/>
        <v>0</v>
      </c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</row>
    <row r="860" hidden="1">
      <c r="A860" s="60">
        <f>IFERROR(__xludf.DUMMYFUNCTION("""COMPUTED_VALUE"""),14210.0)</f>
        <v>14210</v>
      </c>
      <c r="B860" s="60" t="str">
        <f>IFERROR(__xludf.DUMMYFUNCTION("""COMPUTED_VALUE"""),"Pratt, Germaine")</f>
        <v>Pratt, Germaine</v>
      </c>
      <c r="C860" s="60" t="str">
        <f>IFERROR(__xludf.DUMMYFUNCTION("""COMPUTED_VALUE"""),"LB")</f>
        <v>LB</v>
      </c>
      <c r="D860" s="60" t="str">
        <f>IFERROR(__xludf.DUMMYFUNCTION("""COMPUTED_VALUE"""),"IND")</f>
        <v>IND</v>
      </c>
      <c r="E860" s="62" t="str">
        <f t="shared" si="4"/>
        <v>Germaine Pratt</v>
      </c>
      <c r="F860" s="62">
        <f t="shared" ref="F860:G860" si="1719">IF(isblank(F$1),,IF(isblank($A860),,IFERROR(vlookup($A860,indirect("'TVC-"&amp;text(month(F$1),"00")&amp;"'!$A:$D"),4,false),1)))</f>
        <v>1</v>
      </c>
      <c r="G860" s="62">
        <f t="shared" si="1719"/>
        <v>1</v>
      </c>
      <c r="H860" s="62">
        <f t="shared" ref="H860:Q860" si="1720">IF(isblank(H$1),,IFERROR(vlookup($A860,indirect("'TVC-"&amp;text(month(H$1),"00")&amp;"'!$A:$D"),4,false),1))</f>
        <v>1</v>
      </c>
      <c r="I860" s="62">
        <f t="shared" si="1720"/>
        <v>1</v>
      </c>
      <c r="J860" s="62">
        <f t="shared" si="1720"/>
        <v>1</v>
      </c>
      <c r="K860" s="62">
        <f t="shared" si="1720"/>
        <v>1</v>
      </c>
      <c r="L860" s="62">
        <f t="shared" si="1720"/>
        <v>1</v>
      </c>
      <c r="M860" s="62">
        <f t="shared" si="1720"/>
        <v>1</v>
      </c>
      <c r="N860" s="62">
        <f t="shared" si="1720"/>
        <v>1</v>
      </c>
      <c r="O860" s="62">
        <f t="shared" si="1720"/>
        <v>1</v>
      </c>
      <c r="P860" s="62" t="str">
        <f t="shared" si="1720"/>
        <v/>
      </c>
      <c r="Q860" s="62" t="str">
        <f t="shared" si="1720"/>
        <v/>
      </c>
      <c r="R860" s="62">
        <f t="shared" si="7"/>
        <v>0</v>
      </c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</row>
    <row r="861" hidden="1">
      <c r="A861" s="60">
        <f>IFERROR(__xludf.DUMMYFUNCTION("""COMPUTED_VALUE"""),14212.0)</f>
        <v>14212</v>
      </c>
      <c r="B861" s="60" t="str">
        <f>IFERROR(__xludf.DUMMYFUNCTION("""COMPUTED_VALUE"""),"Takitaki, Sione")</f>
        <v>Takitaki, Sione</v>
      </c>
      <c r="C861" s="60" t="str">
        <f>IFERROR(__xludf.DUMMYFUNCTION("""COMPUTED_VALUE"""),"LB")</f>
        <v>LB</v>
      </c>
      <c r="D861" s="60" t="str">
        <f>IFERROR(__xludf.DUMMYFUNCTION("""COMPUTED_VALUE"""),"FA")</f>
        <v>FA</v>
      </c>
      <c r="E861" s="62" t="str">
        <f t="shared" si="4"/>
        <v>Sione Takitaki</v>
      </c>
      <c r="F861" s="62">
        <f t="shared" ref="F861:G861" si="1721">IF(isblank(F$1),,IF(isblank($A861),,IFERROR(vlookup($A861,indirect("'TVC-"&amp;text(month(F$1),"00")&amp;"'!$A:$D"),4,false),1)))</f>
        <v>1</v>
      </c>
      <c r="G861" s="62">
        <f t="shared" si="1721"/>
        <v>1</v>
      </c>
      <c r="H861" s="62">
        <f t="shared" ref="H861:Q861" si="1722">IF(isblank(H$1),,IFERROR(vlookup($A861,indirect("'TVC-"&amp;text(month(H$1),"00")&amp;"'!$A:$D"),4,false),1))</f>
        <v>1</v>
      </c>
      <c r="I861" s="62">
        <f t="shared" si="1722"/>
        <v>1</v>
      </c>
      <c r="J861" s="62">
        <f t="shared" si="1722"/>
        <v>1</v>
      </c>
      <c r="K861" s="62">
        <f t="shared" si="1722"/>
        <v>1</v>
      </c>
      <c r="L861" s="62">
        <f t="shared" si="1722"/>
        <v>1</v>
      </c>
      <c r="M861" s="62">
        <f t="shared" si="1722"/>
        <v>1</v>
      </c>
      <c r="N861" s="62">
        <f t="shared" si="1722"/>
        <v>1</v>
      </c>
      <c r="O861" s="62">
        <f t="shared" si="1722"/>
        <v>1</v>
      </c>
      <c r="P861" s="62" t="str">
        <f t="shared" si="1722"/>
        <v/>
      </c>
      <c r="Q861" s="62" t="str">
        <f t="shared" si="1722"/>
        <v/>
      </c>
      <c r="R861" s="62">
        <f t="shared" si="7"/>
        <v>0</v>
      </c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</row>
    <row r="862" hidden="1">
      <c r="A862" s="60">
        <f>IFERROR(__xludf.DUMMYFUNCTION("""COMPUTED_VALUE"""),14213.0)</f>
        <v>14213</v>
      </c>
      <c r="B862" s="60" t="str">
        <f>IFERROR(__xludf.DUMMYFUNCTION("""COMPUTED_VALUE"""),"Harris, Will")</f>
        <v>Harris, Will</v>
      </c>
      <c r="C862" s="60" t="str">
        <f>IFERROR(__xludf.DUMMYFUNCTION("""COMPUTED_VALUE"""),"S")</f>
        <v>S</v>
      </c>
      <c r="D862" s="60" t="str">
        <f>IFERROR(__xludf.DUMMYFUNCTION("""COMPUTED_VALUE"""),"FA")</f>
        <v>FA</v>
      </c>
      <c r="E862" s="62" t="str">
        <f t="shared" si="4"/>
        <v>Will Harris</v>
      </c>
      <c r="F862" s="62">
        <f t="shared" ref="F862:G862" si="1723">IF(isblank(F$1),,IF(isblank($A862),,IFERROR(vlookup($A862,indirect("'TVC-"&amp;text(month(F$1),"00")&amp;"'!$A:$D"),4,false),1)))</f>
        <v>1</v>
      </c>
      <c r="G862" s="62">
        <f t="shared" si="1723"/>
        <v>1</v>
      </c>
      <c r="H862" s="62">
        <f t="shared" ref="H862:Q862" si="1724">IF(isblank(H$1),,IFERROR(vlookup($A862,indirect("'TVC-"&amp;text(month(H$1),"00")&amp;"'!$A:$D"),4,false),1))</f>
        <v>1</v>
      </c>
      <c r="I862" s="62">
        <f t="shared" si="1724"/>
        <v>1</v>
      </c>
      <c r="J862" s="62">
        <f t="shared" si="1724"/>
        <v>1</v>
      </c>
      <c r="K862" s="62">
        <f t="shared" si="1724"/>
        <v>1</v>
      </c>
      <c r="L862" s="62">
        <f t="shared" si="1724"/>
        <v>1</v>
      </c>
      <c r="M862" s="62">
        <f t="shared" si="1724"/>
        <v>1</v>
      </c>
      <c r="N862" s="62">
        <f t="shared" si="1724"/>
        <v>1</v>
      </c>
      <c r="O862" s="62">
        <f t="shared" si="1724"/>
        <v>1</v>
      </c>
      <c r="P862" s="62" t="str">
        <f t="shared" si="1724"/>
        <v/>
      </c>
      <c r="Q862" s="62" t="str">
        <f t="shared" si="1724"/>
        <v/>
      </c>
      <c r="R862" s="62">
        <f t="shared" si="7"/>
        <v>0</v>
      </c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</row>
    <row r="863" hidden="1">
      <c r="A863" s="60">
        <f>IFERROR(__xludf.DUMMYFUNCTION("""COMPUTED_VALUE"""),14215.0)</f>
        <v>14215</v>
      </c>
      <c r="B863" s="60" t="str">
        <f>IFERROR(__xludf.DUMMYFUNCTION("""COMPUTED_VALUE"""),"Saunders, Khalen")</f>
        <v>Saunders, Khalen</v>
      </c>
      <c r="C863" s="60" t="str">
        <f>IFERROR(__xludf.DUMMYFUNCTION("""COMPUTED_VALUE"""),"DT")</f>
        <v>DT</v>
      </c>
      <c r="D863" s="60" t="str">
        <f>IFERROR(__xludf.DUMMYFUNCTION("""COMPUTED_VALUE"""),"FA")</f>
        <v>FA</v>
      </c>
      <c r="E863" s="62" t="str">
        <f t="shared" si="4"/>
        <v>Khalen Saunders</v>
      </c>
      <c r="F863" s="62">
        <f t="shared" ref="F863:G863" si="1725">IF(isblank(F$1),,IF(isblank($A863),,IFERROR(vlookup($A863,indirect("'TVC-"&amp;text(month(F$1),"00")&amp;"'!$A:$D"),4,false),1)))</f>
        <v>1</v>
      </c>
      <c r="G863" s="62">
        <f t="shared" si="1725"/>
        <v>1</v>
      </c>
      <c r="H863" s="62">
        <f t="shared" ref="H863:Q863" si="1726">IF(isblank(H$1),,IFERROR(vlookup($A863,indirect("'TVC-"&amp;text(month(H$1),"00")&amp;"'!$A:$D"),4,false),1))</f>
        <v>1</v>
      </c>
      <c r="I863" s="62">
        <f t="shared" si="1726"/>
        <v>1</v>
      </c>
      <c r="J863" s="62">
        <f t="shared" si="1726"/>
        <v>1</v>
      </c>
      <c r="K863" s="62">
        <f t="shared" si="1726"/>
        <v>1</v>
      </c>
      <c r="L863" s="62">
        <f t="shared" si="1726"/>
        <v>1</v>
      </c>
      <c r="M863" s="62">
        <f t="shared" si="1726"/>
        <v>1</v>
      </c>
      <c r="N863" s="62">
        <f t="shared" si="1726"/>
        <v>1</v>
      </c>
      <c r="O863" s="62">
        <f t="shared" si="1726"/>
        <v>1</v>
      </c>
      <c r="P863" s="62" t="str">
        <f t="shared" si="1726"/>
        <v/>
      </c>
      <c r="Q863" s="62" t="str">
        <f t="shared" si="1726"/>
        <v/>
      </c>
      <c r="R863" s="62">
        <f t="shared" si="7"/>
        <v>0</v>
      </c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</row>
    <row r="864" hidden="1">
      <c r="A864" s="60">
        <f>IFERROR(__xludf.DUMMYFUNCTION("""COMPUTED_VALUE"""),14217.0)</f>
        <v>14217</v>
      </c>
      <c r="B864" s="60" t="str">
        <f>IFERROR(__xludf.DUMMYFUNCTION("""COMPUTED_VALUE"""),"Barton, Cody")</f>
        <v>Barton, Cody</v>
      </c>
      <c r="C864" s="60" t="str">
        <f>IFERROR(__xludf.DUMMYFUNCTION("""COMPUTED_VALUE"""),"LB")</f>
        <v>LB</v>
      </c>
      <c r="D864" s="60" t="str">
        <f>IFERROR(__xludf.DUMMYFUNCTION("""COMPUTED_VALUE"""),"TEN")</f>
        <v>TEN</v>
      </c>
      <c r="E864" s="62" t="str">
        <f t="shared" si="4"/>
        <v>Cody Barton</v>
      </c>
      <c r="F864" s="62">
        <f t="shared" ref="F864:G864" si="1727">IF(isblank(F$1),,IF(isblank($A864),,IFERROR(vlookup($A864,indirect("'TVC-"&amp;text(month(F$1),"00")&amp;"'!$A:$D"),4,false),1)))</f>
        <v>1</v>
      </c>
      <c r="G864" s="62">
        <f t="shared" si="1727"/>
        <v>1</v>
      </c>
      <c r="H864" s="62">
        <f t="shared" ref="H864:Q864" si="1728">IF(isblank(H$1),,IFERROR(vlookup($A864,indirect("'TVC-"&amp;text(month(H$1),"00")&amp;"'!$A:$D"),4,false),1))</f>
        <v>1</v>
      </c>
      <c r="I864" s="62">
        <f t="shared" si="1728"/>
        <v>1</v>
      </c>
      <c r="J864" s="62">
        <f t="shared" si="1728"/>
        <v>1</v>
      </c>
      <c r="K864" s="62">
        <f t="shared" si="1728"/>
        <v>1</v>
      </c>
      <c r="L864" s="62">
        <f t="shared" si="1728"/>
        <v>1</v>
      </c>
      <c r="M864" s="62">
        <f t="shared" si="1728"/>
        <v>1</v>
      </c>
      <c r="N864" s="62">
        <f t="shared" si="1728"/>
        <v>1</v>
      </c>
      <c r="O864" s="62">
        <f t="shared" si="1728"/>
        <v>1</v>
      </c>
      <c r="P864" s="62" t="str">
        <f t="shared" si="1728"/>
        <v/>
      </c>
      <c r="Q864" s="62" t="str">
        <f t="shared" si="1728"/>
        <v/>
      </c>
      <c r="R864" s="62">
        <f t="shared" si="7"/>
        <v>0</v>
      </c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</row>
    <row r="865">
      <c r="A865" s="60">
        <f>IFERROR(__xludf.DUMMYFUNCTION("""COMPUTED_VALUE"""),14218.0)</f>
        <v>14218</v>
      </c>
      <c r="B865" s="60" t="str">
        <f>IFERROR(__xludf.DUMMYFUNCTION("""COMPUTED_VALUE"""),"Okereke, Bobby")</f>
        <v>Okereke, Bobby</v>
      </c>
      <c r="C865" s="60" t="str">
        <f>IFERROR(__xludf.DUMMYFUNCTION("""COMPUTED_VALUE"""),"LB")</f>
        <v>LB</v>
      </c>
      <c r="D865" s="60" t="str">
        <f>IFERROR(__xludf.DUMMYFUNCTION("""COMPUTED_VALUE"""),"CAR")</f>
        <v>CAR</v>
      </c>
      <c r="E865" s="62" t="str">
        <f t="shared" si="4"/>
        <v>Bobby Okereke</v>
      </c>
      <c r="F865" s="62">
        <f t="shared" ref="F865:G865" si="1729">IF(isblank(F$1),,IF(isblank($A865),,IFERROR(vlookup($A865,indirect("'TVC-"&amp;text(month(F$1),"00")&amp;"'!$A:$D"),4,false),1)))</f>
        <v>1</v>
      </c>
      <c r="G865" s="62">
        <f t="shared" si="1729"/>
        <v>1</v>
      </c>
      <c r="H865" s="62">
        <f t="shared" ref="H865:Q865" si="1730">IF(isblank(H$1),,IFERROR(vlookup($A865,indirect("'TVC-"&amp;text(month(H$1),"00")&amp;"'!$A:$D"),4,false),1))</f>
        <v>1</v>
      </c>
      <c r="I865" s="62">
        <f t="shared" si="1730"/>
        <v>1</v>
      </c>
      <c r="J865" s="62">
        <f t="shared" si="1730"/>
        <v>1</v>
      </c>
      <c r="K865" s="62">
        <f t="shared" si="1730"/>
        <v>1</v>
      </c>
      <c r="L865" s="62">
        <f t="shared" si="1730"/>
        <v>1</v>
      </c>
      <c r="M865" s="62">
        <f t="shared" si="1730"/>
        <v>1</v>
      </c>
      <c r="N865" s="62">
        <f t="shared" si="1730"/>
        <v>1</v>
      </c>
      <c r="O865" s="62">
        <f t="shared" si="1730"/>
        <v>1</v>
      </c>
      <c r="P865" s="62" t="str">
        <f t="shared" si="1730"/>
        <v/>
      </c>
      <c r="Q865" s="62" t="str">
        <f t="shared" si="1730"/>
        <v/>
      </c>
      <c r="R865" s="62">
        <f t="shared" si="7"/>
        <v>0</v>
      </c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</row>
    <row r="866" hidden="1">
      <c r="A866" s="60">
        <f>IFERROR(__xludf.DUMMYFUNCTION("""COMPUTED_VALUE"""),14219.0)</f>
        <v>14219</v>
      </c>
      <c r="B866" s="60" t="str">
        <f>IFERROR(__xludf.DUMMYFUNCTION("""COMPUTED_VALUE"""),"Dean, Jamel")</f>
        <v>Dean, Jamel</v>
      </c>
      <c r="C866" s="60" t="str">
        <f>IFERROR(__xludf.DUMMYFUNCTION("""COMPUTED_VALUE"""),"CB")</f>
        <v>CB</v>
      </c>
      <c r="D866" s="60" t="str">
        <f>IFERROR(__xludf.DUMMYFUNCTION("""COMPUTED_VALUE"""),"PIT")</f>
        <v>PIT</v>
      </c>
      <c r="E866" s="62" t="str">
        <f t="shared" si="4"/>
        <v>Jamel Dean</v>
      </c>
      <c r="F866" s="62">
        <f t="shared" ref="F866:G866" si="1731">IF(isblank(F$1),,IF(isblank($A866),,IFERROR(vlookup($A866,indirect("'TVC-"&amp;text(month(F$1),"00")&amp;"'!$A:$D"),4,false),1)))</f>
        <v>1</v>
      </c>
      <c r="G866" s="62">
        <f t="shared" si="1731"/>
        <v>1</v>
      </c>
      <c r="H866" s="62">
        <f t="shared" ref="H866:Q866" si="1732">IF(isblank(H$1),,IFERROR(vlookup($A866,indirect("'TVC-"&amp;text(month(H$1),"00")&amp;"'!$A:$D"),4,false),1))</f>
        <v>1</v>
      </c>
      <c r="I866" s="62">
        <f t="shared" si="1732"/>
        <v>1</v>
      </c>
      <c r="J866" s="62">
        <f t="shared" si="1732"/>
        <v>1</v>
      </c>
      <c r="K866" s="62">
        <f t="shared" si="1732"/>
        <v>1</v>
      </c>
      <c r="L866" s="62">
        <f t="shared" si="1732"/>
        <v>1</v>
      </c>
      <c r="M866" s="62">
        <f t="shared" si="1732"/>
        <v>1</v>
      </c>
      <c r="N866" s="62">
        <f t="shared" si="1732"/>
        <v>1</v>
      </c>
      <c r="O866" s="62">
        <f t="shared" si="1732"/>
        <v>1</v>
      </c>
      <c r="P866" s="62" t="str">
        <f t="shared" si="1732"/>
        <v/>
      </c>
      <c r="Q866" s="62" t="str">
        <f t="shared" si="1732"/>
        <v/>
      </c>
      <c r="R866" s="62">
        <f t="shared" si="7"/>
        <v>0</v>
      </c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</row>
    <row r="867" hidden="1">
      <c r="A867" s="60">
        <f>IFERROR(__xludf.DUMMYFUNCTION("""COMPUTED_VALUE"""),14221.0)</f>
        <v>14221</v>
      </c>
      <c r="B867" s="60" t="str">
        <f>IFERROR(__xludf.DUMMYFUNCTION("""COMPUTED_VALUE"""),"Williams, Quincy")</f>
        <v>Williams, Quincy</v>
      </c>
      <c r="C867" s="60" t="str">
        <f>IFERROR(__xludf.DUMMYFUNCTION("""COMPUTED_VALUE"""),"LB")</f>
        <v>LB</v>
      </c>
      <c r="D867" s="60" t="str">
        <f>IFERROR(__xludf.DUMMYFUNCTION("""COMPUTED_VALUE"""),"CLE")</f>
        <v>CLE</v>
      </c>
      <c r="E867" s="62" t="str">
        <f t="shared" si="4"/>
        <v>Quincy Williams</v>
      </c>
      <c r="F867" s="62">
        <f t="shared" ref="F867:G867" si="1733">IF(isblank(F$1),,IF(isblank($A867),,IFERROR(vlookup($A867,indirect("'TVC-"&amp;text(month(F$1),"00")&amp;"'!$A:$D"),4,false),1)))</f>
        <v>1</v>
      </c>
      <c r="G867" s="62">
        <f t="shared" si="1733"/>
        <v>1</v>
      </c>
      <c r="H867" s="62">
        <f t="shared" ref="H867:Q867" si="1734">IF(isblank(H$1),,IFERROR(vlookup($A867,indirect("'TVC-"&amp;text(month(H$1),"00")&amp;"'!$A:$D"),4,false),1))</f>
        <v>1</v>
      </c>
      <c r="I867" s="62">
        <f t="shared" si="1734"/>
        <v>1</v>
      </c>
      <c r="J867" s="62">
        <f t="shared" si="1734"/>
        <v>1</v>
      </c>
      <c r="K867" s="62">
        <f t="shared" si="1734"/>
        <v>1</v>
      </c>
      <c r="L867" s="62">
        <f t="shared" si="1734"/>
        <v>1</v>
      </c>
      <c r="M867" s="62">
        <f t="shared" si="1734"/>
        <v>1</v>
      </c>
      <c r="N867" s="62">
        <f t="shared" si="1734"/>
        <v>1</v>
      </c>
      <c r="O867" s="62">
        <f t="shared" si="1734"/>
        <v>1</v>
      </c>
      <c r="P867" s="62" t="str">
        <f t="shared" si="1734"/>
        <v/>
      </c>
      <c r="Q867" s="62" t="str">
        <f t="shared" si="1734"/>
        <v/>
      </c>
      <c r="R867" s="62">
        <f t="shared" si="7"/>
        <v>0</v>
      </c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</row>
    <row r="868" hidden="1">
      <c r="A868" s="60">
        <f>IFERROR(__xludf.DUMMYFUNCTION("""COMPUTED_VALUE"""),14222.0)</f>
        <v>14222</v>
      </c>
      <c r="B868" s="60" t="str">
        <f>IFERROR(__xludf.DUMMYFUNCTION("""COMPUTED_VALUE"""),"Edwards, Mike")</f>
        <v>Edwards, Mike</v>
      </c>
      <c r="C868" s="60" t="str">
        <f>IFERROR(__xludf.DUMMYFUNCTION("""COMPUTED_VALUE"""),"S")</f>
        <v>S</v>
      </c>
      <c r="D868" s="60" t="str">
        <f>IFERROR(__xludf.DUMMYFUNCTION("""COMPUTED_VALUE"""),"KCC")</f>
        <v>KCC</v>
      </c>
      <c r="E868" s="62" t="str">
        <f t="shared" si="4"/>
        <v>Mike Edwards</v>
      </c>
      <c r="F868" s="62">
        <f t="shared" ref="F868:G868" si="1735">IF(isblank(F$1),,IF(isblank($A868),,IFERROR(vlookup($A868,indirect("'TVC-"&amp;text(month(F$1),"00")&amp;"'!$A:$D"),4,false),1)))</f>
        <v>1</v>
      </c>
      <c r="G868" s="62">
        <f t="shared" si="1735"/>
        <v>1</v>
      </c>
      <c r="H868" s="62">
        <f t="shared" ref="H868:Q868" si="1736">IF(isblank(H$1),,IFERROR(vlookup($A868,indirect("'TVC-"&amp;text(month(H$1),"00")&amp;"'!$A:$D"),4,false),1))</f>
        <v>1</v>
      </c>
      <c r="I868" s="62">
        <f t="shared" si="1736"/>
        <v>1</v>
      </c>
      <c r="J868" s="62">
        <f t="shared" si="1736"/>
        <v>1</v>
      </c>
      <c r="K868" s="62">
        <f t="shared" si="1736"/>
        <v>1</v>
      </c>
      <c r="L868" s="62">
        <f t="shared" si="1736"/>
        <v>1</v>
      </c>
      <c r="M868" s="62">
        <f t="shared" si="1736"/>
        <v>1</v>
      </c>
      <c r="N868" s="62">
        <f t="shared" si="1736"/>
        <v>1</v>
      </c>
      <c r="O868" s="62">
        <f t="shared" si="1736"/>
        <v>1</v>
      </c>
      <c r="P868" s="62" t="str">
        <f t="shared" si="1736"/>
        <v/>
      </c>
      <c r="Q868" s="62" t="str">
        <f t="shared" si="1736"/>
        <v/>
      </c>
      <c r="R868" s="62">
        <f t="shared" si="7"/>
        <v>0</v>
      </c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</row>
    <row r="869" hidden="1">
      <c r="A869" s="60">
        <f>IFERROR(__xludf.DUMMYFUNCTION("""COMPUTED_VALUE"""),14223.0)</f>
        <v>14223</v>
      </c>
      <c r="B869" s="60" t="str">
        <f>IFERROR(__xludf.DUMMYFUNCTION("""COMPUTED_VALUE"""),"Mattison, Alexander")</f>
        <v>Mattison, Alexander</v>
      </c>
      <c r="C869" s="60" t="str">
        <f>IFERROR(__xludf.DUMMYFUNCTION("""COMPUTED_VALUE"""),"RB")</f>
        <v>RB</v>
      </c>
      <c r="D869" s="60" t="str">
        <f>IFERROR(__xludf.DUMMYFUNCTION("""COMPUTED_VALUE"""),"MIA")</f>
        <v>MIA</v>
      </c>
      <c r="E869" s="62" t="str">
        <f t="shared" si="4"/>
        <v>Alexander Mattison</v>
      </c>
      <c r="F869" s="62">
        <f t="shared" ref="F869:G869" si="1737">IF(isblank(F$1),,IF(isblank($A869),,IFERROR(vlookup($A869,indirect("'TVC-"&amp;text(month(F$1),"00")&amp;"'!$A:$D"),4,false),1)))</f>
        <v>651</v>
      </c>
      <c r="G869" s="62">
        <f t="shared" si="1737"/>
        <v>744</v>
      </c>
      <c r="H869" s="62">
        <f t="shared" ref="H869:Q869" si="1738">IF(isblank(H$1),,IFERROR(vlookup($A869,indirect("'TVC-"&amp;text(month(H$1),"00")&amp;"'!$A:$D"),4,false),1))</f>
        <v>760</v>
      </c>
      <c r="I869" s="62">
        <f t="shared" si="1738"/>
        <v>837</v>
      </c>
      <c r="J869" s="62">
        <f t="shared" si="1738"/>
        <v>870</v>
      </c>
      <c r="K869" s="62">
        <f t="shared" si="1738"/>
        <v>815</v>
      </c>
      <c r="L869" s="62">
        <f t="shared" si="1738"/>
        <v>738</v>
      </c>
      <c r="M869" s="62">
        <f t="shared" si="1738"/>
        <v>806</v>
      </c>
      <c r="N869" s="62">
        <f t="shared" si="1738"/>
        <v>499</v>
      </c>
      <c r="O869" s="62">
        <f t="shared" si="1738"/>
        <v>1</v>
      </c>
      <c r="P869" s="62" t="str">
        <f t="shared" si="1738"/>
        <v/>
      </c>
      <c r="Q869" s="62" t="str">
        <f t="shared" si="1738"/>
        <v/>
      </c>
      <c r="R869" s="62">
        <f t="shared" si="7"/>
        <v>-498</v>
      </c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</row>
    <row r="870" hidden="1">
      <c r="A870" s="60">
        <f>IFERROR(__xludf.DUMMYFUNCTION("""COMPUTED_VALUE"""),14224.0)</f>
        <v>14224</v>
      </c>
      <c r="B870" s="60" t="str">
        <f>IFERROR(__xludf.DUMMYFUNCTION("""COMPUTED_VALUE"""),"Gardner-Johnson, Chauncey")</f>
        <v>Gardner-Johnson, Chauncey</v>
      </c>
      <c r="C870" s="60" t="str">
        <f>IFERROR(__xludf.DUMMYFUNCTION("""COMPUTED_VALUE"""),"S")</f>
        <v>S</v>
      </c>
      <c r="D870" s="60" t="str">
        <f>IFERROR(__xludf.DUMMYFUNCTION("""COMPUTED_VALUE"""),"BUF")</f>
        <v>BUF</v>
      </c>
      <c r="E870" s="62" t="str">
        <f t="shared" si="4"/>
        <v>Chauncey Gardner-Johnson</v>
      </c>
      <c r="F870" s="62">
        <f t="shared" ref="F870:G870" si="1739">IF(isblank(F$1),,IF(isblank($A870),,IFERROR(vlookup($A870,indirect("'TVC-"&amp;text(month(F$1),"00")&amp;"'!$A:$D"),4,false),1)))</f>
        <v>1</v>
      </c>
      <c r="G870" s="62">
        <f t="shared" si="1739"/>
        <v>1</v>
      </c>
      <c r="H870" s="62">
        <f t="shared" ref="H870:Q870" si="1740">IF(isblank(H$1),,IFERROR(vlookup($A870,indirect("'TVC-"&amp;text(month(H$1),"00")&amp;"'!$A:$D"),4,false),1))</f>
        <v>1</v>
      </c>
      <c r="I870" s="62">
        <f t="shared" si="1740"/>
        <v>1</v>
      </c>
      <c r="J870" s="62">
        <f t="shared" si="1740"/>
        <v>1</v>
      </c>
      <c r="K870" s="62">
        <f t="shared" si="1740"/>
        <v>1</v>
      </c>
      <c r="L870" s="62">
        <f t="shared" si="1740"/>
        <v>1</v>
      </c>
      <c r="M870" s="62">
        <f t="shared" si="1740"/>
        <v>1</v>
      </c>
      <c r="N870" s="62">
        <f t="shared" si="1740"/>
        <v>1</v>
      </c>
      <c r="O870" s="62">
        <f t="shared" si="1740"/>
        <v>1</v>
      </c>
      <c r="P870" s="62" t="str">
        <f t="shared" si="1740"/>
        <v/>
      </c>
      <c r="Q870" s="62" t="str">
        <f t="shared" si="1740"/>
        <v/>
      </c>
      <c r="R870" s="62">
        <f t="shared" si="7"/>
        <v>0</v>
      </c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</row>
    <row r="871" hidden="1">
      <c r="A871" s="60">
        <f>IFERROR(__xludf.DUMMYFUNCTION("""COMPUTED_VALUE"""),14225.0)</f>
        <v>14225</v>
      </c>
      <c r="B871" s="60" t="str">
        <f>IFERROR(__xludf.DUMMYFUNCTION("""COMPUTED_VALUE"""),"Crosby, Maxx")</f>
        <v>Crosby, Maxx</v>
      </c>
      <c r="C871" s="60" t="str">
        <f>IFERROR(__xludf.DUMMYFUNCTION("""COMPUTED_VALUE"""),"DE")</f>
        <v>DE</v>
      </c>
      <c r="D871" s="60" t="str">
        <f>IFERROR(__xludf.DUMMYFUNCTION("""COMPUTED_VALUE"""),"LVR")</f>
        <v>LVR</v>
      </c>
      <c r="E871" s="62" t="str">
        <f t="shared" si="4"/>
        <v>Maxx Crosby</v>
      </c>
      <c r="F871" s="62">
        <f t="shared" ref="F871:G871" si="1741">IF(isblank(F$1),,IF(isblank($A871),,IFERROR(vlookup($A871,indirect("'TVC-"&amp;text(month(F$1),"00")&amp;"'!$A:$D"),4,false),1)))</f>
        <v>1</v>
      </c>
      <c r="G871" s="62">
        <f t="shared" si="1741"/>
        <v>1</v>
      </c>
      <c r="H871" s="62">
        <f t="shared" ref="H871:Q871" si="1742">IF(isblank(H$1),,IFERROR(vlookup($A871,indirect("'TVC-"&amp;text(month(H$1),"00")&amp;"'!$A:$D"),4,false),1))</f>
        <v>1</v>
      </c>
      <c r="I871" s="62">
        <f t="shared" si="1742"/>
        <v>1</v>
      </c>
      <c r="J871" s="62">
        <f t="shared" si="1742"/>
        <v>1</v>
      </c>
      <c r="K871" s="62">
        <f t="shared" si="1742"/>
        <v>1</v>
      </c>
      <c r="L871" s="62">
        <f t="shared" si="1742"/>
        <v>1</v>
      </c>
      <c r="M871" s="62">
        <f t="shared" si="1742"/>
        <v>1</v>
      </c>
      <c r="N871" s="62">
        <f t="shared" si="1742"/>
        <v>1</v>
      </c>
      <c r="O871" s="62">
        <f t="shared" si="1742"/>
        <v>1</v>
      </c>
      <c r="P871" s="62" t="str">
        <f t="shared" si="1742"/>
        <v/>
      </c>
      <c r="Q871" s="62" t="str">
        <f t="shared" si="1742"/>
        <v/>
      </c>
      <c r="R871" s="62">
        <f t="shared" si="7"/>
        <v>0</v>
      </c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</row>
    <row r="872" hidden="1">
      <c r="A872" s="60">
        <f>IFERROR(__xludf.DUMMYFUNCTION("""COMPUTED_VALUE"""),14227.0)</f>
        <v>14227</v>
      </c>
      <c r="B872" s="60" t="str">
        <f>IFERROR(__xludf.DUMMYFUNCTION("""COMPUTED_VALUE"""),"Wishnowsky, Mitch")</f>
        <v>Wishnowsky, Mitch</v>
      </c>
      <c r="C872" s="60" t="str">
        <f>IFERROR(__xludf.DUMMYFUNCTION("""COMPUTED_VALUE"""),"PN")</f>
        <v>PN</v>
      </c>
      <c r="D872" s="60" t="str">
        <f>IFERROR(__xludf.DUMMYFUNCTION("""COMPUTED_VALUE"""),"NEP")</f>
        <v>NEP</v>
      </c>
      <c r="E872" s="62" t="str">
        <f t="shared" si="4"/>
        <v>Mitch Wishnowsky</v>
      </c>
      <c r="F872" s="62">
        <f t="shared" ref="F872:G872" si="1743">IF(isblank(F$1),,IF(isblank($A872),,IFERROR(vlookup($A872,indirect("'TVC-"&amp;text(month(F$1),"00")&amp;"'!$A:$D"),4,false),1)))</f>
        <v>1</v>
      </c>
      <c r="G872" s="62">
        <f t="shared" si="1743"/>
        <v>1</v>
      </c>
      <c r="H872" s="62">
        <f t="shared" ref="H872:Q872" si="1744">IF(isblank(H$1),,IFERROR(vlookup($A872,indirect("'TVC-"&amp;text(month(H$1),"00")&amp;"'!$A:$D"),4,false),1))</f>
        <v>1</v>
      </c>
      <c r="I872" s="62">
        <f t="shared" si="1744"/>
        <v>1</v>
      </c>
      <c r="J872" s="62">
        <f t="shared" si="1744"/>
        <v>1</v>
      </c>
      <c r="K872" s="62">
        <f t="shared" si="1744"/>
        <v>1</v>
      </c>
      <c r="L872" s="62">
        <f t="shared" si="1744"/>
        <v>1</v>
      </c>
      <c r="M872" s="62">
        <f t="shared" si="1744"/>
        <v>1</v>
      </c>
      <c r="N872" s="62">
        <f t="shared" si="1744"/>
        <v>1</v>
      </c>
      <c r="O872" s="62">
        <f t="shared" si="1744"/>
        <v>1</v>
      </c>
      <c r="P872" s="62" t="str">
        <f t="shared" si="1744"/>
        <v/>
      </c>
      <c r="Q872" s="62" t="str">
        <f t="shared" si="1744"/>
        <v/>
      </c>
      <c r="R872" s="62">
        <f t="shared" si="7"/>
        <v>0</v>
      </c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</row>
    <row r="873" hidden="1">
      <c r="A873" s="60">
        <f>IFERROR(__xludf.DUMMYFUNCTION("""COMPUTED_VALUE"""),14235.0)</f>
        <v>14235</v>
      </c>
      <c r="B873" s="60" t="str">
        <f>IFERROR(__xludf.DUMMYFUNCTION("""COMPUTED_VALUE"""),"Tranquill, Drue")</f>
        <v>Tranquill, Drue</v>
      </c>
      <c r="C873" s="60" t="str">
        <f>IFERROR(__xludf.DUMMYFUNCTION("""COMPUTED_VALUE"""),"LB")</f>
        <v>LB</v>
      </c>
      <c r="D873" s="60" t="str">
        <f>IFERROR(__xludf.DUMMYFUNCTION("""COMPUTED_VALUE"""),"KCC")</f>
        <v>KCC</v>
      </c>
      <c r="E873" s="62" t="str">
        <f t="shared" si="4"/>
        <v>Drue Tranquill</v>
      </c>
      <c r="F873" s="62">
        <f t="shared" ref="F873:G873" si="1745">IF(isblank(F$1),,IF(isblank($A873),,IFERROR(vlookup($A873,indirect("'TVC-"&amp;text(month(F$1),"00")&amp;"'!$A:$D"),4,false),1)))</f>
        <v>1</v>
      </c>
      <c r="G873" s="62">
        <f t="shared" si="1745"/>
        <v>1</v>
      </c>
      <c r="H873" s="62">
        <f t="shared" ref="H873:Q873" si="1746">IF(isblank(H$1),,IFERROR(vlookup($A873,indirect("'TVC-"&amp;text(month(H$1),"00")&amp;"'!$A:$D"),4,false),1))</f>
        <v>1</v>
      </c>
      <c r="I873" s="62">
        <f t="shared" si="1746"/>
        <v>1</v>
      </c>
      <c r="J873" s="62">
        <f t="shared" si="1746"/>
        <v>1</v>
      </c>
      <c r="K873" s="62">
        <f t="shared" si="1746"/>
        <v>1</v>
      </c>
      <c r="L873" s="62">
        <f t="shared" si="1746"/>
        <v>1</v>
      </c>
      <c r="M873" s="62">
        <f t="shared" si="1746"/>
        <v>1</v>
      </c>
      <c r="N873" s="62">
        <f t="shared" si="1746"/>
        <v>1</v>
      </c>
      <c r="O873" s="62">
        <f t="shared" si="1746"/>
        <v>1</v>
      </c>
      <c r="P873" s="62" t="str">
        <f t="shared" si="1746"/>
        <v/>
      </c>
      <c r="Q873" s="62" t="str">
        <f t="shared" si="1746"/>
        <v/>
      </c>
      <c r="R873" s="62">
        <f t="shared" si="7"/>
        <v>0</v>
      </c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</row>
    <row r="874" hidden="1">
      <c r="A874" s="60">
        <f>IFERROR(__xludf.DUMMYFUNCTION("""COMPUTED_VALUE"""),14236.0)</f>
        <v>14236</v>
      </c>
      <c r="B874" s="60" t="str">
        <f>IFERROR(__xludf.DUMMYFUNCTION("""COMPUTED_VALUE"""),"Amadi, Ugo")</f>
        <v>Amadi, Ugo</v>
      </c>
      <c r="C874" s="60" t="str">
        <f>IFERROR(__xludf.DUMMYFUNCTION("""COMPUTED_VALUE"""),"CB")</f>
        <v>CB</v>
      </c>
      <c r="D874" s="60" t="str">
        <f>IFERROR(__xludf.DUMMYFUNCTION("""COMPUTED_VALUE"""),"DEN")</f>
        <v>DEN</v>
      </c>
      <c r="E874" s="62" t="str">
        <f t="shared" si="4"/>
        <v>Ugo Amadi</v>
      </c>
      <c r="F874" s="62">
        <f t="shared" ref="F874:G874" si="1747">IF(isblank(F$1),,IF(isblank($A874),,IFERROR(vlookup($A874,indirect("'TVC-"&amp;text(month(F$1),"00")&amp;"'!$A:$D"),4,false),1)))</f>
        <v>1</v>
      </c>
      <c r="G874" s="62">
        <f t="shared" si="1747"/>
        <v>1</v>
      </c>
      <c r="H874" s="62">
        <f t="shared" ref="H874:Q874" si="1748">IF(isblank(H$1),,IFERROR(vlookup($A874,indirect("'TVC-"&amp;text(month(H$1),"00")&amp;"'!$A:$D"),4,false),1))</f>
        <v>1</v>
      </c>
      <c r="I874" s="62">
        <f t="shared" si="1748"/>
        <v>1</v>
      </c>
      <c r="J874" s="62">
        <f t="shared" si="1748"/>
        <v>1</v>
      </c>
      <c r="K874" s="62">
        <f t="shared" si="1748"/>
        <v>1</v>
      </c>
      <c r="L874" s="62">
        <f t="shared" si="1748"/>
        <v>1</v>
      </c>
      <c r="M874" s="62">
        <f t="shared" si="1748"/>
        <v>1</v>
      </c>
      <c r="N874" s="62">
        <f t="shared" si="1748"/>
        <v>1</v>
      </c>
      <c r="O874" s="62">
        <f t="shared" si="1748"/>
        <v>1</v>
      </c>
      <c r="P874" s="62" t="str">
        <f t="shared" si="1748"/>
        <v/>
      </c>
      <c r="Q874" s="62" t="str">
        <f t="shared" si="1748"/>
        <v/>
      </c>
      <c r="R874" s="62">
        <f t="shared" si="7"/>
        <v>0</v>
      </c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</row>
    <row r="875" hidden="1">
      <c r="A875" s="60">
        <f>IFERROR(__xludf.DUMMYFUNCTION("""COMPUTED_VALUE"""),14237.0)</f>
        <v>14237</v>
      </c>
      <c r="B875" s="60" t="str">
        <f>IFERROR(__xludf.DUMMYFUNCTION("""COMPUTED_VALUE"""),"Gaines, Greg")</f>
        <v>Gaines, Greg</v>
      </c>
      <c r="C875" s="60" t="str">
        <f>IFERROR(__xludf.DUMMYFUNCTION("""COMPUTED_VALUE"""),"DT")</f>
        <v>DT</v>
      </c>
      <c r="D875" s="60" t="str">
        <f>IFERROR(__xludf.DUMMYFUNCTION("""COMPUTED_VALUE"""),"BUF")</f>
        <v>BUF</v>
      </c>
      <c r="E875" s="62" t="str">
        <f t="shared" si="4"/>
        <v>Greg Gaines</v>
      </c>
      <c r="F875" s="62">
        <f t="shared" ref="F875:G875" si="1749">IF(isblank(F$1),,IF(isblank($A875),,IFERROR(vlookup($A875,indirect("'TVC-"&amp;text(month(F$1),"00")&amp;"'!$A:$D"),4,false),1)))</f>
        <v>1</v>
      </c>
      <c r="G875" s="62">
        <f t="shared" si="1749"/>
        <v>1</v>
      </c>
      <c r="H875" s="62">
        <f t="shared" ref="H875:Q875" si="1750">IF(isblank(H$1),,IFERROR(vlookup($A875,indirect("'TVC-"&amp;text(month(H$1),"00")&amp;"'!$A:$D"),4,false),1))</f>
        <v>1</v>
      </c>
      <c r="I875" s="62">
        <f t="shared" si="1750"/>
        <v>1</v>
      </c>
      <c r="J875" s="62">
        <f t="shared" si="1750"/>
        <v>1</v>
      </c>
      <c r="K875" s="62">
        <f t="shared" si="1750"/>
        <v>1</v>
      </c>
      <c r="L875" s="62">
        <f t="shared" si="1750"/>
        <v>1</v>
      </c>
      <c r="M875" s="62">
        <f t="shared" si="1750"/>
        <v>1</v>
      </c>
      <c r="N875" s="62">
        <f t="shared" si="1750"/>
        <v>1</v>
      </c>
      <c r="O875" s="62">
        <f t="shared" si="1750"/>
        <v>1</v>
      </c>
      <c r="P875" s="62" t="str">
        <f t="shared" si="1750"/>
        <v/>
      </c>
      <c r="Q875" s="62" t="str">
        <f t="shared" si="1750"/>
        <v/>
      </c>
      <c r="R875" s="62">
        <f t="shared" si="7"/>
        <v>0</v>
      </c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</row>
    <row r="876" hidden="1">
      <c r="A876" s="60">
        <f>IFERROR(__xludf.DUMMYFUNCTION("""COMPUTED_VALUE"""),14239.0)</f>
        <v>14239</v>
      </c>
      <c r="B876" s="60" t="str">
        <f>IFERROR(__xludf.DUMMYFUNCTION("""COMPUTED_VALUE"""),"Moreau, Foster")</f>
        <v>Moreau, Foster</v>
      </c>
      <c r="C876" s="60" t="str">
        <f>IFERROR(__xludf.DUMMYFUNCTION("""COMPUTED_VALUE"""),"TE")</f>
        <v>TE</v>
      </c>
      <c r="D876" s="60" t="str">
        <f>IFERROR(__xludf.DUMMYFUNCTION("""COMPUTED_VALUE"""),"HOU")</f>
        <v>HOU</v>
      </c>
      <c r="E876" s="62" t="str">
        <f t="shared" si="4"/>
        <v>Foster Moreau</v>
      </c>
      <c r="F876" s="62">
        <f t="shared" ref="F876:G876" si="1751">IF(isblank(F$1),,IF(isblank($A876),,IFERROR(vlookup($A876,indirect("'TVC-"&amp;text(month(F$1),"00")&amp;"'!$A:$D"),4,false),1)))</f>
        <v>934</v>
      </c>
      <c r="G876" s="62">
        <f t="shared" si="1751"/>
        <v>1</v>
      </c>
      <c r="H876" s="62">
        <f t="shared" ref="H876:Q876" si="1752">IF(isblank(H$1),,IFERROR(vlookup($A876,indirect("'TVC-"&amp;text(month(H$1),"00")&amp;"'!$A:$D"),4,false),1))</f>
        <v>1</v>
      </c>
      <c r="I876" s="62">
        <f t="shared" si="1752"/>
        <v>1</v>
      </c>
      <c r="J876" s="62">
        <f t="shared" si="1752"/>
        <v>924</v>
      </c>
      <c r="K876" s="62">
        <f t="shared" si="1752"/>
        <v>846</v>
      </c>
      <c r="L876" s="62">
        <f t="shared" si="1752"/>
        <v>1</v>
      </c>
      <c r="M876" s="62">
        <f t="shared" si="1752"/>
        <v>1</v>
      </c>
      <c r="N876" s="62">
        <f t="shared" si="1752"/>
        <v>1</v>
      </c>
      <c r="O876" s="62">
        <f t="shared" si="1752"/>
        <v>1</v>
      </c>
      <c r="P876" s="62" t="str">
        <f t="shared" si="1752"/>
        <v/>
      </c>
      <c r="Q876" s="62" t="str">
        <f t="shared" si="1752"/>
        <v/>
      </c>
      <c r="R876" s="62">
        <f t="shared" si="7"/>
        <v>0</v>
      </c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</row>
    <row r="877" hidden="1">
      <c r="A877" s="60">
        <f>IFERROR(__xludf.DUMMYFUNCTION("""COMPUTED_VALUE"""),14244.0)</f>
        <v>14244</v>
      </c>
      <c r="B877" s="60" t="str">
        <f>IFERROR(__xludf.DUMMYFUNCTION("""COMPUTED_VALUE"""),"Gay, Matt")</f>
        <v>Gay, Matt</v>
      </c>
      <c r="C877" s="60" t="str">
        <f>IFERROR(__xludf.DUMMYFUNCTION("""COMPUTED_VALUE"""),"PK")</f>
        <v>PK</v>
      </c>
      <c r="D877" s="60" t="str">
        <f>IFERROR(__xludf.DUMMYFUNCTION("""COMPUTED_VALUE"""),"LVR")</f>
        <v>LVR</v>
      </c>
      <c r="E877" s="62" t="str">
        <f t="shared" si="4"/>
        <v>Matt Gay</v>
      </c>
      <c r="F877" s="62">
        <f t="shared" ref="F877:G877" si="1753">IF(isblank(F$1),,IF(isblank($A877),,IFERROR(vlookup($A877,indirect("'TVC-"&amp;text(month(F$1),"00")&amp;"'!$A:$D"),4,false),1)))</f>
        <v>1</v>
      </c>
      <c r="G877" s="62">
        <f t="shared" si="1753"/>
        <v>1</v>
      </c>
      <c r="H877" s="62">
        <f t="shared" ref="H877:Q877" si="1754">IF(isblank(H$1),,IFERROR(vlookup($A877,indirect("'TVC-"&amp;text(month(H$1),"00")&amp;"'!$A:$D"),4,false),1))</f>
        <v>1</v>
      </c>
      <c r="I877" s="62">
        <f t="shared" si="1754"/>
        <v>1</v>
      </c>
      <c r="J877" s="62">
        <f t="shared" si="1754"/>
        <v>1</v>
      </c>
      <c r="K877" s="62">
        <f t="shared" si="1754"/>
        <v>1</v>
      </c>
      <c r="L877" s="62">
        <f t="shared" si="1754"/>
        <v>1</v>
      </c>
      <c r="M877" s="62">
        <f t="shared" si="1754"/>
        <v>1</v>
      </c>
      <c r="N877" s="62">
        <f t="shared" si="1754"/>
        <v>1</v>
      </c>
      <c r="O877" s="62">
        <f t="shared" si="1754"/>
        <v>1</v>
      </c>
      <c r="P877" s="62" t="str">
        <f t="shared" si="1754"/>
        <v/>
      </c>
      <c r="Q877" s="62" t="str">
        <f t="shared" si="1754"/>
        <v/>
      </c>
      <c r="R877" s="62">
        <f t="shared" si="7"/>
        <v>0</v>
      </c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</row>
    <row r="878" hidden="1">
      <c r="A878" s="60">
        <f>IFERROR(__xludf.DUMMYFUNCTION("""COMPUTED_VALUE"""),14245.0)</f>
        <v>14245</v>
      </c>
      <c r="B878" s="60" t="str">
        <f>IFERROR(__xludf.DUMMYFUNCTION("""COMPUTED_VALUE"""),"Oruwariye, Amani")</f>
        <v>Oruwariye, Amani</v>
      </c>
      <c r="C878" s="60" t="str">
        <f>IFERROR(__xludf.DUMMYFUNCTION("""COMPUTED_VALUE"""),"CB")</f>
        <v>CB</v>
      </c>
      <c r="D878" s="60" t="str">
        <f>IFERROR(__xludf.DUMMYFUNCTION("""COMPUTED_VALUE"""),"BAL")</f>
        <v>BAL</v>
      </c>
      <c r="E878" s="62" t="str">
        <f t="shared" si="4"/>
        <v>Amani Oruwariye</v>
      </c>
      <c r="F878" s="62">
        <f t="shared" ref="F878:G878" si="1755">IF(isblank(F$1),,IF(isblank($A878),,IFERROR(vlookup($A878,indirect("'TVC-"&amp;text(month(F$1),"00")&amp;"'!$A:$D"),4,false),1)))</f>
        <v>1</v>
      </c>
      <c r="G878" s="62">
        <f t="shared" si="1755"/>
        <v>1</v>
      </c>
      <c r="H878" s="62">
        <f t="shared" ref="H878:Q878" si="1756">IF(isblank(H$1),,IFERROR(vlookup($A878,indirect("'TVC-"&amp;text(month(H$1),"00")&amp;"'!$A:$D"),4,false),1))</f>
        <v>1</v>
      </c>
      <c r="I878" s="62">
        <f t="shared" si="1756"/>
        <v>1</v>
      </c>
      <c r="J878" s="62">
        <f t="shared" si="1756"/>
        <v>1</v>
      </c>
      <c r="K878" s="62">
        <f t="shared" si="1756"/>
        <v>1</v>
      </c>
      <c r="L878" s="62">
        <f t="shared" si="1756"/>
        <v>1</v>
      </c>
      <c r="M878" s="62">
        <f t="shared" si="1756"/>
        <v>1</v>
      </c>
      <c r="N878" s="62">
        <f t="shared" si="1756"/>
        <v>1</v>
      </c>
      <c r="O878" s="62">
        <f t="shared" si="1756"/>
        <v>1</v>
      </c>
      <c r="P878" s="62" t="str">
        <f t="shared" si="1756"/>
        <v/>
      </c>
      <c r="Q878" s="62" t="str">
        <f t="shared" si="1756"/>
        <v/>
      </c>
      <c r="R878" s="62">
        <f t="shared" si="7"/>
        <v>0</v>
      </c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</row>
    <row r="879" hidden="1">
      <c r="A879" s="60">
        <f>IFERROR(__xludf.DUMMYFUNCTION("""COMPUTED_VALUE"""),14247.0)</f>
        <v>14247</v>
      </c>
      <c r="B879" s="60" t="str">
        <f>IFERROR(__xludf.DUMMYFUNCTION("""COMPUTED_VALUE"""),"Greenlaw, Dre")</f>
        <v>Greenlaw, Dre</v>
      </c>
      <c r="C879" s="60" t="str">
        <f>IFERROR(__xludf.DUMMYFUNCTION("""COMPUTED_VALUE"""),"LB")</f>
        <v>LB</v>
      </c>
      <c r="D879" s="60" t="str">
        <f>IFERROR(__xludf.DUMMYFUNCTION("""COMPUTED_VALUE"""),"SFO")</f>
        <v>SFO</v>
      </c>
      <c r="E879" s="62" t="str">
        <f t="shared" si="4"/>
        <v>Dre Greenlaw</v>
      </c>
      <c r="F879" s="62">
        <f t="shared" ref="F879:G879" si="1757">IF(isblank(F$1),,IF(isblank($A879),,IFERROR(vlookup($A879,indirect("'TVC-"&amp;text(month(F$1),"00")&amp;"'!$A:$D"),4,false),1)))</f>
        <v>1</v>
      </c>
      <c r="G879" s="62">
        <f t="shared" si="1757"/>
        <v>1</v>
      </c>
      <c r="H879" s="62">
        <f t="shared" ref="H879:Q879" si="1758">IF(isblank(H$1),,IFERROR(vlookup($A879,indirect("'TVC-"&amp;text(month(H$1),"00")&amp;"'!$A:$D"),4,false),1))</f>
        <v>1</v>
      </c>
      <c r="I879" s="62">
        <f t="shared" si="1758"/>
        <v>1</v>
      </c>
      <c r="J879" s="62">
        <f t="shared" si="1758"/>
        <v>1</v>
      </c>
      <c r="K879" s="62">
        <f t="shared" si="1758"/>
        <v>1</v>
      </c>
      <c r="L879" s="62">
        <f t="shared" si="1758"/>
        <v>1</v>
      </c>
      <c r="M879" s="62">
        <f t="shared" si="1758"/>
        <v>1</v>
      </c>
      <c r="N879" s="62">
        <f t="shared" si="1758"/>
        <v>1</v>
      </c>
      <c r="O879" s="62">
        <f t="shared" si="1758"/>
        <v>1</v>
      </c>
      <c r="P879" s="62" t="str">
        <f t="shared" si="1758"/>
        <v/>
      </c>
      <c r="Q879" s="62" t="str">
        <f t="shared" si="1758"/>
        <v/>
      </c>
      <c r="R879" s="62">
        <f t="shared" si="7"/>
        <v>0</v>
      </c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</row>
    <row r="880" hidden="1">
      <c r="A880" s="60">
        <f>IFERROR(__xludf.DUMMYFUNCTION("""COMPUTED_VALUE"""),14249.0)</f>
        <v>14249</v>
      </c>
      <c r="B880" s="60" t="str">
        <f>IFERROR(__xludf.DUMMYFUNCTION("""COMPUTED_VALUE"""),"Van Ginkel, Andrew")</f>
        <v>Van Ginkel, Andrew</v>
      </c>
      <c r="C880" s="60" t="str">
        <f>IFERROR(__xludf.DUMMYFUNCTION("""COMPUTED_VALUE"""),"DE")</f>
        <v>DE</v>
      </c>
      <c r="D880" s="60" t="str">
        <f>IFERROR(__xludf.DUMMYFUNCTION("""COMPUTED_VALUE"""),"MIN")</f>
        <v>MIN</v>
      </c>
      <c r="E880" s="62" t="str">
        <f t="shared" si="4"/>
        <v>Andrew Van Ginkel</v>
      </c>
      <c r="F880" s="62">
        <f t="shared" ref="F880:G880" si="1759">IF(isblank(F$1),,IF(isblank($A880),,IFERROR(vlookup($A880,indirect("'TVC-"&amp;text(month(F$1),"00")&amp;"'!$A:$D"),4,false),1)))</f>
        <v>1</v>
      </c>
      <c r="G880" s="62">
        <f t="shared" si="1759"/>
        <v>1</v>
      </c>
      <c r="H880" s="62">
        <f t="shared" ref="H880:Q880" si="1760">IF(isblank(H$1),,IFERROR(vlookup($A880,indirect("'TVC-"&amp;text(month(H$1),"00")&amp;"'!$A:$D"),4,false),1))</f>
        <v>1</v>
      </c>
      <c r="I880" s="62">
        <f t="shared" si="1760"/>
        <v>1</v>
      </c>
      <c r="J880" s="62">
        <f t="shared" si="1760"/>
        <v>1</v>
      </c>
      <c r="K880" s="62">
        <f t="shared" si="1760"/>
        <v>1</v>
      </c>
      <c r="L880" s="62">
        <f t="shared" si="1760"/>
        <v>1</v>
      </c>
      <c r="M880" s="62">
        <f t="shared" si="1760"/>
        <v>1</v>
      </c>
      <c r="N880" s="62">
        <f t="shared" si="1760"/>
        <v>1</v>
      </c>
      <c r="O880" s="62">
        <f t="shared" si="1760"/>
        <v>1</v>
      </c>
      <c r="P880" s="62" t="str">
        <f t="shared" si="1760"/>
        <v/>
      </c>
      <c r="Q880" s="62" t="str">
        <f t="shared" si="1760"/>
        <v/>
      </c>
      <c r="R880" s="62">
        <f t="shared" si="7"/>
        <v>0</v>
      </c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</row>
    <row r="881" hidden="1">
      <c r="A881" s="60">
        <f>IFERROR(__xludf.DUMMYFUNCTION("""COMPUTED_VALUE"""),14251.0)</f>
        <v>14251</v>
      </c>
      <c r="B881" s="60" t="str">
        <f>IFERROR(__xludf.DUMMYFUNCTION("""COMPUTED_VALUE"""),"Cashman, Blake")</f>
        <v>Cashman, Blake</v>
      </c>
      <c r="C881" s="60" t="str">
        <f>IFERROR(__xludf.DUMMYFUNCTION("""COMPUTED_VALUE"""),"LB")</f>
        <v>LB</v>
      </c>
      <c r="D881" s="60" t="str">
        <f>IFERROR(__xludf.DUMMYFUNCTION("""COMPUTED_VALUE"""),"MIN")</f>
        <v>MIN</v>
      </c>
      <c r="E881" s="62" t="str">
        <f t="shared" si="4"/>
        <v>Blake Cashman</v>
      </c>
      <c r="F881" s="62">
        <f t="shared" ref="F881:G881" si="1761">IF(isblank(F$1),,IF(isblank($A881),,IFERROR(vlookup($A881,indirect("'TVC-"&amp;text(month(F$1),"00")&amp;"'!$A:$D"),4,false),1)))</f>
        <v>1</v>
      </c>
      <c r="G881" s="62">
        <f t="shared" si="1761"/>
        <v>1</v>
      </c>
      <c r="H881" s="62">
        <f t="shared" ref="H881:Q881" si="1762">IF(isblank(H$1),,IFERROR(vlookup($A881,indirect("'TVC-"&amp;text(month(H$1),"00")&amp;"'!$A:$D"),4,false),1))</f>
        <v>1</v>
      </c>
      <c r="I881" s="62">
        <f t="shared" si="1762"/>
        <v>1</v>
      </c>
      <c r="J881" s="62">
        <f t="shared" si="1762"/>
        <v>1</v>
      </c>
      <c r="K881" s="62">
        <f t="shared" si="1762"/>
        <v>1</v>
      </c>
      <c r="L881" s="62">
        <f t="shared" si="1762"/>
        <v>1</v>
      </c>
      <c r="M881" s="62">
        <f t="shared" si="1762"/>
        <v>1</v>
      </c>
      <c r="N881" s="62">
        <f t="shared" si="1762"/>
        <v>1</v>
      </c>
      <c r="O881" s="62">
        <f t="shared" si="1762"/>
        <v>1</v>
      </c>
      <c r="P881" s="62" t="str">
        <f t="shared" si="1762"/>
        <v/>
      </c>
      <c r="Q881" s="62" t="str">
        <f t="shared" si="1762"/>
        <v/>
      </c>
      <c r="R881" s="62">
        <f t="shared" si="7"/>
        <v>0</v>
      </c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</row>
    <row r="882" hidden="1">
      <c r="A882" s="60">
        <f>IFERROR(__xludf.DUMMYFUNCTION("""COMPUTED_VALUE"""),14252.0)</f>
        <v>14252</v>
      </c>
      <c r="B882" s="60" t="str">
        <f>IFERROR(__xludf.DUMMYFUNCTION("""COMPUTED_VALUE"""),"Jackson, Michael")</f>
        <v>Jackson, Michael</v>
      </c>
      <c r="C882" s="60" t="str">
        <f>IFERROR(__xludf.DUMMYFUNCTION("""COMPUTED_VALUE"""),"CB")</f>
        <v>CB</v>
      </c>
      <c r="D882" s="60" t="str">
        <f>IFERROR(__xludf.DUMMYFUNCTION("""COMPUTED_VALUE"""),"CAR")</f>
        <v>CAR</v>
      </c>
      <c r="E882" s="62" t="str">
        <f t="shared" si="4"/>
        <v>Michael Jackson</v>
      </c>
      <c r="F882" s="62">
        <f t="shared" ref="F882:G882" si="1763">IF(isblank(F$1),,IF(isblank($A882),,IFERROR(vlookup($A882,indirect("'TVC-"&amp;text(month(F$1),"00")&amp;"'!$A:$D"),4,false),1)))</f>
        <v>1</v>
      </c>
      <c r="G882" s="62">
        <f t="shared" si="1763"/>
        <v>1</v>
      </c>
      <c r="H882" s="62">
        <f t="shared" ref="H882:Q882" si="1764">IF(isblank(H$1),,IFERROR(vlookup($A882,indirect("'TVC-"&amp;text(month(H$1),"00")&amp;"'!$A:$D"),4,false),1))</f>
        <v>1</v>
      </c>
      <c r="I882" s="62">
        <f t="shared" si="1764"/>
        <v>1</v>
      </c>
      <c r="J882" s="62">
        <f t="shared" si="1764"/>
        <v>1</v>
      </c>
      <c r="K882" s="62">
        <f t="shared" si="1764"/>
        <v>1</v>
      </c>
      <c r="L882" s="62">
        <f t="shared" si="1764"/>
        <v>1</v>
      </c>
      <c r="M882" s="62">
        <f t="shared" si="1764"/>
        <v>1</v>
      </c>
      <c r="N882" s="62">
        <f t="shared" si="1764"/>
        <v>1</v>
      </c>
      <c r="O882" s="62">
        <f t="shared" si="1764"/>
        <v>1</v>
      </c>
      <c r="P882" s="62" t="str">
        <f t="shared" si="1764"/>
        <v/>
      </c>
      <c r="Q882" s="62" t="str">
        <f t="shared" si="1764"/>
        <v/>
      </c>
      <c r="R882" s="62">
        <f t="shared" si="7"/>
        <v>0</v>
      </c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</row>
    <row r="883" hidden="1">
      <c r="A883" s="60">
        <f>IFERROR(__xludf.DUMMYFUNCTION("""COMPUTED_VALUE"""),14254.0)</f>
        <v>14254</v>
      </c>
      <c r="B883" s="60" t="str">
        <f>IFERROR(__xludf.DUMMYFUNCTION("""COMPUTED_VALUE"""),"Omenihu, Charles")</f>
        <v>Omenihu, Charles</v>
      </c>
      <c r="C883" s="60" t="str">
        <f>IFERROR(__xludf.DUMMYFUNCTION("""COMPUTED_VALUE"""),"DE")</f>
        <v>DE</v>
      </c>
      <c r="D883" s="60" t="str">
        <f>IFERROR(__xludf.DUMMYFUNCTION("""COMPUTED_VALUE"""),"WAS")</f>
        <v>WAS</v>
      </c>
      <c r="E883" s="62" t="str">
        <f t="shared" si="4"/>
        <v>Charles Omenihu</v>
      </c>
      <c r="F883" s="62">
        <f t="shared" ref="F883:G883" si="1765">IF(isblank(F$1),,IF(isblank($A883),,IFERROR(vlookup($A883,indirect("'TVC-"&amp;text(month(F$1),"00")&amp;"'!$A:$D"),4,false),1)))</f>
        <v>1</v>
      </c>
      <c r="G883" s="62">
        <f t="shared" si="1765"/>
        <v>1</v>
      </c>
      <c r="H883" s="62">
        <f t="shared" ref="H883:Q883" si="1766">IF(isblank(H$1),,IFERROR(vlookup($A883,indirect("'TVC-"&amp;text(month(H$1),"00")&amp;"'!$A:$D"),4,false),1))</f>
        <v>1</v>
      </c>
      <c r="I883" s="62">
        <f t="shared" si="1766"/>
        <v>1</v>
      </c>
      <c r="J883" s="62">
        <f t="shared" si="1766"/>
        <v>1</v>
      </c>
      <c r="K883" s="62">
        <f t="shared" si="1766"/>
        <v>1</v>
      </c>
      <c r="L883" s="62">
        <f t="shared" si="1766"/>
        <v>1</v>
      </c>
      <c r="M883" s="62">
        <f t="shared" si="1766"/>
        <v>1</v>
      </c>
      <c r="N883" s="62">
        <f t="shared" si="1766"/>
        <v>1</v>
      </c>
      <c r="O883" s="62">
        <f t="shared" si="1766"/>
        <v>1</v>
      </c>
      <c r="P883" s="62" t="str">
        <f t="shared" si="1766"/>
        <v/>
      </c>
      <c r="Q883" s="62" t="str">
        <f t="shared" si="1766"/>
        <v/>
      </c>
      <c r="R883" s="62">
        <f t="shared" si="7"/>
        <v>0</v>
      </c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</row>
    <row r="884" hidden="1">
      <c r="A884" s="60">
        <f>IFERROR(__xludf.DUMMYFUNCTION("""COMPUTED_VALUE"""),14256.0)</f>
        <v>14256</v>
      </c>
      <c r="B884" s="60" t="str">
        <f>IFERROR(__xludf.DUMMYFUNCTION("""COMPUTED_VALUE"""),"Bailey, Jake")</f>
        <v>Bailey, Jake</v>
      </c>
      <c r="C884" s="60" t="str">
        <f>IFERROR(__xludf.DUMMYFUNCTION("""COMPUTED_VALUE"""),"PN")</f>
        <v>PN</v>
      </c>
      <c r="D884" s="60" t="str">
        <f>IFERROR(__xludf.DUMMYFUNCTION("""COMPUTED_VALUE"""),"ATL")</f>
        <v>ATL</v>
      </c>
      <c r="E884" s="62" t="str">
        <f t="shared" si="4"/>
        <v>Jake Bailey</v>
      </c>
      <c r="F884" s="62">
        <f t="shared" ref="F884:G884" si="1767">IF(isblank(F$1),,IF(isblank($A884),,IFERROR(vlookup($A884,indirect("'TVC-"&amp;text(month(F$1),"00")&amp;"'!$A:$D"),4,false),1)))</f>
        <v>1</v>
      </c>
      <c r="G884" s="62">
        <f t="shared" si="1767"/>
        <v>1</v>
      </c>
      <c r="H884" s="62">
        <f t="shared" ref="H884:Q884" si="1768">IF(isblank(H$1),,IFERROR(vlookup($A884,indirect("'TVC-"&amp;text(month(H$1),"00")&amp;"'!$A:$D"),4,false),1))</f>
        <v>1</v>
      </c>
      <c r="I884" s="62">
        <f t="shared" si="1768"/>
        <v>1</v>
      </c>
      <c r="J884" s="62">
        <f t="shared" si="1768"/>
        <v>1</v>
      </c>
      <c r="K884" s="62">
        <f t="shared" si="1768"/>
        <v>1</v>
      </c>
      <c r="L884" s="62">
        <f t="shared" si="1768"/>
        <v>1</v>
      </c>
      <c r="M884" s="62">
        <f t="shared" si="1768"/>
        <v>1</v>
      </c>
      <c r="N884" s="62">
        <f t="shared" si="1768"/>
        <v>1</v>
      </c>
      <c r="O884" s="62">
        <f t="shared" si="1768"/>
        <v>1</v>
      </c>
      <c r="P884" s="62" t="str">
        <f t="shared" si="1768"/>
        <v/>
      </c>
      <c r="Q884" s="62" t="str">
        <f t="shared" si="1768"/>
        <v/>
      </c>
      <c r="R884" s="62">
        <f t="shared" si="7"/>
        <v>0</v>
      </c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</row>
    <row r="885" hidden="1">
      <c r="A885" s="60">
        <f>IFERROR(__xludf.DUMMYFUNCTION("""COMPUTED_VALUE"""),14257.0)</f>
        <v>14257</v>
      </c>
      <c r="B885" s="60" t="str">
        <f>IFERROR(__xludf.DUMMYFUNCTION("""COMPUTED_VALUE"""),"Speed, E.J.")</f>
        <v>Speed, E.J.</v>
      </c>
      <c r="C885" s="60" t="str">
        <f>IFERROR(__xludf.DUMMYFUNCTION("""COMPUTED_VALUE"""),"LB")</f>
        <v>LB</v>
      </c>
      <c r="D885" s="60" t="str">
        <f>IFERROR(__xludf.DUMMYFUNCTION("""COMPUTED_VALUE"""),"HOU")</f>
        <v>HOU</v>
      </c>
      <c r="E885" s="62" t="str">
        <f t="shared" si="4"/>
        <v>E.J. Speed</v>
      </c>
      <c r="F885" s="62">
        <f t="shared" ref="F885:G885" si="1769">IF(isblank(F$1),,IF(isblank($A885),,IFERROR(vlookup($A885,indirect("'TVC-"&amp;text(month(F$1),"00")&amp;"'!$A:$D"),4,false),1)))</f>
        <v>1</v>
      </c>
      <c r="G885" s="62">
        <f t="shared" si="1769"/>
        <v>1</v>
      </c>
      <c r="H885" s="62">
        <f t="shared" ref="H885:Q885" si="1770">IF(isblank(H$1),,IFERROR(vlookup($A885,indirect("'TVC-"&amp;text(month(H$1),"00")&amp;"'!$A:$D"),4,false),1))</f>
        <v>1</v>
      </c>
      <c r="I885" s="62">
        <f t="shared" si="1770"/>
        <v>1</v>
      </c>
      <c r="J885" s="62">
        <f t="shared" si="1770"/>
        <v>1</v>
      </c>
      <c r="K885" s="62">
        <f t="shared" si="1770"/>
        <v>1</v>
      </c>
      <c r="L885" s="62">
        <f t="shared" si="1770"/>
        <v>1</v>
      </c>
      <c r="M885" s="62">
        <f t="shared" si="1770"/>
        <v>1</v>
      </c>
      <c r="N885" s="62">
        <f t="shared" si="1770"/>
        <v>1</v>
      </c>
      <c r="O885" s="62">
        <f t="shared" si="1770"/>
        <v>1</v>
      </c>
      <c r="P885" s="62" t="str">
        <f t="shared" si="1770"/>
        <v/>
      </c>
      <c r="Q885" s="62" t="str">
        <f t="shared" si="1770"/>
        <v/>
      </c>
      <c r="R885" s="62">
        <f t="shared" si="7"/>
        <v>0</v>
      </c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</row>
    <row r="886" hidden="1">
      <c r="A886" s="60">
        <f>IFERROR(__xludf.DUMMYFUNCTION("""COMPUTED_VALUE"""),14260.0)</f>
        <v>14260</v>
      </c>
      <c r="B886" s="60" t="str">
        <f>IFERROR(__xludf.DUMMYFUNCTION("""COMPUTED_VALUE"""),"Holcomb, Cole")</f>
        <v>Holcomb, Cole</v>
      </c>
      <c r="C886" s="60" t="str">
        <f>IFERROR(__xludf.DUMMYFUNCTION("""COMPUTED_VALUE"""),"LB")</f>
        <v>LB</v>
      </c>
      <c r="D886" s="60" t="str">
        <f>IFERROR(__xludf.DUMMYFUNCTION("""COMPUTED_VALUE"""),"PIT")</f>
        <v>PIT</v>
      </c>
      <c r="E886" s="62" t="str">
        <f t="shared" si="4"/>
        <v>Cole Holcomb</v>
      </c>
      <c r="F886" s="62">
        <f t="shared" ref="F886:G886" si="1771">IF(isblank(F$1),,IF(isblank($A886),,IFERROR(vlookup($A886,indirect("'TVC-"&amp;text(month(F$1),"00")&amp;"'!$A:$D"),4,false),1)))</f>
        <v>1</v>
      </c>
      <c r="G886" s="62">
        <f t="shared" si="1771"/>
        <v>1</v>
      </c>
      <c r="H886" s="62">
        <f t="shared" ref="H886:Q886" si="1772">IF(isblank(H$1),,IFERROR(vlookup($A886,indirect("'TVC-"&amp;text(month(H$1),"00")&amp;"'!$A:$D"),4,false),1))</f>
        <v>1</v>
      </c>
      <c r="I886" s="62">
        <f t="shared" si="1772"/>
        <v>1</v>
      </c>
      <c r="J886" s="62">
        <f t="shared" si="1772"/>
        <v>1</v>
      </c>
      <c r="K886" s="62">
        <f t="shared" si="1772"/>
        <v>1</v>
      </c>
      <c r="L886" s="62">
        <f t="shared" si="1772"/>
        <v>1</v>
      </c>
      <c r="M886" s="62">
        <f t="shared" si="1772"/>
        <v>1</v>
      </c>
      <c r="N886" s="62">
        <f t="shared" si="1772"/>
        <v>1</v>
      </c>
      <c r="O886" s="62">
        <f t="shared" si="1772"/>
        <v>1</v>
      </c>
      <c r="P886" s="62" t="str">
        <f t="shared" si="1772"/>
        <v/>
      </c>
      <c r="Q886" s="62" t="str">
        <f t="shared" si="1772"/>
        <v/>
      </c>
      <c r="R886" s="62">
        <f t="shared" si="7"/>
        <v>0</v>
      </c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</row>
    <row r="887" hidden="1">
      <c r="A887" s="60">
        <f>IFERROR(__xludf.DUMMYFUNCTION("""COMPUTED_VALUE"""),14263.0)</f>
        <v>14263</v>
      </c>
      <c r="B887" s="60" t="str">
        <f>IFERROR(__xludf.DUMMYFUNCTION("""COMPUTED_VALUE"""),"Ballentine, Corey")</f>
        <v>Ballentine, Corey</v>
      </c>
      <c r="C887" s="60" t="str">
        <f>IFERROR(__xludf.DUMMYFUNCTION("""COMPUTED_VALUE"""),"CB")</f>
        <v>CB</v>
      </c>
      <c r="D887" s="60" t="str">
        <f>IFERROR(__xludf.DUMMYFUNCTION("""COMPUTED_VALUE"""),"FA")</f>
        <v>FA</v>
      </c>
      <c r="E887" s="62" t="str">
        <f t="shared" si="4"/>
        <v>Corey Ballentine</v>
      </c>
      <c r="F887" s="62">
        <f t="shared" ref="F887:G887" si="1773">IF(isblank(F$1),,IF(isblank($A887),,IFERROR(vlookup($A887,indirect("'TVC-"&amp;text(month(F$1),"00")&amp;"'!$A:$D"),4,false),1)))</f>
        <v>1</v>
      </c>
      <c r="G887" s="62">
        <f t="shared" si="1773"/>
        <v>1</v>
      </c>
      <c r="H887" s="62">
        <f t="shared" ref="H887:Q887" si="1774">IF(isblank(H$1),,IFERROR(vlookup($A887,indirect("'TVC-"&amp;text(month(H$1),"00")&amp;"'!$A:$D"),4,false),1))</f>
        <v>1</v>
      </c>
      <c r="I887" s="62">
        <f t="shared" si="1774"/>
        <v>1</v>
      </c>
      <c r="J887" s="62">
        <f t="shared" si="1774"/>
        <v>1</v>
      </c>
      <c r="K887" s="62">
        <f t="shared" si="1774"/>
        <v>1</v>
      </c>
      <c r="L887" s="62">
        <f t="shared" si="1774"/>
        <v>1</v>
      </c>
      <c r="M887" s="62">
        <f t="shared" si="1774"/>
        <v>1</v>
      </c>
      <c r="N887" s="62">
        <f t="shared" si="1774"/>
        <v>1</v>
      </c>
      <c r="O887" s="62">
        <f t="shared" si="1774"/>
        <v>1</v>
      </c>
      <c r="P887" s="62" t="str">
        <f t="shared" si="1774"/>
        <v/>
      </c>
      <c r="Q887" s="62" t="str">
        <f t="shared" si="1774"/>
        <v/>
      </c>
      <c r="R887" s="62">
        <f t="shared" si="7"/>
        <v>0</v>
      </c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</row>
    <row r="888" hidden="1">
      <c r="A888" s="60">
        <f>IFERROR(__xludf.DUMMYFUNCTION("""COMPUTED_VALUE"""),14270.0)</f>
        <v>14270</v>
      </c>
      <c r="B888" s="60" t="str">
        <f>IFERROR(__xludf.DUMMYFUNCTION("""COMPUTED_VALUE"""),"Epps, Marcus")</f>
        <v>Epps, Marcus</v>
      </c>
      <c r="C888" s="60" t="str">
        <f>IFERROR(__xludf.DUMMYFUNCTION("""COMPUTED_VALUE"""),"S")</f>
        <v>S</v>
      </c>
      <c r="D888" s="60" t="str">
        <f>IFERROR(__xludf.DUMMYFUNCTION("""COMPUTED_VALUE"""),"PHI")</f>
        <v>PHI</v>
      </c>
      <c r="E888" s="62" t="str">
        <f t="shared" si="4"/>
        <v>Marcus Epps</v>
      </c>
      <c r="F888" s="62">
        <f t="shared" ref="F888:G888" si="1775">IF(isblank(F$1),,IF(isblank($A888),,IFERROR(vlookup($A888,indirect("'TVC-"&amp;text(month(F$1),"00")&amp;"'!$A:$D"),4,false),1)))</f>
        <v>1</v>
      </c>
      <c r="G888" s="62">
        <f t="shared" si="1775"/>
        <v>1</v>
      </c>
      <c r="H888" s="62">
        <f t="shared" ref="H888:Q888" si="1776">IF(isblank(H$1),,IFERROR(vlookup($A888,indirect("'TVC-"&amp;text(month(H$1),"00")&amp;"'!$A:$D"),4,false),1))</f>
        <v>1</v>
      </c>
      <c r="I888" s="62">
        <f t="shared" si="1776"/>
        <v>1</v>
      </c>
      <c r="J888" s="62">
        <f t="shared" si="1776"/>
        <v>1</v>
      </c>
      <c r="K888" s="62">
        <f t="shared" si="1776"/>
        <v>1</v>
      </c>
      <c r="L888" s="62">
        <f t="shared" si="1776"/>
        <v>1</v>
      </c>
      <c r="M888" s="62">
        <f t="shared" si="1776"/>
        <v>1</v>
      </c>
      <c r="N888" s="62">
        <f t="shared" si="1776"/>
        <v>1</v>
      </c>
      <c r="O888" s="62">
        <f t="shared" si="1776"/>
        <v>1</v>
      </c>
      <c r="P888" s="62" t="str">
        <f t="shared" si="1776"/>
        <v/>
      </c>
      <c r="Q888" s="62" t="str">
        <f t="shared" si="1776"/>
        <v/>
      </c>
      <c r="R888" s="62">
        <f t="shared" si="7"/>
        <v>0</v>
      </c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</row>
    <row r="889" hidden="1">
      <c r="A889" s="60">
        <f>IFERROR(__xludf.DUMMYFUNCTION("""COMPUTED_VALUE"""),14280.0)</f>
        <v>14280</v>
      </c>
      <c r="B889" s="60" t="str">
        <f>IFERROR(__xludf.DUMMYFUNCTION("""COMPUTED_VALUE"""),"Miller, Scotty")</f>
        <v>Miller, Scotty</v>
      </c>
      <c r="C889" s="60" t="str">
        <f>IFERROR(__xludf.DUMMYFUNCTION("""COMPUTED_VALUE"""),"WR")</f>
        <v>WR</v>
      </c>
      <c r="D889" s="60" t="str">
        <f>IFERROR(__xludf.DUMMYFUNCTION("""COMPUTED_VALUE"""),"CHI")</f>
        <v>CHI</v>
      </c>
      <c r="E889" s="62" t="str">
        <f t="shared" si="4"/>
        <v>Scotty Miller</v>
      </c>
      <c r="F889" s="62">
        <f t="shared" ref="F889:G889" si="1777">IF(isblank(F$1),,IF(isblank($A889),,IFERROR(vlookup($A889,indirect("'TVC-"&amp;text(month(F$1),"00")&amp;"'!$A:$D"),4,false),1)))</f>
        <v>1</v>
      </c>
      <c r="G889" s="62">
        <f t="shared" si="1777"/>
        <v>1</v>
      </c>
      <c r="H889" s="62">
        <f t="shared" ref="H889:Q889" si="1778">IF(isblank(H$1),,IFERROR(vlookup($A889,indirect("'TVC-"&amp;text(month(H$1),"00")&amp;"'!$A:$D"),4,false),1))</f>
        <v>1</v>
      </c>
      <c r="I889" s="62">
        <f t="shared" si="1778"/>
        <v>1</v>
      </c>
      <c r="J889" s="62">
        <f t="shared" si="1778"/>
        <v>1</v>
      </c>
      <c r="K889" s="62">
        <f t="shared" si="1778"/>
        <v>1</v>
      </c>
      <c r="L889" s="62">
        <f t="shared" si="1778"/>
        <v>1</v>
      </c>
      <c r="M889" s="62">
        <f t="shared" si="1778"/>
        <v>1</v>
      </c>
      <c r="N889" s="62">
        <f t="shared" si="1778"/>
        <v>1</v>
      </c>
      <c r="O889" s="62">
        <f t="shared" si="1778"/>
        <v>1</v>
      </c>
      <c r="P889" s="62" t="str">
        <f t="shared" si="1778"/>
        <v/>
      </c>
      <c r="Q889" s="62" t="str">
        <f t="shared" si="1778"/>
        <v/>
      </c>
      <c r="R889" s="62">
        <f t="shared" si="7"/>
        <v>0</v>
      </c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</row>
    <row r="890" hidden="1">
      <c r="A890" s="60">
        <f>IFERROR(__xludf.DUMMYFUNCTION("""COMPUTED_VALUE"""),14283.0)</f>
        <v>14283</v>
      </c>
      <c r="B890" s="60" t="str">
        <f>IFERROR(__xludf.DUMMYFUNCTION("""COMPUTED_VALUE"""),"Wilson, Donovan")</f>
        <v>Wilson, Donovan</v>
      </c>
      <c r="C890" s="60" t="str">
        <f>IFERROR(__xludf.DUMMYFUNCTION("""COMPUTED_VALUE"""),"S")</f>
        <v>S</v>
      </c>
      <c r="D890" s="60" t="str">
        <f>IFERROR(__xludf.DUMMYFUNCTION("""COMPUTED_VALUE"""),"DAL")</f>
        <v>DAL</v>
      </c>
      <c r="E890" s="62" t="str">
        <f t="shared" si="4"/>
        <v>Donovan Wilson</v>
      </c>
      <c r="F890" s="62">
        <f t="shared" ref="F890:G890" si="1779">IF(isblank(F$1),,IF(isblank($A890),,IFERROR(vlookup($A890,indirect("'TVC-"&amp;text(month(F$1),"00")&amp;"'!$A:$D"),4,false),1)))</f>
        <v>1</v>
      </c>
      <c r="G890" s="62">
        <f t="shared" si="1779"/>
        <v>1</v>
      </c>
      <c r="H890" s="62">
        <f t="shared" ref="H890:Q890" si="1780">IF(isblank(H$1),,IFERROR(vlookup($A890,indirect("'TVC-"&amp;text(month(H$1),"00")&amp;"'!$A:$D"),4,false),1))</f>
        <v>1</v>
      </c>
      <c r="I890" s="62">
        <f t="shared" si="1780"/>
        <v>1</v>
      </c>
      <c r="J890" s="62">
        <f t="shared" si="1780"/>
        <v>1</v>
      </c>
      <c r="K890" s="62">
        <f t="shared" si="1780"/>
        <v>1</v>
      </c>
      <c r="L890" s="62">
        <f t="shared" si="1780"/>
        <v>1</v>
      </c>
      <c r="M890" s="62">
        <f t="shared" si="1780"/>
        <v>1</v>
      </c>
      <c r="N890" s="62">
        <f t="shared" si="1780"/>
        <v>1</v>
      </c>
      <c r="O890" s="62">
        <f t="shared" si="1780"/>
        <v>1</v>
      </c>
      <c r="P890" s="62" t="str">
        <f t="shared" si="1780"/>
        <v/>
      </c>
      <c r="Q890" s="62" t="str">
        <f t="shared" si="1780"/>
        <v/>
      </c>
      <c r="R890" s="62">
        <f t="shared" si="7"/>
        <v>0</v>
      </c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</row>
    <row r="891" hidden="1">
      <c r="A891" s="60">
        <f>IFERROR(__xludf.DUMMYFUNCTION("""COMPUTED_VALUE"""),14292.0)</f>
        <v>14292</v>
      </c>
      <c r="B891" s="60" t="str">
        <f>IFERROR(__xludf.DUMMYFUNCTION("""COMPUTED_VALUE"""),"Summers, Ty")</f>
        <v>Summers, Ty</v>
      </c>
      <c r="C891" s="60" t="str">
        <f>IFERROR(__xludf.DUMMYFUNCTION("""COMPUTED_VALUE"""),"LB")</f>
        <v>LB</v>
      </c>
      <c r="D891" s="60" t="str">
        <f>IFERROR(__xludf.DUMMYFUNCTION("""COMPUTED_VALUE"""),"CHI")</f>
        <v>CHI</v>
      </c>
      <c r="E891" s="62" t="str">
        <f t="shared" si="4"/>
        <v>Ty Summers</v>
      </c>
      <c r="F891" s="62">
        <f t="shared" ref="F891:G891" si="1781">IF(isblank(F$1),,IF(isblank($A891),,IFERROR(vlookup($A891,indirect("'TVC-"&amp;text(month(F$1),"00")&amp;"'!$A:$D"),4,false),1)))</f>
        <v>1</v>
      </c>
      <c r="G891" s="62">
        <f t="shared" si="1781"/>
        <v>1</v>
      </c>
      <c r="H891" s="62">
        <f t="shared" ref="H891:Q891" si="1782">IF(isblank(H$1),,IFERROR(vlookup($A891,indirect("'TVC-"&amp;text(month(H$1),"00")&amp;"'!$A:$D"),4,false),1))</f>
        <v>1</v>
      </c>
      <c r="I891" s="62">
        <f t="shared" si="1782"/>
        <v>1</v>
      </c>
      <c r="J891" s="62">
        <f t="shared" si="1782"/>
        <v>1</v>
      </c>
      <c r="K891" s="62">
        <f t="shared" si="1782"/>
        <v>1</v>
      </c>
      <c r="L891" s="62">
        <f t="shared" si="1782"/>
        <v>1</v>
      </c>
      <c r="M891" s="62">
        <f t="shared" si="1782"/>
        <v>1</v>
      </c>
      <c r="N891" s="62">
        <f t="shared" si="1782"/>
        <v>1</v>
      </c>
      <c r="O891" s="62">
        <f t="shared" si="1782"/>
        <v>1</v>
      </c>
      <c r="P891" s="62" t="str">
        <f t="shared" si="1782"/>
        <v/>
      </c>
      <c r="Q891" s="62" t="str">
        <f t="shared" si="1782"/>
        <v/>
      </c>
      <c r="R891" s="62">
        <f t="shared" si="7"/>
        <v>0</v>
      </c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</row>
    <row r="892" hidden="1">
      <c r="A892" s="60">
        <f>IFERROR(__xludf.DUMMYFUNCTION("""COMPUTED_VALUE"""),14302.0)</f>
        <v>14302</v>
      </c>
      <c r="B892" s="60" t="str">
        <f>IFERROR(__xludf.DUMMYFUNCTION("""COMPUTED_VALUE"""),"Scott, Nick")</f>
        <v>Scott, Nick</v>
      </c>
      <c r="C892" s="60" t="str">
        <f>IFERROR(__xludf.DUMMYFUNCTION("""COMPUTED_VALUE"""),"S")</f>
        <v>S</v>
      </c>
      <c r="D892" s="60" t="str">
        <f>IFERROR(__xludf.DUMMYFUNCTION("""COMPUTED_VALUE"""),"CAR")</f>
        <v>CAR</v>
      </c>
      <c r="E892" s="62" t="str">
        <f t="shared" si="4"/>
        <v>Nick Scott</v>
      </c>
      <c r="F892" s="62">
        <f t="shared" ref="F892:G892" si="1783">IF(isblank(F$1),,IF(isblank($A892),,IFERROR(vlookup($A892,indirect("'TVC-"&amp;text(month(F$1),"00")&amp;"'!$A:$D"),4,false),1)))</f>
        <v>1</v>
      </c>
      <c r="G892" s="62">
        <f t="shared" si="1783"/>
        <v>1</v>
      </c>
      <c r="H892" s="62">
        <f t="shared" ref="H892:Q892" si="1784">IF(isblank(H$1),,IFERROR(vlookup($A892,indirect("'TVC-"&amp;text(month(H$1),"00")&amp;"'!$A:$D"),4,false),1))</f>
        <v>1</v>
      </c>
      <c r="I892" s="62">
        <f t="shared" si="1784"/>
        <v>1</v>
      </c>
      <c r="J892" s="62">
        <f t="shared" si="1784"/>
        <v>1</v>
      </c>
      <c r="K892" s="62">
        <f t="shared" si="1784"/>
        <v>1</v>
      </c>
      <c r="L892" s="62">
        <f t="shared" si="1784"/>
        <v>1</v>
      </c>
      <c r="M892" s="62">
        <f t="shared" si="1784"/>
        <v>1</v>
      </c>
      <c r="N892" s="62">
        <f t="shared" si="1784"/>
        <v>1</v>
      </c>
      <c r="O892" s="62">
        <f t="shared" si="1784"/>
        <v>1</v>
      </c>
      <c r="P892" s="62" t="str">
        <f t="shared" si="1784"/>
        <v/>
      </c>
      <c r="Q892" s="62" t="str">
        <f t="shared" si="1784"/>
        <v/>
      </c>
      <c r="R892" s="62">
        <f t="shared" si="7"/>
        <v>0</v>
      </c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</row>
    <row r="893" hidden="1">
      <c r="A893" s="60">
        <f>IFERROR(__xludf.DUMMYFUNCTION("""COMPUTED_VALUE"""),14303.0)</f>
        <v>14303</v>
      </c>
      <c r="B893" s="60" t="str">
        <f>IFERROR(__xludf.DUMMYFUNCTION("""COMPUTED_VALUE"""),"Elliss, Kaden")</f>
        <v>Elliss, Kaden</v>
      </c>
      <c r="C893" s="60" t="str">
        <f>IFERROR(__xludf.DUMMYFUNCTION("""COMPUTED_VALUE"""),"LB")</f>
        <v>LB</v>
      </c>
      <c r="D893" s="60" t="str">
        <f>IFERROR(__xludf.DUMMYFUNCTION("""COMPUTED_VALUE"""),"NOS")</f>
        <v>NOS</v>
      </c>
      <c r="E893" s="62" t="str">
        <f t="shared" si="4"/>
        <v>Kaden Elliss</v>
      </c>
      <c r="F893" s="62">
        <f t="shared" ref="F893:G893" si="1785">IF(isblank(F$1),,IF(isblank($A893),,IFERROR(vlookup($A893,indirect("'TVC-"&amp;text(month(F$1),"00")&amp;"'!$A:$D"),4,false),1)))</f>
        <v>1</v>
      </c>
      <c r="G893" s="62">
        <f t="shared" si="1785"/>
        <v>1</v>
      </c>
      <c r="H893" s="62">
        <f t="shared" ref="H893:Q893" si="1786">IF(isblank(H$1),,IFERROR(vlookup($A893,indirect("'TVC-"&amp;text(month(H$1),"00")&amp;"'!$A:$D"),4,false),1))</f>
        <v>1</v>
      </c>
      <c r="I893" s="62">
        <f t="shared" si="1786"/>
        <v>1</v>
      </c>
      <c r="J893" s="62">
        <f t="shared" si="1786"/>
        <v>1</v>
      </c>
      <c r="K893" s="62">
        <f t="shared" si="1786"/>
        <v>1</v>
      </c>
      <c r="L893" s="62">
        <f t="shared" si="1786"/>
        <v>1</v>
      </c>
      <c r="M893" s="62">
        <f t="shared" si="1786"/>
        <v>1</v>
      </c>
      <c r="N893" s="62">
        <f t="shared" si="1786"/>
        <v>1</v>
      </c>
      <c r="O893" s="62">
        <f t="shared" si="1786"/>
        <v>1</v>
      </c>
      <c r="P893" s="62" t="str">
        <f t="shared" si="1786"/>
        <v/>
      </c>
      <c r="Q893" s="62" t="str">
        <f t="shared" si="1786"/>
        <v/>
      </c>
      <c r="R893" s="62">
        <f t="shared" si="7"/>
        <v>0</v>
      </c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</row>
    <row r="894" hidden="1">
      <c r="A894" s="60">
        <f>IFERROR(__xludf.DUMMYFUNCTION("""COMPUTED_VALUE"""),14310.0)</f>
        <v>14310</v>
      </c>
      <c r="B894" s="60" t="str">
        <f>IFERROR(__xludf.DUMMYFUNCTION("""COMPUTED_VALUE"""),"Bell, Quinton")</f>
        <v>Bell, Quinton</v>
      </c>
      <c r="C894" s="60" t="str">
        <f>IFERROR(__xludf.DUMMYFUNCTION("""COMPUTED_VALUE"""),"DE")</f>
        <v>DE</v>
      </c>
      <c r="D894" s="60" t="str">
        <f>IFERROR(__xludf.DUMMYFUNCTION("""COMPUTED_VALUE"""),"NYJ")</f>
        <v>NYJ</v>
      </c>
      <c r="E894" s="62" t="str">
        <f t="shared" si="4"/>
        <v>Quinton Bell</v>
      </c>
      <c r="F894" s="62">
        <f t="shared" ref="F894:G894" si="1787">IF(isblank(F$1),,IF(isblank($A894),,IFERROR(vlookup($A894,indirect("'TVC-"&amp;text(month(F$1),"00")&amp;"'!$A:$D"),4,false),1)))</f>
        <v>1</v>
      </c>
      <c r="G894" s="62">
        <f t="shared" si="1787"/>
        <v>1</v>
      </c>
      <c r="H894" s="62">
        <f t="shared" ref="H894:Q894" si="1788">IF(isblank(H$1),,IFERROR(vlookup($A894,indirect("'TVC-"&amp;text(month(H$1),"00")&amp;"'!$A:$D"),4,false),1))</f>
        <v>1</v>
      </c>
      <c r="I894" s="62">
        <f t="shared" si="1788"/>
        <v>1</v>
      </c>
      <c r="J894" s="62">
        <f t="shared" si="1788"/>
        <v>1</v>
      </c>
      <c r="K894" s="62">
        <f t="shared" si="1788"/>
        <v>1</v>
      </c>
      <c r="L894" s="62">
        <f t="shared" si="1788"/>
        <v>1</v>
      </c>
      <c r="M894" s="62">
        <f t="shared" si="1788"/>
        <v>1</v>
      </c>
      <c r="N894" s="62">
        <f t="shared" si="1788"/>
        <v>1</v>
      </c>
      <c r="O894" s="62">
        <f t="shared" si="1788"/>
        <v>1</v>
      </c>
      <c r="P894" s="62" t="str">
        <f t="shared" si="1788"/>
        <v/>
      </c>
      <c r="Q894" s="62" t="str">
        <f t="shared" si="1788"/>
        <v/>
      </c>
      <c r="R894" s="62">
        <f t="shared" si="7"/>
        <v>0</v>
      </c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</row>
    <row r="895" hidden="1">
      <c r="A895" s="60">
        <f>IFERROR(__xludf.DUMMYFUNCTION("""COMPUTED_VALUE"""),14315.0)</f>
        <v>14315</v>
      </c>
      <c r="B895" s="60" t="str">
        <f>IFERROR(__xludf.DUMMYFUNCTION("""COMPUTED_VALUE"""),"Dulin, Ashton")</f>
        <v>Dulin, Ashton</v>
      </c>
      <c r="C895" s="60" t="str">
        <f>IFERROR(__xludf.DUMMYFUNCTION("""COMPUTED_VALUE"""),"WR")</f>
        <v>WR</v>
      </c>
      <c r="D895" s="60" t="str">
        <f>IFERROR(__xludf.DUMMYFUNCTION("""COMPUTED_VALUE"""),"IND")</f>
        <v>IND</v>
      </c>
      <c r="E895" s="62" t="str">
        <f t="shared" si="4"/>
        <v>Ashton Dulin</v>
      </c>
      <c r="F895" s="62">
        <f t="shared" ref="F895:G895" si="1789">IF(isblank(F$1),,IF(isblank($A895),,IFERROR(vlookup($A895,indirect("'TVC-"&amp;text(month(F$1),"00")&amp;"'!$A:$D"),4,false),1)))</f>
        <v>391</v>
      </c>
      <c r="G895" s="62">
        <f t="shared" si="1789"/>
        <v>1</v>
      </c>
      <c r="H895" s="62">
        <f t="shared" ref="H895:Q895" si="1790">IF(isblank(H$1),,IFERROR(vlookup($A895,indirect("'TVC-"&amp;text(month(H$1),"00")&amp;"'!$A:$D"),4,false),1))</f>
        <v>1</v>
      </c>
      <c r="I895" s="62">
        <f t="shared" si="1790"/>
        <v>1</v>
      </c>
      <c r="J895" s="62">
        <f t="shared" si="1790"/>
        <v>1</v>
      </c>
      <c r="K895" s="62">
        <f t="shared" si="1790"/>
        <v>1</v>
      </c>
      <c r="L895" s="62">
        <f t="shared" si="1790"/>
        <v>1</v>
      </c>
      <c r="M895" s="62">
        <f t="shared" si="1790"/>
        <v>1</v>
      </c>
      <c r="N895" s="62">
        <f t="shared" si="1790"/>
        <v>1</v>
      </c>
      <c r="O895" s="62">
        <f t="shared" si="1790"/>
        <v>1</v>
      </c>
      <c r="P895" s="62" t="str">
        <f t="shared" si="1790"/>
        <v/>
      </c>
      <c r="Q895" s="62" t="str">
        <f t="shared" si="1790"/>
        <v/>
      </c>
      <c r="R895" s="62">
        <f t="shared" si="7"/>
        <v>0</v>
      </c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</row>
    <row r="896" hidden="1">
      <c r="A896" s="60">
        <f>IFERROR(__xludf.DUMMYFUNCTION("""COMPUTED_VALUE"""),14319.0)</f>
        <v>14319</v>
      </c>
      <c r="B896" s="60" t="str">
        <f>IFERROR(__xludf.DUMMYFUNCTION("""COMPUTED_VALUE"""),"Beck, Andrew")</f>
        <v>Beck, Andrew</v>
      </c>
      <c r="C896" s="60" t="str">
        <f>IFERROR(__xludf.DUMMYFUNCTION("""COMPUTED_VALUE"""),"RB")</f>
        <v>RB</v>
      </c>
      <c r="D896" s="60" t="str">
        <f>IFERROR(__xludf.DUMMYFUNCTION("""COMPUTED_VALUE"""),"NYJ")</f>
        <v>NYJ</v>
      </c>
      <c r="E896" s="62" t="str">
        <f t="shared" si="4"/>
        <v>Andrew Beck</v>
      </c>
      <c r="F896" s="62">
        <f t="shared" ref="F896:G896" si="1791">IF(isblank(F$1),,IF(isblank($A896),,IFERROR(vlookup($A896,indirect("'TVC-"&amp;text(month(F$1),"00")&amp;"'!$A:$D"),4,false),1)))</f>
        <v>1</v>
      </c>
      <c r="G896" s="62">
        <f t="shared" si="1791"/>
        <v>1</v>
      </c>
      <c r="H896" s="62">
        <f t="shared" ref="H896:Q896" si="1792">IF(isblank(H$1),,IFERROR(vlookup($A896,indirect("'TVC-"&amp;text(month(H$1),"00")&amp;"'!$A:$D"),4,false),1))</f>
        <v>1</v>
      </c>
      <c r="I896" s="62">
        <f t="shared" si="1792"/>
        <v>1</v>
      </c>
      <c r="J896" s="62">
        <f t="shared" si="1792"/>
        <v>1</v>
      </c>
      <c r="K896" s="62">
        <f t="shared" si="1792"/>
        <v>1</v>
      </c>
      <c r="L896" s="62">
        <f t="shared" si="1792"/>
        <v>1</v>
      </c>
      <c r="M896" s="62">
        <f t="shared" si="1792"/>
        <v>1</v>
      </c>
      <c r="N896" s="62">
        <f t="shared" si="1792"/>
        <v>1</v>
      </c>
      <c r="O896" s="62">
        <f t="shared" si="1792"/>
        <v>1</v>
      </c>
      <c r="P896" s="62" t="str">
        <f t="shared" si="1792"/>
        <v/>
      </c>
      <c r="Q896" s="62" t="str">
        <f t="shared" si="1792"/>
        <v/>
      </c>
      <c r="R896" s="62">
        <f t="shared" si="7"/>
        <v>0</v>
      </c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</row>
    <row r="897">
      <c r="A897" s="60">
        <f>IFERROR(__xludf.DUMMYFUNCTION("""COMPUTED_VALUE"""),14322.0)</f>
        <v>14322</v>
      </c>
      <c r="B897" s="60" t="str">
        <f>IFERROR(__xludf.DUMMYFUNCTION("""COMPUTED_VALUE"""),"Edwards, T.J.")</f>
        <v>Edwards, T.J.</v>
      </c>
      <c r="C897" s="60" t="str">
        <f>IFERROR(__xludf.DUMMYFUNCTION("""COMPUTED_VALUE"""),"LB")</f>
        <v>LB</v>
      </c>
      <c r="D897" s="60" t="str">
        <f>IFERROR(__xludf.DUMMYFUNCTION("""COMPUTED_VALUE"""),"CHI")</f>
        <v>CHI</v>
      </c>
      <c r="E897" s="62" t="str">
        <f t="shared" si="4"/>
        <v>T.J. Edwards</v>
      </c>
      <c r="F897" s="62">
        <f t="shared" ref="F897:G897" si="1793">IF(isblank(F$1),,IF(isblank($A897),,IFERROR(vlookup($A897,indirect("'TVC-"&amp;text(month(F$1),"00")&amp;"'!$A:$D"),4,false),1)))</f>
        <v>1</v>
      </c>
      <c r="G897" s="62">
        <f t="shared" si="1793"/>
        <v>1</v>
      </c>
      <c r="H897" s="62">
        <f t="shared" ref="H897:Q897" si="1794">IF(isblank(H$1),,IFERROR(vlookup($A897,indirect("'TVC-"&amp;text(month(H$1),"00")&amp;"'!$A:$D"),4,false),1))</f>
        <v>1</v>
      </c>
      <c r="I897" s="62">
        <f t="shared" si="1794"/>
        <v>1</v>
      </c>
      <c r="J897" s="62">
        <f t="shared" si="1794"/>
        <v>1</v>
      </c>
      <c r="K897" s="62">
        <f t="shared" si="1794"/>
        <v>1</v>
      </c>
      <c r="L897" s="62">
        <f t="shared" si="1794"/>
        <v>1</v>
      </c>
      <c r="M897" s="62">
        <f t="shared" si="1794"/>
        <v>1</v>
      </c>
      <c r="N897" s="62">
        <f t="shared" si="1794"/>
        <v>1</v>
      </c>
      <c r="O897" s="62">
        <f t="shared" si="1794"/>
        <v>1</v>
      </c>
      <c r="P897" s="62" t="str">
        <f t="shared" si="1794"/>
        <v/>
      </c>
      <c r="Q897" s="62" t="str">
        <f t="shared" si="1794"/>
        <v/>
      </c>
      <c r="R897" s="62">
        <f t="shared" si="7"/>
        <v>0</v>
      </c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</row>
    <row r="898" hidden="1">
      <c r="A898" s="60">
        <f>IFERROR(__xludf.DUMMYFUNCTION("""COMPUTED_VALUE"""),14328.0)</f>
        <v>14328</v>
      </c>
      <c r="B898" s="60" t="str">
        <f>IFERROR(__xludf.DUMMYFUNCTION("""COMPUTED_VALUE"""),"Wingard, Andrew")</f>
        <v>Wingard, Andrew</v>
      </c>
      <c r="C898" s="60" t="str">
        <f>IFERROR(__xludf.DUMMYFUNCTION("""COMPUTED_VALUE"""),"S")</f>
        <v>S</v>
      </c>
      <c r="D898" s="60" t="str">
        <f>IFERROR(__xludf.DUMMYFUNCTION("""COMPUTED_VALUE"""),"ARI")</f>
        <v>ARI</v>
      </c>
      <c r="E898" s="62" t="str">
        <f t="shared" si="4"/>
        <v>Andrew Wingard</v>
      </c>
      <c r="F898" s="62">
        <f t="shared" ref="F898:G898" si="1795">IF(isblank(F$1),,IF(isblank($A898),,IFERROR(vlookup($A898,indirect("'TVC-"&amp;text(month(F$1),"00")&amp;"'!$A:$D"),4,false),1)))</f>
        <v>1</v>
      </c>
      <c r="G898" s="62">
        <f t="shared" si="1795"/>
        <v>1</v>
      </c>
      <c r="H898" s="62">
        <f t="shared" ref="H898:Q898" si="1796">IF(isblank(H$1),,IFERROR(vlookup($A898,indirect("'TVC-"&amp;text(month(H$1),"00")&amp;"'!$A:$D"),4,false),1))</f>
        <v>1</v>
      </c>
      <c r="I898" s="62">
        <f t="shared" si="1796"/>
        <v>1</v>
      </c>
      <c r="J898" s="62">
        <f t="shared" si="1796"/>
        <v>1</v>
      </c>
      <c r="K898" s="62">
        <f t="shared" si="1796"/>
        <v>1</v>
      </c>
      <c r="L898" s="62">
        <f t="shared" si="1796"/>
        <v>1</v>
      </c>
      <c r="M898" s="62">
        <f t="shared" si="1796"/>
        <v>1</v>
      </c>
      <c r="N898" s="62">
        <f t="shared" si="1796"/>
        <v>1</v>
      </c>
      <c r="O898" s="62">
        <f t="shared" si="1796"/>
        <v>1</v>
      </c>
      <c r="P898" s="62" t="str">
        <f t="shared" si="1796"/>
        <v/>
      </c>
      <c r="Q898" s="62" t="str">
        <f t="shared" si="1796"/>
        <v/>
      </c>
      <c r="R898" s="62">
        <f t="shared" si="7"/>
        <v>0</v>
      </c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</row>
    <row r="899" hidden="1">
      <c r="A899" s="60">
        <f>IFERROR(__xludf.DUMMYFUNCTION("""COMPUTED_VALUE"""),14331.0)</f>
        <v>14331</v>
      </c>
      <c r="B899" s="60" t="str">
        <f>IFERROR(__xludf.DUMMYFUNCTION("""COMPUTED_VALUE"""),"Johnson, D'Ernest")</f>
        <v>Johnson, D'Ernest</v>
      </c>
      <c r="C899" s="60" t="str">
        <f>IFERROR(__xludf.DUMMYFUNCTION("""COMPUTED_VALUE"""),"RB")</f>
        <v>RB</v>
      </c>
      <c r="D899" s="60" t="str">
        <f>IFERROR(__xludf.DUMMYFUNCTION("""COMPUTED_VALUE"""),"FA")</f>
        <v>FA</v>
      </c>
      <c r="E899" s="62" t="str">
        <f t="shared" si="4"/>
        <v>D'Ernest Johnson</v>
      </c>
      <c r="F899" s="62">
        <f t="shared" ref="F899:G899" si="1797">IF(isblank(F$1),,IF(isblank($A899),,IFERROR(vlookup($A899,indirect("'TVC-"&amp;text(month(F$1),"00")&amp;"'!$A:$D"),4,false),1)))</f>
        <v>1</v>
      </c>
      <c r="G899" s="62">
        <f t="shared" si="1797"/>
        <v>1</v>
      </c>
      <c r="H899" s="62">
        <f t="shared" ref="H899:Q899" si="1798">IF(isblank(H$1),,IFERROR(vlookup($A899,indirect("'TVC-"&amp;text(month(H$1),"00")&amp;"'!$A:$D"),4,false),1))</f>
        <v>1</v>
      </c>
      <c r="I899" s="62">
        <f t="shared" si="1798"/>
        <v>1</v>
      </c>
      <c r="J899" s="62">
        <f t="shared" si="1798"/>
        <v>1</v>
      </c>
      <c r="K899" s="62">
        <f t="shared" si="1798"/>
        <v>1</v>
      </c>
      <c r="L899" s="62">
        <f t="shared" si="1798"/>
        <v>1</v>
      </c>
      <c r="M899" s="62">
        <f t="shared" si="1798"/>
        <v>1</v>
      </c>
      <c r="N899" s="62">
        <f t="shared" si="1798"/>
        <v>1</v>
      </c>
      <c r="O899" s="62">
        <f t="shared" si="1798"/>
        <v>1</v>
      </c>
      <c r="P899" s="62" t="str">
        <f t="shared" si="1798"/>
        <v/>
      </c>
      <c r="Q899" s="62" t="str">
        <f t="shared" si="1798"/>
        <v/>
      </c>
      <c r="R899" s="62">
        <f t="shared" si="7"/>
        <v>0</v>
      </c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</row>
    <row r="900" hidden="1">
      <c r="A900" s="60">
        <f>IFERROR(__xludf.DUMMYFUNCTION("""COMPUTED_VALUE"""),14341.0)</f>
        <v>14341</v>
      </c>
      <c r="B900" s="60" t="str">
        <f>IFERROR(__xludf.DUMMYFUNCTION("""COMPUTED_VALUE"""),"Parham, Donald")</f>
        <v>Parham, Donald</v>
      </c>
      <c r="C900" s="60" t="str">
        <f>IFERROR(__xludf.DUMMYFUNCTION("""COMPUTED_VALUE"""),"TE")</f>
        <v>TE</v>
      </c>
      <c r="D900" s="60" t="str">
        <f>IFERROR(__xludf.DUMMYFUNCTION("""COMPUTED_VALUE"""),"PIT")</f>
        <v>PIT</v>
      </c>
      <c r="E900" s="62" t="str">
        <f t="shared" si="4"/>
        <v>Donald Parham</v>
      </c>
      <c r="F900" s="62">
        <f t="shared" ref="F900:G900" si="1799">IF(isblank(F$1),,IF(isblank($A900),,IFERROR(vlookup($A900,indirect("'TVC-"&amp;text(month(F$1),"00")&amp;"'!$A:$D"),4,false),1)))</f>
        <v>1</v>
      </c>
      <c r="G900" s="62">
        <f t="shared" si="1799"/>
        <v>1</v>
      </c>
      <c r="H900" s="62">
        <f t="shared" ref="H900:Q900" si="1800">IF(isblank(H$1),,IFERROR(vlookup($A900,indirect("'TVC-"&amp;text(month(H$1),"00")&amp;"'!$A:$D"),4,false),1))</f>
        <v>1</v>
      </c>
      <c r="I900" s="62">
        <f t="shared" si="1800"/>
        <v>1</v>
      </c>
      <c r="J900" s="62">
        <f t="shared" si="1800"/>
        <v>1</v>
      </c>
      <c r="K900" s="62">
        <f t="shared" si="1800"/>
        <v>1</v>
      </c>
      <c r="L900" s="62">
        <f t="shared" si="1800"/>
        <v>1</v>
      </c>
      <c r="M900" s="62">
        <f t="shared" si="1800"/>
        <v>1</v>
      </c>
      <c r="N900" s="62">
        <f t="shared" si="1800"/>
        <v>1</v>
      </c>
      <c r="O900" s="62">
        <f t="shared" si="1800"/>
        <v>1</v>
      </c>
      <c r="P900" s="62" t="str">
        <f t="shared" si="1800"/>
        <v/>
      </c>
      <c r="Q900" s="62" t="str">
        <f t="shared" si="1800"/>
        <v/>
      </c>
      <c r="R900" s="62">
        <f t="shared" si="7"/>
        <v>0</v>
      </c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</row>
    <row r="901" hidden="1">
      <c r="A901" s="60">
        <f>IFERROR(__xludf.DUMMYFUNCTION("""COMPUTED_VALUE"""),14358.0)</f>
        <v>14358</v>
      </c>
      <c r="B901" s="60" t="str">
        <f>IFERROR(__xludf.DUMMYFUNCTION("""COMPUTED_VALUE"""),"Browning, Jake")</f>
        <v>Browning, Jake</v>
      </c>
      <c r="C901" s="60" t="str">
        <f>IFERROR(__xludf.DUMMYFUNCTION("""COMPUTED_VALUE"""),"QB")</f>
        <v>QB</v>
      </c>
      <c r="D901" s="60" t="str">
        <f>IFERROR(__xludf.DUMMYFUNCTION("""COMPUTED_VALUE"""),"LAC")</f>
        <v>LAC</v>
      </c>
      <c r="E901" s="62" t="str">
        <f t="shared" si="4"/>
        <v>Jake Browning</v>
      </c>
      <c r="F901" s="62">
        <f t="shared" ref="F901:G901" si="1801">IF(isblank(F$1),,IF(isblank($A901),,IFERROR(vlookup($A901,indirect("'TVC-"&amp;text(month(F$1),"00")&amp;"'!$A:$D"),4,false),1)))</f>
        <v>778</v>
      </c>
      <c r="G901" s="62">
        <f t="shared" si="1801"/>
        <v>784</v>
      </c>
      <c r="H901" s="62">
        <f t="shared" ref="H901:Q901" si="1802">IF(isblank(H$1),,IFERROR(vlookup($A901,indirect("'TVC-"&amp;text(month(H$1),"00")&amp;"'!$A:$D"),4,false),1))</f>
        <v>821</v>
      </c>
      <c r="I901" s="62">
        <f t="shared" si="1802"/>
        <v>857</v>
      </c>
      <c r="J901" s="62">
        <f t="shared" si="1802"/>
        <v>578</v>
      </c>
      <c r="K901" s="62">
        <f t="shared" si="1802"/>
        <v>1</v>
      </c>
      <c r="L901" s="62">
        <f t="shared" si="1802"/>
        <v>502</v>
      </c>
      <c r="M901" s="62">
        <f t="shared" si="1802"/>
        <v>479</v>
      </c>
      <c r="N901" s="62">
        <f t="shared" si="1802"/>
        <v>1</v>
      </c>
      <c r="O901" s="62">
        <f t="shared" si="1802"/>
        <v>1</v>
      </c>
      <c r="P901" s="62" t="str">
        <f t="shared" si="1802"/>
        <v/>
      </c>
      <c r="Q901" s="62" t="str">
        <f t="shared" si="1802"/>
        <v/>
      </c>
      <c r="R901" s="62">
        <f t="shared" si="7"/>
        <v>0</v>
      </c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</row>
    <row r="902" hidden="1">
      <c r="A902" s="60">
        <f>IFERROR(__xludf.DUMMYFUNCTION("""COMPUTED_VALUE"""),14359.0)</f>
        <v>14359</v>
      </c>
      <c r="B902" s="60" t="str">
        <f>IFERROR(__xludf.DUMMYFUNCTION("""COMPUTED_VALUE"""),"Johnson, Jakob")</f>
        <v>Johnson, Jakob</v>
      </c>
      <c r="C902" s="60" t="str">
        <f>IFERROR(__xludf.DUMMYFUNCTION("""COMPUTED_VALUE"""),"RB")</f>
        <v>RB</v>
      </c>
      <c r="D902" s="60" t="str">
        <f>IFERROR(__xludf.DUMMYFUNCTION("""COMPUTED_VALUE"""),"HOU")</f>
        <v>HOU</v>
      </c>
      <c r="E902" s="62" t="str">
        <f t="shared" si="4"/>
        <v>Jakob Johnson</v>
      </c>
      <c r="F902" s="62">
        <f t="shared" ref="F902:G902" si="1803">IF(isblank(F$1),,IF(isblank($A902),,IFERROR(vlookup($A902,indirect("'TVC-"&amp;text(month(F$1),"00")&amp;"'!$A:$D"),4,false),1)))</f>
        <v>1</v>
      </c>
      <c r="G902" s="62">
        <f t="shared" si="1803"/>
        <v>1</v>
      </c>
      <c r="H902" s="62">
        <f t="shared" ref="H902:Q902" si="1804">IF(isblank(H$1),,IFERROR(vlookup($A902,indirect("'TVC-"&amp;text(month(H$1),"00")&amp;"'!$A:$D"),4,false),1))</f>
        <v>1</v>
      </c>
      <c r="I902" s="62">
        <f t="shared" si="1804"/>
        <v>1</v>
      </c>
      <c r="J902" s="62">
        <f t="shared" si="1804"/>
        <v>1</v>
      </c>
      <c r="K902" s="62">
        <f t="shared" si="1804"/>
        <v>1</v>
      </c>
      <c r="L902" s="62">
        <f t="shared" si="1804"/>
        <v>1</v>
      </c>
      <c r="M902" s="62">
        <f t="shared" si="1804"/>
        <v>1</v>
      </c>
      <c r="N902" s="62">
        <f t="shared" si="1804"/>
        <v>1</v>
      </c>
      <c r="O902" s="62">
        <f t="shared" si="1804"/>
        <v>1</v>
      </c>
      <c r="P902" s="62" t="str">
        <f t="shared" si="1804"/>
        <v/>
      </c>
      <c r="Q902" s="62" t="str">
        <f t="shared" si="1804"/>
        <v/>
      </c>
      <c r="R902" s="62">
        <f t="shared" si="7"/>
        <v>0</v>
      </c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</row>
    <row r="903" hidden="1">
      <c r="A903" s="60">
        <f>IFERROR(__xludf.DUMMYFUNCTION("""COMPUTED_VALUE"""),14370.0)</f>
        <v>14370</v>
      </c>
      <c r="B903" s="60" t="str">
        <f>IFERROR(__xludf.DUMMYFUNCTION("""COMPUTED_VALUE"""),"Hudson, Tanner")</f>
        <v>Hudson, Tanner</v>
      </c>
      <c r="C903" s="60" t="str">
        <f>IFERROR(__xludf.DUMMYFUNCTION("""COMPUTED_VALUE"""),"TE")</f>
        <v>TE</v>
      </c>
      <c r="D903" s="60" t="str">
        <f>IFERROR(__xludf.DUMMYFUNCTION("""COMPUTED_VALUE"""),"CIN")</f>
        <v>CIN</v>
      </c>
      <c r="E903" s="62" t="str">
        <f t="shared" si="4"/>
        <v>Tanner Hudson</v>
      </c>
      <c r="F903" s="62">
        <f t="shared" ref="F903:G903" si="1805">IF(isblank(F$1),,IF(isblank($A903),,IFERROR(vlookup($A903,indirect("'TVC-"&amp;text(month(F$1),"00")&amp;"'!$A:$D"),4,false),1)))</f>
        <v>1</v>
      </c>
      <c r="G903" s="62">
        <f t="shared" si="1805"/>
        <v>1</v>
      </c>
      <c r="H903" s="62">
        <f t="shared" ref="H903:Q903" si="1806">IF(isblank(H$1),,IFERROR(vlookup($A903,indirect("'TVC-"&amp;text(month(H$1),"00")&amp;"'!$A:$D"),4,false),1))</f>
        <v>1</v>
      </c>
      <c r="I903" s="62">
        <f t="shared" si="1806"/>
        <v>1</v>
      </c>
      <c r="J903" s="62">
        <f t="shared" si="1806"/>
        <v>1</v>
      </c>
      <c r="K903" s="62">
        <f t="shared" si="1806"/>
        <v>1</v>
      </c>
      <c r="L903" s="62">
        <f t="shared" si="1806"/>
        <v>1</v>
      </c>
      <c r="M903" s="62">
        <f t="shared" si="1806"/>
        <v>1</v>
      </c>
      <c r="N903" s="62">
        <f t="shared" si="1806"/>
        <v>1</v>
      </c>
      <c r="O903" s="62">
        <f t="shared" si="1806"/>
        <v>1</v>
      </c>
      <c r="P903" s="62" t="str">
        <f t="shared" si="1806"/>
        <v/>
      </c>
      <c r="Q903" s="62" t="str">
        <f t="shared" si="1806"/>
        <v/>
      </c>
      <c r="R903" s="62">
        <f t="shared" si="7"/>
        <v>0</v>
      </c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</row>
    <row r="904" hidden="1">
      <c r="A904" s="60">
        <f>IFERROR(__xludf.DUMMYFUNCTION("""COMPUTED_VALUE"""),14379.0)</f>
        <v>14379</v>
      </c>
      <c r="B904" s="60" t="str">
        <f>IFERROR(__xludf.DUMMYFUNCTION("""COMPUTED_VALUE"""),"Woods, Josh")</f>
        <v>Woods, Josh</v>
      </c>
      <c r="C904" s="60" t="str">
        <f>IFERROR(__xludf.DUMMYFUNCTION("""COMPUTED_VALUE"""),"LB")</f>
        <v>LB</v>
      </c>
      <c r="D904" s="60" t="str">
        <f>IFERROR(__xludf.DUMMYFUNCTION("""COMPUTED_VALUE"""),"ATL")</f>
        <v>ATL</v>
      </c>
      <c r="E904" s="62" t="str">
        <f t="shared" si="4"/>
        <v>Josh Woods</v>
      </c>
      <c r="F904" s="62">
        <f t="shared" ref="F904:G904" si="1807">IF(isblank(F$1),,IF(isblank($A904),,IFERROR(vlookup($A904,indirect("'TVC-"&amp;text(month(F$1),"00")&amp;"'!$A:$D"),4,false),1)))</f>
        <v>1</v>
      </c>
      <c r="G904" s="62">
        <f t="shared" si="1807"/>
        <v>1</v>
      </c>
      <c r="H904" s="62">
        <f t="shared" ref="H904:Q904" si="1808">IF(isblank(H$1),,IFERROR(vlookup($A904,indirect("'TVC-"&amp;text(month(H$1),"00")&amp;"'!$A:$D"),4,false),1))</f>
        <v>1</v>
      </c>
      <c r="I904" s="62">
        <f t="shared" si="1808"/>
        <v>1</v>
      </c>
      <c r="J904" s="62">
        <f t="shared" si="1808"/>
        <v>1</v>
      </c>
      <c r="K904" s="62">
        <f t="shared" si="1808"/>
        <v>1</v>
      </c>
      <c r="L904" s="62">
        <f t="shared" si="1808"/>
        <v>1</v>
      </c>
      <c r="M904" s="62">
        <f t="shared" si="1808"/>
        <v>1</v>
      </c>
      <c r="N904" s="62">
        <f t="shared" si="1808"/>
        <v>1</v>
      </c>
      <c r="O904" s="62">
        <f t="shared" si="1808"/>
        <v>1</v>
      </c>
      <c r="P904" s="62" t="str">
        <f t="shared" si="1808"/>
        <v/>
      </c>
      <c r="Q904" s="62" t="str">
        <f t="shared" si="1808"/>
        <v/>
      </c>
      <c r="R904" s="62">
        <f t="shared" si="7"/>
        <v>0</v>
      </c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</row>
    <row r="905" hidden="1">
      <c r="A905" s="60">
        <f>IFERROR(__xludf.DUMMYFUNCTION("""COMPUTED_VALUE"""),14405.0)</f>
        <v>14405</v>
      </c>
      <c r="B905" s="60" t="str">
        <f>IFERROR(__xludf.DUMMYFUNCTION("""COMPUTED_VALUE"""),"Granderson, Carl")</f>
        <v>Granderson, Carl</v>
      </c>
      <c r="C905" s="60" t="str">
        <f>IFERROR(__xludf.DUMMYFUNCTION("""COMPUTED_VALUE"""),"DE")</f>
        <v>DE</v>
      </c>
      <c r="D905" s="60" t="str">
        <f>IFERROR(__xludf.DUMMYFUNCTION("""COMPUTED_VALUE"""),"NOS")</f>
        <v>NOS</v>
      </c>
      <c r="E905" s="62" t="str">
        <f t="shared" si="4"/>
        <v>Carl Granderson</v>
      </c>
      <c r="F905" s="62">
        <f t="shared" ref="F905:G905" si="1809">IF(isblank(F$1),,IF(isblank($A905),,IFERROR(vlookup($A905,indirect("'TVC-"&amp;text(month(F$1),"00")&amp;"'!$A:$D"),4,false),1)))</f>
        <v>1</v>
      </c>
      <c r="G905" s="62">
        <f t="shared" si="1809"/>
        <v>1</v>
      </c>
      <c r="H905" s="62">
        <f t="shared" ref="H905:Q905" si="1810">IF(isblank(H$1),,IFERROR(vlookup($A905,indirect("'TVC-"&amp;text(month(H$1),"00")&amp;"'!$A:$D"),4,false),1))</f>
        <v>1</v>
      </c>
      <c r="I905" s="62">
        <f t="shared" si="1810"/>
        <v>1</v>
      </c>
      <c r="J905" s="62">
        <f t="shared" si="1810"/>
        <v>1</v>
      </c>
      <c r="K905" s="62">
        <f t="shared" si="1810"/>
        <v>1</v>
      </c>
      <c r="L905" s="62">
        <f t="shared" si="1810"/>
        <v>1</v>
      </c>
      <c r="M905" s="62">
        <f t="shared" si="1810"/>
        <v>1</v>
      </c>
      <c r="N905" s="62">
        <f t="shared" si="1810"/>
        <v>1</v>
      </c>
      <c r="O905" s="62">
        <f t="shared" si="1810"/>
        <v>1</v>
      </c>
      <c r="P905" s="62" t="str">
        <f t="shared" si="1810"/>
        <v/>
      </c>
      <c r="Q905" s="62" t="str">
        <f t="shared" si="1810"/>
        <v/>
      </c>
      <c r="R905" s="62">
        <f t="shared" si="7"/>
        <v>0</v>
      </c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</row>
    <row r="906" hidden="1">
      <c r="A906" s="60">
        <f>IFERROR(__xludf.DUMMYFUNCTION("""COMPUTED_VALUE"""),14412.0)</f>
        <v>14412</v>
      </c>
      <c r="B906" s="60" t="str">
        <f>IFERROR(__xludf.DUMMYFUNCTION("""COMPUTED_VALUE"""),"Singleton, Alex")</f>
        <v>Singleton, Alex</v>
      </c>
      <c r="C906" s="60" t="str">
        <f>IFERROR(__xludf.DUMMYFUNCTION("""COMPUTED_VALUE"""),"LB")</f>
        <v>LB</v>
      </c>
      <c r="D906" s="60" t="str">
        <f>IFERROR(__xludf.DUMMYFUNCTION("""COMPUTED_VALUE"""),"DEN")</f>
        <v>DEN</v>
      </c>
      <c r="E906" s="62" t="str">
        <f t="shared" si="4"/>
        <v>Alex Singleton</v>
      </c>
      <c r="F906" s="62">
        <f t="shared" ref="F906:G906" si="1811">IF(isblank(F$1),,IF(isblank($A906),,IFERROR(vlookup($A906,indirect("'TVC-"&amp;text(month(F$1),"00")&amp;"'!$A:$D"),4,false),1)))</f>
        <v>1</v>
      </c>
      <c r="G906" s="62">
        <f t="shared" si="1811"/>
        <v>1</v>
      </c>
      <c r="H906" s="62">
        <f t="shared" ref="H906:Q906" si="1812">IF(isblank(H$1),,IFERROR(vlookup($A906,indirect("'TVC-"&amp;text(month(H$1),"00")&amp;"'!$A:$D"),4,false),1))</f>
        <v>1</v>
      </c>
      <c r="I906" s="62">
        <f t="shared" si="1812"/>
        <v>1</v>
      </c>
      <c r="J906" s="62">
        <f t="shared" si="1812"/>
        <v>1</v>
      </c>
      <c r="K906" s="62">
        <f t="shared" si="1812"/>
        <v>1</v>
      </c>
      <c r="L906" s="62">
        <f t="shared" si="1812"/>
        <v>1</v>
      </c>
      <c r="M906" s="62">
        <f t="shared" si="1812"/>
        <v>1</v>
      </c>
      <c r="N906" s="62">
        <f t="shared" si="1812"/>
        <v>1</v>
      </c>
      <c r="O906" s="62">
        <f t="shared" si="1812"/>
        <v>1</v>
      </c>
      <c r="P906" s="62" t="str">
        <f t="shared" si="1812"/>
        <v/>
      </c>
      <c r="Q906" s="62" t="str">
        <f t="shared" si="1812"/>
        <v/>
      </c>
      <c r="R906" s="62">
        <f t="shared" si="7"/>
        <v>0</v>
      </c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</row>
    <row r="907" hidden="1">
      <c r="A907" s="60">
        <f>IFERROR(__xludf.DUMMYFUNCTION("""COMPUTED_VALUE"""),14414.0)</f>
        <v>14414</v>
      </c>
      <c r="B907" s="60" t="str">
        <f>IFERROR(__xludf.DUMMYFUNCTION("""COMPUTED_VALUE"""),"Owens, Jonathan")</f>
        <v>Owens, Jonathan</v>
      </c>
      <c r="C907" s="60" t="str">
        <f>IFERROR(__xludf.DUMMYFUNCTION("""COMPUTED_VALUE"""),"S")</f>
        <v>S</v>
      </c>
      <c r="D907" s="60" t="str">
        <f>IFERROR(__xludf.DUMMYFUNCTION("""COMPUTED_VALUE"""),"IND")</f>
        <v>IND</v>
      </c>
      <c r="E907" s="62" t="str">
        <f t="shared" si="4"/>
        <v>Jonathan Owens</v>
      </c>
      <c r="F907" s="62">
        <f t="shared" ref="F907:G907" si="1813">IF(isblank(F$1),,IF(isblank($A907),,IFERROR(vlookup($A907,indirect("'TVC-"&amp;text(month(F$1),"00")&amp;"'!$A:$D"),4,false),1)))</f>
        <v>1</v>
      </c>
      <c r="G907" s="62">
        <f t="shared" si="1813"/>
        <v>1</v>
      </c>
      <c r="H907" s="62">
        <f t="shared" ref="H907:Q907" si="1814">IF(isblank(H$1),,IFERROR(vlookup($A907,indirect("'TVC-"&amp;text(month(H$1),"00")&amp;"'!$A:$D"),4,false),1))</f>
        <v>1</v>
      </c>
      <c r="I907" s="62">
        <f t="shared" si="1814"/>
        <v>1</v>
      </c>
      <c r="J907" s="62">
        <f t="shared" si="1814"/>
        <v>1</v>
      </c>
      <c r="K907" s="62">
        <f t="shared" si="1814"/>
        <v>1</v>
      </c>
      <c r="L907" s="62">
        <f t="shared" si="1814"/>
        <v>1</v>
      </c>
      <c r="M907" s="62">
        <f t="shared" si="1814"/>
        <v>1</v>
      </c>
      <c r="N907" s="62">
        <f t="shared" si="1814"/>
        <v>1</v>
      </c>
      <c r="O907" s="62">
        <f t="shared" si="1814"/>
        <v>1</v>
      </c>
      <c r="P907" s="62" t="str">
        <f t="shared" si="1814"/>
        <v/>
      </c>
      <c r="Q907" s="62" t="str">
        <f t="shared" si="1814"/>
        <v/>
      </c>
      <c r="R907" s="62">
        <f t="shared" si="7"/>
        <v>0</v>
      </c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</row>
    <row r="908" hidden="1">
      <c r="A908" s="60">
        <f>IFERROR(__xludf.DUMMYFUNCTION("""COMPUTED_VALUE"""),14420.0)</f>
        <v>14420</v>
      </c>
      <c r="B908" s="60" t="str">
        <f>IFERROR(__xludf.DUMMYFUNCTION("""COMPUTED_VALUE"""),"Ingold, Alec")</f>
        <v>Ingold, Alec</v>
      </c>
      <c r="C908" s="60" t="str">
        <f>IFERROR(__xludf.DUMMYFUNCTION("""COMPUTED_VALUE"""),"RB")</f>
        <v>RB</v>
      </c>
      <c r="D908" s="60" t="str">
        <f>IFERROR(__xludf.DUMMYFUNCTION("""COMPUTED_VALUE"""),"LAC")</f>
        <v>LAC</v>
      </c>
      <c r="E908" s="62" t="str">
        <f t="shared" si="4"/>
        <v>Alec Ingold</v>
      </c>
      <c r="F908" s="62">
        <f t="shared" ref="F908:G908" si="1815">IF(isblank(F$1),,IF(isblank($A908),,IFERROR(vlookup($A908,indirect("'TVC-"&amp;text(month(F$1),"00")&amp;"'!$A:$D"),4,false),1)))</f>
        <v>1</v>
      </c>
      <c r="G908" s="62">
        <f t="shared" si="1815"/>
        <v>1</v>
      </c>
      <c r="H908" s="62">
        <f t="shared" ref="H908:Q908" si="1816">IF(isblank(H$1),,IFERROR(vlookup($A908,indirect("'TVC-"&amp;text(month(H$1),"00")&amp;"'!$A:$D"),4,false),1))</f>
        <v>1</v>
      </c>
      <c r="I908" s="62">
        <f t="shared" si="1816"/>
        <v>1</v>
      </c>
      <c r="J908" s="62">
        <f t="shared" si="1816"/>
        <v>1</v>
      </c>
      <c r="K908" s="62">
        <f t="shared" si="1816"/>
        <v>1</v>
      </c>
      <c r="L908" s="62">
        <f t="shared" si="1816"/>
        <v>1</v>
      </c>
      <c r="M908" s="62">
        <f t="shared" si="1816"/>
        <v>1</v>
      </c>
      <c r="N908" s="62">
        <f t="shared" si="1816"/>
        <v>1</v>
      </c>
      <c r="O908" s="62">
        <f t="shared" si="1816"/>
        <v>1</v>
      </c>
      <c r="P908" s="62" t="str">
        <f t="shared" si="1816"/>
        <v/>
      </c>
      <c r="Q908" s="62" t="str">
        <f t="shared" si="1816"/>
        <v/>
      </c>
      <c r="R908" s="62">
        <f t="shared" si="7"/>
        <v>0</v>
      </c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</row>
    <row r="909" hidden="1">
      <c r="A909" s="60">
        <f>IFERROR(__xludf.DUMMYFUNCTION("""COMPUTED_VALUE"""),14426.0)</f>
        <v>14426</v>
      </c>
      <c r="B909" s="60" t="str">
        <f>IFERROR(__xludf.DUMMYFUNCTION("""COMPUTED_VALUE"""),"Wright, Matthew")</f>
        <v>Wright, Matthew</v>
      </c>
      <c r="C909" s="60" t="str">
        <f>IFERROR(__xludf.DUMMYFUNCTION("""COMPUTED_VALUE"""),"PK")</f>
        <v>PK</v>
      </c>
      <c r="D909" s="60" t="str">
        <f>IFERROR(__xludf.DUMMYFUNCTION("""COMPUTED_VALUE"""),"BUF")</f>
        <v>BUF</v>
      </c>
      <c r="E909" s="62" t="str">
        <f t="shared" si="4"/>
        <v>Matthew Wright</v>
      </c>
      <c r="F909" s="62">
        <f t="shared" ref="F909:G909" si="1817">IF(isblank(F$1),,IF(isblank($A909),,IFERROR(vlookup($A909,indirect("'TVC-"&amp;text(month(F$1),"00")&amp;"'!$A:$D"),4,false),1)))</f>
        <v>1</v>
      </c>
      <c r="G909" s="62">
        <f t="shared" si="1817"/>
        <v>1</v>
      </c>
      <c r="H909" s="62">
        <f t="shared" ref="H909:Q909" si="1818">IF(isblank(H$1),,IFERROR(vlookup($A909,indirect("'TVC-"&amp;text(month(H$1),"00")&amp;"'!$A:$D"),4,false),1))</f>
        <v>1</v>
      </c>
      <c r="I909" s="62">
        <f t="shared" si="1818"/>
        <v>1</v>
      </c>
      <c r="J909" s="62">
        <f t="shared" si="1818"/>
        <v>1</v>
      </c>
      <c r="K909" s="62">
        <f t="shared" si="1818"/>
        <v>1</v>
      </c>
      <c r="L909" s="62">
        <f t="shared" si="1818"/>
        <v>1</v>
      </c>
      <c r="M909" s="62">
        <f t="shared" si="1818"/>
        <v>1</v>
      </c>
      <c r="N909" s="62">
        <f t="shared" si="1818"/>
        <v>1</v>
      </c>
      <c r="O909" s="62">
        <f t="shared" si="1818"/>
        <v>1</v>
      </c>
      <c r="P909" s="62" t="str">
        <f t="shared" si="1818"/>
        <v/>
      </c>
      <c r="Q909" s="62" t="str">
        <f t="shared" si="1818"/>
        <v/>
      </c>
      <c r="R909" s="62">
        <f t="shared" si="7"/>
        <v>0</v>
      </c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</row>
    <row r="910" hidden="1">
      <c r="A910" s="60">
        <f>IFERROR(__xludf.DUMMYFUNCTION("""COMPUTED_VALUE"""),14434.0)</f>
        <v>14434</v>
      </c>
      <c r="B910" s="60" t="str">
        <f>IFERROR(__xludf.DUMMYFUNCTION("""COMPUTED_VALUE"""),"Reaves, Jeremy")</f>
        <v>Reaves, Jeremy</v>
      </c>
      <c r="C910" s="60" t="str">
        <f>IFERROR(__xludf.DUMMYFUNCTION("""COMPUTED_VALUE"""),"S")</f>
        <v>S</v>
      </c>
      <c r="D910" s="60" t="str">
        <f>IFERROR(__xludf.DUMMYFUNCTION("""COMPUTED_VALUE"""),"WAS")</f>
        <v>WAS</v>
      </c>
      <c r="E910" s="62" t="str">
        <f t="shared" si="4"/>
        <v>Jeremy Reaves</v>
      </c>
      <c r="F910" s="62">
        <f t="shared" ref="F910:G910" si="1819">IF(isblank(F$1),,IF(isblank($A910),,IFERROR(vlookup($A910,indirect("'TVC-"&amp;text(month(F$1),"00")&amp;"'!$A:$D"),4,false),1)))</f>
        <v>1</v>
      </c>
      <c r="G910" s="62">
        <f t="shared" si="1819"/>
        <v>1</v>
      </c>
      <c r="H910" s="62">
        <f t="shared" ref="H910:Q910" si="1820">IF(isblank(H$1),,IFERROR(vlookup($A910,indirect("'TVC-"&amp;text(month(H$1),"00")&amp;"'!$A:$D"),4,false),1))</f>
        <v>1</v>
      </c>
      <c r="I910" s="62">
        <f t="shared" si="1820"/>
        <v>1</v>
      </c>
      <c r="J910" s="62">
        <f t="shared" si="1820"/>
        <v>1</v>
      </c>
      <c r="K910" s="62">
        <f t="shared" si="1820"/>
        <v>1</v>
      </c>
      <c r="L910" s="62">
        <f t="shared" si="1820"/>
        <v>1</v>
      </c>
      <c r="M910" s="62">
        <f t="shared" si="1820"/>
        <v>1</v>
      </c>
      <c r="N910" s="62">
        <f t="shared" si="1820"/>
        <v>1</v>
      </c>
      <c r="O910" s="62">
        <f t="shared" si="1820"/>
        <v>1</v>
      </c>
      <c r="P910" s="62" t="str">
        <f t="shared" si="1820"/>
        <v/>
      </c>
      <c r="Q910" s="62" t="str">
        <f t="shared" si="1820"/>
        <v/>
      </c>
      <c r="R910" s="62">
        <f t="shared" si="7"/>
        <v>0</v>
      </c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</row>
    <row r="911" hidden="1">
      <c r="A911" s="60">
        <f>IFERROR(__xludf.DUMMYFUNCTION("""COMPUTED_VALUE"""),14442.0)</f>
        <v>14442</v>
      </c>
      <c r="B911" s="60" t="str">
        <f>IFERROR(__xludf.DUMMYFUNCTION("""COMPUTED_VALUE"""),"Kuntz, Christian")</f>
        <v>Kuntz, Christian</v>
      </c>
      <c r="C911" s="60" t="str">
        <f>IFERROR(__xludf.DUMMYFUNCTION("""COMPUTED_VALUE"""),"LB")</f>
        <v>LB</v>
      </c>
      <c r="D911" s="60" t="str">
        <f>IFERROR(__xludf.DUMMYFUNCTION("""COMPUTED_VALUE"""),"PIT")</f>
        <v>PIT</v>
      </c>
      <c r="E911" s="62" t="str">
        <f t="shared" si="4"/>
        <v>Christian Kuntz</v>
      </c>
      <c r="F911" s="62">
        <f t="shared" ref="F911:G911" si="1821">IF(isblank(F$1),,IF(isblank($A911),,IFERROR(vlookup($A911,indirect("'TVC-"&amp;text(month(F$1),"00")&amp;"'!$A:$D"),4,false),1)))</f>
        <v>1</v>
      </c>
      <c r="G911" s="62">
        <f t="shared" si="1821"/>
        <v>1</v>
      </c>
      <c r="H911" s="62">
        <f t="shared" ref="H911:Q911" si="1822">IF(isblank(H$1),,IFERROR(vlookup($A911,indirect("'TVC-"&amp;text(month(H$1),"00")&amp;"'!$A:$D"),4,false),1))</f>
        <v>1</v>
      </c>
      <c r="I911" s="62">
        <f t="shared" si="1822"/>
        <v>1</v>
      </c>
      <c r="J911" s="62">
        <f t="shared" si="1822"/>
        <v>1</v>
      </c>
      <c r="K911" s="62">
        <f t="shared" si="1822"/>
        <v>1</v>
      </c>
      <c r="L911" s="62">
        <f t="shared" si="1822"/>
        <v>1</v>
      </c>
      <c r="M911" s="62">
        <f t="shared" si="1822"/>
        <v>1</v>
      </c>
      <c r="N911" s="62">
        <f t="shared" si="1822"/>
        <v>1</v>
      </c>
      <c r="O911" s="62">
        <f t="shared" si="1822"/>
        <v>1</v>
      </c>
      <c r="P911" s="62" t="str">
        <f t="shared" si="1822"/>
        <v/>
      </c>
      <c r="Q911" s="62" t="str">
        <f t="shared" si="1822"/>
        <v/>
      </c>
      <c r="R911" s="62">
        <f t="shared" si="7"/>
        <v>0</v>
      </c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</row>
    <row r="912" hidden="1">
      <c r="A912" s="60">
        <f>IFERROR(__xludf.DUMMYFUNCTION("""COMPUTED_VALUE"""),14452.0)</f>
        <v>14452</v>
      </c>
      <c r="B912" s="60" t="str">
        <f>IFERROR(__xludf.DUMMYFUNCTION("""COMPUTED_VALUE"""),"Lammons, Chris")</f>
        <v>Lammons, Chris</v>
      </c>
      <c r="C912" s="60" t="str">
        <f>IFERROR(__xludf.DUMMYFUNCTION("""COMPUTED_VALUE"""),"CB")</f>
        <v>CB</v>
      </c>
      <c r="D912" s="60" t="str">
        <f>IFERROR(__xludf.DUMMYFUNCTION("""COMPUTED_VALUE"""),"IND")</f>
        <v>IND</v>
      </c>
      <c r="E912" s="62" t="str">
        <f t="shared" si="4"/>
        <v>Chris Lammons</v>
      </c>
      <c r="F912" s="62">
        <f t="shared" ref="F912:G912" si="1823">IF(isblank(F$1),,IF(isblank($A912),,IFERROR(vlookup($A912,indirect("'TVC-"&amp;text(month(F$1),"00")&amp;"'!$A:$D"),4,false),1)))</f>
        <v>1</v>
      </c>
      <c r="G912" s="62">
        <f t="shared" si="1823"/>
        <v>1</v>
      </c>
      <c r="H912" s="62">
        <f t="shared" ref="H912:Q912" si="1824">IF(isblank(H$1),,IFERROR(vlookup($A912,indirect("'TVC-"&amp;text(month(H$1),"00")&amp;"'!$A:$D"),4,false),1))</f>
        <v>1</v>
      </c>
      <c r="I912" s="62">
        <f t="shared" si="1824"/>
        <v>1</v>
      </c>
      <c r="J912" s="62">
        <f t="shared" si="1824"/>
        <v>1</v>
      </c>
      <c r="K912" s="62">
        <f t="shared" si="1824"/>
        <v>1</v>
      </c>
      <c r="L912" s="62">
        <f t="shared" si="1824"/>
        <v>1</v>
      </c>
      <c r="M912" s="62">
        <f t="shared" si="1824"/>
        <v>1</v>
      </c>
      <c r="N912" s="62">
        <f t="shared" si="1824"/>
        <v>1</v>
      </c>
      <c r="O912" s="62">
        <f t="shared" si="1824"/>
        <v>1</v>
      </c>
      <c r="P912" s="62" t="str">
        <f t="shared" si="1824"/>
        <v/>
      </c>
      <c r="Q912" s="62" t="str">
        <f t="shared" si="1824"/>
        <v/>
      </c>
      <c r="R912" s="62">
        <f t="shared" si="7"/>
        <v>0</v>
      </c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</row>
    <row r="913" hidden="1">
      <c r="A913" s="60">
        <f>IFERROR(__xludf.DUMMYFUNCTION("""COMPUTED_VALUE"""),14467.0)</f>
        <v>14467</v>
      </c>
      <c r="B913" s="60" t="str">
        <f>IFERROR(__xludf.DUMMYFUNCTION("""COMPUTED_VALUE"""),"Phillips, Del'Shawn")</f>
        <v>Phillips, Del'Shawn</v>
      </c>
      <c r="C913" s="60" t="str">
        <f>IFERROR(__xludf.DUMMYFUNCTION("""COMPUTED_VALUE"""),"LB")</f>
        <v>LB</v>
      </c>
      <c r="D913" s="60" t="str">
        <f>IFERROR(__xludf.DUMMYFUNCTION("""COMPUTED_VALUE"""),"LAC")</f>
        <v>LAC</v>
      </c>
      <c r="E913" s="62" t="str">
        <f t="shared" si="4"/>
        <v>Del'Shawn Phillips</v>
      </c>
      <c r="F913" s="62">
        <f t="shared" ref="F913:G913" si="1825">IF(isblank(F$1),,IF(isblank($A913),,IFERROR(vlookup($A913,indirect("'TVC-"&amp;text(month(F$1),"00")&amp;"'!$A:$D"),4,false),1)))</f>
        <v>1</v>
      </c>
      <c r="G913" s="62">
        <f t="shared" si="1825"/>
        <v>1</v>
      </c>
      <c r="H913" s="62">
        <f t="shared" ref="H913:Q913" si="1826">IF(isblank(H$1),,IFERROR(vlookup($A913,indirect("'TVC-"&amp;text(month(H$1),"00")&amp;"'!$A:$D"),4,false),1))</f>
        <v>1</v>
      </c>
      <c r="I913" s="62">
        <f t="shared" si="1826"/>
        <v>1</v>
      </c>
      <c r="J913" s="62">
        <f t="shared" si="1826"/>
        <v>1</v>
      </c>
      <c r="K913" s="62">
        <f t="shared" si="1826"/>
        <v>1</v>
      </c>
      <c r="L913" s="62">
        <f t="shared" si="1826"/>
        <v>1</v>
      </c>
      <c r="M913" s="62">
        <f t="shared" si="1826"/>
        <v>1</v>
      </c>
      <c r="N913" s="62">
        <f t="shared" si="1826"/>
        <v>1</v>
      </c>
      <c r="O913" s="62">
        <f t="shared" si="1826"/>
        <v>1</v>
      </c>
      <c r="P913" s="62" t="str">
        <f t="shared" si="1826"/>
        <v/>
      </c>
      <c r="Q913" s="62" t="str">
        <f t="shared" si="1826"/>
        <v/>
      </c>
      <c r="R913" s="62">
        <f t="shared" si="7"/>
        <v>0</v>
      </c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</row>
    <row r="914" hidden="1">
      <c r="A914" s="60">
        <f>IFERROR(__xludf.DUMMYFUNCTION("""COMPUTED_VALUE"""),14472.0)</f>
        <v>14472</v>
      </c>
      <c r="B914" s="60" t="str">
        <f>IFERROR(__xludf.DUMMYFUNCTION("""COMPUTED_VALUE"""),"Dodson, Tyrel")</f>
        <v>Dodson, Tyrel</v>
      </c>
      <c r="C914" s="60" t="str">
        <f>IFERROR(__xludf.DUMMYFUNCTION("""COMPUTED_VALUE"""),"LB")</f>
        <v>LB</v>
      </c>
      <c r="D914" s="60" t="str">
        <f>IFERROR(__xludf.DUMMYFUNCTION("""COMPUTED_VALUE"""),"CAR")</f>
        <v>CAR</v>
      </c>
      <c r="E914" s="62" t="str">
        <f t="shared" si="4"/>
        <v>Tyrel Dodson</v>
      </c>
      <c r="F914" s="62">
        <f t="shared" ref="F914:G914" si="1827">IF(isblank(F$1),,IF(isblank($A914),,IFERROR(vlookup($A914,indirect("'TVC-"&amp;text(month(F$1),"00")&amp;"'!$A:$D"),4,false),1)))</f>
        <v>1</v>
      </c>
      <c r="G914" s="62">
        <f t="shared" si="1827"/>
        <v>1</v>
      </c>
      <c r="H914" s="62">
        <f t="shared" ref="H914:Q914" si="1828">IF(isblank(H$1),,IFERROR(vlookup($A914,indirect("'TVC-"&amp;text(month(H$1),"00")&amp;"'!$A:$D"),4,false),1))</f>
        <v>1</v>
      </c>
      <c r="I914" s="62">
        <f t="shared" si="1828"/>
        <v>1</v>
      </c>
      <c r="J914" s="62">
        <f t="shared" si="1828"/>
        <v>1</v>
      </c>
      <c r="K914" s="62">
        <f t="shared" si="1828"/>
        <v>1</v>
      </c>
      <c r="L914" s="62">
        <f t="shared" si="1828"/>
        <v>1</v>
      </c>
      <c r="M914" s="62">
        <f t="shared" si="1828"/>
        <v>1</v>
      </c>
      <c r="N914" s="62">
        <f t="shared" si="1828"/>
        <v>1</v>
      </c>
      <c r="O914" s="62">
        <f t="shared" si="1828"/>
        <v>1</v>
      </c>
      <c r="P914" s="62" t="str">
        <f t="shared" si="1828"/>
        <v/>
      </c>
      <c r="Q914" s="62" t="str">
        <f t="shared" si="1828"/>
        <v/>
      </c>
      <c r="R914" s="62">
        <f t="shared" si="7"/>
        <v>0</v>
      </c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</row>
    <row r="915" hidden="1">
      <c r="A915" s="60">
        <f>IFERROR(__xludf.DUMMYFUNCTION("""COMPUTED_VALUE"""),14486.0)</f>
        <v>14486</v>
      </c>
      <c r="B915" s="60" t="str">
        <f>IFERROR(__xludf.DUMMYFUNCTION("""COMPUTED_VALUE"""),"Montgomery, D.J.")</f>
        <v>Montgomery, D.J.</v>
      </c>
      <c r="C915" s="60" t="str">
        <f>IFERROR(__xludf.DUMMYFUNCTION("""COMPUTED_VALUE"""),"WR")</f>
        <v>WR</v>
      </c>
      <c r="D915" s="60" t="str">
        <f>IFERROR(__xludf.DUMMYFUNCTION("""COMPUTED_VALUE"""),"IND")</f>
        <v>IND</v>
      </c>
      <c r="E915" s="62" t="str">
        <f t="shared" si="4"/>
        <v>D.J. Montgomery</v>
      </c>
      <c r="F915" s="62">
        <f t="shared" ref="F915:G915" si="1829">IF(isblank(F$1),,IF(isblank($A915),,IFERROR(vlookup($A915,indirect("'TVC-"&amp;text(month(F$1),"00")&amp;"'!$A:$D"),4,false),1)))</f>
        <v>1</v>
      </c>
      <c r="G915" s="62">
        <f t="shared" si="1829"/>
        <v>1</v>
      </c>
      <c r="H915" s="62">
        <f t="shared" ref="H915:Q915" si="1830">IF(isblank(H$1),,IFERROR(vlookup($A915,indirect("'TVC-"&amp;text(month(H$1),"00")&amp;"'!$A:$D"),4,false),1))</f>
        <v>1</v>
      </c>
      <c r="I915" s="62">
        <f t="shared" si="1830"/>
        <v>1</v>
      </c>
      <c r="J915" s="62">
        <f t="shared" si="1830"/>
        <v>1</v>
      </c>
      <c r="K915" s="62">
        <f t="shared" si="1830"/>
        <v>1</v>
      </c>
      <c r="L915" s="62">
        <f t="shared" si="1830"/>
        <v>1</v>
      </c>
      <c r="M915" s="62">
        <f t="shared" si="1830"/>
        <v>1</v>
      </c>
      <c r="N915" s="62">
        <f t="shared" si="1830"/>
        <v>1</v>
      </c>
      <c r="O915" s="62">
        <f t="shared" si="1830"/>
        <v>1</v>
      </c>
      <c r="P915" s="62" t="str">
        <f t="shared" si="1830"/>
        <v/>
      </c>
      <c r="Q915" s="62" t="str">
        <f t="shared" si="1830"/>
        <v/>
      </c>
      <c r="R915" s="62">
        <f t="shared" si="7"/>
        <v>0</v>
      </c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</row>
    <row r="916" hidden="1">
      <c r="A916" s="60">
        <f>IFERROR(__xludf.DUMMYFUNCTION("""COMPUTED_VALUE"""),14489.0)</f>
        <v>14489</v>
      </c>
      <c r="B916" s="60" t="str">
        <f>IFERROR(__xludf.DUMMYFUNCTION("""COMPUTED_VALUE"""),"Gillan, Jamie")</f>
        <v>Gillan, Jamie</v>
      </c>
      <c r="C916" s="60" t="str">
        <f>IFERROR(__xludf.DUMMYFUNCTION("""COMPUTED_VALUE"""),"PN")</f>
        <v>PN</v>
      </c>
      <c r="D916" s="60" t="str">
        <f>IFERROR(__xludf.DUMMYFUNCTION("""COMPUTED_VALUE"""),"FA")</f>
        <v>FA</v>
      </c>
      <c r="E916" s="62" t="str">
        <f t="shared" si="4"/>
        <v>Jamie Gillan</v>
      </c>
      <c r="F916" s="62">
        <f t="shared" ref="F916:G916" si="1831">IF(isblank(F$1),,IF(isblank($A916),,IFERROR(vlookup($A916,indirect("'TVC-"&amp;text(month(F$1),"00")&amp;"'!$A:$D"),4,false),1)))</f>
        <v>1</v>
      </c>
      <c r="G916" s="62">
        <f t="shared" si="1831"/>
        <v>1</v>
      </c>
      <c r="H916" s="62">
        <f t="shared" ref="H916:Q916" si="1832">IF(isblank(H$1),,IFERROR(vlookup($A916,indirect("'TVC-"&amp;text(month(H$1),"00")&amp;"'!$A:$D"),4,false),1))</f>
        <v>1</v>
      </c>
      <c r="I916" s="62">
        <f t="shared" si="1832"/>
        <v>1</v>
      </c>
      <c r="J916" s="62">
        <f t="shared" si="1832"/>
        <v>1</v>
      </c>
      <c r="K916" s="62">
        <f t="shared" si="1832"/>
        <v>1</v>
      </c>
      <c r="L916" s="62">
        <f t="shared" si="1832"/>
        <v>1</v>
      </c>
      <c r="M916" s="62">
        <f t="shared" si="1832"/>
        <v>1</v>
      </c>
      <c r="N916" s="62">
        <f t="shared" si="1832"/>
        <v>1</v>
      </c>
      <c r="O916" s="62">
        <f t="shared" si="1832"/>
        <v>1</v>
      </c>
      <c r="P916" s="62" t="str">
        <f t="shared" si="1832"/>
        <v/>
      </c>
      <c r="Q916" s="62" t="str">
        <f t="shared" si="1832"/>
        <v/>
      </c>
      <c r="R916" s="62">
        <f t="shared" si="7"/>
        <v>0</v>
      </c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</row>
    <row r="917" hidden="1">
      <c r="A917" s="60">
        <f>IFERROR(__xludf.DUMMYFUNCTION("""COMPUTED_VALUE"""),14495.0)</f>
        <v>14495</v>
      </c>
      <c r="B917" s="60" t="str">
        <f>IFERROR(__xludf.DUMMYFUNCTION("""COMPUTED_VALUE"""),"Gifford, Luke")</f>
        <v>Gifford, Luke</v>
      </c>
      <c r="C917" s="60" t="str">
        <f>IFERROR(__xludf.DUMMYFUNCTION("""COMPUTED_VALUE"""),"LB")</f>
        <v>LB</v>
      </c>
      <c r="D917" s="60" t="str">
        <f>IFERROR(__xludf.DUMMYFUNCTION("""COMPUTED_VALUE"""),"SFO")</f>
        <v>SFO</v>
      </c>
      <c r="E917" s="62" t="str">
        <f t="shared" si="4"/>
        <v>Luke Gifford</v>
      </c>
      <c r="F917" s="62">
        <f t="shared" ref="F917:G917" si="1833">IF(isblank(F$1),,IF(isblank($A917),,IFERROR(vlookup($A917,indirect("'TVC-"&amp;text(month(F$1),"00")&amp;"'!$A:$D"),4,false),1)))</f>
        <v>1</v>
      </c>
      <c r="G917" s="62">
        <f t="shared" si="1833"/>
        <v>1</v>
      </c>
      <c r="H917" s="62">
        <f t="shared" ref="H917:Q917" si="1834">IF(isblank(H$1),,IFERROR(vlookup($A917,indirect("'TVC-"&amp;text(month(H$1),"00")&amp;"'!$A:$D"),4,false),1))</f>
        <v>1</v>
      </c>
      <c r="I917" s="62">
        <f t="shared" si="1834"/>
        <v>1</v>
      </c>
      <c r="J917" s="62">
        <f t="shared" si="1834"/>
        <v>1</v>
      </c>
      <c r="K917" s="62">
        <f t="shared" si="1834"/>
        <v>1</v>
      </c>
      <c r="L917" s="62">
        <f t="shared" si="1834"/>
        <v>1</v>
      </c>
      <c r="M917" s="62">
        <f t="shared" si="1834"/>
        <v>1</v>
      </c>
      <c r="N917" s="62">
        <f t="shared" si="1834"/>
        <v>1</v>
      </c>
      <c r="O917" s="62">
        <f t="shared" si="1834"/>
        <v>1</v>
      </c>
      <c r="P917" s="62" t="str">
        <f t="shared" si="1834"/>
        <v/>
      </c>
      <c r="Q917" s="62" t="str">
        <f t="shared" si="1834"/>
        <v/>
      </c>
      <c r="R917" s="62">
        <f t="shared" si="7"/>
        <v>0</v>
      </c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</row>
    <row r="918" hidden="1">
      <c r="A918" s="60">
        <f>IFERROR(__xludf.DUMMYFUNCTION("""COMPUTED_VALUE"""),14503.0)</f>
        <v>14503</v>
      </c>
      <c r="B918" s="60" t="str">
        <f>IFERROR(__xludf.DUMMYFUNCTION("""COMPUTED_VALUE"""),"Kennedy, Tom")</f>
        <v>Kennedy, Tom</v>
      </c>
      <c r="C918" s="60" t="str">
        <f>IFERROR(__xludf.DUMMYFUNCTION("""COMPUTED_VALUE"""),"WR")</f>
        <v>WR</v>
      </c>
      <c r="D918" s="60" t="str">
        <f>IFERROR(__xludf.DUMMYFUNCTION("""COMPUTED_VALUE"""),"DET")</f>
        <v>DET</v>
      </c>
      <c r="E918" s="62" t="str">
        <f t="shared" si="4"/>
        <v>Tom Kennedy</v>
      </c>
      <c r="F918" s="62">
        <f t="shared" ref="F918:G918" si="1835">IF(isblank(F$1),,IF(isblank($A918),,IFERROR(vlookup($A918,indirect("'TVC-"&amp;text(month(F$1),"00")&amp;"'!$A:$D"),4,false),1)))</f>
        <v>1</v>
      </c>
      <c r="G918" s="62">
        <f t="shared" si="1835"/>
        <v>1</v>
      </c>
      <c r="H918" s="62">
        <f t="shared" ref="H918:Q918" si="1836">IF(isblank(H$1),,IFERROR(vlookup($A918,indirect("'TVC-"&amp;text(month(H$1),"00")&amp;"'!$A:$D"),4,false),1))</f>
        <v>1</v>
      </c>
      <c r="I918" s="62">
        <f t="shared" si="1836"/>
        <v>1</v>
      </c>
      <c r="J918" s="62">
        <f t="shared" si="1836"/>
        <v>1</v>
      </c>
      <c r="K918" s="62">
        <f t="shared" si="1836"/>
        <v>1</v>
      </c>
      <c r="L918" s="62">
        <f t="shared" si="1836"/>
        <v>1</v>
      </c>
      <c r="M918" s="62">
        <f t="shared" si="1836"/>
        <v>1</v>
      </c>
      <c r="N918" s="62">
        <f t="shared" si="1836"/>
        <v>1</v>
      </c>
      <c r="O918" s="62">
        <f t="shared" si="1836"/>
        <v>1</v>
      </c>
      <c r="P918" s="62" t="str">
        <f t="shared" si="1836"/>
        <v/>
      </c>
      <c r="Q918" s="62" t="str">
        <f t="shared" si="1836"/>
        <v/>
      </c>
      <c r="R918" s="62">
        <f t="shared" si="7"/>
        <v>0</v>
      </c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</row>
    <row r="919" hidden="1">
      <c r="A919" s="60">
        <f>IFERROR(__xludf.DUMMYFUNCTION("""COMPUTED_VALUE"""),14506.0)</f>
        <v>14506</v>
      </c>
      <c r="B919" s="60" t="str">
        <f>IFERROR(__xludf.DUMMYFUNCTION("""COMPUTED_VALUE"""),"Pittman, Anthony")</f>
        <v>Pittman, Anthony</v>
      </c>
      <c r="C919" s="60" t="str">
        <f>IFERROR(__xludf.DUMMYFUNCTION("""COMPUTED_VALUE"""),"LB")</f>
        <v>LB</v>
      </c>
      <c r="D919" s="60" t="str">
        <f>IFERROR(__xludf.DUMMYFUNCTION("""COMPUTED_VALUE"""),"DET")</f>
        <v>DET</v>
      </c>
      <c r="E919" s="62" t="str">
        <f t="shared" si="4"/>
        <v>Anthony Pittman</v>
      </c>
      <c r="F919" s="62">
        <f t="shared" ref="F919:G919" si="1837">IF(isblank(F$1),,IF(isblank($A919),,IFERROR(vlookup($A919,indirect("'TVC-"&amp;text(month(F$1),"00")&amp;"'!$A:$D"),4,false),1)))</f>
        <v>1</v>
      </c>
      <c r="G919" s="62">
        <f t="shared" si="1837"/>
        <v>1</v>
      </c>
      <c r="H919" s="62">
        <f t="shared" ref="H919:Q919" si="1838">IF(isblank(H$1),,IFERROR(vlookup($A919,indirect("'TVC-"&amp;text(month(H$1),"00")&amp;"'!$A:$D"),4,false),1))</f>
        <v>1</v>
      </c>
      <c r="I919" s="62">
        <f t="shared" si="1838"/>
        <v>1</v>
      </c>
      <c r="J919" s="62">
        <f t="shared" si="1838"/>
        <v>1</v>
      </c>
      <c r="K919" s="62">
        <f t="shared" si="1838"/>
        <v>1</v>
      </c>
      <c r="L919" s="62">
        <f t="shared" si="1838"/>
        <v>1</v>
      </c>
      <c r="M919" s="62">
        <f t="shared" si="1838"/>
        <v>1</v>
      </c>
      <c r="N919" s="62">
        <f t="shared" si="1838"/>
        <v>1</v>
      </c>
      <c r="O919" s="62">
        <f t="shared" si="1838"/>
        <v>1</v>
      </c>
      <c r="P919" s="62" t="str">
        <f t="shared" si="1838"/>
        <v/>
      </c>
      <c r="Q919" s="62" t="str">
        <f t="shared" si="1838"/>
        <v/>
      </c>
      <c r="R919" s="62">
        <f t="shared" si="7"/>
        <v>0</v>
      </c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</row>
    <row r="920">
      <c r="A920" s="60">
        <f>IFERROR(__xludf.DUMMYFUNCTION("""COMPUTED_VALUE"""),14518.0)</f>
        <v>14518</v>
      </c>
      <c r="B920" s="60" t="str">
        <f>IFERROR(__xludf.DUMMYFUNCTION("""COMPUTED_VALUE"""),"Thompson, Jalen")</f>
        <v>Thompson, Jalen</v>
      </c>
      <c r="C920" s="60" t="str">
        <f>IFERROR(__xludf.DUMMYFUNCTION("""COMPUTED_VALUE"""),"S")</f>
        <v>S</v>
      </c>
      <c r="D920" s="60" t="str">
        <f>IFERROR(__xludf.DUMMYFUNCTION("""COMPUTED_VALUE"""),"DAL")</f>
        <v>DAL</v>
      </c>
      <c r="E920" s="62" t="str">
        <f t="shared" si="4"/>
        <v>Jalen Thompson</v>
      </c>
      <c r="F920" s="62">
        <f t="shared" ref="F920:G920" si="1839">IF(isblank(F$1),,IF(isblank($A920),,IFERROR(vlookup($A920,indirect("'TVC-"&amp;text(month(F$1),"00")&amp;"'!$A:$D"),4,false),1)))</f>
        <v>1</v>
      </c>
      <c r="G920" s="62">
        <f t="shared" si="1839"/>
        <v>1</v>
      </c>
      <c r="H920" s="62">
        <f t="shared" ref="H920:Q920" si="1840">IF(isblank(H$1),,IFERROR(vlookup($A920,indirect("'TVC-"&amp;text(month(H$1),"00")&amp;"'!$A:$D"),4,false),1))</f>
        <v>1</v>
      </c>
      <c r="I920" s="62">
        <f t="shared" si="1840"/>
        <v>1</v>
      </c>
      <c r="J920" s="62">
        <f t="shared" si="1840"/>
        <v>1</v>
      </c>
      <c r="K920" s="62">
        <f t="shared" si="1840"/>
        <v>1</v>
      </c>
      <c r="L920" s="62">
        <f t="shared" si="1840"/>
        <v>1</v>
      </c>
      <c r="M920" s="62">
        <f t="shared" si="1840"/>
        <v>1</v>
      </c>
      <c r="N920" s="62">
        <f t="shared" si="1840"/>
        <v>1</v>
      </c>
      <c r="O920" s="62">
        <f t="shared" si="1840"/>
        <v>1</v>
      </c>
      <c r="P920" s="62" t="str">
        <f t="shared" si="1840"/>
        <v/>
      </c>
      <c r="Q920" s="62" t="str">
        <f t="shared" si="1840"/>
        <v/>
      </c>
      <c r="R920" s="62">
        <f t="shared" si="7"/>
        <v>0</v>
      </c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</row>
    <row r="921" hidden="1">
      <c r="A921" s="60">
        <f>IFERROR(__xludf.DUMMYFUNCTION("""COMPUTED_VALUE"""),14548.0)</f>
        <v>14548</v>
      </c>
      <c r="B921" s="60" t="str">
        <f>IFERROR(__xludf.DUMMYFUNCTION("""COMPUTED_VALUE"""),"Bachman, Alex")</f>
        <v>Bachman, Alex</v>
      </c>
      <c r="C921" s="60" t="str">
        <f>IFERROR(__xludf.DUMMYFUNCTION("""COMPUTED_VALUE"""),"WR")</f>
        <v>WR</v>
      </c>
      <c r="D921" s="60" t="str">
        <f>IFERROR(__xludf.DUMMYFUNCTION("""COMPUTED_VALUE"""),"LAR")</f>
        <v>LAR</v>
      </c>
      <c r="E921" s="62" t="str">
        <f t="shared" si="4"/>
        <v>Alex Bachman</v>
      </c>
      <c r="F921" s="62">
        <f t="shared" ref="F921:G921" si="1841">IF(isblank(F$1),,IF(isblank($A921),,IFERROR(vlookup($A921,indirect("'TVC-"&amp;text(month(F$1),"00")&amp;"'!$A:$D"),4,false),1)))</f>
        <v>1</v>
      </c>
      <c r="G921" s="62">
        <f t="shared" si="1841"/>
        <v>1</v>
      </c>
      <c r="H921" s="62">
        <f t="shared" ref="H921:Q921" si="1842">IF(isblank(H$1),,IFERROR(vlookup($A921,indirect("'TVC-"&amp;text(month(H$1),"00")&amp;"'!$A:$D"),4,false),1))</f>
        <v>1</v>
      </c>
      <c r="I921" s="62">
        <f t="shared" si="1842"/>
        <v>1</v>
      </c>
      <c r="J921" s="62">
        <f t="shared" si="1842"/>
        <v>1</v>
      </c>
      <c r="K921" s="62">
        <f t="shared" si="1842"/>
        <v>1</v>
      </c>
      <c r="L921" s="62">
        <f t="shared" si="1842"/>
        <v>1</v>
      </c>
      <c r="M921" s="62">
        <f t="shared" si="1842"/>
        <v>1</v>
      </c>
      <c r="N921" s="62">
        <f t="shared" si="1842"/>
        <v>1</v>
      </c>
      <c r="O921" s="62">
        <f t="shared" si="1842"/>
        <v>1</v>
      </c>
      <c r="P921" s="62" t="str">
        <f t="shared" si="1842"/>
        <v/>
      </c>
      <c r="Q921" s="62" t="str">
        <f t="shared" si="1842"/>
        <v/>
      </c>
      <c r="R921" s="62">
        <f t="shared" si="7"/>
        <v>0</v>
      </c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</row>
    <row r="922" hidden="1">
      <c r="A922" s="60">
        <f>IFERROR(__xludf.DUMMYFUNCTION("""COMPUTED_VALUE"""),14555.0)</f>
        <v>14555</v>
      </c>
      <c r="B922" s="60" t="str">
        <f>IFERROR(__xludf.DUMMYFUNCTION("""COMPUTED_VALUE"""),"Olszewski, Gunner")</f>
        <v>Olszewski, Gunner</v>
      </c>
      <c r="C922" s="60" t="str">
        <f>IFERROR(__xludf.DUMMYFUNCTION("""COMPUTED_VALUE"""),"WR")</f>
        <v>WR</v>
      </c>
      <c r="D922" s="60" t="str">
        <f>IFERROR(__xludf.DUMMYFUNCTION("""COMPUTED_VALUE"""),"NYG")</f>
        <v>NYG</v>
      </c>
      <c r="E922" s="62" t="str">
        <f t="shared" si="4"/>
        <v>Gunner Olszewski</v>
      </c>
      <c r="F922" s="62">
        <f t="shared" ref="F922:G922" si="1843">IF(isblank(F$1),,IF(isblank($A922),,IFERROR(vlookup($A922,indirect("'TVC-"&amp;text(month(F$1),"00")&amp;"'!$A:$D"),4,false),1)))</f>
        <v>1</v>
      </c>
      <c r="G922" s="62">
        <f t="shared" si="1843"/>
        <v>1</v>
      </c>
      <c r="H922" s="62">
        <f t="shared" ref="H922:Q922" si="1844">IF(isblank(H$1),,IFERROR(vlookup($A922,indirect("'TVC-"&amp;text(month(H$1),"00")&amp;"'!$A:$D"),4,false),1))</f>
        <v>1</v>
      </c>
      <c r="I922" s="62">
        <f t="shared" si="1844"/>
        <v>1</v>
      </c>
      <c r="J922" s="62">
        <f t="shared" si="1844"/>
        <v>1</v>
      </c>
      <c r="K922" s="62">
        <f t="shared" si="1844"/>
        <v>1</v>
      </c>
      <c r="L922" s="62">
        <f t="shared" si="1844"/>
        <v>1</v>
      </c>
      <c r="M922" s="62">
        <f t="shared" si="1844"/>
        <v>1</v>
      </c>
      <c r="N922" s="62">
        <f t="shared" si="1844"/>
        <v>1</v>
      </c>
      <c r="O922" s="62">
        <f t="shared" si="1844"/>
        <v>1</v>
      </c>
      <c r="P922" s="62" t="str">
        <f t="shared" si="1844"/>
        <v/>
      </c>
      <c r="Q922" s="62" t="str">
        <f t="shared" si="1844"/>
        <v/>
      </c>
      <c r="R922" s="62">
        <f t="shared" si="7"/>
        <v>0</v>
      </c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</row>
    <row r="923" hidden="1">
      <c r="A923" s="60">
        <f>IFERROR(__xludf.DUMMYFUNCTION("""COMPUTED_VALUE"""),14590.0)</f>
        <v>14590</v>
      </c>
      <c r="B923" s="60" t="str">
        <f>IFERROR(__xludf.DUMMYFUNCTION("""COMPUTED_VALUE"""),"Al-Shaair, Azeez")</f>
        <v>Al-Shaair, Azeez</v>
      </c>
      <c r="C923" s="60" t="str">
        <f>IFERROR(__xludf.DUMMYFUNCTION("""COMPUTED_VALUE"""),"LB")</f>
        <v>LB</v>
      </c>
      <c r="D923" s="60" t="str">
        <f>IFERROR(__xludf.DUMMYFUNCTION("""COMPUTED_VALUE"""),"HOU")</f>
        <v>HOU</v>
      </c>
      <c r="E923" s="62" t="str">
        <f t="shared" si="4"/>
        <v>Azeez Al-Shaair</v>
      </c>
      <c r="F923" s="62">
        <f t="shared" ref="F923:G923" si="1845">IF(isblank(F$1),,IF(isblank($A923),,IFERROR(vlookup($A923,indirect("'TVC-"&amp;text(month(F$1),"00")&amp;"'!$A:$D"),4,false),1)))</f>
        <v>1</v>
      </c>
      <c r="G923" s="62">
        <f t="shared" si="1845"/>
        <v>1</v>
      </c>
      <c r="H923" s="62">
        <f t="shared" ref="H923:Q923" si="1846">IF(isblank(H$1),,IFERROR(vlookup($A923,indirect("'TVC-"&amp;text(month(H$1),"00")&amp;"'!$A:$D"),4,false),1))</f>
        <v>1</v>
      </c>
      <c r="I923" s="62">
        <f t="shared" si="1846"/>
        <v>1</v>
      </c>
      <c r="J923" s="62">
        <f t="shared" si="1846"/>
        <v>1</v>
      </c>
      <c r="K923" s="62">
        <f t="shared" si="1846"/>
        <v>1</v>
      </c>
      <c r="L923" s="62">
        <f t="shared" si="1846"/>
        <v>1</v>
      </c>
      <c r="M923" s="62">
        <f t="shared" si="1846"/>
        <v>1</v>
      </c>
      <c r="N923" s="62">
        <f t="shared" si="1846"/>
        <v>1</v>
      </c>
      <c r="O923" s="62">
        <f t="shared" si="1846"/>
        <v>1</v>
      </c>
      <c r="P923" s="62" t="str">
        <f t="shared" si="1846"/>
        <v/>
      </c>
      <c r="Q923" s="62" t="str">
        <f t="shared" si="1846"/>
        <v/>
      </c>
      <c r="R923" s="62">
        <f t="shared" si="7"/>
        <v>0</v>
      </c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</row>
    <row r="924" hidden="1">
      <c r="A924" s="60">
        <f>IFERROR(__xludf.DUMMYFUNCTION("""COMPUTED_VALUE"""),14592.0)</f>
        <v>14592</v>
      </c>
      <c r="B924" s="60" t="str">
        <f>IFERROR(__xludf.DUMMYFUNCTION("""COMPUTED_VALUE"""),"Zaccheaus, Olamide")</f>
        <v>Zaccheaus, Olamide</v>
      </c>
      <c r="C924" s="60" t="str">
        <f>IFERROR(__xludf.DUMMYFUNCTION("""COMPUTED_VALUE"""),"WR")</f>
        <v>WR</v>
      </c>
      <c r="D924" s="60" t="str">
        <f>IFERROR(__xludf.DUMMYFUNCTION("""COMPUTED_VALUE"""),"ATL")</f>
        <v>ATL</v>
      </c>
      <c r="E924" s="62" t="str">
        <f t="shared" si="4"/>
        <v>Olamide Zaccheaus</v>
      </c>
      <c r="F924" s="62">
        <f t="shared" ref="F924:G924" si="1847">IF(isblank(F$1),,IF(isblank($A924),,IFERROR(vlookup($A924,indirect("'TVC-"&amp;text(month(F$1),"00")&amp;"'!$A:$D"),4,false),1)))</f>
        <v>1327</v>
      </c>
      <c r="G924" s="62">
        <f t="shared" si="1847"/>
        <v>1276</v>
      </c>
      <c r="H924" s="62">
        <f t="shared" ref="H924:Q924" si="1848">IF(isblank(H$1),,IFERROR(vlookup($A924,indirect("'TVC-"&amp;text(month(H$1),"00")&amp;"'!$A:$D"),4,false),1))</f>
        <v>1257</v>
      </c>
      <c r="I924" s="62">
        <f t="shared" si="1848"/>
        <v>1422</v>
      </c>
      <c r="J924" s="62">
        <f t="shared" si="1848"/>
        <v>1257</v>
      </c>
      <c r="K924" s="62">
        <f t="shared" si="1848"/>
        <v>1278</v>
      </c>
      <c r="L924" s="62">
        <f t="shared" si="1848"/>
        <v>1256</v>
      </c>
      <c r="M924" s="62">
        <f t="shared" si="1848"/>
        <v>1255</v>
      </c>
      <c r="N924" s="62">
        <f t="shared" si="1848"/>
        <v>1160</v>
      </c>
      <c r="O924" s="62">
        <f t="shared" si="1848"/>
        <v>1</v>
      </c>
      <c r="P924" s="62" t="str">
        <f t="shared" si="1848"/>
        <v/>
      </c>
      <c r="Q924" s="62" t="str">
        <f t="shared" si="1848"/>
        <v/>
      </c>
      <c r="R924" s="62">
        <f t="shared" si="7"/>
        <v>-1159</v>
      </c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</row>
    <row r="925" hidden="1">
      <c r="A925" s="60">
        <f>IFERROR(__xludf.DUMMYFUNCTION("""COMPUTED_VALUE"""),14600.0)</f>
        <v>14600</v>
      </c>
      <c r="B925" s="60" t="str">
        <f>IFERROR(__xludf.DUMMYFUNCTION("""COMPUTED_VALUE"""),"Slye, Joey")</f>
        <v>Slye, Joey</v>
      </c>
      <c r="C925" s="60" t="str">
        <f>IFERROR(__xludf.DUMMYFUNCTION("""COMPUTED_VALUE"""),"PK")</f>
        <v>PK</v>
      </c>
      <c r="D925" s="60" t="str">
        <f>IFERROR(__xludf.DUMMYFUNCTION("""COMPUTED_VALUE"""),"TEN")</f>
        <v>TEN</v>
      </c>
      <c r="E925" s="62" t="str">
        <f t="shared" si="4"/>
        <v>Joey Slye</v>
      </c>
      <c r="F925" s="62">
        <f t="shared" ref="F925:G925" si="1849">IF(isblank(F$1),,IF(isblank($A925),,IFERROR(vlookup($A925,indirect("'TVC-"&amp;text(month(F$1),"00")&amp;"'!$A:$D"),4,false),1)))</f>
        <v>1</v>
      </c>
      <c r="G925" s="62">
        <f t="shared" si="1849"/>
        <v>1</v>
      </c>
      <c r="H925" s="62">
        <f t="shared" ref="H925:Q925" si="1850">IF(isblank(H$1),,IFERROR(vlookup($A925,indirect("'TVC-"&amp;text(month(H$1),"00")&amp;"'!$A:$D"),4,false),1))</f>
        <v>1</v>
      </c>
      <c r="I925" s="62">
        <f t="shared" si="1850"/>
        <v>1</v>
      </c>
      <c r="J925" s="62">
        <f t="shared" si="1850"/>
        <v>1</v>
      </c>
      <c r="K925" s="62">
        <f t="shared" si="1850"/>
        <v>1</v>
      </c>
      <c r="L925" s="62">
        <f t="shared" si="1850"/>
        <v>1</v>
      </c>
      <c r="M925" s="62">
        <f t="shared" si="1850"/>
        <v>1</v>
      </c>
      <c r="N925" s="62">
        <f t="shared" si="1850"/>
        <v>1</v>
      </c>
      <c r="O925" s="62">
        <f t="shared" si="1850"/>
        <v>1</v>
      </c>
      <c r="P925" s="62" t="str">
        <f t="shared" si="1850"/>
        <v/>
      </c>
      <c r="Q925" s="62" t="str">
        <f t="shared" si="1850"/>
        <v/>
      </c>
      <c r="R925" s="62">
        <f t="shared" si="7"/>
        <v>0</v>
      </c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</row>
    <row r="926" hidden="1">
      <c r="A926" s="60">
        <f>IFERROR(__xludf.DUMMYFUNCTION("""COMPUTED_VALUE"""),14613.0)</f>
        <v>14613</v>
      </c>
      <c r="B926" s="60" t="str">
        <f>IFERROR(__xludf.DUMMYFUNCTION("""COMPUTED_VALUE"""),"Sims, Steven")</f>
        <v>Sims, Steven</v>
      </c>
      <c r="C926" s="60" t="str">
        <f>IFERROR(__xludf.DUMMYFUNCTION("""COMPUTED_VALUE"""),"WR")</f>
        <v>WR</v>
      </c>
      <c r="D926" s="60" t="str">
        <f>IFERROR(__xludf.DUMMYFUNCTION("""COMPUTED_VALUE"""),"ARI")</f>
        <v>ARI</v>
      </c>
      <c r="E926" s="62" t="str">
        <f t="shared" si="4"/>
        <v>Steven Sims</v>
      </c>
      <c r="F926" s="62">
        <f t="shared" ref="F926:G926" si="1851">IF(isblank(F$1),,IF(isblank($A926),,IFERROR(vlookup($A926,indirect("'TVC-"&amp;text(month(F$1),"00")&amp;"'!$A:$D"),4,false),1)))</f>
        <v>1</v>
      </c>
      <c r="G926" s="62">
        <f t="shared" si="1851"/>
        <v>1</v>
      </c>
      <c r="H926" s="62">
        <f t="shared" ref="H926:Q926" si="1852">IF(isblank(H$1),,IFERROR(vlookup($A926,indirect("'TVC-"&amp;text(month(H$1),"00")&amp;"'!$A:$D"),4,false),1))</f>
        <v>1</v>
      </c>
      <c r="I926" s="62">
        <f t="shared" si="1852"/>
        <v>1</v>
      </c>
      <c r="J926" s="62">
        <f t="shared" si="1852"/>
        <v>1</v>
      </c>
      <c r="K926" s="62">
        <f t="shared" si="1852"/>
        <v>1</v>
      </c>
      <c r="L926" s="62">
        <f t="shared" si="1852"/>
        <v>1</v>
      </c>
      <c r="M926" s="62">
        <f t="shared" si="1852"/>
        <v>1</v>
      </c>
      <c r="N926" s="62">
        <f t="shared" si="1852"/>
        <v>1</v>
      </c>
      <c r="O926" s="62">
        <f t="shared" si="1852"/>
        <v>1</v>
      </c>
      <c r="P926" s="62" t="str">
        <f t="shared" si="1852"/>
        <v/>
      </c>
      <c r="Q926" s="62" t="str">
        <f t="shared" si="1852"/>
        <v/>
      </c>
      <c r="R926" s="62">
        <f t="shared" si="7"/>
        <v>0</v>
      </c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</row>
    <row r="927" hidden="1">
      <c r="A927" s="60">
        <f>IFERROR(__xludf.DUMMYFUNCTION("""COMPUTED_VALUE"""),14630.0)</f>
        <v>14630</v>
      </c>
      <c r="B927" s="60" t="str">
        <f>IFERROR(__xludf.DUMMYFUNCTION("""COMPUTED_VALUE"""),"Cole, A.J.")</f>
        <v>Cole, A.J.</v>
      </c>
      <c r="C927" s="60" t="str">
        <f>IFERROR(__xludf.DUMMYFUNCTION("""COMPUTED_VALUE"""),"PN")</f>
        <v>PN</v>
      </c>
      <c r="D927" s="60" t="str">
        <f>IFERROR(__xludf.DUMMYFUNCTION("""COMPUTED_VALUE"""),"LVR")</f>
        <v>LVR</v>
      </c>
      <c r="E927" s="62" t="str">
        <f t="shared" si="4"/>
        <v>A.J. Cole</v>
      </c>
      <c r="F927" s="62">
        <f t="shared" ref="F927:G927" si="1853">IF(isblank(F$1),,IF(isblank($A927),,IFERROR(vlookup($A927,indirect("'TVC-"&amp;text(month(F$1),"00")&amp;"'!$A:$D"),4,false),1)))</f>
        <v>1</v>
      </c>
      <c r="G927" s="62">
        <f t="shared" si="1853"/>
        <v>1</v>
      </c>
      <c r="H927" s="62">
        <f t="shared" ref="H927:Q927" si="1854">IF(isblank(H$1),,IFERROR(vlookup($A927,indirect("'TVC-"&amp;text(month(H$1),"00")&amp;"'!$A:$D"),4,false),1))</f>
        <v>1</v>
      </c>
      <c r="I927" s="62">
        <f t="shared" si="1854"/>
        <v>1</v>
      </c>
      <c r="J927" s="62">
        <f t="shared" si="1854"/>
        <v>1</v>
      </c>
      <c r="K927" s="62">
        <f t="shared" si="1854"/>
        <v>1</v>
      </c>
      <c r="L927" s="62">
        <f t="shared" si="1854"/>
        <v>1</v>
      </c>
      <c r="M927" s="62">
        <f t="shared" si="1854"/>
        <v>1</v>
      </c>
      <c r="N927" s="62">
        <f t="shared" si="1854"/>
        <v>1</v>
      </c>
      <c r="O927" s="62">
        <f t="shared" si="1854"/>
        <v>1</v>
      </c>
      <c r="P927" s="62" t="str">
        <f t="shared" si="1854"/>
        <v/>
      </c>
      <c r="Q927" s="62" t="str">
        <f t="shared" si="1854"/>
        <v/>
      </c>
      <c r="R927" s="62">
        <f t="shared" si="7"/>
        <v>0</v>
      </c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</row>
    <row r="928" hidden="1">
      <c r="A928" s="60">
        <f>IFERROR(__xludf.DUMMYFUNCTION("""COMPUTED_VALUE"""),14652.0)</f>
        <v>14652</v>
      </c>
      <c r="B928" s="60" t="str">
        <f>IFERROR(__xludf.DUMMYFUNCTION("""COMPUTED_VALUE"""),"Givens, Kevin")</f>
        <v>Givens, Kevin</v>
      </c>
      <c r="C928" s="60" t="str">
        <f>IFERROR(__xludf.DUMMYFUNCTION("""COMPUTED_VALUE"""),"DT")</f>
        <v>DT</v>
      </c>
      <c r="D928" s="60" t="str">
        <f>IFERROR(__xludf.DUMMYFUNCTION("""COMPUTED_VALUE"""),"SFO")</f>
        <v>SFO</v>
      </c>
      <c r="E928" s="62" t="str">
        <f t="shared" si="4"/>
        <v>Kevin Givens</v>
      </c>
      <c r="F928" s="62">
        <f t="shared" ref="F928:G928" si="1855">IF(isblank(F$1),,IF(isblank($A928),,IFERROR(vlookup($A928,indirect("'TVC-"&amp;text(month(F$1),"00")&amp;"'!$A:$D"),4,false),1)))</f>
        <v>1</v>
      </c>
      <c r="G928" s="62">
        <f t="shared" si="1855"/>
        <v>1</v>
      </c>
      <c r="H928" s="62">
        <f t="shared" ref="H928:Q928" si="1856">IF(isblank(H$1),,IFERROR(vlookup($A928,indirect("'TVC-"&amp;text(month(H$1),"00")&amp;"'!$A:$D"),4,false),1))</f>
        <v>1</v>
      </c>
      <c r="I928" s="62">
        <f t="shared" si="1856"/>
        <v>1</v>
      </c>
      <c r="J928" s="62">
        <f t="shared" si="1856"/>
        <v>1</v>
      </c>
      <c r="K928" s="62">
        <f t="shared" si="1856"/>
        <v>1</v>
      </c>
      <c r="L928" s="62">
        <f t="shared" si="1856"/>
        <v>1</v>
      </c>
      <c r="M928" s="62">
        <f t="shared" si="1856"/>
        <v>1</v>
      </c>
      <c r="N928" s="62">
        <f t="shared" si="1856"/>
        <v>1</v>
      </c>
      <c r="O928" s="62">
        <f t="shared" si="1856"/>
        <v>1</v>
      </c>
      <c r="P928" s="62" t="str">
        <f t="shared" si="1856"/>
        <v/>
      </c>
      <c r="Q928" s="62" t="str">
        <f t="shared" si="1856"/>
        <v/>
      </c>
      <c r="R928" s="62">
        <f t="shared" si="7"/>
        <v>0</v>
      </c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</row>
    <row r="929" hidden="1">
      <c r="A929" s="60">
        <f>IFERROR(__xludf.DUMMYFUNCTION("""COMPUTED_VALUE"""),14669.0)</f>
        <v>14669</v>
      </c>
      <c r="B929" s="60" t="str">
        <f>IFERROR(__xludf.DUMMYFUNCTION("""COMPUTED_VALUE"""),"Nixon, Keisean")</f>
        <v>Nixon, Keisean</v>
      </c>
      <c r="C929" s="60" t="str">
        <f>IFERROR(__xludf.DUMMYFUNCTION("""COMPUTED_VALUE"""),"CB")</f>
        <v>CB</v>
      </c>
      <c r="D929" s="60" t="str">
        <f>IFERROR(__xludf.DUMMYFUNCTION("""COMPUTED_VALUE"""),"GBP")</f>
        <v>GBP</v>
      </c>
      <c r="E929" s="62" t="str">
        <f t="shared" si="4"/>
        <v>Keisean Nixon</v>
      </c>
      <c r="F929" s="62">
        <f t="shared" ref="F929:G929" si="1857">IF(isblank(F$1),,IF(isblank($A929),,IFERROR(vlookup($A929,indirect("'TVC-"&amp;text(month(F$1),"00")&amp;"'!$A:$D"),4,false),1)))</f>
        <v>1</v>
      </c>
      <c r="G929" s="62">
        <f t="shared" si="1857"/>
        <v>1</v>
      </c>
      <c r="H929" s="62">
        <f t="shared" ref="H929:Q929" si="1858">IF(isblank(H$1),,IFERROR(vlookup($A929,indirect("'TVC-"&amp;text(month(H$1),"00")&amp;"'!$A:$D"),4,false),1))</f>
        <v>1</v>
      </c>
      <c r="I929" s="62">
        <f t="shared" si="1858"/>
        <v>1</v>
      </c>
      <c r="J929" s="62">
        <f t="shared" si="1858"/>
        <v>1</v>
      </c>
      <c r="K929" s="62">
        <f t="shared" si="1858"/>
        <v>1</v>
      </c>
      <c r="L929" s="62">
        <f t="shared" si="1858"/>
        <v>1</v>
      </c>
      <c r="M929" s="62">
        <f t="shared" si="1858"/>
        <v>1</v>
      </c>
      <c r="N929" s="62">
        <f t="shared" si="1858"/>
        <v>1</v>
      </c>
      <c r="O929" s="62">
        <f t="shared" si="1858"/>
        <v>1</v>
      </c>
      <c r="P929" s="62" t="str">
        <f t="shared" si="1858"/>
        <v/>
      </c>
      <c r="Q929" s="62" t="str">
        <f t="shared" si="1858"/>
        <v/>
      </c>
      <c r="R929" s="62">
        <f t="shared" si="7"/>
        <v>0</v>
      </c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</row>
    <row r="930" hidden="1">
      <c r="A930" s="60">
        <f>IFERROR(__xludf.DUMMYFUNCTION("""COMPUTED_VALUE"""),14670.0)</f>
        <v>14670</v>
      </c>
      <c r="B930" s="60" t="str">
        <f>IFERROR(__xludf.DUMMYFUNCTION("""COMPUTED_VALUE"""),"Ekuale, Daniel")</f>
        <v>Ekuale, Daniel</v>
      </c>
      <c r="C930" s="60" t="str">
        <f>IFERROR(__xludf.DUMMYFUNCTION("""COMPUTED_VALUE"""),"DT")</f>
        <v>DT</v>
      </c>
      <c r="D930" s="60" t="str">
        <f>IFERROR(__xludf.DUMMYFUNCTION("""COMPUTED_VALUE"""),"PIT")</f>
        <v>PIT</v>
      </c>
      <c r="E930" s="62" t="str">
        <f t="shared" si="4"/>
        <v>Daniel Ekuale</v>
      </c>
      <c r="F930" s="62">
        <f t="shared" ref="F930:G930" si="1859">IF(isblank(F$1),,IF(isblank($A930),,IFERROR(vlookup($A930,indirect("'TVC-"&amp;text(month(F$1),"00")&amp;"'!$A:$D"),4,false),1)))</f>
        <v>1</v>
      </c>
      <c r="G930" s="62">
        <f t="shared" si="1859"/>
        <v>1</v>
      </c>
      <c r="H930" s="62">
        <f t="shared" ref="H930:Q930" si="1860">IF(isblank(H$1),,IFERROR(vlookup($A930,indirect("'TVC-"&amp;text(month(H$1),"00")&amp;"'!$A:$D"),4,false),1))</f>
        <v>1</v>
      </c>
      <c r="I930" s="62">
        <f t="shared" si="1860"/>
        <v>1</v>
      </c>
      <c r="J930" s="62">
        <f t="shared" si="1860"/>
        <v>1</v>
      </c>
      <c r="K930" s="62">
        <f t="shared" si="1860"/>
        <v>1</v>
      </c>
      <c r="L930" s="62">
        <f t="shared" si="1860"/>
        <v>1</v>
      </c>
      <c r="M930" s="62">
        <f t="shared" si="1860"/>
        <v>1</v>
      </c>
      <c r="N930" s="62">
        <f t="shared" si="1860"/>
        <v>1</v>
      </c>
      <c r="O930" s="62">
        <f t="shared" si="1860"/>
        <v>1</v>
      </c>
      <c r="P930" s="62" t="str">
        <f t="shared" si="1860"/>
        <v/>
      </c>
      <c r="Q930" s="62" t="str">
        <f t="shared" si="1860"/>
        <v/>
      </c>
      <c r="R930" s="62">
        <f t="shared" si="7"/>
        <v>0</v>
      </c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</row>
    <row r="931" hidden="1">
      <c r="A931" s="60">
        <f>IFERROR(__xludf.DUMMYFUNCTION("""COMPUTED_VALUE"""),14672.0)</f>
        <v>14672</v>
      </c>
      <c r="B931" s="60" t="str">
        <f>IFERROR(__xludf.DUMMYFUNCTION("""COMPUTED_VALUE"""),"Reeder, Troy")</f>
        <v>Reeder, Troy</v>
      </c>
      <c r="C931" s="60" t="str">
        <f>IFERROR(__xludf.DUMMYFUNCTION("""COMPUTED_VALUE"""),"LB")</f>
        <v>LB</v>
      </c>
      <c r="D931" s="60" t="str">
        <f>IFERROR(__xludf.DUMMYFUNCTION("""COMPUTED_VALUE"""),"NYJ")</f>
        <v>NYJ</v>
      </c>
      <c r="E931" s="62" t="str">
        <f t="shared" si="4"/>
        <v>Troy Reeder</v>
      </c>
      <c r="F931" s="62">
        <f t="shared" ref="F931:G931" si="1861">IF(isblank(F$1),,IF(isblank($A931),,IFERROR(vlookup($A931,indirect("'TVC-"&amp;text(month(F$1),"00")&amp;"'!$A:$D"),4,false),1)))</f>
        <v>1</v>
      </c>
      <c r="G931" s="62">
        <f t="shared" si="1861"/>
        <v>1</v>
      </c>
      <c r="H931" s="62">
        <f t="shared" ref="H931:Q931" si="1862">IF(isblank(H$1),,IFERROR(vlookup($A931,indirect("'TVC-"&amp;text(month(H$1),"00")&amp;"'!$A:$D"),4,false),1))</f>
        <v>1</v>
      </c>
      <c r="I931" s="62">
        <f t="shared" si="1862"/>
        <v>1</v>
      </c>
      <c r="J931" s="62">
        <f t="shared" si="1862"/>
        <v>1</v>
      </c>
      <c r="K931" s="62">
        <f t="shared" si="1862"/>
        <v>1</v>
      </c>
      <c r="L931" s="62">
        <f t="shared" si="1862"/>
        <v>1</v>
      </c>
      <c r="M931" s="62">
        <f t="shared" si="1862"/>
        <v>1</v>
      </c>
      <c r="N931" s="62">
        <f t="shared" si="1862"/>
        <v>1</v>
      </c>
      <c r="O931" s="62">
        <f t="shared" si="1862"/>
        <v>1</v>
      </c>
      <c r="P931" s="62" t="str">
        <f t="shared" si="1862"/>
        <v/>
      </c>
      <c r="Q931" s="62" t="str">
        <f t="shared" si="1862"/>
        <v/>
      </c>
      <c r="R931" s="62">
        <f t="shared" si="7"/>
        <v>0</v>
      </c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</row>
    <row r="932" hidden="1">
      <c r="A932" s="60">
        <f>IFERROR(__xludf.DUMMYFUNCTION("""COMPUTED_VALUE"""),14675.0)</f>
        <v>14675</v>
      </c>
      <c r="B932" s="60" t="str">
        <f>IFERROR(__xludf.DUMMYFUNCTION("""COMPUTED_VALUE"""),"Tuttle, Shy")</f>
        <v>Tuttle, Shy</v>
      </c>
      <c r="C932" s="60" t="str">
        <f>IFERROR(__xludf.DUMMYFUNCTION("""COMPUTED_VALUE"""),"DT")</f>
        <v>DT</v>
      </c>
      <c r="D932" s="60" t="str">
        <f>IFERROR(__xludf.DUMMYFUNCTION("""COMPUTED_VALUE"""),"WAS")</f>
        <v>WAS</v>
      </c>
      <c r="E932" s="62" t="str">
        <f t="shared" si="4"/>
        <v>Shy Tuttle</v>
      </c>
      <c r="F932" s="62">
        <f t="shared" ref="F932:G932" si="1863">IF(isblank(F$1),,IF(isblank($A932),,IFERROR(vlookup($A932,indirect("'TVC-"&amp;text(month(F$1),"00")&amp;"'!$A:$D"),4,false),1)))</f>
        <v>1</v>
      </c>
      <c r="G932" s="62">
        <f t="shared" si="1863"/>
        <v>1</v>
      </c>
      <c r="H932" s="62">
        <f t="shared" ref="H932:Q932" si="1864">IF(isblank(H$1),,IFERROR(vlookup($A932,indirect("'TVC-"&amp;text(month(H$1),"00")&amp;"'!$A:$D"),4,false),1))</f>
        <v>1</v>
      </c>
      <c r="I932" s="62">
        <f t="shared" si="1864"/>
        <v>1</v>
      </c>
      <c r="J932" s="62">
        <f t="shared" si="1864"/>
        <v>1</v>
      </c>
      <c r="K932" s="62">
        <f t="shared" si="1864"/>
        <v>1</v>
      </c>
      <c r="L932" s="62">
        <f t="shared" si="1864"/>
        <v>1</v>
      </c>
      <c r="M932" s="62">
        <f t="shared" si="1864"/>
        <v>1</v>
      </c>
      <c r="N932" s="62">
        <f t="shared" si="1864"/>
        <v>1</v>
      </c>
      <c r="O932" s="62">
        <f t="shared" si="1864"/>
        <v>1</v>
      </c>
      <c r="P932" s="62" t="str">
        <f t="shared" si="1864"/>
        <v/>
      </c>
      <c r="Q932" s="62" t="str">
        <f t="shared" si="1864"/>
        <v/>
      </c>
      <c r="R932" s="62">
        <f t="shared" si="7"/>
        <v>0</v>
      </c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</row>
    <row r="933">
      <c r="A933" s="60">
        <f>IFERROR(__xludf.DUMMYFUNCTION("""COMPUTED_VALUE"""),14717.0)</f>
        <v>14717</v>
      </c>
      <c r="B933" s="60" t="str">
        <f>IFERROR(__xludf.DUMMYFUNCTION("""COMPUTED_VALUE"""),"McLaughlin, Chase")</f>
        <v>McLaughlin, Chase</v>
      </c>
      <c r="C933" s="60" t="str">
        <f>IFERROR(__xludf.DUMMYFUNCTION("""COMPUTED_VALUE"""),"PK")</f>
        <v>PK</v>
      </c>
      <c r="D933" s="60" t="str">
        <f>IFERROR(__xludf.DUMMYFUNCTION("""COMPUTED_VALUE"""),"TBB")</f>
        <v>TBB</v>
      </c>
      <c r="E933" s="62" t="str">
        <f t="shared" si="4"/>
        <v>Chase McLaughlin</v>
      </c>
      <c r="F933" s="62">
        <f t="shared" ref="F933:G933" si="1865">IF(isblank(F$1),,IF(isblank($A933),,IFERROR(vlookup($A933,indirect("'TVC-"&amp;text(month(F$1),"00")&amp;"'!$A:$D"),4,false),1)))</f>
        <v>1</v>
      </c>
      <c r="G933" s="62">
        <f t="shared" si="1865"/>
        <v>1</v>
      </c>
      <c r="H933" s="62">
        <f t="shared" ref="H933:Q933" si="1866">IF(isblank(H$1),,IFERROR(vlookup($A933,indirect("'TVC-"&amp;text(month(H$1),"00")&amp;"'!$A:$D"),4,false),1))</f>
        <v>1</v>
      </c>
      <c r="I933" s="62">
        <f t="shared" si="1866"/>
        <v>1</v>
      </c>
      <c r="J933" s="62">
        <f t="shared" si="1866"/>
        <v>1</v>
      </c>
      <c r="K933" s="62">
        <f t="shared" si="1866"/>
        <v>1</v>
      </c>
      <c r="L933" s="62">
        <f t="shared" si="1866"/>
        <v>1</v>
      </c>
      <c r="M933" s="62">
        <f t="shared" si="1866"/>
        <v>1</v>
      </c>
      <c r="N933" s="62">
        <f t="shared" si="1866"/>
        <v>1</v>
      </c>
      <c r="O933" s="62">
        <f t="shared" si="1866"/>
        <v>1</v>
      </c>
      <c r="P933" s="62" t="str">
        <f t="shared" si="1866"/>
        <v/>
      </c>
      <c r="Q933" s="62" t="str">
        <f t="shared" si="1866"/>
        <v/>
      </c>
      <c r="R933" s="62">
        <f t="shared" si="7"/>
        <v>0</v>
      </c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</row>
    <row r="934">
      <c r="A934" s="60">
        <f>IFERROR(__xludf.DUMMYFUNCTION("""COMPUTED_VALUE"""),14727.0)</f>
        <v>14727</v>
      </c>
      <c r="B934" s="60" t="str">
        <f>IFERROR(__xludf.DUMMYFUNCTION("""COMPUTED_VALUE"""),"Reynolds, Craig")</f>
        <v>Reynolds, Craig</v>
      </c>
      <c r="C934" s="60" t="str">
        <f>IFERROR(__xludf.DUMMYFUNCTION("""COMPUTED_VALUE"""),"RB")</f>
        <v>RB</v>
      </c>
      <c r="D934" s="60" t="str">
        <f>IFERROR(__xludf.DUMMYFUNCTION("""COMPUTED_VALUE"""),"WAS")</f>
        <v>WAS</v>
      </c>
      <c r="E934" s="62" t="str">
        <f t="shared" si="4"/>
        <v>Craig Reynolds</v>
      </c>
      <c r="F934" s="62">
        <f t="shared" ref="F934:G934" si="1867">IF(isblank(F$1),,IF(isblank($A934),,IFERROR(vlookup($A934,indirect("'TVC-"&amp;text(month(F$1),"00")&amp;"'!$A:$D"),4,false),1)))</f>
        <v>1</v>
      </c>
      <c r="G934" s="62">
        <f t="shared" si="1867"/>
        <v>1</v>
      </c>
      <c r="H934" s="62">
        <f t="shared" ref="H934:Q934" si="1868">IF(isblank(H$1),,IFERROR(vlookup($A934,indirect("'TVC-"&amp;text(month(H$1),"00")&amp;"'!$A:$D"),4,false),1))</f>
        <v>1</v>
      </c>
      <c r="I934" s="62">
        <f t="shared" si="1868"/>
        <v>1</v>
      </c>
      <c r="J934" s="62">
        <f t="shared" si="1868"/>
        <v>1</v>
      </c>
      <c r="K934" s="62">
        <f t="shared" si="1868"/>
        <v>1</v>
      </c>
      <c r="L934" s="62">
        <f t="shared" si="1868"/>
        <v>1</v>
      </c>
      <c r="M934" s="62">
        <f t="shared" si="1868"/>
        <v>1</v>
      </c>
      <c r="N934" s="62">
        <f t="shared" si="1868"/>
        <v>1</v>
      </c>
      <c r="O934" s="62">
        <f t="shared" si="1868"/>
        <v>1</v>
      </c>
      <c r="P934" s="62" t="str">
        <f t="shared" si="1868"/>
        <v/>
      </c>
      <c r="Q934" s="62" t="str">
        <f t="shared" si="1868"/>
        <v/>
      </c>
      <c r="R934" s="62">
        <f t="shared" si="7"/>
        <v>0</v>
      </c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</row>
    <row r="935">
      <c r="A935" s="60">
        <f>IFERROR(__xludf.DUMMYFUNCTION("""COMPUTED_VALUE"""),14737.0)</f>
        <v>14737</v>
      </c>
      <c r="B935" s="60" t="str">
        <f>IFERROR(__xludf.DUMMYFUNCTION("""COMPUTED_VALUE"""),"Giles-Harris, Joe")</f>
        <v>Giles-Harris, Joe</v>
      </c>
      <c r="C935" s="60" t="str">
        <f>IFERROR(__xludf.DUMMYFUNCTION("""COMPUTED_VALUE"""),"LB")</f>
        <v>LB</v>
      </c>
      <c r="D935" s="60" t="str">
        <f>IFERROR(__xludf.DUMMYFUNCTION("""COMPUTED_VALUE"""),"CIN")</f>
        <v>CIN</v>
      </c>
      <c r="E935" s="62" t="str">
        <f t="shared" si="4"/>
        <v>Joe Giles-Harris</v>
      </c>
      <c r="F935" s="62">
        <f t="shared" ref="F935:G935" si="1869">IF(isblank(F$1),,IF(isblank($A935),,IFERROR(vlookup($A935,indirect("'TVC-"&amp;text(month(F$1),"00")&amp;"'!$A:$D"),4,false),1)))</f>
        <v>1</v>
      </c>
      <c r="G935" s="62">
        <f t="shared" si="1869"/>
        <v>1</v>
      </c>
      <c r="H935" s="62">
        <f t="shared" ref="H935:Q935" si="1870">IF(isblank(H$1),,IFERROR(vlookup($A935,indirect("'TVC-"&amp;text(month(H$1),"00")&amp;"'!$A:$D"),4,false),1))</f>
        <v>1</v>
      </c>
      <c r="I935" s="62">
        <f t="shared" si="1870"/>
        <v>1</v>
      </c>
      <c r="J935" s="62">
        <f t="shared" si="1870"/>
        <v>1</v>
      </c>
      <c r="K935" s="62">
        <f t="shared" si="1870"/>
        <v>1</v>
      </c>
      <c r="L935" s="62">
        <f t="shared" si="1870"/>
        <v>1</v>
      </c>
      <c r="M935" s="62">
        <f t="shared" si="1870"/>
        <v>1</v>
      </c>
      <c r="N935" s="62">
        <f t="shared" si="1870"/>
        <v>1</v>
      </c>
      <c r="O935" s="62">
        <f t="shared" si="1870"/>
        <v>1</v>
      </c>
      <c r="P935" s="62" t="str">
        <f t="shared" si="1870"/>
        <v/>
      </c>
      <c r="Q935" s="62" t="str">
        <f t="shared" si="1870"/>
        <v/>
      </c>
      <c r="R935" s="62">
        <f t="shared" si="7"/>
        <v>0</v>
      </c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</row>
    <row r="936">
      <c r="A936" s="60">
        <f>IFERROR(__xludf.DUMMYFUNCTION("""COMPUTED_VALUE"""),14776.0)</f>
        <v>14776</v>
      </c>
      <c r="B936" s="60" t="str">
        <f>IFERROR(__xludf.DUMMYFUNCTION("""COMPUTED_VALUE"""),"Stefanski, Kevin")</f>
        <v>Stefanski, Kevin</v>
      </c>
      <c r="C936" s="60" t="str">
        <f>IFERROR(__xludf.DUMMYFUNCTION("""COMPUTED_VALUE"""),"Coach")</f>
        <v>Coach</v>
      </c>
      <c r="D936" s="60" t="str">
        <f>IFERROR(__xludf.DUMMYFUNCTION("""COMPUTED_VALUE"""),"ATL")</f>
        <v>ATL</v>
      </c>
      <c r="E936" s="62" t="str">
        <f t="shared" si="4"/>
        <v>Kevin Stefanski</v>
      </c>
      <c r="F936" s="62">
        <f t="shared" ref="F936:G936" si="1871">IF(isblank(F$1),,IF(isblank($A936),,IFERROR(vlookup($A936,indirect("'TVC-"&amp;text(month(F$1),"00")&amp;"'!$A:$D"),4,false),1)))</f>
        <v>1</v>
      </c>
      <c r="G936" s="62">
        <f t="shared" si="1871"/>
        <v>1</v>
      </c>
      <c r="H936" s="62">
        <f t="shared" ref="H936:Q936" si="1872">IF(isblank(H$1),,IFERROR(vlookup($A936,indirect("'TVC-"&amp;text(month(H$1),"00")&amp;"'!$A:$D"),4,false),1))</f>
        <v>1</v>
      </c>
      <c r="I936" s="62">
        <f t="shared" si="1872"/>
        <v>1</v>
      </c>
      <c r="J936" s="62">
        <f t="shared" si="1872"/>
        <v>1</v>
      </c>
      <c r="K936" s="62">
        <f t="shared" si="1872"/>
        <v>1</v>
      </c>
      <c r="L936" s="62">
        <f t="shared" si="1872"/>
        <v>1</v>
      </c>
      <c r="M936" s="62">
        <f t="shared" si="1872"/>
        <v>1</v>
      </c>
      <c r="N936" s="62">
        <f t="shared" si="1872"/>
        <v>1</v>
      </c>
      <c r="O936" s="62">
        <f t="shared" si="1872"/>
        <v>1</v>
      </c>
      <c r="P936" s="62" t="str">
        <f t="shared" si="1872"/>
        <v/>
      </c>
      <c r="Q936" s="62" t="str">
        <f t="shared" si="1872"/>
        <v/>
      </c>
      <c r="R936" s="62">
        <f t="shared" si="7"/>
        <v>0</v>
      </c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</row>
    <row r="937">
      <c r="A937" s="60">
        <f>IFERROR(__xludf.DUMMYFUNCTION("""COMPUTED_VALUE"""),14777.0)</f>
        <v>14777</v>
      </c>
      <c r="B937" s="60" t="str">
        <f>IFERROR(__xludf.DUMMYFUNCTION("""COMPUTED_VALUE"""),"Burrow, Joe")</f>
        <v>Burrow, Joe</v>
      </c>
      <c r="C937" s="60" t="str">
        <f>IFERROR(__xludf.DUMMYFUNCTION("""COMPUTED_VALUE"""),"QB")</f>
        <v>QB</v>
      </c>
      <c r="D937" s="60" t="str">
        <f>IFERROR(__xludf.DUMMYFUNCTION("""COMPUTED_VALUE"""),"CIN")</f>
        <v>CIN</v>
      </c>
      <c r="E937" s="62" t="str">
        <f t="shared" si="4"/>
        <v>Joe Burrow</v>
      </c>
      <c r="F937" s="62">
        <f t="shared" ref="F937:G937" si="1873">IF(isblank(F$1),,IF(isblank($A937),,IFERROR(vlookup($A937,indirect("'TVC-"&amp;text(month(F$1),"00")&amp;"'!$A:$D"),4,false),1)))</f>
        <v>7390</v>
      </c>
      <c r="G937" s="62">
        <f t="shared" si="1873"/>
        <v>7238</v>
      </c>
      <c r="H937" s="62">
        <f t="shared" ref="H937:Q937" si="1874">IF(isblank(H$1),,IFERROR(vlookup($A937,indirect("'TVC-"&amp;text(month(H$1),"00")&amp;"'!$A:$D"),4,false),1))</f>
        <v>7223</v>
      </c>
      <c r="I937" s="62">
        <f t="shared" si="1874"/>
        <v>7372</v>
      </c>
      <c r="J937" s="62">
        <f t="shared" si="1874"/>
        <v>7544</v>
      </c>
      <c r="K937" s="62">
        <f t="shared" si="1874"/>
        <v>7440</v>
      </c>
      <c r="L937" s="62">
        <f t="shared" si="1874"/>
        <v>7460</v>
      </c>
      <c r="M937" s="62">
        <f t="shared" si="1874"/>
        <v>7426</v>
      </c>
      <c r="N937" s="62">
        <f t="shared" si="1874"/>
        <v>7236</v>
      </c>
      <c r="O937" s="62">
        <f t="shared" si="1874"/>
        <v>1</v>
      </c>
      <c r="P937" s="62" t="str">
        <f t="shared" si="1874"/>
        <v/>
      </c>
      <c r="Q937" s="62" t="str">
        <f t="shared" si="1874"/>
        <v/>
      </c>
      <c r="R937" s="62">
        <f t="shared" si="7"/>
        <v>-7235</v>
      </c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</row>
    <row r="938">
      <c r="A938" s="60">
        <f>IFERROR(__xludf.DUMMYFUNCTION("""COMPUTED_VALUE"""),14778.0)</f>
        <v>14778</v>
      </c>
      <c r="B938" s="60" t="str">
        <f>IFERROR(__xludf.DUMMYFUNCTION("""COMPUTED_VALUE"""),"Tagovailoa, Tua")</f>
        <v>Tagovailoa, Tua</v>
      </c>
      <c r="C938" s="60" t="str">
        <f>IFERROR(__xludf.DUMMYFUNCTION("""COMPUTED_VALUE"""),"QB")</f>
        <v>QB</v>
      </c>
      <c r="D938" s="60" t="str">
        <f>IFERROR(__xludf.DUMMYFUNCTION("""COMPUTED_VALUE"""),"ATL")</f>
        <v>ATL</v>
      </c>
      <c r="E938" s="62" t="str">
        <f t="shared" si="4"/>
        <v>Tua Tagovailoa</v>
      </c>
      <c r="F938" s="62">
        <f t="shared" ref="F938:G938" si="1875">IF(isblank(F$1),,IF(isblank($A938),,IFERROR(vlookup($A938,indirect("'TVC-"&amp;text(month(F$1),"00")&amp;"'!$A:$D"),4,false),1)))</f>
        <v>2611</v>
      </c>
      <c r="G938" s="62">
        <f t="shared" si="1875"/>
        <v>2626</v>
      </c>
      <c r="H938" s="62">
        <f t="shared" ref="H938:Q938" si="1876">IF(isblank(H$1),,IFERROR(vlookup($A938,indirect("'TVC-"&amp;text(month(H$1),"00")&amp;"'!$A:$D"),4,false),1))</f>
        <v>2701</v>
      </c>
      <c r="I938" s="62">
        <f t="shared" si="1876"/>
        <v>2725</v>
      </c>
      <c r="J938" s="62">
        <f t="shared" si="1876"/>
        <v>2764</v>
      </c>
      <c r="K938" s="62">
        <f t="shared" si="1876"/>
        <v>2733</v>
      </c>
      <c r="L938" s="62">
        <f t="shared" si="1876"/>
        <v>2780</v>
      </c>
      <c r="M938" s="62">
        <f t="shared" si="1876"/>
        <v>2664</v>
      </c>
      <c r="N938" s="62">
        <f t="shared" si="1876"/>
        <v>2139</v>
      </c>
      <c r="O938" s="62">
        <f t="shared" si="1876"/>
        <v>1</v>
      </c>
      <c r="P938" s="62" t="str">
        <f t="shared" si="1876"/>
        <v/>
      </c>
      <c r="Q938" s="62" t="str">
        <f t="shared" si="1876"/>
        <v/>
      </c>
      <c r="R938" s="62">
        <f t="shared" si="7"/>
        <v>-2138</v>
      </c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</row>
    <row r="939">
      <c r="A939" s="60">
        <f>IFERROR(__xludf.DUMMYFUNCTION("""COMPUTED_VALUE"""),14779.0)</f>
        <v>14779</v>
      </c>
      <c r="B939" s="60" t="str">
        <f>IFERROR(__xludf.DUMMYFUNCTION("""COMPUTED_VALUE"""),"Herbert, Justin")</f>
        <v>Herbert, Justin</v>
      </c>
      <c r="C939" s="60" t="str">
        <f>IFERROR(__xludf.DUMMYFUNCTION("""COMPUTED_VALUE"""),"QB")</f>
        <v>QB</v>
      </c>
      <c r="D939" s="60" t="str">
        <f>IFERROR(__xludf.DUMMYFUNCTION("""COMPUTED_VALUE"""),"LAC")</f>
        <v>LAC</v>
      </c>
      <c r="E939" s="62" t="str">
        <f t="shared" si="4"/>
        <v>Justin Herbert</v>
      </c>
      <c r="F939" s="62">
        <f t="shared" ref="F939:G939" si="1877">IF(isblank(F$1),,IF(isblank($A939),,IFERROR(vlookup($A939,indirect("'TVC-"&amp;text(month(F$1),"00")&amp;"'!$A:$D"),4,false),1)))</f>
        <v>7013</v>
      </c>
      <c r="G939" s="62">
        <f t="shared" si="1877"/>
        <v>6843</v>
      </c>
      <c r="H939" s="62">
        <f t="shared" ref="H939:Q939" si="1878">IF(isblank(H$1),,IFERROR(vlookup($A939,indirect("'TVC-"&amp;text(month(H$1),"00")&amp;"'!$A:$D"),4,false),1))</f>
        <v>6889</v>
      </c>
      <c r="I939" s="62">
        <f t="shared" si="1878"/>
        <v>6921</v>
      </c>
      <c r="J939" s="62">
        <f t="shared" si="1878"/>
        <v>6796</v>
      </c>
      <c r="K939" s="62">
        <f t="shared" si="1878"/>
        <v>6838</v>
      </c>
      <c r="L939" s="62">
        <f t="shared" si="1878"/>
        <v>6994</v>
      </c>
      <c r="M939" s="62">
        <f t="shared" si="1878"/>
        <v>7041</v>
      </c>
      <c r="N939" s="62">
        <f t="shared" si="1878"/>
        <v>6936</v>
      </c>
      <c r="O939" s="62">
        <f t="shared" si="1878"/>
        <v>1</v>
      </c>
      <c r="P939" s="62" t="str">
        <f t="shared" si="1878"/>
        <v/>
      </c>
      <c r="Q939" s="62" t="str">
        <f t="shared" si="1878"/>
        <v/>
      </c>
      <c r="R939" s="62">
        <f t="shared" si="7"/>
        <v>-6935</v>
      </c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</row>
    <row r="940" hidden="1">
      <c r="A940" s="60">
        <f>IFERROR(__xludf.DUMMYFUNCTION("""COMPUTED_VALUE"""),14782.0)</f>
        <v>14782</v>
      </c>
      <c r="B940" s="60" t="str">
        <f>IFERROR(__xludf.DUMMYFUNCTION("""COMPUTED_VALUE"""),"Love, Jordan")</f>
        <v>Love, Jordan</v>
      </c>
      <c r="C940" s="60" t="str">
        <f>IFERROR(__xludf.DUMMYFUNCTION("""COMPUTED_VALUE"""),"QB")</f>
        <v>QB</v>
      </c>
      <c r="D940" s="60" t="str">
        <f>IFERROR(__xludf.DUMMYFUNCTION("""COMPUTED_VALUE"""),"GBP")</f>
        <v>GBP</v>
      </c>
      <c r="E940" s="62" t="str">
        <f t="shared" si="4"/>
        <v>Jordan Love</v>
      </c>
      <c r="F940" s="62">
        <f t="shared" ref="F940:G940" si="1879">IF(isblank(F$1),,IF(isblank($A940),,IFERROR(vlookup($A940,indirect("'TVC-"&amp;text(month(F$1),"00")&amp;"'!$A:$D"),4,false),1)))</f>
        <v>5679</v>
      </c>
      <c r="G940" s="62">
        <f t="shared" si="1879"/>
        <v>5702</v>
      </c>
      <c r="H940" s="62">
        <f t="shared" ref="H940:Q940" si="1880">IF(isblank(H$1),,IFERROR(vlookup($A940,indirect("'TVC-"&amp;text(month(H$1),"00")&amp;"'!$A:$D"),4,false),1))</f>
        <v>5696</v>
      </c>
      <c r="I940" s="62">
        <f t="shared" si="1880"/>
        <v>5698</v>
      </c>
      <c r="J940" s="62">
        <f t="shared" si="1880"/>
        <v>5637</v>
      </c>
      <c r="K940" s="62">
        <f t="shared" si="1880"/>
        <v>5616</v>
      </c>
      <c r="L940" s="62">
        <f t="shared" si="1880"/>
        <v>5513</v>
      </c>
      <c r="M940" s="62">
        <f t="shared" si="1880"/>
        <v>5452</v>
      </c>
      <c r="N940" s="62">
        <f t="shared" si="1880"/>
        <v>5284</v>
      </c>
      <c r="O940" s="62">
        <f t="shared" si="1880"/>
        <v>1</v>
      </c>
      <c r="P940" s="62" t="str">
        <f t="shared" si="1880"/>
        <v/>
      </c>
      <c r="Q940" s="62" t="str">
        <f t="shared" si="1880"/>
        <v/>
      </c>
      <c r="R940" s="62">
        <f t="shared" si="7"/>
        <v>-5283</v>
      </c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</row>
    <row r="941" hidden="1">
      <c r="A941" s="60">
        <f>IFERROR(__xludf.DUMMYFUNCTION("""COMPUTED_VALUE"""),14783.0)</f>
        <v>14783</v>
      </c>
      <c r="B941" s="60" t="str">
        <f>IFERROR(__xludf.DUMMYFUNCTION("""COMPUTED_VALUE"""),"Hurts, Jalen")</f>
        <v>Hurts, Jalen</v>
      </c>
      <c r="C941" s="60" t="str">
        <f>IFERROR(__xludf.DUMMYFUNCTION("""COMPUTED_VALUE"""),"QB")</f>
        <v>QB</v>
      </c>
      <c r="D941" s="60" t="str">
        <f>IFERROR(__xludf.DUMMYFUNCTION("""COMPUTED_VALUE"""),"PHI")</f>
        <v>PHI</v>
      </c>
      <c r="E941" s="62" t="str">
        <f t="shared" si="4"/>
        <v>Jalen Hurts</v>
      </c>
      <c r="F941" s="62">
        <f t="shared" ref="F941:G941" si="1881">IF(isblank(F$1),,IF(isblank($A941),,IFERROR(vlookup($A941,indirect("'TVC-"&amp;text(month(F$1),"00")&amp;"'!$A:$D"),4,false),1)))</f>
        <v>6557</v>
      </c>
      <c r="G941" s="62">
        <f t="shared" si="1881"/>
        <v>6396</v>
      </c>
      <c r="H941" s="62">
        <f t="shared" ref="H941:Q941" si="1882">IF(isblank(H$1),,IFERROR(vlookup($A941,indirect("'TVC-"&amp;text(month(H$1),"00")&amp;"'!$A:$D"),4,false),1))</f>
        <v>6348</v>
      </c>
      <c r="I941" s="62">
        <f t="shared" si="1882"/>
        <v>6334</v>
      </c>
      <c r="J941" s="62">
        <f t="shared" si="1882"/>
        <v>6146</v>
      </c>
      <c r="K941" s="62">
        <f t="shared" si="1882"/>
        <v>6173</v>
      </c>
      <c r="L941" s="62">
        <f t="shared" si="1882"/>
        <v>6171</v>
      </c>
      <c r="M941" s="62">
        <f t="shared" si="1882"/>
        <v>6148</v>
      </c>
      <c r="N941" s="62">
        <f t="shared" si="1882"/>
        <v>6041</v>
      </c>
      <c r="O941" s="62">
        <f t="shared" si="1882"/>
        <v>1</v>
      </c>
      <c r="P941" s="62" t="str">
        <f t="shared" si="1882"/>
        <v/>
      </c>
      <c r="Q941" s="62" t="str">
        <f t="shared" si="1882"/>
        <v/>
      </c>
      <c r="R941" s="62">
        <f t="shared" si="7"/>
        <v>-6040</v>
      </c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</row>
    <row r="942">
      <c r="A942" s="60">
        <f>IFERROR(__xludf.DUMMYFUNCTION("""COMPUTED_VALUE"""),14789.0)</f>
        <v>14789</v>
      </c>
      <c r="B942" s="60" t="str">
        <f>IFERROR(__xludf.DUMMYFUNCTION("""COMPUTED_VALUE"""),"Huntley, Tyler")</f>
        <v>Huntley, Tyler</v>
      </c>
      <c r="C942" s="60" t="str">
        <f>IFERROR(__xludf.DUMMYFUNCTION("""COMPUTED_VALUE"""),"QB")</f>
        <v>QB</v>
      </c>
      <c r="D942" s="60" t="str">
        <f>IFERROR(__xludf.DUMMYFUNCTION("""COMPUTED_VALUE"""),"BAL")</f>
        <v>BAL</v>
      </c>
      <c r="E942" s="62" t="str">
        <f t="shared" si="4"/>
        <v>Tyler Huntley</v>
      </c>
      <c r="F942" s="62">
        <f t="shared" ref="F942:G942" si="1883">IF(isblank(F$1),,IF(isblank($A942),,IFERROR(vlookup($A942,indirect("'TVC-"&amp;text(month(F$1),"00")&amp;"'!$A:$D"),4,false),1)))</f>
        <v>1139</v>
      </c>
      <c r="G942" s="62">
        <f t="shared" si="1883"/>
        <v>1153</v>
      </c>
      <c r="H942" s="62">
        <f t="shared" ref="H942:Q942" si="1884">IF(isblank(H$1),,IFERROR(vlookup($A942,indirect("'TVC-"&amp;text(month(H$1),"00")&amp;"'!$A:$D"),4,false),1))</f>
        <v>1142</v>
      </c>
      <c r="I942" s="62">
        <f t="shared" si="1884"/>
        <v>1266</v>
      </c>
      <c r="J942" s="62">
        <f t="shared" si="1884"/>
        <v>1243</v>
      </c>
      <c r="K942" s="62">
        <f t="shared" si="1884"/>
        <v>1158</v>
      </c>
      <c r="L942" s="62">
        <f t="shared" si="1884"/>
        <v>1210</v>
      </c>
      <c r="M942" s="62">
        <f t="shared" si="1884"/>
        <v>1151</v>
      </c>
      <c r="N942" s="62">
        <f t="shared" si="1884"/>
        <v>1079</v>
      </c>
      <c r="O942" s="62">
        <f t="shared" si="1884"/>
        <v>1</v>
      </c>
      <c r="P942" s="62" t="str">
        <f t="shared" si="1884"/>
        <v/>
      </c>
      <c r="Q942" s="62" t="str">
        <f t="shared" si="1884"/>
        <v/>
      </c>
      <c r="R942" s="62">
        <f t="shared" si="7"/>
        <v>-1078</v>
      </c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</row>
    <row r="943">
      <c r="A943" s="60">
        <f>IFERROR(__xludf.DUMMYFUNCTION("""COMPUTED_VALUE"""),14797.0)</f>
        <v>14797</v>
      </c>
      <c r="B943" s="60" t="str">
        <f>IFERROR(__xludf.DUMMYFUNCTION("""COMPUTED_VALUE"""),"Swift, D'Andre")</f>
        <v>Swift, D'Andre</v>
      </c>
      <c r="C943" s="60" t="str">
        <f>IFERROR(__xludf.DUMMYFUNCTION("""COMPUTED_VALUE"""),"RB")</f>
        <v>RB</v>
      </c>
      <c r="D943" s="60" t="str">
        <f>IFERROR(__xludf.DUMMYFUNCTION("""COMPUTED_VALUE"""),"CHI")</f>
        <v>CHI</v>
      </c>
      <c r="E943" s="62" t="str">
        <f t="shared" si="4"/>
        <v>D'Andre Swift</v>
      </c>
      <c r="F943" s="62">
        <f t="shared" ref="F943:G943" si="1885">IF(isblank(F$1),,IF(isblank($A943),,IFERROR(vlookup($A943,indirect("'TVC-"&amp;text(month(F$1),"00")&amp;"'!$A:$D"),4,false),1)))</f>
        <v>3573</v>
      </c>
      <c r="G943" s="62">
        <f t="shared" si="1885"/>
        <v>3731</v>
      </c>
      <c r="H943" s="62">
        <f t="shared" ref="H943:Q943" si="1886">IF(isblank(H$1),,IFERROR(vlookup($A943,indirect("'TVC-"&amp;text(month(H$1),"00")&amp;"'!$A:$D"),4,false),1))</f>
        <v>3719</v>
      </c>
      <c r="I943" s="62">
        <f t="shared" si="1886"/>
        <v>3524</v>
      </c>
      <c r="J943" s="62">
        <f t="shared" si="1886"/>
        <v>3547</v>
      </c>
      <c r="K943" s="62">
        <f t="shared" si="1886"/>
        <v>3553</v>
      </c>
      <c r="L943" s="62">
        <f t="shared" si="1886"/>
        <v>3627</v>
      </c>
      <c r="M943" s="62">
        <f t="shared" si="1886"/>
        <v>3729</v>
      </c>
      <c r="N943" s="62">
        <f t="shared" si="1886"/>
        <v>4007</v>
      </c>
      <c r="O943" s="62">
        <f t="shared" si="1886"/>
        <v>1</v>
      </c>
      <c r="P943" s="62" t="str">
        <f t="shared" si="1886"/>
        <v/>
      </c>
      <c r="Q943" s="62" t="str">
        <f t="shared" si="1886"/>
        <v/>
      </c>
      <c r="R943" s="62">
        <f t="shared" si="7"/>
        <v>-4006</v>
      </c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</row>
    <row r="944" hidden="1">
      <c r="A944" s="60">
        <f>IFERROR(__xludf.DUMMYFUNCTION("""COMPUTED_VALUE"""),14798.0)</f>
        <v>14798</v>
      </c>
      <c r="B944" s="60" t="str">
        <f>IFERROR(__xludf.DUMMYFUNCTION("""COMPUTED_VALUE"""),"Moss, Zack")</f>
        <v>Moss, Zack</v>
      </c>
      <c r="C944" s="60" t="str">
        <f>IFERROR(__xludf.DUMMYFUNCTION("""COMPUTED_VALUE"""),"RB")</f>
        <v>RB</v>
      </c>
      <c r="D944" s="60" t="str">
        <f>IFERROR(__xludf.DUMMYFUNCTION("""COMPUTED_VALUE"""),"FA")</f>
        <v>FA</v>
      </c>
      <c r="E944" s="62" t="str">
        <f t="shared" si="4"/>
        <v>Zack Moss</v>
      </c>
      <c r="F944" s="62">
        <f t="shared" ref="F944:G944" si="1887">IF(isblank(F$1),,IF(isblank($A944),,IFERROR(vlookup($A944,indirect("'TVC-"&amp;text(month(F$1),"00")&amp;"'!$A:$D"),4,false),1)))</f>
        <v>1</v>
      </c>
      <c r="G944" s="62">
        <f t="shared" si="1887"/>
        <v>1</v>
      </c>
      <c r="H944" s="62">
        <f t="shared" ref="H944:Q944" si="1888">IF(isblank(H$1),,IFERROR(vlookup($A944,indirect("'TVC-"&amp;text(month(H$1),"00")&amp;"'!$A:$D"),4,false),1))</f>
        <v>1</v>
      </c>
      <c r="I944" s="62">
        <f t="shared" si="1888"/>
        <v>1</v>
      </c>
      <c r="J944" s="62">
        <f t="shared" si="1888"/>
        <v>1</v>
      </c>
      <c r="K944" s="62">
        <f t="shared" si="1888"/>
        <v>1</v>
      </c>
      <c r="L944" s="62">
        <f t="shared" si="1888"/>
        <v>1</v>
      </c>
      <c r="M944" s="62">
        <f t="shared" si="1888"/>
        <v>1</v>
      </c>
      <c r="N944" s="62">
        <f t="shared" si="1888"/>
        <v>1</v>
      </c>
      <c r="O944" s="62">
        <f t="shared" si="1888"/>
        <v>1</v>
      </c>
      <c r="P944" s="62" t="str">
        <f t="shared" si="1888"/>
        <v/>
      </c>
      <c r="Q944" s="62" t="str">
        <f t="shared" si="1888"/>
        <v/>
      </c>
      <c r="R944" s="62">
        <f t="shared" si="7"/>
        <v>0</v>
      </c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</row>
    <row r="945">
      <c r="A945" s="60">
        <f>IFERROR(__xludf.DUMMYFUNCTION("""COMPUTED_VALUE"""),14799.0)</f>
        <v>14799</v>
      </c>
      <c r="B945" s="60" t="str">
        <f>IFERROR(__xludf.DUMMYFUNCTION("""COMPUTED_VALUE"""),"Akers, Cam")</f>
        <v>Akers, Cam</v>
      </c>
      <c r="C945" s="60" t="str">
        <f>IFERROR(__xludf.DUMMYFUNCTION("""COMPUTED_VALUE"""),"RB")</f>
        <v>RB</v>
      </c>
      <c r="D945" s="60" t="str">
        <f>IFERROR(__xludf.DUMMYFUNCTION("""COMPUTED_VALUE"""),"FA")</f>
        <v>FA</v>
      </c>
      <c r="E945" s="62" t="str">
        <f t="shared" si="4"/>
        <v>Cam Akers</v>
      </c>
      <c r="F945" s="62">
        <f t="shared" ref="F945:G945" si="1889">IF(isblank(F$1),,IF(isblank($A945),,IFERROR(vlookup($A945,indirect("'TVC-"&amp;text(month(F$1),"00")&amp;"'!$A:$D"),4,false),1)))</f>
        <v>819</v>
      </c>
      <c r="G945" s="62">
        <f t="shared" si="1889"/>
        <v>870</v>
      </c>
      <c r="H945" s="62">
        <f t="shared" ref="H945:Q945" si="1890">IF(isblank(H$1),,IFERROR(vlookup($A945,indirect("'TVC-"&amp;text(month(H$1),"00")&amp;"'!$A:$D"),4,false),1))</f>
        <v>861</v>
      </c>
      <c r="I945" s="62">
        <f t="shared" si="1890"/>
        <v>982</v>
      </c>
      <c r="J945" s="62">
        <f t="shared" si="1890"/>
        <v>965</v>
      </c>
      <c r="K945" s="62">
        <f t="shared" si="1890"/>
        <v>1</v>
      </c>
      <c r="L945" s="62">
        <f t="shared" si="1890"/>
        <v>1</v>
      </c>
      <c r="M945" s="62">
        <f t="shared" si="1890"/>
        <v>1</v>
      </c>
      <c r="N945" s="62">
        <f t="shared" si="1890"/>
        <v>1</v>
      </c>
      <c r="O945" s="62">
        <f t="shared" si="1890"/>
        <v>1</v>
      </c>
      <c r="P945" s="62" t="str">
        <f t="shared" si="1890"/>
        <v/>
      </c>
      <c r="Q945" s="62" t="str">
        <f t="shared" si="1890"/>
        <v/>
      </c>
      <c r="R945" s="62">
        <f t="shared" si="7"/>
        <v>0</v>
      </c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</row>
    <row r="946" hidden="1">
      <c r="A946" s="60">
        <f>IFERROR(__xludf.DUMMYFUNCTION("""COMPUTED_VALUE"""),14800.0)</f>
        <v>14800</v>
      </c>
      <c r="B946" s="60" t="str">
        <f>IFERROR(__xludf.DUMMYFUNCTION("""COMPUTED_VALUE"""),"Dobbins, J.K.")</f>
        <v>Dobbins, J.K.</v>
      </c>
      <c r="C946" s="60" t="str">
        <f>IFERROR(__xludf.DUMMYFUNCTION("""COMPUTED_VALUE"""),"RB")</f>
        <v>RB</v>
      </c>
      <c r="D946" s="60" t="str">
        <f>IFERROR(__xludf.DUMMYFUNCTION("""COMPUTED_VALUE"""),"DEN")</f>
        <v>DEN</v>
      </c>
      <c r="E946" s="62" t="str">
        <f t="shared" si="4"/>
        <v>J.K. Dobbins</v>
      </c>
      <c r="F946" s="62">
        <f t="shared" ref="F946:G946" si="1891">IF(isblank(F$1),,IF(isblank($A946),,IFERROR(vlookup($A946,indirect("'TVC-"&amp;text(month(F$1),"00")&amp;"'!$A:$D"),4,false),1)))</f>
        <v>2599</v>
      </c>
      <c r="G946" s="62">
        <f t="shared" si="1891"/>
        <v>2759</v>
      </c>
      <c r="H946" s="62">
        <f t="shared" ref="H946:Q946" si="1892">IF(isblank(H$1),,IFERROR(vlookup($A946,indirect("'TVC-"&amp;text(month(H$1),"00")&amp;"'!$A:$D"),4,false),1))</f>
        <v>2785</v>
      </c>
      <c r="I946" s="62">
        <f t="shared" si="1892"/>
        <v>3060</v>
      </c>
      <c r="J946" s="62">
        <f t="shared" si="1892"/>
        <v>3129</v>
      </c>
      <c r="K946" s="62">
        <f t="shared" si="1892"/>
        <v>2966</v>
      </c>
      <c r="L946" s="62">
        <f t="shared" si="1892"/>
        <v>2965</v>
      </c>
      <c r="M946" s="62">
        <f t="shared" si="1892"/>
        <v>2996</v>
      </c>
      <c r="N946" s="62">
        <f t="shared" si="1892"/>
        <v>3023</v>
      </c>
      <c r="O946" s="62">
        <f t="shared" si="1892"/>
        <v>1</v>
      </c>
      <c r="P946" s="62" t="str">
        <f t="shared" si="1892"/>
        <v/>
      </c>
      <c r="Q946" s="62" t="str">
        <f t="shared" si="1892"/>
        <v/>
      </c>
      <c r="R946" s="62">
        <f t="shared" si="7"/>
        <v>-3022</v>
      </c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</row>
    <row r="947" hidden="1">
      <c r="A947" s="60">
        <f>IFERROR(__xludf.DUMMYFUNCTION("""COMPUTED_VALUE"""),14802.0)</f>
        <v>14802</v>
      </c>
      <c r="B947" s="60" t="str">
        <f>IFERROR(__xludf.DUMMYFUNCTION("""COMPUTED_VALUE"""),"Taylor, Jonathan")</f>
        <v>Taylor, Jonathan</v>
      </c>
      <c r="C947" s="60" t="str">
        <f>IFERROR(__xludf.DUMMYFUNCTION("""COMPUTED_VALUE"""),"RB")</f>
        <v>RB</v>
      </c>
      <c r="D947" s="60" t="str">
        <f>IFERROR(__xludf.DUMMYFUNCTION("""COMPUTED_VALUE"""),"IND")</f>
        <v>IND</v>
      </c>
      <c r="E947" s="62" t="str">
        <f t="shared" si="4"/>
        <v>Jonathan Taylor</v>
      </c>
      <c r="F947" s="62">
        <f t="shared" ref="F947:G947" si="1893">IF(isblank(F$1),,IF(isblank($A947),,IFERROR(vlookup($A947,indirect("'TVC-"&amp;text(month(F$1),"00")&amp;"'!$A:$D"),4,false),1)))</f>
        <v>6679</v>
      </c>
      <c r="G947" s="62">
        <f t="shared" si="1893"/>
        <v>6188</v>
      </c>
      <c r="H947" s="62">
        <f t="shared" ref="H947:Q947" si="1894">IF(isblank(H$1),,IFERROR(vlookup($A947,indirect("'TVC-"&amp;text(month(H$1),"00")&amp;"'!$A:$D"),4,false),1))</f>
        <v>6119</v>
      </c>
      <c r="I947" s="62">
        <f t="shared" si="1894"/>
        <v>5987</v>
      </c>
      <c r="J947" s="62">
        <f t="shared" si="1894"/>
        <v>6033</v>
      </c>
      <c r="K947" s="62">
        <f t="shared" si="1894"/>
        <v>6027</v>
      </c>
      <c r="L947" s="62">
        <f t="shared" si="1894"/>
        <v>6010</v>
      </c>
      <c r="M947" s="62">
        <f t="shared" si="1894"/>
        <v>6153</v>
      </c>
      <c r="N947" s="62">
        <f t="shared" si="1894"/>
        <v>6377</v>
      </c>
      <c r="O947" s="62">
        <f t="shared" si="1894"/>
        <v>1</v>
      </c>
      <c r="P947" s="62" t="str">
        <f t="shared" si="1894"/>
        <v/>
      </c>
      <c r="Q947" s="62" t="str">
        <f t="shared" si="1894"/>
        <v/>
      </c>
      <c r="R947" s="62">
        <f t="shared" si="7"/>
        <v>-6376</v>
      </c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</row>
    <row r="948" hidden="1">
      <c r="A948" s="60">
        <f>IFERROR(__xludf.DUMMYFUNCTION("""COMPUTED_VALUE"""),14803.0)</f>
        <v>14803</v>
      </c>
      <c r="B948" s="60" t="str">
        <f>IFERROR(__xludf.DUMMYFUNCTION("""COMPUTED_VALUE"""),"Edwards-Helaire, Clyde")</f>
        <v>Edwards-Helaire, Clyde</v>
      </c>
      <c r="C948" s="60" t="str">
        <f>IFERROR(__xludf.DUMMYFUNCTION("""COMPUTED_VALUE"""),"RB")</f>
        <v>RB</v>
      </c>
      <c r="D948" s="60" t="str">
        <f>IFERROR(__xludf.DUMMYFUNCTION("""COMPUTED_VALUE"""),"KCC")</f>
        <v>KCC</v>
      </c>
      <c r="E948" s="62" t="str">
        <f t="shared" si="4"/>
        <v>Clyde Edwards-Helaire</v>
      </c>
      <c r="F948" s="62">
        <f t="shared" ref="F948:G948" si="1895">IF(isblank(F$1),,IF(isblank($A948),,IFERROR(vlookup($A948,indirect("'TVC-"&amp;text(month(F$1),"00")&amp;"'!$A:$D"),4,false),1)))</f>
        <v>360</v>
      </c>
      <c r="G948" s="62">
        <f t="shared" si="1895"/>
        <v>1</v>
      </c>
      <c r="H948" s="62">
        <f t="shared" ref="H948:Q948" si="1896">IF(isblank(H$1),,IFERROR(vlookup($A948,indirect("'TVC-"&amp;text(month(H$1),"00")&amp;"'!$A:$D"),4,false),1))</f>
        <v>1</v>
      </c>
      <c r="I948" s="62">
        <f t="shared" si="1896"/>
        <v>1</v>
      </c>
      <c r="J948" s="62">
        <f t="shared" si="1896"/>
        <v>1</v>
      </c>
      <c r="K948" s="62">
        <f t="shared" si="1896"/>
        <v>1</v>
      </c>
      <c r="L948" s="62">
        <f t="shared" si="1896"/>
        <v>1</v>
      </c>
      <c r="M948" s="62">
        <f t="shared" si="1896"/>
        <v>1</v>
      </c>
      <c r="N948" s="62">
        <f t="shared" si="1896"/>
        <v>1</v>
      </c>
      <c r="O948" s="62">
        <f t="shared" si="1896"/>
        <v>1</v>
      </c>
      <c r="P948" s="62" t="str">
        <f t="shared" si="1896"/>
        <v/>
      </c>
      <c r="Q948" s="62" t="str">
        <f t="shared" si="1896"/>
        <v/>
      </c>
      <c r="R948" s="62">
        <f t="shared" si="7"/>
        <v>0</v>
      </c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</row>
    <row r="949">
      <c r="A949" s="60">
        <f>IFERROR(__xludf.DUMMYFUNCTION("""COMPUTED_VALUE"""),14805.0)</f>
        <v>14805</v>
      </c>
      <c r="B949" s="60" t="str">
        <f>IFERROR(__xludf.DUMMYFUNCTION("""COMPUTED_VALUE"""),"Dillon, AJ")</f>
        <v>Dillon, AJ</v>
      </c>
      <c r="C949" s="60" t="str">
        <f>IFERROR(__xludf.DUMMYFUNCTION("""COMPUTED_VALUE"""),"RB")</f>
        <v>RB</v>
      </c>
      <c r="D949" s="60" t="str">
        <f>IFERROR(__xludf.DUMMYFUNCTION("""COMPUTED_VALUE"""),"CAR")</f>
        <v>CAR</v>
      </c>
      <c r="E949" s="62" t="str">
        <f t="shared" si="4"/>
        <v>AJ Dillon</v>
      </c>
      <c r="F949" s="62">
        <f t="shared" ref="F949:G949" si="1897">IF(isblank(F$1),,IF(isblank($A949),,IFERROR(vlookup($A949,indirect("'TVC-"&amp;text(month(F$1),"00")&amp;"'!$A:$D"),4,false),1)))</f>
        <v>776</v>
      </c>
      <c r="G949" s="62">
        <f t="shared" si="1897"/>
        <v>770</v>
      </c>
      <c r="H949" s="62">
        <f t="shared" ref="H949:Q949" si="1898">IF(isblank(H$1),,IFERROR(vlookup($A949,indirect("'TVC-"&amp;text(month(H$1),"00")&amp;"'!$A:$D"),4,false),1))</f>
        <v>807</v>
      </c>
      <c r="I949" s="62">
        <f t="shared" si="1898"/>
        <v>806</v>
      </c>
      <c r="J949" s="62">
        <f t="shared" si="1898"/>
        <v>1</v>
      </c>
      <c r="K949" s="62">
        <f t="shared" si="1898"/>
        <v>1</v>
      </c>
      <c r="L949" s="62">
        <f t="shared" si="1898"/>
        <v>536</v>
      </c>
      <c r="M949" s="62">
        <f t="shared" si="1898"/>
        <v>552</v>
      </c>
      <c r="N949" s="62">
        <f t="shared" si="1898"/>
        <v>688</v>
      </c>
      <c r="O949" s="62">
        <f t="shared" si="1898"/>
        <v>1</v>
      </c>
      <c r="P949" s="62" t="str">
        <f t="shared" si="1898"/>
        <v/>
      </c>
      <c r="Q949" s="62" t="str">
        <f t="shared" si="1898"/>
        <v/>
      </c>
      <c r="R949" s="62">
        <f t="shared" si="7"/>
        <v>-687</v>
      </c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</row>
    <row r="950">
      <c r="A950" s="60">
        <f>IFERROR(__xludf.DUMMYFUNCTION("""COMPUTED_VALUE"""),14811.0)</f>
        <v>14811</v>
      </c>
      <c r="B950" s="60" t="str">
        <f>IFERROR(__xludf.DUMMYFUNCTION("""COMPUTED_VALUE"""),"Ahmed, Salvon")</f>
        <v>Ahmed, Salvon</v>
      </c>
      <c r="C950" s="60" t="str">
        <f>IFERROR(__xludf.DUMMYFUNCTION("""COMPUTED_VALUE"""),"RB")</f>
        <v>RB</v>
      </c>
      <c r="D950" s="60" t="str">
        <f>IFERROR(__xludf.DUMMYFUNCTION("""COMPUTED_VALUE"""),"CHI")</f>
        <v>CHI</v>
      </c>
      <c r="E950" s="62" t="str">
        <f t="shared" si="4"/>
        <v>Salvon Ahmed</v>
      </c>
      <c r="F950" s="62">
        <f t="shared" ref="F950:G950" si="1899">IF(isblank(F$1),,IF(isblank($A950),,IFERROR(vlookup($A950,indirect("'TVC-"&amp;text(month(F$1),"00")&amp;"'!$A:$D"),4,false),1)))</f>
        <v>1</v>
      </c>
      <c r="G950" s="62">
        <f t="shared" si="1899"/>
        <v>1</v>
      </c>
      <c r="H950" s="62">
        <f t="shared" ref="H950:Q950" si="1900">IF(isblank(H$1),,IFERROR(vlookup($A950,indirect("'TVC-"&amp;text(month(H$1),"00")&amp;"'!$A:$D"),4,false),1))</f>
        <v>1</v>
      </c>
      <c r="I950" s="62">
        <f t="shared" si="1900"/>
        <v>1</v>
      </c>
      <c r="J950" s="62">
        <f t="shared" si="1900"/>
        <v>1</v>
      </c>
      <c r="K950" s="62">
        <f t="shared" si="1900"/>
        <v>1</v>
      </c>
      <c r="L950" s="62">
        <f t="shared" si="1900"/>
        <v>1</v>
      </c>
      <c r="M950" s="62">
        <f t="shared" si="1900"/>
        <v>1</v>
      </c>
      <c r="N950" s="62">
        <f t="shared" si="1900"/>
        <v>1</v>
      </c>
      <c r="O950" s="62">
        <f t="shared" si="1900"/>
        <v>1</v>
      </c>
      <c r="P950" s="62" t="str">
        <f t="shared" si="1900"/>
        <v/>
      </c>
      <c r="Q950" s="62" t="str">
        <f t="shared" si="1900"/>
        <v/>
      </c>
      <c r="R950" s="62">
        <f t="shared" si="7"/>
        <v>0</v>
      </c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</row>
    <row r="951">
      <c r="A951" s="60">
        <f>IFERROR(__xludf.DUMMYFUNCTION("""COMPUTED_VALUE"""),14815.0)</f>
        <v>14815</v>
      </c>
      <c r="B951" s="60" t="str">
        <f>IFERROR(__xludf.DUMMYFUNCTION("""COMPUTED_VALUE"""),"Dallas, DeeJay")</f>
        <v>Dallas, DeeJay</v>
      </c>
      <c r="C951" s="60" t="str">
        <f>IFERROR(__xludf.DUMMYFUNCTION("""COMPUTED_VALUE"""),"RB")</f>
        <v>RB</v>
      </c>
      <c r="D951" s="60" t="str">
        <f>IFERROR(__xludf.DUMMYFUNCTION("""COMPUTED_VALUE"""),"MIN")</f>
        <v>MIN</v>
      </c>
      <c r="E951" s="62" t="str">
        <f t="shared" si="4"/>
        <v>DeeJay Dallas</v>
      </c>
      <c r="F951" s="62">
        <f t="shared" ref="F951:G951" si="1901">IF(isblank(F$1),,IF(isblank($A951),,IFERROR(vlookup($A951,indirect("'TVC-"&amp;text(month(F$1),"00")&amp;"'!$A:$D"),4,false),1)))</f>
        <v>386</v>
      </c>
      <c r="G951" s="62">
        <f t="shared" si="1901"/>
        <v>1</v>
      </c>
      <c r="H951" s="62">
        <f t="shared" ref="H951:Q951" si="1902">IF(isblank(H$1),,IFERROR(vlookup($A951,indirect("'TVC-"&amp;text(month(H$1),"00")&amp;"'!$A:$D"),4,false),1))</f>
        <v>1</v>
      </c>
      <c r="I951" s="62">
        <f t="shared" si="1902"/>
        <v>1</v>
      </c>
      <c r="J951" s="62">
        <f t="shared" si="1902"/>
        <v>1</v>
      </c>
      <c r="K951" s="62">
        <f t="shared" si="1902"/>
        <v>1</v>
      </c>
      <c r="L951" s="62">
        <f t="shared" si="1902"/>
        <v>1</v>
      </c>
      <c r="M951" s="62">
        <f t="shared" si="1902"/>
        <v>1</v>
      </c>
      <c r="N951" s="62">
        <f t="shared" si="1902"/>
        <v>1</v>
      </c>
      <c r="O951" s="62">
        <f t="shared" si="1902"/>
        <v>1</v>
      </c>
      <c r="P951" s="62" t="str">
        <f t="shared" si="1902"/>
        <v/>
      </c>
      <c r="Q951" s="62" t="str">
        <f t="shared" si="1902"/>
        <v/>
      </c>
      <c r="R951" s="62">
        <f t="shared" si="7"/>
        <v>0</v>
      </c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</row>
    <row r="952" hidden="1">
      <c r="A952" s="60">
        <f>IFERROR(__xludf.DUMMYFUNCTION("""COMPUTED_VALUE"""),14817.0)</f>
        <v>14817</v>
      </c>
      <c r="B952" s="60" t="str">
        <f>IFERROR(__xludf.DUMMYFUNCTION("""COMPUTED_VALUE"""),"Taylor, Patrick")</f>
        <v>Taylor, Patrick</v>
      </c>
      <c r="C952" s="60" t="str">
        <f>IFERROR(__xludf.DUMMYFUNCTION("""COMPUTED_VALUE"""),"RB")</f>
        <v>RB</v>
      </c>
      <c r="D952" s="60" t="str">
        <f>IFERROR(__xludf.DUMMYFUNCTION("""COMPUTED_VALUE"""),"FA")</f>
        <v>FA</v>
      </c>
      <c r="E952" s="62" t="str">
        <f t="shared" si="4"/>
        <v>Patrick Taylor</v>
      </c>
      <c r="F952" s="62">
        <f t="shared" ref="F952:G952" si="1903">IF(isblank(F$1),,IF(isblank($A952),,IFERROR(vlookup($A952,indirect("'TVC-"&amp;text(month(F$1),"00")&amp;"'!$A:$D"),4,false),1)))</f>
        <v>1</v>
      </c>
      <c r="G952" s="62">
        <f t="shared" si="1903"/>
        <v>1</v>
      </c>
      <c r="H952" s="62">
        <f t="shared" ref="H952:Q952" si="1904">IF(isblank(H$1),,IFERROR(vlookup($A952,indirect("'TVC-"&amp;text(month(H$1),"00")&amp;"'!$A:$D"),4,false),1))</f>
        <v>1</v>
      </c>
      <c r="I952" s="62">
        <f t="shared" si="1904"/>
        <v>1</v>
      </c>
      <c r="J952" s="62">
        <f t="shared" si="1904"/>
        <v>1</v>
      </c>
      <c r="K952" s="62">
        <f t="shared" si="1904"/>
        <v>1</v>
      </c>
      <c r="L952" s="62">
        <f t="shared" si="1904"/>
        <v>1</v>
      </c>
      <c r="M952" s="62">
        <f t="shared" si="1904"/>
        <v>1</v>
      </c>
      <c r="N952" s="62">
        <f t="shared" si="1904"/>
        <v>1</v>
      </c>
      <c r="O952" s="62">
        <f t="shared" si="1904"/>
        <v>1</v>
      </c>
      <c r="P952" s="62" t="str">
        <f t="shared" si="1904"/>
        <v/>
      </c>
      <c r="Q952" s="62" t="str">
        <f t="shared" si="1904"/>
        <v/>
      </c>
      <c r="R952" s="62">
        <f t="shared" si="7"/>
        <v>0</v>
      </c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</row>
    <row r="953">
      <c r="A953" s="60">
        <f>IFERROR(__xludf.DUMMYFUNCTION("""COMPUTED_VALUE"""),14823.0)</f>
        <v>14823</v>
      </c>
      <c r="B953" s="60" t="str">
        <f>IFERROR(__xludf.DUMMYFUNCTION("""COMPUTED_VALUE"""),"Dowdle, Rico")</f>
        <v>Dowdle, Rico</v>
      </c>
      <c r="C953" s="60" t="str">
        <f>IFERROR(__xludf.DUMMYFUNCTION("""COMPUTED_VALUE"""),"RB")</f>
        <v>RB</v>
      </c>
      <c r="D953" s="60" t="str">
        <f>IFERROR(__xludf.DUMMYFUNCTION("""COMPUTED_VALUE"""),"PIT")</f>
        <v>PIT</v>
      </c>
      <c r="E953" s="62" t="str">
        <f t="shared" si="4"/>
        <v>Rico Dowdle</v>
      </c>
      <c r="F953" s="62">
        <f t="shared" ref="F953:G953" si="1905">IF(isblank(F$1),,IF(isblank($A953),,IFERROR(vlookup($A953,indirect("'TVC-"&amp;text(month(F$1),"00")&amp;"'!$A:$D"),4,false),1)))</f>
        <v>3354</v>
      </c>
      <c r="G953" s="62">
        <f t="shared" si="1905"/>
        <v>3150</v>
      </c>
      <c r="H953" s="62">
        <f t="shared" ref="H953:Q953" si="1906">IF(isblank(H$1),,IFERROR(vlookup($A953,indirect("'TVC-"&amp;text(month(H$1),"00")&amp;"'!$A:$D"),4,false),1))</f>
        <v>3132</v>
      </c>
      <c r="I953" s="62">
        <f t="shared" si="1906"/>
        <v>3307</v>
      </c>
      <c r="J953" s="62">
        <f t="shared" si="1906"/>
        <v>3183</v>
      </c>
      <c r="K953" s="62">
        <f t="shared" si="1906"/>
        <v>3193</v>
      </c>
      <c r="L953" s="62">
        <f t="shared" si="1906"/>
        <v>3151</v>
      </c>
      <c r="M953" s="62">
        <f t="shared" si="1906"/>
        <v>3090</v>
      </c>
      <c r="N953" s="62">
        <f t="shared" si="1906"/>
        <v>3195</v>
      </c>
      <c r="O953" s="62">
        <f t="shared" si="1906"/>
        <v>1</v>
      </c>
      <c r="P953" s="62" t="str">
        <f t="shared" si="1906"/>
        <v/>
      </c>
      <c r="Q953" s="62" t="str">
        <f t="shared" si="1906"/>
        <v/>
      </c>
      <c r="R953" s="62">
        <f t="shared" si="7"/>
        <v>-3194</v>
      </c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</row>
    <row r="954">
      <c r="A954" s="60">
        <f>IFERROR(__xludf.DUMMYFUNCTION("""COMPUTED_VALUE"""),14832.0)</f>
        <v>14832</v>
      </c>
      <c r="B954" s="60" t="str">
        <f>IFERROR(__xludf.DUMMYFUNCTION("""COMPUTED_VALUE"""),"Lamb, CeeDee")</f>
        <v>Lamb, CeeDee</v>
      </c>
      <c r="C954" s="60" t="str">
        <f>IFERROR(__xludf.DUMMYFUNCTION("""COMPUTED_VALUE"""),"WR")</f>
        <v>WR</v>
      </c>
      <c r="D954" s="60" t="str">
        <f>IFERROR(__xludf.DUMMYFUNCTION("""COMPUTED_VALUE"""),"DAL")</f>
        <v>DAL</v>
      </c>
      <c r="E954" s="62" t="str">
        <f t="shared" si="4"/>
        <v>CeeDee Lamb</v>
      </c>
      <c r="F954" s="62">
        <f t="shared" ref="F954:G954" si="1907">IF(isblank(F$1),,IF(isblank($A954),,IFERROR(vlookup($A954,indirect("'TVC-"&amp;text(month(F$1),"00")&amp;"'!$A:$D"),4,false),1)))</f>
        <v>7513</v>
      </c>
      <c r="G954" s="62">
        <f t="shared" si="1907"/>
        <v>7349</v>
      </c>
      <c r="H954" s="62">
        <f t="shared" ref="H954:Q954" si="1908">IF(isblank(H$1),,IFERROR(vlookup($A954,indirect("'TVC-"&amp;text(month(H$1),"00")&amp;"'!$A:$D"),4,false),1))</f>
        <v>7338</v>
      </c>
      <c r="I954" s="62">
        <f t="shared" si="1908"/>
        <v>7324</v>
      </c>
      <c r="J954" s="62">
        <f t="shared" si="1908"/>
        <v>7315</v>
      </c>
      <c r="K954" s="62">
        <f t="shared" si="1908"/>
        <v>7260</v>
      </c>
      <c r="L954" s="62">
        <f t="shared" si="1908"/>
        <v>7228</v>
      </c>
      <c r="M954" s="62">
        <f t="shared" si="1908"/>
        <v>7133</v>
      </c>
      <c r="N954" s="62">
        <f t="shared" si="1908"/>
        <v>7194</v>
      </c>
      <c r="O954" s="62">
        <f t="shared" si="1908"/>
        <v>1</v>
      </c>
      <c r="P954" s="62" t="str">
        <f t="shared" si="1908"/>
        <v/>
      </c>
      <c r="Q954" s="62" t="str">
        <f t="shared" si="1908"/>
        <v/>
      </c>
      <c r="R954" s="62">
        <f t="shared" si="7"/>
        <v>-7193</v>
      </c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</row>
    <row r="955" hidden="1">
      <c r="A955" s="60">
        <f>IFERROR(__xludf.DUMMYFUNCTION("""COMPUTED_VALUE"""),14833.0)</f>
        <v>14833</v>
      </c>
      <c r="B955" s="60" t="str">
        <f>IFERROR(__xludf.DUMMYFUNCTION("""COMPUTED_VALUE"""),"Jeudy, Jerry")</f>
        <v>Jeudy, Jerry</v>
      </c>
      <c r="C955" s="60" t="str">
        <f>IFERROR(__xludf.DUMMYFUNCTION("""COMPUTED_VALUE"""),"WR")</f>
        <v>WR</v>
      </c>
      <c r="D955" s="60" t="str">
        <f>IFERROR(__xludf.DUMMYFUNCTION("""COMPUTED_VALUE"""),"CLE")</f>
        <v>CLE</v>
      </c>
      <c r="E955" s="62" t="str">
        <f t="shared" si="4"/>
        <v>Jerry Jeudy</v>
      </c>
      <c r="F955" s="62">
        <f t="shared" ref="F955:G955" si="1909">IF(isblank(F$1),,IF(isblank($A955),,IFERROR(vlookup($A955,indirect("'TVC-"&amp;text(month(F$1),"00")&amp;"'!$A:$D"),4,false),1)))</f>
        <v>2603</v>
      </c>
      <c r="G955" s="62">
        <f t="shared" si="1909"/>
        <v>2647</v>
      </c>
      <c r="H955" s="62">
        <f t="shared" ref="H955:Q955" si="1910">IF(isblank(H$1),,IFERROR(vlookup($A955,indirect("'TVC-"&amp;text(month(H$1),"00")&amp;"'!$A:$D"),4,false),1))</f>
        <v>2647</v>
      </c>
      <c r="I955" s="62">
        <f t="shared" si="1910"/>
        <v>2714</v>
      </c>
      <c r="J955" s="62">
        <f t="shared" si="1910"/>
        <v>2704</v>
      </c>
      <c r="K955" s="62">
        <f t="shared" si="1910"/>
        <v>2627</v>
      </c>
      <c r="L955" s="62">
        <f t="shared" si="1910"/>
        <v>2608</v>
      </c>
      <c r="M955" s="62">
        <f t="shared" si="1910"/>
        <v>2511</v>
      </c>
      <c r="N955" s="62">
        <f t="shared" si="1910"/>
        <v>2236</v>
      </c>
      <c r="O955" s="62">
        <f t="shared" si="1910"/>
        <v>1</v>
      </c>
      <c r="P955" s="62" t="str">
        <f t="shared" si="1910"/>
        <v/>
      </c>
      <c r="Q955" s="62" t="str">
        <f t="shared" si="1910"/>
        <v/>
      </c>
      <c r="R955" s="62">
        <f t="shared" si="7"/>
        <v>-2235</v>
      </c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</row>
    <row r="956" hidden="1">
      <c r="A956" s="60">
        <f>IFERROR(__xludf.DUMMYFUNCTION("""COMPUTED_VALUE"""),14834.0)</f>
        <v>14834</v>
      </c>
      <c r="B956" s="60" t="str">
        <f>IFERROR(__xludf.DUMMYFUNCTION("""COMPUTED_VALUE"""),"Ruggs, Henry")</f>
        <v>Ruggs, Henry</v>
      </c>
      <c r="C956" s="60" t="str">
        <f>IFERROR(__xludf.DUMMYFUNCTION("""COMPUTED_VALUE"""),"WR")</f>
        <v>WR</v>
      </c>
      <c r="D956" s="60" t="str">
        <f>IFERROR(__xludf.DUMMYFUNCTION("""COMPUTED_VALUE"""),"FA")</f>
        <v>FA</v>
      </c>
      <c r="E956" s="62" t="str">
        <f t="shared" si="4"/>
        <v>Henry Ruggs</v>
      </c>
      <c r="F956" s="62">
        <f t="shared" ref="F956:G956" si="1911">IF(isblank(F$1),,IF(isblank($A956),,IFERROR(vlookup($A956,indirect("'TVC-"&amp;text(month(F$1),"00")&amp;"'!$A:$D"),4,false),1)))</f>
        <v>1</v>
      </c>
      <c r="G956" s="62">
        <f t="shared" si="1911"/>
        <v>1</v>
      </c>
      <c r="H956" s="62">
        <f t="shared" ref="H956:Q956" si="1912">IF(isblank(H$1),,IFERROR(vlookup($A956,indirect("'TVC-"&amp;text(month(H$1),"00")&amp;"'!$A:$D"),4,false),1))</f>
        <v>1</v>
      </c>
      <c r="I956" s="62">
        <f t="shared" si="1912"/>
        <v>1</v>
      </c>
      <c r="J956" s="62">
        <f t="shared" si="1912"/>
        <v>1</v>
      </c>
      <c r="K956" s="62">
        <f t="shared" si="1912"/>
        <v>1</v>
      </c>
      <c r="L956" s="62">
        <f t="shared" si="1912"/>
        <v>1</v>
      </c>
      <c r="M956" s="62">
        <f t="shared" si="1912"/>
        <v>1</v>
      </c>
      <c r="N956" s="62">
        <f t="shared" si="1912"/>
        <v>1</v>
      </c>
      <c r="O956" s="62">
        <f t="shared" si="1912"/>
        <v>1</v>
      </c>
      <c r="P956" s="62" t="str">
        <f t="shared" si="1912"/>
        <v/>
      </c>
      <c r="Q956" s="62" t="str">
        <f t="shared" si="1912"/>
        <v/>
      </c>
      <c r="R956" s="62">
        <f t="shared" si="7"/>
        <v>0</v>
      </c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</row>
    <row r="957">
      <c r="A957" s="60">
        <f>IFERROR(__xludf.DUMMYFUNCTION("""COMPUTED_VALUE"""),14835.0)</f>
        <v>14835</v>
      </c>
      <c r="B957" s="60" t="str">
        <f>IFERROR(__xludf.DUMMYFUNCTION("""COMPUTED_VALUE"""),"Higgins, Tee")</f>
        <v>Higgins, Tee</v>
      </c>
      <c r="C957" s="60" t="str">
        <f>IFERROR(__xludf.DUMMYFUNCTION("""COMPUTED_VALUE"""),"WR")</f>
        <v>WR</v>
      </c>
      <c r="D957" s="60" t="str">
        <f>IFERROR(__xludf.DUMMYFUNCTION("""COMPUTED_VALUE"""),"CIN")</f>
        <v>CIN</v>
      </c>
      <c r="E957" s="62" t="str">
        <f t="shared" si="4"/>
        <v>Tee Higgins</v>
      </c>
      <c r="F957" s="62">
        <f t="shared" ref="F957:G957" si="1913">IF(isblank(F$1),,IF(isblank($A957),,IFERROR(vlookup($A957,indirect("'TVC-"&amp;text(month(F$1),"00")&amp;"'!$A:$D"),4,false),1)))</f>
        <v>4958</v>
      </c>
      <c r="G957" s="62">
        <f t="shared" si="1913"/>
        <v>4876</v>
      </c>
      <c r="H957" s="62">
        <f t="shared" ref="H957:Q957" si="1914">IF(isblank(H$1),,IFERROR(vlookup($A957,indirect("'TVC-"&amp;text(month(H$1),"00")&amp;"'!$A:$D"),4,false),1))</f>
        <v>4825</v>
      </c>
      <c r="I957" s="62">
        <f t="shared" si="1914"/>
        <v>4917</v>
      </c>
      <c r="J957" s="62">
        <f t="shared" si="1914"/>
        <v>4895</v>
      </c>
      <c r="K957" s="62">
        <f t="shared" si="1914"/>
        <v>4927</v>
      </c>
      <c r="L957" s="62">
        <f t="shared" si="1914"/>
        <v>4938</v>
      </c>
      <c r="M957" s="62">
        <f t="shared" si="1914"/>
        <v>4969</v>
      </c>
      <c r="N957" s="62">
        <f t="shared" si="1914"/>
        <v>5095</v>
      </c>
      <c r="O957" s="62">
        <f t="shared" si="1914"/>
        <v>1</v>
      </c>
      <c r="P957" s="62" t="str">
        <f t="shared" si="1914"/>
        <v/>
      </c>
      <c r="Q957" s="62" t="str">
        <f t="shared" si="1914"/>
        <v/>
      </c>
      <c r="R957" s="62">
        <f t="shared" si="7"/>
        <v>-5094</v>
      </c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</row>
    <row r="958" hidden="1">
      <c r="A958" s="60">
        <f>IFERROR(__xludf.DUMMYFUNCTION("""COMPUTED_VALUE"""),14836.0)</f>
        <v>14836</v>
      </c>
      <c r="B958" s="60" t="str">
        <f>IFERROR(__xludf.DUMMYFUNCTION("""COMPUTED_VALUE"""),"Jefferson, Justin")</f>
        <v>Jefferson, Justin</v>
      </c>
      <c r="C958" s="60" t="str">
        <f>IFERROR(__xludf.DUMMYFUNCTION("""COMPUTED_VALUE"""),"WR")</f>
        <v>WR</v>
      </c>
      <c r="D958" s="60" t="str">
        <f>IFERROR(__xludf.DUMMYFUNCTION("""COMPUTED_VALUE"""),"MIN")</f>
        <v>MIN</v>
      </c>
      <c r="E958" s="62" t="str">
        <f t="shared" si="4"/>
        <v>Justin Jefferson</v>
      </c>
      <c r="F958" s="62">
        <f t="shared" ref="F958:G958" si="1915">IF(isblank(F$1),,IF(isblank($A958),,IFERROR(vlookup($A958,indirect("'TVC-"&amp;text(month(F$1),"00")&amp;"'!$A:$D"),4,false),1)))</f>
        <v>7419</v>
      </c>
      <c r="G958" s="62">
        <f t="shared" si="1915"/>
        <v>7410</v>
      </c>
      <c r="H958" s="62">
        <f t="shared" ref="H958:Q958" si="1916">IF(isblank(H$1),,IFERROR(vlookup($A958,indirect("'TVC-"&amp;text(month(H$1),"00")&amp;"'!$A:$D"),4,false),1))</f>
        <v>7390</v>
      </c>
      <c r="I958" s="62">
        <f t="shared" si="1916"/>
        <v>7681</v>
      </c>
      <c r="J958" s="62">
        <f t="shared" si="1916"/>
        <v>7766</v>
      </c>
      <c r="K958" s="62">
        <f t="shared" si="1916"/>
        <v>7789</v>
      </c>
      <c r="L958" s="62">
        <f t="shared" si="1916"/>
        <v>7601</v>
      </c>
      <c r="M958" s="62">
        <f t="shared" si="1916"/>
        <v>7614</v>
      </c>
      <c r="N958" s="62">
        <f t="shared" si="1916"/>
        <v>7390</v>
      </c>
      <c r="O958" s="62">
        <f t="shared" si="1916"/>
        <v>1</v>
      </c>
      <c r="P958" s="62" t="str">
        <f t="shared" si="1916"/>
        <v/>
      </c>
      <c r="Q958" s="62" t="str">
        <f t="shared" si="1916"/>
        <v/>
      </c>
      <c r="R958" s="62">
        <f t="shared" si="7"/>
        <v>-7389</v>
      </c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</row>
    <row r="959">
      <c r="A959" s="60">
        <f>IFERROR(__xludf.DUMMYFUNCTION("""COMPUTED_VALUE"""),14838.0)</f>
        <v>14838</v>
      </c>
      <c r="B959" s="60" t="str">
        <f>IFERROR(__xludf.DUMMYFUNCTION("""COMPUTED_VALUE"""),"Shenault, Laviska")</f>
        <v>Shenault, Laviska</v>
      </c>
      <c r="C959" s="60" t="str">
        <f>IFERROR(__xludf.DUMMYFUNCTION("""COMPUTED_VALUE"""),"WR")</f>
        <v>WR</v>
      </c>
      <c r="D959" s="60" t="str">
        <f>IFERROR(__xludf.DUMMYFUNCTION("""COMPUTED_VALUE"""),"FA")</f>
        <v>FA</v>
      </c>
      <c r="E959" s="62" t="str">
        <f t="shared" si="4"/>
        <v>Laviska Shenault</v>
      </c>
      <c r="F959" s="62">
        <f t="shared" ref="F959:G959" si="1917">IF(isblank(F$1),,IF(isblank($A959),,IFERROR(vlookup($A959,indirect("'TVC-"&amp;text(month(F$1),"00")&amp;"'!$A:$D"),4,false),1)))</f>
        <v>1</v>
      </c>
      <c r="G959" s="62">
        <f t="shared" si="1917"/>
        <v>1</v>
      </c>
      <c r="H959" s="62">
        <f t="shared" ref="H959:Q959" si="1918">IF(isblank(H$1),,IFERROR(vlookup($A959,indirect("'TVC-"&amp;text(month(H$1),"00")&amp;"'!$A:$D"),4,false),1))</f>
        <v>1</v>
      </c>
      <c r="I959" s="62">
        <f t="shared" si="1918"/>
        <v>1</v>
      </c>
      <c r="J959" s="62">
        <f t="shared" si="1918"/>
        <v>1</v>
      </c>
      <c r="K959" s="62">
        <f t="shared" si="1918"/>
        <v>1</v>
      </c>
      <c r="L959" s="62">
        <f t="shared" si="1918"/>
        <v>1</v>
      </c>
      <c r="M959" s="62">
        <f t="shared" si="1918"/>
        <v>1</v>
      </c>
      <c r="N959" s="62">
        <f t="shared" si="1918"/>
        <v>1</v>
      </c>
      <c r="O959" s="62">
        <f t="shared" si="1918"/>
        <v>1</v>
      </c>
      <c r="P959" s="62" t="str">
        <f t="shared" si="1918"/>
        <v/>
      </c>
      <c r="Q959" s="62" t="str">
        <f t="shared" si="1918"/>
        <v/>
      </c>
      <c r="R959" s="62">
        <f t="shared" si="7"/>
        <v>0</v>
      </c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</row>
    <row r="960">
      <c r="A960" s="60">
        <f>IFERROR(__xludf.DUMMYFUNCTION("""COMPUTED_VALUE"""),14839.0)</f>
        <v>14839</v>
      </c>
      <c r="B960" s="60" t="str">
        <f>IFERROR(__xludf.DUMMYFUNCTION("""COMPUTED_VALUE"""),"Reagor, Jalen")</f>
        <v>Reagor, Jalen</v>
      </c>
      <c r="C960" s="60" t="str">
        <f>IFERROR(__xludf.DUMMYFUNCTION("""COMPUTED_VALUE"""),"WR")</f>
        <v>WR</v>
      </c>
      <c r="D960" s="60" t="str">
        <f>IFERROR(__xludf.DUMMYFUNCTION("""COMPUTED_VALUE"""),"MIA")</f>
        <v>MIA</v>
      </c>
      <c r="E960" s="62" t="str">
        <f t="shared" si="4"/>
        <v>Jalen Reagor</v>
      </c>
      <c r="F960" s="62">
        <f t="shared" ref="F960:G960" si="1919">IF(isblank(F$1),,IF(isblank($A960),,IFERROR(vlookup($A960,indirect("'TVC-"&amp;text(month(F$1),"00")&amp;"'!$A:$D"),4,false),1)))</f>
        <v>398</v>
      </c>
      <c r="G960" s="62">
        <f t="shared" si="1919"/>
        <v>1</v>
      </c>
      <c r="H960" s="62">
        <f t="shared" ref="H960:Q960" si="1920">IF(isblank(H$1),,IFERROR(vlookup($A960,indirect("'TVC-"&amp;text(month(H$1),"00")&amp;"'!$A:$D"),4,false),1))</f>
        <v>1</v>
      </c>
      <c r="I960" s="62">
        <f t="shared" si="1920"/>
        <v>1</v>
      </c>
      <c r="J960" s="62">
        <f t="shared" si="1920"/>
        <v>1</v>
      </c>
      <c r="K960" s="62">
        <f t="shared" si="1920"/>
        <v>1</v>
      </c>
      <c r="L960" s="62">
        <f t="shared" si="1920"/>
        <v>1</v>
      </c>
      <c r="M960" s="62">
        <f t="shared" si="1920"/>
        <v>1</v>
      </c>
      <c r="N960" s="62">
        <f t="shared" si="1920"/>
        <v>1</v>
      </c>
      <c r="O960" s="62">
        <f t="shared" si="1920"/>
        <v>1</v>
      </c>
      <c r="P960" s="62" t="str">
        <f t="shared" si="1920"/>
        <v/>
      </c>
      <c r="Q960" s="62" t="str">
        <f t="shared" si="1920"/>
        <v/>
      </c>
      <c r="R960" s="62">
        <f t="shared" si="7"/>
        <v>0</v>
      </c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</row>
    <row r="961" hidden="1">
      <c r="A961" s="60">
        <f>IFERROR(__xludf.DUMMYFUNCTION("""COMPUTED_VALUE"""),14840.0)</f>
        <v>14840</v>
      </c>
      <c r="B961" s="60" t="str">
        <f>IFERROR(__xludf.DUMMYFUNCTION("""COMPUTED_VALUE"""),"Aiyuk, Brandon")</f>
        <v>Aiyuk, Brandon</v>
      </c>
      <c r="C961" s="60" t="str">
        <f>IFERROR(__xludf.DUMMYFUNCTION("""COMPUTED_VALUE"""),"WR")</f>
        <v>WR</v>
      </c>
      <c r="D961" s="60" t="str">
        <f>IFERROR(__xludf.DUMMYFUNCTION("""COMPUTED_VALUE"""),"SFO")</f>
        <v>SFO</v>
      </c>
      <c r="E961" s="62" t="str">
        <f t="shared" si="4"/>
        <v>Brandon Aiyuk</v>
      </c>
      <c r="F961" s="62">
        <f t="shared" ref="F961:G961" si="1921">IF(isblank(F$1),,IF(isblank($A961),,IFERROR(vlookup($A961,indirect("'TVC-"&amp;text(month(F$1),"00")&amp;"'!$A:$D"),4,false),1)))</f>
        <v>2777</v>
      </c>
      <c r="G961" s="62">
        <f t="shared" si="1921"/>
        <v>2693</v>
      </c>
      <c r="H961" s="62">
        <f t="shared" ref="H961:Q961" si="1922">IF(isblank(H$1),,IFERROR(vlookup($A961,indirect("'TVC-"&amp;text(month(H$1),"00")&amp;"'!$A:$D"),4,false),1))</f>
        <v>2640</v>
      </c>
      <c r="I961" s="62">
        <f t="shared" si="1922"/>
        <v>2579</v>
      </c>
      <c r="J961" s="62">
        <f t="shared" si="1922"/>
        <v>2465</v>
      </c>
      <c r="K961" s="62">
        <f t="shared" si="1922"/>
        <v>2308</v>
      </c>
      <c r="L961" s="62">
        <f t="shared" si="1922"/>
        <v>2163</v>
      </c>
      <c r="M961" s="62">
        <f t="shared" si="1922"/>
        <v>1571</v>
      </c>
      <c r="N961" s="62">
        <f t="shared" si="1922"/>
        <v>1008</v>
      </c>
      <c r="O961" s="62">
        <f t="shared" si="1922"/>
        <v>1</v>
      </c>
      <c r="P961" s="62" t="str">
        <f t="shared" si="1922"/>
        <v/>
      </c>
      <c r="Q961" s="62" t="str">
        <f t="shared" si="1922"/>
        <v/>
      </c>
      <c r="R961" s="62">
        <f t="shared" si="7"/>
        <v>-1007</v>
      </c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</row>
    <row r="962" hidden="1">
      <c r="A962" s="60">
        <f>IFERROR(__xludf.DUMMYFUNCTION("""COMPUTED_VALUE"""),14841.0)</f>
        <v>14841</v>
      </c>
      <c r="B962" s="60" t="str">
        <f>IFERROR(__xludf.DUMMYFUNCTION("""COMPUTED_VALUE"""),"Claypool, Chase")</f>
        <v>Claypool, Chase</v>
      </c>
      <c r="C962" s="60" t="str">
        <f>IFERROR(__xludf.DUMMYFUNCTION("""COMPUTED_VALUE"""),"WR")</f>
        <v>WR</v>
      </c>
      <c r="D962" s="60" t="str">
        <f>IFERROR(__xludf.DUMMYFUNCTION("""COMPUTED_VALUE"""),"FA")</f>
        <v>FA</v>
      </c>
      <c r="E962" s="62" t="str">
        <f t="shared" si="4"/>
        <v>Chase Claypool</v>
      </c>
      <c r="F962" s="62">
        <f t="shared" ref="F962:G962" si="1923">IF(isblank(F$1),,IF(isblank($A962),,IFERROR(vlookup($A962,indirect("'TVC-"&amp;text(month(F$1),"00")&amp;"'!$A:$D"),4,false),1)))</f>
        <v>1</v>
      </c>
      <c r="G962" s="62">
        <f t="shared" si="1923"/>
        <v>1</v>
      </c>
      <c r="H962" s="62">
        <f t="shared" ref="H962:Q962" si="1924">IF(isblank(H$1),,IFERROR(vlookup($A962,indirect("'TVC-"&amp;text(month(H$1),"00")&amp;"'!$A:$D"),4,false),1))</f>
        <v>1</v>
      </c>
      <c r="I962" s="62">
        <f t="shared" si="1924"/>
        <v>1</v>
      </c>
      <c r="J962" s="62">
        <f t="shared" si="1924"/>
        <v>1</v>
      </c>
      <c r="K962" s="62">
        <f t="shared" si="1924"/>
        <v>1</v>
      </c>
      <c r="L962" s="62">
        <f t="shared" si="1924"/>
        <v>1</v>
      </c>
      <c r="M962" s="62">
        <f t="shared" si="1924"/>
        <v>1</v>
      </c>
      <c r="N962" s="62">
        <f t="shared" si="1924"/>
        <v>1</v>
      </c>
      <c r="O962" s="62">
        <f t="shared" si="1924"/>
        <v>1</v>
      </c>
      <c r="P962" s="62" t="str">
        <f t="shared" si="1924"/>
        <v/>
      </c>
      <c r="Q962" s="62" t="str">
        <f t="shared" si="1924"/>
        <v/>
      </c>
      <c r="R962" s="62">
        <f t="shared" si="7"/>
        <v>0</v>
      </c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</row>
    <row r="963">
      <c r="A963" s="60">
        <f>IFERROR(__xludf.DUMMYFUNCTION("""COMPUTED_VALUE"""),14842.0)</f>
        <v>14842</v>
      </c>
      <c r="B963" s="60" t="str">
        <f>IFERROR(__xludf.DUMMYFUNCTION("""COMPUTED_VALUE"""),"Pittman, Michael")</f>
        <v>Pittman, Michael</v>
      </c>
      <c r="C963" s="60" t="str">
        <f>IFERROR(__xludf.DUMMYFUNCTION("""COMPUTED_VALUE"""),"WR")</f>
        <v>WR</v>
      </c>
      <c r="D963" s="60" t="str">
        <f>IFERROR(__xludf.DUMMYFUNCTION("""COMPUTED_VALUE"""),"PIT")</f>
        <v>PIT</v>
      </c>
      <c r="E963" s="62" t="str">
        <f t="shared" si="4"/>
        <v>Michael Pittman</v>
      </c>
      <c r="F963" s="62">
        <f t="shared" ref="F963:G963" si="1925">IF(isblank(F$1),,IF(isblank($A963),,IFERROR(vlookup($A963,indirect("'TVC-"&amp;text(month(F$1),"00")&amp;"'!$A:$D"),4,false),1)))</f>
        <v>3683</v>
      </c>
      <c r="G963" s="62">
        <f t="shared" si="1925"/>
        <v>3584</v>
      </c>
      <c r="H963" s="62">
        <f t="shared" ref="H963:Q963" si="1926">IF(isblank(H$1),,IFERROR(vlookup($A963,indirect("'TVC-"&amp;text(month(H$1),"00")&amp;"'!$A:$D"),4,false),1))</f>
        <v>3597</v>
      </c>
      <c r="I963" s="62">
        <f t="shared" si="1926"/>
        <v>3522</v>
      </c>
      <c r="J963" s="62">
        <f t="shared" si="1926"/>
        <v>3362</v>
      </c>
      <c r="K963" s="62">
        <f t="shared" si="1926"/>
        <v>3361</v>
      </c>
      <c r="L963" s="62">
        <f t="shared" si="1926"/>
        <v>3361</v>
      </c>
      <c r="M963" s="62">
        <f t="shared" si="1926"/>
        <v>3379</v>
      </c>
      <c r="N963" s="62">
        <f t="shared" si="1926"/>
        <v>3241</v>
      </c>
      <c r="O963" s="62">
        <f t="shared" si="1926"/>
        <v>1</v>
      </c>
      <c r="P963" s="62" t="str">
        <f t="shared" si="1926"/>
        <v/>
      </c>
      <c r="Q963" s="62" t="str">
        <f t="shared" si="1926"/>
        <v/>
      </c>
      <c r="R963" s="62">
        <f t="shared" si="7"/>
        <v>-3240</v>
      </c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</row>
    <row r="964" hidden="1">
      <c r="A964" s="60">
        <f>IFERROR(__xludf.DUMMYFUNCTION("""COMPUTED_VALUE"""),14845.0)</f>
        <v>14845</v>
      </c>
      <c r="B964" s="60" t="str">
        <f>IFERROR(__xludf.DUMMYFUNCTION("""COMPUTED_VALUE"""),"Davis, Gabriel")</f>
        <v>Davis, Gabriel</v>
      </c>
      <c r="C964" s="60" t="str">
        <f>IFERROR(__xludf.DUMMYFUNCTION("""COMPUTED_VALUE"""),"WR")</f>
        <v>WR</v>
      </c>
      <c r="D964" s="60" t="str">
        <f>IFERROR(__xludf.DUMMYFUNCTION("""COMPUTED_VALUE"""),"BUF")</f>
        <v>BUF</v>
      </c>
      <c r="E964" s="62" t="str">
        <f t="shared" si="4"/>
        <v>Gabriel Davis</v>
      </c>
      <c r="F964" s="62">
        <f t="shared" ref="F964:G964" si="1927">IF(isblank(F$1),,IF(isblank($A964),,IFERROR(vlookup($A964,indirect("'TVC-"&amp;text(month(F$1),"00")&amp;"'!$A:$D"),4,false),1)))</f>
        <v>1136</v>
      </c>
      <c r="G964" s="62">
        <f t="shared" si="1927"/>
        <v>1133</v>
      </c>
      <c r="H964" s="62">
        <f t="shared" ref="H964:Q964" si="1928">IF(isblank(H$1),,IFERROR(vlookup($A964,indirect("'TVC-"&amp;text(month(H$1),"00")&amp;"'!$A:$D"),4,false),1))</f>
        <v>1112</v>
      </c>
      <c r="I964" s="62">
        <f t="shared" si="1928"/>
        <v>1182</v>
      </c>
      <c r="J964" s="62">
        <f t="shared" si="1928"/>
        <v>1138</v>
      </c>
      <c r="K964" s="62">
        <f t="shared" si="1928"/>
        <v>1147</v>
      </c>
      <c r="L964" s="62">
        <f t="shared" si="1928"/>
        <v>1121</v>
      </c>
      <c r="M964" s="62">
        <f t="shared" si="1928"/>
        <v>1061</v>
      </c>
      <c r="N964" s="62">
        <f t="shared" si="1928"/>
        <v>1101</v>
      </c>
      <c r="O964" s="62">
        <f t="shared" si="1928"/>
        <v>1</v>
      </c>
      <c r="P964" s="62" t="str">
        <f t="shared" si="1928"/>
        <v/>
      </c>
      <c r="Q964" s="62" t="str">
        <f t="shared" si="1928"/>
        <v/>
      </c>
      <c r="R964" s="62">
        <f t="shared" si="7"/>
        <v>-1100</v>
      </c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</row>
    <row r="965" hidden="1">
      <c r="A965" s="60">
        <f>IFERROR(__xludf.DUMMYFUNCTION("""COMPUTED_VALUE"""),14847.0)</f>
        <v>14847</v>
      </c>
      <c r="B965" s="60" t="str">
        <f>IFERROR(__xludf.DUMMYFUNCTION("""COMPUTED_VALUE"""),"Duvernay, Devin")</f>
        <v>Duvernay, Devin</v>
      </c>
      <c r="C965" s="60" t="str">
        <f>IFERROR(__xludf.DUMMYFUNCTION("""COMPUTED_VALUE"""),"WR")</f>
        <v>WR</v>
      </c>
      <c r="D965" s="60" t="str">
        <f>IFERROR(__xludf.DUMMYFUNCTION("""COMPUTED_VALUE"""),"ARI")</f>
        <v>ARI</v>
      </c>
      <c r="E965" s="62" t="str">
        <f t="shared" si="4"/>
        <v>Devin Duvernay</v>
      </c>
      <c r="F965" s="62">
        <f t="shared" ref="F965:G965" si="1929">IF(isblank(F$1),,IF(isblank($A965),,IFERROR(vlookup($A965,indirect("'TVC-"&amp;text(month(F$1),"00")&amp;"'!$A:$D"),4,false),1)))</f>
        <v>435</v>
      </c>
      <c r="G965" s="62">
        <f t="shared" si="1929"/>
        <v>1</v>
      </c>
      <c r="H965" s="62">
        <f t="shared" ref="H965:Q965" si="1930">IF(isblank(H$1),,IFERROR(vlookup($A965,indirect("'TVC-"&amp;text(month(H$1),"00")&amp;"'!$A:$D"),4,false),1))</f>
        <v>1</v>
      </c>
      <c r="I965" s="62">
        <f t="shared" si="1930"/>
        <v>1</v>
      </c>
      <c r="J965" s="62">
        <f t="shared" si="1930"/>
        <v>1</v>
      </c>
      <c r="K965" s="62">
        <f t="shared" si="1930"/>
        <v>1</v>
      </c>
      <c r="L965" s="62">
        <f t="shared" si="1930"/>
        <v>1</v>
      </c>
      <c r="M965" s="62">
        <f t="shared" si="1930"/>
        <v>1</v>
      </c>
      <c r="N965" s="62">
        <f t="shared" si="1930"/>
        <v>1</v>
      </c>
      <c r="O965" s="62">
        <f t="shared" si="1930"/>
        <v>1</v>
      </c>
      <c r="P965" s="62" t="str">
        <f t="shared" si="1930"/>
        <v/>
      </c>
      <c r="Q965" s="62" t="str">
        <f t="shared" si="1930"/>
        <v/>
      </c>
      <c r="R965" s="62">
        <f t="shared" si="7"/>
        <v>0</v>
      </c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</row>
    <row r="966">
      <c r="A966" s="60">
        <f>IFERROR(__xludf.DUMMYFUNCTION("""COMPUTED_VALUE"""),14848.0)</f>
        <v>14848</v>
      </c>
      <c r="B966" s="60" t="str">
        <f>IFERROR(__xludf.DUMMYFUNCTION("""COMPUTED_VALUE"""),"Proche, James")</f>
        <v>Proche, James</v>
      </c>
      <c r="C966" s="60" t="str">
        <f>IFERROR(__xludf.DUMMYFUNCTION("""COMPUTED_VALUE"""),"WR")</f>
        <v>WR</v>
      </c>
      <c r="D966" s="60" t="str">
        <f>IFERROR(__xludf.DUMMYFUNCTION("""COMPUTED_VALUE"""),"CLE")</f>
        <v>CLE</v>
      </c>
      <c r="E966" s="62" t="str">
        <f t="shared" si="4"/>
        <v>James Proche</v>
      </c>
      <c r="F966" s="62">
        <f t="shared" ref="F966:G966" si="1931">IF(isblank(F$1),,IF(isblank($A966),,IFERROR(vlookup($A966,indirect("'TVC-"&amp;text(month(F$1),"00")&amp;"'!$A:$D"),4,false),1)))</f>
        <v>1</v>
      </c>
      <c r="G966" s="62">
        <f t="shared" si="1931"/>
        <v>1</v>
      </c>
      <c r="H966" s="62">
        <f t="shared" ref="H966:Q966" si="1932">IF(isblank(H$1),,IFERROR(vlookup($A966,indirect("'TVC-"&amp;text(month(H$1),"00")&amp;"'!$A:$D"),4,false),1))</f>
        <v>1</v>
      </c>
      <c r="I966" s="62">
        <f t="shared" si="1932"/>
        <v>1</v>
      </c>
      <c r="J966" s="62">
        <f t="shared" si="1932"/>
        <v>1</v>
      </c>
      <c r="K966" s="62">
        <f t="shared" si="1932"/>
        <v>1</v>
      </c>
      <c r="L966" s="62">
        <f t="shared" si="1932"/>
        <v>1</v>
      </c>
      <c r="M966" s="62">
        <f t="shared" si="1932"/>
        <v>1</v>
      </c>
      <c r="N966" s="62">
        <f t="shared" si="1932"/>
        <v>1</v>
      </c>
      <c r="O966" s="62">
        <f t="shared" si="1932"/>
        <v>1</v>
      </c>
      <c r="P966" s="62" t="str">
        <f t="shared" si="1932"/>
        <v/>
      </c>
      <c r="Q966" s="62" t="str">
        <f t="shared" si="1932"/>
        <v/>
      </c>
      <c r="R966" s="62">
        <f t="shared" si="7"/>
        <v>0</v>
      </c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</row>
    <row r="967">
      <c r="A967" s="60">
        <f>IFERROR(__xludf.DUMMYFUNCTION("""COMPUTED_VALUE"""),14849.0)</f>
        <v>14849</v>
      </c>
      <c r="B967" s="60" t="str">
        <f>IFERROR(__xludf.DUMMYFUNCTION("""COMPUTED_VALUE"""),"Hodgins, Isaiah")</f>
        <v>Hodgins, Isaiah</v>
      </c>
      <c r="C967" s="60" t="str">
        <f>IFERROR(__xludf.DUMMYFUNCTION("""COMPUTED_VALUE"""),"WR")</f>
        <v>WR</v>
      </c>
      <c r="D967" s="60" t="str">
        <f>IFERROR(__xludf.DUMMYFUNCTION("""COMPUTED_VALUE"""),"PIT")</f>
        <v>PIT</v>
      </c>
      <c r="E967" s="62" t="str">
        <f t="shared" si="4"/>
        <v>Isaiah Hodgins</v>
      </c>
      <c r="F967" s="62">
        <f t="shared" ref="F967:G967" si="1933">IF(isblank(F$1),,IF(isblank($A967),,IFERROR(vlookup($A967,indirect("'TVC-"&amp;text(month(F$1),"00")&amp;"'!$A:$D"),4,false),1)))</f>
        <v>1051</v>
      </c>
      <c r="G967" s="62">
        <f t="shared" si="1933"/>
        <v>1042</v>
      </c>
      <c r="H967" s="62">
        <f t="shared" ref="H967:Q967" si="1934">IF(isblank(H$1),,IFERROR(vlookup($A967,indirect("'TVC-"&amp;text(month(H$1),"00")&amp;"'!$A:$D"),4,false),1))</f>
        <v>1033</v>
      </c>
      <c r="I967" s="62">
        <f t="shared" si="1934"/>
        <v>1025</v>
      </c>
      <c r="J967" s="62">
        <f t="shared" si="1934"/>
        <v>956</v>
      </c>
      <c r="K967" s="62">
        <f t="shared" si="1934"/>
        <v>981</v>
      </c>
      <c r="L967" s="62">
        <f t="shared" si="1934"/>
        <v>1034</v>
      </c>
      <c r="M967" s="62">
        <f t="shared" si="1934"/>
        <v>1032</v>
      </c>
      <c r="N967" s="62">
        <f t="shared" si="1934"/>
        <v>981</v>
      </c>
      <c r="O967" s="62">
        <f t="shared" si="1934"/>
        <v>1</v>
      </c>
      <c r="P967" s="62" t="str">
        <f t="shared" si="1934"/>
        <v/>
      </c>
      <c r="Q967" s="62" t="str">
        <f t="shared" si="1934"/>
        <v/>
      </c>
      <c r="R967" s="62">
        <f t="shared" si="7"/>
        <v>-980</v>
      </c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</row>
    <row r="968" hidden="1">
      <c r="A968" s="60">
        <f>IFERROR(__xludf.DUMMYFUNCTION("""COMPUTED_VALUE"""),14852.0)</f>
        <v>14852</v>
      </c>
      <c r="B968" s="60" t="str">
        <f>IFERROR(__xludf.DUMMYFUNCTION("""COMPUTED_VALUE"""),"Gibson, Antonio")</f>
        <v>Gibson, Antonio</v>
      </c>
      <c r="C968" s="60" t="str">
        <f>IFERROR(__xludf.DUMMYFUNCTION("""COMPUTED_VALUE"""),"RB")</f>
        <v>RB</v>
      </c>
      <c r="D968" s="60" t="str">
        <f>IFERROR(__xludf.DUMMYFUNCTION("""COMPUTED_VALUE"""),"FA")</f>
        <v>FA</v>
      </c>
      <c r="E968" s="62" t="str">
        <f t="shared" si="4"/>
        <v>Antonio Gibson</v>
      </c>
      <c r="F968" s="62">
        <f t="shared" ref="F968:G968" si="1935">IF(isblank(F$1),,IF(isblank($A968),,IFERROR(vlookup($A968,indirect("'TVC-"&amp;text(month(F$1),"00")&amp;"'!$A:$D"),4,false),1)))</f>
        <v>966</v>
      </c>
      <c r="G968" s="62">
        <f t="shared" si="1935"/>
        <v>945</v>
      </c>
      <c r="H968" s="62">
        <f t="shared" ref="H968:Q968" si="1936">IF(isblank(H$1),,IFERROR(vlookup($A968,indirect("'TVC-"&amp;text(month(H$1),"00")&amp;"'!$A:$D"),4,false),1))</f>
        <v>915</v>
      </c>
      <c r="I968" s="62">
        <f t="shared" si="1936"/>
        <v>775</v>
      </c>
      <c r="J968" s="62">
        <f t="shared" si="1936"/>
        <v>1</v>
      </c>
      <c r="K968" s="62">
        <f t="shared" si="1936"/>
        <v>1</v>
      </c>
      <c r="L968" s="62">
        <f t="shared" si="1936"/>
        <v>1</v>
      </c>
      <c r="M968" s="62">
        <f t="shared" si="1936"/>
        <v>1</v>
      </c>
      <c r="N968" s="62">
        <f t="shared" si="1936"/>
        <v>1</v>
      </c>
      <c r="O968" s="62">
        <f t="shared" si="1936"/>
        <v>1</v>
      </c>
      <c r="P968" s="62" t="str">
        <f t="shared" si="1936"/>
        <v/>
      </c>
      <c r="Q968" s="62" t="str">
        <f t="shared" si="1936"/>
        <v/>
      </c>
      <c r="R968" s="62">
        <f t="shared" si="7"/>
        <v>0</v>
      </c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</row>
    <row r="969">
      <c r="A969" s="60">
        <f>IFERROR(__xludf.DUMMYFUNCTION("""COMPUTED_VALUE"""),14857.0)</f>
        <v>14857</v>
      </c>
      <c r="B969" s="60" t="str">
        <f>IFERROR(__xludf.DUMMYFUNCTION("""COMPUTED_VALUE"""),"Peoples-Jones, Donovan")</f>
        <v>Peoples-Jones, Donovan</v>
      </c>
      <c r="C969" s="60" t="str">
        <f>IFERROR(__xludf.DUMMYFUNCTION("""COMPUTED_VALUE"""),"WR")</f>
        <v>WR</v>
      </c>
      <c r="D969" s="60" t="str">
        <f>IFERROR(__xludf.DUMMYFUNCTION("""COMPUTED_VALUE"""),"FA")</f>
        <v>FA</v>
      </c>
      <c r="E969" s="62" t="str">
        <f t="shared" si="4"/>
        <v>Donovan Peoples-Jones</v>
      </c>
      <c r="F969" s="62">
        <f t="shared" ref="F969:G969" si="1937">IF(isblank(F$1),,IF(isblank($A969),,IFERROR(vlookup($A969,indirect("'TVC-"&amp;text(month(F$1),"00")&amp;"'!$A:$D"),4,false),1)))</f>
        <v>1</v>
      </c>
      <c r="G969" s="62">
        <f t="shared" si="1937"/>
        <v>1</v>
      </c>
      <c r="H969" s="62">
        <f t="shared" ref="H969:Q969" si="1938">IF(isblank(H$1),,IFERROR(vlookup($A969,indirect("'TVC-"&amp;text(month(H$1),"00")&amp;"'!$A:$D"),4,false),1))</f>
        <v>1</v>
      </c>
      <c r="I969" s="62">
        <f t="shared" si="1938"/>
        <v>1</v>
      </c>
      <c r="J969" s="62">
        <f t="shared" si="1938"/>
        <v>1</v>
      </c>
      <c r="K969" s="62">
        <f t="shared" si="1938"/>
        <v>1</v>
      </c>
      <c r="L969" s="62">
        <f t="shared" si="1938"/>
        <v>1</v>
      </c>
      <c r="M969" s="62">
        <f t="shared" si="1938"/>
        <v>1</v>
      </c>
      <c r="N969" s="62">
        <f t="shared" si="1938"/>
        <v>1</v>
      </c>
      <c r="O969" s="62">
        <f t="shared" si="1938"/>
        <v>1</v>
      </c>
      <c r="P969" s="62" t="str">
        <f t="shared" si="1938"/>
        <v/>
      </c>
      <c r="Q969" s="62" t="str">
        <f t="shared" si="1938"/>
        <v/>
      </c>
      <c r="R969" s="62">
        <f t="shared" si="7"/>
        <v>0</v>
      </c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</row>
    <row r="970">
      <c r="A970" s="60">
        <f>IFERROR(__xludf.DUMMYFUNCTION("""COMPUTED_VALUE"""),14858.0)</f>
        <v>14858</v>
      </c>
      <c r="B970" s="60" t="str">
        <f>IFERROR(__xludf.DUMMYFUNCTION("""COMPUTED_VALUE"""),"Jefferson, Van")</f>
        <v>Jefferson, Van</v>
      </c>
      <c r="C970" s="60" t="str">
        <f>IFERROR(__xludf.DUMMYFUNCTION("""COMPUTED_VALUE"""),"WR")</f>
        <v>WR</v>
      </c>
      <c r="D970" s="60" t="str">
        <f>IFERROR(__xludf.DUMMYFUNCTION("""COMPUTED_VALUE"""),"WAS")</f>
        <v>WAS</v>
      </c>
      <c r="E970" s="62" t="str">
        <f t="shared" si="4"/>
        <v>Van Jefferson</v>
      </c>
      <c r="F970" s="62">
        <f t="shared" ref="F970:G970" si="1939">IF(isblank(F$1),,IF(isblank($A970),,IFERROR(vlookup($A970,indirect("'TVC-"&amp;text(month(F$1),"00")&amp;"'!$A:$D"),4,false),1)))</f>
        <v>733</v>
      </c>
      <c r="G970" s="62">
        <f t="shared" si="1939"/>
        <v>1</v>
      </c>
      <c r="H970" s="62">
        <f t="shared" ref="H970:Q970" si="1940">IF(isblank(H$1),,IFERROR(vlookup($A970,indirect("'TVC-"&amp;text(month(H$1),"00")&amp;"'!$A:$D"),4,false),1))</f>
        <v>721</v>
      </c>
      <c r="I970" s="62">
        <f t="shared" si="1940"/>
        <v>749</v>
      </c>
      <c r="J970" s="62">
        <f t="shared" si="1940"/>
        <v>1</v>
      </c>
      <c r="K970" s="62">
        <f t="shared" si="1940"/>
        <v>515</v>
      </c>
      <c r="L970" s="62">
        <f t="shared" si="1940"/>
        <v>548</v>
      </c>
      <c r="M970" s="62">
        <f t="shared" si="1940"/>
        <v>497</v>
      </c>
      <c r="N970" s="62">
        <f t="shared" si="1940"/>
        <v>462</v>
      </c>
      <c r="O970" s="62">
        <f t="shared" si="1940"/>
        <v>1</v>
      </c>
      <c r="P970" s="62" t="str">
        <f t="shared" si="1940"/>
        <v/>
      </c>
      <c r="Q970" s="62" t="str">
        <f t="shared" si="1940"/>
        <v/>
      </c>
      <c r="R970" s="62">
        <f t="shared" si="7"/>
        <v>-461</v>
      </c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</row>
    <row r="971" hidden="1">
      <c r="A971" s="60">
        <f>IFERROR(__xludf.DUMMYFUNCTION("""COMPUTED_VALUE"""),14860.0)</f>
        <v>14860</v>
      </c>
      <c r="B971" s="60" t="str">
        <f>IFERROR(__xludf.DUMMYFUNCTION("""COMPUTED_VALUE"""),"Jennings, Jauan")</f>
        <v>Jennings, Jauan</v>
      </c>
      <c r="C971" s="60" t="str">
        <f>IFERROR(__xludf.DUMMYFUNCTION("""COMPUTED_VALUE"""),"WR")</f>
        <v>WR</v>
      </c>
      <c r="D971" s="60" t="str">
        <f>IFERROR(__xludf.DUMMYFUNCTION("""COMPUTED_VALUE"""),"MIN")</f>
        <v>MIN</v>
      </c>
      <c r="E971" s="62" t="str">
        <f t="shared" si="4"/>
        <v>Jauan Jennings</v>
      </c>
      <c r="F971" s="62">
        <f t="shared" ref="F971:G971" si="1941">IF(isblank(F$1),,IF(isblank($A971),,IFERROR(vlookup($A971,indirect("'TVC-"&amp;text(month(F$1),"00")&amp;"'!$A:$D"),4,false),1)))</f>
        <v>3002</v>
      </c>
      <c r="G971" s="62">
        <f t="shared" si="1941"/>
        <v>2839</v>
      </c>
      <c r="H971" s="62">
        <f t="shared" ref="H971:Q971" si="1942">IF(isblank(H$1),,IFERROR(vlookup($A971,indirect("'TVC-"&amp;text(month(H$1),"00")&amp;"'!$A:$D"),4,false),1))</f>
        <v>2910</v>
      </c>
      <c r="I971" s="62">
        <f t="shared" si="1942"/>
        <v>2823</v>
      </c>
      <c r="J971" s="62">
        <f t="shared" si="1942"/>
        <v>2664</v>
      </c>
      <c r="K971" s="62">
        <f t="shared" si="1942"/>
        <v>2689</v>
      </c>
      <c r="L971" s="62">
        <f t="shared" si="1942"/>
        <v>2606</v>
      </c>
      <c r="M971" s="62">
        <f t="shared" si="1942"/>
        <v>2440</v>
      </c>
      <c r="N971" s="62">
        <f t="shared" si="1942"/>
        <v>2230</v>
      </c>
      <c r="O971" s="62">
        <f t="shared" si="1942"/>
        <v>1</v>
      </c>
      <c r="P971" s="62" t="str">
        <f t="shared" si="1942"/>
        <v/>
      </c>
      <c r="Q971" s="62" t="str">
        <f t="shared" si="1942"/>
        <v/>
      </c>
      <c r="R971" s="62">
        <f t="shared" si="7"/>
        <v>-2229</v>
      </c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</row>
    <row r="972">
      <c r="A972" s="60">
        <f>IFERROR(__xludf.DUMMYFUNCTION("""COMPUTED_VALUE"""),14861.0)</f>
        <v>14861</v>
      </c>
      <c r="B972" s="60" t="str">
        <f>IFERROR(__xludf.DUMMYFUNCTION("""COMPUTED_VALUE"""),"Johnson, Juwan")</f>
        <v>Johnson, Juwan</v>
      </c>
      <c r="C972" s="60" t="str">
        <f>IFERROR(__xludf.DUMMYFUNCTION("""COMPUTED_VALUE"""),"TE")</f>
        <v>TE</v>
      </c>
      <c r="D972" s="60" t="str">
        <f>IFERROR(__xludf.DUMMYFUNCTION("""COMPUTED_VALUE"""),"NOS")</f>
        <v>NOS</v>
      </c>
      <c r="E972" s="62" t="str">
        <f t="shared" si="4"/>
        <v>Juwan Johnson</v>
      </c>
      <c r="F972" s="62">
        <f t="shared" ref="F972:G972" si="1943">IF(isblank(F$1),,IF(isblank($A972),,IFERROR(vlookup($A972,indirect("'TVC-"&amp;text(month(F$1),"00")&amp;"'!$A:$D"),4,false),1)))</f>
        <v>2704</v>
      </c>
      <c r="G972" s="62">
        <f t="shared" si="1943"/>
        <v>2746</v>
      </c>
      <c r="H972" s="62">
        <f t="shared" ref="H972:Q972" si="1944">IF(isblank(H$1),,IFERROR(vlookup($A972,indirect("'TVC-"&amp;text(month(H$1),"00")&amp;"'!$A:$D"),4,false),1))</f>
        <v>2825</v>
      </c>
      <c r="I972" s="62">
        <f t="shared" si="1944"/>
        <v>2833</v>
      </c>
      <c r="J972" s="62">
        <f t="shared" si="1944"/>
        <v>2783</v>
      </c>
      <c r="K972" s="62">
        <f t="shared" si="1944"/>
        <v>2734</v>
      </c>
      <c r="L972" s="62">
        <f t="shared" si="1944"/>
        <v>2715</v>
      </c>
      <c r="M972" s="62">
        <f t="shared" si="1944"/>
        <v>2715</v>
      </c>
      <c r="N972" s="62">
        <f t="shared" si="1944"/>
        <v>2901</v>
      </c>
      <c r="O972" s="62">
        <f t="shared" si="1944"/>
        <v>1</v>
      </c>
      <c r="P972" s="62" t="str">
        <f t="shared" si="1944"/>
        <v/>
      </c>
      <c r="Q972" s="62" t="str">
        <f t="shared" si="1944"/>
        <v/>
      </c>
      <c r="R972" s="62">
        <f t="shared" si="7"/>
        <v>-2900</v>
      </c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</row>
    <row r="973" hidden="1">
      <c r="A973" s="60">
        <f>IFERROR(__xludf.DUMMYFUNCTION("""COMPUTED_VALUE"""),14864.0)</f>
        <v>14864</v>
      </c>
      <c r="B973" s="60" t="str">
        <f>IFERROR(__xludf.DUMMYFUNCTION("""COMPUTED_VALUE"""),"Johnson, Tyler")</f>
        <v>Johnson, Tyler</v>
      </c>
      <c r="C973" s="60" t="str">
        <f>IFERROR(__xludf.DUMMYFUNCTION("""COMPUTED_VALUE"""),"WR")</f>
        <v>WR</v>
      </c>
      <c r="D973" s="60" t="str">
        <f>IFERROR(__xludf.DUMMYFUNCTION("""COMPUTED_VALUE"""),"NYJ")</f>
        <v>NYJ</v>
      </c>
      <c r="E973" s="62" t="str">
        <f t="shared" si="4"/>
        <v>Tyler Johnson</v>
      </c>
      <c r="F973" s="62">
        <f t="shared" ref="F973:G973" si="1945">IF(isblank(F$1),,IF(isblank($A973),,IFERROR(vlookup($A973,indirect("'TVC-"&amp;text(month(F$1),"00")&amp;"'!$A:$D"),4,false),1)))</f>
        <v>956</v>
      </c>
      <c r="G973" s="62">
        <f t="shared" si="1945"/>
        <v>932</v>
      </c>
      <c r="H973" s="62">
        <f t="shared" ref="H973:Q973" si="1946">IF(isblank(H$1),,IFERROR(vlookup($A973,indirect("'TVC-"&amp;text(month(H$1),"00")&amp;"'!$A:$D"),4,false),1))</f>
        <v>908</v>
      </c>
      <c r="I973" s="62">
        <f t="shared" si="1946"/>
        <v>970</v>
      </c>
      <c r="J973" s="62">
        <f t="shared" si="1946"/>
        <v>896</v>
      </c>
      <c r="K973" s="62">
        <f t="shared" si="1946"/>
        <v>706</v>
      </c>
      <c r="L973" s="62">
        <f t="shared" si="1946"/>
        <v>595</v>
      </c>
      <c r="M973" s="62">
        <f t="shared" si="1946"/>
        <v>593</v>
      </c>
      <c r="N973" s="62">
        <f t="shared" si="1946"/>
        <v>483</v>
      </c>
      <c r="O973" s="62">
        <f t="shared" si="1946"/>
        <v>1</v>
      </c>
      <c r="P973" s="62" t="str">
        <f t="shared" si="1946"/>
        <v/>
      </c>
      <c r="Q973" s="62" t="str">
        <f t="shared" si="1946"/>
        <v/>
      </c>
      <c r="R973" s="62">
        <f t="shared" si="7"/>
        <v>-482</v>
      </c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</row>
    <row r="974" hidden="1">
      <c r="A974" s="60">
        <f>IFERROR(__xludf.DUMMYFUNCTION("""COMPUTED_VALUE"""),14867.0)</f>
        <v>14867</v>
      </c>
      <c r="B974" s="60" t="str">
        <f>IFERROR(__xludf.DUMMYFUNCTION("""COMPUTED_VALUE"""),"Kmet, Cole")</f>
        <v>Kmet, Cole</v>
      </c>
      <c r="C974" s="60" t="str">
        <f>IFERROR(__xludf.DUMMYFUNCTION("""COMPUTED_VALUE"""),"TE")</f>
        <v>TE</v>
      </c>
      <c r="D974" s="60" t="str">
        <f>IFERROR(__xludf.DUMMYFUNCTION("""COMPUTED_VALUE"""),"CHI")</f>
        <v>CHI</v>
      </c>
      <c r="E974" s="62" t="str">
        <f t="shared" si="4"/>
        <v>Cole Kmet</v>
      </c>
      <c r="F974" s="62">
        <f t="shared" ref="F974:G974" si="1947">IF(isblank(F$1),,IF(isblank($A974),,IFERROR(vlookup($A974,indirect("'TVC-"&amp;text(month(F$1),"00")&amp;"'!$A:$D"),4,false),1)))</f>
        <v>2415</v>
      </c>
      <c r="G974" s="62">
        <f t="shared" si="1947"/>
        <v>2480</v>
      </c>
      <c r="H974" s="62">
        <f t="shared" ref="H974:Q974" si="1948">IF(isblank(H$1),,IFERROR(vlookup($A974,indirect("'TVC-"&amp;text(month(H$1),"00")&amp;"'!$A:$D"),4,false),1))</f>
        <v>2518</v>
      </c>
      <c r="I974" s="62">
        <f t="shared" si="1948"/>
        <v>2441</v>
      </c>
      <c r="J974" s="62">
        <f t="shared" si="1948"/>
        <v>2433</v>
      </c>
      <c r="K974" s="62">
        <f t="shared" si="1948"/>
        <v>2361</v>
      </c>
      <c r="L974" s="62">
        <f t="shared" si="1948"/>
        <v>2369</v>
      </c>
      <c r="M974" s="62">
        <f t="shared" si="1948"/>
        <v>2365</v>
      </c>
      <c r="N974" s="62">
        <f t="shared" si="1948"/>
        <v>2337</v>
      </c>
      <c r="O974" s="62">
        <f t="shared" si="1948"/>
        <v>1</v>
      </c>
      <c r="P974" s="62" t="str">
        <f t="shared" si="1948"/>
        <v/>
      </c>
      <c r="Q974" s="62" t="str">
        <f t="shared" si="1948"/>
        <v/>
      </c>
      <c r="R974" s="62">
        <f t="shared" si="7"/>
        <v>-2336</v>
      </c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</row>
    <row r="975" hidden="1">
      <c r="A975" s="60">
        <f>IFERROR(__xludf.DUMMYFUNCTION("""COMPUTED_VALUE"""),14870.0)</f>
        <v>14870</v>
      </c>
      <c r="B975" s="60" t="str">
        <f>IFERROR(__xludf.DUMMYFUNCTION("""COMPUTED_VALUE"""),"Trautman, Adam")</f>
        <v>Trautman, Adam</v>
      </c>
      <c r="C975" s="60" t="str">
        <f>IFERROR(__xludf.DUMMYFUNCTION("""COMPUTED_VALUE"""),"TE")</f>
        <v>TE</v>
      </c>
      <c r="D975" s="60" t="str">
        <f>IFERROR(__xludf.DUMMYFUNCTION("""COMPUTED_VALUE"""),"DEN")</f>
        <v>DEN</v>
      </c>
      <c r="E975" s="62" t="str">
        <f t="shared" si="4"/>
        <v>Adam Trautman</v>
      </c>
      <c r="F975" s="62">
        <f t="shared" ref="F975:G975" si="1949">IF(isblank(F$1),,IF(isblank($A975),,IFERROR(vlookup($A975,indirect("'TVC-"&amp;text(month(F$1),"00")&amp;"'!$A:$D"),4,false),1)))</f>
        <v>1141</v>
      </c>
      <c r="G975" s="62">
        <f t="shared" si="1949"/>
        <v>1</v>
      </c>
      <c r="H975" s="62">
        <f t="shared" ref="H975:Q975" si="1950">IF(isblank(H$1),,IFERROR(vlookup($A975,indirect("'TVC-"&amp;text(month(H$1),"00")&amp;"'!$A:$D"),4,false),1))</f>
        <v>1</v>
      </c>
      <c r="I975" s="62">
        <f t="shared" si="1950"/>
        <v>1054</v>
      </c>
      <c r="J975" s="62">
        <f t="shared" si="1950"/>
        <v>1</v>
      </c>
      <c r="K975" s="62">
        <f t="shared" si="1950"/>
        <v>1</v>
      </c>
      <c r="L975" s="62">
        <f t="shared" si="1950"/>
        <v>1</v>
      </c>
      <c r="M975" s="62">
        <f t="shared" si="1950"/>
        <v>1</v>
      </c>
      <c r="N975" s="62">
        <f t="shared" si="1950"/>
        <v>1</v>
      </c>
      <c r="O975" s="62">
        <f t="shared" si="1950"/>
        <v>1</v>
      </c>
      <c r="P975" s="62" t="str">
        <f t="shared" si="1950"/>
        <v/>
      </c>
      <c r="Q975" s="62" t="str">
        <f t="shared" si="1950"/>
        <v/>
      </c>
      <c r="R975" s="62">
        <f t="shared" si="7"/>
        <v>0</v>
      </c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</row>
    <row r="976" hidden="1">
      <c r="A976" s="60">
        <f>IFERROR(__xludf.DUMMYFUNCTION("""COMPUTED_VALUE"""),14871.0)</f>
        <v>14871</v>
      </c>
      <c r="B976" s="60" t="str">
        <f>IFERROR(__xludf.DUMMYFUNCTION("""COMPUTED_VALUE"""),"Parkinson, Colby")</f>
        <v>Parkinson, Colby</v>
      </c>
      <c r="C976" s="60" t="str">
        <f>IFERROR(__xludf.DUMMYFUNCTION("""COMPUTED_VALUE"""),"TE")</f>
        <v>TE</v>
      </c>
      <c r="D976" s="60" t="str">
        <f>IFERROR(__xludf.DUMMYFUNCTION("""COMPUTED_VALUE"""),"LAR")</f>
        <v>LAR</v>
      </c>
      <c r="E976" s="62" t="str">
        <f t="shared" si="4"/>
        <v>Colby Parkinson</v>
      </c>
      <c r="F976" s="62">
        <f t="shared" ref="F976:G976" si="1951">IF(isblank(F$1),,IF(isblank($A976),,IFERROR(vlookup($A976,indirect("'TVC-"&amp;text(month(F$1),"00")&amp;"'!$A:$D"),4,false),1)))</f>
        <v>2327</v>
      </c>
      <c r="G976" s="62">
        <f t="shared" si="1951"/>
        <v>2513</v>
      </c>
      <c r="H976" s="62">
        <f t="shared" ref="H976:Q976" si="1952">IF(isblank(H$1),,IFERROR(vlookup($A976,indirect("'TVC-"&amp;text(month(H$1),"00")&amp;"'!$A:$D"),4,false),1))</f>
        <v>2505</v>
      </c>
      <c r="I976" s="62">
        <f t="shared" si="1952"/>
        <v>2560</v>
      </c>
      <c r="J976" s="62">
        <f t="shared" si="1952"/>
        <v>2400</v>
      </c>
      <c r="K976" s="62">
        <f t="shared" si="1952"/>
        <v>2248</v>
      </c>
      <c r="L976" s="62">
        <f t="shared" si="1952"/>
        <v>2248</v>
      </c>
      <c r="M976" s="62">
        <f t="shared" si="1952"/>
        <v>2322</v>
      </c>
      <c r="N976" s="62">
        <f t="shared" si="1952"/>
        <v>2380</v>
      </c>
      <c r="O976" s="62">
        <f t="shared" si="1952"/>
        <v>1</v>
      </c>
      <c r="P976" s="62" t="str">
        <f t="shared" si="1952"/>
        <v/>
      </c>
      <c r="Q976" s="62" t="str">
        <f t="shared" si="1952"/>
        <v/>
      </c>
      <c r="R976" s="62">
        <f t="shared" si="7"/>
        <v>-2379</v>
      </c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</row>
    <row r="977" hidden="1">
      <c r="A977" s="60">
        <f>IFERROR(__xludf.DUMMYFUNCTION("""COMPUTED_VALUE"""),14873.0)</f>
        <v>14873</v>
      </c>
      <c r="B977" s="60" t="str">
        <f>IFERROR(__xludf.DUMMYFUNCTION("""COMPUTED_VALUE"""),"Okwuegbunam, Albert")</f>
        <v>Okwuegbunam, Albert</v>
      </c>
      <c r="C977" s="60" t="str">
        <f>IFERROR(__xludf.DUMMYFUNCTION("""COMPUTED_VALUE"""),"TE")</f>
        <v>TE</v>
      </c>
      <c r="D977" s="60" t="str">
        <f>IFERROR(__xludf.DUMMYFUNCTION("""COMPUTED_VALUE"""),"LVR")</f>
        <v>LVR</v>
      </c>
      <c r="E977" s="62" t="str">
        <f t="shared" si="4"/>
        <v>Albert Okwuegbunam</v>
      </c>
      <c r="F977" s="62">
        <f t="shared" ref="F977:G977" si="1953">IF(isblank(F$1),,IF(isblank($A977),,IFERROR(vlookup($A977,indirect("'TVC-"&amp;text(month(F$1),"00")&amp;"'!$A:$D"),4,false),1)))</f>
        <v>1</v>
      </c>
      <c r="G977" s="62">
        <f t="shared" si="1953"/>
        <v>1</v>
      </c>
      <c r="H977" s="62">
        <f t="shared" ref="H977:Q977" si="1954">IF(isblank(H$1),,IFERROR(vlookup($A977,indirect("'TVC-"&amp;text(month(H$1),"00")&amp;"'!$A:$D"),4,false),1))</f>
        <v>1</v>
      </c>
      <c r="I977" s="62">
        <f t="shared" si="1954"/>
        <v>1</v>
      </c>
      <c r="J977" s="62">
        <f t="shared" si="1954"/>
        <v>1</v>
      </c>
      <c r="K977" s="62">
        <f t="shared" si="1954"/>
        <v>1</v>
      </c>
      <c r="L977" s="62">
        <f t="shared" si="1954"/>
        <v>1</v>
      </c>
      <c r="M977" s="62">
        <f t="shared" si="1954"/>
        <v>1</v>
      </c>
      <c r="N977" s="62">
        <f t="shared" si="1954"/>
        <v>1</v>
      </c>
      <c r="O977" s="62">
        <f t="shared" si="1954"/>
        <v>1</v>
      </c>
      <c r="P977" s="62" t="str">
        <f t="shared" si="1954"/>
        <v/>
      </c>
      <c r="Q977" s="62" t="str">
        <f t="shared" si="1954"/>
        <v/>
      </c>
      <c r="R977" s="62">
        <f t="shared" si="7"/>
        <v>0</v>
      </c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</row>
    <row r="978" hidden="1">
      <c r="A978" s="60">
        <f>IFERROR(__xludf.DUMMYFUNCTION("""COMPUTED_VALUE"""),14875.0)</f>
        <v>14875</v>
      </c>
      <c r="B978" s="60" t="str">
        <f>IFERROR(__xludf.DUMMYFUNCTION("""COMPUTED_VALUE"""),"Bryant, Harrison")</f>
        <v>Bryant, Harrison</v>
      </c>
      <c r="C978" s="60" t="str">
        <f>IFERROR(__xludf.DUMMYFUNCTION("""COMPUTED_VALUE"""),"TE")</f>
        <v>TE</v>
      </c>
      <c r="D978" s="60" t="str">
        <f>IFERROR(__xludf.DUMMYFUNCTION("""COMPUTED_VALUE"""),"FA")</f>
        <v>FA</v>
      </c>
      <c r="E978" s="62" t="str">
        <f t="shared" si="4"/>
        <v>Harrison Bryant</v>
      </c>
      <c r="F978" s="62">
        <f t="shared" ref="F978:G978" si="1955">IF(isblank(F$1),,IF(isblank($A978),,IFERROR(vlookup($A978,indirect("'TVC-"&amp;text(month(F$1),"00")&amp;"'!$A:$D"),4,false),1)))</f>
        <v>998</v>
      </c>
      <c r="G978" s="62">
        <f t="shared" si="1955"/>
        <v>1</v>
      </c>
      <c r="H978" s="62">
        <f t="shared" ref="H978:Q978" si="1956">IF(isblank(H$1),,IFERROR(vlookup($A978,indirect("'TVC-"&amp;text(month(H$1),"00")&amp;"'!$A:$D"),4,false),1))</f>
        <v>1</v>
      </c>
      <c r="I978" s="62">
        <f t="shared" si="1956"/>
        <v>1</v>
      </c>
      <c r="J978" s="62">
        <f t="shared" si="1956"/>
        <v>923</v>
      </c>
      <c r="K978" s="62">
        <f t="shared" si="1956"/>
        <v>1</v>
      </c>
      <c r="L978" s="62">
        <f t="shared" si="1956"/>
        <v>844</v>
      </c>
      <c r="M978" s="62">
        <f t="shared" si="1956"/>
        <v>1</v>
      </c>
      <c r="N978" s="62">
        <f t="shared" si="1956"/>
        <v>1</v>
      </c>
      <c r="O978" s="62">
        <f t="shared" si="1956"/>
        <v>1</v>
      </c>
      <c r="P978" s="62" t="str">
        <f t="shared" si="1956"/>
        <v/>
      </c>
      <c r="Q978" s="62" t="str">
        <f t="shared" si="1956"/>
        <v/>
      </c>
      <c r="R978" s="62">
        <f t="shared" si="7"/>
        <v>0</v>
      </c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</row>
    <row r="979" hidden="1">
      <c r="A979" s="60">
        <f>IFERROR(__xludf.DUMMYFUNCTION("""COMPUTED_VALUE"""),14876.0)</f>
        <v>14876</v>
      </c>
      <c r="B979" s="60" t="str">
        <f>IFERROR(__xludf.DUMMYFUNCTION("""COMPUTED_VALUE"""),"Deguara, Josiah")</f>
        <v>Deguara, Josiah</v>
      </c>
      <c r="C979" s="60" t="str">
        <f>IFERROR(__xludf.DUMMYFUNCTION("""COMPUTED_VALUE"""),"TE")</f>
        <v>TE</v>
      </c>
      <c r="D979" s="60" t="str">
        <f>IFERROR(__xludf.DUMMYFUNCTION("""COMPUTED_VALUE"""),"PHI")</f>
        <v>PHI</v>
      </c>
      <c r="E979" s="62" t="str">
        <f t="shared" si="4"/>
        <v>Josiah Deguara</v>
      </c>
      <c r="F979" s="62">
        <f t="shared" ref="F979:G979" si="1957">IF(isblank(F$1),,IF(isblank($A979),,IFERROR(vlookup($A979,indirect("'TVC-"&amp;text(month(F$1),"00")&amp;"'!$A:$D"),4,false),1)))</f>
        <v>1</v>
      </c>
      <c r="G979" s="62">
        <f t="shared" si="1957"/>
        <v>1</v>
      </c>
      <c r="H979" s="62">
        <f t="shared" ref="H979:Q979" si="1958">IF(isblank(H$1),,IFERROR(vlookup($A979,indirect("'TVC-"&amp;text(month(H$1),"00")&amp;"'!$A:$D"),4,false),1))</f>
        <v>1</v>
      </c>
      <c r="I979" s="62">
        <f t="shared" si="1958"/>
        <v>1</v>
      </c>
      <c r="J979" s="62">
        <f t="shared" si="1958"/>
        <v>1</v>
      </c>
      <c r="K979" s="62">
        <f t="shared" si="1958"/>
        <v>1</v>
      </c>
      <c r="L979" s="62">
        <f t="shared" si="1958"/>
        <v>1</v>
      </c>
      <c r="M979" s="62">
        <f t="shared" si="1958"/>
        <v>1</v>
      </c>
      <c r="N979" s="62">
        <f t="shared" si="1958"/>
        <v>1</v>
      </c>
      <c r="O979" s="62">
        <f t="shared" si="1958"/>
        <v>1</v>
      </c>
      <c r="P979" s="62" t="str">
        <f t="shared" si="1958"/>
        <v/>
      </c>
      <c r="Q979" s="62" t="str">
        <f t="shared" si="1958"/>
        <v/>
      </c>
      <c r="R979" s="62">
        <f t="shared" si="7"/>
        <v>0</v>
      </c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</row>
    <row r="980" hidden="1">
      <c r="A980" s="60">
        <f>IFERROR(__xludf.DUMMYFUNCTION("""COMPUTED_VALUE"""),14877.0)</f>
        <v>14877</v>
      </c>
      <c r="B980" s="60" t="str">
        <f>IFERROR(__xludf.DUMMYFUNCTION("""COMPUTED_VALUE"""),"Young, Chase")</f>
        <v>Young, Chase</v>
      </c>
      <c r="C980" s="60" t="str">
        <f>IFERROR(__xludf.DUMMYFUNCTION("""COMPUTED_VALUE"""),"DE")</f>
        <v>DE</v>
      </c>
      <c r="D980" s="60" t="str">
        <f>IFERROR(__xludf.DUMMYFUNCTION("""COMPUTED_VALUE"""),"NOS")</f>
        <v>NOS</v>
      </c>
      <c r="E980" s="62" t="str">
        <f t="shared" si="4"/>
        <v>Chase Young</v>
      </c>
      <c r="F980" s="62">
        <f t="shared" ref="F980:G980" si="1959">IF(isblank(F$1),,IF(isblank($A980),,IFERROR(vlookup($A980,indirect("'TVC-"&amp;text(month(F$1),"00")&amp;"'!$A:$D"),4,false),1)))</f>
        <v>1</v>
      </c>
      <c r="G980" s="62">
        <f t="shared" si="1959"/>
        <v>1</v>
      </c>
      <c r="H980" s="62">
        <f t="shared" ref="H980:Q980" si="1960">IF(isblank(H$1),,IFERROR(vlookup($A980,indirect("'TVC-"&amp;text(month(H$1),"00")&amp;"'!$A:$D"),4,false),1))</f>
        <v>1</v>
      </c>
      <c r="I980" s="62">
        <f t="shared" si="1960"/>
        <v>1</v>
      </c>
      <c r="J980" s="62">
        <f t="shared" si="1960"/>
        <v>1</v>
      </c>
      <c r="K980" s="62">
        <f t="shared" si="1960"/>
        <v>1</v>
      </c>
      <c r="L980" s="62">
        <f t="shared" si="1960"/>
        <v>1</v>
      </c>
      <c r="M980" s="62">
        <f t="shared" si="1960"/>
        <v>1</v>
      </c>
      <c r="N980" s="62">
        <f t="shared" si="1960"/>
        <v>1</v>
      </c>
      <c r="O980" s="62">
        <f t="shared" si="1960"/>
        <v>1</v>
      </c>
      <c r="P980" s="62" t="str">
        <f t="shared" si="1960"/>
        <v/>
      </c>
      <c r="Q980" s="62" t="str">
        <f t="shared" si="1960"/>
        <v/>
      </c>
      <c r="R980" s="62">
        <f t="shared" si="7"/>
        <v>0</v>
      </c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</row>
    <row r="981" hidden="1">
      <c r="A981" s="60">
        <f>IFERROR(__xludf.DUMMYFUNCTION("""COMPUTED_VALUE"""),14878.0)</f>
        <v>14878</v>
      </c>
      <c r="B981" s="60" t="str">
        <f>IFERROR(__xludf.DUMMYFUNCTION("""COMPUTED_VALUE"""),"Gross-Matos, Yetur")</f>
        <v>Gross-Matos, Yetur</v>
      </c>
      <c r="C981" s="60" t="str">
        <f>IFERROR(__xludf.DUMMYFUNCTION("""COMPUTED_VALUE"""),"DE")</f>
        <v>DE</v>
      </c>
      <c r="D981" s="60" t="str">
        <f>IFERROR(__xludf.DUMMYFUNCTION("""COMPUTED_VALUE"""),"SFO")</f>
        <v>SFO</v>
      </c>
      <c r="E981" s="62" t="str">
        <f t="shared" si="4"/>
        <v>Yetur Gross-Matos</v>
      </c>
      <c r="F981" s="62">
        <f t="shared" ref="F981:G981" si="1961">IF(isblank(F$1),,IF(isblank($A981),,IFERROR(vlookup($A981,indirect("'TVC-"&amp;text(month(F$1),"00")&amp;"'!$A:$D"),4,false),1)))</f>
        <v>1</v>
      </c>
      <c r="G981" s="62">
        <f t="shared" si="1961"/>
        <v>1</v>
      </c>
      <c r="H981" s="62">
        <f t="shared" ref="H981:Q981" si="1962">IF(isblank(H$1),,IFERROR(vlookup($A981,indirect("'TVC-"&amp;text(month(H$1),"00")&amp;"'!$A:$D"),4,false),1))</f>
        <v>1</v>
      </c>
      <c r="I981" s="62">
        <f t="shared" si="1962"/>
        <v>1</v>
      </c>
      <c r="J981" s="62">
        <f t="shared" si="1962"/>
        <v>1</v>
      </c>
      <c r="K981" s="62">
        <f t="shared" si="1962"/>
        <v>1</v>
      </c>
      <c r="L981" s="62">
        <f t="shared" si="1962"/>
        <v>1</v>
      </c>
      <c r="M981" s="62">
        <f t="shared" si="1962"/>
        <v>1</v>
      </c>
      <c r="N981" s="62">
        <f t="shared" si="1962"/>
        <v>1</v>
      </c>
      <c r="O981" s="62">
        <f t="shared" si="1962"/>
        <v>1</v>
      </c>
      <c r="P981" s="62" t="str">
        <f t="shared" si="1962"/>
        <v/>
      </c>
      <c r="Q981" s="62" t="str">
        <f t="shared" si="1962"/>
        <v/>
      </c>
      <c r="R981" s="62">
        <f t="shared" si="7"/>
        <v>0</v>
      </c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</row>
    <row r="982" hidden="1">
      <c r="A982" s="60">
        <f>IFERROR(__xludf.DUMMYFUNCTION("""COMPUTED_VALUE"""),14879.0)</f>
        <v>14879</v>
      </c>
      <c r="B982" s="60" t="str">
        <f>IFERROR(__xludf.DUMMYFUNCTION("""COMPUTED_VALUE"""),"Epenesa, A.J.")</f>
        <v>Epenesa, A.J.</v>
      </c>
      <c r="C982" s="60" t="str">
        <f>IFERROR(__xludf.DUMMYFUNCTION("""COMPUTED_VALUE"""),"DE")</f>
        <v>DE</v>
      </c>
      <c r="D982" s="60" t="str">
        <f>IFERROR(__xludf.DUMMYFUNCTION("""COMPUTED_VALUE"""),"PHI")</f>
        <v>PHI</v>
      </c>
      <c r="E982" s="62" t="str">
        <f t="shared" si="4"/>
        <v>A.J. Epenesa</v>
      </c>
      <c r="F982" s="62">
        <f t="shared" ref="F982:G982" si="1963">IF(isblank(F$1),,IF(isblank($A982),,IFERROR(vlookup($A982,indirect("'TVC-"&amp;text(month(F$1),"00")&amp;"'!$A:$D"),4,false),1)))</f>
        <v>1</v>
      </c>
      <c r="G982" s="62">
        <f t="shared" si="1963"/>
        <v>1</v>
      </c>
      <c r="H982" s="62">
        <f t="shared" ref="H982:Q982" si="1964">IF(isblank(H$1),,IFERROR(vlookup($A982,indirect("'TVC-"&amp;text(month(H$1),"00")&amp;"'!$A:$D"),4,false),1))</f>
        <v>1</v>
      </c>
      <c r="I982" s="62">
        <f t="shared" si="1964"/>
        <v>1</v>
      </c>
      <c r="J982" s="62">
        <f t="shared" si="1964"/>
        <v>1</v>
      </c>
      <c r="K982" s="62">
        <f t="shared" si="1964"/>
        <v>1</v>
      </c>
      <c r="L982" s="62">
        <f t="shared" si="1964"/>
        <v>1</v>
      </c>
      <c r="M982" s="62">
        <f t="shared" si="1964"/>
        <v>1</v>
      </c>
      <c r="N982" s="62">
        <f t="shared" si="1964"/>
        <v>1</v>
      </c>
      <c r="O982" s="62">
        <f t="shared" si="1964"/>
        <v>1</v>
      </c>
      <c r="P982" s="62" t="str">
        <f t="shared" si="1964"/>
        <v/>
      </c>
      <c r="Q982" s="62" t="str">
        <f t="shared" si="1964"/>
        <v/>
      </c>
      <c r="R982" s="62">
        <f t="shared" si="7"/>
        <v>0</v>
      </c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</row>
    <row r="983" hidden="1">
      <c r="A983" s="60">
        <f>IFERROR(__xludf.DUMMYFUNCTION("""COMPUTED_VALUE"""),14880.0)</f>
        <v>14880</v>
      </c>
      <c r="B983" s="60" t="str">
        <f>IFERROR(__xludf.DUMMYFUNCTION("""COMPUTED_VALUE"""),"Kareem, Khalid")</f>
        <v>Kareem, Khalid</v>
      </c>
      <c r="C983" s="60" t="str">
        <f>IFERROR(__xludf.DUMMYFUNCTION("""COMPUTED_VALUE"""),"DE")</f>
        <v>DE</v>
      </c>
      <c r="D983" s="60" t="str">
        <f>IFERROR(__xludf.DUMMYFUNCTION("""COMPUTED_VALUE"""),"SFO")</f>
        <v>SFO</v>
      </c>
      <c r="E983" s="62" t="str">
        <f t="shared" si="4"/>
        <v>Khalid Kareem</v>
      </c>
      <c r="F983" s="62">
        <f t="shared" ref="F983:G983" si="1965">IF(isblank(F$1),,IF(isblank($A983),,IFERROR(vlookup($A983,indirect("'TVC-"&amp;text(month(F$1),"00")&amp;"'!$A:$D"),4,false),1)))</f>
        <v>1</v>
      </c>
      <c r="G983" s="62">
        <f t="shared" si="1965"/>
        <v>1</v>
      </c>
      <c r="H983" s="62">
        <f t="shared" ref="H983:Q983" si="1966">IF(isblank(H$1),,IFERROR(vlookup($A983,indirect("'TVC-"&amp;text(month(H$1),"00")&amp;"'!$A:$D"),4,false),1))</f>
        <v>1</v>
      </c>
      <c r="I983" s="62">
        <f t="shared" si="1966"/>
        <v>1</v>
      </c>
      <c r="J983" s="62">
        <f t="shared" si="1966"/>
        <v>1</v>
      </c>
      <c r="K983" s="62">
        <f t="shared" si="1966"/>
        <v>1</v>
      </c>
      <c r="L983" s="62">
        <f t="shared" si="1966"/>
        <v>1</v>
      </c>
      <c r="M983" s="62">
        <f t="shared" si="1966"/>
        <v>1</v>
      </c>
      <c r="N983" s="62">
        <f t="shared" si="1966"/>
        <v>1</v>
      </c>
      <c r="O983" s="62">
        <f t="shared" si="1966"/>
        <v>1</v>
      </c>
      <c r="P983" s="62" t="str">
        <f t="shared" si="1966"/>
        <v/>
      </c>
      <c r="Q983" s="62" t="str">
        <f t="shared" si="1966"/>
        <v/>
      </c>
      <c r="R983" s="62">
        <f t="shared" si="7"/>
        <v>0</v>
      </c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</row>
    <row r="984" hidden="1">
      <c r="A984" s="60">
        <f>IFERROR(__xludf.DUMMYFUNCTION("""COMPUTED_VALUE"""),14882.0)</f>
        <v>14882</v>
      </c>
      <c r="B984" s="60" t="str">
        <f>IFERROR(__xludf.DUMMYFUNCTION("""COMPUTED_VALUE"""),"Greenard, Jonathan")</f>
        <v>Greenard, Jonathan</v>
      </c>
      <c r="C984" s="60" t="str">
        <f>IFERROR(__xludf.DUMMYFUNCTION("""COMPUTED_VALUE"""),"DE")</f>
        <v>DE</v>
      </c>
      <c r="D984" s="60" t="str">
        <f>IFERROR(__xludf.DUMMYFUNCTION("""COMPUTED_VALUE"""),"PHI")</f>
        <v>PHI</v>
      </c>
      <c r="E984" s="62" t="str">
        <f t="shared" si="4"/>
        <v>Jonathan Greenard</v>
      </c>
      <c r="F984" s="62">
        <f t="shared" ref="F984:G984" si="1967">IF(isblank(F$1),,IF(isblank($A984),,IFERROR(vlookup($A984,indirect("'TVC-"&amp;text(month(F$1),"00")&amp;"'!$A:$D"),4,false),1)))</f>
        <v>1</v>
      </c>
      <c r="G984" s="62">
        <f t="shared" si="1967"/>
        <v>1</v>
      </c>
      <c r="H984" s="62">
        <f t="shared" ref="H984:Q984" si="1968">IF(isblank(H$1),,IFERROR(vlookup($A984,indirect("'TVC-"&amp;text(month(H$1),"00")&amp;"'!$A:$D"),4,false),1))</f>
        <v>1</v>
      </c>
      <c r="I984" s="62">
        <f t="shared" si="1968"/>
        <v>1</v>
      </c>
      <c r="J984" s="62">
        <f t="shared" si="1968"/>
        <v>1</v>
      </c>
      <c r="K984" s="62">
        <f t="shared" si="1968"/>
        <v>1</v>
      </c>
      <c r="L984" s="62">
        <f t="shared" si="1968"/>
        <v>1</v>
      </c>
      <c r="M984" s="62">
        <f t="shared" si="1968"/>
        <v>1</v>
      </c>
      <c r="N984" s="62">
        <f t="shared" si="1968"/>
        <v>1</v>
      </c>
      <c r="O984" s="62">
        <f t="shared" si="1968"/>
        <v>1</v>
      </c>
      <c r="P984" s="62" t="str">
        <f t="shared" si="1968"/>
        <v/>
      </c>
      <c r="Q984" s="62" t="str">
        <f t="shared" si="1968"/>
        <v/>
      </c>
      <c r="R984" s="62">
        <f t="shared" si="7"/>
        <v>0</v>
      </c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</row>
    <row r="985" hidden="1">
      <c r="A985" s="60">
        <f>IFERROR(__xludf.DUMMYFUNCTION("""COMPUTED_VALUE"""),14887.0)</f>
        <v>14887</v>
      </c>
      <c r="B985" s="60" t="str">
        <f>IFERROR(__xludf.DUMMYFUNCTION("""COMPUTED_VALUE"""),"Simmons, Isaiah")</f>
        <v>Simmons, Isaiah</v>
      </c>
      <c r="C985" s="60" t="str">
        <f>IFERROR(__xludf.DUMMYFUNCTION("""COMPUTED_VALUE"""),"LB")</f>
        <v>LB</v>
      </c>
      <c r="D985" s="60" t="str">
        <f>IFERROR(__xludf.DUMMYFUNCTION("""COMPUTED_VALUE"""),"CAR")</f>
        <v>CAR</v>
      </c>
      <c r="E985" s="62" t="str">
        <f t="shared" si="4"/>
        <v>Isaiah Simmons</v>
      </c>
      <c r="F985" s="62">
        <f t="shared" ref="F985:G985" si="1969">IF(isblank(F$1),,IF(isblank($A985),,IFERROR(vlookup($A985,indirect("'TVC-"&amp;text(month(F$1),"00")&amp;"'!$A:$D"),4,false),1)))</f>
        <v>1</v>
      </c>
      <c r="G985" s="62">
        <f t="shared" si="1969"/>
        <v>1</v>
      </c>
      <c r="H985" s="62">
        <f t="shared" ref="H985:Q985" si="1970">IF(isblank(H$1),,IFERROR(vlookup($A985,indirect("'TVC-"&amp;text(month(H$1),"00")&amp;"'!$A:$D"),4,false),1))</f>
        <v>1</v>
      </c>
      <c r="I985" s="62">
        <f t="shared" si="1970"/>
        <v>1</v>
      </c>
      <c r="J985" s="62">
        <f t="shared" si="1970"/>
        <v>1</v>
      </c>
      <c r="K985" s="62">
        <f t="shared" si="1970"/>
        <v>1</v>
      </c>
      <c r="L985" s="62">
        <f t="shared" si="1970"/>
        <v>1</v>
      </c>
      <c r="M985" s="62">
        <f t="shared" si="1970"/>
        <v>1</v>
      </c>
      <c r="N985" s="62">
        <f t="shared" si="1970"/>
        <v>1</v>
      </c>
      <c r="O985" s="62">
        <f t="shared" si="1970"/>
        <v>1</v>
      </c>
      <c r="P985" s="62" t="str">
        <f t="shared" si="1970"/>
        <v/>
      </c>
      <c r="Q985" s="62" t="str">
        <f t="shared" si="1970"/>
        <v/>
      </c>
      <c r="R985" s="62">
        <f t="shared" si="7"/>
        <v>0</v>
      </c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</row>
    <row r="986" hidden="1">
      <c r="A986" s="60">
        <f>IFERROR(__xludf.DUMMYFUNCTION("""COMPUTED_VALUE"""),14888.0)</f>
        <v>14888</v>
      </c>
      <c r="B986" s="60" t="str">
        <f>IFERROR(__xludf.DUMMYFUNCTION("""COMPUTED_VALUE"""),"Chaisson, K'Lavon")</f>
        <v>Chaisson, K'Lavon</v>
      </c>
      <c r="C986" s="60" t="str">
        <f>IFERROR(__xludf.DUMMYFUNCTION("""COMPUTED_VALUE"""),"DE")</f>
        <v>DE</v>
      </c>
      <c r="D986" s="60" t="str">
        <f>IFERROR(__xludf.DUMMYFUNCTION("""COMPUTED_VALUE"""),"WAS")</f>
        <v>WAS</v>
      </c>
      <c r="E986" s="62" t="str">
        <f t="shared" si="4"/>
        <v>K'Lavon Chaisson</v>
      </c>
      <c r="F986" s="62">
        <f t="shared" ref="F986:G986" si="1971">IF(isblank(F$1),,IF(isblank($A986),,IFERROR(vlookup($A986,indirect("'TVC-"&amp;text(month(F$1),"00")&amp;"'!$A:$D"),4,false),1)))</f>
        <v>1</v>
      </c>
      <c r="G986" s="62">
        <f t="shared" si="1971"/>
        <v>1</v>
      </c>
      <c r="H986" s="62">
        <f t="shared" ref="H986:Q986" si="1972">IF(isblank(H$1),,IFERROR(vlookup($A986,indirect("'TVC-"&amp;text(month(H$1),"00")&amp;"'!$A:$D"),4,false),1))</f>
        <v>1</v>
      </c>
      <c r="I986" s="62">
        <f t="shared" si="1972"/>
        <v>1</v>
      </c>
      <c r="J986" s="62">
        <f t="shared" si="1972"/>
        <v>1</v>
      </c>
      <c r="K986" s="62">
        <f t="shared" si="1972"/>
        <v>1</v>
      </c>
      <c r="L986" s="62">
        <f t="shared" si="1972"/>
        <v>1</v>
      </c>
      <c r="M986" s="62">
        <f t="shared" si="1972"/>
        <v>1</v>
      </c>
      <c r="N986" s="62">
        <f t="shared" si="1972"/>
        <v>1</v>
      </c>
      <c r="O986" s="62">
        <f t="shared" si="1972"/>
        <v>1</v>
      </c>
      <c r="P986" s="62" t="str">
        <f t="shared" si="1972"/>
        <v/>
      </c>
      <c r="Q986" s="62" t="str">
        <f t="shared" si="1972"/>
        <v/>
      </c>
      <c r="R986" s="62">
        <f t="shared" si="7"/>
        <v>0</v>
      </c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</row>
    <row r="987" hidden="1">
      <c r="A987" s="60">
        <f>IFERROR(__xludf.DUMMYFUNCTION("""COMPUTED_VALUE"""),14889.0)</f>
        <v>14889</v>
      </c>
      <c r="B987" s="60" t="str">
        <f>IFERROR(__xludf.DUMMYFUNCTION("""COMPUTED_VALUE"""),"Murray, Kenneth")</f>
        <v>Murray, Kenneth</v>
      </c>
      <c r="C987" s="60" t="str">
        <f>IFERROR(__xludf.DUMMYFUNCTION("""COMPUTED_VALUE"""),"LB")</f>
        <v>LB</v>
      </c>
      <c r="D987" s="60" t="str">
        <f>IFERROR(__xludf.DUMMYFUNCTION("""COMPUTED_VALUE"""),"FA")</f>
        <v>FA</v>
      </c>
      <c r="E987" s="62" t="str">
        <f t="shared" si="4"/>
        <v>Kenneth Murray</v>
      </c>
      <c r="F987" s="62">
        <f t="shared" ref="F987:G987" si="1973">IF(isblank(F$1),,IF(isblank($A987),,IFERROR(vlookup($A987,indirect("'TVC-"&amp;text(month(F$1),"00")&amp;"'!$A:$D"),4,false),1)))</f>
        <v>1</v>
      </c>
      <c r="G987" s="62">
        <f t="shared" si="1973"/>
        <v>1</v>
      </c>
      <c r="H987" s="62">
        <f t="shared" ref="H987:Q987" si="1974">IF(isblank(H$1),,IFERROR(vlookup($A987,indirect("'TVC-"&amp;text(month(H$1),"00")&amp;"'!$A:$D"),4,false),1))</f>
        <v>1</v>
      </c>
      <c r="I987" s="62">
        <f t="shared" si="1974"/>
        <v>1</v>
      </c>
      <c r="J987" s="62">
        <f t="shared" si="1974"/>
        <v>1</v>
      </c>
      <c r="K987" s="62">
        <f t="shared" si="1974"/>
        <v>1</v>
      </c>
      <c r="L987" s="62">
        <f t="shared" si="1974"/>
        <v>1</v>
      </c>
      <c r="M987" s="62">
        <f t="shared" si="1974"/>
        <v>1</v>
      </c>
      <c r="N987" s="62">
        <f t="shared" si="1974"/>
        <v>1</v>
      </c>
      <c r="O987" s="62">
        <f t="shared" si="1974"/>
        <v>1</v>
      </c>
      <c r="P987" s="62" t="str">
        <f t="shared" si="1974"/>
        <v/>
      </c>
      <c r="Q987" s="62" t="str">
        <f t="shared" si="1974"/>
        <v/>
      </c>
      <c r="R987" s="62">
        <f t="shared" si="7"/>
        <v>0</v>
      </c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</row>
    <row r="988" hidden="1">
      <c r="A988" s="60">
        <f>IFERROR(__xludf.DUMMYFUNCTION("""COMPUTED_VALUE"""),14890.0)</f>
        <v>14890</v>
      </c>
      <c r="B988" s="60" t="str">
        <f>IFERROR(__xludf.DUMMYFUNCTION("""COMPUTED_VALUE"""),"Phillips, Jacob")</f>
        <v>Phillips, Jacob</v>
      </c>
      <c r="C988" s="60" t="str">
        <f>IFERROR(__xludf.DUMMYFUNCTION("""COMPUTED_VALUE"""),"LB")</f>
        <v>LB</v>
      </c>
      <c r="D988" s="60" t="str">
        <f>IFERROR(__xludf.DUMMYFUNCTION("""COMPUTED_VALUE"""),"IND")</f>
        <v>IND</v>
      </c>
      <c r="E988" s="62" t="str">
        <f t="shared" si="4"/>
        <v>Jacob Phillips</v>
      </c>
      <c r="F988" s="62">
        <f t="shared" ref="F988:G988" si="1975">IF(isblank(F$1),,IF(isblank($A988),,IFERROR(vlookup($A988,indirect("'TVC-"&amp;text(month(F$1),"00")&amp;"'!$A:$D"),4,false),1)))</f>
        <v>1</v>
      </c>
      <c r="G988" s="62">
        <f t="shared" si="1975"/>
        <v>1</v>
      </c>
      <c r="H988" s="62">
        <f t="shared" ref="H988:Q988" si="1976">IF(isblank(H$1),,IFERROR(vlookup($A988,indirect("'TVC-"&amp;text(month(H$1),"00")&amp;"'!$A:$D"),4,false),1))</f>
        <v>1</v>
      </c>
      <c r="I988" s="62">
        <f t="shared" si="1976"/>
        <v>1</v>
      </c>
      <c r="J988" s="62">
        <f t="shared" si="1976"/>
        <v>1</v>
      </c>
      <c r="K988" s="62">
        <f t="shared" si="1976"/>
        <v>1</v>
      </c>
      <c r="L988" s="62">
        <f t="shared" si="1976"/>
        <v>1</v>
      </c>
      <c r="M988" s="62">
        <f t="shared" si="1976"/>
        <v>1</v>
      </c>
      <c r="N988" s="62">
        <f t="shared" si="1976"/>
        <v>1</v>
      </c>
      <c r="O988" s="62">
        <f t="shared" si="1976"/>
        <v>1</v>
      </c>
      <c r="P988" s="62" t="str">
        <f t="shared" si="1976"/>
        <v/>
      </c>
      <c r="Q988" s="62" t="str">
        <f t="shared" si="1976"/>
        <v/>
      </c>
      <c r="R988" s="62">
        <f t="shared" si="7"/>
        <v>0</v>
      </c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</row>
    <row r="989" hidden="1">
      <c r="A989" s="60">
        <f>IFERROR(__xludf.DUMMYFUNCTION("""COMPUTED_VALUE"""),14891.0)</f>
        <v>14891</v>
      </c>
      <c r="B989" s="60" t="str">
        <f>IFERROR(__xludf.DUMMYFUNCTION("""COMPUTED_VALUE"""),"Harrison, Malik")</f>
        <v>Harrison, Malik</v>
      </c>
      <c r="C989" s="60" t="str">
        <f>IFERROR(__xludf.DUMMYFUNCTION("""COMPUTED_VALUE"""),"LB")</f>
        <v>LB</v>
      </c>
      <c r="D989" s="60" t="str">
        <f>IFERROR(__xludf.DUMMYFUNCTION("""COMPUTED_VALUE"""),"NYG")</f>
        <v>NYG</v>
      </c>
      <c r="E989" s="62" t="str">
        <f t="shared" si="4"/>
        <v>Malik Harrison</v>
      </c>
      <c r="F989" s="62">
        <f t="shared" ref="F989:G989" si="1977">IF(isblank(F$1),,IF(isblank($A989),,IFERROR(vlookup($A989,indirect("'TVC-"&amp;text(month(F$1),"00")&amp;"'!$A:$D"),4,false),1)))</f>
        <v>1</v>
      </c>
      <c r="G989" s="62">
        <f t="shared" si="1977"/>
        <v>1</v>
      </c>
      <c r="H989" s="62">
        <f t="shared" ref="H989:Q989" si="1978">IF(isblank(H$1),,IFERROR(vlookup($A989,indirect("'TVC-"&amp;text(month(H$1),"00")&amp;"'!$A:$D"),4,false),1))</f>
        <v>1</v>
      </c>
      <c r="I989" s="62">
        <f t="shared" si="1978"/>
        <v>1</v>
      </c>
      <c r="J989" s="62">
        <f t="shared" si="1978"/>
        <v>1</v>
      </c>
      <c r="K989" s="62">
        <f t="shared" si="1978"/>
        <v>1</v>
      </c>
      <c r="L989" s="62">
        <f t="shared" si="1978"/>
        <v>1</v>
      </c>
      <c r="M989" s="62">
        <f t="shared" si="1978"/>
        <v>1</v>
      </c>
      <c r="N989" s="62">
        <f t="shared" si="1978"/>
        <v>1</v>
      </c>
      <c r="O989" s="62">
        <f t="shared" si="1978"/>
        <v>1</v>
      </c>
      <c r="P989" s="62" t="str">
        <f t="shared" si="1978"/>
        <v/>
      </c>
      <c r="Q989" s="62" t="str">
        <f t="shared" si="1978"/>
        <v/>
      </c>
      <c r="R989" s="62">
        <f t="shared" si="7"/>
        <v>0</v>
      </c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</row>
    <row r="990" hidden="1">
      <c r="A990" s="60">
        <f>IFERROR(__xludf.DUMMYFUNCTION("""COMPUTED_VALUE"""),14892.0)</f>
        <v>14892</v>
      </c>
      <c r="B990" s="60" t="str">
        <f>IFERROR(__xludf.DUMMYFUNCTION("""COMPUTED_VALUE"""),"Brooks, Jordyn")</f>
        <v>Brooks, Jordyn</v>
      </c>
      <c r="C990" s="60" t="str">
        <f>IFERROR(__xludf.DUMMYFUNCTION("""COMPUTED_VALUE"""),"LB")</f>
        <v>LB</v>
      </c>
      <c r="D990" s="60" t="str">
        <f>IFERROR(__xludf.DUMMYFUNCTION("""COMPUTED_VALUE"""),"MIA")</f>
        <v>MIA</v>
      </c>
      <c r="E990" s="62" t="str">
        <f t="shared" si="4"/>
        <v>Jordyn Brooks</v>
      </c>
      <c r="F990" s="62">
        <f t="shared" ref="F990:G990" si="1979">IF(isblank(F$1),,IF(isblank($A990),,IFERROR(vlookup($A990,indirect("'TVC-"&amp;text(month(F$1),"00")&amp;"'!$A:$D"),4,false),1)))</f>
        <v>1</v>
      </c>
      <c r="G990" s="62">
        <f t="shared" si="1979"/>
        <v>1</v>
      </c>
      <c r="H990" s="62">
        <f t="shared" ref="H990:Q990" si="1980">IF(isblank(H$1),,IFERROR(vlookup($A990,indirect("'TVC-"&amp;text(month(H$1),"00")&amp;"'!$A:$D"),4,false),1))</f>
        <v>1</v>
      </c>
      <c r="I990" s="62">
        <f t="shared" si="1980"/>
        <v>1</v>
      </c>
      <c r="J990" s="62">
        <f t="shared" si="1980"/>
        <v>1</v>
      </c>
      <c r="K990" s="62">
        <f t="shared" si="1980"/>
        <v>1</v>
      </c>
      <c r="L990" s="62">
        <f t="shared" si="1980"/>
        <v>1</v>
      </c>
      <c r="M990" s="62">
        <f t="shared" si="1980"/>
        <v>1</v>
      </c>
      <c r="N990" s="62">
        <f t="shared" si="1980"/>
        <v>1</v>
      </c>
      <c r="O990" s="62">
        <f t="shared" si="1980"/>
        <v>1</v>
      </c>
      <c r="P990" s="62" t="str">
        <f t="shared" si="1980"/>
        <v/>
      </c>
      <c r="Q990" s="62" t="str">
        <f t="shared" si="1980"/>
        <v/>
      </c>
      <c r="R990" s="62">
        <f t="shared" si="7"/>
        <v>0</v>
      </c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</row>
    <row r="991" hidden="1">
      <c r="A991" s="60">
        <f>IFERROR(__xludf.DUMMYFUNCTION("""COMPUTED_VALUE"""),14893.0)</f>
        <v>14893</v>
      </c>
      <c r="B991" s="60" t="str">
        <f>IFERROR(__xludf.DUMMYFUNCTION("""COMPUTED_VALUE"""),"Baun, Zack")</f>
        <v>Baun, Zack</v>
      </c>
      <c r="C991" s="60" t="str">
        <f>IFERROR(__xludf.DUMMYFUNCTION("""COMPUTED_VALUE"""),"LB")</f>
        <v>LB</v>
      </c>
      <c r="D991" s="60" t="str">
        <f>IFERROR(__xludf.DUMMYFUNCTION("""COMPUTED_VALUE"""),"PHI")</f>
        <v>PHI</v>
      </c>
      <c r="E991" s="62" t="str">
        <f t="shared" si="4"/>
        <v>Zack Baun</v>
      </c>
      <c r="F991" s="62">
        <f t="shared" ref="F991:G991" si="1981">IF(isblank(F$1),,IF(isblank($A991),,IFERROR(vlookup($A991,indirect("'TVC-"&amp;text(month(F$1),"00")&amp;"'!$A:$D"),4,false),1)))</f>
        <v>1</v>
      </c>
      <c r="G991" s="62">
        <f t="shared" si="1981"/>
        <v>1</v>
      </c>
      <c r="H991" s="62">
        <f t="shared" ref="H991:Q991" si="1982">IF(isblank(H$1),,IFERROR(vlookup($A991,indirect("'TVC-"&amp;text(month(H$1),"00")&amp;"'!$A:$D"),4,false),1))</f>
        <v>1</v>
      </c>
      <c r="I991" s="62">
        <f t="shared" si="1982"/>
        <v>1</v>
      </c>
      <c r="J991" s="62">
        <f t="shared" si="1982"/>
        <v>1</v>
      </c>
      <c r="K991" s="62">
        <f t="shared" si="1982"/>
        <v>1</v>
      </c>
      <c r="L991" s="62">
        <f t="shared" si="1982"/>
        <v>1</v>
      </c>
      <c r="M991" s="62">
        <f t="shared" si="1982"/>
        <v>1</v>
      </c>
      <c r="N991" s="62">
        <f t="shared" si="1982"/>
        <v>1</v>
      </c>
      <c r="O991" s="62">
        <f t="shared" si="1982"/>
        <v>1</v>
      </c>
      <c r="P991" s="62" t="str">
        <f t="shared" si="1982"/>
        <v/>
      </c>
      <c r="Q991" s="62" t="str">
        <f t="shared" si="1982"/>
        <v/>
      </c>
      <c r="R991" s="62">
        <f t="shared" si="7"/>
        <v>0</v>
      </c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</row>
    <row r="992" hidden="1">
      <c r="A992" s="60">
        <f>IFERROR(__xludf.DUMMYFUNCTION("""COMPUTED_VALUE"""),14894.0)</f>
        <v>14894</v>
      </c>
      <c r="B992" s="60" t="str">
        <f>IFERROR(__xludf.DUMMYFUNCTION("""COMPUTED_VALUE"""),"Jennings, Anfernee")</f>
        <v>Jennings, Anfernee</v>
      </c>
      <c r="C992" s="60" t="str">
        <f>IFERROR(__xludf.DUMMYFUNCTION("""COMPUTED_VALUE"""),"DE")</f>
        <v>DE</v>
      </c>
      <c r="D992" s="60" t="str">
        <f>IFERROR(__xludf.DUMMYFUNCTION("""COMPUTED_VALUE"""),"NOS")</f>
        <v>NOS</v>
      </c>
      <c r="E992" s="62" t="str">
        <f t="shared" si="4"/>
        <v>Anfernee Jennings</v>
      </c>
      <c r="F992" s="62">
        <f t="shared" ref="F992:G992" si="1983">IF(isblank(F$1),,IF(isblank($A992),,IFERROR(vlookup($A992,indirect("'TVC-"&amp;text(month(F$1),"00")&amp;"'!$A:$D"),4,false),1)))</f>
        <v>1</v>
      </c>
      <c r="G992" s="62">
        <f t="shared" si="1983"/>
        <v>1</v>
      </c>
      <c r="H992" s="62">
        <f t="shared" ref="H992:Q992" si="1984">IF(isblank(H$1),,IFERROR(vlookup($A992,indirect("'TVC-"&amp;text(month(H$1),"00")&amp;"'!$A:$D"),4,false),1))</f>
        <v>1</v>
      </c>
      <c r="I992" s="62">
        <f t="shared" si="1984"/>
        <v>1</v>
      </c>
      <c r="J992" s="62">
        <f t="shared" si="1984"/>
        <v>1</v>
      </c>
      <c r="K992" s="62">
        <f t="shared" si="1984"/>
        <v>1</v>
      </c>
      <c r="L992" s="62">
        <f t="shared" si="1984"/>
        <v>1</v>
      </c>
      <c r="M992" s="62">
        <f t="shared" si="1984"/>
        <v>1</v>
      </c>
      <c r="N992" s="62">
        <f t="shared" si="1984"/>
        <v>1</v>
      </c>
      <c r="O992" s="62">
        <f t="shared" si="1984"/>
        <v>1</v>
      </c>
      <c r="P992" s="62" t="str">
        <f t="shared" si="1984"/>
        <v/>
      </c>
      <c r="Q992" s="62" t="str">
        <f t="shared" si="1984"/>
        <v/>
      </c>
      <c r="R992" s="62">
        <f t="shared" si="7"/>
        <v>0</v>
      </c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</row>
    <row r="993" hidden="1">
      <c r="A993" s="60">
        <f>IFERROR(__xludf.DUMMYFUNCTION("""COMPUTED_VALUE"""),14896.0)</f>
        <v>14896</v>
      </c>
      <c r="B993" s="60" t="str">
        <f>IFERROR(__xludf.DUMMYFUNCTION("""COMPUTED_VALUE"""),"Queen, Patrick")</f>
        <v>Queen, Patrick</v>
      </c>
      <c r="C993" s="60" t="str">
        <f>IFERROR(__xludf.DUMMYFUNCTION("""COMPUTED_VALUE"""),"LB")</f>
        <v>LB</v>
      </c>
      <c r="D993" s="60" t="str">
        <f>IFERROR(__xludf.DUMMYFUNCTION("""COMPUTED_VALUE"""),"PIT")</f>
        <v>PIT</v>
      </c>
      <c r="E993" s="62" t="str">
        <f t="shared" si="4"/>
        <v>Patrick Queen</v>
      </c>
      <c r="F993" s="62">
        <f t="shared" ref="F993:G993" si="1985">IF(isblank(F$1),,IF(isblank($A993),,IFERROR(vlookup($A993,indirect("'TVC-"&amp;text(month(F$1),"00")&amp;"'!$A:$D"),4,false),1)))</f>
        <v>1</v>
      </c>
      <c r="G993" s="62">
        <f t="shared" si="1985"/>
        <v>1</v>
      </c>
      <c r="H993" s="62">
        <f t="shared" ref="H993:Q993" si="1986">IF(isblank(H$1),,IFERROR(vlookup($A993,indirect("'TVC-"&amp;text(month(H$1),"00")&amp;"'!$A:$D"),4,false),1))</f>
        <v>1</v>
      </c>
      <c r="I993" s="62">
        <f t="shared" si="1986"/>
        <v>1</v>
      </c>
      <c r="J993" s="62">
        <f t="shared" si="1986"/>
        <v>1</v>
      </c>
      <c r="K993" s="62">
        <f t="shared" si="1986"/>
        <v>1</v>
      </c>
      <c r="L993" s="62">
        <f t="shared" si="1986"/>
        <v>1</v>
      </c>
      <c r="M993" s="62">
        <f t="shared" si="1986"/>
        <v>1</v>
      </c>
      <c r="N993" s="62">
        <f t="shared" si="1986"/>
        <v>1</v>
      </c>
      <c r="O993" s="62">
        <f t="shared" si="1986"/>
        <v>1</v>
      </c>
      <c r="P993" s="62" t="str">
        <f t="shared" si="1986"/>
        <v/>
      </c>
      <c r="Q993" s="62" t="str">
        <f t="shared" si="1986"/>
        <v/>
      </c>
      <c r="R993" s="62">
        <f t="shared" si="7"/>
        <v>0</v>
      </c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</row>
    <row r="994" hidden="1">
      <c r="A994" s="60">
        <f>IFERROR(__xludf.DUMMYFUNCTION("""COMPUTED_VALUE"""),14897.0)</f>
        <v>14897</v>
      </c>
      <c r="B994" s="60" t="str">
        <f>IFERROR(__xludf.DUMMYFUNCTION("""COMPUTED_VALUE"""),"Brown, Derrick")</f>
        <v>Brown, Derrick</v>
      </c>
      <c r="C994" s="60" t="str">
        <f>IFERROR(__xludf.DUMMYFUNCTION("""COMPUTED_VALUE"""),"DT")</f>
        <v>DT</v>
      </c>
      <c r="D994" s="60" t="str">
        <f>IFERROR(__xludf.DUMMYFUNCTION("""COMPUTED_VALUE"""),"CAR")</f>
        <v>CAR</v>
      </c>
      <c r="E994" s="62" t="str">
        <f t="shared" si="4"/>
        <v>Derrick Brown</v>
      </c>
      <c r="F994" s="62">
        <f t="shared" ref="F994:G994" si="1987">IF(isblank(F$1),,IF(isblank($A994),,IFERROR(vlookup($A994,indirect("'TVC-"&amp;text(month(F$1),"00")&amp;"'!$A:$D"),4,false),1)))</f>
        <v>1</v>
      </c>
      <c r="G994" s="62">
        <f t="shared" si="1987"/>
        <v>1</v>
      </c>
      <c r="H994" s="62">
        <f t="shared" ref="H994:Q994" si="1988">IF(isblank(H$1),,IFERROR(vlookup($A994,indirect("'TVC-"&amp;text(month(H$1),"00")&amp;"'!$A:$D"),4,false),1))</f>
        <v>1</v>
      </c>
      <c r="I994" s="62">
        <f t="shared" si="1988"/>
        <v>1</v>
      </c>
      <c r="J994" s="62">
        <f t="shared" si="1988"/>
        <v>1</v>
      </c>
      <c r="K994" s="62">
        <f t="shared" si="1988"/>
        <v>1</v>
      </c>
      <c r="L994" s="62">
        <f t="shared" si="1988"/>
        <v>1</v>
      </c>
      <c r="M994" s="62">
        <f t="shared" si="1988"/>
        <v>1</v>
      </c>
      <c r="N994" s="62">
        <f t="shared" si="1988"/>
        <v>1</v>
      </c>
      <c r="O994" s="62">
        <f t="shared" si="1988"/>
        <v>1</v>
      </c>
      <c r="P994" s="62" t="str">
        <f t="shared" si="1988"/>
        <v/>
      </c>
      <c r="Q994" s="62" t="str">
        <f t="shared" si="1988"/>
        <v/>
      </c>
      <c r="R994" s="62">
        <f t="shared" si="7"/>
        <v>0</v>
      </c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</row>
    <row r="995" hidden="1">
      <c r="A995" s="60">
        <f>IFERROR(__xludf.DUMMYFUNCTION("""COMPUTED_VALUE"""),14899.0)</f>
        <v>14899</v>
      </c>
      <c r="B995" s="60" t="str">
        <f>IFERROR(__xludf.DUMMYFUNCTION("""COMPUTED_VALUE"""),"Kinlaw, Javon")</f>
        <v>Kinlaw, Javon</v>
      </c>
      <c r="C995" s="60" t="str">
        <f>IFERROR(__xludf.DUMMYFUNCTION("""COMPUTED_VALUE"""),"DT")</f>
        <v>DT</v>
      </c>
      <c r="D995" s="60" t="str">
        <f>IFERROR(__xludf.DUMMYFUNCTION("""COMPUTED_VALUE"""),"WAS")</f>
        <v>WAS</v>
      </c>
      <c r="E995" s="62" t="str">
        <f t="shared" si="4"/>
        <v>Javon Kinlaw</v>
      </c>
      <c r="F995" s="62">
        <f t="shared" ref="F995:G995" si="1989">IF(isblank(F$1),,IF(isblank($A995),,IFERROR(vlookup($A995,indirect("'TVC-"&amp;text(month(F$1),"00")&amp;"'!$A:$D"),4,false),1)))</f>
        <v>1</v>
      </c>
      <c r="G995" s="62">
        <f t="shared" si="1989"/>
        <v>1</v>
      </c>
      <c r="H995" s="62">
        <f t="shared" ref="H995:Q995" si="1990">IF(isblank(H$1),,IFERROR(vlookup($A995,indirect("'TVC-"&amp;text(month(H$1),"00")&amp;"'!$A:$D"),4,false),1))</f>
        <v>1</v>
      </c>
      <c r="I995" s="62">
        <f t="shared" si="1990"/>
        <v>1</v>
      </c>
      <c r="J995" s="62">
        <f t="shared" si="1990"/>
        <v>1</v>
      </c>
      <c r="K995" s="62">
        <f t="shared" si="1990"/>
        <v>1</v>
      </c>
      <c r="L995" s="62">
        <f t="shared" si="1990"/>
        <v>1</v>
      </c>
      <c r="M995" s="62">
        <f t="shared" si="1990"/>
        <v>1</v>
      </c>
      <c r="N995" s="62">
        <f t="shared" si="1990"/>
        <v>1</v>
      </c>
      <c r="O995" s="62">
        <f t="shared" si="1990"/>
        <v>1</v>
      </c>
      <c r="P995" s="62" t="str">
        <f t="shared" si="1990"/>
        <v/>
      </c>
      <c r="Q995" s="62" t="str">
        <f t="shared" si="1990"/>
        <v/>
      </c>
      <c r="R995" s="62">
        <f t="shared" si="7"/>
        <v>0</v>
      </c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</row>
    <row r="996" hidden="1">
      <c r="A996" s="60">
        <f>IFERROR(__xludf.DUMMYFUNCTION("""COMPUTED_VALUE"""),14900.0)</f>
        <v>14900</v>
      </c>
      <c r="B996" s="60" t="str">
        <f>IFERROR(__xludf.DUMMYFUNCTION("""COMPUTED_VALUE"""),"Madubuike, Nnamdi")</f>
        <v>Madubuike, Nnamdi</v>
      </c>
      <c r="C996" s="60" t="str">
        <f>IFERROR(__xludf.DUMMYFUNCTION("""COMPUTED_VALUE"""),"DT")</f>
        <v>DT</v>
      </c>
      <c r="D996" s="60" t="str">
        <f>IFERROR(__xludf.DUMMYFUNCTION("""COMPUTED_VALUE"""),"BAL")</f>
        <v>BAL</v>
      </c>
      <c r="E996" s="62" t="str">
        <f t="shared" si="4"/>
        <v>Nnamdi Madubuike</v>
      </c>
      <c r="F996" s="62">
        <f t="shared" ref="F996:G996" si="1991">IF(isblank(F$1),,IF(isblank($A996),,IFERROR(vlookup($A996,indirect("'TVC-"&amp;text(month(F$1),"00")&amp;"'!$A:$D"),4,false),1)))</f>
        <v>1</v>
      </c>
      <c r="G996" s="62">
        <f t="shared" si="1991"/>
        <v>1</v>
      </c>
      <c r="H996" s="62">
        <f t="shared" ref="H996:Q996" si="1992">IF(isblank(H$1),,IFERROR(vlookup($A996,indirect("'TVC-"&amp;text(month(H$1),"00")&amp;"'!$A:$D"),4,false),1))</f>
        <v>1</v>
      </c>
      <c r="I996" s="62">
        <f t="shared" si="1992"/>
        <v>1</v>
      </c>
      <c r="J996" s="62">
        <f t="shared" si="1992"/>
        <v>1</v>
      </c>
      <c r="K996" s="62">
        <f t="shared" si="1992"/>
        <v>1</v>
      </c>
      <c r="L996" s="62">
        <f t="shared" si="1992"/>
        <v>1</v>
      </c>
      <c r="M996" s="62">
        <f t="shared" si="1992"/>
        <v>1</v>
      </c>
      <c r="N996" s="62">
        <f t="shared" si="1992"/>
        <v>1</v>
      </c>
      <c r="O996" s="62">
        <f t="shared" si="1992"/>
        <v>1</v>
      </c>
      <c r="P996" s="62" t="str">
        <f t="shared" si="1992"/>
        <v/>
      </c>
      <c r="Q996" s="62" t="str">
        <f t="shared" si="1992"/>
        <v/>
      </c>
      <c r="R996" s="62">
        <f t="shared" si="7"/>
        <v>0</v>
      </c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</row>
    <row r="997" hidden="1">
      <c r="A997" s="60">
        <f>IFERROR(__xludf.DUMMYFUNCTION("""COMPUTED_VALUE"""),14901.0)</f>
        <v>14901</v>
      </c>
      <c r="B997" s="60" t="str">
        <f>IFERROR(__xludf.DUMMYFUNCTION("""COMPUTED_VALUE"""),"Gallimore, Neville")</f>
        <v>Gallimore, Neville</v>
      </c>
      <c r="C997" s="60" t="str">
        <f>IFERROR(__xludf.DUMMYFUNCTION("""COMPUTED_VALUE"""),"DT")</f>
        <v>DT</v>
      </c>
      <c r="D997" s="60" t="str">
        <f>IFERROR(__xludf.DUMMYFUNCTION("""COMPUTED_VALUE"""),"CHI")</f>
        <v>CHI</v>
      </c>
      <c r="E997" s="62" t="str">
        <f t="shared" si="4"/>
        <v>Neville Gallimore</v>
      </c>
      <c r="F997" s="62">
        <f t="shared" ref="F997:G997" si="1993">IF(isblank(F$1),,IF(isblank($A997),,IFERROR(vlookup($A997,indirect("'TVC-"&amp;text(month(F$1),"00")&amp;"'!$A:$D"),4,false),1)))</f>
        <v>1</v>
      </c>
      <c r="G997" s="62">
        <f t="shared" si="1993"/>
        <v>1</v>
      </c>
      <c r="H997" s="62">
        <f t="shared" ref="H997:Q997" si="1994">IF(isblank(H$1),,IFERROR(vlookup($A997,indirect("'TVC-"&amp;text(month(H$1),"00")&amp;"'!$A:$D"),4,false),1))</f>
        <v>1</v>
      </c>
      <c r="I997" s="62">
        <f t="shared" si="1994"/>
        <v>1</v>
      </c>
      <c r="J997" s="62">
        <f t="shared" si="1994"/>
        <v>1</v>
      </c>
      <c r="K997" s="62">
        <f t="shared" si="1994"/>
        <v>1</v>
      </c>
      <c r="L997" s="62">
        <f t="shared" si="1994"/>
        <v>1</v>
      </c>
      <c r="M997" s="62">
        <f t="shared" si="1994"/>
        <v>1</v>
      </c>
      <c r="N997" s="62">
        <f t="shared" si="1994"/>
        <v>1</v>
      </c>
      <c r="O997" s="62">
        <f t="shared" si="1994"/>
        <v>1</v>
      </c>
      <c r="P997" s="62" t="str">
        <f t="shared" si="1994"/>
        <v/>
      </c>
      <c r="Q997" s="62" t="str">
        <f t="shared" si="1994"/>
        <v/>
      </c>
      <c r="R997" s="62">
        <f t="shared" si="7"/>
        <v>0</v>
      </c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</row>
    <row r="998" hidden="1">
      <c r="A998" s="60">
        <f>IFERROR(__xludf.DUMMYFUNCTION("""COMPUTED_VALUE"""),14902.0)</f>
        <v>14902</v>
      </c>
      <c r="B998" s="60" t="str">
        <f>IFERROR(__xludf.DUMMYFUNCTION("""COMPUTED_VALUE"""),"Okudah, Jeff")</f>
        <v>Okudah, Jeff</v>
      </c>
      <c r="C998" s="60" t="str">
        <f>IFERROR(__xludf.DUMMYFUNCTION("""COMPUTED_VALUE"""),"CB")</f>
        <v>CB</v>
      </c>
      <c r="D998" s="60" t="str">
        <f>IFERROR(__xludf.DUMMYFUNCTION("""COMPUTED_VALUE"""),"MIN")</f>
        <v>MIN</v>
      </c>
      <c r="E998" s="62" t="str">
        <f t="shared" si="4"/>
        <v>Jeff Okudah</v>
      </c>
      <c r="F998" s="62">
        <f t="shared" ref="F998:G998" si="1995">IF(isblank(F$1),,IF(isblank($A998),,IFERROR(vlookup($A998,indirect("'TVC-"&amp;text(month(F$1),"00")&amp;"'!$A:$D"),4,false),1)))</f>
        <v>1</v>
      </c>
      <c r="G998" s="62">
        <f t="shared" si="1995"/>
        <v>1</v>
      </c>
      <c r="H998" s="62">
        <f t="shared" ref="H998:Q998" si="1996">IF(isblank(H$1),,IFERROR(vlookup($A998,indirect("'TVC-"&amp;text(month(H$1),"00")&amp;"'!$A:$D"),4,false),1))</f>
        <v>1</v>
      </c>
      <c r="I998" s="62">
        <f t="shared" si="1996"/>
        <v>1</v>
      </c>
      <c r="J998" s="62">
        <f t="shared" si="1996"/>
        <v>1</v>
      </c>
      <c r="K998" s="62">
        <f t="shared" si="1996"/>
        <v>1</v>
      </c>
      <c r="L998" s="62">
        <f t="shared" si="1996"/>
        <v>1</v>
      </c>
      <c r="M998" s="62">
        <f t="shared" si="1996"/>
        <v>1</v>
      </c>
      <c r="N998" s="62">
        <f t="shared" si="1996"/>
        <v>1</v>
      </c>
      <c r="O998" s="62">
        <f t="shared" si="1996"/>
        <v>1</v>
      </c>
      <c r="P998" s="62" t="str">
        <f t="shared" si="1996"/>
        <v/>
      </c>
      <c r="Q998" s="62" t="str">
        <f t="shared" si="1996"/>
        <v/>
      </c>
      <c r="R998" s="62">
        <f t="shared" si="7"/>
        <v>0</v>
      </c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</row>
    <row r="999" hidden="1">
      <c r="A999" s="60">
        <f>IFERROR(__xludf.DUMMYFUNCTION("""COMPUTED_VALUE"""),14903.0)</f>
        <v>14903</v>
      </c>
      <c r="B999" s="60" t="str">
        <f>IFERROR(__xludf.DUMMYFUNCTION("""COMPUTED_VALUE"""),"Diggs, Trevon")</f>
        <v>Diggs, Trevon</v>
      </c>
      <c r="C999" s="60" t="str">
        <f>IFERROR(__xludf.DUMMYFUNCTION("""COMPUTED_VALUE"""),"CB")</f>
        <v>CB</v>
      </c>
      <c r="D999" s="60" t="str">
        <f>IFERROR(__xludf.DUMMYFUNCTION("""COMPUTED_VALUE"""),"SEA")</f>
        <v>SEA</v>
      </c>
      <c r="E999" s="62" t="str">
        <f t="shared" si="4"/>
        <v>Trevon Diggs</v>
      </c>
      <c r="F999" s="62">
        <f t="shared" ref="F999:G999" si="1997">IF(isblank(F$1),,IF(isblank($A999),,IFERROR(vlookup($A999,indirect("'TVC-"&amp;text(month(F$1),"00")&amp;"'!$A:$D"),4,false),1)))</f>
        <v>1</v>
      </c>
      <c r="G999" s="62">
        <f t="shared" si="1997"/>
        <v>1</v>
      </c>
      <c r="H999" s="62">
        <f t="shared" ref="H999:Q999" si="1998">IF(isblank(H$1),,IFERROR(vlookup($A999,indirect("'TVC-"&amp;text(month(H$1),"00")&amp;"'!$A:$D"),4,false),1))</f>
        <v>1</v>
      </c>
      <c r="I999" s="62">
        <f t="shared" si="1998"/>
        <v>1</v>
      </c>
      <c r="J999" s="62">
        <f t="shared" si="1998"/>
        <v>1</v>
      </c>
      <c r="K999" s="62">
        <f t="shared" si="1998"/>
        <v>1</v>
      </c>
      <c r="L999" s="62">
        <f t="shared" si="1998"/>
        <v>1</v>
      </c>
      <c r="M999" s="62">
        <f t="shared" si="1998"/>
        <v>1</v>
      </c>
      <c r="N999" s="62">
        <f t="shared" si="1998"/>
        <v>1</v>
      </c>
      <c r="O999" s="62">
        <f t="shared" si="1998"/>
        <v>1</v>
      </c>
      <c r="P999" s="62" t="str">
        <f t="shared" si="1998"/>
        <v/>
      </c>
      <c r="Q999" s="62" t="str">
        <f t="shared" si="1998"/>
        <v/>
      </c>
      <c r="R999" s="62">
        <f t="shared" si="7"/>
        <v>0</v>
      </c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</row>
    <row r="1000" hidden="1">
      <c r="A1000" s="60">
        <f>IFERROR(__xludf.DUMMYFUNCTION("""COMPUTED_VALUE"""),14904.0)</f>
        <v>14904</v>
      </c>
      <c r="B1000" s="60" t="str">
        <f>IFERROR(__xludf.DUMMYFUNCTION("""COMPUTED_VALUE"""),"Fulton, Kristian")</f>
        <v>Fulton, Kristian</v>
      </c>
      <c r="C1000" s="60" t="str">
        <f>IFERROR(__xludf.DUMMYFUNCTION("""COMPUTED_VALUE"""),"CB")</f>
        <v>CB</v>
      </c>
      <c r="D1000" s="60" t="str">
        <f>IFERROR(__xludf.DUMMYFUNCTION("""COMPUTED_VALUE"""),"KCC")</f>
        <v>KCC</v>
      </c>
      <c r="E1000" s="62" t="str">
        <f t="shared" si="4"/>
        <v>Kristian Fulton</v>
      </c>
      <c r="F1000" s="62">
        <f t="shared" ref="F1000:G1000" si="1999">IF(isblank(F$1),,IF(isblank($A1000),,IFERROR(vlookup($A1000,indirect("'TVC-"&amp;text(month(F$1),"00")&amp;"'!$A:$D"),4,false),1)))</f>
        <v>1</v>
      </c>
      <c r="G1000" s="62">
        <f t="shared" si="1999"/>
        <v>1</v>
      </c>
      <c r="H1000" s="62">
        <f t="shared" ref="H1000:Q1000" si="2000">IF(isblank(H$1),,IFERROR(vlookup($A1000,indirect("'TVC-"&amp;text(month(H$1),"00")&amp;"'!$A:$D"),4,false),1))</f>
        <v>1</v>
      </c>
      <c r="I1000" s="62">
        <f t="shared" si="2000"/>
        <v>1</v>
      </c>
      <c r="J1000" s="62">
        <f t="shared" si="2000"/>
        <v>1</v>
      </c>
      <c r="K1000" s="62">
        <f t="shared" si="2000"/>
        <v>1</v>
      </c>
      <c r="L1000" s="62">
        <f t="shared" si="2000"/>
        <v>1</v>
      </c>
      <c r="M1000" s="62">
        <f t="shared" si="2000"/>
        <v>1</v>
      </c>
      <c r="N1000" s="62">
        <f t="shared" si="2000"/>
        <v>1</v>
      </c>
      <c r="O1000" s="62">
        <f t="shared" si="2000"/>
        <v>1</v>
      </c>
      <c r="P1000" s="62" t="str">
        <f t="shared" si="2000"/>
        <v/>
      </c>
      <c r="Q1000" s="62" t="str">
        <f t="shared" si="2000"/>
        <v/>
      </c>
      <c r="R1000" s="62">
        <f t="shared" si="7"/>
        <v>0</v>
      </c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</row>
    <row r="1001" hidden="1">
      <c r="A1001" s="60">
        <f>IFERROR(__xludf.DUMMYFUNCTION("""COMPUTED_VALUE"""),14905.0)</f>
        <v>14905</v>
      </c>
      <c r="B1001" s="60" t="str">
        <f>IFERROR(__xludf.DUMMYFUNCTION("""COMPUTED_VALUE"""),"Henderson, CJ")</f>
        <v>Henderson, CJ</v>
      </c>
      <c r="C1001" s="60" t="str">
        <f>IFERROR(__xludf.DUMMYFUNCTION("""COMPUTED_VALUE"""),"CB")</f>
        <v>CB</v>
      </c>
      <c r="D1001" s="60" t="str">
        <f>IFERROR(__xludf.DUMMYFUNCTION("""COMPUTED_VALUE"""),"ATL")</f>
        <v>ATL</v>
      </c>
      <c r="E1001" s="62" t="str">
        <f t="shared" si="4"/>
        <v>CJ Henderson</v>
      </c>
      <c r="F1001" s="62">
        <f t="shared" ref="F1001:G1001" si="2001">IF(isblank(F$1),,IF(isblank($A1001),,IFERROR(vlookup($A1001,indirect("'TVC-"&amp;text(month(F$1),"00")&amp;"'!$A:$D"),4,false),1)))</f>
        <v>1</v>
      </c>
      <c r="G1001" s="62">
        <f t="shared" si="2001"/>
        <v>1</v>
      </c>
      <c r="H1001" s="62">
        <f t="shared" ref="H1001:Q1001" si="2002">IF(isblank(H$1),,IFERROR(vlookup($A1001,indirect("'TVC-"&amp;text(month(H$1),"00")&amp;"'!$A:$D"),4,false),1))</f>
        <v>1</v>
      </c>
      <c r="I1001" s="62">
        <f t="shared" si="2002"/>
        <v>1</v>
      </c>
      <c r="J1001" s="62">
        <f t="shared" si="2002"/>
        <v>1</v>
      </c>
      <c r="K1001" s="62">
        <f t="shared" si="2002"/>
        <v>1</v>
      </c>
      <c r="L1001" s="62">
        <f t="shared" si="2002"/>
        <v>1</v>
      </c>
      <c r="M1001" s="62">
        <f t="shared" si="2002"/>
        <v>1</v>
      </c>
      <c r="N1001" s="62">
        <f t="shared" si="2002"/>
        <v>1</v>
      </c>
      <c r="O1001" s="62">
        <f t="shared" si="2002"/>
        <v>1</v>
      </c>
      <c r="P1001" s="62" t="str">
        <f t="shared" si="2002"/>
        <v/>
      </c>
      <c r="Q1001" s="62" t="str">
        <f t="shared" si="2002"/>
        <v/>
      </c>
      <c r="R1001" s="62">
        <f t="shared" si="7"/>
        <v>0</v>
      </c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</row>
    <row r="1002" hidden="1">
      <c r="A1002" s="60">
        <f>IFERROR(__xludf.DUMMYFUNCTION("""COMPUTED_VALUE"""),14907.0)</f>
        <v>14907</v>
      </c>
      <c r="B1002" s="60" t="str">
        <f>IFERROR(__xludf.DUMMYFUNCTION("""COMPUTED_VALUE"""),"Delpit, Grant")</f>
        <v>Delpit, Grant</v>
      </c>
      <c r="C1002" s="60" t="str">
        <f>IFERROR(__xludf.DUMMYFUNCTION("""COMPUTED_VALUE"""),"S")</f>
        <v>S</v>
      </c>
      <c r="D1002" s="60" t="str">
        <f>IFERROR(__xludf.DUMMYFUNCTION("""COMPUTED_VALUE"""),"CLE")</f>
        <v>CLE</v>
      </c>
      <c r="E1002" s="62" t="str">
        <f t="shared" si="4"/>
        <v>Grant Delpit</v>
      </c>
      <c r="F1002" s="62">
        <f t="shared" ref="F1002:G1002" si="2003">IF(isblank(F$1),,IF(isblank($A1002),,IFERROR(vlookup($A1002,indirect("'TVC-"&amp;text(month(F$1),"00")&amp;"'!$A:$D"),4,false),1)))</f>
        <v>1</v>
      </c>
      <c r="G1002" s="62">
        <f t="shared" si="2003"/>
        <v>1</v>
      </c>
      <c r="H1002" s="62">
        <f t="shared" ref="H1002:Q1002" si="2004">IF(isblank(H$1),,IFERROR(vlookup($A1002,indirect("'TVC-"&amp;text(month(H$1),"00")&amp;"'!$A:$D"),4,false),1))</f>
        <v>1</v>
      </c>
      <c r="I1002" s="62">
        <f t="shared" si="2004"/>
        <v>1</v>
      </c>
      <c r="J1002" s="62">
        <f t="shared" si="2004"/>
        <v>1</v>
      </c>
      <c r="K1002" s="62">
        <f t="shared" si="2004"/>
        <v>1</v>
      </c>
      <c r="L1002" s="62">
        <f t="shared" si="2004"/>
        <v>1</v>
      </c>
      <c r="M1002" s="62">
        <f t="shared" si="2004"/>
        <v>1</v>
      </c>
      <c r="N1002" s="62">
        <f t="shared" si="2004"/>
        <v>1</v>
      </c>
      <c r="O1002" s="62">
        <f t="shared" si="2004"/>
        <v>1</v>
      </c>
      <c r="P1002" s="62" t="str">
        <f t="shared" si="2004"/>
        <v/>
      </c>
      <c r="Q1002" s="62" t="str">
        <f t="shared" si="2004"/>
        <v/>
      </c>
      <c r="R1002" s="62">
        <f t="shared" si="7"/>
        <v>0</v>
      </c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</row>
    <row r="1003" hidden="1">
      <c r="A1003" s="60">
        <f>IFERROR(__xludf.DUMMYFUNCTION("""COMPUTED_VALUE"""),14908.0)</f>
        <v>14908</v>
      </c>
      <c r="B1003" s="60" t="str">
        <f>IFERROR(__xludf.DUMMYFUNCTION("""COMPUTED_VALUE"""),"McKinney, Xavier")</f>
        <v>McKinney, Xavier</v>
      </c>
      <c r="C1003" s="60" t="str">
        <f>IFERROR(__xludf.DUMMYFUNCTION("""COMPUTED_VALUE"""),"S")</f>
        <v>S</v>
      </c>
      <c r="D1003" s="60" t="str">
        <f>IFERROR(__xludf.DUMMYFUNCTION("""COMPUTED_VALUE"""),"GBP")</f>
        <v>GBP</v>
      </c>
      <c r="E1003" s="62" t="str">
        <f t="shared" si="4"/>
        <v>Xavier McKinney</v>
      </c>
      <c r="F1003" s="62">
        <f t="shared" ref="F1003:G1003" si="2005">IF(isblank(F$1),,IF(isblank($A1003),,IFERROR(vlookup($A1003,indirect("'TVC-"&amp;text(month(F$1),"00")&amp;"'!$A:$D"),4,false),1)))</f>
        <v>1</v>
      </c>
      <c r="G1003" s="62">
        <f t="shared" si="2005"/>
        <v>1</v>
      </c>
      <c r="H1003" s="62">
        <f t="shared" ref="H1003:Q1003" si="2006">IF(isblank(H$1),,IFERROR(vlookup($A1003,indirect("'TVC-"&amp;text(month(H$1),"00")&amp;"'!$A:$D"),4,false),1))</f>
        <v>1</v>
      </c>
      <c r="I1003" s="62">
        <f t="shared" si="2006"/>
        <v>1</v>
      </c>
      <c r="J1003" s="62">
        <f t="shared" si="2006"/>
        <v>1</v>
      </c>
      <c r="K1003" s="62">
        <f t="shared" si="2006"/>
        <v>1</v>
      </c>
      <c r="L1003" s="62">
        <f t="shared" si="2006"/>
        <v>1</v>
      </c>
      <c r="M1003" s="62">
        <f t="shared" si="2006"/>
        <v>1</v>
      </c>
      <c r="N1003" s="62">
        <f t="shared" si="2006"/>
        <v>1</v>
      </c>
      <c r="O1003" s="62">
        <f t="shared" si="2006"/>
        <v>1</v>
      </c>
      <c r="P1003" s="62" t="str">
        <f t="shared" si="2006"/>
        <v/>
      </c>
      <c r="Q1003" s="62" t="str">
        <f t="shared" si="2006"/>
        <v/>
      </c>
      <c r="R1003" s="62">
        <f t="shared" si="7"/>
        <v>0</v>
      </c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</row>
    <row r="1004" hidden="1">
      <c r="A1004" s="60">
        <f>IFERROR(__xludf.DUMMYFUNCTION("""COMPUTED_VALUE"""),14909.0)</f>
        <v>14909</v>
      </c>
      <c r="B1004" s="60" t="str">
        <f>IFERROR(__xludf.DUMMYFUNCTION("""COMPUTED_VALUE"""),"Winfield, Antoine")</f>
        <v>Winfield, Antoine</v>
      </c>
      <c r="C1004" s="60" t="str">
        <f>IFERROR(__xludf.DUMMYFUNCTION("""COMPUTED_VALUE"""),"S")</f>
        <v>S</v>
      </c>
      <c r="D1004" s="60" t="str">
        <f>IFERROR(__xludf.DUMMYFUNCTION("""COMPUTED_VALUE"""),"TBB")</f>
        <v>TBB</v>
      </c>
      <c r="E1004" s="62" t="str">
        <f t="shared" si="4"/>
        <v>Antoine Winfield</v>
      </c>
      <c r="F1004" s="62">
        <f t="shared" ref="F1004:G1004" si="2007">IF(isblank(F$1),,IF(isblank($A1004),,IFERROR(vlookup($A1004,indirect("'TVC-"&amp;text(month(F$1),"00")&amp;"'!$A:$D"),4,false),1)))</f>
        <v>1</v>
      </c>
      <c r="G1004" s="62">
        <f t="shared" si="2007"/>
        <v>1</v>
      </c>
      <c r="H1004" s="62">
        <f t="shared" ref="H1004:Q1004" si="2008">IF(isblank(H$1),,IFERROR(vlookup($A1004,indirect("'TVC-"&amp;text(month(H$1),"00")&amp;"'!$A:$D"),4,false),1))</f>
        <v>1</v>
      </c>
      <c r="I1004" s="62">
        <f t="shared" si="2008"/>
        <v>1</v>
      </c>
      <c r="J1004" s="62">
        <f t="shared" si="2008"/>
        <v>1</v>
      </c>
      <c r="K1004" s="62">
        <f t="shared" si="2008"/>
        <v>1</v>
      </c>
      <c r="L1004" s="62">
        <f t="shared" si="2008"/>
        <v>1</v>
      </c>
      <c r="M1004" s="62">
        <f t="shared" si="2008"/>
        <v>1</v>
      </c>
      <c r="N1004" s="62">
        <f t="shared" si="2008"/>
        <v>1</v>
      </c>
      <c r="O1004" s="62">
        <f t="shared" si="2008"/>
        <v>1</v>
      </c>
      <c r="P1004" s="62" t="str">
        <f t="shared" si="2008"/>
        <v/>
      </c>
      <c r="Q1004" s="62" t="str">
        <f t="shared" si="2008"/>
        <v/>
      </c>
      <c r="R1004" s="62">
        <f t="shared" si="7"/>
        <v>0</v>
      </c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</row>
    <row r="1005" hidden="1">
      <c r="A1005" s="60">
        <f>IFERROR(__xludf.DUMMYFUNCTION("""COMPUTED_VALUE"""),14910.0)</f>
        <v>14910</v>
      </c>
      <c r="B1005" s="60" t="str">
        <f>IFERROR(__xludf.DUMMYFUNCTION("""COMPUTED_VALUE"""),"Jones, Brandon")</f>
        <v>Jones, Brandon</v>
      </c>
      <c r="C1005" s="60" t="str">
        <f>IFERROR(__xludf.DUMMYFUNCTION("""COMPUTED_VALUE"""),"S")</f>
        <v>S</v>
      </c>
      <c r="D1005" s="60" t="str">
        <f>IFERROR(__xludf.DUMMYFUNCTION("""COMPUTED_VALUE"""),"DEN")</f>
        <v>DEN</v>
      </c>
      <c r="E1005" s="62" t="str">
        <f t="shared" si="4"/>
        <v>Brandon Jones</v>
      </c>
      <c r="F1005" s="62">
        <f t="shared" ref="F1005:G1005" si="2009">IF(isblank(F$1),,IF(isblank($A1005),,IFERROR(vlookup($A1005,indirect("'TVC-"&amp;text(month(F$1),"00")&amp;"'!$A:$D"),4,false),1)))</f>
        <v>1</v>
      </c>
      <c r="G1005" s="62">
        <f t="shared" si="2009"/>
        <v>1</v>
      </c>
      <c r="H1005" s="62">
        <f t="shared" ref="H1005:Q1005" si="2010">IF(isblank(H$1),,IFERROR(vlookup($A1005,indirect("'TVC-"&amp;text(month(H$1),"00")&amp;"'!$A:$D"),4,false),1))</f>
        <v>1</v>
      </c>
      <c r="I1005" s="62">
        <f t="shared" si="2010"/>
        <v>1</v>
      </c>
      <c r="J1005" s="62">
        <f t="shared" si="2010"/>
        <v>1</v>
      </c>
      <c r="K1005" s="62">
        <f t="shared" si="2010"/>
        <v>1</v>
      </c>
      <c r="L1005" s="62">
        <f t="shared" si="2010"/>
        <v>1</v>
      </c>
      <c r="M1005" s="62">
        <f t="shared" si="2010"/>
        <v>1</v>
      </c>
      <c r="N1005" s="62">
        <f t="shared" si="2010"/>
        <v>1</v>
      </c>
      <c r="O1005" s="62">
        <f t="shared" si="2010"/>
        <v>1</v>
      </c>
      <c r="P1005" s="62" t="str">
        <f t="shared" si="2010"/>
        <v/>
      </c>
      <c r="Q1005" s="62" t="str">
        <f t="shared" si="2010"/>
        <v/>
      </c>
      <c r="R1005" s="62">
        <f t="shared" si="7"/>
        <v>0</v>
      </c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</row>
    <row r="1006" hidden="1">
      <c r="A1006" s="60">
        <f>IFERROR(__xludf.DUMMYFUNCTION("""COMPUTED_VALUE"""),14911.0)</f>
        <v>14911</v>
      </c>
      <c r="B1006" s="60" t="str">
        <f>IFERROR(__xludf.DUMMYFUNCTION("""COMPUTED_VALUE"""),"Davis, Ashtyn")</f>
        <v>Davis, Ashtyn</v>
      </c>
      <c r="C1006" s="60" t="str">
        <f>IFERROR(__xludf.DUMMYFUNCTION("""COMPUTED_VALUE"""),"S")</f>
        <v>S</v>
      </c>
      <c r="D1006" s="60" t="str">
        <f>IFERROR(__xludf.DUMMYFUNCTION("""COMPUTED_VALUE"""),"SFO")</f>
        <v>SFO</v>
      </c>
      <c r="E1006" s="62" t="str">
        <f t="shared" si="4"/>
        <v>Ashtyn Davis</v>
      </c>
      <c r="F1006" s="62">
        <f t="shared" ref="F1006:G1006" si="2011">IF(isblank(F$1),,IF(isblank($A1006),,IFERROR(vlookup($A1006,indirect("'TVC-"&amp;text(month(F$1),"00")&amp;"'!$A:$D"),4,false),1)))</f>
        <v>1</v>
      </c>
      <c r="G1006" s="62">
        <f t="shared" si="2011"/>
        <v>1</v>
      </c>
      <c r="H1006" s="62">
        <f t="shared" ref="H1006:Q1006" si="2012">IF(isblank(H$1),,IFERROR(vlookup($A1006,indirect("'TVC-"&amp;text(month(H$1),"00")&amp;"'!$A:$D"),4,false),1))</f>
        <v>1</v>
      </c>
      <c r="I1006" s="62">
        <f t="shared" si="2012"/>
        <v>1</v>
      </c>
      <c r="J1006" s="62">
        <f t="shared" si="2012"/>
        <v>1</v>
      </c>
      <c r="K1006" s="62">
        <f t="shared" si="2012"/>
        <v>1</v>
      </c>
      <c r="L1006" s="62">
        <f t="shared" si="2012"/>
        <v>1</v>
      </c>
      <c r="M1006" s="62">
        <f t="shared" si="2012"/>
        <v>1</v>
      </c>
      <c r="N1006" s="62">
        <f t="shared" si="2012"/>
        <v>1</v>
      </c>
      <c r="O1006" s="62">
        <f t="shared" si="2012"/>
        <v>1</v>
      </c>
      <c r="P1006" s="62" t="str">
        <f t="shared" si="2012"/>
        <v/>
      </c>
      <c r="Q1006" s="62" t="str">
        <f t="shared" si="2012"/>
        <v/>
      </c>
      <c r="R1006" s="62">
        <f t="shared" si="7"/>
        <v>0</v>
      </c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</row>
    <row r="1007" hidden="1">
      <c r="A1007" s="60">
        <f>IFERROR(__xludf.DUMMYFUNCTION("""COMPUTED_VALUE"""),14918.0)</f>
        <v>14918</v>
      </c>
      <c r="B1007" s="60" t="str">
        <f>IFERROR(__xludf.DUMMYFUNCTION("""COMPUTED_VALUE"""),"Terrell, A.J.")</f>
        <v>Terrell, A.J.</v>
      </c>
      <c r="C1007" s="60" t="str">
        <f>IFERROR(__xludf.DUMMYFUNCTION("""COMPUTED_VALUE"""),"CB")</f>
        <v>CB</v>
      </c>
      <c r="D1007" s="60" t="str">
        <f>IFERROR(__xludf.DUMMYFUNCTION("""COMPUTED_VALUE"""),"ATL")</f>
        <v>ATL</v>
      </c>
      <c r="E1007" s="62" t="str">
        <f t="shared" si="4"/>
        <v>A.J. Terrell</v>
      </c>
      <c r="F1007" s="62">
        <f t="shared" ref="F1007:G1007" si="2013">IF(isblank(F$1),,IF(isblank($A1007),,IFERROR(vlookup($A1007,indirect("'TVC-"&amp;text(month(F$1),"00")&amp;"'!$A:$D"),4,false),1)))</f>
        <v>1</v>
      </c>
      <c r="G1007" s="62">
        <f t="shared" si="2013"/>
        <v>1</v>
      </c>
      <c r="H1007" s="62">
        <f t="shared" ref="H1007:Q1007" si="2014">IF(isblank(H$1),,IFERROR(vlookup($A1007,indirect("'TVC-"&amp;text(month(H$1),"00")&amp;"'!$A:$D"),4,false),1))</f>
        <v>1</v>
      </c>
      <c r="I1007" s="62">
        <f t="shared" si="2014"/>
        <v>1</v>
      </c>
      <c r="J1007" s="62">
        <f t="shared" si="2014"/>
        <v>1</v>
      </c>
      <c r="K1007" s="62">
        <f t="shared" si="2014"/>
        <v>1</v>
      </c>
      <c r="L1007" s="62">
        <f t="shared" si="2014"/>
        <v>1</v>
      </c>
      <c r="M1007" s="62">
        <f t="shared" si="2014"/>
        <v>1</v>
      </c>
      <c r="N1007" s="62">
        <f t="shared" si="2014"/>
        <v>1</v>
      </c>
      <c r="O1007" s="62">
        <f t="shared" si="2014"/>
        <v>1</v>
      </c>
      <c r="P1007" s="62" t="str">
        <f t="shared" si="2014"/>
        <v/>
      </c>
      <c r="Q1007" s="62" t="str">
        <f t="shared" si="2014"/>
        <v/>
      </c>
      <c r="R1007" s="62">
        <f t="shared" si="7"/>
        <v>0</v>
      </c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</row>
    <row r="1008" hidden="1">
      <c r="A1008" s="60">
        <f>IFERROR(__xludf.DUMMYFUNCTION("""COMPUTED_VALUE"""),14919.0)</f>
        <v>14919</v>
      </c>
      <c r="B1008" s="60" t="str">
        <f>IFERROR(__xludf.DUMMYFUNCTION("""COMPUTED_VALUE"""),"Igbinoghene, Noah")</f>
        <v>Igbinoghene, Noah</v>
      </c>
      <c r="C1008" s="60" t="str">
        <f>IFERROR(__xludf.DUMMYFUNCTION("""COMPUTED_VALUE"""),"CB")</f>
        <v>CB</v>
      </c>
      <c r="D1008" s="60" t="str">
        <f>IFERROR(__xludf.DUMMYFUNCTION("""COMPUTED_VALUE"""),"CLE")</f>
        <v>CLE</v>
      </c>
      <c r="E1008" s="62" t="str">
        <f t="shared" si="4"/>
        <v>Noah Igbinoghene</v>
      </c>
      <c r="F1008" s="62">
        <f t="shared" ref="F1008:G1008" si="2015">IF(isblank(F$1),,IF(isblank($A1008),,IFERROR(vlookup($A1008,indirect("'TVC-"&amp;text(month(F$1),"00")&amp;"'!$A:$D"),4,false),1)))</f>
        <v>1</v>
      </c>
      <c r="G1008" s="62">
        <f t="shared" si="2015"/>
        <v>1</v>
      </c>
      <c r="H1008" s="62">
        <f t="shared" ref="H1008:Q1008" si="2016">IF(isblank(H$1),,IFERROR(vlookup($A1008,indirect("'TVC-"&amp;text(month(H$1),"00")&amp;"'!$A:$D"),4,false),1))</f>
        <v>1</v>
      </c>
      <c r="I1008" s="62">
        <f t="shared" si="2016"/>
        <v>1</v>
      </c>
      <c r="J1008" s="62">
        <f t="shared" si="2016"/>
        <v>1</v>
      </c>
      <c r="K1008" s="62">
        <f t="shared" si="2016"/>
        <v>1</v>
      </c>
      <c r="L1008" s="62">
        <f t="shared" si="2016"/>
        <v>1</v>
      </c>
      <c r="M1008" s="62">
        <f t="shared" si="2016"/>
        <v>1</v>
      </c>
      <c r="N1008" s="62">
        <f t="shared" si="2016"/>
        <v>1</v>
      </c>
      <c r="O1008" s="62">
        <f t="shared" si="2016"/>
        <v>1</v>
      </c>
      <c r="P1008" s="62" t="str">
        <f t="shared" si="2016"/>
        <v/>
      </c>
      <c r="Q1008" s="62" t="str">
        <f t="shared" si="2016"/>
        <v/>
      </c>
      <c r="R1008" s="62">
        <f t="shared" si="7"/>
        <v>0</v>
      </c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</row>
    <row r="1009" hidden="1">
      <c r="A1009" s="60">
        <f>IFERROR(__xludf.DUMMYFUNCTION("""COMPUTED_VALUE"""),14921.0)</f>
        <v>14921</v>
      </c>
      <c r="B1009" s="60" t="str">
        <f>IFERROR(__xludf.DUMMYFUNCTION("""COMPUTED_VALUE"""),"Dugger, Kyle")</f>
        <v>Dugger, Kyle</v>
      </c>
      <c r="C1009" s="60" t="str">
        <f>IFERROR(__xludf.DUMMYFUNCTION("""COMPUTED_VALUE"""),"S")</f>
        <v>S</v>
      </c>
      <c r="D1009" s="60" t="str">
        <f>IFERROR(__xludf.DUMMYFUNCTION("""COMPUTED_VALUE"""),"CIN")</f>
        <v>CIN</v>
      </c>
      <c r="E1009" s="62" t="str">
        <f t="shared" si="4"/>
        <v>Kyle Dugger</v>
      </c>
      <c r="F1009" s="62">
        <f t="shared" ref="F1009:G1009" si="2017">IF(isblank(F$1),,IF(isblank($A1009),,IFERROR(vlookup($A1009,indirect("'TVC-"&amp;text(month(F$1),"00")&amp;"'!$A:$D"),4,false),1)))</f>
        <v>1</v>
      </c>
      <c r="G1009" s="62">
        <f t="shared" si="2017"/>
        <v>1</v>
      </c>
      <c r="H1009" s="62">
        <f t="shared" ref="H1009:Q1009" si="2018">IF(isblank(H$1),,IFERROR(vlookup($A1009,indirect("'TVC-"&amp;text(month(H$1),"00")&amp;"'!$A:$D"),4,false),1))</f>
        <v>1</v>
      </c>
      <c r="I1009" s="62">
        <f t="shared" si="2018"/>
        <v>1</v>
      </c>
      <c r="J1009" s="62">
        <f t="shared" si="2018"/>
        <v>1</v>
      </c>
      <c r="K1009" s="62">
        <f t="shared" si="2018"/>
        <v>1</v>
      </c>
      <c r="L1009" s="62">
        <f t="shared" si="2018"/>
        <v>1</v>
      </c>
      <c r="M1009" s="62">
        <f t="shared" si="2018"/>
        <v>1</v>
      </c>
      <c r="N1009" s="62">
        <f t="shared" si="2018"/>
        <v>1</v>
      </c>
      <c r="O1009" s="62">
        <f t="shared" si="2018"/>
        <v>1</v>
      </c>
      <c r="P1009" s="62" t="str">
        <f t="shared" si="2018"/>
        <v/>
      </c>
      <c r="Q1009" s="62" t="str">
        <f t="shared" si="2018"/>
        <v/>
      </c>
      <c r="R1009" s="62">
        <f t="shared" si="7"/>
        <v>0</v>
      </c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</row>
    <row r="1010" hidden="1">
      <c r="A1010" s="60">
        <f>IFERROR(__xludf.DUMMYFUNCTION("""COMPUTED_VALUE"""),14923.0)</f>
        <v>14923</v>
      </c>
      <c r="B1010" s="60" t="str">
        <f>IFERROR(__xludf.DUMMYFUNCTION("""COMPUTED_VALUE"""),"Taylor, Darrell")</f>
        <v>Taylor, Darrell</v>
      </c>
      <c r="C1010" s="60" t="str">
        <f>IFERROR(__xludf.DUMMYFUNCTION("""COMPUTED_VALUE"""),"DE")</f>
        <v>DE</v>
      </c>
      <c r="D1010" s="60" t="str">
        <f>IFERROR(__xludf.DUMMYFUNCTION("""COMPUTED_VALUE"""),"NEP")</f>
        <v>NEP</v>
      </c>
      <c r="E1010" s="62" t="str">
        <f t="shared" si="4"/>
        <v>Darrell Taylor</v>
      </c>
      <c r="F1010" s="62">
        <f t="shared" ref="F1010:G1010" si="2019">IF(isblank(F$1),,IF(isblank($A1010),,IFERROR(vlookup($A1010,indirect("'TVC-"&amp;text(month(F$1),"00")&amp;"'!$A:$D"),4,false),1)))</f>
        <v>1</v>
      </c>
      <c r="G1010" s="62">
        <f t="shared" si="2019"/>
        <v>1</v>
      </c>
      <c r="H1010" s="62">
        <f t="shared" ref="H1010:Q1010" si="2020">IF(isblank(H$1),,IFERROR(vlookup($A1010,indirect("'TVC-"&amp;text(month(H$1),"00")&amp;"'!$A:$D"),4,false),1))</f>
        <v>1</v>
      </c>
      <c r="I1010" s="62">
        <f t="shared" si="2020"/>
        <v>1</v>
      </c>
      <c r="J1010" s="62">
        <f t="shared" si="2020"/>
        <v>1</v>
      </c>
      <c r="K1010" s="62">
        <f t="shared" si="2020"/>
        <v>1</v>
      </c>
      <c r="L1010" s="62">
        <f t="shared" si="2020"/>
        <v>1</v>
      </c>
      <c r="M1010" s="62">
        <f t="shared" si="2020"/>
        <v>1</v>
      </c>
      <c r="N1010" s="62">
        <f t="shared" si="2020"/>
        <v>1</v>
      </c>
      <c r="O1010" s="62">
        <f t="shared" si="2020"/>
        <v>1</v>
      </c>
      <c r="P1010" s="62" t="str">
        <f t="shared" si="2020"/>
        <v/>
      </c>
      <c r="Q1010" s="62" t="str">
        <f t="shared" si="2020"/>
        <v/>
      </c>
      <c r="R1010" s="62">
        <f t="shared" si="7"/>
        <v>0</v>
      </c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</row>
    <row r="1011" hidden="1">
      <c r="A1011" s="60">
        <f>IFERROR(__xludf.DUMMYFUNCTION("""COMPUTED_VALUE"""),14924.0)</f>
        <v>14924</v>
      </c>
      <c r="B1011" s="60" t="str">
        <f>IFERROR(__xludf.DUMMYFUNCTION("""COMPUTED_VALUE"""),"Johnson, Jaylon")</f>
        <v>Johnson, Jaylon</v>
      </c>
      <c r="C1011" s="60" t="str">
        <f>IFERROR(__xludf.DUMMYFUNCTION("""COMPUTED_VALUE"""),"CB")</f>
        <v>CB</v>
      </c>
      <c r="D1011" s="60" t="str">
        <f>IFERROR(__xludf.DUMMYFUNCTION("""COMPUTED_VALUE"""),"CHI")</f>
        <v>CHI</v>
      </c>
      <c r="E1011" s="62" t="str">
        <f t="shared" si="4"/>
        <v>Jaylon Johnson</v>
      </c>
      <c r="F1011" s="62">
        <f t="shared" ref="F1011:G1011" si="2021">IF(isblank(F$1),,IF(isblank($A1011),,IFERROR(vlookup($A1011,indirect("'TVC-"&amp;text(month(F$1),"00")&amp;"'!$A:$D"),4,false),1)))</f>
        <v>1</v>
      </c>
      <c r="G1011" s="62">
        <f t="shared" si="2021"/>
        <v>1</v>
      </c>
      <c r="H1011" s="62">
        <f t="shared" ref="H1011:Q1011" si="2022">IF(isblank(H$1),,IFERROR(vlookup($A1011,indirect("'TVC-"&amp;text(month(H$1),"00")&amp;"'!$A:$D"),4,false),1))</f>
        <v>1</v>
      </c>
      <c r="I1011" s="62">
        <f t="shared" si="2022"/>
        <v>1</v>
      </c>
      <c r="J1011" s="62">
        <f t="shared" si="2022"/>
        <v>1</v>
      </c>
      <c r="K1011" s="62">
        <f t="shared" si="2022"/>
        <v>1</v>
      </c>
      <c r="L1011" s="62">
        <f t="shared" si="2022"/>
        <v>1</v>
      </c>
      <c r="M1011" s="62">
        <f t="shared" si="2022"/>
        <v>1</v>
      </c>
      <c r="N1011" s="62">
        <f t="shared" si="2022"/>
        <v>1</v>
      </c>
      <c r="O1011" s="62">
        <f t="shared" si="2022"/>
        <v>1</v>
      </c>
      <c r="P1011" s="62" t="str">
        <f t="shared" si="2022"/>
        <v/>
      </c>
      <c r="Q1011" s="62" t="str">
        <f t="shared" si="2022"/>
        <v/>
      </c>
      <c r="R1011" s="62">
        <f t="shared" si="7"/>
        <v>0</v>
      </c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</row>
    <row r="1012" hidden="1">
      <c r="A1012" s="60">
        <f>IFERROR(__xludf.DUMMYFUNCTION("""COMPUTED_VALUE"""),14925.0)</f>
        <v>14925</v>
      </c>
      <c r="B1012" s="60" t="str">
        <f>IFERROR(__xludf.DUMMYFUNCTION("""COMPUTED_VALUE"""),"Uche, Josh")</f>
        <v>Uche, Josh</v>
      </c>
      <c r="C1012" s="60" t="str">
        <f>IFERROR(__xludf.DUMMYFUNCTION("""COMPUTED_VALUE"""),"DE")</f>
        <v>DE</v>
      </c>
      <c r="D1012" s="60" t="str">
        <f>IFERROR(__xludf.DUMMYFUNCTION("""COMPUTED_VALUE"""),"MIA")</f>
        <v>MIA</v>
      </c>
      <c r="E1012" s="62" t="str">
        <f t="shared" si="4"/>
        <v>Josh Uche</v>
      </c>
      <c r="F1012" s="62">
        <f t="shared" ref="F1012:G1012" si="2023">IF(isblank(F$1),,IF(isblank($A1012),,IFERROR(vlookup($A1012,indirect("'TVC-"&amp;text(month(F$1),"00")&amp;"'!$A:$D"),4,false),1)))</f>
        <v>1</v>
      </c>
      <c r="G1012" s="62">
        <f t="shared" si="2023"/>
        <v>1</v>
      </c>
      <c r="H1012" s="62">
        <f t="shared" ref="H1012:Q1012" si="2024">IF(isblank(H$1),,IFERROR(vlookup($A1012,indirect("'TVC-"&amp;text(month(H$1),"00")&amp;"'!$A:$D"),4,false),1))</f>
        <v>1</v>
      </c>
      <c r="I1012" s="62">
        <f t="shared" si="2024"/>
        <v>1</v>
      </c>
      <c r="J1012" s="62">
        <f t="shared" si="2024"/>
        <v>1</v>
      </c>
      <c r="K1012" s="62">
        <f t="shared" si="2024"/>
        <v>1</v>
      </c>
      <c r="L1012" s="62">
        <f t="shared" si="2024"/>
        <v>1</v>
      </c>
      <c r="M1012" s="62">
        <f t="shared" si="2024"/>
        <v>1</v>
      </c>
      <c r="N1012" s="62">
        <f t="shared" si="2024"/>
        <v>1</v>
      </c>
      <c r="O1012" s="62">
        <f t="shared" si="2024"/>
        <v>1</v>
      </c>
      <c r="P1012" s="62" t="str">
        <f t="shared" si="2024"/>
        <v/>
      </c>
      <c r="Q1012" s="62" t="str">
        <f t="shared" si="2024"/>
        <v/>
      </c>
      <c r="R1012" s="62">
        <f t="shared" si="7"/>
        <v>0</v>
      </c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</row>
    <row r="1013" hidden="1">
      <c r="A1013" s="60">
        <f>IFERROR(__xludf.DUMMYFUNCTION("""COMPUTED_VALUE"""),14926.0)</f>
        <v>14926</v>
      </c>
      <c r="B1013" s="60" t="str">
        <f>IFERROR(__xludf.DUMMYFUNCTION("""COMPUTED_VALUE"""),"Gay, Willie")</f>
        <v>Gay, Willie</v>
      </c>
      <c r="C1013" s="60" t="str">
        <f>IFERROR(__xludf.DUMMYFUNCTION("""COMPUTED_VALUE"""),"LB")</f>
        <v>LB</v>
      </c>
      <c r="D1013" s="60" t="str">
        <f>IFERROR(__xludf.DUMMYFUNCTION("""COMPUTED_VALUE"""),"MIA")</f>
        <v>MIA</v>
      </c>
      <c r="E1013" s="62" t="str">
        <f t="shared" si="4"/>
        <v>Willie Gay</v>
      </c>
      <c r="F1013" s="62">
        <f t="shared" ref="F1013:G1013" si="2025">IF(isblank(F$1),,IF(isblank($A1013),,IFERROR(vlookup($A1013,indirect("'TVC-"&amp;text(month(F$1),"00")&amp;"'!$A:$D"),4,false),1)))</f>
        <v>1</v>
      </c>
      <c r="G1013" s="62">
        <f t="shared" si="2025"/>
        <v>1</v>
      </c>
      <c r="H1013" s="62">
        <f t="shared" ref="H1013:Q1013" si="2026">IF(isblank(H$1),,IFERROR(vlookup($A1013,indirect("'TVC-"&amp;text(month(H$1),"00")&amp;"'!$A:$D"),4,false),1))</f>
        <v>1</v>
      </c>
      <c r="I1013" s="62">
        <f t="shared" si="2026"/>
        <v>1</v>
      </c>
      <c r="J1013" s="62">
        <f t="shared" si="2026"/>
        <v>1</v>
      </c>
      <c r="K1013" s="62">
        <f t="shared" si="2026"/>
        <v>1</v>
      </c>
      <c r="L1013" s="62">
        <f t="shared" si="2026"/>
        <v>1</v>
      </c>
      <c r="M1013" s="62">
        <f t="shared" si="2026"/>
        <v>1</v>
      </c>
      <c r="N1013" s="62">
        <f t="shared" si="2026"/>
        <v>1</v>
      </c>
      <c r="O1013" s="62">
        <f t="shared" si="2026"/>
        <v>1</v>
      </c>
      <c r="P1013" s="62" t="str">
        <f t="shared" si="2026"/>
        <v/>
      </c>
      <c r="Q1013" s="62" t="str">
        <f t="shared" si="2026"/>
        <v/>
      </c>
      <c r="R1013" s="62">
        <f t="shared" si="7"/>
        <v>0</v>
      </c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</row>
    <row r="1014" hidden="1">
      <c r="A1014" s="60">
        <f>IFERROR(__xludf.DUMMYFUNCTION("""COMPUTED_VALUE"""),14927.0)</f>
        <v>14927</v>
      </c>
      <c r="B1014" s="60" t="str">
        <f>IFERROR(__xludf.DUMMYFUNCTION("""COMPUTED_VALUE"""),"Chinn, Jeremy")</f>
        <v>Chinn, Jeremy</v>
      </c>
      <c r="C1014" s="60" t="str">
        <f>IFERROR(__xludf.DUMMYFUNCTION("""COMPUTED_VALUE"""),"S")</f>
        <v>S</v>
      </c>
      <c r="D1014" s="60" t="str">
        <f>IFERROR(__xludf.DUMMYFUNCTION("""COMPUTED_VALUE"""),"LVR")</f>
        <v>LVR</v>
      </c>
      <c r="E1014" s="62" t="str">
        <f t="shared" si="4"/>
        <v>Jeremy Chinn</v>
      </c>
      <c r="F1014" s="62">
        <f t="shared" ref="F1014:G1014" si="2027">IF(isblank(F$1),,IF(isblank($A1014),,IFERROR(vlookup($A1014,indirect("'TVC-"&amp;text(month(F$1),"00")&amp;"'!$A:$D"),4,false),1)))</f>
        <v>1</v>
      </c>
      <c r="G1014" s="62">
        <f t="shared" si="2027"/>
        <v>1</v>
      </c>
      <c r="H1014" s="62">
        <f t="shared" ref="H1014:Q1014" si="2028">IF(isblank(H$1),,IFERROR(vlookup($A1014,indirect("'TVC-"&amp;text(month(H$1),"00")&amp;"'!$A:$D"),4,false),1))</f>
        <v>1</v>
      </c>
      <c r="I1014" s="62">
        <f t="shared" si="2028"/>
        <v>1</v>
      </c>
      <c r="J1014" s="62">
        <f t="shared" si="2028"/>
        <v>1</v>
      </c>
      <c r="K1014" s="62">
        <f t="shared" si="2028"/>
        <v>1</v>
      </c>
      <c r="L1014" s="62">
        <f t="shared" si="2028"/>
        <v>1</v>
      </c>
      <c r="M1014" s="62">
        <f t="shared" si="2028"/>
        <v>1</v>
      </c>
      <c r="N1014" s="62">
        <f t="shared" si="2028"/>
        <v>1</v>
      </c>
      <c r="O1014" s="62">
        <f t="shared" si="2028"/>
        <v>1</v>
      </c>
      <c r="P1014" s="62" t="str">
        <f t="shared" si="2028"/>
        <v/>
      </c>
      <c r="Q1014" s="62" t="str">
        <f t="shared" si="2028"/>
        <v/>
      </c>
      <c r="R1014" s="62">
        <f t="shared" si="7"/>
        <v>0</v>
      </c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</row>
    <row r="1015" hidden="1">
      <c r="A1015" s="60">
        <f>IFERROR(__xludf.DUMMYFUNCTION("""COMPUTED_VALUE"""),14928.0)</f>
        <v>14928</v>
      </c>
      <c r="B1015" s="60" t="str">
        <f>IFERROR(__xludf.DUMMYFUNCTION("""COMPUTED_VALUE"""),"Wilson, Logan")</f>
        <v>Wilson, Logan</v>
      </c>
      <c r="C1015" s="60" t="str">
        <f>IFERROR(__xludf.DUMMYFUNCTION("""COMPUTED_VALUE"""),"LB")</f>
        <v>LB</v>
      </c>
      <c r="D1015" s="60" t="str">
        <f>IFERROR(__xludf.DUMMYFUNCTION("""COMPUTED_VALUE"""),"FA")</f>
        <v>FA</v>
      </c>
      <c r="E1015" s="62" t="str">
        <f t="shared" si="4"/>
        <v>Logan Wilson</v>
      </c>
      <c r="F1015" s="62">
        <f t="shared" ref="F1015:G1015" si="2029">IF(isblank(F$1),,IF(isblank($A1015),,IFERROR(vlookup($A1015,indirect("'TVC-"&amp;text(month(F$1),"00")&amp;"'!$A:$D"),4,false),1)))</f>
        <v>1</v>
      </c>
      <c r="G1015" s="62">
        <f t="shared" si="2029"/>
        <v>1</v>
      </c>
      <c r="H1015" s="62">
        <f t="shared" ref="H1015:Q1015" si="2030">IF(isblank(H$1),,IFERROR(vlookup($A1015,indirect("'TVC-"&amp;text(month(H$1),"00")&amp;"'!$A:$D"),4,false),1))</f>
        <v>1</v>
      </c>
      <c r="I1015" s="62">
        <f t="shared" si="2030"/>
        <v>1</v>
      </c>
      <c r="J1015" s="62">
        <f t="shared" si="2030"/>
        <v>1</v>
      </c>
      <c r="K1015" s="62">
        <f t="shared" si="2030"/>
        <v>1</v>
      </c>
      <c r="L1015" s="62">
        <f t="shared" si="2030"/>
        <v>1</v>
      </c>
      <c r="M1015" s="62">
        <f t="shared" si="2030"/>
        <v>1</v>
      </c>
      <c r="N1015" s="62">
        <f t="shared" si="2030"/>
        <v>1</v>
      </c>
      <c r="O1015" s="62">
        <f t="shared" si="2030"/>
        <v>1</v>
      </c>
      <c r="P1015" s="62" t="str">
        <f t="shared" si="2030"/>
        <v/>
      </c>
      <c r="Q1015" s="62" t="str">
        <f t="shared" si="2030"/>
        <v/>
      </c>
      <c r="R1015" s="62">
        <f t="shared" si="7"/>
        <v>0</v>
      </c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</row>
    <row r="1016" hidden="1">
      <c r="A1016" s="60">
        <f>IFERROR(__xludf.DUMMYFUNCTION("""COMPUTED_VALUE"""),14930.0)</f>
        <v>14930</v>
      </c>
      <c r="B1016" s="60" t="str">
        <f>IFERROR(__xludf.DUMMYFUNCTION("""COMPUTED_VALUE"""),"Hamilton, Davon")</f>
        <v>Hamilton, Davon</v>
      </c>
      <c r="C1016" s="60" t="str">
        <f>IFERROR(__xludf.DUMMYFUNCTION("""COMPUTED_VALUE"""),"DT")</f>
        <v>DT</v>
      </c>
      <c r="D1016" s="60" t="str">
        <f>IFERROR(__xludf.DUMMYFUNCTION("""COMPUTED_VALUE"""),"JAC")</f>
        <v>JAC</v>
      </c>
      <c r="E1016" s="62" t="str">
        <f t="shared" si="4"/>
        <v>Davon Hamilton</v>
      </c>
      <c r="F1016" s="62">
        <f t="shared" ref="F1016:G1016" si="2031">IF(isblank(F$1),,IF(isblank($A1016),,IFERROR(vlookup($A1016,indirect("'TVC-"&amp;text(month(F$1),"00")&amp;"'!$A:$D"),4,false),1)))</f>
        <v>1</v>
      </c>
      <c r="G1016" s="62">
        <f t="shared" si="2031"/>
        <v>1</v>
      </c>
      <c r="H1016" s="62">
        <f t="shared" ref="H1016:Q1016" si="2032">IF(isblank(H$1),,IFERROR(vlookup($A1016,indirect("'TVC-"&amp;text(month(H$1),"00")&amp;"'!$A:$D"),4,false),1))</f>
        <v>1</v>
      </c>
      <c r="I1016" s="62">
        <f t="shared" si="2032"/>
        <v>1</v>
      </c>
      <c r="J1016" s="62">
        <f t="shared" si="2032"/>
        <v>1</v>
      </c>
      <c r="K1016" s="62">
        <f t="shared" si="2032"/>
        <v>1</v>
      </c>
      <c r="L1016" s="62">
        <f t="shared" si="2032"/>
        <v>1</v>
      </c>
      <c r="M1016" s="62">
        <f t="shared" si="2032"/>
        <v>1</v>
      </c>
      <c r="N1016" s="62">
        <f t="shared" si="2032"/>
        <v>1</v>
      </c>
      <c r="O1016" s="62">
        <f t="shared" si="2032"/>
        <v>1</v>
      </c>
      <c r="P1016" s="62" t="str">
        <f t="shared" si="2032"/>
        <v/>
      </c>
      <c r="Q1016" s="62" t="str">
        <f t="shared" si="2032"/>
        <v/>
      </c>
      <c r="R1016" s="62">
        <f t="shared" si="7"/>
        <v>0</v>
      </c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</row>
    <row r="1017" hidden="1">
      <c r="A1017" s="60">
        <f>IFERROR(__xludf.DUMMYFUNCTION("""COMPUTED_VALUE"""),14933.0)</f>
        <v>14933</v>
      </c>
      <c r="B1017" s="60" t="str">
        <f>IFERROR(__xludf.DUMMYFUNCTION("""COMPUTED_VALUE"""),"Blackmon, Julian")</f>
        <v>Blackmon, Julian</v>
      </c>
      <c r="C1017" s="60" t="str">
        <f>IFERROR(__xludf.DUMMYFUNCTION("""COMPUTED_VALUE"""),"S")</f>
        <v>S</v>
      </c>
      <c r="D1017" s="60" t="str">
        <f>IFERROR(__xludf.DUMMYFUNCTION("""COMPUTED_VALUE"""),"NOS")</f>
        <v>NOS</v>
      </c>
      <c r="E1017" s="62" t="str">
        <f t="shared" si="4"/>
        <v>Julian Blackmon</v>
      </c>
      <c r="F1017" s="62">
        <f t="shared" ref="F1017:G1017" si="2033">IF(isblank(F$1),,IF(isblank($A1017),,IFERROR(vlookup($A1017,indirect("'TVC-"&amp;text(month(F$1),"00")&amp;"'!$A:$D"),4,false),1)))</f>
        <v>1</v>
      </c>
      <c r="G1017" s="62">
        <f t="shared" si="2033"/>
        <v>1</v>
      </c>
      <c r="H1017" s="62">
        <f t="shared" ref="H1017:Q1017" si="2034">IF(isblank(H$1),,IFERROR(vlookup($A1017,indirect("'TVC-"&amp;text(month(H$1),"00")&amp;"'!$A:$D"),4,false),1))</f>
        <v>1</v>
      </c>
      <c r="I1017" s="62">
        <f t="shared" si="2034"/>
        <v>1</v>
      </c>
      <c r="J1017" s="62">
        <f t="shared" si="2034"/>
        <v>1</v>
      </c>
      <c r="K1017" s="62">
        <f t="shared" si="2034"/>
        <v>1</v>
      </c>
      <c r="L1017" s="62">
        <f t="shared" si="2034"/>
        <v>1</v>
      </c>
      <c r="M1017" s="62">
        <f t="shared" si="2034"/>
        <v>1</v>
      </c>
      <c r="N1017" s="62">
        <f t="shared" si="2034"/>
        <v>1</v>
      </c>
      <c r="O1017" s="62">
        <f t="shared" si="2034"/>
        <v>1</v>
      </c>
      <c r="P1017" s="62" t="str">
        <f t="shared" si="2034"/>
        <v/>
      </c>
      <c r="Q1017" s="62" t="str">
        <f t="shared" si="2034"/>
        <v/>
      </c>
      <c r="R1017" s="62">
        <f t="shared" si="7"/>
        <v>0</v>
      </c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</row>
    <row r="1018" hidden="1">
      <c r="A1018" s="60">
        <f>IFERROR(__xludf.DUMMYFUNCTION("""COMPUTED_VALUE"""),14934.0)</f>
        <v>14934</v>
      </c>
      <c r="B1018" s="60" t="str">
        <f>IFERROR(__xludf.DUMMYFUNCTION("""COMPUTED_VALUE"""),"Elliott, Jordan")</f>
        <v>Elliott, Jordan</v>
      </c>
      <c r="C1018" s="60" t="str">
        <f>IFERROR(__xludf.DUMMYFUNCTION("""COMPUTED_VALUE"""),"DT")</f>
        <v>DT</v>
      </c>
      <c r="D1018" s="60" t="str">
        <f>IFERROR(__xludf.DUMMYFUNCTION("""COMPUTED_VALUE"""),"TEN")</f>
        <v>TEN</v>
      </c>
      <c r="E1018" s="62" t="str">
        <f t="shared" si="4"/>
        <v>Jordan Elliott</v>
      </c>
      <c r="F1018" s="62">
        <f t="shared" ref="F1018:G1018" si="2035">IF(isblank(F$1),,IF(isblank($A1018),,IFERROR(vlookup($A1018,indirect("'TVC-"&amp;text(month(F$1),"00")&amp;"'!$A:$D"),4,false),1)))</f>
        <v>1</v>
      </c>
      <c r="G1018" s="62">
        <f t="shared" si="2035"/>
        <v>1</v>
      </c>
      <c r="H1018" s="62">
        <f t="shared" ref="H1018:Q1018" si="2036">IF(isblank(H$1),,IFERROR(vlookup($A1018,indirect("'TVC-"&amp;text(month(H$1),"00")&amp;"'!$A:$D"),4,false),1))</f>
        <v>1</v>
      </c>
      <c r="I1018" s="62">
        <f t="shared" si="2036"/>
        <v>1</v>
      </c>
      <c r="J1018" s="62">
        <f t="shared" si="2036"/>
        <v>1</v>
      </c>
      <c r="K1018" s="62">
        <f t="shared" si="2036"/>
        <v>1</v>
      </c>
      <c r="L1018" s="62">
        <f t="shared" si="2036"/>
        <v>1</v>
      </c>
      <c r="M1018" s="62">
        <f t="shared" si="2036"/>
        <v>1</v>
      </c>
      <c r="N1018" s="62">
        <f t="shared" si="2036"/>
        <v>1</v>
      </c>
      <c r="O1018" s="62">
        <f t="shared" si="2036"/>
        <v>1</v>
      </c>
      <c r="P1018" s="62" t="str">
        <f t="shared" si="2036"/>
        <v/>
      </c>
      <c r="Q1018" s="62" t="str">
        <f t="shared" si="2036"/>
        <v/>
      </c>
      <c r="R1018" s="62">
        <f t="shared" si="7"/>
        <v>0</v>
      </c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</row>
    <row r="1019" hidden="1">
      <c r="A1019" s="60">
        <f>IFERROR(__xludf.DUMMYFUNCTION("""COMPUTED_VALUE"""),14940.0)</f>
        <v>14940</v>
      </c>
      <c r="B1019" s="60" t="str">
        <f>IFERROR(__xludf.DUMMYFUNCTION("""COMPUTED_VALUE"""),"Highsmith, Alex")</f>
        <v>Highsmith, Alex</v>
      </c>
      <c r="C1019" s="60" t="str">
        <f>IFERROR(__xludf.DUMMYFUNCTION("""COMPUTED_VALUE"""),"DE")</f>
        <v>DE</v>
      </c>
      <c r="D1019" s="60" t="str">
        <f>IFERROR(__xludf.DUMMYFUNCTION("""COMPUTED_VALUE"""),"PIT")</f>
        <v>PIT</v>
      </c>
      <c r="E1019" s="62" t="str">
        <f t="shared" si="4"/>
        <v>Alex Highsmith</v>
      </c>
      <c r="F1019" s="62">
        <f t="shared" ref="F1019:G1019" si="2037">IF(isblank(F$1),,IF(isblank($A1019),,IFERROR(vlookup($A1019,indirect("'TVC-"&amp;text(month(F$1),"00")&amp;"'!$A:$D"),4,false),1)))</f>
        <v>1</v>
      </c>
      <c r="G1019" s="62">
        <f t="shared" si="2037"/>
        <v>1</v>
      </c>
      <c r="H1019" s="62">
        <f t="shared" ref="H1019:Q1019" si="2038">IF(isblank(H$1),,IFERROR(vlookup($A1019,indirect("'TVC-"&amp;text(month(H$1),"00")&amp;"'!$A:$D"),4,false),1))</f>
        <v>1</v>
      </c>
      <c r="I1019" s="62">
        <f t="shared" si="2038"/>
        <v>1</v>
      </c>
      <c r="J1019" s="62">
        <f t="shared" si="2038"/>
        <v>1</v>
      </c>
      <c r="K1019" s="62">
        <f t="shared" si="2038"/>
        <v>1</v>
      </c>
      <c r="L1019" s="62">
        <f t="shared" si="2038"/>
        <v>1</v>
      </c>
      <c r="M1019" s="62">
        <f t="shared" si="2038"/>
        <v>1</v>
      </c>
      <c r="N1019" s="62">
        <f t="shared" si="2038"/>
        <v>1</v>
      </c>
      <c r="O1019" s="62">
        <f t="shared" si="2038"/>
        <v>1</v>
      </c>
      <c r="P1019" s="62" t="str">
        <f t="shared" si="2038"/>
        <v/>
      </c>
      <c r="Q1019" s="62" t="str">
        <f t="shared" si="2038"/>
        <v/>
      </c>
      <c r="R1019" s="62">
        <f t="shared" si="7"/>
        <v>0</v>
      </c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</row>
    <row r="1020" hidden="1">
      <c r="A1020" s="60">
        <f>IFERROR(__xludf.DUMMYFUNCTION("""COMPUTED_VALUE"""),14942.0)</f>
        <v>14942</v>
      </c>
      <c r="B1020" s="60" t="str">
        <f>IFERROR(__xludf.DUMMYFUNCTION("""COMPUTED_VALUE"""),"Burgess, Terrell")</f>
        <v>Burgess, Terrell</v>
      </c>
      <c r="C1020" s="60" t="str">
        <f>IFERROR(__xludf.DUMMYFUNCTION("""COMPUTED_VALUE"""),"S")</f>
        <v>S</v>
      </c>
      <c r="D1020" s="60" t="str">
        <f>IFERROR(__xludf.DUMMYFUNCTION("""COMPUTED_VALUE"""),"TEN")</f>
        <v>TEN</v>
      </c>
      <c r="E1020" s="62" t="str">
        <f t="shared" si="4"/>
        <v>Terrell Burgess</v>
      </c>
      <c r="F1020" s="62">
        <f t="shared" ref="F1020:G1020" si="2039">IF(isblank(F$1),,IF(isblank($A1020),,IFERROR(vlookup($A1020,indirect("'TVC-"&amp;text(month(F$1),"00")&amp;"'!$A:$D"),4,false),1)))</f>
        <v>1</v>
      </c>
      <c r="G1020" s="62">
        <f t="shared" si="2039"/>
        <v>1</v>
      </c>
      <c r="H1020" s="62">
        <f t="shared" ref="H1020:Q1020" si="2040">IF(isblank(H$1),,IFERROR(vlookup($A1020,indirect("'TVC-"&amp;text(month(H$1),"00")&amp;"'!$A:$D"),4,false),1))</f>
        <v>1</v>
      </c>
      <c r="I1020" s="62">
        <f t="shared" si="2040"/>
        <v>1</v>
      </c>
      <c r="J1020" s="62">
        <f t="shared" si="2040"/>
        <v>1</v>
      </c>
      <c r="K1020" s="62">
        <f t="shared" si="2040"/>
        <v>1</v>
      </c>
      <c r="L1020" s="62">
        <f t="shared" si="2040"/>
        <v>1</v>
      </c>
      <c r="M1020" s="62">
        <f t="shared" si="2040"/>
        <v>1</v>
      </c>
      <c r="N1020" s="62">
        <f t="shared" si="2040"/>
        <v>1</v>
      </c>
      <c r="O1020" s="62">
        <f t="shared" si="2040"/>
        <v>1</v>
      </c>
      <c r="P1020" s="62" t="str">
        <f t="shared" si="2040"/>
        <v/>
      </c>
      <c r="Q1020" s="62" t="str">
        <f t="shared" si="2040"/>
        <v/>
      </c>
      <c r="R1020" s="62">
        <f t="shared" si="7"/>
        <v>0</v>
      </c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</row>
    <row r="1021" hidden="1">
      <c r="A1021" s="60">
        <f>IFERROR(__xludf.DUMMYFUNCTION("""COMPUTED_VALUE"""),14943.0)</f>
        <v>14943</v>
      </c>
      <c r="B1021" s="60" t="str">
        <f>IFERROR(__xludf.DUMMYFUNCTION("""COMPUTED_VALUE"""),"Davis-Gaither, Akeem")</f>
        <v>Davis-Gaither, Akeem</v>
      </c>
      <c r="C1021" s="60" t="str">
        <f>IFERROR(__xludf.DUMMYFUNCTION("""COMPUTED_VALUE"""),"LB")</f>
        <v>LB</v>
      </c>
      <c r="D1021" s="60" t="str">
        <f>IFERROR(__xludf.DUMMYFUNCTION("""COMPUTED_VALUE"""),"IND")</f>
        <v>IND</v>
      </c>
      <c r="E1021" s="62" t="str">
        <f t="shared" si="4"/>
        <v>Akeem Davis-Gaither</v>
      </c>
      <c r="F1021" s="62">
        <f t="shared" ref="F1021:G1021" si="2041">IF(isblank(F$1),,IF(isblank($A1021),,IFERROR(vlookup($A1021,indirect("'TVC-"&amp;text(month(F$1),"00")&amp;"'!$A:$D"),4,false),1)))</f>
        <v>1</v>
      </c>
      <c r="G1021" s="62">
        <f t="shared" si="2041"/>
        <v>1</v>
      </c>
      <c r="H1021" s="62">
        <f t="shared" ref="H1021:Q1021" si="2042">IF(isblank(H$1),,IFERROR(vlookup($A1021,indirect("'TVC-"&amp;text(month(H$1),"00")&amp;"'!$A:$D"),4,false),1))</f>
        <v>1</v>
      </c>
      <c r="I1021" s="62">
        <f t="shared" si="2042"/>
        <v>1</v>
      </c>
      <c r="J1021" s="62">
        <f t="shared" si="2042"/>
        <v>1</v>
      </c>
      <c r="K1021" s="62">
        <f t="shared" si="2042"/>
        <v>1</v>
      </c>
      <c r="L1021" s="62">
        <f t="shared" si="2042"/>
        <v>1</v>
      </c>
      <c r="M1021" s="62">
        <f t="shared" si="2042"/>
        <v>1</v>
      </c>
      <c r="N1021" s="62">
        <f t="shared" si="2042"/>
        <v>1</v>
      </c>
      <c r="O1021" s="62">
        <f t="shared" si="2042"/>
        <v>1</v>
      </c>
      <c r="P1021" s="62" t="str">
        <f t="shared" si="2042"/>
        <v/>
      </c>
      <c r="Q1021" s="62" t="str">
        <f t="shared" si="2042"/>
        <v/>
      </c>
      <c r="R1021" s="62">
        <f t="shared" si="7"/>
        <v>0</v>
      </c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</row>
    <row r="1022" hidden="1">
      <c r="A1022" s="60">
        <f>IFERROR(__xludf.DUMMYFUNCTION("""COMPUTED_VALUE"""),14944.0)</f>
        <v>14944</v>
      </c>
      <c r="B1022" s="60" t="str">
        <f>IFERROR(__xludf.DUMMYFUNCTION("""COMPUTED_VALUE"""),"Holmes, Darnay")</f>
        <v>Holmes, Darnay</v>
      </c>
      <c r="C1022" s="60" t="str">
        <f>IFERROR(__xludf.DUMMYFUNCTION("""COMPUTED_VALUE"""),"CB")</f>
        <v>CB</v>
      </c>
      <c r="D1022" s="60" t="str">
        <f>IFERROR(__xludf.DUMMYFUNCTION("""COMPUTED_VALUE"""),"ATL")</f>
        <v>ATL</v>
      </c>
      <c r="E1022" s="62" t="str">
        <f t="shared" si="4"/>
        <v>Darnay Holmes</v>
      </c>
      <c r="F1022" s="62">
        <f t="shared" ref="F1022:G1022" si="2043">IF(isblank(F$1),,IF(isblank($A1022),,IFERROR(vlookup($A1022,indirect("'TVC-"&amp;text(month(F$1),"00")&amp;"'!$A:$D"),4,false),1)))</f>
        <v>1</v>
      </c>
      <c r="G1022" s="62">
        <f t="shared" si="2043"/>
        <v>1</v>
      </c>
      <c r="H1022" s="62">
        <f t="shared" ref="H1022:Q1022" si="2044">IF(isblank(H$1),,IFERROR(vlookup($A1022,indirect("'TVC-"&amp;text(month(H$1),"00")&amp;"'!$A:$D"),4,false),1))</f>
        <v>1</v>
      </c>
      <c r="I1022" s="62">
        <f t="shared" si="2044"/>
        <v>1</v>
      </c>
      <c r="J1022" s="62">
        <f t="shared" si="2044"/>
        <v>1</v>
      </c>
      <c r="K1022" s="62">
        <f t="shared" si="2044"/>
        <v>1</v>
      </c>
      <c r="L1022" s="62">
        <f t="shared" si="2044"/>
        <v>1</v>
      </c>
      <c r="M1022" s="62">
        <f t="shared" si="2044"/>
        <v>1</v>
      </c>
      <c r="N1022" s="62">
        <f t="shared" si="2044"/>
        <v>1</v>
      </c>
      <c r="O1022" s="62">
        <f t="shared" si="2044"/>
        <v>1</v>
      </c>
      <c r="P1022" s="62" t="str">
        <f t="shared" si="2044"/>
        <v/>
      </c>
      <c r="Q1022" s="62" t="str">
        <f t="shared" si="2044"/>
        <v/>
      </c>
      <c r="R1022" s="62">
        <f t="shared" si="7"/>
        <v>0</v>
      </c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</row>
    <row r="1023" hidden="1">
      <c r="A1023" s="60">
        <f>IFERROR(__xludf.DUMMYFUNCTION("""COMPUTED_VALUE"""),14946.0)</f>
        <v>14946</v>
      </c>
      <c r="B1023" s="60" t="str">
        <f>IFERROR(__xludf.DUMMYFUNCTION("""COMPUTED_VALUE"""),"Fotu, Leki")</f>
        <v>Fotu, Leki</v>
      </c>
      <c r="C1023" s="60" t="str">
        <f>IFERROR(__xludf.DUMMYFUNCTION("""COMPUTED_VALUE"""),"DT")</f>
        <v>DT</v>
      </c>
      <c r="D1023" s="60" t="str">
        <f>IFERROR(__xludf.DUMMYFUNCTION("""COMPUTED_VALUE"""),"FA")</f>
        <v>FA</v>
      </c>
      <c r="E1023" s="62" t="str">
        <f t="shared" si="4"/>
        <v>Leki Fotu</v>
      </c>
      <c r="F1023" s="62">
        <f t="shared" ref="F1023:G1023" si="2045">IF(isblank(F$1),,IF(isblank($A1023),,IFERROR(vlookup($A1023,indirect("'TVC-"&amp;text(month(F$1),"00")&amp;"'!$A:$D"),4,false),1)))</f>
        <v>1</v>
      </c>
      <c r="G1023" s="62">
        <f t="shared" si="2045"/>
        <v>1</v>
      </c>
      <c r="H1023" s="62">
        <f t="shared" ref="H1023:Q1023" si="2046">IF(isblank(H$1),,IFERROR(vlookup($A1023,indirect("'TVC-"&amp;text(month(H$1),"00")&amp;"'!$A:$D"),4,false),1))</f>
        <v>1</v>
      </c>
      <c r="I1023" s="62">
        <f t="shared" si="2046"/>
        <v>1</v>
      </c>
      <c r="J1023" s="62">
        <f t="shared" si="2046"/>
        <v>1</v>
      </c>
      <c r="K1023" s="62">
        <f t="shared" si="2046"/>
        <v>1</v>
      </c>
      <c r="L1023" s="62">
        <f t="shared" si="2046"/>
        <v>1</v>
      </c>
      <c r="M1023" s="62">
        <f t="shared" si="2046"/>
        <v>1</v>
      </c>
      <c r="N1023" s="62">
        <f t="shared" si="2046"/>
        <v>1</v>
      </c>
      <c r="O1023" s="62">
        <f t="shared" si="2046"/>
        <v>1</v>
      </c>
      <c r="P1023" s="62" t="str">
        <f t="shared" si="2046"/>
        <v/>
      </c>
      <c r="Q1023" s="62" t="str">
        <f t="shared" si="2046"/>
        <v/>
      </c>
      <c r="R1023" s="62">
        <f t="shared" si="7"/>
        <v>0</v>
      </c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</row>
    <row r="1024" hidden="1">
      <c r="A1024" s="60">
        <f>IFERROR(__xludf.DUMMYFUNCTION("""COMPUTED_VALUE"""),14947.0)</f>
        <v>14947</v>
      </c>
      <c r="B1024" s="60" t="str">
        <f>IFERROR(__xludf.DUMMYFUNCTION("""COMPUTED_VALUE"""),"Wonnum, D.J.")</f>
        <v>Wonnum, D.J.</v>
      </c>
      <c r="C1024" s="60" t="str">
        <f>IFERROR(__xludf.DUMMYFUNCTION("""COMPUTED_VALUE"""),"DE")</f>
        <v>DE</v>
      </c>
      <c r="D1024" s="60" t="str">
        <f>IFERROR(__xludf.DUMMYFUNCTION("""COMPUTED_VALUE"""),"DET")</f>
        <v>DET</v>
      </c>
      <c r="E1024" s="62" t="str">
        <f t="shared" si="4"/>
        <v>D.J. Wonnum</v>
      </c>
      <c r="F1024" s="62">
        <f t="shared" ref="F1024:G1024" si="2047">IF(isblank(F$1),,IF(isblank($A1024),,IFERROR(vlookup($A1024,indirect("'TVC-"&amp;text(month(F$1),"00")&amp;"'!$A:$D"),4,false),1)))</f>
        <v>1</v>
      </c>
      <c r="G1024" s="62">
        <f t="shared" si="2047"/>
        <v>1</v>
      </c>
      <c r="H1024" s="62">
        <f t="shared" ref="H1024:Q1024" si="2048">IF(isblank(H$1),,IFERROR(vlookup($A1024,indirect("'TVC-"&amp;text(month(H$1),"00")&amp;"'!$A:$D"),4,false),1))</f>
        <v>1</v>
      </c>
      <c r="I1024" s="62">
        <f t="shared" si="2048"/>
        <v>1</v>
      </c>
      <c r="J1024" s="62">
        <f t="shared" si="2048"/>
        <v>1</v>
      </c>
      <c r="K1024" s="62">
        <f t="shared" si="2048"/>
        <v>1</v>
      </c>
      <c r="L1024" s="62">
        <f t="shared" si="2048"/>
        <v>1</v>
      </c>
      <c r="M1024" s="62">
        <f t="shared" si="2048"/>
        <v>1</v>
      </c>
      <c r="N1024" s="62">
        <f t="shared" si="2048"/>
        <v>1</v>
      </c>
      <c r="O1024" s="62">
        <f t="shared" si="2048"/>
        <v>1</v>
      </c>
      <c r="P1024" s="62" t="str">
        <f t="shared" si="2048"/>
        <v/>
      </c>
      <c r="Q1024" s="62" t="str">
        <f t="shared" si="2048"/>
        <v/>
      </c>
      <c r="R1024" s="62">
        <f t="shared" si="7"/>
        <v>0</v>
      </c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</row>
    <row r="1025" hidden="1">
      <c r="A1025" s="60">
        <f>IFERROR(__xludf.DUMMYFUNCTION("""COMPUTED_VALUE"""),14948.0)</f>
        <v>14948</v>
      </c>
      <c r="B1025" s="60" t="str">
        <f>IFERROR(__xludf.DUMMYFUNCTION("""COMPUTED_VALUE"""),"Walker, Mykal")</f>
        <v>Walker, Mykal</v>
      </c>
      <c r="C1025" s="60" t="str">
        <f>IFERROR(__xludf.DUMMYFUNCTION("""COMPUTED_VALUE"""),"LB")</f>
        <v>LB</v>
      </c>
      <c r="D1025" s="60" t="str">
        <f>IFERROR(__xludf.DUMMYFUNCTION("""COMPUTED_VALUE"""),"FA")</f>
        <v>FA</v>
      </c>
      <c r="E1025" s="62" t="str">
        <f t="shared" si="4"/>
        <v>Mykal Walker</v>
      </c>
      <c r="F1025" s="62">
        <f t="shared" ref="F1025:G1025" si="2049">IF(isblank(F$1),,IF(isblank($A1025),,IFERROR(vlookup($A1025,indirect("'TVC-"&amp;text(month(F$1),"00")&amp;"'!$A:$D"),4,false),1)))</f>
        <v>1</v>
      </c>
      <c r="G1025" s="62">
        <f t="shared" si="2049"/>
        <v>1</v>
      </c>
      <c r="H1025" s="62">
        <f t="shared" ref="H1025:Q1025" si="2050">IF(isblank(H$1),,IFERROR(vlookup($A1025,indirect("'TVC-"&amp;text(month(H$1),"00")&amp;"'!$A:$D"),4,false),1))</f>
        <v>1</v>
      </c>
      <c r="I1025" s="62">
        <f t="shared" si="2050"/>
        <v>1</v>
      </c>
      <c r="J1025" s="62">
        <f t="shared" si="2050"/>
        <v>1</v>
      </c>
      <c r="K1025" s="62">
        <f t="shared" si="2050"/>
        <v>1</v>
      </c>
      <c r="L1025" s="62">
        <f t="shared" si="2050"/>
        <v>1</v>
      </c>
      <c r="M1025" s="62">
        <f t="shared" si="2050"/>
        <v>1</v>
      </c>
      <c r="N1025" s="62">
        <f t="shared" si="2050"/>
        <v>1</v>
      </c>
      <c r="O1025" s="62">
        <f t="shared" si="2050"/>
        <v>1</v>
      </c>
      <c r="P1025" s="62" t="str">
        <f t="shared" si="2050"/>
        <v/>
      </c>
      <c r="Q1025" s="62" t="str">
        <f t="shared" si="2050"/>
        <v/>
      </c>
      <c r="R1025" s="62">
        <f t="shared" si="7"/>
        <v>0</v>
      </c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  <c r="AC1025" s="62"/>
    </row>
    <row r="1026" hidden="1">
      <c r="A1026" s="60">
        <f>IFERROR(__xludf.DUMMYFUNCTION("""COMPUTED_VALUE"""),14950.0)</f>
        <v>14950</v>
      </c>
      <c r="B1026" s="60" t="str">
        <f>IFERROR(__xludf.DUMMYFUNCTION("""COMPUTED_VALUE"""),"Wallace, K'Von")</f>
        <v>Wallace, K'Von</v>
      </c>
      <c r="C1026" s="60" t="str">
        <f>IFERROR(__xludf.DUMMYFUNCTION("""COMPUTED_VALUE"""),"S")</f>
        <v>S</v>
      </c>
      <c r="D1026" s="60" t="str">
        <f>IFERROR(__xludf.DUMMYFUNCTION("""COMPUTED_VALUE"""),"BAL")</f>
        <v>BAL</v>
      </c>
      <c r="E1026" s="62" t="str">
        <f t="shared" si="4"/>
        <v>K'Von Wallace</v>
      </c>
      <c r="F1026" s="62">
        <f t="shared" ref="F1026:G1026" si="2051">IF(isblank(F$1),,IF(isblank($A1026),,IFERROR(vlookup($A1026,indirect("'TVC-"&amp;text(month(F$1),"00")&amp;"'!$A:$D"),4,false),1)))</f>
        <v>1</v>
      </c>
      <c r="G1026" s="62">
        <f t="shared" si="2051"/>
        <v>1</v>
      </c>
      <c r="H1026" s="62">
        <f t="shared" ref="H1026:Q1026" si="2052">IF(isblank(H$1),,IFERROR(vlookup($A1026,indirect("'TVC-"&amp;text(month(H$1),"00")&amp;"'!$A:$D"),4,false),1))</f>
        <v>1</v>
      </c>
      <c r="I1026" s="62">
        <f t="shared" si="2052"/>
        <v>1</v>
      </c>
      <c r="J1026" s="62">
        <f t="shared" si="2052"/>
        <v>1</v>
      </c>
      <c r="K1026" s="62">
        <f t="shared" si="2052"/>
        <v>1</v>
      </c>
      <c r="L1026" s="62">
        <f t="shared" si="2052"/>
        <v>1</v>
      </c>
      <c r="M1026" s="62">
        <f t="shared" si="2052"/>
        <v>1</v>
      </c>
      <c r="N1026" s="62">
        <f t="shared" si="2052"/>
        <v>1</v>
      </c>
      <c r="O1026" s="62">
        <f t="shared" si="2052"/>
        <v>1</v>
      </c>
      <c r="P1026" s="62" t="str">
        <f t="shared" si="2052"/>
        <v/>
      </c>
      <c r="Q1026" s="62" t="str">
        <f t="shared" si="2052"/>
        <v/>
      </c>
      <c r="R1026" s="62">
        <f t="shared" si="7"/>
        <v>0</v>
      </c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  <c r="AC1026" s="62"/>
    </row>
    <row r="1027" hidden="1">
      <c r="A1027" s="60">
        <f>IFERROR(__xludf.DUMMYFUNCTION("""COMPUTED_VALUE"""),14951.0)</f>
        <v>14951</v>
      </c>
      <c r="B1027" s="60" t="str">
        <f>IFERROR(__xludf.DUMMYFUNCTION("""COMPUTED_VALUE"""),"Lynch, James")</f>
        <v>Lynch, James</v>
      </c>
      <c r="C1027" s="60" t="str">
        <f>IFERROR(__xludf.DUMMYFUNCTION("""COMPUTED_VALUE"""),"DT")</f>
        <v>DT</v>
      </c>
      <c r="D1027" s="60" t="str">
        <f>IFERROR(__xludf.DUMMYFUNCTION("""COMPUTED_VALUE"""),"CHI")</f>
        <v>CHI</v>
      </c>
      <c r="E1027" s="62" t="str">
        <f t="shared" si="4"/>
        <v>James Lynch</v>
      </c>
      <c r="F1027" s="62">
        <f t="shared" ref="F1027:G1027" si="2053">IF(isblank(F$1),,IF(isblank($A1027),,IFERROR(vlookup($A1027,indirect("'TVC-"&amp;text(month(F$1),"00")&amp;"'!$A:$D"),4,false),1)))</f>
        <v>1</v>
      </c>
      <c r="G1027" s="62">
        <f t="shared" si="2053"/>
        <v>1</v>
      </c>
      <c r="H1027" s="62">
        <f t="shared" ref="H1027:Q1027" si="2054">IF(isblank(H$1),,IFERROR(vlookup($A1027,indirect("'TVC-"&amp;text(month(H$1),"00")&amp;"'!$A:$D"),4,false),1))</f>
        <v>1</v>
      </c>
      <c r="I1027" s="62">
        <f t="shared" si="2054"/>
        <v>1</v>
      </c>
      <c r="J1027" s="62">
        <f t="shared" si="2054"/>
        <v>1</v>
      </c>
      <c r="K1027" s="62">
        <f t="shared" si="2054"/>
        <v>1</v>
      </c>
      <c r="L1027" s="62">
        <f t="shared" si="2054"/>
        <v>1</v>
      </c>
      <c r="M1027" s="62">
        <f t="shared" si="2054"/>
        <v>1</v>
      </c>
      <c r="N1027" s="62">
        <f t="shared" si="2054"/>
        <v>1</v>
      </c>
      <c r="O1027" s="62">
        <f t="shared" si="2054"/>
        <v>1</v>
      </c>
      <c r="P1027" s="62" t="str">
        <f t="shared" si="2054"/>
        <v/>
      </c>
      <c r="Q1027" s="62" t="str">
        <f t="shared" si="2054"/>
        <v/>
      </c>
      <c r="R1027" s="62">
        <f t="shared" si="7"/>
        <v>0</v>
      </c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  <c r="AC1027" s="62"/>
    </row>
    <row r="1028" hidden="1">
      <c r="A1028" s="60">
        <f>IFERROR(__xludf.DUMMYFUNCTION("""COMPUTED_VALUE"""),14953.0)</f>
        <v>14953</v>
      </c>
      <c r="B1028" s="60" t="str">
        <f>IFERROR(__xludf.DUMMYFUNCTION("""COMPUTED_VALUE"""),"Dye, Troy")</f>
        <v>Dye, Troy</v>
      </c>
      <c r="C1028" s="60" t="str">
        <f>IFERROR(__xludf.DUMMYFUNCTION("""COMPUTED_VALUE"""),"LB")</f>
        <v>LB</v>
      </c>
      <c r="D1028" s="60" t="str">
        <f>IFERROR(__xludf.DUMMYFUNCTION("""COMPUTED_VALUE"""),"LAC")</f>
        <v>LAC</v>
      </c>
      <c r="E1028" s="62" t="str">
        <f t="shared" si="4"/>
        <v>Troy Dye</v>
      </c>
      <c r="F1028" s="62">
        <f t="shared" ref="F1028:G1028" si="2055">IF(isblank(F$1),,IF(isblank($A1028),,IFERROR(vlookup($A1028,indirect("'TVC-"&amp;text(month(F$1),"00")&amp;"'!$A:$D"),4,false),1)))</f>
        <v>1</v>
      </c>
      <c r="G1028" s="62">
        <f t="shared" si="2055"/>
        <v>1</v>
      </c>
      <c r="H1028" s="62">
        <f t="shared" ref="H1028:Q1028" si="2056">IF(isblank(H$1),,IFERROR(vlookup($A1028,indirect("'TVC-"&amp;text(month(H$1),"00")&amp;"'!$A:$D"),4,false),1))</f>
        <v>1</v>
      </c>
      <c r="I1028" s="62">
        <f t="shared" si="2056"/>
        <v>1</v>
      </c>
      <c r="J1028" s="62">
        <f t="shared" si="2056"/>
        <v>1</v>
      </c>
      <c r="K1028" s="62">
        <f t="shared" si="2056"/>
        <v>1</v>
      </c>
      <c r="L1028" s="62">
        <f t="shared" si="2056"/>
        <v>1</v>
      </c>
      <c r="M1028" s="62">
        <f t="shared" si="2056"/>
        <v>1</v>
      </c>
      <c r="N1028" s="62">
        <f t="shared" si="2056"/>
        <v>1</v>
      </c>
      <c r="O1028" s="62">
        <f t="shared" si="2056"/>
        <v>1</v>
      </c>
      <c r="P1028" s="62" t="str">
        <f t="shared" si="2056"/>
        <v/>
      </c>
      <c r="Q1028" s="62" t="str">
        <f t="shared" si="2056"/>
        <v/>
      </c>
      <c r="R1028" s="62">
        <f t="shared" si="7"/>
        <v>0</v>
      </c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  <c r="AC1028" s="62"/>
    </row>
    <row r="1029" hidden="1">
      <c r="A1029" s="60">
        <f>IFERROR(__xludf.DUMMYFUNCTION("""COMPUTED_VALUE"""),14954.0)</f>
        <v>14954</v>
      </c>
      <c r="B1029" s="60" t="str">
        <f>IFERROR(__xludf.DUMMYFUNCTION("""COMPUTED_VALUE"""),"Hawkins, Jaylinn")</f>
        <v>Hawkins, Jaylinn</v>
      </c>
      <c r="C1029" s="60" t="str">
        <f>IFERROR(__xludf.DUMMYFUNCTION("""COMPUTED_VALUE"""),"S")</f>
        <v>S</v>
      </c>
      <c r="D1029" s="60" t="str">
        <f>IFERROR(__xludf.DUMMYFUNCTION("""COMPUTED_VALUE"""),"BAL")</f>
        <v>BAL</v>
      </c>
      <c r="E1029" s="62" t="str">
        <f t="shared" si="4"/>
        <v>Jaylinn Hawkins</v>
      </c>
      <c r="F1029" s="62">
        <f t="shared" ref="F1029:G1029" si="2057">IF(isblank(F$1),,IF(isblank($A1029),,IFERROR(vlookup($A1029,indirect("'TVC-"&amp;text(month(F$1),"00")&amp;"'!$A:$D"),4,false),1)))</f>
        <v>1</v>
      </c>
      <c r="G1029" s="62">
        <f t="shared" si="2057"/>
        <v>1</v>
      </c>
      <c r="H1029" s="62">
        <f t="shared" ref="H1029:Q1029" si="2058">IF(isblank(H$1),,IFERROR(vlookup($A1029,indirect("'TVC-"&amp;text(month(H$1),"00")&amp;"'!$A:$D"),4,false),1))</f>
        <v>1</v>
      </c>
      <c r="I1029" s="62">
        <f t="shared" si="2058"/>
        <v>1</v>
      </c>
      <c r="J1029" s="62">
        <f t="shared" si="2058"/>
        <v>1</v>
      </c>
      <c r="K1029" s="62">
        <f t="shared" si="2058"/>
        <v>1</v>
      </c>
      <c r="L1029" s="62">
        <f t="shared" si="2058"/>
        <v>1</v>
      </c>
      <c r="M1029" s="62">
        <f t="shared" si="2058"/>
        <v>1</v>
      </c>
      <c r="N1029" s="62">
        <f t="shared" si="2058"/>
        <v>1</v>
      </c>
      <c r="O1029" s="62">
        <f t="shared" si="2058"/>
        <v>1</v>
      </c>
      <c r="P1029" s="62" t="str">
        <f t="shared" si="2058"/>
        <v/>
      </c>
      <c r="Q1029" s="62" t="str">
        <f t="shared" si="2058"/>
        <v/>
      </c>
      <c r="R1029" s="62">
        <f t="shared" si="7"/>
        <v>0</v>
      </c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  <c r="AC1029" s="62"/>
    </row>
    <row r="1030" hidden="1">
      <c r="A1030" s="60">
        <f>IFERROR(__xludf.DUMMYFUNCTION("""COMPUTED_VALUE"""),14956.0)</f>
        <v>14956</v>
      </c>
      <c r="B1030" s="60" t="str">
        <f>IFERROR(__xludf.DUMMYFUNCTION("""COMPUTED_VALUE"""),"Sneed, L'Jarius")</f>
        <v>Sneed, L'Jarius</v>
      </c>
      <c r="C1030" s="60" t="str">
        <f>IFERROR(__xludf.DUMMYFUNCTION("""COMPUTED_VALUE"""),"CB")</f>
        <v>CB</v>
      </c>
      <c r="D1030" s="60" t="str">
        <f>IFERROR(__xludf.DUMMYFUNCTION("""COMPUTED_VALUE"""),"KCC")</f>
        <v>KCC</v>
      </c>
      <c r="E1030" s="62" t="str">
        <f t="shared" si="4"/>
        <v>L'Jarius Sneed</v>
      </c>
      <c r="F1030" s="62">
        <f t="shared" ref="F1030:G1030" si="2059">IF(isblank(F$1),,IF(isblank($A1030),,IFERROR(vlookup($A1030,indirect("'TVC-"&amp;text(month(F$1),"00")&amp;"'!$A:$D"),4,false),1)))</f>
        <v>1</v>
      </c>
      <c r="G1030" s="62">
        <f t="shared" si="2059"/>
        <v>1</v>
      </c>
      <c r="H1030" s="62">
        <f t="shared" ref="H1030:Q1030" si="2060">IF(isblank(H$1),,IFERROR(vlookup($A1030,indirect("'TVC-"&amp;text(month(H$1),"00")&amp;"'!$A:$D"),4,false),1))</f>
        <v>1</v>
      </c>
      <c r="I1030" s="62">
        <f t="shared" si="2060"/>
        <v>1</v>
      </c>
      <c r="J1030" s="62">
        <f t="shared" si="2060"/>
        <v>1</v>
      </c>
      <c r="K1030" s="62">
        <f t="shared" si="2060"/>
        <v>1</v>
      </c>
      <c r="L1030" s="62">
        <f t="shared" si="2060"/>
        <v>1</v>
      </c>
      <c r="M1030" s="62">
        <f t="shared" si="2060"/>
        <v>1</v>
      </c>
      <c r="N1030" s="62">
        <f t="shared" si="2060"/>
        <v>1</v>
      </c>
      <c r="O1030" s="62">
        <f t="shared" si="2060"/>
        <v>1</v>
      </c>
      <c r="P1030" s="62" t="str">
        <f t="shared" si="2060"/>
        <v/>
      </c>
      <c r="Q1030" s="62" t="str">
        <f t="shared" si="2060"/>
        <v/>
      </c>
      <c r="R1030" s="62">
        <f t="shared" si="7"/>
        <v>0</v>
      </c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  <c r="AC1030" s="62"/>
    </row>
    <row r="1031" hidden="1">
      <c r="A1031" s="60">
        <f>IFERROR(__xludf.DUMMYFUNCTION("""COMPUTED_VALUE"""),14957.0)</f>
        <v>14957</v>
      </c>
      <c r="B1031" s="60" t="str">
        <f>IFERROR(__xludf.DUMMYFUNCTION("""COMPUTED_VALUE"""),"Robertson, Amik")</f>
        <v>Robertson, Amik</v>
      </c>
      <c r="C1031" s="60" t="str">
        <f>IFERROR(__xludf.DUMMYFUNCTION("""COMPUTED_VALUE"""),"CB")</f>
        <v>CB</v>
      </c>
      <c r="D1031" s="60" t="str">
        <f>IFERROR(__xludf.DUMMYFUNCTION("""COMPUTED_VALUE"""),"WAS")</f>
        <v>WAS</v>
      </c>
      <c r="E1031" s="62" t="str">
        <f t="shared" si="4"/>
        <v>Amik Robertson</v>
      </c>
      <c r="F1031" s="62">
        <f t="shared" ref="F1031:G1031" si="2061">IF(isblank(F$1),,IF(isblank($A1031),,IFERROR(vlookup($A1031,indirect("'TVC-"&amp;text(month(F$1),"00")&amp;"'!$A:$D"),4,false),1)))</f>
        <v>1</v>
      </c>
      <c r="G1031" s="62">
        <f t="shared" si="2061"/>
        <v>1</v>
      </c>
      <c r="H1031" s="62">
        <f t="shared" ref="H1031:Q1031" si="2062">IF(isblank(H$1),,IFERROR(vlookup($A1031,indirect("'TVC-"&amp;text(month(H$1),"00")&amp;"'!$A:$D"),4,false),1))</f>
        <v>1</v>
      </c>
      <c r="I1031" s="62">
        <f t="shared" si="2062"/>
        <v>1</v>
      </c>
      <c r="J1031" s="62">
        <f t="shared" si="2062"/>
        <v>1</v>
      </c>
      <c r="K1031" s="62">
        <f t="shared" si="2062"/>
        <v>1</v>
      </c>
      <c r="L1031" s="62">
        <f t="shared" si="2062"/>
        <v>1</v>
      </c>
      <c r="M1031" s="62">
        <f t="shared" si="2062"/>
        <v>1</v>
      </c>
      <c r="N1031" s="62">
        <f t="shared" si="2062"/>
        <v>1</v>
      </c>
      <c r="O1031" s="62">
        <f t="shared" si="2062"/>
        <v>1</v>
      </c>
      <c r="P1031" s="62" t="str">
        <f t="shared" si="2062"/>
        <v/>
      </c>
      <c r="Q1031" s="62" t="str">
        <f t="shared" si="2062"/>
        <v/>
      </c>
      <c r="R1031" s="62">
        <f t="shared" si="7"/>
        <v>0</v>
      </c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  <c r="AC1031" s="62"/>
    </row>
    <row r="1032">
      <c r="A1032" s="60">
        <f>IFERROR(__xludf.DUMMYFUNCTION("""COMPUTED_VALUE"""),14962.0)</f>
        <v>14962</v>
      </c>
      <c r="B1032" s="60" t="str">
        <f>IFERROR(__xludf.DUMMYFUNCTION("""COMPUTED_VALUE"""),"Gipson, Trevis")</f>
        <v>Gipson, Trevis</v>
      </c>
      <c r="C1032" s="60" t="str">
        <f>IFERROR(__xludf.DUMMYFUNCTION("""COMPUTED_VALUE"""),"DE")</f>
        <v>DE</v>
      </c>
      <c r="D1032" s="60" t="str">
        <f>IFERROR(__xludf.DUMMYFUNCTION("""COMPUTED_VALUE"""),"CAR")</f>
        <v>CAR</v>
      </c>
      <c r="E1032" s="62" t="str">
        <f t="shared" si="4"/>
        <v>Trevis Gipson</v>
      </c>
      <c r="F1032" s="62">
        <f t="shared" ref="F1032:G1032" si="2063">IF(isblank(F$1),,IF(isblank($A1032),,IFERROR(vlookup($A1032,indirect("'TVC-"&amp;text(month(F$1),"00")&amp;"'!$A:$D"),4,false),1)))</f>
        <v>1</v>
      </c>
      <c r="G1032" s="62">
        <f t="shared" si="2063"/>
        <v>1</v>
      </c>
      <c r="H1032" s="62">
        <f t="shared" ref="H1032:Q1032" si="2064">IF(isblank(H$1),,IFERROR(vlookup($A1032,indirect("'TVC-"&amp;text(month(H$1),"00")&amp;"'!$A:$D"),4,false),1))</f>
        <v>1</v>
      </c>
      <c r="I1032" s="62">
        <f t="shared" si="2064"/>
        <v>1</v>
      </c>
      <c r="J1032" s="62">
        <f t="shared" si="2064"/>
        <v>1</v>
      </c>
      <c r="K1032" s="62">
        <f t="shared" si="2064"/>
        <v>1</v>
      </c>
      <c r="L1032" s="62">
        <f t="shared" si="2064"/>
        <v>1</v>
      </c>
      <c r="M1032" s="62">
        <f t="shared" si="2064"/>
        <v>1</v>
      </c>
      <c r="N1032" s="62">
        <f t="shared" si="2064"/>
        <v>1</v>
      </c>
      <c r="O1032" s="62">
        <f t="shared" si="2064"/>
        <v>1</v>
      </c>
      <c r="P1032" s="62" t="str">
        <f t="shared" si="2064"/>
        <v/>
      </c>
      <c r="Q1032" s="62" t="str">
        <f t="shared" si="2064"/>
        <v/>
      </c>
      <c r="R1032" s="62">
        <f t="shared" si="7"/>
        <v>0</v>
      </c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</row>
    <row r="1033" hidden="1">
      <c r="A1033" s="60">
        <f>IFERROR(__xludf.DUMMYFUNCTION("""COMPUTED_VALUE"""),14963.0)</f>
        <v>14963</v>
      </c>
      <c r="B1033" s="60" t="str">
        <f>IFERROR(__xludf.DUMMYFUNCTION("""COMPUTED_VALUE"""),"Thomas, Daniel")</f>
        <v>Thomas, Daniel</v>
      </c>
      <c r="C1033" s="60" t="str">
        <f>IFERROR(__xludf.DUMMYFUNCTION("""COMPUTED_VALUE"""),"S")</f>
        <v>S</v>
      </c>
      <c r="D1033" s="60" t="str">
        <f>IFERROR(__xludf.DUMMYFUNCTION("""COMPUTED_VALUE"""),"CLE")</f>
        <v>CLE</v>
      </c>
      <c r="E1033" s="62" t="str">
        <f t="shared" si="4"/>
        <v>Daniel Thomas</v>
      </c>
      <c r="F1033" s="62">
        <f t="shared" ref="F1033:G1033" si="2065">IF(isblank(F$1),,IF(isblank($A1033),,IFERROR(vlookup($A1033,indirect("'TVC-"&amp;text(month(F$1),"00")&amp;"'!$A:$D"),4,false),1)))</f>
        <v>1</v>
      </c>
      <c r="G1033" s="62">
        <f t="shared" si="2065"/>
        <v>1</v>
      </c>
      <c r="H1033" s="62">
        <f t="shared" ref="H1033:Q1033" si="2066">IF(isblank(H$1),,IFERROR(vlookup($A1033,indirect("'TVC-"&amp;text(month(H$1),"00")&amp;"'!$A:$D"),4,false),1))</f>
        <v>1</v>
      </c>
      <c r="I1033" s="62">
        <f t="shared" si="2066"/>
        <v>1</v>
      </c>
      <c r="J1033" s="62">
        <f t="shared" si="2066"/>
        <v>1</v>
      </c>
      <c r="K1033" s="62">
        <f t="shared" si="2066"/>
        <v>1</v>
      </c>
      <c r="L1033" s="62">
        <f t="shared" si="2066"/>
        <v>1</v>
      </c>
      <c r="M1033" s="62">
        <f t="shared" si="2066"/>
        <v>1</v>
      </c>
      <c r="N1033" s="62">
        <f t="shared" si="2066"/>
        <v>1</v>
      </c>
      <c r="O1033" s="62">
        <f t="shared" si="2066"/>
        <v>1</v>
      </c>
      <c r="P1033" s="62" t="str">
        <f t="shared" si="2066"/>
        <v/>
      </c>
      <c r="Q1033" s="62" t="str">
        <f t="shared" si="2066"/>
        <v/>
      </c>
      <c r="R1033" s="62">
        <f t="shared" si="7"/>
        <v>0</v>
      </c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</row>
    <row r="1034" hidden="1">
      <c r="A1034" s="60">
        <f>IFERROR(__xludf.DUMMYFUNCTION("""COMPUTED_VALUE"""),14964.0)</f>
        <v>14964</v>
      </c>
      <c r="B1034" s="60" t="str">
        <f>IFERROR(__xludf.DUMMYFUNCTION("""COMPUTED_VALUE"""),"Hall, Bryce")</f>
        <v>Hall, Bryce</v>
      </c>
      <c r="C1034" s="60" t="str">
        <f>IFERROR(__xludf.DUMMYFUNCTION("""COMPUTED_VALUE"""),"CB")</f>
        <v>CB</v>
      </c>
      <c r="D1034" s="60" t="str">
        <f>IFERROR(__xludf.DUMMYFUNCTION("""COMPUTED_VALUE"""),"HOU")</f>
        <v>HOU</v>
      </c>
      <c r="E1034" s="62" t="str">
        <f t="shared" si="4"/>
        <v>Bryce Hall</v>
      </c>
      <c r="F1034" s="62">
        <f t="shared" ref="F1034:G1034" si="2067">IF(isblank(F$1),,IF(isblank($A1034),,IFERROR(vlookup($A1034,indirect("'TVC-"&amp;text(month(F$1),"00")&amp;"'!$A:$D"),4,false),1)))</f>
        <v>1</v>
      </c>
      <c r="G1034" s="62">
        <f t="shared" si="2067"/>
        <v>1</v>
      </c>
      <c r="H1034" s="62">
        <f t="shared" ref="H1034:Q1034" si="2068">IF(isblank(H$1),,IFERROR(vlookup($A1034,indirect("'TVC-"&amp;text(month(H$1),"00")&amp;"'!$A:$D"),4,false),1))</f>
        <v>1</v>
      </c>
      <c r="I1034" s="62">
        <f t="shared" si="2068"/>
        <v>1</v>
      </c>
      <c r="J1034" s="62">
        <f t="shared" si="2068"/>
        <v>1</v>
      </c>
      <c r="K1034" s="62">
        <f t="shared" si="2068"/>
        <v>1</v>
      </c>
      <c r="L1034" s="62">
        <f t="shared" si="2068"/>
        <v>1</v>
      </c>
      <c r="M1034" s="62">
        <f t="shared" si="2068"/>
        <v>1</v>
      </c>
      <c r="N1034" s="62">
        <f t="shared" si="2068"/>
        <v>1</v>
      </c>
      <c r="O1034" s="62">
        <f t="shared" si="2068"/>
        <v>1</v>
      </c>
      <c r="P1034" s="62" t="str">
        <f t="shared" si="2068"/>
        <v/>
      </c>
      <c r="Q1034" s="62" t="str">
        <f t="shared" si="2068"/>
        <v/>
      </c>
      <c r="R1034" s="62">
        <f t="shared" si="7"/>
        <v>0</v>
      </c>
      <c r="S1034" s="62"/>
      <c r="T1034" s="62"/>
      <c r="U1034" s="62"/>
      <c r="V1034" s="62"/>
      <c r="W1034" s="62"/>
      <c r="X1034" s="62"/>
      <c r="Y1034" s="62"/>
      <c r="Z1034" s="62"/>
      <c r="AA1034" s="62"/>
      <c r="AB1034" s="62"/>
      <c r="AC1034" s="62"/>
    </row>
    <row r="1035" hidden="1">
      <c r="A1035" s="60">
        <f>IFERROR(__xludf.DUMMYFUNCTION("""COMPUTED_VALUE"""),14967.0)</f>
        <v>14967</v>
      </c>
      <c r="B1035" s="60" t="str">
        <f>IFERROR(__xludf.DUMMYFUNCTION("""COMPUTED_VALUE"""),"Vildor, Kindle")</f>
        <v>Vildor, Kindle</v>
      </c>
      <c r="C1035" s="60" t="str">
        <f>IFERROR(__xludf.DUMMYFUNCTION("""COMPUTED_VALUE"""),"CB")</f>
        <v>CB</v>
      </c>
      <c r="D1035" s="60" t="str">
        <f>IFERROR(__xludf.DUMMYFUNCTION("""COMPUTED_VALUE"""),"NEP")</f>
        <v>NEP</v>
      </c>
      <c r="E1035" s="62" t="str">
        <f t="shared" si="4"/>
        <v>Kindle Vildor</v>
      </c>
      <c r="F1035" s="62">
        <f t="shared" ref="F1035:G1035" si="2069">IF(isblank(F$1),,IF(isblank($A1035),,IFERROR(vlookup($A1035,indirect("'TVC-"&amp;text(month(F$1),"00")&amp;"'!$A:$D"),4,false),1)))</f>
        <v>1</v>
      </c>
      <c r="G1035" s="62">
        <f t="shared" si="2069"/>
        <v>1</v>
      </c>
      <c r="H1035" s="62">
        <f t="shared" ref="H1035:Q1035" si="2070">IF(isblank(H$1),,IFERROR(vlookup($A1035,indirect("'TVC-"&amp;text(month(H$1),"00")&amp;"'!$A:$D"),4,false),1))</f>
        <v>1</v>
      </c>
      <c r="I1035" s="62">
        <f t="shared" si="2070"/>
        <v>1</v>
      </c>
      <c r="J1035" s="62">
        <f t="shared" si="2070"/>
        <v>1</v>
      </c>
      <c r="K1035" s="62">
        <f t="shared" si="2070"/>
        <v>1</v>
      </c>
      <c r="L1035" s="62">
        <f t="shared" si="2070"/>
        <v>1</v>
      </c>
      <c r="M1035" s="62">
        <f t="shared" si="2070"/>
        <v>1</v>
      </c>
      <c r="N1035" s="62">
        <f t="shared" si="2070"/>
        <v>1</v>
      </c>
      <c r="O1035" s="62">
        <f t="shared" si="2070"/>
        <v>1</v>
      </c>
      <c r="P1035" s="62" t="str">
        <f t="shared" si="2070"/>
        <v/>
      </c>
      <c r="Q1035" s="62" t="str">
        <f t="shared" si="2070"/>
        <v/>
      </c>
      <c r="R1035" s="62">
        <f t="shared" si="7"/>
        <v>0</v>
      </c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</row>
    <row r="1036" hidden="1">
      <c r="A1036" s="60">
        <f>IFERROR(__xludf.DUMMYFUNCTION("""COMPUTED_VALUE"""),14971.0)</f>
        <v>14971</v>
      </c>
      <c r="B1036" s="60" t="str">
        <f>IFERROR(__xludf.DUMMYFUNCTION("""COMPUTED_VALUE"""),"Washington, Broderick")</f>
        <v>Washington, Broderick</v>
      </c>
      <c r="C1036" s="60" t="str">
        <f>IFERROR(__xludf.DUMMYFUNCTION("""COMPUTED_VALUE"""),"DT")</f>
        <v>DT</v>
      </c>
      <c r="D1036" s="60" t="str">
        <f>IFERROR(__xludf.DUMMYFUNCTION("""COMPUTED_VALUE"""),"BAL")</f>
        <v>BAL</v>
      </c>
      <c r="E1036" s="62" t="str">
        <f t="shared" si="4"/>
        <v>Broderick Washington</v>
      </c>
      <c r="F1036" s="62">
        <f t="shared" ref="F1036:G1036" si="2071">IF(isblank(F$1),,IF(isblank($A1036),,IFERROR(vlookup($A1036,indirect("'TVC-"&amp;text(month(F$1),"00")&amp;"'!$A:$D"),4,false),1)))</f>
        <v>1</v>
      </c>
      <c r="G1036" s="62">
        <f t="shared" si="2071"/>
        <v>1</v>
      </c>
      <c r="H1036" s="62">
        <f t="shared" ref="H1036:Q1036" si="2072">IF(isblank(H$1),,IFERROR(vlookup($A1036,indirect("'TVC-"&amp;text(month(H$1),"00")&amp;"'!$A:$D"),4,false),1))</f>
        <v>1</v>
      </c>
      <c r="I1036" s="62">
        <f t="shared" si="2072"/>
        <v>1</v>
      </c>
      <c r="J1036" s="62">
        <f t="shared" si="2072"/>
        <v>1</v>
      </c>
      <c r="K1036" s="62">
        <f t="shared" si="2072"/>
        <v>1</v>
      </c>
      <c r="L1036" s="62">
        <f t="shared" si="2072"/>
        <v>1</v>
      </c>
      <c r="M1036" s="62">
        <f t="shared" si="2072"/>
        <v>1</v>
      </c>
      <c r="N1036" s="62">
        <f t="shared" si="2072"/>
        <v>1</v>
      </c>
      <c r="O1036" s="62">
        <f t="shared" si="2072"/>
        <v>1</v>
      </c>
      <c r="P1036" s="62" t="str">
        <f t="shared" si="2072"/>
        <v/>
      </c>
      <c r="Q1036" s="62" t="str">
        <f t="shared" si="2072"/>
        <v/>
      </c>
      <c r="R1036" s="62">
        <f t="shared" si="7"/>
        <v>0</v>
      </c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</row>
    <row r="1037" hidden="1">
      <c r="A1037" s="60">
        <f>IFERROR(__xludf.DUMMYFUNCTION("""COMPUTED_VALUE"""),14974.0)</f>
        <v>14974</v>
      </c>
      <c r="B1037" s="60" t="str">
        <f>IFERROR(__xludf.DUMMYFUNCTION("""COMPUTED_VALUE"""),"Mooney, Darnell")</f>
        <v>Mooney, Darnell</v>
      </c>
      <c r="C1037" s="60" t="str">
        <f>IFERROR(__xludf.DUMMYFUNCTION("""COMPUTED_VALUE"""),"WR")</f>
        <v>WR</v>
      </c>
      <c r="D1037" s="60" t="str">
        <f>IFERROR(__xludf.DUMMYFUNCTION("""COMPUTED_VALUE"""),"NYG")</f>
        <v>NYG</v>
      </c>
      <c r="E1037" s="62" t="str">
        <f t="shared" si="4"/>
        <v>Darnell Mooney</v>
      </c>
      <c r="F1037" s="62">
        <f t="shared" ref="F1037:G1037" si="2073">IF(isblank(F$1),,IF(isblank($A1037),,IFERROR(vlookup($A1037,indirect("'TVC-"&amp;text(month(F$1),"00")&amp;"'!$A:$D"),4,false),1)))</f>
        <v>1985</v>
      </c>
      <c r="G1037" s="62">
        <f t="shared" si="2073"/>
        <v>1974</v>
      </c>
      <c r="H1037" s="62">
        <f t="shared" ref="H1037:Q1037" si="2074">IF(isblank(H$1),,IFERROR(vlookup($A1037,indirect("'TVC-"&amp;text(month(H$1),"00")&amp;"'!$A:$D"),4,false),1))</f>
        <v>2016</v>
      </c>
      <c r="I1037" s="62">
        <f t="shared" si="2074"/>
        <v>2104</v>
      </c>
      <c r="J1037" s="62">
        <f t="shared" si="2074"/>
        <v>2133</v>
      </c>
      <c r="K1037" s="62">
        <f t="shared" si="2074"/>
        <v>2091</v>
      </c>
      <c r="L1037" s="62">
        <f t="shared" si="2074"/>
        <v>2024</v>
      </c>
      <c r="M1037" s="62">
        <f t="shared" si="2074"/>
        <v>1988</v>
      </c>
      <c r="N1037" s="62">
        <f t="shared" si="2074"/>
        <v>1799</v>
      </c>
      <c r="O1037" s="62">
        <f t="shared" si="2074"/>
        <v>1</v>
      </c>
      <c r="P1037" s="62" t="str">
        <f t="shared" si="2074"/>
        <v/>
      </c>
      <c r="Q1037" s="62" t="str">
        <f t="shared" si="2074"/>
        <v/>
      </c>
      <c r="R1037" s="62">
        <f t="shared" si="7"/>
        <v>-1798</v>
      </c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</row>
    <row r="1038" hidden="1">
      <c r="A1038" s="60">
        <f>IFERROR(__xludf.DUMMYFUNCTION("""COMPUTED_VALUE"""),14975.0)</f>
        <v>14975</v>
      </c>
      <c r="B1038" s="60" t="str">
        <f>IFERROR(__xludf.DUMMYFUNCTION("""COMPUTED_VALUE"""),"Murchison, Larrell")</f>
        <v>Murchison, Larrell</v>
      </c>
      <c r="C1038" s="60" t="str">
        <f>IFERROR(__xludf.DUMMYFUNCTION("""COMPUTED_VALUE"""),"DT")</f>
        <v>DT</v>
      </c>
      <c r="D1038" s="60" t="str">
        <f>IFERROR(__xludf.DUMMYFUNCTION("""COMPUTED_VALUE"""),"LAR")</f>
        <v>LAR</v>
      </c>
      <c r="E1038" s="62" t="str">
        <f t="shared" si="4"/>
        <v>Larrell Murchison</v>
      </c>
      <c r="F1038" s="62">
        <f t="shared" ref="F1038:G1038" si="2075">IF(isblank(F$1),,IF(isblank($A1038),,IFERROR(vlookup($A1038,indirect("'TVC-"&amp;text(month(F$1),"00")&amp;"'!$A:$D"),4,false),1)))</f>
        <v>1</v>
      </c>
      <c r="G1038" s="62">
        <f t="shared" si="2075"/>
        <v>1</v>
      </c>
      <c r="H1038" s="62">
        <f t="shared" ref="H1038:Q1038" si="2076">IF(isblank(H$1),,IFERROR(vlookup($A1038,indirect("'TVC-"&amp;text(month(H$1),"00")&amp;"'!$A:$D"),4,false),1))</f>
        <v>1</v>
      </c>
      <c r="I1038" s="62">
        <f t="shared" si="2076"/>
        <v>1</v>
      </c>
      <c r="J1038" s="62">
        <f t="shared" si="2076"/>
        <v>1</v>
      </c>
      <c r="K1038" s="62">
        <f t="shared" si="2076"/>
        <v>1</v>
      </c>
      <c r="L1038" s="62">
        <f t="shared" si="2076"/>
        <v>1</v>
      </c>
      <c r="M1038" s="62">
        <f t="shared" si="2076"/>
        <v>1</v>
      </c>
      <c r="N1038" s="62">
        <f t="shared" si="2076"/>
        <v>1</v>
      </c>
      <c r="O1038" s="62">
        <f t="shared" si="2076"/>
        <v>1</v>
      </c>
      <c r="P1038" s="62" t="str">
        <f t="shared" si="2076"/>
        <v/>
      </c>
      <c r="Q1038" s="62" t="str">
        <f t="shared" si="2076"/>
        <v/>
      </c>
      <c r="R1038" s="62">
        <f t="shared" si="7"/>
        <v>0</v>
      </c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</row>
    <row r="1039" hidden="1">
      <c r="A1039" s="60">
        <f>IFERROR(__xludf.DUMMYFUNCTION("""COMPUTED_VALUE"""),14977.0)</f>
        <v>14977</v>
      </c>
      <c r="B1039" s="60" t="str">
        <f>IFERROR(__xludf.DUMMYFUNCTION("""COMPUTED_VALUE"""),"Osborn, K.J.")</f>
        <v>Osborn, K.J.</v>
      </c>
      <c r="C1039" s="60" t="str">
        <f>IFERROR(__xludf.DUMMYFUNCTION("""COMPUTED_VALUE"""),"WR")</f>
        <v>WR</v>
      </c>
      <c r="D1039" s="60" t="str">
        <f>IFERROR(__xludf.DUMMYFUNCTION("""COMPUTED_VALUE"""),"TEN")</f>
        <v>TEN</v>
      </c>
      <c r="E1039" s="62" t="str">
        <f t="shared" si="4"/>
        <v>K.J. Osborn</v>
      </c>
      <c r="F1039" s="62">
        <f t="shared" ref="F1039:G1039" si="2077">IF(isblank(F$1),,IF(isblank($A1039),,IFERROR(vlookup($A1039,indirect("'TVC-"&amp;text(month(F$1),"00")&amp;"'!$A:$D"),4,false),1)))</f>
        <v>1</v>
      </c>
      <c r="G1039" s="62">
        <f t="shared" si="2077"/>
        <v>1</v>
      </c>
      <c r="H1039" s="62">
        <f t="shared" ref="H1039:Q1039" si="2078">IF(isblank(H$1),,IFERROR(vlookup($A1039,indirect("'TVC-"&amp;text(month(H$1),"00")&amp;"'!$A:$D"),4,false),1))</f>
        <v>1</v>
      </c>
      <c r="I1039" s="62">
        <f t="shared" si="2078"/>
        <v>1</v>
      </c>
      <c r="J1039" s="62">
        <f t="shared" si="2078"/>
        <v>1</v>
      </c>
      <c r="K1039" s="62">
        <f t="shared" si="2078"/>
        <v>1</v>
      </c>
      <c r="L1039" s="62">
        <f t="shared" si="2078"/>
        <v>1</v>
      </c>
      <c r="M1039" s="62">
        <f t="shared" si="2078"/>
        <v>1</v>
      </c>
      <c r="N1039" s="62">
        <f t="shared" si="2078"/>
        <v>1</v>
      </c>
      <c r="O1039" s="62">
        <f t="shared" si="2078"/>
        <v>1</v>
      </c>
      <c r="P1039" s="62" t="str">
        <f t="shared" si="2078"/>
        <v/>
      </c>
      <c r="Q1039" s="62" t="str">
        <f t="shared" si="2078"/>
        <v/>
      </c>
      <c r="R1039" s="62">
        <f t="shared" si="7"/>
        <v>0</v>
      </c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</row>
    <row r="1040" hidden="1">
      <c r="A1040" s="60">
        <f>IFERROR(__xludf.DUMMYFUNCTION("""COMPUTED_VALUE"""),14978.0)</f>
        <v>14978</v>
      </c>
      <c r="B1040" s="60" t="str">
        <f>IFERROR(__xludf.DUMMYFUNCTION("""COMPUTED_VALUE"""),"Danna, Michael")</f>
        <v>Danna, Michael</v>
      </c>
      <c r="C1040" s="60" t="str">
        <f>IFERROR(__xludf.DUMMYFUNCTION("""COMPUTED_VALUE"""),"DE")</f>
        <v>DE</v>
      </c>
      <c r="D1040" s="60" t="str">
        <f>IFERROR(__xludf.DUMMYFUNCTION("""COMPUTED_VALUE"""),"BUF")</f>
        <v>BUF</v>
      </c>
      <c r="E1040" s="62" t="str">
        <f t="shared" si="4"/>
        <v>Michael Danna</v>
      </c>
      <c r="F1040" s="62">
        <f t="shared" ref="F1040:G1040" si="2079">IF(isblank(F$1),,IF(isblank($A1040),,IFERROR(vlookup($A1040,indirect("'TVC-"&amp;text(month(F$1),"00")&amp;"'!$A:$D"),4,false),1)))</f>
        <v>1</v>
      </c>
      <c r="G1040" s="62">
        <f t="shared" si="2079"/>
        <v>1</v>
      </c>
      <c r="H1040" s="62">
        <f t="shared" ref="H1040:Q1040" si="2080">IF(isblank(H$1),,IFERROR(vlookup($A1040,indirect("'TVC-"&amp;text(month(H$1),"00")&amp;"'!$A:$D"),4,false),1))</f>
        <v>1</v>
      </c>
      <c r="I1040" s="62">
        <f t="shared" si="2080"/>
        <v>1</v>
      </c>
      <c r="J1040" s="62">
        <f t="shared" si="2080"/>
        <v>1</v>
      </c>
      <c r="K1040" s="62">
        <f t="shared" si="2080"/>
        <v>1</v>
      </c>
      <c r="L1040" s="62">
        <f t="shared" si="2080"/>
        <v>1</v>
      </c>
      <c r="M1040" s="62">
        <f t="shared" si="2080"/>
        <v>1</v>
      </c>
      <c r="N1040" s="62">
        <f t="shared" si="2080"/>
        <v>1</v>
      </c>
      <c r="O1040" s="62">
        <f t="shared" si="2080"/>
        <v>1</v>
      </c>
      <c r="P1040" s="62" t="str">
        <f t="shared" si="2080"/>
        <v/>
      </c>
      <c r="Q1040" s="62" t="str">
        <f t="shared" si="2080"/>
        <v/>
      </c>
      <c r="R1040" s="62">
        <f t="shared" si="7"/>
        <v>0</v>
      </c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</row>
    <row r="1041" hidden="1">
      <c r="A1041" s="60">
        <f>IFERROR(__xludf.DUMMYFUNCTION("""COMPUTED_VALUE"""),14979.0)</f>
        <v>14979</v>
      </c>
      <c r="B1041" s="60" t="str">
        <f>IFERROR(__xludf.DUMMYFUNCTION("""COMPUTED_VALUE"""),"Strnad, Justin")</f>
        <v>Strnad, Justin</v>
      </c>
      <c r="C1041" s="60" t="str">
        <f>IFERROR(__xludf.DUMMYFUNCTION("""COMPUTED_VALUE"""),"LB")</f>
        <v>LB</v>
      </c>
      <c r="D1041" s="60" t="str">
        <f>IFERROR(__xludf.DUMMYFUNCTION("""COMPUTED_VALUE"""),"DEN")</f>
        <v>DEN</v>
      </c>
      <c r="E1041" s="62" t="str">
        <f t="shared" si="4"/>
        <v>Justin Strnad</v>
      </c>
      <c r="F1041" s="62">
        <f t="shared" ref="F1041:G1041" si="2081">IF(isblank(F$1),,IF(isblank($A1041),,IFERROR(vlookup($A1041,indirect("'TVC-"&amp;text(month(F$1),"00")&amp;"'!$A:$D"),4,false),1)))</f>
        <v>1</v>
      </c>
      <c r="G1041" s="62">
        <f t="shared" si="2081"/>
        <v>1</v>
      </c>
      <c r="H1041" s="62">
        <f t="shared" ref="H1041:Q1041" si="2082">IF(isblank(H$1),,IFERROR(vlookup($A1041,indirect("'TVC-"&amp;text(month(H$1),"00")&amp;"'!$A:$D"),4,false),1))</f>
        <v>1</v>
      </c>
      <c r="I1041" s="62">
        <f t="shared" si="2082"/>
        <v>1</v>
      </c>
      <c r="J1041" s="62">
        <f t="shared" si="2082"/>
        <v>1</v>
      </c>
      <c r="K1041" s="62">
        <f t="shared" si="2082"/>
        <v>1</v>
      </c>
      <c r="L1041" s="62">
        <f t="shared" si="2082"/>
        <v>1</v>
      </c>
      <c r="M1041" s="62">
        <f t="shared" si="2082"/>
        <v>1</v>
      </c>
      <c r="N1041" s="62">
        <f t="shared" si="2082"/>
        <v>1</v>
      </c>
      <c r="O1041" s="62">
        <f t="shared" si="2082"/>
        <v>1</v>
      </c>
      <c r="P1041" s="62" t="str">
        <f t="shared" si="2082"/>
        <v/>
      </c>
      <c r="Q1041" s="62" t="str">
        <f t="shared" si="2082"/>
        <v/>
      </c>
      <c r="R1041" s="62">
        <f t="shared" si="7"/>
        <v>0</v>
      </c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</row>
    <row r="1042" hidden="1">
      <c r="A1042" s="60">
        <f>IFERROR(__xludf.DUMMYFUNCTION("""COMPUTED_VALUE"""),14982.0)</f>
        <v>14982</v>
      </c>
      <c r="B1042" s="60" t="str">
        <f>IFERROR(__xludf.DUMMYFUNCTION("""COMPUTED_VALUE"""),"Gilman, Alohi")</f>
        <v>Gilman, Alohi</v>
      </c>
      <c r="C1042" s="60" t="str">
        <f>IFERROR(__xludf.DUMMYFUNCTION("""COMPUTED_VALUE"""),"S")</f>
        <v>S</v>
      </c>
      <c r="D1042" s="60" t="str">
        <f>IFERROR(__xludf.DUMMYFUNCTION("""COMPUTED_VALUE"""),"KCC")</f>
        <v>KCC</v>
      </c>
      <c r="E1042" s="62" t="str">
        <f t="shared" si="4"/>
        <v>Alohi Gilman</v>
      </c>
      <c r="F1042" s="62">
        <f t="shared" ref="F1042:G1042" si="2083">IF(isblank(F$1),,IF(isblank($A1042),,IFERROR(vlookup($A1042,indirect("'TVC-"&amp;text(month(F$1),"00")&amp;"'!$A:$D"),4,false),1)))</f>
        <v>1</v>
      </c>
      <c r="G1042" s="62">
        <f t="shared" si="2083"/>
        <v>1</v>
      </c>
      <c r="H1042" s="62">
        <f t="shared" ref="H1042:Q1042" si="2084">IF(isblank(H$1),,IFERROR(vlookup($A1042,indirect("'TVC-"&amp;text(month(H$1),"00")&amp;"'!$A:$D"),4,false),1))</f>
        <v>1</v>
      </c>
      <c r="I1042" s="62">
        <f t="shared" si="2084"/>
        <v>1</v>
      </c>
      <c r="J1042" s="62">
        <f t="shared" si="2084"/>
        <v>1</v>
      </c>
      <c r="K1042" s="62">
        <f t="shared" si="2084"/>
        <v>1</v>
      </c>
      <c r="L1042" s="62">
        <f t="shared" si="2084"/>
        <v>1</v>
      </c>
      <c r="M1042" s="62">
        <f t="shared" si="2084"/>
        <v>1</v>
      </c>
      <c r="N1042" s="62">
        <f t="shared" si="2084"/>
        <v>1</v>
      </c>
      <c r="O1042" s="62">
        <f t="shared" si="2084"/>
        <v>1</v>
      </c>
      <c r="P1042" s="62" t="str">
        <f t="shared" si="2084"/>
        <v/>
      </c>
      <c r="Q1042" s="62" t="str">
        <f t="shared" si="2084"/>
        <v/>
      </c>
      <c r="R1042" s="62">
        <f t="shared" si="7"/>
        <v>0</v>
      </c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</row>
    <row r="1043" hidden="1">
      <c r="A1043" s="60">
        <f>IFERROR(__xludf.DUMMYFUNCTION("""COMPUTED_VALUE"""),14983.0)</f>
        <v>14983</v>
      </c>
      <c r="B1043" s="60" t="str">
        <f>IFERROR(__xludf.DUMMYFUNCTION("""COMPUTED_VALUE"""),"Bass, Tyler")</f>
        <v>Bass, Tyler</v>
      </c>
      <c r="C1043" s="60" t="str">
        <f>IFERROR(__xludf.DUMMYFUNCTION("""COMPUTED_VALUE"""),"PK")</f>
        <v>PK</v>
      </c>
      <c r="D1043" s="60" t="str">
        <f>IFERROR(__xludf.DUMMYFUNCTION("""COMPUTED_VALUE"""),"BUF")</f>
        <v>BUF</v>
      </c>
      <c r="E1043" s="62" t="str">
        <f t="shared" si="4"/>
        <v>Tyler Bass</v>
      </c>
      <c r="F1043" s="62">
        <f t="shared" ref="F1043:G1043" si="2085">IF(isblank(F$1),,IF(isblank($A1043),,IFERROR(vlookup($A1043,indirect("'TVC-"&amp;text(month(F$1),"00")&amp;"'!$A:$D"),4,false),1)))</f>
        <v>1</v>
      </c>
      <c r="G1043" s="62">
        <f t="shared" si="2085"/>
        <v>1</v>
      </c>
      <c r="H1043" s="62">
        <f t="shared" ref="H1043:Q1043" si="2086">IF(isblank(H$1),,IFERROR(vlookup($A1043,indirect("'TVC-"&amp;text(month(H$1),"00")&amp;"'!$A:$D"),4,false),1))</f>
        <v>1</v>
      </c>
      <c r="I1043" s="62">
        <f t="shared" si="2086"/>
        <v>1</v>
      </c>
      <c r="J1043" s="62">
        <f t="shared" si="2086"/>
        <v>1</v>
      </c>
      <c r="K1043" s="62">
        <f t="shared" si="2086"/>
        <v>1</v>
      </c>
      <c r="L1043" s="62">
        <f t="shared" si="2086"/>
        <v>1</v>
      </c>
      <c r="M1043" s="62">
        <f t="shared" si="2086"/>
        <v>1</v>
      </c>
      <c r="N1043" s="62">
        <f t="shared" si="2086"/>
        <v>1</v>
      </c>
      <c r="O1043" s="62">
        <f t="shared" si="2086"/>
        <v>1</v>
      </c>
      <c r="P1043" s="62" t="str">
        <f t="shared" si="2086"/>
        <v/>
      </c>
      <c r="Q1043" s="62" t="str">
        <f t="shared" si="2086"/>
        <v/>
      </c>
      <c r="R1043" s="62">
        <f t="shared" si="7"/>
        <v>0</v>
      </c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</row>
    <row r="1044" hidden="1">
      <c r="A1044" s="60">
        <f>IFERROR(__xludf.DUMMYFUNCTION("""COMPUTED_VALUE"""),14984.0)</f>
        <v>14984</v>
      </c>
      <c r="B1044" s="60" t="str">
        <f>IFERROR(__xludf.DUMMYFUNCTION("""COMPUTED_VALUE"""),"Woerner, Charlie")</f>
        <v>Woerner, Charlie</v>
      </c>
      <c r="C1044" s="60" t="str">
        <f>IFERROR(__xludf.DUMMYFUNCTION("""COMPUTED_VALUE"""),"TE")</f>
        <v>TE</v>
      </c>
      <c r="D1044" s="60" t="str">
        <f>IFERROR(__xludf.DUMMYFUNCTION("""COMPUTED_VALUE"""),"ATL")</f>
        <v>ATL</v>
      </c>
      <c r="E1044" s="62" t="str">
        <f t="shared" si="4"/>
        <v>Charlie Woerner</v>
      </c>
      <c r="F1044" s="62">
        <f t="shared" ref="F1044:G1044" si="2087">IF(isblank(F$1),,IF(isblank($A1044),,IFERROR(vlookup($A1044,indirect("'TVC-"&amp;text(month(F$1),"00")&amp;"'!$A:$D"),4,false),1)))</f>
        <v>1</v>
      </c>
      <c r="G1044" s="62">
        <f t="shared" si="2087"/>
        <v>1</v>
      </c>
      <c r="H1044" s="62">
        <f t="shared" ref="H1044:Q1044" si="2088">IF(isblank(H$1),,IFERROR(vlookup($A1044,indirect("'TVC-"&amp;text(month(H$1),"00")&amp;"'!$A:$D"),4,false),1))</f>
        <v>1</v>
      </c>
      <c r="I1044" s="62">
        <f t="shared" si="2088"/>
        <v>1</v>
      </c>
      <c r="J1044" s="62">
        <f t="shared" si="2088"/>
        <v>1</v>
      </c>
      <c r="K1044" s="62">
        <f t="shared" si="2088"/>
        <v>1</v>
      </c>
      <c r="L1044" s="62">
        <f t="shared" si="2088"/>
        <v>1</v>
      </c>
      <c r="M1044" s="62">
        <f t="shared" si="2088"/>
        <v>1</v>
      </c>
      <c r="N1044" s="62">
        <f t="shared" si="2088"/>
        <v>1</v>
      </c>
      <c r="O1044" s="62">
        <f t="shared" si="2088"/>
        <v>1</v>
      </c>
      <c r="P1044" s="62" t="str">
        <f t="shared" si="2088"/>
        <v/>
      </c>
      <c r="Q1044" s="62" t="str">
        <f t="shared" si="2088"/>
        <v/>
      </c>
      <c r="R1044" s="62">
        <f t="shared" si="7"/>
        <v>0</v>
      </c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</row>
    <row r="1045" hidden="1">
      <c r="A1045" s="60">
        <f>IFERROR(__xludf.DUMMYFUNCTION("""COMPUTED_VALUE"""),14985.0)</f>
        <v>14985</v>
      </c>
      <c r="B1045" s="60" t="str">
        <f>IFERROR(__xludf.DUMMYFUNCTION("""COMPUTED_VALUE"""),"Mann, Braden")</f>
        <v>Mann, Braden</v>
      </c>
      <c r="C1045" s="60" t="str">
        <f>IFERROR(__xludf.DUMMYFUNCTION("""COMPUTED_VALUE"""),"PN")</f>
        <v>PN</v>
      </c>
      <c r="D1045" s="60" t="str">
        <f>IFERROR(__xludf.DUMMYFUNCTION("""COMPUTED_VALUE"""),"PHI")</f>
        <v>PHI</v>
      </c>
      <c r="E1045" s="62" t="str">
        <f t="shared" si="4"/>
        <v>Braden Mann</v>
      </c>
      <c r="F1045" s="62">
        <f t="shared" ref="F1045:G1045" si="2089">IF(isblank(F$1),,IF(isblank($A1045),,IFERROR(vlookup($A1045,indirect("'TVC-"&amp;text(month(F$1),"00")&amp;"'!$A:$D"),4,false),1)))</f>
        <v>1</v>
      </c>
      <c r="G1045" s="62">
        <f t="shared" si="2089"/>
        <v>1</v>
      </c>
      <c r="H1045" s="62">
        <f t="shared" ref="H1045:Q1045" si="2090">IF(isblank(H$1),,IFERROR(vlookup($A1045,indirect("'TVC-"&amp;text(month(H$1),"00")&amp;"'!$A:$D"),4,false),1))</f>
        <v>1</v>
      </c>
      <c r="I1045" s="62">
        <f t="shared" si="2090"/>
        <v>1</v>
      </c>
      <c r="J1045" s="62">
        <f t="shared" si="2090"/>
        <v>1</v>
      </c>
      <c r="K1045" s="62">
        <f t="shared" si="2090"/>
        <v>1</v>
      </c>
      <c r="L1045" s="62">
        <f t="shared" si="2090"/>
        <v>1</v>
      </c>
      <c r="M1045" s="62">
        <f t="shared" si="2090"/>
        <v>1</v>
      </c>
      <c r="N1045" s="62">
        <f t="shared" si="2090"/>
        <v>1</v>
      </c>
      <c r="O1045" s="62">
        <f t="shared" si="2090"/>
        <v>1</v>
      </c>
      <c r="P1045" s="62" t="str">
        <f t="shared" si="2090"/>
        <v/>
      </c>
      <c r="Q1045" s="62" t="str">
        <f t="shared" si="2090"/>
        <v/>
      </c>
      <c r="R1045" s="62">
        <f t="shared" si="7"/>
        <v>0</v>
      </c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</row>
    <row r="1046" hidden="1">
      <c r="A1046" s="60">
        <f>IFERROR(__xludf.DUMMYFUNCTION("""COMPUTED_VALUE"""),14991.0)</f>
        <v>14991</v>
      </c>
      <c r="B1046" s="60" t="str">
        <f>IFERROR(__xludf.DUMMYFUNCTION("""COMPUTED_VALUE"""),"Fuller, Jordan")</f>
        <v>Fuller, Jordan</v>
      </c>
      <c r="C1046" s="60" t="str">
        <f>IFERROR(__xludf.DUMMYFUNCTION("""COMPUTED_VALUE"""),"S")</f>
        <v>S</v>
      </c>
      <c r="D1046" s="60" t="str">
        <f>IFERROR(__xludf.DUMMYFUNCTION("""COMPUTED_VALUE"""),"ATL")</f>
        <v>ATL</v>
      </c>
      <c r="E1046" s="62" t="str">
        <f t="shared" si="4"/>
        <v>Jordan Fuller</v>
      </c>
      <c r="F1046" s="62">
        <f t="shared" ref="F1046:G1046" si="2091">IF(isblank(F$1),,IF(isblank($A1046),,IFERROR(vlookup($A1046,indirect("'TVC-"&amp;text(month(F$1),"00")&amp;"'!$A:$D"),4,false),1)))</f>
        <v>1</v>
      </c>
      <c r="G1046" s="62">
        <f t="shared" si="2091"/>
        <v>1</v>
      </c>
      <c r="H1046" s="62">
        <f t="shared" ref="H1046:Q1046" si="2092">IF(isblank(H$1),,IFERROR(vlookup($A1046,indirect("'TVC-"&amp;text(month(H$1),"00")&amp;"'!$A:$D"),4,false),1))</f>
        <v>1</v>
      </c>
      <c r="I1046" s="62">
        <f t="shared" si="2092"/>
        <v>1</v>
      </c>
      <c r="J1046" s="62">
        <f t="shared" si="2092"/>
        <v>1</v>
      </c>
      <c r="K1046" s="62">
        <f t="shared" si="2092"/>
        <v>1</v>
      </c>
      <c r="L1046" s="62">
        <f t="shared" si="2092"/>
        <v>1</v>
      </c>
      <c r="M1046" s="62">
        <f t="shared" si="2092"/>
        <v>1</v>
      </c>
      <c r="N1046" s="62">
        <f t="shared" si="2092"/>
        <v>1</v>
      </c>
      <c r="O1046" s="62">
        <f t="shared" si="2092"/>
        <v>1</v>
      </c>
      <c r="P1046" s="62" t="str">
        <f t="shared" si="2092"/>
        <v/>
      </c>
      <c r="Q1046" s="62" t="str">
        <f t="shared" si="2092"/>
        <v/>
      </c>
      <c r="R1046" s="62">
        <f t="shared" si="7"/>
        <v>0</v>
      </c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</row>
    <row r="1047" hidden="1">
      <c r="A1047" s="60">
        <f>IFERROR(__xludf.DUMMYFUNCTION("""COMPUTED_VALUE"""),14992.0)</f>
        <v>14992</v>
      </c>
      <c r="B1047" s="60" t="str">
        <f>IFERROR(__xludf.DUMMYFUNCTION("""COMPUTED_VALUE"""),"Watkins, Quez")</f>
        <v>Watkins, Quez</v>
      </c>
      <c r="C1047" s="60" t="str">
        <f>IFERROR(__xludf.DUMMYFUNCTION("""COMPUTED_VALUE"""),"WR")</f>
        <v>WR</v>
      </c>
      <c r="D1047" s="60" t="str">
        <f>IFERROR(__xludf.DUMMYFUNCTION("""COMPUTED_VALUE"""),"IND")</f>
        <v>IND</v>
      </c>
      <c r="E1047" s="62" t="str">
        <f t="shared" si="4"/>
        <v>Quez Watkins</v>
      </c>
      <c r="F1047" s="62">
        <f t="shared" ref="F1047:G1047" si="2093">IF(isblank(F$1),,IF(isblank($A1047),,IFERROR(vlookup($A1047,indirect("'TVC-"&amp;text(month(F$1),"00")&amp;"'!$A:$D"),4,false),1)))</f>
        <v>1</v>
      </c>
      <c r="G1047" s="62">
        <f t="shared" si="2093"/>
        <v>1</v>
      </c>
      <c r="H1047" s="62">
        <f t="shared" ref="H1047:Q1047" si="2094">IF(isblank(H$1),,IFERROR(vlookup($A1047,indirect("'TVC-"&amp;text(month(H$1),"00")&amp;"'!$A:$D"),4,false),1))</f>
        <v>1</v>
      </c>
      <c r="I1047" s="62">
        <f t="shared" si="2094"/>
        <v>1</v>
      </c>
      <c r="J1047" s="62">
        <f t="shared" si="2094"/>
        <v>1</v>
      </c>
      <c r="K1047" s="62">
        <f t="shared" si="2094"/>
        <v>1</v>
      </c>
      <c r="L1047" s="62">
        <f t="shared" si="2094"/>
        <v>1</v>
      </c>
      <c r="M1047" s="62">
        <f t="shared" si="2094"/>
        <v>1</v>
      </c>
      <c r="N1047" s="62">
        <f t="shared" si="2094"/>
        <v>1</v>
      </c>
      <c r="O1047" s="62">
        <f t="shared" si="2094"/>
        <v>1</v>
      </c>
      <c r="P1047" s="62" t="str">
        <f t="shared" si="2094"/>
        <v/>
      </c>
      <c r="Q1047" s="62" t="str">
        <f t="shared" si="2094"/>
        <v/>
      </c>
      <c r="R1047" s="62">
        <f t="shared" si="7"/>
        <v>0</v>
      </c>
      <c r="S1047" s="62"/>
      <c r="T1047" s="62"/>
      <c r="U1047" s="62"/>
      <c r="V1047" s="62"/>
      <c r="W1047" s="62"/>
      <c r="X1047" s="62"/>
      <c r="Y1047" s="62"/>
      <c r="Z1047" s="62"/>
      <c r="AA1047" s="62"/>
      <c r="AB1047" s="62"/>
      <c r="AC1047" s="62"/>
    </row>
    <row r="1048" hidden="1">
      <c r="A1048" s="60">
        <f>IFERROR(__xludf.DUMMYFUNCTION("""COMPUTED_VALUE"""),14995.0)</f>
        <v>14995</v>
      </c>
      <c r="B1048" s="60" t="str">
        <f>IFERROR(__xludf.DUMMYFUNCTION("""COMPUTED_VALUE"""),"Metellus, Josh")</f>
        <v>Metellus, Josh</v>
      </c>
      <c r="C1048" s="60" t="str">
        <f>IFERROR(__xludf.DUMMYFUNCTION("""COMPUTED_VALUE"""),"S")</f>
        <v>S</v>
      </c>
      <c r="D1048" s="60" t="str">
        <f>IFERROR(__xludf.DUMMYFUNCTION("""COMPUTED_VALUE"""),"MIN")</f>
        <v>MIN</v>
      </c>
      <c r="E1048" s="62" t="str">
        <f t="shared" si="4"/>
        <v>Josh Metellus</v>
      </c>
      <c r="F1048" s="62">
        <f t="shared" ref="F1048:G1048" si="2095">IF(isblank(F$1),,IF(isblank($A1048),,IFERROR(vlookup($A1048,indirect("'TVC-"&amp;text(month(F$1),"00")&amp;"'!$A:$D"),4,false),1)))</f>
        <v>1</v>
      </c>
      <c r="G1048" s="62">
        <f t="shared" si="2095"/>
        <v>1</v>
      </c>
      <c r="H1048" s="62">
        <f t="shared" ref="H1048:Q1048" si="2096">IF(isblank(H$1),,IFERROR(vlookup($A1048,indirect("'TVC-"&amp;text(month(H$1),"00")&amp;"'!$A:$D"),4,false),1))</f>
        <v>1</v>
      </c>
      <c r="I1048" s="62">
        <f t="shared" si="2096"/>
        <v>1</v>
      </c>
      <c r="J1048" s="62">
        <f t="shared" si="2096"/>
        <v>1</v>
      </c>
      <c r="K1048" s="62">
        <f t="shared" si="2096"/>
        <v>1</v>
      </c>
      <c r="L1048" s="62">
        <f t="shared" si="2096"/>
        <v>1</v>
      </c>
      <c r="M1048" s="62">
        <f t="shared" si="2096"/>
        <v>1</v>
      </c>
      <c r="N1048" s="62">
        <f t="shared" si="2096"/>
        <v>1</v>
      </c>
      <c r="O1048" s="62">
        <f t="shared" si="2096"/>
        <v>1</v>
      </c>
      <c r="P1048" s="62" t="str">
        <f t="shared" si="2096"/>
        <v/>
      </c>
      <c r="Q1048" s="62" t="str">
        <f t="shared" si="2096"/>
        <v/>
      </c>
      <c r="R1048" s="62">
        <f t="shared" si="7"/>
        <v>0</v>
      </c>
      <c r="S1048" s="62"/>
      <c r="T1048" s="62"/>
      <c r="U1048" s="62"/>
      <c r="V1048" s="62"/>
      <c r="W1048" s="62"/>
      <c r="X1048" s="62"/>
      <c r="Y1048" s="62"/>
      <c r="Z1048" s="62"/>
      <c r="AA1048" s="62"/>
      <c r="AB1048" s="62"/>
      <c r="AC1048" s="62"/>
    </row>
    <row r="1049" hidden="1">
      <c r="A1049" s="60">
        <f>IFERROR(__xludf.DUMMYFUNCTION("""COMPUTED_VALUE"""),14997.0)</f>
        <v>14997</v>
      </c>
      <c r="B1049" s="60" t="str">
        <f>IFERROR(__xludf.DUMMYFUNCTION("""COMPUTED_VALUE"""),"Rodgers, Isaiah")</f>
        <v>Rodgers, Isaiah</v>
      </c>
      <c r="C1049" s="60" t="str">
        <f>IFERROR(__xludf.DUMMYFUNCTION("""COMPUTED_VALUE"""),"CB")</f>
        <v>CB</v>
      </c>
      <c r="D1049" s="60" t="str">
        <f>IFERROR(__xludf.DUMMYFUNCTION("""COMPUTED_VALUE"""),"MIN")</f>
        <v>MIN</v>
      </c>
      <c r="E1049" s="62" t="str">
        <f t="shared" si="4"/>
        <v>Isaiah Rodgers</v>
      </c>
      <c r="F1049" s="62">
        <f t="shared" ref="F1049:G1049" si="2097">IF(isblank(F$1),,IF(isblank($A1049),,IFERROR(vlookup($A1049,indirect("'TVC-"&amp;text(month(F$1),"00")&amp;"'!$A:$D"),4,false),1)))</f>
        <v>1</v>
      </c>
      <c r="G1049" s="62">
        <f t="shared" si="2097"/>
        <v>1</v>
      </c>
      <c r="H1049" s="62">
        <f t="shared" ref="H1049:Q1049" si="2098">IF(isblank(H$1),,IFERROR(vlookup($A1049,indirect("'TVC-"&amp;text(month(H$1),"00")&amp;"'!$A:$D"),4,false),1))</f>
        <v>1</v>
      </c>
      <c r="I1049" s="62">
        <f t="shared" si="2098"/>
        <v>1</v>
      </c>
      <c r="J1049" s="62">
        <f t="shared" si="2098"/>
        <v>1</v>
      </c>
      <c r="K1049" s="62">
        <f t="shared" si="2098"/>
        <v>1</v>
      </c>
      <c r="L1049" s="62">
        <f t="shared" si="2098"/>
        <v>1</v>
      </c>
      <c r="M1049" s="62">
        <f t="shared" si="2098"/>
        <v>1</v>
      </c>
      <c r="N1049" s="62">
        <f t="shared" si="2098"/>
        <v>1</v>
      </c>
      <c r="O1049" s="62">
        <f t="shared" si="2098"/>
        <v>1</v>
      </c>
      <c r="P1049" s="62" t="str">
        <f t="shared" si="2098"/>
        <v/>
      </c>
      <c r="Q1049" s="62" t="str">
        <f t="shared" si="2098"/>
        <v/>
      </c>
      <c r="R1049" s="62">
        <f t="shared" si="7"/>
        <v>0</v>
      </c>
      <c r="S1049" s="62"/>
      <c r="T1049" s="62"/>
      <c r="U1049" s="62"/>
      <c r="V1049" s="62"/>
      <c r="W1049" s="62"/>
      <c r="X1049" s="62"/>
      <c r="Y1049" s="62"/>
      <c r="Z1049" s="62"/>
      <c r="AA1049" s="62"/>
      <c r="AB1049" s="62"/>
      <c r="AC1049" s="62"/>
    </row>
    <row r="1050" hidden="1">
      <c r="A1050" s="60">
        <f>IFERROR(__xludf.DUMMYFUNCTION("""COMPUTED_VALUE"""),15001.0)</f>
        <v>15001</v>
      </c>
      <c r="B1050" s="60" t="str">
        <f>IFERROR(__xludf.DUMMYFUNCTION("""COMPUTED_VALUE"""),"Curl, Kamren")</f>
        <v>Curl, Kamren</v>
      </c>
      <c r="C1050" s="60" t="str">
        <f>IFERROR(__xludf.DUMMYFUNCTION("""COMPUTED_VALUE"""),"S")</f>
        <v>S</v>
      </c>
      <c r="D1050" s="60" t="str">
        <f>IFERROR(__xludf.DUMMYFUNCTION("""COMPUTED_VALUE"""),"LAR")</f>
        <v>LAR</v>
      </c>
      <c r="E1050" s="62" t="str">
        <f t="shared" si="4"/>
        <v>Kamren Curl</v>
      </c>
      <c r="F1050" s="62">
        <f t="shared" ref="F1050:G1050" si="2099">IF(isblank(F$1),,IF(isblank($A1050),,IFERROR(vlookup($A1050,indirect("'TVC-"&amp;text(month(F$1),"00")&amp;"'!$A:$D"),4,false),1)))</f>
        <v>1</v>
      </c>
      <c r="G1050" s="62">
        <f t="shared" si="2099"/>
        <v>1</v>
      </c>
      <c r="H1050" s="62">
        <f t="shared" ref="H1050:Q1050" si="2100">IF(isblank(H$1),,IFERROR(vlookup($A1050,indirect("'TVC-"&amp;text(month(H$1),"00")&amp;"'!$A:$D"),4,false),1))</f>
        <v>1</v>
      </c>
      <c r="I1050" s="62">
        <f t="shared" si="2100"/>
        <v>1</v>
      </c>
      <c r="J1050" s="62">
        <f t="shared" si="2100"/>
        <v>1</v>
      </c>
      <c r="K1050" s="62">
        <f t="shared" si="2100"/>
        <v>1</v>
      </c>
      <c r="L1050" s="62">
        <f t="shared" si="2100"/>
        <v>1</v>
      </c>
      <c r="M1050" s="62">
        <f t="shared" si="2100"/>
        <v>1</v>
      </c>
      <c r="N1050" s="62">
        <f t="shared" si="2100"/>
        <v>1</v>
      </c>
      <c r="O1050" s="62">
        <f t="shared" si="2100"/>
        <v>1</v>
      </c>
      <c r="P1050" s="62" t="str">
        <f t="shared" si="2100"/>
        <v/>
      </c>
      <c r="Q1050" s="62" t="str">
        <f t="shared" si="2100"/>
        <v/>
      </c>
      <c r="R1050" s="62">
        <f t="shared" si="7"/>
        <v>0</v>
      </c>
      <c r="S1050" s="62"/>
      <c r="T1050" s="62"/>
      <c r="U1050" s="62"/>
      <c r="V1050" s="62"/>
      <c r="W1050" s="62"/>
      <c r="X1050" s="62"/>
      <c r="Y1050" s="62"/>
      <c r="Z1050" s="62"/>
      <c r="AA1050" s="62"/>
      <c r="AB1050" s="62"/>
      <c r="AC1050" s="62"/>
    </row>
    <row r="1051" hidden="1">
      <c r="A1051" s="60">
        <f>IFERROR(__xludf.DUMMYFUNCTION("""COMPUTED_VALUE"""),15003.0)</f>
        <v>15003</v>
      </c>
      <c r="B1051" s="60" t="str">
        <f>IFERROR(__xludf.DUMMYFUNCTION("""COMPUTED_VALUE"""),"Stone, Geno")</f>
        <v>Stone, Geno</v>
      </c>
      <c r="C1051" s="60" t="str">
        <f>IFERROR(__xludf.DUMMYFUNCTION("""COMPUTED_VALUE"""),"S")</f>
        <v>S</v>
      </c>
      <c r="D1051" s="60" t="str">
        <f>IFERROR(__xludf.DUMMYFUNCTION("""COMPUTED_VALUE"""),"BUF")</f>
        <v>BUF</v>
      </c>
      <c r="E1051" s="62" t="str">
        <f t="shared" si="4"/>
        <v>Geno Stone</v>
      </c>
      <c r="F1051" s="62">
        <f t="shared" ref="F1051:G1051" si="2101">IF(isblank(F$1),,IF(isblank($A1051),,IFERROR(vlookup($A1051,indirect("'TVC-"&amp;text(month(F$1),"00")&amp;"'!$A:$D"),4,false),1)))</f>
        <v>1</v>
      </c>
      <c r="G1051" s="62">
        <f t="shared" si="2101"/>
        <v>1</v>
      </c>
      <c r="H1051" s="62">
        <f t="shared" ref="H1051:Q1051" si="2102">IF(isblank(H$1),,IFERROR(vlookup($A1051,indirect("'TVC-"&amp;text(month(H$1),"00")&amp;"'!$A:$D"),4,false),1))</f>
        <v>1</v>
      </c>
      <c r="I1051" s="62">
        <f t="shared" si="2102"/>
        <v>1</v>
      </c>
      <c r="J1051" s="62">
        <f t="shared" si="2102"/>
        <v>1</v>
      </c>
      <c r="K1051" s="62">
        <f t="shared" si="2102"/>
        <v>1</v>
      </c>
      <c r="L1051" s="62">
        <f t="shared" si="2102"/>
        <v>1</v>
      </c>
      <c r="M1051" s="62">
        <f t="shared" si="2102"/>
        <v>1</v>
      </c>
      <c r="N1051" s="62">
        <f t="shared" si="2102"/>
        <v>1</v>
      </c>
      <c r="O1051" s="62">
        <f t="shared" si="2102"/>
        <v>1</v>
      </c>
      <c r="P1051" s="62" t="str">
        <f t="shared" si="2102"/>
        <v/>
      </c>
      <c r="Q1051" s="62" t="str">
        <f t="shared" si="2102"/>
        <v/>
      </c>
      <c r="R1051" s="62">
        <f t="shared" si="7"/>
        <v>0</v>
      </c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</row>
    <row r="1052" hidden="1">
      <c r="A1052" s="60">
        <f>IFERROR(__xludf.DUMMYFUNCTION("""COMPUTED_VALUE"""),15016.0)</f>
        <v>15016</v>
      </c>
      <c r="B1052" s="60" t="str">
        <f>IFERROR(__xludf.DUMMYFUNCTION("""COMPUTED_VALUE"""),"Jackson, Dane")</f>
        <v>Jackson, Dane</v>
      </c>
      <c r="C1052" s="60" t="str">
        <f>IFERROR(__xludf.DUMMYFUNCTION("""COMPUTED_VALUE"""),"CB")</f>
        <v>CB</v>
      </c>
      <c r="D1052" s="60" t="str">
        <f>IFERROR(__xludf.DUMMYFUNCTION("""COMPUTED_VALUE"""),"FA")</f>
        <v>FA</v>
      </c>
      <c r="E1052" s="62" t="str">
        <f t="shared" si="4"/>
        <v>Dane Jackson</v>
      </c>
      <c r="F1052" s="62">
        <f t="shared" ref="F1052:G1052" si="2103">IF(isblank(F$1),,IF(isblank($A1052),,IFERROR(vlookup($A1052,indirect("'TVC-"&amp;text(month(F$1),"00")&amp;"'!$A:$D"),4,false),1)))</f>
        <v>1</v>
      </c>
      <c r="G1052" s="62">
        <f t="shared" si="2103"/>
        <v>1</v>
      </c>
      <c r="H1052" s="62">
        <f t="shared" ref="H1052:Q1052" si="2104">IF(isblank(H$1),,IFERROR(vlookup($A1052,indirect("'TVC-"&amp;text(month(H$1),"00")&amp;"'!$A:$D"),4,false),1))</f>
        <v>1</v>
      </c>
      <c r="I1052" s="62">
        <f t="shared" si="2104"/>
        <v>1</v>
      </c>
      <c r="J1052" s="62">
        <f t="shared" si="2104"/>
        <v>1</v>
      </c>
      <c r="K1052" s="62">
        <f t="shared" si="2104"/>
        <v>1</v>
      </c>
      <c r="L1052" s="62">
        <f t="shared" si="2104"/>
        <v>1</v>
      </c>
      <c r="M1052" s="62">
        <f t="shared" si="2104"/>
        <v>1</v>
      </c>
      <c r="N1052" s="62">
        <f t="shared" si="2104"/>
        <v>1</v>
      </c>
      <c r="O1052" s="62">
        <f t="shared" si="2104"/>
        <v>1</v>
      </c>
      <c r="P1052" s="62" t="str">
        <f t="shared" si="2104"/>
        <v/>
      </c>
      <c r="Q1052" s="62" t="str">
        <f t="shared" si="2104"/>
        <v/>
      </c>
      <c r="R1052" s="62">
        <f t="shared" si="7"/>
        <v>0</v>
      </c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</row>
    <row r="1053" hidden="1">
      <c r="A1053" s="60">
        <f>IFERROR(__xludf.DUMMYFUNCTION("""COMPUTED_VALUE"""),15032.0)</f>
        <v>15032</v>
      </c>
      <c r="B1053" s="60" t="str">
        <f>IFERROR(__xludf.DUMMYFUNCTION("""COMPUTED_VALUE"""),"Fox, Jack")</f>
        <v>Fox, Jack</v>
      </c>
      <c r="C1053" s="60" t="str">
        <f>IFERROR(__xludf.DUMMYFUNCTION("""COMPUTED_VALUE"""),"PN")</f>
        <v>PN</v>
      </c>
      <c r="D1053" s="60" t="str">
        <f>IFERROR(__xludf.DUMMYFUNCTION("""COMPUTED_VALUE"""),"DET")</f>
        <v>DET</v>
      </c>
      <c r="E1053" s="62" t="str">
        <f t="shared" si="4"/>
        <v>Jack Fox</v>
      </c>
      <c r="F1053" s="62">
        <f t="shared" ref="F1053:G1053" si="2105">IF(isblank(F$1),,IF(isblank($A1053),,IFERROR(vlookup($A1053,indirect("'TVC-"&amp;text(month(F$1),"00")&amp;"'!$A:$D"),4,false),1)))</f>
        <v>1</v>
      </c>
      <c r="G1053" s="62">
        <f t="shared" si="2105"/>
        <v>1</v>
      </c>
      <c r="H1053" s="62">
        <f t="shared" ref="H1053:Q1053" si="2106">IF(isblank(H$1),,IFERROR(vlookup($A1053,indirect("'TVC-"&amp;text(month(H$1),"00")&amp;"'!$A:$D"),4,false),1))</f>
        <v>1</v>
      </c>
      <c r="I1053" s="62">
        <f t="shared" si="2106"/>
        <v>1</v>
      </c>
      <c r="J1053" s="62">
        <f t="shared" si="2106"/>
        <v>1</v>
      </c>
      <c r="K1053" s="62">
        <f t="shared" si="2106"/>
        <v>1</v>
      </c>
      <c r="L1053" s="62">
        <f t="shared" si="2106"/>
        <v>1</v>
      </c>
      <c r="M1053" s="62">
        <f t="shared" si="2106"/>
        <v>1</v>
      </c>
      <c r="N1053" s="62">
        <f t="shared" si="2106"/>
        <v>1</v>
      </c>
      <c r="O1053" s="62">
        <f t="shared" si="2106"/>
        <v>1</v>
      </c>
      <c r="P1053" s="62" t="str">
        <f t="shared" si="2106"/>
        <v/>
      </c>
      <c r="Q1053" s="62" t="str">
        <f t="shared" si="2106"/>
        <v/>
      </c>
      <c r="R1053" s="62">
        <f t="shared" si="7"/>
        <v>0</v>
      </c>
      <c r="S1053" s="62"/>
      <c r="T1053" s="62"/>
      <c r="U1053" s="62"/>
      <c r="V1053" s="62"/>
      <c r="W1053" s="62"/>
      <c r="X1053" s="62"/>
      <c r="Y1053" s="62"/>
      <c r="Z1053" s="62"/>
      <c r="AA1053" s="62"/>
      <c r="AB1053" s="62"/>
      <c r="AC1053" s="62"/>
    </row>
    <row r="1054" hidden="1">
      <c r="A1054" s="60">
        <f>IFERROR(__xludf.DUMMYFUNCTION("""COMPUTED_VALUE"""),15035.0)</f>
        <v>15035</v>
      </c>
      <c r="B1054" s="60" t="str">
        <f>IFERROR(__xludf.DUMMYFUNCTION("""COMPUTED_VALUE"""),"Wolford, John")</f>
        <v>Wolford, John</v>
      </c>
      <c r="C1054" s="60" t="str">
        <f>IFERROR(__xludf.DUMMYFUNCTION("""COMPUTED_VALUE"""),"QB")</f>
        <v>QB</v>
      </c>
      <c r="D1054" s="60" t="str">
        <f>IFERROR(__xludf.DUMMYFUNCTION("""COMPUTED_VALUE"""),"MIN")</f>
        <v>MIN</v>
      </c>
      <c r="E1054" s="62" t="str">
        <f t="shared" si="4"/>
        <v>John Wolford</v>
      </c>
      <c r="F1054" s="62">
        <f t="shared" ref="F1054:G1054" si="2107">IF(isblank(F$1),,IF(isblank($A1054),,IFERROR(vlookup($A1054,indirect("'TVC-"&amp;text(month(F$1),"00")&amp;"'!$A:$D"),4,false),1)))</f>
        <v>1</v>
      </c>
      <c r="G1054" s="62">
        <f t="shared" si="2107"/>
        <v>1</v>
      </c>
      <c r="H1054" s="62">
        <f t="shared" ref="H1054:Q1054" si="2108">IF(isblank(H$1),,IFERROR(vlookup($A1054,indirect("'TVC-"&amp;text(month(H$1),"00")&amp;"'!$A:$D"),4,false),1))</f>
        <v>1</v>
      </c>
      <c r="I1054" s="62">
        <f t="shared" si="2108"/>
        <v>1</v>
      </c>
      <c r="J1054" s="62">
        <f t="shared" si="2108"/>
        <v>1</v>
      </c>
      <c r="K1054" s="62">
        <f t="shared" si="2108"/>
        <v>1</v>
      </c>
      <c r="L1054" s="62">
        <f t="shared" si="2108"/>
        <v>1</v>
      </c>
      <c r="M1054" s="62">
        <f t="shared" si="2108"/>
        <v>1</v>
      </c>
      <c r="N1054" s="62">
        <f t="shared" si="2108"/>
        <v>1</v>
      </c>
      <c r="O1054" s="62">
        <f t="shared" si="2108"/>
        <v>1</v>
      </c>
      <c r="P1054" s="62" t="str">
        <f t="shared" si="2108"/>
        <v/>
      </c>
      <c r="Q1054" s="62" t="str">
        <f t="shared" si="2108"/>
        <v/>
      </c>
      <c r="R1054" s="62">
        <f t="shared" si="7"/>
        <v>0</v>
      </c>
      <c r="S1054" s="62"/>
      <c r="T1054" s="62"/>
      <c r="U1054" s="62"/>
      <c r="V1054" s="62"/>
      <c r="W1054" s="62"/>
      <c r="X1054" s="62"/>
      <c r="Y1054" s="62"/>
      <c r="Z1054" s="62"/>
      <c r="AA1054" s="62"/>
      <c r="AB1054" s="62"/>
      <c r="AC1054" s="62"/>
    </row>
    <row r="1055" hidden="1">
      <c r="A1055" s="60">
        <f>IFERROR(__xludf.DUMMYFUNCTION("""COMPUTED_VALUE"""),15041.0)</f>
        <v>15041</v>
      </c>
      <c r="B1055" s="60" t="str">
        <f>IFERROR(__xludf.DUMMYFUNCTION("""COMPUTED_VALUE"""),"Cager, Lawrence")</f>
        <v>Cager, Lawrence</v>
      </c>
      <c r="C1055" s="60" t="str">
        <f>IFERROR(__xludf.DUMMYFUNCTION("""COMPUTED_VALUE"""),"TE")</f>
        <v>TE</v>
      </c>
      <c r="D1055" s="60" t="str">
        <f>IFERROR(__xludf.DUMMYFUNCTION("""COMPUTED_VALUE"""),"FA")</f>
        <v>FA</v>
      </c>
      <c r="E1055" s="62" t="str">
        <f t="shared" si="4"/>
        <v>Lawrence Cager</v>
      </c>
      <c r="F1055" s="62">
        <f t="shared" ref="F1055:G1055" si="2109">IF(isblank(F$1),,IF(isblank($A1055),,IFERROR(vlookup($A1055,indirect("'TVC-"&amp;text(month(F$1),"00")&amp;"'!$A:$D"),4,false),1)))</f>
        <v>1</v>
      </c>
      <c r="G1055" s="62">
        <f t="shared" si="2109"/>
        <v>1</v>
      </c>
      <c r="H1055" s="62">
        <f t="shared" ref="H1055:Q1055" si="2110">IF(isblank(H$1),,IFERROR(vlookup($A1055,indirect("'TVC-"&amp;text(month(H$1),"00")&amp;"'!$A:$D"),4,false),1))</f>
        <v>1</v>
      </c>
      <c r="I1055" s="62">
        <f t="shared" si="2110"/>
        <v>1</v>
      </c>
      <c r="J1055" s="62">
        <f t="shared" si="2110"/>
        <v>1</v>
      </c>
      <c r="K1055" s="62">
        <f t="shared" si="2110"/>
        <v>1</v>
      </c>
      <c r="L1055" s="62">
        <f t="shared" si="2110"/>
        <v>1</v>
      </c>
      <c r="M1055" s="62">
        <f t="shared" si="2110"/>
        <v>1</v>
      </c>
      <c r="N1055" s="62">
        <f t="shared" si="2110"/>
        <v>1</v>
      </c>
      <c r="O1055" s="62">
        <f t="shared" si="2110"/>
        <v>1</v>
      </c>
      <c r="P1055" s="62" t="str">
        <f t="shared" si="2110"/>
        <v/>
      </c>
      <c r="Q1055" s="62" t="str">
        <f t="shared" si="2110"/>
        <v/>
      </c>
      <c r="R1055" s="62">
        <f t="shared" si="7"/>
        <v>0</v>
      </c>
      <c r="S1055" s="62"/>
      <c r="T1055" s="62"/>
      <c r="U1055" s="62"/>
      <c r="V1055" s="62"/>
      <c r="W1055" s="62"/>
      <c r="X1055" s="62"/>
      <c r="Y1055" s="62"/>
      <c r="Z1055" s="62"/>
      <c r="AA1055" s="62"/>
      <c r="AB1055" s="62"/>
      <c r="AC1055" s="62"/>
    </row>
    <row r="1056" hidden="1">
      <c r="A1056" s="60">
        <f>IFERROR(__xludf.DUMMYFUNCTION("""COMPUTED_VALUE"""),15049.0)</f>
        <v>15049</v>
      </c>
      <c r="B1056" s="60" t="str">
        <f>IFERROR(__xludf.DUMMYFUNCTION("""COMPUTED_VALUE"""),"Bachie, Joe")</f>
        <v>Bachie, Joe</v>
      </c>
      <c r="C1056" s="60" t="str">
        <f>IFERROR(__xludf.DUMMYFUNCTION("""COMPUTED_VALUE"""),"LB")</f>
        <v>LB</v>
      </c>
      <c r="D1056" s="60" t="str">
        <f>IFERROR(__xludf.DUMMYFUNCTION("""COMPUTED_VALUE"""),"DET")</f>
        <v>DET</v>
      </c>
      <c r="E1056" s="62" t="str">
        <f t="shared" si="4"/>
        <v>Joe Bachie</v>
      </c>
      <c r="F1056" s="62">
        <f t="shared" ref="F1056:G1056" si="2111">IF(isblank(F$1),,IF(isblank($A1056),,IFERROR(vlookup($A1056,indirect("'TVC-"&amp;text(month(F$1),"00")&amp;"'!$A:$D"),4,false),1)))</f>
        <v>1</v>
      </c>
      <c r="G1056" s="62">
        <f t="shared" si="2111"/>
        <v>1</v>
      </c>
      <c r="H1056" s="62">
        <f t="shared" ref="H1056:Q1056" si="2112">IF(isblank(H$1),,IFERROR(vlookup($A1056,indirect("'TVC-"&amp;text(month(H$1),"00")&amp;"'!$A:$D"),4,false),1))</f>
        <v>1</v>
      </c>
      <c r="I1056" s="62">
        <f t="shared" si="2112"/>
        <v>1</v>
      </c>
      <c r="J1056" s="62">
        <f t="shared" si="2112"/>
        <v>1</v>
      </c>
      <c r="K1056" s="62">
        <f t="shared" si="2112"/>
        <v>1</v>
      </c>
      <c r="L1056" s="62">
        <f t="shared" si="2112"/>
        <v>1</v>
      </c>
      <c r="M1056" s="62">
        <f t="shared" si="2112"/>
        <v>1</v>
      </c>
      <c r="N1056" s="62">
        <f t="shared" si="2112"/>
        <v>1</v>
      </c>
      <c r="O1056" s="62">
        <f t="shared" si="2112"/>
        <v>1</v>
      </c>
      <c r="P1056" s="62" t="str">
        <f t="shared" si="2112"/>
        <v/>
      </c>
      <c r="Q1056" s="62" t="str">
        <f t="shared" si="2112"/>
        <v/>
      </c>
      <c r="R1056" s="62">
        <f t="shared" si="7"/>
        <v>0</v>
      </c>
      <c r="S1056" s="62"/>
      <c r="T1056" s="62"/>
      <c r="U1056" s="62"/>
      <c r="V1056" s="62"/>
      <c r="W1056" s="62"/>
      <c r="X1056" s="62"/>
      <c r="Y1056" s="62"/>
      <c r="Z1056" s="62"/>
      <c r="AA1056" s="62"/>
      <c r="AB1056" s="62"/>
      <c r="AC1056" s="62"/>
    </row>
    <row r="1057" hidden="1">
      <c r="A1057" s="60">
        <f>IFERROR(__xludf.DUMMYFUNCTION("""COMPUTED_VALUE"""),15051.0)</f>
        <v>15051</v>
      </c>
      <c r="B1057" s="60" t="str">
        <f>IFERROR(__xludf.DUMMYFUNCTION("""COMPUTED_VALUE"""),"Townsend, Tommy")</f>
        <v>Townsend, Tommy</v>
      </c>
      <c r="C1057" s="60" t="str">
        <f>IFERROR(__xludf.DUMMYFUNCTION("""COMPUTED_VALUE"""),"PN")</f>
        <v>PN</v>
      </c>
      <c r="D1057" s="60" t="str">
        <f>IFERROR(__xludf.DUMMYFUNCTION("""COMPUTED_VALUE"""),"TEN")</f>
        <v>TEN</v>
      </c>
      <c r="E1057" s="62" t="str">
        <f t="shared" si="4"/>
        <v>Tommy Townsend</v>
      </c>
      <c r="F1057" s="62">
        <f t="shared" ref="F1057:G1057" si="2113">IF(isblank(F$1),,IF(isblank($A1057),,IFERROR(vlookup($A1057,indirect("'TVC-"&amp;text(month(F$1),"00")&amp;"'!$A:$D"),4,false),1)))</f>
        <v>1</v>
      </c>
      <c r="G1057" s="62">
        <f t="shared" si="2113"/>
        <v>1</v>
      </c>
      <c r="H1057" s="62">
        <f t="shared" ref="H1057:Q1057" si="2114">IF(isblank(H$1),,IFERROR(vlookup($A1057,indirect("'TVC-"&amp;text(month(H$1),"00")&amp;"'!$A:$D"),4,false),1))</f>
        <v>1</v>
      </c>
      <c r="I1057" s="62">
        <f t="shared" si="2114"/>
        <v>1</v>
      </c>
      <c r="J1057" s="62">
        <f t="shared" si="2114"/>
        <v>1</v>
      </c>
      <c r="K1057" s="62">
        <f t="shared" si="2114"/>
        <v>1</v>
      </c>
      <c r="L1057" s="62">
        <f t="shared" si="2114"/>
        <v>1</v>
      </c>
      <c r="M1057" s="62">
        <f t="shared" si="2114"/>
        <v>1</v>
      </c>
      <c r="N1057" s="62">
        <f t="shared" si="2114"/>
        <v>1</v>
      </c>
      <c r="O1057" s="62">
        <f t="shared" si="2114"/>
        <v>1</v>
      </c>
      <c r="P1057" s="62" t="str">
        <f t="shared" si="2114"/>
        <v/>
      </c>
      <c r="Q1057" s="62" t="str">
        <f t="shared" si="2114"/>
        <v/>
      </c>
      <c r="R1057" s="62">
        <f t="shared" si="7"/>
        <v>0</v>
      </c>
      <c r="S1057" s="62"/>
      <c r="T1057" s="62"/>
      <c r="U1057" s="62"/>
      <c r="V1057" s="62"/>
      <c r="W1057" s="62"/>
      <c r="X1057" s="62"/>
      <c r="Y1057" s="62"/>
      <c r="Z1057" s="62"/>
      <c r="AA1057" s="62"/>
      <c r="AB1057" s="62"/>
      <c r="AC1057" s="62"/>
    </row>
    <row r="1058" hidden="1">
      <c r="A1058" s="60">
        <f>IFERROR(__xludf.DUMMYFUNCTION("""COMPUTED_VALUE"""),15076.0)</f>
        <v>15076</v>
      </c>
      <c r="B1058" s="60" t="str">
        <f>IFERROR(__xludf.DUMMYFUNCTION("""COMPUTED_VALUE"""),"Rozeboom, Christian")</f>
        <v>Rozeboom, Christian</v>
      </c>
      <c r="C1058" s="60" t="str">
        <f>IFERROR(__xludf.DUMMYFUNCTION("""COMPUTED_VALUE"""),"LB")</f>
        <v>LB</v>
      </c>
      <c r="D1058" s="60" t="str">
        <f>IFERROR(__xludf.DUMMYFUNCTION("""COMPUTED_VALUE"""),"TBB")</f>
        <v>TBB</v>
      </c>
      <c r="E1058" s="62" t="str">
        <f t="shared" si="4"/>
        <v>Christian Rozeboom</v>
      </c>
      <c r="F1058" s="62">
        <f t="shared" ref="F1058:G1058" si="2115">IF(isblank(F$1),,IF(isblank($A1058),,IFERROR(vlookup($A1058,indirect("'TVC-"&amp;text(month(F$1),"00")&amp;"'!$A:$D"),4,false),1)))</f>
        <v>1</v>
      </c>
      <c r="G1058" s="62">
        <f t="shared" si="2115"/>
        <v>1</v>
      </c>
      <c r="H1058" s="62">
        <f t="shared" ref="H1058:Q1058" si="2116">IF(isblank(H$1),,IFERROR(vlookup($A1058,indirect("'TVC-"&amp;text(month(H$1),"00")&amp;"'!$A:$D"),4,false),1))</f>
        <v>1</v>
      </c>
      <c r="I1058" s="62">
        <f t="shared" si="2116"/>
        <v>1</v>
      </c>
      <c r="J1058" s="62">
        <f t="shared" si="2116"/>
        <v>1</v>
      </c>
      <c r="K1058" s="62">
        <f t="shared" si="2116"/>
        <v>1</v>
      </c>
      <c r="L1058" s="62">
        <f t="shared" si="2116"/>
        <v>1</v>
      </c>
      <c r="M1058" s="62">
        <f t="shared" si="2116"/>
        <v>1</v>
      </c>
      <c r="N1058" s="62">
        <f t="shared" si="2116"/>
        <v>1</v>
      </c>
      <c r="O1058" s="62">
        <f t="shared" si="2116"/>
        <v>1</v>
      </c>
      <c r="P1058" s="62" t="str">
        <f t="shared" si="2116"/>
        <v/>
      </c>
      <c r="Q1058" s="62" t="str">
        <f t="shared" si="2116"/>
        <v/>
      </c>
      <c r="R1058" s="62">
        <f t="shared" si="7"/>
        <v>0</v>
      </c>
      <c r="S1058" s="62"/>
      <c r="T1058" s="62"/>
      <c r="U1058" s="62"/>
      <c r="V1058" s="62"/>
      <c r="W1058" s="62"/>
      <c r="X1058" s="62"/>
      <c r="Y1058" s="62"/>
      <c r="Z1058" s="62"/>
      <c r="AA1058" s="62"/>
      <c r="AB1058" s="62"/>
      <c r="AC1058" s="62"/>
    </row>
    <row r="1059" hidden="1">
      <c r="A1059" s="60">
        <f>IFERROR(__xludf.DUMMYFUNCTION("""COMPUTED_VALUE"""),15081.0)</f>
        <v>15081</v>
      </c>
      <c r="B1059" s="60" t="str">
        <f>IFERROR(__xludf.DUMMYFUNCTION("""COMPUTED_VALUE"""),"Wharton, Tershawn")</f>
        <v>Wharton, Tershawn</v>
      </c>
      <c r="C1059" s="60" t="str">
        <f>IFERROR(__xludf.DUMMYFUNCTION("""COMPUTED_VALUE"""),"DT")</f>
        <v>DT</v>
      </c>
      <c r="D1059" s="60" t="str">
        <f>IFERROR(__xludf.DUMMYFUNCTION("""COMPUTED_VALUE"""),"CAR")</f>
        <v>CAR</v>
      </c>
      <c r="E1059" s="62" t="str">
        <f t="shared" si="4"/>
        <v>Tershawn Wharton</v>
      </c>
      <c r="F1059" s="62">
        <f t="shared" ref="F1059:G1059" si="2117">IF(isblank(F$1),,IF(isblank($A1059),,IFERROR(vlookup($A1059,indirect("'TVC-"&amp;text(month(F$1),"00")&amp;"'!$A:$D"),4,false),1)))</f>
        <v>1</v>
      </c>
      <c r="G1059" s="62">
        <f t="shared" si="2117"/>
        <v>1</v>
      </c>
      <c r="H1059" s="62">
        <f t="shared" ref="H1059:Q1059" si="2118">IF(isblank(H$1),,IFERROR(vlookup($A1059,indirect("'TVC-"&amp;text(month(H$1),"00")&amp;"'!$A:$D"),4,false),1))</f>
        <v>1</v>
      </c>
      <c r="I1059" s="62">
        <f t="shared" si="2118"/>
        <v>1</v>
      </c>
      <c r="J1059" s="62">
        <f t="shared" si="2118"/>
        <v>1</v>
      </c>
      <c r="K1059" s="62">
        <f t="shared" si="2118"/>
        <v>1</v>
      </c>
      <c r="L1059" s="62">
        <f t="shared" si="2118"/>
        <v>1</v>
      </c>
      <c r="M1059" s="62">
        <f t="shared" si="2118"/>
        <v>1</v>
      </c>
      <c r="N1059" s="62">
        <f t="shared" si="2118"/>
        <v>1</v>
      </c>
      <c r="O1059" s="62">
        <f t="shared" si="2118"/>
        <v>1</v>
      </c>
      <c r="P1059" s="62" t="str">
        <f t="shared" si="2118"/>
        <v/>
      </c>
      <c r="Q1059" s="62" t="str">
        <f t="shared" si="2118"/>
        <v/>
      </c>
      <c r="R1059" s="62">
        <f t="shared" si="7"/>
        <v>0</v>
      </c>
      <c r="S1059" s="62"/>
      <c r="T1059" s="62"/>
      <c r="U1059" s="62"/>
      <c r="V1059" s="62"/>
      <c r="W1059" s="62"/>
      <c r="X1059" s="62"/>
      <c r="Y1059" s="62"/>
      <c r="Z1059" s="62"/>
      <c r="AA1059" s="62"/>
      <c r="AB1059" s="62"/>
      <c r="AC1059" s="62"/>
    </row>
    <row r="1060">
      <c r="A1060" s="60">
        <f>IFERROR(__xludf.DUMMYFUNCTION("""COMPUTED_VALUE"""),15082.0)</f>
        <v>15082</v>
      </c>
      <c r="B1060" s="60" t="str">
        <f>IFERROR(__xludf.DUMMYFUNCTION("""COMPUTED_VALUE"""),"Barnes, Krys")</f>
        <v>Barnes, Krys</v>
      </c>
      <c r="C1060" s="60" t="str">
        <f>IFERROR(__xludf.DUMMYFUNCTION("""COMPUTED_VALUE"""),"LB")</f>
        <v>LB</v>
      </c>
      <c r="D1060" s="60" t="str">
        <f>IFERROR(__xludf.DUMMYFUNCTION("""COMPUTED_VALUE"""),"CLE")</f>
        <v>CLE</v>
      </c>
      <c r="E1060" s="62" t="str">
        <f t="shared" si="4"/>
        <v>Krys Barnes</v>
      </c>
      <c r="F1060" s="62">
        <f t="shared" ref="F1060:G1060" si="2119">IF(isblank(F$1),,IF(isblank($A1060),,IFERROR(vlookup($A1060,indirect("'TVC-"&amp;text(month(F$1),"00")&amp;"'!$A:$D"),4,false),1)))</f>
        <v>1</v>
      </c>
      <c r="G1060" s="62">
        <f t="shared" si="2119"/>
        <v>1</v>
      </c>
      <c r="H1060" s="62">
        <f t="shared" ref="H1060:Q1060" si="2120">IF(isblank(H$1),,IFERROR(vlookup($A1060,indirect("'TVC-"&amp;text(month(H$1),"00")&amp;"'!$A:$D"),4,false),1))</f>
        <v>1</v>
      </c>
      <c r="I1060" s="62">
        <f t="shared" si="2120"/>
        <v>1</v>
      </c>
      <c r="J1060" s="62">
        <f t="shared" si="2120"/>
        <v>1</v>
      </c>
      <c r="K1060" s="62">
        <f t="shared" si="2120"/>
        <v>1</v>
      </c>
      <c r="L1060" s="62">
        <f t="shared" si="2120"/>
        <v>1</v>
      </c>
      <c r="M1060" s="62">
        <f t="shared" si="2120"/>
        <v>1</v>
      </c>
      <c r="N1060" s="62">
        <f t="shared" si="2120"/>
        <v>1</v>
      </c>
      <c r="O1060" s="62">
        <f t="shared" si="2120"/>
        <v>1</v>
      </c>
      <c r="P1060" s="62" t="str">
        <f t="shared" si="2120"/>
        <v/>
      </c>
      <c r="Q1060" s="62" t="str">
        <f t="shared" si="2120"/>
        <v/>
      </c>
      <c r="R1060" s="62">
        <f t="shared" si="7"/>
        <v>0</v>
      </c>
      <c r="S1060" s="62"/>
      <c r="T1060" s="62"/>
      <c r="U1060" s="62"/>
      <c r="V1060" s="62"/>
      <c r="W1060" s="62"/>
      <c r="X1060" s="62"/>
      <c r="Y1060" s="62"/>
      <c r="Z1060" s="62"/>
      <c r="AA1060" s="62"/>
      <c r="AB1060" s="62"/>
      <c r="AC1060" s="62"/>
    </row>
    <row r="1061" hidden="1">
      <c r="A1061" s="60">
        <f>IFERROR(__xludf.DUMMYFUNCTION("""COMPUTED_VALUE"""),15089.0)</f>
        <v>15089</v>
      </c>
      <c r="B1061" s="60" t="str">
        <f>IFERROR(__xludf.DUMMYFUNCTION("""COMPUTED_VALUE"""),"Roach, Malcolm")</f>
        <v>Roach, Malcolm</v>
      </c>
      <c r="C1061" s="60" t="str">
        <f>IFERROR(__xludf.DUMMYFUNCTION("""COMPUTED_VALUE"""),"DT")</f>
        <v>DT</v>
      </c>
      <c r="D1061" s="60" t="str">
        <f>IFERROR(__xludf.DUMMYFUNCTION("""COMPUTED_VALUE"""),"DEN")</f>
        <v>DEN</v>
      </c>
      <c r="E1061" s="62" t="str">
        <f t="shared" si="4"/>
        <v>Malcolm Roach</v>
      </c>
      <c r="F1061" s="62">
        <f t="shared" ref="F1061:G1061" si="2121">IF(isblank(F$1),,IF(isblank($A1061),,IFERROR(vlookup($A1061,indirect("'TVC-"&amp;text(month(F$1),"00")&amp;"'!$A:$D"),4,false),1)))</f>
        <v>1</v>
      </c>
      <c r="G1061" s="62">
        <f t="shared" si="2121"/>
        <v>1</v>
      </c>
      <c r="H1061" s="62">
        <f t="shared" ref="H1061:Q1061" si="2122">IF(isblank(H$1),,IFERROR(vlookup($A1061,indirect("'TVC-"&amp;text(month(H$1),"00")&amp;"'!$A:$D"),4,false),1))</f>
        <v>1</v>
      </c>
      <c r="I1061" s="62">
        <f t="shared" si="2122"/>
        <v>1</v>
      </c>
      <c r="J1061" s="62">
        <f t="shared" si="2122"/>
        <v>1</v>
      </c>
      <c r="K1061" s="62">
        <f t="shared" si="2122"/>
        <v>1</v>
      </c>
      <c r="L1061" s="62">
        <f t="shared" si="2122"/>
        <v>1</v>
      </c>
      <c r="M1061" s="62">
        <f t="shared" si="2122"/>
        <v>1</v>
      </c>
      <c r="N1061" s="62">
        <f t="shared" si="2122"/>
        <v>1</v>
      </c>
      <c r="O1061" s="62">
        <f t="shared" si="2122"/>
        <v>1</v>
      </c>
      <c r="P1061" s="62" t="str">
        <f t="shared" si="2122"/>
        <v/>
      </c>
      <c r="Q1061" s="62" t="str">
        <f t="shared" si="2122"/>
        <v/>
      </c>
      <c r="R1061" s="62">
        <f t="shared" si="7"/>
        <v>0</v>
      </c>
      <c r="S1061" s="62"/>
      <c r="T1061" s="62"/>
      <c r="U1061" s="62"/>
      <c r="V1061" s="62"/>
      <c r="W1061" s="62"/>
      <c r="X1061" s="62"/>
      <c r="Y1061" s="62"/>
      <c r="Z1061" s="62"/>
      <c r="AA1061" s="62"/>
      <c r="AB1061" s="62"/>
      <c r="AC1061" s="62"/>
    </row>
    <row r="1062" hidden="1">
      <c r="A1062" s="60">
        <f>IFERROR(__xludf.DUMMYFUNCTION("""COMPUTED_VALUE"""),15094.0)</f>
        <v>15094</v>
      </c>
      <c r="B1062" s="60" t="str">
        <f>IFERROR(__xludf.DUMMYFUNCTION("""COMPUTED_VALUE"""),"Locke, P.J.")</f>
        <v>Locke, P.J.</v>
      </c>
      <c r="C1062" s="60" t="str">
        <f>IFERROR(__xludf.DUMMYFUNCTION("""COMPUTED_VALUE"""),"S")</f>
        <v>S</v>
      </c>
      <c r="D1062" s="60" t="str">
        <f>IFERROR(__xludf.DUMMYFUNCTION("""COMPUTED_VALUE"""),"DAL")</f>
        <v>DAL</v>
      </c>
      <c r="E1062" s="62" t="str">
        <f t="shared" si="4"/>
        <v>P.J. Locke</v>
      </c>
      <c r="F1062" s="62">
        <f t="shared" ref="F1062:G1062" si="2123">IF(isblank(F$1),,IF(isblank($A1062),,IFERROR(vlookup($A1062,indirect("'TVC-"&amp;text(month(F$1),"00")&amp;"'!$A:$D"),4,false),1)))</f>
        <v>1</v>
      </c>
      <c r="G1062" s="62">
        <f t="shared" si="2123"/>
        <v>1</v>
      </c>
      <c r="H1062" s="62">
        <f t="shared" ref="H1062:Q1062" si="2124">IF(isblank(H$1),,IFERROR(vlookup($A1062,indirect("'TVC-"&amp;text(month(H$1),"00")&amp;"'!$A:$D"),4,false),1))</f>
        <v>1</v>
      </c>
      <c r="I1062" s="62">
        <f t="shared" si="2124"/>
        <v>1</v>
      </c>
      <c r="J1062" s="62">
        <f t="shared" si="2124"/>
        <v>1</v>
      </c>
      <c r="K1062" s="62">
        <f t="shared" si="2124"/>
        <v>1</v>
      </c>
      <c r="L1062" s="62">
        <f t="shared" si="2124"/>
        <v>1</v>
      </c>
      <c r="M1062" s="62">
        <f t="shared" si="2124"/>
        <v>1</v>
      </c>
      <c r="N1062" s="62">
        <f t="shared" si="2124"/>
        <v>1</v>
      </c>
      <c r="O1062" s="62">
        <f t="shared" si="2124"/>
        <v>1</v>
      </c>
      <c r="P1062" s="62" t="str">
        <f t="shared" si="2124"/>
        <v/>
      </c>
      <c r="Q1062" s="62" t="str">
        <f t="shared" si="2124"/>
        <v/>
      </c>
      <c r="R1062" s="62">
        <f t="shared" si="7"/>
        <v>0</v>
      </c>
      <c r="S1062" s="62"/>
      <c r="T1062" s="62"/>
      <c r="U1062" s="62"/>
      <c r="V1062" s="62"/>
      <c r="W1062" s="62"/>
      <c r="X1062" s="62"/>
      <c r="Y1062" s="62"/>
      <c r="Z1062" s="62"/>
      <c r="AA1062" s="62"/>
      <c r="AB1062" s="62"/>
      <c r="AC1062" s="62"/>
    </row>
    <row r="1063" hidden="1">
      <c r="A1063" s="60">
        <f>IFERROR(__xludf.DUMMYFUNCTION("""COMPUTED_VALUE"""),15097.0)</f>
        <v>15097</v>
      </c>
      <c r="B1063" s="60" t="str">
        <f>IFERROR(__xludf.DUMMYFUNCTION("""COMPUTED_VALUE"""),"McKeon, Sean")</f>
        <v>McKeon, Sean</v>
      </c>
      <c r="C1063" s="60" t="str">
        <f>IFERROR(__xludf.DUMMYFUNCTION("""COMPUTED_VALUE"""),"TE")</f>
        <v>TE</v>
      </c>
      <c r="D1063" s="60" t="str">
        <f>IFERROR(__xludf.DUMMYFUNCTION("""COMPUTED_VALUE"""),"FA")</f>
        <v>FA</v>
      </c>
      <c r="E1063" s="62" t="str">
        <f t="shared" si="4"/>
        <v>Sean McKeon</v>
      </c>
      <c r="F1063" s="62">
        <f t="shared" ref="F1063:G1063" si="2125">IF(isblank(F$1),,IF(isblank($A1063),,IFERROR(vlookup($A1063,indirect("'TVC-"&amp;text(month(F$1),"00")&amp;"'!$A:$D"),4,false),1)))</f>
        <v>1</v>
      </c>
      <c r="G1063" s="62">
        <f t="shared" si="2125"/>
        <v>1</v>
      </c>
      <c r="H1063" s="62">
        <f t="shared" ref="H1063:Q1063" si="2126">IF(isblank(H$1),,IFERROR(vlookup($A1063,indirect("'TVC-"&amp;text(month(H$1),"00")&amp;"'!$A:$D"),4,false),1))</f>
        <v>1</v>
      </c>
      <c r="I1063" s="62">
        <f t="shared" si="2126"/>
        <v>1</v>
      </c>
      <c r="J1063" s="62">
        <f t="shared" si="2126"/>
        <v>1</v>
      </c>
      <c r="K1063" s="62">
        <f t="shared" si="2126"/>
        <v>1</v>
      </c>
      <c r="L1063" s="62">
        <f t="shared" si="2126"/>
        <v>1</v>
      </c>
      <c r="M1063" s="62">
        <f t="shared" si="2126"/>
        <v>1</v>
      </c>
      <c r="N1063" s="62">
        <f t="shared" si="2126"/>
        <v>1</v>
      </c>
      <c r="O1063" s="62">
        <f t="shared" si="2126"/>
        <v>1</v>
      </c>
      <c r="P1063" s="62" t="str">
        <f t="shared" si="2126"/>
        <v/>
      </c>
      <c r="Q1063" s="62" t="str">
        <f t="shared" si="2126"/>
        <v/>
      </c>
      <c r="R1063" s="62">
        <f t="shared" si="7"/>
        <v>0</v>
      </c>
      <c r="S1063" s="62"/>
      <c r="T1063" s="62"/>
      <c r="U1063" s="62"/>
      <c r="V1063" s="62"/>
      <c r="W1063" s="62"/>
      <c r="X1063" s="62"/>
      <c r="Y1063" s="62"/>
      <c r="Z1063" s="62"/>
      <c r="AA1063" s="62"/>
      <c r="AB1063" s="62"/>
      <c r="AC1063" s="62"/>
    </row>
    <row r="1064" hidden="1">
      <c r="A1064" s="60">
        <f>IFERROR(__xludf.DUMMYFUNCTION("""COMPUTED_VALUE"""),15103.0)</f>
        <v>15103</v>
      </c>
      <c r="B1064" s="60" t="str">
        <f>IFERROR(__xludf.DUMMYFUNCTION("""COMPUTED_VALUE"""),"Gilliam, Reggie")</f>
        <v>Gilliam, Reggie</v>
      </c>
      <c r="C1064" s="60" t="str">
        <f>IFERROR(__xludf.DUMMYFUNCTION("""COMPUTED_VALUE"""),"RB")</f>
        <v>RB</v>
      </c>
      <c r="D1064" s="60" t="str">
        <f>IFERROR(__xludf.DUMMYFUNCTION("""COMPUTED_VALUE"""),"NEP")</f>
        <v>NEP</v>
      </c>
      <c r="E1064" s="62" t="str">
        <f t="shared" si="4"/>
        <v>Reggie Gilliam</v>
      </c>
      <c r="F1064" s="62">
        <f t="shared" ref="F1064:G1064" si="2127">IF(isblank(F$1),,IF(isblank($A1064),,IFERROR(vlookup($A1064,indirect("'TVC-"&amp;text(month(F$1),"00")&amp;"'!$A:$D"),4,false),1)))</f>
        <v>1</v>
      </c>
      <c r="G1064" s="62">
        <f t="shared" si="2127"/>
        <v>1</v>
      </c>
      <c r="H1064" s="62">
        <f t="shared" ref="H1064:Q1064" si="2128">IF(isblank(H$1),,IFERROR(vlookup($A1064,indirect("'TVC-"&amp;text(month(H$1),"00")&amp;"'!$A:$D"),4,false),1))</f>
        <v>1</v>
      </c>
      <c r="I1064" s="62">
        <f t="shared" si="2128"/>
        <v>1</v>
      </c>
      <c r="J1064" s="62">
        <f t="shared" si="2128"/>
        <v>1</v>
      </c>
      <c r="K1064" s="62">
        <f t="shared" si="2128"/>
        <v>1</v>
      </c>
      <c r="L1064" s="62">
        <f t="shared" si="2128"/>
        <v>1</v>
      </c>
      <c r="M1064" s="62">
        <f t="shared" si="2128"/>
        <v>1</v>
      </c>
      <c r="N1064" s="62">
        <f t="shared" si="2128"/>
        <v>1</v>
      </c>
      <c r="O1064" s="62">
        <f t="shared" si="2128"/>
        <v>1</v>
      </c>
      <c r="P1064" s="62" t="str">
        <f t="shared" si="2128"/>
        <v/>
      </c>
      <c r="Q1064" s="62" t="str">
        <f t="shared" si="2128"/>
        <v/>
      </c>
      <c r="R1064" s="62">
        <f t="shared" si="7"/>
        <v>0</v>
      </c>
      <c r="S1064" s="62"/>
      <c r="T1064" s="62"/>
      <c r="U1064" s="62"/>
      <c r="V1064" s="62"/>
      <c r="W1064" s="62"/>
      <c r="X1064" s="62"/>
      <c r="Y1064" s="62"/>
      <c r="Z1064" s="62"/>
      <c r="AA1064" s="62"/>
      <c r="AB1064" s="62"/>
      <c r="AC1064" s="62"/>
    </row>
    <row r="1065" hidden="1">
      <c r="A1065" s="60">
        <f>IFERROR(__xludf.DUMMYFUNCTION("""COMPUTED_VALUE"""),15109.0)</f>
        <v>15109</v>
      </c>
      <c r="B1065" s="60" t="str">
        <f>IFERROR(__xludf.DUMMYFUNCTION("""COMPUTED_VALUE"""),"Westbrook-Ikhine, Nick")</f>
        <v>Westbrook-Ikhine, Nick</v>
      </c>
      <c r="C1065" s="60" t="str">
        <f>IFERROR(__xludf.DUMMYFUNCTION("""COMPUTED_VALUE"""),"WR")</f>
        <v>WR</v>
      </c>
      <c r="D1065" s="60" t="str">
        <f>IFERROR(__xludf.DUMMYFUNCTION("""COMPUTED_VALUE"""),"IND")</f>
        <v>IND</v>
      </c>
      <c r="E1065" s="62" t="str">
        <f t="shared" si="4"/>
        <v>Nick Westbrook-Ikhine</v>
      </c>
      <c r="F1065" s="62">
        <f t="shared" ref="F1065:G1065" si="2129">IF(isblank(F$1),,IF(isblank($A1065),,IFERROR(vlookup($A1065,indirect("'TVC-"&amp;text(month(F$1),"00")&amp;"'!$A:$D"),4,false),1)))</f>
        <v>948</v>
      </c>
      <c r="G1065" s="62">
        <f t="shared" si="2129"/>
        <v>927</v>
      </c>
      <c r="H1065" s="62">
        <f t="shared" ref="H1065:Q1065" si="2130">IF(isblank(H$1),,IFERROR(vlookup($A1065,indirect("'TVC-"&amp;text(month(H$1),"00")&amp;"'!$A:$D"),4,false),1))</f>
        <v>933</v>
      </c>
      <c r="I1065" s="62">
        <f t="shared" si="2130"/>
        <v>928</v>
      </c>
      <c r="J1065" s="62">
        <f t="shared" si="2130"/>
        <v>1001</v>
      </c>
      <c r="K1065" s="62">
        <f t="shared" si="2130"/>
        <v>956</v>
      </c>
      <c r="L1065" s="62">
        <f t="shared" si="2130"/>
        <v>989</v>
      </c>
      <c r="M1065" s="62">
        <f t="shared" si="2130"/>
        <v>1033</v>
      </c>
      <c r="N1065" s="62">
        <f t="shared" si="2130"/>
        <v>1023</v>
      </c>
      <c r="O1065" s="62">
        <f t="shared" si="2130"/>
        <v>1</v>
      </c>
      <c r="P1065" s="62" t="str">
        <f t="shared" si="2130"/>
        <v/>
      </c>
      <c r="Q1065" s="62" t="str">
        <f t="shared" si="2130"/>
        <v/>
      </c>
      <c r="R1065" s="62">
        <f t="shared" si="7"/>
        <v>-1022</v>
      </c>
      <c r="S1065" s="62"/>
      <c r="T1065" s="62"/>
      <c r="U1065" s="62"/>
      <c r="V1065" s="62"/>
      <c r="W1065" s="62"/>
      <c r="X1065" s="62"/>
      <c r="Y1065" s="62"/>
      <c r="Z1065" s="62"/>
      <c r="AA1065" s="62"/>
      <c r="AB1065" s="62"/>
      <c r="AC1065" s="62"/>
    </row>
    <row r="1066" hidden="1">
      <c r="A1066" s="60">
        <f>IFERROR(__xludf.DUMMYFUNCTION("""COMPUTED_VALUE"""),15117.0)</f>
        <v>15117</v>
      </c>
      <c r="B1066" s="60" t="str">
        <f>IFERROR(__xludf.DUMMYFUNCTION("""COMPUTED_VALUE"""),"Flannigan-Fowles, Demetrius")</f>
        <v>Flannigan-Fowles, Demetrius</v>
      </c>
      <c r="C1066" s="60" t="str">
        <f>IFERROR(__xludf.DUMMYFUNCTION("""COMPUTED_VALUE"""),"LB")</f>
        <v>LB</v>
      </c>
      <c r="D1066" s="60" t="str">
        <f>IFERROR(__xludf.DUMMYFUNCTION("""COMPUTED_VALUE"""),"FA")</f>
        <v>FA</v>
      </c>
      <c r="E1066" s="62" t="str">
        <f t="shared" si="4"/>
        <v>Demetrius Flannigan-Fowles</v>
      </c>
      <c r="F1066" s="62">
        <f t="shared" ref="F1066:G1066" si="2131">IF(isblank(F$1),,IF(isblank($A1066),,IFERROR(vlookup($A1066,indirect("'TVC-"&amp;text(month(F$1),"00")&amp;"'!$A:$D"),4,false),1)))</f>
        <v>1</v>
      </c>
      <c r="G1066" s="62">
        <f t="shared" si="2131"/>
        <v>1</v>
      </c>
      <c r="H1066" s="62">
        <f t="shared" ref="H1066:Q1066" si="2132">IF(isblank(H$1),,IFERROR(vlookup($A1066,indirect("'TVC-"&amp;text(month(H$1),"00")&amp;"'!$A:$D"),4,false),1))</f>
        <v>1</v>
      </c>
      <c r="I1066" s="62">
        <f t="shared" si="2132"/>
        <v>1</v>
      </c>
      <c r="J1066" s="62">
        <f t="shared" si="2132"/>
        <v>1</v>
      </c>
      <c r="K1066" s="62">
        <f t="shared" si="2132"/>
        <v>1</v>
      </c>
      <c r="L1066" s="62">
        <f t="shared" si="2132"/>
        <v>1</v>
      </c>
      <c r="M1066" s="62">
        <f t="shared" si="2132"/>
        <v>1</v>
      </c>
      <c r="N1066" s="62">
        <f t="shared" si="2132"/>
        <v>1</v>
      </c>
      <c r="O1066" s="62">
        <f t="shared" si="2132"/>
        <v>1</v>
      </c>
      <c r="P1066" s="62" t="str">
        <f t="shared" si="2132"/>
        <v/>
      </c>
      <c r="Q1066" s="62" t="str">
        <f t="shared" si="2132"/>
        <v/>
      </c>
      <c r="R1066" s="62">
        <f t="shared" si="7"/>
        <v>0</v>
      </c>
      <c r="S1066" s="62"/>
      <c r="T1066" s="62"/>
      <c r="U1066" s="62"/>
      <c r="V1066" s="62"/>
      <c r="W1066" s="62"/>
      <c r="X1066" s="62"/>
      <c r="Y1066" s="62"/>
      <c r="Z1066" s="62"/>
      <c r="AA1066" s="62"/>
      <c r="AB1066" s="62"/>
      <c r="AC1066" s="62"/>
    </row>
    <row r="1067" hidden="1">
      <c r="A1067" s="60">
        <f>IFERROR(__xludf.DUMMYFUNCTION("""COMPUTED_VALUE"""),15121.0)</f>
        <v>15121</v>
      </c>
      <c r="B1067" s="60" t="str">
        <f>IFERROR(__xludf.DUMMYFUNCTION("""COMPUTED_VALUE"""),"Huff, Bryce")</f>
        <v>Huff, Bryce</v>
      </c>
      <c r="C1067" s="60" t="str">
        <f>IFERROR(__xludf.DUMMYFUNCTION("""COMPUTED_VALUE"""),"DE")</f>
        <v>DE</v>
      </c>
      <c r="D1067" s="60" t="str">
        <f>IFERROR(__xludf.DUMMYFUNCTION("""COMPUTED_VALUE"""),"FA")</f>
        <v>FA</v>
      </c>
      <c r="E1067" s="62" t="str">
        <f t="shared" si="4"/>
        <v>Bryce Huff</v>
      </c>
      <c r="F1067" s="62">
        <f t="shared" ref="F1067:G1067" si="2133">IF(isblank(F$1),,IF(isblank($A1067),,IFERROR(vlookup($A1067,indirect("'TVC-"&amp;text(month(F$1),"00")&amp;"'!$A:$D"),4,false),1)))</f>
        <v>1</v>
      </c>
      <c r="G1067" s="62">
        <f t="shared" si="2133"/>
        <v>1</v>
      </c>
      <c r="H1067" s="62">
        <f t="shared" ref="H1067:Q1067" si="2134">IF(isblank(H$1),,IFERROR(vlookup($A1067,indirect("'TVC-"&amp;text(month(H$1),"00")&amp;"'!$A:$D"),4,false),1))</f>
        <v>1</v>
      </c>
      <c r="I1067" s="62">
        <f t="shared" si="2134"/>
        <v>1</v>
      </c>
      <c r="J1067" s="62">
        <f t="shared" si="2134"/>
        <v>1</v>
      </c>
      <c r="K1067" s="62">
        <f t="shared" si="2134"/>
        <v>1</v>
      </c>
      <c r="L1067" s="62">
        <f t="shared" si="2134"/>
        <v>1</v>
      </c>
      <c r="M1067" s="62">
        <f t="shared" si="2134"/>
        <v>1</v>
      </c>
      <c r="N1067" s="62">
        <f t="shared" si="2134"/>
        <v>1</v>
      </c>
      <c r="O1067" s="62">
        <f t="shared" si="2134"/>
        <v>1</v>
      </c>
      <c r="P1067" s="62" t="str">
        <f t="shared" si="2134"/>
        <v/>
      </c>
      <c r="Q1067" s="62" t="str">
        <f t="shared" si="2134"/>
        <v/>
      </c>
      <c r="R1067" s="62">
        <f t="shared" si="7"/>
        <v>0</v>
      </c>
      <c r="S1067" s="62"/>
      <c r="T1067" s="62"/>
      <c r="U1067" s="62"/>
      <c r="V1067" s="62"/>
      <c r="W1067" s="62"/>
      <c r="X1067" s="62"/>
      <c r="Y1067" s="62"/>
      <c r="Z1067" s="62"/>
      <c r="AA1067" s="62"/>
      <c r="AB1067" s="62"/>
      <c r="AC1067" s="62"/>
    </row>
    <row r="1068" hidden="1">
      <c r="A1068" s="60">
        <f>IFERROR(__xludf.DUMMYFUNCTION("""COMPUTED_VALUE"""),15124.0)</f>
        <v>15124</v>
      </c>
      <c r="B1068" s="60" t="str">
        <f>IFERROR(__xludf.DUMMYFUNCTION("""COMPUTED_VALUE"""),"Pierre, James")</f>
        <v>Pierre, James</v>
      </c>
      <c r="C1068" s="60" t="str">
        <f>IFERROR(__xludf.DUMMYFUNCTION("""COMPUTED_VALUE"""),"CB")</f>
        <v>CB</v>
      </c>
      <c r="D1068" s="60" t="str">
        <f>IFERROR(__xludf.DUMMYFUNCTION("""COMPUTED_VALUE"""),"MIN")</f>
        <v>MIN</v>
      </c>
      <c r="E1068" s="62" t="str">
        <f t="shared" si="4"/>
        <v>James Pierre</v>
      </c>
      <c r="F1068" s="62">
        <f t="shared" ref="F1068:G1068" si="2135">IF(isblank(F$1),,IF(isblank($A1068),,IFERROR(vlookup($A1068,indirect("'TVC-"&amp;text(month(F$1),"00")&amp;"'!$A:$D"),4,false),1)))</f>
        <v>1</v>
      </c>
      <c r="G1068" s="62">
        <f t="shared" si="2135"/>
        <v>1</v>
      </c>
      <c r="H1068" s="62">
        <f t="shared" ref="H1068:Q1068" si="2136">IF(isblank(H$1),,IFERROR(vlookup($A1068,indirect("'TVC-"&amp;text(month(H$1),"00")&amp;"'!$A:$D"),4,false),1))</f>
        <v>1</v>
      </c>
      <c r="I1068" s="62">
        <f t="shared" si="2136"/>
        <v>1</v>
      </c>
      <c r="J1068" s="62">
        <f t="shared" si="2136"/>
        <v>1</v>
      </c>
      <c r="K1068" s="62">
        <f t="shared" si="2136"/>
        <v>1</v>
      </c>
      <c r="L1068" s="62">
        <f t="shared" si="2136"/>
        <v>1</v>
      </c>
      <c r="M1068" s="62">
        <f t="shared" si="2136"/>
        <v>1</v>
      </c>
      <c r="N1068" s="62">
        <f t="shared" si="2136"/>
        <v>1</v>
      </c>
      <c r="O1068" s="62">
        <f t="shared" si="2136"/>
        <v>1</v>
      </c>
      <c r="P1068" s="62" t="str">
        <f t="shared" si="2136"/>
        <v/>
      </c>
      <c r="Q1068" s="62" t="str">
        <f t="shared" si="2136"/>
        <v/>
      </c>
      <c r="R1068" s="62">
        <f t="shared" si="7"/>
        <v>0</v>
      </c>
      <c r="S1068" s="62"/>
      <c r="T1068" s="62"/>
      <c r="U1068" s="62"/>
      <c r="V1068" s="62"/>
      <c r="W1068" s="62"/>
      <c r="X1068" s="62"/>
      <c r="Y1068" s="62"/>
      <c r="Z1068" s="62"/>
      <c r="AA1068" s="62"/>
      <c r="AB1068" s="62"/>
      <c r="AC1068" s="62"/>
    </row>
    <row r="1069" hidden="1">
      <c r="A1069" s="60">
        <f>IFERROR(__xludf.DUMMYFUNCTION("""COMPUTED_VALUE"""),15129.0)</f>
        <v>15129</v>
      </c>
      <c r="B1069" s="60" t="str">
        <f>IFERROR(__xludf.DUMMYFUNCTION("""COMPUTED_VALUE"""),"Dorsey, Khalil")</f>
        <v>Dorsey, Khalil</v>
      </c>
      <c r="C1069" s="60" t="str">
        <f>IFERROR(__xludf.DUMMYFUNCTION("""COMPUTED_VALUE"""),"CB")</f>
        <v>CB</v>
      </c>
      <c r="D1069" s="60" t="str">
        <f>IFERROR(__xludf.DUMMYFUNCTION("""COMPUTED_VALUE"""),"DET")</f>
        <v>DET</v>
      </c>
      <c r="E1069" s="62" t="str">
        <f t="shared" si="4"/>
        <v>Khalil Dorsey</v>
      </c>
      <c r="F1069" s="62">
        <f t="shared" ref="F1069:G1069" si="2137">IF(isblank(F$1),,IF(isblank($A1069),,IFERROR(vlookup($A1069,indirect("'TVC-"&amp;text(month(F$1),"00")&amp;"'!$A:$D"),4,false),1)))</f>
        <v>1</v>
      </c>
      <c r="G1069" s="62">
        <f t="shared" si="2137"/>
        <v>1</v>
      </c>
      <c r="H1069" s="62">
        <f t="shared" ref="H1069:Q1069" si="2138">IF(isblank(H$1),,IFERROR(vlookup($A1069,indirect("'TVC-"&amp;text(month(H$1),"00")&amp;"'!$A:$D"),4,false),1))</f>
        <v>1</v>
      </c>
      <c r="I1069" s="62">
        <f t="shared" si="2138"/>
        <v>1</v>
      </c>
      <c r="J1069" s="62">
        <f t="shared" si="2138"/>
        <v>1</v>
      </c>
      <c r="K1069" s="62">
        <f t="shared" si="2138"/>
        <v>1</v>
      </c>
      <c r="L1069" s="62">
        <f t="shared" si="2138"/>
        <v>1</v>
      </c>
      <c r="M1069" s="62">
        <f t="shared" si="2138"/>
        <v>1</v>
      </c>
      <c r="N1069" s="62">
        <f t="shared" si="2138"/>
        <v>1</v>
      </c>
      <c r="O1069" s="62">
        <f t="shared" si="2138"/>
        <v>1</v>
      </c>
      <c r="P1069" s="62" t="str">
        <f t="shared" si="2138"/>
        <v/>
      </c>
      <c r="Q1069" s="62" t="str">
        <f t="shared" si="2138"/>
        <v/>
      </c>
      <c r="R1069" s="62">
        <f t="shared" si="7"/>
        <v>0</v>
      </c>
      <c r="S1069" s="62"/>
      <c r="T1069" s="62"/>
      <c r="U1069" s="62"/>
      <c r="V1069" s="62"/>
      <c r="W1069" s="62"/>
      <c r="X1069" s="62"/>
      <c r="Y1069" s="62"/>
      <c r="Z1069" s="62"/>
      <c r="AA1069" s="62"/>
      <c r="AB1069" s="62"/>
      <c r="AC1069" s="62"/>
    </row>
    <row r="1070" hidden="1">
      <c r="A1070" s="60">
        <f>IFERROR(__xludf.DUMMYFUNCTION("""COMPUTED_VALUE"""),15140.0)</f>
        <v>15140</v>
      </c>
      <c r="B1070" s="60" t="str">
        <f>IFERROR(__xludf.DUMMYFUNCTION("""COMPUTED_VALUE"""),"Lewis, Cam")</f>
        <v>Lewis, Cam</v>
      </c>
      <c r="C1070" s="60" t="str">
        <f>IFERROR(__xludf.DUMMYFUNCTION("""COMPUTED_VALUE"""),"S")</f>
        <v>S</v>
      </c>
      <c r="D1070" s="60" t="str">
        <f>IFERROR(__xludf.DUMMYFUNCTION("""COMPUTED_VALUE"""),"CHI")</f>
        <v>CHI</v>
      </c>
      <c r="E1070" s="62" t="str">
        <f t="shared" si="4"/>
        <v>Cam Lewis</v>
      </c>
      <c r="F1070" s="62">
        <f t="shared" ref="F1070:G1070" si="2139">IF(isblank(F$1),,IF(isblank($A1070),,IFERROR(vlookup($A1070,indirect("'TVC-"&amp;text(month(F$1),"00")&amp;"'!$A:$D"),4,false),1)))</f>
        <v>1</v>
      </c>
      <c r="G1070" s="62">
        <f t="shared" si="2139"/>
        <v>1</v>
      </c>
      <c r="H1070" s="62">
        <f t="shared" ref="H1070:Q1070" si="2140">IF(isblank(H$1),,IFERROR(vlookup($A1070,indirect("'TVC-"&amp;text(month(H$1),"00")&amp;"'!$A:$D"),4,false),1))</f>
        <v>1</v>
      </c>
      <c r="I1070" s="62">
        <f t="shared" si="2140"/>
        <v>1</v>
      </c>
      <c r="J1070" s="62">
        <f t="shared" si="2140"/>
        <v>1</v>
      </c>
      <c r="K1070" s="62">
        <f t="shared" si="2140"/>
        <v>1</v>
      </c>
      <c r="L1070" s="62">
        <f t="shared" si="2140"/>
        <v>1</v>
      </c>
      <c r="M1070" s="62">
        <f t="shared" si="2140"/>
        <v>1</v>
      </c>
      <c r="N1070" s="62">
        <f t="shared" si="2140"/>
        <v>1</v>
      </c>
      <c r="O1070" s="62">
        <f t="shared" si="2140"/>
        <v>1</v>
      </c>
      <c r="P1070" s="62" t="str">
        <f t="shared" si="2140"/>
        <v/>
      </c>
      <c r="Q1070" s="62" t="str">
        <f t="shared" si="2140"/>
        <v/>
      </c>
      <c r="R1070" s="62">
        <f t="shared" si="7"/>
        <v>0</v>
      </c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</row>
    <row r="1071" hidden="1">
      <c r="A1071" s="60">
        <f>IFERROR(__xludf.DUMMYFUNCTION("""COMPUTED_VALUE"""),15141.0)</f>
        <v>15141</v>
      </c>
      <c r="B1071" s="60" t="str">
        <f>IFERROR(__xludf.DUMMYFUNCTION("""COMPUTED_VALUE"""),"Gill, Cam")</f>
        <v>Gill, Cam</v>
      </c>
      <c r="C1071" s="60" t="str">
        <f>IFERROR(__xludf.DUMMYFUNCTION("""COMPUTED_VALUE"""),"LB")</f>
        <v>LB</v>
      </c>
      <c r="D1071" s="60" t="str">
        <f>IFERROR(__xludf.DUMMYFUNCTION("""COMPUTED_VALUE"""),"CAR")</f>
        <v>CAR</v>
      </c>
      <c r="E1071" s="62" t="str">
        <f t="shared" si="4"/>
        <v>Cam Gill</v>
      </c>
      <c r="F1071" s="62">
        <f t="shared" ref="F1071:G1071" si="2141">IF(isblank(F$1),,IF(isblank($A1071),,IFERROR(vlookup($A1071,indirect("'TVC-"&amp;text(month(F$1),"00")&amp;"'!$A:$D"),4,false),1)))</f>
        <v>1</v>
      </c>
      <c r="G1071" s="62">
        <f t="shared" si="2141"/>
        <v>1</v>
      </c>
      <c r="H1071" s="62">
        <f t="shared" ref="H1071:Q1071" si="2142">IF(isblank(H$1),,IFERROR(vlookup($A1071,indirect("'TVC-"&amp;text(month(H$1),"00")&amp;"'!$A:$D"),4,false),1))</f>
        <v>1</v>
      </c>
      <c r="I1071" s="62">
        <f t="shared" si="2142"/>
        <v>1</v>
      </c>
      <c r="J1071" s="62">
        <f t="shared" si="2142"/>
        <v>1</v>
      </c>
      <c r="K1071" s="62">
        <f t="shared" si="2142"/>
        <v>1</v>
      </c>
      <c r="L1071" s="62">
        <f t="shared" si="2142"/>
        <v>1</v>
      </c>
      <c r="M1071" s="62">
        <f t="shared" si="2142"/>
        <v>1</v>
      </c>
      <c r="N1071" s="62">
        <f t="shared" si="2142"/>
        <v>1</v>
      </c>
      <c r="O1071" s="62">
        <f t="shared" si="2142"/>
        <v>1</v>
      </c>
      <c r="P1071" s="62" t="str">
        <f t="shared" si="2142"/>
        <v/>
      </c>
      <c r="Q1071" s="62" t="str">
        <f t="shared" si="2142"/>
        <v/>
      </c>
      <c r="R1071" s="62">
        <f t="shared" si="7"/>
        <v>0</v>
      </c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</row>
    <row r="1072" hidden="1">
      <c r="A1072" s="60">
        <f>IFERROR(__xludf.DUMMYFUNCTION("""COMPUTED_VALUE"""),15148.0)</f>
        <v>15148</v>
      </c>
      <c r="B1072" s="60" t="str">
        <f>IFERROR(__xludf.DUMMYFUNCTION("""COMPUTED_VALUE"""),"Franklin, Sam")</f>
        <v>Franklin, Sam</v>
      </c>
      <c r="C1072" s="60" t="str">
        <f>IFERROR(__xludf.DUMMYFUNCTION("""COMPUTED_VALUE"""),"S")</f>
        <v>S</v>
      </c>
      <c r="D1072" s="60" t="str">
        <f>IFERROR(__xludf.DUMMYFUNCTION("""COMPUTED_VALUE"""),"BUF")</f>
        <v>BUF</v>
      </c>
      <c r="E1072" s="62" t="str">
        <f t="shared" si="4"/>
        <v>Sam Franklin</v>
      </c>
      <c r="F1072" s="62">
        <f t="shared" ref="F1072:G1072" si="2143">IF(isblank(F$1),,IF(isblank($A1072),,IFERROR(vlookup($A1072,indirect("'TVC-"&amp;text(month(F$1),"00")&amp;"'!$A:$D"),4,false),1)))</f>
        <v>1</v>
      </c>
      <c r="G1072" s="62">
        <f t="shared" si="2143"/>
        <v>1</v>
      </c>
      <c r="H1072" s="62">
        <f t="shared" ref="H1072:Q1072" si="2144">IF(isblank(H$1),,IFERROR(vlookup($A1072,indirect("'TVC-"&amp;text(month(H$1),"00")&amp;"'!$A:$D"),4,false),1))</f>
        <v>1</v>
      </c>
      <c r="I1072" s="62">
        <f t="shared" si="2144"/>
        <v>1</v>
      </c>
      <c r="J1072" s="62">
        <f t="shared" si="2144"/>
        <v>1</v>
      </c>
      <c r="K1072" s="62">
        <f t="shared" si="2144"/>
        <v>1</v>
      </c>
      <c r="L1072" s="62">
        <f t="shared" si="2144"/>
        <v>1</v>
      </c>
      <c r="M1072" s="62">
        <f t="shared" si="2144"/>
        <v>1</v>
      </c>
      <c r="N1072" s="62">
        <f t="shared" si="2144"/>
        <v>1</v>
      </c>
      <c r="O1072" s="62">
        <f t="shared" si="2144"/>
        <v>1</v>
      </c>
      <c r="P1072" s="62" t="str">
        <f t="shared" si="2144"/>
        <v/>
      </c>
      <c r="Q1072" s="62" t="str">
        <f t="shared" si="2144"/>
        <v/>
      </c>
      <c r="R1072" s="62">
        <f t="shared" si="7"/>
        <v>0</v>
      </c>
      <c r="S1072" s="62"/>
      <c r="T1072" s="62"/>
      <c r="U1072" s="62"/>
      <c r="V1072" s="62"/>
      <c r="W1072" s="62"/>
      <c r="X1072" s="62"/>
      <c r="Y1072" s="62"/>
      <c r="Z1072" s="62"/>
      <c r="AA1072" s="62"/>
      <c r="AB1072" s="62"/>
      <c r="AC1072" s="62"/>
    </row>
    <row r="1073" hidden="1">
      <c r="A1073" s="60">
        <f>IFERROR(__xludf.DUMMYFUNCTION("""COMPUTED_VALUE"""),15151.0)</f>
        <v>15151</v>
      </c>
      <c r="B1073" s="60" t="str">
        <f>IFERROR(__xludf.DUMMYFUNCTION("""COMPUTED_VALUE"""),"Welch, Kristian")</f>
        <v>Welch, Kristian</v>
      </c>
      <c r="C1073" s="60" t="str">
        <f>IFERROR(__xludf.DUMMYFUNCTION("""COMPUTED_VALUE"""),"LB")</f>
        <v>LB</v>
      </c>
      <c r="D1073" s="60" t="str">
        <f>IFERROR(__xludf.DUMMYFUNCTION("""COMPUTED_VALUE"""),"GBP")</f>
        <v>GBP</v>
      </c>
      <c r="E1073" s="62" t="str">
        <f t="shared" si="4"/>
        <v>Kristian Welch</v>
      </c>
      <c r="F1073" s="62">
        <f t="shared" ref="F1073:G1073" si="2145">IF(isblank(F$1),,IF(isblank($A1073),,IFERROR(vlookup($A1073,indirect("'TVC-"&amp;text(month(F$1),"00")&amp;"'!$A:$D"),4,false),1)))</f>
        <v>1</v>
      </c>
      <c r="G1073" s="62">
        <f t="shared" si="2145"/>
        <v>1</v>
      </c>
      <c r="H1073" s="62">
        <f t="shared" ref="H1073:Q1073" si="2146">IF(isblank(H$1),,IFERROR(vlookup($A1073,indirect("'TVC-"&amp;text(month(H$1),"00")&amp;"'!$A:$D"),4,false),1))</f>
        <v>1</v>
      </c>
      <c r="I1073" s="62">
        <f t="shared" si="2146"/>
        <v>1</v>
      </c>
      <c r="J1073" s="62">
        <f t="shared" si="2146"/>
        <v>1</v>
      </c>
      <c r="K1073" s="62">
        <f t="shared" si="2146"/>
        <v>1</v>
      </c>
      <c r="L1073" s="62">
        <f t="shared" si="2146"/>
        <v>1</v>
      </c>
      <c r="M1073" s="62">
        <f t="shared" si="2146"/>
        <v>1</v>
      </c>
      <c r="N1073" s="62">
        <f t="shared" si="2146"/>
        <v>1</v>
      </c>
      <c r="O1073" s="62">
        <f t="shared" si="2146"/>
        <v>1</v>
      </c>
      <c r="P1073" s="62" t="str">
        <f t="shared" si="2146"/>
        <v/>
      </c>
      <c r="Q1073" s="62" t="str">
        <f t="shared" si="2146"/>
        <v/>
      </c>
      <c r="R1073" s="62">
        <f t="shared" si="7"/>
        <v>0</v>
      </c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</row>
    <row r="1074">
      <c r="A1074" s="60">
        <f>IFERROR(__xludf.DUMMYFUNCTION("""COMPUTED_VALUE"""),15165.0)</f>
        <v>15165</v>
      </c>
      <c r="B1074" s="60" t="str">
        <f>IFERROR(__xludf.DUMMYFUNCTION("""COMPUTED_VALUE"""),"Jones, Benito")</f>
        <v>Jones, Benito</v>
      </c>
      <c r="C1074" s="60" t="str">
        <f>IFERROR(__xludf.DUMMYFUNCTION("""COMPUTED_VALUE"""),"DT")</f>
        <v>DT</v>
      </c>
      <c r="D1074" s="60" t="str">
        <f>IFERROR(__xludf.DUMMYFUNCTION("""COMPUTED_VALUE"""),"FA")</f>
        <v>FA</v>
      </c>
      <c r="E1074" s="62" t="str">
        <f t="shared" si="4"/>
        <v>Benito Jones</v>
      </c>
      <c r="F1074" s="62">
        <f t="shared" ref="F1074:G1074" si="2147">IF(isblank(F$1),,IF(isblank($A1074),,IFERROR(vlookup($A1074,indirect("'TVC-"&amp;text(month(F$1),"00")&amp;"'!$A:$D"),4,false),1)))</f>
        <v>1</v>
      </c>
      <c r="G1074" s="62">
        <f t="shared" si="2147"/>
        <v>1</v>
      </c>
      <c r="H1074" s="62">
        <f t="shared" ref="H1074:Q1074" si="2148">IF(isblank(H$1),,IFERROR(vlookup($A1074,indirect("'TVC-"&amp;text(month(H$1),"00")&amp;"'!$A:$D"),4,false),1))</f>
        <v>1</v>
      </c>
      <c r="I1074" s="62">
        <f t="shared" si="2148"/>
        <v>1</v>
      </c>
      <c r="J1074" s="62">
        <f t="shared" si="2148"/>
        <v>1</v>
      </c>
      <c r="K1074" s="62">
        <f t="shared" si="2148"/>
        <v>1</v>
      </c>
      <c r="L1074" s="62">
        <f t="shared" si="2148"/>
        <v>1</v>
      </c>
      <c r="M1074" s="62">
        <f t="shared" si="2148"/>
        <v>1</v>
      </c>
      <c r="N1074" s="62">
        <f t="shared" si="2148"/>
        <v>1</v>
      </c>
      <c r="O1074" s="62">
        <f t="shared" si="2148"/>
        <v>1</v>
      </c>
      <c r="P1074" s="62" t="str">
        <f t="shared" si="2148"/>
        <v/>
      </c>
      <c r="Q1074" s="62" t="str">
        <f t="shared" si="2148"/>
        <v/>
      </c>
      <c r="R1074" s="62">
        <f t="shared" si="7"/>
        <v>0</v>
      </c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</row>
    <row r="1075">
      <c r="A1075" s="60">
        <f>IFERROR(__xludf.DUMMYFUNCTION("""COMPUTED_VALUE"""),15173.0)</f>
        <v>15173</v>
      </c>
      <c r="B1075" s="60" t="str">
        <f>IFERROR(__xludf.DUMMYFUNCTION("""COMPUTED_VALUE"""),"Tart, Teair")</f>
        <v>Tart, Teair</v>
      </c>
      <c r="C1075" s="60" t="str">
        <f>IFERROR(__xludf.DUMMYFUNCTION("""COMPUTED_VALUE"""),"DT")</f>
        <v>DT</v>
      </c>
      <c r="D1075" s="60" t="str">
        <f>IFERROR(__xludf.DUMMYFUNCTION("""COMPUTED_VALUE"""),"LAC")</f>
        <v>LAC</v>
      </c>
      <c r="E1075" s="62" t="str">
        <f t="shared" si="4"/>
        <v>Teair Tart</v>
      </c>
      <c r="F1075" s="62">
        <f t="shared" ref="F1075:G1075" si="2149">IF(isblank(F$1),,IF(isblank($A1075),,IFERROR(vlookup($A1075,indirect("'TVC-"&amp;text(month(F$1),"00")&amp;"'!$A:$D"),4,false),1)))</f>
        <v>1</v>
      </c>
      <c r="G1075" s="62">
        <f t="shared" si="2149"/>
        <v>1</v>
      </c>
      <c r="H1075" s="62">
        <f t="shared" ref="H1075:Q1075" si="2150">IF(isblank(H$1),,IFERROR(vlookup($A1075,indirect("'TVC-"&amp;text(month(H$1),"00")&amp;"'!$A:$D"),4,false),1))</f>
        <v>1</v>
      </c>
      <c r="I1075" s="62">
        <f t="shared" si="2150"/>
        <v>1</v>
      </c>
      <c r="J1075" s="62">
        <f t="shared" si="2150"/>
        <v>1</v>
      </c>
      <c r="K1075" s="62">
        <f t="shared" si="2150"/>
        <v>1</v>
      </c>
      <c r="L1075" s="62">
        <f t="shared" si="2150"/>
        <v>1</v>
      </c>
      <c r="M1075" s="62">
        <f t="shared" si="2150"/>
        <v>1</v>
      </c>
      <c r="N1075" s="62">
        <f t="shared" si="2150"/>
        <v>1</v>
      </c>
      <c r="O1075" s="62">
        <f t="shared" si="2150"/>
        <v>1</v>
      </c>
      <c r="P1075" s="62" t="str">
        <f t="shared" si="2150"/>
        <v/>
      </c>
      <c r="Q1075" s="62" t="str">
        <f t="shared" si="2150"/>
        <v/>
      </c>
      <c r="R1075" s="62">
        <f t="shared" si="7"/>
        <v>0</v>
      </c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</row>
    <row r="1076">
      <c r="A1076" s="60">
        <f>IFERROR(__xludf.DUMMYFUNCTION("""COMPUTED_VALUE"""),15177.0)</f>
        <v>15177</v>
      </c>
      <c r="B1076" s="60" t="str">
        <f>IFERROR(__xludf.DUMMYFUNCTION("""COMPUTED_VALUE"""),"Bryant, Myles")</f>
        <v>Bryant, Myles</v>
      </c>
      <c r="C1076" s="60" t="str">
        <f>IFERROR(__xludf.DUMMYFUNCTION("""COMPUTED_VALUE"""),"CB")</f>
        <v>CB</v>
      </c>
      <c r="D1076" s="60" t="str">
        <f>IFERROR(__xludf.DUMMYFUNCTION("""COMPUTED_VALUE"""),"CLE")</f>
        <v>CLE</v>
      </c>
      <c r="E1076" s="62" t="str">
        <f t="shared" si="4"/>
        <v>Myles Bryant</v>
      </c>
      <c r="F1076" s="62">
        <f t="shared" ref="F1076:G1076" si="2151">IF(isblank(F$1),,IF(isblank($A1076),,IFERROR(vlookup($A1076,indirect("'TVC-"&amp;text(month(F$1),"00")&amp;"'!$A:$D"),4,false),1)))</f>
        <v>1</v>
      </c>
      <c r="G1076" s="62">
        <f t="shared" si="2151"/>
        <v>1</v>
      </c>
      <c r="H1076" s="62">
        <f t="shared" ref="H1076:Q1076" si="2152">IF(isblank(H$1),,IFERROR(vlookup($A1076,indirect("'TVC-"&amp;text(month(H$1),"00")&amp;"'!$A:$D"),4,false),1))</f>
        <v>1</v>
      </c>
      <c r="I1076" s="62">
        <f t="shared" si="2152"/>
        <v>1</v>
      </c>
      <c r="J1076" s="62">
        <f t="shared" si="2152"/>
        <v>1</v>
      </c>
      <c r="K1076" s="62">
        <f t="shared" si="2152"/>
        <v>1</v>
      </c>
      <c r="L1076" s="62">
        <f t="shared" si="2152"/>
        <v>1</v>
      </c>
      <c r="M1076" s="62">
        <f t="shared" si="2152"/>
        <v>1</v>
      </c>
      <c r="N1076" s="62">
        <f t="shared" si="2152"/>
        <v>1</v>
      </c>
      <c r="O1076" s="62">
        <f t="shared" si="2152"/>
        <v>1</v>
      </c>
      <c r="P1076" s="62" t="str">
        <f t="shared" si="2152"/>
        <v/>
      </c>
      <c r="Q1076" s="62" t="str">
        <f t="shared" si="2152"/>
        <v/>
      </c>
      <c r="R1076" s="62">
        <f t="shared" si="7"/>
        <v>0</v>
      </c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</row>
    <row r="1077">
      <c r="A1077" s="60">
        <f>IFERROR(__xludf.DUMMYFUNCTION("""COMPUTED_VALUE"""),15194.0)</f>
        <v>15194</v>
      </c>
      <c r="B1077" s="60" t="str">
        <f>IFERROR(__xludf.DUMMYFUNCTION("""COMPUTED_VALUE"""),"Christiansen, Cole")</f>
        <v>Christiansen, Cole</v>
      </c>
      <c r="C1077" s="60" t="str">
        <f>IFERROR(__xludf.DUMMYFUNCTION("""COMPUTED_VALUE"""),"LB")</f>
        <v>LB</v>
      </c>
      <c r="D1077" s="60" t="str">
        <f>IFERROR(__xludf.DUMMYFUNCTION("""COMPUTED_VALUE"""),"KCC")</f>
        <v>KCC</v>
      </c>
      <c r="E1077" s="62" t="str">
        <f t="shared" si="4"/>
        <v>Cole Christiansen</v>
      </c>
      <c r="F1077" s="62">
        <f t="shared" ref="F1077:G1077" si="2153">IF(isblank(F$1),,IF(isblank($A1077),,IFERROR(vlookup($A1077,indirect("'TVC-"&amp;text(month(F$1),"00")&amp;"'!$A:$D"),4,false),1)))</f>
        <v>1</v>
      </c>
      <c r="G1077" s="62">
        <f t="shared" si="2153"/>
        <v>1</v>
      </c>
      <c r="H1077" s="62">
        <f t="shared" ref="H1077:Q1077" si="2154">IF(isblank(H$1),,IFERROR(vlookup($A1077,indirect("'TVC-"&amp;text(month(H$1),"00")&amp;"'!$A:$D"),4,false),1))</f>
        <v>1</v>
      </c>
      <c r="I1077" s="62">
        <f t="shared" si="2154"/>
        <v>1</v>
      </c>
      <c r="J1077" s="62">
        <f t="shared" si="2154"/>
        <v>1</v>
      </c>
      <c r="K1077" s="62">
        <f t="shared" si="2154"/>
        <v>1</v>
      </c>
      <c r="L1077" s="62">
        <f t="shared" si="2154"/>
        <v>1</v>
      </c>
      <c r="M1077" s="62">
        <f t="shared" si="2154"/>
        <v>1</v>
      </c>
      <c r="N1077" s="62">
        <f t="shared" si="2154"/>
        <v>1</v>
      </c>
      <c r="O1077" s="62">
        <f t="shared" si="2154"/>
        <v>1</v>
      </c>
      <c r="P1077" s="62" t="str">
        <f t="shared" si="2154"/>
        <v/>
      </c>
      <c r="Q1077" s="62" t="str">
        <f t="shared" si="2154"/>
        <v/>
      </c>
      <c r="R1077" s="62">
        <f t="shared" si="7"/>
        <v>0</v>
      </c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</row>
    <row r="1078">
      <c r="A1078" s="60">
        <f>IFERROR(__xludf.DUMMYFUNCTION("""COMPUTED_VALUE"""),15234.0)</f>
        <v>15234</v>
      </c>
      <c r="B1078" s="60" t="str">
        <f>IFERROR(__xludf.DUMMYFUNCTION("""COMPUTED_VALUE"""),"Sirianni, Nick")</f>
        <v>Sirianni, Nick</v>
      </c>
      <c r="C1078" s="60" t="str">
        <f>IFERROR(__xludf.DUMMYFUNCTION("""COMPUTED_VALUE"""),"Coach")</f>
        <v>Coach</v>
      </c>
      <c r="D1078" s="60" t="str">
        <f>IFERROR(__xludf.DUMMYFUNCTION("""COMPUTED_VALUE"""),"PHI")</f>
        <v>PHI</v>
      </c>
      <c r="E1078" s="62" t="str">
        <f t="shared" si="4"/>
        <v>Nick Sirianni</v>
      </c>
      <c r="F1078" s="62">
        <f t="shared" ref="F1078:G1078" si="2155">IF(isblank(F$1),,IF(isblank($A1078),,IFERROR(vlookup($A1078,indirect("'TVC-"&amp;text(month(F$1),"00")&amp;"'!$A:$D"),4,false),1)))</f>
        <v>1</v>
      </c>
      <c r="G1078" s="62">
        <f t="shared" si="2155"/>
        <v>1</v>
      </c>
      <c r="H1078" s="62">
        <f t="shared" ref="H1078:Q1078" si="2156">IF(isblank(H$1),,IFERROR(vlookup($A1078,indirect("'TVC-"&amp;text(month(H$1),"00")&amp;"'!$A:$D"),4,false),1))</f>
        <v>1</v>
      </c>
      <c r="I1078" s="62">
        <f t="shared" si="2156"/>
        <v>1</v>
      </c>
      <c r="J1078" s="62">
        <f t="shared" si="2156"/>
        <v>1</v>
      </c>
      <c r="K1078" s="62">
        <f t="shared" si="2156"/>
        <v>1</v>
      </c>
      <c r="L1078" s="62">
        <f t="shared" si="2156"/>
        <v>1</v>
      </c>
      <c r="M1078" s="62">
        <f t="shared" si="2156"/>
        <v>1</v>
      </c>
      <c r="N1078" s="62">
        <f t="shared" si="2156"/>
        <v>1</v>
      </c>
      <c r="O1078" s="62">
        <f t="shared" si="2156"/>
        <v>1</v>
      </c>
      <c r="P1078" s="62" t="str">
        <f t="shared" si="2156"/>
        <v/>
      </c>
      <c r="Q1078" s="62" t="str">
        <f t="shared" si="2156"/>
        <v/>
      </c>
      <c r="R1078" s="62">
        <f t="shared" si="7"/>
        <v>0</v>
      </c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</row>
    <row r="1079" hidden="1">
      <c r="A1079" s="60">
        <f>IFERROR(__xludf.DUMMYFUNCTION("""COMPUTED_VALUE"""),15235.0)</f>
        <v>15235</v>
      </c>
      <c r="B1079" s="60" t="str">
        <f>IFERROR(__xludf.DUMMYFUNCTION("""COMPUTED_VALUE"""),"Saleh, Robert")</f>
        <v>Saleh, Robert</v>
      </c>
      <c r="C1079" s="60" t="str">
        <f>IFERROR(__xludf.DUMMYFUNCTION("""COMPUTED_VALUE"""),"Coach")</f>
        <v>Coach</v>
      </c>
      <c r="D1079" s="60" t="str">
        <f>IFERROR(__xludf.DUMMYFUNCTION("""COMPUTED_VALUE"""),"TEN")</f>
        <v>TEN</v>
      </c>
      <c r="E1079" s="62" t="str">
        <f t="shared" si="4"/>
        <v>Robert Saleh</v>
      </c>
      <c r="F1079" s="62">
        <f t="shared" ref="F1079:G1079" si="2157">IF(isblank(F$1),,IF(isblank($A1079),,IFERROR(vlookup($A1079,indirect("'TVC-"&amp;text(month(F$1),"00")&amp;"'!$A:$D"),4,false),1)))</f>
        <v>1</v>
      </c>
      <c r="G1079" s="62">
        <f t="shared" si="2157"/>
        <v>1</v>
      </c>
      <c r="H1079" s="62">
        <f t="shared" ref="H1079:Q1079" si="2158">IF(isblank(H$1),,IFERROR(vlookup($A1079,indirect("'TVC-"&amp;text(month(H$1),"00")&amp;"'!$A:$D"),4,false),1))</f>
        <v>1</v>
      </c>
      <c r="I1079" s="62">
        <f t="shared" si="2158"/>
        <v>1</v>
      </c>
      <c r="J1079" s="62">
        <f t="shared" si="2158"/>
        <v>1</v>
      </c>
      <c r="K1079" s="62">
        <f t="shared" si="2158"/>
        <v>1</v>
      </c>
      <c r="L1079" s="62">
        <f t="shared" si="2158"/>
        <v>1</v>
      </c>
      <c r="M1079" s="62">
        <f t="shared" si="2158"/>
        <v>1</v>
      </c>
      <c r="N1079" s="62">
        <f t="shared" si="2158"/>
        <v>1</v>
      </c>
      <c r="O1079" s="62">
        <f t="shared" si="2158"/>
        <v>1</v>
      </c>
      <c r="P1079" s="62" t="str">
        <f t="shared" si="2158"/>
        <v/>
      </c>
      <c r="Q1079" s="62" t="str">
        <f t="shared" si="2158"/>
        <v/>
      </c>
      <c r="R1079" s="62">
        <f t="shared" si="7"/>
        <v>0</v>
      </c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</row>
    <row r="1080" hidden="1">
      <c r="A1080" s="60">
        <f>IFERROR(__xludf.DUMMYFUNCTION("""COMPUTED_VALUE"""),15237.0)</f>
        <v>15237</v>
      </c>
      <c r="B1080" s="60" t="str">
        <f>IFERROR(__xludf.DUMMYFUNCTION("""COMPUTED_VALUE"""),"Lawrence, Trevor")</f>
        <v>Lawrence, Trevor</v>
      </c>
      <c r="C1080" s="60" t="str">
        <f>IFERROR(__xludf.DUMMYFUNCTION("""COMPUTED_VALUE"""),"QB")</f>
        <v>QB</v>
      </c>
      <c r="D1080" s="60" t="str">
        <f>IFERROR(__xludf.DUMMYFUNCTION("""COMPUTED_VALUE"""),"JAC")</f>
        <v>JAC</v>
      </c>
      <c r="E1080" s="62" t="str">
        <f t="shared" si="4"/>
        <v>Trevor Lawrence</v>
      </c>
      <c r="F1080" s="62">
        <f t="shared" ref="F1080:G1080" si="2159">IF(isblank(F$1),,IF(isblank($A1080),,IFERROR(vlookup($A1080,indirect("'TVC-"&amp;text(month(F$1),"00")&amp;"'!$A:$D"),4,false),1)))</f>
        <v>5783</v>
      </c>
      <c r="G1080" s="62">
        <f t="shared" si="2159"/>
        <v>6315</v>
      </c>
      <c r="H1080" s="62">
        <f t="shared" ref="H1080:Q1080" si="2160">IF(isblank(H$1),,IFERROR(vlookup($A1080,indirect("'TVC-"&amp;text(month(H$1),"00")&amp;"'!$A:$D"),4,false),1))</f>
        <v>6333</v>
      </c>
      <c r="I1080" s="62">
        <f t="shared" si="2160"/>
        <v>6284</v>
      </c>
      <c r="J1080" s="62">
        <f t="shared" si="2160"/>
        <v>6220</v>
      </c>
      <c r="K1080" s="62">
        <f t="shared" si="2160"/>
        <v>6373</v>
      </c>
      <c r="L1080" s="62">
        <f t="shared" si="2160"/>
        <v>6356</v>
      </c>
      <c r="M1080" s="62">
        <f t="shared" si="2160"/>
        <v>6305</v>
      </c>
      <c r="N1080" s="62">
        <f t="shared" si="2160"/>
        <v>6319</v>
      </c>
      <c r="O1080" s="62">
        <f t="shared" si="2160"/>
        <v>1</v>
      </c>
      <c r="P1080" s="62" t="str">
        <f t="shared" si="2160"/>
        <v/>
      </c>
      <c r="Q1080" s="62" t="str">
        <f t="shared" si="2160"/>
        <v/>
      </c>
      <c r="R1080" s="62">
        <f t="shared" si="7"/>
        <v>-6318</v>
      </c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</row>
    <row r="1081" hidden="1">
      <c r="A1081" s="60">
        <f>IFERROR(__xludf.DUMMYFUNCTION("""COMPUTED_VALUE"""),15238.0)</f>
        <v>15238</v>
      </c>
      <c r="B1081" s="60" t="str">
        <f>IFERROR(__xludf.DUMMYFUNCTION("""COMPUTED_VALUE"""),"Fields, Justin")</f>
        <v>Fields, Justin</v>
      </c>
      <c r="C1081" s="60" t="str">
        <f>IFERROR(__xludf.DUMMYFUNCTION("""COMPUTED_VALUE"""),"QB")</f>
        <v>QB</v>
      </c>
      <c r="D1081" s="60" t="str">
        <f>IFERROR(__xludf.DUMMYFUNCTION("""COMPUTED_VALUE"""),"KCC")</f>
        <v>KCC</v>
      </c>
      <c r="E1081" s="62" t="str">
        <f t="shared" si="4"/>
        <v>Justin Fields</v>
      </c>
      <c r="F1081" s="62">
        <f t="shared" ref="F1081:G1081" si="2161">IF(isblank(F$1),,IF(isblank($A1081),,IFERROR(vlookup($A1081,indirect("'TVC-"&amp;text(month(F$1),"00")&amp;"'!$A:$D"),4,false),1)))</f>
        <v>2164</v>
      </c>
      <c r="G1081" s="62">
        <f t="shared" si="2161"/>
        <v>2058</v>
      </c>
      <c r="H1081" s="62">
        <f t="shared" ref="H1081:Q1081" si="2162">IF(isblank(H$1),,IFERROR(vlookup($A1081,indirect("'TVC-"&amp;text(month(H$1),"00")&amp;"'!$A:$D"),4,false),1))</f>
        <v>2131</v>
      </c>
      <c r="I1081" s="62">
        <f t="shared" si="2162"/>
        <v>2302</v>
      </c>
      <c r="J1081" s="62">
        <f t="shared" si="2162"/>
        <v>2141</v>
      </c>
      <c r="K1081" s="62">
        <f t="shared" si="2162"/>
        <v>2070</v>
      </c>
      <c r="L1081" s="62">
        <f t="shared" si="2162"/>
        <v>2055</v>
      </c>
      <c r="M1081" s="62">
        <f t="shared" si="2162"/>
        <v>1999</v>
      </c>
      <c r="N1081" s="62">
        <f t="shared" si="2162"/>
        <v>1794</v>
      </c>
      <c r="O1081" s="62">
        <f t="shared" si="2162"/>
        <v>1</v>
      </c>
      <c r="P1081" s="62" t="str">
        <f t="shared" si="2162"/>
        <v/>
      </c>
      <c r="Q1081" s="62" t="str">
        <f t="shared" si="2162"/>
        <v/>
      </c>
      <c r="R1081" s="62">
        <f t="shared" si="7"/>
        <v>-1793</v>
      </c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</row>
    <row r="1082" hidden="1">
      <c r="A1082" s="60">
        <f>IFERROR(__xludf.DUMMYFUNCTION("""COMPUTED_VALUE"""),15239.0)</f>
        <v>15239</v>
      </c>
      <c r="B1082" s="60" t="str">
        <f>IFERROR(__xludf.DUMMYFUNCTION("""COMPUTED_VALUE"""),"Wilson, Zach")</f>
        <v>Wilson, Zach</v>
      </c>
      <c r="C1082" s="60" t="str">
        <f>IFERROR(__xludf.DUMMYFUNCTION("""COMPUTED_VALUE"""),"QB")</f>
        <v>QB</v>
      </c>
      <c r="D1082" s="60" t="str">
        <f>IFERROR(__xludf.DUMMYFUNCTION("""COMPUTED_VALUE"""),"NOS")</f>
        <v>NOS</v>
      </c>
      <c r="E1082" s="62" t="str">
        <f t="shared" si="4"/>
        <v>Zach Wilson</v>
      </c>
      <c r="F1082" s="62">
        <f t="shared" ref="F1082:G1082" si="2163">IF(isblank(F$1),,IF(isblank($A1082),,IFERROR(vlookup($A1082,indirect("'TVC-"&amp;text(month(F$1),"00")&amp;"'!$A:$D"),4,false),1)))</f>
        <v>1065</v>
      </c>
      <c r="G1082" s="62">
        <f t="shared" si="2163"/>
        <v>1113</v>
      </c>
      <c r="H1082" s="62">
        <f t="shared" ref="H1082:Q1082" si="2164">IF(isblank(H$1),,IFERROR(vlookup($A1082,indirect("'TVC-"&amp;text(month(H$1),"00")&amp;"'!$A:$D"),4,false),1))</f>
        <v>1111</v>
      </c>
      <c r="I1082" s="62">
        <f t="shared" si="2164"/>
        <v>1172</v>
      </c>
      <c r="J1082" s="62">
        <f t="shared" si="2164"/>
        <v>1120</v>
      </c>
      <c r="K1082" s="62">
        <f t="shared" si="2164"/>
        <v>1013</v>
      </c>
      <c r="L1082" s="62">
        <f t="shared" si="2164"/>
        <v>942</v>
      </c>
      <c r="M1082" s="62">
        <f t="shared" si="2164"/>
        <v>948</v>
      </c>
      <c r="N1082" s="62">
        <f t="shared" si="2164"/>
        <v>1</v>
      </c>
      <c r="O1082" s="62">
        <f t="shared" si="2164"/>
        <v>1</v>
      </c>
      <c r="P1082" s="62" t="str">
        <f t="shared" si="2164"/>
        <v/>
      </c>
      <c r="Q1082" s="62" t="str">
        <f t="shared" si="2164"/>
        <v/>
      </c>
      <c r="R1082" s="62">
        <f t="shared" si="7"/>
        <v>0</v>
      </c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</row>
    <row r="1083">
      <c r="A1083" s="60">
        <f>IFERROR(__xludf.DUMMYFUNCTION("""COMPUTED_VALUE"""),15240.0)</f>
        <v>15240</v>
      </c>
      <c r="B1083" s="60" t="str">
        <f>IFERROR(__xludf.DUMMYFUNCTION("""COMPUTED_VALUE"""),"Lance, Trey")</f>
        <v>Lance, Trey</v>
      </c>
      <c r="C1083" s="60" t="str">
        <f>IFERROR(__xludf.DUMMYFUNCTION("""COMPUTED_VALUE"""),"QB")</f>
        <v>QB</v>
      </c>
      <c r="D1083" s="60" t="str">
        <f>IFERROR(__xludf.DUMMYFUNCTION("""COMPUTED_VALUE"""),"LAC")</f>
        <v>LAC</v>
      </c>
      <c r="E1083" s="62" t="str">
        <f t="shared" si="4"/>
        <v>Trey Lance</v>
      </c>
      <c r="F1083" s="62">
        <f t="shared" ref="F1083:G1083" si="2165">IF(isblank(F$1),,IF(isblank($A1083),,IFERROR(vlookup($A1083,indirect("'TVC-"&amp;text(month(F$1),"00")&amp;"'!$A:$D"),4,false),1)))</f>
        <v>1179</v>
      </c>
      <c r="G1083" s="62">
        <f t="shared" si="2165"/>
        <v>1186</v>
      </c>
      <c r="H1083" s="62">
        <f t="shared" ref="H1083:Q1083" si="2166">IF(isblank(H$1),,IFERROR(vlookup($A1083,indirect("'TVC-"&amp;text(month(H$1),"00")&amp;"'!$A:$D"),4,false),1))</f>
        <v>1247</v>
      </c>
      <c r="I1083" s="62">
        <f t="shared" si="2166"/>
        <v>1293</v>
      </c>
      <c r="J1083" s="62">
        <f t="shared" si="2166"/>
        <v>1183</v>
      </c>
      <c r="K1083" s="62">
        <f t="shared" si="2166"/>
        <v>1137</v>
      </c>
      <c r="L1083" s="62">
        <f t="shared" si="2166"/>
        <v>1123</v>
      </c>
      <c r="M1083" s="62">
        <f t="shared" si="2166"/>
        <v>1056</v>
      </c>
      <c r="N1083" s="62">
        <f t="shared" si="2166"/>
        <v>901</v>
      </c>
      <c r="O1083" s="62">
        <f t="shared" si="2166"/>
        <v>1</v>
      </c>
      <c r="P1083" s="62" t="str">
        <f t="shared" si="2166"/>
        <v/>
      </c>
      <c r="Q1083" s="62" t="str">
        <f t="shared" si="2166"/>
        <v/>
      </c>
      <c r="R1083" s="62">
        <f t="shared" si="7"/>
        <v>-900</v>
      </c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</row>
    <row r="1084">
      <c r="A1084" s="60">
        <f>IFERROR(__xludf.DUMMYFUNCTION("""COMPUTED_VALUE"""),15241.0)</f>
        <v>15241</v>
      </c>
      <c r="B1084" s="60" t="str">
        <f>IFERROR(__xludf.DUMMYFUNCTION("""COMPUTED_VALUE"""),"Jones, Mac")</f>
        <v>Jones, Mac</v>
      </c>
      <c r="C1084" s="60" t="str">
        <f>IFERROR(__xludf.DUMMYFUNCTION("""COMPUTED_VALUE"""),"QB")</f>
        <v>QB</v>
      </c>
      <c r="D1084" s="60" t="str">
        <f>IFERROR(__xludf.DUMMYFUNCTION("""COMPUTED_VALUE"""),"SFO")</f>
        <v>SFO</v>
      </c>
      <c r="E1084" s="62" t="str">
        <f t="shared" si="4"/>
        <v>Mac Jones</v>
      </c>
      <c r="F1084" s="62">
        <f t="shared" ref="F1084:G1084" si="2167">IF(isblank(F$1),,IF(isblank($A1084),,IFERROR(vlookup($A1084,indirect("'TVC-"&amp;text(month(F$1),"00")&amp;"'!$A:$D"),4,false),1)))</f>
        <v>2700</v>
      </c>
      <c r="G1084" s="62">
        <f t="shared" si="2167"/>
        <v>2797</v>
      </c>
      <c r="H1084" s="62">
        <f t="shared" ref="H1084:Q1084" si="2168">IF(isblank(H$1),,IFERROR(vlookup($A1084,indirect("'TVC-"&amp;text(month(H$1),"00")&amp;"'!$A:$D"),4,false),1))</f>
        <v>2931</v>
      </c>
      <c r="I1084" s="62">
        <f t="shared" si="2168"/>
        <v>2921</v>
      </c>
      <c r="J1084" s="62">
        <f t="shared" si="2168"/>
        <v>2767</v>
      </c>
      <c r="K1084" s="62">
        <f t="shared" si="2168"/>
        <v>2658</v>
      </c>
      <c r="L1084" s="62">
        <f t="shared" si="2168"/>
        <v>2672</v>
      </c>
      <c r="M1084" s="62">
        <f t="shared" si="2168"/>
        <v>2671</v>
      </c>
      <c r="N1084" s="62">
        <f t="shared" si="2168"/>
        <v>2275</v>
      </c>
      <c r="O1084" s="62">
        <f t="shared" si="2168"/>
        <v>1</v>
      </c>
      <c r="P1084" s="62" t="str">
        <f t="shared" si="2168"/>
        <v/>
      </c>
      <c r="Q1084" s="62" t="str">
        <f t="shared" si="2168"/>
        <v/>
      </c>
      <c r="R1084" s="62">
        <f t="shared" si="7"/>
        <v>-2274</v>
      </c>
      <c r="S1084" s="62"/>
      <c r="T1084" s="62"/>
      <c r="U1084" s="62"/>
      <c r="V1084" s="62"/>
      <c r="W1084" s="62"/>
      <c r="X1084" s="62"/>
      <c r="Y1084" s="62"/>
      <c r="Z1084" s="62"/>
      <c r="AA1084" s="62"/>
      <c r="AB1084" s="62"/>
      <c r="AC1084" s="62"/>
    </row>
    <row r="1085" hidden="1">
      <c r="A1085" s="60">
        <f>IFERROR(__xludf.DUMMYFUNCTION("""COMPUTED_VALUE"""),15242.0)</f>
        <v>15242</v>
      </c>
      <c r="B1085" s="60" t="str">
        <f>IFERROR(__xludf.DUMMYFUNCTION("""COMPUTED_VALUE"""),"Trask, Kyle")</f>
        <v>Trask, Kyle</v>
      </c>
      <c r="C1085" s="60" t="str">
        <f>IFERROR(__xludf.DUMMYFUNCTION("""COMPUTED_VALUE"""),"QB")</f>
        <v>QB</v>
      </c>
      <c r="D1085" s="60" t="str">
        <f>IFERROR(__xludf.DUMMYFUNCTION("""COMPUTED_VALUE"""),"FA")</f>
        <v>FA</v>
      </c>
      <c r="E1085" s="62" t="str">
        <f t="shared" si="4"/>
        <v>Kyle Trask</v>
      </c>
      <c r="F1085" s="62">
        <f t="shared" ref="F1085:G1085" si="2169">IF(isblank(F$1),,IF(isblank($A1085),,IFERROR(vlookup($A1085,indirect("'TVC-"&amp;text(month(F$1),"00")&amp;"'!$A:$D"),4,false),1)))</f>
        <v>1</v>
      </c>
      <c r="G1085" s="62">
        <f t="shared" si="2169"/>
        <v>1</v>
      </c>
      <c r="H1085" s="62">
        <f t="shared" ref="H1085:Q1085" si="2170">IF(isblank(H$1),,IFERROR(vlookup($A1085,indirect("'TVC-"&amp;text(month(H$1),"00")&amp;"'!$A:$D"),4,false),1))</f>
        <v>1</v>
      </c>
      <c r="I1085" s="62">
        <f t="shared" si="2170"/>
        <v>1</v>
      </c>
      <c r="J1085" s="62">
        <f t="shared" si="2170"/>
        <v>1</v>
      </c>
      <c r="K1085" s="62">
        <f t="shared" si="2170"/>
        <v>1</v>
      </c>
      <c r="L1085" s="62">
        <f t="shared" si="2170"/>
        <v>1</v>
      </c>
      <c r="M1085" s="62">
        <f t="shared" si="2170"/>
        <v>1</v>
      </c>
      <c r="N1085" s="62">
        <f t="shared" si="2170"/>
        <v>1</v>
      </c>
      <c r="O1085" s="62">
        <f t="shared" si="2170"/>
        <v>1</v>
      </c>
      <c r="P1085" s="62" t="str">
        <f t="shared" si="2170"/>
        <v/>
      </c>
      <c r="Q1085" s="62" t="str">
        <f t="shared" si="2170"/>
        <v/>
      </c>
      <c r="R1085" s="62">
        <f t="shared" si="7"/>
        <v>0</v>
      </c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</row>
    <row r="1086">
      <c r="A1086" s="60">
        <f>IFERROR(__xludf.DUMMYFUNCTION("""COMPUTED_VALUE"""),15244.0)</f>
        <v>15244</v>
      </c>
      <c r="B1086" s="60" t="str">
        <f>IFERROR(__xludf.DUMMYFUNCTION("""COMPUTED_VALUE"""),"Franks, Feleipe")</f>
        <v>Franks, Feleipe</v>
      </c>
      <c r="C1086" s="60" t="str">
        <f>IFERROR(__xludf.DUMMYFUNCTION("""COMPUTED_VALUE"""),"TE")</f>
        <v>TE</v>
      </c>
      <c r="D1086" s="60" t="str">
        <f>IFERROR(__xludf.DUMMYFUNCTION("""COMPUTED_VALUE"""),"CAR")</f>
        <v>CAR</v>
      </c>
      <c r="E1086" s="62" t="str">
        <f t="shared" si="4"/>
        <v>Feleipe Franks</v>
      </c>
      <c r="F1086" s="62">
        <f t="shared" ref="F1086:G1086" si="2171">IF(isblank(F$1),,IF(isblank($A1086),,IFERROR(vlookup($A1086,indirect("'TVC-"&amp;text(month(F$1),"00")&amp;"'!$A:$D"),4,false),1)))</f>
        <v>1</v>
      </c>
      <c r="G1086" s="62">
        <f t="shared" si="2171"/>
        <v>1</v>
      </c>
      <c r="H1086" s="62">
        <f t="shared" ref="H1086:Q1086" si="2172">IF(isblank(H$1),,IFERROR(vlookup($A1086,indirect("'TVC-"&amp;text(month(H$1),"00")&amp;"'!$A:$D"),4,false),1))</f>
        <v>1</v>
      </c>
      <c r="I1086" s="62">
        <f t="shared" si="2172"/>
        <v>1</v>
      </c>
      <c r="J1086" s="62">
        <f t="shared" si="2172"/>
        <v>1</v>
      </c>
      <c r="K1086" s="62">
        <f t="shared" si="2172"/>
        <v>1</v>
      </c>
      <c r="L1086" s="62">
        <f t="shared" si="2172"/>
        <v>1</v>
      </c>
      <c r="M1086" s="62">
        <f t="shared" si="2172"/>
        <v>1</v>
      </c>
      <c r="N1086" s="62">
        <f t="shared" si="2172"/>
        <v>1</v>
      </c>
      <c r="O1086" s="62">
        <f t="shared" si="2172"/>
        <v>1</v>
      </c>
      <c r="P1086" s="62" t="str">
        <f t="shared" si="2172"/>
        <v/>
      </c>
      <c r="Q1086" s="62" t="str">
        <f t="shared" si="2172"/>
        <v/>
      </c>
      <c r="R1086" s="62">
        <f t="shared" si="7"/>
        <v>0</v>
      </c>
      <c r="S1086" s="62"/>
      <c r="T1086" s="62"/>
      <c r="U1086" s="62"/>
      <c r="V1086" s="62"/>
      <c r="W1086" s="62"/>
      <c r="X1086" s="62"/>
      <c r="Y1086" s="62"/>
      <c r="Z1086" s="62"/>
      <c r="AA1086" s="62"/>
      <c r="AB1086" s="62"/>
      <c r="AC1086" s="62"/>
    </row>
    <row r="1087">
      <c r="A1087" s="60">
        <f>IFERROR(__xludf.DUMMYFUNCTION("""COMPUTED_VALUE"""),15248.0)</f>
        <v>15248</v>
      </c>
      <c r="B1087" s="60" t="str">
        <f>IFERROR(__xludf.DUMMYFUNCTION("""COMPUTED_VALUE"""),"Buechele, Shane")</f>
        <v>Buechele, Shane</v>
      </c>
      <c r="C1087" s="60" t="str">
        <f>IFERROR(__xludf.DUMMYFUNCTION("""COMPUTED_VALUE"""),"QB")</f>
        <v>QB</v>
      </c>
      <c r="D1087" s="60" t="str">
        <f>IFERROR(__xludf.DUMMYFUNCTION("""COMPUTED_VALUE"""),"BUF")</f>
        <v>BUF</v>
      </c>
      <c r="E1087" s="62" t="str">
        <f t="shared" si="4"/>
        <v>Shane Buechele</v>
      </c>
      <c r="F1087" s="62">
        <f t="shared" ref="F1087:G1087" si="2173">IF(isblank(F$1),,IF(isblank($A1087),,IFERROR(vlookup($A1087,indirect("'TVC-"&amp;text(month(F$1),"00")&amp;"'!$A:$D"),4,false),1)))</f>
        <v>1</v>
      </c>
      <c r="G1087" s="62">
        <f t="shared" si="2173"/>
        <v>1</v>
      </c>
      <c r="H1087" s="62">
        <f t="shared" ref="H1087:Q1087" si="2174">IF(isblank(H$1),,IFERROR(vlookup($A1087,indirect("'TVC-"&amp;text(month(H$1),"00")&amp;"'!$A:$D"),4,false),1))</f>
        <v>1</v>
      </c>
      <c r="I1087" s="62">
        <f t="shared" si="2174"/>
        <v>1</v>
      </c>
      <c r="J1087" s="62">
        <f t="shared" si="2174"/>
        <v>1</v>
      </c>
      <c r="K1087" s="62">
        <f t="shared" si="2174"/>
        <v>1</v>
      </c>
      <c r="L1087" s="62">
        <f t="shared" si="2174"/>
        <v>1</v>
      </c>
      <c r="M1087" s="62">
        <f t="shared" si="2174"/>
        <v>1</v>
      </c>
      <c r="N1087" s="62">
        <f t="shared" si="2174"/>
        <v>1</v>
      </c>
      <c r="O1087" s="62">
        <f t="shared" si="2174"/>
        <v>1</v>
      </c>
      <c r="P1087" s="62" t="str">
        <f t="shared" si="2174"/>
        <v/>
      </c>
      <c r="Q1087" s="62" t="str">
        <f t="shared" si="2174"/>
        <v/>
      </c>
      <c r="R1087" s="62">
        <f t="shared" si="7"/>
        <v>0</v>
      </c>
      <c r="S1087" s="62"/>
      <c r="T1087" s="62"/>
      <c r="U1087" s="62"/>
      <c r="V1087" s="62"/>
      <c r="W1087" s="62"/>
      <c r="X1087" s="62"/>
      <c r="Y1087" s="62"/>
      <c r="Z1087" s="62"/>
      <c r="AA1087" s="62"/>
      <c r="AB1087" s="62"/>
      <c r="AC1087" s="62"/>
    </row>
    <row r="1088" hidden="1">
      <c r="A1088" s="60">
        <f>IFERROR(__xludf.DUMMYFUNCTION("""COMPUTED_VALUE"""),15250.0)</f>
        <v>15250</v>
      </c>
      <c r="B1088" s="60" t="str">
        <f>IFERROR(__xludf.DUMMYFUNCTION("""COMPUTED_VALUE"""),"Ehlinger, Sam")</f>
        <v>Ehlinger, Sam</v>
      </c>
      <c r="C1088" s="60" t="str">
        <f>IFERROR(__xludf.DUMMYFUNCTION("""COMPUTED_VALUE"""),"QB")</f>
        <v>QB</v>
      </c>
      <c r="D1088" s="60" t="str">
        <f>IFERROR(__xludf.DUMMYFUNCTION("""COMPUTED_VALUE"""),"DEN")</f>
        <v>DEN</v>
      </c>
      <c r="E1088" s="62" t="str">
        <f t="shared" si="4"/>
        <v>Sam Ehlinger</v>
      </c>
      <c r="F1088" s="62">
        <f t="shared" ref="F1088:G1088" si="2175">IF(isblank(F$1),,IF(isblank($A1088),,IFERROR(vlookup($A1088,indirect("'TVC-"&amp;text(month(F$1),"00")&amp;"'!$A:$D"),4,false),1)))</f>
        <v>1</v>
      </c>
      <c r="G1088" s="62">
        <f t="shared" si="2175"/>
        <v>1</v>
      </c>
      <c r="H1088" s="62">
        <f t="shared" ref="H1088:Q1088" si="2176">IF(isblank(H$1),,IFERROR(vlookup($A1088,indirect("'TVC-"&amp;text(month(H$1),"00")&amp;"'!$A:$D"),4,false),1))</f>
        <v>1</v>
      </c>
      <c r="I1088" s="62">
        <f t="shared" si="2176"/>
        <v>1</v>
      </c>
      <c r="J1088" s="62">
        <f t="shared" si="2176"/>
        <v>1</v>
      </c>
      <c r="K1088" s="62">
        <f t="shared" si="2176"/>
        <v>1</v>
      </c>
      <c r="L1088" s="62">
        <f t="shared" si="2176"/>
        <v>1</v>
      </c>
      <c r="M1088" s="62">
        <f t="shared" si="2176"/>
        <v>1</v>
      </c>
      <c r="N1088" s="62">
        <f t="shared" si="2176"/>
        <v>1</v>
      </c>
      <c r="O1088" s="62">
        <f t="shared" si="2176"/>
        <v>1</v>
      </c>
      <c r="P1088" s="62" t="str">
        <f t="shared" si="2176"/>
        <v/>
      </c>
      <c r="Q1088" s="62" t="str">
        <f t="shared" si="2176"/>
        <v/>
      </c>
      <c r="R1088" s="62">
        <f t="shared" si="7"/>
        <v>0</v>
      </c>
      <c r="S1088" s="62"/>
      <c r="T1088" s="62"/>
      <c r="U1088" s="62"/>
      <c r="V1088" s="62"/>
      <c r="W1088" s="62"/>
      <c r="X1088" s="62"/>
      <c r="Y1088" s="62"/>
      <c r="Z1088" s="62"/>
      <c r="AA1088" s="62"/>
      <c r="AB1088" s="62"/>
      <c r="AC1088" s="62"/>
    </row>
    <row r="1089">
      <c r="A1089" s="60">
        <f>IFERROR(__xludf.DUMMYFUNCTION("""COMPUTED_VALUE"""),15252.0)</f>
        <v>15252</v>
      </c>
      <c r="B1089" s="60" t="str">
        <f>IFERROR(__xludf.DUMMYFUNCTION("""COMPUTED_VALUE"""),"Mills, Davis")</f>
        <v>Mills, Davis</v>
      </c>
      <c r="C1089" s="60" t="str">
        <f>IFERROR(__xludf.DUMMYFUNCTION("""COMPUTED_VALUE"""),"QB")</f>
        <v>QB</v>
      </c>
      <c r="D1089" s="60" t="str">
        <f>IFERROR(__xludf.DUMMYFUNCTION("""COMPUTED_VALUE"""),"HOU")</f>
        <v>HOU</v>
      </c>
      <c r="E1089" s="62" t="str">
        <f t="shared" si="4"/>
        <v>Davis Mills</v>
      </c>
      <c r="F1089" s="62">
        <f t="shared" ref="F1089:G1089" si="2177">IF(isblank(F$1),,IF(isblank($A1089),,IFERROR(vlookup($A1089,indirect("'TVC-"&amp;text(month(F$1),"00")&amp;"'!$A:$D"),4,false),1)))</f>
        <v>1551</v>
      </c>
      <c r="G1089" s="62">
        <f t="shared" si="2177"/>
        <v>1541</v>
      </c>
      <c r="H1089" s="62">
        <f t="shared" ref="H1089:Q1089" si="2178">IF(isblank(H$1),,IFERROR(vlookup($A1089,indirect("'TVC-"&amp;text(month(H$1),"00")&amp;"'!$A:$D"),4,false),1))</f>
        <v>1571</v>
      </c>
      <c r="I1089" s="62">
        <f t="shared" si="2178"/>
        <v>1599</v>
      </c>
      <c r="J1089" s="62">
        <f t="shared" si="2178"/>
        <v>1481</v>
      </c>
      <c r="K1089" s="62">
        <f t="shared" si="2178"/>
        <v>1360</v>
      </c>
      <c r="L1089" s="62">
        <f t="shared" si="2178"/>
        <v>1270</v>
      </c>
      <c r="M1089" s="62">
        <f t="shared" si="2178"/>
        <v>1166</v>
      </c>
      <c r="N1089" s="62">
        <f t="shared" si="2178"/>
        <v>1115</v>
      </c>
      <c r="O1089" s="62">
        <f t="shared" si="2178"/>
        <v>1</v>
      </c>
      <c r="P1089" s="62" t="str">
        <f t="shared" si="2178"/>
        <v/>
      </c>
      <c r="Q1089" s="62" t="str">
        <f t="shared" si="2178"/>
        <v/>
      </c>
      <c r="R1089" s="62">
        <f t="shared" si="7"/>
        <v>-1114</v>
      </c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</row>
    <row r="1090">
      <c r="A1090" s="60">
        <f>IFERROR(__xludf.DUMMYFUNCTION("""COMPUTED_VALUE"""),15253.0)</f>
        <v>15253</v>
      </c>
      <c r="B1090" s="60" t="str">
        <f>IFERROR(__xludf.DUMMYFUNCTION("""COMPUTED_VALUE"""),"Etienne, Travis")</f>
        <v>Etienne, Travis</v>
      </c>
      <c r="C1090" s="60" t="str">
        <f>IFERROR(__xludf.DUMMYFUNCTION("""COMPUTED_VALUE"""),"RB")</f>
        <v>RB</v>
      </c>
      <c r="D1090" s="60" t="str">
        <f>IFERROR(__xludf.DUMMYFUNCTION("""COMPUTED_VALUE"""),"NOS")</f>
        <v>NOS</v>
      </c>
      <c r="E1090" s="62" t="str">
        <f t="shared" si="4"/>
        <v>Travis Etienne</v>
      </c>
      <c r="F1090" s="62">
        <f t="shared" ref="F1090:G1090" si="2179">IF(isblank(F$1),,IF(isblank($A1090),,IFERROR(vlookup($A1090,indirect("'TVC-"&amp;text(month(F$1),"00")&amp;"'!$A:$D"),4,false),1)))</f>
        <v>4396</v>
      </c>
      <c r="G1090" s="62">
        <f t="shared" si="2179"/>
        <v>4490</v>
      </c>
      <c r="H1090" s="62">
        <f t="shared" ref="H1090:Q1090" si="2180">IF(isblank(H$1),,IFERROR(vlookup($A1090,indirect("'TVC-"&amp;text(month(H$1),"00")&amp;"'!$A:$D"),4,false),1))</f>
        <v>4500</v>
      </c>
      <c r="I1090" s="62">
        <f t="shared" si="2180"/>
        <v>4697</v>
      </c>
      <c r="J1090" s="62">
        <f t="shared" si="2180"/>
        <v>4432</v>
      </c>
      <c r="K1090" s="62">
        <f t="shared" si="2180"/>
        <v>4503</v>
      </c>
      <c r="L1090" s="62">
        <f t="shared" si="2180"/>
        <v>4468</v>
      </c>
      <c r="M1090" s="62">
        <f t="shared" si="2180"/>
        <v>4373</v>
      </c>
      <c r="N1090" s="62">
        <f t="shared" si="2180"/>
        <v>4449</v>
      </c>
      <c r="O1090" s="62">
        <f t="shared" si="2180"/>
        <v>1</v>
      </c>
      <c r="P1090" s="62" t="str">
        <f t="shared" si="2180"/>
        <v/>
      </c>
      <c r="Q1090" s="62" t="str">
        <f t="shared" si="2180"/>
        <v/>
      </c>
      <c r="R1090" s="62">
        <f t="shared" si="7"/>
        <v>-4448</v>
      </c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</row>
    <row r="1091" hidden="1">
      <c r="A1091" s="60">
        <f>IFERROR(__xludf.DUMMYFUNCTION("""COMPUTED_VALUE"""),15254.0)</f>
        <v>15254</v>
      </c>
      <c r="B1091" s="60" t="str">
        <f>IFERROR(__xludf.DUMMYFUNCTION("""COMPUTED_VALUE"""),"Harris, Najee")</f>
        <v>Harris, Najee</v>
      </c>
      <c r="C1091" s="60" t="str">
        <f>IFERROR(__xludf.DUMMYFUNCTION("""COMPUTED_VALUE"""),"RB")</f>
        <v>RB</v>
      </c>
      <c r="D1091" s="60" t="str">
        <f>IFERROR(__xludf.DUMMYFUNCTION("""COMPUTED_VALUE"""),"NYG")</f>
        <v>NYG</v>
      </c>
      <c r="E1091" s="62" t="str">
        <f t="shared" si="4"/>
        <v>Najee Harris</v>
      </c>
      <c r="F1091" s="62">
        <f t="shared" ref="F1091:G1091" si="2181">IF(isblank(F$1),,IF(isblank($A1091),,IFERROR(vlookup($A1091,indirect("'TVC-"&amp;text(month(F$1),"00")&amp;"'!$A:$D"),4,false),1)))</f>
        <v>1775</v>
      </c>
      <c r="G1091" s="62">
        <f t="shared" si="2181"/>
        <v>1848</v>
      </c>
      <c r="H1091" s="62">
        <f t="shared" ref="H1091:Q1091" si="2182">IF(isblank(H$1),,IFERROR(vlookup($A1091,indirect("'TVC-"&amp;text(month(H$1),"00")&amp;"'!$A:$D"),4,false),1))</f>
        <v>1864</v>
      </c>
      <c r="I1091" s="62">
        <f t="shared" si="2182"/>
        <v>1851</v>
      </c>
      <c r="J1091" s="62">
        <f t="shared" si="2182"/>
        <v>1877</v>
      </c>
      <c r="K1091" s="62">
        <f t="shared" si="2182"/>
        <v>1685</v>
      </c>
      <c r="L1091" s="62">
        <f t="shared" si="2182"/>
        <v>1557</v>
      </c>
      <c r="M1091" s="62">
        <f t="shared" si="2182"/>
        <v>1164</v>
      </c>
      <c r="N1091" s="62">
        <f t="shared" si="2182"/>
        <v>1613</v>
      </c>
      <c r="O1091" s="62">
        <f t="shared" si="2182"/>
        <v>1</v>
      </c>
      <c r="P1091" s="62" t="str">
        <f t="shared" si="2182"/>
        <v/>
      </c>
      <c r="Q1091" s="62" t="str">
        <f t="shared" si="2182"/>
        <v/>
      </c>
      <c r="R1091" s="62">
        <f t="shared" si="7"/>
        <v>-1612</v>
      </c>
      <c r="S1091" s="62"/>
      <c r="T1091" s="62"/>
      <c r="U1091" s="62"/>
      <c r="V1091" s="62"/>
      <c r="W1091" s="62"/>
      <c r="X1091" s="62"/>
      <c r="Y1091" s="62"/>
      <c r="Z1091" s="62"/>
      <c r="AA1091" s="62"/>
      <c r="AB1091" s="62"/>
      <c r="AC1091" s="62"/>
    </row>
    <row r="1092">
      <c r="A1092" s="60">
        <f>IFERROR(__xludf.DUMMYFUNCTION("""COMPUTED_VALUE"""),15255.0)</f>
        <v>15255</v>
      </c>
      <c r="B1092" s="60" t="str">
        <f>IFERROR(__xludf.DUMMYFUNCTION("""COMPUTED_VALUE"""),"Gainwell, Kenneth")</f>
        <v>Gainwell, Kenneth</v>
      </c>
      <c r="C1092" s="60" t="str">
        <f>IFERROR(__xludf.DUMMYFUNCTION("""COMPUTED_VALUE"""),"RB")</f>
        <v>RB</v>
      </c>
      <c r="D1092" s="60" t="str">
        <f>IFERROR(__xludf.DUMMYFUNCTION("""COMPUTED_VALUE"""),"TBB")</f>
        <v>TBB</v>
      </c>
      <c r="E1092" s="62" t="str">
        <f t="shared" si="4"/>
        <v>Kenneth Gainwell</v>
      </c>
      <c r="F1092" s="62">
        <f t="shared" ref="F1092:G1092" si="2183">IF(isblank(F$1),,IF(isblank($A1092),,IFERROR(vlookup($A1092,indirect("'TVC-"&amp;text(month(F$1),"00")&amp;"'!$A:$D"),4,false),1)))</f>
        <v>2779</v>
      </c>
      <c r="G1092" s="62">
        <f t="shared" si="2183"/>
        <v>2804</v>
      </c>
      <c r="H1092" s="62">
        <f t="shared" ref="H1092:Q1092" si="2184">IF(isblank(H$1),,IFERROR(vlookup($A1092,indirect("'TVC-"&amp;text(month(H$1),"00")&amp;"'!$A:$D"),4,false),1))</f>
        <v>2786</v>
      </c>
      <c r="I1092" s="62">
        <f t="shared" si="2184"/>
        <v>2927</v>
      </c>
      <c r="J1092" s="62">
        <f t="shared" si="2184"/>
        <v>2852</v>
      </c>
      <c r="K1092" s="62">
        <f t="shared" si="2184"/>
        <v>2829</v>
      </c>
      <c r="L1092" s="62">
        <f t="shared" si="2184"/>
        <v>2912</v>
      </c>
      <c r="M1092" s="62">
        <f t="shared" si="2184"/>
        <v>2991</v>
      </c>
      <c r="N1092" s="62">
        <f t="shared" si="2184"/>
        <v>2965</v>
      </c>
      <c r="O1092" s="62">
        <f t="shared" si="2184"/>
        <v>1</v>
      </c>
      <c r="P1092" s="62" t="str">
        <f t="shared" si="2184"/>
        <v/>
      </c>
      <c r="Q1092" s="62" t="str">
        <f t="shared" si="2184"/>
        <v/>
      </c>
      <c r="R1092" s="62">
        <f t="shared" si="7"/>
        <v>-2964</v>
      </c>
      <c r="S1092" s="62"/>
      <c r="T1092" s="62"/>
      <c r="U1092" s="62"/>
      <c r="V1092" s="62"/>
      <c r="W1092" s="62"/>
      <c r="X1092" s="62"/>
      <c r="Y1092" s="62"/>
      <c r="Z1092" s="62"/>
      <c r="AA1092" s="62"/>
      <c r="AB1092" s="62"/>
      <c r="AC1092" s="62"/>
    </row>
    <row r="1093" hidden="1">
      <c r="A1093" s="60">
        <f>IFERROR(__xludf.DUMMYFUNCTION("""COMPUTED_VALUE"""),15256.0)</f>
        <v>15256</v>
      </c>
      <c r="B1093" s="60" t="str">
        <f>IFERROR(__xludf.DUMMYFUNCTION("""COMPUTED_VALUE"""),"Williams, Javonte")</f>
        <v>Williams, Javonte</v>
      </c>
      <c r="C1093" s="60" t="str">
        <f>IFERROR(__xludf.DUMMYFUNCTION("""COMPUTED_VALUE"""),"RB")</f>
        <v>RB</v>
      </c>
      <c r="D1093" s="60" t="str">
        <f>IFERROR(__xludf.DUMMYFUNCTION("""COMPUTED_VALUE"""),"DAL")</f>
        <v>DAL</v>
      </c>
      <c r="E1093" s="62" t="str">
        <f t="shared" si="4"/>
        <v>Javonte Williams</v>
      </c>
      <c r="F1093" s="62">
        <f t="shared" ref="F1093:G1093" si="2185">IF(isblank(F$1),,IF(isblank($A1093),,IFERROR(vlookup($A1093,indirect("'TVC-"&amp;text(month(F$1),"00")&amp;"'!$A:$D"),4,false),1)))</f>
        <v>4331</v>
      </c>
      <c r="G1093" s="62">
        <f t="shared" si="2185"/>
        <v>4384</v>
      </c>
      <c r="H1093" s="62">
        <f t="shared" ref="H1093:Q1093" si="2186">IF(isblank(H$1),,IFERROR(vlookup($A1093,indirect("'TVC-"&amp;text(month(H$1),"00")&amp;"'!$A:$D"),4,false),1))</f>
        <v>4548</v>
      </c>
      <c r="I1093" s="62">
        <f t="shared" si="2186"/>
        <v>4576</v>
      </c>
      <c r="J1093" s="62">
        <f t="shared" si="2186"/>
        <v>4416</v>
      </c>
      <c r="K1093" s="62">
        <f t="shared" si="2186"/>
        <v>4543</v>
      </c>
      <c r="L1093" s="62">
        <f t="shared" si="2186"/>
        <v>4486</v>
      </c>
      <c r="M1093" s="62">
        <f t="shared" si="2186"/>
        <v>4599</v>
      </c>
      <c r="N1093" s="62">
        <f t="shared" si="2186"/>
        <v>4792</v>
      </c>
      <c r="O1093" s="62">
        <f t="shared" si="2186"/>
        <v>1</v>
      </c>
      <c r="P1093" s="62" t="str">
        <f t="shared" si="2186"/>
        <v/>
      </c>
      <c r="Q1093" s="62" t="str">
        <f t="shared" si="2186"/>
        <v/>
      </c>
      <c r="R1093" s="62">
        <f t="shared" si="7"/>
        <v>-4791</v>
      </c>
      <c r="S1093" s="62"/>
      <c r="T1093" s="62"/>
      <c r="U1093" s="62"/>
      <c r="V1093" s="62"/>
      <c r="W1093" s="62"/>
      <c r="X1093" s="62"/>
      <c r="Y1093" s="62"/>
      <c r="Z1093" s="62"/>
      <c r="AA1093" s="62"/>
      <c r="AB1093" s="62"/>
      <c r="AC1093" s="62"/>
    </row>
    <row r="1094">
      <c r="A1094" s="60">
        <f>IFERROR(__xludf.DUMMYFUNCTION("""COMPUTED_VALUE"""),15257.0)</f>
        <v>15257</v>
      </c>
      <c r="B1094" s="60" t="str">
        <f>IFERROR(__xludf.DUMMYFUNCTION("""COMPUTED_VALUE"""),"Sermon, Trey")</f>
        <v>Sermon, Trey</v>
      </c>
      <c r="C1094" s="60" t="str">
        <f>IFERROR(__xludf.DUMMYFUNCTION("""COMPUTED_VALUE"""),"RB")</f>
        <v>RB</v>
      </c>
      <c r="D1094" s="60" t="str">
        <f>IFERROR(__xludf.DUMMYFUNCTION("""COMPUTED_VALUE"""),"ATL")</f>
        <v>ATL</v>
      </c>
      <c r="E1094" s="62" t="str">
        <f t="shared" si="4"/>
        <v>Trey Sermon</v>
      </c>
      <c r="F1094" s="62">
        <f t="shared" ref="F1094:G1094" si="2187">IF(isblank(F$1),,IF(isblank($A1094),,IFERROR(vlookup($A1094,indirect("'TVC-"&amp;text(month(F$1),"00")&amp;"'!$A:$D"),4,false),1)))</f>
        <v>471</v>
      </c>
      <c r="G1094" s="62">
        <f t="shared" si="2187"/>
        <v>1</v>
      </c>
      <c r="H1094" s="62">
        <f t="shared" ref="H1094:Q1094" si="2188">IF(isblank(H$1),,IFERROR(vlookup($A1094,indirect("'TVC-"&amp;text(month(H$1),"00")&amp;"'!$A:$D"),4,false),1))</f>
        <v>1</v>
      </c>
      <c r="I1094" s="62">
        <f t="shared" si="2188"/>
        <v>1</v>
      </c>
      <c r="J1094" s="62">
        <f t="shared" si="2188"/>
        <v>1</v>
      </c>
      <c r="K1094" s="62">
        <f t="shared" si="2188"/>
        <v>1</v>
      </c>
      <c r="L1094" s="62">
        <f t="shared" si="2188"/>
        <v>1</v>
      </c>
      <c r="M1094" s="62">
        <f t="shared" si="2188"/>
        <v>1</v>
      </c>
      <c r="N1094" s="62">
        <f t="shared" si="2188"/>
        <v>1</v>
      </c>
      <c r="O1094" s="62">
        <f t="shared" si="2188"/>
        <v>1</v>
      </c>
      <c r="P1094" s="62" t="str">
        <f t="shared" si="2188"/>
        <v/>
      </c>
      <c r="Q1094" s="62" t="str">
        <f t="shared" si="2188"/>
        <v/>
      </c>
      <c r="R1094" s="62">
        <f t="shared" si="7"/>
        <v>0</v>
      </c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</row>
    <row r="1095">
      <c r="A1095" s="60">
        <f>IFERROR(__xludf.DUMMYFUNCTION("""COMPUTED_VALUE"""),15258.0)</f>
        <v>15258</v>
      </c>
      <c r="B1095" s="60" t="str">
        <f>IFERROR(__xludf.DUMMYFUNCTION("""COMPUTED_VALUE"""),"Carter, Michael")</f>
        <v>Carter, Michael</v>
      </c>
      <c r="C1095" s="60" t="str">
        <f>IFERROR(__xludf.DUMMYFUNCTION("""COMPUTED_VALUE"""),"RB")</f>
        <v>RB</v>
      </c>
      <c r="D1095" s="60" t="str">
        <f>IFERROR(__xludf.DUMMYFUNCTION("""COMPUTED_VALUE"""),"TEN")</f>
        <v>TEN</v>
      </c>
      <c r="E1095" s="62" t="str">
        <f t="shared" si="4"/>
        <v>Michael Carter</v>
      </c>
      <c r="F1095" s="62">
        <f t="shared" ref="F1095:G1095" si="2189">IF(isblank(F$1),,IF(isblank($A1095),,IFERROR(vlookup($A1095,indirect("'TVC-"&amp;text(month(F$1),"00")&amp;"'!$A:$D"),4,false),1)))</f>
        <v>1676</v>
      </c>
      <c r="G1095" s="62">
        <f t="shared" si="2189"/>
        <v>1541</v>
      </c>
      <c r="H1095" s="62">
        <f t="shared" ref="H1095:Q1095" si="2190">IF(isblank(H$1),,IFERROR(vlookup($A1095,indirect("'TVC-"&amp;text(month(H$1),"00")&amp;"'!$A:$D"),4,false),1))</f>
        <v>1511</v>
      </c>
      <c r="I1095" s="62">
        <f t="shared" si="2190"/>
        <v>1409</v>
      </c>
      <c r="J1095" s="62">
        <f t="shared" si="2190"/>
        <v>1133</v>
      </c>
      <c r="K1095" s="62">
        <f t="shared" si="2190"/>
        <v>999</v>
      </c>
      <c r="L1095" s="62">
        <f t="shared" si="2190"/>
        <v>976</v>
      </c>
      <c r="M1095" s="62">
        <f t="shared" si="2190"/>
        <v>967</v>
      </c>
      <c r="N1095" s="62">
        <f t="shared" si="2190"/>
        <v>873</v>
      </c>
      <c r="O1095" s="62">
        <f t="shared" si="2190"/>
        <v>1</v>
      </c>
      <c r="P1095" s="62" t="str">
        <f t="shared" si="2190"/>
        <v/>
      </c>
      <c r="Q1095" s="62" t="str">
        <f t="shared" si="2190"/>
        <v/>
      </c>
      <c r="R1095" s="62">
        <f t="shared" si="7"/>
        <v>-872</v>
      </c>
      <c r="S1095" s="62"/>
      <c r="T1095" s="62"/>
      <c r="U1095" s="62"/>
      <c r="V1095" s="62"/>
      <c r="W1095" s="62"/>
      <c r="X1095" s="62"/>
      <c r="Y1095" s="62"/>
      <c r="Z1095" s="62"/>
      <c r="AA1095" s="62"/>
      <c r="AB1095" s="62"/>
      <c r="AC1095" s="62"/>
    </row>
    <row r="1096">
      <c r="A1096" s="60">
        <f>IFERROR(__xludf.DUMMYFUNCTION("""COMPUTED_VALUE"""),15259.0)</f>
        <v>15259</v>
      </c>
      <c r="B1096" s="60" t="str">
        <f>IFERROR(__xludf.DUMMYFUNCTION("""COMPUTED_VALUE"""),"Stevenson, Rhamondre")</f>
        <v>Stevenson, Rhamondre</v>
      </c>
      <c r="C1096" s="60" t="str">
        <f>IFERROR(__xludf.DUMMYFUNCTION("""COMPUTED_VALUE"""),"RB")</f>
        <v>RB</v>
      </c>
      <c r="D1096" s="60" t="str">
        <f>IFERROR(__xludf.DUMMYFUNCTION("""COMPUTED_VALUE"""),"NEP")</f>
        <v>NEP</v>
      </c>
      <c r="E1096" s="62" t="str">
        <f t="shared" si="4"/>
        <v>Rhamondre Stevenson</v>
      </c>
      <c r="F1096" s="62">
        <f t="shared" ref="F1096:G1096" si="2191">IF(isblank(F$1),,IF(isblank($A1096),,IFERROR(vlookup($A1096,indirect("'TVC-"&amp;text(month(F$1),"00")&amp;"'!$A:$D"),4,false),1)))</f>
        <v>2601</v>
      </c>
      <c r="G1096" s="62">
        <f t="shared" si="2191"/>
        <v>2975</v>
      </c>
      <c r="H1096" s="62">
        <f t="shared" ref="H1096:Q1096" si="2192">IF(isblank(H$1),,IFERROR(vlookup($A1096,indirect("'TVC-"&amp;text(month(H$1),"00")&amp;"'!$A:$D"),4,false),1))</f>
        <v>3023</v>
      </c>
      <c r="I1096" s="62">
        <f t="shared" si="2192"/>
        <v>2993</v>
      </c>
      <c r="J1096" s="62">
        <f t="shared" si="2192"/>
        <v>2924</v>
      </c>
      <c r="K1096" s="62">
        <f t="shared" si="2192"/>
        <v>2917</v>
      </c>
      <c r="L1096" s="62">
        <f t="shared" si="2192"/>
        <v>2943</v>
      </c>
      <c r="M1096" s="62">
        <f t="shared" si="2192"/>
        <v>3050</v>
      </c>
      <c r="N1096" s="62">
        <f t="shared" si="2192"/>
        <v>3278</v>
      </c>
      <c r="O1096" s="62">
        <f t="shared" si="2192"/>
        <v>1</v>
      </c>
      <c r="P1096" s="62" t="str">
        <f t="shared" si="2192"/>
        <v/>
      </c>
      <c r="Q1096" s="62" t="str">
        <f t="shared" si="2192"/>
        <v/>
      </c>
      <c r="R1096" s="62">
        <f t="shared" si="7"/>
        <v>-3277</v>
      </c>
      <c r="S1096" s="62"/>
      <c r="T1096" s="62"/>
      <c r="U1096" s="62"/>
      <c r="V1096" s="62"/>
      <c r="W1096" s="62"/>
      <c r="X1096" s="62"/>
      <c r="Y1096" s="62"/>
      <c r="Z1096" s="62"/>
      <c r="AA1096" s="62"/>
      <c r="AB1096" s="62"/>
      <c r="AC1096" s="62"/>
    </row>
    <row r="1097">
      <c r="A1097" s="60">
        <f>IFERROR(__xludf.DUMMYFUNCTION("""COMPUTED_VALUE"""),15260.0)</f>
        <v>15260</v>
      </c>
      <c r="B1097" s="60" t="str">
        <f>IFERROR(__xludf.DUMMYFUNCTION("""COMPUTED_VALUE"""),"Patterson, Jaret")</f>
        <v>Patterson, Jaret</v>
      </c>
      <c r="C1097" s="60" t="str">
        <f>IFERROR(__xludf.DUMMYFUNCTION("""COMPUTED_VALUE"""),"RB")</f>
        <v>RB</v>
      </c>
      <c r="D1097" s="60" t="str">
        <f>IFERROR(__xludf.DUMMYFUNCTION("""COMPUTED_VALUE"""),"CLE")</f>
        <v>CLE</v>
      </c>
      <c r="E1097" s="62" t="str">
        <f t="shared" si="4"/>
        <v>Jaret Patterson</v>
      </c>
      <c r="F1097" s="62">
        <f t="shared" ref="F1097:G1097" si="2193">IF(isblank(F$1),,IF(isblank($A1097),,IFERROR(vlookup($A1097,indirect("'TVC-"&amp;text(month(F$1),"00")&amp;"'!$A:$D"),4,false),1)))</f>
        <v>1</v>
      </c>
      <c r="G1097" s="62">
        <f t="shared" si="2193"/>
        <v>1</v>
      </c>
      <c r="H1097" s="62">
        <f t="shared" ref="H1097:Q1097" si="2194">IF(isblank(H$1),,IFERROR(vlookup($A1097,indirect("'TVC-"&amp;text(month(H$1),"00")&amp;"'!$A:$D"),4,false),1))</f>
        <v>1</v>
      </c>
      <c r="I1097" s="62">
        <f t="shared" si="2194"/>
        <v>1</v>
      </c>
      <c r="J1097" s="62">
        <f t="shared" si="2194"/>
        <v>1</v>
      </c>
      <c r="K1097" s="62">
        <f t="shared" si="2194"/>
        <v>1</v>
      </c>
      <c r="L1097" s="62">
        <f t="shared" si="2194"/>
        <v>1</v>
      </c>
      <c r="M1097" s="62">
        <f t="shared" si="2194"/>
        <v>1</v>
      </c>
      <c r="N1097" s="62">
        <f t="shared" si="2194"/>
        <v>1</v>
      </c>
      <c r="O1097" s="62">
        <f t="shared" si="2194"/>
        <v>1</v>
      </c>
      <c r="P1097" s="62" t="str">
        <f t="shared" si="2194"/>
        <v/>
      </c>
      <c r="Q1097" s="62" t="str">
        <f t="shared" si="2194"/>
        <v/>
      </c>
      <c r="R1097" s="62">
        <f t="shared" si="7"/>
        <v>0</v>
      </c>
      <c r="S1097" s="62"/>
      <c r="T1097" s="62"/>
      <c r="U1097" s="62"/>
      <c r="V1097" s="62"/>
      <c r="W1097" s="62"/>
      <c r="X1097" s="62"/>
      <c r="Y1097" s="62"/>
      <c r="Z1097" s="62"/>
      <c r="AA1097" s="62"/>
      <c r="AB1097" s="62"/>
      <c r="AC1097" s="62"/>
    </row>
    <row r="1098" hidden="1">
      <c r="A1098" s="60">
        <f>IFERROR(__xludf.DUMMYFUNCTION("""COMPUTED_VALUE"""),15261.0)</f>
        <v>15261</v>
      </c>
      <c r="B1098" s="60" t="str">
        <f>IFERROR(__xludf.DUMMYFUNCTION("""COMPUTED_VALUE"""),"Hubbard, Chuba")</f>
        <v>Hubbard, Chuba</v>
      </c>
      <c r="C1098" s="60" t="str">
        <f>IFERROR(__xludf.DUMMYFUNCTION("""COMPUTED_VALUE"""),"RB")</f>
        <v>RB</v>
      </c>
      <c r="D1098" s="60" t="str">
        <f>IFERROR(__xludf.DUMMYFUNCTION("""COMPUTED_VALUE"""),"CAR")</f>
        <v>CAR</v>
      </c>
      <c r="E1098" s="62" t="str">
        <f t="shared" si="4"/>
        <v>Chuba Hubbard</v>
      </c>
      <c r="F1098" s="62">
        <f t="shared" ref="F1098:G1098" si="2195">IF(isblank(F$1),,IF(isblank($A1098),,IFERROR(vlookup($A1098,indirect("'TVC-"&amp;text(month(F$1),"00")&amp;"'!$A:$D"),4,false),1)))</f>
        <v>2919</v>
      </c>
      <c r="G1098" s="62">
        <f t="shared" si="2195"/>
        <v>3050</v>
      </c>
      <c r="H1098" s="62">
        <f t="shared" ref="H1098:Q1098" si="2196">IF(isblank(H$1),,IFERROR(vlookup($A1098,indirect("'TVC-"&amp;text(month(H$1),"00")&amp;"'!$A:$D"),4,false),1))</f>
        <v>3090</v>
      </c>
      <c r="I1098" s="62">
        <f t="shared" si="2196"/>
        <v>3397</v>
      </c>
      <c r="J1098" s="62">
        <f t="shared" si="2196"/>
        <v>3341</v>
      </c>
      <c r="K1098" s="62">
        <f t="shared" si="2196"/>
        <v>3326</v>
      </c>
      <c r="L1098" s="62">
        <f t="shared" si="2196"/>
        <v>3325</v>
      </c>
      <c r="M1098" s="62">
        <f t="shared" si="2196"/>
        <v>3176</v>
      </c>
      <c r="N1098" s="62">
        <f t="shared" si="2196"/>
        <v>3069</v>
      </c>
      <c r="O1098" s="62">
        <f t="shared" si="2196"/>
        <v>1</v>
      </c>
      <c r="P1098" s="62" t="str">
        <f t="shared" si="2196"/>
        <v/>
      </c>
      <c r="Q1098" s="62" t="str">
        <f t="shared" si="2196"/>
        <v/>
      </c>
      <c r="R1098" s="62">
        <f t="shared" si="7"/>
        <v>-3068</v>
      </c>
      <c r="S1098" s="62"/>
      <c r="T1098" s="62"/>
      <c r="U1098" s="62"/>
      <c r="V1098" s="62"/>
      <c r="W1098" s="62"/>
      <c r="X1098" s="62"/>
      <c r="Y1098" s="62"/>
      <c r="Z1098" s="62"/>
      <c r="AA1098" s="62"/>
      <c r="AB1098" s="62"/>
      <c r="AC1098" s="62"/>
    </row>
    <row r="1099">
      <c r="A1099" s="60">
        <f>IFERROR(__xludf.DUMMYFUNCTION("""COMPUTED_VALUE"""),15262.0)</f>
        <v>15262</v>
      </c>
      <c r="B1099" s="60" t="str">
        <f>IFERROR(__xludf.DUMMYFUNCTION("""COMPUTED_VALUE"""),"Jefferson, Jermar")</f>
        <v>Jefferson, Jermar</v>
      </c>
      <c r="C1099" s="60" t="str">
        <f>IFERROR(__xludf.DUMMYFUNCTION("""COMPUTED_VALUE"""),"RB")</f>
        <v>RB</v>
      </c>
      <c r="D1099" s="60" t="str">
        <f>IFERROR(__xludf.DUMMYFUNCTION("""COMPUTED_VALUE"""),"FA")</f>
        <v>FA</v>
      </c>
      <c r="E1099" s="62" t="str">
        <f t="shared" si="4"/>
        <v>Jermar Jefferson</v>
      </c>
      <c r="F1099" s="62">
        <f t="shared" ref="F1099:G1099" si="2197">IF(isblank(F$1),,IF(isblank($A1099),,IFERROR(vlookup($A1099,indirect("'TVC-"&amp;text(month(F$1),"00")&amp;"'!$A:$D"),4,false),1)))</f>
        <v>1</v>
      </c>
      <c r="G1099" s="62">
        <f t="shared" si="2197"/>
        <v>1</v>
      </c>
      <c r="H1099" s="62">
        <f t="shared" ref="H1099:Q1099" si="2198">IF(isblank(H$1),,IFERROR(vlookup($A1099,indirect("'TVC-"&amp;text(month(H$1),"00")&amp;"'!$A:$D"),4,false),1))</f>
        <v>1</v>
      </c>
      <c r="I1099" s="62">
        <f t="shared" si="2198"/>
        <v>1</v>
      </c>
      <c r="J1099" s="62">
        <f t="shared" si="2198"/>
        <v>1</v>
      </c>
      <c r="K1099" s="62">
        <f t="shared" si="2198"/>
        <v>1</v>
      </c>
      <c r="L1099" s="62">
        <f t="shared" si="2198"/>
        <v>1</v>
      </c>
      <c r="M1099" s="62">
        <f t="shared" si="2198"/>
        <v>1</v>
      </c>
      <c r="N1099" s="62">
        <f t="shared" si="2198"/>
        <v>1</v>
      </c>
      <c r="O1099" s="62">
        <f t="shared" si="2198"/>
        <v>1</v>
      </c>
      <c r="P1099" s="62" t="str">
        <f t="shared" si="2198"/>
        <v/>
      </c>
      <c r="Q1099" s="62" t="str">
        <f t="shared" si="2198"/>
        <v/>
      </c>
      <c r="R1099" s="62">
        <f t="shared" si="7"/>
        <v>0</v>
      </c>
      <c r="S1099" s="62"/>
      <c r="T1099" s="62"/>
      <c r="U1099" s="62"/>
      <c r="V1099" s="62"/>
      <c r="W1099" s="62"/>
      <c r="X1099" s="62"/>
      <c r="Y1099" s="62"/>
      <c r="Z1099" s="62"/>
      <c r="AA1099" s="62"/>
      <c r="AB1099" s="62"/>
      <c r="AC1099" s="62"/>
    </row>
    <row r="1100" hidden="1">
      <c r="A1100" s="60">
        <f>IFERROR(__xludf.DUMMYFUNCTION("""COMPUTED_VALUE"""),15263.0)</f>
        <v>15263</v>
      </c>
      <c r="B1100" s="60" t="str">
        <f>IFERROR(__xludf.DUMMYFUNCTION("""COMPUTED_VALUE"""),"Mitchell, Elijah")</f>
        <v>Mitchell, Elijah</v>
      </c>
      <c r="C1100" s="60" t="str">
        <f>IFERROR(__xludf.DUMMYFUNCTION("""COMPUTED_VALUE"""),"RB")</f>
        <v>RB</v>
      </c>
      <c r="D1100" s="60" t="str">
        <f>IFERROR(__xludf.DUMMYFUNCTION("""COMPUTED_VALUE"""),"FA")</f>
        <v>FA</v>
      </c>
      <c r="E1100" s="62" t="str">
        <f t="shared" si="4"/>
        <v>Elijah Mitchell</v>
      </c>
      <c r="F1100" s="62">
        <f t="shared" ref="F1100:G1100" si="2199">IF(isblank(F$1),,IF(isblank($A1100),,IFERROR(vlookup($A1100,indirect("'TVC-"&amp;text(month(F$1),"00")&amp;"'!$A:$D"),4,false),1)))</f>
        <v>903</v>
      </c>
      <c r="G1100" s="62">
        <f t="shared" si="2199"/>
        <v>869</v>
      </c>
      <c r="H1100" s="62">
        <f t="shared" ref="H1100:Q1100" si="2200">IF(isblank(H$1),,IFERROR(vlookup($A1100,indirect("'TVC-"&amp;text(month(H$1),"00")&amp;"'!$A:$D"),4,false),1))</f>
        <v>872</v>
      </c>
      <c r="I1100" s="62">
        <f t="shared" si="2200"/>
        <v>966</v>
      </c>
      <c r="J1100" s="62">
        <f t="shared" si="2200"/>
        <v>962</v>
      </c>
      <c r="K1100" s="62">
        <f t="shared" si="2200"/>
        <v>1</v>
      </c>
      <c r="L1100" s="62">
        <f t="shared" si="2200"/>
        <v>506</v>
      </c>
      <c r="M1100" s="62">
        <f t="shared" si="2200"/>
        <v>712</v>
      </c>
      <c r="N1100" s="62">
        <f t="shared" si="2200"/>
        <v>1</v>
      </c>
      <c r="O1100" s="62">
        <f t="shared" si="2200"/>
        <v>1</v>
      </c>
      <c r="P1100" s="62" t="str">
        <f t="shared" si="2200"/>
        <v/>
      </c>
      <c r="Q1100" s="62" t="str">
        <f t="shared" si="2200"/>
        <v/>
      </c>
      <c r="R1100" s="62">
        <f t="shared" si="7"/>
        <v>0</v>
      </c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</row>
    <row r="1101">
      <c r="A1101" s="60">
        <f>IFERROR(__xludf.DUMMYFUNCTION("""COMPUTED_VALUE"""),15271.0)</f>
        <v>15271</v>
      </c>
      <c r="B1101" s="60" t="str">
        <f>IFERROR(__xludf.DUMMYFUNCTION("""COMPUTED_VALUE"""),"Herbert, Khalil")</f>
        <v>Herbert, Khalil</v>
      </c>
      <c r="C1101" s="60" t="str">
        <f>IFERROR(__xludf.DUMMYFUNCTION("""COMPUTED_VALUE"""),"RB")</f>
        <v>RB</v>
      </c>
      <c r="D1101" s="60" t="str">
        <f>IFERROR(__xludf.DUMMYFUNCTION("""COMPUTED_VALUE"""),"ATL")</f>
        <v>ATL</v>
      </c>
      <c r="E1101" s="62" t="str">
        <f t="shared" si="4"/>
        <v>Khalil Herbert</v>
      </c>
      <c r="F1101" s="62">
        <f t="shared" ref="F1101:G1101" si="2201">IF(isblank(F$1),,IF(isblank($A1101),,IFERROR(vlookup($A1101,indirect("'TVC-"&amp;text(month(F$1),"00")&amp;"'!$A:$D"),4,false),1)))</f>
        <v>762</v>
      </c>
      <c r="G1101" s="62">
        <f t="shared" si="2201"/>
        <v>810</v>
      </c>
      <c r="H1101" s="62">
        <f t="shared" ref="H1101:Q1101" si="2202">IF(isblank(H$1),,IFERROR(vlookup($A1101,indirect("'TVC-"&amp;text(month(H$1),"00")&amp;"'!$A:$D"),4,false),1))</f>
        <v>843</v>
      </c>
      <c r="I1101" s="62">
        <f t="shared" si="2202"/>
        <v>841</v>
      </c>
      <c r="J1101" s="62">
        <f t="shared" si="2202"/>
        <v>841</v>
      </c>
      <c r="K1101" s="62">
        <f t="shared" si="2202"/>
        <v>1</v>
      </c>
      <c r="L1101" s="62">
        <f t="shared" si="2202"/>
        <v>489</v>
      </c>
      <c r="M1101" s="62">
        <f t="shared" si="2202"/>
        <v>501</v>
      </c>
      <c r="N1101" s="62">
        <f t="shared" si="2202"/>
        <v>956</v>
      </c>
      <c r="O1101" s="62">
        <f t="shared" si="2202"/>
        <v>1</v>
      </c>
      <c r="P1101" s="62" t="str">
        <f t="shared" si="2202"/>
        <v/>
      </c>
      <c r="Q1101" s="62" t="str">
        <f t="shared" si="2202"/>
        <v/>
      </c>
      <c r="R1101" s="62">
        <f t="shared" si="7"/>
        <v>-955</v>
      </c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</row>
    <row r="1102">
      <c r="A1102" s="60">
        <f>IFERROR(__xludf.DUMMYFUNCTION("""COMPUTED_VALUE"""),15281.0)</f>
        <v>15281</v>
      </c>
      <c r="B1102" s="60" t="str">
        <f>IFERROR(__xludf.DUMMYFUNCTION("""COMPUTED_VALUE"""),"Chase, Ja'Marr")</f>
        <v>Chase, Ja'Marr</v>
      </c>
      <c r="C1102" s="60" t="str">
        <f>IFERROR(__xludf.DUMMYFUNCTION("""COMPUTED_VALUE"""),"WR")</f>
        <v>WR</v>
      </c>
      <c r="D1102" s="60" t="str">
        <f>IFERROR(__xludf.DUMMYFUNCTION("""COMPUTED_VALUE"""),"CIN")</f>
        <v>CIN</v>
      </c>
      <c r="E1102" s="62" t="str">
        <f t="shared" si="4"/>
        <v>Ja'Marr Chase</v>
      </c>
      <c r="F1102" s="62">
        <f t="shared" ref="F1102:G1102" si="2203">IF(isblank(F$1),,IF(isblank($A1102),,IFERROR(vlookup($A1102,indirect("'TVC-"&amp;text(month(F$1),"00")&amp;"'!$A:$D"),4,false),1)))</f>
        <v>9639</v>
      </c>
      <c r="G1102" s="62">
        <f t="shared" si="2203"/>
        <v>9821</v>
      </c>
      <c r="H1102" s="62">
        <f t="shared" ref="H1102:Q1102" si="2204">IF(isblank(H$1),,IFERROR(vlookup($A1102,indirect("'TVC-"&amp;text(month(H$1),"00")&amp;"'!$A:$D"),4,false),1))</f>
        <v>9953</v>
      </c>
      <c r="I1102" s="62">
        <f t="shared" si="2204"/>
        <v>9837</v>
      </c>
      <c r="J1102" s="62">
        <f t="shared" si="2204"/>
        <v>9893</v>
      </c>
      <c r="K1102" s="62">
        <f t="shared" si="2204"/>
        <v>9968</v>
      </c>
      <c r="L1102" s="62">
        <f t="shared" si="2204"/>
        <v>9984</v>
      </c>
      <c r="M1102" s="62">
        <f t="shared" si="2204"/>
        <v>9992</v>
      </c>
      <c r="N1102" s="62">
        <f t="shared" si="2204"/>
        <v>9978</v>
      </c>
      <c r="O1102" s="62">
        <f t="shared" si="2204"/>
        <v>1</v>
      </c>
      <c r="P1102" s="62" t="str">
        <f t="shared" si="2204"/>
        <v/>
      </c>
      <c r="Q1102" s="62" t="str">
        <f t="shared" si="2204"/>
        <v/>
      </c>
      <c r="R1102" s="62">
        <f t="shared" si="7"/>
        <v>-9977</v>
      </c>
      <c r="S1102" s="62"/>
      <c r="T1102" s="62"/>
      <c r="U1102" s="62"/>
      <c r="V1102" s="62"/>
      <c r="W1102" s="62"/>
      <c r="X1102" s="62"/>
      <c r="Y1102" s="62"/>
      <c r="Z1102" s="62"/>
      <c r="AA1102" s="62"/>
      <c r="AB1102" s="62"/>
      <c r="AC1102" s="62"/>
    </row>
    <row r="1103" hidden="1">
      <c r="A1103" s="60">
        <f>IFERROR(__xludf.DUMMYFUNCTION("""COMPUTED_VALUE"""),15282.0)</f>
        <v>15282</v>
      </c>
      <c r="B1103" s="60" t="str">
        <f>IFERROR(__xludf.DUMMYFUNCTION("""COMPUTED_VALUE"""),"Smith, DeVonta")</f>
        <v>Smith, DeVonta</v>
      </c>
      <c r="C1103" s="60" t="str">
        <f>IFERROR(__xludf.DUMMYFUNCTION("""COMPUTED_VALUE"""),"WR")</f>
        <v>WR</v>
      </c>
      <c r="D1103" s="60" t="str">
        <f>IFERROR(__xludf.DUMMYFUNCTION("""COMPUTED_VALUE"""),"PHI")</f>
        <v>PHI</v>
      </c>
      <c r="E1103" s="62" t="str">
        <f t="shared" si="4"/>
        <v>DeVonta Smith</v>
      </c>
      <c r="F1103" s="62">
        <f t="shared" ref="F1103:G1103" si="2205">IF(isblank(F$1),,IF(isblank($A1103),,IFERROR(vlookup($A1103,indirect("'TVC-"&amp;text(month(F$1),"00")&amp;"'!$A:$D"),4,false),1)))</f>
        <v>4612</v>
      </c>
      <c r="G1103" s="62">
        <f t="shared" si="2205"/>
        <v>4715</v>
      </c>
      <c r="H1103" s="62">
        <f t="shared" ref="H1103:Q1103" si="2206">IF(isblank(H$1),,IFERROR(vlookup($A1103,indirect("'TVC-"&amp;text(month(H$1),"00")&amp;"'!$A:$D"),4,false),1))</f>
        <v>4797</v>
      </c>
      <c r="I1103" s="62">
        <f t="shared" si="2206"/>
        <v>4919</v>
      </c>
      <c r="J1103" s="62">
        <f t="shared" si="2206"/>
        <v>5158</v>
      </c>
      <c r="K1103" s="62">
        <f t="shared" si="2206"/>
        <v>5259</v>
      </c>
      <c r="L1103" s="62">
        <f t="shared" si="2206"/>
        <v>5453</v>
      </c>
      <c r="M1103" s="62">
        <f t="shared" si="2206"/>
        <v>5442</v>
      </c>
      <c r="N1103" s="62">
        <f t="shared" si="2206"/>
        <v>5569</v>
      </c>
      <c r="O1103" s="62">
        <f t="shared" si="2206"/>
        <v>1</v>
      </c>
      <c r="P1103" s="62" t="str">
        <f t="shared" si="2206"/>
        <v/>
      </c>
      <c r="Q1103" s="62" t="str">
        <f t="shared" si="2206"/>
        <v/>
      </c>
      <c r="R1103" s="62">
        <f t="shared" si="7"/>
        <v>-5568</v>
      </c>
      <c r="S1103" s="62"/>
      <c r="T1103" s="62"/>
      <c r="U1103" s="62"/>
      <c r="V1103" s="62"/>
      <c r="W1103" s="62"/>
      <c r="X1103" s="62"/>
      <c r="Y1103" s="62"/>
      <c r="Z1103" s="62"/>
      <c r="AA1103" s="62"/>
      <c r="AB1103" s="62"/>
      <c r="AC1103" s="62"/>
    </row>
    <row r="1104">
      <c r="A1104" s="60">
        <f>IFERROR(__xludf.DUMMYFUNCTION("""COMPUTED_VALUE"""),15283.0)</f>
        <v>15283</v>
      </c>
      <c r="B1104" s="60" t="str">
        <f>IFERROR(__xludf.DUMMYFUNCTION("""COMPUTED_VALUE"""),"Moore, Rondale")</f>
        <v>Moore, Rondale</v>
      </c>
      <c r="C1104" s="60" t="str">
        <f>IFERROR(__xludf.DUMMYFUNCTION("""COMPUTED_VALUE"""),"XX")</f>
        <v>XX</v>
      </c>
      <c r="D1104" s="60" t="str">
        <f>IFERROR(__xludf.DUMMYFUNCTION("""COMPUTED_VALUE"""),"MIN")</f>
        <v>MIN</v>
      </c>
      <c r="E1104" s="62" t="str">
        <f t="shared" si="4"/>
        <v>Rondale Moore</v>
      </c>
      <c r="F1104" s="62">
        <f t="shared" ref="F1104:G1104" si="2207">IF(isblank(F$1),,IF(isblank($A1104),,IFERROR(vlookup($A1104,indirect("'TVC-"&amp;text(month(F$1),"00")&amp;"'!$A:$D"),4,false),1)))</f>
        <v>953</v>
      </c>
      <c r="G1104" s="62">
        <f t="shared" si="2207"/>
        <v>1006</v>
      </c>
      <c r="H1104" s="62">
        <f t="shared" ref="H1104:Q1104" si="2208">IF(isblank(H$1),,IFERROR(vlookup($A1104,indirect("'TVC-"&amp;text(month(H$1),"00")&amp;"'!$A:$D"),4,false),1))</f>
        <v>911</v>
      </c>
      <c r="I1104" s="62">
        <f t="shared" si="2208"/>
        <v>1</v>
      </c>
      <c r="J1104" s="62">
        <f t="shared" si="2208"/>
        <v>1</v>
      </c>
      <c r="K1104" s="62">
        <f t="shared" si="2208"/>
        <v>1</v>
      </c>
      <c r="L1104" s="62">
        <f t="shared" si="2208"/>
        <v>1</v>
      </c>
      <c r="M1104" s="62">
        <f t="shared" si="2208"/>
        <v>1</v>
      </c>
      <c r="N1104" s="62">
        <f t="shared" si="2208"/>
        <v>1</v>
      </c>
      <c r="O1104" s="62">
        <f t="shared" si="2208"/>
        <v>1</v>
      </c>
      <c r="P1104" s="62" t="str">
        <f t="shared" si="2208"/>
        <v/>
      </c>
      <c r="Q1104" s="62" t="str">
        <f t="shared" si="2208"/>
        <v/>
      </c>
      <c r="R1104" s="62">
        <f t="shared" si="7"/>
        <v>0</v>
      </c>
      <c r="S1104" s="62"/>
      <c r="T1104" s="62"/>
      <c r="U1104" s="62"/>
      <c r="V1104" s="62"/>
      <c r="W1104" s="62"/>
      <c r="X1104" s="62"/>
      <c r="Y1104" s="62"/>
      <c r="Z1104" s="62"/>
      <c r="AA1104" s="62"/>
      <c r="AB1104" s="62"/>
      <c r="AC1104" s="62"/>
    </row>
    <row r="1105">
      <c r="A1105" s="60">
        <f>IFERROR(__xludf.DUMMYFUNCTION("""COMPUTED_VALUE"""),15284.0)</f>
        <v>15284</v>
      </c>
      <c r="B1105" s="60" t="str">
        <f>IFERROR(__xludf.DUMMYFUNCTION("""COMPUTED_VALUE"""),"Waddle, Jaylen")</f>
        <v>Waddle, Jaylen</v>
      </c>
      <c r="C1105" s="60" t="str">
        <f>IFERROR(__xludf.DUMMYFUNCTION("""COMPUTED_VALUE"""),"WR")</f>
        <v>WR</v>
      </c>
      <c r="D1105" s="60" t="str">
        <f>IFERROR(__xludf.DUMMYFUNCTION("""COMPUTED_VALUE"""),"DEN")</f>
        <v>DEN</v>
      </c>
      <c r="E1105" s="62" t="str">
        <f t="shared" si="4"/>
        <v>Jaylen Waddle</v>
      </c>
      <c r="F1105" s="62">
        <f t="shared" ref="F1105:G1105" si="2209">IF(isblank(F$1),,IF(isblank($A1105),,IFERROR(vlookup($A1105,indirect("'TVC-"&amp;text(month(F$1),"00")&amp;"'!$A:$D"),4,false),1)))</f>
        <v>4597</v>
      </c>
      <c r="G1105" s="62">
        <f t="shared" si="2209"/>
        <v>4573</v>
      </c>
      <c r="H1105" s="62">
        <f t="shared" ref="H1105:Q1105" si="2210">IF(isblank(H$1),,IFERROR(vlookup($A1105,indirect("'TVC-"&amp;text(month(H$1),"00")&amp;"'!$A:$D"),4,false),1))</f>
        <v>4606</v>
      </c>
      <c r="I1105" s="62">
        <f t="shared" si="2210"/>
        <v>4867</v>
      </c>
      <c r="J1105" s="62">
        <f t="shared" si="2210"/>
        <v>4900</v>
      </c>
      <c r="K1105" s="62">
        <f t="shared" si="2210"/>
        <v>4824</v>
      </c>
      <c r="L1105" s="62">
        <f t="shared" si="2210"/>
        <v>4767</v>
      </c>
      <c r="M1105" s="62">
        <f t="shared" si="2210"/>
        <v>4896</v>
      </c>
      <c r="N1105" s="62">
        <f t="shared" si="2210"/>
        <v>5191</v>
      </c>
      <c r="O1105" s="62">
        <f t="shared" si="2210"/>
        <v>1</v>
      </c>
      <c r="P1105" s="62" t="str">
        <f t="shared" si="2210"/>
        <v/>
      </c>
      <c r="Q1105" s="62" t="str">
        <f t="shared" si="2210"/>
        <v/>
      </c>
      <c r="R1105" s="62">
        <f t="shared" si="7"/>
        <v>-5190</v>
      </c>
      <c r="S1105" s="62"/>
      <c r="T1105" s="62"/>
      <c r="U1105" s="62"/>
      <c r="V1105" s="62"/>
      <c r="W1105" s="62"/>
      <c r="X1105" s="62"/>
      <c r="Y1105" s="62"/>
      <c r="Z1105" s="62"/>
      <c r="AA1105" s="62"/>
      <c r="AB1105" s="62"/>
      <c r="AC1105" s="62"/>
    </row>
    <row r="1106">
      <c r="A1106" s="60">
        <f>IFERROR(__xludf.DUMMYFUNCTION("""COMPUTED_VALUE"""),15285.0)</f>
        <v>15285</v>
      </c>
      <c r="B1106" s="60" t="str">
        <f>IFERROR(__xludf.DUMMYFUNCTION("""COMPUTED_VALUE"""),"Wallace, Tylan")</f>
        <v>Wallace, Tylan</v>
      </c>
      <c r="C1106" s="60" t="str">
        <f>IFERROR(__xludf.DUMMYFUNCTION("""COMPUTED_VALUE"""),"WR")</f>
        <v>WR</v>
      </c>
      <c r="D1106" s="60" t="str">
        <f>IFERROR(__xludf.DUMMYFUNCTION("""COMPUTED_VALUE"""),"CLE")</f>
        <v>CLE</v>
      </c>
      <c r="E1106" s="62" t="str">
        <f t="shared" si="4"/>
        <v>Tylan Wallace</v>
      </c>
      <c r="F1106" s="62">
        <f t="shared" ref="F1106:G1106" si="2211">IF(isblank(F$1),,IF(isblank($A1106),,IFERROR(vlookup($A1106,indirect("'TVC-"&amp;text(month(F$1),"00")&amp;"'!$A:$D"),4,false),1)))</f>
        <v>832</v>
      </c>
      <c r="G1106" s="62">
        <f t="shared" si="2211"/>
        <v>784</v>
      </c>
      <c r="H1106" s="62">
        <f t="shared" ref="H1106:Q1106" si="2212">IF(isblank(H$1),,IFERROR(vlookup($A1106,indirect("'TVC-"&amp;text(month(H$1),"00")&amp;"'!$A:$D"),4,false),1))</f>
        <v>794</v>
      </c>
      <c r="I1106" s="62">
        <f t="shared" si="2212"/>
        <v>755</v>
      </c>
      <c r="J1106" s="62">
        <f t="shared" si="2212"/>
        <v>572</v>
      </c>
      <c r="K1106" s="62">
        <f t="shared" si="2212"/>
        <v>1</v>
      </c>
      <c r="L1106" s="62">
        <f t="shared" si="2212"/>
        <v>1</v>
      </c>
      <c r="M1106" s="62">
        <f t="shared" si="2212"/>
        <v>1</v>
      </c>
      <c r="N1106" s="62">
        <f t="shared" si="2212"/>
        <v>476</v>
      </c>
      <c r="O1106" s="62">
        <f t="shared" si="2212"/>
        <v>1</v>
      </c>
      <c r="P1106" s="62" t="str">
        <f t="shared" si="2212"/>
        <v/>
      </c>
      <c r="Q1106" s="62" t="str">
        <f t="shared" si="2212"/>
        <v/>
      </c>
      <c r="R1106" s="62">
        <f t="shared" si="7"/>
        <v>-475</v>
      </c>
      <c r="S1106" s="62"/>
      <c r="T1106" s="62"/>
      <c r="U1106" s="62"/>
      <c r="V1106" s="62"/>
      <c r="W1106" s="62"/>
      <c r="X1106" s="62"/>
      <c r="Y1106" s="62"/>
      <c r="Z1106" s="62"/>
      <c r="AA1106" s="62"/>
      <c r="AB1106" s="62"/>
      <c r="AC1106" s="62"/>
    </row>
    <row r="1107">
      <c r="A1107" s="60">
        <f>IFERROR(__xludf.DUMMYFUNCTION("""COMPUTED_VALUE"""),15287.0)</f>
        <v>15287</v>
      </c>
      <c r="B1107" s="60" t="str">
        <f>IFERROR(__xludf.DUMMYFUNCTION("""COMPUTED_VALUE"""),"St. Brown, Amon-Ra")</f>
        <v>St. Brown, Amon-Ra</v>
      </c>
      <c r="C1107" s="60" t="str">
        <f>IFERROR(__xludf.DUMMYFUNCTION("""COMPUTED_VALUE"""),"WR")</f>
        <v>WR</v>
      </c>
      <c r="D1107" s="60" t="str">
        <f>IFERROR(__xludf.DUMMYFUNCTION("""COMPUTED_VALUE"""),"DET")</f>
        <v>DET</v>
      </c>
      <c r="E1107" s="62" t="str">
        <f t="shared" si="4"/>
        <v>Amon-Ra St. Brown</v>
      </c>
      <c r="F1107" s="62">
        <f t="shared" ref="F1107:G1107" si="2213">IF(isblank(F$1),,IF(isblank($A1107),,IFERROR(vlookup($A1107,indirect("'TVC-"&amp;text(month(F$1),"00")&amp;"'!$A:$D"),4,false),1)))</f>
        <v>7596</v>
      </c>
      <c r="G1107" s="62">
        <f t="shared" si="2213"/>
        <v>7648</v>
      </c>
      <c r="H1107" s="62">
        <f t="shared" ref="H1107:Q1107" si="2214">IF(isblank(H$1),,IFERROR(vlookup($A1107,indirect("'TVC-"&amp;text(month(H$1),"00")&amp;"'!$A:$D"),4,false),1))</f>
        <v>7681</v>
      </c>
      <c r="I1107" s="62">
        <f t="shared" si="2214"/>
        <v>7713</v>
      </c>
      <c r="J1107" s="62">
        <f t="shared" si="2214"/>
        <v>7693</v>
      </c>
      <c r="K1107" s="62">
        <f t="shared" si="2214"/>
        <v>7845</v>
      </c>
      <c r="L1107" s="62">
        <f t="shared" si="2214"/>
        <v>7905</v>
      </c>
      <c r="M1107" s="62">
        <f t="shared" si="2214"/>
        <v>7867</v>
      </c>
      <c r="N1107" s="62">
        <f t="shared" si="2214"/>
        <v>8189</v>
      </c>
      <c r="O1107" s="62">
        <f t="shared" si="2214"/>
        <v>1</v>
      </c>
      <c r="P1107" s="62" t="str">
        <f t="shared" si="2214"/>
        <v/>
      </c>
      <c r="Q1107" s="62" t="str">
        <f t="shared" si="2214"/>
        <v/>
      </c>
      <c r="R1107" s="62">
        <f t="shared" si="7"/>
        <v>-8188</v>
      </c>
      <c r="S1107" s="62"/>
      <c r="T1107" s="62"/>
      <c r="U1107" s="62"/>
      <c r="V1107" s="62"/>
      <c r="W1107" s="62"/>
      <c r="X1107" s="62"/>
      <c r="Y1107" s="62"/>
      <c r="Z1107" s="62"/>
      <c r="AA1107" s="62"/>
      <c r="AB1107" s="62"/>
      <c r="AC1107" s="62"/>
    </row>
    <row r="1108" hidden="1">
      <c r="A1108" s="60">
        <f>IFERROR(__xludf.DUMMYFUNCTION("""COMPUTED_VALUE"""),15288.0)</f>
        <v>15288</v>
      </c>
      <c r="B1108" s="60" t="str">
        <f>IFERROR(__xludf.DUMMYFUNCTION("""COMPUTED_VALUE"""),"Moore, Elijah")</f>
        <v>Moore, Elijah</v>
      </c>
      <c r="C1108" s="60" t="str">
        <f>IFERROR(__xludf.DUMMYFUNCTION("""COMPUTED_VALUE"""),"WR")</f>
        <v>WR</v>
      </c>
      <c r="D1108" s="60" t="str">
        <f>IFERROR(__xludf.DUMMYFUNCTION("""COMPUTED_VALUE"""),"PHI")</f>
        <v>PHI</v>
      </c>
      <c r="E1108" s="62" t="str">
        <f t="shared" si="4"/>
        <v>Elijah Moore</v>
      </c>
      <c r="F1108" s="62">
        <f t="shared" ref="F1108:G1108" si="2215">IF(isblank(F$1),,IF(isblank($A1108),,IFERROR(vlookup($A1108,indirect("'TVC-"&amp;text(month(F$1),"00")&amp;"'!$A:$D"),4,false),1)))</f>
        <v>1065</v>
      </c>
      <c r="G1108" s="62">
        <f t="shared" si="2215"/>
        <v>1102</v>
      </c>
      <c r="H1108" s="62">
        <f t="shared" ref="H1108:Q1108" si="2216">IF(isblank(H$1),,IFERROR(vlookup($A1108,indirect("'TVC-"&amp;text(month(H$1),"00")&amp;"'!$A:$D"),4,false),1))</f>
        <v>1078</v>
      </c>
      <c r="I1108" s="62">
        <f t="shared" si="2216"/>
        <v>1223</v>
      </c>
      <c r="J1108" s="62">
        <f t="shared" si="2216"/>
        <v>1287</v>
      </c>
      <c r="K1108" s="62">
        <f t="shared" si="2216"/>
        <v>1203</v>
      </c>
      <c r="L1108" s="62">
        <f t="shared" si="2216"/>
        <v>1153</v>
      </c>
      <c r="M1108" s="62">
        <f t="shared" si="2216"/>
        <v>1149</v>
      </c>
      <c r="N1108" s="62">
        <f t="shared" si="2216"/>
        <v>1197</v>
      </c>
      <c r="O1108" s="62">
        <f t="shared" si="2216"/>
        <v>1</v>
      </c>
      <c r="P1108" s="62" t="str">
        <f t="shared" si="2216"/>
        <v/>
      </c>
      <c r="Q1108" s="62" t="str">
        <f t="shared" si="2216"/>
        <v/>
      </c>
      <c r="R1108" s="62">
        <f t="shared" si="7"/>
        <v>-1196</v>
      </c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</row>
    <row r="1109" hidden="1">
      <c r="A1109" s="60">
        <f>IFERROR(__xludf.DUMMYFUNCTION("""COMPUTED_VALUE"""),15289.0)</f>
        <v>15289</v>
      </c>
      <c r="B1109" s="60" t="str">
        <f>IFERROR(__xludf.DUMMYFUNCTION("""COMPUTED_VALUE"""),"Toney, Kadarius")</f>
        <v>Toney, Kadarius</v>
      </c>
      <c r="C1109" s="60" t="str">
        <f>IFERROR(__xludf.DUMMYFUNCTION("""COMPUTED_VALUE"""),"WR")</f>
        <v>WR</v>
      </c>
      <c r="D1109" s="60" t="str">
        <f>IFERROR(__xludf.DUMMYFUNCTION("""COMPUTED_VALUE"""),"FA")</f>
        <v>FA</v>
      </c>
      <c r="E1109" s="62" t="str">
        <f t="shared" si="4"/>
        <v>Kadarius Toney</v>
      </c>
      <c r="F1109" s="62">
        <f t="shared" ref="F1109:G1109" si="2217">IF(isblank(F$1),,IF(isblank($A1109),,IFERROR(vlookup($A1109,indirect("'TVC-"&amp;text(month(F$1),"00")&amp;"'!$A:$D"),4,false),1)))</f>
        <v>1</v>
      </c>
      <c r="G1109" s="62">
        <f t="shared" si="2217"/>
        <v>1</v>
      </c>
      <c r="H1109" s="62">
        <f t="shared" ref="H1109:Q1109" si="2218">IF(isblank(H$1),,IFERROR(vlookup($A1109,indirect("'TVC-"&amp;text(month(H$1),"00")&amp;"'!$A:$D"),4,false),1))</f>
        <v>1</v>
      </c>
      <c r="I1109" s="62">
        <f t="shared" si="2218"/>
        <v>1</v>
      </c>
      <c r="J1109" s="62">
        <f t="shared" si="2218"/>
        <v>1</v>
      </c>
      <c r="K1109" s="62">
        <f t="shared" si="2218"/>
        <v>1</v>
      </c>
      <c r="L1109" s="62">
        <f t="shared" si="2218"/>
        <v>1</v>
      </c>
      <c r="M1109" s="62">
        <f t="shared" si="2218"/>
        <v>1</v>
      </c>
      <c r="N1109" s="62">
        <f t="shared" si="2218"/>
        <v>1</v>
      </c>
      <c r="O1109" s="62">
        <f t="shared" si="2218"/>
        <v>1</v>
      </c>
      <c r="P1109" s="62" t="str">
        <f t="shared" si="2218"/>
        <v/>
      </c>
      <c r="Q1109" s="62" t="str">
        <f t="shared" si="2218"/>
        <v/>
      </c>
      <c r="R1109" s="62">
        <f t="shared" si="7"/>
        <v>0</v>
      </c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</row>
    <row r="1110" hidden="1">
      <c r="A1110" s="60">
        <f>IFERROR(__xludf.DUMMYFUNCTION("""COMPUTED_VALUE"""),15290.0)</f>
        <v>15290</v>
      </c>
      <c r="B1110" s="60" t="str">
        <f>IFERROR(__xludf.DUMMYFUNCTION("""COMPUTED_VALUE"""),"Collins, Nico")</f>
        <v>Collins, Nico</v>
      </c>
      <c r="C1110" s="60" t="str">
        <f>IFERROR(__xludf.DUMMYFUNCTION("""COMPUTED_VALUE"""),"WR")</f>
        <v>WR</v>
      </c>
      <c r="D1110" s="60" t="str">
        <f>IFERROR(__xludf.DUMMYFUNCTION("""COMPUTED_VALUE"""),"HOU")</f>
        <v>HOU</v>
      </c>
      <c r="E1110" s="62" t="str">
        <f t="shared" si="4"/>
        <v>Nico Collins</v>
      </c>
      <c r="F1110" s="62">
        <f t="shared" ref="F1110:G1110" si="2219">IF(isblank(F$1),,IF(isblank($A1110),,IFERROR(vlookup($A1110,indirect("'TVC-"&amp;text(month(F$1),"00")&amp;"'!$A:$D"),4,false),1)))</f>
        <v>6202</v>
      </c>
      <c r="G1110" s="62">
        <f t="shared" si="2219"/>
        <v>5983</v>
      </c>
      <c r="H1110" s="62">
        <f t="shared" ref="H1110:Q1110" si="2220">IF(isblank(H$1),,IFERROR(vlookup($A1110,indirect("'TVC-"&amp;text(month(H$1),"00")&amp;"'!$A:$D"),4,false),1))</f>
        <v>5988</v>
      </c>
      <c r="I1110" s="62">
        <f t="shared" si="2220"/>
        <v>5772</v>
      </c>
      <c r="J1110" s="62">
        <f t="shared" si="2220"/>
        <v>5638</v>
      </c>
      <c r="K1110" s="62">
        <f t="shared" si="2220"/>
        <v>5585</v>
      </c>
      <c r="L1110" s="62">
        <f t="shared" si="2220"/>
        <v>5592</v>
      </c>
      <c r="M1110" s="62">
        <f t="shared" si="2220"/>
        <v>5576</v>
      </c>
      <c r="N1110" s="62">
        <f t="shared" si="2220"/>
        <v>5732</v>
      </c>
      <c r="O1110" s="62">
        <f t="shared" si="2220"/>
        <v>1</v>
      </c>
      <c r="P1110" s="62" t="str">
        <f t="shared" si="2220"/>
        <v/>
      </c>
      <c r="Q1110" s="62" t="str">
        <f t="shared" si="2220"/>
        <v/>
      </c>
      <c r="R1110" s="62">
        <f t="shared" si="7"/>
        <v>-5731</v>
      </c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</row>
    <row r="1111">
      <c r="A1111" s="60">
        <f>IFERROR(__xludf.DUMMYFUNCTION("""COMPUTED_VALUE"""),15292.0)</f>
        <v>15292</v>
      </c>
      <c r="B1111" s="60" t="str">
        <f>IFERROR(__xludf.DUMMYFUNCTION("""COMPUTED_VALUE"""),"Brown, Dyami")</f>
        <v>Brown, Dyami</v>
      </c>
      <c r="C1111" s="60" t="str">
        <f>IFERROR(__xludf.DUMMYFUNCTION("""COMPUTED_VALUE"""),"WR")</f>
        <v>WR</v>
      </c>
      <c r="D1111" s="60" t="str">
        <f>IFERROR(__xludf.DUMMYFUNCTION("""COMPUTED_VALUE"""),"WAS")</f>
        <v>WAS</v>
      </c>
      <c r="E1111" s="62" t="str">
        <f t="shared" si="4"/>
        <v>Dyami Brown</v>
      </c>
      <c r="F1111" s="62">
        <f t="shared" ref="F1111:G1111" si="2221">IF(isblank(F$1),,IF(isblank($A1111),,IFERROR(vlookup($A1111,indirect("'TVC-"&amp;text(month(F$1),"00")&amp;"'!$A:$D"),4,false),1)))</f>
        <v>1328</v>
      </c>
      <c r="G1111" s="62">
        <f t="shared" si="2221"/>
        <v>1262</v>
      </c>
      <c r="H1111" s="62">
        <f t="shared" ref="H1111:Q1111" si="2222">IF(isblank(H$1),,IFERROR(vlookup($A1111,indirect("'TVC-"&amp;text(month(H$1),"00")&amp;"'!$A:$D"),4,false),1))</f>
        <v>1275</v>
      </c>
      <c r="I1111" s="62">
        <f t="shared" si="2222"/>
        <v>1439</v>
      </c>
      <c r="J1111" s="62">
        <f t="shared" si="2222"/>
        <v>1412</v>
      </c>
      <c r="K1111" s="62">
        <f t="shared" si="2222"/>
        <v>1397</v>
      </c>
      <c r="L1111" s="62">
        <f t="shared" si="2222"/>
        <v>1347</v>
      </c>
      <c r="M1111" s="62">
        <f t="shared" si="2222"/>
        <v>1396</v>
      </c>
      <c r="N1111" s="62">
        <f t="shared" si="2222"/>
        <v>1261</v>
      </c>
      <c r="O1111" s="62">
        <f t="shared" si="2222"/>
        <v>1</v>
      </c>
      <c r="P1111" s="62" t="str">
        <f t="shared" si="2222"/>
        <v/>
      </c>
      <c r="Q1111" s="62" t="str">
        <f t="shared" si="2222"/>
        <v/>
      </c>
      <c r="R1111" s="62">
        <f t="shared" si="7"/>
        <v>-1260</v>
      </c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</row>
    <row r="1112">
      <c r="A1112" s="60">
        <f>IFERROR(__xludf.DUMMYFUNCTION("""COMPUTED_VALUE"""),15293.0)</f>
        <v>15293</v>
      </c>
      <c r="B1112" s="60" t="str">
        <f>IFERROR(__xludf.DUMMYFUNCTION("""COMPUTED_VALUE"""),"Bateman, Rashod")</f>
        <v>Bateman, Rashod</v>
      </c>
      <c r="C1112" s="60" t="str">
        <f>IFERROR(__xludf.DUMMYFUNCTION("""COMPUTED_VALUE"""),"WR")</f>
        <v>WR</v>
      </c>
      <c r="D1112" s="60" t="str">
        <f>IFERROR(__xludf.DUMMYFUNCTION("""COMPUTED_VALUE"""),"BAL")</f>
        <v>BAL</v>
      </c>
      <c r="E1112" s="62" t="str">
        <f t="shared" si="4"/>
        <v>Rashod Bateman</v>
      </c>
      <c r="F1112" s="62">
        <f t="shared" ref="F1112:G1112" si="2223">IF(isblank(F$1),,IF(isblank($A1112),,IFERROR(vlookup($A1112,indirect("'TVC-"&amp;text(month(F$1),"00")&amp;"'!$A:$D"),4,false),1)))</f>
        <v>1981</v>
      </c>
      <c r="G1112" s="62">
        <f t="shared" si="2223"/>
        <v>1953</v>
      </c>
      <c r="H1112" s="62">
        <f t="shared" ref="H1112:Q1112" si="2224">IF(isblank(H$1),,IFERROR(vlookup($A1112,indirect("'TVC-"&amp;text(month(H$1),"00")&amp;"'!$A:$D"),4,false),1))</f>
        <v>2012</v>
      </c>
      <c r="I1112" s="62">
        <f t="shared" si="2224"/>
        <v>2111</v>
      </c>
      <c r="J1112" s="62">
        <f t="shared" si="2224"/>
        <v>2061</v>
      </c>
      <c r="K1112" s="62">
        <f t="shared" si="2224"/>
        <v>2062</v>
      </c>
      <c r="L1112" s="62">
        <f t="shared" si="2224"/>
        <v>2052</v>
      </c>
      <c r="M1112" s="62">
        <f t="shared" si="2224"/>
        <v>1997</v>
      </c>
      <c r="N1112" s="62">
        <f t="shared" si="2224"/>
        <v>2029</v>
      </c>
      <c r="O1112" s="62">
        <f t="shared" si="2224"/>
        <v>1</v>
      </c>
      <c r="P1112" s="62" t="str">
        <f t="shared" si="2224"/>
        <v/>
      </c>
      <c r="Q1112" s="62" t="str">
        <f t="shared" si="2224"/>
        <v/>
      </c>
      <c r="R1112" s="62">
        <f t="shared" si="7"/>
        <v>-2028</v>
      </c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</row>
    <row r="1113">
      <c r="A1113" s="60">
        <f>IFERROR(__xludf.DUMMYFUNCTION("""COMPUTED_VALUE"""),15301.0)</f>
        <v>15301</v>
      </c>
      <c r="B1113" s="60" t="str">
        <f>IFERROR(__xludf.DUMMYFUNCTION("""COMPUTED_VALUE"""),"Atwell, Tutu")</f>
        <v>Atwell, Tutu</v>
      </c>
      <c r="C1113" s="60" t="str">
        <f>IFERROR(__xludf.DUMMYFUNCTION("""COMPUTED_VALUE"""),"WR")</f>
        <v>WR</v>
      </c>
      <c r="D1113" s="60" t="str">
        <f>IFERROR(__xludf.DUMMYFUNCTION("""COMPUTED_VALUE"""),"LAR")</f>
        <v>LAR</v>
      </c>
      <c r="E1113" s="62" t="str">
        <f t="shared" si="4"/>
        <v>Tutu Atwell</v>
      </c>
      <c r="F1113" s="62">
        <f t="shared" ref="F1113:G1113" si="2225">IF(isblank(F$1),,IF(isblank($A1113),,IFERROR(vlookup($A1113,indirect("'TVC-"&amp;text(month(F$1),"00")&amp;"'!$A:$D"),4,false),1)))</f>
        <v>1369</v>
      </c>
      <c r="G1113" s="62">
        <f t="shared" si="2225"/>
        <v>1326</v>
      </c>
      <c r="H1113" s="62">
        <f t="shared" ref="H1113:Q1113" si="2226">IF(isblank(H$1),,IFERROR(vlookup($A1113,indirect("'TVC-"&amp;text(month(H$1),"00")&amp;"'!$A:$D"),4,false),1))</f>
        <v>1333</v>
      </c>
      <c r="I1113" s="62">
        <f t="shared" si="2226"/>
        <v>1612</v>
      </c>
      <c r="J1113" s="62">
        <f t="shared" si="2226"/>
        <v>1709</v>
      </c>
      <c r="K1113" s="62">
        <f t="shared" si="2226"/>
        <v>1624</v>
      </c>
      <c r="L1113" s="62">
        <f t="shared" si="2226"/>
        <v>1561</v>
      </c>
      <c r="M1113" s="62">
        <f t="shared" si="2226"/>
        <v>1495</v>
      </c>
      <c r="N1113" s="62">
        <f t="shared" si="2226"/>
        <v>1412</v>
      </c>
      <c r="O1113" s="62">
        <f t="shared" si="2226"/>
        <v>1</v>
      </c>
      <c r="P1113" s="62" t="str">
        <f t="shared" si="2226"/>
        <v/>
      </c>
      <c r="Q1113" s="62" t="str">
        <f t="shared" si="2226"/>
        <v/>
      </c>
      <c r="R1113" s="62">
        <f t="shared" si="7"/>
        <v>-1411</v>
      </c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</row>
    <row r="1114">
      <c r="A1114" s="60">
        <f>IFERROR(__xludf.DUMMYFUNCTION("""COMPUTED_VALUE"""),15302.0)</f>
        <v>15302</v>
      </c>
      <c r="B1114" s="60" t="str">
        <f>IFERROR(__xludf.DUMMYFUNCTION("""COMPUTED_VALUE"""),"Eskridge, Dee")</f>
        <v>Eskridge, Dee</v>
      </c>
      <c r="C1114" s="60" t="str">
        <f>IFERROR(__xludf.DUMMYFUNCTION("""COMPUTED_VALUE"""),"WR")</f>
        <v>WR</v>
      </c>
      <c r="D1114" s="60" t="str">
        <f>IFERROR(__xludf.DUMMYFUNCTION("""COMPUTED_VALUE"""),"MIA")</f>
        <v>MIA</v>
      </c>
      <c r="E1114" s="62" t="str">
        <f t="shared" si="4"/>
        <v>Dee Eskridge</v>
      </c>
      <c r="F1114" s="62">
        <f t="shared" ref="F1114:G1114" si="2227">IF(isblank(F$1),,IF(isblank($A1114),,IFERROR(vlookup($A1114,indirect("'TVC-"&amp;text(month(F$1),"00")&amp;"'!$A:$D"),4,false),1)))</f>
        <v>1</v>
      </c>
      <c r="G1114" s="62">
        <f t="shared" si="2227"/>
        <v>1</v>
      </c>
      <c r="H1114" s="62">
        <f t="shared" ref="H1114:Q1114" si="2228">IF(isblank(H$1),,IFERROR(vlookup($A1114,indirect("'TVC-"&amp;text(month(H$1),"00")&amp;"'!$A:$D"),4,false),1))</f>
        <v>1</v>
      </c>
      <c r="I1114" s="62">
        <f t="shared" si="2228"/>
        <v>1</v>
      </c>
      <c r="J1114" s="62">
        <f t="shared" si="2228"/>
        <v>1</v>
      </c>
      <c r="K1114" s="62">
        <f t="shared" si="2228"/>
        <v>1</v>
      </c>
      <c r="L1114" s="62">
        <f t="shared" si="2228"/>
        <v>1</v>
      </c>
      <c r="M1114" s="62">
        <f t="shared" si="2228"/>
        <v>1</v>
      </c>
      <c r="N1114" s="62">
        <f t="shared" si="2228"/>
        <v>1</v>
      </c>
      <c r="O1114" s="62">
        <f t="shared" si="2228"/>
        <v>1</v>
      </c>
      <c r="P1114" s="62" t="str">
        <f t="shared" si="2228"/>
        <v/>
      </c>
      <c r="Q1114" s="62" t="str">
        <f t="shared" si="2228"/>
        <v/>
      </c>
      <c r="R1114" s="62">
        <f t="shared" si="7"/>
        <v>0</v>
      </c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</row>
    <row r="1115">
      <c r="A1115" s="60">
        <f>IFERROR(__xludf.DUMMYFUNCTION("""COMPUTED_VALUE"""),15303.0)</f>
        <v>15303</v>
      </c>
      <c r="B1115" s="60" t="str">
        <f>IFERROR(__xludf.DUMMYFUNCTION("""COMPUTED_VALUE"""),"Fehoko, Simi")</f>
        <v>Fehoko, Simi</v>
      </c>
      <c r="C1115" s="60" t="str">
        <f>IFERROR(__xludf.DUMMYFUNCTION("""COMPUTED_VALUE"""),"WR")</f>
        <v>WR</v>
      </c>
      <c r="D1115" s="60" t="str">
        <f>IFERROR(__xludf.DUMMYFUNCTION("""COMPUTED_VALUE"""),"ARI")</f>
        <v>ARI</v>
      </c>
      <c r="E1115" s="62" t="str">
        <f t="shared" si="4"/>
        <v>Simi Fehoko</v>
      </c>
      <c r="F1115" s="62">
        <f t="shared" ref="F1115:G1115" si="2229">IF(isblank(F$1),,IF(isblank($A1115),,IFERROR(vlookup($A1115,indirect("'TVC-"&amp;text(month(F$1),"00")&amp;"'!$A:$D"),4,false),1)))</f>
        <v>1</v>
      </c>
      <c r="G1115" s="62">
        <f t="shared" si="2229"/>
        <v>1</v>
      </c>
      <c r="H1115" s="62">
        <f t="shared" ref="H1115:Q1115" si="2230">IF(isblank(H$1),,IFERROR(vlookup($A1115,indirect("'TVC-"&amp;text(month(H$1),"00")&amp;"'!$A:$D"),4,false),1))</f>
        <v>1</v>
      </c>
      <c r="I1115" s="62">
        <f t="shared" si="2230"/>
        <v>1</v>
      </c>
      <c r="J1115" s="62">
        <f t="shared" si="2230"/>
        <v>1</v>
      </c>
      <c r="K1115" s="62">
        <f t="shared" si="2230"/>
        <v>1</v>
      </c>
      <c r="L1115" s="62">
        <f t="shared" si="2230"/>
        <v>1</v>
      </c>
      <c r="M1115" s="62">
        <f t="shared" si="2230"/>
        <v>1</v>
      </c>
      <c r="N1115" s="62">
        <f t="shared" si="2230"/>
        <v>1</v>
      </c>
      <c r="O1115" s="62">
        <f t="shared" si="2230"/>
        <v>1</v>
      </c>
      <c r="P1115" s="62" t="str">
        <f t="shared" si="2230"/>
        <v/>
      </c>
      <c r="Q1115" s="62" t="str">
        <f t="shared" si="2230"/>
        <v/>
      </c>
      <c r="R1115" s="62">
        <f t="shared" si="7"/>
        <v>0</v>
      </c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</row>
    <row r="1116" hidden="1">
      <c r="A1116" s="60">
        <f>IFERROR(__xludf.DUMMYFUNCTION("""COMPUTED_VALUE"""),15308.0)</f>
        <v>15308</v>
      </c>
      <c r="B1116" s="60" t="str">
        <f>IFERROR(__xludf.DUMMYFUNCTION("""COMPUTED_VALUE"""),"Marshall, Terrace")</f>
        <v>Marshall, Terrace</v>
      </c>
      <c r="C1116" s="60" t="str">
        <f>IFERROR(__xludf.DUMMYFUNCTION("""COMPUTED_VALUE"""),"WR")</f>
        <v>WR</v>
      </c>
      <c r="D1116" s="60" t="str">
        <f>IFERROR(__xludf.DUMMYFUNCTION("""COMPUTED_VALUE"""),"FA")</f>
        <v>FA</v>
      </c>
      <c r="E1116" s="62" t="str">
        <f t="shared" si="4"/>
        <v>Terrace Marshall</v>
      </c>
      <c r="F1116" s="62">
        <f t="shared" ref="F1116:G1116" si="2231">IF(isblank(F$1),,IF(isblank($A1116),,IFERROR(vlookup($A1116,indirect("'TVC-"&amp;text(month(F$1),"00")&amp;"'!$A:$D"),4,false),1)))</f>
        <v>1</v>
      </c>
      <c r="G1116" s="62">
        <f t="shared" si="2231"/>
        <v>1</v>
      </c>
      <c r="H1116" s="62">
        <f t="shared" ref="H1116:Q1116" si="2232">IF(isblank(H$1),,IFERROR(vlookup($A1116,indirect("'TVC-"&amp;text(month(H$1),"00")&amp;"'!$A:$D"),4,false),1))</f>
        <v>1</v>
      </c>
      <c r="I1116" s="62">
        <f t="shared" si="2232"/>
        <v>1</v>
      </c>
      <c r="J1116" s="62">
        <f t="shared" si="2232"/>
        <v>1</v>
      </c>
      <c r="K1116" s="62">
        <f t="shared" si="2232"/>
        <v>1</v>
      </c>
      <c r="L1116" s="62">
        <f t="shared" si="2232"/>
        <v>1</v>
      </c>
      <c r="M1116" s="62">
        <f t="shared" si="2232"/>
        <v>1</v>
      </c>
      <c r="N1116" s="62">
        <f t="shared" si="2232"/>
        <v>1</v>
      </c>
      <c r="O1116" s="62">
        <f t="shared" si="2232"/>
        <v>1</v>
      </c>
      <c r="P1116" s="62" t="str">
        <f t="shared" si="2232"/>
        <v/>
      </c>
      <c r="Q1116" s="62" t="str">
        <f t="shared" si="2232"/>
        <v/>
      </c>
      <c r="R1116" s="62">
        <f t="shared" si="7"/>
        <v>0</v>
      </c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</row>
    <row r="1117" hidden="1">
      <c r="A1117" s="60">
        <f>IFERROR(__xludf.DUMMYFUNCTION("""COMPUTED_VALUE"""),15319.0)</f>
        <v>15319</v>
      </c>
      <c r="B1117" s="60" t="str">
        <f>IFERROR(__xludf.DUMMYFUNCTION("""COMPUTED_VALUE"""),"Palmer, Joshua")</f>
        <v>Palmer, Joshua</v>
      </c>
      <c r="C1117" s="60" t="str">
        <f>IFERROR(__xludf.DUMMYFUNCTION("""COMPUTED_VALUE"""),"WR")</f>
        <v>WR</v>
      </c>
      <c r="D1117" s="60" t="str">
        <f>IFERROR(__xludf.DUMMYFUNCTION("""COMPUTED_VALUE"""),"BUF")</f>
        <v>BUF</v>
      </c>
      <c r="E1117" s="62" t="str">
        <f t="shared" si="4"/>
        <v>Joshua Palmer</v>
      </c>
      <c r="F1117" s="62">
        <f t="shared" ref="F1117:G1117" si="2233">IF(isblank(F$1),,IF(isblank($A1117),,IFERROR(vlookup($A1117,indirect("'TVC-"&amp;text(month(F$1),"00")&amp;"'!$A:$D"),4,false),1)))</f>
        <v>1422</v>
      </c>
      <c r="G1117" s="62">
        <f t="shared" si="2233"/>
        <v>1497</v>
      </c>
      <c r="H1117" s="62">
        <f t="shared" ref="H1117:Q1117" si="2234">IF(isblank(H$1),,IFERROR(vlookup($A1117,indirect("'TVC-"&amp;text(month(H$1),"00")&amp;"'!$A:$D"),4,false),1))</f>
        <v>1511</v>
      </c>
      <c r="I1117" s="62">
        <f t="shared" si="2234"/>
        <v>1583</v>
      </c>
      <c r="J1117" s="62">
        <f t="shared" si="2234"/>
        <v>1637</v>
      </c>
      <c r="K1117" s="62">
        <f t="shared" si="2234"/>
        <v>1610</v>
      </c>
      <c r="L1117" s="62">
        <f t="shared" si="2234"/>
        <v>1546</v>
      </c>
      <c r="M1117" s="62">
        <f t="shared" si="2234"/>
        <v>1520</v>
      </c>
      <c r="N1117" s="62">
        <f t="shared" si="2234"/>
        <v>1519</v>
      </c>
      <c r="O1117" s="62">
        <f t="shared" si="2234"/>
        <v>1</v>
      </c>
      <c r="P1117" s="62" t="str">
        <f t="shared" si="2234"/>
        <v/>
      </c>
      <c r="Q1117" s="62" t="str">
        <f t="shared" si="2234"/>
        <v/>
      </c>
      <c r="R1117" s="62">
        <f t="shared" si="7"/>
        <v>-1518</v>
      </c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</row>
    <row r="1118">
      <c r="A1118" s="60">
        <f>IFERROR(__xludf.DUMMYFUNCTION("""COMPUTED_VALUE"""),15329.0)</f>
        <v>15329</v>
      </c>
      <c r="B1118" s="60" t="str">
        <f>IFERROR(__xludf.DUMMYFUNCTION("""COMPUTED_VALUE"""),"Pitts, Kyle")</f>
        <v>Pitts, Kyle</v>
      </c>
      <c r="C1118" s="60" t="str">
        <f>IFERROR(__xludf.DUMMYFUNCTION("""COMPUTED_VALUE"""),"TE")</f>
        <v>TE</v>
      </c>
      <c r="D1118" s="60" t="str">
        <f>IFERROR(__xludf.DUMMYFUNCTION("""COMPUTED_VALUE"""),"ATL")</f>
        <v>ATL</v>
      </c>
      <c r="E1118" s="62" t="str">
        <f t="shared" si="4"/>
        <v>Kyle Pitts</v>
      </c>
      <c r="F1118" s="62">
        <f t="shared" ref="F1118:G1118" si="2235">IF(isblank(F$1),,IF(isblank($A1118),,IFERROR(vlookup($A1118,indirect("'TVC-"&amp;text(month(F$1),"00")&amp;"'!$A:$D"),4,false),1)))</f>
        <v>4567</v>
      </c>
      <c r="G1118" s="62">
        <f t="shared" si="2235"/>
        <v>5018</v>
      </c>
      <c r="H1118" s="62">
        <f t="shared" ref="H1118:Q1118" si="2236">IF(isblank(H$1),,IFERROR(vlookup($A1118,indirect("'TVC-"&amp;text(month(H$1),"00")&amp;"'!$A:$D"),4,false),1))</f>
        <v>5103</v>
      </c>
      <c r="I1118" s="62">
        <f t="shared" si="2236"/>
        <v>5084</v>
      </c>
      <c r="J1118" s="62">
        <f t="shared" si="2236"/>
        <v>4969</v>
      </c>
      <c r="K1118" s="62">
        <f t="shared" si="2236"/>
        <v>4984</v>
      </c>
      <c r="L1118" s="62">
        <f t="shared" si="2236"/>
        <v>5040</v>
      </c>
      <c r="M1118" s="62">
        <f t="shared" si="2236"/>
        <v>4976</v>
      </c>
      <c r="N1118" s="62">
        <f t="shared" si="2236"/>
        <v>4876</v>
      </c>
      <c r="O1118" s="62">
        <f t="shared" si="2236"/>
        <v>1</v>
      </c>
      <c r="P1118" s="62" t="str">
        <f t="shared" si="2236"/>
        <v/>
      </c>
      <c r="Q1118" s="62" t="str">
        <f t="shared" si="2236"/>
        <v/>
      </c>
      <c r="R1118" s="62">
        <f t="shared" si="7"/>
        <v>-4875</v>
      </c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</row>
    <row r="1119" hidden="1">
      <c r="A1119" s="60">
        <f>IFERROR(__xludf.DUMMYFUNCTION("""COMPUTED_VALUE"""),15330.0)</f>
        <v>15330</v>
      </c>
      <c r="B1119" s="60" t="str">
        <f>IFERROR(__xludf.DUMMYFUNCTION("""COMPUTED_VALUE"""),"Jordan, Brevin")</f>
        <v>Jordan, Brevin</v>
      </c>
      <c r="C1119" s="60" t="str">
        <f>IFERROR(__xludf.DUMMYFUNCTION("""COMPUTED_VALUE"""),"TE")</f>
        <v>TE</v>
      </c>
      <c r="D1119" s="60" t="str">
        <f>IFERROR(__xludf.DUMMYFUNCTION("""COMPUTED_VALUE"""),"HOU")</f>
        <v>HOU</v>
      </c>
      <c r="E1119" s="62" t="str">
        <f t="shared" si="4"/>
        <v>Brevin Jordan</v>
      </c>
      <c r="F1119" s="62">
        <f t="shared" ref="F1119:G1119" si="2237">IF(isblank(F$1),,IF(isblank($A1119),,IFERROR(vlookup($A1119,indirect("'TVC-"&amp;text(month(F$1),"00")&amp;"'!$A:$D"),4,false),1)))</f>
        <v>1303</v>
      </c>
      <c r="G1119" s="62">
        <f t="shared" si="2237"/>
        <v>1354</v>
      </c>
      <c r="H1119" s="62">
        <f t="shared" ref="H1119:Q1119" si="2238">IF(isblank(H$1),,IFERROR(vlookup($A1119,indirect("'TVC-"&amp;text(month(H$1),"00")&amp;"'!$A:$D"),4,false),1))</f>
        <v>1341</v>
      </c>
      <c r="I1119" s="62">
        <f t="shared" si="2238"/>
        <v>1407</v>
      </c>
      <c r="J1119" s="62">
        <f t="shared" si="2238"/>
        <v>1397</v>
      </c>
      <c r="K1119" s="62">
        <f t="shared" si="2238"/>
        <v>1364</v>
      </c>
      <c r="L1119" s="62">
        <f t="shared" si="2238"/>
        <v>1374</v>
      </c>
      <c r="M1119" s="62">
        <f t="shared" si="2238"/>
        <v>1381</v>
      </c>
      <c r="N1119" s="62">
        <f t="shared" si="2238"/>
        <v>1274</v>
      </c>
      <c r="O1119" s="62">
        <f t="shared" si="2238"/>
        <v>1</v>
      </c>
      <c r="P1119" s="62" t="str">
        <f t="shared" si="2238"/>
        <v/>
      </c>
      <c r="Q1119" s="62" t="str">
        <f t="shared" si="2238"/>
        <v/>
      </c>
      <c r="R1119" s="62">
        <f t="shared" si="7"/>
        <v>-1273</v>
      </c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</row>
    <row r="1120" hidden="1">
      <c r="A1120" s="60">
        <f>IFERROR(__xludf.DUMMYFUNCTION("""COMPUTED_VALUE"""),15331.0)</f>
        <v>15331</v>
      </c>
      <c r="B1120" s="60" t="str">
        <f>IFERROR(__xludf.DUMMYFUNCTION("""COMPUTED_VALUE"""),"Freiermuth, Pat")</f>
        <v>Freiermuth, Pat</v>
      </c>
      <c r="C1120" s="60" t="str">
        <f>IFERROR(__xludf.DUMMYFUNCTION("""COMPUTED_VALUE"""),"TE")</f>
        <v>TE</v>
      </c>
      <c r="D1120" s="60" t="str">
        <f>IFERROR(__xludf.DUMMYFUNCTION("""COMPUTED_VALUE"""),"PIT")</f>
        <v>PIT</v>
      </c>
      <c r="E1120" s="62" t="str">
        <f t="shared" si="4"/>
        <v>Pat Freiermuth</v>
      </c>
      <c r="F1120" s="62">
        <f t="shared" ref="F1120:G1120" si="2239">IF(isblank(F$1),,IF(isblank($A1120),,IFERROR(vlookup($A1120,indirect("'TVC-"&amp;text(month(F$1),"00")&amp;"'!$A:$D"),4,false),1)))</f>
        <v>2376</v>
      </c>
      <c r="G1120" s="62">
        <f t="shared" si="2239"/>
        <v>2423</v>
      </c>
      <c r="H1120" s="62">
        <f t="shared" ref="H1120:Q1120" si="2240">IF(isblank(H$1),,IFERROR(vlookup($A1120,indirect("'TVC-"&amp;text(month(H$1),"00")&amp;"'!$A:$D"),4,false),1))</f>
        <v>2446</v>
      </c>
      <c r="I1120" s="62">
        <f t="shared" si="2240"/>
        <v>2591</v>
      </c>
      <c r="J1120" s="62">
        <f t="shared" si="2240"/>
        <v>2530</v>
      </c>
      <c r="K1120" s="62">
        <f t="shared" si="2240"/>
        <v>2634</v>
      </c>
      <c r="L1120" s="62">
        <f t="shared" si="2240"/>
        <v>2582</v>
      </c>
      <c r="M1120" s="62">
        <f t="shared" si="2240"/>
        <v>2700</v>
      </c>
      <c r="N1120" s="62">
        <f t="shared" si="2240"/>
        <v>2536</v>
      </c>
      <c r="O1120" s="62">
        <f t="shared" si="2240"/>
        <v>1</v>
      </c>
      <c r="P1120" s="62" t="str">
        <f t="shared" si="2240"/>
        <v/>
      </c>
      <c r="Q1120" s="62" t="str">
        <f t="shared" si="2240"/>
        <v/>
      </c>
      <c r="R1120" s="62">
        <f t="shared" si="7"/>
        <v>-2535</v>
      </c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</row>
    <row r="1121" hidden="1">
      <c r="A1121" s="60">
        <f>IFERROR(__xludf.DUMMYFUNCTION("""COMPUTED_VALUE"""),15332.0)</f>
        <v>15332</v>
      </c>
      <c r="B1121" s="60" t="str">
        <f>IFERROR(__xludf.DUMMYFUNCTION("""COMPUTED_VALUE"""),"Tremble, Tommy")</f>
        <v>Tremble, Tommy</v>
      </c>
      <c r="C1121" s="60" t="str">
        <f>IFERROR(__xludf.DUMMYFUNCTION("""COMPUTED_VALUE"""),"TE")</f>
        <v>TE</v>
      </c>
      <c r="D1121" s="60" t="str">
        <f>IFERROR(__xludf.DUMMYFUNCTION("""COMPUTED_VALUE"""),"CAR")</f>
        <v>CAR</v>
      </c>
      <c r="E1121" s="62" t="str">
        <f t="shared" si="4"/>
        <v>Tommy Tremble</v>
      </c>
      <c r="F1121" s="62">
        <f t="shared" ref="F1121:G1121" si="2241">IF(isblank(F$1),,IF(isblank($A1121),,IFERROR(vlookup($A1121,indirect("'TVC-"&amp;text(month(F$1),"00")&amp;"'!$A:$D"),4,false),1)))</f>
        <v>1684</v>
      </c>
      <c r="G1121" s="62">
        <f t="shared" si="2241"/>
        <v>1708</v>
      </c>
      <c r="H1121" s="62">
        <f t="shared" ref="H1121:Q1121" si="2242">IF(isblank(H$1),,IFERROR(vlookup($A1121,indirect("'TVC-"&amp;text(month(H$1),"00")&amp;"'!$A:$D"),4,false),1))</f>
        <v>1780</v>
      </c>
      <c r="I1121" s="62">
        <f t="shared" si="2242"/>
        <v>1863</v>
      </c>
      <c r="J1121" s="62">
        <f t="shared" si="2242"/>
        <v>1711</v>
      </c>
      <c r="K1121" s="62">
        <f t="shared" si="2242"/>
        <v>1682</v>
      </c>
      <c r="L1121" s="62">
        <f t="shared" si="2242"/>
        <v>1613</v>
      </c>
      <c r="M1121" s="62">
        <f t="shared" si="2242"/>
        <v>1616</v>
      </c>
      <c r="N1121" s="62">
        <f t="shared" si="2242"/>
        <v>1575</v>
      </c>
      <c r="O1121" s="62">
        <f t="shared" si="2242"/>
        <v>1</v>
      </c>
      <c r="P1121" s="62" t="str">
        <f t="shared" si="2242"/>
        <v/>
      </c>
      <c r="Q1121" s="62" t="str">
        <f t="shared" si="2242"/>
        <v/>
      </c>
      <c r="R1121" s="62">
        <f t="shared" si="7"/>
        <v>-1574</v>
      </c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</row>
    <row r="1122" hidden="1">
      <c r="A1122" s="60">
        <f>IFERROR(__xludf.DUMMYFUNCTION("""COMPUTED_VALUE"""),15334.0)</f>
        <v>15334</v>
      </c>
      <c r="B1122" s="60" t="str">
        <f>IFERROR(__xludf.DUMMYFUNCTION("""COMPUTED_VALUE"""),"Long, Hunter")</f>
        <v>Long, Hunter</v>
      </c>
      <c r="C1122" s="60" t="str">
        <f>IFERROR(__xludf.DUMMYFUNCTION("""COMPUTED_VALUE"""),"TE")</f>
        <v>TE</v>
      </c>
      <c r="D1122" s="60" t="str">
        <f>IFERROR(__xludf.DUMMYFUNCTION("""COMPUTED_VALUE"""),"ARI")</f>
        <v>ARI</v>
      </c>
      <c r="E1122" s="62" t="str">
        <f t="shared" si="4"/>
        <v>Hunter Long</v>
      </c>
      <c r="F1122" s="62">
        <f t="shared" ref="F1122:G1122" si="2243">IF(isblank(F$1),,IF(isblank($A1122),,IFERROR(vlookup($A1122,indirect("'TVC-"&amp;text(month(F$1),"00")&amp;"'!$A:$D"),4,false),1)))</f>
        <v>1075</v>
      </c>
      <c r="G1122" s="62">
        <f t="shared" si="2243"/>
        <v>1</v>
      </c>
      <c r="H1122" s="62">
        <f t="shared" ref="H1122:Q1122" si="2244">IF(isblank(H$1),,IFERROR(vlookup($A1122,indirect("'TVC-"&amp;text(month(H$1),"00")&amp;"'!$A:$D"),4,false),1))</f>
        <v>1</v>
      </c>
      <c r="I1122" s="62">
        <f t="shared" si="2244"/>
        <v>1</v>
      </c>
      <c r="J1122" s="62">
        <f t="shared" si="2244"/>
        <v>1</v>
      </c>
      <c r="K1122" s="62">
        <f t="shared" si="2244"/>
        <v>1</v>
      </c>
      <c r="L1122" s="62">
        <f t="shared" si="2244"/>
        <v>1</v>
      </c>
      <c r="M1122" s="62">
        <f t="shared" si="2244"/>
        <v>1</v>
      </c>
      <c r="N1122" s="62">
        <f t="shared" si="2244"/>
        <v>1</v>
      </c>
      <c r="O1122" s="62">
        <f t="shared" si="2244"/>
        <v>1</v>
      </c>
      <c r="P1122" s="62" t="str">
        <f t="shared" si="2244"/>
        <v/>
      </c>
      <c r="Q1122" s="62" t="str">
        <f t="shared" si="2244"/>
        <v/>
      </c>
      <c r="R1122" s="62">
        <f t="shared" si="7"/>
        <v>0</v>
      </c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</row>
    <row r="1123" hidden="1">
      <c r="A1123" s="60">
        <f>IFERROR(__xludf.DUMMYFUNCTION("""COMPUTED_VALUE"""),15335.0)</f>
        <v>15335</v>
      </c>
      <c r="B1123" s="60" t="str">
        <f>IFERROR(__xludf.DUMMYFUNCTION("""COMPUTED_VALUE"""),"Farrell, Luke")</f>
        <v>Farrell, Luke</v>
      </c>
      <c r="C1123" s="60" t="str">
        <f>IFERROR(__xludf.DUMMYFUNCTION("""COMPUTED_VALUE"""),"TE")</f>
        <v>TE</v>
      </c>
      <c r="D1123" s="60" t="str">
        <f>IFERROR(__xludf.DUMMYFUNCTION("""COMPUTED_VALUE"""),"SFO")</f>
        <v>SFO</v>
      </c>
      <c r="E1123" s="62" t="str">
        <f t="shared" si="4"/>
        <v>Luke Farrell</v>
      </c>
      <c r="F1123" s="62">
        <f t="shared" ref="F1123:G1123" si="2245">IF(isblank(F$1),,IF(isblank($A1123),,IFERROR(vlookup($A1123,indirect("'TVC-"&amp;text(month(F$1),"00")&amp;"'!$A:$D"),4,false),1)))</f>
        <v>1</v>
      </c>
      <c r="G1123" s="62">
        <f t="shared" si="2245"/>
        <v>1</v>
      </c>
      <c r="H1123" s="62">
        <f t="shared" ref="H1123:Q1123" si="2246">IF(isblank(H$1),,IFERROR(vlookup($A1123,indirect("'TVC-"&amp;text(month(H$1),"00")&amp;"'!$A:$D"),4,false),1))</f>
        <v>1</v>
      </c>
      <c r="I1123" s="62">
        <f t="shared" si="2246"/>
        <v>1</v>
      </c>
      <c r="J1123" s="62">
        <f t="shared" si="2246"/>
        <v>1</v>
      </c>
      <c r="K1123" s="62">
        <f t="shared" si="2246"/>
        <v>1</v>
      </c>
      <c r="L1123" s="62">
        <f t="shared" si="2246"/>
        <v>1</v>
      </c>
      <c r="M1123" s="62">
        <f t="shared" si="2246"/>
        <v>1</v>
      </c>
      <c r="N1123" s="62">
        <f t="shared" si="2246"/>
        <v>1</v>
      </c>
      <c r="O1123" s="62">
        <f t="shared" si="2246"/>
        <v>1</v>
      </c>
      <c r="P1123" s="62" t="str">
        <f t="shared" si="2246"/>
        <v/>
      </c>
      <c r="Q1123" s="62" t="str">
        <f t="shared" si="2246"/>
        <v/>
      </c>
      <c r="R1123" s="62">
        <f t="shared" si="7"/>
        <v>0</v>
      </c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</row>
    <row r="1124" hidden="1">
      <c r="A1124" s="60">
        <f>IFERROR(__xludf.DUMMYFUNCTION("""COMPUTED_VALUE"""),15337.0)</f>
        <v>15337</v>
      </c>
      <c r="B1124" s="60" t="str">
        <f>IFERROR(__xludf.DUMMYFUNCTION("""COMPUTED_VALUE"""),"Gray, Noah")</f>
        <v>Gray, Noah</v>
      </c>
      <c r="C1124" s="60" t="str">
        <f>IFERROR(__xludf.DUMMYFUNCTION("""COMPUTED_VALUE"""),"TE")</f>
        <v>TE</v>
      </c>
      <c r="D1124" s="60" t="str">
        <f>IFERROR(__xludf.DUMMYFUNCTION("""COMPUTED_VALUE"""),"KCC")</f>
        <v>KCC</v>
      </c>
      <c r="E1124" s="62" t="str">
        <f t="shared" si="4"/>
        <v>Noah Gray</v>
      </c>
      <c r="F1124" s="62">
        <f t="shared" ref="F1124:G1124" si="2247">IF(isblank(F$1),,IF(isblank($A1124),,IFERROR(vlookup($A1124,indirect("'TVC-"&amp;text(month(F$1),"00")&amp;"'!$A:$D"),4,false),1)))</f>
        <v>2023</v>
      </c>
      <c r="G1124" s="62">
        <f t="shared" si="2247"/>
        <v>2187</v>
      </c>
      <c r="H1124" s="62">
        <f t="shared" ref="H1124:Q1124" si="2248">IF(isblank(H$1),,IFERROR(vlookup($A1124,indirect("'TVC-"&amp;text(month(H$1),"00")&amp;"'!$A:$D"),4,false),1))</f>
        <v>2259</v>
      </c>
      <c r="I1124" s="62">
        <f t="shared" si="2248"/>
        <v>2094</v>
      </c>
      <c r="J1124" s="62">
        <f t="shared" si="2248"/>
        <v>2000</v>
      </c>
      <c r="K1124" s="62">
        <f t="shared" si="2248"/>
        <v>1914</v>
      </c>
      <c r="L1124" s="62">
        <f t="shared" si="2248"/>
        <v>1868</v>
      </c>
      <c r="M1124" s="62">
        <f t="shared" si="2248"/>
        <v>1927</v>
      </c>
      <c r="N1124" s="62">
        <f t="shared" si="2248"/>
        <v>1800</v>
      </c>
      <c r="O1124" s="62">
        <f t="shared" si="2248"/>
        <v>1</v>
      </c>
      <c r="P1124" s="62" t="str">
        <f t="shared" si="2248"/>
        <v/>
      </c>
      <c r="Q1124" s="62" t="str">
        <f t="shared" si="2248"/>
        <v/>
      </c>
      <c r="R1124" s="62">
        <f t="shared" si="7"/>
        <v>-1799</v>
      </c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</row>
    <row r="1125" hidden="1">
      <c r="A1125" s="60">
        <f>IFERROR(__xludf.DUMMYFUNCTION("""COMPUTED_VALUE"""),15341.0)</f>
        <v>15341</v>
      </c>
      <c r="B1125" s="60" t="str">
        <f>IFERROR(__xludf.DUMMYFUNCTION("""COMPUTED_VALUE"""),"Morris, Quintin")</f>
        <v>Morris, Quintin</v>
      </c>
      <c r="C1125" s="60" t="str">
        <f>IFERROR(__xludf.DUMMYFUNCTION("""COMPUTED_VALUE"""),"TE")</f>
        <v>TE</v>
      </c>
      <c r="D1125" s="60" t="str">
        <f>IFERROR(__xludf.DUMMYFUNCTION("""COMPUTED_VALUE"""),"JAC")</f>
        <v>JAC</v>
      </c>
      <c r="E1125" s="62" t="str">
        <f t="shared" si="4"/>
        <v>Quintin Morris</v>
      </c>
      <c r="F1125" s="62">
        <f t="shared" ref="F1125:G1125" si="2249">IF(isblank(F$1),,IF(isblank($A1125),,IFERROR(vlookup($A1125,indirect("'TVC-"&amp;text(month(F$1),"00")&amp;"'!$A:$D"),4,false),1)))</f>
        <v>1</v>
      </c>
      <c r="G1125" s="62">
        <f t="shared" si="2249"/>
        <v>1</v>
      </c>
      <c r="H1125" s="62">
        <f t="shared" ref="H1125:Q1125" si="2250">IF(isblank(H$1),,IFERROR(vlookup($A1125,indirect("'TVC-"&amp;text(month(H$1),"00")&amp;"'!$A:$D"),4,false),1))</f>
        <v>1</v>
      </c>
      <c r="I1125" s="62">
        <f t="shared" si="2250"/>
        <v>1</v>
      </c>
      <c r="J1125" s="62">
        <f t="shared" si="2250"/>
        <v>1</v>
      </c>
      <c r="K1125" s="62">
        <f t="shared" si="2250"/>
        <v>1</v>
      </c>
      <c r="L1125" s="62">
        <f t="shared" si="2250"/>
        <v>1</v>
      </c>
      <c r="M1125" s="62">
        <f t="shared" si="2250"/>
        <v>1</v>
      </c>
      <c r="N1125" s="62">
        <f t="shared" si="2250"/>
        <v>1</v>
      </c>
      <c r="O1125" s="62">
        <f t="shared" si="2250"/>
        <v>1</v>
      </c>
      <c r="P1125" s="62" t="str">
        <f t="shared" si="2250"/>
        <v/>
      </c>
      <c r="Q1125" s="62" t="str">
        <f t="shared" si="2250"/>
        <v/>
      </c>
      <c r="R1125" s="62">
        <f t="shared" si="7"/>
        <v>0</v>
      </c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</row>
    <row r="1126" hidden="1">
      <c r="A1126" s="60">
        <f>IFERROR(__xludf.DUMMYFUNCTION("""COMPUTED_VALUE"""),15344.0)</f>
        <v>15344</v>
      </c>
      <c r="B1126" s="60" t="str">
        <f>IFERROR(__xludf.DUMMYFUNCTION("""COMPUTED_VALUE"""),"Bates, John")</f>
        <v>Bates, John</v>
      </c>
      <c r="C1126" s="60" t="str">
        <f>IFERROR(__xludf.DUMMYFUNCTION("""COMPUTED_VALUE"""),"TE")</f>
        <v>TE</v>
      </c>
      <c r="D1126" s="60" t="str">
        <f>IFERROR(__xludf.DUMMYFUNCTION("""COMPUTED_VALUE"""),"WAS")</f>
        <v>WAS</v>
      </c>
      <c r="E1126" s="62" t="str">
        <f t="shared" si="4"/>
        <v>John Bates</v>
      </c>
      <c r="F1126" s="62">
        <f t="shared" ref="F1126:G1126" si="2251">IF(isblank(F$1),,IF(isblank($A1126),,IFERROR(vlookup($A1126,indirect("'TVC-"&amp;text(month(F$1),"00")&amp;"'!$A:$D"),4,false),1)))</f>
        <v>1</v>
      </c>
      <c r="G1126" s="62">
        <f t="shared" si="2251"/>
        <v>1</v>
      </c>
      <c r="H1126" s="62">
        <f t="shared" ref="H1126:Q1126" si="2252">IF(isblank(H$1),,IFERROR(vlookup($A1126,indirect("'TVC-"&amp;text(month(H$1),"00")&amp;"'!$A:$D"),4,false),1))</f>
        <v>1</v>
      </c>
      <c r="I1126" s="62">
        <f t="shared" si="2252"/>
        <v>1</v>
      </c>
      <c r="J1126" s="62">
        <f t="shared" si="2252"/>
        <v>1</v>
      </c>
      <c r="K1126" s="62">
        <f t="shared" si="2252"/>
        <v>1</v>
      </c>
      <c r="L1126" s="62">
        <f t="shared" si="2252"/>
        <v>1</v>
      </c>
      <c r="M1126" s="62">
        <f t="shared" si="2252"/>
        <v>1</v>
      </c>
      <c r="N1126" s="62">
        <f t="shared" si="2252"/>
        <v>1</v>
      </c>
      <c r="O1126" s="62">
        <f t="shared" si="2252"/>
        <v>1</v>
      </c>
      <c r="P1126" s="62" t="str">
        <f t="shared" si="2252"/>
        <v/>
      </c>
      <c r="Q1126" s="62" t="str">
        <f t="shared" si="2252"/>
        <v/>
      </c>
      <c r="R1126" s="62">
        <f t="shared" si="7"/>
        <v>0</v>
      </c>
      <c r="S1126" s="62"/>
      <c r="T1126" s="62"/>
      <c r="U1126" s="62"/>
      <c r="V1126" s="62"/>
      <c r="W1126" s="62"/>
      <c r="X1126" s="62"/>
      <c r="Y1126" s="62"/>
      <c r="Z1126" s="62"/>
      <c r="AA1126" s="62"/>
      <c r="AB1126" s="62"/>
      <c r="AC1126" s="62"/>
    </row>
    <row r="1127" hidden="1">
      <c r="A1127" s="60">
        <f>IFERROR(__xludf.DUMMYFUNCTION("""COMPUTED_VALUE"""),15345.0)</f>
        <v>15345</v>
      </c>
      <c r="B1127" s="60" t="str">
        <f>IFERROR(__xludf.DUMMYFUNCTION("""COMPUTED_VALUE"""),"Paye, Kwity")</f>
        <v>Paye, Kwity</v>
      </c>
      <c r="C1127" s="60" t="str">
        <f>IFERROR(__xludf.DUMMYFUNCTION("""COMPUTED_VALUE"""),"DE")</f>
        <v>DE</v>
      </c>
      <c r="D1127" s="60" t="str">
        <f>IFERROR(__xludf.DUMMYFUNCTION("""COMPUTED_VALUE"""),"LVR")</f>
        <v>LVR</v>
      </c>
      <c r="E1127" s="62" t="str">
        <f t="shared" si="4"/>
        <v>Kwity Paye</v>
      </c>
      <c r="F1127" s="62">
        <f t="shared" ref="F1127:G1127" si="2253">IF(isblank(F$1),,IF(isblank($A1127),,IFERROR(vlookup($A1127,indirect("'TVC-"&amp;text(month(F$1),"00")&amp;"'!$A:$D"),4,false),1)))</f>
        <v>1</v>
      </c>
      <c r="G1127" s="62">
        <f t="shared" si="2253"/>
        <v>1</v>
      </c>
      <c r="H1127" s="62">
        <f t="shared" ref="H1127:Q1127" si="2254">IF(isblank(H$1),,IFERROR(vlookup($A1127,indirect("'TVC-"&amp;text(month(H$1),"00")&amp;"'!$A:$D"),4,false),1))</f>
        <v>1</v>
      </c>
      <c r="I1127" s="62">
        <f t="shared" si="2254"/>
        <v>1</v>
      </c>
      <c r="J1127" s="62">
        <f t="shared" si="2254"/>
        <v>1</v>
      </c>
      <c r="K1127" s="62">
        <f t="shared" si="2254"/>
        <v>1</v>
      </c>
      <c r="L1127" s="62">
        <f t="shared" si="2254"/>
        <v>1</v>
      </c>
      <c r="M1127" s="62">
        <f t="shared" si="2254"/>
        <v>1</v>
      </c>
      <c r="N1127" s="62">
        <f t="shared" si="2254"/>
        <v>1</v>
      </c>
      <c r="O1127" s="62">
        <f t="shared" si="2254"/>
        <v>1</v>
      </c>
      <c r="P1127" s="62" t="str">
        <f t="shared" si="2254"/>
        <v/>
      </c>
      <c r="Q1127" s="62" t="str">
        <f t="shared" si="2254"/>
        <v/>
      </c>
      <c r="R1127" s="62">
        <f t="shared" si="7"/>
        <v>0</v>
      </c>
      <c r="S1127" s="62"/>
      <c r="T1127" s="62"/>
      <c r="U1127" s="62"/>
      <c r="V1127" s="62"/>
      <c r="W1127" s="62"/>
      <c r="X1127" s="62"/>
      <c r="Y1127" s="62"/>
      <c r="Z1127" s="62"/>
      <c r="AA1127" s="62"/>
      <c r="AB1127" s="62"/>
      <c r="AC1127" s="62"/>
    </row>
    <row r="1128" hidden="1">
      <c r="A1128" s="60">
        <f>IFERROR(__xludf.DUMMYFUNCTION("""COMPUTED_VALUE"""),15346.0)</f>
        <v>15346</v>
      </c>
      <c r="B1128" s="60" t="str">
        <f>IFERROR(__xludf.DUMMYFUNCTION("""COMPUTED_VALUE"""),"Rousseau, Gregory")</f>
        <v>Rousseau, Gregory</v>
      </c>
      <c r="C1128" s="60" t="str">
        <f>IFERROR(__xludf.DUMMYFUNCTION("""COMPUTED_VALUE"""),"DE")</f>
        <v>DE</v>
      </c>
      <c r="D1128" s="60" t="str">
        <f>IFERROR(__xludf.DUMMYFUNCTION("""COMPUTED_VALUE"""),"BUF")</f>
        <v>BUF</v>
      </c>
      <c r="E1128" s="62" t="str">
        <f t="shared" si="4"/>
        <v>Gregory Rousseau</v>
      </c>
      <c r="F1128" s="62">
        <f t="shared" ref="F1128:G1128" si="2255">IF(isblank(F$1),,IF(isblank($A1128),,IFERROR(vlookup($A1128,indirect("'TVC-"&amp;text(month(F$1),"00")&amp;"'!$A:$D"),4,false),1)))</f>
        <v>1</v>
      </c>
      <c r="G1128" s="62">
        <f t="shared" si="2255"/>
        <v>1</v>
      </c>
      <c r="H1128" s="62">
        <f t="shared" ref="H1128:Q1128" si="2256">IF(isblank(H$1),,IFERROR(vlookup($A1128,indirect("'TVC-"&amp;text(month(H$1),"00")&amp;"'!$A:$D"),4,false),1))</f>
        <v>1</v>
      </c>
      <c r="I1128" s="62">
        <f t="shared" si="2256"/>
        <v>1</v>
      </c>
      <c r="J1128" s="62">
        <f t="shared" si="2256"/>
        <v>1</v>
      </c>
      <c r="K1128" s="62">
        <f t="shared" si="2256"/>
        <v>1</v>
      </c>
      <c r="L1128" s="62">
        <f t="shared" si="2256"/>
        <v>1</v>
      </c>
      <c r="M1128" s="62">
        <f t="shared" si="2256"/>
        <v>1</v>
      </c>
      <c r="N1128" s="62">
        <f t="shared" si="2256"/>
        <v>1</v>
      </c>
      <c r="O1128" s="62">
        <f t="shared" si="2256"/>
        <v>1</v>
      </c>
      <c r="P1128" s="62" t="str">
        <f t="shared" si="2256"/>
        <v/>
      </c>
      <c r="Q1128" s="62" t="str">
        <f t="shared" si="2256"/>
        <v/>
      </c>
      <c r="R1128" s="62">
        <f t="shared" si="7"/>
        <v>0</v>
      </c>
      <c r="S1128" s="62"/>
      <c r="T1128" s="62"/>
      <c r="U1128" s="62"/>
      <c r="V1128" s="62"/>
      <c r="W1128" s="62"/>
      <c r="X1128" s="62"/>
      <c r="Y1128" s="62"/>
      <c r="Z1128" s="62"/>
      <c r="AA1128" s="62"/>
      <c r="AB1128" s="62"/>
      <c r="AC1128" s="62"/>
    </row>
    <row r="1129" hidden="1">
      <c r="A1129" s="60">
        <f>IFERROR(__xludf.DUMMYFUNCTION("""COMPUTED_VALUE"""),15348.0)</f>
        <v>15348</v>
      </c>
      <c r="B1129" s="60" t="str">
        <f>IFERROR(__xludf.DUMMYFUNCTION("""COMPUTED_VALUE"""),"Basham, Carlos")</f>
        <v>Basham, Carlos</v>
      </c>
      <c r="C1129" s="60" t="str">
        <f>IFERROR(__xludf.DUMMYFUNCTION("""COMPUTED_VALUE"""),"DE")</f>
        <v>DE</v>
      </c>
      <c r="D1129" s="60" t="str">
        <f>IFERROR(__xludf.DUMMYFUNCTION("""COMPUTED_VALUE"""),"FA")</f>
        <v>FA</v>
      </c>
      <c r="E1129" s="62" t="str">
        <f t="shared" si="4"/>
        <v>Carlos Basham</v>
      </c>
      <c r="F1129" s="62">
        <f t="shared" ref="F1129:G1129" si="2257">IF(isblank(F$1),,IF(isblank($A1129),,IFERROR(vlookup($A1129,indirect("'TVC-"&amp;text(month(F$1),"00")&amp;"'!$A:$D"),4,false),1)))</f>
        <v>1</v>
      </c>
      <c r="G1129" s="62">
        <f t="shared" si="2257"/>
        <v>1</v>
      </c>
      <c r="H1129" s="62">
        <f t="shared" ref="H1129:Q1129" si="2258">IF(isblank(H$1),,IFERROR(vlookup($A1129,indirect("'TVC-"&amp;text(month(H$1),"00")&amp;"'!$A:$D"),4,false),1))</f>
        <v>1</v>
      </c>
      <c r="I1129" s="62">
        <f t="shared" si="2258"/>
        <v>1</v>
      </c>
      <c r="J1129" s="62">
        <f t="shared" si="2258"/>
        <v>1</v>
      </c>
      <c r="K1129" s="62">
        <f t="shared" si="2258"/>
        <v>1</v>
      </c>
      <c r="L1129" s="62">
        <f t="shared" si="2258"/>
        <v>1</v>
      </c>
      <c r="M1129" s="62">
        <f t="shared" si="2258"/>
        <v>1</v>
      </c>
      <c r="N1129" s="62">
        <f t="shared" si="2258"/>
        <v>1</v>
      </c>
      <c r="O1129" s="62">
        <f t="shared" si="2258"/>
        <v>1</v>
      </c>
      <c r="P1129" s="62" t="str">
        <f t="shared" si="2258"/>
        <v/>
      </c>
      <c r="Q1129" s="62" t="str">
        <f t="shared" si="2258"/>
        <v/>
      </c>
      <c r="R1129" s="62">
        <f t="shared" si="7"/>
        <v>0</v>
      </c>
      <c r="S1129" s="62"/>
      <c r="T1129" s="62"/>
      <c r="U1129" s="62"/>
      <c r="V1129" s="62"/>
      <c r="W1129" s="62"/>
      <c r="X1129" s="62"/>
      <c r="Y1129" s="62"/>
      <c r="Z1129" s="62"/>
      <c r="AA1129" s="62"/>
      <c r="AB1129" s="62"/>
      <c r="AC1129" s="62"/>
    </row>
    <row r="1130" hidden="1">
      <c r="A1130" s="60">
        <f>IFERROR(__xludf.DUMMYFUNCTION("""COMPUTED_VALUE"""),15349.0)</f>
        <v>15349</v>
      </c>
      <c r="B1130" s="60" t="str">
        <f>IFERROR(__xludf.DUMMYFUNCTION("""COMPUTED_VALUE"""),"Phillips, Jaelan")</f>
        <v>Phillips, Jaelan</v>
      </c>
      <c r="C1130" s="60" t="str">
        <f>IFERROR(__xludf.DUMMYFUNCTION("""COMPUTED_VALUE"""),"DE")</f>
        <v>DE</v>
      </c>
      <c r="D1130" s="60" t="str">
        <f>IFERROR(__xludf.DUMMYFUNCTION("""COMPUTED_VALUE"""),"CAR")</f>
        <v>CAR</v>
      </c>
      <c r="E1130" s="62" t="str">
        <f t="shared" si="4"/>
        <v>Jaelan Phillips</v>
      </c>
      <c r="F1130" s="62">
        <f t="shared" ref="F1130:G1130" si="2259">IF(isblank(F$1),,IF(isblank($A1130),,IFERROR(vlookup($A1130,indirect("'TVC-"&amp;text(month(F$1),"00")&amp;"'!$A:$D"),4,false),1)))</f>
        <v>1</v>
      </c>
      <c r="G1130" s="62">
        <f t="shared" si="2259"/>
        <v>1</v>
      </c>
      <c r="H1130" s="62">
        <f t="shared" ref="H1130:Q1130" si="2260">IF(isblank(H$1),,IFERROR(vlookup($A1130,indirect("'TVC-"&amp;text(month(H$1),"00")&amp;"'!$A:$D"),4,false),1))</f>
        <v>1</v>
      </c>
      <c r="I1130" s="62">
        <f t="shared" si="2260"/>
        <v>1</v>
      </c>
      <c r="J1130" s="62">
        <f t="shared" si="2260"/>
        <v>1</v>
      </c>
      <c r="K1130" s="62">
        <f t="shared" si="2260"/>
        <v>1</v>
      </c>
      <c r="L1130" s="62">
        <f t="shared" si="2260"/>
        <v>1</v>
      </c>
      <c r="M1130" s="62">
        <f t="shared" si="2260"/>
        <v>1</v>
      </c>
      <c r="N1130" s="62">
        <f t="shared" si="2260"/>
        <v>1</v>
      </c>
      <c r="O1130" s="62">
        <f t="shared" si="2260"/>
        <v>1</v>
      </c>
      <c r="P1130" s="62" t="str">
        <f t="shared" si="2260"/>
        <v/>
      </c>
      <c r="Q1130" s="62" t="str">
        <f t="shared" si="2260"/>
        <v/>
      </c>
      <c r="R1130" s="62">
        <f t="shared" si="7"/>
        <v>0</v>
      </c>
      <c r="S1130" s="62"/>
      <c r="T1130" s="62"/>
      <c r="U1130" s="62"/>
      <c r="V1130" s="62"/>
      <c r="W1130" s="62"/>
      <c r="X1130" s="62"/>
      <c r="Y1130" s="62"/>
      <c r="Z1130" s="62"/>
      <c r="AA1130" s="62"/>
      <c r="AB1130" s="62"/>
      <c r="AC1130" s="62"/>
    </row>
    <row r="1131" hidden="1">
      <c r="A1131" s="60">
        <f>IFERROR(__xludf.DUMMYFUNCTION("""COMPUTED_VALUE"""),15350.0)</f>
        <v>15350</v>
      </c>
      <c r="B1131" s="60" t="str">
        <f>IFERROR(__xludf.DUMMYFUNCTION("""COMPUTED_VALUE"""),"Parsons, Micah")</f>
        <v>Parsons, Micah</v>
      </c>
      <c r="C1131" s="60" t="str">
        <f>IFERROR(__xludf.DUMMYFUNCTION("""COMPUTED_VALUE"""),"DE")</f>
        <v>DE</v>
      </c>
      <c r="D1131" s="60" t="str">
        <f>IFERROR(__xludf.DUMMYFUNCTION("""COMPUTED_VALUE"""),"GBP")</f>
        <v>GBP</v>
      </c>
      <c r="E1131" s="62" t="str">
        <f t="shared" si="4"/>
        <v>Micah Parsons</v>
      </c>
      <c r="F1131" s="62">
        <f t="shared" ref="F1131:G1131" si="2261">IF(isblank(F$1),,IF(isblank($A1131),,IFERROR(vlookup($A1131,indirect("'TVC-"&amp;text(month(F$1),"00")&amp;"'!$A:$D"),4,false),1)))</f>
        <v>1</v>
      </c>
      <c r="G1131" s="62">
        <f t="shared" si="2261"/>
        <v>1</v>
      </c>
      <c r="H1131" s="62">
        <f t="shared" ref="H1131:Q1131" si="2262">IF(isblank(H$1),,IFERROR(vlookup($A1131,indirect("'TVC-"&amp;text(month(H$1),"00")&amp;"'!$A:$D"),4,false),1))</f>
        <v>1</v>
      </c>
      <c r="I1131" s="62">
        <f t="shared" si="2262"/>
        <v>1</v>
      </c>
      <c r="J1131" s="62">
        <f t="shared" si="2262"/>
        <v>1</v>
      </c>
      <c r="K1131" s="62">
        <f t="shared" si="2262"/>
        <v>1</v>
      </c>
      <c r="L1131" s="62">
        <f t="shared" si="2262"/>
        <v>1</v>
      </c>
      <c r="M1131" s="62">
        <f t="shared" si="2262"/>
        <v>1</v>
      </c>
      <c r="N1131" s="62">
        <f t="shared" si="2262"/>
        <v>1</v>
      </c>
      <c r="O1131" s="62">
        <f t="shared" si="2262"/>
        <v>1</v>
      </c>
      <c r="P1131" s="62" t="str">
        <f t="shared" si="2262"/>
        <v/>
      </c>
      <c r="Q1131" s="62" t="str">
        <f t="shared" si="2262"/>
        <v/>
      </c>
      <c r="R1131" s="62">
        <f t="shared" si="7"/>
        <v>0</v>
      </c>
      <c r="S1131" s="62"/>
      <c r="T1131" s="62"/>
      <c r="U1131" s="62"/>
      <c r="V1131" s="62"/>
      <c r="W1131" s="62"/>
      <c r="X1131" s="62"/>
      <c r="Y1131" s="62"/>
      <c r="Z1131" s="62"/>
      <c r="AA1131" s="62"/>
      <c r="AB1131" s="62"/>
      <c r="AC1131" s="62"/>
    </row>
    <row r="1132" hidden="1">
      <c r="A1132" s="60">
        <f>IFERROR(__xludf.DUMMYFUNCTION("""COMPUTED_VALUE"""),15351.0)</f>
        <v>15351</v>
      </c>
      <c r="B1132" s="60" t="str">
        <f>IFERROR(__xludf.DUMMYFUNCTION("""COMPUTED_VALUE"""),"Owusu-Koramoah, Jeremiah")</f>
        <v>Owusu-Koramoah, Jeremiah</v>
      </c>
      <c r="C1132" s="60" t="str">
        <f>IFERROR(__xludf.DUMMYFUNCTION("""COMPUTED_VALUE"""),"LB")</f>
        <v>LB</v>
      </c>
      <c r="D1132" s="60" t="str">
        <f>IFERROR(__xludf.DUMMYFUNCTION("""COMPUTED_VALUE"""),"CLE")</f>
        <v>CLE</v>
      </c>
      <c r="E1132" s="62" t="str">
        <f t="shared" si="4"/>
        <v>Jeremiah Owusu-Koramoah</v>
      </c>
      <c r="F1132" s="62">
        <f t="shared" ref="F1132:G1132" si="2263">IF(isblank(F$1),,IF(isblank($A1132),,IFERROR(vlookup($A1132,indirect("'TVC-"&amp;text(month(F$1),"00")&amp;"'!$A:$D"),4,false),1)))</f>
        <v>1</v>
      </c>
      <c r="G1132" s="62">
        <f t="shared" si="2263"/>
        <v>1</v>
      </c>
      <c r="H1132" s="62">
        <f t="shared" ref="H1132:Q1132" si="2264">IF(isblank(H$1),,IFERROR(vlookup($A1132,indirect("'TVC-"&amp;text(month(H$1),"00")&amp;"'!$A:$D"),4,false),1))</f>
        <v>1</v>
      </c>
      <c r="I1132" s="62">
        <f t="shared" si="2264"/>
        <v>1</v>
      </c>
      <c r="J1132" s="62">
        <f t="shared" si="2264"/>
        <v>1</v>
      </c>
      <c r="K1132" s="62">
        <f t="shared" si="2264"/>
        <v>1</v>
      </c>
      <c r="L1132" s="62">
        <f t="shared" si="2264"/>
        <v>1</v>
      </c>
      <c r="M1132" s="62">
        <f t="shared" si="2264"/>
        <v>1</v>
      </c>
      <c r="N1132" s="62">
        <f t="shared" si="2264"/>
        <v>1</v>
      </c>
      <c r="O1132" s="62">
        <f t="shared" si="2264"/>
        <v>1</v>
      </c>
      <c r="P1132" s="62" t="str">
        <f t="shared" si="2264"/>
        <v/>
      </c>
      <c r="Q1132" s="62" t="str">
        <f t="shared" si="2264"/>
        <v/>
      </c>
      <c r="R1132" s="62">
        <f t="shared" si="7"/>
        <v>0</v>
      </c>
      <c r="S1132" s="62"/>
      <c r="T1132" s="62"/>
      <c r="U1132" s="62"/>
      <c r="V1132" s="62"/>
      <c r="W1132" s="62"/>
      <c r="X1132" s="62"/>
      <c r="Y1132" s="62"/>
      <c r="Z1132" s="62"/>
      <c r="AA1132" s="62"/>
      <c r="AB1132" s="62"/>
      <c r="AC1132" s="62"/>
    </row>
    <row r="1133" hidden="1">
      <c r="A1133" s="60">
        <f>IFERROR(__xludf.DUMMYFUNCTION("""COMPUTED_VALUE"""),15352.0)</f>
        <v>15352</v>
      </c>
      <c r="B1133" s="60" t="str">
        <f>IFERROR(__xludf.DUMMYFUNCTION("""COMPUTED_VALUE"""),"Collins, Zaven")</f>
        <v>Collins, Zaven</v>
      </c>
      <c r="C1133" s="60" t="str">
        <f>IFERROR(__xludf.DUMMYFUNCTION("""COMPUTED_VALUE"""),"DE")</f>
        <v>DE</v>
      </c>
      <c r="D1133" s="60" t="str">
        <f>IFERROR(__xludf.DUMMYFUNCTION("""COMPUTED_VALUE"""),"ARI")</f>
        <v>ARI</v>
      </c>
      <c r="E1133" s="62" t="str">
        <f t="shared" si="4"/>
        <v>Zaven Collins</v>
      </c>
      <c r="F1133" s="62">
        <f t="shared" ref="F1133:G1133" si="2265">IF(isblank(F$1),,IF(isblank($A1133),,IFERROR(vlookup($A1133,indirect("'TVC-"&amp;text(month(F$1),"00")&amp;"'!$A:$D"),4,false),1)))</f>
        <v>1</v>
      </c>
      <c r="G1133" s="62">
        <f t="shared" si="2265"/>
        <v>1</v>
      </c>
      <c r="H1133" s="62">
        <f t="shared" ref="H1133:Q1133" si="2266">IF(isblank(H$1),,IFERROR(vlookup($A1133,indirect("'TVC-"&amp;text(month(H$1),"00")&amp;"'!$A:$D"),4,false),1))</f>
        <v>1</v>
      </c>
      <c r="I1133" s="62">
        <f t="shared" si="2266"/>
        <v>1</v>
      </c>
      <c r="J1133" s="62">
        <f t="shared" si="2266"/>
        <v>1</v>
      </c>
      <c r="K1133" s="62">
        <f t="shared" si="2266"/>
        <v>1</v>
      </c>
      <c r="L1133" s="62">
        <f t="shared" si="2266"/>
        <v>1</v>
      </c>
      <c r="M1133" s="62">
        <f t="shared" si="2266"/>
        <v>1</v>
      </c>
      <c r="N1133" s="62">
        <f t="shared" si="2266"/>
        <v>1</v>
      </c>
      <c r="O1133" s="62">
        <f t="shared" si="2266"/>
        <v>1</v>
      </c>
      <c r="P1133" s="62" t="str">
        <f t="shared" si="2266"/>
        <v/>
      </c>
      <c r="Q1133" s="62" t="str">
        <f t="shared" si="2266"/>
        <v/>
      </c>
      <c r="R1133" s="62">
        <f t="shared" si="7"/>
        <v>0</v>
      </c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</row>
    <row r="1134" hidden="1">
      <c r="A1134" s="60">
        <f>IFERROR(__xludf.DUMMYFUNCTION("""COMPUTED_VALUE"""),15353.0)</f>
        <v>15353</v>
      </c>
      <c r="B1134" s="60" t="str">
        <f>IFERROR(__xludf.DUMMYFUNCTION("""COMPUTED_VALUE"""),"Surratt, Chazz")</f>
        <v>Surratt, Chazz</v>
      </c>
      <c r="C1134" s="60" t="str">
        <f>IFERROR(__xludf.DUMMYFUNCTION("""COMPUTED_VALUE"""),"LB")</f>
        <v>LB</v>
      </c>
      <c r="D1134" s="60" t="str">
        <f>IFERROR(__xludf.DUMMYFUNCTION("""COMPUTED_VALUE"""),"SEA")</f>
        <v>SEA</v>
      </c>
      <c r="E1134" s="62" t="str">
        <f t="shared" si="4"/>
        <v>Chazz Surratt</v>
      </c>
      <c r="F1134" s="62">
        <f t="shared" ref="F1134:G1134" si="2267">IF(isblank(F$1),,IF(isblank($A1134),,IFERROR(vlookup($A1134,indirect("'TVC-"&amp;text(month(F$1),"00")&amp;"'!$A:$D"),4,false),1)))</f>
        <v>1</v>
      </c>
      <c r="G1134" s="62">
        <f t="shared" si="2267"/>
        <v>1</v>
      </c>
      <c r="H1134" s="62">
        <f t="shared" ref="H1134:Q1134" si="2268">IF(isblank(H$1),,IFERROR(vlookup($A1134,indirect("'TVC-"&amp;text(month(H$1),"00")&amp;"'!$A:$D"),4,false),1))</f>
        <v>1</v>
      </c>
      <c r="I1134" s="62">
        <f t="shared" si="2268"/>
        <v>1</v>
      </c>
      <c r="J1134" s="62">
        <f t="shared" si="2268"/>
        <v>1</v>
      </c>
      <c r="K1134" s="62">
        <f t="shared" si="2268"/>
        <v>1</v>
      </c>
      <c r="L1134" s="62">
        <f t="shared" si="2268"/>
        <v>1</v>
      </c>
      <c r="M1134" s="62">
        <f t="shared" si="2268"/>
        <v>1</v>
      </c>
      <c r="N1134" s="62">
        <f t="shared" si="2268"/>
        <v>1</v>
      </c>
      <c r="O1134" s="62">
        <f t="shared" si="2268"/>
        <v>1</v>
      </c>
      <c r="P1134" s="62" t="str">
        <f t="shared" si="2268"/>
        <v/>
      </c>
      <c r="Q1134" s="62" t="str">
        <f t="shared" si="2268"/>
        <v/>
      </c>
      <c r="R1134" s="62">
        <f t="shared" si="7"/>
        <v>0</v>
      </c>
      <c r="S1134" s="62"/>
      <c r="T1134" s="62"/>
      <c r="U1134" s="62"/>
      <c r="V1134" s="62"/>
      <c r="W1134" s="62"/>
      <c r="X1134" s="62"/>
      <c r="Y1134" s="62"/>
      <c r="Z1134" s="62"/>
      <c r="AA1134" s="62"/>
      <c r="AB1134" s="62"/>
      <c r="AC1134" s="62"/>
    </row>
    <row r="1135" hidden="1">
      <c r="A1135" s="60">
        <f>IFERROR(__xludf.DUMMYFUNCTION("""COMPUTED_VALUE"""),15355.0)</f>
        <v>15355</v>
      </c>
      <c r="B1135" s="60" t="str">
        <f>IFERROR(__xludf.DUMMYFUNCTION("""COMPUTED_VALUE"""),"Bolton, Nick")</f>
        <v>Bolton, Nick</v>
      </c>
      <c r="C1135" s="60" t="str">
        <f>IFERROR(__xludf.DUMMYFUNCTION("""COMPUTED_VALUE"""),"LB")</f>
        <v>LB</v>
      </c>
      <c r="D1135" s="60" t="str">
        <f>IFERROR(__xludf.DUMMYFUNCTION("""COMPUTED_VALUE"""),"KCC")</f>
        <v>KCC</v>
      </c>
      <c r="E1135" s="62" t="str">
        <f t="shared" si="4"/>
        <v>Nick Bolton</v>
      </c>
      <c r="F1135" s="62">
        <f t="shared" ref="F1135:G1135" si="2269">IF(isblank(F$1),,IF(isblank($A1135),,IFERROR(vlookup($A1135,indirect("'TVC-"&amp;text(month(F$1),"00")&amp;"'!$A:$D"),4,false),1)))</f>
        <v>1</v>
      </c>
      <c r="G1135" s="62">
        <f t="shared" si="2269"/>
        <v>1</v>
      </c>
      <c r="H1135" s="62">
        <f t="shared" ref="H1135:Q1135" si="2270">IF(isblank(H$1),,IFERROR(vlookup($A1135,indirect("'TVC-"&amp;text(month(H$1),"00")&amp;"'!$A:$D"),4,false),1))</f>
        <v>1</v>
      </c>
      <c r="I1135" s="62">
        <f t="shared" si="2270"/>
        <v>1</v>
      </c>
      <c r="J1135" s="62">
        <f t="shared" si="2270"/>
        <v>1</v>
      </c>
      <c r="K1135" s="62">
        <f t="shared" si="2270"/>
        <v>1</v>
      </c>
      <c r="L1135" s="62">
        <f t="shared" si="2270"/>
        <v>1</v>
      </c>
      <c r="M1135" s="62">
        <f t="shared" si="2270"/>
        <v>1</v>
      </c>
      <c r="N1135" s="62">
        <f t="shared" si="2270"/>
        <v>1</v>
      </c>
      <c r="O1135" s="62">
        <f t="shared" si="2270"/>
        <v>1</v>
      </c>
      <c r="P1135" s="62" t="str">
        <f t="shared" si="2270"/>
        <v/>
      </c>
      <c r="Q1135" s="62" t="str">
        <f t="shared" si="2270"/>
        <v/>
      </c>
      <c r="R1135" s="62">
        <f t="shared" si="7"/>
        <v>0</v>
      </c>
      <c r="S1135" s="62"/>
      <c r="T1135" s="62"/>
      <c r="U1135" s="62"/>
      <c r="V1135" s="62"/>
      <c r="W1135" s="62"/>
      <c r="X1135" s="62"/>
      <c r="Y1135" s="62"/>
      <c r="Z1135" s="62"/>
      <c r="AA1135" s="62"/>
      <c r="AB1135" s="62"/>
      <c r="AC1135" s="62"/>
    </row>
    <row r="1136" hidden="1">
      <c r="A1136" s="60">
        <f>IFERROR(__xludf.DUMMYFUNCTION("""COMPUTED_VALUE"""),15356.0)</f>
        <v>15356</v>
      </c>
      <c r="B1136" s="60" t="str">
        <f>IFERROR(__xludf.DUMMYFUNCTION("""COMPUTED_VALUE"""),"Browning, Baron")</f>
        <v>Browning, Baron</v>
      </c>
      <c r="C1136" s="60" t="str">
        <f>IFERROR(__xludf.DUMMYFUNCTION("""COMPUTED_VALUE"""),"DE")</f>
        <v>DE</v>
      </c>
      <c r="D1136" s="60" t="str">
        <f>IFERROR(__xludf.DUMMYFUNCTION("""COMPUTED_VALUE"""),"ARI")</f>
        <v>ARI</v>
      </c>
      <c r="E1136" s="62" t="str">
        <f t="shared" si="4"/>
        <v>Baron Browning</v>
      </c>
      <c r="F1136" s="62">
        <f t="shared" ref="F1136:G1136" si="2271">IF(isblank(F$1),,IF(isblank($A1136),,IFERROR(vlookup($A1136,indirect("'TVC-"&amp;text(month(F$1),"00")&amp;"'!$A:$D"),4,false),1)))</f>
        <v>1</v>
      </c>
      <c r="G1136" s="62">
        <f t="shared" si="2271"/>
        <v>1</v>
      </c>
      <c r="H1136" s="62">
        <f t="shared" ref="H1136:Q1136" si="2272">IF(isblank(H$1),,IFERROR(vlookup($A1136,indirect("'TVC-"&amp;text(month(H$1),"00")&amp;"'!$A:$D"),4,false),1))</f>
        <v>1</v>
      </c>
      <c r="I1136" s="62">
        <f t="shared" si="2272"/>
        <v>1</v>
      </c>
      <c r="J1136" s="62">
        <f t="shared" si="2272"/>
        <v>1</v>
      </c>
      <c r="K1136" s="62">
        <f t="shared" si="2272"/>
        <v>1</v>
      </c>
      <c r="L1136" s="62">
        <f t="shared" si="2272"/>
        <v>1</v>
      </c>
      <c r="M1136" s="62">
        <f t="shared" si="2272"/>
        <v>1</v>
      </c>
      <c r="N1136" s="62">
        <f t="shared" si="2272"/>
        <v>1</v>
      </c>
      <c r="O1136" s="62">
        <f t="shared" si="2272"/>
        <v>1</v>
      </c>
      <c r="P1136" s="62" t="str">
        <f t="shared" si="2272"/>
        <v/>
      </c>
      <c r="Q1136" s="62" t="str">
        <f t="shared" si="2272"/>
        <v/>
      </c>
      <c r="R1136" s="62">
        <f t="shared" si="7"/>
        <v>0</v>
      </c>
      <c r="S1136" s="62"/>
      <c r="T1136" s="62"/>
      <c r="U1136" s="62"/>
      <c r="V1136" s="62"/>
      <c r="W1136" s="62"/>
      <c r="X1136" s="62"/>
      <c r="Y1136" s="62"/>
      <c r="Z1136" s="62"/>
      <c r="AA1136" s="62"/>
      <c r="AB1136" s="62"/>
      <c r="AC1136" s="62"/>
    </row>
    <row r="1137" hidden="1">
      <c r="A1137" s="60">
        <f>IFERROR(__xludf.DUMMYFUNCTION("""COMPUTED_VALUE"""),15357.0)</f>
        <v>15357</v>
      </c>
      <c r="B1137" s="60" t="str">
        <f>IFERROR(__xludf.DUMMYFUNCTION("""COMPUTED_VALUE"""),"Barmore, Christian")</f>
        <v>Barmore, Christian</v>
      </c>
      <c r="C1137" s="60" t="str">
        <f>IFERROR(__xludf.DUMMYFUNCTION("""COMPUTED_VALUE"""),"DT")</f>
        <v>DT</v>
      </c>
      <c r="D1137" s="60" t="str">
        <f>IFERROR(__xludf.DUMMYFUNCTION("""COMPUTED_VALUE"""),"NEP")</f>
        <v>NEP</v>
      </c>
      <c r="E1137" s="62" t="str">
        <f t="shared" si="4"/>
        <v>Christian Barmore</v>
      </c>
      <c r="F1137" s="62">
        <f t="shared" ref="F1137:G1137" si="2273">IF(isblank(F$1),,IF(isblank($A1137),,IFERROR(vlookup($A1137,indirect("'TVC-"&amp;text(month(F$1),"00")&amp;"'!$A:$D"),4,false),1)))</f>
        <v>1</v>
      </c>
      <c r="G1137" s="62">
        <f t="shared" si="2273"/>
        <v>1</v>
      </c>
      <c r="H1137" s="62">
        <f t="shared" ref="H1137:Q1137" si="2274">IF(isblank(H$1),,IFERROR(vlookup($A1137,indirect("'TVC-"&amp;text(month(H$1),"00")&amp;"'!$A:$D"),4,false),1))</f>
        <v>1</v>
      </c>
      <c r="I1137" s="62">
        <f t="shared" si="2274"/>
        <v>1</v>
      </c>
      <c r="J1137" s="62">
        <f t="shared" si="2274"/>
        <v>1</v>
      </c>
      <c r="K1137" s="62">
        <f t="shared" si="2274"/>
        <v>1</v>
      </c>
      <c r="L1137" s="62">
        <f t="shared" si="2274"/>
        <v>1</v>
      </c>
      <c r="M1137" s="62">
        <f t="shared" si="2274"/>
        <v>1</v>
      </c>
      <c r="N1137" s="62">
        <f t="shared" si="2274"/>
        <v>1</v>
      </c>
      <c r="O1137" s="62">
        <f t="shared" si="2274"/>
        <v>1</v>
      </c>
      <c r="P1137" s="62" t="str">
        <f t="shared" si="2274"/>
        <v/>
      </c>
      <c r="Q1137" s="62" t="str">
        <f t="shared" si="2274"/>
        <v/>
      </c>
      <c r="R1137" s="62">
        <f t="shared" si="7"/>
        <v>0</v>
      </c>
      <c r="S1137" s="62"/>
      <c r="T1137" s="62"/>
      <c r="U1137" s="62"/>
      <c r="V1137" s="62"/>
      <c r="W1137" s="62"/>
      <c r="X1137" s="62"/>
      <c r="Y1137" s="62"/>
      <c r="Z1137" s="62"/>
      <c r="AA1137" s="62"/>
      <c r="AB1137" s="62"/>
      <c r="AC1137" s="62"/>
    </row>
    <row r="1138" hidden="1">
      <c r="A1138" s="60">
        <f>IFERROR(__xludf.DUMMYFUNCTION("""COMPUTED_VALUE"""),15358.0)</f>
        <v>15358</v>
      </c>
      <c r="B1138" s="60" t="str">
        <f>IFERROR(__xludf.DUMMYFUNCTION("""COMPUTED_VALUE"""),"Togiai, Tommy")</f>
        <v>Togiai, Tommy</v>
      </c>
      <c r="C1138" s="60" t="str">
        <f>IFERROR(__xludf.DUMMYFUNCTION("""COMPUTED_VALUE"""),"DT")</f>
        <v>DT</v>
      </c>
      <c r="D1138" s="60" t="str">
        <f>IFERROR(__xludf.DUMMYFUNCTION("""COMPUTED_VALUE"""),"HOU")</f>
        <v>HOU</v>
      </c>
      <c r="E1138" s="62" t="str">
        <f t="shared" si="4"/>
        <v>Tommy Togiai</v>
      </c>
      <c r="F1138" s="62">
        <f t="shared" ref="F1138:G1138" si="2275">IF(isblank(F$1),,IF(isblank($A1138),,IFERROR(vlookup($A1138,indirect("'TVC-"&amp;text(month(F$1),"00")&amp;"'!$A:$D"),4,false),1)))</f>
        <v>1</v>
      </c>
      <c r="G1138" s="62">
        <f t="shared" si="2275"/>
        <v>1</v>
      </c>
      <c r="H1138" s="62">
        <f t="shared" ref="H1138:Q1138" si="2276">IF(isblank(H$1),,IFERROR(vlookup($A1138,indirect("'TVC-"&amp;text(month(H$1),"00")&amp;"'!$A:$D"),4,false),1))</f>
        <v>1</v>
      </c>
      <c r="I1138" s="62">
        <f t="shared" si="2276"/>
        <v>1</v>
      </c>
      <c r="J1138" s="62">
        <f t="shared" si="2276"/>
        <v>1</v>
      </c>
      <c r="K1138" s="62">
        <f t="shared" si="2276"/>
        <v>1</v>
      </c>
      <c r="L1138" s="62">
        <f t="shared" si="2276"/>
        <v>1</v>
      </c>
      <c r="M1138" s="62">
        <f t="shared" si="2276"/>
        <v>1</v>
      </c>
      <c r="N1138" s="62">
        <f t="shared" si="2276"/>
        <v>1</v>
      </c>
      <c r="O1138" s="62">
        <f t="shared" si="2276"/>
        <v>1</v>
      </c>
      <c r="P1138" s="62" t="str">
        <f t="shared" si="2276"/>
        <v/>
      </c>
      <c r="Q1138" s="62" t="str">
        <f t="shared" si="2276"/>
        <v/>
      </c>
      <c r="R1138" s="62">
        <f t="shared" si="7"/>
        <v>0</v>
      </c>
      <c r="S1138" s="62"/>
      <c r="T1138" s="62"/>
      <c r="U1138" s="62"/>
      <c r="V1138" s="62"/>
      <c r="W1138" s="62"/>
      <c r="X1138" s="62"/>
      <c r="Y1138" s="62"/>
      <c r="Z1138" s="62"/>
      <c r="AA1138" s="62"/>
      <c r="AB1138" s="62"/>
      <c r="AC1138" s="62"/>
    </row>
    <row r="1139" hidden="1">
      <c r="A1139" s="60">
        <f>IFERROR(__xludf.DUMMYFUNCTION("""COMPUTED_VALUE"""),15359.0)</f>
        <v>15359</v>
      </c>
      <c r="B1139" s="60" t="str">
        <f>IFERROR(__xludf.DUMMYFUNCTION("""COMPUTED_VALUE"""),"Tufele, Jay")</f>
        <v>Tufele, Jay</v>
      </c>
      <c r="C1139" s="60" t="str">
        <f>IFERROR(__xludf.DUMMYFUNCTION("""COMPUTED_VALUE"""),"DT")</f>
        <v>DT</v>
      </c>
      <c r="D1139" s="60" t="str">
        <f>IFERROR(__xludf.DUMMYFUNCTION("""COMPUTED_VALUE"""),"FA")</f>
        <v>FA</v>
      </c>
      <c r="E1139" s="62" t="str">
        <f t="shared" si="4"/>
        <v>Jay Tufele</v>
      </c>
      <c r="F1139" s="62">
        <f t="shared" ref="F1139:G1139" si="2277">IF(isblank(F$1),,IF(isblank($A1139),,IFERROR(vlookup($A1139,indirect("'TVC-"&amp;text(month(F$1),"00")&amp;"'!$A:$D"),4,false),1)))</f>
        <v>1</v>
      </c>
      <c r="G1139" s="62">
        <f t="shared" si="2277"/>
        <v>1</v>
      </c>
      <c r="H1139" s="62">
        <f t="shared" ref="H1139:Q1139" si="2278">IF(isblank(H$1),,IFERROR(vlookup($A1139,indirect("'TVC-"&amp;text(month(H$1),"00")&amp;"'!$A:$D"),4,false),1))</f>
        <v>1</v>
      </c>
      <c r="I1139" s="62">
        <f t="shared" si="2278"/>
        <v>1</v>
      </c>
      <c r="J1139" s="62">
        <f t="shared" si="2278"/>
        <v>1</v>
      </c>
      <c r="K1139" s="62">
        <f t="shared" si="2278"/>
        <v>1</v>
      </c>
      <c r="L1139" s="62">
        <f t="shared" si="2278"/>
        <v>1</v>
      </c>
      <c r="M1139" s="62">
        <f t="shared" si="2278"/>
        <v>1</v>
      </c>
      <c r="N1139" s="62">
        <f t="shared" si="2278"/>
        <v>1</v>
      </c>
      <c r="O1139" s="62">
        <f t="shared" si="2278"/>
        <v>1</v>
      </c>
      <c r="P1139" s="62" t="str">
        <f t="shared" si="2278"/>
        <v/>
      </c>
      <c r="Q1139" s="62" t="str">
        <f t="shared" si="2278"/>
        <v/>
      </c>
      <c r="R1139" s="62">
        <f t="shared" si="7"/>
        <v>0</v>
      </c>
      <c r="S1139" s="62"/>
      <c r="T1139" s="62"/>
      <c r="U1139" s="62"/>
      <c r="V1139" s="62"/>
      <c r="W1139" s="62"/>
      <c r="X1139" s="62"/>
      <c r="Y1139" s="62"/>
      <c r="Z1139" s="62"/>
      <c r="AA1139" s="62"/>
      <c r="AB1139" s="62"/>
      <c r="AC1139" s="62"/>
    </row>
    <row r="1140" hidden="1">
      <c r="A1140" s="60">
        <f>IFERROR(__xludf.DUMMYFUNCTION("""COMPUTED_VALUE"""),15361.0)</f>
        <v>15361</v>
      </c>
      <c r="B1140" s="60" t="str">
        <f>IFERROR(__xludf.DUMMYFUNCTION("""COMPUTED_VALUE"""),"Horn, Jaycee")</f>
        <v>Horn, Jaycee</v>
      </c>
      <c r="C1140" s="60" t="str">
        <f>IFERROR(__xludf.DUMMYFUNCTION("""COMPUTED_VALUE"""),"CB")</f>
        <v>CB</v>
      </c>
      <c r="D1140" s="60" t="str">
        <f>IFERROR(__xludf.DUMMYFUNCTION("""COMPUTED_VALUE"""),"CAR")</f>
        <v>CAR</v>
      </c>
      <c r="E1140" s="62" t="str">
        <f t="shared" si="4"/>
        <v>Jaycee Horn</v>
      </c>
      <c r="F1140" s="62">
        <f t="shared" ref="F1140:G1140" si="2279">IF(isblank(F$1),,IF(isblank($A1140),,IFERROR(vlookup($A1140,indirect("'TVC-"&amp;text(month(F$1),"00")&amp;"'!$A:$D"),4,false),1)))</f>
        <v>1</v>
      </c>
      <c r="G1140" s="62">
        <f t="shared" si="2279"/>
        <v>1</v>
      </c>
      <c r="H1140" s="62">
        <f t="shared" ref="H1140:Q1140" si="2280">IF(isblank(H$1),,IFERROR(vlookup($A1140,indirect("'TVC-"&amp;text(month(H$1),"00")&amp;"'!$A:$D"),4,false),1))</f>
        <v>1</v>
      </c>
      <c r="I1140" s="62">
        <f t="shared" si="2280"/>
        <v>1</v>
      </c>
      <c r="J1140" s="62">
        <f t="shared" si="2280"/>
        <v>1</v>
      </c>
      <c r="K1140" s="62">
        <f t="shared" si="2280"/>
        <v>1</v>
      </c>
      <c r="L1140" s="62">
        <f t="shared" si="2280"/>
        <v>1</v>
      </c>
      <c r="M1140" s="62">
        <f t="shared" si="2280"/>
        <v>1</v>
      </c>
      <c r="N1140" s="62">
        <f t="shared" si="2280"/>
        <v>1</v>
      </c>
      <c r="O1140" s="62">
        <f t="shared" si="2280"/>
        <v>1</v>
      </c>
      <c r="P1140" s="62" t="str">
        <f t="shared" si="2280"/>
        <v/>
      </c>
      <c r="Q1140" s="62" t="str">
        <f t="shared" si="2280"/>
        <v/>
      </c>
      <c r="R1140" s="62">
        <f t="shared" si="7"/>
        <v>0</v>
      </c>
      <c r="S1140" s="62"/>
      <c r="T1140" s="62"/>
      <c r="U1140" s="62"/>
      <c r="V1140" s="62"/>
      <c r="W1140" s="62"/>
      <c r="X1140" s="62"/>
      <c r="Y1140" s="62"/>
      <c r="Z1140" s="62"/>
      <c r="AA1140" s="62"/>
      <c r="AB1140" s="62"/>
      <c r="AC1140" s="62"/>
    </row>
    <row r="1141" hidden="1">
      <c r="A1141" s="60">
        <f>IFERROR(__xludf.DUMMYFUNCTION("""COMPUTED_VALUE"""),15362.0)</f>
        <v>15362</v>
      </c>
      <c r="B1141" s="60" t="str">
        <f>IFERROR(__xludf.DUMMYFUNCTION("""COMPUTED_VALUE"""),"Surtain II, Patrick")</f>
        <v>Surtain II, Patrick</v>
      </c>
      <c r="C1141" s="60" t="str">
        <f>IFERROR(__xludf.DUMMYFUNCTION("""COMPUTED_VALUE"""),"CB")</f>
        <v>CB</v>
      </c>
      <c r="D1141" s="60" t="str">
        <f>IFERROR(__xludf.DUMMYFUNCTION("""COMPUTED_VALUE"""),"DEN")</f>
        <v>DEN</v>
      </c>
      <c r="E1141" s="62" t="str">
        <f t="shared" si="4"/>
        <v>Patrick Surtain II</v>
      </c>
      <c r="F1141" s="62">
        <f t="shared" ref="F1141:G1141" si="2281">IF(isblank(F$1),,IF(isblank($A1141),,IFERROR(vlookup($A1141,indirect("'TVC-"&amp;text(month(F$1),"00")&amp;"'!$A:$D"),4,false),1)))</f>
        <v>1</v>
      </c>
      <c r="G1141" s="62">
        <f t="shared" si="2281"/>
        <v>1</v>
      </c>
      <c r="H1141" s="62">
        <f t="shared" ref="H1141:Q1141" si="2282">IF(isblank(H$1),,IFERROR(vlookup($A1141,indirect("'TVC-"&amp;text(month(H$1),"00")&amp;"'!$A:$D"),4,false),1))</f>
        <v>1</v>
      </c>
      <c r="I1141" s="62">
        <f t="shared" si="2282"/>
        <v>1</v>
      </c>
      <c r="J1141" s="62">
        <f t="shared" si="2282"/>
        <v>1</v>
      </c>
      <c r="K1141" s="62">
        <f t="shared" si="2282"/>
        <v>1</v>
      </c>
      <c r="L1141" s="62">
        <f t="shared" si="2282"/>
        <v>1</v>
      </c>
      <c r="M1141" s="62">
        <f t="shared" si="2282"/>
        <v>1</v>
      </c>
      <c r="N1141" s="62">
        <f t="shared" si="2282"/>
        <v>1</v>
      </c>
      <c r="O1141" s="62">
        <f t="shared" si="2282"/>
        <v>1</v>
      </c>
      <c r="P1141" s="62" t="str">
        <f t="shared" si="2282"/>
        <v/>
      </c>
      <c r="Q1141" s="62" t="str">
        <f t="shared" si="2282"/>
        <v/>
      </c>
      <c r="R1141" s="62">
        <f t="shared" si="7"/>
        <v>0</v>
      </c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</row>
    <row r="1142" hidden="1">
      <c r="A1142" s="60">
        <f>IFERROR(__xludf.DUMMYFUNCTION("""COMPUTED_VALUE"""),15363.0)</f>
        <v>15363</v>
      </c>
      <c r="B1142" s="60" t="str">
        <f>IFERROR(__xludf.DUMMYFUNCTION("""COMPUTED_VALUE"""),"Melifonwu, Ifeatu")</f>
        <v>Melifonwu, Ifeatu</v>
      </c>
      <c r="C1142" s="60" t="str">
        <f>IFERROR(__xludf.DUMMYFUNCTION("""COMPUTED_VALUE"""),"S")</f>
        <v>S</v>
      </c>
      <c r="D1142" s="60" t="str">
        <f>IFERROR(__xludf.DUMMYFUNCTION("""COMPUTED_VALUE"""),"TBB")</f>
        <v>TBB</v>
      </c>
      <c r="E1142" s="62" t="str">
        <f t="shared" si="4"/>
        <v>Ifeatu Melifonwu</v>
      </c>
      <c r="F1142" s="62">
        <f t="shared" ref="F1142:G1142" si="2283">IF(isblank(F$1),,IF(isblank($A1142),,IFERROR(vlookup($A1142,indirect("'TVC-"&amp;text(month(F$1),"00")&amp;"'!$A:$D"),4,false),1)))</f>
        <v>1</v>
      </c>
      <c r="G1142" s="62">
        <f t="shared" si="2283"/>
        <v>1</v>
      </c>
      <c r="H1142" s="62">
        <f t="shared" ref="H1142:Q1142" si="2284">IF(isblank(H$1),,IFERROR(vlookup($A1142,indirect("'TVC-"&amp;text(month(H$1),"00")&amp;"'!$A:$D"),4,false),1))</f>
        <v>1</v>
      </c>
      <c r="I1142" s="62">
        <f t="shared" si="2284"/>
        <v>1</v>
      </c>
      <c r="J1142" s="62">
        <f t="shared" si="2284"/>
        <v>1</v>
      </c>
      <c r="K1142" s="62">
        <f t="shared" si="2284"/>
        <v>1</v>
      </c>
      <c r="L1142" s="62">
        <f t="shared" si="2284"/>
        <v>1</v>
      </c>
      <c r="M1142" s="62">
        <f t="shared" si="2284"/>
        <v>1</v>
      </c>
      <c r="N1142" s="62">
        <f t="shared" si="2284"/>
        <v>1</v>
      </c>
      <c r="O1142" s="62">
        <f t="shared" si="2284"/>
        <v>1</v>
      </c>
      <c r="P1142" s="62" t="str">
        <f t="shared" si="2284"/>
        <v/>
      </c>
      <c r="Q1142" s="62" t="str">
        <f t="shared" si="2284"/>
        <v/>
      </c>
      <c r="R1142" s="62">
        <f t="shared" si="7"/>
        <v>0</v>
      </c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</row>
    <row r="1143" hidden="1">
      <c r="A1143" s="60">
        <f>IFERROR(__xludf.DUMMYFUNCTION("""COMPUTED_VALUE"""),15364.0)</f>
        <v>15364</v>
      </c>
      <c r="B1143" s="60" t="str">
        <f>IFERROR(__xludf.DUMMYFUNCTION("""COMPUTED_VALUE"""),"Cisco, Andre")</f>
        <v>Cisco, Andre</v>
      </c>
      <c r="C1143" s="60" t="str">
        <f>IFERROR(__xludf.DUMMYFUNCTION("""COMPUTED_VALUE"""),"S")</f>
        <v>S</v>
      </c>
      <c r="D1143" s="60" t="str">
        <f>IFERROR(__xludf.DUMMYFUNCTION("""COMPUTED_VALUE"""),"NYJ")</f>
        <v>NYJ</v>
      </c>
      <c r="E1143" s="62" t="str">
        <f t="shared" si="4"/>
        <v>Andre Cisco</v>
      </c>
      <c r="F1143" s="62">
        <f t="shared" ref="F1143:G1143" si="2285">IF(isblank(F$1),,IF(isblank($A1143),,IFERROR(vlookup($A1143,indirect("'TVC-"&amp;text(month(F$1),"00")&amp;"'!$A:$D"),4,false),1)))</f>
        <v>1</v>
      </c>
      <c r="G1143" s="62">
        <f t="shared" si="2285"/>
        <v>1</v>
      </c>
      <c r="H1143" s="62">
        <f t="shared" ref="H1143:Q1143" si="2286">IF(isblank(H$1),,IFERROR(vlookup($A1143,indirect("'TVC-"&amp;text(month(H$1),"00")&amp;"'!$A:$D"),4,false),1))</f>
        <v>1</v>
      </c>
      <c r="I1143" s="62">
        <f t="shared" si="2286"/>
        <v>1</v>
      </c>
      <c r="J1143" s="62">
        <f t="shared" si="2286"/>
        <v>1</v>
      </c>
      <c r="K1143" s="62">
        <f t="shared" si="2286"/>
        <v>1</v>
      </c>
      <c r="L1143" s="62">
        <f t="shared" si="2286"/>
        <v>1</v>
      </c>
      <c r="M1143" s="62">
        <f t="shared" si="2286"/>
        <v>1</v>
      </c>
      <c r="N1143" s="62">
        <f t="shared" si="2286"/>
        <v>1</v>
      </c>
      <c r="O1143" s="62">
        <f t="shared" si="2286"/>
        <v>1</v>
      </c>
      <c r="P1143" s="62" t="str">
        <f t="shared" si="2286"/>
        <v/>
      </c>
      <c r="Q1143" s="62" t="str">
        <f t="shared" si="2286"/>
        <v/>
      </c>
      <c r="R1143" s="62">
        <f t="shared" si="7"/>
        <v>0</v>
      </c>
      <c r="S1143" s="62"/>
      <c r="T1143" s="62"/>
      <c r="U1143" s="62"/>
      <c r="V1143" s="62"/>
      <c r="W1143" s="62"/>
      <c r="X1143" s="62"/>
      <c r="Y1143" s="62"/>
      <c r="Z1143" s="62"/>
      <c r="AA1143" s="62"/>
      <c r="AB1143" s="62"/>
      <c r="AC1143" s="62"/>
    </row>
    <row r="1144" hidden="1">
      <c r="A1144" s="60">
        <f>IFERROR(__xludf.DUMMYFUNCTION("""COMPUTED_VALUE"""),15365.0)</f>
        <v>15365</v>
      </c>
      <c r="B1144" s="60" t="str">
        <f>IFERROR(__xludf.DUMMYFUNCTION("""COMPUTED_VALUE"""),"Moehrig, Trevon")</f>
        <v>Moehrig, Trevon</v>
      </c>
      <c r="C1144" s="60" t="str">
        <f>IFERROR(__xludf.DUMMYFUNCTION("""COMPUTED_VALUE"""),"S")</f>
        <v>S</v>
      </c>
      <c r="D1144" s="60" t="str">
        <f>IFERROR(__xludf.DUMMYFUNCTION("""COMPUTED_VALUE"""),"CAR")</f>
        <v>CAR</v>
      </c>
      <c r="E1144" s="62" t="str">
        <f t="shared" si="4"/>
        <v>Trevon Moehrig</v>
      </c>
      <c r="F1144" s="62">
        <f t="shared" ref="F1144:G1144" si="2287">IF(isblank(F$1),,IF(isblank($A1144),,IFERROR(vlookup($A1144,indirect("'TVC-"&amp;text(month(F$1),"00")&amp;"'!$A:$D"),4,false),1)))</f>
        <v>1</v>
      </c>
      <c r="G1144" s="62">
        <f t="shared" si="2287"/>
        <v>1</v>
      </c>
      <c r="H1144" s="62">
        <f t="shared" ref="H1144:Q1144" si="2288">IF(isblank(H$1),,IFERROR(vlookup($A1144,indirect("'TVC-"&amp;text(month(H$1),"00")&amp;"'!$A:$D"),4,false),1))</f>
        <v>1</v>
      </c>
      <c r="I1144" s="62">
        <f t="shared" si="2288"/>
        <v>1</v>
      </c>
      <c r="J1144" s="62">
        <f t="shared" si="2288"/>
        <v>1</v>
      </c>
      <c r="K1144" s="62">
        <f t="shared" si="2288"/>
        <v>1</v>
      </c>
      <c r="L1144" s="62">
        <f t="shared" si="2288"/>
        <v>1</v>
      </c>
      <c r="M1144" s="62">
        <f t="shared" si="2288"/>
        <v>1</v>
      </c>
      <c r="N1144" s="62">
        <f t="shared" si="2288"/>
        <v>1</v>
      </c>
      <c r="O1144" s="62">
        <f t="shared" si="2288"/>
        <v>1</v>
      </c>
      <c r="P1144" s="62" t="str">
        <f t="shared" si="2288"/>
        <v/>
      </c>
      <c r="Q1144" s="62" t="str">
        <f t="shared" si="2288"/>
        <v/>
      </c>
      <c r="R1144" s="62">
        <f t="shared" si="7"/>
        <v>0</v>
      </c>
      <c r="S1144" s="62"/>
      <c r="T1144" s="62"/>
      <c r="U1144" s="62"/>
      <c r="V1144" s="62"/>
      <c r="W1144" s="62"/>
      <c r="X1144" s="62"/>
      <c r="Y1144" s="62"/>
      <c r="Z1144" s="62"/>
      <c r="AA1144" s="62"/>
      <c r="AB1144" s="62"/>
      <c r="AC1144" s="62"/>
    </row>
    <row r="1145" hidden="1">
      <c r="A1145" s="60">
        <f>IFERROR(__xludf.DUMMYFUNCTION("""COMPUTED_VALUE"""),15366.0)</f>
        <v>15366</v>
      </c>
      <c r="B1145" s="60" t="str">
        <f>IFERROR(__xludf.DUMMYFUNCTION("""COMPUTED_VALUE"""),"Holland, Jevon")</f>
        <v>Holland, Jevon</v>
      </c>
      <c r="C1145" s="60" t="str">
        <f>IFERROR(__xludf.DUMMYFUNCTION("""COMPUTED_VALUE"""),"S")</f>
        <v>S</v>
      </c>
      <c r="D1145" s="60" t="str">
        <f>IFERROR(__xludf.DUMMYFUNCTION("""COMPUTED_VALUE"""),"NYG")</f>
        <v>NYG</v>
      </c>
      <c r="E1145" s="62" t="str">
        <f t="shared" si="4"/>
        <v>Jevon Holland</v>
      </c>
      <c r="F1145" s="62">
        <f t="shared" ref="F1145:G1145" si="2289">IF(isblank(F$1),,IF(isblank($A1145),,IFERROR(vlookup($A1145,indirect("'TVC-"&amp;text(month(F$1),"00")&amp;"'!$A:$D"),4,false),1)))</f>
        <v>1</v>
      </c>
      <c r="G1145" s="62">
        <f t="shared" si="2289"/>
        <v>1</v>
      </c>
      <c r="H1145" s="62">
        <f t="shared" ref="H1145:Q1145" si="2290">IF(isblank(H$1),,IFERROR(vlookup($A1145,indirect("'TVC-"&amp;text(month(H$1),"00")&amp;"'!$A:$D"),4,false),1))</f>
        <v>1</v>
      </c>
      <c r="I1145" s="62">
        <f t="shared" si="2290"/>
        <v>1</v>
      </c>
      <c r="J1145" s="62">
        <f t="shared" si="2290"/>
        <v>1</v>
      </c>
      <c r="K1145" s="62">
        <f t="shared" si="2290"/>
        <v>1</v>
      </c>
      <c r="L1145" s="62">
        <f t="shared" si="2290"/>
        <v>1</v>
      </c>
      <c r="M1145" s="62">
        <f t="shared" si="2290"/>
        <v>1</v>
      </c>
      <c r="N1145" s="62">
        <f t="shared" si="2290"/>
        <v>1</v>
      </c>
      <c r="O1145" s="62">
        <f t="shared" si="2290"/>
        <v>1</v>
      </c>
      <c r="P1145" s="62" t="str">
        <f t="shared" si="2290"/>
        <v/>
      </c>
      <c r="Q1145" s="62" t="str">
        <f t="shared" si="2290"/>
        <v/>
      </c>
      <c r="R1145" s="62">
        <f t="shared" si="7"/>
        <v>0</v>
      </c>
      <c r="S1145" s="62"/>
      <c r="T1145" s="62"/>
      <c r="U1145" s="62"/>
      <c r="V1145" s="62"/>
      <c r="W1145" s="62"/>
      <c r="X1145" s="62"/>
      <c r="Y1145" s="62"/>
      <c r="Z1145" s="62"/>
      <c r="AA1145" s="62"/>
      <c r="AB1145" s="62"/>
      <c r="AC1145" s="62"/>
    </row>
    <row r="1146" hidden="1">
      <c r="A1146" s="60">
        <f>IFERROR(__xludf.DUMMYFUNCTION("""COMPUTED_VALUE"""),15368.0)</f>
        <v>15368</v>
      </c>
      <c r="B1146" s="60" t="str">
        <f>IFERROR(__xludf.DUMMYFUNCTION("""COMPUTED_VALUE"""),"McPherson, Evan")</f>
        <v>McPherson, Evan</v>
      </c>
      <c r="C1146" s="60" t="str">
        <f>IFERROR(__xludf.DUMMYFUNCTION("""COMPUTED_VALUE"""),"PK")</f>
        <v>PK</v>
      </c>
      <c r="D1146" s="60" t="str">
        <f>IFERROR(__xludf.DUMMYFUNCTION("""COMPUTED_VALUE"""),"CIN")</f>
        <v>CIN</v>
      </c>
      <c r="E1146" s="62" t="str">
        <f t="shared" si="4"/>
        <v>Evan McPherson</v>
      </c>
      <c r="F1146" s="62">
        <f t="shared" ref="F1146:G1146" si="2291">IF(isblank(F$1),,IF(isblank($A1146),,IFERROR(vlookup($A1146,indirect("'TVC-"&amp;text(month(F$1),"00")&amp;"'!$A:$D"),4,false),1)))</f>
        <v>1</v>
      </c>
      <c r="G1146" s="62">
        <f t="shared" si="2291"/>
        <v>1</v>
      </c>
      <c r="H1146" s="62">
        <f t="shared" ref="H1146:Q1146" si="2292">IF(isblank(H$1),,IFERROR(vlookup($A1146,indirect("'TVC-"&amp;text(month(H$1),"00")&amp;"'!$A:$D"),4,false),1))</f>
        <v>1</v>
      </c>
      <c r="I1146" s="62">
        <f t="shared" si="2292"/>
        <v>1</v>
      </c>
      <c r="J1146" s="62">
        <f t="shared" si="2292"/>
        <v>1</v>
      </c>
      <c r="K1146" s="62">
        <f t="shared" si="2292"/>
        <v>1</v>
      </c>
      <c r="L1146" s="62">
        <f t="shared" si="2292"/>
        <v>1</v>
      </c>
      <c r="M1146" s="62">
        <f t="shared" si="2292"/>
        <v>1</v>
      </c>
      <c r="N1146" s="62">
        <f t="shared" si="2292"/>
        <v>1</v>
      </c>
      <c r="O1146" s="62">
        <f t="shared" si="2292"/>
        <v>1</v>
      </c>
      <c r="P1146" s="62" t="str">
        <f t="shared" si="2292"/>
        <v/>
      </c>
      <c r="Q1146" s="62" t="str">
        <f t="shared" si="2292"/>
        <v/>
      </c>
      <c r="R1146" s="62">
        <f t="shared" si="7"/>
        <v>0</v>
      </c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</row>
    <row r="1147" hidden="1">
      <c r="A1147" s="60">
        <f>IFERROR(__xludf.DUMMYFUNCTION("""COMPUTED_VALUE"""),15369.0)</f>
        <v>15369</v>
      </c>
      <c r="B1147" s="60" t="str">
        <f>IFERROR(__xludf.DUMMYFUNCTION("""COMPUTED_VALUE"""),"Patterson, Riley")</f>
        <v>Patterson, Riley</v>
      </c>
      <c r="C1147" s="60" t="str">
        <f>IFERROR(__xludf.DUMMYFUNCTION("""COMPUTED_VALUE"""),"PK")</f>
        <v>PK</v>
      </c>
      <c r="D1147" s="60" t="str">
        <f>IFERROR(__xludf.DUMMYFUNCTION("""COMPUTED_VALUE"""),"MIA")</f>
        <v>MIA</v>
      </c>
      <c r="E1147" s="62" t="str">
        <f t="shared" si="4"/>
        <v>Riley Patterson</v>
      </c>
      <c r="F1147" s="62">
        <f t="shared" ref="F1147:G1147" si="2293">IF(isblank(F$1),,IF(isblank($A1147),,IFERROR(vlookup($A1147,indirect("'TVC-"&amp;text(month(F$1),"00")&amp;"'!$A:$D"),4,false),1)))</f>
        <v>1</v>
      </c>
      <c r="G1147" s="62">
        <f t="shared" si="2293"/>
        <v>1</v>
      </c>
      <c r="H1147" s="62">
        <f t="shared" ref="H1147:Q1147" si="2294">IF(isblank(H$1),,IFERROR(vlookup($A1147,indirect("'TVC-"&amp;text(month(H$1),"00")&amp;"'!$A:$D"),4,false),1))</f>
        <v>1</v>
      </c>
      <c r="I1147" s="62">
        <f t="shared" si="2294"/>
        <v>1</v>
      </c>
      <c r="J1147" s="62">
        <f t="shared" si="2294"/>
        <v>1</v>
      </c>
      <c r="K1147" s="62">
        <f t="shared" si="2294"/>
        <v>1</v>
      </c>
      <c r="L1147" s="62">
        <f t="shared" si="2294"/>
        <v>1</v>
      </c>
      <c r="M1147" s="62">
        <f t="shared" si="2294"/>
        <v>1</v>
      </c>
      <c r="N1147" s="62">
        <f t="shared" si="2294"/>
        <v>1</v>
      </c>
      <c r="O1147" s="62">
        <f t="shared" si="2294"/>
        <v>1</v>
      </c>
      <c r="P1147" s="62" t="str">
        <f t="shared" si="2294"/>
        <v/>
      </c>
      <c r="Q1147" s="62" t="str">
        <f t="shared" si="2294"/>
        <v/>
      </c>
      <c r="R1147" s="62">
        <f t="shared" si="7"/>
        <v>0</v>
      </c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</row>
    <row r="1148" hidden="1">
      <c r="A1148" s="60">
        <f>IFERROR(__xludf.DUMMYFUNCTION("""COMPUTED_VALUE"""),15373.0)</f>
        <v>15373</v>
      </c>
      <c r="B1148" s="60" t="str">
        <f>IFERROR(__xludf.DUMMYFUNCTION("""COMPUTED_VALUE"""),"Davis, Jamin")</f>
        <v>Davis, Jamin</v>
      </c>
      <c r="C1148" s="60" t="str">
        <f>IFERROR(__xludf.DUMMYFUNCTION("""COMPUTED_VALUE"""),"LB")</f>
        <v>LB</v>
      </c>
      <c r="D1148" s="60" t="str">
        <f>IFERROR(__xludf.DUMMYFUNCTION("""COMPUTED_VALUE"""),"FA")</f>
        <v>FA</v>
      </c>
      <c r="E1148" s="62" t="str">
        <f t="shared" si="4"/>
        <v>Jamin Davis</v>
      </c>
      <c r="F1148" s="62">
        <f t="shared" ref="F1148:G1148" si="2295">IF(isblank(F$1),,IF(isblank($A1148),,IFERROR(vlookup($A1148,indirect("'TVC-"&amp;text(month(F$1),"00")&amp;"'!$A:$D"),4,false),1)))</f>
        <v>1</v>
      </c>
      <c r="G1148" s="62">
        <f t="shared" si="2295"/>
        <v>1</v>
      </c>
      <c r="H1148" s="62">
        <f t="shared" ref="H1148:Q1148" si="2296">IF(isblank(H$1),,IFERROR(vlookup($A1148,indirect("'TVC-"&amp;text(month(H$1),"00")&amp;"'!$A:$D"),4,false),1))</f>
        <v>1</v>
      </c>
      <c r="I1148" s="62">
        <f t="shared" si="2296"/>
        <v>1</v>
      </c>
      <c r="J1148" s="62">
        <f t="shared" si="2296"/>
        <v>1</v>
      </c>
      <c r="K1148" s="62">
        <f t="shared" si="2296"/>
        <v>1</v>
      </c>
      <c r="L1148" s="62">
        <f t="shared" si="2296"/>
        <v>1</v>
      </c>
      <c r="M1148" s="62">
        <f t="shared" si="2296"/>
        <v>1</v>
      </c>
      <c r="N1148" s="62">
        <f t="shared" si="2296"/>
        <v>1</v>
      </c>
      <c r="O1148" s="62">
        <f t="shared" si="2296"/>
        <v>1</v>
      </c>
      <c r="P1148" s="62" t="str">
        <f t="shared" si="2296"/>
        <v/>
      </c>
      <c r="Q1148" s="62" t="str">
        <f t="shared" si="2296"/>
        <v/>
      </c>
      <c r="R1148" s="62">
        <f t="shared" si="7"/>
        <v>0</v>
      </c>
      <c r="S1148" s="62"/>
      <c r="T1148" s="62"/>
      <c r="U1148" s="62"/>
      <c r="V1148" s="62"/>
      <c r="W1148" s="62"/>
      <c r="X1148" s="62"/>
      <c r="Y1148" s="62"/>
      <c r="Z1148" s="62"/>
      <c r="AA1148" s="62"/>
      <c r="AB1148" s="62"/>
      <c r="AC1148" s="62"/>
    </row>
    <row r="1149" hidden="1">
      <c r="A1149" s="60">
        <f>IFERROR(__xludf.DUMMYFUNCTION("""COMPUTED_VALUE"""),15375.0)</f>
        <v>15375</v>
      </c>
      <c r="B1149" s="60" t="str">
        <f>IFERROR(__xludf.DUMMYFUNCTION("""COMPUTED_VALUE"""),"Newsome, Greg")</f>
        <v>Newsome, Greg</v>
      </c>
      <c r="C1149" s="60" t="str">
        <f>IFERROR(__xludf.DUMMYFUNCTION("""COMPUTED_VALUE"""),"CB")</f>
        <v>CB</v>
      </c>
      <c r="D1149" s="60" t="str">
        <f>IFERROR(__xludf.DUMMYFUNCTION("""COMPUTED_VALUE"""),"NYG")</f>
        <v>NYG</v>
      </c>
      <c r="E1149" s="62" t="str">
        <f t="shared" si="4"/>
        <v>Greg Newsome</v>
      </c>
      <c r="F1149" s="62">
        <f t="shared" ref="F1149:G1149" si="2297">IF(isblank(F$1),,IF(isblank($A1149),,IFERROR(vlookup($A1149,indirect("'TVC-"&amp;text(month(F$1),"00")&amp;"'!$A:$D"),4,false),1)))</f>
        <v>1</v>
      </c>
      <c r="G1149" s="62">
        <f t="shared" si="2297"/>
        <v>1</v>
      </c>
      <c r="H1149" s="62">
        <f t="shared" ref="H1149:Q1149" si="2298">IF(isblank(H$1),,IFERROR(vlookup($A1149,indirect("'TVC-"&amp;text(month(H$1),"00")&amp;"'!$A:$D"),4,false),1))</f>
        <v>1</v>
      </c>
      <c r="I1149" s="62">
        <f t="shared" si="2298"/>
        <v>1</v>
      </c>
      <c r="J1149" s="62">
        <f t="shared" si="2298"/>
        <v>1</v>
      </c>
      <c r="K1149" s="62">
        <f t="shared" si="2298"/>
        <v>1</v>
      </c>
      <c r="L1149" s="62">
        <f t="shared" si="2298"/>
        <v>1</v>
      </c>
      <c r="M1149" s="62">
        <f t="shared" si="2298"/>
        <v>1</v>
      </c>
      <c r="N1149" s="62">
        <f t="shared" si="2298"/>
        <v>1</v>
      </c>
      <c r="O1149" s="62">
        <f t="shared" si="2298"/>
        <v>1</v>
      </c>
      <c r="P1149" s="62" t="str">
        <f t="shared" si="2298"/>
        <v/>
      </c>
      <c r="Q1149" s="62" t="str">
        <f t="shared" si="2298"/>
        <v/>
      </c>
      <c r="R1149" s="62">
        <f t="shared" si="7"/>
        <v>0</v>
      </c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</row>
    <row r="1150" hidden="1">
      <c r="A1150" s="60">
        <f>IFERROR(__xludf.DUMMYFUNCTION("""COMPUTED_VALUE"""),15376.0)</f>
        <v>15376</v>
      </c>
      <c r="B1150" s="60" t="str">
        <f>IFERROR(__xludf.DUMMYFUNCTION("""COMPUTED_VALUE"""),"Turner, Payton")</f>
        <v>Turner, Payton</v>
      </c>
      <c r="C1150" s="60" t="str">
        <f>IFERROR(__xludf.DUMMYFUNCTION("""COMPUTED_VALUE"""),"DE")</f>
        <v>DE</v>
      </c>
      <c r="D1150" s="60" t="str">
        <f>IFERROR(__xludf.DUMMYFUNCTION("""COMPUTED_VALUE"""),"DET")</f>
        <v>DET</v>
      </c>
      <c r="E1150" s="62" t="str">
        <f t="shared" si="4"/>
        <v>Payton Turner</v>
      </c>
      <c r="F1150" s="62">
        <f t="shared" ref="F1150:G1150" si="2299">IF(isblank(F$1),,IF(isblank($A1150),,IFERROR(vlookup($A1150,indirect("'TVC-"&amp;text(month(F$1),"00")&amp;"'!$A:$D"),4,false),1)))</f>
        <v>1</v>
      </c>
      <c r="G1150" s="62">
        <f t="shared" si="2299"/>
        <v>1</v>
      </c>
      <c r="H1150" s="62">
        <f t="shared" ref="H1150:Q1150" si="2300">IF(isblank(H$1),,IFERROR(vlookup($A1150,indirect("'TVC-"&amp;text(month(H$1),"00")&amp;"'!$A:$D"),4,false),1))</f>
        <v>1</v>
      </c>
      <c r="I1150" s="62">
        <f t="shared" si="2300"/>
        <v>1</v>
      </c>
      <c r="J1150" s="62">
        <f t="shared" si="2300"/>
        <v>1</v>
      </c>
      <c r="K1150" s="62">
        <f t="shared" si="2300"/>
        <v>1</v>
      </c>
      <c r="L1150" s="62">
        <f t="shared" si="2300"/>
        <v>1</v>
      </c>
      <c r="M1150" s="62">
        <f t="shared" si="2300"/>
        <v>1</v>
      </c>
      <c r="N1150" s="62">
        <f t="shared" si="2300"/>
        <v>1</v>
      </c>
      <c r="O1150" s="62">
        <f t="shared" si="2300"/>
        <v>1</v>
      </c>
      <c r="P1150" s="62" t="str">
        <f t="shared" si="2300"/>
        <v/>
      </c>
      <c r="Q1150" s="62" t="str">
        <f t="shared" si="2300"/>
        <v/>
      </c>
      <c r="R1150" s="62">
        <f t="shared" si="7"/>
        <v>0</v>
      </c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</row>
    <row r="1151" hidden="1">
      <c r="A1151" s="60">
        <f>IFERROR(__xludf.DUMMYFUNCTION("""COMPUTED_VALUE"""),15377.0)</f>
        <v>15377</v>
      </c>
      <c r="B1151" s="60" t="str">
        <f>IFERROR(__xludf.DUMMYFUNCTION("""COMPUTED_VALUE"""),"Stokes, Eric")</f>
        <v>Stokes, Eric</v>
      </c>
      <c r="C1151" s="60" t="str">
        <f>IFERROR(__xludf.DUMMYFUNCTION("""COMPUTED_VALUE"""),"CB")</f>
        <v>CB</v>
      </c>
      <c r="D1151" s="60" t="str">
        <f>IFERROR(__xludf.DUMMYFUNCTION("""COMPUTED_VALUE"""),"LVR")</f>
        <v>LVR</v>
      </c>
      <c r="E1151" s="62" t="str">
        <f t="shared" si="4"/>
        <v>Eric Stokes</v>
      </c>
      <c r="F1151" s="62">
        <f t="shared" ref="F1151:G1151" si="2301">IF(isblank(F$1),,IF(isblank($A1151),,IFERROR(vlookup($A1151,indirect("'TVC-"&amp;text(month(F$1),"00")&amp;"'!$A:$D"),4,false),1)))</f>
        <v>1</v>
      </c>
      <c r="G1151" s="62">
        <f t="shared" si="2301"/>
        <v>1</v>
      </c>
      <c r="H1151" s="62">
        <f t="shared" ref="H1151:Q1151" si="2302">IF(isblank(H$1),,IFERROR(vlookup($A1151,indirect("'TVC-"&amp;text(month(H$1),"00")&amp;"'!$A:$D"),4,false),1))</f>
        <v>1</v>
      </c>
      <c r="I1151" s="62">
        <f t="shared" si="2302"/>
        <v>1</v>
      </c>
      <c r="J1151" s="62">
        <f t="shared" si="2302"/>
        <v>1</v>
      </c>
      <c r="K1151" s="62">
        <f t="shared" si="2302"/>
        <v>1</v>
      </c>
      <c r="L1151" s="62">
        <f t="shared" si="2302"/>
        <v>1</v>
      </c>
      <c r="M1151" s="62">
        <f t="shared" si="2302"/>
        <v>1</v>
      </c>
      <c r="N1151" s="62">
        <f t="shared" si="2302"/>
        <v>1</v>
      </c>
      <c r="O1151" s="62">
        <f t="shared" si="2302"/>
        <v>1</v>
      </c>
      <c r="P1151" s="62" t="str">
        <f t="shared" si="2302"/>
        <v/>
      </c>
      <c r="Q1151" s="62" t="str">
        <f t="shared" si="2302"/>
        <v/>
      </c>
      <c r="R1151" s="62">
        <f t="shared" si="7"/>
        <v>0</v>
      </c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</row>
    <row r="1152" hidden="1">
      <c r="A1152" s="60">
        <f>IFERROR(__xludf.DUMMYFUNCTION("""COMPUTED_VALUE"""),15378.0)</f>
        <v>15378</v>
      </c>
      <c r="B1152" s="60" t="str">
        <f>IFERROR(__xludf.DUMMYFUNCTION("""COMPUTED_VALUE"""),"Oweh, Odafe")</f>
        <v>Oweh, Odafe</v>
      </c>
      <c r="C1152" s="60" t="str">
        <f>IFERROR(__xludf.DUMMYFUNCTION("""COMPUTED_VALUE"""),"DE")</f>
        <v>DE</v>
      </c>
      <c r="D1152" s="60" t="str">
        <f>IFERROR(__xludf.DUMMYFUNCTION("""COMPUTED_VALUE"""),"WAS")</f>
        <v>WAS</v>
      </c>
      <c r="E1152" s="62" t="str">
        <f t="shared" si="4"/>
        <v>Odafe Oweh</v>
      </c>
      <c r="F1152" s="62">
        <f t="shared" ref="F1152:G1152" si="2303">IF(isblank(F$1),,IF(isblank($A1152),,IFERROR(vlookup($A1152,indirect("'TVC-"&amp;text(month(F$1),"00")&amp;"'!$A:$D"),4,false),1)))</f>
        <v>1</v>
      </c>
      <c r="G1152" s="62">
        <f t="shared" si="2303"/>
        <v>1</v>
      </c>
      <c r="H1152" s="62">
        <f t="shared" ref="H1152:Q1152" si="2304">IF(isblank(H$1),,IFERROR(vlookup($A1152,indirect("'TVC-"&amp;text(month(H$1),"00")&amp;"'!$A:$D"),4,false),1))</f>
        <v>1</v>
      </c>
      <c r="I1152" s="62">
        <f t="shared" si="2304"/>
        <v>1</v>
      </c>
      <c r="J1152" s="62">
        <f t="shared" si="2304"/>
        <v>1</v>
      </c>
      <c r="K1152" s="62">
        <f t="shared" si="2304"/>
        <v>1</v>
      </c>
      <c r="L1152" s="62">
        <f t="shared" si="2304"/>
        <v>1</v>
      </c>
      <c r="M1152" s="62">
        <f t="shared" si="2304"/>
        <v>1</v>
      </c>
      <c r="N1152" s="62">
        <f t="shared" si="2304"/>
        <v>1</v>
      </c>
      <c r="O1152" s="62">
        <f t="shared" si="2304"/>
        <v>1</v>
      </c>
      <c r="P1152" s="62" t="str">
        <f t="shared" si="2304"/>
        <v/>
      </c>
      <c r="Q1152" s="62" t="str">
        <f t="shared" si="2304"/>
        <v/>
      </c>
      <c r="R1152" s="62">
        <f t="shared" si="7"/>
        <v>0</v>
      </c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</row>
    <row r="1153" hidden="1">
      <c r="A1153" s="60">
        <f>IFERROR(__xludf.DUMMYFUNCTION("""COMPUTED_VALUE"""),15379.0)</f>
        <v>15379</v>
      </c>
      <c r="B1153" s="60" t="str">
        <f>IFERROR(__xludf.DUMMYFUNCTION("""COMPUTED_VALUE"""),"Tryon, Joe")</f>
        <v>Tryon, Joe</v>
      </c>
      <c r="C1153" s="60" t="str">
        <f>IFERROR(__xludf.DUMMYFUNCTION("""COMPUTED_VALUE"""),"DE")</f>
        <v>DE</v>
      </c>
      <c r="D1153" s="60" t="str">
        <f>IFERROR(__xludf.DUMMYFUNCTION("""COMPUTED_VALUE"""),"FA")</f>
        <v>FA</v>
      </c>
      <c r="E1153" s="62" t="str">
        <f t="shared" si="4"/>
        <v>Joe Tryon</v>
      </c>
      <c r="F1153" s="62">
        <f t="shared" ref="F1153:G1153" si="2305">IF(isblank(F$1),,IF(isblank($A1153),,IFERROR(vlookup($A1153,indirect("'TVC-"&amp;text(month(F$1),"00")&amp;"'!$A:$D"),4,false),1)))</f>
        <v>1</v>
      </c>
      <c r="G1153" s="62">
        <f t="shared" si="2305"/>
        <v>1</v>
      </c>
      <c r="H1153" s="62">
        <f t="shared" ref="H1153:Q1153" si="2306">IF(isblank(H$1),,IFERROR(vlookup($A1153,indirect("'TVC-"&amp;text(month(H$1),"00")&amp;"'!$A:$D"),4,false),1))</f>
        <v>1</v>
      </c>
      <c r="I1153" s="62">
        <f t="shared" si="2306"/>
        <v>1</v>
      </c>
      <c r="J1153" s="62">
        <f t="shared" si="2306"/>
        <v>1</v>
      </c>
      <c r="K1153" s="62">
        <f t="shared" si="2306"/>
        <v>1</v>
      </c>
      <c r="L1153" s="62">
        <f t="shared" si="2306"/>
        <v>1</v>
      </c>
      <c r="M1153" s="62">
        <f t="shared" si="2306"/>
        <v>1</v>
      </c>
      <c r="N1153" s="62">
        <f t="shared" si="2306"/>
        <v>1</v>
      </c>
      <c r="O1153" s="62">
        <f t="shared" si="2306"/>
        <v>1</v>
      </c>
      <c r="P1153" s="62" t="str">
        <f t="shared" si="2306"/>
        <v/>
      </c>
      <c r="Q1153" s="62" t="str">
        <f t="shared" si="2306"/>
        <v/>
      </c>
      <c r="R1153" s="62">
        <f t="shared" si="7"/>
        <v>0</v>
      </c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</row>
    <row r="1154" hidden="1">
      <c r="A1154" s="60">
        <f>IFERROR(__xludf.DUMMYFUNCTION("""COMPUTED_VALUE"""),15380.0)</f>
        <v>15380</v>
      </c>
      <c r="B1154" s="60" t="str">
        <f>IFERROR(__xludf.DUMMYFUNCTION("""COMPUTED_VALUE"""),"Campbell, Tyson")</f>
        <v>Campbell, Tyson</v>
      </c>
      <c r="C1154" s="60" t="str">
        <f>IFERROR(__xludf.DUMMYFUNCTION("""COMPUTED_VALUE"""),"CB")</f>
        <v>CB</v>
      </c>
      <c r="D1154" s="60" t="str">
        <f>IFERROR(__xludf.DUMMYFUNCTION("""COMPUTED_VALUE"""),"CLE")</f>
        <v>CLE</v>
      </c>
      <c r="E1154" s="62" t="str">
        <f t="shared" si="4"/>
        <v>Tyson Campbell</v>
      </c>
      <c r="F1154" s="62">
        <f t="shared" ref="F1154:G1154" si="2307">IF(isblank(F$1),,IF(isblank($A1154),,IFERROR(vlookup($A1154,indirect("'TVC-"&amp;text(month(F$1),"00")&amp;"'!$A:$D"),4,false),1)))</f>
        <v>1</v>
      </c>
      <c r="G1154" s="62">
        <f t="shared" si="2307"/>
        <v>1</v>
      </c>
      <c r="H1154" s="62">
        <f t="shared" ref="H1154:Q1154" si="2308">IF(isblank(H$1),,IFERROR(vlookup($A1154,indirect("'TVC-"&amp;text(month(H$1),"00")&amp;"'!$A:$D"),4,false),1))</f>
        <v>1</v>
      </c>
      <c r="I1154" s="62">
        <f t="shared" si="2308"/>
        <v>1</v>
      </c>
      <c r="J1154" s="62">
        <f t="shared" si="2308"/>
        <v>1</v>
      </c>
      <c r="K1154" s="62">
        <f t="shared" si="2308"/>
        <v>1</v>
      </c>
      <c r="L1154" s="62">
        <f t="shared" si="2308"/>
        <v>1</v>
      </c>
      <c r="M1154" s="62">
        <f t="shared" si="2308"/>
        <v>1</v>
      </c>
      <c r="N1154" s="62">
        <f t="shared" si="2308"/>
        <v>1</v>
      </c>
      <c r="O1154" s="62">
        <f t="shared" si="2308"/>
        <v>1</v>
      </c>
      <c r="P1154" s="62" t="str">
        <f t="shared" si="2308"/>
        <v/>
      </c>
      <c r="Q1154" s="62" t="str">
        <f t="shared" si="2308"/>
        <v/>
      </c>
      <c r="R1154" s="62">
        <f t="shared" si="7"/>
        <v>0</v>
      </c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</row>
    <row r="1155" hidden="1">
      <c r="A1155" s="60">
        <f>IFERROR(__xludf.DUMMYFUNCTION("""COMPUTED_VALUE"""),15381.0)</f>
        <v>15381</v>
      </c>
      <c r="B1155" s="60" t="str">
        <f>IFERROR(__xludf.DUMMYFUNCTION("""COMPUTED_VALUE"""),"Grant, Richie")</f>
        <v>Grant, Richie</v>
      </c>
      <c r="C1155" s="60" t="str">
        <f>IFERROR(__xludf.DUMMYFUNCTION("""COMPUTED_VALUE"""),"S")</f>
        <v>S</v>
      </c>
      <c r="D1155" s="60" t="str">
        <f>IFERROR(__xludf.DUMMYFUNCTION("""COMPUTED_VALUE"""),"NEP")</f>
        <v>NEP</v>
      </c>
      <c r="E1155" s="62" t="str">
        <f t="shared" si="4"/>
        <v>Richie Grant</v>
      </c>
      <c r="F1155" s="62">
        <f t="shared" ref="F1155:G1155" si="2309">IF(isblank(F$1),,IF(isblank($A1155),,IFERROR(vlookup($A1155,indirect("'TVC-"&amp;text(month(F$1),"00")&amp;"'!$A:$D"),4,false),1)))</f>
        <v>1</v>
      </c>
      <c r="G1155" s="62">
        <f t="shared" si="2309"/>
        <v>1</v>
      </c>
      <c r="H1155" s="62">
        <f t="shared" ref="H1155:Q1155" si="2310">IF(isblank(H$1),,IFERROR(vlookup($A1155,indirect("'TVC-"&amp;text(month(H$1),"00")&amp;"'!$A:$D"),4,false),1))</f>
        <v>1</v>
      </c>
      <c r="I1155" s="62">
        <f t="shared" si="2310"/>
        <v>1</v>
      </c>
      <c r="J1155" s="62">
        <f t="shared" si="2310"/>
        <v>1</v>
      </c>
      <c r="K1155" s="62">
        <f t="shared" si="2310"/>
        <v>1</v>
      </c>
      <c r="L1155" s="62">
        <f t="shared" si="2310"/>
        <v>1</v>
      </c>
      <c r="M1155" s="62">
        <f t="shared" si="2310"/>
        <v>1</v>
      </c>
      <c r="N1155" s="62">
        <f t="shared" si="2310"/>
        <v>1</v>
      </c>
      <c r="O1155" s="62">
        <f t="shared" si="2310"/>
        <v>1</v>
      </c>
      <c r="P1155" s="62" t="str">
        <f t="shared" si="2310"/>
        <v/>
      </c>
      <c r="Q1155" s="62" t="str">
        <f t="shared" si="2310"/>
        <v/>
      </c>
      <c r="R1155" s="62">
        <f t="shared" si="7"/>
        <v>0</v>
      </c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</row>
    <row r="1156" hidden="1">
      <c r="A1156" s="60">
        <f>IFERROR(__xludf.DUMMYFUNCTION("""COMPUTED_VALUE"""),15382.0)</f>
        <v>15382</v>
      </c>
      <c r="B1156" s="60" t="str">
        <f>IFERROR(__xludf.DUMMYFUNCTION("""COMPUTED_VALUE"""),"Onwuzurike, Levi")</f>
        <v>Onwuzurike, Levi</v>
      </c>
      <c r="C1156" s="60" t="str">
        <f>IFERROR(__xludf.DUMMYFUNCTION("""COMPUTED_VALUE"""),"DT")</f>
        <v>DT</v>
      </c>
      <c r="D1156" s="60" t="str">
        <f>IFERROR(__xludf.DUMMYFUNCTION("""COMPUTED_VALUE"""),"DET")</f>
        <v>DET</v>
      </c>
      <c r="E1156" s="62" t="str">
        <f t="shared" si="4"/>
        <v>Levi Onwuzurike</v>
      </c>
      <c r="F1156" s="62">
        <f t="shared" ref="F1156:G1156" si="2311">IF(isblank(F$1),,IF(isblank($A1156),,IFERROR(vlookup($A1156,indirect("'TVC-"&amp;text(month(F$1),"00")&amp;"'!$A:$D"),4,false),1)))</f>
        <v>1</v>
      </c>
      <c r="G1156" s="62">
        <f t="shared" si="2311"/>
        <v>1</v>
      </c>
      <c r="H1156" s="62">
        <f t="shared" ref="H1156:Q1156" si="2312">IF(isblank(H$1),,IFERROR(vlookup($A1156,indirect("'TVC-"&amp;text(month(H$1),"00")&amp;"'!$A:$D"),4,false),1))</f>
        <v>1</v>
      </c>
      <c r="I1156" s="62">
        <f t="shared" si="2312"/>
        <v>1</v>
      </c>
      <c r="J1156" s="62">
        <f t="shared" si="2312"/>
        <v>1</v>
      </c>
      <c r="K1156" s="62">
        <f t="shared" si="2312"/>
        <v>1</v>
      </c>
      <c r="L1156" s="62">
        <f t="shared" si="2312"/>
        <v>1</v>
      </c>
      <c r="M1156" s="62">
        <f t="shared" si="2312"/>
        <v>1</v>
      </c>
      <c r="N1156" s="62">
        <f t="shared" si="2312"/>
        <v>1</v>
      </c>
      <c r="O1156" s="62">
        <f t="shared" si="2312"/>
        <v>1</v>
      </c>
      <c r="P1156" s="62" t="str">
        <f t="shared" si="2312"/>
        <v/>
      </c>
      <c r="Q1156" s="62" t="str">
        <f t="shared" si="2312"/>
        <v/>
      </c>
      <c r="R1156" s="62">
        <f t="shared" si="7"/>
        <v>0</v>
      </c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</row>
    <row r="1157" hidden="1">
      <c r="A1157" s="60">
        <f>IFERROR(__xludf.DUMMYFUNCTION("""COMPUTED_VALUE"""),15384.0)</f>
        <v>15384</v>
      </c>
      <c r="B1157" s="60" t="str">
        <f>IFERROR(__xludf.DUMMYFUNCTION("""COMPUTED_VALUE"""),"Samuel, Asante")</f>
        <v>Samuel, Asante</v>
      </c>
      <c r="C1157" s="60" t="str">
        <f>IFERROR(__xludf.DUMMYFUNCTION("""COMPUTED_VALUE"""),"CB")</f>
        <v>CB</v>
      </c>
      <c r="D1157" s="60" t="str">
        <f>IFERROR(__xludf.DUMMYFUNCTION("""COMPUTED_VALUE"""),"PIT")</f>
        <v>PIT</v>
      </c>
      <c r="E1157" s="62" t="str">
        <f t="shared" si="4"/>
        <v>Asante Samuel</v>
      </c>
      <c r="F1157" s="62">
        <f t="shared" ref="F1157:G1157" si="2313">IF(isblank(F$1),,IF(isblank($A1157),,IFERROR(vlookup($A1157,indirect("'TVC-"&amp;text(month(F$1),"00")&amp;"'!$A:$D"),4,false),1)))</f>
        <v>1</v>
      </c>
      <c r="G1157" s="62">
        <f t="shared" si="2313"/>
        <v>1</v>
      </c>
      <c r="H1157" s="62">
        <f t="shared" ref="H1157:Q1157" si="2314">IF(isblank(H$1),,IFERROR(vlookup($A1157,indirect("'TVC-"&amp;text(month(H$1),"00")&amp;"'!$A:$D"),4,false),1))</f>
        <v>1</v>
      </c>
      <c r="I1157" s="62">
        <f t="shared" si="2314"/>
        <v>1</v>
      </c>
      <c r="J1157" s="62">
        <f t="shared" si="2314"/>
        <v>1</v>
      </c>
      <c r="K1157" s="62">
        <f t="shared" si="2314"/>
        <v>1</v>
      </c>
      <c r="L1157" s="62">
        <f t="shared" si="2314"/>
        <v>1</v>
      </c>
      <c r="M1157" s="62">
        <f t="shared" si="2314"/>
        <v>1</v>
      </c>
      <c r="N1157" s="62">
        <f t="shared" si="2314"/>
        <v>1</v>
      </c>
      <c r="O1157" s="62">
        <f t="shared" si="2314"/>
        <v>1</v>
      </c>
      <c r="P1157" s="62" t="str">
        <f t="shared" si="2314"/>
        <v/>
      </c>
      <c r="Q1157" s="62" t="str">
        <f t="shared" si="2314"/>
        <v/>
      </c>
      <c r="R1157" s="62">
        <f t="shared" si="7"/>
        <v>0</v>
      </c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</row>
    <row r="1158" hidden="1">
      <c r="A1158" s="60">
        <f>IFERROR(__xludf.DUMMYFUNCTION("""COMPUTED_VALUE"""),15385.0)</f>
        <v>15385</v>
      </c>
      <c r="B1158" s="60" t="str">
        <f>IFERROR(__xludf.DUMMYFUNCTION("""COMPUTED_VALUE"""),"Ojulari, Azeez")</f>
        <v>Ojulari, Azeez</v>
      </c>
      <c r="C1158" s="60" t="str">
        <f>IFERROR(__xludf.DUMMYFUNCTION("""COMPUTED_VALUE"""),"DE")</f>
        <v>DE</v>
      </c>
      <c r="D1158" s="60" t="str">
        <f>IFERROR(__xludf.DUMMYFUNCTION("""COMPUTED_VALUE"""),"LVR")</f>
        <v>LVR</v>
      </c>
      <c r="E1158" s="62" t="str">
        <f t="shared" si="4"/>
        <v>Azeez Ojulari</v>
      </c>
      <c r="F1158" s="62">
        <f t="shared" ref="F1158:G1158" si="2315">IF(isblank(F$1),,IF(isblank($A1158),,IFERROR(vlookup($A1158,indirect("'TVC-"&amp;text(month(F$1),"00")&amp;"'!$A:$D"),4,false),1)))</f>
        <v>1</v>
      </c>
      <c r="G1158" s="62">
        <f t="shared" si="2315"/>
        <v>1</v>
      </c>
      <c r="H1158" s="62">
        <f t="shared" ref="H1158:Q1158" si="2316">IF(isblank(H$1),,IFERROR(vlookup($A1158,indirect("'TVC-"&amp;text(month(H$1),"00")&amp;"'!$A:$D"),4,false),1))</f>
        <v>1</v>
      </c>
      <c r="I1158" s="62">
        <f t="shared" si="2316"/>
        <v>1</v>
      </c>
      <c r="J1158" s="62">
        <f t="shared" si="2316"/>
        <v>1</v>
      </c>
      <c r="K1158" s="62">
        <f t="shared" si="2316"/>
        <v>1</v>
      </c>
      <c r="L1158" s="62">
        <f t="shared" si="2316"/>
        <v>1</v>
      </c>
      <c r="M1158" s="62">
        <f t="shared" si="2316"/>
        <v>1</v>
      </c>
      <c r="N1158" s="62">
        <f t="shared" si="2316"/>
        <v>1</v>
      </c>
      <c r="O1158" s="62">
        <f t="shared" si="2316"/>
        <v>1</v>
      </c>
      <c r="P1158" s="62" t="str">
        <f t="shared" si="2316"/>
        <v/>
      </c>
      <c r="Q1158" s="62" t="str">
        <f t="shared" si="2316"/>
        <v/>
      </c>
      <c r="R1158" s="62">
        <f t="shared" si="7"/>
        <v>0</v>
      </c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</row>
    <row r="1159" hidden="1">
      <c r="A1159" s="60">
        <f>IFERROR(__xludf.DUMMYFUNCTION("""COMPUTED_VALUE"""),15386.0)</f>
        <v>15386</v>
      </c>
      <c r="B1159" s="60" t="str">
        <f>IFERROR(__xludf.DUMMYFUNCTION("""COMPUTED_VALUE"""),"Odeyingbo, Dayo")</f>
        <v>Odeyingbo, Dayo</v>
      </c>
      <c r="C1159" s="60" t="str">
        <f>IFERROR(__xludf.DUMMYFUNCTION("""COMPUTED_VALUE"""),"DE")</f>
        <v>DE</v>
      </c>
      <c r="D1159" s="60" t="str">
        <f>IFERROR(__xludf.DUMMYFUNCTION("""COMPUTED_VALUE"""),"CHI")</f>
        <v>CHI</v>
      </c>
      <c r="E1159" s="62" t="str">
        <f t="shared" si="4"/>
        <v>Dayo Odeyingbo</v>
      </c>
      <c r="F1159" s="62">
        <f t="shared" ref="F1159:G1159" si="2317">IF(isblank(F$1),,IF(isblank($A1159),,IFERROR(vlookup($A1159,indirect("'TVC-"&amp;text(month(F$1),"00")&amp;"'!$A:$D"),4,false),1)))</f>
        <v>1</v>
      </c>
      <c r="G1159" s="62">
        <f t="shared" si="2317"/>
        <v>1</v>
      </c>
      <c r="H1159" s="62">
        <f t="shared" ref="H1159:Q1159" si="2318">IF(isblank(H$1),,IFERROR(vlookup($A1159,indirect("'TVC-"&amp;text(month(H$1),"00")&amp;"'!$A:$D"),4,false),1))</f>
        <v>1</v>
      </c>
      <c r="I1159" s="62">
        <f t="shared" si="2318"/>
        <v>1</v>
      </c>
      <c r="J1159" s="62">
        <f t="shared" si="2318"/>
        <v>1</v>
      </c>
      <c r="K1159" s="62">
        <f t="shared" si="2318"/>
        <v>1</v>
      </c>
      <c r="L1159" s="62">
        <f t="shared" si="2318"/>
        <v>1</v>
      </c>
      <c r="M1159" s="62">
        <f t="shared" si="2318"/>
        <v>1</v>
      </c>
      <c r="N1159" s="62">
        <f t="shared" si="2318"/>
        <v>1</v>
      </c>
      <c r="O1159" s="62">
        <f t="shared" si="2318"/>
        <v>1</v>
      </c>
      <c r="P1159" s="62" t="str">
        <f t="shared" si="2318"/>
        <v/>
      </c>
      <c r="Q1159" s="62" t="str">
        <f t="shared" si="2318"/>
        <v/>
      </c>
      <c r="R1159" s="62">
        <f t="shared" si="7"/>
        <v>0</v>
      </c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</row>
    <row r="1160" hidden="1">
      <c r="A1160" s="60">
        <f>IFERROR(__xludf.DUMMYFUNCTION("""COMPUTED_VALUE"""),15387.0)</f>
        <v>15387</v>
      </c>
      <c r="B1160" s="60" t="str">
        <f>IFERROR(__xludf.DUMMYFUNCTION("""COMPUTED_VALUE"""),"Werner, Pete")</f>
        <v>Werner, Pete</v>
      </c>
      <c r="C1160" s="60" t="str">
        <f>IFERROR(__xludf.DUMMYFUNCTION("""COMPUTED_VALUE"""),"LB")</f>
        <v>LB</v>
      </c>
      <c r="D1160" s="60" t="str">
        <f>IFERROR(__xludf.DUMMYFUNCTION("""COMPUTED_VALUE"""),"NOS")</f>
        <v>NOS</v>
      </c>
      <c r="E1160" s="62" t="str">
        <f t="shared" si="4"/>
        <v>Pete Werner</v>
      </c>
      <c r="F1160" s="62">
        <f t="shared" ref="F1160:G1160" si="2319">IF(isblank(F$1),,IF(isblank($A1160),,IFERROR(vlookup($A1160,indirect("'TVC-"&amp;text(month(F$1),"00")&amp;"'!$A:$D"),4,false),1)))</f>
        <v>1</v>
      </c>
      <c r="G1160" s="62">
        <f t="shared" si="2319"/>
        <v>1</v>
      </c>
      <c r="H1160" s="62">
        <f t="shared" ref="H1160:Q1160" si="2320">IF(isblank(H$1),,IFERROR(vlookup($A1160,indirect("'TVC-"&amp;text(month(H$1),"00")&amp;"'!$A:$D"),4,false),1))</f>
        <v>1</v>
      </c>
      <c r="I1160" s="62">
        <f t="shared" si="2320"/>
        <v>1</v>
      </c>
      <c r="J1160" s="62">
        <f t="shared" si="2320"/>
        <v>1</v>
      </c>
      <c r="K1160" s="62">
        <f t="shared" si="2320"/>
        <v>1</v>
      </c>
      <c r="L1160" s="62">
        <f t="shared" si="2320"/>
        <v>1</v>
      </c>
      <c r="M1160" s="62">
        <f t="shared" si="2320"/>
        <v>1</v>
      </c>
      <c r="N1160" s="62">
        <f t="shared" si="2320"/>
        <v>1</v>
      </c>
      <c r="O1160" s="62">
        <f t="shared" si="2320"/>
        <v>1</v>
      </c>
      <c r="P1160" s="62" t="str">
        <f t="shared" si="2320"/>
        <v/>
      </c>
      <c r="Q1160" s="62" t="str">
        <f t="shared" si="2320"/>
        <v/>
      </c>
      <c r="R1160" s="62">
        <f t="shared" si="7"/>
        <v>0</v>
      </c>
      <c r="S1160" s="62"/>
      <c r="T1160" s="62"/>
      <c r="U1160" s="62"/>
      <c r="V1160" s="62"/>
      <c r="W1160" s="62"/>
      <c r="X1160" s="62"/>
      <c r="Y1160" s="62"/>
      <c r="Z1160" s="62"/>
      <c r="AA1160" s="62"/>
      <c r="AB1160" s="62"/>
      <c r="AC1160" s="62"/>
    </row>
    <row r="1161" hidden="1">
      <c r="A1161" s="60">
        <f>IFERROR(__xludf.DUMMYFUNCTION("""COMPUTED_VALUE"""),15388.0)</f>
        <v>15388</v>
      </c>
      <c r="B1161" s="60" t="str">
        <f>IFERROR(__xludf.DUMMYFUNCTION("""COMPUTED_VALUE"""),"Ossai, Joseph")</f>
        <v>Ossai, Joseph</v>
      </c>
      <c r="C1161" s="60" t="str">
        <f>IFERROR(__xludf.DUMMYFUNCTION("""COMPUTED_VALUE"""),"DE")</f>
        <v>DE</v>
      </c>
      <c r="D1161" s="60" t="str">
        <f>IFERROR(__xludf.DUMMYFUNCTION("""COMPUTED_VALUE"""),"NYJ")</f>
        <v>NYJ</v>
      </c>
      <c r="E1161" s="62" t="str">
        <f t="shared" si="4"/>
        <v>Joseph Ossai</v>
      </c>
      <c r="F1161" s="62">
        <f t="shared" ref="F1161:G1161" si="2321">IF(isblank(F$1),,IF(isblank($A1161),,IFERROR(vlookup($A1161,indirect("'TVC-"&amp;text(month(F$1),"00")&amp;"'!$A:$D"),4,false),1)))</f>
        <v>1</v>
      </c>
      <c r="G1161" s="62">
        <f t="shared" si="2321"/>
        <v>1</v>
      </c>
      <c r="H1161" s="62">
        <f t="shared" ref="H1161:Q1161" si="2322">IF(isblank(H$1),,IFERROR(vlookup($A1161,indirect("'TVC-"&amp;text(month(H$1),"00")&amp;"'!$A:$D"),4,false),1))</f>
        <v>1</v>
      </c>
      <c r="I1161" s="62">
        <f t="shared" si="2322"/>
        <v>1</v>
      </c>
      <c r="J1161" s="62">
        <f t="shared" si="2322"/>
        <v>1</v>
      </c>
      <c r="K1161" s="62">
        <f t="shared" si="2322"/>
        <v>1</v>
      </c>
      <c r="L1161" s="62">
        <f t="shared" si="2322"/>
        <v>1</v>
      </c>
      <c r="M1161" s="62">
        <f t="shared" si="2322"/>
        <v>1</v>
      </c>
      <c r="N1161" s="62">
        <f t="shared" si="2322"/>
        <v>1</v>
      </c>
      <c r="O1161" s="62">
        <f t="shared" si="2322"/>
        <v>1</v>
      </c>
      <c r="P1161" s="62" t="str">
        <f t="shared" si="2322"/>
        <v/>
      </c>
      <c r="Q1161" s="62" t="str">
        <f t="shared" si="2322"/>
        <v/>
      </c>
      <c r="R1161" s="62">
        <f t="shared" si="7"/>
        <v>0</v>
      </c>
      <c r="S1161" s="62"/>
      <c r="T1161" s="62"/>
      <c r="U1161" s="62"/>
      <c r="V1161" s="62"/>
      <c r="W1161" s="62"/>
      <c r="X1161" s="62"/>
      <c r="Y1161" s="62"/>
      <c r="Z1161" s="62"/>
      <c r="AA1161" s="62"/>
      <c r="AB1161" s="62"/>
      <c r="AC1161" s="62"/>
    </row>
    <row r="1162" hidden="1">
      <c r="A1162" s="60">
        <f>IFERROR(__xludf.DUMMYFUNCTION("""COMPUTED_VALUE"""),15390.0)</f>
        <v>15390</v>
      </c>
      <c r="B1162" s="60" t="str">
        <f>IFERROR(__xludf.DUMMYFUNCTION("""COMPUTED_VALUE"""),"McNeill, Alim")</f>
        <v>McNeill, Alim</v>
      </c>
      <c r="C1162" s="60" t="str">
        <f>IFERROR(__xludf.DUMMYFUNCTION("""COMPUTED_VALUE"""),"DT")</f>
        <v>DT</v>
      </c>
      <c r="D1162" s="60" t="str">
        <f>IFERROR(__xludf.DUMMYFUNCTION("""COMPUTED_VALUE"""),"DET")</f>
        <v>DET</v>
      </c>
      <c r="E1162" s="62" t="str">
        <f t="shared" si="4"/>
        <v>Alim McNeill</v>
      </c>
      <c r="F1162" s="62">
        <f t="shared" ref="F1162:G1162" si="2323">IF(isblank(F$1),,IF(isblank($A1162),,IFERROR(vlookup($A1162,indirect("'TVC-"&amp;text(month(F$1),"00")&amp;"'!$A:$D"),4,false),1)))</f>
        <v>1</v>
      </c>
      <c r="G1162" s="62">
        <f t="shared" si="2323"/>
        <v>1</v>
      </c>
      <c r="H1162" s="62">
        <f t="shared" ref="H1162:Q1162" si="2324">IF(isblank(H$1),,IFERROR(vlookup($A1162,indirect("'TVC-"&amp;text(month(H$1),"00")&amp;"'!$A:$D"),4,false),1))</f>
        <v>1</v>
      </c>
      <c r="I1162" s="62">
        <f t="shared" si="2324"/>
        <v>1</v>
      </c>
      <c r="J1162" s="62">
        <f t="shared" si="2324"/>
        <v>1</v>
      </c>
      <c r="K1162" s="62">
        <f t="shared" si="2324"/>
        <v>1</v>
      </c>
      <c r="L1162" s="62">
        <f t="shared" si="2324"/>
        <v>1</v>
      </c>
      <c r="M1162" s="62">
        <f t="shared" si="2324"/>
        <v>1</v>
      </c>
      <c r="N1162" s="62">
        <f t="shared" si="2324"/>
        <v>1</v>
      </c>
      <c r="O1162" s="62">
        <f t="shared" si="2324"/>
        <v>1</v>
      </c>
      <c r="P1162" s="62" t="str">
        <f t="shared" si="2324"/>
        <v/>
      </c>
      <c r="Q1162" s="62" t="str">
        <f t="shared" si="2324"/>
        <v/>
      </c>
      <c r="R1162" s="62">
        <f t="shared" si="7"/>
        <v>0</v>
      </c>
      <c r="S1162" s="62"/>
      <c r="T1162" s="62"/>
      <c r="U1162" s="62"/>
      <c r="V1162" s="62"/>
      <c r="W1162" s="62"/>
      <c r="X1162" s="62"/>
      <c r="Y1162" s="62"/>
      <c r="Z1162" s="62"/>
      <c r="AA1162" s="62"/>
      <c r="AB1162" s="62"/>
      <c r="AC1162" s="62"/>
    </row>
    <row r="1163" hidden="1">
      <c r="A1163" s="60">
        <f>IFERROR(__xludf.DUMMYFUNCTION("""COMPUTED_VALUE"""),15391.0)</f>
        <v>15391</v>
      </c>
      <c r="B1163" s="60" t="str">
        <f>IFERROR(__xludf.DUMMYFUNCTION("""COMPUTED_VALUE"""),"Williams, Milton")</f>
        <v>Williams, Milton</v>
      </c>
      <c r="C1163" s="60" t="str">
        <f>IFERROR(__xludf.DUMMYFUNCTION("""COMPUTED_VALUE"""),"DT")</f>
        <v>DT</v>
      </c>
      <c r="D1163" s="60" t="str">
        <f>IFERROR(__xludf.DUMMYFUNCTION("""COMPUTED_VALUE"""),"NEP")</f>
        <v>NEP</v>
      </c>
      <c r="E1163" s="62" t="str">
        <f t="shared" si="4"/>
        <v>Milton Williams</v>
      </c>
      <c r="F1163" s="62">
        <f t="shared" ref="F1163:G1163" si="2325">IF(isblank(F$1),,IF(isblank($A1163),,IFERROR(vlookup($A1163,indirect("'TVC-"&amp;text(month(F$1),"00")&amp;"'!$A:$D"),4,false),1)))</f>
        <v>1</v>
      </c>
      <c r="G1163" s="62">
        <f t="shared" si="2325"/>
        <v>1</v>
      </c>
      <c r="H1163" s="62">
        <f t="shared" ref="H1163:Q1163" si="2326">IF(isblank(H$1),,IFERROR(vlookup($A1163,indirect("'TVC-"&amp;text(month(H$1),"00")&amp;"'!$A:$D"),4,false),1))</f>
        <v>1</v>
      </c>
      <c r="I1163" s="62">
        <f t="shared" si="2326"/>
        <v>1</v>
      </c>
      <c r="J1163" s="62">
        <f t="shared" si="2326"/>
        <v>1</v>
      </c>
      <c r="K1163" s="62">
        <f t="shared" si="2326"/>
        <v>1</v>
      </c>
      <c r="L1163" s="62">
        <f t="shared" si="2326"/>
        <v>1</v>
      </c>
      <c r="M1163" s="62">
        <f t="shared" si="2326"/>
        <v>1</v>
      </c>
      <c r="N1163" s="62">
        <f t="shared" si="2326"/>
        <v>1</v>
      </c>
      <c r="O1163" s="62">
        <f t="shared" si="2326"/>
        <v>1</v>
      </c>
      <c r="P1163" s="62" t="str">
        <f t="shared" si="2326"/>
        <v/>
      </c>
      <c r="Q1163" s="62" t="str">
        <f t="shared" si="2326"/>
        <v/>
      </c>
      <c r="R1163" s="62">
        <f t="shared" si="7"/>
        <v>0</v>
      </c>
      <c r="S1163" s="62"/>
      <c r="T1163" s="62"/>
      <c r="U1163" s="62"/>
      <c r="V1163" s="62"/>
      <c r="W1163" s="62"/>
      <c r="X1163" s="62"/>
      <c r="Y1163" s="62"/>
      <c r="Z1163" s="62"/>
      <c r="AA1163" s="62"/>
      <c r="AB1163" s="62"/>
      <c r="AC1163" s="62"/>
    </row>
    <row r="1164" hidden="1">
      <c r="A1164" s="60">
        <f>IFERROR(__xludf.DUMMYFUNCTION("""COMPUTED_VALUE"""),15392.0)</f>
        <v>15392</v>
      </c>
      <c r="B1164" s="60" t="str">
        <f>IFERROR(__xludf.DUMMYFUNCTION("""COMPUTED_VALUE"""),"St-Juste, Benjamin")</f>
        <v>St-Juste, Benjamin</v>
      </c>
      <c r="C1164" s="60" t="str">
        <f>IFERROR(__xludf.DUMMYFUNCTION("""COMPUTED_VALUE"""),"CB")</f>
        <v>CB</v>
      </c>
      <c r="D1164" s="60" t="str">
        <f>IFERROR(__xludf.DUMMYFUNCTION("""COMPUTED_VALUE"""),"GBP")</f>
        <v>GBP</v>
      </c>
      <c r="E1164" s="62" t="str">
        <f t="shared" si="4"/>
        <v>Benjamin St-Juste</v>
      </c>
      <c r="F1164" s="62">
        <f t="shared" ref="F1164:G1164" si="2327">IF(isblank(F$1),,IF(isblank($A1164),,IFERROR(vlookup($A1164,indirect("'TVC-"&amp;text(month(F$1),"00")&amp;"'!$A:$D"),4,false),1)))</f>
        <v>1</v>
      </c>
      <c r="G1164" s="62">
        <f t="shared" si="2327"/>
        <v>1</v>
      </c>
      <c r="H1164" s="62">
        <f t="shared" ref="H1164:Q1164" si="2328">IF(isblank(H$1),,IFERROR(vlookup($A1164,indirect("'TVC-"&amp;text(month(H$1),"00")&amp;"'!$A:$D"),4,false),1))</f>
        <v>1</v>
      </c>
      <c r="I1164" s="62">
        <f t="shared" si="2328"/>
        <v>1</v>
      </c>
      <c r="J1164" s="62">
        <f t="shared" si="2328"/>
        <v>1</v>
      </c>
      <c r="K1164" s="62">
        <f t="shared" si="2328"/>
        <v>1</v>
      </c>
      <c r="L1164" s="62">
        <f t="shared" si="2328"/>
        <v>1</v>
      </c>
      <c r="M1164" s="62">
        <f t="shared" si="2328"/>
        <v>1</v>
      </c>
      <c r="N1164" s="62">
        <f t="shared" si="2328"/>
        <v>1</v>
      </c>
      <c r="O1164" s="62">
        <f t="shared" si="2328"/>
        <v>1</v>
      </c>
      <c r="P1164" s="62" t="str">
        <f t="shared" si="2328"/>
        <v/>
      </c>
      <c r="Q1164" s="62" t="str">
        <f t="shared" si="2328"/>
        <v/>
      </c>
      <c r="R1164" s="62">
        <f t="shared" si="7"/>
        <v>0</v>
      </c>
      <c r="S1164" s="62"/>
      <c r="T1164" s="62"/>
      <c r="U1164" s="62"/>
      <c r="V1164" s="62"/>
      <c r="W1164" s="62"/>
      <c r="X1164" s="62"/>
      <c r="Y1164" s="62"/>
      <c r="Z1164" s="62"/>
      <c r="AA1164" s="62"/>
      <c r="AB1164" s="62"/>
      <c r="AC1164" s="62"/>
    </row>
    <row r="1165" hidden="1">
      <c r="A1165" s="60">
        <f>IFERROR(__xludf.DUMMYFUNCTION("""COMPUTED_VALUE"""),15393.0)</f>
        <v>15393</v>
      </c>
      <c r="B1165" s="60" t="str">
        <f>IFERROR(__xludf.DUMMYFUNCTION("""COMPUTED_VALUE"""),"Odighizuwa, Osa")</f>
        <v>Odighizuwa, Osa</v>
      </c>
      <c r="C1165" s="60" t="str">
        <f>IFERROR(__xludf.DUMMYFUNCTION("""COMPUTED_VALUE"""),"DT")</f>
        <v>DT</v>
      </c>
      <c r="D1165" s="60" t="str">
        <f>IFERROR(__xludf.DUMMYFUNCTION("""COMPUTED_VALUE"""),"SFO")</f>
        <v>SFO</v>
      </c>
      <c r="E1165" s="62" t="str">
        <f t="shared" si="4"/>
        <v>Osa Odighizuwa</v>
      </c>
      <c r="F1165" s="62">
        <f t="shared" ref="F1165:G1165" si="2329">IF(isblank(F$1),,IF(isblank($A1165),,IFERROR(vlookup($A1165,indirect("'TVC-"&amp;text(month(F$1),"00")&amp;"'!$A:$D"),4,false),1)))</f>
        <v>1</v>
      </c>
      <c r="G1165" s="62">
        <f t="shared" si="2329"/>
        <v>1</v>
      </c>
      <c r="H1165" s="62">
        <f t="shared" ref="H1165:Q1165" si="2330">IF(isblank(H$1),,IFERROR(vlookup($A1165,indirect("'TVC-"&amp;text(month(H$1),"00")&amp;"'!$A:$D"),4,false),1))</f>
        <v>1</v>
      </c>
      <c r="I1165" s="62">
        <f t="shared" si="2330"/>
        <v>1</v>
      </c>
      <c r="J1165" s="62">
        <f t="shared" si="2330"/>
        <v>1</v>
      </c>
      <c r="K1165" s="62">
        <f t="shared" si="2330"/>
        <v>1</v>
      </c>
      <c r="L1165" s="62">
        <f t="shared" si="2330"/>
        <v>1</v>
      </c>
      <c r="M1165" s="62">
        <f t="shared" si="2330"/>
        <v>1</v>
      </c>
      <c r="N1165" s="62">
        <f t="shared" si="2330"/>
        <v>1</v>
      </c>
      <c r="O1165" s="62">
        <f t="shared" si="2330"/>
        <v>1</v>
      </c>
      <c r="P1165" s="62" t="str">
        <f t="shared" si="2330"/>
        <v/>
      </c>
      <c r="Q1165" s="62" t="str">
        <f t="shared" si="2330"/>
        <v/>
      </c>
      <c r="R1165" s="62">
        <f t="shared" si="7"/>
        <v>0</v>
      </c>
      <c r="S1165" s="62"/>
      <c r="T1165" s="62"/>
      <c r="U1165" s="62"/>
      <c r="V1165" s="62"/>
      <c r="W1165" s="62"/>
      <c r="X1165" s="62"/>
      <c r="Y1165" s="62"/>
      <c r="Z1165" s="62"/>
      <c r="AA1165" s="62"/>
      <c r="AB1165" s="62"/>
      <c r="AC1165" s="62"/>
    </row>
    <row r="1166" hidden="1">
      <c r="A1166" s="60">
        <f>IFERROR(__xludf.DUMMYFUNCTION("""COMPUTED_VALUE"""),15394.0)</f>
        <v>15394</v>
      </c>
      <c r="B1166" s="60" t="str">
        <f>IFERROR(__xludf.DUMMYFUNCTION("""COMPUTED_VALUE"""),"Adebo, Paulson")</f>
        <v>Adebo, Paulson</v>
      </c>
      <c r="C1166" s="60" t="str">
        <f>IFERROR(__xludf.DUMMYFUNCTION("""COMPUTED_VALUE"""),"CB")</f>
        <v>CB</v>
      </c>
      <c r="D1166" s="60" t="str">
        <f>IFERROR(__xludf.DUMMYFUNCTION("""COMPUTED_VALUE"""),"NYG")</f>
        <v>NYG</v>
      </c>
      <c r="E1166" s="62" t="str">
        <f t="shared" si="4"/>
        <v>Paulson Adebo</v>
      </c>
      <c r="F1166" s="62">
        <f t="shared" ref="F1166:G1166" si="2331">IF(isblank(F$1),,IF(isblank($A1166),,IFERROR(vlookup($A1166,indirect("'TVC-"&amp;text(month(F$1),"00")&amp;"'!$A:$D"),4,false),1)))</f>
        <v>1</v>
      </c>
      <c r="G1166" s="62">
        <f t="shared" si="2331"/>
        <v>1</v>
      </c>
      <c r="H1166" s="62">
        <f t="shared" ref="H1166:Q1166" si="2332">IF(isblank(H$1),,IFERROR(vlookup($A1166,indirect("'TVC-"&amp;text(month(H$1),"00")&amp;"'!$A:$D"),4,false),1))</f>
        <v>1</v>
      </c>
      <c r="I1166" s="62">
        <f t="shared" si="2332"/>
        <v>1</v>
      </c>
      <c r="J1166" s="62">
        <f t="shared" si="2332"/>
        <v>1</v>
      </c>
      <c r="K1166" s="62">
        <f t="shared" si="2332"/>
        <v>1</v>
      </c>
      <c r="L1166" s="62">
        <f t="shared" si="2332"/>
        <v>1</v>
      </c>
      <c r="M1166" s="62">
        <f t="shared" si="2332"/>
        <v>1</v>
      </c>
      <c r="N1166" s="62">
        <f t="shared" si="2332"/>
        <v>1</v>
      </c>
      <c r="O1166" s="62">
        <f t="shared" si="2332"/>
        <v>1</v>
      </c>
      <c r="P1166" s="62" t="str">
        <f t="shared" si="2332"/>
        <v/>
      </c>
      <c r="Q1166" s="62" t="str">
        <f t="shared" si="2332"/>
        <v/>
      </c>
      <c r="R1166" s="62">
        <f t="shared" si="7"/>
        <v>0</v>
      </c>
      <c r="S1166" s="62"/>
      <c r="T1166" s="62"/>
      <c r="U1166" s="62"/>
      <c r="V1166" s="62"/>
      <c r="W1166" s="62"/>
      <c r="X1166" s="62"/>
      <c r="Y1166" s="62"/>
      <c r="Z1166" s="62"/>
      <c r="AA1166" s="62"/>
      <c r="AB1166" s="62"/>
      <c r="AC1166" s="62"/>
    </row>
    <row r="1167" hidden="1">
      <c r="A1167" s="60">
        <f>IFERROR(__xludf.DUMMYFUNCTION("""COMPUTED_VALUE"""),15395.0)</f>
        <v>15395</v>
      </c>
      <c r="B1167" s="60" t="str">
        <f>IFERROR(__xludf.DUMMYFUNCTION("""COMPUTED_VALUE"""),"Koonce, Malcolm")</f>
        <v>Koonce, Malcolm</v>
      </c>
      <c r="C1167" s="60" t="str">
        <f>IFERROR(__xludf.DUMMYFUNCTION("""COMPUTED_VALUE"""),"DE")</f>
        <v>DE</v>
      </c>
      <c r="D1167" s="60" t="str">
        <f>IFERROR(__xludf.DUMMYFUNCTION("""COMPUTED_VALUE"""),"LVR")</f>
        <v>LVR</v>
      </c>
      <c r="E1167" s="62" t="str">
        <f t="shared" si="4"/>
        <v>Malcolm Koonce</v>
      </c>
      <c r="F1167" s="62">
        <f t="shared" ref="F1167:G1167" si="2333">IF(isblank(F$1),,IF(isblank($A1167),,IFERROR(vlookup($A1167,indirect("'TVC-"&amp;text(month(F$1),"00")&amp;"'!$A:$D"),4,false),1)))</f>
        <v>1</v>
      </c>
      <c r="G1167" s="62">
        <f t="shared" si="2333"/>
        <v>1</v>
      </c>
      <c r="H1167" s="62">
        <f t="shared" ref="H1167:Q1167" si="2334">IF(isblank(H$1),,IFERROR(vlookup($A1167,indirect("'TVC-"&amp;text(month(H$1),"00")&amp;"'!$A:$D"),4,false),1))</f>
        <v>1</v>
      </c>
      <c r="I1167" s="62">
        <f t="shared" si="2334"/>
        <v>1</v>
      </c>
      <c r="J1167" s="62">
        <f t="shared" si="2334"/>
        <v>1</v>
      </c>
      <c r="K1167" s="62">
        <f t="shared" si="2334"/>
        <v>1</v>
      </c>
      <c r="L1167" s="62">
        <f t="shared" si="2334"/>
        <v>1</v>
      </c>
      <c r="M1167" s="62">
        <f t="shared" si="2334"/>
        <v>1</v>
      </c>
      <c r="N1167" s="62">
        <f t="shared" si="2334"/>
        <v>1</v>
      </c>
      <c r="O1167" s="62">
        <f t="shared" si="2334"/>
        <v>1</v>
      </c>
      <c r="P1167" s="62" t="str">
        <f t="shared" si="2334"/>
        <v/>
      </c>
      <c r="Q1167" s="62" t="str">
        <f t="shared" si="2334"/>
        <v/>
      </c>
      <c r="R1167" s="62">
        <f t="shared" si="7"/>
        <v>0</v>
      </c>
      <c r="S1167" s="62"/>
      <c r="T1167" s="62"/>
      <c r="U1167" s="62"/>
      <c r="V1167" s="62"/>
      <c r="W1167" s="62"/>
      <c r="X1167" s="62"/>
      <c r="Y1167" s="62"/>
      <c r="Z1167" s="62"/>
      <c r="AA1167" s="62"/>
      <c r="AB1167" s="62"/>
      <c r="AC1167" s="62"/>
    </row>
    <row r="1168" hidden="1">
      <c r="A1168" s="60">
        <f>IFERROR(__xludf.DUMMYFUNCTION("""COMPUTED_VALUE"""),15396.0)</f>
        <v>15396</v>
      </c>
      <c r="B1168" s="60" t="str">
        <f>IFERROR(__xludf.DUMMYFUNCTION("""COMPUTED_VALUE"""),"Deablo, Divine")</f>
        <v>Deablo, Divine</v>
      </c>
      <c r="C1168" s="60" t="str">
        <f>IFERROR(__xludf.DUMMYFUNCTION("""COMPUTED_VALUE"""),"LB")</f>
        <v>LB</v>
      </c>
      <c r="D1168" s="60" t="str">
        <f>IFERROR(__xludf.DUMMYFUNCTION("""COMPUTED_VALUE"""),"ATL")</f>
        <v>ATL</v>
      </c>
      <c r="E1168" s="62" t="str">
        <f t="shared" si="4"/>
        <v>Divine Deablo</v>
      </c>
      <c r="F1168" s="62">
        <f t="shared" ref="F1168:G1168" si="2335">IF(isblank(F$1),,IF(isblank($A1168),,IFERROR(vlookup($A1168,indirect("'TVC-"&amp;text(month(F$1),"00")&amp;"'!$A:$D"),4,false),1)))</f>
        <v>1</v>
      </c>
      <c r="G1168" s="62">
        <f t="shared" si="2335"/>
        <v>1</v>
      </c>
      <c r="H1168" s="62">
        <f t="shared" ref="H1168:Q1168" si="2336">IF(isblank(H$1),,IFERROR(vlookup($A1168,indirect("'TVC-"&amp;text(month(H$1),"00")&amp;"'!$A:$D"),4,false),1))</f>
        <v>1</v>
      </c>
      <c r="I1168" s="62">
        <f t="shared" si="2336"/>
        <v>1</v>
      </c>
      <c r="J1168" s="62">
        <f t="shared" si="2336"/>
        <v>1</v>
      </c>
      <c r="K1168" s="62">
        <f t="shared" si="2336"/>
        <v>1</v>
      </c>
      <c r="L1168" s="62">
        <f t="shared" si="2336"/>
        <v>1</v>
      </c>
      <c r="M1168" s="62">
        <f t="shared" si="2336"/>
        <v>1</v>
      </c>
      <c r="N1168" s="62">
        <f t="shared" si="2336"/>
        <v>1</v>
      </c>
      <c r="O1168" s="62">
        <f t="shared" si="2336"/>
        <v>1</v>
      </c>
      <c r="P1168" s="62" t="str">
        <f t="shared" si="2336"/>
        <v/>
      </c>
      <c r="Q1168" s="62" t="str">
        <f t="shared" si="2336"/>
        <v/>
      </c>
      <c r="R1168" s="62">
        <f t="shared" si="7"/>
        <v>0</v>
      </c>
      <c r="S1168" s="62"/>
      <c r="T1168" s="62"/>
      <c r="U1168" s="62"/>
      <c r="V1168" s="62"/>
      <c r="W1168" s="62"/>
      <c r="X1168" s="62"/>
      <c r="Y1168" s="62"/>
      <c r="Z1168" s="62"/>
      <c r="AA1168" s="62"/>
      <c r="AB1168" s="62"/>
      <c r="AC1168" s="62"/>
    </row>
    <row r="1169" hidden="1">
      <c r="A1169" s="60">
        <f>IFERROR(__xludf.DUMMYFUNCTION("""COMPUTED_VALUE"""),15397.0)</f>
        <v>15397</v>
      </c>
      <c r="B1169" s="60" t="str">
        <f>IFERROR(__xludf.DUMMYFUNCTION("""COMPUTED_VALUE"""),"Golston, Chauncey")</f>
        <v>Golston, Chauncey</v>
      </c>
      <c r="C1169" s="60" t="str">
        <f>IFERROR(__xludf.DUMMYFUNCTION("""COMPUTED_VALUE"""),"DE")</f>
        <v>DE</v>
      </c>
      <c r="D1169" s="60" t="str">
        <f>IFERROR(__xludf.DUMMYFUNCTION("""COMPUTED_VALUE"""),"NYG")</f>
        <v>NYG</v>
      </c>
      <c r="E1169" s="62" t="str">
        <f t="shared" si="4"/>
        <v>Chauncey Golston</v>
      </c>
      <c r="F1169" s="62">
        <f t="shared" ref="F1169:G1169" si="2337">IF(isblank(F$1),,IF(isblank($A1169),,IFERROR(vlookup($A1169,indirect("'TVC-"&amp;text(month(F$1),"00")&amp;"'!$A:$D"),4,false),1)))</f>
        <v>1</v>
      </c>
      <c r="G1169" s="62">
        <f t="shared" si="2337"/>
        <v>1</v>
      </c>
      <c r="H1169" s="62">
        <f t="shared" ref="H1169:Q1169" si="2338">IF(isblank(H$1),,IFERROR(vlookup($A1169,indirect("'TVC-"&amp;text(month(H$1),"00")&amp;"'!$A:$D"),4,false),1))</f>
        <v>1</v>
      </c>
      <c r="I1169" s="62">
        <f t="shared" si="2338"/>
        <v>1</v>
      </c>
      <c r="J1169" s="62">
        <f t="shared" si="2338"/>
        <v>1</v>
      </c>
      <c r="K1169" s="62">
        <f t="shared" si="2338"/>
        <v>1</v>
      </c>
      <c r="L1169" s="62">
        <f t="shared" si="2338"/>
        <v>1</v>
      </c>
      <c r="M1169" s="62">
        <f t="shared" si="2338"/>
        <v>1</v>
      </c>
      <c r="N1169" s="62">
        <f t="shared" si="2338"/>
        <v>1</v>
      </c>
      <c r="O1169" s="62">
        <f t="shared" si="2338"/>
        <v>1</v>
      </c>
      <c r="P1169" s="62" t="str">
        <f t="shared" si="2338"/>
        <v/>
      </c>
      <c r="Q1169" s="62" t="str">
        <f t="shared" si="2338"/>
        <v/>
      </c>
      <c r="R1169" s="62">
        <f t="shared" si="7"/>
        <v>0</v>
      </c>
      <c r="S1169" s="62"/>
      <c r="T1169" s="62"/>
      <c r="U1169" s="62"/>
      <c r="V1169" s="62"/>
      <c r="W1169" s="62"/>
      <c r="X1169" s="62"/>
      <c r="Y1169" s="62"/>
      <c r="Z1169" s="62"/>
      <c r="AA1169" s="62"/>
      <c r="AB1169" s="62"/>
      <c r="AC1169" s="62"/>
    </row>
    <row r="1170" hidden="1">
      <c r="A1170" s="60">
        <f>IFERROR(__xludf.DUMMYFUNCTION("""COMPUTED_VALUE"""),15398.0)</f>
        <v>15398</v>
      </c>
      <c r="B1170" s="60" t="str">
        <f>IFERROR(__xludf.DUMMYFUNCTION("""COMPUTED_VALUE"""),"Jones, Patrick")</f>
        <v>Jones, Patrick</v>
      </c>
      <c r="C1170" s="60" t="str">
        <f>IFERROR(__xludf.DUMMYFUNCTION("""COMPUTED_VALUE"""),"DE")</f>
        <v>DE</v>
      </c>
      <c r="D1170" s="60" t="str">
        <f>IFERROR(__xludf.DUMMYFUNCTION("""COMPUTED_VALUE"""),"CAR")</f>
        <v>CAR</v>
      </c>
      <c r="E1170" s="62" t="str">
        <f t="shared" si="4"/>
        <v>Patrick Jones</v>
      </c>
      <c r="F1170" s="62">
        <f t="shared" ref="F1170:G1170" si="2339">IF(isblank(F$1),,IF(isblank($A1170),,IFERROR(vlookup($A1170,indirect("'TVC-"&amp;text(month(F$1),"00")&amp;"'!$A:$D"),4,false),1)))</f>
        <v>1</v>
      </c>
      <c r="G1170" s="62">
        <f t="shared" si="2339"/>
        <v>1</v>
      </c>
      <c r="H1170" s="62">
        <f t="shared" ref="H1170:Q1170" si="2340">IF(isblank(H$1),,IFERROR(vlookup($A1170,indirect("'TVC-"&amp;text(month(H$1),"00")&amp;"'!$A:$D"),4,false),1))</f>
        <v>1</v>
      </c>
      <c r="I1170" s="62">
        <f t="shared" si="2340"/>
        <v>1</v>
      </c>
      <c r="J1170" s="62">
        <f t="shared" si="2340"/>
        <v>1</v>
      </c>
      <c r="K1170" s="62">
        <f t="shared" si="2340"/>
        <v>1</v>
      </c>
      <c r="L1170" s="62">
        <f t="shared" si="2340"/>
        <v>1</v>
      </c>
      <c r="M1170" s="62">
        <f t="shared" si="2340"/>
        <v>1</v>
      </c>
      <c r="N1170" s="62">
        <f t="shared" si="2340"/>
        <v>1</v>
      </c>
      <c r="O1170" s="62">
        <f t="shared" si="2340"/>
        <v>1</v>
      </c>
      <c r="P1170" s="62" t="str">
        <f t="shared" si="2340"/>
        <v/>
      </c>
      <c r="Q1170" s="62" t="str">
        <f t="shared" si="2340"/>
        <v/>
      </c>
      <c r="R1170" s="62">
        <f t="shared" si="7"/>
        <v>0</v>
      </c>
      <c r="S1170" s="62"/>
      <c r="T1170" s="62"/>
      <c r="U1170" s="62"/>
      <c r="V1170" s="62"/>
      <c r="W1170" s="62"/>
      <c r="X1170" s="62"/>
      <c r="Y1170" s="62"/>
      <c r="Z1170" s="62"/>
      <c r="AA1170" s="62"/>
      <c r="AB1170" s="62"/>
      <c r="AC1170" s="62"/>
    </row>
    <row r="1171" hidden="1">
      <c r="A1171" s="60">
        <f>IFERROR(__xludf.DUMMYFUNCTION("""COMPUTED_VALUE"""),15399.0)</f>
        <v>15399</v>
      </c>
      <c r="B1171" s="60" t="str">
        <f>IFERROR(__xludf.DUMMYFUNCTION("""COMPUTED_VALUE"""),"Rice, Monty")</f>
        <v>Rice, Monty</v>
      </c>
      <c r="C1171" s="60" t="str">
        <f>IFERROR(__xludf.DUMMYFUNCTION("""COMPUTED_VALUE"""),"LB")</f>
        <v>LB</v>
      </c>
      <c r="D1171" s="60" t="str">
        <f>IFERROR(__xludf.DUMMYFUNCTION("""COMPUTED_VALUE"""),"FA")</f>
        <v>FA</v>
      </c>
      <c r="E1171" s="62" t="str">
        <f t="shared" si="4"/>
        <v>Monty Rice</v>
      </c>
      <c r="F1171" s="62">
        <f t="shared" ref="F1171:G1171" si="2341">IF(isblank(F$1),,IF(isblank($A1171),,IFERROR(vlookup($A1171,indirect("'TVC-"&amp;text(month(F$1),"00")&amp;"'!$A:$D"),4,false),1)))</f>
        <v>1</v>
      </c>
      <c r="G1171" s="62">
        <f t="shared" si="2341"/>
        <v>1</v>
      </c>
      <c r="H1171" s="62">
        <f t="shared" ref="H1171:Q1171" si="2342">IF(isblank(H$1),,IFERROR(vlookup($A1171,indirect("'TVC-"&amp;text(month(H$1),"00")&amp;"'!$A:$D"),4,false),1))</f>
        <v>1</v>
      </c>
      <c r="I1171" s="62">
        <f t="shared" si="2342"/>
        <v>1</v>
      </c>
      <c r="J1171" s="62">
        <f t="shared" si="2342"/>
        <v>1</v>
      </c>
      <c r="K1171" s="62">
        <f t="shared" si="2342"/>
        <v>1</v>
      </c>
      <c r="L1171" s="62">
        <f t="shared" si="2342"/>
        <v>1</v>
      </c>
      <c r="M1171" s="62">
        <f t="shared" si="2342"/>
        <v>1</v>
      </c>
      <c r="N1171" s="62">
        <f t="shared" si="2342"/>
        <v>1</v>
      </c>
      <c r="O1171" s="62">
        <f t="shared" si="2342"/>
        <v>1</v>
      </c>
      <c r="P1171" s="62" t="str">
        <f t="shared" si="2342"/>
        <v/>
      </c>
      <c r="Q1171" s="62" t="str">
        <f t="shared" si="2342"/>
        <v/>
      </c>
      <c r="R1171" s="62">
        <f t="shared" si="7"/>
        <v>0</v>
      </c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</row>
    <row r="1172" hidden="1">
      <c r="A1172" s="60">
        <f>IFERROR(__xludf.DUMMYFUNCTION("""COMPUTED_VALUE"""),15401.0)</f>
        <v>15401</v>
      </c>
      <c r="B1172" s="60" t="str">
        <f>IFERROR(__xludf.DUMMYFUNCTION("""COMPUTED_VALUE"""),"Wright, Nahshon")</f>
        <v>Wright, Nahshon</v>
      </c>
      <c r="C1172" s="60" t="str">
        <f>IFERROR(__xludf.DUMMYFUNCTION("""COMPUTED_VALUE"""),"CB")</f>
        <v>CB</v>
      </c>
      <c r="D1172" s="60" t="str">
        <f>IFERROR(__xludf.DUMMYFUNCTION("""COMPUTED_VALUE"""),"NYJ")</f>
        <v>NYJ</v>
      </c>
      <c r="E1172" s="62" t="str">
        <f t="shared" si="4"/>
        <v>Nahshon Wright</v>
      </c>
      <c r="F1172" s="62">
        <f t="shared" ref="F1172:G1172" si="2343">IF(isblank(F$1),,IF(isblank($A1172),,IFERROR(vlookup($A1172,indirect("'TVC-"&amp;text(month(F$1),"00")&amp;"'!$A:$D"),4,false),1)))</f>
        <v>1</v>
      </c>
      <c r="G1172" s="62">
        <f t="shared" si="2343"/>
        <v>1</v>
      </c>
      <c r="H1172" s="62">
        <f t="shared" ref="H1172:Q1172" si="2344">IF(isblank(H$1),,IFERROR(vlookup($A1172,indirect("'TVC-"&amp;text(month(H$1),"00")&amp;"'!$A:$D"),4,false),1))</f>
        <v>1</v>
      </c>
      <c r="I1172" s="62">
        <f t="shared" si="2344"/>
        <v>1</v>
      </c>
      <c r="J1172" s="62">
        <f t="shared" si="2344"/>
        <v>1</v>
      </c>
      <c r="K1172" s="62">
        <f t="shared" si="2344"/>
        <v>1</v>
      </c>
      <c r="L1172" s="62">
        <f t="shared" si="2344"/>
        <v>1</v>
      </c>
      <c r="M1172" s="62">
        <f t="shared" si="2344"/>
        <v>1</v>
      </c>
      <c r="N1172" s="62">
        <f t="shared" si="2344"/>
        <v>1</v>
      </c>
      <c r="O1172" s="62">
        <f t="shared" si="2344"/>
        <v>1</v>
      </c>
      <c r="P1172" s="62" t="str">
        <f t="shared" si="2344"/>
        <v/>
      </c>
      <c r="Q1172" s="62" t="str">
        <f t="shared" si="2344"/>
        <v/>
      </c>
      <c r="R1172" s="62">
        <f t="shared" si="7"/>
        <v>0</v>
      </c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</row>
    <row r="1173" hidden="1">
      <c r="A1173" s="60">
        <f>IFERROR(__xludf.DUMMYFUNCTION("""COMPUTED_VALUE"""),15402.0)</f>
        <v>15402</v>
      </c>
      <c r="B1173" s="60" t="str">
        <f>IFERROR(__xludf.DUMMYFUNCTION("""COMPUTED_VALUE"""),"Molden, Elijah")</f>
        <v>Molden, Elijah</v>
      </c>
      <c r="C1173" s="60" t="str">
        <f>IFERROR(__xludf.DUMMYFUNCTION("""COMPUTED_VALUE"""),"S")</f>
        <v>S</v>
      </c>
      <c r="D1173" s="60" t="str">
        <f>IFERROR(__xludf.DUMMYFUNCTION("""COMPUTED_VALUE"""),"LAC")</f>
        <v>LAC</v>
      </c>
      <c r="E1173" s="62" t="str">
        <f t="shared" si="4"/>
        <v>Elijah Molden</v>
      </c>
      <c r="F1173" s="62">
        <f t="shared" ref="F1173:G1173" si="2345">IF(isblank(F$1),,IF(isblank($A1173),,IFERROR(vlookup($A1173,indirect("'TVC-"&amp;text(month(F$1),"00")&amp;"'!$A:$D"),4,false),1)))</f>
        <v>1</v>
      </c>
      <c r="G1173" s="62">
        <f t="shared" si="2345"/>
        <v>1</v>
      </c>
      <c r="H1173" s="62">
        <f t="shared" ref="H1173:Q1173" si="2346">IF(isblank(H$1),,IFERROR(vlookup($A1173,indirect("'TVC-"&amp;text(month(H$1),"00")&amp;"'!$A:$D"),4,false),1))</f>
        <v>1</v>
      </c>
      <c r="I1173" s="62">
        <f t="shared" si="2346"/>
        <v>1</v>
      </c>
      <c r="J1173" s="62">
        <f t="shared" si="2346"/>
        <v>1</v>
      </c>
      <c r="K1173" s="62">
        <f t="shared" si="2346"/>
        <v>1</v>
      </c>
      <c r="L1173" s="62">
        <f t="shared" si="2346"/>
        <v>1</v>
      </c>
      <c r="M1173" s="62">
        <f t="shared" si="2346"/>
        <v>1</v>
      </c>
      <c r="N1173" s="62">
        <f t="shared" si="2346"/>
        <v>1</v>
      </c>
      <c r="O1173" s="62">
        <f t="shared" si="2346"/>
        <v>1</v>
      </c>
      <c r="P1173" s="62" t="str">
        <f t="shared" si="2346"/>
        <v/>
      </c>
      <c r="Q1173" s="62" t="str">
        <f t="shared" si="2346"/>
        <v/>
      </c>
      <c r="R1173" s="62">
        <f t="shared" si="7"/>
        <v>0</v>
      </c>
      <c r="S1173" s="62"/>
      <c r="T1173" s="62"/>
      <c r="U1173" s="62"/>
      <c r="V1173" s="62"/>
      <c r="W1173" s="62"/>
      <c r="X1173" s="62"/>
      <c r="Y1173" s="62"/>
      <c r="Z1173" s="62"/>
      <c r="AA1173" s="62"/>
      <c r="AB1173" s="62"/>
      <c r="AC1173" s="62"/>
    </row>
    <row r="1174" hidden="1">
      <c r="A1174" s="60">
        <f>IFERROR(__xludf.DUMMYFUNCTION("""COMPUTED_VALUE"""),15404.0)</f>
        <v>15404</v>
      </c>
      <c r="B1174" s="60" t="str">
        <f>IFERROR(__xludf.DUMMYFUNCTION("""COMPUTED_VALUE"""),"Jones, Ernest")</f>
        <v>Jones, Ernest</v>
      </c>
      <c r="C1174" s="60" t="str">
        <f>IFERROR(__xludf.DUMMYFUNCTION("""COMPUTED_VALUE"""),"LB")</f>
        <v>LB</v>
      </c>
      <c r="D1174" s="60" t="str">
        <f>IFERROR(__xludf.DUMMYFUNCTION("""COMPUTED_VALUE"""),"SEA")</f>
        <v>SEA</v>
      </c>
      <c r="E1174" s="62" t="str">
        <f t="shared" si="4"/>
        <v>Ernest Jones</v>
      </c>
      <c r="F1174" s="62">
        <f t="shared" ref="F1174:G1174" si="2347">IF(isblank(F$1),,IF(isblank($A1174),,IFERROR(vlookup($A1174,indirect("'TVC-"&amp;text(month(F$1),"00")&amp;"'!$A:$D"),4,false),1)))</f>
        <v>1</v>
      </c>
      <c r="G1174" s="62">
        <f t="shared" si="2347"/>
        <v>1</v>
      </c>
      <c r="H1174" s="62">
        <f t="shared" ref="H1174:Q1174" si="2348">IF(isblank(H$1),,IFERROR(vlookup($A1174,indirect("'TVC-"&amp;text(month(H$1),"00")&amp;"'!$A:$D"),4,false),1))</f>
        <v>1</v>
      </c>
      <c r="I1174" s="62">
        <f t="shared" si="2348"/>
        <v>1</v>
      </c>
      <c r="J1174" s="62">
        <f t="shared" si="2348"/>
        <v>1</v>
      </c>
      <c r="K1174" s="62">
        <f t="shared" si="2348"/>
        <v>1</v>
      </c>
      <c r="L1174" s="62">
        <f t="shared" si="2348"/>
        <v>1</v>
      </c>
      <c r="M1174" s="62">
        <f t="shared" si="2348"/>
        <v>1</v>
      </c>
      <c r="N1174" s="62">
        <f t="shared" si="2348"/>
        <v>1</v>
      </c>
      <c r="O1174" s="62">
        <f t="shared" si="2348"/>
        <v>1</v>
      </c>
      <c r="P1174" s="62" t="str">
        <f t="shared" si="2348"/>
        <v/>
      </c>
      <c r="Q1174" s="62" t="str">
        <f t="shared" si="2348"/>
        <v/>
      </c>
      <c r="R1174" s="62">
        <f t="shared" si="7"/>
        <v>0</v>
      </c>
      <c r="S1174" s="62"/>
      <c r="T1174" s="62"/>
      <c r="U1174" s="62"/>
      <c r="V1174" s="62"/>
      <c r="W1174" s="62"/>
      <c r="X1174" s="62"/>
      <c r="Y1174" s="62"/>
      <c r="Z1174" s="62"/>
      <c r="AA1174" s="62"/>
      <c r="AB1174" s="62"/>
      <c r="AC1174" s="62"/>
    </row>
    <row r="1175" hidden="1">
      <c r="A1175" s="60">
        <f>IFERROR(__xludf.DUMMYFUNCTION("""COMPUTED_VALUE"""),15405.0)</f>
        <v>15405</v>
      </c>
      <c r="B1175" s="60" t="str">
        <f>IFERROR(__xludf.DUMMYFUNCTION("""COMPUTED_VALUE"""),"Stephens, Brandon")</f>
        <v>Stephens, Brandon</v>
      </c>
      <c r="C1175" s="60" t="str">
        <f>IFERROR(__xludf.DUMMYFUNCTION("""COMPUTED_VALUE"""),"CB")</f>
        <v>CB</v>
      </c>
      <c r="D1175" s="60" t="str">
        <f>IFERROR(__xludf.DUMMYFUNCTION("""COMPUTED_VALUE"""),"NYJ")</f>
        <v>NYJ</v>
      </c>
      <c r="E1175" s="62" t="str">
        <f t="shared" si="4"/>
        <v>Brandon Stephens</v>
      </c>
      <c r="F1175" s="62">
        <f t="shared" ref="F1175:G1175" si="2349">IF(isblank(F$1),,IF(isblank($A1175),,IFERROR(vlookup($A1175,indirect("'TVC-"&amp;text(month(F$1),"00")&amp;"'!$A:$D"),4,false),1)))</f>
        <v>1</v>
      </c>
      <c r="G1175" s="62">
        <f t="shared" si="2349"/>
        <v>1</v>
      </c>
      <c r="H1175" s="62">
        <f t="shared" ref="H1175:Q1175" si="2350">IF(isblank(H$1),,IFERROR(vlookup($A1175,indirect("'TVC-"&amp;text(month(H$1),"00")&amp;"'!$A:$D"),4,false),1))</f>
        <v>1</v>
      </c>
      <c r="I1175" s="62">
        <f t="shared" si="2350"/>
        <v>1</v>
      </c>
      <c r="J1175" s="62">
        <f t="shared" si="2350"/>
        <v>1</v>
      </c>
      <c r="K1175" s="62">
        <f t="shared" si="2350"/>
        <v>1</v>
      </c>
      <c r="L1175" s="62">
        <f t="shared" si="2350"/>
        <v>1</v>
      </c>
      <c r="M1175" s="62">
        <f t="shared" si="2350"/>
        <v>1</v>
      </c>
      <c r="N1175" s="62">
        <f t="shared" si="2350"/>
        <v>1</v>
      </c>
      <c r="O1175" s="62">
        <f t="shared" si="2350"/>
        <v>1</v>
      </c>
      <c r="P1175" s="62" t="str">
        <f t="shared" si="2350"/>
        <v/>
      </c>
      <c r="Q1175" s="62" t="str">
        <f t="shared" si="2350"/>
        <v/>
      </c>
      <c r="R1175" s="62">
        <f t="shared" si="7"/>
        <v>0</v>
      </c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  <c r="AC1175" s="62"/>
    </row>
    <row r="1176" hidden="1">
      <c r="A1176" s="60">
        <f>IFERROR(__xludf.DUMMYFUNCTION("""COMPUTED_VALUE"""),15406.0)</f>
        <v>15406</v>
      </c>
      <c r="B1176" s="60" t="str">
        <f>IFERROR(__xludf.DUMMYFUNCTION("""COMPUTED_VALUE"""),"Hall, Darren")</f>
        <v>Hall, Darren</v>
      </c>
      <c r="C1176" s="60" t="str">
        <f>IFERROR(__xludf.DUMMYFUNCTION("""COMPUTED_VALUE"""),"S")</f>
        <v>S</v>
      </c>
      <c r="D1176" s="60" t="str">
        <f>IFERROR(__xludf.DUMMYFUNCTION("""COMPUTED_VALUE"""),"WAS")</f>
        <v>WAS</v>
      </c>
      <c r="E1176" s="62" t="str">
        <f t="shared" si="4"/>
        <v>Darren Hall</v>
      </c>
      <c r="F1176" s="62">
        <f t="shared" ref="F1176:G1176" si="2351">IF(isblank(F$1),,IF(isblank($A1176),,IFERROR(vlookup($A1176,indirect("'TVC-"&amp;text(month(F$1),"00")&amp;"'!$A:$D"),4,false),1)))</f>
        <v>1</v>
      </c>
      <c r="G1176" s="62">
        <f t="shared" si="2351"/>
        <v>1</v>
      </c>
      <c r="H1176" s="62">
        <f t="shared" ref="H1176:Q1176" si="2352">IF(isblank(H$1),,IFERROR(vlookup($A1176,indirect("'TVC-"&amp;text(month(H$1),"00")&amp;"'!$A:$D"),4,false),1))</f>
        <v>1</v>
      </c>
      <c r="I1176" s="62">
        <f t="shared" si="2352"/>
        <v>1</v>
      </c>
      <c r="J1176" s="62">
        <f t="shared" si="2352"/>
        <v>1</v>
      </c>
      <c r="K1176" s="62">
        <f t="shared" si="2352"/>
        <v>1</v>
      </c>
      <c r="L1176" s="62">
        <f t="shared" si="2352"/>
        <v>1</v>
      </c>
      <c r="M1176" s="62">
        <f t="shared" si="2352"/>
        <v>1</v>
      </c>
      <c r="N1176" s="62">
        <f t="shared" si="2352"/>
        <v>1</v>
      </c>
      <c r="O1176" s="62">
        <f t="shared" si="2352"/>
        <v>1</v>
      </c>
      <c r="P1176" s="62" t="str">
        <f t="shared" si="2352"/>
        <v/>
      </c>
      <c r="Q1176" s="62" t="str">
        <f t="shared" si="2352"/>
        <v/>
      </c>
      <c r="R1176" s="62">
        <f t="shared" si="7"/>
        <v>0</v>
      </c>
      <c r="S1176" s="62"/>
      <c r="T1176" s="62"/>
      <c r="U1176" s="62"/>
      <c r="V1176" s="62"/>
      <c r="W1176" s="62"/>
      <c r="X1176" s="62"/>
      <c r="Y1176" s="62"/>
      <c r="Z1176" s="62"/>
      <c r="AA1176" s="62"/>
      <c r="AB1176" s="62"/>
      <c r="AC1176" s="62"/>
    </row>
    <row r="1177" hidden="1">
      <c r="A1177" s="60">
        <f>IFERROR(__xludf.DUMMYFUNCTION("""COMPUTED_VALUE"""),15408.0)</f>
        <v>15408</v>
      </c>
      <c r="B1177" s="60" t="str">
        <f>IFERROR(__xludf.DUMMYFUNCTION("""COMPUTED_VALUE"""),"Sample, Cameron")</f>
        <v>Sample, Cameron</v>
      </c>
      <c r="C1177" s="60" t="str">
        <f>IFERROR(__xludf.DUMMYFUNCTION("""COMPUTED_VALUE"""),"DE")</f>
        <v>DE</v>
      </c>
      <c r="D1177" s="60" t="str">
        <f>IFERROR(__xludf.DUMMYFUNCTION("""COMPUTED_VALUE"""),"ATL")</f>
        <v>ATL</v>
      </c>
      <c r="E1177" s="62" t="str">
        <f t="shared" si="4"/>
        <v>Cameron Sample</v>
      </c>
      <c r="F1177" s="62">
        <f t="shared" ref="F1177:G1177" si="2353">IF(isblank(F$1),,IF(isblank($A1177),,IFERROR(vlookup($A1177,indirect("'TVC-"&amp;text(month(F$1),"00")&amp;"'!$A:$D"),4,false),1)))</f>
        <v>1</v>
      </c>
      <c r="G1177" s="62">
        <f t="shared" si="2353"/>
        <v>1</v>
      </c>
      <c r="H1177" s="62">
        <f t="shared" ref="H1177:Q1177" si="2354">IF(isblank(H$1),,IFERROR(vlookup($A1177,indirect("'TVC-"&amp;text(month(H$1),"00")&amp;"'!$A:$D"),4,false),1))</f>
        <v>1</v>
      </c>
      <c r="I1177" s="62">
        <f t="shared" si="2354"/>
        <v>1</v>
      </c>
      <c r="J1177" s="62">
        <f t="shared" si="2354"/>
        <v>1</v>
      </c>
      <c r="K1177" s="62">
        <f t="shared" si="2354"/>
        <v>1</v>
      </c>
      <c r="L1177" s="62">
        <f t="shared" si="2354"/>
        <v>1</v>
      </c>
      <c r="M1177" s="62">
        <f t="shared" si="2354"/>
        <v>1</v>
      </c>
      <c r="N1177" s="62">
        <f t="shared" si="2354"/>
        <v>1</v>
      </c>
      <c r="O1177" s="62">
        <f t="shared" si="2354"/>
        <v>1</v>
      </c>
      <c r="P1177" s="62" t="str">
        <f t="shared" si="2354"/>
        <v/>
      </c>
      <c r="Q1177" s="62" t="str">
        <f t="shared" si="2354"/>
        <v/>
      </c>
      <c r="R1177" s="62">
        <f t="shared" si="7"/>
        <v>0</v>
      </c>
      <c r="S1177" s="62"/>
      <c r="T1177" s="62"/>
      <c r="U1177" s="62"/>
      <c r="V1177" s="62"/>
      <c r="W1177" s="62"/>
      <c r="X1177" s="62"/>
      <c r="Y1177" s="62"/>
      <c r="Z1177" s="62"/>
      <c r="AA1177" s="62"/>
      <c r="AB1177" s="62"/>
      <c r="AC1177" s="62"/>
    </row>
    <row r="1178" hidden="1">
      <c r="A1178" s="60">
        <f>IFERROR(__xludf.DUMMYFUNCTION("""COMPUTED_VALUE"""),15409.0)</f>
        <v>15409</v>
      </c>
      <c r="B1178" s="60" t="str">
        <f>IFERROR(__xludf.DUMMYFUNCTION("""COMPUTED_VALUE"""),"Barnes, Derrick")</f>
        <v>Barnes, Derrick</v>
      </c>
      <c r="C1178" s="60" t="str">
        <f>IFERROR(__xludf.DUMMYFUNCTION("""COMPUTED_VALUE"""),"LB")</f>
        <v>LB</v>
      </c>
      <c r="D1178" s="60" t="str">
        <f>IFERROR(__xludf.DUMMYFUNCTION("""COMPUTED_VALUE"""),"DET")</f>
        <v>DET</v>
      </c>
      <c r="E1178" s="62" t="str">
        <f t="shared" si="4"/>
        <v>Derrick Barnes</v>
      </c>
      <c r="F1178" s="62">
        <f t="shared" ref="F1178:G1178" si="2355">IF(isblank(F$1),,IF(isblank($A1178),,IFERROR(vlookup($A1178,indirect("'TVC-"&amp;text(month(F$1),"00")&amp;"'!$A:$D"),4,false),1)))</f>
        <v>1</v>
      </c>
      <c r="G1178" s="62">
        <f t="shared" si="2355"/>
        <v>1</v>
      </c>
      <c r="H1178" s="62">
        <f t="shared" ref="H1178:Q1178" si="2356">IF(isblank(H$1),,IFERROR(vlookup($A1178,indirect("'TVC-"&amp;text(month(H$1),"00")&amp;"'!$A:$D"),4,false),1))</f>
        <v>1</v>
      </c>
      <c r="I1178" s="62">
        <f t="shared" si="2356"/>
        <v>1</v>
      </c>
      <c r="J1178" s="62">
        <f t="shared" si="2356"/>
        <v>1</v>
      </c>
      <c r="K1178" s="62">
        <f t="shared" si="2356"/>
        <v>1</v>
      </c>
      <c r="L1178" s="62">
        <f t="shared" si="2356"/>
        <v>1</v>
      </c>
      <c r="M1178" s="62">
        <f t="shared" si="2356"/>
        <v>1</v>
      </c>
      <c r="N1178" s="62">
        <f t="shared" si="2356"/>
        <v>1</v>
      </c>
      <c r="O1178" s="62">
        <f t="shared" si="2356"/>
        <v>1</v>
      </c>
      <c r="P1178" s="62" t="str">
        <f t="shared" si="2356"/>
        <v/>
      </c>
      <c r="Q1178" s="62" t="str">
        <f t="shared" si="2356"/>
        <v/>
      </c>
      <c r="R1178" s="62">
        <f t="shared" si="7"/>
        <v>0</v>
      </c>
      <c r="S1178" s="62"/>
      <c r="T1178" s="62"/>
      <c r="U1178" s="62"/>
      <c r="V1178" s="62"/>
      <c r="W1178" s="62"/>
      <c r="X1178" s="62"/>
      <c r="Y1178" s="62"/>
      <c r="Z1178" s="62"/>
      <c r="AA1178" s="62"/>
      <c r="AB1178" s="62"/>
      <c r="AC1178" s="62"/>
    </row>
    <row r="1179" hidden="1">
      <c r="A1179" s="60">
        <f>IFERROR(__xludf.DUMMYFUNCTION("""COMPUTED_VALUE"""),15412.0)</f>
        <v>15412</v>
      </c>
      <c r="B1179" s="60" t="str">
        <f>IFERROR(__xludf.DUMMYFUNCTION("""COMPUTED_VALUE"""),"Brown, Bobby")</f>
        <v>Brown, Bobby</v>
      </c>
      <c r="C1179" s="60" t="str">
        <f>IFERROR(__xludf.DUMMYFUNCTION("""COMPUTED_VALUE"""),"DT")</f>
        <v>DT</v>
      </c>
      <c r="D1179" s="60" t="str">
        <f>IFERROR(__xludf.DUMMYFUNCTION("""COMPUTED_VALUE"""),"CAR")</f>
        <v>CAR</v>
      </c>
      <c r="E1179" s="62" t="str">
        <f t="shared" si="4"/>
        <v>Bobby Brown</v>
      </c>
      <c r="F1179" s="62">
        <f t="shared" ref="F1179:G1179" si="2357">IF(isblank(F$1),,IF(isblank($A1179),,IFERROR(vlookup($A1179,indirect("'TVC-"&amp;text(month(F$1),"00")&amp;"'!$A:$D"),4,false),1)))</f>
        <v>1</v>
      </c>
      <c r="G1179" s="62">
        <f t="shared" si="2357"/>
        <v>1</v>
      </c>
      <c r="H1179" s="62">
        <f t="shared" ref="H1179:Q1179" si="2358">IF(isblank(H$1),,IFERROR(vlookup($A1179,indirect("'TVC-"&amp;text(month(H$1),"00")&amp;"'!$A:$D"),4,false),1))</f>
        <v>1</v>
      </c>
      <c r="I1179" s="62">
        <f t="shared" si="2358"/>
        <v>1</v>
      </c>
      <c r="J1179" s="62">
        <f t="shared" si="2358"/>
        <v>1</v>
      </c>
      <c r="K1179" s="62">
        <f t="shared" si="2358"/>
        <v>1</v>
      </c>
      <c r="L1179" s="62">
        <f t="shared" si="2358"/>
        <v>1</v>
      </c>
      <c r="M1179" s="62">
        <f t="shared" si="2358"/>
        <v>1</v>
      </c>
      <c r="N1179" s="62">
        <f t="shared" si="2358"/>
        <v>1</v>
      </c>
      <c r="O1179" s="62">
        <f t="shared" si="2358"/>
        <v>1</v>
      </c>
      <c r="P1179" s="62" t="str">
        <f t="shared" si="2358"/>
        <v/>
      </c>
      <c r="Q1179" s="62" t="str">
        <f t="shared" si="2358"/>
        <v/>
      </c>
      <c r="R1179" s="62">
        <f t="shared" si="7"/>
        <v>0</v>
      </c>
      <c r="S1179" s="62"/>
      <c r="T1179" s="62"/>
      <c r="U1179" s="62"/>
      <c r="V1179" s="62"/>
      <c r="W1179" s="62"/>
      <c r="X1179" s="62"/>
      <c r="Y1179" s="62"/>
      <c r="Z1179" s="62"/>
      <c r="AA1179" s="62"/>
      <c r="AB1179" s="62"/>
      <c r="AC1179" s="62"/>
    </row>
    <row r="1180" hidden="1">
      <c r="A1180" s="60">
        <f>IFERROR(__xludf.DUMMYFUNCTION("""COMPUTED_VALUE"""),15413.0)</f>
        <v>15413</v>
      </c>
      <c r="B1180" s="60" t="str">
        <f>IFERROR(__xludf.DUMMYFUNCTION("""COMPUTED_VALUE"""),"Rumph, Chris")</f>
        <v>Rumph, Chris</v>
      </c>
      <c r="C1180" s="60" t="str">
        <f>IFERROR(__xludf.DUMMYFUNCTION("""COMPUTED_VALUE"""),"DE")</f>
        <v>DE</v>
      </c>
      <c r="D1180" s="60" t="str">
        <f>IFERROR(__xludf.DUMMYFUNCTION("""COMPUTED_VALUE"""),"NOS")</f>
        <v>NOS</v>
      </c>
      <c r="E1180" s="62" t="str">
        <f t="shared" si="4"/>
        <v>Chris Rumph</v>
      </c>
      <c r="F1180" s="62">
        <f t="shared" ref="F1180:G1180" si="2359">IF(isblank(F$1),,IF(isblank($A1180),,IFERROR(vlookup($A1180,indirect("'TVC-"&amp;text(month(F$1),"00")&amp;"'!$A:$D"),4,false),1)))</f>
        <v>1</v>
      </c>
      <c r="G1180" s="62">
        <f t="shared" si="2359"/>
        <v>1</v>
      </c>
      <c r="H1180" s="62">
        <f t="shared" ref="H1180:Q1180" si="2360">IF(isblank(H$1),,IFERROR(vlookup($A1180,indirect("'TVC-"&amp;text(month(H$1),"00")&amp;"'!$A:$D"),4,false),1))</f>
        <v>1</v>
      </c>
      <c r="I1180" s="62">
        <f t="shared" si="2360"/>
        <v>1</v>
      </c>
      <c r="J1180" s="62">
        <f t="shared" si="2360"/>
        <v>1</v>
      </c>
      <c r="K1180" s="62">
        <f t="shared" si="2360"/>
        <v>1</v>
      </c>
      <c r="L1180" s="62">
        <f t="shared" si="2360"/>
        <v>1</v>
      </c>
      <c r="M1180" s="62">
        <f t="shared" si="2360"/>
        <v>1</v>
      </c>
      <c r="N1180" s="62">
        <f t="shared" si="2360"/>
        <v>1</v>
      </c>
      <c r="O1180" s="62">
        <f t="shared" si="2360"/>
        <v>1</v>
      </c>
      <c r="P1180" s="62" t="str">
        <f t="shared" si="2360"/>
        <v/>
      </c>
      <c r="Q1180" s="62" t="str">
        <f t="shared" si="2360"/>
        <v/>
      </c>
      <c r="R1180" s="62">
        <f t="shared" si="7"/>
        <v>0</v>
      </c>
      <c r="S1180" s="62"/>
      <c r="T1180" s="62"/>
      <c r="U1180" s="62"/>
      <c r="V1180" s="62"/>
      <c r="W1180" s="62"/>
      <c r="X1180" s="62"/>
      <c r="Y1180" s="62"/>
      <c r="Z1180" s="62"/>
      <c r="AA1180" s="62"/>
      <c r="AB1180" s="62"/>
      <c r="AC1180" s="62"/>
    </row>
    <row r="1181" hidden="1">
      <c r="A1181" s="60">
        <f>IFERROR(__xludf.DUMMYFUNCTION("""COMPUTED_VALUE"""),15414.0)</f>
        <v>15414</v>
      </c>
      <c r="B1181" s="60" t="str">
        <f>IFERROR(__xludf.DUMMYFUNCTION("""COMPUTED_VALUE"""),"Nwangwu, Kene")</f>
        <v>Nwangwu, Kene</v>
      </c>
      <c r="C1181" s="60" t="str">
        <f>IFERROR(__xludf.DUMMYFUNCTION("""COMPUTED_VALUE"""),"RB")</f>
        <v>RB</v>
      </c>
      <c r="D1181" s="60" t="str">
        <f>IFERROR(__xludf.DUMMYFUNCTION("""COMPUTED_VALUE"""),"NYJ")</f>
        <v>NYJ</v>
      </c>
      <c r="E1181" s="62" t="str">
        <f t="shared" si="4"/>
        <v>Kene Nwangwu</v>
      </c>
      <c r="F1181" s="62">
        <f t="shared" ref="F1181:G1181" si="2361">IF(isblank(F$1),,IF(isblank($A1181),,IFERROR(vlookup($A1181,indirect("'TVC-"&amp;text(month(F$1),"00")&amp;"'!$A:$D"),4,false),1)))</f>
        <v>1</v>
      </c>
      <c r="G1181" s="62">
        <f t="shared" si="2361"/>
        <v>1</v>
      </c>
      <c r="H1181" s="62">
        <f t="shared" ref="H1181:Q1181" si="2362">IF(isblank(H$1),,IFERROR(vlookup($A1181,indirect("'TVC-"&amp;text(month(H$1),"00")&amp;"'!$A:$D"),4,false),1))</f>
        <v>1</v>
      </c>
      <c r="I1181" s="62">
        <f t="shared" si="2362"/>
        <v>1</v>
      </c>
      <c r="J1181" s="62">
        <f t="shared" si="2362"/>
        <v>1</v>
      </c>
      <c r="K1181" s="62">
        <f t="shared" si="2362"/>
        <v>1</v>
      </c>
      <c r="L1181" s="62">
        <f t="shared" si="2362"/>
        <v>1</v>
      </c>
      <c r="M1181" s="62">
        <f t="shared" si="2362"/>
        <v>1</v>
      </c>
      <c r="N1181" s="62">
        <f t="shared" si="2362"/>
        <v>1</v>
      </c>
      <c r="O1181" s="62">
        <f t="shared" si="2362"/>
        <v>1</v>
      </c>
      <c r="P1181" s="62" t="str">
        <f t="shared" si="2362"/>
        <v/>
      </c>
      <c r="Q1181" s="62" t="str">
        <f t="shared" si="2362"/>
        <v/>
      </c>
      <c r="R1181" s="62">
        <f t="shared" si="7"/>
        <v>0</v>
      </c>
      <c r="S1181" s="62"/>
      <c r="T1181" s="62"/>
      <c r="U1181" s="62"/>
      <c r="V1181" s="62"/>
      <c r="W1181" s="62"/>
      <c r="X1181" s="62"/>
      <c r="Y1181" s="62"/>
      <c r="Z1181" s="62"/>
      <c r="AA1181" s="62"/>
      <c r="AB1181" s="62"/>
      <c r="AC1181" s="62"/>
    </row>
    <row r="1182" hidden="1">
      <c r="A1182" s="60">
        <f>IFERROR(__xludf.DUMMYFUNCTION("""COMPUTED_VALUE"""),15418.0)</f>
        <v>15418</v>
      </c>
      <c r="B1182" s="60" t="str">
        <f>IFERROR(__xludf.DUMMYFUNCTION("""COMPUTED_VALUE"""),"Bynum, Camryn")</f>
        <v>Bynum, Camryn</v>
      </c>
      <c r="C1182" s="60" t="str">
        <f>IFERROR(__xludf.DUMMYFUNCTION("""COMPUTED_VALUE"""),"S")</f>
        <v>S</v>
      </c>
      <c r="D1182" s="60" t="str">
        <f>IFERROR(__xludf.DUMMYFUNCTION("""COMPUTED_VALUE"""),"IND")</f>
        <v>IND</v>
      </c>
      <c r="E1182" s="62" t="str">
        <f t="shared" si="4"/>
        <v>Camryn Bynum</v>
      </c>
      <c r="F1182" s="62">
        <f t="shared" ref="F1182:G1182" si="2363">IF(isblank(F$1),,IF(isblank($A1182),,IFERROR(vlookup($A1182,indirect("'TVC-"&amp;text(month(F$1),"00")&amp;"'!$A:$D"),4,false),1)))</f>
        <v>1</v>
      </c>
      <c r="G1182" s="62">
        <f t="shared" si="2363"/>
        <v>1</v>
      </c>
      <c r="H1182" s="62">
        <f t="shared" ref="H1182:Q1182" si="2364">IF(isblank(H$1),,IFERROR(vlookup($A1182,indirect("'TVC-"&amp;text(month(H$1),"00")&amp;"'!$A:$D"),4,false),1))</f>
        <v>1</v>
      </c>
      <c r="I1182" s="62">
        <f t="shared" si="2364"/>
        <v>1</v>
      </c>
      <c r="J1182" s="62">
        <f t="shared" si="2364"/>
        <v>1</v>
      </c>
      <c r="K1182" s="62">
        <f t="shared" si="2364"/>
        <v>1</v>
      </c>
      <c r="L1182" s="62">
        <f t="shared" si="2364"/>
        <v>1</v>
      </c>
      <c r="M1182" s="62">
        <f t="shared" si="2364"/>
        <v>1</v>
      </c>
      <c r="N1182" s="62">
        <f t="shared" si="2364"/>
        <v>1</v>
      </c>
      <c r="O1182" s="62">
        <f t="shared" si="2364"/>
        <v>1</v>
      </c>
      <c r="P1182" s="62" t="str">
        <f t="shared" si="2364"/>
        <v/>
      </c>
      <c r="Q1182" s="62" t="str">
        <f t="shared" si="2364"/>
        <v/>
      </c>
      <c r="R1182" s="62">
        <f t="shared" si="7"/>
        <v>0</v>
      </c>
      <c r="S1182" s="62"/>
      <c r="T1182" s="62"/>
      <c r="U1182" s="62"/>
      <c r="V1182" s="62"/>
      <c r="W1182" s="62"/>
      <c r="X1182" s="62"/>
      <c r="Y1182" s="62"/>
      <c r="Z1182" s="62"/>
      <c r="AA1182" s="62"/>
      <c r="AB1182" s="62"/>
      <c r="AC1182" s="62"/>
    </row>
    <row r="1183" hidden="1">
      <c r="A1183" s="60">
        <f>IFERROR(__xludf.DUMMYFUNCTION("""COMPUTED_VALUE"""),15419.0)</f>
        <v>15419</v>
      </c>
      <c r="B1183" s="60" t="str">
        <f>IFERROR(__xludf.DUMMYFUNCTION("""COMPUTED_VALUE"""),"Granson, Kylen")</f>
        <v>Granson, Kylen</v>
      </c>
      <c r="C1183" s="60" t="str">
        <f>IFERROR(__xludf.DUMMYFUNCTION("""COMPUTED_VALUE"""),"TE")</f>
        <v>TE</v>
      </c>
      <c r="D1183" s="60" t="str">
        <f>IFERROR(__xludf.DUMMYFUNCTION("""COMPUTED_VALUE"""),"TEN")</f>
        <v>TEN</v>
      </c>
      <c r="E1183" s="62" t="str">
        <f t="shared" si="4"/>
        <v>Kylen Granson</v>
      </c>
      <c r="F1183" s="62">
        <f t="shared" ref="F1183:G1183" si="2365">IF(isblank(F$1),,IF(isblank($A1183),,IFERROR(vlookup($A1183,indirect("'TVC-"&amp;text(month(F$1),"00")&amp;"'!$A:$D"),4,false),1)))</f>
        <v>1</v>
      </c>
      <c r="G1183" s="62">
        <f t="shared" si="2365"/>
        <v>1</v>
      </c>
      <c r="H1183" s="62">
        <f t="shared" ref="H1183:Q1183" si="2366">IF(isblank(H$1),,IFERROR(vlookup($A1183,indirect("'TVC-"&amp;text(month(H$1),"00")&amp;"'!$A:$D"),4,false),1))</f>
        <v>1</v>
      </c>
      <c r="I1183" s="62">
        <f t="shared" si="2366"/>
        <v>1</v>
      </c>
      <c r="J1183" s="62">
        <f t="shared" si="2366"/>
        <v>1</v>
      </c>
      <c r="K1183" s="62">
        <f t="shared" si="2366"/>
        <v>1</v>
      </c>
      <c r="L1183" s="62">
        <f t="shared" si="2366"/>
        <v>1</v>
      </c>
      <c r="M1183" s="62">
        <f t="shared" si="2366"/>
        <v>1</v>
      </c>
      <c r="N1183" s="62">
        <f t="shared" si="2366"/>
        <v>1</v>
      </c>
      <c r="O1183" s="62">
        <f t="shared" si="2366"/>
        <v>1</v>
      </c>
      <c r="P1183" s="62" t="str">
        <f t="shared" si="2366"/>
        <v/>
      </c>
      <c r="Q1183" s="62" t="str">
        <f t="shared" si="2366"/>
        <v/>
      </c>
      <c r="R1183" s="62">
        <f t="shared" si="7"/>
        <v>0</v>
      </c>
      <c r="S1183" s="62"/>
      <c r="T1183" s="62"/>
      <c r="U1183" s="62"/>
      <c r="V1183" s="62"/>
      <c r="W1183" s="62"/>
      <c r="X1183" s="62"/>
      <c r="Y1183" s="62"/>
      <c r="Z1183" s="62"/>
      <c r="AA1183" s="62"/>
      <c r="AB1183" s="62"/>
      <c r="AC1183" s="62"/>
    </row>
    <row r="1184" hidden="1">
      <c r="A1184" s="60">
        <f>IFERROR(__xludf.DUMMYFUNCTION("""COMPUTED_VALUE"""),15420.0)</f>
        <v>15420</v>
      </c>
      <c r="B1184" s="60" t="str">
        <f>IFERROR(__xludf.DUMMYFUNCTION("""COMPUTED_VALUE"""),"Rochell, Robert")</f>
        <v>Rochell, Robert</v>
      </c>
      <c r="C1184" s="60" t="str">
        <f>IFERROR(__xludf.DUMMYFUNCTION("""COMPUTED_VALUE"""),"CB")</f>
        <v>CB</v>
      </c>
      <c r="D1184" s="60" t="str">
        <f>IFERROR(__xludf.DUMMYFUNCTION("""COMPUTED_VALUE"""),"CAR")</f>
        <v>CAR</v>
      </c>
      <c r="E1184" s="62" t="str">
        <f t="shared" si="4"/>
        <v>Robert Rochell</v>
      </c>
      <c r="F1184" s="62">
        <f t="shared" ref="F1184:G1184" si="2367">IF(isblank(F$1),,IF(isblank($A1184),,IFERROR(vlookup($A1184,indirect("'TVC-"&amp;text(month(F$1),"00")&amp;"'!$A:$D"),4,false),1)))</f>
        <v>1</v>
      </c>
      <c r="G1184" s="62">
        <f t="shared" si="2367"/>
        <v>1</v>
      </c>
      <c r="H1184" s="62">
        <f t="shared" ref="H1184:Q1184" si="2368">IF(isblank(H$1),,IFERROR(vlookup($A1184,indirect("'TVC-"&amp;text(month(H$1),"00")&amp;"'!$A:$D"),4,false),1))</f>
        <v>1</v>
      </c>
      <c r="I1184" s="62">
        <f t="shared" si="2368"/>
        <v>1</v>
      </c>
      <c r="J1184" s="62">
        <f t="shared" si="2368"/>
        <v>1</v>
      </c>
      <c r="K1184" s="62">
        <f t="shared" si="2368"/>
        <v>1</v>
      </c>
      <c r="L1184" s="62">
        <f t="shared" si="2368"/>
        <v>1</v>
      </c>
      <c r="M1184" s="62">
        <f t="shared" si="2368"/>
        <v>1</v>
      </c>
      <c r="N1184" s="62">
        <f t="shared" si="2368"/>
        <v>1</v>
      </c>
      <c r="O1184" s="62">
        <f t="shared" si="2368"/>
        <v>1</v>
      </c>
      <c r="P1184" s="62" t="str">
        <f t="shared" si="2368"/>
        <v/>
      </c>
      <c r="Q1184" s="62" t="str">
        <f t="shared" si="2368"/>
        <v/>
      </c>
      <c r="R1184" s="62">
        <f t="shared" si="7"/>
        <v>0</v>
      </c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</row>
    <row r="1185" hidden="1">
      <c r="A1185" s="60">
        <f>IFERROR(__xludf.DUMMYFUNCTION("""COMPUTED_VALUE"""),15422.0)</f>
        <v>15422</v>
      </c>
      <c r="B1185" s="60" t="str">
        <f>IFERROR(__xludf.DUMMYFUNCTION("""COMPUTED_VALUE"""),"Wilson, Marco")</f>
        <v>Wilson, Marco</v>
      </c>
      <c r="C1185" s="60" t="str">
        <f>IFERROR(__xludf.DUMMYFUNCTION("""COMPUTED_VALUE"""),"CB")</f>
        <v>CB</v>
      </c>
      <c r="D1185" s="60" t="str">
        <f>IFERROR(__xludf.DUMMYFUNCTION("""COMPUTED_VALUE"""),"CAR")</f>
        <v>CAR</v>
      </c>
      <c r="E1185" s="62" t="str">
        <f t="shared" si="4"/>
        <v>Marco Wilson</v>
      </c>
      <c r="F1185" s="62">
        <f t="shared" ref="F1185:G1185" si="2369">IF(isblank(F$1),,IF(isblank($A1185),,IFERROR(vlookup($A1185,indirect("'TVC-"&amp;text(month(F$1),"00")&amp;"'!$A:$D"),4,false),1)))</f>
        <v>1</v>
      </c>
      <c r="G1185" s="62">
        <f t="shared" si="2369"/>
        <v>1</v>
      </c>
      <c r="H1185" s="62">
        <f t="shared" ref="H1185:Q1185" si="2370">IF(isblank(H$1),,IFERROR(vlookup($A1185,indirect("'TVC-"&amp;text(month(H$1),"00")&amp;"'!$A:$D"),4,false),1))</f>
        <v>1</v>
      </c>
      <c r="I1185" s="62">
        <f t="shared" si="2370"/>
        <v>1</v>
      </c>
      <c r="J1185" s="62">
        <f t="shared" si="2370"/>
        <v>1</v>
      </c>
      <c r="K1185" s="62">
        <f t="shared" si="2370"/>
        <v>1</v>
      </c>
      <c r="L1185" s="62">
        <f t="shared" si="2370"/>
        <v>1</v>
      </c>
      <c r="M1185" s="62">
        <f t="shared" si="2370"/>
        <v>1</v>
      </c>
      <c r="N1185" s="62">
        <f t="shared" si="2370"/>
        <v>1</v>
      </c>
      <c r="O1185" s="62">
        <f t="shared" si="2370"/>
        <v>1</v>
      </c>
      <c r="P1185" s="62" t="str">
        <f t="shared" si="2370"/>
        <v/>
      </c>
      <c r="Q1185" s="62" t="str">
        <f t="shared" si="2370"/>
        <v/>
      </c>
      <c r="R1185" s="62">
        <f t="shared" si="7"/>
        <v>0</v>
      </c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</row>
    <row r="1186" hidden="1">
      <c r="A1186" s="60">
        <f>IFERROR(__xludf.DUMMYFUNCTION("""COMPUTED_VALUE"""),15423.0)</f>
        <v>15423</v>
      </c>
      <c r="B1186" s="60" t="str">
        <f>IFERROR(__xludf.DUMMYFUNCTION("""COMPUTED_VALUE"""),"Brown, Tre")</f>
        <v>Brown, Tre</v>
      </c>
      <c r="C1186" s="60" t="str">
        <f>IFERROR(__xludf.DUMMYFUNCTION("""COMPUTED_VALUE"""),"CB")</f>
        <v>CB</v>
      </c>
      <c r="D1186" s="60" t="str">
        <f>IFERROR(__xludf.DUMMYFUNCTION("""COMPUTED_VALUE"""),"NYJ")</f>
        <v>NYJ</v>
      </c>
      <c r="E1186" s="62" t="str">
        <f t="shared" si="4"/>
        <v>Tre Brown</v>
      </c>
      <c r="F1186" s="62">
        <f t="shared" ref="F1186:G1186" si="2371">IF(isblank(F$1),,IF(isblank($A1186),,IFERROR(vlookup($A1186,indirect("'TVC-"&amp;text(month(F$1),"00")&amp;"'!$A:$D"),4,false),1)))</f>
        <v>1</v>
      </c>
      <c r="G1186" s="62">
        <f t="shared" si="2371"/>
        <v>1</v>
      </c>
      <c r="H1186" s="62">
        <f t="shared" ref="H1186:Q1186" si="2372">IF(isblank(H$1),,IFERROR(vlookup($A1186,indirect("'TVC-"&amp;text(month(H$1),"00")&amp;"'!$A:$D"),4,false),1))</f>
        <v>1</v>
      </c>
      <c r="I1186" s="62">
        <f t="shared" si="2372"/>
        <v>1</v>
      </c>
      <c r="J1186" s="62">
        <f t="shared" si="2372"/>
        <v>1</v>
      </c>
      <c r="K1186" s="62">
        <f t="shared" si="2372"/>
        <v>1</v>
      </c>
      <c r="L1186" s="62">
        <f t="shared" si="2372"/>
        <v>1</v>
      </c>
      <c r="M1186" s="62">
        <f t="shared" si="2372"/>
        <v>1</v>
      </c>
      <c r="N1186" s="62">
        <f t="shared" si="2372"/>
        <v>1</v>
      </c>
      <c r="O1186" s="62">
        <f t="shared" si="2372"/>
        <v>1</v>
      </c>
      <c r="P1186" s="62" t="str">
        <f t="shared" si="2372"/>
        <v/>
      </c>
      <c r="Q1186" s="62" t="str">
        <f t="shared" si="2372"/>
        <v/>
      </c>
      <c r="R1186" s="62">
        <f t="shared" si="7"/>
        <v>0</v>
      </c>
      <c r="S1186" s="62"/>
      <c r="T1186" s="62"/>
      <c r="U1186" s="62"/>
      <c r="V1186" s="62"/>
      <c r="W1186" s="62"/>
      <c r="X1186" s="62"/>
      <c r="Y1186" s="62"/>
      <c r="Z1186" s="62"/>
      <c r="AA1186" s="62"/>
      <c r="AB1186" s="62"/>
      <c r="AC1186" s="62"/>
    </row>
    <row r="1187" hidden="1">
      <c r="A1187" s="60">
        <f>IFERROR(__xludf.DUMMYFUNCTION("""COMPUTED_VALUE"""),15424.0)</f>
        <v>15424</v>
      </c>
      <c r="B1187" s="60" t="str">
        <f>IFERROR(__xludf.DUMMYFUNCTION("""COMPUTED_VALUE"""),"Johnson, Buddy")</f>
        <v>Johnson, Buddy</v>
      </c>
      <c r="C1187" s="60" t="str">
        <f>IFERROR(__xludf.DUMMYFUNCTION("""COMPUTED_VALUE"""),"LB")</f>
        <v>LB</v>
      </c>
      <c r="D1187" s="60" t="str">
        <f>IFERROR(__xludf.DUMMYFUNCTION("""COMPUTED_VALUE"""),"CHI")</f>
        <v>CHI</v>
      </c>
      <c r="E1187" s="62" t="str">
        <f t="shared" si="4"/>
        <v>Buddy Johnson</v>
      </c>
      <c r="F1187" s="62">
        <f t="shared" ref="F1187:G1187" si="2373">IF(isblank(F$1),,IF(isblank($A1187),,IFERROR(vlookup($A1187,indirect("'TVC-"&amp;text(month(F$1),"00")&amp;"'!$A:$D"),4,false),1)))</f>
        <v>1</v>
      </c>
      <c r="G1187" s="62">
        <f t="shared" si="2373"/>
        <v>1</v>
      </c>
      <c r="H1187" s="62">
        <f t="shared" ref="H1187:Q1187" si="2374">IF(isblank(H$1),,IFERROR(vlookup($A1187,indirect("'TVC-"&amp;text(month(H$1),"00")&amp;"'!$A:$D"),4,false),1))</f>
        <v>1</v>
      </c>
      <c r="I1187" s="62">
        <f t="shared" si="2374"/>
        <v>1</v>
      </c>
      <c r="J1187" s="62">
        <f t="shared" si="2374"/>
        <v>1</v>
      </c>
      <c r="K1187" s="62">
        <f t="shared" si="2374"/>
        <v>1</v>
      </c>
      <c r="L1187" s="62">
        <f t="shared" si="2374"/>
        <v>1</v>
      </c>
      <c r="M1187" s="62">
        <f t="shared" si="2374"/>
        <v>1</v>
      </c>
      <c r="N1187" s="62">
        <f t="shared" si="2374"/>
        <v>1</v>
      </c>
      <c r="O1187" s="62">
        <f t="shared" si="2374"/>
        <v>1</v>
      </c>
      <c r="P1187" s="62" t="str">
        <f t="shared" si="2374"/>
        <v/>
      </c>
      <c r="Q1187" s="62" t="str">
        <f t="shared" si="2374"/>
        <v/>
      </c>
      <c r="R1187" s="62">
        <f t="shared" si="7"/>
        <v>0</v>
      </c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</row>
    <row r="1188" hidden="1">
      <c r="A1188" s="60">
        <f>IFERROR(__xludf.DUMMYFUNCTION("""COMPUTED_VALUE"""),15428.0)</f>
        <v>15428</v>
      </c>
      <c r="B1188" s="60" t="str">
        <f>IFERROR(__xludf.DUMMYFUNCTION("""COMPUTED_VALUE"""),"Sherwood, Jamien")</f>
        <v>Sherwood, Jamien</v>
      </c>
      <c r="C1188" s="60" t="str">
        <f>IFERROR(__xludf.DUMMYFUNCTION("""COMPUTED_VALUE"""),"LB")</f>
        <v>LB</v>
      </c>
      <c r="D1188" s="60" t="str">
        <f>IFERROR(__xludf.DUMMYFUNCTION("""COMPUTED_VALUE"""),"NYJ")</f>
        <v>NYJ</v>
      </c>
      <c r="E1188" s="62" t="str">
        <f t="shared" si="4"/>
        <v>Jamien Sherwood</v>
      </c>
      <c r="F1188" s="62">
        <f t="shared" ref="F1188:G1188" si="2375">IF(isblank(F$1),,IF(isblank($A1188),,IFERROR(vlookup($A1188,indirect("'TVC-"&amp;text(month(F$1),"00")&amp;"'!$A:$D"),4,false),1)))</f>
        <v>1</v>
      </c>
      <c r="G1188" s="62">
        <f t="shared" si="2375"/>
        <v>1</v>
      </c>
      <c r="H1188" s="62">
        <f t="shared" ref="H1188:Q1188" si="2376">IF(isblank(H$1),,IFERROR(vlookup($A1188,indirect("'TVC-"&amp;text(month(H$1),"00")&amp;"'!$A:$D"),4,false),1))</f>
        <v>1</v>
      </c>
      <c r="I1188" s="62">
        <f t="shared" si="2376"/>
        <v>1</v>
      </c>
      <c r="J1188" s="62">
        <f t="shared" si="2376"/>
        <v>1</v>
      </c>
      <c r="K1188" s="62">
        <f t="shared" si="2376"/>
        <v>1</v>
      </c>
      <c r="L1188" s="62">
        <f t="shared" si="2376"/>
        <v>1</v>
      </c>
      <c r="M1188" s="62">
        <f t="shared" si="2376"/>
        <v>1</v>
      </c>
      <c r="N1188" s="62">
        <f t="shared" si="2376"/>
        <v>1</v>
      </c>
      <c r="O1188" s="62">
        <f t="shared" si="2376"/>
        <v>1</v>
      </c>
      <c r="P1188" s="62" t="str">
        <f t="shared" si="2376"/>
        <v/>
      </c>
      <c r="Q1188" s="62" t="str">
        <f t="shared" si="2376"/>
        <v/>
      </c>
      <c r="R1188" s="62">
        <f t="shared" si="7"/>
        <v>0</v>
      </c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</row>
    <row r="1189" hidden="1">
      <c r="A1189" s="60">
        <f>IFERROR(__xludf.DUMMYFUNCTION("""COMPUTED_VALUE"""),15429.0)</f>
        <v>15429</v>
      </c>
      <c r="B1189" s="60" t="str">
        <f>IFERROR(__xludf.DUMMYFUNCTION("""COMPUTED_VALUE"""),"Graham, Ta'Quon")</f>
        <v>Graham, Ta'Quon</v>
      </c>
      <c r="C1189" s="60" t="str">
        <f>IFERROR(__xludf.DUMMYFUNCTION("""COMPUTED_VALUE"""),"DT")</f>
        <v>DT</v>
      </c>
      <c r="D1189" s="60" t="str">
        <f>IFERROR(__xludf.DUMMYFUNCTION("""COMPUTED_VALUE"""),"FA")</f>
        <v>FA</v>
      </c>
      <c r="E1189" s="62" t="str">
        <f t="shared" si="4"/>
        <v>Ta'Quon Graham</v>
      </c>
      <c r="F1189" s="62">
        <f t="shared" ref="F1189:G1189" si="2377">IF(isblank(F$1),,IF(isblank($A1189),,IFERROR(vlookup($A1189,indirect("'TVC-"&amp;text(month(F$1),"00")&amp;"'!$A:$D"),4,false),1)))</f>
        <v>1</v>
      </c>
      <c r="G1189" s="62">
        <f t="shared" si="2377"/>
        <v>1</v>
      </c>
      <c r="H1189" s="62">
        <f t="shared" ref="H1189:Q1189" si="2378">IF(isblank(H$1),,IFERROR(vlookup($A1189,indirect("'TVC-"&amp;text(month(H$1),"00")&amp;"'!$A:$D"),4,false),1))</f>
        <v>1</v>
      </c>
      <c r="I1189" s="62">
        <f t="shared" si="2378"/>
        <v>1</v>
      </c>
      <c r="J1189" s="62">
        <f t="shared" si="2378"/>
        <v>1</v>
      </c>
      <c r="K1189" s="62">
        <f t="shared" si="2378"/>
        <v>1</v>
      </c>
      <c r="L1189" s="62">
        <f t="shared" si="2378"/>
        <v>1</v>
      </c>
      <c r="M1189" s="62">
        <f t="shared" si="2378"/>
        <v>1</v>
      </c>
      <c r="N1189" s="62">
        <f t="shared" si="2378"/>
        <v>1</v>
      </c>
      <c r="O1189" s="62">
        <f t="shared" si="2378"/>
        <v>1</v>
      </c>
      <c r="P1189" s="62" t="str">
        <f t="shared" si="2378"/>
        <v/>
      </c>
      <c r="Q1189" s="62" t="str">
        <f t="shared" si="2378"/>
        <v/>
      </c>
      <c r="R1189" s="62">
        <f t="shared" si="7"/>
        <v>0</v>
      </c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</row>
    <row r="1190" hidden="1">
      <c r="A1190" s="60">
        <f>IFERROR(__xludf.DUMMYFUNCTION("""COMPUTED_VALUE"""),15431.0)</f>
        <v>15431</v>
      </c>
      <c r="B1190" s="60" t="str">
        <f>IFERROR(__xludf.DUMMYFUNCTION("""COMPUTED_VALUE"""),"Fields, Tony")</f>
        <v>Fields, Tony</v>
      </c>
      <c r="C1190" s="60" t="str">
        <f>IFERROR(__xludf.DUMMYFUNCTION("""COMPUTED_VALUE"""),"LB")</f>
        <v>LB</v>
      </c>
      <c r="D1190" s="60" t="str">
        <f>IFERROR(__xludf.DUMMYFUNCTION("""COMPUTED_VALUE"""),"CHI")</f>
        <v>CHI</v>
      </c>
      <c r="E1190" s="62" t="str">
        <f t="shared" si="4"/>
        <v>Tony Fields</v>
      </c>
      <c r="F1190" s="62">
        <f t="shared" ref="F1190:G1190" si="2379">IF(isblank(F$1),,IF(isblank($A1190),,IFERROR(vlookup($A1190,indirect("'TVC-"&amp;text(month(F$1),"00")&amp;"'!$A:$D"),4,false),1)))</f>
        <v>1</v>
      </c>
      <c r="G1190" s="62">
        <f t="shared" si="2379"/>
        <v>1</v>
      </c>
      <c r="H1190" s="62">
        <f t="shared" ref="H1190:Q1190" si="2380">IF(isblank(H$1),,IFERROR(vlookup($A1190,indirect("'TVC-"&amp;text(month(H$1),"00")&amp;"'!$A:$D"),4,false),1))</f>
        <v>1</v>
      </c>
      <c r="I1190" s="62">
        <f t="shared" si="2380"/>
        <v>1</v>
      </c>
      <c r="J1190" s="62">
        <f t="shared" si="2380"/>
        <v>1</v>
      </c>
      <c r="K1190" s="62">
        <f t="shared" si="2380"/>
        <v>1</v>
      </c>
      <c r="L1190" s="62">
        <f t="shared" si="2380"/>
        <v>1</v>
      </c>
      <c r="M1190" s="62">
        <f t="shared" si="2380"/>
        <v>1</v>
      </c>
      <c r="N1190" s="62">
        <f t="shared" si="2380"/>
        <v>1</v>
      </c>
      <c r="O1190" s="62">
        <f t="shared" si="2380"/>
        <v>1</v>
      </c>
      <c r="P1190" s="62" t="str">
        <f t="shared" si="2380"/>
        <v/>
      </c>
      <c r="Q1190" s="62" t="str">
        <f t="shared" si="2380"/>
        <v/>
      </c>
      <c r="R1190" s="62">
        <f t="shared" si="7"/>
        <v>0</v>
      </c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</row>
    <row r="1191" hidden="1">
      <c r="A1191" s="60">
        <f>IFERROR(__xludf.DUMMYFUNCTION("""COMPUTED_VALUE"""),15432.0)</f>
        <v>15432</v>
      </c>
      <c r="B1191" s="60" t="str">
        <f>IFERROR(__xludf.DUMMYFUNCTION("""COMPUTED_VALUE"""),"Carter, Michael")</f>
        <v>Carter, Michael</v>
      </c>
      <c r="C1191" s="60" t="str">
        <f>IFERROR(__xludf.DUMMYFUNCTION("""COMPUTED_VALUE"""),"CB")</f>
        <v>CB</v>
      </c>
      <c r="D1191" s="60" t="str">
        <f>IFERROR(__xludf.DUMMYFUNCTION("""COMPUTED_VALUE"""),"PHI")</f>
        <v>PHI</v>
      </c>
      <c r="E1191" s="62" t="str">
        <f t="shared" si="4"/>
        <v>Michael Carter</v>
      </c>
      <c r="F1191" s="62">
        <f t="shared" ref="F1191:G1191" si="2381">IF(isblank(F$1),,IF(isblank($A1191),,IFERROR(vlookup($A1191,indirect("'TVC-"&amp;text(month(F$1),"00")&amp;"'!$A:$D"),4,false),1)))</f>
        <v>1</v>
      </c>
      <c r="G1191" s="62">
        <f t="shared" si="2381"/>
        <v>1</v>
      </c>
      <c r="H1191" s="62">
        <f t="shared" ref="H1191:Q1191" si="2382">IF(isblank(H$1),,IFERROR(vlookup($A1191,indirect("'TVC-"&amp;text(month(H$1),"00")&amp;"'!$A:$D"),4,false),1))</f>
        <v>1</v>
      </c>
      <c r="I1191" s="62">
        <f t="shared" si="2382"/>
        <v>1</v>
      </c>
      <c r="J1191" s="62">
        <f t="shared" si="2382"/>
        <v>1</v>
      </c>
      <c r="K1191" s="62">
        <f t="shared" si="2382"/>
        <v>1</v>
      </c>
      <c r="L1191" s="62">
        <f t="shared" si="2382"/>
        <v>1</v>
      </c>
      <c r="M1191" s="62">
        <f t="shared" si="2382"/>
        <v>1</v>
      </c>
      <c r="N1191" s="62">
        <f t="shared" si="2382"/>
        <v>1</v>
      </c>
      <c r="O1191" s="62">
        <f t="shared" si="2382"/>
        <v>1</v>
      </c>
      <c r="P1191" s="62" t="str">
        <f t="shared" si="2382"/>
        <v/>
      </c>
      <c r="Q1191" s="62" t="str">
        <f t="shared" si="2382"/>
        <v/>
      </c>
      <c r="R1191" s="62">
        <f t="shared" si="7"/>
        <v>0</v>
      </c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</row>
    <row r="1192" hidden="1">
      <c r="A1192" s="60">
        <f>IFERROR(__xludf.DUMMYFUNCTION("""COMPUTED_VALUE"""),15433.0)</f>
        <v>15433</v>
      </c>
      <c r="B1192" s="60" t="str">
        <f>IFERROR(__xludf.DUMMYFUNCTION("""COMPUTED_VALUE"""),"Loudermilk, Isaiahh")</f>
        <v>Loudermilk, Isaiahh</v>
      </c>
      <c r="C1192" s="60" t="str">
        <f>IFERROR(__xludf.DUMMYFUNCTION("""COMPUTED_VALUE"""),"DT")</f>
        <v>DT</v>
      </c>
      <c r="D1192" s="60" t="str">
        <f>IFERROR(__xludf.DUMMYFUNCTION("""COMPUTED_VALUE"""),"NYJ")</f>
        <v>NYJ</v>
      </c>
      <c r="E1192" s="62" t="str">
        <f t="shared" si="4"/>
        <v>Isaiahh Loudermilk</v>
      </c>
      <c r="F1192" s="62">
        <f t="shared" ref="F1192:G1192" si="2383">IF(isblank(F$1),,IF(isblank($A1192),,IFERROR(vlookup($A1192,indirect("'TVC-"&amp;text(month(F$1),"00")&amp;"'!$A:$D"),4,false),1)))</f>
        <v>1</v>
      </c>
      <c r="G1192" s="62">
        <f t="shared" si="2383"/>
        <v>1</v>
      </c>
      <c r="H1192" s="62">
        <f t="shared" ref="H1192:Q1192" si="2384">IF(isblank(H$1),,IFERROR(vlookup($A1192,indirect("'TVC-"&amp;text(month(H$1),"00")&amp;"'!$A:$D"),4,false),1))</f>
        <v>1</v>
      </c>
      <c r="I1192" s="62">
        <f t="shared" si="2384"/>
        <v>1</v>
      </c>
      <c r="J1192" s="62">
        <f t="shared" si="2384"/>
        <v>1</v>
      </c>
      <c r="K1192" s="62">
        <f t="shared" si="2384"/>
        <v>1</v>
      </c>
      <c r="L1192" s="62">
        <f t="shared" si="2384"/>
        <v>1</v>
      </c>
      <c r="M1192" s="62">
        <f t="shared" si="2384"/>
        <v>1</v>
      </c>
      <c r="N1192" s="62">
        <f t="shared" si="2384"/>
        <v>1</v>
      </c>
      <c r="O1192" s="62">
        <f t="shared" si="2384"/>
        <v>1</v>
      </c>
      <c r="P1192" s="62" t="str">
        <f t="shared" si="2384"/>
        <v/>
      </c>
      <c r="Q1192" s="62" t="str">
        <f t="shared" si="2384"/>
        <v/>
      </c>
      <c r="R1192" s="62">
        <f t="shared" si="7"/>
        <v>0</v>
      </c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</row>
    <row r="1193" hidden="1">
      <c r="A1193" s="60">
        <f>IFERROR(__xludf.DUMMYFUNCTION("""COMPUTED_VALUE"""),15434.0)</f>
        <v>15434</v>
      </c>
      <c r="B1193" s="60" t="str">
        <f>IFERROR(__xludf.DUMMYFUNCTION("""COMPUTED_VALUE"""),"Smith-Marsette, Ihmir")</f>
        <v>Smith-Marsette, Ihmir</v>
      </c>
      <c r="C1193" s="60" t="str">
        <f>IFERROR(__xludf.DUMMYFUNCTION("""COMPUTED_VALUE"""),"WR")</f>
        <v>WR</v>
      </c>
      <c r="D1193" s="60" t="str">
        <f>IFERROR(__xludf.DUMMYFUNCTION("""COMPUTED_VALUE"""),"CAR")</f>
        <v>CAR</v>
      </c>
      <c r="E1193" s="62" t="str">
        <f t="shared" si="4"/>
        <v>Ihmir Smith-Marsette</v>
      </c>
      <c r="F1193" s="62">
        <f t="shared" ref="F1193:G1193" si="2385">IF(isblank(F$1),,IF(isblank($A1193),,IFERROR(vlookup($A1193,indirect("'TVC-"&amp;text(month(F$1),"00")&amp;"'!$A:$D"),4,false),1)))</f>
        <v>1</v>
      </c>
      <c r="G1193" s="62">
        <f t="shared" si="2385"/>
        <v>1</v>
      </c>
      <c r="H1193" s="62">
        <f t="shared" ref="H1193:Q1193" si="2386">IF(isblank(H$1),,IFERROR(vlookup($A1193,indirect("'TVC-"&amp;text(month(H$1),"00")&amp;"'!$A:$D"),4,false),1))</f>
        <v>1</v>
      </c>
      <c r="I1193" s="62">
        <f t="shared" si="2386"/>
        <v>1</v>
      </c>
      <c r="J1193" s="62">
        <f t="shared" si="2386"/>
        <v>1</v>
      </c>
      <c r="K1193" s="62">
        <f t="shared" si="2386"/>
        <v>1</v>
      </c>
      <c r="L1193" s="62">
        <f t="shared" si="2386"/>
        <v>1</v>
      </c>
      <c r="M1193" s="62">
        <f t="shared" si="2386"/>
        <v>1</v>
      </c>
      <c r="N1193" s="62">
        <f t="shared" si="2386"/>
        <v>1</v>
      </c>
      <c r="O1193" s="62">
        <f t="shared" si="2386"/>
        <v>1</v>
      </c>
      <c r="P1193" s="62" t="str">
        <f t="shared" si="2386"/>
        <v/>
      </c>
      <c r="Q1193" s="62" t="str">
        <f t="shared" si="2386"/>
        <v/>
      </c>
      <c r="R1193" s="62">
        <f t="shared" si="7"/>
        <v>0</v>
      </c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</row>
    <row r="1194" hidden="1">
      <c r="A1194" s="60">
        <f>IFERROR(__xludf.DUMMYFUNCTION("""COMPUTED_VALUE"""),15440.0)</f>
        <v>15440</v>
      </c>
      <c r="B1194" s="60" t="str">
        <f>IFERROR(__xludf.DUMMYFUNCTION("""COMPUTED_VALUE"""),"Taylor, Keith")</f>
        <v>Taylor, Keith</v>
      </c>
      <c r="C1194" s="60" t="str">
        <f>IFERROR(__xludf.DUMMYFUNCTION("""COMPUTED_VALUE"""),"CB")</f>
        <v>CB</v>
      </c>
      <c r="D1194" s="60" t="str">
        <f>IFERROR(__xludf.DUMMYFUNCTION("""COMPUTED_VALUE"""),"FA")</f>
        <v>FA</v>
      </c>
      <c r="E1194" s="62" t="str">
        <f t="shared" si="4"/>
        <v>Keith Taylor</v>
      </c>
      <c r="F1194" s="62">
        <f t="shared" ref="F1194:G1194" si="2387">IF(isblank(F$1),,IF(isblank($A1194),,IFERROR(vlookup($A1194,indirect("'TVC-"&amp;text(month(F$1),"00")&amp;"'!$A:$D"),4,false),1)))</f>
        <v>1</v>
      </c>
      <c r="G1194" s="62">
        <f t="shared" si="2387"/>
        <v>1</v>
      </c>
      <c r="H1194" s="62">
        <f t="shared" ref="H1194:Q1194" si="2388">IF(isblank(H$1),,IFERROR(vlookup($A1194,indirect("'TVC-"&amp;text(month(H$1),"00")&amp;"'!$A:$D"),4,false),1))</f>
        <v>1</v>
      </c>
      <c r="I1194" s="62">
        <f t="shared" si="2388"/>
        <v>1</v>
      </c>
      <c r="J1194" s="62">
        <f t="shared" si="2388"/>
        <v>1</v>
      </c>
      <c r="K1194" s="62">
        <f t="shared" si="2388"/>
        <v>1</v>
      </c>
      <c r="L1194" s="62">
        <f t="shared" si="2388"/>
        <v>1</v>
      </c>
      <c r="M1194" s="62">
        <f t="shared" si="2388"/>
        <v>1</v>
      </c>
      <c r="N1194" s="62">
        <f t="shared" si="2388"/>
        <v>1</v>
      </c>
      <c r="O1194" s="62">
        <f t="shared" si="2388"/>
        <v>1</v>
      </c>
      <c r="P1194" s="62" t="str">
        <f t="shared" si="2388"/>
        <v/>
      </c>
      <c r="Q1194" s="62" t="str">
        <f t="shared" si="2388"/>
        <v/>
      </c>
      <c r="R1194" s="62">
        <f t="shared" si="7"/>
        <v>0</v>
      </c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</row>
    <row r="1195" hidden="1">
      <c r="A1195" s="60">
        <f>IFERROR(__xludf.DUMMYFUNCTION("""COMPUTED_VALUE"""),15441.0)</f>
        <v>15441</v>
      </c>
      <c r="B1195" s="60" t="str">
        <f>IFERROR(__xludf.DUMMYFUNCTION("""COMPUTED_VALUE"""),"Hobbs, Nate")</f>
        <v>Hobbs, Nate</v>
      </c>
      <c r="C1195" s="60" t="str">
        <f>IFERROR(__xludf.DUMMYFUNCTION("""COMPUTED_VALUE"""),"CB")</f>
        <v>CB</v>
      </c>
      <c r="D1195" s="60" t="str">
        <f>IFERROR(__xludf.DUMMYFUNCTION("""COMPUTED_VALUE"""),"SFO")</f>
        <v>SFO</v>
      </c>
      <c r="E1195" s="62" t="str">
        <f t="shared" si="4"/>
        <v>Nate Hobbs</v>
      </c>
      <c r="F1195" s="62">
        <f t="shared" ref="F1195:G1195" si="2389">IF(isblank(F$1),,IF(isblank($A1195),,IFERROR(vlookup($A1195,indirect("'TVC-"&amp;text(month(F$1),"00")&amp;"'!$A:$D"),4,false),1)))</f>
        <v>1</v>
      </c>
      <c r="G1195" s="62">
        <f t="shared" si="2389"/>
        <v>1</v>
      </c>
      <c r="H1195" s="62">
        <f t="shared" ref="H1195:Q1195" si="2390">IF(isblank(H$1),,IFERROR(vlookup($A1195,indirect("'TVC-"&amp;text(month(H$1),"00")&amp;"'!$A:$D"),4,false),1))</f>
        <v>1</v>
      </c>
      <c r="I1195" s="62">
        <f t="shared" si="2390"/>
        <v>1</v>
      </c>
      <c r="J1195" s="62">
        <f t="shared" si="2390"/>
        <v>1</v>
      </c>
      <c r="K1195" s="62">
        <f t="shared" si="2390"/>
        <v>1</v>
      </c>
      <c r="L1195" s="62">
        <f t="shared" si="2390"/>
        <v>1</v>
      </c>
      <c r="M1195" s="62">
        <f t="shared" si="2390"/>
        <v>1</v>
      </c>
      <c r="N1195" s="62">
        <f t="shared" si="2390"/>
        <v>1</v>
      </c>
      <c r="O1195" s="62">
        <f t="shared" si="2390"/>
        <v>1</v>
      </c>
      <c r="P1195" s="62" t="str">
        <f t="shared" si="2390"/>
        <v/>
      </c>
      <c r="Q1195" s="62" t="str">
        <f t="shared" si="2390"/>
        <v/>
      </c>
      <c r="R1195" s="62">
        <f t="shared" si="7"/>
        <v>0</v>
      </c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</row>
    <row r="1196" hidden="1">
      <c r="A1196" s="60">
        <f>IFERROR(__xludf.DUMMYFUNCTION("""COMPUTED_VALUE"""),15443.0)</f>
        <v>15443</v>
      </c>
      <c r="B1196" s="60" t="str">
        <f>IFERROR(__xludf.DUMMYFUNCTION("""COMPUTED_VALUE"""),"Wallow, Garret")</f>
        <v>Wallow, Garret</v>
      </c>
      <c r="C1196" s="60" t="str">
        <f>IFERROR(__xludf.DUMMYFUNCTION("""COMPUTED_VALUE"""),"LB")</f>
        <v>LB</v>
      </c>
      <c r="D1196" s="60" t="str">
        <f>IFERROR(__xludf.DUMMYFUNCTION("""COMPUTED_VALUE"""),"SFO")</f>
        <v>SFO</v>
      </c>
      <c r="E1196" s="62" t="str">
        <f t="shared" si="4"/>
        <v>Garret Wallow</v>
      </c>
      <c r="F1196" s="62">
        <f t="shared" ref="F1196:G1196" si="2391">IF(isblank(F$1),,IF(isblank($A1196),,IFERROR(vlookup($A1196,indirect("'TVC-"&amp;text(month(F$1),"00")&amp;"'!$A:$D"),4,false),1)))</f>
        <v>1</v>
      </c>
      <c r="G1196" s="62">
        <f t="shared" si="2391"/>
        <v>1</v>
      </c>
      <c r="H1196" s="62">
        <f t="shared" ref="H1196:Q1196" si="2392">IF(isblank(H$1),,IFERROR(vlookup($A1196,indirect("'TVC-"&amp;text(month(H$1),"00")&amp;"'!$A:$D"),4,false),1))</f>
        <v>1</v>
      </c>
      <c r="I1196" s="62">
        <f t="shared" si="2392"/>
        <v>1</v>
      </c>
      <c r="J1196" s="62">
        <f t="shared" si="2392"/>
        <v>1</v>
      </c>
      <c r="K1196" s="62">
        <f t="shared" si="2392"/>
        <v>1</v>
      </c>
      <c r="L1196" s="62">
        <f t="shared" si="2392"/>
        <v>1</v>
      </c>
      <c r="M1196" s="62">
        <f t="shared" si="2392"/>
        <v>1</v>
      </c>
      <c r="N1196" s="62">
        <f t="shared" si="2392"/>
        <v>1</v>
      </c>
      <c r="O1196" s="62">
        <f t="shared" si="2392"/>
        <v>1</v>
      </c>
      <c r="P1196" s="62" t="str">
        <f t="shared" si="2392"/>
        <v/>
      </c>
      <c r="Q1196" s="62" t="str">
        <f t="shared" si="2392"/>
        <v/>
      </c>
      <c r="R1196" s="62">
        <f t="shared" si="7"/>
        <v>0</v>
      </c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</row>
    <row r="1197" hidden="1">
      <c r="A1197" s="60">
        <f>IFERROR(__xludf.DUMMYFUNCTION("""COMPUTED_VALUE"""),15445.0)</f>
        <v>15445</v>
      </c>
      <c r="B1197" s="60" t="str">
        <f>IFERROR(__xludf.DUMMYFUNCTION("""COMPUTED_VALUE"""),"Lenoir, Deommodore")</f>
        <v>Lenoir, Deommodore</v>
      </c>
      <c r="C1197" s="60" t="str">
        <f>IFERROR(__xludf.DUMMYFUNCTION("""COMPUTED_VALUE"""),"CB")</f>
        <v>CB</v>
      </c>
      <c r="D1197" s="60" t="str">
        <f>IFERROR(__xludf.DUMMYFUNCTION("""COMPUTED_VALUE"""),"SFO")</f>
        <v>SFO</v>
      </c>
      <c r="E1197" s="62" t="str">
        <f t="shared" si="4"/>
        <v>Deommodore Lenoir</v>
      </c>
      <c r="F1197" s="62">
        <f t="shared" ref="F1197:G1197" si="2393">IF(isblank(F$1),,IF(isblank($A1197),,IFERROR(vlookup($A1197,indirect("'TVC-"&amp;text(month(F$1),"00")&amp;"'!$A:$D"),4,false),1)))</f>
        <v>1</v>
      </c>
      <c r="G1197" s="62">
        <f t="shared" si="2393"/>
        <v>1</v>
      </c>
      <c r="H1197" s="62">
        <f t="shared" ref="H1197:Q1197" si="2394">IF(isblank(H$1),,IFERROR(vlookup($A1197,indirect("'TVC-"&amp;text(month(H$1),"00")&amp;"'!$A:$D"),4,false),1))</f>
        <v>1</v>
      </c>
      <c r="I1197" s="62">
        <f t="shared" si="2394"/>
        <v>1</v>
      </c>
      <c r="J1197" s="62">
        <f t="shared" si="2394"/>
        <v>1</v>
      </c>
      <c r="K1197" s="62">
        <f t="shared" si="2394"/>
        <v>1</v>
      </c>
      <c r="L1197" s="62">
        <f t="shared" si="2394"/>
        <v>1</v>
      </c>
      <c r="M1197" s="62">
        <f t="shared" si="2394"/>
        <v>1</v>
      </c>
      <c r="N1197" s="62">
        <f t="shared" si="2394"/>
        <v>1</v>
      </c>
      <c r="O1197" s="62">
        <f t="shared" si="2394"/>
        <v>1</v>
      </c>
      <c r="P1197" s="62" t="str">
        <f t="shared" si="2394"/>
        <v/>
      </c>
      <c r="Q1197" s="62" t="str">
        <f t="shared" si="2394"/>
        <v/>
      </c>
      <c r="R1197" s="62">
        <f t="shared" si="7"/>
        <v>0</v>
      </c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</row>
    <row r="1198" hidden="1">
      <c r="A1198" s="60">
        <f>IFERROR(__xludf.DUMMYFUNCTION("""COMPUTED_VALUE"""),15446.0)</f>
        <v>15446</v>
      </c>
      <c r="B1198" s="60" t="str">
        <f>IFERROR(__xludf.DUMMYFUNCTION("""COMPUTED_VALUE"""),"Slaton, Tedarrell")</f>
        <v>Slaton, Tedarrell</v>
      </c>
      <c r="C1198" s="60" t="str">
        <f>IFERROR(__xludf.DUMMYFUNCTION("""COMPUTED_VALUE"""),"DT")</f>
        <v>DT</v>
      </c>
      <c r="D1198" s="60" t="str">
        <f>IFERROR(__xludf.DUMMYFUNCTION("""COMPUTED_VALUE"""),"CIN")</f>
        <v>CIN</v>
      </c>
      <c r="E1198" s="62" t="str">
        <f t="shared" si="4"/>
        <v>Tedarrell Slaton</v>
      </c>
      <c r="F1198" s="62">
        <f t="shared" ref="F1198:G1198" si="2395">IF(isblank(F$1),,IF(isblank($A1198),,IFERROR(vlookup($A1198,indirect("'TVC-"&amp;text(month(F$1),"00")&amp;"'!$A:$D"),4,false),1)))</f>
        <v>1</v>
      </c>
      <c r="G1198" s="62">
        <f t="shared" si="2395"/>
        <v>1</v>
      </c>
      <c r="H1198" s="62">
        <f t="shared" ref="H1198:Q1198" si="2396">IF(isblank(H$1),,IFERROR(vlookup($A1198,indirect("'TVC-"&amp;text(month(H$1),"00")&amp;"'!$A:$D"),4,false),1))</f>
        <v>1</v>
      </c>
      <c r="I1198" s="62">
        <f t="shared" si="2396"/>
        <v>1</v>
      </c>
      <c r="J1198" s="62">
        <f t="shared" si="2396"/>
        <v>1</v>
      </c>
      <c r="K1198" s="62">
        <f t="shared" si="2396"/>
        <v>1</v>
      </c>
      <c r="L1198" s="62">
        <f t="shared" si="2396"/>
        <v>1</v>
      </c>
      <c r="M1198" s="62">
        <f t="shared" si="2396"/>
        <v>1</v>
      </c>
      <c r="N1198" s="62">
        <f t="shared" si="2396"/>
        <v>1</v>
      </c>
      <c r="O1198" s="62">
        <f t="shared" si="2396"/>
        <v>1</v>
      </c>
      <c r="P1198" s="62" t="str">
        <f t="shared" si="2396"/>
        <v/>
      </c>
      <c r="Q1198" s="62" t="str">
        <f t="shared" si="2396"/>
        <v/>
      </c>
      <c r="R1198" s="62">
        <f t="shared" si="7"/>
        <v>0</v>
      </c>
      <c r="S1198" s="62"/>
      <c r="T1198" s="62"/>
      <c r="U1198" s="62"/>
      <c r="V1198" s="62"/>
      <c r="W1198" s="62"/>
      <c r="X1198" s="62"/>
      <c r="Y1198" s="62"/>
      <c r="Z1198" s="62"/>
      <c r="AA1198" s="62"/>
      <c r="AB1198" s="62"/>
      <c r="AC1198" s="62"/>
    </row>
    <row r="1199" hidden="1">
      <c r="A1199" s="60">
        <f>IFERROR(__xludf.DUMMYFUNCTION("""COMPUTED_VALUE"""),15448.0)</f>
        <v>15448</v>
      </c>
      <c r="B1199" s="60" t="str">
        <f>IFERROR(__xludf.DUMMYFUNCTION("""COMPUTED_VALUE"""),"Pinnock, Jason")</f>
        <v>Pinnock, Jason</v>
      </c>
      <c r="C1199" s="60" t="str">
        <f>IFERROR(__xludf.DUMMYFUNCTION("""COMPUTED_VALUE"""),"S")</f>
        <v>S</v>
      </c>
      <c r="D1199" s="60" t="str">
        <f>IFERROR(__xludf.DUMMYFUNCTION("""COMPUTED_VALUE"""),"NYG")</f>
        <v>NYG</v>
      </c>
      <c r="E1199" s="62" t="str">
        <f t="shared" si="4"/>
        <v>Jason Pinnock</v>
      </c>
      <c r="F1199" s="62">
        <f t="shared" ref="F1199:G1199" si="2397">IF(isblank(F$1),,IF(isblank($A1199),,IFERROR(vlookup($A1199,indirect("'TVC-"&amp;text(month(F$1),"00")&amp;"'!$A:$D"),4,false),1)))</f>
        <v>1</v>
      </c>
      <c r="G1199" s="62">
        <f t="shared" si="2397"/>
        <v>1</v>
      </c>
      <c r="H1199" s="62">
        <f t="shared" ref="H1199:Q1199" si="2398">IF(isblank(H$1),,IFERROR(vlookup($A1199,indirect("'TVC-"&amp;text(month(H$1),"00")&amp;"'!$A:$D"),4,false),1))</f>
        <v>1</v>
      </c>
      <c r="I1199" s="62">
        <f t="shared" si="2398"/>
        <v>1</v>
      </c>
      <c r="J1199" s="62">
        <f t="shared" si="2398"/>
        <v>1</v>
      </c>
      <c r="K1199" s="62">
        <f t="shared" si="2398"/>
        <v>1</v>
      </c>
      <c r="L1199" s="62">
        <f t="shared" si="2398"/>
        <v>1</v>
      </c>
      <c r="M1199" s="62">
        <f t="shared" si="2398"/>
        <v>1</v>
      </c>
      <c r="N1199" s="62">
        <f t="shared" si="2398"/>
        <v>1</v>
      </c>
      <c r="O1199" s="62">
        <f t="shared" si="2398"/>
        <v>1</v>
      </c>
      <c r="P1199" s="62" t="str">
        <f t="shared" si="2398"/>
        <v/>
      </c>
      <c r="Q1199" s="62" t="str">
        <f t="shared" si="2398"/>
        <v/>
      </c>
      <c r="R1199" s="62">
        <f t="shared" si="7"/>
        <v>0</v>
      </c>
      <c r="S1199" s="62"/>
      <c r="T1199" s="62"/>
      <c r="U1199" s="62"/>
      <c r="V1199" s="62"/>
      <c r="W1199" s="62"/>
      <c r="X1199" s="62"/>
      <c r="Y1199" s="62"/>
      <c r="Z1199" s="62"/>
      <c r="AA1199" s="62"/>
      <c r="AB1199" s="62"/>
      <c r="AC1199" s="62"/>
    </row>
    <row r="1200" hidden="1">
      <c r="A1200" s="60">
        <f>IFERROR(__xludf.DUMMYFUNCTION("""COMPUTED_VALUE"""),15449.0)</f>
        <v>15449</v>
      </c>
      <c r="B1200" s="60" t="str">
        <f>IFERROR(__xludf.DUMMYFUNCTION("""COMPUTED_VALUE"""),"Britt, K.J.")</f>
        <v>Britt, K.J.</v>
      </c>
      <c r="C1200" s="60" t="str">
        <f>IFERROR(__xludf.DUMMYFUNCTION("""COMPUTED_VALUE"""),"LB")</f>
        <v>LB</v>
      </c>
      <c r="D1200" s="60" t="str">
        <f>IFERROR(__xludf.DUMMYFUNCTION("""COMPUTED_VALUE"""),"NEP")</f>
        <v>NEP</v>
      </c>
      <c r="E1200" s="62" t="str">
        <f t="shared" si="4"/>
        <v>K.J. Britt</v>
      </c>
      <c r="F1200" s="62">
        <f t="shared" ref="F1200:G1200" si="2399">IF(isblank(F$1),,IF(isblank($A1200),,IFERROR(vlookup($A1200,indirect("'TVC-"&amp;text(month(F$1),"00")&amp;"'!$A:$D"),4,false),1)))</f>
        <v>1</v>
      </c>
      <c r="G1200" s="62">
        <f t="shared" si="2399"/>
        <v>1</v>
      </c>
      <c r="H1200" s="62">
        <f t="shared" ref="H1200:Q1200" si="2400">IF(isblank(H$1),,IFERROR(vlookup($A1200,indirect("'TVC-"&amp;text(month(H$1),"00")&amp;"'!$A:$D"),4,false),1))</f>
        <v>1</v>
      </c>
      <c r="I1200" s="62">
        <f t="shared" si="2400"/>
        <v>1</v>
      </c>
      <c r="J1200" s="62">
        <f t="shared" si="2400"/>
        <v>1</v>
      </c>
      <c r="K1200" s="62">
        <f t="shared" si="2400"/>
        <v>1</v>
      </c>
      <c r="L1200" s="62">
        <f t="shared" si="2400"/>
        <v>1</v>
      </c>
      <c r="M1200" s="62">
        <f t="shared" si="2400"/>
        <v>1</v>
      </c>
      <c r="N1200" s="62">
        <f t="shared" si="2400"/>
        <v>1</v>
      </c>
      <c r="O1200" s="62">
        <f t="shared" si="2400"/>
        <v>1</v>
      </c>
      <c r="P1200" s="62" t="str">
        <f t="shared" si="2400"/>
        <v/>
      </c>
      <c r="Q1200" s="62" t="str">
        <f t="shared" si="2400"/>
        <v/>
      </c>
      <c r="R1200" s="62">
        <f t="shared" si="7"/>
        <v>0</v>
      </c>
      <c r="S1200" s="62"/>
      <c r="T1200" s="62"/>
      <c r="U1200" s="62"/>
      <c r="V1200" s="62"/>
      <c r="W1200" s="62"/>
      <c r="X1200" s="62"/>
      <c r="Y1200" s="62"/>
      <c r="Z1200" s="62"/>
      <c r="AA1200" s="62"/>
      <c r="AB1200" s="62"/>
      <c r="AC1200" s="62"/>
    </row>
    <row r="1201" hidden="1">
      <c r="A1201" s="60">
        <f>IFERROR(__xludf.DUMMYFUNCTION("""COMPUTED_VALUE"""),15450.0)</f>
        <v>15450</v>
      </c>
      <c r="B1201" s="60" t="str">
        <f>IFERROR(__xludf.DUMMYFUNCTION("""COMPUTED_VALUE"""),"McGrone, Cameron")</f>
        <v>McGrone, Cameron</v>
      </c>
      <c r="C1201" s="60" t="str">
        <f>IFERROR(__xludf.DUMMYFUNCTION("""COMPUTED_VALUE"""),"LB")</f>
        <v>LB</v>
      </c>
      <c r="D1201" s="60" t="str">
        <f>IFERROR(__xludf.DUMMYFUNCTION("""COMPUTED_VALUE"""),"LVR")</f>
        <v>LVR</v>
      </c>
      <c r="E1201" s="62" t="str">
        <f t="shared" si="4"/>
        <v>Cameron McGrone</v>
      </c>
      <c r="F1201" s="62">
        <f t="shared" ref="F1201:G1201" si="2401">IF(isblank(F$1),,IF(isblank($A1201),,IFERROR(vlookup($A1201,indirect("'TVC-"&amp;text(month(F$1),"00")&amp;"'!$A:$D"),4,false),1)))</f>
        <v>1</v>
      </c>
      <c r="G1201" s="62">
        <f t="shared" si="2401"/>
        <v>1</v>
      </c>
      <c r="H1201" s="62">
        <f t="shared" ref="H1201:Q1201" si="2402">IF(isblank(H$1),,IFERROR(vlookup($A1201,indirect("'TVC-"&amp;text(month(H$1),"00")&amp;"'!$A:$D"),4,false),1))</f>
        <v>1</v>
      </c>
      <c r="I1201" s="62">
        <f t="shared" si="2402"/>
        <v>1</v>
      </c>
      <c r="J1201" s="62">
        <f t="shared" si="2402"/>
        <v>1</v>
      </c>
      <c r="K1201" s="62">
        <f t="shared" si="2402"/>
        <v>1</v>
      </c>
      <c r="L1201" s="62">
        <f t="shared" si="2402"/>
        <v>1</v>
      </c>
      <c r="M1201" s="62">
        <f t="shared" si="2402"/>
        <v>1</v>
      </c>
      <c r="N1201" s="62">
        <f t="shared" si="2402"/>
        <v>1</v>
      </c>
      <c r="O1201" s="62">
        <f t="shared" si="2402"/>
        <v>1</v>
      </c>
      <c r="P1201" s="62" t="str">
        <f t="shared" si="2402"/>
        <v/>
      </c>
      <c r="Q1201" s="62" t="str">
        <f t="shared" si="2402"/>
        <v/>
      </c>
      <c r="R1201" s="62">
        <f t="shared" si="7"/>
        <v>0</v>
      </c>
      <c r="S1201" s="62"/>
      <c r="T1201" s="62"/>
      <c r="U1201" s="62"/>
      <c r="V1201" s="62"/>
      <c r="W1201" s="62"/>
      <c r="X1201" s="62"/>
      <c r="Y1201" s="62"/>
      <c r="Z1201" s="62"/>
      <c r="AA1201" s="62"/>
      <c r="AB1201" s="62"/>
      <c r="AC1201" s="62"/>
    </row>
    <row r="1202" hidden="1">
      <c r="A1202" s="60">
        <f>IFERROR(__xludf.DUMMYFUNCTION("""COMPUTED_VALUE"""),15452.0)</f>
        <v>15452</v>
      </c>
      <c r="B1202" s="60" t="str">
        <f>IFERROR(__xludf.DUMMYFUNCTION("""COMPUTED_VALUE"""),"Hufanga, Talanoa")</f>
        <v>Hufanga, Talanoa</v>
      </c>
      <c r="C1202" s="60" t="str">
        <f>IFERROR(__xludf.DUMMYFUNCTION("""COMPUTED_VALUE"""),"S")</f>
        <v>S</v>
      </c>
      <c r="D1202" s="60" t="str">
        <f>IFERROR(__xludf.DUMMYFUNCTION("""COMPUTED_VALUE"""),"DEN")</f>
        <v>DEN</v>
      </c>
      <c r="E1202" s="62" t="str">
        <f t="shared" si="4"/>
        <v>Talanoa Hufanga</v>
      </c>
      <c r="F1202" s="62">
        <f t="shared" ref="F1202:G1202" si="2403">IF(isblank(F$1),,IF(isblank($A1202),,IFERROR(vlookup($A1202,indirect("'TVC-"&amp;text(month(F$1),"00")&amp;"'!$A:$D"),4,false),1)))</f>
        <v>1</v>
      </c>
      <c r="G1202" s="62">
        <f t="shared" si="2403"/>
        <v>1</v>
      </c>
      <c r="H1202" s="62">
        <f t="shared" ref="H1202:Q1202" si="2404">IF(isblank(H$1),,IFERROR(vlookup($A1202,indirect("'TVC-"&amp;text(month(H$1),"00")&amp;"'!$A:$D"),4,false),1))</f>
        <v>1</v>
      </c>
      <c r="I1202" s="62">
        <f t="shared" si="2404"/>
        <v>1</v>
      </c>
      <c r="J1202" s="62">
        <f t="shared" si="2404"/>
        <v>1</v>
      </c>
      <c r="K1202" s="62">
        <f t="shared" si="2404"/>
        <v>1</v>
      </c>
      <c r="L1202" s="62">
        <f t="shared" si="2404"/>
        <v>1</v>
      </c>
      <c r="M1202" s="62">
        <f t="shared" si="2404"/>
        <v>1</v>
      </c>
      <c r="N1202" s="62">
        <f t="shared" si="2404"/>
        <v>1</v>
      </c>
      <c r="O1202" s="62">
        <f t="shared" si="2404"/>
        <v>1</v>
      </c>
      <c r="P1202" s="62" t="str">
        <f t="shared" si="2404"/>
        <v/>
      </c>
      <c r="Q1202" s="62" t="str">
        <f t="shared" si="2404"/>
        <v/>
      </c>
      <c r="R1202" s="62">
        <f t="shared" si="7"/>
        <v>0</v>
      </c>
      <c r="S1202" s="62"/>
      <c r="T1202" s="62"/>
      <c r="U1202" s="62"/>
      <c r="V1202" s="62"/>
      <c r="W1202" s="62"/>
      <c r="X1202" s="62"/>
      <c r="Y1202" s="62"/>
      <c r="Z1202" s="62"/>
      <c r="AA1202" s="62"/>
      <c r="AB1202" s="62"/>
      <c r="AC1202" s="62"/>
    </row>
    <row r="1203" hidden="1">
      <c r="A1203" s="60">
        <f>IFERROR(__xludf.DUMMYFUNCTION("""COMPUTED_VALUE"""),15454.0)</f>
        <v>15454</v>
      </c>
      <c r="B1203" s="60" t="str">
        <f>IFERROR(__xludf.DUMMYFUNCTION("""COMPUTED_VALUE"""),"Williams, Avery")</f>
        <v>Williams, Avery</v>
      </c>
      <c r="C1203" s="60" t="str">
        <f>IFERROR(__xludf.DUMMYFUNCTION("""COMPUTED_VALUE"""),"RB")</f>
        <v>RB</v>
      </c>
      <c r="D1203" s="60" t="str">
        <f>IFERROR(__xludf.DUMMYFUNCTION("""COMPUTED_VALUE"""),"NYJ")</f>
        <v>NYJ</v>
      </c>
      <c r="E1203" s="62" t="str">
        <f t="shared" si="4"/>
        <v>Avery Williams</v>
      </c>
      <c r="F1203" s="62">
        <f t="shared" ref="F1203:G1203" si="2405">IF(isblank(F$1),,IF(isblank($A1203),,IFERROR(vlookup($A1203,indirect("'TVC-"&amp;text(month(F$1),"00")&amp;"'!$A:$D"),4,false),1)))</f>
        <v>1</v>
      </c>
      <c r="G1203" s="62">
        <f t="shared" si="2405"/>
        <v>1</v>
      </c>
      <c r="H1203" s="62">
        <f t="shared" ref="H1203:Q1203" si="2406">IF(isblank(H$1),,IFERROR(vlookup($A1203,indirect("'TVC-"&amp;text(month(H$1),"00")&amp;"'!$A:$D"),4,false),1))</f>
        <v>1</v>
      </c>
      <c r="I1203" s="62">
        <f t="shared" si="2406"/>
        <v>1</v>
      </c>
      <c r="J1203" s="62">
        <f t="shared" si="2406"/>
        <v>1</v>
      </c>
      <c r="K1203" s="62">
        <f t="shared" si="2406"/>
        <v>1</v>
      </c>
      <c r="L1203" s="62">
        <f t="shared" si="2406"/>
        <v>1</v>
      </c>
      <c r="M1203" s="62">
        <f t="shared" si="2406"/>
        <v>1</v>
      </c>
      <c r="N1203" s="62">
        <f t="shared" si="2406"/>
        <v>1</v>
      </c>
      <c r="O1203" s="62">
        <f t="shared" si="2406"/>
        <v>1</v>
      </c>
      <c r="P1203" s="62" t="str">
        <f t="shared" si="2406"/>
        <v/>
      </c>
      <c r="Q1203" s="62" t="str">
        <f t="shared" si="2406"/>
        <v/>
      </c>
      <c r="R1203" s="62">
        <f t="shared" si="7"/>
        <v>0</v>
      </c>
      <c r="S1203" s="62"/>
      <c r="T1203" s="62"/>
      <c r="U1203" s="62"/>
      <c r="V1203" s="62"/>
      <c r="W1203" s="62"/>
      <c r="X1203" s="62"/>
      <c r="Y1203" s="62"/>
      <c r="Z1203" s="62"/>
      <c r="AA1203" s="62"/>
      <c r="AB1203" s="62"/>
      <c r="AC1203" s="62"/>
    </row>
    <row r="1204" hidden="1">
      <c r="A1204" s="60">
        <f>IFERROR(__xludf.DUMMYFUNCTION("""COMPUTED_VALUE"""),15456.0)</f>
        <v>15456</v>
      </c>
      <c r="B1204" s="60" t="str">
        <f>IFERROR(__xludf.DUMMYFUNCTION("""COMPUTED_VALUE"""),"Niemann, Nick")</f>
        <v>Niemann, Nick</v>
      </c>
      <c r="C1204" s="60" t="str">
        <f>IFERROR(__xludf.DUMMYFUNCTION("""COMPUTED_VALUE"""),"LB")</f>
        <v>LB</v>
      </c>
      <c r="D1204" s="60" t="str">
        <f>IFERROR(__xludf.DUMMYFUNCTION("""COMPUTED_VALUE"""),"GBP")</f>
        <v>GBP</v>
      </c>
      <c r="E1204" s="62" t="str">
        <f t="shared" si="4"/>
        <v>Nick Niemann</v>
      </c>
      <c r="F1204" s="62">
        <f t="shared" ref="F1204:G1204" si="2407">IF(isblank(F$1),,IF(isblank($A1204),,IFERROR(vlookup($A1204,indirect("'TVC-"&amp;text(month(F$1),"00")&amp;"'!$A:$D"),4,false),1)))</f>
        <v>1</v>
      </c>
      <c r="G1204" s="62">
        <f t="shared" si="2407"/>
        <v>1</v>
      </c>
      <c r="H1204" s="62">
        <f t="shared" ref="H1204:Q1204" si="2408">IF(isblank(H$1),,IFERROR(vlookup($A1204,indirect("'TVC-"&amp;text(month(H$1),"00")&amp;"'!$A:$D"),4,false),1))</f>
        <v>1</v>
      </c>
      <c r="I1204" s="62">
        <f t="shared" si="2408"/>
        <v>1</v>
      </c>
      <c r="J1204" s="62">
        <f t="shared" si="2408"/>
        <v>1</v>
      </c>
      <c r="K1204" s="62">
        <f t="shared" si="2408"/>
        <v>1</v>
      </c>
      <c r="L1204" s="62">
        <f t="shared" si="2408"/>
        <v>1</v>
      </c>
      <c r="M1204" s="62">
        <f t="shared" si="2408"/>
        <v>1</v>
      </c>
      <c r="N1204" s="62">
        <f t="shared" si="2408"/>
        <v>1</v>
      </c>
      <c r="O1204" s="62">
        <f t="shared" si="2408"/>
        <v>1</v>
      </c>
      <c r="P1204" s="62" t="str">
        <f t="shared" si="2408"/>
        <v/>
      </c>
      <c r="Q1204" s="62" t="str">
        <f t="shared" si="2408"/>
        <v/>
      </c>
      <c r="R1204" s="62">
        <f t="shared" si="7"/>
        <v>0</v>
      </c>
      <c r="S1204" s="62"/>
      <c r="T1204" s="62"/>
      <c r="U1204" s="62"/>
      <c r="V1204" s="62"/>
      <c r="W1204" s="62"/>
      <c r="X1204" s="62"/>
      <c r="Y1204" s="62"/>
      <c r="Z1204" s="62"/>
      <c r="AA1204" s="62"/>
      <c r="AB1204" s="62"/>
      <c r="AC1204" s="62"/>
    </row>
    <row r="1205" hidden="1">
      <c r="A1205" s="60">
        <f>IFERROR(__xludf.DUMMYFUNCTION("""COMPUTED_VALUE"""),15458.0)</f>
        <v>15458</v>
      </c>
      <c r="B1205" s="60" t="str">
        <f>IFERROR(__xludf.DUMMYFUNCTION("""COMPUTED_VALUE"""),"Tuipulotu, Marlon")</f>
        <v>Tuipulotu, Marlon</v>
      </c>
      <c r="C1205" s="60" t="str">
        <f>IFERROR(__xludf.DUMMYFUNCTION("""COMPUTED_VALUE"""),"DT")</f>
        <v>DT</v>
      </c>
      <c r="D1205" s="60" t="str">
        <f>IFERROR(__xludf.DUMMYFUNCTION("""COMPUTED_VALUE"""),"FA")</f>
        <v>FA</v>
      </c>
      <c r="E1205" s="62" t="str">
        <f t="shared" si="4"/>
        <v>Marlon Tuipulotu</v>
      </c>
      <c r="F1205" s="62">
        <f t="shared" ref="F1205:G1205" si="2409">IF(isblank(F$1),,IF(isblank($A1205),,IFERROR(vlookup($A1205,indirect("'TVC-"&amp;text(month(F$1),"00")&amp;"'!$A:$D"),4,false),1)))</f>
        <v>1</v>
      </c>
      <c r="G1205" s="62">
        <f t="shared" si="2409"/>
        <v>1</v>
      </c>
      <c r="H1205" s="62">
        <f t="shared" ref="H1205:Q1205" si="2410">IF(isblank(H$1),,IFERROR(vlookup($A1205,indirect("'TVC-"&amp;text(month(H$1),"00")&amp;"'!$A:$D"),4,false),1))</f>
        <v>1</v>
      </c>
      <c r="I1205" s="62">
        <f t="shared" si="2410"/>
        <v>1</v>
      </c>
      <c r="J1205" s="62">
        <f t="shared" si="2410"/>
        <v>1</v>
      </c>
      <c r="K1205" s="62">
        <f t="shared" si="2410"/>
        <v>1</v>
      </c>
      <c r="L1205" s="62">
        <f t="shared" si="2410"/>
        <v>1</v>
      </c>
      <c r="M1205" s="62">
        <f t="shared" si="2410"/>
        <v>1</v>
      </c>
      <c r="N1205" s="62">
        <f t="shared" si="2410"/>
        <v>1</v>
      </c>
      <c r="O1205" s="62">
        <f t="shared" si="2410"/>
        <v>1</v>
      </c>
      <c r="P1205" s="62" t="str">
        <f t="shared" si="2410"/>
        <v/>
      </c>
      <c r="Q1205" s="62" t="str">
        <f t="shared" si="2410"/>
        <v/>
      </c>
      <c r="R1205" s="62">
        <f t="shared" si="7"/>
        <v>0</v>
      </c>
      <c r="S1205" s="62"/>
      <c r="T1205" s="62"/>
      <c r="U1205" s="62"/>
      <c r="V1205" s="62"/>
      <c r="W1205" s="62"/>
      <c r="X1205" s="62"/>
      <c r="Y1205" s="62"/>
      <c r="Z1205" s="62"/>
      <c r="AA1205" s="62"/>
      <c r="AB1205" s="62"/>
      <c r="AC1205" s="62"/>
    </row>
    <row r="1206" hidden="1">
      <c r="A1206" s="60">
        <f>IFERROR(__xludf.DUMMYFUNCTION("""COMPUTED_VALUE"""),15461.0)</f>
        <v>15461</v>
      </c>
      <c r="B1206" s="60" t="str">
        <f>IFERROR(__xludf.DUMMYFUNCTION("""COMPUTED_VALUE"""),"Lopez, Roy")</f>
        <v>Lopez, Roy</v>
      </c>
      <c r="C1206" s="60" t="str">
        <f>IFERROR(__xludf.DUMMYFUNCTION("""COMPUTED_VALUE"""),"DT")</f>
        <v>DT</v>
      </c>
      <c r="D1206" s="60" t="str">
        <f>IFERROR(__xludf.DUMMYFUNCTION("""COMPUTED_VALUE"""),"ARI")</f>
        <v>ARI</v>
      </c>
      <c r="E1206" s="62" t="str">
        <f t="shared" si="4"/>
        <v>Roy Lopez</v>
      </c>
      <c r="F1206" s="62">
        <f t="shared" ref="F1206:G1206" si="2411">IF(isblank(F$1),,IF(isblank($A1206),,IFERROR(vlookup($A1206,indirect("'TVC-"&amp;text(month(F$1),"00")&amp;"'!$A:$D"),4,false),1)))</f>
        <v>1</v>
      </c>
      <c r="G1206" s="62">
        <f t="shared" si="2411"/>
        <v>1</v>
      </c>
      <c r="H1206" s="62">
        <f t="shared" ref="H1206:Q1206" si="2412">IF(isblank(H$1),,IFERROR(vlookup($A1206,indirect("'TVC-"&amp;text(month(H$1),"00")&amp;"'!$A:$D"),4,false),1))</f>
        <v>1</v>
      </c>
      <c r="I1206" s="62">
        <f t="shared" si="2412"/>
        <v>1</v>
      </c>
      <c r="J1206" s="62">
        <f t="shared" si="2412"/>
        <v>1</v>
      </c>
      <c r="K1206" s="62">
        <f t="shared" si="2412"/>
        <v>1</v>
      </c>
      <c r="L1206" s="62">
        <f t="shared" si="2412"/>
        <v>1</v>
      </c>
      <c r="M1206" s="62">
        <f t="shared" si="2412"/>
        <v>1</v>
      </c>
      <c r="N1206" s="62">
        <f t="shared" si="2412"/>
        <v>1</v>
      </c>
      <c r="O1206" s="62">
        <f t="shared" si="2412"/>
        <v>1</v>
      </c>
      <c r="P1206" s="62" t="str">
        <f t="shared" si="2412"/>
        <v/>
      </c>
      <c r="Q1206" s="62" t="str">
        <f t="shared" si="2412"/>
        <v/>
      </c>
      <c r="R1206" s="62">
        <f t="shared" si="7"/>
        <v>0</v>
      </c>
      <c r="S1206" s="62"/>
      <c r="T1206" s="62"/>
      <c r="U1206" s="62"/>
      <c r="V1206" s="62"/>
      <c r="W1206" s="62"/>
      <c r="X1206" s="62"/>
      <c r="Y1206" s="62"/>
      <c r="Z1206" s="62"/>
      <c r="AA1206" s="62"/>
      <c r="AB1206" s="62"/>
      <c r="AC1206" s="62"/>
    </row>
    <row r="1207" hidden="1">
      <c r="A1207" s="60">
        <f>IFERROR(__xludf.DUMMYFUNCTION("""COMPUTED_VALUE"""),15462.0)</f>
        <v>15462</v>
      </c>
      <c r="B1207" s="60" t="str">
        <f>IFERROR(__xludf.DUMMYFUNCTION("""COMPUTED_VALUE"""),"Brightwell, Gary")</f>
        <v>Brightwell, Gary</v>
      </c>
      <c r="C1207" s="60" t="str">
        <f>IFERROR(__xludf.DUMMYFUNCTION("""COMPUTED_VALUE"""),"RB")</f>
        <v>RB</v>
      </c>
      <c r="D1207" s="60" t="str">
        <f>IFERROR(__xludf.DUMMYFUNCTION("""COMPUTED_VALUE"""),"FA")</f>
        <v>FA</v>
      </c>
      <c r="E1207" s="62" t="str">
        <f t="shared" si="4"/>
        <v>Gary Brightwell</v>
      </c>
      <c r="F1207" s="62">
        <f t="shared" ref="F1207:G1207" si="2413">IF(isblank(F$1),,IF(isblank($A1207),,IFERROR(vlookup($A1207,indirect("'TVC-"&amp;text(month(F$1),"00")&amp;"'!$A:$D"),4,false),1)))</f>
        <v>1</v>
      </c>
      <c r="G1207" s="62">
        <f t="shared" si="2413"/>
        <v>1</v>
      </c>
      <c r="H1207" s="62">
        <f t="shared" ref="H1207:Q1207" si="2414">IF(isblank(H$1),,IFERROR(vlookup($A1207,indirect("'TVC-"&amp;text(month(H$1),"00")&amp;"'!$A:$D"),4,false),1))</f>
        <v>1</v>
      </c>
      <c r="I1207" s="62">
        <f t="shared" si="2414"/>
        <v>1</v>
      </c>
      <c r="J1207" s="62">
        <f t="shared" si="2414"/>
        <v>1</v>
      </c>
      <c r="K1207" s="62">
        <f t="shared" si="2414"/>
        <v>1</v>
      </c>
      <c r="L1207" s="62">
        <f t="shared" si="2414"/>
        <v>1</v>
      </c>
      <c r="M1207" s="62">
        <f t="shared" si="2414"/>
        <v>1</v>
      </c>
      <c r="N1207" s="62">
        <f t="shared" si="2414"/>
        <v>1</v>
      </c>
      <c r="O1207" s="62">
        <f t="shared" si="2414"/>
        <v>1</v>
      </c>
      <c r="P1207" s="62" t="str">
        <f t="shared" si="2414"/>
        <v/>
      </c>
      <c r="Q1207" s="62" t="str">
        <f t="shared" si="2414"/>
        <v/>
      </c>
      <c r="R1207" s="62">
        <f t="shared" si="7"/>
        <v>0</v>
      </c>
      <c r="S1207" s="62"/>
      <c r="T1207" s="62"/>
      <c r="U1207" s="62"/>
      <c r="V1207" s="62"/>
      <c r="W1207" s="62"/>
      <c r="X1207" s="62"/>
      <c r="Y1207" s="62"/>
      <c r="Z1207" s="62"/>
      <c r="AA1207" s="62"/>
      <c r="AB1207" s="62"/>
      <c r="AC1207" s="62"/>
    </row>
    <row r="1208" hidden="1">
      <c r="A1208" s="60">
        <f>IFERROR(__xludf.DUMMYFUNCTION("""COMPUTED_VALUE"""),15464.0)</f>
        <v>15464</v>
      </c>
      <c r="B1208" s="60" t="str">
        <f>IFERROR(__xludf.DUMMYFUNCTION("""COMPUTED_VALUE"""),"Echols, Brandin")</f>
        <v>Echols, Brandin</v>
      </c>
      <c r="C1208" s="60" t="str">
        <f>IFERROR(__xludf.DUMMYFUNCTION("""COMPUTED_VALUE"""),"CB")</f>
        <v>CB</v>
      </c>
      <c r="D1208" s="60" t="str">
        <f>IFERROR(__xludf.DUMMYFUNCTION("""COMPUTED_VALUE"""),"PIT")</f>
        <v>PIT</v>
      </c>
      <c r="E1208" s="62" t="str">
        <f t="shared" si="4"/>
        <v>Brandin Echols</v>
      </c>
      <c r="F1208" s="62">
        <f t="shared" ref="F1208:G1208" si="2415">IF(isblank(F$1),,IF(isblank($A1208),,IFERROR(vlookup($A1208,indirect("'TVC-"&amp;text(month(F$1),"00")&amp;"'!$A:$D"),4,false),1)))</f>
        <v>1</v>
      </c>
      <c r="G1208" s="62">
        <f t="shared" si="2415"/>
        <v>1</v>
      </c>
      <c r="H1208" s="62">
        <f t="shared" ref="H1208:Q1208" si="2416">IF(isblank(H$1),,IFERROR(vlookup($A1208,indirect("'TVC-"&amp;text(month(H$1),"00")&amp;"'!$A:$D"),4,false),1))</f>
        <v>1</v>
      </c>
      <c r="I1208" s="62">
        <f t="shared" si="2416"/>
        <v>1</v>
      </c>
      <c r="J1208" s="62">
        <f t="shared" si="2416"/>
        <v>1</v>
      </c>
      <c r="K1208" s="62">
        <f t="shared" si="2416"/>
        <v>1</v>
      </c>
      <c r="L1208" s="62">
        <f t="shared" si="2416"/>
        <v>1</v>
      </c>
      <c r="M1208" s="62">
        <f t="shared" si="2416"/>
        <v>1</v>
      </c>
      <c r="N1208" s="62">
        <f t="shared" si="2416"/>
        <v>1</v>
      </c>
      <c r="O1208" s="62">
        <f t="shared" si="2416"/>
        <v>1</v>
      </c>
      <c r="P1208" s="62" t="str">
        <f t="shared" si="2416"/>
        <v/>
      </c>
      <c r="Q1208" s="62" t="str">
        <f t="shared" si="2416"/>
        <v/>
      </c>
      <c r="R1208" s="62">
        <f t="shared" si="7"/>
        <v>0</v>
      </c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</row>
    <row r="1209" hidden="1">
      <c r="A1209" s="60">
        <f>IFERROR(__xludf.DUMMYFUNCTION("""COMPUTED_VALUE"""),15468.0)</f>
        <v>15468</v>
      </c>
      <c r="B1209" s="60" t="str">
        <f>IFERROR(__xludf.DUMMYFUNCTION("""COMPUTED_VALUE"""),"Dimukeje, Victor")</f>
        <v>Dimukeje, Victor</v>
      </c>
      <c r="C1209" s="60" t="str">
        <f>IFERROR(__xludf.DUMMYFUNCTION("""COMPUTED_VALUE"""),"DE")</f>
        <v>DE</v>
      </c>
      <c r="D1209" s="60" t="str">
        <f>IFERROR(__xludf.DUMMYFUNCTION("""COMPUTED_VALUE"""),"FA")</f>
        <v>FA</v>
      </c>
      <c r="E1209" s="62" t="str">
        <f t="shared" si="4"/>
        <v>Victor Dimukeje</v>
      </c>
      <c r="F1209" s="62">
        <f t="shared" ref="F1209:G1209" si="2417">IF(isblank(F$1),,IF(isblank($A1209),,IFERROR(vlookup($A1209,indirect("'TVC-"&amp;text(month(F$1),"00")&amp;"'!$A:$D"),4,false),1)))</f>
        <v>1</v>
      </c>
      <c r="G1209" s="62">
        <f t="shared" si="2417"/>
        <v>1</v>
      </c>
      <c r="H1209" s="62">
        <f t="shared" ref="H1209:Q1209" si="2418">IF(isblank(H$1),,IFERROR(vlookup($A1209,indirect("'TVC-"&amp;text(month(H$1),"00")&amp;"'!$A:$D"),4,false),1))</f>
        <v>1</v>
      </c>
      <c r="I1209" s="62">
        <f t="shared" si="2418"/>
        <v>1</v>
      </c>
      <c r="J1209" s="62">
        <f t="shared" si="2418"/>
        <v>1</v>
      </c>
      <c r="K1209" s="62">
        <f t="shared" si="2418"/>
        <v>1</v>
      </c>
      <c r="L1209" s="62">
        <f t="shared" si="2418"/>
        <v>1</v>
      </c>
      <c r="M1209" s="62">
        <f t="shared" si="2418"/>
        <v>1</v>
      </c>
      <c r="N1209" s="62">
        <f t="shared" si="2418"/>
        <v>1</v>
      </c>
      <c r="O1209" s="62">
        <f t="shared" si="2418"/>
        <v>1</v>
      </c>
      <c r="P1209" s="62" t="str">
        <f t="shared" si="2418"/>
        <v/>
      </c>
      <c r="Q1209" s="62" t="str">
        <f t="shared" si="2418"/>
        <v/>
      </c>
      <c r="R1209" s="62">
        <f t="shared" si="7"/>
        <v>0</v>
      </c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</row>
    <row r="1210" hidden="1">
      <c r="A1210" s="60">
        <f>IFERROR(__xludf.DUMMYFUNCTION("""COMPUTED_VALUE"""),15469.0)</f>
        <v>15469</v>
      </c>
      <c r="B1210" s="60" t="str">
        <f>IFERROR(__xludf.DUMMYFUNCTION("""COMPUTED_VALUE"""),"Hamlin, Damar")</f>
        <v>Hamlin, Damar</v>
      </c>
      <c r="C1210" s="60" t="str">
        <f>IFERROR(__xludf.DUMMYFUNCTION("""COMPUTED_VALUE"""),"S")</f>
        <v>S</v>
      </c>
      <c r="D1210" s="60" t="str">
        <f>IFERROR(__xludf.DUMMYFUNCTION("""COMPUTED_VALUE"""),"BUF")</f>
        <v>BUF</v>
      </c>
      <c r="E1210" s="62" t="str">
        <f t="shared" si="4"/>
        <v>Damar Hamlin</v>
      </c>
      <c r="F1210" s="62">
        <f t="shared" ref="F1210:G1210" si="2419">IF(isblank(F$1),,IF(isblank($A1210),,IFERROR(vlookup($A1210,indirect("'TVC-"&amp;text(month(F$1),"00")&amp;"'!$A:$D"),4,false),1)))</f>
        <v>1</v>
      </c>
      <c r="G1210" s="62">
        <f t="shared" si="2419"/>
        <v>1</v>
      </c>
      <c r="H1210" s="62">
        <f t="shared" ref="H1210:Q1210" si="2420">IF(isblank(H$1),,IFERROR(vlookup($A1210,indirect("'TVC-"&amp;text(month(H$1),"00")&amp;"'!$A:$D"),4,false),1))</f>
        <v>1</v>
      </c>
      <c r="I1210" s="62">
        <f t="shared" si="2420"/>
        <v>1</v>
      </c>
      <c r="J1210" s="62">
        <f t="shared" si="2420"/>
        <v>1</v>
      </c>
      <c r="K1210" s="62">
        <f t="shared" si="2420"/>
        <v>1</v>
      </c>
      <c r="L1210" s="62">
        <f t="shared" si="2420"/>
        <v>1</v>
      </c>
      <c r="M1210" s="62">
        <f t="shared" si="2420"/>
        <v>1</v>
      </c>
      <c r="N1210" s="62">
        <f t="shared" si="2420"/>
        <v>1</v>
      </c>
      <c r="O1210" s="62">
        <f t="shared" si="2420"/>
        <v>1</v>
      </c>
      <c r="P1210" s="62" t="str">
        <f t="shared" si="2420"/>
        <v/>
      </c>
      <c r="Q1210" s="62" t="str">
        <f t="shared" si="2420"/>
        <v/>
      </c>
      <c r="R1210" s="62">
        <f t="shared" si="7"/>
        <v>0</v>
      </c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</row>
    <row r="1211" hidden="1">
      <c r="A1211" s="60">
        <f>IFERROR(__xludf.DUMMYFUNCTION("""COMPUTED_VALUE"""),15473.0)</f>
        <v>15473</v>
      </c>
      <c r="B1211" s="60" t="str">
        <f>IFERROR(__xludf.DUMMYFUNCTION("""COMPUTED_VALUE"""),"McDuffie, Isaiah")</f>
        <v>McDuffie, Isaiah</v>
      </c>
      <c r="C1211" s="60" t="str">
        <f>IFERROR(__xludf.DUMMYFUNCTION("""COMPUTED_VALUE"""),"LB")</f>
        <v>LB</v>
      </c>
      <c r="D1211" s="60" t="str">
        <f>IFERROR(__xludf.DUMMYFUNCTION("""COMPUTED_VALUE"""),"GBP")</f>
        <v>GBP</v>
      </c>
      <c r="E1211" s="62" t="str">
        <f t="shared" si="4"/>
        <v>Isaiah McDuffie</v>
      </c>
      <c r="F1211" s="62">
        <f t="shared" ref="F1211:G1211" si="2421">IF(isblank(F$1),,IF(isblank($A1211),,IFERROR(vlookup($A1211,indirect("'TVC-"&amp;text(month(F$1),"00")&amp;"'!$A:$D"),4,false),1)))</f>
        <v>1</v>
      </c>
      <c r="G1211" s="62">
        <f t="shared" si="2421"/>
        <v>1</v>
      </c>
      <c r="H1211" s="62">
        <f t="shared" ref="H1211:Q1211" si="2422">IF(isblank(H$1),,IFERROR(vlookup($A1211,indirect("'TVC-"&amp;text(month(H$1),"00")&amp;"'!$A:$D"),4,false),1))</f>
        <v>1</v>
      </c>
      <c r="I1211" s="62">
        <f t="shared" si="2422"/>
        <v>1</v>
      </c>
      <c r="J1211" s="62">
        <f t="shared" si="2422"/>
        <v>1</v>
      </c>
      <c r="K1211" s="62">
        <f t="shared" si="2422"/>
        <v>1</v>
      </c>
      <c r="L1211" s="62">
        <f t="shared" si="2422"/>
        <v>1</v>
      </c>
      <c r="M1211" s="62">
        <f t="shared" si="2422"/>
        <v>1</v>
      </c>
      <c r="N1211" s="62">
        <f t="shared" si="2422"/>
        <v>1</v>
      </c>
      <c r="O1211" s="62">
        <f t="shared" si="2422"/>
        <v>1</v>
      </c>
      <c r="P1211" s="62" t="str">
        <f t="shared" si="2422"/>
        <v/>
      </c>
      <c r="Q1211" s="62" t="str">
        <f t="shared" si="2422"/>
        <v/>
      </c>
      <c r="R1211" s="62">
        <f t="shared" si="7"/>
        <v>0</v>
      </c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</row>
    <row r="1212" hidden="1">
      <c r="A1212" s="60">
        <f>IFERROR(__xludf.DUMMYFUNCTION("""COMPUTED_VALUE"""),15476.0)</f>
        <v>15476</v>
      </c>
      <c r="B1212" s="60" t="str">
        <f>IFERROR(__xludf.DUMMYFUNCTION("""COMPUTED_VALUE"""),"Mukuamu, Israel")</f>
        <v>Mukuamu, Israel</v>
      </c>
      <c r="C1212" s="60" t="str">
        <f>IFERROR(__xludf.DUMMYFUNCTION("""COMPUTED_VALUE"""),"S")</f>
        <v>S</v>
      </c>
      <c r="D1212" s="60" t="str">
        <f>IFERROR(__xludf.DUMMYFUNCTION("""COMPUTED_VALUE"""),"FA")</f>
        <v>FA</v>
      </c>
      <c r="E1212" s="62" t="str">
        <f t="shared" si="4"/>
        <v>Israel Mukuamu</v>
      </c>
      <c r="F1212" s="62">
        <f t="shared" ref="F1212:G1212" si="2423">IF(isblank(F$1),,IF(isblank($A1212),,IFERROR(vlookup($A1212,indirect("'TVC-"&amp;text(month(F$1),"00")&amp;"'!$A:$D"),4,false),1)))</f>
        <v>1</v>
      </c>
      <c r="G1212" s="62">
        <f t="shared" si="2423"/>
        <v>1</v>
      </c>
      <c r="H1212" s="62">
        <f t="shared" ref="H1212:Q1212" si="2424">IF(isblank(H$1),,IFERROR(vlookup($A1212,indirect("'TVC-"&amp;text(month(H$1),"00")&amp;"'!$A:$D"),4,false),1))</f>
        <v>1</v>
      </c>
      <c r="I1212" s="62">
        <f t="shared" si="2424"/>
        <v>1</v>
      </c>
      <c r="J1212" s="62">
        <f t="shared" si="2424"/>
        <v>1</v>
      </c>
      <c r="K1212" s="62">
        <f t="shared" si="2424"/>
        <v>1</v>
      </c>
      <c r="L1212" s="62">
        <f t="shared" si="2424"/>
        <v>1</v>
      </c>
      <c r="M1212" s="62">
        <f t="shared" si="2424"/>
        <v>1</v>
      </c>
      <c r="N1212" s="62">
        <f t="shared" si="2424"/>
        <v>1</v>
      </c>
      <c r="O1212" s="62">
        <f t="shared" si="2424"/>
        <v>1</v>
      </c>
      <c r="P1212" s="62" t="str">
        <f t="shared" si="2424"/>
        <v/>
      </c>
      <c r="Q1212" s="62" t="str">
        <f t="shared" si="2424"/>
        <v/>
      </c>
      <c r="R1212" s="62">
        <f t="shared" si="7"/>
        <v>0</v>
      </c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</row>
    <row r="1213" hidden="1">
      <c r="A1213" s="60">
        <f>IFERROR(__xludf.DUMMYFUNCTION("""COMPUTED_VALUE"""),15481.0)</f>
        <v>15481</v>
      </c>
      <c r="B1213" s="60" t="str">
        <f>IFERROR(__xludf.DUMMYFUNCTION("""COMPUTED_VALUE"""),"Johnson, Patrick")</f>
        <v>Johnson, Patrick</v>
      </c>
      <c r="C1213" s="60" t="str">
        <f>IFERROR(__xludf.DUMMYFUNCTION("""COMPUTED_VALUE"""),"DE")</f>
        <v>DE</v>
      </c>
      <c r="D1213" s="60" t="str">
        <f>IFERROR(__xludf.DUMMYFUNCTION("""COMPUTED_VALUE"""),"LVR")</f>
        <v>LVR</v>
      </c>
      <c r="E1213" s="62" t="str">
        <f t="shared" si="4"/>
        <v>Patrick Johnson</v>
      </c>
      <c r="F1213" s="62">
        <f t="shared" ref="F1213:G1213" si="2425">IF(isblank(F$1),,IF(isblank($A1213),,IFERROR(vlookup($A1213,indirect("'TVC-"&amp;text(month(F$1),"00")&amp;"'!$A:$D"),4,false),1)))</f>
        <v>1</v>
      </c>
      <c r="G1213" s="62">
        <f t="shared" si="2425"/>
        <v>1</v>
      </c>
      <c r="H1213" s="62">
        <f t="shared" ref="H1213:Q1213" si="2426">IF(isblank(H$1),,IFERROR(vlookup($A1213,indirect("'TVC-"&amp;text(month(H$1),"00")&amp;"'!$A:$D"),4,false),1))</f>
        <v>1</v>
      </c>
      <c r="I1213" s="62">
        <f t="shared" si="2426"/>
        <v>1</v>
      </c>
      <c r="J1213" s="62">
        <f t="shared" si="2426"/>
        <v>1</v>
      </c>
      <c r="K1213" s="62">
        <f t="shared" si="2426"/>
        <v>1</v>
      </c>
      <c r="L1213" s="62">
        <f t="shared" si="2426"/>
        <v>1</v>
      </c>
      <c r="M1213" s="62">
        <f t="shared" si="2426"/>
        <v>1</v>
      </c>
      <c r="N1213" s="62">
        <f t="shared" si="2426"/>
        <v>1</v>
      </c>
      <c r="O1213" s="62">
        <f t="shared" si="2426"/>
        <v>1</v>
      </c>
      <c r="P1213" s="62" t="str">
        <f t="shared" si="2426"/>
        <v/>
      </c>
      <c r="Q1213" s="62" t="str">
        <f t="shared" si="2426"/>
        <v/>
      </c>
      <c r="R1213" s="62">
        <f t="shared" si="7"/>
        <v>0</v>
      </c>
      <c r="S1213" s="62"/>
      <c r="T1213" s="62"/>
      <c r="U1213" s="62"/>
      <c r="V1213" s="62"/>
      <c r="W1213" s="62"/>
      <c r="X1213" s="62"/>
      <c r="Y1213" s="62"/>
      <c r="Z1213" s="62"/>
      <c r="AA1213" s="62"/>
      <c r="AB1213" s="62"/>
      <c r="AC1213" s="62"/>
    </row>
    <row r="1214" hidden="1">
      <c r="A1214" s="60">
        <f>IFERROR(__xludf.DUMMYFUNCTION("""COMPUTED_VALUE"""),15484.0)</f>
        <v>15484</v>
      </c>
      <c r="B1214" s="60" t="str">
        <f>IFERROR(__xludf.DUMMYFUNCTION("""COMPUTED_VALUE"""),"Cooper, Jonathon")</f>
        <v>Cooper, Jonathon</v>
      </c>
      <c r="C1214" s="60" t="str">
        <f>IFERROR(__xludf.DUMMYFUNCTION("""COMPUTED_VALUE"""),"DE")</f>
        <v>DE</v>
      </c>
      <c r="D1214" s="60" t="str">
        <f>IFERROR(__xludf.DUMMYFUNCTION("""COMPUTED_VALUE"""),"DEN")</f>
        <v>DEN</v>
      </c>
      <c r="E1214" s="62" t="str">
        <f t="shared" si="4"/>
        <v>Jonathon Cooper</v>
      </c>
      <c r="F1214" s="62">
        <f t="shared" ref="F1214:G1214" si="2427">IF(isblank(F$1),,IF(isblank($A1214),,IFERROR(vlookup($A1214,indirect("'TVC-"&amp;text(month(F$1),"00")&amp;"'!$A:$D"),4,false),1)))</f>
        <v>1</v>
      </c>
      <c r="G1214" s="62">
        <f t="shared" si="2427"/>
        <v>1</v>
      </c>
      <c r="H1214" s="62">
        <f t="shared" ref="H1214:Q1214" si="2428">IF(isblank(H$1),,IFERROR(vlookup($A1214,indirect("'TVC-"&amp;text(month(H$1),"00")&amp;"'!$A:$D"),4,false),1))</f>
        <v>1</v>
      </c>
      <c r="I1214" s="62">
        <f t="shared" si="2428"/>
        <v>1</v>
      </c>
      <c r="J1214" s="62">
        <f t="shared" si="2428"/>
        <v>1</v>
      </c>
      <c r="K1214" s="62">
        <f t="shared" si="2428"/>
        <v>1</v>
      </c>
      <c r="L1214" s="62">
        <f t="shared" si="2428"/>
        <v>1</v>
      </c>
      <c r="M1214" s="62">
        <f t="shared" si="2428"/>
        <v>1</v>
      </c>
      <c r="N1214" s="62">
        <f t="shared" si="2428"/>
        <v>1</v>
      </c>
      <c r="O1214" s="62">
        <f t="shared" si="2428"/>
        <v>1</v>
      </c>
      <c r="P1214" s="62" t="str">
        <f t="shared" si="2428"/>
        <v/>
      </c>
      <c r="Q1214" s="62" t="str">
        <f t="shared" si="2428"/>
        <v/>
      </c>
      <c r="R1214" s="62">
        <f t="shared" si="7"/>
        <v>0</v>
      </c>
      <c r="S1214" s="62"/>
      <c r="T1214" s="62"/>
      <c r="U1214" s="62"/>
      <c r="V1214" s="62"/>
      <c r="W1214" s="62"/>
      <c r="X1214" s="62"/>
      <c r="Y1214" s="62"/>
      <c r="Z1214" s="62"/>
      <c r="AA1214" s="62"/>
      <c r="AB1214" s="62"/>
      <c r="AC1214" s="62"/>
    </row>
    <row r="1215" hidden="1">
      <c r="A1215" s="60">
        <f>IFERROR(__xludf.DUMMYFUNCTION("""COMPUTED_VALUE"""),15491.0)</f>
        <v>15491</v>
      </c>
      <c r="B1215" s="60" t="str">
        <f>IFERROR(__xludf.DUMMYFUNCTION("""COMPUTED_VALUE"""),"Skowronek, Ben")</f>
        <v>Skowronek, Ben</v>
      </c>
      <c r="C1215" s="60" t="str">
        <f>IFERROR(__xludf.DUMMYFUNCTION("""COMPUTED_VALUE"""),"WR")</f>
        <v>WR</v>
      </c>
      <c r="D1215" s="60" t="str">
        <f>IFERROR(__xludf.DUMMYFUNCTION("""COMPUTED_VALUE"""),"PIT")</f>
        <v>PIT</v>
      </c>
      <c r="E1215" s="62" t="str">
        <f t="shared" si="4"/>
        <v>Ben Skowronek</v>
      </c>
      <c r="F1215" s="62">
        <f t="shared" ref="F1215:G1215" si="2429">IF(isblank(F$1),,IF(isblank($A1215),,IFERROR(vlookup($A1215,indirect("'TVC-"&amp;text(month(F$1),"00")&amp;"'!$A:$D"),4,false),1)))</f>
        <v>394</v>
      </c>
      <c r="G1215" s="62">
        <f t="shared" si="2429"/>
        <v>1</v>
      </c>
      <c r="H1215" s="62">
        <f t="shared" ref="H1215:Q1215" si="2430">IF(isblank(H$1),,IFERROR(vlookup($A1215,indirect("'TVC-"&amp;text(month(H$1),"00")&amp;"'!$A:$D"),4,false),1))</f>
        <v>1</v>
      </c>
      <c r="I1215" s="62">
        <f t="shared" si="2430"/>
        <v>1</v>
      </c>
      <c r="J1215" s="62">
        <f t="shared" si="2430"/>
        <v>1</v>
      </c>
      <c r="K1215" s="62">
        <f t="shared" si="2430"/>
        <v>1</v>
      </c>
      <c r="L1215" s="62">
        <f t="shared" si="2430"/>
        <v>1</v>
      </c>
      <c r="M1215" s="62">
        <f t="shared" si="2430"/>
        <v>1</v>
      </c>
      <c r="N1215" s="62">
        <f t="shared" si="2430"/>
        <v>1</v>
      </c>
      <c r="O1215" s="62">
        <f t="shared" si="2430"/>
        <v>1</v>
      </c>
      <c r="P1215" s="62" t="str">
        <f t="shared" si="2430"/>
        <v/>
      </c>
      <c r="Q1215" s="62" t="str">
        <f t="shared" si="2430"/>
        <v/>
      </c>
      <c r="R1215" s="62">
        <f t="shared" si="7"/>
        <v>0</v>
      </c>
      <c r="S1215" s="62"/>
      <c r="T1215" s="62"/>
      <c r="U1215" s="62"/>
      <c r="V1215" s="62"/>
      <c r="W1215" s="62"/>
      <c r="X1215" s="62"/>
      <c r="Y1215" s="62"/>
      <c r="Z1215" s="62"/>
      <c r="AA1215" s="62"/>
      <c r="AB1215" s="62"/>
      <c r="AC1215" s="62"/>
    </row>
    <row r="1216" hidden="1">
      <c r="A1216" s="60">
        <f>IFERROR(__xludf.DUMMYFUNCTION("""COMPUTED_VALUE"""),15492.0)</f>
        <v>15492</v>
      </c>
      <c r="B1216" s="60" t="str">
        <f>IFERROR(__xludf.DUMMYFUNCTION("""COMPUTED_VALUE"""),"Tonga, Khyiris")</f>
        <v>Tonga, Khyiris</v>
      </c>
      <c r="C1216" s="60" t="str">
        <f>IFERROR(__xludf.DUMMYFUNCTION("""COMPUTED_VALUE"""),"DT")</f>
        <v>DT</v>
      </c>
      <c r="D1216" s="60" t="str">
        <f>IFERROR(__xludf.DUMMYFUNCTION("""COMPUTED_VALUE"""),"KCC")</f>
        <v>KCC</v>
      </c>
      <c r="E1216" s="62" t="str">
        <f t="shared" si="4"/>
        <v>Khyiris Tonga</v>
      </c>
      <c r="F1216" s="62">
        <f t="shared" ref="F1216:G1216" si="2431">IF(isblank(F$1),,IF(isblank($A1216),,IFERROR(vlookup($A1216,indirect("'TVC-"&amp;text(month(F$1),"00")&amp;"'!$A:$D"),4,false),1)))</f>
        <v>1</v>
      </c>
      <c r="G1216" s="62">
        <f t="shared" si="2431"/>
        <v>1</v>
      </c>
      <c r="H1216" s="62">
        <f t="shared" ref="H1216:Q1216" si="2432">IF(isblank(H$1),,IFERROR(vlookup($A1216,indirect("'TVC-"&amp;text(month(H$1),"00")&amp;"'!$A:$D"),4,false),1))</f>
        <v>1</v>
      </c>
      <c r="I1216" s="62">
        <f t="shared" si="2432"/>
        <v>1</v>
      </c>
      <c r="J1216" s="62">
        <f t="shared" si="2432"/>
        <v>1</v>
      </c>
      <c r="K1216" s="62">
        <f t="shared" si="2432"/>
        <v>1</v>
      </c>
      <c r="L1216" s="62">
        <f t="shared" si="2432"/>
        <v>1</v>
      </c>
      <c r="M1216" s="62">
        <f t="shared" si="2432"/>
        <v>1</v>
      </c>
      <c r="N1216" s="62">
        <f t="shared" si="2432"/>
        <v>1</v>
      </c>
      <c r="O1216" s="62">
        <f t="shared" si="2432"/>
        <v>1</v>
      </c>
      <c r="P1216" s="62" t="str">
        <f t="shared" si="2432"/>
        <v/>
      </c>
      <c r="Q1216" s="62" t="str">
        <f t="shared" si="2432"/>
        <v/>
      </c>
      <c r="R1216" s="62">
        <f t="shared" si="7"/>
        <v>0</v>
      </c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  <c r="AC1216" s="62"/>
    </row>
    <row r="1217" hidden="1">
      <c r="A1217" s="60">
        <f>IFERROR(__xludf.DUMMYFUNCTION("""COMPUTED_VALUE"""),15498.0)</f>
        <v>15498</v>
      </c>
      <c r="B1217" s="60" t="str">
        <f>IFERROR(__xludf.DUMMYFUNCTION("""COMPUTED_VALUE"""),"Stuard, Grant")</f>
        <v>Stuard, Grant</v>
      </c>
      <c r="C1217" s="60" t="str">
        <f>IFERROR(__xludf.DUMMYFUNCTION("""COMPUTED_VALUE"""),"LB")</f>
        <v>LB</v>
      </c>
      <c r="D1217" s="60" t="str">
        <f>IFERROR(__xludf.DUMMYFUNCTION("""COMPUTED_VALUE"""),"LAR")</f>
        <v>LAR</v>
      </c>
      <c r="E1217" s="62" t="str">
        <f t="shared" si="4"/>
        <v>Grant Stuard</v>
      </c>
      <c r="F1217" s="62">
        <f t="shared" ref="F1217:G1217" si="2433">IF(isblank(F$1),,IF(isblank($A1217),,IFERROR(vlookup($A1217,indirect("'TVC-"&amp;text(month(F$1),"00")&amp;"'!$A:$D"),4,false),1)))</f>
        <v>1</v>
      </c>
      <c r="G1217" s="62">
        <f t="shared" si="2433"/>
        <v>1</v>
      </c>
      <c r="H1217" s="62">
        <f t="shared" ref="H1217:Q1217" si="2434">IF(isblank(H$1),,IFERROR(vlookup($A1217,indirect("'TVC-"&amp;text(month(H$1),"00")&amp;"'!$A:$D"),4,false),1))</f>
        <v>1</v>
      </c>
      <c r="I1217" s="62">
        <f t="shared" si="2434"/>
        <v>1</v>
      </c>
      <c r="J1217" s="62">
        <f t="shared" si="2434"/>
        <v>1</v>
      </c>
      <c r="K1217" s="62">
        <f t="shared" si="2434"/>
        <v>1</v>
      </c>
      <c r="L1217" s="62">
        <f t="shared" si="2434"/>
        <v>1</v>
      </c>
      <c r="M1217" s="62">
        <f t="shared" si="2434"/>
        <v>1</v>
      </c>
      <c r="N1217" s="62">
        <f t="shared" si="2434"/>
        <v>1</v>
      </c>
      <c r="O1217" s="62">
        <f t="shared" si="2434"/>
        <v>1</v>
      </c>
      <c r="P1217" s="62" t="str">
        <f t="shared" si="2434"/>
        <v/>
      </c>
      <c r="Q1217" s="62" t="str">
        <f t="shared" si="2434"/>
        <v/>
      </c>
      <c r="R1217" s="62">
        <f t="shared" si="7"/>
        <v>0</v>
      </c>
      <c r="S1217" s="62"/>
      <c r="T1217" s="62"/>
      <c r="U1217" s="62"/>
      <c r="V1217" s="62"/>
      <c r="W1217" s="62"/>
      <c r="X1217" s="62"/>
      <c r="Y1217" s="62"/>
      <c r="Z1217" s="62"/>
      <c r="AA1217" s="62"/>
      <c r="AB1217" s="62"/>
      <c r="AC1217" s="62"/>
    </row>
    <row r="1218" hidden="1">
      <c r="A1218" s="60">
        <f>IFERROR(__xludf.DUMMYFUNCTION("""COMPUTED_VALUE"""),15499.0)</f>
        <v>15499</v>
      </c>
      <c r="B1218" s="60" t="str">
        <f>IFERROR(__xludf.DUMMYFUNCTION("""COMPUTED_VALUE"""),"Gillikin, Blake")</f>
        <v>Gillikin, Blake</v>
      </c>
      <c r="C1218" s="60" t="str">
        <f>IFERROR(__xludf.DUMMYFUNCTION("""COMPUTED_VALUE"""),"PN")</f>
        <v>PN</v>
      </c>
      <c r="D1218" s="60" t="str">
        <f>IFERROR(__xludf.DUMMYFUNCTION("""COMPUTED_VALUE"""),"ARI")</f>
        <v>ARI</v>
      </c>
      <c r="E1218" s="62" t="str">
        <f t="shared" si="4"/>
        <v>Blake Gillikin</v>
      </c>
      <c r="F1218" s="62">
        <f t="shared" ref="F1218:G1218" si="2435">IF(isblank(F$1),,IF(isblank($A1218),,IFERROR(vlookup($A1218,indirect("'TVC-"&amp;text(month(F$1),"00")&amp;"'!$A:$D"),4,false),1)))</f>
        <v>1</v>
      </c>
      <c r="G1218" s="62">
        <f t="shared" si="2435"/>
        <v>1</v>
      </c>
      <c r="H1218" s="62">
        <f t="shared" ref="H1218:Q1218" si="2436">IF(isblank(H$1),,IFERROR(vlookup($A1218,indirect("'TVC-"&amp;text(month(H$1),"00")&amp;"'!$A:$D"),4,false),1))</f>
        <v>1</v>
      </c>
      <c r="I1218" s="62">
        <f t="shared" si="2436"/>
        <v>1</v>
      </c>
      <c r="J1218" s="62">
        <f t="shared" si="2436"/>
        <v>1</v>
      </c>
      <c r="K1218" s="62">
        <f t="shared" si="2436"/>
        <v>1</v>
      </c>
      <c r="L1218" s="62">
        <f t="shared" si="2436"/>
        <v>1</v>
      </c>
      <c r="M1218" s="62">
        <f t="shared" si="2436"/>
        <v>1</v>
      </c>
      <c r="N1218" s="62">
        <f t="shared" si="2436"/>
        <v>1</v>
      </c>
      <c r="O1218" s="62">
        <f t="shared" si="2436"/>
        <v>1</v>
      </c>
      <c r="P1218" s="62" t="str">
        <f t="shared" si="2436"/>
        <v/>
      </c>
      <c r="Q1218" s="62" t="str">
        <f t="shared" si="2436"/>
        <v/>
      </c>
      <c r="R1218" s="62">
        <f t="shared" si="7"/>
        <v>0</v>
      </c>
      <c r="S1218" s="62"/>
      <c r="T1218" s="62"/>
      <c r="U1218" s="62"/>
      <c r="V1218" s="62"/>
      <c r="W1218" s="62"/>
      <c r="X1218" s="62"/>
      <c r="Y1218" s="62"/>
      <c r="Z1218" s="62"/>
      <c r="AA1218" s="62"/>
      <c r="AB1218" s="62"/>
      <c r="AC1218" s="62"/>
    </row>
    <row r="1219" hidden="1">
      <c r="A1219" s="60">
        <f>IFERROR(__xludf.DUMMYFUNCTION("""COMPUTED_VALUE"""),15510.0)</f>
        <v>15510</v>
      </c>
      <c r="B1219" s="60" t="str">
        <f>IFERROR(__xludf.DUMMYFUNCTION("""COMPUTED_VALUE"""),"Washington, Ar'Darius")</f>
        <v>Washington, Ar'Darius</v>
      </c>
      <c r="C1219" s="60" t="str">
        <f>IFERROR(__xludf.DUMMYFUNCTION("""COMPUTED_VALUE"""),"S")</f>
        <v>S</v>
      </c>
      <c r="D1219" s="60" t="str">
        <f>IFERROR(__xludf.DUMMYFUNCTION("""COMPUTED_VALUE"""),"NYG")</f>
        <v>NYG</v>
      </c>
      <c r="E1219" s="62" t="str">
        <f t="shared" si="4"/>
        <v>Ar'Darius Washington</v>
      </c>
      <c r="F1219" s="62">
        <f t="shared" ref="F1219:G1219" si="2437">IF(isblank(F$1),,IF(isblank($A1219),,IFERROR(vlookup($A1219,indirect("'TVC-"&amp;text(month(F$1),"00")&amp;"'!$A:$D"),4,false),1)))</f>
        <v>1</v>
      </c>
      <c r="G1219" s="62">
        <f t="shared" si="2437"/>
        <v>1</v>
      </c>
      <c r="H1219" s="62">
        <f t="shared" ref="H1219:Q1219" si="2438">IF(isblank(H$1),,IFERROR(vlookup($A1219,indirect("'TVC-"&amp;text(month(H$1),"00")&amp;"'!$A:$D"),4,false),1))</f>
        <v>1</v>
      </c>
      <c r="I1219" s="62">
        <f t="shared" si="2438"/>
        <v>1</v>
      </c>
      <c r="J1219" s="62">
        <f t="shared" si="2438"/>
        <v>1</v>
      </c>
      <c r="K1219" s="62">
        <f t="shared" si="2438"/>
        <v>1</v>
      </c>
      <c r="L1219" s="62">
        <f t="shared" si="2438"/>
        <v>1</v>
      </c>
      <c r="M1219" s="62">
        <f t="shared" si="2438"/>
        <v>1</v>
      </c>
      <c r="N1219" s="62">
        <f t="shared" si="2438"/>
        <v>1</v>
      </c>
      <c r="O1219" s="62">
        <f t="shared" si="2438"/>
        <v>1</v>
      </c>
      <c r="P1219" s="62" t="str">
        <f t="shared" si="2438"/>
        <v/>
      </c>
      <c r="Q1219" s="62" t="str">
        <f t="shared" si="2438"/>
        <v/>
      </c>
      <c r="R1219" s="62">
        <f t="shared" si="7"/>
        <v>0</v>
      </c>
      <c r="S1219" s="62"/>
      <c r="T1219" s="62"/>
      <c r="U1219" s="62"/>
      <c r="V1219" s="62"/>
      <c r="W1219" s="62"/>
      <c r="X1219" s="62"/>
      <c r="Y1219" s="62"/>
      <c r="Z1219" s="62"/>
      <c r="AA1219" s="62"/>
      <c r="AB1219" s="62"/>
      <c r="AC1219" s="62"/>
    </row>
    <row r="1220" hidden="1">
      <c r="A1220" s="60">
        <f>IFERROR(__xludf.DUMMYFUNCTION("""COMPUTED_VALUE"""),15515.0)</f>
        <v>15515</v>
      </c>
      <c r="B1220" s="60" t="str">
        <f>IFERROR(__xludf.DUMMYFUNCTION("""COMPUTED_VALUE"""),"Snowden, Charles")</f>
        <v>Snowden, Charles</v>
      </c>
      <c r="C1220" s="60" t="str">
        <f>IFERROR(__xludf.DUMMYFUNCTION("""COMPUTED_VALUE"""),"DE")</f>
        <v>DE</v>
      </c>
      <c r="D1220" s="60" t="str">
        <f>IFERROR(__xludf.DUMMYFUNCTION("""COMPUTED_VALUE"""),"WAS")</f>
        <v>WAS</v>
      </c>
      <c r="E1220" s="62" t="str">
        <f t="shared" si="4"/>
        <v>Charles Snowden</v>
      </c>
      <c r="F1220" s="62">
        <f t="shared" ref="F1220:G1220" si="2439">IF(isblank(F$1),,IF(isblank($A1220),,IFERROR(vlookup($A1220,indirect("'TVC-"&amp;text(month(F$1),"00")&amp;"'!$A:$D"),4,false),1)))</f>
        <v>1</v>
      </c>
      <c r="G1220" s="62">
        <f t="shared" si="2439"/>
        <v>1</v>
      </c>
      <c r="H1220" s="62">
        <f t="shared" ref="H1220:Q1220" si="2440">IF(isblank(H$1),,IFERROR(vlookup($A1220,indirect("'TVC-"&amp;text(month(H$1),"00")&amp;"'!$A:$D"),4,false),1))</f>
        <v>1</v>
      </c>
      <c r="I1220" s="62">
        <f t="shared" si="2440"/>
        <v>1</v>
      </c>
      <c r="J1220" s="62">
        <f t="shared" si="2440"/>
        <v>1</v>
      </c>
      <c r="K1220" s="62">
        <f t="shared" si="2440"/>
        <v>1</v>
      </c>
      <c r="L1220" s="62">
        <f t="shared" si="2440"/>
        <v>1</v>
      </c>
      <c r="M1220" s="62">
        <f t="shared" si="2440"/>
        <v>1</v>
      </c>
      <c r="N1220" s="62">
        <f t="shared" si="2440"/>
        <v>1</v>
      </c>
      <c r="O1220" s="62">
        <f t="shared" si="2440"/>
        <v>1</v>
      </c>
      <c r="P1220" s="62" t="str">
        <f t="shared" si="2440"/>
        <v/>
      </c>
      <c r="Q1220" s="62" t="str">
        <f t="shared" si="2440"/>
        <v/>
      </c>
      <c r="R1220" s="62">
        <f t="shared" si="7"/>
        <v>0</v>
      </c>
      <c r="S1220" s="62"/>
      <c r="T1220" s="62"/>
      <c r="U1220" s="62"/>
      <c r="V1220" s="62"/>
      <c r="W1220" s="62"/>
      <c r="X1220" s="62"/>
      <c r="Y1220" s="62"/>
      <c r="Z1220" s="62"/>
      <c r="AA1220" s="62"/>
      <c r="AB1220" s="62"/>
      <c r="AC1220" s="62"/>
    </row>
    <row r="1221" hidden="1">
      <c r="A1221" s="60">
        <f>IFERROR(__xludf.DUMMYFUNCTION("""COMPUTED_VALUE"""),15521.0)</f>
        <v>15521</v>
      </c>
      <c r="B1221" s="60" t="str">
        <f>IFERROR(__xludf.DUMMYFUNCTION("""COMPUTED_VALUE"""),"Ogbongbemiga, Amen")</f>
        <v>Ogbongbemiga, Amen</v>
      </c>
      <c r="C1221" s="60" t="str">
        <f>IFERROR(__xludf.DUMMYFUNCTION("""COMPUTED_VALUE"""),"LB")</f>
        <v>LB</v>
      </c>
      <c r="D1221" s="60" t="str">
        <f>IFERROR(__xludf.DUMMYFUNCTION("""COMPUTED_VALUE"""),"DET")</f>
        <v>DET</v>
      </c>
      <c r="E1221" s="62" t="str">
        <f t="shared" si="4"/>
        <v>Amen Ogbongbemiga</v>
      </c>
      <c r="F1221" s="62">
        <f t="shared" ref="F1221:G1221" si="2441">IF(isblank(F$1),,IF(isblank($A1221),,IFERROR(vlookup($A1221,indirect("'TVC-"&amp;text(month(F$1),"00")&amp;"'!$A:$D"),4,false),1)))</f>
        <v>1</v>
      </c>
      <c r="G1221" s="62">
        <f t="shared" si="2441"/>
        <v>1</v>
      </c>
      <c r="H1221" s="62">
        <f t="shared" ref="H1221:Q1221" si="2442">IF(isblank(H$1),,IFERROR(vlookup($A1221,indirect("'TVC-"&amp;text(month(H$1),"00")&amp;"'!$A:$D"),4,false),1))</f>
        <v>1</v>
      </c>
      <c r="I1221" s="62">
        <f t="shared" si="2442"/>
        <v>1</v>
      </c>
      <c r="J1221" s="62">
        <f t="shared" si="2442"/>
        <v>1</v>
      </c>
      <c r="K1221" s="62">
        <f t="shared" si="2442"/>
        <v>1</v>
      </c>
      <c r="L1221" s="62">
        <f t="shared" si="2442"/>
        <v>1</v>
      </c>
      <c r="M1221" s="62">
        <f t="shared" si="2442"/>
        <v>1</v>
      </c>
      <c r="N1221" s="62">
        <f t="shared" si="2442"/>
        <v>1</v>
      </c>
      <c r="O1221" s="62">
        <f t="shared" si="2442"/>
        <v>1</v>
      </c>
      <c r="P1221" s="62" t="str">
        <f t="shared" si="2442"/>
        <v/>
      </c>
      <c r="Q1221" s="62" t="str">
        <f t="shared" si="2442"/>
        <v/>
      </c>
      <c r="R1221" s="62">
        <f t="shared" si="7"/>
        <v>0</v>
      </c>
      <c r="S1221" s="62"/>
      <c r="T1221" s="62"/>
      <c r="U1221" s="62"/>
      <c r="V1221" s="62"/>
      <c r="W1221" s="62"/>
      <c r="X1221" s="62"/>
      <c r="Y1221" s="62"/>
      <c r="Z1221" s="62"/>
      <c r="AA1221" s="62"/>
      <c r="AB1221" s="62"/>
      <c r="AC1221" s="62"/>
    </row>
    <row r="1222" hidden="1">
      <c r="A1222" s="60">
        <f>IFERROR(__xludf.DUMMYFUNCTION("""COMPUTED_VALUE"""),15527.0)</f>
        <v>15527</v>
      </c>
      <c r="B1222" s="60" t="str">
        <f>IFERROR(__xludf.DUMMYFUNCTION("""COMPUTED_VALUE"""),"Key, Devon")</f>
        <v>Key, Devon</v>
      </c>
      <c r="C1222" s="60" t="str">
        <f>IFERROR(__xludf.DUMMYFUNCTION("""COMPUTED_VALUE"""),"S")</f>
        <v>S</v>
      </c>
      <c r="D1222" s="60" t="str">
        <f>IFERROR(__xludf.DUMMYFUNCTION("""COMPUTED_VALUE"""),"DEN")</f>
        <v>DEN</v>
      </c>
      <c r="E1222" s="62" t="str">
        <f t="shared" si="4"/>
        <v>Devon Key</v>
      </c>
      <c r="F1222" s="62">
        <f t="shared" ref="F1222:G1222" si="2443">IF(isblank(F$1),,IF(isblank($A1222),,IFERROR(vlookup($A1222,indirect("'TVC-"&amp;text(month(F$1),"00")&amp;"'!$A:$D"),4,false),1)))</f>
        <v>1</v>
      </c>
      <c r="G1222" s="62">
        <f t="shared" si="2443"/>
        <v>1</v>
      </c>
      <c r="H1222" s="62">
        <f t="shared" ref="H1222:Q1222" si="2444">IF(isblank(H$1),,IFERROR(vlookup($A1222,indirect("'TVC-"&amp;text(month(H$1),"00")&amp;"'!$A:$D"),4,false),1))</f>
        <v>1</v>
      </c>
      <c r="I1222" s="62">
        <f t="shared" si="2444"/>
        <v>1</v>
      </c>
      <c r="J1222" s="62">
        <f t="shared" si="2444"/>
        <v>1</v>
      </c>
      <c r="K1222" s="62">
        <f t="shared" si="2444"/>
        <v>1</v>
      </c>
      <c r="L1222" s="62">
        <f t="shared" si="2444"/>
        <v>1</v>
      </c>
      <c r="M1222" s="62">
        <f t="shared" si="2444"/>
        <v>1</v>
      </c>
      <c r="N1222" s="62">
        <f t="shared" si="2444"/>
        <v>1</v>
      </c>
      <c r="O1222" s="62">
        <f t="shared" si="2444"/>
        <v>1</v>
      </c>
      <c r="P1222" s="62" t="str">
        <f t="shared" si="2444"/>
        <v/>
      </c>
      <c r="Q1222" s="62" t="str">
        <f t="shared" si="2444"/>
        <v/>
      </c>
      <c r="R1222" s="62">
        <f t="shared" si="7"/>
        <v>0</v>
      </c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</row>
    <row r="1223" hidden="1">
      <c r="A1223" s="60">
        <f>IFERROR(__xludf.DUMMYFUNCTION("""COMPUTED_VALUE"""),15535.0)</f>
        <v>15535</v>
      </c>
      <c r="B1223" s="60" t="str">
        <f>IFERROR(__xludf.DUMMYFUNCTION("""COMPUTED_VALUE"""),"Kinsey, Mason")</f>
        <v>Kinsey, Mason</v>
      </c>
      <c r="C1223" s="60" t="str">
        <f>IFERROR(__xludf.DUMMYFUNCTION("""COMPUTED_VALUE"""),"WR")</f>
        <v>WR</v>
      </c>
      <c r="D1223" s="60" t="str">
        <f>IFERROR(__xludf.DUMMYFUNCTION("""COMPUTED_VALUE"""),"FA")</f>
        <v>FA</v>
      </c>
      <c r="E1223" s="62" t="str">
        <f t="shared" si="4"/>
        <v>Mason Kinsey</v>
      </c>
      <c r="F1223" s="62">
        <f t="shared" ref="F1223:G1223" si="2445">IF(isblank(F$1),,IF(isblank($A1223),,IFERROR(vlookup($A1223,indirect("'TVC-"&amp;text(month(F$1),"00")&amp;"'!$A:$D"),4,false),1)))</f>
        <v>1</v>
      </c>
      <c r="G1223" s="62">
        <f t="shared" si="2445"/>
        <v>1</v>
      </c>
      <c r="H1223" s="62">
        <f t="shared" ref="H1223:Q1223" si="2446">IF(isblank(H$1),,IFERROR(vlookup($A1223,indirect("'TVC-"&amp;text(month(H$1),"00")&amp;"'!$A:$D"),4,false),1))</f>
        <v>1</v>
      </c>
      <c r="I1223" s="62">
        <f t="shared" si="2446"/>
        <v>1</v>
      </c>
      <c r="J1223" s="62">
        <f t="shared" si="2446"/>
        <v>1</v>
      </c>
      <c r="K1223" s="62">
        <f t="shared" si="2446"/>
        <v>1</v>
      </c>
      <c r="L1223" s="62">
        <f t="shared" si="2446"/>
        <v>1</v>
      </c>
      <c r="M1223" s="62">
        <f t="shared" si="2446"/>
        <v>1</v>
      </c>
      <c r="N1223" s="62">
        <f t="shared" si="2446"/>
        <v>1</v>
      </c>
      <c r="O1223" s="62">
        <f t="shared" si="2446"/>
        <v>1</v>
      </c>
      <c r="P1223" s="62" t="str">
        <f t="shared" si="2446"/>
        <v/>
      </c>
      <c r="Q1223" s="62" t="str">
        <f t="shared" si="2446"/>
        <v/>
      </c>
      <c r="R1223" s="62">
        <f t="shared" si="7"/>
        <v>0</v>
      </c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</row>
    <row r="1224" hidden="1">
      <c r="A1224" s="60">
        <f>IFERROR(__xludf.DUMMYFUNCTION("""COMPUTED_VALUE"""),15538.0)</f>
        <v>15538</v>
      </c>
      <c r="B1224" s="60" t="str">
        <f>IFERROR(__xludf.DUMMYFUNCTION("""COMPUTED_VALUE"""),"Rhattigan, Jon")</f>
        <v>Rhattigan, Jon</v>
      </c>
      <c r="C1224" s="60" t="str">
        <f>IFERROR(__xludf.DUMMYFUNCTION("""COMPUTED_VALUE"""),"LB")</f>
        <v>LB</v>
      </c>
      <c r="D1224" s="60" t="str">
        <f>IFERROR(__xludf.DUMMYFUNCTION("""COMPUTED_VALUE"""),"FA")</f>
        <v>FA</v>
      </c>
      <c r="E1224" s="62" t="str">
        <f t="shared" si="4"/>
        <v>Jon Rhattigan</v>
      </c>
      <c r="F1224" s="62">
        <f t="shared" ref="F1224:G1224" si="2447">IF(isblank(F$1),,IF(isblank($A1224),,IFERROR(vlookup($A1224,indirect("'TVC-"&amp;text(month(F$1),"00")&amp;"'!$A:$D"),4,false),1)))</f>
        <v>1</v>
      </c>
      <c r="G1224" s="62">
        <f t="shared" si="2447"/>
        <v>1</v>
      </c>
      <c r="H1224" s="62">
        <f t="shared" ref="H1224:Q1224" si="2448">IF(isblank(H$1),,IFERROR(vlookup($A1224,indirect("'TVC-"&amp;text(month(H$1),"00")&amp;"'!$A:$D"),4,false),1))</f>
        <v>1</v>
      </c>
      <c r="I1224" s="62">
        <f t="shared" si="2448"/>
        <v>1</v>
      </c>
      <c r="J1224" s="62">
        <f t="shared" si="2448"/>
        <v>1</v>
      </c>
      <c r="K1224" s="62">
        <f t="shared" si="2448"/>
        <v>1</v>
      </c>
      <c r="L1224" s="62">
        <f t="shared" si="2448"/>
        <v>1</v>
      </c>
      <c r="M1224" s="62">
        <f t="shared" si="2448"/>
        <v>1</v>
      </c>
      <c r="N1224" s="62">
        <f t="shared" si="2448"/>
        <v>1</v>
      </c>
      <c r="O1224" s="62">
        <f t="shared" si="2448"/>
        <v>1</v>
      </c>
      <c r="P1224" s="62" t="str">
        <f t="shared" si="2448"/>
        <v/>
      </c>
      <c r="Q1224" s="62" t="str">
        <f t="shared" si="2448"/>
        <v/>
      </c>
      <c r="R1224" s="62">
        <f t="shared" si="7"/>
        <v>0</v>
      </c>
      <c r="S1224" s="62"/>
      <c r="T1224" s="62"/>
      <c r="U1224" s="62"/>
      <c r="V1224" s="62"/>
      <c r="W1224" s="62"/>
      <c r="X1224" s="62"/>
      <c r="Y1224" s="62"/>
      <c r="Z1224" s="62"/>
      <c r="AA1224" s="62"/>
      <c r="AB1224" s="62"/>
      <c r="AC1224" s="62"/>
    </row>
    <row r="1225" hidden="1">
      <c r="A1225" s="60">
        <f>IFERROR(__xludf.DUMMYFUNCTION("""COMPUTED_VALUE"""),15541.0)</f>
        <v>15541</v>
      </c>
      <c r="B1225" s="60" t="str">
        <f>IFERROR(__xludf.DUMMYFUNCTION("""COMPUTED_VALUE"""),"Stoll, Jack")</f>
        <v>Stoll, Jack</v>
      </c>
      <c r="C1225" s="60" t="str">
        <f>IFERROR(__xludf.DUMMYFUNCTION("""COMPUTED_VALUE"""),"TE")</f>
        <v>TE</v>
      </c>
      <c r="D1225" s="60" t="str">
        <f>IFERROR(__xludf.DUMMYFUNCTION("""COMPUTED_VALUE"""),"SFO")</f>
        <v>SFO</v>
      </c>
      <c r="E1225" s="62" t="str">
        <f t="shared" si="4"/>
        <v>Jack Stoll</v>
      </c>
      <c r="F1225" s="62">
        <f t="shared" ref="F1225:G1225" si="2449">IF(isblank(F$1),,IF(isblank($A1225),,IFERROR(vlookup($A1225,indirect("'TVC-"&amp;text(month(F$1),"00")&amp;"'!$A:$D"),4,false),1)))</f>
        <v>1</v>
      </c>
      <c r="G1225" s="62">
        <f t="shared" si="2449"/>
        <v>1</v>
      </c>
      <c r="H1225" s="62">
        <f t="shared" ref="H1225:Q1225" si="2450">IF(isblank(H$1),,IFERROR(vlookup($A1225,indirect("'TVC-"&amp;text(month(H$1),"00")&amp;"'!$A:$D"),4,false),1))</f>
        <v>1</v>
      </c>
      <c r="I1225" s="62">
        <f t="shared" si="2450"/>
        <v>1</v>
      </c>
      <c r="J1225" s="62">
        <f t="shared" si="2450"/>
        <v>1</v>
      </c>
      <c r="K1225" s="62">
        <f t="shared" si="2450"/>
        <v>1</v>
      </c>
      <c r="L1225" s="62">
        <f t="shared" si="2450"/>
        <v>1</v>
      </c>
      <c r="M1225" s="62">
        <f t="shared" si="2450"/>
        <v>1</v>
      </c>
      <c r="N1225" s="62">
        <f t="shared" si="2450"/>
        <v>1</v>
      </c>
      <c r="O1225" s="62">
        <f t="shared" si="2450"/>
        <v>1</v>
      </c>
      <c r="P1225" s="62" t="str">
        <f t="shared" si="2450"/>
        <v/>
      </c>
      <c r="Q1225" s="62" t="str">
        <f t="shared" si="2450"/>
        <v/>
      </c>
      <c r="R1225" s="62">
        <f t="shared" si="7"/>
        <v>0</v>
      </c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</row>
    <row r="1226" hidden="1">
      <c r="A1226" s="60">
        <f>IFERROR(__xludf.DUMMYFUNCTION("""COMPUTED_VALUE"""),15559.0)</f>
        <v>15559</v>
      </c>
      <c r="B1226" s="60" t="str">
        <f>IFERROR(__xludf.DUMMYFUNCTION("""COMPUTED_VALUE"""),"Williams, Jonah")</f>
        <v>Williams, Jonah</v>
      </c>
      <c r="C1226" s="60" t="str">
        <f>IFERROR(__xludf.DUMMYFUNCTION("""COMPUTED_VALUE"""),"DT")</f>
        <v>DT</v>
      </c>
      <c r="D1226" s="60" t="str">
        <f>IFERROR(__xludf.DUMMYFUNCTION("""COMPUTED_VALUE"""),"NOS")</f>
        <v>NOS</v>
      </c>
      <c r="E1226" s="62" t="str">
        <f t="shared" si="4"/>
        <v>Jonah Williams</v>
      </c>
      <c r="F1226" s="62">
        <f t="shared" ref="F1226:G1226" si="2451">IF(isblank(F$1),,IF(isblank($A1226),,IFERROR(vlookup($A1226,indirect("'TVC-"&amp;text(month(F$1),"00")&amp;"'!$A:$D"),4,false),1)))</f>
        <v>1</v>
      </c>
      <c r="G1226" s="62">
        <f t="shared" si="2451"/>
        <v>1</v>
      </c>
      <c r="H1226" s="62">
        <f t="shared" ref="H1226:Q1226" si="2452">IF(isblank(H$1),,IFERROR(vlookup($A1226,indirect("'TVC-"&amp;text(month(H$1),"00")&amp;"'!$A:$D"),4,false),1))</f>
        <v>1</v>
      </c>
      <c r="I1226" s="62">
        <f t="shared" si="2452"/>
        <v>1</v>
      </c>
      <c r="J1226" s="62">
        <f t="shared" si="2452"/>
        <v>1</v>
      </c>
      <c r="K1226" s="62">
        <f t="shared" si="2452"/>
        <v>1</v>
      </c>
      <c r="L1226" s="62">
        <f t="shared" si="2452"/>
        <v>1</v>
      </c>
      <c r="M1226" s="62">
        <f t="shared" si="2452"/>
        <v>1</v>
      </c>
      <c r="N1226" s="62">
        <f t="shared" si="2452"/>
        <v>1</v>
      </c>
      <c r="O1226" s="62">
        <f t="shared" si="2452"/>
        <v>1</v>
      </c>
      <c r="P1226" s="62" t="str">
        <f t="shared" si="2452"/>
        <v/>
      </c>
      <c r="Q1226" s="62" t="str">
        <f t="shared" si="2452"/>
        <v/>
      </c>
      <c r="R1226" s="62">
        <f t="shared" si="7"/>
        <v>0</v>
      </c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</row>
    <row r="1227" hidden="1">
      <c r="A1227" s="60">
        <f>IFERROR(__xludf.DUMMYFUNCTION("""COMPUTED_VALUE"""),15565.0)</f>
        <v>15565</v>
      </c>
      <c r="B1227" s="60" t="str">
        <f>IFERROR(__xludf.DUMMYFUNCTION("""COMPUTED_VALUE"""),"Hoecht, Michael")</f>
        <v>Hoecht, Michael</v>
      </c>
      <c r="C1227" s="60" t="str">
        <f>IFERROR(__xludf.DUMMYFUNCTION("""COMPUTED_VALUE"""),"DE")</f>
        <v>DE</v>
      </c>
      <c r="D1227" s="60" t="str">
        <f>IFERROR(__xludf.DUMMYFUNCTION("""COMPUTED_VALUE"""),"BUF")</f>
        <v>BUF</v>
      </c>
      <c r="E1227" s="62" t="str">
        <f t="shared" si="4"/>
        <v>Michael Hoecht</v>
      </c>
      <c r="F1227" s="62">
        <f t="shared" ref="F1227:G1227" si="2453">IF(isblank(F$1),,IF(isblank($A1227),,IFERROR(vlookup($A1227,indirect("'TVC-"&amp;text(month(F$1),"00")&amp;"'!$A:$D"),4,false),1)))</f>
        <v>1</v>
      </c>
      <c r="G1227" s="62">
        <f t="shared" si="2453"/>
        <v>1</v>
      </c>
      <c r="H1227" s="62">
        <f t="shared" ref="H1227:Q1227" si="2454">IF(isblank(H$1),,IFERROR(vlookup($A1227,indirect("'TVC-"&amp;text(month(H$1),"00")&amp;"'!$A:$D"),4,false),1))</f>
        <v>1</v>
      </c>
      <c r="I1227" s="62">
        <f t="shared" si="2454"/>
        <v>1</v>
      </c>
      <c r="J1227" s="62">
        <f t="shared" si="2454"/>
        <v>1</v>
      </c>
      <c r="K1227" s="62">
        <f t="shared" si="2454"/>
        <v>1</v>
      </c>
      <c r="L1227" s="62">
        <f t="shared" si="2454"/>
        <v>1</v>
      </c>
      <c r="M1227" s="62">
        <f t="shared" si="2454"/>
        <v>1</v>
      </c>
      <c r="N1227" s="62">
        <f t="shared" si="2454"/>
        <v>1</v>
      </c>
      <c r="O1227" s="62">
        <f t="shared" si="2454"/>
        <v>1</v>
      </c>
      <c r="P1227" s="62" t="str">
        <f t="shared" si="2454"/>
        <v/>
      </c>
      <c r="Q1227" s="62" t="str">
        <f t="shared" si="2454"/>
        <v/>
      </c>
      <c r="R1227" s="62">
        <f t="shared" si="7"/>
        <v>0</v>
      </c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</row>
    <row r="1228">
      <c r="A1228" s="60">
        <f>IFERROR(__xludf.DUMMYFUNCTION("""COMPUTED_VALUE"""),15585.0)</f>
        <v>15585</v>
      </c>
      <c r="B1228" s="60" t="str">
        <f>IFERROR(__xludf.DUMMYFUNCTION("""COMPUTED_VALUE"""),"Williams, Chris")</f>
        <v>Williams, Chris</v>
      </c>
      <c r="C1228" s="60" t="str">
        <f>IFERROR(__xludf.DUMMYFUNCTION("""COMPUTED_VALUE"""),"DT")</f>
        <v>DT</v>
      </c>
      <c r="D1228" s="60" t="str">
        <f>IFERROR(__xludf.DUMMYFUNCTION("""COMPUTED_VALUE"""),"CLE")</f>
        <v>CLE</v>
      </c>
      <c r="E1228" s="62" t="str">
        <f t="shared" si="4"/>
        <v>Chris Williams</v>
      </c>
      <c r="F1228" s="62">
        <f t="shared" ref="F1228:G1228" si="2455">IF(isblank(F$1),,IF(isblank($A1228),,IFERROR(vlookup($A1228,indirect("'TVC-"&amp;text(month(F$1),"00")&amp;"'!$A:$D"),4,false),1)))</f>
        <v>1</v>
      </c>
      <c r="G1228" s="62">
        <f t="shared" si="2455"/>
        <v>1</v>
      </c>
      <c r="H1228" s="62">
        <f t="shared" ref="H1228:Q1228" si="2456">IF(isblank(H$1),,IFERROR(vlookup($A1228,indirect("'TVC-"&amp;text(month(H$1),"00")&amp;"'!$A:$D"),4,false),1))</f>
        <v>1</v>
      </c>
      <c r="I1228" s="62">
        <f t="shared" si="2456"/>
        <v>1</v>
      </c>
      <c r="J1228" s="62">
        <f t="shared" si="2456"/>
        <v>1</v>
      </c>
      <c r="K1228" s="62">
        <f t="shared" si="2456"/>
        <v>1</v>
      </c>
      <c r="L1228" s="62">
        <f t="shared" si="2456"/>
        <v>1</v>
      </c>
      <c r="M1228" s="62">
        <f t="shared" si="2456"/>
        <v>1</v>
      </c>
      <c r="N1228" s="62">
        <f t="shared" si="2456"/>
        <v>1</v>
      </c>
      <c r="O1228" s="62">
        <f t="shared" si="2456"/>
        <v>1</v>
      </c>
      <c r="P1228" s="62" t="str">
        <f t="shared" si="2456"/>
        <v/>
      </c>
      <c r="Q1228" s="62" t="str">
        <f t="shared" si="2456"/>
        <v/>
      </c>
      <c r="R1228" s="62">
        <f t="shared" si="7"/>
        <v>0</v>
      </c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</row>
    <row r="1229" hidden="1">
      <c r="A1229" s="60">
        <f>IFERROR(__xludf.DUMMYFUNCTION("""COMPUTED_VALUE"""),15586.0)</f>
        <v>15586</v>
      </c>
      <c r="B1229" s="60" t="str">
        <f>IFERROR(__xludf.DUMMYFUNCTION("""COMPUTED_VALUE"""),"Johnson, Caleb")</f>
        <v>Johnson, Caleb</v>
      </c>
      <c r="C1229" s="60" t="str">
        <f>IFERROR(__xludf.DUMMYFUNCTION("""COMPUTED_VALUE"""),"LB")</f>
        <v>LB</v>
      </c>
      <c r="D1229" s="60" t="str">
        <f>IFERROR(__xludf.DUMMYFUNCTION("""COMPUTED_VALUE"""),"HOU")</f>
        <v>HOU</v>
      </c>
      <c r="E1229" s="62" t="str">
        <f t="shared" si="4"/>
        <v>Caleb Johnson</v>
      </c>
      <c r="F1229" s="62">
        <f t="shared" ref="F1229:G1229" si="2457">IF(isblank(F$1),,IF(isblank($A1229),,IFERROR(vlookup($A1229,indirect("'TVC-"&amp;text(month(F$1),"00")&amp;"'!$A:$D"),4,false),1)))</f>
        <v>1</v>
      </c>
      <c r="G1229" s="62">
        <f t="shared" si="2457"/>
        <v>1</v>
      </c>
      <c r="H1229" s="62">
        <f t="shared" ref="H1229:Q1229" si="2458">IF(isblank(H$1),,IFERROR(vlookup($A1229,indirect("'TVC-"&amp;text(month(H$1),"00")&amp;"'!$A:$D"),4,false),1))</f>
        <v>1</v>
      </c>
      <c r="I1229" s="62">
        <f t="shared" si="2458"/>
        <v>1</v>
      </c>
      <c r="J1229" s="62">
        <f t="shared" si="2458"/>
        <v>1</v>
      </c>
      <c r="K1229" s="62">
        <f t="shared" si="2458"/>
        <v>1</v>
      </c>
      <c r="L1229" s="62">
        <f t="shared" si="2458"/>
        <v>1</v>
      </c>
      <c r="M1229" s="62">
        <f t="shared" si="2458"/>
        <v>1</v>
      </c>
      <c r="N1229" s="62">
        <f t="shared" si="2458"/>
        <v>1</v>
      </c>
      <c r="O1229" s="62">
        <f t="shared" si="2458"/>
        <v>1</v>
      </c>
      <c r="P1229" s="62" t="str">
        <f t="shared" si="2458"/>
        <v/>
      </c>
      <c r="Q1229" s="62" t="str">
        <f t="shared" si="2458"/>
        <v/>
      </c>
      <c r="R1229" s="62">
        <f t="shared" si="7"/>
        <v>0</v>
      </c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</row>
    <row r="1230" hidden="1">
      <c r="A1230" s="60">
        <f>IFERROR(__xludf.DUMMYFUNCTION("""COMPUTED_VALUE"""),15589.0)</f>
        <v>15589</v>
      </c>
      <c r="B1230" s="60" t="str">
        <f>IFERROR(__xludf.DUMMYFUNCTION("""COMPUTED_VALUE"""),"White, Cody")</f>
        <v>White, Cody</v>
      </c>
      <c r="C1230" s="60" t="str">
        <f>IFERROR(__xludf.DUMMYFUNCTION("""COMPUTED_VALUE"""),"WR")</f>
        <v>WR</v>
      </c>
      <c r="D1230" s="60" t="str">
        <f>IFERROR(__xludf.DUMMYFUNCTION("""COMPUTED_VALUE"""),"LVR")</f>
        <v>LVR</v>
      </c>
      <c r="E1230" s="62" t="str">
        <f t="shared" si="4"/>
        <v>Cody White</v>
      </c>
      <c r="F1230" s="62">
        <f t="shared" ref="F1230:G1230" si="2459">IF(isblank(F$1),,IF(isblank($A1230),,IFERROR(vlookup($A1230,indirect("'TVC-"&amp;text(month(F$1),"00")&amp;"'!$A:$D"),4,false),1)))</f>
        <v>1</v>
      </c>
      <c r="G1230" s="62">
        <f t="shared" si="2459"/>
        <v>1</v>
      </c>
      <c r="H1230" s="62">
        <f t="shared" ref="H1230:Q1230" si="2460">IF(isblank(H$1),,IFERROR(vlookup($A1230,indirect("'TVC-"&amp;text(month(H$1),"00")&amp;"'!$A:$D"),4,false),1))</f>
        <v>1</v>
      </c>
      <c r="I1230" s="62">
        <f t="shared" si="2460"/>
        <v>1</v>
      </c>
      <c r="J1230" s="62">
        <f t="shared" si="2460"/>
        <v>1</v>
      </c>
      <c r="K1230" s="62">
        <f t="shared" si="2460"/>
        <v>1</v>
      </c>
      <c r="L1230" s="62">
        <f t="shared" si="2460"/>
        <v>1</v>
      </c>
      <c r="M1230" s="62">
        <f t="shared" si="2460"/>
        <v>1</v>
      </c>
      <c r="N1230" s="62">
        <f t="shared" si="2460"/>
        <v>1</v>
      </c>
      <c r="O1230" s="62">
        <f t="shared" si="2460"/>
        <v>1</v>
      </c>
      <c r="P1230" s="62" t="str">
        <f t="shared" si="2460"/>
        <v/>
      </c>
      <c r="Q1230" s="62" t="str">
        <f t="shared" si="2460"/>
        <v/>
      </c>
      <c r="R1230" s="62">
        <f t="shared" si="7"/>
        <v>0</v>
      </c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</row>
    <row r="1231" hidden="1">
      <c r="A1231" s="60">
        <f>IFERROR(__xludf.DUMMYFUNCTION("""COMPUTED_VALUE"""),15595.0)</f>
        <v>15595</v>
      </c>
      <c r="B1231" s="60" t="str">
        <f>IFERROR(__xludf.DUMMYFUNCTION("""COMPUTED_VALUE"""),"Campbell, Elijah")</f>
        <v>Campbell, Elijah</v>
      </c>
      <c r="C1231" s="60" t="str">
        <f>IFERROR(__xludf.DUMMYFUNCTION("""COMPUTED_VALUE"""),"S")</f>
        <v>S</v>
      </c>
      <c r="D1231" s="60" t="str">
        <f>IFERROR(__xludf.DUMMYFUNCTION("""COMPUTED_VALUE"""),"NYG")</f>
        <v>NYG</v>
      </c>
      <c r="E1231" s="62" t="str">
        <f t="shared" si="4"/>
        <v>Elijah Campbell</v>
      </c>
      <c r="F1231" s="62">
        <f t="shared" ref="F1231:G1231" si="2461">IF(isblank(F$1),,IF(isblank($A1231),,IFERROR(vlookup($A1231,indirect("'TVC-"&amp;text(month(F$1),"00")&amp;"'!$A:$D"),4,false),1)))</f>
        <v>1</v>
      </c>
      <c r="G1231" s="62">
        <f t="shared" si="2461"/>
        <v>1</v>
      </c>
      <c r="H1231" s="62">
        <f t="shared" ref="H1231:Q1231" si="2462">IF(isblank(H$1),,IFERROR(vlookup($A1231,indirect("'TVC-"&amp;text(month(H$1),"00")&amp;"'!$A:$D"),4,false),1))</f>
        <v>1</v>
      </c>
      <c r="I1231" s="62">
        <f t="shared" si="2462"/>
        <v>1</v>
      </c>
      <c r="J1231" s="62">
        <f t="shared" si="2462"/>
        <v>1</v>
      </c>
      <c r="K1231" s="62">
        <f t="shared" si="2462"/>
        <v>1</v>
      </c>
      <c r="L1231" s="62">
        <f t="shared" si="2462"/>
        <v>1</v>
      </c>
      <c r="M1231" s="62">
        <f t="shared" si="2462"/>
        <v>1</v>
      </c>
      <c r="N1231" s="62">
        <f t="shared" si="2462"/>
        <v>1</v>
      </c>
      <c r="O1231" s="62">
        <f t="shared" si="2462"/>
        <v>1</v>
      </c>
      <c r="P1231" s="62" t="str">
        <f t="shared" si="2462"/>
        <v/>
      </c>
      <c r="Q1231" s="62" t="str">
        <f t="shared" si="2462"/>
        <v/>
      </c>
      <c r="R1231" s="62">
        <f t="shared" si="7"/>
        <v>0</v>
      </c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</row>
    <row r="1232" hidden="1">
      <c r="A1232" s="60">
        <f>IFERROR(__xludf.DUMMYFUNCTION("""COMPUTED_VALUE"""),15604.0)</f>
        <v>15604</v>
      </c>
      <c r="B1232" s="60" t="str">
        <f>IFERROR(__xludf.DUMMYFUNCTION("""COMPUTED_VALUE"""),"Zylstra, Shane")</f>
        <v>Zylstra, Shane</v>
      </c>
      <c r="C1232" s="60" t="str">
        <f>IFERROR(__xludf.DUMMYFUNCTION("""COMPUTED_VALUE"""),"TE")</f>
        <v>TE</v>
      </c>
      <c r="D1232" s="60" t="str">
        <f>IFERROR(__xludf.DUMMYFUNCTION("""COMPUTED_VALUE"""),"NEP")</f>
        <v>NEP</v>
      </c>
      <c r="E1232" s="62" t="str">
        <f t="shared" si="4"/>
        <v>Shane Zylstra</v>
      </c>
      <c r="F1232" s="62">
        <f t="shared" ref="F1232:G1232" si="2463">IF(isblank(F$1),,IF(isblank($A1232),,IFERROR(vlookup($A1232,indirect("'TVC-"&amp;text(month(F$1),"00")&amp;"'!$A:$D"),4,false),1)))</f>
        <v>1</v>
      </c>
      <c r="G1232" s="62">
        <f t="shared" si="2463"/>
        <v>1</v>
      </c>
      <c r="H1232" s="62">
        <f t="shared" ref="H1232:Q1232" si="2464">IF(isblank(H$1),,IFERROR(vlookup($A1232,indirect("'TVC-"&amp;text(month(H$1),"00")&amp;"'!$A:$D"),4,false),1))</f>
        <v>1</v>
      </c>
      <c r="I1232" s="62">
        <f t="shared" si="2464"/>
        <v>1</v>
      </c>
      <c r="J1232" s="62">
        <f t="shared" si="2464"/>
        <v>1</v>
      </c>
      <c r="K1232" s="62">
        <f t="shared" si="2464"/>
        <v>1</v>
      </c>
      <c r="L1232" s="62">
        <f t="shared" si="2464"/>
        <v>1</v>
      </c>
      <c r="M1232" s="62">
        <f t="shared" si="2464"/>
        <v>1</v>
      </c>
      <c r="N1232" s="62">
        <f t="shared" si="2464"/>
        <v>1</v>
      </c>
      <c r="O1232" s="62">
        <f t="shared" si="2464"/>
        <v>1</v>
      </c>
      <c r="P1232" s="62" t="str">
        <f t="shared" si="2464"/>
        <v/>
      </c>
      <c r="Q1232" s="62" t="str">
        <f t="shared" si="2464"/>
        <v/>
      </c>
      <c r="R1232" s="62">
        <f t="shared" si="7"/>
        <v>0</v>
      </c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</row>
    <row r="1233" hidden="1">
      <c r="A1233" s="60">
        <f>IFERROR(__xludf.DUMMYFUNCTION("""COMPUTED_VALUE"""),15612.0)</f>
        <v>15612</v>
      </c>
      <c r="B1233" s="60" t="str">
        <f>IFERROR(__xludf.DUMMYFUNCTION("""COMPUTED_VALUE"""),"Kamara, Sam")</f>
        <v>Kamara, Sam</v>
      </c>
      <c r="C1233" s="60" t="str">
        <f>IFERROR(__xludf.DUMMYFUNCTION("""COMPUTED_VALUE"""),"DT")</f>
        <v>DT</v>
      </c>
      <c r="D1233" s="60" t="str">
        <f>IFERROR(__xludf.DUMMYFUNCTION("""COMPUTED_VALUE"""),"CLE")</f>
        <v>CLE</v>
      </c>
      <c r="E1233" s="62" t="str">
        <f t="shared" si="4"/>
        <v>Sam Kamara</v>
      </c>
      <c r="F1233" s="62">
        <f t="shared" ref="F1233:G1233" si="2465">IF(isblank(F$1),,IF(isblank($A1233),,IFERROR(vlookup($A1233,indirect("'TVC-"&amp;text(month(F$1),"00")&amp;"'!$A:$D"),4,false),1)))</f>
        <v>1</v>
      </c>
      <c r="G1233" s="62">
        <f t="shared" si="2465"/>
        <v>1</v>
      </c>
      <c r="H1233" s="62">
        <f t="shared" ref="H1233:Q1233" si="2466">IF(isblank(H$1),,IFERROR(vlookup($A1233,indirect("'TVC-"&amp;text(month(H$1),"00")&amp;"'!$A:$D"),4,false),1))</f>
        <v>1</v>
      </c>
      <c r="I1233" s="62">
        <f t="shared" si="2466"/>
        <v>1</v>
      </c>
      <c r="J1233" s="62">
        <f t="shared" si="2466"/>
        <v>1</v>
      </c>
      <c r="K1233" s="62">
        <f t="shared" si="2466"/>
        <v>1</v>
      </c>
      <c r="L1233" s="62">
        <f t="shared" si="2466"/>
        <v>1</v>
      </c>
      <c r="M1233" s="62">
        <f t="shared" si="2466"/>
        <v>1</v>
      </c>
      <c r="N1233" s="62">
        <f t="shared" si="2466"/>
        <v>1</v>
      </c>
      <c r="O1233" s="62">
        <f t="shared" si="2466"/>
        <v>1</v>
      </c>
      <c r="P1233" s="62" t="str">
        <f t="shared" si="2466"/>
        <v/>
      </c>
      <c r="Q1233" s="62" t="str">
        <f t="shared" si="2466"/>
        <v/>
      </c>
      <c r="R1233" s="62">
        <f t="shared" si="7"/>
        <v>0</v>
      </c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</row>
    <row r="1234">
      <c r="A1234" s="60">
        <f>IFERROR(__xludf.DUMMYFUNCTION("""COMPUTED_VALUE"""),15614.0)</f>
        <v>15614</v>
      </c>
      <c r="B1234" s="60" t="str">
        <f>IFERROR(__xludf.DUMMYFUNCTION("""COMPUTED_VALUE"""),"McCloud, Nick")</f>
        <v>McCloud, Nick</v>
      </c>
      <c r="C1234" s="60" t="str">
        <f>IFERROR(__xludf.DUMMYFUNCTION("""COMPUTED_VALUE"""),"CB")</f>
        <v>CB</v>
      </c>
      <c r="D1234" s="60" t="str">
        <f>IFERROR(__xludf.DUMMYFUNCTION("""COMPUTED_VALUE"""),"CHI")</f>
        <v>CHI</v>
      </c>
      <c r="E1234" s="62" t="str">
        <f t="shared" si="4"/>
        <v>Nick McCloud</v>
      </c>
      <c r="F1234" s="62">
        <f t="shared" ref="F1234:G1234" si="2467">IF(isblank(F$1),,IF(isblank($A1234),,IFERROR(vlookup($A1234,indirect("'TVC-"&amp;text(month(F$1),"00")&amp;"'!$A:$D"),4,false),1)))</f>
        <v>1</v>
      </c>
      <c r="G1234" s="62">
        <f t="shared" si="2467"/>
        <v>1</v>
      </c>
      <c r="H1234" s="62">
        <f t="shared" ref="H1234:Q1234" si="2468">IF(isblank(H$1),,IFERROR(vlookup($A1234,indirect("'TVC-"&amp;text(month(H$1),"00")&amp;"'!$A:$D"),4,false),1))</f>
        <v>1</v>
      </c>
      <c r="I1234" s="62">
        <f t="shared" si="2468"/>
        <v>1</v>
      </c>
      <c r="J1234" s="62">
        <f t="shared" si="2468"/>
        <v>1</v>
      </c>
      <c r="K1234" s="62">
        <f t="shared" si="2468"/>
        <v>1</v>
      </c>
      <c r="L1234" s="62">
        <f t="shared" si="2468"/>
        <v>1</v>
      </c>
      <c r="M1234" s="62">
        <f t="shared" si="2468"/>
        <v>1</v>
      </c>
      <c r="N1234" s="62">
        <f t="shared" si="2468"/>
        <v>1</v>
      </c>
      <c r="O1234" s="62">
        <f t="shared" si="2468"/>
        <v>1</v>
      </c>
      <c r="P1234" s="62" t="str">
        <f t="shared" si="2468"/>
        <v/>
      </c>
      <c r="Q1234" s="62" t="str">
        <f t="shared" si="2468"/>
        <v/>
      </c>
      <c r="R1234" s="62">
        <f t="shared" si="7"/>
        <v>0</v>
      </c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</row>
    <row r="1235">
      <c r="A1235" s="60">
        <f>IFERROR(__xludf.DUMMYFUNCTION("""COMPUTED_VALUE"""),15618.0)</f>
        <v>15618</v>
      </c>
      <c r="B1235" s="60" t="str">
        <f>IFERROR(__xludf.DUMMYFUNCTION("""COMPUTED_VALUE"""),"Jones, Naquan")</f>
        <v>Jones, Naquan</v>
      </c>
      <c r="C1235" s="60" t="str">
        <f>IFERROR(__xludf.DUMMYFUNCTION("""COMPUTED_VALUE"""),"DT")</f>
        <v>DT</v>
      </c>
      <c r="D1235" s="60" t="str">
        <f>IFERROR(__xludf.DUMMYFUNCTION("""COMPUTED_VALUE"""),"SFO")</f>
        <v>SFO</v>
      </c>
      <c r="E1235" s="62" t="str">
        <f t="shared" si="4"/>
        <v>Naquan Jones</v>
      </c>
      <c r="F1235" s="62">
        <f t="shared" ref="F1235:G1235" si="2469">IF(isblank(F$1),,IF(isblank($A1235),,IFERROR(vlookup($A1235,indirect("'TVC-"&amp;text(month(F$1),"00")&amp;"'!$A:$D"),4,false),1)))</f>
        <v>1</v>
      </c>
      <c r="G1235" s="62">
        <f t="shared" si="2469"/>
        <v>1</v>
      </c>
      <c r="H1235" s="62">
        <f t="shared" ref="H1235:Q1235" si="2470">IF(isblank(H$1),,IFERROR(vlookup($A1235,indirect("'TVC-"&amp;text(month(H$1),"00")&amp;"'!$A:$D"),4,false),1))</f>
        <v>1</v>
      </c>
      <c r="I1235" s="62">
        <f t="shared" si="2470"/>
        <v>1</v>
      </c>
      <c r="J1235" s="62">
        <f t="shared" si="2470"/>
        <v>1</v>
      </c>
      <c r="K1235" s="62">
        <f t="shared" si="2470"/>
        <v>1</v>
      </c>
      <c r="L1235" s="62">
        <f t="shared" si="2470"/>
        <v>1</v>
      </c>
      <c r="M1235" s="62">
        <f t="shared" si="2470"/>
        <v>1</v>
      </c>
      <c r="N1235" s="62">
        <f t="shared" si="2470"/>
        <v>1</v>
      </c>
      <c r="O1235" s="62">
        <f t="shared" si="2470"/>
        <v>1</v>
      </c>
      <c r="P1235" s="62" t="str">
        <f t="shared" si="2470"/>
        <v/>
      </c>
      <c r="Q1235" s="62" t="str">
        <f t="shared" si="2470"/>
        <v/>
      </c>
      <c r="R1235" s="62">
        <f t="shared" si="7"/>
        <v>0</v>
      </c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</row>
    <row r="1236">
      <c r="A1236" s="60">
        <f>IFERROR(__xludf.DUMMYFUNCTION("""COMPUTED_VALUE"""),15620.0)</f>
        <v>15620</v>
      </c>
      <c r="B1236" s="60" t="str">
        <f>IFERROR(__xludf.DUMMYFUNCTION("""COMPUTED_VALUE"""),"Myarick, Chris")</f>
        <v>Myarick, Chris</v>
      </c>
      <c r="C1236" s="60" t="str">
        <f>IFERROR(__xludf.DUMMYFUNCTION("""COMPUTED_VALUE"""),"TE")</f>
        <v>TE</v>
      </c>
      <c r="D1236" s="60" t="str">
        <f>IFERROR(__xludf.DUMMYFUNCTION("""COMPUTED_VALUE"""),"LVR")</f>
        <v>LVR</v>
      </c>
      <c r="E1236" s="62" t="str">
        <f t="shared" si="4"/>
        <v>Chris Myarick</v>
      </c>
      <c r="F1236" s="62">
        <f t="shared" ref="F1236:G1236" si="2471">IF(isblank(F$1),,IF(isblank($A1236),,IFERROR(vlookup($A1236,indirect("'TVC-"&amp;text(month(F$1),"00")&amp;"'!$A:$D"),4,false),1)))</f>
        <v>1</v>
      </c>
      <c r="G1236" s="62">
        <f t="shared" si="2471"/>
        <v>1</v>
      </c>
      <c r="H1236" s="62">
        <f t="shared" ref="H1236:Q1236" si="2472">IF(isblank(H$1),,IFERROR(vlookup($A1236,indirect("'TVC-"&amp;text(month(H$1),"00")&amp;"'!$A:$D"),4,false),1))</f>
        <v>1</v>
      </c>
      <c r="I1236" s="62">
        <f t="shared" si="2472"/>
        <v>1</v>
      </c>
      <c r="J1236" s="62">
        <f t="shared" si="2472"/>
        <v>1</v>
      </c>
      <c r="K1236" s="62">
        <f t="shared" si="2472"/>
        <v>1</v>
      </c>
      <c r="L1236" s="62">
        <f t="shared" si="2472"/>
        <v>1</v>
      </c>
      <c r="M1236" s="62">
        <f t="shared" si="2472"/>
        <v>1</v>
      </c>
      <c r="N1236" s="62">
        <f t="shared" si="2472"/>
        <v>1</v>
      </c>
      <c r="O1236" s="62">
        <f t="shared" si="2472"/>
        <v>1</v>
      </c>
      <c r="P1236" s="62" t="str">
        <f t="shared" si="2472"/>
        <v/>
      </c>
      <c r="Q1236" s="62" t="str">
        <f t="shared" si="2472"/>
        <v/>
      </c>
      <c r="R1236" s="62">
        <f t="shared" si="7"/>
        <v>0</v>
      </c>
      <c r="S1236" s="62"/>
      <c r="T1236" s="62"/>
      <c r="U1236" s="62"/>
      <c r="V1236" s="62"/>
      <c r="W1236" s="62"/>
      <c r="X1236" s="62"/>
      <c r="Y1236" s="62"/>
      <c r="Z1236" s="62"/>
      <c r="AA1236" s="62"/>
      <c r="AB1236" s="62"/>
      <c r="AC1236" s="62"/>
    </row>
    <row r="1237" hidden="1">
      <c r="A1237" s="60">
        <f>IFERROR(__xludf.DUMMYFUNCTION("""COMPUTED_VALUE"""),15622.0)</f>
        <v>15622</v>
      </c>
      <c r="B1237" s="60" t="str">
        <f>IFERROR(__xludf.DUMMYFUNCTION("""COMPUTED_VALUE"""),"Robinson, Curtis")</f>
        <v>Robinson, Curtis</v>
      </c>
      <c r="C1237" s="60" t="str">
        <f>IFERROR(__xludf.DUMMYFUNCTION("""COMPUTED_VALUE"""),"LB")</f>
        <v>LB</v>
      </c>
      <c r="D1237" s="60" t="str">
        <f>IFERROR(__xludf.DUMMYFUNCTION("""COMPUTED_VALUE"""),"DAL")</f>
        <v>DAL</v>
      </c>
      <c r="E1237" s="62" t="str">
        <f t="shared" si="4"/>
        <v>Curtis Robinson</v>
      </c>
      <c r="F1237" s="62">
        <f t="shared" ref="F1237:G1237" si="2473">IF(isblank(F$1),,IF(isblank($A1237),,IFERROR(vlookup($A1237,indirect("'TVC-"&amp;text(month(F$1),"00")&amp;"'!$A:$D"),4,false),1)))</f>
        <v>1</v>
      </c>
      <c r="G1237" s="62">
        <f t="shared" si="2473"/>
        <v>1</v>
      </c>
      <c r="H1237" s="62">
        <f t="shared" ref="H1237:Q1237" si="2474">IF(isblank(H$1),,IFERROR(vlookup($A1237,indirect("'TVC-"&amp;text(month(H$1),"00")&amp;"'!$A:$D"),4,false),1))</f>
        <v>1</v>
      </c>
      <c r="I1237" s="62">
        <f t="shared" si="2474"/>
        <v>1</v>
      </c>
      <c r="J1237" s="62">
        <f t="shared" si="2474"/>
        <v>1</v>
      </c>
      <c r="K1237" s="62">
        <f t="shared" si="2474"/>
        <v>1</v>
      </c>
      <c r="L1237" s="62">
        <f t="shared" si="2474"/>
        <v>1</v>
      </c>
      <c r="M1237" s="62">
        <f t="shared" si="2474"/>
        <v>1</v>
      </c>
      <c r="N1237" s="62">
        <f t="shared" si="2474"/>
        <v>1</v>
      </c>
      <c r="O1237" s="62">
        <f t="shared" si="2474"/>
        <v>1</v>
      </c>
      <c r="P1237" s="62" t="str">
        <f t="shared" si="2474"/>
        <v/>
      </c>
      <c r="Q1237" s="62" t="str">
        <f t="shared" si="2474"/>
        <v/>
      </c>
      <c r="R1237" s="62">
        <f t="shared" si="7"/>
        <v>0</v>
      </c>
      <c r="S1237" s="62"/>
      <c r="T1237" s="62"/>
      <c r="U1237" s="62"/>
      <c r="V1237" s="62"/>
      <c r="W1237" s="62"/>
      <c r="X1237" s="62"/>
      <c r="Y1237" s="62"/>
      <c r="Z1237" s="62"/>
      <c r="AA1237" s="62"/>
      <c r="AB1237" s="62"/>
      <c r="AC1237" s="62"/>
    </row>
    <row r="1238" hidden="1">
      <c r="A1238" s="60">
        <f>IFERROR(__xludf.DUMMYFUNCTION("""COMPUTED_VALUE"""),15626.0)</f>
        <v>15626</v>
      </c>
      <c r="B1238" s="60" t="str">
        <f>IFERROR(__xludf.DUMMYFUNCTION("""COMPUTED_VALUE"""),"Wright, Brock")</f>
        <v>Wright, Brock</v>
      </c>
      <c r="C1238" s="60" t="str">
        <f>IFERROR(__xludf.DUMMYFUNCTION("""COMPUTED_VALUE"""),"TE")</f>
        <v>TE</v>
      </c>
      <c r="D1238" s="60" t="str">
        <f>IFERROR(__xludf.DUMMYFUNCTION("""COMPUTED_VALUE"""),"DET")</f>
        <v>DET</v>
      </c>
      <c r="E1238" s="62" t="str">
        <f t="shared" si="4"/>
        <v>Brock Wright</v>
      </c>
      <c r="F1238" s="62">
        <f t="shared" ref="F1238:G1238" si="2475">IF(isblank(F$1),,IF(isblank($A1238),,IFERROR(vlookup($A1238,indirect("'TVC-"&amp;text(month(F$1),"00")&amp;"'!$A:$D"),4,false),1)))</f>
        <v>1487</v>
      </c>
      <c r="G1238" s="62">
        <f t="shared" si="2475"/>
        <v>1389</v>
      </c>
      <c r="H1238" s="62">
        <f t="shared" ref="H1238:Q1238" si="2476">IF(isblank(H$1),,IFERROR(vlookup($A1238,indirect("'TVC-"&amp;text(month(H$1),"00")&amp;"'!$A:$D"),4,false),1))</f>
        <v>1394</v>
      </c>
      <c r="I1238" s="62">
        <f t="shared" si="2476"/>
        <v>1352</v>
      </c>
      <c r="J1238" s="62">
        <f t="shared" si="2476"/>
        <v>1393</v>
      </c>
      <c r="K1238" s="62">
        <f t="shared" si="2476"/>
        <v>1329</v>
      </c>
      <c r="L1238" s="62">
        <f t="shared" si="2476"/>
        <v>1260</v>
      </c>
      <c r="M1238" s="62">
        <f t="shared" si="2476"/>
        <v>1272</v>
      </c>
      <c r="N1238" s="62">
        <f t="shared" si="2476"/>
        <v>1164</v>
      </c>
      <c r="O1238" s="62">
        <f t="shared" si="2476"/>
        <v>1</v>
      </c>
      <c r="P1238" s="62" t="str">
        <f t="shared" si="2476"/>
        <v/>
      </c>
      <c r="Q1238" s="62" t="str">
        <f t="shared" si="2476"/>
        <v/>
      </c>
      <c r="R1238" s="62">
        <f t="shared" si="7"/>
        <v>-1163</v>
      </c>
      <c r="S1238" s="62"/>
      <c r="T1238" s="62"/>
      <c r="U1238" s="62"/>
      <c r="V1238" s="62"/>
      <c r="W1238" s="62"/>
      <c r="X1238" s="62"/>
      <c r="Y1238" s="62"/>
      <c r="Z1238" s="62"/>
      <c r="AA1238" s="62"/>
      <c r="AB1238" s="62"/>
      <c r="AC1238" s="62"/>
    </row>
    <row r="1239">
      <c r="A1239" s="60">
        <f>IFERROR(__xludf.DUMMYFUNCTION("""COMPUTED_VALUE"""),15637.0)</f>
        <v>15637</v>
      </c>
      <c r="B1239" s="60" t="str">
        <f>IFERROR(__xludf.DUMMYFUNCTION("""COMPUTED_VALUE"""),"Heflin, Jack")</f>
        <v>Heflin, Jack</v>
      </c>
      <c r="C1239" s="60" t="str">
        <f>IFERROR(__xludf.DUMMYFUNCTION("""COMPUTED_VALUE"""),"DT")</f>
        <v>DT</v>
      </c>
      <c r="D1239" s="60" t="str">
        <f>IFERROR(__xludf.DUMMYFUNCTION("""COMPUTED_VALUE"""),"NYJ")</f>
        <v>NYJ</v>
      </c>
      <c r="E1239" s="62" t="str">
        <f t="shared" si="4"/>
        <v>Jack Heflin</v>
      </c>
      <c r="F1239" s="62">
        <f t="shared" ref="F1239:G1239" si="2477">IF(isblank(F$1),,IF(isblank($A1239),,IFERROR(vlookup($A1239,indirect("'TVC-"&amp;text(month(F$1),"00")&amp;"'!$A:$D"),4,false),1)))</f>
        <v>1</v>
      </c>
      <c r="G1239" s="62">
        <f t="shared" si="2477"/>
        <v>1</v>
      </c>
      <c r="H1239" s="62">
        <f t="shared" ref="H1239:Q1239" si="2478">IF(isblank(H$1),,IFERROR(vlookup($A1239,indirect("'TVC-"&amp;text(month(H$1),"00")&amp;"'!$A:$D"),4,false),1))</f>
        <v>1</v>
      </c>
      <c r="I1239" s="62">
        <f t="shared" si="2478"/>
        <v>1</v>
      </c>
      <c r="J1239" s="62">
        <f t="shared" si="2478"/>
        <v>1</v>
      </c>
      <c r="K1239" s="62">
        <f t="shared" si="2478"/>
        <v>1</v>
      </c>
      <c r="L1239" s="62">
        <f t="shared" si="2478"/>
        <v>1</v>
      </c>
      <c r="M1239" s="62">
        <f t="shared" si="2478"/>
        <v>1</v>
      </c>
      <c r="N1239" s="62">
        <f t="shared" si="2478"/>
        <v>1</v>
      </c>
      <c r="O1239" s="62">
        <f t="shared" si="2478"/>
        <v>1</v>
      </c>
      <c r="P1239" s="62" t="str">
        <f t="shared" si="2478"/>
        <v/>
      </c>
      <c r="Q1239" s="62" t="str">
        <f t="shared" si="2478"/>
        <v/>
      </c>
      <c r="R1239" s="62">
        <f t="shared" si="7"/>
        <v>0</v>
      </c>
      <c r="S1239" s="62"/>
      <c r="T1239" s="62"/>
      <c r="U1239" s="62"/>
      <c r="V1239" s="62"/>
      <c r="W1239" s="62"/>
      <c r="X1239" s="62"/>
      <c r="Y1239" s="62"/>
      <c r="Z1239" s="62"/>
      <c r="AA1239" s="62"/>
      <c r="AB1239" s="62"/>
      <c r="AC1239" s="62"/>
    </row>
    <row r="1240" hidden="1">
      <c r="A1240" s="60">
        <f>IFERROR(__xludf.DUMMYFUNCTION("""COMPUTED_VALUE"""),15650.0)</f>
        <v>15650</v>
      </c>
      <c r="B1240" s="60" t="str">
        <f>IFERROR(__xludf.DUMMYFUNCTION("""COMPUTED_VALUE"""),"Prentice, Adam")</f>
        <v>Prentice, Adam</v>
      </c>
      <c r="C1240" s="60" t="str">
        <f>IFERROR(__xludf.DUMMYFUNCTION("""COMPUTED_VALUE"""),"RB")</f>
        <v>RB</v>
      </c>
      <c r="D1240" s="60" t="str">
        <f>IFERROR(__xludf.DUMMYFUNCTION("""COMPUTED_VALUE"""),"DEN")</f>
        <v>DEN</v>
      </c>
      <c r="E1240" s="62" t="str">
        <f t="shared" si="4"/>
        <v>Adam Prentice</v>
      </c>
      <c r="F1240" s="62">
        <f t="shared" ref="F1240:G1240" si="2479">IF(isblank(F$1),,IF(isblank($A1240),,IFERROR(vlookup($A1240,indirect("'TVC-"&amp;text(month(F$1),"00")&amp;"'!$A:$D"),4,false),1)))</f>
        <v>1</v>
      </c>
      <c r="G1240" s="62">
        <f t="shared" si="2479"/>
        <v>1</v>
      </c>
      <c r="H1240" s="62">
        <f t="shared" ref="H1240:Q1240" si="2480">IF(isblank(H$1),,IFERROR(vlookup($A1240,indirect("'TVC-"&amp;text(month(H$1),"00")&amp;"'!$A:$D"),4,false),1))</f>
        <v>1</v>
      </c>
      <c r="I1240" s="62">
        <f t="shared" si="2480"/>
        <v>1</v>
      </c>
      <c r="J1240" s="62">
        <f t="shared" si="2480"/>
        <v>1</v>
      </c>
      <c r="K1240" s="62">
        <f t="shared" si="2480"/>
        <v>1</v>
      </c>
      <c r="L1240" s="62">
        <f t="shared" si="2480"/>
        <v>1</v>
      </c>
      <c r="M1240" s="62">
        <f t="shared" si="2480"/>
        <v>1</v>
      </c>
      <c r="N1240" s="62">
        <f t="shared" si="2480"/>
        <v>1</v>
      </c>
      <c r="O1240" s="62">
        <f t="shared" si="2480"/>
        <v>1</v>
      </c>
      <c r="P1240" s="62" t="str">
        <f t="shared" si="2480"/>
        <v/>
      </c>
      <c r="Q1240" s="62" t="str">
        <f t="shared" si="2480"/>
        <v/>
      </c>
      <c r="R1240" s="62">
        <f t="shared" si="7"/>
        <v>0</v>
      </c>
      <c r="S1240" s="62"/>
      <c r="T1240" s="62"/>
      <c r="U1240" s="62"/>
      <c r="V1240" s="62"/>
      <c r="W1240" s="62"/>
      <c r="X1240" s="62"/>
      <c r="Y1240" s="62"/>
      <c r="Z1240" s="62"/>
      <c r="AA1240" s="62"/>
      <c r="AB1240" s="62"/>
      <c r="AC1240" s="62"/>
    </row>
    <row r="1241">
      <c r="A1241" s="60">
        <f>IFERROR(__xludf.DUMMYFUNCTION("""COMPUTED_VALUE"""),15668.0)</f>
        <v>15668</v>
      </c>
      <c r="B1241" s="60" t="str">
        <f>IFERROR(__xludf.DUMMYFUNCTION("""COMPUTED_VALUE"""),"Waitman, Corliss")</f>
        <v>Waitman, Corliss</v>
      </c>
      <c r="C1241" s="60" t="str">
        <f>IFERROR(__xludf.DUMMYFUNCTION("""COMPUTED_VALUE"""),"PN")</f>
        <v>PN</v>
      </c>
      <c r="D1241" s="60" t="str">
        <f>IFERROR(__xludf.DUMMYFUNCTION("""COMPUTED_VALUE"""),"SFO")</f>
        <v>SFO</v>
      </c>
      <c r="E1241" s="62" t="str">
        <f t="shared" si="4"/>
        <v>Corliss Waitman</v>
      </c>
      <c r="F1241" s="62">
        <f t="shared" ref="F1241:G1241" si="2481">IF(isblank(F$1),,IF(isblank($A1241),,IFERROR(vlookup($A1241,indirect("'TVC-"&amp;text(month(F$1),"00")&amp;"'!$A:$D"),4,false),1)))</f>
        <v>1</v>
      </c>
      <c r="G1241" s="62">
        <f t="shared" si="2481"/>
        <v>1</v>
      </c>
      <c r="H1241" s="62">
        <f t="shared" ref="H1241:Q1241" si="2482">IF(isblank(H$1),,IFERROR(vlookup($A1241,indirect("'TVC-"&amp;text(month(H$1),"00")&amp;"'!$A:$D"),4,false),1))</f>
        <v>1</v>
      </c>
      <c r="I1241" s="62">
        <f t="shared" si="2482"/>
        <v>1</v>
      </c>
      <c r="J1241" s="62">
        <f t="shared" si="2482"/>
        <v>1</v>
      </c>
      <c r="K1241" s="62">
        <f t="shared" si="2482"/>
        <v>1</v>
      </c>
      <c r="L1241" s="62">
        <f t="shared" si="2482"/>
        <v>1</v>
      </c>
      <c r="M1241" s="62">
        <f t="shared" si="2482"/>
        <v>1</v>
      </c>
      <c r="N1241" s="62">
        <f t="shared" si="2482"/>
        <v>1</v>
      </c>
      <c r="O1241" s="62">
        <f t="shared" si="2482"/>
        <v>1</v>
      </c>
      <c r="P1241" s="62" t="str">
        <f t="shared" si="2482"/>
        <v/>
      </c>
      <c r="Q1241" s="62" t="str">
        <f t="shared" si="2482"/>
        <v/>
      </c>
      <c r="R1241" s="62">
        <f t="shared" si="7"/>
        <v>0</v>
      </c>
      <c r="S1241" s="62"/>
      <c r="T1241" s="62"/>
      <c r="U1241" s="62"/>
      <c r="V1241" s="62"/>
      <c r="W1241" s="62"/>
      <c r="X1241" s="62"/>
      <c r="Y1241" s="62"/>
      <c r="Z1241" s="62"/>
      <c r="AA1241" s="62"/>
      <c r="AB1241" s="62"/>
      <c r="AC1241" s="62"/>
    </row>
    <row r="1242">
      <c r="A1242" s="60">
        <f>IFERROR(__xludf.DUMMYFUNCTION("""COMPUTED_VALUE"""),15671.0)</f>
        <v>15671</v>
      </c>
      <c r="B1242" s="60" t="str">
        <f>IFERROR(__xludf.DUMMYFUNCTION("""COMPUTED_VALUE"""),"Bandy, Michael")</f>
        <v>Bandy, Michael</v>
      </c>
      <c r="C1242" s="60" t="str">
        <f>IFERROR(__xludf.DUMMYFUNCTION("""COMPUTED_VALUE"""),"WR")</f>
        <v>WR</v>
      </c>
      <c r="D1242" s="60" t="str">
        <f>IFERROR(__xludf.DUMMYFUNCTION("""COMPUTED_VALUE"""),"DEN")</f>
        <v>DEN</v>
      </c>
      <c r="E1242" s="62" t="str">
        <f t="shared" si="4"/>
        <v>Michael Bandy</v>
      </c>
      <c r="F1242" s="62">
        <f t="shared" ref="F1242:G1242" si="2483">IF(isblank(F$1),,IF(isblank($A1242),,IFERROR(vlookup($A1242,indirect("'TVC-"&amp;text(month(F$1),"00")&amp;"'!$A:$D"),4,false),1)))</f>
        <v>1</v>
      </c>
      <c r="G1242" s="62">
        <f t="shared" si="2483"/>
        <v>1</v>
      </c>
      <c r="H1242" s="62">
        <f t="shared" ref="H1242:Q1242" si="2484">IF(isblank(H$1),,IFERROR(vlookup($A1242,indirect("'TVC-"&amp;text(month(H$1),"00")&amp;"'!$A:$D"),4,false),1))</f>
        <v>1</v>
      </c>
      <c r="I1242" s="62">
        <f t="shared" si="2484"/>
        <v>1</v>
      </c>
      <c r="J1242" s="62">
        <f t="shared" si="2484"/>
        <v>1</v>
      </c>
      <c r="K1242" s="62">
        <f t="shared" si="2484"/>
        <v>1</v>
      </c>
      <c r="L1242" s="62">
        <f t="shared" si="2484"/>
        <v>1</v>
      </c>
      <c r="M1242" s="62">
        <f t="shared" si="2484"/>
        <v>1</v>
      </c>
      <c r="N1242" s="62">
        <f t="shared" si="2484"/>
        <v>1</v>
      </c>
      <c r="O1242" s="62">
        <f t="shared" si="2484"/>
        <v>1</v>
      </c>
      <c r="P1242" s="62" t="str">
        <f t="shared" si="2484"/>
        <v/>
      </c>
      <c r="Q1242" s="62" t="str">
        <f t="shared" si="2484"/>
        <v/>
      </c>
      <c r="R1242" s="62">
        <f t="shared" si="7"/>
        <v>0</v>
      </c>
      <c r="S1242" s="62"/>
      <c r="T1242" s="62"/>
      <c r="U1242" s="62"/>
      <c r="V1242" s="62"/>
      <c r="W1242" s="62"/>
      <c r="X1242" s="62"/>
      <c r="Y1242" s="62"/>
      <c r="Z1242" s="62"/>
      <c r="AA1242" s="62"/>
      <c r="AB1242" s="62"/>
      <c r="AC1242" s="62"/>
    </row>
    <row r="1243">
      <c r="A1243" s="60">
        <f>IFERROR(__xludf.DUMMYFUNCTION("""COMPUTED_VALUE"""),15676.0)</f>
        <v>15676</v>
      </c>
      <c r="B1243" s="60" t="str">
        <f>IFERROR(__xludf.DUMMYFUNCTION("""COMPUTED_VALUE"""),"Anderson, Zayne")</f>
        <v>Anderson, Zayne</v>
      </c>
      <c r="C1243" s="60" t="str">
        <f>IFERROR(__xludf.DUMMYFUNCTION("""COMPUTED_VALUE"""),"S")</f>
        <v>S</v>
      </c>
      <c r="D1243" s="60" t="str">
        <f>IFERROR(__xludf.DUMMYFUNCTION("""COMPUTED_VALUE"""),"MIA")</f>
        <v>MIA</v>
      </c>
      <c r="E1243" s="62" t="str">
        <f t="shared" si="4"/>
        <v>Zayne Anderson</v>
      </c>
      <c r="F1243" s="62">
        <f t="shared" ref="F1243:G1243" si="2485">IF(isblank(F$1),,IF(isblank($A1243),,IFERROR(vlookup($A1243,indirect("'TVC-"&amp;text(month(F$1),"00")&amp;"'!$A:$D"),4,false),1)))</f>
        <v>1</v>
      </c>
      <c r="G1243" s="62">
        <f t="shared" si="2485"/>
        <v>1</v>
      </c>
      <c r="H1243" s="62">
        <f t="shared" ref="H1243:Q1243" si="2486">IF(isblank(H$1),,IFERROR(vlookup($A1243,indirect("'TVC-"&amp;text(month(H$1),"00")&amp;"'!$A:$D"),4,false),1))</f>
        <v>1</v>
      </c>
      <c r="I1243" s="62">
        <f t="shared" si="2486"/>
        <v>1</v>
      </c>
      <c r="J1243" s="62">
        <f t="shared" si="2486"/>
        <v>1</v>
      </c>
      <c r="K1243" s="62">
        <f t="shared" si="2486"/>
        <v>1</v>
      </c>
      <c r="L1243" s="62">
        <f t="shared" si="2486"/>
        <v>1</v>
      </c>
      <c r="M1243" s="62">
        <f t="shared" si="2486"/>
        <v>1</v>
      </c>
      <c r="N1243" s="62">
        <f t="shared" si="2486"/>
        <v>1</v>
      </c>
      <c r="O1243" s="62">
        <f t="shared" si="2486"/>
        <v>1</v>
      </c>
      <c r="P1243" s="62" t="str">
        <f t="shared" si="2486"/>
        <v/>
      </c>
      <c r="Q1243" s="62" t="str">
        <f t="shared" si="2486"/>
        <v/>
      </c>
      <c r="R1243" s="62">
        <f t="shared" si="7"/>
        <v>0</v>
      </c>
      <c r="S1243" s="62"/>
      <c r="T1243" s="62"/>
      <c r="U1243" s="62"/>
      <c r="V1243" s="62"/>
      <c r="W1243" s="62"/>
      <c r="X1243" s="62"/>
      <c r="Y1243" s="62"/>
      <c r="Z1243" s="62"/>
      <c r="AA1243" s="62"/>
      <c r="AB1243" s="62"/>
      <c r="AC1243" s="62"/>
    </row>
    <row r="1244">
      <c r="A1244" s="60">
        <f>IFERROR(__xludf.DUMMYFUNCTION("""COMPUTED_VALUE"""),15681.0)</f>
        <v>15681</v>
      </c>
      <c r="B1244" s="60" t="str">
        <f>IFERROR(__xludf.DUMMYFUNCTION("""COMPUTED_VALUE"""),"Elliss, Christian")</f>
        <v>Elliss, Christian</v>
      </c>
      <c r="C1244" s="60" t="str">
        <f>IFERROR(__xludf.DUMMYFUNCTION("""COMPUTED_VALUE"""),"LB")</f>
        <v>LB</v>
      </c>
      <c r="D1244" s="60" t="str">
        <f>IFERROR(__xludf.DUMMYFUNCTION("""COMPUTED_VALUE"""),"NEP")</f>
        <v>NEP</v>
      </c>
      <c r="E1244" s="62" t="str">
        <f t="shared" si="4"/>
        <v>Christian Elliss</v>
      </c>
      <c r="F1244" s="62">
        <f t="shared" ref="F1244:G1244" si="2487">IF(isblank(F$1),,IF(isblank($A1244),,IFERROR(vlookup($A1244,indirect("'TVC-"&amp;text(month(F$1),"00")&amp;"'!$A:$D"),4,false),1)))</f>
        <v>1</v>
      </c>
      <c r="G1244" s="62">
        <f t="shared" si="2487"/>
        <v>1</v>
      </c>
      <c r="H1244" s="62">
        <f t="shared" ref="H1244:Q1244" si="2488">IF(isblank(H$1),,IFERROR(vlookup($A1244,indirect("'TVC-"&amp;text(month(H$1),"00")&amp;"'!$A:$D"),4,false),1))</f>
        <v>1</v>
      </c>
      <c r="I1244" s="62">
        <f t="shared" si="2488"/>
        <v>1</v>
      </c>
      <c r="J1244" s="62">
        <f t="shared" si="2488"/>
        <v>1</v>
      </c>
      <c r="K1244" s="62">
        <f t="shared" si="2488"/>
        <v>1</v>
      </c>
      <c r="L1244" s="62">
        <f t="shared" si="2488"/>
        <v>1</v>
      </c>
      <c r="M1244" s="62">
        <f t="shared" si="2488"/>
        <v>1</v>
      </c>
      <c r="N1244" s="62">
        <f t="shared" si="2488"/>
        <v>1</v>
      </c>
      <c r="O1244" s="62">
        <f t="shared" si="2488"/>
        <v>1</v>
      </c>
      <c r="P1244" s="62" t="str">
        <f t="shared" si="2488"/>
        <v/>
      </c>
      <c r="Q1244" s="62" t="str">
        <f t="shared" si="2488"/>
        <v/>
      </c>
      <c r="R1244" s="62">
        <f t="shared" si="7"/>
        <v>0</v>
      </c>
      <c r="S1244" s="62"/>
      <c r="T1244" s="62"/>
      <c r="U1244" s="62"/>
      <c r="V1244" s="62"/>
      <c r="W1244" s="62"/>
      <c r="X1244" s="62"/>
      <c r="Y1244" s="62"/>
      <c r="Z1244" s="62"/>
      <c r="AA1244" s="62"/>
      <c r="AB1244" s="62"/>
      <c r="AC1244" s="62"/>
    </row>
    <row r="1245">
      <c r="A1245" s="60">
        <f>IFERROR(__xludf.DUMMYFUNCTION("""COMPUTED_VALUE"""),15684.0)</f>
        <v>15684</v>
      </c>
      <c r="B1245" s="60" t="str">
        <f>IFERROR(__xludf.DUMMYFUNCTION("""COMPUTED_VALUE"""),"Ross, D'Angelo")</f>
        <v>Ross, D'Angelo</v>
      </c>
      <c r="C1245" s="60" t="str">
        <f>IFERROR(__xludf.DUMMYFUNCTION("""COMPUTED_VALUE"""),"CB")</f>
        <v>CB</v>
      </c>
      <c r="D1245" s="60" t="str">
        <f>IFERROR(__xludf.DUMMYFUNCTION("""COMPUTED_VALUE"""),"CLE")</f>
        <v>CLE</v>
      </c>
      <c r="E1245" s="62" t="str">
        <f t="shared" si="4"/>
        <v>D'Angelo Ross</v>
      </c>
      <c r="F1245" s="62">
        <f t="shared" ref="F1245:G1245" si="2489">IF(isblank(F$1),,IF(isblank($A1245),,IFERROR(vlookup($A1245,indirect("'TVC-"&amp;text(month(F$1),"00")&amp;"'!$A:$D"),4,false),1)))</f>
        <v>1</v>
      </c>
      <c r="G1245" s="62">
        <f t="shared" si="2489"/>
        <v>1</v>
      </c>
      <c r="H1245" s="62">
        <f t="shared" ref="H1245:Q1245" si="2490">IF(isblank(H$1),,IFERROR(vlookup($A1245,indirect("'TVC-"&amp;text(month(H$1),"00")&amp;"'!$A:$D"),4,false),1))</f>
        <v>1</v>
      </c>
      <c r="I1245" s="62">
        <f t="shared" si="2490"/>
        <v>1</v>
      </c>
      <c r="J1245" s="62">
        <f t="shared" si="2490"/>
        <v>1</v>
      </c>
      <c r="K1245" s="62">
        <f t="shared" si="2490"/>
        <v>1</v>
      </c>
      <c r="L1245" s="62">
        <f t="shared" si="2490"/>
        <v>1</v>
      </c>
      <c r="M1245" s="62">
        <f t="shared" si="2490"/>
        <v>1</v>
      </c>
      <c r="N1245" s="62">
        <f t="shared" si="2490"/>
        <v>1</v>
      </c>
      <c r="O1245" s="62">
        <f t="shared" si="2490"/>
        <v>1</v>
      </c>
      <c r="P1245" s="62" t="str">
        <f t="shared" si="2490"/>
        <v/>
      </c>
      <c r="Q1245" s="62" t="str">
        <f t="shared" si="2490"/>
        <v/>
      </c>
      <c r="R1245" s="62">
        <f t="shared" si="7"/>
        <v>0</v>
      </c>
      <c r="S1245" s="62"/>
      <c r="T1245" s="62"/>
      <c r="U1245" s="62"/>
      <c r="V1245" s="62"/>
      <c r="W1245" s="62"/>
      <c r="X1245" s="62"/>
      <c r="Y1245" s="62"/>
      <c r="Z1245" s="62"/>
      <c r="AA1245" s="62"/>
      <c r="AB1245" s="62"/>
      <c r="AC1245" s="62"/>
    </row>
    <row r="1246">
      <c r="A1246" s="60">
        <f>IFERROR(__xludf.DUMMYFUNCTION("""COMPUTED_VALUE"""),15692.0)</f>
        <v>15692</v>
      </c>
      <c r="B1246" s="60" t="str">
        <f>IFERROR(__xludf.DUMMYFUNCTION("""COMPUTED_VALUE"""),"Pickett, Kenny")</f>
        <v>Pickett, Kenny</v>
      </c>
      <c r="C1246" s="60" t="str">
        <f>IFERROR(__xludf.DUMMYFUNCTION("""COMPUTED_VALUE"""),"QB")</f>
        <v>QB</v>
      </c>
      <c r="D1246" s="60" t="str">
        <f>IFERROR(__xludf.DUMMYFUNCTION("""COMPUTED_VALUE"""),"CAR")</f>
        <v>CAR</v>
      </c>
      <c r="E1246" s="62" t="str">
        <f t="shared" si="4"/>
        <v>Kenny Pickett</v>
      </c>
      <c r="F1246" s="62">
        <f t="shared" ref="F1246:G1246" si="2491">IF(isblank(F$1),,IF(isblank($A1246),,IFERROR(vlookup($A1246,indirect("'TVC-"&amp;text(month(F$1),"00")&amp;"'!$A:$D"),4,false),1)))</f>
        <v>1194</v>
      </c>
      <c r="G1246" s="62">
        <f t="shared" si="2491"/>
        <v>1134</v>
      </c>
      <c r="H1246" s="62">
        <f t="shared" ref="H1246:Q1246" si="2492">IF(isblank(H$1),,IFERROR(vlookup($A1246,indirect("'TVC-"&amp;text(month(H$1),"00")&amp;"'!$A:$D"),4,false),1))</f>
        <v>1105</v>
      </c>
      <c r="I1246" s="62">
        <f t="shared" si="2492"/>
        <v>1196</v>
      </c>
      <c r="J1246" s="62">
        <f t="shared" si="2492"/>
        <v>1159</v>
      </c>
      <c r="K1246" s="62">
        <f t="shared" si="2492"/>
        <v>1086</v>
      </c>
      <c r="L1246" s="62">
        <f t="shared" si="2492"/>
        <v>1050</v>
      </c>
      <c r="M1246" s="62">
        <f t="shared" si="2492"/>
        <v>996</v>
      </c>
      <c r="N1246" s="62">
        <f t="shared" si="2492"/>
        <v>903</v>
      </c>
      <c r="O1246" s="62">
        <f t="shared" si="2492"/>
        <v>1</v>
      </c>
      <c r="P1246" s="62" t="str">
        <f t="shared" si="2492"/>
        <v/>
      </c>
      <c r="Q1246" s="62" t="str">
        <f t="shared" si="2492"/>
        <v/>
      </c>
      <c r="R1246" s="62">
        <f t="shared" si="7"/>
        <v>-902</v>
      </c>
      <c r="S1246" s="62"/>
      <c r="T1246" s="62"/>
      <c r="U1246" s="62"/>
      <c r="V1246" s="62"/>
      <c r="W1246" s="62"/>
      <c r="X1246" s="62"/>
      <c r="Y1246" s="62"/>
      <c r="Z1246" s="62"/>
      <c r="AA1246" s="62"/>
      <c r="AB1246" s="62"/>
      <c r="AC1246" s="62"/>
    </row>
    <row r="1247" hidden="1">
      <c r="A1247" s="60">
        <f>IFERROR(__xludf.DUMMYFUNCTION("""COMPUTED_VALUE"""),15693.0)</f>
        <v>15693</v>
      </c>
      <c r="B1247" s="60" t="str">
        <f>IFERROR(__xludf.DUMMYFUNCTION("""COMPUTED_VALUE"""),"Howell, Sam")</f>
        <v>Howell, Sam</v>
      </c>
      <c r="C1247" s="60" t="str">
        <f>IFERROR(__xludf.DUMMYFUNCTION("""COMPUTED_VALUE"""),"QB")</f>
        <v>QB</v>
      </c>
      <c r="D1247" s="60" t="str">
        <f>IFERROR(__xludf.DUMMYFUNCTION("""COMPUTED_VALUE"""),"DAL")</f>
        <v>DAL</v>
      </c>
      <c r="E1247" s="62" t="str">
        <f t="shared" si="4"/>
        <v>Sam Howell</v>
      </c>
      <c r="F1247" s="62">
        <f t="shared" ref="F1247:G1247" si="2493">IF(isblank(F$1),,IF(isblank($A1247),,IFERROR(vlookup($A1247,indirect("'TVC-"&amp;text(month(F$1),"00")&amp;"'!$A:$D"),4,false),1)))</f>
        <v>1009</v>
      </c>
      <c r="G1247" s="62">
        <f t="shared" si="2493"/>
        <v>1029</v>
      </c>
      <c r="H1247" s="62">
        <f t="shared" ref="H1247:Q1247" si="2494">IF(isblank(H$1),,IFERROR(vlookup($A1247,indirect("'TVC-"&amp;text(month(H$1),"00")&amp;"'!$A:$D"),4,false),1))</f>
        <v>1045</v>
      </c>
      <c r="I1247" s="62">
        <f t="shared" si="2494"/>
        <v>1141</v>
      </c>
      <c r="J1247" s="62">
        <f t="shared" si="2494"/>
        <v>1074</v>
      </c>
      <c r="K1247" s="62">
        <f t="shared" si="2494"/>
        <v>1036</v>
      </c>
      <c r="L1247" s="62">
        <f t="shared" si="2494"/>
        <v>1072</v>
      </c>
      <c r="M1247" s="62">
        <f t="shared" si="2494"/>
        <v>1010</v>
      </c>
      <c r="N1247" s="62">
        <f t="shared" si="2494"/>
        <v>883</v>
      </c>
      <c r="O1247" s="62">
        <f t="shared" si="2494"/>
        <v>1</v>
      </c>
      <c r="P1247" s="62" t="str">
        <f t="shared" si="2494"/>
        <v/>
      </c>
      <c r="Q1247" s="62" t="str">
        <f t="shared" si="2494"/>
        <v/>
      </c>
      <c r="R1247" s="62">
        <f t="shared" si="7"/>
        <v>-882</v>
      </c>
      <c r="S1247" s="62"/>
      <c r="T1247" s="62"/>
      <c r="U1247" s="62"/>
      <c r="V1247" s="62"/>
      <c r="W1247" s="62"/>
      <c r="X1247" s="62"/>
      <c r="Y1247" s="62"/>
      <c r="Z1247" s="62"/>
      <c r="AA1247" s="62"/>
      <c r="AB1247" s="62"/>
      <c r="AC1247" s="62"/>
    </row>
    <row r="1248">
      <c r="A1248" s="60">
        <f>IFERROR(__xludf.DUMMYFUNCTION("""COMPUTED_VALUE"""),15694.0)</f>
        <v>15694</v>
      </c>
      <c r="B1248" s="60" t="str">
        <f>IFERROR(__xludf.DUMMYFUNCTION("""COMPUTED_VALUE"""),"Willis, Malik")</f>
        <v>Willis, Malik</v>
      </c>
      <c r="C1248" s="60" t="str">
        <f>IFERROR(__xludf.DUMMYFUNCTION("""COMPUTED_VALUE"""),"QB")</f>
        <v>QB</v>
      </c>
      <c r="D1248" s="60" t="str">
        <f>IFERROR(__xludf.DUMMYFUNCTION("""COMPUTED_VALUE"""),"MIA")</f>
        <v>MIA</v>
      </c>
      <c r="E1248" s="62" t="str">
        <f t="shared" si="4"/>
        <v>Malik Willis</v>
      </c>
      <c r="F1248" s="62">
        <f t="shared" ref="F1248:G1248" si="2495">IF(isblank(F$1),,IF(isblank($A1248),,IFERROR(vlookup($A1248,indirect("'TVC-"&amp;text(month(F$1),"00")&amp;"'!$A:$D"),4,false),1)))</f>
        <v>2084</v>
      </c>
      <c r="G1248" s="62">
        <f t="shared" si="2495"/>
        <v>3213</v>
      </c>
      <c r="H1248" s="62">
        <f t="shared" ref="H1248:Q1248" si="2496">IF(isblank(H$1),,IFERROR(vlookup($A1248,indirect("'TVC-"&amp;text(month(H$1),"00")&amp;"'!$A:$D"),4,false),1))</f>
        <v>3492</v>
      </c>
      <c r="I1248" s="62">
        <f t="shared" si="2496"/>
        <v>4123</v>
      </c>
      <c r="J1248" s="62">
        <f t="shared" si="2496"/>
        <v>4077</v>
      </c>
      <c r="K1248" s="62">
        <f t="shared" si="2496"/>
        <v>3959</v>
      </c>
      <c r="L1248" s="62">
        <f t="shared" si="2496"/>
        <v>3820</v>
      </c>
      <c r="M1248" s="62">
        <f t="shared" si="2496"/>
        <v>3791</v>
      </c>
      <c r="N1248" s="62">
        <f t="shared" si="2496"/>
        <v>3700</v>
      </c>
      <c r="O1248" s="62">
        <f t="shared" si="2496"/>
        <v>1</v>
      </c>
      <c r="P1248" s="62" t="str">
        <f t="shared" si="2496"/>
        <v/>
      </c>
      <c r="Q1248" s="62" t="str">
        <f t="shared" si="2496"/>
        <v/>
      </c>
      <c r="R1248" s="62">
        <f t="shared" si="7"/>
        <v>-3699</v>
      </c>
      <c r="S1248" s="62"/>
      <c r="T1248" s="62"/>
      <c r="U1248" s="62"/>
      <c r="V1248" s="62"/>
      <c r="W1248" s="62"/>
      <c r="X1248" s="62"/>
      <c r="Y1248" s="62"/>
      <c r="Z1248" s="62"/>
      <c r="AA1248" s="62"/>
      <c r="AB1248" s="62"/>
      <c r="AC1248" s="62"/>
    </row>
    <row r="1249">
      <c r="A1249" s="60">
        <f>IFERROR(__xludf.DUMMYFUNCTION("""COMPUTED_VALUE"""),15696.0)</f>
        <v>15696</v>
      </c>
      <c r="B1249" s="60" t="str">
        <f>IFERROR(__xludf.DUMMYFUNCTION("""COMPUTED_VALUE"""),"Zappe, Bailey")</f>
        <v>Zappe, Bailey</v>
      </c>
      <c r="C1249" s="60" t="str">
        <f>IFERROR(__xludf.DUMMYFUNCTION("""COMPUTED_VALUE"""),"QB")</f>
        <v>QB</v>
      </c>
      <c r="D1249" s="60" t="str">
        <f>IFERROR(__xludf.DUMMYFUNCTION("""COMPUTED_VALUE"""),"NYJ")</f>
        <v>NYJ</v>
      </c>
      <c r="E1249" s="62" t="str">
        <f t="shared" si="4"/>
        <v>Bailey Zappe</v>
      </c>
      <c r="F1249" s="62">
        <f t="shared" ref="F1249:G1249" si="2497">IF(isblank(F$1),,IF(isblank($A1249),,IFERROR(vlookup($A1249,indirect("'TVC-"&amp;text(month(F$1),"00")&amp;"'!$A:$D"),4,false),1)))</f>
        <v>354</v>
      </c>
      <c r="G1249" s="62">
        <f t="shared" si="2497"/>
        <v>1</v>
      </c>
      <c r="H1249" s="62">
        <f t="shared" ref="H1249:Q1249" si="2498">IF(isblank(H$1),,IFERROR(vlookup($A1249,indirect("'TVC-"&amp;text(month(H$1),"00")&amp;"'!$A:$D"),4,false),1))</f>
        <v>1</v>
      </c>
      <c r="I1249" s="62">
        <f t="shared" si="2498"/>
        <v>1</v>
      </c>
      <c r="J1249" s="62">
        <f t="shared" si="2498"/>
        <v>1</v>
      </c>
      <c r="K1249" s="62">
        <f t="shared" si="2498"/>
        <v>1</v>
      </c>
      <c r="L1249" s="62">
        <f t="shared" si="2498"/>
        <v>1</v>
      </c>
      <c r="M1249" s="62">
        <f t="shared" si="2498"/>
        <v>1</v>
      </c>
      <c r="N1249" s="62">
        <f t="shared" si="2498"/>
        <v>1</v>
      </c>
      <c r="O1249" s="62">
        <f t="shared" si="2498"/>
        <v>1</v>
      </c>
      <c r="P1249" s="62" t="str">
        <f t="shared" si="2498"/>
        <v/>
      </c>
      <c r="Q1249" s="62" t="str">
        <f t="shared" si="2498"/>
        <v/>
      </c>
      <c r="R1249" s="62">
        <f t="shared" si="7"/>
        <v>0</v>
      </c>
      <c r="S1249" s="62"/>
      <c r="T1249" s="62"/>
      <c r="U1249" s="62"/>
      <c r="V1249" s="62"/>
      <c r="W1249" s="62"/>
      <c r="X1249" s="62"/>
      <c r="Y1249" s="62"/>
      <c r="Z1249" s="62"/>
      <c r="AA1249" s="62"/>
      <c r="AB1249" s="62"/>
      <c r="AC1249" s="62"/>
    </row>
    <row r="1250">
      <c r="A1250" s="60">
        <f>IFERROR(__xludf.DUMMYFUNCTION("""COMPUTED_VALUE"""),15697.0)</f>
        <v>15697</v>
      </c>
      <c r="B1250" s="60" t="str">
        <f>IFERROR(__xludf.DUMMYFUNCTION("""COMPUTED_VALUE"""),"Ridder, Desmond")</f>
        <v>Ridder, Desmond</v>
      </c>
      <c r="C1250" s="60" t="str">
        <f>IFERROR(__xludf.DUMMYFUNCTION("""COMPUTED_VALUE"""),"QB")</f>
        <v>QB</v>
      </c>
      <c r="D1250" s="60" t="str">
        <f>IFERROR(__xludf.DUMMYFUNCTION("""COMPUTED_VALUE"""),"FA")</f>
        <v>FA</v>
      </c>
      <c r="E1250" s="62" t="str">
        <f t="shared" si="4"/>
        <v>Desmond Ridder</v>
      </c>
      <c r="F1250" s="62">
        <f t="shared" ref="F1250:G1250" si="2499">IF(isblank(F$1),,IF(isblank($A1250),,IFERROR(vlookup($A1250,indirect("'TVC-"&amp;text(month(F$1),"00")&amp;"'!$A:$D"),4,false),1)))</f>
        <v>1</v>
      </c>
      <c r="G1250" s="62">
        <f t="shared" si="2499"/>
        <v>1</v>
      </c>
      <c r="H1250" s="62">
        <f t="shared" ref="H1250:Q1250" si="2500">IF(isblank(H$1),,IFERROR(vlookup($A1250,indirect("'TVC-"&amp;text(month(H$1),"00")&amp;"'!$A:$D"),4,false),1))</f>
        <v>1</v>
      </c>
      <c r="I1250" s="62">
        <f t="shared" si="2500"/>
        <v>1</v>
      </c>
      <c r="J1250" s="62">
        <f t="shared" si="2500"/>
        <v>1</v>
      </c>
      <c r="K1250" s="62">
        <f t="shared" si="2500"/>
        <v>1</v>
      </c>
      <c r="L1250" s="62">
        <f t="shared" si="2500"/>
        <v>1</v>
      </c>
      <c r="M1250" s="62">
        <f t="shared" si="2500"/>
        <v>1</v>
      </c>
      <c r="N1250" s="62">
        <f t="shared" si="2500"/>
        <v>1</v>
      </c>
      <c r="O1250" s="62">
        <f t="shared" si="2500"/>
        <v>1</v>
      </c>
      <c r="P1250" s="62" t="str">
        <f t="shared" si="2500"/>
        <v/>
      </c>
      <c r="Q1250" s="62" t="str">
        <f t="shared" si="2500"/>
        <v/>
      </c>
      <c r="R1250" s="62">
        <f t="shared" si="7"/>
        <v>0</v>
      </c>
      <c r="S1250" s="62"/>
      <c r="T1250" s="62"/>
      <c r="U1250" s="62"/>
      <c r="V1250" s="62"/>
      <c r="W1250" s="62"/>
      <c r="X1250" s="62"/>
      <c r="Y1250" s="62"/>
      <c r="Z1250" s="62"/>
      <c r="AA1250" s="62"/>
      <c r="AB1250" s="62"/>
      <c r="AC1250" s="62"/>
    </row>
    <row r="1251">
      <c r="A1251" s="60">
        <f>IFERROR(__xludf.DUMMYFUNCTION("""COMPUTED_VALUE"""),15698.0)</f>
        <v>15698</v>
      </c>
      <c r="B1251" s="60" t="str">
        <f>IFERROR(__xludf.DUMMYFUNCTION("""COMPUTED_VALUE"""),"Purdy, Brock")</f>
        <v>Purdy, Brock</v>
      </c>
      <c r="C1251" s="60" t="str">
        <f>IFERROR(__xludf.DUMMYFUNCTION("""COMPUTED_VALUE"""),"QB")</f>
        <v>QB</v>
      </c>
      <c r="D1251" s="60" t="str">
        <f>IFERROR(__xludf.DUMMYFUNCTION("""COMPUTED_VALUE"""),"SFO")</f>
        <v>SFO</v>
      </c>
      <c r="E1251" s="62" t="str">
        <f t="shared" si="4"/>
        <v>Brock Purdy</v>
      </c>
      <c r="F1251" s="62">
        <f t="shared" ref="F1251:G1251" si="2501">IF(isblank(F$1),,IF(isblank($A1251),,IFERROR(vlookup($A1251,indirect("'TVC-"&amp;text(month(F$1),"00")&amp;"'!$A:$D"),4,false),1)))</f>
        <v>5908</v>
      </c>
      <c r="G1251" s="62">
        <f t="shared" si="2501"/>
        <v>6098</v>
      </c>
      <c r="H1251" s="62">
        <f t="shared" ref="H1251:Q1251" si="2502">IF(isblank(H$1),,IFERROR(vlookup($A1251,indirect("'TVC-"&amp;text(month(H$1),"00")&amp;"'!$A:$D"),4,false),1))</f>
        <v>6117</v>
      </c>
      <c r="I1251" s="62">
        <f t="shared" si="2502"/>
        <v>5968</v>
      </c>
      <c r="J1251" s="62">
        <f t="shared" si="2502"/>
        <v>5895</v>
      </c>
      <c r="K1251" s="62">
        <f t="shared" si="2502"/>
        <v>5853</v>
      </c>
      <c r="L1251" s="62">
        <f t="shared" si="2502"/>
        <v>5837</v>
      </c>
      <c r="M1251" s="62">
        <f t="shared" si="2502"/>
        <v>5818</v>
      </c>
      <c r="N1251" s="62">
        <f t="shared" si="2502"/>
        <v>5659</v>
      </c>
      <c r="O1251" s="62">
        <f t="shared" si="2502"/>
        <v>1</v>
      </c>
      <c r="P1251" s="62" t="str">
        <f t="shared" si="2502"/>
        <v/>
      </c>
      <c r="Q1251" s="62" t="str">
        <f t="shared" si="2502"/>
        <v/>
      </c>
      <c r="R1251" s="62">
        <f t="shared" si="7"/>
        <v>-5658</v>
      </c>
      <c r="S1251" s="62"/>
      <c r="T1251" s="62"/>
      <c r="U1251" s="62"/>
      <c r="V1251" s="62"/>
      <c r="W1251" s="62"/>
      <c r="X1251" s="62"/>
      <c r="Y1251" s="62"/>
      <c r="Z1251" s="62"/>
      <c r="AA1251" s="62"/>
      <c r="AB1251" s="62"/>
      <c r="AC1251" s="62"/>
    </row>
    <row r="1252">
      <c r="A1252" s="60">
        <f>IFERROR(__xludf.DUMMYFUNCTION("""COMPUTED_VALUE"""),15699.0)</f>
        <v>15699</v>
      </c>
      <c r="B1252" s="60" t="str">
        <f>IFERROR(__xludf.DUMMYFUNCTION("""COMPUTED_VALUE"""),"Thompson, Skylar")</f>
        <v>Thompson, Skylar</v>
      </c>
      <c r="C1252" s="60" t="str">
        <f>IFERROR(__xludf.DUMMYFUNCTION("""COMPUTED_VALUE"""),"QB")</f>
        <v>QB</v>
      </c>
      <c r="D1252" s="60" t="str">
        <f>IFERROR(__xludf.DUMMYFUNCTION("""COMPUTED_VALUE"""),"BAL")</f>
        <v>BAL</v>
      </c>
      <c r="E1252" s="62" t="str">
        <f t="shared" si="4"/>
        <v>Skylar Thompson</v>
      </c>
      <c r="F1252" s="62">
        <f t="shared" ref="F1252:G1252" si="2503">IF(isblank(F$1),,IF(isblank($A1252),,IFERROR(vlookup($A1252,indirect("'TVC-"&amp;text(month(F$1),"00")&amp;"'!$A:$D"),4,false),1)))</f>
        <v>1</v>
      </c>
      <c r="G1252" s="62">
        <f t="shared" si="2503"/>
        <v>1</v>
      </c>
      <c r="H1252" s="62">
        <f t="shared" ref="H1252:Q1252" si="2504">IF(isblank(H$1),,IFERROR(vlookup($A1252,indirect("'TVC-"&amp;text(month(H$1),"00")&amp;"'!$A:$D"),4,false),1))</f>
        <v>1</v>
      </c>
      <c r="I1252" s="62">
        <f t="shared" si="2504"/>
        <v>1</v>
      </c>
      <c r="J1252" s="62">
        <f t="shared" si="2504"/>
        <v>1</v>
      </c>
      <c r="K1252" s="62">
        <f t="shared" si="2504"/>
        <v>1</v>
      </c>
      <c r="L1252" s="62">
        <f t="shared" si="2504"/>
        <v>1</v>
      </c>
      <c r="M1252" s="62">
        <f t="shared" si="2504"/>
        <v>1</v>
      </c>
      <c r="N1252" s="62">
        <f t="shared" si="2504"/>
        <v>1</v>
      </c>
      <c r="O1252" s="62">
        <f t="shared" si="2504"/>
        <v>1</v>
      </c>
      <c r="P1252" s="62" t="str">
        <f t="shared" si="2504"/>
        <v/>
      </c>
      <c r="Q1252" s="62" t="str">
        <f t="shared" si="2504"/>
        <v/>
      </c>
      <c r="R1252" s="62">
        <f t="shared" si="7"/>
        <v>0</v>
      </c>
      <c r="S1252" s="62"/>
      <c r="T1252" s="62"/>
      <c r="U1252" s="62"/>
      <c r="V1252" s="62"/>
      <c r="W1252" s="62"/>
      <c r="X1252" s="62"/>
      <c r="Y1252" s="62"/>
      <c r="Z1252" s="62"/>
      <c r="AA1252" s="62"/>
      <c r="AB1252" s="62"/>
      <c r="AC1252" s="62"/>
    </row>
    <row r="1253">
      <c r="A1253" s="60">
        <f>IFERROR(__xludf.DUMMYFUNCTION("""COMPUTED_VALUE"""),15702.0)</f>
        <v>15702</v>
      </c>
      <c r="B1253" s="60" t="str">
        <f>IFERROR(__xludf.DUMMYFUNCTION("""COMPUTED_VALUE"""),"McKee, Tanner")</f>
        <v>McKee, Tanner</v>
      </c>
      <c r="C1253" s="60" t="str">
        <f>IFERROR(__xludf.DUMMYFUNCTION("""COMPUTED_VALUE"""),"QB")</f>
        <v>QB</v>
      </c>
      <c r="D1253" s="60" t="str">
        <f>IFERROR(__xludf.DUMMYFUNCTION("""COMPUTED_VALUE"""),"PHI")</f>
        <v>PHI</v>
      </c>
      <c r="E1253" s="62" t="str">
        <f t="shared" si="4"/>
        <v>Tanner McKee</v>
      </c>
      <c r="F1253" s="62">
        <f t="shared" ref="F1253:G1253" si="2505">IF(isblank(F$1),,IF(isblank($A1253),,IFERROR(vlookup($A1253,indirect("'TVC-"&amp;text(month(F$1),"00")&amp;"'!$A:$D"),4,false),1)))</f>
        <v>1011</v>
      </c>
      <c r="G1253" s="62">
        <f t="shared" si="2505"/>
        <v>1175</v>
      </c>
      <c r="H1253" s="62">
        <f t="shared" ref="H1253:Q1253" si="2506">IF(isblank(H$1),,IFERROR(vlookup($A1253,indirect("'TVC-"&amp;text(month(H$1),"00")&amp;"'!$A:$D"),4,false),1))</f>
        <v>1247</v>
      </c>
      <c r="I1253" s="62">
        <f t="shared" si="2506"/>
        <v>1326</v>
      </c>
      <c r="J1253" s="62">
        <f t="shared" si="2506"/>
        <v>1270</v>
      </c>
      <c r="K1253" s="62">
        <f t="shared" si="2506"/>
        <v>1253</v>
      </c>
      <c r="L1253" s="62">
        <f t="shared" si="2506"/>
        <v>1225</v>
      </c>
      <c r="M1253" s="62">
        <f t="shared" si="2506"/>
        <v>1222</v>
      </c>
      <c r="N1253" s="62">
        <f t="shared" si="2506"/>
        <v>1072</v>
      </c>
      <c r="O1253" s="62">
        <f t="shared" si="2506"/>
        <v>1</v>
      </c>
      <c r="P1253" s="62" t="str">
        <f t="shared" si="2506"/>
        <v/>
      </c>
      <c r="Q1253" s="62" t="str">
        <f t="shared" si="2506"/>
        <v/>
      </c>
      <c r="R1253" s="62">
        <f t="shared" si="7"/>
        <v>-1071</v>
      </c>
      <c r="S1253" s="62"/>
      <c r="T1253" s="62"/>
      <c r="U1253" s="62"/>
      <c r="V1253" s="62"/>
      <c r="W1253" s="62"/>
      <c r="X1253" s="62"/>
      <c r="Y1253" s="62"/>
      <c r="Z1253" s="62"/>
      <c r="AA1253" s="62"/>
      <c r="AB1253" s="62"/>
      <c r="AC1253" s="62"/>
    </row>
    <row r="1254">
      <c r="A1254" s="60">
        <f>IFERROR(__xludf.DUMMYFUNCTION("""COMPUTED_VALUE"""),15708.0)</f>
        <v>15708</v>
      </c>
      <c r="B1254" s="60" t="str">
        <f>IFERROR(__xludf.DUMMYFUNCTION("""COMPUTED_VALUE"""),"Hall, Breece")</f>
        <v>Hall, Breece</v>
      </c>
      <c r="C1254" s="60" t="str">
        <f>IFERROR(__xludf.DUMMYFUNCTION("""COMPUTED_VALUE"""),"RB")</f>
        <v>RB</v>
      </c>
      <c r="D1254" s="60" t="str">
        <f>IFERROR(__xludf.DUMMYFUNCTION("""COMPUTED_VALUE"""),"NYJ")</f>
        <v>NYJ</v>
      </c>
      <c r="E1254" s="62" t="str">
        <f t="shared" si="4"/>
        <v>Breece Hall</v>
      </c>
      <c r="F1254" s="62">
        <f t="shared" ref="F1254:G1254" si="2507">IF(isblank(F$1),,IF(isblank($A1254),,IFERROR(vlookup($A1254,indirect("'TVC-"&amp;text(month(F$1),"00")&amp;"'!$A:$D"),4,false),1)))</f>
        <v>5178</v>
      </c>
      <c r="G1254" s="62">
        <f t="shared" si="2507"/>
        <v>5486</v>
      </c>
      <c r="H1254" s="62">
        <f t="shared" ref="H1254:Q1254" si="2508">IF(isblank(H$1),,IFERROR(vlookup($A1254,indirect("'TVC-"&amp;text(month(H$1),"00")&amp;"'!$A:$D"),4,false),1))</f>
        <v>5523</v>
      </c>
      <c r="I1254" s="62">
        <f t="shared" si="2508"/>
        <v>5354</v>
      </c>
      <c r="J1254" s="62">
        <f t="shared" si="2508"/>
        <v>5286</v>
      </c>
      <c r="K1254" s="62">
        <f t="shared" si="2508"/>
        <v>5433</v>
      </c>
      <c r="L1254" s="62">
        <f t="shared" si="2508"/>
        <v>5395</v>
      </c>
      <c r="M1254" s="62">
        <f t="shared" si="2508"/>
        <v>5285</v>
      </c>
      <c r="N1254" s="62">
        <f t="shared" si="2508"/>
        <v>5287</v>
      </c>
      <c r="O1254" s="62">
        <f t="shared" si="2508"/>
        <v>1</v>
      </c>
      <c r="P1254" s="62" t="str">
        <f t="shared" si="2508"/>
        <v/>
      </c>
      <c r="Q1254" s="62" t="str">
        <f t="shared" si="2508"/>
        <v/>
      </c>
      <c r="R1254" s="62">
        <f t="shared" si="7"/>
        <v>-5286</v>
      </c>
      <c r="S1254" s="62"/>
      <c r="T1254" s="62"/>
      <c r="U1254" s="62"/>
      <c r="V1254" s="62"/>
      <c r="W1254" s="62"/>
      <c r="X1254" s="62"/>
      <c r="Y1254" s="62"/>
      <c r="Z1254" s="62"/>
      <c r="AA1254" s="62"/>
      <c r="AB1254" s="62"/>
      <c r="AC1254" s="62"/>
    </row>
    <row r="1255" hidden="1">
      <c r="A1255" s="60">
        <f>IFERROR(__xludf.DUMMYFUNCTION("""COMPUTED_VALUE"""),15710.0)</f>
        <v>15710</v>
      </c>
      <c r="B1255" s="60" t="str">
        <f>IFERROR(__xludf.DUMMYFUNCTION("""COMPUTED_VALUE"""),"Williams, Kyren")</f>
        <v>Williams, Kyren</v>
      </c>
      <c r="C1255" s="60" t="str">
        <f>IFERROR(__xludf.DUMMYFUNCTION("""COMPUTED_VALUE"""),"RB")</f>
        <v>RB</v>
      </c>
      <c r="D1255" s="60" t="str">
        <f>IFERROR(__xludf.DUMMYFUNCTION("""COMPUTED_VALUE"""),"LAR")</f>
        <v>LAR</v>
      </c>
      <c r="E1255" s="62" t="str">
        <f t="shared" si="4"/>
        <v>Kyren Williams</v>
      </c>
      <c r="F1255" s="62">
        <f t="shared" ref="F1255:G1255" si="2509">IF(isblank(F$1),,IF(isblank($A1255),,IFERROR(vlookup($A1255,indirect("'TVC-"&amp;text(month(F$1),"00")&amp;"'!$A:$D"),4,false),1)))</f>
        <v>4847</v>
      </c>
      <c r="G1255" s="62">
        <f t="shared" si="2509"/>
        <v>4832</v>
      </c>
      <c r="H1255" s="62">
        <f t="shared" ref="H1255:Q1255" si="2510">IF(isblank(H$1),,IFERROR(vlookup($A1255,indirect("'TVC-"&amp;text(month(H$1),"00")&amp;"'!$A:$D"),4,false),1))</f>
        <v>4853</v>
      </c>
      <c r="I1255" s="62">
        <f t="shared" si="2510"/>
        <v>4845</v>
      </c>
      <c r="J1255" s="62">
        <f t="shared" si="2510"/>
        <v>4863</v>
      </c>
      <c r="K1255" s="62">
        <f t="shared" si="2510"/>
        <v>4848</v>
      </c>
      <c r="L1255" s="62">
        <f t="shared" si="2510"/>
        <v>4864</v>
      </c>
      <c r="M1255" s="62">
        <f t="shared" si="2510"/>
        <v>4958</v>
      </c>
      <c r="N1255" s="62">
        <f t="shared" si="2510"/>
        <v>4953</v>
      </c>
      <c r="O1255" s="62">
        <f t="shared" si="2510"/>
        <v>1</v>
      </c>
      <c r="P1255" s="62" t="str">
        <f t="shared" si="2510"/>
        <v/>
      </c>
      <c r="Q1255" s="62" t="str">
        <f t="shared" si="2510"/>
        <v/>
      </c>
      <c r="R1255" s="62">
        <f t="shared" si="7"/>
        <v>-4952</v>
      </c>
      <c r="S1255" s="62"/>
      <c r="T1255" s="62"/>
      <c r="U1255" s="62"/>
      <c r="V1255" s="62"/>
      <c r="W1255" s="62"/>
      <c r="X1255" s="62"/>
      <c r="Y1255" s="62"/>
      <c r="Z1255" s="62"/>
      <c r="AA1255" s="62"/>
      <c r="AB1255" s="62"/>
      <c r="AC1255" s="62"/>
    </row>
    <row r="1256">
      <c r="A1256" s="60">
        <f>IFERROR(__xludf.DUMMYFUNCTION("""COMPUTED_VALUE"""),15711.0)</f>
        <v>15711</v>
      </c>
      <c r="B1256" s="60" t="str">
        <f>IFERROR(__xludf.DUMMYFUNCTION("""COMPUTED_VALUE"""),"Walker III, Kenneth")</f>
        <v>Walker III, Kenneth</v>
      </c>
      <c r="C1256" s="60" t="str">
        <f>IFERROR(__xludf.DUMMYFUNCTION("""COMPUTED_VALUE"""),"RB")</f>
        <v>RB</v>
      </c>
      <c r="D1256" s="60" t="str">
        <f>IFERROR(__xludf.DUMMYFUNCTION("""COMPUTED_VALUE"""),"KCC")</f>
        <v>KCC</v>
      </c>
      <c r="E1256" s="62" t="str">
        <f t="shared" si="4"/>
        <v>Kenneth Walker III</v>
      </c>
      <c r="F1256" s="62">
        <f t="shared" ref="F1256:G1256" si="2511">IF(isblank(F$1),,IF(isblank($A1256),,IFERROR(vlookup($A1256,indirect("'TVC-"&amp;text(month(F$1),"00")&amp;"'!$A:$D"),4,false),1)))</f>
        <v>4135</v>
      </c>
      <c r="G1256" s="62">
        <f t="shared" si="2511"/>
        <v>4968</v>
      </c>
      <c r="H1256" s="62">
        <f t="shared" ref="H1256:Q1256" si="2512">IF(isblank(H$1),,IFERROR(vlookup($A1256,indirect("'TVC-"&amp;text(month(H$1),"00")&amp;"'!$A:$D"),4,false),1))</f>
        <v>5047</v>
      </c>
      <c r="I1256" s="62">
        <f t="shared" si="2512"/>
        <v>5764</v>
      </c>
      <c r="J1256" s="62">
        <f t="shared" si="2512"/>
        <v>5531</v>
      </c>
      <c r="K1256" s="62">
        <f t="shared" si="2512"/>
        <v>5421</v>
      </c>
      <c r="L1256" s="62">
        <f t="shared" si="2512"/>
        <v>5486</v>
      </c>
      <c r="M1256" s="62">
        <f t="shared" si="2512"/>
        <v>5601</v>
      </c>
      <c r="N1256" s="62">
        <f t="shared" si="2512"/>
        <v>5750</v>
      </c>
      <c r="O1256" s="62">
        <f t="shared" si="2512"/>
        <v>1</v>
      </c>
      <c r="P1256" s="62" t="str">
        <f t="shared" si="2512"/>
        <v/>
      </c>
      <c r="Q1256" s="62" t="str">
        <f t="shared" si="2512"/>
        <v/>
      </c>
      <c r="R1256" s="62">
        <f t="shared" si="7"/>
        <v>-5749</v>
      </c>
      <c r="S1256" s="62"/>
      <c r="T1256" s="62"/>
      <c r="U1256" s="62"/>
      <c r="V1256" s="62"/>
      <c r="W1256" s="62"/>
      <c r="X1256" s="62"/>
      <c r="Y1256" s="62"/>
      <c r="Z1256" s="62"/>
      <c r="AA1256" s="62"/>
      <c r="AB1256" s="62"/>
      <c r="AC1256" s="62"/>
    </row>
    <row r="1257">
      <c r="A1257" s="60">
        <f>IFERROR(__xludf.DUMMYFUNCTION("""COMPUTED_VALUE"""),15712.0)</f>
        <v>15712</v>
      </c>
      <c r="B1257" s="60" t="str">
        <f>IFERROR(__xludf.DUMMYFUNCTION("""COMPUTED_VALUE"""),"Allgeier, Tyler")</f>
        <v>Allgeier, Tyler</v>
      </c>
      <c r="C1257" s="60" t="str">
        <f>IFERROR(__xludf.DUMMYFUNCTION("""COMPUTED_VALUE"""),"RB")</f>
        <v>RB</v>
      </c>
      <c r="D1257" s="60" t="str">
        <f>IFERROR(__xludf.DUMMYFUNCTION("""COMPUTED_VALUE"""),"ARI")</f>
        <v>ARI</v>
      </c>
      <c r="E1257" s="62" t="str">
        <f t="shared" si="4"/>
        <v>Tyler Allgeier</v>
      </c>
      <c r="F1257" s="62">
        <f t="shared" ref="F1257:G1257" si="2513">IF(isblank(F$1),,IF(isblank($A1257),,IFERROR(vlookup($A1257,indirect("'TVC-"&amp;text(month(F$1),"00")&amp;"'!$A:$D"),4,false),1)))</f>
        <v>2907</v>
      </c>
      <c r="G1257" s="62">
        <f t="shared" si="2513"/>
        <v>3212</v>
      </c>
      <c r="H1257" s="62">
        <f t="shared" ref="H1257:Q1257" si="2514">IF(isblank(H$1),,IFERROR(vlookup($A1257,indirect("'TVC-"&amp;text(month(H$1),"00")&amp;"'!$A:$D"),4,false),1))</f>
        <v>3348</v>
      </c>
      <c r="I1257" s="62">
        <f t="shared" si="2514"/>
        <v>3576</v>
      </c>
      <c r="J1257" s="62">
        <f t="shared" si="2514"/>
        <v>2820</v>
      </c>
      <c r="K1257" s="62">
        <f t="shared" si="2514"/>
        <v>2729</v>
      </c>
      <c r="L1257" s="62">
        <f t="shared" si="2514"/>
        <v>2744</v>
      </c>
      <c r="M1257" s="62">
        <f t="shared" si="2514"/>
        <v>2689</v>
      </c>
      <c r="N1257" s="62">
        <f t="shared" si="2514"/>
        <v>2806</v>
      </c>
      <c r="O1257" s="62">
        <f t="shared" si="2514"/>
        <v>1</v>
      </c>
      <c r="P1257" s="62" t="str">
        <f t="shared" si="2514"/>
        <v/>
      </c>
      <c r="Q1257" s="62" t="str">
        <f t="shared" si="2514"/>
        <v/>
      </c>
      <c r="R1257" s="62">
        <f t="shared" si="7"/>
        <v>-2805</v>
      </c>
      <c r="S1257" s="62"/>
      <c r="T1257" s="62"/>
      <c r="U1257" s="62"/>
      <c r="V1257" s="62"/>
      <c r="W1257" s="62"/>
      <c r="X1257" s="62"/>
      <c r="Y1257" s="62"/>
      <c r="Z1257" s="62"/>
      <c r="AA1257" s="62"/>
      <c r="AB1257" s="62"/>
      <c r="AC1257" s="62"/>
    </row>
    <row r="1258" hidden="1">
      <c r="A1258" s="60">
        <f>IFERROR(__xludf.DUMMYFUNCTION("""COMPUTED_VALUE"""),15713.0)</f>
        <v>15713</v>
      </c>
      <c r="B1258" s="60" t="str">
        <f>IFERROR(__xludf.DUMMYFUNCTION("""COMPUTED_VALUE"""),"Ford, Jerome")</f>
        <v>Ford, Jerome</v>
      </c>
      <c r="C1258" s="60" t="str">
        <f>IFERROR(__xludf.DUMMYFUNCTION("""COMPUTED_VALUE"""),"RB")</f>
        <v>RB</v>
      </c>
      <c r="D1258" s="60" t="str">
        <f>IFERROR(__xludf.DUMMYFUNCTION("""COMPUTED_VALUE"""),"ARI")</f>
        <v>ARI</v>
      </c>
      <c r="E1258" s="62" t="str">
        <f t="shared" si="4"/>
        <v>Jerome Ford</v>
      </c>
      <c r="F1258" s="62">
        <f t="shared" ref="F1258:G1258" si="2515">IF(isblank(F$1),,IF(isblank($A1258),,IFERROR(vlookup($A1258,indirect("'TVC-"&amp;text(month(F$1),"00")&amp;"'!$A:$D"),4,false),1)))</f>
        <v>1317</v>
      </c>
      <c r="G1258" s="62">
        <f t="shared" si="2515"/>
        <v>1415</v>
      </c>
      <c r="H1258" s="62">
        <f t="shared" ref="H1258:Q1258" si="2516">IF(isblank(H$1),,IFERROR(vlookup($A1258,indirect("'TVC-"&amp;text(month(H$1),"00")&amp;"'!$A:$D"),4,false),1))</f>
        <v>1494</v>
      </c>
      <c r="I1258" s="62">
        <f t="shared" si="2516"/>
        <v>1615</v>
      </c>
      <c r="J1258" s="62">
        <f t="shared" si="2516"/>
        <v>1548</v>
      </c>
      <c r="K1258" s="62">
        <f t="shared" si="2516"/>
        <v>1568</v>
      </c>
      <c r="L1258" s="62">
        <f t="shared" si="2516"/>
        <v>1515</v>
      </c>
      <c r="M1258" s="62">
        <f t="shared" si="2516"/>
        <v>1421</v>
      </c>
      <c r="N1258" s="62">
        <f t="shared" si="2516"/>
        <v>999</v>
      </c>
      <c r="O1258" s="62">
        <f t="shared" si="2516"/>
        <v>1</v>
      </c>
      <c r="P1258" s="62" t="str">
        <f t="shared" si="2516"/>
        <v/>
      </c>
      <c r="Q1258" s="62" t="str">
        <f t="shared" si="2516"/>
        <v/>
      </c>
      <c r="R1258" s="62">
        <f t="shared" si="7"/>
        <v>-998</v>
      </c>
      <c r="S1258" s="62"/>
      <c r="T1258" s="62"/>
      <c r="U1258" s="62"/>
      <c r="V1258" s="62"/>
      <c r="W1258" s="62"/>
      <c r="X1258" s="62"/>
      <c r="Y1258" s="62"/>
      <c r="Z1258" s="62"/>
      <c r="AA1258" s="62"/>
      <c r="AB1258" s="62"/>
      <c r="AC1258" s="62"/>
    </row>
    <row r="1259" hidden="1">
      <c r="A1259" s="60">
        <f>IFERROR(__xludf.DUMMYFUNCTION("""COMPUTED_VALUE"""),15714.0)</f>
        <v>15714</v>
      </c>
      <c r="B1259" s="60" t="str">
        <f>IFERROR(__xludf.DUMMYFUNCTION("""COMPUTED_VALUE"""),"White, Zamir")</f>
        <v>White, Zamir</v>
      </c>
      <c r="C1259" s="60" t="str">
        <f>IFERROR(__xludf.DUMMYFUNCTION("""COMPUTED_VALUE"""),"RB")</f>
        <v>RB</v>
      </c>
      <c r="D1259" s="60" t="str">
        <f>IFERROR(__xludf.DUMMYFUNCTION("""COMPUTED_VALUE"""),"NOS")</f>
        <v>NOS</v>
      </c>
      <c r="E1259" s="62" t="str">
        <f t="shared" si="4"/>
        <v>Zamir White</v>
      </c>
      <c r="F1259" s="62">
        <f t="shared" ref="F1259:G1259" si="2517">IF(isblank(F$1),,IF(isblank($A1259),,IFERROR(vlookup($A1259,indirect("'TVC-"&amp;text(month(F$1),"00")&amp;"'!$A:$D"),4,false),1)))</f>
        <v>870</v>
      </c>
      <c r="G1259" s="62">
        <f t="shared" si="2517"/>
        <v>855</v>
      </c>
      <c r="H1259" s="62">
        <f t="shared" ref="H1259:Q1259" si="2518">IF(isblank(H$1),,IFERROR(vlookup($A1259,indirect("'TVC-"&amp;text(month(H$1),"00")&amp;"'!$A:$D"),4,false),1))</f>
        <v>850</v>
      </c>
      <c r="I1259" s="62">
        <f t="shared" si="2518"/>
        <v>740</v>
      </c>
      <c r="J1259" s="62">
        <f t="shared" si="2518"/>
        <v>1</v>
      </c>
      <c r="K1259" s="62">
        <f t="shared" si="2518"/>
        <v>1</v>
      </c>
      <c r="L1259" s="62">
        <f t="shared" si="2518"/>
        <v>491</v>
      </c>
      <c r="M1259" s="62">
        <f t="shared" si="2518"/>
        <v>1</v>
      </c>
      <c r="N1259" s="62">
        <f t="shared" si="2518"/>
        <v>608</v>
      </c>
      <c r="O1259" s="62">
        <f t="shared" si="2518"/>
        <v>1</v>
      </c>
      <c r="P1259" s="62" t="str">
        <f t="shared" si="2518"/>
        <v/>
      </c>
      <c r="Q1259" s="62" t="str">
        <f t="shared" si="2518"/>
        <v/>
      </c>
      <c r="R1259" s="62">
        <f t="shared" si="7"/>
        <v>-607</v>
      </c>
      <c r="S1259" s="62"/>
      <c r="T1259" s="62"/>
      <c r="U1259" s="62"/>
      <c r="V1259" s="62"/>
      <c r="W1259" s="62"/>
      <c r="X1259" s="62"/>
      <c r="Y1259" s="62"/>
      <c r="Z1259" s="62"/>
      <c r="AA1259" s="62"/>
      <c r="AB1259" s="62"/>
      <c r="AC1259" s="62"/>
    </row>
    <row r="1260">
      <c r="A1260" s="60">
        <f>IFERROR(__xludf.DUMMYFUNCTION("""COMPUTED_VALUE"""),15715.0)</f>
        <v>15715</v>
      </c>
      <c r="B1260" s="60" t="str">
        <f>IFERROR(__xludf.DUMMYFUNCTION("""COMPUTED_VALUE"""),"Cook, James")</f>
        <v>Cook, James</v>
      </c>
      <c r="C1260" s="60" t="str">
        <f>IFERROR(__xludf.DUMMYFUNCTION("""COMPUTED_VALUE"""),"RB")</f>
        <v>RB</v>
      </c>
      <c r="D1260" s="60" t="str">
        <f>IFERROR(__xludf.DUMMYFUNCTION("""COMPUTED_VALUE"""),"BUF")</f>
        <v>BUF</v>
      </c>
      <c r="E1260" s="62" t="str">
        <f t="shared" si="4"/>
        <v>James Cook</v>
      </c>
      <c r="F1260" s="62">
        <f t="shared" ref="F1260:G1260" si="2519">IF(isblank(F$1),,IF(isblank($A1260),,IFERROR(vlookup($A1260,indirect("'TVC-"&amp;text(month(F$1),"00")&amp;"'!$A:$D"),4,false),1)))</f>
        <v>6048</v>
      </c>
      <c r="G1260" s="62">
        <f t="shared" si="2519"/>
        <v>6165</v>
      </c>
      <c r="H1260" s="62">
        <f t="shared" ref="H1260:Q1260" si="2520">IF(isblank(H$1),,IFERROR(vlookup($A1260,indirect("'TVC-"&amp;text(month(H$1),"00")&amp;"'!$A:$D"),4,false),1))</f>
        <v>6171</v>
      </c>
      <c r="I1260" s="62">
        <f t="shared" si="2520"/>
        <v>5990</v>
      </c>
      <c r="J1260" s="62">
        <f t="shared" si="2520"/>
        <v>6124</v>
      </c>
      <c r="K1260" s="62">
        <f t="shared" si="2520"/>
        <v>5983</v>
      </c>
      <c r="L1260" s="62">
        <f t="shared" si="2520"/>
        <v>6044</v>
      </c>
      <c r="M1260" s="62">
        <f t="shared" si="2520"/>
        <v>6101</v>
      </c>
      <c r="N1260" s="62">
        <f t="shared" si="2520"/>
        <v>6521</v>
      </c>
      <c r="O1260" s="62">
        <f t="shared" si="2520"/>
        <v>1</v>
      </c>
      <c r="P1260" s="62" t="str">
        <f t="shared" si="2520"/>
        <v/>
      </c>
      <c r="Q1260" s="62" t="str">
        <f t="shared" si="2520"/>
        <v/>
      </c>
      <c r="R1260" s="62">
        <f t="shared" si="7"/>
        <v>-6520</v>
      </c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</row>
    <row r="1261">
      <c r="A1261" s="60">
        <f>IFERROR(__xludf.DUMMYFUNCTION("""COMPUTED_VALUE"""),15716.0)</f>
        <v>15716</v>
      </c>
      <c r="B1261" s="60" t="str">
        <f>IFERROR(__xludf.DUMMYFUNCTION("""COMPUTED_VALUE"""),"Robinson, Brian")</f>
        <v>Robinson, Brian</v>
      </c>
      <c r="C1261" s="60" t="str">
        <f>IFERROR(__xludf.DUMMYFUNCTION("""COMPUTED_VALUE"""),"RB")</f>
        <v>RB</v>
      </c>
      <c r="D1261" s="60" t="str">
        <f>IFERROR(__xludf.DUMMYFUNCTION("""COMPUTED_VALUE"""),"ATL")</f>
        <v>ATL</v>
      </c>
      <c r="E1261" s="62" t="str">
        <f t="shared" si="4"/>
        <v>Brian Robinson</v>
      </c>
      <c r="F1261" s="62">
        <f t="shared" ref="F1261:G1261" si="2521">IF(isblank(F$1),,IF(isblank($A1261),,IFERROR(vlookup($A1261,indirect("'TVC-"&amp;text(month(F$1),"00")&amp;"'!$A:$D"),4,false),1)))</f>
        <v>2413</v>
      </c>
      <c r="G1261" s="62">
        <f t="shared" si="2521"/>
        <v>2355</v>
      </c>
      <c r="H1261" s="62">
        <f t="shared" ref="H1261:Q1261" si="2522">IF(isblank(H$1),,IFERROR(vlookup($A1261,indirect("'TVC-"&amp;text(month(H$1),"00")&amp;"'!$A:$D"),4,false),1))</f>
        <v>2360</v>
      </c>
      <c r="I1261" s="62">
        <f t="shared" si="2522"/>
        <v>2256</v>
      </c>
      <c r="J1261" s="62">
        <f t="shared" si="2522"/>
        <v>2404</v>
      </c>
      <c r="K1261" s="62">
        <f t="shared" si="2522"/>
        <v>2385</v>
      </c>
      <c r="L1261" s="62">
        <f t="shared" si="2522"/>
        <v>2344</v>
      </c>
      <c r="M1261" s="62">
        <f t="shared" si="2522"/>
        <v>2385</v>
      </c>
      <c r="N1261" s="62">
        <f t="shared" si="2522"/>
        <v>2282</v>
      </c>
      <c r="O1261" s="62">
        <f t="shared" si="2522"/>
        <v>1</v>
      </c>
      <c r="P1261" s="62" t="str">
        <f t="shared" si="2522"/>
        <v/>
      </c>
      <c r="Q1261" s="62" t="str">
        <f t="shared" si="2522"/>
        <v/>
      </c>
      <c r="R1261" s="62">
        <f t="shared" si="7"/>
        <v>-2281</v>
      </c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</row>
    <row r="1262" hidden="1">
      <c r="A1262" s="60">
        <f>IFERROR(__xludf.DUMMYFUNCTION("""COMPUTED_VALUE"""),15717.0)</f>
        <v>15717</v>
      </c>
      <c r="B1262" s="60" t="str">
        <f>IFERROR(__xludf.DUMMYFUNCTION("""COMPUTED_VALUE"""),"Pierce, Dameon")</f>
        <v>Pierce, Dameon</v>
      </c>
      <c r="C1262" s="60" t="str">
        <f>IFERROR(__xludf.DUMMYFUNCTION("""COMPUTED_VALUE"""),"RB")</f>
        <v>RB</v>
      </c>
      <c r="D1262" s="60" t="str">
        <f>IFERROR(__xludf.DUMMYFUNCTION("""COMPUTED_VALUE"""),"PHI")</f>
        <v>PHI</v>
      </c>
      <c r="E1262" s="62" t="str">
        <f t="shared" si="4"/>
        <v>Dameon Pierce</v>
      </c>
      <c r="F1262" s="62">
        <f t="shared" ref="F1262:G1262" si="2523">IF(isblank(F$1),,IF(isblank($A1262),,IFERROR(vlookup($A1262,indirect("'TVC-"&amp;text(month(F$1),"00")&amp;"'!$A:$D"),4,false),1)))</f>
        <v>1076</v>
      </c>
      <c r="G1262" s="62">
        <f t="shared" si="2523"/>
        <v>1083</v>
      </c>
      <c r="H1262" s="62">
        <f t="shared" ref="H1262:Q1262" si="2524">IF(isblank(H$1),,IFERROR(vlookup($A1262,indirect("'TVC-"&amp;text(month(H$1),"00")&amp;"'!$A:$D"),4,false),1))</f>
        <v>1071</v>
      </c>
      <c r="I1262" s="62">
        <f t="shared" si="2524"/>
        <v>1142</v>
      </c>
      <c r="J1262" s="62">
        <f t="shared" si="2524"/>
        <v>1035</v>
      </c>
      <c r="K1262" s="62">
        <f t="shared" si="2524"/>
        <v>991</v>
      </c>
      <c r="L1262" s="62">
        <f t="shared" si="2524"/>
        <v>993</v>
      </c>
      <c r="M1262" s="62">
        <f t="shared" si="2524"/>
        <v>1026</v>
      </c>
      <c r="N1262" s="62">
        <f t="shared" si="2524"/>
        <v>948</v>
      </c>
      <c r="O1262" s="62">
        <f t="shared" si="2524"/>
        <v>1</v>
      </c>
      <c r="P1262" s="62" t="str">
        <f t="shared" si="2524"/>
        <v/>
      </c>
      <c r="Q1262" s="62" t="str">
        <f t="shared" si="2524"/>
        <v/>
      </c>
      <c r="R1262" s="62">
        <f t="shared" si="7"/>
        <v>-947</v>
      </c>
      <c r="S1262" s="62"/>
      <c r="T1262" s="62"/>
      <c r="U1262" s="62"/>
      <c r="V1262" s="62"/>
      <c r="W1262" s="62"/>
      <c r="X1262" s="62"/>
      <c r="Y1262" s="62"/>
      <c r="Z1262" s="62"/>
      <c r="AA1262" s="62"/>
      <c r="AB1262" s="62"/>
      <c r="AC1262" s="62"/>
    </row>
    <row r="1263">
      <c r="A1263" s="60">
        <f>IFERROR(__xludf.DUMMYFUNCTION("""COMPUTED_VALUE"""),15718.0)</f>
        <v>15718</v>
      </c>
      <c r="B1263" s="60" t="str">
        <f>IFERROR(__xludf.DUMMYFUNCTION("""COMPUTED_VALUE"""),"Badie, Tyler")</f>
        <v>Badie, Tyler</v>
      </c>
      <c r="C1263" s="60" t="str">
        <f>IFERROR(__xludf.DUMMYFUNCTION("""COMPUTED_VALUE"""),"RB")</f>
        <v>RB</v>
      </c>
      <c r="D1263" s="60" t="str">
        <f>IFERROR(__xludf.DUMMYFUNCTION("""COMPUTED_VALUE"""),"DEN")</f>
        <v>DEN</v>
      </c>
      <c r="E1263" s="62" t="str">
        <f t="shared" si="4"/>
        <v>Tyler Badie</v>
      </c>
      <c r="F1263" s="62">
        <f t="shared" ref="F1263:G1263" si="2525">IF(isblank(F$1),,IF(isblank($A1263),,IFERROR(vlookup($A1263,indirect("'TVC-"&amp;text(month(F$1),"00")&amp;"'!$A:$D"),4,false),1)))</f>
        <v>1163</v>
      </c>
      <c r="G1263" s="62">
        <f t="shared" si="2525"/>
        <v>1079</v>
      </c>
      <c r="H1263" s="62">
        <f t="shared" ref="H1263:Q1263" si="2526">IF(isblank(H$1),,IFERROR(vlookup($A1263,indirect("'TVC-"&amp;text(month(H$1),"00")&amp;"'!$A:$D"),4,false),1))</f>
        <v>1058</v>
      </c>
      <c r="I1263" s="62">
        <f t="shared" si="2526"/>
        <v>1038</v>
      </c>
      <c r="J1263" s="62">
        <f t="shared" si="2526"/>
        <v>1053</v>
      </c>
      <c r="K1263" s="62">
        <f t="shared" si="2526"/>
        <v>969</v>
      </c>
      <c r="L1263" s="62">
        <f t="shared" si="2526"/>
        <v>976</v>
      </c>
      <c r="M1263" s="62">
        <f t="shared" si="2526"/>
        <v>990</v>
      </c>
      <c r="N1263" s="62">
        <f t="shared" si="2526"/>
        <v>889</v>
      </c>
      <c r="O1263" s="62">
        <f t="shared" si="2526"/>
        <v>1</v>
      </c>
      <c r="P1263" s="62" t="str">
        <f t="shared" si="2526"/>
        <v/>
      </c>
      <c r="Q1263" s="62" t="str">
        <f t="shared" si="2526"/>
        <v/>
      </c>
      <c r="R1263" s="62">
        <f t="shared" si="7"/>
        <v>-888</v>
      </c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</row>
    <row r="1264">
      <c r="A1264" s="60">
        <f>IFERROR(__xludf.DUMMYFUNCTION("""COMPUTED_VALUE"""),15720.0)</f>
        <v>15720</v>
      </c>
      <c r="B1264" s="60" t="str">
        <f>IFERROR(__xludf.DUMMYFUNCTION("""COMPUTED_VALUE"""),"Haskins, Hassan")</f>
        <v>Haskins, Hassan</v>
      </c>
      <c r="C1264" s="60" t="str">
        <f>IFERROR(__xludf.DUMMYFUNCTION("""COMPUTED_VALUE"""),"RB")</f>
        <v>RB</v>
      </c>
      <c r="D1264" s="60" t="str">
        <f>IFERROR(__xludf.DUMMYFUNCTION("""COMPUTED_VALUE"""),"NEP")</f>
        <v>NEP</v>
      </c>
      <c r="E1264" s="62" t="str">
        <f t="shared" si="4"/>
        <v>Hassan Haskins</v>
      </c>
      <c r="F1264" s="62">
        <f t="shared" ref="F1264:G1264" si="2527">IF(isblank(F$1),,IF(isblank($A1264),,IFERROR(vlookup($A1264,indirect("'TVC-"&amp;text(month(F$1),"00")&amp;"'!$A:$D"),4,false),1)))</f>
        <v>998</v>
      </c>
      <c r="G1264" s="62">
        <f t="shared" si="2527"/>
        <v>1033</v>
      </c>
      <c r="H1264" s="62">
        <f t="shared" ref="H1264:Q1264" si="2528">IF(isblank(H$1),,IFERROR(vlookup($A1264,indirect("'TVC-"&amp;text(month(H$1),"00")&amp;"'!$A:$D"),4,false),1))</f>
        <v>1048</v>
      </c>
      <c r="I1264" s="62">
        <f t="shared" si="2528"/>
        <v>1022</v>
      </c>
      <c r="J1264" s="62">
        <f t="shared" si="2528"/>
        <v>1005</v>
      </c>
      <c r="K1264" s="62">
        <f t="shared" si="2528"/>
        <v>907</v>
      </c>
      <c r="L1264" s="62">
        <f t="shared" si="2528"/>
        <v>874</v>
      </c>
      <c r="M1264" s="62">
        <f t="shared" si="2528"/>
        <v>897</v>
      </c>
      <c r="N1264" s="62">
        <f t="shared" si="2528"/>
        <v>469</v>
      </c>
      <c r="O1264" s="62">
        <f t="shared" si="2528"/>
        <v>1</v>
      </c>
      <c r="P1264" s="62" t="str">
        <f t="shared" si="2528"/>
        <v/>
      </c>
      <c r="Q1264" s="62" t="str">
        <f t="shared" si="2528"/>
        <v/>
      </c>
      <c r="R1264" s="62">
        <f t="shared" si="7"/>
        <v>-468</v>
      </c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</row>
    <row r="1265">
      <c r="A1265" s="60">
        <f>IFERROR(__xludf.DUMMYFUNCTION("""COMPUTED_VALUE"""),15721.0)</f>
        <v>15721</v>
      </c>
      <c r="B1265" s="60" t="str">
        <f>IFERROR(__xludf.DUMMYFUNCTION("""COMPUTED_VALUE"""),"White, Rachaad")</f>
        <v>White, Rachaad</v>
      </c>
      <c r="C1265" s="60" t="str">
        <f>IFERROR(__xludf.DUMMYFUNCTION("""COMPUTED_VALUE"""),"RB")</f>
        <v>RB</v>
      </c>
      <c r="D1265" s="60" t="str">
        <f>IFERROR(__xludf.DUMMYFUNCTION("""COMPUTED_VALUE"""),"WAS")</f>
        <v>WAS</v>
      </c>
      <c r="E1265" s="62" t="str">
        <f t="shared" si="4"/>
        <v>Rachaad White</v>
      </c>
      <c r="F1265" s="62">
        <f t="shared" ref="F1265:G1265" si="2529">IF(isblank(F$1),,IF(isblank($A1265),,IFERROR(vlookup($A1265,indirect("'TVC-"&amp;text(month(F$1),"00")&amp;"'!$A:$D"),4,false),1)))</f>
        <v>2350</v>
      </c>
      <c r="G1265" s="62">
        <f t="shared" si="2529"/>
        <v>2585</v>
      </c>
      <c r="H1265" s="62">
        <f t="shared" ref="H1265:Q1265" si="2530">IF(isblank(H$1),,IFERROR(vlookup($A1265,indirect("'TVC-"&amp;text(month(H$1),"00")&amp;"'!$A:$D"),4,false),1))</f>
        <v>2636</v>
      </c>
      <c r="I1265" s="62">
        <f t="shared" si="2530"/>
        <v>2708</v>
      </c>
      <c r="J1265" s="62">
        <f t="shared" si="2530"/>
        <v>2714</v>
      </c>
      <c r="K1265" s="62">
        <f t="shared" si="2530"/>
        <v>2732</v>
      </c>
      <c r="L1265" s="62">
        <f t="shared" si="2530"/>
        <v>2753</v>
      </c>
      <c r="M1265" s="62">
        <f t="shared" si="2530"/>
        <v>2745</v>
      </c>
      <c r="N1265" s="62">
        <f t="shared" si="2530"/>
        <v>2632</v>
      </c>
      <c r="O1265" s="62">
        <f t="shared" si="2530"/>
        <v>1</v>
      </c>
      <c r="P1265" s="62" t="str">
        <f t="shared" si="2530"/>
        <v/>
      </c>
      <c r="Q1265" s="62" t="str">
        <f t="shared" si="2530"/>
        <v/>
      </c>
      <c r="R1265" s="62">
        <f t="shared" si="7"/>
        <v>-2631</v>
      </c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</row>
    <row r="1266">
      <c r="A1266" s="60">
        <f>IFERROR(__xludf.DUMMYFUNCTION("""COMPUTED_VALUE"""),15723.0)</f>
        <v>15723</v>
      </c>
      <c r="B1266" s="60" t="str">
        <f>IFERROR(__xludf.DUMMYFUNCTION("""COMPUTED_VALUE"""),"Chandler, Ty")</f>
        <v>Chandler, Ty</v>
      </c>
      <c r="C1266" s="60" t="str">
        <f>IFERROR(__xludf.DUMMYFUNCTION("""COMPUTED_VALUE"""),"RB")</f>
        <v>RB</v>
      </c>
      <c r="D1266" s="60" t="str">
        <f>IFERROR(__xludf.DUMMYFUNCTION("""COMPUTED_VALUE"""),"NOS")</f>
        <v>NOS</v>
      </c>
      <c r="E1266" s="62" t="str">
        <f t="shared" si="4"/>
        <v>Ty Chandler</v>
      </c>
      <c r="F1266" s="62">
        <f t="shared" ref="F1266:G1266" si="2531">IF(isblank(F$1),,IF(isblank($A1266),,IFERROR(vlookup($A1266,indirect("'TVC-"&amp;text(month(F$1),"00")&amp;"'!$A:$D"),4,false),1)))</f>
        <v>904</v>
      </c>
      <c r="G1266" s="62">
        <f t="shared" si="2531"/>
        <v>904</v>
      </c>
      <c r="H1266" s="62">
        <f t="shared" ref="H1266:Q1266" si="2532">IF(isblank(H$1),,IFERROR(vlookup($A1266,indirect("'TVC-"&amp;text(month(H$1),"00")&amp;"'!$A:$D"),4,false),1))</f>
        <v>895</v>
      </c>
      <c r="I1266" s="62">
        <f t="shared" si="2532"/>
        <v>930</v>
      </c>
      <c r="J1266" s="62">
        <f t="shared" si="2532"/>
        <v>948</v>
      </c>
      <c r="K1266" s="62">
        <f t="shared" si="2532"/>
        <v>692</v>
      </c>
      <c r="L1266" s="62">
        <f t="shared" si="2532"/>
        <v>702</v>
      </c>
      <c r="M1266" s="62">
        <f t="shared" si="2532"/>
        <v>636</v>
      </c>
      <c r="N1266" s="62">
        <f t="shared" si="2532"/>
        <v>463</v>
      </c>
      <c r="O1266" s="62">
        <f t="shared" si="2532"/>
        <v>1</v>
      </c>
      <c r="P1266" s="62" t="str">
        <f t="shared" si="2532"/>
        <v/>
      </c>
      <c r="Q1266" s="62" t="str">
        <f t="shared" si="2532"/>
        <v/>
      </c>
      <c r="R1266" s="62">
        <f t="shared" si="7"/>
        <v>-462</v>
      </c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</row>
    <row r="1267">
      <c r="A1267" s="60">
        <f>IFERROR(__xludf.DUMMYFUNCTION("""COMPUTED_VALUE"""),15726.0)</f>
        <v>15726</v>
      </c>
      <c r="B1267" s="60" t="str">
        <f>IFERROR(__xludf.DUMMYFUNCTION("""COMPUTED_VALUE"""),"Rivers, Ronnie")</f>
        <v>Rivers, Ronnie</v>
      </c>
      <c r="C1267" s="60" t="str">
        <f>IFERROR(__xludf.DUMMYFUNCTION("""COMPUTED_VALUE"""),"RB")</f>
        <v>RB</v>
      </c>
      <c r="D1267" s="60" t="str">
        <f>IFERROR(__xludf.DUMMYFUNCTION("""COMPUTED_VALUE"""),"LAR")</f>
        <v>LAR</v>
      </c>
      <c r="E1267" s="62" t="str">
        <f t="shared" si="4"/>
        <v>Ronnie Rivers</v>
      </c>
      <c r="F1267" s="62">
        <f t="shared" ref="F1267:G1267" si="2533">IF(isblank(F$1),,IF(isblank($A1267),,IFERROR(vlookup($A1267,indirect("'TVC-"&amp;text(month(F$1),"00")&amp;"'!$A:$D"),4,false),1)))</f>
        <v>1</v>
      </c>
      <c r="G1267" s="62">
        <f t="shared" si="2533"/>
        <v>1</v>
      </c>
      <c r="H1267" s="62">
        <f t="shared" ref="H1267:Q1267" si="2534">IF(isblank(H$1),,IFERROR(vlookup($A1267,indirect("'TVC-"&amp;text(month(H$1),"00")&amp;"'!$A:$D"),4,false),1))</f>
        <v>1</v>
      </c>
      <c r="I1267" s="62">
        <f t="shared" si="2534"/>
        <v>1</v>
      </c>
      <c r="J1267" s="62">
        <f t="shared" si="2534"/>
        <v>1</v>
      </c>
      <c r="K1267" s="62">
        <f t="shared" si="2534"/>
        <v>1</v>
      </c>
      <c r="L1267" s="62">
        <f t="shared" si="2534"/>
        <v>1</v>
      </c>
      <c r="M1267" s="62">
        <f t="shared" si="2534"/>
        <v>1</v>
      </c>
      <c r="N1267" s="62">
        <f t="shared" si="2534"/>
        <v>1</v>
      </c>
      <c r="O1267" s="62">
        <f t="shared" si="2534"/>
        <v>1</v>
      </c>
      <c r="P1267" s="62" t="str">
        <f t="shared" si="2534"/>
        <v/>
      </c>
      <c r="Q1267" s="62" t="str">
        <f t="shared" si="2534"/>
        <v/>
      </c>
      <c r="R1267" s="62">
        <f t="shared" si="7"/>
        <v>0</v>
      </c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</row>
    <row r="1268">
      <c r="A1268" s="60">
        <f>IFERROR(__xludf.DUMMYFUNCTION("""COMPUTED_VALUE"""),15727.0)</f>
        <v>15727</v>
      </c>
      <c r="B1268" s="60" t="str">
        <f>IFERROR(__xludf.DUMMYFUNCTION("""COMPUTED_VALUE"""),"Knight, Bam")</f>
        <v>Knight, Bam</v>
      </c>
      <c r="C1268" s="60" t="str">
        <f>IFERROR(__xludf.DUMMYFUNCTION("""COMPUTED_VALUE"""),"RB")</f>
        <v>RB</v>
      </c>
      <c r="D1268" s="60" t="str">
        <f>IFERROR(__xludf.DUMMYFUNCTION("""COMPUTED_VALUE"""),"ARI")</f>
        <v>ARI</v>
      </c>
      <c r="E1268" s="62" t="str">
        <f t="shared" si="4"/>
        <v>Bam Knight</v>
      </c>
      <c r="F1268" s="62">
        <f t="shared" ref="F1268:G1268" si="2535">IF(isblank(F$1),,IF(isblank($A1268),,IFERROR(vlookup($A1268,indirect("'TVC-"&amp;text(month(F$1),"00")&amp;"'!$A:$D"),4,false),1)))</f>
        <v>1851</v>
      </c>
      <c r="G1268" s="62">
        <f t="shared" si="2535"/>
        <v>1663</v>
      </c>
      <c r="H1268" s="62">
        <f t="shared" ref="H1268:Q1268" si="2536">IF(isblank(H$1),,IFERROR(vlookup($A1268,indirect("'TVC-"&amp;text(month(H$1),"00")&amp;"'!$A:$D"),4,false),1))</f>
        <v>1615</v>
      </c>
      <c r="I1268" s="62">
        <f t="shared" si="2536"/>
        <v>1445</v>
      </c>
      <c r="J1268" s="62">
        <f t="shared" si="2536"/>
        <v>1230</v>
      </c>
      <c r="K1268" s="62">
        <f t="shared" si="2536"/>
        <v>1092</v>
      </c>
      <c r="L1268" s="62">
        <f t="shared" si="2536"/>
        <v>1056</v>
      </c>
      <c r="M1268" s="62">
        <f t="shared" si="2536"/>
        <v>1026</v>
      </c>
      <c r="N1268" s="62">
        <f t="shared" si="2536"/>
        <v>1013</v>
      </c>
      <c r="O1268" s="62">
        <f t="shared" si="2536"/>
        <v>1</v>
      </c>
      <c r="P1268" s="62" t="str">
        <f t="shared" si="2536"/>
        <v/>
      </c>
      <c r="Q1268" s="62" t="str">
        <f t="shared" si="2536"/>
        <v/>
      </c>
      <c r="R1268" s="62">
        <f t="shared" si="7"/>
        <v>-1012</v>
      </c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</row>
    <row r="1269">
      <c r="A1269" s="60">
        <f>IFERROR(__xludf.DUMMYFUNCTION("""COMPUTED_VALUE"""),15730.0)</f>
        <v>15730</v>
      </c>
      <c r="B1269" s="60" t="str">
        <f>IFERROR(__xludf.DUMMYFUNCTION("""COMPUTED_VALUE"""),"Goodson, Tyler")</f>
        <v>Goodson, Tyler</v>
      </c>
      <c r="C1269" s="60" t="str">
        <f>IFERROR(__xludf.DUMMYFUNCTION("""COMPUTED_VALUE"""),"RB")</f>
        <v>RB</v>
      </c>
      <c r="D1269" s="60" t="str">
        <f>IFERROR(__xludf.DUMMYFUNCTION("""COMPUTED_VALUE"""),"DAL")</f>
        <v>DAL</v>
      </c>
      <c r="E1269" s="62" t="str">
        <f t="shared" si="4"/>
        <v>Tyler Goodson</v>
      </c>
      <c r="F1269" s="62">
        <f t="shared" ref="F1269:G1269" si="2537">IF(isblank(F$1),,IF(isblank($A1269),,IFERROR(vlookup($A1269,indirect("'TVC-"&amp;text(month(F$1),"00")&amp;"'!$A:$D"),4,false),1)))</f>
        <v>1112</v>
      </c>
      <c r="G1269" s="62">
        <f t="shared" si="2537"/>
        <v>1069</v>
      </c>
      <c r="H1269" s="62">
        <f t="shared" ref="H1269:Q1269" si="2538">IF(isblank(H$1),,IFERROR(vlookup($A1269,indirect("'TVC-"&amp;text(month(H$1),"00")&amp;"'!$A:$D"),4,false),1))</f>
        <v>1109</v>
      </c>
      <c r="I1269" s="62">
        <f t="shared" si="2538"/>
        <v>1147</v>
      </c>
      <c r="J1269" s="62">
        <f t="shared" si="2538"/>
        <v>1153</v>
      </c>
      <c r="K1269" s="62">
        <f t="shared" si="2538"/>
        <v>1122</v>
      </c>
      <c r="L1269" s="62">
        <f t="shared" si="2538"/>
        <v>1034</v>
      </c>
      <c r="M1269" s="62">
        <f t="shared" si="2538"/>
        <v>1026</v>
      </c>
      <c r="N1269" s="62">
        <f t="shared" si="2538"/>
        <v>981</v>
      </c>
      <c r="O1269" s="62">
        <f t="shared" si="2538"/>
        <v>1</v>
      </c>
      <c r="P1269" s="62" t="str">
        <f t="shared" si="2538"/>
        <v/>
      </c>
      <c r="Q1269" s="62" t="str">
        <f t="shared" si="2538"/>
        <v/>
      </c>
      <c r="R1269" s="62">
        <f t="shared" si="7"/>
        <v>-980</v>
      </c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</row>
    <row r="1270">
      <c r="A1270" s="60">
        <f>IFERROR(__xludf.DUMMYFUNCTION("""COMPUTED_VALUE"""),15733.0)</f>
        <v>15733</v>
      </c>
      <c r="B1270" s="60" t="str">
        <f>IFERROR(__xludf.DUMMYFUNCTION("""COMPUTED_VALUE"""),"Strong Jr., Pierre")</f>
        <v>Strong Jr., Pierre</v>
      </c>
      <c r="C1270" s="60" t="str">
        <f>IFERROR(__xludf.DUMMYFUNCTION("""COMPUTED_VALUE"""),"RB")</f>
        <v>RB</v>
      </c>
      <c r="D1270" s="60" t="str">
        <f>IFERROR(__xludf.DUMMYFUNCTION("""COMPUTED_VALUE"""),"GBP")</f>
        <v>GBP</v>
      </c>
      <c r="E1270" s="62" t="str">
        <f t="shared" si="4"/>
        <v>Pierre Strong Jr.</v>
      </c>
      <c r="F1270" s="62">
        <f t="shared" ref="F1270:G1270" si="2539">IF(isblank(F$1),,IF(isblank($A1270),,IFERROR(vlookup($A1270,indirect("'TVC-"&amp;text(month(F$1),"00")&amp;"'!$A:$D"),4,false),1)))</f>
        <v>384</v>
      </c>
      <c r="G1270" s="62">
        <f t="shared" si="2539"/>
        <v>1</v>
      </c>
      <c r="H1270" s="62">
        <f t="shared" ref="H1270:Q1270" si="2540">IF(isblank(H$1),,IFERROR(vlookup($A1270,indirect("'TVC-"&amp;text(month(H$1),"00")&amp;"'!$A:$D"),4,false),1))</f>
        <v>1</v>
      </c>
      <c r="I1270" s="62">
        <f t="shared" si="2540"/>
        <v>1</v>
      </c>
      <c r="J1270" s="62">
        <f t="shared" si="2540"/>
        <v>1</v>
      </c>
      <c r="K1270" s="62">
        <f t="shared" si="2540"/>
        <v>1</v>
      </c>
      <c r="L1270" s="62">
        <f t="shared" si="2540"/>
        <v>1</v>
      </c>
      <c r="M1270" s="62">
        <f t="shared" si="2540"/>
        <v>1</v>
      </c>
      <c r="N1270" s="62">
        <f t="shared" si="2540"/>
        <v>1</v>
      </c>
      <c r="O1270" s="62">
        <f t="shared" si="2540"/>
        <v>1</v>
      </c>
      <c r="P1270" s="62" t="str">
        <f t="shared" si="2540"/>
        <v/>
      </c>
      <c r="Q1270" s="62" t="str">
        <f t="shared" si="2540"/>
        <v/>
      </c>
      <c r="R1270" s="62">
        <f t="shared" si="7"/>
        <v>0</v>
      </c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</row>
    <row r="1271">
      <c r="A1271" s="60">
        <f>IFERROR(__xludf.DUMMYFUNCTION("""COMPUTED_VALUE"""),15734.0)</f>
        <v>15734</v>
      </c>
      <c r="B1271" s="60" t="str">
        <f>IFERROR(__xludf.DUMMYFUNCTION("""COMPUTED_VALUE"""),"Ingram, Keaontay")</f>
        <v>Ingram, Keaontay</v>
      </c>
      <c r="C1271" s="60" t="str">
        <f>IFERROR(__xludf.DUMMYFUNCTION("""COMPUTED_VALUE"""),"RB")</f>
        <v>RB</v>
      </c>
      <c r="D1271" s="60" t="str">
        <f>IFERROR(__xludf.DUMMYFUNCTION("""COMPUTED_VALUE"""),"KCC")</f>
        <v>KCC</v>
      </c>
      <c r="E1271" s="62" t="str">
        <f t="shared" si="4"/>
        <v>Keaontay Ingram</v>
      </c>
      <c r="F1271" s="62">
        <f t="shared" ref="F1271:G1271" si="2541">IF(isblank(F$1),,IF(isblank($A1271),,IFERROR(vlookup($A1271,indirect("'TVC-"&amp;text(month(F$1),"00")&amp;"'!$A:$D"),4,false),1)))</f>
        <v>1</v>
      </c>
      <c r="G1271" s="62">
        <f t="shared" si="2541"/>
        <v>1</v>
      </c>
      <c r="H1271" s="62">
        <f t="shared" ref="H1271:Q1271" si="2542">IF(isblank(H$1),,IFERROR(vlookup($A1271,indirect("'TVC-"&amp;text(month(H$1),"00")&amp;"'!$A:$D"),4,false),1))</f>
        <v>1</v>
      </c>
      <c r="I1271" s="62">
        <f t="shared" si="2542"/>
        <v>1</v>
      </c>
      <c r="J1271" s="62">
        <f t="shared" si="2542"/>
        <v>1</v>
      </c>
      <c r="K1271" s="62">
        <f t="shared" si="2542"/>
        <v>1</v>
      </c>
      <c r="L1271" s="62">
        <f t="shared" si="2542"/>
        <v>1</v>
      </c>
      <c r="M1271" s="62">
        <f t="shared" si="2542"/>
        <v>1</v>
      </c>
      <c r="N1271" s="62">
        <f t="shared" si="2542"/>
        <v>1</v>
      </c>
      <c r="O1271" s="62">
        <f t="shared" si="2542"/>
        <v>1</v>
      </c>
      <c r="P1271" s="62" t="str">
        <f t="shared" si="2542"/>
        <v/>
      </c>
      <c r="Q1271" s="62" t="str">
        <f t="shared" si="2542"/>
        <v/>
      </c>
      <c r="R1271" s="62">
        <f t="shared" si="7"/>
        <v>0</v>
      </c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</row>
    <row r="1272">
      <c r="A1272" s="60">
        <f>IFERROR(__xludf.DUMMYFUNCTION("""COMPUTED_VALUE"""),15738.0)</f>
        <v>15738</v>
      </c>
      <c r="B1272" s="60" t="str">
        <f>IFERROR(__xludf.DUMMYFUNCTION("""COMPUTED_VALUE"""),"Davis, Malik")</f>
        <v>Davis, Malik</v>
      </c>
      <c r="C1272" s="60" t="str">
        <f>IFERROR(__xludf.DUMMYFUNCTION("""COMPUTED_VALUE"""),"RB")</f>
        <v>RB</v>
      </c>
      <c r="D1272" s="60" t="str">
        <f>IFERROR(__xludf.DUMMYFUNCTION("""COMPUTED_VALUE"""),"DAL")</f>
        <v>DAL</v>
      </c>
      <c r="E1272" s="62" t="str">
        <f t="shared" si="4"/>
        <v>Malik Davis</v>
      </c>
      <c r="F1272" s="62">
        <f t="shared" ref="F1272:G1272" si="2543">IF(isblank(F$1),,IF(isblank($A1272),,IFERROR(vlookup($A1272,indirect("'TVC-"&amp;text(month(F$1),"00")&amp;"'!$A:$D"),4,false),1)))</f>
        <v>1428</v>
      </c>
      <c r="G1272" s="62">
        <f t="shared" si="2543"/>
        <v>1456</v>
      </c>
      <c r="H1272" s="62">
        <f t="shared" ref="H1272:Q1272" si="2544">IF(isblank(H$1),,IFERROR(vlookup($A1272,indirect("'TVC-"&amp;text(month(H$1),"00")&amp;"'!$A:$D"),4,false),1))</f>
        <v>1459</v>
      </c>
      <c r="I1272" s="62">
        <f t="shared" si="2544"/>
        <v>1424</v>
      </c>
      <c r="J1272" s="62">
        <f t="shared" si="2544"/>
        <v>1322</v>
      </c>
      <c r="K1272" s="62">
        <f t="shared" si="2544"/>
        <v>1298</v>
      </c>
      <c r="L1272" s="62">
        <f t="shared" si="2544"/>
        <v>1396</v>
      </c>
      <c r="M1272" s="62">
        <f t="shared" si="2544"/>
        <v>1485</v>
      </c>
      <c r="N1272" s="62">
        <f t="shared" si="2544"/>
        <v>1609</v>
      </c>
      <c r="O1272" s="62">
        <f t="shared" si="2544"/>
        <v>1</v>
      </c>
      <c r="P1272" s="62" t="str">
        <f t="shared" si="2544"/>
        <v/>
      </c>
      <c r="Q1272" s="62" t="str">
        <f t="shared" si="2544"/>
        <v/>
      </c>
      <c r="R1272" s="62">
        <f t="shared" si="7"/>
        <v>-1608</v>
      </c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</row>
    <row r="1273">
      <c r="A1273" s="60">
        <f>IFERROR(__xludf.DUMMYFUNCTION("""COMPUTED_VALUE"""),15742.0)</f>
        <v>15742</v>
      </c>
      <c r="B1273" s="60" t="str">
        <f>IFERROR(__xludf.DUMMYFUNCTION("""COMPUTED_VALUE"""),"Warren, Jaylen")</f>
        <v>Warren, Jaylen</v>
      </c>
      <c r="C1273" s="60" t="str">
        <f>IFERROR(__xludf.DUMMYFUNCTION("""COMPUTED_VALUE"""),"RB")</f>
        <v>RB</v>
      </c>
      <c r="D1273" s="60" t="str">
        <f>IFERROR(__xludf.DUMMYFUNCTION("""COMPUTED_VALUE"""),"PIT")</f>
        <v>PIT</v>
      </c>
      <c r="E1273" s="62" t="str">
        <f t="shared" si="4"/>
        <v>Jaylen Warren</v>
      </c>
      <c r="F1273" s="62">
        <f t="shared" ref="F1273:G1273" si="2545">IF(isblank(F$1),,IF(isblank($A1273),,IFERROR(vlookup($A1273,indirect("'TVC-"&amp;text(month(F$1),"00")&amp;"'!$A:$D"),4,false),1)))</f>
        <v>3335</v>
      </c>
      <c r="G1273" s="62">
        <f t="shared" si="2545"/>
        <v>3439</v>
      </c>
      <c r="H1273" s="62">
        <f t="shared" ref="H1273:Q1273" si="2546">IF(isblank(H$1),,IFERROR(vlookup($A1273,indirect("'TVC-"&amp;text(month(H$1),"00")&amp;"'!$A:$D"),4,false),1))</f>
        <v>3481</v>
      </c>
      <c r="I1273" s="62">
        <f t="shared" si="2546"/>
        <v>3236</v>
      </c>
      <c r="J1273" s="62">
        <f t="shared" si="2546"/>
        <v>3130</v>
      </c>
      <c r="K1273" s="62">
        <f t="shared" si="2546"/>
        <v>3159</v>
      </c>
      <c r="L1273" s="62">
        <f t="shared" si="2546"/>
        <v>3198</v>
      </c>
      <c r="M1273" s="62">
        <f t="shared" si="2546"/>
        <v>3320</v>
      </c>
      <c r="N1273" s="62">
        <f t="shared" si="2546"/>
        <v>3319</v>
      </c>
      <c r="O1273" s="62">
        <f t="shared" si="2546"/>
        <v>1</v>
      </c>
      <c r="P1273" s="62" t="str">
        <f t="shared" si="2546"/>
        <v/>
      </c>
      <c r="Q1273" s="62" t="str">
        <f t="shared" si="2546"/>
        <v/>
      </c>
      <c r="R1273" s="62">
        <f t="shared" si="7"/>
        <v>-3318</v>
      </c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</row>
    <row r="1274">
      <c r="A1274" s="60">
        <f>IFERROR(__xludf.DUMMYFUNCTION("""COMPUTED_VALUE"""),15743.0)</f>
        <v>15743</v>
      </c>
      <c r="B1274" s="60" t="str">
        <f>IFERROR(__xludf.DUMMYFUNCTION("""COMPUTED_VALUE"""),"McCormick, Sincere")</f>
        <v>McCormick, Sincere</v>
      </c>
      <c r="C1274" s="60" t="str">
        <f>IFERROR(__xludf.DUMMYFUNCTION("""COMPUTED_VALUE"""),"RB")</f>
        <v>RB</v>
      </c>
      <c r="D1274" s="60" t="str">
        <f>IFERROR(__xludf.DUMMYFUNCTION("""COMPUTED_VALUE"""),"SFO")</f>
        <v>SFO</v>
      </c>
      <c r="E1274" s="62" t="str">
        <f t="shared" si="4"/>
        <v>Sincere McCormick</v>
      </c>
      <c r="F1274" s="62">
        <f t="shared" ref="F1274:G1274" si="2547">IF(isblank(F$1),,IF(isblank($A1274),,IFERROR(vlookup($A1274,indirect("'TVC-"&amp;text(month(F$1),"00")&amp;"'!$A:$D"),4,false),1)))</f>
        <v>439</v>
      </c>
      <c r="G1274" s="62">
        <f t="shared" si="2547"/>
        <v>1</v>
      </c>
      <c r="H1274" s="62">
        <f t="shared" ref="H1274:Q1274" si="2548">IF(isblank(H$1),,IFERROR(vlookup($A1274,indirect("'TVC-"&amp;text(month(H$1),"00")&amp;"'!$A:$D"),4,false),1))</f>
        <v>1</v>
      </c>
      <c r="I1274" s="62">
        <f t="shared" si="2548"/>
        <v>1</v>
      </c>
      <c r="J1274" s="62">
        <f t="shared" si="2548"/>
        <v>1</v>
      </c>
      <c r="K1274" s="62">
        <f t="shared" si="2548"/>
        <v>1</v>
      </c>
      <c r="L1274" s="62">
        <f t="shared" si="2548"/>
        <v>1</v>
      </c>
      <c r="M1274" s="62">
        <f t="shared" si="2548"/>
        <v>1</v>
      </c>
      <c r="N1274" s="62">
        <f t="shared" si="2548"/>
        <v>521</v>
      </c>
      <c r="O1274" s="62">
        <f t="shared" si="2548"/>
        <v>1</v>
      </c>
      <c r="P1274" s="62" t="str">
        <f t="shared" si="2548"/>
        <v/>
      </c>
      <c r="Q1274" s="62" t="str">
        <f t="shared" si="2548"/>
        <v/>
      </c>
      <c r="R1274" s="62">
        <f t="shared" si="7"/>
        <v>-520</v>
      </c>
      <c r="S1274" s="62"/>
      <c r="T1274" s="62"/>
      <c r="U1274" s="62"/>
      <c r="V1274" s="62"/>
      <c r="W1274" s="62"/>
      <c r="X1274" s="62"/>
      <c r="Y1274" s="62"/>
      <c r="Z1274" s="62"/>
      <c r="AA1274" s="62"/>
      <c r="AB1274" s="62"/>
      <c r="AC1274" s="62"/>
    </row>
    <row r="1275" hidden="1">
      <c r="A1275" s="60">
        <f>IFERROR(__xludf.DUMMYFUNCTION("""COMPUTED_VALUE"""),15749.0)</f>
        <v>15749</v>
      </c>
      <c r="B1275" s="60" t="str">
        <f>IFERROR(__xludf.DUMMYFUNCTION("""COMPUTED_VALUE"""),"Pacheco, Isiah")</f>
        <v>Pacheco, Isiah</v>
      </c>
      <c r="C1275" s="60" t="str">
        <f>IFERROR(__xludf.DUMMYFUNCTION("""COMPUTED_VALUE"""),"RB")</f>
        <v>RB</v>
      </c>
      <c r="D1275" s="60" t="str">
        <f>IFERROR(__xludf.DUMMYFUNCTION("""COMPUTED_VALUE"""),"DET")</f>
        <v>DET</v>
      </c>
      <c r="E1275" s="62" t="str">
        <f t="shared" si="4"/>
        <v>Isiah Pacheco</v>
      </c>
      <c r="F1275" s="62">
        <f t="shared" ref="F1275:G1275" si="2549">IF(isblank(F$1),,IF(isblank($A1275),,IFERROR(vlookup($A1275,indirect("'TVC-"&amp;text(month(F$1),"00")&amp;"'!$A:$D"),4,false),1)))</f>
        <v>2204</v>
      </c>
      <c r="G1275" s="62">
        <f t="shared" si="2549"/>
        <v>2137</v>
      </c>
      <c r="H1275" s="62">
        <f t="shared" ref="H1275:Q1275" si="2550">IF(isblank(H$1),,IFERROR(vlookup($A1275,indirect("'TVC-"&amp;text(month(H$1),"00")&amp;"'!$A:$D"),4,false),1))</f>
        <v>2146</v>
      </c>
      <c r="I1275" s="62">
        <f t="shared" si="2550"/>
        <v>2396</v>
      </c>
      <c r="J1275" s="62">
        <f t="shared" si="2550"/>
        <v>2310</v>
      </c>
      <c r="K1275" s="62">
        <f t="shared" si="2550"/>
        <v>2353</v>
      </c>
      <c r="L1275" s="62">
        <f t="shared" si="2550"/>
        <v>2329</v>
      </c>
      <c r="M1275" s="62">
        <f t="shared" si="2550"/>
        <v>2197</v>
      </c>
      <c r="N1275" s="62">
        <f t="shared" si="2550"/>
        <v>2068</v>
      </c>
      <c r="O1275" s="62">
        <f t="shared" si="2550"/>
        <v>1</v>
      </c>
      <c r="P1275" s="62" t="str">
        <f t="shared" si="2550"/>
        <v/>
      </c>
      <c r="Q1275" s="62" t="str">
        <f t="shared" si="2550"/>
        <v/>
      </c>
      <c r="R1275" s="62">
        <f t="shared" si="7"/>
        <v>-2067</v>
      </c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</row>
    <row r="1276" hidden="1">
      <c r="A1276" s="60">
        <f>IFERROR(__xludf.DUMMYFUNCTION("""COMPUTED_VALUE"""),15751.0)</f>
        <v>15751</v>
      </c>
      <c r="B1276" s="60" t="str">
        <f>IFERROR(__xludf.DUMMYFUNCTION("""COMPUTED_VALUE"""),"London, Drake")</f>
        <v>London, Drake</v>
      </c>
      <c r="C1276" s="60" t="str">
        <f>IFERROR(__xludf.DUMMYFUNCTION("""COMPUTED_VALUE"""),"WR")</f>
        <v>WR</v>
      </c>
      <c r="D1276" s="60" t="str">
        <f>IFERROR(__xludf.DUMMYFUNCTION("""COMPUTED_VALUE"""),"ATL")</f>
        <v>ATL</v>
      </c>
      <c r="E1276" s="62" t="str">
        <f t="shared" si="4"/>
        <v>Drake London</v>
      </c>
      <c r="F1276" s="62">
        <f t="shared" ref="F1276:G1276" si="2551">IF(isblank(F$1),,IF(isblank($A1276),,IFERROR(vlookup($A1276,indirect("'TVC-"&amp;text(month(F$1),"00")&amp;"'!$A:$D"),4,false),1)))</f>
        <v>7036</v>
      </c>
      <c r="G1276" s="62">
        <f t="shared" si="2551"/>
        <v>7006</v>
      </c>
      <c r="H1276" s="62">
        <f t="shared" ref="H1276:Q1276" si="2552">IF(isblank(H$1),,IFERROR(vlookup($A1276,indirect("'TVC-"&amp;text(month(H$1),"00")&amp;"'!$A:$D"),4,false),1))</f>
        <v>7030</v>
      </c>
      <c r="I1276" s="62">
        <f t="shared" si="2552"/>
        <v>6947</v>
      </c>
      <c r="J1276" s="62">
        <f t="shared" si="2552"/>
        <v>6916</v>
      </c>
      <c r="K1276" s="62">
        <f t="shared" si="2552"/>
        <v>6935</v>
      </c>
      <c r="L1276" s="62">
        <f t="shared" si="2552"/>
        <v>7177</v>
      </c>
      <c r="M1276" s="62">
        <f t="shared" si="2552"/>
        <v>7005</v>
      </c>
      <c r="N1276" s="62">
        <f t="shared" si="2552"/>
        <v>6795</v>
      </c>
      <c r="O1276" s="62">
        <f t="shared" si="2552"/>
        <v>1</v>
      </c>
      <c r="P1276" s="62" t="str">
        <f t="shared" si="2552"/>
        <v/>
      </c>
      <c r="Q1276" s="62" t="str">
        <f t="shared" si="2552"/>
        <v/>
      </c>
      <c r="R1276" s="62">
        <f t="shared" si="7"/>
        <v>-6794</v>
      </c>
      <c r="S1276" s="62"/>
      <c r="T1276" s="62"/>
      <c r="U1276" s="62"/>
      <c r="V1276" s="62"/>
      <c r="W1276" s="62"/>
      <c r="X1276" s="62"/>
      <c r="Y1276" s="62"/>
      <c r="Z1276" s="62"/>
      <c r="AA1276" s="62"/>
      <c r="AB1276" s="62"/>
      <c r="AC1276" s="62"/>
    </row>
    <row r="1277">
      <c r="A1277" s="60">
        <f>IFERROR(__xludf.DUMMYFUNCTION("""COMPUTED_VALUE"""),15752.0)</f>
        <v>15752</v>
      </c>
      <c r="B1277" s="60" t="str">
        <f>IFERROR(__xludf.DUMMYFUNCTION("""COMPUTED_VALUE"""),"Burks, Treylon")</f>
        <v>Burks, Treylon</v>
      </c>
      <c r="C1277" s="60" t="str">
        <f>IFERROR(__xludf.DUMMYFUNCTION("""COMPUTED_VALUE"""),"WR")</f>
        <v>WR</v>
      </c>
      <c r="D1277" s="60" t="str">
        <f>IFERROR(__xludf.DUMMYFUNCTION("""COMPUTED_VALUE"""),"WAS")</f>
        <v>WAS</v>
      </c>
      <c r="E1277" s="62" t="str">
        <f t="shared" si="4"/>
        <v>Treylon Burks</v>
      </c>
      <c r="F1277" s="62">
        <f t="shared" ref="F1277:G1277" si="2553">IF(isblank(F$1),,IF(isblank($A1277),,IFERROR(vlookup($A1277,indirect("'TVC-"&amp;text(month(F$1),"00")&amp;"'!$A:$D"),4,false),1)))</f>
        <v>1436</v>
      </c>
      <c r="G1277" s="62">
        <f t="shared" si="2553"/>
        <v>1465</v>
      </c>
      <c r="H1277" s="62">
        <f t="shared" ref="H1277:Q1277" si="2554">IF(isblank(H$1),,IFERROR(vlookup($A1277,indirect("'TVC-"&amp;text(month(H$1),"00")&amp;"'!$A:$D"),4,false),1))</f>
        <v>1457</v>
      </c>
      <c r="I1277" s="62">
        <f t="shared" si="2554"/>
        <v>1572</v>
      </c>
      <c r="J1277" s="62">
        <f t="shared" si="2554"/>
        <v>1588</v>
      </c>
      <c r="K1277" s="62">
        <f t="shared" si="2554"/>
        <v>1511</v>
      </c>
      <c r="L1277" s="62">
        <f t="shared" si="2554"/>
        <v>1468</v>
      </c>
      <c r="M1277" s="62">
        <f t="shared" si="2554"/>
        <v>1665</v>
      </c>
      <c r="N1277" s="62">
        <f t="shared" si="2554"/>
        <v>1489</v>
      </c>
      <c r="O1277" s="62">
        <f t="shared" si="2554"/>
        <v>1</v>
      </c>
      <c r="P1277" s="62" t="str">
        <f t="shared" si="2554"/>
        <v/>
      </c>
      <c r="Q1277" s="62" t="str">
        <f t="shared" si="2554"/>
        <v/>
      </c>
      <c r="R1277" s="62">
        <f t="shared" si="7"/>
        <v>-1488</v>
      </c>
      <c r="S1277" s="62"/>
      <c r="T1277" s="62"/>
      <c r="U1277" s="62"/>
      <c r="V1277" s="62"/>
      <c r="W1277" s="62"/>
      <c r="X1277" s="62"/>
      <c r="Y1277" s="62"/>
      <c r="Z1277" s="62"/>
      <c r="AA1277" s="62"/>
      <c r="AB1277" s="62"/>
      <c r="AC1277" s="62"/>
    </row>
    <row r="1278" hidden="1">
      <c r="A1278" s="60">
        <f>IFERROR(__xludf.DUMMYFUNCTION("""COMPUTED_VALUE"""),15753.0)</f>
        <v>15753</v>
      </c>
      <c r="B1278" s="60" t="str">
        <f>IFERROR(__xludf.DUMMYFUNCTION("""COMPUTED_VALUE"""),"Wilson, Garrett")</f>
        <v>Wilson, Garrett</v>
      </c>
      <c r="C1278" s="60" t="str">
        <f>IFERROR(__xludf.DUMMYFUNCTION("""COMPUTED_VALUE"""),"WR")</f>
        <v>WR</v>
      </c>
      <c r="D1278" s="60" t="str">
        <f>IFERROR(__xludf.DUMMYFUNCTION("""COMPUTED_VALUE"""),"NYJ")</f>
        <v>NYJ</v>
      </c>
      <c r="E1278" s="62" t="str">
        <f t="shared" si="4"/>
        <v>Garrett Wilson</v>
      </c>
      <c r="F1278" s="62">
        <f t="shared" ref="F1278:G1278" si="2555">IF(isblank(F$1),,IF(isblank($A1278),,IFERROR(vlookup($A1278,indirect("'TVC-"&amp;text(month(F$1),"00")&amp;"'!$A:$D"),4,false),1)))</f>
        <v>5662</v>
      </c>
      <c r="G1278" s="62">
        <f t="shared" si="2555"/>
        <v>5819</v>
      </c>
      <c r="H1278" s="62">
        <f t="shared" ref="H1278:Q1278" si="2556">IF(isblank(H$1),,IFERROR(vlookup($A1278,indirect("'TVC-"&amp;text(month(H$1),"00")&amp;"'!$A:$D"),4,false),1))</f>
        <v>5833</v>
      </c>
      <c r="I1278" s="62">
        <f t="shared" si="2556"/>
        <v>5774</v>
      </c>
      <c r="J1278" s="62">
        <f t="shared" si="2556"/>
        <v>5736</v>
      </c>
      <c r="K1278" s="62">
        <f t="shared" si="2556"/>
        <v>5691</v>
      </c>
      <c r="L1278" s="62">
        <f t="shared" si="2556"/>
        <v>5683</v>
      </c>
      <c r="M1278" s="62">
        <f t="shared" si="2556"/>
        <v>5560</v>
      </c>
      <c r="N1278" s="62">
        <f t="shared" si="2556"/>
        <v>5652</v>
      </c>
      <c r="O1278" s="62">
        <f t="shared" si="2556"/>
        <v>1</v>
      </c>
      <c r="P1278" s="62" t="str">
        <f t="shared" si="2556"/>
        <v/>
      </c>
      <c r="Q1278" s="62" t="str">
        <f t="shared" si="2556"/>
        <v/>
      </c>
      <c r="R1278" s="62">
        <f t="shared" si="7"/>
        <v>-5651</v>
      </c>
      <c r="S1278" s="62"/>
      <c r="T1278" s="62"/>
      <c r="U1278" s="62"/>
      <c r="V1278" s="62"/>
      <c r="W1278" s="62"/>
      <c r="X1278" s="62"/>
      <c r="Y1278" s="62"/>
      <c r="Z1278" s="62"/>
      <c r="AA1278" s="62"/>
      <c r="AB1278" s="62"/>
      <c r="AC1278" s="62"/>
    </row>
    <row r="1279">
      <c r="A1279" s="60">
        <f>IFERROR(__xludf.DUMMYFUNCTION("""COMPUTED_VALUE"""),15754.0)</f>
        <v>15754</v>
      </c>
      <c r="B1279" s="60" t="str">
        <f>IFERROR(__xludf.DUMMYFUNCTION("""COMPUTED_VALUE"""),"Olave, Chris")</f>
        <v>Olave, Chris</v>
      </c>
      <c r="C1279" s="60" t="str">
        <f>IFERROR(__xludf.DUMMYFUNCTION("""COMPUTED_VALUE"""),"WR")</f>
        <v>WR</v>
      </c>
      <c r="D1279" s="60" t="str">
        <f>IFERROR(__xludf.DUMMYFUNCTION("""COMPUTED_VALUE"""),"NOS")</f>
        <v>NOS</v>
      </c>
      <c r="E1279" s="62" t="str">
        <f t="shared" si="4"/>
        <v>Chris Olave</v>
      </c>
      <c r="F1279" s="62">
        <f t="shared" ref="F1279:G1279" si="2557">IF(isblank(F$1),,IF(isblank($A1279),,IFERROR(vlookup($A1279,indirect("'TVC-"&amp;text(month(F$1),"00")&amp;"'!$A:$D"),4,false),1)))</f>
        <v>5463</v>
      </c>
      <c r="G1279" s="62">
        <f t="shared" si="2557"/>
        <v>5805</v>
      </c>
      <c r="H1279" s="62">
        <f t="shared" ref="H1279:Q1279" si="2558">IF(isblank(H$1),,IFERROR(vlookup($A1279,indirect("'TVC-"&amp;text(month(H$1),"00")&amp;"'!$A:$D"),4,false),1))</f>
        <v>5828</v>
      </c>
      <c r="I1279" s="62">
        <f t="shared" si="2558"/>
        <v>5675</v>
      </c>
      <c r="J1279" s="62">
        <f t="shared" si="2558"/>
        <v>5611</v>
      </c>
      <c r="K1279" s="62">
        <f t="shared" si="2558"/>
        <v>5506</v>
      </c>
      <c r="L1279" s="62">
        <f t="shared" si="2558"/>
        <v>5527</v>
      </c>
      <c r="M1279" s="62">
        <f t="shared" si="2558"/>
        <v>5471</v>
      </c>
      <c r="N1279" s="62">
        <f t="shared" si="2558"/>
        <v>5739</v>
      </c>
      <c r="O1279" s="62">
        <f t="shared" si="2558"/>
        <v>1</v>
      </c>
      <c r="P1279" s="62" t="str">
        <f t="shared" si="2558"/>
        <v/>
      </c>
      <c r="Q1279" s="62" t="str">
        <f t="shared" si="2558"/>
        <v/>
      </c>
      <c r="R1279" s="62">
        <f t="shared" si="7"/>
        <v>-5738</v>
      </c>
      <c r="S1279" s="62"/>
      <c r="T1279" s="62"/>
      <c r="U1279" s="62"/>
      <c r="V1279" s="62"/>
      <c r="W1279" s="62"/>
      <c r="X1279" s="62"/>
      <c r="Y1279" s="62"/>
      <c r="Z1279" s="62"/>
      <c r="AA1279" s="62"/>
      <c r="AB1279" s="62"/>
      <c r="AC1279" s="62"/>
    </row>
    <row r="1280" hidden="1">
      <c r="A1280" s="60">
        <f>IFERROR(__xludf.DUMMYFUNCTION("""COMPUTED_VALUE"""),15755.0)</f>
        <v>15755</v>
      </c>
      <c r="B1280" s="60" t="str">
        <f>IFERROR(__xludf.DUMMYFUNCTION("""COMPUTED_VALUE"""),"Dotson, Jahan")</f>
        <v>Dotson, Jahan</v>
      </c>
      <c r="C1280" s="60" t="str">
        <f>IFERROR(__xludf.DUMMYFUNCTION("""COMPUTED_VALUE"""),"WR")</f>
        <v>WR</v>
      </c>
      <c r="D1280" s="60" t="str">
        <f>IFERROR(__xludf.DUMMYFUNCTION("""COMPUTED_VALUE"""),"ATL")</f>
        <v>ATL</v>
      </c>
      <c r="E1280" s="62" t="str">
        <f t="shared" si="4"/>
        <v>Jahan Dotson</v>
      </c>
      <c r="F1280" s="62">
        <f t="shared" ref="F1280:G1280" si="2559">IF(isblank(F$1),,IF(isblank($A1280),,IFERROR(vlookup($A1280,indirect("'TVC-"&amp;text(month(F$1),"00")&amp;"'!$A:$D"),4,false),1)))</f>
        <v>1399</v>
      </c>
      <c r="G1280" s="62">
        <f t="shared" si="2559"/>
        <v>1445</v>
      </c>
      <c r="H1280" s="62">
        <f t="shared" ref="H1280:Q1280" si="2560">IF(isblank(H$1),,IFERROR(vlookup($A1280,indirect("'TVC-"&amp;text(month(H$1),"00")&amp;"'!$A:$D"),4,false),1))</f>
        <v>1471</v>
      </c>
      <c r="I1280" s="62">
        <f t="shared" si="2560"/>
        <v>1839</v>
      </c>
      <c r="J1280" s="62">
        <f t="shared" si="2560"/>
        <v>1729</v>
      </c>
      <c r="K1280" s="62">
        <f t="shared" si="2560"/>
        <v>1687</v>
      </c>
      <c r="L1280" s="62">
        <f t="shared" si="2560"/>
        <v>1628</v>
      </c>
      <c r="M1280" s="62">
        <f t="shared" si="2560"/>
        <v>1661</v>
      </c>
      <c r="N1280" s="62">
        <f t="shared" si="2560"/>
        <v>1660</v>
      </c>
      <c r="O1280" s="62">
        <f t="shared" si="2560"/>
        <v>1</v>
      </c>
      <c r="P1280" s="62" t="str">
        <f t="shared" si="2560"/>
        <v/>
      </c>
      <c r="Q1280" s="62" t="str">
        <f t="shared" si="2560"/>
        <v/>
      </c>
      <c r="R1280" s="62">
        <f t="shared" si="7"/>
        <v>-1659</v>
      </c>
      <c r="S1280" s="62"/>
      <c r="T1280" s="62"/>
      <c r="U1280" s="62"/>
      <c r="V1280" s="62"/>
      <c r="W1280" s="62"/>
      <c r="X1280" s="62"/>
      <c r="Y1280" s="62"/>
      <c r="Z1280" s="62"/>
      <c r="AA1280" s="62"/>
      <c r="AB1280" s="62"/>
      <c r="AC1280" s="62"/>
    </row>
    <row r="1281" hidden="1">
      <c r="A1281" s="60">
        <f>IFERROR(__xludf.DUMMYFUNCTION("""COMPUTED_VALUE"""),15756.0)</f>
        <v>15756</v>
      </c>
      <c r="B1281" s="60" t="str">
        <f>IFERROR(__xludf.DUMMYFUNCTION("""COMPUTED_VALUE"""),"Williams, Jameson")</f>
        <v>Williams, Jameson</v>
      </c>
      <c r="C1281" s="60" t="str">
        <f>IFERROR(__xludf.DUMMYFUNCTION("""COMPUTED_VALUE"""),"WR")</f>
        <v>WR</v>
      </c>
      <c r="D1281" s="60" t="str">
        <f>IFERROR(__xludf.DUMMYFUNCTION("""COMPUTED_VALUE"""),"DET")</f>
        <v>DET</v>
      </c>
      <c r="E1281" s="62" t="str">
        <f t="shared" si="4"/>
        <v>Jameson Williams</v>
      </c>
      <c r="F1281" s="62">
        <f t="shared" ref="F1281:G1281" si="2561">IF(isblank(F$1),,IF(isblank($A1281),,IFERROR(vlookup($A1281,indirect("'TVC-"&amp;text(month(F$1),"00")&amp;"'!$A:$D"),4,false),1)))</f>
        <v>4765</v>
      </c>
      <c r="G1281" s="62">
        <f t="shared" si="2561"/>
        <v>4789</v>
      </c>
      <c r="H1281" s="62">
        <f t="shared" ref="H1281:Q1281" si="2562">IF(isblank(H$1),,IFERROR(vlookup($A1281,indirect("'TVC-"&amp;text(month(H$1),"00")&amp;"'!$A:$D"),4,false),1))</f>
        <v>4740</v>
      </c>
      <c r="I1281" s="62">
        <f t="shared" si="2562"/>
        <v>4773</v>
      </c>
      <c r="J1281" s="62">
        <f t="shared" si="2562"/>
        <v>4797</v>
      </c>
      <c r="K1281" s="62">
        <f t="shared" si="2562"/>
        <v>4670</v>
      </c>
      <c r="L1281" s="62">
        <f t="shared" si="2562"/>
        <v>4678</v>
      </c>
      <c r="M1281" s="62">
        <f t="shared" si="2562"/>
        <v>4775</v>
      </c>
      <c r="N1281" s="62">
        <f t="shared" si="2562"/>
        <v>4829</v>
      </c>
      <c r="O1281" s="62">
        <f t="shared" si="2562"/>
        <v>1</v>
      </c>
      <c r="P1281" s="62" t="str">
        <f t="shared" si="2562"/>
        <v/>
      </c>
      <c r="Q1281" s="62" t="str">
        <f t="shared" si="2562"/>
        <v/>
      </c>
      <c r="R1281" s="62">
        <f t="shared" si="7"/>
        <v>-4828</v>
      </c>
      <c r="S1281" s="62"/>
      <c r="T1281" s="62"/>
      <c r="U1281" s="62"/>
      <c r="V1281" s="62"/>
      <c r="W1281" s="62"/>
      <c r="X1281" s="62"/>
      <c r="Y1281" s="62"/>
      <c r="Z1281" s="62"/>
      <c r="AA1281" s="62"/>
      <c r="AB1281" s="62"/>
      <c r="AC1281" s="62"/>
    </row>
    <row r="1282">
      <c r="A1282" s="60">
        <f>IFERROR(__xludf.DUMMYFUNCTION("""COMPUTED_VALUE"""),15757.0)</f>
        <v>15757</v>
      </c>
      <c r="B1282" s="60" t="str">
        <f>IFERROR(__xludf.DUMMYFUNCTION("""COMPUTED_VALUE"""),"Robinson, Wan'Dale")</f>
        <v>Robinson, Wan'Dale</v>
      </c>
      <c r="C1282" s="60" t="str">
        <f>IFERROR(__xludf.DUMMYFUNCTION("""COMPUTED_VALUE"""),"WR")</f>
        <v>WR</v>
      </c>
      <c r="D1282" s="60" t="str">
        <f>IFERROR(__xludf.DUMMYFUNCTION("""COMPUTED_VALUE"""),"TEN")</f>
        <v>TEN</v>
      </c>
      <c r="E1282" s="62" t="str">
        <f t="shared" si="4"/>
        <v>Wan'Dale Robinson</v>
      </c>
      <c r="F1282" s="62">
        <f t="shared" ref="F1282:G1282" si="2563">IF(isblank(F$1),,IF(isblank($A1282),,IFERROR(vlookup($A1282,indirect("'TVC-"&amp;text(month(F$1),"00")&amp;"'!$A:$D"),4,false),1)))</f>
        <v>3557</v>
      </c>
      <c r="G1282" s="62">
        <f t="shared" si="2563"/>
        <v>3624</v>
      </c>
      <c r="H1282" s="62">
        <f t="shared" ref="H1282:Q1282" si="2564">IF(isblank(H$1),,IFERROR(vlookup($A1282,indirect("'TVC-"&amp;text(month(H$1),"00")&amp;"'!$A:$D"),4,false),1))</f>
        <v>3606</v>
      </c>
      <c r="I1282" s="62">
        <f t="shared" si="2564"/>
        <v>3707</v>
      </c>
      <c r="J1282" s="62">
        <f t="shared" si="2564"/>
        <v>3582</v>
      </c>
      <c r="K1282" s="62">
        <f t="shared" si="2564"/>
        <v>3594</v>
      </c>
      <c r="L1282" s="62">
        <f t="shared" si="2564"/>
        <v>3491</v>
      </c>
      <c r="M1282" s="62">
        <f t="shared" si="2564"/>
        <v>3399</v>
      </c>
      <c r="N1282" s="62">
        <f t="shared" si="2564"/>
        <v>3309</v>
      </c>
      <c r="O1282" s="62">
        <f t="shared" si="2564"/>
        <v>1</v>
      </c>
      <c r="P1282" s="62" t="str">
        <f t="shared" si="2564"/>
        <v/>
      </c>
      <c r="Q1282" s="62" t="str">
        <f t="shared" si="2564"/>
        <v/>
      </c>
      <c r="R1282" s="62">
        <f t="shared" si="7"/>
        <v>-3308</v>
      </c>
      <c r="S1282" s="62"/>
      <c r="T1282" s="62"/>
      <c r="U1282" s="62"/>
      <c r="V1282" s="62"/>
      <c r="W1282" s="62"/>
      <c r="X1282" s="62"/>
      <c r="Y1282" s="62"/>
      <c r="Z1282" s="62"/>
      <c r="AA1282" s="62"/>
      <c r="AB1282" s="62"/>
      <c r="AC1282" s="62"/>
    </row>
    <row r="1283">
      <c r="A1283" s="60">
        <f>IFERROR(__xludf.DUMMYFUNCTION("""COMPUTED_VALUE"""),15758.0)</f>
        <v>15758</v>
      </c>
      <c r="B1283" s="60" t="str">
        <f>IFERROR(__xludf.DUMMYFUNCTION("""COMPUTED_VALUE"""),"Bell, David")</f>
        <v>Bell, David</v>
      </c>
      <c r="C1283" s="60" t="str">
        <f>IFERROR(__xludf.DUMMYFUNCTION("""COMPUTED_VALUE"""),"WR")</f>
        <v>WR</v>
      </c>
      <c r="D1283" s="60" t="str">
        <f>IFERROR(__xludf.DUMMYFUNCTION("""COMPUTED_VALUE"""),"CLE")</f>
        <v>CLE</v>
      </c>
      <c r="E1283" s="62" t="str">
        <f t="shared" si="4"/>
        <v>David Bell</v>
      </c>
      <c r="F1283" s="62">
        <f t="shared" ref="F1283:G1283" si="2565">IF(isblank(F$1),,IF(isblank($A1283),,IFERROR(vlookup($A1283,indirect("'TVC-"&amp;text(month(F$1),"00")&amp;"'!$A:$D"),4,false),1)))</f>
        <v>586</v>
      </c>
      <c r="G1283" s="62">
        <f t="shared" si="2565"/>
        <v>1</v>
      </c>
      <c r="H1283" s="62">
        <f t="shared" ref="H1283:Q1283" si="2566">IF(isblank(H$1),,IFERROR(vlookup($A1283,indirect("'TVC-"&amp;text(month(H$1),"00")&amp;"'!$A:$D"),4,false),1))</f>
        <v>1</v>
      </c>
      <c r="I1283" s="62">
        <f t="shared" si="2566"/>
        <v>1</v>
      </c>
      <c r="J1283" s="62">
        <f t="shared" si="2566"/>
        <v>902</v>
      </c>
      <c r="K1283" s="62">
        <f t="shared" si="2566"/>
        <v>972</v>
      </c>
      <c r="L1283" s="62">
        <f t="shared" si="2566"/>
        <v>964</v>
      </c>
      <c r="M1283" s="62">
        <f t="shared" si="2566"/>
        <v>998</v>
      </c>
      <c r="N1283" s="62">
        <f t="shared" si="2566"/>
        <v>1071</v>
      </c>
      <c r="O1283" s="62">
        <f t="shared" si="2566"/>
        <v>1</v>
      </c>
      <c r="P1283" s="62" t="str">
        <f t="shared" si="2566"/>
        <v/>
      </c>
      <c r="Q1283" s="62" t="str">
        <f t="shared" si="2566"/>
        <v/>
      </c>
      <c r="R1283" s="62">
        <f t="shared" si="7"/>
        <v>-1070</v>
      </c>
      <c r="S1283" s="62"/>
      <c r="T1283" s="62"/>
      <c r="U1283" s="62"/>
      <c r="V1283" s="62"/>
      <c r="W1283" s="62"/>
      <c r="X1283" s="62"/>
      <c r="Y1283" s="62"/>
      <c r="Z1283" s="62"/>
      <c r="AA1283" s="62"/>
      <c r="AB1283" s="62"/>
      <c r="AC1283" s="62"/>
    </row>
    <row r="1284" hidden="1">
      <c r="A1284" s="60">
        <f>IFERROR(__xludf.DUMMYFUNCTION("""COMPUTED_VALUE"""),15759.0)</f>
        <v>15759</v>
      </c>
      <c r="B1284" s="60" t="str">
        <f>IFERROR(__xludf.DUMMYFUNCTION("""COMPUTED_VALUE"""),"Metchie, John")</f>
        <v>Metchie, John</v>
      </c>
      <c r="C1284" s="60" t="str">
        <f>IFERROR(__xludf.DUMMYFUNCTION("""COMPUTED_VALUE"""),"WR")</f>
        <v>WR</v>
      </c>
      <c r="D1284" s="60" t="str">
        <f>IFERROR(__xludf.DUMMYFUNCTION("""COMPUTED_VALUE"""),"CAR")</f>
        <v>CAR</v>
      </c>
      <c r="E1284" s="62" t="str">
        <f t="shared" si="4"/>
        <v>John Metchie</v>
      </c>
      <c r="F1284" s="62">
        <f t="shared" ref="F1284:G1284" si="2567">IF(isblank(F$1),,IF(isblank($A1284),,IFERROR(vlookup($A1284,indirect("'TVC-"&amp;text(month(F$1),"00")&amp;"'!$A:$D"),4,false),1)))</f>
        <v>2063</v>
      </c>
      <c r="G1284" s="62">
        <f t="shared" si="2567"/>
        <v>1878</v>
      </c>
      <c r="H1284" s="62">
        <f t="shared" ref="H1284:Q1284" si="2568">IF(isblank(H$1),,IFERROR(vlookup($A1284,indirect("'TVC-"&amp;text(month(H$1),"00")&amp;"'!$A:$D"),4,false),1))</f>
        <v>1862</v>
      </c>
      <c r="I1284" s="62">
        <f t="shared" si="2568"/>
        <v>1780</v>
      </c>
      <c r="J1284" s="62">
        <f t="shared" si="2568"/>
        <v>1641</v>
      </c>
      <c r="K1284" s="62">
        <f t="shared" si="2568"/>
        <v>1509</v>
      </c>
      <c r="L1284" s="62">
        <f t="shared" si="2568"/>
        <v>1433</v>
      </c>
      <c r="M1284" s="62">
        <f t="shared" si="2568"/>
        <v>1406</v>
      </c>
      <c r="N1284" s="62">
        <f t="shared" si="2568"/>
        <v>1389</v>
      </c>
      <c r="O1284" s="62">
        <f t="shared" si="2568"/>
        <v>1</v>
      </c>
      <c r="P1284" s="62" t="str">
        <f t="shared" si="2568"/>
        <v/>
      </c>
      <c r="Q1284" s="62" t="str">
        <f t="shared" si="2568"/>
        <v/>
      </c>
      <c r="R1284" s="62">
        <f t="shared" si="7"/>
        <v>-1388</v>
      </c>
      <c r="S1284" s="62"/>
      <c r="T1284" s="62"/>
      <c r="U1284" s="62"/>
      <c r="V1284" s="62"/>
      <c r="W1284" s="62"/>
      <c r="X1284" s="62"/>
      <c r="Y1284" s="62"/>
      <c r="Z1284" s="62"/>
      <c r="AA1284" s="62"/>
      <c r="AB1284" s="62"/>
      <c r="AC1284" s="62"/>
    </row>
    <row r="1285">
      <c r="A1285" s="60">
        <f>IFERROR(__xludf.DUMMYFUNCTION("""COMPUTED_VALUE"""),15761.0)</f>
        <v>15761</v>
      </c>
      <c r="B1285" s="60" t="str">
        <f>IFERROR(__xludf.DUMMYFUNCTION("""COMPUTED_VALUE"""),"Shakir, Khalil")</f>
        <v>Shakir, Khalil</v>
      </c>
      <c r="C1285" s="60" t="str">
        <f>IFERROR(__xludf.DUMMYFUNCTION("""COMPUTED_VALUE"""),"WR")</f>
        <v>WR</v>
      </c>
      <c r="D1285" s="60" t="str">
        <f>IFERROR(__xludf.DUMMYFUNCTION("""COMPUTED_VALUE"""),"BUF")</f>
        <v>BUF</v>
      </c>
      <c r="E1285" s="62" t="str">
        <f t="shared" si="4"/>
        <v>Khalil Shakir</v>
      </c>
      <c r="F1285" s="62">
        <f t="shared" ref="F1285:G1285" si="2569">IF(isblank(F$1),,IF(isblank($A1285),,IFERROR(vlookup($A1285,indirect("'TVC-"&amp;text(month(F$1),"00")&amp;"'!$A:$D"),4,false),1)))</f>
        <v>2966</v>
      </c>
      <c r="G1285" s="62">
        <f t="shared" si="2569"/>
        <v>3111</v>
      </c>
      <c r="H1285" s="62">
        <f t="shared" ref="H1285:Q1285" si="2570">IF(isblank(H$1),,IFERROR(vlookup($A1285,indirect("'TVC-"&amp;text(month(H$1),"00")&amp;"'!$A:$D"),4,false),1))</f>
        <v>3101</v>
      </c>
      <c r="I1285" s="62">
        <f t="shared" si="2570"/>
        <v>3037</v>
      </c>
      <c r="J1285" s="62">
        <f t="shared" si="2570"/>
        <v>3008</v>
      </c>
      <c r="K1285" s="62">
        <f t="shared" si="2570"/>
        <v>2990</v>
      </c>
      <c r="L1285" s="62">
        <f t="shared" si="2570"/>
        <v>2921</v>
      </c>
      <c r="M1285" s="62">
        <f t="shared" si="2570"/>
        <v>2862</v>
      </c>
      <c r="N1285" s="62">
        <f t="shared" si="2570"/>
        <v>2776</v>
      </c>
      <c r="O1285" s="62">
        <f t="shared" si="2570"/>
        <v>1</v>
      </c>
      <c r="P1285" s="62" t="str">
        <f t="shared" si="2570"/>
        <v/>
      </c>
      <c r="Q1285" s="62" t="str">
        <f t="shared" si="2570"/>
        <v/>
      </c>
      <c r="R1285" s="62">
        <f t="shared" si="7"/>
        <v>-2775</v>
      </c>
      <c r="S1285" s="62"/>
      <c r="T1285" s="62"/>
      <c r="U1285" s="62"/>
      <c r="V1285" s="62"/>
      <c r="W1285" s="62"/>
      <c r="X1285" s="62"/>
      <c r="Y1285" s="62"/>
      <c r="Z1285" s="62"/>
      <c r="AA1285" s="62"/>
      <c r="AB1285" s="62"/>
      <c r="AC1285" s="62"/>
    </row>
    <row r="1286">
      <c r="A1286" s="60">
        <f>IFERROR(__xludf.DUMMYFUNCTION("""COMPUTED_VALUE"""),15762.0)</f>
        <v>15762</v>
      </c>
      <c r="B1286" s="60" t="str">
        <f>IFERROR(__xludf.DUMMYFUNCTION("""COMPUTED_VALUE"""),"Pickens, George")</f>
        <v>Pickens, George</v>
      </c>
      <c r="C1286" s="60" t="str">
        <f>IFERROR(__xludf.DUMMYFUNCTION("""COMPUTED_VALUE"""),"WR")</f>
        <v>WR</v>
      </c>
      <c r="D1286" s="60" t="str">
        <f>IFERROR(__xludf.DUMMYFUNCTION("""COMPUTED_VALUE"""),"DAL")</f>
        <v>DAL</v>
      </c>
      <c r="E1286" s="62" t="str">
        <f t="shared" si="4"/>
        <v>George Pickens</v>
      </c>
      <c r="F1286" s="62">
        <f t="shared" ref="F1286:G1286" si="2571">IF(isblank(F$1),,IF(isblank($A1286),,IFERROR(vlookup($A1286,indirect("'TVC-"&amp;text(month(F$1),"00")&amp;"'!$A:$D"),4,false),1)))</f>
        <v>6108</v>
      </c>
      <c r="G1286" s="62">
        <f t="shared" si="2571"/>
        <v>6154</v>
      </c>
      <c r="H1286" s="62">
        <f t="shared" ref="H1286:Q1286" si="2572">IF(isblank(H$1),,IFERROR(vlookup($A1286,indirect("'TVC-"&amp;text(month(H$1),"00")&amp;"'!$A:$D"),4,false),1))</f>
        <v>6154</v>
      </c>
      <c r="I1286" s="62">
        <f t="shared" si="2572"/>
        <v>6067</v>
      </c>
      <c r="J1286" s="62">
        <f t="shared" si="2572"/>
        <v>5970</v>
      </c>
      <c r="K1286" s="62">
        <f t="shared" si="2572"/>
        <v>5893</v>
      </c>
      <c r="L1286" s="62">
        <f t="shared" si="2572"/>
        <v>5924</v>
      </c>
      <c r="M1286" s="62">
        <f t="shared" si="2572"/>
        <v>6122</v>
      </c>
      <c r="N1286" s="62">
        <f t="shared" si="2572"/>
        <v>6253</v>
      </c>
      <c r="O1286" s="62">
        <f t="shared" si="2572"/>
        <v>1</v>
      </c>
      <c r="P1286" s="62" t="str">
        <f t="shared" si="2572"/>
        <v/>
      </c>
      <c r="Q1286" s="62" t="str">
        <f t="shared" si="2572"/>
        <v/>
      </c>
      <c r="R1286" s="62">
        <f t="shared" si="7"/>
        <v>-6252</v>
      </c>
      <c r="S1286" s="62"/>
      <c r="T1286" s="62"/>
      <c r="U1286" s="62"/>
      <c r="V1286" s="62"/>
      <c r="W1286" s="62"/>
      <c r="X1286" s="62"/>
      <c r="Y1286" s="62"/>
      <c r="Z1286" s="62"/>
      <c r="AA1286" s="62"/>
      <c r="AB1286" s="62"/>
      <c r="AC1286" s="62"/>
    </row>
    <row r="1287">
      <c r="A1287" s="60">
        <f>IFERROR(__xludf.DUMMYFUNCTION("""COMPUTED_VALUE"""),15763.0)</f>
        <v>15763</v>
      </c>
      <c r="B1287" s="60" t="str">
        <f>IFERROR(__xludf.DUMMYFUNCTION("""COMPUTED_VALUE"""),"Ross, Justyn")</f>
        <v>Ross, Justyn</v>
      </c>
      <c r="C1287" s="60" t="str">
        <f>IFERROR(__xludf.DUMMYFUNCTION("""COMPUTED_VALUE"""),"WR")</f>
        <v>WR</v>
      </c>
      <c r="D1287" s="60" t="str">
        <f>IFERROR(__xludf.DUMMYFUNCTION("""COMPUTED_VALUE"""),"FA")</f>
        <v>FA</v>
      </c>
      <c r="E1287" s="62" t="str">
        <f t="shared" si="4"/>
        <v>Justyn Ross</v>
      </c>
      <c r="F1287" s="62">
        <f t="shared" ref="F1287:G1287" si="2573">IF(isblank(F$1),,IF(isblank($A1287),,IFERROR(vlookup($A1287,indirect("'TVC-"&amp;text(month(F$1),"00")&amp;"'!$A:$D"),4,false),1)))</f>
        <v>1</v>
      </c>
      <c r="G1287" s="62">
        <f t="shared" si="2573"/>
        <v>1</v>
      </c>
      <c r="H1287" s="62">
        <f t="shared" ref="H1287:Q1287" si="2574">IF(isblank(H$1),,IFERROR(vlookup($A1287,indirect("'TVC-"&amp;text(month(H$1),"00")&amp;"'!$A:$D"),4,false),1))</f>
        <v>1</v>
      </c>
      <c r="I1287" s="62">
        <f t="shared" si="2574"/>
        <v>1</v>
      </c>
      <c r="J1287" s="62">
        <f t="shared" si="2574"/>
        <v>1</v>
      </c>
      <c r="K1287" s="62">
        <f t="shared" si="2574"/>
        <v>1</v>
      </c>
      <c r="L1287" s="62">
        <f t="shared" si="2574"/>
        <v>1</v>
      </c>
      <c r="M1287" s="62">
        <f t="shared" si="2574"/>
        <v>1</v>
      </c>
      <c r="N1287" s="62">
        <f t="shared" si="2574"/>
        <v>1</v>
      </c>
      <c r="O1287" s="62">
        <f t="shared" si="2574"/>
        <v>1</v>
      </c>
      <c r="P1287" s="62" t="str">
        <f t="shared" si="2574"/>
        <v/>
      </c>
      <c r="Q1287" s="62" t="str">
        <f t="shared" si="2574"/>
        <v/>
      </c>
      <c r="R1287" s="62">
        <f t="shared" si="7"/>
        <v>0</v>
      </c>
      <c r="S1287" s="62"/>
      <c r="T1287" s="62"/>
      <c r="U1287" s="62"/>
      <c r="V1287" s="62"/>
      <c r="W1287" s="62"/>
      <c r="X1287" s="62"/>
      <c r="Y1287" s="62"/>
      <c r="Z1287" s="62"/>
      <c r="AA1287" s="62"/>
      <c r="AB1287" s="62"/>
      <c r="AC1287" s="62"/>
    </row>
    <row r="1288">
      <c r="A1288" s="60">
        <f>IFERROR(__xludf.DUMMYFUNCTION("""COMPUTED_VALUE"""),15765.0)</f>
        <v>15765</v>
      </c>
      <c r="B1288" s="60" t="str">
        <f>IFERROR(__xludf.DUMMYFUNCTION("""COMPUTED_VALUE"""),"Austin, Kevin")</f>
        <v>Austin, Kevin</v>
      </c>
      <c r="C1288" s="60" t="str">
        <f>IFERROR(__xludf.DUMMYFUNCTION("""COMPUTED_VALUE"""),"WR")</f>
        <v>WR</v>
      </c>
      <c r="D1288" s="60" t="str">
        <f>IFERROR(__xludf.DUMMYFUNCTION("""COMPUTED_VALUE"""),"NOS")</f>
        <v>NOS</v>
      </c>
      <c r="E1288" s="62" t="str">
        <f t="shared" si="4"/>
        <v>Kevin Austin</v>
      </c>
      <c r="F1288" s="62">
        <f t="shared" ref="F1288:G1288" si="2575">IF(isblank(F$1),,IF(isblank($A1288),,IFERROR(vlookup($A1288,indirect("'TVC-"&amp;text(month(F$1),"00")&amp;"'!$A:$D"),4,false),1)))</f>
        <v>1</v>
      </c>
      <c r="G1288" s="62">
        <f t="shared" si="2575"/>
        <v>1</v>
      </c>
      <c r="H1288" s="62">
        <f t="shared" ref="H1288:Q1288" si="2576">IF(isblank(H$1),,IFERROR(vlookup($A1288,indirect("'TVC-"&amp;text(month(H$1),"00")&amp;"'!$A:$D"),4,false),1))</f>
        <v>1</v>
      </c>
      <c r="I1288" s="62">
        <f t="shared" si="2576"/>
        <v>1</v>
      </c>
      <c r="J1288" s="62">
        <f t="shared" si="2576"/>
        <v>1</v>
      </c>
      <c r="K1288" s="62">
        <f t="shared" si="2576"/>
        <v>1</v>
      </c>
      <c r="L1288" s="62">
        <f t="shared" si="2576"/>
        <v>1</v>
      </c>
      <c r="M1288" s="62">
        <f t="shared" si="2576"/>
        <v>1</v>
      </c>
      <c r="N1288" s="62">
        <f t="shared" si="2576"/>
        <v>1</v>
      </c>
      <c r="O1288" s="62">
        <f t="shared" si="2576"/>
        <v>1</v>
      </c>
      <c r="P1288" s="62" t="str">
        <f t="shared" si="2576"/>
        <v/>
      </c>
      <c r="Q1288" s="62" t="str">
        <f t="shared" si="2576"/>
        <v/>
      </c>
      <c r="R1288" s="62">
        <f t="shared" si="7"/>
        <v>0</v>
      </c>
      <c r="S1288" s="62"/>
      <c r="T1288" s="62"/>
      <c r="U1288" s="62"/>
      <c r="V1288" s="62"/>
      <c r="W1288" s="62"/>
      <c r="X1288" s="62"/>
      <c r="Y1288" s="62"/>
      <c r="Z1288" s="62"/>
      <c r="AA1288" s="62"/>
      <c r="AB1288" s="62"/>
      <c r="AC1288" s="62"/>
    </row>
    <row r="1289">
      <c r="A1289" s="60">
        <f>IFERROR(__xludf.DUMMYFUNCTION("""COMPUTED_VALUE"""),15766.0)</f>
        <v>15766</v>
      </c>
      <c r="B1289" s="60" t="str">
        <f>IFERROR(__xludf.DUMMYFUNCTION("""COMPUTED_VALUE"""),"Moore, Skyy")</f>
        <v>Moore, Skyy</v>
      </c>
      <c r="C1289" s="60" t="str">
        <f>IFERROR(__xludf.DUMMYFUNCTION("""COMPUTED_VALUE"""),"WR")</f>
        <v>WR</v>
      </c>
      <c r="D1289" s="60" t="str">
        <f>IFERROR(__xludf.DUMMYFUNCTION("""COMPUTED_VALUE"""),"GBP")</f>
        <v>GBP</v>
      </c>
      <c r="E1289" s="62" t="str">
        <f t="shared" si="4"/>
        <v>Skyy Moore</v>
      </c>
      <c r="F1289" s="62">
        <f t="shared" ref="F1289:G1289" si="2577">IF(isblank(F$1),,IF(isblank($A1289),,IFERROR(vlookup($A1289,indirect("'TVC-"&amp;text(month(F$1),"00")&amp;"'!$A:$D"),4,false),1)))</f>
        <v>935</v>
      </c>
      <c r="G1289" s="62">
        <f t="shared" si="2577"/>
        <v>946</v>
      </c>
      <c r="H1289" s="62">
        <f t="shared" ref="H1289:Q1289" si="2578">IF(isblank(H$1),,IFERROR(vlookup($A1289,indirect("'TVC-"&amp;text(month(H$1),"00")&amp;"'!$A:$D"),4,false),1))</f>
        <v>938</v>
      </c>
      <c r="I1289" s="62">
        <f t="shared" si="2578"/>
        <v>1023</v>
      </c>
      <c r="J1289" s="62">
        <f t="shared" si="2578"/>
        <v>988</v>
      </c>
      <c r="K1289" s="62">
        <f t="shared" si="2578"/>
        <v>977</v>
      </c>
      <c r="L1289" s="62">
        <f t="shared" si="2578"/>
        <v>987</v>
      </c>
      <c r="M1289" s="62">
        <f t="shared" si="2578"/>
        <v>889</v>
      </c>
      <c r="N1289" s="62">
        <f t="shared" si="2578"/>
        <v>862</v>
      </c>
      <c r="O1289" s="62">
        <f t="shared" si="2578"/>
        <v>1</v>
      </c>
      <c r="P1289" s="62" t="str">
        <f t="shared" si="2578"/>
        <v/>
      </c>
      <c r="Q1289" s="62" t="str">
        <f t="shared" si="2578"/>
        <v/>
      </c>
      <c r="R1289" s="62">
        <f t="shared" si="7"/>
        <v>-861</v>
      </c>
      <c r="S1289" s="62"/>
      <c r="T1289" s="62"/>
      <c r="U1289" s="62"/>
      <c r="V1289" s="62"/>
      <c r="W1289" s="62"/>
      <c r="X1289" s="62"/>
      <c r="Y1289" s="62"/>
      <c r="Z1289" s="62"/>
      <c r="AA1289" s="62"/>
      <c r="AB1289" s="62"/>
      <c r="AC1289" s="62"/>
    </row>
    <row r="1290">
      <c r="A1290" s="60">
        <f>IFERROR(__xludf.DUMMYFUNCTION("""COMPUTED_VALUE"""),15767.0)</f>
        <v>15767</v>
      </c>
      <c r="B1290" s="60" t="str">
        <f>IFERROR(__xludf.DUMMYFUNCTION("""COMPUTED_VALUE"""),"Jones, Velus")</f>
        <v>Jones, Velus</v>
      </c>
      <c r="C1290" s="60" t="str">
        <f>IFERROR(__xludf.DUMMYFUNCTION("""COMPUTED_VALUE"""),"WR")</f>
        <v>WR</v>
      </c>
      <c r="D1290" s="60" t="str">
        <f>IFERROR(__xludf.DUMMYFUNCTION("""COMPUTED_VALUE"""),"SEA")</f>
        <v>SEA</v>
      </c>
      <c r="E1290" s="62" t="str">
        <f t="shared" si="4"/>
        <v>Velus Jones</v>
      </c>
      <c r="F1290" s="62">
        <f t="shared" ref="F1290:G1290" si="2579">IF(isblank(F$1),,IF(isblank($A1290),,IFERROR(vlookup($A1290,indirect("'TVC-"&amp;text(month(F$1),"00")&amp;"'!$A:$D"),4,false),1)))</f>
        <v>1</v>
      </c>
      <c r="G1290" s="62">
        <f t="shared" si="2579"/>
        <v>1</v>
      </c>
      <c r="H1290" s="62">
        <f t="shared" ref="H1290:Q1290" si="2580">IF(isblank(H$1),,IFERROR(vlookup($A1290,indirect("'TVC-"&amp;text(month(H$1),"00")&amp;"'!$A:$D"),4,false),1))</f>
        <v>1</v>
      </c>
      <c r="I1290" s="62">
        <f t="shared" si="2580"/>
        <v>1</v>
      </c>
      <c r="J1290" s="62">
        <f t="shared" si="2580"/>
        <v>1</v>
      </c>
      <c r="K1290" s="62">
        <f t="shared" si="2580"/>
        <v>1</v>
      </c>
      <c r="L1290" s="62">
        <f t="shared" si="2580"/>
        <v>1</v>
      </c>
      <c r="M1290" s="62">
        <f t="shared" si="2580"/>
        <v>1</v>
      </c>
      <c r="N1290" s="62">
        <f t="shared" si="2580"/>
        <v>1</v>
      </c>
      <c r="O1290" s="62">
        <f t="shared" si="2580"/>
        <v>1</v>
      </c>
      <c r="P1290" s="62" t="str">
        <f t="shared" si="2580"/>
        <v/>
      </c>
      <c r="Q1290" s="62" t="str">
        <f t="shared" si="2580"/>
        <v/>
      </c>
      <c r="R1290" s="62">
        <f t="shared" si="7"/>
        <v>0</v>
      </c>
      <c r="S1290" s="62"/>
      <c r="T1290" s="62"/>
      <c r="U1290" s="62"/>
      <c r="V1290" s="62"/>
      <c r="W1290" s="62"/>
      <c r="X1290" s="62"/>
      <c r="Y1290" s="62"/>
      <c r="Z1290" s="62"/>
      <c r="AA1290" s="62"/>
      <c r="AB1290" s="62"/>
      <c r="AC1290" s="62"/>
    </row>
    <row r="1291">
      <c r="A1291" s="60">
        <f>IFERROR(__xludf.DUMMYFUNCTION("""COMPUTED_VALUE"""),15768.0)</f>
        <v>15768</v>
      </c>
      <c r="B1291" s="60" t="str">
        <f>IFERROR(__xludf.DUMMYFUNCTION("""COMPUTED_VALUE"""),"Pierce, Alec")</f>
        <v>Pierce, Alec</v>
      </c>
      <c r="C1291" s="60" t="str">
        <f>IFERROR(__xludf.DUMMYFUNCTION("""COMPUTED_VALUE"""),"WR")</f>
        <v>WR</v>
      </c>
      <c r="D1291" s="60" t="str">
        <f>IFERROR(__xludf.DUMMYFUNCTION("""COMPUTED_VALUE"""),"IND")</f>
        <v>IND</v>
      </c>
      <c r="E1291" s="62" t="str">
        <f t="shared" si="4"/>
        <v>Alec Pierce</v>
      </c>
      <c r="F1291" s="62">
        <f t="shared" ref="F1291:G1291" si="2581">IF(isblank(F$1),,IF(isblank($A1291),,IFERROR(vlookup($A1291,indirect("'TVC-"&amp;text(month(F$1),"00")&amp;"'!$A:$D"),4,false),1)))</f>
        <v>3312</v>
      </c>
      <c r="G1291" s="62">
        <f t="shared" si="2581"/>
        <v>3861</v>
      </c>
      <c r="H1291" s="62">
        <f t="shared" ref="H1291:Q1291" si="2582">IF(isblank(H$1),,IFERROR(vlookup($A1291,indirect("'TVC-"&amp;text(month(H$1),"00")&amp;"'!$A:$D"),4,false),1))</f>
        <v>3964</v>
      </c>
      <c r="I1291" s="62">
        <f t="shared" si="2582"/>
        <v>4340</v>
      </c>
      <c r="J1291" s="62">
        <f t="shared" si="2582"/>
        <v>4162</v>
      </c>
      <c r="K1291" s="62">
        <f t="shared" si="2582"/>
        <v>4079</v>
      </c>
      <c r="L1291" s="62">
        <f t="shared" si="2582"/>
        <v>3993</v>
      </c>
      <c r="M1291" s="62">
        <f t="shared" si="2582"/>
        <v>3926</v>
      </c>
      <c r="N1291" s="62">
        <f t="shared" si="2582"/>
        <v>3716</v>
      </c>
      <c r="O1291" s="62">
        <f t="shared" si="2582"/>
        <v>1</v>
      </c>
      <c r="P1291" s="62" t="str">
        <f t="shared" si="2582"/>
        <v/>
      </c>
      <c r="Q1291" s="62" t="str">
        <f t="shared" si="2582"/>
        <v/>
      </c>
      <c r="R1291" s="62">
        <f t="shared" si="7"/>
        <v>-3715</v>
      </c>
      <c r="S1291" s="62"/>
      <c r="T1291" s="62"/>
      <c r="U1291" s="62"/>
      <c r="V1291" s="62"/>
      <c r="W1291" s="62"/>
      <c r="X1291" s="62"/>
      <c r="Y1291" s="62"/>
      <c r="Z1291" s="62"/>
      <c r="AA1291" s="62"/>
      <c r="AB1291" s="62"/>
      <c r="AC1291" s="62"/>
    </row>
    <row r="1292">
      <c r="A1292" s="60">
        <f>IFERROR(__xludf.DUMMYFUNCTION("""COMPUTED_VALUE"""),15771.0)</f>
        <v>15771</v>
      </c>
      <c r="B1292" s="60" t="str">
        <f>IFERROR(__xludf.DUMMYFUNCTION("""COMPUTED_VALUE"""),"Martin, Tay")</f>
        <v>Martin, Tay</v>
      </c>
      <c r="C1292" s="60" t="str">
        <f>IFERROR(__xludf.DUMMYFUNCTION("""COMPUTED_VALUE"""),"WR")</f>
        <v>WR</v>
      </c>
      <c r="D1292" s="60" t="str">
        <f>IFERROR(__xludf.DUMMYFUNCTION("""COMPUTED_VALUE"""),"DET")</f>
        <v>DET</v>
      </c>
      <c r="E1292" s="62" t="str">
        <f t="shared" si="4"/>
        <v>Tay Martin</v>
      </c>
      <c r="F1292" s="62">
        <f t="shared" ref="F1292:G1292" si="2583">IF(isblank(F$1),,IF(isblank($A1292),,IFERROR(vlookup($A1292,indirect("'TVC-"&amp;text(month(F$1),"00")&amp;"'!$A:$D"),4,false),1)))</f>
        <v>1</v>
      </c>
      <c r="G1292" s="62">
        <f t="shared" si="2583"/>
        <v>1</v>
      </c>
      <c r="H1292" s="62">
        <f t="shared" ref="H1292:Q1292" si="2584">IF(isblank(H$1),,IFERROR(vlookup($A1292,indirect("'TVC-"&amp;text(month(H$1),"00")&amp;"'!$A:$D"),4,false),1))</f>
        <v>1</v>
      </c>
      <c r="I1292" s="62">
        <f t="shared" si="2584"/>
        <v>1</v>
      </c>
      <c r="J1292" s="62">
        <f t="shared" si="2584"/>
        <v>1</v>
      </c>
      <c r="K1292" s="62">
        <f t="shared" si="2584"/>
        <v>1</v>
      </c>
      <c r="L1292" s="62">
        <f t="shared" si="2584"/>
        <v>1</v>
      </c>
      <c r="M1292" s="62">
        <f t="shared" si="2584"/>
        <v>1</v>
      </c>
      <c r="N1292" s="62">
        <f t="shared" si="2584"/>
        <v>1</v>
      </c>
      <c r="O1292" s="62">
        <f t="shared" si="2584"/>
        <v>1</v>
      </c>
      <c r="P1292" s="62" t="str">
        <f t="shared" si="2584"/>
        <v/>
      </c>
      <c r="Q1292" s="62" t="str">
        <f t="shared" si="2584"/>
        <v/>
      </c>
      <c r="R1292" s="62">
        <f t="shared" si="7"/>
        <v>0</v>
      </c>
      <c r="S1292" s="62"/>
      <c r="T1292" s="62"/>
      <c r="U1292" s="62"/>
      <c r="V1292" s="62"/>
      <c r="W1292" s="62"/>
      <c r="X1292" s="62"/>
      <c r="Y1292" s="62"/>
      <c r="Z1292" s="62"/>
      <c r="AA1292" s="62"/>
      <c r="AB1292" s="62"/>
      <c r="AC1292" s="62"/>
    </row>
    <row r="1293">
      <c r="A1293" s="60">
        <f>IFERROR(__xludf.DUMMYFUNCTION("""COMPUTED_VALUE"""),15772.0)</f>
        <v>15772</v>
      </c>
      <c r="B1293" s="60" t="str">
        <f>IFERROR(__xludf.DUMMYFUNCTION("""COMPUTED_VALUE"""),"Covey, Britain")</f>
        <v>Covey, Britain</v>
      </c>
      <c r="C1293" s="60" t="str">
        <f>IFERROR(__xludf.DUMMYFUNCTION("""COMPUTED_VALUE"""),"WR")</f>
        <v>WR</v>
      </c>
      <c r="D1293" s="60" t="str">
        <f>IFERROR(__xludf.DUMMYFUNCTION("""COMPUTED_VALUE"""),"PHI")</f>
        <v>PHI</v>
      </c>
      <c r="E1293" s="62" t="str">
        <f t="shared" si="4"/>
        <v>Britain Covey</v>
      </c>
      <c r="F1293" s="62">
        <f t="shared" ref="F1293:G1293" si="2585">IF(isblank(F$1),,IF(isblank($A1293),,IFERROR(vlookup($A1293,indirect("'TVC-"&amp;text(month(F$1),"00")&amp;"'!$A:$D"),4,false),1)))</f>
        <v>1</v>
      </c>
      <c r="G1293" s="62">
        <f t="shared" si="2585"/>
        <v>1</v>
      </c>
      <c r="H1293" s="62">
        <f t="shared" ref="H1293:Q1293" si="2586">IF(isblank(H$1),,IFERROR(vlookup($A1293,indirect("'TVC-"&amp;text(month(H$1),"00")&amp;"'!$A:$D"),4,false),1))</f>
        <v>1</v>
      </c>
      <c r="I1293" s="62">
        <f t="shared" si="2586"/>
        <v>1</v>
      </c>
      <c r="J1293" s="62">
        <f t="shared" si="2586"/>
        <v>1</v>
      </c>
      <c r="K1293" s="62">
        <f t="shared" si="2586"/>
        <v>1</v>
      </c>
      <c r="L1293" s="62">
        <f t="shared" si="2586"/>
        <v>1</v>
      </c>
      <c r="M1293" s="62">
        <f t="shared" si="2586"/>
        <v>1</v>
      </c>
      <c r="N1293" s="62">
        <f t="shared" si="2586"/>
        <v>1</v>
      </c>
      <c r="O1293" s="62">
        <f t="shared" si="2586"/>
        <v>1</v>
      </c>
      <c r="P1293" s="62" t="str">
        <f t="shared" si="2586"/>
        <v/>
      </c>
      <c r="Q1293" s="62" t="str">
        <f t="shared" si="2586"/>
        <v/>
      </c>
      <c r="R1293" s="62">
        <f t="shared" si="7"/>
        <v>0</v>
      </c>
      <c r="S1293" s="62"/>
      <c r="T1293" s="62"/>
      <c r="U1293" s="62"/>
      <c r="V1293" s="62"/>
      <c r="W1293" s="62"/>
      <c r="X1293" s="62"/>
      <c r="Y1293" s="62"/>
      <c r="Z1293" s="62"/>
      <c r="AA1293" s="62"/>
      <c r="AB1293" s="62"/>
      <c r="AC1293" s="62"/>
    </row>
    <row r="1294">
      <c r="A1294" s="60">
        <f>IFERROR(__xludf.DUMMYFUNCTION("""COMPUTED_VALUE"""),15777.0)</f>
        <v>15777</v>
      </c>
      <c r="B1294" s="60" t="str">
        <f>IFERROR(__xludf.DUMMYFUNCTION("""COMPUTED_VALUE"""),"Austin III, Calvin")</f>
        <v>Austin III, Calvin</v>
      </c>
      <c r="C1294" s="60" t="str">
        <f>IFERROR(__xludf.DUMMYFUNCTION("""COMPUTED_VALUE"""),"WR")</f>
        <v>WR</v>
      </c>
      <c r="D1294" s="60" t="str">
        <f>IFERROR(__xludf.DUMMYFUNCTION("""COMPUTED_VALUE"""),"NYG")</f>
        <v>NYG</v>
      </c>
      <c r="E1294" s="62" t="str">
        <f t="shared" si="4"/>
        <v>Calvin Austin III</v>
      </c>
      <c r="F1294" s="62">
        <f t="shared" ref="F1294:G1294" si="2587">IF(isblank(F$1),,IF(isblank($A1294),,IFERROR(vlookup($A1294,indirect("'TVC-"&amp;text(month(F$1),"00")&amp;"'!$A:$D"),4,false),1)))</f>
        <v>1692</v>
      </c>
      <c r="G1294" s="62">
        <f t="shared" si="2587"/>
        <v>1667</v>
      </c>
      <c r="H1294" s="62">
        <f t="shared" ref="H1294:Q1294" si="2588">IF(isblank(H$1),,IFERROR(vlookup($A1294,indirect("'TVC-"&amp;text(month(H$1),"00")&amp;"'!$A:$D"),4,false),1))</f>
        <v>1692</v>
      </c>
      <c r="I1294" s="62">
        <f t="shared" si="2588"/>
        <v>1684</v>
      </c>
      <c r="J1294" s="62">
        <f t="shared" si="2588"/>
        <v>1550</v>
      </c>
      <c r="K1294" s="62">
        <f t="shared" si="2588"/>
        <v>1448</v>
      </c>
      <c r="L1294" s="62">
        <f t="shared" si="2588"/>
        <v>1422</v>
      </c>
      <c r="M1294" s="62">
        <f t="shared" si="2588"/>
        <v>1352</v>
      </c>
      <c r="N1294" s="62">
        <f t="shared" si="2588"/>
        <v>1216</v>
      </c>
      <c r="O1294" s="62">
        <f t="shared" si="2588"/>
        <v>1</v>
      </c>
      <c r="P1294" s="62" t="str">
        <f t="shared" si="2588"/>
        <v/>
      </c>
      <c r="Q1294" s="62" t="str">
        <f t="shared" si="2588"/>
        <v/>
      </c>
      <c r="R1294" s="62">
        <f t="shared" si="7"/>
        <v>-1215</v>
      </c>
      <c r="S1294" s="62"/>
      <c r="T1294" s="62"/>
      <c r="U1294" s="62"/>
      <c r="V1294" s="62"/>
      <c r="W1294" s="62"/>
      <c r="X1294" s="62"/>
      <c r="Y1294" s="62"/>
      <c r="Z1294" s="62"/>
      <c r="AA1294" s="62"/>
      <c r="AB1294" s="62"/>
      <c r="AC1294" s="62"/>
    </row>
    <row r="1295">
      <c r="A1295" s="60">
        <f>IFERROR(__xludf.DUMMYFUNCTION("""COMPUTED_VALUE"""),15779.0)</f>
        <v>15779</v>
      </c>
      <c r="B1295" s="60" t="str">
        <f>IFERROR(__xludf.DUMMYFUNCTION("""COMPUTED_VALUE"""),"Doubs, Romeo")</f>
        <v>Doubs, Romeo</v>
      </c>
      <c r="C1295" s="60" t="str">
        <f>IFERROR(__xludf.DUMMYFUNCTION("""COMPUTED_VALUE"""),"WR")</f>
        <v>WR</v>
      </c>
      <c r="D1295" s="60" t="str">
        <f>IFERROR(__xludf.DUMMYFUNCTION("""COMPUTED_VALUE"""),"NEP")</f>
        <v>NEP</v>
      </c>
      <c r="E1295" s="62" t="str">
        <f t="shared" si="4"/>
        <v>Romeo Doubs</v>
      </c>
      <c r="F1295" s="62">
        <f t="shared" ref="F1295:G1295" si="2589">IF(isblank(F$1),,IF(isblank($A1295),,IFERROR(vlookup($A1295,indirect("'TVC-"&amp;text(month(F$1),"00")&amp;"'!$A:$D"),4,false),1)))</f>
        <v>2917</v>
      </c>
      <c r="G1295" s="62">
        <f t="shared" si="2589"/>
        <v>2971</v>
      </c>
      <c r="H1295" s="62">
        <f t="shared" ref="H1295:Q1295" si="2590">IF(isblank(H$1),,IFERROR(vlookup($A1295,indirect("'TVC-"&amp;text(month(H$1),"00")&amp;"'!$A:$D"),4,false),1))</f>
        <v>2988</v>
      </c>
      <c r="I1295" s="62">
        <f t="shared" si="2590"/>
        <v>3688</v>
      </c>
      <c r="J1295" s="62">
        <f t="shared" si="2590"/>
        <v>3342</v>
      </c>
      <c r="K1295" s="62">
        <f t="shared" si="2590"/>
        <v>3221</v>
      </c>
      <c r="L1295" s="62">
        <f t="shared" si="2590"/>
        <v>3088</v>
      </c>
      <c r="M1295" s="62">
        <f t="shared" si="2590"/>
        <v>3033</v>
      </c>
      <c r="N1295" s="62">
        <f t="shared" si="2590"/>
        <v>3191</v>
      </c>
      <c r="O1295" s="62">
        <f t="shared" si="2590"/>
        <v>1</v>
      </c>
      <c r="P1295" s="62" t="str">
        <f t="shared" si="2590"/>
        <v/>
      </c>
      <c r="Q1295" s="62" t="str">
        <f t="shared" si="2590"/>
        <v/>
      </c>
      <c r="R1295" s="62">
        <f t="shared" si="7"/>
        <v>-3190</v>
      </c>
      <c r="S1295" s="62"/>
      <c r="T1295" s="62"/>
      <c r="U1295" s="62"/>
      <c r="V1295" s="62"/>
      <c r="W1295" s="62"/>
      <c r="X1295" s="62"/>
      <c r="Y1295" s="62"/>
      <c r="Z1295" s="62"/>
      <c r="AA1295" s="62"/>
      <c r="AB1295" s="62"/>
      <c r="AC1295" s="62"/>
    </row>
    <row r="1296" hidden="1">
      <c r="A1296" s="60">
        <f>IFERROR(__xludf.DUMMYFUNCTION("""COMPUTED_VALUE"""),15782.0)</f>
        <v>15782</v>
      </c>
      <c r="B1296" s="60" t="str">
        <f>IFERROR(__xludf.DUMMYFUNCTION("""COMPUTED_VALUE"""),"Gray, Danny")</f>
        <v>Gray, Danny</v>
      </c>
      <c r="C1296" s="60" t="str">
        <f>IFERROR(__xludf.DUMMYFUNCTION("""COMPUTED_VALUE"""),"WR")</f>
        <v>WR</v>
      </c>
      <c r="D1296" s="60" t="str">
        <f>IFERROR(__xludf.DUMMYFUNCTION("""COMPUTED_VALUE"""),"PHI")</f>
        <v>PHI</v>
      </c>
      <c r="E1296" s="62" t="str">
        <f t="shared" si="4"/>
        <v>Danny Gray</v>
      </c>
      <c r="F1296" s="62">
        <f t="shared" ref="F1296:G1296" si="2591">IF(isblank(F$1),,IF(isblank($A1296),,IFERROR(vlookup($A1296,indirect("'TVC-"&amp;text(month(F$1),"00")&amp;"'!$A:$D"),4,false),1)))</f>
        <v>1</v>
      </c>
      <c r="G1296" s="62">
        <f t="shared" si="2591"/>
        <v>1</v>
      </c>
      <c r="H1296" s="62">
        <f t="shared" ref="H1296:Q1296" si="2592">IF(isblank(H$1),,IFERROR(vlookup($A1296,indirect("'TVC-"&amp;text(month(H$1),"00")&amp;"'!$A:$D"),4,false),1))</f>
        <v>1</v>
      </c>
      <c r="I1296" s="62">
        <f t="shared" si="2592"/>
        <v>1</v>
      </c>
      <c r="J1296" s="62">
        <f t="shared" si="2592"/>
        <v>1</v>
      </c>
      <c r="K1296" s="62">
        <f t="shared" si="2592"/>
        <v>1</v>
      </c>
      <c r="L1296" s="62">
        <f t="shared" si="2592"/>
        <v>1</v>
      </c>
      <c r="M1296" s="62">
        <f t="shared" si="2592"/>
        <v>1</v>
      </c>
      <c r="N1296" s="62">
        <f t="shared" si="2592"/>
        <v>1</v>
      </c>
      <c r="O1296" s="62">
        <f t="shared" si="2592"/>
        <v>1</v>
      </c>
      <c r="P1296" s="62" t="str">
        <f t="shared" si="2592"/>
        <v/>
      </c>
      <c r="Q1296" s="62" t="str">
        <f t="shared" si="2592"/>
        <v/>
      </c>
      <c r="R1296" s="62">
        <f t="shared" si="7"/>
        <v>0</v>
      </c>
      <c r="S1296" s="62"/>
      <c r="T1296" s="62"/>
      <c r="U1296" s="62"/>
      <c r="V1296" s="62"/>
      <c r="W1296" s="62"/>
      <c r="X1296" s="62"/>
      <c r="Y1296" s="62"/>
      <c r="Z1296" s="62"/>
      <c r="AA1296" s="62"/>
      <c r="AB1296" s="62"/>
      <c r="AC1296" s="62"/>
    </row>
    <row r="1297">
      <c r="A1297" s="60">
        <f>IFERROR(__xludf.DUMMYFUNCTION("""COMPUTED_VALUE"""),15785.0)</f>
        <v>15785</v>
      </c>
      <c r="B1297" s="60" t="str">
        <f>IFERROR(__xludf.DUMMYFUNCTION("""COMPUTED_VALUE"""),"Melton, Bo")</f>
        <v>Melton, Bo</v>
      </c>
      <c r="C1297" s="60" t="str">
        <f>IFERROR(__xludf.DUMMYFUNCTION("""COMPUTED_VALUE"""),"WR")</f>
        <v>WR</v>
      </c>
      <c r="D1297" s="60" t="str">
        <f>IFERROR(__xludf.DUMMYFUNCTION("""COMPUTED_VALUE"""),"GBP")</f>
        <v>GBP</v>
      </c>
      <c r="E1297" s="62" t="str">
        <f t="shared" si="4"/>
        <v>Bo Melton</v>
      </c>
      <c r="F1297" s="62">
        <f t="shared" ref="F1297:G1297" si="2593">IF(isblank(F$1),,IF(isblank($A1297),,IFERROR(vlookup($A1297,indirect("'TVC-"&amp;text(month(F$1),"00")&amp;"'!$A:$D"),4,false),1)))</f>
        <v>1032</v>
      </c>
      <c r="G1297" s="62">
        <f t="shared" si="2593"/>
        <v>1027</v>
      </c>
      <c r="H1297" s="62">
        <f t="shared" ref="H1297:Q1297" si="2594">IF(isblank(H$1),,IFERROR(vlookup($A1297,indirect("'TVC-"&amp;text(month(H$1),"00")&amp;"'!$A:$D"),4,false),1))</f>
        <v>1034</v>
      </c>
      <c r="I1297" s="62">
        <f t="shared" si="2594"/>
        <v>1091</v>
      </c>
      <c r="J1297" s="62">
        <f t="shared" si="2594"/>
        <v>1107</v>
      </c>
      <c r="K1297" s="62">
        <f t="shared" si="2594"/>
        <v>986</v>
      </c>
      <c r="L1297" s="62">
        <f t="shared" si="2594"/>
        <v>975</v>
      </c>
      <c r="M1297" s="62">
        <f t="shared" si="2594"/>
        <v>898</v>
      </c>
      <c r="N1297" s="62">
        <f t="shared" si="2594"/>
        <v>821</v>
      </c>
      <c r="O1297" s="62">
        <f t="shared" si="2594"/>
        <v>1</v>
      </c>
      <c r="P1297" s="62" t="str">
        <f t="shared" si="2594"/>
        <v/>
      </c>
      <c r="Q1297" s="62" t="str">
        <f t="shared" si="2594"/>
        <v/>
      </c>
      <c r="R1297" s="62">
        <f t="shared" si="7"/>
        <v>-820</v>
      </c>
      <c r="S1297" s="62"/>
      <c r="T1297" s="62"/>
      <c r="U1297" s="62"/>
      <c r="V1297" s="62"/>
      <c r="W1297" s="62"/>
      <c r="X1297" s="62"/>
      <c r="Y1297" s="62"/>
      <c r="Z1297" s="62"/>
      <c r="AA1297" s="62"/>
      <c r="AB1297" s="62"/>
      <c r="AC1297" s="62"/>
    </row>
    <row r="1298" hidden="1">
      <c r="A1298" s="60">
        <f>IFERROR(__xludf.DUMMYFUNCTION("""COMPUTED_VALUE"""),15786.0)</f>
        <v>15786</v>
      </c>
      <c r="B1298" s="60" t="str">
        <f>IFERROR(__xludf.DUMMYFUNCTION("""COMPUTED_VALUE"""),"Nailor, Jalen")</f>
        <v>Nailor, Jalen</v>
      </c>
      <c r="C1298" s="60" t="str">
        <f>IFERROR(__xludf.DUMMYFUNCTION("""COMPUTED_VALUE"""),"WR")</f>
        <v>WR</v>
      </c>
      <c r="D1298" s="60" t="str">
        <f>IFERROR(__xludf.DUMMYFUNCTION("""COMPUTED_VALUE"""),"LVR")</f>
        <v>LVR</v>
      </c>
      <c r="E1298" s="62" t="str">
        <f t="shared" si="4"/>
        <v>Jalen Nailor</v>
      </c>
      <c r="F1298" s="62">
        <f t="shared" ref="F1298:G1298" si="2595">IF(isblank(F$1),,IF(isblank($A1298),,IFERROR(vlookup($A1298,indirect("'TVC-"&amp;text(month(F$1),"00")&amp;"'!$A:$D"),4,false),1)))</f>
        <v>1893</v>
      </c>
      <c r="G1298" s="62">
        <f t="shared" si="2595"/>
        <v>1790</v>
      </c>
      <c r="H1298" s="62">
        <f t="shared" ref="H1298:Q1298" si="2596">IF(isblank(H$1),,IFERROR(vlookup($A1298,indirect("'TVC-"&amp;text(month(H$1),"00")&amp;"'!$A:$D"),4,false),1))</f>
        <v>1809</v>
      </c>
      <c r="I1298" s="62">
        <f t="shared" si="2596"/>
        <v>2377</v>
      </c>
      <c r="J1298" s="62">
        <f t="shared" si="2596"/>
        <v>2369</v>
      </c>
      <c r="K1298" s="62">
        <f t="shared" si="2596"/>
        <v>2372</v>
      </c>
      <c r="L1298" s="62">
        <f t="shared" si="2596"/>
        <v>2429</v>
      </c>
      <c r="M1298" s="62">
        <f t="shared" si="2596"/>
        <v>2571</v>
      </c>
      <c r="N1298" s="62">
        <f t="shared" si="2596"/>
        <v>2499</v>
      </c>
      <c r="O1298" s="62">
        <f t="shared" si="2596"/>
        <v>1</v>
      </c>
      <c r="P1298" s="62" t="str">
        <f t="shared" si="2596"/>
        <v/>
      </c>
      <c r="Q1298" s="62" t="str">
        <f t="shared" si="2596"/>
        <v/>
      </c>
      <c r="R1298" s="62">
        <f t="shared" si="7"/>
        <v>-2498</v>
      </c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</row>
    <row r="1299">
      <c r="A1299" s="60">
        <f>IFERROR(__xludf.DUMMYFUNCTION("""COMPUTED_VALUE"""),15787.0)</f>
        <v>15787</v>
      </c>
      <c r="B1299" s="60" t="str">
        <f>IFERROR(__xludf.DUMMYFUNCTION("""COMPUTED_VALUE"""),"Thornton, Tyquan")</f>
        <v>Thornton, Tyquan</v>
      </c>
      <c r="C1299" s="60" t="str">
        <f>IFERROR(__xludf.DUMMYFUNCTION("""COMPUTED_VALUE"""),"WR")</f>
        <v>WR</v>
      </c>
      <c r="D1299" s="60" t="str">
        <f>IFERROR(__xludf.DUMMYFUNCTION("""COMPUTED_VALUE"""),"KCC")</f>
        <v>KCC</v>
      </c>
      <c r="E1299" s="62" t="str">
        <f t="shared" si="4"/>
        <v>Tyquan Thornton</v>
      </c>
      <c r="F1299" s="62">
        <f t="shared" ref="F1299:G1299" si="2597">IF(isblank(F$1),,IF(isblank($A1299),,IFERROR(vlookup($A1299,indirect("'TVC-"&amp;text(month(F$1),"00")&amp;"'!$A:$D"),4,false),1)))</f>
        <v>1733</v>
      </c>
      <c r="G1299" s="62">
        <f t="shared" si="2597"/>
        <v>1665</v>
      </c>
      <c r="H1299" s="62">
        <f t="shared" ref="H1299:Q1299" si="2598">IF(isblank(H$1),,IFERROR(vlookup($A1299,indirect("'TVC-"&amp;text(month(H$1),"00")&amp;"'!$A:$D"),4,false),1))</f>
        <v>1725</v>
      </c>
      <c r="I1299" s="62">
        <f t="shared" si="2598"/>
        <v>1881</v>
      </c>
      <c r="J1299" s="62">
        <f t="shared" si="2598"/>
        <v>1831</v>
      </c>
      <c r="K1299" s="62">
        <f t="shared" si="2598"/>
        <v>1838</v>
      </c>
      <c r="L1299" s="62">
        <f t="shared" si="2598"/>
        <v>1797</v>
      </c>
      <c r="M1299" s="62">
        <f t="shared" si="2598"/>
        <v>1713</v>
      </c>
      <c r="N1299" s="62">
        <f t="shared" si="2598"/>
        <v>1803</v>
      </c>
      <c r="O1299" s="62">
        <f t="shared" si="2598"/>
        <v>1</v>
      </c>
      <c r="P1299" s="62" t="str">
        <f t="shared" si="2598"/>
        <v/>
      </c>
      <c r="Q1299" s="62" t="str">
        <f t="shared" si="2598"/>
        <v/>
      </c>
      <c r="R1299" s="62">
        <f t="shared" si="7"/>
        <v>-1802</v>
      </c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</row>
    <row r="1300" hidden="1">
      <c r="A1300" s="60">
        <f>IFERROR(__xludf.DUMMYFUNCTION("""COMPUTED_VALUE"""),15788.0)</f>
        <v>15788</v>
      </c>
      <c r="B1300" s="60" t="str">
        <f>IFERROR(__xludf.DUMMYFUNCTION("""COMPUTED_VALUE"""),"Tolbert, Jalen")</f>
        <v>Tolbert, Jalen</v>
      </c>
      <c r="C1300" s="60" t="str">
        <f>IFERROR(__xludf.DUMMYFUNCTION("""COMPUTED_VALUE"""),"WR")</f>
        <v>WR</v>
      </c>
      <c r="D1300" s="60" t="str">
        <f>IFERROR(__xludf.DUMMYFUNCTION("""COMPUTED_VALUE"""),"MIA")</f>
        <v>MIA</v>
      </c>
      <c r="E1300" s="62" t="str">
        <f t="shared" si="4"/>
        <v>Jalen Tolbert</v>
      </c>
      <c r="F1300" s="62">
        <f t="shared" ref="F1300:G1300" si="2599">IF(isblank(F$1),,IF(isblank($A1300),,IFERROR(vlookup($A1300,indirect("'TVC-"&amp;text(month(F$1),"00")&amp;"'!$A:$D"),4,false),1)))</f>
        <v>1338</v>
      </c>
      <c r="G1300" s="62">
        <f t="shared" si="2599"/>
        <v>1398</v>
      </c>
      <c r="H1300" s="62">
        <f t="shared" ref="H1300:Q1300" si="2600">IF(isblank(H$1),,IFERROR(vlookup($A1300,indirect("'TVC-"&amp;text(month(H$1),"00")&amp;"'!$A:$D"),4,false),1))</f>
        <v>1390</v>
      </c>
      <c r="I1300" s="62">
        <f t="shared" si="2600"/>
        <v>1666</v>
      </c>
      <c r="J1300" s="62">
        <f t="shared" si="2600"/>
        <v>1826</v>
      </c>
      <c r="K1300" s="62">
        <f t="shared" si="2600"/>
        <v>1801</v>
      </c>
      <c r="L1300" s="62">
        <f t="shared" si="2600"/>
        <v>1792</v>
      </c>
      <c r="M1300" s="62">
        <f t="shared" si="2600"/>
        <v>1835</v>
      </c>
      <c r="N1300" s="62">
        <f t="shared" si="2600"/>
        <v>1663</v>
      </c>
      <c r="O1300" s="62">
        <f t="shared" si="2600"/>
        <v>1</v>
      </c>
      <c r="P1300" s="62" t="str">
        <f t="shared" si="2600"/>
        <v/>
      </c>
      <c r="Q1300" s="62" t="str">
        <f t="shared" si="2600"/>
        <v/>
      </c>
      <c r="R1300" s="62">
        <f t="shared" si="7"/>
        <v>-1662</v>
      </c>
      <c r="S1300" s="62"/>
      <c r="T1300" s="62"/>
      <c r="U1300" s="62"/>
      <c r="V1300" s="62"/>
      <c r="W1300" s="62"/>
      <c r="X1300" s="62"/>
      <c r="Y1300" s="62"/>
      <c r="Z1300" s="62"/>
      <c r="AA1300" s="62"/>
      <c r="AB1300" s="62"/>
      <c r="AC1300" s="62"/>
    </row>
    <row r="1301" hidden="1">
      <c r="A1301" s="60">
        <f>IFERROR(__xludf.DUMMYFUNCTION("""COMPUTED_VALUE"""),15789.0)</f>
        <v>15789</v>
      </c>
      <c r="B1301" s="60" t="str">
        <f>IFERROR(__xludf.DUMMYFUNCTION("""COMPUTED_VALUE"""),"Watson, Christian")</f>
        <v>Watson, Christian</v>
      </c>
      <c r="C1301" s="60" t="str">
        <f>IFERROR(__xludf.DUMMYFUNCTION("""COMPUTED_VALUE"""),"WR")</f>
        <v>WR</v>
      </c>
      <c r="D1301" s="60" t="str">
        <f>IFERROR(__xludf.DUMMYFUNCTION("""COMPUTED_VALUE"""),"GBP")</f>
        <v>GBP</v>
      </c>
      <c r="E1301" s="62" t="str">
        <f t="shared" si="4"/>
        <v>Christian Watson</v>
      </c>
      <c r="F1301" s="62">
        <f t="shared" ref="F1301:G1301" si="2601">IF(isblank(F$1),,IF(isblank($A1301),,IFERROR(vlookup($A1301,indirect("'TVC-"&amp;text(month(F$1),"00")&amp;"'!$A:$D"),4,false),1)))</f>
        <v>3719</v>
      </c>
      <c r="G1301" s="62">
        <f t="shared" si="2601"/>
        <v>3737</v>
      </c>
      <c r="H1301" s="62">
        <f t="shared" ref="H1301:Q1301" si="2602">IF(isblank(H$1),,IFERROR(vlookup($A1301,indirect("'TVC-"&amp;text(month(H$1),"00")&amp;"'!$A:$D"),4,false),1))</f>
        <v>3760</v>
      </c>
      <c r="I1301" s="62">
        <f t="shared" si="2602"/>
        <v>3660</v>
      </c>
      <c r="J1301" s="62">
        <f t="shared" si="2602"/>
        <v>3667</v>
      </c>
      <c r="K1301" s="62">
        <f t="shared" si="2602"/>
        <v>3742</v>
      </c>
      <c r="L1301" s="62">
        <f t="shared" si="2602"/>
        <v>3898</v>
      </c>
      <c r="M1301" s="62">
        <f t="shared" si="2602"/>
        <v>3950</v>
      </c>
      <c r="N1301" s="62">
        <f t="shared" si="2602"/>
        <v>3953</v>
      </c>
      <c r="O1301" s="62">
        <f t="shared" si="2602"/>
        <v>1</v>
      </c>
      <c r="P1301" s="62" t="str">
        <f t="shared" si="2602"/>
        <v/>
      </c>
      <c r="Q1301" s="62" t="str">
        <f t="shared" si="2602"/>
        <v/>
      </c>
      <c r="R1301" s="62">
        <f t="shared" si="7"/>
        <v>-3952</v>
      </c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</row>
    <row r="1302" hidden="1">
      <c r="A1302" s="60">
        <f>IFERROR(__xludf.DUMMYFUNCTION("""COMPUTED_VALUE"""),15794.0)</f>
        <v>15794</v>
      </c>
      <c r="B1302" s="60" t="str">
        <f>IFERROR(__xludf.DUMMYFUNCTION("""COMPUTED_VALUE"""),"McBride, Trey")</f>
        <v>McBride, Trey</v>
      </c>
      <c r="C1302" s="60" t="str">
        <f>IFERROR(__xludf.DUMMYFUNCTION("""COMPUTED_VALUE"""),"TE")</f>
        <v>TE</v>
      </c>
      <c r="D1302" s="60" t="str">
        <f>IFERROR(__xludf.DUMMYFUNCTION("""COMPUTED_VALUE"""),"ARI")</f>
        <v>ARI</v>
      </c>
      <c r="E1302" s="62" t="str">
        <f t="shared" si="4"/>
        <v>Trey McBride</v>
      </c>
      <c r="F1302" s="62">
        <f t="shared" ref="F1302:G1302" si="2603">IF(isblank(F$1),,IF(isblank($A1302),,IFERROR(vlookup($A1302,indirect("'TVC-"&amp;text(month(F$1),"00")&amp;"'!$A:$D"),4,false),1)))</f>
        <v>8509</v>
      </c>
      <c r="G1302" s="62">
        <f t="shared" si="2603"/>
        <v>8530</v>
      </c>
      <c r="H1302" s="62">
        <f t="shared" ref="H1302:Q1302" si="2604">IF(isblank(H$1),,IFERROR(vlookup($A1302,indirect("'TVC-"&amp;text(month(H$1),"00")&amp;"'!$A:$D"),4,false),1))</f>
        <v>8496</v>
      </c>
      <c r="I1302" s="62">
        <f t="shared" si="2604"/>
        <v>8420</v>
      </c>
      <c r="J1302" s="62">
        <f t="shared" si="2604"/>
        <v>8371</v>
      </c>
      <c r="K1302" s="62">
        <f t="shared" si="2604"/>
        <v>8368</v>
      </c>
      <c r="L1302" s="62">
        <f t="shared" si="2604"/>
        <v>8138</v>
      </c>
      <c r="M1302" s="62">
        <f t="shared" si="2604"/>
        <v>8169</v>
      </c>
      <c r="N1302" s="62">
        <f t="shared" si="2604"/>
        <v>8091</v>
      </c>
      <c r="O1302" s="62">
        <f t="shared" si="2604"/>
        <v>1</v>
      </c>
      <c r="P1302" s="62" t="str">
        <f t="shared" si="2604"/>
        <v/>
      </c>
      <c r="Q1302" s="62" t="str">
        <f t="shared" si="2604"/>
        <v/>
      </c>
      <c r="R1302" s="62">
        <f t="shared" si="7"/>
        <v>-8090</v>
      </c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</row>
    <row r="1303" hidden="1">
      <c r="A1303" s="60">
        <f>IFERROR(__xludf.DUMMYFUNCTION("""COMPUTED_VALUE"""),15795.0)</f>
        <v>15795</v>
      </c>
      <c r="B1303" s="60" t="str">
        <f>IFERROR(__xludf.DUMMYFUNCTION("""COMPUTED_VALUE"""),"Kolar, Charlie")</f>
        <v>Kolar, Charlie</v>
      </c>
      <c r="C1303" s="60" t="str">
        <f>IFERROR(__xludf.DUMMYFUNCTION("""COMPUTED_VALUE"""),"TE")</f>
        <v>TE</v>
      </c>
      <c r="D1303" s="60" t="str">
        <f>IFERROR(__xludf.DUMMYFUNCTION("""COMPUTED_VALUE"""),"LAC")</f>
        <v>LAC</v>
      </c>
      <c r="E1303" s="62" t="str">
        <f t="shared" si="4"/>
        <v>Charlie Kolar</v>
      </c>
      <c r="F1303" s="62">
        <f t="shared" ref="F1303:G1303" si="2605">IF(isblank(F$1),,IF(isblank($A1303),,IFERROR(vlookup($A1303,indirect("'TVC-"&amp;text(month(F$1),"00")&amp;"'!$A:$D"),4,false),1)))</f>
        <v>1153</v>
      </c>
      <c r="G1303" s="62">
        <f t="shared" si="2605"/>
        <v>1209</v>
      </c>
      <c r="H1303" s="62">
        <f t="shared" ref="H1303:Q1303" si="2606">IF(isblank(H$1),,IFERROR(vlookup($A1303,indirect("'TVC-"&amp;text(month(H$1),"00")&amp;"'!$A:$D"),4,false),1))</f>
        <v>1225</v>
      </c>
      <c r="I1303" s="62">
        <f t="shared" si="2606"/>
        <v>1408</v>
      </c>
      <c r="J1303" s="62">
        <f t="shared" si="2606"/>
        <v>1406</v>
      </c>
      <c r="K1303" s="62">
        <f t="shared" si="2606"/>
        <v>1359</v>
      </c>
      <c r="L1303" s="62">
        <f t="shared" si="2606"/>
        <v>1383</v>
      </c>
      <c r="M1303" s="62">
        <f t="shared" si="2606"/>
        <v>1467</v>
      </c>
      <c r="N1303" s="62">
        <f t="shared" si="2606"/>
        <v>1698</v>
      </c>
      <c r="O1303" s="62">
        <f t="shared" si="2606"/>
        <v>1</v>
      </c>
      <c r="P1303" s="62" t="str">
        <f t="shared" si="2606"/>
        <v/>
      </c>
      <c r="Q1303" s="62" t="str">
        <f t="shared" si="2606"/>
        <v/>
      </c>
      <c r="R1303" s="62">
        <f t="shared" si="7"/>
        <v>-1697</v>
      </c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</row>
    <row r="1304" hidden="1">
      <c r="A1304" s="60">
        <f>IFERROR(__xludf.DUMMYFUNCTION("""COMPUTED_VALUE"""),15796.0)</f>
        <v>15796</v>
      </c>
      <c r="B1304" s="60" t="str">
        <f>IFERROR(__xludf.DUMMYFUNCTION("""COMPUTED_VALUE"""),"Ruckert, Jeremy")</f>
        <v>Ruckert, Jeremy</v>
      </c>
      <c r="C1304" s="60" t="str">
        <f>IFERROR(__xludf.DUMMYFUNCTION("""COMPUTED_VALUE"""),"TE")</f>
        <v>TE</v>
      </c>
      <c r="D1304" s="60" t="str">
        <f>IFERROR(__xludf.DUMMYFUNCTION("""COMPUTED_VALUE"""),"NYJ")</f>
        <v>NYJ</v>
      </c>
      <c r="E1304" s="62" t="str">
        <f t="shared" si="4"/>
        <v>Jeremy Ruckert</v>
      </c>
      <c r="F1304" s="62">
        <f t="shared" ref="F1304:G1304" si="2607">IF(isblank(F$1),,IF(isblank($A1304),,IFERROR(vlookup($A1304,indirect("'TVC-"&amp;text(month(F$1),"00")&amp;"'!$A:$D"),4,false),1)))</f>
        <v>1212</v>
      </c>
      <c r="G1304" s="62">
        <f t="shared" si="2607"/>
        <v>1242</v>
      </c>
      <c r="H1304" s="62">
        <f t="shared" ref="H1304:Q1304" si="2608">IF(isblank(H$1),,IFERROR(vlookup($A1304,indirect("'TVC-"&amp;text(month(H$1),"00")&amp;"'!$A:$D"),4,false),1))</f>
        <v>1251</v>
      </c>
      <c r="I1304" s="62">
        <f t="shared" si="2608"/>
        <v>1256</v>
      </c>
      <c r="J1304" s="62">
        <f t="shared" si="2608"/>
        <v>1036</v>
      </c>
      <c r="K1304" s="62">
        <f t="shared" si="2608"/>
        <v>850</v>
      </c>
      <c r="L1304" s="62">
        <f t="shared" si="2608"/>
        <v>884</v>
      </c>
      <c r="M1304" s="62">
        <f t="shared" si="2608"/>
        <v>877</v>
      </c>
      <c r="N1304" s="62">
        <f t="shared" si="2608"/>
        <v>819</v>
      </c>
      <c r="O1304" s="62">
        <f t="shared" si="2608"/>
        <v>1</v>
      </c>
      <c r="P1304" s="62" t="str">
        <f t="shared" si="2608"/>
        <v/>
      </c>
      <c r="Q1304" s="62" t="str">
        <f t="shared" si="2608"/>
        <v/>
      </c>
      <c r="R1304" s="62">
        <f t="shared" si="7"/>
        <v>-818</v>
      </c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</row>
    <row r="1305" hidden="1">
      <c r="A1305" s="60">
        <f>IFERROR(__xludf.DUMMYFUNCTION("""COMPUTED_VALUE"""),15797.0)</f>
        <v>15797</v>
      </c>
      <c r="B1305" s="60" t="str">
        <f>IFERROR(__xludf.DUMMYFUNCTION("""COMPUTED_VALUE"""),"Dulcich, Greg")</f>
        <v>Dulcich, Greg</v>
      </c>
      <c r="C1305" s="60" t="str">
        <f>IFERROR(__xludf.DUMMYFUNCTION("""COMPUTED_VALUE"""),"TE")</f>
        <v>TE</v>
      </c>
      <c r="D1305" s="60" t="str">
        <f>IFERROR(__xludf.DUMMYFUNCTION("""COMPUTED_VALUE"""),"MIA")</f>
        <v>MIA</v>
      </c>
      <c r="E1305" s="62" t="str">
        <f t="shared" si="4"/>
        <v>Greg Dulcich</v>
      </c>
      <c r="F1305" s="62">
        <f t="shared" ref="F1305:G1305" si="2609">IF(isblank(F$1),,IF(isblank($A1305),,IFERROR(vlookup($A1305,indirect("'TVC-"&amp;text(month(F$1),"00")&amp;"'!$A:$D"),4,false),1)))</f>
        <v>1664</v>
      </c>
      <c r="G1305" s="62">
        <f t="shared" si="2609"/>
        <v>1712</v>
      </c>
      <c r="H1305" s="62">
        <f t="shared" ref="H1305:Q1305" si="2610">IF(isblank(H$1),,IFERROR(vlookup($A1305,indirect("'TVC-"&amp;text(month(H$1),"00")&amp;"'!$A:$D"),4,false),1))</f>
        <v>1754</v>
      </c>
      <c r="I1305" s="62">
        <f t="shared" si="2610"/>
        <v>1957</v>
      </c>
      <c r="J1305" s="62">
        <f t="shared" si="2610"/>
        <v>2087</v>
      </c>
      <c r="K1305" s="62">
        <f t="shared" si="2610"/>
        <v>2206</v>
      </c>
      <c r="L1305" s="62">
        <f t="shared" si="2610"/>
        <v>2391</v>
      </c>
      <c r="M1305" s="62">
        <f t="shared" si="2610"/>
        <v>2695</v>
      </c>
      <c r="N1305" s="62">
        <f t="shared" si="2610"/>
        <v>2590</v>
      </c>
      <c r="O1305" s="62">
        <f t="shared" si="2610"/>
        <v>1</v>
      </c>
      <c r="P1305" s="62" t="str">
        <f t="shared" si="2610"/>
        <v/>
      </c>
      <c r="Q1305" s="62" t="str">
        <f t="shared" si="2610"/>
        <v/>
      </c>
      <c r="R1305" s="62">
        <f t="shared" si="7"/>
        <v>-2589</v>
      </c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</row>
    <row r="1306" hidden="1">
      <c r="A1306" s="60">
        <f>IFERROR(__xludf.DUMMYFUNCTION("""COMPUTED_VALUE"""),15798.0)</f>
        <v>15798</v>
      </c>
      <c r="B1306" s="60" t="str">
        <f>IFERROR(__xludf.DUMMYFUNCTION("""COMPUTED_VALUE"""),"Likely, Isaiah")</f>
        <v>Likely, Isaiah</v>
      </c>
      <c r="C1306" s="60" t="str">
        <f>IFERROR(__xludf.DUMMYFUNCTION("""COMPUTED_VALUE"""),"TE")</f>
        <v>TE</v>
      </c>
      <c r="D1306" s="60" t="str">
        <f>IFERROR(__xludf.DUMMYFUNCTION("""COMPUTED_VALUE"""),"NYG")</f>
        <v>NYG</v>
      </c>
      <c r="E1306" s="62" t="str">
        <f t="shared" si="4"/>
        <v>Isaiah Likely</v>
      </c>
      <c r="F1306" s="62">
        <f t="shared" ref="F1306:G1306" si="2611">IF(isblank(F$1),,IF(isblank($A1306),,IFERROR(vlookup($A1306,indirect("'TVC-"&amp;text(month(F$1),"00")&amp;"'!$A:$D"),4,false),1)))</f>
        <v>3171</v>
      </c>
      <c r="G1306" s="62">
        <f t="shared" si="2611"/>
        <v>3452</v>
      </c>
      <c r="H1306" s="62">
        <f t="shared" ref="H1306:Q1306" si="2612">IF(isblank(H$1),,IFERROR(vlookup($A1306,indirect("'TVC-"&amp;text(month(H$1),"00")&amp;"'!$A:$D"),4,false),1))</f>
        <v>3528</v>
      </c>
      <c r="I1306" s="62">
        <f t="shared" si="2612"/>
        <v>3981</v>
      </c>
      <c r="J1306" s="62">
        <f t="shared" si="2612"/>
        <v>3808</v>
      </c>
      <c r="K1306" s="62">
        <f t="shared" si="2612"/>
        <v>3830</v>
      </c>
      <c r="L1306" s="62">
        <f t="shared" si="2612"/>
        <v>3830</v>
      </c>
      <c r="M1306" s="62">
        <f t="shared" si="2612"/>
        <v>3845</v>
      </c>
      <c r="N1306" s="62">
        <f t="shared" si="2612"/>
        <v>3894</v>
      </c>
      <c r="O1306" s="62">
        <f t="shared" si="2612"/>
        <v>1</v>
      </c>
      <c r="P1306" s="62" t="str">
        <f t="shared" si="2612"/>
        <v/>
      </c>
      <c r="Q1306" s="62" t="str">
        <f t="shared" si="2612"/>
        <v/>
      </c>
      <c r="R1306" s="62">
        <f t="shared" si="7"/>
        <v>-3893</v>
      </c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</row>
    <row r="1307" hidden="1">
      <c r="A1307" s="60">
        <f>IFERROR(__xludf.DUMMYFUNCTION("""COMPUTED_VALUE"""),15799.0)</f>
        <v>15799</v>
      </c>
      <c r="B1307" s="60" t="str">
        <f>IFERROR(__xludf.DUMMYFUNCTION("""COMPUTED_VALUE"""),"Ferguson, Jake")</f>
        <v>Ferguson, Jake</v>
      </c>
      <c r="C1307" s="60" t="str">
        <f>IFERROR(__xludf.DUMMYFUNCTION("""COMPUTED_VALUE"""),"TE")</f>
        <v>TE</v>
      </c>
      <c r="D1307" s="60" t="str">
        <f>IFERROR(__xludf.DUMMYFUNCTION("""COMPUTED_VALUE"""),"DAL")</f>
        <v>DAL</v>
      </c>
      <c r="E1307" s="62" t="str">
        <f t="shared" si="4"/>
        <v>Jake Ferguson</v>
      </c>
      <c r="F1307" s="62">
        <f t="shared" ref="F1307:G1307" si="2613">IF(isblank(F$1),,IF(isblank($A1307),,IFERROR(vlookup($A1307,indirect("'TVC-"&amp;text(month(F$1),"00")&amp;"'!$A:$D"),4,false),1)))</f>
        <v>4106</v>
      </c>
      <c r="G1307" s="62">
        <f t="shared" si="2613"/>
        <v>3859</v>
      </c>
      <c r="H1307" s="62">
        <f t="shared" ref="H1307:Q1307" si="2614">IF(isblank(H$1),,IFERROR(vlookup($A1307,indirect("'TVC-"&amp;text(month(H$1),"00")&amp;"'!$A:$D"),4,false),1))</f>
        <v>3845</v>
      </c>
      <c r="I1307" s="62">
        <f t="shared" si="2614"/>
        <v>3818</v>
      </c>
      <c r="J1307" s="62">
        <f t="shared" si="2614"/>
        <v>3740</v>
      </c>
      <c r="K1307" s="62">
        <f t="shared" si="2614"/>
        <v>3658</v>
      </c>
      <c r="L1307" s="62">
        <f t="shared" si="2614"/>
        <v>3644</v>
      </c>
      <c r="M1307" s="62">
        <f t="shared" si="2614"/>
        <v>3627</v>
      </c>
      <c r="N1307" s="62">
        <f t="shared" si="2614"/>
        <v>3477</v>
      </c>
      <c r="O1307" s="62">
        <f t="shared" si="2614"/>
        <v>1</v>
      </c>
      <c r="P1307" s="62" t="str">
        <f t="shared" si="2614"/>
        <v/>
      </c>
      <c r="Q1307" s="62" t="str">
        <f t="shared" si="2614"/>
        <v/>
      </c>
      <c r="R1307" s="62">
        <f t="shared" si="7"/>
        <v>-3476</v>
      </c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</row>
    <row r="1308" hidden="1">
      <c r="A1308" s="60">
        <f>IFERROR(__xludf.DUMMYFUNCTION("""COMPUTED_VALUE"""),15800.0)</f>
        <v>15800</v>
      </c>
      <c r="B1308" s="60" t="str">
        <f>IFERROR(__xludf.DUMMYFUNCTION("""COMPUTED_VALUE"""),"Heyward, Connor")</f>
        <v>Heyward, Connor</v>
      </c>
      <c r="C1308" s="60" t="str">
        <f>IFERROR(__xludf.DUMMYFUNCTION("""COMPUTED_VALUE"""),"TE")</f>
        <v>TE</v>
      </c>
      <c r="D1308" s="60" t="str">
        <f>IFERROR(__xludf.DUMMYFUNCTION("""COMPUTED_VALUE"""),"LVR")</f>
        <v>LVR</v>
      </c>
      <c r="E1308" s="62" t="str">
        <f t="shared" si="4"/>
        <v>Connor Heyward</v>
      </c>
      <c r="F1308" s="62">
        <f t="shared" ref="F1308:G1308" si="2615">IF(isblank(F$1),,IF(isblank($A1308),,IFERROR(vlookup($A1308,indirect("'TVC-"&amp;text(month(F$1),"00")&amp;"'!$A:$D"),4,false),1)))</f>
        <v>1</v>
      </c>
      <c r="G1308" s="62">
        <f t="shared" si="2615"/>
        <v>1</v>
      </c>
      <c r="H1308" s="62">
        <f t="shared" ref="H1308:Q1308" si="2616">IF(isblank(H$1),,IFERROR(vlookup($A1308,indirect("'TVC-"&amp;text(month(H$1),"00")&amp;"'!$A:$D"),4,false),1))</f>
        <v>1</v>
      </c>
      <c r="I1308" s="62">
        <f t="shared" si="2616"/>
        <v>1</v>
      </c>
      <c r="J1308" s="62">
        <f t="shared" si="2616"/>
        <v>1</v>
      </c>
      <c r="K1308" s="62">
        <f t="shared" si="2616"/>
        <v>1</v>
      </c>
      <c r="L1308" s="62">
        <f t="shared" si="2616"/>
        <v>1</v>
      </c>
      <c r="M1308" s="62">
        <f t="shared" si="2616"/>
        <v>1</v>
      </c>
      <c r="N1308" s="62">
        <f t="shared" si="2616"/>
        <v>1</v>
      </c>
      <c r="O1308" s="62">
        <f t="shared" si="2616"/>
        <v>1</v>
      </c>
      <c r="P1308" s="62" t="str">
        <f t="shared" si="2616"/>
        <v/>
      </c>
      <c r="Q1308" s="62" t="str">
        <f t="shared" si="2616"/>
        <v/>
      </c>
      <c r="R1308" s="62">
        <f t="shared" si="7"/>
        <v>0</v>
      </c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</row>
    <row r="1309" hidden="1">
      <c r="A1309" s="60">
        <f>IFERROR(__xludf.DUMMYFUNCTION("""COMPUTED_VALUE"""),15802.0)</f>
        <v>15802</v>
      </c>
      <c r="B1309" s="60" t="str">
        <f>IFERROR(__xludf.DUMMYFUNCTION("""COMPUTED_VALUE"""),"Otton, Cade")</f>
        <v>Otton, Cade</v>
      </c>
      <c r="C1309" s="60" t="str">
        <f>IFERROR(__xludf.DUMMYFUNCTION("""COMPUTED_VALUE"""),"TE")</f>
        <v>TE</v>
      </c>
      <c r="D1309" s="60" t="str">
        <f>IFERROR(__xludf.DUMMYFUNCTION("""COMPUTED_VALUE"""),"TBB")</f>
        <v>TBB</v>
      </c>
      <c r="E1309" s="62" t="str">
        <f t="shared" si="4"/>
        <v>Cade Otton</v>
      </c>
      <c r="F1309" s="62">
        <f t="shared" ref="F1309:G1309" si="2617">IF(isblank(F$1),,IF(isblank($A1309),,IFERROR(vlookup($A1309,indirect("'TVC-"&amp;text(month(F$1),"00")&amp;"'!$A:$D"),4,false),1)))</f>
        <v>2614</v>
      </c>
      <c r="G1309" s="62">
        <f t="shared" si="2617"/>
        <v>2722</v>
      </c>
      <c r="H1309" s="62">
        <f t="shared" ref="H1309:Q1309" si="2618">IF(isblank(H$1),,IFERROR(vlookup($A1309,indirect("'TVC-"&amp;text(month(H$1),"00")&amp;"'!$A:$D"),4,false),1))</f>
        <v>2749</v>
      </c>
      <c r="I1309" s="62">
        <f t="shared" si="2618"/>
        <v>2919</v>
      </c>
      <c r="J1309" s="62">
        <f t="shared" si="2618"/>
        <v>2744</v>
      </c>
      <c r="K1309" s="62">
        <f t="shared" si="2618"/>
        <v>2739</v>
      </c>
      <c r="L1309" s="62">
        <f t="shared" si="2618"/>
        <v>2711</v>
      </c>
      <c r="M1309" s="62">
        <f t="shared" si="2618"/>
        <v>2697</v>
      </c>
      <c r="N1309" s="62">
        <f t="shared" si="2618"/>
        <v>2529</v>
      </c>
      <c r="O1309" s="62">
        <f t="shared" si="2618"/>
        <v>1</v>
      </c>
      <c r="P1309" s="62" t="str">
        <f t="shared" si="2618"/>
        <v/>
      </c>
      <c r="Q1309" s="62" t="str">
        <f t="shared" si="2618"/>
        <v/>
      </c>
      <c r="R1309" s="62">
        <f t="shared" si="7"/>
        <v>-2528</v>
      </c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</row>
    <row r="1310" hidden="1">
      <c r="A1310" s="60">
        <f>IFERROR(__xludf.DUMMYFUNCTION("""COMPUTED_VALUE"""),15803.0)</f>
        <v>15803</v>
      </c>
      <c r="B1310" s="60" t="str">
        <f>IFERROR(__xludf.DUMMYFUNCTION("""COMPUTED_VALUE"""),"Turner, Cole")</f>
        <v>Turner, Cole</v>
      </c>
      <c r="C1310" s="60" t="str">
        <f>IFERROR(__xludf.DUMMYFUNCTION("""COMPUTED_VALUE"""),"TE")</f>
        <v>TE</v>
      </c>
      <c r="D1310" s="60" t="str">
        <f>IFERROR(__xludf.DUMMYFUNCTION("""COMPUTED_VALUE"""),"MIA")</f>
        <v>MIA</v>
      </c>
      <c r="E1310" s="62" t="str">
        <f t="shared" si="4"/>
        <v>Cole Turner</v>
      </c>
      <c r="F1310" s="62">
        <f t="shared" ref="F1310:G1310" si="2619">IF(isblank(F$1),,IF(isblank($A1310),,IFERROR(vlookup($A1310,indirect("'TVC-"&amp;text(month(F$1),"00")&amp;"'!$A:$D"),4,false),1)))</f>
        <v>1</v>
      </c>
      <c r="G1310" s="62">
        <f t="shared" si="2619"/>
        <v>1</v>
      </c>
      <c r="H1310" s="62">
        <f t="shared" ref="H1310:Q1310" si="2620">IF(isblank(H$1),,IFERROR(vlookup($A1310,indirect("'TVC-"&amp;text(month(H$1),"00")&amp;"'!$A:$D"),4,false),1))</f>
        <v>1</v>
      </c>
      <c r="I1310" s="62">
        <f t="shared" si="2620"/>
        <v>1</v>
      </c>
      <c r="J1310" s="62">
        <f t="shared" si="2620"/>
        <v>1</v>
      </c>
      <c r="K1310" s="62">
        <f t="shared" si="2620"/>
        <v>1</v>
      </c>
      <c r="L1310" s="62">
        <f t="shared" si="2620"/>
        <v>1</v>
      </c>
      <c r="M1310" s="62">
        <f t="shared" si="2620"/>
        <v>1</v>
      </c>
      <c r="N1310" s="62">
        <f t="shared" si="2620"/>
        <v>1</v>
      </c>
      <c r="O1310" s="62">
        <f t="shared" si="2620"/>
        <v>1</v>
      </c>
      <c r="P1310" s="62" t="str">
        <f t="shared" si="2620"/>
        <v/>
      </c>
      <c r="Q1310" s="62" t="str">
        <f t="shared" si="2620"/>
        <v/>
      </c>
      <c r="R1310" s="62">
        <f t="shared" si="7"/>
        <v>0</v>
      </c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</row>
    <row r="1311" hidden="1">
      <c r="A1311" s="60">
        <f>IFERROR(__xludf.DUMMYFUNCTION("""COMPUTED_VALUE"""),15804.0)</f>
        <v>15804</v>
      </c>
      <c r="B1311" s="60" t="str">
        <f>IFERROR(__xludf.DUMMYFUNCTION("""COMPUTED_VALUE"""),"Calcaterra, Grant")</f>
        <v>Calcaterra, Grant</v>
      </c>
      <c r="C1311" s="60" t="str">
        <f>IFERROR(__xludf.DUMMYFUNCTION("""COMPUTED_VALUE"""),"TE")</f>
        <v>TE</v>
      </c>
      <c r="D1311" s="60" t="str">
        <f>IFERROR(__xludf.DUMMYFUNCTION("""COMPUTED_VALUE"""),"PHI")</f>
        <v>PHI</v>
      </c>
      <c r="E1311" s="62" t="str">
        <f t="shared" si="4"/>
        <v>Grant Calcaterra</v>
      </c>
      <c r="F1311" s="62">
        <f t="shared" ref="F1311:G1311" si="2621">IF(isblank(F$1),,IF(isblank($A1311),,IFERROR(vlookup($A1311,indirect("'TVC-"&amp;text(month(F$1),"00")&amp;"'!$A:$D"),4,false),1)))</f>
        <v>1162</v>
      </c>
      <c r="G1311" s="62">
        <f t="shared" si="2621"/>
        <v>1226</v>
      </c>
      <c r="H1311" s="62">
        <f t="shared" ref="H1311:Q1311" si="2622">IF(isblank(H$1),,IFERROR(vlookup($A1311,indirect("'TVC-"&amp;text(month(H$1),"00")&amp;"'!$A:$D"),4,false),1))</f>
        <v>1206</v>
      </c>
      <c r="I1311" s="62">
        <f t="shared" si="2622"/>
        <v>1226</v>
      </c>
      <c r="J1311" s="62">
        <f t="shared" si="2622"/>
        <v>1284</v>
      </c>
      <c r="K1311" s="62">
        <f t="shared" si="2622"/>
        <v>871</v>
      </c>
      <c r="L1311" s="62">
        <f t="shared" si="2622"/>
        <v>843</v>
      </c>
      <c r="M1311" s="62">
        <f t="shared" si="2622"/>
        <v>1</v>
      </c>
      <c r="N1311" s="62">
        <f t="shared" si="2622"/>
        <v>1</v>
      </c>
      <c r="O1311" s="62">
        <f t="shared" si="2622"/>
        <v>1</v>
      </c>
      <c r="P1311" s="62" t="str">
        <f t="shared" si="2622"/>
        <v/>
      </c>
      <c r="Q1311" s="62" t="str">
        <f t="shared" si="2622"/>
        <v/>
      </c>
      <c r="R1311" s="62">
        <f t="shared" si="7"/>
        <v>0</v>
      </c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</row>
    <row r="1312" hidden="1">
      <c r="A1312" s="60">
        <f>IFERROR(__xludf.DUMMYFUNCTION("""COMPUTED_VALUE"""),15805.0)</f>
        <v>15805</v>
      </c>
      <c r="B1312" s="60" t="str">
        <f>IFERROR(__xludf.DUMMYFUNCTION("""COMPUTED_VALUE"""),"Hutchinson, Aidan")</f>
        <v>Hutchinson, Aidan</v>
      </c>
      <c r="C1312" s="60" t="str">
        <f>IFERROR(__xludf.DUMMYFUNCTION("""COMPUTED_VALUE"""),"DE")</f>
        <v>DE</v>
      </c>
      <c r="D1312" s="60" t="str">
        <f>IFERROR(__xludf.DUMMYFUNCTION("""COMPUTED_VALUE"""),"DET")</f>
        <v>DET</v>
      </c>
      <c r="E1312" s="62" t="str">
        <f t="shared" si="4"/>
        <v>Aidan Hutchinson</v>
      </c>
      <c r="F1312" s="62">
        <f t="shared" ref="F1312:G1312" si="2623">IF(isblank(F$1),,IF(isblank($A1312),,IFERROR(vlookup($A1312,indirect("'TVC-"&amp;text(month(F$1),"00")&amp;"'!$A:$D"),4,false),1)))</f>
        <v>1</v>
      </c>
      <c r="G1312" s="62">
        <f t="shared" si="2623"/>
        <v>1</v>
      </c>
      <c r="H1312" s="62">
        <f t="shared" ref="H1312:Q1312" si="2624">IF(isblank(H$1),,IFERROR(vlookup($A1312,indirect("'TVC-"&amp;text(month(H$1),"00")&amp;"'!$A:$D"),4,false),1))</f>
        <v>1</v>
      </c>
      <c r="I1312" s="62">
        <f t="shared" si="2624"/>
        <v>1</v>
      </c>
      <c r="J1312" s="62">
        <f t="shared" si="2624"/>
        <v>1</v>
      </c>
      <c r="K1312" s="62">
        <f t="shared" si="2624"/>
        <v>1</v>
      </c>
      <c r="L1312" s="62">
        <f t="shared" si="2624"/>
        <v>1</v>
      </c>
      <c r="M1312" s="62">
        <f t="shared" si="2624"/>
        <v>1</v>
      </c>
      <c r="N1312" s="62">
        <f t="shared" si="2624"/>
        <v>1</v>
      </c>
      <c r="O1312" s="62">
        <f t="shared" si="2624"/>
        <v>1</v>
      </c>
      <c r="P1312" s="62" t="str">
        <f t="shared" si="2624"/>
        <v/>
      </c>
      <c r="Q1312" s="62" t="str">
        <f t="shared" si="2624"/>
        <v/>
      </c>
      <c r="R1312" s="62">
        <f t="shared" si="7"/>
        <v>0</v>
      </c>
      <c r="S1312" s="62"/>
      <c r="T1312" s="62"/>
      <c r="U1312" s="62"/>
      <c r="V1312" s="62"/>
      <c r="W1312" s="62"/>
      <c r="X1312" s="62"/>
      <c r="Y1312" s="62"/>
      <c r="Z1312" s="62"/>
      <c r="AA1312" s="62"/>
      <c r="AB1312" s="62"/>
      <c r="AC1312" s="62"/>
    </row>
    <row r="1313" hidden="1">
      <c r="A1313" s="60">
        <f>IFERROR(__xludf.DUMMYFUNCTION("""COMPUTED_VALUE"""),15806.0)</f>
        <v>15806</v>
      </c>
      <c r="B1313" s="60" t="str">
        <f>IFERROR(__xludf.DUMMYFUNCTION("""COMPUTED_VALUE"""),"Thibodeaux, Kayvon")</f>
        <v>Thibodeaux, Kayvon</v>
      </c>
      <c r="C1313" s="60" t="str">
        <f>IFERROR(__xludf.DUMMYFUNCTION("""COMPUTED_VALUE"""),"DE")</f>
        <v>DE</v>
      </c>
      <c r="D1313" s="60" t="str">
        <f>IFERROR(__xludf.DUMMYFUNCTION("""COMPUTED_VALUE"""),"NYG")</f>
        <v>NYG</v>
      </c>
      <c r="E1313" s="62" t="str">
        <f t="shared" si="4"/>
        <v>Kayvon Thibodeaux</v>
      </c>
      <c r="F1313" s="62">
        <f t="shared" ref="F1313:G1313" si="2625">IF(isblank(F$1),,IF(isblank($A1313),,IFERROR(vlookup($A1313,indirect("'TVC-"&amp;text(month(F$1),"00")&amp;"'!$A:$D"),4,false),1)))</f>
        <v>1</v>
      </c>
      <c r="G1313" s="62">
        <f t="shared" si="2625"/>
        <v>1</v>
      </c>
      <c r="H1313" s="62">
        <f t="shared" ref="H1313:Q1313" si="2626">IF(isblank(H$1),,IFERROR(vlookup($A1313,indirect("'TVC-"&amp;text(month(H$1),"00")&amp;"'!$A:$D"),4,false),1))</f>
        <v>1</v>
      </c>
      <c r="I1313" s="62">
        <f t="shared" si="2626"/>
        <v>1</v>
      </c>
      <c r="J1313" s="62">
        <f t="shared" si="2626"/>
        <v>1</v>
      </c>
      <c r="K1313" s="62">
        <f t="shared" si="2626"/>
        <v>1</v>
      </c>
      <c r="L1313" s="62">
        <f t="shared" si="2626"/>
        <v>1</v>
      </c>
      <c r="M1313" s="62">
        <f t="shared" si="2626"/>
        <v>1</v>
      </c>
      <c r="N1313" s="62">
        <f t="shared" si="2626"/>
        <v>1</v>
      </c>
      <c r="O1313" s="62">
        <f t="shared" si="2626"/>
        <v>1</v>
      </c>
      <c r="P1313" s="62" t="str">
        <f t="shared" si="2626"/>
        <v/>
      </c>
      <c r="Q1313" s="62" t="str">
        <f t="shared" si="2626"/>
        <v/>
      </c>
      <c r="R1313" s="62">
        <f t="shared" si="7"/>
        <v>0</v>
      </c>
      <c r="S1313" s="62"/>
      <c r="T1313" s="62"/>
      <c r="U1313" s="62"/>
      <c r="V1313" s="62"/>
      <c r="W1313" s="62"/>
      <c r="X1313" s="62"/>
      <c r="Y1313" s="62"/>
      <c r="Z1313" s="62"/>
      <c r="AA1313" s="62"/>
      <c r="AB1313" s="62"/>
      <c r="AC1313" s="62"/>
    </row>
    <row r="1314" hidden="1">
      <c r="A1314" s="60">
        <f>IFERROR(__xludf.DUMMYFUNCTION("""COMPUTED_VALUE"""),15807.0)</f>
        <v>15807</v>
      </c>
      <c r="B1314" s="60" t="str">
        <f>IFERROR(__xludf.DUMMYFUNCTION("""COMPUTED_VALUE"""),"Ojabo, David")</f>
        <v>Ojabo, David</v>
      </c>
      <c r="C1314" s="60" t="str">
        <f>IFERROR(__xludf.DUMMYFUNCTION("""COMPUTED_VALUE"""),"DE")</f>
        <v>DE</v>
      </c>
      <c r="D1314" s="60" t="str">
        <f>IFERROR(__xludf.DUMMYFUNCTION("""COMPUTED_VALUE"""),"NOS")</f>
        <v>NOS</v>
      </c>
      <c r="E1314" s="62" t="str">
        <f t="shared" si="4"/>
        <v>David Ojabo</v>
      </c>
      <c r="F1314" s="62">
        <f t="shared" ref="F1314:G1314" si="2627">IF(isblank(F$1),,IF(isblank($A1314),,IFERROR(vlookup($A1314,indirect("'TVC-"&amp;text(month(F$1),"00")&amp;"'!$A:$D"),4,false),1)))</f>
        <v>1</v>
      </c>
      <c r="G1314" s="62">
        <f t="shared" si="2627"/>
        <v>1</v>
      </c>
      <c r="H1314" s="62">
        <f t="shared" ref="H1314:Q1314" si="2628">IF(isblank(H$1),,IFERROR(vlookup($A1314,indirect("'TVC-"&amp;text(month(H$1),"00")&amp;"'!$A:$D"),4,false),1))</f>
        <v>1</v>
      </c>
      <c r="I1314" s="62">
        <f t="shared" si="2628"/>
        <v>1</v>
      </c>
      <c r="J1314" s="62">
        <f t="shared" si="2628"/>
        <v>1</v>
      </c>
      <c r="K1314" s="62">
        <f t="shared" si="2628"/>
        <v>1</v>
      </c>
      <c r="L1314" s="62">
        <f t="shared" si="2628"/>
        <v>1</v>
      </c>
      <c r="M1314" s="62">
        <f t="shared" si="2628"/>
        <v>1</v>
      </c>
      <c r="N1314" s="62">
        <f t="shared" si="2628"/>
        <v>1</v>
      </c>
      <c r="O1314" s="62">
        <f t="shared" si="2628"/>
        <v>1</v>
      </c>
      <c r="P1314" s="62" t="str">
        <f t="shared" si="2628"/>
        <v/>
      </c>
      <c r="Q1314" s="62" t="str">
        <f t="shared" si="2628"/>
        <v/>
      </c>
      <c r="R1314" s="62">
        <f t="shared" si="7"/>
        <v>0</v>
      </c>
      <c r="S1314" s="62"/>
      <c r="T1314" s="62"/>
      <c r="U1314" s="62"/>
      <c r="V1314" s="62"/>
      <c r="W1314" s="62"/>
      <c r="X1314" s="62"/>
      <c r="Y1314" s="62"/>
      <c r="Z1314" s="62"/>
      <c r="AA1314" s="62"/>
      <c r="AB1314" s="62"/>
      <c r="AC1314" s="62"/>
    </row>
    <row r="1315" hidden="1">
      <c r="A1315" s="60">
        <f>IFERROR(__xludf.DUMMYFUNCTION("""COMPUTED_VALUE"""),15808.0)</f>
        <v>15808</v>
      </c>
      <c r="B1315" s="60" t="str">
        <f>IFERROR(__xludf.DUMMYFUNCTION("""COMPUTED_VALUE"""),"Karlaftis, George")</f>
        <v>Karlaftis, George</v>
      </c>
      <c r="C1315" s="60" t="str">
        <f>IFERROR(__xludf.DUMMYFUNCTION("""COMPUTED_VALUE"""),"DE")</f>
        <v>DE</v>
      </c>
      <c r="D1315" s="60" t="str">
        <f>IFERROR(__xludf.DUMMYFUNCTION("""COMPUTED_VALUE"""),"KCC")</f>
        <v>KCC</v>
      </c>
      <c r="E1315" s="62" t="str">
        <f t="shared" si="4"/>
        <v>George Karlaftis</v>
      </c>
      <c r="F1315" s="62">
        <f t="shared" ref="F1315:G1315" si="2629">IF(isblank(F$1),,IF(isblank($A1315),,IFERROR(vlookup($A1315,indirect("'TVC-"&amp;text(month(F$1),"00")&amp;"'!$A:$D"),4,false),1)))</f>
        <v>1</v>
      </c>
      <c r="G1315" s="62">
        <f t="shared" si="2629"/>
        <v>1</v>
      </c>
      <c r="H1315" s="62">
        <f t="shared" ref="H1315:Q1315" si="2630">IF(isblank(H$1),,IFERROR(vlookup($A1315,indirect("'TVC-"&amp;text(month(H$1),"00")&amp;"'!$A:$D"),4,false),1))</f>
        <v>1</v>
      </c>
      <c r="I1315" s="62">
        <f t="shared" si="2630"/>
        <v>1</v>
      </c>
      <c r="J1315" s="62">
        <f t="shared" si="2630"/>
        <v>1</v>
      </c>
      <c r="K1315" s="62">
        <f t="shared" si="2630"/>
        <v>1</v>
      </c>
      <c r="L1315" s="62">
        <f t="shared" si="2630"/>
        <v>1</v>
      </c>
      <c r="M1315" s="62">
        <f t="shared" si="2630"/>
        <v>1</v>
      </c>
      <c r="N1315" s="62">
        <f t="shared" si="2630"/>
        <v>1</v>
      </c>
      <c r="O1315" s="62">
        <f t="shared" si="2630"/>
        <v>1</v>
      </c>
      <c r="P1315" s="62" t="str">
        <f t="shared" si="2630"/>
        <v/>
      </c>
      <c r="Q1315" s="62" t="str">
        <f t="shared" si="2630"/>
        <v/>
      </c>
      <c r="R1315" s="62">
        <f t="shared" si="7"/>
        <v>0</v>
      </c>
      <c r="S1315" s="62"/>
      <c r="T1315" s="62"/>
      <c r="U1315" s="62"/>
      <c r="V1315" s="62"/>
      <c r="W1315" s="62"/>
      <c r="X1315" s="62"/>
      <c r="Y1315" s="62"/>
      <c r="Z1315" s="62"/>
      <c r="AA1315" s="62"/>
      <c r="AB1315" s="62"/>
      <c r="AC1315" s="62"/>
    </row>
    <row r="1316" hidden="1">
      <c r="A1316" s="60">
        <f>IFERROR(__xludf.DUMMYFUNCTION("""COMPUTED_VALUE"""),15809.0)</f>
        <v>15809</v>
      </c>
      <c r="B1316" s="60" t="str">
        <f>IFERROR(__xludf.DUMMYFUNCTION("""COMPUTED_VALUE"""),"Johnson, Jermaine")</f>
        <v>Johnson, Jermaine</v>
      </c>
      <c r="C1316" s="60" t="str">
        <f>IFERROR(__xludf.DUMMYFUNCTION("""COMPUTED_VALUE"""),"DE")</f>
        <v>DE</v>
      </c>
      <c r="D1316" s="60" t="str">
        <f>IFERROR(__xludf.DUMMYFUNCTION("""COMPUTED_VALUE"""),"TEN")</f>
        <v>TEN</v>
      </c>
      <c r="E1316" s="62" t="str">
        <f t="shared" si="4"/>
        <v>Jermaine Johnson</v>
      </c>
      <c r="F1316" s="62">
        <f t="shared" ref="F1316:G1316" si="2631">IF(isblank(F$1),,IF(isblank($A1316),,IFERROR(vlookup($A1316,indirect("'TVC-"&amp;text(month(F$1),"00")&amp;"'!$A:$D"),4,false),1)))</f>
        <v>1</v>
      </c>
      <c r="G1316" s="62">
        <f t="shared" si="2631"/>
        <v>1</v>
      </c>
      <c r="H1316" s="62">
        <f t="shared" ref="H1316:Q1316" si="2632">IF(isblank(H$1),,IFERROR(vlookup($A1316,indirect("'TVC-"&amp;text(month(H$1),"00")&amp;"'!$A:$D"),4,false),1))</f>
        <v>1</v>
      </c>
      <c r="I1316" s="62">
        <f t="shared" si="2632"/>
        <v>1</v>
      </c>
      <c r="J1316" s="62">
        <f t="shared" si="2632"/>
        <v>1</v>
      </c>
      <c r="K1316" s="62">
        <f t="shared" si="2632"/>
        <v>1</v>
      </c>
      <c r="L1316" s="62">
        <f t="shared" si="2632"/>
        <v>1</v>
      </c>
      <c r="M1316" s="62">
        <f t="shared" si="2632"/>
        <v>1</v>
      </c>
      <c r="N1316" s="62">
        <f t="shared" si="2632"/>
        <v>1</v>
      </c>
      <c r="O1316" s="62">
        <f t="shared" si="2632"/>
        <v>1</v>
      </c>
      <c r="P1316" s="62" t="str">
        <f t="shared" si="2632"/>
        <v/>
      </c>
      <c r="Q1316" s="62" t="str">
        <f t="shared" si="2632"/>
        <v/>
      </c>
      <c r="R1316" s="62">
        <f t="shared" si="7"/>
        <v>0</v>
      </c>
      <c r="S1316" s="62"/>
      <c r="T1316" s="62"/>
      <c r="U1316" s="62"/>
      <c r="V1316" s="62"/>
      <c r="W1316" s="62"/>
      <c r="X1316" s="62"/>
      <c r="Y1316" s="62"/>
      <c r="Z1316" s="62"/>
      <c r="AA1316" s="62"/>
      <c r="AB1316" s="62"/>
      <c r="AC1316" s="62"/>
    </row>
    <row r="1317" hidden="1">
      <c r="A1317" s="60">
        <f>IFERROR(__xludf.DUMMYFUNCTION("""COMPUTED_VALUE"""),15811.0)</f>
        <v>15811</v>
      </c>
      <c r="B1317" s="60" t="str">
        <f>IFERROR(__xludf.DUMMYFUNCTION("""COMPUTED_VALUE"""),"Jackson, Drake")</f>
        <v>Jackson, Drake</v>
      </c>
      <c r="C1317" s="60" t="str">
        <f>IFERROR(__xludf.DUMMYFUNCTION("""COMPUTED_VALUE"""),"DE")</f>
        <v>DE</v>
      </c>
      <c r="D1317" s="60" t="str">
        <f>IFERROR(__xludf.DUMMYFUNCTION("""COMPUTED_VALUE"""),"ATL")</f>
        <v>ATL</v>
      </c>
      <c r="E1317" s="62" t="str">
        <f t="shared" si="4"/>
        <v>Drake Jackson</v>
      </c>
      <c r="F1317" s="62">
        <f t="shared" ref="F1317:G1317" si="2633">IF(isblank(F$1),,IF(isblank($A1317),,IFERROR(vlookup($A1317,indirect("'TVC-"&amp;text(month(F$1),"00")&amp;"'!$A:$D"),4,false),1)))</f>
        <v>1</v>
      </c>
      <c r="G1317" s="62">
        <f t="shared" si="2633"/>
        <v>1</v>
      </c>
      <c r="H1317" s="62">
        <f t="shared" ref="H1317:Q1317" si="2634">IF(isblank(H$1),,IFERROR(vlookup($A1317,indirect("'TVC-"&amp;text(month(H$1),"00")&amp;"'!$A:$D"),4,false),1))</f>
        <v>1</v>
      </c>
      <c r="I1317" s="62">
        <f t="shared" si="2634"/>
        <v>1</v>
      </c>
      <c r="J1317" s="62">
        <f t="shared" si="2634"/>
        <v>1</v>
      </c>
      <c r="K1317" s="62">
        <f t="shared" si="2634"/>
        <v>1</v>
      </c>
      <c r="L1317" s="62">
        <f t="shared" si="2634"/>
        <v>1</v>
      </c>
      <c r="M1317" s="62">
        <f t="shared" si="2634"/>
        <v>1</v>
      </c>
      <c r="N1317" s="62">
        <f t="shared" si="2634"/>
        <v>1</v>
      </c>
      <c r="O1317" s="62">
        <f t="shared" si="2634"/>
        <v>1</v>
      </c>
      <c r="P1317" s="62" t="str">
        <f t="shared" si="2634"/>
        <v/>
      </c>
      <c r="Q1317" s="62" t="str">
        <f t="shared" si="2634"/>
        <v/>
      </c>
      <c r="R1317" s="62">
        <f t="shared" si="7"/>
        <v>0</v>
      </c>
      <c r="S1317" s="62"/>
      <c r="T1317" s="62"/>
      <c r="U1317" s="62"/>
      <c r="V1317" s="62"/>
      <c r="W1317" s="62"/>
      <c r="X1317" s="62"/>
      <c r="Y1317" s="62"/>
      <c r="Z1317" s="62"/>
      <c r="AA1317" s="62"/>
      <c r="AB1317" s="62"/>
      <c r="AC1317" s="62"/>
    </row>
    <row r="1318" hidden="1">
      <c r="A1318" s="60">
        <f>IFERROR(__xludf.DUMMYFUNCTION("""COMPUTED_VALUE"""),15812.0)</f>
        <v>15812</v>
      </c>
      <c r="B1318" s="60" t="str">
        <f>IFERROR(__xludf.DUMMYFUNCTION("""COMPUTED_VALUE"""),"Hall, Logan")</f>
        <v>Hall, Logan</v>
      </c>
      <c r="C1318" s="60" t="str">
        <f>IFERROR(__xludf.DUMMYFUNCTION("""COMPUTED_VALUE"""),"DT")</f>
        <v>DT</v>
      </c>
      <c r="D1318" s="60" t="str">
        <f>IFERROR(__xludf.DUMMYFUNCTION("""COMPUTED_VALUE"""),"HOU")</f>
        <v>HOU</v>
      </c>
      <c r="E1318" s="62" t="str">
        <f t="shared" si="4"/>
        <v>Logan Hall</v>
      </c>
      <c r="F1318" s="62">
        <f t="shared" ref="F1318:G1318" si="2635">IF(isblank(F$1),,IF(isblank($A1318),,IFERROR(vlookup($A1318,indirect("'TVC-"&amp;text(month(F$1),"00")&amp;"'!$A:$D"),4,false),1)))</f>
        <v>1</v>
      </c>
      <c r="G1318" s="62">
        <f t="shared" si="2635"/>
        <v>1</v>
      </c>
      <c r="H1318" s="62">
        <f t="shared" ref="H1318:Q1318" si="2636">IF(isblank(H$1),,IFERROR(vlookup($A1318,indirect("'TVC-"&amp;text(month(H$1),"00")&amp;"'!$A:$D"),4,false),1))</f>
        <v>1</v>
      </c>
      <c r="I1318" s="62">
        <f t="shared" si="2636"/>
        <v>1</v>
      </c>
      <c r="J1318" s="62">
        <f t="shared" si="2636"/>
        <v>1</v>
      </c>
      <c r="K1318" s="62">
        <f t="shared" si="2636"/>
        <v>1</v>
      </c>
      <c r="L1318" s="62">
        <f t="shared" si="2636"/>
        <v>1</v>
      </c>
      <c r="M1318" s="62">
        <f t="shared" si="2636"/>
        <v>1</v>
      </c>
      <c r="N1318" s="62">
        <f t="shared" si="2636"/>
        <v>1</v>
      </c>
      <c r="O1318" s="62">
        <f t="shared" si="2636"/>
        <v>1</v>
      </c>
      <c r="P1318" s="62" t="str">
        <f t="shared" si="2636"/>
        <v/>
      </c>
      <c r="Q1318" s="62" t="str">
        <f t="shared" si="2636"/>
        <v/>
      </c>
      <c r="R1318" s="62">
        <f t="shared" si="7"/>
        <v>0</v>
      </c>
      <c r="S1318" s="62"/>
      <c r="T1318" s="62"/>
      <c r="U1318" s="62"/>
      <c r="V1318" s="62"/>
      <c r="W1318" s="62"/>
      <c r="X1318" s="62"/>
      <c r="Y1318" s="62"/>
      <c r="Z1318" s="62"/>
      <c r="AA1318" s="62"/>
      <c r="AB1318" s="62"/>
      <c r="AC1318" s="62"/>
    </row>
    <row r="1319" hidden="1">
      <c r="A1319" s="60">
        <f>IFERROR(__xludf.DUMMYFUNCTION("""COMPUTED_VALUE"""),15813.0)</f>
        <v>15813</v>
      </c>
      <c r="B1319" s="60" t="str">
        <f>IFERROR(__xludf.DUMMYFUNCTION("""COMPUTED_VALUE"""),"Enagbare, Kingsley")</f>
        <v>Enagbare, Kingsley</v>
      </c>
      <c r="C1319" s="60" t="str">
        <f>IFERROR(__xludf.DUMMYFUNCTION("""COMPUTED_VALUE"""),"DE")</f>
        <v>DE</v>
      </c>
      <c r="D1319" s="60" t="str">
        <f>IFERROR(__xludf.DUMMYFUNCTION("""COMPUTED_VALUE"""),"NYJ")</f>
        <v>NYJ</v>
      </c>
      <c r="E1319" s="62" t="str">
        <f t="shared" si="4"/>
        <v>Kingsley Enagbare</v>
      </c>
      <c r="F1319" s="62">
        <f t="shared" ref="F1319:G1319" si="2637">IF(isblank(F$1),,IF(isblank($A1319),,IFERROR(vlookup($A1319,indirect("'TVC-"&amp;text(month(F$1),"00")&amp;"'!$A:$D"),4,false),1)))</f>
        <v>1</v>
      </c>
      <c r="G1319" s="62">
        <f t="shared" si="2637"/>
        <v>1</v>
      </c>
      <c r="H1319" s="62">
        <f t="shared" ref="H1319:Q1319" si="2638">IF(isblank(H$1),,IFERROR(vlookup($A1319,indirect("'TVC-"&amp;text(month(H$1),"00")&amp;"'!$A:$D"),4,false),1))</f>
        <v>1</v>
      </c>
      <c r="I1319" s="62">
        <f t="shared" si="2638"/>
        <v>1</v>
      </c>
      <c r="J1319" s="62">
        <f t="shared" si="2638"/>
        <v>1</v>
      </c>
      <c r="K1319" s="62">
        <f t="shared" si="2638"/>
        <v>1</v>
      </c>
      <c r="L1319" s="62">
        <f t="shared" si="2638"/>
        <v>1</v>
      </c>
      <c r="M1319" s="62">
        <f t="shared" si="2638"/>
        <v>1</v>
      </c>
      <c r="N1319" s="62">
        <f t="shared" si="2638"/>
        <v>1</v>
      </c>
      <c r="O1319" s="62">
        <f t="shared" si="2638"/>
        <v>1</v>
      </c>
      <c r="P1319" s="62" t="str">
        <f t="shared" si="2638"/>
        <v/>
      </c>
      <c r="Q1319" s="62" t="str">
        <f t="shared" si="2638"/>
        <v/>
      </c>
      <c r="R1319" s="62">
        <f t="shared" si="7"/>
        <v>0</v>
      </c>
      <c r="S1319" s="62"/>
      <c r="T1319" s="62"/>
      <c r="U1319" s="62"/>
      <c r="V1319" s="62"/>
      <c r="W1319" s="62"/>
      <c r="X1319" s="62"/>
      <c r="Y1319" s="62"/>
      <c r="Z1319" s="62"/>
      <c r="AA1319" s="62"/>
      <c r="AB1319" s="62"/>
      <c r="AC1319" s="62"/>
    </row>
    <row r="1320" hidden="1">
      <c r="A1320" s="60">
        <f>IFERROR(__xludf.DUMMYFUNCTION("""COMPUTED_VALUE"""),15814.0)</f>
        <v>15814</v>
      </c>
      <c r="B1320" s="60" t="str">
        <f>IFERROR(__xludf.DUMMYFUNCTION("""COMPUTED_VALUE"""),"Thomas, Cameron")</f>
        <v>Thomas, Cameron</v>
      </c>
      <c r="C1320" s="60" t="str">
        <f>IFERROR(__xludf.DUMMYFUNCTION("""COMPUTED_VALUE"""),"DE")</f>
        <v>DE</v>
      </c>
      <c r="D1320" s="60" t="str">
        <f>IFERROR(__xludf.DUMMYFUNCTION("""COMPUTED_VALUE"""),"ATL")</f>
        <v>ATL</v>
      </c>
      <c r="E1320" s="62" t="str">
        <f t="shared" si="4"/>
        <v>Cameron Thomas</v>
      </c>
      <c r="F1320" s="62">
        <f t="shared" ref="F1320:G1320" si="2639">IF(isblank(F$1),,IF(isblank($A1320),,IFERROR(vlookup($A1320,indirect("'TVC-"&amp;text(month(F$1),"00")&amp;"'!$A:$D"),4,false),1)))</f>
        <v>1</v>
      </c>
      <c r="G1320" s="62">
        <f t="shared" si="2639"/>
        <v>1</v>
      </c>
      <c r="H1320" s="62">
        <f t="shared" ref="H1320:Q1320" si="2640">IF(isblank(H$1),,IFERROR(vlookup($A1320,indirect("'TVC-"&amp;text(month(H$1),"00")&amp;"'!$A:$D"),4,false),1))</f>
        <v>1</v>
      </c>
      <c r="I1320" s="62">
        <f t="shared" si="2640"/>
        <v>1</v>
      </c>
      <c r="J1320" s="62">
        <f t="shared" si="2640"/>
        <v>1</v>
      </c>
      <c r="K1320" s="62">
        <f t="shared" si="2640"/>
        <v>1</v>
      </c>
      <c r="L1320" s="62">
        <f t="shared" si="2640"/>
        <v>1</v>
      </c>
      <c r="M1320" s="62">
        <f t="shared" si="2640"/>
        <v>1</v>
      </c>
      <c r="N1320" s="62">
        <f t="shared" si="2640"/>
        <v>1</v>
      </c>
      <c r="O1320" s="62">
        <f t="shared" si="2640"/>
        <v>1</v>
      </c>
      <c r="P1320" s="62" t="str">
        <f t="shared" si="2640"/>
        <v/>
      </c>
      <c r="Q1320" s="62" t="str">
        <f t="shared" si="2640"/>
        <v/>
      </c>
      <c r="R1320" s="62">
        <f t="shared" si="7"/>
        <v>0</v>
      </c>
      <c r="S1320" s="62"/>
      <c r="T1320" s="62"/>
      <c r="U1320" s="62"/>
      <c r="V1320" s="62"/>
      <c r="W1320" s="62"/>
      <c r="X1320" s="62"/>
      <c r="Y1320" s="62"/>
      <c r="Z1320" s="62"/>
      <c r="AA1320" s="62"/>
      <c r="AB1320" s="62"/>
      <c r="AC1320" s="62"/>
    </row>
    <row r="1321" hidden="1">
      <c r="A1321" s="60">
        <f>IFERROR(__xludf.DUMMYFUNCTION("""COMPUTED_VALUE"""),15815.0)</f>
        <v>15815</v>
      </c>
      <c r="B1321" s="60" t="str">
        <f>IFERROR(__xludf.DUMMYFUNCTION("""COMPUTED_VALUE"""),"Walker, Travon")</f>
        <v>Walker, Travon</v>
      </c>
      <c r="C1321" s="60" t="str">
        <f>IFERROR(__xludf.DUMMYFUNCTION("""COMPUTED_VALUE"""),"DE")</f>
        <v>DE</v>
      </c>
      <c r="D1321" s="60" t="str">
        <f>IFERROR(__xludf.DUMMYFUNCTION("""COMPUTED_VALUE"""),"JAC")</f>
        <v>JAC</v>
      </c>
      <c r="E1321" s="62" t="str">
        <f t="shared" si="4"/>
        <v>Travon Walker</v>
      </c>
      <c r="F1321" s="62">
        <f t="shared" ref="F1321:G1321" si="2641">IF(isblank(F$1),,IF(isblank($A1321),,IFERROR(vlookup($A1321,indirect("'TVC-"&amp;text(month(F$1),"00")&amp;"'!$A:$D"),4,false),1)))</f>
        <v>1</v>
      </c>
      <c r="G1321" s="62">
        <f t="shared" si="2641"/>
        <v>1</v>
      </c>
      <c r="H1321" s="62">
        <f t="shared" ref="H1321:Q1321" si="2642">IF(isblank(H$1),,IFERROR(vlookup($A1321,indirect("'TVC-"&amp;text(month(H$1),"00")&amp;"'!$A:$D"),4,false),1))</f>
        <v>1</v>
      </c>
      <c r="I1321" s="62">
        <f t="shared" si="2642"/>
        <v>1</v>
      </c>
      <c r="J1321" s="62">
        <f t="shared" si="2642"/>
        <v>1</v>
      </c>
      <c r="K1321" s="62">
        <f t="shared" si="2642"/>
        <v>1</v>
      </c>
      <c r="L1321" s="62">
        <f t="shared" si="2642"/>
        <v>1</v>
      </c>
      <c r="M1321" s="62">
        <f t="shared" si="2642"/>
        <v>1</v>
      </c>
      <c r="N1321" s="62">
        <f t="shared" si="2642"/>
        <v>1</v>
      </c>
      <c r="O1321" s="62">
        <f t="shared" si="2642"/>
        <v>1</v>
      </c>
      <c r="P1321" s="62" t="str">
        <f t="shared" si="2642"/>
        <v/>
      </c>
      <c r="Q1321" s="62" t="str">
        <f t="shared" si="2642"/>
        <v/>
      </c>
      <c r="R1321" s="62">
        <f t="shared" si="7"/>
        <v>0</v>
      </c>
      <c r="S1321" s="62"/>
      <c r="T1321" s="62"/>
      <c r="U1321" s="62"/>
      <c r="V1321" s="62"/>
      <c r="W1321" s="62"/>
      <c r="X1321" s="62"/>
      <c r="Y1321" s="62"/>
      <c r="Z1321" s="62"/>
      <c r="AA1321" s="62"/>
      <c r="AB1321" s="62"/>
      <c r="AC1321" s="62"/>
    </row>
    <row r="1322" hidden="1">
      <c r="A1322" s="60">
        <f>IFERROR(__xludf.DUMMYFUNCTION("""COMPUTED_VALUE"""),15817.0)</f>
        <v>15817</v>
      </c>
      <c r="B1322" s="60" t="str">
        <f>IFERROR(__xludf.DUMMYFUNCTION("""COMPUTED_VALUE"""),"Davis, Jordan")</f>
        <v>Davis, Jordan</v>
      </c>
      <c r="C1322" s="60" t="str">
        <f>IFERROR(__xludf.DUMMYFUNCTION("""COMPUTED_VALUE"""),"DT")</f>
        <v>DT</v>
      </c>
      <c r="D1322" s="60" t="str">
        <f>IFERROR(__xludf.DUMMYFUNCTION("""COMPUTED_VALUE"""),"PHI")</f>
        <v>PHI</v>
      </c>
      <c r="E1322" s="62" t="str">
        <f t="shared" si="4"/>
        <v>Jordan Davis</v>
      </c>
      <c r="F1322" s="62">
        <f t="shared" ref="F1322:G1322" si="2643">IF(isblank(F$1),,IF(isblank($A1322),,IFERROR(vlookup($A1322,indirect("'TVC-"&amp;text(month(F$1),"00")&amp;"'!$A:$D"),4,false),1)))</f>
        <v>1</v>
      </c>
      <c r="G1322" s="62">
        <f t="shared" si="2643"/>
        <v>1</v>
      </c>
      <c r="H1322" s="62">
        <f t="shared" ref="H1322:Q1322" si="2644">IF(isblank(H$1),,IFERROR(vlookup($A1322,indirect("'TVC-"&amp;text(month(H$1),"00")&amp;"'!$A:$D"),4,false),1))</f>
        <v>1</v>
      </c>
      <c r="I1322" s="62">
        <f t="shared" si="2644"/>
        <v>1</v>
      </c>
      <c r="J1322" s="62">
        <f t="shared" si="2644"/>
        <v>1</v>
      </c>
      <c r="K1322" s="62">
        <f t="shared" si="2644"/>
        <v>1</v>
      </c>
      <c r="L1322" s="62">
        <f t="shared" si="2644"/>
        <v>1</v>
      </c>
      <c r="M1322" s="62">
        <f t="shared" si="2644"/>
        <v>1</v>
      </c>
      <c r="N1322" s="62">
        <f t="shared" si="2644"/>
        <v>1</v>
      </c>
      <c r="O1322" s="62">
        <f t="shared" si="2644"/>
        <v>1</v>
      </c>
      <c r="P1322" s="62" t="str">
        <f t="shared" si="2644"/>
        <v/>
      </c>
      <c r="Q1322" s="62" t="str">
        <f t="shared" si="2644"/>
        <v/>
      </c>
      <c r="R1322" s="62">
        <f t="shared" si="7"/>
        <v>0</v>
      </c>
      <c r="S1322" s="62"/>
      <c r="T1322" s="62"/>
      <c r="U1322" s="62"/>
      <c r="V1322" s="62"/>
      <c r="W1322" s="62"/>
      <c r="X1322" s="62"/>
      <c r="Y1322" s="62"/>
      <c r="Z1322" s="62"/>
      <c r="AA1322" s="62"/>
      <c r="AB1322" s="62"/>
      <c r="AC1322" s="62"/>
    </row>
    <row r="1323" hidden="1">
      <c r="A1323" s="60">
        <f>IFERROR(__xludf.DUMMYFUNCTION("""COMPUTED_VALUE"""),15818.0)</f>
        <v>15818</v>
      </c>
      <c r="B1323" s="60" t="str">
        <f>IFERROR(__xludf.DUMMYFUNCTION("""COMPUTED_VALUE"""),"Leal, DeMarvin")</f>
        <v>Leal, DeMarvin</v>
      </c>
      <c r="C1323" s="60" t="str">
        <f>IFERROR(__xludf.DUMMYFUNCTION("""COMPUTED_VALUE"""),"DE")</f>
        <v>DE</v>
      </c>
      <c r="D1323" s="60" t="str">
        <f>IFERROR(__xludf.DUMMYFUNCTION("""COMPUTED_VALUE"""),"FA")</f>
        <v>FA</v>
      </c>
      <c r="E1323" s="62" t="str">
        <f t="shared" si="4"/>
        <v>DeMarvin Leal</v>
      </c>
      <c r="F1323" s="62">
        <f t="shared" ref="F1323:G1323" si="2645">IF(isblank(F$1),,IF(isblank($A1323),,IFERROR(vlookup($A1323,indirect("'TVC-"&amp;text(month(F$1),"00")&amp;"'!$A:$D"),4,false),1)))</f>
        <v>1</v>
      </c>
      <c r="G1323" s="62">
        <f t="shared" si="2645"/>
        <v>1</v>
      </c>
      <c r="H1323" s="62">
        <f t="shared" ref="H1323:Q1323" si="2646">IF(isblank(H$1),,IFERROR(vlookup($A1323,indirect("'TVC-"&amp;text(month(H$1),"00")&amp;"'!$A:$D"),4,false),1))</f>
        <v>1</v>
      </c>
      <c r="I1323" s="62">
        <f t="shared" si="2646"/>
        <v>1</v>
      </c>
      <c r="J1323" s="62">
        <f t="shared" si="2646"/>
        <v>1</v>
      </c>
      <c r="K1323" s="62">
        <f t="shared" si="2646"/>
        <v>1</v>
      </c>
      <c r="L1323" s="62">
        <f t="shared" si="2646"/>
        <v>1</v>
      </c>
      <c r="M1323" s="62">
        <f t="shared" si="2646"/>
        <v>1</v>
      </c>
      <c r="N1323" s="62">
        <f t="shared" si="2646"/>
        <v>1</v>
      </c>
      <c r="O1323" s="62">
        <f t="shared" si="2646"/>
        <v>1</v>
      </c>
      <c r="P1323" s="62" t="str">
        <f t="shared" si="2646"/>
        <v/>
      </c>
      <c r="Q1323" s="62" t="str">
        <f t="shared" si="2646"/>
        <v/>
      </c>
      <c r="R1323" s="62">
        <f t="shared" si="7"/>
        <v>0</v>
      </c>
      <c r="S1323" s="62"/>
      <c r="T1323" s="62"/>
      <c r="U1323" s="62"/>
      <c r="V1323" s="62"/>
      <c r="W1323" s="62"/>
      <c r="X1323" s="62"/>
      <c r="Y1323" s="62"/>
      <c r="Z1323" s="62"/>
      <c r="AA1323" s="62"/>
      <c r="AB1323" s="62"/>
      <c r="AC1323" s="62"/>
    </row>
    <row r="1324" hidden="1">
      <c r="A1324" s="60">
        <f>IFERROR(__xludf.DUMMYFUNCTION("""COMPUTED_VALUE"""),15819.0)</f>
        <v>15819</v>
      </c>
      <c r="B1324" s="60" t="str">
        <f>IFERROR(__xludf.DUMMYFUNCTION("""COMPUTED_VALUE"""),"Wyatt, Devonte")</f>
        <v>Wyatt, Devonte</v>
      </c>
      <c r="C1324" s="60" t="str">
        <f>IFERROR(__xludf.DUMMYFUNCTION("""COMPUTED_VALUE"""),"DT")</f>
        <v>DT</v>
      </c>
      <c r="D1324" s="60" t="str">
        <f>IFERROR(__xludf.DUMMYFUNCTION("""COMPUTED_VALUE"""),"GBP")</f>
        <v>GBP</v>
      </c>
      <c r="E1324" s="62" t="str">
        <f t="shared" si="4"/>
        <v>Devonte Wyatt</v>
      </c>
      <c r="F1324" s="62">
        <f t="shared" ref="F1324:G1324" si="2647">IF(isblank(F$1),,IF(isblank($A1324),,IFERROR(vlookup($A1324,indirect("'TVC-"&amp;text(month(F$1),"00")&amp;"'!$A:$D"),4,false),1)))</f>
        <v>1</v>
      </c>
      <c r="G1324" s="62">
        <f t="shared" si="2647"/>
        <v>1</v>
      </c>
      <c r="H1324" s="62">
        <f t="shared" ref="H1324:Q1324" si="2648">IF(isblank(H$1),,IFERROR(vlookup($A1324,indirect("'TVC-"&amp;text(month(H$1),"00")&amp;"'!$A:$D"),4,false),1))</f>
        <v>1</v>
      </c>
      <c r="I1324" s="62">
        <f t="shared" si="2648"/>
        <v>1</v>
      </c>
      <c r="J1324" s="62">
        <f t="shared" si="2648"/>
        <v>1</v>
      </c>
      <c r="K1324" s="62">
        <f t="shared" si="2648"/>
        <v>1</v>
      </c>
      <c r="L1324" s="62">
        <f t="shared" si="2648"/>
        <v>1</v>
      </c>
      <c r="M1324" s="62">
        <f t="shared" si="2648"/>
        <v>1</v>
      </c>
      <c r="N1324" s="62">
        <f t="shared" si="2648"/>
        <v>1</v>
      </c>
      <c r="O1324" s="62">
        <f t="shared" si="2648"/>
        <v>1</v>
      </c>
      <c r="P1324" s="62" t="str">
        <f t="shared" si="2648"/>
        <v/>
      </c>
      <c r="Q1324" s="62" t="str">
        <f t="shared" si="2648"/>
        <v/>
      </c>
      <c r="R1324" s="62">
        <f t="shared" si="7"/>
        <v>0</v>
      </c>
      <c r="S1324" s="62"/>
      <c r="T1324" s="62"/>
      <c r="U1324" s="62"/>
      <c r="V1324" s="62"/>
      <c r="W1324" s="62"/>
      <c r="X1324" s="62"/>
      <c r="Y1324" s="62"/>
      <c r="Z1324" s="62"/>
      <c r="AA1324" s="62"/>
      <c r="AB1324" s="62"/>
      <c r="AC1324" s="62"/>
    </row>
    <row r="1325" hidden="1">
      <c r="A1325" s="60">
        <f>IFERROR(__xludf.DUMMYFUNCTION("""COMPUTED_VALUE"""),15820.0)</f>
        <v>15820</v>
      </c>
      <c r="B1325" s="60" t="str">
        <f>IFERROR(__xludf.DUMMYFUNCTION("""COMPUTED_VALUE"""),"Mathis, Phidarian")</f>
        <v>Mathis, Phidarian</v>
      </c>
      <c r="C1325" s="60" t="str">
        <f>IFERROR(__xludf.DUMMYFUNCTION("""COMPUTED_VALUE"""),"DT")</f>
        <v>DT</v>
      </c>
      <c r="D1325" s="60" t="str">
        <f>IFERROR(__xludf.DUMMYFUNCTION("""COMPUTED_VALUE"""),"BUF")</f>
        <v>BUF</v>
      </c>
      <c r="E1325" s="62" t="str">
        <f t="shared" si="4"/>
        <v>Phidarian Mathis</v>
      </c>
      <c r="F1325" s="62">
        <f t="shared" ref="F1325:G1325" si="2649">IF(isblank(F$1),,IF(isblank($A1325),,IFERROR(vlookup($A1325,indirect("'TVC-"&amp;text(month(F$1),"00")&amp;"'!$A:$D"),4,false),1)))</f>
        <v>1</v>
      </c>
      <c r="G1325" s="62">
        <f t="shared" si="2649"/>
        <v>1</v>
      </c>
      <c r="H1325" s="62">
        <f t="shared" ref="H1325:Q1325" si="2650">IF(isblank(H$1),,IFERROR(vlookup($A1325,indirect("'TVC-"&amp;text(month(H$1),"00")&amp;"'!$A:$D"),4,false),1))</f>
        <v>1</v>
      </c>
      <c r="I1325" s="62">
        <f t="shared" si="2650"/>
        <v>1</v>
      </c>
      <c r="J1325" s="62">
        <f t="shared" si="2650"/>
        <v>1</v>
      </c>
      <c r="K1325" s="62">
        <f t="shared" si="2650"/>
        <v>1</v>
      </c>
      <c r="L1325" s="62">
        <f t="shared" si="2650"/>
        <v>1</v>
      </c>
      <c r="M1325" s="62">
        <f t="shared" si="2650"/>
        <v>1</v>
      </c>
      <c r="N1325" s="62">
        <f t="shared" si="2650"/>
        <v>1</v>
      </c>
      <c r="O1325" s="62">
        <f t="shared" si="2650"/>
        <v>1</v>
      </c>
      <c r="P1325" s="62" t="str">
        <f t="shared" si="2650"/>
        <v/>
      </c>
      <c r="Q1325" s="62" t="str">
        <f t="shared" si="2650"/>
        <v/>
      </c>
      <c r="R1325" s="62">
        <f t="shared" si="7"/>
        <v>0</v>
      </c>
      <c r="S1325" s="62"/>
      <c r="T1325" s="62"/>
      <c r="U1325" s="62"/>
      <c r="V1325" s="62"/>
      <c r="W1325" s="62"/>
      <c r="X1325" s="62"/>
      <c r="Y1325" s="62"/>
      <c r="Z1325" s="62"/>
      <c r="AA1325" s="62"/>
      <c r="AB1325" s="62"/>
      <c r="AC1325" s="62"/>
    </row>
    <row r="1326" hidden="1">
      <c r="A1326" s="60">
        <f>IFERROR(__xludf.DUMMYFUNCTION("""COMPUTED_VALUE"""),15821.0)</f>
        <v>15821</v>
      </c>
      <c r="B1326" s="60" t="str">
        <f>IFERROR(__xludf.DUMMYFUNCTION("""COMPUTED_VALUE"""),"Dean, Nakobe")</f>
        <v>Dean, Nakobe</v>
      </c>
      <c r="C1326" s="60" t="str">
        <f>IFERROR(__xludf.DUMMYFUNCTION("""COMPUTED_VALUE"""),"LB")</f>
        <v>LB</v>
      </c>
      <c r="D1326" s="60" t="str">
        <f>IFERROR(__xludf.DUMMYFUNCTION("""COMPUTED_VALUE"""),"LVR")</f>
        <v>LVR</v>
      </c>
      <c r="E1326" s="62" t="str">
        <f t="shared" si="4"/>
        <v>Nakobe Dean</v>
      </c>
      <c r="F1326" s="62">
        <f t="shared" ref="F1326:G1326" si="2651">IF(isblank(F$1),,IF(isblank($A1326),,IFERROR(vlookup($A1326,indirect("'TVC-"&amp;text(month(F$1),"00")&amp;"'!$A:$D"),4,false),1)))</f>
        <v>1</v>
      </c>
      <c r="G1326" s="62">
        <f t="shared" si="2651"/>
        <v>1</v>
      </c>
      <c r="H1326" s="62">
        <f t="shared" ref="H1326:Q1326" si="2652">IF(isblank(H$1),,IFERROR(vlookup($A1326,indirect("'TVC-"&amp;text(month(H$1),"00")&amp;"'!$A:$D"),4,false),1))</f>
        <v>1</v>
      </c>
      <c r="I1326" s="62">
        <f t="shared" si="2652"/>
        <v>1</v>
      </c>
      <c r="J1326" s="62">
        <f t="shared" si="2652"/>
        <v>1</v>
      </c>
      <c r="K1326" s="62">
        <f t="shared" si="2652"/>
        <v>1</v>
      </c>
      <c r="L1326" s="62">
        <f t="shared" si="2652"/>
        <v>1</v>
      </c>
      <c r="M1326" s="62">
        <f t="shared" si="2652"/>
        <v>1</v>
      </c>
      <c r="N1326" s="62">
        <f t="shared" si="2652"/>
        <v>1</v>
      </c>
      <c r="O1326" s="62">
        <f t="shared" si="2652"/>
        <v>1</v>
      </c>
      <c r="P1326" s="62" t="str">
        <f t="shared" si="2652"/>
        <v/>
      </c>
      <c r="Q1326" s="62" t="str">
        <f t="shared" si="2652"/>
        <v/>
      </c>
      <c r="R1326" s="62">
        <f t="shared" si="7"/>
        <v>0</v>
      </c>
      <c r="S1326" s="62"/>
      <c r="T1326" s="62"/>
      <c r="U1326" s="62"/>
      <c r="V1326" s="62"/>
      <c r="W1326" s="62"/>
      <c r="X1326" s="62"/>
      <c r="Y1326" s="62"/>
      <c r="Z1326" s="62"/>
      <c r="AA1326" s="62"/>
      <c r="AB1326" s="62"/>
      <c r="AC1326" s="62"/>
    </row>
    <row r="1327" hidden="1">
      <c r="A1327" s="60">
        <f>IFERROR(__xludf.DUMMYFUNCTION("""COMPUTED_VALUE"""),15822.0)</f>
        <v>15822</v>
      </c>
      <c r="B1327" s="60" t="str">
        <f>IFERROR(__xludf.DUMMYFUNCTION("""COMPUTED_VALUE"""),"Lloyd, Devin")</f>
        <v>Lloyd, Devin</v>
      </c>
      <c r="C1327" s="60" t="str">
        <f>IFERROR(__xludf.DUMMYFUNCTION("""COMPUTED_VALUE"""),"LB")</f>
        <v>LB</v>
      </c>
      <c r="D1327" s="60" t="str">
        <f>IFERROR(__xludf.DUMMYFUNCTION("""COMPUTED_VALUE"""),"CAR")</f>
        <v>CAR</v>
      </c>
      <c r="E1327" s="62" t="str">
        <f t="shared" si="4"/>
        <v>Devin Lloyd</v>
      </c>
      <c r="F1327" s="62">
        <f t="shared" ref="F1327:G1327" si="2653">IF(isblank(F$1),,IF(isblank($A1327),,IFERROR(vlookup($A1327,indirect("'TVC-"&amp;text(month(F$1),"00")&amp;"'!$A:$D"),4,false),1)))</f>
        <v>1</v>
      </c>
      <c r="G1327" s="62">
        <f t="shared" si="2653"/>
        <v>1</v>
      </c>
      <c r="H1327" s="62">
        <f t="shared" ref="H1327:Q1327" si="2654">IF(isblank(H$1),,IFERROR(vlookup($A1327,indirect("'TVC-"&amp;text(month(H$1),"00")&amp;"'!$A:$D"),4,false),1))</f>
        <v>1</v>
      </c>
      <c r="I1327" s="62">
        <f t="shared" si="2654"/>
        <v>1</v>
      </c>
      <c r="J1327" s="62">
        <f t="shared" si="2654"/>
        <v>1</v>
      </c>
      <c r="K1327" s="62">
        <f t="shared" si="2654"/>
        <v>1</v>
      </c>
      <c r="L1327" s="62">
        <f t="shared" si="2654"/>
        <v>1</v>
      </c>
      <c r="M1327" s="62">
        <f t="shared" si="2654"/>
        <v>1</v>
      </c>
      <c r="N1327" s="62">
        <f t="shared" si="2654"/>
        <v>1</v>
      </c>
      <c r="O1327" s="62">
        <f t="shared" si="2654"/>
        <v>1</v>
      </c>
      <c r="P1327" s="62" t="str">
        <f t="shared" si="2654"/>
        <v/>
      </c>
      <c r="Q1327" s="62" t="str">
        <f t="shared" si="2654"/>
        <v/>
      </c>
      <c r="R1327" s="62">
        <f t="shared" si="7"/>
        <v>0</v>
      </c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</row>
    <row r="1328" hidden="1">
      <c r="A1328" s="60">
        <f>IFERROR(__xludf.DUMMYFUNCTION("""COMPUTED_VALUE"""),15823.0)</f>
        <v>15823</v>
      </c>
      <c r="B1328" s="60" t="str">
        <f>IFERROR(__xludf.DUMMYFUNCTION("""COMPUTED_VALUE"""),"Harris, Christian")</f>
        <v>Harris, Christian</v>
      </c>
      <c r="C1328" s="60" t="str">
        <f>IFERROR(__xludf.DUMMYFUNCTION("""COMPUTED_VALUE"""),"LB")</f>
        <v>LB</v>
      </c>
      <c r="D1328" s="60" t="str">
        <f>IFERROR(__xludf.DUMMYFUNCTION("""COMPUTED_VALUE"""),"ATL")</f>
        <v>ATL</v>
      </c>
      <c r="E1328" s="62" t="str">
        <f t="shared" si="4"/>
        <v>Christian Harris</v>
      </c>
      <c r="F1328" s="62">
        <f t="shared" ref="F1328:G1328" si="2655">IF(isblank(F$1),,IF(isblank($A1328),,IFERROR(vlookup($A1328,indirect("'TVC-"&amp;text(month(F$1),"00")&amp;"'!$A:$D"),4,false),1)))</f>
        <v>1</v>
      </c>
      <c r="G1328" s="62">
        <f t="shared" si="2655"/>
        <v>1</v>
      </c>
      <c r="H1328" s="62">
        <f t="shared" ref="H1328:Q1328" si="2656">IF(isblank(H$1),,IFERROR(vlookup($A1328,indirect("'TVC-"&amp;text(month(H$1),"00")&amp;"'!$A:$D"),4,false),1))</f>
        <v>1</v>
      </c>
      <c r="I1328" s="62">
        <f t="shared" si="2656"/>
        <v>1</v>
      </c>
      <c r="J1328" s="62">
        <f t="shared" si="2656"/>
        <v>1</v>
      </c>
      <c r="K1328" s="62">
        <f t="shared" si="2656"/>
        <v>1</v>
      </c>
      <c r="L1328" s="62">
        <f t="shared" si="2656"/>
        <v>1</v>
      </c>
      <c r="M1328" s="62">
        <f t="shared" si="2656"/>
        <v>1</v>
      </c>
      <c r="N1328" s="62">
        <f t="shared" si="2656"/>
        <v>1</v>
      </c>
      <c r="O1328" s="62">
        <f t="shared" si="2656"/>
        <v>1</v>
      </c>
      <c r="P1328" s="62" t="str">
        <f t="shared" si="2656"/>
        <v/>
      </c>
      <c r="Q1328" s="62" t="str">
        <f t="shared" si="2656"/>
        <v/>
      </c>
      <c r="R1328" s="62">
        <f t="shared" si="7"/>
        <v>0</v>
      </c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</row>
    <row r="1329" hidden="1">
      <c r="A1329" s="60">
        <f>IFERROR(__xludf.DUMMYFUNCTION("""COMPUTED_VALUE"""),15824.0)</f>
        <v>15824</v>
      </c>
      <c r="B1329" s="60" t="str">
        <f>IFERROR(__xludf.DUMMYFUNCTION("""COMPUTED_VALUE"""),"Tindall, Channing")</f>
        <v>Tindall, Channing</v>
      </c>
      <c r="C1329" s="60" t="str">
        <f>IFERROR(__xludf.DUMMYFUNCTION("""COMPUTED_VALUE"""),"LB")</f>
        <v>LB</v>
      </c>
      <c r="D1329" s="60" t="str">
        <f>IFERROR(__xludf.DUMMYFUNCTION("""COMPUTED_VALUE"""),"FA")</f>
        <v>FA</v>
      </c>
      <c r="E1329" s="62" t="str">
        <f t="shared" si="4"/>
        <v>Channing Tindall</v>
      </c>
      <c r="F1329" s="62">
        <f t="shared" ref="F1329:G1329" si="2657">IF(isblank(F$1),,IF(isblank($A1329),,IFERROR(vlookup($A1329,indirect("'TVC-"&amp;text(month(F$1),"00")&amp;"'!$A:$D"),4,false),1)))</f>
        <v>1</v>
      </c>
      <c r="G1329" s="62">
        <f t="shared" si="2657"/>
        <v>1</v>
      </c>
      <c r="H1329" s="62">
        <f t="shared" ref="H1329:Q1329" si="2658">IF(isblank(H$1),,IFERROR(vlookup($A1329,indirect("'TVC-"&amp;text(month(H$1),"00")&amp;"'!$A:$D"),4,false),1))</f>
        <v>1</v>
      </c>
      <c r="I1329" s="62">
        <f t="shared" si="2658"/>
        <v>1</v>
      </c>
      <c r="J1329" s="62">
        <f t="shared" si="2658"/>
        <v>1</v>
      </c>
      <c r="K1329" s="62">
        <f t="shared" si="2658"/>
        <v>1</v>
      </c>
      <c r="L1329" s="62">
        <f t="shared" si="2658"/>
        <v>1</v>
      </c>
      <c r="M1329" s="62">
        <f t="shared" si="2658"/>
        <v>1</v>
      </c>
      <c r="N1329" s="62">
        <f t="shared" si="2658"/>
        <v>1</v>
      </c>
      <c r="O1329" s="62">
        <f t="shared" si="2658"/>
        <v>1</v>
      </c>
      <c r="P1329" s="62" t="str">
        <f t="shared" si="2658"/>
        <v/>
      </c>
      <c r="Q1329" s="62" t="str">
        <f t="shared" si="2658"/>
        <v/>
      </c>
      <c r="R1329" s="62">
        <f t="shared" si="7"/>
        <v>0</v>
      </c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</row>
    <row r="1330" hidden="1">
      <c r="A1330" s="60">
        <f>IFERROR(__xludf.DUMMYFUNCTION("""COMPUTED_VALUE"""),15826.0)</f>
        <v>15826</v>
      </c>
      <c r="B1330" s="60" t="str">
        <f>IFERROR(__xludf.DUMMYFUNCTION("""COMPUTED_VALUE"""),"Clark, Damone")</f>
        <v>Clark, Damone</v>
      </c>
      <c r="C1330" s="60" t="str">
        <f>IFERROR(__xludf.DUMMYFUNCTION("""COMPUTED_VALUE"""),"LB")</f>
        <v>LB</v>
      </c>
      <c r="D1330" s="60" t="str">
        <f>IFERROR(__xludf.DUMMYFUNCTION("""COMPUTED_VALUE"""),"DET")</f>
        <v>DET</v>
      </c>
      <c r="E1330" s="62" t="str">
        <f t="shared" si="4"/>
        <v>Damone Clark</v>
      </c>
      <c r="F1330" s="62">
        <f t="shared" ref="F1330:G1330" si="2659">IF(isblank(F$1),,IF(isblank($A1330),,IFERROR(vlookup($A1330,indirect("'TVC-"&amp;text(month(F$1),"00")&amp;"'!$A:$D"),4,false),1)))</f>
        <v>1</v>
      </c>
      <c r="G1330" s="62">
        <f t="shared" si="2659"/>
        <v>1</v>
      </c>
      <c r="H1330" s="62">
        <f t="shared" ref="H1330:Q1330" si="2660">IF(isblank(H$1),,IFERROR(vlookup($A1330,indirect("'TVC-"&amp;text(month(H$1),"00")&amp;"'!$A:$D"),4,false),1))</f>
        <v>1</v>
      </c>
      <c r="I1330" s="62">
        <f t="shared" si="2660"/>
        <v>1</v>
      </c>
      <c r="J1330" s="62">
        <f t="shared" si="2660"/>
        <v>1</v>
      </c>
      <c r="K1330" s="62">
        <f t="shared" si="2660"/>
        <v>1</v>
      </c>
      <c r="L1330" s="62">
        <f t="shared" si="2660"/>
        <v>1</v>
      </c>
      <c r="M1330" s="62">
        <f t="shared" si="2660"/>
        <v>1</v>
      </c>
      <c r="N1330" s="62">
        <f t="shared" si="2660"/>
        <v>1</v>
      </c>
      <c r="O1330" s="62">
        <f t="shared" si="2660"/>
        <v>1</v>
      </c>
      <c r="P1330" s="62" t="str">
        <f t="shared" si="2660"/>
        <v/>
      </c>
      <c r="Q1330" s="62" t="str">
        <f t="shared" si="2660"/>
        <v/>
      </c>
      <c r="R1330" s="62">
        <f t="shared" si="7"/>
        <v>0</v>
      </c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</row>
    <row r="1331" hidden="1">
      <c r="A1331" s="60">
        <f>IFERROR(__xludf.DUMMYFUNCTION("""COMPUTED_VALUE"""),15829.0)</f>
        <v>15829</v>
      </c>
      <c r="B1331" s="60" t="str">
        <f>IFERROR(__xludf.DUMMYFUNCTION("""COMPUTED_VALUE"""),"Asamoah, Brian")</f>
        <v>Asamoah, Brian</v>
      </c>
      <c r="C1331" s="60" t="str">
        <f>IFERROR(__xludf.DUMMYFUNCTION("""COMPUTED_VALUE"""),"LB")</f>
        <v>LB</v>
      </c>
      <c r="D1331" s="60" t="str">
        <f>IFERROR(__xludf.DUMMYFUNCTION("""COMPUTED_VALUE"""),"ATL")</f>
        <v>ATL</v>
      </c>
      <c r="E1331" s="62" t="str">
        <f t="shared" si="4"/>
        <v>Brian Asamoah</v>
      </c>
      <c r="F1331" s="62">
        <f t="shared" ref="F1331:G1331" si="2661">IF(isblank(F$1),,IF(isblank($A1331),,IFERROR(vlookup($A1331,indirect("'TVC-"&amp;text(month(F$1),"00")&amp;"'!$A:$D"),4,false),1)))</f>
        <v>1</v>
      </c>
      <c r="G1331" s="62">
        <f t="shared" si="2661"/>
        <v>1</v>
      </c>
      <c r="H1331" s="62">
        <f t="shared" ref="H1331:Q1331" si="2662">IF(isblank(H$1),,IFERROR(vlookup($A1331,indirect("'TVC-"&amp;text(month(H$1),"00")&amp;"'!$A:$D"),4,false),1))</f>
        <v>1</v>
      </c>
      <c r="I1331" s="62">
        <f t="shared" si="2662"/>
        <v>1</v>
      </c>
      <c r="J1331" s="62">
        <f t="shared" si="2662"/>
        <v>1</v>
      </c>
      <c r="K1331" s="62">
        <f t="shared" si="2662"/>
        <v>1</v>
      </c>
      <c r="L1331" s="62">
        <f t="shared" si="2662"/>
        <v>1</v>
      </c>
      <c r="M1331" s="62">
        <f t="shared" si="2662"/>
        <v>1</v>
      </c>
      <c r="N1331" s="62">
        <f t="shared" si="2662"/>
        <v>1</v>
      </c>
      <c r="O1331" s="62">
        <f t="shared" si="2662"/>
        <v>1</v>
      </c>
      <c r="P1331" s="62" t="str">
        <f t="shared" si="2662"/>
        <v/>
      </c>
      <c r="Q1331" s="62" t="str">
        <f t="shared" si="2662"/>
        <v/>
      </c>
      <c r="R1331" s="62">
        <f t="shared" si="7"/>
        <v>0</v>
      </c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</row>
    <row r="1332" hidden="1">
      <c r="A1332" s="60">
        <f>IFERROR(__xludf.DUMMYFUNCTION("""COMPUTED_VALUE"""),15830.0)</f>
        <v>15830</v>
      </c>
      <c r="B1332" s="60" t="str">
        <f>IFERROR(__xludf.DUMMYFUNCTION("""COMPUTED_VALUE"""),"Muma, Chad")</f>
        <v>Muma, Chad</v>
      </c>
      <c r="C1332" s="60" t="str">
        <f>IFERROR(__xludf.DUMMYFUNCTION("""COMPUTED_VALUE"""),"LB")</f>
        <v>LB</v>
      </c>
      <c r="D1332" s="60" t="str">
        <f>IFERROR(__xludf.DUMMYFUNCTION("""COMPUTED_VALUE"""),"HOU")</f>
        <v>HOU</v>
      </c>
      <c r="E1332" s="62" t="str">
        <f t="shared" si="4"/>
        <v>Chad Muma</v>
      </c>
      <c r="F1332" s="62">
        <f t="shared" ref="F1332:G1332" si="2663">IF(isblank(F$1),,IF(isblank($A1332),,IFERROR(vlookup($A1332,indirect("'TVC-"&amp;text(month(F$1),"00")&amp;"'!$A:$D"),4,false),1)))</f>
        <v>1</v>
      </c>
      <c r="G1332" s="62">
        <f t="shared" si="2663"/>
        <v>1</v>
      </c>
      <c r="H1332" s="62">
        <f t="shared" ref="H1332:Q1332" si="2664">IF(isblank(H$1),,IFERROR(vlookup($A1332,indirect("'TVC-"&amp;text(month(H$1),"00")&amp;"'!$A:$D"),4,false),1))</f>
        <v>1</v>
      </c>
      <c r="I1332" s="62">
        <f t="shared" si="2664"/>
        <v>1</v>
      </c>
      <c r="J1332" s="62">
        <f t="shared" si="2664"/>
        <v>1</v>
      </c>
      <c r="K1332" s="62">
        <f t="shared" si="2664"/>
        <v>1</v>
      </c>
      <c r="L1332" s="62">
        <f t="shared" si="2664"/>
        <v>1</v>
      </c>
      <c r="M1332" s="62">
        <f t="shared" si="2664"/>
        <v>1</v>
      </c>
      <c r="N1332" s="62">
        <f t="shared" si="2664"/>
        <v>1</v>
      </c>
      <c r="O1332" s="62">
        <f t="shared" si="2664"/>
        <v>1</v>
      </c>
      <c r="P1332" s="62" t="str">
        <f t="shared" si="2664"/>
        <v/>
      </c>
      <c r="Q1332" s="62" t="str">
        <f t="shared" si="2664"/>
        <v/>
      </c>
      <c r="R1332" s="62">
        <f t="shared" si="7"/>
        <v>0</v>
      </c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</row>
    <row r="1333" hidden="1">
      <c r="A1333" s="60">
        <f>IFERROR(__xludf.DUMMYFUNCTION("""COMPUTED_VALUE"""),15831.0)</f>
        <v>15831</v>
      </c>
      <c r="B1333" s="60" t="str">
        <f>IFERROR(__xludf.DUMMYFUNCTION("""COMPUTED_VALUE"""),"Chenal, Leo")</f>
        <v>Chenal, Leo</v>
      </c>
      <c r="C1333" s="60" t="str">
        <f>IFERROR(__xludf.DUMMYFUNCTION("""COMPUTED_VALUE"""),"LB")</f>
        <v>LB</v>
      </c>
      <c r="D1333" s="60" t="str">
        <f>IFERROR(__xludf.DUMMYFUNCTION("""COMPUTED_VALUE"""),"WAS")</f>
        <v>WAS</v>
      </c>
      <c r="E1333" s="62" t="str">
        <f t="shared" si="4"/>
        <v>Leo Chenal</v>
      </c>
      <c r="F1333" s="62">
        <f t="shared" ref="F1333:G1333" si="2665">IF(isblank(F$1),,IF(isblank($A1333),,IFERROR(vlookup($A1333,indirect("'TVC-"&amp;text(month(F$1),"00")&amp;"'!$A:$D"),4,false),1)))</f>
        <v>1</v>
      </c>
      <c r="G1333" s="62">
        <f t="shared" si="2665"/>
        <v>1</v>
      </c>
      <c r="H1333" s="62">
        <f t="shared" ref="H1333:Q1333" si="2666">IF(isblank(H$1),,IFERROR(vlookup($A1333,indirect("'TVC-"&amp;text(month(H$1),"00")&amp;"'!$A:$D"),4,false),1))</f>
        <v>1</v>
      </c>
      <c r="I1333" s="62">
        <f t="shared" si="2666"/>
        <v>1</v>
      </c>
      <c r="J1333" s="62">
        <f t="shared" si="2666"/>
        <v>1</v>
      </c>
      <c r="K1333" s="62">
        <f t="shared" si="2666"/>
        <v>1</v>
      </c>
      <c r="L1333" s="62">
        <f t="shared" si="2666"/>
        <v>1</v>
      </c>
      <c r="M1333" s="62">
        <f t="shared" si="2666"/>
        <v>1</v>
      </c>
      <c r="N1333" s="62">
        <f t="shared" si="2666"/>
        <v>1</v>
      </c>
      <c r="O1333" s="62">
        <f t="shared" si="2666"/>
        <v>1</v>
      </c>
      <c r="P1333" s="62" t="str">
        <f t="shared" si="2666"/>
        <v/>
      </c>
      <c r="Q1333" s="62" t="str">
        <f t="shared" si="2666"/>
        <v/>
      </c>
      <c r="R1333" s="62">
        <f t="shared" si="7"/>
        <v>0</v>
      </c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</row>
    <row r="1334" hidden="1">
      <c r="A1334" s="60">
        <f>IFERROR(__xludf.DUMMYFUNCTION("""COMPUTED_VALUE"""),15832.0)</f>
        <v>15832</v>
      </c>
      <c r="B1334" s="60" t="str">
        <f>IFERROR(__xludf.DUMMYFUNCTION("""COMPUTED_VALUE"""),"Stingley Jr., Derek")</f>
        <v>Stingley Jr., Derek</v>
      </c>
      <c r="C1334" s="60" t="str">
        <f>IFERROR(__xludf.DUMMYFUNCTION("""COMPUTED_VALUE"""),"CB")</f>
        <v>CB</v>
      </c>
      <c r="D1334" s="60" t="str">
        <f>IFERROR(__xludf.DUMMYFUNCTION("""COMPUTED_VALUE"""),"HOU")</f>
        <v>HOU</v>
      </c>
      <c r="E1334" s="62" t="str">
        <f t="shared" si="4"/>
        <v>Derek Stingley Jr.</v>
      </c>
      <c r="F1334" s="62">
        <f t="shared" ref="F1334:G1334" si="2667">IF(isblank(F$1),,IF(isblank($A1334),,IFERROR(vlookup($A1334,indirect("'TVC-"&amp;text(month(F$1),"00")&amp;"'!$A:$D"),4,false),1)))</f>
        <v>1</v>
      </c>
      <c r="G1334" s="62">
        <f t="shared" si="2667"/>
        <v>1</v>
      </c>
      <c r="H1334" s="62">
        <f t="shared" ref="H1334:Q1334" si="2668">IF(isblank(H$1),,IFERROR(vlookup($A1334,indirect("'TVC-"&amp;text(month(H$1),"00")&amp;"'!$A:$D"),4,false),1))</f>
        <v>1</v>
      </c>
      <c r="I1334" s="62">
        <f t="shared" si="2668"/>
        <v>1</v>
      </c>
      <c r="J1334" s="62">
        <f t="shared" si="2668"/>
        <v>1</v>
      </c>
      <c r="K1334" s="62">
        <f t="shared" si="2668"/>
        <v>1</v>
      </c>
      <c r="L1334" s="62">
        <f t="shared" si="2668"/>
        <v>1</v>
      </c>
      <c r="M1334" s="62">
        <f t="shared" si="2668"/>
        <v>1</v>
      </c>
      <c r="N1334" s="62">
        <f t="shared" si="2668"/>
        <v>1</v>
      </c>
      <c r="O1334" s="62">
        <f t="shared" si="2668"/>
        <v>1</v>
      </c>
      <c r="P1334" s="62" t="str">
        <f t="shared" si="2668"/>
        <v/>
      </c>
      <c r="Q1334" s="62" t="str">
        <f t="shared" si="2668"/>
        <v/>
      </c>
      <c r="R1334" s="62">
        <f t="shared" si="7"/>
        <v>0</v>
      </c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</row>
    <row r="1335" hidden="1">
      <c r="A1335" s="60">
        <f>IFERROR(__xludf.DUMMYFUNCTION("""COMPUTED_VALUE"""),15833.0)</f>
        <v>15833</v>
      </c>
      <c r="B1335" s="60" t="str">
        <f>IFERROR(__xludf.DUMMYFUNCTION("""COMPUTED_VALUE"""),"Gardner, Sauce")</f>
        <v>Gardner, Sauce</v>
      </c>
      <c r="C1335" s="60" t="str">
        <f>IFERROR(__xludf.DUMMYFUNCTION("""COMPUTED_VALUE"""),"CB")</f>
        <v>CB</v>
      </c>
      <c r="D1335" s="60" t="str">
        <f>IFERROR(__xludf.DUMMYFUNCTION("""COMPUTED_VALUE"""),"IND")</f>
        <v>IND</v>
      </c>
      <c r="E1335" s="62" t="str">
        <f t="shared" si="4"/>
        <v>Sauce Gardner</v>
      </c>
      <c r="F1335" s="62">
        <f t="shared" ref="F1335:G1335" si="2669">IF(isblank(F$1),,IF(isblank($A1335),,IFERROR(vlookup($A1335,indirect("'TVC-"&amp;text(month(F$1),"00")&amp;"'!$A:$D"),4,false),1)))</f>
        <v>1</v>
      </c>
      <c r="G1335" s="62">
        <f t="shared" si="2669"/>
        <v>1</v>
      </c>
      <c r="H1335" s="62">
        <f t="shared" ref="H1335:Q1335" si="2670">IF(isblank(H$1),,IFERROR(vlookup($A1335,indirect("'TVC-"&amp;text(month(H$1),"00")&amp;"'!$A:$D"),4,false),1))</f>
        <v>1</v>
      </c>
      <c r="I1335" s="62">
        <f t="shared" si="2670"/>
        <v>1</v>
      </c>
      <c r="J1335" s="62">
        <f t="shared" si="2670"/>
        <v>1</v>
      </c>
      <c r="K1335" s="62">
        <f t="shared" si="2670"/>
        <v>1</v>
      </c>
      <c r="L1335" s="62">
        <f t="shared" si="2670"/>
        <v>1</v>
      </c>
      <c r="M1335" s="62">
        <f t="shared" si="2670"/>
        <v>1</v>
      </c>
      <c r="N1335" s="62">
        <f t="shared" si="2670"/>
        <v>1</v>
      </c>
      <c r="O1335" s="62">
        <f t="shared" si="2670"/>
        <v>1</v>
      </c>
      <c r="P1335" s="62" t="str">
        <f t="shared" si="2670"/>
        <v/>
      </c>
      <c r="Q1335" s="62" t="str">
        <f t="shared" si="2670"/>
        <v/>
      </c>
      <c r="R1335" s="62">
        <f t="shared" si="7"/>
        <v>0</v>
      </c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</row>
    <row r="1336" hidden="1">
      <c r="A1336" s="60">
        <f>IFERROR(__xludf.DUMMYFUNCTION("""COMPUTED_VALUE"""),15834.0)</f>
        <v>15834</v>
      </c>
      <c r="B1336" s="60" t="str">
        <f>IFERROR(__xludf.DUMMYFUNCTION("""COMPUTED_VALUE"""),"Hamilton, Kyle")</f>
        <v>Hamilton, Kyle</v>
      </c>
      <c r="C1336" s="60" t="str">
        <f>IFERROR(__xludf.DUMMYFUNCTION("""COMPUTED_VALUE"""),"S")</f>
        <v>S</v>
      </c>
      <c r="D1336" s="60" t="str">
        <f>IFERROR(__xludf.DUMMYFUNCTION("""COMPUTED_VALUE"""),"BAL")</f>
        <v>BAL</v>
      </c>
      <c r="E1336" s="62" t="str">
        <f t="shared" si="4"/>
        <v>Kyle Hamilton</v>
      </c>
      <c r="F1336" s="62">
        <f t="shared" ref="F1336:G1336" si="2671">IF(isblank(F$1),,IF(isblank($A1336),,IFERROR(vlookup($A1336,indirect("'TVC-"&amp;text(month(F$1),"00")&amp;"'!$A:$D"),4,false),1)))</f>
        <v>1</v>
      </c>
      <c r="G1336" s="62">
        <f t="shared" si="2671"/>
        <v>1</v>
      </c>
      <c r="H1336" s="62">
        <f t="shared" ref="H1336:Q1336" si="2672">IF(isblank(H$1),,IFERROR(vlookup($A1336,indirect("'TVC-"&amp;text(month(H$1),"00")&amp;"'!$A:$D"),4,false),1))</f>
        <v>1</v>
      </c>
      <c r="I1336" s="62">
        <f t="shared" si="2672"/>
        <v>1</v>
      </c>
      <c r="J1336" s="62">
        <f t="shared" si="2672"/>
        <v>1</v>
      </c>
      <c r="K1336" s="62">
        <f t="shared" si="2672"/>
        <v>1</v>
      </c>
      <c r="L1336" s="62">
        <f t="shared" si="2672"/>
        <v>1</v>
      </c>
      <c r="M1336" s="62">
        <f t="shared" si="2672"/>
        <v>1</v>
      </c>
      <c r="N1336" s="62">
        <f t="shared" si="2672"/>
        <v>1</v>
      </c>
      <c r="O1336" s="62">
        <f t="shared" si="2672"/>
        <v>1</v>
      </c>
      <c r="P1336" s="62" t="str">
        <f t="shared" si="2672"/>
        <v/>
      </c>
      <c r="Q1336" s="62" t="str">
        <f t="shared" si="2672"/>
        <v/>
      </c>
      <c r="R1336" s="62">
        <f t="shared" si="7"/>
        <v>0</v>
      </c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</row>
    <row r="1337" hidden="1">
      <c r="A1337" s="60">
        <f>IFERROR(__xludf.DUMMYFUNCTION("""COMPUTED_VALUE"""),15835.0)</f>
        <v>15835</v>
      </c>
      <c r="B1337" s="60" t="str">
        <f>IFERROR(__xludf.DUMMYFUNCTION("""COMPUTED_VALUE"""),"Brisker, Jaquan")</f>
        <v>Brisker, Jaquan</v>
      </c>
      <c r="C1337" s="60" t="str">
        <f>IFERROR(__xludf.DUMMYFUNCTION("""COMPUTED_VALUE"""),"S")</f>
        <v>S</v>
      </c>
      <c r="D1337" s="60" t="str">
        <f>IFERROR(__xludf.DUMMYFUNCTION("""COMPUTED_VALUE"""),"PIT")</f>
        <v>PIT</v>
      </c>
      <c r="E1337" s="62" t="str">
        <f t="shared" si="4"/>
        <v>Jaquan Brisker</v>
      </c>
      <c r="F1337" s="62">
        <f t="shared" ref="F1337:G1337" si="2673">IF(isblank(F$1),,IF(isblank($A1337),,IFERROR(vlookup($A1337,indirect("'TVC-"&amp;text(month(F$1),"00")&amp;"'!$A:$D"),4,false),1)))</f>
        <v>1</v>
      </c>
      <c r="G1337" s="62">
        <f t="shared" si="2673"/>
        <v>1</v>
      </c>
      <c r="H1337" s="62">
        <f t="shared" ref="H1337:Q1337" si="2674">IF(isblank(H$1),,IFERROR(vlookup($A1337,indirect("'TVC-"&amp;text(month(H$1),"00")&amp;"'!$A:$D"),4,false),1))</f>
        <v>1</v>
      </c>
      <c r="I1337" s="62">
        <f t="shared" si="2674"/>
        <v>1</v>
      </c>
      <c r="J1337" s="62">
        <f t="shared" si="2674"/>
        <v>1</v>
      </c>
      <c r="K1337" s="62">
        <f t="shared" si="2674"/>
        <v>1</v>
      </c>
      <c r="L1337" s="62">
        <f t="shared" si="2674"/>
        <v>1</v>
      </c>
      <c r="M1337" s="62">
        <f t="shared" si="2674"/>
        <v>1</v>
      </c>
      <c r="N1337" s="62">
        <f t="shared" si="2674"/>
        <v>1</v>
      </c>
      <c r="O1337" s="62">
        <f t="shared" si="2674"/>
        <v>1</v>
      </c>
      <c r="P1337" s="62" t="str">
        <f t="shared" si="2674"/>
        <v/>
      </c>
      <c r="Q1337" s="62" t="str">
        <f t="shared" si="2674"/>
        <v/>
      </c>
      <c r="R1337" s="62">
        <f t="shared" si="7"/>
        <v>0</v>
      </c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</row>
    <row r="1338" hidden="1">
      <c r="A1338" s="60">
        <f>IFERROR(__xludf.DUMMYFUNCTION("""COMPUTED_VALUE"""),15836.0)</f>
        <v>15836</v>
      </c>
      <c r="B1338" s="60" t="str">
        <f>IFERROR(__xludf.DUMMYFUNCTION("""COMPUTED_VALUE"""),"Hill, Daxton")</f>
        <v>Hill, Daxton</v>
      </c>
      <c r="C1338" s="60" t="str">
        <f>IFERROR(__xludf.DUMMYFUNCTION("""COMPUTED_VALUE"""),"CB")</f>
        <v>CB</v>
      </c>
      <c r="D1338" s="60" t="str">
        <f>IFERROR(__xludf.DUMMYFUNCTION("""COMPUTED_VALUE"""),"CIN")</f>
        <v>CIN</v>
      </c>
      <c r="E1338" s="62" t="str">
        <f t="shared" si="4"/>
        <v>Daxton Hill</v>
      </c>
      <c r="F1338" s="62">
        <f t="shared" ref="F1338:G1338" si="2675">IF(isblank(F$1),,IF(isblank($A1338),,IFERROR(vlookup($A1338,indirect("'TVC-"&amp;text(month(F$1),"00")&amp;"'!$A:$D"),4,false),1)))</f>
        <v>1</v>
      </c>
      <c r="G1338" s="62">
        <f t="shared" si="2675"/>
        <v>1</v>
      </c>
      <c r="H1338" s="62">
        <f t="shared" ref="H1338:Q1338" si="2676">IF(isblank(H$1),,IFERROR(vlookup($A1338,indirect("'TVC-"&amp;text(month(H$1),"00")&amp;"'!$A:$D"),4,false),1))</f>
        <v>1</v>
      </c>
      <c r="I1338" s="62">
        <f t="shared" si="2676"/>
        <v>1</v>
      </c>
      <c r="J1338" s="62">
        <f t="shared" si="2676"/>
        <v>1</v>
      </c>
      <c r="K1338" s="62">
        <f t="shared" si="2676"/>
        <v>1</v>
      </c>
      <c r="L1338" s="62">
        <f t="shared" si="2676"/>
        <v>1</v>
      </c>
      <c r="M1338" s="62">
        <f t="shared" si="2676"/>
        <v>1</v>
      </c>
      <c r="N1338" s="62">
        <f t="shared" si="2676"/>
        <v>1</v>
      </c>
      <c r="O1338" s="62">
        <f t="shared" si="2676"/>
        <v>1</v>
      </c>
      <c r="P1338" s="62" t="str">
        <f t="shared" si="2676"/>
        <v/>
      </c>
      <c r="Q1338" s="62" t="str">
        <f t="shared" si="2676"/>
        <v/>
      </c>
      <c r="R1338" s="62">
        <f t="shared" si="7"/>
        <v>0</v>
      </c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</row>
    <row r="1339" hidden="1">
      <c r="A1339" s="60">
        <f>IFERROR(__xludf.DUMMYFUNCTION("""COMPUTED_VALUE"""),15839.0)</f>
        <v>15839</v>
      </c>
      <c r="B1339" s="60" t="str">
        <f>IFERROR(__xludf.DUMMYFUNCTION("""COMPUTED_VALUE"""),"Cross, Nick")</f>
        <v>Cross, Nick</v>
      </c>
      <c r="C1339" s="60" t="str">
        <f>IFERROR(__xludf.DUMMYFUNCTION("""COMPUTED_VALUE"""),"S")</f>
        <v>S</v>
      </c>
      <c r="D1339" s="60" t="str">
        <f>IFERROR(__xludf.DUMMYFUNCTION("""COMPUTED_VALUE"""),"WAS")</f>
        <v>WAS</v>
      </c>
      <c r="E1339" s="62" t="str">
        <f t="shared" si="4"/>
        <v>Nick Cross</v>
      </c>
      <c r="F1339" s="62">
        <f t="shared" ref="F1339:G1339" si="2677">IF(isblank(F$1),,IF(isblank($A1339),,IFERROR(vlookup($A1339,indirect("'TVC-"&amp;text(month(F$1),"00")&amp;"'!$A:$D"),4,false),1)))</f>
        <v>1</v>
      </c>
      <c r="G1339" s="62">
        <f t="shared" si="2677"/>
        <v>1</v>
      </c>
      <c r="H1339" s="62">
        <f t="shared" ref="H1339:Q1339" si="2678">IF(isblank(H$1),,IFERROR(vlookup($A1339,indirect("'TVC-"&amp;text(month(H$1),"00")&amp;"'!$A:$D"),4,false),1))</f>
        <v>1</v>
      </c>
      <c r="I1339" s="62">
        <f t="shared" si="2678"/>
        <v>1</v>
      </c>
      <c r="J1339" s="62">
        <f t="shared" si="2678"/>
        <v>1</v>
      </c>
      <c r="K1339" s="62">
        <f t="shared" si="2678"/>
        <v>1</v>
      </c>
      <c r="L1339" s="62">
        <f t="shared" si="2678"/>
        <v>1</v>
      </c>
      <c r="M1339" s="62">
        <f t="shared" si="2678"/>
        <v>1</v>
      </c>
      <c r="N1339" s="62">
        <f t="shared" si="2678"/>
        <v>1</v>
      </c>
      <c r="O1339" s="62">
        <f t="shared" si="2678"/>
        <v>1</v>
      </c>
      <c r="P1339" s="62" t="str">
        <f t="shared" si="2678"/>
        <v/>
      </c>
      <c r="Q1339" s="62" t="str">
        <f t="shared" si="2678"/>
        <v/>
      </c>
      <c r="R1339" s="62">
        <f t="shared" si="7"/>
        <v>0</v>
      </c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</row>
    <row r="1340" hidden="1">
      <c r="A1340" s="60">
        <f>IFERROR(__xludf.DUMMYFUNCTION("""COMPUTED_VALUE"""),15840.0)</f>
        <v>15840</v>
      </c>
      <c r="B1340" s="60" t="str">
        <f>IFERROR(__xludf.DUMMYFUNCTION("""COMPUTED_VALUE"""),"Woods, Jelani")</f>
        <v>Woods, Jelani</v>
      </c>
      <c r="C1340" s="60" t="str">
        <f>IFERROR(__xludf.DUMMYFUNCTION("""COMPUTED_VALUE"""),"TE")</f>
        <v>TE</v>
      </c>
      <c r="D1340" s="60" t="str">
        <f>IFERROR(__xludf.DUMMYFUNCTION("""COMPUTED_VALUE"""),"NYJ")</f>
        <v>NYJ</v>
      </c>
      <c r="E1340" s="62" t="str">
        <f t="shared" si="4"/>
        <v>Jelani Woods</v>
      </c>
      <c r="F1340" s="62">
        <f t="shared" ref="F1340:G1340" si="2679">IF(isblank(F$1),,IF(isblank($A1340),,IFERROR(vlookup($A1340,indirect("'TVC-"&amp;text(month(F$1),"00")&amp;"'!$A:$D"),4,false),1)))</f>
        <v>702</v>
      </c>
      <c r="G1340" s="62">
        <f t="shared" si="2679"/>
        <v>1</v>
      </c>
      <c r="H1340" s="62">
        <f t="shared" ref="H1340:Q1340" si="2680">IF(isblank(H$1),,IFERROR(vlookup($A1340,indirect("'TVC-"&amp;text(month(H$1),"00")&amp;"'!$A:$D"),4,false),1))</f>
        <v>1</v>
      </c>
      <c r="I1340" s="62">
        <f t="shared" si="2680"/>
        <v>1</v>
      </c>
      <c r="J1340" s="62">
        <f t="shared" si="2680"/>
        <v>1</v>
      </c>
      <c r="K1340" s="62">
        <f t="shared" si="2680"/>
        <v>1</v>
      </c>
      <c r="L1340" s="62">
        <f t="shared" si="2680"/>
        <v>1</v>
      </c>
      <c r="M1340" s="62">
        <f t="shared" si="2680"/>
        <v>1</v>
      </c>
      <c r="N1340" s="62">
        <f t="shared" si="2680"/>
        <v>1</v>
      </c>
      <c r="O1340" s="62">
        <f t="shared" si="2680"/>
        <v>1</v>
      </c>
      <c r="P1340" s="62" t="str">
        <f t="shared" si="2680"/>
        <v/>
      </c>
      <c r="Q1340" s="62" t="str">
        <f t="shared" si="2680"/>
        <v/>
      </c>
      <c r="R1340" s="62">
        <f t="shared" si="7"/>
        <v>0</v>
      </c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</row>
    <row r="1341" hidden="1">
      <c r="A1341" s="60">
        <f>IFERROR(__xludf.DUMMYFUNCTION("""COMPUTED_VALUE"""),15841.0)</f>
        <v>15841</v>
      </c>
      <c r="B1341" s="60" t="str">
        <f>IFERROR(__xludf.DUMMYFUNCTION("""COMPUTED_VALUE"""),"Toure, Samori")</f>
        <v>Toure, Samori</v>
      </c>
      <c r="C1341" s="60" t="str">
        <f>IFERROR(__xludf.DUMMYFUNCTION("""COMPUTED_VALUE"""),"WR")</f>
        <v>WR</v>
      </c>
      <c r="D1341" s="60" t="str">
        <f>IFERROR(__xludf.DUMMYFUNCTION("""COMPUTED_VALUE"""),"FA")</f>
        <v>FA</v>
      </c>
      <c r="E1341" s="62" t="str">
        <f t="shared" si="4"/>
        <v>Samori Toure</v>
      </c>
      <c r="F1341" s="62">
        <f t="shared" ref="F1341:G1341" si="2681">IF(isblank(F$1),,IF(isblank($A1341),,IFERROR(vlookup($A1341,indirect("'TVC-"&amp;text(month(F$1),"00")&amp;"'!$A:$D"),4,false),1)))</f>
        <v>1</v>
      </c>
      <c r="G1341" s="62">
        <f t="shared" si="2681"/>
        <v>1</v>
      </c>
      <c r="H1341" s="62">
        <f t="shared" ref="H1341:Q1341" si="2682">IF(isblank(H$1),,IFERROR(vlookup($A1341,indirect("'TVC-"&amp;text(month(H$1),"00")&amp;"'!$A:$D"),4,false),1))</f>
        <v>1</v>
      </c>
      <c r="I1341" s="62">
        <f t="shared" si="2682"/>
        <v>1</v>
      </c>
      <c r="J1341" s="62">
        <f t="shared" si="2682"/>
        <v>1</v>
      </c>
      <c r="K1341" s="62">
        <f t="shared" si="2682"/>
        <v>1</v>
      </c>
      <c r="L1341" s="62">
        <f t="shared" si="2682"/>
        <v>1</v>
      </c>
      <c r="M1341" s="62">
        <f t="shared" si="2682"/>
        <v>1</v>
      </c>
      <c r="N1341" s="62">
        <f t="shared" si="2682"/>
        <v>1</v>
      </c>
      <c r="O1341" s="62">
        <f t="shared" si="2682"/>
        <v>1</v>
      </c>
      <c r="P1341" s="62" t="str">
        <f t="shared" si="2682"/>
        <v/>
      </c>
      <c r="Q1341" s="62" t="str">
        <f t="shared" si="2682"/>
        <v/>
      </c>
      <c r="R1341" s="62">
        <f t="shared" si="7"/>
        <v>0</v>
      </c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</row>
    <row r="1342" hidden="1">
      <c r="A1342" s="60">
        <f>IFERROR(__xludf.DUMMYFUNCTION("""COMPUTED_VALUE"""),15845.0)</f>
        <v>15845</v>
      </c>
      <c r="B1342" s="60" t="str">
        <f>IFERROR(__xludf.DUMMYFUNCTION("""COMPUTED_VALUE"""),"McDuffie, Trent")</f>
        <v>McDuffie, Trent</v>
      </c>
      <c r="C1342" s="60" t="str">
        <f>IFERROR(__xludf.DUMMYFUNCTION("""COMPUTED_VALUE"""),"CB")</f>
        <v>CB</v>
      </c>
      <c r="D1342" s="60" t="str">
        <f>IFERROR(__xludf.DUMMYFUNCTION("""COMPUTED_VALUE"""),"LAR")</f>
        <v>LAR</v>
      </c>
      <c r="E1342" s="62" t="str">
        <f t="shared" si="4"/>
        <v>Trent McDuffie</v>
      </c>
      <c r="F1342" s="62">
        <f t="shared" ref="F1342:G1342" si="2683">IF(isblank(F$1),,IF(isblank($A1342),,IFERROR(vlookup($A1342,indirect("'TVC-"&amp;text(month(F$1),"00")&amp;"'!$A:$D"),4,false),1)))</f>
        <v>1</v>
      </c>
      <c r="G1342" s="62">
        <f t="shared" si="2683"/>
        <v>1</v>
      </c>
      <c r="H1342" s="62">
        <f t="shared" ref="H1342:Q1342" si="2684">IF(isblank(H$1),,IFERROR(vlookup($A1342,indirect("'TVC-"&amp;text(month(H$1),"00")&amp;"'!$A:$D"),4,false),1))</f>
        <v>1</v>
      </c>
      <c r="I1342" s="62">
        <f t="shared" si="2684"/>
        <v>1</v>
      </c>
      <c r="J1342" s="62">
        <f t="shared" si="2684"/>
        <v>1</v>
      </c>
      <c r="K1342" s="62">
        <f t="shared" si="2684"/>
        <v>1</v>
      </c>
      <c r="L1342" s="62">
        <f t="shared" si="2684"/>
        <v>1</v>
      </c>
      <c r="M1342" s="62">
        <f t="shared" si="2684"/>
        <v>1</v>
      </c>
      <c r="N1342" s="62">
        <f t="shared" si="2684"/>
        <v>1</v>
      </c>
      <c r="O1342" s="62">
        <f t="shared" si="2684"/>
        <v>1</v>
      </c>
      <c r="P1342" s="62" t="str">
        <f t="shared" si="2684"/>
        <v/>
      </c>
      <c r="Q1342" s="62" t="str">
        <f t="shared" si="2684"/>
        <v/>
      </c>
      <c r="R1342" s="62">
        <f t="shared" si="7"/>
        <v>0</v>
      </c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</row>
    <row r="1343" hidden="1">
      <c r="A1343" s="60">
        <f>IFERROR(__xludf.DUMMYFUNCTION("""COMPUTED_VALUE"""),15846.0)</f>
        <v>15846</v>
      </c>
      <c r="B1343" s="60" t="str">
        <f>IFERROR(__xludf.DUMMYFUNCTION("""COMPUTED_VALUE"""),"Walker, Quay")</f>
        <v>Walker, Quay</v>
      </c>
      <c r="C1343" s="60" t="str">
        <f>IFERROR(__xludf.DUMMYFUNCTION("""COMPUTED_VALUE"""),"LB")</f>
        <v>LB</v>
      </c>
      <c r="D1343" s="60" t="str">
        <f>IFERROR(__xludf.DUMMYFUNCTION("""COMPUTED_VALUE"""),"LVR")</f>
        <v>LVR</v>
      </c>
      <c r="E1343" s="62" t="str">
        <f t="shared" si="4"/>
        <v>Quay Walker</v>
      </c>
      <c r="F1343" s="62">
        <f t="shared" ref="F1343:G1343" si="2685">IF(isblank(F$1),,IF(isblank($A1343),,IFERROR(vlookup($A1343,indirect("'TVC-"&amp;text(month(F$1),"00")&amp;"'!$A:$D"),4,false),1)))</f>
        <v>1</v>
      </c>
      <c r="G1343" s="62">
        <f t="shared" si="2685"/>
        <v>1</v>
      </c>
      <c r="H1343" s="62">
        <f t="shared" ref="H1343:Q1343" si="2686">IF(isblank(H$1),,IFERROR(vlookup($A1343,indirect("'TVC-"&amp;text(month(H$1),"00")&amp;"'!$A:$D"),4,false),1))</f>
        <v>1</v>
      </c>
      <c r="I1343" s="62">
        <f t="shared" si="2686"/>
        <v>1</v>
      </c>
      <c r="J1343" s="62">
        <f t="shared" si="2686"/>
        <v>1</v>
      </c>
      <c r="K1343" s="62">
        <f t="shared" si="2686"/>
        <v>1</v>
      </c>
      <c r="L1343" s="62">
        <f t="shared" si="2686"/>
        <v>1</v>
      </c>
      <c r="M1343" s="62">
        <f t="shared" si="2686"/>
        <v>1</v>
      </c>
      <c r="N1343" s="62">
        <f t="shared" si="2686"/>
        <v>1</v>
      </c>
      <c r="O1343" s="62">
        <f t="shared" si="2686"/>
        <v>1</v>
      </c>
      <c r="P1343" s="62" t="str">
        <f t="shared" si="2686"/>
        <v/>
      </c>
      <c r="Q1343" s="62" t="str">
        <f t="shared" si="2686"/>
        <v/>
      </c>
      <c r="R1343" s="62">
        <f t="shared" si="7"/>
        <v>0</v>
      </c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</row>
    <row r="1344" hidden="1">
      <c r="A1344" s="60">
        <f>IFERROR(__xludf.DUMMYFUNCTION("""COMPUTED_VALUE"""),15847.0)</f>
        <v>15847</v>
      </c>
      <c r="B1344" s="60" t="str">
        <f>IFERROR(__xludf.DUMMYFUNCTION("""COMPUTED_VALUE"""),"Elam, Kaiir")</f>
        <v>Elam, Kaiir</v>
      </c>
      <c r="C1344" s="60" t="str">
        <f>IFERROR(__xludf.DUMMYFUNCTION("""COMPUTED_VALUE"""),"CB")</f>
        <v>CB</v>
      </c>
      <c r="D1344" s="60" t="str">
        <f>IFERROR(__xludf.DUMMYFUNCTION("""COMPUTED_VALUE"""),"LAC")</f>
        <v>LAC</v>
      </c>
      <c r="E1344" s="62" t="str">
        <f t="shared" si="4"/>
        <v>Kaiir Elam</v>
      </c>
      <c r="F1344" s="62">
        <f t="shared" ref="F1344:G1344" si="2687">IF(isblank(F$1),,IF(isblank($A1344),,IFERROR(vlookup($A1344,indirect("'TVC-"&amp;text(month(F$1),"00")&amp;"'!$A:$D"),4,false),1)))</f>
        <v>1</v>
      </c>
      <c r="G1344" s="62">
        <f t="shared" si="2687"/>
        <v>1</v>
      </c>
      <c r="H1344" s="62">
        <f t="shared" ref="H1344:Q1344" si="2688">IF(isblank(H$1),,IFERROR(vlookup($A1344,indirect("'TVC-"&amp;text(month(H$1),"00")&amp;"'!$A:$D"),4,false),1))</f>
        <v>1</v>
      </c>
      <c r="I1344" s="62">
        <f t="shared" si="2688"/>
        <v>1</v>
      </c>
      <c r="J1344" s="62">
        <f t="shared" si="2688"/>
        <v>1</v>
      </c>
      <c r="K1344" s="62">
        <f t="shared" si="2688"/>
        <v>1</v>
      </c>
      <c r="L1344" s="62">
        <f t="shared" si="2688"/>
        <v>1</v>
      </c>
      <c r="M1344" s="62">
        <f t="shared" si="2688"/>
        <v>1</v>
      </c>
      <c r="N1344" s="62">
        <f t="shared" si="2688"/>
        <v>1</v>
      </c>
      <c r="O1344" s="62">
        <f t="shared" si="2688"/>
        <v>1</v>
      </c>
      <c r="P1344" s="62" t="str">
        <f t="shared" si="2688"/>
        <v/>
      </c>
      <c r="Q1344" s="62" t="str">
        <f t="shared" si="2688"/>
        <v/>
      </c>
      <c r="R1344" s="62">
        <f t="shared" si="7"/>
        <v>0</v>
      </c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</row>
    <row r="1345" hidden="1">
      <c r="A1345" s="60">
        <f>IFERROR(__xludf.DUMMYFUNCTION("""COMPUTED_VALUE"""),15849.0)</f>
        <v>15849</v>
      </c>
      <c r="B1345" s="60" t="str">
        <f>IFERROR(__xludf.DUMMYFUNCTION("""COMPUTED_VALUE"""),"McCreary, Roger")</f>
        <v>McCreary, Roger</v>
      </c>
      <c r="C1345" s="60" t="str">
        <f>IFERROR(__xludf.DUMMYFUNCTION("""COMPUTED_VALUE"""),"CB")</f>
        <v>CB</v>
      </c>
      <c r="D1345" s="60" t="str">
        <f>IFERROR(__xludf.DUMMYFUNCTION("""COMPUTED_VALUE"""),"DET")</f>
        <v>DET</v>
      </c>
      <c r="E1345" s="62" t="str">
        <f t="shared" si="4"/>
        <v>Roger McCreary</v>
      </c>
      <c r="F1345" s="62">
        <f t="shared" ref="F1345:G1345" si="2689">IF(isblank(F$1),,IF(isblank($A1345),,IFERROR(vlookup($A1345,indirect("'TVC-"&amp;text(month(F$1),"00")&amp;"'!$A:$D"),4,false),1)))</f>
        <v>1</v>
      </c>
      <c r="G1345" s="62">
        <f t="shared" si="2689"/>
        <v>1</v>
      </c>
      <c r="H1345" s="62">
        <f t="shared" ref="H1345:Q1345" si="2690">IF(isblank(H$1),,IFERROR(vlookup($A1345,indirect("'TVC-"&amp;text(month(H$1),"00")&amp;"'!$A:$D"),4,false),1))</f>
        <v>1</v>
      </c>
      <c r="I1345" s="62">
        <f t="shared" si="2690"/>
        <v>1</v>
      </c>
      <c r="J1345" s="62">
        <f t="shared" si="2690"/>
        <v>1</v>
      </c>
      <c r="K1345" s="62">
        <f t="shared" si="2690"/>
        <v>1</v>
      </c>
      <c r="L1345" s="62">
        <f t="shared" si="2690"/>
        <v>1</v>
      </c>
      <c r="M1345" s="62">
        <f t="shared" si="2690"/>
        <v>1</v>
      </c>
      <c r="N1345" s="62">
        <f t="shared" si="2690"/>
        <v>1</v>
      </c>
      <c r="O1345" s="62">
        <f t="shared" si="2690"/>
        <v>1</v>
      </c>
      <c r="P1345" s="62" t="str">
        <f t="shared" si="2690"/>
        <v/>
      </c>
      <c r="Q1345" s="62" t="str">
        <f t="shared" si="2690"/>
        <v/>
      </c>
      <c r="R1345" s="62">
        <f t="shared" si="7"/>
        <v>0</v>
      </c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</row>
    <row r="1346" hidden="1">
      <c r="A1346" s="60">
        <f>IFERROR(__xludf.DUMMYFUNCTION("""COMPUTED_VALUE"""),15850.0)</f>
        <v>15850</v>
      </c>
      <c r="B1346" s="60" t="str">
        <f>IFERROR(__xludf.DUMMYFUNCTION("""COMPUTED_VALUE"""),"Pitre, Jalen")</f>
        <v>Pitre, Jalen</v>
      </c>
      <c r="C1346" s="60" t="str">
        <f>IFERROR(__xludf.DUMMYFUNCTION("""COMPUTED_VALUE"""),"S")</f>
        <v>S</v>
      </c>
      <c r="D1346" s="60" t="str">
        <f>IFERROR(__xludf.DUMMYFUNCTION("""COMPUTED_VALUE"""),"HOU")</f>
        <v>HOU</v>
      </c>
      <c r="E1346" s="62" t="str">
        <f t="shared" si="4"/>
        <v>Jalen Pitre</v>
      </c>
      <c r="F1346" s="62">
        <f t="shared" ref="F1346:G1346" si="2691">IF(isblank(F$1),,IF(isblank($A1346),,IFERROR(vlookup($A1346,indirect("'TVC-"&amp;text(month(F$1),"00")&amp;"'!$A:$D"),4,false),1)))</f>
        <v>1</v>
      </c>
      <c r="G1346" s="62">
        <f t="shared" si="2691"/>
        <v>1</v>
      </c>
      <c r="H1346" s="62">
        <f t="shared" ref="H1346:Q1346" si="2692">IF(isblank(H$1),,IFERROR(vlookup($A1346,indirect("'TVC-"&amp;text(month(H$1),"00")&amp;"'!$A:$D"),4,false),1))</f>
        <v>1</v>
      </c>
      <c r="I1346" s="62">
        <f t="shared" si="2692"/>
        <v>1</v>
      </c>
      <c r="J1346" s="62">
        <f t="shared" si="2692"/>
        <v>1</v>
      </c>
      <c r="K1346" s="62">
        <f t="shared" si="2692"/>
        <v>1</v>
      </c>
      <c r="L1346" s="62">
        <f t="shared" si="2692"/>
        <v>1</v>
      </c>
      <c r="M1346" s="62">
        <f t="shared" si="2692"/>
        <v>1</v>
      </c>
      <c r="N1346" s="62">
        <f t="shared" si="2692"/>
        <v>1</v>
      </c>
      <c r="O1346" s="62">
        <f t="shared" si="2692"/>
        <v>1</v>
      </c>
      <c r="P1346" s="62" t="str">
        <f t="shared" si="2692"/>
        <v/>
      </c>
      <c r="Q1346" s="62" t="str">
        <f t="shared" si="2692"/>
        <v/>
      </c>
      <c r="R1346" s="62">
        <f t="shared" si="7"/>
        <v>0</v>
      </c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</row>
    <row r="1347" hidden="1">
      <c r="A1347" s="60">
        <f>IFERROR(__xludf.DUMMYFUNCTION("""COMPUTED_VALUE"""),15851.0)</f>
        <v>15851</v>
      </c>
      <c r="B1347" s="60" t="str">
        <f>IFERROR(__xludf.DUMMYFUNCTION("""COMPUTED_VALUE"""),"Ebiketie, Arnold")</f>
        <v>Ebiketie, Arnold</v>
      </c>
      <c r="C1347" s="60" t="str">
        <f>IFERROR(__xludf.DUMMYFUNCTION("""COMPUTED_VALUE"""),"DE")</f>
        <v>DE</v>
      </c>
      <c r="D1347" s="60" t="str">
        <f>IFERROR(__xludf.DUMMYFUNCTION("""COMPUTED_VALUE"""),"PHI")</f>
        <v>PHI</v>
      </c>
      <c r="E1347" s="62" t="str">
        <f t="shared" si="4"/>
        <v>Arnold Ebiketie</v>
      </c>
      <c r="F1347" s="62">
        <f t="shared" ref="F1347:G1347" si="2693">IF(isblank(F$1),,IF(isblank($A1347),,IFERROR(vlookup($A1347,indirect("'TVC-"&amp;text(month(F$1),"00")&amp;"'!$A:$D"),4,false),1)))</f>
        <v>1</v>
      </c>
      <c r="G1347" s="62">
        <f t="shared" si="2693"/>
        <v>1</v>
      </c>
      <c r="H1347" s="62">
        <f t="shared" ref="H1347:Q1347" si="2694">IF(isblank(H$1),,IFERROR(vlookup($A1347,indirect("'TVC-"&amp;text(month(H$1),"00")&amp;"'!$A:$D"),4,false),1))</f>
        <v>1</v>
      </c>
      <c r="I1347" s="62">
        <f t="shared" si="2694"/>
        <v>1</v>
      </c>
      <c r="J1347" s="62">
        <f t="shared" si="2694"/>
        <v>1</v>
      </c>
      <c r="K1347" s="62">
        <f t="shared" si="2694"/>
        <v>1</v>
      </c>
      <c r="L1347" s="62">
        <f t="shared" si="2694"/>
        <v>1</v>
      </c>
      <c r="M1347" s="62">
        <f t="shared" si="2694"/>
        <v>1</v>
      </c>
      <c r="N1347" s="62">
        <f t="shared" si="2694"/>
        <v>1</v>
      </c>
      <c r="O1347" s="62">
        <f t="shared" si="2694"/>
        <v>1</v>
      </c>
      <c r="P1347" s="62" t="str">
        <f t="shared" si="2694"/>
        <v/>
      </c>
      <c r="Q1347" s="62" t="str">
        <f t="shared" si="2694"/>
        <v/>
      </c>
      <c r="R1347" s="62">
        <f t="shared" si="7"/>
        <v>0</v>
      </c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</row>
    <row r="1348" hidden="1">
      <c r="A1348" s="60">
        <f>IFERROR(__xludf.DUMMYFUNCTION("""COMPUTED_VALUE"""),15852.0)</f>
        <v>15852</v>
      </c>
      <c r="B1348" s="60" t="str">
        <f>IFERROR(__xludf.DUMMYFUNCTION("""COMPUTED_VALUE"""),"Gordon, Kyler")</f>
        <v>Gordon, Kyler</v>
      </c>
      <c r="C1348" s="60" t="str">
        <f>IFERROR(__xludf.DUMMYFUNCTION("""COMPUTED_VALUE"""),"CB")</f>
        <v>CB</v>
      </c>
      <c r="D1348" s="60" t="str">
        <f>IFERROR(__xludf.DUMMYFUNCTION("""COMPUTED_VALUE"""),"CHI")</f>
        <v>CHI</v>
      </c>
      <c r="E1348" s="62" t="str">
        <f t="shared" si="4"/>
        <v>Kyler Gordon</v>
      </c>
      <c r="F1348" s="62">
        <f t="shared" ref="F1348:G1348" si="2695">IF(isblank(F$1),,IF(isblank($A1348),,IFERROR(vlookup($A1348,indirect("'TVC-"&amp;text(month(F$1),"00")&amp;"'!$A:$D"),4,false),1)))</f>
        <v>1</v>
      </c>
      <c r="G1348" s="62">
        <f t="shared" si="2695"/>
        <v>1</v>
      </c>
      <c r="H1348" s="62">
        <f t="shared" ref="H1348:Q1348" si="2696">IF(isblank(H$1),,IFERROR(vlookup($A1348,indirect("'TVC-"&amp;text(month(H$1),"00")&amp;"'!$A:$D"),4,false),1))</f>
        <v>1</v>
      </c>
      <c r="I1348" s="62">
        <f t="shared" si="2696"/>
        <v>1</v>
      </c>
      <c r="J1348" s="62">
        <f t="shared" si="2696"/>
        <v>1</v>
      </c>
      <c r="K1348" s="62">
        <f t="shared" si="2696"/>
        <v>1</v>
      </c>
      <c r="L1348" s="62">
        <f t="shared" si="2696"/>
        <v>1</v>
      </c>
      <c r="M1348" s="62">
        <f t="shared" si="2696"/>
        <v>1</v>
      </c>
      <c r="N1348" s="62">
        <f t="shared" si="2696"/>
        <v>1</v>
      </c>
      <c r="O1348" s="62">
        <f t="shared" si="2696"/>
        <v>1</v>
      </c>
      <c r="P1348" s="62" t="str">
        <f t="shared" si="2696"/>
        <v/>
      </c>
      <c r="Q1348" s="62" t="str">
        <f t="shared" si="2696"/>
        <v/>
      </c>
      <c r="R1348" s="62">
        <f t="shared" si="7"/>
        <v>0</v>
      </c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</row>
    <row r="1349" hidden="1">
      <c r="A1349" s="60">
        <f>IFERROR(__xludf.DUMMYFUNCTION("""COMPUTED_VALUE"""),15853.0)</f>
        <v>15853</v>
      </c>
      <c r="B1349" s="60" t="str">
        <f>IFERROR(__xludf.DUMMYFUNCTION("""COMPUTED_VALUE"""),"Mafe, Boye")</f>
        <v>Mafe, Boye</v>
      </c>
      <c r="C1349" s="60" t="str">
        <f>IFERROR(__xludf.DUMMYFUNCTION("""COMPUTED_VALUE"""),"DE")</f>
        <v>DE</v>
      </c>
      <c r="D1349" s="60" t="str">
        <f>IFERROR(__xludf.DUMMYFUNCTION("""COMPUTED_VALUE"""),"CIN")</f>
        <v>CIN</v>
      </c>
      <c r="E1349" s="62" t="str">
        <f t="shared" si="4"/>
        <v>Boye Mafe</v>
      </c>
      <c r="F1349" s="62">
        <f t="shared" ref="F1349:G1349" si="2697">IF(isblank(F$1),,IF(isblank($A1349),,IFERROR(vlookup($A1349,indirect("'TVC-"&amp;text(month(F$1),"00")&amp;"'!$A:$D"),4,false),1)))</f>
        <v>1</v>
      </c>
      <c r="G1349" s="62">
        <f t="shared" si="2697"/>
        <v>1</v>
      </c>
      <c r="H1349" s="62">
        <f t="shared" ref="H1349:Q1349" si="2698">IF(isblank(H$1),,IFERROR(vlookup($A1349,indirect("'TVC-"&amp;text(month(H$1),"00")&amp;"'!$A:$D"),4,false),1))</f>
        <v>1</v>
      </c>
      <c r="I1349" s="62">
        <f t="shared" si="2698"/>
        <v>1</v>
      </c>
      <c r="J1349" s="62">
        <f t="shared" si="2698"/>
        <v>1</v>
      </c>
      <c r="K1349" s="62">
        <f t="shared" si="2698"/>
        <v>1</v>
      </c>
      <c r="L1349" s="62">
        <f t="shared" si="2698"/>
        <v>1</v>
      </c>
      <c r="M1349" s="62">
        <f t="shared" si="2698"/>
        <v>1</v>
      </c>
      <c r="N1349" s="62">
        <f t="shared" si="2698"/>
        <v>1</v>
      </c>
      <c r="O1349" s="62">
        <f t="shared" si="2698"/>
        <v>1</v>
      </c>
      <c r="P1349" s="62" t="str">
        <f t="shared" si="2698"/>
        <v/>
      </c>
      <c r="Q1349" s="62" t="str">
        <f t="shared" si="2698"/>
        <v/>
      </c>
      <c r="R1349" s="62">
        <f t="shared" si="7"/>
        <v>0</v>
      </c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</row>
    <row r="1350" hidden="1">
      <c r="A1350" s="60">
        <f>IFERROR(__xludf.DUMMYFUNCTION("""COMPUTED_VALUE"""),15855.0)</f>
        <v>15855</v>
      </c>
      <c r="B1350" s="60" t="str">
        <f>IFERROR(__xludf.DUMMYFUNCTION("""COMPUTED_VALUE"""),"Paschal, Josh")</f>
        <v>Paschal, Josh</v>
      </c>
      <c r="C1350" s="60" t="str">
        <f>IFERROR(__xludf.DUMMYFUNCTION("""COMPUTED_VALUE"""),"DE")</f>
        <v>DE</v>
      </c>
      <c r="D1350" s="60" t="str">
        <f>IFERROR(__xludf.DUMMYFUNCTION("""COMPUTED_VALUE"""),"DET")</f>
        <v>DET</v>
      </c>
      <c r="E1350" s="62" t="str">
        <f t="shared" si="4"/>
        <v>Josh Paschal</v>
      </c>
      <c r="F1350" s="62">
        <f t="shared" ref="F1350:G1350" si="2699">IF(isblank(F$1),,IF(isblank($A1350),,IFERROR(vlookup($A1350,indirect("'TVC-"&amp;text(month(F$1),"00")&amp;"'!$A:$D"),4,false),1)))</f>
        <v>1</v>
      </c>
      <c r="G1350" s="62">
        <f t="shared" si="2699"/>
        <v>1</v>
      </c>
      <c r="H1350" s="62">
        <f t="shared" ref="H1350:Q1350" si="2700">IF(isblank(H$1),,IFERROR(vlookup($A1350,indirect("'TVC-"&amp;text(month(H$1),"00")&amp;"'!$A:$D"),4,false),1))</f>
        <v>1</v>
      </c>
      <c r="I1350" s="62">
        <f t="shared" si="2700"/>
        <v>1</v>
      </c>
      <c r="J1350" s="62">
        <f t="shared" si="2700"/>
        <v>1</v>
      </c>
      <c r="K1350" s="62">
        <f t="shared" si="2700"/>
        <v>1</v>
      </c>
      <c r="L1350" s="62">
        <f t="shared" si="2700"/>
        <v>1</v>
      </c>
      <c r="M1350" s="62">
        <f t="shared" si="2700"/>
        <v>1</v>
      </c>
      <c r="N1350" s="62">
        <f t="shared" si="2700"/>
        <v>1</v>
      </c>
      <c r="O1350" s="62">
        <f t="shared" si="2700"/>
        <v>1</v>
      </c>
      <c r="P1350" s="62" t="str">
        <f t="shared" si="2700"/>
        <v/>
      </c>
      <c r="Q1350" s="62" t="str">
        <f t="shared" si="2700"/>
        <v/>
      </c>
      <c r="R1350" s="62">
        <f t="shared" si="7"/>
        <v>0</v>
      </c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</row>
    <row r="1351" hidden="1">
      <c r="A1351" s="60">
        <f>IFERROR(__xludf.DUMMYFUNCTION("""COMPUTED_VALUE"""),15856.0)</f>
        <v>15856</v>
      </c>
      <c r="B1351" s="60" t="str">
        <f>IFERROR(__xludf.DUMMYFUNCTION("""COMPUTED_VALUE"""),"Taylor, Alontae")</f>
        <v>Taylor, Alontae</v>
      </c>
      <c r="C1351" s="60" t="str">
        <f>IFERROR(__xludf.DUMMYFUNCTION("""COMPUTED_VALUE"""),"CB")</f>
        <v>CB</v>
      </c>
      <c r="D1351" s="60" t="str">
        <f>IFERROR(__xludf.DUMMYFUNCTION("""COMPUTED_VALUE"""),"TEN")</f>
        <v>TEN</v>
      </c>
      <c r="E1351" s="62" t="str">
        <f t="shared" si="4"/>
        <v>Alontae Taylor</v>
      </c>
      <c r="F1351" s="62">
        <f t="shared" ref="F1351:G1351" si="2701">IF(isblank(F$1),,IF(isblank($A1351),,IFERROR(vlookup($A1351,indirect("'TVC-"&amp;text(month(F$1),"00")&amp;"'!$A:$D"),4,false),1)))</f>
        <v>1</v>
      </c>
      <c r="G1351" s="62">
        <f t="shared" si="2701"/>
        <v>1</v>
      </c>
      <c r="H1351" s="62">
        <f t="shared" ref="H1351:Q1351" si="2702">IF(isblank(H$1),,IFERROR(vlookup($A1351,indirect("'TVC-"&amp;text(month(H$1),"00")&amp;"'!$A:$D"),4,false),1))</f>
        <v>1</v>
      </c>
      <c r="I1351" s="62">
        <f t="shared" si="2702"/>
        <v>1</v>
      </c>
      <c r="J1351" s="62">
        <f t="shared" si="2702"/>
        <v>1</v>
      </c>
      <c r="K1351" s="62">
        <f t="shared" si="2702"/>
        <v>1</v>
      </c>
      <c r="L1351" s="62">
        <f t="shared" si="2702"/>
        <v>1</v>
      </c>
      <c r="M1351" s="62">
        <f t="shared" si="2702"/>
        <v>1</v>
      </c>
      <c r="N1351" s="62">
        <f t="shared" si="2702"/>
        <v>1</v>
      </c>
      <c r="O1351" s="62">
        <f t="shared" si="2702"/>
        <v>1</v>
      </c>
      <c r="P1351" s="62" t="str">
        <f t="shared" si="2702"/>
        <v/>
      </c>
      <c r="Q1351" s="62" t="str">
        <f t="shared" si="2702"/>
        <v/>
      </c>
      <c r="R1351" s="62">
        <f t="shared" si="7"/>
        <v>0</v>
      </c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</row>
    <row r="1352" hidden="1">
      <c r="A1352" s="60">
        <f>IFERROR(__xludf.DUMMYFUNCTION("""COMPUTED_VALUE"""),15857.0)</f>
        <v>15857</v>
      </c>
      <c r="B1352" s="60" t="str">
        <f>IFERROR(__xludf.DUMMYFUNCTION("""COMPUTED_VALUE"""),"Williams, Sam")</f>
        <v>Williams, Sam</v>
      </c>
      <c r="C1352" s="60" t="str">
        <f>IFERROR(__xludf.DUMMYFUNCTION("""COMPUTED_VALUE"""),"DE")</f>
        <v>DE</v>
      </c>
      <c r="D1352" s="60" t="str">
        <f>IFERROR(__xludf.DUMMYFUNCTION("""COMPUTED_VALUE"""),"CLE")</f>
        <v>CLE</v>
      </c>
      <c r="E1352" s="62" t="str">
        <f t="shared" si="4"/>
        <v>Sam Williams</v>
      </c>
      <c r="F1352" s="62">
        <f t="shared" ref="F1352:G1352" si="2703">IF(isblank(F$1),,IF(isblank($A1352),,IFERROR(vlookup($A1352,indirect("'TVC-"&amp;text(month(F$1),"00")&amp;"'!$A:$D"),4,false),1)))</f>
        <v>1</v>
      </c>
      <c r="G1352" s="62">
        <f t="shared" si="2703"/>
        <v>1</v>
      </c>
      <c r="H1352" s="62">
        <f t="shared" ref="H1352:Q1352" si="2704">IF(isblank(H$1),,IFERROR(vlookup($A1352,indirect("'TVC-"&amp;text(month(H$1),"00")&amp;"'!$A:$D"),4,false),1))</f>
        <v>1</v>
      </c>
      <c r="I1352" s="62">
        <f t="shared" si="2704"/>
        <v>1</v>
      </c>
      <c r="J1352" s="62">
        <f t="shared" si="2704"/>
        <v>1</v>
      </c>
      <c r="K1352" s="62">
        <f t="shared" si="2704"/>
        <v>1</v>
      </c>
      <c r="L1352" s="62">
        <f t="shared" si="2704"/>
        <v>1</v>
      </c>
      <c r="M1352" s="62">
        <f t="shared" si="2704"/>
        <v>1</v>
      </c>
      <c r="N1352" s="62">
        <f t="shared" si="2704"/>
        <v>1</v>
      </c>
      <c r="O1352" s="62">
        <f t="shared" si="2704"/>
        <v>1</v>
      </c>
      <c r="P1352" s="62" t="str">
        <f t="shared" si="2704"/>
        <v/>
      </c>
      <c r="Q1352" s="62" t="str">
        <f t="shared" si="2704"/>
        <v/>
      </c>
      <c r="R1352" s="62">
        <f t="shared" si="7"/>
        <v>0</v>
      </c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</row>
    <row r="1353" hidden="1">
      <c r="A1353" s="60">
        <f>IFERROR(__xludf.DUMMYFUNCTION("""COMPUTED_VALUE"""),15858.0)</f>
        <v>15858</v>
      </c>
      <c r="B1353" s="60" t="str">
        <f>IFERROR(__xludf.DUMMYFUNCTION("""COMPUTED_VALUE"""),"Andersen, Troy")</f>
        <v>Andersen, Troy</v>
      </c>
      <c r="C1353" s="60" t="str">
        <f>IFERROR(__xludf.DUMMYFUNCTION("""COMPUTED_VALUE"""),"LB")</f>
        <v>LB</v>
      </c>
      <c r="D1353" s="60" t="str">
        <f>IFERROR(__xludf.DUMMYFUNCTION("""COMPUTED_VALUE"""),"FA")</f>
        <v>FA</v>
      </c>
      <c r="E1353" s="62" t="str">
        <f t="shared" si="4"/>
        <v>Troy Andersen</v>
      </c>
      <c r="F1353" s="62">
        <f t="shared" ref="F1353:G1353" si="2705">IF(isblank(F$1),,IF(isblank($A1353),,IFERROR(vlookup($A1353,indirect("'TVC-"&amp;text(month(F$1),"00")&amp;"'!$A:$D"),4,false),1)))</f>
        <v>1</v>
      </c>
      <c r="G1353" s="62">
        <f t="shared" si="2705"/>
        <v>1</v>
      </c>
      <c r="H1353" s="62">
        <f t="shared" ref="H1353:Q1353" si="2706">IF(isblank(H$1),,IFERROR(vlookup($A1353,indirect("'TVC-"&amp;text(month(H$1),"00")&amp;"'!$A:$D"),4,false),1))</f>
        <v>1</v>
      </c>
      <c r="I1353" s="62">
        <f t="shared" si="2706"/>
        <v>1</v>
      </c>
      <c r="J1353" s="62">
        <f t="shared" si="2706"/>
        <v>1</v>
      </c>
      <c r="K1353" s="62">
        <f t="shared" si="2706"/>
        <v>1</v>
      </c>
      <c r="L1353" s="62">
        <f t="shared" si="2706"/>
        <v>1</v>
      </c>
      <c r="M1353" s="62">
        <f t="shared" si="2706"/>
        <v>1</v>
      </c>
      <c r="N1353" s="62">
        <f t="shared" si="2706"/>
        <v>1</v>
      </c>
      <c r="O1353" s="62">
        <f t="shared" si="2706"/>
        <v>1</v>
      </c>
      <c r="P1353" s="62" t="str">
        <f t="shared" si="2706"/>
        <v/>
      </c>
      <c r="Q1353" s="62" t="str">
        <f t="shared" si="2706"/>
        <v/>
      </c>
      <c r="R1353" s="62">
        <f t="shared" si="7"/>
        <v>0</v>
      </c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</row>
    <row r="1354" hidden="1">
      <c r="A1354" s="60">
        <f>IFERROR(__xludf.DUMMYFUNCTION("""COMPUTED_VALUE"""),15859.0)</f>
        <v>15859</v>
      </c>
      <c r="B1354" s="60" t="str">
        <f>IFERROR(__xludf.DUMMYFUNCTION("""COMPUTED_VALUE"""),"Taylor-Britt, Cam")</f>
        <v>Taylor-Britt, Cam</v>
      </c>
      <c r="C1354" s="60" t="str">
        <f>IFERROR(__xludf.DUMMYFUNCTION("""COMPUTED_VALUE"""),"CB")</f>
        <v>CB</v>
      </c>
      <c r="D1354" s="60" t="str">
        <f>IFERROR(__xludf.DUMMYFUNCTION("""COMPUTED_VALUE"""),"IND")</f>
        <v>IND</v>
      </c>
      <c r="E1354" s="62" t="str">
        <f t="shared" si="4"/>
        <v>Cam Taylor-Britt</v>
      </c>
      <c r="F1354" s="62">
        <f t="shared" ref="F1354:G1354" si="2707">IF(isblank(F$1),,IF(isblank($A1354),,IFERROR(vlookup($A1354,indirect("'TVC-"&amp;text(month(F$1),"00")&amp;"'!$A:$D"),4,false),1)))</f>
        <v>1</v>
      </c>
      <c r="G1354" s="62">
        <f t="shared" si="2707"/>
        <v>1</v>
      </c>
      <c r="H1354" s="62">
        <f t="shared" ref="H1354:Q1354" si="2708">IF(isblank(H$1),,IFERROR(vlookup($A1354,indirect("'TVC-"&amp;text(month(H$1),"00")&amp;"'!$A:$D"),4,false),1))</f>
        <v>1</v>
      </c>
      <c r="I1354" s="62">
        <f t="shared" si="2708"/>
        <v>1</v>
      </c>
      <c r="J1354" s="62">
        <f t="shared" si="2708"/>
        <v>1</v>
      </c>
      <c r="K1354" s="62">
        <f t="shared" si="2708"/>
        <v>1</v>
      </c>
      <c r="L1354" s="62">
        <f t="shared" si="2708"/>
        <v>1</v>
      </c>
      <c r="M1354" s="62">
        <f t="shared" si="2708"/>
        <v>1</v>
      </c>
      <c r="N1354" s="62">
        <f t="shared" si="2708"/>
        <v>1</v>
      </c>
      <c r="O1354" s="62">
        <f t="shared" si="2708"/>
        <v>1</v>
      </c>
      <c r="P1354" s="62" t="str">
        <f t="shared" si="2708"/>
        <v/>
      </c>
      <c r="Q1354" s="62" t="str">
        <f t="shared" si="2708"/>
        <v/>
      </c>
      <c r="R1354" s="62">
        <f t="shared" si="7"/>
        <v>0</v>
      </c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</row>
    <row r="1355">
      <c r="A1355" s="60">
        <f>IFERROR(__xludf.DUMMYFUNCTION("""COMPUTED_VALUE"""),15860.0)</f>
        <v>15860</v>
      </c>
      <c r="B1355" s="60" t="str">
        <f>IFERROR(__xludf.DUMMYFUNCTION("""COMPUTED_VALUE"""),"Cook, Bryan")</f>
        <v>Cook, Bryan</v>
      </c>
      <c r="C1355" s="60" t="str">
        <f>IFERROR(__xludf.DUMMYFUNCTION("""COMPUTED_VALUE"""),"S")</f>
        <v>S</v>
      </c>
      <c r="D1355" s="60" t="str">
        <f>IFERROR(__xludf.DUMMYFUNCTION("""COMPUTED_VALUE"""),"CIN")</f>
        <v>CIN</v>
      </c>
      <c r="E1355" s="62" t="str">
        <f t="shared" si="4"/>
        <v>Bryan Cook</v>
      </c>
      <c r="F1355" s="62">
        <f t="shared" ref="F1355:G1355" si="2709">IF(isblank(F$1),,IF(isblank($A1355),,IFERROR(vlookup($A1355,indirect("'TVC-"&amp;text(month(F$1),"00")&amp;"'!$A:$D"),4,false),1)))</f>
        <v>1</v>
      </c>
      <c r="G1355" s="62">
        <f t="shared" si="2709"/>
        <v>1</v>
      </c>
      <c r="H1355" s="62">
        <f t="shared" ref="H1355:Q1355" si="2710">IF(isblank(H$1),,IFERROR(vlookup($A1355,indirect("'TVC-"&amp;text(month(H$1),"00")&amp;"'!$A:$D"),4,false),1))</f>
        <v>1</v>
      </c>
      <c r="I1355" s="62">
        <f t="shared" si="2710"/>
        <v>1</v>
      </c>
      <c r="J1355" s="62">
        <f t="shared" si="2710"/>
        <v>1</v>
      </c>
      <c r="K1355" s="62">
        <f t="shared" si="2710"/>
        <v>1</v>
      </c>
      <c r="L1355" s="62">
        <f t="shared" si="2710"/>
        <v>1</v>
      </c>
      <c r="M1355" s="62">
        <f t="shared" si="2710"/>
        <v>1</v>
      </c>
      <c r="N1355" s="62">
        <f t="shared" si="2710"/>
        <v>1</v>
      </c>
      <c r="O1355" s="62">
        <f t="shared" si="2710"/>
        <v>1</v>
      </c>
      <c r="P1355" s="62" t="str">
        <f t="shared" si="2710"/>
        <v/>
      </c>
      <c r="Q1355" s="62" t="str">
        <f t="shared" si="2710"/>
        <v/>
      </c>
      <c r="R1355" s="62">
        <f t="shared" si="7"/>
        <v>0</v>
      </c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</row>
    <row r="1356" hidden="1">
      <c r="A1356" s="60">
        <f>IFERROR(__xludf.DUMMYFUNCTION("""COMPUTED_VALUE"""),15861.0)</f>
        <v>15861</v>
      </c>
      <c r="B1356" s="60" t="str">
        <f>IFERROR(__xludf.DUMMYFUNCTION("""COMPUTED_VALUE"""),"Bonitto, Nik")</f>
        <v>Bonitto, Nik</v>
      </c>
      <c r="C1356" s="60" t="str">
        <f>IFERROR(__xludf.DUMMYFUNCTION("""COMPUTED_VALUE"""),"DE")</f>
        <v>DE</v>
      </c>
      <c r="D1356" s="60" t="str">
        <f>IFERROR(__xludf.DUMMYFUNCTION("""COMPUTED_VALUE"""),"DEN")</f>
        <v>DEN</v>
      </c>
      <c r="E1356" s="62" t="str">
        <f t="shared" si="4"/>
        <v>Nik Bonitto</v>
      </c>
      <c r="F1356" s="62">
        <f t="shared" ref="F1356:G1356" si="2711">IF(isblank(F$1),,IF(isblank($A1356),,IFERROR(vlookup($A1356,indirect("'TVC-"&amp;text(month(F$1),"00")&amp;"'!$A:$D"),4,false),1)))</f>
        <v>1</v>
      </c>
      <c r="G1356" s="62">
        <f t="shared" si="2711"/>
        <v>1</v>
      </c>
      <c r="H1356" s="62">
        <f t="shared" ref="H1356:Q1356" si="2712">IF(isblank(H$1),,IFERROR(vlookup($A1356,indirect("'TVC-"&amp;text(month(H$1),"00")&amp;"'!$A:$D"),4,false),1))</f>
        <v>1</v>
      </c>
      <c r="I1356" s="62">
        <f t="shared" si="2712"/>
        <v>1</v>
      </c>
      <c r="J1356" s="62">
        <f t="shared" si="2712"/>
        <v>1</v>
      </c>
      <c r="K1356" s="62">
        <f t="shared" si="2712"/>
        <v>1</v>
      </c>
      <c r="L1356" s="62">
        <f t="shared" si="2712"/>
        <v>1</v>
      </c>
      <c r="M1356" s="62">
        <f t="shared" si="2712"/>
        <v>1</v>
      </c>
      <c r="N1356" s="62">
        <f t="shared" si="2712"/>
        <v>1</v>
      </c>
      <c r="O1356" s="62">
        <f t="shared" si="2712"/>
        <v>1</v>
      </c>
      <c r="P1356" s="62" t="str">
        <f t="shared" si="2712"/>
        <v/>
      </c>
      <c r="Q1356" s="62" t="str">
        <f t="shared" si="2712"/>
        <v/>
      </c>
      <c r="R1356" s="62">
        <f t="shared" si="7"/>
        <v>0</v>
      </c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</row>
    <row r="1357" hidden="1">
      <c r="A1357" s="60">
        <f>IFERROR(__xludf.DUMMYFUNCTION("""COMPUTED_VALUE"""),15862.0)</f>
        <v>15862</v>
      </c>
      <c r="B1357" s="60" t="str">
        <f>IFERROR(__xludf.DUMMYFUNCTION("""COMPUTED_VALUE"""),"Emerson, Martin")</f>
        <v>Emerson, Martin</v>
      </c>
      <c r="C1357" s="60" t="str">
        <f>IFERROR(__xludf.DUMMYFUNCTION("""COMPUTED_VALUE"""),"CB")</f>
        <v>CB</v>
      </c>
      <c r="D1357" s="60" t="str">
        <f>IFERROR(__xludf.DUMMYFUNCTION("""COMPUTED_VALUE"""),"NOS")</f>
        <v>NOS</v>
      </c>
      <c r="E1357" s="62" t="str">
        <f t="shared" si="4"/>
        <v>Martin Emerson</v>
      </c>
      <c r="F1357" s="62">
        <f t="shared" ref="F1357:G1357" si="2713">IF(isblank(F$1),,IF(isblank($A1357),,IFERROR(vlookup($A1357,indirect("'TVC-"&amp;text(month(F$1),"00")&amp;"'!$A:$D"),4,false),1)))</f>
        <v>1</v>
      </c>
      <c r="G1357" s="62">
        <f t="shared" si="2713"/>
        <v>1</v>
      </c>
      <c r="H1357" s="62">
        <f t="shared" ref="H1357:Q1357" si="2714">IF(isblank(H$1),,IFERROR(vlookup($A1357,indirect("'TVC-"&amp;text(month(H$1),"00")&amp;"'!$A:$D"),4,false),1))</f>
        <v>1</v>
      </c>
      <c r="I1357" s="62">
        <f t="shared" si="2714"/>
        <v>1</v>
      </c>
      <c r="J1357" s="62">
        <f t="shared" si="2714"/>
        <v>1</v>
      </c>
      <c r="K1357" s="62">
        <f t="shared" si="2714"/>
        <v>1</v>
      </c>
      <c r="L1357" s="62">
        <f t="shared" si="2714"/>
        <v>1</v>
      </c>
      <c r="M1357" s="62">
        <f t="shared" si="2714"/>
        <v>1</v>
      </c>
      <c r="N1357" s="62">
        <f t="shared" si="2714"/>
        <v>1</v>
      </c>
      <c r="O1357" s="62">
        <f t="shared" si="2714"/>
        <v>1</v>
      </c>
      <c r="P1357" s="62" t="str">
        <f t="shared" si="2714"/>
        <v/>
      </c>
      <c r="Q1357" s="62" t="str">
        <f t="shared" si="2714"/>
        <v/>
      </c>
      <c r="R1357" s="62">
        <f t="shared" si="7"/>
        <v>0</v>
      </c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</row>
    <row r="1358" hidden="1">
      <c r="A1358" s="60">
        <f>IFERROR(__xludf.DUMMYFUNCTION("""COMPUTED_VALUE"""),15863.0)</f>
        <v>15863</v>
      </c>
      <c r="B1358" s="60" t="str">
        <f>IFERROR(__xludf.DUMMYFUNCTION("""COMPUTED_VALUE"""),"Jones, Travis")</f>
        <v>Jones, Travis</v>
      </c>
      <c r="C1358" s="60" t="str">
        <f>IFERROR(__xludf.DUMMYFUNCTION("""COMPUTED_VALUE"""),"DT")</f>
        <v>DT</v>
      </c>
      <c r="D1358" s="60" t="str">
        <f>IFERROR(__xludf.DUMMYFUNCTION("""COMPUTED_VALUE"""),"BAL")</f>
        <v>BAL</v>
      </c>
      <c r="E1358" s="62" t="str">
        <f t="shared" si="4"/>
        <v>Travis Jones</v>
      </c>
      <c r="F1358" s="62">
        <f t="shared" ref="F1358:G1358" si="2715">IF(isblank(F$1),,IF(isblank($A1358),,IFERROR(vlookup($A1358,indirect("'TVC-"&amp;text(month(F$1),"00")&amp;"'!$A:$D"),4,false),1)))</f>
        <v>1</v>
      </c>
      <c r="G1358" s="62">
        <f t="shared" si="2715"/>
        <v>1</v>
      </c>
      <c r="H1358" s="62">
        <f t="shared" ref="H1358:Q1358" si="2716">IF(isblank(H$1),,IFERROR(vlookup($A1358,indirect("'TVC-"&amp;text(month(H$1),"00")&amp;"'!$A:$D"),4,false),1))</f>
        <v>1</v>
      </c>
      <c r="I1358" s="62">
        <f t="shared" si="2716"/>
        <v>1</v>
      </c>
      <c r="J1358" s="62">
        <f t="shared" si="2716"/>
        <v>1</v>
      </c>
      <c r="K1358" s="62">
        <f t="shared" si="2716"/>
        <v>1</v>
      </c>
      <c r="L1358" s="62">
        <f t="shared" si="2716"/>
        <v>1</v>
      </c>
      <c r="M1358" s="62">
        <f t="shared" si="2716"/>
        <v>1</v>
      </c>
      <c r="N1358" s="62">
        <f t="shared" si="2716"/>
        <v>1</v>
      </c>
      <c r="O1358" s="62">
        <f t="shared" si="2716"/>
        <v>1</v>
      </c>
      <c r="P1358" s="62" t="str">
        <f t="shared" si="2716"/>
        <v/>
      </c>
      <c r="Q1358" s="62" t="str">
        <f t="shared" si="2716"/>
        <v/>
      </c>
      <c r="R1358" s="62">
        <f t="shared" si="7"/>
        <v>0</v>
      </c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</row>
    <row r="1359" hidden="1">
      <c r="A1359" s="60">
        <f>IFERROR(__xludf.DUMMYFUNCTION("""COMPUTED_VALUE"""),15864.0)</f>
        <v>15864</v>
      </c>
      <c r="B1359" s="60" t="str">
        <f>IFERROR(__xludf.DUMMYFUNCTION("""COMPUTED_VALUE"""),"Wright, Alex")</f>
        <v>Wright, Alex</v>
      </c>
      <c r="C1359" s="60" t="str">
        <f>IFERROR(__xludf.DUMMYFUNCTION("""COMPUTED_VALUE"""),"DE")</f>
        <v>DE</v>
      </c>
      <c r="D1359" s="60" t="str">
        <f>IFERROR(__xludf.DUMMYFUNCTION("""COMPUTED_VALUE"""),"CLE")</f>
        <v>CLE</v>
      </c>
      <c r="E1359" s="62" t="str">
        <f t="shared" si="4"/>
        <v>Alex Wright</v>
      </c>
      <c r="F1359" s="62">
        <f t="shared" ref="F1359:G1359" si="2717">IF(isblank(F$1),,IF(isblank($A1359),,IFERROR(vlookup($A1359,indirect("'TVC-"&amp;text(month(F$1),"00")&amp;"'!$A:$D"),4,false),1)))</f>
        <v>1</v>
      </c>
      <c r="G1359" s="62">
        <f t="shared" si="2717"/>
        <v>1</v>
      </c>
      <c r="H1359" s="62">
        <f t="shared" ref="H1359:Q1359" si="2718">IF(isblank(H$1),,IFERROR(vlookup($A1359,indirect("'TVC-"&amp;text(month(H$1),"00")&amp;"'!$A:$D"),4,false),1))</f>
        <v>1</v>
      </c>
      <c r="I1359" s="62">
        <f t="shared" si="2718"/>
        <v>1</v>
      </c>
      <c r="J1359" s="62">
        <f t="shared" si="2718"/>
        <v>1</v>
      </c>
      <c r="K1359" s="62">
        <f t="shared" si="2718"/>
        <v>1</v>
      </c>
      <c r="L1359" s="62">
        <f t="shared" si="2718"/>
        <v>1</v>
      </c>
      <c r="M1359" s="62">
        <f t="shared" si="2718"/>
        <v>1</v>
      </c>
      <c r="N1359" s="62">
        <f t="shared" si="2718"/>
        <v>1</v>
      </c>
      <c r="O1359" s="62">
        <f t="shared" si="2718"/>
        <v>1</v>
      </c>
      <c r="P1359" s="62" t="str">
        <f t="shared" si="2718"/>
        <v/>
      </c>
      <c r="Q1359" s="62" t="str">
        <f t="shared" si="2718"/>
        <v/>
      </c>
      <c r="R1359" s="62">
        <f t="shared" si="7"/>
        <v>0</v>
      </c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</row>
    <row r="1360" hidden="1">
      <c r="A1360" s="60">
        <f>IFERROR(__xludf.DUMMYFUNCTION("""COMPUTED_VALUE"""),15866.0)</f>
        <v>15866</v>
      </c>
      <c r="B1360" s="60" t="str">
        <f>IFERROR(__xludf.DUMMYFUNCTION("""COMPUTED_VALUE"""),"Flott, Cordale")</f>
        <v>Flott, Cordale</v>
      </c>
      <c r="C1360" s="60" t="str">
        <f>IFERROR(__xludf.DUMMYFUNCTION("""COMPUTED_VALUE"""),"CB")</f>
        <v>CB</v>
      </c>
      <c r="D1360" s="60" t="str">
        <f>IFERROR(__xludf.DUMMYFUNCTION("""COMPUTED_VALUE"""),"TEN")</f>
        <v>TEN</v>
      </c>
      <c r="E1360" s="62" t="str">
        <f t="shared" si="4"/>
        <v>Cordale Flott</v>
      </c>
      <c r="F1360" s="62">
        <f t="shared" ref="F1360:G1360" si="2719">IF(isblank(F$1),,IF(isblank($A1360),,IFERROR(vlookup($A1360,indirect("'TVC-"&amp;text(month(F$1),"00")&amp;"'!$A:$D"),4,false),1)))</f>
        <v>1</v>
      </c>
      <c r="G1360" s="62">
        <f t="shared" si="2719"/>
        <v>1</v>
      </c>
      <c r="H1360" s="62">
        <f t="shared" ref="H1360:Q1360" si="2720">IF(isblank(H$1),,IFERROR(vlookup($A1360,indirect("'TVC-"&amp;text(month(H$1),"00")&amp;"'!$A:$D"),4,false),1))</f>
        <v>1</v>
      </c>
      <c r="I1360" s="62">
        <f t="shared" si="2720"/>
        <v>1</v>
      </c>
      <c r="J1360" s="62">
        <f t="shared" si="2720"/>
        <v>1</v>
      </c>
      <c r="K1360" s="62">
        <f t="shared" si="2720"/>
        <v>1</v>
      </c>
      <c r="L1360" s="62">
        <f t="shared" si="2720"/>
        <v>1</v>
      </c>
      <c r="M1360" s="62">
        <f t="shared" si="2720"/>
        <v>1</v>
      </c>
      <c r="N1360" s="62">
        <f t="shared" si="2720"/>
        <v>1</v>
      </c>
      <c r="O1360" s="62">
        <f t="shared" si="2720"/>
        <v>1</v>
      </c>
      <c r="P1360" s="62" t="str">
        <f t="shared" si="2720"/>
        <v/>
      </c>
      <c r="Q1360" s="62" t="str">
        <f t="shared" si="2720"/>
        <v/>
      </c>
      <c r="R1360" s="62">
        <f t="shared" si="7"/>
        <v>0</v>
      </c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</row>
    <row r="1361" hidden="1">
      <c r="A1361" s="60">
        <f>IFERROR(__xludf.DUMMYFUNCTION("""COMPUTED_VALUE"""),15867.0)</f>
        <v>15867</v>
      </c>
      <c r="B1361" s="60" t="str">
        <f>IFERROR(__xludf.DUMMYFUNCTION("""COMPUTED_VALUE"""),"Malone, DeAngelo")</f>
        <v>Malone, DeAngelo</v>
      </c>
      <c r="C1361" s="60" t="str">
        <f>IFERROR(__xludf.DUMMYFUNCTION("""COMPUTED_VALUE"""),"DE")</f>
        <v>DE</v>
      </c>
      <c r="D1361" s="60" t="str">
        <f>IFERROR(__xludf.DUMMYFUNCTION("""COMPUTED_VALUE"""),"ATL")</f>
        <v>ATL</v>
      </c>
      <c r="E1361" s="62" t="str">
        <f t="shared" si="4"/>
        <v>DeAngelo Malone</v>
      </c>
      <c r="F1361" s="62">
        <f t="shared" ref="F1361:G1361" si="2721">IF(isblank(F$1),,IF(isblank($A1361),,IFERROR(vlookup($A1361,indirect("'TVC-"&amp;text(month(F$1),"00")&amp;"'!$A:$D"),4,false),1)))</f>
        <v>1</v>
      </c>
      <c r="G1361" s="62">
        <f t="shared" si="2721"/>
        <v>1</v>
      </c>
      <c r="H1361" s="62">
        <f t="shared" ref="H1361:Q1361" si="2722">IF(isblank(H$1),,IFERROR(vlookup($A1361,indirect("'TVC-"&amp;text(month(H$1),"00")&amp;"'!$A:$D"),4,false),1))</f>
        <v>1</v>
      </c>
      <c r="I1361" s="62">
        <f t="shared" si="2722"/>
        <v>1</v>
      </c>
      <c r="J1361" s="62">
        <f t="shared" si="2722"/>
        <v>1</v>
      </c>
      <c r="K1361" s="62">
        <f t="shared" si="2722"/>
        <v>1</v>
      </c>
      <c r="L1361" s="62">
        <f t="shared" si="2722"/>
        <v>1</v>
      </c>
      <c r="M1361" s="62">
        <f t="shared" si="2722"/>
        <v>1</v>
      </c>
      <c r="N1361" s="62">
        <f t="shared" si="2722"/>
        <v>1</v>
      </c>
      <c r="O1361" s="62">
        <f t="shared" si="2722"/>
        <v>1</v>
      </c>
      <c r="P1361" s="62" t="str">
        <f t="shared" si="2722"/>
        <v/>
      </c>
      <c r="Q1361" s="62" t="str">
        <f t="shared" si="2722"/>
        <v/>
      </c>
      <c r="R1361" s="62">
        <f t="shared" si="7"/>
        <v>0</v>
      </c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</row>
    <row r="1362" hidden="1">
      <c r="A1362" s="60">
        <f>IFERROR(__xludf.DUMMYFUNCTION("""COMPUTED_VALUE"""),15868.0)</f>
        <v>15868</v>
      </c>
      <c r="B1362" s="60" t="str">
        <f>IFERROR(__xludf.DUMMYFUNCTION("""COMPUTED_VALUE"""),"Jones, Marcus")</f>
        <v>Jones, Marcus</v>
      </c>
      <c r="C1362" s="60" t="str">
        <f>IFERROR(__xludf.DUMMYFUNCTION("""COMPUTED_VALUE"""),"CB")</f>
        <v>CB</v>
      </c>
      <c r="D1362" s="60" t="str">
        <f>IFERROR(__xludf.DUMMYFUNCTION("""COMPUTED_VALUE"""),"NEP")</f>
        <v>NEP</v>
      </c>
      <c r="E1362" s="62" t="str">
        <f t="shared" si="4"/>
        <v>Marcus Jones</v>
      </c>
      <c r="F1362" s="62">
        <f t="shared" ref="F1362:G1362" si="2723">IF(isblank(F$1),,IF(isblank($A1362),,IFERROR(vlookup($A1362,indirect("'TVC-"&amp;text(month(F$1),"00")&amp;"'!$A:$D"),4,false),1)))</f>
        <v>1</v>
      </c>
      <c r="G1362" s="62">
        <f t="shared" si="2723"/>
        <v>1</v>
      </c>
      <c r="H1362" s="62">
        <f t="shared" ref="H1362:Q1362" si="2724">IF(isblank(H$1),,IFERROR(vlookup($A1362,indirect("'TVC-"&amp;text(month(H$1),"00")&amp;"'!$A:$D"),4,false),1))</f>
        <v>1</v>
      </c>
      <c r="I1362" s="62">
        <f t="shared" si="2724"/>
        <v>1</v>
      </c>
      <c r="J1362" s="62">
        <f t="shared" si="2724"/>
        <v>1</v>
      </c>
      <c r="K1362" s="62">
        <f t="shared" si="2724"/>
        <v>1</v>
      </c>
      <c r="L1362" s="62">
        <f t="shared" si="2724"/>
        <v>1</v>
      </c>
      <c r="M1362" s="62">
        <f t="shared" si="2724"/>
        <v>1</v>
      </c>
      <c r="N1362" s="62">
        <f t="shared" si="2724"/>
        <v>1</v>
      </c>
      <c r="O1362" s="62">
        <f t="shared" si="2724"/>
        <v>1</v>
      </c>
      <c r="P1362" s="62" t="str">
        <f t="shared" si="2724"/>
        <v/>
      </c>
      <c r="Q1362" s="62" t="str">
        <f t="shared" si="2724"/>
        <v/>
      </c>
      <c r="R1362" s="62">
        <f t="shared" si="7"/>
        <v>0</v>
      </c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</row>
    <row r="1363" hidden="1">
      <c r="A1363" s="60">
        <f>IFERROR(__xludf.DUMMYFUNCTION("""COMPUTED_VALUE"""),15869.0)</f>
        <v>15869</v>
      </c>
      <c r="B1363" s="60" t="str">
        <f>IFERROR(__xludf.DUMMYFUNCTION("""COMPUTED_VALUE"""),"Bernard, Terrel")</f>
        <v>Bernard, Terrel</v>
      </c>
      <c r="C1363" s="60" t="str">
        <f>IFERROR(__xludf.DUMMYFUNCTION("""COMPUTED_VALUE"""),"LB")</f>
        <v>LB</v>
      </c>
      <c r="D1363" s="60" t="str">
        <f>IFERROR(__xludf.DUMMYFUNCTION("""COMPUTED_VALUE"""),"BUF")</f>
        <v>BUF</v>
      </c>
      <c r="E1363" s="62" t="str">
        <f t="shared" si="4"/>
        <v>Terrel Bernard</v>
      </c>
      <c r="F1363" s="62">
        <f t="shared" ref="F1363:G1363" si="2725">IF(isblank(F$1),,IF(isblank($A1363),,IFERROR(vlookup($A1363,indirect("'TVC-"&amp;text(month(F$1),"00")&amp;"'!$A:$D"),4,false),1)))</f>
        <v>1</v>
      </c>
      <c r="G1363" s="62">
        <f t="shared" si="2725"/>
        <v>1</v>
      </c>
      <c r="H1363" s="62">
        <f t="shared" ref="H1363:Q1363" si="2726">IF(isblank(H$1),,IFERROR(vlookup($A1363,indirect("'TVC-"&amp;text(month(H$1),"00")&amp;"'!$A:$D"),4,false),1))</f>
        <v>1</v>
      </c>
      <c r="I1363" s="62">
        <f t="shared" si="2726"/>
        <v>1</v>
      </c>
      <c r="J1363" s="62">
        <f t="shared" si="2726"/>
        <v>1</v>
      </c>
      <c r="K1363" s="62">
        <f t="shared" si="2726"/>
        <v>1</v>
      </c>
      <c r="L1363" s="62">
        <f t="shared" si="2726"/>
        <v>1</v>
      </c>
      <c r="M1363" s="62">
        <f t="shared" si="2726"/>
        <v>1</v>
      </c>
      <c r="N1363" s="62">
        <f t="shared" si="2726"/>
        <v>1</v>
      </c>
      <c r="O1363" s="62">
        <f t="shared" si="2726"/>
        <v>1</v>
      </c>
      <c r="P1363" s="62" t="str">
        <f t="shared" si="2726"/>
        <v/>
      </c>
      <c r="Q1363" s="62" t="str">
        <f t="shared" si="2726"/>
        <v/>
      </c>
      <c r="R1363" s="62">
        <f t="shared" si="7"/>
        <v>0</v>
      </c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</row>
    <row r="1364" hidden="1">
      <c r="A1364" s="60">
        <f>IFERROR(__xludf.DUMMYFUNCTION("""COMPUTED_VALUE"""),15870.0)</f>
        <v>15870</v>
      </c>
      <c r="B1364" s="60" t="str">
        <f>IFERROR(__xludf.DUMMYFUNCTION("""COMPUTED_VALUE"""),"Carter, Zachary")</f>
        <v>Carter, Zachary</v>
      </c>
      <c r="C1364" s="60" t="str">
        <f>IFERROR(__xludf.DUMMYFUNCTION("""COMPUTED_VALUE"""),"DT")</f>
        <v>DT</v>
      </c>
      <c r="D1364" s="60" t="str">
        <f>IFERROR(__xludf.DUMMYFUNCTION("""COMPUTED_VALUE"""),"ARI")</f>
        <v>ARI</v>
      </c>
      <c r="E1364" s="62" t="str">
        <f t="shared" si="4"/>
        <v>Zachary Carter</v>
      </c>
      <c r="F1364" s="62">
        <f t="shared" ref="F1364:G1364" si="2727">IF(isblank(F$1),,IF(isblank($A1364),,IFERROR(vlookup($A1364,indirect("'TVC-"&amp;text(month(F$1),"00")&amp;"'!$A:$D"),4,false),1)))</f>
        <v>1</v>
      </c>
      <c r="G1364" s="62">
        <f t="shared" si="2727"/>
        <v>1</v>
      </c>
      <c r="H1364" s="62">
        <f t="shared" ref="H1364:Q1364" si="2728">IF(isblank(H$1),,IFERROR(vlookup($A1364,indirect("'TVC-"&amp;text(month(H$1),"00")&amp;"'!$A:$D"),4,false),1))</f>
        <v>1</v>
      </c>
      <c r="I1364" s="62">
        <f t="shared" si="2728"/>
        <v>1</v>
      </c>
      <c r="J1364" s="62">
        <f t="shared" si="2728"/>
        <v>1</v>
      </c>
      <c r="K1364" s="62">
        <f t="shared" si="2728"/>
        <v>1</v>
      </c>
      <c r="L1364" s="62">
        <f t="shared" si="2728"/>
        <v>1</v>
      </c>
      <c r="M1364" s="62">
        <f t="shared" si="2728"/>
        <v>1</v>
      </c>
      <c r="N1364" s="62">
        <f t="shared" si="2728"/>
        <v>1</v>
      </c>
      <c r="O1364" s="62">
        <f t="shared" si="2728"/>
        <v>1</v>
      </c>
      <c r="P1364" s="62" t="str">
        <f t="shared" si="2728"/>
        <v/>
      </c>
      <c r="Q1364" s="62" t="str">
        <f t="shared" si="2728"/>
        <v/>
      </c>
      <c r="R1364" s="62">
        <f t="shared" si="7"/>
        <v>0</v>
      </c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</row>
    <row r="1365" hidden="1">
      <c r="A1365" s="60">
        <f>IFERROR(__xludf.DUMMYFUNCTION("""COMPUTED_VALUE"""),15871.0)</f>
        <v>15871</v>
      </c>
      <c r="B1365" s="60" t="str">
        <f>IFERROR(__xludf.DUMMYFUNCTION("""COMPUTED_VALUE"""),"Joseph, Kerby")</f>
        <v>Joseph, Kerby</v>
      </c>
      <c r="C1365" s="60" t="str">
        <f>IFERROR(__xludf.DUMMYFUNCTION("""COMPUTED_VALUE"""),"S")</f>
        <v>S</v>
      </c>
      <c r="D1365" s="60" t="str">
        <f>IFERROR(__xludf.DUMMYFUNCTION("""COMPUTED_VALUE"""),"DET")</f>
        <v>DET</v>
      </c>
      <c r="E1365" s="62" t="str">
        <f t="shared" si="4"/>
        <v>Kerby Joseph</v>
      </c>
      <c r="F1365" s="62">
        <f t="shared" ref="F1365:G1365" si="2729">IF(isblank(F$1),,IF(isblank($A1365),,IFERROR(vlookup($A1365,indirect("'TVC-"&amp;text(month(F$1),"00")&amp;"'!$A:$D"),4,false),1)))</f>
        <v>1</v>
      </c>
      <c r="G1365" s="62">
        <f t="shared" si="2729"/>
        <v>1</v>
      </c>
      <c r="H1365" s="62">
        <f t="shared" ref="H1365:Q1365" si="2730">IF(isblank(H$1),,IFERROR(vlookup($A1365,indirect("'TVC-"&amp;text(month(H$1),"00")&amp;"'!$A:$D"),4,false),1))</f>
        <v>1</v>
      </c>
      <c r="I1365" s="62">
        <f t="shared" si="2730"/>
        <v>1</v>
      </c>
      <c r="J1365" s="62">
        <f t="shared" si="2730"/>
        <v>1</v>
      </c>
      <c r="K1365" s="62">
        <f t="shared" si="2730"/>
        <v>1</v>
      </c>
      <c r="L1365" s="62">
        <f t="shared" si="2730"/>
        <v>1</v>
      </c>
      <c r="M1365" s="62">
        <f t="shared" si="2730"/>
        <v>1</v>
      </c>
      <c r="N1365" s="62">
        <f t="shared" si="2730"/>
        <v>1</v>
      </c>
      <c r="O1365" s="62">
        <f t="shared" si="2730"/>
        <v>1</v>
      </c>
      <c r="P1365" s="62" t="str">
        <f t="shared" si="2730"/>
        <v/>
      </c>
      <c r="Q1365" s="62" t="str">
        <f t="shared" si="2730"/>
        <v/>
      </c>
      <c r="R1365" s="62">
        <f t="shared" si="7"/>
        <v>0</v>
      </c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</row>
    <row r="1366" hidden="1">
      <c r="A1366" s="60">
        <f>IFERROR(__xludf.DUMMYFUNCTION("""COMPUTED_VALUE"""),15872.0)</f>
        <v>15872</v>
      </c>
      <c r="B1366" s="60" t="str">
        <f>IFERROR(__xludf.DUMMYFUNCTION("""COMPUTED_VALUE"""),"Bryant, Coby")</f>
        <v>Bryant, Coby</v>
      </c>
      <c r="C1366" s="60" t="str">
        <f>IFERROR(__xludf.DUMMYFUNCTION("""COMPUTED_VALUE"""),"S")</f>
        <v>S</v>
      </c>
      <c r="D1366" s="60" t="str">
        <f>IFERROR(__xludf.DUMMYFUNCTION("""COMPUTED_VALUE"""),"CHI")</f>
        <v>CHI</v>
      </c>
      <c r="E1366" s="62" t="str">
        <f t="shared" si="4"/>
        <v>Coby Bryant</v>
      </c>
      <c r="F1366" s="62">
        <f t="shared" ref="F1366:G1366" si="2731">IF(isblank(F$1),,IF(isblank($A1366),,IFERROR(vlookup($A1366,indirect("'TVC-"&amp;text(month(F$1),"00")&amp;"'!$A:$D"),4,false),1)))</f>
        <v>1</v>
      </c>
      <c r="G1366" s="62">
        <f t="shared" si="2731"/>
        <v>1</v>
      </c>
      <c r="H1366" s="62">
        <f t="shared" ref="H1366:Q1366" si="2732">IF(isblank(H$1),,IFERROR(vlookup($A1366,indirect("'TVC-"&amp;text(month(H$1),"00")&amp;"'!$A:$D"),4,false),1))</f>
        <v>1</v>
      </c>
      <c r="I1366" s="62">
        <f t="shared" si="2732"/>
        <v>1</v>
      </c>
      <c r="J1366" s="62">
        <f t="shared" si="2732"/>
        <v>1</v>
      </c>
      <c r="K1366" s="62">
        <f t="shared" si="2732"/>
        <v>1</v>
      </c>
      <c r="L1366" s="62">
        <f t="shared" si="2732"/>
        <v>1</v>
      </c>
      <c r="M1366" s="62">
        <f t="shared" si="2732"/>
        <v>1</v>
      </c>
      <c r="N1366" s="62">
        <f t="shared" si="2732"/>
        <v>1</v>
      </c>
      <c r="O1366" s="62">
        <f t="shared" si="2732"/>
        <v>1</v>
      </c>
      <c r="P1366" s="62" t="str">
        <f t="shared" si="2732"/>
        <v/>
      </c>
      <c r="Q1366" s="62" t="str">
        <f t="shared" si="2732"/>
        <v/>
      </c>
      <c r="R1366" s="62">
        <f t="shared" si="7"/>
        <v>0</v>
      </c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</row>
    <row r="1367">
      <c r="A1367" s="60">
        <f>IFERROR(__xludf.DUMMYFUNCTION("""COMPUTED_VALUE"""),15873.0)</f>
        <v>15873</v>
      </c>
      <c r="B1367" s="60" t="str">
        <f>IFERROR(__xludf.DUMMYFUNCTION("""COMPUTED_VALUE"""),"Bellinger, Daniel")</f>
        <v>Bellinger, Daniel</v>
      </c>
      <c r="C1367" s="60" t="str">
        <f>IFERROR(__xludf.DUMMYFUNCTION("""COMPUTED_VALUE"""),"TE")</f>
        <v>TE</v>
      </c>
      <c r="D1367" s="60" t="str">
        <f>IFERROR(__xludf.DUMMYFUNCTION("""COMPUTED_VALUE"""),"TEN")</f>
        <v>TEN</v>
      </c>
      <c r="E1367" s="62" t="str">
        <f t="shared" si="4"/>
        <v>Daniel Bellinger</v>
      </c>
      <c r="F1367" s="62">
        <f t="shared" ref="F1367:G1367" si="2733">IF(isblank(F$1),,IF(isblank($A1367),,IFERROR(vlookup($A1367,indirect("'TVC-"&amp;text(month(F$1),"00")&amp;"'!$A:$D"),4,false),1)))</f>
        <v>1638</v>
      </c>
      <c r="G1367" s="62">
        <f t="shared" si="2733"/>
        <v>1694</v>
      </c>
      <c r="H1367" s="62">
        <f t="shared" ref="H1367:Q1367" si="2734">IF(isblank(H$1),,IFERROR(vlookup($A1367,indirect("'TVC-"&amp;text(month(H$1),"00")&amp;"'!$A:$D"),4,false),1))</f>
        <v>1719</v>
      </c>
      <c r="I1367" s="62">
        <f t="shared" si="2734"/>
        <v>1955</v>
      </c>
      <c r="J1367" s="62">
        <f t="shared" si="2734"/>
        <v>1871</v>
      </c>
      <c r="K1367" s="62">
        <f t="shared" si="2734"/>
        <v>1826</v>
      </c>
      <c r="L1367" s="62">
        <f t="shared" si="2734"/>
        <v>1810</v>
      </c>
      <c r="M1367" s="62">
        <f t="shared" si="2734"/>
        <v>1755</v>
      </c>
      <c r="N1367" s="62">
        <f t="shared" si="2734"/>
        <v>1635</v>
      </c>
      <c r="O1367" s="62">
        <f t="shared" si="2734"/>
        <v>1</v>
      </c>
      <c r="P1367" s="62" t="str">
        <f t="shared" si="2734"/>
        <v/>
      </c>
      <c r="Q1367" s="62" t="str">
        <f t="shared" si="2734"/>
        <v/>
      </c>
      <c r="R1367" s="62">
        <f t="shared" si="7"/>
        <v>-1634</v>
      </c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</row>
    <row r="1368" hidden="1">
      <c r="A1368" s="60">
        <f>IFERROR(__xludf.DUMMYFUNCTION("""COMPUTED_VALUE"""),15874.0)</f>
        <v>15874</v>
      </c>
      <c r="B1368" s="60" t="str">
        <f>IFERROR(__xludf.DUMMYFUNCTION("""COMPUTED_VALUE"""),"Butler, Percy")</f>
        <v>Butler, Percy</v>
      </c>
      <c r="C1368" s="60" t="str">
        <f>IFERROR(__xludf.DUMMYFUNCTION("""COMPUTED_VALUE"""),"S")</f>
        <v>S</v>
      </c>
      <c r="D1368" s="60" t="str">
        <f>IFERROR(__xludf.DUMMYFUNCTION("""COMPUTED_VALUE"""),"WAS")</f>
        <v>WAS</v>
      </c>
      <c r="E1368" s="62" t="str">
        <f t="shared" si="4"/>
        <v>Percy Butler</v>
      </c>
      <c r="F1368" s="62">
        <f t="shared" ref="F1368:G1368" si="2735">IF(isblank(F$1),,IF(isblank($A1368),,IFERROR(vlookup($A1368,indirect("'TVC-"&amp;text(month(F$1),"00")&amp;"'!$A:$D"),4,false),1)))</f>
        <v>1</v>
      </c>
      <c r="G1368" s="62">
        <f t="shared" si="2735"/>
        <v>1</v>
      </c>
      <c r="H1368" s="62">
        <f t="shared" ref="H1368:Q1368" si="2736">IF(isblank(H$1),,IFERROR(vlookup($A1368,indirect("'TVC-"&amp;text(month(H$1),"00")&amp;"'!$A:$D"),4,false),1))</f>
        <v>1</v>
      </c>
      <c r="I1368" s="62">
        <f t="shared" si="2736"/>
        <v>1</v>
      </c>
      <c r="J1368" s="62">
        <f t="shared" si="2736"/>
        <v>1</v>
      </c>
      <c r="K1368" s="62">
        <f t="shared" si="2736"/>
        <v>1</v>
      </c>
      <c r="L1368" s="62">
        <f t="shared" si="2736"/>
        <v>1</v>
      </c>
      <c r="M1368" s="62">
        <f t="shared" si="2736"/>
        <v>1</v>
      </c>
      <c r="N1368" s="62">
        <f t="shared" si="2736"/>
        <v>1</v>
      </c>
      <c r="O1368" s="62">
        <f t="shared" si="2736"/>
        <v>1</v>
      </c>
      <c r="P1368" s="62" t="str">
        <f t="shared" si="2736"/>
        <v/>
      </c>
      <c r="Q1368" s="62" t="str">
        <f t="shared" si="2736"/>
        <v/>
      </c>
      <c r="R1368" s="62">
        <f t="shared" si="7"/>
        <v>0</v>
      </c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</row>
    <row r="1369" hidden="1">
      <c r="A1369" s="60">
        <f>IFERROR(__xludf.DUMMYFUNCTION("""COMPUTED_VALUE"""),15875.0)</f>
        <v>15875</v>
      </c>
      <c r="B1369" s="60" t="str">
        <f>IFERROR(__xludf.DUMMYFUNCTION("""COMPUTED_VALUE"""),"Belton, Dane")</f>
        <v>Belton, Dane</v>
      </c>
      <c r="C1369" s="60" t="str">
        <f>IFERROR(__xludf.DUMMYFUNCTION("""COMPUTED_VALUE"""),"S")</f>
        <v>S</v>
      </c>
      <c r="D1369" s="60" t="str">
        <f>IFERROR(__xludf.DUMMYFUNCTION("""COMPUTED_VALUE"""),"NYJ")</f>
        <v>NYJ</v>
      </c>
      <c r="E1369" s="62" t="str">
        <f t="shared" si="4"/>
        <v>Dane Belton</v>
      </c>
      <c r="F1369" s="62">
        <f t="shared" ref="F1369:G1369" si="2737">IF(isblank(F$1),,IF(isblank($A1369),,IFERROR(vlookup($A1369,indirect("'TVC-"&amp;text(month(F$1),"00")&amp;"'!$A:$D"),4,false),1)))</f>
        <v>1</v>
      </c>
      <c r="G1369" s="62">
        <f t="shared" si="2737"/>
        <v>1</v>
      </c>
      <c r="H1369" s="62">
        <f t="shared" ref="H1369:Q1369" si="2738">IF(isblank(H$1),,IFERROR(vlookup($A1369,indirect("'TVC-"&amp;text(month(H$1),"00")&amp;"'!$A:$D"),4,false),1))</f>
        <v>1</v>
      </c>
      <c r="I1369" s="62">
        <f t="shared" si="2738"/>
        <v>1</v>
      </c>
      <c r="J1369" s="62">
        <f t="shared" si="2738"/>
        <v>1</v>
      </c>
      <c r="K1369" s="62">
        <f t="shared" si="2738"/>
        <v>1</v>
      </c>
      <c r="L1369" s="62">
        <f t="shared" si="2738"/>
        <v>1</v>
      </c>
      <c r="M1369" s="62">
        <f t="shared" si="2738"/>
        <v>1</v>
      </c>
      <c r="N1369" s="62">
        <f t="shared" si="2738"/>
        <v>1</v>
      </c>
      <c r="O1369" s="62">
        <f t="shared" si="2738"/>
        <v>1</v>
      </c>
      <c r="P1369" s="62" t="str">
        <f t="shared" si="2738"/>
        <v/>
      </c>
      <c r="Q1369" s="62" t="str">
        <f t="shared" si="2738"/>
        <v/>
      </c>
      <c r="R1369" s="62">
        <f t="shared" si="7"/>
        <v>0</v>
      </c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</row>
    <row r="1370" hidden="1">
      <c r="A1370" s="60">
        <f>IFERROR(__xludf.DUMMYFUNCTION("""COMPUTED_VALUE"""),15877.0)</f>
        <v>15877</v>
      </c>
      <c r="B1370" s="60" t="str">
        <f>IFERROR(__xludf.DUMMYFUNCTION("""COMPUTED_VALUE"""),"Uwazurike, Eyioma")</f>
        <v>Uwazurike, Eyioma</v>
      </c>
      <c r="C1370" s="60" t="str">
        <f>IFERROR(__xludf.DUMMYFUNCTION("""COMPUTED_VALUE"""),"DT")</f>
        <v>DT</v>
      </c>
      <c r="D1370" s="60" t="str">
        <f>IFERROR(__xludf.DUMMYFUNCTION("""COMPUTED_VALUE"""),"DEN")</f>
        <v>DEN</v>
      </c>
      <c r="E1370" s="62" t="str">
        <f t="shared" si="4"/>
        <v>Eyioma Uwazurike</v>
      </c>
      <c r="F1370" s="62">
        <f t="shared" ref="F1370:G1370" si="2739">IF(isblank(F$1),,IF(isblank($A1370),,IFERROR(vlookup($A1370,indirect("'TVC-"&amp;text(month(F$1),"00")&amp;"'!$A:$D"),4,false),1)))</f>
        <v>1</v>
      </c>
      <c r="G1370" s="62">
        <f t="shared" si="2739"/>
        <v>1</v>
      </c>
      <c r="H1370" s="62">
        <f t="shared" ref="H1370:Q1370" si="2740">IF(isblank(H$1),,IFERROR(vlookup($A1370,indirect("'TVC-"&amp;text(month(H$1),"00")&amp;"'!$A:$D"),4,false),1))</f>
        <v>1</v>
      </c>
      <c r="I1370" s="62">
        <f t="shared" si="2740"/>
        <v>1</v>
      </c>
      <c r="J1370" s="62">
        <f t="shared" si="2740"/>
        <v>1</v>
      </c>
      <c r="K1370" s="62">
        <f t="shared" si="2740"/>
        <v>1</v>
      </c>
      <c r="L1370" s="62">
        <f t="shared" si="2740"/>
        <v>1</v>
      </c>
      <c r="M1370" s="62">
        <f t="shared" si="2740"/>
        <v>1</v>
      </c>
      <c r="N1370" s="62">
        <f t="shared" si="2740"/>
        <v>1</v>
      </c>
      <c r="O1370" s="62">
        <f t="shared" si="2740"/>
        <v>1</v>
      </c>
      <c r="P1370" s="62" t="str">
        <f t="shared" si="2740"/>
        <v/>
      </c>
      <c r="Q1370" s="62" t="str">
        <f t="shared" si="2740"/>
        <v/>
      </c>
      <c r="R1370" s="62">
        <f t="shared" si="7"/>
        <v>0</v>
      </c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</row>
    <row r="1371" hidden="1">
      <c r="A1371" s="60">
        <f>IFERROR(__xludf.DUMMYFUNCTION("""COMPUTED_VALUE"""),15878.0)</f>
        <v>15878</v>
      </c>
      <c r="B1371" s="60" t="str">
        <f>IFERROR(__xludf.DUMMYFUNCTION("""COMPUTED_VALUE"""),"Clemons, Micheal")</f>
        <v>Clemons, Micheal</v>
      </c>
      <c r="C1371" s="60" t="str">
        <f>IFERROR(__xludf.DUMMYFUNCTION("""COMPUTED_VALUE"""),"DE")</f>
        <v>DE</v>
      </c>
      <c r="D1371" s="60" t="str">
        <f>IFERROR(__xludf.DUMMYFUNCTION("""COMPUTED_VALUE"""),"IND")</f>
        <v>IND</v>
      </c>
      <c r="E1371" s="62" t="str">
        <f t="shared" si="4"/>
        <v>Micheal Clemons</v>
      </c>
      <c r="F1371" s="62">
        <f t="shared" ref="F1371:G1371" si="2741">IF(isblank(F$1),,IF(isblank($A1371),,IFERROR(vlookup($A1371,indirect("'TVC-"&amp;text(month(F$1),"00")&amp;"'!$A:$D"),4,false),1)))</f>
        <v>1</v>
      </c>
      <c r="G1371" s="62">
        <f t="shared" si="2741"/>
        <v>1</v>
      </c>
      <c r="H1371" s="62">
        <f t="shared" ref="H1371:Q1371" si="2742">IF(isblank(H$1),,IFERROR(vlookup($A1371,indirect("'TVC-"&amp;text(month(H$1),"00")&amp;"'!$A:$D"),4,false),1))</f>
        <v>1</v>
      </c>
      <c r="I1371" s="62">
        <f t="shared" si="2742"/>
        <v>1</v>
      </c>
      <c r="J1371" s="62">
        <f t="shared" si="2742"/>
        <v>1</v>
      </c>
      <c r="K1371" s="62">
        <f t="shared" si="2742"/>
        <v>1</v>
      </c>
      <c r="L1371" s="62">
        <f t="shared" si="2742"/>
        <v>1</v>
      </c>
      <c r="M1371" s="62">
        <f t="shared" si="2742"/>
        <v>1</v>
      </c>
      <c r="N1371" s="62">
        <f t="shared" si="2742"/>
        <v>1</v>
      </c>
      <c r="O1371" s="62">
        <f t="shared" si="2742"/>
        <v>1</v>
      </c>
      <c r="P1371" s="62" t="str">
        <f t="shared" si="2742"/>
        <v/>
      </c>
      <c r="Q1371" s="62" t="str">
        <f t="shared" si="2742"/>
        <v/>
      </c>
      <c r="R1371" s="62">
        <f t="shared" si="7"/>
        <v>0</v>
      </c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</row>
    <row r="1372" hidden="1">
      <c r="A1372" s="60">
        <f>IFERROR(__xludf.DUMMYFUNCTION("""COMPUTED_VALUE"""),15879.0)</f>
        <v>15879</v>
      </c>
      <c r="B1372" s="60" t="str">
        <f>IFERROR(__xludf.DUMMYFUNCTION("""COMPUTED_VALUE"""),"Armour-Davis, Jalyn")</f>
        <v>Armour-Davis, Jalyn</v>
      </c>
      <c r="C1372" s="60" t="str">
        <f>IFERROR(__xludf.DUMMYFUNCTION("""COMPUTED_VALUE"""),"CB")</f>
        <v>CB</v>
      </c>
      <c r="D1372" s="60" t="str">
        <f>IFERROR(__xludf.DUMMYFUNCTION("""COMPUTED_VALUE"""),"TEN")</f>
        <v>TEN</v>
      </c>
      <c r="E1372" s="62" t="str">
        <f t="shared" si="4"/>
        <v>Jalyn Armour-Davis</v>
      </c>
      <c r="F1372" s="62">
        <f t="shared" ref="F1372:G1372" si="2743">IF(isblank(F$1),,IF(isblank($A1372),,IFERROR(vlookup($A1372,indirect("'TVC-"&amp;text(month(F$1),"00")&amp;"'!$A:$D"),4,false),1)))</f>
        <v>1</v>
      </c>
      <c r="G1372" s="62">
        <f t="shared" si="2743"/>
        <v>1</v>
      </c>
      <c r="H1372" s="62">
        <f t="shared" ref="H1372:Q1372" si="2744">IF(isblank(H$1),,IFERROR(vlookup($A1372,indirect("'TVC-"&amp;text(month(H$1),"00")&amp;"'!$A:$D"),4,false),1))</f>
        <v>1</v>
      </c>
      <c r="I1372" s="62">
        <f t="shared" si="2744"/>
        <v>1</v>
      </c>
      <c r="J1372" s="62">
        <f t="shared" si="2744"/>
        <v>1</v>
      </c>
      <c r="K1372" s="62">
        <f t="shared" si="2744"/>
        <v>1</v>
      </c>
      <c r="L1372" s="62">
        <f t="shared" si="2744"/>
        <v>1</v>
      </c>
      <c r="M1372" s="62">
        <f t="shared" si="2744"/>
        <v>1</v>
      </c>
      <c r="N1372" s="62">
        <f t="shared" si="2744"/>
        <v>1</v>
      </c>
      <c r="O1372" s="62">
        <f t="shared" si="2744"/>
        <v>1</v>
      </c>
      <c r="P1372" s="62" t="str">
        <f t="shared" si="2744"/>
        <v/>
      </c>
      <c r="Q1372" s="62" t="str">
        <f t="shared" si="2744"/>
        <v/>
      </c>
      <c r="R1372" s="62">
        <f t="shared" si="7"/>
        <v>0</v>
      </c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</row>
    <row r="1373" hidden="1">
      <c r="A1373" s="60">
        <f>IFERROR(__xludf.DUMMYFUNCTION("""COMPUTED_VALUE"""),15880.0)</f>
        <v>15880</v>
      </c>
      <c r="B1373" s="60" t="str">
        <f>IFERROR(__xludf.DUMMYFUNCTION("""COMPUTED_VALUE"""),"Evans, Akayleb")</f>
        <v>Evans, Akayleb</v>
      </c>
      <c r="C1373" s="60" t="str">
        <f>IFERROR(__xludf.DUMMYFUNCTION("""COMPUTED_VALUE"""),"CB")</f>
        <v>CB</v>
      </c>
      <c r="D1373" s="60" t="str">
        <f>IFERROR(__xludf.DUMMYFUNCTION("""COMPUTED_VALUE"""),"CAR")</f>
        <v>CAR</v>
      </c>
      <c r="E1373" s="62" t="str">
        <f t="shared" si="4"/>
        <v>Akayleb Evans</v>
      </c>
      <c r="F1373" s="62">
        <f t="shared" ref="F1373:G1373" si="2745">IF(isblank(F$1),,IF(isblank($A1373),,IFERROR(vlookup($A1373,indirect("'TVC-"&amp;text(month(F$1),"00")&amp;"'!$A:$D"),4,false),1)))</f>
        <v>1</v>
      </c>
      <c r="G1373" s="62">
        <f t="shared" si="2745"/>
        <v>1</v>
      </c>
      <c r="H1373" s="62">
        <f t="shared" ref="H1373:Q1373" si="2746">IF(isblank(H$1),,IFERROR(vlookup($A1373,indirect("'TVC-"&amp;text(month(H$1),"00")&amp;"'!$A:$D"),4,false),1))</f>
        <v>1</v>
      </c>
      <c r="I1373" s="62">
        <f t="shared" si="2746"/>
        <v>1</v>
      </c>
      <c r="J1373" s="62">
        <f t="shared" si="2746"/>
        <v>1</v>
      </c>
      <c r="K1373" s="62">
        <f t="shared" si="2746"/>
        <v>1</v>
      </c>
      <c r="L1373" s="62">
        <f t="shared" si="2746"/>
        <v>1</v>
      </c>
      <c r="M1373" s="62">
        <f t="shared" si="2746"/>
        <v>1</v>
      </c>
      <c r="N1373" s="62">
        <f t="shared" si="2746"/>
        <v>1</v>
      </c>
      <c r="O1373" s="62">
        <f t="shared" si="2746"/>
        <v>1</v>
      </c>
      <c r="P1373" s="62" t="str">
        <f t="shared" si="2746"/>
        <v/>
      </c>
      <c r="Q1373" s="62" t="str">
        <f t="shared" si="2746"/>
        <v/>
      </c>
      <c r="R1373" s="62">
        <f t="shared" si="7"/>
        <v>0</v>
      </c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</row>
    <row r="1374" hidden="1">
      <c r="A1374" s="60">
        <f>IFERROR(__xludf.DUMMYFUNCTION("""COMPUTED_VALUE"""),15881.0)</f>
        <v>15881</v>
      </c>
      <c r="B1374" s="60" t="str">
        <f>IFERROR(__xludf.DUMMYFUNCTION("""COMPUTED_VALUE"""),"Jones, Jack")</f>
        <v>Jones, Jack</v>
      </c>
      <c r="C1374" s="60" t="str">
        <f>IFERROR(__xludf.DUMMYFUNCTION("""COMPUTED_VALUE"""),"CB")</f>
        <v>CB</v>
      </c>
      <c r="D1374" s="60" t="str">
        <f>IFERROR(__xludf.DUMMYFUNCTION("""COMPUTED_VALUE"""),"SFO")</f>
        <v>SFO</v>
      </c>
      <c r="E1374" s="62" t="str">
        <f t="shared" si="4"/>
        <v>Jack Jones</v>
      </c>
      <c r="F1374" s="62">
        <f t="shared" ref="F1374:G1374" si="2747">IF(isblank(F$1),,IF(isblank($A1374),,IFERROR(vlookup($A1374,indirect("'TVC-"&amp;text(month(F$1),"00")&amp;"'!$A:$D"),4,false),1)))</f>
        <v>1</v>
      </c>
      <c r="G1374" s="62">
        <f t="shared" si="2747"/>
        <v>1</v>
      </c>
      <c r="H1374" s="62">
        <f t="shared" ref="H1374:Q1374" si="2748">IF(isblank(H$1),,IFERROR(vlookup($A1374,indirect("'TVC-"&amp;text(month(H$1),"00")&amp;"'!$A:$D"),4,false),1))</f>
        <v>1</v>
      </c>
      <c r="I1374" s="62">
        <f t="shared" si="2748"/>
        <v>1</v>
      </c>
      <c r="J1374" s="62">
        <f t="shared" si="2748"/>
        <v>1</v>
      </c>
      <c r="K1374" s="62">
        <f t="shared" si="2748"/>
        <v>1</v>
      </c>
      <c r="L1374" s="62">
        <f t="shared" si="2748"/>
        <v>1</v>
      </c>
      <c r="M1374" s="62">
        <f t="shared" si="2748"/>
        <v>1</v>
      </c>
      <c r="N1374" s="62">
        <f t="shared" si="2748"/>
        <v>1</v>
      </c>
      <c r="O1374" s="62">
        <f t="shared" si="2748"/>
        <v>1</v>
      </c>
      <c r="P1374" s="62" t="str">
        <f t="shared" si="2748"/>
        <v/>
      </c>
      <c r="Q1374" s="62" t="str">
        <f t="shared" si="2748"/>
        <v/>
      </c>
      <c r="R1374" s="62">
        <f t="shared" si="7"/>
        <v>0</v>
      </c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</row>
    <row r="1375" hidden="1">
      <c r="A1375" s="60">
        <f>IFERROR(__xludf.DUMMYFUNCTION("""COMPUTED_VALUE"""),15882.0)</f>
        <v>15882</v>
      </c>
      <c r="B1375" s="60" t="str">
        <f>IFERROR(__xludf.DUMMYFUNCTION("""COMPUTED_VALUE"""),"York, Cade")</f>
        <v>York, Cade</v>
      </c>
      <c r="C1375" s="60" t="str">
        <f>IFERROR(__xludf.DUMMYFUNCTION("""COMPUTED_VALUE"""),"PK")</f>
        <v>PK</v>
      </c>
      <c r="D1375" s="60" t="str">
        <f>IFERROR(__xludf.DUMMYFUNCTION("""COMPUTED_VALUE"""),"FA")</f>
        <v>FA</v>
      </c>
      <c r="E1375" s="62" t="str">
        <f t="shared" si="4"/>
        <v>Cade York</v>
      </c>
      <c r="F1375" s="62">
        <f t="shared" ref="F1375:G1375" si="2749">IF(isblank(F$1),,IF(isblank($A1375),,IFERROR(vlookup($A1375,indirect("'TVC-"&amp;text(month(F$1),"00")&amp;"'!$A:$D"),4,false),1)))</f>
        <v>1</v>
      </c>
      <c r="G1375" s="62">
        <f t="shared" si="2749"/>
        <v>1</v>
      </c>
      <c r="H1375" s="62">
        <f t="shared" ref="H1375:Q1375" si="2750">IF(isblank(H$1),,IFERROR(vlookup($A1375,indirect("'TVC-"&amp;text(month(H$1),"00")&amp;"'!$A:$D"),4,false),1))</f>
        <v>1</v>
      </c>
      <c r="I1375" s="62">
        <f t="shared" si="2750"/>
        <v>1</v>
      </c>
      <c r="J1375" s="62">
        <f t="shared" si="2750"/>
        <v>1</v>
      </c>
      <c r="K1375" s="62">
        <f t="shared" si="2750"/>
        <v>1</v>
      </c>
      <c r="L1375" s="62">
        <f t="shared" si="2750"/>
        <v>1</v>
      </c>
      <c r="M1375" s="62">
        <f t="shared" si="2750"/>
        <v>1</v>
      </c>
      <c r="N1375" s="62">
        <f t="shared" si="2750"/>
        <v>1</v>
      </c>
      <c r="O1375" s="62">
        <f t="shared" si="2750"/>
        <v>1</v>
      </c>
      <c r="P1375" s="62" t="str">
        <f t="shared" si="2750"/>
        <v/>
      </c>
      <c r="Q1375" s="62" t="str">
        <f t="shared" si="2750"/>
        <v/>
      </c>
      <c r="R1375" s="62">
        <f t="shared" si="7"/>
        <v>0</v>
      </c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</row>
    <row r="1376" hidden="1">
      <c r="A1376" s="60">
        <f>IFERROR(__xludf.DUMMYFUNCTION("""COMPUTED_VALUE"""),15884.0)</f>
        <v>15884</v>
      </c>
      <c r="B1376" s="60" t="str">
        <f>IFERROR(__xludf.DUMMYFUNCTION("""COMPUTED_VALUE"""),"Stout, Jordan")</f>
        <v>Stout, Jordan</v>
      </c>
      <c r="C1376" s="60" t="str">
        <f>IFERROR(__xludf.DUMMYFUNCTION("""COMPUTED_VALUE"""),"PN")</f>
        <v>PN</v>
      </c>
      <c r="D1376" s="60" t="str">
        <f>IFERROR(__xludf.DUMMYFUNCTION("""COMPUTED_VALUE"""),"NYG")</f>
        <v>NYG</v>
      </c>
      <c r="E1376" s="62" t="str">
        <f t="shared" si="4"/>
        <v>Jordan Stout</v>
      </c>
      <c r="F1376" s="62">
        <f t="shared" ref="F1376:G1376" si="2751">IF(isblank(F$1),,IF(isblank($A1376),,IFERROR(vlookup($A1376,indirect("'TVC-"&amp;text(month(F$1),"00")&amp;"'!$A:$D"),4,false),1)))</f>
        <v>1</v>
      </c>
      <c r="G1376" s="62">
        <f t="shared" si="2751"/>
        <v>1</v>
      </c>
      <c r="H1376" s="62">
        <f t="shared" ref="H1376:Q1376" si="2752">IF(isblank(H$1),,IFERROR(vlookup($A1376,indirect("'TVC-"&amp;text(month(H$1),"00")&amp;"'!$A:$D"),4,false),1))</f>
        <v>1</v>
      </c>
      <c r="I1376" s="62">
        <f t="shared" si="2752"/>
        <v>1</v>
      </c>
      <c r="J1376" s="62">
        <f t="shared" si="2752"/>
        <v>1</v>
      </c>
      <c r="K1376" s="62">
        <f t="shared" si="2752"/>
        <v>1</v>
      </c>
      <c r="L1376" s="62">
        <f t="shared" si="2752"/>
        <v>1</v>
      </c>
      <c r="M1376" s="62">
        <f t="shared" si="2752"/>
        <v>1</v>
      </c>
      <c r="N1376" s="62">
        <f t="shared" si="2752"/>
        <v>1</v>
      </c>
      <c r="O1376" s="62">
        <f t="shared" si="2752"/>
        <v>1</v>
      </c>
      <c r="P1376" s="62" t="str">
        <f t="shared" si="2752"/>
        <v/>
      </c>
      <c r="Q1376" s="62" t="str">
        <f t="shared" si="2752"/>
        <v/>
      </c>
      <c r="R1376" s="62">
        <f t="shared" si="7"/>
        <v>0</v>
      </c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</row>
    <row r="1377" hidden="1">
      <c r="A1377" s="60">
        <f>IFERROR(__xludf.DUMMYFUNCTION("""COMPUTED_VALUE"""),15885.0)</f>
        <v>15885</v>
      </c>
      <c r="B1377" s="60" t="str">
        <f>IFERROR(__xludf.DUMMYFUNCTION("""COMPUTED_VALUE"""),"Williams, Joshua")</f>
        <v>Williams, Joshua</v>
      </c>
      <c r="C1377" s="60" t="str">
        <f>IFERROR(__xludf.DUMMYFUNCTION("""COMPUTED_VALUE"""),"CB")</f>
        <v>CB</v>
      </c>
      <c r="D1377" s="60" t="str">
        <f>IFERROR(__xludf.DUMMYFUNCTION("""COMPUTED_VALUE"""),"TEN")</f>
        <v>TEN</v>
      </c>
      <c r="E1377" s="62" t="str">
        <f t="shared" si="4"/>
        <v>Joshua Williams</v>
      </c>
      <c r="F1377" s="62">
        <f t="shared" ref="F1377:G1377" si="2753">IF(isblank(F$1),,IF(isblank($A1377),,IFERROR(vlookup($A1377,indirect("'TVC-"&amp;text(month(F$1),"00")&amp;"'!$A:$D"),4,false),1)))</f>
        <v>1</v>
      </c>
      <c r="G1377" s="62">
        <f t="shared" si="2753"/>
        <v>1</v>
      </c>
      <c r="H1377" s="62">
        <f t="shared" ref="H1377:Q1377" si="2754">IF(isblank(H$1),,IFERROR(vlookup($A1377,indirect("'TVC-"&amp;text(month(H$1),"00")&amp;"'!$A:$D"),4,false),1))</f>
        <v>1</v>
      </c>
      <c r="I1377" s="62">
        <f t="shared" si="2754"/>
        <v>1</v>
      </c>
      <c r="J1377" s="62">
        <f t="shared" si="2754"/>
        <v>1</v>
      </c>
      <c r="K1377" s="62">
        <f t="shared" si="2754"/>
        <v>1</v>
      </c>
      <c r="L1377" s="62">
        <f t="shared" si="2754"/>
        <v>1</v>
      </c>
      <c r="M1377" s="62">
        <f t="shared" si="2754"/>
        <v>1</v>
      </c>
      <c r="N1377" s="62">
        <f t="shared" si="2754"/>
        <v>1</v>
      </c>
      <c r="O1377" s="62">
        <f t="shared" si="2754"/>
        <v>1</v>
      </c>
      <c r="P1377" s="62" t="str">
        <f t="shared" si="2754"/>
        <v/>
      </c>
      <c r="Q1377" s="62" t="str">
        <f t="shared" si="2754"/>
        <v/>
      </c>
      <c r="R1377" s="62">
        <f t="shared" si="7"/>
        <v>0</v>
      </c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</row>
    <row r="1378" hidden="1">
      <c r="A1378" s="60">
        <f>IFERROR(__xludf.DUMMYFUNCTION("""COMPUTED_VALUE"""),15888.0)</f>
        <v>15888</v>
      </c>
      <c r="B1378" s="60" t="str">
        <f>IFERROR(__xludf.DUMMYFUNCTION("""COMPUTED_VALUE"""),"Durant, Decobie")</f>
        <v>Durant, Decobie</v>
      </c>
      <c r="C1378" s="60" t="str">
        <f>IFERROR(__xludf.DUMMYFUNCTION("""COMPUTED_VALUE"""),"CB")</f>
        <v>CB</v>
      </c>
      <c r="D1378" s="60" t="str">
        <f>IFERROR(__xludf.DUMMYFUNCTION("""COMPUTED_VALUE"""),"DAL")</f>
        <v>DAL</v>
      </c>
      <c r="E1378" s="62" t="str">
        <f t="shared" si="4"/>
        <v>Decobie Durant</v>
      </c>
      <c r="F1378" s="62">
        <f t="shared" ref="F1378:G1378" si="2755">IF(isblank(F$1),,IF(isblank($A1378),,IFERROR(vlookup($A1378,indirect("'TVC-"&amp;text(month(F$1),"00")&amp;"'!$A:$D"),4,false),1)))</f>
        <v>1</v>
      </c>
      <c r="G1378" s="62">
        <f t="shared" si="2755"/>
        <v>1</v>
      </c>
      <c r="H1378" s="62">
        <f t="shared" ref="H1378:Q1378" si="2756">IF(isblank(H$1),,IFERROR(vlookup($A1378,indirect("'TVC-"&amp;text(month(H$1),"00")&amp;"'!$A:$D"),4,false),1))</f>
        <v>1</v>
      </c>
      <c r="I1378" s="62">
        <f t="shared" si="2756"/>
        <v>1</v>
      </c>
      <c r="J1378" s="62">
        <f t="shared" si="2756"/>
        <v>1</v>
      </c>
      <c r="K1378" s="62">
        <f t="shared" si="2756"/>
        <v>1</v>
      </c>
      <c r="L1378" s="62">
        <f t="shared" si="2756"/>
        <v>1</v>
      </c>
      <c r="M1378" s="62">
        <f t="shared" si="2756"/>
        <v>1</v>
      </c>
      <c r="N1378" s="62">
        <f t="shared" si="2756"/>
        <v>1</v>
      </c>
      <c r="O1378" s="62">
        <f t="shared" si="2756"/>
        <v>1</v>
      </c>
      <c r="P1378" s="62" t="str">
        <f t="shared" si="2756"/>
        <v/>
      </c>
      <c r="Q1378" s="62" t="str">
        <f t="shared" si="2756"/>
        <v/>
      </c>
      <c r="R1378" s="62">
        <f t="shared" si="7"/>
        <v>0</v>
      </c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</row>
    <row r="1379" hidden="1">
      <c r="A1379" s="60">
        <f>IFERROR(__xludf.DUMMYFUNCTION("""COMPUTED_VALUE"""),15889.0)</f>
        <v>15889</v>
      </c>
      <c r="B1379" s="60" t="str">
        <f>IFERROR(__xludf.DUMMYFUNCTION("""COMPUTED_VALUE"""),"Okonkwo, Chigoziem")</f>
        <v>Okonkwo, Chigoziem</v>
      </c>
      <c r="C1379" s="60" t="str">
        <f>IFERROR(__xludf.DUMMYFUNCTION("""COMPUTED_VALUE"""),"TE")</f>
        <v>TE</v>
      </c>
      <c r="D1379" s="60" t="str">
        <f>IFERROR(__xludf.DUMMYFUNCTION("""COMPUTED_VALUE"""),"WAS")</f>
        <v>WAS</v>
      </c>
      <c r="E1379" s="62" t="str">
        <f t="shared" si="4"/>
        <v>Chigoziem Okonkwo</v>
      </c>
      <c r="F1379" s="62">
        <f t="shared" ref="F1379:G1379" si="2757">IF(isblank(F$1),,IF(isblank($A1379),,IFERROR(vlookup($A1379,indirect("'TVC-"&amp;text(month(F$1),"00")&amp;"'!$A:$D"),4,false),1)))</f>
        <v>2457</v>
      </c>
      <c r="G1379" s="62">
        <f t="shared" si="2757"/>
        <v>2566</v>
      </c>
      <c r="H1379" s="62">
        <f t="shared" ref="H1379:Q1379" si="2758">IF(isblank(H$1),,IFERROR(vlookup($A1379,indirect("'TVC-"&amp;text(month(H$1),"00")&amp;"'!$A:$D"),4,false),1))</f>
        <v>2593</v>
      </c>
      <c r="I1379" s="62">
        <f t="shared" si="2758"/>
        <v>3173</v>
      </c>
      <c r="J1379" s="62">
        <f t="shared" si="2758"/>
        <v>3212</v>
      </c>
      <c r="K1379" s="62">
        <f t="shared" si="2758"/>
        <v>3146</v>
      </c>
      <c r="L1379" s="62">
        <f t="shared" si="2758"/>
        <v>3225</v>
      </c>
      <c r="M1379" s="62">
        <f t="shared" si="2758"/>
        <v>3220</v>
      </c>
      <c r="N1379" s="62">
        <f t="shared" si="2758"/>
        <v>3046</v>
      </c>
      <c r="O1379" s="62">
        <f t="shared" si="2758"/>
        <v>1</v>
      </c>
      <c r="P1379" s="62" t="str">
        <f t="shared" si="2758"/>
        <v/>
      </c>
      <c r="Q1379" s="62" t="str">
        <f t="shared" si="2758"/>
        <v/>
      </c>
      <c r="R1379" s="62">
        <f t="shared" si="7"/>
        <v>-3045</v>
      </c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</row>
    <row r="1380" hidden="1">
      <c r="A1380" s="60">
        <f>IFERROR(__xludf.DUMMYFUNCTION("""COMPUTED_VALUE"""),15890.0)</f>
        <v>15890</v>
      </c>
      <c r="B1380" s="60" t="str">
        <f>IFERROR(__xludf.DUMMYFUNCTION("""COMPUTED_VALUE"""),"McFadden, Micah")</f>
        <v>McFadden, Micah</v>
      </c>
      <c r="C1380" s="60" t="str">
        <f>IFERROR(__xludf.DUMMYFUNCTION("""COMPUTED_VALUE"""),"LB")</f>
        <v>LB</v>
      </c>
      <c r="D1380" s="60" t="str">
        <f>IFERROR(__xludf.DUMMYFUNCTION("""COMPUTED_VALUE"""),"NYG")</f>
        <v>NYG</v>
      </c>
      <c r="E1380" s="62" t="str">
        <f t="shared" si="4"/>
        <v>Micah McFadden</v>
      </c>
      <c r="F1380" s="62">
        <f t="shared" ref="F1380:G1380" si="2759">IF(isblank(F$1),,IF(isblank($A1380),,IFERROR(vlookup($A1380,indirect("'TVC-"&amp;text(month(F$1),"00")&amp;"'!$A:$D"),4,false),1)))</f>
        <v>1</v>
      </c>
      <c r="G1380" s="62">
        <f t="shared" si="2759"/>
        <v>1</v>
      </c>
      <c r="H1380" s="62">
        <f t="shared" ref="H1380:Q1380" si="2760">IF(isblank(H$1),,IFERROR(vlookup($A1380,indirect("'TVC-"&amp;text(month(H$1),"00")&amp;"'!$A:$D"),4,false),1))</f>
        <v>1</v>
      </c>
      <c r="I1380" s="62">
        <f t="shared" si="2760"/>
        <v>1</v>
      </c>
      <c r="J1380" s="62">
        <f t="shared" si="2760"/>
        <v>1</v>
      </c>
      <c r="K1380" s="62">
        <f t="shared" si="2760"/>
        <v>1</v>
      </c>
      <c r="L1380" s="62">
        <f t="shared" si="2760"/>
        <v>1</v>
      </c>
      <c r="M1380" s="62">
        <f t="shared" si="2760"/>
        <v>1</v>
      </c>
      <c r="N1380" s="62">
        <f t="shared" si="2760"/>
        <v>1</v>
      </c>
      <c r="O1380" s="62">
        <f t="shared" si="2760"/>
        <v>1</v>
      </c>
      <c r="P1380" s="62" t="str">
        <f t="shared" si="2760"/>
        <v/>
      </c>
      <c r="Q1380" s="62" t="str">
        <f t="shared" si="2760"/>
        <v/>
      </c>
      <c r="R1380" s="62">
        <f t="shared" si="7"/>
        <v>0</v>
      </c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</row>
    <row r="1381" hidden="1">
      <c r="A1381" s="60">
        <f>IFERROR(__xludf.DUMMYFUNCTION("""COMPUTED_VALUE"""),15891.0)</f>
        <v>15891</v>
      </c>
      <c r="B1381" s="60" t="str">
        <f>IFERROR(__xludf.DUMMYFUNCTION("""COMPUTED_VALUE"""),"Davidson, D.J.")</f>
        <v>Davidson, D.J.</v>
      </c>
      <c r="C1381" s="60" t="str">
        <f>IFERROR(__xludf.DUMMYFUNCTION("""COMPUTED_VALUE"""),"DT")</f>
        <v>DT</v>
      </c>
      <c r="D1381" s="60" t="str">
        <f>IFERROR(__xludf.DUMMYFUNCTION("""COMPUTED_VALUE"""),"FA")</f>
        <v>FA</v>
      </c>
      <c r="E1381" s="62" t="str">
        <f t="shared" si="4"/>
        <v>D.J. Davidson</v>
      </c>
      <c r="F1381" s="62">
        <f t="shared" ref="F1381:G1381" si="2761">IF(isblank(F$1),,IF(isblank($A1381),,IFERROR(vlookup($A1381,indirect("'TVC-"&amp;text(month(F$1),"00")&amp;"'!$A:$D"),4,false),1)))</f>
        <v>1</v>
      </c>
      <c r="G1381" s="62">
        <f t="shared" si="2761"/>
        <v>1</v>
      </c>
      <c r="H1381" s="62">
        <f t="shared" ref="H1381:Q1381" si="2762">IF(isblank(H$1),,IFERROR(vlookup($A1381,indirect("'TVC-"&amp;text(month(H$1),"00")&amp;"'!$A:$D"),4,false),1))</f>
        <v>1</v>
      </c>
      <c r="I1381" s="62">
        <f t="shared" si="2762"/>
        <v>1</v>
      </c>
      <c r="J1381" s="62">
        <f t="shared" si="2762"/>
        <v>1</v>
      </c>
      <c r="K1381" s="62">
        <f t="shared" si="2762"/>
        <v>1</v>
      </c>
      <c r="L1381" s="62">
        <f t="shared" si="2762"/>
        <v>1</v>
      </c>
      <c r="M1381" s="62">
        <f t="shared" si="2762"/>
        <v>1</v>
      </c>
      <c r="N1381" s="62">
        <f t="shared" si="2762"/>
        <v>1</v>
      </c>
      <c r="O1381" s="62">
        <f t="shared" si="2762"/>
        <v>1</v>
      </c>
      <c r="P1381" s="62" t="str">
        <f t="shared" si="2762"/>
        <v/>
      </c>
      <c r="Q1381" s="62" t="str">
        <f t="shared" si="2762"/>
        <v/>
      </c>
      <c r="R1381" s="62">
        <f t="shared" si="7"/>
        <v>0</v>
      </c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</row>
    <row r="1382" hidden="1">
      <c r="A1382" s="60">
        <f>IFERROR(__xludf.DUMMYFUNCTION("""COMPUTED_VALUE"""),15892.0)</f>
        <v>15892</v>
      </c>
      <c r="B1382" s="60" t="str">
        <f>IFERROR(__xludf.DUMMYFUNCTION("""COMPUTED_VALUE"""),"Booker, Thomas")</f>
        <v>Booker, Thomas</v>
      </c>
      <c r="C1382" s="60" t="str">
        <f>IFERROR(__xludf.DUMMYFUNCTION("""COMPUTED_VALUE"""),"DE")</f>
        <v>DE</v>
      </c>
      <c r="D1382" s="60" t="str">
        <f>IFERROR(__xludf.DUMMYFUNCTION("""COMPUTED_VALUE"""),"LVR")</f>
        <v>LVR</v>
      </c>
      <c r="E1382" s="62" t="str">
        <f t="shared" si="4"/>
        <v>Thomas Booker</v>
      </c>
      <c r="F1382" s="62">
        <f t="shared" ref="F1382:G1382" si="2763">IF(isblank(F$1),,IF(isblank($A1382),,IFERROR(vlookup($A1382,indirect("'TVC-"&amp;text(month(F$1),"00")&amp;"'!$A:$D"),4,false),1)))</f>
        <v>1</v>
      </c>
      <c r="G1382" s="62">
        <f t="shared" si="2763"/>
        <v>1</v>
      </c>
      <c r="H1382" s="62">
        <f t="shared" ref="H1382:Q1382" si="2764">IF(isblank(H$1),,IFERROR(vlookup($A1382,indirect("'TVC-"&amp;text(month(H$1),"00")&amp;"'!$A:$D"),4,false),1))</f>
        <v>1</v>
      </c>
      <c r="I1382" s="62">
        <f t="shared" si="2764"/>
        <v>1</v>
      </c>
      <c r="J1382" s="62">
        <f t="shared" si="2764"/>
        <v>1</v>
      </c>
      <c r="K1382" s="62">
        <f t="shared" si="2764"/>
        <v>1</v>
      </c>
      <c r="L1382" s="62">
        <f t="shared" si="2764"/>
        <v>1</v>
      </c>
      <c r="M1382" s="62">
        <f t="shared" si="2764"/>
        <v>1</v>
      </c>
      <c r="N1382" s="62">
        <f t="shared" si="2764"/>
        <v>1</v>
      </c>
      <c r="O1382" s="62">
        <f t="shared" si="2764"/>
        <v>1</v>
      </c>
      <c r="P1382" s="62" t="str">
        <f t="shared" si="2764"/>
        <v/>
      </c>
      <c r="Q1382" s="62" t="str">
        <f t="shared" si="2764"/>
        <v/>
      </c>
      <c r="R1382" s="62">
        <f t="shared" si="7"/>
        <v>0</v>
      </c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</row>
    <row r="1383" hidden="1">
      <c r="A1383" s="60">
        <f>IFERROR(__xludf.DUMMYFUNCTION("""COMPUTED_VALUE"""),15893.0)</f>
        <v>15893</v>
      </c>
      <c r="B1383" s="60" t="str">
        <f>IFERROR(__xludf.DUMMYFUNCTION("""COMPUTED_VALUE"""),"Turner-Yell, Delarrin")</f>
        <v>Turner-Yell, Delarrin</v>
      </c>
      <c r="C1383" s="60" t="str">
        <f>IFERROR(__xludf.DUMMYFUNCTION("""COMPUTED_VALUE"""),"S")</f>
        <v>S</v>
      </c>
      <c r="D1383" s="60" t="str">
        <f>IFERROR(__xludf.DUMMYFUNCTION("""COMPUTED_VALUE"""),"DEN")</f>
        <v>DEN</v>
      </c>
      <c r="E1383" s="62" t="str">
        <f t="shared" si="4"/>
        <v>Delarrin Turner-Yell</v>
      </c>
      <c r="F1383" s="62">
        <f t="shared" ref="F1383:G1383" si="2765">IF(isblank(F$1),,IF(isblank($A1383),,IFERROR(vlookup($A1383,indirect("'TVC-"&amp;text(month(F$1),"00")&amp;"'!$A:$D"),4,false),1)))</f>
        <v>1</v>
      </c>
      <c r="G1383" s="62">
        <f t="shared" si="2765"/>
        <v>1</v>
      </c>
      <c r="H1383" s="62">
        <f t="shared" ref="H1383:Q1383" si="2766">IF(isblank(H$1),,IFERROR(vlookup($A1383,indirect("'TVC-"&amp;text(month(H$1),"00")&amp;"'!$A:$D"),4,false),1))</f>
        <v>1</v>
      </c>
      <c r="I1383" s="62">
        <f t="shared" si="2766"/>
        <v>1</v>
      </c>
      <c r="J1383" s="62">
        <f t="shared" si="2766"/>
        <v>1</v>
      </c>
      <c r="K1383" s="62">
        <f t="shared" si="2766"/>
        <v>1</v>
      </c>
      <c r="L1383" s="62">
        <f t="shared" si="2766"/>
        <v>1</v>
      </c>
      <c r="M1383" s="62">
        <f t="shared" si="2766"/>
        <v>1</v>
      </c>
      <c r="N1383" s="62">
        <f t="shared" si="2766"/>
        <v>1</v>
      </c>
      <c r="O1383" s="62">
        <f t="shared" si="2766"/>
        <v>1</v>
      </c>
      <c r="P1383" s="62" t="str">
        <f t="shared" si="2766"/>
        <v/>
      </c>
      <c r="Q1383" s="62" t="str">
        <f t="shared" si="2766"/>
        <v/>
      </c>
      <c r="R1383" s="62">
        <f t="shared" si="7"/>
        <v>0</v>
      </c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</row>
    <row r="1384" hidden="1">
      <c r="A1384" s="60">
        <f>IFERROR(__xludf.DUMMYFUNCTION("""COMPUTED_VALUE"""),15894.0)</f>
        <v>15894</v>
      </c>
      <c r="B1384" s="60" t="str">
        <f>IFERROR(__xludf.DUMMYFUNCTION("""COMPUTED_VALUE"""),"Woolen, Tariq")</f>
        <v>Woolen, Tariq</v>
      </c>
      <c r="C1384" s="60" t="str">
        <f>IFERROR(__xludf.DUMMYFUNCTION("""COMPUTED_VALUE"""),"CB")</f>
        <v>CB</v>
      </c>
      <c r="D1384" s="60" t="str">
        <f>IFERROR(__xludf.DUMMYFUNCTION("""COMPUTED_VALUE"""),"PHI")</f>
        <v>PHI</v>
      </c>
      <c r="E1384" s="62" t="str">
        <f t="shared" si="4"/>
        <v>Tariq Woolen</v>
      </c>
      <c r="F1384" s="62">
        <f t="shared" ref="F1384:G1384" si="2767">IF(isblank(F$1),,IF(isblank($A1384),,IFERROR(vlookup($A1384,indirect("'TVC-"&amp;text(month(F$1),"00")&amp;"'!$A:$D"),4,false),1)))</f>
        <v>1</v>
      </c>
      <c r="G1384" s="62">
        <f t="shared" si="2767"/>
        <v>1</v>
      </c>
      <c r="H1384" s="62">
        <f t="shared" ref="H1384:Q1384" si="2768">IF(isblank(H$1),,IFERROR(vlookup($A1384,indirect("'TVC-"&amp;text(month(H$1),"00")&amp;"'!$A:$D"),4,false),1))</f>
        <v>1</v>
      </c>
      <c r="I1384" s="62">
        <f t="shared" si="2768"/>
        <v>1</v>
      </c>
      <c r="J1384" s="62">
        <f t="shared" si="2768"/>
        <v>1</v>
      </c>
      <c r="K1384" s="62">
        <f t="shared" si="2768"/>
        <v>1</v>
      </c>
      <c r="L1384" s="62">
        <f t="shared" si="2768"/>
        <v>1</v>
      </c>
      <c r="M1384" s="62">
        <f t="shared" si="2768"/>
        <v>1</v>
      </c>
      <c r="N1384" s="62">
        <f t="shared" si="2768"/>
        <v>1</v>
      </c>
      <c r="O1384" s="62">
        <f t="shared" si="2768"/>
        <v>1</v>
      </c>
      <c r="P1384" s="62" t="str">
        <f t="shared" si="2768"/>
        <v/>
      </c>
      <c r="Q1384" s="62" t="str">
        <f t="shared" si="2768"/>
        <v/>
      </c>
      <c r="R1384" s="62">
        <f t="shared" si="7"/>
        <v>0</v>
      </c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</row>
    <row r="1385" hidden="1">
      <c r="A1385" s="60">
        <f>IFERROR(__xludf.DUMMYFUNCTION("""COMPUTED_VALUE"""),15895.0)</f>
        <v>15895</v>
      </c>
      <c r="B1385" s="60" t="str">
        <f>IFERROR(__xludf.DUMMYFUNCTION("""COMPUTED_VALUE"""),"McCollum, Zyon")</f>
        <v>McCollum, Zyon</v>
      </c>
      <c r="C1385" s="60" t="str">
        <f>IFERROR(__xludf.DUMMYFUNCTION("""COMPUTED_VALUE"""),"CB")</f>
        <v>CB</v>
      </c>
      <c r="D1385" s="60" t="str">
        <f>IFERROR(__xludf.DUMMYFUNCTION("""COMPUTED_VALUE"""),"TBB")</f>
        <v>TBB</v>
      </c>
      <c r="E1385" s="62" t="str">
        <f t="shared" si="4"/>
        <v>Zyon McCollum</v>
      </c>
      <c r="F1385" s="62">
        <f t="shared" ref="F1385:G1385" si="2769">IF(isblank(F$1),,IF(isblank($A1385),,IFERROR(vlookup($A1385,indirect("'TVC-"&amp;text(month(F$1),"00")&amp;"'!$A:$D"),4,false),1)))</f>
        <v>1</v>
      </c>
      <c r="G1385" s="62">
        <f t="shared" si="2769"/>
        <v>1</v>
      </c>
      <c r="H1385" s="62">
        <f t="shared" ref="H1385:Q1385" si="2770">IF(isblank(H$1),,IFERROR(vlookup($A1385,indirect("'TVC-"&amp;text(month(H$1),"00")&amp;"'!$A:$D"),4,false),1))</f>
        <v>1</v>
      </c>
      <c r="I1385" s="62">
        <f t="shared" si="2770"/>
        <v>1</v>
      </c>
      <c r="J1385" s="62">
        <f t="shared" si="2770"/>
        <v>1</v>
      </c>
      <c r="K1385" s="62">
        <f t="shared" si="2770"/>
        <v>1</v>
      </c>
      <c r="L1385" s="62">
        <f t="shared" si="2770"/>
        <v>1</v>
      </c>
      <c r="M1385" s="62">
        <f t="shared" si="2770"/>
        <v>1</v>
      </c>
      <c r="N1385" s="62">
        <f t="shared" si="2770"/>
        <v>1</v>
      </c>
      <c r="O1385" s="62">
        <f t="shared" si="2770"/>
        <v>1</v>
      </c>
      <c r="P1385" s="62" t="str">
        <f t="shared" si="2770"/>
        <v/>
      </c>
      <c r="Q1385" s="62" t="str">
        <f t="shared" si="2770"/>
        <v/>
      </c>
      <c r="R1385" s="62">
        <f t="shared" si="7"/>
        <v>0</v>
      </c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</row>
    <row r="1386" hidden="1">
      <c r="A1386" s="60">
        <f>IFERROR(__xludf.DUMMYFUNCTION("""COMPUTED_VALUE"""),15897.0)</f>
        <v>15897</v>
      </c>
      <c r="B1386" s="60" t="str">
        <f>IFERROR(__xludf.DUMMYFUNCTION("""COMPUTED_VALUE"""),"Johnson, Eric")</f>
        <v>Johnson, Eric</v>
      </c>
      <c r="C1386" s="60" t="str">
        <f>IFERROR(__xludf.DUMMYFUNCTION("""COMPUTED_VALUE"""),"DT")</f>
        <v>DT</v>
      </c>
      <c r="D1386" s="60" t="str">
        <f>IFERROR(__xludf.DUMMYFUNCTION("""COMPUTED_VALUE"""),"GBP")</f>
        <v>GBP</v>
      </c>
      <c r="E1386" s="62" t="str">
        <f t="shared" si="4"/>
        <v>Eric Johnson</v>
      </c>
      <c r="F1386" s="62">
        <f t="shared" ref="F1386:G1386" si="2771">IF(isblank(F$1),,IF(isblank($A1386),,IFERROR(vlookup($A1386,indirect("'TVC-"&amp;text(month(F$1),"00")&amp;"'!$A:$D"),4,false),1)))</f>
        <v>1</v>
      </c>
      <c r="G1386" s="62">
        <f t="shared" si="2771"/>
        <v>1</v>
      </c>
      <c r="H1386" s="62">
        <f t="shared" ref="H1386:Q1386" si="2772">IF(isblank(H$1),,IFERROR(vlookup($A1386,indirect("'TVC-"&amp;text(month(H$1),"00")&amp;"'!$A:$D"),4,false),1))</f>
        <v>1</v>
      </c>
      <c r="I1386" s="62">
        <f t="shared" si="2772"/>
        <v>1</v>
      </c>
      <c r="J1386" s="62">
        <f t="shared" si="2772"/>
        <v>1</v>
      </c>
      <c r="K1386" s="62">
        <f t="shared" si="2772"/>
        <v>1</v>
      </c>
      <c r="L1386" s="62">
        <f t="shared" si="2772"/>
        <v>1</v>
      </c>
      <c r="M1386" s="62">
        <f t="shared" si="2772"/>
        <v>1</v>
      </c>
      <c r="N1386" s="62">
        <f t="shared" si="2772"/>
        <v>1</v>
      </c>
      <c r="O1386" s="62">
        <f t="shared" si="2772"/>
        <v>1</v>
      </c>
      <c r="P1386" s="62" t="str">
        <f t="shared" si="2772"/>
        <v/>
      </c>
      <c r="Q1386" s="62" t="str">
        <f t="shared" si="2772"/>
        <v/>
      </c>
      <c r="R1386" s="62">
        <f t="shared" si="7"/>
        <v>0</v>
      </c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</row>
    <row r="1387" hidden="1">
      <c r="A1387" s="60">
        <f>IFERROR(__xludf.DUMMYFUNCTION("""COMPUTED_VALUE"""),15898.0)</f>
        <v>15898</v>
      </c>
      <c r="B1387" s="60" t="str">
        <f>IFERROR(__xludf.DUMMYFUNCTION("""COMPUTED_VALUE"""),"Ogbonnia, Otito")</f>
        <v>Ogbonnia, Otito</v>
      </c>
      <c r="C1387" s="60" t="str">
        <f>IFERROR(__xludf.DUMMYFUNCTION("""COMPUTED_VALUE"""),"DT")</f>
        <v>DT</v>
      </c>
      <c r="D1387" s="60" t="str">
        <f>IFERROR(__xludf.DUMMYFUNCTION("""COMPUTED_VALUE"""),"DAL")</f>
        <v>DAL</v>
      </c>
      <c r="E1387" s="62" t="str">
        <f t="shared" si="4"/>
        <v>Otito Ogbonnia</v>
      </c>
      <c r="F1387" s="62">
        <f t="shared" ref="F1387:G1387" si="2773">IF(isblank(F$1),,IF(isblank($A1387),,IFERROR(vlookup($A1387,indirect("'TVC-"&amp;text(month(F$1),"00")&amp;"'!$A:$D"),4,false),1)))</f>
        <v>1</v>
      </c>
      <c r="G1387" s="62">
        <f t="shared" si="2773"/>
        <v>1</v>
      </c>
      <c r="H1387" s="62">
        <f t="shared" ref="H1387:Q1387" si="2774">IF(isblank(H$1),,IFERROR(vlookup($A1387,indirect("'TVC-"&amp;text(month(H$1),"00")&amp;"'!$A:$D"),4,false),1))</f>
        <v>1</v>
      </c>
      <c r="I1387" s="62">
        <f t="shared" si="2774"/>
        <v>1</v>
      </c>
      <c r="J1387" s="62">
        <f t="shared" si="2774"/>
        <v>1</v>
      </c>
      <c r="K1387" s="62">
        <f t="shared" si="2774"/>
        <v>1</v>
      </c>
      <c r="L1387" s="62">
        <f t="shared" si="2774"/>
        <v>1</v>
      </c>
      <c r="M1387" s="62">
        <f t="shared" si="2774"/>
        <v>1</v>
      </c>
      <c r="N1387" s="62">
        <f t="shared" si="2774"/>
        <v>1</v>
      </c>
      <c r="O1387" s="62">
        <f t="shared" si="2774"/>
        <v>1</v>
      </c>
      <c r="P1387" s="62" t="str">
        <f t="shared" si="2774"/>
        <v/>
      </c>
      <c r="Q1387" s="62" t="str">
        <f t="shared" si="2774"/>
        <v/>
      </c>
      <c r="R1387" s="62">
        <f t="shared" si="7"/>
        <v>0</v>
      </c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</row>
    <row r="1388" hidden="1">
      <c r="A1388" s="60">
        <f>IFERROR(__xludf.DUMMYFUNCTION("""COMPUTED_VALUE"""),15899.0)</f>
        <v>15899</v>
      </c>
      <c r="B1388" s="60" t="str">
        <f>IFERROR(__xludf.DUMMYFUNCTION("""COMPUTED_VALUE"""),"Jackson, D'Marco")</f>
        <v>Jackson, D'Marco</v>
      </c>
      <c r="C1388" s="60" t="str">
        <f>IFERROR(__xludf.DUMMYFUNCTION("""COMPUTED_VALUE"""),"LB")</f>
        <v>LB</v>
      </c>
      <c r="D1388" s="60" t="str">
        <f>IFERROR(__xludf.DUMMYFUNCTION("""COMPUTED_VALUE"""),"CHI")</f>
        <v>CHI</v>
      </c>
      <c r="E1388" s="62" t="str">
        <f t="shared" si="4"/>
        <v>D'Marco Jackson</v>
      </c>
      <c r="F1388" s="62">
        <f t="shared" ref="F1388:G1388" si="2775">IF(isblank(F$1),,IF(isblank($A1388),,IFERROR(vlookup($A1388,indirect("'TVC-"&amp;text(month(F$1),"00")&amp;"'!$A:$D"),4,false),1)))</f>
        <v>1</v>
      </c>
      <c r="G1388" s="62">
        <f t="shared" si="2775"/>
        <v>1</v>
      </c>
      <c r="H1388" s="62">
        <f t="shared" ref="H1388:Q1388" si="2776">IF(isblank(H$1),,IFERROR(vlookup($A1388,indirect("'TVC-"&amp;text(month(H$1),"00")&amp;"'!$A:$D"),4,false),1))</f>
        <v>1</v>
      </c>
      <c r="I1388" s="62">
        <f t="shared" si="2776"/>
        <v>1</v>
      </c>
      <c r="J1388" s="62">
        <f t="shared" si="2776"/>
        <v>1</v>
      </c>
      <c r="K1388" s="62">
        <f t="shared" si="2776"/>
        <v>1</v>
      </c>
      <c r="L1388" s="62">
        <f t="shared" si="2776"/>
        <v>1</v>
      </c>
      <c r="M1388" s="62">
        <f t="shared" si="2776"/>
        <v>1</v>
      </c>
      <c r="N1388" s="62">
        <f t="shared" si="2776"/>
        <v>1</v>
      </c>
      <c r="O1388" s="62">
        <f t="shared" si="2776"/>
        <v>1</v>
      </c>
      <c r="P1388" s="62" t="str">
        <f t="shared" si="2776"/>
        <v/>
      </c>
      <c r="Q1388" s="62" t="str">
        <f t="shared" si="2776"/>
        <v/>
      </c>
      <c r="R1388" s="62">
        <f t="shared" si="7"/>
        <v>0</v>
      </c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</row>
    <row r="1389" hidden="1">
      <c r="A1389" s="60">
        <f>IFERROR(__xludf.DUMMYFUNCTION("""COMPUTED_VALUE"""),15902.0)</f>
        <v>15902</v>
      </c>
      <c r="B1389" s="60" t="str">
        <f>IFERROR(__xludf.DUMMYFUNCTION("""COMPUTED_VALUE"""),"Otomewo, Esezi")</f>
        <v>Otomewo, Esezi</v>
      </c>
      <c r="C1389" s="60" t="str">
        <f>IFERROR(__xludf.DUMMYFUNCTION("""COMPUTED_VALUE"""),"DT")</f>
        <v>DT</v>
      </c>
      <c r="D1389" s="60" t="str">
        <f>IFERROR(__xludf.DUMMYFUNCTION("""COMPUTED_VALUE"""),"PIT")</f>
        <v>PIT</v>
      </c>
      <c r="E1389" s="62" t="str">
        <f t="shared" si="4"/>
        <v>Esezi Otomewo</v>
      </c>
      <c r="F1389" s="62">
        <f t="shared" ref="F1389:G1389" si="2777">IF(isblank(F$1),,IF(isblank($A1389),,IFERROR(vlookup($A1389,indirect("'TVC-"&amp;text(month(F$1),"00")&amp;"'!$A:$D"),4,false),1)))</f>
        <v>1</v>
      </c>
      <c r="G1389" s="62">
        <f t="shared" si="2777"/>
        <v>1</v>
      </c>
      <c r="H1389" s="62">
        <f t="shared" ref="H1389:Q1389" si="2778">IF(isblank(H$1),,IFERROR(vlookup($A1389,indirect("'TVC-"&amp;text(month(H$1),"00")&amp;"'!$A:$D"),4,false),1))</f>
        <v>1</v>
      </c>
      <c r="I1389" s="62">
        <f t="shared" si="2778"/>
        <v>1</v>
      </c>
      <c r="J1389" s="62">
        <f t="shared" si="2778"/>
        <v>1</v>
      </c>
      <c r="K1389" s="62">
        <f t="shared" si="2778"/>
        <v>1</v>
      </c>
      <c r="L1389" s="62">
        <f t="shared" si="2778"/>
        <v>1</v>
      </c>
      <c r="M1389" s="62">
        <f t="shared" si="2778"/>
        <v>1</v>
      </c>
      <c r="N1389" s="62">
        <f t="shared" si="2778"/>
        <v>1</v>
      </c>
      <c r="O1389" s="62">
        <f t="shared" si="2778"/>
        <v>1</v>
      </c>
      <c r="P1389" s="62" t="str">
        <f t="shared" si="2778"/>
        <v/>
      </c>
      <c r="Q1389" s="62" t="str">
        <f t="shared" si="2778"/>
        <v/>
      </c>
      <c r="R1389" s="62">
        <f t="shared" si="7"/>
        <v>0</v>
      </c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</row>
    <row r="1390" hidden="1">
      <c r="A1390" s="60">
        <f>IFERROR(__xludf.DUMMYFUNCTION("""COMPUTED_VALUE"""),15903.0)</f>
        <v>15903</v>
      </c>
      <c r="B1390" s="60" t="str">
        <f>IFERROR(__xludf.DUMMYFUNCTION("""COMPUTED_VALUE"""),"Anderson, Tycen")</f>
        <v>Anderson, Tycen</v>
      </c>
      <c r="C1390" s="60" t="str">
        <f>IFERROR(__xludf.DUMMYFUNCTION("""COMPUTED_VALUE"""),"S")</f>
        <v>S</v>
      </c>
      <c r="D1390" s="60" t="str">
        <f>IFERROR(__xludf.DUMMYFUNCTION("""COMPUTED_VALUE"""),"DEN")</f>
        <v>DEN</v>
      </c>
      <c r="E1390" s="62" t="str">
        <f t="shared" si="4"/>
        <v>Tycen Anderson</v>
      </c>
      <c r="F1390" s="62">
        <f t="shared" ref="F1390:G1390" si="2779">IF(isblank(F$1),,IF(isblank($A1390),,IFERROR(vlookup($A1390,indirect("'TVC-"&amp;text(month(F$1),"00")&amp;"'!$A:$D"),4,false),1)))</f>
        <v>1</v>
      </c>
      <c r="G1390" s="62">
        <f t="shared" si="2779"/>
        <v>1</v>
      </c>
      <c r="H1390" s="62">
        <f t="shared" ref="H1390:Q1390" si="2780">IF(isblank(H$1),,IFERROR(vlookup($A1390,indirect("'TVC-"&amp;text(month(H$1),"00")&amp;"'!$A:$D"),4,false),1))</f>
        <v>1</v>
      </c>
      <c r="I1390" s="62">
        <f t="shared" si="2780"/>
        <v>1</v>
      </c>
      <c r="J1390" s="62">
        <f t="shared" si="2780"/>
        <v>1</v>
      </c>
      <c r="K1390" s="62">
        <f t="shared" si="2780"/>
        <v>1</v>
      </c>
      <c r="L1390" s="62">
        <f t="shared" si="2780"/>
        <v>1</v>
      </c>
      <c r="M1390" s="62">
        <f t="shared" si="2780"/>
        <v>1</v>
      </c>
      <c r="N1390" s="62">
        <f t="shared" si="2780"/>
        <v>1</v>
      </c>
      <c r="O1390" s="62">
        <f t="shared" si="2780"/>
        <v>1</v>
      </c>
      <c r="P1390" s="62" t="str">
        <f t="shared" si="2780"/>
        <v/>
      </c>
      <c r="Q1390" s="62" t="str">
        <f t="shared" si="2780"/>
        <v/>
      </c>
      <c r="R1390" s="62">
        <f t="shared" si="7"/>
        <v>0</v>
      </c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</row>
    <row r="1391" hidden="1">
      <c r="A1391" s="60">
        <f>IFERROR(__xludf.DUMMYFUNCTION("""COMPUTED_VALUE"""),15904.0)</f>
        <v>15904</v>
      </c>
      <c r="B1391" s="60" t="str">
        <f>IFERROR(__xludf.DUMMYFUNCTION("""COMPUTED_VALUE"""),"Bland, DaRon")</f>
        <v>Bland, DaRon</v>
      </c>
      <c r="C1391" s="60" t="str">
        <f>IFERROR(__xludf.DUMMYFUNCTION("""COMPUTED_VALUE"""),"CB")</f>
        <v>CB</v>
      </c>
      <c r="D1391" s="60" t="str">
        <f>IFERROR(__xludf.DUMMYFUNCTION("""COMPUTED_VALUE"""),"DAL")</f>
        <v>DAL</v>
      </c>
      <c r="E1391" s="62" t="str">
        <f t="shared" si="4"/>
        <v>DaRon Bland</v>
      </c>
      <c r="F1391" s="62">
        <f t="shared" ref="F1391:G1391" si="2781">IF(isblank(F$1),,IF(isblank($A1391),,IFERROR(vlookup($A1391,indirect("'TVC-"&amp;text(month(F$1),"00")&amp;"'!$A:$D"),4,false),1)))</f>
        <v>1</v>
      </c>
      <c r="G1391" s="62">
        <f t="shared" si="2781"/>
        <v>1</v>
      </c>
      <c r="H1391" s="62">
        <f t="shared" ref="H1391:Q1391" si="2782">IF(isblank(H$1),,IFERROR(vlookup($A1391,indirect("'TVC-"&amp;text(month(H$1),"00")&amp;"'!$A:$D"),4,false),1))</f>
        <v>1</v>
      </c>
      <c r="I1391" s="62">
        <f t="shared" si="2782"/>
        <v>1</v>
      </c>
      <c r="J1391" s="62">
        <f t="shared" si="2782"/>
        <v>1</v>
      </c>
      <c r="K1391" s="62">
        <f t="shared" si="2782"/>
        <v>1</v>
      </c>
      <c r="L1391" s="62">
        <f t="shared" si="2782"/>
        <v>1</v>
      </c>
      <c r="M1391" s="62">
        <f t="shared" si="2782"/>
        <v>1</v>
      </c>
      <c r="N1391" s="62">
        <f t="shared" si="2782"/>
        <v>1</v>
      </c>
      <c r="O1391" s="62">
        <f t="shared" si="2782"/>
        <v>1</v>
      </c>
      <c r="P1391" s="62" t="str">
        <f t="shared" si="2782"/>
        <v/>
      </c>
      <c r="Q1391" s="62" t="str">
        <f t="shared" si="2782"/>
        <v/>
      </c>
      <c r="R1391" s="62">
        <f t="shared" si="7"/>
        <v>0</v>
      </c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</row>
    <row r="1392" hidden="1">
      <c r="A1392" s="60">
        <f>IFERROR(__xludf.DUMMYFUNCTION("""COMPUTED_VALUE"""),15905.0)</f>
        <v>15905</v>
      </c>
      <c r="B1392" s="60" t="str">
        <f>IFERROR(__xludf.DUMMYFUNCTION("""COMPUTED_VALUE"""),"Quitoriano, Teagan")</f>
        <v>Quitoriano, Teagan</v>
      </c>
      <c r="C1392" s="60" t="str">
        <f>IFERROR(__xludf.DUMMYFUNCTION("""COMPUTED_VALUE"""),"TE")</f>
        <v>TE</v>
      </c>
      <c r="D1392" s="60" t="str">
        <f>IFERROR(__xludf.DUMMYFUNCTION("""COMPUTED_VALUE"""),"ARI")</f>
        <v>ARI</v>
      </c>
      <c r="E1392" s="62" t="str">
        <f t="shared" si="4"/>
        <v>Teagan Quitoriano</v>
      </c>
      <c r="F1392" s="62">
        <f t="shared" ref="F1392:G1392" si="2783">IF(isblank(F$1),,IF(isblank($A1392),,IFERROR(vlookup($A1392,indirect("'TVC-"&amp;text(month(F$1),"00")&amp;"'!$A:$D"),4,false),1)))</f>
        <v>1</v>
      </c>
      <c r="G1392" s="62">
        <f t="shared" si="2783"/>
        <v>1</v>
      </c>
      <c r="H1392" s="62">
        <f t="shared" ref="H1392:Q1392" si="2784">IF(isblank(H$1),,IFERROR(vlookup($A1392,indirect("'TVC-"&amp;text(month(H$1),"00")&amp;"'!$A:$D"),4,false),1))</f>
        <v>1</v>
      </c>
      <c r="I1392" s="62">
        <f t="shared" si="2784"/>
        <v>1</v>
      </c>
      <c r="J1392" s="62">
        <f t="shared" si="2784"/>
        <v>1</v>
      </c>
      <c r="K1392" s="62">
        <f t="shared" si="2784"/>
        <v>1</v>
      </c>
      <c r="L1392" s="62">
        <f t="shared" si="2784"/>
        <v>1</v>
      </c>
      <c r="M1392" s="62">
        <f t="shared" si="2784"/>
        <v>1</v>
      </c>
      <c r="N1392" s="62">
        <f t="shared" si="2784"/>
        <v>1</v>
      </c>
      <c r="O1392" s="62">
        <f t="shared" si="2784"/>
        <v>1</v>
      </c>
      <c r="P1392" s="62" t="str">
        <f t="shared" si="2784"/>
        <v/>
      </c>
      <c r="Q1392" s="62" t="str">
        <f t="shared" si="2784"/>
        <v/>
      </c>
      <c r="R1392" s="62">
        <f t="shared" si="7"/>
        <v>0</v>
      </c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</row>
    <row r="1393" hidden="1">
      <c r="A1393" s="60">
        <f>IFERROR(__xludf.DUMMYFUNCTION("""COMPUTED_VALUE"""),15906.0)</f>
        <v>15906</v>
      </c>
      <c r="B1393" s="60" t="str">
        <f>IFERROR(__xludf.DUMMYFUNCTION("""COMPUTED_VALUE"""),"Womack, Samuel")</f>
        <v>Womack, Samuel</v>
      </c>
      <c r="C1393" s="60" t="str">
        <f>IFERROR(__xludf.DUMMYFUNCTION("""COMPUTED_VALUE"""),"CB")</f>
        <v>CB</v>
      </c>
      <c r="D1393" s="60" t="str">
        <f>IFERROR(__xludf.DUMMYFUNCTION("""COMPUTED_VALUE"""),"NYJ")</f>
        <v>NYJ</v>
      </c>
      <c r="E1393" s="62" t="str">
        <f t="shared" si="4"/>
        <v>Samuel Womack</v>
      </c>
      <c r="F1393" s="62">
        <f t="shared" ref="F1393:G1393" si="2785">IF(isblank(F$1),,IF(isblank($A1393),,IFERROR(vlookup($A1393,indirect("'TVC-"&amp;text(month(F$1),"00")&amp;"'!$A:$D"),4,false),1)))</f>
        <v>1</v>
      </c>
      <c r="G1393" s="62">
        <f t="shared" si="2785"/>
        <v>1</v>
      </c>
      <c r="H1393" s="62">
        <f t="shared" ref="H1393:Q1393" si="2786">IF(isblank(H$1),,IFERROR(vlookup($A1393,indirect("'TVC-"&amp;text(month(H$1),"00")&amp;"'!$A:$D"),4,false),1))</f>
        <v>1</v>
      </c>
      <c r="I1393" s="62">
        <f t="shared" si="2786"/>
        <v>1</v>
      </c>
      <c r="J1393" s="62">
        <f t="shared" si="2786"/>
        <v>1</v>
      </c>
      <c r="K1393" s="62">
        <f t="shared" si="2786"/>
        <v>1</v>
      </c>
      <c r="L1393" s="62">
        <f t="shared" si="2786"/>
        <v>1</v>
      </c>
      <c r="M1393" s="62">
        <f t="shared" si="2786"/>
        <v>1</v>
      </c>
      <c r="N1393" s="62">
        <f t="shared" si="2786"/>
        <v>1</v>
      </c>
      <c r="O1393" s="62">
        <f t="shared" si="2786"/>
        <v>1</v>
      </c>
      <c r="P1393" s="62" t="str">
        <f t="shared" si="2786"/>
        <v/>
      </c>
      <c r="Q1393" s="62" t="str">
        <f t="shared" si="2786"/>
        <v/>
      </c>
      <c r="R1393" s="62">
        <f t="shared" si="7"/>
        <v>0</v>
      </c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</row>
    <row r="1394" hidden="1">
      <c r="A1394" s="60">
        <f>IFERROR(__xludf.DUMMYFUNCTION("""COMPUTED_VALUE"""),15907.0)</f>
        <v>15907</v>
      </c>
      <c r="B1394" s="60" t="str">
        <f>IFERROR(__xludf.DUMMYFUNCTION("""COMPUTED_VALUE"""),"Robinson, Dominique")</f>
        <v>Robinson, Dominique</v>
      </c>
      <c r="C1394" s="60" t="str">
        <f>IFERROR(__xludf.DUMMYFUNCTION("""COMPUTED_VALUE"""),"DE")</f>
        <v>DE</v>
      </c>
      <c r="D1394" s="60" t="str">
        <f>IFERROR(__xludf.DUMMYFUNCTION("""COMPUTED_VALUE"""),"HOU")</f>
        <v>HOU</v>
      </c>
      <c r="E1394" s="62" t="str">
        <f t="shared" si="4"/>
        <v>Dominique Robinson</v>
      </c>
      <c r="F1394" s="62">
        <f t="shared" ref="F1394:G1394" si="2787">IF(isblank(F$1),,IF(isblank($A1394),,IFERROR(vlookup($A1394,indirect("'TVC-"&amp;text(month(F$1),"00")&amp;"'!$A:$D"),4,false),1)))</f>
        <v>1</v>
      </c>
      <c r="G1394" s="62">
        <f t="shared" si="2787"/>
        <v>1</v>
      </c>
      <c r="H1394" s="62">
        <f t="shared" ref="H1394:Q1394" si="2788">IF(isblank(H$1),,IFERROR(vlookup($A1394,indirect("'TVC-"&amp;text(month(H$1),"00")&amp;"'!$A:$D"),4,false),1))</f>
        <v>1</v>
      </c>
      <c r="I1394" s="62">
        <f t="shared" si="2788"/>
        <v>1</v>
      </c>
      <c r="J1394" s="62">
        <f t="shared" si="2788"/>
        <v>1</v>
      </c>
      <c r="K1394" s="62">
        <f t="shared" si="2788"/>
        <v>1</v>
      </c>
      <c r="L1394" s="62">
        <f t="shared" si="2788"/>
        <v>1</v>
      </c>
      <c r="M1394" s="62">
        <f t="shared" si="2788"/>
        <v>1</v>
      </c>
      <c r="N1394" s="62">
        <f t="shared" si="2788"/>
        <v>1</v>
      </c>
      <c r="O1394" s="62">
        <f t="shared" si="2788"/>
        <v>1</v>
      </c>
      <c r="P1394" s="62" t="str">
        <f t="shared" si="2788"/>
        <v/>
      </c>
      <c r="Q1394" s="62" t="str">
        <f t="shared" si="2788"/>
        <v/>
      </c>
      <c r="R1394" s="62">
        <f t="shared" si="7"/>
        <v>0</v>
      </c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</row>
    <row r="1395" hidden="1">
      <c r="A1395" s="60">
        <f>IFERROR(__xludf.DUMMYFUNCTION("""COMPUTED_VALUE"""),15908.0)</f>
        <v>15908</v>
      </c>
      <c r="B1395" s="60" t="str">
        <f>IFERROR(__xludf.DUMMYFUNCTION("""COMPUTED_VALUE"""),"Butler, Matthew")</f>
        <v>Butler, Matthew</v>
      </c>
      <c r="C1395" s="60" t="str">
        <f>IFERROR(__xludf.DUMMYFUNCTION("""COMPUTED_VALUE"""),"DT")</f>
        <v>DT</v>
      </c>
      <c r="D1395" s="60" t="str">
        <f>IFERROR(__xludf.DUMMYFUNCTION("""COMPUTED_VALUE"""),"FA")</f>
        <v>FA</v>
      </c>
      <c r="E1395" s="62" t="str">
        <f t="shared" si="4"/>
        <v>Matthew Butler</v>
      </c>
      <c r="F1395" s="62">
        <f t="shared" ref="F1395:G1395" si="2789">IF(isblank(F$1),,IF(isblank($A1395),,IFERROR(vlookup($A1395,indirect("'TVC-"&amp;text(month(F$1),"00")&amp;"'!$A:$D"),4,false),1)))</f>
        <v>1</v>
      </c>
      <c r="G1395" s="62">
        <f t="shared" si="2789"/>
        <v>1</v>
      </c>
      <c r="H1395" s="62">
        <f t="shared" ref="H1395:Q1395" si="2790">IF(isblank(H$1),,IFERROR(vlookup($A1395,indirect("'TVC-"&amp;text(month(H$1),"00")&amp;"'!$A:$D"),4,false),1))</f>
        <v>1</v>
      </c>
      <c r="I1395" s="62">
        <f t="shared" si="2790"/>
        <v>1</v>
      </c>
      <c r="J1395" s="62">
        <f t="shared" si="2790"/>
        <v>1</v>
      </c>
      <c r="K1395" s="62">
        <f t="shared" si="2790"/>
        <v>1</v>
      </c>
      <c r="L1395" s="62">
        <f t="shared" si="2790"/>
        <v>1</v>
      </c>
      <c r="M1395" s="62">
        <f t="shared" si="2790"/>
        <v>1</v>
      </c>
      <c r="N1395" s="62">
        <f t="shared" si="2790"/>
        <v>1</v>
      </c>
      <c r="O1395" s="62">
        <f t="shared" si="2790"/>
        <v>1</v>
      </c>
      <c r="P1395" s="62" t="str">
        <f t="shared" si="2790"/>
        <v/>
      </c>
      <c r="Q1395" s="62" t="str">
        <f t="shared" si="2790"/>
        <v/>
      </c>
      <c r="R1395" s="62">
        <f t="shared" si="7"/>
        <v>0</v>
      </c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</row>
    <row r="1396" hidden="1">
      <c r="A1396" s="60">
        <f>IFERROR(__xludf.DUMMYFUNCTION("""COMPUTED_VALUE"""),15909.0)</f>
        <v>15909</v>
      </c>
      <c r="B1396" s="60" t="str">
        <f>IFERROR(__xludf.DUMMYFUNCTION("""COMPUTED_VALUE"""),"Mitchell, James")</f>
        <v>Mitchell, James</v>
      </c>
      <c r="C1396" s="60" t="str">
        <f>IFERROR(__xludf.DUMMYFUNCTION("""COMPUTED_VALUE"""),"TE")</f>
        <v>TE</v>
      </c>
      <c r="D1396" s="60" t="str">
        <f>IFERROR(__xludf.DUMMYFUNCTION("""COMPUTED_VALUE"""),"CAR")</f>
        <v>CAR</v>
      </c>
      <c r="E1396" s="62" t="str">
        <f t="shared" si="4"/>
        <v>James Mitchell</v>
      </c>
      <c r="F1396" s="62">
        <f t="shared" ref="F1396:G1396" si="2791">IF(isblank(F$1),,IF(isblank($A1396),,IFERROR(vlookup($A1396,indirect("'TVC-"&amp;text(month(F$1),"00")&amp;"'!$A:$D"),4,false),1)))</f>
        <v>1</v>
      </c>
      <c r="G1396" s="62">
        <f t="shared" si="2791"/>
        <v>1</v>
      </c>
      <c r="H1396" s="62">
        <f t="shared" ref="H1396:Q1396" si="2792">IF(isblank(H$1),,IFERROR(vlookup($A1396,indirect("'TVC-"&amp;text(month(H$1),"00")&amp;"'!$A:$D"),4,false),1))</f>
        <v>1</v>
      </c>
      <c r="I1396" s="62">
        <f t="shared" si="2792"/>
        <v>1</v>
      </c>
      <c r="J1396" s="62">
        <f t="shared" si="2792"/>
        <v>1</v>
      </c>
      <c r="K1396" s="62">
        <f t="shared" si="2792"/>
        <v>1</v>
      </c>
      <c r="L1396" s="62">
        <f t="shared" si="2792"/>
        <v>1</v>
      </c>
      <c r="M1396" s="62">
        <f t="shared" si="2792"/>
        <v>1</v>
      </c>
      <c r="N1396" s="62">
        <f t="shared" si="2792"/>
        <v>1</v>
      </c>
      <c r="O1396" s="62">
        <f t="shared" si="2792"/>
        <v>1</v>
      </c>
      <c r="P1396" s="62" t="str">
        <f t="shared" si="2792"/>
        <v/>
      </c>
      <c r="Q1396" s="62" t="str">
        <f t="shared" si="2792"/>
        <v/>
      </c>
      <c r="R1396" s="62">
        <f t="shared" si="7"/>
        <v>0</v>
      </c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</row>
    <row r="1397" hidden="1">
      <c r="A1397" s="60">
        <f>IFERROR(__xludf.DUMMYFUNCTION("""COMPUTED_VALUE"""),15910.0)</f>
        <v>15910</v>
      </c>
      <c r="B1397" s="60" t="str">
        <f>IFERROR(__xludf.DUMMYFUNCTION("""COMPUTED_VALUE"""),"Ridgeway, John")</f>
        <v>Ridgeway, John</v>
      </c>
      <c r="C1397" s="60" t="str">
        <f>IFERROR(__xludf.DUMMYFUNCTION("""COMPUTED_VALUE"""),"DT")</f>
        <v>DT</v>
      </c>
      <c r="D1397" s="60" t="str">
        <f>IFERROR(__xludf.DUMMYFUNCTION("""COMPUTED_VALUE"""),"NOS")</f>
        <v>NOS</v>
      </c>
      <c r="E1397" s="62" t="str">
        <f t="shared" si="4"/>
        <v>John Ridgeway</v>
      </c>
      <c r="F1397" s="62">
        <f t="shared" ref="F1397:G1397" si="2793">IF(isblank(F$1),,IF(isblank($A1397),,IFERROR(vlookup($A1397,indirect("'TVC-"&amp;text(month(F$1),"00")&amp;"'!$A:$D"),4,false),1)))</f>
        <v>1</v>
      </c>
      <c r="G1397" s="62">
        <f t="shared" si="2793"/>
        <v>1</v>
      </c>
      <c r="H1397" s="62">
        <f t="shared" ref="H1397:Q1397" si="2794">IF(isblank(H$1),,IFERROR(vlookup($A1397,indirect("'TVC-"&amp;text(month(H$1),"00")&amp;"'!$A:$D"),4,false),1))</f>
        <v>1</v>
      </c>
      <c r="I1397" s="62">
        <f t="shared" si="2794"/>
        <v>1</v>
      </c>
      <c r="J1397" s="62">
        <f t="shared" si="2794"/>
        <v>1</v>
      </c>
      <c r="K1397" s="62">
        <f t="shared" si="2794"/>
        <v>1</v>
      </c>
      <c r="L1397" s="62">
        <f t="shared" si="2794"/>
        <v>1</v>
      </c>
      <c r="M1397" s="62">
        <f t="shared" si="2794"/>
        <v>1</v>
      </c>
      <c r="N1397" s="62">
        <f t="shared" si="2794"/>
        <v>1</v>
      </c>
      <c r="O1397" s="62">
        <f t="shared" si="2794"/>
        <v>1</v>
      </c>
      <c r="P1397" s="62" t="str">
        <f t="shared" si="2794"/>
        <v/>
      </c>
      <c r="Q1397" s="62" t="str">
        <f t="shared" si="2794"/>
        <v/>
      </c>
      <c r="R1397" s="62">
        <f t="shared" si="7"/>
        <v>0</v>
      </c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</row>
    <row r="1398" hidden="1">
      <c r="A1398" s="60">
        <f>IFERROR(__xludf.DUMMYFUNCTION("""COMPUTED_VALUE"""),15911.0)</f>
        <v>15911</v>
      </c>
      <c r="B1398" s="60" t="str">
        <f>IFERROR(__xludf.DUMMYFUNCTION("""COMPUTED_VALUE"""),"Araiza, Matt")</f>
        <v>Araiza, Matt</v>
      </c>
      <c r="C1398" s="60" t="str">
        <f>IFERROR(__xludf.DUMMYFUNCTION("""COMPUTED_VALUE"""),"PN")</f>
        <v>PN</v>
      </c>
      <c r="D1398" s="60" t="str">
        <f>IFERROR(__xludf.DUMMYFUNCTION("""COMPUTED_VALUE"""),"KCC")</f>
        <v>KCC</v>
      </c>
      <c r="E1398" s="62" t="str">
        <f t="shared" si="4"/>
        <v>Matt Araiza</v>
      </c>
      <c r="F1398" s="62">
        <f t="shared" ref="F1398:G1398" si="2795">IF(isblank(F$1),,IF(isblank($A1398),,IFERROR(vlookup($A1398,indirect("'TVC-"&amp;text(month(F$1),"00")&amp;"'!$A:$D"),4,false),1)))</f>
        <v>1</v>
      </c>
      <c r="G1398" s="62">
        <f t="shared" si="2795"/>
        <v>1</v>
      </c>
      <c r="H1398" s="62">
        <f t="shared" ref="H1398:Q1398" si="2796">IF(isblank(H$1),,IFERROR(vlookup($A1398,indirect("'TVC-"&amp;text(month(H$1),"00")&amp;"'!$A:$D"),4,false),1))</f>
        <v>1</v>
      </c>
      <c r="I1398" s="62">
        <f t="shared" si="2796"/>
        <v>1</v>
      </c>
      <c r="J1398" s="62">
        <f t="shared" si="2796"/>
        <v>1</v>
      </c>
      <c r="K1398" s="62">
        <f t="shared" si="2796"/>
        <v>1</v>
      </c>
      <c r="L1398" s="62">
        <f t="shared" si="2796"/>
        <v>1</v>
      </c>
      <c r="M1398" s="62">
        <f t="shared" si="2796"/>
        <v>1</v>
      </c>
      <c r="N1398" s="62">
        <f t="shared" si="2796"/>
        <v>1</v>
      </c>
      <c r="O1398" s="62">
        <f t="shared" si="2796"/>
        <v>1</v>
      </c>
      <c r="P1398" s="62" t="str">
        <f t="shared" si="2796"/>
        <v/>
      </c>
      <c r="Q1398" s="62" t="str">
        <f t="shared" si="2796"/>
        <v/>
      </c>
      <c r="R1398" s="62">
        <f t="shared" si="7"/>
        <v>0</v>
      </c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</row>
    <row r="1399" hidden="1">
      <c r="A1399" s="60">
        <f>IFERROR(__xludf.DUMMYFUNCTION("""COMPUTED_VALUE"""),15913.0)</f>
        <v>15913</v>
      </c>
      <c r="B1399" s="60" t="str">
        <f>IFERROR(__xludf.DUMMYFUNCTION("""COMPUTED_VALUE"""),"Benford, Christian")</f>
        <v>Benford, Christian</v>
      </c>
      <c r="C1399" s="60" t="str">
        <f>IFERROR(__xludf.DUMMYFUNCTION("""COMPUTED_VALUE"""),"CB")</f>
        <v>CB</v>
      </c>
      <c r="D1399" s="60" t="str">
        <f>IFERROR(__xludf.DUMMYFUNCTION("""COMPUTED_VALUE"""),"BUF")</f>
        <v>BUF</v>
      </c>
      <c r="E1399" s="62" t="str">
        <f t="shared" si="4"/>
        <v>Christian Benford</v>
      </c>
      <c r="F1399" s="62">
        <f t="shared" ref="F1399:G1399" si="2797">IF(isblank(F$1),,IF(isblank($A1399),,IFERROR(vlookup($A1399,indirect("'TVC-"&amp;text(month(F$1),"00")&amp;"'!$A:$D"),4,false),1)))</f>
        <v>1</v>
      </c>
      <c r="G1399" s="62">
        <f t="shared" si="2797"/>
        <v>1</v>
      </c>
      <c r="H1399" s="62">
        <f t="shared" ref="H1399:Q1399" si="2798">IF(isblank(H$1),,IFERROR(vlookup($A1399,indirect("'TVC-"&amp;text(month(H$1),"00")&amp;"'!$A:$D"),4,false),1))</f>
        <v>1</v>
      </c>
      <c r="I1399" s="62">
        <f t="shared" si="2798"/>
        <v>1</v>
      </c>
      <c r="J1399" s="62">
        <f t="shared" si="2798"/>
        <v>1</v>
      </c>
      <c r="K1399" s="62">
        <f t="shared" si="2798"/>
        <v>1</v>
      </c>
      <c r="L1399" s="62">
        <f t="shared" si="2798"/>
        <v>1</v>
      </c>
      <c r="M1399" s="62">
        <f t="shared" si="2798"/>
        <v>1</v>
      </c>
      <c r="N1399" s="62">
        <f t="shared" si="2798"/>
        <v>1</v>
      </c>
      <c r="O1399" s="62">
        <f t="shared" si="2798"/>
        <v>1</v>
      </c>
      <c r="P1399" s="62" t="str">
        <f t="shared" si="2798"/>
        <v/>
      </c>
      <c r="Q1399" s="62" t="str">
        <f t="shared" si="2798"/>
        <v/>
      </c>
      <c r="R1399" s="62">
        <f t="shared" si="7"/>
        <v>0</v>
      </c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</row>
    <row r="1400" hidden="1">
      <c r="A1400" s="60">
        <f>IFERROR(__xludf.DUMMYFUNCTION("""COMPUTED_VALUE"""),15914.0)</f>
        <v>15914</v>
      </c>
      <c r="B1400" s="60" t="str">
        <f>IFERROR(__xludf.DUMMYFUNCTION("""COMPUTED_VALUE"""),"Rodriguez, Malcolm")</f>
        <v>Rodriguez, Malcolm</v>
      </c>
      <c r="C1400" s="60" t="str">
        <f>IFERROR(__xludf.DUMMYFUNCTION("""COMPUTED_VALUE"""),"LB")</f>
        <v>LB</v>
      </c>
      <c r="D1400" s="60" t="str">
        <f>IFERROR(__xludf.DUMMYFUNCTION("""COMPUTED_VALUE"""),"DET")</f>
        <v>DET</v>
      </c>
      <c r="E1400" s="62" t="str">
        <f t="shared" si="4"/>
        <v>Malcolm Rodriguez</v>
      </c>
      <c r="F1400" s="62">
        <f t="shared" ref="F1400:G1400" si="2799">IF(isblank(F$1),,IF(isblank($A1400),,IFERROR(vlookup($A1400,indirect("'TVC-"&amp;text(month(F$1),"00")&amp;"'!$A:$D"),4,false),1)))</f>
        <v>1</v>
      </c>
      <c r="G1400" s="62">
        <f t="shared" si="2799"/>
        <v>1</v>
      </c>
      <c r="H1400" s="62">
        <f t="shared" ref="H1400:Q1400" si="2800">IF(isblank(H$1),,IFERROR(vlookup($A1400,indirect("'TVC-"&amp;text(month(H$1),"00")&amp;"'!$A:$D"),4,false),1))</f>
        <v>1</v>
      </c>
      <c r="I1400" s="62">
        <f t="shared" si="2800"/>
        <v>1</v>
      </c>
      <c r="J1400" s="62">
        <f t="shared" si="2800"/>
        <v>1</v>
      </c>
      <c r="K1400" s="62">
        <f t="shared" si="2800"/>
        <v>1</v>
      </c>
      <c r="L1400" s="62">
        <f t="shared" si="2800"/>
        <v>1</v>
      </c>
      <c r="M1400" s="62">
        <f t="shared" si="2800"/>
        <v>1</v>
      </c>
      <c r="N1400" s="62">
        <f t="shared" si="2800"/>
        <v>1</v>
      </c>
      <c r="O1400" s="62">
        <f t="shared" si="2800"/>
        <v>1</v>
      </c>
      <c r="P1400" s="62" t="str">
        <f t="shared" si="2800"/>
        <v/>
      </c>
      <c r="Q1400" s="62" t="str">
        <f t="shared" si="2800"/>
        <v/>
      </c>
      <c r="R1400" s="62">
        <f t="shared" si="7"/>
        <v>0</v>
      </c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</row>
    <row r="1401" hidden="1">
      <c r="A1401" s="60">
        <f>IFERROR(__xludf.DUMMYFUNCTION("""COMPUTED_VALUE"""),15916.0)</f>
        <v>15916</v>
      </c>
      <c r="B1401" s="60" t="str">
        <f>IFERROR(__xludf.DUMMYFUNCTION("""COMPUTED_VALUE"""),"Ogletree, Drew")</f>
        <v>Ogletree, Drew</v>
      </c>
      <c r="C1401" s="60" t="str">
        <f>IFERROR(__xludf.DUMMYFUNCTION("""COMPUTED_VALUE"""),"TE")</f>
        <v>TE</v>
      </c>
      <c r="D1401" s="60" t="str">
        <f>IFERROR(__xludf.DUMMYFUNCTION("""COMPUTED_VALUE"""),"IND")</f>
        <v>IND</v>
      </c>
      <c r="E1401" s="62" t="str">
        <f t="shared" si="4"/>
        <v>Drew Ogletree</v>
      </c>
      <c r="F1401" s="62">
        <f t="shared" ref="F1401:G1401" si="2801">IF(isblank(F$1),,IF(isblank($A1401),,IFERROR(vlookup($A1401,indirect("'TVC-"&amp;text(month(F$1),"00")&amp;"'!$A:$D"),4,false),1)))</f>
        <v>1</v>
      </c>
      <c r="G1401" s="62">
        <f t="shared" si="2801"/>
        <v>1</v>
      </c>
      <c r="H1401" s="62">
        <f t="shared" ref="H1401:Q1401" si="2802">IF(isblank(H$1),,IFERROR(vlookup($A1401,indirect("'TVC-"&amp;text(month(H$1),"00")&amp;"'!$A:$D"),4,false),1))</f>
        <v>1</v>
      </c>
      <c r="I1401" s="62">
        <f t="shared" si="2802"/>
        <v>1</v>
      </c>
      <c r="J1401" s="62">
        <f t="shared" si="2802"/>
        <v>1</v>
      </c>
      <c r="K1401" s="62">
        <f t="shared" si="2802"/>
        <v>1</v>
      </c>
      <c r="L1401" s="62">
        <f t="shared" si="2802"/>
        <v>1</v>
      </c>
      <c r="M1401" s="62">
        <f t="shared" si="2802"/>
        <v>1</v>
      </c>
      <c r="N1401" s="62">
        <f t="shared" si="2802"/>
        <v>1</v>
      </c>
      <c r="O1401" s="62">
        <f t="shared" si="2802"/>
        <v>1</v>
      </c>
      <c r="P1401" s="62" t="str">
        <f t="shared" si="2802"/>
        <v/>
      </c>
      <c r="Q1401" s="62" t="str">
        <f t="shared" si="2802"/>
        <v/>
      </c>
      <c r="R1401" s="62">
        <f t="shared" si="7"/>
        <v>0</v>
      </c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</row>
    <row r="1402" hidden="1">
      <c r="A1402" s="60">
        <f>IFERROR(__xludf.DUMMYFUNCTION("""COMPUTED_VALUE"""),15918.0)</f>
        <v>15918</v>
      </c>
      <c r="B1402" s="60" t="str">
        <f>IFERROR(__xludf.DUMMYFUNCTION("""COMPUTED_VALUE"""),"Jackson, Jordan")</f>
        <v>Jackson, Jordan</v>
      </c>
      <c r="C1402" s="60" t="str">
        <f>IFERROR(__xludf.DUMMYFUNCTION("""COMPUTED_VALUE"""),"DT")</f>
        <v>DT</v>
      </c>
      <c r="D1402" s="60" t="str">
        <f>IFERROR(__xludf.DUMMYFUNCTION("""COMPUTED_VALUE"""),"DEN")</f>
        <v>DEN</v>
      </c>
      <c r="E1402" s="62" t="str">
        <f t="shared" si="4"/>
        <v>Jordan Jackson</v>
      </c>
      <c r="F1402" s="62">
        <f t="shared" ref="F1402:G1402" si="2803">IF(isblank(F$1),,IF(isblank($A1402),,IFERROR(vlookup($A1402,indirect("'TVC-"&amp;text(month(F$1),"00")&amp;"'!$A:$D"),4,false),1)))</f>
        <v>1</v>
      </c>
      <c r="G1402" s="62">
        <f t="shared" si="2803"/>
        <v>1</v>
      </c>
      <c r="H1402" s="62">
        <f t="shared" ref="H1402:Q1402" si="2804">IF(isblank(H$1),,IFERROR(vlookup($A1402,indirect("'TVC-"&amp;text(month(H$1),"00")&amp;"'!$A:$D"),4,false),1))</f>
        <v>1</v>
      </c>
      <c r="I1402" s="62">
        <f t="shared" si="2804"/>
        <v>1</v>
      </c>
      <c r="J1402" s="62">
        <f t="shared" si="2804"/>
        <v>1</v>
      </c>
      <c r="K1402" s="62">
        <f t="shared" si="2804"/>
        <v>1</v>
      </c>
      <c r="L1402" s="62">
        <f t="shared" si="2804"/>
        <v>1</v>
      </c>
      <c r="M1402" s="62">
        <f t="shared" si="2804"/>
        <v>1</v>
      </c>
      <c r="N1402" s="62">
        <f t="shared" si="2804"/>
        <v>1</v>
      </c>
      <c r="O1402" s="62">
        <f t="shared" si="2804"/>
        <v>1</v>
      </c>
      <c r="P1402" s="62" t="str">
        <f t="shared" si="2804"/>
        <v/>
      </c>
      <c r="Q1402" s="62" t="str">
        <f t="shared" si="2804"/>
        <v/>
      </c>
      <c r="R1402" s="62">
        <f t="shared" si="7"/>
        <v>0</v>
      </c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</row>
    <row r="1403" hidden="1">
      <c r="A1403" s="60">
        <f>IFERROR(__xludf.DUMMYFUNCTION("""COMPUTED_VALUE"""),15920.0)</f>
        <v>15920</v>
      </c>
      <c r="B1403" s="60" t="str">
        <f>IFERROR(__xludf.DUMMYFUNCTION("""COMPUTED_VALUE"""),"Roberts, Sam")</f>
        <v>Roberts, Sam</v>
      </c>
      <c r="C1403" s="60" t="str">
        <f>IFERROR(__xludf.DUMMYFUNCTION("""COMPUTED_VALUE"""),"DT")</f>
        <v>DT</v>
      </c>
      <c r="D1403" s="60" t="str">
        <f>IFERROR(__xludf.DUMMYFUNCTION("""COMPUTED_VALUE"""),"FA")</f>
        <v>FA</v>
      </c>
      <c r="E1403" s="62" t="str">
        <f t="shared" si="4"/>
        <v>Sam Roberts</v>
      </c>
      <c r="F1403" s="62">
        <f t="shared" ref="F1403:G1403" si="2805">IF(isblank(F$1),,IF(isblank($A1403),,IFERROR(vlookup($A1403,indirect("'TVC-"&amp;text(month(F$1),"00")&amp;"'!$A:$D"),4,false),1)))</f>
        <v>1</v>
      </c>
      <c r="G1403" s="62">
        <f t="shared" si="2805"/>
        <v>1</v>
      </c>
      <c r="H1403" s="62">
        <f t="shared" ref="H1403:Q1403" si="2806">IF(isblank(H$1),,IFERROR(vlookup($A1403,indirect("'TVC-"&amp;text(month(H$1),"00")&amp;"'!$A:$D"),4,false),1))</f>
        <v>1</v>
      </c>
      <c r="I1403" s="62">
        <f t="shared" si="2806"/>
        <v>1</v>
      </c>
      <c r="J1403" s="62">
        <f t="shared" si="2806"/>
        <v>1</v>
      </c>
      <c r="K1403" s="62">
        <f t="shared" si="2806"/>
        <v>1</v>
      </c>
      <c r="L1403" s="62">
        <f t="shared" si="2806"/>
        <v>1</v>
      </c>
      <c r="M1403" s="62">
        <f t="shared" si="2806"/>
        <v>1</v>
      </c>
      <c r="N1403" s="62">
        <f t="shared" si="2806"/>
        <v>1</v>
      </c>
      <c r="O1403" s="62">
        <f t="shared" si="2806"/>
        <v>1</v>
      </c>
      <c r="P1403" s="62" t="str">
        <f t="shared" si="2806"/>
        <v/>
      </c>
      <c r="Q1403" s="62" t="str">
        <f t="shared" si="2806"/>
        <v/>
      </c>
      <c r="R1403" s="62">
        <f t="shared" si="7"/>
        <v>0</v>
      </c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</row>
    <row r="1404" hidden="1">
      <c r="A1404" s="60">
        <f>IFERROR(__xludf.DUMMYFUNCTION("""COMPUTED_VALUE"""),15921.0)</f>
        <v>15921</v>
      </c>
      <c r="B1404" s="60" t="str">
        <f>IFERROR(__xludf.DUMMYFUNCTION("""COMPUTED_VALUE"""),"Jackson, Theo")</f>
        <v>Jackson, Theo</v>
      </c>
      <c r="C1404" s="60" t="str">
        <f>IFERROR(__xludf.DUMMYFUNCTION("""COMPUTED_VALUE"""),"S")</f>
        <v>S</v>
      </c>
      <c r="D1404" s="60" t="str">
        <f>IFERROR(__xludf.DUMMYFUNCTION("""COMPUTED_VALUE"""),"MIN")</f>
        <v>MIN</v>
      </c>
      <c r="E1404" s="62" t="str">
        <f t="shared" si="4"/>
        <v>Theo Jackson</v>
      </c>
      <c r="F1404" s="62">
        <f t="shared" ref="F1404:G1404" si="2807">IF(isblank(F$1),,IF(isblank($A1404),,IFERROR(vlookup($A1404,indirect("'TVC-"&amp;text(month(F$1),"00")&amp;"'!$A:$D"),4,false),1)))</f>
        <v>1</v>
      </c>
      <c r="G1404" s="62">
        <f t="shared" si="2807"/>
        <v>1</v>
      </c>
      <c r="H1404" s="62">
        <f t="shared" ref="H1404:Q1404" si="2808">IF(isblank(H$1),,IFERROR(vlookup($A1404,indirect("'TVC-"&amp;text(month(H$1),"00")&amp;"'!$A:$D"),4,false),1))</f>
        <v>1</v>
      </c>
      <c r="I1404" s="62">
        <f t="shared" si="2808"/>
        <v>1</v>
      </c>
      <c r="J1404" s="62">
        <f t="shared" si="2808"/>
        <v>1</v>
      </c>
      <c r="K1404" s="62">
        <f t="shared" si="2808"/>
        <v>1</v>
      </c>
      <c r="L1404" s="62">
        <f t="shared" si="2808"/>
        <v>1</v>
      </c>
      <c r="M1404" s="62">
        <f t="shared" si="2808"/>
        <v>1</v>
      </c>
      <c r="N1404" s="62">
        <f t="shared" si="2808"/>
        <v>1</v>
      </c>
      <c r="O1404" s="62">
        <f t="shared" si="2808"/>
        <v>1</v>
      </c>
      <c r="P1404" s="62" t="str">
        <f t="shared" si="2808"/>
        <v/>
      </c>
      <c r="Q1404" s="62" t="str">
        <f t="shared" si="2808"/>
        <v/>
      </c>
      <c r="R1404" s="62">
        <f t="shared" si="7"/>
        <v>0</v>
      </c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</row>
    <row r="1405" hidden="1">
      <c r="A1405" s="60">
        <f>IFERROR(__xludf.DUMMYFUNCTION("""COMPUTED_VALUE"""),15923.0)</f>
        <v>15923</v>
      </c>
      <c r="B1405" s="60" t="str">
        <f>IFERROR(__xludf.DUMMYFUNCTION("""COMPUTED_VALUE"""),"Lake, Quentin")</f>
        <v>Lake, Quentin</v>
      </c>
      <c r="C1405" s="60" t="str">
        <f>IFERROR(__xludf.DUMMYFUNCTION("""COMPUTED_VALUE"""),"S")</f>
        <v>S</v>
      </c>
      <c r="D1405" s="60" t="str">
        <f>IFERROR(__xludf.DUMMYFUNCTION("""COMPUTED_VALUE"""),"LAR")</f>
        <v>LAR</v>
      </c>
      <c r="E1405" s="62" t="str">
        <f t="shared" si="4"/>
        <v>Quentin Lake</v>
      </c>
      <c r="F1405" s="62">
        <f t="shared" ref="F1405:G1405" si="2809">IF(isblank(F$1),,IF(isblank($A1405),,IFERROR(vlookup($A1405,indirect("'TVC-"&amp;text(month(F$1),"00")&amp;"'!$A:$D"),4,false),1)))</f>
        <v>1</v>
      </c>
      <c r="G1405" s="62">
        <f t="shared" si="2809"/>
        <v>1</v>
      </c>
      <c r="H1405" s="62">
        <f t="shared" ref="H1405:Q1405" si="2810">IF(isblank(H$1),,IFERROR(vlookup($A1405,indirect("'TVC-"&amp;text(month(H$1),"00")&amp;"'!$A:$D"),4,false),1))</f>
        <v>1</v>
      </c>
      <c r="I1405" s="62">
        <f t="shared" si="2810"/>
        <v>1</v>
      </c>
      <c r="J1405" s="62">
        <f t="shared" si="2810"/>
        <v>1</v>
      </c>
      <c r="K1405" s="62">
        <f t="shared" si="2810"/>
        <v>1</v>
      </c>
      <c r="L1405" s="62">
        <f t="shared" si="2810"/>
        <v>1</v>
      </c>
      <c r="M1405" s="62">
        <f t="shared" si="2810"/>
        <v>1</v>
      </c>
      <c r="N1405" s="62">
        <f t="shared" si="2810"/>
        <v>1</v>
      </c>
      <c r="O1405" s="62">
        <f t="shared" si="2810"/>
        <v>1</v>
      </c>
      <c r="P1405" s="62" t="str">
        <f t="shared" si="2810"/>
        <v/>
      </c>
      <c r="Q1405" s="62" t="str">
        <f t="shared" si="2810"/>
        <v/>
      </c>
      <c r="R1405" s="62">
        <f t="shared" si="7"/>
        <v>0</v>
      </c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</row>
    <row r="1406" hidden="1">
      <c r="A1406" s="60">
        <f>IFERROR(__xludf.DUMMYFUNCTION("""COMPUTED_VALUE"""),15924.0)</f>
        <v>15924</v>
      </c>
      <c r="B1406" s="60" t="str">
        <f>IFERROR(__xludf.DUMMYFUNCTION("""COMPUTED_VALUE"""),"Kendrick, Derion")</f>
        <v>Kendrick, Derion</v>
      </c>
      <c r="C1406" s="60" t="str">
        <f>IFERROR(__xludf.DUMMYFUNCTION("""COMPUTED_VALUE"""),"CB")</f>
        <v>CB</v>
      </c>
      <c r="D1406" s="60" t="str">
        <f>IFERROR(__xludf.DUMMYFUNCTION("""COMPUTED_VALUE"""),"DAL")</f>
        <v>DAL</v>
      </c>
      <c r="E1406" s="62" t="str">
        <f t="shared" si="4"/>
        <v>Derion Kendrick</v>
      </c>
      <c r="F1406" s="62">
        <f t="shared" ref="F1406:G1406" si="2811">IF(isblank(F$1),,IF(isblank($A1406),,IFERROR(vlookup($A1406,indirect("'TVC-"&amp;text(month(F$1),"00")&amp;"'!$A:$D"),4,false),1)))</f>
        <v>1</v>
      </c>
      <c r="G1406" s="62">
        <f t="shared" si="2811"/>
        <v>1</v>
      </c>
      <c r="H1406" s="62">
        <f t="shared" ref="H1406:Q1406" si="2812">IF(isblank(H$1),,IFERROR(vlookup($A1406,indirect("'TVC-"&amp;text(month(H$1),"00")&amp;"'!$A:$D"),4,false),1))</f>
        <v>1</v>
      </c>
      <c r="I1406" s="62">
        <f t="shared" si="2812"/>
        <v>1</v>
      </c>
      <c r="J1406" s="62">
        <f t="shared" si="2812"/>
        <v>1</v>
      </c>
      <c r="K1406" s="62">
        <f t="shared" si="2812"/>
        <v>1</v>
      </c>
      <c r="L1406" s="62">
        <f t="shared" si="2812"/>
        <v>1</v>
      </c>
      <c r="M1406" s="62">
        <f t="shared" si="2812"/>
        <v>1</v>
      </c>
      <c r="N1406" s="62">
        <f t="shared" si="2812"/>
        <v>1</v>
      </c>
      <c r="O1406" s="62">
        <f t="shared" si="2812"/>
        <v>1</v>
      </c>
      <c r="P1406" s="62" t="str">
        <f t="shared" si="2812"/>
        <v/>
      </c>
      <c r="Q1406" s="62" t="str">
        <f t="shared" si="2812"/>
        <v/>
      </c>
      <c r="R1406" s="62">
        <f t="shared" si="7"/>
        <v>0</v>
      </c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</row>
    <row r="1407" hidden="1">
      <c r="A1407" s="60">
        <f>IFERROR(__xludf.DUMMYFUNCTION("""COMPUTED_VALUE"""),15925.0)</f>
        <v>15925</v>
      </c>
      <c r="B1407" s="60" t="str">
        <f>IFERROR(__xludf.DUMMYFUNCTION("""COMPUTED_VALUE"""),"FitzPatrick, John")</f>
        <v>FitzPatrick, John</v>
      </c>
      <c r="C1407" s="60" t="str">
        <f>IFERROR(__xludf.DUMMYFUNCTION("""COMPUTED_VALUE"""),"TE")</f>
        <v>TE</v>
      </c>
      <c r="D1407" s="60" t="str">
        <f>IFERROR(__xludf.DUMMYFUNCTION("""COMPUTED_VALUE"""),"CLE")</f>
        <v>CLE</v>
      </c>
      <c r="E1407" s="62" t="str">
        <f t="shared" si="4"/>
        <v>John FitzPatrick</v>
      </c>
      <c r="F1407" s="62">
        <f t="shared" ref="F1407:G1407" si="2813">IF(isblank(F$1),,IF(isblank($A1407),,IFERROR(vlookup($A1407,indirect("'TVC-"&amp;text(month(F$1),"00")&amp;"'!$A:$D"),4,false),1)))</f>
        <v>1</v>
      </c>
      <c r="G1407" s="62">
        <f t="shared" si="2813"/>
        <v>1</v>
      </c>
      <c r="H1407" s="62">
        <f t="shared" ref="H1407:Q1407" si="2814">IF(isblank(H$1),,IFERROR(vlookup($A1407,indirect("'TVC-"&amp;text(month(H$1),"00")&amp;"'!$A:$D"),4,false),1))</f>
        <v>1</v>
      </c>
      <c r="I1407" s="62">
        <f t="shared" si="2814"/>
        <v>1</v>
      </c>
      <c r="J1407" s="62">
        <f t="shared" si="2814"/>
        <v>1</v>
      </c>
      <c r="K1407" s="62">
        <f t="shared" si="2814"/>
        <v>1</v>
      </c>
      <c r="L1407" s="62">
        <f t="shared" si="2814"/>
        <v>1</v>
      </c>
      <c r="M1407" s="62">
        <f t="shared" si="2814"/>
        <v>1</v>
      </c>
      <c r="N1407" s="62">
        <f t="shared" si="2814"/>
        <v>1</v>
      </c>
      <c r="O1407" s="62">
        <f t="shared" si="2814"/>
        <v>1</v>
      </c>
      <c r="P1407" s="62" t="str">
        <f t="shared" si="2814"/>
        <v/>
      </c>
      <c r="Q1407" s="62" t="str">
        <f t="shared" si="2814"/>
        <v/>
      </c>
      <c r="R1407" s="62">
        <f t="shared" si="7"/>
        <v>0</v>
      </c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</row>
    <row r="1408" hidden="1">
      <c r="A1408" s="60">
        <f>IFERROR(__xludf.DUMMYFUNCTION("""COMPUTED_VALUE"""),15926.0)</f>
        <v>15926</v>
      </c>
      <c r="B1408" s="60" t="str">
        <f>IFERROR(__xludf.DUMMYFUNCTION("""COMPUTED_VALUE"""),"Taylor, Ja'Sir")</f>
        <v>Taylor, Ja'Sir</v>
      </c>
      <c r="C1408" s="60" t="str">
        <f>IFERROR(__xludf.DUMMYFUNCTION("""COMPUTED_VALUE"""),"CB")</f>
        <v>CB</v>
      </c>
      <c r="D1408" s="60" t="str">
        <f>IFERROR(__xludf.DUMMYFUNCTION("""COMPUTED_VALUE"""),"CIN")</f>
        <v>CIN</v>
      </c>
      <c r="E1408" s="62" t="str">
        <f t="shared" si="4"/>
        <v>Ja'Sir Taylor</v>
      </c>
      <c r="F1408" s="62">
        <f t="shared" ref="F1408:G1408" si="2815">IF(isblank(F$1),,IF(isblank($A1408),,IFERROR(vlookup($A1408,indirect("'TVC-"&amp;text(month(F$1),"00")&amp;"'!$A:$D"),4,false),1)))</f>
        <v>1</v>
      </c>
      <c r="G1408" s="62">
        <f t="shared" si="2815"/>
        <v>1</v>
      </c>
      <c r="H1408" s="62">
        <f t="shared" ref="H1408:Q1408" si="2816">IF(isblank(H$1),,IFERROR(vlookup($A1408,indirect("'TVC-"&amp;text(month(H$1),"00")&amp;"'!$A:$D"),4,false),1))</f>
        <v>1</v>
      </c>
      <c r="I1408" s="62">
        <f t="shared" si="2816"/>
        <v>1</v>
      </c>
      <c r="J1408" s="62">
        <f t="shared" si="2816"/>
        <v>1</v>
      </c>
      <c r="K1408" s="62">
        <f t="shared" si="2816"/>
        <v>1</v>
      </c>
      <c r="L1408" s="62">
        <f t="shared" si="2816"/>
        <v>1</v>
      </c>
      <c r="M1408" s="62">
        <f t="shared" si="2816"/>
        <v>1</v>
      </c>
      <c r="N1408" s="62">
        <f t="shared" si="2816"/>
        <v>1</v>
      </c>
      <c r="O1408" s="62">
        <f t="shared" si="2816"/>
        <v>1</v>
      </c>
      <c r="P1408" s="62" t="str">
        <f t="shared" si="2816"/>
        <v/>
      </c>
      <c r="Q1408" s="62" t="str">
        <f t="shared" si="2816"/>
        <v/>
      </c>
      <c r="R1408" s="62">
        <f t="shared" si="7"/>
        <v>0</v>
      </c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</row>
    <row r="1409" hidden="1">
      <c r="A1409" s="60">
        <f>IFERROR(__xludf.DUMMYFUNCTION("""COMPUTED_VALUE"""),15928.0)</f>
        <v>15928</v>
      </c>
      <c r="B1409" s="60" t="str">
        <f>IFERROR(__xludf.DUMMYFUNCTION("""COMPUTED_VALUE"""),"Houston, James")</f>
        <v>Houston, James</v>
      </c>
      <c r="C1409" s="60" t="str">
        <f>IFERROR(__xludf.DUMMYFUNCTION("""COMPUTED_VALUE"""),"DE")</f>
        <v>DE</v>
      </c>
      <c r="D1409" s="60" t="str">
        <f>IFERROR(__xludf.DUMMYFUNCTION("""COMPUTED_VALUE"""),"DAL")</f>
        <v>DAL</v>
      </c>
      <c r="E1409" s="62" t="str">
        <f t="shared" si="4"/>
        <v>James Houston</v>
      </c>
      <c r="F1409" s="62">
        <f t="shared" ref="F1409:G1409" si="2817">IF(isblank(F$1),,IF(isblank($A1409),,IFERROR(vlookup($A1409,indirect("'TVC-"&amp;text(month(F$1),"00")&amp;"'!$A:$D"),4,false),1)))</f>
        <v>1</v>
      </c>
      <c r="G1409" s="62">
        <f t="shared" si="2817"/>
        <v>1</v>
      </c>
      <c r="H1409" s="62">
        <f t="shared" ref="H1409:Q1409" si="2818">IF(isblank(H$1),,IFERROR(vlookup($A1409,indirect("'TVC-"&amp;text(month(H$1),"00")&amp;"'!$A:$D"),4,false),1))</f>
        <v>1</v>
      </c>
      <c r="I1409" s="62">
        <f t="shared" si="2818"/>
        <v>1</v>
      </c>
      <c r="J1409" s="62">
        <f t="shared" si="2818"/>
        <v>1</v>
      </c>
      <c r="K1409" s="62">
        <f t="shared" si="2818"/>
        <v>1</v>
      </c>
      <c r="L1409" s="62">
        <f t="shared" si="2818"/>
        <v>1</v>
      </c>
      <c r="M1409" s="62">
        <f t="shared" si="2818"/>
        <v>1</v>
      </c>
      <c r="N1409" s="62">
        <f t="shared" si="2818"/>
        <v>1</v>
      </c>
      <c r="O1409" s="62">
        <f t="shared" si="2818"/>
        <v>1</v>
      </c>
      <c r="P1409" s="62" t="str">
        <f t="shared" si="2818"/>
        <v/>
      </c>
      <c r="Q1409" s="62" t="str">
        <f t="shared" si="2818"/>
        <v/>
      </c>
      <c r="R1409" s="62">
        <f t="shared" si="7"/>
        <v>0</v>
      </c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</row>
    <row r="1410" hidden="1">
      <c r="A1410" s="60">
        <f>IFERROR(__xludf.DUMMYFUNCTION("""COMPUTED_VALUE"""),15929.0)</f>
        <v>15929</v>
      </c>
      <c r="B1410" s="60" t="str">
        <f>IFERROR(__xludf.DUMMYFUNCTION("""COMPUTED_VALUE"""),"Kieft, Ko")</f>
        <v>Kieft, Ko</v>
      </c>
      <c r="C1410" s="60" t="str">
        <f>IFERROR(__xludf.DUMMYFUNCTION("""COMPUTED_VALUE"""),"TE")</f>
        <v>TE</v>
      </c>
      <c r="D1410" s="60" t="str">
        <f>IFERROR(__xludf.DUMMYFUNCTION("""COMPUTED_VALUE"""),"TBB")</f>
        <v>TBB</v>
      </c>
      <c r="E1410" s="62" t="str">
        <f t="shared" si="4"/>
        <v>Ko Kieft</v>
      </c>
      <c r="F1410" s="62">
        <f t="shared" ref="F1410:G1410" si="2819">IF(isblank(F$1),,IF(isblank($A1410),,IFERROR(vlookup($A1410,indirect("'TVC-"&amp;text(month(F$1),"00")&amp;"'!$A:$D"),4,false),1)))</f>
        <v>1</v>
      </c>
      <c r="G1410" s="62">
        <f t="shared" si="2819"/>
        <v>1</v>
      </c>
      <c r="H1410" s="62">
        <f t="shared" ref="H1410:Q1410" si="2820">IF(isblank(H$1),,IFERROR(vlookup($A1410,indirect("'TVC-"&amp;text(month(H$1),"00")&amp;"'!$A:$D"),4,false),1))</f>
        <v>1</v>
      </c>
      <c r="I1410" s="62">
        <f t="shared" si="2820"/>
        <v>1</v>
      </c>
      <c r="J1410" s="62">
        <f t="shared" si="2820"/>
        <v>1</v>
      </c>
      <c r="K1410" s="62">
        <f t="shared" si="2820"/>
        <v>1</v>
      </c>
      <c r="L1410" s="62">
        <f t="shared" si="2820"/>
        <v>1</v>
      </c>
      <c r="M1410" s="62">
        <f t="shared" si="2820"/>
        <v>1</v>
      </c>
      <c r="N1410" s="62">
        <f t="shared" si="2820"/>
        <v>1</v>
      </c>
      <c r="O1410" s="62">
        <f t="shared" si="2820"/>
        <v>1</v>
      </c>
      <c r="P1410" s="62" t="str">
        <f t="shared" si="2820"/>
        <v/>
      </c>
      <c r="Q1410" s="62" t="str">
        <f t="shared" si="2820"/>
        <v/>
      </c>
      <c r="R1410" s="62">
        <f t="shared" si="7"/>
        <v>0</v>
      </c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</row>
    <row r="1411" hidden="1">
      <c r="A1411" s="60">
        <f>IFERROR(__xludf.DUMMYFUNCTION("""COMPUTED_VALUE"""),15930.0)</f>
        <v>15930</v>
      </c>
      <c r="B1411" s="60" t="str">
        <f>IFERROR(__xludf.DUMMYFUNCTION("""COMPUTED_VALUE"""),"Campbell, Chance")</f>
        <v>Campbell, Chance</v>
      </c>
      <c r="C1411" s="60" t="str">
        <f>IFERROR(__xludf.DUMMYFUNCTION("""COMPUTED_VALUE"""),"LB")</f>
        <v>LB</v>
      </c>
      <c r="D1411" s="60" t="str">
        <f>IFERROR(__xludf.DUMMYFUNCTION("""COMPUTED_VALUE"""),"PHI")</f>
        <v>PHI</v>
      </c>
      <c r="E1411" s="62" t="str">
        <f t="shared" si="4"/>
        <v>Chance Campbell</v>
      </c>
      <c r="F1411" s="62">
        <f t="shared" ref="F1411:G1411" si="2821">IF(isblank(F$1),,IF(isblank($A1411),,IFERROR(vlookup($A1411,indirect("'TVC-"&amp;text(month(F$1),"00")&amp;"'!$A:$D"),4,false),1)))</f>
        <v>1</v>
      </c>
      <c r="G1411" s="62">
        <f t="shared" si="2821"/>
        <v>1</v>
      </c>
      <c r="H1411" s="62">
        <f t="shared" ref="H1411:Q1411" si="2822">IF(isblank(H$1),,IFERROR(vlookup($A1411,indirect("'TVC-"&amp;text(month(H$1),"00")&amp;"'!$A:$D"),4,false),1))</f>
        <v>1</v>
      </c>
      <c r="I1411" s="62">
        <f t="shared" si="2822"/>
        <v>1</v>
      </c>
      <c r="J1411" s="62">
        <f t="shared" si="2822"/>
        <v>1</v>
      </c>
      <c r="K1411" s="62">
        <f t="shared" si="2822"/>
        <v>1</v>
      </c>
      <c r="L1411" s="62">
        <f t="shared" si="2822"/>
        <v>1</v>
      </c>
      <c r="M1411" s="62">
        <f t="shared" si="2822"/>
        <v>1</v>
      </c>
      <c r="N1411" s="62">
        <f t="shared" si="2822"/>
        <v>1</v>
      </c>
      <c r="O1411" s="62">
        <f t="shared" si="2822"/>
        <v>1</v>
      </c>
      <c r="P1411" s="62" t="str">
        <f t="shared" si="2822"/>
        <v/>
      </c>
      <c r="Q1411" s="62" t="str">
        <f t="shared" si="2822"/>
        <v/>
      </c>
      <c r="R1411" s="62">
        <f t="shared" si="7"/>
        <v>0</v>
      </c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</row>
    <row r="1412" hidden="1">
      <c r="A1412" s="60">
        <f>IFERROR(__xludf.DUMMYFUNCTION("""COMPUTED_VALUE"""),15931.0)</f>
        <v>15931</v>
      </c>
      <c r="B1412" s="60" t="str">
        <f>IFERROR(__xludf.DUMMYFUNCTION("""COMPUTED_VALUE"""),"Davis, Kalia")</f>
        <v>Davis, Kalia</v>
      </c>
      <c r="C1412" s="60" t="str">
        <f>IFERROR(__xludf.DUMMYFUNCTION("""COMPUTED_VALUE"""),"DT")</f>
        <v>DT</v>
      </c>
      <c r="D1412" s="60" t="str">
        <f>IFERROR(__xludf.DUMMYFUNCTION("""COMPUTED_VALUE"""),"CLE")</f>
        <v>CLE</v>
      </c>
      <c r="E1412" s="62" t="str">
        <f t="shared" si="4"/>
        <v>Kalia Davis</v>
      </c>
      <c r="F1412" s="62">
        <f t="shared" ref="F1412:G1412" si="2823">IF(isblank(F$1),,IF(isblank($A1412),,IFERROR(vlookup($A1412,indirect("'TVC-"&amp;text(month(F$1),"00")&amp;"'!$A:$D"),4,false),1)))</f>
        <v>1</v>
      </c>
      <c r="G1412" s="62">
        <f t="shared" si="2823"/>
        <v>1</v>
      </c>
      <c r="H1412" s="62">
        <f t="shared" ref="H1412:Q1412" si="2824">IF(isblank(H$1),,IFERROR(vlookup($A1412,indirect("'TVC-"&amp;text(month(H$1),"00")&amp;"'!$A:$D"),4,false),1))</f>
        <v>1</v>
      </c>
      <c r="I1412" s="62">
        <f t="shared" si="2824"/>
        <v>1</v>
      </c>
      <c r="J1412" s="62">
        <f t="shared" si="2824"/>
        <v>1</v>
      </c>
      <c r="K1412" s="62">
        <f t="shared" si="2824"/>
        <v>1</v>
      </c>
      <c r="L1412" s="62">
        <f t="shared" si="2824"/>
        <v>1</v>
      </c>
      <c r="M1412" s="62">
        <f t="shared" si="2824"/>
        <v>1</v>
      </c>
      <c r="N1412" s="62">
        <f t="shared" si="2824"/>
        <v>1</v>
      </c>
      <c r="O1412" s="62">
        <f t="shared" si="2824"/>
        <v>1</v>
      </c>
      <c r="P1412" s="62" t="str">
        <f t="shared" si="2824"/>
        <v/>
      </c>
      <c r="Q1412" s="62" t="str">
        <f t="shared" si="2824"/>
        <v/>
      </c>
      <c r="R1412" s="62">
        <f t="shared" si="7"/>
        <v>0</v>
      </c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</row>
    <row r="1413" hidden="1">
      <c r="A1413" s="60">
        <f>IFERROR(__xludf.DUMMYFUNCTION("""COMPUTED_VALUE"""),15933.0)</f>
        <v>15933</v>
      </c>
      <c r="B1413" s="60" t="str">
        <f>IFERROR(__xludf.DUMMYFUNCTION("""COMPUTED_VALUE"""),"Brown, Montaric")</f>
        <v>Brown, Montaric</v>
      </c>
      <c r="C1413" s="60" t="str">
        <f>IFERROR(__xludf.DUMMYFUNCTION("""COMPUTED_VALUE"""),"CB")</f>
        <v>CB</v>
      </c>
      <c r="D1413" s="60" t="str">
        <f>IFERROR(__xludf.DUMMYFUNCTION("""COMPUTED_VALUE"""),"JAC")</f>
        <v>JAC</v>
      </c>
      <c r="E1413" s="62" t="str">
        <f t="shared" si="4"/>
        <v>Montaric Brown</v>
      </c>
      <c r="F1413" s="62">
        <f t="shared" ref="F1413:G1413" si="2825">IF(isblank(F$1),,IF(isblank($A1413),,IFERROR(vlookup($A1413,indirect("'TVC-"&amp;text(month(F$1),"00")&amp;"'!$A:$D"),4,false),1)))</f>
        <v>1</v>
      </c>
      <c r="G1413" s="62">
        <f t="shared" si="2825"/>
        <v>1</v>
      </c>
      <c r="H1413" s="62">
        <f t="shared" ref="H1413:Q1413" si="2826">IF(isblank(H$1),,IFERROR(vlookup($A1413,indirect("'TVC-"&amp;text(month(H$1),"00")&amp;"'!$A:$D"),4,false),1))</f>
        <v>1</v>
      </c>
      <c r="I1413" s="62">
        <f t="shared" si="2826"/>
        <v>1</v>
      </c>
      <c r="J1413" s="62">
        <f t="shared" si="2826"/>
        <v>1</v>
      </c>
      <c r="K1413" s="62">
        <f t="shared" si="2826"/>
        <v>1</v>
      </c>
      <c r="L1413" s="62">
        <f t="shared" si="2826"/>
        <v>1</v>
      </c>
      <c r="M1413" s="62">
        <f t="shared" si="2826"/>
        <v>1</v>
      </c>
      <c r="N1413" s="62">
        <f t="shared" si="2826"/>
        <v>1</v>
      </c>
      <c r="O1413" s="62">
        <f t="shared" si="2826"/>
        <v>1</v>
      </c>
      <c r="P1413" s="62" t="str">
        <f t="shared" si="2826"/>
        <v/>
      </c>
      <c r="Q1413" s="62" t="str">
        <f t="shared" si="2826"/>
        <v/>
      </c>
      <c r="R1413" s="62">
        <f t="shared" si="7"/>
        <v>0</v>
      </c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</row>
    <row r="1414" hidden="1">
      <c r="A1414" s="60">
        <f>IFERROR(__xludf.DUMMYFUNCTION("""COMPUTED_VALUE"""),15935.0)</f>
        <v>15935</v>
      </c>
      <c r="B1414" s="60" t="str">
        <f>IFERROR(__xludf.DUMMYFUNCTION("""COMPUTED_VALUE"""),"Goode, Cameron")</f>
        <v>Goode, Cameron</v>
      </c>
      <c r="C1414" s="60" t="str">
        <f>IFERROR(__xludf.DUMMYFUNCTION("""COMPUTED_VALUE"""),"LB")</f>
        <v>LB</v>
      </c>
      <c r="D1414" s="60" t="str">
        <f>IFERROR(__xludf.DUMMYFUNCTION("""COMPUTED_VALUE"""),"FA")</f>
        <v>FA</v>
      </c>
      <c r="E1414" s="62" t="str">
        <f t="shared" si="4"/>
        <v>Cameron Goode</v>
      </c>
      <c r="F1414" s="62">
        <f t="shared" ref="F1414:G1414" si="2827">IF(isblank(F$1),,IF(isblank($A1414),,IFERROR(vlookup($A1414,indirect("'TVC-"&amp;text(month(F$1),"00")&amp;"'!$A:$D"),4,false),1)))</f>
        <v>1</v>
      </c>
      <c r="G1414" s="62">
        <f t="shared" si="2827"/>
        <v>1</v>
      </c>
      <c r="H1414" s="62">
        <f t="shared" ref="H1414:Q1414" si="2828">IF(isblank(H$1),,IFERROR(vlookup($A1414,indirect("'TVC-"&amp;text(month(H$1),"00")&amp;"'!$A:$D"),4,false),1))</f>
        <v>1</v>
      </c>
      <c r="I1414" s="62">
        <f t="shared" si="2828"/>
        <v>1</v>
      </c>
      <c r="J1414" s="62">
        <f t="shared" si="2828"/>
        <v>1</v>
      </c>
      <c r="K1414" s="62">
        <f t="shared" si="2828"/>
        <v>1</v>
      </c>
      <c r="L1414" s="62">
        <f t="shared" si="2828"/>
        <v>1</v>
      </c>
      <c r="M1414" s="62">
        <f t="shared" si="2828"/>
        <v>1</v>
      </c>
      <c r="N1414" s="62">
        <f t="shared" si="2828"/>
        <v>1</v>
      </c>
      <c r="O1414" s="62">
        <f t="shared" si="2828"/>
        <v>1</v>
      </c>
      <c r="P1414" s="62" t="str">
        <f t="shared" si="2828"/>
        <v/>
      </c>
      <c r="Q1414" s="62" t="str">
        <f t="shared" si="2828"/>
        <v/>
      </c>
      <c r="R1414" s="62">
        <f t="shared" si="7"/>
        <v>0</v>
      </c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</row>
    <row r="1415" hidden="1">
      <c r="A1415" s="60">
        <f>IFERROR(__xludf.DUMMYFUNCTION("""COMPUTED_VALUE"""),15936.0)</f>
        <v>15936</v>
      </c>
      <c r="B1415" s="60" t="str">
        <f>IFERROR(__xludf.DUMMYFUNCTION("""COMPUTED_VALUE"""),"Robinson, Mark")</f>
        <v>Robinson, Mark</v>
      </c>
      <c r="C1415" s="60" t="str">
        <f>IFERROR(__xludf.DUMMYFUNCTION("""COMPUTED_VALUE"""),"LB")</f>
        <v>LB</v>
      </c>
      <c r="D1415" s="60" t="str">
        <f>IFERROR(__xludf.DUMMYFUNCTION("""COMPUTED_VALUE"""),"CLE")</f>
        <v>CLE</v>
      </c>
      <c r="E1415" s="62" t="str">
        <f t="shared" si="4"/>
        <v>Mark Robinson</v>
      </c>
      <c r="F1415" s="62">
        <f t="shared" ref="F1415:G1415" si="2829">IF(isblank(F$1),,IF(isblank($A1415),,IFERROR(vlookup($A1415,indirect("'TVC-"&amp;text(month(F$1),"00")&amp;"'!$A:$D"),4,false),1)))</f>
        <v>1</v>
      </c>
      <c r="G1415" s="62">
        <f t="shared" si="2829"/>
        <v>1</v>
      </c>
      <c r="H1415" s="62">
        <f t="shared" ref="H1415:Q1415" si="2830">IF(isblank(H$1),,IFERROR(vlookup($A1415,indirect("'TVC-"&amp;text(month(H$1),"00")&amp;"'!$A:$D"),4,false),1))</f>
        <v>1</v>
      </c>
      <c r="I1415" s="62">
        <f t="shared" si="2830"/>
        <v>1</v>
      </c>
      <c r="J1415" s="62">
        <f t="shared" si="2830"/>
        <v>1</v>
      </c>
      <c r="K1415" s="62">
        <f t="shared" si="2830"/>
        <v>1</v>
      </c>
      <c r="L1415" s="62">
        <f t="shared" si="2830"/>
        <v>1</v>
      </c>
      <c r="M1415" s="62">
        <f t="shared" si="2830"/>
        <v>1</v>
      </c>
      <c r="N1415" s="62">
        <f t="shared" si="2830"/>
        <v>1</v>
      </c>
      <c r="O1415" s="62">
        <f t="shared" si="2830"/>
        <v>1</v>
      </c>
      <c r="P1415" s="62" t="str">
        <f t="shared" si="2830"/>
        <v/>
      </c>
      <c r="Q1415" s="62" t="str">
        <f t="shared" si="2830"/>
        <v/>
      </c>
      <c r="R1415" s="62">
        <f t="shared" si="7"/>
        <v>0</v>
      </c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</row>
    <row r="1416">
      <c r="A1416" s="60">
        <f>IFERROR(__xludf.DUMMYFUNCTION("""COMPUTED_VALUE"""),15937.0)</f>
        <v>15937</v>
      </c>
      <c r="B1416" s="60" t="str">
        <f>IFERROR(__xludf.DUMMYFUNCTION("""COMPUTED_VALUE"""),"Muse, Nick")</f>
        <v>Muse, Nick</v>
      </c>
      <c r="C1416" s="60" t="str">
        <f>IFERROR(__xludf.DUMMYFUNCTION("""COMPUTED_VALUE"""),"TE")</f>
        <v>TE</v>
      </c>
      <c r="D1416" s="60" t="str">
        <f>IFERROR(__xludf.DUMMYFUNCTION("""COMPUTED_VALUE"""),"ATL")</f>
        <v>ATL</v>
      </c>
      <c r="E1416" s="62" t="str">
        <f t="shared" si="4"/>
        <v>Nick Muse</v>
      </c>
      <c r="F1416" s="62">
        <f t="shared" ref="F1416:G1416" si="2831">IF(isblank(F$1),,IF(isblank($A1416),,IFERROR(vlookup($A1416,indirect("'TVC-"&amp;text(month(F$1),"00")&amp;"'!$A:$D"),4,false),1)))</f>
        <v>1</v>
      </c>
      <c r="G1416" s="62">
        <f t="shared" si="2831"/>
        <v>1</v>
      </c>
      <c r="H1416" s="62">
        <f t="shared" ref="H1416:Q1416" si="2832">IF(isblank(H$1),,IFERROR(vlookup($A1416,indirect("'TVC-"&amp;text(month(H$1),"00")&amp;"'!$A:$D"),4,false),1))</f>
        <v>1</v>
      </c>
      <c r="I1416" s="62">
        <f t="shared" si="2832"/>
        <v>1</v>
      </c>
      <c r="J1416" s="62">
        <f t="shared" si="2832"/>
        <v>1</v>
      </c>
      <c r="K1416" s="62">
        <f t="shared" si="2832"/>
        <v>1</v>
      </c>
      <c r="L1416" s="62">
        <f t="shared" si="2832"/>
        <v>1</v>
      </c>
      <c r="M1416" s="62">
        <f t="shared" si="2832"/>
        <v>1</v>
      </c>
      <c r="N1416" s="62">
        <f t="shared" si="2832"/>
        <v>1</v>
      </c>
      <c r="O1416" s="62">
        <f t="shared" si="2832"/>
        <v>1</v>
      </c>
      <c r="P1416" s="62" t="str">
        <f t="shared" si="2832"/>
        <v/>
      </c>
      <c r="Q1416" s="62" t="str">
        <f t="shared" si="2832"/>
        <v/>
      </c>
      <c r="R1416" s="62">
        <f t="shared" si="7"/>
        <v>0</v>
      </c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</row>
    <row r="1417" hidden="1">
      <c r="A1417" s="60">
        <f>IFERROR(__xludf.DUMMYFUNCTION("""COMPUTED_VALUE"""),15939.0)</f>
        <v>15939</v>
      </c>
      <c r="B1417" s="60" t="str">
        <f>IFERROR(__xludf.DUMMYFUNCTION("""COMPUTED_VALUE"""),"Spector, Baylon")</f>
        <v>Spector, Baylon</v>
      </c>
      <c r="C1417" s="60" t="str">
        <f>IFERROR(__xludf.DUMMYFUNCTION("""COMPUTED_VALUE"""),"LB")</f>
        <v>LB</v>
      </c>
      <c r="D1417" s="60" t="str">
        <f>IFERROR(__xludf.DUMMYFUNCTION("""COMPUTED_VALUE"""),"FA")</f>
        <v>FA</v>
      </c>
      <c r="E1417" s="62" t="str">
        <f t="shared" si="4"/>
        <v>Baylon Spector</v>
      </c>
      <c r="F1417" s="62">
        <f t="shared" ref="F1417:G1417" si="2833">IF(isblank(F$1),,IF(isblank($A1417),,IFERROR(vlookup($A1417,indirect("'TVC-"&amp;text(month(F$1),"00")&amp;"'!$A:$D"),4,false),1)))</f>
        <v>1</v>
      </c>
      <c r="G1417" s="62">
        <f t="shared" si="2833"/>
        <v>1</v>
      </c>
      <c r="H1417" s="62">
        <f t="shared" ref="H1417:Q1417" si="2834">IF(isblank(H$1),,IFERROR(vlookup($A1417,indirect("'TVC-"&amp;text(month(H$1),"00")&amp;"'!$A:$D"),4,false),1))</f>
        <v>1</v>
      </c>
      <c r="I1417" s="62">
        <f t="shared" si="2834"/>
        <v>1</v>
      </c>
      <c r="J1417" s="62">
        <f t="shared" si="2834"/>
        <v>1</v>
      </c>
      <c r="K1417" s="62">
        <f t="shared" si="2834"/>
        <v>1</v>
      </c>
      <c r="L1417" s="62">
        <f t="shared" si="2834"/>
        <v>1</v>
      </c>
      <c r="M1417" s="62">
        <f t="shared" si="2834"/>
        <v>1</v>
      </c>
      <c r="N1417" s="62">
        <f t="shared" si="2834"/>
        <v>1</v>
      </c>
      <c r="O1417" s="62">
        <f t="shared" si="2834"/>
        <v>1</v>
      </c>
      <c r="P1417" s="62" t="str">
        <f t="shared" si="2834"/>
        <v/>
      </c>
      <c r="Q1417" s="62" t="str">
        <f t="shared" si="2834"/>
        <v/>
      </c>
      <c r="R1417" s="62">
        <f t="shared" si="7"/>
        <v>0</v>
      </c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</row>
    <row r="1418" hidden="1">
      <c r="A1418" s="60">
        <f>IFERROR(__xludf.DUMMYFUNCTION("""COMPUTED_VALUE"""),15941.0)</f>
        <v>15941</v>
      </c>
      <c r="B1418" s="60" t="str">
        <f>IFERROR(__xludf.DUMMYFUNCTION("""COMPUTED_VALUE"""),"Young, Dareke")</f>
        <v>Young, Dareke</v>
      </c>
      <c r="C1418" s="60" t="str">
        <f>IFERROR(__xludf.DUMMYFUNCTION("""COMPUTED_VALUE"""),"WR")</f>
        <v>WR</v>
      </c>
      <c r="D1418" s="60" t="str">
        <f>IFERROR(__xludf.DUMMYFUNCTION("""COMPUTED_VALUE"""),"LVR")</f>
        <v>LVR</v>
      </c>
      <c r="E1418" s="62" t="str">
        <f t="shared" si="4"/>
        <v>Dareke Young</v>
      </c>
      <c r="F1418" s="62">
        <f t="shared" ref="F1418:G1418" si="2835">IF(isblank(F$1),,IF(isblank($A1418),,IFERROR(vlookup($A1418,indirect("'TVC-"&amp;text(month(F$1),"00")&amp;"'!$A:$D"),4,false),1)))</f>
        <v>1</v>
      </c>
      <c r="G1418" s="62">
        <f t="shared" si="2835"/>
        <v>1</v>
      </c>
      <c r="H1418" s="62">
        <f t="shared" ref="H1418:Q1418" si="2836">IF(isblank(H$1),,IFERROR(vlookup($A1418,indirect("'TVC-"&amp;text(month(H$1),"00")&amp;"'!$A:$D"),4,false),1))</f>
        <v>1</v>
      </c>
      <c r="I1418" s="62">
        <f t="shared" si="2836"/>
        <v>1</v>
      </c>
      <c r="J1418" s="62">
        <f t="shared" si="2836"/>
        <v>1</v>
      </c>
      <c r="K1418" s="62">
        <f t="shared" si="2836"/>
        <v>1</v>
      </c>
      <c r="L1418" s="62">
        <f t="shared" si="2836"/>
        <v>1</v>
      </c>
      <c r="M1418" s="62">
        <f t="shared" si="2836"/>
        <v>1</v>
      </c>
      <c r="N1418" s="62">
        <f t="shared" si="2836"/>
        <v>1</v>
      </c>
      <c r="O1418" s="62">
        <f t="shared" si="2836"/>
        <v>1</v>
      </c>
      <c r="P1418" s="62" t="str">
        <f t="shared" si="2836"/>
        <v/>
      </c>
      <c r="Q1418" s="62" t="str">
        <f t="shared" si="2836"/>
        <v/>
      </c>
      <c r="R1418" s="62">
        <f t="shared" si="7"/>
        <v>0</v>
      </c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</row>
    <row r="1419" hidden="1">
      <c r="A1419" s="60">
        <f>IFERROR(__xludf.DUMMYFUNCTION("""COMPUTED_VALUE"""),15942.0)</f>
        <v>15942</v>
      </c>
      <c r="B1419" s="60" t="str">
        <f>IFERROR(__xludf.DUMMYFUNCTION("""COMPUTED_VALUE"""),"Ford, Jonathan")</f>
        <v>Ford, Jonathan</v>
      </c>
      <c r="C1419" s="60" t="str">
        <f>IFERROR(__xludf.DUMMYFUNCTION("""COMPUTED_VALUE"""),"DT")</f>
        <v>DT</v>
      </c>
      <c r="D1419" s="60" t="str">
        <f>IFERROR(__xludf.DUMMYFUNCTION("""COMPUTED_VALUE"""),"GBP")</f>
        <v>GBP</v>
      </c>
      <c r="E1419" s="62" t="str">
        <f t="shared" si="4"/>
        <v>Jonathan Ford</v>
      </c>
      <c r="F1419" s="62">
        <f t="shared" ref="F1419:G1419" si="2837">IF(isblank(F$1),,IF(isblank($A1419),,IFERROR(vlookup($A1419,indirect("'TVC-"&amp;text(month(F$1),"00")&amp;"'!$A:$D"),4,false),1)))</f>
        <v>1</v>
      </c>
      <c r="G1419" s="62">
        <f t="shared" si="2837"/>
        <v>1</v>
      </c>
      <c r="H1419" s="62">
        <f t="shared" ref="H1419:Q1419" si="2838">IF(isblank(H$1),,IFERROR(vlookup($A1419,indirect("'TVC-"&amp;text(month(H$1),"00")&amp;"'!$A:$D"),4,false),1))</f>
        <v>1</v>
      </c>
      <c r="I1419" s="62">
        <f t="shared" si="2838"/>
        <v>1</v>
      </c>
      <c r="J1419" s="62">
        <f t="shared" si="2838"/>
        <v>1</v>
      </c>
      <c r="K1419" s="62">
        <f t="shared" si="2838"/>
        <v>1</v>
      </c>
      <c r="L1419" s="62">
        <f t="shared" si="2838"/>
        <v>1</v>
      </c>
      <c r="M1419" s="62">
        <f t="shared" si="2838"/>
        <v>1</v>
      </c>
      <c r="N1419" s="62">
        <f t="shared" si="2838"/>
        <v>1</v>
      </c>
      <c r="O1419" s="62">
        <f t="shared" si="2838"/>
        <v>1</v>
      </c>
      <c r="P1419" s="62" t="str">
        <f t="shared" si="2838"/>
        <v/>
      </c>
      <c r="Q1419" s="62" t="str">
        <f t="shared" si="2838"/>
        <v/>
      </c>
      <c r="R1419" s="62">
        <f t="shared" si="7"/>
        <v>0</v>
      </c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</row>
    <row r="1420" hidden="1">
      <c r="A1420" s="60">
        <f>IFERROR(__xludf.DUMMYFUNCTION("""COMPUTED_VALUE"""),15943.0)</f>
        <v>15943</v>
      </c>
      <c r="B1420" s="60" t="str">
        <f>IFERROR(__xludf.DUMMYFUNCTION("""COMPUTED_VALUE"""),"Hardy, Daniel")</f>
        <v>Hardy, Daniel</v>
      </c>
      <c r="C1420" s="60" t="str">
        <f>IFERROR(__xludf.DUMMYFUNCTION("""COMPUTED_VALUE"""),"DE")</f>
        <v>DE</v>
      </c>
      <c r="D1420" s="60" t="str">
        <f>IFERROR(__xludf.DUMMYFUNCTION("""COMPUTED_VALUE"""),"CHI")</f>
        <v>CHI</v>
      </c>
      <c r="E1420" s="62" t="str">
        <f t="shared" si="4"/>
        <v>Daniel Hardy</v>
      </c>
      <c r="F1420" s="62">
        <f t="shared" ref="F1420:G1420" si="2839">IF(isblank(F$1),,IF(isblank($A1420),,IFERROR(vlookup($A1420,indirect("'TVC-"&amp;text(month(F$1),"00")&amp;"'!$A:$D"),4,false),1)))</f>
        <v>1</v>
      </c>
      <c r="G1420" s="62">
        <f t="shared" si="2839"/>
        <v>1</v>
      </c>
      <c r="H1420" s="62">
        <f t="shared" ref="H1420:Q1420" si="2840">IF(isblank(H$1),,IFERROR(vlookup($A1420,indirect("'TVC-"&amp;text(month(H$1),"00")&amp;"'!$A:$D"),4,false),1))</f>
        <v>1</v>
      </c>
      <c r="I1420" s="62">
        <f t="shared" si="2840"/>
        <v>1</v>
      </c>
      <c r="J1420" s="62">
        <f t="shared" si="2840"/>
        <v>1</v>
      </c>
      <c r="K1420" s="62">
        <f t="shared" si="2840"/>
        <v>1</v>
      </c>
      <c r="L1420" s="62">
        <f t="shared" si="2840"/>
        <v>1</v>
      </c>
      <c r="M1420" s="62">
        <f t="shared" si="2840"/>
        <v>1</v>
      </c>
      <c r="N1420" s="62">
        <f t="shared" si="2840"/>
        <v>1</v>
      </c>
      <c r="O1420" s="62">
        <f t="shared" si="2840"/>
        <v>1</v>
      </c>
      <c r="P1420" s="62" t="str">
        <f t="shared" si="2840"/>
        <v/>
      </c>
      <c r="Q1420" s="62" t="str">
        <f t="shared" si="2840"/>
        <v/>
      </c>
      <c r="R1420" s="62">
        <f t="shared" si="7"/>
        <v>0</v>
      </c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</row>
    <row r="1421">
      <c r="A1421" s="60">
        <f>IFERROR(__xludf.DUMMYFUNCTION("""COMPUTED_VALUE"""),15944.0)</f>
        <v>15944</v>
      </c>
      <c r="B1421" s="60" t="str">
        <f>IFERROR(__xludf.DUMMYFUNCTION("""COMPUTED_VALUE"""),"Leonard, Deane")</f>
        <v>Leonard, Deane</v>
      </c>
      <c r="C1421" s="60" t="str">
        <f>IFERROR(__xludf.DUMMYFUNCTION("""COMPUTED_VALUE"""),"CB")</f>
        <v>CB</v>
      </c>
      <c r="D1421" s="60" t="str">
        <f>IFERROR(__xludf.DUMMYFUNCTION("""COMPUTED_VALUE"""),"LAC")</f>
        <v>LAC</v>
      </c>
      <c r="E1421" s="62" t="str">
        <f t="shared" si="4"/>
        <v>Deane Leonard</v>
      </c>
      <c r="F1421" s="62">
        <f t="shared" ref="F1421:G1421" si="2841">IF(isblank(F$1),,IF(isblank($A1421),,IFERROR(vlookup($A1421,indirect("'TVC-"&amp;text(month(F$1),"00")&amp;"'!$A:$D"),4,false),1)))</f>
        <v>1</v>
      </c>
      <c r="G1421" s="62">
        <f t="shared" si="2841"/>
        <v>1</v>
      </c>
      <c r="H1421" s="62">
        <f t="shared" ref="H1421:Q1421" si="2842">IF(isblank(H$1),,IFERROR(vlookup($A1421,indirect("'TVC-"&amp;text(month(H$1),"00")&amp;"'!$A:$D"),4,false),1))</f>
        <v>1</v>
      </c>
      <c r="I1421" s="62">
        <f t="shared" si="2842"/>
        <v>1</v>
      </c>
      <c r="J1421" s="62">
        <f t="shared" si="2842"/>
        <v>1</v>
      </c>
      <c r="K1421" s="62">
        <f t="shared" si="2842"/>
        <v>1</v>
      </c>
      <c r="L1421" s="62">
        <f t="shared" si="2842"/>
        <v>1</v>
      </c>
      <c r="M1421" s="62">
        <f t="shared" si="2842"/>
        <v>1</v>
      </c>
      <c r="N1421" s="62">
        <f t="shared" si="2842"/>
        <v>1</v>
      </c>
      <c r="O1421" s="62">
        <f t="shared" si="2842"/>
        <v>1</v>
      </c>
      <c r="P1421" s="62" t="str">
        <f t="shared" si="2842"/>
        <v/>
      </c>
      <c r="Q1421" s="62" t="str">
        <f t="shared" si="2842"/>
        <v/>
      </c>
      <c r="R1421" s="62">
        <f t="shared" si="7"/>
        <v>0</v>
      </c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</row>
    <row r="1422" hidden="1">
      <c r="A1422" s="60">
        <f>IFERROR(__xludf.DUMMYFUNCTION("""COMPUTED_VALUE"""),15945.0)</f>
        <v>15945</v>
      </c>
      <c r="B1422" s="60" t="str">
        <f>IFERROR(__xludf.DUMMYFUNCTION("""COMPUTED_VALUE"""),"Lucas, Chase")</f>
        <v>Lucas, Chase</v>
      </c>
      <c r="C1422" s="60" t="str">
        <f>IFERROR(__xludf.DUMMYFUNCTION("""COMPUTED_VALUE"""),"CB")</f>
        <v>CB</v>
      </c>
      <c r="D1422" s="60" t="str">
        <f>IFERROR(__xludf.DUMMYFUNCTION("""COMPUTED_VALUE"""),"FA")</f>
        <v>FA</v>
      </c>
      <c r="E1422" s="62" t="str">
        <f t="shared" si="4"/>
        <v>Chase Lucas</v>
      </c>
      <c r="F1422" s="62">
        <f t="shared" ref="F1422:G1422" si="2843">IF(isblank(F$1),,IF(isblank($A1422),,IFERROR(vlookup($A1422,indirect("'TVC-"&amp;text(month(F$1),"00")&amp;"'!$A:$D"),4,false),1)))</f>
        <v>1</v>
      </c>
      <c r="G1422" s="62">
        <f t="shared" si="2843"/>
        <v>1</v>
      </c>
      <c r="H1422" s="62">
        <f t="shared" ref="H1422:Q1422" si="2844">IF(isblank(H$1),,IFERROR(vlookup($A1422,indirect("'TVC-"&amp;text(month(H$1),"00")&amp;"'!$A:$D"),4,false),1))</f>
        <v>1</v>
      </c>
      <c r="I1422" s="62">
        <f t="shared" si="2844"/>
        <v>1</v>
      </c>
      <c r="J1422" s="62">
        <f t="shared" si="2844"/>
        <v>1</v>
      </c>
      <c r="K1422" s="62">
        <f t="shared" si="2844"/>
        <v>1</v>
      </c>
      <c r="L1422" s="62">
        <f t="shared" si="2844"/>
        <v>1</v>
      </c>
      <c r="M1422" s="62">
        <f t="shared" si="2844"/>
        <v>1</v>
      </c>
      <c r="N1422" s="62">
        <f t="shared" si="2844"/>
        <v>1</v>
      </c>
      <c r="O1422" s="62">
        <f t="shared" si="2844"/>
        <v>1</v>
      </c>
      <c r="P1422" s="62" t="str">
        <f t="shared" si="2844"/>
        <v/>
      </c>
      <c r="Q1422" s="62" t="str">
        <f t="shared" si="2844"/>
        <v/>
      </c>
      <c r="R1422" s="62">
        <f t="shared" si="7"/>
        <v>0</v>
      </c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</row>
    <row r="1423" hidden="1">
      <c r="A1423" s="60">
        <f>IFERROR(__xludf.DUMMYFUNCTION("""COMPUTED_VALUE"""),15946.0)</f>
        <v>15946</v>
      </c>
      <c r="B1423" s="60" t="str">
        <f>IFERROR(__xludf.DUMMYFUNCTION("""COMPUTED_VALUE"""),"Thomas II, Rodney")</f>
        <v>Thomas II, Rodney</v>
      </c>
      <c r="C1423" s="60" t="str">
        <f>IFERROR(__xludf.DUMMYFUNCTION("""COMPUTED_VALUE"""),"S")</f>
        <v>S</v>
      </c>
      <c r="D1423" s="60" t="str">
        <f>IFERROR(__xludf.DUMMYFUNCTION("""COMPUTED_VALUE"""),"SEA")</f>
        <v>SEA</v>
      </c>
      <c r="E1423" s="62" t="str">
        <f t="shared" si="4"/>
        <v>Rodney Thomas II</v>
      </c>
      <c r="F1423" s="62">
        <f t="shared" ref="F1423:G1423" si="2845">IF(isblank(F$1),,IF(isblank($A1423),,IFERROR(vlookup($A1423,indirect("'TVC-"&amp;text(month(F$1),"00")&amp;"'!$A:$D"),4,false),1)))</f>
        <v>1</v>
      </c>
      <c r="G1423" s="62">
        <f t="shared" si="2845"/>
        <v>1</v>
      </c>
      <c r="H1423" s="62">
        <f t="shared" ref="H1423:Q1423" si="2846">IF(isblank(H$1),,IFERROR(vlookup($A1423,indirect("'TVC-"&amp;text(month(H$1),"00")&amp;"'!$A:$D"),4,false),1))</f>
        <v>1</v>
      </c>
      <c r="I1423" s="62">
        <f t="shared" si="2846"/>
        <v>1</v>
      </c>
      <c r="J1423" s="62">
        <f t="shared" si="2846"/>
        <v>1</v>
      </c>
      <c r="K1423" s="62">
        <f t="shared" si="2846"/>
        <v>1</v>
      </c>
      <c r="L1423" s="62">
        <f t="shared" si="2846"/>
        <v>1</v>
      </c>
      <c r="M1423" s="62">
        <f t="shared" si="2846"/>
        <v>1</v>
      </c>
      <c r="N1423" s="62">
        <f t="shared" si="2846"/>
        <v>1</v>
      </c>
      <c r="O1423" s="62">
        <f t="shared" si="2846"/>
        <v>1</v>
      </c>
      <c r="P1423" s="62" t="str">
        <f t="shared" si="2846"/>
        <v/>
      </c>
      <c r="Q1423" s="62" t="str">
        <f t="shared" si="2846"/>
        <v/>
      </c>
      <c r="R1423" s="62">
        <f t="shared" si="7"/>
        <v>0</v>
      </c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</row>
    <row r="1424" hidden="1">
      <c r="A1424" s="60">
        <f>IFERROR(__xludf.DUMMYFUNCTION("""COMPUTED_VALUE"""),15948.0)</f>
        <v>15948</v>
      </c>
      <c r="B1424" s="60" t="str">
        <f>IFERROR(__xludf.DUMMYFUNCTION("""COMPUTED_VALUE"""),"Oladokun, Chris")</f>
        <v>Oladokun, Chris</v>
      </c>
      <c r="C1424" s="60" t="str">
        <f>IFERROR(__xludf.DUMMYFUNCTION("""COMPUTED_VALUE"""),"QB")</f>
        <v>QB</v>
      </c>
      <c r="D1424" s="60" t="str">
        <f>IFERROR(__xludf.DUMMYFUNCTION("""COMPUTED_VALUE"""),"FA")</f>
        <v>FA</v>
      </c>
      <c r="E1424" s="62" t="str">
        <f t="shared" si="4"/>
        <v>Chris Oladokun</v>
      </c>
      <c r="F1424" s="62">
        <f t="shared" ref="F1424:G1424" si="2847">IF(isblank(F$1),,IF(isblank($A1424),,IFERROR(vlookup($A1424,indirect("'TVC-"&amp;text(month(F$1),"00")&amp;"'!$A:$D"),4,false),1)))</f>
        <v>1</v>
      </c>
      <c r="G1424" s="62">
        <f t="shared" si="2847"/>
        <v>1</v>
      </c>
      <c r="H1424" s="62">
        <f t="shared" ref="H1424:Q1424" si="2848">IF(isblank(H$1),,IFERROR(vlookup($A1424,indirect("'TVC-"&amp;text(month(H$1),"00")&amp;"'!$A:$D"),4,false),1))</f>
        <v>1</v>
      </c>
      <c r="I1424" s="62">
        <f t="shared" si="2848"/>
        <v>1</v>
      </c>
      <c r="J1424" s="62">
        <f t="shared" si="2848"/>
        <v>1</v>
      </c>
      <c r="K1424" s="62">
        <f t="shared" si="2848"/>
        <v>1</v>
      </c>
      <c r="L1424" s="62">
        <f t="shared" si="2848"/>
        <v>1</v>
      </c>
      <c r="M1424" s="62">
        <f t="shared" si="2848"/>
        <v>1</v>
      </c>
      <c r="N1424" s="62">
        <f t="shared" si="2848"/>
        <v>1</v>
      </c>
      <c r="O1424" s="62">
        <f t="shared" si="2848"/>
        <v>1</v>
      </c>
      <c r="P1424" s="62" t="str">
        <f t="shared" si="2848"/>
        <v/>
      </c>
      <c r="Q1424" s="62" t="str">
        <f t="shared" si="2848"/>
        <v/>
      </c>
      <c r="R1424" s="62">
        <f t="shared" si="7"/>
        <v>0</v>
      </c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</row>
    <row r="1425" hidden="1">
      <c r="A1425" s="60">
        <f>IFERROR(__xludf.DUMMYFUNCTION("""COMPUTED_VALUE"""),15950.0)</f>
        <v>15950</v>
      </c>
      <c r="B1425" s="60" t="str">
        <f>IFERROR(__xludf.DUMMYFUNCTION("""COMPUTED_VALUE"""),"Watson, Jaylen")</f>
        <v>Watson, Jaylen</v>
      </c>
      <c r="C1425" s="60" t="str">
        <f>IFERROR(__xludf.DUMMYFUNCTION("""COMPUTED_VALUE"""),"CB")</f>
        <v>CB</v>
      </c>
      <c r="D1425" s="60" t="str">
        <f>IFERROR(__xludf.DUMMYFUNCTION("""COMPUTED_VALUE"""),"LAR")</f>
        <v>LAR</v>
      </c>
      <c r="E1425" s="62" t="str">
        <f t="shared" si="4"/>
        <v>Jaylen Watson</v>
      </c>
      <c r="F1425" s="62">
        <f t="shared" ref="F1425:G1425" si="2849">IF(isblank(F$1),,IF(isblank($A1425),,IFERROR(vlookup($A1425,indirect("'TVC-"&amp;text(month(F$1),"00")&amp;"'!$A:$D"),4,false),1)))</f>
        <v>1</v>
      </c>
      <c r="G1425" s="62">
        <f t="shared" si="2849"/>
        <v>1</v>
      </c>
      <c r="H1425" s="62">
        <f t="shared" ref="H1425:Q1425" si="2850">IF(isblank(H$1),,IFERROR(vlookup($A1425,indirect("'TVC-"&amp;text(month(H$1),"00")&amp;"'!$A:$D"),4,false),1))</f>
        <v>1</v>
      </c>
      <c r="I1425" s="62">
        <f t="shared" si="2850"/>
        <v>1</v>
      </c>
      <c r="J1425" s="62">
        <f t="shared" si="2850"/>
        <v>1</v>
      </c>
      <c r="K1425" s="62">
        <f t="shared" si="2850"/>
        <v>1</v>
      </c>
      <c r="L1425" s="62">
        <f t="shared" si="2850"/>
        <v>1</v>
      </c>
      <c r="M1425" s="62">
        <f t="shared" si="2850"/>
        <v>1</v>
      </c>
      <c r="N1425" s="62">
        <f t="shared" si="2850"/>
        <v>1</v>
      </c>
      <c r="O1425" s="62">
        <f t="shared" si="2850"/>
        <v>1</v>
      </c>
      <c r="P1425" s="62" t="str">
        <f t="shared" si="2850"/>
        <v/>
      </c>
      <c r="Q1425" s="62" t="str">
        <f t="shared" si="2850"/>
        <v/>
      </c>
      <c r="R1425" s="62">
        <f t="shared" si="7"/>
        <v>0</v>
      </c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</row>
    <row r="1426" hidden="1">
      <c r="A1426" s="60">
        <f>IFERROR(__xludf.DUMMYFUNCTION("""COMPUTED_VALUE"""),15953.0)</f>
        <v>15953</v>
      </c>
      <c r="B1426" s="60" t="str">
        <f>IFERROR(__xludf.DUMMYFUNCTION("""COMPUTED_VALUE"""),"Brown, Brittain")</f>
        <v>Brown, Brittain</v>
      </c>
      <c r="C1426" s="60" t="str">
        <f>IFERROR(__xludf.DUMMYFUNCTION("""COMPUTED_VALUE"""),"RB")</f>
        <v>RB</v>
      </c>
      <c r="D1426" s="60" t="str">
        <f>IFERROR(__xludf.DUMMYFUNCTION("""COMPUTED_VALUE"""),"CHI")</f>
        <v>CHI</v>
      </c>
      <c r="E1426" s="62" t="str">
        <f t="shared" si="4"/>
        <v>Brittain Brown</v>
      </c>
      <c r="F1426" s="62">
        <f t="shared" ref="F1426:G1426" si="2851">IF(isblank(F$1),,IF(isblank($A1426),,IFERROR(vlookup($A1426,indirect("'TVC-"&amp;text(month(F$1),"00")&amp;"'!$A:$D"),4,false),1)))</f>
        <v>1</v>
      </c>
      <c r="G1426" s="62">
        <f t="shared" si="2851"/>
        <v>1</v>
      </c>
      <c r="H1426" s="62">
        <f t="shared" ref="H1426:Q1426" si="2852">IF(isblank(H$1),,IFERROR(vlookup($A1426,indirect("'TVC-"&amp;text(month(H$1),"00")&amp;"'!$A:$D"),4,false),1))</f>
        <v>1</v>
      </c>
      <c r="I1426" s="62">
        <f t="shared" si="2852"/>
        <v>1</v>
      </c>
      <c r="J1426" s="62">
        <f t="shared" si="2852"/>
        <v>1</v>
      </c>
      <c r="K1426" s="62">
        <f t="shared" si="2852"/>
        <v>1</v>
      </c>
      <c r="L1426" s="62">
        <f t="shared" si="2852"/>
        <v>1</v>
      </c>
      <c r="M1426" s="62">
        <f t="shared" si="2852"/>
        <v>1</v>
      </c>
      <c r="N1426" s="62">
        <f t="shared" si="2852"/>
        <v>1</v>
      </c>
      <c r="O1426" s="62">
        <f t="shared" si="2852"/>
        <v>1</v>
      </c>
      <c r="P1426" s="62" t="str">
        <f t="shared" si="2852"/>
        <v/>
      </c>
      <c r="Q1426" s="62" t="str">
        <f t="shared" si="2852"/>
        <v/>
      </c>
      <c r="R1426" s="62">
        <f t="shared" si="7"/>
        <v>0</v>
      </c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</row>
    <row r="1427" hidden="1">
      <c r="A1427" s="60">
        <f>IFERROR(__xludf.DUMMYFUNCTION("""COMPUTED_VALUE"""),15955.0)</f>
        <v>15955</v>
      </c>
      <c r="B1427" s="60" t="str">
        <f>IFERROR(__xludf.DUMMYFUNCTION("""COMPUTED_VALUE"""),"Yeast, Russ")</f>
        <v>Yeast, Russ</v>
      </c>
      <c r="C1427" s="60" t="str">
        <f>IFERROR(__xludf.DUMMYFUNCTION("""COMPUTED_VALUE"""),"S")</f>
        <v>S</v>
      </c>
      <c r="D1427" s="60" t="str">
        <f>IFERROR(__xludf.DUMMYFUNCTION("""COMPUTED_VALUE"""),"CIN")</f>
        <v>CIN</v>
      </c>
      <c r="E1427" s="62" t="str">
        <f t="shared" si="4"/>
        <v>Russ Yeast</v>
      </c>
      <c r="F1427" s="62">
        <f t="shared" ref="F1427:G1427" si="2853">IF(isblank(F$1),,IF(isblank($A1427),,IFERROR(vlookup($A1427,indirect("'TVC-"&amp;text(month(F$1),"00")&amp;"'!$A:$D"),4,false),1)))</f>
        <v>1</v>
      </c>
      <c r="G1427" s="62">
        <f t="shared" si="2853"/>
        <v>1</v>
      </c>
      <c r="H1427" s="62">
        <f t="shared" ref="H1427:Q1427" si="2854">IF(isblank(H$1),,IFERROR(vlookup($A1427,indirect("'TVC-"&amp;text(month(H$1),"00")&amp;"'!$A:$D"),4,false),1))</f>
        <v>1</v>
      </c>
      <c r="I1427" s="62">
        <f t="shared" si="2854"/>
        <v>1</v>
      </c>
      <c r="J1427" s="62">
        <f t="shared" si="2854"/>
        <v>1</v>
      </c>
      <c r="K1427" s="62">
        <f t="shared" si="2854"/>
        <v>1</v>
      </c>
      <c r="L1427" s="62">
        <f t="shared" si="2854"/>
        <v>1</v>
      </c>
      <c r="M1427" s="62">
        <f t="shared" si="2854"/>
        <v>1</v>
      </c>
      <c r="N1427" s="62">
        <f t="shared" si="2854"/>
        <v>1</v>
      </c>
      <c r="O1427" s="62">
        <f t="shared" si="2854"/>
        <v>1</v>
      </c>
      <c r="P1427" s="62" t="str">
        <f t="shared" si="2854"/>
        <v/>
      </c>
      <c r="Q1427" s="62" t="str">
        <f t="shared" si="2854"/>
        <v/>
      </c>
      <c r="R1427" s="62">
        <f t="shared" si="7"/>
        <v>0</v>
      </c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</row>
    <row r="1428" hidden="1">
      <c r="A1428" s="60">
        <f>IFERROR(__xludf.DUMMYFUNCTION("""COMPUTED_VALUE"""),15956.0)</f>
        <v>15956</v>
      </c>
      <c r="B1428" s="60" t="str">
        <f>IFERROR(__xludf.DUMMYFUNCTION("""COMPUTED_VALUE"""),"Hicks, Elijah")</f>
        <v>Hicks, Elijah</v>
      </c>
      <c r="C1428" s="60" t="str">
        <f>IFERROR(__xludf.DUMMYFUNCTION("""COMPUTED_VALUE"""),"S")</f>
        <v>S</v>
      </c>
      <c r="D1428" s="60" t="str">
        <f>IFERROR(__xludf.DUMMYFUNCTION("""COMPUTED_VALUE"""),"CHI")</f>
        <v>CHI</v>
      </c>
      <c r="E1428" s="62" t="str">
        <f t="shared" si="4"/>
        <v>Elijah Hicks</v>
      </c>
      <c r="F1428" s="62">
        <f t="shared" ref="F1428:G1428" si="2855">IF(isblank(F$1),,IF(isblank($A1428),,IFERROR(vlookup($A1428,indirect("'TVC-"&amp;text(month(F$1),"00")&amp;"'!$A:$D"),4,false),1)))</f>
        <v>1</v>
      </c>
      <c r="G1428" s="62">
        <f t="shared" si="2855"/>
        <v>1</v>
      </c>
      <c r="H1428" s="62">
        <f t="shared" ref="H1428:Q1428" si="2856">IF(isblank(H$1),,IFERROR(vlookup($A1428,indirect("'TVC-"&amp;text(month(H$1),"00")&amp;"'!$A:$D"),4,false),1))</f>
        <v>1</v>
      </c>
      <c r="I1428" s="62">
        <f t="shared" si="2856"/>
        <v>1</v>
      </c>
      <c r="J1428" s="62">
        <f t="shared" si="2856"/>
        <v>1</v>
      </c>
      <c r="K1428" s="62">
        <f t="shared" si="2856"/>
        <v>1</v>
      </c>
      <c r="L1428" s="62">
        <f t="shared" si="2856"/>
        <v>1</v>
      </c>
      <c r="M1428" s="62">
        <f t="shared" si="2856"/>
        <v>1</v>
      </c>
      <c r="N1428" s="62">
        <f t="shared" si="2856"/>
        <v>1</v>
      </c>
      <c r="O1428" s="62">
        <f t="shared" si="2856"/>
        <v>1</v>
      </c>
      <c r="P1428" s="62" t="str">
        <f t="shared" si="2856"/>
        <v/>
      </c>
      <c r="Q1428" s="62" t="str">
        <f t="shared" si="2856"/>
        <v/>
      </c>
      <c r="R1428" s="62">
        <f t="shared" si="7"/>
        <v>0</v>
      </c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</row>
    <row r="1429" hidden="1">
      <c r="A1429" s="60">
        <f>IFERROR(__xludf.DUMMYFUNCTION("""COMPUTED_VALUE"""),15959.0)</f>
        <v>15959</v>
      </c>
      <c r="B1429" s="60" t="str">
        <f>IFERROR(__xludf.DUMMYFUNCTION("""COMPUTED_VALUE"""),"Johnson, Nazeeh")</f>
        <v>Johnson, Nazeeh</v>
      </c>
      <c r="C1429" s="60" t="str">
        <f>IFERROR(__xludf.DUMMYFUNCTION("""COMPUTED_VALUE"""),"CB")</f>
        <v>CB</v>
      </c>
      <c r="D1429" s="60" t="str">
        <f>IFERROR(__xludf.DUMMYFUNCTION("""COMPUTED_VALUE"""),"TEN")</f>
        <v>TEN</v>
      </c>
      <c r="E1429" s="62" t="str">
        <f t="shared" si="4"/>
        <v>Nazeeh Johnson</v>
      </c>
      <c r="F1429" s="62">
        <f t="shared" ref="F1429:G1429" si="2857">IF(isblank(F$1),,IF(isblank($A1429),,IFERROR(vlookup($A1429,indirect("'TVC-"&amp;text(month(F$1),"00")&amp;"'!$A:$D"),4,false),1)))</f>
        <v>1</v>
      </c>
      <c r="G1429" s="62">
        <f t="shared" si="2857"/>
        <v>1</v>
      </c>
      <c r="H1429" s="62">
        <f t="shared" ref="H1429:Q1429" si="2858">IF(isblank(H$1),,IFERROR(vlookup($A1429,indirect("'TVC-"&amp;text(month(H$1),"00")&amp;"'!$A:$D"),4,false),1))</f>
        <v>1</v>
      </c>
      <c r="I1429" s="62">
        <f t="shared" si="2858"/>
        <v>1</v>
      </c>
      <c r="J1429" s="62">
        <f t="shared" si="2858"/>
        <v>1</v>
      </c>
      <c r="K1429" s="62">
        <f t="shared" si="2858"/>
        <v>1</v>
      </c>
      <c r="L1429" s="62">
        <f t="shared" si="2858"/>
        <v>1</v>
      </c>
      <c r="M1429" s="62">
        <f t="shared" si="2858"/>
        <v>1</v>
      </c>
      <c r="N1429" s="62">
        <f t="shared" si="2858"/>
        <v>1</v>
      </c>
      <c r="O1429" s="62">
        <f t="shared" si="2858"/>
        <v>1</v>
      </c>
      <c r="P1429" s="62" t="str">
        <f t="shared" si="2858"/>
        <v/>
      </c>
      <c r="Q1429" s="62" t="str">
        <f t="shared" si="2858"/>
        <v/>
      </c>
      <c r="R1429" s="62">
        <f t="shared" si="7"/>
        <v>0</v>
      </c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</row>
    <row r="1430" hidden="1">
      <c r="A1430" s="60">
        <f>IFERROR(__xludf.DUMMYFUNCTION("""COMPUTED_VALUE"""),15965.0)</f>
        <v>15965</v>
      </c>
      <c r="B1430" s="60" t="str">
        <f>IFERROR(__xludf.DUMMYFUNCTION("""COMPUTED_VALUE"""),"Chestnut, Julius")</f>
        <v>Chestnut, Julius</v>
      </c>
      <c r="C1430" s="60" t="str">
        <f>IFERROR(__xludf.DUMMYFUNCTION("""COMPUTED_VALUE"""),"RB")</f>
        <v>RB</v>
      </c>
      <c r="D1430" s="60" t="str">
        <f>IFERROR(__xludf.DUMMYFUNCTION("""COMPUTED_VALUE"""),"TEN")</f>
        <v>TEN</v>
      </c>
      <c r="E1430" s="62" t="str">
        <f t="shared" si="4"/>
        <v>Julius Chestnut</v>
      </c>
      <c r="F1430" s="62">
        <f t="shared" ref="F1430:G1430" si="2859">IF(isblank(F$1),,IF(isblank($A1430),,IFERROR(vlookup($A1430,indirect("'TVC-"&amp;text(month(F$1),"00")&amp;"'!$A:$D"),4,false),1)))</f>
        <v>820</v>
      </c>
      <c r="G1430" s="62">
        <f t="shared" si="2859"/>
        <v>770</v>
      </c>
      <c r="H1430" s="62">
        <f t="shared" ref="H1430:Q1430" si="2860">IF(isblank(H$1),,IFERROR(vlookup($A1430,indirect("'TVC-"&amp;text(month(H$1),"00")&amp;"'!$A:$D"),4,false),1))</f>
        <v>780</v>
      </c>
      <c r="I1430" s="62">
        <f t="shared" si="2860"/>
        <v>748</v>
      </c>
      <c r="J1430" s="62">
        <f t="shared" si="2860"/>
        <v>1</v>
      </c>
      <c r="K1430" s="62">
        <f t="shared" si="2860"/>
        <v>1</v>
      </c>
      <c r="L1430" s="62">
        <f t="shared" si="2860"/>
        <v>1</v>
      </c>
      <c r="M1430" s="62">
        <f t="shared" si="2860"/>
        <v>1</v>
      </c>
      <c r="N1430" s="62">
        <f t="shared" si="2860"/>
        <v>478</v>
      </c>
      <c r="O1430" s="62">
        <f t="shared" si="2860"/>
        <v>1</v>
      </c>
      <c r="P1430" s="62" t="str">
        <f t="shared" si="2860"/>
        <v/>
      </c>
      <c r="Q1430" s="62" t="str">
        <f t="shared" si="2860"/>
        <v/>
      </c>
      <c r="R1430" s="62">
        <f t="shared" si="7"/>
        <v>-477</v>
      </c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</row>
    <row r="1431" hidden="1">
      <c r="A1431" s="60">
        <f>IFERROR(__xludf.DUMMYFUNCTION("""COMPUTED_VALUE"""),15970.0)</f>
        <v>15970</v>
      </c>
      <c r="B1431" s="60" t="str">
        <f>IFERROR(__xludf.DUMMYFUNCTION("""COMPUTED_VALUE"""),"Krull, Lucas")</f>
        <v>Krull, Lucas</v>
      </c>
      <c r="C1431" s="60" t="str">
        <f>IFERROR(__xludf.DUMMYFUNCTION("""COMPUTED_VALUE"""),"TE")</f>
        <v>TE</v>
      </c>
      <c r="D1431" s="60" t="str">
        <f>IFERROR(__xludf.DUMMYFUNCTION("""COMPUTED_VALUE"""),"DEN")</f>
        <v>DEN</v>
      </c>
      <c r="E1431" s="62" t="str">
        <f t="shared" si="4"/>
        <v>Lucas Krull</v>
      </c>
      <c r="F1431" s="62">
        <f t="shared" ref="F1431:G1431" si="2861">IF(isblank(F$1),,IF(isblank($A1431),,IFERROR(vlookup($A1431,indirect("'TVC-"&amp;text(month(F$1),"00")&amp;"'!$A:$D"),4,false),1)))</f>
        <v>1</v>
      </c>
      <c r="G1431" s="62">
        <f t="shared" si="2861"/>
        <v>1</v>
      </c>
      <c r="H1431" s="62">
        <f t="shared" ref="H1431:Q1431" si="2862">IF(isblank(H$1),,IFERROR(vlookup($A1431,indirect("'TVC-"&amp;text(month(H$1),"00")&amp;"'!$A:$D"),4,false),1))</f>
        <v>1</v>
      </c>
      <c r="I1431" s="62">
        <f t="shared" si="2862"/>
        <v>1</v>
      </c>
      <c r="J1431" s="62">
        <f t="shared" si="2862"/>
        <v>1</v>
      </c>
      <c r="K1431" s="62">
        <f t="shared" si="2862"/>
        <v>1</v>
      </c>
      <c r="L1431" s="62">
        <f t="shared" si="2862"/>
        <v>1</v>
      </c>
      <c r="M1431" s="62">
        <f t="shared" si="2862"/>
        <v>1</v>
      </c>
      <c r="N1431" s="62">
        <f t="shared" si="2862"/>
        <v>1</v>
      </c>
      <c r="O1431" s="62">
        <f t="shared" si="2862"/>
        <v>1</v>
      </c>
      <c r="P1431" s="62" t="str">
        <f t="shared" si="2862"/>
        <v/>
      </c>
      <c r="Q1431" s="62" t="str">
        <f t="shared" si="2862"/>
        <v/>
      </c>
      <c r="R1431" s="62">
        <f t="shared" si="7"/>
        <v>0</v>
      </c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</row>
    <row r="1432" hidden="1">
      <c r="A1432" s="60">
        <f>IFERROR(__xludf.DUMMYFUNCTION("""COMPUTED_VALUE"""),15972.0)</f>
        <v>15972</v>
      </c>
      <c r="B1432" s="60" t="str">
        <f>IFERROR(__xludf.DUMMYFUNCTION("""COMPUTED_VALUE"""),"Mason, Jordan")</f>
        <v>Mason, Jordan</v>
      </c>
      <c r="C1432" s="60" t="str">
        <f>IFERROR(__xludf.DUMMYFUNCTION("""COMPUTED_VALUE"""),"RB")</f>
        <v>RB</v>
      </c>
      <c r="D1432" s="60" t="str">
        <f>IFERROR(__xludf.DUMMYFUNCTION("""COMPUTED_VALUE"""),"MIN")</f>
        <v>MIN</v>
      </c>
      <c r="E1432" s="62" t="str">
        <f t="shared" si="4"/>
        <v>Jordan Mason</v>
      </c>
      <c r="F1432" s="62">
        <f t="shared" ref="F1432:G1432" si="2863">IF(isblank(F$1),,IF(isblank($A1432),,IFERROR(vlookup($A1432,indirect("'TVC-"&amp;text(month(F$1),"00")&amp;"'!$A:$D"),4,false),1)))</f>
        <v>2572</v>
      </c>
      <c r="G1432" s="62">
        <f t="shared" si="2863"/>
        <v>2485</v>
      </c>
      <c r="H1432" s="62">
        <f t="shared" ref="H1432:Q1432" si="2864">IF(isblank(H$1),,IFERROR(vlookup($A1432,indirect("'TVC-"&amp;text(month(H$1),"00")&amp;"'!$A:$D"),4,false),1))</f>
        <v>2477</v>
      </c>
      <c r="I1432" s="62">
        <f t="shared" si="2864"/>
        <v>2714</v>
      </c>
      <c r="J1432" s="62">
        <f t="shared" si="2864"/>
        <v>2702</v>
      </c>
      <c r="K1432" s="62">
        <f t="shared" si="2864"/>
        <v>2656</v>
      </c>
      <c r="L1432" s="62">
        <f t="shared" si="2864"/>
        <v>2665</v>
      </c>
      <c r="M1432" s="62">
        <f t="shared" si="2864"/>
        <v>2714</v>
      </c>
      <c r="N1432" s="62">
        <f t="shared" si="2864"/>
        <v>3037</v>
      </c>
      <c r="O1432" s="62">
        <f t="shared" si="2864"/>
        <v>1</v>
      </c>
      <c r="P1432" s="62" t="str">
        <f t="shared" si="2864"/>
        <v/>
      </c>
      <c r="Q1432" s="62" t="str">
        <f t="shared" si="2864"/>
        <v/>
      </c>
      <c r="R1432" s="62">
        <f t="shared" si="7"/>
        <v>-3036</v>
      </c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</row>
    <row r="1433" hidden="1">
      <c r="A1433" s="60">
        <f>IFERROR(__xludf.DUMMYFUNCTION("""COMPUTED_VALUE"""),15973.0)</f>
        <v>15973</v>
      </c>
      <c r="B1433" s="60" t="str">
        <f>IFERROR(__xludf.DUMMYFUNCTION("""COMPUTED_VALUE"""),"Blackshear, Raheem")</f>
        <v>Blackshear, Raheem</v>
      </c>
      <c r="C1433" s="60" t="str">
        <f>IFERROR(__xludf.DUMMYFUNCTION("""COMPUTED_VALUE"""),"RB")</f>
        <v>RB</v>
      </c>
      <c r="D1433" s="60" t="str">
        <f>IFERROR(__xludf.DUMMYFUNCTION("""COMPUTED_VALUE"""),"FA")</f>
        <v>FA</v>
      </c>
      <c r="E1433" s="62" t="str">
        <f t="shared" si="4"/>
        <v>Raheem Blackshear</v>
      </c>
      <c r="F1433" s="62">
        <f t="shared" ref="F1433:G1433" si="2865">IF(isblank(F$1),,IF(isblank($A1433),,IFERROR(vlookup($A1433,indirect("'TVC-"&amp;text(month(F$1),"00")&amp;"'!$A:$D"),4,false),1)))</f>
        <v>1</v>
      </c>
      <c r="G1433" s="62">
        <f t="shared" si="2865"/>
        <v>1</v>
      </c>
      <c r="H1433" s="62">
        <f t="shared" ref="H1433:Q1433" si="2866">IF(isblank(H$1),,IFERROR(vlookup($A1433,indirect("'TVC-"&amp;text(month(H$1),"00")&amp;"'!$A:$D"),4,false),1))</f>
        <v>1</v>
      </c>
      <c r="I1433" s="62">
        <f t="shared" si="2866"/>
        <v>1</v>
      </c>
      <c r="J1433" s="62">
        <f t="shared" si="2866"/>
        <v>1</v>
      </c>
      <c r="K1433" s="62">
        <f t="shared" si="2866"/>
        <v>1</v>
      </c>
      <c r="L1433" s="62">
        <f t="shared" si="2866"/>
        <v>1</v>
      </c>
      <c r="M1433" s="62">
        <f t="shared" si="2866"/>
        <v>1</v>
      </c>
      <c r="N1433" s="62">
        <f t="shared" si="2866"/>
        <v>1</v>
      </c>
      <c r="O1433" s="62">
        <f t="shared" si="2866"/>
        <v>1</v>
      </c>
      <c r="P1433" s="62" t="str">
        <f t="shared" si="2866"/>
        <v/>
      </c>
      <c r="Q1433" s="62" t="str">
        <f t="shared" si="2866"/>
        <v/>
      </c>
      <c r="R1433" s="62">
        <f t="shared" si="7"/>
        <v>0</v>
      </c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</row>
    <row r="1434" hidden="1">
      <c r="A1434" s="60">
        <f>IFERROR(__xludf.DUMMYFUNCTION("""COMPUTED_VALUE"""),15975.0)</f>
        <v>15975</v>
      </c>
      <c r="B1434" s="60" t="str">
        <f>IFERROR(__xludf.DUMMYFUNCTION("""COMPUTED_VALUE"""),"Sanborn, Jack")</f>
        <v>Sanborn, Jack</v>
      </c>
      <c r="C1434" s="60" t="str">
        <f>IFERROR(__xludf.DUMMYFUNCTION("""COMPUTED_VALUE"""),"LB")</f>
        <v>LB</v>
      </c>
      <c r="D1434" s="60" t="str">
        <f>IFERROR(__xludf.DUMMYFUNCTION("""COMPUTED_VALUE"""),"CHI")</f>
        <v>CHI</v>
      </c>
      <c r="E1434" s="62" t="str">
        <f t="shared" si="4"/>
        <v>Jack Sanborn</v>
      </c>
      <c r="F1434" s="62">
        <f t="shared" ref="F1434:G1434" si="2867">IF(isblank(F$1),,IF(isblank($A1434),,IFERROR(vlookup($A1434,indirect("'TVC-"&amp;text(month(F$1),"00")&amp;"'!$A:$D"),4,false),1)))</f>
        <v>1</v>
      </c>
      <c r="G1434" s="62">
        <f t="shared" si="2867"/>
        <v>1</v>
      </c>
      <c r="H1434" s="62">
        <f t="shared" ref="H1434:Q1434" si="2868">IF(isblank(H$1),,IFERROR(vlookup($A1434,indirect("'TVC-"&amp;text(month(H$1),"00")&amp;"'!$A:$D"),4,false),1))</f>
        <v>1</v>
      </c>
      <c r="I1434" s="62">
        <f t="shared" si="2868"/>
        <v>1</v>
      </c>
      <c r="J1434" s="62">
        <f t="shared" si="2868"/>
        <v>1</v>
      </c>
      <c r="K1434" s="62">
        <f t="shared" si="2868"/>
        <v>1</v>
      </c>
      <c r="L1434" s="62">
        <f t="shared" si="2868"/>
        <v>1</v>
      </c>
      <c r="M1434" s="62">
        <f t="shared" si="2868"/>
        <v>1</v>
      </c>
      <c r="N1434" s="62">
        <f t="shared" si="2868"/>
        <v>1</v>
      </c>
      <c r="O1434" s="62">
        <f t="shared" si="2868"/>
        <v>1</v>
      </c>
      <c r="P1434" s="62" t="str">
        <f t="shared" si="2868"/>
        <v/>
      </c>
      <c r="Q1434" s="62" t="str">
        <f t="shared" si="2868"/>
        <v/>
      </c>
      <c r="R1434" s="62">
        <f t="shared" si="7"/>
        <v>0</v>
      </c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</row>
    <row r="1435" hidden="1">
      <c r="A1435" s="60">
        <f>IFERROR(__xludf.DUMMYFUNCTION("""COMPUTED_VALUE"""),15977.0)</f>
        <v>15977</v>
      </c>
      <c r="B1435" s="60" t="str">
        <f>IFERROR(__xludf.DUMMYFUNCTION("""COMPUTED_VALUE"""),"Thompkins, Deven")</f>
        <v>Thompkins, Deven</v>
      </c>
      <c r="C1435" s="60" t="str">
        <f>IFERROR(__xludf.DUMMYFUNCTION("""COMPUTED_VALUE"""),"WR")</f>
        <v>WR</v>
      </c>
      <c r="D1435" s="60" t="str">
        <f>IFERROR(__xludf.DUMMYFUNCTION("""COMPUTED_VALUE"""),"LVR")</f>
        <v>LVR</v>
      </c>
      <c r="E1435" s="62" t="str">
        <f t="shared" si="4"/>
        <v>Deven Thompkins</v>
      </c>
      <c r="F1435" s="62">
        <f t="shared" ref="F1435:G1435" si="2869">IF(isblank(F$1),,IF(isblank($A1435),,IFERROR(vlookup($A1435,indirect("'TVC-"&amp;text(month(F$1),"00")&amp;"'!$A:$D"),4,false),1)))</f>
        <v>1</v>
      </c>
      <c r="G1435" s="62">
        <f t="shared" si="2869"/>
        <v>1</v>
      </c>
      <c r="H1435" s="62">
        <f t="shared" ref="H1435:Q1435" si="2870">IF(isblank(H$1),,IFERROR(vlookup($A1435,indirect("'TVC-"&amp;text(month(H$1),"00")&amp;"'!$A:$D"),4,false),1))</f>
        <v>1</v>
      </c>
      <c r="I1435" s="62">
        <f t="shared" si="2870"/>
        <v>1</v>
      </c>
      <c r="J1435" s="62">
        <f t="shared" si="2870"/>
        <v>1</v>
      </c>
      <c r="K1435" s="62">
        <f t="shared" si="2870"/>
        <v>1</v>
      </c>
      <c r="L1435" s="62">
        <f t="shared" si="2870"/>
        <v>1</v>
      </c>
      <c r="M1435" s="62">
        <f t="shared" si="2870"/>
        <v>1</v>
      </c>
      <c r="N1435" s="62">
        <f t="shared" si="2870"/>
        <v>1</v>
      </c>
      <c r="O1435" s="62">
        <f t="shared" si="2870"/>
        <v>1</v>
      </c>
      <c r="P1435" s="62" t="str">
        <f t="shared" si="2870"/>
        <v/>
      </c>
      <c r="Q1435" s="62" t="str">
        <f t="shared" si="2870"/>
        <v/>
      </c>
      <c r="R1435" s="62">
        <f t="shared" si="7"/>
        <v>0</v>
      </c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</row>
    <row r="1436" hidden="1">
      <c r="A1436" s="60">
        <f>IFERROR(__xludf.DUMMYFUNCTION("""COMPUTED_VALUE"""),15979.0)</f>
        <v>15979</v>
      </c>
      <c r="B1436" s="60" t="str">
        <f>IFERROR(__xludf.DUMMYFUNCTION("""COMPUTED_VALUE"""),"Dicker, Cameron")</f>
        <v>Dicker, Cameron</v>
      </c>
      <c r="C1436" s="60" t="str">
        <f>IFERROR(__xludf.DUMMYFUNCTION("""COMPUTED_VALUE"""),"PK")</f>
        <v>PK</v>
      </c>
      <c r="D1436" s="60" t="str">
        <f>IFERROR(__xludf.DUMMYFUNCTION("""COMPUTED_VALUE"""),"LAC")</f>
        <v>LAC</v>
      </c>
      <c r="E1436" s="62" t="str">
        <f t="shared" si="4"/>
        <v>Cameron Dicker</v>
      </c>
      <c r="F1436" s="62">
        <f t="shared" ref="F1436:G1436" si="2871">IF(isblank(F$1),,IF(isblank($A1436),,IFERROR(vlookup($A1436,indirect("'TVC-"&amp;text(month(F$1),"00")&amp;"'!$A:$D"),4,false),1)))</f>
        <v>1</v>
      </c>
      <c r="G1436" s="62">
        <f t="shared" si="2871"/>
        <v>1</v>
      </c>
      <c r="H1436" s="62">
        <f t="shared" ref="H1436:Q1436" si="2872">IF(isblank(H$1),,IFERROR(vlookup($A1436,indirect("'TVC-"&amp;text(month(H$1),"00")&amp;"'!$A:$D"),4,false),1))</f>
        <v>1</v>
      </c>
      <c r="I1436" s="62">
        <f t="shared" si="2872"/>
        <v>1</v>
      </c>
      <c r="J1436" s="62">
        <f t="shared" si="2872"/>
        <v>1</v>
      </c>
      <c r="K1436" s="62">
        <f t="shared" si="2872"/>
        <v>1</v>
      </c>
      <c r="L1436" s="62">
        <f t="shared" si="2872"/>
        <v>1</v>
      </c>
      <c r="M1436" s="62">
        <f t="shared" si="2872"/>
        <v>1</v>
      </c>
      <c r="N1436" s="62">
        <f t="shared" si="2872"/>
        <v>1</v>
      </c>
      <c r="O1436" s="62">
        <f t="shared" si="2872"/>
        <v>1</v>
      </c>
      <c r="P1436" s="62" t="str">
        <f t="shared" si="2872"/>
        <v/>
      </c>
      <c r="Q1436" s="62" t="str">
        <f t="shared" si="2872"/>
        <v/>
      </c>
      <c r="R1436" s="62">
        <f t="shared" si="7"/>
        <v>0</v>
      </c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</row>
    <row r="1437" hidden="1">
      <c r="A1437" s="60">
        <f>IFERROR(__xludf.DUMMYFUNCTION("""COMPUTED_VALUE"""),15981.0)</f>
        <v>15981</v>
      </c>
      <c r="B1437" s="60" t="str">
        <f>IFERROR(__xludf.DUMMYFUNCTION("""COMPUTED_VALUE"""),"Turpin, KaVontae")</f>
        <v>Turpin, KaVontae</v>
      </c>
      <c r="C1437" s="60" t="str">
        <f>IFERROR(__xludf.DUMMYFUNCTION("""COMPUTED_VALUE"""),"WR")</f>
        <v>WR</v>
      </c>
      <c r="D1437" s="60" t="str">
        <f>IFERROR(__xludf.DUMMYFUNCTION("""COMPUTED_VALUE"""),"DAL")</f>
        <v>DAL</v>
      </c>
      <c r="E1437" s="62" t="str">
        <f t="shared" si="4"/>
        <v>KaVontae Turpin</v>
      </c>
      <c r="F1437" s="62">
        <f t="shared" ref="F1437:G1437" si="2873">IF(isblank(F$1),,IF(isblank($A1437),,IFERROR(vlookup($A1437,indirect("'TVC-"&amp;text(month(F$1),"00")&amp;"'!$A:$D"),4,false),1)))</f>
        <v>1251</v>
      </c>
      <c r="G1437" s="62">
        <f t="shared" si="2873"/>
        <v>1230</v>
      </c>
      <c r="H1437" s="62">
        <f t="shared" ref="H1437:Q1437" si="2874">IF(isblank(H$1),,IFERROR(vlookup($A1437,indirect("'TVC-"&amp;text(month(H$1),"00")&amp;"'!$A:$D"),4,false),1))</f>
        <v>1227</v>
      </c>
      <c r="I1437" s="62">
        <f t="shared" si="2874"/>
        <v>1247</v>
      </c>
      <c r="J1437" s="62">
        <f t="shared" si="2874"/>
        <v>1223</v>
      </c>
      <c r="K1437" s="62">
        <f t="shared" si="2874"/>
        <v>1173</v>
      </c>
      <c r="L1437" s="62">
        <f t="shared" si="2874"/>
        <v>1114</v>
      </c>
      <c r="M1437" s="62">
        <f t="shared" si="2874"/>
        <v>1112</v>
      </c>
      <c r="N1437" s="62">
        <f t="shared" si="2874"/>
        <v>1015</v>
      </c>
      <c r="O1437" s="62">
        <f t="shared" si="2874"/>
        <v>1</v>
      </c>
      <c r="P1437" s="62" t="str">
        <f t="shared" si="2874"/>
        <v/>
      </c>
      <c r="Q1437" s="62" t="str">
        <f t="shared" si="2874"/>
        <v/>
      </c>
      <c r="R1437" s="62">
        <f t="shared" si="7"/>
        <v>-1014</v>
      </c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</row>
    <row r="1438" hidden="1">
      <c r="A1438" s="60">
        <f>IFERROR(__xludf.DUMMYFUNCTION("""COMPUTED_VALUE"""),15984.0)</f>
        <v>15984</v>
      </c>
      <c r="B1438" s="60" t="str">
        <f>IFERROR(__xludf.DUMMYFUNCTION("""COMPUTED_VALUE"""),"Charles, Irvin")</f>
        <v>Charles, Irvin</v>
      </c>
      <c r="C1438" s="60" t="str">
        <f>IFERROR(__xludf.DUMMYFUNCTION("""COMPUTED_VALUE"""),"WR")</f>
        <v>WR</v>
      </c>
      <c r="D1438" s="60" t="str">
        <f>IFERROR(__xludf.DUMMYFUNCTION("""COMPUTED_VALUE"""),"SEA")</f>
        <v>SEA</v>
      </c>
      <c r="E1438" s="62" t="str">
        <f t="shared" si="4"/>
        <v>Irvin Charles</v>
      </c>
      <c r="F1438" s="62">
        <f t="shared" ref="F1438:G1438" si="2875">IF(isblank(F$1),,IF(isblank($A1438),,IFERROR(vlookup($A1438,indirect("'TVC-"&amp;text(month(F$1),"00")&amp;"'!$A:$D"),4,false),1)))</f>
        <v>1</v>
      </c>
      <c r="G1438" s="62">
        <f t="shared" si="2875"/>
        <v>1</v>
      </c>
      <c r="H1438" s="62">
        <f t="shared" ref="H1438:Q1438" si="2876">IF(isblank(H$1),,IFERROR(vlookup($A1438,indirect("'TVC-"&amp;text(month(H$1),"00")&amp;"'!$A:$D"),4,false),1))</f>
        <v>1</v>
      </c>
      <c r="I1438" s="62">
        <f t="shared" si="2876"/>
        <v>1</v>
      </c>
      <c r="J1438" s="62">
        <f t="shared" si="2876"/>
        <v>1</v>
      </c>
      <c r="K1438" s="62">
        <f t="shared" si="2876"/>
        <v>1</v>
      </c>
      <c r="L1438" s="62">
        <f t="shared" si="2876"/>
        <v>1</v>
      </c>
      <c r="M1438" s="62">
        <f t="shared" si="2876"/>
        <v>1</v>
      </c>
      <c r="N1438" s="62">
        <f t="shared" si="2876"/>
        <v>1</v>
      </c>
      <c r="O1438" s="62">
        <f t="shared" si="2876"/>
        <v>1</v>
      </c>
      <c r="P1438" s="62" t="str">
        <f t="shared" si="2876"/>
        <v/>
      </c>
      <c r="Q1438" s="62" t="str">
        <f t="shared" si="2876"/>
        <v/>
      </c>
      <c r="R1438" s="62">
        <f t="shared" si="7"/>
        <v>0</v>
      </c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</row>
    <row r="1439" hidden="1">
      <c r="A1439" s="60">
        <f>IFERROR(__xludf.DUMMYFUNCTION("""COMPUTED_VALUE"""),15985.0)</f>
        <v>15985</v>
      </c>
      <c r="B1439" s="60" t="str">
        <f>IFERROR(__xludf.DUMMYFUNCTION("""COMPUTED_VALUE"""),"Bell, Markquese")</f>
        <v>Bell, Markquese</v>
      </c>
      <c r="C1439" s="60" t="str">
        <f>IFERROR(__xludf.DUMMYFUNCTION("""COMPUTED_VALUE"""),"S")</f>
        <v>S</v>
      </c>
      <c r="D1439" s="60" t="str">
        <f>IFERROR(__xludf.DUMMYFUNCTION("""COMPUTED_VALUE"""),"DAL")</f>
        <v>DAL</v>
      </c>
      <c r="E1439" s="62" t="str">
        <f t="shared" si="4"/>
        <v>Markquese Bell</v>
      </c>
      <c r="F1439" s="62">
        <f t="shared" ref="F1439:G1439" si="2877">IF(isblank(F$1),,IF(isblank($A1439),,IFERROR(vlookup($A1439,indirect("'TVC-"&amp;text(month(F$1),"00")&amp;"'!$A:$D"),4,false),1)))</f>
        <v>1</v>
      </c>
      <c r="G1439" s="62">
        <f t="shared" si="2877"/>
        <v>1</v>
      </c>
      <c r="H1439" s="62">
        <f t="shared" ref="H1439:Q1439" si="2878">IF(isblank(H$1),,IFERROR(vlookup($A1439,indirect("'TVC-"&amp;text(month(H$1),"00")&amp;"'!$A:$D"),4,false),1))</f>
        <v>1</v>
      </c>
      <c r="I1439" s="62">
        <f t="shared" si="2878"/>
        <v>1</v>
      </c>
      <c r="J1439" s="62">
        <f t="shared" si="2878"/>
        <v>1</v>
      </c>
      <c r="K1439" s="62">
        <f t="shared" si="2878"/>
        <v>1</v>
      </c>
      <c r="L1439" s="62">
        <f t="shared" si="2878"/>
        <v>1</v>
      </c>
      <c r="M1439" s="62">
        <f t="shared" si="2878"/>
        <v>1</v>
      </c>
      <c r="N1439" s="62">
        <f t="shared" si="2878"/>
        <v>1</v>
      </c>
      <c r="O1439" s="62">
        <f t="shared" si="2878"/>
        <v>1</v>
      </c>
      <c r="P1439" s="62" t="str">
        <f t="shared" si="2878"/>
        <v/>
      </c>
      <c r="Q1439" s="62" t="str">
        <f t="shared" si="2878"/>
        <v/>
      </c>
      <c r="R1439" s="62">
        <f t="shared" si="7"/>
        <v>0</v>
      </c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</row>
    <row r="1440" hidden="1">
      <c r="A1440" s="60">
        <f>IFERROR(__xludf.DUMMYFUNCTION("""COMPUTED_VALUE"""),15989.0)</f>
        <v>15989</v>
      </c>
      <c r="B1440" s="60" t="str">
        <f>IFERROR(__xludf.DUMMYFUNCTION("""COMPUTED_VALUE"""),"Jobe, Josh")</f>
        <v>Jobe, Josh</v>
      </c>
      <c r="C1440" s="60" t="str">
        <f>IFERROR(__xludf.DUMMYFUNCTION("""COMPUTED_VALUE"""),"CB")</f>
        <v>CB</v>
      </c>
      <c r="D1440" s="60" t="str">
        <f>IFERROR(__xludf.DUMMYFUNCTION("""COMPUTED_VALUE"""),"SEA")</f>
        <v>SEA</v>
      </c>
      <c r="E1440" s="62" t="str">
        <f t="shared" si="4"/>
        <v>Josh Jobe</v>
      </c>
      <c r="F1440" s="62">
        <f t="shared" ref="F1440:G1440" si="2879">IF(isblank(F$1),,IF(isblank($A1440),,IFERROR(vlookup($A1440,indirect("'TVC-"&amp;text(month(F$1),"00")&amp;"'!$A:$D"),4,false),1)))</f>
        <v>1</v>
      </c>
      <c r="G1440" s="62">
        <f t="shared" si="2879"/>
        <v>1</v>
      </c>
      <c r="H1440" s="62">
        <f t="shared" ref="H1440:Q1440" si="2880">IF(isblank(H$1),,IFERROR(vlookup($A1440,indirect("'TVC-"&amp;text(month(H$1),"00")&amp;"'!$A:$D"),4,false),1))</f>
        <v>1</v>
      </c>
      <c r="I1440" s="62">
        <f t="shared" si="2880"/>
        <v>1</v>
      </c>
      <c r="J1440" s="62">
        <f t="shared" si="2880"/>
        <v>1</v>
      </c>
      <c r="K1440" s="62">
        <f t="shared" si="2880"/>
        <v>1</v>
      </c>
      <c r="L1440" s="62">
        <f t="shared" si="2880"/>
        <v>1</v>
      </c>
      <c r="M1440" s="62">
        <f t="shared" si="2880"/>
        <v>1</v>
      </c>
      <c r="N1440" s="62">
        <f t="shared" si="2880"/>
        <v>1</v>
      </c>
      <c r="O1440" s="62">
        <f t="shared" si="2880"/>
        <v>1</v>
      </c>
      <c r="P1440" s="62" t="str">
        <f t="shared" si="2880"/>
        <v/>
      </c>
      <c r="Q1440" s="62" t="str">
        <f t="shared" si="2880"/>
        <v/>
      </c>
      <c r="R1440" s="62">
        <f t="shared" si="7"/>
        <v>0</v>
      </c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</row>
    <row r="1441" hidden="1">
      <c r="A1441" s="60">
        <f>IFERROR(__xludf.DUMMYFUNCTION("""COMPUTED_VALUE"""),15991.0)</f>
        <v>15991</v>
      </c>
      <c r="B1441" s="60" t="str">
        <f>IFERROR(__xludf.DUMMYFUNCTION("""COMPUTED_VALUE"""),"Conner, Tanner")</f>
        <v>Conner, Tanner</v>
      </c>
      <c r="C1441" s="60" t="str">
        <f>IFERROR(__xludf.DUMMYFUNCTION("""COMPUTED_VALUE"""),"TE")</f>
        <v>TE</v>
      </c>
      <c r="D1441" s="60" t="str">
        <f>IFERROR(__xludf.DUMMYFUNCTION("""COMPUTED_VALUE"""),"NEP")</f>
        <v>NEP</v>
      </c>
      <c r="E1441" s="62" t="str">
        <f t="shared" si="4"/>
        <v>Tanner Conner</v>
      </c>
      <c r="F1441" s="62">
        <f t="shared" ref="F1441:G1441" si="2881">IF(isblank(F$1),,IF(isblank($A1441),,IFERROR(vlookup($A1441,indirect("'TVC-"&amp;text(month(F$1),"00")&amp;"'!$A:$D"),4,false),1)))</f>
        <v>1</v>
      </c>
      <c r="G1441" s="62">
        <f t="shared" si="2881"/>
        <v>1</v>
      </c>
      <c r="H1441" s="62">
        <f t="shared" ref="H1441:Q1441" si="2882">IF(isblank(H$1),,IFERROR(vlookup($A1441,indirect("'TVC-"&amp;text(month(H$1),"00")&amp;"'!$A:$D"),4,false),1))</f>
        <v>1</v>
      </c>
      <c r="I1441" s="62">
        <f t="shared" si="2882"/>
        <v>1</v>
      </c>
      <c r="J1441" s="62">
        <f t="shared" si="2882"/>
        <v>1</v>
      </c>
      <c r="K1441" s="62">
        <f t="shared" si="2882"/>
        <v>1</v>
      </c>
      <c r="L1441" s="62">
        <f t="shared" si="2882"/>
        <v>1</v>
      </c>
      <c r="M1441" s="62">
        <f t="shared" si="2882"/>
        <v>1</v>
      </c>
      <c r="N1441" s="62">
        <f t="shared" si="2882"/>
        <v>1</v>
      </c>
      <c r="O1441" s="62">
        <f t="shared" si="2882"/>
        <v>1</v>
      </c>
      <c r="P1441" s="62" t="str">
        <f t="shared" si="2882"/>
        <v/>
      </c>
      <c r="Q1441" s="62" t="str">
        <f t="shared" si="2882"/>
        <v/>
      </c>
      <c r="R1441" s="62">
        <f t="shared" si="7"/>
        <v>0</v>
      </c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</row>
    <row r="1442">
      <c r="A1442" s="60">
        <f>IFERROR(__xludf.DUMMYFUNCTION("""COMPUTED_VALUE"""),15995.0)</f>
        <v>15995</v>
      </c>
      <c r="B1442" s="60" t="str">
        <f>IFERROR(__xludf.DUMMYFUNCTION("""COMPUTED_VALUE"""),"Turner, DJ")</f>
        <v>Turner, DJ</v>
      </c>
      <c r="C1442" s="60" t="str">
        <f>IFERROR(__xludf.DUMMYFUNCTION("""COMPUTED_VALUE"""),"WR")</f>
        <v>WR</v>
      </c>
      <c r="D1442" s="60" t="str">
        <f>IFERROR(__xludf.DUMMYFUNCTION("""COMPUTED_VALUE"""),"FA")</f>
        <v>FA</v>
      </c>
      <c r="E1442" s="62" t="str">
        <f t="shared" si="4"/>
        <v>DJ Turner</v>
      </c>
      <c r="F1442" s="62">
        <f t="shared" ref="F1442:G1442" si="2883">IF(isblank(F$1),,IF(isblank($A1442),,IFERROR(vlookup($A1442,indirect("'TVC-"&amp;text(month(F$1),"00")&amp;"'!$A:$D"),4,false),1)))</f>
        <v>1</v>
      </c>
      <c r="G1442" s="62">
        <f t="shared" si="2883"/>
        <v>1</v>
      </c>
      <c r="H1442" s="62">
        <f t="shared" ref="H1442:Q1442" si="2884">IF(isblank(H$1),,IFERROR(vlookup($A1442,indirect("'TVC-"&amp;text(month(H$1),"00")&amp;"'!$A:$D"),4,false),1))</f>
        <v>1</v>
      </c>
      <c r="I1442" s="62">
        <f t="shared" si="2884"/>
        <v>1</v>
      </c>
      <c r="J1442" s="62">
        <f t="shared" si="2884"/>
        <v>1</v>
      </c>
      <c r="K1442" s="62">
        <f t="shared" si="2884"/>
        <v>1</v>
      </c>
      <c r="L1442" s="62">
        <f t="shared" si="2884"/>
        <v>1</v>
      </c>
      <c r="M1442" s="62">
        <f t="shared" si="2884"/>
        <v>1</v>
      </c>
      <c r="N1442" s="62">
        <f t="shared" si="2884"/>
        <v>1</v>
      </c>
      <c r="O1442" s="62">
        <f t="shared" si="2884"/>
        <v>1</v>
      </c>
      <c r="P1442" s="62" t="str">
        <f t="shared" si="2884"/>
        <v/>
      </c>
      <c r="Q1442" s="62" t="str">
        <f t="shared" si="2884"/>
        <v/>
      </c>
      <c r="R1442" s="62">
        <f t="shared" si="7"/>
        <v>0</v>
      </c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</row>
    <row r="1443" hidden="1">
      <c r="A1443" s="60">
        <f>IFERROR(__xludf.DUMMYFUNCTION("""COMPUTED_VALUE"""),15998.0)</f>
        <v>15998</v>
      </c>
      <c r="B1443" s="60" t="str">
        <f>IFERROR(__xludf.DUMMYFUNCTION("""COMPUTED_VALUE"""),"Ray, LaBryan")</f>
        <v>Ray, LaBryan</v>
      </c>
      <c r="C1443" s="60" t="str">
        <f>IFERROR(__xludf.DUMMYFUNCTION("""COMPUTED_VALUE"""),"DT")</f>
        <v>DT</v>
      </c>
      <c r="D1443" s="60" t="str">
        <f>IFERROR(__xludf.DUMMYFUNCTION("""COMPUTED_VALUE"""),"FA")</f>
        <v>FA</v>
      </c>
      <c r="E1443" s="62" t="str">
        <f t="shared" si="4"/>
        <v>LaBryan Ray</v>
      </c>
      <c r="F1443" s="62">
        <f t="shared" ref="F1443:G1443" si="2885">IF(isblank(F$1),,IF(isblank($A1443),,IFERROR(vlookup($A1443,indirect("'TVC-"&amp;text(month(F$1),"00")&amp;"'!$A:$D"),4,false),1)))</f>
        <v>1</v>
      </c>
      <c r="G1443" s="62">
        <f t="shared" si="2885"/>
        <v>1</v>
      </c>
      <c r="H1443" s="62">
        <f t="shared" ref="H1443:Q1443" si="2886">IF(isblank(H$1),,IFERROR(vlookup($A1443,indirect("'TVC-"&amp;text(month(H$1),"00")&amp;"'!$A:$D"),4,false),1))</f>
        <v>1</v>
      </c>
      <c r="I1443" s="62">
        <f t="shared" si="2886"/>
        <v>1</v>
      </c>
      <c r="J1443" s="62">
        <f t="shared" si="2886"/>
        <v>1</v>
      </c>
      <c r="K1443" s="62">
        <f t="shared" si="2886"/>
        <v>1</v>
      </c>
      <c r="L1443" s="62">
        <f t="shared" si="2886"/>
        <v>1</v>
      </c>
      <c r="M1443" s="62">
        <f t="shared" si="2886"/>
        <v>1</v>
      </c>
      <c r="N1443" s="62">
        <f t="shared" si="2886"/>
        <v>1</v>
      </c>
      <c r="O1443" s="62">
        <f t="shared" si="2886"/>
        <v>1</v>
      </c>
      <c r="P1443" s="62" t="str">
        <f t="shared" si="2886"/>
        <v/>
      </c>
      <c r="Q1443" s="62" t="str">
        <f t="shared" si="2886"/>
        <v/>
      </c>
      <c r="R1443" s="62">
        <f t="shared" si="7"/>
        <v>0</v>
      </c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</row>
    <row r="1444" hidden="1">
      <c r="A1444" s="60">
        <f>IFERROR(__xludf.DUMMYFUNCTION("""COMPUTED_VALUE"""),16005.0)</f>
        <v>16005</v>
      </c>
      <c r="B1444" s="60" t="str">
        <f>IFERROR(__xludf.DUMMYFUNCTION("""COMPUTED_VALUE"""),"Jones, Tim")</f>
        <v>Jones, Tim</v>
      </c>
      <c r="C1444" s="60" t="str">
        <f>IFERROR(__xludf.DUMMYFUNCTION("""COMPUTED_VALUE"""),"WR")</f>
        <v>WR</v>
      </c>
      <c r="D1444" s="60" t="str">
        <f>IFERROR(__xludf.DUMMYFUNCTION("""COMPUTED_VALUE"""),"JAC")</f>
        <v>JAC</v>
      </c>
      <c r="E1444" s="62" t="str">
        <f t="shared" si="4"/>
        <v>Tim Jones</v>
      </c>
      <c r="F1444" s="62">
        <f t="shared" ref="F1444:G1444" si="2887">IF(isblank(F$1),,IF(isblank($A1444),,IFERROR(vlookup($A1444,indirect("'TVC-"&amp;text(month(F$1),"00")&amp;"'!$A:$D"),4,false),1)))</f>
        <v>1</v>
      </c>
      <c r="G1444" s="62">
        <f t="shared" si="2887"/>
        <v>1</v>
      </c>
      <c r="H1444" s="62">
        <f t="shared" ref="H1444:Q1444" si="2888">IF(isblank(H$1),,IFERROR(vlookup($A1444,indirect("'TVC-"&amp;text(month(H$1),"00")&amp;"'!$A:$D"),4,false),1))</f>
        <v>1</v>
      </c>
      <c r="I1444" s="62">
        <f t="shared" si="2888"/>
        <v>1</v>
      </c>
      <c r="J1444" s="62">
        <f t="shared" si="2888"/>
        <v>1</v>
      </c>
      <c r="K1444" s="62">
        <f t="shared" si="2888"/>
        <v>1</v>
      </c>
      <c r="L1444" s="62">
        <f t="shared" si="2888"/>
        <v>1</v>
      </c>
      <c r="M1444" s="62">
        <f t="shared" si="2888"/>
        <v>1</v>
      </c>
      <c r="N1444" s="62">
        <f t="shared" si="2888"/>
        <v>1</v>
      </c>
      <c r="O1444" s="62">
        <f t="shared" si="2888"/>
        <v>1</v>
      </c>
      <c r="P1444" s="62" t="str">
        <f t="shared" si="2888"/>
        <v/>
      </c>
      <c r="Q1444" s="62" t="str">
        <f t="shared" si="2888"/>
        <v/>
      </c>
      <c r="R1444" s="62">
        <f t="shared" si="7"/>
        <v>0</v>
      </c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</row>
    <row r="1445" hidden="1">
      <c r="A1445" s="60">
        <f>IFERROR(__xludf.DUMMYFUNCTION("""COMPUTED_VALUE"""),16009.0)</f>
        <v>16009</v>
      </c>
      <c r="B1445" s="60" t="str">
        <f>IFERROR(__xludf.DUMMYFUNCTION("""COMPUTED_VALUE"""),"Gibbens, Jack")</f>
        <v>Gibbens, Jack</v>
      </c>
      <c r="C1445" s="60" t="str">
        <f>IFERROR(__xludf.DUMMYFUNCTION("""COMPUTED_VALUE"""),"LB")</f>
        <v>LB</v>
      </c>
      <c r="D1445" s="60" t="str">
        <f>IFERROR(__xludf.DUMMYFUNCTION("""COMPUTED_VALUE"""),"ARI")</f>
        <v>ARI</v>
      </c>
      <c r="E1445" s="62" t="str">
        <f t="shared" si="4"/>
        <v>Jack Gibbens</v>
      </c>
      <c r="F1445" s="62">
        <f t="shared" ref="F1445:G1445" si="2889">IF(isblank(F$1),,IF(isblank($A1445),,IFERROR(vlookup($A1445,indirect("'TVC-"&amp;text(month(F$1),"00")&amp;"'!$A:$D"),4,false),1)))</f>
        <v>1</v>
      </c>
      <c r="G1445" s="62">
        <f t="shared" si="2889"/>
        <v>1</v>
      </c>
      <c r="H1445" s="62">
        <f t="shared" ref="H1445:Q1445" si="2890">IF(isblank(H$1),,IFERROR(vlookup($A1445,indirect("'TVC-"&amp;text(month(H$1),"00")&amp;"'!$A:$D"),4,false),1))</f>
        <v>1</v>
      </c>
      <c r="I1445" s="62">
        <f t="shared" si="2890"/>
        <v>1</v>
      </c>
      <c r="J1445" s="62">
        <f t="shared" si="2890"/>
        <v>1</v>
      </c>
      <c r="K1445" s="62">
        <f t="shared" si="2890"/>
        <v>1</v>
      </c>
      <c r="L1445" s="62">
        <f t="shared" si="2890"/>
        <v>1</v>
      </c>
      <c r="M1445" s="62">
        <f t="shared" si="2890"/>
        <v>1</v>
      </c>
      <c r="N1445" s="62">
        <f t="shared" si="2890"/>
        <v>1</v>
      </c>
      <c r="O1445" s="62">
        <f t="shared" si="2890"/>
        <v>1</v>
      </c>
      <c r="P1445" s="62" t="str">
        <f t="shared" si="2890"/>
        <v/>
      </c>
      <c r="Q1445" s="62" t="str">
        <f t="shared" si="2890"/>
        <v/>
      </c>
      <c r="R1445" s="62">
        <f t="shared" si="7"/>
        <v>0</v>
      </c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</row>
    <row r="1446" hidden="1">
      <c r="A1446" s="60">
        <f>IFERROR(__xludf.DUMMYFUNCTION("""COMPUTED_VALUE"""),16010.0)</f>
        <v>16010</v>
      </c>
      <c r="B1446" s="60" t="str">
        <f>IFERROR(__xludf.DUMMYFUNCTION("""COMPUTED_VALUE"""),"Wright, Ryan")</f>
        <v>Wright, Ryan</v>
      </c>
      <c r="C1446" s="60" t="str">
        <f>IFERROR(__xludf.DUMMYFUNCTION("""COMPUTED_VALUE"""),"PN")</f>
        <v>PN</v>
      </c>
      <c r="D1446" s="60" t="str">
        <f>IFERROR(__xludf.DUMMYFUNCTION("""COMPUTED_VALUE"""),"NOS")</f>
        <v>NOS</v>
      </c>
      <c r="E1446" s="62" t="str">
        <f t="shared" si="4"/>
        <v>Ryan Wright</v>
      </c>
      <c r="F1446" s="62">
        <f t="shared" ref="F1446:G1446" si="2891">IF(isblank(F$1),,IF(isblank($A1446),,IFERROR(vlookup($A1446,indirect("'TVC-"&amp;text(month(F$1),"00")&amp;"'!$A:$D"),4,false),1)))</f>
        <v>1</v>
      </c>
      <c r="G1446" s="62">
        <f t="shared" si="2891"/>
        <v>1</v>
      </c>
      <c r="H1446" s="62">
        <f t="shared" ref="H1446:Q1446" si="2892">IF(isblank(H$1),,IFERROR(vlookup($A1446,indirect("'TVC-"&amp;text(month(H$1),"00")&amp;"'!$A:$D"),4,false),1))</f>
        <v>1</v>
      </c>
      <c r="I1446" s="62">
        <f t="shared" si="2892"/>
        <v>1</v>
      </c>
      <c r="J1446" s="62">
        <f t="shared" si="2892"/>
        <v>1</v>
      </c>
      <c r="K1446" s="62">
        <f t="shared" si="2892"/>
        <v>1</v>
      </c>
      <c r="L1446" s="62">
        <f t="shared" si="2892"/>
        <v>1</v>
      </c>
      <c r="M1446" s="62">
        <f t="shared" si="2892"/>
        <v>1</v>
      </c>
      <c r="N1446" s="62">
        <f t="shared" si="2892"/>
        <v>1</v>
      </c>
      <c r="O1446" s="62">
        <f t="shared" si="2892"/>
        <v>1</v>
      </c>
      <c r="P1446" s="62" t="str">
        <f t="shared" si="2892"/>
        <v/>
      </c>
      <c r="Q1446" s="62" t="str">
        <f t="shared" si="2892"/>
        <v/>
      </c>
      <c r="R1446" s="62">
        <f t="shared" si="7"/>
        <v>0</v>
      </c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</row>
    <row r="1447" hidden="1">
      <c r="A1447" s="60">
        <f>IFERROR(__xludf.DUMMYFUNCTION("""COMPUTED_VALUE"""),16011.0)</f>
        <v>16011</v>
      </c>
      <c r="B1447" s="60" t="str">
        <f>IFERROR(__xludf.DUMMYFUNCTION("""COMPUTED_VALUE"""),"Stonehouse, Ryan")</f>
        <v>Stonehouse, Ryan</v>
      </c>
      <c r="C1447" s="60" t="str">
        <f>IFERROR(__xludf.DUMMYFUNCTION("""COMPUTED_VALUE"""),"PN")</f>
        <v>PN</v>
      </c>
      <c r="D1447" s="60" t="str">
        <f>IFERROR(__xludf.DUMMYFUNCTION("""COMPUTED_VALUE"""),"FA")</f>
        <v>FA</v>
      </c>
      <c r="E1447" s="62" t="str">
        <f t="shared" si="4"/>
        <v>Ryan Stonehouse</v>
      </c>
      <c r="F1447" s="62">
        <f t="shared" ref="F1447:G1447" si="2893">IF(isblank(F$1),,IF(isblank($A1447),,IFERROR(vlookup($A1447,indirect("'TVC-"&amp;text(month(F$1),"00")&amp;"'!$A:$D"),4,false),1)))</f>
        <v>1</v>
      </c>
      <c r="G1447" s="62">
        <f t="shared" si="2893"/>
        <v>1</v>
      </c>
      <c r="H1447" s="62">
        <f t="shared" ref="H1447:Q1447" si="2894">IF(isblank(H$1),,IFERROR(vlookup($A1447,indirect("'TVC-"&amp;text(month(H$1),"00")&amp;"'!$A:$D"),4,false),1))</f>
        <v>1</v>
      </c>
      <c r="I1447" s="62">
        <f t="shared" si="2894"/>
        <v>1</v>
      </c>
      <c r="J1447" s="62">
        <f t="shared" si="2894"/>
        <v>1</v>
      </c>
      <c r="K1447" s="62">
        <f t="shared" si="2894"/>
        <v>1</v>
      </c>
      <c r="L1447" s="62">
        <f t="shared" si="2894"/>
        <v>1</v>
      </c>
      <c r="M1447" s="62">
        <f t="shared" si="2894"/>
        <v>1</v>
      </c>
      <c r="N1447" s="62">
        <f t="shared" si="2894"/>
        <v>1</v>
      </c>
      <c r="O1447" s="62">
        <f t="shared" si="2894"/>
        <v>1</v>
      </c>
      <c r="P1447" s="62" t="str">
        <f t="shared" si="2894"/>
        <v/>
      </c>
      <c r="Q1447" s="62" t="str">
        <f t="shared" si="2894"/>
        <v/>
      </c>
      <c r="R1447" s="62">
        <f t="shared" si="7"/>
        <v>0</v>
      </c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</row>
    <row r="1448" hidden="1">
      <c r="A1448" s="60">
        <f>IFERROR(__xludf.DUMMYFUNCTION("""COMPUTED_VALUE"""),16012.0)</f>
        <v>16012</v>
      </c>
      <c r="B1448" s="60" t="str">
        <f>IFERROR(__xludf.DUMMYFUNCTION("""COMPUTED_VALUE"""),"Alford, Dee")</f>
        <v>Alford, Dee</v>
      </c>
      <c r="C1448" s="60" t="str">
        <f>IFERROR(__xludf.DUMMYFUNCTION("""COMPUTED_VALUE"""),"CB")</f>
        <v>CB</v>
      </c>
      <c r="D1448" s="60" t="str">
        <f>IFERROR(__xludf.DUMMYFUNCTION("""COMPUTED_VALUE"""),"BUF")</f>
        <v>BUF</v>
      </c>
      <c r="E1448" s="62" t="str">
        <f t="shared" si="4"/>
        <v>Dee Alford</v>
      </c>
      <c r="F1448" s="62">
        <f t="shared" ref="F1448:G1448" si="2895">IF(isblank(F$1),,IF(isblank($A1448),,IFERROR(vlookup($A1448,indirect("'TVC-"&amp;text(month(F$1),"00")&amp;"'!$A:$D"),4,false),1)))</f>
        <v>1</v>
      </c>
      <c r="G1448" s="62">
        <f t="shared" si="2895"/>
        <v>1</v>
      </c>
      <c r="H1448" s="62">
        <f t="shared" ref="H1448:Q1448" si="2896">IF(isblank(H$1),,IFERROR(vlookup($A1448,indirect("'TVC-"&amp;text(month(H$1),"00")&amp;"'!$A:$D"),4,false),1))</f>
        <v>1</v>
      </c>
      <c r="I1448" s="62">
        <f t="shared" si="2896"/>
        <v>1</v>
      </c>
      <c r="J1448" s="62">
        <f t="shared" si="2896"/>
        <v>1</v>
      </c>
      <c r="K1448" s="62">
        <f t="shared" si="2896"/>
        <v>1</v>
      </c>
      <c r="L1448" s="62">
        <f t="shared" si="2896"/>
        <v>1</v>
      </c>
      <c r="M1448" s="62">
        <f t="shared" si="2896"/>
        <v>1</v>
      </c>
      <c r="N1448" s="62">
        <f t="shared" si="2896"/>
        <v>1</v>
      </c>
      <c r="O1448" s="62">
        <f t="shared" si="2896"/>
        <v>1</v>
      </c>
      <c r="P1448" s="62" t="str">
        <f t="shared" si="2896"/>
        <v/>
      </c>
      <c r="Q1448" s="62" t="str">
        <f t="shared" si="2896"/>
        <v/>
      </c>
      <c r="R1448" s="62">
        <f t="shared" si="7"/>
        <v>0</v>
      </c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</row>
    <row r="1449" hidden="1">
      <c r="A1449" s="60">
        <f>IFERROR(__xludf.DUMMYFUNCTION("""COMPUTED_VALUE"""),16013.0)</f>
        <v>16013</v>
      </c>
      <c r="B1449" s="60" t="str">
        <f>IFERROR(__xludf.DUMMYFUNCTION("""COMPUTED_VALUE"""),"Landman, Nate")</f>
        <v>Landman, Nate</v>
      </c>
      <c r="C1449" s="60" t="str">
        <f>IFERROR(__xludf.DUMMYFUNCTION("""COMPUTED_VALUE"""),"LB")</f>
        <v>LB</v>
      </c>
      <c r="D1449" s="60" t="str">
        <f>IFERROR(__xludf.DUMMYFUNCTION("""COMPUTED_VALUE"""),"LAR")</f>
        <v>LAR</v>
      </c>
      <c r="E1449" s="62" t="str">
        <f t="shared" si="4"/>
        <v>Nate Landman</v>
      </c>
      <c r="F1449" s="62">
        <f t="shared" ref="F1449:G1449" si="2897">IF(isblank(F$1),,IF(isblank($A1449),,IFERROR(vlookup($A1449,indirect("'TVC-"&amp;text(month(F$1),"00")&amp;"'!$A:$D"),4,false),1)))</f>
        <v>1</v>
      </c>
      <c r="G1449" s="62">
        <f t="shared" si="2897"/>
        <v>1</v>
      </c>
      <c r="H1449" s="62">
        <f t="shared" ref="H1449:Q1449" si="2898">IF(isblank(H$1),,IFERROR(vlookup($A1449,indirect("'TVC-"&amp;text(month(H$1),"00")&amp;"'!$A:$D"),4,false),1))</f>
        <v>1</v>
      </c>
      <c r="I1449" s="62">
        <f t="shared" si="2898"/>
        <v>1</v>
      </c>
      <c r="J1449" s="62">
        <f t="shared" si="2898"/>
        <v>1</v>
      </c>
      <c r="K1449" s="62">
        <f t="shared" si="2898"/>
        <v>1</v>
      </c>
      <c r="L1449" s="62">
        <f t="shared" si="2898"/>
        <v>1</v>
      </c>
      <c r="M1449" s="62">
        <f t="shared" si="2898"/>
        <v>1</v>
      </c>
      <c r="N1449" s="62">
        <f t="shared" si="2898"/>
        <v>1</v>
      </c>
      <c r="O1449" s="62">
        <f t="shared" si="2898"/>
        <v>1</v>
      </c>
      <c r="P1449" s="62" t="str">
        <f t="shared" si="2898"/>
        <v/>
      </c>
      <c r="Q1449" s="62" t="str">
        <f t="shared" si="2898"/>
        <v/>
      </c>
      <c r="R1449" s="62">
        <f t="shared" si="7"/>
        <v>0</v>
      </c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</row>
    <row r="1450" hidden="1">
      <c r="A1450" s="60">
        <f>IFERROR(__xludf.DUMMYFUNCTION("""COMPUTED_VALUE"""),16014.0)</f>
        <v>16014</v>
      </c>
      <c r="B1450" s="60" t="str">
        <f>IFERROR(__xludf.DUMMYFUNCTION("""COMPUTED_VALUE"""),"Adams, Tony")</f>
        <v>Adams, Tony</v>
      </c>
      <c r="C1450" s="60" t="str">
        <f>IFERROR(__xludf.DUMMYFUNCTION("""COMPUTED_VALUE"""),"S")</f>
        <v>S</v>
      </c>
      <c r="D1450" s="60" t="str">
        <f>IFERROR(__xludf.DUMMYFUNCTION("""COMPUTED_VALUE"""),"TEN")</f>
        <v>TEN</v>
      </c>
      <c r="E1450" s="62" t="str">
        <f t="shared" si="4"/>
        <v>Tony Adams</v>
      </c>
      <c r="F1450" s="62">
        <f t="shared" ref="F1450:G1450" si="2899">IF(isblank(F$1),,IF(isblank($A1450),,IFERROR(vlookup($A1450,indirect("'TVC-"&amp;text(month(F$1),"00")&amp;"'!$A:$D"),4,false),1)))</f>
        <v>1</v>
      </c>
      <c r="G1450" s="62">
        <f t="shared" si="2899"/>
        <v>1</v>
      </c>
      <c r="H1450" s="62">
        <f t="shared" ref="H1450:Q1450" si="2900">IF(isblank(H$1),,IFERROR(vlookup($A1450,indirect("'TVC-"&amp;text(month(H$1),"00")&amp;"'!$A:$D"),4,false),1))</f>
        <v>1</v>
      </c>
      <c r="I1450" s="62">
        <f t="shared" si="2900"/>
        <v>1</v>
      </c>
      <c r="J1450" s="62">
        <f t="shared" si="2900"/>
        <v>1</v>
      </c>
      <c r="K1450" s="62">
        <f t="shared" si="2900"/>
        <v>1</v>
      </c>
      <c r="L1450" s="62">
        <f t="shared" si="2900"/>
        <v>1</v>
      </c>
      <c r="M1450" s="62">
        <f t="shared" si="2900"/>
        <v>1</v>
      </c>
      <c r="N1450" s="62">
        <f t="shared" si="2900"/>
        <v>1</v>
      </c>
      <c r="O1450" s="62">
        <f t="shared" si="2900"/>
        <v>1</v>
      </c>
      <c r="P1450" s="62" t="str">
        <f t="shared" si="2900"/>
        <v/>
      </c>
      <c r="Q1450" s="62" t="str">
        <f t="shared" si="2900"/>
        <v/>
      </c>
      <c r="R1450" s="62">
        <f t="shared" si="7"/>
        <v>0</v>
      </c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</row>
    <row r="1451" hidden="1">
      <c r="A1451" s="60">
        <f>IFERROR(__xludf.DUMMYFUNCTION("""COMPUTED_VALUE"""),16016.0)</f>
        <v>16016</v>
      </c>
      <c r="B1451" s="60" t="str">
        <f>IFERROR(__xludf.DUMMYFUNCTION("""COMPUTED_VALUE"""),"Kohou, Kader")</f>
        <v>Kohou, Kader</v>
      </c>
      <c r="C1451" s="60" t="str">
        <f>IFERROR(__xludf.DUMMYFUNCTION("""COMPUTED_VALUE"""),"CB")</f>
        <v>CB</v>
      </c>
      <c r="D1451" s="60" t="str">
        <f>IFERROR(__xludf.DUMMYFUNCTION("""COMPUTED_VALUE"""),"KCC")</f>
        <v>KCC</v>
      </c>
      <c r="E1451" s="62" t="str">
        <f t="shared" si="4"/>
        <v>Kader Kohou</v>
      </c>
      <c r="F1451" s="62">
        <f t="shared" ref="F1451:G1451" si="2901">IF(isblank(F$1),,IF(isblank($A1451),,IFERROR(vlookup($A1451,indirect("'TVC-"&amp;text(month(F$1),"00")&amp;"'!$A:$D"),4,false),1)))</f>
        <v>1</v>
      </c>
      <c r="G1451" s="62">
        <f t="shared" si="2901"/>
        <v>1</v>
      </c>
      <c r="H1451" s="62">
        <f t="shared" ref="H1451:Q1451" si="2902">IF(isblank(H$1),,IFERROR(vlookup($A1451,indirect("'TVC-"&amp;text(month(H$1),"00")&amp;"'!$A:$D"),4,false),1))</f>
        <v>1</v>
      </c>
      <c r="I1451" s="62">
        <f t="shared" si="2902"/>
        <v>1</v>
      </c>
      <c r="J1451" s="62">
        <f t="shared" si="2902"/>
        <v>1</v>
      </c>
      <c r="K1451" s="62">
        <f t="shared" si="2902"/>
        <v>1</v>
      </c>
      <c r="L1451" s="62">
        <f t="shared" si="2902"/>
        <v>1</v>
      </c>
      <c r="M1451" s="62">
        <f t="shared" si="2902"/>
        <v>1</v>
      </c>
      <c r="N1451" s="62">
        <f t="shared" si="2902"/>
        <v>1</v>
      </c>
      <c r="O1451" s="62">
        <f t="shared" si="2902"/>
        <v>1</v>
      </c>
      <c r="P1451" s="62" t="str">
        <f t="shared" si="2902"/>
        <v/>
      </c>
      <c r="Q1451" s="62" t="str">
        <f t="shared" si="2902"/>
        <v/>
      </c>
      <c r="R1451" s="62">
        <f t="shared" si="7"/>
        <v>0</v>
      </c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</row>
    <row r="1452" hidden="1">
      <c r="A1452" s="60">
        <f>IFERROR(__xludf.DUMMYFUNCTION("""COMPUTED_VALUE"""),16017.0)</f>
        <v>16017</v>
      </c>
      <c r="B1452" s="60" t="str">
        <f>IFERROR(__xludf.DUMMYFUNCTION("""COMPUTED_VALUE"""),"Hummel, Jake")</f>
        <v>Hummel, Jake</v>
      </c>
      <c r="C1452" s="60" t="str">
        <f>IFERROR(__xludf.DUMMYFUNCTION("""COMPUTED_VALUE"""),"LB")</f>
        <v>LB</v>
      </c>
      <c r="D1452" s="60" t="str">
        <f>IFERROR(__xludf.DUMMYFUNCTION("""COMPUTED_VALUE"""),"HOU")</f>
        <v>HOU</v>
      </c>
      <c r="E1452" s="62" t="str">
        <f t="shared" si="4"/>
        <v>Jake Hummel</v>
      </c>
      <c r="F1452" s="62">
        <f t="shared" ref="F1452:G1452" si="2903">IF(isblank(F$1),,IF(isblank($A1452),,IFERROR(vlookup($A1452,indirect("'TVC-"&amp;text(month(F$1),"00")&amp;"'!$A:$D"),4,false),1)))</f>
        <v>1</v>
      </c>
      <c r="G1452" s="62">
        <f t="shared" si="2903"/>
        <v>1</v>
      </c>
      <c r="H1452" s="62">
        <f t="shared" ref="H1452:Q1452" si="2904">IF(isblank(H$1),,IFERROR(vlookup($A1452,indirect("'TVC-"&amp;text(month(H$1),"00")&amp;"'!$A:$D"),4,false),1))</f>
        <v>1</v>
      </c>
      <c r="I1452" s="62">
        <f t="shared" si="2904"/>
        <v>1</v>
      </c>
      <c r="J1452" s="62">
        <f t="shared" si="2904"/>
        <v>1</v>
      </c>
      <c r="K1452" s="62">
        <f t="shared" si="2904"/>
        <v>1</v>
      </c>
      <c r="L1452" s="62">
        <f t="shared" si="2904"/>
        <v>1</v>
      </c>
      <c r="M1452" s="62">
        <f t="shared" si="2904"/>
        <v>1</v>
      </c>
      <c r="N1452" s="62">
        <f t="shared" si="2904"/>
        <v>1</v>
      </c>
      <c r="O1452" s="62">
        <f t="shared" si="2904"/>
        <v>1</v>
      </c>
      <c r="P1452" s="62" t="str">
        <f t="shared" si="2904"/>
        <v/>
      </c>
      <c r="Q1452" s="62" t="str">
        <f t="shared" si="2904"/>
        <v/>
      </c>
      <c r="R1452" s="62">
        <f t="shared" si="7"/>
        <v>0</v>
      </c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</row>
    <row r="1453" hidden="1">
      <c r="A1453" s="60">
        <f>IFERROR(__xludf.DUMMYFUNCTION("""COMPUTED_VALUE"""),16018.0)</f>
        <v>16018</v>
      </c>
      <c r="B1453" s="60" t="str">
        <f>IFERROR(__xludf.DUMMYFUNCTION("""COMPUTED_VALUE"""),"Blankenship, Reed")</f>
        <v>Blankenship, Reed</v>
      </c>
      <c r="C1453" s="60" t="str">
        <f>IFERROR(__xludf.DUMMYFUNCTION("""COMPUTED_VALUE"""),"S")</f>
        <v>S</v>
      </c>
      <c r="D1453" s="60" t="str">
        <f>IFERROR(__xludf.DUMMYFUNCTION("""COMPUTED_VALUE"""),"HOU")</f>
        <v>HOU</v>
      </c>
      <c r="E1453" s="62" t="str">
        <f t="shared" si="4"/>
        <v>Reed Blankenship</v>
      </c>
      <c r="F1453" s="62">
        <f t="shared" ref="F1453:G1453" si="2905">IF(isblank(F$1),,IF(isblank($A1453),,IFERROR(vlookup($A1453,indirect("'TVC-"&amp;text(month(F$1),"00")&amp;"'!$A:$D"),4,false),1)))</f>
        <v>1</v>
      </c>
      <c r="G1453" s="62">
        <f t="shared" si="2905"/>
        <v>1</v>
      </c>
      <c r="H1453" s="62">
        <f t="shared" ref="H1453:Q1453" si="2906">IF(isblank(H$1),,IFERROR(vlookup($A1453,indirect("'TVC-"&amp;text(month(H$1),"00")&amp;"'!$A:$D"),4,false),1))</f>
        <v>1</v>
      </c>
      <c r="I1453" s="62">
        <f t="shared" si="2906"/>
        <v>1</v>
      </c>
      <c r="J1453" s="62">
        <f t="shared" si="2906"/>
        <v>1</v>
      </c>
      <c r="K1453" s="62">
        <f t="shared" si="2906"/>
        <v>1</v>
      </c>
      <c r="L1453" s="62">
        <f t="shared" si="2906"/>
        <v>1</v>
      </c>
      <c r="M1453" s="62">
        <f t="shared" si="2906"/>
        <v>1</v>
      </c>
      <c r="N1453" s="62">
        <f t="shared" si="2906"/>
        <v>1</v>
      </c>
      <c r="O1453" s="62">
        <f t="shared" si="2906"/>
        <v>1</v>
      </c>
      <c r="P1453" s="62" t="str">
        <f t="shared" si="2906"/>
        <v/>
      </c>
      <c r="Q1453" s="62" t="str">
        <f t="shared" si="2906"/>
        <v/>
      </c>
      <c r="R1453" s="62">
        <f t="shared" si="7"/>
        <v>0</v>
      </c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</row>
    <row r="1454" hidden="1">
      <c r="A1454" s="60">
        <f>IFERROR(__xludf.DUMMYFUNCTION("""COMPUTED_VALUE"""),16019.0)</f>
        <v>16019</v>
      </c>
      <c r="B1454" s="60" t="str">
        <f>IFERROR(__xludf.DUMMYFUNCTION("""COMPUTED_VALUE"""),"Hansen, Jake")</f>
        <v>Hansen, Jake</v>
      </c>
      <c r="C1454" s="60" t="str">
        <f>IFERROR(__xludf.DUMMYFUNCTION("""COMPUTED_VALUE"""),"LB")</f>
        <v>LB</v>
      </c>
      <c r="D1454" s="60" t="str">
        <f>IFERROR(__xludf.DUMMYFUNCTION("""COMPUTED_VALUE"""),"HOU")</f>
        <v>HOU</v>
      </c>
      <c r="E1454" s="62" t="str">
        <f t="shared" si="4"/>
        <v>Jake Hansen</v>
      </c>
      <c r="F1454" s="62">
        <f t="shared" ref="F1454:G1454" si="2907">IF(isblank(F$1),,IF(isblank($A1454),,IFERROR(vlookup($A1454,indirect("'TVC-"&amp;text(month(F$1),"00")&amp;"'!$A:$D"),4,false),1)))</f>
        <v>1</v>
      </c>
      <c r="G1454" s="62">
        <f t="shared" si="2907"/>
        <v>1</v>
      </c>
      <c r="H1454" s="62">
        <f t="shared" ref="H1454:Q1454" si="2908">IF(isblank(H$1),,IFERROR(vlookup($A1454,indirect("'TVC-"&amp;text(month(H$1),"00")&amp;"'!$A:$D"),4,false),1))</f>
        <v>1</v>
      </c>
      <c r="I1454" s="62">
        <f t="shared" si="2908"/>
        <v>1</v>
      </c>
      <c r="J1454" s="62">
        <f t="shared" si="2908"/>
        <v>1</v>
      </c>
      <c r="K1454" s="62">
        <f t="shared" si="2908"/>
        <v>1</v>
      </c>
      <c r="L1454" s="62">
        <f t="shared" si="2908"/>
        <v>1</v>
      </c>
      <c r="M1454" s="62">
        <f t="shared" si="2908"/>
        <v>1</v>
      </c>
      <c r="N1454" s="62">
        <f t="shared" si="2908"/>
        <v>1</v>
      </c>
      <c r="O1454" s="62">
        <f t="shared" si="2908"/>
        <v>1</v>
      </c>
      <c r="P1454" s="62" t="str">
        <f t="shared" si="2908"/>
        <v/>
      </c>
      <c r="Q1454" s="62" t="str">
        <f t="shared" si="2908"/>
        <v/>
      </c>
      <c r="R1454" s="62">
        <f t="shared" si="7"/>
        <v>0</v>
      </c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</row>
    <row r="1455">
      <c r="A1455" s="60">
        <f>IFERROR(__xludf.DUMMYFUNCTION("""COMPUTED_VALUE"""),16023.0)</f>
        <v>16023</v>
      </c>
      <c r="B1455" s="60" t="str">
        <f>IFERROR(__xludf.DUMMYFUNCTION("""COMPUTED_VALUE"""),"Bell, D'Anthony")</f>
        <v>Bell, D'Anthony</v>
      </c>
      <c r="C1455" s="60" t="str">
        <f>IFERROR(__xludf.DUMMYFUNCTION("""COMPUTED_VALUE"""),"S")</f>
        <v>S</v>
      </c>
      <c r="D1455" s="60" t="str">
        <f>IFERROR(__xludf.DUMMYFUNCTION("""COMPUTED_VALUE"""),"SEA")</f>
        <v>SEA</v>
      </c>
      <c r="E1455" s="62" t="str">
        <f t="shared" si="4"/>
        <v>D'Anthony Bell</v>
      </c>
      <c r="F1455" s="62">
        <f t="shared" ref="F1455:G1455" si="2909">IF(isblank(F$1),,IF(isblank($A1455),,IFERROR(vlookup($A1455,indirect("'TVC-"&amp;text(month(F$1),"00")&amp;"'!$A:$D"),4,false),1)))</f>
        <v>1</v>
      </c>
      <c r="G1455" s="62">
        <f t="shared" si="2909"/>
        <v>1</v>
      </c>
      <c r="H1455" s="62">
        <f t="shared" ref="H1455:Q1455" si="2910">IF(isblank(H$1),,IFERROR(vlookup($A1455,indirect("'TVC-"&amp;text(month(H$1),"00")&amp;"'!$A:$D"),4,false),1))</f>
        <v>1</v>
      </c>
      <c r="I1455" s="62">
        <f t="shared" si="2910"/>
        <v>1</v>
      </c>
      <c r="J1455" s="62">
        <f t="shared" si="2910"/>
        <v>1</v>
      </c>
      <c r="K1455" s="62">
        <f t="shared" si="2910"/>
        <v>1</v>
      </c>
      <c r="L1455" s="62">
        <f t="shared" si="2910"/>
        <v>1</v>
      </c>
      <c r="M1455" s="62">
        <f t="shared" si="2910"/>
        <v>1</v>
      </c>
      <c r="N1455" s="62">
        <f t="shared" si="2910"/>
        <v>1</v>
      </c>
      <c r="O1455" s="62">
        <f t="shared" si="2910"/>
        <v>1</v>
      </c>
      <c r="P1455" s="62" t="str">
        <f t="shared" si="2910"/>
        <v/>
      </c>
      <c r="Q1455" s="62" t="str">
        <f t="shared" si="2910"/>
        <v/>
      </c>
      <c r="R1455" s="62">
        <f t="shared" si="7"/>
        <v>0</v>
      </c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</row>
    <row r="1456" hidden="1">
      <c r="A1456" s="60">
        <f>IFERROR(__xludf.DUMMYFUNCTION("""COMPUTED_VALUE"""),16026.0)</f>
        <v>16026</v>
      </c>
      <c r="B1456" s="60" t="str">
        <f>IFERROR(__xludf.DUMMYFUNCTION("""COMPUTED_VALUE"""),"Jones, Jaylon")</f>
        <v>Jones, Jaylon</v>
      </c>
      <c r="C1456" s="60" t="str">
        <f>IFERROR(__xludf.DUMMYFUNCTION("""COMPUTED_VALUE"""),"CB")</f>
        <v>CB</v>
      </c>
      <c r="D1456" s="60" t="str">
        <f>IFERROR(__xludf.DUMMYFUNCTION("""COMPUTED_VALUE"""),"FA")</f>
        <v>FA</v>
      </c>
      <c r="E1456" s="62" t="str">
        <f t="shared" si="4"/>
        <v>Jaylon Jones</v>
      </c>
      <c r="F1456" s="62">
        <f t="shared" ref="F1456:G1456" si="2911">IF(isblank(F$1),,IF(isblank($A1456),,IFERROR(vlookup($A1456,indirect("'TVC-"&amp;text(month(F$1),"00")&amp;"'!$A:$D"),4,false),1)))</f>
        <v>1</v>
      </c>
      <c r="G1456" s="62">
        <f t="shared" si="2911"/>
        <v>1</v>
      </c>
      <c r="H1456" s="62">
        <f t="shared" ref="H1456:Q1456" si="2912">IF(isblank(H$1),,IFERROR(vlookup($A1456,indirect("'TVC-"&amp;text(month(H$1),"00")&amp;"'!$A:$D"),4,false),1))</f>
        <v>1</v>
      </c>
      <c r="I1456" s="62">
        <f t="shared" si="2912"/>
        <v>1</v>
      </c>
      <c r="J1456" s="62">
        <f t="shared" si="2912"/>
        <v>1</v>
      </c>
      <c r="K1456" s="62">
        <f t="shared" si="2912"/>
        <v>1</v>
      </c>
      <c r="L1456" s="62">
        <f t="shared" si="2912"/>
        <v>1</v>
      </c>
      <c r="M1456" s="62">
        <f t="shared" si="2912"/>
        <v>1</v>
      </c>
      <c r="N1456" s="62">
        <f t="shared" si="2912"/>
        <v>1</v>
      </c>
      <c r="O1456" s="62">
        <f t="shared" si="2912"/>
        <v>1</v>
      </c>
      <c r="P1456" s="62" t="str">
        <f t="shared" si="2912"/>
        <v/>
      </c>
      <c r="Q1456" s="62" t="str">
        <f t="shared" si="2912"/>
        <v/>
      </c>
      <c r="R1456" s="62">
        <f t="shared" si="7"/>
        <v>0</v>
      </c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</row>
    <row r="1457" hidden="1">
      <c r="A1457" s="60">
        <f>IFERROR(__xludf.DUMMYFUNCTION("""COMPUTED_VALUE"""),16029.0)</f>
        <v>16029</v>
      </c>
      <c r="B1457" s="60" t="str">
        <f>IFERROR(__xludf.DUMMYFUNCTION("""COMPUTED_VALUE"""),"Avery, Tre")</f>
        <v>Avery, Tre</v>
      </c>
      <c r="C1457" s="60" t="str">
        <f>IFERROR(__xludf.DUMMYFUNCTION("""COMPUTED_VALUE"""),"CB")</f>
        <v>CB</v>
      </c>
      <c r="D1457" s="60" t="str">
        <f>IFERROR(__xludf.DUMMYFUNCTION("""COMPUTED_VALUE"""),"FA")</f>
        <v>FA</v>
      </c>
      <c r="E1457" s="62" t="str">
        <f t="shared" si="4"/>
        <v>Tre Avery</v>
      </c>
      <c r="F1457" s="62">
        <f t="shared" ref="F1457:G1457" si="2913">IF(isblank(F$1),,IF(isblank($A1457),,IFERROR(vlookup($A1457,indirect("'TVC-"&amp;text(month(F$1),"00")&amp;"'!$A:$D"),4,false),1)))</f>
        <v>1</v>
      </c>
      <c r="G1457" s="62">
        <f t="shared" si="2913"/>
        <v>1</v>
      </c>
      <c r="H1457" s="62">
        <f t="shared" ref="H1457:Q1457" si="2914">IF(isblank(H$1),,IFERROR(vlookup($A1457,indirect("'TVC-"&amp;text(month(H$1),"00")&amp;"'!$A:$D"),4,false),1))</f>
        <v>1</v>
      </c>
      <c r="I1457" s="62">
        <f t="shared" si="2914"/>
        <v>1</v>
      </c>
      <c r="J1457" s="62">
        <f t="shared" si="2914"/>
        <v>1</v>
      </c>
      <c r="K1457" s="62">
        <f t="shared" si="2914"/>
        <v>1</v>
      </c>
      <c r="L1457" s="62">
        <f t="shared" si="2914"/>
        <v>1</v>
      </c>
      <c r="M1457" s="62">
        <f t="shared" si="2914"/>
        <v>1</v>
      </c>
      <c r="N1457" s="62">
        <f t="shared" si="2914"/>
        <v>1</v>
      </c>
      <c r="O1457" s="62">
        <f t="shared" si="2914"/>
        <v>1</v>
      </c>
      <c r="P1457" s="62" t="str">
        <f t="shared" si="2914"/>
        <v/>
      </c>
      <c r="Q1457" s="62" t="str">
        <f t="shared" si="2914"/>
        <v/>
      </c>
      <c r="R1457" s="62">
        <f t="shared" si="7"/>
        <v>0</v>
      </c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</row>
    <row r="1458" hidden="1">
      <c r="A1458" s="60">
        <f>IFERROR(__xludf.DUMMYFUNCTION("""COMPUTED_VALUE"""),16030.0)</f>
        <v>16030</v>
      </c>
      <c r="B1458" s="60" t="str">
        <f>IFERROR(__xludf.DUMMYFUNCTION("""COMPUTED_VALUE"""),"Fox, Tomon")</f>
        <v>Fox, Tomon</v>
      </c>
      <c r="C1458" s="60" t="str">
        <f>IFERROR(__xludf.DUMMYFUNCTION("""COMPUTED_VALUE"""),"DE")</f>
        <v>DE</v>
      </c>
      <c r="D1458" s="60" t="str">
        <f>IFERROR(__xludf.DUMMYFUNCTION("""COMPUTED_VALUE"""),"FA")</f>
        <v>FA</v>
      </c>
      <c r="E1458" s="62" t="str">
        <f t="shared" si="4"/>
        <v>Tomon Fox</v>
      </c>
      <c r="F1458" s="62">
        <f t="shared" ref="F1458:G1458" si="2915">IF(isblank(F$1),,IF(isblank($A1458),,IFERROR(vlookup($A1458,indirect("'TVC-"&amp;text(month(F$1),"00")&amp;"'!$A:$D"),4,false),1)))</f>
        <v>1</v>
      </c>
      <c r="G1458" s="62">
        <f t="shared" si="2915"/>
        <v>1</v>
      </c>
      <c r="H1458" s="62">
        <f t="shared" ref="H1458:Q1458" si="2916">IF(isblank(H$1),,IFERROR(vlookup($A1458,indirect("'TVC-"&amp;text(month(H$1),"00")&amp;"'!$A:$D"),4,false),1))</f>
        <v>1</v>
      </c>
      <c r="I1458" s="62">
        <f t="shared" si="2916"/>
        <v>1</v>
      </c>
      <c r="J1458" s="62">
        <f t="shared" si="2916"/>
        <v>1</v>
      </c>
      <c r="K1458" s="62">
        <f t="shared" si="2916"/>
        <v>1</v>
      </c>
      <c r="L1458" s="62">
        <f t="shared" si="2916"/>
        <v>1</v>
      </c>
      <c r="M1458" s="62">
        <f t="shared" si="2916"/>
        <v>1</v>
      </c>
      <c r="N1458" s="62">
        <f t="shared" si="2916"/>
        <v>1</v>
      </c>
      <c r="O1458" s="62">
        <f t="shared" si="2916"/>
        <v>1</v>
      </c>
      <c r="P1458" s="62" t="str">
        <f t="shared" si="2916"/>
        <v/>
      </c>
      <c r="Q1458" s="62" t="str">
        <f t="shared" si="2916"/>
        <v/>
      </c>
      <c r="R1458" s="62">
        <f t="shared" si="7"/>
        <v>0</v>
      </c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</row>
    <row r="1459" hidden="1">
      <c r="A1459" s="60">
        <f>IFERROR(__xludf.DUMMYFUNCTION("""COMPUTED_VALUE"""),16036.0)</f>
        <v>16036</v>
      </c>
      <c r="B1459" s="60" t="str">
        <f>IFERROR(__xludf.DUMMYFUNCTION("""COMPUTED_VALUE"""),"Tonges, Jake")</f>
        <v>Tonges, Jake</v>
      </c>
      <c r="C1459" s="60" t="str">
        <f>IFERROR(__xludf.DUMMYFUNCTION("""COMPUTED_VALUE"""),"TE")</f>
        <v>TE</v>
      </c>
      <c r="D1459" s="60" t="str">
        <f>IFERROR(__xludf.DUMMYFUNCTION("""COMPUTED_VALUE"""),"SFO")</f>
        <v>SFO</v>
      </c>
      <c r="E1459" s="62" t="str">
        <f t="shared" si="4"/>
        <v>Jake Tonges</v>
      </c>
      <c r="F1459" s="62">
        <f t="shared" ref="F1459:G1459" si="2917">IF(isblank(F$1),,IF(isblank($A1459),,IFERROR(vlookup($A1459,indirect("'TVC-"&amp;text(month(F$1),"00")&amp;"'!$A:$D"),4,false),1)))</f>
        <v>2040</v>
      </c>
      <c r="G1459" s="62">
        <f t="shared" si="2917"/>
        <v>2573</v>
      </c>
      <c r="H1459" s="62">
        <f t="shared" ref="H1459:Q1459" si="2918">IF(isblank(H$1),,IFERROR(vlookup($A1459,indirect("'TVC-"&amp;text(month(H$1),"00")&amp;"'!$A:$D"),4,false),1))</f>
        <v>2668</v>
      </c>
      <c r="I1459" s="62">
        <f t="shared" si="2918"/>
        <v>2801</v>
      </c>
      <c r="J1459" s="62">
        <f t="shared" si="2918"/>
        <v>2738</v>
      </c>
      <c r="K1459" s="62">
        <f t="shared" si="2918"/>
        <v>2688</v>
      </c>
      <c r="L1459" s="62">
        <f t="shared" si="2918"/>
        <v>2653</v>
      </c>
      <c r="M1459" s="62">
        <f t="shared" si="2918"/>
        <v>2469</v>
      </c>
      <c r="N1459" s="62">
        <f t="shared" si="2918"/>
        <v>2330</v>
      </c>
      <c r="O1459" s="62">
        <f t="shared" si="2918"/>
        <v>1</v>
      </c>
      <c r="P1459" s="62" t="str">
        <f t="shared" si="2918"/>
        <v/>
      </c>
      <c r="Q1459" s="62" t="str">
        <f t="shared" si="2918"/>
        <v/>
      </c>
      <c r="R1459" s="62">
        <f t="shared" si="7"/>
        <v>-2329</v>
      </c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</row>
    <row r="1460" hidden="1">
      <c r="A1460" s="60">
        <f>IFERROR(__xludf.DUMMYFUNCTION("""COMPUTED_VALUE"""),16037.0)</f>
        <v>16037</v>
      </c>
      <c r="B1460" s="60" t="str">
        <f>IFERROR(__xludf.DUMMYFUNCTION("""COMPUTED_VALUE"""),"Baccellia, Andre")</f>
        <v>Baccellia, Andre</v>
      </c>
      <c r="C1460" s="60" t="str">
        <f>IFERROR(__xludf.DUMMYFUNCTION("""COMPUTED_VALUE"""),"WR")</f>
        <v>WR</v>
      </c>
      <c r="D1460" s="60" t="str">
        <f>IFERROR(__xludf.DUMMYFUNCTION("""COMPUTED_VALUE"""),"FA")</f>
        <v>FA</v>
      </c>
      <c r="E1460" s="62" t="str">
        <f t="shared" si="4"/>
        <v>Andre Baccellia</v>
      </c>
      <c r="F1460" s="62">
        <f t="shared" ref="F1460:G1460" si="2919">IF(isblank(F$1),,IF(isblank($A1460),,IFERROR(vlookup($A1460,indirect("'TVC-"&amp;text(month(F$1),"00")&amp;"'!$A:$D"),4,false),1)))</f>
        <v>1</v>
      </c>
      <c r="G1460" s="62">
        <f t="shared" si="2919"/>
        <v>1</v>
      </c>
      <c r="H1460" s="62">
        <f t="shared" ref="H1460:Q1460" si="2920">IF(isblank(H$1),,IFERROR(vlookup($A1460,indirect("'TVC-"&amp;text(month(H$1),"00")&amp;"'!$A:$D"),4,false),1))</f>
        <v>1</v>
      </c>
      <c r="I1460" s="62">
        <f t="shared" si="2920"/>
        <v>1</v>
      </c>
      <c r="J1460" s="62">
        <f t="shared" si="2920"/>
        <v>1</v>
      </c>
      <c r="K1460" s="62">
        <f t="shared" si="2920"/>
        <v>1</v>
      </c>
      <c r="L1460" s="62">
        <f t="shared" si="2920"/>
        <v>1</v>
      </c>
      <c r="M1460" s="62">
        <f t="shared" si="2920"/>
        <v>1</v>
      </c>
      <c r="N1460" s="62">
        <f t="shared" si="2920"/>
        <v>1</v>
      </c>
      <c r="O1460" s="62">
        <f t="shared" si="2920"/>
        <v>1</v>
      </c>
      <c r="P1460" s="62" t="str">
        <f t="shared" si="2920"/>
        <v/>
      </c>
      <c r="Q1460" s="62" t="str">
        <f t="shared" si="2920"/>
        <v/>
      </c>
      <c r="R1460" s="62">
        <f t="shared" si="7"/>
        <v>0</v>
      </c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</row>
    <row r="1461" hidden="1">
      <c r="A1461" s="60">
        <f>IFERROR(__xludf.DUMMYFUNCTION("""COMPUTED_VALUE"""),16043.0)</f>
        <v>16043</v>
      </c>
      <c r="B1461" s="60" t="str">
        <f>IFERROR(__xludf.DUMMYFUNCTION("""COMPUTED_VALUE"""),"Havrisik, Lucas")</f>
        <v>Havrisik, Lucas</v>
      </c>
      <c r="C1461" s="60" t="str">
        <f>IFERROR(__xludf.DUMMYFUNCTION("""COMPUTED_VALUE"""),"PK")</f>
        <v>PK</v>
      </c>
      <c r="D1461" s="60" t="str">
        <f>IFERROR(__xludf.DUMMYFUNCTION("""COMPUTED_VALUE"""),"FA")</f>
        <v>FA</v>
      </c>
      <c r="E1461" s="62" t="str">
        <f t="shared" si="4"/>
        <v>Lucas Havrisik</v>
      </c>
      <c r="F1461" s="62">
        <f t="shared" ref="F1461:G1461" si="2921">IF(isblank(F$1),,IF(isblank($A1461),,IFERROR(vlookup($A1461,indirect("'TVC-"&amp;text(month(F$1),"00")&amp;"'!$A:$D"),4,false),1)))</f>
        <v>1</v>
      </c>
      <c r="G1461" s="62">
        <f t="shared" si="2921"/>
        <v>1</v>
      </c>
      <c r="H1461" s="62">
        <f t="shared" ref="H1461:Q1461" si="2922">IF(isblank(H$1),,IFERROR(vlookup($A1461,indirect("'TVC-"&amp;text(month(H$1),"00")&amp;"'!$A:$D"),4,false),1))</f>
        <v>1</v>
      </c>
      <c r="I1461" s="62">
        <f t="shared" si="2922"/>
        <v>1</v>
      </c>
      <c r="J1461" s="62">
        <f t="shared" si="2922"/>
        <v>1</v>
      </c>
      <c r="K1461" s="62">
        <f t="shared" si="2922"/>
        <v>1</v>
      </c>
      <c r="L1461" s="62">
        <f t="shared" si="2922"/>
        <v>1</v>
      </c>
      <c r="M1461" s="62">
        <f t="shared" si="2922"/>
        <v>1</v>
      </c>
      <c r="N1461" s="62">
        <f t="shared" si="2922"/>
        <v>1</v>
      </c>
      <c r="O1461" s="62">
        <f t="shared" si="2922"/>
        <v>1</v>
      </c>
      <c r="P1461" s="62" t="str">
        <f t="shared" si="2922"/>
        <v/>
      </c>
      <c r="Q1461" s="62" t="str">
        <f t="shared" si="2922"/>
        <v/>
      </c>
      <c r="R1461" s="62">
        <f t="shared" si="7"/>
        <v>0</v>
      </c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</row>
    <row r="1462" hidden="1">
      <c r="A1462" s="60">
        <f>IFERROR(__xludf.DUMMYFUNCTION("""COMPUTED_VALUE"""),16045.0)</f>
        <v>16045</v>
      </c>
      <c r="B1462" s="60" t="str">
        <f>IFERROR(__xludf.DUMMYFUNCTION("""COMPUTED_VALUE"""),"Schooler, Brenden")</f>
        <v>Schooler, Brenden</v>
      </c>
      <c r="C1462" s="60" t="str">
        <f>IFERROR(__xludf.DUMMYFUNCTION("""COMPUTED_VALUE"""),"S")</f>
        <v>S</v>
      </c>
      <c r="D1462" s="60" t="str">
        <f>IFERROR(__xludf.DUMMYFUNCTION("""COMPUTED_VALUE"""),"NEP")</f>
        <v>NEP</v>
      </c>
      <c r="E1462" s="62" t="str">
        <f t="shared" si="4"/>
        <v>Brenden Schooler</v>
      </c>
      <c r="F1462" s="62">
        <f t="shared" ref="F1462:G1462" si="2923">IF(isblank(F$1),,IF(isblank($A1462),,IFERROR(vlookup($A1462,indirect("'TVC-"&amp;text(month(F$1),"00")&amp;"'!$A:$D"),4,false),1)))</f>
        <v>1</v>
      </c>
      <c r="G1462" s="62">
        <f t="shared" si="2923"/>
        <v>1</v>
      </c>
      <c r="H1462" s="62">
        <f t="shared" ref="H1462:Q1462" si="2924">IF(isblank(H$1),,IFERROR(vlookup($A1462,indirect("'TVC-"&amp;text(month(H$1),"00")&amp;"'!$A:$D"),4,false),1))</f>
        <v>1</v>
      </c>
      <c r="I1462" s="62">
        <f t="shared" si="2924"/>
        <v>1</v>
      </c>
      <c r="J1462" s="62">
        <f t="shared" si="2924"/>
        <v>1</v>
      </c>
      <c r="K1462" s="62">
        <f t="shared" si="2924"/>
        <v>1</v>
      </c>
      <c r="L1462" s="62">
        <f t="shared" si="2924"/>
        <v>1</v>
      </c>
      <c r="M1462" s="62">
        <f t="shared" si="2924"/>
        <v>1</v>
      </c>
      <c r="N1462" s="62">
        <f t="shared" si="2924"/>
        <v>1</v>
      </c>
      <c r="O1462" s="62">
        <f t="shared" si="2924"/>
        <v>1</v>
      </c>
      <c r="P1462" s="62" t="str">
        <f t="shared" si="2924"/>
        <v/>
      </c>
      <c r="Q1462" s="62" t="str">
        <f t="shared" si="2924"/>
        <v/>
      </c>
      <c r="R1462" s="62">
        <f t="shared" si="7"/>
        <v>0</v>
      </c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</row>
    <row r="1463" hidden="1">
      <c r="A1463" s="60">
        <f>IFERROR(__xludf.DUMMYFUNCTION("""COMPUTED_VALUE"""),16054.0)</f>
        <v>16054</v>
      </c>
      <c r="B1463" s="60" t="str">
        <f>IFERROR(__xludf.DUMMYFUNCTION("""COMPUTED_VALUE"""),"Blackwell, Josh")</f>
        <v>Blackwell, Josh</v>
      </c>
      <c r="C1463" s="60" t="str">
        <f>IFERROR(__xludf.DUMMYFUNCTION("""COMPUTED_VALUE"""),"CB")</f>
        <v>CB</v>
      </c>
      <c r="D1463" s="60" t="str">
        <f>IFERROR(__xludf.DUMMYFUNCTION("""COMPUTED_VALUE"""),"CHI")</f>
        <v>CHI</v>
      </c>
      <c r="E1463" s="62" t="str">
        <f t="shared" si="4"/>
        <v>Josh Blackwell</v>
      </c>
      <c r="F1463" s="62">
        <f t="shared" ref="F1463:G1463" si="2925">IF(isblank(F$1),,IF(isblank($A1463),,IFERROR(vlookup($A1463,indirect("'TVC-"&amp;text(month(F$1),"00")&amp;"'!$A:$D"),4,false),1)))</f>
        <v>1</v>
      </c>
      <c r="G1463" s="62">
        <f t="shared" si="2925"/>
        <v>1</v>
      </c>
      <c r="H1463" s="62">
        <f t="shared" ref="H1463:Q1463" si="2926">IF(isblank(H$1),,IFERROR(vlookup($A1463,indirect("'TVC-"&amp;text(month(H$1),"00")&amp;"'!$A:$D"),4,false),1))</f>
        <v>1</v>
      </c>
      <c r="I1463" s="62">
        <f t="shared" si="2926"/>
        <v>1</v>
      </c>
      <c r="J1463" s="62">
        <f t="shared" si="2926"/>
        <v>1</v>
      </c>
      <c r="K1463" s="62">
        <f t="shared" si="2926"/>
        <v>1</v>
      </c>
      <c r="L1463" s="62">
        <f t="shared" si="2926"/>
        <v>1</v>
      </c>
      <c r="M1463" s="62">
        <f t="shared" si="2926"/>
        <v>1</v>
      </c>
      <c r="N1463" s="62">
        <f t="shared" si="2926"/>
        <v>1</v>
      </c>
      <c r="O1463" s="62">
        <f t="shared" si="2926"/>
        <v>1</v>
      </c>
      <c r="P1463" s="62" t="str">
        <f t="shared" si="2926"/>
        <v/>
      </c>
      <c r="Q1463" s="62" t="str">
        <f t="shared" si="2926"/>
        <v/>
      </c>
      <c r="R1463" s="62">
        <f t="shared" si="7"/>
        <v>0</v>
      </c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</row>
    <row r="1464" hidden="1">
      <c r="A1464" s="60">
        <f>IFERROR(__xludf.DUMMYFUNCTION("""COMPUTED_VALUE"""),16058.0)</f>
        <v>16058</v>
      </c>
      <c r="B1464" s="60" t="str">
        <f>IFERROR(__xludf.DUMMYFUNCTION("""COMPUTED_VALUE"""),"Herring, Malik")</f>
        <v>Herring, Malik</v>
      </c>
      <c r="C1464" s="60" t="str">
        <f>IFERROR(__xludf.DUMMYFUNCTION("""COMPUTED_VALUE"""),"DE")</f>
        <v>DE</v>
      </c>
      <c r="D1464" s="60" t="str">
        <f>IFERROR(__xludf.DUMMYFUNCTION("""COMPUTED_VALUE"""),"MIA")</f>
        <v>MIA</v>
      </c>
      <c r="E1464" s="62" t="str">
        <f t="shared" si="4"/>
        <v>Malik Herring</v>
      </c>
      <c r="F1464" s="62">
        <f t="shared" ref="F1464:G1464" si="2927">IF(isblank(F$1),,IF(isblank($A1464),,IFERROR(vlookup($A1464,indirect("'TVC-"&amp;text(month(F$1),"00")&amp;"'!$A:$D"),4,false),1)))</f>
        <v>1</v>
      </c>
      <c r="G1464" s="62">
        <f t="shared" si="2927"/>
        <v>1</v>
      </c>
      <c r="H1464" s="62">
        <f t="shared" ref="H1464:Q1464" si="2928">IF(isblank(H$1),,IFERROR(vlookup($A1464,indirect("'TVC-"&amp;text(month(H$1),"00")&amp;"'!$A:$D"),4,false),1))</f>
        <v>1</v>
      </c>
      <c r="I1464" s="62">
        <f t="shared" si="2928"/>
        <v>1</v>
      </c>
      <c r="J1464" s="62">
        <f t="shared" si="2928"/>
        <v>1</v>
      </c>
      <c r="K1464" s="62">
        <f t="shared" si="2928"/>
        <v>1</v>
      </c>
      <c r="L1464" s="62">
        <f t="shared" si="2928"/>
        <v>1</v>
      </c>
      <c r="M1464" s="62">
        <f t="shared" si="2928"/>
        <v>1</v>
      </c>
      <c r="N1464" s="62">
        <f t="shared" si="2928"/>
        <v>1</v>
      </c>
      <c r="O1464" s="62">
        <f t="shared" si="2928"/>
        <v>1</v>
      </c>
      <c r="P1464" s="62" t="str">
        <f t="shared" si="2928"/>
        <v/>
      </c>
      <c r="Q1464" s="62" t="str">
        <f t="shared" si="2928"/>
        <v/>
      </c>
      <c r="R1464" s="62">
        <f t="shared" si="7"/>
        <v>0</v>
      </c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</row>
    <row r="1465" hidden="1">
      <c r="A1465" s="60">
        <f>IFERROR(__xludf.DUMMYFUNCTION("""COMPUTED_VALUE"""),16059.0)</f>
        <v>16059</v>
      </c>
      <c r="B1465" s="60" t="str">
        <f>IFERROR(__xludf.DUMMYFUNCTION("""COMPUTED_VALUE"""),"Ingram, Ja'Marcus")</f>
        <v>Ingram, Ja'Marcus</v>
      </c>
      <c r="C1465" s="60" t="str">
        <f>IFERROR(__xludf.DUMMYFUNCTION("""COMPUTED_VALUE"""),"CB")</f>
        <v>CB</v>
      </c>
      <c r="D1465" s="60" t="str">
        <f>IFERROR(__xludf.DUMMYFUNCTION("""COMPUTED_VALUE"""),"HOU")</f>
        <v>HOU</v>
      </c>
      <c r="E1465" s="62" t="str">
        <f t="shared" si="4"/>
        <v>Ja'Marcus Ingram</v>
      </c>
      <c r="F1465" s="62">
        <f t="shared" ref="F1465:G1465" si="2929">IF(isblank(F$1),,IF(isblank($A1465),,IFERROR(vlookup($A1465,indirect("'TVC-"&amp;text(month(F$1),"00")&amp;"'!$A:$D"),4,false),1)))</f>
        <v>1</v>
      </c>
      <c r="G1465" s="62">
        <f t="shared" si="2929"/>
        <v>1</v>
      </c>
      <c r="H1465" s="62">
        <f t="shared" ref="H1465:Q1465" si="2930">IF(isblank(H$1),,IFERROR(vlookup($A1465,indirect("'TVC-"&amp;text(month(H$1),"00")&amp;"'!$A:$D"),4,false),1))</f>
        <v>1</v>
      </c>
      <c r="I1465" s="62">
        <f t="shared" si="2930"/>
        <v>1</v>
      </c>
      <c r="J1465" s="62">
        <f t="shared" si="2930"/>
        <v>1</v>
      </c>
      <c r="K1465" s="62">
        <f t="shared" si="2930"/>
        <v>1</v>
      </c>
      <c r="L1465" s="62">
        <f t="shared" si="2930"/>
        <v>1</v>
      </c>
      <c r="M1465" s="62">
        <f t="shared" si="2930"/>
        <v>1</v>
      </c>
      <c r="N1465" s="62">
        <f t="shared" si="2930"/>
        <v>1</v>
      </c>
      <c r="O1465" s="62">
        <f t="shared" si="2930"/>
        <v>1</v>
      </c>
      <c r="P1465" s="62" t="str">
        <f t="shared" si="2930"/>
        <v/>
      </c>
      <c r="Q1465" s="62" t="str">
        <f t="shared" si="2930"/>
        <v/>
      </c>
      <c r="R1465" s="62">
        <f t="shared" si="7"/>
        <v>0</v>
      </c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</row>
    <row r="1466" hidden="1">
      <c r="A1466" s="60">
        <f>IFERROR(__xludf.DUMMYFUNCTION("""COMPUTED_VALUE"""),16063.0)</f>
        <v>16063</v>
      </c>
      <c r="B1466" s="60" t="str">
        <f>IFERROR(__xludf.DUMMYFUNCTION("""COMPUTED_VALUE"""),"McCrary-Ball, Marcelino")</f>
        <v>McCrary-Ball, Marcelino</v>
      </c>
      <c r="C1466" s="60" t="str">
        <f>IFERROR(__xludf.DUMMYFUNCTION("""COMPUTED_VALUE"""),"LB")</f>
        <v>LB</v>
      </c>
      <c r="D1466" s="60" t="str">
        <f>IFERROR(__xludf.DUMMYFUNCTION("""COMPUTED_VALUE"""),"NYJ")</f>
        <v>NYJ</v>
      </c>
      <c r="E1466" s="62" t="str">
        <f t="shared" si="4"/>
        <v>Marcelino McCrary-Ball</v>
      </c>
      <c r="F1466" s="62">
        <f t="shared" ref="F1466:G1466" si="2931">IF(isblank(F$1),,IF(isblank($A1466),,IFERROR(vlookup($A1466,indirect("'TVC-"&amp;text(month(F$1),"00")&amp;"'!$A:$D"),4,false),1)))</f>
        <v>1</v>
      </c>
      <c r="G1466" s="62">
        <f t="shared" si="2931"/>
        <v>1</v>
      </c>
      <c r="H1466" s="62">
        <f t="shared" ref="H1466:Q1466" si="2932">IF(isblank(H$1),,IFERROR(vlookup($A1466,indirect("'TVC-"&amp;text(month(H$1),"00")&amp;"'!$A:$D"),4,false),1))</f>
        <v>1</v>
      </c>
      <c r="I1466" s="62">
        <f t="shared" si="2932"/>
        <v>1</v>
      </c>
      <c r="J1466" s="62">
        <f t="shared" si="2932"/>
        <v>1</v>
      </c>
      <c r="K1466" s="62">
        <f t="shared" si="2932"/>
        <v>1</v>
      </c>
      <c r="L1466" s="62">
        <f t="shared" si="2932"/>
        <v>1</v>
      </c>
      <c r="M1466" s="62">
        <f t="shared" si="2932"/>
        <v>1</v>
      </c>
      <c r="N1466" s="62">
        <f t="shared" si="2932"/>
        <v>1</v>
      </c>
      <c r="O1466" s="62">
        <f t="shared" si="2932"/>
        <v>1</v>
      </c>
      <c r="P1466" s="62" t="str">
        <f t="shared" si="2932"/>
        <v/>
      </c>
      <c r="Q1466" s="62" t="str">
        <f t="shared" si="2932"/>
        <v/>
      </c>
      <c r="R1466" s="62">
        <f t="shared" si="7"/>
        <v>0</v>
      </c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</row>
    <row r="1467">
      <c r="A1467" s="60">
        <f>IFERROR(__xludf.DUMMYFUNCTION("""COMPUTED_VALUE"""),16064.0)</f>
        <v>16064</v>
      </c>
      <c r="B1467" s="60" t="str">
        <f>IFERROR(__xludf.DUMMYFUNCTION("""COMPUTED_VALUE"""),"Flowers, Dallis")</f>
        <v>Flowers, Dallis</v>
      </c>
      <c r="C1467" s="60" t="str">
        <f>IFERROR(__xludf.DUMMYFUNCTION("""COMPUTED_VALUE"""),"CB")</f>
        <v>CB</v>
      </c>
      <c r="D1467" s="60" t="str">
        <f>IFERROR(__xludf.DUMMYFUNCTION("""COMPUTED_VALUE"""),"CHI")</f>
        <v>CHI</v>
      </c>
      <c r="E1467" s="62" t="str">
        <f t="shared" si="4"/>
        <v>Dallis Flowers</v>
      </c>
      <c r="F1467" s="62">
        <f t="shared" ref="F1467:G1467" si="2933">IF(isblank(F$1),,IF(isblank($A1467),,IFERROR(vlookup($A1467,indirect("'TVC-"&amp;text(month(F$1),"00")&amp;"'!$A:$D"),4,false),1)))</f>
        <v>1</v>
      </c>
      <c r="G1467" s="62">
        <f t="shared" si="2933"/>
        <v>1</v>
      </c>
      <c r="H1467" s="62">
        <f t="shared" ref="H1467:Q1467" si="2934">IF(isblank(H$1),,IFERROR(vlookup($A1467,indirect("'TVC-"&amp;text(month(H$1),"00")&amp;"'!$A:$D"),4,false),1))</f>
        <v>1</v>
      </c>
      <c r="I1467" s="62">
        <f t="shared" si="2934"/>
        <v>1</v>
      </c>
      <c r="J1467" s="62">
        <f t="shared" si="2934"/>
        <v>1</v>
      </c>
      <c r="K1467" s="62">
        <f t="shared" si="2934"/>
        <v>1</v>
      </c>
      <c r="L1467" s="62">
        <f t="shared" si="2934"/>
        <v>1</v>
      </c>
      <c r="M1467" s="62">
        <f t="shared" si="2934"/>
        <v>1</v>
      </c>
      <c r="N1467" s="62">
        <f t="shared" si="2934"/>
        <v>1</v>
      </c>
      <c r="O1467" s="62">
        <f t="shared" si="2934"/>
        <v>1</v>
      </c>
      <c r="P1467" s="62" t="str">
        <f t="shared" si="2934"/>
        <v/>
      </c>
      <c r="Q1467" s="62" t="str">
        <f t="shared" si="2934"/>
        <v/>
      </c>
      <c r="R1467" s="62">
        <f t="shared" si="7"/>
        <v>0</v>
      </c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</row>
    <row r="1468">
      <c r="A1468" s="60">
        <f>IFERROR(__xludf.DUMMYFUNCTION("""COMPUTED_VALUE"""),16066.0)</f>
        <v>16066</v>
      </c>
      <c r="B1468" s="60" t="str">
        <f>IFERROR(__xludf.DUMMYFUNCTION("""COMPUTED_VALUE"""),"Alexander, Maurice")</f>
        <v>Alexander, Maurice</v>
      </c>
      <c r="C1468" s="60" t="str">
        <f>IFERROR(__xludf.DUMMYFUNCTION("""COMPUTED_VALUE"""),"WR")</f>
        <v>WR</v>
      </c>
      <c r="D1468" s="60" t="str">
        <f>IFERROR(__xludf.DUMMYFUNCTION("""COMPUTED_VALUE"""),"FA")</f>
        <v>FA</v>
      </c>
      <c r="E1468" s="62" t="str">
        <f t="shared" si="4"/>
        <v>Maurice Alexander</v>
      </c>
      <c r="F1468" s="62">
        <f t="shared" ref="F1468:G1468" si="2935">IF(isblank(F$1),,IF(isblank($A1468),,IFERROR(vlookup($A1468,indirect("'TVC-"&amp;text(month(F$1),"00")&amp;"'!$A:$D"),4,false),1)))</f>
        <v>1</v>
      </c>
      <c r="G1468" s="62">
        <f t="shared" si="2935"/>
        <v>1</v>
      </c>
      <c r="H1468" s="62">
        <f t="shared" ref="H1468:Q1468" si="2936">IF(isblank(H$1),,IFERROR(vlookup($A1468,indirect("'TVC-"&amp;text(month(H$1),"00")&amp;"'!$A:$D"),4,false),1))</f>
        <v>1</v>
      </c>
      <c r="I1468" s="62">
        <f t="shared" si="2936"/>
        <v>1</v>
      </c>
      <c r="J1468" s="62">
        <f t="shared" si="2936"/>
        <v>1</v>
      </c>
      <c r="K1468" s="62">
        <f t="shared" si="2936"/>
        <v>1</v>
      </c>
      <c r="L1468" s="62">
        <f t="shared" si="2936"/>
        <v>1</v>
      </c>
      <c r="M1468" s="62">
        <f t="shared" si="2936"/>
        <v>1</v>
      </c>
      <c r="N1468" s="62">
        <f t="shared" si="2936"/>
        <v>1</v>
      </c>
      <c r="O1468" s="62">
        <f t="shared" si="2936"/>
        <v>1</v>
      </c>
      <c r="P1468" s="62" t="str">
        <f t="shared" si="2936"/>
        <v/>
      </c>
      <c r="Q1468" s="62" t="str">
        <f t="shared" si="2936"/>
        <v/>
      </c>
      <c r="R1468" s="62">
        <f t="shared" si="7"/>
        <v>0</v>
      </c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</row>
    <row r="1469">
      <c r="A1469" s="60">
        <f>IFERROR(__xludf.DUMMYFUNCTION("""COMPUTED_VALUE"""),16072.0)</f>
        <v>16072</v>
      </c>
      <c r="B1469" s="60" t="str">
        <f>IFERROR(__xludf.DUMMYFUNCTION("""COMPUTED_VALUE"""),"Cochrane, Jack")</f>
        <v>Cochrane, Jack</v>
      </c>
      <c r="C1469" s="60" t="str">
        <f>IFERROR(__xludf.DUMMYFUNCTION("""COMPUTED_VALUE"""),"LB")</f>
        <v>LB</v>
      </c>
      <c r="D1469" s="60" t="str">
        <f>IFERROR(__xludf.DUMMYFUNCTION("""COMPUTED_VALUE"""),"KCC")</f>
        <v>KCC</v>
      </c>
      <c r="E1469" s="62" t="str">
        <f t="shared" si="4"/>
        <v>Jack Cochrane</v>
      </c>
      <c r="F1469" s="62">
        <f t="shared" ref="F1469:G1469" si="2937">IF(isblank(F$1),,IF(isblank($A1469),,IFERROR(vlookup($A1469,indirect("'TVC-"&amp;text(month(F$1),"00")&amp;"'!$A:$D"),4,false),1)))</f>
        <v>1</v>
      </c>
      <c r="G1469" s="62">
        <f t="shared" si="2937"/>
        <v>1</v>
      </c>
      <c r="H1469" s="62">
        <f t="shared" ref="H1469:Q1469" si="2938">IF(isblank(H$1),,IFERROR(vlookup($A1469,indirect("'TVC-"&amp;text(month(H$1),"00")&amp;"'!$A:$D"),4,false),1))</f>
        <v>1</v>
      </c>
      <c r="I1469" s="62">
        <f t="shared" si="2938"/>
        <v>1</v>
      </c>
      <c r="J1469" s="62">
        <f t="shared" si="2938"/>
        <v>1</v>
      </c>
      <c r="K1469" s="62">
        <f t="shared" si="2938"/>
        <v>1</v>
      </c>
      <c r="L1469" s="62">
        <f t="shared" si="2938"/>
        <v>1</v>
      </c>
      <c r="M1469" s="62">
        <f t="shared" si="2938"/>
        <v>1</v>
      </c>
      <c r="N1469" s="62">
        <f t="shared" si="2938"/>
        <v>1</v>
      </c>
      <c r="O1469" s="62">
        <f t="shared" si="2938"/>
        <v>1</v>
      </c>
      <c r="P1469" s="62" t="str">
        <f t="shared" si="2938"/>
        <v/>
      </c>
      <c r="Q1469" s="62" t="str">
        <f t="shared" si="2938"/>
        <v/>
      </c>
      <c r="R1469" s="62">
        <f t="shared" si="7"/>
        <v>0</v>
      </c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</row>
    <row r="1470" hidden="1">
      <c r="A1470" s="60">
        <f>IFERROR(__xludf.DUMMYFUNCTION("""COMPUTED_VALUE"""),16075.0)</f>
        <v>16075</v>
      </c>
      <c r="B1470" s="60" t="str">
        <f>IFERROR(__xludf.DUMMYFUNCTION("""COMPUTED_VALUE"""),"Blount, Joey")</f>
        <v>Blount, Joey</v>
      </c>
      <c r="C1470" s="60" t="str">
        <f>IFERROR(__xludf.DUMMYFUNCTION("""COMPUTED_VALUE"""),"S")</f>
        <v>S</v>
      </c>
      <c r="D1470" s="60" t="str">
        <f>IFERROR(__xludf.DUMMYFUNCTION("""COMPUTED_VALUE"""),"ARI")</f>
        <v>ARI</v>
      </c>
      <c r="E1470" s="62" t="str">
        <f t="shared" si="4"/>
        <v>Joey Blount</v>
      </c>
      <c r="F1470" s="62">
        <f t="shared" ref="F1470:G1470" si="2939">IF(isblank(F$1),,IF(isblank($A1470),,IFERROR(vlookup($A1470,indirect("'TVC-"&amp;text(month(F$1),"00")&amp;"'!$A:$D"),4,false),1)))</f>
        <v>1</v>
      </c>
      <c r="G1470" s="62">
        <f t="shared" si="2939"/>
        <v>1</v>
      </c>
      <c r="H1470" s="62">
        <f t="shared" ref="H1470:Q1470" si="2940">IF(isblank(H$1),,IFERROR(vlookup($A1470,indirect("'TVC-"&amp;text(month(H$1),"00")&amp;"'!$A:$D"),4,false),1))</f>
        <v>1</v>
      </c>
      <c r="I1470" s="62">
        <f t="shared" si="2940"/>
        <v>1</v>
      </c>
      <c r="J1470" s="62">
        <f t="shared" si="2940"/>
        <v>1</v>
      </c>
      <c r="K1470" s="62">
        <f t="shared" si="2940"/>
        <v>1</v>
      </c>
      <c r="L1470" s="62">
        <f t="shared" si="2940"/>
        <v>1</v>
      </c>
      <c r="M1470" s="62">
        <f t="shared" si="2940"/>
        <v>1</v>
      </c>
      <c r="N1470" s="62">
        <f t="shared" si="2940"/>
        <v>1</v>
      </c>
      <c r="O1470" s="62">
        <f t="shared" si="2940"/>
        <v>1</v>
      </c>
      <c r="P1470" s="62" t="str">
        <f t="shared" si="2940"/>
        <v/>
      </c>
      <c r="Q1470" s="62" t="str">
        <f t="shared" si="2940"/>
        <v/>
      </c>
      <c r="R1470" s="62">
        <f t="shared" si="7"/>
        <v>0</v>
      </c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</row>
    <row r="1471">
      <c r="A1471" s="60">
        <f>IFERROR(__xludf.DUMMYFUNCTION("""COMPUTED_VALUE"""),16077.0)</f>
        <v>16077</v>
      </c>
      <c r="B1471" s="60" t="str">
        <f>IFERROR(__xludf.DUMMYFUNCTION("""COMPUTED_VALUE"""),"Okuayinonu, Sam")</f>
        <v>Okuayinonu, Sam</v>
      </c>
      <c r="C1471" s="60" t="str">
        <f>IFERROR(__xludf.DUMMYFUNCTION("""COMPUTED_VALUE"""),"DE")</f>
        <v>DE</v>
      </c>
      <c r="D1471" s="60" t="str">
        <f>IFERROR(__xludf.DUMMYFUNCTION("""COMPUTED_VALUE"""),"SFO")</f>
        <v>SFO</v>
      </c>
      <c r="E1471" s="62" t="str">
        <f t="shared" si="4"/>
        <v>Sam Okuayinonu</v>
      </c>
      <c r="F1471" s="62">
        <f t="shared" ref="F1471:G1471" si="2941">IF(isblank(F$1),,IF(isblank($A1471),,IFERROR(vlookup($A1471,indirect("'TVC-"&amp;text(month(F$1),"00")&amp;"'!$A:$D"),4,false),1)))</f>
        <v>1</v>
      </c>
      <c r="G1471" s="62">
        <f t="shared" si="2941"/>
        <v>1</v>
      </c>
      <c r="H1471" s="62">
        <f t="shared" ref="H1471:Q1471" si="2942">IF(isblank(H$1),,IFERROR(vlookup($A1471,indirect("'TVC-"&amp;text(month(H$1),"00")&amp;"'!$A:$D"),4,false),1))</f>
        <v>1</v>
      </c>
      <c r="I1471" s="62">
        <f t="shared" si="2942"/>
        <v>1</v>
      </c>
      <c r="J1471" s="62">
        <f t="shared" si="2942"/>
        <v>1</v>
      </c>
      <c r="K1471" s="62">
        <f t="shared" si="2942"/>
        <v>1</v>
      </c>
      <c r="L1471" s="62">
        <f t="shared" si="2942"/>
        <v>1</v>
      </c>
      <c r="M1471" s="62">
        <f t="shared" si="2942"/>
        <v>1</v>
      </c>
      <c r="N1471" s="62">
        <f t="shared" si="2942"/>
        <v>1</v>
      </c>
      <c r="O1471" s="62">
        <f t="shared" si="2942"/>
        <v>1</v>
      </c>
      <c r="P1471" s="62" t="str">
        <f t="shared" si="2942"/>
        <v/>
      </c>
      <c r="Q1471" s="62" t="str">
        <f t="shared" si="2942"/>
        <v/>
      </c>
      <c r="R1471" s="62">
        <f t="shared" si="7"/>
        <v>0</v>
      </c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</row>
    <row r="1472" hidden="1">
      <c r="A1472" s="60">
        <f>IFERROR(__xludf.DUMMYFUNCTION("""COMPUTED_VALUE"""),16080.0)</f>
        <v>16080</v>
      </c>
      <c r="B1472" s="60" t="str">
        <f>IFERROR(__xludf.DUMMYFUNCTION("""COMPUTED_VALUE"""),"Shaheed, Rashid")</f>
        <v>Shaheed, Rashid</v>
      </c>
      <c r="C1472" s="60" t="str">
        <f>IFERROR(__xludf.DUMMYFUNCTION("""COMPUTED_VALUE"""),"WR")</f>
        <v>WR</v>
      </c>
      <c r="D1472" s="60" t="str">
        <f>IFERROR(__xludf.DUMMYFUNCTION("""COMPUTED_VALUE"""),"SEA")</f>
        <v>SEA</v>
      </c>
      <c r="E1472" s="62" t="str">
        <f t="shared" si="4"/>
        <v>Rashid Shaheed</v>
      </c>
      <c r="F1472" s="62">
        <f t="shared" ref="F1472:G1472" si="2943">IF(isblank(F$1),,IF(isblank($A1472),,IFERROR(vlookup($A1472,indirect("'TVC-"&amp;text(month(F$1),"00")&amp;"'!$A:$D"),4,false),1)))</f>
        <v>2750</v>
      </c>
      <c r="G1472" s="62">
        <f t="shared" si="2943"/>
        <v>2829</v>
      </c>
      <c r="H1472" s="62">
        <f t="shared" ref="H1472:Q1472" si="2944">IF(isblank(H$1),,IFERROR(vlookup($A1472,indirect("'TVC-"&amp;text(month(H$1),"00")&amp;"'!$A:$D"),4,false),1))</f>
        <v>2876</v>
      </c>
      <c r="I1472" s="62">
        <f t="shared" si="2944"/>
        <v>3053</v>
      </c>
      <c r="J1472" s="62">
        <f t="shared" si="2944"/>
        <v>3036</v>
      </c>
      <c r="K1472" s="62">
        <f t="shared" si="2944"/>
        <v>2887</v>
      </c>
      <c r="L1472" s="62">
        <f t="shared" si="2944"/>
        <v>2764</v>
      </c>
      <c r="M1472" s="62">
        <f t="shared" si="2944"/>
        <v>2819</v>
      </c>
      <c r="N1472" s="62">
        <f t="shared" si="2944"/>
        <v>2647</v>
      </c>
      <c r="O1472" s="62">
        <f t="shared" si="2944"/>
        <v>1</v>
      </c>
      <c r="P1472" s="62" t="str">
        <f t="shared" si="2944"/>
        <v/>
      </c>
      <c r="Q1472" s="62" t="str">
        <f t="shared" si="2944"/>
        <v/>
      </c>
      <c r="R1472" s="62">
        <f t="shared" si="7"/>
        <v>-2646</v>
      </c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</row>
    <row r="1473" hidden="1">
      <c r="A1473" s="60">
        <f>IFERROR(__xludf.DUMMYFUNCTION("""COMPUTED_VALUE"""),16082.0)</f>
        <v>16082</v>
      </c>
      <c r="B1473" s="60" t="str">
        <f>IFERROR(__xludf.DUMMYFUNCTION("""COMPUTED_VALUE"""),"Mosby, Arron")</f>
        <v>Mosby, Arron</v>
      </c>
      <c r="C1473" s="60" t="str">
        <f>IFERROR(__xludf.DUMMYFUNCTION("""COMPUTED_VALUE"""),"DE")</f>
        <v>DE</v>
      </c>
      <c r="D1473" s="60" t="str">
        <f>IFERROR(__xludf.DUMMYFUNCTION("""COMPUTED_VALUE"""),"GBP")</f>
        <v>GBP</v>
      </c>
      <c r="E1473" s="62" t="str">
        <f t="shared" si="4"/>
        <v>Arron Mosby</v>
      </c>
      <c r="F1473" s="62">
        <f t="shared" ref="F1473:G1473" si="2945">IF(isblank(F$1),,IF(isblank($A1473),,IFERROR(vlookup($A1473,indirect("'TVC-"&amp;text(month(F$1),"00")&amp;"'!$A:$D"),4,false),1)))</f>
        <v>1</v>
      </c>
      <c r="G1473" s="62">
        <f t="shared" si="2945"/>
        <v>1</v>
      </c>
      <c r="H1473" s="62">
        <f t="shared" ref="H1473:Q1473" si="2946">IF(isblank(H$1),,IFERROR(vlookup($A1473,indirect("'TVC-"&amp;text(month(H$1),"00")&amp;"'!$A:$D"),4,false),1))</f>
        <v>1</v>
      </c>
      <c r="I1473" s="62">
        <f t="shared" si="2946"/>
        <v>1</v>
      </c>
      <c r="J1473" s="62">
        <f t="shared" si="2946"/>
        <v>1</v>
      </c>
      <c r="K1473" s="62">
        <f t="shared" si="2946"/>
        <v>1</v>
      </c>
      <c r="L1473" s="62">
        <f t="shared" si="2946"/>
        <v>1</v>
      </c>
      <c r="M1473" s="62">
        <f t="shared" si="2946"/>
        <v>1</v>
      </c>
      <c r="N1473" s="62">
        <f t="shared" si="2946"/>
        <v>1</v>
      </c>
      <c r="O1473" s="62">
        <f t="shared" si="2946"/>
        <v>1</v>
      </c>
      <c r="P1473" s="62" t="str">
        <f t="shared" si="2946"/>
        <v/>
      </c>
      <c r="Q1473" s="62" t="str">
        <f t="shared" si="2946"/>
        <v/>
      </c>
      <c r="R1473" s="62">
        <f t="shared" si="7"/>
        <v>0</v>
      </c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</row>
    <row r="1474" hidden="1">
      <c r="A1474" s="60">
        <f>IFERROR(__xludf.DUMMYFUNCTION("""COMPUTED_VALUE"""),16091.0)</f>
        <v>16091</v>
      </c>
      <c r="B1474" s="60" t="str">
        <f>IFERROR(__xludf.DUMMYFUNCTION("""COMPUTED_VALUE"""),"Stille, Ben")</f>
        <v>Stille, Ben</v>
      </c>
      <c r="C1474" s="60" t="str">
        <f>IFERROR(__xludf.DUMMYFUNCTION("""COMPUTED_VALUE"""),"DT")</f>
        <v>DT</v>
      </c>
      <c r="D1474" s="60" t="str">
        <f>IFERROR(__xludf.DUMMYFUNCTION("""COMPUTED_VALUE"""),"DET")</f>
        <v>DET</v>
      </c>
      <c r="E1474" s="62" t="str">
        <f t="shared" si="4"/>
        <v>Ben Stille</v>
      </c>
      <c r="F1474" s="62">
        <f t="shared" ref="F1474:G1474" si="2947">IF(isblank(F$1),,IF(isblank($A1474),,IFERROR(vlookup($A1474,indirect("'TVC-"&amp;text(month(F$1),"00")&amp;"'!$A:$D"),4,false),1)))</f>
        <v>1</v>
      </c>
      <c r="G1474" s="62">
        <f t="shared" si="2947"/>
        <v>1</v>
      </c>
      <c r="H1474" s="62">
        <f t="shared" ref="H1474:Q1474" si="2948">IF(isblank(H$1),,IFERROR(vlookup($A1474,indirect("'TVC-"&amp;text(month(H$1),"00")&amp;"'!$A:$D"),4,false),1))</f>
        <v>1</v>
      </c>
      <c r="I1474" s="62">
        <f t="shared" si="2948"/>
        <v>1</v>
      </c>
      <c r="J1474" s="62">
        <f t="shared" si="2948"/>
        <v>1</v>
      </c>
      <c r="K1474" s="62">
        <f t="shared" si="2948"/>
        <v>1</v>
      </c>
      <c r="L1474" s="62">
        <f t="shared" si="2948"/>
        <v>1</v>
      </c>
      <c r="M1474" s="62">
        <f t="shared" si="2948"/>
        <v>1</v>
      </c>
      <c r="N1474" s="62">
        <f t="shared" si="2948"/>
        <v>1</v>
      </c>
      <c r="O1474" s="62">
        <f t="shared" si="2948"/>
        <v>1</v>
      </c>
      <c r="P1474" s="62" t="str">
        <f t="shared" si="2948"/>
        <v/>
      </c>
      <c r="Q1474" s="62" t="str">
        <f t="shared" si="2948"/>
        <v/>
      </c>
      <c r="R1474" s="62">
        <f t="shared" si="7"/>
        <v>0</v>
      </c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</row>
    <row r="1475">
      <c r="A1475" s="60">
        <f>IFERROR(__xludf.DUMMYFUNCTION("""COMPUTED_VALUE"""),16102.0)</f>
        <v>16102</v>
      </c>
      <c r="B1475" s="60" t="str">
        <f>IFERROR(__xludf.DUMMYFUNCTION("""COMPUTED_VALUE"""),"Pola-Mao, Isaiah")</f>
        <v>Pola-Mao, Isaiah</v>
      </c>
      <c r="C1475" s="60" t="str">
        <f>IFERROR(__xludf.DUMMYFUNCTION("""COMPUTED_VALUE"""),"S")</f>
        <v>S</v>
      </c>
      <c r="D1475" s="60" t="str">
        <f>IFERROR(__xludf.DUMMYFUNCTION("""COMPUTED_VALUE"""),"LVR")</f>
        <v>LVR</v>
      </c>
      <c r="E1475" s="62" t="str">
        <f t="shared" si="4"/>
        <v>Isaiah Pola-Mao</v>
      </c>
      <c r="F1475" s="62">
        <f t="shared" ref="F1475:G1475" si="2949">IF(isblank(F$1),,IF(isblank($A1475),,IFERROR(vlookup($A1475,indirect("'TVC-"&amp;text(month(F$1),"00")&amp;"'!$A:$D"),4,false),1)))</f>
        <v>1</v>
      </c>
      <c r="G1475" s="62">
        <f t="shared" si="2949"/>
        <v>1</v>
      </c>
      <c r="H1475" s="62">
        <f t="shared" ref="H1475:Q1475" si="2950">IF(isblank(H$1),,IFERROR(vlookup($A1475,indirect("'TVC-"&amp;text(month(H$1),"00")&amp;"'!$A:$D"),4,false),1))</f>
        <v>1</v>
      </c>
      <c r="I1475" s="62">
        <f t="shared" si="2950"/>
        <v>1</v>
      </c>
      <c r="J1475" s="62">
        <f t="shared" si="2950"/>
        <v>1</v>
      </c>
      <c r="K1475" s="62">
        <f t="shared" si="2950"/>
        <v>1</v>
      </c>
      <c r="L1475" s="62">
        <f t="shared" si="2950"/>
        <v>1</v>
      </c>
      <c r="M1475" s="62">
        <f t="shared" si="2950"/>
        <v>1</v>
      </c>
      <c r="N1475" s="62">
        <f t="shared" si="2950"/>
        <v>1</v>
      </c>
      <c r="O1475" s="62">
        <f t="shared" si="2950"/>
        <v>1</v>
      </c>
      <c r="P1475" s="62" t="str">
        <f t="shared" si="2950"/>
        <v/>
      </c>
      <c r="Q1475" s="62" t="str">
        <f t="shared" si="2950"/>
        <v/>
      </c>
      <c r="R1475" s="62">
        <f t="shared" si="7"/>
        <v>0</v>
      </c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</row>
    <row r="1476" hidden="1">
      <c r="A1476" s="60">
        <f>IFERROR(__xludf.DUMMYFUNCTION("""COMPUTED_VALUE"""),16113.0)</f>
        <v>16113</v>
      </c>
      <c r="B1476" s="60" t="str">
        <f>IFERROR(__xludf.DUMMYFUNCTION("""COMPUTED_VALUE"""),"Smartt, Stone")</f>
        <v>Smartt, Stone</v>
      </c>
      <c r="C1476" s="60" t="str">
        <f>IFERROR(__xludf.DUMMYFUNCTION("""COMPUTED_VALUE"""),"TE")</f>
        <v>TE</v>
      </c>
      <c r="D1476" s="60" t="str">
        <f>IFERROR(__xludf.DUMMYFUNCTION("""COMPUTED_VALUE"""),"NOS")</f>
        <v>NOS</v>
      </c>
      <c r="E1476" s="62" t="str">
        <f t="shared" si="4"/>
        <v>Stone Smartt</v>
      </c>
      <c r="F1476" s="62">
        <f t="shared" ref="F1476:G1476" si="2951">IF(isblank(F$1),,IF(isblank($A1476),,IFERROR(vlookup($A1476,indirect("'TVC-"&amp;text(month(F$1),"00")&amp;"'!$A:$D"),4,false),1)))</f>
        <v>1</v>
      </c>
      <c r="G1476" s="62">
        <f t="shared" si="2951"/>
        <v>1</v>
      </c>
      <c r="H1476" s="62">
        <f t="shared" ref="H1476:Q1476" si="2952">IF(isblank(H$1),,IFERROR(vlookup($A1476,indirect("'TVC-"&amp;text(month(H$1),"00")&amp;"'!$A:$D"),4,false),1))</f>
        <v>1</v>
      </c>
      <c r="I1476" s="62">
        <f t="shared" si="2952"/>
        <v>1</v>
      </c>
      <c r="J1476" s="62">
        <f t="shared" si="2952"/>
        <v>1</v>
      </c>
      <c r="K1476" s="62">
        <f t="shared" si="2952"/>
        <v>1</v>
      </c>
      <c r="L1476" s="62">
        <f t="shared" si="2952"/>
        <v>1</v>
      </c>
      <c r="M1476" s="62">
        <f t="shared" si="2952"/>
        <v>1</v>
      </c>
      <c r="N1476" s="62">
        <f t="shared" si="2952"/>
        <v>1</v>
      </c>
      <c r="O1476" s="62">
        <f t="shared" si="2952"/>
        <v>1</v>
      </c>
      <c r="P1476" s="62" t="str">
        <f t="shared" si="2952"/>
        <v/>
      </c>
      <c r="Q1476" s="62" t="str">
        <f t="shared" si="2952"/>
        <v/>
      </c>
      <c r="R1476" s="62">
        <f t="shared" si="7"/>
        <v>0</v>
      </c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</row>
    <row r="1477">
      <c r="A1477" s="60">
        <f>IFERROR(__xludf.DUMMYFUNCTION("""COMPUTED_VALUE"""),16118.0)</f>
        <v>16118</v>
      </c>
      <c r="B1477" s="60" t="str">
        <f>IFERROR(__xludf.DUMMYFUNCTION("""COMPUTED_VALUE"""),"Brown, Mike")</f>
        <v>Brown, Mike</v>
      </c>
      <c r="C1477" s="60" t="str">
        <f>IFERROR(__xludf.DUMMYFUNCTION("""COMPUTED_VALUE"""),"S")</f>
        <v>S</v>
      </c>
      <c r="D1477" s="60" t="str">
        <f>IFERROR(__xludf.DUMMYFUNCTION("""COMPUTED_VALUE"""),"NEP")</f>
        <v>NEP</v>
      </c>
      <c r="E1477" s="62" t="str">
        <f t="shared" si="4"/>
        <v>Mike Brown</v>
      </c>
      <c r="F1477" s="62">
        <f t="shared" ref="F1477:G1477" si="2953">IF(isblank(F$1),,IF(isblank($A1477),,IFERROR(vlookup($A1477,indirect("'TVC-"&amp;text(month(F$1),"00")&amp;"'!$A:$D"),4,false),1)))</f>
        <v>1</v>
      </c>
      <c r="G1477" s="62">
        <f t="shared" si="2953"/>
        <v>1</v>
      </c>
      <c r="H1477" s="62">
        <f t="shared" ref="H1477:Q1477" si="2954">IF(isblank(H$1),,IFERROR(vlookup($A1477,indirect("'TVC-"&amp;text(month(H$1),"00")&amp;"'!$A:$D"),4,false),1))</f>
        <v>1</v>
      </c>
      <c r="I1477" s="62">
        <f t="shared" si="2954"/>
        <v>1</v>
      </c>
      <c r="J1477" s="62">
        <f t="shared" si="2954"/>
        <v>1</v>
      </c>
      <c r="K1477" s="62">
        <f t="shared" si="2954"/>
        <v>1</v>
      </c>
      <c r="L1477" s="62">
        <f t="shared" si="2954"/>
        <v>1</v>
      </c>
      <c r="M1477" s="62">
        <f t="shared" si="2954"/>
        <v>1</v>
      </c>
      <c r="N1477" s="62">
        <f t="shared" si="2954"/>
        <v>1</v>
      </c>
      <c r="O1477" s="62">
        <f t="shared" si="2954"/>
        <v>1</v>
      </c>
      <c r="P1477" s="62" t="str">
        <f t="shared" si="2954"/>
        <v/>
      </c>
      <c r="Q1477" s="62" t="str">
        <f t="shared" si="2954"/>
        <v/>
      </c>
      <c r="R1477" s="62">
        <f t="shared" si="7"/>
        <v>0</v>
      </c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</row>
    <row r="1478">
      <c r="A1478" s="60">
        <f>IFERROR(__xludf.DUMMYFUNCTION("""COMPUTED_VALUE"""),16120.0)</f>
        <v>16120</v>
      </c>
      <c r="B1478" s="60" t="str">
        <f>IFERROR(__xludf.DUMMYFUNCTION("""COMPUTED_VALUE"""),"Trammell, Austin")</f>
        <v>Trammell, Austin</v>
      </c>
      <c r="C1478" s="60" t="str">
        <f>IFERROR(__xludf.DUMMYFUNCTION("""COMPUTED_VALUE"""),"WR")</f>
        <v>WR</v>
      </c>
      <c r="D1478" s="60" t="str">
        <f>IFERROR(__xludf.DUMMYFUNCTION("""COMPUTED_VALUE"""),"JAC")</f>
        <v>JAC</v>
      </c>
      <c r="E1478" s="62" t="str">
        <f t="shared" si="4"/>
        <v>Austin Trammell</v>
      </c>
      <c r="F1478" s="62">
        <f t="shared" ref="F1478:G1478" si="2955">IF(isblank(F$1),,IF(isblank($A1478),,IFERROR(vlookup($A1478,indirect("'TVC-"&amp;text(month(F$1),"00")&amp;"'!$A:$D"),4,false),1)))</f>
        <v>1</v>
      </c>
      <c r="G1478" s="62">
        <f t="shared" si="2955"/>
        <v>1</v>
      </c>
      <c r="H1478" s="62">
        <f t="shared" ref="H1478:Q1478" si="2956">IF(isblank(H$1),,IFERROR(vlookup($A1478,indirect("'TVC-"&amp;text(month(H$1),"00")&amp;"'!$A:$D"),4,false),1))</f>
        <v>1</v>
      </c>
      <c r="I1478" s="62">
        <f t="shared" si="2956"/>
        <v>1</v>
      </c>
      <c r="J1478" s="62">
        <f t="shared" si="2956"/>
        <v>1</v>
      </c>
      <c r="K1478" s="62">
        <f t="shared" si="2956"/>
        <v>1</v>
      </c>
      <c r="L1478" s="62">
        <f t="shared" si="2956"/>
        <v>1</v>
      </c>
      <c r="M1478" s="62">
        <f t="shared" si="2956"/>
        <v>1</v>
      </c>
      <c r="N1478" s="62">
        <f t="shared" si="2956"/>
        <v>1</v>
      </c>
      <c r="O1478" s="62">
        <f t="shared" si="2956"/>
        <v>1</v>
      </c>
      <c r="P1478" s="62" t="str">
        <f t="shared" si="2956"/>
        <v/>
      </c>
      <c r="Q1478" s="62" t="str">
        <f t="shared" si="2956"/>
        <v/>
      </c>
      <c r="R1478" s="62">
        <f t="shared" si="7"/>
        <v>0</v>
      </c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</row>
    <row r="1479">
      <c r="A1479" s="60">
        <f>IFERROR(__xludf.DUMMYFUNCTION("""COMPUTED_VALUE"""),16135.0)</f>
        <v>16135</v>
      </c>
      <c r="B1479" s="60" t="str">
        <f>IFERROR(__xludf.DUMMYFUNCTION("""COMPUTED_VALUE"""),"Kalinic, Nikola")</f>
        <v>Kalinic, Nikola</v>
      </c>
      <c r="C1479" s="60" t="str">
        <f>IFERROR(__xludf.DUMMYFUNCTION("""COMPUTED_VALUE"""),"TE")</f>
        <v>TE</v>
      </c>
      <c r="D1479" s="60" t="str">
        <f>IFERROR(__xludf.DUMMYFUNCTION("""COMPUTED_VALUE"""),"CHI")</f>
        <v>CHI</v>
      </c>
      <c r="E1479" s="62" t="str">
        <f t="shared" si="4"/>
        <v>Nikola Kalinic</v>
      </c>
      <c r="F1479" s="62">
        <f t="shared" ref="F1479:G1479" si="2957">IF(isblank(F$1),,IF(isblank($A1479),,IFERROR(vlookup($A1479,indirect("'TVC-"&amp;text(month(F$1),"00")&amp;"'!$A:$D"),4,false),1)))</f>
        <v>1</v>
      </c>
      <c r="G1479" s="62">
        <f t="shared" si="2957"/>
        <v>1</v>
      </c>
      <c r="H1479" s="62">
        <f t="shared" ref="H1479:Q1479" si="2958">IF(isblank(H$1),,IFERROR(vlookup($A1479,indirect("'TVC-"&amp;text(month(H$1),"00")&amp;"'!$A:$D"),4,false),1))</f>
        <v>1</v>
      </c>
      <c r="I1479" s="62">
        <f t="shared" si="2958"/>
        <v>1</v>
      </c>
      <c r="J1479" s="62">
        <f t="shared" si="2958"/>
        <v>1</v>
      </c>
      <c r="K1479" s="62">
        <f t="shared" si="2958"/>
        <v>1</v>
      </c>
      <c r="L1479" s="62">
        <f t="shared" si="2958"/>
        <v>1</v>
      </c>
      <c r="M1479" s="62">
        <f t="shared" si="2958"/>
        <v>1</v>
      </c>
      <c r="N1479" s="62">
        <f t="shared" si="2958"/>
        <v>1</v>
      </c>
      <c r="O1479" s="62">
        <f t="shared" si="2958"/>
        <v>1</v>
      </c>
      <c r="P1479" s="62" t="str">
        <f t="shared" si="2958"/>
        <v/>
      </c>
      <c r="Q1479" s="62" t="str">
        <f t="shared" si="2958"/>
        <v/>
      </c>
      <c r="R1479" s="62">
        <f t="shared" si="7"/>
        <v>0</v>
      </c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</row>
    <row r="1480">
      <c r="A1480" s="60">
        <f>IFERROR(__xludf.DUMMYFUNCTION("""COMPUTED_VALUE"""),16138.0)</f>
        <v>16138</v>
      </c>
      <c r="B1480" s="60" t="str">
        <f>IFERROR(__xludf.DUMMYFUNCTION("""COMPUTED_VALUE"""),"Olubi, Segun")</f>
        <v>Olubi, Segun</v>
      </c>
      <c r="C1480" s="60" t="str">
        <f>IFERROR(__xludf.DUMMYFUNCTION("""COMPUTED_VALUE"""),"LB")</f>
        <v>LB</v>
      </c>
      <c r="D1480" s="60" t="str">
        <f>IFERROR(__xludf.DUMMYFUNCTION("""COMPUTED_VALUE"""),"LVR")</f>
        <v>LVR</v>
      </c>
      <c r="E1480" s="62" t="str">
        <f t="shared" si="4"/>
        <v>Segun Olubi</v>
      </c>
      <c r="F1480" s="62">
        <f t="shared" ref="F1480:G1480" si="2959">IF(isblank(F$1),,IF(isblank($A1480),,IFERROR(vlookup($A1480,indirect("'TVC-"&amp;text(month(F$1),"00")&amp;"'!$A:$D"),4,false),1)))</f>
        <v>1</v>
      </c>
      <c r="G1480" s="62">
        <f t="shared" si="2959"/>
        <v>1</v>
      </c>
      <c r="H1480" s="62">
        <f t="shared" ref="H1480:Q1480" si="2960">IF(isblank(H$1),,IFERROR(vlookup($A1480,indirect("'TVC-"&amp;text(month(H$1),"00")&amp;"'!$A:$D"),4,false),1))</f>
        <v>1</v>
      </c>
      <c r="I1480" s="62">
        <f t="shared" si="2960"/>
        <v>1</v>
      </c>
      <c r="J1480" s="62">
        <f t="shared" si="2960"/>
        <v>1</v>
      </c>
      <c r="K1480" s="62">
        <f t="shared" si="2960"/>
        <v>1</v>
      </c>
      <c r="L1480" s="62">
        <f t="shared" si="2960"/>
        <v>1</v>
      </c>
      <c r="M1480" s="62">
        <f t="shared" si="2960"/>
        <v>1</v>
      </c>
      <c r="N1480" s="62">
        <f t="shared" si="2960"/>
        <v>1</v>
      </c>
      <c r="O1480" s="62">
        <f t="shared" si="2960"/>
        <v>1</v>
      </c>
      <c r="P1480" s="62" t="str">
        <f t="shared" si="2960"/>
        <v/>
      </c>
      <c r="Q1480" s="62" t="str">
        <f t="shared" si="2960"/>
        <v/>
      </c>
      <c r="R1480" s="62">
        <f t="shared" si="7"/>
        <v>0</v>
      </c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</row>
    <row r="1481" hidden="1">
      <c r="A1481" s="60">
        <f>IFERROR(__xludf.DUMMYFUNCTION("""COMPUTED_VALUE"""),16139.0)</f>
        <v>16139</v>
      </c>
      <c r="B1481" s="60" t="str">
        <f>IFERROR(__xludf.DUMMYFUNCTION("""COMPUTED_VALUE"""),"Baker, Darrell")</f>
        <v>Baker, Darrell</v>
      </c>
      <c r="C1481" s="60" t="str">
        <f>IFERROR(__xludf.DUMMYFUNCTION("""COMPUTED_VALUE"""),"CB")</f>
        <v>CB</v>
      </c>
      <c r="D1481" s="60" t="str">
        <f>IFERROR(__xludf.DUMMYFUNCTION("""COMPUTED_VALUE"""),"MIA")</f>
        <v>MIA</v>
      </c>
      <c r="E1481" s="62" t="str">
        <f t="shared" si="4"/>
        <v>Darrell Baker</v>
      </c>
      <c r="F1481" s="62">
        <f t="shared" ref="F1481:G1481" si="2961">IF(isblank(F$1),,IF(isblank($A1481),,IFERROR(vlookup($A1481,indirect("'TVC-"&amp;text(month(F$1),"00")&amp;"'!$A:$D"),4,false),1)))</f>
        <v>1</v>
      </c>
      <c r="G1481" s="62">
        <f t="shared" si="2961"/>
        <v>1</v>
      </c>
      <c r="H1481" s="62">
        <f t="shared" ref="H1481:Q1481" si="2962">IF(isblank(H$1),,IFERROR(vlookup($A1481,indirect("'TVC-"&amp;text(month(H$1),"00")&amp;"'!$A:$D"),4,false),1))</f>
        <v>1</v>
      </c>
      <c r="I1481" s="62">
        <f t="shared" si="2962"/>
        <v>1</v>
      </c>
      <c r="J1481" s="62">
        <f t="shared" si="2962"/>
        <v>1</v>
      </c>
      <c r="K1481" s="62">
        <f t="shared" si="2962"/>
        <v>1</v>
      </c>
      <c r="L1481" s="62">
        <f t="shared" si="2962"/>
        <v>1</v>
      </c>
      <c r="M1481" s="62">
        <f t="shared" si="2962"/>
        <v>1</v>
      </c>
      <c r="N1481" s="62">
        <f t="shared" si="2962"/>
        <v>1</v>
      </c>
      <c r="O1481" s="62">
        <f t="shared" si="2962"/>
        <v>1</v>
      </c>
      <c r="P1481" s="62" t="str">
        <f t="shared" si="2962"/>
        <v/>
      </c>
      <c r="Q1481" s="62" t="str">
        <f t="shared" si="2962"/>
        <v/>
      </c>
      <c r="R1481" s="62">
        <f t="shared" si="7"/>
        <v>0</v>
      </c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</row>
    <row r="1482">
      <c r="A1482" s="60">
        <f>IFERROR(__xludf.DUMMYFUNCTION("""COMPUTED_VALUE"""),16144.0)</f>
        <v>16144</v>
      </c>
      <c r="B1482" s="60" t="str">
        <f>IFERROR(__xludf.DUMMYFUNCTION("""COMPUTED_VALUE"""),"Garcia, Elijah")</f>
        <v>Garcia, Elijah</v>
      </c>
      <c r="C1482" s="60" t="str">
        <f>IFERROR(__xludf.DUMMYFUNCTION("""COMPUTED_VALUE"""),"DT")</f>
        <v>DT</v>
      </c>
      <c r="D1482" s="60" t="str">
        <f>IFERROR(__xludf.DUMMYFUNCTION("""COMPUTED_VALUE"""),"DAL")</f>
        <v>DAL</v>
      </c>
      <c r="E1482" s="62" t="str">
        <f t="shared" si="4"/>
        <v>Elijah Garcia</v>
      </c>
      <c r="F1482" s="62">
        <f t="shared" ref="F1482:G1482" si="2963">IF(isblank(F$1),,IF(isblank($A1482),,IFERROR(vlookup($A1482,indirect("'TVC-"&amp;text(month(F$1),"00")&amp;"'!$A:$D"),4,false),1)))</f>
        <v>1</v>
      </c>
      <c r="G1482" s="62">
        <f t="shared" si="2963"/>
        <v>1</v>
      </c>
      <c r="H1482" s="62">
        <f t="shared" ref="H1482:Q1482" si="2964">IF(isblank(H$1),,IFERROR(vlookup($A1482,indirect("'TVC-"&amp;text(month(H$1),"00")&amp;"'!$A:$D"),4,false),1))</f>
        <v>1</v>
      </c>
      <c r="I1482" s="62">
        <f t="shared" si="2964"/>
        <v>1</v>
      </c>
      <c r="J1482" s="62">
        <f t="shared" si="2964"/>
        <v>1</v>
      </c>
      <c r="K1482" s="62">
        <f t="shared" si="2964"/>
        <v>1</v>
      </c>
      <c r="L1482" s="62">
        <f t="shared" si="2964"/>
        <v>1</v>
      </c>
      <c r="M1482" s="62">
        <f t="shared" si="2964"/>
        <v>1</v>
      </c>
      <c r="N1482" s="62">
        <f t="shared" si="2964"/>
        <v>1</v>
      </c>
      <c r="O1482" s="62">
        <f t="shared" si="2964"/>
        <v>1</v>
      </c>
      <c r="P1482" s="62" t="str">
        <f t="shared" si="2964"/>
        <v/>
      </c>
      <c r="Q1482" s="62" t="str">
        <f t="shared" si="2964"/>
        <v/>
      </c>
      <c r="R1482" s="62">
        <f t="shared" si="7"/>
        <v>0</v>
      </c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</row>
    <row r="1483">
      <c r="A1483" s="60">
        <f>IFERROR(__xludf.DUMMYFUNCTION("""COMPUTED_VALUE"""),16145.0)</f>
        <v>16145</v>
      </c>
      <c r="B1483" s="60" t="str">
        <f>IFERROR(__xludf.DUMMYFUNCTION("""COMPUTED_VALUE"""),"McMillian, Ja'Quan")</f>
        <v>McMillian, Ja'Quan</v>
      </c>
      <c r="C1483" s="60" t="str">
        <f>IFERROR(__xludf.DUMMYFUNCTION("""COMPUTED_VALUE"""),"CB")</f>
        <v>CB</v>
      </c>
      <c r="D1483" s="60" t="str">
        <f>IFERROR(__xludf.DUMMYFUNCTION("""COMPUTED_VALUE"""),"DEN")</f>
        <v>DEN</v>
      </c>
      <c r="E1483" s="62" t="str">
        <f t="shared" si="4"/>
        <v>Ja'Quan McMillian</v>
      </c>
      <c r="F1483" s="62">
        <f t="shared" ref="F1483:G1483" si="2965">IF(isblank(F$1),,IF(isblank($A1483),,IFERROR(vlookup($A1483,indirect("'TVC-"&amp;text(month(F$1),"00")&amp;"'!$A:$D"),4,false),1)))</f>
        <v>1</v>
      </c>
      <c r="G1483" s="62">
        <f t="shared" si="2965"/>
        <v>1</v>
      </c>
      <c r="H1483" s="62">
        <f t="shared" ref="H1483:Q1483" si="2966">IF(isblank(H$1),,IFERROR(vlookup($A1483,indirect("'TVC-"&amp;text(month(H$1),"00")&amp;"'!$A:$D"),4,false),1))</f>
        <v>1</v>
      </c>
      <c r="I1483" s="62">
        <f t="shared" si="2966"/>
        <v>1</v>
      </c>
      <c r="J1483" s="62">
        <f t="shared" si="2966"/>
        <v>1</v>
      </c>
      <c r="K1483" s="62">
        <f t="shared" si="2966"/>
        <v>1</v>
      </c>
      <c r="L1483" s="62">
        <f t="shared" si="2966"/>
        <v>1</v>
      </c>
      <c r="M1483" s="62">
        <f t="shared" si="2966"/>
        <v>1</v>
      </c>
      <c r="N1483" s="62">
        <f t="shared" si="2966"/>
        <v>1</v>
      </c>
      <c r="O1483" s="62">
        <f t="shared" si="2966"/>
        <v>1</v>
      </c>
      <c r="P1483" s="62" t="str">
        <f t="shared" si="2966"/>
        <v/>
      </c>
      <c r="Q1483" s="62" t="str">
        <f t="shared" si="2966"/>
        <v/>
      </c>
      <c r="R1483" s="62">
        <f t="shared" si="7"/>
        <v>0</v>
      </c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</row>
    <row r="1484">
      <c r="A1484" s="60">
        <f>IFERROR(__xludf.DUMMYFUNCTION("""COMPUTED_VALUE"""),16147.0)</f>
        <v>16147</v>
      </c>
      <c r="B1484" s="60" t="str">
        <f>IFERROR(__xludf.DUMMYFUNCTION("""COMPUTED_VALUE"""),"Steichen, Shane")</f>
        <v>Steichen, Shane</v>
      </c>
      <c r="C1484" s="60" t="str">
        <f>IFERROR(__xludf.DUMMYFUNCTION("""COMPUTED_VALUE"""),"Coach")</f>
        <v>Coach</v>
      </c>
      <c r="D1484" s="60" t="str">
        <f>IFERROR(__xludf.DUMMYFUNCTION("""COMPUTED_VALUE"""),"IND")</f>
        <v>IND</v>
      </c>
      <c r="E1484" s="62" t="str">
        <f t="shared" si="4"/>
        <v>Shane Steichen</v>
      </c>
      <c r="F1484" s="62">
        <f t="shared" ref="F1484:G1484" si="2967">IF(isblank(F$1),,IF(isblank($A1484),,IFERROR(vlookup($A1484,indirect("'TVC-"&amp;text(month(F$1),"00")&amp;"'!$A:$D"),4,false),1)))</f>
        <v>1</v>
      </c>
      <c r="G1484" s="62">
        <f t="shared" si="2967"/>
        <v>1</v>
      </c>
      <c r="H1484" s="62">
        <f t="shared" ref="H1484:Q1484" si="2968">IF(isblank(H$1),,IFERROR(vlookup($A1484,indirect("'TVC-"&amp;text(month(H$1),"00")&amp;"'!$A:$D"),4,false),1))</f>
        <v>1</v>
      </c>
      <c r="I1484" s="62">
        <f t="shared" si="2968"/>
        <v>1</v>
      </c>
      <c r="J1484" s="62">
        <f t="shared" si="2968"/>
        <v>1</v>
      </c>
      <c r="K1484" s="62">
        <f t="shared" si="2968"/>
        <v>1</v>
      </c>
      <c r="L1484" s="62">
        <f t="shared" si="2968"/>
        <v>1</v>
      </c>
      <c r="M1484" s="62">
        <f t="shared" si="2968"/>
        <v>1</v>
      </c>
      <c r="N1484" s="62">
        <f t="shared" si="2968"/>
        <v>1</v>
      </c>
      <c r="O1484" s="62">
        <f t="shared" si="2968"/>
        <v>1</v>
      </c>
      <c r="P1484" s="62" t="str">
        <f t="shared" si="2968"/>
        <v/>
      </c>
      <c r="Q1484" s="62" t="str">
        <f t="shared" si="2968"/>
        <v/>
      </c>
      <c r="R1484" s="62">
        <f t="shared" si="7"/>
        <v>0</v>
      </c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</row>
    <row r="1485">
      <c r="A1485" s="60">
        <f>IFERROR(__xludf.DUMMYFUNCTION("""COMPUTED_VALUE"""),16148.0)</f>
        <v>16148</v>
      </c>
      <c r="B1485" s="60" t="str">
        <f>IFERROR(__xludf.DUMMYFUNCTION("""COMPUTED_VALUE"""),"Young, Bryce")</f>
        <v>Young, Bryce</v>
      </c>
      <c r="C1485" s="60" t="str">
        <f>IFERROR(__xludf.DUMMYFUNCTION("""COMPUTED_VALUE"""),"QB")</f>
        <v>QB</v>
      </c>
      <c r="D1485" s="60" t="str">
        <f>IFERROR(__xludf.DUMMYFUNCTION("""COMPUTED_VALUE"""),"CAR")</f>
        <v>CAR</v>
      </c>
      <c r="E1485" s="62" t="str">
        <f t="shared" si="4"/>
        <v>Bryce Young</v>
      </c>
      <c r="F1485" s="62">
        <f t="shared" ref="F1485:G1485" si="2969">IF(isblank(F$1),,IF(isblank($A1485),,IFERROR(vlookup($A1485,indirect("'TVC-"&amp;text(month(F$1),"00")&amp;"'!$A:$D"),4,false),1)))</f>
        <v>4409</v>
      </c>
      <c r="G1485" s="62">
        <f t="shared" si="2969"/>
        <v>4501</v>
      </c>
      <c r="H1485" s="62">
        <f t="shared" ref="H1485:Q1485" si="2970">IF(isblank(H$1),,IFERROR(vlookup($A1485,indirect("'TVC-"&amp;text(month(H$1),"00")&amp;"'!$A:$D"),4,false),1))</f>
        <v>4445</v>
      </c>
      <c r="I1485" s="62">
        <f t="shared" si="2970"/>
        <v>4518</v>
      </c>
      <c r="J1485" s="62">
        <f t="shared" si="2970"/>
        <v>4543</v>
      </c>
      <c r="K1485" s="62">
        <f t="shared" si="2970"/>
        <v>4464</v>
      </c>
      <c r="L1485" s="62">
        <f t="shared" si="2970"/>
        <v>4320</v>
      </c>
      <c r="M1485" s="62">
        <f t="shared" si="2970"/>
        <v>3939</v>
      </c>
      <c r="N1485" s="62">
        <f t="shared" si="2970"/>
        <v>3755</v>
      </c>
      <c r="O1485" s="62">
        <f t="shared" si="2970"/>
        <v>1</v>
      </c>
      <c r="P1485" s="62" t="str">
        <f t="shared" si="2970"/>
        <v/>
      </c>
      <c r="Q1485" s="62" t="str">
        <f t="shared" si="2970"/>
        <v/>
      </c>
      <c r="R1485" s="62">
        <f t="shared" si="7"/>
        <v>-3754</v>
      </c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</row>
    <row r="1486">
      <c r="A1486" s="60">
        <f>IFERROR(__xludf.DUMMYFUNCTION("""COMPUTED_VALUE"""),16149.0)</f>
        <v>16149</v>
      </c>
      <c r="B1486" s="60" t="str">
        <f>IFERROR(__xludf.DUMMYFUNCTION("""COMPUTED_VALUE"""),"Levis, Will")</f>
        <v>Levis, Will</v>
      </c>
      <c r="C1486" s="60" t="str">
        <f>IFERROR(__xludf.DUMMYFUNCTION("""COMPUTED_VALUE"""),"QB")</f>
        <v>QB</v>
      </c>
      <c r="D1486" s="60" t="str">
        <f>IFERROR(__xludf.DUMMYFUNCTION("""COMPUTED_VALUE"""),"NYJ")</f>
        <v>NYJ</v>
      </c>
      <c r="E1486" s="62" t="str">
        <f t="shared" si="4"/>
        <v>Will Levis</v>
      </c>
      <c r="F1486" s="62">
        <f t="shared" ref="F1486:G1486" si="2971">IF(isblank(F$1),,IF(isblank($A1486),,IFERROR(vlookup($A1486,indirect("'TVC-"&amp;text(month(F$1),"00")&amp;"'!$A:$D"),4,false),1)))</f>
        <v>1080</v>
      </c>
      <c r="G1486" s="62">
        <f t="shared" si="2971"/>
        <v>1198</v>
      </c>
      <c r="H1486" s="62">
        <f t="shared" ref="H1486:Q1486" si="2972">IF(isblank(H$1),,IFERROR(vlookup($A1486,indirect("'TVC-"&amp;text(month(H$1),"00")&amp;"'!$A:$D"),4,false),1))</f>
        <v>1227</v>
      </c>
      <c r="I1486" s="62">
        <f t="shared" si="2972"/>
        <v>1446</v>
      </c>
      <c r="J1486" s="62">
        <f t="shared" si="2972"/>
        <v>1542</v>
      </c>
      <c r="K1486" s="62">
        <f t="shared" si="2972"/>
        <v>1364</v>
      </c>
      <c r="L1486" s="62">
        <f t="shared" si="2972"/>
        <v>1239</v>
      </c>
      <c r="M1486" s="62">
        <f t="shared" si="2972"/>
        <v>1071</v>
      </c>
      <c r="N1486" s="62">
        <f t="shared" si="2972"/>
        <v>958</v>
      </c>
      <c r="O1486" s="62">
        <f t="shared" si="2972"/>
        <v>1</v>
      </c>
      <c r="P1486" s="62" t="str">
        <f t="shared" si="2972"/>
        <v/>
      </c>
      <c r="Q1486" s="62" t="str">
        <f t="shared" si="2972"/>
        <v/>
      </c>
      <c r="R1486" s="62">
        <f t="shared" si="7"/>
        <v>-957</v>
      </c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</row>
    <row r="1487" hidden="1">
      <c r="A1487" s="60">
        <f>IFERROR(__xludf.DUMMYFUNCTION("""COMPUTED_VALUE"""),16150.0)</f>
        <v>16150</v>
      </c>
      <c r="B1487" s="60" t="str">
        <f>IFERROR(__xludf.DUMMYFUNCTION("""COMPUTED_VALUE"""),"Stroud, C.J.")</f>
        <v>Stroud, C.J.</v>
      </c>
      <c r="C1487" s="60" t="str">
        <f>IFERROR(__xludf.DUMMYFUNCTION("""COMPUTED_VALUE"""),"QB")</f>
        <v>QB</v>
      </c>
      <c r="D1487" s="60" t="str">
        <f>IFERROR(__xludf.DUMMYFUNCTION("""COMPUTED_VALUE"""),"HOU")</f>
        <v>HOU</v>
      </c>
      <c r="E1487" s="62" t="str">
        <f t="shared" si="4"/>
        <v>C.J. Stroud</v>
      </c>
      <c r="F1487" s="62">
        <f t="shared" ref="F1487:G1487" si="2973">IF(isblank(F$1),,IF(isblank($A1487),,IFERROR(vlookup($A1487,indirect("'TVC-"&amp;text(month(F$1),"00")&amp;"'!$A:$D"),4,false),1)))</f>
        <v>5414</v>
      </c>
      <c r="G1487" s="62">
        <f t="shared" si="2973"/>
        <v>4942</v>
      </c>
      <c r="H1487" s="62">
        <f t="shared" ref="H1487:Q1487" si="2974">IF(isblank(H$1),,IFERROR(vlookup($A1487,indirect("'TVC-"&amp;text(month(H$1),"00")&amp;"'!$A:$D"),4,false),1))</f>
        <v>4826</v>
      </c>
      <c r="I1487" s="62">
        <f t="shared" si="2974"/>
        <v>4794</v>
      </c>
      <c r="J1487" s="62">
        <f t="shared" si="2974"/>
        <v>4912</v>
      </c>
      <c r="K1487" s="62">
        <f t="shared" si="2974"/>
        <v>4893</v>
      </c>
      <c r="L1487" s="62">
        <f t="shared" si="2974"/>
        <v>4816</v>
      </c>
      <c r="M1487" s="62">
        <f t="shared" si="2974"/>
        <v>4641</v>
      </c>
      <c r="N1487" s="62">
        <f t="shared" si="2974"/>
        <v>4462</v>
      </c>
      <c r="O1487" s="62">
        <f t="shared" si="2974"/>
        <v>1</v>
      </c>
      <c r="P1487" s="62" t="str">
        <f t="shared" si="2974"/>
        <v/>
      </c>
      <c r="Q1487" s="62" t="str">
        <f t="shared" si="2974"/>
        <v/>
      </c>
      <c r="R1487" s="62">
        <f t="shared" si="7"/>
        <v>-4461</v>
      </c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</row>
    <row r="1488">
      <c r="A1488" s="60">
        <f>IFERROR(__xludf.DUMMYFUNCTION("""COMPUTED_VALUE"""),16151.0)</f>
        <v>16151</v>
      </c>
      <c r="B1488" s="60" t="str">
        <f>IFERROR(__xludf.DUMMYFUNCTION("""COMPUTED_VALUE"""),"Hooker, Hendon")</f>
        <v>Hooker, Hendon</v>
      </c>
      <c r="C1488" s="60" t="str">
        <f>IFERROR(__xludf.DUMMYFUNCTION("""COMPUTED_VALUE"""),"QB")</f>
        <v>QB</v>
      </c>
      <c r="D1488" s="60" t="str">
        <f>IFERROR(__xludf.DUMMYFUNCTION("""COMPUTED_VALUE"""),"TEN")</f>
        <v>TEN</v>
      </c>
      <c r="E1488" s="62" t="str">
        <f t="shared" si="4"/>
        <v>Hendon Hooker</v>
      </c>
      <c r="F1488" s="62">
        <f t="shared" ref="F1488:G1488" si="2975">IF(isblank(F$1),,IF(isblank($A1488),,IFERROR(vlookup($A1488,indirect("'TVC-"&amp;text(month(F$1),"00")&amp;"'!$A:$D"),4,false),1)))</f>
        <v>389</v>
      </c>
      <c r="G1488" s="62">
        <f t="shared" si="2975"/>
        <v>1</v>
      </c>
      <c r="H1488" s="62">
        <f t="shared" ref="H1488:Q1488" si="2976">IF(isblank(H$1),,IFERROR(vlookup($A1488,indirect("'TVC-"&amp;text(month(H$1),"00")&amp;"'!$A:$D"),4,false),1))</f>
        <v>1</v>
      </c>
      <c r="I1488" s="62">
        <f t="shared" si="2976"/>
        <v>1</v>
      </c>
      <c r="J1488" s="62">
        <f t="shared" si="2976"/>
        <v>1</v>
      </c>
      <c r="K1488" s="62">
        <f t="shared" si="2976"/>
        <v>1</v>
      </c>
      <c r="L1488" s="62">
        <f t="shared" si="2976"/>
        <v>1</v>
      </c>
      <c r="M1488" s="62">
        <f t="shared" si="2976"/>
        <v>1</v>
      </c>
      <c r="N1488" s="62">
        <f t="shared" si="2976"/>
        <v>1</v>
      </c>
      <c r="O1488" s="62">
        <f t="shared" si="2976"/>
        <v>1</v>
      </c>
      <c r="P1488" s="62" t="str">
        <f t="shared" si="2976"/>
        <v/>
      </c>
      <c r="Q1488" s="62" t="str">
        <f t="shared" si="2976"/>
        <v/>
      </c>
      <c r="R1488" s="62">
        <f t="shared" si="7"/>
        <v>0</v>
      </c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</row>
    <row r="1489">
      <c r="A1489" s="60">
        <f>IFERROR(__xludf.DUMMYFUNCTION("""COMPUTED_VALUE"""),16152.0)</f>
        <v>16152</v>
      </c>
      <c r="B1489" s="60" t="str">
        <f>IFERROR(__xludf.DUMMYFUNCTION("""COMPUTED_VALUE"""),"Richardson, Anthony")</f>
        <v>Richardson, Anthony</v>
      </c>
      <c r="C1489" s="60" t="str">
        <f>IFERROR(__xludf.DUMMYFUNCTION("""COMPUTED_VALUE"""),"QB")</f>
        <v>QB</v>
      </c>
      <c r="D1489" s="60" t="str">
        <f>IFERROR(__xludf.DUMMYFUNCTION("""COMPUTED_VALUE"""),"IND")</f>
        <v>IND</v>
      </c>
      <c r="E1489" s="62" t="str">
        <f t="shared" si="4"/>
        <v>Anthony Richardson</v>
      </c>
      <c r="F1489" s="62">
        <f t="shared" ref="F1489:G1489" si="2977">IF(isblank(F$1),,IF(isblank($A1489),,IFERROR(vlookup($A1489,indirect("'TVC-"&amp;text(month(F$1),"00")&amp;"'!$A:$D"),4,false),1)))</f>
        <v>2326</v>
      </c>
      <c r="G1489" s="62">
        <f t="shared" si="2977"/>
        <v>2430</v>
      </c>
      <c r="H1489" s="62">
        <f t="shared" ref="H1489:Q1489" si="2978">IF(isblank(H$1),,IFERROR(vlookup($A1489,indirect("'TVC-"&amp;text(month(H$1),"00")&amp;"'!$A:$D"),4,false),1))</f>
        <v>2585</v>
      </c>
      <c r="I1489" s="62">
        <f t="shared" si="2978"/>
        <v>2510</v>
      </c>
      <c r="J1489" s="62">
        <f t="shared" si="2978"/>
        <v>2363</v>
      </c>
      <c r="K1489" s="62">
        <f t="shared" si="2978"/>
        <v>2283</v>
      </c>
      <c r="L1489" s="62">
        <f t="shared" si="2978"/>
        <v>2204</v>
      </c>
      <c r="M1489" s="62">
        <f t="shared" si="2978"/>
        <v>2173</v>
      </c>
      <c r="N1489" s="62">
        <f t="shared" si="2978"/>
        <v>1875</v>
      </c>
      <c r="O1489" s="62">
        <f t="shared" si="2978"/>
        <v>1</v>
      </c>
      <c r="P1489" s="62" t="str">
        <f t="shared" si="2978"/>
        <v/>
      </c>
      <c r="Q1489" s="62" t="str">
        <f t="shared" si="2978"/>
        <v/>
      </c>
      <c r="R1489" s="62">
        <f t="shared" si="7"/>
        <v>-1874</v>
      </c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</row>
    <row r="1490" hidden="1">
      <c r="A1490" s="60">
        <f>IFERROR(__xludf.DUMMYFUNCTION("""COMPUTED_VALUE"""),16153.0)</f>
        <v>16153</v>
      </c>
      <c r="B1490" s="60" t="str">
        <f>IFERROR(__xludf.DUMMYFUNCTION("""COMPUTED_VALUE"""),"Bennett, Stetson")</f>
        <v>Bennett, Stetson</v>
      </c>
      <c r="C1490" s="60" t="str">
        <f>IFERROR(__xludf.DUMMYFUNCTION("""COMPUTED_VALUE"""),"QB")</f>
        <v>QB</v>
      </c>
      <c r="D1490" s="60" t="str">
        <f>IFERROR(__xludf.DUMMYFUNCTION("""COMPUTED_VALUE"""),"LAR")</f>
        <v>LAR</v>
      </c>
      <c r="E1490" s="62" t="str">
        <f t="shared" si="4"/>
        <v>Stetson Bennett</v>
      </c>
      <c r="F1490" s="62">
        <f t="shared" ref="F1490:G1490" si="2979">IF(isblank(F$1),,IF(isblank($A1490),,IFERROR(vlookup($A1490,indirect("'TVC-"&amp;text(month(F$1),"00")&amp;"'!$A:$D"),4,false),1)))</f>
        <v>429</v>
      </c>
      <c r="G1490" s="62">
        <f t="shared" si="2979"/>
        <v>1</v>
      </c>
      <c r="H1490" s="62">
        <f t="shared" ref="H1490:Q1490" si="2980">IF(isblank(H$1),,IFERROR(vlookup($A1490,indirect("'TVC-"&amp;text(month(H$1),"00")&amp;"'!$A:$D"),4,false),1))</f>
        <v>1</v>
      </c>
      <c r="I1490" s="62">
        <f t="shared" si="2980"/>
        <v>1</v>
      </c>
      <c r="J1490" s="62">
        <f t="shared" si="2980"/>
        <v>1</v>
      </c>
      <c r="K1490" s="62">
        <f t="shared" si="2980"/>
        <v>1</v>
      </c>
      <c r="L1490" s="62">
        <f t="shared" si="2980"/>
        <v>1</v>
      </c>
      <c r="M1490" s="62">
        <f t="shared" si="2980"/>
        <v>1</v>
      </c>
      <c r="N1490" s="62">
        <f t="shared" si="2980"/>
        <v>590</v>
      </c>
      <c r="O1490" s="62">
        <f t="shared" si="2980"/>
        <v>1</v>
      </c>
      <c r="P1490" s="62" t="str">
        <f t="shared" si="2980"/>
        <v/>
      </c>
      <c r="Q1490" s="62" t="str">
        <f t="shared" si="2980"/>
        <v/>
      </c>
      <c r="R1490" s="62">
        <f t="shared" si="7"/>
        <v>-589</v>
      </c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</row>
    <row r="1491">
      <c r="A1491" s="60">
        <f>IFERROR(__xludf.DUMMYFUNCTION("""COMPUTED_VALUE"""),16156.0)</f>
        <v>16156</v>
      </c>
      <c r="B1491" s="60" t="str">
        <f>IFERROR(__xludf.DUMMYFUNCTION("""COMPUTED_VALUE"""),"Haener, Jake")</f>
        <v>Haener, Jake</v>
      </c>
      <c r="C1491" s="60" t="str">
        <f>IFERROR(__xludf.DUMMYFUNCTION("""COMPUTED_VALUE"""),"QB")</f>
        <v>QB</v>
      </c>
      <c r="D1491" s="60" t="str">
        <f>IFERROR(__xludf.DUMMYFUNCTION("""COMPUTED_VALUE"""),"NYG")</f>
        <v>NYG</v>
      </c>
      <c r="E1491" s="62" t="str">
        <f t="shared" si="4"/>
        <v>Jake Haener</v>
      </c>
      <c r="F1491" s="62">
        <f t="shared" ref="F1491:G1491" si="2981">IF(isblank(F$1),,IF(isblank($A1491),,IFERROR(vlookup($A1491,indirect("'TVC-"&amp;text(month(F$1),"00")&amp;"'!$A:$D"),4,false),1)))</f>
        <v>1</v>
      </c>
      <c r="G1491" s="62">
        <f t="shared" si="2981"/>
        <v>1</v>
      </c>
      <c r="H1491" s="62">
        <f t="shared" ref="H1491:Q1491" si="2982">IF(isblank(H$1),,IFERROR(vlookup($A1491,indirect("'TVC-"&amp;text(month(H$1),"00")&amp;"'!$A:$D"),4,false),1))</f>
        <v>1</v>
      </c>
      <c r="I1491" s="62">
        <f t="shared" si="2982"/>
        <v>1</v>
      </c>
      <c r="J1491" s="62">
        <f t="shared" si="2982"/>
        <v>1</v>
      </c>
      <c r="K1491" s="62">
        <f t="shared" si="2982"/>
        <v>1</v>
      </c>
      <c r="L1491" s="62">
        <f t="shared" si="2982"/>
        <v>1</v>
      </c>
      <c r="M1491" s="62">
        <f t="shared" si="2982"/>
        <v>1</v>
      </c>
      <c r="N1491" s="62">
        <f t="shared" si="2982"/>
        <v>1</v>
      </c>
      <c r="O1491" s="62">
        <f t="shared" si="2982"/>
        <v>1</v>
      </c>
      <c r="P1491" s="62" t="str">
        <f t="shared" si="2982"/>
        <v/>
      </c>
      <c r="Q1491" s="62" t="str">
        <f t="shared" si="2982"/>
        <v/>
      </c>
      <c r="R1491" s="62">
        <f t="shared" si="7"/>
        <v>0</v>
      </c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</row>
    <row r="1492" hidden="1">
      <c r="A1492" s="60">
        <f>IFERROR(__xludf.DUMMYFUNCTION("""COMPUTED_VALUE"""),16157.0)</f>
        <v>16157</v>
      </c>
      <c r="B1492" s="60" t="str">
        <f>IFERROR(__xludf.DUMMYFUNCTION("""COMPUTED_VALUE"""),"Cunningham, Malik")</f>
        <v>Cunningham, Malik</v>
      </c>
      <c r="C1492" s="60" t="str">
        <f>IFERROR(__xludf.DUMMYFUNCTION("""COMPUTED_VALUE"""),"WR")</f>
        <v>WR</v>
      </c>
      <c r="D1492" s="60" t="str">
        <f>IFERROR(__xludf.DUMMYFUNCTION("""COMPUTED_VALUE"""),"FA")</f>
        <v>FA</v>
      </c>
      <c r="E1492" s="62" t="str">
        <f t="shared" si="4"/>
        <v>Malik Cunningham</v>
      </c>
      <c r="F1492" s="62">
        <f t="shared" ref="F1492:G1492" si="2983">IF(isblank(F$1),,IF(isblank($A1492),,IFERROR(vlookup($A1492,indirect("'TVC-"&amp;text(month(F$1),"00")&amp;"'!$A:$D"),4,false),1)))</f>
        <v>369</v>
      </c>
      <c r="G1492" s="62">
        <f t="shared" si="2983"/>
        <v>1</v>
      </c>
      <c r="H1492" s="62">
        <f t="shared" ref="H1492:Q1492" si="2984">IF(isblank(H$1),,IFERROR(vlookup($A1492,indirect("'TVC-"&amp;text(month(H$1),"00")&amp;"'!$A:$D"),4,false),1))</f>
        <v>1</v>
      </c>
      <c r="I1492" s="62">
        <f t="shared" si="2984"/>
        <v>1</v>
      </c>
      <c r="J1492" s="62">
        <f t="shared" si="2984"/>
        <v>1</v>
      </c>
      <c r="K1492" s="62">
        <f t="shared" si="2984"/>
        <v>1</v>
      </c>
      <c r="L1492" s="62">
        <f t="shared" si="2984"/>
        <v>1</v>
      </c>
      <c r="M1492" s="62">
        <f t="shared" si="2984"/>
        <v>1</v>
      </c>
      <c r="N1492" s="62">
        <f t="shared" si="2984"/>
        <v>1</v>
      </c>
      <c r="O1492" s="62">
        <f t="shared" si="2984"/>
        <v>1</v>
      </c>
      <c r="P1492" s="62" t="str">
        <f t="shared" si="2984"/>
        <v/>
      </c>
      <c r="Q1492" s="62" t="str">
        <f t="shared" si="2984"/>
        <v/>
      </c>
      <c r="R1492" s="62">
        <f t="shared" si="7"/>
        <v>0</v>
      </c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</row>
    <row r="1493">
      <c r="A1493" s="60">
        <f>IFERROR(__xludf.DUMMYFUNCTION("""COMPUTED_VALUE"""),16159.0)</f>
        <v>16159</v>
      </c>
      <c r="B1493" s="60" t="str">
        <f>IFERROR(__xludf.DUMMYFUNCTION("""COMPUTED_VALUE"""),"O'Connell, Aidan")</f>
        <v>O'Connell, Aidan</v>
      </c>
      <c r="C1493" s="60" t="str">
        <f>IFERROR(__xludf.DUMMYFUNCTION("""COMPUTED_VALUE"""),"QB")</f>
        <v>QB</v>
      </c>
      <c r="D1493" s="60" t="str">
        <f>IFERROR(__xludf.DUMMYFUNCTION("""COMPUTED_VALUE"""),"LVR")</f>
        <v>LVR</v>
      </c>
      <c r="E1493" s="62" t="str">
        <f t="shared" si="4"/>
        <v>Aidan O'Connell</v>
      </c>
      <c r="F1493" s="62">
        <f t="shared" ref="F1493:G1493" si="2985">IF(isblank(F$1),,IF(isblank($A1493),,IFERROR(vlookup($A1493,indirect("'TVC-"&amp;text(month(F$1),"00")&amp;"'!$A:$D"),4,false),1)))</f>
        <v>931</v>
      </c>
      <c r="G1493" s="62">
        <f t="shared" si="2985"/>
        <v>993</v>
      </c>
      <c r="H1493" s="62">
        <f t="shared" ref="H1493:Q1493" si="2986">IF(isblank(H$1),,IFERROR(vlookup($A1493,indirect("'TVC-"&amp;text(month(H$1),"00")&amp;"'!$A:$D"),4,false),1))</f>
        <v>1009</v>
      </c>
      <c r="I1493" s="62">
        <f t="shared" si="2986"/>
        <v>1002</v>
      </c>
      <c r="J1493" s="62">
        <f t="shared" si="2986"/>
        <v>921</v>
      </c>
      <c r="K1493" s="62">
        <f t="shared" si="2986"/>
        <v>566</v>
      </c>
      <c r="L1493" s="62">
        <f t="shared" si="2986"/>
        <v>508</v>
      </c>
      <c r="M1493" s="62">
        <f t="shared" si="2986"/>
        <v>479</v>
      </c>
      <c r="N1493" s="62">
        <f t="shared" si="2986"/>
        <v>1</v>
      </c>
      <c r="O1493" s="62">
        <f t="shared" si="2986"/>
        <v>1</v>
      </c>
      <c r="P1493" s="62" t="str">
        <f t="shared" si="2986"/>
        <v/>
      </c>
      <c r="Q1493" s="62" t="str">
        <f t="shared" si="2986"/>
        <v/>
      </c>
      <c r="R1493" s="62">
        <f t="shared" si="7"/>
        <v>0</v>
      </c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</row>
    <row r="1494">
      <c r="A1494" s="60">
        <f>IFERROR(__xludf.DUMMYFUNCTION("""COMPUTED_VALUE"""),16160.0)</f>
        <v>16160</v>
      </c>
      <c r="B1494" s="60" t="str">
        <f>IFERROR(__xludf.DUMMYFUNCTION("""COMPUTED_VALUE"""),"Tune, Clayton")</f>
        <v>Tune, Clayton</v>
      </c>
      <c r="C1494" s="60" t="str">
        <f>IFERROR(__xludf.DUMMYFUNCTION("""COMPUTED_VALUE"""),"QB")</f>
        <v>QB</v>
      </c>
      <c r="D1494" s="60" t="str">
        <f>IFERROR(__xludf.DUMMYFUNCTION("""COMPUTED_VALUE"""),"FA")</f>
        <v>FA</v>
      </c>
      <c r="E1494" s="62" t="str">
        <f t="shared" si="4"/>
        <v>Clayton Tune</v>
      </c>
      <c r="F1494" s="62">
        <f t="shared" ref="F1494:G1494" si="2987">IF(isblank(F$1),,IF(isblank($A1494),,IFERROR(vlookup($A1494,indirect("'TVC-"&amp;text(month(F$1),"00")&amp;"'!$A:$D"),4,false),1)))</f>
        <v>1</v>
      </c>
      <c r="G1494" s="62">
        <f t="shared" si="2987"/>
        <v>1</v>
      </c>
      <c r="H1494" s="62">
        <f t="shared" ref="H1494:Q1494" si="2988">IF(isblank(H$1),,IFERROR(vlookup($A1494,indirect("'TVC-"&amp;text(month(H$1),"00")&amp;"'!$A:$D"),4,false),1))</f>
        <v>1</v>
      </c>
      <c r="I1494" s="62">
        <f t="shared" si="2988"/>
        <v>1</v>
      </c>
      <c r="J1494" s="62">
        <f t="shared" si="2988"/>
        <v>1</v>
      </c>
      <c r="K1494" s="62">
        <f t="shared" si="2988"/>
        <v>1</v>
      </c>
      <c r="L1494" s="62">
        <f t="shared" si="2988"/>
        <v>1</v>
      </c>
      <c r="M1494" s="62">
        <f t="shared" si="2988"/>
        <v>1</v>
      </c>
      <c r="N1494" s="62">
        <f t="shared" si="2988"/>
        <v>1</v>
      </c>
      <c r="O1494" s="62">
        <f t="shared" si="2988"/>
        <v>1</v>
      </c>
      <c r="P1494" s="62" t="str">
        <f t="shared" si="2988"/>
        <v/>
      </c>
      <c r="Q1494" s="62" t="str">
        <f t="shared" si="2988"/>
        <v/>
      </c>
      <c r="R1494" s="62">
        <f t="shared" si="7"/>
        <v>0</v>
      </c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</row>
    <row r="1495">
      <c r="A1495" s="60">
        <f>IFERROR(__xludf.DUMMYFUNCTION("""COMPUTED_VALUE"""),16161.0)</f>
        <v>16161</v>
      </c>
      <c r="B1495" s="60" t="str">
        <f>IFERROR(__xludf.DUMMYFUNCTION("""COMPUTED_VALUE"""),"Robinson, Bijan")</f>
        <v>Robinson, Bijan</v>
      </c>
      <c r="C1495" s="60" t="str">
        <f>IFERROR(__xludf.DUMMYFUNCTION("""COMPUTED_VALUE"""),"RB")</f>
        <v>RB</v>
      </c>
      <c r="D1495" s="60" t="str">
        <f>IFERROR(__xludf.DUMMYFUNCTION("""COMPUTED_VALUE"""),"ATL")</f>
        <v>ATL</v>
      </c>
      <c r="E1495" s="62" t="str">
        <f t="shared" si="4"/>
        <v>Bijan Robinson</v>
      </c>
      <c r="F1495" s="62">
        <f t="shared" ref="F1495:G1495" si="2989">IF(isblank(F$1),,IF(isblank($A1495),,IFERROR(vlookup($A1495,indirect("'TVC-"&amp;text(month(F$1),"00")&amp;"'!$A:$D"),4,false),1)))</f>
        <v>9775</v>
      </c>
      <c r="G1495" s="62">
        <f t="shared" si="2989"/>
        <v>9986</v>
      </c>
      <c r="H1495" s="62">
        <f t="shared" ref="H1495:Q1495" si="2990">IF(isblank(H$1),,IFERROR(vlookup($A1495,indirect("'TVC-"&amp;text(month(H$1),"00")&amp;"'!$A:$D"),4,false),1))</f>
        <v>9994</v>
      </c>
      <c r="I1495" s="62">
        <f t="shared" si="2990"/>
        <v>9981</v>
      </c>
      <c r="J1495" s="62">
        <f t="shared" si="2990"/>
        <v>9992</v>
      </c>
      <c r="K1495" s="62">
        <f t="shared" si="2990"/>
        <v>9992</v>
      </c>
      <c r="L1495" s="62">
        <f t="shared" si="2990"/>
        <v>9997</v>
      </c>
      <c r="M1495" s="62">
        <f t="shared" si="2990"/>
        <v>9990</v>
      </c>
      <c r="N1495" s="62">
        <f t="shared" si="2990"/>
        <v>9999</v>
      </c>
      <c r="O1495" s="62">
        <f t="shared" si="2990"/>
        <v>1</v>
      </c>
      <c r="P1495" s="62" t="str">
        <f t="shared" si="2990"/>
        <v/>
      </c>
      <c r="Q1495" s="62" t="str">
        <f t="shared" si="2990"/>
        <v/>
      </c>
      <c r="R1495" s="62">
        <f t="shared" si="7"/>
        <v>-9998</v>
      </c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</row>
    <row r="1496">
      <c r="A1496" s="60">
        <f>IFERROR(__xludf.DUMMYFUNCTION("""COMPUTED_VALUE"""),16162.0)</f>
        <v>16162</v>
      </c>
      <c r="B1496" s="60" t="str">
        <f>IFERROR(__xludf.DUMMYFUNCTION("""COMPUTED_VALUE"""),"Gibbs, Jahmyr")</f>
        <v>Gibbs, Jahmyr</v>
      </c>
      <c r="C1496" s="60" t="str">
        <f>IFERROR(__xludf.DUMMYFUNCTION("""COMPUTED_VALUE"""),"RB")</f>
        <v>RB</v>
      </c>
      <c r="D1496" s="60" t="str">
        <f>IFERROR(__xludf.DUMMYFUNCTION("""COMPUTED_VALUE"""),"DET")</f>
        <v>DET</v>
      </c>
      <c r="E1496" s="62" t="str">
        <f t="shared" si="4"/>
        <v>Jahmyr Gibbs</v>
      </c>
      <c r="F1496" s="62">
        <f t="shared" ref="F1496:G1496" si="2991">IF(isblank(F$1),,IF(isblank($A1496),,IFERROR(vlookup($A1496,indirect("'TVC-"&amp;text(month(F$1),"00")&amp;"'!$A:$D"),4,false),1)))</f>
        <v>9522</v>
      </c>
      <c r="G1496" s="62">
        <f t="shared" si="2991"/>
        <v>9419</v>
      </c>
      <c r="H1496" s="62">
        <f t="shared" ref="H1496:Q1496" si="2992">IF(isblank(H$1),,IFERROR(vlookup($A1496,indirect("'TVC-"&amp;text(month(H$1),"00")&amp;"'!$A:$D"),4,false),1))</f>
        <v>9414</v>
      </c>
      <c r="I1496" s="62">
        <f t="shared" si="2992"/>
        <v>9645</v>
      </c>
      <c r="J1496" s="62">
        <f t="shared" si="2992"/>
        <v>9605</v>
      </c>
      <c r="K1496" s="62">
        <f t="shared" si="2992"/>
        <v>9654</v>
      </c>
      <c r="L1496" s="62">
        <f t="shared" si="2992"/>
        <v>9919</v>
      </c>
      <c r="M1496" s="62">
        <f t="shared" si="2992"/>
        <v>9999</v>
      </c>
      <c r="N1496" s="62">
        <f t="shared" si="2992"/>
        <v>9999</v>
      </c>
      <c r="O1496" s="62">
        <f t="shared" si="2992"/>
        <v>1</v>
      </c>
      <c r="P1496" s="62" t="str">
        <f t="shared" si="2992"/>
        <v/>
      </c>
      <c r="Q1496" s="62" t="str">
        <f t="shared" si="2992"/>
        <v/>
      </c>
      <c r="R1496" s="62">
        <f t="shared" si="7"/>
        <v>-9998</v>
      </c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</row>
    <row r="1497">
      <c r="A1497" s="60">
        <f>IFERROR(__xludf.DUMMYFUNCTION("""COMPUTED_VALUE"""),16164.0)</f>
        <v>16164</v>
      </c>
      <c r="B1497" s="60" t="str">
        <f>IFERROR(__xludf.DUMMYFUNCTION("""COMPUTED_VALUE"""),"Bigsby, Tank")</f>
        <v>Bigsby, Tank</v>
      </c>
      <c r="C1497" s="60" t="str">
        <f>IFERROR(__xludf.DUMMYFUNCTION("""COMPUTED_VALUE"""),"RB")</f>
        <v>RB</v>
      </c>
      <c r="D1497" s="60" t="str">
        <f>IFERROR(__xludf.DUMMYFUNCTION("""COMPUTED_VALUE"""),"PHI")</f>
        <v>PHI</v>
      </c>
      <c r="E1497" s="62" t="str">
        <f t="shared" si="4"/>
        <v>Tank Bigsby</v>
      </c>
      <c r="F1497" s="62">
        <f t="shared" ref="F1497:G1497" si="2993">IF(isblank(F$1),,IF(isblank($A1497),,IFERROR(vlookup($A1497,indirect("'TVC-"&amp;text(month(F$1),"00")&amp;"'!$A:$D"),4,false),1)))</f>
        <v>2376</v>
      </c>
      <c r="G1497" s="62">
        <f t="shared" si="2993"/>
        <v>2474</v>
      </c>
      <c r="H1497" s="62">
        <f t="shared" ref="H1497:Q1497" si="2994">IF(isblank(H$1),,IFERROR(vlookup($A1497,indirect("'TVC-"&amp;text(month(H$1),"00")&amp;"'!$A:$D"),4,false),1))</f>
        <v>2523</v>
      </c>
      <c r="I1497" s="62">
        <f t="shared" si="2994"/>
        <v>2529</v>
      </c>
      <c r="J1497" s="62">
        <f t="shared" si="2994"/>
        <v>2489</v>
      </c>
      <c r="K1497" s="62">
        <f t="shared" si="2994"/>
        <v>2434</v>
      </c>
      <c r="L1497" s="62">
        <f t="shared" si="2994"/>
        <v>2475</v>
      </c>
      <c r="M1497" s="62">
        <f t="shared" si="2994"/>
        <v>2598</v>
      </c>
      <c r="N1497" s="62">
        <f t="shared" si="2994"/>
        <v>2577</v>
      </c>
      <c r="O1497" s="62">
        <f t="shared" si="2994"/>
        <v>1</v>
      </c>
      <c r="P1497" s="62" t="str">
        <f t="shared" si="2994"/>
        <v/>
      </c>
      <c r="Q1497" s="62" t="str">
        <f t="shared" si="2994"/>
        <v/>
      </c>
      <c r="R1497" s="62">
        <f t="shared" si="7"/>
        <v>-2576</v>
      </c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</row>
    <row r="1498">
      <c r="A1498" s="60">
        <f>IFERROR(__xludf.DUMMYFUNCTION("""COMPUTED_VALUE"""),16165.0)</f>
        <v>16165</v>
      </c>
      <c r="B1498" s="60" t="str">
        <f>IFERROR(__xludf.DUMMYFUNCTION("""COMPUTED_VALUE"""),"Spears, Tyjae")</f>
        <v>Spears, Tyjae</v>
      </c>
      <c r="C1498" s="60" t="str">
        <f>IFERROR(__xludf.DUMMYFUNCTION("""COMPUTED_VALUE"""),"RB")</f>
        <v>RB</v>
      </c>
      <c r="D1498" s="60" t="str">
        <f>IFERROR(__xludf.DUMMYFUNCTION("""COMPUTED_VALUE"""),"TEN")</f>
        <v>TEN</v>
      </c>
      <c r="E1498" s="62" t="str">
        <f t="shared" si="4"/>
        <v>Tyjae Spears</v>
      </c>
      <c r="F1498" s="62">
        <f t="shared" ref="F1498:G1498" si="2995">IF(isblank(F$1),,IF(isblank($A1498),,IFERROR(vlookup($A1498,indirect("'TVC-"&amp;text(month(F$1),"00")&amp;"'!$A:$D"),4,false),1)))</f>
        <v>2773</v>
      </c>
      <c r="G1498" s="62">
        <f t="shared" si="2995"/>
        <v>2810</v>
      </c>
      <c r="H1498" s="62">
        <f t="shared" ref="H1498:Q1498" si="2996">IF(isblank(H$1),,IFERROR(vlookup($A1498,indirect("'TVC-"&amp;text(month(H$1),"00")&amp;"'!$A:$D"),4,false),1))</f>
        <v>2814</v>
      </c>
      <c r="I1498" s="62">
        <f t="shared" si="2996"/>
        <v>2651</v>
      </c>
      <c r="J1498" s="62">
        <f t="shared" si="2996"/>
        <v>2679</v>
      </c>
      <c r="K1498" s="62">
        <f t="shared" si="2996"/>
        <v>2600</v>
      </c>
      <c r="L1498" s="62">
        <f t="shared" si="2996"/>
        <v>2597</v>
      </c>
      <c r="M1498" s="62">
        <f t="shared" si="2996"/>
        <v>2557</v>
      </c>
      <c r="N1498" s="62">
        <f t="shared" si="2996"/>
        <v>2523</v>
      </c>
      <c r="O1498" s="62">
        <f t="shared" si="2996"/>
        <v>1</v>
      </c>
      <c r="P1498" s="62" t="str">
        <f t="shared" si="2996"/>
        <v/>
      </c>
      <c r="Q1498" s="62" t="str">
        <f t="shared" si="2996"/>
        <v/>
      </c>
      <c r="R1498" s="62">
        <f t="shared" si="7"/>
        <v>-2522</v>
      </c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</row>
    <row r="1499">
      <c r="A1499" s="60">
        <f>IFERROR(__xludf.DUMMYFUNCTION("""COMPUTED_VALUE"""),16166.0)</f>
        <v>16166</v>
      </c>
      <c r="B1499" s="60" t="str">
        <f>IFERROR(__xludf.DUMMYFUNCTION("""COMPUTED_VALUE"""),"Tucker, Sean")</f>
        <v>Tucker, Sean</v>
      </c>
      <c r="C1499" s="60" t="str">
        <f>IFERROR(__xludf.DUMMYFUNCTION("""COMPUTED_VALUE"""),"RB")</f>
        <v>RB</v>
      </c>
      <c r="D1499" s="60" t="str">
        <f>IFERROR(__xludf.DUMMYFUNCTION("""COMPUTED_VALUE"""),"TBB")</f>
        <v>TBB</v>
      </c>
      <c r="E1499" s="62" t="str">
        <f t="shared" si="4"/>
        <v>Sean Tucker</v>
      </c>
      <c r="F1499" s="62">
        <f t="shared" ref="F1499:G1499" si="2997">IF(isblank(F$1),,IF(isblank($A1499),,IFERROR(vlookup($A1499,indirect("'TVC-"&amp;text(month(F$1),"00")&amp;"'!$A:$D"),4,false),1)))</f>
        <v>2594</v>
      </c>
      <c r="G1499" s="62">
        <f t="shared" si="2997"/>
        <v>2537</v>
      </c>
      <c r="H1499" s="62">
        <f t="shared" ref="H1499:Q1499" si="2998">IF(isblank(H$1),,IFERROR(vlookup($A1499,indirect("'TVC-"&amp;text(month(H$1),"00")&amp;"'!$A:$D"),4,false),1))</f>
        <v>2565</v>
      </c>
      <c r="I1499" s="62">
        <f t="shared" si="2998"/>
        <v>2494</v>
      </c>
      <c r="J1499" s="62">
        <f t="shared" si="2998"/>
        <v>2312</v>
      </c>
      <c r="K1499" s="62">
        <f t="shared" si="2998"/>
        <v>2163</v>
      </c>
      <c r="L1499" s="62">
        <f t="shared" si="2998"/>
        <v>2278</v>
      </c>
      <c r="M1499" s="62">
        <f t="shared" si="2998"/>
        <v>2278</v>
      </c>
      <c r="N1499" s="62">
        <f t="shared" si="2998"/>
        <v>2126</v>
      </c>
      <c r="O1499" s="62">
        <f t="shared" si="2998"/>
        <v>1</v>
      </c>
      <c r="P1499" s="62" t="str">
        <f t="shared" si="2998"/>
        <v/>
      </c>
      <c r="Q1499" s="62" t="str">
        <f t="shared" si="2998"/>
        <v/>
      </c>
      <c r="R1499" s="62">
        <f t="shared" si="7"/>
        <v>-2125</v>
      </c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</row>
    <row r="1500">
      <c r="A1500" s="60">
        <f>IFERROR(__xludf.DUMMYFUNCTION("""COMPUTED_VALUE"""),16167.0)</f>
        <v>16167</v>
      </c>
      <c r="B1500" s="60" t="str">
        <f>IFERROR(__xludf.DUMMYFUNCTION("""COMPUTED_VALUE"""),"Achane, De'Von")</f>
        <v>Achane, De'Von</v>
      </c>
      <c r="C1500" s="60" t="str">
        <f>IFERROR(__xludf.DUMMYFUNCTION("""COMPUTED_VALUE"""),"RB")</f>
        <v>RB</v>
      </c>
      <c r="D1500" s="60" t="str">
        <f>IFERROR(__xludf.DUMMYFUNCTION("""COMPUTED_VALUE"""),"MIA")</f>
        <v>MIA</v>
      </c>
      <c r="E1500" s="62" t="str">
        <f t="shared" si="4"/>
        <v>De'Von Achane</v>
      </c>
      <c r="F1500" s="62">
        <f t="shared" ref="F1500:G1500" si="2999">IF(isblank(F$1),,IF(isblank($A1500),,IFERROR(vlookup($A1500,indirect("'TVC-"&amp;text(month(F$1),"00")&amp;"'!$A:$D"),4,false),1)))</f>
        <v>7172</v>
      </c>
      <c r="G1500" s="62">
        <f t="shared" si="2999"/>
        <v>7103</v>
      </c>
      <c r="H1500" s="62">
        <f t="shared" ref="H1500:Q1500" si="3000">IF(isblank(H$1),,IFERROR(vlookup($A1500,indirect("'TVC-"&amp;text(month(H$1),"00")&amp;"'!$A:$D"),4,false),1))</f>
        <v>7035</v>
      </c>
      <c r="I1500" s="62">
        <f t="shared" si="3000"/>
        <v>6838</v>
      </c>
      <c r="J1500" s="62">
        <f t="shared" si="3000"/>
        <v>6862</v>
      </c>
      <c r="K1500" s="62">
        <f t="shared" si="3000"/>
        <v>6914</v>
      </c>
      <c r="L1500" s="62">
        <f t="shared" si="3000"/>
        <v>6836</v>
      </c>
      <c r="M1500" s="62">
        <f t="shared" si="3000"/>
        <v>6823</v>
      </c>
      <c r="N1500" s="62">
        <f t="shared" si="3000"/>
        <v>6948</v>
      </c>
      <c r="O1500" s="62">
        <f t="shared" si="3000"/>
        <v>1</v>
      </c>
      <c r="P1500" s="62" t="str">
        <f t="shared" si="3000"/>
        <v/>
      </c>
      <c r="Q1500" s="62" t="str">
        <f t="shared" si="3000"/>
        <v/>
      </c>
      <c r="R1500" s="62">
        <f t="shared" si="7"/>
        <v>-6947</v>
      </c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</row>
    <row r="1501">
      <c r="A1501" s="60">
        <f>IFERROR(__xludf.DUMMYFUNCTION("""COMPUTED_VALUE"""),16168.0)</f>
        <v>16168</v>
      </c>
      <c r="B1501" s="60" t="str">
        <f>IFERROR(__xludf.DUMMYFUNCTION("""COMPUTED_VALUE"""),"Abanikanda, Israel")</f>
        <v>Abanikanda, Israel</v>
      </c>
      <c r="C1501" s="60" t="str">
        <f>IFERROR(__xludf.DUMMYFUNCTION("""COMPUTED_VALUE"""),"RB")</f>
        <v>RB</v>
      </c>
      <c r="D1501" s="60" t="str">
        <f>IFERROR(__xludf.DUMMYFUNCTION("""COMPUTED_VALUE"""),"DAL")</f>
        <v>DAL</v>
      </c>
      <c r="E1501" s="62" t="str">
        <f t="shared" si="4"/>
        <v>Israel Abanikanda</v>
      </c>
      <c r="F1501" s="62">
        <f t="shared" ref="F1501:G1501" si="3001">IF(isblank(F$1),,IF(isblank($A1501),,IFERROR(vlookup($A1501,indirect("'TVC-"&amp;text(month(F$1),"00")&amp;"'!$A:$D"),4,false),1)))</f>
        <v>955</v>
      </c>
      <c r="G1501" s="62">
        <f t="shared" si="3001"/>
        <v>1000</v>
      </c>
      <c r="H1501" s="62">
        <f t="shared" ref="H1501:Q1501" si="3002">IF(isblank(H$1),,IFERROR(vlookup($A1501,indirect("'TVC-"&amp;text(month(H$1),"00")&amp;"'!$A:$D"),4,false),1))</f>
        <v>988</v>
      </c>
      <c r="I1501" s="62">
        <f t="shared" si="3002"/>
        <v>1000</v>
      </c>
      <c r="J1501" s="62">
        <f t="shared" si="3002"/>
        <v>1046</v>
      </c>
      <c r="K1501" s="62">
        <f t="shared" si="3002"/>
        <v>1011</v>
      </c>
      <c r="L1501" s="62">
        <f t="shared" si="3002"/>
        <v>997</v>
      </c>
      <c r="M1501" s="62">
        <f t="shared" si="3002"/>
        <v>1021</v>
      </c>
      <c r="N1501" s="62">
        <f t="shared" si="3002"/>
        <v>961</v>
      </c>
      <c r="O1501" s="62">
        <f t="shared" si="3002"/>
        <v>1</v>
      </c>
      <c r="P1501" s="62" t="str">
        <f t="shared" si="3002"/>
        <v/>
      </c>
      <c r="Q1501" s="62" t="str">
        <f t="shared" si="3002"/>
        <v/>
      </c>
      <c r="R1501" s="62">
        <f t="shared" si="7"/>
        <v>-960</v>
      </c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</row>
    <row r="1502">
      <c r="A1502" s="60">
        <f>IFERROR(__xludf.DUMMYFUNCTION("""COMPUTED_VALUE"""),16169.0)</f>
        <v>16169</v>
      </c>
      <c r="B1502" s="60" t="str">
        <f>IFERROR(__xludf.DUMMYFUNCTION("""COMPUTED_VALUE"""),"Charbonnet, Zach")</f>
        <v>Charbonnet, Zach</v>
      </c>
      <c r="C1502" s="60" t="str">
        <f>IFERROR(__xludf.DUMMYFUNCTION("""COMPUTED_VALUE"""),"RB")</f>
        <v>RB</v>
      </c>
      <c r="D1502" s="60" t="str">
        <f>IFERROR(__xludf.DUMMYFUNCTION("""COMPUTED_VALUE"""),"SEA")</f>
        <v>SEA</v>
      </c>
      <c r="E1502" s="62" t="str">
        <f t="shared" si="4"/>
        <v>Zach Charbonnet</v>
      </c>
      <c r="F1502" s="62">
        <f t="shared" ref="F1502:G1502" si="3003">IF(isblank(F$1),,IF(isblank($A1502),,IFERROR(vlookup($A1502,indirect("'TVC-"&amp;text(month(F$1),"00")&amp;"'!$A:$D"),4,false),1)))</f>
        <v>3569</v>
      </c>
      <c r="G1502" s="62">
        <f t="shared" si="3003"/>
        <v>3576</v>
      </c>
      <c r="H1502" s="62">
        <f t="shared" ref="H1502:Q1502" si="3004">IF(isblank(H$1),,IFERROR(vlookup($A1502,indirect("'TVC-"&amp;text(month(H$1),"00")&amp;"'!$A:$D"),4,false),1))</f>
        <v>3545</v>
      </c>
      <c r="I1502" s="62">
        <f t="shared" si="3004"/>
        <v>3725</v>
      </c>
      <c r="J1502" s="62">
        <f t="shared" si="3004"/>
        <v>3361</v>
      </c>
      <c r="K1502" s="62">
        <f t="shared" si="3004"/>
        <v>3375</v>
      </c>
      <c r="L1502" s="62">
        <f t="shared" si="3004"/>
        <v>3362</v>
      </c>
      <c r="M1502" s="62">
        <f t="shared" si="3004"/>
        <v>3371</v>
      </c>
      <c r="N1502" s="62">
        <f t="shared" si="3004"/>
        <v>3231</v>
      </c>
      <c r="O1502" s="62">
        <f t="shared" si="3004"/>
        <v>1</v>
      </c>
      <c r="P1502" s="62" t="str">
        <f t="shared" si="3004"/>
        <v/>
      </c>
      <c r="Q1502" s="62" t="str">
        <f t="shared" si="3004"/>
        <v/>
      </c>
      <c r="R1502" s="62">
        <f t="shared" si="7"/>
        <v>-3230</v>
      </c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</row>
    <row r="1503">
      <c r="A1503" s="60">
        <f>IFERROR(__xludf.DUMMYFUNCTION("""COMPUTED_VALUE"""),16170.0)</f>
        <v>16170</v>
      </c>
      <c r="B1503" s="60" t="str">
        <f>IFERROR(__xludf.DUMMYFUNCTION("""COMPUTED_VALUE"""),"McIntosh, Kenny")</f>
        <v>McIntosh, Kenny</v>
      </c>
      <c r="C1503" s="60" t="str">
        <f>IFERROR(__xludf.DUMMYFUNCTION("""COMPUTED_VALUE"""),"RB")</f>
        <v>RB</v>
      </c>
      <c r="D1503" s="60" t="str">
        <f>IFERROR(__xludf.DUMMYFUNCTION("""COMPUTED_VALUE"""),"FA")</f>
        <v>FA</v>
      </c>
      <c r="E1503" s="62" t="str">
        <f t="shared" si="4"/>
        <v>Kenny McIntosh</v>
      </c>
      <c r="F1503" s="62">
        <f t="shared" ref="F1503:G1503" si="3005">IF(isblank(F$1),,IF(isblank($A1503),,IFERROR(vlookup($A1503,indirect("'TVC-"&amp;text(month(F$1),"00")&amp;"'!$A:$D"),4,false),1)))</f>
        <v>727</v>
      </c>
      <c r="G1503" s="62">
        <f t="shared" si="3005"/>
        <v>725</v>
      </c>
      <c r="H1503" s="62">
        <f t="shared" ref="H1503:Q1503" si="3006">IF(isblank(H$1),,IFERROR(vlookup($A1503,indirect("'TVC-"&amp;text(month(H$1),"00")&amp;"'!$A:$D"),4,false),1))</f>
        <v>719</v>
      </c>
      <c r="I1503" s="62">
        <f t="shared" si="3006"/>
        <v>817</v>
      </c>
      <c r="J1503" s="62">
        <f t="shared" si="3006"/>
        <v>1009</v>
      </c>
      <c r="K1503" s="62">
        <f t="shared" si="3006"/>
        <v>997</v>
      </c>
      <c r="L1503" s="62">
        <f t="shared" si="3006"/>
        <v>1021</v>
      </c>
      <c r="M1503" s="62">
        <f t="shared" si="3006"/>
        <v>980</v>
      </c>
      <c r="N1503" s="62">
        <f t="shared" si="3006"/>
        <v>1</v>
      </c>
      <c r="O1503" s="62">
        <f t="shared" si="3006"/>
        <v>1</v>
      </c>
      <c r="P1503" s="62" t="str">
        <f t="shared" si="3006"/>
        <v/>
      </c>
      <c r="Q1503" s="62" t="str">
        <f t="shared" si="3006"/>
        <v/>
      </c>
      <c r="R1503" s="62">
        <f t="shared" si="7"/>
        <v>0</v>
      </c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</row>
    <row r="1504">
      <c r="A1504" s="60">
        <f>IFERROR(__xludf.DUMMYFUNCTION("""COMPUTED_VALUE"""),16171.0)</f>
        <v>16171</v>
      </c>
      <c r="B1504" s="60" t="str">
        <f>IFERROR(__xludf.DUMMYFUNCTION("""COMPUTED_VALUE"""),"Miller, Kendre")</f>
        <v>Miller, Kendre</v>
      </c>
      <c r="C1504" s="60" t="str">
        <f>IFERROR(__xludf.DUMMYFUNCTION("""COMPUTED_VALUE"""),"RB")</f>
        <v>RB</v>
      </c>
      <c r="D1504" s="60" t="str">
        <f>IFERROR(__xludf.DUMMYFUNCTION("""COMPUTED_VALUE"""),"NOS")</f>
        <v>NOS</v>
      </c>
      <c r="E1504" s="62" t="str">
        <f t="shared" si="4"/>
        <v>Kendre Miller</v>
      </c>
      <c r="F1504" s="62">
        <f t="shared" ref="F1504:G1504" si="3007">IF(isblank(F$1),,IF(isblank($A1504),,IFERROR(vlookup($A1504,indirect("'TVC-"&amp;text(month(F$1),"00")&amp;"'!$A:$D"),4,false),1)))</f>
        <v>2230</v>
      </c>
      <c r="G1504" s="62">
        <f t="shared" si="3007"/>
        <v>2282</v>
      </c>
      <c r="H1504" s="62">
        <f t="shared" ref="H1504:Q1504" si="3008">IF(isblank(H$1),,IFERROR(vlookup($A1504,indirect("'TVC-"&amp;text(month(H$1),"00")&amp;"'!$A:$D"),4,false),1))</f>
        <v>2255</v>
      </c>
      <c r="I1504" s="62">
        <f t="shared" si="3008"/>
        <v>1991</v>
      </c>
      <c r="J1504" s="62">
        <f t="shared" si="3008"/>
        <v>1957</v>
      </c>
      <c r="K1504" s="62">
        <f t="shared" si="3008"/>
        <v>1853</v>
      </c>
      <c r="L1504" s="62">
        <f t="shared" si="3008"/>
        <v>1777</v>
      </c>
      <c r="M1504" s="62">
        <f t="shared" si="3008"/>
        <v>1683</v>
      </c>
      <c r="N1504" s="62">
        <f t="shared" si="3008"/>
        <v>1727</v>
      </c>
      <c r="O1504" s="62">
        <f t="shared" si="3008"/>
        <v>1</v>
      </c>
      <c r="P1504" s="62" t="str">
        <f t="shared" si="3008"/>
        <v/>
      </c>
      <c r="Q1504" s="62" t="str">
        <f t="shared" si="3008"/>
        <v/>
      </c>
      <c r="R1504" s="62">
        <f t="shared" si="7"/>
        <v>-1726</v>
      </c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</row>
    <row r="1505">
      <c r="A1505" s="60">
        <f>IFERROR(__xludf.DUMMYFUNCTION("""COMPUTED_VALUE"""),16173.0)</f>
        <v>16173</v>
      </c>
      <c r="B1505" s="60" t="str">
        <f>IFERROR(__xludf.DUMMYFUNCTION("""COMPUTED_VALUE"""),"Gray, Eric")</f>
        <v>Gray, Eric</v>
      </c>
      <c r="C1505" s="60" t="str">
        <f>IFERROR(__xludf.DUMMYFUNCTION("""COMPUTED_VALUE"""),"RB")</f>
        <v>RB</v>
      </c>
      <c r="D1505" s="60" t="str">
        <f>IFERROR(__xludf.DUMMYFUNCTION("""COMPUTED_VALUE"""),"CLE")</f>
        <v>CLE</v>
      </c>
      <c r="E1505" s="62" t="str">
        <f t="shared" si="4"/>
        <v>Eric Gray</v>
      </c>
      <c r="F1505" s="62">
        <f t="shared" ref="F1505:G1505" si="3009">IF(isblank(F$1),,IF(isblank($A1505),,IFERROR(vlookup($A1505,indirect("'TVC-"&amp;text(month(F$1),"00")&amp;"'!$A:$D"),4,false),1)))</f>
        <v>380</v>
      </c>
      <c r="G1505" s="62">
        <f t="shared" si="3009"/>
        <v>1</v>
      </c>
      <c r="H1505" s="62">
        <f t="shared" ref="H1505:Q1505" si="3010">IF(isblank(H$1),,IFERROR(vlookup($A1505,indirect("'TVC-"&amp;text(month(H$1),"00")&amp;"'!$A:$D"),4,false),1))</f>
        <v>1</v>
      </c>
      <c r="I1505" s="62">
        <f t="shared" si="3010"/>
        <v>1</v>
      </c>
      <c r="J1505" s="62">
        <f t="shared" si="3010"/>
        <v>1</v>
      </c>
      <c r="K1505" s="62">
        <f t="shared" si="3010"/>
        <v>1</v>
      </c>
      <c r="L1505" s="62">
        <f t="shared" si="3010"/>
        <v>1</v>
      </c>
      <c r="M1505" s="62">
        <f t="shared" si="3010"/>
        <v>1</v>
      </c>
      <c r="N1505" s="62">
        <f t="shared" si="3010"/>
        <v>1</v>
      </c>
      <c r="O1505" s="62">
        <f t="shared" si="3010"/>
        <v>1</v>
      </c>
      <c r="P1505" s="62" t="str">
        <f t="shared" si="3010"/>
        <v/>
      </c>
      <c r="Q1505" s="62" t="str">
        <f t="shared" si="3010"/>
        <v/>
      </c>
      <c r="R1505" s="62">
        <f t="shared" si="7"/>
        <v>0</v>
      </c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</row>
    <row r="1506">
      <c r="A1506" s="60">
        <f>IFERROR(__xludf.DUMMYFUNCTION("""COMPUTED_VALUE"""),16174.0)</f>
        <v>16174</v>
      </c>
      <c r="B1506" s="60" t="str">
        <f>IFERROR(__xludf.DUMMYFUNCTION("""COMPUTED_VALUE"""),"Rodriguez, Chris")</f>
        <v>Rodriguez, Chris</v>
      </c>
      <c r="C1506" s="60" t="str">
        <f>IFERROR(__xludf.DUMMYFUNCTION("""COMPUTED_VALUE"""),"RB")</f>
        <v>RB</v>
      </c>
      <c r="D1506" s="60" t="str">
        <f>IFERROR(__xludf.DUMMYFUNCTION("""COMPUTED_VALUE"""),"JAC")</f>
        <v>JAC</v>
      </c>
      <c r="E1506" s="62" t="str">
        <f t="shared" si="4"/>
        <v>Chris Rodriguez</v>
      </c>
      <c r="F1506" s="62">
        <f t="shared" ref="F1506:G1506" si="3011">IF(isblank(F$1),,IF(isblank($A1506),,IFERROR(vlookup($A1506,indirect("'TVC-"&amp;text(month(F$1),"00")&amp;"'!$A:$D"),4,false),1)))</f>
        <v>2200</v>
      </c>
      <c r="G1506" s="62">
        <f t="shared" si="3011"/>
        <v>2081</v>
      </c>
      <c r="H1506" s="62">
        <f t="shared" ref="H1506:Q1506" si="3012">IF(isblank(H$1),,IFERROR(vlookup($A1506,indirect("'TVC-"&amp;text(month(H$1),"00")&amp;"'!$A:$D"),4,false),1))</f>
        <v>2063</v>
      </c>
      <c r="I1506" s="62">
        <f t="shared" si="3012"/>
        <v>2278</v>
      </c>
      <c r="J1506" s="62">
        <f t="shared" si="3012"/>
        <v>2483</v>
      </c>
      <c r="K1506" s="62">
        <f t="shared" si="3012"/>
        <v>2595</v>
      </c>
      <c r="L1506" s="62">
        <f t="shared" si="3012"/>
        <v>2638</v>
      </c>
      <c r="M1506" s="62">
        <f t="shared" si="3012"/>
        <v>2640</v>
      </c>
      <c r="N1506" s="62">
        <f t="shared" si="3012"/>
        <v>2624</v>
      </c>
      <c r="O1506" s="62">
        <f t="shared" si="3012"/>
        <v>1</v>
      </c>
      <c r="P1506" s="62" t="str">
        <f t="shared" si="3012"/>
        <v/>
      </c>
      <c r="Q1506" s="62" t="str">
        <f t="shared" si="3012"/>
        <v/>
      </c>
      <c r="R1506" s="62">
        <f t="shared" si="7"/>
        <v>-2623</v>
      </c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</row>
    <row r="1507" hidden="1">
      <c r="A1507" s="60">
        <f>IFERROR(__xludf.DUMMYFUNCTION("""COMPUTED_VALUE"""),16175.0)</f>
        <v>16175</v>
      </c>
      <c r="B1507" s="60" t="str">
        <f>IFERROR(__xludf.DUMMYFUNCTION("""COMPUTED_VALUE"""),"Johnson, Roschon")</f>
        <v>Johnson, Roschon</v>
      </c>
      <c r="C1507" s="60" t="str">
        <f>IFERROR(__xludf.DUMMYFUNCTION("""COMPUTED_VALUE"""),"RB")</f>
        <v>RB</v>
      </c>
      <c r="D1507" s="60" t="str">
        <f>IFERROR(__xludf.DUMMYFUNCTION("""COMPUTED_VALUE"""),"CHI")</f>
        <v>CHI</v>
      </c>
      <c r="E1507" s="62" t="str">
        <f t="shared" si="4"/>
        <v>Roschon Johnson</v>
      </c>
      <c r="F1507" s="62">
        <f t="shared" ref="F1507:G1507" si="3013">IF(isblank(F$1),,IF(isblank($A1507),,IFERROR(vlookup($A1507,indirect("'TVC-"&amp;text(month(F$1),"00")&amp;"'!$A:$D"),4,false),1)))</f>
        <v>1295</v>
      </c>
      <c r="G1507" s="62">
        <f t="shared" si="3013"/>
        <v>1263</v>
      </c>
      <c r="H1507" s="62">
        <f t="shared" ref="H1507:Q1507" si="3014">IF(isblank(H$1),,IFERROR(vlookup($A1507,indirect("'TVC-"&amp;text(month(H$1),"00")&amp;"'!$A:$D"),4,false),1))</f>
        <v>1284</v>
      </c>
      <c r="I1507" s="62">
        <f t="shared" si="3014"/>
        <v>1489</v>
      </c>
      <c r="J1507" s="62">
        <f t="shared" si="3014"/>
        <v>1585</v>
      </c>
      <c r="K1507" s="62">
        <f t="shared" si="3014"/>
        <v>1513</v>
      </c>
      <c r="L1507" s="62">
        <f t="shared" si="3014"/>
        <v>1486</v>
      </c>
      <c r="M1507" s="62">
        <f t="shared" si="3014"/>
        <v>1377</v>
      </c>
      <c r="N1507" s="62">
        <f t="shared" si="3014"/>
        <v>1447</v>
      </c>
      <c r="O1507" s="62">
        <f t="shared" si="3014"/>
        <v>1</v>
      </c>
      <c r="P1507" s="62" t="str">
        <f t="shared" si="3014"/>
        <v/>
      </c>
      <c r="Q1507" s="62" t="str">
        <f t="shared" si="3014"/>
        <v/>
      </c>
      <c r="R1507" s="62">
        <f t="shared" si="7"/>
        <v>-1446</v>
      </c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</row>
    <row r="1508">
      <c r="A1508" s="60">
        <f>IFERROR(__xludf.DUMMYFUNCTION("""COMPUTED_VALUE"""),16176.0)</f>
        <v>16176</v>
      </c>
      <c r="B1508" s="60" t="str">
        <f>IFERROR(__xludf.DUMMYFUNCTION("""COMPUTED_VALUE"""),"Vaughn, Deuce")</f>
        <v>Vaughn, Deuce</v>
      </c>
      <c r="C1508" s="60" t="str">
        <f>IFERROR(__xludf.DUMMYFUNCTION("""COMPUTED_VALUE"""),"RB")</f>
        <v>RB</v>
      </c>
      <c r="D1508" s="60" t="str">
        <f>IFERROR(__xludf.DUMMYFUNCTION("""COMPUTED_VALUE"""),"HOU")</f>
        <v>HOU</v>
      </c>
      <c r="E1508" s="62" t="str">
        <f t="shared" si="4"/>
        <v>Deuce Vaughn</v>
      </c>
      <c r="F1508" s="62">
        <f t="shared" ref="F1508:G1508" si="3015">IF(isblank(F$1),,IF(isblank($A1508),,IFERROR(vlookup($A1508,indirect("'TVC-"&amp;text(month(F$1),"00")&amp;"'!$A:$D"),4,false),1)))</f>
        <v>938</v>
      </c>
      <c r="G1508" s="62">
        <f t="shared" si="3015"/>
        <v>907</v>
      </c>
      <c r="H1508" s="62">
        <f t="shared" ref="H1508:Q1508" si="3016">IF(isblank(H$1),,IFERROR(vlookup($A1508,indirect("'TVC-"&amp;text(month(H$1),"00")&amp;"'!$A:$D"),4,false),1))</f>
        <v>919</v>
      </c>
      <c r="I1508" s="62">
        <f t="shared" si="3016"/>
        <v>970</v>
      </c>
      <c r="J1508" s="62">
        <f t="shared" si="3016"/>
        <v>967</v>
      </c>
      <c r="K1508" s="62">
        <f t="shared" si="3016"/>
        <v>747</v>
      </c>
      <c r="L1508" s="62">
        <f t="shared" si="3016"/>
        <v>1</v>
      </c>
      <c r="M1508" s="62">
        <f t="shared" si="3016"/>
        <v>482</v>
      </c>
      <c r="N1508" s="62">
        <f t="shared" si="3016"/>
        <v>1</v>
      </c>
      <c r="O1508" s="62">
        <f t="shared" si="3016"/>
        <v>1</v>
      </c>
      <c r="P1508" s="62" t="str">
        <f t="shared" si="3016"/>
        <v/>
      </c>
      <c r="Q1508" s="62" t="str">
        <f t="shared" si="3016"/>
        <v/>
      </c>
      <c r="R1508" s="62">
        <f t="shared" si="7"/>
        <v>0</v>
      </c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</row>
    <row r="1509">
      <c r="A1509" s="60">
        <f>IFERROR(__xludf.DUMMYFUNCTION("""COMPUTED_VALUE"""),16178.0)</f>
        <v>16178</v>
      </c>
      <c r="B1509" s="60" t="str">
        <f>IFERROR(__xludf.DUMMYFUNCTION("""COMPUTED_VALUE"""),"Mitchell, Keaton")</f>
        <v>Mitchell, Keaton</v>
      </c>
      <c r="C1509" s="60" t="str">
        <f>IFERROR(__xludf.DUMMYFUNCTION("""COMPUTED_VALUE"""),"RB")</f>
        <v>RB</v>
      </c>
      <c r="D1509" s="60" t="str">
        <f>IFERROR(__xludf.DUMMYFUNCTION("""COMPUTED_VALUE"""),"LAC")</f>
        <v>LAC</v>
      </c>
      <c r="E1509" s="62" t="str">
        <f t="shared" si="4"/>
        <v>Keaton Mitchell</v>
      </c>
      <c r="F1509" s="62">
        <f t="shared" ref="F1509:G1509" si="3017">IF(isblank(F$1),,IF(isblank($A1509),,IFERROR(vlookup($A1509,indirect("'TVC-"&amp;text(month(F$1),"00")&amp;"'!$A:$D"),4,false),1)))</f>
        <v>2372</v>
      </c>
      <c r="G1509" s="62">
        <f t="shared" si="3017"/>
        <v>2339</v>
      </c>
      <c r="H1509" s="62">
        <f t="shared" ref="H1509:Q1509" si="3018">IF(isblank(H$1),,IFERROR(vlookup($A1509,indirect("'TVC-"&amp;text(month(H$1),"00")&amp;"'!$A:$D"),4,false),1))</f>
        <v>2347</v>
      </c>
      <c r="I1509" s="62">
        <f t="shared" si="3018"/>
        <v>2535</v>
      </c>
      <c r="J1509" s="62">
        <f t="shared" si="3018"/>
        <v>2463</v>
      </c>
      <c r="K1509" s="62">
        <f t="shared" si="3018"/>
        <v>2406</v>
      </c>
      <c r="L1509" s="62">
        <f t="shared" si="3018"/>
        <v>2502</v>
      </c>
      <c r="M1509" s="62">
        <f t="shared" si="3018"/>
        <v>2590</v>
      </c>
      <c r="N1509" s="62">
        <f t="shared" si="3018"/>
        <v>2615</v>
      </c>
      <c r="O1509" s="62">
        <f t="shared" si="3018"/>
        <v>1</v>
      </c>
      <c r="P1509" s="62" t="str">
        <f t="shared" si="3018"/>
        <v/>
      </c>
      <c r="Q1509" s="62" t="str">
        <f t="shared" si="3018"/>
        <v/>
      </c>
      <c r="R1509" s="62">
        <f t="shared" si="7"/>
        <v>-2614</v>
      </c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</row>
    <row r="1510">
      <c r="A1510" s="60">
        <f>IFERROR(__xludf.DUMMYFUNCTION("""COMPUTED_VALUE"""),16180.0)</f>
        <v>16180</v>
      </c>
      <c r="B1510" s="60" t="str">
        <f>IFERROR(__xludf.DUMMYFUNCTION("""COMPUTED_VALUE"""),"Hull, Evan")</f>
        <v>Hull, Evan</v>
      </c>
      <c r="C1510" s="60" t="str">
        <f>IFERROR(__xludf.DUMMYFUNCTION("""COMPUTED_VALUE"""),"RB")</f>
        <v>RB</v>
      </c>
      <c r="D1510" s="60" t="str">
        <f>IFERROR(__xludf.DUMMYFUNCTION("""COMPUTED_VALUE"""),"ARI")</f>
        <v>ARI</v>
      </c>
      <c r="E1510" s="62" t="str">
        <f t="shared" si="4"/>
        <v>Evan Hull</v>
      </c>
      <c r="F1510" s="62">
        <f t="shared" ref="F1510:G1510" si="3019">IF(isblank(F$1),,IF(isblank($A1510),,IFERROR(vlookup($A1510,indirect("'TVC-"&amp;text(month(F$1),"00")&amp;"'!$A:$D"),4,false),1)))</f>
        <v>1</v>
      </c>
      <c r="G1510" s="62">
        <f t="shared" si="3019"/>
        <v>1</v>
      </c>
      <c r="H1510" s="62">
        <f t="shared" ref="H1510:Q1510" si="3020">IF(isblank(H$1),,IFERROR(vlookup($A1510,indirect("'TVC-"&amp;text(month(H$1),"00")&amp;"'!$A:$D"),4,false),1))</f>
        <v>1</v>
      </c>
      <c r="I1510" s="62">
        <f t="shared" si="3020"/>
        <v>1</v>
      </c>
      <c r="J1510" s="62">
        <f t="shared" si="3020"/>
        <v>1</v>
      </c>
      <c r="K1510" s="62">
        <f t="shared" si="3020"/>
        <v>1</v>
      </c>
      <c r="L1510" s="62">
        <f t="shared" si="3020"/>
        <v>1</v>
      </c>
      <c r="M1510" s="62">
        <f t="shared" si="3020"/>
        <v>1</v>
      </c>
      <c r="N1510" s="62">
        <f t="shared" si="3020"/>
        <v>1</v>
      </c>
      <c r="O1510" s="62">
        <f t="shared" si="3020"/>
        <v>1</v>
      </c>
      <c r="P1510" s="62" t="str">
        <f t="shared" si="3020"/>
        <v/>
      </c>
      <c r="Q1510" s="62" t="str">
        <f t="shared" si="3020"/>
        <v/>
      </c>
      <c r="R1510" s="62">
        <f t="shared" si="7"/>
        <v>0</v>
      </c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</row>
    <row r="1511" hidden="1">
      <c r="A1511" s="60">
        <f>IFERROR(__xludf.DUMMYFUNCTION("""COMPUTED_VALUE"""),16181.0)</f>
        <v>16181</v>
      </c>
      <c r="B1511" s="60" t="str">
        <f>IFERROR(__xludf.DUMMYFUNCTION("""COMPUTED_VALUE"""),"Brown, Chase")</f>
        <v>Brown, Chase</v>
      </c>
      <c r="C1511" s="60" t="str">
        <f>IFERROR(__xludf.DUMMYFUNCTION("""COMPUTED_VALUE"""),"RB")</f>
        <v>RB</v>
      </c>
      <c r="D1511" s="60" t="str">
        <f>IFERROR(__xludf.DUMMYFUNCTION("""COMPUTED_VALUE"""),"CIN")</f>
        <v>CIN</v>
      </c>
      <c r="E1511" s="62" t="str">
        <f t="shared" si="4"/>
        <v>Chase Brown</v>
      </c>
      <c r="F1511" s="62">
        <f t="shared" ref="F1511:G1511" si="3021">IF(isblank(F$1),,IF(isblank($A1511),,IFERROR(vlookup($A1511,indirect("'TVC-"&amp;text(month(F$1),"00")&amp;"'!$A:$D"),4,false),1)))</f>
        <v>4811</v>
      </c>
      <c r="G1511" s="62">
        <f t="shared" si="3021"/>
        <v>4870</v>
      </c>
      <c r="H1511" s="62">
        <f t="shared" ref="H1511:Q1511" si="3022">IF(isblank(H$1),,IFERROR(vlookup($A1511,indirect("'TVC-"&amp;text(month(H$1),"00")&amp;"'!$A:$D"),4,false),1))</f>
        <v>4935</v>
      </c>
      <c r="I1511" s="62">
        <f t="shared" si="3022"/>
        <v>4962</v>
      </c>
      <c r="J1511" s="62">
        <f t="shared" si="3022"/>
        <v>4892</v>
      </c>
      <c r="K1511" s="62">
        <f t="shared" si="3022"/>
        <v>4982</v>
      </c>
      <c r="L1511" s="62">
        <f t="shared" si="3022"/>
        <v>5125</v>
      </c>
      <c r="M1511" s="62">
        <f t="shared" si="3022"/>
        <v>5270</v>
      </c>
      <c r="N1511" s="62">
        <f t="shared" si="3022"/>
        <v>5745</v>
      </c>
      <c r="O1511" s="62">
        <f t="shared" si="3022"/>
        <v>1</v>
      </c>
      <c r="P1511" s="62" t="str">
        <f t="shared" si="3022"/>
        <v/>
      </c>
      <c r="Q1511" s="62" t="str">
        <f t="shared" si="3022"/>
        <v/>
      </c>
      <c r="R1511" s="62">
        <f t="shared" si="7"/>
        <v>-5744</v>
      </c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</row>
    <row r="1512" hidden="1">
      <c r="A1512" s="60">
        <f>IFERROR(__xludf.DUMMYFUNCTION("""COMPUTED_VALUE"""),16183.0)</f>
        <v>16183</v>
      </c>
      <c r="B1512" s="60" t="str">
        <f>IFERROR(__xludf.DUMMYFUNCTION("""COMPUTED_VALUE"""),"Hyatt, Jalin")</f>
        <v>Hyatt, Jalin</v>
      </c>
      <c r="C1512" s="60" t="str">
        <f>IFERROR(__xludf.DUMMYFUNCTION("""COMPUTED_VALUE"""),"WR")</f>
        <v>WR</v>
      </c>
      <c r="D1512" s="60" t="str">
        <f>IFERROR(__xludf.DUMMYFUNCTION("""COMPUTED_VALUE"""),"NYG")</f>
        <v>NYG</v>
      </c>
      <c r="E1512" s="62" t="str">
        <f t="shared" si="4"/>
        <v>Jalin Hyatt</v>
      </c>
      <c r="F1512" s="62">
        <f t="shared" ref="F1512:G1512" si="3023">IF(isblank(F$1),,IF(isblank($A1512),,IFERROR(vlookup($A1512,indirect("'TVC-"&amp;text(month(F$1),"00")&amp;"'!$A:$D"),4,false),1)))</f>
        <v>1279</v>
      </c>
      <c r="G1512" s="62">
        <f t="shared" si="3023"/>
        <v>1223</v>
      </c>
      <c r="H1512" s="62">
        <f t="shared" ref="H1512:Q1512" si="3024">IF(isblank(H$1),,IFERROR(vlookup($A1512,indirect("'TVC-"&amp;text(month(H$1),"00")&amp;"'!$A:$D"),4,false),1))</f>
        <v>1227</v>
      </c>
      <c r="I1512" s="62">
        <f t="shared" si="3024"/>
        <v>1315</v>
      </c>
      <c r="J1512" s="62">
        <f t="shared" si="3024"/>
        <v>1303</v>
      </c>
      <c r="K1512" s="62">
        <f t="shared" si="3024"/>
        <v>1235</v>
      </c>
      <c r="L1512" s="62">
        <f t="shared" si="3024"/>
        <v>1212</v>
      </c>
      <c r="M1512" s="62">
        <f t="shared" si="3024"/>
        <v>1276</v>
      </c>
      <c r="N1512" s="62">
        <f t="shared" si="3024"/>
        <v>1268</v>
      </c>
      <c r="O1512" s="62">
        <f t="shared" si="3024"/>
        <v>1</v>
      </c>
      <c r="P1512" s="62" t="str">
        <f t="shared" si="3024"/>
        <v/>
      </c>
      <c r="Q1512" s="62" t="str">
        <f t="shared" si="3024"/>
        <v/>
      </c>
      <c r="R1512" s="62">
        <f t="shared" si="7"/>
        <v>-1267</v>
      </c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</row>
    <row r="1513">
      <c r="A1513" s="60">
        <f>IFERROR(__xludf.DUMMYFUNCTION("""COMPUTED_VALUE"""),16184.0)</f>
        <v>16184</v>
      </c>
      <c r="B1513" s="60" t="str">
        <f>IFERROR(__xludf.DUMMYFUNCTION("""COMPUTED_VALUE"""),"Reed, Jayden")</f>
        <v>Reed, Jayden</v>
      </c>
      <c r="C1513" s="60" t="str">
        <f>IFERROR(__xludf.DUMMYFUNCTION("""COMPUTED_VALUE"""),"WR")</f>
        <v>WR</v>
      </c>
      <c r="D1513" s="60" t="str">
        <f>IFERROR(__xludf.DUMMYFUNCTION("""COMPUTED_VALUE"""),"GBP")</f>
        <v>GBP</v>
      </c>
      <c r="E1513" s="62" t="str">
        <f t="shared" si="4"/>
        <v>Jayden Reed</v>
      </c>
      <c r="F1513" s="62">
        <f t="shared" ref="F1513:G1513" si="3025">IF(isblank(F$1),,IF(isblank($A1513),,IFERROR(vlookup($A1513,indirect("'TVC-"&amp;text(month(F$1),"00")&amp;"'!$A:$D"),4,false),1)))</f>
        <v>3248</v>
      </c>
      <c r="G1513" s="62">
        <f t="shared" si="3025"/>
        <v>3261</v>
      </c>
      <c r="H1513" s="62">
        <f t="shared" ref="H1513:Q1513" si="3026">IF(isblank(H$1),,IFERROR(vlookup($A1513,indirect("'TVC-"&amp;text(month(H$1),"00")&amp;"'!$A:$D"),4,false),1))</f>
        <v>3309</v>
      </c>
      <c r="I1513" s="62">
        <f t="shared" si="3026"/>
        <v>3310</v>
      </c>
      <c r="J1513" s="62">
        <f t="shared" si="3026"/>
        <v>3333</v>
      </c>
      <c r="K1513" s="62">
        <f t="shared" si="3026"/>
        <v>3459</v>
      </c>
      <c r="L1513" s="62">
        <f t="shared" si="3026"/>
        <v>3439</v>
      </c>
      <c r="M1513" s="62">
        <f t="shared" si="3026"/>
        <v>3365</v>
      </c>
      <c r="N1513" s="62">
        <f t="shared" si="3026"/>
        <v>3349</v>
      </c>
      <c r="O1513" s="62">
        <f t="shared" si="3026"/>
        <v>1</v>
      </c>
      <c r="P1513" s="62" t="str">
        <f t="shared" si="3026"/>
        <v/>
      </c>
      <c r="Q1513" s="62" t="str">
        <f t="shared" si="3026"/>
        <v/>
      </c>
      <c r="R1513" s="62">
        <f t="shared" si="7"/>
        <v>-3348</v>
      </c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</row>
    <row r="1514">
      <c r="A1514" s="60">
        <f>IFERROR(__xludf.DUMMYFUNCTION("""COMPUTED_VALUE"""),16185.0)</f>
        <v>16185</v>
      </c>
      <c r="B1514" s="60" t="str">
        <f>IFERROR(__xludf.DUMMYFUNCTION("""COMPUTED_VALUE"""),"Smith-Njigba, Jaxon")</f>
        <v>Smith-Njigba, Jaxon</v>
      </c>
      <c r="C1514" s="60" t="str">
        <f>IFERROR(__xludf.DUMMYFUNCTION("""COMPUTED_VALUE"""),"WR")</f>
        <v>WR</v>
      </c>
      <c r="D1514" s="60" t="str">
        <f>IFERROR(__xludf.DUMMYFUNCTION("""COMPUTED_VALUE"""),"SEA")</f>
        <v>SEA</v>
      </c>
      <c r="E1514" s="62" t="str">
        <f t="shared" si="4"/>
        <v>Jaxon Smith-Njigba</v>
      </c>
      <c r="F1514" s="62">
        <f t="shared" ref="F1514:G1514" si="3027">IF(isblank(F$1),,IF(isblank($A1514),,IFERROR(vlookup($A1514,indirect("'TVC-"&amp;text(month(F$1),"00")&amp;"'!$A:$D"),4,false),1)))</f>
        <v>9833</v>
      </c>
      <c r="G1514" s="62">
        <f t="shared" si="3027"/>
        <v>9963</v>
      </c>
      <c r="H1514" s="62">
        <f t="shared" ref="H1514:Q1514" si="3028">IF(isblank(H$1),,IFERROR(vlookup($A1514,indirect("'TVC-"&amp;text(month(H$1),"00")&amp;"'!$A:$D"),4,false),1))</f>
        <v>9888</v>
      </c>
      <c r="I1514" s="62">
        <f t="shared" si="3028"/>
        <v>9784</v>
      </c>
      <c r="J1514" s="62">
        <f t="shared" si="3028"/>
        <v>9873</v>
      </c>
      <c r="K1514" s="62">
        <f t="shared" si="3028"/>
        <v>9831</v>
      </c>
      <c r="L1514" s="62">
        <f t="shared" si="3028"/>
        <v>9590</v>
      </c>
      <c r="M1514" s="62">
        <f t="shared" si="3028"/>
        <v>9313</v>
      </c>
      <c r="N1514" s="62">
        <f t="shared" si="3028"/>
        <v>9196</v>
      </c>
      <c r="O1514" s="62">
        <f t="shared" si="3028"/>
        <v>1</v>
      </c>
      <c r="P1514" s="62" t="str">
        <f t="shared" si="3028"/>
        <v/>
      </c>
      <c r="Q1514" s="62" t="str">
        <f t="shared" si="3028"/>
        <v/>
      </c>
      <c r="R1514" s="62">
        <f t="shared" si="7"/>
        <v>-9195</v>
      </c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</row>
    <row r="1515">
      <c r="A1515" s="60">
        <f>IFERROR(__xludf.DUMMYFUNCTION("""COMPUTED_VALUE"""),16186.0)</f>
        <v>16186</v>
      </c>
      <c r="B1515" s="60" t="str">
        <f>IFERROR(__xludf.DUMMYFUNCTION("""COMPUTED_VALUE"""),"Addison, Jordan")</f>
        <v>Addison, Jordan</v>
      </c>
      <c r="C1515" s="60" t="str">
        <f>IFERROR(__xludf.DUMMYFUNCTION("""COMPUTED_VALUE"""),"WR")</f>
        <v>WR</v>
      </c>
      <c r="D1515" s="60" t="str">
        <f>IFERROR(__xludf.DUMMYFUNCTION("""COMPUTED_VALUE"""),"MIN")</f>
        <v>MIN</v>
      </c>
      <c r="E1515" s="62" t="str">
        <f t="shared" si="4"/>
        <v>Jordan Addison</v>
      </c>
      <c r="F1515" s="62">
        <f t="shared" ref="F1515:G1515" si="3029">IF(isblank(F$1),,IF(isblank($A1515),,IFERROR(vlookup($A1515,indirect("'TVC-"&amp;text(month(F$1),"00")&amp;"'!$A:$D"),4,false),1)))</f>
        <v>4149</v>
      </c>
      <c r="G1515" s="62">
        <f t="shared" si="3029"/>
        <v>4064</v>
      </c>
      <c r="H1515" s="62">
        <f t="shared" ref="H1515:Q1515" si="3030">IF(isblank(H$1),,IFERROR(vlookup($A1515,indirect("'TVC-"&amp;text(month(H$1),"00")&amp;"'!$A:$D"),4,false),1))</f>
        <v>4155</v>
      </c>
      <c r="I1515" s="62">
        <f t="shared" si="3030"/>
        <v>3926</v>
      </c>
      <c r="J1515" s="62">
        <f t="shared" si="3030"/>
        <v>3973</v>
      </c>
      <c r="K1515" s="62">
        <f t="shared" si="3030"/>
        <v>4016</v>
      </c>
      <c r="L1515" s="62">
        <f t="shared" si="3030"/>
        <v>3956</v>
      </c>
      <c r="M1515" s="62">
        <f t="shared" si="3030"/>
        <v>3921</v>
      </c>
      <c r="N1515" s="62">
        <f t="shared" si="3030"/>
        <v>3788</v>
      </c>
      <c r="O1515" s="62">
        <f t="shared" si="3030"/>
        <v>1</v>
      </c>
      <c r="P1515" s="62" t="str">
        <f t="shared" si="3030"/>
        <v/>
      </c>
      <c r="Q1515" s="62" t="str">
        <f t="shared" si="3030"/>
        <v/>
      </c>
      <c r="R1515" s="62">
        <f t="shared" si="7"/>
        <v>-3787</v>
      </c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</row>
    <row r="1516">
      <c r="A1516" s="60">
        <f>IFERROR(__xludf.DUMMYFUNCTION("""COMPUTED_VALUE"""),16187.0)</f>
        <v>16187</v>
      </c>
      <c r="B1516" s="60" t="str">
        <f>IFERROR(__xludf.DUMMYFUNCTION("""COMPUTED_VALUE"""),"Downs, Josh")</f>
        <v>Downs, Josh</v>
      </c>
      <c r="C1516" s="60" t="str">
        <f>IFERROR(__xludf.DUMMYFUNCTION("""COMPUTED_VALUE"""),"WR")</f>
        <v>WR</v>
      </c>
      <c r="D1516" s="60" t="str">
        <f>IFERROR(__xludf.DUMMYFUNCTION("""COMPUTED_VALUE"""),"IND")</f>
        <v>IND</v>
      </c>
      <c r="E1516" s="62" t="str">
        <f t="shared" si="4"/>
        <v>Josh Downs</v>
      </c>
      <c r="F1516" s="62">
        <f t="shared" ref="F1516:G1516" si="3031">IF(isblank(F$1),,IF(isblank($A1516),,IFERROR(vlookup($A1516,indirect("'TVC-"&amp;text(month(F$1),"00")&amp;"'!$A:$D"),4,false),1)))</f>
        <v>3124</v>
      </c>
      <c r="G1516" s="62">
        <f t="shared" si="3031"/>
        <v>3151</v>
      </c>
      <c r="H1516" s="62">
        <f t="shared" ref="H1516:Q1516" si="3032">IF(isblank(H$1),,IFERROR(vlookup($A1516,indirect("'TVC-"&amp;text(month(H$1),"00")&amp;"'!$A:$D"),4,false),1))</f>
        <v>3158</v>
      </c>
      <c r="I1516" s="62">
        <f t="shared" si="3032"/>
        <v>3354</v>
      </c>
      <c r="J1516" s="62">
        <f t="shared" si="3032"/>
        <v>3458</v>
      </c>
      <c r="K1516" s="62">
        <f t="shared" si="3032"/>
        <v>3598</v>
      </c>
      <c r="L1516" s="62">
        <f t="shared" si="3032"/>
        <v>3671</v>
      </c>
      <c r="M1516" s="62">
        <f t="shared" si="3032"/>
        <v>3591</v>
      </c>
      <c r="N1516" s="62">
        <f t="shared" si="3032"/>
        <v>3497</v>
      </c>
      <c r="O1516" s="62">
        <f t="shared" si="3032"/>
        <v>1</v>
      </c>
      <c r="P1516" s="62" t="str">
        <f t="shared" si="3032"/>
        <v/>
      </c>
      <c r="Q1516" s="62" t="str">
        <f t="shared" si="3032"/>
        <v/>
      </c>
      <c r="R1516" s="62">
        <f t="shared" si="7"/>
        <v>-3496</v>
      </c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</row>
    <row r="1517" hidden="1">
      <c r="A1517" s="60">
        <f>IFERROR(__xludf.DUMMYFUNCTION("""COMPUTED_VALUE"""),16188.0)</f>
        <v>16188</v>
      </c>
      <c r="B1517" s="60" t="str">
        <f>IFERROR(__xludf.DUMMYFUNCTION("""COMPUTED_VALUE"""),"Johnston, Quentin")</f>
        <v>Johnston, Quentin</v>
      </c>
      <c r="C1517" s="60" t="str">
        <f>IFERROR(__xludf.DUMMYFUNCTION("""COMPUTED_VALUE"""),"WR")</f>
        <v>WR</v>
      </c>
      <c r="D1517" s="60" t="str">
        <f>IFERROR(__xludf.DUMMYFUNCTION("""COMPUTED_VALUE"""),"LAC")</f>
        <v>LAC</v>
      </c>
      <c r="E1517" s="62" t="str">
        <f t="shared" si="4"/>
        <v>Quentin Johnston</v>
      </c>
      <c r="F1517" s="62">
        <f t="shared" ref="F1517:G1517" si="3033">IF(isblank(F$1),,IF(isblank($A1517),,IFERROR(vlookup($A1517,indirect("'TVC-"&amp;text(month(F$1),"00")&amp;"'!$A:$D"),4,false),1)))</f>
        <v>3454</v>
      </c>
      <c r="G1517" s="62">
        <f t="shared" si="3033"/>
        <v>3512</v>
      </c>
      <c r="H1517" s="62">
        <f t="shared" ref="H1517:Q1517" si="3034">IF(isblank(H$1),,IFERROR(vlookup($A1517,indirect("'TVC-"&amp;text(month(H$1),"00")&amp;"'!$A:$D"),4,false),1))</f>
        <v>3534</v>
      </c>
      <c r="I1517" s="62">
        <f t="shared" si="3034"/>
        <v>3349</v>
      </c>
      <c r="J1517" s="62">
        <f t="shared" si="3034"/>
        <v>3392</v>
      </c>
      <c r="K1517" s="62">
        <f t="shared" si="3034"/>
        <v>3352</v>
      </c>
      <c r="L1517" s="62">
        <f t="shared" si="3034"/>
        <v>3570</v>
      </c>
      <c r="M1517" s="62">
        <f t="shared" si="3034"/>
        <v>3543</v>
      </c>
      <c r="N1517" s="62">
        <f t="shared" si="3034"/>
        <v>3544</v>
      </c>
      <c r="O1517" s="62">
        <f t="shared" si="3034"/>
        <v>1</v>
      </c>
      <c r="P1517" s="62" t="str">
        <f t="shared" si="3034"/>
        <v/>
      </c>
      <c r="Q1517" s="62" t="str">
        <f t="shared" si="3034"/>
        <v/>
      </c>
      <c r="R1517" s="62">
        <f t="shared" si="7"/>
        <v>-3543</v>
      </c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</row>
    <row r="1518">
      <c r="A1518" s="60">
        <f>IFERROR(__xludf.DUMMYFUNCTION("""COMPUTED_VALUE"""),16189.0)</f>
        <v>16189</v>
      </c>
      <c r="B1518" s="60" t="str">
        <f>IFERROR(__xludf.DUMMYFUNCTION("""COMPUTED_VALUE"""),"Mims, Marvin")</f>
        <v>Mims, Marvin</v>
      </c>
      <c r="C1518" s="60" t="str">
        <f>IFERROR(__xludf.DUMMYFUNCTION("""COMPUTED_VALUE"""),"WR")</f>
        <v>WR</v>
      </c>
      <c r="D1518" s="60" t="str">
        <f>IFERROR(__xludf.DUMMYFUNCTION("""COMPUTED_VALUE"""),"DEN")</f>
        <v>DEN</v>
      </c>
      <c r="E1518" s="62" t="str">
        <f t="shared" si="4"/>
        <v>Marvin Mims</v>
      </c>
      <c r="F1518" s="62">
        <f t="shared" ref="F1518:G1518" si="3035">IF(isblank(F$1),,IF(isblank($A1518),,IFERROR(vlookup($A1518,indirect("'TVC-"&amp;text(month(F$1),"00")&amp;"'!$A:$D"),4,false),1)))</f>
        <v>2346</v>
      </c>
      <c r="G1518" s="62">
        <f t="shared" si="3035"/>
        <v>2468</v>
      </c>
      <c r="H1518" s="62">
        <f t="shared" ref="H1518:Q1518" si="3036">IF(isblank(H$1),,IFERROR(vlookup($A1518,indirect("'TVC-"&amp;text(month(H$1),"00")&amp;"'!$A:$D"),4,false),1))</f>
        <v>2541</v>
      </c>
      <c r="I1518" s="62">
        <f t="shared" si="3036"/>
        <v>2413</v>
      </c>
      <c r="J1518" s="62">
        <f t="shared" si="3036"/>
        <v>2242</v>
      </c>
      <c r="K1518" s="62">
        <f t="shared" si="3036"/>
        <v>2097</v>
      </c>
      <c r="L1518" s="62">
        <f t="shared" si="3036"/>
        <v>2116</v>
      </c>
      <c r="M1518" s="62">
        <f t="shared" si="3036"/>
        <v>2050</v>
      </c>
      <c r="N1518" s="62">
        <f t="shared" si="3036"/>
        <v>2022</v>
      </c>
      <c r="O1518" s="62">
        <f t="shared" si="3036"/>
        <v>1</v>
      </c>
      <c r="P1518" s="62" t="str">
        <f t="shared" si="3036"/>
        <v/>
      </c>
      <c r="Q1518" s="62" t="str">
        <f t="shared" si="3036"/>
        <v/>
      </c>
      <c r="R1518" s="62">
        <f t="shared" si="7"/>
        <v>-2021</v>
      </c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</row>
    <row r="1519">
      <c r="A1519" s="60">
        <f>IFERROR(__xludf.DUMMYFUNCTION("""COMPUTED_VALUE"""),16190.0)</f>
        <v>16190</v>
      </c>
      <c r="B1519" s="60" t="str">
        <f>IFERROR(__xludf.DUMMYFUNCTION("""COMPUTED_VALUE"""),"Flowers, Zay")</f>
        <v>Flowers, Zay</v>
      </c>
      <c r="C1519" s="60" t="str">
        <f>IFERROR(__xludf.DUMMYFUNCTION("""COMPUTED_VALUE"""),"WR")</f>
        <v>WR</v>
      </c>
      <c r="D1519" s="60" t="str">
        <f>IFERROR(__xludf.DUMMYFUNCTION("""COMPUTED_VALUE"""),"BAL")</f>
        <v>BAL</v>
      </c>
      <c r="E1519" s="62" t="str">
        <f t="shared" si="4"/>
        <v>Zay Flowers</v>
      </c>
      <c r="F1519" s="62">
        <f t="shared" ref="F1519:G1519" si="3037">IF(isblank(F$1),,IF(isblank($A1519),,IFERROR(vlookup($A1519,indirect("'TVC-"&amp;text(month(F$1),"00")&amp;"'!$A:$D"),4,false),1)))</f>
        <v>4373</v>
      </c>
      <c r="G1519" s="62">
        <f t="shared" si="3037"/>
        <v>4691</v>
      </c>
      <c r="H1519" s="62">
        <f t="shared" ref="H1519:Q1519" si="3038">IF(isblank(H$1),,IFERROR(vlookup($A1519,indirect("'TVC-"&amp;text(month(H$1),"00")&amp;"'!$A:$D"),4,false),1))</f>
        <v>4697</v>
      </c>
      <c r="I1519" s="62">
        <f t="shared" si="3038"/>
        <v>4698</v>
      </c>
      <c r="J1519" s="62">
        <f t="shared" si="3038"/>
        <v>4655</v>
      </c>
      <c r="K1519" s="62">
        <f t="shared" si="3038"/>
        <v>4782</v>
      </c>
      <c r="L1519" s="62">
        <f t="shared" si="3038"/>
        <v>4888</v>
      </c>
      <c r="M1519" s="62">
        <f t="shared" si="3038"/>
        <v>4985</v>
      </c>
      <c r="N1519" s="62">
        <f t="shared" si="3038"/>
        <v>5339</v>
      </c>
      <c r="O1519" s="62">
        <f t="shared" si="3038"/>
        <v>1</v>
      </c>
      <c r="P1519" s="62" t="str">
        <f t="shared" si="3038"/>
        <v/>
      </c>
      <c r="Q1519" s="62" t="str">
        <f t="shared" si="3038"/>
        <v/>
      </c>
      <c r="R1519" s="62">
        <f t="shared" si="7"/>
        <v>-5338</v>
      </c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</row>
    <row r="1520">
      <c r="A1520" s="60">
        <f>IFERROR(__xludf.DUMMYFUNCTION("""COMPUTED_VALUE"""),16191.0)</f>
        <v>16191</v>
      </c>
      <c r="B1520" s="60" t="str">
        <f>IFERROR(__xludf.DUMMYFUNCTION("""COMPUTED_VALUE"""),"Tillman, Cedric")</f>
        <v>Tillman, Cedric</v>
      </c>
      <c r="C1520" s="60" t="str">
        <f>IFERROR(__xludf.DUMMYFUNCTION("""COMPUTED_VALUE"""),"WR")</f>
        <v>WR</v>
      </c>
      <c r="D1520" s="60" t="str">
        <f>IFERROR(__xludf.DUMMYFUNCTION("""COMPUTED_VALUE"""),"NOS")</f>
        <v>NOS</v>
      </c>
      <c r="E1520" s="62" t="str">
        <f t="shared" si="4"/>
        <v>Cedric Tillman</v>
      </c>
      <c r="F1520" s="62">
        <f t="shared" ref="F1520:G1520" si="3039">IF(isblank(F$1),,IF(isblank($A1520),,IFERROR(vlookup($A1520,indirect("'TVC-"&amp;text(month(F$1),"00")&amp;"'!$A:$D"),4,false),1)))</f>
        <v>2135</v>
      </c>
      <c r="G1520" s="62">
        <f t="shared" si="3039"/>
        <v>2111</v>
      </c>
      <c r="H1520" s="62">
        <f t="shared" ref="H1520:Q1520" si="3040">IF(isblank(H$1),,IFERROR(vlookup($A1520,indirect("'TVC-"&amp;text(month(H$1),"00")&amp;"'!$A:$D"),4,false),1))</f>
        <v>2141</v>
      </c>
      <c r="I1520" s="62">
        <f t="shared" si="3040"/>
        <v>2132</v>
      </c>
      <c r="J1520" s="62">
        <f t="shared" si="3040"/>
        <v>1980</v>
      </c>
      <c r="K1520" s="62">
        <f t="shared" si="3040"/>
        <v>1860</v>
      </c>
      <c r="L1520" s="62">
        <f t="shared" si="3040"/>
        <v>1745</v>
      </c>
      <c r="M1520" s="62">
        <f t="shared" si="3040"/>
        <v>1748</v>
      </c>
      <c r="N1520" s="62">
        <f t="shared" si="3040"/>
        <v>1355</v>
      </c>
      <c r="O1520" s="62">
        <f t="shared" si="3040"/>
        <v>1</v>
      </c>
      <c r="P1520" s="62" t="str">
        <f t="shared" si="3040"/>
        <v/>
      </c>
      <c r="Q1520" s="62" t="str">
        <f t="shared" si="3040"/>
        <v/>
      </c>
      <c r="R1520" s="62">
        <f t="shared" si="7"/>
        <v>-1354</v>
      </c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</row>
    <row r="1521">
      <c r="A1521" s="60">
        <f>IFERROR(__xludf.DUMMYFUNCTION("""COMPUTED_VALUE"""),16192.0)</f>
        <v>16192</v>
      </c>
      <c r="B1521" s="60" t="str">
        <f>IFERROR(__xludf.DUMMYFUNCTION("""COMPUTED_VALUE"""),"Washington, Parker")</f>
        <v>Washington, Parker</v>
      </c>
      <c r="C1521" s="60" t="str">
        <f>IFERROR(__xludf.DUMMYFUNCTION("""COMPUTED_VALUE"""),"WR")</f>
        <v>WR</v>
      </c>
      <c r="D1521" s="60" t="str">
        <f>IFERROR(__xludf.DUMMYFUNCTION("""COMPUTED_VALUE"""),"JAC")</f>
        <v>JAC</v>
      </c>
      <c r="E1521" s="62" t="str">
        <f t="shared" si="4"/>
        <v>Parker Washington</v>
      </c>
      <c r="F1521" s="62">
        <f t="shared" ref="F1521:G1521" si="3041">IF(isblank(F$1),,IF(isblank($A1521),,IFERROR(vlookup($A1521,indirect("'TVC-"&amp;text(month(F$1),"00")&amp;"'!$A:$D"),4,false),1)))</f>
        <v>2984</v>
      </c>
      <c r="G1521" s="62">
        <f t="shared" si="3041"/>
        <v>3572</v>
      </c>
      <c r="H1521" s="62">
        <f t="shared" ref="H1521:Q1521" si="3042">IF(isblank(H$1),,IFERROR(vlookup($A1521,indirect("'TVC-"&amp;text(month(H$1),"00")&amp;"'!$A:$D"),4,false),1))</f>
        <v>3705</v>
      </c>
      <c r="I1521" s="62">
        <f t="shared" si="3042"/>
        <v>3601</v>
      </c>
      <c r="J1521" s="62">
        <f t="shared" si="3042"/>
        <v>3483</v>
      </c>
      <c r="K1521" s="62">
        <f t="shared" si="3042"/>
        <v>3550</v>
      </c>
      <c r="L1521" s="62">
        <f t="shared" si="3042"/>
        <v>3687</v>
      </c>
      <c r="M1521" s="62">
        <f t="shared" si="3042"/>
        <v>3677</v>
      </c>
      <c r="N1521" s="62">
        <f t="shared" si="3042"/>
        <v>4555</v>
      </c>
      <c r="O1521" s="62">
        <f t="shared" si="3042"/>
        <v>1</v>
      </c>
      <c r="P1521" s="62" t="str">
        <f t="shared" si="3042"/>
        <v/>
      </c>
      <c r="Q1521" s="62" t="str">
        <f t="shared" si="3042"/>
        <v/>
      </c>
      <c r="R1521" s="62">
        <f t="shared" si="7"/>
        <v>-4554</v>
      </c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</row>
    <row r="1522">
      <c r="A1522" s="60">
        <f>IFERROR(__xludf.DUMMYFUNCTION("""COMPUTED_VALUE"""),16193.0)</f>
        <v>16193</v>
      </c>
      <c r="B1522" s="60" t="str">
        <f>IFERROR(__xludf.DUMMYFUNCTION("""COMPUTED_VALUE"""),"Boutte, Kayshon")</f>
        <v>Boutte, Kayshon</v>
      </c>
      <c r="C1522" s="60" t="str">
        <f>IFERROR(__xludf.DUMMYFUNCTION("""COMPUTED_VALUE"""),"WR")</f>
        <v>WR</v>
      </c>
      <c r="D1522" s="60" t="str">
        <f>IFERROR(__xludf.DUMMYFUNCTION("""COMPUTED_VALUE"""),"HOU")</f>
        <v>HOU</v>
      </c>
      <c r="E1522" s="62" t="str">
        <f t="shared" si="4"/>
        <v>Kayshon Boutte</v>
      </c>
      <c r="F1522" s="62">
        <f t="shared" ref="F1522:G1522" si="3043">IF(isblank(F$1),,IF(isblank($A1522),,IFERROR(vlookup($A1522,indirect("'TVC-"&amp;text(month(F$1),"00")&amp;"'!$A:$D"),4,false),1)))</f>
        <v>2940</v>
      </c>
      <c r="G1522" s="62">
        <f t="shared" si="3043"/>
        <v>2972</v>
      </c>
      <c r="H1522" s="62">
        <f t="shared" ref="H1522:Q1522" si="3044">IF(isblank(H$1),,IFERROR(vlookup($A1522,indirect("'TVC-"&amp;text(month(H$1),"00")&amp;"'!$A:$D"),4,false),1))</f>
        <v>2966</v>
      </c>
      <c r="I1522" s="62">
        <f t="shared" si="3044"/>
        <v>2893</v>
      </c>
      <c r="J1522" s="62">
        <f t="shared" si="3044"/>
        <v>2766</v>
      </c>
      <c r="K1522" s="62">
        <f t="shared" si="3044"/>
        <v>2668</v>
      </c>
      <c r="L1522" s="62">
        <f t="shared" si="3044"/>
        <v>2539</v>
      </c>
      <c r="M1522" s="62">
        <f t="shared" si="3044"/>
        <v>2549</v>
      </c>
      <c r="N1522" s="62">
        <f t="shared" si="3044"/>
        <v>2810</v>
      </c>
      <c r="O1522" s="62">
        <f t="shared" si="3044"/>
        <v>1</v>
      </c>
      <c r="P1522" s="62" t="str">
        <f t="shared" si="3044"/>
        <v/>
      </c>
      <c r="Q1522" s="62" t="str">
        <f t="shared" si="3044"/>
        <v/>
      </c>
      <c r="R1522" s="62">
        <f t="shared" si="7"/>
        <v>-2809</v>
      </c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</row>
    <row r="1523">
      <c r="A1523" s="60">
        <f>IFERROR(__xludf.DUMMYFUNCTION("""COMPUTED_VALUE"""),16194.0)</f>
        <v>16194</v>
      </c>
      <c r="B1523" s="60" t="str">
        <f>IFERROR(__xludf.DUMMYFUNCTION("""COMPUTED_VALUE"""),"Rice, Rashee")</f>
        <v>Rice, Rashee</v>
      </c>
      <c r="C1523" s="60" t="str">
        <f>IFERROR(__xludf.DUMMYFUNCTION("""COMPUTED_VALUE"""),"WR")</f>
        <v>WR</v>
      </c>
      <c r="D1523" s="60" t="str">
        <f>IFERROR(__xludf.DUMMYFUNCTION("""COMPUTED_VALUE"""),"KCC")</f>
        <v>KCC</v>
      </c>
      <c r="E1523" s="62" t="str">
        <f t="shared" si="4"/>
        <v>Rashee Rice</v>
      </c>
      <c r="F1523" s="62">
        <f t="shared" ref="F1523:G1523" si="3045">IF(isblank(F$1),,IF(isblank($A1523),,IFERROR(vlookup($A1523,indirect("'TVC-"&amp;text(month(F$1),"00")&amp;"'!$A:$D"),4,false),1)))</f>
        <v>6346</v>
      </c>
      <c r="G1523" s="62">
        <f t="shared" si="3045"/>
        <v>5404</v>
      </c>
      <c r="H1523" s="62">
        <f t="shared" ref="H1523:Q1523" si="3046">IF(isblank(H$1),,IFERROR(vlookup($A1523,indirect("'TVC-"&amp;text(month(H$1),"00")&amp;"'!$A:$D"),4,false),1))</f>
        <v>5010</v>
      </c>
      <c r="I1523" s="62">
        <f t="shared" si="3046"/>
        <v>4801</v>
      </c>
      <c r="J1523" s="62">
        <f t="shared" si="3046"/>
        <v>5191</v>
      </c>
      <c r="K1523" s="62">
        <f t="shared" si="3046"/>
        <v>4482</v>
      </c>
      <c r="L1523" s="62">
        <f t="shared" si="3046"/>
        <v>4668</v>
      </c>
      <c r="M1523" s="62">
        <f t="shared" si="3046"/>
        <v>4982</v>
      </c>
      <c r="N1523" s="62">
        <f t="shared" si="3046"/>
        <v>4834</v>
      </c>
      <c r="O1523" s="62">
        <f t="shared" si="3046"/>
        <v>1</v>
      </c>
      <c r="P1523" s="62" t="str">
        <f t="shared" si="3046"/>
        <v/>
      </c>
      <c r="Q1523" s="62" t="str">
        <f t="shared" si="3046"/>
        <v/>
      </c>
      <c r="R1523" s="62">
        <f t="shared" si="7"/>
        <v>-4833</v>
      </c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</row>
    <row r="1524" hidden="1">
      <c r="A1524" s="60">
        <f>IFERROR(__xludf.DUMMYFUNCTION("""COMPUTED_VALUE"""),16195.0)</f>
        <v>16195</v>
      </c>
      <c r="B1524" s="60" t="str">
        <f>IFERROR(__xludf.DUMMYFUNCTION("""COMPUTED_VALUE"""),"Wicks, Dontayvion")</f>
        <v>Wicks, Dontayvion</v>
      </c>
      <c r="C1524" s="60" t="str">
        <f>IFERROR(__xludf.DUMMYFUNCTION("""COMPUTED_VALUE"""),"WR")</f>
        <v>WR</v>
      </c>
      <c r="D1524" s="60" t="str">
        <f>IFERROR(__xludf.DUMMYFUNCTION("""COMPUTED_VALUE"""),"PHI")</f>
        <v>PHI</v>
      </c>
      <c r="E1524" s="62" t="str">
        <f t="shared" si="4"/>
        <v>Dontayvion Wicks</v>
      </c>
      <c r="F1524" s="62">
        <f t="shared" ref="F1524:G1524" si="3047">IF(isblank(F$1),,IF(isblank($A1524),,IFERROR(vlookup($A1524,indirect("'TVC-"&amp;text(month(F$1),"00")&amp;"'!$A:$D"),4,false),1)))</f>
        <v>2256</v>
      </c>
      <c r="G1524" s="62">
        <f t="shared" si="3047"/>
        <v>2232</v>
      </c>
      <c r="H1524" s="62">
        <f t="shared" ref="H1524:Q1524" si="3048">IF(isblank(H$1),,IFERROR(vlookup($A1524,indirect("'TVC-"&amp;text(month(H$1),"00")&amp;"'!$A:$D"),4,false),1))</f>
        <v>2204</v>
      </c>
      <c r="I1524" s="62">
        <f t="shared" si="3048"/>
        <v>2342</v>
      </c>
      <c r="J1524" s="62">
        <f t="shared" si="3048"/>
        <v>2649</v>
      </c>
      <c r="K1524" s="62">
        <f t="shared" si="3048"/>
        <v>2381</v>
      </c>
      <c r="L1524" s="62">
        <f t="shared" si="3048"/>
        <v>2401</v>
      </c>
      <c r="M1524" s="62">
        <f t="shared" si="3048"/>
        <v>2435</v>
      </c>
      <c r="N1524" s="62">
        <f t="shared" si="3048"/>
        <v>2597</v>
      </c>
      <c r="O1524" s="62">
        <f t="shared" si="3048"/>
        <v>1</v>
      </c>
      <c r="P1524" s="62" t="str">
        <f t="shared" si="3048"/>
        <v/>
      </c>
      <c r="Q1524" s="62" t="str">
        <f t="shared" si="3048"/>
        <v/>
      </c>
      <c r="R1524" s="62">
        <f t="shared" si="7"/>
        <v>-2596</v>
      </c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</row>
    <row r="1525" hidden="1">
      <c r="A1525" s="60">
        <f>IFERROR(__xludf.DUMMYFUNCTION("""COMPUTED_VALUE"""),16196.0)</f>
        <v>16196</v>
      </c>
      <c r="B1525" s="60" t="str">
        <f>IFERROR(__xludf.DUMMYFUNCTION("""COMPUTED_VALUE"""),"Perry, A.T.")</f>
        <v>Perry, A.T.</v>
      </c>
      <c r="C1525" s="60" t="str">
        <f>IFERROR(__xludf.DUMMYFUNCTION("""COMPUTED_VALUE"""),"WR")</f>
        <v>WR</v>
      </c>
      <c r="D1525" s="60" t="str">
        <f>IFERROR(__xludf.DUMMYFUNCTION("""COMPUTED_VALUE"""),"FA")</f>
        <v>FA</v>
      </c>
      <c r="E1525" s="62" t="str">
        <f t="shared" si="4"/>
        <v>A.T. Perry</v>
      </c>
      <c r="F1525" s="62">
        <f t="shared" ref="F1525:G1525" si="3049">IF(isblank(F$1),,IF(isblank($A1525),,IFERROR(vlookup($A1525,indirect("'TVC-"&amp;text(month(F$1),"00")&amp;"'!$A:$D"),4,false),1)))</f>
        <v>1</v>
      </c>
      <c r="G1525" s="62">
        <f t="shared" si="3049"/>
        <v>1</v>
      </c>
      <c r="H1525" s="62">
        <f t="shared" ref="H1525:Q1525" si="3050">IF(isblank(H$1),,IFERROR(vlookup($A1525,indirect("'TVC-"&amp;text(month(H$1),"00")&amp;"'!$A:$D"),4,false),1))</f>
        <v>1</v>
      </c>
      <c r="I1525" s="62">
        <f t="shared" si="3050"/>
        <v>1</v>
      </c>
      <c r="J1525" s="62">
        <f t="shared" si="3050"/>
        <v>1</v>
      </c>
      <c r="K1525" s="62">
        <f t="shared" si="3050"/>
        <v>1</v>
      </c>
      <c r="L1525" s="62">
        <f t="shared" si="3050"/>
        <v>1</v>
      </c>
      <c r="M1525" s="62">
        <f t="shared" si="3050"/>
        <v>1</v>
      </c>
      <c r="N1525" s="62">
        <f t="shared" si="3050"/>
        <v>1</v>
      </c>
      <c r="O1525" s="62">
        <f t="shared" si="3050"/>
        <v>1</v>
      </c>
      <c r="P1525" s="62" t="str">
        <f t="shared" si="3050"/>
        <v/>
      </c>
      <c r="Q1525" s="62" t="str">
        <f t="shared" si="3050"/>
        <v/>
      </c>
      <c r="R1525" s="62">
        <f t="shared" si="7"/>
        <v>0</v>
      </c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</row>
    <row r="1526">
      <c r="A1526" s="60">
        <f>IFERROR(__xludf.DUMMYFUNCTION("""COMPUTED_VALUE"""),16197.0)</f>
        <v>16197</v>
      </c>
      <c r="B1526" s="60" t="str">
        <f>IFERROR(__xludf.DUMMYFUNCTION("""COMPUTED_VALUE"""),"Mingo, Jonathan")</f>
        <v>Mingo, Jonathan</v>
      </c>
      <c r="C1526" s="60" t="str">
        <f>IFERROR(__xludf.DUMMYFUNCTION("""COMPUTED_VALUE"""),"WR")</f>
        <v>WR</v>
      </c>
      <c r="D1526" s="60" t="str">
        <f>IFERROR(__xludf.DUMMYFUNCTION("""COMPUTED_VALUE"""),"DAL")</f>
        <v>DAL</v>
      </c>
      <c r="E1526" s="62" t="str">
        <f t="shared" si="4"/>
        <v>Jonathan Mingo</v>
      </c>
      <c r="F1526" s="62">
        <f t="shared" ref="F1526:G1526" si="3051">IF(isblank(F$1),,IF(isblank($A1526),,IFERROR(vlookup($A1526,indirect("'TVC-"&amp;text(month(F$1),"00")&amp;"'!$A:$D"),4,false),1)))</f>
        <v>1060</v>
      </c>
      <c r="G1526" s="62">
        <f t="shared" si="3051"/>
        <v>1073</v>
      </c>
      <c r="H1526" s="62">
        <f t="shared" ref="H1526:Q1526" si="3052">IF(isblank(H$1),,IFERROR(vlookup($A1526,indirect("'TVC-"&amp;text(month(H$1),"00")&amp;"'!$A:$D"),4,false),1))</f>
        <v>1095</v>
      </c>
      <c r="I1526" s="62">
        <f t="shared" si="3052"/>
        <v>1130</v>
      </c>
      <c r="J1526" s="62">
        <f t="shared" si="3052"/>
        <v>1080</v>
      </c>
      <c r="K1526" s="62">
        <f t="shared" si="3052"/>
        <v>1087</v>
      </c>
      <c r="L1526" s="62">
        <f t="shared" si="3052"/>
        <v>1076</v>
      </c>
      <c r="M1526" s="62">
        <f t="shared" si="3052"/>
        <v>1064</v>
      </c>
      <c r="N1526" s="62">
        <f t="shared" si="3052"/>
        <v>1038</v>
      </c>
      <c r="O1526" s="62">
        <f t="shared" si="3052"/>
        <v>1</v>
      </c>
      <c r="P1526" s="62" t="str">
        <f t="shared" si="3052"/>
        <v/>
      </c>
      <c r="Q1526" s="62" t="str">
        <f t="shared" si="3052"/>
        <v/>
      </c>
      <c r="R1526" s="62">
        <f t="shared" si="7"/>
        <v>-1037</v>
      </c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</row>
    <row r="1527" hidden="1">
      <c r="A1527" s="60">
        <f>IFERROR(__xludf.DUMMYFUNCTION("""COMPUTED_VALUE"""),16199.0)</f>
        <v>16199</v>
      </c>
      <c r="B1527" s="60" t="str">
        <f>IFERROR(__xludf.DUMMYFUNCTION("""COMPUTED_VALUE"""),"Palmer, Trey")</f>
        <v>Palmer, Trey</v>
      </c>
      <c r="C1527" s="60" t="str">
        <f>IFERROR(__xludf.DUMMYFUNCTION("""COMPUTED_VALUE"""),"WR")</f>
        <v>WR</v>
      </c>
      <c r="D1527" s="60" t="str">
        <f>IFERROR(__xludf.DUMMYFUNCTION("""COMPUTED_VALUE"""),"NOS")</f>
        <v>NOS</v>
      </c>
      <c r="E1527" s="62" t="str">
        <f t="shared" si="4"/>
        <v>Trey Palmer</v>
      </c>
      <c r="F1527" s="62">
        <f t="shared" ref="F1527:G1527" si="3053">IF(isblank(F$1),,IF(isblank($A1527),,IFERROR(vlookup($A1527,indirect("'TVC-"&amp;text(month(F$1),"00")&amp;"'!$A:$D"),4,false),1)))</f>
        <v>1150</v>
      </c>
      <c r="G1527" s="62">
        <f t="shared" si="3053"/>
        <v>1160</v>
      </c>
      <c r="H1527" s="62">
        <f t="shared" ref="H1527:Q1527" si="3054">IF(isblank(H$1),,IFERROR(vlookup($A1527,indirect("'TVC-"&amp;text(month(H$1),"00")&amp;"'!$A:$D"),4,false),1))</f>
        <v>1143</v>
      </c>
      <c r="I1527" s="62">
        <f t="shared" si="3054"/>
        <v>1234</v>
      </c>
      <c r="J1527" s="62">
        <f t="shared" si="3054"/>
        <v>1226</v>
      </c>
      <c r="K1527" s="62">
        <f t="shared" si="3054"/>
        <v>1195</v>
      </c>
      <c r="L1527" s="62">
        <f t="shared" si="3054"/>
        <v>1133</v>
      </c>
      <c r="M1527" s="62">
        <f t="shared" si="3054"/>
        <v>1208</v>
      </c>
      <c r="N1527" s="62">
        <f t="shared" si="3054"/>
        <v>1245</v>
      </c>
      <c r="O1527" s="62">
        <f t="shared" si="3054"/>
        <v>1</v>
      </c>
      <c r="P1527" s="62" t="str">
        <f t="shared" si="3054"/>
        <v/>
      </c>
      <c r="Q1527" s="62" t="str">
        <f t="shared" si="3054"/>
        <v/>
      </c>
      <c r="R1527" s="62">
        <f t="shared" si="7"/>
        <v>-1244</v>
      </c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</row>
    <row r="1528" hidden="1">
      <c r="A1528" s="60">
        <f>IFERROR(__xludf.DUMMYFUNCTION("""COMPUTED_VALUE"""),16201.0)</f>
        <v>16201</v>
      </c>
      <c r="B1528" s="60" t="str">
        <f>IFERROR(__xludf.DUMMYFUNCTION("""COMPUTED_VALUE"""),"Hutchinson, Xavier")</f>
        <v>Hutchinson, Xavier</v>
      </c>
      <c r="C1528" s="60" t="str">
        <f>IFERROR(__xludf.DUMMYFUNCTION("""COMPUTED_VALUE"""),"WR")</f>
        <v>WR</v>
      </c>
      <c r="D1528" s="60" t="str">
        <f>IFERROR(__xludf.DUMMYFUNCTION("""COMPUTED_VALUE"""),"HOU")</f>
        <v>HOU</v>
      </c>
      <c r="E1528" s="62" t="str">
        <f t="shared" si="4"/>
        <v>Xavier Hutchinson</v>
      </c>
      <c r="F1528" s="62">
        <f t="shared" ref="F1528:G1528" si="3055">IF(isblank(F$1),,IF(isblank($A1528),,IFERROR(vlookup($A1528,indirect("'TVC-"&amp;text(month(F$1),"00")&amp;"'!$A:$D"),4,false),1)))</f>
        <v>1866</v>
      </c>
      <c r="G1528" s="62">
        <f t="shared" si="3055"/>
        <v>1857</v>
      </c>
      <c r="H1528" s="62">
        <f t="shared" ref="H1528:Q1528" si="3056">IF(isblank(H$1),,IFERROR(vlookup($A1528,indirect("'TVC-"&amp;text(month(H$1),"00")&amp;"'!$A:$D"),4,false),1))</f>
        <v>1860</v>
      </c>
      <c r="I1528" s="62">
        <f t="shared" si="3056"/>
        <v>1846</v>
      </c>
      <c r="J1528" s="62">
        <f t="shared" si="3056"/>
        <v>1781</v>
      </c>
      <c r="K1528" s="62">
        <f t="shared" si="3056"/>
        <v>1709</v>
      </c>
      <c r="L1528" s="62">
        <f t="shared" si="3056"/>
        <v>1617</v>
      </c>
      <c r="M1528" s="62">
        <f t="shared" si="3056"/>
        <v>1610</v>
      </c>
      <c r="N1528" s="62">
        <f t="shared" si="3056"/>
        <v>1969</v>
      </c>
      <c r="O1528" s="62">
        <f t="shared" si="3056"/>
        <v>1</v>
      </c>
      <c r="P1528" s="62" t="str">
        <f t="shared" si="3056"/>
        <v/>
      </c>
      <c r="Q1528" s="62" t="str">
        <f t="shared" si="3056"/>
        <v/>
      </c>
      <c r="R1528" s="62">
        <f t="shared" si="7"/>
        <v>-1968</v>
      </c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</row>
    <row r="1529">
      <c r="A1529" s="60">
        <f>IFERROR(__xludf.DUMMYFUNCTION("""COMPUTED_VALUE"""),16202.0)</f>
        <v>16202</v>
      </c>
      <c r="B1529" s="60" t="str">
        <f>IFERROR(__xludf.DUMMYFUNCTION("""COMPUTED_VALUE"""),"Bell, Ronnie")</f>
        <v>Bell, Ronnie</v>
      </c>
      <c r="C1529" s="60" t="str">
        <f>IFERROR(__xludf.DUMMYFUNCTION("""COMPUTED_VALUE"""),"WR")</f>
        <v>WR</v>
      </c>
      <c r="D1529" s="60" t="str">
        <f>IFERROR(__xludf.DUMMYFUNCTION("""COMPUTED_VALUE"""),"LVR")</f>
        <v>LVR</v>
      </c>
      <c r="E1529" s="62" t="str">
        <f t="shared" si="4"/>
        <v>Ronnie Bell</v>
      </c>
      <c r="F1529" s="62">
        <f t="shared" ref="F1529:G1529" si="3057">IF(isblank(F$1),,IF(isblank($A1529),,IFERROR(vlookup($A1529,indirect("'TVC-"&amp;text(month(F$1),"00")&amp;"'!$A:$D"),4,false),1)))</f>
        <v>1</v>
      </c>
      <c r="G1529" s="62">
        <f t="shared" si="3057"/>
        <v>1</v>
      </c>
      <c r="H1529" s="62">
        <f t="shared" ref="H1529:Q1529" si="3058">IF(isblank(H$1),,IFERROR(vlookup($A1529,indirect("'TVC-"&amp;text(month(H$1),"00")&amp;"'!$A:$D"),4,false),1))</f>
        <v>1</v>
      </c>
      <c r="I1529" s="62">
        <f t="shared" si="3058"/>
        <v>1</v>
      </c>
      <c r="J1529" s="62">
        <f t="shared" si="3058"/>
        <v>1</v>
      </c>
      <c r="K1529" s="62">
        <f t="shared" si="3058"/>
        <v>1</v>
      </c>
      <c r="L1529" s="62">
        <f t="shared" si="3058"/>
        <v>1</v>
      </c>
      <c r="M1529" s="62">
        <f t="shared" si="3058"/>
        <v>1</v>
      </c>
      <c r="N1529" s="62">
        <f t="shared" si="3058"/>
        <v>1</v>
      </c>
      <c r="O1529" s="62">
        <f t="shared" si="3058"/>
        <v>1</v>
      </c>
      <c r="P1529" s="62" t="str">
        <f t="shared" si="3058"/>
        <v/>
      </c>
      <c r="Q1529" s="62" t="str">
        <f t="shared" si="3058"/>
        <v/>
      </c>
      <c r="R1529" s="62">
        <f t="shared" si="7"/>
        <v>0</v>
      </c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</row>
    <row r="1530" hidden="1">
      <c r="A1530" s="60">
        <f>IFERROR(__xludf.DUMMYFUNCTION("""COMPUTED_VALUE"""),16203.0)</f>
        <v>16203</v>
      </c>
      <c r="B1530" s="60" t="str">
        <f>IFERROR(__xludf.DUMMYFUNCTION("""COMPUTED_VALUE"""),"Jones, Charlie")</f>
        <v>Jones, Charlie</v>
      </c>
      <c r="C1530" s="60" t="str">
        <f>IFERROR(__xludf.DUMMYFUNCTION("""COMPUTED_VALUE"""),"WR")</f>
        <v>WR</v>
      </c>
      <c r="D1530" s="60" t="str">
        <f>IFERROR(__xludf.DUMMYFUNCTION("""COMPUTED_VALUE"""),"NYG")</f>
        <v>NYG</v>
      </c>
      <c r="E1530" s="62" t="str">
        <f t="shared" si="4"/>
        <v>Charlie Jones</v>
      </c>
      <c r="F1530" s="62">
        <f t="shared" ref="F1530:G1530" si="3059">IF(isblank(F$1),,IF(isblank($A1530),,IFERROR(vlookup($A1530,indirect("'TVC-"&amp;text(month(F$1),"00")&amp;"'!$A:$D"),4,false),1)))</f>
        <v>1</v>
      </c>
      <c r="G1530" s="62">
        <f t="shared" si="3059"/>
        <v>1</v>
      </c>
      <c r="H1530" s="62">
        <f t="shared" ref="H1530:Q1530" si="3060">IF(isblank(H$1),,IFERROR(vlookup($A1530,indirect("'TVC-"&amp;text(month(H$1),"00")&amp;"'!$A:$D"),4,false),1))</f>
        <v>1</v>
      </c>
      <c r="I1530" s="62">
        <f t="shared" si="3060"/>
        <v>1</v>
      </c>
      <c r="J1530" s="62">
        <f t="shared" si="3060"/>
        <v>1</v>
      </c>
      <c r="K1530" s="62">
        <f t="shared" si="3060"/>
        <v>1</v>
      </c>
      <c r="L1530" s="62">
        <f t="shared" si="3060"/>
        <v>1</v>
      </c>
      <c r="M1530" s="62">
        <f t="shared" si="3060"/>
        <v>1</v>
      </c>
      <c r="N1530" s="62">
        <f t="shared" si="3060"/>
        <v>1</v>
      </c>
      <c r="O1530" s="62">
        <f t="shared" si="3060"/>
        <v>1</v>
      </c>
      <c r="P1530" s="62" t="str">
        <f t="shared" si="3060"/>
        <v/>
      </c>
      <c r="Q1530" s="62" t="str">
        <f t="shared" si="3060"/>
        <v/>
      </c>
      <c r="R1530" s="62">
        <f t="shared" si="7"/>
        <v>0</v>
      </c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</row>
    <row r="1531" hidden="1">
      <c r="A1531" s="60">
        <f>IFERROR(__xludf.DUMMYFUNCTION("""COMPUTED_VALUE"""),16204.0)</f>
        <v>16204</v>
      </c>
      <c r="B1531" s="60" t="str">
        <f>IFERROR(__xludf.DUMMYFUNCTION("""COMPUTED_VALUE"""),"Dell, Tank")</f>
        <v>Dell, Tank</v>
      </c>
      <c r="C1531" s="60" t="str">
        <f>IFERROR(__xludf.DUMMYFUNCTION("""COMPUTED_VALUE"""),"WR")</f>
        <v>WR</v>
      </c>
      <c r="D1531" s="60" t="str">
        <f>IFERROR(__xludf.DUMMYFUNCTION("""COMPUTED_VALUE"""),"HOU")</f>
        <v>HOU</v>
      </c>
      <c r="E1531" s="62" t="str">
        <f t="shared" si="4"/>
        <v>Tank Dell</v>
      </c>
      <c r="F1531" s="62">
        <f t="shared" ref="F1531:G1531" si="3061">IF(isblank(F$1),,IF(isblank($A1531),,IFERROR(vlookup($A1531,indirect("'TVC-"&amp;text(month(F$1),"00")&amp;"'!$A:$D"),4,false),1)))</f>
        <v>2348</v>
      </c>
      <c r="G1531" s="62">
        <f t="shared" si="3061"/>
        <v>2411</v>
      </c>
      <c r="H1531" s="62">
        <f t="shared" ref="H1531:Q1531" si="3062">IF(isblank(H$1),,IFERROR(vlookup($A1531,indirect("'TVC-"&amp;text(month(H$1),"00")&amp;"'!$A:$D"),4,false),1))</f>
        <v>2424</v>
      </c>
      <c r="I1531" s="62">
        <f t="shared" si="3062"/>
        <v>2514</v>
      </c>
      <c r="J1531" s="62">
        <f t="shared" si="3062"/>
        <v>2377</v>
      </c>
      <c r="K1531" s="62">
        <f t="shared" si="3062"/>
        <v>2541</v>
      </c>
      <c r="L1531" s="62">
        <f t="shared" si="3062"/>
        <v>2533</v>
      </c>
      <c r="M1531" s="62">
        <f t="shared" si="3062"/>
        <v>2578</v>
      </c>
      <c r="N1531" s="62">
        <f t="shared" si="3062"/>
        <v>2477</v>
      </c>
      <c r="O1531" s="62">
        <f t="shared" si="3062"/>
        <v>1</v>
      </c>
      <c r="P1531" s="62" t="str">
        <f t="shared" si="3062"/>
        <v/>
      </c>
      <c r="Q1531" s="62" t="str">
        <f t="shared" si="3062"/>
        <v/>
      </c>
      <c r="R1531" s="62">
        <f t="shared" si="7"/>
        <v>-2476</v>
      </c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</row>
    <row r="1532" hidden="1">
      <c r="A1532" s="60">
        <f>IFERROR(__xludf.DUMMYFUNCTION("""COMPUTED_VALUE"""),16205.0)</f>
        <v>16205</v>
      </c>
      <c r="B1532" s="60" t="str">
        <f>IFERROR(__xludf.DUMMYFUNCTION("""COMPUTED_VALUE"""),"Scott, Tyler")</f>
        <v>Scott, Tyler</v>
      </c>
      <c r="C1532" s="60" t="str">
        <f>IFERROR(__xludf.DUMMYFUNCTION("""COMPUTED_VALUE"""),"WR")</f>
        <v>WR</v>
      </c>
      <c r="D1532" s="60" t="str">
        <f>IFERROR(__xludf.DUMMYFUNCTION("""COMPUTED_VALUE"""),"LVR")</f>
        <v>LVR</v>
      </c>
      <c r="E1532" s="62" t="str">
        <f t="shared" si="4"/>
        <v>Tyler Scott</v>
      </c>
      <c r="F1532" s="62">
        <f t="shared" ref="F1532:G1532" si="3063">IF(isblank(F$1),,IF(isblank($A1532),,IFERROR(vlookup($A1532,indirect("'TVC-"&amp;text(month(F$1),"00")&amp;"'!$A:$D"),4,false),1)))</f>
        <v>874</v>
      </c>
      <c r="G1532" s="62">
        <f t="shared" si="3063"/>
        <v>945</v>
      </c>
      <c r="H1532" s="62">
        <f t="shared" ref="H1532:Q1532" si="3064">IF(isblank(H$1),,IFERROR(vlookup($A1532,indirect("'TVC-"&amp;text(month(H$1),"00")&amp;"'!$A:$D"),4,false),1))</f>
        <v>942</v>
      </c>
      <c r="I1532" s="62">
        <f t="shared" si="3064"/>
        <v>953</v>
      </c>
      <c r="J1532" s="62">
        <f t="shared" si="3064"/>
        <v>1016</v>
      </c>
      <c r="K1532" s="62">
        <f t="shared" si="3064"/>
        <v>971</v>
      </c>
      <c r="L1532" s="62">
        <f t="shared" si="3064"/>
        <v>941</v>
      </c>
      <c r="M1532" s="62">
        <f t="shared" si="3064"/>
        <v>997</v>
      </c>
      <c r="N1532" s="62">
        <f t="shared" si="3064"/>
        <v>953</v>
      </c>
      <c r="O1532" s="62">
        <f t="shared" si="3064"/>
        <v>1</v>
      </c>
      <c r="P1532" s="62" t="str">
        <f t="shared" si="3064"/>
        <v/>
      </c>
      <c r="Q1532" s="62" t="str">
        <f t="shared" si="3064"/>
        <v/>
      </c>
      <c r="R1532" s="62">
        <f t="shared" si="7"/>
        <v>-952</v>
      </c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</row>
    <row r="1533" hidden="1">
      <c r="A1533" s="60">
        <f>IFERROR(__xludf.DUMMYFUNCTION("""COMPUTED_VALUE"""),16206.0)</f>
        <v>16206</v>
      </c>
      <c r="B1533" s="60" t="str">
        <f>IFERROR(__xludf.DUMMYFUNCTION("""COMPUTED_VALUE"""),"Wilson, Michael")</f>
        <v>Wilson, Michael</v>
      </c>
      <c r="C1533" s="60" t="str">
        <f>IFERROR(__xludf.DUMMYFUNCTION("""COMPUTED_VALUE"""),"WR")</f>
        <v>WR</v>
      </c>
      <c r="D1533" s="60" t="str">
        <f>IFERROR(__xludf.DUMMYFUNCTION("""COMPUTED_VALUE"""),"ARI")</f>
        <v>ARI</v>
      </c>
      <c r="E1533" s="62" t="str">
        <f t="shared" si="4"/>
        <v>Michael Wilson</v>
      </c>
      <c r="F1533" s="62">
        <f t="shared" ref="F1533:G1533" si="3065">IF(isblank(F$1),,IF(isblank($A1533),,IFERROR(vlookup($A1533,indirect("'TVC-"&amp;text(month(F$1),"00")&amp;"'!$A:$D"),4,false),1)))</f>
        <v>3607</v>
      </c>
      <c r="G1533" s="62">
        <f t="shared" si="3065"/>
        <v>3878</v>
      </c>
      <c r="H1533" s="62">
        <f t="shared" ref="H1533:Q1533" si="3066">IF(isblank(H$1),,IFERROR(vlookup($A1533,indirect("'TVC-"&amp;text(month(H$1),"00")&amp;"'!$A:$D"),4,false),1))</f>
        <v>3893</v>
      </c>
      <c r="I1533" s="62">
        <f t="shared" si="3066"/>
        <v>3731</v>
      </c>
      <c r="J1533" s="62">
        <f t="shared" si="3066"/>
        <v>3709</v>
      </c>
      <c r="K1533" s="62">
        <f t="shared" si="3066"/>
        <v>3646</v>
      </c>
      <c r="L1533" s="62">
        <f t="shared" si="3066"/>
        <v>3604</v>
      </c>
      <c r="M1533" s="62">
        <f t="shared" si="3066"/>
        <v>3731</v>
      </c>
      <c r="N1533" s="62">
        <f t="shared" si="3066"/>
        <v>3720</v>
      </c>
      <c r="O1533" s="62">
        <f t="shared" si="3066"/>
        <v>1</v>
      </c>
      <c r="P1533" s="62" t="str">
        <f t="shared" si="3066"/>
        <v/>
      </c>
      <c r="Q1533" s="62" t="str">
        <f t="shared" si="3066"/>
        <v/>
      </c>
      <c r="R1533" s="62">
        <f t="shared" si="7"/>
        <v>-3719</v>
      </c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</row>
    <row r="1534" hidden="1">
      <c r="A1534" s="60">
        <f>IFERROR(__xludf.DUMMYFUNCTION("""COMPUTED_VALUE"""),16207.0)</f>
        <v>16207</v>
      </c>
      <c r="B1534" s="60" t="str">
        <f>IFERROR(__xludf.DUMMYFUNCTION("""COMPUTED_VALUE"""),"Iosivas, Andrei")</f>
        <v>Iosivas, Andrei</v>
      </c>
      <c r="C1534" s="60" t="str">
        <f>IFERROR(__xludf.DUMMYFUNCTION("""COMPUTED_VALUE"""),"WR")</f>
        <v>WR</v>
      </c>
      <c r="D1534" s="60" t="str">
        <f>IFERROR(__xludf.DUMMYFUNCTION("""COMPUTED_VALUE"""),"CIN")</f>
        <v>CIN</v>
      </c>
      <c r="E1534" s="62" t="str">
        <f t="shared" si="4"/>
        <v>Andrei Iosivas</v>
      </c>
      <c r="F1534" s="62">
        <f t="shared" ref="F1534:G1534" si="3067">IF(isblank(F$1),,IF(isblank($A1534),,IFERROR(vlookup($A1534,indirect("'TVC-"&amp;text(month(F$1),"00")&amp;"'!$A:$D"),4,false),1)))</f>
        <v>1826</v>
      </c>
      <c r="G1534" s="62">
        <f t="shared" si="3067"/>
        <v>1757</v>
      </c>
      <c r="H1534" s="62">
        <f t="shared" ref="H1534:Q1534" si="3068">IF(isblank(H$1),,IFERROR(vlookup($A1534,indirect("'TVC-"&amp;text(month(H$1),"00")&amp;"'!$A:$D"),4,false),1))</f>
        <v>1704</v>
      </c>
      <c r="I1534" s="62">
        <f t="shared" si="3068"/>
        <v>1728</v>
      </c>
      <c r="J1534" s="62">
        <f t="shared" si="3068"/>
        <v>1650</v>
      </c>
      <c r="K1534" s="62">
        <f t="shared" si="3068"/>
        <v>1643</v>
      </c>
      <c r="L1534" s="62">
        <f t="shared" si="3068"/>
        <v>1643</v>
      </c>
      <c r="M1534" s="62">
        <f t="shared" si="3068"/>
        <v>1645</v>
      </c>
      <c r="N1534" s="62">
        <f t="shared" si="3068"/>
        <v>1596</v>
      </c>
      <c r="O1534" s="62">
        <f t="shared" si="3068"/>
        <v>1</v>
      </c>
      <c r="P1534" s="62" t="str">
        <f t="shared" si="3068"/>
        <v/>
      </c>
      <c r="Q1534" s="62" t="str">
        <f t="shared" si="3068"/>
        <v/>
      </c>
      <c r="R1534" s="62">
        <f t="shared" si="7"/>
        <v>-1595</v>
      </c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</row>
    <row r="1535" hidden="1">
      <c r="A1535" s="60">
        <f>IFERROR(__xludf.DUMMYFUNCTION("""COMPUTED_VALUE"""),16210.0)</f>
        <v>16210</v>
      </c>
      <c r="B1535" s="60" t="str">
        <f>IFERROR(__xludf.DUMMYFUNCTION("""COMPUTED_VALUE"""),"Shorter, Justin")</f>
        <v>Shorter, Justin</v>
      </c>
      <c r="C1535" s="60" t="str">
        <f>IFERROR(__xludf.DUMMYFUNCTION("""COMPUTED_VALUE"""),"WR")</f>
        <v>WR</v>
      </c>
      <c r="D1535" s="60" t="str">
        <f>IFERROR(__xludf.DUMMYFUNCTION("""COMPUTED_VALUE"""),"FA")</f>
        <v>FA</v>
      </c>
      <c r="E1535" s="62" t="str">
        <f t="shared" si="4"/>
        <v>Justin Shorter</v>
      </c>
      <c r="F1535" s="62">
        <f t="shared" ref="F1535:G1535" si="3069">IF(isblank(F$1),,IF(isblank($A1535),,IFERROR(vlookup($A1535,indirect("'TVC-"&amp;text(month(F$1),"00")&amp;"'!$A:$D"),4,false),1)))</f>
        <v>389</v>
      </c>
      <c r="G1535" s="62">
        <f t="shared" si="3069"/>
        <v>1</v>
      </c>
      <c r="H1535" s="62">
        <f t="shared" ref="H1535:Q1535" si="3070">IF(isblank(H$1),,IFERROR(vlookup($A1535,indirect("'TVC-"&amp;text(month(H$1),"00")&amp;"'!$A:$D"),4,false),1))</f>
        <v>1</v>
      </c>
      <c r="I1535" s="62">
        <f t="shared" si="3070"/>
        <v>1</v>
      </c>
      <c r="J1535" s="62">
        <f t="shared" si="3070"/>
        <v>1</v>
      </c>
      <c r="K1535" s="62">
        <f t="shared" si="3070"/>
        <v>1</v>
      </c>
      <c r="L1535" s="62">
        <f t="shared" si="3070"/>
        <v>1</v>
      </c>
      <c r="M1535" s="62">
        <f t="shared" si="3070"/>
        <v>1</v>
      </c>
      <c r="N1535" s="62">
        <f t="shared" si="3070"/>
        <v>1</v>
      </c>
      <c r="O1535" s="62">
        <f t="shared" si="3070"/>
        <v>1</v>
      </c>
      <c r="P1535" s="62" t="str">
        <f t="shared" si="3070"/>
        <v/>
      </c>
      <c r="Q1535" s="62" t="str">
        <f t="shared" si="3070"/>
        <v/>
      </c>
      <c r="R1535" s="62">
        <f t="shared" si="7"/>
        <v>0</v>
      </c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</row>
    <row r="1536" hidden="1">
      <c r="A1536" s="60">
        <f>IFERROR(__xludf.DUMMYFUNCTION("""COMPUTED_VALUE"""),16211.0)</f>
        <v>16211</v>
      </c>
      <c r="B1536" s="60" t="str">
        <f>IFERROR(__xludf.DUMMYFUNCTION("""COMPUTED_VALUE"""),"Nacua, Puka")</f>
        <v>Nacua, Puka</v>
      </c>
      <c r="C1536" s="60" t="str">
        <f>IFERROR(__xludf.DUMMYFUNCTION("""COMPUTED_VALUE"""),"WR")</f>
        <v>WR</v>
      </c>
      <c r="D1536" s="60" t="str">
        <f>IFERROR(__xludf.DUMMYFUNCTION("""COMPUTED_VALUE"""),"LAR")</f>
        <v>LAR</v>
      </c>
      <c r="E1536" s="62" t="str">
        <f t="shared" si="4"/>
        <v>Puka Nacua</v>
      </c>
      <c r="F1536" s="62">
        <f t="shared" ref="F1536:G1536" si="3071">IF(isblank(F$1),,IF(isblank($A1536),,IFERROR(vlookup($A1536,indirect("'TVC-"&amp;text(month(F$1),"00")&amp;"'!$A:$D"),4,false),1)))</f>
        <v>9591</v>
      </c>
      <c r="G1536" s="62">
        <f t="shared" si="3071"/>
        <v>9553</v>
      </c>
      <c r="H1536" s="62">
        <f t="shared" ref="H1536:Q1536" si="3072">IF(isblank(H$1),,IFERROR(vlookup($A1536,indirect("'TVC-"&amp;text(month(H$1),"00")&amp;"'!$A:$D"),4,false),1))</f>
        <v>9507</v>
      </c>
      <c r="I1536" s="62">
        <f t="shared" si="3072"/>
        <v>9253</v>
      </c>
      <c r="J1536" s="62">
        <f t="shared" si="3072"/>
        <v>8579</v>
      </c>
      <c r="K1536" s="62">
        <f t="shared" si="3072"/>
        <v>8603</v>
      </c>
      <c r="L1536" s="62">
        <f t="shared" si="3072"/>
        <v>8741</v>
      </c>
      <c r="M1536" s="62">
        <f t="shared" si="3072"/>
        <v>8785</v>
      </c>
      <c r="N1536" s="62">
        <f t="shared" si="3072"/>
        <v>8581</v>
      </c>
      <c r="O1536" s="62">
        <f t="shared" si="3072"/>
        <v>1</v>
      </c>
      <c r="P1536" s="62" t="str">
        <f t="shared" si="3072"/>
        <v/>
      </c>
      <c r="Q1536" s="62" t="str">
        <f t="shared" si="3072"/>
        <v/>
      </c>
      <c r="R1536" s="62">
        <f t="shared" si="7"/>
        <v>-8580</v>
      </c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</row>
    <row r="1537" hidden="1">
      <c r="A1537" s="60">
        <f>IFERROR(__xludf.DUMMYFUNCTION("""COMPUTED_VALUE"""),16212.0)</f>
        <v>16212</v>
      </c>
      <c r="B1537" s="60" t="str">
        <f>IFERROR(__xludf.DUMMYFUNCTION("""COMPUTED_VALUE"""),"Mayer, Michael")</f>
        <v>Mayer, Michael</v>
      </c>
      <c r="C1537" s="60" t="str">
        <f>IFERROR(__xludf.DUMMYFUNCTION("""COMPUTED_VALUE"""),"TE")</f>
        <v>TE</v>
      </c>
      <c r="D1537" s="60" t="str">
        <f>IFERROR(__xludf.DUMMYFUNCTION("""COMPUTED_VALUE"""),"LVR")</f>
        <v>LVR</v>
      </c>
      <c r="E1537" s="62" t="str">
        <f t="shared" si="4"/>
        <v>Michael Mayer</v>
      </c>
      <c r="F1537" s="62">
        <f t="shared" ref="F1537:G1537" si="3073">IF(isblank(F$1),,IF(isblank($A1537),,IFERROR(vlookup($A1537,indirect("'TVC-"&amp;text(month(F$1),"00")&amp;"'!$A:$D"),4,false),1)))</f>
        <v>2516</v>
      </c>
      <c r="G1537" s="62">
        <f t="shared" si="3073"/>
        <v>2686</v>
      </c>
      <c r="H1537" s="62">
        <f t="shared" ref="H1537:Q1537" si="3074">IF(isblank(H$1),,IFERROR(vlookup($A1537,indirect("'TVC-"&amp;text(month(H$1),"00")&amp;"'!$A:$D"),4,false),1))</f>
        <v>2712</v>
      </c>
      <c r="I1537" s="62">
        <f t="shared" si="3074"/>
        <v>2711</v>
      </c>
      <c r="J1537" s="62">
        <f t="shared" si="3074"/>
        <v>2554</v>
      </c>
      <c r="K1537" s="62">
        <f t="shared" si="3074"/>
        <v>2494</v>
      </c>
      <c r="L1537" s="62">
        <f t="shared" si="3074"/>
        <v>2584</v>
      </c>
      <c r="M1537" s="62">
        <f t="shared" si="3074"/>
        <v>2522</v>
      </c>
      <c r="N1537" s="62">
        <f t="shared" si="3074"/>
        <v>2509</v>
      </c>
      <c r="O1537" s="62">
        <f t="shared" si="3074"/>
        <v>1</v>
      </c>
      <c r="P1537" s="62" t="str">
        <f t="shared" si="3074"/>
        <v/>
      </c>
      <c r="Q1537" s="62" t="str">
        <f t="shared" si="3074"/>
        <v/>
      </c>
      <c r="R1537" s="62">
        <f t="shared" si="7"/>
        <v>-2508</v>
      </c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</row>
    <row r="1538" hidden="1">
      <c r="A1538" s="60">
        <f>IFERROR(__xludf.DUMMYFUNCTION("""COMPUTED_VALUE"""),16213.0)</f>
        <v>16213</v>
      </c>
      <c r="B1538" s="60" t="str">
        <f>IFERROR(__xludf.DUMMYFUNCTION("""COMPUTED_VALUE"""),"Kincaid, Dalton")</f>
        <v>Kincaid, Dalton</v>
      </c>
      <c r="C1538" s="60" t="str">
        <f>IFERROR(__xludf.DUMMYFUNCTION("""COMPUTED_VALUE"""),"TE")</f>
        <v>TE</v>
      </c>
      <c r="D1538" s="60" t="str">
        <f>IFERROR(__xludf.DUMMYFUNCTION("""COMPUTED_VALUE"""),"BUF")</f>
        <v>BUF</v>
      </c>
      <c r="E1538" s="62" t="str">
        <f t="shared" si="4"/>
        <v>Dalton Kincaid</v>
      </c>
      <c r="F1538" s="62">
        <f t="shared" ref="F1538:G1538" si="3075">IF(isblank(F$1),,IF(isblank($A1538),,IFERROR(vlookup($A1538,indirect("'TVC-"&amp;text(month(F$1),"00")&amp;"'!$A:$D"),4,false),1)))</f>
        <v>3731</v>
      </c>
      <c r="G1538" s="62">
        <f t="shared" si="3075"/>
        <v>4026</v>
      </c>
      <c r="H1538" s="62">
        <f t="shared" ref="H1538:Q1538" si="3076">IF(isblank(H$1),,IFERROR(vlookup($A1538,indirect("'TVC-"&amp;text(month(H$1),"00")&amp;"'!$A:$D"),4,false),1))</f>
        <v>4039</v>
      </c>
      <c r="I1538" s="62">
        <f t="shared" si="3076"/>
        <v>3802</v>
      </c>
      <c r="J1538" s="62">
        <f t="shared" si="3076"/>
        <v>3665</v>
      </c>
      <c r="K1538" s="62">
        <f t="shared" si="3076"/>
        <v>3683</v>
      </c>
      <c r="L1538" s="62">
        <f t="shared" si="3076"/>
        <v>3570</v>
      </c>
      <c r="M1538" s="62">
        <f t="shared" si="3076"/>
        <v>3632</v>
      </c>
      <c r="N1538" s="62">
        <f t="shared" si="3076"/>
        <v>3663</v>
      </c>
      <c r="O1538" s="62">
        <f t="shared" si="3076"/>
        <v>1</v>
      </c>
      <c r="P1538" s="62" t="str">
        <f t="shared" si="3076"/>
        <v/>
      </c>
      <c r="Q1538" s="62" t="str">
        <f t="shared" si="3076"/>
        <v/>
      </c>
      <c r="R1538" s="62">
        <f t="shared" si="7"/>
        <v>-3662</v>
      </c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</row>
    <row r="1539" hidden="1">
      <c r="A1539" s="60">
        <f>IFERROR(__xludf.DUMMYFUNCTION("""COMPUTED_VALUE"""),16214.0)</f>
        <v>16214</v>
      </c>
      <c r="B1539" s="60" t="str">
        <f>IFERROR(__xludf.DUMMYFUNCTION("""COMPUTED_VALUE"""),"LaPorta, Sam")</f>
        <v>LaPorta, Sam</v>
      </c>
      <c r="C1539" s="60" t="str">
        <f>IFERROR(__xludf.DUMMYFUNCTION("""COMPUTED_VALUE"""),"TE")</f>
        <v>TE</v>
      </c>
      <c r="D1539" s="60" t="str">
        <f>IFERROR(__xludf.DUMMYFUNCTION("""COMPUTED_VALUE"""),"DET")</f>
        <v>DET</v>
      </c>
      <c r="E1539" s="62" t="str">
        <f t="shared" si="4"/>
        <v>Sam LaPorta</v>
      </c>
      <c r="F1539" s="62">
        <f t="shared" ref="F1539:G1539" si="3077">IF(isblank(F$1),,IF(isblank($A1539),,IFERROR(vlookup($A1539,indirect("'TVC-"&amp;text(month(F$1),"00")&amp;"'!$A:$D"),4,false),1)))</f>
        <v>5059</v>
      </c>
      <c r="G1539" s="62">
        <f t="shared" si="3077"/>
        <v>5137</v>
      </c>
      <c r="H1539" s="62">
        <f t="shared" ref="H1539:Q1539" si="3078">IF(isblank(H$1),,IFERROR(vlookup($A1539,indirect("'TVC-"&amp;text(month(H$1),"00")&amp;"'!$A:$D"),4,false),1))</f>
        <v>5132</v>
      </c>
      <c r="I1539" s="62">
        <f t="shared" si="3078"/>
        <v>5097</v>
      </c>
      <c r="J1539" s="62">
        <f t="shared" si="3078"/>
        <v>5093</v>
      </c>
      <c r="K1539" s="62">
        <f t="shared" si="3078"/>
        <v>5096</v>
      </c>
      <c r="L1539" s="62">
        <f t="shared" si="3078"/>
        <v>5011</v>
      </c>
      <c r="M1539" s="62">
        <f t="shared" si="3078"/>
        <v>5172</v>
      </c>
      <c r="N1539" s="62">
        <f t="shared" si="3078"/>
        <v>5080</v>
      </c>
      <c r="O1539" s="62">
        <f t="shared" si="3078"/>
        <v>1</v>
      </c>
      <c r="P1539" s="62" t="str">
        <f t="shared" si="3078"/>
        <v/>
      </c>
      <c r="Q1539" s="62" t="str">
        <f t="shared" si="3078"/>
        <v/>
      </c>
      <c r="R1539" s="62">
        <f t="shared" si="7"/>
        <v>-5079</v>
      </c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</row>
    <row r="1540" hidden="1">
      <c r="A1540" s="60">
        <f>IFERROR(__xludf.DUMMYFUNCTION("""COMPUTED_VALUE"""),16215.0)</f>
        <v>16215</v>
      </c>
      <c r="B1540" s="60" t="str">
        <f>IFERROR(__xludf.DUMMYFUNCTION("""COMPUTED_VALUE"""),"Musgrave, Luke")</f>
        <v>Musgrave, Luke</v>
      </c>
      <c r="C1540" s="60" t="str">
        <f>IFERROR(__xludf.DUMMYFUNCTION("""COMPUTED_VALUE"""),"TE")</f>
        <v>TE</v>
      </c>
      <c r="D1540" s="60" t="str">
        <f>IFERROR(__xludf.DUMMYFUNCTION("""COMPUTED_VALUE"""),"GBP")</f>
        <v>GBP</v>
      </c>
      <c r="E1540" s="62" t="str">
        <f t="shared" si="4"/>
        <v>Luke Musgrave</v>
      </c>
      <c r="F1540" s="62">
        <f t="shared" ref="F1540:G1540" si="3079">IF(isblank(F$1),,IF(isblank($A1540),,IFERROR(vlookup($A1540,indirect("'TVC-"&amp;text(month(F$1),"00")&amp;"'!$A:$D"),4,false),1)))</f>
        <v>2263</v>
      </c>
      <c r="G1540" s="62">
        <f t="shared" si="3079"/>
        <v>2260</v>
      </c>
      <c r="H1540" s="62">
        <f t="shared" ref="H1540:Q1540" si="3080">IF(isblank(H$1),,IFERROR(vlookup($A1540,indirect("'TVC-"&amp;text(month(H$1),"00")&amp;"'!$A:$D"),4,false),1))</f>
        <v>2271</v>
      </c>
      <c r="I1540" s="62">
        <f t="shared" si="3080"/>
        <v>2280</v>
      </c>
      <c r="J1540" s="62">
        <f t="shared" si="3080"/>
        <v>2216</v>
      </c>
      <c r="K1540" s="62">
        <f t="shared" si="3080"/>
        <v>2224</v>
      </c>
      <c r="L1540" s="62">
        <f t="shared" si="3080"/>
        <v>2166</v>
      </c>
      <c r="M1540" s="62">
        <f t="shared" si="3080"/>
        <v>2130</v>
      </c>
      <c r="N1540" s="62">
        <f t="shared" si="3080"/>
        <v>1969</v>
      </c>
      <c r="O1540" s="62">
        <f t="shared" si="3080"/>
        <v>1</v>
      </c>
      <c r="P1540" s="62" t="str">
        <f t="shared" si="3080"/>
        <v/>
      </c>
      <c r="Q1540" s="62" t="str">
        <f t="shared" si="3080"/>
        <v/>
      </c>
      <c r="R1540" s="62">
        <f t="shared" si="7"/>
        <v>-1968</v>
      </c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</row>
    <row r="1541" hidden="1">
      <c r="A1541" s="60">
        <f>IFERROR(__xludf.DUMMYFUNCTION("""COMPUTED_VALUE"""),16216.0)</f>
        <v>16216</v>
      </c>
      <c r="B1541" s="60" t="str">
        <f>IFERROR(__xludf.DUMMYFUNCTION("""COMPUTED_VALUE"""),"Washington, Darnell")</f>
        <v>Washington, Darnell</v>
      </c>
      <c r="C1541" s="60" t="str">
        <f>IFERROR(__xludf.DUMMYFUNCTION("""COMPUTED_VALUE"""),"TE")</f>
        <v>TE</v>
      </c>
      <c r="D1541" s="60" t="str">
        <f>IFERROR(__xludf.DUMMYFUNCTION("""COMPUTED_VALUE"""),"PIT")</f>
        <v>PIT</v>
      </c>
      <c r="E1541" s="62" t="str">
        <f t="shared" si="4"/>
        <v>Darnell Washington</v>
      </c>
      <c r="F1541" s="62">
        <f t="shared" ref="F1541:G1541" si="3081">IF(isblank(F$1),,IF(isblank($A1541),,IFERROR(vlookup($A1541,indirect("'TVC-"&amp;text(month(F$1),"00")&amp;"'!$A:$D"),4,false),1)))</f>
        <v>2349</v>
      </c>
      <c r="G1541" s="62">
        <f t="shared" si="3081"/>
        <v>2283</v>
      </c>
      <c r="H1541" s="62">
        <f t="shared" ref="H1541:Q1541" si="3082">IF(isblank(H$1),,IFERROR(vlookup($A1541,indirect("'TVC-"&amp;text(month(H$1),"00")&amp;"'!$A:$D"),4,false),1))</f>
        <v>2296</v>
      </c>
      <c r="I1541" s="62">
        <f t="shared" si="3082"/>
        <v>2310</v>
      </c>
      <c r="J1541" s="62">
        <f t="shared" si="3082"/>
        <v>2304</v>
      </c>
      <c r="K1541" s="62">
        <f t="shared" si="3082"/>
        <v>2195</v>
      </c>
      <c r="L1541" s="62">
        <f t="shared" si="3082"/>
        <v>2285</v>
      </c>
      <c r="M1541" s="62">
        <f t="shared" si="3082"/>
        <v>2284</v>
      </c>
      <c r="N1541" s="62">
        <f t="shared" si="3082"/>
        <v>2314</v>
      </c>
      <c r="O1541" s="62">
        <f t="shared" si="3082"/>
        <v>1</v>
      </c>
      <c r="P1541" s="62" t="str">
        <f t="shared" si="3082"/>
        <v/>
      </c>
      <c r="Q1541" s="62" t="str">
        <f t="shared" si="3082"/>
        <v/>
      </c>
      <c r="R1541" s="62">
        <f t="shared" si="7"/>
        <v>-2313</v>
      </c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</row>
    <row r="1542" hidden="1">
      <c r="A1542" s="60">
        <f>IFERROR(__xludf.DUMMYFUNCTION("""COMPUTED_VALUE"""),16217.0)</f>
        <v>16217</v>
      </c>
      <c r="B1542" s="60" t="str">
        <f>IFERROR(__xludf.DUMMYFUNCTION("""COMPUTED_VALUE"""),"Latu, Cameron")</f>
        <v>Latu, Cameron</v>
      </c>
      <c r="C1542" s="60" t="str">
        <f>IFERROR(__xludf.DUMMYFUNCTION("""COMPUTED_VALUE"""),"TE")</f>
        <v>TE</v>
      </c>
      <c r="D1542" s="60" t="str">
        <f>IFERROR(__xludf.DUMMYFUNCTION("""COMPUTED_VALUE"""),"NEP")</f>
        <v>NEP</v>
      </c>
      <c r="E1542" s="62" t="str">
        <f t="shared" si="4"/>
        <v>Cameron Latu</v>
      </c>
      <c r="F1542" s="62">
        <f t="shared" ref="F1542:G1542" si="3083">IF(isblank(F$1),,IF(isblank($A1542),,IFERROR(vlookup($A1542,indirect("'TVC-"&amp;text(month(F$1),"00")&amp;"'!$A:$D"),4,false),1)))</f>
        <v>1</v>
      </c>
      <c r="G1542" s="62">
        <f t="shared" si="3083"/>
        <v>1</v>
      </c>
      <c r="H1542" s="62">
        <f t="shared" ref="H1542:Q1542" si="3084">IF(isblank(H$1),,IFERROR(vlookup($A1542,indirect("'TVC-"&amp;text(month(H$1),"00")&amp;"'!$A:$D"),4,false),1))</f>
        <v>1</v>
      </c>
      <c r="I1542" s="62">
        <f t="shared" si="3084"/>
        <v>1</v>
      </c>
      <c r="J1542" s="62">
        <f t="shared" si="3084"/>
        <v>1</v>
      </c>
      <c r="K1542" s="62">
        <f t="shared" si="3084"/>
        <v>1</v>
      </c>
      <c r="L1542" s="62">
        <f t="shared" si="3084"/>
        <v>1</v>
      </c>
      <c r="M1542" s="62">
        <f t="shared" si="3084"/>
        <v>1</v>
      </c>
      <c r="N1542" s="62">
        <f t="shared" si="3084"/>
        <v>1</v>
      </c>
      <c r="O1542" s="62">
        <f t="shared" si="3084"/>
        <v>1</v>
      </c>
      <c r="P1542" s="62" t="str">
        <f t="shared" si="3084"/>
        <v/>
      </c>
      <c r="Q1542" s="62" t="str">
        <f t="shared" si="3084"/>
        <v/>
      </c>
      <c r="R1542" s="62">
        <f t="shared" si="7"/>
        <v>0</v>
      </c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</row>
    <row r="1543" hidden="1">
      <c r="A1543" s="60">
        <f>IFERROR(__xludf.DUMMYFUNCTION("""COMPUTED_VALUE"""),16218.0)</f>
        <v>16218</v>
      </c>
      <c r="B1543" s="60" t="str">
        <f>IFERROR(__xludf.DUMMYFUNCTION("""COMPUTED_VALUE"""),"Durham, Payne")</f>
        <v>Durham, Payne</v>
      </c>
      <c r="C1543" s="60" t="str">
        <f>IFERROR(__xludf.DUMMYFUNCTION("""COMPUTED_VALUE"""),"TE")</f>
        <v>TE</v>
      </c>
      <c r="D1543" s="60" t="str">
        <f>IFERROR(__xludf.DUMMYFUNCTION("""COMPUTED_VALUE"""),"TBB")</f>
        <v>TBB</v>
      </c>
      <c r="E1543" s="62" t="str">
        <f t="shared" si="4"/>
        <v>Payne Durham</v>
      </c>
      <c r="F1543" s="62">
        <f t="shared" ref="F1543:G1543" si="3085">IF(isblank(F$1),,IF(isblank($A1543),,IFERROR(vlookup($A1543,indirect("'TVC-"&amp;text(month(F$1),"00")&amp;"'!$A:$D"),4,false),1)))</f>
        <v>1</v>
      </c>
      <c r="G1543" s="62">
        <f t="shared" si="3085"/>
        <v>1</v>
      </c>
      <c r="H1543" s="62">
        <f t="shared" ref="H1543:Q1543" si="3086">IF(isblank(H$1),,IFERROR(vlookup($A1543,indirect("'TVC-"&amp;text(month(H$1),"00")&amp;"'!$A:$D"),4,false),1))</f>
        <v>1</v>
      </c>
      <c r="I1543" s="62">
        <f t="shared" si="3086"/>
        <v>1</v>
      </c>
      <c r="J1543" s="62">
        <f t="shared" si="3086"/>
        <v>1</v>
      </c>
      <c r="K1543" s="62">
        <f t="shared" si="3086"/>
        <v>1</v>
      </c>
      <c r="L1543" s="62">
        <f t="shared" si="3086"/>
        <v>1</v>
      </c>
      <c r="M1543" s="62">
        <f t="shared" si="3086"/>
        <v>1</v>
      </c>
      <c r="N1543" s="62">
        <f t="shared" si="3086"/>
        <v>1</v>
      </c>
      <c r="O1543" s="62">
        <f t="shared" si="3086"/>
        <v>1</v>
      </c>
      <c r="P1543" s="62" t="str">
        <f t="shared" si="3086"/>
        <v/>
      </c>
      <c r="Q1543" s="62" t="str">
        <f t="shared" si="3086"/>
        <v/>
      </c>
      <c r="R1543" s="62">
        <f t="shared" si="7"/>
        <v>0</v>
      </c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</row>
    <row r="1544" hidden="1">
      <c r="A1544" s="60">
        <f>IFERROR(__xludf.DUMMYFUNCTION("""COMPUTED_VALUE"""),16219.0)</f>
        <v>16219</v>
      </c>
      <c r="B1544" s="60" t="str">
        <f>IFERROR(__xludf.DUMMYFUNCTION("""COMPUTED_VALUE"""),"Allen, Davis")</f>
        <v>Allen, Davis</v>
      </c>
      <c r="C1544" s="60" t="str">
        <f>IFERROR(__xludf.DUMMYFUNCTION("""COMPUTED_VALUE"""),"TE")</f>
        <v>TE</v>
      </c>
      <c r="D1544" s="60" t="str">
        <f>IFERROR(__xludf.DUMMYFUNCTION("""COMPUTED_VALUE"""),"LAR")</f>
        <v>LAR</v>
      </c>
      <c r="E1544" s="62" t="str">
        <f t="shared" si="4"/>
        <v>Davis Allen</v>
      </c>
      <c r="F1544" s="62">
        <f t="shared" ref="F1544:G1544" si="3087">IF(isblank(F$1),,IF(isblank($A1544),,IFERROR(vlookup($A1544,indirect("'TVC-"&amp;text(month(F$1),"00")&amp;"'!$A:$D"),4,false),1)))</f>
        <v>1436</v>
      </c>
      <c r="G1544" s="62">
        <f t="shared" si="3087"/>
        <v>1439</v>
      </c>
      <c r="H1544" s="62">
        <f t="shared" ref="H1544:Q1544" si="3088">IF(isblank(H$1),,IFERROR(vlookup($A1544,indirect("'TVC-"&amp;text(month(H$1),"00")&amp;"'!$A:$D"),4,false),1))</f>
        <v>1436</v>
      </c>
      <c r="I1544" s="62">
        <f t="shared" si="3088"/>
        <v>1444</v>
      </c>
      <c r="J1544" s="62">
        <f t="shared" si="3088"/>
        <v>1351</v>
      </c>
      <c r="K1544" s="62">
        <f t="shared" si="3088"/>
        <v>1297</v>
      </c>
      <c r="L1544" s="62">
        <f t="shared" si="3088"/>
        <v>1250</v>
      </c>
      <c r="M1544" s="62">
        <f t="shared" si="3088"/>
        <v>1300</v>
      </c>
      <c r="N1544" s="62">
        <f t="shared" si="3088"/>
        <v>1326</v>
      </c>
      <c r="O1544" s="62">
        <f t="shared" si="3088"/>
        <v>1</v>
      </c>
      <c r="P1544" s="62" t="str">
        <f t="shared" si="3088"/>
        <v/>
      </c>
      <c r="Q1544" s="62" t="str">
        <f t="shared" si="3088"/>
        <v/>
      </c>
      <c r="R1544" s="62">
        <f t="shared" si="7"/>
        <v>-1325</v>
      </c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</row>
    <row r="1545" hidden="1">
      <c r="A1545" s="60">
        <f>IFERROR(__xludf.DUMMYFUNCTION("""COMPUTED_VALUE"""),16220.0)</f>
        <v>16220</v>
      </c>
      <c r="B1545" s="60" t="str">
        <f>IFERROR(__xludf.DUMMYFUNCTION("""COMPUTED_VALUE"""),"Mallory, Will")</f>
        <v>Mallory, Will</v>
      </c>
      <c r="C1545" s="60" t="str">
        <f>IFERROR(__xludf.DUMMYFUNCTION("""COMPUTED_VALUE"""),"TE")</f>
        <v>TE</v>
      </c>
      <c r="D1545" s="60" t="str">
        <f>IFERROR(__xludf.DUMMYFUNCTION("""COMPUTED_VALUE"""),"IND")</f>
        <v>IND</v>
      </c>
      <c r="E1545" s="62" t="str">
        <f t="shared" si="4"/>
        <v>Will Mallory</v>
      </c>
      <c r="F1545" s="62">
        <f t="shared" ref="F1545:G1545" si="3089">IF(isblank(F$1),,IF(isblank($A1545),,IFERROR(vlookup($A1545,indirect("'TVC-"&amp;text(month(F$1),"00")&amp;"'!$A:$D"),4,false),1)))</f>
        <v>1</v>
      </c>
      <c r="G1545" s="62">
        <f t="shared" si="3089"/>
        <v>1</v>
      </c>
      <c r="H1545" s="62">
        <f t="shared" ref="H1545:Q1545" si="3090">IF(isblank(H$1),,IFERROR(vlookup($A1545,indirect("'TVC-"&amp;text(month(H$1),"00")&amp;"'!$A:$D"),4,false),1))</f>
        <v>1</v>
      </c>
      <c r="I1545" s="62">
        <f t="shared" si="3090"/>
        <v>1</v>
      </c>
      <c r="J1545" s="62">
        <f t="shared" si="3090"/>
        <v>1</v>
      </c>
      <c r="K1545" s="62">
        <f t="shared" si="3090"/>
        <v>1</v>
      </c>
      <c r="L1545" s="62">
        <f t="shared" si="3090"/>
        <v>1</v>
      </c>
      <c r="M1545" s="62">
        <f t="shared" si="3090"/>
        <v>1</v>
      </c>
      <c r="N1545" s="62">
        <f t="shared" si="3090"/>
        <v>1</v>
      </c>
      <c r="O1545" s="62">
        <f t="shared" si="3090"/>
        <v>1</v>
      </c>
      <c r="P1545" s="62" t="str">
        <f t="shared" si="3090"/>
        <v/>
      </c>
      <c r="Q1545" s="62" t="str">
        <f t="shared" si="3090"/>
        <v/>
      </c>
      <c r="R1545" s="62">
        <f t="shared" si="7"/>
        <v>0</v>
      </c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</row>
    <row r="1546" hidden="1">
      <c r="A1546" s="60">
        <f>IFERROR(__xludf.DUMMYFUNCTION("""COMPUTED_VALUE"""),16221.0)</f>
        <v>16221</v>
      </c>
      <c r="B1546" s="60" t="str">
        <f>IFERROR(__xludf.DUMMYFUNCTION("""COMPUTED_VALUE"""),"Schoonmaker, Luke")</f>
        <v>Schoonmaker, Luke</v>
      </c>
      <c r="C1546" s="60" t="str">
        <f>IFERROR(__xludf.DUMMYFUNCTION("""COMPUTED_VALUE"""),"TE")</f>
        <v>TE</v>
      </c>
      <c r="D1546" s="60" t="str">
        <f>IFERROR(__xludf.DUMMYFUNCTION("""COMPUTED_VALUE"""),"DAL")</f>
        <v>DAL</v>
      </c>
      <c r="E1546" s="62" t="str">
        <f t="shared" si="4"/>
        <v>Luke Schoonmaker</v>
      </c>
      <c r="F1546" s="62">
        <f t="shared" ref="F1546:G1546" si="3091">IF(isblank(F$1),,IF(isblank($A1546),,IFERROR(vlookup($A1546,indirect("'TVC-"&amp;text(month(F$1),"00")&amp;"'!$A:$D"),4,false),1)))</f>
        <v>1464</v>
      </c>
      <c r="G1546" s="62">
        <f t="shared" si="3091"/>
        <v>1500</v>
      </c>
      <c r="H1546" s="62">
        <f t="shared" ref="H1546:Q1546" si="3092">IF(isblank(H$1),,IFERROR(vlookup($A1546,indirect("'TVC-"&amp;text(month(H$1),"00")&amp;"'!$A:$D"),4,false),1))</f>
        <v>1547</v>
      </c>
      <c r="I1546" s="62">
        <f t="shared" si="3092"/>
        <v>1623</v>
      </c>
      <c r="J1546" s="62">
        <f t="shared" si="3092"/>
        <v>1620</v>
      </c>
      <c r="K1546" s="62">
        <f t="shared" si="3092"/>
        <v>1556</v>
      </c>
      <c r="L1546" s="62">
        <f t="shared" si="3092"/>
        <v>1516</v>
      </c>
      <c r="M1546" s="62">
        <f t="shared" si="3092"/>
        <v>1516</v>
      </c>
      <c r="N1546" s="62">
        <f t="shared" si="3092"/>
        <v>1412</v>
      </c>
      <c r="O1546" s="62">
        <f t="shared" si="3092"/>
        <v>1</v>
      </c>
      <c r="P1546" s="62" t="str">
        <f t="shared" si="3092"/>
        <v/>
      </c>
      <c r="Q1546" s="62" t="str">
        <f t="shared" si="3092"/>
        <v/>
      </c>
      <c r="R1546" s="62">
        <f t="shared" si="7"/>
        <v>-1411</v>
      </c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</row>
    <row r="1547" hidden="1">
      <c r="A1547" s="60">
        <f>IFERROR(__xludf.DUMMYFUNCTION("""COMPUTED_VALUE"""),16222.0)</f>
        <v>16222</v>
      </c>
      <c r="B1547" s="60" t="str">
        <f>IFERROR(__xludf.DUMMYFUNCTION("""COMPUTED_VALUE"""),"Kraft, Tucker")</f>
        <v>Kraft, Tucker</v>
      </c>
      <c r="C1547" s="60" t="str">
        <f>IFERROR(__xludf.DUMMYFUNCTION("""COMPUTED_VALUE"""),"TE")</f>
        <v>TE</v>
      </c>
      <c r="D1547" s="60" t="str">
        <f>IFERROR(__xludf.DUMMYFUNCTION("""COMPUTED_VALUE"""),"GBP")</f>
        <v>GBP</v>
      </c>
      <c r="E1547" s="62" t="str">
        <f t="shared" si="4"/>
        <v>Tucker Kraft</v>
      </c>
      <c r="F1547" s="62">
        <f t="shared" ref="F1547:G1547" si="3093">IF(isblank(F$1),,IF(isblank($A1547),,IFERROR(vlookup($A1547,indirect("'TVC-"&amp;text(month(F$1),"00")&amp;"'!$A:$D"),4,false),1)))</f>
        <v>5421</v>
      </c>
      <c r="G1547" s="62">
        <f t="shared" si="3093"/>
        <v>5427</v>
      </c>
      <c r="H1547" s="62">
        <f t="shared" ref="H1547:Q1547" si="3094">IF(isblank(H$1),,IFERROR(vlookup($A1547,indirect("'TVC-"&amp;text(month(H$1),"00")&amp;"'!$A:$D"),4,false),1))</f>
        <v>5442</v>
      </c>
      <c r="I1547" s="62">
        <f t="shared" si="3094"/>
        <v>5348</v>
      </c>
      <c r="J1547" s="62">
        <f t="shared" si="3094"/>
        <v>5323</v>
      </c>
      <c r="K1547" s="62">
        <f t="shared" si="3094"/>
        <v>5469</v>
      </c>
      <c r="L1547" s="62">
        <f t="shared" si="3094"/>
        <v>5496</v>
      </c>
      <c r="M1547" s="62">
        <f t="shared" si="3094"/>
        <v>5547</v>
      </c>
      <c r="N1547" s="62">
        <f t="shared" si="3094"/>
        <v>5638</v>
      </c>
      <c r="O1547" s="62">
        <f t="shared" si="3094"/>
        <v>1</v>
      </c>
      <c r="P1547" s="62" t="str">
        <f t="shared" si="3094"/>
        <v/>
      </c>
      <c r="Q1547" s="62" t="str">
        <f t="shared" si="3094"/>
        <v/>
      </c>
      <c r="R1547" s="62">
        <f t="shared" si="7"/>
        <v>-5637</v>
      </c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</row>
    <row r="1548" hidden="1">
      <c r="A1548" s="60">
        <f>IFERROR(__xludf.DUMMYFUNCTION("""COMPUTED_VALUE"""),16223.0)</f>
        <v>16223</v>
      </c>
      <c r="B1548" s="60" t="str">
        <f>IFERROR(__xludf.DUMMYFUNCTION("""COMPUTED_VALUE"""),"Anderson, Will")</f>
        <v>Anderson, Will</v>
      </c>
      <c r="C1548" s="60" t="str">
        <f>IFERROR(__xludf.DUMMYFUNCTION("""COMPUTED_VALUE"""),"DE")</f>
        <v>DE</v>
      </c>
      <c r="D1548" s="60" t="str">
        <f>IFERROR(__xludf.DUMMYFUNCTION("""COMPUTED_VALUE"""),"HOU")</f>
        <v>HOU</v>
      </c>
      <c r="E1548" s="62" t="str">
        <f t="shared" si="4"/>
        <v>Will Anderson</v>
      </c>
      <c r="F1548" s="62">
        <f t="shared" ref="F1548:G1548" si="3095">IF(isblank(F$1),,IF(isblank($A1548),,IFERROR(vlookup($A1548,indirect("'TVC-"&amp;text(month(F$1),"00")&amp;"'!$A:$D"),4,false),1)))</f>
        <v>1</v>
      </c>
      <c r="G1548" s="62">
        <f t="shared" si="3095"/>
        <v>1</v>
      </c>
      <c r="H1548" s="62">
        <f t="shared" ref="H1548:Q1548" si="3096">IF(isblank(H$1),,IFERROR(vlookup($A1548,indirect("'TVC-"&amp;text(month(H$1),"00")&amp;"'!$A:$D"),4,false),1))</f>
        <v>1</v>
      </c>
      <c r="I1548" s="62">
        <f t="shared" si="3096"/>
        <v>1</v>
      </c>
      <c r="J1548" s="62">
        <f t="shared" si="3096"/>
        <v>1</v>
      </c>
      <c r="K1548" s="62">
        <f t="shared" si="3096"/>
        <v>1</v>
      </c>
      <c r="L1548" s="62">
        <f t="shared" si="3096"/>
        <v>1</v>
      </c>
      <c r="M1548" s="62">
        <f t="shared" si="3096"/>
        <v>1</v>
      </c>
      <c r="N1548" s="62">
        <f t="shared" si="3096"/>
        <v>1</v>
      </c>
      <c r="O1548" s="62">
        <f t="shared" si="3096"/>
        <v>1</v>
      </c>
      <c r="P1548" s="62" t="str">
        <f t="shared" si="3096"/>
        <v/>
      </c>
      <c r="Q1548" s="62" t="str">
        <f t="shared" si="3096"/>
        <v/>
      </c>
      <c r="R1548" s="62">
        <f t="shared" si="7"/>
        <v>0</v>
      </c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</row>
    <row r="1549" hidden="1">
      <c r="A1549" s="60">
        <f>IFERROR(__xludf.DUMMYFUNCTION("""COMPUTED_VALUE"""),16224.0)</f>
        <v>16224</v>
      </c>
      <c r="B1549" s="60" t="str">
        <f>IFERROR(__xludf.DUMMYFUNCTION("""COMPUTED_VALUE"""),"Murphy, Myles")</f>
        <v>Murphy, Myles</v>
      </c>
      <c r="C1549" s="60" t="str">
        <f>IFERROR(__xludf.DUMMYFUNCTION("""COMPUTED_VALUE"""),"DE")</f>
        <v>DE</v>
      </c>
      <c r="D1549" s="60" t="str">
        <f>IFERROR(__xludf.DUMMYFUNCTION("""COMPUTED_VALUE"""),"CIN")</f>
        <v>CIN</v>
      </c>
      <c r="E1549" s="62" t="str">
        <f t="shared" si="4"/>
        <v>Myles Murphy</v>
      </c>
      <c r="F1549" s="62">
        <f t="shared" ref="F1549:G1549" si="3097">IF(isblank(F$1),,IF(isblank($A1549),,IFERROR(vlookup($A1549,indirect("'TVC-"&amp;text(month(F$1),"00")&amp;"'!$A:$D"),4,false),1)))</f>
        <v>1</v>
      </c>
      <c r="G1549" s="62">
        <f t="shared" si="3097"/>
        <v>1</v>
      </c>
      <c r="H1549" s="62">
        <f t="shared" ref="H1549:Q1549" si="3098">IF(isblank(H$1),,IFERROR(vlookup($A1549,indirect("'TVC-"&amp;text(month(H$1),"00")&amp;"'!$A:$D"),4,false),1))</f>
        <v>1</v>
      </c>
      <c r="I1549" s="62">
        <f t="shared" si="3098"/>
        <v>1</v>
      </c>
      <c r="J1549" s="62">
        <f t="shared" si="3098"/>
        <v>1</v>
      </c>
      <c r="K1549" s="62">
        <f t="shared" si="3098"/>
        <v>1</v>
      </c>
      <c r="L1549" s="62">
        <f t="shared" si="3098"/>
        <v>1</v>
      </c>
      <c r="M1549" s="62">
        <f t="shared" si="3098"/>
        <v>1</v>
      </c>
      <c r="N1549" s="62">
        <f t="shared" si="3098"/>
        <v>1</v>
      </c>
      <c r="O1549" s="62">
        <f t="shared" si="3098"/>
        <v>1</v>
      </c>
      <c r="P1549" s="62" t="str">
        <f t="shared" si="3098"/>
        <v/>
      </c>
      <c r="Q1549" s="62" t="str">
        <f t="shared" si="3098"/>
        <v/>
      </c>
      <c r="R1549" s="62">
        <f t="shared" si="7"/>
        <v>0</v>
      </c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</row>
    <row r="1550" hidden="1">
      <c r="A1550" s="60">
        <f>IFERROR(__xludf.DUMMYFUNCTION("""COMPUTED_VALUE"""),16225.0)</f>
        <v>16225</v>
      </c>
      <c r="B1550" s="60" t="str">
        <f>IFERROR(__xludf.DUMMYFUNCTION("""COMPUTED_VALUE"""),"Ojulari, BJ")</f>
        <v>Ojulari, BJ</v>
      </c>
      <c r="C1550" s="60" t="str">
        <f>IFERROR(__xludf.DUMMYFUNCTION("""COMPUTED_VALUE"""),"DE")</f>
        <v>DE</v>
      </c>
      <c r="D1550" s="60" t="str">
        <f>IFERROR(__xludf.DUMMYFUNCTION("""COMPUTED_VALUE"""),"JAC")</f>
        <v>JAC</v>
      </c>
      <c r="E1550" s="62" t="str">
        <f t="shared" si="4"/>
        <v>BJ Ojulari</v>
      </c>
      <c r="F1550" s="62">
        <f t="shared" ref="F1550:G1550" si="3099">IF(isblank(F$1),,IF(isblank($A1550),,IFERROR(vlookup($A1550,indirect("'TVC-"&amp;text(month(F$1),"00")&amp;"'!$A:$D"),4,false),1)))</f>
        <v>1</v>
      </c>
      <c r="G1550" s="62">
        <f t="shared" si="3099"/>
        <v>1</v>
      </c>
      <c r="H1550" s="62">
        <f t="shared" ref="H1550:Q1550" si="3100">IF(isblank(H$1),,IFERROR(vlookup($A1550,indirect("'TVC-"&amp;text(month(H$1),"00")&amp;"'!$A:$D"),4,false),1))</f>
        <v>1</v>
      </c>
      <c r="I1550" s="62">
        <f t="shared" si="3100"/>
        <v>1</v>
      </c>
      <c r="J1550" s="62">
        <f t="shared" si="3100"/>
        <v>1</v>
      </c>
      <c r="K1550" s="62">
        <f t="shared" si="3100"/>
        <v>1</v>
      </c>
      <c r="L1550" s="62">
        <f t="shared" si="3100"/>
        <v>1</v>
      </c>
      <c r="M1550" s="62">
        <f t="shared" si="3100"/>
        <v>1</v>
      </c>
      <c r="N1550" s="62">
        <f t="shared" si="3100"/>
        <v>1</v>
      </c>
      <c r="O1550" s="62">
        <f t="shared" si="3100"/>
        <v>1</v>
      </c>
      <c r="P1550" s="62" t="str">
        <f t="shared" si="3100"/>
        <v/>
      </c>
      <c r="Q1550" s="62" t="str">
        <f t="shared" si="3100"/>
        <v/>
      </c>
      <c r="R1550" s="62">
        <f t="shared" si="7"/>
        <v>0</v>
      </c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</row>
    <row r="1551" hidden="1">
      <c r="A1551" s="60">
        <f>IFERROR(__xludf.DUMMYFUNCTION("""COMPUTED_VALUE"""),16226.0)</f>
        <v>16226</v>
      </c>
      <c r="B1551" s="60" t="str">
        <f>IFERROR(__xludf.DUMMYFUNCTION("""COMPUTED_VALUE"""),"Wilson, Tyree")</f>
        <v>Wilson, Tyree</v>
      </c>
      <c r="C1551" s="60" t="str">
        <f>IFERROR(__xludf.DUMMYFUNCTION("""COMPUTED_VALUE"""),"DE")</f>
        <v>DE</v>
      </c>
      <c r="D1551" s="60" t="str">
        <f>IFERROR(__xludf.DUMMYFUNCTION("""COMPUTED_VALUE"""),"NOS")</f>
        <v>NOS</v>
      </c>
      <c r="E1551" s="62" t="str">
        <f t="shared" si="4"/>
        <v>Tyree Wilson</v>
      </c>
      <c r="F1551" s="62">
        <f t="shared" ref="F1551:G1551" si="3101">IF(isblank(F$1),,IF(isblank($A1551),,IFERROR(vlookup($A1551,indirect("'TVC-"&amp;text(month(F$1),"00")&amp;"'!$A:$D"),4,false),1)))</f>
        <v>1</v>
      </c>
      <c r="G1551" s="62">
        <f t="shared" si="3101"/>
        <v>1</v>
      </c>
      <c r="H1551" s="62">
        <f t="shared" ref="H1551:Q1551" si="3102">IF(isblank(H$1),,IFERROR(vlookup($A1551,indirect("'TVC-"&amp;text(month(H$1),"00")&amp;"'!$A:$D"),4,false),1))</f>
        <v>1</v>
      </c>
      <c r="I1551" s="62">
        <f t="shared" si="3102"/>
        <v>1</v>
      </c>
      <c r="J1551" s="62">
        <f t="shared" si="3102"/>
        <v>1</v>
      </c>
      <c r="K1551" s="62">
        <f t="shared" si="3102"/>
        <v>1</v>
      </c>
      <c r="L1551" s="62">
        <f t="shared" si="3102"/>
        <v>1</v>
      </c>
      <c r="M1551" s="62">
        <f t="shared" si="3102"/>
        <v>1</v>
      </c>
      <c r="N1551" s="62">
        <f t="shared" si="3102"/>
        <v>1</v>
      </c>
      <c r="O1551" s="62">
        <f t="shared" si="3102"/>
        <v>1</v>
      </c>
      <c r="P1551" s="62" t="str">
        <f t="shared" si="3102"/>
        <v/>
      </c>
      <c r="Q1551" s="62" t="str">
        <f t="shared" si="3102"/>
        <v/>
      </c>
      <c r="R1551" s="62">
        <f t="shared" si="7"/>
        <v>0</v>
      </c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</row>
    <row r="1552" hidden="1">
      <c r="A1552" s="60">
        <f>IFERROR(__xludf.DUMMYFUNCTION("""COMPUTED_VALUE"""),16227.0)</f>
        <v>16227</v>
      </c>
      <c r="B1552" s="60" t="str">
        <f>IFERROR(__xludf.DUMMYFUNCTION("""COMPUTED_VALUE"""),"Harrison, Zach")</f>
        <v>Harrison, Zach</v>
      </c>
      <c r="C1552" s="60" t="str">
        <f>IFERROR(__xludf.DUMMYFUNCTION("""COMPUTED_VALUE"""),"DT")</f>
        <v>DT</v>
      </c>
      <c r="D1552" s="60" t="str">
        <f>IFERROR(__xludf.DUMMYFUNCTION("""COMPUTED_VALUE"""),"ATL")</f>
        <v>ATL</v>
      </c>
      <c r="E1552" s="62" t="str">
        <f t="shared" si="4"/>
        <v>Zach Harrison</v>
      </c>
      <c r="F1552" s="62">
        <f t="shared" ref="F1552:G1552" si="3103">IF(isblank(F$1),,IF(isblank($A1552),,IFERROR(vlookup($A1552,indirect("'TVC-"&amp;text(month(F$1),"00")&amp;"'!$A:$D"),4,false),1)))</f>
        <v>1</v>
      </c>
      <c r="G1552" s="62">
        <f t="shared" si="3103"/>
        <v>1</v>
      </c>
      <c r="H1552" s="62">
        <f t="shared" ref="H1552:Q1552" si="3104">IF(isblank(H$1),,IFERROR(vlookup($A1552,indirect("'TVC-"&amp;text(month(H$1),"00")&amp;"'!$A:$D"),4,false),1))</f>
        <v>1</v>
      </c>
      <c r="I1552" s="62">
        <f t="shared" si="3104"/>
        <v>1</v>
      </c>
      <c r="J1552" s="62">
        <f t="shared" si="3104"/>
        <v>1</v>
      </c>
      <c r="K1552" s="62">
        <f t="shared" si="3104"/>
        <v>1</v>
      </c>
      <c r="L1552" s="62">
        <f t="shared" si="3104"/>
        <v>1</v>
      </c>
      <c r="M1552" s="62">
        <f t="shared" si="3104"/>
        <v>1</v>
      </c>
      <c r="N1552" s="62">
        <f t="shared" si="3104"/>
        <v>1</v>
      </c>
      <c r="O1552" s="62">
        <f t="shared" si="3104"/>
        <v>1</v>
      </c>
      <c r="P1552" s="62" t="str">
        <f t="shared" si="3104"/>
        <v/>
      </c>
      <c r="Q1552" s="62" t="str">
        <f t="shared" si="3104"/>
        <v/>
      </c>
      <c r="R1552" s="62">
        <f t="shared" si="7"/>
        <v>0</v>
      </c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</row>
    <row r="1553" hidden="1">
      <c r="A1553" s="60">
        <f>IFERROR(__xludf.DUMMYFUNCTION("""COMPUTED_VALUE"""),16228.0)</f>
        <v>16228</v>
      </c>
      <c r="B1553" s="60" t="str">
        <f>IFERROR(__xludf.DUMMYFUNCTION("""COMPUTED_VALUE"""),"Smith, Nolan")</f>
        <v>Smith, Nolan</v>
      </c>
      <c r="C1553" s="60" t="str">
        <f>IFERROR(__xludf.DUMMYFUNCTION("""COMPUTED_VALUE"""),"DE")</f>
        <v>DE</v>
      </c>
      <c r="D1553" s="60" t="str">
        <f>IFERROR(__xludf.DUMMYFUNCTION("""COMPUTED_VALUE"""),"PHI")</f>
        <v>PHI</v>
      </c>
      <c r="E1553" s="62" t="str">
        <f t="shared" si="4"/>
        <v>Nolan Smith</v>
      </c>
      <c r="F1553" s="62">
        <f t="shared" ref="F1553:G1553" si="3105">IF(isblank(F$1),,IF(isblank($A1553),,IFERROR(vlookup($A1553,indirect("'TVC-"&amp;text(month(F$1),"00")&amp;"'!$A:$D"),4,false),1)))</f>
        <v>1</v>
      </c>
      <c r="G1553" s="62">
        <f t="shared" si="3105"/>
        <v>1</v>
      </c>
      <c r="H1553" s="62">
        <f t="shared" ref="H1553:Q1553" si="3106">IF(isblank(H$1),,IFERROR(vlookup($A1553,indirect("'TVC-"&amp;text(month(H$1),"00")&amp;"'!$A:$D"),4,false),1))</f>
        <v>1</v>
      </c>
      <c r="I1553" s="62">
        <f t="shared" si="3106"/>
        <v>1</v>
      </c>
      <c r="J1553" s="62">
        <f t="shared" si="3106"/>
        <v>1</v>
      </c>
      <c r="K1553" s="62">
        <f t="shared" si="3106"/>
        <v>1</v>
      </c>
      <c r="L1553" s="62">
        <f t="shared" si="3106"/>
        <v>1</v>
      </c>
      <c r="M1553" s="62">
        <f t="shared" si="3106"/>
        <v>1</v>
      </c>
      <c r="N1553" s="62">
        <f t="shared" si="3106"/>
        <v>1</v>
      </c>
      <c r="O1553" s="62">
        <f t="shared" si="3106"/>
        <v>1</v>
      </c>
      <c r="P1553" s="62" t="str">
        <f t="shared" si="3106"/>
        <v/>
      </c>
      <c r="Q1553" s="62" t="str">
        <f t="shared" si="3106"/>
        <v/>
      </c>
      <c r="R1553" s="62">
        <f t="shared" si="7"/>
        <v>0</v>
      </c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</row>
    <row r="1554" hidden="1">
      <c r="A1554" s="60">
        <f>IFERROR(__xludf.DUMMYFUNCTION("""COMPUTED_VALUE"""),16230.0)</f>
        <v>16230</v>
      </c>
      <c r="B1554" s="60" t="str">
        <f>IFERROR(__xludf.DUMMYFUNCTION("""COMPUTED_VALUE"""),"Van Ness, Lukas")</f>
        <v>Van Ness, Lukas</v>
      </c>
      <c r="C1554" s="60" t="str">
        <f>IFERROR(__xludf.DUMMYFUNCTION("""COMPUTED_VALUE"""),"DE")</f>
        <v>DE</v>
      </c>
      <c r="D1554" s="60" t="str">
        <f>IFERROR(__xludf.DUMMYFUNCTION("""COMPUTED_VALUE"""),"GBP")</f>
        <v>GBP</v>
      </c>
      <c r="E1554" s="62" t="str">
        <f t="shared" si="4"/>
        <v>Lukas Van Ness</v>
      </c>
      <c r="F1554" s="62">
        <f t="shared" ref="F1554:G1554" si="3107">IF(isblank(F$1),,IF(isblank($A1554),,IFERROR(vlookup($A1554,indirect("'TVC-"&amp;text(month(F$1),"00")&amp;"'!$A:$D"),4,false),1)))</f>
        <v>1</v>
      </c>
      <c r="G1554" s="62">
        <f t="shared" si="3107"/>
        <v>1</v>
      </c>
      <c r="H1554" s="62">
        <f t="shared" ref="H1554:Q1554" si="3108">IF(isblank(H$1),,IFERROR(vlookup($A1554,indirect("'TVC-"&amp;text(month(H$1),"00")&amp;"'!$A:$D"),4,false),1))</f>
        <v>1</v>
      </c>
      <c r="I1554" s="62">
        <f t="shared" si="3108"/>
        <v>1</v>
      </c>
      <c r="J1554" s="62">
        <f t="shared" si="3108"/>
        <v>1</v>
      </c>
      <c r="K1554" s="62">
        <f t="shared" si="3108"/>
        <v>1</v>
      </c>
      <c r="L1554" s="62">
        <f t="shared" si="3108"/>
        <v>1</v>
      </c>
      <c r="M1554" s="62">
        <f t="shared" si="3108"/>
        <v>1</v>
      </c>
      <c r="N1554" s="62">
        <f t="shared" si="3108"/>
        <v>1</v>
      </c>
      <c r="O1554" s="62">
        <f t="shared" si="3108"/>
        <v>1</v>
      </c>
      <c r="P1554" s="62" t="str">
        <f t="shared" si="3108"/>
        <v/>
      </c>
      <c r="Q1554" s="62" t="str">
        <f t="shared" si="3108"/>
        <v/>
      </c>
      <c r="R1554" s="62">
        <f t="shared" si="7"/>
        <v>0</v>
      </c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</row>
    <row r="1555" hidden="1">
      <c r="A1555" s="60">
        <f>IFERROR(__xludf.DUMMYFUNCTION("""COMPUTED_VALUE"""),16231.0)</f>
        <v>16231</v>
      </c>
      <c r="B1555" s="60" t="str">
        <f>IFERROR(__xludf.DUMMYFUNCTION("""COMPUTED_VALUE"""),"Sanders, Drew")</f>
        <v>Sanders, Drew</v>
      </c>
      <c r="C1555" s="60" t="str">
        <f>IFERROR(__xludf.DUMMYFUNCTION("""COMPUTED_VALUE"""),"LB")</f>
        <v>LB</v>
      </c>
      <c r="D1555" s="60" t="str">
        <f>IFERROR(__xludf.DUMMYFUNCTION("""COMPUTED_VALUE"""),"FA")</f>
        <v>FA</v>
      </c>
      <c r="E1555" s="62" t="str">
        <f t="shared" si="4"/>
        <v>Drew Sanders</v>
      </c>
      <c r="F1555" s="62">
        <f t="shared" ref="F1555:G1555" si="3109">IF(isblank(F$1),,IF(isblank($A1555),,IFERROR(vlookup($A1555,indirect("'TVC-"&amp;text(month(F$1),"00")&amp;"'!$A:$D"),4,false),1)))</f>
        <v>1</v>
      </c>
      <c r="G1555" s="62">
        <f t="shared" si="3109"/>
        <v>1</v>
      </c>
      <c r="H1555" s="62">
        <f t="shared" ref="H1555:Q1555" si="3110">IF(isblank(H$1),,IFERROR(vlookup($A1555,indirect("'TVC-"&amp;text(month(H$1),"00")&amp;"'!$A:$D"),4,false),1))</f>
        <v>1</v>
      </c>
      <c r="I1555" s="62">
        <f t="shared" si="3110"/>
        <v>1</v>
      </c>
      <c r="J1555" s="62">
        <f t="shared" si="3110"/>
        <v>1</v>
      </c>
      <c r="K1555" s="62">
        <f t="shared" si="3110"/>
        <v>1</v>
      </c>
      <c r="L1555" s="62">
        <f t="shared" si="3110"/>
        <v>1</v>
      </c>
      <c r="M1555" s="62">
        <f t="shared" si="3110"/>
        <v>1</v>
      </c>
      <c r="N1555" s="62">
        <f t="shared" si="3110"/>
        <v>1</v>
      </c>
      <c r="O1555" s="62">
        <f t="shared" si="3110"/>
        <v>1</v>
      </c>
      <c r="P1555" s="62" t="str">
        <f t="shared" si="3110"/>
        <v/>
      </c>
      <c r="Q1555" s="62" t="str">
        <f t="shared" si="3110"/>
        <v/>
      </c>
      <c r="R1555" s="62">
        <f t="shared" si="7"/>
        <v>0</v>
      </c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</row>
    <row r="1556" hidden="1">
      <c r="A1556" s="60">
        <f>IFERROR(__xludf.DUMMYFUNCTION("""COMPUTED_VALUE"""),16232.0)</f>
        <v>16232</v>
      </c>
      <c r="B1556" s="60" t="str">
        <f>IFERROR(__xludf.DUMMYFUNCTION("""COMPUTED_VALUE"""),"Morris, Mike")</f>
        <v>Morris, Mike</v>
      </c>
      <c r="C1556" s="60" t="str">
        <f>IFERROR(__xludf.DUMMYFUNCTION("""COMPUTED_VALUE"""),"DT")</f>
        <v>DT</v>
      </c>
      <c r="D1556" s="60" t="str">
        <f>IFERROR(__xludf.DUMMYFUNCTION("""COMPUTED_VALUE"""),"SEA")</f>
        <v>SEA</v>
      </c>
      <c r="E1556" s="62" t="str">
        <f t="shared" si="4"/>
        <v>Mike Morris</v>
      </c>
      <c r="F1556" s="62">
        <f t="shared" ref="F1556:G1556" si="3111">IF(isblank(F$1),,IF(isblank($A1556),,IFERROR(vlookup($A1556,indirect("'TVC-"&amp;text(month(F$1),"00")&amp;"'!$A:$D"),4,false),1)))</f>
        <v>1</v>
      </c>
      <c r="G1556" s="62">
        <f t="shared" si="3111"/>
        <v>1</v>
      </c>
      <c r="H1556" s="62">
        <f t="shared" ref="H1556:Q1556" si="3112">IF(isblank(H$1),,IFERROR(vlookup($A1556,indirect("'TVC-"&amp;text(month(H$1),"00")&amp;"'!$A:$D"),4,false),1))</f>
        <v>1</v>
      </c>
      <c r="I1556" s="62">
        <f t="shared" si="3112"/>
        <v>1</v>
      </c>
      <c r="J1556" s="62">
        <f t="shared" si="3112"/>
        <v>1</v>
      </c>
      <c r="K1556" s="62">
        <f t="shared" si="3112"/>
        <v>1</v>
      </c>
      <c r="L1556" s="62">
        <f t="shared" si="3112"/>
        <v>1</v>
      </c>
      <c r="M1556" s="62">
        <f t="shared" si="3112"/>
        <v>1</v>
      </c>
      <c r="N1556" s="62">
        <f t="shared" si="3112"/>
        <v>1</v>
      </c>
      <c r="O1556" s="62">
        <f t="shared" si="3112"/>
        <v>1</v>
      </c>
      <c r="P1556" s="62" t="str">
        <f t="shared" si="3112"/>
        <v/>
      </c>
      <c r="Q1556" s="62" t="str">
        <f t="shared" si="3112"/>
        <v/>
      </c>
      <c r="R1556" s="62">
        <f t="shared" si="7"/>
        <v>0</v>
      </c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</row>
    <row r="1557" hidden="1">
      <c r="A1557" s="60">
        <f>IFERROR(__xludf.DUMMYFUNCTION("""COMPUTED_VALUE"""),16233.0)</f>
        <v>16233</v>
      </c>
      <c r="B1557" s="60" t="str">
        <f>IFERROR(__xludf.DUMMYFUNCTION("""COMPUTED_VALUE"""),"Carter, Jalen")</f>
        <v>Carter, Jalen</v>
      </c>
      <c r="C1557" s="60" t="str">
        <f>IFERROR(__xludf.DUMMYFUNCTION("""COMPUTED_VALUE"""),"DT")</f>
        <v>DT</v>
      </c>
      <c r="D1557" s="60" t="str">
        <f>IFERROR(__xludf.DUMMYFUNCTION("""COMPUTED_VALUE"""),"PHI")</f>
        <v>PHI</v>
      </c>
      <c r="E1557" s="62" t="str">
        <f t="shared" si="4"/>
        <v>Jalen Carter</v>
      </c>
      <c r="F1557" s="62">
        <f t="shared" ref="F1557:G1557" si="3113">IF(isblank(F$1),,IF(isblank($A1557),,IFERROR(vlookup($A1557,indirect("'TVC-"&amp;text(month(F$1),"00")&amp;"'!$A:$D"),4,false),1)))</f>
        <v>1</v>
      </c>
      <c r="G1557" s="62">
        <f t="shared" si="3113"/>
        <v>1</v>
      </c>
      <c r="H1557" s="62">
        <f t="shared" ref="H1557:Q1557" si="3114">IF(isblank(H$1),,IFERROR(vlookup($A1557,indirect("'TVC-"&amp;text(month(H$1),"00")&amp;"'!$A:$D"),4,false),1))</f>
        <v>1</v>
      </c>
      <c r="I1557" s="62">
        <f t="shared" si="3114"/>
        <v>1</v>
      </c>
      <c r="J1557" s="62">
        <f t="shared" si="3114"/>
        <v>1</v>
      </c>
      <c r="K1557" s="62">
        <f t="shared" si="3114"/>
        <v>1</v>
      </c>
      <c r="L1557" s="62">
        <f t="shared" si="3114"/>
        <v>1</v>
      </c>
      <c r="M1557" s="62">
        <f t="shared" si="3114"/>
        <v>1</v>
      </c>
      <c r="N1557" s="62">
        <f t="shared" si="3114"/>
        <v>1</v>
      </c>
      <c r="O1557" s="62">
        <f t="shared" si="3114"/>
        <v>1</v>
      </c>
      <c r="P1557" s="62" t="str">
        <f t="shared" si="3114"/>
        <v/>
      </c>
      <c r="Q1557" s="62" t="str">
        <f t="shared" si="3114"/>
        <v/>
      </c>
      <c r="R1557" s="62">
        <f t="shared" si="7"/>
        <v>0</v>
      </c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</row>
    <row r="1558" hidden="1">
      <c r="A1558" s="60">
        <f>IFERROR(__xludf.DUMMYFUNCTION("""COMPUTED_VALUE"""),16234.0)</f>
        <v>16234</v>
      </c>
      <c r="B1558" s="60" t="str">
        <f>IFERROR(__xludf.DUMMYFUNCTION("""COMPUTED_VALUE"""),"Simpson, Trenton")</f>
        <v>Simpson, Trenton</v>
      </c>
      <c r="C1558" s="60" t="str">
        <f>IFERROR(__xludf.DUMMYFUNCTION("""COMPUTED_VALUE"""),"LB")</f>
        <v>LB</v>
      </c>
      <c r="D1558" s="60" t="str">
        <f>IFERROR(__xludf.DUMMYFUNCTION("""COMPUTED_VALUE"""),"BAL")</f>
        <v>BAL</v>
      </c>
      <c r="E1558" s="62" t="str">
        <f t="shared" si="4"/>
        <v>Trenton Simpson</v>
      </c>
      <c r="F1558" s="62">
        <f t="shared" ref="F1558:G1558" si="3115">IF(isblank(F$1),,IF(isblank($A1558),,IFERROR(vlookup($A1558,indirect("'TVC-"&amp;text(month(F$1),"00")&amp;"'!$A:$D"),4,false),1)))</f>
        <v>1</v>
      </c>
      <c r="G1558" s="62">
        <f t="shared" si="3115"/>
        <v>1</v>
      </c>
      <c r="H1558" s="62">
        <f t="shared" ref="H1558:Q1558" si="3116">IF(isblank(H$1),,IFERROR(vlookup($A1558,indirect("'TVC-"&amp;text(month(H$1),"00")&amp;"'!$A:$D"),4,false),1))</f>
        <v>1</v>
      </c>
      <c r="I1558" s="62">
        <f t="shared" si="3116"/>
        <v>1</v>
      </c>
      <c r="J1558" s="62">
        <f t="shared" si="3116"/>
        <v>1</v>
      </c>
      <c r="K1558" s="62">
        <f t="shared" si="3116"/>
        <v>1</v>
      </c>
      <c r="L1558" s="62">
        <f t="shared" si="3116"/>
        <v>1</v>
      </c>
      <c r="M1558" s="62">
        <f t="shared" si="3116"/>
        <v>1</v>
      </c>
      <c r="N1558" s="62">
        <f t="shared" si="3116"/>
        <v>1</v>
      </c>
      <c r="O1558" s="62">
        <f t="shared" si="3116"/>
        <v>1</v>
      </c>
      <c r="P1558" s="62" t="str">
        <f t="shared" si="3116"/>
        <v/>
      </c>
      <c r="Q1558" s="62" t="str">
        <f t="shared" si="3116"/>
        <v/>
      </c>
      <c r="R1558" s="62">
        <f t="shared" si="7"/>
        <v>0</v>
      </c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</row>
    <row r="1559" hidden="1">
      <c r="A1559" s="60">
        <f>IFERROR(__xludf.DUMMYFUNCTION("""COMPUTED_VALUE"""),16235.0)</f>
        <v>16235</v>
      </c>
      <c r="B1559" s="60" t="str">
        <f>IFERROR(__xludf.DUMMYFUNCTION("""COMPUTED_VALUE"""),"Hall, Derick")</f>
        <v>Hall, Derick</v>
      </c>
      <c r="C1559" s="60" t="str">
        <f>IFERROR(__xludf.DUMMYFUNCTION("""COMPUTED_VALUE"""),"DE")</f>
        <v>DE</v>
      </c>
      <c r="D1559" s="60" t="str">
        <f>IFERROR(__xludf.DUMMYFUNCTION("""COMPUTED_VALUE"""),"SEA")</f>
        <v>SEA</v>
      </c>
      <c r="E1559" s="62" t="str">
        <f t="shared" si="4"/>
        <v>Derick Hall</v>
      </c>
      <c r="F1559" s="62">
        <f t="shared" ref="F1559:G1559" si="3117">IF(isblank(F$1),,IF(isblank($A1559),,IFERROR(vlookup($A1559,indirect("'TVC-"&amp;text(month(F$1),"00")&amp;"'!$A:$D"),4,false),1)))</f>
        <v>1</v>
      </c>
      <c r="G1559" s="62">
        <f t="shared" si="3117"/>
        <v>1</v>
      </c>
      <c r="H1559" s="62">
        <f t="shared" ref="H1559:Q1559" si="3118">IF(isblank(H$1),,IFERROR(vlookup($A1559,indirect("'TVC-"&amp;text(month(H$1),"00")&amp;"'!$A:$D"),4,false),1))</f>
        <v>1</v>
      </c>
      <c r="I1559" s="62">
        <f t="shared" si="3118"/>
        <v>1</v>
      </c>
      <c r="J1559" s="62">
        <f t="shared" si="3118"/>
        <v>1</v>
      </c>
      <c r="K1559" s="62">
        <f t="shared" si="3118"/>
        <v>1</v>
      </c>
      <c r="L1559" s="62">
        <f t="shared" si="3118"/>
        <v>1</v>
      </c>
      <c r="M1559" s="62">
        <f t="shared" si="3118"/>
        <v>1</v>
      </c>
      <c r="N1559" s="62">
        <f t="shared" si="3118"/>
        <v>1</v>
      </c>
      <c r="O1559" s="62">
        <f t="shared" si="3118"/>
        <v>1</v>
      </c>
      <c r="P1559" s="62" t="str">
        <f t="shared" si="3118"/>
        <v/>
      </c>
      <c r="Q1559" s="62" t="str">
        <f t="shared" si="3118"/>
        <v/>
      </c>
      <c r="R1559" s="62">
        <f t="shared" si="7"/>
        <v>0</v>
      </c>
      <c r="S1559" s="62"/>
      <c r="T1559" s="62"/>
      <c r="U1559" s="62"/>
      <c r="V1559" s="62"/>
      <c r="W1559" s="62"/>
      <c r="X1559" s="62"/>
      <c r="Y1559" s="62"/>
      <c r="Z1559" s="62"/>
      <c r="AA1559" s="62"/>
      <c r="AB1559" s="62"/>
      <c r="AC1559" s="62"/>
    </row>
    <row r="1560" hidden="1">
      <c r="A1560" s="60">
        <f>IFERROR(__xludf.DUMMYFUNCTION("""COMPUTED_VALUE"""),16236.0)</f>
        <v>16236</v>
      </c>
      <c r="B1560" s="60" t="str">
        <f>IFERROR(__xludf.DUMMYFUNCTION("""COMPUTED_VALUE"""),"To'oTo'o, Henry")</f>
        <v>To'oTo'o, Henry</v>
      </c>
      <c r="C1560" s="60" t="str">
        <f>IFERROR(__xludf.DUMMYFUNCTION("""COMPUTED_VALUE"""),"LB")</f>
        <v>LB</v>
      </c>
      <c r="D1560" s="60" t="str">
        <f>IFERROR(__xludf.DUMMYFUNCTION("""COMPUTED_VALUE"""),"HOU")</f>
        <v>HOU</v>
      </c>
      <c r="E1560" s="62" t="str">
        <f t="shared" si="4"/>
        <v>Henry To'oTo'o</v>
      </c>
      <c r="F1560" s="62">
        <f t="shared" ref="F1560:G1560" si="3119">IF(isblank(F$1),,IF(isblank($A1560),,IFERROR(vlookup($A1560,indirect("'TVC-"&amp;text(month(F$1),"00")&amp;"'!$A:$D"),4,false),1)))</f>
        <v>1</v>
      </c>
      <c r="G1560" s="62">
        <f t="shared" si="3119"/>
        <v>1</v>
      </c>
      <c r="H1560" s="62">
        <f t="shared" ref="H1560:Q1560" si="3120">IF(isblank(H$1),,IFERROR(vlookup($A1560,indirect("'TVC-"&amp;text(month(H$1),"00")&amp;"'!$A:$D"),4,false),1))</f>
        <v>1</v>
      </c>
      <c r="I1560" s="62">
        <f t="shared" si="3120"/>
        <v>1</v>
      </c>
      <c r="J1560" s="62">
        <f t="shared" si="3120"/>
        <v>1</v>
      </c>
      <c r="K1560" s="62">
        <f t="shared" si="3120"/>
        <v>1</v>
      </c>
      <c r="L1560" s="62">
        <f t="shared" si="3120"/>
        <v>1</v>
      </c>
      <c r="M1560" s="62">
        <f t="shared" si="3120"/>
        <v>1</v>
      </c>
      <c r="N1560" s="62">
        <f t="shared" si="3120"/>
        <v>1</v>
      </c>
      <c r="O1560" s="62">
        <f t="shared" si="3120"/>
        <v>1</v>
      </c>
      <c r="P1560" s="62" t="str">
        <f t="shared" si="3120"/>
        <v/>
      </c>
      <c r="Q1560" s="62" t="str">
        <f t="shared" si="3120"/>
        <v/>
      </c>
      <c r="R1560" s="62">
        <f t="shared" si="7"/>
        <v>0</v>
      </c>
      <c r="S1560" s="62"/>
      <c r="T1560" s="62"/>
      <c r="U1560" s="62"/>
      <c r="V1560" s="62"/>
      <c r="W1560" s="62"/>
      <c r="X1560" s="62"/>
      <c r="Y1560" s="62"/>
      <c r="Z1560" s="62"/>
      <c r="AA1560" s="62"/>
      <c r="AB1560" s="62"/>
      <c r="AC1560" s="62"/>
    </row>
    <row r="1561" hidden="1">
      <c r="A1561" s="60">
        <f>IFERROR(__xludf.DUMMYFUNCTION("""COMPUTED_VALUE"""),16237.0)</f>
        <v>16237</v>
      </c>
      <c r="B1561" s="60" t="str">
        <f>IFERROR(__xludf.DUMMYFUNCTION("""COMPUTED_VALUE"""),"Pappoe, Owen")</f>
        <v>Pappoe, Owen</v>
      </c>
      <c r="C1561" s="60" t="str">
        <f>IFERROR(__xludf.DUMMYFUNCTION("""COMPUTED_VALUE"""),"LB")</f>
        <v>LB</v>
      </c>
      <c r="D1561" s="60" t="str">
        <f>IFERROR(__xludf.DUMMYFUNCTION("""COMPUTED_VALUE"""),"TEN")</f>
        <v>TEN</v>
      </c>
      <c r="E1561" s="62" t="str">
        <f t="shared" si="4"/>
        <v>Owen Pappoe</v>
      </c>
      <c r="F1561" s="62">
        <f t="shared" ref="F1561:G1561" si="3121">IF(isblank(F$1),,IF(isblank($A1561),,IFERROR(vlookup($A1561,indirect("'TVC-"&amp;text(month(F$1),"00")&amp;"'!$A:$D"),4,false),1)))</f>
        <v>1</v>
      </c>
      <c r="G1561" s="62">
        <f t="shared" si="3121"/>
        <v>1</v>
      </c>
      <c r="H1561" s="62">
        <f t="shared" ref="H1561:Q1561" si="3122">IF(isblank(H$1),,IFERROR(vlookup($A1561,indirect("'TVC-"&amp;text(month(H$1),"00")&amp;"'!$A:$D"),4,false),1))</f>
        <v>1</v>
      </c>
      <c r="I1561" s="62">
        <f t="shared" si="3122"/>
        <v>1</v>
      </c>
      <c r="J1561" s="62">
        <f t="shared" si="3122"/>
        <v>1</v>
      </c>
      <c r="K1561" s="62">
        <f t="shared" si="3122"/>
        <v>1</v>
      </c>
      <c r="L1561" s="62">
        <f t="shared" si="3122"/>
        <v>1</v>
      </c>
      <c r="M1561" s="62">
        <f t="shared" si="3122"/>
        <v>1</v>
      </c>
      <c r="N1561" s="62">
        <f t="shared" si="3122"/>
        <v>1</v>
      </c>
      <c r="O1561" s="62">
        <f t="shared" si="3122"/>
        <v>1</v>
      </c>
      <c r="P1561" s="62" t="str">
        <f t="shared" si="3122"/>
        <v/>
      </c>
      <c r="Q1561" s="62" t="str">
        <f t="shared" si="3122"/>
        <v/>
      </c>
      <c r="R1561" s="62">
        <f t="shared" si="7"/>
        <v>0</v>
      </c>
      <c r="S1561" s="62"/>
      <c r="T1561" s="62"/>
      <c r="U1561" s="62"/>
      <c r="V1561" s="62"/>
      <c r="W1561" s="62"/>
      <c r="X1561" s="62"/>
      <c r="Y1561" s="62"/>
      <c r="Z1561" s="62"/>
      <c r="AA1561" s="62"/>
      <c r="AB1561" s="62"/>
      <c r="AC1561" s="62"/>
    </row>
    <row r="1562" hidden="1">
      <c r="A1562" s="60">
        <f>IFERROR(__xludf.DUMMYFUNCTION("""COMPUTED_VALUE"""),16238.0)</f>
        <v>16238</v>
      </c>
      <c r="B1562" s="60" t="str">
        <f>IFERROR(__xludf.DUMMYFUNCTION("""COMPUTED_VALUE"""),"Sewell, Noah")</f>
        <v>Sewell, Noah</v>
      </c>
      <c r="C1562" s="60" t="str">
        <f>IFERROR(__xludf.DUMMYFUNCTION("""COMPUTED_VALUE"""),"LB")</f>
        <v>LB</v>
      </c>
      <c r="D1562" s="60" t="str">
        <f>IFERROR(__xludf.DUMMYFUNCTION("""COMPUTED_VALUE"""),"CHI")</f>
        <v>CHI</v>
      </c>
      <c r="E1562" s="62" t="str">
        <f t="shared" si="4"/>
        <v>Noah Sewell</v>
      </c>
      <c r="F1562" s="62">
        <f t="shared" ref="F1562:G1562" si="3123">IF(isblank(F$1),,IF(isblank($A1562),,IFERROR(vlookup($A1562,indirect("'TVC-"&amp;text(month(F$1),"00")&amp;"'!$A:$D"),4,false),1)))</f>
        <v>1</v>
      </c>
      <c r="G1562" s="62">
        <f t="shared" si="3123"/>
        <v>1</v>
      </c>
      <c r="H1562" s="62">
        <f t="shared" ref="H1562:Q1562" si="3124">IF(isblank(H$1),,IFERROR(vlookup($A1562,indirect("'TVC-"&amp;text(month(H$1),"00")&amp;"'!$A:$D"),4,false),1))</f>
        <v>1</v>
      </c>
      <c r="I1562" s="62">
        <f t="shared" si="3124"/>
        <v>1</v>
      </c>
      <c r="J1562" s="62">
        <f t="shared" si="3124"/>
        <v>1</v>
      </c>
      <c r="K1562" s="62">
        <f t="shared" si="3124"/>
        <v>1</v>
      </c>
      <c r="L1562" s="62">
        <f t="shared" si="3124"/>
        <v>1</v>
      </c>
      <c r="M1562" s="62">
        <f t="shared" si="3124"/>
        <v>1</v>
      </c>
      <c r="N1562" s="62">
        <f t="shared" si="3124"/>
        <v>1</v>
      </c>
      <c r="O1562" s="62">
        <f t="shared" si="3124"/>
        <v>1</v>
      </c>
      <c r="P1562" s="62" t="str">
        <f t="shared" si="3124"/>
        <v/>
      </c>
      <c r="Q1562" s="62" t="str">
        <f t="shared" si="3124"/>
        <v/>
      </c>
      <c r="R1562" s="62">
        <f t="shared" si="7"/>
        <v>0</v>
      </c>
      <c r="S1562" s="62"/>
      <c r="T1562" s="62"/>
      <c r="U1562" s="62"/>
      <c r="V1562" s="62"/>
      <c r="W1562" s="62"/>
      <c r="X1562" s="62"/>
      <c r="Y1562" s="62"/>
      <c r="Z1562" s="62"/>
      <c r="AA1562" s="62"/>
      <c r="AB1562" s="62"/>
      <c r="AC1562" s="62"/>
    </row>
    <row r="1563" hidden="1">
      <c r="A1563" s="60">
        <f>IFERROR(__xludf.DUMMYFUNCTION("""COMPUTED_VALUE"""),16239.0)</f>
        <v>16239</v>
      </c>
      <c r="B1563" s="60" t="str">
        <f>IFERROR(__xludf.DUMMYFUNCTION("""COMPUTED_VALUE"""),"Campbell, Jack")</f>
        <v>Campbell, Jack</v>
      </c>
      <c r="C1563" s="60" t="str">
        <f>IFERROR(__xludf.DUMMYFUNCTION("""COMPUTED_VALUE"""),"LB")</f>
        <v>LB</v>
      </c>
      <c r="D1563" s="60" t="str">
        <f>IFERROR(__xludf.DUMMYFUNCTION("""COMPUTED_VALUE"""),"DET")</f>
        <v>DET</v>
      </c>
      <c r="E1563" s="62" t="str">
        <f t="shared" si="4"/>
        <v>Jack Campbell</v>
      </c>
      <c r="F1563" s="62">
        <f t="shared" ref="F1563:G1563" si="3125">IF(isblank(F$1),,IF(isblank($A1563),,IFERROR(vlookup($A1563,indirect("'TVC-"&amp;text(month(F$1),"00")&amp;"'!$A:$D"),4,false),1)))</f>
        <v>1</v>
      </c>
      <c r="G1563" s="62">
        <f t="shared" si="3125"/>
        <v>1</v>
      </c>
      <c r="H1563" s="62">
        <f t="shared" ref="H1563:Q1563" si="3126">IF(isblank(H$1),,IFERROR(vlookup($A1563,indirect("'TVC-"&amp;text(month(H$1),"00")&amp;"'!$A:$D"),4,false),1))</f>
        <v>1</v>
      </c>
      <c r="I1563" s="62">
        <f t="shared" si="3126"/>
        <v>1</v>
      </c>
      <c r="J1563" s="62">
        <f t="shared" si="3126"/>
        <v>1</v>
      </c>
      <c r="K1563" s="62">
        <f t="shared" si="3126"/>
        <v>1</v>
      </c>
      <c r="L1563" s="62">
        <f t="shared" si="3126"/>
        <v>1</v>
      </c>
      <c r="M1563" s="62">
        <f t="shared" si="3126"/>
        <v>1</v>
      </c>
      <c r="N1563" s="62">
        <f t="shared" si="3126"/>
        <v>1</v>
      </c>
      <c r="O1563" s="62">
        <f t="shared" si="3126"/>
        <v>1</v>
      </c>
      <c r="P1563" s="62" t="str">
        <f t="shared" si="3126"/>
        <v/>
      </c>
      <c r="Q1563" s="62" t="str">
        <f t="shared" si="3126"/>
        <v/>
      </c>
      <c r="R1563" s="62">
        <f t="shared" si="7"/>
        <v>0</v>
      </c>
      <c r="S1563" s="62"/>
      <c r="T1563" s="62"/>
      <c r="U1563" s="62"/>
      <c r="V1563" s="62"/>
      <c r="W1563" s="62"/>
      <c r="X1563" s="62"/>
      <c r="Y1563" s="62"/>
      <c r="Z1563" s="62"/>
      <c r="AA1563" s="62"/>
      <c r="AB1563" s="62"/>
      <c r="AC1563" s="62"/>
    </row>
    <row r="1564" hidden="1">
      <c r="A1564" s="60">
        <f>IFERROR(__xludf.DUMMYFUNCTION("""COMPUTED_VALUE"""),16240.0)</f>
        <v>16240</v>
      </c>
      <c r="B1564" s="60" t="str">
        <f>IFERROR(__xludf.DUMMYFUNCTION("""COMPUTED_VALUE"""),"Porter Jr., Joey")</f>
        <v>Porter Jr., Joey</v>
      </c>
      <c r="C1564" s="60" t="str">
        <f>IFERROR(__xludf.DUMMYFUNCTION("""COMPUTED_VALUE"""),"CB")</f>
        <v>CB</v>
      </c>
      <c r="D1564" s="60" t="str">
        <f>IFERROR(__xludf.DUMMYFUNCTION("""COMPUTED_VALUE"""),"DAL")</f>
        <v>DAL</v>
      </c>
      <c r="E1564" s="62" t="str">
        <f t="shared" si="4"/>
        <v>Joey Porter Jr.</v>
      </c>
      <c r="F1564" s="62">
        <f t="shared" ref="F1564:G1564" si="3127">IF(isblank(F$1),,IF(isblank($A1564),,IFERROR(vlookup($A1564,indirect("'TVC-"&amp;text(month(F$1),"00")&amp;"'!$A:$D"),4,false),1)))</f>
        <v>1</v>
      </c>
      <c r="G1564" s="62">
        <f t="shared" si="3127"/>
        <v>1</v>
      </c>
      <c r="H1564" s="62">
        <f t="shared" ref="H1564:Q1564" si="3128">IF(isblank(H$1),,IFERROR(vlookup($A1564,indirect("'TVC-"&amp;text(month(H$1),"00")&amp;"'!$A:$D"),4,false),1))</f>
        <v>1</v>
      </c>
      <c r="I1564" s="62">
        <f t="shared" si="3128"/>
        <v>1</v>
      </c>
      <c r="J1564" s="62">
        <f t="shared" si="3128"/>
        <v>1</v>
      </c>
      <c r="K1564" s="62">
        <f t="shared" si="3128"/>
        <v>1</v>
      </c>
      <c r="L1564" s="62">
        <f t="shared" si="3128"/>
        <v>1</v>
      </c>
      <c r="M1564" s="62">
        <f t="shared" si="3128"/>
        <v>1</v>
      </c>
      <c r="N1564" s="62">
        <f t="shared" si="3128"/>
        <v>1</v>
      </c>
      <c r="O1564" s="62">
        <f t="shared" si="3128"/>
        <v>1</v>
      </c>
      <c r="P1564" s="62" t="str">
        <f t="shared" si="3128"/>
        <v/>
      </c>
      <c r="Q1564" s="62" t="str">
        <f t="shared" si="3128"/>
        <v/>
      </c>
      <c r="R1564" s="62">
        <f t="shared" si="7"/>
        <v>0</v>
      </c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</row>
    <row r="1565" hidden="1">
      <c r="A1565" s="60">
        <f>IFERROR(__xludf.DUMMYFUNCTION("""COMPUTED_VALUE"""),16241.0)</f>
        <v>16241</v>
      </c>
      <c r="B1565" s="60" t="str">
        <f>IFERROR(__xludf.DUMMYFUNCTION("""COMPUTED_VALUE"""),"Witherspoon, Devon")</f>
        <v>Witherspoon, Devon</v>
      </c>
      <c r="C1565" s="60" t="str">
        <f>IFERROR(__xludf.DUMMYFUNCTION("""COMPUTED_VALUE"""),"CB")</f>
        <v>CB</v>
      </c>
      <c r="D1565" s="60" t="str">
        <f>IFERROR(__xludf.DUMMYFUNCTION("""COMPUTED_VALUE"""),"SEA")</f>
        <v>SEA</v>
      </c>
      <c r="E1565" s="62" t="str">
        <f t="shared" si="4"/>
        <v>Devon Witherspoon</v>
      </c>
      <c r="F1565" s="62">
        <f t="shared" ref="F1565:G1565" si="3129">IF(isblank(F$1),,IF(isblank($A1565),,IFERROR(vlookup($A1565,indirect("'TVC-"&amp;text(month(F$1),"00")&amp;"'!$A:$D"),4,false),1)))</f>
        <v>1</v>
      </c>
      <c r="G1565" s="62">
        <f t="shared" si="3129"/>
        <v>1</v>
      </c>
      <c r="H1565" s="62">
        <f t="shared" ref="H1565:Q1565" si="3130">IF(isblank(H$1),,IFERROR(vlookup($A1565,indirect("'TVC-"&amp;text(month(H$1),"00")&amp;"'!$A:$D"),4,false),1))</f>
        <v>1</v>
      </c>
      <c r="I1565" s="62">
        <f t="shared" si="3130"/>
        <v>1</v>
      </c>
      <c r="J1565" s="62">
        <f t="shared" si="3130"/>
        <v>1</v>
      </c>
      <c r="K1565" s="62">
        <f t="shared" si="3130"/>
        <v>1</v>
      </c>
      <c r="L1565" s="62">
        <f t="shared" si="3130"/>
        <v>1</v>
      </c>
      <c r="M1565" s="62">
        <f t="shared" si="3130"/>
        <v>1</v>
      </c>
      <c r="N1565" s="62">
        <f t="shared" si="3130"/>
        <v>1</v>
      </c>
      <c r="O1565" s="62">
        <f t="shared" si="3130"/>
        <v>1</v>
      </c>
      <c r="P1565" s="62" t="str">
        <f t="shared" si="3130"/>
        <v/>
      </c>
      <c r="Q1565" s="62" t="str">
        <f t="shared" si="3130"/>
        <v/>
      </c>
      <c r="R1565" s="62">
        <f t="shared" si="7"/>
        <v>0</v>
      </c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</row>
    <row r="1566" hidden="1">
      <c r="A1566" s="60">
        <f>IFERROR(__xludf.DUMMYFUNCTION("""COMPUTED_VALUE"""),16242.0)</f>
        <v>16242</v>
      </c>
      <c r="B1566" s="60" t="str">
        <f>IFERROR(__xludf.DUMMYFUNCTION("""COMPUTED_VALUE"""),"Ringo, Kelee")</f>
        <v>Ringo, Kelee</v>
      </c>
      <c r="C1566" s="60" t="str">
        <f>IFERROR(__xludf.DUMMYFUNCTION("""COMPUTED_VALUE"""),"CB")</f>
        <v>CB</v>
      </c>
      <c r="D1566" s="60" t="str">
        <f>IFERROR(__xludf.DUMMYFUNCTION("""COMPUTED_VALUE"""),"PHI")</f>
        <v>PHI</v>
      </c>
      <c r="E1566" s="62" t="str">
        <f t="shared" si="4"/>
        <v>Kelee Ringo</v>
      </c>
      <c r="F1566" s="62">
        <f t="shared" ref="F1566:G1566" si="3131">IF(isblank(F$1),,IF(isblank($A1566),,IFERROR(vlookup($A1566,indirect("'TVC-"&amp;text(month(F$1),"00")&amp;"'!$A:$D"),4,false),1)))</f>
        <v>1</v>
      </c>
      <c r="G1566" s="62">
        <f t="shared" si="3131"/>
        <v>1</v>
      </c>
      <c r="H1566" s="62">
        <f t="shared" ref="H1566:Q1566" si="3132">IF(isblank(H$1),,IFERROR(vlookup($A1566,indirect("'TVC-"&amp;text(month(H$1),"00")&amp;"'!$A:$D"),4,false),1))</f>
        <v>1</v>
      </c>
      <c r="I1566" s="62">
        <f t="shared" si="3132"/>
        <v>1</v>
      </c>
      <c r="J1566" s="62">
        <f t="shared" si="3132"/>
        <v>1</v>
      </c>
      <c r="K1566" s="62">
        <f t="shared" si="3132"/>
        <v>1</v>
      </c>
      <c r="L1566" s="62">
        <f t="shared" si="3132"/>
        <v>1</v>
      </c>
      <c r="M1566" s="62">
        <f t="shared" si="3132"/>
        <v>1</v>
      </c>
      <c r="N1566" s="62">
        <f t="shared" si="3132"/>
        <v>1</v>
      </c>
      <c r="O1566" s="62">
        <f t="shared" si="3132"/>
        <v>1</v>
      </c>
      <c r="P1566" s="62" t="str">
        <f t="shared" si="3132"/>
        <v/>
      </c>
      <c r="Q1566" s="62" t="str">
        <f t="shared" si="3132"/>
        <v/>
      </c>
      <c r="R1566" s="62">
        <f t="shared" si="7"/>
        <v>0</v>
      </c>
      <c r="S1566" s="62"/>
      <c r="T1566" s="62"/>
      <c r="U1566" s="62"/>
      <c r="V1566" s="62"/>
      <c r="W1566" s="62"/>
      <c r="X1566" s="62"/>
      <c r="Y1566" s="62"/>
      <c r="Z1566" s="62"/>
      <c r="AA1566" s="62"/>
      <c r="AB1566" s="62"/>
      <c r="AC1566" s="62"/>
    </row>
    <row r="1567" hidden="1">
      <c r="A1567" s="60">
        <f>IFERROR(__xludf.DUMMYFUNCTION("""COMPUTED_VALUE"""),16243.0)</f>
        <v>16243</v>
      </c>
      <c r="B1567" s="60" t="str">
        <f>IFERROR(__xludf.DUMMYFUNCTION("""COMPUTED_VALUE"""),"Smith, Cam")</f>
        <v>Smith, Cam</v>
      </c>
      <c r="C1567" s="60" t="str">
        <f>IFERROR(__xludf.DUMMYFUNCTION("""COMPUTED_VALUE"""),"CB")</f>
        <v>CB</v>
      </c>
      <c r="D1567" s="60" t="str">
        <f>IFERROR(__xludf.DUMMYFUNCTION("""COMPUTED_VALUE"""),"FA")</f>
        <v>FA</v>
      </c>
      <c r="E1567" s="62" t="str">
        <f t="shared" si="4"/>
        <v>Cam Smith</v>
      </c>
      <c r="F1567" s="62">
        <f t="shared" ref="F1567:G1567" si="3133">IF(isblank(F$1),,IF(isblank($A1567),,IFERROR(vlookup($A1567,indirect("'TVC-"&amp;text(month(F$1),"00")&amp;"'!$A:$D"),4,false),1)))</f>
        <v>1</v>
      </c>
      <c r="G1567" s="62">
        <f t="shared" si="3133"/>
        <v>1</v>
      </c>
      <c r="H1567" s="62">
        <f t="shared" ref="H1567:Q1567" si="3134">IF(isblank(H$1),,IFERROR(vlookup($A1567,indirect("'TVC-"&amp;text(month(H$1),"00")&amp;"'!$A:$D"),4,false),1))</f>
        <v>1</v>
      </c>
      <c r="I1567" s="62">
        <f t="shared" si="3134"/>
        <v>1</v>
      </c>
      <c r="J1567" s="62">
        <f t="shared" si="3134"/>
        <v>1</v>
      </c>
      <c r="K1567" s="62">
        <f t="shared" si="3134"/>
        <v>1</v>
      </c>
      <c r="L1567" s="62">
        <f t="shared" si="3134"/>
        <v>1</v>
      </c>
      <c r="M1567" s="62">
        <f t="shared" si="3134"/>
        <v>1</v>
      </c>
      <c r="N1567" s="62">
        <f t="shared" si="3134"/>
        <v>1</v>
      </c>
      <c r="O1567" s="62">
        <f t="shared" si="3134"/>
        <v>1</v>
      </c>
      <c r="P1567" s="62" t="str">
        <f t="shared" si="3134"/>
        <v/>
      </c>
      <c r="Q1567" s="62" t="str">
        <f t="shared" si="3134"/>
        <v/>
      </c>
      <c r="R1567" s="62">
        <f t="shared" si="7"/>
        <v>0</v>
      </c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</row>
    <row r="1568" hidden="1">
      <c r="A1568" s="60">
        <f>IFERROR(__xludf.DUMMYFUNCTION("""COMPUTED_VALUE"""),16244.0)</f>
        <v>16244</v>
      </c>
      <c r="B1568" s="60" t="str">
        <f>IFERROR(__xludf.DUMMYFUNCTION("""COMPUTED_VALUE"""),"Branch, Brian")</f>
        <v>Branch, Brian</v>
      </c>
      <c r="C1568" s="60" t="str">
        <f>IFERROR(__xludf.DUMMYFUNCTION("""COMPUTED_VALUE"""),"S")</f>
        <v>S</v>
      </c>
      <c r="D1568" s="60" t="str">
        <f>IFERROR(__xludf.DUMMYFUNCTION("""COMPUTED_VALUE"""),"DET")</f>
        <v>DET</v>
      </c>
      <c r="E1568" s="62" t="str">
        <f t="shared" si="4"/>
        <v>Brian Branch</v>
      </c>
      <c r="F1568" s="62">
        <f t="shared" ref="F1568:G1568" si="3135">IF(isblank(F$1),,IF(isblank($A1568),,IFERROR(vlookup($A1568,indirect("'TVC-"&amp;text(month(F$1),"00")&amp;"'!$A:$D"),4,false),1)))</f>
        <v>1</v>
      </c>
      <c r="G1568" s="62">
        <f t="shared" si="3135"/>
        <v>1</v>
      </c>
      <c r="H1568" s="62">
        <f t="shared" ref="H1568:Q1568" si="3136">IF(isblank(H$1),,IFERROR(vlookup($A1568,indirect("'TVC-"&amp;text(month(H$1),"00")&amp;"'!$A:$D"),4,false),1))</f>
        <v>1</v>
      </c>
      <c r="I1568" s="62">
        <f t="shared" si="3136"/>
        <v>1</v>
      </c>
      <c r="J1568" s="62">
        <f t="shared" si="3136"/>
        <v>1</v>
      </c>
      <c r="K1568" s="62">
        <f t="shared" si="3136"/>
        <v>1</v>
      </c>
      <c r="L1568" s="62">
        <f t="shared" si="3136"/>
        <v>1</v>
      </c>
      <c r="M1568" s="62">
        <f t="shared" si="3136"/>
        <v>1</v>
      </c>
      <c r="N1568" s="62">
        <f t="shared" si="3136"/>
        <v>1</v>
      </c>
      <c r="O1568" s="62">
        <f t="shared" si="3136"/>
        <v>1</v>
      </c>
      <c r="P1568" s="62" t="str">
        <f t="shared" si="3136"/>
        <v/>
      </c>
      <c r="Q1568" s="62" t="str">
        <f t="shared" si="3136"/>
        <v/>
      </c>
      <c r="R1568" s="62">
        <f t="shared" si="7"/>
        <v>0</v>
      </c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</row>
    <row r="1569" hidden="1">
      <c r="A1569" s="60">
        <f>IFERROR(__xludf.DUMMYFUNCTION("""COMPUTED_VALUE"""),16245.0)</f>
        <v>16245</v>
      </c>
      <c r="B1569" s="60" t="str">
        <f>IFERROR(__xludf.DUMMYFUNCTION("""COMPUTED_VALUE"""),"Battle, Jordan")</f>
        <v>Battle, Jordan</v>
      </c>
      <c r="C1569" s="60" t="str">
        <f>IFERROR(__xludf.DUMMYFUNCTION("""COMPUTED_VALUE"""),"S")</f>
        <v>S</v>
      </c>
      <c r="D1569" s="60" t="str">
        <f>IFERROR(__xludf.DUMMYFUNCTION("""COMPUTED_VALUE"""),"CIN")</f>
        <v>CIN</v>
      </c>
      <c r="E1569" s="62" t="str">
        <f t="shared" si="4"/>
        <v>Jordan Battle</v>
      </c>
      <c r="F1569" s="62">
        <f t="shared" ref="F1569:G1569" si="3137">IF(isblank(F$1),,IF(isblank($A1569),,IFERROR(vlookup($A1569,indirect("'TVC-"&amp;text(month(F$1),"00")&amp;"'!$A:$D"),4,false),1)))</f>
        <v>1</v>
      </c>
      <c r="G1569" s="62">
        <f t="shared" si="3137"/>
        <v>1</v>
      </c>
      <c r="H1569" s="62">
        <f t="shared" ref="H1569:Q1569" si="3138">IF(isblank(H$1),,IFERROR(vlookup($A1569,indirect("'TVC-"&amp;text(month(H$1),"00")&amp;"'!$A:$D"),4,false),1))</f>
        <v>1</v>
      </c>
      <c r="I1569" s="62">
        <f t="shared" si="3138"/>
        <v>1</v>
      </c>
      <c r="J1569" s="62">
        <f t="shared" si="3138"/>
        <v>1</v>
      </c>
      <c r="K1569" s="62">
        <f t="shared" si="3138"/>
        <v>1</v>
      </c>
      <c r="L1569" s="62">
        <f t="shared" si="3138"/>
        <v>1</v>
      </c>
      <c r="M1569" s="62">
        <f t="shared" si="3138"/>
        <v>1</v>
      </c>
      <c r="N1569" s="62">
        <f t="shared" si="3138"/>
        <v>1</v>
      </c>
      <c r="O1569" s="62">
        <f t="shared" si="3138"/>
        <v>1</v>
      </c>
      <c r="P1569" s="62" t="str">
        <f t="shared" si="3138"/>
        <v/>
      </c>
      <c r="Q1569" s="62" t="str">
        <f t="shared" si="3138"/>
        <v/>
      </c>
      <c r="R1569" s="62">
        <f t="shared" si="7"/>
        <v>0</v>
      </c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</row>
    <row r="1570" hidden="1">
      <c r="A1570" s="60">
        <f>IFERROR(__xludf.DUMMYFUNCTION("""COMPUTED_VALUE"""),16246.0)</f>
        <v>16246</v>
      </c>
      <c r="B1570" s="60" t="str">
        <f>IFERROR(__xludf.DUMMYFUNCTION("""COMPUTED_VALUE"""),"Johnson, Antonio")</f>
        <v>Johnson, Antonio</v>
      </c>
      <c r="C1570" s="60" t="str">
        <f>IFERROR(__xludf.DUMMYFUNCTION("""COMPUTED_VALUE"""),"S")</f>
        <v>S</v>
      </c>
      <c r="D1570" s="60" t="str">
        <f>IFERROR(__xludf.DUMMYFUNCTION("""COMPUTED_VALUE"""),"JAC")</f>
        <v>JAC</v>
      </c>
      <c r="E1570" s="62" t="str">
        <f t="shared" si="4"/>
        <v>Antonio Johnson</v>
      </c>
      <c r="F1570" s="62">
        <f t="shared" ref="F1570:G1570" si="3139">IF(isblank(F$1),,IF(isblank($A1570),,IFERROR(vlookup($A1570,indirect("'TVC-"&amp;text(month(F$1),"00")&amp;"'!$A:$D"),4,false),1)))</f>
        <v>1</v>
      </c>
      <c r="G1570" s="62">
        <f t="shared" si="3139"/>
        <v>1</v>
      </c>
      <c r="H1570" s="62">
        <f t="shared" ref="H1570:Q1570" si="3140">IF(isblank(H$1),,IFERROR(vlookup($A1570,indirect("'TVC-"&amp;text(month(H$1),"00")&amp;"'!$A:$D"),4,false),1))</f>
        <v>1</v>
      </c>
      <c r="I1570" s="62">
        <f t="shared" si="3140"/>
        <v>1</v>
      </c>
      <c r="J1570" s="62">
        <f t="shared" si="3140"/>
        <v>1</v>
      </c>
      <c r="K1570" s="62">
        <f t="shared" si="3140"/>
        <v>1</v>
      </c>
      <c r="L1570" s="62">
        <f t="shared" si="3140"/>
        <v>1</v>
      </c>
      <c r="M1570" s="62">
        <f t="shared" si="3140"/>
        <v>1</v>
      </c>
      <c r="N1570" s="62">
        <f t="shared" si="3140"/>
        <v>1</v>
      </c>
      <c r="O1570" s="62">
        <f t="shared" si="3140"/>
        <v>1</v>
      </c>
      <c r="P1570" s="62" t="str">
        <f t="shared" si="3140"/>
        <v/>
      </c>
      <c r="Q1570" s="62" t="str">
        <f t="shared" si="3140"/>
        <v/>
      </c>
      <c r="R1570" s="62">
        <f t="shared" si="7"/>
        <v>0</v>
      </c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</row>
    <row r="1571" hidden="1">
      <c r="A1571" s="60">
        <f>IFERROR(__xludf.DUMMYFUNCTION("""COMPUTED_VALUE"""),16247.0)</f>
        <v>16247</v>
      </c>
      <c r="B1571" s="60" t="str">
        <f>IFERROR(__xludf.DUMMYFUNCTION("""COMPUTED_VALUE"""),"Skinner, JL")</f>
        <v>Skinner, JL</v>
      </c>
      <c r="C1571" s="60" t="str">
        <f>IFERROR(__xludf.DUMMYFUNCTION("""COMPUTED_VALUE"""),"S")</f>
        <v>S</v>
      </c>
      <c r="D1571" s="60" t="str">
        <f>IFERROR(__xludf.DUMMYFUNCTION("""COMPUTED_VALUE"""),"DEN")</f>
        <v>DEN</v>
      </c>
      <c r="E1571" s="62" t="str">
        <f t="shared" si="4"/>
        <v>JL Skinner</v>
      </c>
      <c r="F1571" s="62">
        <f t="shared" ref="F1571:G1571" si="3141">IF(isblank(F$1),,IF(isblank($A1571),,IFERROR(vlookup($A1571,indirect("'TVC-"&amp;text(month(F$1),"00")&amp;"'!$A:$D"),4,false),1)))</f>
        <v>1</v>
      </c>
      <c r="G1571" s="62">
        <f t="shared" si="3141"/>
        <v>1</v>
      </c>
      <c r="H1571" s="62">
        <f t="shared" ref="H1571:Q1571" si="3142">IF(isblank(H$1),,IFERROR(vlookup($A1571,indirect("'TVC-"&amp;text(month(H$1),"00")&amp;"'!$A:$D"),4,false),1))</f>
        <v>1</v>
      </c>
      <c r="I1571" s="62">
        <f t="shared" si="3142"/>
        <v>1</v>
      </c>
      <c r="J1571" s="62">
        <f t="shared" si="3142"/>
        <v>1</v>
      </c>
      <c r="K1571" s="62">
        <f t="shared" si="3142"/>
        <v>1</v>
      </c>
      <c r="L1571" s="62">
        <f t="shared" si="3142"/>
        <v>1</v>
      </c>
      <c r="M1571" s="62">
        <f t="shared" si="3142"/>
        <v>1</v>
      </c>
      <c r="N1571" s="62">
        <f t="shared" si="3142"/>
        <v>1</v>
      </c>
      <c r="O1571" s="62">
        <f t="shared" si="3142"/>
        <v>1</v>
      </c>
      <c r="P1571" s="62" t="str">
        <f t="shared" si="3142"/>
        <v/>
      </c>
      <c r="Q1571" s="62" t="str">
        <f t="shared" si="3142"/>
        <v/>
      </c>
      <c r="R1571" s="62">
        <f t="shared" si="7"/>
        <v>0</v>
      </c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</row>
    <row r="1572" hidden="1">
      <c r="A1572" s="60">
        <f>IFERROR(__xludf.DUMMYFUNCTION("""COMPUTED_VALUE"""),16249.0)</f>
        <v>16249</v>
      </c>
      <c r="B1572" s="60" t="str">
        <f>IFERROR(__xludf.DUMMYFUNCTION("""COMPUTED_VALUE"""),"Kuntz, Zack")</f>
        <v>Kuntz, Zack</v>
      </c>
      <c r="C1572" s="60" t="str">
        <f>IFERROR(__xludf.DUMMYFUNCTION("""COMPUTED_VALUE"""),"TE")</f>
        <v>TE</v>
      </c>
      <c r="D1572" s="60" t="str">
        <f>IFERROR(__xludf.DUMMYFUNCTION("""COMPUTED_VALUE"""),"FA")</f>
        <v>FA</v>
      </c>
      <c r="E1572" s="62" t="str">
        <f t="shared" si="4"/>
        <v>Zack Kuntz</v>
      </c>
      <c r="F1572" s="62">
        <f t="shared" ref="F1572:G1572" si="3143">IF(isblank(F$1),,IF(isblank($A1572),,IFERROR(vlookup($A1572,indirect("'TVC-"&amp;text(month(F$1),"00")&amp;"'!$A:$D"),4,false),1)))</f>
        <v>1</v>
      </c>
      <c r="G1572" s="62">
        <f t="shared" si="3143"/>
        <v>1</v>
      </c>
      <c r="H1572" s="62">
        <f t="shared" ref="H1572:Q1572" si="3144">IF(isblank(H$1),,IFERROR(vlookup($A1572,indirect("'TVC-"&amp;text(month(H$1),"00")&amp;"'!$A:$D"),4,false),1))</f>
        <v>1</v>
      </c>
      <c r="I1572" s="62">
        <f t="shared" si="3144"/>
        <v>1</v>
      </c>
      <c r="J1572" s="62">
        <f t="shared" si="3144"/>
        <v>1</v>
      </c>
      <c r="K1572" s="62">
        <f t="shared" si="3144"/>
        <v>1</v>
      </c>
      <c r="L1572" s="62">
        <f t="shared" si="3144"/>
        <v>1</v>
      </c>
      <c r="M1572" s="62">
        <f t="shared" si="3144"/>
        <v>1</v>
      </c>
      <c r="N1572" s="62">
        <f t="shared" si="3144"/>
        <v>1</v>
      </c>
      <c r="O1572" s="62">
        <f t="shared" si="3144"/>
        <v>1</v>
      </c>
      <c r="P1572" s="62" t="str">
        <f t="shared" si="3144"/>
        <v/>
      </c>
      <c r="Q1572" s="62" t="str">
        <f t="shared" si="3144"/>
        <v/>
      </c>
      <c r="R1572" s="62">
        <f t="shared" si="7"/>
        <v>0</v>
      </c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</row>
    <row r="1573">
      <c r="A1573" s="60">
        <f>IFERROR(__xludf.DUMMYFUNCTION("""COMPUTED_VALUE"""),16251.0)</f>
        <v>16251</v>
      </c>
      <c r="B1573" s="60" t="str">
        <f>IFERROR(__xludf.DUMMYFUNCTION("""COMPUTED_VALUE"""),"Gonzalez, Christian")</f>
        <v>Gonzalez, Christian</v>
      </c>
      <c r="C1573" s="60" t="str">
        <f>IFERROR(__xludf.DUMMYFUNCTION("""COMPUTED_VALUE"""),"CB")</f>
        <v>CB</v>
      </c>
      <c r="D1573" s="60" t="str">
        <f>IFERROR(__xludf.DUMMYFUNCTION("""COMPUTED_VALUE"""),"NEP")</f>
        <v>NEP</v>
      </c>
      <c r="E1573" s="62" t="str">
        <f t="shared" si="4"/>
        <v>Christian Gonzalez</v>
      </c>
      <c r="F1573" s="62">
        <f t="shared" ref="F1573:G1573" si="3145">IF(isblank(F$1),,IF(isblank($A1573),,IFERROR(vlookup($A1573,indirect("'TVC-"&amp;text(month(F$1),"00")&amp;"'!$A:$D"),4,false),1)))</f>
        <v>1</v>
      </c>
      <c r="G1573" s="62">
        <f t="shared" si="3145"/>
        <v>1</v>
      </c>
      <c r="H1573" s="62">
        <f t="shared" ref="H1573:Q1573" si="3146">IF(isblank(H$1),,IFERROR(vlookup($A1573,indirect("'TVC-"&amp;text(month(H$1),"00")&amp;"'!$A:$D"),4,false),1))</f>
        <v>1</v>
      </c>
      <c r="I1573" s="62">
        <f t="shared" si="3146"/>
        <v>1</v>
      </c>
      <c r="J1573" s="62">
        <f t="shared" si="3146"/>
        <v>1</v>
      </c>
      <c r="K1573" s="62">
        <f t="shared" si="3146"/>
        <v>1</v>
      </c>
      <c r="L1573" s="62">
        <f t="shared" si="3146"/>
        <v>1</v>
      </c>
      <c r="M1573" s="62">
        <f t="shared" si="3146"/>
        <v>1</v>
      </c>
      <c r="N1573" s="62">
        <f t="shared" si="3146"/>
        <v>1</v>
      </c>
      <c r="O1573" s="62">
        <f t="shared" si="3146"/>
        <v>1</v>
      </c>
      <c r="P1573" s="62" t="str">
        <f t="shared" si="3146"/>
        <v/>
      </c>
      <c r="Q1573" s="62" t="str">
        <f t="shared" si="3146"/>
        <v/>
      </c>
      <c r="R1573" s="62">
        <f t="shared" si="7"/>
        <v>0</v>
      </c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</row>
    <row r="1574" hidden="1">
      <c r="A1574" s="60">
        <f>IFERROR(__xludf.DUMMYFUNCTION("""COMPUTED_VALUE"""),16252.0)</f>
        <v>16252</v>
      </c>
      <c r="B1574" s="60" t="str">
        <f>IFERROR(__xludf.DUMMYFUNCTION("""COMPUTED_VALUE"""),"McDonald, Will")</f>
        <v>McDonald, Will</v>
      </c>
      <c r="C1574" s="60" t="str">
        <f>IFERROR(__xludf.DUMMYFUNCTION("""COMPUTED_VALUE"""),"DE")</f>
        <v>DE</v>
      </c>
      <c r="D1574" s="60" t="str">
        <f>IFERROR(__xludf.DUMMYFUNCTION("""COMPUTED_VALUE"""),"NYJ")</f>
        <v>NYJ</v>
      </c>
      <c r="E1574" s="62" t="str">
        <f t="shared" si="4"/>
        <v>Will McDonald</v>
      </c>
      <c r="F1574" s="62">
        <f t="shared" ref="F1574:G1574" si="3147">IF(isblank(F$1),,IF(isblank($A1574),,IFERROR(vlookup($A1574,indirect("'TVC-"&amp;text(month(F$1),"00")&amp;"'!$A:$D"),4,false),1)))</f>
        <v>1</v>
      </c>
      <c r="G1574" s="62">
        <f t="shared" si="3147"/>
        <v>1</v>
      </c>
      <c r="H1574" s="62">
        <f t="shared" ref="H1574:Q1574" si="3148">IF(isblank(H$1),,IFERROR(vlookup($A1574,indirect("'TVC-"&amp;text(month(H$1),"00")&amp;"'!$A:$D"),4,false),1))</f>
        <v>1</v>
      </c>
      <c r="I1574" s="62">
        <f t="shared" si="3148"/>
        <v>1</v>
      </c>
      <c r="J1574" s="62">
        <f t="shared" si="3148"/>
        <v>1</v>
      </c>
      <c r="K1574" s="62">
        <f t="shared" si="3148"/>
        <v>1</v>
      </c>
      <c r="L1574" s="62">
        <f t="shared" si="3148"/>
        <v>1</v>
      </c>
      <c r="M1574" s="62">
        <f t="shared" si="3148"/>
        <v>1</v>
      </c>
      <c r="N1574" s="62">
        <f t="shared" si="3148"/>
        <v>1</v>
      </c>
      <c r="O1574" s="62">
        <f t="shared" si="3148"/>
        <v>1</v>
      </c>
      <c r="P1574" s="62" t="str">
        <f t="shared" si="3148"/>
        <v/>
      </c>
      <c r="Q1574" s="62" t="str">
        <f t="shared" si="3148"/>
        <v/>
      </c>
      <c r="R1574" s="62">
        <f t="shared" si="7"/>
        <v>0</v>
      </c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</row>
    <row r="1575" hidden="1">
      <c r="A1575" s="60">
        <f>IFERROR(__xludf.DUMMYFUNCTION("""COMPUTED_VALUE"""),16253.0)</f>
        <v>16253</v>
      </c>
      <c r="B1575" s="60" t="str">
        <f>IFERROR(__xludf.DUMMYFUNCTION("""COMPUTED_VALUE"""),"Forbes, Emmanuel")</f>
        <v>Forbes, Emmanuel</v>
      </c>
      <c r="C1575" s="60" t="str">
        <f>IFERROR(__xludf.DUMMYFUNCTION("""COMPUTED_VALUE"""),"CB")</f>
        <v>CB</v>
      </c>
      <c r="D1575" s="60" t="str">
        <f>IFERROR(__xludf.DUMMYFUNCTION("""COMPUTED_VALUE"""),"LAR")</f>
        <v>LAR</v>
      </c>
      <c r="E1575" s="62" t="str">
        <f t="shared" si="4"/>
        <v>Emmanuel Forbes</v>
      </c>
      <c r="F1575" s="62">
        <f t="shared" ref="F1575:G1575" si="3149">IF(isblank(F$1),,IF(isblank($A1575),,IFERROR(vlookup($A1575,indirect("'TVC-"&amp;text(month(F$1),"00")&amp;"'!$A:$D"),4,false),1)))</f>
        <v>1</v>
      </c>
      <c r="G1575" s="62">
        <f t="shared" si="3149"/>
        <v>1</v>
      </c>
      <c r="H1575" s="62">
        <f t="shared" ref="H1575:Q1575" si="3150">IF(isblank(H$1),,IFERROR(vlookup($A1575,indirect("'TVC-"&amp;text(month(H$1),"00")&amp;"'!$A:$D"),4,false),1))</f>
        <v>1</v>
      </c>
      <c r="I1575" s="62">
        <f t="shared" si="3150"/>
        <v>1</v>
      </c>
      <c r="J1575" s="62">
        <f t="shared" si="3150"/>
        <v>1</v>
      </c>
      <c r="K1575" s="62">
        <f t="shared" si="3150"/>
        <v>1</v>
      </c>
      <c r="L1575" s="62">
        <f t="shared" si="3150"/>
        <v>1</v>
      </c>
      <c r="M1575" s="62">
        <f t="shared" si="3150"/>
        <v>1</v>
      </c>
      <c r="N1575" s="62">
        <f t="shared" si="3150"/>
        <v>1</v>
      </c>
      <c r="O1575" s="62">
        <f t="shared" si="3150"/>
        <v>1</v>
      </c>
      <c r="P1575" s="62" t="str">
        <f t="shared" si="3150"/>
        <v/>
      </c>
      <c r="Q1575" s="62" t="str">
        <f t="shared" si="3150"/>
        <v/>
      </c>
      <c r="R1575" s="62">
        <f t="shared" si="7"/>
        <v>0</v>
      </c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</row>
    <row r="1576" hidden="1">
      <c r="A1576" s="60">
        <f>IFERROR(__xludf.DUMMYFUNCTION("""COMPUTED_VALUE"""),16254.0)</f>
        <v>16254</v>
      </c>
      <c r="B1576" s="60" t="str">
        <f>IFERROR(__xludf.DUMMYFUNCTION("""COMPUTED_VALUE"""),"Kancey, Calijah")</f>
        <v>Kancey, Calijah</v>
      </c>
      <c r="C1576" s="60" t="str">
        <f>IFERROR(__xludf.DUMMYFUNCTION("""COMPUTED_VALUE"""),"DT")</f>
        <v>DT</v>
      </c>
      <c r="D1576" s="60" t="str">
        <f>IFERROR(__xludf.DUMMYFUNCTION("""COMPUTED_VALUE"""),"TBB")</f>
        <v>TBB</v>
      </c>
      <c r="E1576" s="62" t="str">
        <f t="shared" si="4"/>
        <v>Calijah Kancey</v>
      </c>
      <c r="F1576" s="62">
        <f t="shared" ref="F1576:G1576" si="3151">IF(isblank(F$1),,IF(isblank($A1576),,IFERROR(vlookup($A1576,indirect("'TVC-"&amp;text(month(F$1),"00")&amp;"'!$A:$D"),4,false),1)))</f>
        <v>1</v>
      </c>
      <c r="G1576" s="62">
        <f t="shared" si="3151"/>
        <v>1</v>
      </c>
      <c r="H1576" s="62">
        <f t="shared" ref="H1576:Q1576" si="3152">IF(isblank(H$1),,IFERROR(vlookup($A1576,indirect("'TVC-"&amp;text(month(H$1),"00")&amp;"'!$A:$D"),4,false),1))</f>
        <v>1</v>
      </c>
      <c r="I1576" s="62">
        <f t="shared" si="3152"/>
        <v>1</v>
      </c>
      <c r="J1576" s="62">
        <f t="shared" si="3152"/>
        <v>1</v>
      </c>
      <c r="K1576" s="62">
        <f t="shared" si="3152"/>
        <v>1</v>
      </c>
      <c r="L1576" s="62">
        <f t="shared" si="3152"/>
        <v>1</v>
      </c>
      <c r="M1576" s="62">
        <f t="shared" si="3152"/>
        <v>1</v>
      </c>
      <c r="N1576" s="62">
        <f t="shared" si="3152"/>
        <v>1</v>
      </c>
      <c r="O1576" s="62">
        <f t="shared" si="3152"/>
        <v>1</v>
      </c>
      <c r="P1576" s="62" t="str">
        <f t="shared" si="3152"/>
        <v/>
      </c>
      <c r="Q1576" s="62" t="str">
        <f t="shared" si="3152"/>
        <v/>
      </c>
      <c r="R1576" s="62">
        <f t="shared" si="7"/>
        <v>0</v>
      </c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</row>
    <row r="1577" hidden="1">
      <c r="A1577" s="60">
        <f>IFERROR(__xludf.DUMMYFUNCTION("""COMPUTED_VALUE"""),16255.0)</f>
        <v>16255</v>
      </c>
      <c r="B1577" s="60" t="str">
        <f>IFERROR(__xludf.DUMMYFUNCTION("""COMPUTED_VALUE"""),"Banks, Deonte")</f>
        <v>Banks, Deonte</v>
      </c>
      <c r="C1577" s="60" t="str">
        <f>IFERROR(__xludf.DUMMYFUNCTION("""COMPUTED_VALUE"""),"CB")</f>
        <v>CB</v>
      </c>
      <c r="D1577" s="60" t="str">
        <f>IFERROR(__xludf.DUMMYFUNCTION("""COMPUTED_VALUE"""),"NYG")</f>
        <v>NYG</v>
      </c>
      <c r="E1577" s="62" t="str">
        <f t="shared" si="4"/>
        <v>Deonte Banks</v>
      </c>
      <c r="F1577" s="62">
        <f t="shared" ref="F1577:G1577" si="3153">IF(isblank(F$1),,IF(isblank($A1577),,IFERROR(vlookup($A1577,indirect("'TVC-"&amp;text(month(F$1),"00")&amp;"'!$A:$D"),4,false),1)))</f>
        <v>1</v>
      </c>
      <c r="G1577" s="62">
        <f t="shared" si="3153"/>
        <v>1</v>
      </c>
      <c r="H1577" s="62">
        <f t="shared" ref="H1577:Q1577" si="3154">IF(isblank(H$1),,IFERROR(vlookup($A1577,indirect("'TVC-"&amp;text(month(H$1),"00")&amp;"'!$A:$D"),4,false),1))</f>
        <v>1</v>
      </c>
      <c r="I1577" s="62">
        <f t="shared" si="3154"/>
        <v>1</v>
      </c>
      <c r="J1577" s="62">
        <f t="shared" si="3154"/>
        <v>1</v>
      </c>
      <c r="K1577" s="62">
        <f t="shared" si="3154"/>
        <v>1</v>
      </c>
      <c r="L1577" s="62">
        <f t="shared" si="3154"/>
        <v>1</v>
      </c>
      <c r="M1577" s="62">
        <f t="shared" si="3154"/>
        <v>1</v>
      </c>
      <c r="N1577" s="62">
        <f t="shared" si="3154"/>
        <v>1</v>
      </c>
      <c r="O1577" s="62">
        <f t="shared" si="3154"/>
        <v>1</v>
      </c>
      <c r="P1577" s="62" t="str">
        <f t="shared" si="3154"/>
        <v/>
      </c>
      <c r="Q1577" s="62" t="str">
        <f t="shared" si="3154"/>
        <v/>
      </c>
      <c r="R1577" s="62">
        <f t="shared" si="7"/>
        <v>0</v>
      </c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</row>
    <row r="1578" hidden="1">
      <c r="A1578" s="60">
        <f>IFERROR(__xludf.DUMMYFUNCTION("""COMPUTED_VALUE"""),16256.0)</f>
        <v>16256</v>
      </c>
      <c r="B1578" s="60" t="str">
        <f>IFERROR(__xludf.DUMMYFUNCTION("""COMPUTED_VALUE"""),"Bresee, Bryan")</f>
        <v>Bresee, Bryan</v>
      </c>
      <c r="C1578" s="60" t="str">
        <f>IFERROR(__xludf.DUMMYFUNCTION("""COMPUTED_VALUE"""),"DT")</f>
        <v>DT</v>
      </c>
      <c r="D1578" s="60" t="str">
        <f>IFERROR(__xludf.DUMMYFUNCTION("""COMPUTED_VALUE"""),"NOS")</f>
        <v>NOS</v>
      </c>
      <c r="E1578" s="62" t="str">
        <f t="shared" si="4"/>
        <v>Bryan Bresee</v>
      </c>
      <c r="F1578" s="62">
        <f t="shared" ref="F1578:G1578" si="3155">IF(isblank(F$1),,IF(isblank($A1578),,IFERROR(vlookup($A1578,indirect("'TVC-"&amp;text(month(F$1),"00")&amp;"'!$A:$D"),4,false),1)))</f>
        <v>1</v>
      </c>
      <c r="G1578" s="62">
        <f t="shared" si="3155"/>
        <v>1</v>
      </c>
      <c r="H1578" s="62">
        <f t="shared" ref="H1578:Q1578" si="3156">IF(isblank(H$1),,IFERROR(vlookup($A1578,indirect("'TVC-"&amp;text(month(H$1),"00")&amp;"'!$A:$D"),4,false),1))</f>
        <v>1</v>
      </c>
      <c r="I1578" s="62">
        <f t="shared" si="3156"/>
        <v>1</v>
      </c>
      <c r="J1578" s="62">
        <f t="shared" si="3156"/>
        <v>1</v>
      </c>
      <c r="K1578" s="62">
        <f t="shared" si="3156"/>
        <v>1</v>
      </c>
      <c r="L1578" s="62">
        <f t="shared" si="3156"/>
        <v>1</v>
      </c>
      <c r="M1578" s="62">
        <f t="shared" si="3156"/>
        <v>1</v>
      </c>
      <c r="N1578" s="62">
        <f t="shared" si="3156"/>
        <v>1</v>
      </c>
      <c r="O1578" s="62">
        <f t="shared" si="3156"/>
        <v>1</v>
      </c>
      <c r="P1578" s="62" t="str">
        <f t="shared" si="3156"/>
        <v/>
      </c>
      <c r="Q1578" s="62" t="str">
        <f t="shared" si="3156"/>
        <v/>
      </c>
      <c r="R1578" s="62">
        <f t="shared" si="7"/>
        <v>0</v>
      </c>
      <c r="S1578" s="62"/>
      <c r="T1578" s="62"/>
      <c r="U1578" s="62"/>
      <c r="V1578" s="62"/>
      <c r="W1578" s="62"/>
      <c r="X1578" s="62"/>
      <c r="Y1578" s="62"/>
      <c r="Z1578" s="62"/>
      <c r="AA1578" s="62"/>
      <c r="AB1578" s="62"/>
      <c r="AC1578" s="62"/>
    </row>
    <row r="1579" hidden="1">
      <c r="A1579" s="60">
        <f>IFERROR(__xludf.DUMMYFUNCTION("""COMPUTED_VALUE"""),16257.0)</f>
        <v>16257</v>
      </c>
      <c r="B1579" s="60" t="str">
        <f>IFERROR(__xludf.DUMMYFUNCTION("""COMPUTED_VALUE"""),"Anudike-Uzomah, Felix")</f>
        <v>Anudike-Uzomah, Felix</v>
      </c>
      <c r="C1579" s="60" t="str">
        <f>IFERROR(__xludf.DUMMYFUNCTION("""COMPUTED_VALUE"""),"DE")</f>
        <v>DE</v>
      </c>
      <c r="D1579" s="60" t="str">
        <f>IFERROR(__xludf.DUMMYFUNCTION("""COMPUTED_VALUE"""),"KCC")</f>
        <v>KCC</v>
      </c>
      <c r="E1579" s="62" t="str">
        <f t="shared" si="4"/>
        <v>Felix Anudike-Uzomah</v>
      </c>
      <c r="F1579" s="62">
        <f t="shared" ref="F1579:G1579" si="3157">IF(isblank(F$1),,IF(isblank($A1579),,IFERROR(vlookup($A1579,indirect("'TVC-"&amp;text(month(F$1),"00")&amp;"'!$A:$D"),4,false),1)))</f>
        <v>1</v>
      </c>
      <c r="G1579" s="62">
        <f t="shared" si="3157"/>
        <v>1</v>
      </c>
      <c r="H1579" s="62">
        <f t="shared" ref="H1579:Q1579" si="3158">IF(isblank(H$1),,IFERROR(vlookup($A1579,indirect("'TVC-"&amp;text(month(H$1),"00")&amp;"'!$A:$D"),4,false),1))</f>
        <v>1</v>
      </c>
      <c r="I1579" s="62">
        <f t="shared" si="3158"/>
        <v>1</v>
      </c>
      <c r="J1579" s="62">
        <f t="shared" si="3158"/>
        <v>1</v>
      </c>
      <c r="K1579" s="62">
        <f t="shared" si="3158"/>
        <v>1</v>
      </c>
      <c r="L1579" s="62">
        <f t="shared" si="3158"/>
        <v>1</v>
      </c>
      <c r="M1579" s="62">
        <f t="shared" si="3158"/>
        <v>1</v>
      </c>
      <c r="N1579" s="62">
        <f t="shared" si="3158"/>
        <v>1</v>
      </c>
      <c r="O1579" s="62">
        <f t="shared" si="3158"/>
        <v>1</v>
      </c>
      <c r="P1579" s="62" t="str">
        <f t="shared" si="3158"/>
        <v/>
      </c>
      <c r="Q1579" s="62" t="str">
        <f t="shared" si="3158"/>
        <v/>
      </c>
      <c r="R1579" s="62">
        <f t="shared" si="7"/>
        <v>0</v>
      </c>
      <c r="S1579" s="62"/>
      <c r="T1579" s="62"/>
      <c r="U1579" s="62"/>
      <c r="V1579" s="62"/>
      <c r="W1579" s="62"/>
      <c r="X1579" s="62"/>
      <c r="Y1579" s="62"/>
      <c r="Z1579" s="62"/>
      <c r="AA1579" s="62"/>
      <c r="AB1579" s="62"/>
      <c r="AC1579" s="62"/>
    </row>
    <row r="1580" hidden="1">
      <c r="A1580" s="60">
        <f>IFERROR(__xludf.DUMMYFUNCTION("""COMPUTED_VALUE"""),16258.0)</f>
        <v>16258</v>
      </c>
      <c r="B1580" s="60" t="str">
        <f>IFERROR(__xludf.DUMMYFUNCTION("""COMPUTED_VALUE"""),"Smith, Mazi")</f>
        <v>Smith, Mazi</v>
      </c>
      <c r="C1580" s="60" t="str">
        <f>IFERROR(__xludf.DUMMYFUNCTION("""COMPUTED_VALUE"""),"DT")</f>
        <v>DT</v>
      </c>
      <c r="D1580" s="60" t="str">
        <f>IFERROR(__xludf.DUMMYFUNCTION("""COMPUTED_VALUE"""),"MIA")</f>
        <v>MIA</v>
      </c>
      <c r="E1580" s="62" t="str">
        <f t="shared" si="4"/>
        <v>Mazi Smith</v>
      </c>
      <c r="F1580" s="62">
        <f t="shared" ref="F1580:G1580" si="3159">IF(isblank(F$1),,IF(isblank($A1580),,IFERROR(vlookup($A1580,indirect("'TVC-"&amp;text(month(F$1),"00")&amp;"'!$A:$D"),4,false),1)))</f>
        <v>1</v>
      </c>
      <c r="G1580" s="62">
        <f t="shared" si="3159"/>
        <v>1</v>
      </c>
      <c r="H1580" s="62">
        <f t="shared" ref="H1580:Q1580" si="3160">IF(isblank(H$1),,IFERROR(vlookup($A1580,indirect("'TVC-"&amp;text(month(H$1),"00")&amp;"'!$A:$D"),4,false),1))</f>
        <v>1</v>
      </c>
      <c r="I1580" s="62">
        <f t="shared" si="3160"/>
        <v>1</v>
      </c>
      <c r="J1580" s="62">
        <f t="shared" si="3160"/>
        <v>1</v>
      </c>
      <c r="K1580" s="62">
        <f t="shared" si="3160"/>
        <v>1</v>
      </c>
      <c r="L1580" s="62">
        <f t="shared" si="3160"/>
        <v>1</v>
      </c>
      <c r="M1580" s="62">
        <f t="shared" si="3160"/>
        <v>1</v>
      </c>
      <c r="N1580" s="62">
        <f t="shared" si="3160"/>
        <v>1</v>
      </c>
      <c r="O1580" s="62">
        <f t="shared" si="3160"/>
        <v>1</v>
      </c>
      <c r="P1580" s="62" t="str">
        <f t="shared" si="3160"/>
        <v/>
      </c>
      <c r="Q1580" s="62" t="str">
        <f t="shared" si="3160"/>
        <v/>
      </c>
      <c r="R1580" s="62">
        <f t="shared" si="7"/>
        <v>0</v>
      </c>
      <c r="S1580" s="62"/>
      <c r="T1580" s="62"/>
      <c r="U1580" s="62"/>
      <c r="V1580" s="62"/>
      <c r="W1580" s="62"/>
      <c r="X1580" s="62"/>
      <c r="Y1580" s="62"/>
      <c r="Z1580" s="62"/>
      <c r="AA1580" s="62"/>
      <c r="AB1580" s="62"/>
      <c r="AC1580" s="62"/>
    </row>
    <row r="1581" hidden="1">
      <c r="A1581" s="60">
        <f>IFERROR(__xludf.DUMMYFUNCTION("""COMPUTED_VALUE"""),16259.0)</f>
        <v>16259</v>
      </c>
      <c r="B1581" s="60" t="str">
        <f>IFERROR(__xludf.DUMMYFUNCTION("""COMPUTED_VALUE"""),"Martin, Brodric")</f>
        <v>Martin, Brodric</v>
      </c>
      <c r="C1581" s="60" t="str">
        <f>IFERROR(__xludf.DUMMYFUNCTION("""COMPUTED_VALUE"""),"DT")</f>
        <v>DT</v>
      </c>
      <c r="D1581" s="60" t="str">
        <f>IFERROR(__xludf.DUMMYFUNCTION("""COMPUTED_VALUE"""),"FA")</f>
        <v>FA</v>
      </c>
      <c r="E1581" s="62" t="str">
        <f t="shared" si="4"/>
        <v>Brodric Martin</v>
      </c>
      <c r="F1581" s="62">
        <f t="shared" ref="F1581:G1581" si="3161">IF(isblank(F$1),,IF(isblank($A1581),,IFERROR(vlookup($A1581,indirect("'TVC-"&amp;text(month(F$1),"00")&amp;"'!$A:$D"),4,false),1)))</f>
        <v>1</v>
      </c>
      <c r="G1581" s="62">
        <f t="shared" si="3161"/>
        <v>1</v>
      </c>
      <c r="H1581" s="62">
        <f t="shared" ref="H1581:Q1581" si="3162">IF(isblank(H$1),,IFERROR(vlookup($A1581,indirect("'TVC-"&amp;text(month(H$1),"00")&amp;"'!$A:$D"),4,false),1))</f>
        <v>1</v>
      </c>
      <c r="I1581" s="62">
        <f t="shared" si="3162"/>
        <v>1</v>
      </c>
      <c r="J1581" s="62">
        <f t="shared" si="3162"/>
        <v>1</v>
      </c>
      <c r="K1581" s="62">
        <f t="shared" si="3162"/>
        <v>1</v>
      </c>
      <c r="L1581" s="62">
        <f t="shared" si="3162"/>
        <v>1</v>
      </c>
      <c r="M1581" s="62">
        <f t="shared" si="3162"/>
        <v>1</v>
      </c>
      <c r="N1581" s="62">
        <f t="shared" si="3162"/>
        <v>1</v>
      </c>
      <c r="O1581" s="62">
        <f t="shared" si="3162"/>
        <v>1</v>
      </c>
      <c r="P1581" s="62" t="str">
        <f t="shared" si="3162"/>
        <v/>
      </c>
      <c r="Q1581" s="62" t="str">
        <f t="shared" si="3162"/>
        <v/>
      </c>
      <c r="R1581" s="62">
        <f t="shared" si="7"/>
        <v>0</v>
      </c>
      <c r="S1581" s="62"/>
      <c r="T1581" s="62"/>
      <c r="U1581" s="62"/>
      <c r="V1581" s="62"/>
      <c r="W1581" s="62"/>
      <c r="X1581" s="62"/>
      <c r="Y1581" s="62"/>
      <c r="Z1581" s="62"/>
      <c r="AA1581" s="62"/>
      <c r="AB1581" s="62"/>
      <c r="AC1581" s="62"/>
    </row>
    <row r="1582" hidden="1">
      <c r="A1582" s="60">
        <f>IFERROR(__xludf.DUMMYFUNCTION("""COMPUTED_VALUE"""),16260.0)</f>
        <v>16260</v>
      </c>
      <c r="B1582" s="60" t="str">
        <f>IFERROR(__xludf.DUMMYFUNCTION("""COMPUTED_VALUE"""),"Foskey, Isaiah")</f>
        <v>Foskey, Isaiah</v>
      </c>
      <c r="C1582" s="60" t="str">
        <f>IFERROR(__xludf.DUMMYFUNCTION("""COMPUTED_VALUE"""),"DE")</f>
        <v>DE</v>
      </c>
      <c r="D1582" s="60" t="str">
        <f>IFERROR(__xludf.DUMMYFUNCTION("""COMPUTED_VALUE"""),"CIN")</f>
        <v>CIN</v>
      </c>
      <c r="E1582" s="62" t="str">
        <f t="shared" si="4"/>
        <v>Isaiah Foskey</v>
      </c>
      <c r="F1582" s="62">
        <f t="shared" ref="F1582:G1582" si="3163">IF(isblank(F$1),,IF(isblank($A1582),,IFERROR(vlookup($A1582,indirect("'TVC-"&amp;text(month(F$1),"00")&amp;"'!$A:$D"),4,false),1)))</f>
        <v>1</v>
      </c>
      <c r="G1582" s="62">
        <f t="shared" si="3163"/>
        <v>1</v>
      </c>
      <c r="H1582" s="62">
        <f t="shared" ref="H1582:Q1582" si="3164">IF(isblank(H$1),,IFERROR(vlookup($A1582,indirect("'TVC-"&amp;text(month(H$1),"00")&amp;"'!$A:$D"),4,false),1))</f>
        <v>1</v>
      </c>
      <c r="I1582" s="62">
        <f t="shared" si="3164"/>
        <v>1</v>
      </c>
      <c r="J1582" s="62">
        <f t="shared" si="3164"/>
        <v>1</v>
      </c>
      <c r="K1582" s="62">
        <f t="shared" si="3164"/>
        <v>1</v>
      </c>
      <c r="L1582" s="62">
        <f t="shared" si="3164"/>
        <v>1</v>
      </c>
      <c r="M1582" s="62">
        <f t="shared" si="3164"/>
        <v>1</v>
      </c>
      <c r="N1582" s="62">
        <f t="shared" si="3164"/>
        <v>1</v>
      </c>
      <c r="O1582" s="62">
        <f t="shared" si="3164"/>
        <v>1</v>
      </c>
      <c r="P1582" s="62" t="str">
        <f t="shared" si="3164"/>
        <v/>
      </c>
      <c r="Q1582" s="62" t="str">
        <f t="shared" si="3164"/>
        <v/>
      </c>
      <c r="R1582" s="62">
        <f t="shared" si="7"/>
        <v>0</v>
      </c>
      <c r="S1582" s="62"/>
      <c r="T1582" s="62"/>
      <c r="U1582" s="62"/>
      <c r="V1582" s="62"/>
      <c r="W1582" s="62"/>
      <c r="X1582" s="62"/>
      <c r="Y1582" s="62"/>
      <c r="Z1582" s="62"/>
      <c r="AA1582" s="62"/>
      <c r="AB1582" s="62"/>
      <c r="AC1582" s="62"/>
    </row>
    <row r="1583" hidden="1">
      <c r="A1583" s="60">
        <f>IFERROR(__xludf.DUMMYFUNCTION("""COMPUTED_VALUE"""),16261.0)</f>
        <v>16261</v>
      </c>
      <c r="B1583" s="60" t="str">
        <f>IFERROR(__xludf.DUMMYFUNCTION("""COMPUTED_VALUE"""),"Brents, Julius")</f>
        <v>Brents, Julius</v>
      </c>
      <c r="C1583" s="60" t="str">
        <f>IFERROR(__xludf.DUMMYFUNCTION("""COMPUTED_VALUE"""),"CB")</f>
        <v>CB</v>
      </c>
      <c r="D1583" s="60" t="str">
        <f>IFERROR(__xludf.DUMMYFUNCTION("""COMPUTED_VALUE"""),"MIA")</f>
        <v>MIA</v>
      </c>
      <c r="E1583" s="62" t="str">
        <f t="shared" si="4"/>
        <v>Julius Brents</v>
      </c>
      <c r="F1583" s="62">
        <f t="shared" ref="F1583:G1583" si="3165">IF(isblank(F$1),,IF(isblank($A1583),,IFERROR(vlookup($A1583,indirect("'TVC-"&amp;text(month(F$1),"00")&amp;"'!$A:$D"),4,false),1)))</f>
        <v>1</v>
      </c>
      <c r="G1583" s="62">
        <f t="shared" si="3165"/>
        <v>1</v>
      </c>
      <c r="H1583" s="62">
        <f t="shared" ref="H1583:Q1583" si="3166">IF(isblank(H$1),,IFERROR(vlookup($A1583,indirect("'TVC-"&amp;text(month(H$1),"00")&amp;"'!$A:$D"),4,false),1))</f>
        <v>1</v>
      </c>
      <c r="I1583" s="62">
        <f t="shared" si="3166"/>
        <v>1</v>
      </c>
      <c r="J1583" s="62">
        <f t="shared" si="3166"/>
        <v>1</v>
      </c>
      <c r="K1583" s="62">
        <f t="shared" si="3166"/>
        <v>1</v>
      </c>
      <c r="L1583" s="62">
        <f t="shared" si="3166"/>
        <v>1</v>
      </c>
      <c r="M1583" s="62">
        <f t="shared" si="3166"/>
        <v>1</v>
      </c>
      <c r="N1583" s="62">
        <f t="shared" si="3166"/>
        <v>1</v>
      </c>
      <c r="O1583" s="62">
        <f t="shared" si="3166"/>
        <v>1</v>
      </c>
      <c r="P1583" s="62" t="str">
        <f t="shared" si="3166"/>
        <v/>
      </c>
      <c r="Q1583" s="62" t="str">
        <f t="shared" si="3166"/>
        <v/>
      </c>
      <c r="R1583" s="62">
        <f t="shared" si="7"/>
        <v>0</v>
      </c>
      <c r="S1583" s="62"/>
      <c r="T1583" s="62"/>
      <c r="U1583" s="62"/>
      <c r="V1583" s="62"/>
      <c r="W1583" s="62"/>
      <c r="X1583" s="62"/>
      <c r="Y1583" s="62"/>
      <c r="Z1583" s="62"/>
      <c r="AA1583" s="62"/>
      <c r="AB1583" s="62"/>
      <c r="AC1583" s="62"/>
    </row>
    <row r="1584" hidden="1">
      <c r="A1584" s="60">
        <f>IFERROR(__xludf.DUMMYFUNCTION("""COMPUTED_VALUE"""),16262.0)</f>
        <v>16262</v>
      </c>
      <c r="B1584" s="60" t="str">
        <f>IFERROR(__xludf.DUMMYFUNCTION("""COMPUTED_VALUE"""),"White, Keion")</f>
        <v>White, Keion</v>
      </c>
      <c r="C1584" s="60" t="str">
        <f>IFERROR(__xludf.DUMMYFUNCTION("""COMPUTED_VALUE"""),"DE")</f>
        <v>DE</v>
      </c>
      <c r="D1584" s="60" t="str">
        <f>IFERROR(__xludf.DUMMYFUNCTION("""COMPUTED_VALUE"""),"SFO")</f>
        <v>SFO</v>
      </c>
      <c r="E1584" s="62" t="str">
        <f t="shared" si="4"/>
        <v>Keion White</v>
      </c>
      <c r="F1584" s="62">
        <f t="shared" ref="F1584:G1584" si="3167">IF(isblank(F$1),,IF(isblank($A1584),,IFERROR(vlookup($A1584,indirect("'TVC-"&amp;text(month(F$1),"00")&amp;"'!$A:$D"),4,false),1)))</f>
        <v>1</v>
      </c>
      <c r="G1584" s="62">
        <f t="shared" si="3167"/>
        <v>1</v>
      </c>
      <c r="H1584" s="62">
        <f t="shared" ref="H1584:Q1584" si="3168">IF(isblank(H$1),,IFERROR(vlookup($A1584,indirect("'TVC-"&amp;text(month(H$1),"00")&amp;"'!$A:$D"),4,false),1))</f>
        <v>1</v>
      </c>
      <c r="I1584" s="62">
        <f t="shared" si="3168"/>
        <v>1</v>
      </c>
      <c r="J1584" s="62">
        <f t="shared" si="3168"/>
        <v>1</v>
      </c>
      <c r="K1584" s="62">
        <f t="shared" si="3168"/>
        <v>1</v>
      </c>
      <c r="L1584" s="62">
        <f t="shared" si="3168"/>
        <v>1</v>
      </c>
      <c r="M1584" s="62">
        <f t="shared" si="3168"/>
        <v>1</v>
      </c>
      <c r="N1584" s="62">
        <f t="shared" si="3168"/>
        <v>1</v>
      </c>
      <c r="O1584" s="62">
        <f t="shared" si="3168"/>
        <v>1</v>
      </c>
      <c r="P1584" s="62" t="str">
        <f t="shared" si="3168"/>
        <v/>
      </c>
      <c r="Q1584" s="62" t="str">
        <f t="shared" si="3168"/>
        <v/>
      </c>
      <c r="R1584" s="62">
        <f t="shared" si="7"/>
        <v>0</v>
      </c>
      <c r="S1584" s="62"/>
      <c r="T1584" s="62"/>
      <c r="U1584" s="62"/>
      <c r="V1584" s="62"/>
      <c r="W1584" s="62"/>
      <c r="X1584" s="62"/>
      <c r="Y1584" s="62"/>
      <c r="Z1584" s="62"/>
      <c r="AA1584" s="62"/>
      <c r="AB1584" s="62"/>
      <c r="AC1584" s="62"/>
    </row>
    <row r="1585" hidden="1">
      <c r="A1585" s="60">
        <f>IFERROR(__xludf.DUMMYFUNCTION("""COMPUTED_VALUE"""),16263.0)</f>
        <v>16263</v>
      </c>
      <c r="B1585" s="60" t="str">
        <f>IFERROR(__xludf.DUMMYFUNCTION("""COMPUTED_VALUE"""),"Martin, Quan")</f>
        <v>Martin, Quan</v>
      </c>
      <c r="C1585" s="60" t="str">
        <f>IFERROR(__xludf.DUMMYFUNCTION("""COMPUTED_VALUE"""),"S")</f>
        <v>S</v>
      </c>
      <c r="D1585" s="60" t="str">
        <f>IFERROR(__xludf.DUMMYFUNCTION("""COMPUTED_VALUE"""),"WAS")</f>
        <v>WAS</v>
      </c>
      <c r="E1585" s="62" t="str">
        <f t="shared" si="4"/>
        <v>Quan Martin</v>
      </c>
      <c r="F1585" s="62">
        <f t="shared" ref="F1585:G1585" si="3169">IF(isblank(F$1),,IF(isblank($A1585),,IFERROR(vlookup($A1585,indirect("'TVC-"&amp;text(month(F$1),"00")&amp;"'!$A:$D"),4,false),1)))</f>
        <v>1</v>
      </c>
      <c r="G1585" s="62">
        <f t="shared" si="3169"/>
        <v>1</v>
      </c>
      <c r="H1585" s="62">
        <f t="shared" ref="H1585:Q1585" si="3170">IF(isblank(H$1),,IFERROR(vlookup($A1585,indirect("'TVC-"&amp;text(month(H$1),"00")&amp;"'!$A:$D"),4,false),1))</f>
        <v>1</v>
      </c>
      <c r="I1585" s="62">
        <f t="shared" si="3170"/>
        <v>1</v>
      </c>
      <c r="J1585" s="62">
        <f t="shared" si="3170"/>
        <v>1</v>
      </c>
      <c r="K1585" s="62">
        <f t="shared" si="3170"/>
        <v>1</v>
      </c>
      <c r="L1585" s="62">
        <f t="shared" si="3170"/>
        <v>1</v>
      </c>
      <c r="M1585" s="62">
        <f t="shared" si="3170"/>
        <v>1</v>
      </c>
      <c r="N1585" s="62">
        <f t="shared" si="3170"/>
        <v>1</v>
      </c>
      <c r="O1585" s="62">
        <f t="shared" si="3170"/>
        <v>1</v>
      </c>
      <c r="P1585" s="62" t="str">
        <f t="shared" si="3170"/>
        <v/>
      </c>
      <c r="Q1585" s="62" t="str">
        <f t="shared" si="3170"/>
        <v/>
      </c>
      <c r="R1585" s="62">
        <f t="shared" si="7"/>
        <v>0</v>
      </c>
      <c r="S1585" s="62"/>
      <c r="T1585" s="62"/>
      <c r="U1585" s="62"/>
      <c r="V1585" s="62"/>
      <c r="W1585" s="62"/>
      <c r="X1585" s="62"/>
      <c r="Y1585" s="62"/>
      <c r="Z1585" s="62"/>
      <c r="AA1585" s="62"/>
      <c r="AB1585" s="62"/>
      <c r="AC1585" s="62"/>
    </row>
    <row r="1586" hidden="1">
      <c r="A1586" s="60">
        <f>IFERROR(__xludf.DUMMYFUNCTION("""COMPUTED_VALUE"""),16264.0)</f>
        <v>16264</v>
      </c>
      <c r="B1586" s="60" t="str">
        <f>IFERROR(__xludf.DUMMYFUNCTION("""COMPUTED_VALUE"""),"Benton, Keeanu")</f>
        <v>Benton, Keeanu</v>
      </c>
      <c r="C1586" s="60" t="str">
        <f>IFERROR(__xludf.DUMMYFUNCTION("""COMPUTED_VALUE"""),"DT")</f>
        <v>DT</v>
      </c>
      <c r="D1586" s="60" t="str">
        <f>IFERROR(__xludf.DUMMYFUNCTION("""COMPUTED_VALUE"""),"PIT")</f>
        <v>PIT</v>
      </c>
      <c r="E1586" s="62" t="str">
        <f t="shared" si="4"/>
        <v>Keeanu Benton</v>
      </c>
      <c r="F1586" s="62">
        <f t="shared" ref="F1586:G1586" si="3171">IF(isblank(F$1),,IF(isblank($A1586),,IFERROR(vlookup($A1586,indirect("'TVC-"&amp;text(month(F$1),"00")&amp;"'!$A:$D"),4,false),1)))</f>
        <v>1</v>
      </c>
      <c r="G1586" s="62">
        <f t="shared" si="3171"/>
        <v>1</v>
      </c>
      <c r="H1586" s="62">
        <f t="shared" ref="H1586:Q1586" si="3172">IF(isblank(H$1),,IFERROR(vlookup($A1586,indirect("'TVC-"&amp;text(month(H$1),"00")&amp;"'!$A:$D"),4,false),1))</f>
        <v>1</v>
      </c>
      <c r="I1586" s="62">
        <f t="shared" si="3172"/>
        <v>1</v>
      </c>
      <c r="J1586" s="62">
        <f t="shared" si="3172"/>
        <v>1</v>
      </c>
      <c r="K1586" s="62">
        <f t="shared" si="3172"/>
        <v>1</v>
      </c>
      <c r="L1586" s="62">
        <f t="shared" si="3172"/>
        <v>1</v>
      </c>
      <c r="M1586" s="62">
        <f t="shared" si="3172"/>
        <v>1</v>
      </c>
      <c r="N1586" s="62">
        <f t="shared" si="3172"/>
        <v>1</v>
      </c>
      <c r="O1586" s="62">
        <f t="shared" si="3172"/>
        <v>1</v>
      </c>
      <c r="P1586" s="62" t="str">
        <f t="shared" si="3172"/>
        <v/>
      </c>
      <c r="Q1586" s="62" t="str">
        <f t="shared" si="3172"/>
        <v/>
      </c>
      <c r="R1586" s="62">
        <f t="shared" si="7"/>
        <v>0</v>
      </c>
      <c r="S1586" s="62"/>
      <c r="T1586" s="62"/>
      <c r="U1586" s="62"/>
      <c r="V1586" s="62"/>
      <c r="W1586" s="62"/>
      <c r="X1586" s="62"/>
      <c r="Y1586" s="62"/>
      <c r="Z1586" s="62"/>
      <c r="AA1586" s="62"/>
      <c r="AB1586" s="62"/>
      <c r="AC1586" s="62"/>
    </row>
    <row r="1587" hidden="1">
      <c r="A1587" s="60">
        <f>IFERROR(__xludf.DUMMYFUNCTION("""COMPUTED_VALUE"""),16265.0)</f>
        <v>16265</v>
      </c>
      <c r="B1587" s="60" t="str">
        <f>IFERROR(__xludf.DUMMYFUNCTION("""COMPUTED_VALUE"""),"Dexter, Gervon")</f>
        <v>Dexter, Gervon</v>
      </c>
      <c r="C1587" s="60" t="str">
        <f>IFERROR(__xludf.DUMMYFUNCTION("""COMPUTED_VALUE"""),"DT")</f>
        <v>DT</v>
      </c>
      <c r="D1587" s="60" t="str">
        <f>IFERROR(__xludf.DUMMYFUNCTION("""COMPUTED_VALUE"""),"ATL")</f>
        <v>ATL</v>
      </c>
      <c r="E1587" s="62" t="str">
        <f t="shared" si="4"/>
        <v>Gervon Dexter</v>
      </c>
      <c r="F1587" s="62">
        <f t="shared" ref="F1587:G1587" si="3173">IF(isblank(F$1),,IF(isblank($A1587),,IFERROR(vlookup($A1587,indirect("'TVC-"&amp;text(month(F$1),"00")&amp;"'!$A:$D"),4,false),1)))</f>
        <v>1</v>
      </c>
      <c r="G1587" s="62">
        <f t="shared" si="3173"/>
        <v>1</v>
      </c>
      <c r="H1587" s="62">
        <f t="shared" ref="H1587:Q1587" si="3174">IF(isblank(H$1),,IFERROR(vlookup($A1587,indirect("'TVC-"&amp;text(month(H$1),"00")&amp;"'!$A:$D"),4,false),1))</f>
        <v>1</v>
      </c>
      <c r="I1587" s="62">
        <f t="shared" si="3174"/>
        <v>1</v>
      </c>
      <c r="J1587" s="62">
        <f t="shared" si="3174"/>
        <v>1</v>
      </c>
      <c r="K1587" s="62">
        <f t="shared" si="3174"/>
        <v>1</v>
      </c>
      <c r="L1587" s="62">
        <f t="shared" si="3174"/>
        <v>1</v>
      </c>
      <c r="M1587" s="62">
        <f t="shared" si="3174"/>
        <v>1</v>
      </c>
      <c r="N1587" s="62">
        <f t="shared" si="3174"/>
        <v>1</v>
      </c>
      <c r="O1587" s="62">
        <f t="shared" si="3174"/>
        <v>1</v>
      </c>
      <c r="P1587" s="62" t="str">
        <f t="shared" si="3174"/>
        <v/>
      </c>
      <c r="Q1587" s="62" t="str">
        <f t="shared" si="3174"/>
        <v/>
      </c>
      <c r="R1587" s="62">
        <f t="shared" si="7"/>
        <v>0</v>
      </c>
      <c r="S1587" s="62"/>
      <c r="T1587" s="62"/>
      <c r="U1587" s="62"/>
      <c r="V1587" s="62"/>
      <c r="W1587" s="62"/>
      <c r="X1587" s="62"/>
      <c r="Y1587" s="62"/>
      <c r="Z1587" s="62"/>
      <c r="AA1587" s="62"/>
      <c r="AB1587" s="62"/>
      <c r="AC1587" s="62"/>
    </row>
    <row r="1588" hidden="1">
      <c r="A1588" s="60">
        <f>IFERROR(__xludf.DUMMYFUNCTION("""COMPUTED_VALUE"""),16266.0)</f>
        <v>16266</v>
      </c>
      <c r="B1588" s="60" t="str">
        <f>IFERROR(__xludf.DUMMYFUNCTION("""COMPUTED_VALUE"""),"Tuipulotu, Tuli")</f>
        <v>Tuipulotu, Tuli</v>
      </c>
      <c r="C1588" s="60" t="str">
        <f>IFERROR(__xludf.DUMMYFUNCTION("""COMPUTED_VALUE"""),"DE")</f>
        <v>DE</v>
      </c>
      <c r="D1588" s="60" t="str">
        <f>IFERROR(__xludf.DUMMYFUNCTION("""COMPUTED_VALUE"""),"LAC")</f>
        <v>LAC</v>
      </c>
      <c r="E1588" s="62" t="str">
        <f t="shared" si="4"/>
        <v>Tuli Tuipulotu</v>
      </c>
      <c r="F1588" s="62">
        <f t="shared" ref="F1588:G1588" si="3175">IF(isblank(F$1),,IF(isblank($A1588),,IFERROR(vlookup($A1588,indirect("'TVC-"&amp;text(month(F$1),"00")&amp;"'!$A:$D"),4,false),1)))</f>
        <v>1</v>
      </c>
      <c r="G1588" s="62">
        <f t="shared" si="3175"/>
        <v>1</v>
      </c>
      <c r="H1588" s="62">
        <f t="shared" ref="H1588:Q1588" si="3176">IF(isblank(H$1),,IFERROR(vlookup($A1588,indirect("'TVC-"&amp;text(month(H$1),"00")&amp;"'!$A:$D"),4,false),1))</f>
        <v>1</v>
      </c>
      <c r="I1588" s="62">
        <f t="shared" si="3176"/>
        <v>1</v>
      </c>
      <c r="J1588" s="62">
        <f t="shared" si="3176"/>
        <v>1</v>
      </c>
      <c r="K1588" s="62">
        <f t="shared" si="3176"/>
        <v>1</v>
      </c>
      <c r="L1588" s="62">
        <f t="shared" si="3176"/>
        <v>1</v>
      </c>
      <c r="M1588" s="62">
        <f t="shared" si="3176"/>
        <v>1</v>
      </c>
      <c r="N1588" s="62">
        <f t="shared" si="3176"/>
        <v>1</v>
      </c>
      <c r="O1588" s="62">
        <f t="shared" si="3176"/>
        <v>1</v>
      </c>
      <c r="P1588" s="62" t="str">
        <f t="shared" si="3176"/>
        <v/>
      </c>
      <c r="Q1588" s="62" t="str">
        <f t="shared" si="3176"/>
        <v/>
      </c>
      <c r="R1588" s="62">
        <f t="shared" si="7"/>
        <v>0</v>
      </c>
      <c r="S1588" s="62"/>
      <c r="T1588" s="62"/>
      <c r="U1588" s="62"/>
      <c r="V1588" s="62"/>
      <c r="W1588" s="62"/>
      <c r="X1588" s="62"/>
      <c r="Y1588" s="62"/>
      <c r="Z1588" s="62"/>
      <c r="AA1588" s="62"/>
      <c r="AB1588" s="62"/>
      <c r="AC1588" s="62"/>
    </row>
    <row r="1589">
      <c r="A1589" s="60">
        <f>IFERROR(__xludf.DUMMYFUNCTION("""COMPUTED_VALUE"""),16267.0)</f>
        <v>16267</v>
      </c>
      <c r="B1589" s="60" t="str">
        <f>IFERROR(__xludf.DUMMYFUNCTION("""COMPUTED_VALUE"""),"Stevenson, Tyrique")</f>
        <v>Stevenson, Tyrique</v>
      </c>
      <c r="C1589" s="60" t="str">
        <f>IFERROR(__xludf.DUMMYFUNCTION("""COMPUTED_VALUE"""),"CB")</f>
        <v>CB</v>
      </c>
      <c r="D1589" s="60" t="str">
        <f>IFERROR(__xludf.DUMMYFUNCTION("""COMPUTED_VALUE"""),"CHI")</f>
        <v>CHI</v>
      </c>
      <c r="E1589" s="62" t="str">
        <f t="shared" si="4"/>
        <v>Tyrique Stevenson</v>
      </c>
      <c r="F1589" s="62">
        <f t="shared" ref="F1589:G1589" si="3177">IF(isblank(F$1),,IF(isblank($A1589),,IFERROR(vlookup($A1589,indirect("'TVC-"&amp;text(month(F$1),"00")&amp;"'!$A:$D"),4,false),1)))</f>
        <v>1</v>
      </c>
      <c r="G1589" s="62">
        <f t="shared" si="3177"/>
        <v>1</v>
      </c>
      <c r="H1589" s="62">
        <f t="shared" ref="H1589:Q1589" si="3178">IF(isblank(H$1),,IFERROR(vlookup($A1589,indirect("'TVC-"&amp;text(month(H$1),"00")&amp;"'!$A:$D"),4,false),1))</f>
        <v>1</v>
      </c>
      <c r="I1589" s="62">
        <f t="shared" si="3178"/>
        <v>1</v>
      </c>
      <c r="J1589" s="62">
        <f t="shared" si="3178"/>
        <v>1</v>
      </c>
      <c r="K1589" s="62">
        <f t="shared" si="3178"/>
        <v>1</v>
      </c>
      <c r="L1589" s="62">
        <f t="shared" si="3178"/>
        <v>1</v>
      </c>
      <c r="M1589" s="62">
        <f t="shared" si="3178"/>
        <v>1</v>
      </c>
      <c r="N1589" s="62">
        <f t="shared" si="3178"/>
        <v>1</v>
      </c>
      <c r="O1589" s="62">
        <f t="shared" si="3178"/>
        <v>1</v>
      </c>
      <c r="P1589" s="62" t="str">
        <f t="shared" si="3178"/>
        <v/>
      </c>
      <c r="Q1589" s="62" t="str">
        <f t="shared" si="3178"/>
        <v/>
      </c>
      <c r="R1589" s="62">
        <f t="shared" si="7"/>
        <v>0</v>
      </c>
      <c r="S1589" s="62"/>
      <c r="T1589" s="62"/>
      <c r="U1589" s="62"/>
      <c r="V1589" s="62"/>
      <c r="W1589" s="62"/>
      <c r="X1589" s="62"/>
      <c r="Y1589" s="62"/>
      <c r="Z1589" s="62"/>
      <c r="AA1589" s="62"/>
      <c r="AB1589" s="62"/>
      <c r="AC1589" s="62"/>
    </row>
    <row r="1590" hidden="1">
      <c r="A1590" s="60">
        <f>IFERROR(__xludf.DUMMYFUNCTION("""COMPUTED_VALUE"""),16268.0)</f>
        <v>16268</v>
      </c>
      <c r="B1590" s="60" t="str">
        <f>IFERROR(__xludf.DUMMYFUNCTION("""COMPUTED_VALUE"""),"Turner, DJ")</f>
        <v>Turner, DJ</v>
      </c>
      <c r="C1590" s="60" t="str">
        <f>IFERROR(__xludf.DUMMYFUNCTION("""COMPUTED_VALUE"""),"CB")</f>
        <v>CB</v>
      </c>
      <c r="D1590" s="60" t="str">
        <f>IFERROR(__xludf.DUMMYFUNCTION("""COMPUTED_VALUE"""),"CIN")</f>
        <v>CIN</v>
      </c>
      <c r="E1590" s="62" t="str">
        <f t="shared" si="4"/>
        <v>DJ Turner</v>
      </c>
      <c r="F1590" s="62">
        <f t="shared" ref="F1590:G1590" si="3179">IF(isblank(F$1),,IF(isblank($A1590),,IFERROR(vlookup($A1590,indirect("'TVC-"&amp;text(month(F$1),"00")&amp;"'!$A:$D"),4,false),1)))</f>
        <v>1</v>
      </c>
      <c r="G1590" s="62">
        <f t="shared" si="3179"/>
        <v>1</v>
      </c>
      <c r="H1590" s="62">
        <f t="shared" ref="H1590:Q1590" si="3180">IF(isblank(H$1),,IFERROR(vlookup($A1590,indirect("'TVC-"&amp;text(month(H$1),"00")&amp;"'!$A:$D"),4,false),1))</f>
        <v>1</v>
      </c>
      <c r="I1590" s="62">
        <f t="shared" si="3180"/>
        <v>1</v>
      </c>
      <c r="J1590" s="62">
        <f t="shared" si="3180"/>
        <v>1</v>
      </c>
      <c r="K1590" s="62">
        <f t="shared" si="3180"/>
        <v>1</v>
      </c>
      <c r="L1590" s="62">
        <f t="shared" si="3180"/>
        <v>1</v>
      </c>
      <c r="M1590" s="62">
        <f t="shared" si="3180"/>
        <v>1</v>
      </c>
      <c r="N1590" s="62">
        <f t="shared" si="3180"/>
        <v>1</v>
      </c>
      <c r="O1590" s="62">
        <f t="shared" si="3180"/>
        <v>1</v>
      </c>
      <c r="P1590" s="62" t="str">
        <f t="shared" si="3180"/>
        <v/>
      </c>
      <c r="Q1590" s="62" t="str">
        <f t="shared" si="3180"/>
        <v/>
      </c>
      <c r="R1590" s="62">
        <f t="shared" si="7"/>
        <v>0</v>
      </c>
      <c r="S1590" s="62"/>
      <c r="T1590" s="62"/>
      <c r="U1590" s="62"/>
      <c r="V1590" s="62"/>
      <c r="W1590" s="62"/>
      <c r="X1590" s="62"/>
      <c r="Y1590" s="62"/>
      <c r="Z1590" s="62"/>
      <c r="AA1590" s="62"/>
      <c r="AB1590" s="62"/>
      <c r="AC1590" s="62"/>
    </row>
    <row r="1591" hidden="1">
      <c r="A1591" s="60">
        <f>IFERROR(__xludf.DUMMYFUNCTION("""COMPUTED_VALUE"""),16269.0)</f>
        <v>16269</v>
      </c>
      <c r="B1591" s="60" t="str">
        <f>IFERROR(__xludf.DUMMYFUNCTION("""COMPUTED_VALUE"""),"Strange, Brenton")</f>
        <v>Strange, Brenton</v>
      </c>
      <c r="C1591" s="60" t="str">
        <f>IFERROR(__xludf.DUMMYFUNCTION("""COMPUTED_VALUE"""),"TE")</f>
        <v>TE</v>
      </c>
      <c r="D1591" s="60" t="str">
        <f>IFERROR(__xludf.DUMMYFUNCTION("""COMPUTED_VALUE"""),"JAC")</f>
        <v>JAC</v>
      </c>
      <c r="E1591" s="62" t="str">
        <f t="shared" si="4"/>
        <v>Brenton Strange</v>
      </c>
      <c r="F1591" s="62">
        <f t="shared" ref="F1591:G1591" si="3181">IF(isblank(F$1),,IF(isblank($A1591),,IFERROR(vlookup($A1591,indirect("'TVC-"&amp;text(month(F$1),"00")&amp;"'!$A:$D"),4,false),1)))</f>
        <v>3592</v>
      </c>
      <c r="G1591" s="62">
        <f t="shared" si="3181"/>
        <v>3709</v>
      </c>
      <c r="H1591" s="62">
        <f t="shared" ref="H1591:Q1591" si="3182">IF(isblank(H$1),,IFERROR(vlookup($A1591,indirect("'TVC-"&amp;text(month(H$1),"00")&amp;"'!$A:$D"),4,false),1))</f>
        <v>3714</v>
      </c>
      <c r="I1591" s="62">
        <f t="shared" si="3182"/>
        <v>3508</v>
      </c>
      <c r="J1591" s="62">
        <f t="shared" si="3182"/>
        <v>3441</v>
      </c>
      <c r="K1591" s="62">
        <f t="shared" si="3182"/>
        <v>3435</v>
      </c>
      <c r="L1591" s="62">
        <f t="shared" si="3182"/>
        <v>3406</v>
      </c>
      <c r="M1591" s="62">
        <f t="shared" si="3182"/>
        <v>3536</v>
      </c>
      <c r="N1591" s="62">
        <f t="shared" si="3182"/>
        <v>3323</v>
      </c>
      <c r="O1591" s="62">
        <f t="shared" si="3182"/>
        <v>1</v>
      </c>
      <c r="P1591" s="62" t="str">
        <f t="shared" si="3182"/>
        <v/>
      </c>
      <c r="Q1591" s="62" t="str">
        <f t="shared" si="3182"/>
        <v/>
      </c>
      <c r="R1591" s="62">
        <f t="shared" si="7"/>
        <v>-3322</v>
      </c>
      <c r="S1591" s="62"/>
      <c r="T1591" s="62"/>
      <c r="U1591" s="62"/>
      <c r="V1591" s="62"/>
      <c r="W1591" s="62"/>
      <c r="X1591" s="62"/>
      <c r="Y1591" s="62"/>
      <c r="Z1591" s="62"/>
      <c r="AA1591" s="62"/>
      <c r="AB1591" s="62"/>
      <c r="AC1591" s="62"/>
    </row>
    <row r="1592" hidden="1">
      <c r="A1592" s="60">
        <f>IFERROR(__xludf.DUMMYFUNCTION("""COMPUTED_VALUE"""),16270.0)</f>
        <v>16270</v>
      </c>
      <c r="B1592" s="60" t="str">
        <f>IFERROR(__xludf.DUMMYFUNCTION("""COMPUTED_VALUE"""),"Pickens, Zacch")</f>
        <v>Pickens, Zacch</v>
      </c>
      <c r="C1592" s="60" t="str">
        <f>IFERROR(__xludf.DUMMYFUNCTION("""COMPUTED_VALUE"""),"DT")</f>
        <v>DT</v>
      </c>
      <c r="D1592" s="60" t="str">
        <f>IFERROR(__xludf.DUMMYFUNCTION("""COMPUTED_VALUE"""),"ATL")</f>
        <v>ATL</v>
      </c>
      <c r="E1592" s="62" t="str">
        <f t="shared" si="4"/>
        <v>Zacch Pickens</v>
      </c>
      <c r="F1592" s="62">
        <f t="shared" ref="F1592:G1592" si="3183">IF(isblank(F$1),,IF(isblank($A1592),,IFERROR(vlookup($A1592,indirect("'TVC-"&amp;text(month(F$1),"00")&amp;"'!$A:$D"),4,false),1)))</f>
        <v>1</v>
      </c>
      <c r="G1592" s="62">
        <f t="shared" si="3183"/>
        <v>1</v>
      </c>
      <c r="H1592" s="62">
        <f t="shared" ref="H1592:Q1592" si="3184">IF(isblank(H$1),,IFERROR(vlookup($A1592,indirect("'TVC-"&amp;text(month(H$1),"00")&amp;"'!$A:$D"),4,false),1))</f>
        <v>1</v>
      </c>
      <c r="I1592" s="62">
        <f t="shared" si="3184"/>
        <v>1</v>
      </c>
      <c r="J1592" s="62">
        <f t="shared" si="3184"/>
        <v>1</v>
      </c>
      <c r="K1592" s="62">
        <f t="shared" si="3184"/>
        <v>1</v>
      </c>
      <c r="L1592" s="62">
        <f t="shared" si="3184"/>
        <v>1</v>
      </c>
      <c r="M1592" s="62">
        <f t="shared" si="3184"/>
        <v>1</v>
      </c>
      <c r="N1592" s="62">
        <f t="shared" si="3184"/>
        <v>1</v>
      </c>
      <c r="O1592" s="62">
        <f t="shared" si="3184"/>
        <v>1</v>
      </c>
      <c r="P1592" s="62" t="str">
        <f t="shared" si="3184"/>
        <v/>
      </c>
      <c r="Q1592" s="62" t="str">
        <f t="shared" si="3184"/>
        <v/>
      </c>
      <c r="R1592" s="62">
        <f t="shared" si="7"/>
        <v>0</v>
      </c>
      <c r="S1592" s="62"/>
      <c r="T1592" s="62"/>
      <c r="U1592" s="62"/>
      <c r="V1592" s="62"/>
      <c r="W1592" s="62"/>
      <c r="X1592" s="62"/>
      <c r="Y1592" s="62"/>
      <c r="Z1592" s="62"/>
      <c r="AA1592" s="62"/>
      <c r="AB1592" s="62"/>
      <c r="AC1592" s="62"/>
    </row>
    <row r="1593" hidden="1">
      <c r="A1593" s="60">
        <f>IFERROR(__xludf.DUMMYFUNCTION("""COMPUTED_VALUE"""),16271.0)</f>
        <v>16271</v>
      </c>
      <c r="B1593" s="60" t="str">
        <f>IFERROR(__xludf.DUMMYFUNCTION("""COMPUTED_VALUE"""),"Brown, Sydney")</f>
        <v>Brown, Sydney</v>
      </c>
      <c r="C1593" s="60" t="str">
        <f>IFERROR(__xludf.DUMMYFUNCTION("""COMPUTED_VALUE"""),"S")</f>
        <v>S</v>
      </c>
      <c r="D1593" s="60" t="str">
        <f>IFERROR(__xludf.DUMMYFUNCTION("""COMPUTED_VALUE"""),"ATL")</f>
        <v>ATL</v>
      </c>
      <c r="E1593" s="62" t="str">
        <f t="shared" si="4"/>
        <v>Sydney Brown</v>
      </c>
      <c r="F1593" s="62">
        <f t="shared" ref="F1593:G1593" si="3185">IF(isblank(F$1),,IF(isblank($A1593),,IFERROR(vlookup($A1593,indirect("'TVC-"&amp;text(month(F$1),"00")&amp;"'!$A:$D"),4,false),1)))</f>
        <v>1</v>
      </c>
      <c r="G1593" s="62">
        <f t="shared" si="3185"/>
        <v>1</v>
      </c>
      <c r="H1593" s="62">
        <f t="shared" ref="H1593:Q1593" si="3186">IF(isblank(H$1),,IFERROR(vlookup($A1593,indirect("'TVC-"&amp;text(month(H$1),"00")&amp;"'!$A:$D"),4,false),1))</f>
        <v>1</v>
      </c>
      <c r="I1593" s="62">
        <f t="shared" si="3186"/>
        <v>1</v>
      </c>
      <c r="J1593" s="62">
        <f t="shared" si="3186"/>
        <v>1</v>
      </c>
      <c r="K1593" s="62">
        <f t="shared" si="3186"/>
        <v>1</v>
      </c>
      <c r="L1593" s="62">
        <f t="shared" si="3186"/>
        <v>1</v>
      </c>
      <c r="M1593" s="62">
        <f t="shared" si="3186"/>
        <v>1</v>
      </c>
      <c r="N1593" s="62">
        <f t="shared" si="3186"/>
        <v>1</v>
      </c>
      <c r="O1593" s="62">
        <f t="shared" si="3186"/>
        <v>1</v>
      </c>
      <c r="P1593" s="62" t="str">
        <f t="shared" si="3186"/>
        <v/>
      </c>
      <c r="Q1593" s="62" t="str">
        <f t="shared" si="3186"/>
        <v/>
      </c>
      <c r="R1593" s="62">
        <f t="shared" si="7"/>
        <v>0</v>
      </c>
      <c r="S1593" s="62"/>
      <c r="T1593" s="62"/>
      <c r="U1593" s="62"/>
      <c r="V1593" s="62"/>
      <c r="W1593" s="62"/>
      <c r="X1593" s="62"/>
      <c r="Y1593" s="62"/>
      <c r="Z1593" s="62"/>
      <c r="AA1593" s="62"/>
      <c r="AB1593" s="62"/>
      <c r="AC1593" s="62"/>
    </row>
    <row r="1594" hidden="1">
      <c r="A1594" s="60">
        <f>IFERROR(__xludf.DUMMYFUNCTION("""COMPUTED_VALUE"""),16273.0)</f>
        <v>16273</v>
      </c>
      <c r="B1594" s="60" t="str">
        <f>IFERROR(__xludf.DUMMYFUNCTION("""COMPUTED_VALUE"""),"Young, Byron")</f>
        <v>Young, Byron</v>
      </c>
      <c r="C1594" s="60" t="str">
        <f>IFERROR(__xludf.DUMMYFUNCTION("""COMPUTED_VALUE"""),"DT")</f>
        <v>DT</v>
      </c>
      <c r="D1594" s="60" t="str">
        <f>IFERROR(__xludf.DUMMYFUNCTION("""COMPUTED_VALUE"""),"PHI")</f>
        <v>PHI</v>
      </c>
      <c r="E1594" s="62" t="str">
        <f t="shared" si="4"/>
        <v>Byron Young</v>
      </c>
      <c r="F1594" s="62">
        <f t="shared" ref="F1594:G1594" si="3187">IF(isblank(F$1),,IF(isblank($A1594),,IFERROR(vlookup($A1594,indirect("'TVC-"&amp;text(month(F$1),"00")&amp;"'!$A:$D"),4,false),1)))</f>
        <v>1</v>
      </c>
      <c r="G1594" s="62">
        <f t="shared" si="3187"/>
        <v>1</v>
      </c>
      <c r="H1594" s="62">
        <f t="shared" ref="H1594:Q1594" si="3188">IF(isblank(H$1),,IFERROR(vlookup($A1594,indirect("'TVC-"&amp;text(month(H$1),"00")&amp;"'!$A:$D"),4,false),1))</f>
        <v>1</v>
      </c>
      <c r="I1594" s="62">
        <f t="shared" si="3188"/>
        <v>1</v>
      </c>
      <c r="J1594" s="62">
        <f t="shared" si="3188"/>
        <v>1</v>
      </c>
      <c r="K1594" s="62">
        <f t="shared" si="3188"/>
        <v>1</v>
      </c>
      <c r="L1594" s="62">
        <f t="shared" si="3188"/>
        <v>1</v>
      </c>
      <c r="M1594" s="62">
        <f t="shared" si="3188"/>
        <v>1</v>
      </c>
      <c r="N1594" s="62">
        <f t="shared" si="3188"/>
        <v>1</v>
      </c>
      <c r="O1594" s="62">
        <f t="shared" si="3188"/>
        <v>1</v>
      </c>
      <c r="P1594" s="62" t="str">
        <f t="shared" si="3188"/>
        <v/>
      </c>
      <c r="Q1594" s="62" t="str">
        <f t="shared" si="3188"/>
        <v/>
      </c>
      <c r="R1594" s="62">
        <f t="shared" si="7"/>
        <v>0</v>
      </c>
      <c r="S1594" s="62"/>
      <c r="T1594" s="62"/>
      <c r="U1594" s="62"/>
      <c r="V1594" s="62"/>
      <c r="W1594" s="62"/>
      <c r="X1594" s="62"/>
      <c r="Y1594" s="62"/>
      <c r="Z1594" s="62"/>
      <c r="AA1594" s="62"/>
      <c r="AB1594" s="62"/>
      <c r="AC1594" s="62"/>
    </row>
    <row r="1595" hidden="1">
      <c r="A1595" s="60">
        <f>IFERROR(__xludf.DUMMYFUNCTION("""COMPUTED_VALUE"""),16274.0)</f>
        <v>16274</v>
      </c>
      <c r="B1595" s="60" t="str">
        <f>IFERROR(__xludf.DUMMYFUNCTION("""COMPUTED_VALUE"""),"Williams, Garrett")</f>
        <v>Williams, Garrett</v>
      </c>
      <c r="C1595" s="60" t="str">
        <f>IFERROR(__xludf.DUMMYFUNCTION("""COMPUTED_VALUE"""),"CB")</f>
        <v>CB</v>
      </c>
      <c r="D1595" s="60" t="str">
        <f>IFERROR(__xludf.DUMMYFUNCTION("""COMPUTED_VALUE"""),"ARI")</f>
        <v>ARI</v>
      </c>
      <c r="E1595" s="62" t="str">
        <f t="shared" si="4"/>
        <v>Garrett Williams</v>
      </c>
      <c r="F1595" s="62">
        <f t="shared" ref="F1595:G1595" si="3189">IF(isblank(F$1),,IF(isblank($A1595),,IFERROR(vlookup($A1595,indirect("'TVC-"&amp;text(month(F$1),"00")&amp;"'!$A:$D"),4,false),1)))</f>
        <v>1</v>
      </c>
      <c r="G1595" s="62">
        <f t="shared" si="3189"/>
        <v>1</v>
      </c>
      <c r="H1595" s="62">
        <f t="shared" ref="H1595:Q1595" si="3190">IF(isblank(H$1),,IFERROR(vlookup($A1595,indirect("'TVC-"&amp;text(month(H$1),"00")&amp;"'!$A:$D"),4,false),1))</f>
        <v>1</v>
      </c>
      <c r="I1595" s="62">
        <f t="shared" si="3190"/>
        <v>1</v>
      </c>
      <c r="J1595" s="62">
        <f t="shared" si="3190"/>
        <v>1</v>
      </c>
      <c r="K1595" s="62">
        <f t="shared" si="3190"/>
        <v>1</v>
      </c>
      <c r="L1595" s="62">
        <f t="shared" si="3190"/>
        <v>1</v>
      </c>
      <c r="M1595" s="62">
        <f t="shared" si="3190"/>
        <v>1</v>
      </c>
      <c r="N1595" s="62">
        <f t="shared" si="3190"/>
        <v>1</v>
      </c>
      <c r="O1595" s="62">
        <f t="shared" si="3190"/>
        <v>1</v>
      </c>
      <c r="P1595" s="62" t="str">
        <f t="shared" si="3190"/>
        <v/>
      </c>
      <c r="Q1595" s="62" t="str">
        <f t="shared" si="3190"/>
        <v/>
      </c>
      <c r="R1595" s="62">
        <f t="shared" si="7"/>
        <v>0</v>
      </c>
      <c r="S1595" s="62"/>
      <c r="T1595" s="62"/>
      <c r="U1595" s="62"/>
      <c r="V1595" s="62"/>
      <c r="W1595" s="62"/>
      <c r="X1595" s="62"/>
      <c r="Y1595" s="62"/>
      <c r="Z1595" s="62"/>
      <c r="AA1595" s="62"/>
      <c r="AB1595" s="62"/>
      <c r="AC1595" s="62"/>
    </row>
    <row r="1596" hidden="1">
      <c r="A1596" s="60">
        <f>IFERROR(__xludf.DUMMYFUNCTION("""COMPUTED_VALUE"""),16275.0)</f>
        <v>16275</v>
      </c>
      <c r="B1596" s="60" t="str">
        <f>IFERROR(__xludf.DUMMYFUNCTION("""COMPUTED_VALUE"""),"Mapu, Marte")</f>
        <v>Mapu, Marte</v>
      </c>
      <c r="C1596" s="60" t="str">
        <f>IFERROR(__xludf.DUMMYFUNCTION("""COMPUTED_VALUE"""),"LB")</f>
        <v>LB</v>
      </c>
      <c r="D1596" s="60" t="str">
        <f>IFERROR(__xludf.DUMMYFUNCTION("""COMPUTED_VALUE"""),"PIT")</f>
        <v>PIT</v>
      </c>
      <c r="E1596" s="62" t="str">
        <f t="shared" si="4"/>
        <v>Marte Mapu</v>
      </c>
      <c r="F1596" s="62">
        <f t="shared" ref="F1596:G1596" si="3191">IF(isblank(F$1),,IF(isblank($A1596),,IFERROR(vlookup($A1596,indirect("'TVC-"&amp;text(month(F$1),"00")&amp;"'!$A:$D"),4,false),1)))</f>
        <v>1</v>
      </c>
      <c r="G1596" s="62">
        <f t="shared" si="3191"/>
        <v>1</v>
      </c>
      <c r="H1596" s="62">
        <f t="shared" ref="H1596:Q1596" si="3192">IF(isblank(H$1),,IFERROR(vlookup($A1596,indirect("'TVC-"&amp;text(month(H$1),"00")&amp;"'!$A:$D"),4,false),1))</f>
        <v>1</v>
      </c>
      <c r="I1596" s="62">
        <f t="shared" si="3192"/>
        <v>1</v>
      </c>
      <c r="J1596" s="62">
        <f t="shared" si="3192"/>
        <v>1</v>
      </c>
      <c r="K1596" s="62">
        <f t="shared" si="3192"/>
        <v>1</v>
      </c>
      <c r="L1596" s="62">
        <f t="shared" si="3192"/>
        <v>1</v>
      </c>
      <c r="M1596" s="62">
        <f t="shared" si="3192"/>
        <v>1</v>
      </c>
      <c r="N1596" s="62">
        <f t="shared" si="3192"/>
        <v>1</v>
      </c>
      <c r="O1596" s="62">
        <f t="shared" si="3192"/>
        <v>1</v>
      </c>
      <c r="P1596" s="62" t="str">
        <f t="shared" si="3192"/>
        <v/>
      </c>
      <c r="Q1596" s="62" t="str">
        <f t="shared" si="3192"/>
        <v/>
      </c>
      <c r="R1596" s="62">
        <f t="shared" si="7"/>
        <v>0</v>
      </c>
      <c r="S1596" s="62"/>
      <c r="T1596" s="62"/>
      <c r="U1596" s="62"/>
      <c r="V1596" s="62"/>
      <c r="W1596" s="62"/>
      <c r="X1596" s="62"/>
      <c r="Y1596" s="62"/>
      <c r="Z1596" s="62"/>
      <c r="AA1596" s="62"/>
      <c r="AB1596" s="62"/>
      <c r="AC1596" s="62"/>
    </row>
    <row r="1597" hidden="1">
      <c r="A1597" s="60">
        <f>IFERROR(__xludf.DUMMYFUNCTION("""COMPUTED_VALUE"""),16276.0)</f>
        <v>16276</v>
      </c>
      <c r="B1597" s="60" t="str">
        <f>IFERROR(__xludf.DUMMYFUNCTION("""COMPUTED_VALUE"""),"Young, Byron")</f>
        <v>Young, Byron</v>
      </c>
      <c r="C1597" s="60" t="str">
        <f>IFERROR(__xludf.DUMMYFUNCTION("""COMPUTED_VALUE"""),"DE")</f>
        <v>DE</v>
      </c>
      <c r="D1597" s="60" t="str">
        <f>IFERROR(__xludf.DUMMYFUNCTION("""COMPUTED_VALUE"""),"LAR")</f>
        <v>LAR</v>
      </c>
      <c r="E1597" s="62" t="str">
        <f t="shared" si="4"/>
        <v>Byron Young</v>
      </c>
      <c r="F1597" s="62">
        <f t="shared" ref="F1597:G1597" si="3193">IF(isblank(F$1),,IF(isblank($A1597),,IFERROR(vlookup($A1597,indirect("'TVC-"&amp;text(month(F$1),"00")&amp;"'!$A:$D"),4,false),1)))</f>
        <v>1</v>
      </c>
      <c r="G1597" s="62">
        <f t="shared" si="3193"/>
        <v>1</v>
      </c>
      <c r="H1597" s="62">
        <f t="shared" ref="H1597:Q1597" si="3194">IF(isblank(H$1),,IFERROR(vlookup($A1597,indirect("'TVC-"&amp;text(month(H$1),"00")&amp;"'!$A:$D"),4,false),1))</f>
        <v>1</v>
      </c>
      <c r="I1597" s="62">
        <f t="shared" si="3194"/>
        <v>1</v>
      </c>
      <c r="J1597" s="62">
        <f t="shared" si="3194"/>
        <v>1</v>
      </c>
      <c r="K1597" s="62">
        <f t="shared" si="3194"/>
        <v>1</v>
      </c>
      <c r="L1597" s="62">
        <f t="shared" si="3194"/>
        <v>1</v>
      </c>
      <c r="M1597" s="62">
        <f t="shared" si="3194"/>
        <v>1</v>
      </c>
      <c r="N1597" s="62">
        <f t="shared" si="3194"/>
        <v>1</v>
      </c>
      <c r="O1597" s="62">
        <f t="shared" si="3194"/>
        <v>1</v>
      </c>
      <c r="P1597" s="62" t="str">
        <f t="shared" si="3194"/>
        <v/>
      </c>
      <c r="Q1597" s="62" t="str">
        <f t="shared" si="3194"/>
        <v/>
      </c>
      <c r="R1597" s="62">
        <f t="shared" si="7"/>
        <v>0</v>
      </c>
      <c r="S1597" s="62"/>
      <c r="T1597" s="62"/>
      <c r="U1597" s="62"/>
      <c r="V1597" s="62"/>
      <c r="W1597" s="62"/>
      <c r="X1597" s="62"/>
      <c r="Y1597" s="62"/>
      <c r="Z1597" s="62"/>
      <c r="AA1597" s="62"/>
      <c r="AB1597" s="62"/>
      <c r="AC1597" s="62"/>
    </row>
    <row r="1598" hidden="1">
      <c r="A1598" s="60">
        <f>IFERROR(__xludf.DUMMYFUNCTION("""COMPUTED_VALUE"""),16277.0)</f>
        <v>16277</v>
      </c>
      <c r="B1598" s="60" t="str">
        <f>IFERROR(__xludf.DUMMYFUNCTION("""COMPUTED_VALUE"""),"Johnson, DJ")</f>
        <v>Johnson, DJ</v>
      </c>
      <c r="C1598" s="60" t="str">
        <f>IFERROR(__xludf.DUMMYFUNCTION("""COMPUTED_VALUE"""),"DE")</f>
        <v>DE</v>
      </c>
      <c r="D1598" s="60" t="str">
        <f>IFERROR(__xludf.DUMMYFUNCTION("""COMPUTED_VALUE"""),"FA")</f>
        <v>FA</v>
      </c>
      <c r="E1598" s="62" t="str">
        <f t="shared" si="4"/>
        <v>DJ Johnson</v>
      </c>
      <c r="F1598" s="62">
        <f t="shared" ref="F1598:G1598" si="3195">IF(isblank(F$1),,IF(isblank($A1598),,IFERROR(vlookup($A1598,indirect("'TVC-"&amp;text(month(F$1),"00")&amp;"'!$A:$D"),4,false),1)))</f>
        <v>1</v>
      </c>
      <c r="G1598" s="62">
        <f t="shared" si="3195"/>
        <v>1</v>
      </c>
      <c r="H1598" s="62">
        <f t="shared" ref="H1598:Q1598" si="3196">IF(isblank(H$1),,IFERROR(vlookup($A1598,indirect("'TVC-"&amp;text(month(H$1),"00")&amp;"'!$A:$D"),4,false),1))</f>
        <v>1</v>
      </c>
      <c r="I1598" s="62">
        <f t="shared" si="3196"/>
        <v>1</v>
      </c>
      <c r="J1598" s="62">
        <f t="shared" si="3196"/>
        <v>1</v>
      </c>
      <c r="K1598" s="62">
        <f t="shared" si="3196"/>
        <v>1</v>
      </c>
      <c r="L1598" s="62">
        <f t="shared" si="3196"/>
        <v>1</v>
      </c>
      <c r="M1598" s="62">
        <f t="shared" si="3196"/>
        <v>1</v>
      </c>
      <c r="N1598" s="62">
        <f t="shared" si="3196"/>
        <v>1</v>
      </c>
      <c r="O1598" s="62">
        <f t="shared" si="3196"/>
        <v>1</v>
      </c>
      <c r="P1598" s="62" t="str">
        <f t="shared" si="3196"/>
        <v/>
      </c>
      <c r="Q1598" s="62" t="str">
        <f t="shared" si="3196"/>
        <v/>
      </c>
      <c r="R1598" s="62">
        <f t="shared" si="7"/>
        <v>0</v>
      </c>
      <c r="S1598" s="62"/>
      <c r="T1598" s="62"/>
      <c r="U1598" s="62"/>
      <c r="V1598" s="62"/>
      <c r="W1598" s="62"/>
      <c r="X1598" s="62"/>
      <c r="Y1598" s="62"/>
      <c r="Z1598" s="62"/>
      <c r="AA1598" s="62"/>
      <c r="AB1598" s="62"/>
      <c r="AC1598" s="62"/>
    </row>
    <row r="1599" hidden="1">
      <c r="A1599" s="60">
        <f>IFERROR(__xludf.DUMMYFUNCTION("""COMPUTED_VALUE"""),16278.0)</f>
        <v>16278</v>
      </c>
      <c r="B1599" s="60" t="str">
        <f>IFERROR(__xludf.DUMMYFUNCTION("""COMPUTED_VALUE"""),"Diaby, YaYa")</f>
        <v>Diaby, YaYa</v>
      </c>
      <c r="C1599" s="60" t="str">
        <f>IFERROR(__xludf.DUMMYFUNCTION("""COMPUTED_VALUE"""),"DE")</f>
        <v>DE</v>
      </c>
      <c r="D1599" s="60" t="str">
        <f>IFERROR(__xludf.DUMMYFUNCTION("""COMPUTED_VALUE"""),"TBB")</f>
        <v>TBB</v>
      </c>
      <c r="E1599" s="62" t="str">
        <f t="shared" si="4"/>
        <v>YaYa Diaby</v>
      </c>
      <c r="F1599" s="62">
        <f t="shared" ref="F1599:G1599" si="3197">IF(isblank(F$1),,IF(isblank($A1599),,IFERROR(vlookup($A1599,indirect("'TVC-"&amp;text(month(F$1),"00")&amp;"'!$A:$D"),4,false),1)))</f>
        <v>1</v>
      </c>
      <c r="G1599" s="62">
        <f t="shared" si="3197"/>
        <v>1</v>
      </c>
      <c r="H1599" s="62">
        <f t="shared" ref="H1599:Q1599" si="3198">IF(isblank(H$1),,IFERROR(vlookup($A1599,indirect("'TVC-"&amp;text(month(H$1),"00")&amp;"'!$A:$D"),4,false),1))</f>
        <v>1</v>
      </c>
      <c r="I1599" s="62">
        <f t="shared" si="3198"/>
        <v>1</v>
      </c>
      <c r="J1599" s="62">
        <f t="shared" si="3198"/>
        <v>1</v>
      </c>
      <c r="K1599" s="62">
        <f t="shared" si="3198"/>
        <v>1</v>
      </c>
      <c r="L1599" s="62">
        <f t="shared" si="3198"/>
        <v>1</v>
      </c>
      <c r="M1599" s="62">
        <f t="shared" si="3198"/>
        <v>1</v>
      </c>
      <c r="N1599" s="62">
        <f t="shared" si="3198"/>
        <v>1</v>
      </c>
      <c r="O1599" s="62">
        <f t="shared" si="3198"/>
        <v>1</v>
      </c>
      <c r="P1599" s="62" t="str">
        <f t="shared" si="3198"/>
        <v/>
      </c>
      <c r="Q1599" s="62" t="str">
        <f t="shared" si="3198"/>
        <v/>
      </c>
      <c r="R1599" s="62">
        <f t="shared" si="7"/>
        <v>0</v>
      </c>
      <c r="S1599" s="62"/>
      <c r="T1599" s="62"/>
      <c r="U1599" s="62"/>
      <c r="V1599" s="62"/>
      <c r="W1599" s="62"/>
      <c r="X1599" s="62"/>
      <c r="Y1599" s="62"/>
      <c r="Z1599" s="62"/>
      <c r="AA1599" s="62"/>
      <c r="AB1599" s="62"/>
      <c r="AC1599" s="62"/>
    </row>
    <row r="1600">
      <c r="A1600" s="60">
        <f>IFERROR(__xludf.DUMMYFUNCTION("""COMPUTED_VALUE"""),16279.0)</f>
        <v>16279</v>
      </c>
      <c r="B1600" s="60" t="str">
        <f>IFERROR(__xludf.DUMMYFUNCTION("""COMPUTED_VALUE"""),"Moss, Riley")</f>
        <v>Moss, Riley</v>
      </c>
      <c r="C1600" s="60" t="str">
        <f>IFERROR(__xludf.DUMMYFUNCTION("""COMPUTED_VALUE"""),"CB")</f>
        <v>CB</v>
      </c>
      <c r="D1600" s="60" t="str">
        <f>IFERROR(__xludf.DUMMYFUNCTION("""COMPUTED_VALUE"""),"DEN")</f>
        <v>DEN</v>
      </c>
      <c r="E1600" s="62" t="str">
        <f t="shared" si="4"/>
        <v>Riley Moss</v>
      </c>
      <c r="F1600" s="62">
        <f t="shared" ref="F1600:G1600" si="3199">IF(isblank(F$1),,IF(isblank($A1600),,IFERROR(vlookup($A1600,indirect("'TVC-"&amp;text(month(F$1),"00")&amp;"'!$A:$D"),4,false),1)))</f>
        <v>1</v>
      </c>
      <c r="G1600" s="62">
        <f t="shared" si="3199"/>
        <v>1</v>
      </c>
      <c r="H1600" s="62">
        <f t="shared" ref="H1600:Q1600" si="3200">IF(isblank(H$1),,IFERROR(vlookup($A1600,indirect("'TVC-"&amp;text(month(H$1),"00")&amp;"'!$A:$D"),4,false),1))</f>
        <v>1</v>
      </c>
      <c r="I1600" s="62">
        <f t="shared" si="3200"/>
        <v>1</v>
      </c>
      <c r="J1600" s="62">
        <f t="shared" si="3200"/>
        <v>1</v>
      </c>
      <c r="K1600" s="62">
        <f t="shared" si="3200"/>
        <v>1</v>
      </c>
      <c r="L1600" s="62">
        <f t="shared" si="3200"/>
        <v>1</v>
      </c>
      <c r="M1600" s="62">
        <f t="shared" si="3200"/>
        <v>1</v>
      </c>
      <c r="N1600" s="62">
        <f t="shared" si="3200"/>
        <v>1</v>
      </c>
      <c r="O1600" s="62">
        <f t="shared" si="3200"/>
        <v>1</v>
      </c>
      <c r="P1600" s="62" t="str">
        <f t="shared" si="3200"/>
        <v/>
      </c>
      <c r="Q1600" s="62" t="str">
        <f t="shared" si="3200"/>
        <v/>
      </c>
      <c r="R1600" s="62">
        <f t="shared" si="7"/>
        <v>0</v>
      </c>
      <c r="S1600" s="62"/>
      <c r="T1600" s="62"/>
      <c r="U1600" s="62"/>
      <c r="V1600" s="62"/>
      <c r="W1600" s="62"/>
      <c r="X1600" s="62"/>
      <c r="Y1600" s="62"/>
      <c r="Z1600" s="62"/>
      <c r="AA1600" s="62"/>
      <c r="AB1600" s="62"/>
      <c r="AC1600" s="62"/>
    </row>
    <row r="1601" hidden="1">
      <c r="A1601" s="60">
        <f>IFERROR(__xludf.DUMMYFUNCTION("""COMPUTED_VALUE"""),16280.0)</f>
        <v>16280</v>
      </c>
      <c r="B1601" s="60" t="str">
        <f>IFERROR(__xludf.DUMMYFUNCTION("""COMPUTED_VALUE"""),"Henley, Daiyan")</f>
        <v>Henley, Daiyan</v>
      </c>
      <c r="C1601" s="60" t="str">
        <f>IFERROR(__xludf.DUMMYFUNCTION("""COMPUTED_VALUE"""),"LB")</f>
        <v>LB</v>
      </c>
      <c r="D1601" s="60" t="str">
        <f>IFERROR(__xludf.DUMMYFUNCTION("""COMPUTED_VALUE"""),"LAC")</f>
        <v>LAC</v>
      </c>
      <c r="E1601" s="62" t="str">
        <f t="shared" si="4"/>
        <v>Daiyan Henley</v>
      </c>
      <c r="F1601" s="62">
        <f t="shared" ref="F1601:G1601" si="3201">IF(isblank(F$1),,IF(isblank($A1601),,IFERROR(vlookup($A1601,indirect("'TVC-"&amp;text(month(F$1),"00")&amp;"'!$A:$D"),4,false),1)))</f>
        <v>1</v>
      </c>
      <c r="G1601" s="62">
        <f t="shared" si="3201"/>
        <v>1</v>
      </c>
      <c r="H1601" s="62">
        <f t="shared" ref="H1601:Q1601" si="3202">IF(isblank(H$1),,IFERROR(vlookup($A1601,indirect("'TVC-"&amp;text(month(H$1),"00")&amp;"'!$A:$D"),4,false),1))</f>
        <v>1</v>
      </c>
      <c r="I1601" s="62">
        <f t="shared" si="3202"/>
        <v>1</v>
      </c>
      <c r="J1601" s="62">
        <f t="shared" si="3202"/>
        <v>1</v>
      </c>
      <c r="K1601" s="62">
        <f t="shared" si="3202"/>
        <v>1</v>
      </c>
      <c r="L1601" s="62">
        <f t="shared" si="3202"/>
        <v>1</v>
      </c>
      <c r="M1601" s="62">
        <f t="shared" si="3202"/>
        <v>1</v>
      </c>
      <c r="N1601" s="62">
        <f t="shared" si="3202"/>
        <v>1</v>
      </c>
      <c r="O1601" s="62">
        <f t="shared" si="3202"/>
        <v>1</v>
      </c>
      <c r="P1601" s="62" t="str">
        <f t="shared" si="3202"/>
        <v/>
      </c>
      <c r="Q1601" s="62" t="str">
        <f t="shared" si="3202"/>
        <v/>
      </c>
      <c r="R1601" s="62">
        <f t="shared" si="7"/>
        <v>0</v>
      </c>
      <c r="S1601" s="62"/>
      <c r="T1601" s="62"/>
      <c r="U1601" s="62"/>
      <c r="V1601" s="62"/>
      <c r="W1601" s="62"/>
      <c r="X1601" s="62"/>
      <c r="Y1601" s="62"/>
      <c r="Z1601" s="62"/>
      <c r="AA1601" s="62"/>
      <c r="AB1601" s="62"/>
      <c r="AC1601" s="62"/>
    </row>
    <row r="1602" hidden="1">
      <c r="A1602" s="60">
        <f>IFERROR(__xludf.DUMMYFUNCTION("""COMPUTED_VALUE"""),16281.0)</f>
        <v>16281</v>
      </c>
      <c r="B1602" s="60" t="str">
        <f>IFERROR(__xludf.DUMMYFUNCTION("""COMPUTED_VALUE"""),"Brown, Ji'Ayir")</f>
        <v>Brown, Ji'Ayir</v>
      </c>
      <c r="C1602" s="60" t="str">
        <f>IFERROR(__xludf.DUMMYFUNCTION("""COMPUTED_VALUE"""),"S")</f>
        <v>S</v>
      </c>
      <c r="D1602" s="60" t="str">
        <f>IFERROR(__xludf.DUMMYFUNCTION("""COMPUTED_VALUE"""),"SFO")</f>
        <v>SFO</v>
      </c>
      <c r="E1602" s="62" t="str">
        <f t="shared" si="4"/>
        <v>Ji'Ayir Brown</v>
      </c>
      <c r="F1602" s="62">
        <f t="shared" ref="F1602:G1602" si="3203">IF(isblank(F$1),,IF(isblank($A1602),,IFERROR(vlookup($A1602,indirect("'TVC-"&amp;text(month(F$1),"00")&amp;"'!$A:$D"),4,false),1)))</f>
        <v>1</v>
      </c>
      <c r="G1602" s="62">
        <f t="shared" si="3203"/>
        <v>1</v>
      </c>
      <c r="H1602" s="62">
        <f t="shared" ref="H1602:Q1602" si="3204">IF(isblank(H$1),,IFERROR(vlookup($A1602,indirect("'TVC-"&amp;text(month(H$1),"00")&amp;"'!$A:$D"),4,false),1))</f>
        <v>1</v>
      </c>
      <c r="I1602" s="62">
        <f t="shared" si="3204"/>
        <v>1</v>
      </c>
      <c r="J1602" s="62">
        <f t="shared" si="3204"/>
        <v>1</v>
      </c>
      <c r="K1602" s="62">
        <f t="shared" si="3204"/>
        <v>1</v>
      </c>
      <c r="L1602" s="62">
        <f t="shared" si="3204"/>
        <v>1</v>
      </c>
      <c r="M1602" s="62">
        <f t="shared" si="3204"/>
        <v>1</v>
      </c>
      <c r="N1602" s="62">
        <f t="shared" si="3204"/>
        <v>1</v>
      </c>
      <c r="O1602" s="62">
        <f t="shared" si="3204"/>
        <v>1</v>
      </c>
      <c r="P1602" s="62" t="str">
        <f t="shared" si="3204"/>
        <v/>
      </c>
      <c r="Q1602" s="62" t="str">
        <f t="shared" si="3204"/>
        <v/>
      </c>
      <c r="R1602" s="62">
        <f t="shared" si="7"/>
        <v>0</v>
      </c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</row>
    <row r="1603" hidden="1">
      <c r="A1603" s="60">
        <f>IFERROR(__xludf.DUMMYFUNCTION("""COMPUTED_VALUE"""),16282.0)</f>
        <v>16282</v>
      </c>
      <c r="B1603" s="60" t="str">
        <f>IFERROR(__xludf.DUMMYFUNCTION("""COMPUTED_VALUE"""),"Turner, Kobie")</f>
        <v>Turner, Kobie</v>
      </c>
      <c r="C1603" s="60" t="str">
        <f>IFERROR(__xludf.DUMMYFUNCTION("""COMPUTED_VALUE"""),"DT")</f>
        <v>DT</v>
      </c>
      <c r="D1603" s="60" t="str">
        <f>IFERROR(__xludf.DUMMYFUNCTION("""COMPUTED_VALUE"""),"LAR")</f>
        <v>LAR</v>
      </c>
      <c r="E1603" s="62" t="str">
        <f t="shared" si="4"/>
        <v>Kobie Turner</v>
      </c>
      <c r="F1603" s="62">
        <f t="shared" ref="F1603:G1603" si="3205">IF(isblank(F$1),,IF(isblank($A1603),,IFERROR(vlookup($A1603,indirect("'TVC-"&amp;text(month(F$1),"00")&amp;"'!$A:$D"),4,false),1)))</f>
        <v>1</v>
      </c>
      <c r="G1603" s="62">
        <f t="shared" si="3205"/>
        <v>1</v>
      </c>
      <c r="H1603" s="62">
        <f t="shared" ref="H1603:Q1603" si="3206">IF(isblank(H$1),,IFERROR(vlookup($A1603,indirect("'TVC-"&amp;text(month(H$1),"00")&amp;"'!$A:$D"),4,false),1))</f>
        <v>1</v>
      </c>
      <c r="I1603" s="62">
        <f t="shared" si="3206"/>
        <v>1</v>
      </c>
      <c r="J1603" s="62">
        <f t="shared" si="3206"/>
        <v>1</v>
      </c>
      <c r="K1603" s="62">
        <f t="shared" si="3206"/>
        <v>1</v>
      </c>
      <c r="L1603" s="62">
        <f t="shared" si="3206"/>
        <v>1</v>
      </c>
      <c r="M1603" s="62">
        <f t="shared" si="3206"/>
        <v>1</v>
      </c>
      <c r="N1603" s="62">
        <f t="shared" si="3206"/>
        <v>1</v>
      </c>
      <c r="O1603" s="62">
        <f t="shared" si="3206"/>
        <v>1</v>
      </c>
      <c r="P1603" s="62" t="str">
        <f t="shared" si="3206"/>
        <v/>
      </c>
      <c r="Q1603" s="62" t="str">
        <f t="shared" si="3206"/>
        <v/>
      </c>
      <c r="R1603" s="62">
        <f t="shared" si="7"/>
        <v>0</v>
      </c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</row>
    <row r="1604" hidden="1">
      <c r="A1604" s="60">
        <f>IFERROR(__xludf.DUMMYFUNCTION("""COMPUTED_VALUE"""),16283.0)</f>
        <v>16283</v>
      </c>
      <c r="B1604" s="60" t="str">
        <f>IFERROR(__xludf.DUMMYFUNCTION("""COMPUTED_VALUE"""),"Overshown, DeMarvion")</f>
        <v>Overshown, DeMarvion</v>
      </c>
      <c r="C1604" s="60" t="str">
        <f>IFERROR(__xludf.DUMMYFUNCTION("""COMPUTED_VALUE"""),"LB")</f>
        <v>LB</v>
      </c>
      <c r="D1604" s="60" t="str">
        <f>IFERROR(__xludf.DUMMYFUNCTION("""COMPUTED_VALUE"""),"DAL")</f>
        <v>DAL</v>
      </c>
      <c r="E1604" s="62" t="str">
        <f t="shared" si="4"/>
        <v>DeMarvion Overshown</v>
      </c>
      <c r="F1604" s="62">
        <f t="shared" ref="F1604:G1604" si="3207">IF(isblank(F$1),,IF(isblank($A1604),,IFERROR(vlookup($A1604,indirect("'TVC-"&amp;text(month(F$1),"00")&amp;"'!$A:$D"),4,false),1)))</f>
        <v>1</v>
      </c>
      <c r="G1604" s="62">
        <f t="shared" si="3207"/>
        <v>1</v>
      </c>
      <c r="H1604" s="62">
        <f t="shared" ref="H1604:Q1604" si="3208">IF(isblank(H$1),,IFERROR(vlookup($A1604,indirect("'TVC-"&amp;text(month(H$1),"00")&amp;"'!$A:$D"),4,false),1))</f>
        <v>1</v>
      </c>
      <c r="I1604" s="62">
        <f t="shared" si="3208"/>
        <v>1</v>
      </c>
      <c r="J1604" s="62">
        <f t="shared" si="3208"/>
        <v>1</v>
      </c>
      <c r="K1604" s="62">
        <f t="shared" si="3208"/>
        <v>1</v>
      </c>
      <c r="L1604" s="62">
        <f t="shared" si="3208"/>
        <v>1</v>
      </c>
      <c r="M1604" s="62">
        <f t="shared" si="3208"/>
        <v>1</v>
      </c>
      <c r="N1604" s="62">
        <f t="shared" si="3208"/>
        <v>1</v>
      </c>
      <c r="O1604" s="62">
        <f t="shared" si="3208"/>
        <v>1</v>
      </c>
      <c r="P1604" s="62" t="str">
        <f t="shared" si="3208"/>
        <v/>
      </c>
      <c r="Q1604" s="62" t="str">
        <f t="shared" si="3208"/>
        <v/>
      </c>
      <c r="R1604" s="62">
        <f t="shared" si="7"/>
        <v>0</v>
      </c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</row>
    <row r="1605" hidden="1">
      <c r="A1605" s="60">
        <f>IFERROR(__xludf.DUMMYFUNCTION("""COMPUTED_VALUE"""),16284.0)</f>
        <v>16284</v>
      </c>
      <c r="B1605" s="60" t="str">
        <f>IFERROR(__xludf.DUMMYFUNCTION("""COMPUTED_VALUE"""),"Williams, Dorian")</f>
        <v>Williams, Dorian</v>
      </c>
      <c r="C1605" s="60" t="str">
        <f>IFERROR(__xludf.DUMMYFUNCTION("""COMPUTED_VALUE"""),"LB")</f>
        <v>LB</v>
      </c>
      <c r="D1605" s="60" t="str">
        <f>IFERROR(__xludf.DUMMYFUNCTION("""COMPUTED_VALUE"""),"BUF")</f>
        <v>BUF</v>
      </c>
      <c r="E1605" s="62" t="str">
        <f t="shared" si="4"/>
        <v>Dorian Williams</v>
      </c>
      <c r="F1605" s="62">
        <f t="shared" ref="F1605:G1605" si="3209">IF(isblank(F$1),,IF(isblank($A1605),,IFERROR(vlookup($A1605,indirect("'TVC-"&amp;text(month(F$1),"00")&amp;"'!$A:$D"),4,false),1)))</f>
        <v>1</v>
      </c>
      <c r="G1605" s="62">
        <f t="shared" si="3209"/>
        <v>1</v>
      </c>
      <c r="H1605" s="62">
        <f t="shared" ref="H1605:Q1605" si="3210">IF(isblank(H$1),,IFERROR(vlookup($A1605,indirect("'TVC-"&amp;text(month(H$1),"00")&amp;"'!$A:$D"),4,false),1))</f>
        <v>1</v>
      </c>
      <c r="I1605" s="62">
        <f t="shared" si="3210"/>
        <v>1</v>
      </c>
      <c r="J1605" s="62">
        <f t="shared" si="3210"/>
        <v>1</v>
      </c>
      <c r="K1605" s="62">
        <f t="shared" si="3210"/>
        <v>1</v>
      </c>
      <c r="L1605" s="62">
        <f t="shared" si="3210"/>
        <v>1</v>
      </c>
      <c r="M1605" s="62">
        <f t="shared" si="3210"/>
        <v>1</v>
      </c>
      <c r="N1605" s="62">
        <f t="shared" si="3210"/>
        <v>1</v>
      </c>
      <c r="O1605" s="62">
        <f t="shared" si="3210"/>
        <v>1</v>
      </c>
      <c r="P1605" s="62" t="str">
        <f t="shared" si="3210"/>
        <v/>
      </c>
      <c r="Q1605" s="62" t="str">
        <f t="shared" si="3210"/>
        <v/>
      </c>
      <c r="R1605" s="62">
        <f t="shared" si="7"/>
        <v>0</v>
      </c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</row>
    <row r="1606" hidden="1">
      <c r="A1606" s="60">
        <f>IFERROR(__xludf.DUMMYFUNCTION("""COMPUTED_VALUE"""),16286.0)</f>
        <v>16286</v>
      </c>
      <c r="B1606" s="60" t="str">
        <f>IFERROR(__xludf.DUMMYFUNCTION("""COMPUTED_VALUE"""),"Moody, Jake")</f>
        <v>Moody, Jake</v>
      </c>
      <c r="C1606" s="60" t="str">
        <f>IFERROR(__xludf.DUMMYFUNCTION("""COMPUTED_VALUE"""),"PK")</f>
        <v>PK</v>
      </c>
      <c r="D1606" s="60" t="str">
        <f>IFERROR(__xludf.DUMMYFUNCTION("""COMPUTED_VALUE"""),"BAL")</f>
        <v>BAL</v>
      </c>
      <c r="E1606" s="62" t="str">
        <f t="shared" si="4"/>
        <v>Jake Moody</v>
      </c>
      <c r="F1606" s="62">
        <f t="shared" ref="F1606:G1606" si="3211">IF(isblank(F$1),,IF(isblank($A1606),,IFERROR(vlookup($A1606,indirect("'TVC-"&amp;text(month(F$1),"00")&amp;"'!$A:$D"),4,false),1)))</f>
        <v>1</v>
      </c>
      <c r="G1606" s="62">
        <f t="shared" si="3211"/>
        <v>1</v>
      </c>
      <c r="H1606" s="62">
        <f t="shared" ref="H1606:Q1606" si="3212">IF(isblank(H$1),,IFERROR(vlookup($A1606,indirect("'TVC-"&amp;text(month(H$1),"00")&amp;"'!$A:$D"),4,false),1))</f>
        <v>1</v>
      </c>
      <c r="I1606" s="62">
        <f t="shared" si="3212"/>
        <v>1</v>
      </c>
      <c r="J1606" s="62">
        <f t="shared" si="3212"/>
        <v>1</v>
      </c>
      <c r="K1606" s="62">
        <f t="shared" si="3212"/>
        <v>1</v>
      </c>
      <c r="L1606" s="62">
        <f t="shared" si="3212"/>
        <v>1</v>
      </c>
      <c r="M1606" s="62">
        <f t="shared" si="3212"/>
        <v>1</v>
      </c>
      <c r="N1606" s="62">
        <f t="shared" si="3212"/>
        <v>1</v>
      </c>
      <c r="O1606" s="62">
        <f t="shared" si="3212"/>
        <v>1</v>
      </c>
      <c r="P1606" s="62" t="str">
        <f t="shared" si="3212"/>
        <v/>
      </c>
      <c r="Q1606" s="62" t="str">
        <f t="shared" si="3212"/>
        <v/>
      </c>
      <c r="R1606" s="62">
        <f t="shared" si="7"/>
        <v>0</v>
      </c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</row>
    <row r="1607" hidden="1">
      <c r="A1607" s="60">
        <f>IFERROR(__xludf.DUMMYFUNCTION("""COMPUTED_VALUE"""),16287.0)</f>
        <v>16287</v>
      </c>
      <c r="B1607" s="60" t="str">
        <f>IFERROR(__xludf.DUMMYFUNCTION("""COMPUTED_VALUE"""),"Tucker, Tre")</f>
        <v>Tucker, Tre</v>
      </c>
      <c r="C1607" s="60" t="str">
        <f>IFERROR(__xludf.DUMMYFUNCTION("""COMPUTED_VALUE"""),"WR")</f>
        <v>WR</v>
      </c>
      <c r="D1607" s="60" t="str">
        <f>IFERROR(__xludf.DUMMYFUNCTION("""COMPUTED_VALUE"""),"LVR")</f>
        <v>LVR</v>
      </c>
      <c r="E1607" s="62" t="str">
        <f t="shared" si="4"/>
        <v>Tre Tucker</v>
      </c>
      <c r="F1607" s="62">
        <f t="shared" ref="F1607:G1607" si="3213">IF(isblank(F$1),,IF(isblank($A1607),,IFERROR(vlookup($A1607,indirect("'TVC-"&amp;text(month(F$1),"00")&amp;"'!$A:$D"),4,false),1)))</f>
        <v>2545</v>
      </c>
      <c r="G1607" s="62">
        <f t="shared" si="3213"/>
        <v>2541</v>
      </c>
      <c r="H1607" s="62">
        <f t="shared" ref="H1607:Q1607" si="3214">IF(isblank(H$1),,IFERROR(vlookup($A1607,indirect("'TVC-"&amp;text(month(H$1),"00")&amp;"'!$A:$D"),4,false),1))</f>
        <v>2466</v>
      </c>
      <c r="I1607" s="62">
        <f t="shared" si="3214"/>
        <v>2460</v>
      </c>
      <c r="J1607" s="62">
        <f t="shared" si="3214"/>
        <v>2560</v>
      </c>
      <c r="K1607" s="62">
        <f t="shared" si="3214"/>
        <v>2439</v>
      </c>
      <c r="L1607" s="62">
        <f t="shared" si="3214"/>
        <v>2484</v>
      </c>
      <c r="M1607" s="62">
        <f t="shared" si="3214"/>
        <v>2563</v>
      </c>
      <c r="N1607" s="62">
        <f t="shared" si="3214"/>
        <v>2543</v>
      </c>
      <c r="O1607" s="62">
        <f t="shared" si="3214"/>
        <v>1</v>
      </c>
      <c r="P1607" s="62" t="str">
        <f t="shared" si="3214"/>
        <v/>
      </c>
      <c r="Q1607" s="62" t="str">
        <f t="shared" si="3214"/>
        <v/>
      </c>
      <c r="R1607" s="62">
        <f t="shared" si="7"/>
        <v>-2542</v>
      </c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</row>
    <row r="1608" hidden="1">
      <c r="A1608" s="60">
        <f>IFERROR(__xludf.DUMMYFUNCTION("""COMPUTED_VALUE"""),16288.0)</f>
        <v>16288</v>
      </c>
      <c r="B1608" s="60" t="str">
        <f>IFERROR(__xludf.DUMMYFUNCTION("""COMPUTED_VALUE"""),"Blackmon, Mekhi")</f>
        <v>Blackmon, Mekhi</v>
      </c>
      <c r="C1608" s="60" t="str">
        <f>IFERROR(__xludf.DUMMYFUNCTION("""COMPUTED_VALUE"""),"CB")</f>
        <v>CB</v>
      </c>
      <c r="D1608" s="60" t="str">
        <f>IFERROR(__xludf.DUMMYFUNCTION("""COMPUTED_VALUE"""),"CLE")</f>
        <v>CLE</v>
      </c>
      <c r="E1608" s="62" t="str">
        <f t="shared" si="4"/>
        <v>Mekhi Blackmon</v>
      </c>
      <c r="F1608" s="62">
        <f t="shared" ref="F1608:G1608" si="3215">IF(isblank(F$1),,IF(isblank($A1608),,IFERROR(vlookup($A1608,indirect("'TVC-"&amp;text(month(F$1),"00")&amp;"'!$A:$D"),4,false),1)))</f>
        <v>1</v>
      </c>
      <c r="G1608" s="62">
        <f t="shared" si="3215"/>
        <v>1</v>
      </c>
      <c r="H1608" s="62">
        <f t="shared" ref="H1608:Q1608" si="3216">IF(isblank(H$1),,IFERROR(vlookup($A1608,indirect("'TVC-"&amp;text(month(H$1),"00")&amp;"'!$A:$D"),4,false),1))</f>
        <v>1</v>
      </c>
      <c r="I1608" s="62">
        <f t="shared" si="3216"/>
        <v>1</v>
      </c>
      <c r="J1608" s="62">
        <f t="shared" si="3216"/>
        <v>1</v>
      </c>
      <c r="K1608" s="62">
        <f t="shared" si="3216"/>
        <v>1</v>
      </c>
      <c r="L1608" s="62">
        <f t="shared" si="3216"/>
        <v>1</v>
      </c>
      <c r="M1608" s="62">
        <f t="shared" si="3216"/>
        <v>1</v>
      </c>
      <c r="N1608" s="62">
        <f t="shared" si="3216"/>
        <v>1</v>
      </c>
      <c r="O1608" s="62">
        <f t="shared" si="3216"/>
        <v>1</v>
      </c>
      <c r="P1608" s="62" t="str">
        <f t="shared" si="3216"/>
        <v/>
      </c>
      <c r="Q1608" s="62" t="str">
        <f t="shared" si="3216"/>
        <v/>
      </c>
      <c r="R1608" s="62">
        <f t="shared" si="7"/>
        <v>0</v>
      </c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</row>
    <row r="1609" hidden="1">
      <c r="A1609" s="60">
        <f>IFERROR(__xludf.DUMMYFUNCTION("""COMPUTED_VALUE"""),16289.0)</f>
        <v>16289</v>
      </c>
      <c r="B1609" s="60" t="str">
        <f>IFERROR(__xludf.DUMMYFUNCTION("""COMPUTED_VALUE"""),"Bennett, Jakorian")</f>
        <v>Bennett, Jakorian</v>
      </c>
      <c r="C1609" s="60" t="str">
        <f>IFERROR(__xludf.DUMMYFUNCTION("""COMPUTED_VALUE"""),"CB")</f>
        <v>CB</v>
      </c>
      <c r="D1609" s="60" t="str">
        <f>IFERROR(__xludf.DUMMYFUNCTION("""COMPUTED_VALUE"""),"PHI")</f>
        <v>PHI</v>
      </c>
      <c r="E1609" s="62" t="str">
        <f t="shared" si="4"/>
        <v>Jakorian Bennett</v>
      </c>
      <c r="F1609" s="62">
        <f t="shared" ref="F1609:G1609" si="3217">IF(isblank(F$1),,IF(isblank($A1609),,IFERROR(vlookup($A1609,indirect("'TVC-"&amp;text(month(F$1),"00")&amp;"'!$A:$D"),4,false),1)))</f>
        <v>1</v>
      </c>
      <c r="G1609" s="62">
        <f t="shared" si="3217"/>
        <v>1</v>
      </c>
      <c r="H1609" s="62">
        <f t="shared" ref="H1609:Q1609" si="3218">IF(isblank(H$1),,IFERROR(vlookup($A1609,indirect("'TVC-"&amp;text(month(H$1),"00")&amp;"'!$A:$D"),4,false),1))</f>
        <v>1</v>
      </c>
      <c r="I1609" s="62">
        <f t="shared" si="3218"/>
        <v>1</v>
      </c>
      <c r="J1609" s="62">
        <f t="shared" si="3218"/>
        <v>1</v>
      </c>
      <c r="K1609" s="62">
        <f t="shared" si="3218"/>
        <v>1</v>
      </c>
      <c r="L1609" s="62">
        <f t="shared" si="3218"/>
        <v>1</v>
      </c>
      <c r="M1609" s="62">
        <f t="shared" si="3218"/>
        <v>1</v>
      </c>
      <c r="N1609" s="62">
        <f t="shared" si="3218"/>
        <v>1</v>
      </c>
      <c r="O1609" s="62">
        <f t="shared" si="3218"/>
        <v>1</v>
      </c>
      <c r="P1609" s="62" t="str">
        <f t="shared" si="3218"/>
        <v/>
      </c>
      <c r="Q1609" s="62" t="str">
        <f t="shared" si="3218"/>
        <v/>
      </c>
      <c r="R1609" s="62">
        <f t="shared" si="7"/>
        <v>0</v>
      </c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</row>
    <row r="1610" hidden="1">
      <c r="A1610" s="60">
        <f>IFERROR(__xludf.DUMMYFUNCTION("""COMPUTED_VALUE"""),16290.0)</f>
        <v>16290</v>
      </c>
      <c r="B1610" s="60" t="str">
        <f>IFERROR(__xludf.DUMMYFUNCTION("""COMPUTED_VALUE"""),"Horton, Dylan")</f>
        <v>Horton, Dylan</v>
      </c>
      <c r="C1610" s="60" t="str">
        <f>IFERROR(__xludf.DUMMYFUNCTION("""COMPUTED_VALUE"""),"DE")</f>
        <v>DE</v>
      </c>
      <c r="D1610" s="60" t="str">
        <f>IFERROR(__xludf.DUMMYFUNCTION("""COMPUTED_VALUE"""),"HOU")</f>
        <v>HOU</v>
      </c>
      <c r="E1610" s="62" t="str">
        <f t="shared" si="4"/>
        <v>Dylan Horton</v>
      </c>
      <c r="F1610" s="62">
        <f t="shared" ref="F1610:G1610" si="3219">IF(isblank(F$1),,IF(isblank($A1610),,IFERROR(vlookup($A1610,indirect("'TVC-"&amp;text(month(F$1),"00")&amp;"'!$A:$D"),4,false),1)))</f>
        <v>1</v>
      </c>
      <c r="G1610" s="62">
        <f t="shared" si="3219"/>
        <v>1</v>
      </c>
      <c r="H1610" s="62">
        <f t="shared" ref="H1610:Q1610" si="3220">IF(isblank(H$1),,IFERROR(vlookup($A1610,indirect("'TVC-"&amp;text(month(H$1),"00")&amp;"'!$A:$D"),4,false),1))</f>
        <v>1</v>
      </c>
      <c r="I1610" s="62">
        <f t="shared" si="3220"/>
        <v>1</v>
      </c>
      <c r="J1610" s="62">
        <f t="shared" si="3220"/>
        <v>1</v>
      </c>
      <c r="K1610" s="62">
        <f t="shared" si="3220"/>
        <v>1</v>
      </c>
      <c r="L1610" s="62">
        <f t="shared" si="3220"/>
        <v>1</v>
      </c>
      <c r="M1610" s="62">
        <f t="shared" si="3220"/>
        <v>1</v>
      </c>
      <c r="N1610" s="62">
        <f t="shared" si="3220"/>
        <v>1</v>
      </c>
      <c r="O1610" s="62">
        <f t="shared" si="3220"/>
        <v>1</v>
      </c>
      <c r="P1610" s="62" t="str">
        <f t="shared" si="3220"/>
        <v/>
      </c>
      <c r="Q1610" s="62" t="str">
        <f t="shared" si="3220"/>
        <v/>
      </c>
      <c r="R1610" s="62">
        <f t="shared" si="7"/>
        <v>0</v>
      </c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</row>
    <row r="1611" hidden="1">
      <c r="A1611" s="60">
        <f>IFERROR(__xludf.DUMMYFUNCTION("""COMPUTED_VALUE"""),16291.0)</f>
        <v>16291</v>
      </c>
      <c r="B1611" s="60" t="str">
        <f>IFERROR(__xludf.DUMMYFUNCTION("""COMPUTED_VALUE"""),"Adebawore, Adetomiwa")</f>
        <v>Adebawore, Adetomiwa</v>
      </c>
      <c r="C1611" s="60" t="str">
        <f>IFERROR(__xludf.DUMMYFUNCTION("""COMPUTED_VALUE"""),"DT")</f>
        <v>DT</v>
      </c>
      <c r="D1611" s="60" t="str">
        <f>IFERROR(__xludf.DUMMYFUNCTION("""COMPUTED_VALUE"""),"IND")</f>
        <v>IND</v>
      </c>
      <c r="E1611" s="62" t="str">
        <f t="shared" si="4"/>
        <v>Adetomiwa Adebawore</v>
      </c>
      <c r="F1611" s="62">
        <f t="shared" ref="F1611:G1611" si="3221">IF(isblank(F$1),,IF(isblank($A1611),,IFERROR(vlookup($A1611,indirect("'TVC-"&amp;text(month(F$1),"00")&amp;"'!$A:$D"),4,false),1)))</f>
        <v>1</v>
      </c>
      <c r="G1611" s="62">
        <f t="shared" si="3221"/>
        <v>1</v>
      </c>
      <c r="H1611" s="62">
        <f t="shared" ref="H1611:Q1611" si="3222">IF(isblank(H$1),,IFERROR(vlookup($A1611,indirect("'TVC-"&amp;text(month(H$1),"00")&amp;"'!$A:$D"),4,false),1))</f>
        <v>1</v>
      </c>
      <c r="I1611" s="62">
        <f t="shared" si="3222"/>
        <v>1</v>
      </c>
      <c r="J1611" s="62">
        <f t="shared" si="3222"/>
        <v>1</v>
      </c>
      <c r="K1611" s="62">
        <f t="shared" si="3222"/>
        <v>1</v>
      </c>
      <c r="L1611" s="62">
        <f t="shared" si="3222"/>
        <v>1</v>
      </c>
      <c r="M1611" s="62">
        <f t="shared" si="3222"/>
        <v>1</v>
      </c>
      <c r="N1611" s="62">
        <f t="shared" si="3222"/>
        <v>1</v>
      </c>
      <c r="O1611" s="62">
        <f t="shared" si="3222"/>
        <v>1</v>
      </c>
      <c r="P1611" s="62" t="str">
        <f t="shared" si="3222"/>
        <v/>
      </c>
      <c r="Q1611" s="62" t="str">
        <f t="shared" si="3222"/>
        <v/>
      </c>
      <c r="R1611" s="62">
        <f t="shared" si="7"/>
        <v>0</v>
      </c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</row>
    <row r="1612" hidden="1">
      <c r="A1612" s="60">
        <f>IFERROR(__xludf.DUMMYFUNCTION("""COMPUTED_VALUE"""),16292.0)</f>
        <v>16292</v>
      </c>
      <c r="B1612" s="60" t="str">
        <f>IFERROR(__xludf.DUMMYFUNCTION("""COMPUTED_VALUE"""),"Ryland, Chad")</f>
        <v>Ryland, Chad</v>
      </c>
      <c r="C1612" s="60" t="str">
        <f>IFERROR(__xludf.DUMMYFUNCTION("""COMPUTED_VALUE"""),"PK")</f>
        <v>PK</v>
      </c>
      <c r="D1612" s="60" t="str">
        <f>IFERROR(__xludf.DUMMYFUNCTION("""COMPUTED_VALUE"""),"ARI")</f>
        <v>ARI</v>
      </c>
      <c r="E1612" s="62" t="str">
        <f t="shared" si="4"/>
        <v>Chad Ryland</v>
      </c>
      <c r="F1612" s="62">
        <f t="shared" ref="F1612:G1612" si="3223">IF(isblank(F$1),,IF(isblank($A1612),,IFERROR(vlookup($A1612,indirect("'TVC-"&amp;text(month(F$1),"00")&amp;"'!$A:$D"),4,false),1)))</f>
        <v>1</v>
      </c>
      <c r="G1612" s="62">
        <f t="shared" si="3223"/>
        <v>1</v>
      </c>
      <c r="H1612" s="62">
        <f t="shared" ref="H1612:Q1612" si="3224">IF(isblank(H$1),,IFERROR(vlookup($A1612,indirect("'TVC-"&amp;text(month(H$1),"00")&amp;"'!$A:$D"),4,false),1))</f>
        <v>1</v>
      </c>
      <c r="I1612" s="62">
        <f t="shared" si="3224"/>
        <v>1</v>
      </c>
      <c r="J1612" s="62">
        <f t="shared" si="3224"/>
        <v>1</v>
      </c>
      <c r="K1612" s="62">
        <f t="shared" si="3224"/>
        <v>1</v>
      </c>
      <c r="L1612" s="62">
        <f t="shared" si="3224"/>
        <v>1</v>
      </c>
      <c r="M1612" s="62">
        <f t="shared" si="3224"/>
        <v>1</v>
      </c>
      <c r="N1612" s="62">
        <f t="shared" si="3224"/>
        <v>1</v>
      </c>
      <c r="O1612" s="62">
        <f t="shared" si="3224"/>
        <v>1</v>
      </c>
      <c r="P1612" s="62" t="str">
        <f t="shared" si="3224"/>
        <v/>
      </c>
      <c r="Q1612" s="62" t="str">
        <f t="shared" si="3224"/>
        <v/>
      </c>
      <c r="R1612" s="62">
        <f t="shared" si="7"/>
        <v>0</v>
      </c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</row>
    <row r="1613" hidden="1">
      <c r="A1613" s="60">
        <f>IFERROR(__xludf.DUMMYFUNCTION("""COMPUTED_VALUE"""),16293.0)</f>
        <v>16293</v>
      </c>
      <c r="B1613" s="60" t="str">
        <f>IFERROR(__xludf.DUMMYFUNCTION("""COMPUTED_VALUE"""),"Phillips, Clark")</f>
        <v>Phillips, Clark</v>
      </c>
      <c r="C1613" s="60" t="str">
        <f>IFERROR(__xludf.DUMMYFUNCTION("""COMPUTED_VALUE"""),"CB")</f>
        <v>CB</v>
      </c>
      <c r="D1613" s="60" t="str">
        <f>IFERROR(__xludf.DUMMYFUNCTION("""COMPUTED_VALUE"""),"CHI")</f>
        <v>CHI</v>
      </c>
      <c r="E1613" s="62" t="str">
        <f t="shared" si="4"/>
        <v>Clark Phillips</v>
      </c>
      <c r="F1613" s="62">
        <f t="shared" ref="F1613:G1613" si="3225">IF(isblank(F$1),,IF(isblank($A1613),,IFERROR(vlookup($A1613,indirect("'TVC-"&amp;text(month(F$1),"00")&amp;"'!$A:$D"),4,false),1)))</f>
        <v>1</v>
      </c>
      <c r="G1613" s="62">
        <f t="shared" si="3225"/>
        <v>1</v>
      </c>
      <c r="H1613" s="62">
        <f t="shared" ref="H1613:Q1613" si="3226">IF(isblank(H$1),,IFERROR(vlookup($A1613,indirect("'TVC-"&amp;text(month(H$1),"00")&amp;"'!$A:$D"),4,false),1))</f>
        <v>1</v>
      </c>
      <c r="I1613" s="62">
        <f t="shared" si="3226"/>
        <v>1</v>
      </c>
      <c r="J1613" s="62">
        <f t="shared" si="3226"/>
        <v>1</v>
      </c>
      <c r="K1613" s="62">
        <f t="shared" si="3226"/>
        <v>1</v>
      </c>
      <c r="L1613" s="62">
        <f t="shared" si="3226"/>
        <v>1</v>
      </c>
      <c r="M1613" s="62">
        <f t="shared" si="3226"/>
        <v>1</v>
      </c>
      <c r="N1613" s="62">
        <f t="shared" si="3226"/>
        <v>1</v>
      </c>
      <c r="O1613" s="62">
        <f t="shared" si="3226"/>
        <v>1</v>
      </c>
      <c r="P1613" s="62" t="str">
        <f t="shared" si="3226"/>
        <v/>
      </c>
      <c r="Q1613" s="62" t="str">
        <f t="shared" si="3226"/>
        <v/>
      </c>
      <c r="R1613" s="62">
        <f t="shared" si="7"/>
        <v>0</v>
      </c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</row>
    <row r="1614" hidden="1">
      <c r="A1614" s="60">
        <f>IFERROR(__xludf.DUMMYFUNCTION("""COMPUTED_VALUE"""),16294.0)</f>
        <v>16294</v>
      </c>
      <c r="B1614" s="60" t="str">
        <f>IFERROR(__xludf.DUMMYFUNCTION("""COMPUTED_VALUE"""),"Wooden, Colby")</f>
        <v>Wooden, Colby</v>
      </c>
      <c r="C1614" s="60" t="str">
        <f>IFERROR(__xludf.DUMMYFUNCTION("""COMPUTED_VALUE"""),"DT")</f>
        <v>DT</v>
      </c>
      <c r="D1614" s="60" t="str">
        <f>IFERROR(__xludf.DUMMYFUNCTION("""COMPUTED_VALUE"""),"NOS")</f>
        <v>NOS</v>
      </c>
      <c r="E1614" s="62" t="str">
        <f t="shared" si="4"/>
        <v>Colby Wooden</v>
      </c>
      <c r="F1614" s="62">
        <f t="shared" ref="F1614:G1614" si="3227">IF(isblank(F$1),,IF(isblank($A1614),,IFERROR(vlookup($A1614,indirect("'TVC-"&amp;text(month(F$1),"00")&amp;"'!$A:$D"),4,false),1)))</f>
        <v>1</v>
      </c>
      <c r="G1614" s="62">
        <f t="shared" si="3227"/>
        <v>1</v>
      </c>
      <c r="H1614" s="62">
        <f t="shared" ref="H1614:Q1614" si="3228">IF(isblank(H$1),,IFERROR(vlookup($A1614,indirect("'TVC-"&amp;text(month(H$1),"00")&amp;"'!$A:$D"),4,false),1))</f>
        <v>1</v>
      </c>
      <c r="I1614" s="62">
        <f t="shared" si="3228"/>
        <v>1</v>
      </c>
      <c r="J1614" s="62">
        <f t="shared" si="3228"/>
        <v>1</v>
      </c>
      <c r="K1614" s="62">
        <f t="shared" si="3228"/>
        <v>1</v>
      </c>
      <c r="L1614" s="62">
        <f t="shared" si="3228"/>
        <v>1</v>
      </c>
      <c r="M1614" s="62">
        <f t="shared" si="3228"/>
        <v>1</v>
      </c>
      <c r="N1614" s="62">
        <f t="shared" si="3228"/>
        <v>1</v>
      </c>
      <c r="O1614" s="62">
        <f t="shared" si="3228"/>
        <v>1</v>
      </c>
      <c r="P1614" s="62" t="str">
        <f t="shared" si="3228"/>
        <v/>
      </c>
      <c r="Q1614" s="62" t="str">
        <f t="shared" si="3228"/>
        <v/>
      </c>
      <c r="R1614" s="62">
        <f t="shared" si="7"/>
        <v>0</v>
      </c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</row>
    <row r="1615" hidden="1">
      <c r="A1615" s="60">
        <f>IFERROR(__xludf.DUMMYFUNCTION("""COMPUTED_VALUE"""),16295.0)</f>
        <v>16295</v>
      </c>
      <c r="B1615" s="60" t="str">
        <f>IFERROR(__xludf.DUMMYFUNCTION("""COMPUTED_VALUE"""),"Conner, Chamarri")</f>
        <v>Conner, Chamarri</v>
      </c>
      <c r="C1615" s="60" t="str">
        <f>IFERROR(__xludf.DUMMYFUNCTION("""COMPUTED_VALUE"""),"S")</f>
        <v>S</v>
      </c>
      <c r="D1615" s="60" t="str">
        <f>IFERROR(__xludf.DUMMYFUNCTION("""COMPUTED_VALUE"""),"KCC")</f>
        <v>KCC</v>
      </c>
      <c r="E1615" s="62" t="str">
        <f t="shared" si="4"/>
        <v>Chamarri Conner</v>
      </c>
      <c r="F1615" s="62">
        <f t="shared" ref="F1615:G1615" si="3229">IF(isblank(F$1),,IF(isblank($A1615),,IFERROR(vlookup($A1615,indirect("'TVC-"&amp;text(month(F$1),"00")&amp;"'!$A:$D"),4,false),1)))</f>
        <v>1</v>
      </c>
      <c r="G1615" s="62">
        <f t="shared" si="3229"/>
        <v>1</v>
      </c>
      <c r="H1615" s="62">
        <f t="shared" ref="H1615:Q1615" si="3230">IF(isblank(H$1),,IFERROR(vlookup($A1615,indirect("'TVC-"&amp;text(month(H$1),"00")&amp;"'!$A:$D"),4,false),1))</f>
        <v>1</v>
      </c>
      <c r="I1615" s="62">
        <f t="shared" si="3230"/>
        <v>1</v>
      </c>
      <c r="J1615" s="62">
        <f t="shared" si="3230"/>
        <v>1</v>
      </c>
      <c r="K1615" s="62">
        <f t="shared" si="3230"/>
        <v>1</v>
      </c>
      <c r="L1615" s="62">
        <f t="shared" si="3230"/>
        <v>1</v>
      </c>
      <c r="M1615" s="62">
        <f t="shared" si="3230"/>
        <v>1</v>
      </c>
      <c r="N1615" s="62">
        <f t="shared" si="3230"/>
        <v>1</v>
      </c>
      <c r="O1615" s="62">
        <f t="shared" si="3230"/>
        <v>1</v>
      </c>
      <c r="P1615" s="62" t="str">
        <f t="shared" si="3230"/>
        <v/>
      </c>
      <c r="Q1615" s="62" t="str">
        <f t="shared" si="3230"/>
        <v/>
      </c>
      <c r="R1615" s="62">
        <f t="shared" si="7"/>
        <v>0</v>
      </c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</row>
    <row r="1616" hidden="1">
      <c r="A1616" s="60">
        <f>IFERROR(__xludf.DUMMYFUNCTION("""COMPUTED_VALUE"""),16296.0)</f>
        <v>16296</v>
      </c>
      <c r="B1616" s="60" t="str">
        <f>IFERROR(__xludf.DUMMYFUNCTION("""COMPUTED_VALUE"""),"Miller, Ventrell")</f>
        <v>Miller, Ventrell</v>
      </c>
      <c r="C1616" s="60" t="str">
        <f>IFERROR(__xludf.DUMMYFUNCTION("""COMPUTED_VALUE"""),"LB")</f>
        <v>LB</v>
      </c>
      <c r="D1616" s="60" t="str">
        <f>IFERROR(__xludf.DUMMYFUNCTION("""COMPUTED_VALUE"""),"JAC")</f>
        <v>JAC</v>
      </c>
      <c r="E1616" s="62" t="str">
        <f t="shared" si="4"/>
        <v>Ventrell Miller</v>
      </c>
      <c r="F1616" s="62">
        <f t="shared" ref="F1616:G1616" si="3231">IF(isblank(F$1),,IF(isblank($A1616),,IFERROR(vlookup($A1616,indirect("'TVC-"&amp;text(month(F$1),"00")&amp;"'!$A:$D"),4,false),1)))</f>
        <v>1</v>
      </c>
      <c r="G1616" s="62">
        <f t="shared" si="3231"/>
        <v>1</v>
      </c>
      <c r="H1616" s="62">
        <f t="shared" ref="H1616:Q1616" si="3232">IF(isblank(H$1),,IFERROR(vlookup($A1616,indirect("'TVC-"&amp;text(month(H$1),"00")&amp;"'!$A:$D"),4,false),1))</f>
        <v>1</v>
      </c>
      <c r="I1616" s="62">
        <f t="shared" si="3232"/>
        <v>1</v>
      </c>
      <c r="J1616" s="62">
        <f t="shared" si="3232"/>
        <v>1</v>
      </c>
      <c r="K1616" s="62">
        <f t="shared" si="3232"/>
        <v>1</v>
      </c>
      <c r="L1616" s="62">
        <f t="shared" si="3232"/>
        <v>1</v>
      </c>
      <c r="M1616" s="62">
        <f t="shared" si="3232"/>
        <v>1</v>
      </c>
      <c r="N1616" s="62">
        <f t="shared" si="3232"/>
        <v>1</v>
      </c>
      <c r="O1616" s="62">
        <f t="shared" si="3232"/>
        <v>1</v>
      </c>
      <c r="P1616" s="62" t="str">
        <f t="shared" si="3232"/>
        <v/>
      </c>
      <c r="Q1616" s="62" t="str">
        <f t="shared" si="3232"/>
        <v/>
      </c>
      <c r="R1616" s="62">
        <f t="shared" si="7"/>
        <v>0</v>
      </c>
      <c r="S1616" s="62"/>
      <c r="T1616" s="62"/>
      <c r="U1616" s="62"/>
      <c r="V1616" s="62"/>
      <c r="W1616" s="62"/>
      <c r="X1616" s="62"/>
      <c r="Y1616" s="62"/>
      <c r="Z1616" s="62"/>
      <c r="AA1616" s="62"/>
      <c r="AB1616" s="62"/>
      <c r="AC1616" s="62"/>
    </row>
    <row r="1617" hidden="1">
      <c r="A1617" s="60">
        <f>IFERROR(__xludf.DUMMYFUNCTION("""COMPUTED_VALUE"""),16298.0)</f>
        <v>16298</v>
      </c>
      <c r="B1617" s="60" t="str">
        <f>IFERROR(__xludf.DUMMYFUNCTION("""COMPUTED_VALUE"""),"Robinson, Tavius")</f>
        <v>Robinson, Tavius</v>
      </c>
      <c r="C1617" s="60" t="str">
        <f>IFERROR(__xludf.DUMMYFUNCTION("""COMPUTED_VALUE"""),"DE")</f>
        <v>DE</v>
      </c>
      <c r="D1617" s="60" t="str">
        <f>IFERROR(__xludf.DUMMYFUNCTION("""COMPUTED_VALUE"""),"BAL")</f>
        <v>BAL</v>
      </c>
      <c r="E1617" s="62" t="str">
        <f t="shared" si="4"/>
        <v>Tavius Robinson</v>
      </c>
      <c r="F1617" s="62">
        <f t="shared" ref="F1617:G1617" si="3233">IF(isblank(F$1),,IF(isblank($A1617),,IFERROR(vlookup($A1617,indirect("'TVC-"&amp;text(month(F$1),"00")&amp;"'!$A:$D"),4,false),1)))</f>
        <v>1</v>
      </c>
      <c r="G1617" s="62">
        <f t="shared" si="3233"/>
        <v>1</v>
      </c>
      <c r="H1617" s="62">
        <f t="shared" ref="H1617:Q1617" si="3234">IF(isblank(H$1),,IFERROR(vlookup($A1617,indirect("'TVC-"&amp;text(month(H$1),"00")&amp;"'!$A:$D"),4,false),1))</f>
        <v>1</v>
      </c>
      <c r="I1617" s="62">
        <f t="shared" si="3234"/>
        <v>1</v>
      </c>
      <c r="J1617" s="62">
        <f t="shared" si="3234"/>
        <v>1</v>
      </c>
      <c r="K1617" s="62">
        <f t="shared" si="3234"/>
        <v>1</v>
      </c>
      <c r="L1617" s="62">
        <f t="shared" si="3234"/>
        <v>1</v>
      </c>
      <c r="M1617" s="62">
        <f t="shared" si="3234"/>
        <v>1</v>
      </c>
      <c r="N1617" s="62">
        <f t="shared" si="3234"/>
        <v>1</v>
      </c>
      <c r="O1617" s="62">
        <f t="shared" si="3234"/>
        <v>1</v>
      </c>
      <c r="P1617" s="62" t="str">
        <f t="shared" si="3234"/>
        <v/>
      </c>
      <c r="Q1617" s="62" t="str">
        <f t="shared" si="3234"/>
        <v/>
      </c>
      <c r="R1617" s="62">
        <f t="shared" si="7"/>
        <v>0</v>
      </c>
      <c r="S1617" s="62"/>
      <c r="T1617" s="62"/>
      <c r="U1617" s="62"/>
      <c r="V1617" s="62"/>
      <c r="W1617" s="62"/>
      <c r="X1617" s="62"/>
      <c r="Y1617" s="62"/>
      <c r="Z1617" s="62"/>
      <c r="AA1617" s="62"/>
      <c r="AB1617" s="62"/>
      <c r="AC1617" s="62"/>
    </row>
    <row r="1618" hidden="1">
      <c r="A1618" s="60">
        <f>IFERROR(__xludf.DUMMYFUNCTION("""COMPUTED_VALUE"""),16299.0)</f>
        <v>16299</v>
      </c>
      <c r="B1618" s="60" t="str">
        <f>IFERROR(__xludf.DUMMYFUNCTION("""COMPUTED_VALUE"""),"Davis, Derius")</f>
        <v>Davis, Derius</v>
      </c>
      <c r="C1618" s="60" t="str">
        <f>IFERROR(__xludf.DUMMYFUNCTION("""COMPUTED_VALUE"""),"WR")</f>
        <v>WR</v>
      </c>
      <c r="D1618" s="60" t="str">
        <f>IFERROR(__xludf.DUMMYFUNCTION("""COMPUTED_VALUE"""),"LAC")</f>
        <v>LAC</v>
      </c>
      <c r="E1618" s="62" t="str">
        <f t="shared" si="4"/>
        <v>Derius Davis</v>
      </c>
      <c r="F1618" s="62">
        <f t="shared" ref="F1618:G1618" si="3235">IF(isblank(F$1),,IF(isblank($A1618),,IFERROR(vlookup($A1618,indirect("'TVC-"&amp;text(month(F$1),"00")&amp;"'!$A:$D"),4,false),1)))</f>
        <v>709</v>
      </c>
      <c r="G1618" s="62">
        <f t="shared" si="3235"/>
        <v>1</v>
      </c>
      <c r="H1618" s="62">
        <f t="shared" ref="H1618:Q1618" si="3236">IF(isblank(H$1),,IFERROR(vlookup($A1618,indirect("'TVC-"&amp;text(month(H$1),"00")&amp;"'!$A:$D"),4,false),1))</f>
        <v>1</v>
      </c>
      <c r="I1618" s="62">
        <f t="shared" si="3236"/>
        <v>1</v>
      </c>
      <c r="J1618" s="62">
        <f t="shared" si="3236"/>
        <v>1</v>
      </c>
      <c r="K1618" s="62">
        <f t="shared" si="3236"/>
        <v>496</v>
      </c>
      <c r="L1618" s="62">
        <f t="shared" si="3236"/>
        <v>506</v>
      </c>
      <c r="M1618" s="62">
        <f t="shared" si="3236"/>
        <v>633</v>
      </c>
      <c r="N1618" s="62">
        <f t="shared" si="3236"/>
        <v>486</v>
      </c>
      <c r="O1618" s="62">
        <f t="shared" si="3236"/>
        <v>1</v>
      </c>
      <c r="P1618" s="62" t="str">
        <f t="shared" si="3236"/>
        <v/>
      </c>
      <c r="Q1618" s="62" t="str">
        <f t="shared" si="3236"/>
        <v/>
      </c>
      <c r="R1618" s="62">
        <f t="shared" si="7"/>
        <v>-485</v>
      </c>
      <c r="S1618" s="62"/>
      <c r="T1618" s="62"/>
      <c r="U1618" s="62"/>
      <c r="V1618" s="62"/>
      <c r="W1618" s="62"/>
      <c r="X1618" s="62"/>
      <c r="Y1618" s="62"/>
      <c r="Z1618" s="62"/>
      <c r="AA1618" s="62"/>
      <c r="AB1618" s="62"/>
      <c r="AC1618" s="62"/>
    </row>
    <row r="1619" hidden="1">
      <c r="A1619" s="60">
        <f>IFERROR(__xludf.DUMMYFUNCTION("""COMPUTED_VALUE"""),16300.0)</f>
        <v>16300</v>
      </c>
      <c r="B1619" s="60" t="str">
        <f>IFERROR(__xludf.DUMMYFUNCTION("""COMPUTED_VALUE"""),"McGuire, Isaiah")</f>
        <v>McGuire, Isaiah</v>
      </c>
      <c r="C1619" s="60" t="str">
        <f>IFERROR(__xludf.DUMMYFUNCTION("""COMPUTED_VALUE"""),"DE")</f>
        <v>DE</v>
      </c>
      <c r="D1619" s="60" t="str">
        <f>IFERROR(__xludf.DUMMYFUNCTION("""COMPUTED_VALUE"""),"CLE")</f>
        <v>CLE</v>
      </c>
      <c r="E1619" s="62" t="str">
        <f t="shared" si="4"/>
        <v>Isaiah McGuire</v>
      </c>
      <c r="F1619" s="62">
        <f t="shared" ref="F1619:G1619" si="3237">IF(isblank(F$1),,IF(isblank($A1619),,IFERROR(vlookup($A1619,indirect("'TVC-"&amp;text(month(F$1),"00")&amp;"'!$A:$D"),4,false),1)))</f>
        <v>1</v>
      </c>
      <c r="G1619" s="62">
        <f t="shared" si="3237"/>
        <v>1</v>
      </c>
      <c r="H1619" s="62">
        <f t="shared" ref="H1619:Q1619" si="3238">IF(isblank(H$1),,IFERROR(vlookup($A1619,indirect("'TVC-"&amp;text(month(H$1),"00")&amp;"'!$A:$D"),4,false),1))</f>
        <v>1</v>
      </c>
      <c r="I1619" s="62">
        <f t="shared" si="3238"/>
        <v>1</v>
      </c>
      <c r="J1619" s="62">
        <f t="shared" si="3238"/>
        <v>1</v>
      </c>
      <c r="K1619" s="62">
        <f t="shared" si="3238"/>
        <v>1</v>
      </c>
      <c r="L1619" s="62">
        <f t="shared" si="3238"/>
        <v>1</v>
      </c>
      <c r="M1619" s="62">
        <f t="shared" si="3238"/>
        <v>1</v>
      </c>
      <c r="N1619" s="62">
        <f t="shared" si="3238"/>
        <v>1</v>
      </c>
      <c r="O1619" s="62">
        <f t="shared" si="3238"/>
        <v>1</v>
      </c>
      <c r="P1619" s="62" t="str">
        <f t="shared" si="3238"/>
        <v/>
      </c>
      <c r="Q1619" s="62" t="str">
        <f t="shared" si="3238"/>
        <v/>
      </c>
      <c r="R1619" s="62">
        <f t="shared" si="7"/>
        <v>0</v>
      </c>
      <c r="S1619" s="62"/>
      <c r="T1619" s="62"/>
      <c r="U1619" s="62"/>
      <c r="V1619" s="62"/>
      <c r="W1619" s="62"/>
      <c r="X1619" s="62"/>
      <c r="Y1619" s="62"/>
      <c r="Z1619" s="62"/>
      <c r="AA1619" s="62"/>
      <c r="AB1619" s="62"/>
      <c r="AC1619" s="62"/>
    </row>
    <row r="1620" hidden="1">
      <c r="A1620" s="60">
        <f>IFERROR(__xludf.DUMMYFUNCTION("""COMPUTED_VALUE"""),16302.0)</f>
        <v>16302</v>
      </c>
      <c r="B1620" s="60" t="str">
        <f>IFERROR(__xludf.DUMMYFUNCTION("""COMPUTED_VALUE"""),"Lacy, Tyler")</f>
        <v>Lacy, Tyler</v>
      </c>
      <c r="C1620" s="60" t="str">
        <f>IFERROR(__xludf.DUMMYFUNCTION("""COMPUTED_VALUE"""),"DT")</f>
        <v>DT</v>
      </c>
      <c r="D1620" s="60" t="str">
        <f>IFERROR(__xludf.DUMMYFUNCTION("""COMPUTED_VALUE"""),"DET")</f>
        <v>DET</v>
      </c>
      <c r="E1620" s="62" t="str">
        <f t="shared" si="4"/>
        <v>Tyler Lacy</v>
      </c>
      <c r="F1620" s="62">
        <f t="shared" ref="F1620:G1620" si="3239">IF(isblank(F$1),,IF(isblank($A1620),,IFERROR(vlookup($A1620,indirect("'TVC-"&amp;text(month(F$1),"00")&amp;"'!$A:$D"),4,false),1)))</f>
        <v>1</v>
      </c>
      <c r="G1620" s="62">
        <f t="shared" si="3239"/>
        <v>1</v>
      </c>
      <c r="H1620" s="62">
        <f t="shared" ref="H1620:Q1620" si="3240">IF(isblank(H$1),,IFERROR(vlookup($A1620,indirect("'TVC-"&amp;text(month(H$1),"00")&amp;"'!$A:$D"),4,false),1))</f>
        <v>1</v>
      </c>
      <c r="I1620" s="62">
        <f t="shared" si="3240"/>
        <v>1</v>
      </c>
      <c r="J1620" s="62">
        <f t="shared" si="3240"/>
        <v>1</v>
      </c>
      <c r="K1620" s="62">
        <f t="shared" si="3240"/>
        <v>1</v>
      </c>
      <c r="L1620" s="62">
        <f t="shared" si="3240"/>
        <v>1</v>
      </c>
      <c r="M1620" s="62">
        <f t="shared" si="3240"/>
        <v>1</v>
      </c>
      <c r="N1620" s="62">
        <f t="shared" si="3240"/>
        <v>1</v>
      </c>
      <c r="O1620" s="62">
        <f t="shared" si="3240"/>
        <v>1</v>
      </c>
      <c r="P1620" s="62" t="str">
        <f t="shared" si="3240"/>
        <v/>
      </c>
      <c r="Q1620" s="62" t="str">
        <f t="shared" si="3240"/>
        <v/>
      </c>
      <c r="R1620" s="62">
        <f t="shared" si="7"/>
        <v>0</v>
      </c>
      <c r="S1620" s="62"/>
      <c r="T1620" s="62"/>
      <c r="U1620" s="62"/>
      <c r="V1620" s="62"/>
      <c r="W1620" s="62"/>
      <c r="X1620" s="62"/>
      <c r="Y1620" s="62"/>
      <c r="Z1620" s="62"/>
      <c r="AA1620" s="62"/>
      <c r="AB1620" s="62"/>
      <c r="AC1620" s="62"/>
    </row>
    <row r="1621" hidden="1">
      <c r="A1621" s="60">
        <f>IFERROR(__xludf.DUMMYFUNCTION("""COMPUTED_VALUE"""),16303.0)</f>
        <v>16303</v>
      </c>
      <c r="B1621" s="60" t="str">
        <f>IFERROR(__xludf.DUMMYFUNCTION("""COMPUTED_VALUE"""),"Herbig, Nick")</f>
        <v>Herbig, Nick</v>
      </c>
      <c r="C1621" s="60" t="str">
        <f>IFERROR(__xludf.DUMMYFUNCTION("""COMPUTED_VALUE"""),"DE")</f>
        <v>DE</v>
      </c>
      <c r="D1621" s="60" t="str">
        <f>IFERROR(__xludf.DUMMYFUNCTION("""COMPUTED_VALUE"""),"PIT")</f>
        <v>PIT</v>
      </c>
      <c r="E1621" s="62" t="str">
        <f t="shared" si="4"/>
        <v>Nick Herbig</v>
      </c>
      <c r="F1621" s="62">
        <f t="shared" ref="F1621:G1621" si="3241">IF(isblank(F$1),,IF(isblank($A1621),,IFERROR(vlookup($A1621,indirect("'TVC-"&amp;text(month(F$1),"00")&amp;"'!$A:$D"),4,false),1)))</f>
        <v>1</v>
      </c>
      <c r="G1621" s="62">
        <f t="shared" si="3241"/>
        <v>1</v>
      </c>
      <c r="H1621" s="62">
        <f t="shared" ref="H1621:Q1621" si="3242">IF(isblank(H$1),,IFERROR(vlookup($A1621,indirect("'TVC-"&amp;text(month(H$1),"00")&amp;"'!$A:$D"),4,false),1))</f>
        <v>1</v>
      </c>
      <c r="I1621" s="62">
        <f t="shared" si="3242"/>
        <v>1</v>
      </c>
      <c r="J1621" s="62">
        <f t="shared" si="3242"/>
        <v>1</v>
      </c>
      <c r="K1621" s="62">
        <f t="shared" si="3242"/>
        <v>1</v>
      </c>
      <c r="L1621" s="62">
        <f t="shared" si="3242"/>
        <v>1</v>
      </c>
      <c r="M1621" s="62">
        <f t="shared" si="3242"/>
        <v>1</v>
      </c>
      <c r="N1621" s="62">
        <f t="shared" si="3242"/>
        <v>1</v>
      </c>
      <c r="O1621" s="62">
        <f t="shared" si="3242"/>
        <v>1</v>
      </c>
      <c r="P1621" s="62" t="str">
        <f t="shared" si="3242"/>
        <v/>
      </c>
      <c r="Q1621" s="62" t="str">
        <f t="shared" si="3242"/>
        <v/>
      </c>
      <c r="R1621" s="62">
        <f t="shared" si="7"/>
        <v>0</v>
      </c>
      <c r="S1621" s="62"/>
      <c r="T1621" s="62"/>
      <c r="U1621" s="62"/>
      <c r="V1621" s="62"/>
      <c r="W1621" s="62"/>
      <c r="X1621" s="62"/>
      <c r="Y1621" s="62"/>
      <c r="Z1621" s="62"/>
      <c r="AA1621" s="62"/>
      <c r="AB1621" s="62"/>
      <c r="AC1621" s="62"/>
    </row>
    <row r="1622" hidden="1">
      <c r="A1622" s="60">
        <f>IFERROR(__xludf.DUMMYFUNCTION("""COMPUTED_VALUE"""),16304.0)</f>
        <v>16304</v>
      </c>
      <c r="B1622" s="60" t="str">
        <f>IFERROR(__xludf.DUMMYFUNCTION("""COMPUTED_VALUE"""),"Ward, Jay")</f>
        <v>Ward, Jay</v>
      </c>
      <c r="C1622" s="60" t="str">
        <f>IFERROR(__xludf.DUMMYFUNCTION("""COMPUTED_VALUE"""),"S")</f>
        <v>S</v>
      </c>
      <c r="D1622" s="60" t="str">
        <f>IFERROR(__xludf.DUMMYFUNCTION("""COMPUTED_VALUE"""),"MIN")</f>
        <v>MIN</v>
      </c>
      <c r="E1622" s="62" t="str">
        <f t="shared" si="4"/>
        <v>Jay Ward</v>
      </c>
      <c r="F1622" s="62">
        <f t="shared" ref="F1622:G1622" si="3243">IF(isblank(F$1),,IF(isblank($A1622),,IFERROR(vlookup($A1622,indirect("'TVC-"&amp;text(month(F$1),"00")&amp;"'!$A:$D"),4,false),1)))</f>
        <v>1</v>
      </c>
      <c r="G1622" s="62">
        <f t="shared" si="3243"/>
        <v>1</v>
      </c>
      <c r="H1622" s="62">
        <f t="shared" ref="H1622:Q1622" si="3244">IF(isblank(H$1),,IFERROR(vlookup($A1622,indirect("'TVC-"&amp;text(month(H$1),"00")&amp;"'!$A:$D"),4,false),1))</f>
        <v>1</v>
      </c>
      <c r="I1622" s="62">
        <f t="shared" si="3244"/>
        <v>1</v>
      </c>
      <c r="J1622" s="62">
        <f t="shared" si="3244"/>
        <v>1</v>
      </c>
      <c r="K1622" s="62">
        <f t="shared" si="3244"/>
        <v>1</v>
      </c>
      <c r="L1622" s="62">
        <f t="shared" si="3244"/>
        <v>1</v>
      </c>
      <c r="M1622" s="62">
        <f t="shared" si="3244"/>
        <v>1</v>
      </c>
      <c r="N1622" s="62">
        <f t="shared" si="3244"/>
        <v>1</v>
      </c>
      <c r="O1622" s="62">
        <f t="shared" si="3244"/>
        <v>1</v>
      </c>
      <c r="P1622" s="62" t="str">
        <f t="shared" si="3244"/>
        <v/>
      </c>
      <c r="Q1622" s="62" t="str">
        <f t="shared" si="3244"/>
        <v/>
      </c>
      <c r="R1622" s="62">
        <f t="shared" si="7"/>
        <v>0</v>
      </c>
      <c r="S1622" s="62"/>
      <c r="T1622" s="62"/>
      <c r="U1622" s="62"/>
      <c r="V1622" s="62"/>
      <c r="W1622" s="62"/>
      <c r="X1622" s="62"/>
      <c r="Y1622" s="62"/>
      <c r="Z1622" s="62"/>
      <c r="AA1622" s="62"/>
      <c r="AB1622" s="62"/>
      <c r="AC1622" s="62"/>
    </row>
    <row r="1623" hidden="1">
      <c r="A1623" s="60">
        <f>IFERROR(__xludf.DUMMYFUNCTION("""COMPUTED_VALUE"""),16305.0)</f>
        <v>16305</v>
      </c>
      <c r="B1623" s="60" t="str">
        <f>IFERROR(__xludf.DUMMYFUNCTION("""COMPUTED_VALUE"""),"Abdullah, Yasir")</f>
        <v>Abdullah, Yasir</v>
      </c>
      <c r="C1623" s="60" t="str">
        <f>IFERROR(__xludf.DUMMYFUNCTION("""COMPUTED_VALUE"""),"LB")</f>
        <v>LB</v>
      </c>
      <c r="D1623" s="60" t="str">
        <f>IFERROR(__xludf.DUMMYFUNCTION("""COMPUTED_VALUE"""),"ATL")</f>
        <v>ATL</v>
      </c>
      <c r="E1623" s="62" t="str">
        <f t="shared" si="4"/>
        <v>Yasir Abdullah</v>
      </c>
      <c r="F1623" s="62">
        <f t="shared" ref="F1623:G1623" si="3245">IF(isblank(F$1),,IF(isblank($A1623),,IFERROR(vlookup($A1623,indirect("'TVC-"&amp;text(month(F$1),"00")&amp;"'!$A:$D"),4,false),1)))</f>
        <v>1</v>
      </c>
      <c r="G1623" s="62">
        <f t="shared" si="3245"/>
        <v>1</v>
      </c>
      <c r="H1623" s="62">
        <f t="shared" ref="H1623:Q1623" si="3246">IF(isblank(H$1),,IFERROR(vlookup($A1623,indirect("'TVC-"&amp;text(month(H$1),"00")&amp;"'!$A:$D"),4,false),1))</f>
        <v>1</v>
      </c>
      <c r="I1623" s="62">
        <f t="shared" si="3246"/>
        <v>1</v>
      </c>
      <c r="J1623" s="62">
        <f t="shared" si="3246"/>
        <v>1</v>
      </c>
      <c r="K1623" s="62">
        <f t="shared" si="3246"/>
        <v>1</v>
      </c>
      <c r="L1623" s="62">
        <f t="shared" si="3246"/>
        <v>1</v>
      </c>
      <c r="M1623" s="62">
        <f t="shared" si="3246"/>
        <v>1</v>
      </c>
      <c r="N1623" s="62">
        <f t="shared" si="3246"/>
        <v>1</v>
      </c>
      <c r="O1623" s="62">
        <f t="shared" si="3246"/>
        <v>1</v>
      </c>
      <c r="P1623" s="62" t="str">
        <f t="shared" si="3246"/>
        <v/>
      </c>
      <c r="Q1623" s="62" t="str">
        <f t="shared" si="3246"/>
        <v/>
      </c>
      <c r="R1623" s="62">
        <f t="shared" si="7"/>
        <v>0</v>
      </c>
      <c r="S1623" s="62"/>
      <c r="T1623" s="62"/>
      <c r="U1623" s="62"/>
      <c r="V1623" s="62"/>
      <c r="W1623" s="62"/>
      <c r="X1623" s="62"/>
      <c r="Y1623" s="62"/>
      <c r="Z1623" s="62"/>
      <c r="AA1623" s="62"/>
      <c r="AB1623" s="62"/>
      <c r="AC1623" s="62"/>
    </row>
    <row r="1624" hidden="1">
      <c r="A1624" s="60">
        <f>IFERROR(__xludf.DUMMYFUNCTION("""COMPUTED_VALUE"""),16306.0)</f>
        <v>16306</v>
      </c>
      <c r="B1624" s="60" t="str">
        <f>IFERROR(__xludf.DUMMYFUNCTION("""COMPUTED_VALUE"""),"Henry, K.J.")</f>
        <v>Henry, K.J.</v>
      </c>
      <c r="C1624" s="60" t="str">
        <f>IFERROR(__xludf.DUMMYFUNCTION("""COMPUTED_VALUE"""),"DE")</f>
        <v>DE</v>
      </c>
      <c r="D1624" s="60" t="str">
        <f>IFERROR(__xludf.DUMMYFUNCTION("""COMPUTED_VALUE"""),"PIT")</f>
        <v>PIT</v>
      </c>
      <c r="E1624" s="62" t="str">
        <f t="shared" si="4"/>
        <v>K.J. Henry</v>
      </c>
      <c r="F1624" s="62">
        <f t="shared" ref="F1624:G1624" si="3247">IF(isblank(F$1),,IF(isblank($A1624),,IFERROR(vlookup($A1624,indirect("'TVC-"&amp;text(month(F$1),"00")&amp;"'!$A:$D"),4,false),1)))</f>
        <v>1</v>
      </c>
      <c r="G1624" s="62">
        <f t="shared" si="3247"/>
        <v>1</v>
      </c>
      <c r="H1624" s="62">
        <f t="shared" ref="H1624:Q1624" si="3248">IF(isblank(H$1),,IFERROR(vlookup($A1624,indirect("'TVC-"&amp;text(month(H$1),"00")&amp;"'!$A:$D"),4,false),1))</f>
        <v>1</v>
      </c>
      <c r="I1624" s="62">
        <f t="shared" si="3248"/>
        <v>1</v>
      </c>
      <c r="J1624" s="62">
        <f t="shared" si="3248"/>
        <v>1</v>
      </c>
      <c r="K1624" s="62">
        <f t="shared" si="3248"/>
        <v>1</v>
      </c>
      <c r="L1624" s="62">
        <f t="shared" si="3248"/>
        <v>1</v>
      </c>
      <c r="M1624" s="62">
        <f t="shared" si="3248"/>
        <v>1</v>
      </c>
      <c r="N1624" s="62">
        <f t="shared" si="3248"/>
        <v>1</v>
      </c>
      <c r="O1624" s="62">
        <f t="shared" si="3248"/>
        <v>1</v>
      </c>
      <c r="P1624" s="62" t="str">
        <f t="shared" si="3248"/>
        <v/>
      </c>
      <c r="Q1624" s="62" t="str">
        <f t="shared" si="3248"/>
        <v/>
      </c>
      <c r="R1624" s="62">
        <f t="shared" si="7"/>
        <v>0</v>
      </c>
      <c r="S1624" s="62"/>
      <c r="T1624" s="62"/>
      <c r="U1624" s="62"/>
      <c r="V1624" s="62"/>
      <c r="W1624" s="62"/>
      <c r="X1624" s="62"/>
      <c r="Y1624" s="62"/>
      <c r="Z1624" s="62"/>
      <c r="AA1624" s="62"/>
      <c r="AB1624" s="62"/>
      <c r="AC1624" s="62"/>
    </row>
    <row r="1625" hidden="1">
      <c r="A1625" s="60">
        <f>IFERROR(__xludf.DUMMYFUNCTION("""COMPUTED_VALUE"""),16307.0)</f>
        <v>16307</v>
      </c>
      <c r="B1625" s="60" t="str">
        <f>IFERROR(__xludf.DUMMYFUNCTION("""COMPUTED_VALUE"""),"Rush, Darius")</f>
        <v>Rush, Darius</v>
      </c>
      <c r="C1625" s="60" t="str">
        <f>IFERROR(__xludf.DUMMYFUNCTION("""COMPUTED_VALUE"""),"CB")</f>
        <v>CB</v>
      </c>
      <c r="D1625" s="60" t="str">
        <f>IFERROR(__xludf.DUMMYFUNCTION("""COMPUTED_VALUE"""),"PIT")</f>
        <v>PIT</v>
      </c>
      <c r="E1625" s="62" t="str">
        <f t="shared" si="4"/>
        <v>Darius Rush</v>
      </c>
      <c r="F1625" s="62">
        <f t="shared" ref="F1625:G1625" si="3249">IF(isblank(F$1),,IF(isblank($A1625),,IFERROR(vlookup($A1625,indirect("'TVC-"&amp;text(month(F$1),"00")&amp;"'!$A:$D"),4,false),1)))</f>
        <v>1</v>
      </c>
      <c r="G1625" s="62">
        <f t="shared" si="3249"/>
        <v>1</v>
      </c>
      <c r="H1625" s="62">
        <f t="shared" ref="H1625:Q1625" si="3250">IF(isblank(H$1),,IFERROR(vlookup($A1625,indirect("'TVC-"&amp;text(month(H$1),"00")&amp;"'!$A:$D"),4,false),1))</f>
        <v>1</v>
      </c>
      <c r="I1625" s="62">
        <f t="shared" si="3250"/>
        <v>1</v>
      </c>
      <c r="J1625" s="62">
        <f t="shared" si="3250"/>
        <v>1</v>
      </c>
      <c r="K1625" s="62">
        <f t="shared" si="3250"/>
        <v>1</v>
      </c>
      <c r="L1625" s="62">
        <f t="shared" si="3250"/>
        <v>1</v>
      </c>
      <c r="M1625" s="62">
        <f t="shared" si="3250"/>
        <v>1</v>
      </c>
      <c r="N1625" s="62">
        <f t="shared" si="3250"/>
        <v>1</v>
      </c>
      <c r="O1625" s="62">
        <f t="shared" si="3250"/>
        <v>1</v>
      </c>
      <c r="P1625" s="62" t="str">
        <f t="shared" si="3250"/>
        <v/>
      </c>
      <c r="Q1625" s="62" t="str">
        <f t="shared" si="3250"/>
        <v/>
      </c>
      <c r="R1625" s="62">
        <f t="shared" si="7"/>
        <v>0</v>
      </c>
      <c r="S1625" s="62"/>
      <c r="T1625" s="62"/>
      <c r="U1625" s="62"/>
      <c r="V1625" s="62"/>
      <c r="W1625" s="62"/>
      <c r="X1625" s="62"/>
      <c r="Y1625" s="62"/>
      <c r="Z1625" s="62"/>
      <c r="AA1625" s="62"/>
      <c r="AB1625" s="62"/>
      <c r="AC1625" s="62"/>
    </row>
    <row r="1626" hidden="1">
      <c r="A1626" s="60">
        <f>IFERROR(__xludf.DUMMYFUNCTION("""COMPUTED_VALUE"""),16308.0)</f>
        <v>16308</v>
      </c>
      <c r="B1626" s="60" t="str">
        <f>IFERROR(__xludf.DUMMYFUNCTION("""COMPUTED_VALUE"""),"Roy, Jaquelin")</f>
        <v>Roy, Jaquelin</v>
      </c>
      <c r="C1626" s="60" t="str">
        <f>IFERROR(__xludf.DUMMYFUNCTION("""COMPUTED_VALUE"""),"DT")</f>
        <v>DT</v>
      </c>
      <c r="D1626" s="60" t="str">
        <f>IFERROR(__xludf.DUMMYFUNCTION("""COMPUTED_VALUE"""),"NEP")</f>
        <v>NEP</v>
      </c>
      <c r="E1626" s="62" t="str">
        <f t="shared" si="4"/>
        <v>Jaquelin Roy</v>
      </c>
      <c r="F1626" s="62">
        <f t="shared" ref="F1626:G1626" si="3251">IF(isblank(F$1),,IF(isblank($A1626),,IFERROR(vlookup($A1626,indirect("'TVC-"&amp;text(month(F$1),"00")&amp;"'!$A:$D"),4,false),1)))</f>
        <v>1</v>
      </c>
      <c r="G1626" s="62">
        <f t="shared" si="3251"/>
        <v>1</v>
      </c>
      <c r="H1626" s="62">
        <f t="shared" ref="H1626:Q1626" si="3252">IF(isblank(H$1),,IFERROR(vlookup($A1626,indirect("'TVC-"&amp;text(month(H$1),"00")&amp;"'!$A:$D"),4,false),1))</f>
        <v>1</v>
      </c>
      <c r="I1626" s="62">
        <f t="shared" si="3252"/>
        <v>1</v>
      </c>
      <c r="J1626" s="62">
        <f t="shared" si="3252"/>
        <v>1</v>
      </c>
      <c r="K1626" s="62">
        <f t="shared" si="3252"/>
        <v>1</v>
      </c>
      <c r="L1626" s="62">
        <f t="shared" si="3252"/>
        <v>1</v>
      </c>
      <c r="M1626" s="62">
        <f t="shared" si="3252"/>
        <v>1</v>
      </c>
      <c r="N1626" s="62">
        <f t="shared" si="3252"/>
        <v>1</v>
      </c>
      <c r="O1626" s="62">
        <f t="shared" si="3252"/>
        <v>1</v>
      </c>
      <c r="P1626" s="62" t="str">
        <f t="shared" si="3252"/>
        <v/>
      </c>
      <c r="Q1626" s="62" t="str">
        <f t="shared" si="3252"/>
        <v/>
      </c>
      <c r="R1626" s="62">
        <f t="shared" si="7"/>
        <v>0</v>
      </c>
      <c r="S1626" s="62"/>
      <c r="T1626" s="62"/>
      <c r="U1626" s="62"/>
      <c r="V1626" s="62"/>
      <c r="W1626" s="62"/>
      <c r="X1626" s="62"/>
      <c r="Y1626" s="62"/>
      <c r="Z1626" s="62"/>
      <c r="AA1626" s="62"/>
      <c r="AB1626" s="62"/>
      <c r="AC1626" s="62"/>
    </row>
    <row r="1627">
      <c r="A1627" s="60">
        <f>IFERROR(__xludf.DUMMYFUNCTION("""COMPUTED_VALUE"""),16309.0)</f>
        <v>16309</v>
      </c>
      <c r="B1627" s="60" t="str">
        <f>IFERROR(__xludf.DUMMYFUNCTION("""COMPUTED_VALUE"""),"Mitchell, Cameron")</f>
        <v>Mitchell, Cameron</v>
      </c>
      <c r="C1627" s="60" t="str">
        <f>IFERROR(__xludf.DUMMYFUNCTION("""COMPUTED_VALUE"""),"CB")</f>
        <v>CB</v>
      </c>
      <c r="D1627" s="60" t="str">
        <f>IFERROR(__xludf.DUMMYFUNCTION("""COMPUTED_VALUE"""),"IND")</f>
        <v>IND</v>
      </c>
      <c r="E1627" s="62" t="str">
        <f t="shared" si="4"/>
        <v>Cameron Mitchell</v>
      </c>
      <c r="F1627" s="62">
        <f t="shared" ref="F1627:G1627" si="3253">IF(isblank(F$1),,IF(isblank($A1627),,IFERROR(vlookup($A1627,indirect("'TVC-"&amp;text(month(F$1),"00")&amp;"'!$A:$D"),4,false),1)))</f>
        <v>1</v>
      </c>
      <c r="G1627" s="62">
        <f t="shared" si="3253"/>
        <v>1</v>
      </c>
      <c r="H1627" s="62">
        <f t="shared" ref="H1627:Q1627" si="3254">IF(isblank(H$1),,IFERROR(vlookup($A1627,indirect("'TVC-"&amp;text(month(H$1),"00")&amp;"'!$A:$D"),4,false),1))</f>
        <v>1</v>
      </c>
      <c r="I1627" s="62">
        <f t="shared" si="3254"/>
        <v>1</v>
      </c>
      <c r="J1627" s="62">
        <f t="shared" si="3254"/>
        <v>1</v>
      </c>
      <c r="K1627" s="62">
        <f t="shared" si="3254"/>
        <v>1</v>
      </c>
      <c r="L1627" s="62">
        <f t="shared" si="3254"/>
        <v>1</v>
      </c>
      <c r="M1627" s="62">
        <f t="shared" si="3254"/>
        <v>1</v>
      </c>
      <c r="N1627" s="62">
        <f t="shared" si="3254"/>
        <v>1</v>
      </c>
      <c r="O1627" s="62">
        <f t="shared" si="3254"/>
        <v>1</v>
      </c>
      <c r="P1627" s="62" t="str">
        <f t="shared" si="3254"/>
        <v/>
      </c>
      <c r="Q1627" s="62" t="str">
        <f t="shared" si="3254"/>
        <v/>
      </c>
      <c r="R1627" s="62">
        <f t="shared" si="7"/>
        <v>0</v>
      </c>
      <c r="S1627" s="62"/>
      <c r="T1627" s="62"/>
      <c r="U1627" s="62"/>
      <c r="V1627" s="62"/>
      <c r="W1627" s="62"/>
      <c r="X1627" s="62"/>
      <c r="Y1627" s="62"/>
      <c r="Z1627" s="62"/>
      <c r="AA1627" s="62"/>
      <c r="AB1627" s="62"/>
      <c r="AC1627" s="62"/>
    </row>
    <row r="1628" hidden="1">
      <c r="A1628" s="60">
        <f>IFERROR(__xludf.DUMMYFUNCTION("""COMPUTED_VALUE"""),16310.0)</f>
        <v>16310</v>
      </c>
      <c r="B1628" s="60" t="str">
        <f>IFERROR(__xludf.DUMMYFUNCTION("""COMPUTED_VALUE"""),"Robinson, Jammie")</f>
        <v>Robinson, Jammie</v>
      </c>
      <c r="C1628" s="60" t="str">
        <f>IFERROR(__xludf.DUMMYFUNCTION("""COMPUTED_VALUE"""),"S")</f>
        <v>S</v>
      </c>
      <c r="D1628" s="60" t="str">
        <f>IFERROR(__xludf.DUMMYFUNCTION("""COMPUTED_VALUE"""),"ATL")</f>
        <v>ATL</v>
      </c>
      <c r="E1628" s="62" t="str">
        <f t="shared" si="4"/>
        <v>Jammie Robinson</v>
      </c>
      <c r="F1628" s="62">
        <f t="shared" ref="F1628:G1628" si="3255">IF(isblank(F$1),,IF(isblank($A1628),,IFERROR(vlookup($A1628,indirect("'TVC-"&amp;text(month(F$1),"00")&amp;"'!$A:$D"),4,false),1)))</f>
        <v>1</v>
      </c>
      <c r="G1628" s="62">
        <f t="shared" si="3255"/>
        <v>1</v>
      </c>
      <c r="H1628" s="62">
        <f t="shared" ref="H1628:Q1628" si="3256">IF(isblank(H$1),,IFERROR(vlookup($A1628,indirect("'TVC-"&amp;text(month(H$1),"00")&amp;"'!$A:$D"),4,false),1))</f>
        <v>1</v>
      </c>
      <c r="I1628" s="62">
        <f t="shared" si="3256"/>
        <v>1</v>
      </c>
      <c r="J1628" s="62">
        <f t="shared" si="3256"/>
        <v>1</v>
      </c>
      <c r="K1628" s="62">
        <f t="shared" si="3256"/>
        <v>1</v>
      </c>
      <c r="L1628" s="62">
        <f t="shared" si="3256"/>
        <v>1</v>
      </c>
      <c r="M1628" s="62">
        <f t="shared" si="3256"/>
        <v>1</v>
      </c>
      <c r="N1628" s="62">
        <f t="shared" si="3256"/>
        <v>1</v>
      </c>
      <c r="O1628" s="62">
        <f t="shared" si="3256"/>
        <v>1</v>
      </c>
      <c r="P1628" s="62" t="str">
        <f t="shared" si="3256"/>
        <v/>
      </c>
      <c r="Q1628" s="62" t="str">
        <f t="shared" si="3256"/>
        <v/>
      </c>
      <c r="R1628" s="62">
        <f t="shared" si="7"/>
        <v>0</v>
      </c>
      <c r="S1628" s="62"/>
      <c r="T1628" s="62"/>
      <c r="U1628" s="62"/>
      <c r="V1628" s="62"/>
      <c r="W1628" s="62"/>
      <c r="X1628" s="62"/>
      <c r="Y1628" s="62"/>
      <c r="Z1628" s="62"/>
      <c r="AA1628" s="62"/>
      <c r="AB1628" s="62"/>
      <c r="AC1628" s="62"/>
    </row>
    <row r="1629" hidden="1">
      <c r="A1629" s="60">
        <f>IFERROR(__xludf.DUMMYFUNCTION("""COMPUTED_VALUE"""),16311.0)</f>
        <v>16311</v>
      </c>
      <c r="B1629" s="60" t="str">
        <f>IFERROR(__xludf.DUMMYFUNCTION("""COMPUTED_VALUE"""),"Howden, Jordan")</f>
        <v>Howden, Jordan</v>
      </c>
      <c r="C1629" s="60" t="str">
        <f>IFERROR(__xludf.DUMMYFUNCTION("""COMPUTED_VALUE"""),"S")</f>
        <v>S</v>
      </c>
      <c r="D1629" s="60" t="str">
        <f>IFERROR(__xludf.DUMMYFUNCTION("""COMPUTED_VALUE"""),"NOS")</f>
        <v>NOS</v>
      </c>
      <c r="E1629" s="62" t="str">
        <f t="shared" si="4"/>
        <v>Jordan Howden</v>
      </c>
      <c r="F1629" s="62">
        <f t="shared" ref="F1629:G1629" si="3257">IF(isblank(F$1),,IF(isblank($A1629),,IFERROR(vlookup($A1629,indirect("'TVC-"&amp;text(month(F$1),"00")&amp;"'!$A:$D"),4,false),1)))</f>
        <v>1</v>
      </c>
      <c r="G1629" s="62">
        <f t="shared" si="3257"/>
        <v>1</v>
      </c>
      <c r="H1629" s="62">
        <f t="shared" ref="H1629:Q1629" si="3258">IF(isblank(H$1),,IFERROR(vlookup($A1629,indirect("'TVC-"&amp;text(month(H$1),"00")&amp;"'!$A:$D"),4,false),1))</f>
        <v>1</v>
      </c>
      <c r="I1629" s="62">
        <f t="shared" si="3258"/>
        <v>1</v>
      </c>
      <c r="J1629" s="62">
        <f t="shared" si="3258"/>
        <v>1</v>
      </c>
      <c r="K1629" s="62">
        <f t="shared" si="3258"/>
        <v>1</v>
      </c>
      <c r="L1629" s="62">
        <f t="shared" si="3258"/>
        <v>1</v>
      </c>
      <c r="M1629" s="62">
        <f t="shared" si="3258"/>
        <v>1</v>
      </c>
      <c r="N1629" s="62">
        <f t="shared" si="3258"/>
        <v>1</v>
      </c>
      <c r="O1629" s="62">
        <f t="shared" si="3258"/>
        <v>1</v>
      </c>
      <c r="P1629" s="62" t="str">
        <f t="shared" si="3258"/>
        <v/>
      </c>
      <c r="Q1629" s="62" t="str">
        <f t="shared" si="3258"/>
        <v/>
      </c>
      <c r="R1629" s="62">
        <f t="shared" si="7"/>
        <v>0</v>
      </c>
      <c r="S1629" s="62"/>
      <c r="T1629" s="62"/>
      <c r="U1629" s="62"/>
      <c r="V1629" s="62"/>
      <c r="W1629" s="62"/>
      <c r="X1629" s="62"/>
      <c r="Y1629" s="62"/>
      <c r="Z1629" s="62"/>
      <c r="AA1629" s="62"/>
      <c r="AB1629" s="62"/>
      <c r="AC1629" s="62"/>
    </row>
    <row r="1630" hidden="1">
      <c r="A1630" s="60">
        <f>IFERROR(__xludf.DUMMYFUNCTION("""COMPUTED_VALUE"""),16312.0)</f>
        <v>16312</v>
      </c>
      <c r="B1630" s="60" t="str">
        <f>IFERROR(__xludf.DUMMYFUNCTION("""COMPUTED_VALUE"""),"Whyle, Josh")</f>
        <v>Whyle, Josh</v>
      </c>
      <c r="C1630" s="60" t="str">
        <f>IFERROR(__xludf.DUMMYFUNCTION("""COMPUTED_VALUE"""),"TE")</f>
        <v>TE</v>
      </c>
      <c r="D1630" s="60" t="str">
        <f>IFERROR(__xludf.DUMMYFUNCTION("""COMPUTED_VALUE"""),"GBP")</f>
        <v>GBP</v>
      </c>
      <c r="E1630" s="62" t="str">
        <f t="shared" si="4"/>
        <v>Josh Whyle</v>
      </c>
      <c r="F1630" s="62">
        <f t="shared" ref="F1630:G1630" si="3259">IF(isblank(F$1),,IF(isblank($A1630),,IFERROR(vlookup($A1630,indirect("'TVC-"&amp;text(month(F$1),"00")&amp;"'!$A:$D"),4,false),1)))</f>
        <v>1</v>
      </c>
      <c r="G1630" s="62">
        <f t="shared" si="3259"/>
        <v>1</v>
      </c>
      <c r="H1630" s="62">
        <f t="shared" ref="H1630:Q1630" si="3260">IF(isblank(H$1),,IFERROR(vlookup($A1630,indirect("'TVC-"&amp;text(month(H$1),"00")&amp;"'!$A:$D"),4,false),1))</f>
        <v>1</v>
      </c>
      <c r="I1630" s="62">
        <f t="shared" si="3260"/>
        <v>1</v>
      </c>
      <c r="J1630" s="62">
        <f t="shared" si="3260"/>
        <v>1</v>
      </c>
      <c r="K1630" s="62">
        <f t="shared" si="3260"/>
        <v>1</v>
      </c>
      <c r="L1630" s="62">
        <f t="shared" si="3260"/>
        <v>1</v>
      </c>
      <c r="M1630" s="62">
        <f t="shared" si="3260"/>
        <v>1</v>
      </c>
      <c r="N1630" s="62">
        <f t="shared" si="3260"/>
        <v>1</v>
      </c>
      <c r="O1630" s="62">
        <f t="shared" si="3260"/>
        <v>1</v>
      </c>
      <c r="P1630" s="62" t="str">
        <f t="shared" si="3260"/>
        <v/>
      </c>
      <c r="Q1630" s="62" t="str">
        <f t="shared" si="3260"/>
        <v/>
      </c>
      <c r="R1630" s="62">
        <f t="shared" si="7"/>
        <v>0</v>
      </c>
      <c r="S1630" s="62"/>
      <c r="T1630" s="62"/>
      <c r="U1630" s="62"/>
      <c r="V1630" s="62"/>
      <c r="W1630" s="62"/>
      <c r="X1630" s="62"/>
      <c r="Y1630" s="62"/>
      <c r="Z1630" s="62"/>
      <c r="AA1630" s="62"/>
      <c r="AB1630" s="62"/>
      <c r="AC1630" s="62"/>
    </row>
    <row r="1631" hidden="1">
      <c r="A1631" s="60">
        <f>IFERROR(__xludf.DUMMYFUNCTION("""COMPUTED_VALUE"""),16313.0)</f>
        <v>16313</v>
      </c>
      <c r="B1631" s="60" t="str">
        <f>IFERROR(__xludf.DUMMYFUNCTION("""COMPUTED_VALUE"""),"Clifford, Sean")</f>
        <v>Clifford, Sean</v>
      </c>
      <c r="C1631" s="60" t="str">
        <f>IFERROR(__xludf.DUMMYFUNCTION("""COMPUTED_VALUE"""),"QB")</f>
        <v>QB</v>
      </c>
      <c r="D1631" s="60" t="str">
        <f>IFERROR(__xludf.DUMMYFUNCTION("""COMPUTED_VALUE"""),"CIN")</f>
        <v>CIN</v>
      </c>
      <c r="E1631" s="62" t="str">
        <f t="shared" si="4"/>
        <v>Sean Clifford</v>
      </c>
      <c r="F1631" s="62">
        <f t="shared" ref="F1631:G1631" si="3261">IF(isblank(F$1),,IF(isblank($A1631),,IFERROR(vlookup($A1631,indirect("'TVC-"&amp;text(month(F$1),"00")&amp;"'!$A:$D"),4,false),1)))</f>
        <v>1</v>
      </c>
      <c r="G1631" s="62">
        <f t="shared" si="3261"/>
        <v>1</v>
      </c>
      <c r="H1631" s="62">
        <f t="shared" ref="H1631:Q1631" si="3262">IF(isblank(H$1),,IFERROR(vlookup($A1631,indirect("'TVC-"&amp;text(month(H$1),"00")&amp;"'!$A:$D"),4,false),1))</f>
        <v>1</v>
      </c>
      <c r="I1631" s="62">
        <f t="shared" si="3262"/>
        <v>1</v>
      </c>
      <c r="J1631" s="62">
        <f t="shared" si="3262"/>
        <v>1</v>
      </c>
      <c r="K1631" s="62">
        <f t="shared" si="3262"/>
        <v>1</v>
      </c>
      <c r="L1631" s="62">
        <f t="shared" si="3262"/>
        <v>1</v>
      </c>
      <c r="M1631" s="62">
        <f t="shared" si="3262"/>
        <v>1</v>
      </c>
      <c r="N1631" s="62">
        <f t="shared" si="3262"/>
        <v>1</v>
      </c>
      <c r="O1631" s="62">
        <f t="shared" si="3262"/>
        <v>1</v>
      </c>
      <c r="P1631" s="62" t="str">
        <f t="shared" si="3262"/>
        <v/>
      </c>
      <c r="Q1631" s="62" t="str">
        <f t="shared" si="3262"/>
        <v/>
      </c>
      <c r="R1631" s="62">
        <f t="shared" si="7"/>
        <v>0</v>
      </c>
      <c r="S1631" s="62"/>
      <c r="T1631" s="62"/>
      <c r="U1631" s="62"/>
      <c r="V1631" s="62"/>
      <c r="W1631" s="62"/>
      <c r="X1631" s="62"/>
      <c r="Y1631" s="62"/>
      <c r="Z1631" s="62"/>
      <c r="AA1631" s="62"/>
      <c r="AB1631" s="62"/>
      <c r="AC1631" s="62"/>
    </row>
    <row r="1632" hidden="1">
      <c r="A1632" s="60">
        <f>IFERROR(__xludf.DUMMYFUNCTION("""COMPUTED_VALUE"""),16314.0)</f>
        <v>16314</v>
      </c>
      <c r="B1632" s="60" t="str">
        <f>IFERROR(__xludf.DUMMYFUNCTION("""COMPUTED_VALUE"""),"Dennis, SirVocea")</f>
        <v>Dennis, SirVocea</v>
      </c>
      <c r="C1632" s="60" t="str">
        <f>IFERROR(__xludf.DUMMYFUNCTION("""COMPUTED_VALUE"""),"LB")</f>
        <v>LB</v>
      </c>
      <c r="D1632" s="60" t="str">
        <f>IFERROR(__xludf.DUMMYFUNCTION("""COMPUTED_VALUE"""),"TBB")</f>
        <v>TBB</v>
      </c>
      <c r="E1632" s="62" t="str">
        <f t="shared" si="4"/>
        <v>SirVocea Dennis</v>
      </c>
      <c r="F1632" s="62">
        <f t="shared" ref="F1632:G1632" si="3263">IF(isblank(F$1),,IF(isblank($A1632),,IFERROR(vlookup($A1632,indirect("'TVC-"&amp;text(month(F$1),"00")&amp;"'!$A:$D"),4,false),1)))</f>
        <v>1</v>
      </c>
      <c r="G1632" s="62">
        <f t="shared" si="3263"/>
        <v>1</v>
      </c>
      <c r="H1632" s="62">
        <f t="shared" ref="H1632:Q1632" si="3264">IF(isblank(H$1),,IFERROR(vlookup($A1632,indirect("'TVC-"&amp;text(month(H$1),"00")&amp;"'!$A:$D"),4,false),1))</f>
        <v>1</v>
      </c>
      <c r="I1632" s="62">
        <f t="shared" si="3264"/>
        <v>1</v>
      </c>
      <c r="J1632" s="62">
        <f t="shared" si="3264"/>
        <v>1</v>
      </c>
      <c r="K1632" s="62">
        <f t="shared" si="3264"/>
        <v>1</v>
      </c>
      <c r="L1632" s="62">
        <f t="shared" si="3264"/>
        <v>1</v>
      </c>
      <c r="M1632" s="62">
        <f t="shared" si="3264"/>
        <v>1</v>
      </c>
      <c r="N1632" s="62">
        <f t="shared" si="3264"/>
        <v>1</v>
      </c>
      <c r="O1632" s="62">
        <f t="shared" si="3264"/>
        <v>1</v>
      </c>
      <c r="P1632" s="62" t="str">
        <f t="shared" si="3264"/>
        <v/>
      </c>
      <c r="Q1632" s="62" t="str">
        <f t="shared" si="3264"/>
        <v/>
      </c>
      <c r="R1632" s="62">
        <f t="shared" si="7"/>
        <v>0</v>
      </c>
      <c r="S1632" s="62"/>
      <c r="T1632" s="62"/>
      <c r="U1632" s="62"/>
      <c r="V1632" s="62"/>
      <c r="W1632" s="62"/>
      <c r="X1632" s="62"/>
      <c r="Y1632" s="62"/>
      <c r="Z1632" s="62"/>
      <c r="AA1632" s="62"/>
      <c r="AB1632" s="62"/>
      <c r="AC1632" s="62"/>
    </row>
    <row r="1633" hidden="1">
      <c r="A1633" s="60">
        <f>IFERROR(__xludf.DUMMYFUNCTION("""COMPUTED_VALUE"""),16315.0)</f>
        <v>16315</v>
      </c>
      <c r="B1633" s="60" t="str">
        <f>IFERROR(__xludf.DUMMYFUNCTION("""COMPUTED_VALUE"""),"Luter, Darrell")</f>
        <v>Luter, Darrell</v>
      </c>
      <c r="C1633" s="60" t="str">
        <f>IFERROR(__xludf.DUMMYFUNCTION("""COMPUTED_VALUE"""),"CB")</f>
        <v>CB</v>
      </c>
      <c r="D1633" s="60" t="str">
        <f>IFERROR(__xludf.DUMMYFUNCTION("""COMPUTED_VALUE"""),"LVR")</f>
        <v>LVR</v>
      </c>
      <c r="E1633" s="62" t="str">
        <f t="shared" si="4"/>
        <v>Darrell Luter</v>
      </c>
      <c r="F1633" s="62">
        <f t="shared" ref="F1633:G1633" si="3265">IF(isblank(F$1),,IF(isblank($A1633),,IFERROR(vlookup($A1633,indirect("'TVC-"&amp;text(month(F$1),"00")&amp;"'!$A:$D"),4,false),1)))</f>
        <v>1</v>
      </c>
      <c r="G1633" s="62">
        <f t="shared" si="3265"/>
        <v>1</v>
      </c>
      <c r="H1633" s="62">
        <f t="shared" ref="H1633:Q1633" si="3266">IF(isblank(H$1),,IFERROR(vlookup($A1633,indirect("'TVC-"&amp;text(month(H$1),"00")&amp;"'!$A:$D"),4,false),1))</f>
        <v>1</v>
      </c>
      <c r="I1633" s="62">
        <f t="shared" si="3266"/>
        <v>1</v>
      </c>
      <c r="J1633" s="62">
        <f t="shared" si="3266"/>
        <v>1</v>
      </c>
      <c r="K1633" s="62">
        <f t="shared" si="3266"/>
        <v>1</v>
      </c>
      <c r="L1633" s="62">
        <f t="shared" si="3266"/>
        <v>1</v>
      </c>
      <c r="M1633" s="62">
        <f t="shared" si="3266"/>
        <v>1</v>
      </c>
      <c r="N1633" s="62">
        <f t="shared" si="3266"/>
        <v>1</v>
      </c>
      <c r="O1633" s="62">
        <f t="shared" si="3266"/>
        <v>1</v>
      </c>
      <c r="P1633" s="62" t="str">
        <f t="shared" si="3266"/>
        <v/>
      </c>
      <c r="Q1633" s="62" t="str">
        <f t="shared" si="3266"/>
        <v/>
      </c>
      <c r="R1633" s="62">
        <f t="shared" si="7"/>
        <v>0</v>
      </c>
      <c r="S1633" s="62"/>
      <c r="T1633" s="62"/>
      <c r="U1633" s="62"/>
      <c r="V1633" s="62"/>
      <c r="W1633" s="62"/>
      <c r="X1633" s="62"/>
      <c r="Y1633" s="62"/>
      <c r="Z1633" s="62"/>
      <c r="AA1633" s="62"/>
      <c r="AB1633" s="62"/>
      <c r="AC1633" s="62"/>
    </row>
    <row r="1634" hidden="1">
      <c r="A1634" s="60">
        <f>IFERROR(__xludf.DUMMYFUNCTION("""COMPUTED_VALUE"""),16316.0)</f>
        <v>16316</v>
      </c>
      <c r="B1634" s="60" t="str">
        <f>IFERROR(__xludf.DUMMYFUNCTION("""COMPUTED_VALUE"""),"Kelly, Kyu Blu")</f>
        <v>Kelly, Kyu Blu</v>
      </c>
      <c r="C1634" s="60" t="str">
        <f>IFERROR(__xludf.DUMMYFUNCTION("""COMPUTED_VALUE"""),"CB")</f>
        <v>CB</v>
      </c>
      <c r="D1634" s="60" t="str">
        <f>IFERROR(__xludf.DUMMYFUNCTION("""COMPUTED_VALUE"""),"LVR")</f>
        <v>LVR</v>
      </c>
      <c r="E1634" s="62" t="str">
        <f t="shared" si="4"/>
        <v>Kyu Blu Kelly</v>
      </c>
      <c r="F1634" s="62">
        <f t="shared" ref="F1634:G1634" si="3267">IF(isblank(F$1),,IF(isblank($A1634),,IFERROR(vlookup($A1634,indirect("'TVC-"&amp;text(month(F$1),"00")&amp;"'!$A:$D"),4,false),1)))</f>
        <v>1</v>
      </c>
      <c r="G1634" s="62">
        <f t="shared" si="3267"/>
        <v>1</v>
      </c>
      <c r="H1634" s="62">
        <f t="shared" ref="H1634:Q1634" si="3268">IF(isblank(H$1),,IFERROR(vlookup($A1634,indirect("'TVC-"&amp;text(month(H$1),"00")&amp;"'!$A:$D"),4,false),1))</f>
        <v>1</v>
      </c>
      <c r="I1634" s="62">
        <f t="shared" si="3268"/>
        <v>1</v>
      </c>
      <c r="J1634" s="62">
        <f t="shared" si="3268"/>
        <v>1</v>
      </c>
      <c r="K1634" s="62">
        <f t="shared" si="3268"/>
        <v>1</v>
      </c>
      <c r="L1634" s="62">
        <f t="shared" si="3268"/>
        <v>1</v>
      </c>
      <c r="M1634" s="62">
        <f t="shared" si="3268"/>
        <v>1</v>
      </c>
      <c r="N1634" s="62">
        <f t="shared" si="3268"/>
        <v>1</v>
      </c>
      <c r="O1634" s="62">
        <f t="shared" si="3268"/>
        <v>1</v>
      </c>
      <c r="P1634" s="62" t="str">
        <f t="shared" si="3268"/>
        <v/>
      </c>
      <c r="Q1634" s="62" t="str">
        <f t="shared" si="3268"/>
        <v/>
      </c>
      <c r="R1634" s="62">
        <f t="shared" si="7"/>
        <v>0</v>
      </c>
      <c r="S1634" s="62"/>
      <c r="T1634" s="62"/>
      <c r="U1634" s="62"/>
      <c r="V1634" s="62"/>
      <c r="W1634" s="62"/>
      <c r="X1634" s="62"/>
      <c r="Y1634" s="62"/>
      <c r="Z1634" s="62"/>
      <c r="AA1634" s="62"/>
      <c r="AB1634" s="62"/>
      <c r="AC1634" s="62"/>
    </row>
    <row r="1635">
      <c r="A1635" s="60">
        <f>IFERROR(__xludf.DUMMYFUNCTION("""COMPUTED_VALUE"""),16317.0)</f>
        <v>16317</v>
      </c>
      <c r="B1635" s="60" t="str">
        <f>IFERROR(__xludf.DUMMYFUNCTION("""COMPUTED_VALUE"""),"Scott, Daniel")</f>
        <v>Scott, Daniel</v>
      </c>
      <c r="C1635" s="60" t="str">
        <f>IFERROR(__xludf.DUMMYFUNCTION("""COMPUTED_VALUE"""),"S")</f>
        <v>S</v>
      </c>
      <c r="D1635" s="60" t="str">
        <f>IFERROR(__xludf.DUMMYFUNCTION("""COMPUTED_VALUE"""),"IND")</f>
        <v>IND</v>
      </c>
      <c r="E1635" s="62" t="str">
        <f t="shared" si="4"/>
        <v>Daniel Scott</v>
      </c>
      <c r="F1635" s="62">
        <f t="shared" ref="F1635:G1635" si="3269">IF(isblank(F$1),,IF(isblank($A1635),,IFERROR(vlookup($A1635,indirect("'TVC-"&amp;text(month(F$1),"00")&amp;"'!$A:$D"),4,false),1)))</f>
        <v>1</v>
      </c>
      <c r="G1635" s="62">
        <f t="shared" si="3269"/>
        <v>1</v>
      </c>
      <c r="H1635" s="62">
        <f t="shared" ref="H1635:Q1635" si="3270">IF(isblank(H$1),,IFERROR(vlookup($A1635,indirect("'TVC-"&amp;text(month(H$1),"00")&amp;"'!$A:$D"),4,false),1))</f>
        <v>1</v>
      </c>
      <c r="I1635" s="62">
        <f t="shared" si="3270"/>
        <v>1</v>
      </c>
      <c r="J1635" s="62">
        <f t="shared" si="3270"/>
        <v>1</v>
      </c>
      <c r="K1635" s="62">
        <f t="shared" si="3270"/>
        <v>1</v>
      </c>
      <c r="L1635" s="62">
        <f t="shared" si="3270"/>
        <v>1</v>
      </c>
      <c r="M1635" s="62">
        <f t="shared" si="3270"/>
        <v>1</v>
      </c>
      <c r="N1635" s="62">
        <f t="shared" si="3270"/>
        <v>1</v>
      </c>
      <c r="O1635" s="62">
        <f t="shared" si="3270"/>
        <v>1</v>
      </c>
      <c r="P1635" s="62" t="str">
        <f t="shared" si="3270"/>
        <v/>
      </c>
      <c r="Q1635" s="62" t="str">
        <f t="shared" si="3270"/>
        <v/>
      </c>
      <c r="R1635" s="62">
        <f t="shared" si="7"/>
        <v>0</v>
      </c>
      <c r="S1635" s="62"/>
      <c r="T1635" s="62"/>
      <c r="U1635" s="62"/>
      <c r="V1635" s="62"/>
      <c r="W1635" s="62"/>
      <c r="X1635" s="62"/>
      <c r="Y1635" s="62"/>
      <c r="Z1635" s="62"/>
      <c r="AA1635" s="62"/>
      <c r="AB1635" s="62"/>
      <c r="AC1635" s="62"/>
    </row>
    <row r="1636" hidden="1">
      <c r="A1636" s="60">
        <f>IFERROR(__xludf.DUMMYFUNCTION("""COMPUTED_VALUE"""),16318.0)</f>
        <v>16318</v>
      </c>
      <c r="B1636" s="60" t="str">
        <f>IFERROR(__xludf.DUMMYFUNCTION("""COMPUTED_VALUE"""),"Hampton, Nick")</f>
        <v>Hampton, Nick</v>
      </c>
      <c r="C1636" s="60" t="str">
        <f>IFERROR(__xludf.DUMMYFUNCTION("""COMPUTED_VALUE"""),"LB")</f>
        <v>LB</v>
      </c>
      <c r="D1636" s="60" t="str">
        <f>IFERROR(__xludf.DUMMYFUNCTION("""COMPUTED_VALUE"""),"CAR")</f>
        <v>CAR</v>
      </c>
      <c r="E1636" s="62" t="str">
        <f t="shared" si="4"/>
        <v>Nick Hampton</v>
      </c>
      <c r="F1636" s="62">
        <f t="shared" ref="F1636:G1636" si="3271">IF(isblank(F$1),,IF(isblank($A1636),,IFERROR(vlookup($A1636,indirect("'TVC-"&amp;text(month(F$1),"00")&amp;"'!$A:$D"),4,false),1)))</f>
        <v>1</v>
      </c>
      <c r="G1636" s="62">
        <f t="shared" si="3271"/>
        <v>1</v>
      </c>
      <c r="H1636" s="62">
        <f t="shared" ref="H1636:Q1636" si="3272">IF(isblank(H$1),,IFERROR(vlookup($A1636,indirect("'TVC-"&amp;text(month(H$1),"00")&amp;"'!$A:$D"),4,false),1))</f>
        <v>1</v>
      </c>
      <c r="I1636" s="62">
        <f t="shared" si="3272"/>
        <v>1</v>
      </c>
      <c r="J1636" s="62">
        <f t="shared" si="3272"/>
        <v>1</v>
      </c>
      <c r="K1636" s="62">
        <f t="shared" si="3272"/>
        <v>1</v>
      </c>
      <c r="L1636" s="62">
        <f t="shared" si="3272"/>
        <v>1</v>
      </c>
      <c r="M1636" s="62">
        <f t="shared" si="3272"/>
        <v>1</v>
      </c>
      <c r="N1636" s="62">
        <f t="shared" si="3272"/>
        <v>1</v>
      </c>
      <c r="O1636" s="62">
        <f t="shared" si="3272"/>
        <v>1</v>
      </c>
      <c r="P1636" s="62" t="str">
        <f t="shared" si="3272"/>
        <v/>
      </c>
      <c r="Q1636" s="62" t="str">
        <f t="shared" si="3272"/>
        <v/>
      </c>
      <c r="R1636" s="62">
        <f t="shared" si="7"/>
        <v>0</v>
      </c>
      <c r="S1636" s="62"/>
      <c r="T1636" s="62"/>
      <c r="U1636" s="62"/>
      <c r="V1636" s="62"/>
      <c r="W1636" s="62"/>
      <c r="X1636" s="62"/>
      <c r="Y1636" s="62"/>
      <c r="Z1636" s="62"/>
      <c r="AA1636" s="62"/>
      <c r="AB1636" s="62"/>
      <c r="AC1636" s="62"/>
    </row>
    <row r="1637" hidden="1">
      <c r="A1637" s="60">
        <f>IFERROR(__xludf.DUMMYFUNCTION("""COMPUTED_VALUE"""),16319.0)</f>
        <v>16319</v>
      </c>
      <c r="B1637" s="60" t="str">
        <f>IFERROR(__xludf.DUMMYFUNCTION("""COMPUTED_VALUE"""),"Smith, Terell")</f>
        <v>Smith, Terell</v>
      </c>
      <c r="C1637" s="60" t="str">
        <f>IFERROR(__xludf.DUMMYFUNCTION("""COMPUTED_VALUE"""),"CB")</f>
        <v>CB</v>
      </c>
      <c r="D1637" s="60" t="str">
        <f>IFERROR(__xludf.DUMMYFUNCTION("""COMPUTED_VALUE"""),"PIT")</f>
        <v>PIT</v>
      </c>
      <c r="E1637" s="62" t="str">
        <f t="shared" si="4"/>
        <v>Terell Smith</v>
      </c>
      <c r="F1637" s="62">
        <f t="shared" ref="F1637:G1637" si="3273">IF(isblank(F$1),,IF(isblank($A1637),,IFERROR(vlookup($A1637,indirect("'TVC-"&amp;text(month(F$1),"00")&amp;"'!$A:$D"),4,false),1)))</f>
        <v>1</v>
      </c>
      <c r="G1637" s="62">
        <f t="shared" si="3273"/>
        <v>1</v>
      </c>
      <c r="H1637" s="62">
        <f t="shared" ref="H1637:Q1637" si="3274">IF(isblank(H$1),,IFERROR(vlookup($A1637,indirect("'TVC-"&amp;text(month(H$1),"00")&amp;"'!$A:$D"),4,false),1))</f>
        <v>1</v>
      </c>
      <c r="I1637" s="62">
        <f t="shared" si="3274"/>
        <v>1</v>
      </c>
      <c r="J1637" s="62">
        <f t="shared" si="3274"/>
        <v>1</v>
      </c>
      <c r="K1637" s="62">
        <f t="shared" si="3274"/>
        <v>1</v>
      </c>
      <c r="L1637" s="62">
        <f t="shared" si="3274"/>
        <v>1</v>
      </c>
      <c r="M1637" s="62">
        <f t="shared" si="3274"/>
        <v>1</v>
      </c>
      <c r="N1637" s="62">
        <f t="shared" si="3274"/>
        <v>1</v>
      </c>
      <c r="O1637" s="62">
        <f t="shared" si="3274"/>
        <v>1</v>
      </c>
      <c r="P1637" s="62" t="str">
        <f t="shared" si="3274"/>
        <v/>
      </c>
      <c r="Q1637" s="62" t="str">
        <f t="shared" si="3274"/>
        <v/>
      </c>
      <c r="R1637" s="62">
        <f t="shared" si="7"/>
        <v>0</v>
      </c>
      <c r="S1637" s="62"/>
      <c r="T1637" s="62"/>
      <c r="U1637" s="62"/>
      <c r="V1637" s="62"/>
      <c r="W1637" s="62"/>
      <c r="X1637" s="62"/>
      <c r="Y1637" s="62"/>
      <c r="Z1637" s="62"/>
      <c r="AA1637" s="62"/>
      <c r="AB1637" s="62"/>
      <c r="AC1637" s="62"/>
    </row>
    <row r="1638" hidden="1">
      <c r="A1638" s="60">
        <f>IFERROR(__xludf.DUMMYFUNCTION("""COMPUTED_VALUE"""),16321.0)</f>
        <v>16321</v>
      </c>
      <c r="B1638" s="60" t="str">
        <f>IFERROR(__xludf.DUMMYFUNCTION("""COMPUTED_VALUE"""),"Smith, Christopher")</f>
        <v>Smith, Christopher</v>
      </c>
      <c r="C1638" s="60" t="str">
        <f>IFERROR(__xludf.DUMMYFUNCTION("""COMPUTED_VALUE"""),"S")</f>
        <v>S</v>
      </c>
      <c r="D1638" s="60" t="str">
        <f>IFERROR(__xludf.DUMMYFUNCTION("""COMPUTED_VALUE"""),"FA")</f>
        <v>FA</v>
      </c>
      <c r="E1638" s="62" t="str">
        <f t="shared" si="4"/>
        <v>Christopher Smith</v>
      </c>
      <c r="F1638" s="62">
        <f t="shared" ref="F1638:G1638" si="3275">IF(isblank(F$1),,IF(isblank($A1638),,IFERROR(vlookup($A1638,indirect("'TVC-"&amp;text(month(F$1),"00")&amp;"'!$A:$D"),4,false),1)))</f>
        <v>1</v>
      </c>
      <c r="G1638" s="62">
        <f t="shared" si="3275"/>
        <v>1</v>
      </c>
      <c r="H1638" s="62">
        <f t="shared" ref="H1638:Q1638" si="3276">IF(isblank(H$1),,IFERROR(vlookup($A1638,indirect("'TVC-"&amp;text(month(H$1),"00")&amp;"'!$A:$D"),4,false),1))</f>
        <v>1</v>
      </c>
      <c r="I1638" s="62">
        <f t="shared" si="3276"/>
        <v>1</v>
      </c>
      <c r="J1638" s="62">
        <f t="shared" si="3276"/>
        <v>1</v>
      </c>
      <c r="K1638" s="62">
        <f t="shared" si="3276"/>
        <v>1</v>
      </c>
      <c r="L1638" s="62">
        <f t="shared" si="3276"/>
        <v>1</v>
      </c>
      <c r="M1638" s="62">
        <f t="shared" si="3276"/>
        <v>1</v>
      </c>
      <c r="N1638" s="62">
        <f t="shared" si="3276"/>
        <v>1</v>
      </c>
      <c r="O1638" s="62">
        <f t="shared" si="3276"/>
        <v>1</v>
      </c>
      <c r="P1638" s="62" t="str">
        <f t="shared" si="3276"/>
        <v/>
      </c>
      <c r="Q1638" s="62" t="str">
        <f t="shared" si="3276"/>
        <v/>
      </c>
      <c r="R1638" s="62">
        <f t="shared" si="7"/>
        <v>0</v>
      </c>
      <c r="S1638" s="62"/>
      <c r="T1638" s="62"/>
      <c r="U1638" s="62"/>
      <c r="V1638" s="62"/>
      <c r="W1638" s="62"/>
      <c r="X1638" s="62"/>
      <c r="Y1638" s="62"/>
      <c r="Z1638" s="62"/>
      <c r="AA1638" s="62"/>
      <c r="AB1638" s="62"/>
      <c r="AC1638" s="62"/>
    </row>
    <row r="1639" hidden="1">
      <c r="A1639" s="60">
        <f>IFERROR(__xludf.DUMMYFUNCTION("""COMPUTED_VALUE"""),16322.0)</f>
        <v>16322</v>
      </c>
      <c r="B1639" s="60" t="str">
        <f>IFERROR(__xludf.DUMMYFUNCTION("""COMPUTED_VALUE"""),"Beal, Robert")</f>
        <v>Beal, Robert</v>
      </c>
      <c r="C1639" s="60" t="str">
        <f>IFERROR(__xludf.DUMMYFUNCTION("""COMPUTED_VALUE"""),"DE")</f>
        <v>DE</v>
      </c>
      <c r="D1639" s="60" t="str">
        <f>IFERROR(__xludf.DUMMYFUNCTION("""COMPUTED_VALUE"""),"MIA")</f>
        <v>MIA</v>
      </c>
      <c r="E1639" s="62" t="str">
        <f t="shared" si="4"/>
        <v>Robert Beal</v>
      </c>
      <c r="F1639" s="62">
        <f t="shared" ref="F1639:G1639" si="3277">IF(isblank(F$1),,IF(isblank($A1639),,IFERROR(vlookup($A1639,indirect("'TVC-"&amp;text(month(F$1),"00")&amp;"'!$A:$D"),4,false),1)))</f>
        <v>1</v>
      </c>
      <c r="G1639" s="62">
        <f t="shared" si="3277"/>
        <v>1</v>
      </c>
      <c r="H1639" s="62">
        <f t="shared" ref="H1639:Q1639" si="3278">IF(isblank(H$1),,IFERROR(vlookup($A1639,indirect("'TVC-"&amp;text(month(H$1),"00")&amp;"'!$A:$D"),4,false),1))</f>
        <v>1</v>
      </c>
      <c r="I1639" s="62">
        <f t="shared" si="3278"/>
        <v>1</v>
      </c>
      <c r="J1639" s="62">
        <f t="shared" si="3278"/>
        <v>1</v>
      </c>
      <c r="K1639" s="62">
        <f t="shared" si="3278"/>
        <v>1</v>
      </c>
      <c r="L1639" s="62">
        <f t="shared" si="3278"/>
        <v>1</v>
      </c>
      <c r="M1639" s="62">
        <f t="shared" si="3278"/>
        <v>1</v>
      </c>
      <c r="N1639" s="62">
        <f t="shared" si="3278"/>
        <v>1</v>
      </c>
      <c r="O1639" s="62">
        <f t="shared" si="3278"/>
        <v>1</v>
      </c>
      <c r="P1639" s="62" t="str">
        <f t="shared" si="3278"/>
        <v/>
      </c>
      <c r="Q1639" s="62" t="str">
        <f t="shared" si="3278"/>
        <v/>
      </c>
      <c r="R1639" s="62">
        <f t="shared" si="7"/>
        <v>0</v>
      </c>
      <c r="S1639" s="62"/>
      <c r="T1639" s="62"/>
      <c r="U1639" s="62"/>
      <c r="V1639" s="62"/>
      <c r="W1639" s="62"/>
      <c r="X1639" s="62"/>
      <c r="Y1639" s="62"/>
      <c r="Z1639" s="62"/>
      <c r="AA1639" s="62"/>
      <c r="AB1639" s="62"/>
      <c r="AC1639" s="62"/>
    </row>
    <row r="1640" hidden="1">
      <c r="A1640" s="60">
        <f>IFERROR(__xludf.DUMMYFUNCTION("""COMPUTED_VALUE"""),16324.0)</f>
        <v>16324</v>
      </c>
      <c r="B1640" s="60" t="str">
        <f>IFERROR(__xludf.DUMMYFUNCTION("""COMPUTED_VALUE"""),"Brooks, Karl")</f>
        <v>Brooks, Karl</v>
      </c>
      <c r="C1640" s="60" t="str">
        <f>IFERROR(__xludf.DUMMYFUNCTION("""COMPUTED_VALUE"""),"DT")</f>
        <v>DT</v>
      </c>
      <c r="D1640" s="60" t="str">
        <f>IFERROR(__xludf.DUMMYFUNCTION("""COMPUTED_VALUE"""),"GBP")</f>
        <v>GBP</v>
      </c>
      <c r="E1640" s="62" t="str">
        <f t="shared" si="4"/>
        <v>Karl Brooks</v>
      </c>
      <c r="F1640" s="62">
        <f t="shared" ref="F1640:G1640" si="3279">IF(isblank(F$1),,IF(isblank($A1640),,IFERROR(vlookup($A1640,indirect("'TVC-"&amp;text(month(F$1),"00")&amp;"'!$A:$D"),4,false),1)))</f>
        <v>1</v>
      </c>
      <c r="G1640" s="62">
        <f t="shared" si="3279"/>
        <v>1</v>
      </c>
      <c r="H1640" s="62">
        <f t="shared" ref="H1640:Q1640" si="3280">IF(isblank(H$1),,IFERROR(vlookup($A1640,indirect("'TVC-"&amp;text(month(H$1),"00")&amp;"'!$A:$D"),4,false),1))</f>
        <v>1</v>
      </c>
      <c r="I1640" s="62">
        <f t="shared" si="3280"/>
        <v>1</v>
      </c>
      <c r="J1640" s="62">
        <f t="shared" si="3280"/>
        <v>1</v>
      </c>
      <c r="K1640" s="62">
        <f t="shared" si="3280"/>
        <v>1</v>
      </c>
      <c r="L1640" s="62">
        <f t="shared" si="3280"/>
        <v>1</v>
      </c>
      <c r="M1640" s="62">
        <f t="shared" si="3280"/>
        <v>1</v>
      </c>
      <c r="N1640" s="62">
        <f t="shared" si="3280"/>
        <v>1</v>
      </c>
      <c r="O1640" s="62">
        <f t="shared" si="3280"/>
        <v>1</v>
      </c>
      <c r="P1640" s="62" t="str">
        <f t="shared" si="3280"/>
        <v/>
      </c>
      <c r="Q1640" s="62" t="str">
        <f t="shared" si="3280"/>
        <v/>
      </c>
      <c r="R1640" s="62">
        <f t="shared" si="7"/>
        <v>0</v>
      </c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</row>
    <row r="1641" hidden="1">
      <c r="A1641" s="60">
        <f>IFERROR(__xludf.DUMMYFUNCTION("""COMPUTED_VALUE"""),16325.0)</f>
        <v>16325</v>
      </c>
      <c r="B1641" s="60" t="str">
        <f>IFERROR(__xludf.DUMMYFUNCTION("""COMPUTED_VALUE"""),"Clark, Kei'Trel")</f>
        <v>Clark, Kei'Trel</v>
      </c>
      <c r="C1641" s="60" t="str">
        <f>IFERROR(__xludf.DUMMYFUNCTION("""COMPUTED_VALUE"""),"CB")</f>
        <v>CB</v>
      </c>
      <c r="D1641" s="60" t="str">
        <f>IFERROR(__xludf.DUMMYFUNCTION("""COMPUTED_VALUE"""),"ARI")</f>
        <v>ARI</v>
      </c>
      <c r="E1641" s="62" t="str">
        <f t="shared" si="4"/>
        <v>Kei'Trel Clark</v>
      </c>
      <c r="F1641" s="62">
        <f t="shared" ref="F1641:G1641" si="3281">IF(isblank(F$1),,IF(isblank($A1641),,IFERROR(vlookup($A1641,indirect("'TVC-"&amp;text(month(F$1),"00")&amp;"'!$A:$D"),4,false),1)))</f>
        <v>1</v>
      </c>
      <c r="G1641" s="62">
        <f t="shared" si="3281"/>
        <v>1</v>
      </c>
      <c r="H1641" s="62">
        <f t="shared" ref="H1641:Q1641" si="3282">IF(isblank(H$1),,IFERROR(vlookup($A1641,indirect("'TVC-"&amp;text(month(H$1),"00")&amp;"'!$A:$D"),4,false),1))</f>
        <v>1</v>
      </c>
      <c r="I1641" s="62">
        <f t="shared" si="3282"/>
        <v>1</v>
      </c>
      <c r="J1641" s="62">
        <f t="shared" si="3282"/>
        <v>1</v>
      </c>
      <c r="K1641" s="62">
        <f t="shared" si="3282"/>
        <v>1</v>
      </c>
      <c r="L1641" s="62">
        <f t="shared" si="3282"/>
        <v>1</v>
      </c>
      <c r="M1641" s="62">
        <f t="shared" si="3282"/>
        <v>1</v>
      </c>
      <c r="N1641" s="62">
        <f t="shared" si="3282"/>
        <v>1</v>
      </c>
      <c r="O1641" s="62">
        <f t="shared" si="3282"/>
        <v>1</v>
      </c>
      <c r="P1641" s="62" t="str">
        <f t="shared" si="3282"/>
        <v/>
      </c>
      <c r="Q1641" s="62" t="str">
        <f t="shared" si="3282"/>
        <v/>
      </c>
      <c r="R1641" s="62">
        <f t="shared" si="7"/>
        <v>0</v>
      </c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</row>
    <row r="1642" hidden="1">
      <c r="A1642" s="60">
        <f>IFERROR(__xludf.DUMMYFUNCTION("""COMPUTED_VALUE"""),16326.0)</f>
        <v>16326</v>
      </c>
      <c r="B1642" s="60" t="str">
        <f>IFERROR(__xludf.DUMMYFUNCTION("""COMPUTED_VALUE"""),"Hayes, Josh")</f>
        <v>Hayes, Josh</v>
      </c>
      <c r="C1642" s="60" t="str">
        <f>IFERROR(__xludf.DUMMYFUNCTION("""COMPUTED_VALUE"""),"CB")</f>
        <v>CB</v>
      </c>
      <c r="D1642" s="60" t="str">
        <f>IFERROR(__xludf.DUMMYFUNCTION("""COMPUTED_VALUE"""),"TBB")</f>
        <v>TBB</v>
      </c>
      <c r="E1642" s="62" t="str">
        <f t="shared" si="4"/>
        <v>Josh Hayes</v>
      </c>
      <c r="F1642" s="62">
        <f t="shared" ref="F1642:G1642" si="3283">IF(isblank(F$1),,IF(isblank($A1642),,IFERROR(vlookup($A1642,indirect("'TVC-"&amp;text(month(F$1),"00")&amp;"'!$A:$D"),4,false),1)))</f>
        <v>1</v>
      </c>
      <c r="G1642" s="62">
        <f t="shared" si="3283"/>
        <v>1</v>
      </c>
      <c r="H1642" s="62">
        <f t="shared" ref="H1642:Q1642" si="3284">IF(isblank(H$1),,IFERROR(vlookup($A1642,indirect("'TVC-"&amp;text(month(H$1),"00")&amp;"'!$A:$D"),4,false),1))</f>
        <v>1</v>
      </c>
      <c r="I1642" s="62">
        <f t="shared" si="3284"/>
        <v>1</v>
      </c>
      <c r="J1642" s="62">
        <f t="shared" si="3284"/>
        <v>1</v>
      </c>
      <c r="K1642" s="62">
        <f t="shared" si="3284"/>
        <v>1</v>
      </c>
      <c r="L1642" s="62">
        <f t="shared" si="3284"/>
        <v>1</v>
      </c>
      <c r="M1642" s="62">
        <f t="shared" si="3284"/>
        <v>1</v>
      </c>
      <c r="N1642" s="62">
        <f t="shared" si="3284"/>
        <v>1</v>
      </c>
      <c r="O1642" s="62">
        <f t="shared" si="3284"/>
        <v>1</v>
      </c>
      <c r="P1642" s="62" t="str">
        <f t="shared" si="3284"/>
        <v/>
      </c>
      <c r="Q1642" s="62" t="str">
        <f t="shared" si="3284"/>
        <v/>
      </c>
      <c r="R1642" s="62">
        <f t="shared" si="7"/>
        <v>0</v>
      </c>
      <c r="S1642" s="62"/>
      <c r="T1642" s="62"/>
      <c r="U1642" s="62"/>
      <c r="V1642" s="62"/>
      <c r="W1642" s="62"/>
      <c r="X1642" s="62"/>
      <c r="Y1642" s="62"/>
      <c r="Z1642" s="62"/>
      <c r="AA1642" s="62"/>
      <c r="AB1642" s="62"/>
      <c r="AC1642" s="62"/>
    </row>
    <row r="1643" hidden="1">
      <c r="A1643" s="60">
        <f>IFERROR(__xludf.DUMMYFUNCTION("""COMPUTED_VALUE"""),16328.0)</f>
        <v>16328</v>
      </c>
      <c r="B1643" s="60" t="str">
        <f>IFERROR(__xludf.DUMMYFUNCTION("""COMPUTED_VALUE"""),"Barnes, Zaire")</f>
        <v>Barnes, Zaire</v>
      </c>
      <c r="C1643" s="60" t="str">
        <f>IFERROR(__xludf.DUMMYFUNCTION("""COMPUTED_VALUE"""),"LB")</f>
        <v>LB</v>
      </c>
      <c r="D1643" s="60" t="str">
        <f>IFERROR(__xludf.DUMMYFUNCTION("""COMPUTED_VALUE"""),"NYG")</f>
        <v>NYG</v>
      </c>
      <c r="E1643" s="62" t="str">
        <f t="shared" si="4"/>
        <v>Zaire Barnes</v>
      </c>
      <c r="F1643" s="62">
        <f t="shared" ref="F1643:G1643" si="3285">IF(isblank(F$1),,IF(isblank($A1643),,IFERROR(vlookup($A1643,indirect("'TVC-"&amp;text(month(F$1),"00")&amp;"'!$A:$D"),4,false),1)))</f>
        <v>1</v>
      </c>
      <c r="G1643" s="62">
        <f t="shared" si="3285"/>
        <v>1</v>
      </c>
      <c r="H1643" s="62">
        <f t="shared" ref="H1643:Q1643" si="3286">IF(isblank(H$1),,IFERROR(vlookup($A1643,indirect("'TVC-"&amp;text(month(H$1),"00")&amp;"'!$A:$D"),4,false),1))</f>
        <v>1</v>
      </c>
      <c r="I1643" s="62">
        <f t="shared" si="3286"/>
        <v>1</v>
      </c>
      <c r="J1643" s="62">
        <f t="shared" si="3286"/>
        <v>1</v>
      </c>
      <c r="K1643" s="62">
        <f t="shared" si="3286"/>
        <v>1</v>
      </c>
      <c r="L1643" s="62">
        <f t="shared" si="3286"/>
        <v>1</v>
      </c>
      <c r="M1643" s="62">
        <f t="shared" si="3286"/>
        <v>1</v>
      </c>
      <c r="N1643" s="62">
        <f t="shared" si="3286"/>
        <v>1</v>
      </c>
      <c r="O1643" s="62">
        <f t="shared" si="3286"/>
        <v>1</v>
      </c>
      <c r="P1643" s="62" t="str">
        <f t="shared" si="3286"/>
        <v/>
      </c>
      <c r="Q1643" s="62" t="str">
        <f t="shared" si="3286"/>
        <v/>
      </c>
      <c r="R1643" s="62">
        <f t="shared" si="7"/>
        <v>0</v>
      </c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</row>
    <row r="1644" hidden="1">
      <c r="A1644" s="60">
        <f>IFERROR(__xludf.DUMMYFUNCTION("""COMPUTED_VALUE"""),16330.0)</f>
        <v>16330</v>
      </c>
      <c r="B1644" s="60" t="str">
        <f>IFERROR(__xludf.DUMMYFUNCTION("""COMPUTED_VALUE"""),"Baringer, Bryce")</f>
        <v>Baringer, Bryce</v>
      </c>
      <c r="C1644" s="60" t="str">
        <f>IFERROR(__xludf.DUMMYFUNCTION("""COMPUTED_VALUE"""),"PN")</f>
        <v>PN</v>
      </c>
      <c r="D1644" s="60" t="str">
        <f>IFERROR(__xludf.DUMMYFUNCTION("""COMPUTED_VALUE"""),"NEP")</f>
        <v>NEP</v>
      </c>
      <c r="E1644" s="62" t="str">
        <f t="shared" si="4"/>
        <v>Bryce Baringer</v>
      </c>
      <c r="F1644" s="62">
        <f t="shared" ref="F1644:G1644" si="3287">IF(isblank(F$1),,IF(isblank($A1644),,IFERROR(vlookup($A1644,indirect("'TVC-"&amp;text(month(F$1),"00")&amp;"'!$A:$D"),4,false),1)))</f>
        <v>1</v>
      </c>
      <c r="G1644" s="62">
        <f t="shared" si="3287"/>
        <v>1</v>
      </c>
      <c r="H1644" s="62">
        <f t="shared" ref="H1644:Q1644" si="3288">IF(isblank(H$1),,IFERROR(vlookup($A1644,indirect("'TVC-"&amp;text(month(H$1),"00")&amp;"'!$A:$D"),4,false),1))</f>
        <v>1</v>
      </c>
      <c r="I1644" s="62">
        <f t="shared" si="3288"/>
        <v>1</v>
      </c>
      <c r="J1644" s="62">
        <f t="shared" si="3288"/>
        <v>1</v>
      </c>
      <c r="K1644" s="62">
        <f t="shared" si="3288"/>
        <v>1</v>
      </c>
      <c r="L1644" s="62">
        <f t="shared" si="3288"/>
        <v>1</v>
      </c>
      <c r="M1644" s="62">
        <f t="shared" si="3288"/>
        <v>1</v>
      </c>
      <c r="N1644" s="62">
        <f t="shared" si="3288"/>
        <v>1</v>
      </c>
      <c r="O1644" s="62">
        <f t="shared" si="3288"/>
        <v>1</v>
      </c>
      <c r="P1644" s="62" t="str">
        <f t="shared" si="3288"/>
        <v/>
      </c>
      <c r="Q1644" s="62" t="str">
        <f t="shared" si="3288"/>
        <v/>
      </c>
      <c r="R1644" s="62">
        <f t="shared" si="7"/>
        <v>0</v>
      </c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</row>
    <row r="1645" hidden="1">
      <c r="A1645" s="60">
        <f>IFERROR(__xludf.DUMMYFUNCTION("""COMPUTED_VALUE"""),16332.0)</f>
        <v>16332</v>
      </c>
      <c r="B1645" s="60" t="str">
        <f>IFERROR(__xludf.DUMMYFUNCTION("""COMPUTED_VALUE"""),"Ramirez, Jose")</f>
        <v>Ramirez, Jose</v>
      </c>
      <c r="C1645" s="60" t="str">
        <f>IFERROR(__xludf.DUMMYFUNCTION("""COMPUTED_VALUE"""),"DE")</f>
        <v>DE</v>
      </c>
      <c r="D1645" s="60" t="str">
        <f>IFERROR(__xludf.DUMMYFUNCTION("""COMPUTED_VALUE"""),"NEP")</f>
        <v>NEP</v>
      </c>
      <c r="E1645" s="62" t="str">
        <f t="shared" si="4"/>
        <v>Jose Ramirez</v>
      </c>
      <c r="F1645" s="62">
        <f t="shared" ref="F1645:G1645" si="3289">IF(isblank(F$1),,IF(isblank($A1645),,IFERROR(vlookup($A1645,indirect("'TVC-"&amp;text(month(F$1),"00")&amp;"'!$A:$D"),4,false),1)))</f>
        <v>1</v>
      </c>
      <c r="G1645" s="62">
        <f t="shared" si="3289"/>
        <v>1</v>
      </c>
      <c r="H1645" s="62">
        <f t="shared" ref="H1645:Q1645" si="3290">IF(isblank(H$1),,IFERROR(vlookup($A1645,indirect("'TVC-"&amp;text(month(H$1),"00")&amp;"'!$A:$D"),4,false),1))</f>
        <v>1</v>
      </c>
      <c r="I1645" s="62">
        <f t="shared" si="3290"/>
        <v>1</v>
      </c>
      <c r="J1645" s="62">
        <f t="shared" si="3290"/>
        <v>1</v>
      </c>
      <c r="K1645" s="62">
        <f t="shared" si="3290"/>
        <v>1</v>
      </c>
      <c r="L1645" s="62">
        <f t="shared" si="3290"/>
        <v>1</v>
      </c>
      <c r="M1645" s="62">
        <f t="shared" si="3290"/>
        <v>1</v>
      </c>
      <c r="N1645" s="62">
        <f t="shared" si="3290"/>
        <v>1</v>
      </c>
      <c r="O1645" s="62">
        <f t="shared" si="3290"/>
        <v>1</v>
      </c>
      <c r="P1645" s="62" t="str">
        <f t="shared" si="3290"/>
        <v/>
      </c>
      <c r="Q1645" s="62" t="str">
        <f t="shared" si="3290"/>
        <v/>
      </c>
      <c r="R1645" s="62">
        <f t="shared" si="7"/>
        <v>0</v>
      </c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</row>
    <row r="1646" hidden="1">
      <c r="A1646" s="60">
        <f>IFERROR(__xludf.DUMMYFUNCTION("""COMPUTED_VALUE"""),16333.0)</f>
        <v>16333</v>
      </c>
      <c r="B1646" s="60" t="str">
        <f>IFERROR(__xludf.DUMMYFUNCTION("""COMPUTED_VALUE"""),"Higgins, Elijah")</f>
        <v>Higgins, Elijah</v>
      </c>
      <c r="C1646" s="60" t="str">
        <f>IFERROR(__xludf.DUMMYFUNCTION("""COMPUTED_VALUE"""),"TE")</f>
        <v>TE</v>
      </c>
      <c r="D1646" s="60" t="str">
        <f>IFERROR(__xludf.DUMMYFUNCTION("""COMPUTED_VALUE"""),"ARI")</f>
        <v>ARI</v>
      </c>
      <c r="E1646" s="62" t="str">
        <f t="shared" si="4"/>
        <v>Elijah Higgins</v>
      </c>
      <c r="F1646" s="62">
        <f t="shared" ref="F1646:G1646" si="3291">IF(isblank(F$1),,IF(isblank($A1646),,IFERROR(vlookup($A1646,indirect("'TVC-"&amp;text(month(F$1),"00")&amp;"'!$A:$D"),4,false),1)))</f>
        <v>1538</v>
      </c>
      <c r="G1646" s="62">
        <f t="shared" si="3291"/>
        <v>1481</v>
      </c>
      <c r="H1646" s="62">
        <f t="shared" ref="H1646:Q1646" si="3292">IF(isblank(H$1),,IFERROR(vlookup($A1646,indirect("'TVC-"&amp;text(month(H$1),"00")&amp;"'!$A:$D"),4,false),1))</f>
        <v>1466</v>
      </c>
      <c r="I1646" s="62">
        <f t="shared" si="3292"/>
        <v>1554</v>
      </c>
      <c r="J1646" s="62">
        <f t="shared" si="3292"/>
        <v>1621</v>
      </c>
      <c r="K1646" s="62">
        <f t="shared" si="3292"/>
        <v>1595</v>
      </c>
      <c r="L1646" s="62">
        <f t="shared" si="3292"/>
        <v>1566</v>
      </c>
      <c r="M1646" s="62">
        <f t="shared" si="3292"/>
        <v>1530</v>
      </c>
      <c r="N1646" s="62">
        <f t="shared" si="3292"/>
        <v>1498</v>
      </c>
      <c r="O1646" s="62">
        <f t="shared" si="3292"/>
        <v>1</v>
      </c>
      <c r="P1646" s="62" t="str">
        <f t="shared" si="3292"/>
        <v/>
      </c>
      <c r="Q1646" s="62" t="str">
        <f t="shared" si="3292"/>
        <v/>
      </c>
      <c r="R1646" s="62">
        <f t="shared" si="7"/>
        <v>-1497</v>
      </c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</row>
    <row r="1647" hidden="1">
      <c r="A1647" s="60">
        <f>IFERROR(__xludf.DUMMYFUNCTION("""COMPUTED_VALUE"""),16334.0)</f>
        <v>16334</v>
      </c>
      <c r="B1647" s="60" t="str">
        <f>IFERROR(__xludf.DUMMYFUNCTION("""COMPUTED_VALUE"""),"Reed, Jerrick")</f>
        <v>Reed, Jerrick</v>
      </c>
      <c r="C1647" s="60" t="str">
        <f>IFERROR(__xludf.DUMMYFUNCTION("""COMPUTED_VALUE"""),"S")</f>
        <v>S</v>
      </c>
      <c r="D1647" s="60" t="str">
        <f>IFERROR(__xludf.DUMMYFUNCTION("""COMPUTED_VALUE"""),"ARI")</f>
        <v>ARI</v>
      </c>
      <c r="E1647" s="62" t="str">
        <f t="shared" si="4"/>
        <v>Jerrick Reed</v>
      </c>
      <c r="F1647" s="62">
        <f t="shared" ref="F1647:G1647" si="3293">IF(isblank(F$1),,IF(isblank($A1647),,IFERROR(vlookup($A1647,indirect("'TVC-"&amp;text(month(F$1),"00")&amp;"'!$A:$D"),4,false),1)))</f>
        <v>1</v>
      </c>
      <c r="G1647" s="62">
        <f t="shared" si="3293"/>
        <v>1</v>
      </c>
      <c r="H1647" s="62">
        <f t="shared" ref="H1647:Q1647" si="3294">IF(isblank(H$1),,IFERROR(vlookup($A1647,indirect("'TVC-"&amp;text(month(H$1),"00")&amp;"'!$A:$D"),4,false),1))</f>
        <v>1</v>
      </c>
      <c r="I1647" s="62">
        <f t="shared" si="3294"/>
        <v>1</v>
      </c>
      <c r="J1647" s="62">
        <f t="shared" si="3294"/>
        <v>1</v>
      </c>
      <c r="K1647" s="62">
        <f t="shared" si="3294"/>
        <v>1</v>
      </c>
      <c r="L1647" s="62">
        <f t="shared" si="3294"/>
        <v>1</v>
      </c>
      <c r="M1647" s="62">
        <f t="shared" si="3294"/>
        <v>1</v>
      </c>
      <c r="N1647" s="62">
        <f t="shared" si="3294"/>
        <v>1</v>
      </c>
      <c r="O1647" s="62">
        <f t="shared" si="3294"/>
        <v>1</v>
      </c>
      <c r="P1647" s="62" t="str">
        <f t="shared" si="3294"/>
        <v/>
      </c>
      <c r="Q1647" s="62" t="str">
        <f t="shared" si="3294"/>
        <v/>
      </c>
      <c r="R1647" s="62">
        <f t="shared" si="7"/>
        <v>0</v>
      </c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</row>
    <row r="1648" hidden="1">
      <c r="A1648" s="60">
        <f>IFERROR(__xludf.DUMMYFUNCTION("""COMPUTED_VALUE"""),16335.0)</f>
        <v>16335</v>
      </c>
      <c r="B1648" s="60" t="str">
        <f>IFERROR(__xludf.DUMMYFUNCTION("""COMPUTED_VALUE"""),"Matlock, Scott")</f>
        <v>Matlock, Scott</v>
      </c>
      <c r="C1648" s="60" t="str">
        <f>IFERROR(__xludf.DUMMYFUNCTION("""COMPUTED_VALUE"""),"RB")</f>
        <v>RB</v>
      </c>
      <c r="D1648" s="60" t="str">
        <f>IFERROR(__xludf.DUMMYFUNCTION("""COMPUTED_VALUE"""),"LAC")</f>
        <v>LAC</v>
      </c>
      <c r="E1648" s="62" t="str">
        <f t="shared" si="4"/>
        <v>Scott Matlock</v>
      </c>
      <c r="F1648" s="62">
        <f t="shared" ref="F1648:G1648" si="3295">IF(isblank(F$1),,IF(isblank($A1648),,IFERROR(vlookup($A1648,indirect("'TVC-"&amp;text(month(F$1),"00")&amp;"'!$A:$D"),4,false),1)))</f>
        <v>1</v>
      </c>
      <c r="G1648" s="62">
        <f t="shared" si="3295"/>
        <v>1</v>
      </c>
      <c r="H1648" s="62">
        <f t="shared" ref="H1648:Q1648" si="3296">IF(isblank(H$1),,IFERROR(vlookup($A1648,indirect("'TVC-"&amp;text(month(H$1),"00")&amp;"'!$A:$D"),4,false),1))</f>
        <v>1</v>
      </c>
      <c r="I1648" s="62">
        <f t="shared" si="3296"/>
        <v>1</v>
      </c>
      <c r="J1648" s="62">
        <f t="shared" si="3296"/>
        <v>1</v>
      </c>
      <c r="K1648" s="62">
        <f t="shared" si="3296"/>
        <v>1</v>
      </c>
      <c r="L1648" s="62">
        <f t="shared" si="3296"/>
        <v>1</v>
      </c>
      <c r="M1648" s="62">
        <f t="shared" si="3296"/>
        <v>1</v>
      </c>
      <c r="N1648" s="62">
        <f t="shared" si="3296"/>
        <v>1</v>
      </c>
      <c r="O1648" s="62">
        <f t="shared" si="3296"/>
        <v>1</v>
      </c>
      <c r="P1648" s="62" t="str">
        <f t="shared" si="3296"/>
        <v/>
      </c>
      <c r="Q1648" s="62" t="str">
        <f t="shared" si="3296"/>
        <v/>
      </c>
      <c r="R1648" s="62">
        <f t="shared" si="7"/>
        <v>0</v>
      </c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</row>
    <row r="1649" hidden="1">
      <c r="A1649" s="60">
        <f>IFERROR(__xludf.DUMMYFUNCTION("""COMPUTED_VALUE"""),16336.0)</f>
        <v>16336</v>
      </c>
      <c r="B1649" s="60" t="str">
        <f>IFERROR(__xludf.DUMMYFUNCTION("""COMPUTED_VALUE"""),"Braswell, Christian")</f>
        <v>Braswell, Christian</v>
      </c>
      <c r="C1649" s="60" t="str">
        <f>IFERROR(__xludf.DUMMYFUNCTION("""COMPUTED_VALUE"""),"CB")</f>
        <v>CB</v>
      </c>
      <c r="D1649" s="60" t="str">
        <f>IFERROR(__xludf.DUMMYFUNCTION("""COMPUTED_VALUE"""),"FA")</f>
        <v>FA</v>
      </c>
      <c r="E1649" s="62" t="str">
        <f t="shared" si="4"/>
        <v>Christian Braswell</v>
      </c>
      <c r="F1649" s="62">
        <f t="shared" ref="F1649:G1649" si="3297">IF(isblank(F$1),,IF(isblank($A1649),,IFERROR(vlookup($A1649,indirect("'TVC-"&amp;text(month(F$1),"00")&amp;"'!$A:$D"),4,false),1)))</f>
        <v>1</v>
      </c>
      <c r="G1649" s="62">
        <f t="shared" si="3297"/>
        <v>1</v>
      </c>
      <c r="H1649" s="62">
        <f t="shared" ref="H1649:Q1649" si="3298">IF(isblank(H$1),,IFERROR(vlookup($A1649,indirect("'TVC-"&amp;text(month(H$1),"00")&amp;"'!$A:$D"),4,false),1))</f>
        <v>1</v>
      </c>
      <c r="I1649" s="62">
        <f t="shared" si="3298"/>
        <v>1</v>
      </c>
      <c r="J1649" s="62">
        <f t="shared" si="3298"/>
        <v>1</v>
      </c>
      <c r="K1649" s="62">
        <f t="shared" si="3298"/>
        <v>1</v>
      </c>
      <c r="L1649" s="62">
        <f t="shared" si="3298"/>
        <v>1</v>
      </c>
      <c r="M1649" s="62">
        <f t="shared" si="3298"/>
        <v>1</v>
      </c>
      <c r="N1649" s="62">
        <f t="shared" si="3298"/>
        <v>1</v>
      </c>
      <c r="O1649" s="62">
        <f t="shared" si="3298"/>
        <v>1</v>
      </c>
      <c r="P1649" s="62" t="str">
        <f t="shared" si="3298"/>
        <v/>
      </c>
      <c r="Q1649" s="62" t="str">
        <f t="shared" si="3298"/>
        <v/>
      </c>
      <c r="R1649" s="62">
        <f t="shared" si="7"/>
        <v>0</v>
      </c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</row>
    <row r="1650" hidden="1">
      <c r="A1650" s="60">
        <f>IFERROR(__xludf.DUMMYFUNCTION("""COMPUTED_VALUE"""),16338.0)</f>
        <v>16338</v>
      </c>
      <c r="B1650" s="60" t="str">
        <f>IFERROR(__xludf.DUMMYFUNCTION("""COMPUTED_VALUE"""),"Bernard-Converse, Jarrick")</f>
        <v>Bernard-Converse, Jarrick</v>
      </c>
      <c r="C1650" s="60" t="str">
        <f>IFERROR(__xludf.DUMMYFUNCTION("""COMPUTED_VALUE"""),"CB")</f>
        <v>CB</v>
      </c>
      <c r="D1650" s="60" t="str">
        <f>IFERROR(__xludf.DUMMYFUNCTION("""COMPUTED_VALUE"""),"NYG")</f>
        <v>NYG</v>
      </c>
      <c r="E1650" s="62" t="str">
        <f t="shared" si="4"/>
        <v>Jarrick Bernard-Converse</v>
      </c>
      <c r="F1650" s="62">
        <f t="shared" ref="F1650:G1650" si="3299">IF(isblank(F$1),,IF(isblank($A1650),,IFERROR(vlookup($A1650,indirect("'TVC-"&amp;text(month(F$1),"00")&amp;"'!$A:$D"),4,false),1)))</f>
        <v>1</v>
      </c>
      <c r="G1650" s="62">
        <f t="shared" si="3299"/>
        <v>1</v>
      </c>
      <c r="H1650" s="62">
        <f t="shared" ref="H1650:Q1650" si="3300">IF(isblank(H$1),,IFERROR(vlookup($A1650,indirect("'TVC-"&amp;text(month(H$1),"00")&amp;"'!$A:$D"),4,false),1))</f>
        <v>1</v>
      </c>
      <c r="I1650" s="62">
        <f t="shared" si="3300"/>
        <v>1</v>
      </c>
      <c r="J1650" s="62">
        <f t="shared" si="3300"/>
        <v>1</v>
      </c>
      <c r="K1650" s="62">
        <f t="shared" si="3300"/>
        <v>1</v>
      </c>
      <c r="L1650" s="62">
        <f t="shared" si="3300"/>
        <v>1</v>
      </c>
      <c r="M1650" s="62">
        <f t="shared" si="3300"/>
        <v>1</v>
      </c>
      <c r="N1650" s="62">
        <f t="shared" si="3300"/>
        <v>1</v>
      </c>
      <c r="O1650" s="62">
        <f t="shared" si="3300"/>
        <v>1</v>
      </c>
      <c r="P1650" s="62" t="str">
        <f t="shared" si="3300"/>
        <v/>
      </c>
      <c r="Q1650" s="62" t="str">
        <f t="shared" si="3300"/>
        <v/>
      </c>
      <c r="R1650" s="62">
        <f t="shared" si="7"/>
        <v>0</v>
      </c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</row>
    <row r="1651" hidden="1">
      <c r="A1651" s="60">
        <f>IFERROR(__xludf.DUMMYFUNCTION("""COMPUTED_VALUE"""),16339.0)</f>
        <v>16339</v>
      </c>
      <c r="B1651" s="60" t="str">
        <f>IFERROR(__xludf.DUMMYFUNCTION("""COMPUTED_VALUE"""),"Carlson, Anders")</f>
        <v>Carlson, Anders</v>
      </c>
      <c r="C1651" s="60" t="str">
        <f>IFERROR(__xludf.DUMMYFUNCTION("""COMPUTED_VALUE"""),"PK")</f>
        <v>PK</v>
      </c>
      <c r="D1651" s="60" t="str">
        <f>IFERROR(__xludf.DUMMYFUNCTION("""COMPUTED_VALUE"""),"FA")</f>
        <v>FA</v>
      </c>
      <c r="E1651" s="62" t="str">
        <f t="shared" si="4"/>
        <v>Anders Carlson</v>
      </c>
      <c r="F1651" s="62">
        <f t="shared" ref="F1651:G1651" si="3301">IF(isblank(F$1),,IF(isblank($A1651),,IFERROR(vlookup($A1651,indirect("'TVC-"&amp;text(month(F$1),"00")&amp;"'!$A:$D"),4,false),1)))</f>
        <v>1</v>
      </c>
      <c r="G1651" s="62">
        <f t="shared" si="3301"/>
        <v>1</v>
      </c>
      <c r="H1651" s="62">
        <f t="shared" ref="H1651:Q1651" si="3302">IF(isblank(H$1),,IFERROR(vlookup($A1651,indirect("'TVC-"&amp;text(month(H$1),"00")&amp;"'!$A:$D"),4,false),1))</f>
        <v>1</v>
      </c>
      <c r="I1651" s="62">
        <f t="shared" si="3302"/>
        <v>1</v>
      </c>
      <c r="J1651" s="62">
        <f t="shared" si="3302"/>
        <v>1</v>
      </c>
      <c r="K1651" s="62">
        <f t="shared" si="3302"/>
        <v>1</v>
      </c>
      <c r="L1651" s="62">
        <f t="shared" si="3302"/>
        <v>1</v>
      </c>
      <c r="M1651" s="62">
        <f t="shared" si="3302"/>
        <v>1</v>
      </c>
      <c r="N1651" s="62">
        <f t="shared" si="3302"/>
        <v>1</v>
      </c>
      <c r="O1651" s="62">
        <f t="shared" si="3302"/>
        <v>1</v>
      </c>
      <c r="P1651" s="62" t="str">
        <f t="shared" si="3302"/>
        <v/>
      </c>
      <c r="Q1651" s="62" t="str">
        <f t="shared" si="3302"/>
        <v/>
      </c>
      <c r="R1651" s="62">
        <f t="shared" si="7"/>
        <v>0</v>
      </c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</row>
    <row r="1652" hidden="1">
      <c r="A1652" s="60">
        <f>IFERROR(__xludf.DUMMYFUNCTION("""COMPUTED_VALUE"""),16340.0)</f>
        <v>16340</v>
      </c>
      <c r="B1652" s="60" t="str">
        <f>IFERROR(__xludf.DUMMYFUNCTION("""COMPUTED_VALUE"""),"Hallett, Erick")</f>
        <v>Hallett, Erick</v>
      </c>
      <c r="C1652" s="60" t="str">
        <f>IFERROR(__xludf.DUMMYFUNCTION("""COMPUTED_VALUE"""),"S")</f>
        <v>S</v>
      </c>
      <c r="D1652" s="60" t="str">
        <f>IFERROR(__xludf.DUMMYFUNCTION("""COMPUTED_VALUE"""),"FA")</f>
        <v>FA</v>
      </c>
      <c r="E1652" s="62" t="str">
        <f t="shared" si="4"/>
        <v>Erick Hallett</v>
      </c>
      <c r="F1652" s="62">
        <f t="shared" ref="F1652:G1652" si="3303">IF(isblank(F$1),,IF(isblank($A1652),,IFERROR(vlookup($A1652,indirect("'TVC-"&amp;text(month(F$1),"00")&amp;"'!$A:$D"),4,false),1)))</f>
        <v>1</v>
      </c>
      <c r="G1652" s="62">
        <f t="shared" si="3303"/>
        <v>1</v>
      </c>
      <c r="H1652" s="62">
        <f t="shared" ref="H1652:Q1652" si="3304">IF(isblank(H$1),,IFERROR(vlookup($A1652,indirect("'TVC-"&amp;text(month(H$1),"00")&amp;"'!$A:$D"),4,false),1))</f>
        <v>1</v>
      </c>
      <c r="I1652" s="62">
        <f t="shared" si="3304"/>
        <v>1</v>
      </c>
      <c r="J1652" s="62">
        <f t="shared" si="3304"/>
        <v>1</v>
      </c>
      <c r="K1652" s="62">
        <f t="shared" si="3304"/>
        <v>1</v>
      </c>
      <c r="L1652" s="62">
        <f t="shared" si="3304"/>
        <v>1</v>
      </c>
      <c r="M1652" s="62">
        <f t="shared" si="3304"/>
        <v>1</v>
      </c>
      <c r="N1652" s="62">
        <f t="shared" si="3304"/>
        <v>1</v>
      </c>
      <c r="O1652" s="62">
        <f t="shared" si="3304"/>
        <v>1</v>
      </c>
      <c r="P1652" s="62" t="str">
        <f t="shared" si="3304"/>
        <v/>
      </c>
      <c r="Q1652" s="62" t="str">
        <f t="shared" si="3304"/>
        <v/>
      </c>
      <c r="R1652" s="62">
        <f t="shared" si="7"/>
        <v>0</v>
      </c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</row>
    <row r="1653" hidden="1">
      <c r="A1653" s="60">
        <f>IFERROR(__xludf.DUMMYFUNCTION("""COMPUTED_VALUE"""),16341.0)</f>
        <v>16341</v>
      </c>
      <c r="B1653" s="60" t="str">
        <f>IFERROR(__xludf.DUMMYFUNCTION("""COMPUTED_VALUE"""),"Hawkins, Tre")</f>
        <v>Hawkins, Tre</v>
      </c>
      <c r="C1653" s="60" t="str">
        <f>IFERROR(__xludf.DUMMYFUNCTION("""COMPUTED_VALUE"""),"CB")</f>
        <v>CB</v>
      </c>
      <c r="D1653" s="60" t="str">
        <f>IFERROR(__xludf.DUMMYFUNCTION("""COMPUTED_VALUE"""),"FA")</f>
        <v>FA</v>
      </c>
      <c r="E1653" s="62" t="str">
        <f t="shared" si="4"/>
        <v>Tre Hawkins</v>
      </c>
      <c r="F1653" s="62">
        <f t="shared" ref="F1653:G1653" si="3305">IF(isblank(F$1),,IF(isblank($A1653),,IFERROR(vlookup($A1653,indirect("'TVC-"&amp;text(month(F$1),"00")&amp;"'!$A:$D"),4,false),1)))</f>
        <v>1</v>
      </c>
      <c r="G1653" s="62">
        <f t="shared" si="3305"/>
        <v>1</v>
      </c>
      <c r="H1653" s="62">
        <f t="shared" ref="H1653:Q1653" si="3306">IF(isblank(H$1),,IFERROR(vlookup($A1653,indirect("'TVC-"&amp;text(month(H$1),"00")&amp;"'!$A:$D"),4,false),1))</f>
        <v>1</v>
      </c>
      <c r="I1653" s="62">
        <f t="shared" si="3306"/>
        <v>1</v>
      </c>
      <c r="J1653" s="62">
        <f t="shared" si="3306"/>
        <v>1</v>
      </c>
      <c r="K1653" s="62">
        <f t="shared" si="3306"/>
        <v>1</v>
      </c>
      <c r="L1653" s="62">
        <f t="shared" si="3306"/>
        <v>1</v>
      </c>
      <c r="M1653" s="62">
        <f t="shared" si="3306"/>
        <v>1</v>
      </c>
      <c r="N1653" s="62">
        <f t="shared" si="3306"/>
        <v>1</v>
      </c>
      <c r="O1653" s="62">
        <f t="shared" si="3306"/>
        <v>1</v>
      </c>
      <c r="P1653" s="62" t="str">
        <f t="shared" si="3306"/>
        <v/>
      </c>
      <c r="Q1653" s="62" t="str">
        <f t="shared" si="3306"/>
        <v/>
      </c>
      <c r="R1653" s="62">
        <f t="shared" si="7"/>
        <v>0</v>
      </c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</row>
    <row r="1654" hidden="1">
      <c r="A1654" s="60">
        <f>IFERROR(__xludf.DUMMYFUNCTION("""COMPUTED_VALUE"""),16342.0)</f>
        <v>16342</v>
      </c>
      <c r="B1654" s="60" t="str">
        <f>IFERROR(__xludf.DUMMYFUNCTION("""COMPUTED_VALUE"""),"Douglas, Demario")</f>
        <v>Douglas, Demario</v>
      </c>
      <c r="C1654" s="60" t="str">
        <f>IFERROR(__xludf.DUMMYFUNCTION("""COMPUTED_VALUE"""),"WR")</f>
        <v>WR</v>
      </c>
      <c r="D1654" s="60" t="str">
        <f>IFERROR(__xludf.DUMMYFUNCTION("""COMPUTED_VALUE"""),"NEP")</f>
        <v>NEP</v>
      </c>
      <c r="E1654" s="62" t="str">
        <f t="shared" si="4"/>
        <v>Demario Douglas</v>
      </c>
      <c r="F1654" s="62">
        <f t="shared" ref="F1654:G1654" si="3307">IF(isblank(F$1),,IF(isblank($A1654),,IFERROR(vlookup($A1654,indirect("'TVC-"&amp;text(month(F$1),"00")&amp;"'!$A:$D"),4,false),1)))</f>
        <v>2146</v>
      </c>
      <c r="G1654" s="62">
        <f t="shared" si="3307"/>
        <v>2225</v>
      </c>
      <c r="H1654" s="62">
        <f t="shared" ref="H1654:Q1654" si="3308">IF(isblank(H$1),,IFERROR(vlookup($A1654,indirect("'TVC-"&amp;text(month(H$1),"00")&amp;"'!$A:$D"),4,false),1))</f>
        <v>2218</v>
      </c>
      <c r="I1654" s="62">
        <f t="shared" si="3308"/>
        <v>2158</v>
      </c>
      <c r="J1654" s="62">
        <f t="shared" si="3308"/>
        <v>2031</v>
      </c>
      <c r="K1654" s="62">
        <f t="shared" si="3308"/>
        <v>2018</v>
      </c>
      <c r="L1654" s="62">
        <f t="shared" si="3308"/>
        <v>1945</v>
      </c>
      <c r="M1654" s="62">
        <f t="shared" si="3308"/>
        <v>1883</v>
      </c>
      <c r="N1654" s="62">
        <f t="shared" si="3308"/>
        <v>2021</v>
      </c>
      <c r="O1654" s="62">
        <f t="shared" si="3308"/>
        <v>1</v>
      </c>
      <c r="P1654" s="62" t="str">
        <f t="shared" si="3308"/>
        <v/>
      </c>
      <c r="Q1654" s="62" t="str">
        <f t="shared" si="3308"/>
        <v/>
      </c>
      <c r="R1654" s="62">
        <f t="shared" si="7"/>
        <v>-2020</v>
      </c>
      <c r="S1654" s="62"/>
      <c r="T1654" s="62"/>
      <c r="U1654" s="62"/>
      <c r="V1654" s="62"/>
      <c r="W1654" s="62"/>
      <c r="X1654" s="62"/>
      <c r="Y1654" s="62"/>
      <c r="Z1654" s="62"/>
      <c r="AA1654" s="62"/>
      <c r="AB1654" s="62"/>
      <c r="AC1654" s="62"/>
    </row>
    <row r="1655" hidden="1">
      <c r="A1655" s="60">
        <f>IFERROR(__xludf.DUMMYFUNCTION("""COMPUTED_VALUE"""),16344.0)</f>
        <v>16344</v>
      </c>
      <c r="B1655" s="60" t="str">
        <f>IFERROR(__xludf.DUMMYFUNCTION("""COMPUTED_VALUE"""),"Stills, Dante")</f>
        <v>Stills, Dante</v>
      </c>
      <c r="C1655" s="60" t="str">
        <f>IFERROR(__xludf.DUMMYFUNCTION("""COMPUTED_VALUE"""),"DT")</f>
        <v>DT</v>
      </c>
      <c r="D1655" s="60" t="str">
        <f>IFERROR(__xludf.DUMMYFUNCTION("""COMPUTED_VALUE"""),"ARI")</f>
        <v>ARI</v>
      </c>
      <c r="E1655" s="62" t="str">
        <f t="shared" si="4"/>
        <v>Dante Stills</v>
      </c>
      <c r="F1655" s="62">
        <f t="shared" ref="F1655:G1655" si="3309">IF(isblank(F$1),,IF(isblank($A1655),,IFERROR(vlookup($A1655,indirect("'TVC-"&amp;text(month(F$1),"00")&amp;"'!$A:$D"),4,false),1)))</f>
        <v>1</v>
      </c>
      <c r="G1655" s="62">
        <f t="shared" si="3309"/>
        <v>1</v>
      </c>
      <c r="H1655" s="62">
        <f t="shared" ref="H1655:Q1655" si="3310">IF(isblank(H$1),,IFERROR(vlookup($A1655,indirect("'TVC-"&amp;text(month(H$1),"00")&amp;"'!$A:$D"),4,false),1))</f>
        <v>1</v>
      </c>
      <c r="I1655" s="62">
        <f t="shared" si="3310"/>
        <v>1</v>
      </c>
      <c r="J1655" s="62">
        <f t="shared" si="3310"/>
        <v>1</v>
      </c>
      <c r="K1655" s="62">
        <f t="shared" si="3310"/>
        <v>1</v>
      </c>
      <c r="L1655" s="62">
        <f t="shared" si="3310"/>
        <v>1</v>
      </c>
      <c r="M1655" s="62">
        <f t="shared" si="3310"/>
        <v>1</v>
      </c>
      <c r="N1655" s="62">
        <f t="shared" si="3310"/>
        <v>1</v>
      </c>
      <c r="O1655" s="62">
        <f t="shared" si="3310"/>
        <v>1</v>
      </c>
      <c r="P1655" s="62" t="str">
        <f t="shared" si="3310"/>
        <v/>
      </c>
      <c r="Q1655" s="62" t="str">
        <f t="shared" si="3310"/>
        <v/>
      </c>
      <c r="R1655" s="62">
        <f t="shared" si="7"/>
        <v>0</v>
      </c>
      <c r="S1655" s="62"/>
      <c r="T1655" s="62"/>
      <c r="U1655" s="62"/>
      <c r="V1655" s="62"/>
      <c r="W1655" s="62"/>
      <c r="X1655" s="62"/>
      <c r="Y1655" s="62"/>
      <c r="Z1655" s="62"/>
      <c r="AA1655" s="62"/>
      <c r="AB1655" s="62"/>
      <c r="AC1655" s="62"/>
    </row>
    <row r="1656" hidden="1">
      <c r="A1656" s="60">
        <f>IFERROR(__xludf.DUMMYFUNCTION("""COMPUTED_VALUE"""),16345.0)</f>
        <v>16345</v>
      </c>
      <c r="B1656" s="60" t="str">
        <f>IFERROR(__xludf.DUMMYFUNCTION("""COMPUTED_VALUE"""),"Speed, Ameer")</f>
        <v>Speed, Ameer</v>
      </c>
      <c r="C1656" s="60" t="str">
        <f>IFERROR(__xludf.DUMMYFUNCTION("""COMPUTED_VALUE"""),"CB")</f>
        <v>CB</v>
      </c>
      <c r="D1656" s="60" t="str">
        <f>IFERROR(__xludf.DUMMYFUNCTION("""COMPUTED_VALUE"""),"DAL")</f>
        <v>DAL</v>
      </c>
      <c r="E1656" s="62" t="str">
        <f t="shared" si="4"/>
        <v>Ameer Speed</v>
      </c>
      <c r="F1656" s="62">
        <f t="shared" ref="F1656:G1656" si="3311">IF(isblank(F$1),,IF(isblank($A1656),,IFERROR(vlookup($A1656,indirect("'TVC-"&amp;text(month(F$1),"00")&amp;"'!$A:$D"),4,false),1)))</f>
        <v>1</v>
      </c>
      <c r="G1656" s="62">
        <f t="shared" si="3311"/>
        <v>1</v>
      </c>
      <c r="H1656" s="62">
        <f t="shared" ref="H1656:Q1656" si="3312">IF(isblank(H$1),,IFERROR(vlookup($A1656,indirect("'TVC-"&amp;text(month(H$1),"00")&amp;"'!$A:$D"),4,false),1))</f>
        <v>1</v>
      </c>
      <c r="I1656" s="62">
        <f t="shared" si="3312"/>
        <v>1</v>
      </c>
      <c r="J1656" s="62">
        <f t="shared" si="3312"/>
        <v>1</v>
      </c>
      <c r="K1656" s="62">
        <f t="shared" si="3312"/>
        <v>1</v>
      </c>
      <c r="L1656" s="62">
        <f t="shared" si="3312"/>
        <v>1</v>
      </c>
      <c r="M1656" s="62">
        <f t="shared" si="3312"/>
        <v>1</v>
      </c>
      <c r="N1656" s="62">
        <f t="shared" si="3312"/>
        <v>1</v>
      </c>
      <c r="O1656" s="62">
        <f t="shared" si="3312"/>
        <v>1</v>
      </c>
      <c r="P1656" s="62" t="str">
        <f t="shared" si="3312"/>
        <v/>
      </c>
      <c r="Q1656" s="62" t="str">
        <f t="shared" si="3312"/>
        <v/>
      </c>
      <c r="R1656" s="62">
        <f t="shared" si="7"/>
        <v>0</v>
      </c>
      <c r="S1656" s="62"/>
      <c r="T1656" s="62"/>
      <c r="U1656" s="62"/>
      <c r="V1656" s="62"/>
      <c r="W1656" s="62"/>
      <c r="X1656" s="62"/>
      <c r="Y1656" s="62"/>
      <c r="Z1656" s="62"/>
      <c r="AA1656" s="62"/>
      <c r="AB1656" s="62"/>
      <c r="AC1656" s="62"/>
    </row>
    <row r="1657" hidden="1">
      <c r="A1657" s="60">
        <f>IFERROR(__xludf.DUMMYFUNCTION("""COMPUTED_VALUE"""),16346.0)</f>
        <v>16346</v>
      </c>
      <c r="B1657" s="60" t="str">
        <f>IFERROR(__xludf.DUMMYFUNCTION("""COMPUTED_VALUE"""),"Winters, Dee")</f>
        <v>Winters, Dee</v>
      </c>
      <c r="C1657" s="60" t="str">
        <f>IFERROR(__xludf.DUMMYFUNCTION("""COMPUTED_VALUE"""),"LB")</f>
        <v>LB</v>
      </c>
      <c r="D1657" s="60" t="str">
        <f>IFERROR(__xludf.DUMMYFUNCTION("""COMPUTED_VALUE"""),"DAL")</f>
        <v>DAL</v>
      </c>
      <c r="E1657" s="62" t="str">
        <f t="shared" si="4"/>
        <v>Dee Winters</v>
      </c>
      <c r="F1657" s="62">
        <f t="shared" ref="F1657:G1657" si="3313">IF(isblank(F$1),,IF(isblank($A1657),,IFERROR(vlookup($A1657,indirect("'TVC-"&amp;text(month(F$1),"00")&amp;"'!$A:$D"),4,false),1)))</f>
        <v>1</v>
      </c>
      <c r="G1657" s="62">
        <f t="shared" si="3313"/>
        <v>1</v>
      </c>
      <c r="H1657" s="62">
        <f t="shared" ref="H1657:Q1657" si="3314">IF(isblank(H$1),,IFERROR(vlookup($A1657,indirect("'TVC-"&amp;text(month(H$1),"00")&amp;"'!$A:$D"),4,false),1))</f>
        <v>1</v>
      </c>
      <c r="I1657" s="62">
        <f t="shared" si="3314"/>
        <v>1</v>
      </c>
      <c r="J1657" s="62">
        <f t="shared" si="3314"/>
        <v>1</v>
      </c>
      <c r="K1657" s="62">
        <f t="shared" si="3314"/>
        <v>1</v>
      </c>
      <c r="L1657" s="62">
        <f t="shared" si="3314"/>
        <v>1</v>
      </c>
      <c r="M1657" s="62">
        <f t="shared" si="3314"/>
        <v>1</v>
      </c>
      <c r="N1657" s="62">
        <f t="shared" si="3314"/>
        <v>1</v>
      </c>
      <c r="O1657" s="62">
        <f t="shared" si="3314"/>
        <v>1</v>
      </c>
      <c r="P1657" s="62" t="str">
        <f t="shared" si="3314"/>
        <v/>
      </c>
      <c r="Q1657" s="62" t="str">
        <f t="shared" si="3314"/>
        <v/>
      </c>
      <c r="R1657" s="62">
        <f t="shared" si="7"/>
        <v>0</v>
      </c>
      <c r="S1657" s="62"/>
      <c r="T1657" s="62"/>
      <c r="U1657" s="62"/>
      <c r="V1657" s="62"/>
      <c r="W1657" s="62"/>
      <c r="X1657" s="62"/>
      <c r="Y1657" s="62"/>
      <c r="Z1657" s="62"/>
      <c r="AA1657" s="62"/>
      <c r="AB1657" s="62"/>
      <c r="AC1657" s="62"/>
    </row>
    <row r="1658" hidden="1">
      <c r="A1658" s="60">
        <f>IFERROR(__xludf.DUMMYFUNCTION("""COMPUTED_VALUE"""),16347.0)</f>
        <v>16347</v>
      </c>
      <c r="B1658" s="60" t="str">
        <f>IFERROR(__xludf.DUMMYFUNCTION("""COMPUTED_VALUE"""),"Robbins, Brad")</f>
        <v>Robbins, Brad</v>
      </c>
      <c r="C1658" s="60" t="str">
        <f>IFERROR(__xludf.DUMMYFUNCTION("""COMPUTED_VALUE"""),"PN")</f>
        <v>PN</v>
      </c>
      <c r="D1658" s="60" t="str">
        <f>IFERROR(__xludf.DUMMYFUNCTION("""COMPUTED_VALUE"""),"LVR")</f>
        <v>LVR</v>
      </c>
      <c r="E1658" s="62" t="str">
        <f t="shared" si="4"/>
        <v>Brad Robbins</v>
      </c>
      <c r="F1658" s="62">
        <f t="shared" ref="F1658:G1658" si="3315">IF(isblank(F$1),,IF(isblank($A1658),,IFERROR(vlookup($A1658,indirect("'TVC-"&amp;text(month(F$1),"00")&amp;"'!$A:$D"),4,false),1)))</f>
        <v>1</v>
      </c>
      <c r="G1658" s="62">
        <f t="shared" si="3315"/>
        <v>1</v>
      </c>
      <c r="H1658" s="62">
        <f t="shared" ref="H1658:Q1658" si="3316">IF(isblank(H$1),,IFERROR(vlookup($A1658,indirect("'TVC-"&amp;text(month(H$1),"00")&amp;"'!$A:$D"),4,false),1))</f>
        <v>1</v>
      </c>
      <c r="I1658" s="62">
        <f t="shared" si="3316"/>
        <v>1</v>
      </c>
      <c r="J1658" s="62">
        <f t="shared" si="3316"/>
        <v>1</v>
      </c>
      <c r="K1658" s="62">
        <f t="shared" si="3316"/>
        <v>1</v>
      </c>
      <c r="L1658" s="62">
        <f t="shared" si="3316"/>
        <v>1</v>
      </c>
      <c r="M1658" s="62">
        <f t="shared" si="3316"/>
        <v>1</v>
      </c>
      <c r="N1658" s="62">
        <f t="shared" si="3316"/>
        <v>1</v>
      </c>
      <c r="O1658" s="62">
        <f t="shared" si="3316"/>
        <v>1</v>
      </c>
      <c r="P1658" s="62" t="str">
        <f t="shared" si="3316"/>
        <v/>
      </c>
      <c r="Q1658" s="62" t="str">
        <f t="shared" si="3316"/>
        <v/>
      </c>
      <c r="R1658" s="62">
        <f t="shared" si="7"/>
        <v>0</v>
      </c>
      <c r="S1658" s="62"/>
      <c r="T1658" s="62"/>
      <c r="U1658" s="62"/>
      <c r="V1658" s="62"/>
      <c r="W1658" s="62"/>
      <c r="X1658" s="62"/>
      <c r="Y1658" s="62"/>
      <c r="Z1658" s="62"/>
      <c r="AA1658" s="62"/>
      <c r="AB1658" s="62"/>
      <c r="AC1658" s="62"/>
    </row>
    <row r="1659" hidden="1">
      <c r="A1659" s="60">
        <f>IFERROR(__xludf.DUMMYFUNCTION("""COMPUTED_VALUE"""),16350.0)</f>
        <v>16350</v>
      </c>
      <c r="B1659" s="60" t="str">
        <f>IFERROR(__xludf.DUMMYFUNCTION("""COMPUTED_VALUE"""),"Jones, Jaylon")</f>
        <v>Jones, Jaylon</v>
      </c>
      <c r="C1659" s="60" t="str">
        <f>IFERROR(__xludf.DUMMYFUNCTION("""COMPUTED_VALUE"""),"CB")</f>
        <v>CB</v>
      </c>
      <c r="D1659" s="60" t="str">
        <f>IFERROR(__xludf.DUMMYFUNCTION("""COMPUTED_VALUE"""),"FA")</f>
        <v>FA</v>
      </c>
      <c r="E1659" s="62" t="str">
        <f t="shared" si="4"/>
        <v>Jaylon Jones</v>
      </c>
      <c r="F1659" s="62">
        <f t="shared" ref="F1659:G1659" si="3317">IF(isblank(F$1),,IF(isblank($A1659),,IFERROR(vlookup($A1659,indirect("'TVC-"&amp;text(month(F$1),"00")&amp;"'!$A:$D"),4,false),1)))</f>
        <v>1</v>
      </c>
      <c r="G1659" s="62">
        <f t="shared" si="3317"/>
        <v>1</v>
      </c>
      <c r="H1659" s="62">
        <f t="shared" ref="H1659:Q1659" si="3318">IF(isblank(H$1),,IFERROR(vlookup($A1659,indirect("'TVC-"&amp;text(month(H$1),"00")&amp;"'!$A:$D"),4,false),1))</f>
        <v>1</v>
      </c>
      <c r="I1659" s="62">
        <f t="shared" si="3318"/>
        <v>1</v>
      </c>
      <c r="J1659" s="62">
        <f t="shared" si="3318"/>
        <v>1</v>
      </c>
      <c r="K1659" s="62">
        <f t="shared" si="3318"/>
        <v>1</v>
      </c>
      <c r="L1659" s="62">
        <f t="shared" si="3318"/>
        <v>1</v>
      </c>
      <c r="M1659" s="62">
        <f t="shared" si="3318"/>
        <v>1</v>
      </c>
      <c r="N1659" s="62">
        <f t="shared" si="3318"/>
        <v>1</v>
      </c>
      <c r="O1659" s="62">
        <f t="shared" si="3318"/>
        <v>1</v>
      </c>
      <c r="P1659" s="62" t="str">
        <f t="shared" si="3318"/>
        <v/>
      </c>
      <c r="Q1659" s="62" t="str">
        <f t="shared" si="3318"/>
        <v/>
      </c>
      <c r="R1659" s="62">
        <f t="shared" si="7"/>
        <v>0</v>
      </c>
      <c r="S1659" s="62"/>
      <c r="T1659" s="62"/>
      <c r="U1659" s="62"/>
      <c r="V1659" s="62"/>
      <c r="W1659" s="62"/>
      <c r="X1659" s="62"/>
      <c r="Y1659" s="62"/>
      <c r="Z1659" s="62"/>
      <c r="AA1659" s="62"/>
      <c r="AB1659" s="62"/>
      <c r="AC1659" s="62"/>
    </row>
    <row r="1660">
      <c r="A1660" s="60">
        <f>IFERROR(__xludf.DUMMYFUNCTION("""COMPUTED_VALUE"""),16351.0)</f>
        <v>16351</v>
      </c>
      <c r="B1660" s="60" t="str">
        <f>IFERROR(__xludf.DUMMYFUNCTION("""COMPUTED_VALUE"""),"Evans, Ethan")</f>
        <v>Evans, Ethan</v>
      </c>
      <c r="C1660" s="60" t="str">
        <f>IFERROR(__xludf.DUMMYFUNCTION("""COMPUTED_VALUE"""),"PN")</f>
        <v>PN</v>
      </c>
      <c r="D1660" s="60" t="str">
        <f>IFERROR(__xludf.DUMMYFUNCTION("""COMPUTED_VALUE"""),"LAR")</f>
        <v>LAR</v>
      </c>
      <c r="E1660" s="62" t="str">
        <f t="shared" si="4"/>
        <v>Ethan Evans</v>
      </c>
      <c r="F1660" s="62">
        <f t="shared" ref="F1660:G1660" si="3319">IF(isblank(F$1),,IF(isblank($A1660),,IFERROR(vlookup($A1660,indirect("'TVC-"&amp;text(month(F$1),"00")&amp;"'!$A:$D"),4,false),1)))</f>
        <v>1</v>
      </c>
      <c r="G1660" s="62">
        <f t="shared" si="3319"/>
        <v>1</v>
      </c>
      <c r="H1660" s="62">
        <f t="shared" ref="H1660:Q1660" si="3320">IF(isblank(H$1),,IFERROR(vlookup($A1660,indirect("'TVC-"&amp;text(month(H$1),"00")&amp;"'!$A:$D"),4,false),1))</f>
        <v>1</v>
      </c>
      <c r="I1660" s="62">
        <f t="shared" si="3320"/>
        <v>1</v>
      </c>
      <c r="J1660" s="62">
        <f t="shared" si="3320"/>
        <v>1</v>
      </c>
      <c r="K1660" s="62">
        <f t="shared" si="3320"/>
        <v>1</v>
      </c>
      <c r="L1660" s="62">
        <f t="shared" si="3320"/>
        <v>1</v>
      </c>
      <c r="M1660" s="62">
        <f t="shared" si="3320"/>
        <v>1</v>
      </c>
      <c r="N1660" s="62">
        <f t="shared" si="3320"/>
        <v>1</v>
      </c>
      <c r="O1660" s="62">
        <f t="shared" si="3320"/>
        <v>1</v>
      </c>
      <c r="P1660" s="62" t="str">
        <f t="shared" si="3320"/>
        <v/>
      </c>
      <c r="Q1660" s="62" t="str">
        <f t="shared" si="3320"/>
        <v/>
      </c>
      <c r="R1660" s="62">
        <f t="shared" si="7"/>
        <v>0</v>
      </c>
      <c r="S1660" s="62"/>
      <c r="T1660" s="62"/>
      <c r="U1660" s="62"/>
      <c r="V1660" s="62"/>
      <c r="W1660" s="62"/>
      <c r="X1660" s="62"/>
      <c r="Y1660" s="62"/>
      <c r="Z1660" s="62"/>
      <c r="AA1660" s="62"/>
      <c r="AB1660" s="62"/>
      <c r="AC1660" s="62"/>
    </row>
    <row r="1661">
      <c r="A1661" s="60">
        <f>IFERROR(__xludf.DUMMYFUNCTION("""COMPUTED_VALUE"""),16352.0)</f>
        <v>16352</v>
      </c>
      <c r="B1661" s="60" t="str">
        <f>IFERROR(__xludf.DUMMYFUNCTION("""COMPUTED_VALUE"""),"Hellams, DeMarcco")</f>
        <v>Hellams, DeMarcco</v>
      </c>
      <c r="C1661" s="60" t="str">
        <f>IFERROR(__xludf.DUMMYFUNCTION("""COMPUTED_VALUE"""),"S")</f>
        <v>S</v>
      </c>
      <c r="D1661" s="60" t="str">
        <f>IFERROR(__xludf.DUMMYFUNCTION("""COMPUTED_VALUE"""),"ATL")</f>
        <v>ATL</v>
      </c>
      <c r="E1661" s="62" t="str">
        <f t="shared" si="4"/>
        <v>DeMarcco Hellams</v>
      </c>
      <c r="F1661" s="62">
        <f t="shared" ref="F1661:G1661" si="3321">IF(isblank(F$1),,IF(isblank($A1661),,IFERROR(vlookup($A1661,indirect("'TVC-"&amp;text(month(F$1),"00")&amp;"'!$A:$D"),4,false),1)))</f>
        <v>1</v>
      </c>
      <c r="G1661" s="62">
        <f t="shared" si="3321"/>
        <v>1</v>
      </c>
      <c r="H1661" s="62">
        <f t="shared" ref="H1661:Q1661" si="3322">IF(isblank(H$1),,IFERROR(vlookup($A1661,indirect("'TVC-"&amp;text(month(H$1),"00")&amp;"'!$A:$D"),4,false),1))</f>
        <v>1</v>
      </c>
      <c r="I1661" s="62">
        <f t="shared" si="3322"/>
        <v>1</v>
      </c>
      <c r="J1661" s="62">
        <f t="shared" si="3322"/>
        <v>1</v>
      </c>
      <c r="K1661" s="62">
        <f t="shared" si="3322"/>
        <v>1</v>
      </c>
      <c r="L1661" s="62">
        <f t="shared" si="3322"/>
        <v>1</v>
      </c>
      <c r="M1661" s="62">
        <f t="shared" si="3322"/>
        <v>1</v>
      </c>
      <c r="N1661" s="62">
        <f t="shared" si="3322"/>
        <v>1</v>
      </c>
      <c r="O1661" s="62">
        <f t="shared" si="3322"/>
        <v>1</v>
      </c>
      <c r="P1661" s="62" t="str">
        <f t="shared" si="3322"/>
        <v/>
      </c>
      <c r="Q1661" s="62" t="str">
        <f t="shared" si="3322"/>
        <v/>
      </c>
      <c r="R1661" s="62">
        <f t="shared" si="7"/>
        <v>0</v>
      </c>
      <c r="S1661" s="62"/>
      <c r="T1661" s="62"/>
      <c r="U1661" s="62"/>
      <c r="V1661" s="62"/>
      <c r="W1661" s="62"/>
      <c r="X1661" s="62"/>
      <c r="Y1661" s="62"/>
      <c r="Z1661" s="62"/>
      <c r="AA1661" s="62"/>
      <c r="AB1661" s="62"/>
      <c r="AC1661" s="62"/>
    </row>
    <row r="1662">
      <c r="A1662" s="60">
        <f>IFERROR(__xludf.DUMMYFUNCTION("""COMPUTED_VALUE"""),16354.0)</f>
        <v>16354</v>
      </c>
      <c r="B1662" s="60" t="str">
        <f>IFERROR(__xludf.DUMMYFUNCTION("""COMPUTED_VALUE"""),"Dowell, Colton")</f>
        <v>Dowell, Colton</v>
      </c>
      <c r="C1662" s="60" t="str">
        <f>IFERROR(__xludf.DUMMYFUNCTION("""COMPUTED_VALUE"""),"WR")</f>
        <v>WR</v>
      </c>
      <c r="D1662" s="60" t="str">
        <f>IFERROR(__xludf.DUMMYFUNCTION("""COMPUTED_VALUE"""),"FA")</f>
        <v>FA</v>
      </c>
      <c r="E1662" s="62" t="str">
        <f t="shared" si="4"/>
        <v>Colton Dowell</v>
      </c>
      <c r="F1662" s="62">
        <f t="shared" ref="F1662:G1662" si="3323">IF(isblank(F$1),,IF(isblank($A1662),,IFERROR(vlookup($A1662,indirect("'TVC-"&amp;text(month(F$1),"00")&amp;"'!$A:$D"),4,false),1)))</f>
        <v>1</v>
      </c>
      <c r="G1662" s="62">
        <f t="shared" si="3323"/>
        <v>1</v>
      </c>
      <c r="H1662" s="62">
        <f t="shared" ref="H1662:Q1662" si="3324">IF(isblank(H$1),,IFERROR(vlookup($A1662,indirect("'TVC-"&amp;text(month(H$1),"00")&amp;"'!$A:$D"),4,false),1))</f>
        <v>1</v>
      </c>
      <c r="I1662" s="62">
        <f t="shared" si="3324"/>
        <v>1</v>
      </c>
      <c r="J1662" s="62">
        <f t="shared" si="3324"/>
        <v>1</v>
      </c>
      <c r="K1662" s="62">
        <f t="shared" si="3324"/>
        <v>1</v>
      </c>
      <c r="L1662" s="62">
        <f t="shared" si="3324"/>
        <v>1</v>
      </c>
      <c r="M1662" s="62">
        <f t="shared" si="3324"/>
        <v>1</v>
      </c>
      <c r="N1662" s="62">
        <f t="shared" si="3324"/>
        <v>1</v>
      </c>
      <c r="O1662" s="62">
        <f t="shared" si="3324"/>
        <v>1</v>
      </c>
      <c r="P1662" s="62" t="str">
        <f t="shared" si="3324"/>
        <v/>
      </c>
      <c r="Q1662" s="62" t="str">
        <f t="shared" si="3324"/>
        <v/>
      </c>
      <c r="R1662" s="62">
        <f t="shared" si="7"/>
        <v>0</v>
      </c>
      <c r="S1662" s="62"/>
      <c r="T1662" s="62"/>
      <c r="U1662" s="62"/>
      <c r="V1662" s="62"/>
      <c r="W1662" s="62"/>
      <c r="X1662" s="62"/>
      <c r="Y1662" s="62"/>
      <c r="Z1662" s="62"/>
      <c r="AA1662" s="62"/>
      <c r="AB1662" s="62"/>
      <c r="AC1662" s="62"/>
    </row>
    <row r="1663">
      <c r="A1663" s="60">
        <f>IFERROR(__xludf.DUMMYFUNCTION("""COMPUTED_VALUE"""),16356.0)</f>
        <v>16356</v>
      </c>
      <c r="B1663" s="60" t="str">
        <f>IFERROR(__xludf.DUMMYFUNCTION("""COMPUTED_VALUE"""),"Valentine, Carrington")</f>
        <v>Valentine, Carrington</v>
      </c>
      <c r="C1663" s="60" t="str">
        <f>IFERROR(__xludf.DUMMYFUNCTION("""COMPUTED_VALUE"""),"CB")</f>
        <v>CB</v>
      </c>
      <c r="D1663" s="60" t="str">
        <f>IFERROR(__xludf.DUMMYFUNCTION("""COMPUTED_VALUE"""),"GBP")</f>
        <v>GBP</v>
      </c>
      <c r="E1663" s="62" t="str">
        <f t="shared" si="4"/>
        <v>Carrington Valentine</v>
      </c>
      <c r="F1663" s="62">
        <f t="shared" ref="F1663:G1663" si="3325">IF(isblank(F$1),,IF(isblank($A1663),,IFERROR(vlookup($A1663,indirect("'TVC-"&amp;text(month(F$1),"00")&amp;"'!$A:$D"),4,false),1)))</f>
        <v>1</v>
      </c>
      <c r="G1663" s="62">
        <f t="shared" si="3325"/>
        <v>1</v>
      </c>
      <c r="H1663" s="62">
        <f t="shared" ref="H1663:Q1663" si="3326">IF(isblank(H$1),,IFERROR(vlookup($A1663,indirect("'TVC-"&amp;text(month(H$1),"00")&amp;"'!$A:$D"),4,false),1))</f>
        <v>1</v>
      </c>
      <c r="I1663" s="62">
        <f t="shared" si="3326"/>
        <v>1</v>
      </c>
      <c r="J1663" s="62">
        <f t="shared" si="3326"/>
        <v>1</v>
      </c>
      <c r="K1663" s="62">
        <f t="shared" si="3326"/>
        <v>1</v>
      </c>
      <c r="L1663" s="62">
        <f t="shared" si="3326"/>
        <v>1</v>
      </c>
      <c r="M1663" s="62">
        <f t="shared" si="3326"/>
        <v>1</v>
      </c>
      <c r="N1663" s="62">
        <f t="shared" si="3326"/>
        <v>1</v>
      </c>
      <c r="O1663" s="62">
        <f t="shared" si="3326"/>
        <v>1</v>
      </c>
      <c r="P1663" s="62" t="str">
        <f t="shared" si="3326"/>
        <v/>
      </c>
      <c r="Q1663" s="62" t="str">
        <f t="shared" si="3326"/>
        <v/>
      </c>
      <c r="R1663" s="62">
        <f t="shared" si="7"/>
        <v>0</v>
      </c>
      <c r="S1663" s="62"/>
      <c r="T1663" s="62"/>
      <c r="U1663" s="62"/>
      <c r="V1663" s="62"/>
      <c r="W1663" s="62"/>
      <c r="X1663" s="62"/>
      <c r="Y1663" s="62"/>
      <c r="Z1663" s="62"/>
      <c r="AA1663" s="62"/>
      <c r="AB1663" s="62"/>
      <c r="AC1663" s="62"/>
    </row>
    <row r="1664" hidden="1">
      <c r="A1664" s="60">
        <f>IFERROR(__xludf.DUMMYFUNCTION("""COMPUTED_VALUE"""),16357.0)</f>
        <v>16357</v>
      </c>
      <c r="B1664" s="60" t="str">
        <f>IFERROR(__xludf.DUMMYFUNCTION("""COMPUTED_VALUE"""),"Jones, Andre")</f>
        <v>Jones, Andre</v>
      </c>
      <c r="C1664" s="60" t="str">
        <f>IFERROR(__xludf.DUMMYFUNCTION("""COMPUTED_VALUE"""),"DE")</f>
        <v>DE</v>
      </c>
      <c r="D1664" s="60" t="str">
        <f>IFERROR(__xludf.DUMMYFUNCTION("""COMPUTED_VALUE"""),"MIA")</f>
        <v>MIA</v>
      </c>
      <c r="E1664" s="62" t="str">
        <f t="shared" si="4"/>
        <v>Andre Jones</v>
      </c>
      <c r="F1664" s="62">
        <f t="shared" ref="F1664:G1664" si="3327">IF(isblank(F$1),,IF(isblank($A1664),,IFERROR(vlookup($A1664,indirect("'TVC-"&amp;text(month(F$1),"00")&amp;"'!$A:$D"),4,false),1)))</f>
        <v>1</v>
      </c>
      <c r="G1664" s="62">
        <f t="shared" si="3327"/>
        <v>1</v>
      </c>
      <c r="H1664" s="62">
        <f t="shared" ref="H1664:Q1664" si="3328">IF(isblank(H$1),,IFERROR(vlookup($A1664,indirect("'TVC-"&amp;text(month(H$1),"00")&amp;"'!$A:$D"),4,false),1))</f>
        <v>1</v>
      </c>
      <c r="I1664" s="62">
        <f t="shared" si="3328"/>
        <v>1</v>
      </c>
      <c r="J1664" s="62">
        <f t="shared" si="3328"/>
        <v>1</v>
      </c>
      <c r="K1664" s="62">
        <f t="shared" si="3328"/>
        <v>1</v>
      </c>
      <c r="L1664" s="62">
        <f t="shared" si="3328"/>
        <v>1</v>
      </c>
      <c r="M1664" s="62">
        <f t="shared" si="3328"/>
        <v>1</v>
      </c>
      <c r="N1664" s="62">
        <f t="shared" si="3328"/>
        <v>1</v>
      </c>
      <c r="O1664" s="62">
        <f t="shared" si="3328"/>
        <v>1</v>
      </c>
      <c r="P1664" s="62" t="str">
        <f t="shared" si="3328"/>
        <v/>
      </c>
      <c r="Q1664" s="62" t="str">
        <f t="shared" si="3328"/>
        <v/>
      </c>
      <c r="R1664" s="62">
        <f t="shared" si="7"/>
        <v>0</v>
      </c>
      <c r="S1664" s="62"/>
      <c r="T1664" s="62"/>
      <c r="U1664" s="62"/>
      <c r="V1664" s="62"/>
      <c r="W1664" s="62"/>
      <c r="X1664" s="62"/>
      <c r="Y1664" s="62"/>
      <c r="Z1664" s="62"/>
      <c r="AA1664" s="62"/>
      <c r="AB1664" s="62"/>
      <c r="AC1664" s="62"/>
    </row>
    <row r="1665">
      <c r="A1665" s="60">
        <f>IFERROR(__xludf.DUMMYFUNCTION("""COMPUTED_VALUE"""),16359.0)</f>
        <v>16359</v>
      </c>
      <c r="B1665" s="60" t="str">
        <f>IFERROR(__xludf.DUMMYFUNCTION("""COMPUTED_VALUE"""),"Nichols, Lew")</f>
        <v>Nichols, Lew</v>
      </c>
      <c r="C1665" s="60" t="str">
        <f>IFERROR(__xludf.DUMMYFUNCTION("""COMPUTED_VALUE"""),"RB")</f>
        <v>RB</v>
      </c>
      <c r="D1665" s="60" t="str">
        <f>IFERROR(__xludf.DUMMYFUNCTION("""COMPUTED_VALUE"""),"PIT")</f>
        <v>PIT</v>
      </c>
      <c r="E1665" s="62" t="str">
        <f t="shared" si="4"/>
        <v>Lew Nichols</v>
      </c>
      <c r="F1665" s="62">
        <f t="shared" ref="F1665:G1665" si="3329">IF(isblank(F$1),,IF(isblank($A1665),,IFERROR(vlookup($A1665,indirect("'TVC-"&amp;text(month(F$1),"00")&amp;"'!$A:$D"),4,false),1)))</f>
        <v>1</v>
      </c>
      <c r="G1665" s="62">
        <f t="shared" si="3329"/>
        <v>1</v>
      </c>
      <c r="H1665" s="62">
        <f t="shared" ref="H1665:Q1665" si="3330">IF(isblank(H$1),,IFERROR(vlookup($A1665,indirect("'TVC-"&amp;text(month(H$1),"00")&amp;"'!$A:$D"),4,false),1))</f>
        <v>1</v>
      </c>
      <c r="I1665" s="62">
        <f t="shared" si="3330"/>
        <v>1</v>
      </c>
      <c r="J1665" s="62">
        <f t="shared" si="3330"/>
        <v>1</v>
      </c>
      <c r="K1665" s="62">
        <f t="shared" si="3330"/>
        <v>1</v>
      </c>
      <c r="L1665" s="62">
        <f t="shared" si="3330"/>
        <v>1</v>
      </c>
      <c r="M1665" s="62">
        <f t="shared" si="3330"/>
        <v>1</v>
      </c>
      <c r="N1665" s="62">
        <f t="shared" si="3330"/>
        <v>1</v>
      </c>
      <c r="O1665" s="62">
        <f t="shared" si="3330"/>
        <v>1</v>
      </c>
      <c r="P1665" s="62" t="str">
        <f t="shared" si="3330"/>
        <v/>
      </c>
      <c r="Q1665" s="62" t="str">
        <f t="shared" si="3330"/>
        <v/>
      </c>
      <c r="R1665" s="62">
        <f t="shared" si="7"/>
        <v>0</v>
      </c>
      <c r="S1665" s="62"/>
      <c r="T1665" s="62"/>
      <c r="U1665" s="62"/>
      <c r="V1665" s="62"/>
      <c r="W1665" s="62"/>
      <c r="X1665" s="62"/>
      <c r="Y1665" s="62"/>
      <c r="Z1665" s="62"/>
      <c r="AA1665" s="62"/>
      <c r="AB1665" s="62"/>
      <c r="AC1665" s="62"/>
    </row>
    <row r="1666" hidden="1">
      <c r="A1666" s="60">
        <f>IFERROR(__xludf.DUMMYFUNCTION("""COMPUTED_VALUE"""),16363.0)</f>
        <v>16363</v>
      </c>
      <c r="B1666" s="60" t="str">
        <f>IFERROR(__xludf.DUMMYFUNCTION("""COMPUTED_VALUE"""),"Riley, Jordon")</f>
        <v>Riley, Jordon</v>
      </c>
      <c r="C1666" s="60" t="str">
        <f>IFERROR(__xludf.DUMMYFUNCTION("""COMPUTED_VALUE"""),"DT")</f>
        <v>DT</v>
      </c>
      <c r="D1666" s="60" t="str">
        <f>IFERROR(__xludf.DUMMYFUNCTION("""COMPUTED_VALUE"""),"GBP")</f>
        <v>GBP</v>
      </c>
      <c r="E1666" s="62" t="str">
        <f t="shared" si="4"/>
        <v>Jordon Riley</v>
      </c>
      <c r="F1666" s="62">
        <f t="shared" ref="F1666:G1666" si="3331">IF(isblank(F$1),,IF(isblank($A1666),,IFERROR(vlookup($A1666,indirect("'TVC-"&amp;text(month(F$1),"00")&amp;"'!$A:$D"),4,false),1)))</f>
        <v>1</v>
      </c>
      <c r="G1666" s="62">
        <f t="shared" si="3331"/>
        <v>1</v>
      </c>
      <c r="H1666" s="62">
        <f t="shared" ref="H1666:Q1666" si="3332">IF(isblank(H$1),,IFERROR(vlookup($A1666,indirect("'TVC-"&amp;text(month(H$1),"00")&amp;"'!$A:$D"),4,false),1))</f>
        <v>1</v>
      </c>
      <c r="I1666" s="62">
        <f t="shared" si="3332"/>
        <v>1</v>
      </c>
      <c r="J1666" s="62">
        <f t="shared" si="3332"/>
        <v>1</v>
      </c>
      <c r="K1666" s="62">
        <f t="shared" si="3332"/>
        <v>1</v>
      </c>
      <c r="L1666" s="62">
        <f t="shared" si="3332"/>
        <v>1</v>
      </c>
      <c r="M1666" s="62">
        <f t="shared" si="3332"/>
        <v>1</v>
      </c>
      <c r="N1666" s="62">
        <f t="shared" si="3332"/>
        <v>1</v>
      </c>
      <c r="O1666" s="62">
        <f t="shared" si="3332"/>
        <v>1</v>
      </c>
      <c r="P1666" s="62" t="str">
        <f t="shared" si="3332"/>
        <v/>
      </c>
      <c r="Q1666" s="62" t="str">
        <f t="shared" si="3332"/>
        <v/>
      </c>
      <c r="R1666" s="62">
        <f t="shared" si="7"/>
        <v>0</v>
      </c>
      <c r="S1666" s="62"/>
      <c r="T1666" s="62"/>
      <c r="U1666" s="62"/>
      <c r="V1666" s="62"/>
      <c r="W1666" s="62"/>
      <c r="X1666" s="62"/>
      <c r="Y1666" s="62"/>
      <c r="Z1666" s="62"/>
      <c r="AA1666" s="62"/>
      <c r="AB1666" s="62"/>
      <c r="AC1666" s="62"/>
    </row>
    <row r="1667" hidden="1">
      <c r="A1667" s="60">
        <f>IFERROR(__xludf.DUMMYFUNCTION("""COMPUTED_VALUE"""),16364.0)</f>
        <v>16364</v>
      </c>
      <c r="B1667" s="60" t="str">
        <f>IFERROR(__xludf.DUMMYFUNCTION("""COMPUTED_VALUE"""),"Brooks, Jalen")</f>
        <v>Brooks, Jalen</v>
      </c>
      <c r="C1667" s="60" t="str">
        <f>IFERROR(__xludf.DUMMYFUNCTION("""COMPUTED_VALUE"""),"WR")</f>
        <v>WR</v>
      </c>
      <c r="D1667" s="60" t="str">
        <f>IFERROR(__xludf.DUMMYFUNCTION("""COMPUTED_VALUE"""),"ARI")</f>
        <v>ARI</v>
      </c>
      <c r="E1667" s="62" t="str">
        <f t="shared" si="4"/>
        <v>Jalen Brooks</v>
      </c>
      <c r="F1667" s="62">
        <f t="shared" ref="F1667:G1667" si="3333">IF(isblank(F$1),,IF(isblank($A1667),,IFERROR(vlookup($A1667,indirect("'TVC-"&amp;text(month(F$1),"00")&amp;"'!$A:$D"),4,false),1)))</f>
        <v>1</v>
      </c>
      <c r="G1667" s="62">
        <f t="shared" si="3333"/>
        <v>1</v>
      </c>
      <c r="H1667" s="62">
        <f t="shared" ref="H1667:Q1667" si="3334">IF(isblank(H$1),,IFERROR(vlookup($A1667,indirect("'TVC-"&amp;text(month(H$1),"00")&amp;"'!$A:$D"),4,false),1))</f>
        <v>1</v>
      </c>
      <c r="I1667" s="62">
        <f t="shared" si="3334"/>
        <v>1</v>
      </c>
      <c r="J1667" s="62">
        <f t="shared" si="3334"/>
        <v>1</v>
      </c>
      <c r="K1667" s="62">
        <f t="shared" si="3334"/>
        <v>1</v>
      </c>
      <c r="L1667" s="62">
        <f t="shared" si="3334"/>
        <v>1</v>
      </c>
      <c r="M1667" s="62">
        <f t="shared" si="3334"/>
        <v>1</v>
      </c>
      <c r="N1667" s="62">
        <f t="shared" si="3334"/>
        <v>1</v>
      </c>
      <c r="O1667" s="62">
        <f t="shared" si="3334"/>
        <v>1</v>
      </c>
      <c r="P1667" s="62" t="str">
        <f t="shared" si="3334"/>
        <v/>
      </c>
      <c r="Q1667" s="62" t="str">
        <f t="shared" si="3334"/>
        <v/>
      </c>
      <c r="R1667" s="62">
        <f t="shared" si="7"/>
        <v>0</v>
      </c>
      <c r="S1667" s="62"/>
      <c r="T1667" s="62"/>
      <c r="U1667" s="62"/>
      <c r="V1667" s="62"/>
      <c r="W1667" s="62"/>
      <c r="X1667" s="62"/>
      <c r="Y1667" s="62"/>
      <c r="Z1667" s="62"/>
      <c r="AA1667" s="62"/>
      <c r="AB1667" s="62"/>
      <c r="AC1667" s="62"/>
    </row>
    <row r="1668" hidden="1">
      <c r="A1668" s="60">
        <f>IFERROR(__xludf.DUMMYFUNCTION("""COMPUTED_VALUE"""),16366.0)</f>
        <v>16366</v>
      </c>
      <c r="B1668" s="60" t="str">
        <f>IFERROR(__xludf.DUMMYFUNCTION("""COMPUTED_VALUE"""),"Ivey, DJ")</f>
        <v>Ivey, DJ</v>
      </c>
      <c r="C1668" s="60" t="str">
        <f>IFERROR(__xludf.DUMMYFUNCTION("""COMPUTED_VALUE"""),"CB")</f>
        <v>CB</v>
      </c>
      <c r="D1668" s="60" t="str">
        <f>IFERROR(__xludf.DUMMYFUNCTION("""COMPUTED_VALUE"""),"CIN")</f>
        <v>CIN</v>
      </c>
      <c r="E1668" s="62" t="str">
        <f t="shared" si="4"/>
        <v>DJ Ivey</v>
      </c>
      <c r="F1668" s="62">
        <f t="shared" ref="F1668:G1668" si="3335">IF(isblank(F$1),,IF(isblank($A1668),,IFERROR(vlookup($A1668,indirect("'TVC-"&amp;text(month(F$1),"00")&amp;"'!$A:$D"),4,false),1)))</f>
        <v>1</v>
      </c>
      <c r="G1668" s="62">
        <f t="shared" si="3335"/>
        <v>1</v>
      </c>
      <c r="H1668" s="62">
        <f t="shared" ref="H1668:Q1668" si="3336">IF(isblank(H$1),,IFERROR(vlookup($A1668,indirect("'TVC-"&amp;text(month(H$1),"00")&amp;"'!$A:$D"),4,false),1))</f>
        <v>1</v>
      </c>
      <c r="I1668" s="62">
        <f t="shared" si="3336"/>
        <v>1</v>
      </c>
      <c r="J1668" s="62">
        <f t="shared" si="3336"/>
        <v>1</v>
      </c>
      <c r="K1668" s="62">
        <f t="shared" si="3336"/>
        <v>1</v>
      </c>
      <c r="L1668" s="62">
        <f t="shared" si="3336"/>
        <v>1</v>
      </c>
      <c r="M1668" s="62">
        <f t="shared" si="3336"/>
        <v>1</v>
      </c>
      <c r="N1668" s="62">
        <f t="shared" si="3336"/>
        <v>1</v>
      </c>
      <c r="O1668" s="62">
        <f t="shared" si="3336"/>
        <v>1</v>
      </c>
      <c r="P1668" s="62" t="str">
        <f t="shared" si="3336"/>
        <v/>
      </c>
      <c r="Q1668" s="62" t="str">
        <f t="shared" si="3336"/>
        <v/>
      </c>
      <c r="R1668" s="62">
        <f t="shared" si="7"/>
        <v>0</v>
      </c>
      <c r="S1668" s="62"/>
      <c r="T1668" s="62"/>
      <c r="U1668" s="62"/>
      <c r="V1668" s="62"/>
      <c r="W1668" s="62"/>
      <c r="X1668" s="62"/>
      <c r="Y1668" s="62"/>
      <c r="Z1668" s="62"/>
      <c r="AA1668" s="62"/>
      <c r="AB1668" s="62"/>
      <c r="AC1668" s="62"/>
    </row>
    <row r="1669" hidden="1">
      <c r="A1669" s="60">
        <f>IFERROR(__xludf.DUMMYFUNCTION("""COMPUTED_VALUE"""),16367.0)</f>
        <v>16367</v>
      </c>
      <c r="B1669" s="60" t="str">
        <f>IFERROR(__xludf.DUMMYFUNCTION("""COMPUTED_VALUE"""),"Willis, Brayden")</f>
        <v>Willis, Brayden</v>
      </c>
      <c r="C1669" s="60" t="str">
        <f>IFERROR(__xludf.DUMMYFUNCTION("""COMPUTED_VALUE"""),"TE")</f>
        <v>TE</v>
      </c>
      <c r="D1669" s="60" t="str">
        <f>IFERROR(__xludf.DUMMYFUNCTION("""COMPUTED_VALUE"""),"SFO")</f>
        <v>SFO</v>
      </c>
      <c r="E1669" s="62" t="str">
        <f t="shared" si="4"/>
        <v>Brayden Willis</v>
      </c>
      <c r="F1669" s="62">
        <f t="shared" ref="F1669:G1669" si="3337">IF(isblank(F$1),,IF(isblank($A1669),,IFERROR(vlookup($A1669,indirect("'TVC-"&amp;text(month(F$1),"00")&amp;"'!$A:$D"),4,false),1)))</f>
        <v>1</v>
      </c>
      <c r="G1669" s="62">
        <f t="shared" si="3337"/>
        <v>1</v>
      </c>
      <c r="H1669" s="62">
        <f t="shared" ref="H1669:Q1669" si="3338">IF(isblank(H$1),,IFERROR(vlookup($A1669,indirect("'TVC-"&amp;text(month(H$1),"00")&amp;"'!$A:$D"),4,false),1))</f>
        <v>1</v>
      </c>
      <c r="I1669" s="62">
        <f t="shared" si="3338"/>
        <v>1</v>
      </c>
      <c r="J1669" s="62">
        <f t="shared" si="3338"/>
        <v>1</v>
      </c>
      <c r="K1669" s="62">
        <f t="shared" si="3338"/>
        <v>1</v>
      </c>
      <c r="L1669" s="62">
        <f t="shared" si="3338"/>
        <v>1</v>
      </c>
      <c r="M1669" s="62">
        <f t="shared" si="3338"/>
        <v>1</v>
      </c>
      <c r="N1669" s="62">
        <f t="shared" si="3338"/>
        <v>1</v>
      </c>
      <c r="O1669" s="62">
        <f t="shared" si="3338"/>
        <v>1</v>
      </c>
      <c r="P1669" s="62" t="str">
        <f t="shared" si="3338"/>
        <v/>
      </c>
      <c r="Q1669" s="62" t="str">
        <f t="shared" si="3338"/>
        <v/>
      </c>
      <c r="R1669" s="62">
        <f t="shared" si="7"/>
        <v>0</v>
      </c>
      <c r="S1669" s="62"/>
      <c r="T1669" s="62"/>
      <c r="U1669" s="62"/>
      <c r="V1669" s="62"/>
      <c r="W1669" s="62"/>
      <c r="X1669" s="62"/>
      <c r="Y1669" s="62"/>
      <c r="Z1669" s="62"/>
      <c r="AA1669" s="62"/>
      <c r="AB1669" s="62"/>
      <c r="AC1669" s="62"/>
    </row>
    <row r="1670">
      <c r="A1670" s="60">
        <f>IFERROR(__xludf.DUMMYFUNCTION("""COMPUTED_VALUE"""),16369.0)</f>
        <v>16369</v>
      </c>
      <c r="B1670" s="60" t="str">
        <f>IFERROR(__xludf.DUMMYFUNCTION("""COMPUTED_VALUE"""),"Ojomo, Moro")</f>
        <v>Ojomo, Moro</v>
      </c>
      <c r="C1670" s="60" t="str">
        <f>IFERROR(__xludf.DUMMYFUNCTION("""COMPUTED_VALUE"""),"DT")</f>
        <v>DT</v>
      </c>
      <c r="D1670" s="60" t="str">
        <f>IFERROR(__xludf.DUMMYFUNCTION("""COMPUTED_VALUE"""),"PHI")</f>
        <v>PHI</v>
      </c>
      <c r="E1670" s="62" t="str">
        <f t="shared" si="4"/>
        <v>Moro Ojomo</v>
      </c>
      <c r="F1670" s="62">
        <f t="shared" ref="F1670:G1670" si="3339">IF(isblank(F$1),,IF(isblank($A1670),,IFERROR(vlookup($A1670,indirect("'TVC-"&amp;text(month(F$1),"00")&amp;"'!$A:$D"),4,false),1)))</f>
        <v>1</v>
      </c>
      <c r="G1670" s="62">
        <f t="shared" si="3339"/>
        <v>1</v>
      </c>
      <c r="H1670" s="62">
        <f t="shared" ref="H1670:Q1670" si="3340">IF(isblank(H$1),,IFERROR(vlookup($A1670,indirect("'TVC-"&amp;text(month(H$1),"00")&amp;"'!$A:$D"),4,false),1))</f>
        <v>1</v>
      </c>
      <c r="I1670" s="62">
        <f t="shared" si="3340"/>
        <v>1</v>
      </c>
      <c r="J1670" s="62">
        <f t="shared" si="3340"/>
        <v>1</v>
      </c>
      <c r="K1670" s="62">
        <f t="shared" si="3340"/>
        <v>1</v>
      </c>
      <c r="L1670" s="62">
        <f t="shared" si="3340"/>
        <v>1</v>
      </c>
      <c r="M1670" s="62">
        <f t="shared" si="3340"/>
        <v>1</v>
      </c>
      <c r="N1670" s="62">
        <f t="shared" si="3340"/>
        <v>1</v>
      </c>
      <c r="O1670" s="62">
        <f t="shared" si="3340"/>
        <v>1</v>
      </c>
      <c r="P1670" s="62" t="str">
        <f t="shared" si="3340"/>
        <v/>
      </c>
      <c r="Q1670" s="62" t="str">
        <f t="shared" si="3340"/>
        <v/>
      </c>
      <c r="R1670" s="62">
        <f t="shared" si="7"/>
        <v>0</v>
      </c>
      <c r="S1670" s="62"/>
      <c r="T1670" s="62"/>
      <c r="U1670" s="62"/>
      <c r="V1670" s="62"/>
      <c r="W1670" s="62"/>
      <c r="X1670" s="62"/>
      <c r="Y1670" s="62"/>
      <c r="Z1670" s="62"/>
      <c r="AA1670" s="62"/>
      <c r="AB1670" s="62"/>
      <c r="AC1670" s="62"/>
    </row>
    <row r="1671" hidden="1">
      <c r="A1671" s="60">
        <f>IFERROR(__xludf.DUMMYFUNCTION("""COMPUTED_VALUE"""),16370.0)</f>
        <v>16370</v>
      </c>
      <c r="B1671" s="60" t="str">
        <f>IFERROR(__xludf.DUMMYFUNCTION("""COMPUTED_VALUE"""),"Jones, Nic")</f>
        <v>Jones, Nic</v>
      </c>
      <c r="C1671" s="60" t="str">
        <f>IFERROR(__xludf.DUMMYFUNCTION("""COMPUTED_VALUE"""),"CB")</f>
        <v>CB</v>
      </c>
      <c r="D1671" s="60" t="str">
        <f>IFERROR(__xludf.DUMMYFUNCTION("""COMPUTED_VALUE"""),"NYG")</f>
        <v>NYG</v>
      </c>
      <c r="E1671" s="62" t="str">
        <f t="shared" si="4"/>
        <v>Nic Jones</v>
      </c>
      <c r="F1671" s="62">
        <f t="shared" ref="F1671:G1671" si="3341">IF(isblank(F$1),,IF(isblank($A1671),,IFERROR(vlookup($A1671,indirect("'TVC-"&amp;text(month(F$1),"00")&amp;"'!$A:$D"),4,false),1)))</f>
        <v>1</v>
      </c>
      <c r="G1671" s="62">
        <f t="shared" si="3341"/>
        <v>1</v>
      </c>
      <c r="H1671" s="62">
        <f t="shared" ref="H1671:Q1671" si="3342">IF(isblank(H$1),,IFERROR(vlookup($A1671,indirect("'TVC-"&amp;text(month(H$1),"00")&amp;"'!$A:$D"),4,false),1))</f>
        <v>1</v>
      </c>
      <c r="I1671" s="62">
        <f t="shared" si="3342"/>
        <v>1</v>
      </c>
      <c r="J1671" s="62">
        <f t="shared" si="3342"/>
        <v>1</v>
      </c>
      <c r="K1671" s="62">
        <f t="shared" si="3342"/>
        <v>1</v>
      </c>
      <c r="L1671" s="62">
        <f t="shared" si="3342"/>
        <v>1</v>
      </c>
      <c r="M1671" s="62">
        <f t="shared" si="3342"/>
        <v>1</v>
      </c>
      <c r="N1671" s="62">
        <f t="shared" si="3342"/>
        <v>1</v>
      </c>
      <c r="O1671" s="62">
        <f t="shared" si="3342"/>
        <v>1</v>
      </c>
      <c r="P1671" s="62" t="str">
        <f t="shared" si="3342"/>
        <v/>
      </c>
      <c r="Q1671" s="62" t="str">
        <f t="shared" si="3342"/>
        <v/>
      </c>
      <c r="R1671" s="62">
        <f t="shared" si="7"/>
        <v>0</v>
      </c>
      <c r="S1671" s="62"/>
      <c r="T1671" s="62"/>
      <c r="U1671" s="62"/>
      <c r="V1671" s="62"/>
      <c r="W1671" s="62"/>
      <c r="X1671" s="62"/>
      <c r="Y1671" s="62"/>
      <c r="Z1671" s="62"/>
      <c r="AA1671" s="62"/>
      <c r="AB1671" s="62"/>
      <c r="AC1671" s="62"/>
    </row>
    <row r="1672">
      <c r="A1672" s="60">
        <f>IFERROR(__xludf.DUMMYFUNCTION("""COMPUTED_VALUE"""),16371.0)</f>
        <v>16371</v>
      </c>
      <c r="B1672" s="60" t="str">
        <f>IFERROR(__xludf.DUMMYFUNCTION("""COMPUTED_VALUE"""),"Austin, Alex")</f>
        <v>Austin, Alex</v>
      </c>
      <c r="C1672" s="60" t="str">
        <f>IFERROR(__xludf.DUMMYFUNCTION("""COMPUTED_VALUE"""),"CB")</f>
        <v>CB</v>
      </c>
      <c r="D1672" s="60" t="str">
        <f>IFERROR(__xludf.DUMMYFUNCTION("""COMPUTED_VALUE"""),"DAL")</f>
        <v>DAL</v>
      </c>
      <c r="E1672" s="62" t="str">
        <f t="shared" si="4"/>
        <v>Alex Austin</v>
      </c>
      <c r="F1672" s="62">
        <f t="shared" ref="F1672:G1672" si="3343">IF(isblank(F$1),,IF(isblank($A1672),,IFERROR(vlookup($A1672,indirect("'TVC-"&amp;text(month(F$1),"00")&amp;"'!$A:$D"),4,false),1)))</f>
        <v>1</v>
      </c>
      <c r="G1672" s="62">
        <f t="shared" si="3343"/>
        <v>1</v>
      </c>
      <c r="H1672" s="62">
        <f t="shared" ref="H1672:Q1672" si="3344">IF(isblank(H$1),,IFERROR(vlookup($A1672,indirect("'TVC-"&amp;text(month(H$1),"00")&amp;"'!$A:$D"),4,false),1))</f>
        <v>1</v>
      </c>
      <c r="I1672" s="62">
        <f t="shared" si="3344"/>
        <v>1</v>
      </c>
      <c r="J1672" s="62">
        <f t="shared" si="3344"/>
        <v>1</v>
      </c>
      <c r="K1672" s="62">
        <f t="shared" si="3344"/>
        <v>1</v>
      </c>
      <c r="L1672" s="62">
        <f t="shared" si="3344"/>
        <v>1</v>
      </c>
      <c r="M1672" s="62">
        <f t="shared" si="3344"/>
        <v>1</v>
      </c>
      <c r="N1672" s="62">
        <f t="shared" si="3344"/>
        <v>1</v>
      </c>
      <c r="O1672" s="62">
        <f t="shared" si="3344"/>
        <v>1</v>
      </c>
      <c r="P1672" s="62" t="str">
        <f t="shared" si="3344"/>
        <v/>
      </c>
      <c r="Q1672" s="62" t="str">
        <f t="shared" si="3344"/>
        <v/>
      </c>
      <c r="R1672" s="62">
        <f t="shared" si="7"/>
        <v>0</v>
      </c>
      <c r="S1672" s="62"/>
      <c r="T1672" s="62"/>
      <c r="U1672" s="62"/>
      <c r="V1672" s="62"/>
      <c r="W1672" s="62"/>
      <c r="X1672" s="62"/>
      <c r="Y1672" s="62"/>
      <c r="Z1672" s="62"/>
      <c r="AA1672" s="62"/>
      <c r="AB1672" s="62"/>
      <c r="AC1672" s="62"/>
    </row>
    <row r="1673" hidden="1">
      <c r="A1673" s="60">
        <f>IFERROR(__xludf.DUMMYFUNCTION("""COMPUTED_VALUE"""),16373.0)</f>
        <v>16373</v>
      </c>
      <c r="B1673" s="60" t="str">
        <f>IFERROR(__xludf.DUMMYFUNCTION("""COMPUTED_VALUE"""),"Graham, Jalen")</f>
        <v>Graham, Jalen</v>
      </c>
      <c r="C1673" s="60" t="str">
        <f>IFERROR(__xludf.DUMMYFUNCTION("""COMPUTED_VALUE"""),"LB")</f>
        <v>LB</v>
      </c>
      <c r="D1673" s="60" t="str">
        <f>IFERROR(__xludf.DUMMYFUNCTION("""COMPUTED_VALUE"""),"SFO")</f>
        <v>SFO</v>
      </c>
      <c r="E1673" s="62" t="str">
        <f t="shared" si="4"/>
        <v>Jalen Graham</v>
      </c>
      <c r="F1673" s="62">
        <f t="shared" ref="F1673:G1673" si="3345">IF(isblank(F$1),,IF(isblank($A1673),,IFERROR(vlookup($A1673,indirect("'TVC-"&amp;text(month(F$1),"00")&amp;"'!$A:$D"),4,false),1)))</f>
        <v>1</v>
      </c>
      <c r="G1673" s="62">
        <f t="shared" si="3345"/>
        <v>1</v>
      </c>
      <c r="H1673" s="62">
        <f t="shared" ref="H1673:Q1673" si="3346">IF(isblank(H$1),,IFERROR(vlookup($A1673,indirect("'TVC-"&amp;text(month(H$1),"00")&amp;"'!$A:$D"),4,false),1))</f>
        <v>1</v>
      </c>
      <c r="I1673" s="62">
        <f t="shared" si="3346"/>
        <v>1</v>
      </c>
      <c r="J1673" s="62">
        <f t="shared" si="3346"/>
        <v>1</v>
      </c>
      <c r="K1673" s="62">
        <f t="shared" si="3346"/>
        <v>1</v>
      </c>
      <c r="L1673" s="62">
        <f t="shared" si="3346"/>
        <v>1</v>
      </c>
      <c r="M1673" s="62">
        <f t="shared" si="3346"/>
        <v>1</v>
      </c>
      <c r="N1673" s="62">
        <f t="shared" si="3346"/>
        <v>1</v>
      </c>
      <c r="O1673" s="62">
        <f t="shared" si="3346"/>
        <v>1</v>
      </c>
      <c r="P1673" s="62" t="str">
        <f t="shared" si="3346"/>
        <v/>
      </c>
      <c r="Q1673" s="62" t="str">
        <f t="shared" si="3346"/>
        <v/>
      </c>
      <c r="R1673" s="62">
        <f t="shared" si="7"/>
        <v>0</v>
      </c>
      <c r="S1673" s="62"/>
      <c r="T1673" s="62"/>
      <c r="U1673" s="62"/>
      <c r="V1673" s="62"/>
      <c r="W1673" s="62"/>
      <c r="X1673" s="62"/>
      <c r="Y1673" s="62"/>
      <c r="Z1673" s="62"/>
      <c r="AA1673" s="62"/>
      <c r="AB1673" s="62"/>
      <c r="AC1673" s="62"/>
    </row>
    <row r="1674" hidden="1">
      <c r="A1674" s="60">
        <f>IFERROR(__xludf.DUMMYFUNCTION("""COMPUTED_VALUE"""),16375.0)</f>
        <v>16375</v>
      </c>
      <c r="B1674" s="60" t="str">
        <f>IFERROR(__xludf.DUMMYFUNCTION("""COMPUTED_VALUE"""),"Williamson, Kendall")</f>
        <v>Williamson, Kendall</v>
      </c>
      <c r="C1674" s="60" t="str">
        <f>IFERROR(__xludf.DUMMYFUNCTION("""COMPUTED_VALUE"""),"S")</f>
        <v>S</v>
      </c>
      <c r="D1674" s="60" t="str">
        <f>IFERROR(__xludf.DUMMYFUNCTION("""COMPUTED_VALUE"""),"LAC")</f>
        <v>LAC</v>
      </c>
      <c r="E1674" s="62" t="str">
        <f t="shared" si="4"/>
        <v>Kendall Williamson</v>
      </c>
      <c r="F1674" s="62">
        <f t="shared" ref="F1674:G1674" si="3347">IF(isblank(F$1),,IF(isblank($A1674),,IFERROR(vlookup($A1674,indirect("'TVC-"&amp;text(month(F$1),"00")&amp;"'!$A:$D"),4,false),1)))</f>
        <v>1</v>
      </c>
      <c r="G1674" s="62">
        <f t="shared" si="3347"/>
        <v>1</v>
      </c>
      <c r="H1674" s="62">
        <f t="shared" ref="H1674:Q1674" si="3348">IF(isblank(H$1),,IFERROR(vlookup($A1674,indirect("'TVC-"&amp;text(month(H$1),"00")&amp;"'!$A:$D"),4,false),1))</f>
        <v>1</v>
      </c>
      <c r="I1674" s="62">
        <f t="shared" si="3348"/>
        <v>1</v>
      </c>
      <c r="J1674" s="62">
        <f t="shared" si="3348"/>
        <v>1</v>
      </c>
      <c r="K1674" s="62">
        <f t="shared" si="3348"/>
        <v>1</v>
      </c>
      <c r="L1674" s="62">
        <f t="shared" si="3348"/>
        <v>1</v>
      </c>
      <c r="M1674" s="62">
        <f t="shared" si="3348"/>
        <v>1</v>
      </c>
      <c r="N1674" s="62">
        <f t="shared" si="3348"/>
        <v>1</v>
      </c>
      <c r="O1674" s="62">
        <f t="shared" si="3348"/>
        <v>1</v>
      </c>
      <c r="P1674" s="62" t="str">
        <f t="shared" si="3348"/>
        <v/>
      </c>
      <c r="Q1674" s="62" t="str">
        <f t="shared" si="3348"/>
        <v/>
      </c>
      <c r="R1674" s="62">
        <f t="shared" si="7"/>
        <v>0</v>
      </c>
      <c r="S1674" s="62"/>
      <c r="T1674" s="62"/>
      <c r="U1674" s="62"/>
      <c r="V1674" s="62"/>
      <c r="W1674" s="62"/>
      <c r="X1674" s="62"/>
      <c r="Y1674" s="62"/>
      <c r="Z1674" s="62"/>
      <c r="AA1674" s="62"/>
      <c r="AB1674" s="62"/>
      <c r="AC1674" s="62"/>
    </row>
    <row r="1675" hidden="1">
      <c r="A1675" s="60">
        <f>IFERROR(__xludf.DUMMYFUNCTION("""COMPUTED_VALUE"""),16376.0)</f>
        <v>16376</v>
      </c>
      <c r="B1675" s="60" t="str">
        <f>IFERROR(__xludf.DUMMYFUNCTION("""COMPUTED_VALUE"""),"Johnson, Desjuan")</f>
        <v>Johnson, Desjuan</v>
      </c>
      <c r="C1675" s="60" t="str">
        <f>IFERROR(__xludf.DUMMYFUNCTION("""COMPUTED_VALUE"""),"DT")</f>
        <v>DT</v>
      </c>
      <c r="D1675" s="60" t="str">
        <f>IFERROR(__xludf.DUMMYFUNCTION("""COMPUTED_VALUE"""),"LAR")</f>
        <v>LAR</v>
      </c>
      <c r="E1675" s="62" t="str">
        <f t="shared" si="4"/>
        <v>Desjuan Johnson</v>
      </c>
      <c r="F1675" s="62">
        <f t="shared" ref="F1675:G1675" si="3349">IF(isblank(F$1),,IF(isblank($A1675),,IFERROR(vlookup($A1675,indirect("'TVC-"&amp;text(month(F$1),"00")&amp;"'!$A:$D"),4,false),1)))</f>
        <v>1</v>
      </c>
      <c r="G1675" s="62">
        <f t="shared" si="3349"/>
        <v>1</v>
      </c>
      <c r="H1675" s="62">
        <f t="shared" ref="H1675:Q1675" si="3350">IF(isblank(H$1),,IFERROR(vlookup($A1675,indirect("'TVC-"&amp;text(month(H$1),"00")&amp;"'!$A:$D"),4,false),1))</f>
        <v>1</v>
      </c>
      <c r="I1675" s="62">
        <f t="shared" si="3350"/>
        <v>1</v>
      </c>
      <c r="J1675" s="62">
        <f t="shared" si="3350"/>
        <v>1</v>
      </c>
      <c r="K1675" s="62">
        <f t="shared" si="3350"/>
        <v>1</v>
      </c>
      <c r="L1675" s="62">
        <f t="shared" si="3350"/>
        <v>1</v>
      </c>
      <c r="M1675" s="62">
        <f t="shared" si="3350"/>
        <v>1</v>
      </c>
      <c r="N1675" s="62">
        <f t="shared" si="3350"/>
        <v>1</v>
      </c>
      <c r="O1675" s="62">
        <f t="shared" si="3350"/>
        <v>1</v>
      </c>
      <c r="P1675" s="62" t="str">
        <f t="shared" si="3350"/>
        <v/>
      </c>
      <c r="Q1675" s="62" t="str">
        <f t="shared" si="3350"/>
        <v/>
      </c>
      <c r="R1675" s="62">
        <f t="shared" si="7"/>
        <v>0</v>
      </c>
      <c r="S1675" s="62"/>
      <c r="T1675" s="62"/>
      <c r="U1675" s="62"/>
      <c r="V1675" s="62"/>
      <c r="W1675" s="62"/>
      <c r="X1675" s="62"/>
      <c r="Y1675" s="62"/>
      <c r="Z1675" s="62"/>
      <c r="AA1675" s="62"/>
      <c r="AB1675" s="62"/>
      <c r="AC1675" s="62"/>
    </row>
    <row r="1676" hidden="1">
      <c r="A1676" s="60">
        <f>IFERROR(__xludf.DUMMYFUNCTION("""COMPUTED_VALUE"""),16379.0)</f>
        <v>16379</v>
      </c>
      <c r="B1676" s="60" t="str">
        <f>IFERROR(__xludf.DUMMYFUNCTION("""COMPUTED_VALUE"""),"Ford-Wheaton, Bryce")</f>
        <v>Ford-Wheaton, Bryce</v>
      </c>
      <c r="C1676" s="60" t="str">
        <f>IFERROR(__xludf.DUMMYFUNCTION("""COMPUTED_VALUE"""),"WR")</f>
        <v>WR</v>
      </c>
      <c r="D1676" s="60" t="str">
        <f>IFERROR(__xludf.DUMMYFUNCTION("""COMPUTED_VALUE"""),"NYG")</f>
        <v>NYG</v>
      </c>
      <c r="E1676" s="62" t="str">
        <f t="shared" si="4"/>
        <v>Bryce Ford-Wheaton</v>
      </c>
      <c r="F1676" s="62">
        <f t="shared" ref="F1676:G1676" si="3351">IF(isblank(F$1),,IF(isblank($A1676),,IFERROR(vlookup($A1676,indirect("'TVC-"&amp;text(month(F$1),"00")&amp;"'!$A:$D"),4,false),1)))</f>
        <v>1</v>
      </c>
      <c r="G1676" s="62">
        <f t="shared" si="3351"/>
        <v>1</v>
      </c>
      <c r="H1676" s="62">
        <f t="shared" ref="H1676:Q1676" si="3352">IF(isblank(H$1),,IFERROR(vlookup($A1676,indirect("'TVC-"&amp;text(month(H$1),"00")&amp;"'!$A:$D"),4,false),1))</f>
        <v>1</v>
      </c>
      <c r="I1676" s="62">
        <f t="shared" si="3352"/>
        <v>1</v>
      </c>
      <c r="J1676" s="62">
        <f t="shared" si="3352"/>
        <v>1</v>
      </c>
      <c r="K1676" s="62">
        <f t="shared" si="3352"/>
        <v>1</v>
      </c>
      <c r="L1676" s="62">
        <f t="shared" si="3352"/>
        <v>1</v>
      </c>
      <c r="M1676" s="62">
        <f t="shared" si="3352"/>
        <v>1</v>
      </c>
      <c r="N1676" s="62">
        <f t="shared" si="3352"/>
        <v>1</v>
      </c>
      <c r="O1676" s="62">
        <f t="shared" si="3352"/>
        <v>1</v>
      </c>
      <c r="P1676" s="62" t="str">
        <f t="shared" si="3352"/>
        <v/>
      </c>
      <c r="Q1676" s="62" t="str">
        <f t="shared" si="3352"/>
        <v/>
      </c>
      <c r="R1676" s="62">
        <f t="shared" si="7"/>
        <v>0</v>
      </c>
      <c r="S1676" s="62"/>
      <c r="T1676" s="62"/>
      <c r="U1676" s="62"/>
      <c r="V1676" s="62"/>
      <c r="W1676" s="62"/>
      <c r="X1676" s="62"/>
      <c r="Y1676" s="62"/>
      <c r="Z1676" s="62"/>
      <c r="AA1676" s="62"/>
      <c r="AB1676" s="62"/>
      <c r="AC1676" s="62"/>
    </row>
    <row r="1677" hidden="1">
      <c r="A1677" s="60">
        <f>IFERROR(__xludf.DUMMYFUNCTION("""COMPUTED_VALUE"""),16380.0)</f>
        <v>16380</v>
      </c>
      <c r="B1677" s="60" t="str">
        <f>IFERROR(__xludf.DUMMYFUNCTION("""COMPUTED_VALUE"""),"Prince, Deneric")</f>
        <v>Prince, Deneric</v>
      </c>
      <c r="C1677" s="60" t="str">
        <f>IFERROR(__xludf.DUMMYFUNCTION("""COMPUTED_VALUE"""),"RB")</f>
        <v>RB</v>
      </c>
      <c r="D1677" s="60" t="str">
        <f>IFERROR(__xludf.DUMMYFUNCTION("""COMPUTED_VALUE"""),"NEP")</f>
        <v>NEP</v>
      </c>
      <c r="E1677" s="62" t="str">
        <f t="shared" si="4"/>
        <v>Deneric Prince</v>
      </c>
      <c r="F1677" s="62">
        <f t="shared" ref="F1677:G1677" si="3353">IF(isblank(F$1),,IF(isblank($A1677),,IFERROR(vlookup($A1677,indirect("'TVC-"&amp;text(month(F$1),"00")&amp;"'!$A:$D"),4,false),1)))</f>
        <v>1</v>
      </c>
      <c r="G1677" s="62">
        <f t="shared" si="3353"/>
        <v>1</v>
      </c>
      <c r="H1677" s="62">
        <f t="shared" ref="H1677:Q1677" si="3354">IF(isblank(H$1),,IFERROR(vlookup($A1677,indirect("'TVC-"&amp;text(month(H$1),"00")&amp;"'!$A:$D"),4,false),1))</f>
        <v>1</v>
      </c>
      <c r="I1677" s="62">
        <f t="shared" si="3354"/>
        <v>1</v>
      </c>
      <c r="J1677" s="62">
        <f t="shared" si="3354"/>
        <v>1</v>
      </c>
      <c r="K1677" s="62">
        <f t="shared" si="3354"/>
        <v>1</v>
      </c>
      <c r="L1677" s="62">
        <f t="shared" si="3354"/>
        <v>1</v>
      </c>
      <c r="M1677" s="62">
        <f t="shared" si="3354"/>
        <v>1</v>
      </c>
      <c r="N1677" s="62">
        <f t="shared" si="3354"/>
        <v>1</v>
      </c>
      <c r="O1677" s="62">
        <f t="shared" si="3354"/>
        <v>1</v>
      </c>
      <c r="P1677" s="62" t="str">
        <f t="shared" si="3354"/>
        <v/>
      </c>
      <c r="Q1677" s="62" t="str">
        <f t="shared" si="3354"/>
        <v/>
      </c>
      <c r="R1677" s="62">
        <f t="shared" si="7"/>
        <v>0</v>
      </c>
      <c r="S1677" s="62"/>
      <c r="T1677" s="62"/>
      <c r="U1677" s="62"/>
      <c r="V1677" s="62"/>
      <c r="W1677" s="62"/>
      <c r="X1677" s="62"/>
      <c r="Y1677" s="62"/>
      <c r="Z1677" s="62"/>
      <c r="AA1677" s="62"/>
      <c r="AB1677" s="62"/>
      <c r="AC1677" s="62"/>
    </row>
    <row r="1678" hidden="1">
      <c r="A1678" s="60">
        <f>IFERROR(__xludf.DUMMYFUNCTION("""COMPUTED_VALUE"""),16383.0)</f>
        <v>16383</v>
      </c>
      <c r="B1678" s="60" t="str">
        <f>IFERROR(__xludf.DUMMYFUNCTION("""COMPUTED_VALUE"""),"Pace, Ivan")</f>
        <v>Pace, Ivan</v>
      </c>
      <c r="C1678" s="60" t="str">
        <f>IFERROR(__xludf.DUMMYFUNCTION("""COMPUTED_VALUE"""),"LB")</f>
        <v>LB</v>
      </c>
      <c r="D1678" s="60" t="str">
        <f>IFERROR(__xludf.DUMMYFUNCTION("""COMPUTED_VALUE"""),"MIN")</f>
        <v>MIN</v>
      </c>
      <c r="E1678" s="62" t="str">
        <f t="shared" si="4"/>
        <v>Ivan Pace</v>
      </c>
      <c r="F1678" s="62">
        <f t="shared" ref="F1678:G1678" si="3355">IF(isblank(F$1),,IF(isblank($A1678),,IFERROR(vlookup($A1678,indirect("'TVC-"&amp;text(month(F$1),"00")&amp;"'!$A:$D"),4,false),1)))</f>
        <v>1</v>
      </c>
      <c r="G1678" s="62">
        <f t="shared" si="3355"/>
        <v>1</v>
      </c>
      <c r="H1678" s="62">
        <f t="shared" ref="H1678:Q1678" si="3356">IF(isblank(H$1),,IFERROR(vlookup($A1678,indirect("'TVC-"&amp;text(month(H$1),"00")&amp;"'!$A:$D"),4,false),1))</f>
        <v>1</v>
      </c>
      <c r="I1678" s="62">
        <f t="shared" si="3356"/>
        <v>1</v>
      </c>
      <c r="J1678" s="62">
        <f t="shared" si="3356"/>
        <v>1</v>
      </c>
      <c r="K1678" s="62">
        <f t="shared" si="3356"/>
        <v>1</v>
      </c>
      <c r="L1678" s="62">
        <f t="shared" si="3356"/>
        <v>1</v>
      </c>
      <c r="M1678" s="62">
        <f t="shared" si="3356"/>
        <v>1</v>
      </c>
      <c r="N1678" s="62">
        <f t="shared" si="3356"/>
        <v>1</v>
      </c>
      <c r="O1678" s="62">
        <f t="shared" si="3356"/>
        <v>1</v>
      </c>
      <c r="P1678" s="62" t="str">
        <f t="shared" si="3356"/>
        <v/>
      </c>
      <c r="Q1678" s="62" t="str">
        <f t="shared" si="3356"/>
        <v/>
      </c>
      <c r="R1678" s="62">
        <f t="shared" si="7"/>
        <v>0</v>
      </c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</row>
    <row r="1679" hidden="1">
      <c r="A1679" s="60">
        <f>IFERROR(__xludf.DUMMYFUNCTION("""COMPUTED_VALUE"""),16384.0)</f>
        <v>16384</v>
      </c>
      <c r="B1679" s="60" t="str">
        <f>IFERROR(__xludf.DUMMYFUNCTION("""COMPUTED_VALUE"""),"Bagent, Tyson")</f>
        <v>Bagent, Tyson</v>
      </c>
      <c r="C1679" s="60" t="str">
        <f>IFERROR(__xludf.DUMMYFUNCTION("""COMPUTED_VALUE"""),"QB")</f>
        <v>QB</v>
      </c>
      <c r="D1679" s="60" t="str">
        <f>IFERROR(__xludf.DUMMYFUNCTION("""COMPUTED_VALUE"""),"CHI")</f>
        <v>CHI</v>
      </c>
      <c r="E1679" s="62" t="str">
        <f t="shared" si="4"/>
        <v>Tyson Bagent</v>
      </c>
      <c r="F1679" s="62">
        <f t="shared" ref="F1679:G1679" si="3357">IF(isblank(F$1),,IF(isblank($A1679),,IFERROR(vlookup($A1679,indirect("'TVC-"&amp;text(month(F$1),"00")&amp;"'!$A:$D"),4,false),1)))</f>
        <v>1012</v>
      </c>
      <c r="G1679" s="62">
        <f t="shared" si="3357"/>
        <v>1098</v>
      </c>
      <c r="H1679" s="62">
        <f t="shared" ref="H1679:Q1679" si="3358">IF(isblank(H$1),,IFERROR(vlookup($A1679,indirect("'TVC-"&amp;text(month(H$1),"00")&amp;"'!$A:$D"),4,false),1))</f>
        <v>1197</v>
      </c>
      <c r="I1679" s="62">
        <f t="shared" si="3358"/>
        <v>1524</v>
      </c>
      <c r="J1679" s="62">
        <f t="shared" si="3358"/>
        <v>1465</v>
      </c>
      <c r="K1679" s="62">
        <f t="shared" si="3358"/>
        <v>1444</v>
      </c>
      <c r="L1679" s="62">
        <f t="shared" si="3358"/>
        <v>1388</v>
      </c>
      <c r="M1679" s="62">
        <f t="shared" si="3358"/>
        <v>1269</v>
      </c>
      <c r="N1679" s="62">
        <f t="shared" si="3358"/>
        <v>1210</v>
      </c>
      <c r="O1679" s="62">
        <f t="shared" si="3358"/>
        <v>1</v>
      </c>
      <c r="P1679" s="62" t="str">
        <f t="shared" si="3358"/>
        <v/>
      </c>
      <c r="Q1679" s="62" t="str">
        <f t="shared" si="3358"/>
        <v/>
      </c>
      <c r="R1679" s="62">
        <f t="shared" si="7"/>
        <v>-1209</v>
      </c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</row>
    <row r="1680" hidden="1">
      <c r="A1680" s="60">
        <f>IFERROR(__xludf.DUMMYFUNCTION("""COMPUTED_VALUE"""),16385.0)</f>
        <v>16385</v>
      </c>
      <c r="B1680" s="60" t="str">
        <f>IFERROR(__xludf.DUMMYFUNCTION("""COMPUTED_VALUE"""),"Demercado, Emari")</f>
        <v>Demercado, Emari</v>
      </c>
      <c r="C1680" s="60" t="str">
        <f>IFERROR(__xludf.DUMMYFUNCTION("""COMPUTED_VALUE"""),"RB")</f>
        <v>RB</v>
      </c>
      <c r="D1680" s="60" t="str">
        <f>IFERROR(__xludf.DUMMYFUNCTION("""COMPUTED_VALUE"""),"DAL")</f>
        <v>DAL</v>
      </c>
      <c r="E1680" s="62" t="str">
        <f t="shared" si="4"/>
        <v>Emari Demercado</v>
      </c>
      <c r="F1680" s="62">
        <f t="shared" ref="F1680:G1680" si="3359">IF(isblank(F$1),,IF(isblank($A1680),,IFERROR(vlookup($A1680,indirect("'TVC-"&amp;text(month(F$1),"00")&amp;"'!$A:$D"),4,false),1)))</f>
        <v>1521</v>
      </c>
      <c r="G1680" s="62">
        <f t="shared" si="3359"/>
        <v>1304</v>
      </c>
      <c r="H1680" s="62">
        <f t="shared" ref="H1680:Q1680" si="3360">IF(isblank(H$1),,IFERROR(vlookup($A1680,indirect("'TVC-"&amp;text(month(H$1),"00")&amp;"'!$A:$D"),4,false),1))</f>
        <v>1295</v>
      </c>
      <c r="I1680" s="62">
        <f t="shared" si="3360"/>
        <v>1231</v>
      </c>
      <c r="J1680" s="62">
        <f t="shared" si="3360"/>
        <v>1193</v>
      </c>
      <c r="K1680" s="62">
        <f t="shared" si="3360"/>
        <v>1146</v>
      </c>
      <c r="L1680" s="62">
        <f t="shared" si="3360"/>
        <v>1152</v>
      </c>
      <c r="M1680" s="62">
        <f t="shared" si="3360"/>
        <v>1213</v>
      </c>
      <c r="N1680" s="62">
        <f t="shared" si="3360"/>
        <v>1233</v>
      </c>
      <c r="O1680" s="62">
        <f t="shared" si="3360"/>
        <v>1</v>
      </c>
      <c r="P1680" s="62" t="str">
        <f t="shared" si="3360"/>
        <v/>
      </c>
      <c r="Q1680" s="62" t="str">
        <f t="shared" si="3360"/>
        <v/>
      </c>
      <c r="R1680" s="62">
        <f t="shared" si="7"/>
        <v>-1232</v>
      </c>
      <c r="S1680" s="62"/>
      <c r="T1680" s="62"/>
      <c r="U1680" s="62"/>
      <c r="V1680" s="62"/>
      <c r="W1680" s="62"/>
      <c r="X1680" s="62"/>
      <c r="Y1680" s="62"/>
      <c r="Z1680" s="62"/>
      <c r="AA1680" s="62"/>
      <c r="AB1680" s="62"/>
      <c r="AC1680" s="62"/>
    </row>
    <row r="1681">
      <c r="A1681" s="60">
        <f>IFERROR(__xludf.DUMMYFUNCTION("""COMPUTED_VALUE"""),16387.0)</f>
        <v>16387</v>
      </c>
      <c r="B1681" s="60" t="str">
        <f>IFERROR(__xludf.DUMMYFUNCTION("""COMPUTED_VALUE"""),"Brooks, Chris")</f>
        <v>Brooks, Chris</v>
      </c>
      <c r="C1681" s="60" t="str">
        <f>IFERROR(__xludf.DUMMYFUNCTION("""COMPUTED_VALUE"""),"RB")</f>
        <v>RB</v>
      </c>
      <c r="D1681" s="60" t="str">
        <f>IFERROR(__xludf.DUMMYFUNCTION("""COMPUTED_VALUE"""),"GBP")</f>
        <v>GBP</v>
      </c>
      <c r="E1681" s="62" t="str">
        <f t="shared" si="4"/>
        <v>Chris Brooks</v>
      </c>
      <c r="F1681" s="62">
        <f t="shared" ref="F1681:G1681" si="3361">IF(isblank(F$1),,IF(isblank($A1681),,IFERROR(vlookup($A1681,indirect("'TVC-"&amp;text(month(F$1),"00")&amp;"'!$A:$D"),4,false),1)))</f>
        <v>1090</v>
      </c>
      <c r="G1681" s="62">
        <f t="shared" si="3361"/>
        <v>1056</v>
      </c>
      <c r="H1681" s="62">
        <f t="shared" ref="H1681:Q1681" si="3362">IF(isblank(H$1),,IFERROR(vlookup($A1681,indirect("'TVC-"&amp;text(month(H$1),"00")&amp;"'!$A:$D"),4,false),1))</f>
        <v>1057</v>
      </c>
      <c r="I1681" s="62">
        <f t="shared" si="3362"/>
        <v>1089</v>
      </c>
      <c r="J1681" s="62">
        <f t="shared" si="3362"/>
        <v>1158</v>
      </c>
      <c r="K1681" s="62">
        <f t="shared" si="3362"/>
        <v>1217</v>
      </c>
      <c r="L1681" s="62">
        <f t="shared" si="3362"/>
        <v>1396</v>
      </c>
      <c r="M1681" s="62">
        <f t="shared" si="3362"/>
        <v>1494</v>
      </c>
      <c r="N1681" s="62">
        <f t="shared" si="3362"/>
        <v>1500</v>
      </c>
      <c r="O1681" s="62">
        <f t="shared" si="3362"/>
        <v>1</v>
      </c>
      <c r="P1681" s="62" t="str">
        <f t="shared" si="3362"/>
        <v/>
      </c>
      <c r="Q1681" s="62" t="str">
        <f t="shared" si="3362"/>
        <v/>
      </c>
      <c r="R1681" s="62">
        <f t="shared" si="7"/>
        <v>-1499</v>
      </c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</row>
    <row r="1682" hidden="1">
      <c r="A1682" s="60">
        <f>IFERROR(__xludf.DUMMYFUNCTION("""COMPUTED_VALUE"""),16390.0)</f>
        <v>16390</v>
      </c>
      <c r="B1682" s="60" t="str">
        <f>IFERROR(__xludf.DUMMYFUNCTION("""COMPUTED_VALUE"""),"McLaughlin, Jaleel")</f>
        <v>McLaughlin, Jaleel</v>
      </c>
      <c r="C1682" s="60" t="str">
        <f>IFERROR(__xludf.DUMMYFUNCTION("""COMPUTED_VALUE"""),"RB")</f>
        <v>RB</v>
      </c>
      <c r="D1682" s="60" t="str">
        <f>IFERROR(__xludf.DUMMYFUNCTION("""COMPUTED_VALUE"""),"CLE")</f>
        <v>CLE</v>
      </c>
      <c r="E1682" s="62" t="str">
        <f t="shared" si="4"/>
        <v>Jaleel McLaughlin</v>
      </c>
      <c r="F1682" s="62">
        <f t="shared" ref="F1682:G1682" si="3363">IF(isblank(F$1),,IF(isblank($A1682),,IFERROR(vlookup($A1682,indirect("'TVC-"&amp;text(month(F$1),"00")&amp;"'!$A:$D"),4,false),1)))</f>
        <v>1460</v>
      </c>
      <c r="G1682" s="62">
        <f t="shared" si="3363"/>
        <v>1567</v>
      </c>
      <c r="H1682" s="62">
        <f t="shared" ref="H1682:Q1682" si="3364">IF(isblank(H$1),,IFERROR(vlookup($A1682,indirect("'TVC-"&amp;text(month(H$1),"00")&amp;"'!$A:$D"),4,false),1))</f>
        <v>1561</v>
      </c>
      <c r="I1682" s="62">
        <f t="shared" si="3364"/>
        <v>1497</v>
      </c>
      <c r="J1682" s="62">
        <f t="shared" si="3364"/>
        <v>1497</v>
      </c>
      <c r="K1682" s="62">
        <f t="shared" si="3364"/>
        <v>1466</v>
      </c>
      <c r="L1682" s="62">
        <f t="shared" si="3364"/>
        <v>1418</v>
      </c>
      <c r="M1682" s="62">
        <f t="shared" si="3364"/>
        <v>1330</v>
      </c>
      <c r="N1682" s="62">
        <f t="shared" si="3364"/>
        <v>1239</v>
      </c>
      <c r="O1682" s="62">
        <f t="shared" si="3364"/>
        <v>1</v>
      </c>
      <c r="P1682" s="62" t="str">
        <f t="shared" si="3364"/>
        <v/>
      </c>
      <c r="Q1682" s="62" t="str">
        <f t="shared" si="3364"/>
        <v/>
      </c>
      <c r="R1682" s="62">
        <f t="shared" si="7"/>
        <v>-1238</v>
      </c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</row>
    <row r="1683" hidden="1">
      <c r="A1683" s="60">
        <f>IFERROR(__xludf.DUMMYFUNCTION("""COMPUTED_VALUE"""),16391.0)</f>
        <v>16391</v>
      </c>
      <c r="B1683" s="60" t="str">
        <f>IFERROR(__xludf.DUMMYFUNCTION("""COMPUTED_VALUE"""),"Luepke, Hunter")</f>
        <v>Luepke, Hunter</v>
      </c>
      <c r="C1683" s="60" t="str">
        <f>IFERROR(__xludf.DUMMYFUNCTION("""COMPUTED_VALUE"""),"RB")</f>
        <v>RB</v>
      </c>
      <c r="D1683" s="60" t="str">
        <f>IFERROR(__xludf.DUMMYFUNCTION("""COMPUTED_VALUE"""),"DAL")</f>
        <v>DAL</v>
      </c>
      <c r="E1683" s="62" t="str">
        <f t="shared" si="4"/>
        <v>Hunter Luepke</v>
      </c>
      <c r="F1683" s="62">
        <f t="shared" ref="F1683:G1683" si="3365">IF(isblank(F$1),,IF(isblank($A1683),,IFERROR(vlookup($A1683,indirect("'TVC-"&amp;text(month(F$1),"00")&amp;"'!$A:$D"),4,false),1)))</f>
        <v>1</v>
      </c>
      <c r="G1683" s="62">
        <f t="shared" si="3365"/>
        <v>1</v>
      </c>
      <c r="H1683" s="62">
        <f t="shared" ref="H1683:Q1683" si="3366">IF(isblank(H$1),,IFERROR(vlookup($A1683,indirect("'TVC-"&amp;text(month(H$1),"00")&amp;"'!$A:$D"),4,false),1))</f>
        <v>1</v>
      </c>
      <c r="I1683" s="62">
        <f t="shared" si="3366"/>
        <v>1</v>
      </c>
      <c r="J1683" s="62">
        <f t="shared" si="3366"/>
        <v>1</v>
      </c>
      <c r="K1683" s="62">
        <f t="shared" si="3366"/>
        <v>1</v>
      </c>
      <c r="L1683" s="62">
        <f t="shared" si="3366"/>
        <v>1</v>
      </c>
      <c r="M1683" s="62">
        <f t="shared" si="3366"/>
        <v>1</v>
      </c>
      <c r="N1683" s="62">
        <f t="shared" si="3366"/>
        <v>1</v>
      </c>
      <c r="O1683" s="62">
        <f t="shared" si="3366"/>
        <v>1</v>
      </c>
      <c r="P1683" s="62" t="str">
        <f t="shared" si="3366"/>
        <v/>
      </c>
      <c r="Q1683" s="62" t="str">
        <f t="shared" si="3366"/>
        <v/>
      </c>
      <c r="R1683" s="62">
        <f t="shared" si="7"/>
        <v>0</v>
      </c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</row>
    <row r="1684" hidden="1">
      <c r="A1684" s="60">
        <f>IFERROR(__xludf.DUMMYFUNCTION("""COMPUTED_VALUE"""),16393.0)</f>
        <v>16393</v>
      </c>
      <c r="B1684" s="60" t="str">
        <f>IFERROR(__xludf.DUMMYFUNCTION("""COMPUTED_VALUE"""),"Bobo, Jake")</f>
        <v>Bobo, Jake</v>
      </c>
      <c r="C1684" s="60" t="str">
        <f>IFERROR(__xludf.DUMMYFUNCTION("""COMPUTED_VALUE"""),"WR")</f>
        <v>WR</v>
      </c>
      <c r="D1684" s="60" t="str">
        <f>IFERROR(__xludf.DUMMYFUNCTION("""COMPUTED_VALUE"""),"SEA")</f>
        <v>SEA</v>
      </c>
      <c r="E1684" s="62" t="str">
        <f t="shared" si="4"/>
        <v>Jake Bobo</v>
      </c>
      <c r="F1684" s="62">
        <f t="shared" ref="F1684:G1684" si="3367">IF(isblank(F$1),,IF(isblank($A1684),,IFERROR(vlookup($A1684,indirect("'TVC-"&amp;text(month(F$1),"00")&amp;"'!$A:$D"),4,false),1)))</f>
        <v>883</v>
      </c>
      <c r="G1684" s="62">
        <f t="shared" si="3367"/>
        <v>998</v>
      </c>
      <c r="H1684" s="62">
        <f t="shared" ref="H1684:Q1684" si="3368">IF(isblank(H$1),,IFERROR(vlookup($A1684,indirect("'TVC-"&amp;text(month(H$1),"00")&amp;"'!$A:$D"),4,false),1))</f>
        <v>1038</v>
      </c>
      <c r="I1684" s="62">
        <f t="shared" si="3368"/>
        <v>1179</v>
      </c>
      <c r="J1684" s="62">
        <f t="shared" si="3368"/>
        <v>1152</v>
      </c>
      <c r="K1684" s="62">
        <f t="shared" si="3368"/>
        <v>1104</v>
      </c>
      <c r="L1684" s="62">
        <f t="shared" si="3368"/>
        <v>1020</v>
      </c>
      <c r="M1684" s="62">
        <f t="shared" si="3368"/>
        <v>983</v>
      </c>
      <c r="N1684" s="62">
        <f t="shared" si="3368"/>
        <v>766</v>
      </c>
      <c r="O1684" s="62">
        <f t="shared" si="3368"/>
        <v>1</v>
      </c>
      <c r="P1684" s="62" t="str">
        <f t="shared" si="3368"/>
        <v/>
      </c>
      <c r="Q1684" s="62" t="str">
        <f t="shared" si="3368"/>
        <v/>
      </c>
      <c r="R1684" s="62">
        <f t="shared" si="7"/>
        <v>-765</v>
      </c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</row>
    <row r="1685" hidden="1">
      <c r="A1685" s="60">
        <f>IFERROR(__xludf.DUMMYFUNCTION("""COMPUTED_VALUE"""),16395.0)</f>
        <v>16395</v>
      </c>
      <c r="B1685" s="60" t="str">
        <f>IFERROR(__xludf.DUMMYFUNCTION("""COMPUTED_VALUE"""),"Cropper, Jalen")</f>
        <v>Cropper, Jalen</v>
      </c>
      <c r="C1685" s="60" t="str">
        <f>IFERROR(__xludf.DUMMYFUNCTION("""COMPUTED_VALUE"""),"WR")</f>
        <v>WR</v>
      </c>
      <c r="D1685" s="60" t="str">
        <f>IFERROR(__xludf.DUMMYFUNCTION("""COMPUTED_VALUE"""),"NOS")</f>
        <v>NOS</v>
      </c>
      <c r="E1685" s="62" t="str">
        <f t="shared" si="4"/>
        <v>Jalen Cropper</v>
      </c>
      <c r="F1685" s="62">
        <f t="shared" ref="F1685:G1685" si="3369">IF(isblank(F$1),,IF(isblank($A1685),,IFERROR(vlookup($A1685,indirect("'TVC-"&amp;text(month(F$1),"00")&amp;"'!$A:$D"),4,false),1)))</f>
        <v>1</v>
      </c>
      <c r="G1685" s="62">
        <f t="shared" si="3369"/>
        <v>1</v>
      </c>
      <c r="H1685" s="62">
        <f t="shared" ref="H1685:Q1685" si="3370">IF(isblank(H$1),,IFERROR(vlookup($A1685,indirect("'TVC-"&amp;text(month(H$1),"00")&amp;"'!$A:$D"),4,false),1))</f>
        <v>1</v>
      </c>
      <c r="I1685" s="62">
        <f t="shared" si="3370"/>
        <v>1</v>
      </c>
      <c r="J1685" s="62">
        <f t="shared" si="3370"/>
        <v>1</v>
      </c>
      <c r="K1685" s="62">
        <f t="shared" si="3370"/>
        <v>1</v>
      </c>
      <c r="L1685" s="62">
        <f t="shared" si="3370"/>
        <v>1</v>
      </c>
      <c r="M1685" s="62">
        <f t="shared" si="3370"/>
        <v>1</v>
      </c>
      <c r="N1685" s="62">
        <f t="shared" si="3370"/>
        <v>1</v>
      </c>
      <c r="O1685" s="62">
        <f t="shared" si="3370"/>
        <v>1</v>
      </c>
      <c r="P1685" s="62" t="str">
        <f t="shared" si="3370"/>
        <v/>
      </c>
      <c r="Q1685" s="62" t="str">
        <f t="shared" si="3370"/>
        <v/>
      </c>
      <c r="R1685" s="62">
        <f t="shared" si="7"/>
        <v>0</v>
      </c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</row>
    <row r="1686" hidden="1">
      <c r="A1686" s="60">
        <f>IFERROR(__xludf.DUMMYFUNCTION("""COMPUTED_VALUE"""),16403.0)</f>
        <v>16403</v>
      </c>
      <c r="B1686" s="60" t="str">
        <f>IFERROR(__xludf.DUMMYFUNCTION("""COMPUTED_VALUE"""),"Tinsley, Mitchell")</f>
        <v>Tinsley, Mitchell</v>
      </c>
      <c r="C1686" s="60" t="str">
        <f>IFERROR(__xludf.DUMMYFUNCTION("""COMPUTED_VALUE"""),"WR")</f>
        <v>WR</v>
      </c>
      <c r="D1686" s="60" t="str">
        <f>IFERROR(__xludf.DUMMYFUNCTION("""COMPUTED_VALUE"""),"CIN")</f>
        <v>CIN</v>
      </c>
      <c r="E1686" s="62" t="str">
        <f t="shared" si="4"/>
        <v>Mitchell Tinsley</v>
      </c>
      <c r="F1686" s="62">
        <f t="shared" ref="F1686:G1686" si="3371">IF(isblank(F$1),,IF(isblank($A1686),,IFERROR(vlookup($A1686,indirect("'TVC-"&amp;text(month(F$1),"00")&amp;"'!$A:$D"),4,false),1)))</f>
        <v>1</v>
      </c>
      <c r="G1686" s="62">
        <f t="shared" si="3371"/>
        <v>1</v>
      </c>
      <c r="H1686" s="62">
        <f t="shared" ref="H1686:Q1686" si="3372">IF(isblank(H$1),,IFERROR(vlookup($A1686,indirect("'TVC-"&amp;text(month(H$1),"00")&amp;"'!$A:$D"),4,false),1))</f>
        <v>1</v>
      </c>
      <c r="I1686" s="62">
        <f t="shared" si="3372"/>
        <v>1</v>
      </c>
      <c r="J1686" s="62">
        <f t="shared" si="3372"/>
        <v>1</v>
      </c>
      <c r="K1686" s="62">
        <f t="shared" si="3372"/>
        <v>1</v>
      </c>
      <c r="L1686" s="62">
        <f t="shared" si="3372"/>
        <v>1</v>
      </c>
      <c r="M1686" s="62">
        <f t="shared" si="3372"/>
        <v>1</v>
      </c>
      <c r="N1686" s="62">
        <f t="shared" si="3372"/>
        <v>1</v>
      </c>
      <c r="O1686" s="62">
        <f t="shared" si="3372"/>
        <v>1</v>
      </c>
      <c r="P1686" s="62" t="str">
        <f t="shared" si="3372"/>
        <v/>
      </c>
      <c r="Q1686" s="62" t="str">
        <f t="shared" si="3372"/>
        <v/>
      </c>
      <c r="R1686" s="62">
        <f t="shared" si="7"/>
        <v>0</v>
      </c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</row>
    <row r="1687" hidden="1">
      <c r="A1687" s="60">
        <f>IFERROR(__xludf.DUMMYFUNCTION("""COMPUTED_VALUE"""),16405.0)</f>
        <v>16405</v>
      </c>
      <c r="B1687" s="60" t="str">
        <f>IFERROR(__xludf.DUMMYFUNCTION("""COMPUTED_VALUE"""),"Romo, John Parker")</f>
        <v>Romo, John Parker</v>
      </c>
      <c r="C1687" s="60" t="str">
        <f>IFERROR(__xludf.DUMMYFUNCTION("""COMPUTED_VALUE"""),"PK")</f>
        <v>PK</v>
      </c>
      <c r="D1687" s="60" t="str">
        <f>IFERROR(__xludf.DUMMYFUNCTION("""COMPUTED_VALUE"""),"FA")</f>
        <v>FA</v>
      </c>
      <c r="E1687" s="62" t="str">
        <f t="shared" si="4"/>
        <v>John Parker Romo</v>
      </c>
      <c r="F1687" s="62">
        <f t="shared" ref="F1687:G1687" si="3373">IF(isblank(F$1),,IF(isblank($A1687),,IFERROR(vlookup($A1687,indirect("'TVC-"&amp;text(month(F$1),"00")&amp;"'!$A:$D"),4,false),1)))</f>
        <v>1</v>
      </c>
      <c r="G1687" s="62">
        <f t="shared" si="3373"/>
        <v>1</v>
      </c>
      <c r="H1687" s="62">
        <f t="shared" ref="H1687:Q1687" si="3374">IF(isblank(H$1),,IFERROR(vlookup($A1687,indirect("'TVC-"&amp;text(month(H$1),"00")&amp;"'!$A:$D"),4,false),1))</f>
        <v>1</v>
      </c>
      <c r="I1687" s="62">
        <f t="shared" si="3374"/>
        <v>1</v>
      </c>
      <c r="J1687" s="62">
        <f t="shared" si="3374"/>
        <v>1</v>
      </c>
      <c r="K1687" s="62">
        <f t="shared" si="3374"/>
        <v>1</v>
      </c>
      <c r="L1687" s="62">
        <f t="shared" si="3374"/>
        <v>1</v>
      </c>
      <c r="M1687" s="62">
        <f t="shared" si="3374"/>
        <v>1</v>
      </c>
      <c r="N1687" s="62">
        <f t="shared" si="3374"/>
        <v>1</v>
      </c>
      <c r="O1687" s="62">
        <f t="shared" si="3374"/>
        <v>1</v>
      </c>
      <c r="P1687" s="62" t="str">
        <f t="shared" si="3374"/>
        <v/>
      </c>
      <c r="Q1687" s="62" t="str">
        <f t="shared" si="3374"/>
        <v/>
      </c>
      <c r="R1687" s="62">
        <f t="shared" si="7"/>
        <v>0</v>
      </c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</row>
    <row r="1688" hidden="1">
      <c r="A1688" s="60">
        <f>IFERROR(__xludf.DUMMYFUNCTION("""COMPUTED_VALUE"""),16410.0)</f>
        <v>16410</v>
      </c>
      <c r="B1688" s="60" t="str">
        <f>IFERROR(__xludf.DUMMYFUNCTION("""COMPUTED_VALUE"""),"Brown, Tanner")</f>
        <v>Brown, Tanner</v>
      </c>
      <c r="C1688" s="60" t="str">
        <f>IFERROR(__xludf.DUMMYFUNCTION("""COMPUTED_VALUE"""),"PK")</f>
        <v>PK</v>
      </c>
      <c r="D1688" s="60" t="str">
        <f>IFERROR(__xludf.DUMMYFUNCTION("""COMPUTED_VALUE"""),"FA")</f>
        <v>FA</v>
      </c>
      <c r="E1688" s="62" t="str">
        <f t="shared" si="4"/>
        <v>Tanner Brown</v>
      </c>
      <c r="F1688" s="62">
        <f t="shared" ref="F1688:G1688" si="3375">IF(isblank(F$1),,IF(isblank($A1688),,IFERROR(vlookup($A1688,indirect("'TVC-"&amp;text(month(F$1),"00")&amp;"'!$A:$D"),4,false),1)))</f>
        <v>1</v>
      </c>
      <c r="G1688" s="62">
        <f t="shared" si="3375"/>
        <v>1</v>
      </c>
      <c r="H1688" s="62">
        <f t="shared" ref="H1688:Q1688" si="3376">IF(isblank(H$1),,IFERROR(vlookup($A1688,indirect("'TVC-"&amp;text(month(H$1),"00")&amp;"'!$A:$D"),4,false),1))</f>
        <v>1</v>
      </c>
      <c r="I1688" s="62">
        <f t="shared" si="3376"/>
        <v>1</v>
      </c>
      <c r="J1688" s="62">
        <f t="shared" si="3376"/>
        <v>1</v>
      </c>
      <c r="K1688" s="62">
        <f t="shared" si="3376"/>
        <v>1</v>
      </c>
      <c r="L1688" s="62">
        <f t="shared" si="3376"/>
        <v>1</v>
      </c>
      <c r="M1688" s="62">
        <f t="shared" si="3376"/>
        <v>1</v>
      </c>
      <c r="N1688" s="62">
        <f t="shared" si="3376"/>
        <v>1</v>
      </c>
      <c r="O1688" s="62">
        <f t="shared" si="3376"/>
        <v>1</v>
      </c>
      <c r="P1688" s="62" t="str">
        <f t="shared" si="3376"/>
        <v/>
      </c>
      <c r="Q1688" s="62" t="str">
        <f t="shared" si="3376"/>
        <v/>
      </c>
      <c r="R1688" s="62">
        <f t="shared" si="7"/>
        <v>0</v>
      </c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</row>
    <row r="1689" hidden="1">
      <c r="A1689" s="60">
        <f>IFERROR(__xludf.DUMMYFUNCTION("""COMPUTED_VALUE"""),16413.0)</f>
        <v>16413</v>
      </c>
      <c r="B1689" s="60" t="str">
        <f>IFERROR(__xludf.DUMMYFUNCTION("""COMPUTED_VALUE"""),"Heath, Malik")</f>
        <v>Heath, Malik</v>
      </c>
      <c r="C1689" s="60" t="str">
        <f>IFERROR(__xludf.DUMMYFUNCTION("""COMPUTED_VALUE"""),"WR")</f>
        <v>WR</v>
      </c>
      <c r="D1689" s="60" t="str">
        <f>IFERROR(__xludf.DUMMYFUNCTION("""COMPUTED_VALUE"""),"ATL")</f>
        <v>ATL</v>
      </c>
      <c r="E1689" s="62" t="str">
        <f t="shared" si="4"/>
        <v>Malik Heath</v>
      </c>
      <c r="F1689" s="62">
        <f t="shared" ref="F1689:G1689" si="3377">IF(isblank(F$1),,IF(isblank($A1689),,IFERROR(vlookup($A1689,indirect("'TVC-"&amp;text(month(F$1),"00")&amp;"'!$A:$D"),4,false),1)))</f>
        <v>782</v>
      </c>
      <c r="G1689" s="62">
        <f t="shared" si="3377"/>
        <v>783</v>
      </c>
      <c r="H1689" s="62">
        <f t="shared" ref="H1689:Q1689" si="3378">IF(isblank(H$1),,IFERROR(vlookup($A1689,indirect("'TVC-"&amp;text(month(H$1),"00")&amp;"'!$A:$D"),4,false),1))</f>
        <v>778</v>
      </c>
      <c r="I1689" s="62">
        <f t="shared" si="3378"/>
        <v>716</v>
      </c>
      <c r="J1689" s="62">
        <f t="shared" si="3378"/>
        <v>581</v>
      </c>
      <c r="K1689" s="62">
        <f t="shared" si="3378"/>
        <v>493</v>
      </c>
      <c r="L1689" s="62">
        <f t="shared" si="3378"/>
        <v>1</v>
      </c>
      <c r="M1689" s="62">
        <f t="shared" si="3378"/>
        <v>599</v>
      </c>
      <c r="N1689" s="62">
        <f t="shared" si="3378"/>
        <v>516</v>
      </c>
      <c r="O1689" s="62">
        <f t="shared" si="3378"/>
        <v>1</v>
      </c>
      <c r="P1689" s="62" t="str">
        <f t="shared" si="3378"/>
        <v/>
      </c>
      <c r="Q1689" s="62" t="str">
        <f t="shared" si="3378"/>
        <v/>
      </c>
      <c r="R1689" s="62">
        <f t="shared" si="7"/>
        <v>-515</v>
      </c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</row>
    <row r="1690" hidden="1">
      <c r="A1690" s="60">
        <f>IFERROR(__xludf.DUMMYFUNCTION("""COMPUTED_VALUE"""),16414.0)</f>
        <v>16414</v>
      </c>
      <c r="B1690" s="60" t="str">
        <f>IFERROR(__xludf.DUMMYFUNCTION("""COMPUTED_VALUE"""),"Aubrey, Brandon")</f>
        <v>Aubrey, Brandon</v>
      </c>
      <c r="C1690" s="60" t="str">
        <f>IFERROR(__xludf.DUMMYFUNCTION("""COMPUTED_VALUE"""),"PK")</f>
        <v>PK</v>
      </c>
      <c r="D1690" s="60" t="str">
        <f>IFERROR(__xludf.DUMMYFUNCTION("""COMPUTED_VALUE"""),"DAL")</f>
        <v>DAL</v>
      </c>
      <c r="E1690" s="62" t="str">
        <f t="shared" si="4"/>
        <v>Brandon Aubrey</v>
      </c>
      <c r="F1690" s="62">
        <f t="shared" ref="F1690:G1690" si="3379">IF(isblank(F$1),,IF(isblank($A1690),,IFERROR(vlookup($A1690,indirect("'TVC-"&amp;text(month(F$1),"00")&amp;"'!$A:$D"),4,false),1)))</f>
        <v>1</v>
      </c>
      <c r="G1690" s="62">
        <f t="shared" si="3379"/>
        <v>1</v>
      </c>
      <c r="H1690" s="62">
        <f t="shared" ref="H1690:Q1690" si="3380">IF(isblank(H$1),,IFERROR(vlookup($A1690,indirect("'TVC-"&amp;text(month(H$1),"00")&amp;"'!$A:$D"),4,false),1))</f>
        <v>1</v>
      </c>
      <c r="I1690" s="62">
        <f t="shared" si="3380"/>
        <v>1</v>
      </c>
      <c r="J1690" s="62">
        <f t="shared" si="3380"/>
        <v>1</v>
      </c>
      <c r="K1690" s="62">
        <f t="shared" si="3380"/>
        <v>1</v>
      </c>
      <c r="L1690" s="62">
        <f t="shared" si="3380"/>
        <v>1</v>
      </c>
      <c r="M1690" s="62">
        <f t="shared" si="3380"/>
        <v>1</v>
      </c>
      <c r="N1690" s="62">
        <f t="shared" si="3380"/>
        <v>1</v>
      </c>
      <c r="O1690" s="62">
        <f t="shared" si="3380"/>
        <v>1</v>
      </c>
      <c r="P1690" s="62" t="str">
        <f t="shared" si="3380"/>
        <v/>
      </c>
      <c r="Q1690" s="62" t="str">
        <f t="shared" si="3380"/>
        <v/>
      </c>
      <c r="R1690" s="62">
        <f t="shared" si="7"/>
        <v>0</v>
      </c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</row>
    <row r="1691">
      <c r="A1691" s="60">
        <f>IFERROR(__xludf.DUMMYFUNCTION("""COMPUTED_VALUE"""),16416.0)</f>
        <v>16416</v>
      </c>
      <c r="B1691" s="60" t="str">
        <f>IFERROR(__xludf.DUMMYFUNCTION("""COMPUTED_VALUE"""),"Gipson, Xavier")</f>
        <v>Gipson, Xavier</v>
      </c>
      <c r="C1691" s="60" t="str">
        <f>IFERROR(__xludf.DUMMYFUNCTION("""COMPUTED_VALUE"""),"WR")</f>
        <v>WR</v>
      </c>
      <c r="D1691" s="60" t="str">
        <f>IFERROR(__xludf.DUMMYFUNCTION("""COMPUTED_VALUE"""),"PHI")</f>
        <v>PHI</v>
      </c>
      <c r="E1691" s="62" t="str">
        <f t="shared" si="4"/>
        <v>Xavier Gipson</v>
      </c>
      <c r="F1691" s="62">
        <f t="shared" ref="F1691:G1691" si="3381">IF(isblank(F$1),,IF(isblank($A1691),,IFERROR(vlookup($A1691,indirect("'TVC-"&amp;text(month(F$1),"00")&amp;"'!$A:$D"),4,false),1)))</f>
        <v>901</v>
      </c>
      <c r="G1691" s="62">
        <f t="shared" si="3381"/>
        <v>869</v>
      </c>
      <c r="H1691" s="62">
        <f t="shared" ref="H1691:Q1691" si="3382">IF(isblank(H$1),,IFERROR(vlookup($A1691,indirect("'TVC-"&amp;text(month(H$1),"00")&amp;"'!$A:$D"),4,false),1))</f>
        <v>864</v>
      </c>
      <c r="I1691" s="62">
        <f t="shared" si="3382"/>
        <v>943</v>
      </c>
      <c r="J1691" s="62">
        <f t="shared" si="3382"/>
        <v>966</v>
      </c>
      <c r="K1691" s="62">
        <f t="shared" si="3382"/>
        <v>866</v>
      </c>
      <c r="L1691" s="62">
        <f t="shared" si="3382"/>
        <v>863</v>
      </c>
      <c r="M1691" s="62">
        <f t="shared" si="3382"/>
        <v>929</v>
      </c>
      <c r="N1691" s="62">
        <f t="shared" si="3382"/>
        <v>899</v>
      </c>
      <c r="O1691" s="62">
        <f t="shared" si="3382"/>
        <v>1</v>
      </c>
      <c r="P1691" s="62" t="str">
        <f t="shared" si="3382"/>
        <v/>
      </c>
      <c r="Q1691" s="62" t="str">
        <f t="shared" si="3382"/>
        <v/>
      </c>
      <c r="R1691" s="62">
        <f t="shared" si="7"/>
        <v>-898</v>
      </c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</row>
    <row r="1692" hidden="1">
      <c r="A1692" s="60">
        <f>IFERROR(__xludf.DUMMYFUNCTION("""COMPUTED_VALUE"""),16418.0)</f>
        <v>16418</v>
      </c>
      <c r="B1692" s="60" t="str">
        <f>IFERROR(__xludf.DUMMYFUNCTION("""COMPUTED_VALUE"""),"Land, Isaiah")</f>
        <v>Land, Isaiah</v>
      </c>
      <c r="C1692" s="60" t="str">
        <f>IFERROR(__xludf.DUMMYFUNCTION("""COMPUTED_VALUE"""),"DE")</f>
        <v>DE</v>
      </c>
      <c r="D1692" s="60" t="str">
        <f>IFERROR(__xludf.DUMMYFUNCTION("""COMPUTED_VALUE"""),"DAL")</f>
        <v>DAL</v>
      </c>
      <c r="E1692" s="62" t="str">
        <f t="shared" si="4"/>
        <v>Isaiah Land</v>
      </c>
      <c r="F1692" s="62">
        <f t="shared" ref="F1692:G1692" si="3383">IF(isblank(F$1),,IF(isblank($A1692),,IFERROR(vlookup($A1692,indirect("'TVC-"&amp;text(month(F$1),"00")&amp;"'!$A:$D"),4,false),1)))</f>
        <v>1</v>
      </c>
      <c r="G1692" s="62">
        <f t="shared" si="3383"/>
        <v>1</v>
      </c>
      <c r="H1692" s="62">
        <f t="shared" ref="H1692:Q1692" si="3384">IF(isblank(H$1),,IFERROR(vlookup($A1692,indirect("'TVC-"&amp;text(month(H$1),"00")&amp;"'!$A:$D"),4,false),1))</f>
        <v>1</v>
      </c>
      <c r="I1692" s="62">
        <f t="shared" si="3384"/>
        <v>1</v>
      </c>
      <c r="J1692" s="62">
        <f t="shared" si="3384"/>
        <v>1</v>
      </c>
      <c r="K1692" s="62">
        <f t="shared" si="3384"/>
        <v>1</v>
      </c>
      <c r="L1692" s="62">
        <f t="shared" si="3384"/>
        <v>1</v>
      </c>
      <c r="M1692" s="62">
        <f t="shared" si="3384"/>
        <v>1</v>
      </c>
      <c r="N1692" s="62">
        <f t="shared" si="3384"/>
        <v>1</v>
      </c>
      <c r="O1692" s="62">
        <f t="shared" si="3384"/>
        <v>1</v>
      </c>
      <c r="P1692" s="62" t="str">
        <f t="shared" si="3384"/>
        <v/>
      </c>
      <c r="Q1692" s="62" t="str">
        <f t="shared" si="3384"/>
        <v/>
      </c>
      <c r="R1692" s="62">
        <f t="shared" si="7"/>
        <v>0</v>
      </c>
      <c r="S1692" s="62"/>
      <c r="T1692" s="62"/>
      <c r="U1692" s="62"/>
      <c r="V1692" s="62"/>
      <c r="W1692" s="62"/>
      <c r="X1692" s="62"/>
      <c r="Y1692" s="62"/>
      <c r="Z1692" s="62"/>
      <c r="AA1692" s="62"/>
      <c r="AB1692" s="62"/>
      <c r="AC1692" s="62"/>
    </row>
    <row r="1693" hidden="1">
      <c r="A1693" s="60">
        <f>IFERROR(__xludf.DUMMYFUNCTION("""COMPUTED_VALUE"""),16419.0)</f>
        <v>16419</v>
      </c>
      <c r="B1693" s="60" t="str">
        <f>IFERROR(__xludf.DUMMYFUNCTION("""COMPUTED_VALUE"""),"Szmyt, Andre")</f>
        <v>Szmyt, Andre</v>
      </c>
      <c r="C1693" s="60" t="str">
        <f>IFERROR(__xludf.DUMMYFUNCTION("""COMPUTED_VALUE"""),"PK")</f>
        <v>PK</v>
      </c>
      <c r="D1693" s="60" t="str">
        <f>IFERROR(__xludf.DUMMYFUNCTION("""COMPUTED_VALUE"""),"CLE")</f>
        <v>CLE</v>
      </c>
      <c r="E1693" s="62" t="str">
        <f t="shared" si="4"/>
        <v>Andre Szmyt</v>
      </c>
      <c r="F1693" s="62">
        <f t="shared" ref="F1693:G1693" si="3385">IF(isblank(F$1),,IF(isblank($A1693),,IFERROR(vlookup($A1693,indirect("'TVC-"&amp;text(month(F$1),"00")&amp;"'!$A:$D"),4,false),1)))</f>
        <v>1</v>
      </c>
      <c r="G1693" s="62">
        <f t="shared" si="3385"/>
        <v>1</v>
      </c>
      <c r="H1693" s="62">
        <f t="shared" ref="H1693:Q1693" si="3386">IF(isblank(H$1),,IFERROR(vlookup($A1693,indirect("'TVC-"&amp;text(month(H$1),"00")&amp;"'!$A:$D"),4,false),1))</f>
        <v>1</v>
      </c>
      <c r="I1693" s="62">
        <f t="shared" si="3386"/>
        <v>1</v>
      </c>
      <c r="J1693" s="62">
        <f t="shared" si="3386"/>
        <v>1</v>
      </c>
      <c r="K1693" s="62">
        <f t="shared" si="3386"/>
        <v>1</v>
      </c>
      <c r="L1693" s="62">
        <f t="shared" si="3386"/>
        <v>1</v>
      </c>
      <c r="M1693" s="62">
        <f t="shared" si="3386"/>
        <v>1</v>
      </c>
      <c r="N1693" s="62">
        <f t="shared" si="3386"/>
        <v>1</v>
      </c>
      <c r="O1693" s="62">
        <f t="shared" si="3386"/>
        <v>1</v>
      </c>
      <c r="P1693" s="62" t="str">
        <f t="shared" si="3386"/>
        <v/>
      </c>
      <c r="Q1693" s="62" t="str">
        <f t="shared" si="3386"/>
        <v/>
      </c>
      <c r="R1693" s="62">
        <f t="shared" si="7"/>
        <v>0</v>
      </c>
      <c r="S1693" s="62"/>
      <c r="T1693" s="62"/>
      <c r="U1693" s="62"/>
      <c r="V1693" s="62"/>
      <c r="W1693" s="62"/>
      <c r="X1693" s="62"/>
      <c r="Y1693" s="62"/>
      <c r="Z1693" s="62"/>
      <c r="AA1693" s="62"/>
      <c r="AB1693" s="62"/>
      <c r="AC1693" s="62"/>
    </row>
    <row r="1694" hidden="1">
      <c r="A1694" s="60">
        <f>IFERROR(__xludf.DUMMYFUNCTION("""COMPUTED_VALUE"""),16422.0)</f>
        <v>16422</v>
      </c>
      <c r="B1694" s="60" t="str">
        <f>IFERROR(__xludf.DUMMYFUNCTION("""COMPUTED_VALUE"""),"Remigio, Nikko")</f>
        <v>Remigio, Nikko</v>
      </c>
      <c r="C1694" s="60" t="str">
        <f>IFERROR(__xludf.DUMMYFUNCTION("""COMPUTED_VALUE"""),"WR")</f>
        <v>WR</v>
      </c>
      <c r="D1694" s="60" t="str">
        <f>IFERROR(__xludf.DUMMYFUNCTION("""COMPUTED_VALUE"""),"KCC")</f>
        <v>KCC</v>
      </c>
      <c r="E1694" s="62" t="str">
        <f t="shared" si="4"/>
        <v>Nikko Remigio</v>
      </c>
      <c r="F1694" s="62">
        <f t="shared" ref="F1694:G1694" si="3387">IF(isblank(F$1),,IF(isblank($A1694),,IFERROR(vlookup($A1694,indirect("'TVC-"&amp;text(month(F$1),"00")&amp;"'!$A:$D"),4,false),1)))</f>
        <v>1</v>
      </c>
      <c r="G1694" s="62">
        <f t="shared" si="3387"/>
        <v>1</v>
      </c>
      <c r="H1694" s="62">
        <f t="shared" ref="H1694:Q1694" si="3388">IF(isblank(H$1),,IFERROR(vlookup($A1694,indirect("'TVC-"&amp;text(month(H$1),"00")&amp;"'!$A:$D"),4,false),1))</f>
        <v>1</v>
      </c>
      <c r="I1694" s="62">
        <f t="shared" si="3388"/>
        <v>1</v>
      </c>
      <c r="J1694" s="62">
        <f t="shared" si="3388"/>
        <v>1</v>
      </c>
      <c r="K1694" s="62">
        <f t="shared" si="3388"/>
        <v>1</v>
      </c>
      <c r="L1694" s="62">
        <f t="shared" si="3388"/>
        <v>1</v>
      </c>
      <c r="M1694" s="62">
        <f t="shared" si="3388"/>
        <v>1</v>
      </c>
      <c r="N1694" s="62">
        <f t="shared" si="3388"/>
        <v>1</v>
      </c>
      <c r="O1694" s="62">
        <f t="shared" si="3388"/>
        <v>1</v>
      </c>
      <c r="P1694" s="62" t="str">
        <f t="shared" si="3388"/>
        <v/>
      </c>
      <c r="Q1694" s="62" t="str">
        <f t="shared" si="3388"/>
        <v/>
      </c>
      <c r="R1694" s="62">
        <f t="shared" si="7"/>
        <v>0</v>
      </c>
      <c r="S1694" s="62"/>
      <c r="T1694" s="62"/>
      <c r="U1694" s="62"/>
      <c r="V1694" s="62"/>
      <c r="W1694" s="62"/>
      <c r="X1694" s="62"/>
      <c r="Y1694" s="62"/>
      <c r="Z1694" s="62"/>
      <c r="AA1694" s="62"/>
      <c r="AB1694" s="62"/>
      <c r="AC1694" s="62"/>
    </row>
    <row r="1695" hidden="1">
      <c r="A1695" s="60">
        <f>IFERROR(__xludf.DUMMYFUNCTION("""COMPUTED_VALUE"""),16423.0)</f>
        <v>16423</v>
      </c>
      <c r="B1695" s="60" t="str">
        <f>IFERROR(__xludf.DUMMYFUNCTION("""COMPUTED_VALUE"""),"Brownlee, Jason")</f>
        <v>Brownlee, Jason</v>
      </c>
      <c r="C1695" s="60" t="str">
        <f>IFERROR(__xludf.DUMMYFUNCTION("""COMPUTED_VALUE"""),"WR")</f>
        <v>WR</v>
      </c>
      <c r="D1695" s="60" t="str">
        <f>IFERROR(__xludf.DUMMYFUNCTION("""COMPUTED_VALUE"""),"FA")</f>
        <v>FA</v>
      </c>
      <c r="E1695" s="62" t="str">
        <f t="shared" si="4"/>
        <v>Jason Brownlee</v>
      </c>
      <c r="F1695" s="62">
        <f t="shared" ref="F1695:G1695" si="3389">IF(isblank(F$1),,IF(isblank($A1695),,IFERROR(vlookup($A1695,indirect("'TVC-"&amp;text(month(F$1),"00")&amp;"'!$A:$D"),4,false),1)))</f>
        <v>1</v>
      </c>
      <c r="G1695" s="62">
        <f t="shared" si="3389"/>
        <v>1</v>
      </c>
      <c r="H1695" s="62">
        <f t="shared" ref="H1695:Q1695" si="3390">IF(isblank(H$1),,IFERROR(vlookup($A1695,indirect("'TVC-"&amp;text(month(H$1),"00")&amp;"'!$A:$D"),4,false),1))</f>
        <v>1</v>
      </c>
      <c r="I1695" s="62">
        <f t="shared" si="3390"/>
        <v>1</v>
      </c>
      <c r="J1695" s="62">
        <f t="shared" si="3390"/>
        <v>1</v>
      </c>
      <c r="K1695" s="62">
        <f t="shared" si="3390"/>
        <v>1</v>
      </c>
      <c r="L1695" s="62">
        <f t="shared" si="3390"/>
        <v>1</v>
      </c>
      <c r="M1695" s="62">
        <f t="shared" si="3390"/>
        <v>1</v>
      </c>
      <c r="N1695" s="62">
        <f t="shared" si="3390"/>
        <v>1</v>
      </c>
      <c r="O1695" s="62">
        <f t="shared" si="3390"/>
        <v>1</v>
      </c>
      <c r="P1695" s="62" t="str">
        <f t="shared" si="3390"/>
        <v/>
      </c>
      <c r="Q1695" s="62" t="str">
        <f t="shared" si="3390"/>
        <v/>
      </c>
      <c r="R1695" s="62">
        <f t="shared" si="7"/>
        <v>0</v>
      </c>
      <c r="S1695" s="62"/>
      <c r="T1695" s="62"/>
      <c r="U1695" s="62"/>
      <c r="V1695" s="62"/>
      <c r="W1695" s="62"/>
      <c r="X1695" s="62"/>
      <c r="Y1695" s="62"/>
      <c r="Z1695" s="62"/>
      <c r="AA1695" s="62"/>
      <c r="AB1695" s="62"/>
      <c r="AC1695" s="62"/>
    </row>
    <row r="1696" hidden="1">
      <c r="A1696" s="60">
        <f>IFERROR(__xludf.DUMMYFUNCTION("""COMPUTED_VALUE"""),16424.0)</f>
        <v>16424</v>
      </c>
      <c r="B1696" s="60" t="str">
        <f>IFERROR(__xludf.DUMMYFUNCTION("""COMPUTED_VALUE"""),"Mims, Jordan")</f>
        <v>Mims, Jordan</v>
      </c>
      <c r="C1696" s="60" t="str">
        <f>IFERROR(__xludf.DUMMYFUNCTION("""COMPUTED_VALUE"""),"RB")</f>
        <v>RB</v>
      </c>
      <c r="D1696" s="60" t="str">
        <f>IFERROR(__xludf.DUMMYFUNCTION("""COMPUTED_VALUE"""),"FA")</f>
        <v>FA</v>
      </c>
      <c r="E1696" s="62" t="str">
        <f t="shared" si="4"/>
        <v>Jordan Mims</v>
      </c>
      <c r="F1696" s="62">
        <f t="shared" ref="F1696:G1696" si="3391">IF(isblank(F$1),,IF(isblank($A1696),,IFERROR(vlookup($A1696,indirect("'TVC-"&amp;text(month(F$1),"00")&amp;"'!$A:$D"),4,false),1)))</f>
        <v>1</v>
      </c>
      <c r="G1696" s="62">
        <f t="shared" si="3391"/>
        <v>1</v>
      </c>
      <c r="H1696" s="62">
        <f t="shared" ref="H1696:Q1696" si="3392">IF(isblank(H$1),,IFERROR(vlookup($A1696,indirect("'TVC-"&amp;text(month(H$1),"00")&amp;"'!$A:$D"),4,false),1))</f>
        <v>1</v>
      </c>
      <c r="I1696" s="62">
        <f t="shared" si="3392"/>
        <v>1</v>
      </c>
      <c r="J1696" s="62">
        <f t="shared" si="3392"/>
        <v>1</v>
      </c>
      <c r="K1696" s="62">
        <f t="shared" si="3392"/>
        <v>1</v>
      </c>
      <c r="L1696" s="62">
        <f t="shared" si="3392"/>
        <v>1</v>
      </c>
      <c r="M1696" s="62">
        <f t="shared" si="3392"/>
        <v>1</v>
      </c>
      <c r="N1696" s="62">
        <f t="shared" si="3392"/>
        <v>1</v>
      </c>
      <c r="O1696" s="62">
        <f t="shared" si="3392"/>
        <v>1</v>
      </c>
      <c r="P1696" s="62" t="str">
        <f t="shared" si="3392"/>
        <v/>
      </c>
      <c r="Q1696" s="62" t="str">
        <f t="shared" si="3392"/>
        <v/>
      </c>
      <c r="R1696" s="62">
        <f t="shared" si="7"/>
        <v>0</v>
      </c>
      <c r="S1696" s="62"/>
      <c r="T1696" s="62"/>
      <c r="U1696" s="62"/>
      <c r="V1696" s="62"/>
      <c r="W1696" s="62"/>
      <c r="X1696" s="62"/>
      <c r="Y1696" s="62"/>
      <c r="Z1696" s="62"/>
      <c r="AA1696" s="62"/>
      <c r="AB1696" s="62"/>
      <c r="AC1696" s="62"/>
    </row>
    <row r="1697" hidden="1">
      <c r="A1697" s="60">
        <f>IFERROR(__xludf.DUMMYFUNCTION("""COMPUTED_VALUE"""),16425.0)</f>
        <v>16425</v>
      </c>
      <c r="B1697" s="60" t="str">
        <f>IFERROR(__xludf.DUMMYFUNCTION("""COMPUTED_VALUE"""),"Hill, Julian")</f>
        <v>Hill, Julian</v>
      </c>
      <c r="C1697" s="60" t="str">
        <f>IFERROR(__xludf.DUMMYFUNCTION("""COMPUTED_VALUE"""),"TE")</f>
        <v>TE</v>
      </c>
      <c r="D1697" s="60" t="str">
        <f>IFERROR(__xludf.DUMMYFUNCTION("""COMPUTED_VALUE"""),"NEP")</f>
        <v>NEP</v>
      </c>
      <c r="E1697" s="62" t="str">
        <f t="shared" si="4"/>
        <v>Julian Hill</v>
      </c>
      <c r="F1697" s="62">
        <f t="shared" ref="F1697:G1697" si="3393">IF(isblank(F$1),,IF(isblank($A1697),,IFERROR(vlookup($A1697,indirect("'TVC-"&amp;text(month(F$1),"00")&amp;"'!$A:$D"),4,false),1)))</f>
        <v>1</v>
      </c>
      <c r="G1697" s="62">
        <f t="shared" si="3393"/>
        <v>1</v>
      </c>
      <c r="H1697" s="62">
        <f t="shared" ref="H1697:Q1697" si="3394">IF(isblank(H$1),,IFERROR(vlookup($A1697,indirect("'TVC-"&amp;text(month(H$1),"00")&amp;"'!$A:$D"),4,false),1))</f>
        <v>1</v>
      </c>
      <c r="I1697" s="62">
        <f t="shared" si="3394"/>
        <v>1</v>
      </c>
      <c r="J1697" s="62">
        <f t="shared" si="3394"/>
        <v>1</v>
      </c>
      <c r="K1697" s="62">
        <f t="shared" si="3394"/>
        <v>1</v>
      </c>
      <c r="L1697" s="62">
        <f t="shared" si="3394"/>
        <v>1</v>
      </c>
      <c r="M1697" s="62">
        <f t="shared" si="3394"/>
        <v>1</v>
      </c>
      <c r="N1697" s="62">
        <f t="shared" si="3394"/>
        <v>1</v>
      </c>
      <c r="O1697" s="62">
        <f t="shared" si="3394"/>
        <v>1</v>
      </c>
      <c r="P1697" s="62" t="str">
        <f t="shared" si="3394"/>
        <v/>
      </c>
      <c r="Q1697" s="62" t="str">
        <f t="shared" si="3394"/>
        <v/>
      </c>
      <c r="R1697" s="62">
        <f t="shared" si="7"/>
        <v>0</v>
      </c>
      <c r="S1697" s="62"/>
      <c r="T1697" s="62"/>
      <c r="U1697" s="62"/>
      <c r="V1697" s="62"/>
      <c r="W1697" s="62"/>
      <c r="X1697" s="62"/>
      <c r="Y1697" s="62"/>
      <c r="Z1697" s="62"/>
      <c r="AA1697" s="62"/>
      <c r="AB1697" s="62"/>
      <c r="AC1697" s="62"/>
    </row>
    <row r="1698" hidden="1">
      <c r="A1698" s="60">
        <f>IFERROR(__xludf.DUMMYFUNCTION("""COMPUTED_VALUE"""),16428.0)</f>
        <v>16428</v>
      </c>
      <c r="B1698" s="60" t="str">
        <f>IFERROR(__xludf.DUMMYFUNCTION("""COMPUTED_VALUE"""),"Smith, Xavier")</f>
        <v>Smith, Xavier</v>
      </c>
      <c r="C1698" s="60" t="str">
        <f>IFERROR(__xludf.DUMMYFUNCTION("""COMPUTED_VALUE"""),"WR")</f>
        <v>WR</v>
      </c>
      <c r="D1698" s="60" t="str">
        <f>IFERROR(__xludf.DUMMYFUNCTION("""COMPUTED_VALUE"""),"SFO")</f>
        <v>SFO</v>
      </c>
      <c r="E1698" s="62" t="str">
        <f t="shared" si="4"/>
        <v>Xavier Smith</v>
      </c>
      <c r="F1698" s="62">
        <f t="shared" ref="F1698:G1698" si="3395">IF(isblank(F$1),,IF(isblank($A1698),,IFERROR(vlookup($A1698,indirect("'TVC-"&amp;text(month(F$1),"00")&amp;"'!$A:$D"),4,false),1)))</f>
        <v>1</v>
      </c>
      <c r="G1698" s="62">
        <f t="shared" si="3395"/>
        <v>1</v>
      </c>
      <c r="H1698" s="62">
        <f t="shared" ref="H1698:Q1698" si="3396">IF(isblank(H$1),,IFERROR(vlookup($A1698,indirect("'TVC-"&amp;text(month(H$1),"00")&amp;"'!$A:$D"),4,false),1))</f>
        <v>1</v>
      </c>
      <c r="I1698" s="62">
        <f t="shared" si="3396"/>
        <v>1</v>
      </c>
      <c r="J1698" s="62">
        <f t="shared" si="3396"/>
        <v>1</v>
      </c>
      <c r="K1698" s="62">
        <f t="shared" si="3396"/>
        <v>1</v>
      </c>
      <c r="L1698" s="62">
        <f t="shared" si="3396"/>
        <v>1</v>
      </c>
      <c r="M1698" s="62">
        <f t="shared" si="3396"/>
        <v>1</v>
      </c>
      <c r="N1698" s="62">
        <f t="shared" si="3396"/>
        <v>1</v>
      </c>
      <c r="O1698" s="62">
        <f t="shared" si="3396"/>
        <v>1</v>
      </c>
      <c r="P1698" s="62" t="str">
        <f t="shared" si="3396"/>
        <v/>
      </c>
      <c r="Q1698" s="62" t="str">
        <f t="shared" si="3396"/>
        <v/>
      </c>
      <c r="R1698" s="62">
        <f t="shared" si="7"/>
        <v>0</v>
      </c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</row>
    <row r="1699" hidden="1">
      <c r="A1699" s="60">
        <f>IFERROR(__xludf.DUMMYFUNCTION("""COMPUTED_VALUE"""),16429.0)</f>
        <v>16429</v>
      </c>
      <c r="B1699" s="60" t="str">
        <f>IFERROR(__xludf.DUMMYFUNCTION("""COMPUTED_VALUE"""),"Drummond, Dylan")</f>
        <v>Drummond, Dylan</v>
      </c>
      <c r="C1699" s="60" t="str">
        <f>IFERROR(__xludf.DUMMYFUNCTION("""COMPUTED_VALUE"""),"WR")</f>
        <v>WR</v>
      </c>
      <c r="D1699" s="60" t="str">
        <f>IFERROR(__xludf.DUMMYFUNCTION("""COMPUTED_VALUE"""),"ATL")</f>
        <v>ATL</v>
      </c>
      <c r="E1699" s="62" t="str">
        <f t="shared" si="4"/>
        <v>Dylan Drummond</v>
      </c>
      <c r="F1699" s="62">
        <f t="shared" ref="F1699:G1699" si="3397">IF(isblank(F$1),,IF(isblank($A1699),,IFERROR(vlookup($A1699,indirect("'TVC-"&amp;text(month(F$1),"00")&amp;"'!$A:$D"),4,false),1)))</f>
        <v>1</v>
      </c>
      <c r="G1699" s="62">
        <f t="shared" si="3397"/>
        <v>1</v>
      </c>
      <c r="H1699" s="62">
        <f t="shared" ref="H1699:Q1699" si="3398">IF(isblank(H$1),,IFERROR(vlookup($A1699,indirect("'TVC-"&amp;text(month(H$1),"00")&amp;"'!$A:$D"),4,false),1))</f>
        <v>1</v>
      </c>
      <c r="I1699" s="62">
        <f t="shared" si="3398"/>
        <v>1</v>
      </c>
      <c r="J1699" s="62">
        <f t="shared" si="3398"/>
        <v>1</v>
      </c>
      <c r="K1699" s="62">
        <f t="shared" si="3398"/>
        <v>1</v>
      </c>
      <c r="L1699" s="62">
        <f t="shared" si="3398"/>
        <v>1</v>
      </c>
      <c r="M1699" s="62">
        <f t="shared" si="3398"/>
        <v>1</v>
      </c>
      <c r="N1699" s="62">
        <f t="shared" si="3398"/>
        <v>1</v>
      </c>
      <c r="O1699" s="62">
        <f t="shared" si="3398"/>
        <v>1</v>
      </c>
      <c r="P1699" s="62" t="str">
        <f t="shared" si="3398"/>
        <v/>
      </c>
      <c r="Q1699" s="62" t="str">
        <f t="shared" si="3398"/>
        <v/>
      </c>
      <c r="R1699" s="62">
        <f t="shared" si="7"/>
        <v>0</v>
      </c>
      <c r="S1699" s="62"/>
      <c r="T1699" s="62"/>
      <c r="U1699" s="62"/>
      <c r="V1699" s="62"/>
      <c r="W1699" s="62"/>
      <c r="X1699" s="62"/>
      <c r="Y1699" s="62"/>
      <c r="Z1699" s="62"/>
      <c r="AA1699" s="62"/>
      <c r="AB1699" s="62"/>
      <c r="AC1699" s="62"/>
    </row>
    <row r="1700" hidden="1">
      <c r="A1700" s="60">
        <f>IFERROR(__xludf.DUMMYFUNCTION("""COMPUTED_VALUE"""),16432.0)</f>
        <v>16432</v>
      </c>
      <c r="B1700" s="60" t="str">
        <f>IFERROR(__xludf.DUMMYFUNCTION("""COMPUTED_VALUE"""),"Wilson, Emanuel")</f>
        <v>Wilson, Emanuel</v>
      </c>
      <c r="C1700" s="60" t="str">
        <f>IFERROR(__xludf.DUMMYFUNCTION("""COMPUTED_VALUE"""),"RB")</f>
        <v>RB</v>
      </c>
      <c r="D1700" s="60" t="str">
        <f>IFERROR(__xludf.DUMMYFUNCTION("""COMPUTED_VALUE"""),"SEA")</f>
        <v>SEA</v>
      </c>
      <c r="E1700" s="62" t="str">
        <f t="shared" si="4"/>
        <v>Emanuel Wilson</v>
      </c>
      <c r="F1700" s="62">
        <f t="shared" ref="F1700:G1700" si="3399">IF(isblank(F$1),,IF(isblank($A1700),,IFERROR(vlookup($A1700,indirect("'TVC-"&amp;text(month(F$1),"00")&amp;"'!$A:$D"),4,false),1)))</f>
        <v>2242</v>
      </c>
      <c r="G1700" s="62">
        <f t="shared" si="3399"/>
        <v>2101</v>
      </c>
      <c r="H1700" s="62">
        <f t="shared" ref="H1700:Q1700" si="3400">IF(isblank(H$1),,IFERROR(vlookup($A1700,indirect("'TVC-"&amp;text(month(H$1),"00")&amp;"'!$A:$D"),4,false),1))</f>
        <v>2088</v>
      </c>
      <c r="I1700" s="62">
        <f t="shared" si="3400"/>
        <v>2188</v>
      </c>
      <c r="J1700" s="62">
        <f t="shared" si="3400"/>
        <v>2086</v>
      </c>
      <c r="K1700" s="62">
        <f t="shared" si="3400"/>
        <v>2074</v>
      </c>
      <c r="L1700" s="62">
        <f t="shared" si="3400"/>
        <v>2029</v>
      </c>
      <c r="M1700" s="62">
        <f t="shared" si="3400"/>
        <v>1906</v>
      </c>
      <c r="N1700" s="62">
        <f t="shared" si="3400"/>
        <v>1709</v>
      </c>
      <c r="O1700" s="62">
        <f t="shared" si="3400"/>
        <v>1</v>
      </c>
      <c r="P1700" s="62" t="str">
        <f t="shared" si="3400"/>
        <v/>
      </c>
      <c r="Q1700" s="62" t="str">
        <f t="shared" si="3400"/>
        <v/>
      </c>
      <c r="R1700" s="62">
        <f t="shared" si="7"/>
        <v>-1708</v>
      </c>
      <c r="S1700" s="62"/>
      <c r="T1700" s="62"/>
      <c r="U1700" s="62"/>
      <c r="V1700" s="62"/>
      <c r="W1700" s="62"/>
      <c r="X1700" s="62"/>
      <c r="Y1700" s="62"/>
      <c r="Z1700" s="62"/>
      <c r="AA1700" s="62"/>
      <c r="AB1700" s="62"/>
      <c r="AC1700" s="62"/>
    </row>
    <row r="1701" hidden="1">
      <c r="A1701" s="60">
        <f>IFERROR(__xludf.DUMMYFUNCTION("""COMPUTED_VALUE"""),16436.0)</f>
        <v>16436</v>
      </c>
      <c r="B1701" s="60" t="str">
        <f>IFERROR(__xludf.DUMMYFUNCTION("""COMPUTED_VALUE"""),"Orji, Anfernee")</f>
        <v>Orji, Anfernee</v>
      </c>
      <c r="C1701" s="60" t="str">
        <f>IFERROR(__xludf.DUMMYFUNCTION("""COMPUTED_VALUE"""),"LB")</f>
        <v>LB</v>
      </c>
      <c r="D1701" s="60" t="str">
        <f>IFERROR(__xludf.DUMMYFUNCTION("""COMPUTED_VALUE"""),"PHI")</f>
        <v>PHI</v>
      </c>
      <c r="E1701" s="62" t="str">
        <f t="shared" si="4"/>
        <v>Anfernee Orji</v>
      </c>
      <c r="F1701" s="62">
        <f t="shared" ref="F1701:G1701" si="3401">IF(isblank(F$1),,IF(isblank($A1701),,IFERROR(vlookup($A1701,indirect("'TVC-"&amp;text(month(F$1),"00")&amp;"'!$A:$D"),4,false),1)))</f>
        <v>1</v>
      </c>
      <c r="G1701" s="62">
        <f t="shared" si="3401"/>
        <v>1</v>
      </c>
      <c r="H1701" s="62">
        <f t="shared" ref="H1701:Q1701" si="3402">IF(isblank(H$1),,IFERROR(vlookup($A1701,indirect("'TVC-"&amp;text(month(H$1),"00")&amp;"'!$A:$D"),4,false),1))</f>
        <v>1</v>
      </c>
      <c r="I1701" s="62">
        <f t="shared" si="3402"/>
        <v>1</v>
      </c>
      <c r="J1701" s="62">
        <f t="shared" si="3402"/>
        <v>1</v>
      </c>
      <c r="K1701" s="62">
        <f t="shared" si="3402"/>
        <v>1</v>
      </c>
      <c r="L1701" s="62">
        <f t="shared" si="3402"/>
        <v>1</v>
      </c>
      <c r="M1701" s="62">
        <f t="shared" si="3402"/>
        <v>1</v>
      </c>
      <c r="N1701" s="62">
        <f t="shared" si="3402"/>
        <v>1</v>
      </c>
      <c r="O1701" s="62">
        <f t="shared" si="3402"/>
        <v>1</v>
      </c>
      <c r="P1701" s="62" t="str">
        <f t="shared" si="3402"/>
        <v/>
      </c>
      <c r="Q1701" s="62" t="str">
        <f t="shared" si="3402"/>
        <v/>
      </c>
      <c r="R1701" s="62">
        <f t="shared" si="7"/>
        <v>0</v>
      </c>
      <c r="S1701" s="62"/>
      <c r="T1701" s="62"/>
      <c r="U1701" s="62"/>
      <c r="V1701" s="62"/>
      <c r="W1701" s="62"/>
      <c r="X1701" s="62"/>
      <c r="Y1701" s="62"/>
      <c r="Z1701" s="62"/>
      <c r="AA1701" s="62"/>
      <c r="AB1701" s="62"/>
      <c r="AC1701" s="62"/>
    </row>
    <row r="1702" hidden="1">
      <c r="A1702" s="60">
        <f>IFERROR(__xludf.DUMMYFUNCTION("""COMPUTED_VALUE"""),16439.0)</f>
        <v>16439</v>
      </c>
      <c r="B1702" s="60" t="str">
        <f>IFERROR(__xludf.DUMMYFUNCTION("""COMPUTED_VALUE"""),"Diabate, Mohamoud")</f>
        <v>Diabate, Mohamoud</v>
      </c>
      <c r="C1702" s="60" t="str">
        <f>IFERROR(__xludf.DUMMYFUNCTION("""COMPUTED_VALUE"""),"LB")</f>
        <v>LB</v>
      </c>
      <c r="D1702" s="60" t="str">
        <f>IFERROR(__xludf.DUMMYFUNCTION("""COMPUTED_VALUE"""),"TEN")</f>
        <v>TEN</v>
      </c>
      <c r="E1702" s="62" t="str">
        <f t="shared" si="4"/>
        <v>Mohamoud Diabate</v>
      </c>
      <c r="F1702" s="62">
        <f t="shared" ref="F1702:G1702" si="3403">IF(isblank(F$1),,IF(isblank($A1702),,IFERROR(vlookup($A1702,indirect("'TVC-"&amp;text(month(F$1),"00")&amp;"'!$A:$D"),4,false),1)))</f>
        <v>1</v>
      </c>
      <c r="G1702" s="62">
        <f t="shared" si="3403"/>
        <v>1</v>
      </c>
      <c r="H1702" s="62">
        <f t="shared" ref="H1702:Q1702" si="3404">IF(isblank(H$1),,IFERROR(vlookup($A1702,indirect("'TVC-"&amp;text(month(H$1),"00")&amp;"'!$A:$D"),4,false),1))</f>
        <v>1</v>
      </c>
      <c r="I1702" s="62">
        <f t="shared" si="3404"/>
        <v>1</v>
      </c>
      <c r="J1702" s="62">
        <f t="shared" si="3404"/>
        <v>1</v>
      </c>
      <c r="K1702" s="62">
        <f t="shared" si="3404"/>
        <v>1</v>
      </c>
      <c r="L1702" s="62">
        <f t="shared" si="3404"/>
        <v>1</v>
      </c>
      <c r="M1702" s="62">
        <f t="shared" si="3404"/>
        <v>1</v>
      </c>
      <c r="N1702" s="62">
        <f t="shared" si="3404"/>
        <v>1</v>
      </c>
      <c r="O1702" s="62">
        <f t="shared" si="3404"/>
        <v>1</v>
      </c>
      <c r="P1702" s="62" t="str">
        <f t="shared" si="3404"/>
        <v/>
      </c>
      <c r="Q1702" s="62" t="str">
        <f t="shared" si="3404"/>
        <v/>
      </c>
      <c r="R1702" s="62">
        <f t="shared" si="7"/>
        <v>0</v>
      </c>
      <c r="S1702" s="62"/>
      <c r="T1702" s="62"/>
      <c r="U1702" s="62"/>
      <c r="V1702" s="62"/>
      <c r="W1702" s="62"/>
      <c r="X1702" s="62"/>
      <c r="Y1702" s="62"/>
      <c r="Z1702" s="62"/>
      <c r="AA1702" s="62"/>
      <c r="AB1702" s="62"/>
      <c r="AC1702" s="62"/>
    </row>
    <row r="1703" hidden="1">
      <c r="A1703" s="60">
        <f>IFERROR(__xludf.DUMMYFUNCTION("""COMPUTED_VALUE"""),16440.0)</f>
        <v>16440</v>
      </c>
      <c r="B1703" s="60" t="str">
        <f>IFERROR(__xludf.DUMMYFUNCTION("""COMPUTED_VALUE"""),"Murphy, Caleb")</f>
        <v>Murphy, Caleb</v>
      </c>
      <c r="C1703" s="60" t="str">
        <f>IFERROR(__xludf.DUMMYFUNCTION("""COMPUTED_VALUE"""),"LB")</f>
        <v>LB</v>
      </c>
      <c r="D1703" s="60" t="str">
        <f>IFERROR(__xludf.DUMMYFUNCTION("""COMPUTED_VALUE"""),"LAC")</f>
        <v>LAC</v>
      </c>
      <c r="E1703" s="62" t="str">
        <f t="shared" si="4"/>
        <v>Caleb Murphy</v>
      </c>
      <c r="F1703" s="62">
        <f t="shared" ref="F1703:G1703" si="3405">IF(isblank(F$1),,IF(isblank($A1703),,IFERROR(vlookup($A1703,indirect("'TVC-"&amp;text(month(F$1),"00")&amp;"'!$A:$D"),4,false),1)))</f>
        <v>1</v>
      </c>
      <c r="G1703" s="62">
        <f t="shared" si="3405"/>
        <v>1</v>
      </c>
      <c r="H1703" s="62">
        <f t="shared" ref="H1703:Q1703" si="3406">IF(isblank(H$1),,IFERROR(vlookup($A1703,indirect("'TVC-"&amp;text(month(H$1),"00")&amp;"'!$A:$D"),4,false),1))</f>
        <v>1</v>
      </c>
      <c r="I1703" s="62">
        <f t="shared" si="3406"/>
        <v>1</v>
      </c>
      <c r="J1703" s="62">
        <f t="shared" si="3406"/>
        <v>1</v>
      </c>
      <c r="K1703" s="62">
        <f t="shared" si="3406"/>
        <v>1</v>
      </c>
      <c r="L1703" s="62">
        <f t="shared" si="3406"/>
        <v>1</v>
      </c>
      <c r="M1703" s="62">
        <f t="shared" si="3406"/>
        <v>1</v>
      </c>
      <c r="N1703" s="62">
        <f t="shared" si="3406"/>
        <v>1</v>
      </c>
      <c r="O1703" s="62">
        <f t="shared" si="3406"/>
        <v>1</v>
      </c>
      <c r="P1703" s="62" t="str">
        <f t="shared" si="3406"/>
        <v/>
      </c>
      <c r="Q1703" s="62" t="str">
        <f t="shared" si="3406"/>
        <v/>
      </c>
      <c r="R1703" s="62">
        <f t="shared" si="7"/>
        <v>0</v>
      </c>
      <c r="S1703" s="62"/>
      <c r="T1703" s="62"/>
      <c r="U1703" s="62"/>
      <c r="V1703" s="62"/>
      <c r="W1703" s="62"/>
      <c r="X1703" s="62"/>
      <c r="Y1703" s="62"/>
      <c r="Z1703" s="62"/>
      <c r="AA1703" s="62"/>
      <c r="AB1703" s="62"/>
      <c r="AC1703" s="62"/>
    </row>
    <row r="1704" hidden="1">
      <c r="A1704" s="60">
        <f>IFERROR(__xludf.DUMMYFUNCTION("""COMPUTED_VALUE"""),16441.0)</f>
        <v>16441</v>
      </c>
      <c r="B1704" s="60" t="str">
        <f>IFERROR(__xludf.DUMMYFUNCTION("""COMPUTED_VALUE"""),"DeVito, Tommy")</f>
        <v>DeVito, Tommy</v>
      </c>
      <c r="C1704" s="60" t="str">
        <f>IFERROR(__xludf.DUMMYFUNCTION("""COMPUTED_VALUE"""),"QB")</f>
        <v>QB</v>
      </c>
      <c r="D1704" s="60" t="str">
        <f>IFERROR(__xludf.DUMMYFUNCTION("""COMPUTED_VALUE"""),"NEP")</f>
        <v>NEP</v>
      </c>
      <c r="E1704" s="62" t="str">
        <f t="shared" si="4"/>
        <v>Tommy DeVito</v>
      </c>
      <c r="F1704" s="62">
        <f t="shared" ref="F1704:G1704" si="3407">IF(isblank(F$1),,IF(isblank($A1704),,IFERROR(vlookup($A1704,indirect("'TVC-"&amp;text(month(F$1),"00")&amp;"'!$A:$D"),4,false),1)))</f>
        <v>1</v>
      </c>
      <c r="G1704" s="62">
        <f t="shared" si="3407"/>
        <v>1</v>
      </c>
      <c r="H1704" s="62">
        <f t="shared" ref="H1704:Q1704" si="3408">IF(isblank(H$1),,IFERROR(vlookup($A1704,indirect("'TVC-"&amp;text(month(H$1),"00")&amp;"'!$A:$D"),4,false),1))</f>
        <v>1</v>
      </c>
      <c r="I1704" s="62">
        <f t="shared" si="3408"/>
        <v>1</v>
      </c>
      <c r="J1704" s="62">
        <f t="shared" si="3408"/>
        <v>1</v>
      </c>
      <c r="K1704" s="62">
        <f t="shared" si="3408"/>
        <v>1</v>
      </c>
      <c r="L1704" s="62">
        <f t="shared" si="3408"/>
        <v>1</v>
      </c>
      <c r="M1704" s="62">
        <f t="shared" si="3408"/>
        <v>1</v>
      </c>
      <c r="N1704" s="62">
        <f t="shared" si="3408"/>
        <v>1</v>
      </c>
      <c r="O1704" s="62">
        <f t="shared" si="3408"/>
        <v>1</v>
      </c>
      <c r="P1704" s="62" t="str">
        <f t="shared" si="3408"/>
        <v/>
      </c>
      <c r="Q1704" s="62" t="str">
        <f t="shared" si="3408"/>
        <v/>
      </c>
      <c r="R1704" s="62">
        <f t="shared" si="7"/>
        <v>0</v>
      </c>
      <c r="S1704" s="62"/>
      <c r="T1704" s="62"/>
      <c r="U1704" s="62"/>
      <c r="V1704" s="62"/>
      <c r="W1704" s="62"/>
      <c r="X1704" s="62"/>
      <c r="Y1704" s="62"/>
      <c r="Z1704" s="62"/>
      <c r="AA1704" s="62"/>
      <c r="AB1704" s="62"/>
      <c r="AC1704" s="62"/>
    </row>
    <row r="1705" hidden="1">
      <c r="A1705" s="60">
        <f>IFERROR(__xludf.DUMMYFUNCTION("""COMPUTED_VALUE"""),16443.0)</f>
        <v>16443</v>
      </c>
      <c r="B1705" s="60" t="str">
        <f>IFERROR(__xludf.DUMMYFUNCTION("""COMPUTED_VALUE"""),"O'Connell, Patrick")</f>
        <v>O'Connell, Patrick</v>
      </c>
      <c r="C1705" s="60" t="str">
        <f>IFERROR(__xludf.DUMMYFUNCTION("""COMPUTED_VALUE"""),"LB")</f>
        <v>LB</v>
      </c>
      <c r="D1705" s="60" t="str">
        <f>IFERROR(__xludf.DUMMYFUNCTION("""COMPUTED_VALUE"""),"SEA")</f>
        <v>SEA</v>
      </c>
      <c r="E1705" s="62" t="str">
        <f t="shared" si="4"/>
        <v>Patrick O'Connell</v>
      </c>
      <c r="F1705" s="62">
        <f t="shared" ref="F1705:G1705" si="3409">IF(isblank(F$1),,IF(isblank($A1705),,IFERROR(vlookup($A1705,indirect("'TVC-"&amp;text(month(F$1),"00")&amp;"'!$A:$D"),4,false),1)))</f>
        <v>1</v>
      </c>
      <c r="G1705" s="62">
        <f t="shared" si="3409"/>
        <v>1</v>
      </c>
      <c r="H1705" s="62">
        <f t="shared" ref="H1705:Q1705" si="3410">IF(isblank(H$1),,IFERROR(vlookup($A1705,indirect("'TVC-"&amp;text(month(H$1),"00")&amp;"'!$A:$D"),4,false),1))</f>
        <v>1</v>
      </c>
      <c r="I1705" s="62">
        <f t="shared" si="3410"/>
        <v>1</v>
      </c>
      <c r="J1705" s="62">
        <f t="shared" si="3410"/>
        <v>1</v>
      </c>
      <c r="K1705" s="62">
        <f t="shared" si="3410"/>
        <v>1</v>
      </c>
      <c r="L1705" s="62">
        <f t="shared" si="3410"/>
        <v>1</v>
      </c>
      <c r="M1705" s="62">
        <f t="shared" si="3410"/>
        <v>1</v>
      </c>
      <c r="N1705" s="62">
        <f t="shared" si="3410"/>
        <v>1</v>
      </c>
      <c r="O1705" s="62">
        <f t="shared" si="3410"/>
        <v>1</v>
      </c>
      <c r="P1705" s="62" t="str">
        <f t="shared" si="3410"/>
        <v/>
      </c>
      <c r="Q1705" s="62" t="str">
        <f t="shared" si="3410"/>
        <v/>
      </c>
      <c r="R1705" s="62">
        <f t="shared" si="7"/>
        <v>0</v>
      </c>
      <c r="S1705" s="62"/>
      <c r="T1705" s="62"/>
      <c r="U1705" s="62"/>
      <c r="V1705" s="62"/>
      <c r="W1705" s="62"/>
      <c r="X1705" s="62"/>
      <c r="Y1705" s="62"/>
      <c r="Z1705" s="62"/>
      <c r="AA1705" s="62"/>
      <c r="AB1705" s="62"/>
      <c r="AC1705" s="62"/>
    </row>
    <row r="1706" hidden="1">
      <c r="A1706" s="60">
        <f>IFERROR(__xludf.DUMMYFUNCTION("""COMPUTED_VALUE"""),16444.0)</f>
        <v>16444</v>
      </c>
      <c r="B1706" s="60" t="str">
        <f>IFERROR(__xludf.DUMMYFUNCTION("""COMPUTED_VALUE"""),"Grupe, Blake")</f>
        <v>Grupe, Blake</v>
      </c>
      <c r="C1706" s="60" t="str">
        <f>IFERROR(__xludf.DUMMYFUNCTION("""COMPUTED_VALUE"""),"PK")</f>
        <v>PK</v>
      </c>
      <c r="D1706" s="60" t="str">
        <f>IFERROR(__xludf.DUMMYFUNCTION("""COMPUTED_VALUE"""),"LAR")</f>
        <v>LAR</v>
      </c>
      <c r="E1706" s="62" t="str">
        <f t="shared" si="4"/>
        <v>Blake Grupe</v>
      </c>
      <c r="F1706" s="62">
        <f t="shared" ref="F1706:G1706" si="3411">IF(isblank(F$1),,IF(isblank($A1706),,IFERROR(vlookup($A1706,indirect("'TVC-"&amp;text(month(F$1),"00")&amp;"'!$A:$D"),4,false),1)))</f>
        <v>1</v>
      </c>
      <c r="G1706" s="62">
        <f t="shared" si="3411"/>
        <v>1</v>
      </c>
      <c r="H1706" s="62">
        <f t="shared" ref="H1706:Q1706" si="3412">IF(isblank(H$1),,IFERROR(vlookup($A1706,indirect("'TVC-"&amp;text(month(H$1),"00")&amp;"'!$A:$D"),4,false),1))</f>
        <v>1</v>
      </c>
      <c r="I1706" s="62">
        <f t="shared" si="3412"/>
        <v>1</v>
      </c>
      <c r="J1706" s="62">
        <f t="shared" si="3412"/>
        <v>1</v>
      </c>
      <c r="K1706" s="62">
        <f t="shared" si="3412"/>
        <v>1</v>
      </c>
      <c r="L1706" s="62">
        <f t="shared" si="3412"/>
        <v>1</v>
      </c>
      <c r="M1706" s="62">
        <f t="shared" si="3412"/>
        <v>1</v>
      </c>
      <c r="N1706" s="62">
        <f t="shared" si="3412"/>
        <v>1</v>
      </c>
      <c r="O1706" s="62">
        <f t="shared" si="3412"/>
        <v>1</v>
      </c>
      <c r="P1706" s="62" t="str">
        <f t="shared" si="3412"/>
        <v/>
      </c>
      <c r="Q1706" s="62" t="str">
        <f t="shared" si="3412"/>
        <v/>
      </c>
      <c r="R1706" s="62">
        <f t="shared" si="7"/>
        <v>0</v>
      </c>
      <c r="S1706" s="62"/>
      <c r="T1706" s="62"/>
      <c r="U1706" s="62"/>
      <c r="V1706" s="62"/>
      <c r="W1706" s="62"/>
      <c r="X1706" s="62"/>
      <c r="Y1706" s="62"/>
      <c r="Z1706" s="62"/>
      <c r="AA1706" s="62"/>
      <c r="AB1706" s="62"/>
      <c r="AC1706" s="62"/>
    </row>
    <row r="1707" hidden="1">
      <c r="A1707" s="60">
        <f>IFERROR(__xludf.DUMMYFUNCTION("""COMPUTED_VALUE"""),16446.0)</f>
        <v>16446</v>
      </c>
      <c r="B1707" s="60" t="str">
        <f>IFERROR(__xludf.DUMMYFUNCTION("""COMPUTED_VALUE"""),"Watts, Markees")</f>
        <v>Watts, Markees</v>
      </c>
      <c r="C1707" s="60" t="str">
        <f>IFERROR(__xludf.DUMMYFUNCTION("""COMPUTED_VALUE"""),"DE")</f>
        <v>DE</v>
      </c>
      <c r="D1707" s="60" t="str">
        <f>IFERROR(__xludf.DUMMYFUNCTION("""COMPUTED_VALUE"""),"FA")</f>
        <v>FA</v>
      </c>
      <c r="E1707" s="62" t="str">
        <f t="shared" si="4"/>
        <v>Markees Watts</v>
      </c>
      <c r="F1707" s="62">
        <f t="shared" ref="F1707:G1707" si="3413">IF(isblank(F$1),,IF(isblank($A1707),,IFERROR(vlookup($A1707,indirect("'TVC-"&amp;text(month(F$1),"00")&amp;"'!$A:$D"),4,false),1)))</f>
        <v>1</v>
      </c>
      <c r="G1707" s="62">
        <f t="shared" si="3413"/>
        <v>1</v>
      </c>
      <c r="H1707" s="62">
        <f t="shared" ref="H1707:Q1707" si="3414">IF(isblank(H$1),,IFERROR(vlookup($A1707,indirect("'TVC-"&amp;text(month(H$1),"00")&amp;"'!$A:$D"),4,false),1))</f>
        <v>1</v>
      </c>
      <c r="I1707" s="62">
        <f t="shared" si="3414"/>
        <v>1</v>
      </c>
      <c r="J1707" s="62">
        <f t="shared" si="3414"/>
        <v>1</v>
      </c>
      <c r="K1707" s="62">
        <f t="shared" si="3414"/>
        <v>1</v>
      </c>
      <c r="L1707" s="62">
        <f t="shared" si="3414"/>
        <v>1</v>
      </c>
      <c r="M1707" s="62">
        <f t="shared" si="3414"/>
        <v>1</v>
      </c>
      <c r="N1707" s="62">
        <f t="shared" si="3414"/>
        <v>1</v>
      </c>
      <c r="O1707" s="62">
        <f t="shared" si="3414"/>
        <v>1</v>
      </c>
      <c r="P1707" s="62" t="str">
        <f t="shared" si="3414"/>
        <v/>
      </c>
      <c r="Q1707" s="62" t="str">
        <f t="shared" si="3414"/>
        <v/>
      </c>
      <c r="R1707" s="62">
        <f t="shared" si="7"/>
        <v>0</v>
      </c>
      <c r="S1707" s="62"/>
      <c r="T1707" s="62"/>
      <c r="U1707" s="62"/>
      <c r="V1707" s="62"/>
      <c r="W1707" s="62"/>
      <c r="X1707" s="62"/>
      <c r="Y1707" s="62"/>
      <c r="Z1707" s="62"/>
      <c r="AA1707" s="62"/>
      <c r="AB1707" s="62"/>
      <c r="AC1707" s="62"/>
    </row>
    <row r="1708" hidden="1">
      <c r="A1708" s="60">
        <f>IFERROR(__xludf.DUMMYFUNCTION("""COMPUTED_VALUE"""),16447.0)</f>
        <v>16447</v>
      </c>
      <c r="B1708" s="60" t="str">
        <f>IFERROR(__xludf.DUMMYFUNCTION("""COMPUTED_VALUE"""),"Vokolek, Travis")</f>
        <v>Vokolek, Travis</v>
      </c>
      <c r="C1708" s="60" t="str">
        <f>IFERROR(__xludf.DUMMYFUNCTION("""COMPUTED_VALUE"""),"TE")</f>
        <v>TE</v>
      </c>
      <c r="D1708" s="60" t="str">
        <f>IFERROR(__xludf.DUMMYFUNCTION("""COMPUTED_VALUE"""),"ARI")</f>
        <v>ARI</v>
      </c>
      <c r="E1708" s="62" t="str">
        <f t="shared" si="4"/>
        <v>Travis Vokolek</v>
      </c>
      <c r="F1708" s="62">
        <f t="shared" ref="F1708:G1708" si="3415">IF(isblank(F$1),,IF(isblank($A1708),,IFERROR(vlookup($A1708,indirect("'TVC-"&amp;text(month(F$1),"00")&amp;"'!$A:$D"),4,false),1)))</f>
        <v>1</v>
      </c>
      <c r="G1708" s="62">
        <f t="shared" si="3415"/>
        <v>1</v>
      </c>
      <c r="H1708" s="62">
        <f t="shared" ref="H1708:Q1708" si="3416">IF(isblank(H$1),,IFERROR(vlookup($A1708,indirect("'TVC-"&amp;text(month(H$1),"00")&amp;"'!$A:$D"),4,false),1))</f>
        <v>1</v>
      </c>
      <c r="I1708" s="62">
        <f t="shared" si="3416"/>
        <v>1</v>
      </c>
      <c r="J1708" s="62">
        <f t="shared" si="3416"/>
        <v>1</v>
      </c>
      <c r="K1708" s="62">
        <f t="shared" si="3416"/>
        <v>1</v>
      </c>
      <c r="L1708" s="62">
        <f t="shared" si="3416"/>
        <v>1</v>
      </c>
      <c r="M1708" s="62">
        <f t="shared" si="3416"/>
        <v>1</v>
      </c>
      <c r="N1708" s="62">
        <f t="shared" si="3416"/>
        <v>1</v>
      </c>
      <c r="O1708" s="62">
        <f t="shared" si="3416"/>
        <v>1</v>
      </c>
      <c r="P1708" s="62" t="str">
        <f t="shared" si="3416"/>
        <v/>
      </c>
      <c r="Q1708" s="62" t="str">
        <f t="shared" si="3416"/>
        <v/>
      </c>
      <c r="R1708" s="62">
        <f t="shared" si="7"/>
        <v>0</v>
      </c>
      <c r="S1708" s="62"/>
      <c r="T1708" s="62"/>
      <c r="U1708" s="62"/>
      <c r="V1708" s="62"/>
      <c r="W1708" s="62"/>
      <c r="X1708" s="62"/>
      <c r="Y1708" s="62"/>
      <c r="Z1708" s="62"/>
      <c r="AA1708" s="62"/>
      <c r="AB1708" s="62"/>
      <c r="AC1708" s="62"/>
    </row>
    <row r="1709" hidden="1">
      <c r="A1709" s="60">
        <f>IFERROR(__xludf.DUMMYFUNCTION("""COMPUTED_VALUE"""),16450.0)</f>
        <v>16450</v>
      </c>
      <c r="B1709" s="60" t="str">
        <f>IFERROR(__xludf.DUMMYFUNCTION("""COMPUTED_VALUE"""),"Thomas, Drake")</f>
        <v>Thomas, Drake</v>
      </c>
      <c r="C1709" s="60" t="str">
        <f>IFERROR(__xludf.DUMMYFUNCTION("""COMPUTED_VALUE"""),"LB")</f>
        <v>LB</v>
      </c>
      <c r="D1709" s="60" t="str">
        <f>IFERROR(__xludf.DUMMYFUNCTION("""COMPUTED_VALUE"""),"SEA")</f>
        <v>SEA</v>
      </c>
      <c r="E1709" s="62" t="str">
        <f t="shared" si="4"/>
        <v>Drake Thomas</v>
      </c>
      <c r="F1709" s="62">
        <f t="shared" ref="F1709:G1709" si="3417">IF(isblank(F$1),,IF(isblank($A1709),,IFERROR(vlookup($A1709,indirect("'TVC-"&amp;text(month(F$1),"00")&amp;"'!$A:$D"),4,false),1)))</f>
        <v>1</v>
      </c>
      <c r="G1709" s="62">
        <f t="shared" si="3417"/>
        <v>1</v>
      </c>
      <c r="H1709" s="62">
        <f t="shared" ref="H1709:Q1709" si="3418">IF(isblank(H$1),,IFERROR(vlookup($A1709,indirect("'TVC-"&amp;text(month(H$1),"00")&amp;"'!$A:$D"),4,false),1))</f>
        <v>1</v>
      </c>
      <c r="I1709" s="62">
        <f t="shared" si="3418"/>
        <v>1</v>
      </c>
      <c r="J1709" s="62">
        <f t="shared" si="3418"/>
        <v>1</v>
      </c>
      <c r="K1709" s="62">
        <f t="shared" si="3418"/>
        <v>1</v>
      </c>
      <c r="L1709" s="62">
        <f t="shared" si="3418"/>
        <v>1</v>
      </c>
      <c r="M1709" s="62">
        <f t="shared" si="3418"/>
        <v>1</v>
      </c>
      <c r="N1709" s="62">
        <f t="shared" si="3418"/>
        <v>1</v>
      </c>
      <c r="O1709" s="62">
        <f t="shared" si="3418"/>
        <v>1</v>
      </c>
      <c r="P1709" s="62" t="str">
        <f t="shared" si="3418"/>
        <v/>
      </c>
      <c r="Q1709" s="62" t="str">
        <f t="shared" si="3418"/>
        <v/>
      </c>
      <c r="R1709" s="62">
        <f t="shared" si="7"/>
        <v>0</v>
      </c>
      <c r="S1709" s="62"/>
      <c r="T1709" s="62"/>
      <c r="U1709" s="62"/>
      <c r="V1709" s="62"/>
      <c r="W1709" s="62"/>
      <c r="X1709" s="62"/>
      <c r="Y1709" s="62"/>
      <c r="Z1709" s="62"/>
      <c r="AA1709" s="62"/>
      <c r="AB1709" s="62"/>
      <c r="AC1709" s="62"/>
    </row>
    <row r="1710" hidden="1">
      <c r="A1710" s="60">
        <f>IFERROR(__xludf.DUMMYFUNCTION("""COMPUTED_VALUE"""),16451.0)</f>
        <v>16451</v>
      </c>
      <c r="B1710" s="60" t="str">
        <f>IFERROR(__xludf.DUMMYFUNCTION("""COMPUTED_VALUE"""),"Shavers, Tyrell")</f>
        <v>Shavers, Tyrell</v>
      </c>
      <c r="C1710" s="60" t="str">
        <f>IFERROR(__xludf.DUMMYFUNCTION("""COMPUTED_VALUE"""),"WR")</f>
        <v>WR</v>
      </c>
      <c r="D1710" s="60" t="str">
        <f>IFERROR(__xludf.DUMMYFUNCTION("""COMPUTED_VALUE"""),"BUF")</f>
        <v>BUF</v>
      </c>
      <c r="E1710" s="62" t="str">
        <f t="shared" si="4"/>
        <v>Tyrell Shavers</v>
      </c>
      <c r="F1710" s="62">
        <f t="shared" ref="F1710:G1710" si="3419">IF(isblank(F$1),,IF(isblank($A1710),,IFERROR(vlookup($A1710,indirect("'TVC-"&amp;text(month(F$1),"00")&amp;"'!$A:$D"),4,false),1)))</f>
        <v>1244</v>
      </c>
      <c r="G1710" s="62">
        <f t="shared" si="3419"/>
        <v>1243</v>
      </c>
      <c r="H1710" s="62">
        <f t="shared" ref="H1710:Q1710" si="3420">IF(isblank(H$1),,IFERROR(vlookup($A1710,indirect("'TVC-"&amp;text(month(H$1),"00")&amp;"'!$A:$D"),4,false),1))</f>
        <v>1229</v>
      </c>
      <c r="I1710" s="62">
        <f t="shared" si="3420"/>
        <v>1158</v>
      </c>
      <c r="J1710" s="62">
        <f t="shared" si="3420"/>
        <v>1073</v>
      </c>
      <c r="K1710" s="62">
        <f t="shared" si="3420"/>
        <v>1025</v>
      </c>
      <c r="L1710" s="62">
        <f t="shared" si="3420"/>
        <v>1000</v>
      </c>
      <c r="M1710" s="62">
        <f t="shared" si="3420"/>
        <v>1005</v>
      </c>
      <c r="N1710" s="62">
        <f t="shared" si="3420"/>
        <v>702</v>
      </c>
      <c r="O1710" s="62">
        <f t="shared" si="3420"/>
        <v>1</v>
      </c>
      <c r="P1710" s="62" t="str">
        <f t="shared" si="3420"/>
        <v/>
      </c>
      <c r="Q1710" s="62" t="str">
        <f t="shared" si="3420"/>
        <v/>
      </c>
      <c r="R1710" s="62">
        <f t="shared" si="7"/>
        <v>-701</v>
      </c>
      <c r="S1710" s="62"/>
      <c r="T1710" s="62"/>
      <c r="U1710" s="62"/>
      <c r="V1710" s="62"/>
      <c r="W1710" s="62"/>
      <c r="X1710" s="62"/>
      <c r="Y1710" s="62"/>
      <c r="Z1710" s="62"/>
      <c r="AA1710" s="62"/>
      <c r="AB1710" s="62"/>
      <c r="AC1710" s="62"/>
    </row>
    <row r="1711" hidden="1">
      <c r="A1711" s="60">
        <f>IFERROR(__xludf.DUMMYFUNCTION("""COMPUTED_VALUE"""),16452.0)</f>
        <v>16452</v>
      </c>
      <c r="B1711" s="60" t="str">
        <f>IFERROR(__xludf.DUMMYFUNCTION("""COMPUTED_VALUE"""),"Whelan, Daniel")</f>
        <v>Whelan, Daniel</v>
      </c>
      <c r="C1711" s="60" t="str">
        <f>IFERROR(__xludf.DUMMYFUNCTION("""COMPUTED_VALUE"""),"PN")</f>
        <v>PN</v>
      </c>
      <c r="D1711" s="60" t="str">
        <f>IFERROR(__xludf.DUMMYFUNCTION("""COMPUTED_VALUE"""),"GBP")</f>
        <v>GBP</v>
      </c>
      <c r="E1711" s="62" t="str">
        <f t="shared" si="4"/>
        <v>Daniel Whelan</v>
      </c>
      <c r="F1711" s="62">
        <f t="shared" ref="F1711:G1711" si="3421">IF(isblank(F$1),,IF(isblank($A1711),,IFERROR(vlookup($A1711,indirect("'TVC-"&amp;text(month(F$1),"00")&amp;"'!$A:$D"),4,false),1)))</f>
        <v>1</v>
      </c>
      <c r="G1711" s="62">
        <f t="shared" si="3421"/>
        <v>1</v>
      </c>
      <c r="H1711" s="62">
        <f t="shared" ref="H1711:Q1711" si="3422">IF(isblank(H$1),,IFERROR(vlookup($A1711,indirect("'TVC-"&amp;text(month(H$1),"00")&amp;"'!$A:$D"),4,false),1))</f>
        <v>1</v>
      </c>
      <c r="I1711" s="62">
        <f t="shared" si="3422"/>
        <v>1</v>
      </c>
      <c r="J1711" s="62">
        <f t="shared" si="3422"/>
        <v>1</v>
      </c>
      <c r="K1711" s="62">
        <f t="shared" si="3422"/>
        <v>1</v>
      </c>
      <c r="L1711" s="62">
        <f t="shared" si="3422"/>
        <v>1</v>
      </c>
      <c r="M1711" s="62">
        <f t="shared" si="3422"/>
        <v>1</v>
      </c>
      <c r="N1711" s="62">
        <f t="shared" si="3422"/>
        <v>1</v>
      </c>
      <c r="O1711" s="62">
        <f t="shared" si="3422"/>
        <v>1</v>
      </c>
      <c r="P1711" s="62" t="str">
        <f t="shared" si="3422"/>
        <v/>
      </c>
      <c r="Q1711" s="62" t="str">
        <f t="shared" si="3422"/>
        <v/>
      </c>
      <c r="R1711" s="62">
        <f t="shared" si="7"/>
        <v>0</v>
      </c>
      <c r="S1711" s="62"/>
      <c r="T1711" s="62"/>
      <c r="U1711" s="62"/>
      <c r="V1711" s="62"/>
      <c r="W1711" s="62"/>
      <c r="X1711" s="62"/>
      <c r="Y1711" s="62"/>
      <c r="Z1711" s="62"/>
      <c r="AA1711" s="62"/>
      <c r="AB1711" s="62"/>
      <c r="AC1711" s="62"/>
    </row>
    <row r="1712" hidden="1">
      <c r="A1712" s="60">
        <f>IFERROR(__xludf.DUMMYFUNCTION("""COMPUTED_VALUE"""),16453.0)</f>
        <v>16453</v>
      </c>
      <c r="B1712" s="60" t="str">
        <f>IFERROR(__xludf.DUMMYFUNCTION("""COMPUTED_VALUE"""),"Cooks, Elijah")</f>
        <v>Cooks, Elijah</v>
      </c>
      <c r="C1712" s="60" t="str">
        <f>IFERROR(__xludf.DUMMYFUNCTION("""COMPUTED_VALUE"""),"WR")</f>
        <v>WR</v>
      </c>
      <c r="D1712" s="60" t="str">
        <f>IFERROR(__xludf.DUMMYFUNCTION("""COMPUTED_VALUE"""),"FA")</f>
        <v>FA</v>
      </c>
      <c r="E1712" s="62" t="str">
        <f t="shared" si="4"/>
        <v>Elijah Cooks</v>
      </c>
      <c r="F1712" s="62">
        <f t="shared" ref="F1712:G1712" si="3423">IF(isblank(F$1),,IF(isblank($A1712),,IFERROR(vlookup($A1712,indirect("'TVC-"&amp;text(month(F$1),"00")&amp;"'!$A:$D"),4,false),1)))</f>
        <v>1</v>
      </c>
      <c r="G1712" s="62">
        <f t="shared" si="3423"/>
        <v>1</v>
      </c>
      <c r="H1712" s="62">
        <f t="shared" ref="H1712:Q1712" si="3424">IF(isblank(H$1),,IFERROR(vlookup($A1712,indirect("'TVC-"&amp;text(month(H$1),"00")&amp;"'!$A:$D"),4,false),1))</f>
        <v>1</v>
      </c>
      <c r="I1712" s="62">
        <f t="shared" si="3424"/>
        <v>1</v>
      </c>
      <c r="J1712" s="62">
        <f t="shared" si="3424"/>
        <v>1</v>
      </c>
      <c r="K1712" s="62">
        <f t="shared" si="3424"/>
        <v>1</v>
      </c>
      <c r="L1712" s="62">
        <f t="shared" si="3424"/>
        <v>1</v>
      </c>
      <c r="M1712" s="62">
        <f t="shared" si="3424"/>
        <v>1</v>
      </c>
      <c r="N1712" s="62">
        <f t="shared" si="3424"/>
        <v>1</v>
      </c>
      <c r="O1712" s="62">
        <f t="shared" si="3424"/>
        <v>1</v>
      </c>
      <c r="P1712" s="62" t="str">
        <f t="shared" si="3424"/>
        <v/>
      </c>
      <c r="Q1712" s="62" t="str">
        <f t="shared" si="3424"/>
        <v/>
      </c>
      <c r="R1712" s="62">
        <f t="shared" si="7"/>
        <v>0</v>
      </c>
      <c r="S1712" s="62"/>
      <c r="T1712" s="62"/>
      <c r="U1712" s="62"/>
      <c r="V1712" s="62"/>
      <c r="W1712" s="62"/>
      <c r="X1712" s="62"/>
      <c r="Y1712" s="62"/>
      <c r="Z1712" s="62"/>
      <c r="AA1712" s="62"/>
      <c r="AB1712" s="62"/>
      <c r="AC1712" s="62"/>
    </row>
    <row r="1713" hidden="1">
      <c r="A1713" s="60">
        <f>IFERROR(__xludf.DUMMYFUNCTION("""COMPUTED_VALUE"""),16455.0)</f>
        <v>16455</v>
      </c>
      <c r="B1713" s="60" t="str">
        <f>IFERROR(__xludf.DUMMYFUNCTION("""COMPUTED_VALUE"""),"Cox, Brenton")</f>
        <v>Cox, Brenton</v>
      </c>
      <c r="C1713" s="60" t="str">
        <f>IFERROR(__xludf.DUMMYFUNCTION("""COMPUTED_VALUE"""),"DE")</f>
        <v>DE</v>
      </c>
      <c r="D1713" s="60" t="str">
        <f>IFERROR(__xludf.DUMMYFUNCTION("""COMPUTED_VALUE"""),"GBP")</f>
        <v>GBP</v>
      </c>
      <c r="E1713" s="62" t="str">
        <f t="shared" si="4"/>
        <v>Brenton Cox</v>
      </c>
      <c r="F1713" s="62">
        <f t="shared" ref="F1713:G1713" si="3425">IF(isblank(F$1),,IF(isblank($A1713),,IFERROR(vlookup($A1713,indirect("'TVC-"&amp;text(month(F$1),"00")&amp;"'!$A:$D"),4,false),1)))</f>
        <v>1</v>
      </c>
      <c r="G1713" s="62">
        <f t="shared" si="3425"/>
        <v>1</v>
      </c>
      <c r="H1713" s="62">
        <f t="shared" ref="H1713:Q1713" si="3426">IF(isblank(H$1),,IFERROR(vlookup($A1713,indirect("'TVC-"&amp;text(month(H$1),"00")&amp;"'!$A:$D"),4,false),1))</f>
        <v>1</v>
      </c>
      <c r="I1713" s="62">
        <f t="shared" si="3426"/>
        <v>1</v>
      </c>
      <c r="J1713" s="62">
        <f t="shared" si="3426"/>
        <v>1</v>
      </c>
      <c r="K1713" s="62">
        <f t="shared" si="3426"/>
        <v>1</v>
      </c>
      <c r="L1713" s="62">
        <f t="shared" si="3426"/>
        <v>1</v>
      </c>
      <c r="M1713" s="62">
        <f t="shared" si="3426"/>
        <v>1</v>
      </c>
      <c r="N1713" s="62">
        <f t="shared" si="3426"/>
        <v>1</v>
      </c>
      <c r="O1713" s="62">
        <f t="shared" si="3426"/>
        <v>1</v>
      </c>
      <c r="P1713" s="62" t="str">
        <f t="shared" si="3426"/>
        <v/>
      </c>
      <c r="Q1713" s="62" t="str">
        <f t="shared" si="3426"/>
        <v/>
      </c>
      <c r="R1713" s="62">
        <f t="shared" si="7"/>
        <v>0</v>
      </c>
      <c r="S1713" s="62"/>
      <c r="T1713" s="62"/>
      <c r="U1713" s="62"/>
      <c r="V1713" s="62"/>
      <c r="W1713" s="62"/>
      <c r="X1713" s="62"/>
      <c r="Y1713" s="62"/>
      <c r="Z1713" s="62"/>
      <c r="AA1713" s="62"/>
      <c r="AB1713" s="62"/>
      <c r="AC1713" s="62"/>
    </row>
    <row r="1714" hidden="1">
      <c r="A1714" s="60">
        <f>IFERROR(__xludf.DUMMYFUNCTION("""COMPUTED_VALUE"""),16457.0)</f>
        <v>16457</v>
      </c>
      <c r="B1714" s="60" t="str">
        <f>IFERROR(__xludf.DUMMYFUNCTION("""COMPUTED_VALUE"""),"Izien, Christian")</f>
        <v>Izien, Christian</v>
      </c>
      <c r="C1714" s="60" t="str">
        <f>IFERROR(__xludf.DUMMYFUNCTION("""COMPUTED_VALUE"""),"S")</f>
        <v>S</v>
      </c>
      <c r="D1714" s="60" t="str">
        <f>IFERROR(__xludf.DUMMYFUNCTION("""COMPUTED_VALUE"""),"DET")</f>
        <v>DET</v>
      </c>
      <c r="E1714" s="62" t="str">
        <f t="shared" si="4"/>
        <v>Christian Izien</v>
      </c>
      <c r="F1714" s="62">
        <f t="shared" ref="F1714:G1714" si="3427">IF(isblank(F$1),,IF(isblank($A1714),,IFERROR(vlookup($A1714,indirect("'TVC-"&amp;text(month(F$1),"00")&amp;"'!$A:$D"),4,false),1)))</f>
        <v>1</v>
      </c>
      <c r="G1714" s="62">
        <f t="shared" si="3427"/>
        <v>1</v>
      </c>
      <c r="H1714" s="62">
        <f t="shared" ref="H1714:Q1714" si="3428">IF(isblank(H$1),,IFERROR(vlookup($A1714,indirect("'TVC-"&amp;text(month(H$1),"00")&amp;"'!$A:$D"),4,false),1))</f>
        <v>1</v>
      </c>
      <c r="I1714" s="62">
        <f t="shared" si="3428"/>
        <v>1</v>
      </c>
      <c r="J1714" s="62">
        <f t="shared" si="3428"/>
        <v>1</v>
      </c>
      <c r="K1714" s="62">
        <f t="shared" si="3428"/>
        <v>1</v>
      </c>
      <c r="L1714" s="62">
        <f t="shared" si="3428"/>
        <v>1</v>
      </c>
      <c r="M1714" s="62">
        <f t="shared" si="3428"/>
        <v>1</v>
      </c>
      <c r="N1714" s="62">
        <f t="shared" si="3428"/>
        <v>1</v>
      </c>
      <c r="O1714" s="62">
        <f t="shared" si="3428"/>
        <v>1</v>
      </c>
      <c r="P1714" s="62" t="str">
        <f t="shared" si="3428"/>
        <v/>
      </c>
      <c r="Q1714" s="62" t="str">
        <f t="shared" si="3428"/>
        <v/>
      </c>
      <c r="R1714" s="62">
        <f t="shared" si="7"/>
        <v>0</v>
      </c>
      <c r="S1714" s="62"/>
      <c r="T1714" s="62"/>
      <c r="U1714" s="62"/>
      <c r="V1714" s="62"/>
      <c r="W1714" s="62"/>
      <c r="X1714" s="62"/>
      <c r="Y1714" s="62"/>
      <c r="Z1714" s="62"/>
      <c r="AA1714" s="62"/>
      <c r="AB1714" s="62"/>
      <c r="AC1714" s="62"/>
    </row>
    <row r="1715" hidden="1">
      <c r="A1715" s="60">
        <f>IFERROR(__xludf.DUMMYFUNCTION("""COMPUTED_VALUE"""),16460.0)</f>
        <v>16460</v>
      </c>
      <c r="B1715" s="60" t="str">
        <f>IFERROR(__xludf.DUMMYFUNCTION("""COMPUTED_VALUE"""),"Hickman, Ronnie")</f>
        <v>Hickman, Ronnie</v>
      </c>
      <c r="C1715" s="60" t="str">
        <f>IFERROR(__xludf.DUMMYFUNCTION("""COMPUTED_VALUE"""),"S")</f>
        <v>S</v>
      </c>
      <c r="D1715" s="60" t="str">
        <f>IFERROR(__xludf.DUMMYFUNCTION("""COMPUTED_VALUE"""),"CLE")</f>
        <v>CLE</v>
      </c>
      <c r="E1715" s="62" t="str">
        <f t="shared" si="4"/>
        <v>Ronnie Hickman</v>
      </c>
      <c r="F1715" s="62">
        <f t="shared" ref="F1715:G1715" si="3429">IF(isblank(F$1),,IF(isblank($A1715),,IFERROR(vlookup($A1715,indirect("'TVC-"&amp;text(month(F$1),"00")&amp;"'!$A:$D"),4,false),1)))</f>
        <v>1</v>
      </c>
      <c r="G1715" s="62">
        <f t="shared" si="3429"/>
        <v>1</v>
      </c>
      <c r="H1715" s="62">
        <f t="shared" ref="H1715:Q1715" si="3430">IF(isblank(H$1),,IFERROR(vlookup($A1715,indirect("'TVC-"&amp;text(month(H$1),"00")&amp;"'!$A:$D"),4,false),1))</f>
        <v>1</v>
      </c>
      <c r="I1715" s="62">
        <f t="shared" si="3430"/>
        <v>1</v>
      </c>
      <c r="J1715" s="62">
        <f t="shared" si="3430"/>
        <v>1</v>
      </c>
      <c r="K1715" s="62">
        <f t="shared" si="3430"/>
        <v>1</v>
      </c>
      <c r="L1715" s="62">
        <f t="shared" si="3430"/>
        <v>1</v>
      </c>
      <c r="M1715" s="62">
        <f t="shared" si="3430"/>
        <v>1</v>
      </c>
      <c r="N1715" s="62">
        <f t="shared" si="3430"/>
        <v>1</v>
      </c>
      <c r="O1715" s="62">
        <f t="shared" si="3430"/>
        <v>1</v>
      </c>
      <c r="P1715" s="62" t="str">
        <f t="shared" si="3430"/>
        <v/>
      </c>
      <c r="Q1715" s="62" t="str">
        <f t="shared" si="3430"/>
        <v/>
      </c>
      <c r="R1715" s="62">
        <f t="shared" si="7"/>
        <v>0</v>
      </c>
      <c r="S1715" s="62"/>
      <c r="T1715" s="62"/>
      <c r="U1715" s="62"/>
      <c r="V1715" s="62"/>
      <c r="W1715" s="62"/>
      <c r="X1715" s="62"/>
      <c r="Y1715" s="62"/>
      <c r="Z1715" s="62"/>
      <c r="AA1715" s="62"/>
      <c r="AB1715" s="62"/>
      <c r="AC1715" s="62"/>
    </row>
    <row r="1716" hidden="1">
      <c r="A1716" s="60">
        <f>IFERROR(__xludf.DUMMYFUNCTION("""COMPUTED_VALUE"""),16461.0)</f>
        <v>16461</v>
      </c>
      <c r="B1716" s="60" t="str">
        <f>IFERROR(__xludf.DUMMYFUNCTION("""COMPUTED_VALUE"""),"Sewell, Nephi")</f>
        <v>Sewell, Nephi</v>
      </c>
      <c r="C1716" s="60" t="str">
        <f>IFERROR(__xludf.DUMMYFUNCTION("""COMPUTED_VALUE"""),"LB")</f>
        <v>LB</v>
      </c>
      <c r="D1716" s="60" t="str">
        <f>IFERROR(__xludf.DUMMYFUNCTION("""COMPUTED_VALUE"""),"CHI")</f>
        <v>CHI</v>
      </c>
      <c r="E1716" s="62" t="str">
        <f t="shared" si="4"/>
        <v>Nephi Sewell</v>
      </c>
      <c r="F1716" s="62">
        <f t="shared" ref="F1716:G1716" si="3431">IF(isblank(F$1),,IF(isblank($A1716),,IFERROR(vlookup($A1716,indirect("'TVC-"&amp;text(month(F$1),"00")&amp;"'!$A:$D"),4,false),1)))</f>
        <v>1</v>
      </c>
      <c r="G1716" s="62">
        <f t="shared" si="3431"/>
        <v>1</v>
      </c>
      <c r="H1716" s="62">
        <f t="shared" ref="H1716:Q1716" si="3432">IF(isblank(H$1),,IFERROR(vlookup($A1716,indirect("'TVC-"&amp;text(month(H$1),"00")&amp;"'!$A:$D"),4,false),1))</f>
        <v>1</v>
      </c>
      <c r="I1716" s="62">
        <f t="shared" si="3432"/>
        <v>1</v>
      </c>
      <c r="J1716" s="62">
        <f t="shared" si="3432"/>
        <v>1</v>
      </c>
      <c r="K1716" s="62">
        <f t="shared" si="3432"/>
        <v>1</v>
      </c>
      <c r="L1716" s="62">
        <f t="shared" si="3432"/>
        <v>1</v>
      </c>
      <c r="M1716" s="62">
        <f t="shared" si="3432"/>
        <v>1</v>
      </c>
      <c r="N1716" s="62">
        <f t="shared" si="3432"/>
        <v>1</v>
      </c>
      <c r="O1716" s="62">
        <f t="shared" si="3432"/>
        <v>1</v>
      </c>
      <c r="P1716" s="62" t="str">
        <f t="shared" si="3432"/>
        <v/>
      </c>
      <c r="Q1716" s="62" t="str">
        <f t="shared" si="3432"/>
        <v/>
      </c>
      <c r="R1716" s="62">
        <f t="shared" si="7"/>
        <v>0</v>
      </c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</row>
    <row r="1717" hidden="1">
      <c r="A1717" s="60">
        <f>IFERROR(__xludf.DUMMYFUNCTION("""COMPUTED_VALUE"""),16463.0)</f>
        <v>16463</v>
      </c>
      <c r="B1717" s="60" t="str">
        <f>IFERROR(__xludf.DUMMYFUNCTION("""COMPUTED_VALUE"""),"Merriweather, Kaevon")</f>
        <v>Merriweather, Kaevon</v>
      </c>
      <c r="C1717" s="60" t="str">
        <f>IFERROR(__xludf.DUMMYFUNCTION("""COMPUTED_VALUE"""),"S")</f>
        <v>S</v>
      </c>
      <c r="D1717" s="60" t="str">
        <f>IFERROR(__xludf.DUMMYFUNCTION("""COMPUTED_VALUE"""),"JAC")</f>
        <v>JAC</v>
      </c>
      <c r="E1717" s="62" t="str">
        <f t="shared" si="4"/>
        <v>Kaevon Merriweather</v>
      </c>
      <c r="F1717" s="62">
        <f t="shared" ref="F1717:G1717" si="3433">IF(isblank(F$1),,IF(isblank($A1717),,IFERROR(vlookup($A1717,indirect("'TVC-"&amp;text(month(F$1),"00")&amp;"'!$A:$D"),4,false),1)))</f>
        <v>1</v>
      </c>
      <c r="G1717" s="62">
        <f t="shared" si="3433"/>
        <v>1</v>
      </c>
      <c r="H1717" s="62">
        <f t="shared" ref="H1717:Q1717" si="3434">IF(isblank(H$1),,IFERROR(vlookup($A1717,indirect("'TVC-"&amp;text(month(H$1),"00")&amp;"'!$A:$D"),4,false),1))</f>
        <v>1</v>
      </c>
      <c r="I1717" s="62">
        <f t="shared" si="3434"/>
        <v>1</v>
      </c>
      <c r="J1717" s="62">
        <f t="shared" si="3434"/>
        <v>1</v>
      </c>
      <c r="K1717" s="62">
        <f t="shared" si="3434"/>
        <v>1</v>
      </c>
      <c r="L1717" s="62">
        <f t="shared" si="3434"/>
        <v>1</v>
      </c>
      <c r="M1717" s="62">
        <f t="shared" si="3434"/>
        <v>1</v>
      </c>
      <c r="N1717" s="62">
        <f t="shared" si="3434"/>
        <v>1</v>
      </c>
      <c r="O1717" s="62">
        <f t="shared" si="3434"/>
        <v>1</v>
      </c>
      <c r="P1717" s="62" t="str">
        <f t="shared" si="3434"/>
        <v/>
      </c>
      <c r="Q1717" s="62" t="str">
        <f t="shared" si="3434"/>
        <v/>
      </c>
      <c r="R1717" s="62">
        <f t="shared" si="7"/>
        <v>0</v>
      </c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</row>
    <row r="1718" hidden="1">
      <c r="A1718" s="60">
        <f>IFERROR(__xludf.DUMMYFUNCTION("""COMPUTED_VALUE"""),16467.0)</f>
        <v>16467</v>
      </c>
      <c r="B1718" s="60" t="str">
        <f>IFERROR(__xludf.DUMMYFUNCTION("""COMPUTED_VALUE"""),"Kendall, Anthony")</f>
        <v>Kendall, Anthony</v>
      </c>
      <c r="C1718" s="60" t="str">
        <f>IFERROR(__xludf.DUMMYFUNCTION("""COMPUTED_VALUE"""),"CB")</f>
        <v>CB</v>
      </c>
      <c r="D1718" s="60" t="str">
        <f>IFERROR(__xludf.DUMMYFUNCTION("""COMPUTED_VALUE"""),"BUF")</f>
        <v>BUF</v>
      </c>
      <c r="E1718" s="62" t="str">
        <f t="shared" si="4"/>
        <v>Anthony Kendall</v>
      </c>
      <c r="F1718" s="62">
        <f t="shared" ref="F1718:G1718" si="3435">IF(isblank(F$1),,IF(isblank($A1718),,IFERROR(vlookup($A1718,indirect("'TVC-"&amp;text(month(F$1),"00")&amp;"'!$A:$D"),4,false),1)))</f>
        <v>1</v>
      </c>
      <c r="G1718" s="62">
        <f t="shared" si="3435"/>
        <v>1</v>
      </c>
      <c r="H1718" s="62">
        <f t="shared" ref="H1718:Q1718" si="3436">IF(isblank(H$1),,IFERROR(vlookup($A1718,indirect("'TVC-"&amp;text(month(H$1),"00")&amp;"'!$A:$D"),4,false),1))</f>
        <v>1</v>
      </c>
      <c r="I1718" s="62">
        <f t="shared" si="3436"/>
        <v>1</v>
      </c>
      <c r="J1718" s="62">
        <f t="shared" si="3436"/>
        <v>1</v>
      </c>
      <c r="K1718" s="62">
        <f t="shared" si="3436"/>
        <v>1</v>
      </c>
      <c r="L1718" s="62">
        <f t="shared" si="3436"/>
        <v>1</v>
      </c>
      <c r="M1718" s="62">
        <f t="shared" si="3436"/>
        <v>1</v>
      </c>
      <c r="N1718" s="62">
        <f t="shared" si="3436"/>
        <v>1</v>
      </c>
      <c r="O1718" s="62">
        <f t="shared" si="3436"/>
        <v>1</v>
      </c>
      <c r="P1718" s="62" t="str">
        <f t="shared" si="3436"/>
        <v/>
      </c>
      <c r="Q1718" s="62" t="str">
        <f t="shared" si="3436"/>
        <v/>
      </c>
      <c r="R1718" s="62">
        <f t="shared" si="7"/>
        <v>0</v>
      </c>
      <c r="S1718" s="62"/>
      <c r="T1718" s="62"/>
      <c r="U1718" s="62"/>
      <c r="V1718" s="62"/>
      <c r="W1718" s="62"/>
      <c r="X1718" s="62"/>
      <c r="Y1718" s="62"/>
      <c r="Z1718" s="62"/>
      <c r="AA1718" s="62"/>
      <c r="AB1718" s="62"/>
      <c r="AC1718" s="62"/>
    </row>
    <row r="1719" hidden="1">
      <c r="A1719" s="60">
        <f>IFERROR(__xludf.DUMMYFUNCTION("""COMPUTED_VALUE"""),16472.0)</f>
        <v>16472</v>
      </c>
      <c r="B1719" s="60" t="str">
        <f>IFERROR(__xludf.DUMMYFUNCTION("""COMPUTED_VALUE"""),"Thomas, Juanyeh")</f>
        <v>Thomas, Juanyeh</v>
      </c>
      <c r="C1719" s="60" t="str">
        <f>IFERROR(__xludf.DUMMYFUNCTION("""COMPUTED_VALUE"""),"S")</f>
        <v>S</v>
      </c>
      <c r="D1719" s="60" t="str">
        <f>IFERROR(__xludf.DUMMYFUNCTION("""COMPUTED_VALUE"""),"DAL")</f>
        <v>DAL</v>
      </c>
      <c r="E1719" s="62" t="str">
        <f t="shared" si="4"/>
        <v>Juanyeh Thomas</v>
      </c>
      <c r="F1719" s="62">
        <f t="shared" ref="F1719:G1719" si="3437">IF(isblank(F$1),,IF(isblank($A1719),,IFERROR(vlookup($A1719,indirect("'TVC-"&amp;text(month(F$1),"00")&amp;"'!$A:$D"),4,false),1)))</f>
        <v>1</v>
      </c>
      <c r="G1719" s="62">
        <f t="shared" si="3437"/>
        <v>1</v>
      </c>
      <c r="H1719" s="62">
        <f t="shared" ref="H1719:Q1719" si="3438">IF(isblank(H$1),,IFERROR(vlookup($A1719,indirect("'TVC-"&amp;text(month(H$1),"00")&amp;"'!$A:$D"),4,false),1))</f>
        <v>1</v>
      </c>
      <c r="I1719" s="62">
        <f t="shared" si="3438"/>
        <v>1</v>
      </c>
      <c r="J1719" s="62">
        <f t="shared" si="3438"/>
        <v>1</v>
      </c>
      <c r="K1719" s="62">
        <f t="shared" si="3438"/>
        <v>1</v>
      </c>
      <c r="L1719" s="62">
        <f t="shared" si="3438"/>
        <v>1</v>
      </c>
      <c r="M1719" s="62">
        <f t="shared" si="3438"/>
        <v>1</v>
      </c>
      <c r="N1719" s="62">
        <f t="shared" si="3438"/>
        <v>1</v>
      </c>
      <c r="O1719" s="62">
        <f t="shared" si="3438"/>
        <v>1</v>
      </c>
      <c r="P1719" s="62" t="str">
        <f t="shared" si="3438"/>
        <v/>
      </c>
      <c r="Q1719" s="62" t="str">
        <f t="shared" si="3438"/>
        <v/>
      </c>
      <c r="R1719" s="62">
        <f t="shared" si="7"/>
        <v>0</v>
      </c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</row>
    <row r="1720" hidden="1">
      <c r="A1720" s="60">
        <f>IFERROR(__xludf.DUMMYFUNCTION("""COMPUTED_VALUE"""),16474.0)</f>
        <v>16474</v>
      </c>
      <c r="B1720" s="60" t="str">
        <f>IFERROR(__xludf.DUMMYFUNCTION("""COMPUTED_VALUE"""),"Adkins, Nate")</f>
        <v>Adkins, Nate</v>
      </c>
      <c r="C1720" s="60" t="str">
        <f>IFERROR(__xludf.DUMMYFUNCTION("""COMPUTED_VALUE"""),"TE")</f>
        <v>TE</v>
      </c>
      <c r="D1720" s="60" t="str">
        <f>IFERROR(__xludf.DUMMYFUNCTION("""COMPUTED_VALUE"""),"DEN")</f>
        <v>DEN</v>
      </c>
      <c r="E1720" s="62" t="str">
        <f t="shared" si="4"/>
        <v>Nate Adkins</v>
      </c>
      <c r="F1720" s="62">
        <f t="shared" ref="F1720:G1720" si="3439">IF(isblank(F$1),,IF(isblank($A1720),,IFERROR(vlookup($A1720,indirect("'TVC-"&amp;text(month(F$1),"00")&amp;"'!$A:$D"),4,false),1)))</f>
        <v>1</v>
      </c>
      <c r="G1720" s="62">
        <f t="shared" si="3439"/>
        <v>1</v>
      </c>
      <c r="H1720" s="62">
        <f t="shared" ref="H1720:Q1720" si="3440">IF(isblank(H$1),,IFERROR(vlookup($A1720,indirect("'TVC-"&amp;text(month(H$1),"00")&amp;"'!$A:$D"),4,false),1))</f>
        <v>1</v>
      </c>
      <c r="I1720" s="62">
        <f t="shared" si="3440"/>
        <v>1</v>
      </c>
      <c r="J1720" s="62">
        <f t="shared" si="3440"/>
        <v>1</v>
      </c>
      <c r="K1720" s="62">
        <f t="shared" si="3440"/>
        <v>1</v>
      </c>
      <c r="L1720" s="62">
        <f t="shared" si="3440"/>
        <v>1</v>
      </c>
      <c r="M1720" s="62">
        <f t="shared" si="3440"/>
        <v>1</v>
      </c>
      <c r="N1720" s="62">
        <f t="shared" si="3440"/>
        <v>1</v>
      </c>
      <c r="O1720" s="62">
        <f t="shared" si="3440"/>
        <v>1</v>
      </c>
      <c r="P1720" s="62" t="str">
        <f t="shared" si="3440"/>
        <v/>
      </c>
      <c r="Q1720" s="62" t="str">
        <f t="shared" si="3440"/>
        <v/>
      </c>
      <c r="R1720" s="62">
        <f t="shared" si="7"/>
        <v>0</v>
      </c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</row>
    <row r="1721" hidden="1">
      <c r="A1721" s="60">
        <f>IFERROR(__xludf.DUMMYFUNCTION("""COMPUTED_VALUE"""),16476.0)</f>
        <v>16476</v>
      </c>
      <c r="B1721" s="60" t="str">
        <f>IFERROR(__xludf.DUMMYFUNCTION("""COMPUTED_VALUE"""),"Jones, Cam")</f>
        <v>Jones, Cam</v>
      </c>
      <c r="C1721" s="60" t="str">
        <f>IFERROR(__xludf.DUMMYFUNCTION("""COMPUTED_VALUE"""),"LB")</f>
        <v>LB</v>
      </c>
      <c r="D1721" s="60" t="str">
        <f>IFERROR(__xludf.DUMMYFUNCTION("""COMPUTED_VALUE"""),"KCC")</f>
        <v>KCC</v>
      </c>
      <c r="E1721" s="62" t="str">
        <f t="shared" si="4"/>
        <v>Cam Jones</v>
      </c>
      <c r="F1721" s="62">
        <f t="shared" ref="F1721:G1721" si="3441">IF(isblank(F$1),,IF(isblank($A1721),,IFERROR(vlookup($A1721,indirect("'TVC-"&amp;text(month(F$1),"00")&amp;"'!$A:$D"),4,false),1)))</f>
        <v>1</v>
      </c>
      <c r="G1721" s="62">
        <f t="shared" si="3441"/>
        <v>1</v>
      </c>
      <c r="H1721" s="62">
        <f t="shared" ref="H1721:Q1721" si="3442">IF(isblank(H$1),,IFERROR(vlookup($A1721,indirect("'TVC-"&amp;text(month(H$1),"00")&amp;"'!$A:$D"),4,false),1))</f>
        <v>1</v>
      </c>
      <c r="I1721" s="62">
        <f t="shared" si="3442"/>
        <v>1</v>
      </c>
      <c r="J1721" s="62">
        <f t="shared" si="3442"/>
        <v>1</v>
      </c>
      <c r="K1721" s="62">
        <f t="shared" si="3442"/>
        <v>1</v>
      </c>
      <c r="L1721" s="62">
        <f t="shared" si="3442"/>
        <v>1</v>
      </c>
      <c r="M1721" s="62">
        <f t="shared" si="3442"/>
        <v>1</v>
      </c>
      <c r="N1721" s="62">
        <f t="shared" si="3442"/>
        <v>1</v>
      </c>
      <c r="O1721" s="62">
        <f t="shared" si="3442"/>
        <v>1</v>
      </c>
      <c r="P1721" s="62" t="str">
        <f t="shared" si="3442"/>
        <v/>
      </c>
      <c r="Q1721" s="62" t="str">
        <f t="shared" si="3442"/>
        <v/>
      </c>
      <c r="R1721" s="62">
        <f t="shared" si="7"/>
        <v>0</v>
      </c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</row>
    <row r="1722" hidden="1">
      <c r="A1722" s="60">
        <f>IFERROR(__xludf.DUMMYFUNCTION("""COMPUTED_VALUE"""),16483.0)</f>
        <v>16483</v>
      </c>
      <c r="B1722" s="60" t="str">
        <f>IFERROR(__xludf.DUMMYFUNCTION("""COMPUTED_VALUE"""),"Sims, Ben")</f>
        <v>Sims, Ben</v>
      </c>
      <c r="C1722" s="60" t="str">
        <f>IFERROR(__xludf.DUMMYFUNCTION("""COMPUTED_VALUE"""),"TE")</f>
        <v>TE</v>
      </c>
      <c r="D1722" s="60" t="str">
        <f>IFERROR(__xludf.DUMMYFUNCTION("""COMPUTED_VALUE"""),"FA")</f>
        <v>FA</v>
      </c>
      <c r="E1722" s="62" t="str">
        <f t="shared" si="4"/>
        <v>Ben Sims</v>
      </c>
      <c r="F1722" s="62">
        <f t="shared" ref="F1722:G1722" si="3443">IF(isblank(F$1),,IF(isblank($A1722),,IFERROR(vlookup($A1722,indirect("'TVC-"&amp;text(month(F$1),"00")&amp;"'!$A:$D"),4,false),1)))</f>
        <v>1</v>
      </c>
      <c r="G1722" s="62">
        <f t="shared" si="3443"/>
        <v>1</v>
      </c>
      <c r="H1722" s="62">
        <f t="shared" ref="H1722:Q1722" si="3444">IF(isblank(H$1),,IFERROR(vlookup($A1722,indirect("'TVC-"&amp;text(month(H$1),"00")&amp;"'!$A:$D"),4,false),1))</f>
        <v>1</v>
      </c>
      <c r="I1722" s="62">
        <f t="shared" si="3444"/>
        <v>1</v>
      </c>
      <c r="J1722" s="62">
        <f t="shared" si="3444"/>
        <v>1</v>
      </c>
      <c r="K1722" s="62">
        <f t="shared" si="3444"/>
        <v>1</v>
      </c>
      <c r="L1722" s="62">
        <f t="shared" si="3444"/>
        <v>1</v>
      </c>
      <c r="M1722" s="62">
        <f t="shared" si="3444"/>
        <v>1</v>
      </c>
      <c r="N1722" s="62">
        <f t="shared" si="3444"/>
        <v>1</v>
      </c>
      <c r="O1722" s="62">
        <f t="shared" si="3444"/>
        <v>1</v>
      </c>
      <c r="P1722" s="62" t="str">
        <f t="shared" si="3444"/>
        <v/>
      </c>
      <c r="Q1722" s="62" t="str">
        <f t="shared" si="3444"/>
        <v/>
      </c>
      <c r="R1722" s="62">
        <f t="shared" si="7"/>
        <v>0</v>
      </c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</row>
    <row r="1723">
      <c r="A1723" s="60">
        <f>IFERROR(__xludf.DUMMYFUNCTION("""COMPUTED_VALUE"""),16485.0)</f>
        <v>16485</v>
      </c>
      <c r="B1723" s="60" t="str">
        <f>IFERROR(__xludf.DUMMYFUNCTION("""COMPUTED_VALUE"""),"Incoom, Thomas")</f>
        <v>Incoom, Thomas</v>
      </c>
      <c r="C1723" s="60" t="str">
        <f>IFERROR(__xludf.DUMMYFUNCTION("""COMPUTED_VALUE"""),"LB")</f>
        <v>LB</v>
      </c>
      <c r="D1723" s="60" t="str">
        <f>IFERROR(__xludf.DUMMYFUNCTION("""COMPUTED_VALUE"""),"CAR")</f>
        <v>CAR</v>
      </c>
      <c r="E1723" s="62" t="str">
        <f t="shared" si="4"/>
        <v>Thomas Incoom</v>
      </c>
      <c r="F1723" s="62">
        <f t="shared" ref="F1723:G1723" si="3445">IF(isblank(F$1),,IF(isblank($A1723),,IFERROR(vlookup($A1723,indirect("'TVC-"&amp;text(month(F$1),"00")&amp;"'!$A:$D"),4,false),1)))</f>
        <v>1</v>
      </c>
      <c r="G1723" s="62">
        <f t="shared" si="3445"/>
        <v>1</v>
      </c>
      <c r="H1723" s="62">
        <f t="shared" ref="H1723:Q1723" si="3446">IF(isblank(H$1),,IFERROR(vlookup($A1723,indirect("'TVC-"&amp;text(month(H$1),"00")&amp;"'!$A:$D"),4,false),1))</f>
        <v>1</v>
      </c>
      <c r="I1723" s="62">
        <f t="shared" si="3446"/>
        <v>1</v>
      </c>
      <c r="J1723" s="62">
        <f t="shared" si="3446"/>
        <v>1</v>
      </c>
      <c r="K1723" s="62">
        <f t="shared" si="3446"/>
        <v>1</v>
      </c>
      <c r="L1723" s="62">
        <f t="shared" si="3446"/>
        <v>1</v>
      </c>
      <c r="M1723" s="62">
        <f t="shared" si="3446"/>
        <v>1</v>
      </c>
      <c r="N1723" s="62">
        <f t="shared" si="3446"/>
        <v>1</v>
      </c>
      <c r="O1723" s="62">
        <f t="shared" si="3446"/>
        <v>1</v>
      </c>
      <c r="P1723" s="62" t="str">
        <f t="shared" si="3446"/>
        <v/>
      </c>
      <c r="Q1723" s="62" t="str">
        <f t="shared" si="3446"/>
        <v/>
      </c>
      <c r="R1723" s="62">
        <f t="shared" si="7"/>
        <v>0</v>
      </c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</row>
    <row r="1724">
      <c r="A1724" s="60">
        <f>IFERROR(__xludf.DUMMYFUNCTION("""COMPUTED_VALUE"""),16486.0)</f>
        <v>16486</v>
      </c>
      <c r="B1724" s="60" t="str">
        <f>IFERROR(__xludf.DUMMYFUNCTION("""COMPUTED_VALUE"""),"Pili, Brandon")</f>
        <v>Pili, Brandon</v>
      </c>
      <c r="C1724" s="60" t="str">
        <f>IFERROR(__xludf.DUMMYFUNCTION("""COMPUTED_VALUE"""),"DT")</f>
        <v>DT</v>
      </c>
      <c r="D1724" s="60" t="str">
        <f>IFERROR(__xludf.DUMMYFUNCTION("""COMPUTED_VALUE"""),"SEA")</f>
        <v>SEA</v>
      </c>
      <c r="E1724" s="62" t="str">
        <f t="shared" si="4"/>
        <v>Brandon Pili</v>
      </c>
      <c r="F1724" s="62">
        <f t="shared" ref="F1724:G1724" si="3447">IF(isblank(F$1),,IF(isblank($A1724),,IFERROR(vlookup($A1724,indirect("'TVC-"&amp;text(month(F$1),"00")&amp;"'!$A:$D"),4,false),1)))</f>
        <v>1</v>
      </c>
      <c r="G1724" s="62">
        <f t="shared" si="3447"/>
        <v>1</v>
      </c>
      <c r="H1724" s="62">
        <f t="shared" ref="H1724:Q1724" si="3448">IF(isblank(H$1),,IFERROR(vlookup($A1724,indirect("'TVC-"&amp;text(month(H$1),"00")&amp;"'!$A:$D"),4,false),1))</f>
        <v>1</v>
      </c>
      <c r="I1724" s="62">
        <f t="shared" si="3448"/>
        <v>1</v>
      </c>
      <c r="J1724" s="62">
        <f t="shared" si="3448"/>
        <v>1</v>
      </c>
      <c r="K1724" s="62">
        <f t="shared" si="3448"/>
        <v>1</v>
      </c>
      <c r="L1724" s="62">
        <f t="shared" si="3448"/>
        <v>1</v>
      </c>
      <c r="M1724" s="62">
        <f t="shared" si="3448"/>
        <v>1</v>
      </c>
      <c r="N1724" s="62">
        <f t="shared" si="3448"/>
        <v>1</v>
      </c>
      <c r="O1724" s="62">
        <f t="shared" si="3448"/>
        <v>1</v>
      </c>
      <c r="P1724" s="62" t="str">
        <f t="shared" si="3448"/>
        <v/>
      </c>
      <c r="Q1724" s="62" t="str">
        <f t="shared" si="3448"/>
        <v/>
      </c>
      <c r="R1724" s="62">
        <f t="shared" si="7"/>
        <v>0</v>
      </c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</row>
    <row r="1725">
      <c r="A1725" s="60">
        <f>IFERROR(__xludf.DUMMYFUNCTION("""COMPUTED_VALUE"""),16492.0)</f>
        <v>16492</v>
      </c>
      <c r="B1725" s="60" t="str">
        <f>IFERROR(__xludf.DUMMYFUNCTION("""COMPUTED_VALUE"""),"Cherelus, Claudin")</f>
        <v>Cherelus, Claudin</v>
      </c>
      <c r="C1725" s="60" t="str">
        <f>IFERROR(__xludf.DUMMYFUNCTION("""COMPUTED_VALUE"""),"LB")</f>
        <v>LB</v>
      </c>
      <c r="D1725" s="60" t="str">
        <f>IFERROR(__xludf.DUMMYFUNCTION("""COMPUTED_VALUE"""),"FA")</f>
        <v>FA</v>
      </c>
      <c r="E1725" s="62" t="str">
        <f t="shared" si="4"/>
        <v>Claudin Cherelus</v>
      </c>
      <c r="F1725" s="62">
        <f t="shared" ref="F1725:G1725" si="3449">IF(isblank(F$1),,IF(isblank($A1725),,IFERROR(vlookup($A1725,indirect("'TVC-"&amp;text(month(F$1),"00")&amp;"'!$A:$D"),4,false),1)))</f>
        <v>1</v>
      </c>
      <c r="G1725" s="62">
        <f t="shared" si="3449"/>
        <v>1</v>
      </c>
      <c r="H1725" s="62">
        <f t="shared" ref="H1725:Q1725" si="3450">IF(isblank(H$1),,IFERROR(vlookup($A1725,indirect("'TVC-"&amp;text(month(H$1),"00")&amp;"'!$A:$D"),4,false),1))</f>
        <v>1</v>
      </c>
      <c r="I1725" s="62">
        <f t="shared" si="3450"/>
        <v>1</v>
      </c>
      <c r="J1725" s="62">
        <f t="shared" si="3450"/>
        <v>1</v>
      </c>
      <c r="K1725" s="62">
        <f t="shared" si="3450"/>
        <v>1</v>
      </c>
      <c r="L1725" s="62">
        <f t="shared" si="3450"/>
        <v>1</v>
      </c>
      <c r="M1725" s="62">
        <f t="shared" si="3450"/>
        <v>1</v>
      </c>
      <c r="N1725" s="62">
        <f t="shared" si="3450"/>
        <v>1</v>
      </c>
      <c r="O1725" s="62">
        <f t="shared" si="3450"/>
        <v>1</v>
      </c>
      <c r="P1725" s="62" t="str">
        <f t="shared" si="3450"/>
        <v/>
      </c>
      <c r="Q1725" s="62" t="str">
        <f t="shared" si="3450"/>
        <v/>
      </c>
      <c r="R1725" s="62">
        <f t="shared" si="7"/>
        <v>0</v>
      </c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</row>
    <row r="1726">
      <c r="A1726" s="60">
        <f>IFERROR(__xludf.DUMMYFUNCTION("""COMPUTED_VALUE"""),16494.0)</f>
        <v>16494</v>
      </c>
      <c r="B1726" s="60" t="str">
        <f>IFERROR(__xludf.DUMMYFUNCTION("""COMPUTED_VALUE"""),"Moon, Jeremiah")</f>
        <v>Moon, Jeremiah</v>
      </c>
      <c r="C1726" s="60" t="str">
        <f>IFERROR(__xludf.DUMMYFUNCTION("""COMPUTED_VALUE"""),"LB")</f>
        <v>LB</v>
      </c>
      <c r="D1726" s="60" t="str">
        <f>IFERROR(__xludf.DUMMYFUNCTION("""COMPUTED_VALUE"""),"CAR")</f>
        <v>CAR</v>
      </c>
      <c r="E1726" s="62" t="str">
        <f t="shared" si="4"/>
        <v>Jeremiah Moon</v>
      </c>
      <c r="F1726" s="62">
        <f t="shared" ref="F1726:G1726" si="3451">IF(isblank(F$1),,IF(isblank($A1726),,IFERROR(vlookup($A1726,indirect("'TVC-"&amp;text(month(F$1),"00")&amp;"'!$A:$D"),4,false),1)))</f>
        <v>1</v>
      </c>
      <c r="G1726" s="62">
        <f t="shared" si="3451"/>
        <v>1</v>
      </c>
      <c r="H1726" s="62">
        <f t="shared" ref="H1726:Q1726" si="3452">IF(isblank(H$1),,IFERROR(vlookup($A1726,indirect("'TVC-"&amp;text(month(H$1),"00")&amp;"'!$A:$D"),4,false),1))</f>
        <v>1</v>
      </c>
      <c r="I1726" s="62">
        <f t="shared" si="3452"/>
        <v>1</v>
      </c>
      <c r="J1726" s="62">
        <f t="shared" si="3452"/>
        <v>1</v>
      </c>
      <c r="K1726" s="62">
        <f t="shared" si="3452"/>
        <v>1</v>
      </c>
      <c r="L1726" s="62">
        <f t="shared" si="3452"/>
        <v>1</v>
      </c>
      <c r="M1726" s="62">
        <f t="shared" si="3452"/>
        <v>1</v>
      </c>
      <c r="N1726" s="62">
        <f t="shared" si="3452"/>
        <v>1</v>
      </c>
      <c r="O1726" s="62">
        <f t="shared" si="3452"/>
        <v>1</v>
      </c>
      <c r="P1726" s="62" t="str">
        <f t="shared" si="3452"/>
        <v/>
      </c>
      <c r="Q1726" s="62" t="str">
        <f t="shared" si="3452"/>
        <v/>
      </c>
      <c r="R1726" s="62">
        <f t="shared" si="7"/>
        <v>0</v>
      </c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</row>
    <row r="1727">
      <c r="A1727" s="60">
        <f>IFERROR(__xludf.DUMMYFUNCTION("""COMPUTED_VALUE"""),16496.0)</f>
        <v>16496</v>
      </c>
      <c r="B1727" s="60" t="str">
        <f>IFERROR(__xludf.DUMMYFUNCTION("""COMPUTED_VALUE"""),"Russell, Brady")</f>
        <v>Russell, Brady</v>
      </c>
      <c r="C1727" s="60" t="str">
        <f>IFERROR(__xludf.DUMMYFUNCTION("""COMPUTED_VALUE"""),"RB")</f>
        <v>RB</v>
      </c>
      <c r="D1727" s="60" t="str">
        <f>IFERROR(__xludf.DUMMYFUNCTION("""COMPUTED_VALUE"""),"SEA")</f>
        <v>SEA</v>
      </c>
      <c r="E1727" s="62" t="str">
        <f t="shared" si="4"/>
        <v>Brady Russell</v>
      </c>
      <c r="F1727" s="62">
        <f t="shared" ref="F1727:G1727" si="3453">IF(isblank(F$1),,IF(isblank($A1727),,IFERROR(vlookup($A1727,indirect("'TVC-"&amp;text(month(F$1),"00")&amp;"'!$A:$D"),4,false),1)))</f>
        <v>1</v>
      </c>
      <c r="G1727" s="62">
        <f t="shared" si="3453"/>
        <v>1</v>
      </c>
      <c r="H1727" s="62">
        <f t="shared" ref="H1727:Q1727" si="3454">IF(isblank(H$1),,IFERROR(vlookup($A1727,indirect("'TVC-"&amp;text(month(H$1),"00")&amp;"'!$A:$D"),4,false),1))</f>
        <v>1</v>
      </c>
      <c r="I1727" s="62">
        <f t="shared" si="3454"/>
        <v>1</v>
      </c>
      <c r="J1727" s="62">
        <f t="shared" si="3454"/>
        <v>1</v>
      </c>
      <c r="K1727" s="62">
        <f t="shared" si="3454"/>
        <v>1</v>
      </c>
      <c r="L1727" s="62">
        <f t="shared" si="3454"/>
        <v>1</v>
      </c>
      <c r="M1727" s="62">
        <f t="shared" si="3454"/>
        <v>1</v>
      </c>
      <c r="N1727" s="62">
        <f t="shared" si="3454"/>
        <v>1</v>
      </c>
      <c r="O1727" s="62">
        <f t="shared" si="3454"/>
        <v>1</v>
      </c>
      <c r="P1727" s="62" t="str">
        <f t="shared" si="3454"/>
        <v/>
      </c>
      <c r="Q1727" s="62" t="str">
        <f t="shared" si="3454"/>
        <v/>
      </c>
      <c r="R1727" s="62">
        <f t="shared" si="7"/>
        <v>0</v>
      </c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</row>
    <row r="1728">
      <c r="A1728" s="60">
        <f>IFERROR(__xludf.DUMMYFUNCTION("""COMPUTED_VALUE"""),16499.0)</f>
        <v>16499</v>
      </c>
      <c r="B1728" s="60" t="str">
        <f>IFERROR(__xludf.DUMMYFUNCTION("""COMPUTED_VALUE"""),"Blair, Chris")</f>
        <v>Blair, Chris</v>
      </c>
      <c r="C1728" s="60" t="str">
        <f>IFERROR(__xludf.DUMMYFUNCTION("""COMPUTED_VALUE"""),"WR")</f>
        <v>WR</v>
      </c>
      <c r="D1728" s="60" t="str">
        <f>IFERROR(__xludf.DUMMYFUNCTION("""COMPUTED_VALUE"""),"ATL")</f>
        <v>ATL</v>
      </c>
      <c r="E1728" s="62" t="str">
        <f t="shared" si="4"/>
        <v>Chris Blair</v>
      </c>
      <c r="F1728" s="62">
        <f t="shared" ref="F1728:G1728" si="3455">IF(isblank(F$1),,IF(isblank($A1728),,IFERROR(vlookup($A1728,indirect("'TVC-"&amp;text(month(F$1),"00")&amp;"'!$A:$D"),4,false),1)))</f>
        <v>1</v>
      </c>
      <c r="G1728" s="62">
        <f t="shared" si="3455"/>
        <v>1</v>
      </c>
      <c r="H1728" s="62">
        <f t="shared" ref="H1728:Q1728" si="3456">IF(isblank(H$1),,IFERROR(vlookup($A1728,indirect("'TVC-"&amp;text(month(H$1),"00")&amp;"'!$A:$D"),4,false),1))</f>
        <v>1</v>
      </c>
      <c r="I1728" s="62">
        <f t="shared" si="3456"/>
        <v>1</v>
      </c>
      <c r="J1728" s="62">
        <f t="shared" si="3456"/>
        <v>1</v>
      </c>
      <c r="K1728" s="62">
        <f t="shared" si="3456"/>
        <v>1</v>
      </c>
      <c r="L1728" s="62">
        <f t="shared" si="3456"/>
        <v>1</v>
      </c>
      <c r="M1728" s="62">
        <f t="shared" si="3456"/>
        <v>1</v>
      </c>
      <c r="N1728" s="62">
        <f t="shared" si="3456"/>
        <v>1</v>
      </c>
      <c r="O1728" s="62">
        <f t="shared" si="3456"/>
        <v>1</v>
      </c>
      <c r="P1728" s="62" t="str">
        <f t="shared" si="3456"/>
        <v/>
      </c>
      <c r="Q1728" s="62" t="str">
        <f t="shared" si="3456"/>
        <v/>
      </c>
      <c r="R1728" s="62">
        <f t="shared" si="7"/>
        <v>0</v>
      </c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</row>
    <row r="1729">
      <c r="A1729" s="60">
        <f>IFERROR(__xludf.DUMMYFUNCTION("""COMPUTED_VALUE"""),16510.0)</f>
        <v>16510</v>
      </c>
      <c r="B1729" s="60" t="str">
        <f>IFERROR(__xludf.DUMMYFUNCTION("""COMPUTED_VALUE"""),"Pharms, Jeremiah")</f>
        <v>Pharms, Jeremiah</v>
      </c>
      <c r="C1729" s="60" t="str">
        <f>IFERROR(__xludf.DUMMYFUNCTION("""COMPUTED_VALUE"""),"DT")</f>
        <v>DT</v>
      </c>
      <c r="D1729" s="60" t="str">
        <f>IFERROR(__xludf.DUMMYFUNCTION("""COMPUTED_VALUE"""),"NEP")</f>
        <v>NEP</v>
      </c>
      <c r="E1729" s="62" t="str">
        <f t="shared" si="4"/>
        <v>Jeremiah Pharms</v>
      </c>
      <c r="F1729" s="62">
        <f t="shared" ref="F1729:G1729" si="3457">IF(isblank(F$1),,IF(isblank($A1729),,IFERROR(vlookup($A1729,indirect("'TVC-"&amp;text(month(F$1),"00")&amp;"'!$A:$D"),4,false),1)))</f>
        <v>1</v>
      </c>
      <c r="G1729" s="62">
        <f t="shared" si="3457"/>
        <v>1</v>
      </c>
      <c r="H1729" s="62">
        <f t="shared" ref="H1729:Q1729" si="3458">IF(isblank(H$1),,IFERROR(vlookup($A1729,indirect("'TVC-"&amp;text(month(H$1),"00")&amp;"'!$A:$D"),4,false),1))</f>
        <v>1</v>
      </c>
      <c r="I1729" s="62">
        <f t="shared" si="3458"/>
        <v>1</v>
      </c>
      <c r="J1729" s="62">
        <f t="shared" si="3458"/>
        <v>1</v>
      </c>
      <c r="K1729" s="62">
        <f t="shared" si="3458"/>
        <v>1</v>
      </c>
      <c r="L1729" s="62">
        <f t="shared" si="3458"/>
        <v>1</v>
      </c>
      <c r="M1729" s="62">
        <f t="shared" si="3458"/>
        <v>1</v>
      </c>
      <c r="N1729" s="62">
        <f t="shared" si="3458"/>
        <v>1</v>
      </c>
      <c r="O1729" s="62">
        <f t="shared" si="3458"/>
        <v>1</v>
      </c>
      <c r="P1729" s="62" t="str">
        <f t="shared" si="3458"/>
        <v/>
      </c>
      <c r="Q1729" s="62" t="str">
        <f t="shared" si="3458"/>
        <v/>
      </c>
      <c r="R1729" s="62">
        <f t="shared" si="7"/>
        <v>0</v>
      </c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</row>
    <row r="1730">
      <c r="A1730" s="60">
        <f>IFERROR(__xludf.DUMMYFUNCTION("""COMPUTED_VALUE"""),16513.0)</f>
        <v>16513</v>
      </c>
      <c r="B1730" s="60" t="str">
        <f>IFERROR(__xludf.DUMMYFUNCTION("""COMPUTED_VALUE"""),"London, LaCale")</f>
        <v>London, LaCale</v>
      </c>
      <c r="C1730" s="60" t="str">
        <f>IFERROR(__xludf.DUMMYFUNCTION("""COMPUTED_VALUE"""),"DT")</f>
        <v>DT</v>
      </c>
      <c r="D1730" s="60" t="str">
        <f>IFERROR(__xludf.DUMMYFUNCTION("""COMPUTED_VALUE"""),"ATL")</f>
        <v>ATL</v>
      </c>
      <c r="E1730" s="62" t="str">
        <f t="shared" si="4"/>
        <v>LaCale London</v>
      </c>
      <c r="F1730" s="62">
        <f t="shared" ref="F1730:G1730" si="3459">IF(isblank(F$1),,IF(isblank($A1730),,IFERROR(vlookup($A1730,indirect("'TVC-"&amp;text(month(F$1),"00")&amp;"'!$A:$D"),4,false),1)))</f>
        <v>1</v>
      </c>
      <c r="G1730" s="62">
        <f t="shared" si="3459"/>
        <v>1</v>
      </c>
      <c r="H1730" s="62">
        <f t="shared" ref="H1730:Q1730" si="3460">IF(isblank(H$1),,IFERROR(vlookup($A1730,indirect("'TVC-"&amp;text(month(H$1),"00")&amp;"'!$A:$D"),4,false),1))</f>
        <v>1</v>
      </c>
      <c r="I1730" s="62">
        <f t="shared" si="3460"/>
        <v>1</v>
      </c>
      <c r="J1730" s="62">
        <f t="shared" si="3460"/>
        <v>1</v>
      </c>
      <c r="K1730" s="62">
        <f t="shared" si="3460"/>
        <v>1</v>
      </c>
      <c r="L1730" s="62">
        <f t="shared" si="3460"/>
        <v>1</v>
      </c>
      <c r="M1730" s="62">
        <f t="shared" si="3460"/>
        <v>1</v>
      </c>
      <c r="N1730" s="62">
        <f t="shared" si="3460"/>
        <v>1</v>
      </c>
      <c r="O1730" s="62">
        <f t="shared" si="3460"/>
        <v>1</v>
      </c>
      <c r="P1730" s="62" t="str">
        <f t="shared" si="3460"/>
        <v/>
      </c>
      <c r="Q1730" s="62" t="str">
        <f t="shared" si="3460"/>
        <v/>
      </c>
      <c r="R1730" s="62">
        <f t="shared" si="7"/>
        <v>0</v>
      </c>
      <c r="S1730" s="62"/>
      <c r="T1730" s="62"/>
      <c r="U1730" s="62"/>
      <c r="V1730" s="62"/>
      <c r="W1730" s="62"/>
      <c r="X1730" s="62"/>
      <c r="Y1730" s="62"/>
      <c r="Z1730" s="62"/>
      <c r="AA1730" s="62"/>
      <c r="AB1730" s="62"/>
      <c r="AC1730" s="62"/>
    </row>
    <row r="1731" hidden="1">
      <c r="A1731" s="60">
        <f>IFERROR(__xludf.DUMMYFUNCTION("""COMPUTED_VALUE"""),16515.0)</f>
        <v>16515</v>
      </c>
      <c r="B1731" s="60" t="str">
        <f>IFERROR(__xludf.DUMMYFUNCTION("""COMPUTED_VALUE"""),"Finley, AJ")</f>
        <v>Finley, AJ</v>
      </c>
      <c r="C1731" s="60" t="str">
        <f>IFERROR(__xludf.DUMMYFUNCTION("""COMPUTED_VALUE"""),"S")</f>
        <v>S</v>
      </c>
      <c r="D1731" s="60" t="str">
        <f>IFERROR(__xludf.DUMMYFUNCTION("""COMPUTED_VALUE"""),"SEA")</f>
        <v>SEA</v>
      </c>
      <c r="E1731" s="62" t="str">
        <f t="shared" si="4"/>
        <v>AJ Finley</v>
      </c>
      <c r="F1731" s="62">
        <f t="shared" ref="F1731:G1731" si="3461">IF(isblank(F$1),,IF(isblank($A1731),,IFERROR(vlookup($A1731,indirect("'TVC-"&amp;text(month(F$1),"00")&amp;"'!$A:$D"),4,false),1)))</f>
        <v>1</v>
      </c>
      <c r="G1731" s="62">
        <f t="shared" si="3461"/>
        <v>1</v>
      </c>
      <c r="H1731" s="62">
        <f t="shared" ref="H1731:Q1731" si="3462">IF(isblank(H$1),,IFERROR(vlookup($A1731,indirect("'TVC-"&amp;text(month(H$1),"00")&amp;"'!$A:$D"),4,false),1))</f>
        <v>1</v>
      </c>
      <c r="I1731" s="62">
        <f t="shared" si="3462"/>
        <v>1</v>
      </c>
      <c r="J1731" s="62">
        <f t="shared" si="3462"/>
        <v>1</v>
      </c>
      <c r="K1731" s="62">
        <f t="shared" si="3462"/>
        <v>1</v>
      </c>
      <c r="L1731" s="62">
        <f t="shared" si="3462"/>
        <v>1</v>
      </c>
      <c r="M1731" s="62">
        <f t="shared" si="3462"/>
        <v>1</v>
      </c>
      <c r="N1731" s="62">
        <f t="shared" si="3462"/>
        <v>1</v>
      </c>
      <c r="O1731" s="62">
        <f t="shared" si="3462"/>
        <v>1</v>
      </c>
      <c r="P1731" s="62" t="str">
        <f t="shared" si="3462"/>
        <v/>
      </c>
      <c r="Q1731" s="62" t="str">
        <f t="shared" si="3462"/>
        <v/>
      </c>
      <c r="R1731" s="62">
        <f t="shared" si="7"/>
        <v>0</v>
      </c>
      <c r="S1731" s="62"/>
      <c r="T1731" s="62"/>
      <c r="U1731" s="62"/>
      <c r="V1731" s="62"/>
      <c r="W1731" s="62"/>
      <c r="X1731" s="62"/>
      <c r="Y1731" s="62"/>
      <c r="Z1731" s="62"/>
      <c r="AA1731" s="62"/>
      <c r="AB1731" s="62"/>
      <c r="AC1731" s="62"/>
    </row>
    <row r="1732">
      <c r="A1732" s="60">
        <f>IFERROR(__xludf.DUMMYFUNCTION("""COMPUTED_VALUE"""),16516.0)</f>
        <v>16516</v>
      </c>
      <c r="B1732" s="60" t="str">
        <f>IFERROR(__xludf.DUMMYFUNCTION("""COMPUTED_VALUE"""),"Wheat, Tyrus")</f>
        <v>Wheat, Tyrus</v>
      </c>
      <c r="C1732" s="60" t="str">
        <f>IFERROR(__xludf.DUMMYFUNCTION("""COMPUTED_VALUE"""),"DE")</f>
        <v>DE</v>
      </c>
      <c r="D1732" s="60" t="str">
        <f>IFERROR(__xludf.DUMMYFUNCTION("""COMPUTED_VALUE"""),"DAL")</f>
        <v>DAL</v>
      </c>
      <c r="E1732" s="62" t="str">
        <f t="shared" si="4"/>
        <v>Tyrus Wheat</v>
      </c>
      <c r="F1732" s="62">
        <f t="shared" ref="F1732:G1732" si="3463">IF(isblank(F$1),,IF(isblank($A1732),,IFERROR(vlookup($A1732,indirect("'TVC-"&amp;text(month(F$1),"00")&amp;"'!$A:$D"),4,false),1)))</f>
        <v>1</v>
      </c>
      <c r="G1732" s="62">
        <f t="shared" si="3463"/>
        <v>1</v>
      </c>
      <c r="H1732" s="62">
        <f t="shared" ref="H1732:Q1732" si="3464">IF(isblank(H$1),,IFERROR(vlookup($A1732,indirect("'TVC-"&amp;text(month(H$1),"00")&amp;"'!$A:$D"),4,false),1))</f>
        <v>1</v>
      </c>
      <c r="I1732" s="62">
        <f t="shared" si="3464"/>
        <v>1</v>
      </c>
      <c r="J1732" s="62">
        <f t="shared" si="3464"/>
        <v>1</v>
      </c>
      <c r="K1732" s="62">
        <f t="shared" si="3464"/>
        <v>1</v>
      </c>
      <c r="L1732" s="62">
        <f t="shared" si="3464"/>
        <v>1</v>
      </c>
      <c r="M1732" s="62">
        <f t="shared" si="3464"/>
        <v>1</v>
      </c>
      <c r="N1732" s="62">
        <f t="shared" si="3464"/>
        <v>1</v>
      </c>
      <c r="O1732" s="62">
        <f t="shared" si="3464"/>
        <v>1</v>
      </c>
      <c r="P1732" s="62" t="str">
        <f t="shared" si="3464"/>
        <v/>
      </c>
      <c r="Q1732" s="62" t="str">
        <f t="shared" si="3464"/>
        <v/>
      </c>
      <c r="R1732" s="62">
        <f t="shared" si="7"/>
        <v>0</v>
      </c>
      <c r="S1732" s="62"/>
      <c r="T1732" s="62"/>
      <c r="U1732" s="62"/>
      <c r="V1732" s="62"/>
      <c r="W1732" s="62"/>
      <c r="X1732" s="62"/>
      <c r="Y1732" s="62"/>
      <c r="Z1732" s="62"/>
      <c r="AA1732" s="62"/>
      <c r="AB1732" s="62"/>
      <c r="AC1732" s="62"/>
    </row>
    <row r="1733">
      <c r="A1733" s="60">
        <f>IFERROR(__xludf.DUMMYFUNCTION("""COMPUTED_VALUE"""),16520.0)</f>
        <v>16520</v>
      </c>
      <c r="B1733" s="60" t="str">
        <f>IFERROR(__xludf.DUMMYFUNCTION("""COMPUTED_VALUE"""),"Durden, Cory")</f>
        <v>Durden, Cory</v>
      </c>
      <c r="C1733" s="60" t="str">
        <f>IFERROR(__xludf.DUMMYFUNCTION("""COMPUTED_VALUE"""),"DT")</f>
        <v>DT</v>
      </c>
      <c r="D1733" s="60" t="str">
        <f>IFERROR(__xludf.DUMMYFUNCTION("""COMPUTED_VALUE"""),"NEP")</f>
        <v>NEP</v>
      </c>
      <c r="E1733" s="62" t="str">
        <f t="shared" si="4"/>
        <v>Cory Durden</v>
      </c>
      <c r="F1733" s="62">
        <f t="shared" ref="F1733:G1733" si="3465">IF(isblank(F$1),,IF(isblank($A1733),,IFERROR(vlookup($A1733,indirect("'TVC-"&amp;text(month(F$1),"00")&amp;"'!$A:$D"),4,false),1)))</f>
        <v>1</v>
      </c>
      <c r="G1733" s="62">
        <f t="shared" si="3465"/>
        <v>1</v>
      </c>
      <c r="H1733" s="62">
        <f t="shared" ref="H1733:Q1733" si="3466">IF(isblank(H$1),,IFERROR(vlookup($A1733,indirect("'TVC-"&amp;text(month(H$1),"00")&amp;"'!$A:$D"),4,false),1))</f>
        <v>1</v>
      </c>
      <c r="I1733" s="62">
        <f t="shared" si="3466"/>
        <v>1</v>
      </c>
      <c r="J1733" s="62">
        <f t="shared" si="3466"/>
        <v>1</v>
      </c>
      <c r="K1733" s="62">
        <f t="shared" si="3466"/>
        <v>1</v>
      </c>
      <c r="L1733" s="62">
        <f t="shared" si="3466"/>
        <v>1</v>
      </c>
      <c r="M1733" s="62">
        <f t="shared" si="3466"/>
        <v>1</v>
      </c>
      <c r="N1733" s="62">
        <f t="shared" si="3466"/>
        <v>1</v>
      </c>
      <c r="O1733" s="62">
        <f t="shared" si="3466"/>
        <v>1</v>
      </c>
      <c r="P1733" s="62" t="str">
        <f t="shared" si="3466"/>
        <v/>
      </c>
      <c r="Q1733" s="62" t="str">
        <f t="shared" si="3466"/>
        <v/>
      </c>
      <c r="R1733" s="62">
        <f t="shared" si="7"/>
        <v>0</v>
      </c>
      <c r="S1733" s="62"/>
      <c r="T1733" s="62"/>
      <c r="U1733" s="62"/>
      <c r="V1733" s="62"/>
      <c r="W1733" s="62"/>
      <c r="X1733" s="62"/>
      <c r="Y1733" s="62"/>
      <c r="Z1733" s="62"/>
      <c r="AA1733" s="62"/>
      <c r="AB1733" s="62"/>
      <c r="AC1733" s="62"/>
    </row>
    <row r="1734">
      <c r="A1734" s="60">
        <f>IFERROR(__xludf.DUMMYFUNCTION("""COMPUTED_VALUE"""),16523.0)</f>
        <v>16523</v>
      </c>
      <c r="B1734" s="60" t="str">
        <f>IFERROR(__xludf.DUMMYFUNCTION("""COMPUTED_VALUE"""),"Wright, Owen")</f>
        <v>Wright, Owen</v>
      </c>
      <c r="C1734" s="60" t="str">
        <f>IFERROR(__xludf.DUMMYFUNCTION("""COMPUTED_VALUE"""),"RB")</f>
        <v>RB</v>
      </c>
      <c r="D1734" s="60" t="str">
        <f>IFERROR(__xludf.DUMMYFUNCTION("""COMPUTED_VALUE"""),"LVR")</f>
        <v>LVR</v>
      </c>
      <c r="E1734" s="62" t="str">
        <f t="shared" si="4"/>
        <v>Owen Wright</v>
      </c>
      <c r="F1734" s="62">
        <f t="shared" ref="F1734:G1734" si="3467">IF(isblank(F$1),,IF(isblank($A1734),,IFERROR(vlookup($A1734,indirect("'TVC-"&amp;text(month(F$1),"00")&amp;"'!$A:$D"),4,false),1)))</f>
        <v>1</v>
      </c>
      <c r="G1734" s="62">
        <f t="shared" si="3467"/>
        <v>1</v>
      </c>
      <c r="H1734" s="62">
        <f t="shared" ref="H1734:Q1734" si="3468">IF(isblank(H$1),,IFERROR(vlookup($A1734,indirect("'TVC-"&amp;text(month(H$1),"00")&amp;"'!$A:$D"),4,false),1))</f>
        <v>1</v>
      </c>
      <c r="I1734" s="62">
        <f t="shared" si="3468"/>
        <v>1</v>
      </c>
      <c r="J1734" s="62">
        <f t="shared" si="3468"/>
        <v>1</v>
      </c>
      <c r="K1734" s="62">
        <f t="shared" si="3468"/>
        <v>1</v>
      </c>
      <c r="L1734" s="62">
        <f t="shared" si="3468"/>
        <v>1</v>
      </c>
      <c r="M1734" s="62">
        <f t="shared" si="3468"/>
        <v>1</v>
      </c>
      <c r="N1734" s="62">
        <f t="shared" si="3468"/>
        <v>1</v>
      </c>
      <c r="O1734" s="62">
        <f t="shared" si="3468"/>
        <v>1</v>
      </c>
      <c r="P1734" s="62" t="str">
        <f t="shared" si="3468"/>
        <v/>
      </c>
      <c r="Q1734" s="62" t="str">
        <f t="shared" si="3468"/>
        <v/>
      </c>
      <c r="R1734" s="62">
        <f t="shared" si="7"/>
        <v>0</v>
      </c>
      <c r="S1734" s="62"/>
      <c r="T1734" s="62"/>
      <c r="U1734" s="62"/>
      <c r="V1734" s="62"/>
      <c r="W1734" s="62"/>
      <c r="X1734" s="62"/>
      <c r="Y1734" s="62"/>
      <c r="Z1734" s="62"/>
      <c r="AA1734" s="62"/>
      <c r="AB1734" s="62"/>
      <c r="AC1734" s="62"/>
    </row>
    <row r="1735">
      <c r="A1735" s="60">
        <f>IFERROR(__xludf.DUMMYFUNCTION("""COMPUTED_VALUE"""),16527.0)</f>
        <v>16527</v>
      </c>
      <c r="B1735" s="60" t="str">
        <f>IFERROR(__xludf.DUMMYFUNCTION("""COMPUTED_VALUE"""),"VanSumeren, Ben")</f>
        <v>VanSumeren, Ben</v>
      </c>
      <c r="C1735" s="60" t="str">
        <f>IFERROR(__xludf.DUMMYFUNCTION("""COMPUTED_VALUE"""),"LB")</f>
        <v>LB</v>
      </c>
      <c r="D1735" s="60" t="str">
        <f>IFERROR(__xludf.DUMMYFUNCTION("""COMPUTED_VALUE"""),"KCC")</f>
        <v>KCC</v>
      </c>
      <c r="E1735" s="62" t="str">
        <f t="shared" si="4"/>
        <v>Ben VanSumeren</v>
      </c>
      <c r="F1735" s="62">
        <f t="shared" ref="F1735:G1735" si="3469">IF(isblank(F$1),,IF(isblank($A1735),,IFERROR(vlookup($A1735,indirect("'TVC-"&amp;text(month(F$1),"00")&amp;"'!$A:$D"),4,false),1)))</f>
        <v>1</v>
      </c>
      <c r="G1735" s="62">
        <f t="shared" si="3469"/>
        <v>1</v>
      </c>
      <c r="H1735" s="62">
        <f t="shared" ref="H1735:Q1735" si="3470">IF(isblank(H$1),,IFERROR(vlookup($A1735,indirect("'TVC-"&amp;text(month(H$1),"00")&amp;"'!$A:$D"),4,false),1))</f>
        <v>1</v>
      </c>
      <c r="I1735" s="62">
        <f t="shared" si="3470"/>
        <v>1</v>
      </c>
      <c r="J1735" s="62">
        <f t="shared" si="3470"/>
        <v>1</v>
      </c>
      <c r="K1735" s="62">
        <f t="shared" si="3470"/>
        <v>1</v>
      </c>
      <c r="L1735" s="62">
        <f t="shared" si="3470"/>
        <v>1</v>
      </c>
      <c r="M1735" s="62">
        <f t="shared" si="3470"/>
        <v>1</v>
      </c>
      <c r="N1735" s="62">
        <f t="shared" si="3470"/>
        <v>1</v>
      </c>
      <c r="O1735" s="62">
        <f t="shared" si="3470"/>
        <v>1</v>
      </c>
      <c r="P1735" s="62" t="str">
        <f t="shared" si="3470"/>
        <v/>
      </c>
      <c r="Q1735" s="62" t="str">
        <f t="shared" si="3470"/>
        <v/>
      </c>
      <c r="R1735" s="62">
        <f t="shared" si="7"/>
        <v>0</v>
      </c>
      <c r="S1735" s="62"/>
      <c r="T1735" s="62"/>
      <c r="U1735" s="62"/>
      <c r="V1735" s="62"/>
      <c r="W1735" s="62"/>
      <c r="X1735" s="62"/>
      <c r="Y1735" s="62"/>
      <c r="Z1735" s="62"/>
      <c r="AA1735" s="62"/>
      <c r="AB1735" s="62"/>
      <c r="AC1735" s="62"/>
    </row>
    <row r="1736">
      <c r="A1736" s="60">
        <f>IFERROR(__xludf.DUMMYFUNCTION("""COMPUTED_VALUE"""),16529.0)</f>
        <v>16529</v>
      </c>
      <c r="B1736" s="60" t="str">
        <f>IFERROR(__xludf.DUMMYFUNCTION("""COMPUTED_VALUE"""),"Leota, Eku")</f>
        <v>Leota, Eku</v>
      </c>
      <c r="C1736" s="60" t="str">
        <f>IFERROR(__xludf.DUMMYFUNCTION("""COMPUTED_VALUE"""),"LB")</f>
        <v>LB</v>
      </c>
      <c r="D1736" s="60" t="str">
        <f>IFERROR(__xludf.DUMMYFUNCTION("""COMPUTED_VALUE"""),"ARI")</f>
        <v>ARI</v>
      </c>
      <c r="E1736" s="62" t="str">
        <f t="shared" si="4"/>
        <v>Eku Leota</v>
      </c>
      <c r="F1736" s="62">
        <f t="shared" ref="F1736:G1736" si="3471">IF(isblank(F$1),,IF(isblank($A1736),,IFERROR(vlookup($A1736,indirect("'TVC-"&amp;text(month(F$1),"00")&amp;"'!$A:$D"),4,false),1)))</f>
        <v>1</v>
      </c>
      <c r="G1736" s="62">
        <f t="shared" si="3471"/>
        <v>1</v>
      </c>
      <c r="H1736" s="62">
        <f t="shared" ref="H1736:Q1736" si="3472">IF(isblank(H$1),,IFERROR(vlookup($A1736,indirect("'TVC-"&amp;text(month(H$1),"00")&amp;"'!$A:$D"),4,false),1))</f>
        <v>1</v>
      </c>
      <c r="I1736" s="62">
        <f t="shared" si="3472"/>
        <v>1</v>
      </c>
      <c r="J1736" s="62">
        <f t="shared" si="3472"/>
        <v>1</v>
      </c>
      <c r="K1736" s="62">
        <f t="shared" si="3472"/>
        <v>1</v>
      </c>
      <c r="L1736" s="62">
        <f t="shared" si="3472"/>
        <v>1</v>
      </c>
      <c r="M1736" s="62">
        <f t="shared" si="3472"/>
        <v>1</v>
      </c>
      <c r="N1736" s="62">
        <f t="shared" si="3472"/>
        <v>1</v>
      </c>
      <c r="O1736" s="62">
        <f t="shared" si="3472"/>
        <v>1</v>
      </c>
      <c r="P1736" s="62" t="str">
        <f t="shared" si="3472"/>
        <v/>
      </c>
      <c r="Q1736" s="62" t="str">
        <f t="shared" si="3472"/>
        <v/>
      </c>
      <c r="R1736" s="62">
        <f t="shared" si="7"/>
        <v>0</v>
      </c>
      <c r="S1736" s="62"/>
      <c r="T1736" s="62"/>
      <c r="U1736" s="62"/>
      <c r="V1736" s="62"/>
      <c r="W1736" s="62"/>
      <c r="X1736" s="62"/>
      <c r="Y1736" s="62"/>
      <c r="Z1736" s="62"/>
      <c r="AA1736" s="62"/>
      <c r="AB1736" s="62"/>
      <c r="AC1736" s="62"/>
    </row>
    <row r="1737">
      <c r="A1737" s="60">
        <f>IFERROR(__xludf.DUMMYFUNCTION("""COMPUTED_VALUE"""),16532.0)</f>
        <v>16532</v>
      </c>
      <c r="B1737" s="60" t="str">
        <f>IFERROR(__xludf.DUMMYFUNCTION("""COMPUTED_VALUE"""),"Nowaske, Trevor")</f>
        <v>Nowaske, Trevor</v>
      </c>
      <c r="C1737" s="60" t="str">
        <f>IFERROR(__xludf.DUMMYFUNCTION("""COMPUTED_VALUE"""),"LB")</f>
        <v>LB</v>
      </c>
      <c r="D1737" s="60" t="str">
        <f>IFERROR(__xludf.DUMMYFUNCTION("""COMPUTED_VALUE"""),"DET")</f>
        <v>DET</v>
      </c>
      <c r="E1737" s="62" t="str">
        <f t="shared" si="4"/>
        <v>Trevor Nowaske</v>
      </c>
      <c r="F1737" s="62">
        <f t="shared" ref="F1737:G1737" si="3473">IF(isblank(F$1),,IF(isblank($A1737),,IFERROR(vlookup($A1737,indirect("'TVC-"&amp;text(month(F$1),"00")&amp;"'!$A:$D"),4,false),1)))</f>
        <v>1</v>
      </c>
      <c r="G1737" s="62">
        <f t="shared" si="3473"/>
        <v>1</v>
      </c>
      <c r="H1737" s="62">
        <f t="shared" ref="H1737:Q1737" si="3474">IF(isblank(H$1),,IFERROR(vlookup($A1737,indirect("'TVC-"&amp;text(month(H$1),"00")&amp;"'!$A:$D"),4,false),1))</f>
        <v>1</v>
      </c>
      <c r="I1737" s="62">
        <f t="shared" si="3474"/>
        <v>1</v>
      </c>
      <c r="J1737" s="62">
        <f t="shared" si="3474"/>
        <v>1</v>
      </c>
      <c r="K1737" s="62">
        <f t="shared" si="3474"/>
        <v>1</v>
      </c>
      <c r="L1737" s="62">
        <f t="shared" si="3474"/>
        <v>1</v>
      </c>
      <c r="M1737" s="62">
        <f t="shared" si="3474"/>
        <v>1</v>
      </c>
      <c r="N1737" s="62">
        <f t="shared" si="3474"/>
        <v>1</v>
      </c>
      <c r="O1737" s="62">
        <f t="shared" si="3474"/>
        <v>1</v>
      </c>
      <c r="P1737" s="62" t="str">
        <f t="shared" si="3474"/>
        <v/>
      </c>
      <c r="Q1737" s="62" t="str">
        <f t="shared" si="3474"/>
        <v/>
      </c>
      <c r="R1737" s="62">
        <f t="shared" si="7"/>
        <v>0</v>
      </c>
      <c r="S1737" s="62"/>
      <c r="T1737" s="62"/>
      <c r="U1737" s="62"/>
      <c r="V1737" s="62"/>
      <c r="W1737" s="62"/>
      <c r="X1737" s="62"/>
      <c r="Y1737" s="62"/>
      <c r="Z1737" s="62"/>
      <c r="AA1737" s="62"/>
      <c r="AB1737" s="62"/>
      <c r="AC1737" s="62"/>
    </row>
    <row r="1738">
      <c r="A1738" s="60">
        <f>IFERROR(__xludf.DUMMYFUNCTION("""COMPUTED_VALUE"""),16533.0)</f>
        <v>16533</v>
      </c>
      <c r="B1738" s="60" t="str">
        <f>IFERROR(__xludf.DUMMYFUNCTION("""COMPUTED_VALUE"""),"Jackson, Shedrick")</f>
        <v>Jackson, Shedrick</v>
      </c>
      <c r="C1738" s="60" t="str">
        <f>IFERROR(__xludf.DUMMYFUNCTION("""COMPUTED_VALUE"""),"WR")</f>
        <v>WR</v>
      </c>
      <c r="D1738" s="60" t="str">
        <f>IFERROR(__xludf.DUMMYFUNCTION("""COMPUTED_VALUE"""),"ARI")</f>
        <v>ARI</v>
      </c>
      <c r="E1738" s="62" t="str">
        <f t="shared" si="4"/>
        <v>Shedrick Jackson</v>
      </c>
      <c r="F1738" s="62">
        <f t="shared" ref="F1738:G1738" si="3475">IF(isblank(F$1),,IF(isblank($A1738),,IFERROR(vlookup($A1738,indirect("'TVC-"&amp;text(month(F$1),"00")&amp;"'!$A:$D"),4,false),1)))</f>
        <v>1</v>
      </c>
      <c r="G1738" s="62">
        <f t="shared" si="3475"/>
        <v>1</v>
      </c>
      <c r="H1738" s="62">
        <f t="shared" ref="H1738:Q1738" si="3476">IF(isblank(H$1),,IFERROR(vlookup($A1738,indirect("'TVC-"&amp;text(month(H$1),"00")&amp;"'!$A:$D"),4,false),1))</f>
        <v>1</v>
      </c>
      <c r="I1738" s="62">
        <f t="shared" si="3476"/>
        <v>1</v>
      </c>
      <c r="J1738" s="62">
        <f t="shared" si="3476"/>
        <v>1</v>
      </c>
      <c r="K1738" s="62">
        <f t="shared" si="3476"/>
        <v>1</v>
      </c>
      <c r="L1738" s="62">
        <f t="shared" si="3476"/>
        <v>1</v>
      </c>
      <c r="M1738" s="62">
        <f t="shared" si="3476"/>
        <v>1</v>
      </c>
      <c r="N1738" s="62">
        <f t="shared" si="3476"/>
        <v>1</v>
      </c>
      <c r="O1738" s="62">
        <f t="shared" si="3476"/>
        <v>1</v>
      </c>
      <c r="P1738" s="62" t="str">
        <f t="shared" si="3476"/>
        <v/>
      </c>
      <c r="Q1738" s="62" t="str">
        <f t="shared" si="3476"/>
        <v/>
      </c>
      <c r="R1738" s="62">
        <f t="shared" si="7"/>
        <v>0</v>
      </c>
      <c r="S1738" s="62"/>
      <c r="T1738" s="62"/>
      <c r="U1738" s="62"/>
      <c r="V1738" s="62"/>
      <c r="W1738" s="62"/>
      <c r="X1738" s="62"/>
      <c r="Y1738" s="62"/>
      <c r="Z1738" s="62"/>
      <c r="AA1738" s="62"/>
      <c r="AB1738" s="62"/>
      <c r="AC1738" s="62"/>
    </row>
    <row r="1739" hidden="1">
      <c r="A1739" s="60">
        <f>IFERROR(__xludf.DUMMYFUNCTION("""COMPUTED_VALUE"""),16553.0)</f>
        <v>16553</v>
      </c>
      <c r="B1739" s="60" t="str">
        <f>IFERROR(__xludf.DUMMYFUNCTION("""COMPUTED_VALUE"""),"Mustipher, P.J.")</f>
        <v>Mustipher, P.J.</v>
      </c>
      <c r="C1739" s="60" t="str">
        <f>IFERROR(__xludf.DUMMYFUNCTION("""COMPUTED_VALUE"""),"DT")</f>
        <v>DT</v>
      </c>
      <c r="D1739" s="60" t="str">
        <f>IFERROR(__xludf.DUMMYFUNCTION("""COMPUTED_VALUE"""),"FA")</f>
        <v>FA</v>
      </c>
      <c r="E1739" s="62" t="str">
        <f t="shared" si="4"/>
        <v>P.J. Mustipher</v>
      </c>
      <c r="F1739" s="62">
        <f t="shared" ref="F1739:G1739" si="3477">IF(isblank(F$1),,IF(isblank($A1739),,IFERROR(vlookup($A1739,indirect("'TVC-"&amp;text(month(F$1),"00")&amp;"'!$A:$D"),4,false),1)))</f>
        <v>1</v>
      </c>
      <c r="G1739" s="62">
        <f t="shared" si="3477"/>
        <v>1</v>
      </c>
      <c r="H1739" s="62">
        <f t="shared" ref="H1739:Q1739" si="3478">IF(isblank(H$1),,IFERROR(vlookup($A1739,indirect("'TVC-"&amp;text(month(H$1),"00")&amp;"'!$A:$D"),4,false),1))</f>
        <v>1</v>
      </c>
      <c r="I1739" s="62">
        <f t="shared" si="3478"/>
        <v>1</v>
      </c>
      <c r="J1739" s="62">
        <f t="shared" si="3478"/>
        <v>1</v>
      </c>
      <c r="K1739" s="62">
        <f t="shared" si="3478"/>
        <v>1</v>
      </c>
      <c r="L1739" s="62">
        <f t="shared" si="3478"/>
        <v>1</v>
      </c>
      <c r="M1739" s="62">
        <f t="shared" si="3478"/>
        <v>1</v>
      </c>
      <c r="N1739" s="62">
        <f t="shared" si="3478"/>
        <v>1</v>
      </c>
      <c r="O1739" s="62">
        <f t="shared" si="3478"/>
        <v>1</v>
      </c>
      <c r="P1739" s="62" t="str">
        <f t="shared" si="3478"/>
        <v/>
      </c>
      <c r="Q1739" s="62" t="str">
        <f t="shared" si="3478"/>
        <v/>
      </c>
      <c r="R1739" s="62">
        <f t="shared" si="7"/>
        <v>0</v>
      </c>
      <c r="S1739" s="62"/>
      <c r="T1739" s="62"/>
      <c r="U1739" s="62"/>
      <c r="V1739" s="62"/>
      <c r="W1739" s="62"/>
      <c r="X1739" s="62"/>
      <c r="Y1739" s="62"/>
      <c r="Z1739" s="62"/>
      <c r="AA1739" s="62"/>
      <c r="AB1739" s="62"/>
      <c r="AC1739" s="62"/>
    </row>
    <row r="1740">
      <c r="A1740" s="60">
        <f>IFERROR(__xludf.DUMMYFUNCTION("""COMPUTED_VALUE"""),16556.0)</f>
        <v>16556</v>
      </c>
      <c r="B1740" s="60" t="str">
        <f>IFERROR(__xludf.DUMMYFUNCTION("""COMPUTED_VALUE"""),"Bonner, Ethan")</f>
        <v>Bonner, Ethan</v>
      </c>
      <c r="C1740" s="60" t="str">
        <f>IFERROR(__xludf.DUMMYFUNCTION("""COMPUTED_VALUE"""),"CB")</f>
        <v>CB</v>
      </c>
      <c r="D1740" s="60" t="str">
        <f>IFERROR(__xludf.DUMMYFUNCTION("""COMPUTED_VALUE"""),"MIA")</f>
        <v>MIA</v>
      </c>
      <c r="E1740" s="62" t="str">
        <f t="shared" si="4"/>
        <v>Ethan Bonner</v>
      </c>
      <c r="F1740" s="62">
        <f t="shared" ref="F1740:G1740" si="3479">IF(isblank(F$1),,IF(isblank($A1740),,IFERROR(vlookup($A1740,indirect("'TVC-"&amp;text(month(F$1),"00")&amp;"'!$A:$D"),4,false),1)))</f>
        <v>1</v>
      </c>
      <c r="G1740" s="62">
        <f t="shared" si="3479"/>
        <v>1</v>
      </c>
      <c r="H1740" s="62">
        <f t="shared" ref="H1740:Q1740" si="3480">IF(isblank(H$1),,IFERROR(vlookup($A1740,indirect("'TVC-"&amp;text(month(H$1),"00")&amp;"'!$A:$D"),4,false),1))</f>
        <v>1</v>
      </c>
      <c r="I1740" s="62">
        <f t="shared" si="3480"/>
        <v>1</v>
      </c>
      <c r="J1740" s="62">
        <f t="shared" si="3480"/>
        <v>1</v>
      </c>
      <c r="K1740" s="62">
        <f t="shared" si="3480"/>
        <v>1</v>
      </c>
      <c r="L1740" s="62">
        <f t="shared" si="3480"/>
        <v>1</v>
      </c>
      <c r="M1740" s="62">
        <f t="shared" si="3480"/>
        <v>1</v>
      </c>
      <c r="N1740" s="62">
        <f t="shared" si="3480"/>
        <v>1</v>
      </c>
      <c r="O1740" s="62">
        <f t="shared" si="3480"/>
        <v>1</v>
      </c>
      <c r="P1740" s="62" t="str">
        <f t="shared" si="3480"/>
        <v/>
      </c>
      <c r="Q1740" s="62" t="str">
        <f t="shared" si="3480"/>
        <v/>
      </c>
      <c r="R1740" s="62">
        <f t="shared" si="7"/>
        <v>0</v>
      </c>
      <c r="S1740" s="62"/>
      <c r="T1740" s="62"/>
      <c r="U1740" s="62"/>
      <c r="V1740" s="62"/>
      <c r="W1740" s="62"/>
      <c r="X1740" s="62"/>
      <c r="Y1740" s="62"/>
      <c r="Z1740" s="62"/>
      <c r="AA1740" s="62"/>
      <c r="AB1740" s="62"/>
      <c r="AC1740" s="62"/>
    </row>
    <row r="1741">
      <c r="A1741" s="60">
        <f>IFERROR(__xludf.DUMMYFUNCTION("""COMPUTED_VALUE"""),16557.0)</f>
        <v>16557</v>
      </c>
      <c r="B1741" s="60" t="str">
        <f>IFERROR(__xludf.DUMMYFUNCTION("""COMPUTED_VALUE"""),"Fisk, Tucker")</f>
        <v>Fisk, Tucker</v>
      </c>
      <c r="C1741" s="60" t="str">
        <f>IFERROR(__xludf.DUMMYFUNCTION("""COMPUTED_VALUE"""),"TE")</f>
        <v>TE</v>
      </c>
      <c r="D1741" s="60" t="str">
        <f>IFERROR(__xludf.DUMMYFUNCTION("""COMPUTED_VALUE"""),"LAC")</f>
        <v>LAC</v>
      </c>
      <c r="E1741" s="62" t="str">
        <f t="shared" si="4"/>
        <v>Tucker Fisk</v>
      </c>
      <c r="F1741" s="62">
        <f t="shared" ref="F1741:G1741" si="3481">IF(isblank(F$1),,IF(isblank($A1741),,IFERROR(vlookup($A1741,indirect("'TVC-"&amp;text(month(F$1),"00")&amp;"'!$A:$D"),4,false),1)))</f>
        <v>1</v>
      </c>
      <c r="G1741" s="62">
        <f t="shared" si="3481"/>
        <v>1</v>
      </c>
      <c r="H1741" s="62">
        <f t="shared" ref="H1741:Q1741" si="3482">IF(isblank(H$1),,IFERROR(vlookup($A1741,indirect("'TVC-"&amp;text(month(H$1),"00")&amp;"'!$A:$D"),4,false),1))</f>
        <v>1</v>
      </c>
      <c r="I1741" s="62">
        <f t="shared" si="3482"/>
        <v>1</v>
      </c>
      <c r="J1741" s="62">
        <f t="shared" si="3482"/>
        <v>1</v>
      </c>
      <c r="K1741" s="62">
        <f t="shared" si="3482"/>
        <v>1</v>
      </c>
      <c r="L1741" s="62">
        <f t="shared" si="3482"/>
        <v>1</v>
      </c>
      <c r="M1741" s="62">
        <f t="shared" si="3482"/>
        <v>1</v>
      </c>
      <c r="N1741" s="62">
        <f t="shared" si="3482"/>
        <v>1</v>
      </c>
      <c r="O1741" s="62">
        <f t="shared" si="3482"/>
        <v>1</v>
      </c>
      <c r="P1741" s="62" t="str">
        <f t="shared" si="3482"/>
        <v/>
      </c>
      <c r="Q1741" s="62" t="str">
        <f t="shared" si="3482"/>
        <v/>
      </c>
      <c r="R1741" s="62">
        <f t="shared" si="7"/>
        <v>0</v>
      </c>
      <c r="S1741" s="62"/>
      <c r="T1741" s="62"/>
      <c r="U1741" s="62"/>
      <c r="V1741" s="62"/>
      <c r="W1741" s="62"/>
      <c r="X1741" s="62"/>
      <c r="Y1741" s="62"/>
      <c r="Z1741" s="62"/>
      <c r="AA1741" s="62"/>
      <c r="AB1741" s="62"/>
      <c r="AC1741" s="62"/>
    </row>
    <row r="1742">
      <c r="A1742" s="60">
        <f>IFERROR(__xludf.DUMMYFUNCTION("""COMPUTED_VALUE"""),16571.0)</f>
        <v>16571</v>
      </c>
      <c r="B1742" s="60" t="str">
        <f>IFERROR(__xludf.DUMMYFUNCTION("""COMPUTED_VALUE"""),"McCollum, Tristin")</f>
        <v>McCollum, Tristin</v>
      </c>
      <c r="C1742" s="60" t="str">
        <f>IFERROR(__xludf.DUMMYFUNCTION("""COMPUTED_VALUE"""),"S")</f>
        <v>S</v>
      </c>
      <c r="D1742" s="60" t="str">
        <f>IFERROR(__xludf.DUMMYFUNCTION("""COMPUTED_VALUE"""),"LVR")</f>
        <v>LVR</v>
      </c>
      <c r="E1742" s="62" t="str">
        <f t="shared" si="4"/>
        <v>Tristin McCollum</v>
      </c>
      <c r="F1742" s="62">
        <f t="shared" ref="F1742:G1742" si="3483">IF(isblank(F$1),,IF(isblank($A1742),,IFERROR(vlookup($A1742,indirect("'TVC-"&amp;text(month(F$1),"00")&amp;"'!$A:$D"),4,false),1)))</f>
        <v>1</v>
      </c>
      <c r="G1742" s="62">
        <f t="shared" si="3483"/>
        <v>1</v>
      </c>
      <c r="H1742" s="62">
        <f t="shared" ref="H1742:Q1742" si="3484">IF(isblank(H$1),,IFERROR(vlookup($A1742,indirect("'TVC-"&amp;text(month(H$1),"00")&amp;"'!$A:$D"),4,false),1))</f>
        <v>1</v>
      </c>
      <c r="I1742" s="62">
        <f t="shared" si="3484"/>
        <v>1</v>
      </c>
      <c r="J1742" s="62">
        <f t="shared" si="3484"/>
        <v>1</v>
      </c>
      <c r="K1742" s="62">
        <f t="shared" si="3484"/>
        <v>1</v>
      </c>
      <c r="L1742" s="62">
        <f t="shared" si="3484"/>
        <v>1</v>
      </c>
      <c r="M1742" s="62">
        <f t="shared" si="3484"/>
        <v>1</v>
      </c>
      <c r="N1742" s="62">
        <f t="shared" si="3484"/>
        <v>1</v>
      </c>
      <c r="O1742" s="62">
        <f t="shared" si="3484"/>
        <v>1</v>
      </c>
      <c r="P1742" s="62" t="str">
        <f t="shared" si="3484"/>
        <v/>
      </c>
      <c r="Q1742" s="62" t="str">
        <f t="shared" si="3484"/>
        <v/>
      </c>
      <c r="R1742" s="62">
        <f t="shared" si="7"/>
        <v>0</v>
      </c>
      <c r="S1742" s="62"/>
      <c r="T1742" s="62"/>
      <c r="U1742" s="62"/>
      <c r="V1742" s="62"/>
      <c r="W1742" s="62"/>
      <c r="X1742" s="62"/>
      <c r="Y1742" s="62"/>
      <c r="Z1742" s="62"/>
      <c r="AA1742" s="62"/>
      <c r="AB1742" s="62"/>
      <c r="AC1742" s="62"/>
    </row>
    <row r="1743" hidden="1">
      <c r="A1743" s="60">
        <f>IFERROR(__xludf.DUMMYFUNCTION("""COMPUTED_VALUE"""),16572.0)</f>
        <v>16572</v>
      </c>
      <c r="B1743" s="60" t="str">
        <f>IFERROR(__xludf.DUMMYFUNCTION("""COMPUTED_VALUE"""),"Okada, Ty")</f>
        <v>Okada, Ty</v>
      </c>
      <c r="C1743" s="60" t="str">
        <f>IFERROR(__xludf.DUMMYFUNCTION("""COMPUTED_VALUE"""),"S")</f>
        <v>S</v>
      </c>
      <c r="D1743" s="60" t="str">
        <f>IFERROR(__xludf.DUMMYFUNCTION("""COMPUTED_VALUE"""),"SEA")</f>
        <v>SEA</v>
      </c>
      <c r="E1743" s="62" t="str">
        <f t="shared" si="4"/>
        <v>Ty Okada</v>
      </c>
      <c r="F1743" s="62">
        <f t="shared" ref="F1743:G1743" si="3485">IF(isblank(F$1),,IF(isblank($A1743),,IFERROR(vlookup($A1743,indirect("'TVC-"&amp;text(month(F$1),"00")&amp;"'!$A:$D"),4,false),1)))</f>
        <v>1</v>
      </c>
      <c r="G1743" s="62">
        <f t="shared" si="3485"/>
        <v>1</v>
      </c>
      <c r="H1743" s="62">
        <f t="shared" ref="H1743:Q1743" si="3486">IF(isblank(H$1),,IFERROR(vlookup($A1743,indirect("'TVC-"&amp;text(month(H$1),"00")&amp;"'!$A:$D"),4,false),1))</f>
        <v>1</v>
      </c>
      <c r="I1743" s="62">
        <f t="shared" si="3486"/>
        <v>1</v>
      </c>
      <c r="J1743" s="62">
        <f t="shared" si="3486"/>
        <v>1</v>
      </c>
      <c r="K1743" s="62">
        <f t="shared" si="3486"/>
        <v>1</v>
      </c>
      <c r="L1743" s="62">
        <f t="shared" si="3486"/>
        <v>1</v>
      </c>
      <c r="M1743" s="62">
        <f t="shared" si="3486"/>
        <v>1</v>
      </c>
      <c r="N1743" s="62">
        <f t="shared" si="3486"/>
        <v>1</v>
      </c>
      <c r="O1743" s="62">
        <f t="shared" si="3486"/>
        <v>1</v>
      </c>
      <c r="P1743" s="62" t="str">
        <f t="shared" si="3486"/>
        <v/>
      </c>
      <c r="Q1743" s="62" t="str">
        <f t="shared" si="3486"/>
        <v/>
      </c>
      <c r="R1743" s="62">
        <f t="shared" si="7"/>
        <v>0</v>
      </c>
      <c r="S1743" s="62"/>
      <c r="T1743" s="62"/>
      <c r="U1743" s="62"/>
      <c r="V1743" s="62"/>
      <c r="W1743" s="62"/>
      <c r="X1743" s="62"/>
      <c r="Y1743" s="62"/>
      <c r="Z1743" s="62"/>
      <c r="AA1743" s="62"/>
      <c r="AB1743" s="62"/>
      <c r="AC1743" s="62"/>
    </row>
    <row r="1744">
      <c r="A1744" s="60">
        <f>IFERROR(__xludf.DUMMYFUNCTION("""COMPUTED_VALUE"""),16577.0)</f>
        <v>16577</v>
      </c>
      <c r="B1744" s="60" t="str">
        <f>IFERROR(__xludf.DUMMYFUNCTION("""COMPUTED_VALUE"""),"Canales, Dave")</f>
        <v>Canales, Dave</v>
      </c>
      <c r="C1744" s="60" t="str">
        <f>IFERROR(__xludf.DUMMYFUNCTION("""COMPUTED_VALUE"""),"Coach")</f>
        <v>Coach</v>
      </c>
      <c r="D1744" s="60" t="str">
        <f>IFERROR(__xludf.DUMMYFUNCTION("""COMPUTED_VALUE"""),"CAR")</f>
        <v>CAR</v>
      </c>
      <c r="E1744" s="62" t="str">
        <f t="shared" si="4"/>
        <v>Dave Canales</v>
      </c>
      <c r="F1744" s="62">
        <f t="shared" ref="F1744:G1744" si="3487">IF(isblank(F$1),,IF(isblank($A1744),,IFERROR(vlookup($A1744,indirect("'TVC-"&amp;text(month(F$1),"00")&amp;"'!$A:$D"),4,false),1)))</f>
        <v>1</v>
      </c>
      <c r="G1744" s="62">
        <f t="shared" si="3487"/>
        <v>1</v>
      </c>
      <c r="H1744" s="62">
        <f t="shared" ref="H1744:Q1744" si="3488">IF(isblank(H$1),,IFERROR(vlookup($A1744,indirect("'TVC-"&amp;text(month(H$1),"00")&amp;"'!$A:$D"),4,false),1))</f>
        <v>1</v>
      </c>
      <c r="I1744" s="62">
        <f t="shared" si="3488"/>
        <v>1</v>
      </c>
      <c r="J1744" s="62">
        <f t="shared" si="3488"/>
        <v>1</v>
      </c>
      <c r="K1744" s="62">
        <f t="shared" si="3488"/>
        <v>1</v>
      </c>
      <c r="L1744" s="62">
        <f t="shared" si="3488"/>
        <v>1</v>
      </c>
      <c r="M1744" s="62">
        <f t="shared" si="3488"/>
        <v>1</v>
      </c>
      <c r="N1744" s="62">
        <f t="shared" si="3488"/>
        <v>1</v>
      </c>
      <c r="O1744" s="62">
        <f t="shared" si="3488"/>
        <v>1</v>
      </c>
      <c r="P1744" s="62" t="str">
        <f t="shared" si="3488"/>
        <v/>
      </c>
      <c r="Q1744" s="62" t="str">
        <f t="shared" si="3488"/>
        <v/>
      </c>
      <c r="R1744" s="62">
        <f t="shared" si="7"/>
        <v>0</v>
      </c>
      <c r="S1744" s="62"/>
      <c r="T1744" s="62"/>
      <c r="U1744" s="62"/>
      <c r="V1744" s="62"/>
      <c r="W1744" s="62"/>
      <c r="X1744" s="62"/>
      <c r="Y1744" s="62"/>
      <c r="Z1744" s="62"/>
      <c r="AA1744" s="62"/>
      <c r="AB1744" s="62"/>
      <c r="AC1744" s="62"/>
    </row>
    <row r="1745">
      <c r="A1745" s="60">
        <f>IFERROR(__xludf.DUMMYFUNCTION("""COMPUTED_VALUE"""),16578.0)</f>
        <v>16578</v>
      </c>
      <c r="B1745" s="60" t="str">
        <f>IFERROR(__xludf.DUMMYFUNCTION("""COMPUTED_VALUE"""),"Macdonald, Mike")</f>
        <v>Macdonald, Mike</v>
      </c>
      <c r="C1745" s="60" t="str">
        <f>IFERROR(__xludf.DUMMYFUNCTION("""COMPUTED_VALUE"""),"Coach")</f>
        <v>Coach</v>
      </c>
      <c r="D1745" s="60" t="str">
        <f>IFERROR(__xludf.DUMMYFUNCTION("""COMPUTED_VALUE"""),"SEA")</f>
        <v>SEA</v>
      </c>
      <c r="E1745" s="62" t="str">
        <f t="shared" si="4"/>
        <v>Mike Macdonald</v>
      </c>
      <c r="F1745" s="62">
        <f t="shared" ref="F1745:G1745" si="3489">IF(isblank(F$1),,IF(isblank($A1745),,IFERROR(vlookup($A1745,indirect("'TVC-"&amp;text(month(F$1),"00")&amp;"'!$A:$D"),4,false),1)))</f>
        <v>1</v>
      </c>
      <c r="G1745" s="62">
        <f t="shared" si="3489"/>
        <v>1</v>
      </c>
      <c r="H1745" s="62">
        <f t="shared" ref="H1745:Q1745" si="3490">IF(isblank(H$1),,IFERROR(vlookup($A1745,indirect("'TVC-"&amp;text(month(H$1),"00")&amp;"'!$A:$D"),4,false),1))</f>
        <v>1</v>
      </c>
      <c r="I1745" s="62">
        <f t="shared" si="3490"/>
        <v>1</v>
      </c>
      <c r="J1745" s="62">
        <f t="shared" si="3490"/>
        <v>1</v>
      </c>
      <c r="K1745" s="62">
        <f t="shared" si="3490"/>
        <v>1</v>
      </c>
      <c r="L1745" s="62">
        <f t="shared" si="3490"/>
        <v>1</v>
      </c>
      <c r="M1745" s="62">
        <f t="shared" si="3490"/>
        <v>1</v>
      </c>
      <c r="N1745" s="62">
        <f t="shared" si="3490"/>
        <v>1</v>
      </c>
      <c r="O1745" s="62">
        <f t="shared" si="3490"/>
        <v>1</v>
      </c>
      <c r="P1745" s="62" t="str">
        <f t="shared" si="3490"/>
        <v/>
      </c>
      <c r="Q1745" s="62" t="str">
        <f t="shared" si="3490"/>
        <v/>
      </c>
      <c r="R1745" s="62">
        <f t="shared" si="7"/>
        <v>0</v>
      </c>
      <c r="S1745" s="62"/>
      <c r="T1745" s="62"/>
      <c r="U1745" s="62"/>
      <c r="V1745" s="62"/>
      <c r="W1745" s="62"/>
      <c r="X1745" s="62"/>
      <c r="Y1745" s="62"/>
      <c r="Z1745" s="62"/>
      <c r="AA1745" s="62"/>
      <c r="AB1745" s="62"/>
      <c r="AC1745" s="62"/>
    </row>
    <row r="1746">
      <c r="A1746" s="60">
        <f>IFERROR(__xludf.DUMMYFUNCTION("""COMPUTED_VALUE"""),16579.0)</f>
        <v>16579</v>
      </c>
      <c r="B1746" s="60" t="str">
        <f>IFERROR(__xludf.DUMMYFUNCTION("""COMPUTED_VALUE"""),"Williams, Caleb")</f>
        <v>Williams, Caleb</v>
      </c>
      <c r="C1746" s="60" t="str">
        <f>IFERROR(__xludf.DUMMYFUNCTION("""COMPUTED_VALUE"""),"QB")</f>
        <v>QB</v>
      </c>
      <c r="D1746" s="60" t="str">
        <f>IFERROR(__xludf.DUMMYFUNCTION("""COMPUTED_VALUE"""),"CHI")</f>
        <v>CHI</v>
      </c>
      <c r="E1746" s="62" t="str">
        <f t="shared" si="4"/>
        <v>Caleb Williams</v>
      </c>
      <c r="F1746" s="62">
        <f t="shared" ref="F1746:G1746" si="3491">IF(isblank(F$1),,IF(isblank($A1746),,IFERROR(vlookup($A1746,indirect("'TVC-"&amp;text(month(F$1),"00")&amp;"'!$A:$D"),4,false),1)))</f>
        <v>7074</v>
      </c>
      <c r="G1746" s="62">
        <f t="shared" si="3491"/>
        <v>7599</v>
      </c>
      <c r="H1746" s="62">
        <f t="shared" ref="H1746:Q1746" si="3492">IF(isblank(H$1),,IFERROR(vlookup($A1746,indirect("'TVC-"&amp;text(month(H$1),"00")&amp;"'!$A:$D"),4,false),1))</f>
        <v>7666</v>
      </c>
      <c r="I1746" s="62">
        <f t="shared" si="3492"/>
        <v>7752</v>
      </c>
      <c r="J1746" s="62">
        <f t="shared" si="3492"/>
        <v>7796</v>
      </c>
      <c r="K1746" s="62">
        <f t="shared" si="3492"/>
        <v>7945</v>
      </c>
      <c r="L1746" s="62">
        <f t="shared" si="3492"/>
        <v>8035</v>
      </c>
      <c r="M1746" s="62">
        <f t="shared" si="3492"/>
        <v>7834</v>
      </c>
      <c r="N1746" s="62">
        <f t="shared" si="3492"/>
        <v>7817</v>
      </c>
      <c r="O1746" s="62">
        <f t="shared" si="3492"/>
        <v>1</v>
      </c>
      <c r="P1746" s="62" t="str">
        <f t="shared" si="3492"/>
        <v/>
      </c>
      <c r="Q1746" s="62" t="str">
        <f t="shared" si="3492"/>
        <v/>
      </c>
      <c r="R1746" s="62">
        <f t="shared" si="7"/>
        <v>-7816</v>
      </c>
      <c r="S1746" s="62"/>
      <c r="T1746" s="62"/>
      <c r="U1746" s="62"/>
      <c r="V1746" s="62"/>
      <c r="W1746" s="62"/>
      <c r="X1746" s="62"/>
      <c r="Y1746" s="62"/>
      <c r="Z1746" s="62"/>
      <c r="AA1746" s="62"/>
      <c r="AB1746" s="62"/>
      <c r="AC1746" s="62"/>
    </row>
    <row r="1747" hidden="1">
      <c r="A1747" s="60">
        <f>IFERROR(__xludf.DUMMYFUNCTION("""COMPUTED_VALUE"""),16580.0)</f>
        <v>16580</v>
      </c>
      <c r="B1747" s="60" t="str">
        <f>IFERROR(__xludf.DUMMYFUNCTION("""COMPUTED_VALUE"""),"Maye, Drake")</f>
        <v>Maye, Drake</v>
      </c>
      <c r="C1747" s="60" t="str">
        <f>IFERROR(__xludf.DUMMYFUNCTION("""COMPUTED_VALUE"""),"QB")</f>
        <v>QB</v>
      </c>
      <c r="D1747" s="60" t="str">
        <f>IFERROR(__xludf.DUMMYFUNCTION("""COMPUTED_VALUE"""),"NEP")</f>
        <v>NEP</v>
      </c>
      <c r="E1747" s="62" t="str">
        <f t="shared" si="4"/>
        <v>Drake Maye</v>
      </c>
      <c r="F1747" s="62">
        <f t="shared" ref="F1747:G1747" si="3493">IF(isblank(F$1),,IF(isblank($A1747),,IFERROR(vlookup($A1747,indirect("'TVC-"&amp;text(month(F$1),"00")&amp;"'!$A:$D"),4,false),1)))</f>
        <v>9999</v>
      </c>
      <c r="G1747" s="62">
        <f t="shared" si="3493"/>
        <v>9714</v>
      </c>
      <c r="H1747" s="62">
        <f t="shared" ref="H1747:Q1747" si="3494">IF(isblank(H$1),,IFERROR(vlookup($A1747,indirect("'TVC-"&amp;text(month(H$1),"00")&amp;"'!$A:$D"),4,false),1))</f>
        <v>9607</v>
      </c>
      <c r="I1747" s="62">
        <f t="shared" si="3494"/>
        <v>9367</v>
      </c>
      <c r="J1747" s="62">
        <f t="shared" si="3494"/>
        <v>9504</v>
      </c>
      <c r="K1747" s="62">
        <f t="shared" si="3494"/>
        <v>9386</v>
      </c>
      <c r="L1747" s="62">
        <f t="shared" si="3494"/>
        <v>9437</v>
      </c>
      <c r="M1747" s="62">
        <f t="shared" si="3494"/>
        <v>9252</v>
      </c>
      <c r="N1747" s="62">
        <f t="shared" si="3494"/>
        <v>8898</v>
      </c>
      <c r="O1747" s="62">
        <f t="shared" si="3494"/>
        <v>1</v>
      </c>
      <c r="P1747" s="62" t="str">
        <f t="shared" si="3494"/>
        <v/>
      </c>
      <c r="Q1747" s="62" t="str">
        <f t="shared" si="3494"/>
        <v/>
      </c>
      <c r="R1747" s="62">
        <f t="shared" si="7"/>
        <v>-8897</v>
      </c>
      <c r="S1747" s="62"/>
      <c r="T1747" s="62"/>
      <c r="U1747" s="62"/>
      <c r="V1747" s="62"/>
      <c r="W1747" s="62"/>
      <c r="X1747" s="62"/>
      <c r="Y1747" s="62"/>
      <c r="Z1747" s="62"/>
      <c r="AA1747" s="62"/>
      <c r="AB1747" s="62"/>
      <c r="AC1747" s="62"/>
    </row>
    <row r="1748">
      <c r="A1748" s="60">
        <f>IFERROR(__xludf.DUMMYFUNCTION("""COMPUTED_VALUE"""),16581.0)</f>
        <v>16581</v>
      </c>
      <c r="B1748" s="60" t="str">
        <f>IFERROR(__xludf.DUMMYFUNCTION("""COMPUTED_VALUE"""),"Daniels, Jayden")</f>
        <v>Daniels, Jayden</v>
      </c>
      <c r="C1748" s="60" t="str">
        <f>IFERROR(__xludf.DUMMYFUNCTION("""COMPUTED_VALUE"""),"QB")</f>
        <v>QB</v>
      </c>
      <c r="D1748" s="60" t="str">
        <f>IFERROR(__xludf.DUMMYFUNCTION("""COMPUTED_VALUE"""),"WAS")</f>
        <v>WAS</v>
      </c>
      <c r="E1748" s="62" t="str">
        <f t="shared" si="4"/>
        <v>Jayden Daniels</v>
      </c>
      <c r="F1748" s="62">
        <f t="shared" ref="F1748:G1748" si="3495">IF(isblank(F$1),,IF(isblank($A1748),,IFERROR(vlookup($A1748,indirect("'TVC-"&amp;text(month(F$1),"00")&amp;"'!$A:$D"),4,false),1)))</f>
        <v>7638</v>
      </c>
      <c r="G1748" s="62">
        <f t="shared" si="3495"/>
        <v>7607</v>
      </c>
      <c r="H1748" s="62">
        <f t="shared" ref="H1748:Q1748" si="3496">IF(isblank(H$1),,IFERROR(vlookup($A1748,indirect("'TVC-"&amp;text(month(H$1),"00")&amp;"'!$A:$D"),4,false),1))</f>
        <v>7612</v>
      </c>
      <c r="I1748" s="62">
        <f t="shared" si="3496"/>
        <v>7751</v>
      </c>
      <c r="J1748" s="62">
        <f t="shared" si="3496"/>
        <v>7866</v>
      </c>
      <c r="K1748" s="62">
        <f t="shared" si="3496"/>
        <v>7848</v>
      </c>
      <c r="L1748" s="62">
        <f t="shared" si="3496"/>
        <v>7816</v>
      </c>
      <c r="M1748" s="62">
        <f t="shared" si="3496"/>
        <v>7629</v>
      </c>
      <c r="N1748" s="62">
        <f t="shared" si="3496"/>
        <v>7267</v>
      </c>
      <c r="O1748" s="62">
        <f t="shared" si="3496"/>
        <v>1</v>
      </c>
      <c r="P1748" s="62" t="str">
        <f t="shared" si="3496"/>
        <v/>
      </c>
      <c r="Q1748" s="62" t="str">
        <f t="shared" si="3496"/>
        <v/>
      </c>
      <c r="R1748" s="62">
        <f t="shared" si="7"/>
        <v>-7266</v>
      </c>
      <c r="S1748" s="62"/>
      <c r="T1748" s="62"/>
      <c r="U1748" s="62"/>
      <c r="V1748" s="62"/>
      <c r="W1748" s="62"/>
      <c r="X1748" s="62"/>
      <c r="Y1748" s="62"/>
      <c r="Z1748" s="62"/>
      <c r="AA1748" s="62"/>
      <c r="AB1748" s="62"/>
      <c r="AC1748" s="62"/>
    </row>
    <row r="1749">
      <c r="A1749" s="60">
        <f>IFERROR(__xludf.DUMMYFUNCTION("""COMPUTED_VALUE"""),16582.0)</f>
        <v>16582</v>
      </c>
      <c r="B1749" s="60" t="str">
        <f>IFERROR(__xludf.DUMMYFUNCTION("""COMPUTED_VALUE"""),"Nix, Bo")</f>
        <v>Nix, Bo</v>
      </c>
      <c r="C1749" s="60" t="str">
        <f>IFERROR(__xludf.DUMMYFUNCTION("""COMPUTED_VALUE"""),"QB")</f>
        <v>QB</v>
      </c>
      <c r="D1749" s="60" t="str">
        <f>IFERROR(__xludf.DUMMYFUNCTION("""COMPUTED_VALUE"""),"DEN")</f>
        <v>DEN</v>
      </c>
      <c r="E1749" s="62" t="str">
        <f t="shared" si="4"/>
        <v>Bo Nix</v>
      </c>
      <c r="F1749" s="62">
        <f t="shared" ref="F1749:G1749" si="3497">IF(isblank(F$1),,IF(isblank($A1749),,IFERROR(vlookup($A1749,indirect("'TVC-"&amp;text(month(F$1),"00")&amp;"'!$A:$D"),4,false),1)))</f>
        <v>6320</v>
      </c>
      <c r="G1749" s="62">
        <f t="shared" si="3497"/>
        <v>6197</v>
      </c>
      <c r="H1749" s="62">
        <f t="shared" ref="H1749:Q1749" si="3498">IF(isblank(H$1),,IFERROR(vlookup($A1749,indirect("'TVC-"&amp;text(month(H$1),"00")&amp;"'!$A:$D"),4,false),1))</f>
        <v>6130</v>
      </c>
      <c r="I1749" s="62">
        <f t="shared" si="3498"/>
        <v>6254</v>
      </c>
      <c r="J1749" s="62">
        <f t="shared" si="3498"/>
        <v>6232</v>
      </c>
      <c r="K1749" s="62">
        <f t="shared" si="3498"/>
        <v>6030</v>
      </c>
      <c r="L1749" s="62">
        <f t="shared" si="3498"/>
        <v>6073</v>
      </c>
      <c r="M1749" s="62">
        <f t="shared" si="3498"/>
        <v>5982</v>
      </c>
      <c r="N1749" s="62">
        <f t="shared" si="3498"/>
        <v>6025</v>
      </c>
      <c r="O1749" s="62">
        <f t="shared" si="3498"/>
        <v>1</v>
      </c>
      <c r="P1749" s="62" t="str">
        <f t="shared" si="3498"/>
        <v/>
      </c>
      <c r="Q1749" s="62" t="str">
        <f t="shared" si="3498"/>
        <v/>
      </c>
      <c r="R1749" s="62">
        <f t="shared" si="7"/>
        <v>-6024</v>
      </c>
      <c r="S1749" s="62"/>
      <c r="T1749" s="62"/>
      <c r="U1749" s="62"/>
      <c r="V1749" s="62"/>
      <c r="W1749" s="62"/>
      <c r="X1749" s="62"/>
      <c r="Y1749" s="62"/>
      <c r="Z1749" s="62"/>
      <c r="AA1749" s="62"/>
      <c r="AB1749" s="62"/>
      <c r="AC1749" s="62"/>
    </row>
    <row r="1750">
      <c r="A1750" s="60">
        <f>IFERROR(__xludf.DUMMYFUNCTION("""COMPUTED_VALUE"""),16583.0)</f>
        <v>16583</v>
      </c>
      <c r="B1750" s="60" t="str">
        <f>IFERROR(__xludf.DUMMYFUNCTION("""COMPUTED_VALUE"""),"Penix Jr., Michael")</f>
        <v>Penix Jr., Michael</v>
      </c>
      <c r="C1750" s="60" t="str">
        <f>IFERROR(__xludf.DUMMYFUNCTION("""COMPUTED_VALUE"""),"QB")</f>
        <v>QB</v>
      </c>
      <c r="D1750" s="60" t="str">
        <f>IFERROR(__xludf.DUMMYFUNCTION("""COMPUTED_VALUE"""),"ATL")</f>
        <v>ATL</v>
      </c>
      <c r="E1750" s="62" t="str">
        <f t="shared" si="4"/>
        <v>Michael Penix Jr.</v>
      </c>
      <c r="F1750" s="62">
        <f t="shared" ref="F1750:G1750" si="3499">IF(isblank(F$1),,IF(isblank($A1750),,IFERROR(vlookup($A1750,indirect("'TVC-"&amp;text(month(F$1),"00")&amp;"'!$A:$D"),4,false),1)))</f>
        <v>3660</v>
      </c>
      <c r="G1750" s="62">
        <f t="shared" si="3499"/>
        <v>3599</v>
      </c>
      <c r="H1750" s="62">
        <f t="shared" ref="H1750:Q1750" si="3500">IF(isblank(H$1),,IFERROR(vlookup($A1750,indirect("'TVC-"&amp;text(month(H$1),"00")&amp;"'!$A:$D"),4,false),1))</f>
        <v>3561</v>
      </c>
      <c r="I1750" s="62">
        <f t="shared" si="3500"/>
        <v>3067</v>
      </c>
      <c r="J1750" s="62">
        <f t="shared" si="3500"/>
        <v>3143</v>
      </c>
      <c r="K1750" s="62">
        <f t="shared" si="3500"/>
        <v>3157</v>
      </c>
      <c r="L1750" s="62">
        <f t="shared" si="3500"/>
        <v>3075</v>
      </c>
      <c r="M1750" s="62">
        <f t="shared" si="3500"/>
        <v>2798</v>
      </c>
      <c r="N1750" s="62">
        <f t="shared" si="3500"/>
        <v>2767</v>
      </c>
      <c r="O1750" s="62">
        <f t="shared" si="3500"/>
        <v>1</v>
      </c>
      <c r="P1750" s="62" t="str">
        <f t="shared" si="3500"/>
        <v/>
      </c>
      <c r="Q1750" s="62" t="str">
        <f t="shared" si="3500"/>
        <v/>
      </c>
      <c r="R1750" s="62">
        <f t="shared" si="7"/>
        <v>-2766</v>
      </c>
      <c r="S1750" s="62"/>
      <c r="T1750" s="62"/>
      <c r="U1750" s="62"/>
      <c r="V1750" s="62"/>
      <c r="W1750" s="62"/>
      <c r="X1750" s="62"/>
      <c r="Y1750" s="62"/>
      <c r="Z1750" s="62"/>
      <c r="AA1750" s="62"/>
      <c r="AB1750" s="62"/>
      <c r="AC1750" s="62"/>
    </row>
    <row r="1751">
      <c r="A1751" s="60">
        <f>IFERROR(__xludf.DUMMYFUNCTION("""COMPUTED_VALUE"""),16584.0)</f>
        <v>16584</v>
      </c>
      <c r="B1751" s="60" t="str">
        <f>IFERROR(__xludf.DUMMYFUNCTION("""COMPUTED_VALUE"""),"McCarthy, J.J.")</f>
        <v>McCarthy, J.J.</v>
      </c>
      <c r="C1751" s="60" t="str">
        <f>IFERROR(__xludf.DUMMYFUNCTION("""COMPUTED_VALUE"""),"QB")</f>
        <v>QB</v>
      </c>
      <c r="D1751" s="60" t="str">
        <f>IFERROR(__xludf.DUMMYFUNCTION("""COMPUTED_VALUE"""),"NYG")</f>
        <v>NYG</v>
      </c>
      <c r="E1751" s="62" t="str">
        <f t="shared" si="4"/>
        <v>J.J. McCarthy</v>
      </c>
      <c r="F1751" s="62">
        <f t="shared" ref="F1751:G1751" si="3501">IF(isblank(F$1),,IF(isblank($A1751),,IFERROR(vlookup($A1751,indirect("'TVC-"&amp;text(month(F$1),"00")&amp;"'!$A:$D"),4,false),1)))</f>
        <v>3668</v>
      </c>
      <c r="G1751" s="62">
        <f t="shared" si="3501"/>
        <v>3535</v>
      </c>
      <c r="H1751" s="62">
        <f t="shared" ref="H1751:Q1751" si="3502">IF(isblank(H$1),,IFERROR(vlookup($A1751,indirect("'TVC-"&amp;text(month(H$1),"00")&amp;"'!$A:$D"),4,false),1))</f>
        <v>3509</v>
      </c>
      <c r="I1751" s="62">
        <f t="shared" si="3502"/>
        <v>2903</v>
      </c>
      <c r="J1751" s="62">
        <f t="shared" si="3502"/>
        <v>2949</v>
      </c>
      <c r="K1751" s="62">
        <f t="shared" si="3502"/>
        <v>2853</v>
      </c>
      <c r="L1751" s="62">
        <f t="shared" si="3502"/>
        <v>2733</v>
      </c>
      <c r="M1751" s="62">
        <f t="shared" si="3502"/>
        <v>2633</v>
      </c>
      <c r="N1751" s="62">
        <f t="shared" si="3502"/>
        <v>2109</v>
      </c>
      <c r="O1751" s="62">
        <f t="shared" si="3502"/>
        <v>1</v>
      </c>
      <c r="P1751" s="62" t="str">
        <f t="shared" si="3502"/>
        <v/>
      </c>
      <c r="Q1751" s="62" t="str">
        <f t="shared" si="3502"/>
        <v/>
      </c>
      <c r="R1751" s="62">
        <f t="shared" si="7"/>
        <v>-2108</v>
      </c>
      <c r="S1751" s="62"/>
      <c r="T1751" s="62"/>
      <c r="U1751" s="62"/>
      <c r="V1751" s="62"/>
      <c r="W1751" s="62"/>
      <c r="X1751" s="62"/>
      <c r="Y1751" s="62"/>
      <c r="Z1751" s="62"/>
      <c r="AA1751" s="62"/>
      <c r="AB1751" s="62"/>
      <c r="AC1751" s="62"/>
    </row>
    <row r="1752">
      <c r="A1752" s="60">
        <f>IFERROR(__xludf.DUMMYFUNCTION("""COMPUTED_VALUE"""),16585.0)</f>
        <v>16585</v>
      </c>
      <c r="B1752" s="60" t="str">
        <f>IFERROR(__xludf.DUMMYFUNCTION("""COMPUTED_VALUE"""),"Milton, Joe")</f>
        <v>Milton, Joe</v>
      </c>
      <c r="C1752" s="60" t="str">
        <f>IFERROR(__xludf.DUMMYFUNCTION("""COMPUTED_VALUE"""),"QB")</f>
        <v>QB</v>
      </c>
      <c r="D1752" s="60" t="str">
        <f>IFERROR(__xludf.DUMMYFUNCTION("""COMPUTED_VALUE"""),"PHI")</f>
        <v>PHI</v>
      </c>
      <c r="E1752" s="62" t="str">
        <f t="shared" si="4"/>
        <v>Joe Milton</v>
      </c>
      <c r="F1752" s="62">
        <f t="shared" ref="F1752:G1752" si="3503">IF(isblank(F$1),,IF(isblank($A1752),,IFERROR(vlookup($A1752,indirect("'TVC-"&amp;text(month(F$1),"00")&amp;"'!$A:$D"),4,false),1)))</f>
        <v>1712</v>
      </c>
      <c r="G1752" s="62">
        <f t="shared" si="3503"/>
        <v>1747</v>
      </c>
      <c r="H1752" s="62">
        <f t="shared" ref="H1752:Q1752" si="3504">IF(isblank(H$1),,IFERROR(vlookup($A1752,indirect("'TVC-"&amp;text(month(H$1),"00")&amp;"'!$A:$D"),4,false),1))</f>
        <v>1814</v>
      </c>
      <c r="I1752" s="62">
        <f t="shared" si="3504"/>
        <v>1838</v>
      </c>
      <c r="J1752" s="62">
        <f t="shared" si="3504"/>
        <v>1687</v>
      </c>
      <c r="K1752" s="62">
        <f t="shared" si="3504"/>
        <v>1707</v>
      </c>
      <c r="L1752" s="62">
        <f t="shared" si="3504"/>
        <v>1695</v>
      </c>
      <c r="M1752" s="62">
        <f t="shared" si="3504"/>
        <v>1597</v>
      </c>
      <c r="N1752" s="62">
        <f t="shared" si="3504"/>
        <v>1689</v>
      </c>
      <c r="O1752" s="62">
        <f t="shared" si="3504"/>
        <v>1</v>
      </c>
      <c r="P1752" s="62" t="str">
        <f t="shared" si="3504"/>
        <v/>
      </c>
      <c r="Q1752" s="62" t="str">
        <f t="shared" si="3504"/>
        <v/>
      </c>
      <c r="R1752" s="62">
        <f t="shared" si="7"/>
        <v>-1688</v>
      </c>
      <c r="S1752" s="62"/>
      <c r="T1752" s="62"/>
      <c r="U1752" s="62"/>
      <c r="V1752" s="62"/>
      <c r="W1752" s="62"/>
      <c r="X1752" s="62"/>
      <c r="Y1752" s="62"/>
      <c r="Z1752" s="62"/>
      <c r="AA1752" s="62"/>
      <c r="AB1752" s="62"/>
      <c r="AC1752" s="62"/>
    </row>
    <row r="1753">
      <c r="A1753" s="60">
        <f>IFERROR(__xludf.DUMMYFUNCTION("""COMPUTED_VALUE"""),16586.0)</f>
        <v>16586</v>
      </c>
      <c r="B1753" s="60" t="str">
        <f>IFERROR(__xludf.DUMMYFUNCTION("""COMPUTED_VALUE"""),"Rattler, Spencer")</f>
        <v>Rattler, Spencer</v>
      </c>
      <c r="C1753" s="60" t="str">
        <f>IFERROR(__xludf.DUMMYFUNCTION("""COMPUTED_VALUE"""),"QB")</f>
        <v>QB</v>
      </c>
      <c r="D1753" s="60" t="str">
        <f>IFERROR(__xludf.DUMMYFUNCTION("""COMPUTED_VALUE"""),"NOS")</f>
        <v>NOS</v>
      </c>
      <c r="E1753" s="62" t="str">
        <f t="shared" si="4"/>
        <v>Spencer Rattler</v>
      </c>
      <c r="F1753" s="62">
        <f t="shared" ref="F1753:G1753" si="3505">IF(isblank(F$1),,IF(isblank($A1753),,IFERROR(vlookup($A1753,indirect("'TVC-"&amp;text(month(F$1),"00")&amp;"'!$A:$D"),4,false),1)))</f>
        <v>1661</v>
      </c>
      <c r="G1753" s="62">
        <f t="shared" si="3505"/>
        <v>1697</v>
      </c>
      <c r="H1753" s="62">
        <f t="shared" ref="H1753:Q1753" si="3506">IF(isblank(H$1),,IFERROR(vlookup($A1753,indirect("'TVC-"&amp;text(month(H$1),"00")&amp;"'!$A:$D"),4,false),1))</f>
        <v>1743</v>
      </c>
      <c r="I1753" s="62">
        <f t="shared" si="3506"/>
        <v>1811</v>
      </c>
      <c r="J1753" s="62">
        <f t="shared" si="3506"/>
        <v>1717</v>
      </c>
      <c r="K1753" s="62">
        <f t="shared" si="3506"/>
        <v>1653</v>
      </c>
      <c r="L1753" s="62">
        <f t="shared" si="3506"/>
        <v>1582</v>
      </c>
      <c r="M1753" s="62">
        <f t="shared" si="3506"/>
        <v>1461</v>
      </c>
      <c r="N1753" s="62">
        <f t="shared" si="3506"/>
        <v>1401</v>
      </c>
      <c r="O1753" s="62">
        <f t="shared" si="3506"/>
        <v>1</v>
      </c>
      <c r="P1753" s="62" t="str">
        <f t="shared" si="3506"/>
        <v/>
      </c>
      <c r="Q1753" s="62" t="str">
        <f t="shared" si="3506"/>
        <v/>
      </c>
      <c r="R1753" s="62">
        <f t="shared" si="7"/>
        <v>-1400</v>
      </c>
      <c r="S1753" s="62"/>
      <c r="T1753" s="62"/>
      <c r="U1753" s="62"/>
      <c r="V1753" s="62"/>
      <c r="W1753" s="62"/>
      <c r="X1753" s="62"/>
      <c r="Y1753" s="62"/>
      <c r="Z1753" s="62"/>
      <c r="AA1753" s="62"/>
      <c r="AB1753" s="62"/>
      <c r="AC1753" s="62"/>
    </row>
    <row r="1754">
      <c r="A1754" s="60">
        <f>IFERROR(__xludf.DUMMYFUNCTION("""COMPUTED_VALUE"""),16587.0)</f>
        <v>16587</v>
      </c>
      <c r="B1754" s="60" t="str">
        <f>IFERROR(__xludf.DUMMYFUNCTION("""COMPUTED_VALUE"""),"Hartman, Sam")</f>
        <v>Hartman, Sam</v>
      </c>
      <c r="C1754" s="60" t="str">
        <f>IFERROR(__xludf.DUMMYFUNCTION("""COMPUTED_VALUE"""),"QB")</f>
        <v>QB</v>
      </c>
      <c r="D1754" s="60" t="str">
        <f>IFERROR(__xludf.DUMMYFUNCTION("""COMPUTED_VALUE"""),"WAS")</f>
        <v>WAS</v>
      </c>
      <c r="E1754" s="62" t="str">
        <f t="shared" si="4"/>
        <v>Sam Hartman</v>
      </c>
      <c r="F1754" s="62">
        <f t="shared" ref="F1754:G1754" si="3507">IF(isblank(F$1),,IF(isblank($A1754),,IFERROR(vlookup($A1754,indirect("'TVC-"&amp;text(month(F$1),"00")&amp;"'!$A:$D"),4,false),1)))</f>
        <v>1</v>
      </c>
      <c r="G1754" s="62">
        <f t="shared" si="3507"/>
        <v>1</v>
      </c>
      <c r="H1754" s="62">
        <f t="shared" ref="H1754:Q1754" si="3508">IF(isblank(H$1),,IFERROR(vlookup($A1754,indirect("'TVC-"&amp;text(month(H$1),"00")&amp;"'!$A:$D"),4,false),1))</f>
        <v>1</v>
      </c>
      <c r="I1754" s="62">
        <f t="shared" si="3508"/>
        <v>1</v>
      </c>
      <c r="J1754" s="62">
        <f t="shared" si="3508"/>
        <v>1</v>
      </c>
      <c r="K1754" s="62">
        <f t="shared" si="3508"/>
        <v>1</v>
      </c>
      <c r="L1754" s="62">
        <f t="shared" si="3508"/>
        <v>1</v>
      </c>
      <c r="M1754" s="62">
        <f t="shared" si="3508"/>
        <v>1</v>
      </c>
      <c r="N1754" s="62">
        <f t="shared" si="3508"/>
        <v>1</v>
      </c>
      <c r="O1754" s="62">
        <f t="shared" si="3508"/>
        <v>1</v>
      </c>
      <c r="P1754" s="62" t="str">
        <f t="shared" si="3508"/>
        <v/>
      </c>
      <c r="Q1754" s="62" t="str">
        <f t="shared" si="3508"/>
        <v/>
      </c>
      <c r="R1754" s="62">
        <f t="shared" si="7"/>
        <v>0</v>
      </c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</row>
    <row r="1755">
      <c r="A1755" s="60">
        <f>IFERROR(__xludf.DUMMYFUNCTION("""COMPUTED_VALUE"""),16593.0)</f>
        <v>16593</v>
      </c>
      <c r="B1755" s="60" t="str">
        <f>IFERROR(__xludf.DUMMYFUNCTION("""COMPUTED_VALUE"""),"Corum, Blake")</f>
        <v>Corum, Blake</v>
      </c>
      <c r="C1755" s="60" t="str">
        <f>IFERROR(__xludf.DUMMYFUNCTION("""COMPUTED_VALUE"""),"RB")</f>
        <v>RB</v>
      </c>
      <c r="D1755" s="60" t="str">
        <f>IFERROR(__xludf.DUMMYFUNCTION("""COMPUTED_VALUE"""),"LAR")</f>
        <v>LAR</v>
      </c>
      <c r="E1755" s="62" t="str">
        <f t="shared" si="4"/>
        <v>Blake Corum</v>
      </c>
      <c r="F1755" s="62">
        <f t="shared" ref="F1755:G1755" si="3509">IF(isblank(F$1),,IF(isblank($A1755),,IFERROR(vlookup($A1755,indirect("'TVC-"&amp;text(month(F$1),"00")&amp;"'!$A:$D"),4,false),1)))</f>
        <v>3377</v>
      </c>
      <c r="G1755" s="62">
        <f t="shared" si="3509"/>
        <v>3495</v>
      </c>
      <c r="H1755" s="62">
        <f t="shared" ref="H1755:Q1755" si="3510">IF(isblank(H$1),,IFERROR(vlookup($A1755,indirect("'TVC-"&amp;text(month(H$1),"00")&amp;"'!$A:$D"),4,false),1))</f>
        <v>3499</v>
      </c>
      <c r="I1755" s="62">
        <f t="shared" si="3510"/>
        <v>3258</v>
      </c>
      <c r="J1755" s="62">
        <f t="shared" si="3510"/>
        <v>3186</v>
      </c>
      <c r="K1755" s="62">
        <f t="shared" si="3510"/>
        <v>3285</v>
      </c>
      <c r="L1755" s="62">
        <f t="shared" si="3510"/>
        <v>3355</v>
      </c>
      <c r="M1755" s="62">
        <f t="shared" si="3510"/>
        <v>3441</v>
      </c>
      <c r="N1755" s="62">
        <f t="shared" si="3510"/>
        <v>3463</v>
      </c>
      <c r="O1755" s="62">
        <f t="shared" si="3510"/>
        <v>1</v>
      </c>
      <c r="P1755" s="62" t="str">
        <f t="shared" si="3510"/>
        <v/>
      </c>
      <c r="Q1755" s="62" t="str">
        <f t="shared" si="3510"/>
        <v/>
      </c>
      <c r="R1755" s="62">
        <f t="shared" si="7"/>
        <v>-3462</v>
      </c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</row>
    <row r="1756">
      <c r="A1756" s="60">
        <f>IFERROR(__xludf.DUMMYFUNCTION("""COMPUTED_VALUE"""),16594.0)</f>
        <v>16594</v>
      </c>
      <c r="B1756" s="60" t="str">
        <f>IFERROR(__xludf.DUMMYFUNCTION("""COMPUTED_VALUE"""),"Benson, Trey")</f>
        <v>Benson, Trey</v>
      </c>
      <c r="C1756" s="60" t="str">
        <f>IFERROR(__xludf.DUMMYFUNCTION("""COMPUTED_VALUE"""),"RB")</f>
        <v>RB</v>
      </c>
      <c r="D1756" s="60" t="str">
        <f>IFERROR(__xludf.DUMMYFUNCTION("""COMPUTED_VALUE"""),"ARI")</f>
        <v>ARI</v>
      </c>
      <c r="E1756" s="62" t="str">
        <f t="shared" si="4"/>
        <v>Trey Benson</v>
      </c>
      <c r="F1756" s="62">
        <f t="shared" ref="F1756:G1756" si="3511">IF(isblank(F$1),,IF(isblank($A1756),,IFERROR(vlookup($A1756,indirect("'TVC-"&amp;text(month(F$1),"00")&amp;"'!$A:$D"),4,false),1)))</f>
        <v>3351</v>
      </c>
      <c r="G1756" s="62">
        <f t="shared" si="3511"/>
        <v>3331</v>
      </c>
      <c r="H1756" s="62">
        <f t="shared" ref="H1756:Q1756" si="3512">IF(isblank(H$1),,IFERROR(vlookup($A1756,indirect("'TVC-"&amp;text(month(H$1),"00")&amp;"'!$A:$D"),4,false),1))</f>
        <v>3357</v>
      </c>
      <c r="I1756" s="62">
        <f t="shared" si="3512"/>
        <v>2717</v>
      </c>
      <c r="J1756" s="62">
        <f t="shared" si="3512"/>
        <v>2360</v>
      </c>
      <c r="K1756" s="62">
        <f t="shared" si="3512"/>
        <v>2273</v>
      </c>
      <c r="L1756" s="62">
        <f t="shared" si="3512"/>
        <v>2248</v>
      </c>
      <c r="M1756" s="62">
        <f t="shared" si="3512"/>
        <v>2110</v>
      </c>
      <c r="N1756" s="62">
        <f t="shared" si="3512"/>
        <v>1819</v>
      </c>
      <c r="O1756" s="62">
        <f t="shared" si="3512"/>
        <v>1</v>
      </c>
      <c r="P1756" s="62" t="str">
        <f t="shared" si="3512"/>
        <v/>
      </c>
      <c r="Q1756" s="62" t="str">
        <f t="shared" si="3512"/>
        <v/>
      </c>
      <c r="R1756" s="62">
        <f t="shared" si="7"/>
        <v>-1818</v>
      </c>
      <c r="S1756" s="62"/>
      <c r="T1756" s="62"/>
      <c r="U1756" s="62"/>
      <c r="V1756" s="62"/>
      <c r="W1756" s="62"/>
      <c r="X1756" s="62"/>
      <c r="Y1756" s="62"/>
      <c r="Z1756" s="62"/>
      <c r="AA1756" s="62"/>
      <c r="AB1756" s="62"/>
      <c r="AC1756" s="62"/>
    </row>
    <row r="1757">
      <c r="A1757" s="60">
        <f>IFERROR(__xludf.DUMMYFUNCTION("""COMPUTED_VALUE"""),16595.0)</f>
        <v>16595</v>
      </c>
      <c r="B1757" s="60" t="str">
        <f>IFERROR(__xludf.DUMMYFUNCTION("""COMPUTED_VALUE"""),"Estime, Audric")</f>
        <v>Estime, Audric</v>
      </c>
      <c r="C1757" s="60" t="str">
        <f>IFERROR(__xludf.DUMMYFUNCTION("""COMPUTED_VALUE"""),"RB")</f>
        <v>RB</v>
      </c>
      <c r="D1757" s="60" t="str">
        <f>IFERROR(__xludf.DUMMYFUNCTION("""COMPUTED_VALUE"""),"CLE")</f>
        <v>CLE</v>
      </c>
      <c r="E1757" s="62" t="str">
        <f t="shared" si="4"/>
        <v>Audric Estime</v>
      </c>
      <c r="F1757" s="62">
        <f t="shared" ref="F1757:G1757" si="3513">IF(isblank(F$1),,IF(isblank($A1757),,IFERROR(vlookup($A1757,indirect("'TVC-"&amp;text(month(F$1),"00")&amp;"'!$A:$D"),4,false),1)))</f>
        <v>1639</v>
      </c>
      <c r="G1757" s="62">
        <f t="shared" si="3513"/>
        <v>1838</v>
      </c>
      <c r="H1757" s="62">
        <f t="shared" ref="H1757:Q1757" si="3514">IF(isblank(H$1),,IFERROR(vlookup($A1757,indirect("'TVC-"&amp;text(month(H$1),"00")&amp;"'!$A:$D"),4,false),1))</f>
        <v>1843</v>
      </c>
      <c r="I1757" s="62">
        <f t="shared" si="3514"/>
        <v>1625</v>
      </c>
      <c r="J1757" s="62">
        <f t="shared" si="3514"/>
        <v>1634</v>
      </c>
      <c r="K1757" s="62">
        <f t="shared" si="3514"/>
        <v>1565</v>
      </c>
      <c r="L1757" s="62">
        <f t="shared" si="3514"/>
        <v>1494</v>
      </c>
      <c r="M1757" s="62">
        <f t="shared" si="3514"/>
        <v>1515</v>
      </c>
      <c r="N1757" s="62">
        <f t="shared" si="3514"/>
        <v>1383</v>
      </c>
      <c r="O1757" s="62">
        <f t="shared" si="3514"/>
        <v>1</v>
      </c>
      <c r="P1757" s="62" t="str">
        <f t="shared" si="3514"/>
        <v/>
      </c>
      <c r="Q1757" s="62" t="str">
        <f t="shared" si="3514"/>
        <v/>
      </c>
      <c r="R1757" s="62">
        <f t="shared" si="7"/>
        <v>-1382</v>
      </c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</row>
    <row r="1758">
      <c r="A1758" s="60">
        <f>IFERROR(__xludf.DUMMYFUNCTION("""COMPUTED_VALUE"""),16596.0)</f>
        <v>16596</v>
      </c>
      <c r="B1758" s="60" t="str">
        <f>IFERROR(__xludf.DUMMYFUNCTION("""COMPUTED_VALUE"""),"Allen, Braelon")</f>
        <v>Allen, Braelon</v>
      </c>
      <c r="C1758" s="60" t="str">
        <f>IFERROR(__xludf.DUMMYFUNCTION("""COMPUTED_VALUE"""),"RB")</f>
        <v>RB</v>
      </c>
      <c r="D1758" s="60" t="str">
        <f>IFERROR(__xludf.DUMMYFUNCTION("""COMPUTED_VALUE"""),"NYJ")</f>
        <v>NYJ</v>
      </c>
      <c r="E1758" s="62" t="str">
        <f t="shared" si="4"/>
        <v>Braelon Allen</v>
      </c>
      <c r="F1758" s="62">
        <f t="shared" ref="F1758:G1758" si="3515">IF(isblank(F$1),,IF(isblank($A1758),,IFERROR(vlookup($A1758,indirect("'TVC-"&amp;text(month(F$1),"00")&amp;"'!$A:$D"),4,false),1)))</f>
        <v>2738</v>
      </c>
      <c r="G1758" s="62">
        <f t="shared" si="3515"/>
        <v>2844</v>
      </c>
      <c r="H1758" s="62">
        <f t="shared" ref="H1758:Q1758" si="3516">IF(isblank(H$1),,IFERROR(vlookup($A1758,indirect("'TVC-"&amp;text(month(H$1),"00")&amp;"'!$A:$D"),4,false),1))</f>
        <v>2827</v>
      </c>
      <c r="I1758" s="62">
        <f t="shared" si="3516"/>
        <v>2740</v>
      </c>
      <c r="J1758" s="62">
        <f t="shared" si="3516"/>
        <v>2705</v>
      </c>
      <c r="K1758" s="62">
        <f t="shared" si="3516"/>
        <v>2661</v>
      </c>
      <c r="L1758" s="62">
        <f t="shared" si="3516"/>
        <v>2670</v>
      </c>
      <c r="M1758" s="62">
        <f t="shared" si="3516"/>
        <v>2612</v>
      </c>
      <c r="N1758" s="62">
        <f t="shared" si="3516"/>
        <v>2640</v>
      </c>
      <c r="O1758" s="62">
        <f t="shared" si="3516"/>
        <v>1</v>
      </c>
      <c r="P1758" s="62" t="str">
        <f t="shared" si="3516"/>
        <v/>
      </c>
      <c r="Q1758" s="62" t="str">
        <f t="shared" si="3516"/>
        <v/>
      </c>
      <c r="R1758" s="62">
        <f t="shared" si="7"/>
        <v>-2639</v>
      </c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</row>
    <row r="1759">
      <c r="A1759" s="60">
        <f>IFERROR(__xludf.DUMMYFUNCTION("""COMPUTED_VALUE"""),16597.0)</f>
        <v>16597</v>
      </c>
      <c r="B1759" s="60" t="str">
        <f>IFERROR(__xludf.DUMMYFUNCTION("""COMPUTED_VALUE"""),"Brooks, Jonathon")</f>
        <v>Brooks, Jonathon</v>
      </c>
      <c r="C1759" s="60" t="str">
        <f>IFERROR(__xludf.DUMMYFUNCTION("""COMPUTED_VALUE"""),"RB")</f>
        <v>RB</v>
      </c>
      <c r="D1759" s="60" t="str">
        <f>IFERROR(__xludf.DUMMYFUNCTION("""COMPUTED_VALUE"""),"CAR")</f>
        <v>CAR</v>
      </c>
      <c r="E1759" s="62" t="str">
        <f t="shared" si="4"/>
        <v>Jonathon Brooks</v>
      </c>
      <c r="F1759" s="62">
        <f t="shared" ref="F1759:G1759" si="3517">IF(isblank(F$1),,IF(isblank($A1759),,IFERROR(vlookup($A1759,indirect("'TVC-"&amp;text(month(F$1),"00")&amp;"'!$A:$D"),4,false),1)))</f>
        <v>2376</v>
      </c>
      <c r="G1759" s="62">
        <f t="shared" si="3517"/>
        <v>2692</v>
      </c>
      <c r="H1759" s="62">
        <f t="shared" ref="H1759:Q1759" si="3518">IF(isblank(H$1),,IFERROR(vlookup($A1759,indirect("'TVC-"&amp;text(month(H$1),"00")&amp;"'!$A:$D"),4,false),1))</f>
        <v>2784</v>
      </c>
      <c r="I1759" s="62">
        <f t="shared" si="3518"/>
        <v>2939</v>
      </c>
      <c r="J1759" s="62">
        <f t="shared" si="3518"/>
        <v>3038</v>
      </c>
      <c r="K1759" s="62">
        <f t="shared" si="3518"/>
        <v>3200</v>
      </c>
      <c r="L1759" s="62">
        <f t="shared" si="3518"/>
        <v>3313</v>
      </c>
      <c r="M1759" s="62">
        <f t="shared" si="3518"/>
        <v>3521</v>
      </c>
      <c r="N1759" s="62">
        <f t="shared" si="3518"/>
        <v>3753</v>
      </c>
      <c r="O1759" s="62">
        <f t="shared" si="3518"/>
        <v>1</v>
      </c>
      <c r="P1759" s="62" t="str">
        <f t="shared" si="3518"/>
        <v/>
      </c>
      <c r="Q1759" s="62" t="str">
        <f t="shared" si="3518"/>
        <v/>
      </c>
      <c r="R1759" s="62">
        <f t="shared" si="7"/>
        <v>-3752</v>
      </c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</row>
    <row r="1760">
      <c r="A1760" s="60">
        <f>IFERROR(__xludf.DUMMYFUNCTION("""COMPUTED_VALUE"""),16598.0)</f>
        <v>16598</v>
      </c>
      <c r="B1760" s="60" t="str">
        <f>IFERROR(__xludf.DUMMYFUNCTION("""COMPUTED_VALUE"""),"Irving, Bucky")</f>
        <v>Irving, Bucky</v>
      </c>
      <c r="C1760" s="60" t="str">
        <f>IFERROR(__xludf.DUMMYFUNCTION("""COMPUTED_VALUE"""),"RB")</f>
        <v>RB</v>
      </c>
      <c r="D1760" s="60" t="str">
        <f>IFERROR(__xludf.DUMMYFUNCTION("""COMPUTED_VALUE"""),"TBB")</f>
        <v>TBB</v>
      </c>
      <c r="E1760" s="62" t="str">
        <f t="shared" si="4"/>
        <v>Bucky Irving</v>
      </c>
      <c r="F1760" s="62">
        <f t="shared" ref="F1760:G1760" si="3519">IF(isblank(F$1),,IF(isblank($A1760),,IFERROR(vlookup($A1760,indirect("'TVC-"&amp;text(month(F$1),"00")&amp;"'!$A:$D"),4,false),1)))</f>
        <v>5667</v>
      </c>
      <c r="G1760" s="62">
        <f t="shared" si="3519"/>
        <v>5486</v>
      </c>
      <c r="H1760" s="62">
        <f t="shared" ref="H1760:Q1760" si="3520">IF(isblank(H$1),,IFERROR(vlookup($A1760,indirect("'TVC-"&amp;text(month(H$1),"00")&amp;"'!$A:$D"),4,false),1))</f>
        <v>5466</v>
      </c>
      <c r="I1760" s="62">
        <f t="shared" si="3520"/>
        <v>5093</v>
      </c>
      <c r="J1760" s="62">
        <f t="shared" si="3520"/>
        <v>4931</v>
      </c>
      <c r="K1760" s="62">
        <f t="shared" si="3520"/>
        <v>4823</v>
      </c>
      <c r="L1760" s="62">
        <f t="shared" si="3520"/>
        <v>4722</v>
      </c>
      <c r="M1760" s="62">
        <f t="shared" si="3520"/>
        <v>4695</v>
      </c>
      <c r="N1760" s="62">
        <f t="shared" si="3520"/>
        <v>4611</v>
      </c>
      <c r="O1760" s="62">
        <f t="shared" si="3520"/>
        <v>1</v>
      </c>
      <c r="P1760" s="62" t="str">
        <f t="shared" si="3520"/>
        <v/>
      </c>
      <c r="Q1760" s="62" t="str">
        <f t="shared" si="3520"/>
        <v/>
      </c>
      <c r="R1760" s="62">
        <f t="shared" si="7"/>
        <v>-4610</v>
      </c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</row>
    <row r="1761">
      <c r="A1761" s="60">
        <f>IFERROR(__xludf.DUMMYFUNCTION("""COMPUTED_VALUE"""),16599.0)</f>
        <v>16599</v>
      </c>
      <c r="B1761" s="60" t="str">
        <f>IFERROR(__xludf.DUMMYFUNCTION("""COMPUTED_VALUE"""),"Gore Jr., Frank")</f>
        <v>Gore Jr., Frank</v>
      </c>
      <c r="C1761" s="60" t="str">
        <f>IFERROR(__xludf.DUMMYFUNCTION("""COMPUTED_VALUE"""),"RB")</f>
        <v>RB</v>
      </c>
      <c r="D1761" s="60" t="str">
        <f>IFERROR(__xludf.DUMMYFUNCTION("""COMPUTED_VALUE"""),"BUF")</f>
        <v>BUF</v>
      </c>
      <c r="E1761" s="62" t="str">
        <f t="shared" si="4"/>
        <v>Frank Gore Jr.</v>
      </c>
      <c r="F1761" s="62">
        <f t="shared" ref="F1761:G1761" si="3521">IF(isblank(F$1),,IF(isblank($A1761),,IFERROR(vlookup($A1761,indirect("'TVC-"&amp;text(month(F$1),"00")&amp;"'!$A:$D"),4,false),1)))</f>
        <v>807</v>
      </c>
      <c r="G1761" s="62">
        <f t="shared" si="3521"/>
        <v>894</v>
      </c>
      <c r="H1761" s="62">
        <f t="shared" ref="H1761:Q1761" si="3522">IF(isblank(H$1),,IFERROR(vlookup($A1761,indirect("'TVC-"&amp;text(month(H$1),"00")&amp;"'!$A:$D"),4,false),1))</f>
        <v>888</v>
      </c>
      <c r="I1761" s="62">
        <f t="shared" si="3522"/>
        <v>942</v>
      </c>
      <c r="J1761" s="62">
        <f t="shared" si="3522"/>
        <v>923</v>
      </c>
      <c r="K1761" s="62">
        <f t="shared" si="3522"/>
        <v>868</v>
      </c>
      <c r="L1761" s="62">
        <f t="shared" si="3522"/>
        <v>827</v>
      </c>
      <c r="M1761" s="62">
        <f t="shared" si="3522"/>
        <v>919</v>
      </c>
      <c r="N1761" s="62">
        <f t="shared" si="3522"/>
        <v>975</v>
      </c>
      <c r="O1761" s="62">
        <f t="shared" si="3522"/>
        <v>1</v>
      </c>
      <c r="P1761" s="62" t="str">
        <f t="shared" si="3522"/>
        <v/>
      </c>
      <c r="Q1761" s="62" t="str">
        <f t="shared" si="3522"/>
        <v/>
      </c>
      <c r="R1761" s="62">
        <f t="shared" si="7"/>
        <v>-974</v>
      </c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</row>
    <row r="1762">
      <c r="A1762" s="60">
        <f>IFERROR(__xludf.DUMMYFUNCTION("""COMPUTED_VALUE"""),16600.0)</f>
        <v>16600</v>
      </c>
      <c r="B1762" s="60" t="str">
        <f>IFERROR(__xludf.DUMMYFUNCTION("""COMPUTED_VALUE"""),"Schrader, Cody")</f>
        <v>Schrader, Cody</v>
      </c>
      <c r="C1762" s="60" t="str">
        <f>IFERROR(__xludf.DUMMYFUNCTION("""COMPUTED_VALUE"""),"RB")</f>
        <v>RB</v>
      </c>
      <c r="D1762" s="60" t="str">
        <f>IFERROR(__xludf.DUMMYFUNCTION("""COMPUTED_VALUE"""),"DEN")</f>
        <v>DEN</v>
      </c>
      <c r="E1762" s="62" t="str">
        <f t="shared" si="4"/>
        <v>Cody Schrader</v>
      </c>
      <c r="F1762" s="62">
        <f t="shared" ref="F1762:G1762" si="3523">IF(isblank(F$1),,IF(isblank($A1762),,IFERROR(vlookup($A1762,indirect("'TVC-"&amp;text(month(F$1),"00")&amp;"'!$A:$D"),4,false),1)))</f>
        <v>1</v>
      </c>
      <c r="G1762" s="62">
        <f t="shared" si="3523"/>
        <v>1</v>
      </c>
      <c r="H1762" s="62">
        <f t="shared" ref="H1762:Q1762" si="3524">IF(isblank(H$1),,IFERROR(vlookup($A1762,indirect("'TVC-"&amp;text(month(H$1),"00")&amp;"'!$A:$D"),4,false),1))</f>
        <v>1</v>
      </c>
      <c r="I1762" s="62">
        <f t="shared" si="3524"/>
        <v>1</v>
      </c>
      <c r="J1762" s="62">
        <f t="shared" si="3524"/>
        <v>1</v>
      </c>
      <c r="K1762" s="62">
        <f t="shared" si="3524"/>
        <v>1</v>
      </c>
      <c r="L1762" s="62">
        <f t="shared" si="3524"/>
        <v>1</v>
      </c>
      <c r="M1762" s="62">
        <f t="shared" si="3524"/>
        <v>1</v>
      </c>
      <c r="N1762" s="62">
        <f t="shared" si="3524"/>
        <v>1</v>
      </c>
      <c r="O1762" s="62">
        <f t="shared" si="3524"/>
        <v>1</v>
      </c>
      <c r="P1762" s="62" t="str">
        <f t="shared" si="3524"/>
        <v/>
      </c>
      <c r="Q1762" s="62" t="str">
        <f t="shared" si="3524"/>
        <v/>
      </c>
      <c r="R1762" s="62">
        <f t="shared" si="7"/>
        <v>0</v>
      </c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</row>
    <row r="1763">
      <c r="A1763" s="60">
        <f>IFERROR(__xludf.DUMMYFUNCTION("""COMPUTED_VALUE"""),16601.0)</f>
        <v>16601</v>
      </c>
      <c r="B1763" s="60" t="str">
        <f>IFERROR(__xludf.DUMMYFUNCTION("""COMPUTED_VALUE"""),"Shipley, Will")</f>
        <v>Shipley, Will</v>
      </c>
      <c r="C1763" s="60" t="str">
        <f>IFERROR(__xludf.DUMMYFUNCTION("""COMPUTED_VALUE"""),"RB")</f>
        <v>RB</v>
      </c>
      <c r="D1763" s="60" t="str">
        <f>IFERROR(__xludf.DUMMYFUNCTION("""COMPUTED_VALUE"""),"PHI")</f>
        <v>PHI</v>
      </c>
      <c r="E1763" s="62" t="str">
        <f t="shared" si="4"/>
        <v>Will Shipley</v>
      </c>
      <c r="F1763" s="62">
        <f t="shared" ref="F1763:G1763" si="3525">IF(isblank(F$1),,IF(isblank($A1763),,IFERROR(vlookup($A1763,indirect("'TVC-"&amp;text(month(F$1),"00")&amp;"'!$A:$D"),4,false),1)))</f>
        <v>1775</v>
      </c>
      <c r="G1763" s="62">
        <f t="shared" si="3525"/>
        <v>1687</v>
      </c>
      <c r="H1763" s="62">
        <f t="shared" ref="H1763:Q1763" si="3526">IF(isblank(H$1),,IFERROR(vlookup($A1763,indirect("'TVC-"&amp;text(month(H$1),"00")&amp;"'!$A:$D"),4,false),1))</f>
        <v>1763</v>
      </c>
      <c r="I1763" s="62">
        <f t="shared" si="3526"/>
        <v>1667</v>
      </c>
      <c r="J1763" s="62">
        <f t="shared" si="3526"/>
        <v>1652</v>
      </c>
      <c r="K1763" s="62">
        <f t="shared" si="3526"/>
        <v>1658</v>
      </c>
      <c r="L1763" s="62">
        <f t="shared" si="3526"/>
        <v>1608</v>
      </c>
      <c r="M1763" s="62">
        <f t="shared" si="3526"/>
        <v>1513</v>
      </c>
      <c r="N1763" s="62">
        <f t="shared" si="3526"/>
        <v>1476</v>
      </c>
      <c r="O1763" s="62">
        <f t="shared" si="3526"/>
        <v>1</v>
      </c>
      <c r="P1763" s="62" t="str">
        <f t="shared" si="3526"/>
        <v/>
      </c>
      <c r="Q1763" s="62" t="str">
        <f t="shared" si="3526"/>
        <v/>
      </c>
      <c r="R1763" s="62">
        <f t="shared" si="7"/>
        <v>-1475</v>
      </c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</row>
    <row r="1764">
      <c r="A1764" s="60">
        <f>IFERROR(__xludf.DUMMYFUNCTION("""COMPUTED_VALUE"""),16603.0)</f>
        <v>16603</v>
      </c>
      <c r="B1764" s="60" t="str">
        <f>IFERROR(__xludf.DUMMYFUNCTION("""COMPUTED_VALUE"""),"Davis, Ray")</f>
        <v>Davis, Ray</v>
      </c>
      <c r="C1764" s="60" t="str">
        <f>IFERROR(__xludf.DUMMYFUNCTION("""COMPUTED_VALUE"""),"RB")</f>
        <v>RB</v>
      </c>
      <c r="D1764" s="60" t="str">
        <f>IFERROR(__xludf.DUMMYFUNCTION("""COMPUTED_VALUE"""),"BUF")</f>
        <v>BUF</v>
      </c>
      <c r="E1764" s="62" t="str">
        <f t="shared" si="4"/>
        <v>Ray Davis</v>
      </c>
      <c r="F1764" s="62">
        <f t="shared" ref="F1764:G1764" si="3527">IF(isblank(F$1),,IF(isblank($A1764),,IFERROR(vlookup($A1764,indirect("'TVC-"&amp;text(month(F$1),"00")&amp;"'!$A:$D"),4,false),1)))</f>
        <v>1918</v>
      </c>
      <c r="G1764" s="62">
        <f t="shared" si="3527"/>
        <v>1985</v>
      </c>
      <c r="H1764" s="62">
        <f t="shared" ref="H1764:Q1764" si="3528">IF(isblank(H$1),,IFERROR(vlookup($A1764,indirect("'TVC-"&amp;text(month(H$1),"00")&amp;"'!$A:$D"),4,false),1))</f>
        <v>1977</v>
      </c>
      <c r="I1764" s="62">
        <f t="shared" si="3528"/>
        <v>1974</v>
      </c>
      <c r="J1764" s="62">
        <f t="shared" si="3528"/>
        <v>1954</v>
      </c>
      <c r="K1764" s="62">
        <f t="shared" si="3528"/>
        <v>1974</v>
      </c>
      <c r="L1764" s="62">
        <f t="shared" si="3528"/>
        <v>1971</v>
      </c>
      <c r="M1764" s="62">
        <f t="shared" si="3528"/>
        <v>1927</v>
      </c>
      <c r="N1764" s="62">
        <f t="shared" si="3528"/>
        <v>1985</v>
      </c>
      <c r="O1764" s="62">
        <f t="shared" si="3528"/>
        <v>1</v>
      </c>
      <c r="P1764" s="62" t="str">
        <f t="shared" si="3528"/>
        <v/>
      </c>
      <c r="Q1764" s="62" t="str">
        <f t="shared" si="3528"/>
        <v/>
      </c>
      <c r="R1764" s="62">
        <f t="shared" si="7"/>
        <v>-1984</v>
      </c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</row>
    <row r="1765" hidden="1">
      <c r="A1765" s="60">
        <f>IFERROR(__xludf.DUMMYFUNCTION("""COMPUTED_VALUE"""),16604.0)</f>
        <v>16604</v>
      </c>
      <c r="B1765" s="60" t="str">
        <f>IFERROR(__xludf.DUMMYFUNCTION("""COMPUTED_VALUE"""),"Lloyd, MarShawn")</f>
        <v>Lloyd, MarShawn</v>
      </c>
      <c r="C1765" s="60" t="str">
        <f>IFERROR(__xludf.DUMMYFUNCTION("""COMPUTED_VALUE"""),"RB")</f>
        <v>RB</v>
      </c>
      <c r="D1765" s="60" t="str">
        <f>IFERROR(__xludf.DUMMYFUNCTION("""COMPUTED_VALUE"""),"GBP")</f>
        <v>GBP</v>
      </c>
      <c r="E1765" s="62" t="str">
        <f t="shared" si="4"/>
        <v>MarShawn Lloyd</v>
      </c>
      <c r="F1765" s="62">
        <f t="shared" ref="F1765:G1765" si="3529">IF(isblank(F$1),,IF(isblank($A1765),,IFERROR(vlookup($A1765,indirect("'TVC-"&amp;text(month(F$1),"00")&amp;"'!$A:$D"),4,false),1)))</f>
        <v>1667</v>
      </c>
      <c r="G1765" s="62">
        <f t="shared" si="3529"/>
        <v>1652</v>
      </c>
      <c r="H1765" s="62">
        <f t="shared" ref="H1765:Q1765" si="3530">IF(isblank(H$1),,IFERROR(vlookup($A1765,indirect("'TVC-"&amp;text(month(H$1),"00")&amp;"'!$A:$D"),4,false),1))</f>
        <v>1677</v>
      </c>
      <c r="I1765" s="62">
        <f t="shared" si="3530"/>
        <v>1811</v>
      </c>
      <c r="J1765" s="62">
        <f t="shared" si="3530"/>
        <v>1857</v>
      </c>
      <c r="K1765" s="62">
        <f t="shared" si="3530"/>
        <v>1935</v>
      </c>
      <c r="L1765" s="62">
        <f t="shared" si="3530"/>
        <v>2155</v>
      </c>
      <c r="M1765" s="62">
        <f t="shared" si="3530"/>
        <v>2140</v>
      </c>
      <c r="N1765" s="62">
        <f t="shared" si="3530"/>
        <v>2997</v>
      </c>
      <c r="O1765" s="62">
        <f t="shared" si="3530"/>
        <v>1</v>
      </c>
      <c r="P1765" s="62" t="str">
        <f t="shared" si="3530"/>
        <v/>
      </c>
      <c r="Q1765" s="62" t="str">
        <f t="shared" si="3530"/>
        <v/>
      </c>
      <c r="R1765" s="62">
        <f t="shared" si="7"/>
        <v>-2996</v>
      </c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</row>
    <row r="1766">
      <c r="A1766" s="60">
        <f>IFERROR(__xludf.DUMMYFUNCTION("""COMPUTED_VALUE"""),16605.0)</f>
        <v>16605</v>
      </c>
      <c r="B1766" s="60" t="str">
        <f>IFERROR(__xludf.DUMMYFUNCTION("""COMPUTED_VALUE"""),"McClellan, Jase")</f>
        <v>McClellan, Jase</v>
      </c>
      <c r="C1766" s="60" t="str">
        <f>IFERROR(__xludf.DUMMYFUNCTION("""COMPUTED_VALUE"""),"RB")</f>
        <v>RB</v>
      </c>
      <c r="D1766" s="60" t="str">
        <f>IFERROR(__xludf.DUMMYFUNCTION("""COMPUTED_VALUE"""),"FA")</f>
        <v>FA</v>
      </c>
      <c r="E1766" s="62" t="str">
        <f t="shared" si="4"/>
        <v>Jase McClellan</v>
      </c>
      <c r="F1766" s="62">
        <f t="shared" ref="F1766:G1766" si="3531">IF(isblank(F$1),,IF(isblank($A1766),,IFERROR(vlookup($A1766,indirect("'TVC-"&amp;text(month(F$1),"00")&amp;"'!$A:$D"),4,false),1)))</f>
        <v>1</v>
      </c>
      <c r="G1766" s="62">
        <f t="shared" si="3531"/>
        <v>1</v>
      </c>
      <c r="H1766" s="62">
        <f t="shared" ref="H1766:Q1766" si="3532">IF(isblank(H$1),,IFERROR(vlookup($A1766,indirect("'TVC-"&amp;text(month(H$1),"00")&amp;"'!$A:$D"),4,false),1))</f>
        <v>1</v>
      </c>
      <c r="I1766" s="62">
        <f t="shared" si="3532"/>
        <v>1</v>
      </c>
      <c r="J1766" s="62">
        <f t="shared" si="3532"/>
        <v>1</v>
      </c>
      <c r="K1766" s="62">
        <f t="shared" si="3532"/>
        <v>1</v>
      </c>
      <c r="L1766" s="62">
        <f t="shared" si="3532"/>
        <v>1</v>
      </c>
      <c r="M1766" s="62">
        <f t="shared" si="3532"/>
        <v>1</v>
      </c>
      <c r="N1766" s="62">
        <f t="shared" si="3532"/>
        <v>1</v>
      </c>
      <c r="O1766" s="62">
        <f t="shared" si="3532"/>
        <v>1</v>
      </c>
      <c r="P1766" s="62" t="str">
        <f t="shared" si="3532"/>
        <v/>
      </c>
      <c r="Q1766" s="62" t="str">
        <f t="shared" si="3532"/>
        <v/>
      </c>
      <c r="R1766" s="62">
        <f t="shared" si="7"/>
        <v>0</v>
      </c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</row>
    <row r="1767" hidden="1">
      <c r="A1767" s="60">
        <f>IFERROR(__xludf.DUMMYFUNCTION("""COMPUTED_VALUE"""),16606.0)</f>
        <v>16606</v>
      </c>
      <c r="B1767" s="60" t="str">
        <f>IFERROR(__xludf.DUMMYFUNCTION("""COMPUTED_VALUE"""),"Milton, Kendall")</f>
        <v>Milton, Kendall</v>
      </c>
      <c r="C1767" s="60" t="str">
        <f>IFERROR(__xludf.DUMMYFUNCTION("""COMPUTED_VALUE"""),"RB")</f>
        <v>RB</v>
      </c>
      <c r="D1767" s="60" t="str">
        <f>IFERROR(__xludf.DUMMYFUNCTION("""COMPUTED_VALUE"""),"CIN")</f>
        <v>CIN</v>
      </c>
      <c r="E1767" s="62" t="str">
        <f t="shared" si="4"/>
        <v>Kendall Milton</v>
      </c>
      <c r="F1767" s="62">
        <f t="shared" ref="F1767:G1767" si="3533">IF(isblank(F$1),,IF(isblank($A1767),,IFERROR(vlookup($A1767,indirect("'TVC-"&amp;text(month(F$1),"00")&amp;"'!$A:$D"),4,false),1)))</f>
        <v>844</v>
      </c>
      <c r="G1767" s="62">
        <f t="shared" si="3533"/>
        <v>800</v>
      </c>
      <c r="H1767" s="62">
        <f t="shared" ref="H1767:Q1767" si="3534">IF(isblank(H$1),,IFERROR(vlookup($A1767,indirect("'TVC-"&amp;text(month(H$1),"00")&amp;"'!$A:$D"),4,false),1))</f>
        <v>795</v>
      </c>
      <c r="I1767" s="62">
        <f t="shared" si="3534"/>
        <v>883</v>
      </c>
      <c r="J1767" s="62">
        <f t="shared" si="3534"/>
        <v>860</v>
      </c>
      <c r="K1767" s="62">
        <f t="shared" si="3534"/>
        <v>732</v>
      </c>
      <c r="L1767" s="62">
        <f t="shared" si="3534"/>
        <v>794</v>
      </c>
      <c r="M1767" s="62">
        <f t="shared" si="3534"/>
        <v>939</v>
      </c>
      <c r="N1767" s="62">
        <f t="shared" si="3534"/>
        <v>952</v>
      </c>
      <c r="O1767" s="62">
        <f t="shared" si="3534"/>
        <v>1</v>
      </c>
      <c r="P1767" s="62" t="str">
        <f t="shared" si="3534"/>
        <v/>
      </c>
      <c r="Q1767" s="62" t="str">
        <f t="shared" si="3534"/>
        <v/>
      </c>
      <c r="R1767" s="62">
        <f t="shared" si="7"/>
        <v>-951</v>
      </c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</row>
    <row r="1768">
      <c r="A1768" s="60">
        <f>IFERROR(__xludf.DUMMYFUNCTION("""COMPUTED_VALUE"""),16608.0)</f>
        <v>16608</v>
      </c>
      <c r="B1768" s="60" t="str">
        <f>IFERROR(__xludf.DUMMYFUNCTION("""COMPUTED_VALUE"""),"Holani, George")</f>
        <v>Holani, George</v>
      </c>
      <c r="C1768" s="60" t="str">
        <f>IFERROR(__xludf.DUMMYFUNCTION("""COMPUTED_VALUE"""),"RB")</f>
        <v>RB</v>
      </c>
      <c r="D1768" s="60" t="str">
        <f>IFERROR(__xludf.DUMMYFUNCTION("""COMPUTED_VALUE"""),"SEA")</f>
        <v>SEA</v>
      </c>
      <c r="E1768" s="62" t="str">
        <f t="shared" si="4"/>
        <v>George Holani</v>
      </c>
      <c r="F1768" s="62">
        <f t="shared" ref="F1768:G1768" si="3535">IF(isblank(F$1),,IF(isblank($A1768),,IFERROR(vlookup($A1768,indirect("'TVC-"&amp;text(month(F$1),"00")&amp;"'!$A:$D"),4,false),1)))</f>
        <v>741</v>
      </c>
      <c r="G1768" s="62">
        <f t="shared" si="3535"/>
        <v>860</v>
      </c>
      <c r="H1768" s="62">
        <f t="shared" ref="H1768:Q1768" si="3536">IF(isblank(H$1),,IFERROR(vlookup($A1768,indirect("'TVC-"&amp;text(month(H$1),"00")&amp;"'!$A:$D"),4,false),1))</f>
        <v>912</v>
      </c>
      <c r="I1768" s="62">
        <f t="shared" si="3536"/>
        <v>1311</v>
      </c>
      <c r="J1768" s="62">
        <f t="shared" si="3536"/>
        <v>1336</v>
      </c>
      <c r="K1768" s="62">
        <f t="shared" si="3536"/>
        <v>1293</v>
      </c>
      <c r="L1768" s="62">
        <f t="shared" si="3536"/>
        <v>1373</v>
      </c>
      <c r="M1768" s="62">
        <f t="shared" si="3536"/>
        <v>1640</v>
      </c>
      <c r="N1768" s="62">
        <f t="shared" si="3536"/>
        <v>1643</v>
      </c>
      <c r="O1768" s="62">
        <f t="shared" si="3536"/>
        <v>1</v>
      </c>
      <c r="P1768" s="62" t="str">
        <f t="shared" si="3536"/>
        <v/>
      </c>
      <c r="Q1768" s="62" t="str">
        <f t="shared" si="3536"/>
        <v/>
      </c>
      <c r="R1768" s="62">
        <f t="shared" si="7"/>
        <v>-1642</v>
      </c>
      <c r="S1768" s="62"/>
      <c r="T1768" s="62"/>
      <c r="U1768" s="62"/>
      <c r="V1768" s="62"/>
      <c r="W1768" s="62"/>
      <c r="X1768" s="62"/>
      <c r="Y1768" s="62"/>
      <c r="Z1768" s="62"/>
      <c r="AA1768" s="62"/>
      <c r="AB1768" s="62"/>
      <c r="AC1768" s="62"/>
    </row>
    <row r="1769" hidden="1">
      <c r="A1769" s="60">
        <f>IFERROR(__xludf.DUMMYFUNCTION("""COMPUTED_VALUE"""),16610.0)</f>
        <v>16610</v>
      </c>
      <c r="B1769" s="60" t="str">
        <f>IFERROR(__xludf.DUMMYFUNCTION("""COMPUTED_VALUE"""),"Wright, Jaylen")</f>
        <v>Wright, Jaylen</v>
      </c>
      <c r="C1769" s="60" t="str">
        <f>IFERROR(__xludf.DUMMYFUNCTION("""COMPUTED_VALUE"""),"RB")</f>
        <v>RB</v>
      </c>
      <c r="D1769" s="60" t="str">
        <f>IFERROR(__xludf.DUMMYFUNCTION("""COMPUTED_VALUE"""),"MIA")</f>
        <v>MIA</v>
      </c>
      <c r="E1769" s="62" t="str">
        <f t="shared" si="4"/>
        <v>Jaylen Wright</v>
      </c>
      <c r="F1769" s="62">
        <f t="shared" ref="F1769:G1769" si="3537">IF(isblank(F$1),,IF(isblank($A1769),,IFERROR(vlookup($A1769,indirect("'TVC-"&amp;text(month(F$1),"00")&amp;"'!$A:$D"),4,false),1)))</f>
        <v>2355</v>
      </c>
      <c r="G1769" s="62">
        <f t="shared" si="3537"/>
        <v>2358</v>
      </c>
      <c r="H1769" s="62">
        <f t="shared" ref="H1769:Q1769" si="3538">IF(isblank(H$1),,IFERROR(vlookup($A1769,indirect("'TVC-"&amp;text(month(H$1),"00")&amp;"'!$A:$D"),4,false),1))</f>
        <v>2394</v>
      </c>
      <c r="I1769" s="62">
        <f t="shared" si="3538"/>
        <v>2348</v>
      </c>
      <c r="J1769" s="62">
        <f t="shared" si="3538"/>
        <v>2233</v>
      </c>
      <c r="K1769" s="62">
        <f t="shared" si="3538"/>
        <v>2238</v>
      </c>
      <c r="L1769" s="62">
        <f t="shared" si="3538"/>
        <v>2185</v>
      </c>
      <c r="M1769" s="62">
        <f t="shared" si="3538"/>
        <v>2203</v>
      </c>
      <c r="N1769" s="62">
        <f t="shared" si="3538"/>
        <v>2140</v>
      </c>
      <c r="O1769" s="62">
        <f t="shared" si="3538"/>
        <v>1</v>
      </c>
      <c r="P1769" s="62" t="str">
        <f t="shared" si="3538"/>
        <v/>
      </c>
      <c r="Q1769" s="62" t="str">
        <f t="shared" si="3538"/>
        <v/>
      </c>
      <c r="R1769" s="62">
        <f t="shared" si="7"/>
        <v>-2139</v>
      </c>
      <c r="S1769" s="62"/>
      <c r="T1769" s="62"/>
      <c r="U1769" s="62"/>
      <c r="V1769" s="62"/>
      <c r="W1769" s="62"/>
      <c r="X1769" s="62"/>
      <c r="Y1769" s="62"/>
      <c r="Z1769" s="62"/>
      <c r="AA1769" s="62"/>
      <c r="AB1769" s="62"/>
      <c r="AC1769" s="62"/>
    </row>
    <row r="1770">
      <c r="A1770" s="60">
        <f>IFERROR(__xludf.DUMMYFUNCTION("""COMPUTED_VALUE"""),16612.0)</f>
        <v>16612</v>
      </c>
      <c r="B1770" s="60" t="str">
        <f>IFERROR(__xludf.DUMMYFUNCTION("""COMPUTED_VALUE"""),"Steele, Carson")</f>
        <v>Steele, Carson</v>
      </c>
      <c r="C1770" s="60" t="str">
        <f>IFERROR(__xludf.DUMMYFUNCTION("""COMPUTED_VALUE"""),"RB")</f>
        <v>RB</v>
      </c>
      <c r="D1770" s="60" t="str">
        <f>IFERROR(__xludf.DUMMYFUNCTION("""COMPUTED_VALUE"""),"PHI")</f>
        <v>PHI</v>
      </c>
      <c r="E1770" s="62" t="str">
        <f t="shared" si="4"/>
        <v>Carson Steele</v>
      </c>
      <c r="F1770" s="62">
        <f t="shared" ref="F1770:G1770" si="3539">IF(isblank(F$1),,IF(isblank($A1770),,IFERROR(vlookup($A1770,indirect("'TVC-"&amp;text(month(F$1),"00")&amp;"'!$A:$D"),4,false),1)))</f>
        <v>1</v>
      </c>
      <c r="G1770" s="62">
        <f t="shared" si="3539"/>
        <v>1</v>
      </c>
      <c r="H1770" s="62">
        <f t="shared" ref="H1770:Q1770" si="3540">IF(isblank(H$1),,IFERROR(vlookup($A1770,indirect("'TVC-"&amp;text(month(H$1),"00")&amp;"'!$A:$D"),4,false),1))</f>
        <v>1</v>
      </c>
      <c r="I1770" s="62">
        <f t="shared" si="3540"/>
        <v>1</v>
      </c>
      <c r="J1770" s="62">
        <f t="shared" si="3540"/>
        <v>1</v>
      </c>
      <c r="K1770" s="62">
        <f t="shared" si="3540"/>
        <v>1</v>
      </c>
      <c r="L1770" s="62">
        <f t="shared" si="3540"/>
        <v>1</v>
      </c>
      <c r="M1770" s="62">
        <f t="shared" si="3540"/>
        <v>1</v>
      </c>
      <c r="N1770" s="62">
        <f t="shared" si="3540"/>
        <v>1</v>
      </c>
      <c r="O1770" s="62">
        <f t="shared" si="3540"/>
        <v>1</v>
      </c>
      <c r="P1770" s="62" t="str">
        <f t="shared" si="3540"/>
        <v/>
      </c>
      <c r="Q1770" s="62" t="str">
        <f t="shared" si="3540"/>
        <v/>
      </c>
      <c r="R1770" s="62">
        <f t="shared" si="7"/>
        <v>0</v>
      </c>
      <c r="S1770" s="62"/>
      <c r="T1770" s="62"/>
      <c r="U1770" s="62"/>
      <c r="V1770" s="62"/>
      <c r="W1770" s="62"/>
      <c r="X1770" s="62"/>
      <c r="Y1770" s="62"/>
      <c r="Z1770" s="62"/>
      <c r="AA1770" s="62"/>
      <c r="AB1770" s="62"/>
      <c r="AC1770" s="62"/>
    </row>
    <row r="1771">
      <c r="A1771" s="60">
        <f>IFERROR(__xludf.DUMMYFUNCTION("""COMPUTED_VALUE"""),16613.0)</f>
        <v>16613</v>
      </c>
      <c r="B1771" s="60" t="str">
        <f>IFERROR(__xludf.DUMMYFUNCTION("""COMPUTED_VALUE"""),"Laube, Dylan")</f>
        <v>Laube, Dylan</v>
      </c>
      <c r="C1771" s="60" t="str">
        <f>IFERROR(__xludf.DUMMYFUNCTION("""COMPUTED_VALUE"""),"RB")</f>
        <v>RB</v>
      </c>
      <c r="D1771" s="60" t="str">
        <f>IFERROR(__xludf.DUMMYFUNCTION("""COMPUTED_VALUE"""),"LVR")</f>
        <v>LVR</v>
      </c>
      <c r="E1771" s="62" t="str">
        <f t="shared" si="4"/>
        <v>Dylan Laube</v>
      </c>
      <c r="F1771" s="62">
        <f t="shared" ref="F1771:G1771" si="3541">IF(isblank(F$1),,IF(isblank($A1771),,IFERROR(vlookup($A1771,indirect("'TVC-"&amp;text(month(F$1),"00")&amp;"'!$A:$D"),4,false),1)))</f>
        <v>688</v>
      </c>
      <c r="G1771" s="62">
        <f t="shared" si="3541"/>
        <v>1</v>
      </c>
      <c r="H1771" s="62">
        <f t="shared" ref="H1771:Q1771" si="3542">IF(isblank(H$1),,IFERROR(vlookup($A1771,indirect("'TVC-"&amp;text(month(H$1),"00")&amp;"'!$A:$D"),4,false),1))</f>
        <v>1</v>
      </c>
      <c r="I1771" s="62">
        <f t="shared" si="3542"/>
        <v>1</v>
      </c>
      <c r="J1771" s="62">
        <f t="shared" si="3542"/>
        <v>572</v>
      </c>
      <c r="K1771" s="62">
        <f t="shared" si="3542"/>
        <v>1</v>
      </c>
      <c r="L1771" s="62">
        <f t="shared" si="3542"/>
        <v>1</v>
      </c>
      <c r="M1771" s="62">
        <f t="shared" si="3542"/>
        <v>536</v>
      </c>
      <c r="N1771" s="62">
        <f t="shared" si="3542"/>
        <v>507</v>
      </c>
      <c r="O1771" s="62">
        <f t="shared" si="3542"/>
        <v>1</v>
      </c>
      <c r="P1771" s="62" t="str">
        <f t="shared" si="3542"/>
        <v/>
      </c>
      <c r="Q1771" s="62" t="str">
        <f t="shared" si="3542"/>
        <v/>
      </c>
      <c r="R1771" s="62">
        <f t="shared" si="7"/>
        <v>-506</v>
      </c>
      <c r="S1771" s="62"/>
      <c r="T1771" s="62"/>
      <c r="U1771" s="62"/>
      <c r="V1771" s="62"/>
      <c r="W1771" s="62"/>
      <c r="X1771" s="62"/>
      <c r="Y1771" s="62"/>
      <c r="Z1771" s="62"/>
      <c r="AA1771" s="62"/>
      <c r="AB1771" s="62"/>
      <c r="AC1771" s="62"/>
    </row>
    <row r="1772">
      <c r="A1772" s="60">
        <f>IFERROR(__xludf.DUMMYFUNCTION("""COMPUTED_VALUE"""),16614.0)</f>
        <v>16614</v>
      </c>
      <c r="B1772" s="60" t="str">
        <f>IFERROR(__xludf.DUMMYFUNCTION("""COMPUTED_VALUE"""),"Harrison Jr., Marvin")</f>
        <v>Harrison Jr., Marvin</v>
      </c>
      <c r="C1772" s="60" t="str">
        <f>IFERROR(__xludf.DUMMYFUNCTION("""COMPUTED_VALUE"""),"WR")</f>
        <v>WR</v>
      </c>
      <c r="D1772" s="60" t="str">
        <f>IFERROR(__xludf.DUMMYFUNCTION("""COMPUTED_VALUE"""),"HOU")</f>
        <v>HOU</v>
      </c>
      <c r="E1772" s="62" t="str">
        <f t="shared" si="4"/>
        <v>Marvin Harrison Jr.</v>
      </c>
      <c r="F1772" s="62">
        <f t="shared" ref="F1772:G1772" si="3543">IF(isblank(F$1),,IF(isblank($A1772),,IFERROR(vlookup($A1772,indirect("'TVC-"&amp;text(month(F$1),"00")&amp;"'!$A:$D"),4,false),1)))</f>
        <v>5226</v>
      </c>
      <c r="G1772" s="62">
        <f t="shared" si="3543"/>
        <v>5116</v>
      </c>
      <c r="H1772" s="62">
        <f t="shared" ref="H1772:Q1772" si="3544">IF(isblank(H$1),,IFERROR(vlookup($A1772,indirect("'TVC-"&amp;text(month(H$1),"00")&amp;"'!$A:$D"),4,false),1))</f>
        <v>5124</v>
      </c>
      <c r="I1772" s="62">
        <f t="shared" si="3544"/>
        <v>4999</v>
      </c>
      <c r="J1772" s="62">
        <f t="shared" si="3544"/>
        <v>5109</v>
      </c>
      <c r="K1772" s="62">
        <f t="shared" si="3544"/>
        <v>5062</v>
      </c>
      <c r="L1772" s="62">
        <f t="shared" si="3544"/>
        <v>4968</v>
      </c>
      <c r="M1772" s="62">
        <f t="shared" si="3544"/>
        <v>4848</v>
      </c>
      <c r="N1772" s="62">
        <f t="shared" si="3544"/>
        <v>4744</v>
      </c>
      <c r="O1772" s="62">
        <f t="shared" si="3544"/>
        <v>1</v>
      </c>
      <c r="P1772" s="62" t="str">
        <f t="shared" si="3544"/>
        <v/>
      </c>
      <c r="Q1772" s="62" t="str">
        <f t="shared" si="3544"/>
        <v/>
      </c>
      <c r="R1772" s="62">
        <f t="shared" si="7"/>
        <v>-4743</v>
      </c>
      <c r="S1772" s="62"/>
      <c r="T1772" s="62"/>
      <c r="U1772" s="62"/>
      <c r="V1772" s="62"/>
      <c r="W1772" s="62"/>
      <c r="X1772" s="62"/>
      <c r="Y1772" s="62"/>
      <c r="Z1772" s="62"/>
      <c r="AA1772" s="62"/>
      <c r="AB1772" s="62"/>
      <c r="AC1772" s="62"/>
    </row>
    <row r="1773">
      <c r="A1773" s="60">
        <f>IFERROR(__xludf.DUMMYFUNCTION("""COMPUTED_VALUE"""),16615.0)</f>
        <v>16615</v>
      </c>
      <c r="B1773" s="60" t="str">
        <f>IFERROR(__xludf.DUMMYFUNCTION("""COMPUTED_VALUE"""),"Nabers, Malik")</f>
        <v>Nabers, Malik</v>
      </c>
      <c r="C1773" s="60" t="str">
        <f>IFERROR(__xludf.DUMMYFUNCTION("""COMPUTED_VALUE"""),"WR")</f>
        <v>WR</v>
      </c>
      <c r="D1773" s="60" t="str">
        <f>IFERROR(__xludf.DUMMYFUNCTION("""COMPUTED_VALUE"""),"NYG")</f>
        <v>NYG</v>
      </c>
      <c r="E1773" s="62" t="str">
        <f t="shared" si="4"/>
        <v>Malik Nabers</v>
      </c>
      <c r="F1773" s="62">
        <f t="shared" ref="F1773:G1773" si="3545">IF(isblank(F$1),,IF(isblank($A1773),,IFERROR(vlookup($A1773,indirect("'TVC-"&amp;text(month(F$1),"00")&amp;"'!$A:$D"),4,false),1)))</f>
        <v>7809</v>
      </c>
      <c r="G1773" s="62">
        <f t="shared" si="3545"/>
        <v>7738</v>
      </c>
      <c r="H1773" s="62">
        <f t="shared" ref="H1773:Q1773" si="3546">IF(isblank(H$1),,IFERROR(vlookup($A1773,indirect("'TVC-"&amp;text(month(H$1),"00")&amp;"'!$A:$D"),4,false),1))</f>
        <v>7733</v>
      </c>
      <c r="I1773" s="62">
        <f t="shared" si="3546"/>
        <v>7709</v>
      </c>
      <c r="J1773" s="62">
        <f t="shared" si="3546"/>
        <v>7858</v>
      </c>
      <c r="K1773" s="62">
        <f t="shared" si="3546"/>
        <v>7645</v>
      </c>
      <c r="L1773" s="62">
        <f t="shared" si="3546"/>
        <v>7471</v>
      </c>
      <c r="M1773" s="62">
        <f t="shared" si="3546"/>
        <v>7230</v>
      </c>
      <c r="N1773" s="62">
        <f t="shared" si="3546"/>
        <v>7362</v>
      </c>
      <c r="O1773" s="62">
        <f t="shared" si="3546"/>
        <v>1</v>
      </c>
      <c r="P1773" s="62" t="str">
        <f t="shared" si="3546"/>
        <v/>
      </c>
      <c r="Q1773" s="62" t="str">
        <f t="shared" si="3546"/>
        <v/>
      </c>
      <c r="R1773" s="62">
        <f t="shared" si="7"/>
        <v>-7361</v>
      </c>
      <c r="S1773" s="62"/>
      <c r="T1773" s="62"/>
      <c r="U1773" s="62"/>
      <c r="V1773" s="62"/>
      <c r="W1773" s="62"/>
      <c r="X1773" s="62"/>
      <c r="Y1773" s="62"/>
      <c r="Z1773" s="62"/>
      <c r="AA1773" s="62"/>
      <c r="AB1773" s="62"/>
      <c r="AC1773" s="62"/>
    </row>
    <row r="1774">
      <c r="A1774" s="60">
        <f>IFERROR(__xludf.DUMMYFUNCTION("""COMPUTED_VALUE"""),16616.0)</f>
        <v>16616</v>
      </c>
      <c r="B1774" s="60" t="str">
        <f>IFERROR(__xludf.DUMMYFUNCTION("""COMPUTED_VALUE"""),"Odunze, Rome")</f>
        <v>Odunze, Rome</v>
      </c>
      <c r="C1774" s="60" t="str">
        <f>IFERROR(__xludf.DUMMYFUNCTION("""COMPUTED_VALUE"""),"WR")</f>
        <v>WR</v>
      </c>
      <c r="D1774" s="60" t="str">
        <f>IFERROR(__xludf.DUMMYFUNCTION("""COMPUTED_VALUE"""),"CHI")</f>
        <v>CHI</v>
      </c>
      <c r="E1774" s="62" t="str">
        <f t="shared" si="4"/>
        <v>Rome Odunze</v>
      </c>
      <c r="F1774" s="62">
        <f t="shared" ref="F1774:G1774" si="3547">IF(isblank(F$1),,IF(isblank($A1774),,IFERROR(vlookup($A1774,indirect("'TVC-"&amp;text(month(F$1),"00")&amp;"'!$A:$D"),4,false),1)))</f>
        <v>5295</v>
      </c>
      <c r="G1774" s="62">
        <f t="shared" si="3547"/>
        <v>5245</v>
      </c>
      <c r="H1774" s="62">
        <f t="shared" ref="H1774:Q1774" si="3548">IF(isblank(H$1),,IFERROR(vlookup($A1774,indirect("'TVC-"&amp;text(month(H$1),"00")&amp;"'!$A:$D"),4,false),1))</f>
        <v>5312</v>
      </c>
      <c r="I1774" s="62">
        <f t="shared" si="3548"/>
        <v>5539</v>
      </c>
      <c r="J1774" s="62">
        <f t="shared" si="3548"/>
        <v>5363</v>
      </c>
      <c r="K1774" s="62">
        <f t="shared" si="3548"/>
        <v>5461</v>
      </c>
      <c r="L1774" s="62">
        <f t="shared" si="3548"/>
        <v>5273</v>
      </c>
      <c r="M1774" s="62">
        <f t="shared" si="3548"/>
        <v>5247</v>
      </c>
      <c r="N1774" s="62">
        <f t="shared" si="3548"/>
        <v>5222</v>
      </c>
      <c r="O1774" s="62">
        <f t="shared" si="3548"/>
        <v>1</v>
      </c>
      <c r="P1774" s="62" t="str">
        <f t="shared" si="3548"/>
        <v/>
      </c>
      <c r="Q1774" s="62" t="str">
        <f t="shared" si="3548"/>
        <v/>
      </c>
      <c r="R1774" s="62">
        <f t="shared" si="7"/>
        <v>-5221</v>
      </c>
      <c r="S1774" s="62"/>
      <c r="T1774" s="62"/>
      <c r="U1774" s="62"/>
      <c r="V1774" s="62"/>
      <c r="W1774" s="62"/>
      <c r="X1774" s="62"/>
      <c r="Y1774" s="62"/>
      <c r="Z1774" s="62"/>
      <c r="AA1774" s="62"/>
      <c r="AB1774" s="62"/>
      <c r="AC1774" s="62"/>
    </row>
    <row r="1775" hidden="1">
      <c r="A1775" s="60">
        <f>IFERROR(__xludf.DUMMYFUNCTION("""COMPUTED_VALUE"""),16617.0)</f>
        <v>16617</v>
      </c>
      <c r="B1775" s="60" t="str">
        <f>IFERROR(__xludf.DUMMYFUNCTION("""COMPUTED_VALUE"""),"Coleman, Keon")</f>
        <v>Coleman, Keon</v>
      </c>
      <c r="C1775" s="60" t="str">
        <f>IFERROR(__xludf.DUMMYFUNCTION("""COMPUTED_VALUE"""),"WR")</f>
        <v>WR</v>
      </c>
      <c r="D1775" s="60" t="str">
        <f>IFERROR(__xludf.DUMMYFUNCTION("""COMPUTED_VALUE"""),"BUF")</f>
        <v>BUF</v>
      </c>
      <c r="E1775" s="62" t="str">
        <f t="shared" si="4"/>
        <v>Keon Coleman</v>
      </c>
      <c r="F1775" s="62">
        <f t="shared" ref="F1775:G1775" si="3549">IF(isblank(F$1),,IF(isblank($A1775),,IFERROR(vlookup($A1775,indirect("'TVC-"&amp;text(month(F$1),"00")&amp;"'!$A:$D"),4,false),1)))</f>
        <v>2422</v>
      </c>
      <c r="G1775" s="62">
        <f t="shared" si="3549"/>
        <v>2470</v>
      </c>
      <c r="H1775" s="62">
        <f t="shared" ref="H1775:Q1775" si="3550">IF(isblank(H$1),,IFERROR(vlookup($A1775,indirect("'TVC-"&amp;text(month(H$1),"00")&amp;"'!$A:$D"),4,false),1))</f>
        <v>2514</v>
      </c>
      <c r="I1775" s="62">
        <f t="shared" si="3550"/>
        <v>2552</v>
      </c>
      <c r="J1775" s="62">
        <f t="shared" si="3550"/>
        <v>2538</v>
      </c>
      <c r="K1775" s="62">
        <f t="shared" si="3550"/>
        <v>2490</v>
      </c>
      <c r="L1775" s="62">
        <f t="shared" si="3550"/>
        <v>2423</v>
      </c>
      <c r="M1775" s="62">
        <f t="shared" si="3550"/>
        <v>2380</v>
      </c>
      <c r="N1775" s="62">
        <f t="shared" si="3550"/>
        <v>2327</v>
      </c>
      <c r="O1775" s="62">
        <f t="shared" si="3550"/>
        <v>1</v>
      </c>
      <c r="P1775" s="62" t="str">
        <f t="shared" si="3550"/>
        <v/>
      </c>
      <c r="Q1775" s="62" t="str">
        <f t="shared" si="3550"/>
        <v/>
      </c>
      <c r="R1775" s="62">
        <f t="shared" si="7"/>
        <v>-2326</v>
      </c>
      <c r="S1775" s="62"/>
      <c r="T1775" s="62"/>
      <c r="U1775" s="62"/>
      <c r="V1775" s="62"/>
      <c r="W1775" s="62"/>
      <c r="X1775" s="62"/>
      <c r="Y1775" s="62"/>
      <c r="Z1775" s="62"/>
      <c r="AA1775" s="62"/>
      <c r="AB1775" s="62"/>
      <c r="AC1775" s="62"/>
    </row>
    <row r="1776">
      <c r="A1776" s="60">
        <f>IFERROR(__xludf.DUMMYFUNCTION("""COMPUTED_VALUE"""),16618.0)</f>
        <v>16618</v>
      </c>
      <c r="B1776" s="60" t="str">
        <f>IFERROR(__xludf.DUMMYFUNCTION("""COMPUTED_VALUE"""),"Thomas Jr., Brian")</f>
        <v>Thomas Jr., Brian</v>
      </c>
      <c r="C1776" s="60" t="str">
        <f>IFERROR(__xludf.DUMMYFUNCTION("""COMPUTED_VALUE"""),"WR")</f>
        <v>WR</v>
      </c>
      <c r="D1776" s="60" t="str">
        <f>IFERROR(__xludf.DUMMYFUNCTION("""COMPUTED_VALUE"""),"JAC")</f>
        <v>JAC</v>
      </c>
      <c r="E1776" s="62" t="str">
        <f t="shared" si="4"/>
        <v>Brian Thomas Jr.</v>
      </c>
      <c r="F1776" s="62">
        <f t="shared" ref="F1776:G1776" si="3551">IF(isblank(F$1),,IF(isblank($A1776),,IFERROR(vlookup($A1776,indirect("'TVC-"&amp;text(month(F$1),"00")&amp;"'!$A:$D"),4,false),1)))</f>
        <v>5112</v>
      </c>
      <c r="G1776" s="62">
        <f t="shared" si="3551"/>
        <v>4967</v>
      </c>
      <c r="H1776" s="62">
        <f t="shared" ref="H1776:Q1776" si="3552">IF(isblank(H$1),,IFERROR(vlookup($A1776,indirect("'TVC-"&amp;text(month(H$1),"00")&amp;"'!$A:$D"),4,false),1))</f>
        <v>5041</v>
      </c>
      <c r="I1776" s="62">
        <f t="shared" si="3552"/>
        <v>4929</v>
      </c>
      <c r="J1776" s="62">
        <f t="shared" si="3552"/>
        <v>4930</v>
      </c>
      <c r="K1776" s="62">
        <f t="shared" si="3552"/>
        <v>4840</v>
      </c>
      <c r="L1776" s="62">
        <f t="shared" si="3552"/>
        <v>4890</v>
      </c>
      <c r="M1776" s="62">
        <f t="shared" si="3552"/>
        <v>4823</v>
      </c>
      <c r="N1776" s="62">
        <f t="shared" si="3552"/>
        <v>4563</v>
      </c>
      <c r="O1776" s="62">
        <f t="shared" si="3552"/>
        <v>1</v>
      </c>
      <c r="P1776" s="62" t="str">
        <f t="shared" si="3552"/>
        <v/>
      </c>
      <c r="Q1776" s="62" t="str">
        <f t="shared" si="3552"/>
        <v/>
      </c>
      <c r="R1776" s="62">
        <f t="shared" si="7"/>
        <v>-4562</v>
      </c>
      <c r="S1776" s="62"/>
      <c r="T1776" s="62"/>
      <c r="U1776" s="62"/>
      <c r="V1776" s="62"/>
      <c r="W1776" s="62"/>
      <c r="X1776" s="62"/>
      <c r="Y1776" s="62"/>
      <c r="Z1776" s="62"/>
      <c r="AA1776" s="62"/>
      <c r="AB1776" s="62"/>
      <c r="AC1776" s="62"/>
    </row>
    <row r="1777">
      <c r="A1777" s="60">
        <f>IFERROR(__xludf.DUMMYFUNCTION("""COMPUTED_VALUE"""),16619.0)</f>
        <v>16619</v>
      </c>
      <c r="B1777" s="60" t="str">
        <f>IFERROR(__xludf.DUMMYFUNCTION("""COMPUTED_VALUE"""),"Franklin, Troy")</f>
        <v>Franklin, Troy</v>
      </c>
      <c r="C1777" s="60" t="str">
        <f>IFERROR(__xludf.DUMMYFUNCTION("""COMPUTED_VALUE"""),"WR")</f>
        <v>WR</v>
      </c>
      <c r="D1777" s="60" t="str">
        <f>IFERROR(__xludf.DUMMYFUNCTION("""COMPUTED_VALUE"""),"DEN")</f>
        <v>DEN</v>
      </c>
      <c r="E1777" s="62" t="str">
        <f t="shared" si="4"/>
        <v>Troy Franklin</v>
      </c>
      <c r="F1777" s="62">
        <f t="shared" ref="F1777:G1777" si="3553">IF(isblank(F$1),,IF(isblank($A1777),,IFERROR(vlookup($A1777,indirect("'TVC-"&amp;text(month(F$1),"00")&amp;"'!$A:$D"),4,false),1)))</f>
        <v>3281</v>
      </c>
      <c r="G1777" s="62">
        <f t="shared" si="3553"/>
        <v>3046</v>
      </c>
      <c r="H1777" s="62">
        <f t="shared" ref="H1777:Q1777" si="3554">IF(isblank(H$1),,IFERROR(vlookup($A1777,indirect("'TVC-"&amp;text(month(H$1),"00")&amp;"'!$A:$D"),4,false),1))</f>
        <v>3043</v>
      </c>
      <c r="I1777" s="62">
        <f t="shared" si="3554"/>
        <v>2862</v>
      </c>
      <c r="J1777" s="62">
        <f t="shared" si="3554"/>
        <v>2751</v>
      </c>
      <c r="K1777" s="62">
        <f t="shared" si="3554"/>
        <v>2658</v>
      </c>
      <c r="L1777" s="62">
        <f t="shared" si="3554"/>
        <v>2594</v>
      </c>
      <c r="M1777" s="62">
        <f t="shared" si="3554"/>
        <v>2527</v>
      </c>
      <c r="N1777" s="62">
        <f t="shared" si="3554"/>
        <v>2349</v>
      </c>
      <c r="O1777" s="62">
        <f t="shared" si="3554"/>
        <v>1</v>
      </c>
      <c r="P1777" s="62" t="str">
        <f t="shared" si="3554"/>
        <v/>
      </c>
      <c r="Q1777" s="62" t="str">
        <f t="shared" si="3554"/>
        <v/>
      </c>
      <c r="R1777" s="62">
        <f t="shared" si="7"/>
        <v>-2348</v>
      </c>
      <c r="S1777" s="62"/>
      <c r="T1777" s="62"/>
      <c r="U1777" s="62"/>
      <c r="V1777" s="62"/>
      <c r="W1777" s="62"/>
      <c r="X1777" s="62"/>
      <c r="Y1777" s="62"/>
      <c r="Z1777" s="62"/>
      <c r="AA1777" s="62"/>
      <c r="AB1777" s="62"/>
      <c r="AC1777" s="62"/>
    </row>
    <row r="1778">
      <c r="A1778" s="60">
        <f>IFERROR(__xludf.DUMMYFUNCTION("""COMPUTED_VALUE"""),16620.0)</f>
        <v>16620</v>
      </c>
      <c r="B1778" s="60" t="str">
        <f>IFERROR(__xludf.DUMMYFUNCTION("""COMPUTED_VALUE"""),"Worthy, Xavier")</f>
        <v>Worthy, Xavier</v>
      </c>
      <c r="C1778" s="60" t="str">
        <f>IFERROR(__xludf.DUMMYFUNCTION("""COMPUTED_VALUE"""),"WR")</f>
        <v>WR</v>
      </c>
      <c r="D1778" s="60" t="str">
        <f>IFERROR(__xludf.DUMMYFUNCTION("""COMPUTED_VALUE"""),"KCC")</f>
        <v>KCC</v>
      </c>
      <c r="E1778" s="62" t="str">
        <f t="shared" si="4"/>
        <v>Xavier Worthy</v>
      </c>
      <c r="F1778" s="62">
        <f t="shared" ref="F1778:G1778" si="3555">IF(isblank(F$1),,IF(isblank($A1778),,IFERROR(vlookup($A1778,indirect("'TVC-"&amp;text(month(F$1),"00")&amp;"'!$A:$D"),4,false),1)))</f>
        <v>3581</v>
      </c>
      <c r="G1778" s="62">
        <f t="shared" si="3555"/>
        <v>3528</v>
      </c>
      <c r="H1778" s="62">
        <f t="shared" ref="H1778:Q1778" si="3556">IF(isblank(H$1),,IFERROR(vlookup($A1778,indirect("'TVC-"&amp;text(month(H$1),"00")&amp;"'!$A:$D"),4,false),1))</f>
        <v>3483</v>
      </c>
      <c r="I1778" s="62">
        <f t="shared" si="3556"/>
        <v>3393</v>
      </c>
      <c r="J1778" s="62">
        <f t="shared" si="3556"/>
        <v>3379</v>
      </c>
      <c r="K1778" s="62">
        <f t="shared" si="3556"/>
        <v>3363</v>
      </c>
      <c r="L1778" s="62">
        <f t="shared" si="3556"/>
        <v>3333</v>
      </c>
      <c r="M1778" s="62">
        <f t="shared" si="3556"/>
        <v>3312</v>
      </c>
      <c r="N1778" s="62">
        <f t="shared" si="3556"/>
        <v>3061</v>
      </c>
      <c r="O1778" s="62">
        <f t="shared" si="3556"/>
        <v>1</v>
      </c>
      <c r="P1778" s="62" t="str">
        <f t="shared" si="3556"/>
        <v/>
      </c>
      <c r="Q1778" s="62" t="str">
        <f t="shared" si="3556"/>
        <v/>
      </c>
      <c r="R1778" s="62">
        <f t="shared" si="7"/>
        <v>-3060</v>
      </c>
      <c r="S1778" s="62"/>
      <c r="T1778" s="62"/>
      <c r="U1778" s="62"/>
      <c r="V1778" s="62"/>
      <c r="W1778" s="62"/>
      <c r="X1778" s="62"/>
      <c r="Y1778" s="62"/>
      <c r="Z1778" s="62"/>
      <c r="AA1778" s="62"/>
      <c r="AB1778" s="62"/>
      <c r="AC1778" s="62"/>
    </row>
    <row r="1779">
      <c r="A1779" s="60">
        <f>IFERROR(__xludf.DUMMYFUNCTION("""COMPUTED_VALUE"""),16621.0)</f>
        <v>16621</v>
      </c>
      <c r="B1779" s="60" t="str">
        <f>IFERROR(__xludf.DUMMYFUNCTION("""COMPUTED_VALUE"""),"Walker, Devontez")</f>
        <v>Walker, Devontez</v>
      </c>
      <c r="C1779" s="60" t="str">
        <f>IFERROR(__xludf.DUMMYFUNCTION("""COMPUTED_VALUE"""),"WR")</f>
        <v>WR</v>
      </c>
      <c r="D1779" s="60" t="str">
        <f>IFERROR(__xludf.DUMMYFUNCTION("""COMPUTED_VALUE"""),"BAL")</f>
        <v>BAL</v>
      </c>
      <c r="E1779" s="62" t="str">
        <f t="shared" si="4"/>
        <v>Devontez Walker</v>
      </c>
      <c r="F1779" s="62">
        <f t="shared" ref="F1779:G1779" si="3557">IF(isblank(F$1),,IF(isblank($A1779),,IFERROR(vlookup($A1779,indirect("'TVC-"&amp;text(month(F$1),"00")&amp;"'!$A:$D"),4,false),1)))</f>
        <v>1225</v>
      </c>
      <c r="G1779" s="62">
        <f t="shared" si="3557"/>
        <v>1321</v>
      </c>
      <c r="H1779" s="62">
        <f t="shared" ref="H1779:Q1779" si="3558">IF(isblank(H$1),,IFERROR(vlookup($A1779,indirect("'TVC-"&amp;text(month(H$1),"00")&amp;"'!$A:$D"),4,false),1))</f>
        <v>1345</v>
      </c>
      <c r="I1779" s="62">
        <f t="shared" si="3558"/>
        <v>1450</v>
      </c>
      <c r="J1779" s="62">
        <f t="shared" si="3558"/>
        <v>1395</v>
      </c>
      <c r="K1779" s="62">
        <f t="shared" si="3558"/>
        <v>1407</v>
      </c>
      <c r="L1779" s="62">
        <f t="shared" si="3558"/>
        <v>1411</v>
      </c>
      <c r="M1779" s="62">
        <f t="shared" si="3558"/>
        <v>1410</v>
      </c>
      <c r="N1779" s="62">
        <f t="shared" si="3558"/>
        <v>1294</v>
      </c>
      <c r="O1779" s="62">
        <f t="shared" si="3558"/>
        <v>1</v>
      </c>
      <c r="P1779" s="62" t="str">
        <f t="shared" si="3558"/>
        <v/>
      </c>
      <c r="Q1779" s="62" t="str">
        <f t="shared" si="3558"/>
        <v/>
      </c>
      <c r="R1779" s="62">
        <f t="shared" si="7"/>
        <v>-1293</v>
      </c>
      <c r="S1779" s="62"/>
      <c r="T1779" s="62"/>
      <c r="U1779" s="62"/>
      <c r="V1779" s="62"/>
      <c r="W1779" s="62"/>
      <c r="X1779" s="62"/>
      <c r="Y1779" s="62"/>
      <c r="Z1779" s="62"/>
      <c r="AA1779" s="62"/>
      <c r="AB1779" s="62"/>
      <c r="AC1779" s="62"/>
    </row>
    <row r="1780" hidden="1">
      <c r="A1780" s="60">
        <f>IFERROR(__xludf.DUMMYFUNCTION("""COMPUTED_VALUE"""),16622.0)</f>
        <v>16622</v>
      </c>
      <c r="B1780" s="60" t="str">
        <f>IFERROR(__xludf.DUMMYFUNCTION("""COMPUTED_VALUE"""),"Pearsall, Ricky")</f>
        <v>Pearsall, Ricky</v>
      </c>
      <c r="C1780" s="60" t="str">
        <f>IFERROR(__xludf.DUMMYFUNCTION("""COMPUTED_VALUE"""),"WR")</f>
        <v>WR</v>
      </c>
      <c r="D1780" s="60" t="str">
        <f>IFERROR(__xludf.DUMMYFUNCTION("""COMPUTED_VALUE"""),"SFO")</f>
        <v>SFO</v>
      </c>
      <c r="E1780" s="62" t="str">
        <f t="shared" si="4"/>
        <v>Ricky Pearsall</v>
      </c>
      <c r="F1780" s="62">
        <f t="shared" ref="F1780:G1780" si="3559">IF(isblank(F$1),,IF(isblank($A1780),,IFERROR(vlookup($A1780,indirect("'TVC-"&amp;text(month(F$1),"00")&amp;"'!$A:$D"),4,false),1)))</f>
        <v>3854</v>
      </c>
      <c r="G1780" s="62">
        <f t="shared" si="3559"/>
        <v>3903</v>
      </c>
      <c r="H1780" s="62">
        <f t="shared" ref="H1780:Q1780" si="3560">IF(isblank(H$1),,IFERROR(vlookup($A1780,indirect("'TVC-"&amp;text(month(H$1),"00")&amp;"'!$A:$D"),4,false),1))</f>
        <v>3972</v>
      </c>
      <c r="I1780" s="62">
        <f t="shared" si="3560"/>
        <v>3614</v>
      </c>
      <c r="J1780" s="62">
        <f t="shared" si="3560"/>
        <v>3550</v>
      </c>
      <c r="K1780" s="62">
        <f t="shared" si="3560"/>
        <v>3454</v>
      </c>
      <c r="L1780" s="62">
        <f t="shared" si="3560"/>
        <v>3364</v>
      </c>
      <c r="M1780" s="62">
        <f t="shared" si="3560"/>
        <v>3385</v>
      </c>
      <c r="N1780" s="62">
        <f t="shared" si="3560"/>
        <v>2539</v>
      </c>
      <c r="O1780" s="62">
        <f t="shared" si="3560"/>
        <v>1</v>
      </c>
      <c r="P1780" s="62" t="str">
        <f t="shared" si="3560"/>
        <v/>
      </c>
      <c r="Q1780" s="62" t="str">
        <f t="shared" si="3560"/>
        <v/>
      </c>
      <c r="R1780" s="62">
        <f t="shared" si="7"/>
        <v>-2538</v>
      </c>
      <c r="S1780" s="62"/>
      <c r="T1780" s="62"/>
      <c r="U1780" s="62"/>
      <c r="V1780" s="62"/>
      <c r="W1780" s="62"/>
      <c r="X1780" s="62"/>
      <c r="Y1780" s="62"/>
      <c r="Z1780" s="62"/>
      <c r="AA1780" s="62"/>
      <c r="AB1780" s="62"/>
      <c r="AC1780" s="62"/>
    </row>
    <row r="1781" hidden="1">
      <c r="A1781" s="60">
        <f>IFERROR(__xludf.DUMMYFUNCTION("""COMPUTED_VALUE"""),16623.0)</f>
        <v>16623</v>
      </c>
      <c r="B1781" s="60" t="str">
        <f>IFERROR(__xludf.DUMMYFUNCTION("""COMPUTED_VALUE"""),"Rice, Brenden")</f>
        <v>Rice, Brenden</v>
      </c>
      <c r="C1781" s="60" t="str">
        <f>IFERROR(__xludf.DUMMYFUNCTION("""COMPUTED_VALUE"""),"WR")</f>
        <v>WR</v>
      </c>
      <c r="D1781" s="60" t="str">
        <f>IFERROR(__xludf.DUMMYFUNCTION("""COMPUTED_VALUE"""),"FA")</f>
        <v>FA</v>
      </c>
      <c r="E1781" s="62" t="str">
        <f t="shared" si="4"/>
        <v>Brenden Rice</v>
      </c>
      <c r="F1781" s="62">
        <f t="shared" ref="F1781:G1781" si="3561">IF(isblank(F$1),,IF(isblank($A1781),,IFERROR(vlookup($A1781,indirect("'TVC-"&amp;text(month(F$1),"00")&amp;"'!$A:$D"),4,false),1)))</f>
        <v>767</v>
      </c>
      <c r="G1781" s="62">
        <f t="shared" si="3561"/>
        <v>847</v>
      </c>
      <c r="H1781" s="62">
        <f t="shared" ref="H1781:Q1781" si="3562">IF(isblank(H$1),,IFERROR(vlookup($A1781,indirect("'TVC-"&amp;text(month(H$1),"00")&amp;"'!$A:$D"),4,false),1))</f>
        <v>835</v>
      </c>
      <c r="I1781" s="62">
        <f t="shared" si="3562"/>
        <v>830</v>
      </c>
      <c r="J1781" s="62">
        <f t="shared" si="3562"/>
        <v>753</v>
      </c>
      <c r="K1781" s="62">
        <f t="shared" si="3562"/>
        <v>721</v>
      </c>
      <c r="L1781" s="62">
        <f t="shared" si="3562"/>
        <v>799</v>
      </c>
      <c r="M1781" s="62">
        <f t="shared" si="3562"/>
        <v>894</v>
      </c>
      <c r="N1781" s="62">
        <f t="shared" si="3562"/>
        <v>1</v>
      </c>
      <c r="O1781" s="62">
        <f t="shared" si="3562"/>
        <v>1</v>
      </c>
      <c r="P1781" s="62" t="str">
        <f t="shared" si="3562"/>
        <v/>
      </c>
      <c r="Q1781" s="62" t="str">
        <f t="shared" si="3562"/>
        <v/>
      </c>
      <c r="R1781" s="62">
        <f t="shared" si="7"/>
        <v>0</v>
      </c>
      <c r="S1781" s="62"/>
      <c r="T1781" s="62"/>
      <c r="U1781" s="62"/>
      <c r="V1781" s="62"/>
      <c r="W1781" s="62"/>
      <c r="X1781" s="62"/>
      <c r="Y1781" s="62"/>
      <c r="Z1781" s="62"/>
      <c r="AA1781" s="62"/>
      <c r="AB1781" s="62"/>
      <c r="AC1781" s="62"/>
    </row>
    <row r="1782">
      <c r="A1782" s="60">
        <f>IFERROR(__xludf.DUMMYFUNCTION("""COMPUTED_VALUE"""),16624.0)</f>
        <v>16624</v>
      </c>
      <c r="B1782" s="60" t="str">
        <f>IFERROR(__xludf.DUMMYFUNCTION("""COMPUTED_VALUE"""),"Thrash, Jamari")</f>
        <v>Thrash, Jamari</v>
      </c>
      <c r="C1782" s="60" t="str">
        <f>IFERROR(__xludf.DUMMYFUNCTION("""COMPUTED_VALUE"""),"WR")</f>
        <v>WR</v>
      </c>
      <c r="D1782" s="60" t="str">
        <f>IFERROR(__xludf.DUMMYFUNCTION("""COMPUTED_VALUE"""),"LVR")</f>
        <v>LVR</v>
      </c>
      <c r="E1782" s="62" t="str">
        <f t="shared" si="4"/>
        <v>Jamari Thrash</v>
      </c>
      <c r="F1782" s="62">
        <f t="shared" ref="F1782:G1782" si="3563">IF(isblank(F$1),,IF(isblank($A1782),,IFERROR(vlookup($A1782,indirect("'TVC-"&amp;text(month(F$1),"00")&amp;"'!$A:$D"),4,false),1)))</f>
        <v>917</v>
      </c>
      <c r="G1782" s="62">
        <f t="shared" si="3563"/>
        <v>922</v>
      </c>
      <c r="H1782" s="62">
        <f t="shared" ref="H1782:Q1782" si="3564">IF(isblank(H$1),,IFERROR(vlookup($A1782,indirect("'TVC-"&amp;text(month(H$1),"00")&amp;"'!$A:$D"),4,false),1))</f>
        <v>950</v>
      </c>
      <c r="I1782" s="62">
        <f t="shared" si="3564"/>
        <v>942</v>
      </c>
      <c r="J1782" s="62">
        <f t="shared" si="3564"/>
        <v>945</v>
      </c>
      <c r="K1782" s="62">
        <f t="shared" si="3564"/>
        <v>917</v>
      </c>
      <c r="L1782" s="62">
        <f t="shared" si="3564"/>
        <v>872</v>
      </c>
      <c r="M1782" s="62">
        <f t="shared" si="3564"/>
        <v>848</v>
      </c>
      <c r="N1782" s="62">
        <f t="shared" si="3564"/>
        <v>469</v>
      </c>
      <c r="O1782" s="62">
        <f t="shared" si="3564"/>
        <v>1</v>
      </c>
      <c r="P1782" s="62" t="str">
        <f t="shared" si="3564"/>
        <v/>
      </c>
      <c r="Q1782" s="62" t="str">
        <f t="shared" si="3564"/>
        <v/>
      </c>
      <c r="R1782" s="62">
        <f t="shared" si="7"/>
        <v>-468</v>
      </c>
      <c r="S1782" s="62"/>
      <c r="T1782" s="62"/>
      <c r="U1782" s="62"/>
      <c r="V1782" s="62"/>
      <c r="W1782" s="62"/>
      <c r="X1782" s="62"/>
      <c r="Y1782" s="62"/>
      <c r="Z1782" s="62"/>
      <c r="AA1782" s="62"/>
      <c r="AB1782" s="62"/>
      <c r="AC1782" s="62"/>
    </row>
    <row r="1783">
      <c r="A1783" s="60">
        <f>IFERROR(__xludf.DUMMYFUNCTION("""COMPUTED_VALUE"""),16625.0)</f>
        <v>16625</v>
      </c>
      <c r="B1783" s="60" t="str">
        <f>IFERROR(__xludf.DUMMYFUNCTION("""COMPUTED_VALUE"""),"Wilson, Johnny")</f>
        <v>Wilson, Johnny</v>
      </c>
      <c r="C1783" s="60" t="str">
        <f>IFERROR(__xludf.DUMMYFUNCTION("""COMPUTED_VALUE"""),"WR")</f>
        <v>WR</v>
      </c>
      <c r="D1783" s="60" t="str">
        <f>IFERROR(__xludf.DUMMYFUNCTION("""COMPUTED_VALUE"""),"PHI")</f>
        <v>PHI</v>
      </c>
      <c r="E1783" s="62" t="str">
        <f t="shared" si="4"/>
        <v>Johnny Wilson</v>
      </c>
      <c r="F1783" s="62">
        <f t="shared" ref="F1783:G1783" si="3565">IF(isblank(F$1),,IF(isblank($A1783),,IFERROR(vlookup($A1783,indirect("'TVC-"&amp;text(month(F$1),"00")&amp;"'!$A:$D"),4,false),1)))</f>
        <v>869</v>
      </c>
      <c r="G1783" s="62">
        <f t="shared" si="3565"/>
        <v>830</v>
      </c>
      <c r="H1783" s="62">
        <f t="shared" ref="H1783:Q1783" si="3566">IF(isblank(H$1),,IFERROR(vlookup($A1783,indirect("'TVC-"&amp;text(month(H$1),"00")&amp;"'!$A:$D"),4,false),1))</f>
        <v>857</v>
      </c>
      <c r="I1783" s="62">
        <f t="shared" si="3566"/>
        <v>814</v>
      </c>
      <c r="J1783" s="62">
        <f t="shared" si="3566"/>
        <v>1</v>
      </c>
      <c r="K1783" s="62">
        <f t="shared" si="3566"/>
        <v>497</v>
      </c>
      <c r="L1783" s="62">
        <f t="shared" si="3566"/>
        <v>554</v>
      </c>
      <c r="M1783" s="62">
        <f t="shared" si="3566"/>
        <v>729</v>
      </c>
      <c r="N1783" s="62">
        <f t="shared" si="3566"/>
        <v>580</v>
      </c>
      <c r="O1783" s="62">
        <f t="shared" si="3566"/>
        <v>1</v>
      </c>
      <c r="P1783" s="62" t="str">
        <f t="shared" si="3566"/>
        <v/>
      </c>
      <c r="Q1783" s="62" t="str">
        <f t="shared" si="3566"/>
        <v/>
      </c>
      <c r="R1783" s="62">
        <f t="shared" si="7"/>
        <v>-579</v>
      </c>
      <c r="S1783" s="62"/>
      <c r="T1783" s="62"/>
      <c r="U1783" s="62"/>
      <c r="V1783" s="62"/>
      <c r="W1783" s="62"/>
      <c r="X1783" s="62"/>
      <c r="Y1783" s="62"/>
      <c r="Z1783" s="62"/>
      <c r="AA1783" s="62"/>
      <c r="AB1783" s="62"/>
      <c r="AC1783" s="62"/>
    </row>
    <row r="1784" hidden="1">
      <c r="A1784" s="60">
        <f>IFERROR(__xludf.DUMMYFUNCTION("""COMPUTED_VALUE"""),16626.0)</f>
        <v>16626</v>
      </c>
      <c r="B1784" s="60" t="str">
        <f>IFERROR(__xludf.DUMMYFUNCTION("""COMPUTED_VALUE"""),"Mitchell, Adonai")</f>
        <v>Mitchell, Adonai</v>
      </c>
      <c r="C1784" s="60" t="str">
        <f>IFERROR(__xludf.DUMMYFUNCTION("""COMPUTED_VALUE"""),"WR")</f>
        <v>WR</v>
      </c>
      <c r="D1784" s="60" t="str">
        <f>IFERROR(__xludf.DUMMYFUNCTION("""COMPUTED_VALUE"""),"NYJ")</f>
        <v>NYJ</v>
      </c>
      <c r="E1784" s="62" t="str">
        <f t="shared" si="4"/>
        <v>Adonai Mitchell</v>
      </c>
      <c r="F1784" s="62">
        <f t="shared" ref="F1784:G1784" si="3567">IF(isblank(F$1),,IF(isblank($A1784),,IFERROR(vlookup($A1784,indirect("'TVC-"&amp;text(month(F$1),"00")&amp;"'!$A:$D"),4,false),1)))</f>
        <v>2814</v>
      </c>
      <c r="G1784" s="62">
        <f t="shared" si="3567"/>
        <v>2766</v>
      </c>
      <c r="H1784" s="62">
        <f t="shared" ref="H1784:Q1784" si="3568">IF(isblank(H$1),,IFERROR(vlookup($A1784,indirect("'TVC-"&amp;text(month(H$1),"00")&amp;"'!$A:$D"),4,false),1))</f>
        <v>2709</v>
      </c>
      <c r="I1784" s="62">
        <f t="shared" si="3568"/>
        <v>2712</v>
      </c>
      <c r="J1784" s="62">
        <f t="shared" si="3568"/>
        <v>2557</v>
      </c>
      <c r="K1784" s="62">
        <f t="shared" si="3568"/>
        <v>2445</v>
      </c>
      <c r="L1784" s="62">
        <f t="shared" si="3568"/>
        <v>2542</v>
      </c>
      <c r="M1784" s="62">
        <f t="shared" si="3568"/>
        <v>2647</v>
      </c>
      <c r="N1784" s="62">
        <f t="shared" si="3568"/>
        <v>2555</v>
      </c>
      <c r="O1784" s="62">
        <f t="shared" si="3568"/>
        <v>1</v>
      </c>
      <c r="P1784" s="62" t="str">
        <f t="shared" si="3568"/>
        <v/>
      </c>
      <c r="Q1784" s="62" t="str">
        <f t="shared" si="3568"/>
        <v/>
      </c>
      <c r="R1784" s="62">
        <f t="shared" si="7"/>
        <v>-2554</v>
      </c>
      <c r="S1784" s="62"/>
      <c r="T1784" s="62"/>
      <c r="U1784" s="62"/>
      <c r="V1784" s="62"/>
      <c r="W1784" s="62"/>
      <c r="X1784" s="62"/>
      <c r="Y1784" s="62"/>
      <c r="Z1784" s="62"/>
      <c r="AA1784" s="62"/>
      <c r="AB1784" s="62"/>
      <c r="AC1784" s="62"/>
    </row>
    <row r="1785" hidden="1">
      <c r="A1785" s="60">
        <f>IFERROR(__xludf.DUMMYFUNCTION("""COMPUTED_VALUE"""),16627.0)</f>
        <v>16627</v>
      </c>
      <c r="B1785" s="60" t="str">
        <f>IFERROR(__xludf.DUMMYFUNCTION("""COMPUTED_VALUE"""),"McConkey, Ladd")</f>
        <v>McConkey, Ladd</v>
      </c>
      <c r="C1785" s="60" t="str">
        <f>IFERROR(__xludf.DUMMYFUNCTION("""COMPUTED_VALUE"""),"WR")</f>
        <v>WR</v>
      </c>
      <c r="D1785" s="60" t="str">
        <f>IFERROR(__xludf.DUMMYFUNCTION("""COMPUTED_VALUE"""),"LAC")</f>
        <v>LAC</v>
      </c>
      <c r="E1785" s="62" t="str">
        <f t="shared" si="4"/>
        <v>Ladd McConkey</v>
      </c>
      <c r="F1785" s="62">
        <f t="shared" ref="F1785:G1785" si="3569">IF(isblank(F$1),,IF(isblank($A1785),,IFERROR(vlookup($A1785,indirect("'TVC-"&amp;text(month(F$1),"00")&amp;"'!$A:$D"),4,false),1)))</f>
        <v>5256</v>
      </c>
      <c r="G1785" s="62">
        <f t="shared" si="3569"/>
        <v>5376</v>
      </c>
      <c r="H1785" s="62">
        <f t="shared" ref="H1785:Q1785" si="3570">IF(isblank(H$1),,IFERROR(vlookup($A1785,indirect("'TVC-"&amp;text(month(H$1),"00")&amp;"'!$A:$D"),4,false),1))</f>
        <v>5483</v>
      </c>
      <c r="I1785" s="62">
        <f t="shared" si="3570"/>
        <v>5399</v>
      </c>
      <c r="J1785" s="62">
        <f t="shared" si="3570"/>
        <v>5397</v>
      </c>
      <c r="K1785" s="62">
        <f t="shared" si="3570"/>
        <v>5412</v>
      </c>
      <c r="L1785" s="62">
        <f t="shared" si="3570"/>
        <v>5568</v>
      </c>
      <c r="M1785" s="62">
        <f t="shared" si="3570"/>
        <v>5586</v>
      </c>
      <c r="N1785" s="62">
        <f t="shared" si="3570"/>
        <v>5742</v>
      </c>
      <c r="O1785" s="62">
        <f t="shared" si="3570"/>
        <v>1</v>
      </c>
      <c r="P1785" s="62" t="str">
        <f t="shared" si="3570"/>
        <v/>
      </c>
      <c r="Q1785" s="62" t="str">
        <f t="shared" si="3570"/>
        <v/>
      </c>
      <c r="R1785" s="62">
        <f t="shared" si="7"/>
        <v>-5741</v>
      </c>
      <c r="S1785" s="62"/>
      <c r="T1785" s="62"/>
      <c r="U1785" s="62"/>
      <c r="V1785" s="62"/>
      <c r="W1785" s="62"/>
      <c r="X1785" s="62"/>
      <c r="Y1785" s="62"/>
      <c r="Z1785" s="62"/>
      <c r="AA1785" s="62"/>
      <c r="AB1785" s="62"/>
      <c r="AC1785" s="62"/>
    </row>
    <row r="1786" hidden="1">
      <c r="A1786" s="60">
        <f>IFERROR(__xludf.DUMMYFUNCTION("""COMPUTED_VALUE"""),16628.0)</f>
        <v>16628</v>
      </c>
      <c r="B1786" s="60" t="str">
        <f>IFERROR(__xludf.DUMMYFUNCTION("""COMPUTED_VALUE"""),"McMillan, Jalen")</f>
        <v>McMillan, Jalen</v>
      </c>
      <c r="C1786" s="60" t="str">
        <f>IFERROR(__xludf.DUMMYFUNCTION("""COMPUTED_VALUE"""),"WR")</f>
        <v>WR</v>
      </c>
      <c r="D1786" s="60" t="str">
        <f>IFERROR(__xludf.DUMMYFUNCTION("""COMPUTED_VALUE"""),"TBB")</f>
        <v>TBB</v>
      </c>
      <c r="E1786" s="62" t="str">
        <f t="shared" si="4"/>
        <v>Jalen McMillan</v>
      </c>
      <c r="F1786" s="62">
        <f t="shared" ref="F1786:G1786" si="3571">IF(isblank(F$1),,IF(isblank($A1786),,IFERROR(vlookup($A1786,indirect("'TVC-"&amp;text(month(F$1),"00")&amp;"'!$A:$D"),4,false),1)))</f>
        <v>2743</v>
      </c>
      <c r="G1786" s="62">
        <f t="shared" si="3571"/>
        <v>2864</v>
      </c>
      <c r="H1786" s="62">
        <f t="shared" ref="H1786:Q1786" si="3572">IF(isblank(H$1),,IFERROR(vlookup($A1786,indirect("'TVC-"&amp;text(month(H$1),"00")&amp;"'!$A:$D"),4,false),1))</f>
        <v>2849</v>
      </c>
      <c r="I1786" s="62">
        <f t="shared" si="3572"/>
        <v>3099</v>
      </c>
      <c r="J1786" s="62">
        <f t="shared" si="3572"/>
        <v>2998</v>
      </c>
      <c r="K1786" s="62">
        <f t="shared" si="3572"/>
        <v>2957</v>
      </c>
      <c r="L1786" s="62">
        <f t="shared" si="3572"/>
        <v>3074</v>
      </c>
      <c r="M1786" s="62">
        <f t="shared" si="3572"/>
        <v>3026</v>
      </c>
      <c r="N1786" s="62">
        <f t="shared" si="3572"/>
        <v>2791</v>
      </c>
      <c r="O1786" s="62">
        <f t="shared" si="3572"/>
        <v>1</v>
      </c>
      <c r="P1786" s="62" t="str">
        <f t="shared" si="3572"/>
        <v/>
      </c>
      <c r="Q1786" s="62" t="str">
        <f t="shared" si="3572"/>
        <v/>
      </c>
      <c r="R1786" s="62">
        <f t="shared" si="7"/>
        <v>-2790</v>
      </c>
      <c r="S1786" s="62"/>
      <c r="T1786" s="62"/>
      <c r="U1786" s="62"/>
      <c r="V1786" s="62"/>
      <c r="W1786" s="62"/>
      <c r="X1786" s="62"/>
      <c r="Y1786" s="62"/>
      <c r="Z1786" s="62"/>
      <c r="AA1786" s="62"/>
      <c r="AB1786" s="62"/>
      <c r="AC1786" s="62"/>
    </row>
    <row r="1787" hidden="1">
      <c r="A1787" s="60">
        <f>IFERROR(__xludf.DUMMYFUNCTION("""COMPUTED_VALUE"""),16629.0)</f>
        <v>16629</v>
      </c>
      <c r="B1787" s="60" t="str">
        <f>IFERROR(__xludf.DUMMYFUNCTION("""COMPUTED_VALUE"""),"Wilson, Roman")</f>
        <v>Wilson, Roman</v>
      </c>
      <c r="C1787" s="60" t="str">
        <f>IFERROR(__xludf.DUMMYFUNCTION("""COMPUTED_VALUE"""),"WR")</f>
        <v>WR</v>
      </c>
      <c r="D1787" s="60" t="str">
        <f>IFERROR(__xludf.DUMMYFUNCTION("""COMPUTED_VALUE"""),"PIT")</f>
        <v>PIT</v>
      </c>
      <c r="E1787" s="62" t="str">
        <f t="shared" si="4"/>
        <v>Roman Wilson</v>
      </c>
      <c r="F1787" s="62">
        <f t="shared" ref="F1787:G1787" si="3573">IF(isblank(F$1),,IF(isblank($A1787),,IFERROR(vlookup($A1787,indirect("'TVC-"&amp;text(month(F$1),"00")&amp;"'!$A:$D"),4,false),1)))</f>
        <v>1775</v>
      </c>
      <c r="G1787" s="62">
        <f t="shared" si="3573"/>
        <v>1730</v>
      </c>
      <c r="H1787" s="62">
        <f t="shared" ref="H1787:Q1787" si="3574">IF(isblank(H$1),,IFERROR(vlookup($A1787,indirect("'TVC-"&amp;text(month(H$1),"00")&amp;"'!$A:$D"),4,false),1))</f>
        <v>1730</v>
      </c>
      <c r="I1787" s="62">
        <f t="shared" si="3574"/>
        <v>1735</v>
      </c>
      <c r="J1787" s="62">
        <f t="shared" si="3574"/>
        <v>1661</v>
      </c>
      <c r="K1787" s="62">
        <f t="shared" si="3574"/>
        <v>1613</v>
      </c>
      <c r="L1787" s="62">
        <f t="shared" si="3574"/>
        <v>1567</v>
      </c>
      <c r="M1787" s="62">
        <f t="shared" si="3574"/>
        <v>1585</v>
      </c>
      <c r="N1787" s="62">
        <f t="shared" si="3574"/>
        <v>1823</v>
      </c>
      <c r="O1787" s="62">
        <f t="shared" si="3574"/>
        <v>1</v>
      </c>
      <c r="P1787" s="62" t="str">
        <f t="shared" si="3574"/>
        <v/>
      </c>
      <c r="Q1787" s="62" t="str">
        <f t="shared" si="3574"/>
        <v/>
      </c>
      <c r="R1787" s="62">
        <f t="shared" si="7"/>
        <v>-1822</v>
      </c>
      <c r="S1787" s="62"/>
      <c r="T1787" s="62"/>
      <c r="U1787" s="62"/>
      <c r="V1787" s="62"/>
      <c r="W1787" s="62"/>
      <c r="X1787" s="62"/>
      <c r="Y1787" s="62"/>
      <c r="Z1787" s="62"/>
      <c r="AA1787" s="62"/>
      <c r="AB1787" s="62"/>
      <c r="AC1787" s="62"/>
    </row>
    <row r="1788" hidden="1">
      <c r="A1788" s="60">
        <f>IFERROR(__xludf.DUMMYFUNCTION("""COMPUTED_VALUE"""),16630.0)</f>
        <v>16630</v>
      </c>
      <c r="B1788" s="60" t="str">
        <f>IFERROR(__xludf.DUMMYFUNCTION("""COMPUTED_VALUE"""),"Williams, Isaiah")</f>
        <v>Williams, Isaiah</v>
      </c>
      <c r="C1788" s="60" t="str">
        <f>IFERROR(__xludf.DUMMYFUNCTION("""COMPUTED_VALUE"""),"WR")</f>
        <v>WR</v>
      </c>
      <c r="D1788" s="60" t="str">
        <f>IFERROR(__xludf.DUMMYFUNCTION("""COMPUTED_VALUE"""),"NYJ")</f>
        <v>NYJ</v>
      </c>
      <c r="E1788" s="62" t="str">
        <f t="shared" si="4"/>
        <v>Isaiah Williams</v>
      </c>
      <c r="F1788" s="62">
        <f t="shared" ref="F1788:G1788" si="3575">IF(isblank(F$1),,IF(isblank($A1788),,IFERROR(vlookup($A1788,indirect("'TVC-"&amp;text(month(F$1),"00")&amp;"'!$A:$D"),4,false),1)))</f>
        <v>1</v>
      </c>
      <c r="G1788" s="62">
        <f t="shared" si="3575"/>
        <v>1</v>
      </c>
      <c r="H1788" s="62">
        <f t="shared" ref="H1788:Q1788" si="3576">IF(isblank(H$1),,IFERROR(vlookup($A1788,indirect("'TVC-"&amp;text(month(H$1),"00")&amp;"'!$A:$D"),4,false),1))</f>
        <v>1</v>
      </c>
      <c r="I1788" s="62">
        <f t="shared" si="3576"/>
        <v>1</v>
      </c>
      <c r="J1788" s="62">
        <f t="shared" si="3576"/>
        <v>1</v>
      </c>
      <c r="K1788" s="62">
        <f t="shared" si="3576"/>
        <v>1</v>
      </c>
      <c r="L1788" s="62">
        <f t="shared" si="3576"/>
        <v>1</v>
      </c>
      <c r="M1788" s="62">
        <f t="shared" si="3576"/>
        <v>1</v>
      </c>
      <c r="N1788" s="62">
        <f t="shared" si="3576"/>
        <v>1</v>
      </c>
      <c r="O1788" s="62">
        <f t="shared" si="3576"/>
        <v>1</v>
      </c>
      <c r="P1788" s="62" t="str">
        <f t="shared" si="3576"/>
        <v/>
      </c>
      <c r="Q1788" s="62" t="str">
        <f t="shared" si="3576"/>
        <v/>
      </c>
      <c r="R1788" s="62">
        <f t="shared" si="7"/>
        <v>0</v>
      </c>
      <c r="S1788" s="62"/>
      <c r="T1788" s="62"/>
      <c r="U1788" s="62"/>
      <c r="V1788" s="62"/>
      <c r="W1788" s="62"/>
      <c r="X1788" s="62"/>
      <c r="Y1788" s="62"/>
      <c r="Z1788" s="62"/>
      <c r="AA1788" s="62"/>
      <c r="AB1788" s="62"/>
      <c r="AC1788" s="62"/>
    </row>
    <row r="1789" hidden="1">
      <c r="A1789" s="60">
        <f>IFERROR(__xludf.DUMMYFUNCTION("""COMPUTED_VALUE"""),16631.0)</f>
        <v>16631</v>
      </c>
      <c r="B1789" s="60" t="str">
        <f>IFERROR(__xludf.DUMMYFUNCTION("""COMPUTED_VALUE"""),"Polk, Ja'Lynn")</f>
        <v>Polk, Ja'Lynn</v>
      </c>
      <c r="C1789" s="60" t="str">
        <f>IFERROR(__xludf.DUMMYFUNCTION("""COMPUTED_VALUE"""),"WR")</f>
        <v>WR</v>
      </c>
      <c r="D1789" s="60" t="str">
        <f>IFERROR(__xludf.DUMMYFUNCTION("""COMPUTED_VALUE"""),"FA")</f>
        <v>FA</v>
      </c>
      <c r="E1789" s="62" t="str">
        <f t="shared" si="4"/>
        <v>Ja'Lynn Polk</v>
      </c>
      <c r="F1789" s="62">
        <f t="shared" ref="F1789:G1789" si="3577">IF(isblank(F$1),,IF(isblank($A1789),,IFERROR(vlookup($A1789,indirect("'TVC-"&amp;text(month(F$1),"00")&amp;"'!$A:$D"),4,false),1)))</f>
        <v>1257</v>
      </c>
      <c r="G1789" s="62">
        <f t="shared" si="3577"/>
        <v>1373</v>
      </c>
      <c r="H1789" s="62">
        <f t="shared" ref="H1789:Q1789" si="3578">IF(isblank(H$1),,IFERROR(vlookup($A1789,indirect("'TVC-"&amp;text(month(H$1),"00")&amp;"'!$A:$D"),4,false),1))</f>
        <v>1452</v>
      </c>
      <c r="I1789" s="62">
        <f t="shared" si="3578"/>
        <v>1603</v>
      </c>
      <c r="J1789" s="62">
        <f t="shared" si="3578"/>
        <v>1487</v>
      </c>
      <c r="K1789" s="62">
        <f t="shared" si="3578"/>
        <v>1469</v>
      </c>
      <c r="L1789" s="62">
        <f t="shared" si="3578"/>
        <v>1396</v>
      </c>
      <c r="M1789" s="62">
        <f t="shared" si="3578"/>
        <v>1393</v>
      </c>
      <c r="N1789" s="62">
        <f t="shared" si="3578"/>
        <v>1</v>
      </c>
      <c r="O1789" s="62">
        <f t="shared" si="3578"/>
        <v>1</v>
      </c>
      <c r="P1789" s="62" t="str">
        <f t="shared" si="3578"/>
        <v/>
      </c>
      <c r="Q1789" s="62" t="str">
        <f t="shared" si="3578"/>
        <v/>
      </c>
      <c r="R1789" s="62">
        <f t="shared" si="7"/>
        <v>0</v>
      </c>
      <c r="S1789" s="62"/>
      <c r="T1789" s="62"/>
      <c r="U1789" s="62"/>
      <c r="V1789" s="62"/>
      <c r="W1789" s="62"/>
      <c r="X1789" s="62"/>
      <c r="Y1789" s="62"/>
      <c r="Z1789" s="62"/>
      <c r="AA1789" s="62"/>
      <c r="AB1789" s="62"/>
      <c r="AC1789" s="62"/>
    </row>
    <row r="1790" hidden="1">
      <c r="A1790" s="60">
        <f>IFERROR(__xludf.DUMMYFUNCTION("""COMPUTED_VALUE"""),16632.0)</f>
        <v>16632</v>
      </c>
      <c r="B1790" s="60" t="str">
        <f>IFERROR(__xludf.DUMMYFUNCTION("""COMPUTED_VALUE"""),"Burton, Jermaine")</f>
        <v>Burton, Jermaine</v>
      </c>
      <c r="C1790" s="60" t="str">
        <f>IFERROR(__xludf.DUMMYFUNCTION("""COMPUTED_VALUE"""),"WR")</f>
        <v>WR</v>
      </c>
      <c r="D1790" s="60" t="str">
        <f>IFERROR(__xludf.DUMMYFUNCTION("""COMPUTED_VALUE"""),"FA")</f>
        <v>FA</v>
      </c>
      <c r="E1790" s="62" t="str">
        <f t="shared" si="4"/>
        <v>Jermaine Burton</v>
      </c>
      <c r="F1790" s="62">
        <f t="shared" ref="F1790:G1790" si="3579">IF(isblank(F$1),,IF(isblank($A1790),,IFERROR(vlookup($A1790,indirect("'TVC-"&amp;text(month(F$1),"00")&amp;"'!$A:$D"),4,false),1)))</f>
        <v>836</v>
      </c>
      <c r="G1790" s="62">
        <f t="shared" si="3579"/>
        <v>771</v>
      </c>
      <c r="H1790" s="62">
        <f t="shared" ref="H1790:Q1790" si="3580">IF(isblank(H$1),,IFERROR(vlookup($A1790,indirect("'TVC-"&amp;text(month(H$1),"00")&amp;"'!$A:$D"),4,false),1))</f>
        <v>764</v>
      </c>
      <c r="I1790" s="62">
        <f t="shared" si="3580"/>
        <v>690</v>
      </c>
      <c r="J1790" s="62">
        <f t="shared" si="3580"/>
        <v>1</v>
      </c>
      <c r="K1790" s="62">
        <f t="shared" si="3580"/>
        <v>1</v>
      </c>
      <c r="L1790" s="62">
        <f t="shared" si="3580"/>
        <v>1</v>
      </c>
      <c r="M1790" s="62">
        <f t="shared" si="3580"/>
        <v>1</v>
      </c>
      <c r="N1790" s="62">
        <f t="shared" si="3580"/>
        <v>1</v>
      </c>
      <c r="O1790" s="62">
        <f t="shared" si="3580"/>
        <v>1</v>
      </c>
      <c r="P1790" s="62" t="str">
        <f t="shared" si="3580"/>
        <v/>
      </c>
      <c r="Q1790" s="62" t="str">
        <f t="shared" si="3580"/>
        <v/>
      </c>
      <c r="R1790" s="62">
        <f t="shared" si="7"/>
        <v>0</v>
      </c>
      <c r="S1790" s="62"/>
      <c r="T1790" s="62"/>
      <c r="U1790" s="62"/>
      <c r="V1790" s="62"/>
      <c r="W1790" s="62"/>
      <c r="X1790" s="62"/>
      <c r="Y1790" s="62"/>
      <c r="Z1790" s="62"/>
      <c r="AA1790" s="62"/>
      <c r="AB1790" s="62"/>
      <c r="AC1790" s="62"/>
    </row>
    <row r="1791" hidden="1">
      <c r="A1791" s="60">
        <f>IFERROR(__xludf.DUMMYFUNCTION("""COMPUTED_VALUE"""),16633.0)</f>
        <v>16633</v>
      </c>
      <c r="B1791" s="60" t="str">
        <f>IFERROR(__xludf.DUMMYFUNCTION("""COMPUTED_VALUE"""),"Whittington, Jordan")</f>
        <v>Whittington, Jordan</v>
      </c>
      <c r="C1791" s="60" t="str">
        <f>IFERROR(__xludf.DUMMYFUNCTION("""COMPUTED_VALUE"""),"WR")</f>
        <v>WR</v>
      </c>
      <c r="D1791" s="60" t="str">
        <f>IFERROR(__xludf.DUMMYFUNCTION("""COMPUTED_VALUE"""),"LAR")</f>
        <v>LAR</v>
      </c>
      <c r="E1791" s="62" t="str">
        <f t="shared" si="4"/>
        <v>Jordan Whittington</v>
      </c>
      <c r="F1791" s="62">
        <f t="shared" ref="F1791:G1791" si="3581">IF(isblank(F$1),,IF(isblank($A1791),,IFERROR(vlookup($A1791,indirect("'TVC-"&amp;text(month(F$1),"00")&amp;"'!$A:$D"),4,false),1)))</f>
        <v>1520</v>
      </c>
      <c r="G1791" s="62">
        <f t="shared" si="3581"/>
        <v>1603</v>
      </c>
      <c r="H1791" s="62">
        <f t="shared" ref="H1791:Q1791" si="3582">IF(isblank(H$1),,IFERROR(vlookup($A1791,indirect("'TVC-"&amp;text(month(H$1),"00")&amp;"'!$A:$D"),4,false),1))</f>
        <v>1633</v>
      </c>
      <c r="I1791" s="62">
        <f t="shared" si="3582"/>
        <v>1606</v>
      </c>
      <c r="J1791" s="62">
        <f t="shared" si="3582"/>
        <v>1580</v>
      </c>
      <c r="K1791" s="62">
        <f t="shared" si="3582"/>
        <v>1563</v>
      </c>
      <c r="L1791" s="62">
        <f t="shared" si="3582"/>
        <v>1560</v>
      </c>
      <c r="M1791" s="62">
        <f t="shared" si="3582"/>
        <v>1402</v>
      </c>
      <c r="N1791" s="62">
        <f t="shared" si="3582"/>
        <v>1430</v>
      </c>
      <c r="O1791" s="62">
        <f t="shared" si="3582"/>
        <v>1</v>
      </c>
      <c r="P1791" s="62" t="str">
        <f t="shared" si="3582"/>
        <v/>
      </c>
      <c r="Q1791" s="62" t="str">
        <f t="shared" si="3582"/>
        <v/>
      </c>
      <c r="R1791" s="62">
        <f t="shared" si="7"/>
        <v>-1429</v>
      </c>
      <c r="S1791" s="62"/>
      <c r="T1791" s="62"/>
      <c r="U1791" s="62"/>
      <c r="V1791" s="62"/>
      <c r="W1791" s="62"/>
      <c r="X1791" s="62"/>
      <c r="Y1791" s="62"/>
      <c r="Z1791" s="62"/>
      <c r="AA1791" s="62"/>
      <c r="AB1791" s="62"/>
      <c r="AC1791" s="62"/>
    </row>
    <row r="1792" hidden="1">
      <c r="A1792" s="60">
        <f>IFERROR(__xludf.DUMMYFUNCTION("""COMPUTED_VALUE"""),16634.0)</f>
        <v>16634</v>
      </c>
      <c r="B1792" s="60" t="str">
        <f>IFERROR(__xludf.DUMMYFUNCTION("""COMPUTED_VALUE"""),"Weaver, Xavier")</f>
        <v>Weaver, Xavier</v>
      </c>
      <c r="C1792" s="60" t="str">
        <f>IFERROR(__xludf.DUMMYFUNCTION("""COMPUTED_VALUE"""),"WR")</f>
        <v>WR</v>
      </c>
      <c r="D1792" s="60" t="str">
        <f>IFERROR(__xludf.DUMMYFUNCTION("""COMPUTED_VALUE"""),"FA")</f>
        <v>FA</v>
      </c>
      <c r="E1792" s="62" t="str">
        <f t="shared" si="4"/>
        <v>Xavier Weaver</v>
      </c>
      <c r="F1792" s="62">
        <f t="shared" ref="F1792:G1792" si="3583">IF(isblank(F$1),,IF(isblank($A1792),,IFERROR(vlookup($A1792,indirect("'TVC-"&amp;text(month(F$1),"00")&amp;"'!$A:$D"),4,false),1)))</f>
        <v>1</v>
      </c>
      <c r="G1792" s="62">
        <f t="shared" si="3583"/>
        <v>1</v>
      </c>
      <c r="H1792" s="62">
        <f t="shared" ref="H1792:Q1792" si="3584">IF(isblank(H$1),,IFERROR(vlookup($A1792,indirect("'TVC-"&amp;text(month(H$1),"00")&amp;"'!$A:$D"),4,false),1))</f>
        <v>1</v>
      </c>
      <c r="I1792" s="62">
        <f t="shared" si="3584"/>
        <v>1</v>
      </c>
      <c r="J1792" s="62">
        <f t="shared" si="3584"/>
        <v>1</v>
      </c>
      <c r="K1792" s="62">
        <f t="shared" si="3584"/>
        <v>1</v>
      </c>
      <c r="L1792" s="62">
        <f t="shared" si="3584"/>
        <v>1</v>
      </c>
      <c r="M1792" s="62">
        <f t="shared" si="3584"/>
        <v>1</v>
      </c>
      <c r="N1792" s="62">
        <f t="shared" si="3584"/>
        <v>1</v>
      </c>
      <c r="O1792" s="62">
        <f t="shared" si="3584"/>
        <v>1</v>
      </c>
      <c r="P1792" s="62" t="str">
        <f t="shared" si="3584"/>
        <v/>
      </c>
      <c r="Q1792" s="62" t="str">
        <f t="shared" si="3584"/>
        <v/>
      </c>
      <c r="R1792" s="62">
        <f t="shared" si="7"/>
        <v>0</v>
      </c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</row>
    <row r="1793" hidden="1">
      <c r="A1793" s="60">
        <f>IFERROR(__xludf.DUMMYFUNCTION("""COMPUTED_VALUE"""),16635.0)</f>
        <v>16635</v>
      </c>
      <c r="B1793" s="60" t="str">
        <f>IFERROR(__xludf.DUMMYFUNCTION("""COMPUTED_VALUE"""),"McCaffrey, Luke")</f>
        <v>McCaffrey, Luke</v>
      </c>
      <c r="C1793" s="60" t="str">
        <f>IFERROR(__xludf.DUMMYFUNCTION("""COMPUTED_VALUE"""),"WR")</f>
        <v>WR</v>
      </c>
      <c r="D1793" s="60" t="str">
        <f>IFERROR(__xludf.DUMMYFUNCTION("""COMPUTED_VALUE"""),"WAS")</f>
        <v>WAS</v>
      </c>
      <c r="E1793" s="62" t="str">
        <f t="shared" si="4"/>
        <v>Luke McCaffrey</v>
      </c>
      <c r="F1793" s="62">
        <f t="shared" ref="F1793:G1793" si="3585">IF(isblank(F$1),,IF(isblank($A1793),,IFERROR(vlookup($A1793,indirect("'TVC-"&amp;text(month(F$1),"00")&amp;"'!$A:$D"),4,false),1)))</f>
        <v>1899</v>
      </c>
      <c r="G1793" s="62">
        <f t="shared" si="3585"/>
        <v>1848</v>
      </c>
      <c r="H1793" s="62">
        <f t="shared" ref="H1793:Q1793" si="3586">IF(isblank(H$1),,IFERROR(vlookup($A1793,indirect("'TVC-"&amp;text(month(H$1),"00")&amp;"'!$A:$D"),4,false),1))</f>
        <v>1884</v>
      </c>
      <c r="I1793" s="62">
        <f t="shared" si="3586"/>
        <v>1799</v>
      </c>
      <c r="J1793" s="62">
        <f t="shared" si="3586"/>
        <v>1734</v>
      </c>
      <c r="K1793" s="62">
        <f t="shared" si="3586"/>
        <v>1710</v>
      </c>
      <c r="L1793" s="62">
        <f t="shared" si="3586"/>
        <v>1644</v>
      </c>
      <c r="M1793" s="62">
        <f t="shared" si="3586"/>
        <v>1592</v>
      </c>
      <c r="N1793" s="62">
        <f t="shared" si="3586"/>
        <v>1503</v>
      </c>
      <c r="O1793" s="62">
        <f t="shared" si="3586"/>
        <v>1</v>
      </c>
      <c r="P1793" s="62" t="str">
        <f t="shared" si="3586"/>
        <v/>
      </c>
      <c r="Q1793" s="62" t="str">
        <f t="shared" si="3586"/>
        <v/>
      </c>
      <c r="R1793" s="62">
        <f t="shared" si="7"/>
        <v>-1502</v>
      </c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</row>
    <row r="1794" hidden="1">
      <c r="A1794" s="60">
        <f>IFERROR(__xludf.DUMMYFUNCTION("""COMPUTED_VALUE"""),16636.0)</f>
        <v>16636</v>
      </c>
      <c r="B1794" s="60" t="str">
        <f>IFERROR(__xludf.DUMMYFUNCTION("""COMPUTED_VALUE"""),"Corley, Malachi")</f>
        <v>Corley, Malachi</v>
      </c>
      <c r="C1794" s="60" t="str">
        <f>IFERROR(__xludf.DUMMYFUNCTION("""COMPUTED_VALUE"""),"WR")</f>
        <v>WR</v>
      </c>
      <c r="D1794" s="60" t="str">
        <f>IFERROR(__xludf.DUMMYFUNCTION("""COMPUTED_VALUE"""),"CLE")</f>
        <v>CLE</v>
      </c>
      <c r="E1794" s="62" t="str">
        <f t="shared" si="4"/>
        <v>Malachi Corley</v>
      </c>
      <c r="F1794" s="62">
        <f t="shared" ref="F1794:G1794" si="3587">IF(isblank(F$1),,IF(isblank($A1794),,IFERROR(vlookup($A1794,indirect("'TVC-"&amp;text(month(F$1),"00")&amp;"'!$A:$D"),4,false),1)))</f>
        <v>1180</v>
      </c>
      <c r="G1794" s="62">
        <f t="shared" si="3587"/>
        <v>1172</v>
      </c>
      <c r="H1794" s="62">
        <f t="shared" ref="H1794:Q1794" si="3588">IF(isblank(H$1),,IFERROR(vlookup($A1794,indirect("'TVC-"&amp;text(month(H$1),"00")&amp;"'!$A:$D"),4,false),1))</f>
        <v>1149</v>
      </c>
      <c r="I1794" s="62">
        <f t="shared" si="3588"/>
        <v>1244</v>
      </c>
      <c r="J1794" s="62">
        <f t="shared" si="3588"/>
        <v>1248</v>
      </c>
      <c r="K1794" s="62">
        <f t="shared" si="3588"/>
        <v>1225</v>
      </c>
      <c r="L1794" s="62">
        <f t="shared" si="3588"/>
        <v>1224</v>
      </c>
      <c r="M1794" s="62">
        <f t="shared" si="3588"/>
        <v>1269</v>
      </c>
      <c r="N1794" s="62">
        <f t="shared" si="3588"/>
        <v>1205</v>
      </c>
      <c r="O1794" s="62">
        <f t="shared" si="3588"/>
        <v>1</v>
      </c>
      <c r="P1794" s="62" t="str">
        <f t="shared" si="3588"/>
        <v/>
      </c>
      <c r="Q1794" s="62" t="str">
        <f t="shared" si="3588"/>
        <v/>
      </c>
      <c r="R1794" s="62">
        <f t="shared" si="7"/>
        <v>-1204</v>
      </c>
      <c r="S1794" s="62"/>
      <c r="T1794" s="62"/>
      <c r="U1794" s="62"/>
      <c r="V1794" s="62"/>
      <c r="W1794" s="62"/>
      <c r="X1794" s="62"/>
      <c r="Y1794" s="62"/>
      <c r="Z1794" s="62"/>
      <c r="AA1794" s="62"/>
      <c r="AB1794" s="62"/>
      <c r="AC1794" s="62"/>
    </row>
    <row r="1795" hidden="1">
      <c r="A1795" s="60">
        <f>IFERROR(__xludf.DUMMYFUNCTION("""COMPUTED_VALUE"""),16637.0)</f>
        <v>16637</v>
      </c>
      <c r="B1795" s="60" t="str">
        <f>IFERROR(__xludf.DUMMYFUNCTION("""COMPUTED_VALUE"""),"Baker, Javon")</f>
        <v>Baker, Javon</v>
      </c>
      <c r="C1795" s="60" t="str">
        <f>IFERROR(__xludf.DUMMYFUNCTION("""COMPUTED_VALUE"""),"WR")</f>
        <v>WR</v>
      </c>
      <c r="D1795" s="60" t="str">
        <f>IFERROR(__xludf.DUMMYFUNCTION("""COMPUTED_VALUE"""),"SFO")</f>
        <v>SFO</v>
      </c>
      <c r="E1795" s="62" t="str">
        <f t="shared" si="4"/>
        <v>Javon Baker</v>
      </c>
      <c r="F1795" s="62">
        <f t="shared" ref="F1795:G1795" si="3589">IF(isblank(F$1),,IF(isblank($A1795),,IFERROR(vlookup($A1795,indirect("'TVC-"&amp;text(month(F$1),"00")&amp;"'!$A:$D"),4,false),1)))</f>
        <v>1017</v>
      </c>
      <c r="G1795" s="62">
        <f t="shared" si="3589"/>
        <v>1014</v>
      </c>
      <c r="H1795" s="62">
        <f t="shared" ref="H1795:Q1795" si="3590">IF(isblank(H$1),,IFERROR(vlookup($A1795,indirect("'TVC-"&amp;text(month(H$1),"00")&amp;"'!$A:$D"),4,false),1))</f>
        <v>1020</v>
      </c>
      <c r="I1795" s="62">
        <f t="shared" si="3590"/>
        <v>1121</v>
      </c>
      <c r="J1795" s="62">
        <f t="shared" si="3590"/>
        <v>1115</v>
      </c>
      <c r="K1795" s="62">
        <f t="shared" si="3590"/>
        <v>1072</v>
      </c>
      <c r="L1795" s="62">
        <f t="shared" si="3590"/>
        <v>1097</v>
      </c>
      <c r="M1795" s="62">
        <f t="shared" si="3590"/>
        <v>1007</v>
      </c>
      <c r="N1795" s="62">
        <f t="shared" si="3590"/>
        <v>976</v>
      </c>
      <c r="O1795" s="62">
        <f t="shared" si="3590"/>
        <v>1</v>
      </c>
      <c r="P1795" s="62" t="str">
        <f t="shared" si="3590"/>
        <v/>
      </c>
      <c r="Q1795" s="62" t="str">
        <f t="shared" si="3590"/>
        <v/>
      </c>
      <c r="R1795" s="62">
        <f t="shared" si="7"/>
        <v>-975</v>
      </c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</row>
    <row r="1796" hidden="1">
      <c r="A1796" s="60">
        <f>IFERROR(__xludf.DUMMYFUNCTION("""COMPUTED_VALUE"""),16639.0)</f>
        <v>16639</v>
      </c>
      <c r="B1796" s="60" t="str">
        <f>IFERROR(__xludf.DUMMYFUNCTION("""COMPUTED_VALUE"""),"Legette, Xavier")</f>
        <v>Legette, Xavier</v>
      </c>
      <c r="C1796" s="60" t="str">
        <f>IFERROR(__xludf.DUMMYFUNCTION("""COMPUTED_VALUE"""),"WR")</f>
        <v>WR</v>
      </c>
      <c r="D1796" s="60" t="str">
        <f>IFERROR(__xludf.DUMMYFUNCTION("""COMPUTED_VALUE"""),"CAR")</f>
        <v>CAR</v>
      </c>
      <c r="E1796" s="62" t="str">
        <f t="shared" si="4"/>
        <v>Xavier Legette</v>
      </c>
      <c r="F1796" s="62">
        <f t="shared" ref="F1796:G1796" si="3591">IF(isblank(F$1),,IF(isblank($A1796),,IFERROR(vlookup($A1796,indirect("'TVC-"&amp;text(month(F$1),"00")&amp;"'!$A:$D"),4,false),1)))</f>
        <v>2303</v>
      </c>
      <c r="G1796" s="62">
        <f t="shared" si="3591"/>
        <v>2207</v>
      </c>
      <c r="H1796" s="62">
        <f t="shared" ref="H1796:Q1796" si="3592">IF(isblank(H$1),,IFERROR(vlookup($A1796,indirect("'TVC-"&amp;text(month(H$1),"00")&amp;"'!$A:$D"),4,false),1))</f>
        <v>2203</v>
      </c>
      <c r="I1796" s="62">
        <f t="shared" si="3592"/>
        <v>2141</v>
      </c>
      <c r="J1796" s="62">
        <f t="shared" si="3592"/>
        <v>2051</v>
      </c>
      <c r="K1796" s="62">
        <f t="shared" si="3592"/>
        <v>1944</v>
      </c>
      <c r="L1796" s="62">
        <f t="shared" si="3592"/>
        <v>1908</v>
      </c>
      <c r="M1796" s="62">
        <f t="shared" si="3592"/>
        <v>1873</v>
      </c>
      <c r="N1796" s="62">
        <f t="shared" si="3592"/>
        <v>1901</v>
      </c>
      <c r="O1796" s="62">
        <f t="shared" si="3592"/>
        <v>1</v>
      </c>
      <c r="P1796" s="62" t="str">
        <f t="shared" si="3592"/>
        <v/>
      </c>
      <c r="Q1796" s="62" t="str">
        <f t="shared" si="3592"/>
        <v/>
      </c>
      <c r="R1796" s="62">
        <f t="shared" si="7"/>
        <v>-1900</v>
      </c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</row>
    <row r="1797" hidden="1">
      <c r="A1797" s="60">
        <f>IFERROR(__xludf.DUMMYFUNCTION("""COMPUTED_VALUE"""),16640.0)</f>
        <v>16640</v>
      </c>
      <c r="B1797" s="60" t="str">
        <f>IFERROR(__xludf.DUMMYFUNCTION("""COMPUTED_VALUE"""),"Cowing, Jacob")</f>
        <v>Cowing, Jacob</v>
      </c>
      <c r="C1797" s="60" t="str">
        <f>IFERROR(__xludf.DUMMYFUNCTION("""COMPUTED_VALUE"""),"WR")</f>
        <v>WR</v>
      </c>
      <c r="D1797" s="60" t="str">
        <f>IFERROR(__xludf.DUMMYFUNCTION("""COMPUTED_VALUE"""),"SFO")</f>
        <v>SFO</v>
      </c>
      <c r="E1797" s="62" t="str">
        <f t="shared" si="4"/>
        <v>Jacob Cowing</v>
      </c>
      <c r="F1797" s="62">
        <f t="shared" ref="F1797:G1797" si="3593">IF(isblank(F$1),,IF(isblank($A1797),,IFERROR(vlookup($A1797,indirect("'TVC-"&amp;text(month(F$1),"00")&amp;"'!$A:$D"),4,false),1)))</f>
        <v>1006</v>
      </c>
      <c r="G1797" s="62">
        <f t="shared" si="3593"/>
        <v>1055</v>
      </c>
      <c r="H1797" s="62">
        <f t="shared" ref="H1797:Q1797" si="3594">IF(isblank(H$1),,IFERROR(vlookup($A1797,indirect("'TVC-"&amp;text(month(H$1),"00")&amp;"'!$A:$D"),4,false),1))</f>
        <v>1061</v>
      </c>
      <c r="I1797" s="62">
        <f t="shared" si="3594"/>
        <v>1120</v>
      </c>
      <c r="J1797" s="62">
        <f t="shared" si="3594"/>
        <v>1122</v>
      </c>
      <c r="K1797" s="62">
        <f t="shared" si="3594"/>
        <v>1060</v>
      </c>
      <c r="L1797" s="62">
        <f t="shared" si="3594"/>
        <v>1088</v>
      </c>
      <c r="M1797" s="62">
        <f t="shared" si="3594"/>
        <v>1127</v>
      </c>
      <c r="N1797" s="62">
        <f t="shared" si="3594"/>
        <v>1127</v>
      </c>
      <c r="O1797" s="62">
        <f t="shared" si="3594"/>
        <v>1</v>
      </c>
      <c r="P1797" s="62" t="str">
        <f t="shared" si="3594"/>
        <v/>
      </c>
      <c r="Q1797" s="62" t="str">
        <f t="shared" si="3594"/>
        <v/>
      </c>
      <c r="R1797" s="62">
        <f t="shared" si="7"/>
        <v>-1126</v>
      </c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</row>
    <row r="1798" hidden="1">
      <c r="A1798" s="60">
        <f>IFERROR(__xludf.DUMMYFUNCTION("""COMPUTED_VALUE"""),16641.0)</f>
        <v>16641</v>
      </c>
      <c r="B1798" s="60" t="str">
        <f>IFERROR(__xludf.DUMMYFUNCTION("""COMPUTED_VALUE"""),"Bowers, Brock")</f>
        <v>Bowers, Brock</v>
      </c>
      <c r="C1798" s="60" t="str">
        <f>IFERROR(__xludf.DUMMYFUNCTION("""COMPUTED_VALUE"""),"TE")</f>
        <v>TE</v>
      </c>
      <c r="D1798" s="60" t="str">
        <f>IFERROR(__xludf.DUMMYFUNCTION("""COMPUTED_VALUE"""),"LVR")</f>
        <v>LVR</v>
      </c>
      <c r="E1798" s="62" t="str">
        <f t="shared" si="4"/>
        <v>Brock Bowers</v>
      </c>
      <c r="F1798" s="62">
        <f t="shared" ref="F1798:G1798" si="3595">IF(isblank(F$1),,IF(isblank($A1798),,IFERROR(vlookup($A1798,indirect("'TVC-"&amp;text(month(F$1),"00")&amp;"'!$A:$D"),4,false),1)))</f>
        <v>8454</v>
      </c>
      <c r="G1798" s="62">
        <f t="shared" si="3595"/>
        <v>8425</v>
      </c>
      <c r="H1798" s="62">
        <f t="shared" ref="H1798:Q1798" si="3596">IF(isblank(H$1),,IFERROR(vlookup($A1798,indirect("'TVC-"&amp;text(month(H$1),"00")&amp;"'!$A:$D"),4,false),1))</f>
        <v>8472</v>
      </c>
      <c r="I1798" s="62">
        <f t="shared" si="3596"/>
        <v>8555</v>
      </c>
      <c r="J1798" s="62">
        <f t="shared" si="3596"/>
        <v>8802</v>
      </c>
      <c r="K1798" s="62">
        <f t="shared" si="3596"/>
        <v>8907</v>
      </c>
      <c r="L1798" s="62">
        <f t="shared" si="3596"/>
        <v>8999</v>
      </c>
      <c r="M1798" s="62">
        <f t="shared" si="3596"/>
        <v>8999</v>
      </c>
      <c r="N1798" s="62">
        <f t="shared" si="3596"/>
        <v>9140</v>
      </c>
      <c r="O1798" s="62">
        <f t="shared" si="3596"/>
        <v>1</v>
      </c>
      <c r="P1798" s="62" t="str">
        <f t="shared" si="3596"/>
        <v/>
      </c>
      <c r="Q1798" s="62" t="str">
        <f t="shared" si="3596"/>
        <v/>
      </c>
      <c r="R1798" s="62">
        <f t="shared" si="7"/>
        <v>-9139</v>
      </c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</row>
    <row r="1799" hidden="1">
      <c r="A1799" s="60">
        <f>IFERROR(__xludf.DUMMYFUNCTION("""COMPUTED_VALUE"""),16642.0)</f>
        <v>16642</v>
      </c>
      <c r="B1799" s="60" t="str">
        <f>IFERROR(__xludf.DUMMYFUNCTION("""COMPUTED_VALUE"""),"Stover, Cade")</f>
        <v>Stover, Cade</v>
      </c>
      <c r="C1799" s="60" t="str">
        <f>IFERROR(__xludf.DUMMYFUNCTION("""COMPUTED_VALUE"""),"TE")</f>
        <v>TE</v>
      </c>
      <c r="D1799" s="60" t="str">
        <f>IFERROR(__xludf.DUMMYFUNCTION("""COMPUTED_VALUE"""),"HOU")</f>
        <v>HOU</v>
      </c>
      <c r="E1799" s="62" t="str">
        <f t="shared" si="4"/>
        <v>Cade Stover</v>
      </c>
      <c r="F1799" s="62">
        <f t="shared" ref="F1799:G1799" si="3597">IF(isblank(F$1),,IF(isblank($A1799),,IFERROR(vlookup($A1799,indirect("'TVC-"&amp;text(month(F$1),"00")&amp;"'!$A:$D"),4,false),1)))</f>
        <v>1624</v>
      </c>
      <c r="G1799" s="62">
        <f t="shared" si="3597"/>
        <v>1678</v>
      </c>
      <c r="H1799" s="62">
        <f t="shared" ref="H1799:Q1799" si="3598">IF(isblank(H$1),,IFERROR(vlookup($A1799,indirect("'TVC-"&amp;text(month(H$1),"00")&amp;"'!$A:$D"),4,false),1))</f>
        <v>1697</v>
      </c>
      <c r="I1799" s="62">
        <f t="shared" si="3598"/>
        <v>1850</v>
      </c>
      <c r="J1799" s="62">
        <f t="shared" si="3598"/>
        <v>1788</v>
      </c>
      <c r="K1799" s="62">
        <f t="shared" si="3598"/>
        <v>1802</v>
      </c>
      <c r="L1799" s="62">
        <f t="shared" si="3598"/>
        <v>1765</v>
      </c>
      <c r="M1799" s="62">
        <f t="shared" si="3598"/>
        <v>1715</v>
      </c>
      <c r="N1799" s="62">
        <f t="shared" si="3598"/>
        <v>1597</v>
      </c>
      <c r="O1799" s="62">
        <f t="shared" si="3598"/>
        <v>1</v>
      </c>
      <c r="P1799" s="62" t="str">
        <f t="shared" si="3598"/>
        <v/>
      </c>
      <c r="Q1799" s="62" t="str">
        <f t="shared" si="3598"/>
        <v/>
      </c>
      <c r="R1799" s="62">
        <f t="shared" si="7"/>
        <v>-1596</v>
      </c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</row>
    <row r="1800" hidden="1">
      <c r="A1800" s="60">
        <f>IFERROR(__xludf.DUMMYFUNCTION("""COMPUTED_VALUE"""),16643.0)</f>
        <v>16643</v>
      </c>
      <c r="B1800" s="60" t="str">
        <f>IFERROR(__xludf.DUMMYFUNCTION("""COMPUTED_VALUE"""),"Sanders, Ja'Tavion")</f>
        <v>Sanders, Ja'Tavion</v>
      </c>
      <c r="C1800" s="60" t="str">
        <f>IFERROR(__xludf.DUMMYFUNCTION("""COMPUTED_VALUE"""),"TE")</f>
        <v>TE</v>
      </c>
      <c r="D1800" s="60" t="str">
        <f>IFERROR(__xludf.DUMMYFUNCTION("""COMPUTED_VALUE"""),"CAR")</f>
        <v>CAR</v>
      </c>
      <c r="E1800" s="62" t="str">
        <f t="shared" si="4"/>
        <v>Ja'Tavion Sanders</v>
      </c>
      <c r="F1800" s="62">
        <f t="shared" ref="F1800:G1800" si="3599">IF(isblank(F$1),,IF(isblank($A1800),,IFERROR(vlookup($A1800,indirect("'TVC-"&amp;text(month(F$1),"00")&amp;"'!$A:$D"),4,false),1)))</f>
        <v>2451</v>
      </c>
      <c r="G1800" s="62">
        <f t="shared" si="3599"/>
        <v>2474</v>
      </c>
      <c r="H1800" s="62">
        <f t="shared" ref="H1800:Q1800" si="3600">IF(isblank(H$1),,IFERROR(vlookup($A1800,indirect("'TVC-"&amp;text(month(H$1),"00")&amp;"'!$A:$D"),4,false),1))</f>
        <v>2469</v>
      </c>
      <c r="I1800" s="62">
        <f t="shared" si="3600"/>
        <v>2515</v>
      </c>
      <c r="J1800" s="62">
        <f t="shared" si="3600"/>
        <v>2491</v>
      </c>
      <c r="K1800" s="62">
        <f t="shared" si="3600"/>
        <v>2454</v>
      </c>
      <c r="L1800" s="62">
        <f t="shared" si="3600"/>
        <v>2409</v>
      </c>
      <c r="M1800" s="62">
        <f t="shared" si="3600"/>
        <v>2358</v>
      </c>
      <c r="N1800" s="62">
        <f t="shared" si="3600"/>
        <v>2188</v>
      </c>
      <c r="O1800" s="62">
        <f t="shared" si="3600"/>
        <v>1</v>
      </c>
      <c r="P1800" s="62" t="str">
        <f t="shared" si="3600"/>
        <v/>
      </c>
      <c r="Q1800" s="62" t="str">
        <f t="shared" si="3600"/>
        <v/>
      </c>
      <c r="R1800" s="62">
        <f t="shared" si="7"/>
        <v>-2187</v>
      </c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</row>
    <row r="1801" hidden="1">
      <c r="A1801" s="60">
        <f>IFERROR(__xludf.DUMMYFUNCTION("""COMPUTED_VALUE"""),16644.0)</f>
        <v>16644</v>
      </c>
      <c r="B1801" s="60" t="str">
        <f>IFERROR(__xludf.DUMMYFUNCTION("""COMPUTED_VALUE"""),"Sinnott, Ben")</f>
        <v>Sinnott, Ben</v>
      </c>
      <c r="C1801" s="60" t="str">
        <f>IFERROR(__xludf.DUMMYFUNCTION("""COMPUTED_VALUE"""),"TE")</f>
        <v>TE</v>
      </c>
      <c r="D1801" s="60" t="str">
        <f>IFERROR(__xludf.DUMMYFUNCTION("""COMPUTED_VALUE"""),"WAS")</f>
        <v>WAS</v>
      </c>
      <c r="E1801" s="62" t="str">
        <f t="shared" si="4"/>
        <v>Ben Sinnott</v>
      </c>
      <c r="F1801" s="62">
        <f t="shared" ref="F1801:G1801" si="3601">IF(isblank(F$1),,IF(isblank($A1801),,IFERROR(vlookup($A1801,indirect("'TVC-"&amp;text(month(F$1),"00")&amp;"'!$A:$D"),4,false),1)))</f>
        <v>2333</v>
      </c>
      <c r="G1801" s="62">
        <f t="shared" si="3601"/>
        <v>2500</v>
      </c>
      <c r="H1801" s="62">
        <f t="shared" ref="H1801:Q1801" si="3602">IF(isblank(H$1),,IFERROR(vlookup($A1801,indirect("'TVC-"&amp;text(month(H$1),"00")&amp;"'!$A:$D"),4,false),1))</f>
        <v>2513</v>
      </c>
      <c r="I1801" s="62">
        <f t="shared" si="3602"/>
        <v>2258</v>
      </c>
      <c r="J1801" s="62">
        <f t="shared" si="3602"/>
        <v>2230</v>
      </c>
      <c r="K1801" s="62">
        <f t="shared" si="3602"/>
        <v>2124</v>
      </c>
      <c r="L1801" s="62">
        <f t="shared" si="3602"/>
        <v>2146</v>
      </c>
      <c r="M1801" s="62">
        <f t="shared" si="3602"/>
        <v>2150</v>
      </c>
      <c r="N1801" s="62">
        <f t="shared" si="3602"/>
        <v>1915</v>
      </c>
      <c r="O1801" s="62">
        <f t="shared" si="3602"/>
        <v>1</v>
      </c>
      <c r="P1801" s="62" t="str">
        <f t="shared" si="3602"/>
        <v/>
      </c>
      <c r="Q1801" s="62" t="str">
        <f t="shared" si="3602"/>
        <v/>
      </c>
      <c r="R1801" s="62">
        <f t="shared" si="7"/>
        <v>-1914</v>
      </c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</row>
    <row r="1802" hidden="1">
      <c r="A1802" s="60">
        <f>IFERROR(__xludf.DUMMYFUNCTION("""COMPUTED_VALUE"""),16645.0)</f>
        <v>16645</v>
      </c>
      <c r="B1802" s="60" t="str">
        <f>IFERROR(__xludf.DUMMYFUNCTION("""COMPUTED_VALUE"""),"All, Erick")</f>
        <v>All, Erick</v>
      </c>
      <c r="C1802" s="60" t="str">
        <f>IFERROR(__xludf.DUMMYFUNCTION("""COMPUTED_VALUE"""),"TE")</f>
        <v>TE</v>
      </c>
      <c r="D1802" s="60" t="str">
        <f>IFERROR(__xludf.DUMMYFUNCTION("""COMPUTED_VALUE"""),"CIN")</f>
        <v>CIN</v>
      </c>
      <c r="E1802" s="62" t="str">
        <f t="shared" si="4"/>
        <v>Erick All</v>
      </c>
      <c r="F1802" s="62">
        <f t="shared" ref="F1802:G1802" si="3603">IF(isblank(F$1),,IF(isblank($A1802),,IFERROR(vlookup($A1802,indirect("'TVC-"&amp;text(month(F$1),"00")&amp;"'!$A:$D"),4,false),1)))</f>
        <v>1431</v>
      </c>
      <c r="G1802" s="62">
        <f t="shared" si="3603"/>
        <v>1526</v>
      </c>
      <c r="H1802" s="62">
        <f t="shared" ref="H1802:Q1802" si="3604">IF(isblank(H$1),,IFERROR(vlookup($A1802,indirect("'TVC-"&amp;text(month(H$1),"00")&amp;"'!$A:$D"),4,false),1))</f>
        <v>1543</v>
      </c>
      <c r="I1802" s="62">
        <f t="shared" si="3604"/>
        <v>1565</v>
      </c>
      <c r="J1802" s="62">
        <f t="shared" si="3604"/>
        <v>1659</v>
      </c>
      <c r="K1802" s="62">
        <f t="shared" si="3604"/>
        <v>1590</v>
      </c>
      <c r="L1802" s="62">
        <f t="shared" si="3604"/>
        <v>1624</v>
      </c>
      <c r="M1802" s="62">
        <f t="shared" si="3604"/>
        <v>1736</v>
      </c>
      <c r="N1802" s="62">
        <f t="shared" si="3604"/>
        <v>1833</v>
      </c>
      <c r="O1802" s="62">
        <f t="shared" si="3604"/>
        <v>1</v>
      </c>
      <c r="P1802" s="62" t="str">
        <f t="shared" si="3604"/>
        <v/>
      </c>
      <c r="Q1802" s="62" t="str">
        <f t="shared" si="3604"/>
        <v/>
      </c>
      <c r="R1802" s="62">
        <f t="shared" si="7"/>
        <v>-1832</v>
      </c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</row>
    <row r="1803" hidden="1">
      <c r="A1803" s="60">
        <f>IFERROR(__xludf.DUMMYFUNCTION("""COMPUTED_VALUE"""),16646.0)</f>
        <v>16646</v>
      </c>
      <c r="B1803" s="60" t="str">
        <f>IFERROR(__xludf.DUMMYFUNCTION("""COMPUTED_VALUE"""),"Bell, Jaheim")</f>
        <v>Bell, Jaheim</v>
      </c>
      <c r="C1803" s="60" t="str">
        <f>IFERROR(__xludf.DUMMYFUNCTION("""COMPUTED_VALUE"""),"TE")</f>
        <v>TE</v>
      </c>
      <c r="D1803" s="60" t="str">
        <f>IFERROR(__xludf.DUMMYFUNCTION("""COMPUTED_VALUE"""),"FA")</f>
        <v>FA</v>
      </c>
      <c r="E1803" s="62" t="str">
        <f t="shared" si="4"/>
        <v>Jaheim Bell</v>
      </c>
      <c r="F1803" s="62">
        <f t="shared" ref="F1803:G1803" si="3605">IF(isblank(F$1),,IF(isblank($A1803),,IFERROR(vlookup($A1803,indirect("'TVC-"&amp;text(month(F$1),"00")&amp;"'!$A:$D"),4,false),1)))</f>
        <v>730</v>
      </c>
      <c r="G1803" s="62">
        <f t="shared" si="3605"/>
        <v>1</v>
      </c>
      <c r="H1803" s="62">
        <f t="shared" ref="H1803:Q1803" si="3606">IF(isblank(H$1),,IFERROR(vlookup($A1803,indirect("'TVC-"&amp;text(month(H$1),"00")&amp;"'!$A:$D"),4,false),1))</f>
        <v>1</v>
      </c>
      <c r="I1803" s="62">
        <f t="shared" si="3606"/>
        <v>1</v>
      </c>
      <c r="J1803" s="62">
        <f t="shared" si="3606"/>
        <v>1</v>
      </c>
      <c r="K1803" s="62">
        <f t="shared" si="3606"/>
        <v>1</v>
      </c>
      <c r="L1803" s="62">
        <f t="shared" si="3606"/>
        <v>1</v>
      </c>
      <c r="M1803" s="62">
        <f t="shared" si="3606"/>
        <v>1</v>
      </c>
      <c r="N1803" s="62">
        <f t="shared" si="3606"/>
        <v>1</v>
      </c>
      <c r="O1803" s="62">
        <f t="shared" si="3606"/>
        <v>1</v>
      </c>
      <c r="P1803" s="62" t="str">
        <f t="shared" si="3606"/>
        <v/>
      </c>
      <c r="Q1803" s="62" t="str">
        <f t="shared" si="3606"/>
        <v/>
      </c>
      <c r="R1803" s="62">
        <f t="shared" si="7"/>
        <v>0</v>
      </c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</row>
    <row r="1804" hidden="1">
      <c r="A1804" s="60">
        <f>IFERROR(__xludf.DUMMYFUNCTION("""COMPUTED_VALUE"""),16647.0)</f>
        <v>16647</v>
      </c>
      <c r="B1804" s="60" t="str">
        <f>IFERROR(__xludf.DUMMYFUNCTION("""COMPUTED_VALUE"""),"Spann-Ford, Brevyn")</f>
        <v>Spann-Ford, Brevyn</v>
      </c>
      <c r="C1804" s="60" t="str">
        <f>IFERROR(__xludf.DUMMYFUNCTION("""COMPUTED_VALUE"""),"TE")</f>
        <v>TE</v>
      </c>
      <c r="D1804" s="60" t="str">
        <f>IFERROR(__xludf.DUMMYFUNCTION("""COMPUTED_VALUE"""),"DAL")</f>
        <v>DAL</v>
      </c>
      <c r="E1804" s="62" t="str">
        <f t="shared" si="4"/>
        <v>Brevyn Spann-Ford</v>
      </c>
      <c r="F1804" s="62">
        <f t="shared" ref="F1804:G1804" si="3607">IF(isblank(F$1),,IF(isblank($A1804),,IFERROR(vlookup($A1804,indirect("'TVC-"&amp;text(month(F$1),"00")&amp;"'!$A:$D"),4,false),1)))</f>
        <v>1</v>
      </c>
      <c r="G1804" s="62">
        <f t="shared" si="3607"/>
        <v>1</v>
      </c>
      <c r="H1804" s="62">
        <f t="shared" ref="H1804:Q1804" si="3608">IF(isblank(H$1),,IFERROR(vlookup($A1804,indirect("'TVC-"&amp;text(month(H$1),"00")&amp;"'!$A:$D"),4,false),1))</f>
        <v>1</v>
      </c>
      <c r="I1804" s="62">
        <f t="shared" si="3608"/>
        <v>1</v>
      </c>
      <c r="J1804" s="62">
        <f t="shared" si="3608"/>
        <v>1</v>
      </c>
      <c r="K1804" s="62">
        <f t="shared" si="3608"/>
        <v>1</v>
      </c>
      <c r="L1804" s="62">
        <f t="shared" si="3608"/>
        <v>1</v>
      </c>
      <c r="M1804" s="62">
        <f t="shared" si="3608"/>
        <v>1</v>
      </c>
      <c r="N1804" s="62">
        <f t="shared" si="3608"/>
        <v>1</v>
      </c>
      <c r="O1804" s="62">
        <f t="shared" si="3608"/>
        <v>1</v>
      </c>
      <c r="P1804" s="62" t="str">
        <f t="shared" si="3608"/>
        <v/>
      </c>
      <c r="Q1804" s="62" t="str">
        <f t="shared" si="3608"/>
        <v/>
      </c>
      <c r="R1804" s="62">
        <f t="shared" si="7"/>
        <v>0</v>
      </c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</row>
    <row r="1805" hidden="1">
      <c r="A1805" s="60">
        <f>IFERROR(__xludf.DUMMYFUNCTION("""COMPUTED_VALUE"""),16648.0)</f>
        <v>16648</v>
      </c>
      <c r="B1805" s="60" t="str">
        <f>IFERROR(__xludf.DUMMYFUNCTION("""COMPUTED_VALUE"""),"Wiley, Jared")</f>
        <v>Wiley, Jared</v>
      </c>
      <c r="C1805" s="60" t="str">
        <f>IFERROR(__xludf.DUMMYFUNCTION("""COMPUTED_VALUE"""),"TE")</f>
        <v>TE</v>
      </c>
      <c r="D1805" s="60" t="str">
        <f>IFERROR(__xludf.DUMMYFUNCTION("""COMPUTED_VALUE"""),"KCC")</f>
        <v>KCC</v>
      </c>
      <c r="E1805" s="62" t="str">
        <f t="shared" si="4"/>
        <v>Jared Wiley</v>
      </c>
      <c r="F1805" s="62">
        <f t="shared" ref="F1805:G1805" si="3609">IF(isblank(F$1),,IF(isblank($A1805),,IFERROR(vlookup($A1805,indirect("'TVC-"&amp;text(month(F$1),"00")&amp;"'!$A:$D"),4,false),1)))</f>
        <v>1240</v>
      </c>
      <c r="G1805" s="62">
        <f t="shared" si="3609"/>
        <v>1366</v>
      </c>
      <c r="H1805" s="62">
        <f t="shared" ref="H1805:Q1805" si="3610">IF(isblank(H$1),,IFERROR(vlookup($A1805,indirect("'TVC-"&amp;text(month(H$1),"00")&amp;"'!$A:$D"),4,false),1))</f>
        <v>1365</v>
      </c>
      <c r="I1805" s="62">
        <f t="shared" si="3610"/>
        <v>1413</v>
      </c>
      <c r="J1805" s="62">
        <f t="shared" si="3610"/>
        <v>1399</v>
      </c>
      <c r="K1805" s="62">
        <f t="shared" si="3610"/>
        <v>1352</v>
      </c>
      <c r="L1805" s="62">
        <f t="shared" si="3610"/>
        <v>1374</v>
      </c>
      <c r="M1805" s="62">
        <f t="shared" si="3610"/>
        <v>1340</v>
      </c>
      <c r="N1805" s="62">
        <f t="shared" si="3610"/>
        <v>1279</v>
      </c>
      <c r="O1805" s="62">
        <f t="shared" si="3610"/>
        <v>1</v>
      </c>
      <c r="P1805" s="62" t="str">
        <f t="shared" si="3610"/>
        <v/>
      </c>
      <c r="Q1805" s="62" t="str">
        <f t="shared" si="3610"/>
        <v/>
      </c>
      <c r="R1805" s="62">
        <f t="shared" si="7"/>
        <v>-1278</v>
      </c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</row>
    <row r="1806" hidden="1">
      <c r="A1806" s="60">
        <f>IFERROR(__xludf.DUMMYFUNCTION("""COMPUTED_VALUE"""),16649.0)</f>
        <v>16649</v>
      </c>
      <c r="B1806" s="60" t="str">
        <f>IFERROR(__xludf.DUMMYFUNCTION("""COMPUTED_VALUE"""),"Johnson, Theo")</f>
        <v>Johnson, Theo</v>
      </c>
      <c r="C1806" s="60" t="str">
        <f>IFERROR(__xludf.DUMMYFUNCTION("""COMPUTED_VALUE"""),"TE")</f>
        <v>TE</v>
      </c>
      <c r="D1806" s="60" t="str">
        <f>IFERROR(__xludf.DUMMYFUNCTION("""COMPUTED_VALUE"""),"NYG")</f>
        <v>NYG</v>
      </c>
      <c r="E1806" s="62" t="str">
        <f t="shared" si="4"/>
        <v>Theo Johnson</v>
      </c>
      <c r="F1806" s="62">
        <f t="shared" ref="F1806:G1806" si="3611">IF(isblank(F$1),,IF(isblank($A1806),,IFERROR(vlookup($A1806,indirect("'TVC-"&amp;text(month(F$1),"00")&amp;"'!$A:$D"),4,false),1)))</f>
        <v>3169</v>
      </c>
      <c r="G1806" s="62">
        <f t="shared" si="3611"/>
        <v>3215</v>
      </c>
      <c r="H1806" s="62">
        <f t="shared" ref="H1806:Q1806" si="3612">IF(isblank(H$1),,IFERROR(vlookup($A1806,indirect("'TVC-"&amp;text(month(H$1),"00")&amp;"'!$A:$D"),4,false),1))</f>
        <v>3215</v>
      </c>
      <c r="I1806" s="62">
        <f t="shared" si="3612"/>
        <v>2845</v>
      </c>
      <c r="J1806" s="62">
        <f t="shared" si="3612"/>
        <v>2771</v>
      </c>
      <c r="K1806" s="62">
        <f t="shared" si="3612"/>
        <v>2624</v>
      </c>
      <c r="L1806" s="62">
        <f t="shared" si="3612"/>
        <v>2591</v>
      </c>
      <c r="M1806" s="62">
        <f t="shared" si="3612"/>
        <v>2506</v>
      </c>
      <c r="N1806" s="62">
        <f t="shared" si="3612"/>
        <v>2376</v>
      </c>
      <c r="O1806" s="62">
        <f t="shared" si="3612"/>
        <v>1</v>
      </c>
      <c r="P1806" s="62" t="str">
        <f t="shared" si="3612"/>
        <v/>
      </c>
      <c r="Q1806" s="62" t="str">
        <f t="shared" si="3612"/>
        <v/>
      </c>
      <c r="R1806" s="62">
        <f t="shared" si="7"/>
        <v>-2375</v>
      </c>
      <c r="S1806" s="62"/>
      <c r="T1806" s="62"/>
      <c r="U1806" s="62"/>
      <c r="V1806" s="62"/>
      <c r="W1806" s="62"/>
      <c r="X1806" s="62"/>
      <c r="Y1806" s="62"/>
      <c r="Z1806" s="62"/>
      <c r="AA1806" s="62"/>
      <c r="AB1806" s="62"/>
      <c r="AC1806" s="62"/>
    </row>
    <row r="1807" hidden="1">
      <c r="A1807" s="60">
        <f>IFERROR(__xludf.DUMMYFUNCTION("""COMPUTED_VALUE"""),16650.0)</f>
        <v>16650</v>
      </c>
      <c r="B1807" s="60" t="str">
        <f>IFERROR(__xludf.DUMMYFUNCTION("""COMPUTED_VALUE"""),"Turner, Dallas")</f>
        <v>Turner, Dallas</v>
      </c>
      <c r="C1807" s="60" t="str">
        <f>IFERROR(__xludf.DUMMYFUNCTION("""COMPUTED_VALUE"""),"DE")</f>
        <v>DE</v>
      </c>
      <c r="D1807" s="60" t="str">
        <f>IFERROR(__xludf.DUMMYFUNCTION("""COMPUTED_VALUE"""),"MIN")</f>
        <v>MIN</v>
      </c>
      <c r="E1807" s="62" t="str">
        <f t="shared" si="4"/>
        <v>Dallas Turner</v>
      </c>
      <c r="F1807" s="62">
        <f t="shared" ref="F1807:G1807" si="3613">IF(isblank(F$1),,IF(isblank($A1807),,IFERROR(vlookup($A1807,indirect("'TVC-"&amp;text(month(F$1),"00")&amp;"'!$A:$D"),4,false),1)))</f>
        <v>1</v>
      </c>
      <c r="G1807" s="62">
        <f t="shared" si="3613"/>
        <v>1</v>
      </c>
      <c r="H1807" s="62">
        <f t="shared" ref="H1807:Q1807" si="3614">IF(isblank(H$1),,IFERROR(vlookup($A1807,indirect("'TVC-"&amp;text(month(H$1),"00")&amp;"'!$A:$D"),4,false),1))</f>
        <v>1</v>
      </c>
      <c r="I1807" s="62">
        <f t="shared" si="3614"/>
        <v>1</v>
      </c>
      <c r="J1807" s="62">
        <f t="shared" si="3614"/>
        <v>1</v>
      </c>
      <c r="K1807" s="62">
        <f t="shared" si="3614"/>
        <v>1</v>
      </c>
      <c r="L1807" s="62">
        <f t="shared" si="3614"/>
        <v>1</v>
      </c>
      <c r="M1807" s="62">
        <f t="shared" si="3614"/>
        <v>1</v>
      </c>
      <c r="N1807" s="62">
        <f t="shared" si="3614"/>
        <v>1</v>
      </c>
      <c r="O1807" s="62">
        <f t="shared" si="3614"/>
        <v>1</v>
      </c>
      <c r="P1807" s="62" t="str">
        <f t="shared" si="3614"/>
        <v/>
      </c>
      <c r="Q1807" s="62" t="str">
        <f t="shared" si="3614"/>
        <v/>
      </c>
      <c r="R1807" s="62">
        <f t="shared" si="7"/>
        <v>0</v>
      </c>
      <c r="S1807" s="62"/>
      <c r="T1807" s="62"/>
      <c r="U1807" s="62"/>
      <c r="V1807" s="62"/>
      <c r="W1807" s="62"/>
      <c r="X1807" s="62"/>
      <c r="Y1807" s="62"/>
      <c r="Z1807" s="62"/>
      <c r="AA1807" s="62"/>
      <c r="AB1807" s="62"/>
      <c r="AC1807" s="62"/>
    </row>
    <row r="1808" hidden="1">
      <c r="A1808" s="60">
        <f>IFERROR(__xludf.DUMMYFUNCTION("""COMPUTED_VALUE"""),16651.0)</f>
        <v>16651</v>
      </c>
      <c r="B1808" s="60" t="str">
        <f>IFERROR(__xludf.DUMMYFUNCTION("""COMPUTED_VALUE"""),"Latu, Laiatu")</f>
        <v>Latu, Laiatu</v>
      </c>
      <c r="C1808" s="60" t="str">
        <f>IFERROR(__xludf.DUMMYFUNCTION("""COMPUTED_VALUE"""),"DE")</f>
        <v>DE</v>
      </c>
      <c r="D1808" s="60" t="str">
        <f>IFERROR(__xludf.DUMMYFUNCTION("""COMPUTED_VALUE"""),"IND")</f>
        <v>IND</v>
      </c>
      <c r="E1808" s="62" t="str">
        <f t="shared" si="4"/>
        <v>Laiatu Latu</v>
      </c>
      <c r="F1808" s="62">
        <f t="shared" ref="F1808:G1808" si="3615">IF(isblank(F$1),,IF(isblank($A1808),,IFERROR(vlookup($A1808,indirect("'TVC-"&amp;text(month(F$1),"00")&amp;"'!$A:$D"),4,false),1)))</f>
        <v>1</v>
      </c>
      <c r="G1808" s="62">
        <f t="shared" si="3615"/>
        <v>1</v>
      </c>
      <c r="H1808" s="62">
        <f t="shared" ref="H1808:Q1808" si="3616">IF(isblank(H$1),,IFERROR(vlookup($A1808,indirect("'TVC-"&amp;text(month(H$1),"00")&amp;"'!$A:$D"),4,false),1))</f>
        <v>1</v>
      </c>
      <c r="I1808" s="62">
        <f t="shared" si="3616"/>
        <v>1</v>
      </c>
      <c r="J1808" s="62">
        <f t="shared" si="3616"/>
        <v>1</v>
      </c>
      <c r="K1808" s="62">
        <f t="shared" si="3616"/>
        <v>1</v>
      </c>
      <c r="L1808" s="62">
        <f t="shared" si="3616"/>
        <v>1</v>
      </c>
      <c r="M1808" s="62">
        <f t="shared" si="3616"/>
        <v>1</v>
      </c>
      <c r="N1808" s="62">
        <f t="shared" si="3616"/>
        <v>1</v>
      </c>
      <c r="O1808" s="62">
        <f t="shared" si="3616"/>
        <v>1</v>
      </c>
      <c r="P1808" s="62" t="str">
        <f t="shared" si="3616"/>
        <v/>
      </c>
      <c r="Q1808" s="62" t="str">
        <f t="shared" si="3616"/>
        <v/>
      </c>
      <c r="R1808" s="62">
        <f t="shared" si="7"/>
        <v>0</v>
      </c>
      <c r="S1808" s="62"/>
      <c r="T1808" s="62"/>
      <c r="U1808" s="62"/>
      <c r="V1808" s="62"/>
      <c r="W1808" s="62"/>
      <c r="X1808" s="62"/>
      <c r="Y1808" s="62"/>
      <c r="Z1808" s="62"/>
      <c r="AA1808" s="62"/>
      <c r="AB1808" s="62"/>
      <c r="AC1808" s="62"/>
    </row>
    <row r="1809" hidden="1">
      <c r="A1809" s="60">
        <f>IFERROR(__xludf.DUMMYFUNCTION("""COMPUTED_VALUE"""),16652.0)</f>
        <v>16652</v>
      </c>
      <c r="B1809" s="60" t="str">
        <f>IFERROR(__xludf.DUMMYFUNCTION("""COMPUTED_VALUE"""),"Trice, Bralen")</f>
        <v>Trice, Bralen</v>
      </c>
      <c r="C1809" s="60" t="str">
        <f>IFERROR(__xludf.DUMMYFUNCTION("""COMPUTED_VALUE"""),"DE")</f>
        <v>DE</v>
      </c>
      <c r="D1809" s="60" t="str">
        <f>IFERROR(__xludf.DUMMYFUNCTION("""COMPUTED_VALUE"""),"ATL")</f>
        <v>ATL</v>
      </c>
      <c r="E1809" s="62" t="str">
        <f t="shared" si="4"/>
        <v>Bralen Trice</v>
      </c>
      <c r="F1809" s="62">
        <f t="shared" ref="F1809:G1809" si="3617">IF(isblank(F$1),,IF(isblank($A1809),,IFERROR(vlookup($A1809,indirect("'TVC-"&amp;text(month(F$1),"00")&amp;"'!$A:$D"),4,false),1)))</f>
        <v>1</v>
      </c>
      <c r="G1809" s="62">
        <f t="shared" si="3617"/>
        <v>1</v>
      </c>
      <c r="H1809" s="62">
        <f t="shared" ref="H1809:Q1809" si="3618">IF(isblank(H$1),,IFERROR(vlookup($A1809,indirect("'TVC-"&amp;text(month(H$1),"00")&amp;"'!$A:$D"),4,false),1))</f>
        <v>1</v>
      </c>
      <c r="I1809" s="62">
        <f t="shared" si="3618"/>
        <v>1</v>
      </c>
      <c r="J1809" s="62">
        <f t="shared" si="3618"/>
        <v>1</v>
      </c>
      <c r="K1809" s="62">
        <f t="shared" si="3618"/>
        <v>1</v>
      </c>
      <c r="L1809" s="62">
        <f t="shared" si="3618"/>
        <v>1</v>
      </c>
      <c r="M1809" s="62">
        <f t="shared" si="3618"/>
        <v>1</v>
      </c>
      <c r="N1809" s="62">
        <f t="shared" si="3618"/>
        <v>1</v>
      </c>
      <c r="O1809" s="62">
        <f t="shared" si="3618"/>
        <v>1</v>
      </c>
      <c r="P1809" s="62" t="str">
        <f t="shared" si="3618"/>
        <v/>
      </c>
      <c r="Q1809" s="62" t="str">
        <f t="shared" si="3618"/>
        <v/>
      </c>
      <c r="R1809" s="62">
        <f t="shared" si="7"/>
        <v>0</v>
      </c>
      <c r="S1809" s="62"/>
      <c r="T1809" s="62"/>
      <c r="U1809" s="62"/>
      <c r="V1809" s="62"/>
      <c r="W1809" s="62"/>
      <c r="X1809" s="62"/>
      <c r="Y1809" s="62"/>
      <c r="Z1809" s="62"/>
      <c r="AA1809" s="62"/>
      <c r="AB1809" s="62"/>
      <c r="AC1809" s="62"/>
    </row>
    <row r="1810">
      <c r="A1810" s="60">
        <f>IFERROR(__xludf.DUMMYFUNCTION("""COMPUTED_VALUE"""),16653.0)</f>
        <v>16653</v>
      </c>
      <c r="B1810" s="60" t="str">
        <f>IFERROR(__xludf.DUMMYFUNCTION("""COMPUTED_VALUE"""),"Verse, Jared")</f>
        <v>Verse, Jared</v>
      </c>
      <c r="C1810" s="60" t="str">
        <f>IFERROR(__xludf.DUMMYFUNCTION("""COMPUTED_VALUE"""),"DE")</f>
        <v>DE</v>
      </c>
      <c r="D1810" s="60" t="str">
        <f>IFERROR(__xludf.DUMMYFUNCTION("""COMPUTED_VALUE"""),"CLE")</f>
        <v>CLE</v>
      </c>
      <c r="E1810" s="62" t="str">
        <f t="shared" si="4"/>
        <v>Jared Verse</v>
      </c>
      <c r="F1810" s="62">
        <f t="shared" ref="F1810:G1810" si="3619">IF(isblank(F$1),,IF(isblank($A1810),,IFERROR(vlookup($A1810,indirect("'TVC-"&amp;text(month(F$1),"00")&amp;"'!$A:$D"),4,false),1)))</f>
        <v>1</v>
      </c>
      <c r="G1810" s="62">
        <f t="shared" si="3619"/>
        <v>1</v>
      </c>
      <c r="H1810" s="62">
        <f t="shared" ref="H1810:Q1810" si="3620">IF(isblank(H$1),,IFERROR(vlookup($A1810,indirect("'TVC-"&amp;text(month(H$1),"00")&amp;"'!$A:$D"),4,false),1))</f>
        <v>1</v>
      </c>
      <c r="I1810" s="62">
        <f t="shared" si="3620"/>
        <v>1</v>
      </c>
      <c r="J1810" s="62">
        <f t="shared" si="3620"/>
        <v>1</v>
      </c>
      <c r="K1810" s="62">
        <f t="shared" si="3620"/>
        <v>1</v>
      </c>
      <c r="L1810" s="62">
        <f t="shared" si="3620"/>
        <v>1</v>
      </c>
      <c r="M1810" s="62">
        <f t="shared" si="3620"/>
        <v>1</v>
      </c>
      <c r="N1810" s="62">
        <f t="shared" si="3620"/>
        <v>1</v>
      </c>
      <c r="O1810" s="62">
        <f t="shared" si="3620"/>
        <v>1</v>
      </c>
      <c r="P1810" s="62" t="str">
        <f t="shared" si="3620"/>
        <v/>
      </c>
      <c r="Q1810" s="62" t="str">
        <f t="shared" si="3620"/>
        <v/>
      </c>
      <c r="R1810" s="62">
        <f t="shared" si="7"/>
        <v>0</v>
      </c>
      <c r="S1810" s="62"/>
      <c r="T1810" s="62"/>
      <c r="U1810" s="62"/>
      <c r="V1810" s="62"/>
      <c r="W1810" s="62"/>
      <c r="X1810" s="62"/>
      <c r="Y1810" s="62"/>
      <c r="Z1810" s="62"/>
      <c r="AA1810" s="62"/>
      <c r="AB1810" s="62"/>
      <c r="AC1810" s="62"/>
    </row>
    <row r="1811" hidden="1">
      <c r="A1811" s="60">
        <f>IFERROR(__xludf.DUMMYFUNCTION("""COMPUTED_VALUE"""),16654.0)</f>
        <v>16654</v>
      </c>
      <c r="B1811" s="60" t="str">
        <f>IFERROR(__xludf.DUMMYFUNCTION("""COMPUTED_VALUE"""),"Elliss, Jonah")</f>
        <v>Elliss, Jonah</v>
      </c>
      <c r="C1811" s="60" t="str">
        <f>IFERROR(__xludf.DUMMYFUNCTION("""COMPUTED_VALUE"""),"DE")</f>
        <v>DE</v>
      </c>
      <c r="D1811" s="60" t="str">
        <f>IFERROR(__xludf.DUMMYFUNCTION("""COMPUTED_VALUE"""),"DEN")</f>
        <v>DEN</v>
      </c>
      <c r="E1811" s="62" t="str">
        <f t="shared" si="4"/>
        <v>Jonah Elliss</v>
      </c>
      <c r="F1811" s="62">
        <f t="shared" ref="F1811:G1811" si="3621">IF(isblank(F$1),,IF(isblank($A1811),,IFERROR(vlookup($A1811,indirect("'TVC-"&amp;text(month(F$1),"00")&amp;"'!$A:$D"),4,false),1)))</f>
        <v>1</v>
      </c>
      <c r="G1811" s="62">
        <f t="shared" si="3621"/>
        <v>1</v>
      </c>
      <c r="H1811" s="62">
        <f t="shared" ref="H1811:Q1811" si="3622">IF(isblank(H$1),,IFERROR(vlookup($A1811,indirect("'TVC-"&amp;text(month(H$1),"00")&amp;"'!$A:$D"),4,false),1))</f>
        <v>1</v>
      </c>
      <c r="I1811" s="62">
        <f t="shared" si="3622"/>
        <v>1</v>
      </c>
      <c r="J1811" s="62">
        <f t="shared" si="3622"/>
        <v>1</v>
      </c>
      <c r="K1811" s="62">
        <f t="shared" si="3622"/>
        <v>1</v>
      </c>
      <c r="L1811" s="62">
        <f t="shared" si="3622"/>
        <v>1</v>
      </c>
      <c r="M1811" s="62">
        <f t="shared" si="3622"/>
        <v>1</v>
      </c>
      <c r="N1811" s="62">
        <f t="shared" si="3622"/>
        <v>1</v>
      </c>
      <c r="O1811" s="62">
        <f t="shared" si="3622"/>
        <v>1</v>
      </c>
      <c r="P1811" s="62" t="str">
        <f t="shared" si="3622"/>
        <v/>
      </c>
      <c r="Q1811" s="62" t="str">
        <f t="shared" si="3622"/>
        <v/>
      </c>
      <c r="R1811" s="62">
        <f t="shared" si="7"/>
        <v>0</v>
      </c>
      <c r="S1811" s="62"/>
      <c r="T1811" s="62"/>
      <c r="U1811" s="62"/>
      <c r="V1811" s="62"/>
      <c r="W1811" s="62"/>
      <c r="X1811" s="62"/>
      <c r="Y1811" s="62"/>
      <c r="Z1811" s="62"/>
      <c r="AA1811" s="62"/>
      <c r="AB1811" s="62"/>
      <c r="AC1811" s="62"/>
    </row>
    <row r="1812" hidden="1">
      <c r="A1812" s="60">
        <f>IFERROR(__xludf.DUMMYFUNCTION("""COMPUTED_VALUE"""),16655.0)</f>
        <v>16655</v>
      </c>
      <c r="B1812" s="60" t="str">
        <f>IFERROR(__xludf.DUMMYFUNCTION("""COMPUTED_VALUE"""),"Robinson, Chop")</f>
        <v>Robinson, Chop</v>
      </c>
      <c r="C1812" s="60" t="str">
        <f>IFERROR(__xludf.DUMMYFUNCTION("""COMPUTED_VALUE"""),"DE")</f>
        <v>DE</v>
      </c>
      <c r="D1812" s="60" t="str">
        <f>IFERROR(__xludf.DUMMYFUNCTION("""COMPUTED_VALUE"""),"MIA")</f>
        <v>MIA</v>
      </c>
      <c r="E1812" s="62" t="str">
        <f t="shared" si="4"/>
        <v>Chop Robinson</v>
      </c>
      <c r="F1812" s="62">
        <f t="shared" ref="F1812:G1812" si="3623">IF(isblank(F$1),,IF(isblank($A1812),,IFERROR(vlookup($A1812,indirect("'TVC-"&amp;text(month(F$1),"00")&amp;"'!$A:$D"),4,false),1)))</f>
        <v>1</v>
      </c>
      <c r="G1812" s="62">
        <f t="shared" si="3623"/>
        <v>1</v>
      </c>
      <c r="H1812" s="62">
        <f t="shared" ref="H1812:Q1812" si="3624">IF(isblank(H$1),,IFERROR(vlookup($A1812,indirect("'TVC-"&amp;text(month(H$1),"00")&amp;"'!$A:$D"),4,false),1))</f>
        <v>1</v>
      </c>
      <c r="I1812" s="62">
        <f t="shared" si="3624"/>
        <v>1</v>
      </c>
      <c r="J1812" s="62">
        <f t="shared" si="3624"/>
        <v>1</v>
      </c>
      <c r="K1812" s="62">
        <f t="shared" si="3624"/>
        <v>1</v>
      </c>
      <c r="L1812" s="62">
        <f t="shared" si="3624"/>
        <v>1</v>
      </c>
      <c r="M1812" s="62">
        <f t="shared" si="3624"/>
        <v>1</v>
      </c>
      <c r="N1812" s="62">
        <f t="shared" si="3624"/>
        <v>1</v>
      </c>
      <c r="O1812" s="62">
        <f t="shared" si="3624"/>
        <v>1</v>
      </c>
      <c r="P1812" s="62" t="str">
        <f t="shared" si="3624"/>
        <v/>
      </c>
      <c r="Q1812" s="62" t="str">
        <f t="shared" si="3624"/>
        <v/>
      </c>
      <c r="R1812" s="62">
        <f t="shared" si="7"/>
        <v>0</v>
      </c>
      <c r="S1812" s="62"/>
      <c r="T1812" s="62"/>
      <c r="U1812" s="62"/>
      <c r="V1812" s="62"/>
      <c r="W1812" s="62"/>
      <c r="X1812" s="62"/>
      <c r="Y1812" s="62"/>
      <c r="Z1812" s="62"/>
      <c r="AA1812" s="62"/>
      <c r="AB1812" s="62"/>
      <c r="AC1812" s="62"/>
    </row>
    <row r="1813" hidden="1">
      <c r="A1813" s="60">
        <f>IFERROR(__xludf.DUMMYFUNCTION("""COMPUTED_VALUE"""),16656.0)</f>
        <v>16656</v>
      </c>
      <c r="B1813" s="60" t="str">
        <f>IFERROR(__xludf.DUMMYFUNCTION("""COMPUTED_VALUE"""),"Braswell, Chris")</f>
        <v>Braswell, Chris</v>
      </c>
      <c r="C1813" s="60" t="str">
        <f>IFERROR(__xludf.DUMMYFUNCTION("""COMPUTED_VALUE"""),"DE")</f>
        <v>DE</v>
      </c>
      <c r="D1813" s="60" t="str">
        <f>IFERROR(__xludf.DUMMYFUNCTION("""COMPUTED_VALUE"""),"FA")</f>
        <v>FA</v>
      </c>
      <c r="E1813" s="62" t="str">
        <f t="shared" si="4"/>
        <v>Chris Braswell</v>
      </c>
      <c r="F1813" s="62">
        <f t="shared" ref="F1813:G1813" si="3625">IF(isblank(F$1),,IF(isblank($A1813),,IFERROR(vlookup($A1813,indirect("'TVC-"&amp;text(month(F$1),"00")&amp;"'!$A:$D"),4,false),1)))</f>
        <v>1</v>
      </c>
      <c r="G1813" s="62">
        <f t="shared" si="3625"/>
        <v>1</v>
      </c>
      <c r="H1813" s="62">
        <f t="shared" ref="H1813:Q1813" si="3626">IF(isblank(H$1),,IFERROR(vlookup($A1813,indirect("'TVC-"&amp;text(month(H$1),"00")&amp;"'!$A:$D"),4,false),1))</f>
        <v>1</v>
      </c>
      <c r="I1813" s="62">
        <f t="shared" si="3626"/>
        <v>1</v>
      </c>
      <c r="J1813" s="62">
        <f t="shared" si="3626"/>
        <v>1</v>
      </c>
      <c r="K1813" s="62">
        <f t="shared" si="3626"/>
        <v>1</v>
      </c>
      <c r="L1813" s="62">
        <f t="shared" si="3626"/>
        <v>1</v>
      </c>
      <c r="M1813" s="62">
        <f t="shared" si="3626"/>
        <v>1</v>
      </c>
      <c r="N1813" s="62">
        <f t="shared" si="3626"/>
        <v>1</v>
      </c>
      <c r="O1813" s="62">
        <f t="shared" si="3626"/>
        <v>1</v>
      </c>
      <c r="P1813" s="62" t="str">
        <f t="shared" si="3626"/>
        <v/>
      </c>
      <c r="Q1813" s="62" t="str">
        <f t="shared" si="3626"/>
        <v/>
      </c>
      <c r="R1813" s="62">
        <f t="shared" si="7"/>
        <v>0</v>
      </c>
      <c r="S1813" s="62"/>
      <c r="T1813" s="62"/>
      <c r="U1813" s="62"/>
      <c r="V1813" s="62"/>
      <c r="W1813" s="62"/>
      <c r="X1813" s="62"/>
      <c r="Y1813" s="62"/>
      <c r="Z1813" s="62"/>
      <c r="AA1813" s="62"/>
      <c r="AB1813" s="62"/>
      <c r="AC1813" s="62"/>
    </row>
    <row r="1814" hidden="1">
      <c r="A1814" s="60">
        <f>IFERROR(__xludf.DUMMYFUNCTION("""COMPUTED_VALUE"""),16657.0)</f>
        <v>16657</v>
      </c>
      <c r="B1814" s="60" t="str">
        <f>IFERROR(__xludf.DUMMYFUNCTION("""COMPUTED_VALUE"""),"Dorlus, Brandon")</f>
        <v>Dorlus, Brandon</v>
      </c>
      <c r="C1814" s="60" t="str">
        <f>IFERROR(__xludf.DUMMYFUNCTION("""COMPUTED_VALUE"""),"DT")</f>
        <v>DT</v>
      </c>
      <c r="D1814" s="60" t="str">
        <f>IFERROR(__xludf.DUMMYFUNCTION("""COMPUTED_VALUE"""),"ATL")</f>
        <v>ATL</v>
      </c>
      <c r="E1814" s="62" t="str">
        <f t="shared" si="4"/>
        <v>Brandon Dorlus</v>
      </c>
      <c r="F1814" s="62">
        <f t="shared" ref="F1814:G1814" si="3627">IF(isblank(F$1),,IF(isblank($A1814),,IFERROR(vlookup($A1814,indirect("'TVC-"&amp;text(month(F$1),"00")&amp;"'!$A:$D"),4,false),1)))</f>
        <v>1</v>
      </c>
      <c r="G1814" s="62">
        <f t="shared" si="3627"/>
        <v>1</v>
      </c>
      <c r="H1814" s="62">
        <f t="shared" ref="H1814:Q1814" si="3628">IF(isblank(H$1),,IFERROR(vlookup($A1814,indirect("'TVC-"&amp;text(month(H$1),"00")&amp;"'!$A:$D"),4,false),1))</f>
        <v>1</v>
      </c>
      <c r="I1814" s="62">
        <f t="shared" si="3628"/>
        <v>1</v>
      </c>
      <c r="J1814" s="62">
        <f t="shared" si="3628"/>
        <v>1</v>
      </c>
      <c r="K1814" s="62">
        <f t="shared" si="3628"/>
        <v>1</v>
      </c>
      <c r="L1814" s="62">
        <f t="shared" si="3628"/>
        <v>1</v>
      </c>
      <c r="M1814" s="62">
        <f t="shared" si="3628"/>
        <v>1</v>
      </c>
      <c r="N1814" s="62">
        <f t="shared" si="3628"/>
        <v>1</v>
      </c>
      <c r="O1814" s="62">
        <f t="shared" si="3628"/>
        <v>1</v>
      </c>
      <c r="P1814" s="62" t="str">
        <f t="shared" si="3628"/>
        <v/>
      </c>
      <c r="Q1814" s="62" t="str">
        <f t="shared" si="3628"/>
        <v/>
      </c>
      <c r="R1814" s="62">
        <f t="shared" si="7"/>
        <v>0</v>
      </c>
      <c r="S1814" s="62"/>
      <c r="T1814" s="62"/>
      <c r="U1814" s="62"/>
      <c r="V1814" s="62"/>
      <c r="W1814" s="62"/>
      <c r="X1814" s="62"/>
      <c r="Y1814" s="62"/>
      <c r="Z1814" s="62"/>
      <c r="AA1814" s="62"/>
      <c r="AB1814" s="62"/>
      <c r="AC1814" s="62"/>
    </row>
    <row r="1815">
      <c r="A1815" s="60">
        <f>IFERROR(__xludf.DUMMYFUNCTION("""COMPUTED_VALUE"""),16658.0)</f>
        <v>16658</v>
      </c>
      <c r="B1815" s="60" t="str">
        <f>IFERROR(__xludf.DUMMYFUNCTION("""COMPUTED_VALUE"""),"Thomas, Xavier")</f>
        <v>Thomas, Xavier</v>
      </c>
      <c r="C1815" s="60" t="str">
        <f>IFERROR(__xludf.DUMMYFUNCTION("""COMPUTED_VALUE"""),"DE")</f>
        <v>DE</v>
      </c>
      <c r="D1815" s="60" t="str">
        <f>IFERROR(__xludf.DUMMYFUNCTION("""COMPUTED_VALUE"""),"FA")</f>
        <v>FA</v>
      </c>
      <c r="E1815" s="62" t="str">
        <f t="shared" si="4"/>
        <v>Xavier Thomas</v>
      </c>
      <c r="F1815" s="62">
        <f t="shared" ref="F1815:G1815" si="3629">IF(isblank(F$1),,IF(isblank($A1815),,IFERROR(vlookup($A1815,indirect("'TVC-"&amp;text(month(F$1),"00")&amp;"'!$A:$D"),4,false),1)))</f>
        <v>1</v>
      </c>
      <c r="G1815" s="62">
        <f t="shared" si="3629"/>
        <v>1</v>
      </c>
      <c r="H1815" s="62">
        <f t="shared" ref="H1815:Q1815" si="3630">IF(isblank(H$1),,IFERROR(vlookup($A1815,indirect("'TVC-"&amp;text(month(H$1),"00")&amp;"'!$A:$D"),4,false),1))</f>
        <v>1</v>
      </c>
      <c r="I1815" s="62">
        <f t="shared" si="3630"/>
        <v>1</v>
      </c>
      <c r="J1815" s="62">
        <f t="shared" si="3630"/>
        <v>1</v>
      </c>
      <c r="K1815" s="62">
        <f t="shared" si="3630"/>
        <v>1</v>
      </c>
      <c r="L1815" s="62">
        <f t="shared" si="3630"/>
        <v>1</v>
      </c>
      <c r="M1815" s="62">
        <f t="shared" si="3630"/>
        <v>1</v>
      </c>
      <c r="N1815" s="62">
        <f t="shared" si="3630"/>
        <v>1</v>
      </c>
      <c r="O1815" s="62">
        <f t="shared" si="3630"/>
        <v>1</v>
      </c>
      <c r="P1815" s="62" t="str">
        <f t="shared" si="3630"/>
        <v/>
      </c>
      <c r="Q1815" s="62" t="str">
        <f t="shared" si="3630"/>
        <v/>
      </c>
      <c r="R1815" s="62">
        <f t="shared" si="7"/>
        <v>0</v>
      </c>
      <c r="S1815" s="62"/>
      <c r="T1815" s="62"/>
      <c r="U1815" s="62"/>
      <c r="V1815" s="62"/>
      <c r="W1815" s="62"/>
      <c r="X1815" s="62"/>
      <c r="Y1815" s="62"/>
      <c r="Z1815" s="62"/>
      <c r="AA1815" s="62"/>
      <c r="AB1815" s="62"/>
      <c r="AC1815" s="62"/>
    </row>
    <row r="1816">
      <c r="A1816" s="60">
        <f>IFERROR(__xludf.DUMMYFUNCTION("""COMPUTED_VALUE"""),16659.0)</f>
        <v>16659</v>
      </c>
      <c r="B1816" s="60" t="str">
        <f>IFERROR(__xludf.DUMMYFUNCTION("""COMPUTED_VALUE"""),"Murphy, Gabriel")</f>
        <v>Murphy, Gabriel</v>
      </c>
      <c r="C1816" s="60" t="str">
        <f>IFERROR(__xludf.DUMMYFUNCTION("""COMPUTED_VALUE"""),"DE")</f>
        <v>DE</v>
      </c>
      <c r="D1816" s="60" t="str">
        <f>IFERROR(__xludf.DUMMYFUNCTION("""COMPUTED_VALUE"""),"MIN")</f>
        <v>MIN</v>
      </c>
      <c r="E1816" s="62" t="str">
        <f t="shared" si="4"/>
        <v>Gabriel Murphy</v>
      </c>
      <c r="F1816" s="62">
        <f t="shared" ref="F1816:G1816" si="3631">IF(isblank(F$1),,IF(isblank($A1816),,IFERROR(vlookup($A1816,indirect("'TVC-"&amp;text(month(F$1),"00")&amp;"'!$A:$D"),4,false),1)))</f>
        <v>1</v>
      </c>
      <c r="G1816" s="62">
        <f t="shared" si="3631"/>
        <v>1</v>
      </c>
      <c r="H1816" s="62">
        <f t="shared" ref="H1816:Q1816" si="3632">IF(isblank(H$1),,IFERROR(vlookup($A1816,indirect("'TVC-"&amp;text(month(H$1),"00")&amp;"'!$A:$D"),4,false),1))</f>
        <v>1</v>
      </c>
      <c r="I1816" s="62">
        <f t="shared" si="3632"/>
        <v>1</v>
      </c>
      <c r="J1816" s="62">
        <f t="shared" si="3632"/>
        <v>1</v>
      </c>
      <c r="K1816" s="62">
        <f t="shared" si="3632"/>
        <v>1</v>
      </c>
      <c r="L1816" s="62">
        <f t="shared" si="3632"/>
        <v>1</v>
      </c>
      <c r="M1816" s="62">
        <f t="shared" si="3632"/>
        <v>1</v>
      </c>
      <c r="N1816" s="62">
        <f t="shared" si="3632"/>
        <v>1</v>
      </c>
      <c r="O1816" s="62">
        <f t="shared" si="3632"/>
        <v>1</v>
      </c>
      <c r="P1816" s="62" t="str">
        <f t="shared" si="3632"/>
        <v/>
      </c>
      <c r="Q1816" s="62" t="str">
        <f t="shared" si="3632"/>
        <v/>
      </c>
      <c r="R1816" s="62">
        <f t="shared" si="7"/>
        <v>0</v>
      </c>
      <c r="S1816" s="62"/>
      <c r="T1816" s="62"/>
      <c r="U1816" s="62"/>
      <c r="V1816" s="62"/>
      <c r="W1816" s="62"/>
      <c r="X1816" s="62"/>
      <c r="Y1816" s="62"/>
      <c r="Z1816" s="62"/>
      <c r="AA1816" s="62"/>
      <c r="AB1816" s="62"/>
      <c r="AC1816" s="62"/>
    </row>
    <row r="1817" hidden="1">
      <c r="A1817" s="60">
        <f>IFERROR(__xludf.DUMMYFUNCTION("""COMPUTED_VALUE"""),16660.0)</f>
        <v>16660</v>
      </c>
      <c r="B1817" s="60" t="str">
        <f>IFERROR(__xludf.DUMMYFUNCTION("""COMPUTED_VALUE"""),"Robinson, Darius")</f>
        <v>Robinson, Darius</v>
      </c>
      <c r="C1817" s="60" t="str">
        <f>IFERROR(__xludf.DUMMYFUNCTION("""COMPUTED_VALUE"""),"DT")</f>
        <v>DT</v>
      </c>
      <c r="D1817" s="60" t="str">
        <f>IFERROR(__xludf.DUMMYFUNCTION("""COMPUTED_VALUE"""),"ARI")</f>
        <v>ARI</v>
      </c>
      <c r="E1817" s="62" t="str">
        <f t="shared" si="4"/>
        <v>Darius Robinson</v>
      </c>
      <c r="F1817" s="62">
        <f t="shared" ref="F1817:G1817" si="3633">IF(isblank(F$1),,IF(isblank($A1817),,IFERROR(vlookup($A1817,indirect("'TVC-"&amp;text(month(F$1),"00")&amp;"'!$A:$D"),4,false),1)))</f>
        <v>1</v>
      </c>
      <c r="G1817" s="62">
        <f t="shared" si="3633"/>
        <v>1</v>
      </c>
      <c r="H1817" s="62">
        <f t="shared" ref="H1817:Q1817" si="3634">IF(isblank(H$1),,IFERROR(vlookup($A1817,indirect("'TVC-"&amp;text(month(H$1),"00")&amp;"'!$A:$D"),4,false),1))</f>
        <v>1</v>
      </c>
      <c r="I1817" s="62">
        <f t="shared" si="3634"/>
        <v>1</v>
      </c>
      <c r="J1817" s="62">
        <f t="shared" si="3634"/>
        <v>1</v>
      </c>
      <c r="K1817" s="62">
        <f t="shared" si="3634"/>
        <v>1</v>
      </c>
      <c r="L1817" s="62">
        <f t="shared" si="3634"/>
        <v>1</v>
      </c>
      <c r="M1817" s="62">
        <f t="shared" si="3634"/>
        <v>1</v>
      </c>
      <c r="N1817" s="62">
        <f t="shared" si="3634"/>
        <v>1</v>
      </c>
      <c r="O1817" s="62">
        <f t="shared" si="3634"/>
        <v>1</v>
      </c>
      <c r="P1817" s="62" t="str">
        <f t="shared" si="3634"/>
        <v/>
      </c>
      <c r="Q1817" s="62" t="str">
        <f t="shared" si="3634"/>
        <v/>
      </c>
      <c r="R1817" s="62">
        <f t="shared" si="7"/>
        <v>0</v>
      </c>
      <c r="S1817" s="62"/>
      <c r="T1817" s="62"/>
      <c r="U1817" s="62"/>
      <c r="V1817" s="62"/>
      <c r="W1817" s="62"/>
      <c r="X1817" s="62"/>
      <c r="Y1817" s="62"/>
      <c r="Z1817" s="62"/>
      <c r="AA1817" s="62"/>
      <c r="AB1817" s="62"/>
      <c r="AC1817" s="62"/>
    </row>
    <row r="1818">
      <c r="A1818" s="60">
        <f>IFERROR(__xludf.DUMMYFUNCTION("""COMPUTED_VALUE"""),16661.0)</f>
        <v>16661</v>
      </c>
      <c r="B1818" s="60" t="str">
        <f>IFERROR(__xludf.DUMMYFUNCTION("""COMPUTED_VALUE"""),"Hall Jr., Michael")</f>
        <v>Hall Jr., Michael</v>
      </c>
      <c r="C1818" s="60" t="str">
        <f>IFERROR(__xludf.DUMMYFUNCTION("""COMPUTED_VALUE"""),"DT")</f>
        <v>DT</v>
      </c>
      <c r="D1818" s="60" t="str">
        <f>IFERROR(__xludf.DUMMYFUNCTION("""COMPUTED_VALUE"""),"CLE")</f>
        <v>CLE</v>
      </c>
      <c r="E1818" s="62" t="str">
        <f t="shared" si="4"/>
        <v>Michael Hall Jr.</v>
      </c>
      <c r="F1818" s="62">
        <f t="shared" ref="F1818:G1818" si="3635">IF(isblank(F$1),,IF(isblank($A1818),,IFERROR(vlookup($A1818,indirect("'TVC-"&amp;text(month(F$1),"00")&amp;"'!$A:$D"),4,false),1)))</f>
        <v>1</v>
      </c>
      <c r="G1818" s="62">
        <f t="shared" si="3635"/>
        <v>1</v>
      </c>
      <c r="H1818" s="62">
        <f t="shared" ref="H1818:Q1818" si="3636">IF(isblank(H$1),,IFERROR(vlookup($A1818,indirect("'TVC-"&amp;text(month(H$1),"00")&amp;"'!$A:$D"),4,false),1))</f>
        <v>1</v>
      </c>
      <c r="I1818" s="62">
        <f t="shared" si="3636"/>
        <v>1</v>
      </c>
      <c r="J1818" s="62">
        <f t="shared" si="3636"/>
        <v>1</v>
      </c>
      <c r="K1818" s="62">
        <f t="shared" si="3636"/>
        <v>1</v>
      </c>
      <c r="L1818" s="62">
        <f t="shared" si="3636"/>
        <v>1</v>
      </c>
      <c r="M1818" s="62">
        <f t="shared" si="3636"/>
        <v>1</v>
      </c>
      <c r="N1818" s="62">
        <f t="shared" si="3636"/>
        <v>1</v>
      </c>
      <c r="O1818" s="62">
        <f t="shared" si="3636"/>
        <v>1</v>
      </c>
      <c r="P1818" s="62" t="str">
        <f t="shared" si="3636"/>
        <v/>
      </c>
      <c r="Q1818" s="62" t="str">
        <f t="shared" si="3636"/>
        <v/>
      </c>
      <c r="R1818" s="62">
        <f t="shared" si="7"/>
        <v>0</v>
      </c>
      <c r="S1818" s="62"/>
      <c r="T1818" s="62"/>
      <c r="U1818" s="62"/>
      <c r="V1818" s="62"/>
      <c r="W1818" s="62"/>
      <c r="X1818" s="62"/>
      <c r="Y1818" s="62"/>
      <c r="Z1818" s="62"/>
      <c r="AA1818" s="62"/>
      <c r="AB1818" s="62"/>
      <c r="AC1818" s="62"/>
    </row>
    <row r="1819" hidden="1">
      <c r="A1819" s="60">
        <f>IFERROR(__xludf.DUMMYFUNCTION("""COMPUTED_VALUE"""),16662.0)</f>
        <v>16662</v>
      </c>
      <c r="B1819" s="60" t="str">
        <f>IFERROR(__xludf.DUMMYFUNCTION("""COMPUTED_VALUE"""),"Jenkins, Kris")</f>
        <v>Jenkins, Kris</v>
      </c>
      <c r="C1819" s="60" t="str">
        <f>IFERROR(__xludf.DUMMYFUNCTION("""COMPUTED_VALUE"""),"DT")</f>
        <v>DT</v>
      </c>
      <c r="D1819" s="60" t="str">
        <f>IFERROR(__xludf.DUMMYFUNCTION("""COMPUTED_VALUE"""),"CIN")</f>
        <v>CIN</v>
      </c>
      <c r="E1819" s="62" t="str">
        <f t="shared" si="4"/>
        <v>Kris Jenkins</v>
      </c>
      <c r="F1819" s="62">
        <f t="shared" ref="F1819:G1819" si="3637">IF(isblank(F$1),,IF(isblank($A1819),,IFERROR(vlookup($A1819,indirect("'TVC-"&amp;text(month(F$1),"00")&amp;"'!$A:$D"),4,false),1)))</f>
        <v>1</v>
      </c>
      <c r="G1819" s="62">
        <f t="shared" si="3637"/>
        <v>1</v>
      </c>
      <c r="H1819" s="62">
        <f t="shared" ref="H1819:Q1819" si="3638">IF(isblank(H$1),,IFERROR(vlookup($A1819,indirect("'TVC-"&amp;text(month(H$1),"00")&amp;"'!$A:$D"),4,false),1))</f>
        <v>1</v>
      </c>
      <c r="I1819" s="62">
        <f t="shared" si="3638"/>
        <v>1</v>
      </c>
      <c r="J1819" s="62">
        <f t="shared" si="3638"/>
        <v>1</v>
      </c>
      <c r="K1819" s="62">
        <f t="shared" si="3638"/>
        <v>1</v>
      </c>
      <c r="L1819" s="62">
        <f t="shared" si="3638"/>
        <v>1</v>
      </c>
      <c r="M1819" s="62">
        <f t="shared" si="3638"/>
        <v>1</v>
      </c>
      <c r="N1819" s="62">
        <f t="shared" si="3638"/>
        <v>1</v>
      </c>
      <c r="O1819" s="62">
        <f t="shared" si="3638"/>
        <v>1</v>
      </c>
      <c r="P1819" s="62" t="str">
        <f t="shared" si="3638"/>
        <v/>
      </c>
      <c r="Q1819" s="62" t="str">
        <f t="shared" si="3638"/>
        <v/>
      </c>
      <c r="R1819" s="62">
        <f t="shared" si="7"/>
        <v>0</v>
      </c>
      <c r="S1819" s="62"/>
      <c r="T1819" s="62"/>
      <c r="U1819" s="62"/>
      <c r="V1819" s="62"/>
      <c r="W1819" s="62"/>
      <c r="X1819" s="62"/>
      <c r="Y1819" s="62"/>
      <c r="Z1819" s="62"/>
      <c r="AA1819" s="62"/>
      <c r="AB1819" s="62"/>
      <c r="AC1819" s="62"/>
    </row>
    <row r="1820" hidden="1">
      <c r="A1820" s="60">
        <f>IFERROR(__xludf.DUMMYFUNCTION("""COMPUTED_VALUE"""),16663.0)</f>
        <v>16663</v>
      </c>
      <c r="B1820" s="60" t="str">
        <f>IFERROR(__xludf.DUMMYFUNCTION("""COMPUTED_VALUE"""),"Eboigbe, Justin")</f>
        <v>Eboigbe, Justin</v>
      </c>
      <c r="C1820" s="60" t="str">
        <f>IFERROR(__xludf.DUMMYFUNCTION("""COMPUTED_VALUE"""),"DT")</f>
        <v>DT</v>
      </c>
      <c r="D1820" s="60" t="str">
        <f>IFERROR(__xludf.DUMMYFUNCTION("""COMPUTED_VALUE"""),"LAC")</f>
        <v>LAC</v>
      </c>
      <c r="E1820" s="62" t="str">
        <f t="shared" si="4"/>
        <v>Justin Eboigbe</v>
      </c>
      <c r="F1820" s="62">
        <f t="shared" ref="F1820:G1820" si="3639">IF(isblank(F$1),,IF(isblank($A1820),,IFERROR(vlookup($A1820,indirect("'TVC-"&amp;text(month(F$1),"00")&amp;"'!$A:$D"),4,false),1)))</f>
        <v>1</v>
      </c>
      <c r="G1820" s="62">
        <f t="shared" si="3639"/>
        <v>1</v>
      </c>
      <c r="H1820" s="62">
        <f t="shared" ref="H1820:Q1820" si="3640">IF(isblank(H$1),,IFERROR(vlookup($A1820,indirect("'TVC-"&amp;text(month(H$1),"00")&amp;"'!$A:$D"),4,false),1))</f>
        <v>1</v>
      </c>
      <c r="I1820" s="62">
        <f t="shared" si="3640"/>
        <v>1</v>
      </c>
      <c r="J1820" s="62">
        <f t="shared" si="3640"/>
        <v>1</v>
      </c>
      <c r="K1820" s="62">
        <f t="shared" si="3640"/>
        <v>1</v>
      </c>
      <c r="L1820" s="62">
        <f t="shared" si="3640"/>
        <v>1</v>
      </c>
      <c r="M1820" s="62">
        <f t="shared" si="3640"/>
        <v>1</v>
      </c>
      <c r="N1820" s="62">
        <f t="shared" si="3640"/>
        <v>1</v>
      </c>
      <c r="O1820" s="62">
        <f t="shared" si="3640"/>
        <v>1</v>
      </c>
      <c r="P1820" s="62" t="str">
        <f t="shared" si="3640"/>
        <v/>
      </c>
      <c r="Q1820" s="62" t="str">
        <f t="shared" si="3640"/>
        <v/>
      </c>
      <c r="R1820" s="62">
        <f t="shared" si="7"/>
        <v>0</v>
      </c>
      <c r="S1820" s="62"/>
      <c r="T1820" s="62"/>
      <c r="U1820" s="62"/>
      <c r="V1820" s="62"/>
      <c r="W1820" s="62"/>
      <c r="X1820" s="62"/>
      <c r="Y1820" s="62"/>
      <c r="Z1820" s="62"/>
      <c r="AA1820" s="62"/>
      <c r="AB1820" s="62"/>
      <c r="AC1820" s="62"/>
    </row>
    <row r="1821" hidden="1">
      <c r="A1821" s="60">
        <f>IFERROR(__xludf.DUMMYFUNCTION("""COMPUTED_VALUE"""),16664.0)</f>
        <v>16664</v>
      </c>
      <c r="B1821" s="60" t="str">
        <f>IFERROR(__xludf.DUMMYFUNCTION("""COMPUTED_VALUE"""),"Trotter Jr., Jeremiah")</f>
        <v>Trotter Jr., Jeremiah</v>
      </c>
      <c r="C1821" s="60" t="str">
        <f>IFERROR(__xludf.DUMMYFUNCTION("""COMPUTED_VALUE"""),"LB")</f>
        <v>LB</v>
      </c>
      <c r="D1821" s="60" t="str">
        <f>IFERROR(__xludf.DUMMYFUNCTION("""COMPUTED_VALUE"""),"PHI")</f>
        <v>PHI</v>
      </c>
      <c r="E1821" s="62" t="str">
        <f t="shared" si="4"/>
        <v>Jeremiah Trotter Jr.</v>
      </c>
      <c r="F1821" s="62">
        <f t="shared" ref="F1821:G1821" si="3641">IF(isblank(F$1),,IF(isblank($A1821),,IFERROR(vlookup($A1821,indirect("'TVC-"&amp;text(month(F$1),"00")&amp;"'!$A:$D"),4,false),1)))</f>
        <v>1</v>
      </c>
      <c r="G1821" s="62">
        <f t="shared" si="3641"/>
        <v>1</v>
      </c>
      <c r="H1821" s="62">
        <f t="shared" ref="H1821:Q1821" si="3642">IF(isblank(H$1),,IFERROR(vlookup($A1821,indirect("'TVC-"&amp;text(month(H$1),"00")&amp;"'!$A:$D"),4,false),1))</f>
        <v>1</v>
      </c>
      <c r="I1821" s="62">
        <f t="shared" si="3642"/>
        <v>1</v>
      </c>
      <c r="J1821" s="62">
        <f t="shared" si="3642"/>
        <v>1</v>
      </c>
      <c r="K1821" s="62">
        <f t="shared" si="3642"/>
        <v>1</v>
      </c>
      <c r="L1821" s="62">
        <f t="shared" si="3642"/>
        <v>1</v>
      </c>
      <c r="M1821" s="62">
        <f t="shared" si="3642"/>
        <v>1</v>
      </c>
      <c r="N1821" s="62">
        <f t="shared" si="3642"/>
        <v>1</v>
      </c>
      <c r="O1821" s="62">
        <f t="shared" si="3642"/>
        <v>1</v>
      </c>
      <c r="P1821" s="62" t="str">
        <f t="shared" si="3642"/>
        <v/>
      </c>
      <c r="Q1821" s="62" t="str">
        <f t="shared" si="3642"/>
        <v/>
      </c>
      <c r="R1821" s="62">
        <f t="shared" si="7"/>
        <v>0</v>
      </c>
      <c r="S1821" s="62"/>
      <c r="T1821" s="62"/>
      <c r="U1821" s="62"/>
      <c r="V1821" s="62"/>
      <c r="W1821" s="62"/>
      <c r="X1821" s="62"/>
      <c r="Y1821" s="62"/>
      <c r="Z1821" s="62"/>
      <c r="AA1821" s="62"/>
      <c r="AB1821" s="62"/>
      <c r="AC1821" s="62"/>
    </row>
    <row r="1822" hidden="1">
      <c r="A1822" s="60">
        <f>IFERROR(__xludf.DUMMYFUNCTION("""COMPUTED_VALUE"""),16665.0)</f>
        <v>16665</v>
      </c>
      <c r="B1822" s="60" t="str">
        <f>IFERROR(__xludf.DUMMYFUNCTION("""COMPUTED_VALUE"""),"Colson, Junior")</f>
        <v>Colson, Junior</v>
      </c>
      <c r="C1822" s="60" t="str">
        <f>IFERROR(__xludf.DUMMYFUNCTION("""COMPUTED_VALUE"""),"LB")</f>
        <v>LB</v>
      </c>
      <c r="D1822" s="60" t="str">
        <f>IFERROR(__xludf.DUMMYFUNCTION("""COMPUTED_VALUE"""),"LAC")</f>
        <v>LAC</v>
      </c>
      <c r="E1822" s="62" t="str">
        <f t="shared" si="4"/>
        <v>Junior Colson</v>
      </c>
      <c r="F1822" s="62">
        <f t="shared" ref="F1822:G1822" si="3643">IF(isblank(F$1),,IF(isblank($A1822),,IFERROR(vlookup($A1822,indirect("'TVC-"&amp;text(month(F$1),"00")&amp;"'!$A:$D"),4,false),1)))</f>
        <v>1</v>
      </c>
      <c r="G1822" s="62">
        <f t="shared" si="3643"/>
        <v>1</v>
      </c>
      <c r="H1822" s="62">
        <f t="shared" ref="H1822:Q1822" si="3644">IF(isblank(H$1),,IFERROR(vlookup($A1822,indirect("'TVC-"&amp;text(month(H$1),"00")&amp;"'!$A:$D"),4,false),1))</f>
        <v>1</v>
      </c>
      <c r="I1822" s="62">
        <f t="shared" si="3644"/>
        <v>1</v>
      </c>
      <c r="J1822" s="62">
        <f t="shared" si="3644"/>
        <v>1</v>
      </c>
      <c r="K1822" s="62">
        <f t="shared" si="3644"/>
        <v>1</v>
      </c>
      <c r="L1822" s="62">
        <f t="shared" si="3644"/>
        <v>1</v>
      </c>
      <c r="M1822" s="62">
        <f t="shared" si="3644"/>
        <v>1</v>
      </c>
      <c r="N1822" s="62">
        <f t="shared" si="3644"/>
        <v>1</v>
      </c>
      <c r="O1822" s="62">
        <f t="shared" si="3644"/>
        <v>1</v>
      </c>
      <c r="P1822" s="62" t="str">
        <f t="shared" si="3644"/>
        <v/>
      </c>
      <c r="Q1822" s="62" t="str">
        <f t="shared" si="3644"/>
        <v/>
      </c>
      <c r="R1822" s="62">
        <f t="shared" si="7"/>
        <v>0</v>
      </c>
      <c r="S1822" s="62"/>
      <c r="T1822" s="62"/>
      <c r="U1822" s="62"/>
      <c r="V1822" s="62"/>
      <c r="W1822" s="62"/>
      <c r="X1822" s="62"/>
      <c r="Y1822" s="62"/>
      <c r="Z1822" s="62"/>
      <c r="AA1822" s="62"/>
      <c r="AB1822" s="62"/>
      <c r="AC1822" s="62"/>
    </row>
    <row r="1823" hidden="1">
      <c r="A1823" s="60">
        <f>IFERROR(__xludf.DUMMYFUNCTION("""COMPUTED_VALUE"""),16666.0)</f>
        <v>16666</v>
      </c>
      <c r="B1823" s="60" t="str">
        <f>IFERROR(__xludf.DUMMYFUNCTION("""COMPUTED_VALUE"""),"Eichenberg, Tommy")</f>
        <v>Eichenberg, Tommy</v>
      </c>
      <c r="C1823" s="60" t="str">
        <f>IFERROR(__xludf.DUMMYFUNCTION("""COMPUTED_VALUE"""),"LB")</f>
        <v>LB</v>
      </c>
      <c r="D1823" s="60" t="str">
        <f>IFERROR(__xludf.DUMMYFUNCTION("""COMPUTED_VALUE"""),"LVR")</f>
        <v>LVR</v>
      </c>
      <c r="E1823" s="62" t="str">
        <f t="shared" si="4"/>
        <v>Tommy Eichenberg</v>
      </c>
      <c r="F1823" s="62">
        <f t="shared" ref="F1823:G1823" si="3645">IF(isblank(F$1),,IF(isblank($A1823),,IFERROR(vlookup($A1823,indirect("'TVC-"&amp;text(month(F$1),"00")&amp;"'!$A:$D"),4,false),1)))</f>
        <v>1</v>
      </c>
      <c r="G1823" s="62">
        <f t="shared" si="3645"/>
        <v>1</v>
      </c>
      <c r="H1823" s="62">
        <f t="shared" ref="H1823:Q1823" si="3646">IF(isblank(H$1),,IFERROR(vlookup($A1823,indirect("'TVC-"&amp;text(month(H$1),"00")&amp;"'!$A:$D"),4,false),1))</f>
        <v>1</v>
      </c>
      <c r="I1823" s="62">
        <f t="shared" si="3646"/>
        <v>1</v>
      </c>
      <c r="J1823" s="62">
        <f t="shared" si="3646"/>
        <v>1</v>
      </c>
      <c r="K1823" s="62">
        <f t="shared" si="3646"/>
        <v>1</v>
      </c>
      <c r="L1823" s="62">
        <f t="shared" si="3646"/>
        <v>1</v>
      </c>
      <c r="M1823" s="62">
        <f t="shared" si="3646"/>
        <v>1</v>
      </c>
      <c r="N1823" s="62">
        <f t="shared" si="3646"/>
        <v>1</v>
      </c>
      <c r="O1823" s="62">
        <f t="shared" si="3646"/>
        <v>1</v>
      </c>
      <c r="P1823" s="62" t="str">
        <f t="shared" si="3646"/>
        <v/>
      </c>
      <c r="Q1823" s="62" t="str">
        <f t="shared" si="3646"/>
        <v/>
      </c>
      <c r="R1823" s="62">
        <f t="shared" si="7"/>
        <v>0</v>
      </c>
      <c r="S1823" s="62"/>
      <c r="T1823" s="62"/>
      <c r="U1823" s="62"/>
      <c r="V1823" s="62"/>
      <c r="W1823" s="62"/>
      <c r="X1823" s="62"/>
      <c r="Y1823" s="62"/>
      <c r="Z1823" s="62"/>
      <c r="AA1823" s="62"/>
      <c r="AB1823" s="62"/>
      <c r="AC1823" s="62"/>
    </row>
    <row r="1824" hidden="1">
      <c r="A1824" s="60">
        <f>IFERROR(__xludf.DUMMYFUNCTION("""COMPUTED_VALUE"""),16667.0)</f>
        <v>16667</v>
      </c>
      <c r="B1824" s="60" t="str">
        <f>IFERROR(__xludf.DUMMYFUNCTION("""COMPUTED_VALUE"""),"Gray, Cedric")</f>
        <v>Gray, Cedric</v>
      </c>
      <c r="C1824" s="60" t="str">
        <f>IFERROR(__xludf.DUMMYFUNCTION("""COMPUTED_VALUE"""),"LB")</f>
        <v>LB</v>
      </c>
      <c r="D1824" s="60" t="str">
        <f>IFERROR(__xludf.DUMMYFUNCTION("""COMPUTED_VALUE"""),"TEN")</f>
        <v>TEN</v>
      </c>
      <c r="E1824" s="62" t="str">
        <f t="shared" si="4"/>
        <v>Cedric Gray</v>
      </c>
      <c r="F1824" s="62">
        <f t="shared" ref="F1824:G1824" si="3647">IF(isblank(F$1),,IF(isblank($A1824),,IFERROR(vlookup($A1824,indirect("'TVC-"&amp;text(month(F$1),"00")&amp;"'!$A:$D"),4,false),1)))</f>
        <v>1</v>
      </c>
      <c r="G1824" s="62">
        <f t="shared" si="3647"/>
        <v>1</v>
      </c>
      <c r="H1824" s="62">
        <f t="shared" ref="H1824:Q1824" si="3648">IF(isblank(H$1),,IFERROR(vlookup($A1824,indirect("'TVC-"&amp;text(month(H$1),"00")&amp;"'!$A:$D"),4,false),1))</f>
        <v>1</v>
      </c>
      <c r="I1824" s="62">
        <f t="shared" si="3648"/>
        <v>1</v>
      </c>
      <c r="J1824" s="62">
        <f t="shared" si="3648"/>
        <v>1</v>
      </c>
      <c r="K1824" s="62">
        <f t="shared" si="3648"/>
        <v>1</v>
      </c>
      <c r="L1824" s="62">
        <f t="shared" si="3648"/>
        <v>1</v>
      </c>
      <c r="M1824" s="62">
        <f t="shared" si="3648"/>
        <v>1</v>
      </c>
      <c r="N1824" s="62">
        <f t="shared" si="3648"/>
        <v>1</v>
      </c>
      <c r="O1824" s="62">
        <f t="shared" si="3648"/>
        <v>1</v>
      </c>
      <c r="P1824" s="62" t="str">
        <f t="shared" si="3648"/>
        <v/>
      </c>
      <c r="Q1824" s="62" t="str">
        <f t="shared" si="3648"/>
        <v/>
      </c>
      <c r="R1824" s="62">
        <f t="shared" si="7"/>
        <v>0</v>
      </c>
      <c r="S1824" s="62"/>
      <c r="T1824" s="62"/>
      <c r="U1824" s="62"/>
      <c r="V1824" s="62"/>
      <c r="W1824" s="62"/>
      <c r="X1824" s="62"/>
      <c r="Y1824" s="62"/>
      <c r="Z1824" s="62"/>
      <c r="AA1824" s="62"/>
      <c r="AB1824" s="62"/>
      <c r="AC1824" s="62"/>
    </row>
    <row r="1825" hidden="1">
      <c r="A1825" s="60">
        <f>IFERROR(__xludf.DUMMYFUNCTION("""COMPUTED_VALUE"""),16669.0)</f>
        <v>16669</v>
      </c>
      <c r="B1825" s="60" t="str">
        <f>IFERROR(__xludf.DUMMYFUNCTION("""COMPUTED_VALUE"""),"Ford, Jaylan")</f>
        <v>Ford, Jaylan</v>
      </c>
      <c r="C1825" s="60" t="str">
        <f>IFERROR(__xludf.DUMMYFUNCTION("""COMPUTED_VALUE"""),"LB")</f>
        <v>LB</v>
      </c>
      <c r="D1825" s="60" t="str">
        <f>IFERROR(__xludf.DUMMYFUNCTION("""COMPUTED_VALUE"""),"NOS")</f>
        <v>NOS</v>
      </c>
      <c r="E1825" s="62" t="str">
        <f t="shared" si="4"/>
        <v>Jaylan Ford</v>
      </c>
      <c r="F1825" s="62">
        <f t="shared" ref="F1825:G1825" si="3649">IF(isblank(F$1),,IF(isblank($A1825),,IFERROR(vlookup($A1825,indirect("'TVC-"&amp;text(month(F$1),"00")&amp;"'!$A:$D"),4,false),1)))</f>
        <v>1</v>
      </c>
      <c r="G1825" s="62">
        <f t="shared" si="3649"/>
        <v>1</v>
      </c>
      <c r="H1825" s="62">
        <f t="shared" ref="H1825:Q1825" si="3650">IF(isblank(H$1),,IFERROR(vlookup($A1825,indirect("'TVC-"&amp;text(month(H$1),"00")&amp;"'!$A:$D"),4,false),1))</f>
        <v>1</v>
      </c>
      <c r="I1825" s="62">
        <f t="shared" si="3650"/>
        <v>1</v>
      </c>
      <c r="J1825" s="62">
        <f t="shared" si="3650"/>
        <v>1</v>
      </c>
      <c r="K1825" s="62">
        <f t="shared" si="3650"/>
        <v>1</v>
      </c>
      <c r="L1825" s="62">
        <f t="shared" si="3650"/>
        <v>1</v>
      </c>
      <c r="M1825" s="62">
        <f t="shared" si="3650"/>
        <v>1</v>
      </c>
      <c r="N1825" s="62">
        <f t="shared" si="3650"/>
        <v>1</v>
      </c>
      <c r="O1825" s="62">
        <f t="shared" si="3650"/>
        <v>1</v>
      </c>
      <c r="P1825" s="62" t="str">
        <f t="shared" si="3650"/>
        <v/>
      </c>
      <c r="Q1825" s="62" t="str">
        <f t="shared" si="3650"/>
        <v/>
      </c>
      <c r="R1825" s="62">
        <f t="shared" si="7"/>
        <v>0</v>
      </c>
      <c r="S1825" s="62"/>
      <c r="T1825" s="62"/>
      <c r="U1825" s="62"/>
      <c r="V1825" s="62"/>
      <c r="W1825" s="62"/>
      <c r="X1825" s="62"/>
      <c r="Y1825" s="62"/>
      <c r="Z1825" s="62"/>
      <c r="AA1825" s="62"/>
      <c r="AB1825" s="62"/>
      <c r="AC1825" s="62"/>
    </row>
    <row r="1826" hidden="1">
      <c r="A1826" s="60">
        <f>IFERROR(__xludf.DUMMYFUNCTION("""COMPUTED_VALUE"""),16670.0)</f>
        <v>16670</v>
      </c>
      <c r="B1826" s="60" t="str">
        <f>IFERROR(__xludf.DUMMYFUNCTION("""COMPUTED_VALUE"""),"McKinstry, Kool-Aid")</f>
        <v>McKinstry, Kool-Aid</v>
      </c>
      <c r="C1826" s="60" t="str">
        <f>IFERROR(__xludf.DUMMYFUNCTION("""COMPUTED_VALUE"""),"CB")</f>
        <v>CB</v>
      </c>
      <c r="D1826" s="60" t="str">
        <f>IFERROR(__xludf.DUMMYFUNCTION("""COMPUTED_VALUE"""),"NOS")</f>
        <v>NOS</v>
      </c>
      <c r="E1826" s="62" t="str">
        <f t="shared" si="4"/>
        <v>Kool-Aid McKinstry</v>
      </c>
      <c r="F1826" s="62">
        <f t="shared" ref="F1826:G1826" si="3651">IF(isblank(F$1),,IF(isblank($A1826),,IFERROR(vlookup($A1826,indirect("'TVC-"&amp;text(month(F$1),"00")&amp;"'!$A:$D"),4,false),1)))</f>
        <v>1</v>
      </c>
      <c r="G1826" s="62">
        <f t="shared" si="3651"/>
        <v>1</v>
      </c>
      <c r="H1826" s="62">
        <f t="shared" ref="H1826:Q1826" si="3652">IF(isblank(H$1),,IFERROR(vlookup($A1826,indirect("'TVC-"&amp;text(month(H$1),"00")&amp;"'!$A:$D"),4,false),1))</f>
        <v>1</v>
      </c>
      <c r="I1826" s="62">
        <f t="shared" si="3652"/>
        <v>1</v>
      </c>
      <c r="J1826" s="62">
        <f t="shared" si="3652"/>
        <v>1</v>
      </c>
      <c r="K1826" s="62">
        <f t="shared" si="3652"/>
        <v>1</v>
      </c>
      <c r="L1826" s="62">
        <f t="shared" si="3652"/>
        <v>1</v>
      </c>
      <c r="M1826" s="62">
        <f t="shared" si="3652"/>
        <v>1</v>
      </c>
      <c r="N1826" s="62">
        <f t="shared" si="3652"/>
        <v>1</v>
      </c>
      <c r="O1826" s="62">
        <f t="shared" si="3652"/>
        <v>1</v>
      </c>
      <c r="P1826" s="62" t="str">
        <f t="shared" si="3652"/>
        <v/>
      </c>
      <c r="Q1826" s="62" t="str">
        <f t="shared" si="3652"/>
        <v/>
      </c>
      <c r="R1826" s="62">
        <f t="shared" si="7"/>
        <v>0</v>
      </c>
      <c r="S1826" s="62"/>
      <c r="T1826" s="62"/>
      <c r="U1826" s="62"/>
      <c r="V1826" s="62"/>
      <c r="W1826" s="62"/>
      <c r="X1826" s="62"/>
      <c r="Y1826" s="62"/>
      <c r="Z1826" s="62"/>
      <c r="AA1826" s="62"/>
      <c r="AB1826" s="62"/>
      <c r="AC1826" s="62"/>
    </row>
    <row r="1827" hidden="1">
      <c r="A1827" s="60">
        <f>IFERROR(__xludf.DUMMYFUNCTION("""COMPUTED_VALUE"""),16671.0)</f>
        <v>16671</v>
      </c>
      <c r="B1827" s="60" t="str">
        <f>IFERROR(__xludf.DUMMYFUNCTION("""COMPUTED_VALUE"""),"Arnold, Terrion")</f>
        <v>Arnold, Terrion</v>
      </c>
      <c r="C1827" s="60" t="str">
        <f>IFERROR(__xludf.DUMMYFUNCTION("""COMPUTED_VALUE"""),"CB")</f>
        <v>CB</v>
      </c>
      <c r="D1827" s="60" t="str">
        <f>IFERROR(__xludf.DUMMYFUNCTION("""COMPUTED_VALUE"""),"SEA")</f>
        <v>SEA</v>
      </c>
      <c r="E1827" s="62" t="str">
        <f t="shared" si="4"/>
        <v>Terrion Arnold</v>
      </c>
      <c r="F1827" s="62">
        <f t="shared" ref="F1827:G1827" si="3653">IF(isblank(F$1),,IF(isblank($A1827),,IFERROR(vlookup($A1827,indirect("'TVC-"&amp;text(month(F$1),"00")&amp;"'!$A:$D"),4,false),1)))</f>
        <v>1</v>
      </c>
      <c r="G1827" s="62">
        <f t="shared" si="3653"/>
        <v>1</v>
      </c>
      <c r="H1827" s="62">
        <f t="shared" ref="H1827:Q1827" si="3654">IF(isblank(H$1),,IFERROR(vlookup($A1827,indirect("'TVC-"&amp;text(month(H$1),"00")&amp;"'!$A:$D"),4,false),1))</f>
        <v>1</v>
      </c>
      <c r="I1827" s="62">
        <f t="shared" si="3654"/>
        <v>1</v>
      </c>
      <c r="J1827" s="62">
        <f t="shared" si="3654"/>
        <v>1</v>
      </c>
      <c r="K1827" s="62">
        <f t="shared" si="3654"/>
        <v>1</v>
      </c>
      <c r="L1827" s="62">
        <f t="shared" si="3654"/>
        <v>1</v>
      </c>
      <c r="M1827" s="62">
        <f t="shared" si="3654"/>
        <v>1</v>
      </c>
      <c r="N1827" s="62">
        <f t="shared" si="3654"/>
        <v>1</v>
      </c>
      <c r="O1827" s="62">
        <f t="shared" si="3654"/>
        <v>1</v>
      </c>
      <c r="P1827" s="62" t="str">
        <f t="shared" si="3654"/>
        <v/>
      </c>
      <c r="Q1827" s="62" t="str">
        <f t="shared" si="3654"/>
        <v/>
      </c>
      <c r="R1827" s="62">
        <f t="shared" si="7"/>
        <v>0</v>
      </c>
      <c r="S1827" s="62"/>
      <c r="T1827" s="62"/>
      <c r="U1827" s="62"/>
      <c r="V1827" s="62"/>
      <c r="W1827" s="62"/>
      <c r="X1827" s="62"/>
      <c r="Y1827" s="62"/>
      <c r="Z1827" s="62"/>
      <c r="AA1827" s="62"/>
      <c r="AB1827" s="62"/>
      <c r="AC1827" s="62"/>
    </row>
    <row r="1828" hidden="1">
      <c r="A1828" s="60">
        <f>IFERROR(__xludf.DUMMYFUNCTION("""COMPUTED_VALUE"""),16672.0)</f>
        <v>16672</v>
      </c>
      <c r="B1828" s="60" t="str">
        <f>IFERROR(__xludf.DUMMYFUNCTION("""COMPUTED_VALUE"""),"Lassiter, Kamari")</f>
        <v>Lassiter, Kamari</v>
      </c>
      <c r="C1828" s="60" t="str">
        <f>IFERROR(__xludf.DUMMYFUNCTION("""COMPUTED_VALUE"""),"CB")</f>
        <v>CB</v>
      </c>
      <c r="D1828" s="60" t="str">
        <f>IFERROR(__xludf.DUMMYFUNCTION("""COMPUTED_VALUE"""),"HOU")</f>
        <v>HOU</v>
      </c>
      <c r="E1828" s="62" t="str">
        <f t="shared" si="4"/>
        <v>Kamari Lassiter</v>
      </c>
      <c r="F1828" s="62">
        <f t="shared" ref="F1828:G1828" si="3655">IF(isblank(F$1),,IF(isblank($A1828),,IFERROR(vlookup($A1828,indirect("'TVC-"&amp;text(month(F$1),"00")&amp;"'!$A:$D"),4,false),1)))</f>
        <v>1</v>
      </c>
      <c r="G1828" s="62">
        <f t="shared" si="3655"/>
        <v>1</v>
      </c>
      <c r="H1828" s="62">
        <f t="shared" ref="H1828:Q1828" si="3656">IF(isblank(H$1),,IFERROR(vlookup($A1828,indirect("'TVC-"&amp;text(month(H$1),"00")&amp;"'!$A:$D"),4,false),1))</f>
        <v>1</v>
      </c>
      <c r="I1828" s="62">
        <f t="shared" si="3656"/>
        <v>1</v>
      </c>
      <c r="J1828" s="62">
        <f t="shared" si="3656"/>
        <v>1</v>
      </c>
      <c r="K1828" s="62">
        <f t="shared" si="3656"/>
        <v>1</v>
      </c>
      <c r="L1828" s="62">
        <f t="shared" si="3656"/>
        <v>1</v>
      </c>
      <c r="M1828" s="62">
        <f t="shared" si="3656"/>
        <v>1</v>
      </c>
      <c r="N1828" s="62">
        <f t="shared" si="3656"/>
        <v>1</v>
      </c>
      <c r="O1828" s="62">
        <f t="shared" si="3656"/>
        <v>1</v>
      </c>
      <c r="P1828" s="62" t="str">
        <f t="shared" si="3656"/>
        <v/>
      </c>
      <c r="Q1828" s="62" t="str">
        <f t="shared" si="3656"/>
        <v/>
      </c>
      <c r="R1828" s="62">
        <f t="shared" si="7"/>
        <v>0</v>
      </c>
      <c r="S1828" s="62"/>
      <c r="T1828" s="62"/>
      <c r="U1828" s="62"/>
      <c r="V1828" s="62"/>
      <c r="W1828" s="62"/>
      <c r="X1828" s="62"/>
      <c r="Y1828" s="62"/>
      <c r="Z1828" s="62"/>
      <c r="AA1828" s="62"/>
      <c r="AB1828" s="62"/>
      <c r="AC1828" s="62"/>
    </row>
    <row r="1829" hidden="1">
      <c r="A1829" s="60">
        <f>IFERROR(__xludf.DUMMYFUNCTION("""COMPUTED_VALUE"""),16673.0)</f>
        <v>16673</v>
      </c>
      <c r="B1829" s="60" t="str">
        <f>IFERROR(__xludf.DUMMYFUNCTION("""COMPUTED_VALUE"""),"Wiggins, Nate")</f>
        <v>Wiggins, Nate</v>
      </c>
      <c r="C1829" s="60" t="str">
        <f>IFERROR(__xludf.DUMMYFUNCTION("""COMPUTED_VALUE"""),"CB")</f>
        <v>CB</v>
      </c>
      <c r="D1829" s="60" t="str">
        <f>IFERROR(__xludf.DUMMYFUNCTION("""COMPUTED_VALUE"""),"BAL")</f>
        <v>BAL</v>
      </c>
      <c r="E1829" s="62" t="str">
        <f t="shared" si="4"/>
        <v>Nate Wiggins</v>
      </c>
      <c r="F1829" s="62">
        <f t="shared" ref="F1829:G1829" si="3657">IF(isblank(F$1),,IF(isblank($A1829),,IFERROR(vlookup($A1829,indirect("'TVC-"&amp;text(month(F$1),"00")&amp;"'!$A:$D"),4,false),1)))</f>
        <v>1</v>
      </c>
      <c r="G1829" s="62">
        <f t="shared" si="3657"/>
        <v>1</v>
      </c>
      <c r="H1829" s="62">
        <f t="shared" ref="H1829:Q1829" si="3658">IF(isblank(H$1),,IFERROR(vlookup($A1829,indirect("'TVC-"&amp;text(month(H$1),"00")&amp;"'!$A:$D"),4,false),1))</f>
        <v>1</v>
      </c>
      <c r="I1829" s="62">
        <f t="shared" si="3658"/>
        <v>1</v>
      </c>
      <c r="J1829" s="62">
        <f t="shared" si="3658"/>
        <v>1</v>
      </c>
      <c r="K1829" s="62">
        <f t="shared" si="3658"/>
        <v>1</v>
      </c>
      <c r="L1829" s="62">
        <f t="shared" si="3658"/>
        <v>1</v>
      </c>
      <c r="M1829" s="62">
        <f t="shared" si="3658"/>
        <v>1</v>
      </c>
      <c r="N1829" s="62">
        <f t="shared" si="3658"/>
        <v>1</v>
      </c>
      <c r="O1829" s="62">
        <f t="shared" si="3658"/>
        <v>1</v>
      </c>
      <c r="P1829" s="62" t="str">
        <f t="shared" si="3658"/>
        <v/>
      </c>
      <c r="Q1829" s="62" t="str">
        <f t="shared" si="3658"/>
        <v/>
      </c>
      <c r="R1829" s="62">
        <f t="shared" si="7"/>
        <v>0</v>
      </c>
      <c r="S1829" s="62"/>
      <c r="T1829" s="62"/>
      <c r="U1829" s="62"/>
      <c r="V1829" s="62"/>
      <c r="W1829" s="62"/>
      <c r="X1829" s="62"/>
      <c r="Y1829" s="62"/>
      <c r="Z1829" s="62"/>
      <c r="AA1829" s="62"/>
      <c r="AB1829" s="62"/>
      <c r="AC1829" s="62"/>
    </row>
    <row r="1830" hidden="1">
      <c r="A1830" s="60">
        <f>IFERROR(__xludf.DUMMYFUNCTION("""COMPUTED_VALUE"""),16674.0)</f>
        <v>16674</v>
      </c>
      <c r="B1830" s="60" t="str">
        <f>IFERROR(__xludf.DUMMYFUNCTION("""COMPUTED_VALUE"""),"King, Kalen")</f>
        <v>King, Kalen</v>
      </c>
      <c r="C1830" s="60" t="str">
        <f>IFERROR(__xludf.DUMMYFUNCTION("""COMPUTED_VALUE"""),"CB")</f>
        <v>CB</v>
      </c>
      <c r="D1830" s="60" t="str">
        <f>IFERROR(__xludf.DUMMYFUNCTION("""COMPUTED_VALUE"""),"ARI")</f>
        <v>ARI</v>
      </c>
      <c r="E1830" s="62" t="str">
        <f t="shared" si="4"/>
        <v>Kalen King</v>
      </c>
      <c r="F1830" s="62">
        <f t="shared" ref="F1830:G1830" si="3659">IF(isblank(F$1),,IF(isblank($A1830),,IFERROR(vlookup($A1830,indirect("'TVC-"&amp;text(month(F$1),"00")&amp;"'!$A:$D"),4,false),1)))</f>
        <v>1</v>
      </c>
      <c r="G1830" s="62">
        <f t="shared" si="3659"/>
        <v>1</v>
      </c>
      <c r="H1830" s="62">
        <f t="shared" ref="H1830:Q1830" si="3660">IF(isblank(H$1),,IFERROR(vlookup($A1830,indirect("'TVC-"&amp;text(month(H$1),"00")&amp;"'!$A:$D"),4,false),1))</f>
        <v>1</v>
      </c>
      <c r="I1830" s="62">
        <f t="shared" si="3660"/>
        <v>1</v>
      </c>
      <c r="J1830" s="62">
        <f t="shared" si="3660"/>
        <v>1</v>
      </c>
      <c r="K1830" s="62">
        <f t="shared" si="3660"/>
        <v>1</v>
      </c>
      <c r="L1830" s="62">
        <f t="shared" si="3660"/>
        <v>1</v>
      </c>
      <c r="M1830" s="62">
        <f t="shared" si="3660"/>
        <v>1</v>
      </c>
      <c r="N1830" s="62">
        <f t="shared" si="3660"/>
        <v>1</v>
      </c>
      <c r="O1830" s="62">
        <f t="shared" si="3660"/>
        <v>1</v>
      </c>
      <c r="P1830" s="62" t="str">
        <f t="shared" si="3660"/>
        <v/>
      </c>
      <c r="Q1830" s="62" t="str">
        <f t="shared" si="3660"/>
        <v/>
      </c>
      <c r="R1830" s="62">
        <f t="shared" si="7"/>
        <v>0</v>
      </c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</row>
    <row r="1831" hidden="1">
      <c r="A1831" s="60">
        <f>IFERROR(__xludf.DUMMYFUNCTION("""COMPUTED_VALUE"""),16675.0)</f>
        <v>16675</v>
      </c>
      <c r="B1831" s="60" t="str">
        <f>IFERROR(__xludf.DUMMYFUNCTION("""COMPUTED_VALUE"""),"DeJean, Cooper")</f>
        <v>DeJean, Cooper</v>
      </c>
      <c r="C1831" s="60" t="str">
        <f>IFERROR(__xludf.DUMMYFUNCTION("""COMPUTED_VALUE"""),"CB")</f>
        <v>CB</v>
      </c>
      <c r="D1831" s="60" t="str">
        <f>IFERROR(__xludf.DUMMYFUNCTION("""COMPUTED_VALUE"""),"PHI")</f>
        <v>PHI</v>
      </c>
      <c r="E1831" s="62" t="str">
        <f t="shared" si="4"/>
        <v>Cooper DeJean</v>
      </c>
      <c r="F1831" s="62">
        <f t="shared" ref="F1831:G1831" si="3661">IF(isblank(F$1),,IF(isblank($A1831),,IFERROR(vlookup($A1831,indirect("'TVC-"&amp;text(month(F$1),"00")&amp;"'!$A:$D"),4,false),1)))</f>
        <v>1</v>
      </c>
      <c r="G1831" s="62">
        <f t="shared" si="3661"/>
        <v>1</v>
      </c>
      <c r="H1831" s="62">
        <f t="shared" ref="H1831:Q1831" si="3662">IF(isblank(H$1),,IFERROR(vlookup($A1831,indirect("'TVC-"&amp;text(month(H$1),"00")&amp;"'!$A:$D"),4,false),1))</f>
        <v>1</v>
      </c>
      <c r="I1831" s="62">
        <f t="shared" si="3662"/>
        <v>1</v>
      </c>
      <c r="J1831" s="62">
        <f t="shared" si="3662"/>
        <v>1</v>
      </c>
      <c r="K1831" s="62">
        <f t="shared" si="3662"/>
        <v>1</v>
      </c>
      <c r="L1831" s="62">
        <f t="shared" si="3662"/>
        <v>1</v>
      </c>
      <c r="M1831" s="62">
        <f t="shared" si="3662"/>
        <v>1</v>
      </c>
      <c r="N1831" s="62">
        <f t="shared" si="3662"/>
        <v>1</v>
      </c>
      <c r="O1831" s="62">
        <f t="shared" si="3662"/>
        <v>1</v>
      </c>
      <c r="P1831" s="62" t="str">
        <f t="shared" si="3662"/>
        <v/>
      </c>
      <c r="Q1831" s="62" t="str">
        <f t="shared" si="3662"/>
        <v/>
      </c>
      <c r="R1831" s="62">
        <f t="shared" si="7"/>
        <v>0</v>
      </c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</row>
    <row r="1832" hidden="1">
      <c r="A1832" s="60">
        <f>IFERROR(__xludf.DUMMYFUNCTION("""COMPUTED_VALUE"""),16676.0)</f>
        <v>16676</v>
      </c>
      <c r="B1832" s="60" t="str">
        <f>IFERROR(__xludf.DUMMYFUNCTION("""COMPUTED_VALUE"""),"Kinchens, Kamren")</f>
        <v>Kinchens, Kamren</v>
      </c>
      <c r="C1832" s="60" t="str">
        <f>IFERROR(__xludf.DUMMYFUNCTION("""COMPUTED_VALUE"""),"S")</f>
        <v>S</v>
      </c>
      <c r="D1832" s="60" t="str">
        <f>IFERROR(__xludf.DUMMYFUNCTION("""COMPUTED_VALUE"""),"LAR")</f>
        <v>LAR</v>
      </c>
      <c r="E1832" s="62" t="str">
        <f t="shared" si="4"/>
        <v>Kamren Kinchens</v>
      </c>
      <c r="F1832" s="62">
        <f t="shared" ref="F1832:G1832" si="3663">IF(isblank(F$1),,IF(isblank($A1832),,IFERROR(vlookup($A1832,indirect("'TVC-"&amp;text(month(F$1),"00")&amp;"'!$A:$D"),4,false),1)))</f>
        <v>1</v>
      </c>
      <c r="G1832" s="62">
        <f t="shared" si="3663"/>
        <v>1</v>
      </c>
      <c r="H1832" s="62">
        <f t="shared" ref="H1832:Q1832" si="3664">IF(isblank(H$1),,IFERROR(vlookup($A1832,indirect("'TVC-"&amp;text(month(H$1),"00")&amp;"'!$A:$D"),4,false),1))</f>
        <v>1</v>
      </c>
      <c r="I1832" s="62">
        <f t="shared" si="3664"/>
        <v>1</v>
      </c>
      <c r="J1832" s="62">
        <f t="shared" si="3664"/>
        <v>1</v>
      </c>
      <c r="K1832" s="62">
        <f t="shared" si="3664"/>
        <v>1</v>
      </c>
      <c r="L1832" s="62">
        <f t="shared" si="3664"/>
        <v>1</v>
      </c>
      <c r="M1832" s="62">
        <f t="shared" si="3664"/>
        <v>1</v>
      </c>
      <c r="N1832" s="62">
        <f t="shared" si="3664"/>
        <v>1</v>
      </c>
      <c r="O1832" s="62">
        <f t="shared" si="3664"/>
        <v>1</v>
      </c>
      <c r="P1832" s="62" t="str">
        <f t="shared" si="3664"/>
        <v/>
      </c>
      <c r="Q1832" s="62" t="str">
        <f t="shared" si="3664"/>
        <v/>
      </c>
      <c r="R1832" s="62">
        <f t="shared" si="7"/>
        <v>0</v>
      </c>
      <c r="S1832" s="62"/>
      <c r="T1832" s="62"/>
      <c r="U1832" s="62"/>
      <c r="V1832" s="62"/>
      <c r="W1832" s="62"/>
      <c r="X1832" s="62"/>
      <c r="Y1832" s="62"/>
      <c r="Z1832" s="62"/>
      <c r="AA1832" s="62"/>
      <c r="AB1832" s="62"/>
      <c r="AC1832" s="62"/>
    </row>
    <row r="1833" hidden="1">
      <c r="A1833" s="60">
        <f>IFERROR(__xludf.DUMMYFUNCTION("""COMPUTED_VALUE"""),16677.0)</f>
        <v>16677</v>
      </c>
      <c r="B1833" s="60" t="str">
        <f>IFERROR(__xludf.DUMMYFUNCTION("""COMPUTED_VALUE"""),"Bullard, Javon")</f>
        <v>Bullard, Javon</v>
      </c>
      <c r="C1833" s="60" t="str">
        <f>IFERROR(__xludf.DUMMYFUNCTION("""COMPUTED_VALUE"""),"S")</f>
        <v>S</v>
      </c>
      <c r="D1833" s="60" t="str">
        <f>IFERROR(__xludf.DUMMYFUNCTION("""COMPUTED_VALUE"""),"GBP")</f>
        <v>GBP</v>
      </c>
      <c r="E1833" s="62" t="str">
        <f t="shared" si="4"/>
        <v>Javon Bullard</v>
      </c>
      <c r="F1833" s="62">
        <f t="shared" ref="F1833:G1833" si="3665">IF(isblank(F$1),,IF(isblank($A1833),,IFERROR(vlookup($A1833,indirect("'TVC-"&amp;text(month(F$1),"00")&amp;"'!$A:$D"),4,false),1)))</f>
        <v>1</v>
      </c>
      <c r="G1833" s="62">
        <f t="shared" si="3665"/>
        <v>1</v>
      </c>
      <c r="H1833" s="62">
        <f t="shared" ref="H1833:Q1833" si="3666">IF(isblank(H$1),,IFERROR(vlookup($A1833,indirect("'TVC-"&amp;text(month(H$1),"00")&amp;"'!$A:$D"),4,false),1))</f>
        <v>1</v>
      </c>
      <c r="I1833" s="62">
        <f t="shared" si="3666"/>
        <v>1</v>
      </c>
      <c r="J1833" s="62">
        <f t="shared" si="3666"/>
        <v>1</v>
      </c>
      <c r="K1833" s="62">
        <f t="shared" si="3666"/>
        <v>1</v>
      </c>
      <c r="L1833" s="62">
        <f t="shared" si="3666"/>
        <v>1</v>
      </c>
      <c r="M1833" s="62">
        <f t="shared" si="3666"/>
        <v>1</v>
      </c>
      <c r="N1833" s="62">
        <f t="shared" si="3666"/>
        <v>1</v>
      </c>
      <c r="O1833" s="62">
        <f t="shared" si="3666"/>
        <v>1</v>
      </c>
      <c r="P1833" s="62" t="str">
        <f t="shared" si="3666"/>
        <v/>
      </c>
      <c r="Q1833" s="62" t="str">
        <f t="shared" si="3666"/>
        <v/>
      </c>
      <c r="R1833" s="62">
        <f t="shared" si="7"/>
        <v>0</v>
      </c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</row>
    <row r="1834" hidden="1">
      <c r="A1834" s="60">
        <f>IFERROR(__xludf.DUMMYFUNCTION("""COMPUTED_VALUE"""),16678.0)</f>
        <v>16678</v>
      </c>
      <c r="B1834" s="60" t="str">
        <f>IFERROR(__xludf.DUMMYFUNCTION("""COMPUTED_VALUE"""),"Vaki, Sione")</f>
        <v>Vaki, Sione</v>
      </c>
      <c r="C1834" s="60" t="str">
        <f>IFERROR(__xludf.DUMMYFUNCTION("""COMPUTED_VALUE"""),"RB")</f>
        <v>RB</v>
      </c>
      <c r="D1834" s="60" t="str">
        <f>IFERROR(__xludf.DUMMYFUNCTION("""COMPUTED_VALUE"""),"DET")</f>
        <v>DET</v>
      </c>
      <c r="E1834" s="62" t="str">
        <f t="shared" si="4"/>
        <v>Sione Vaki</v>
      </c>
      <c r="F1834" s="62">
        <f t="shared" ref="F1834:G1834" si="3667">IF(isblank(F$1),,IF(isblank($A1834),,IFERROR(vlookup($A1834,indirect("'TVC-"&amp;text(month(F$1),"00")&amp;"'!$A:$D"),4,false),1)))</f>
        <v>710</v>
      </c>
      <c r="G1834" s="62">
        <f t="shared" si="3667"/>
        <v>758</v>
      </c>
      <c r="H1834" s="62">
        <f t="shared" ref="H1834:Q1834" si="3668">IF(isblank(H$1),,IFERROR(vlookup($A1834,indirect("'TVC-"&amp;text(month(H$1),"00")&amp;"'!$A:$D"),4,false),1))</f>
        <v>769</v>
      </c>
      <c r="I1834" s="62">
        <f t="shared" si="3668"/>
        <v>1074</v>
      </c>
      <c r="J1834" s="62">
        <f t="shared" si="3668"/>
        <v>1053</v>
      </c>
      <c r="K1834" s="62">
        <f t="shared" si="3668"/>
        <v>975</v>
      </c>
      <c r="L1834" s="62">
        <f t="shared" si="3668"/>
        <v>963</v>
      </c>
      <c r="M1834" s="62">
        <f t="shared" si="3668"/>
        <v>921</v>
      </c>
      <c r="N1834" s="62">
        <f t="shared" si="3668"/>
        <v>864</v>
      </c>
      <c r="O1834" s="62">
        <f t="shared" si="3668"/>
        <v>1</v>
      </c>
      <c r="P1834" s="62" t="str">
        <f t="shared" si="3668"/>
        <v/>
      </c>
      <c r="Q1834" s="62" t="str">
        <f t="shared" si="3668"/>
        <v/>
      </c>
      <c r="R1834" s="62">
        <f t="shared" si="7"/>
        <v>-863</v>
      </c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</row>
    <row r="1835" hidden="1">
      <c r="A1835" s="60">
        <f>IFERROR(__xludf.DUMMYFUNCTION("""COMPUTED_VALUE"""),16679.0)</f>
        <v>16679</v>
      </c>
      <c r="B1835" s="60" t="str">
        <f>IFERROR(__xludf.DUMMYFUNCTION("""COMPUTED_VALUE"""),"Nubin, Tyler")</f>
        <v>Nubin, Tyler</v>
      </c>
      <c r="C1835" s="60" t="str">
        <f>IFERROR(__xludf.DUMMYFUNCTION("""COMPUTED_VALUE"""),"S")</f>
        <v>S</v>
      </c>
      <c r="D1835" s="60" t="str">
        <f>IFERROR(__xludf.DUMMYFUNCTION("""COMPUTED_VALUE"""),"NYG")</f>
        <v>NYG</v>
      </c>
      <c r="E1835" s="62" t="str">
        <f t="shared" si="4"/>
        <v>Tyler Nubin</v>
      </c>
      <c r="F1835" s="62">
        <f t="shared" ref="F1835:G1835" si="3669">IF(isblank(F$1),,IF(isblank($A1835),,IFERROR(vlookup($A1835,indirect("'TVC-"&amp;text(month(F$1),"00")&amp;"'!$A:$D"),4,false),1)))</f>
        <v>1</v>
      </c>
      <c r="G1835" s="62">
        <f t="shared" si="3669"/>
        <v>1</v>
      </c>
      <c r="H1835" s="62">
        <f t="shared" ref="H1835:Q1835" si="3670">IF(isblank(H$1),,IFERROR(vlookup($A1835,indirect("'TVC-"&amp;text(month(H$1),"00")&amp;"'!$A:$D"),4,false),1))</f>
        <v>1</v>
      </c>
      <c r="I1835" s="62">
        <f t="shared" si="3670"/>
        <v>1</v>
      </c>
      <c r="J1835" s="62">
        <f t="shared" si="3670"/>
        <v>1</v>
      </c>
      <c r="K1835" s="62">
        <f t="shared" si="3670"/>
        <v>1</v>
      </c>
      <c r="L1835" s="62">
        <f t="shared" si="3670"/>
        <v>1</v>
      </c>
      <c r="M1835" s="62">
        <f t="shared" si="3670"/>
        <v>1</v>
      </c>
      <c r="N1835" s="62">
        <f t="shared" si="3670"/>
        <v>1</v>
      </c>
      <c r="O1835" s="62">
        <f t="shared" si="3670"/>
        <v>1</v>
      </c>
      <c r="P1835" s="62" t="str">
        <f t="shared" si="3670"/>
        <v/>
      </c>
      <c r="Q1835" s="62" t="str">
        <f t="shared" si="3670"/>
        <v/>
      </c>
      <c r="R1835" s="62">
        <f t="shared" si="7"/>
        <v>0</v>
      </c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</row>
    <row r="1836" hidden="1">
      <c r="A1836" s="60">
        <f>IFERROR(__xludf.DUMMYFUNCTION("""COMPUTED_VALUE"""),16680.0)</f>
        <v>16680</v>
      </c>
      <c r="B1836" s="60" t="str">
        <f>IFERROR(__xludf.DUMMYFUNCTION("""COMPUTED_VALUE"""),"Little, Cam")</f>
        <v>Little, Cam</v>
      </c>
      <c r="C1836" s="60" t="str">
        <f>IFERROR(__xludf.DUMMYFUNCTION("""COMPUTED_VALUE"""),"PK")</f>
        <v>PK</v>
      </c>
      <c r="D1836" s="60" t="str">
        <f>IFERROR(__xludf.DUMMYFUNCTION("""COMPUTED_VALUE"""),"JAC")</f>
        <v>JAC</v>
      </c>
      <c r="E1836" s="62" t="str">
        <f t="shared" si="4"/>
        <v>Cam Little</v>
      </c>
      <c r="F1836" s="62">
        <f t="shared" ref="F1836:G1836" si="3671">IF(isblank(F$1),,IF(isblank($A1836),,IFERROR(vlookup($A1836,indirect("'TVC-"&amp;text(month(F$1),"00")&amp;"'!$A:$D"),4,false),1)))</f>
        <v>1</v>
      </c>
      <c r="G1836" s="62">
        <f t="shared" si="3671"/>
        <v>1</v>
      </c>
      <c r="H1836" s="62">
        <f t="shared" ref="H1836:Q1836" si="3672">IF(isblank(H$1),,IFERROR(vlookup($A1836,indirect("'TVC-"&amp;text(month(H$1),"00")&amp;"'!$A:$D"),4,false),1))</f>
        <v>1</v>
      </c>
      <c r="I1836" s="62">
        <f t="shared" si="3672"/>
        <v>1</v>
      </c>
      <c r="J1836" s="62">
        <f t="shared" si="3672"/>
        <v>1</v>
      </c>
      <c r="K1836" s="62">
        <f t="shared" si="3672"/>
        <v>1</v>
      </c>
      <c r="L1836" s="62">
        <f t="shared" si="3672"/>
        <v>1</v>
      </c>
      <c r="M1836" s="62">
        <f t="shared" si="3672"/>
        <v>1</v>
      </c>
      <c r="N1836" s="62">
        <f t="shared" si="3672"/>
        <v>1</v>
      </c>
      <c r="O1836" s="62">
        <f t="shared" si="3672"/>
        <v>1</v>
      </c>
      <c r="P1836" s="62" t="str">
        <f t="shared" si="3672"/>
        <v/>
      </c>
      <c r="Q1836" s="62" t="str">
        <f t="shared" si="3672"/>
        <v/>
      </c>
      <c r="R1836" s="62">
        <f t="shared" si="7"/>
        <v>0</v>
      </c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</row>
    <row r="1837" hidden="1">
      <c r="A1837" s="60">
        <f>IFERROR(__xludf.DUMMYFUNCTION("""COMPUTED_VALUE"""),16681.0)</f>
        <v>16681</v>
      </c>
      <c r="B1837" s="60" t="str">
        <f>IFERROR(__xludf.DUMMYFUNCTION("""COMPUTED_VALUE"""),"Reichard, Will")</f>
        <v>Reichard, Will</v>
      </c>
      <c r="C1837" s="60" t="str">
        <f>IFERROR(__xludf.DUMMYFUNCTION("""COMPUTED_VALUE"""),"PK")</f>
        <v>PK</v>
      </c>
      <c r="D1837" s="60" t="str">
        <f>IFERROR(__xludf.DUMMYFUNCTION("""COMPUTED_VALUE"""),"MIN")</f>
        <v>MIN</v>
      </c>
      <c r="E1837" s="62" t="str">
        <f t="shared" si="4"/>
        <v>Will Reichard</v>
      </c>
      <c r="F1837" s="62">
        <f t="shared" ref="F1837:G1837" si="3673">IF(isblank(F$1),,IF(isblank($A1837),,IFERROR(vlookup($A1837,indirect("'TVC-"&amp;text(month(F$1),"00")&amp;"'!$A:$D"),4,false),1)))</f>
        <v>1</v>
      </c>
      <c r="G1837" s="62">
        <f t="shared" si="3673"/>
        <v>1</v>
      </c>
      <c r="H1837" s="62">
        <f t="shared" ref="H1837:Q1837" si="3674">IF(isblank(H$1),,IFERROR(vlookup($A1837,indirect("'TVC-"&amp;text(month(H$1),"00")&amp;"'!$A:$D"),4,false),1))</f>
        <v>1</v>
      </c>
      <c r="I1837" s="62">
        <f t="shared" si="3674"/>
        <v>1</v>
      </c>
      <c r="J1837" s="62">
        <f t="shared" si="3674"/>
        <v>1</v>
      </c>
      <c r="K1837" s="62">
        <f t="shared" si="3674"/>
        <v>1</v>
      </c>
      <c r="L1837" s="62">
        <f t="shared" si="3674"/>
        <v>1</v>
      </c>
      <c r="M1837" s="62">
        <f t="shared" si="3674"/>
        <v>1</v>
      </c>
      <c r="N1837" s="62">
        <f t="shared" si="3674"/>
        <v>1</v>
      </c>
      <c r="O1837" s="62">
        <f t="shared" si="3674"/>
        <v>1</v>
      </c>
      <c r="P1837" s="62" t="str">
        <f t="shared" si="3674"/>
        <v/>
      </c>
      <c r="Q1837" s="62" t="str">
        <f t="shared" si="3674"/>
        <v/>
      </c>
      <c r="R1837" s="62">
        <f t="shared" si="7"/>
        <v>0</v>
      </c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</row>
    <row r="1838" hidden="1">
      <c r="A1838" s="60">
        <f>IFERROR(__xludf.DUMMYFUNCTION("""COMPUTED_VALUE"""),16682.0)</f>
        <v>16682</v>
      </c>
      <c r="B1838" s="60" t="str">
        <f>IFERROR(__xludf.DUMMYFUNCTION("""COMPUTED_VALUE"""),"Slovis, Kedon")</f>
        <v>Slovis, Kedon</v>
      </c>
      <c r="C1838" s="60" t="str">
        <f>IFERROR(__xludf.DUMMYFUNCTION("""COMPUTED_VALUE"""),"QB")</f>
        <v>QB</v>
      </c>
      <c r="D1838" s="60" t="str">
        <f>IFERROR(__xludf.DUMMYFUNCTION("""COMPUTED_VALUE"""),"GBP")</f>
        <v>GBP</v>
      </c>
      <c r="E1838" s="62" t="str">
        <f t="shared" si="4"/>
        <v>Kedon Slovis</v>
      </c>
      <c r="F1838" s="62">
        <f t="shared" ref="F1838:G1838" si="3675">IF(isblank(F$1),,IF(isblank($A1838),,IFERROR(vlookup($A1838,indirect("'TVC-"&amp;text(month(F$1),"00")&amp;"'!$A:$D"),4,false),1)))</f>
        <v>1</v>
      </c>
      <c r="G1838" s="62">
        <f t="shared" si="3675"/>
        <v>1</v>
      </c>
      <c r="H1838" s="62">
        <f t="shared" ref="H1838:Q1838" si="3676">IF(isblank(H$1),,IFERROR(vlookup($A1838,indirect("'TVC-"&amp;text(month(H$1),"00")&amp;"'!$A:$D"),4,false),1))</f>
        <v>1</v>
      </c>
      <c r="I1838" s="62">
        <f t="shared" si="3676"/>
        <v>1</v>
      </c>
      <c r="J1838" s="62">
        <f t="shared" si="3676"/>
        <v>1</v>
      </c>
      <c r="K1838" s="62">
        <f t="shared" si="3676"/>
        <v>1</v>
      </c>
      <c r="L1838" s="62">
        <f t="shared" si="3676"/>
        <v>1</v>
      </c>
      <c r="M1838" s="62">
        <f t="shared" si="3676"/>
        <v>1</v>
      </c>
      <c r="N1838" s="62">
        <f t="shared" si="3676"/>
        <v>1</v>
      </c>
      <c r="O1838" s="62">
        <f t="shared" si="3676"/>
        <v>1</v>
      </c>
      <c r="P1838" s="62" t="str">
        <f t="shared" si="3676"/>
        <v/>
      </c>
      <c r="Q1838" s="62" t="str">
        <f t="shared" si="3676"/>
        <v/>
      </c>
      <c r="R1838" s="62">
        <f t="shared" si="7"/>
        <v>0</v>
      </c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</row>
    <row r="1839" hidden="1">
      <c r="A1839" s="60">
        <f>IFERROR(__xludf.DUMMYFUNCTION("""COMPUTED_VALUE"""),16684.0)</f>
        <v>16684</v>
      </c>
      <c r="B1839" s="60" t="str">
        <f>IFERROR(__xludf.DUMMYFUNCTION("""COMPUTED_VALUE"""),"Washington, Malik")</f>
        <v>Washington, Malik</v>
      </c>
      <c r="C1839" s="60" t="str">
        <f>IFERROR(__xludf.DUMMYFUNCTION("""COMPUTED_VALUE"""),"WR")</f>
        <v>WR</v>
      </c>
      <c r="D1839" s="60" t="str">
        <f>IFERROR(__xludf.DUMMYFUNCTION("""COMPUTED_VALUE"""),"MIA")</f>
        <v>MIA</v>
      </c>
      <c r="E1839" s="62" t="str">
        <f t="shared" si="4"/>
        <v>Malik Washington</v>
      </c>
      <c r="F1839" s="62">
        <f t="shared" ref="F1839:G1839" si="3677">IF(isblank(F$1),,IF(isblank($A1839),,IFERROR(vlookup($A1839,indirect("'TVC-"&amp;text(month(F$1),"00")&amp;"'!$A:$D"),4,false),1)))</f>
        <v>2138</v>
      </c>
      <c r="G1839" s="62">
        <f t="shared" si="3677"/>
        <v>2173</v>
      </c>
      <c r="H1839" s="62">
        <f t="shared" ref="H1839:Q1839" si="3678">IF(isblank(H$1),,IFERROR(vlookup($A1839,indirect("'TVC-"&amp;text(month(H$1),"00")&amp;"'!$A:$D"),4,false),1))</f>
        <v>2194</v>
      </c>
      <c r="I1839" s="62">
        <f t="shared" si="3678"/>
        <v>2429</v>
      </c>
      <c r="J1839" s="62">
        <f t="shared" si="3678"/>
        <v>2490</v>
      </c>
      <c r="K1839" s="62">
        <f t="shared" si="3678"/>
        <v>2490</v>
      </c>
      <c r="L1839" s="62">
        <f t="shared" si="3678"/>
        <v>2543</v>
      </c>
      <c r="M1839" s="62">
        <f t="shared" si="3678"/>
        <v>2563</v>
      </c>
      <c r="N1839" s="62">
        <f t="shared" si="3678"/>
        <v>2644</v>
      </c>
      <c r="O1839" s="62">
        <f t="shared" si="3678"/>
        <v>1</v>
      </c>
      <c r="P1839" s="62" t="str">
        <f t="shared" si="3678"/>
        <v/>
      </c>
      <c r="Q1839" s="62" t="str">
        <f t="shared" si="3678"/>
        <v/>
      </c>
      <c r="R1839" s="62">
        <f t="shared" si="7"/>
        <v>-2643</v>
      </c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</row>
    <row r="1840" hidden="1">
      <c r="A1840" s="60">
        <f>IFERROR(__xludf.DUMMYFUNCTION("""COMPUTED_VALUE"""),16686.0)</f>
        <v>16686</v>
      </c>
      <c r="B1840" s="60" t="str">
        <f>IFERROR(__xludf.DUMMYFUNCTION("""COMPUTED_VALUE"""),"Smith, Ainias")</f>
        <v>Smith, Ainias</v>
      </c>
      <c r="C1840" s="60" t="str">
        <f>IFERROR(__xludf.DUMMYFUNCTION("""COMPUTED_VALUE"""),"WR")</f>
        <v>WR</v>
      </c>
      <c r="D1840" s="60" t="str">
        <f>IFERROR(__xludf.DUMMYFUNCTION("""COMPUTED_VALUE"""),"FA")</f>
        <v>FA</v>
      </c>
      <c r="E1840" s="62" t="str">
        <f t="shared" si="4"/>
        <v>Ainias Smith</v>
      </c>
      <c r="F1840" s="62">
        <f t="shared" ref="F1840:G1840" si="3679">IF(isblank(F$1),,IF(isblank($A1840),,IFERROR(vlookup($A1840,indirect("'TVC-"&amp;text(month(F$1),"00")&amp;"'!$A:$D"),4,false),1)))</f>
        <v>896</v>
      </c>
      <c r="G1840" s="62">
        <f t="shared" si="3679"/>
        <v>877</v>
      </c>
      <c r="H1840" s="62">
        <f t="shared" ref="H1840:Q1840" si="3680">IF(isblank(H$1),,IFERROR(vlookup($A1840,indirect("'TVC-"&amp;text(month(H$1),"00")&amp;"'!$A:$D"),4,false),1))</f>
        <v>859</v>
      </c>
      <c r="I1840" s="62">
        <f t="shared" si="3680"/>
        <v>807</v>
      </c>
      <c r="J1840" s="62">
        <f t="shared" si="3680"/>
        <v>897</v>
      </c>
      <c r="K1840" s="62">
        <f t="shared" si="3680"/>
        <v>674</v>
      </c>
      <c r="L1840" s="62">
        <f t="shared" si="3680"/>
        <v>613</v>
      </c>
      <c r="M1840" s="62">
        <f t="shared" si="3680"/>
        <v>622</v>
      </c>
      <c r="N1840" s="62">
        <f t="shared" si="3680"/>
        <v>1</v>
      </c>
      <c r="O1840" s="62">
        <f t="shared" si="3680"/>
        <v>1</v>
      </c>
      <c r="P1840" s="62" t="str">
        <f t="shared" si="3680"/>
        <v/>
      </c>
      <c r="Q1840" s="62" t="str">
        <f t="shared" si="3680"/>
        <v/>
      </c>
      <c r="R1840" s="62">
        <f t="shared" si="7"/>
        <v>0</v>
      </c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</row>
    <row r="1841" hidden="1">
      <c r="A1841" s="60">
        <f>IFERROR(__xludf.DUMMYFUNCTION("""COMPUTED_VALUE"""),16687.0)</f>
        <v>16687</v>
      </c>
      <c r="B1841" s="60" t="str">
        <f>IFERROR(__xludf.DUMMYFUNCTION("""COMPUTED_VALUE"""),"Miller, Dante")</f>
        <v>Miller, Dante</v>
      </c>
      <c r="C1841" s="60" t="str">
        <f>IFERROR(__xludf.DUMMYFUNCTION("""COMPUTED_VALUE"""),"RB")</f>
        <v>RB</v>
      </c>
      <c r="D1841" s="60" t="str">
        <f>IFERROR(__xludf.DUMMYFUNCTION("""COMPUTED_VALUE"""),"FA")</f>
        <v>FA</v>
      </c>
      <c r="E1841" s="62" t="str">
        <f t="shared" si="4"/>
        <v>Dante Miller</v>
      </c>
      <c r="F1841" s="62">
        <f t="shared" ref="F1841:G1841" si="3681">IF(isblank(F$1),,IF(isblank($A1841),,IFERROR(vlookup($A1841,indirect("'TVC-"&amp;text(month(F$1),"00")&amp;"'!$A:$D"),4,false),1)))</f>
        <v>1</v>
      </c>
      <c r="G1841" s="62">
        <f t="shared" si="3681"/>
        <v>1</v>
      </c>
      <c r="H1841" s="62">
        <f t="shared" ref="H1841:Q1841" si="3682">IF(isblank(H$1),,IFERROR(vlookup($A1841,indirect("'TVC-"&amp;text(month(H$1),"00")&amp;"'!$A:$D"),4,false),1))</f>
        <v>1</v>
      </c>
      <c r="I1841" s="62">
        <f t="shared" si="3682"/>
        <v>1</v>
      </c>
      <c r="J1841" s="62">
        <f t="shared" si="3682"/>
        <v>1</v>
      </c>
      <c r="K1841" s="62">
        <f t="shared" si="3682"/>
        <v>1</v>
      </c>
      <c r="L1841" s="62">
        <f t="shared" si="3682"/>
        <v>1</v>
      </c>
      <c r="M1841" s="62">
        <f t="shared" si="3682"/>
        <v>1</v>
      </c>
      <c r="N1841" s="62">
        <f t="shared" si="3682"/>
        <v>1</v>
      </c>
      <c r="O1841" s="62">
        <f t="shared" si="3682"/>
        <v>1</v>
      </c>
      <c r="P1841" s="62" t="str">
        <f t="shared" si="3682"/>
        <v/>
      </c>
      <c r="Q1841" s="62" t="str">
        <f t="shared" si="3682"/>
        <v/>
      </c>
      <c r="R1841" s="62">
        <f t="shared" si="7"/>
        <v>0</v>
      </c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</row>
    <row r="1842" hidden="1">
      <c r="A1842" s="60">
        <f>IFERROR(__xludf.DUMMYFUNCTION("""COMPUTED_VALUE"""),16688.0)</f>
        <v>16688</v>
      </c>
      <c r="B1842" s="60" t="str">
        <f>IFERROR(__xludf.DUMMYFUNCTION("""COMPUTED_VALUE"""),"Guerendo, Isaac")</f>
        <v>Guerendo, Isaac</v>
      </c>
      <c r="C1842" s="60" t="str">
        <f>IFERROR(__xludf.DUMMYFUNCTION("""COMPUTED_VALUE"""),"RB")</f>
        <v>RB</v>
      </c>
      <c r="D1842" s="60" t="str">
        <f>IFERROR(__xludf.DUMMYFUNCTION("""COMPUTED_VALUE"""),"SFO")</f>
        <v>SFO</v>
      </c>
      <c r="E1842" s="62" t="str">
        <f t="shared" si="4"/>
        <v>Isaac Guerendo</v>
      </c>
      <c r="F1842" s="62">
        <f t="shared" ref="F1842:G1842" si="3683">IF(isblank(F$1),,IF(isblank($A1842),,IFERROR(vlookup($A1842,indirect("'TVC-"&amp;text(month(F$1),"00")&amp;"'!$A:$D"),4,false),1)))</f>
        <v>1451</v>
      </c>
      <c r="G1842" s="62">
        <f t="shared" si="3683"/>
        <v>1542</v>
      </c>
      <c r="H1842" s="62">
        <f t="shared" ref="H1842:Q1842" si="3684">IF(isblank(H$1),,IFERROR(vlookup($A1842,indirect("'TVC-"&amp;text(month(H$1),"00")&amp;"'!$A:$D"),4,false),1))</f>
        <v>1585</v>
      </c>
      <c r="I1842" s="62">
        <f t="shared" si="3684"/>
        <v>1731</v>
      </c>
      <c r="J1842" s="62">
        <f t="shared" si="3684"/>
        <v>1570</v>
      </c>
      <c r="K1842" s="62">
        <f t="shared" si="3684"/>
        <v>1592</v>
      </c>
      <c r="L1842" s="62">
        <f t="shared" si="3684"/>
        <v>1494</v>
      </c>
      <c r="M1842" s="62">
        <f t="shared" si="3684"/>
        <v>1427</v>
      </c>
      <c r="N1842" s="62">
        <f t="shared" si="3684"/>
        <v>1241</v>
      </c>
      <c r="O1842" s="62">
        <f t="shared" si="3684"/>
        <v>1</v>
      </c>
      <c r="P1842" s="62" t="str">
        <f t="shared" si="3684"/>
        <v/>
      </c>
      <c r="Q1842" s="62" t="str">
        <f t="shared" si="3684"/>
        <v/>
      </c>
      <c r="R1842" s="62">
        <f t="shared" si="7"/>
        <v>-1240</v>
      </c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</row>
    <row r="1843" hidden="1">
      <c r="A1843" s="60">
        <f>IFERROR(__xludf.DUMMYFUNCTION("""COMPUTED_VALUE"""),16689.0)</f>
        <v>16689</v>
      </c>
      <c r="B1843" s="60" t="str">
        <f>IFERROR(__xludf.DUMMYFUNCTION("""COMPUTED_VALUE"""),"Murphy, Byron")</f>
        <v>Murphy, Byron</v>
      </c>
      <c r="C1843" s="60" t="str">
        <f>IFERROR(__xludf.DUMMYFUNCTION("""COMPUTED_VALUE"""),"DT")</f>
        <v>DT</v>
      </c>
      <c r="D1843" s="60" t="str">
        <f>IFERROR(__xludf.DUMMYFUNCTION("""COMPUTED_VALUE"""),"SEA")</f>
        <v>SEA</v>
      </c>
      <c r="E1843" s="62" t="str">
        <f t="shared" si="4"/>
        <v>Byron Murphy</v>
      </c>
      <c r="F1843" s="62">
        <f t="shared" ref="F1843:G1843" si="3685">IF(isblank(F$1),,IF(isblank($A1843),,IFERROR(vlookup($A1843,indirect("'TVC-"&amp;text(month(F$1),"00")&amp;"'!$A:$D"),4,false),1)))</f>
        <v>1</v>
      </c>
      <c r="G1843" s="62">
        <f t="shared" si="3685"/>
        <v>1</v>
      </c>
      <c r="H1843" s="62">
        <f t="shared" ref="H1843:Q1843" si="3686">IF(isblank(H$1),,IFERROR(vlookup($A1843,indirect("'TVC-"&amp;text(month(H$1),"00")&amp;"'!$A:$D"),4,false),1))</f>
        <v>1</v>
      </c>
      <c r="I1843" s="62">
        <f t="shared" si="3686"/>
        <v>1</v>
      </c>
      <c r="J1843" s="62">
        <f t="shared" si="3686"/>
        <v>1</v>
      </c>
      <c r="K1843" s="62">
        <f t="shared" si="3686"/>
        <v>1</v>
      </c>
      <c r="L1843" s="62">
        <f t="shared" si="3686"/>
        <v>1</v>
      </c>
      <c r="M1843" s="62">
        <f t="shared" si="3686"/>
        <v>1</v>
      </c>
      <c r="N1843" s="62">
        <f t="shared" si="3686"/>
        <v>1</v>
      </c>
      <c r="O1843" s="62">
        <f t="shared" si="3686"/>
        <v>1</v>
      </c>
      <c r="P1843" s="62" t="str">
        <f t="shared" si="3686"/>
        <v/>
      </c>
      <c r="Q1843" s="62" t="str">
        <f t="shared" si="3686"/>
        <v/>
      </c>
      <c r="R1843" s="62">
        <f t="shared" si="7"/>
        <v>0</v>
      </c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</row>
    <row r="1844" hidden="1">
      <c r="A1844" s="60">
        <f>IFERROR(__xludf.DUMMYFUNCTION("""COMPUTED_VALUE"""),16690.0)</f>
        <v>16690</v>
      </c>
      <c r="B1844" s="60" t="str">
        <f>IFERROR(__xludf.DUMMYFUNCTION("""COMPUTED_VALUE"""),"Mitchell, Quinyon")</f>
        <v>Mitchell, Quinyon</v>
      </c>
      <c r="C1844" s="60" t="str">
        <f>IFERROR(__xludf.DUMMYFUNCTION("""COMPUTED_VALUE"""),"CB")</f>
        <v>CB</v>
      </c>
      <c r="D1844" s="60" t="str">
        <f>IFERROR(__xludf.DUMMYFUNCTION("""COMPUTED_VALUE"""),"PHI")</f>
        <v>PHI</v>
      </c>
      <c r="E1844" s="62" t="str">
        <f t="shared" si="4"/>
        <v>Quinyon Mitchell</v>
      </c>
      <c r="F1844" s="62">
        <f t="shared" ref="F1844:G1844" si="3687">IF(isblank(F$1),,IF(isblank($A1844),,IFERROR(vlookup($A1844,indirect("'TVC-"&amp;text(month(F$1),"00")&amp;"'!$A:$D"),4,false),1)))</f>
        <v>1</v>
      </c>
      <c r="G1844" s="62">
        <f t="shared" si="3687"/>
        <v>1</v>
      </c>
      <c r="H1844" s="62">
        <f t="shared" ref="H1844:Q1844" si="3688">IF(isblank(H$1),,IFERROR(vlookup($A1844,indirect("'TVC-"&amp;text(month(H$1),"00")&amp;"'!$A:$D"),4,false),1))</f>
        <v>1</v>
      </c>
      <c r="I1844" s="62">
        <f t="shared" si="3688"/>
        <v>1</v>
      </c>
      <c r="J1844" s="62">
        <f t="shared" si="3688"/>
        <v>1</v>
      </c>
      <c r="K1844" s="62">
        <f t="shared" si="3688"/>
        <v>1</v>
      </c>
      <c r="L1844" s="62">
        <f t="shared" si="3688"/>
        <v>1</v>
      </c>
      <c r="M1844" s="62">
        <f t="shared" si="3688"/>
        <v>1</v>
      </c>
      <c r="N1844" s="62">
        <f t="shared" si="3688"/>
        <v>1</v>
      </c>
      <c r="O1844" s="62">
        <f t="shared" si="3688"/>
        <v>1</v>
      </c>
      <c r="P1844" s="62" t="str">
        <f t="shared" si="3688"/>
        <v/>
      </c>
      <c r="Q1844" s="62" t="str">
        <f t="shared" si="3688"/>
        <v/>
      </c>
      <c r="R1844" s="62">
        <f t="shared" si="7"/>
        <v>0</v>
      </c>
      <c r="S1844" s="62"/>
      <c r="T1844" s="62"/>
      <c r="U1844" s="62"/>
      <c r="V1844" s="62"/>
      <c r="W1844" s="62"/>
      <c r="X1844" s="62"/>
      <c r="Y1844" s="62"/>
      <c r="Z1844" s="62"/>
      <c r="AA1844" s="62"/>
      <c r="AB1844" s="62"/>
      <c r="AC1844" s="62"/>
    </row>
    <row r="1845" hidden="1">
      <c r="A1845" s="60">
        <f>IFERROR(__xludf.DUMMYFUNCTION("""COMPUTED_VALUE"""),16691.0)</f>
        <v>16691</v>
      </c>
      <c r="B1845" s="60" t="str">
        <f>IFERROR(__xludf.DUMMYFUNCTION("""COMPUTED_VALUE"""),"Orhorhoro, Ruke")</f>
        <v>Orhorhoro, Ruke</v>
      </c>
      <c r="C1845" s="60" t="str">
        <f>IFERROR(__xludf.DUMMYFUNCTION("""COMPUTED_VALUE"""),"DT")</f>
        <v>DT</v>
      </c>
      <c r="D1845" s="60" t="str">
        <f>IFERROR(__xludf.DUMMYFUNCTION("""COMPUTED_VALUE"""),"JAC")</f>
        <v>JAC</v>
      </c>
      <c r="E1845" s="62" t="str">
        <f t="shared" si="4"/>
        <v>Ruke Orhorhoro</v>
      </c>
      <c r="F1845" s="62">
        <f t="shared" ref="F1845:G1845" si="3689">IF(isblank(F$1),,IF(isblank($A1845),,IFERROR(vlookup($A1845,indirect("'TVC-"&amp;text(month(F$1),"00")&amp;"'!$A:$D"),4,false),1)))</f>
        <v>1</v>
      </c>
      <c r="G1845" s="62">
        <f t="shared" si="3689"/>
        <v>1</v>
      </c>
      <c r="H1845" s="62">
        <f t="shared" ref="H1845:Q1845" si="3690">IF(isblank(H$1),,IFERROR(vlookup($A1845,indirect("'TVC-"&amp;text(month(H$1),"00")&amp;"'!$A:$D"),4,false),1))</f>
        <v>1</v>
      </c>
      <c r="I1845" s="62">
        <f t="shared" si="3690"/>
        <v>1</v>
      </c>
      <c r="J1845" s="62">
        <f t="shared" si="3690"/>
        <v>1</v>
      </c>
      <c r="K1845" s="62">
        <f t="shared" si="3690"/>
        <v>1</v>
      </c>
      <c r="L1845" s="62">
        <f t="shared" si="3690"/>
        <v>1</v>
      </c>
      <c r="M1845" s="62">
        <f t="shared" si="3690"/>
        <v>1</v>
      </c>
      <c r="N1845" s="62">
        <f t="shared" si="3690"/>
        <v>1</v>
      </c>
      <c r="O1845" s="62">
        <f t="shared" si="3690"/>
        <v>1</v>
      </c>
      <c r="P1845" s="62" t="str">
        <f t="shared" si="3690"/>
        <v/>
      </c>
      <c r="Q1845" s="62" t="str">
        <f t="shared" si="3690"/>
        <v/>
      </c>
      <c r="R1845" s="62">
        <f t="shared" si="7"/>
        <v>0</v>
      </c>
      <c r="S1845" s="62"/>
      <c r="T1845" s="62"/>
      <c r="U1845" s="62"/>
      <c r="V1845" s="62"/>
      <c r="W1845" s="62"/>
      <c r="X1845" s="62"/>
      <c r="Y1845" s="62"/>
      <c r="Z1845" s="62"/>
      <c r="AA1845" s="62"/>
      <c r="AB1845" s="62"/>
      <c r="AC1845" s="62"/>
    </row>
    <row r="1846" hidden="1">
      <c r="A1846" s="60">
        <f>IFERROR(__xludf.DUMMYFUNCTION("""COMPUTED_VALUE"""),16692.0)</f>
        <v>16692</v>
      </c>
      <c r="B1846" s="60" t="str">
        <f>IFERROR(__xludf.DUMMYFUNCTION("""COMPUTED_VALUE"""),"Newton, Jer'Zhan")</f>
        <v>Newton, Jer'Zhan</v>
      </c>
      <c r="C1846" s="60" t="str">
        <f>IFERROR(__xludf.DUMMYFUNCTION("""COMPUTED_VALUE"""),"DT")</f>
        <v>DT</v>
      </c>
      <c r="D1846" s="60" t="str">
        <f>IFERROR(__xludf.DUMMYFUNCTION("""COMPUTED_VALUE"""),"WAS")</f>
        <v>WAS</v>
      </c>
      <c r="E1846" s="62" t="str">
        <f t="shared" si="4"/>
        <v>Jer'Zhan Newton</v>
      </c>
      <c r="F1846" s="62">
        <f t="shared" ref="F1846:G1846" si="3691">IF(isblank(F$1),,IF(isblank($A1846),,IFERROR(vlookup($A1846,indirect("'TVC-"&amp;text(month(F$1),"00")&amp;"'!$A:$D"),4,false),1)))</f>
        <v>1</v>
      </c>
      <c r="G1846" s="62">
        <f t="shared" si="3691"/>
        <v>1</v>
      </c>
      <c r="H1846" s="62">
        <f t="shared" ref="H1846:Q1846" si="3692">IF(isblank(H$1),,IFERROR(vlookup($A1846,indirect("'TVC-"&amp;text(month(H$1),"00")&amp;"'!$A:$D"),4,false),1))</f>
        <v>1</v>
      </c>
      <c r="I1846" s="62">
        <f t="shared" si="3692"/>
        <v>1</v>
      </c>
      <c r="J1846" s="62">
        <f t="shared" si="3692"/>
        <v>1</v>
      </c>
      <c r="K1846" s="62">
        <f t="shared" si="3692"/>
        <v>1</v>
      </c>
      <c r="L1846" s="62">
        <f t="shared" si="3692"/>
        <v>1</v>
      </c>
      <c r="M1846" s="62">
        <f t="shared" si="3692"/>
        <v>1</v>
      </c>
      <c r="N1846" s="62">
        <f t="shared" si="3692"/>
        <v>1</v>
      </c>
      <c r="O1846" s="62">
        <f t="shared" si="3692"/>
        <v>1</v>
      </c>
      <c r="P1846" s="62" t="str">
        <f t="shared" si="3692"/>
        <v/>
      </c>
      <c r="Q1846" s="62" t="str">
        <f t="shared" si="3692"/>
        <v/>
      </c>
      <c r="R1846" s="62">
        <f t="shared" si="7"/>
        <v>0</v>
      </c>
      <c r="S1846" s="62"/>
      <c r="T1846" s="62"/>
      <c r="U1846" s="62"/>
      <c r="V1846" s="62"/>
      <c r="W1846" s="62"/>
      <c r="X1846" s="62"/>
      <c r="Y1846" s="62"/>
      <c r="Z1846" s="62"/>
      <c r="AA1846" s="62"/>
      <c r="AB1846" s="62"/>
      <c r="AC1846" s="62"/>
    </row>
    <row r="1847" hidden="1">
      <c r="A1847" s="60">
        <f>IFERROR(__xludf.DUMMYFUNCTION("""COMPUTED_VALUE"""),16693.0)</f>
        <v>16693</v>
      </c>
      <c r="B1847" s="60" t="str">
        <f>IFERROR(__xludf.DUMMYFUNCTION("""COMPUTED_VALUE"""),"Sweat, T'Vondre")</f>
        <v>Sweat, T'Vondre</v>
      </c>
      <c r="C1847" s="60" t="str">
        <f>IFERROR(__xludf.DUMMYFUNCTION("""COMPUTED_VALUE"""),"DT")</f>
        <v>DT</v>
      </c>
      <c r="D1847" s="60" t="str">
        <f>IFERROR(__xludf.DUMMYFUNCTION("""COMPUTED_VALUE"""),"NYJ")</f>
        <v>NYJ</v>
      </c>
      <c r="E1847" s="62" t="str">
        <f t="shared" si="4"/>
        <v>T'Vondre Sweat</v>
      </c>
      <c r="F1847" s="62">
        <f t="shared" ref="F1847:G1847" si="3693">IF(isblank(F$1),,IF(isblank($A1847),,IFERROR(vlookup($A1847,indirect("'TVC-"&amp;text(month(F$1),"00")&amp;"'!$A:$D"),4,false),1)))</f>
        <v>1</v>
      </c>
      <c r="G1847" s="62">
        <f t="shared" si="3693"/>
        <v>1</v>
      </c>
      <c r="H1847" s="62">
        <f t="shared" ref="H1847:Q1847" si="3694">IF(isblank(H$1),,IFERROR(vlookup($A1847,indirect("'TVC-"&amp;text(month(H$1),"00")&amp;"'!$A:$D"),4,false),1))</f>
        <v>1</v>
      </c>
      <c r="I1847" s="62">
        <f t="shared" si="3694"/>
        <v>1</v>
      </c>
      <c r="J1847" s="62">
        <f t="shared" si="3694"/>
        <v>1</v>
      </c>
      <c r="K1847" s="62">
        <f t="shared" si="3694"/>
        <v>1</v>
      </c>
      <c r="L1847" s="62">
        <f t="shared" si="3694"/>
        <v>1</v>
      </c>
      <c r="M1847" s="62">
        <f t="shared" si="3694"/>
        <v>1</v>
      </c>
      <c r="N1847" s="62">
        <f t="shared" si="3694"/>
        <v>1</v>
      </c>
      <c r="O1847" s="62">
        <f t="shared" si="3694"/>
        <v>1</v>
      </c>
      <c r="P1847" s="62" t="str">
        <f t="shared" si="3694"/>
        <v/>
      </c>
      <c r="Q1847" s="62" t="str">
        <f t="shared" si="3694"/>
        <v/>
      </c>
      <c r="R1847" s="62">
        <f t="shared" si="7"/>
        <v>0</v>
      </c>
      <c r="S1847" s="62"/>
      <c r="T1847" s="62"/>
      <c r="U1847" s="62"/>
      <c r="V1847" s="62"/>
      <c r="W1847" s="62"/>
      <c r="X1847" s="62"/>
      <c r="Y1847" s="62"/>
      <c r="Z1847" s="62"/>
      <c r="AA1847" s="62"/>
      <c r="AB1847" s="62"/>
      <c r="AC1847" s="62"/>
    </row>
    <row r="1848" hidden="1">
      <c r="A1848" s="60">
        <f>IFERROR(__xludf.DUMMYFUNCTION("""COMPUTED_VALUE"""),16694.0)</f>
        <v>16694</v>
      </c>
      <c r="B1848" s="60" t="str">
        <f>IFERROR(__xludf.DUMMYFUNCTION("""COMPUTED_VALUE"""),"Fiske, Braden")</f>
        <v>Fiske, Braden</v>
      </c>
      <c r="C1848" s="60" t="str">
        <f>IFERROR(__xludf.DUMMYFUNCTION("""COMPUTED_VALUE"""),"DT")</f>
        <v>DT</v>
      </c>
      <c r="D1848" s="60" t="str">
        <f>IFERROR(__xludf.DUMMYFUNCTION("""COMPUTED_VALUE"""),"LAR")</f>
        <v>LAR</v>
      </c>
      <c r="E1848" s="62" t="str">
        <f t="shared" si="4"/>
        <v>Braden Fiske</v>
      </c>
      <c r="F1848" s="62">
        <f t="shared" ref="F1848:G1848" si="3695">IF(isblank(F$1),,IF(isblank($A1848),,IFERROR(vlookup($A1848,indirect("'TVC-"&amp;text(month(F$1),"00")&amp;"'!$A:$D"),4,false),1)))</f>
        <v>1</v>
      </c>
      <c r="G1848" s="62">
        <f t="shared" si="3695"/>
        <v>1</v>
      </c>
      <c r="H1848" s="62">
        <f t="shared" ref="H1848:Q1848" si="3696">IF(isblank(H$1),,IFERROR(vlookup($A1848,indirect("'TVC-"&amp;text(month(H$1),"00")&amp;"'!$A:$D"),4,false),1))</f>
        <v>1</v>
      </c>
      <c r="I1848" s="62">
        <f t="shared" si="3696"/>
        <v>1</v>
      </c>
      <c r="J1848" s="62">
        <f t="shared" si="3696"/>
        <v>1</v>
      </c>
      <c r="K1848" s="62">
        <f t="shared" si="3696"/>
        <v>1</v>
      </c>
      <c r="L1848" s="62">
        <f t="shared" si="3696"/>
        <v>1</v>
      </c>
      <c r="M1848" s="62">
        <f t="shared" si="3696"/>
        <v>1</v>
      </c>
      <c r="N1848" s="62">
        <f t="shared" si="3696"/>
        <v>1</v>
      </c>
      <c r="O1848" s="62">
        <f t="shared" si="3696"/>
        <v>1</v>
      </c>
      <c r="P1848" s="62" t="str">
        <f t="shared" si="3696"/>
        <v/>
      </c>
      <c r="Q1848" s="62" t="str">
        <f t="shared" si="3696"/>
        <v/>
      </c>
      <c r="R1848" s="62">
        <f t="shared" si="7"/>
        <v>0</v>
      </c>
      <c r="S1848" s="62"/>
      <c r="T1848" s="62"/>
      <c r="U1848" s="62"/>
      <c r="V1848" s="62"/>
      <c r="W1848" s="62"/>
      <c r="X1848" s="62"/>
      <c r="Y1848" s="62"/>
      <c r="Z1848" s="62"/>
      <c r="AA1848" s="62"/>
      <c r="AB1848" s="62"/>
      <c r="AC1848" s="62"/>
    </row>
    <row r="1849" hidden="1">
      <c r="A1849" s="60">
        <f>IFERROR(__xludf.DUMMYFUNCTION("""COMPUTED_VALUE"""),16695.0)</f>
        <v>16695</v>
      </c>
      <c r="B1849" s="60" t="str">
        <f>IFERROR(__xludf.DUMMYFUNCTION("""COMPUTED_VALUE"""),"Melton, Max")</f>
        <v>Melton, Max</v>
      </c>
      <c r="C1849" s="60" t="str">
        <f>IFERROR(__xludf.DUMMYFUNCTION("""COMPUTED_VALUE"""),"CB")</f>
        <v>CB</v>
      </c>
      <c r="D1849" s="60" t="str">
        <f>IFERROR(__xludf.DUMMYFUNCTION("""COMPUTED_VALUE"""),"ARI")</f>
        <v>ARI</v>
      </c>
      <c r="E1849" s="62" t="str">
        <f t="shared" si="4"/>
        <v>Max Melton</v>
      </c>
      <c r="F1849" s="62">
        <f t="shared" ref="F1849:G1849" si="3697">IF(isblank(F$1),,IF(isblank($A1849),,IFERROR(vlookup($A1849,indirect("'TVC-"&amp;text(month(F$1),"00")&amp;"'!$A:$D"),4,false),1)))</f>
        <v>1</v>
      </c>
      <c r="G1849" s="62">
        <f t="shared" si="3697"/>
        <v>1</v>
      </c>
      <c r="H1849" s="62">
        <f t="shared" ref="H1849:Q1849" si="3698">IF(isblank(H$1),,IFERROR(vlookup($A1849,indirect("'TVC-"&amp;text(month(H$1),"00")&amp;"'!$A:$D"),4,false),1))</f>
        <v>1</v>
      </c>
      <c r="I1849" s="62">
        <f t="shared" si="3698"/>
        <v>1</v>
      </c>
      <c r="J1849" s="62">
        <f t="shared" si="3698"/>
        <v>1</v>
      </c>
      <c r="K1849" s="62">
        <f t="shared" si="3698"/>
        <v>1</v>
      </c>
      <c r="L1849" s="62">
        <f t="shared" si="3698"/>
        <v>1</v>
      </c>
      <c r="M1849" s="62">
        <f t="shared" si="3698"/>
        <v>1</v>
      </c>
      <c r="N1849" s="62">
        <f t="shared" si="3698"/>
        <v>1</v>
      </c>
      <c r="O1849" s="62">
        <f t="shared" si="3698"/>
        <v>1</v>
      </c>
      <c r="P1849" s="62" t="str">
        <f t="shared" si="3698"/>
        <v/>
      </c>
      <c r="Q1849" s="62" t="str">
        <f t="shared" si="3698"/>
        <v/>
      </c>
      <c r="R1849" s="62">
        <f t="shared" si="7"/>
        <v>0</v>
      </c>
      <c r="S1849" s="62"/>
      <c r="T1849" s="62"/>
      <c r="U1849" s="62"/>
      <c r="V1849" s="62"/>
      <c r="W1849" s="62"/>
      <c r="X1849" s="62"/>
      <c r="Y1849" s="62"/>
      <c r="Z1849" s="62"/>
      <c r="AA1849" s="62"/>
      <c r="AB1849" s="62"/>
      <c r="AC1849" s="62"/>
    </row>
    <row r="1850" hidden="1">
      <c r="A1850" s="60">
        <f>IFERROR(__xludf.DUMMYFUNCTION("""COMPUTED_VALUE"""),16696.0)</f>
        <v>16696</v>
      </c>
      <c r="B1850" s="60" t="str">
        <f>IFERROR(__xludf.DUMMYFUNCTION("""COMPUTED_VALUE"""),"Cooper, Edgerrin")</f>
        <v>Cooper, Edgerrin</v>
      </c>
      <c r="C1850" s="60" t="str">
        <f>IFERROR(__xludf.DUMMYFUNCTION("""COMPUTED_VALUE"""),"LB")</f>
        <v>LB</v>
      </c>
      <c r="D1850" s="60" t="str">
        <f>IFERROR(__xludf.DUMMYFUNCTION("""COMPUTED_VALUE"""),"GBP")</f>
        <v>GBP</v>
      </c>
      <c r="E1850" s="62" t="str">
        <f t="shared" si="4"/>
        <v>Edgerrin Cooper</v>
      </c>
      <c r="F1850" s="62">
        <f t="shared" ref="F1850:G1850" si="3699">IF(isblank(F$1),,IF(isblank($A1850),,IFERROR(vlookup($A1850,indirect("'TVC-"&amp;text(month(F$1),"00")&amp;"'!$A:$D"),4,false),1)))</f>
        <v>1</v>
      </c>
      <c r="G1850" s="62">
        <f t="shared" si="3699"/>
        <v>1</v>
      </c>
      <c r="H1850" s="62">
        <f t="shared" ref="H1850:Q1850" si="3700">IF(isblank(H$1),,IFERROR(vlookup($A1850,indirect("'TVC-"&amp;text(month(H$1),"00")&amp;"'!$A:$D"),4,false),1))</f>
        <v>1</v>
      </c>
      <c r="I1850" s="62">
        <f t="shared" si="3700"/>
        <v>1</v>
      </c>
      <c r="J1850" s="62">
        <f t="shared" si="3700"/>
        <v>1</v>
      </c>
      <c r="K1850" s="62">
        <f t="shared" si="3700"/>
        <v>1</v>
      </c>
      <c r="L1850" s="62">
        <f t="shared" si="3700"/>
        <v>1</v>
      </c>
      <c r="M1850" s="62">
        <f t="shared" si="3700"/>
        <v>1</v>
      </c>
      <c r="N1850" s="62">
        <f t="shared" si="3700"/>
        <v>1</v>
      </c>
      <c r="O1850" s="62">
        <f t="shared" si="3700"/>
        <v>1</v>
      </c>
      <c r="P1850" s="62" t="str">
        <f t="shared" si="3700"/>
        <v/>
      </c>
      <c r="Q1850" s="62" t="str">
        <f t="shared" si="3700"/>
        <v/>
      </c>
      <c r="R1850" s="62">
        <f t="shared" si="7"/>
        <v>0</v>
      </c>
      <c r="S1850" s="62"/>
      <c r="T1850" s="62"/>
      <c r="U1850" s="62"/>
      <c r="V1850" s="62"/>
      <c r="W1850" s="62"/>
      <c r="X1850" s="62"/>
      <c r="Y1850" s="62"/>
      <c r="Z1850" s="62"/>
      <c r="AA1850" s="62"/>
      <c r="AB1850" s="62"/>
      <c r="AC1850" s="62"/>
    </row>
    <row r="1851" hidden="1">
      <c r="A1851" s="60">
        <f>IFERROR(__xludf.DUMMYFUNCTION("""COMPUTED_VALUE"""),16697.0)</f>
        <v>16697</v>
      </c>
      <c r="B1851" s="60" t="str">
        <f>IFERROR(__xludf.DUMMYFUNCTION("""COMPUTED_VALUE"""),"Smith, Maason")</f>
        <v>Smith, Maason</v>
      </c>
      <c r="C1851" s="60" t="str">
        <f>IFERROR(__xludf.DUMMYFUNCTION("""COMPUTED_VALUE"""),"DT")</f>
        <v>DT</v>
      </c>
      <c r="D1851" s="60" t="str">
        <f>IFERROR(__xludf.DUMMYFUNCTION("""COMPUTED_VALUE"""),"ATL")</f>
        <v>ATL</v>
      </c>
      <c r="E1851" s="62" t="str">
        <f t="shared" si="4"/>
        <v>Maason Smith</v>
      </c>
      <c r="F1851" s="62">
        <f t="shared" ref="F1851:G1851" si="3701">IF(isblank(F$1),,IF(isblank($A1851),,IFERROR(vlookup($A1851,indirect("'TVC-"&amp;text(month(F$1),"00")&amp;"'!$A:$D"),4,false),1)))</f>
        <v>1</v>
      </c>
      <c r="G1851" s="62">
        <f t="shared" si="3701"/>
        <v>1</v>
      </c>
      <c r="H1851" s="62">
        <f t="shared" ref="H1851:Q1851" si="3702">IF(isblank(H$1),,IFERROR(vlookup($A1851,indirect("'TVC-"&amp;text(month(H$1),"00")&amp;"'!$A:$D"),4,false),1))</f>
        <v>1</v>
      </c>
      <c r="I1851" s="62">
        <f t="shared" si="3702"/>
        <v>1</v>
      </c>
      <c r="J1851" s="62">
        <f t="shared" si="3702"/>
        <v>1</v>
      </c>
      <c r="K1851" s="62">
        <f t="shared" si="3702"/>
        <v>1</v>
      </c>
      <c r="L1851" s="62">
        <f t="shared" si="3702"/>
        <v>1</v>
      </c>
      <c r="M1851" s="62">
        <f t="shared" si="3702"/>
        <v>1</v>
      </c>
      <c r="N1851" s="62">
        <f t="shared" si="3702"/>
        <v>1</v>
      </c>
      <c r="O1851" s="62">
        <f t="shared" si="3702"/>
        <v>1</v>
      </c>
      <c r="P1851" s="62" t="str">
        <f t="shared" si="3702"/>
        <v/>
      </c>
      <c r="Q1851" s="62" t="str">
        <f t="shared" si="3702"/>
        <v/>
      </c>
      <c r="R1851" s="62">
        <f t="shared" si="7"/>
        <v>0</v>
      </c>
      <c r="S1851" s="62"/>
      <c r="T1851" s="62"/>
      <c r="U1851" s="62"/>
      <c r="V1851" s="62"/>
      <c r="W1851" s="62"/>
      <c r="X1851" s="62"/>
      <c r="Y1851" s="62"/>
      <c r="Z1851" s="62"/>
      <c r="AA1851" s="62"/>
      <c r="AB1851" s="62"/>
      <c r="AC1851" s="62"/>
    </row>
    <row r="1852">
      <c r="A1852" s="60">
        <f>IFERROR(__xludf.DUMMYFUNCTION("""COMPUTED_VALUE"""),16698.0)</f>
        <v>16698</v>
      </c>
      <c r="B1852" s="60" t="str">
        <f>IFERROR(__xludf.DUMMYFUNCTION("""COMPUTED_VALUE"""),"Sainristil, Mike")</f>
        <v>Sainristil, Mike</v>
      </c>
      <c r="C1852" s="60" t="str">
        <f>IFERROR(__xludf.DUMMYFUNCTION("""COMPUTED_VALUE"""),"CB")</f>
        <v>CB</v>
      </c>
      <c r="D1852" s="60" t="str">
        <f>IFERROR(__xludf.DUMMYFUNCTION("""COMPUTED_VALUE"""),"WAS")</f>
        <v>WAS</v>
      </c>
      <c r="E1852" s="62" t="str">
        <f t="shared" si="4"/>
        <v>Mike Sainristil</v>
      </c>
      <c r="F1852" s="62">
        <f t="shared" ref="F1852:G1852" si="3703">IF(isblank(F$1),,IF(isblank($A1852),,IFERROR(vlookup($A1852,indirect("'TVC-"&amp;text(month(F$1),"00")&amp;"'!$A:$D"),4,false),1)))</f>
        <v>1</v>
      </c>
      <c r="G1852" s="62">
        <f t="shared" si="3703"/>
        <v>1</v>
      </c>
      <c r="H1852" s="62">
        <f t="shared" ref="H1852:Q1852" si="3704">IF(isblank(H$1),,IFERROR(vlookup($A1852,indirect("'TVC-"&amp;text(month(H$1),"00")&amp;"'!$A:$D"),4,false),1))</f>
        <v>1</v>
      </c>
      <c r="I1852" s="62">
        <f t="shared" si="3704"/>
        <v>1</v>
      </c>
      <c r="J1852" s="62">
        <f t="shared" si="3704"/>
        <v>1</v>
      </c>
      <c r="K1852" s="62">
        <f t="shared" si="3704"/>
        <v>1</v>
      </c>
      <c r="L1852" s="62">
        <f t="shared" si="3704"/>
        <v>1</v>
      </c>
      <c r="M1852" s="62">
        <f t="shared" si="3704"/>
        <v>1</v>
      </c>
      <c r="N1852" s="62">
        <f t="shared" si="3704"/>
        <v>1</v>
      </c>
      <c r="O1852" s="62">
        <f t="shared" si="3704"/>
        <v>1</v>
      </c>
      <c r="P1852" s="62" t="str">
        <f t="shared" si="3704"/>
        <v/>
      </c>
      <c r="Q1852" s="62" t="str">
        <f t="shared" si="3704"/>
        <v/>
      </c>
      <c r="R1852" s="62">
        <f t="shared" si="7"/>
        <v>0</v>
      </c>
      <c r="S1852" s="62"/>
      <c r="T1852" s="62"/>
      <c r="U1852" s="62"/>
      <c r="V1852" s="62"/>
      <c r="W1852" s="62"/>
      <c r="X1852" s="62"/>
      <c r="Y1852" s="62"/>
      <c r="Z1852" s="62"/>
      <c r="AA1852" s="62"/>
      <c r="AB1852" s="62"/>
      <c r="AC1852" s="62"/>
    </row>
    <row r="1853" hidden="1">
      <c r="A1853" s="60">
        <f>IFERROR(__xludf.DUMMYFUNCTION("""COMPUTED_VALUE"""),16699.0)</f>
        <v>16699</v>
      </c>
      <c r="B1853" s="60" t="str">
        <f>IFERROR(__xludf.DUMMYFUNCTION("""COMPUTED_VALUE"""),"Kneeland, Marshawn")</f>
        <v>Kneeland, Marshawn</v>
      </c>
      <c r="C1853" s="60" t="str">
        <f>IFERROR(__xludf.DUMMYFUNCTION("""COMPUTED_VALUE"""),"DE")</f>
        <v>DE</v>
      </c>
      <c r="D1853" s="60" t="str">
        <f>IFERROR(__xludf.DUMMYFUNCTION("""COMPUTED_VALUE"""),"DAL")</f>
        <v>DAL</v>
      </c>
      <c r="E1853" s="62" t="str">
        <f t="shared" si="4"/>
        <v>Marshawn Kneeland</v>
      </c>
      <c r="F1853" s="62">
        <f t="shared" ref="F1853:G1853" si="3705">IF(isblank(F$1),,IF(isblank($A1853),,IFERROR(vlookup($A1853,indirect("'TVC-"&amp;text(month(F$1),"00")&amp;"'!$A:$D"),4,false),1)))</f>
        <v>1</v>
      </c>
      <c r="G1853" s="62">
        <f t="shared" si="3705"/>
        <v>1</v>
      </c>
      <c r="H1853" s="62">
        <f t="shared" ref="H1853:Q1853" si="3706">IF(isblank(H$1),,IFERROR(vlookup($A1853,indirect("'TVC-"&amp;text(month(H$1),"00")&amp;"'!$A:$D"),4,false),1))</f>
        <v>1</v>
      </c>
      <c r="I1853" s="62">
        <f t="shared" si="3706"/>
        <v>1</v>
      </c>
      <c r="J1853" s="62">
        <f t="shared" si="3706"/>
        <v>1</v>
      </c>
      <c r="K1853" s="62">
        <f t="shared" si="3706"/>
        <v>1</v>
      </c>
      <c r="L1853" s="62">
        <f t="shared" si="3706"/>
        <v>1</v>
      </c>
      <c r="M1853" s="62">
        <f t="shared" si="3706"/>
        <v>1</v>
      </c>
      <c r="N1853" s="62">
        <f t="shared" si="3706"/>
        <v>1</v>
      </c>
      <c r="O1853" s="62">
        <f t="shared" si="3706"/>
        <v>1</v>
      </c>
      <c r="P1853" s="62" t="str">
        <f t="shared" si="3706"/>
        <v/>
      </c>
      <c r="Q1853" s="62" t="str">
        <f t="shared" si="3706"/>
        <v/>
      </c>
      <c r="R1853" s="62">
        <f t="shared" si="7"/>
        <v>0</v>
      </c>
      <c r="S1853" s="62"/>
      <c r="T1853" s="62"/>
      <c r="U1853" s="62"/>
      <c r="V1853" s="62"/>
      <c r="W1853" s="62"/>
      <c r="X1853" s="62"/>
      <c r="Y1853" s="62"/>
      <c r="Z1853" s="62"/>
      <c r="AA1853" s="62"/>
      <c r="AB1853" s="62"/>
      <c r="AC1853" s="62"/>
    </row>
    <row r="1854" hidden="1">
      <c r="A1854" s="60">
        <f>IFERROR(__xludf.DUMMYFUNCTION("""COMPUTED_VALUE"""),16700.0)</f>
        <v>16700</v>
      </c>
      <c r="B1854" s="60" t="str">
        <f>IFERROR(__xludf.DUMMYFUNCTION("""COMPUTED_VALUE"""),"Bishop, Cole")</f>
        <v>Bishop, Cole</v>
      </c>
      <c r="C1854" s="60" t="str">
        <f>IFERROR(__xludf.DUMMYFUNCTION("""COMPUTED_VALUE"""),"S")</f>
        <v>S</v>
      </c>
      <c r="D1854" s="60" t="str">
        <f>IFERROR(__xludf.DUMMYFUNCTION("""COMPUTED_VALUE"""),"BUF")</f>
        <v>BUF</v>
      </c>
      <c r="E1854" s="62" t="str">
        <f t="shared" si="4"/>
        <v>Cole Bishop</v>
      </c>
      <c r="F1854" s="62">
        <f t="shared" ref="F1854:G1854" si="3707">IF(isblank(F$1),,IF(isblank($A1854),,IFERROR(vlookup($A1854,indirect("'TVC-"&amp;text(month(F$1),"00")&amp;"'!$A:$D"),4,false),1)))</f>
        <v>1</v>
      </c>
      <c r="G1854" s="62">
        <f t="shared" si="3707"/>
        <v>1</v>
      </c>
      <c r="H1854" s="62">
        <f t="shared" ref="H1854:Q1854" si="3708">IF(isblank(H$1),,IFERROR(vlookup($A1854,indirect("'TVC-"&amp;text(month(H$1),"00")&amp;"'!$A:$D"),4,false),1))</f>
        <v>1</v>
      </c>
      <c r="I1854" s="62">
        <f t="shared" si="3708"/>
        <v>1</v>
      </c>
      <c r="J1854" s="62">
        <f t="shared" si="3708"/>
        <v>1</v>
      </c>
      <c r="K1854" s="62">
        <f t="shared" si="3708"/>
        <v>1</v>
      </c>
      <c r="L1854" s="62">
        <f t="shared" si="3708"/>
        <v>1</v>
      </c>
      <c r="M1854" s="62">
        <f t="shared" si="3708"/>
        <v>1</v>
      </c>
      <c r="N1854" s="62">
        <f t="shared" si="3708"/>
        <v>1</v>
      </c>
      <c r="O1854" s="62">
        <f t="shared" si="3708"/>
        <v>1</v>
      </c>
      <c r="P1854" s="62" t="str">
        <f t="shared" si="3708"/>
        <v/>
      </c>
      <c r="Q1854" s="62" t="str">
        <f t="shared" si="3708"/>
        <v/>
      </c>
      <c r="R1854" s="62">
        <f t="shared" si="7"/>
        <v>0</v>
      </c>
      <c r="S1854" s="62"/>
      <c r="T1854" s="62"/>
      <c r="U1854" s="62"/>
      <c r="V1854" s="62"/>
      <c r="W1854" s="62"/>
      <c r="X1854" s="62"/>
      <c r="Y1854" s="62"/>
      <c r="Z1854" s="62"/>
      <c r="AA1854" s="62"/>
      <c r="AB1854" s="62"/>
      <c r="AC1854" s="62"/>
    </row>
    <row r="1855" hidden="1">
      <c r="A1855" s="60">
        <f>IFERROR(__xludf.DUMMYFUNCTION("""COMPUTED_VALUE"""),16701.0)</f>
        <v>16701</v>
      </c>
      <c r="B1855" s="60" t="str">
        <f>IFERROR(__xludf.DUMMYFUNCTION("""COMPUTED_VALUE"""),"Rakestraw, Ennis")</f>
        <v>Rakestraw, Ennis</v>
      </c>
      <c r="C1855" s="60" t="str">
        <f>IFERROR(__xludf.DUMMYFUNCTION("""COMPUTED_VALUE"""),"CB")</f>
        <v>CB</v>
      </c>
      <c r="D1855" s="60" t="str">
        <f>IFERROR(__xludf.DUMMYFUNCTION("""COMPUTED_VALUE"""),"DET")</f>
        <v>DET</v>
      </c>
      <c r="E1855" s="62" t="str">
        <f t="shared" si="4"/>
        <v>Ennis Rakestraw</v>
      </c>
      <c r="F1855" s="62">
        <f t="shared" ref="F1855:G1855" si="3709">IF(isblank(F$1),,IF(isblank($A1855),,IFERROR(vlookup($A1855,indirect("'TVC-"&amp;text(month(F$1),"00")&amp;"'!$A:$D"),4,false),1)))</f>
        <v>1</v>
      </c>
      <c r="G1855" s="62">
        <f t="shared" si="3709"/>
        <v>1</v>
      </c>
      <c r="H1855" s="62">
        <f t="shared" ref="H1855:Q1855" si="3710">IF(isblank(H$1),,IFERROR(vlookup($A1855,indirect("'TVC-"&amp;text(month(H$1),"00")&amp;"'!$A:$D"),4,false),1))</f>
        <v>1</v>
      </c>
      <c r="I1855" s="62">
        <f t="shared" si="3710"/>
        <v>1</v>
      </c>
      <c r="J1855" s="62">
        <f t="shared" si="3710"/>
        <v>1</v>
      </c>
      <c r="K1855" s="62">
        <f t="shared" si="3710"/>
        <v>1</v>
      </c>
      <c r="L1855" s="62">
        <f t="shared" si="3710"/>
        <v>1</v>
      </c>
      <c r="M1855" s="62">
        <f t="shared" si="3710"/>
        <v>1</v>
      </c>
      <c r="N1855" s="62">
        <f t="shared" si="3710"/>
        <v>1</v>
      </c>
      <c r="O1855" s="62">
        <f t="shared" si="3710"/>
        <v>1</v>
      </c>
      <c r="P1855" s="62" t="str">
        <f t="shared" si="3710"/>
        <v/>
      </c>
      <c r="Q1855" s="62" t="str">
        <f t="shared" si="3710"/>
        <v/>
      </c>
      <c r="R1855" s="62">
        <f t="shared" si="7"/>
        <v>0</v>
      </c>
      <c r="S1855" s="62"/>
      <c r="T1855" s="62"/>
      <c r="U1855" s="62"/>
      <c r="V1855" s="62"/>
      <c r="W1855" s="62"/>
      <c r="X1855" s="62"/>
      <c r="Y1855" s="62"/>
      <c r="Z1855" s="62"/>
      <c r="AA1855" s="62"/>
      <c r="AB1855" s="62"/>
      <c r="AC1855" s="62"/>
    </row>
    <row r="1856" hidden="1">
      <c r="A1856" s="60">
        <f>IFERROR(__xludf.DUMMYFUNCTION("""COMPUTED_VALUE"""),16702.0)</f>
        <v>16702</v>
      </c>
      <c r="B1856" s="60" t="str">
        <f>IFERROR(__xludf.DUMMYFUNCTION("""COMPUTED_VALUE"""),"Green, Renardo")</f>
        <v>Green, Renardo</v>
      </c>
      <c r="C1856" s="60" t="str">
        <f>IFERROR(__xludf.DUMMYFUNCTION("""COMPUTED_VALUE"""),"CB")</f>
        <v>CB</v>
      </c>
      <c r="D1856" s="60" t="str">
        <f>IFERROR(__xludf.DUMMYFUNCTION("""COMPUTED_VALUE"""),"SFO")</f>
        <v>SFO</v>
      </c>
      <c r="E1856" s="62" t="str">
        <f t="shared" si="4"/>
        <v>Renardo Green</v>
      </c>
      <c r="F1856" s="62">
        <f t="shared" ref="F1856:G1856" si="3711">IF(isblank(F$1),,IF(isblank($A1856),,IFERROR(vlookup($A1856,indirect("'TVC-"&amp;text(month(F$1),"00")&amp;"'!$A:$D"),4,false),1)))</f>
        <v>1</v>
      </c>
      <c r="G1856" s="62">
        <f t="shared" si="3711"/>
        <v>1</v>
      </c>
      <c r="H1856" s="62">
        <f t="shared" ref="H1856:Q1856" si="3712">IF(isblank(H$1),,IFERROR(vlookup($A1856,indirect("'TVC-"&amp;text(month(H$1),"00")&amp;"'!$A:$D"),4,false),1))</f>
        <v>1</v>
      </c>
      <c r="I1856" s="62">
        <f t="shared" si="3712"/>
        <v>1</v>
      </c>
      <c r="J1856" s="62">
        <f t="shared" si="3712"/>
        <v>1</v>
      </c>
      <c r="K1856" s="62">
        <f t="shared" si="3712"/>
        <v>1</v>
      </c>
      <c r="L1856" s="62">
        <f t="shared" si="3712"/>
        <v>1</v>
      </c>
      <c r="M1856" s="62">
        <f t="shared" si="3712"/>
        <v>1</v>
      </c>
      <c r="N1856" s="62">
        <f t="shared" si="3712"/>
        <v>1</v>
      </c>
      <c r="O1856" s="62">
        <f t="shared" si="3712"/>
        <v>1</v>
      </c>
      <c r="P1856" s="62" t="str">
        <f t="shared" si="3712"/>
        <v/>
      </c>
      <c r="Q1856" s="62" t="str">
        <f t="shared" si="3712"/>
        <v/>
      </c>
      <c r="R1856" s="62">
        <f t="shared" si="7"/>
        <v>0</v>
      </c>
      <c r="S1856" s="62"/>
      <c r="T1856" s="62"/>
      <c r="U1856" s="62"/>
      <c r="V1856" s="62"/>
      <c r="W1856" s="62"/>
      <c r="X1856" s="62"/>
      <c r="Y1856" s="62"/>
      <c r="Z1856" s="62"/>
      <c r="AA1856" s="62"/>
      <c r="AB1856" s="62"/>
      <c r="AC1856" s="62"/>
    </row>
    <row r="1857" hidden="1">
      <c r="A1857" s="60">
        <f>IFERROR(__xludf.DUMMYFUNCTION("""COMPUTED_VALUE"""),16703.0)</f>
        <v>16703</v>
      </c>
      <c r="B1857" s="60" t="str">
        <f>IFERROR(__xludf.DUMMYFUNCTION("""COMPUTED_VALUE"""),"Phillips, Andru")</f>
        <v>Phillips, Andru</v>
      </c>
      <c r="C1857" s="60" t="str">
        <f>IFERROR(__xludf.DUMMYFUNCTION("""COMPUTED_VALUE"""),"CB")</f>
        <v>CB</v>
      </c>
      <c r="D1857" s="60" t="str">
        <f>IFERROR(__xludf.DUMMYFUNCTION("""COMPUTED_VALUE"""),"NYG")</f>
        <v>NYG</v>
      </c>
      <c r="E1857" s="62" t="str">
        <f t="shared" si="4"/>
        <v>Andru Phillips</v>
      </c>
      <c r="F1857" s="62">
        <f t="shared" ref="F1857:G1857" si="3713">IF(isblank(F$1),,IF(isblank($A1857),,IFERROR(vlookup($A1857,indirect("'TVC-"&amp;text(month(F$1),"00")&amp;"'!$A:$D"),4,false),1)))</f>
        <v>1</v>
      </c>
      <c r="G1857" s="62">
        <f t="shared" si="3713"/>
        <v>1</v>
      </c>
      <c r="H1857" s="62">
        <f t="shared" ref="H1857:Q1857" si="3714">IF(isblank(H$1),,IFERROR(vlookup($A1857,indirect("'TVC-"&amp;text(month(H$1),"00")&amp;"'!$A:$D"),4,false),1))</f>
        <v>1</v>
      </c>
      <c r="I1857" s="62">
        <f t="shared" si="3714"/>
        <v>1</v>
      </c>
      <c r="J1857" s="62">
        <f t="shared" si="3714"/>
        <v>1</v>
      </c>
      <c r="K1857" s="62">
        <f t="shared" si="3714"/>
        <v>1</v>
      </c>
      <c r="L1857" s="62">
        <f t="shared" si="3714"/>
        <v>1</v>
      </c>
      <c r="M1857" s="62">
        <f t="shared" si="3714"/>
        <v>1</v>
      </c>
      <c r="N1857" s="62">
        <f t="shared" si="3714"/>
        <v>1</v>
      </c>
      <c r="O1857" s="62">
        <f t="shared" si="3714"/>
        <v>1</v>
      </c>
      <c r="P1857" s="62" t="str">
        <f t="shared" si="3714"/>
        <v/>
      </c>
      <c r="Q1857" s="62" t="str">
        <f t="shared" si="3714"/>
        <v/>
      </c>
      <c r="R1857" s="62">
        <f t="shared" si="7"/>
        <v>0</v>
      </c>
      <c r="S1857" s="62"/>
      <c r="T1857" s="62"/>
      <c r="U1857" s="62"/>
      <c r="V1857" s="62"/>
      <c r="W1857" s="62"/>
      <c r="X1857" s="62"/>
      <c r="Y1857" s="62"/>
      <c r="Z1857" s="62"/>
      <c r="AA1857" s="62"/>
      <c r="AB1857" s="62"/>
      <c r="AC1857" s="62"/>
    </row>
    <row r="1858" hidden="1">
      <c r="A1858" s="60">
        <f>IFERROR(__xludf.DUMMYFUNCTION("""COMPUTED_VALUE"""),16704.0)</f>
        <v>16704</v>
      </c>
      <c r="B1858" s="60" t="str">
        <f>IFERROR(__xludf.DUMMYFUNCTION("""COMPUTED_VALUE"""),"Wallace, Trevin")</f>
        <v>Wallace, Trevin</v>
      </c>
      <c r="C1858" s="60" t="str">
        <f>IFERROR(__xludf.DUMMYFUNCTION("""COMPUTED_VALUE"""),"LB")</f>
        <v>LB</v>
      </c>
      <c r="D1858" s="60" t="str">
        <f>IFERROR(__xludf.DUMMYFUNCTION("""COMPUTED_VALUE"""),"NYJ")</f>
        <v>NYJ</v>
      </c>
      <c r="E1858" s="62" t="str">
        <f t="shared" si="4"/>
        <v>Trevin Wallace</v>
      </c>
      <c r="F1858" s="62">
        <f t="shared" ref="F1858:G1858" si="3715">IF(isblank(F$1),,IF(isblank($A1858),,IFERROR(vlookup($A1858,indirect("'TVC-"&amp;text(month(F$1),"00")&amp;"'!$A:$D"),4,false),1)))</f>
        <v>1</v>
      </c>
      <c r="G1858" s="62">
        <f t="shared" si="3715"/>
        <v>1</v>
      </c>
      <c r="H1858" s="62">
        <f t="shared" ref="H1858:Q1858" si="3716">IF(isblank(H$1),,IFERROR(vlookup($A1858,indirect("'TVC-"&amp;text(month(H$1),"00")&amp;"'!$A:$D"),4,false),1))</f>
        <v>1</v>
      </c>
      <c r="I1858" s="62">
        <f t="shared" si="3716"/>
        <v>1</v>
      </c>
      <c r="J1858" s="62">
        <f t="shared" si="3716"/>
        <v>1</v>
      </c>
      <c r="K1858" s="62">
        <f t="shared" si="3716"/>
        <v>1</v>
      </c>
      <c r="L1858" s="62">
        <f t="shared" si="3716"/>
        <v>1</v>
      </c>
      <c r="M1858" s="62">
        <f t="shared" si="3716"/>
        <v>1</v>
      </c>
      <c r="N1858" s="62">
        <f t="shared" si="3716"/>
        <v>1</v>
      </c>
      <c r="O1858" s="62">
        <f t="shared" si="3716"/>
        <v>1</v>
      </c>
      <c r="P1858" s="62" t="str">
        <f t="shared" si="3716"/>
        <v/>
      </c>
      <c r="Q1858" s="62" t="str">
        <f t="shared" si="3716"/>
        <v/>
      </c>
      <c r="R1858" s="62">
        <f t="shared" si="7"/>
        <v>0</v>
      </c>
      <c r="S1858" s="62"/>
      <c r="T1858" s="62"/>
      <c r="U1858" s="62"/>
      <c r="V1858" s="62"/>
      <c r="W1858" s="62"/>
      <c r="X1858" s="62"/>
      <c r="Y1858" s="62"/>
      <c r="Z1858" s="62"/>
      <c r="AA1858" s="62"/>
      <c r="AB1858" s="62"/>
      <c r="AC1858" s="62"/>
    </row>
    <row r="1859" hidden="1">
      <c r="A1859" s="60">
        <f>IFERROR(__xludf.DUMMYFUNCTION("""COMPUTED_VALUE"""),16705.0)</f>
        <v>16705</v>
      </c>
      <c r="B1859" s="60" t="str">
        <f>IFERROR(__xludf.DUMMYFUNCTION("""COMPUTED_VALUE"""),"Bullock, Calen")</f>
        <v>Bullock, Calen</v>
      </c>
      <c r="C1859" s="60" t="str">
        <f>IFERROR(__xludf.DUMMYFUNCTION("""COMPUTED_VALUE"""),"S")</f>
        <v>S</v>
      </c>
      <c r="D1859" s="60" t="str">
        <f>IFERROR(__xludf.DUMMYFUNCTION("""COMPUTED_VALUE"""),"HOU")</f>
        <v>HOU</v>
      </c>
      <c r="E1859" s="62" t="str">
        <f t="shared" si="4"/>
        <v>Calen Bullock</v>
      </c>
      <c r="F1859" s="62">
        <f t="shared" ref="F1859:G1859" si="3717">IF(isblank(F$1),,IF(isblank($A1859),,IFERROR(vlookup($A1859,indirect("'TVC-"&amp;text(month(F$1),"00")&amp;"'!$A:$D"),4,false),1)))</f>
        <v>1</v>
      </c>
      <c r="G1859" s="62">
        <f t="shared" si="3717"/>
        <v>1</v>
      </c>
      <c r="H1859" s="62">
        <f t="shared" ref="H1859:Q1859" si="3718">IF(isblank(H$1),,IFERROR(vlookup($A1859,indirect("'TVC-"&amp;text(month(H$1),"00")&amp;"'!$A:$D"),4,false),1))</f>
        <v>1</v>
      </c>
      <c r="I1859" s="62">
        <f t="shared" si="3718"/>
        <v>1</v>
      </c>
      <c r="J1859" s="62">
        <f t="shared" si="3718"/>
        <v>1</v>
      </c>
      <c r="K1859" s="62">
        <f t="shared" si="3718"/>
        <v>1</v>
      </c>
      <c r="L1859" s="62">
        <f t="shared" si="3718"/>
        <v>1</v>
      </c>
      <c r="M1859" s="62">
        <f t="shared" si="3718"/>
        <v>1</v>
      </c>
      <c r="N1859" s="62">
        <f t="shared" si="3718"/>
        <v>1</v>
      </c>
      <c r="O1859" s="62">
        <f t="shared" si="3718"/>
        <v>1</v>
      </c>
      <c r="P1859" s="62" t="str">
        <f t="shared" si="3718"/>
        <v/>
      </c>
      <c r="Q1859" s="62" t="str">
        <f t="shared" si="3718"/>
        <v/>
      </c>
      <c r="R1859" s="62">
        <f t="shared" si="7"/>
        <v>0</v>
      </c>
      <c r="S1859" s="62"/>
      <c r="T1859" s="62"/>
      <c r="U1859" s="62"/>
      <c r="V1859" s="62"/>
      <c r="W1859" s="62"/>
      <c r="X1859" s="62"/>
      <c r="Y1859" s="62"/>
      <c r="Z1859" s="62"/>
      <c r="AA1859" s="62"/>
      <c r="AB1859" s="62"/>
      <c r="AC1859" s="62"/>
    </row>
    <row r="1860" hidden="1">
      <c r="A1860" s="60">
        <f>IFERROR(__xludf.DUMMYFUNCTION("""COMPUTED_VALUE"""),16706.0)</f>
        <v>16706</v>
      </c>
      <c r="B1860" s="60" t="str">
        <f>IFERROR(__xludf.DUMMYFUNCTION("""COMPUTED_VALUE"""),"Reiman, Tip")</f>
        <v>Reiman, Tip</v>
      </c>
      <c r="C1860" s="60" t="str">
        <f>IFERROR(__xludf.DUMMYFUNCTION("""COMPUTED_VALUE"""),"TE")</f>
        <v>TE</v>
      </c>
      <c r="D1860" s="60" t="str">
        <f>IFERROR(__xludf.DUMMYFUNCTION("""COMPUTED_VALUE"""),"ARI")</f>
        <v>ARI</v>
      </c>
      <c r="E1860" s="62" t="str">
        <f t="shared" si="4"/>
        <v>Tip Reiman</v>
      </c>
      <c r="F1860" s="62">
        <f t="shared" ref="F1860:G1860" si="3719">IF(isblank(F$1),,IF(isblank($A1860),,IFERROR(vlookup($A1860,indirect("'TVC-"&amp;text(month(F$1),"00")&amp;"'!$A:$D"),4,false),1)))</f>
        <v>698</v>
      </c>
      <c r="G1860" s="62">
        <f t="shared" si="3719"/>
        <v>1</v>
      </c>
      <c r="H1860" s="62">
        <f t="shared" ref="H1860:Q1860" si="3720">IF(isblank(H$1),,IFERROR(vlookup($A1860,indirect("'TVC-"&amp;text(month(H$1),"00")&amp;"'!$A:$D"),4,false),1))</f>
        <v>1</v>
      </c>
      <c r="I1860" s="62">
        <f t="shared" si="3720"/>
        <v>1</v>
      </c>
      <c r="J1860" s="62">
        <f t="shared" si="3720"/>
        <v>1</v>
      </c>
      <c r="K1860" s="62">
        <f t="shared" si="3720"/>
        <v>1</v>
      </c>
      <c r="L1860" s="62">
        <f t="shared" si="3720"/>
        <v>1</v>
      </c>
      <c r="M1860" s="62">
        <f t="shared" si="3720"/>
        <v>1</v>
      </c>
      <c r="N1860" s="62">
        <f t="shared" si="3720"/>
        <v>1</v>
      </c>
      <c r="O1860" s="62">
        <f t="shared" si="3720"/>
        <v>1</v>
      </c>
      <c r="P1860" s="62" t="str">
        <f t="shared" si="3720"/>
        <v/>
      </c>
      <c r="Q1860" s="62" t="str">
        <f t="shared" si="3720"/>
        <v/>
      </c>
      <c r="R1860" s="62">
        <f t="shared" si="7"/>
        <v>0</v>
      </c>
      <c r="S1860" s="62"/>
      <c r="T1860" s="62"/>
      <c r="U1860" s="62"/>
      <c r="V1860" s="62"/>
      <c r="W1860" s="62"/>
      <c r="X1860" s="62"/>
      <c r="Y1860" s="62"/>
      <c r="Z1860" s="62"/>
      <c r="AA1860" s="62"/>
      <c r="AB1860" s="62"/>
      <c r="AC1860" s="62"/>
    </row>
    <row r="1861" hidden="1">
      <c r="A1861" s="60">
        <f>IFERROR(__xludf.DUMMYFUNCTION("""COMPUTED_VALUE"""),16707.0)</f>
        <v>16707</v>
      </c>
      <c r="B1861" s="60" t="str">
        <f>IFERROR(__xludf.DUMMYFUNCTION("""COMPUTED_VALUE"""),"Liufau, Marist")</f>
        <v>Liufau, Marist</v>
      </c>
      <c r="C1861" s="60" t="str">
        <f>IFERROR(__xludf.DUMMYFUNCTION("""COMPUTED_VALUE"""),"DE")</f>
        <v>DE</v>
      </c>
      <c r="D1861" s="60" t="str">
        <f>IFERROR(__xludf.DUMMYFUNCTION("""COMPUTED_VALUE"""),"DAL")</f>
        <v>DAL</v>
      </c>
      <c r="E1861" s="62" t="str">
        <f t="shared" si="4"/>
        <v>Marist Liufau</v>
      </c>
      <c r="F1861" s="62">
        <f t="shared" ref="F1861:G1861" si="3721">IF(isblank(F$1),,IF(isblank($A1861),,IFERROR(vlookup($A1861,indirect("'TVC-"&amp;text(month(F$1),"00")&amp;"'!$A:$D"),4,false),1)))</f>
        <v>1</v>
      </c>
      <c r="G1861" s="62">
        <f t="shared" si="3721"/>
        <v>1</v>
      </c>
      <c r="H1861" s="62">
        <f t="shared" ref="H1861:Q1861" si="3722">IF(isblank(H$1),,IFERROR(vlookup($A1861,indirect("'TVC-"&amp;text(month(H$1),"00")&amp;"'!$A:$D"),4,false),1))</f>
        <v>1</v>
      </c>
      <c r="I1861" s="62">
        <f t="shared" si="3722"/>
        <v>1</v>
      </c>
      <c r="J1861" s="62">
        <f t="shared" si="3722"/>
        <v>1</v>
      </c>
      <c r="K1861" s="62">
        <f t="shared" si="3722"/>
        <v>1</v>
      </c>
      <c r="L1861" s="62">
        <f t="shared" si="3722"/>
        <v>1</v>
      </c>
      <c r="M1861" s="62">
        <f t="shared" si="3722"/>
        <v>1</v>
      </c>
      <c r="N1861" s="62">
        <f t="shared" si="3722"/>
        <v>1</v>
      </c>
      <c r="O1861" s="62">
        <f t="shared" si="3722"/>
        <v>1</v>
      </c>
      <c r="P1861" s="62" t="str">
        <f t="shared" si="3722"/>
        <v/>
      </c>
      <c r="Q1861" s="62" t="str">
        <f t="shared" si="3722"/>
        <v/>
      </c>
      <c r="R1861" s="62">
        <f t="shared" si="7"/>
        <v>0</v>
      </c>
      <c r="S1861" s="62"/>
      <c r="T1861" s="62"/>
      <c r="U1861" s="62"/>
      <c r="V1861" s="62"/>
      <c r="W1861" s="62"/>
      <c r="X1861" s="62"/>
      <c r="Y1861" s="62"/>
      <c r="Z1861" s="62"/>
      <c r="AA1861" s="62"/>
      <c r="AB1861" s="62"/>
      <c r="AC1861" s="62"/>
    </row>
    <row r="1862" hidden="1">
      <c r="A1862" s="60">
        <f>IFERROR(__xludf.DUMMYFUNCTION("""COMPUTED_VALUE"""),16708.0)</f>
        <v>16708</v>
      </c>
      <c r="B1862" s="60" t="str">
        <f>IFERROR(__xludf.DUMMYFUNCTION("""COMPUTED_VALUE"""),"Smith, Tykee")</f>
        <v>Smith, Tykee</v>
      </c>
      <c r="C1862" s="60" t="str">
        <f>IFERROR(__xludf.DUMMYFUNCTION("""COMPUTED_VALUE"""),"S")</f>
        <v>S</v>
      </c>
      <c r="D1862" s="60" t="str">
        <f>IFERROR(__xludf.DUMMYFUNCTION("""COMPUTED_VALUE"""),"TBB")</f>
        <v>TBB</v>
      </c>
      <c r="E1862" s="62" t="str">
        <f t="shared" si="4"/>
        <v>Tykee Smith</v>
      </c>
      <c r="F1862" s="62">
        <f t="shared" ref="F1862:G1862" si="3723">IF(isblank(F$1),,IF(isblank($A1862),,IFERROR(vlookup($A1862,indirect("'TVC-"&amp;text(month(F$1),"00")&amp;"'!$A:$D"),4,false),1)))</f>
        <v>1</v>
      </c>
      <c r="G1862" s="62">
        <f t="shared" si="3723"/>
        <v>1</v>
      </c>
      <c r="H1862" s="62">
        <f t="shared" ref="H1862:Q1862" si="3724">IF(isblank(H$1),,IFERROR(vlookup($A1862,indirect("'TVC-"&amp;text(month(H$1),"00")&amp;"'!$A:$D"),4,false),1))</f>
        <v>1</v>
      </c>
      <c r="I1862" s="62">
        <f t="shared" si="3724"/>
        <v>1</v>
      </c>
      <c r="J1862" s="62">
        <f t="shared" si="3724"/>
        <v>1</v>
      </c>
      <c r="K1862" s="62">
        <f t="shared" si="3724"/>
        <v>1</v>
      </c>
      <c r="L1862" s="62">
        <f t="shared" si="3724"/>
        <v>1</v>
      </c>
      <c r="M1862" s="62">
        <f t="shared" si="3724"/>
        <v>1</v>
      </c>
      <c r="N1862" s="62">
        <f t="shared" si="3724"/>
        <v>1</v>
      </c>
      <c r="O1862" s="62">
        <f t="shared" si="3724"/>
        <v>1</v>
      </c>
      <c r="P1862" s="62" t="str">
        <f t="shared" si="3724"/>
        <v/>
      </c>
      <c r="Q1862" s="62" t="str">
        <f t="shared" si="3724"/>
        <v/>
      </c>
      <c r="R1862" s="62">
        <f t="shared" si="7"/>
        <v>0</v>
      </c>
      <c r="S1862" s="62"/>
      <c r="T1862" s="62"/>
      <c r="U1862" s="62"/>
      <c r="V1862" s="62"/>
      <c r="W1862" s="62"/>
      <c r="X1862" s="62"/>
      <c r="Y1862" s="62"/>
      <c r="Z1862" s="62"/>
      <c r="AA1862" s="62"/>
      <c r="AB1862" s="62"/>
      <c r="AC1862" s="62"/>
    </row>
    <row r="1863" hidden="1">
      <c r="A1863" s="60">
        <f>IFERROR(__xludf.DUMMYFUNCTION("""COMPUTED_VALUE"""),16709.0)</f>
        <v>16709</v>
      </c>
      <c r="B1863" s="60" t="str">
        <f>IFERROR(__xludf.DUMMYFUNCTION("""COMPUTED_VALUE"""),"Jones, Elijah")</f>
        <v>Jones, Elijah</v>
      </c>
      <c r="C1863" s="60" t="str">
        <f>IFERROR(__xludf.DUMMYFUNCTION("""COMPUTED_VALUE"""),"CB")</f>
        <v>CB</v>
      </c>
      <c r="D1863" s="60" t="str">
        <f>IFERROR(__xludf.DUMMYFUNCTION("""COMPUTED_VALUE"""),"CHI")</f>
        <v>CHI</v>
      </c>
      <c r="E1863" s="62" t="str">
        <f t="shared" si="4"/>
        <v>Elijah Jones</v>
      </c>
      <c r="F1863" s="62">
        <f t="shared" ref="F1863:G1863" si="3725">IF(isblank(F$1),,IF(isblank($A1863),,IFERROR(vlookup($A1863,indirect("'TVC-"&amp;text(month(F$1),"00")&amp;"'!$A:$D"),4,false),1)))</f>
        <v>1</v>
      </c>
      <c r="G1863" s="62">
        <f t="shared" si="3725"/>
        <v>1</v>
      </c>
      <c r="H1863" s="62">
        <f t="shared" ref="H1863:Q1863" si="3726">IF(isblank(H$1),,IFERROR(vlookup($A1863,indirect("'TVC-"&amp;text(month(H$1),"00")&amp;"'!$A:$D"),4,false),1))</f>
        <v>1</v>
      </c>
      <c r="I1863" s="62">
        <f t="shared" si="3726"/>
        <v>1</v>
      </c>
      <c r="J1863" s="62">
        <f t="shared" si="3726"/>
        <v>1</v>
      </c>
      <c r="K1863" s="62">
        <f t="shared" si="3726"/>
        <v>1</v>
      </c>
      <c r="L1863" s="62">
        <f t="shared" si="3726"/>
        <v>1</v>
      </c>
      <c r="M1863" s="62">
        <f t="shared" si="3726"/>
        <v>1</v>
      </c>
      <c r="N1863" s="62">
        <f t="shared" si="3726"/>
        <v>1</v>
      </c>
      <c r="O1863" s="62">
        <f t="shared" si="3726"/>
        <v>1</v>
      </c>
      <c r="P1863" s="62" t="str">
        <f t="shared" si="3726"/>
        <v/>
      </c>
      <c r="Q1863" s="62" t="str">
        <f t="shared" si="3726"/>
        <v/>
      </c>
      <c r="R1863" s="62">
        <f t="shared" si="7"/>
        <v>0</v>
      </c>
      <c r="S1863" s="62"/>
      <c r="T1863" s="62"/>
      <c r="U1863" s="62"/>
      <c r="V1863" s="62"/>
      <c r="W1863" s="62"/>
      <c r="X1863" s="62"/>
      <c r="Y1863" s="62"/>
      <c r="Z1863" s="62"/>
      <c r="AA1863" s="62"/>
      <c r="AB1863" s="62"/>
      <c r="AC1863" s="62"/>
    </row>
    <row r="1864" hidden="1">
      <c r="A1864" s="60">
        <f>IFERROR(__xludf.DUMMYFUNCTION("""COMPUTED_VALUE"""),16710.0)</f>
        <v>16710</v>
      </c>
      <c r="B1864" s="60" t="str">
        <f>IFERROR(__xludf.DUMMYFUNCTION("""COMPUTED_VALUE"""),"Hopper, Ty'Ron")</f>
        <v>Hopper, Ty'Ron</v>
      </c>
      <c r="C1864" s="60" t="str">
        <f>IFERROR(__xludf.DUMMYFUNCTION("""COMPUTED_VALUE"""),"LB")</f>
        <v>LB</v>
      </c>
      <c r="D1864" s="60" t="str">
        <f>IFERROR(__xludf.DUMMYFUNCTION("""COMPUTED_VALUE"""),"GBP")</f>
        <v>GBP</v>
      </c>
      <c r="E1864" s="62" t="str">
        <f t="shared" si="4"/>
        <v>Ty'Ron Hopper</v>
      </c>
      <c r="F1864" s="62">
        <f t="shared" ref="F1864:G1864" si="3727">IF(isblank(F$1),,IF(isblank($A1864),,IFERROR(vlookup($A1864,indirect("'TVC-"&amp;text(month(F$1),"00")&amp;"'!$A:$D"),4,false),1)))</f>
        <v>1</v>
      </c>
      <c r="G1864" s="62">
        <f t="shared" si="3727"/>
        <v>1</v>
      </c>
      <c r="H1864" s="62">
        <f t="shared" ref="H1864:Q1864" si="3728">IF(isblank(H$1),,IFERROR(vlookup($A1864,indirect("'TVC-"&amp;text(month(H$1),"00")&amp;"'!$A:$D"),4,false),1))</f>
        <v>1</v>
      </c>
      <c r="I1864" s="62">
        <f t="shared" si="3728"/>
        <v>1</v>
      </c>
      <c r="J1864" s="62">
        <f t="shared" si="3728"/>
        <v>1</v>
      </c>
      <c r="K1864" s="62">
        <f t="shared" si="3728"/>
        <v>1</v>
      </c>
      <c r="L1864" s="62">
        <f t="shared" si="3728"/>
        <v>1</v>
      </c>
      <c r="M1864" s="62">
        <f t="shared" si="3728"/>
        <v>1</v>
      </c>
      <c r="N1864" s="62">
        <f t="shared" si="3728"/>
        <v>1</v>
      </c>
      <c r="O1864" s="62">
        <f t="shared" si="3728"/>
        <v>1</v>
      </c>
      <c r="P1864" s="62" t="str">
        <f t="shared" si="3728"/>
        <v/>
      </c>
      <c r="Q1864" s="62" t="str">
        <f t="shared" si="3728"/>
        <v/>
      </c>
      <c r="R1864" s="62">
        <f t="shared" si="7"/>
        <v>0</v>
      </c>
      <c r="S1864" s="62"/>
      <c r="T1864" s="62"/>
      <c r="U1864" s="62"/>
      <c r="V1864" s="62"/>
      <c r="W1864" s="62"/>
      <c r="X1864" s="62"/>
      <c r="Y1864" s="62"/>
      <c r="Z1864" s="62"/>
      <c r="AA1864" s="62"/>
      <c r="AB1864" s="62"/>
      <c r="AC1864" s="62"/>
    </row>
    <row r="1865" hidden="1">
      <c r="A1865" s="60">
        <f>IFERROR(__xludf.DUMMYFUNCTION("""COMPUTED_VALUE"""),16711.0)</f>
        <v>16711</v>
      </c>
      <c r="B1865" s="60" t="str">
        <f>IFERROR(__xludf.DUMMYFUNCTION("""COMPUTED_VALUE"""),"Isaac, Adisa")</f>
        <v>Isaac, Adisa</v>
      </c>
      <c r="C1865" s="60" t="str">
        <f>IFERROR(__xludf.DUMMYFUNCTION("""COMPUTED_VALUE"""),"DE")</f>
        <v>DE</v>
      </c>
      <c r="D1865" s="60" t="str">
        <f>IFERROR(__xludf.DUMMYFUNCTION("""COMPUTED_VALUE"""),"BAL")</f>
        <v>BAL</v>
      </c>
      <c r="E1865" s="62" t="str">
        <f t="shared" si="4"/>
        <v>Adisa Isaac</v>
      </c>
      <c r="F1865" s="62">
        <f t="shared" ref="F1865:G1865" si="3729">IF(isblank(F$1),,IF(isblank($A1865),,IFERROR(vlookup($A1865,indirect("'TVC-"&amp;text(month(F$1),"00")&amp;"'!$A:$D"),4,false),1)))</f>
        <v>1</v>
      </c>
      <c r="G1865" s="62">
        <f t="shared" si="3729"/>
        <v>1</v>
      </c>
      <c r="H1865" s="62">
        <f t="shared" ref="H1865:Q1865" si="3730">IF(isblank(H$1),,IFERROR(vlookup($A1865,indirect("'TVC-"&amp;text(month(H$1),"00")&amp;"'!$A:$D"),4,false),1))</f>
        <v>1</v>
      </c>
      <c r="I1865" s="62">
        <f t="shared" si="3730"/>
        <v>1</v>
      </c>
      <c r="J1865" s="62">
        <f t="shared" si="3730"/>
        <v>1</v>
      </c>
      <c r="K1865" s="62">
        <f t="shared" si="3730"/>
        <v>1</v>
      </c>
      <c r="L1865" s="62">
        <f t="shared" si="3730"/>
        <v>1</v>
      </c>
      <c r="M1865" s="62">
        <f t="shared" si="3730"/>
        <v>1</v>
      </c>
      <c r="N1865" s="62">
        <f t="shared" si="3730"/>
        <v>1</v>
      </c>
      <c r="O1865" s="62">
        <f t="shared" si="3730"/>
        <v>1</v>
      </c>
      <c r="P1865" s="62" t="str">
        <f t="shared" si="3730"/>
        <v/>
      </c>
      <c r="Q1865" s="62" t="str">
        <f t="shared" si="3730"/>
        <v/>
      </c>
      <c r="R1865" s="62">
        <f t="shared" si="7"/>
        <v>0</v>
      </c>
      <c r="S1865" s="62"/>
      <c r="T1865" s="62"/>
      <c r="U1865" s="62"/>
      <c r="V1865" s="62"/>
      <c r="W1865" s="62"/>
      <c r="X1865" s="62"/>
      <c r="Y1865" s="62"/>
      <c r="Z1865" s="62"/>
      <c r="AA1865" s="62"/>
      <c r="AB1865" s="62"/>
      <c r="AC1865" s="62"/>
    </row>
    <row r="1866" hidden="1">
      <c r="A1866" s="60">
        <f>IFERROR(__xludf.DUMMYFUNCTION("""COMPUTED_VALUE"""),16712.0)</f>
        <v>16712</v>
      </c>
      <c r="B1866" s="60" t="str">
        <f>IFERROR(__xludf.DUMMYFUNCTION("""COMPUTED_VALUE"""),"Hunt, Jalyx")</f>
        <v>Hunt, Jalyx</v>
      </c>
      <c r="C1866" s="60" t="str">
        <f>IFERROR(__xludf.DUMMYFUNCTION("""COMPUTED_VALUE"""),"DE")</f>
        <v>DE</v>
      </c>
      <c r="D1866" s="60" t="str">
        <f>IFERROR(__xludf.DUMMYFUNCTION("""COMPUTED_VALUE"""),"PHI")</f>
        <v>PHI</v>
      </c>
      <c r="E1866" s="62" t="str">
        <f t="shared" si="4"/>
        <v>Jalyx Hunt</v>
      </c>
      <c r="F1866" s="62">
        <f t="shared" ref="F1866:G1866" si="3731">IF(isblank(F$1),,IF(isblank($A1866),,IFERROR(vlookup($A1866,indirect("'TVC-"&amp;text(month(F$1),"00")&amp;"'!$A:$D"),4,false),1)))</f>
        <v>1</v>
      </c>
      <c r="G1866" s="62">
        <f t="shared" si="3731"/>
        <v>1</v>
      </c>
      <c r="H1866" s="62">
        <f t="shared" ref="H1866:Q1866" si="3732">IF(isblank(H$1),,IFERROR(vlookup($A1866,indirect("'TVC-"&amp;text(month(H$1),"00")&amp;"'!$A:$D"),4,false),1))</f>
        <v>1</v>
      </c>
      <c r="I1866" s="62">
        <f t="shared" si="3732"/>
        <v>1</v>
      </c>
      <c r="J1866" s="62">
        <f t="shared" si="3732"/>
        <v>1</v>
      </c>
      <c r="K1866" s="62">
        <f t="shared" si="3732"/>
        <v>1</v>
      </c>
      <c r="L1866" s="62">
        <f t="shared" si="3732"/>
        <v>1</v>
      </c>
      <c r="M1866" s="62">
        <f t="shared" si="3732"/>
        <v>1</v>
      </c>
      <c r="N1866" s="62">
        <f t="shared" si="3732"/>
        <v>1</v>
      </c>
      <c r="O1866" s="62">
        <f t="shared" si="3732"/>
        <v>1</v>
      </c>
      <c r="P1866" s="62" t="str">
        <f t="shared" si="3732"/>
        <v/>
      </c>
      <c r="Q1866" s="62" t="str">
        <f t="shared" si="3732"/>
        <v/>
      </c>
      <c r="R1866" s="62">
        <f t="shared" si="7"/>
        <v>0</v>
      </c>
      <c r="S1866" s="62"/>
      <c r="T1866" s="62"/>
      <c r="U1866" s="62"/>
      <c r="V1866" s="62"/>
      <c r="W1866" s="62"/>
      <c r="X1866" s="62"/>
      <c r="Y1866" s="62"/>
      <c r="Z1866" s="62"/>
      <c r="AA1866" s="62"/>
      <c r="AB1866" s="62"/>
      <c r="AC1866" s="62"/>
    </row>
    <row r="1867" hidden="1">
      <c r="A1867" s="60">
        <f>IFERROR(__xludf.DUMMYFUNCTION("""COMPUTED_VALUE"""),16713.0)</f>
        <v>16713</v>
      </c>
      <c r="B1867" s="60" t="str">
        <f>IFERROR(__xludf.DUMMYFUNCTION("""COMPUTED_VALUE"""),"Carter, DeWayne")</f>
        <v>Carter, DeWayne</v>
      </c>
      <c r="C1867" s="60" t="str">
        <f>IFERROR(__xludf.DUMMYFUNCTION("""COMPUTED_VALUE"""),"DT")</f>
        <v>DT</v>
      </c>
      <c r="D1867" s="60" t="str">
        <f>IFERROR(__xludf.DUMMYFUNCTION("""COMPUTED_VALUE"""),"BUF")</f>
        <v>BUF</v>
      </c>
      <c r="E1867" s="62" t="str">
        <f t="shared" si="4"/>
        <v>DeWayne Carter</v>
      </c>
      <c r="F1867" s="62">
        <f t="shared" ref="F1867:G1867" si="3733">IF(isblank(F$1),,IF(isblank($A1867),,IFERROR(vlookup($A1867,indirect("'TVC-"&amp;text(month(F$1),"00")&amp;"'!$A:$D"),4,false),1)))</f>
        <v>1</v>
      </c>
      <c r="G1867" s="62">
        <f t="shared" si="3733"/>
        <v>1</v>
      </c>
      <c r="H1867" s="62">
        <f t="shared" ref="H1867:Q1867" si="3734">IF(isblank(H$1),,IFERROR(vlookup($A1867,indirect("'TVC-"&amp;text(month(H$1),"00")&amp;"'!$A:$D"),4,false),1))</f>
        <v>1</v>
      </c>
      <c r="I1867" s="62">
        <f t="shared" si="3734"/>
        <v>1</v>
      </c>
      <c r="J1867" s="62">
        <f t="shared" si="3734"/>
        <v>1</v>
      </c>
      <c r="K1867" s="62">
        <f t="shared" si="3734"/>
        <v>1</v>
      </c>
      <c r="L1867" s="62">
        <f t="shared" si="3734"/>
        <v>1</v>
      </c>
      <c r="M1867" s="62">
        <f t="shared" si="3734"/>
        <v>1</v>
      </c>
      <c r="N1867" s="62">
        <f t="shared" si="3734"/>
        <v>1</v>
      </c>
      <c r="O1867" s="62">
        <f t="shared" si="3734"/>
        <v>1</v>
      </c>
      <c r="P1867" s="62" t="str">
        <f t="shared" si="3734"/>
        <v/>
      </c>
      <c r="Q1867" s="62" t="str">
        <f t="shared" si="3734"/>
        <v/>
      </c>
      <c r="R1867" s="62">
        <f t="shared" si="7"/>
        <v>0</v>
      </c>
      <c r="S1867" s="62"/>
      <c r="T1867" s="62"/>
      <c r="U1867" s="62"/>
      <c r="V1867" s="62"/>
      <c r="W1867" s="62"/>
      <c r="X1867" s="62"/>
      <c r="Y1867" s="62"/>
      <c r="Z1867" s="62"/>
      <c r="AA1867" s="62"/>
      <c r="AB1867" s="62"/>
      <c r="AC1867" s="62"/>
    </row>
    <row r="1868" hidden="1">
      <c r="A1868" s="60">
        <f>IFERROR(__xludf.DUMMYFUNCTION("""COMPUTED_VALUE"""),16714.0)</f>
        <v>16714</v>
      </c>
      <c r="B1868" s="60" t="str">
        <f>IFERROR(__xludf.DUMMYFUNCTION("""COMPUTED_VALUE"""),"Jones, Jarrian")</f>
        <v>Jones, Jarrian</v>
      </c>
      <c r="C1868" s="60" t="str">
        <f>IFERROR(__xludf.DUMMYFUNCTION("""COMPUTED_VALUE"""),"CB")</f>
        <v>CB</v>
      </c>
      <c r="D1868" s="60" t="str">
        <f>IFERROR(__xludf.DUMMYFUNCTION("""COMPUTED_VALUE"""),"JAC")</f>
        <v>JAC</v>
      </c>
      <c r="E1868" s="62" t="str">
        <f t="shared" si="4"/>
        <v>Jarrian Jones</v>
      </c>
      <c r="F1868" s="62">
        <f t="shared" ref="F1868:G1868" si="3735">IF(isblank(F$1),,IF(isblank($A1868),,IFERROR(vlookup($A1868,indirect("'TVC-"&amp;text(month(F$1),"00")&amp;"'!$A:$D"),4,false),1)))</f>
        <v>1</v>
      </c>
      <c r="G1868" s="62">
        <f t="shared" si="3735"/>
        <v>1</v>
      </c>
      <c r="H1868" s="62">
        <f t="shared" ref="H1868:Q1868" si="3736">IF(isblank(H$1),,IFERROR(vlookup($A1868,indirect("'TVC-"&amp;text(month(H$1),"00")&amp;"'!$A:$D"),4,false),1))</f>
        <v>1</v>
      </c>
      <c r="I1868" s="62">
        <f t="shared" si="3736"/>
        <v>1</v>
      </c>
      <c r="J1868" s="62">
        <f t="shared" si="3736"/>
        <v>1</v>
      </c>
      <c r="K1868" s="62">
        <f t="shared" si="3736"/>
        <v>1</v>
      </c>
      <c r="L1868" s="62">
        <f t="shared" si="3736"/>
        <v>1</v>
      </c>
      <c r="M1868" s="62">
        <f t="shared" si="3736"/>
        <v>1</v>
      </c>
      <c r="N1868" s="62">
        <f t="shared" si="3736"/>
        <v>1</v>
      </c>
      <c r="O1868" s="62">
        <f t="shared" si="3736"/>
        <v>1</v>
      </c>
      <c r="P1868" s="62" t="str">
        <f t="shared" si="3736"/>
        <v/>
      </c>
      <c r="Q1868" s="62" t="str">
        <f t="shared" si="3736"/>
        <v/>
      </c>
      <c r="R1868" s="62">
        <f t="shared" si="7"/>
        <v>0</v>
      </c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</row>
    <row r="1869" hidden="1">
      <c r="A1869" s="60">
        <f>IFERROR(__xludf.DUMMYFUNCTION("""COMPUTED_VALUE"""),16715.0)</f>
        <v>16715</v>
      </c>
      <c r="B1869" s="60" t="str">
        <f>IFERROR(__xludf.DUMMYFUNCTION("""COMPUTED_VALUE"""),"Jackson, McKinnley")</f>
        <v>Jackson, McKinnley</v>
      </c>
      <c r="C1869" s="60" t="str">
        <f>IFERROR(__xludf.DUMMYFUNCTION("""COMPUTED_VALUE"""),"DT")</f>
        <v>DT</v>
      </c>
      <c r="D1869" s="60" t="str">
        <f>IFERROR(__xludf.DUMMYFUNCTION("""COMPUTED_VALUE"""),"SFO")</f>
        <v>SFO</v>
      </c>
      <c r="E1869" s="62" t="str">
        <f t="shared" si="4"/>
        <v>McKinnley Jackson</v>
      </c>
      <c r="F1869" s="62">
        <f t="shared" ref="F1869:G1869" si="3737">IF(isblank(F$1),,IF(isblank($A1869),,IFERROR(vlookup($A1869,indirect("'TVC-"&amp;text(month(F$1),"00")&amp;"'!$A:$D"),4,false),1)))</f>
        <v>1</v>
      </c>
      <c r="G1869" s="62">
        <f t="shared" si="3737"/>
        <v>1</v>
      </c>
      <c r="H1869" s="62">
        <f t="shared" ref="H1869:Q1869" si="3738">IF(isblank(H$1),,IFERROR(vlookup($A1869,indirect("'TVC-"&amp;text(month(H$1),"00")&amp;"'!$A:$D"),4,false),1))</f>
        <v>1</v>
      </c>
      <c r="I1869" s="62">
        <f t="shared" si="3738"/>
        <v>1</v>
      </c>
      <c r="J1869" s="62">
        <f t="shared" si="3738"/>
        <v>1</v>
      </c>
      <c r="K1869" s="62">
        <f t="shared" si="3738"/>
        <v>1</v>
      </c>
      <c r="L1869" s="62">
        <f t="shared" si="3738"/>
        <v>1</v>
      </c>
      <c r="M1869" s="62">
        <f t="shared" si="3738"/>
        <v>1</v>
      </c>
      <c r="N1869" s="62">
        <f t="shared" si="3738"/>
        <v>1</v>
      </c>
      <c r="O1869" s="62">
        <f t="shared" si="3738"/>
        <v>1</v>
      </c>
      <c r="P1869" s="62" t="str">
        <f t="shared" si="3738"/>
        <v/>
      </c>
      <c r="Q1869" s="62" t="str">
        <f t="shared" si="3738"/>
        <v/>
      </c>
      <c r="R1869" s="62">
        <f t="shared" si="7"/>
        <v>0</v>
      </c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</row>
    <row r="1870" hidden="1">
      <c r="A1870" s="60">
        <f>IFERROR(__xludf.DUMMYFUNCTION("""COMPUTED_VALUE"""),16716.0)</f>
        <v>16716</v>
      </c>
      <c r="B1870" s="60" t="str">
        <f>IFERROR(__xludf.DUMMYFUNCTION("""COMPUTED_VALUE"""),"Wilson, Payton")</f>
        <v>Wilson, Payton</v>
      </c>
      <c r="C1870" s="60" t="str">
        <f>IFERROR(__xludf.DUMMYFUNCTION("""COMPUTED_VALUE"""),"LB")</f>
        <v>LB</v>
      </c>
      <c r="D1870" s="60" t="str">
        <f>IFERROR(__xludf.DUMMYFUNCTION("""COMPUTED_VALUE"""),"PIT")</f>
        <v>PIT</v>
      </c>
      <c r="E1870" s="62" t="str">
        <f t="shared" si="4"/>
        <v>Payton Wilson</v>
      </c>
      <c r="F1870" s="62">
        <f t="shared" ref="F1870:G1870" si="3739">IF(isblank(F$1),,IF(isblank($A1870),,IFERROR(vlookup($A1870,indirect("'TVC-"&amp;text(month(F$1),"00")&amp;"'!$A:$D"),4,false),1)))</f>
        <v>1</v>
      </c>
      <c r="G1870" s="62">
        <f t="shared" si="3739"/>
        <v>1</v>
      </c>
      <c r="H1870" s="62">
        <f t="shared" ref="H1870:Q1870" si="3740">IF(isblank(H$1),,IFERROR(vlookup($A1870,indirect("'TVC-"&amp;text(month(H$1),"00")&amp;"'!$A:$D"),4,false),1))</f>
        <v>1</v>
      </c>
      <c r="I1870" s="62">
        <f t="shared" si="3740"/>
        <v>1</v>
      </c>
      <c r="J1870" s="62">
        <f t="shared" si="3740"/>
        <v>1</v>
      </c>
      <c r="K1870" s="62">
        <f t="shared" si="3740"/>
        <v>1</v>
      </c>
      <c r="L1870" s="62">
        <f t="shared" si="3740"/>
        <v>1</v>
      </c>
      <c r="M1870" s="62">
        <f t="shared" si="3740"/>
        <v>1</v>
      </c>
      <c r="N1870" s="62">
        <f t="shared" si="3740"/>
        <v>1</v>
      </c>
      <c r="O1870" s="62">
        <f t="shared" si="3740"/>
        <v>1</v>
      </c>
      <c r="P1870" s="62" t="str">
        <f t="shared" si="3740"/>
        <v/>
      </c>
      <c r="Q1870" s="62" t="str">
        <f t="shared" si="3740"/>
        <v/>
      </c>
      <c r="R1870" s="62">
        <f t="shared" si="7"/>
        <v>0</v>
      </c>
      <c r="S1870" s="62"/>
      <c r="T1870" s="62"/>
      <c r="U1870" s="62"/>
      <c r="V1870" s="62"/>
      <c r="W1870" s="62"/>
      <c r="X1870" s="62"/>
      <c r="Y1870" s="62"/>
      <c r="Z1870" s="62"/>
      <c r="AA1870" s="62"/>
      <c r="AB1870" s="62"/>
      <c r="AC1870" s="62"/>
    </row>
    <row r="1871" hidden="1">
      <c r="A1871" s="60">
        <f>IFERROR(__xludf.DUMMYFUNCTION("""COMPUTED_VALUE"""),16717.0)</f>
        <v>16717</v>
      </c>
      <c r="B1871" s="60" t="str">
        <f>IFERROR(__xludf.DUMMYFUNCTION("""COMPUTED_VALUE"""),"Taylor-Demerson, Dadrion")</f>
        <v>Taylor-Demerson, Dadrion</v>
      </c>
      <c r="C1871" s="60" t="str">
        <f>IFERROR(__xludf.DUMMYFUNCTION("""COMPUTED_VALUE"""),"S")</f>
        <v>S</v>
      </c>
      <c r="D1871" s="60" t="str">
        <f>IFERROR(__xludf.DUMMYFUNCTION("""COMPUTED_VALUE"""),"ARI")</f>
        <v>ARI</v>
      </c>
      <c r="E1871" s="62" t="str">
        <f t="shared" si="4"/>
        <v>Dadrion Taylor-Demerson</v>
      </c>
      <c r="F1871" s="62">
        <f t="shared" ref="F1871:G1871" si="3741">IF(isblank(F$1),,IF(isblank($A1871),,IFERROR(vlookup($A1871,indirect("'TVC-"&amp;text(month(F$1),"00")&amp;"'!$A:$D"),4,false),1)))</f>
        <v>1</v>
      </c>
      <c r="G1871" s="62">
        <f t="shared" si="3741"/>
        <v>1</v>
      </c>
      <c r="H1871" s="62">
        <f t="shared" ref="H1871:Q1871" si="3742">IF(isblank(H$1),,IFERROR(vlookup($A1871,indirect("'TVC-"&amp;text(month(H$1),"00")&amp;"'!$A:$D"),4,false),1))</f>
        <v>1</v>
      </c>
      <c r="I1871" s="62">
        <f t="shared" si="3742"/>
        <v>1</v>
      </c>
      <c r="J1871" s="62">
        <f t="shared" si="3742"/>
        <v>1</v>
      </c>
      <c r="K1871" s="62">
        <f t="shared" si="3742"/>
        <v>1</v>
      </c>
      <c r="L1871" s="62">
        <f t="shared" si="3742"/>
        <v>1</v>
      </c>
      <c r="M1871" s="62">
        <f t="shared" si="3742"/>
        <v>1</v>
      </c>
      <c r="N1871" s="62">
        <f t="shared" si="3742"/>
        <v>1</v>
      </c>
      <c r="O1871" s="62">
        <f t="shared" si="3742"/>
        <v>1</v>
      </c>
      <c r="P1871" s="62" t="str">
        <f t="shared" si="3742"/>
        <v/>
      </c>
      <c r="Q1871" s="62" t="str">
        <f t="shared" si="3742"/>
        <v/>
      </c>
      <c r="R1871" s="62">
        <f t="shared" si="7"/>
        <v>0</v>
      </c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</row>
    <row r="1872" hidden="1">
      <c r="A1872" s="60">
        <f>IFERROR(__xludf.DUMMYFUNCTION("""COMPUTED_VALUE"""),16719.0)</f>
        <v>16719</v>
      </c>
      <c r="B1872" s="60" t="str">
        <f>IFERROR(__xludf.DUMMYFUNCTION("""COMPUTED_VALUE"""),"Williams, Evan")</f>
        <v>Williams, Evan</v>
      </c>
      <c r="C1872" s="60" t="str">
        <f>IFERROR(__xludf.DUMMYFUNCTION("""COMPUTED_VALUE"""),"S")</f>
        <v>S</v>
      </c>
      <c r="D1872" s="60" t="str">
        <f>IFERROR(__xludf.DUMMYFUNCTION("""COMPUTED_VALUE"""),"GBP")</f>
        <v>GBP</v>
      </c>
      <c r="E1872" s="62" t="str">
        <f t="shared" si="4"/>
        <v>Evan Williams</v>
      </c>
      <c r="F1872" s="62">
        <f t="shared" ref="F1872:G1872" si="3743">IF(isblank(F$1),,IF(isblank($A1872),,IFERROR(vlookup($A1872,indirect("'TVC-"&amp;text(month(F$1),"00")&amp;"'!$A:$D"),4,false),1)))</f>
        <v>1</v>
      </c>
      <c r="G1872" s="62">
        <f t="shared" si="3743"/>
        <v>1</v>
      </c>
      <c r="H1872" s="62">
        <f t="shared" ref="H1872:Q1872" si="3744">IF(isblank(H$1),,IFERROR(vlookup($A1872,indirect("'TVC-"&amp;text(month(H$1),"00")&amp;"'!$A:$D"),4,false),1))</f>
        <v>1</v>
      </c>
      <c r="I1872" s="62">
        <f t="shared" si="3744"/>
        <v>1</v>
      </c>
      <c r="J1872" s="62">
        <f t="shared" si="3744"/>
        <v>1</v>
      </c>
      <c r="K1872" s="62">
        <f t="shared" si="3744"/>
        <v>1</v>
      </c>
      <c r="L1872" s="62">
        <f t="shared" si="3744"/>
        <v>1</v>
      </c>
      <c r="M1872" s="62">
        <f t="shared" si="3744"/>
        <v>1</v>
      </c>
      <c r="N1872" s="62">
        <f t="shared" si="3744"/>
        <v>1</v>
      </c>
      <c r="O1872" s="62">
        <f t="shared" si="3744"/>
        <v>1</v>
      </c>
      <c r="P1872" s="62" t="str">
        <f t="shared" si="3744"/>
        <v/>
      </c>
      <c r="Q1872" s="62" t="str">
        <f t="shared" si="3744"/>
        <v/>
      </c>
      <c r="R1872" s="62">
        <f t="shared" si="7"/>
        <v>0</v>
      </c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</row>
    <row r="1873" hidden="1">
      <c r="A1873" s="60">
        <f>IFERROR(__xludf.DUMMYFUNCTION("""COMPUTED_VALUE"""),16720.0)</f>
        <v>16720</v>
      </c>
      <c r="B1873" s="60" t="str">
        <f>IFERROR(__xludf.DUMMYFUNCTION("""COMPUTED_VALUE"""),"Richardson, Decamerion")</f>
        <v>Richardson, Decamerion</v>
      </c>
      <c r="C1873" s="60" t="str">
        <f>IFERROR(__xludf.DUMMYFUNCTION("""COMPUTED_VALUE"""),"CB")</f>
        <v>CB</v>
      </c>
      <c r="D1873" s="60" t="str">
        <f>IFERROR(__xludf.DUMMYFUNCTION("""COMPUTED_VALUE"""),"NOS")</f>
        <v>NOS</v>
      </c>
      <c r="E1873" s="62" t="str">
        <f t="shared" si="4"/>
        <v>Decamerion Richardson</v>
      </c>
      <c r="F1873" s="62">
        <f t="shared" ref="F1873:G1873" si="3745">IF(isblank(F$1),,IF(isblank($A1873),,IFERROR(vlookup($A1873,indirect("'TVC-"&amp;text(month(F$1),"00")&amp;"'!$A:$D"),4,false),1)))</f>
        <v>1</v>
      </c>
      <c r="G1873" s="62">
        <f t="shared" si="3745"/>
        <v>1</v>
      </c>
      <c r="H1873" s="62">
        <f t="shared" ref="H1873:Q1873" si="3746">IF(isblank(H$1),,IFERROR(vlookup($A1873,indirect("'TVC-"&amp;text(month(H$1),"00")&amp;"'!$A:$D"),4,false),1))</f>
        <v>1</v>
      </c>
      <c r="I1873" s="62">
        <f t="shared" si="3746"/>
        <v>1</v>
      </c>
      <c r="J1873" s="62">
        <f t="shared" si="3746"/>
        <v>1</v>
      </c>
      <c r="K1873" s="62">
        <f t="shared" si="3746"/>
        <v>1</v>
      </c>
      <c r="L1873" s="62">
        <f t="shared" si="3746"/>
        <v>1</v>
      </c>
      <c r="M1873" s="62">
        <f t="shared" si="3746"/>
        <v>1</v>
      </c>
      <c r="N1873" s="62">
        <f t="shared" si="3746"/>
        <v>1</v>
      </c>
      <c r="O1873" s="62">
        <f t="shared" si="3746"/>
        <v>1</v>
      </c>
      <c r="P1873" s="62" t="str">
        <f t="shared" si="3746"/>
        <v/>
      </c>
      <c r="Q1873" s="62" t="str">
        <f t="shared" si="3746"/>
        <v/>
      </c>
      <c r="R1873" s="62">
        <f t="shared" si="7"/>
        <v>0</v>
      </c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</row>
    <row r="1874">
      <c r="A1874" s="60">
        <f>IFERROR(__xludf.DUMMYFUNCTION("""COMPUTED_VALUE"""),16721.0)</f>
        <v>16721</v>
      </c>
      <c r="B1874" s="60" t="str">
        <f>IFERROR(__xludf.DUMMYFUNCTION("""COMPUTED_VALUE"""),"Jefferson, Jordan")</f>
        <v>Jefferson, Jordan</v>
      </c>
      <c r="C1874" s="60" t="str">
        <f>IFERROR(__xludf.DUMMYFUNCTION("""COMPUTED_VALUE"""),"DT")</f>
        <v>DT</v>
      </c>
      <c r="D1874" s="60" t="str">
        <f>IFERROR(__xludf.DUMMYFUNCTION("""COMPUTED_VALUE"""),"MIA")</f>
        <v>MIA</v>
      </c>
      <c r="E1874" s="62" t="str">
        <f t="shared" si="4"/>
        <v>Jordan Jefferson</v>
      </c>
      <c r="F1874" s="62">
        <f t="shared" ref="F1874:G1874" si="3747">IF(isblank(F$1),,IF(isblank($A1874),,IFERROR(vlookup($A1874,indirect("'TVC-"&amp;text(month(F$1),"00")&amp;"'!$A:$D"),4,false),1)))</f>
        <v>1</v>
      </c>
      <c r="G1874" s="62">
        <f t="shared" si="3747"/>
        <v>1</v>
      </c>
      <c r="H1874" s="62">
        <f t="shared" ref="H1874:Q1874" si="3748">IF(isblank(H$1),,IFERROR(vlookup($A1874,indirect("'TVC-"&amp;text(month(H$1),"00")&amp;"'!$A:$D"),4,false),1))</f>
        <v>1</v>
      </c>
      <c r="I1874" s="62">
        <f t="shared" si="3748"/>
        <v>1</v>
      </c>
      <c r="J1874" s="62">
        <f t="shared" si="3748"/>
        <v>1</v>
      </c>
      <c r="K1874" s="62">
        <f t="shared" si="3748"/>
        <v>1</v>
      </c>
      <c r="L1874" s="62">
        <f t="shared" si="3748"/>
        <v>1</v>
      </c>
      <c r="M1874" s="62">
        <f t="shared" si="3748"/>
        <v>1</v>
      </c>
      <c r="N1874" s="62">
        <f t="shared" si="3748"/>
        <v>1</v>
      </c>
      <c r="O1874" s="62">
        <f t="shared" si="3748"/>
        <v>1</v>
      </c>
      <c r="P1874" s="62" t="str">
        <f t="shared" si="3748"/>
        <v/>
      </c>
      <c r="Q1874" s="62" t="str">
        <f t="shared" si="3748"/>
        <v/>
      </c>
      <c r="R1874" s="62">
        <f t="shared" si="7"/>
        <v>0</v>
      </c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</row>
    <row r="1875">
      <c r="A1875" s="60">
        <f>IFERROR(__xludf.DUMMYFUNCTION("""COMPUTED_VALUE"""),16722.0)</f>
        <v>16722</v>
      </c>
      <c r="B1875" s="60" t="str">
        <f>IFERROR(__xludf.DUMMYFUNCTION("""COMPUTED_VALUE"""),"Knight, Tyrice")</f>
        <v>Knight, Tyrice</v>
      </c>
      <c r="C1875" s="60" t="str">
        <f>IFERROR(__xludf.DUMMYFUNCTION("""COMPUTED_VALUE"""),"LB")</f>
        <v>LB</v>
      </c>
      <c r="D1875" s="60" t="str">
        <f>IFERROR(__xludf.DUMMYFUNCTION("""COMPUTED_VALUE"""),"SEA")</f>
        <v>SEA</v>
      </c>
      <c r="E1875" s="62" t="str">
        <f t="shared" si="4"/>
        <v>Tyrice Knight</v>
      </c>
      <c r="F1875" s="62">
        <f t="shared" ref="F1875:G1875" si="3749">IF(isblank(F$1),,IF(isblank($A1875),,IFERROR(vlookup($A1875,indirect("'TVC-"&amp;text(month(F$1),"00")&amp;"'!$A:$D"),4,false),1)))</f>
        <v>1</v>
      </c>
      <c r="G1875" s="62">
        <f t="shared" si="3749"/>
        <v>1</v>
      </c>
      <c r="H1875" s="62">
        <f t="shared" ref="H1875:Q1875" si="3750">IF(isblank(H$1),,IFERROR(vlookup($A1875,indirect("'TVC-"&amp;text(month(H$1),"00")&amp;"'!$A:$D"),4,false),1))</f>
        <v>1</v>
      </c>
      <c r="I1875" s="62">
        <f t="shared" si="3750"/>
        <v>1</v>
      </c>
      <c r="J1875" s="62">
        <f t="shared" si="3750"/>
        <v>1</v>
      </c>
      <c r="K1875" s="62">
        <f t="shared" si="3750"/>
        <v>1</v>
      </c>
      <c r="L1875" s="62">
        <f t="shared" si="3750"/>
        <v>1</v>
      </c>
      <c r="M1875" s="62">
        <f t="shared" si="3750"/>
        <v>1</v>
      </c>
      <c r="N1875" s="62">
        <f t="shared" si="3750"/>
        <v>1</v>
      </c>
      <c r="O1875" s="62">
        <f t="shared" si="3750"/>
        <v>1</v>
      </c>
      <c r="P1875" s="62" t="str">
        <f t="shared" si="3750"/>
        <v/>
      </c>
      <c r="Q1875" s="62" t="str">
        <f t="shared" si="3750"/>
        <v/>
      </c>
      <c r="R1875" s="62">
        <f t="shared" si="7"/>
        <v>0</v>
      </c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</row>
    <row r="1876" hidden="1">
      <c r="A1876" s="60">
        <f>IFERROR(__xludf.DUMMYFUNCTION("""COMPUTED_VALUE"""),16723.0)</f>
        <v>16723</v>
      </c>
      <c r="B1876" s="60" t="str">
        <f>IFERROR(__xludf.DUMMYFUNCTION("""COMPUTED_VALUE"""),"Barner, AJ")</f>
        <v>Barner, AJ</v>
      </c>
      <c r="C1876" s="60" t="str">
        <f>IFERROR(__xludf.DUMMYFUNCTION("""COMPUTED_VALUE"""),"TE")</f>
        <v>TE</v>
      </c>
      <c r="D1876" s="60" t="str">
        <f>IFERROR(__xludf.DUMMYFUNCTION("""COMPUTED_VALUE"""),"SEA")</f>
        <v>SEA</v>
      </c>
      <c r="E1876" s="62" t="str">
        <f t="shared" si="4"/>
        <v>AJ Barner</v>
      </c>
      <c r="F1876" s="62">
        <f t="shared" ref="F1876:G1876" si="3751">IF(isblank(F$1),,IF(isblank($A1876),,IFERROR(vlookup($A1876,indirect("'TVC-"&amp;text(month(F$1),"00")&amp;"'!$A:$D"),4,false),1)))</f>
        <v>3122</v>
      </c>
      <c r="G1876" s="62">
        <f t="shared" si="3751"/>
        <v>3297</v>
      </c>
      <c r="H1876" s="62">
        <f t="shared" ref="H1876:Q1876" si="3752">IF(isblank(H$1),,IFERROR(vlookup($A1876,indirect("'TVC-"&amp;text(month(H$1),"00")&amp;"'!$A:$D"),4,false),1))</f>
        <v>3338</v>
      </c>
      <c r="I1876" s="62">
        <f t="shared" si="3752"/>
        <v>3316</v>
      </c>
      <c r="J1876" s="62">
        <f t="shared" si="3752"/>
        <v>3301</v>
      </c>
      <c r="K1876" s="62">
        <f t="shared" si="3752"/>
        <v>3180</v>
      </c>
      <c r="L1876" s="62">
        <f t="shared" si="3752"/>
        <v>3165</v>
      </c>
      <c r="M1876" s="62">
        <f t="shared" si="3752"/>
        <v>3188</v>
      </c>
      <c r="N1876" s="62">
        <f t="shared" si="3752"/>
        <v>3046</v>
      </c>
      <c r="O1876" s="62">
        <f t="shared" si="3752"/>
        <v>1</v>
      </c>
      <c r="P1876" s="62" t="str">
        <f t="shared" si="3752"/>
        <v/>
      </c>
      <c r="Q1876" s="62" t="str">
        <f t="shared" si="3752"/>
        <v/>
      </c>
      <c r="R1876" s="62">
        <f t="shared" si="7"/>
        <v>-3045</v>
      </c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</row>
    <row r="1877" hidden="1">
      <c r="A1877" s="60">
        <f>IFERROR(__xludf.DUMMYFUNCTION("""COMPUTED_VALUE"""),16724.0)</f>
        <v>16724</v>
      </c>
      <c r="B1877" s="60" t="str">
        <f>IFERROR(__xludf.DUMMYFUNCTION("""COMPUTED_VALUE"""),"Taylor, Tory")</f>
        <v>Taylor, Tory</v>
      </c>
      <c r="C1877" s="60" t="str">
        <f>IFERROR(__xludf.DUMMYFUNCTION("""COMPUTED_VALUE"""),"PN")</f>
        <v>PN</v>
      </c>
      <c r="D1877" s="60" t="str">
        <f>IFERROR(__xludf.DUMMYFUNCTION("""COMPUTED_VALUE"""),"CHI")</f>
        <v>CHI</v>
      </c>
      <c r="E1877" s="62" t="str">
        <f t="shared" si="4"/>
        <v>Tory Taylor</v>
      </c>
      <c r="F1877" s="62">
        <f t="shared" ref="F1877:G1877" si="3753">IF(isblank(F$1),,IF(isblank($A1877),,IFERROR(vlookup($A1877,indirect("'TVC-"&amp;text(month(F$1),"00")&amp;"'!$A:$D"),4,false),1)))</f>
        <v>1</v>
      </c>
      <c r="G1877" s="62">
        <f t="shared" si="3753"/>
        <v>1</v>
      </c>
      <c r="H1877" s="62">
        <f t="shared" ref="H1877:Q1877" si="3754">IF(isblank(H$1),,IFERROR(vlookup($A1877,indirect("'TVC-"&amp;text(month(H$1),"00")&amp;"'!$A:$D"),4,false),1))</f>
        <v>1</v>
      </c>
      <c r="I1877" s="62">
        <f t="shared" si="3754"/>
        <v>1</v>
      </c>
      <c r="J1877" s="62">
        <f t="shared" si="3754"/>
        <v>1</v>
      </c>
      <c r="K1877" s="62">
        <f t="shared" si="3754"/>
        <v>1</v>
      </c>
      <c r="L1877" s="62">
        <f t="shared" si="3754"/>
        <v>1</v>
      </c>
      <c r="M1877" s="62">
        <f t="shared" si="3754"/>
        <v>1</v>
      </c>
      <c r="N1877" s="62">
        <f t="shared" si="3754"/>
        <v>1</v>
      </c>
      <c r="O1877" s="62">
        <f t="shared" si="3754"/>
        <v>1</v>
      </c>
      <c r="P1877" s="62" t="str">
        <f t="shared" si="3754"/>
        <v/>
      </c>
      <c r="Q1877" s="62" t="str">
        <f t="shared" si="3754"/>
        <v/>
      </c>
      <c r="R1877" s="62">
        <f t="shared" si="7"/>
        <v>0</v>
      </c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</row>
    <row r="1878" hidden="1">
      <c r="A1878" s="60">
        <f>IFERROR(__xludf.DUMMYFUNCTION("""COMPUTED_VALUE"""),16725.0)</f>
        <v>16725</v>
      </c>
      <c r="B1878" s="60" t="str">
        <f>IFERROR(__xludf.DUMMYFUNCTION("""COMPUTED_VALUE"""),"Mustapha, Malik")</f>
        <v>Mustapha, Malik</v>
      </c>
      <c r="C1878" s="60" t="str">
        <f>IFERROR(__xludf.DUMMYFUNCTION("""COMPUTED_VALUE"""),"S")</f>
        <v>S</v>
      </c>
      <c r="D1878" s="60" t="str">
        <f>IFERROR(__xludf.DUMMYFUNCTION("""COMPUTED_VALUE"""),"SFO")</f>
        <v>SFO</v>
      </c>
      <c r="E1878" s="62" t="str">
        <f t="shared" si="4"/>
        <v>Malik Mustapha</v>
      </c>
      <c r="F1878" s="62">
        <f t="shared" ref="F1878:G1878" si="3755">IF(isblank(F$1),,IF(isblank($A1878),,IFERROR(vlookup($A1878,indirect("'TVC-"&amp;text(month(F$1),"00")&amp;"'!$A:$D"),4,false),1)))</f>
        <v>1</v>
      </c>
      <c r="G1878" s="62">
        <f t="shared" si="3755"/>
        <v>1</v>
      </c>
      <c r="H1878" s="62">
        <f t="shared" ref="H1878:Q1878" si="3756">IF(isblank(H$1),,IFERROR(vlookup($A1878,indirect("'TVC-"&amp;text(month(H$1),"00")&amp;"'!$A:$D"),4,false),1))</f>
        <v>1</v>
      </c>
      <c r="I1878" s="62">
        <f t="shared" si="3756"/>
        <v>1</v>
      </c>
      <c r="J1878" s="62">
        <f t="shared" si="3756"/>
        <v>1</v>
      </c>
      <c r="K1878" s="62">
        <f t="shared" si="3756"/>
        <v>1</v>
      </c>
      <c r="L1878" s="62">
        <f t="shared" si="3756"/>
        <v>1</v>
      </c>
      <c r="M1878" s="62">
        <f t="shared" si="3756"/>
        <v>1</v>
      </c>
      <c r="N1878" s="62">
        <f t="shared" si="3756"/>
        <v>1</v>
      </c>
      <c r="O1878" s="62">
        <f t="shared" si="3756"/>
        <v>1</v>
      </c>
      <c r="P1878" s="62" t="str">
        <f t="shared" si="3756"/>
        <v/>
      </c>
      <c r="Q1878" s="62" t="str">
        <f t="shared" si="3756"/>
        <v/>
      </c>
      <c r="R1878" s="62">
        <f t="shared" si="7"/>
        <v>0</v>
      </c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</row>
    <row r="1879">
      <c r="A1879" s="60">
        <f>IFERROR(__xludf.DUMMYFUNCTION("""COMPUTED_VALUE"""),16726.0)</f>
        <v>16726</v>
      </c>
      <c r="B1879" s="60" t="str">
        <f>IFERROR(__xludf.DUMMYFUNCTION("""COMPUTED_VALUE"""),"Tampa, T.J.")</f>
        <v>Tampa, T.J.</v>
      </c>
      <c r="C1879" s="60" t="str">
        <f>IFERROR(__xludf.DUMMYFUNCTION("""COMPUTED_VALUE"""),"CB")</f>
        <v>CB</v>
      </c>
      <c r="D1879" s="60" t="str">
        <f>IFERROR(__xludf.DUMMYFUNCTION("""COMPUTED_VALUE"""),"BAL")</f>
        <v>BAL</v>
      </c>
      <c r="E1879" s="62" t="str">
        <f t="shared" si="4"/>
        <v>T.J. Tampa</v>
      </c>
      <c r="F1879" s="62">
        <f t="shared" ref="F1879:G1879" si="3757">IF(isblank(F$1),,IF(isblank($A1879),,IFERROR(vlookup($A1879,indirect("'TVC-"&amp;text(month(F$1),"00")&amp;"'!$A:$D"),4,false),1)))</f>
        <v>1</v>
      </c>
      <c r="G1879" s="62">
        <f t="shared" si="3757"/>
        <v>1</v>
      </c>
      <c r="H1879" s="62">
        <f t="shared" ref="H1879:Q1879" si="3758">IF(isblank(H$1),,IFERROR(vlookup($A1879,indirect("'TVC-"&amp;text(month(H$1),"00")&amp;"'!$A:$D"),4,false),1))</f>
        <v>1</v>
      </c>
      <c r="I1879" s="62">
        <f t="shared" si="3758"/>
        <v>1</v>
      </c>
      <c r="J1879" s="62">
        <f t="shared" si="3758"/>
        <v>1</v>
      </c>
      <c r="K1879" s="62">
        <f t="shared" si="3758"/>
        <v>1</v>
      </c>
      <c r="L1879" s="62">
        <f t="shared" si="3758"/>
        <v>1</v>
      </c>
      <c r="M1879" s="62">
        <f t="shared" si="3758"/>
        <v>1</v>
      </c>
      <c r="N1879" s="62">
        <f t="shared" si="3758"/>
        <v>1</v>
      </c>
      <c r="O1879" s="62">
        <f t="shared" si="3758"/>
        <v>1</v>
      </c>
      <c r="P1879" s="62" t="str">
        <f t="shared" si="3758"/>
        <v/>
      </c>
      <c r="Q1879" s="62" t="str">
        <f t="shared" si="3758"/>
        <v/>
      </c>
      <c r="R1879" s="62">
        <f t="shared" si="7"/>
        <v>0</v>
      </c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</row>
    <row r="1880">
      <c r="A1880" s="60">
        <f>IFERROR(__xludf.DUMMYFUNCTION("""COMPUTED_VALUE"""),16727.0)</f>
        <v>16727</v>
      </c>
      <c r="B1880" s="60" t="str">
        <f>IFERROR(__xludf.DUMMYFUNCTION("""COMPUTED_VALUE"""),"Hicks, Jaden")</f>
        <v>Hicks, Jaden</v>
      </c>
      <c r="C1880" s="60" t="str">
        <f>IFERROR(__xludf.DUMMYFUNCTION("""COMPUTED_VALUE"""),"S")</f>
        <v>S</v>
      </c>
      <c r="D1880" s="60" t="str">
        <f>IFERROR(__xludf.DUMMYFUNCTION("""COMPUTED_VALUE"""),"KCC")</f>
        <v>KCC</v>
      </c>
      <c r="E1880" s="62" t="str">
        <f t="shared" si="4"/>
        <v>Jaden Hicks</v>
      </c>
      <c r="F1880" s="62">
        <f t="shared" ref="F1880:G1880" si="3759">IF(isblank(F$1),,IF(isblank($A1880),,IFERROR(vlookup($A1880,indirect("'TVC-"&amp;text(month(F$1),"00")&amp;"'!$A:$D"),4,false),1)))</f>
        <v>1</v>
      </c>
      <c r="G1880" s="62">
        <f t="shared" si="3759"/>
        <v>1</v>
      </c>
      <c r="H1880" s="62">
        <f t="shared" ref="H1880:Q1880" si="3760">IF(isblank(H$1),,IFERROR(vlookup($A1880,indirect("'TVC-"&amp;text(month(H$1),"00")&amp;"'!$A:$D"),4,false),1))</f>
        <v>1</v>
      </c>
      <c r="I1880" s="62">
        <f t="shared" si="3760"/>
        <v>1</v>
      </c>
      <c r="J1880" s="62">
        <f t="shared" si="3760"/>
        <v>1</v>
      </c>
      <c r="K1880" s="62">
        <f t="shared" si="3760"/>
        <v>1</v>
      </c>
      <c r="L1880" s="62">
        <f t="shared" si="3760"/>
        <v>1</v>
      </c>
      <c r="M1880" s="62">
        <f t="shared" si="3760"/>
        <v>1</v>
      </c>
      <c r="N1880" s="62">
        <f t="shared" si="3760"/>
        <v>1</v>
      </c>
      <c r="O1880" s="62">
        <f t="shared" si="3760"/>
        <v>1</v>
      </c>
      <c r="P1880" s="62" t="str">
        <f t="shared" si="3760"/>
        <v/>
      </c>
      <c r="Q1880" s="62" t="str">
        <f t="shared" si="3760"/>
        <v/>
      </c>
      <c r="R1880" s="62">
        <f t="shared" si="7"/>
        <v>0</v>
      </c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</row>
    <row r="1881" hidden="1">
      <c r="A1881" s="60">
        <f>IFERROR(__xludf.DUMMYFUNCTION("""COMPUTED_VALUE"""),16728.0)</f>
        <v>16728</v>
      </c>
      <c r="B1881" s="60" t="str">
        <f>IFERROR(__xludf.DUMMYFUNCTION("""COMPUTED_VALUE"""),"Pritchett, Nehemiah")</f>
        <v>Pritchett, Nehemiah</v>
      </c>
      <c r="C1881" s="60" t="str">
        <f>IFERROR(__xludf.DUMMYFUNCTION("""COMPUTED_VALUE"""),"CB")</f>
        <v>CB</v>
      </c>
      <c r="D1881" s="60" t="str">
        <f>IFERROR(__xludf.DUMMYFUNCTION("""COMPUTED_VALUE"""),"SEA")</f>
        <v>SEA</v>
      </c>
      <c r="E1881" s="62" t="str">
        <f t="shared" si="4"/>
        <v>Nehemiah Pritchett</v>
      </c>
      <c r="F1881" s="62">
        <f t="shared" ref="F1881:G1881" si="3761">IF(isblank(F$1),,IF(isblank($A1881),,IFERROR(vlookup($A1881,indirect("'TVC-"&amp;text(month(F$1),"00")&amp;"'!$A:$D"),4,false),1)))</f>
        <v>1</v>
      </c>
      <c r="G1881" s="62">
        <f t="shared" si="3761"/>
        <v>1</v>
      </c>
      <c r="H1881" s="62">
        <f t="shared" ref="H1881:Q1881" si="3762">IF(isblank(H$1),,IFERROR(vlookup($A1881,indirect("'TVC-"&amp;text(month(H$1),"00")&amp;"'!$A:$D"),4,false),1))</f>
        <v>1</v>
      </c>
      <c r="I1881" s="62">
        <f t="shared" si="3762"/>
        <v>1</v>
      </c>
      <c r="J1881" s="62">
        <f t="shared" si="3762"/>
        <v>1</v>
      </c>
      <c r="K1881" s="62">
        <f t="shared" si="3762"/>
        <v>1</v>
      </c>
      <c r="L1881" s="62">
        <f t="shared" si="3762"/>
        <v>1</v>
      </c>
      <c r="M1881" s="62">
        <f t="shared" si="3762"/>
        <v>1</v>
      </c>
      <c r="N1881" s="62">
        <f t="shared" si="3762"/>
        <v>1</v>
      </c>
      <c r="O1881" s="62">
        <f t="shared" si="3762"/>
        <v>1</v>
      </c>
      <c r="P1881" s="62" t="str">
        <f t="shared" si="3762"/>
        <v/>
      </c>
      <c r="Q1881" s="62" t="str">
        <f t="shared" si="3762"/>
        <v/>
      </c>
      <c r="R1881" s="62">
        <f t="shared" si="7"/>
        <v>0</v>
      </c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</row>
    <row r="1882" hidden="1">
      <c r="A1882" s="60">
        <f>IFERROR(__xludf.DUMMYFUNCTION("""COMPUTED_VALUE"""),16729.0)</f>
        <v>16729</v>
      </c>
      <c r="B1882" s="60" t="str">
        <f>IFERROR(__xludf.DUMMYFUNCTION("""COMPUTED_VALUE"""),"Still, Tarheeb")</f>
        <v>Still, Tarheeb</v>
      </c>
      <c r="C1882" s="60" t="str">
        <f>IFERROR(__xludf.DUMMYFUNCTION("""COMPUTED_VALUE"""),"CB")</f>
        <v>CB</v>
      </c>
      <c r="D1882" s="60" t="str">
        <f>IFERROR(__xludf.DUMMYFUNCTION("""COMPUTED_VALUE"""),"LAC")</f>
        <v>LAC</v>
      </c>
      <c r="E1882" s="62" t="str">
        <f t="shared" si="4"/>
        <v>Tarheeb Still</v>
      </c>
      <c r="F1882" s="62">
        <f t="shared" ref="F1882:G1882" si="3763">IF(isblank(F$1),,IF(isblank($A1882),,IFERROR(vlookup($A1882,indirect("'TVC-"&amp;text(month(F$1),"00")&amp;"'!$A:$D"),4,false),1)))</f>
        <v>1</v>
      </c>
      <c r="G1882" s="62">
        <f t="shared" si="3763"/>
        <v>1</v>
      </c>
      <c r="H1882" s="62">
        <f t="shared" ref="H1882:Q1882" si="3764">IF(isblank(H$1),,IFERROR(vlookup($A1882,indirect("'TVC-"&amp;text(month(H$1),"00")&amp;"'!$A:$D"),4,false),1))</f>
        <v>1</v>
      </c>
      <c r="I1882" s="62">
        <f t="shared" si="3764"/>
        <v>1</v>
      </c>
      <c r="J1882" s="62">
        <f t="shared" si="3764"/>
        <v>1</v>
      </c>
      <c r="K1882" s="62">
        <f t="shared" si="3764"/>
        <v>1</v>
      </c>
      <c r="L1882" s="62">
        <f t="shared" si="3764"/>
        <v>1</v>
      </c>
      <c r="M1882" s="62">
        <f t="shared" si="3764"/>
        <v>1</v>
      </c>
      <c r="N1882" s="62">
        <f t="shared" si="3764"/>
        <v>1</v>
      </c>
      <c r="O1882" s="62">
        <f t="shared" si="3764"/>
        <v>1</v>
      </c>
      <c r="P1882" s="62" t="str">
        <f t="shared" si="3764"/>
        <v/>
      </c>
      <c r="Q1882" s="62" t="str">
        <f t="shared" si="3764"/>
        <v/>
      </c>
      <c r="R1882" s="62">
        <f t="shared" si="7"/>
        <v>0</v>
      </c>
      <c r="S1882" s="62"/>
      <c r="T1882" s="62"/>
      <c r="U1882" s="62"/>
      <c r="V1882" s="62"/>
      <c r="W1882" s="62"/>
      <c r="X1882" s="62"/>
      <c r="Y1882" s="62"/>
      <c r="Z1882" s="62"/>
      <c r="AA1882" s="62"/>
      <c r="AB1882" s="62"/>
      <c r="AC1882" s="62"/>
    </row>
    <row r="1883">
      <c r="A1883" s="60">
        <f>IFERROR(__xludf.DUMMYFUNCTION("""COMPUTED_VALUE"""),16730.0)</f>
        <v>16730</v>
      </c>
      <c r="B1883" s="60" t="str">
        <f>IFERROR(__xludf.DUMMYFUNCTION("""COMPUTED_VALUE"""),"Magee, Jordan")</f>
        <v>Magee, Jordan</v>
      </c>
      <c r="C1883" s="60" t="str">
        <f>IFERROR(__xludf.DUMMYFUNCTION("""COMPUTED_VALUE"""),"LB")</f>
        <v>LB</v>
      </c>
      <c r="D1883" s="60" t="str">
        <f>IFERROR(__xludf.DUMMYFUNCTION("""COMPUTED_VALUE"""),"WAS")</f>
        <v>WAS</v>
      </c>
      <c r="E1883" s="62" t="str">
        <f t="shared" si="4"/>
        <v>Jordan Magee</v>
      </c>
      <c r="F1883" s="62">
        <f t="shared" ref="F1883:G1883" si="3765">IF(isblank(F$1),,IF(isblank($A1883),,IFERROR(vlookup($A1883,indirect("'TVC-"&amp;text(month(F$1),"00")&amp;"'!$A:$D"),4,false),1)))</f>
        <v>1</v>
      </c>
      <c r="G1883" s="62">
        <f t="shared" si="3765"/>
        <v>1</v>
      </c>
      <c r="H1883" s="62">
        <f t="shared" ref="H1883:Q1883" si="3766">IF(isblank(H$1),,IFERROR(vlookup($A1883,indirect("'TVC-"&amp;text(month(H$1),"00")&amp;"'!$A:$D"),4,false),1))</f>
        <v>1</v>
      </c>
      <c r="I1883" s="62">
        <f t="shared" si="3766"/>
        <v>1</v>
      </c>
      <c r="J1883" s="62">
        <f t="shared" si="3766"/>
        <v>1</v>
      </c>
      <c r="K1883" s="62">
        <f t="shared" si="3766"/>
        <v>1</v>
      </c>
      <c r="L1883" s="62">
        <f t="shared" si="3766"/>
        <v>1</v>
      </c>
      <c r="M1883" s="62">
        <f t="shared" si="3766"/>
        <v>1</v>
      </c>
      <c r="N1883" s="62">
        <f t="shared" si="3766"/>
        <v>1</v>
      </c>
      <c r="O1883" s="62">
        <f t="shared" si="3766"/>
        <v>1</v>
      </c>
      <c r="P1883" s="62" t="str">
        <f t="shared" si="3766"/>
        <v/>
      </c>
      <c r="Q1883" s="62" t="str">
        <f t="shared" si="3766"/>
        <v/>
      </c>
      <c r="R1883" s="62">
        <f t="shared" si="7"/>
        <v>0</v>
      </c>
      <c r="S1883" s="62"/>
      <c r="T1883" s="62"/>
      <c r="U1883" s="62"/>
      <c r="V1883" s="62"/>
      <c r="W1883" s="62"/>
      <c r="X1883" s="62"/>
      <c r="Y1883" s="62"/>
      <c r="Z1883" s="62"/>
      <c r="AA1883" s="62"/>
      <c r="AB1883" s="62"/>
      <c r="AC1883" s="62"/>
    </row>
    <row r="1884" hidden="1">
      <c r="A1884" s="60">
        <f>IFERROR(__xludf.DUMMYFUNCTION("""COMPUTED_VALUE"""),16731.0)</f>
        <v>16731</v>
      </c>
      <c r="B1884" s="60" t="str">
        <f>IFERROR(__xludf.DUMMYFUNCTION("""COMPUTED_VALUE"""),"Hart, Cam")</f>
        <v>Hart, Cam</v>
      </c>
      <c r="C1884" s="60" t="str">
        <f>IFERROR(__xludf.DUMMYFUNCTION("""COMPUTED_VALUE"""),"CB")</f>
        <v>CB</v>
      </c>
      <c r="D1884" s="60" t="str">
        <f>IFERROR(__xludf.DUMMYFUNCTION("""COMPUTED_VALUE"""),"LAC")</f>
        <v>LAC</v>
      </c>
      <c r="E1884" s="62" t="str">
        <f t="shared" si="4"/>
        <v>Cam Hart</v>
      </c>
      <c r="F1884" s="62">
        <f t="shared" ref="F1884:G1884" si="3767">IF(isblank(F$1),,IF(isblank($A1884),,IFERROR(vlookup($A1884,indirect("'TVC-"&amp;text(month(F$1),"00")&amp;"'!$A:$D"),4,false),1)))</f>
        <v>1</v>
      </c>
      <c r="G1884" s="62">
        <f t="shared" si="3767"/>
        <v>1</v>
      </c>
      <c r="H1884" s="62">
        <f t="shared" ref="H1884:Q1884" si="3768">IF(isblank(H$1),,IFERROR(vlookup($A1884,indirect("'TVC-"&amp;text(month(H$1),"00")&amp;"'!$A:$D"),4,false),1))</f>
        <v>1</v>
      </c>
      <c r="I1884" s="62">
        <f t="shared" si="3768"/>
        <v>1</v>
      </c>
      <c r="J1884" s="62">
        <f t="shared" si="3768"/>
        <v>1</v>
      </c>
      <c r="K1884" s="62">
        <f t="shared" si="3768"/>
        <v>1</v>
      </c>
      <c r="L1884" s="62">
        <f t="shared" si="3768"/>
        <v>1</v>
      </c>
      <c r="M1884" s="62">
        <f t="shared" si="3768"/>
        <v>1</v>
      </c>
      <c r="N1884" s="62">
        <f t="shared" si="3768"/>
        <v>1</v>
      </c>
      <c r="O1884" s="62">
        <f t="shared" si="3768"/>
        <v>1</v>
      </c>
      <c r="P1884" s="62" t="str">
        <f t="shared" si="3768"/>
        <v/>
      </c>
      <c r="Q1884" s="62" t="str">
        <f t="shared" si="3768"/>
        <v/>
      </c>
      <c r="R1884" s="62">
        <f t="shared" si="7"/>
        <v>0</v>
      </c>
      <c r="S1884" s="62"/>
      <c r="T1884" s="62"/>
      <c r="U1884" s="62"/>
      <c r="V1884" s="62"/>
      <c r="W1884" s="62"/>
      <c r="X1884" s="62"/>
      <c r="Y1884" s="62"/>
      <c r="Z1884" s="62"/>
      <c r="AA1884" s="62"/>
      <c r="AB1884" s="62"/>
      <c r="AC1884" s="62"/>
    </row>
    <row r="1885" hidden="1">
      <c r="A1885" s="60">
        <f>IFERROR(__xludf.DUMMYFUNCTION("""COMPUTED_VALUE"""),16732.0)</f>
        <v>16732</v>
      </c>
      <c r="B1885" s="60" t="str">
        <f>IFERROR(__xludf.DUMMYFUNCTION("""COMPUTED_VALUE"""),"Gould, Anthony")</f>
        <v>Gould, Anthony</v>
      </c>
      <c r="C1885" s="60" t="str">
        <f>IFERROR(__xludf.DUMMYFUNCTION("""COMPUTED_VALUE"""),"WR")</f>
        <v>WR</v>
      </c>
      <c r="D1885" s="60" t="str">
        <f>IFERROR(__xludf.DUMMYFUNCTION("""COMPUTED_VALUE"""),"IND")</f>
        <v>IND</v>
      </c>
      <c r="E1885" s="62" t="str">
        <f t="shared" si="4"/>
        <v>Anthony Gould</v>
      </c>
      <c r="F1885" s="62">
        <f t="shared" ref="F1885:G1885" si="3769">IF(isblank(F$1),,IF(isblank($A1885),,IFERROR(vlookup($A1885,indirect("'TVC-"&amp;text(month(F$1),"00")&amp;"'!$A:$D"),4,false),1)))</f>
        <v>1</v>
      </c>
      <c r="G1885" s="62">
        <f t="shared" si="3769"/>
        <v>1</v>
      </c>
      <c r="H1885" s="62">
        <f t="shared" ref="H1885:Q1885" si="3770">IF(isblank(H$1),,IFERROR(vlookup($A1885,indirect("'TVC-"&amp;text(month(H$1),"00")&amp;"'!$A:$D"),4,false),1))</f>
        <v>1</v>
      </c>
      <c r="I1885" s="62">
        <f t="shared" si="3770"/>
        <v>1</v>
      </c>
      <c r="J1885" s="62">
        <f t="shared" si="3770"/>
        <v>1</v>
      </c>
      <c r="K1885" s="62">
        <f t="shared" si="3770"/>
        <v>1</v>
      </c>
      <c r="L1885" s="62">
        <f t="shared" si="3770"/>
        <v>1</v>
      </c>
      <c r="M1885" s="62">
        <f t="shared" si="3770"/>
        <v>1</v>
      </c>
      <c r="N1885" s="62">
        <f t="shared" si="3770"/>
        <v>1</v>
      </c>
      <c r="O1885" s="62">
        <f t="shared" si="3770"/>
        <v>1</v>
      </c>
      <c r="P1885" s="62" t="str">
        <f t="shared" si="3770"/>
        <v/>
      </c>
      <c r="Q1885" s="62" t="str">
        <f t="shared" si="3770"/>
        <v/>
      </c>
      <c r="R1885" s="62">
        <f t="shared" si="7"/>
        <v>0</v>
      </c>
      <c r="S1885" s="62"/>
      <c r="T1885" s="62"/>
      <c r="U1885" s="62"/>
      <c r="V1885" s="62"/>
      <c r="W1885" s="62"/>
      <c r="X1885" s="62"/>
      <c r="Y1885" s="62"/>
      <c r="Z1885" s="62"/>
      <c r="AA1885" s="62"/>
      <c r="AB1885" s="62"/>
      <c r="AC1885" s="62"/>
    </row>
    <row r="1886" hidden="1">
      <c r="A1886" s="60">
        <f>IFERROR(__xludf.DUMMYFUNCTION("""COMPUTED_VALUE"""),16733.0)</f>
        <v>16733</v>
      </c>
      <c r="B1886" s="60" t="str">
        <f>IFERROR(__xludf.DUMMYFUNCTION("""COMPUTED_VALUE"""),"Bertrand, JD")</f>
        <v>Bertrand, JD</v>
      </c>
      <c r="C1886" s="60" t="str">
        <f>IFERROR(__xludf.DUMMYFUNCTION("""COMPUTED_VALUE"""),"LB")</f>
        <v>LB</v>
      </c>
      <c r="D1886" s="60" t="str">
        <f>IFERROR(__xludf.DUMMYFUNCTION("""COMPUTED_VALUE"""),"ATL")</f>
        <v>ATL</v>
      </c>
      <c r="E1886" s="62" t="str">
        <f t="shared" si="4"/>
        <v>JD Bertrand</v>
      </c>
      <c r="F1886" s="62">
        <f t="shared" ref="F1886:G1886" si="3771">IF(isblank(F$1),,IF(isblank($A1886),,IFERROR(vlookup($A1886,indirect("'TVC-"&amp;text(month(F$1),"00")&amp;"'!$A:$D"),4,false),1)))</f>
        <v>1</v>
      </c>
      <c r="G1886" s="62">
        <f t="shared" si="3771"/>
        <v>1</v>
      </c>
      <c r="H1886" s="62">
        <f t="shared" ref="H1886:Q1886" si="3772">IF(isblank(H$1),,IFERROR(vlookup($A1886,indirect("'TVC-"&amp;text(month(H$1),"00")&amp;"'!$A:$D"),4,false),1))</f>
        <v>1</v>
      </c>
      <c r="I1886" s="62">
        <f t="shared" si="3772"/>
        <v>1</v>
      </c>
      <c r="J1886" s="62">
        <f t="shared" si="3772"/>
        <v>1</v>
      </c>
      <c r="K1886" s="62">
        <f t="shared" si="3772"/>
        <v>1</v>
      </c>
      <c r="L1886" s="62">
        <f t="shared" si="3772"/>
        <v>1</v>
      </c>
      <c r="M1886" s="62">
        <f t="shared" si="3772"/>
        <v>1</v>
      </c>
      <c r="N1886" s="62">
        <f t="shared" si="3772"/>
        <v>1</v>
      </c>
      <c r="O1886" s="62">
        <f t="shared" si="3772"/>
        <v>1</v>
      </c>
      <c r="P1886" s="62" t="str">
        <f t="shared" si="3772"/>
        <v/>
      </c>
      <c r="Q1886" s="62" t="str">
        <f t="shared" si="3772"/>
        <v/>
      </c>
      <c r="R1886" s="62">
        <f t="shared" si="7"/>
        <v>0</v>
      </c>
      <c r="S1886" s="62"/>
      <c r="T1886" s="62"/>
      <c r="U1886" s="62"/>
      <c r="V1886" s="62"/>
      <c r="W1886" s="62"/>
      <c r="X1886" s="62"/>
      <c r="Y1886" s="62"/>
      <c r="Z1886" s="62"/>
      <c r="AA1886" s="62"/>
      <c r="AB1886" s="62"/>
      <c r="AC1886" s="62"/>
    </row>
    <row r="1887" hidden="1">
      <c r="A1887" s="60">
        <f>IFERROR(__xludf.DUMMYFUNCTION("""COMPUTED_VALUE"""),16734.0)</f>
        <v>16734</v>
      </c>
      <c r="B1887" s="60" t="str">
        <f>IFERROR(__xludf.DUMMYFUNCTION("""COMPUTED_VALUE"""),"Booker, Austin")</f>
        <v>Booker, Austin</v>
      </c>
      <c r="C1887" s="60" t="str">
        <f>IFERROR(__xludf.DUMMYFUNCTION("""COMPUTED_VALUE"""),"DE")</f>
        <v>DE</v>
      </c>
      <c r="D1887" s="60" t="str">
        <f>IFERROR(__xludf.DUMMYFUNCTION("""COMPUTED_VALUE"""),"CHI")</f>
        <v>CHI</v>
      </c>
      <c r="E1887" s="62" t="str">
        <f t="shared" si="4"/>
        <v>Austin Booker</v>
      </c>
      <c r="F1887" s="62">
        <f t="shared" ref="F1887:G1887" si="3773">IF(isblank(F$1),,IF(isblank($A1887),,IFERROR(vlookup($A1887,indirect("'TVC-"&amp;text(month(F$1),"00")&amp;"'!$A:$D"),4,false),1)))</f>
        <v>1</v>
      </c>
      <c r="G1887" s="62">
        <f t="shared" si="3773"/>
        <v>1</v>
      </c>
      <c r="H1887" s="62">
        <f t="shared" ref="H1887:Q1887" si="3774">IF(isblank(H$1),,IFERROR(vlookup($A1887,indirect("'TVC-"&amp;text(month(H$1),"00")&amp;"'!$A:$D"),4,false),1))</f>
        <v>1</v>
      </c>
      <c r="I1887" s="62">
        <f t="shared" si="3774"/>
        <v>1</v>
      </c>
      <c r="J1887" s="62">
        <f t="shared" si="3774"/>
        <v>1</v>
      </c>
      <c r="K1887" s="62">
        <f t="shared" si="3774"/>
        <v>1</v>
      </c>
      <c r="L1887" s="62">
        <f t="shared" si="3774"/>
        <v>1</v>
      </c>
      <c r="M1887" s="62">
        <f t="shared" si="3774"/>
        <v>1</v>
      </c>
      <c r="N1887" s="62">
        <f t="shared" si="3774"/>
        <v>1</v>
      </c>
      <c r="O1887" s="62">
        <f t="shared" si="3774"/>
        <v>1</v>
      </c>
      <c r="P1887" s="62" t="str">
        <f t="shared" si="3774"/>
        <v/>
      </c>
      <c r="Q1887" s="62" t="str">
        <f t="shared" si="3774"/>
        <v/>
      </c>
      <c r="R1887" s="62">
        <f t="shared" si="7"/>
        <v>0</v>
      </c>
      <c r="S1887" s="62"/>
      <c r="T1887" s="62"/>
      <c r="U1887" s="62"/>
      <c r="V1887" s="62"/>
      <c r="W1887" s="62"/>
      <c r="X1887" s="62"/>
      <c r="Y1887" s="62"/>
      <c r="Z1887" s="62"/>
      <c r="AA1887" s="62"/>
      <c r="AB1887" s="62"/>
      <c r="AC1887" s="62"/>
    </row>
    <row r="1888" hidden="1">
      <c r="A1888" s="60">
        <f>IFERROR(__xludf.DUMMYFUNCTION("""COMPUTED_VALUE"""),16735.0)</f>
        <v>16735</v>
      </c>
      <c r="B1888" s="60" t="str">
        <f>IFERROR(__xludf.DUMMYFUNCTION("""COMPUTED_VALUE"""),"Abrams-Draine, Kris")</f>
        <v>Abrams-Draine, Kris</v>
      </c>
      <c r="C1888" s="60" t="str">
        <f>IFERROR(__xludf.DUMMYFUNCTION("""COMPUTED_VALUE"""),"CB")</f>
        <v>CB</v>
      </c>
      <c r="D1888" s="60" t="str">
        <f>IFERROR(__xludf.DUMMYFUNCTION("""COMPUTED_VALUE"""),"DEN")</f>
        <v>DEN</v>
      </c>
      <c r="E1888" s="62" t="str">
        <f t="shared" si="4"/>
        <v>Kris Abrams-Draine</v>
      </c>
      <c r="F1888" s="62">
        <f t="shared" ref="F1888:G1888" si="3775">IF(isblank(F$1),,IF(isblank($A1888),,IFERROR(vlookup($A1888,indirect("'TVC-"&amp;text(month(F$1),"00")&amp;"'!$A:$D"),4,false),1)))</f>
        <v>1</v>
      </c>
      <c r="G1888" s="62">
        <f t="shared" si="3775"/>
        <v>1</v>
      </c>
      <c r="H1888" s="62">
        <f t="shared" ref="H1888:Q1888" si="3776">IF(isblank(H$1),,IFERROR(vlookup($A1888,indirect("'TVC-"&amp;text(month(H$1),"00")&amp;"'!$A:$D"),4,false),1))</f>
        <v>1</v>
      </c>
      <c r="I1888" s="62">
        <f t="shared" si="3776"/>
        <v>1</v>
      </c>
      <c r="J1888" s="62">
        <f t="shared" si="3776"/>
        <v>1</v>
      </c>
      <c r="K1888" s="62">
        <f t="shared" si="3776"/>
        <v>1</v>
      </c>
      <c r="L1888" s="62">
        <f t="shared" si="3776"/>
        <v>1</v>
      </c>
      <c r="M1888" s="62">
        <f t="shared" si="3776"/>
        <v>1</v>
      </c>
      <c r="N1888" s="62">
        <f t="shared" si="3776"/>
        <v>1</v>
      </c>
      <c r="O1888" s="62">
        <f t="shared" si="3776"/>
        <v>1</v>
      </c>
      <c r="P1888" s="62" t="str">
        <f t="shared" si="3776"/>
        <v/>
      </c>
      <c r="Q1888" s="62" t="str">
        <f t="shared" si="3776"/>
        <v/>
      </c>
      <c r="R1888" s="62">
        <f t="shared" si="7"/>
        <v>0</v>
      </c>
      <c r="S1888" s="62"/>
      <c r="T1888" s="62"/>
      <c r="U1888" s="62"/>
      <c r="V1888" s="62"/>
      <c r="W1888" s="62"/>
      <c r="X1888" s="62"/>
      <c r="Y1888" s="62"/>
      <c r="Z1888" s="62"/>
      <c r="AA1888" s="62"/>
      <c r="AB1888" s="62"/>
      <c r="AC1888" s="62"/>
    </row>
    <row r="1889" hidden="1">
      <c r="A1889" s="60">
        <f>IFERROR(__xludf.DUMMYFUNCTION("""COMPUTED_VALUE"""),16736.0)</f>
        <v>16736</v>
      </c>
      <c r="B1889" s="60" t="str">
        <f>IFERROR(__xludf.DUMMYFUNCTION("""COMPUTED_VALUE"""),"Brownlee, Jarvis")</f>
        <v>Brownlee, Jarvis</v>
      </c>
      <c r="C1889" s="60" t="str">
        <f>IFERROR(__xludf.DUMMYFUNCTION("""COMPUTED_VALUE"""),"CB")</f>
        <v>CB</v>
      </c>
      <c r="D1889" s="60" t="str">
        <f>IFERROR(__xludf.DUMMYFUNCTION("""COMPUTED_VALUE"""),"NYJ")</f>
        <v>NYJ</v>
      </c>
      <c r="E1889" s="62" t="str">
        <f t="shared" si="4"/>
        <v>Jarvis Brownlee</v>
      </c>
      <c r="F1889" s="62">
        <f t="shared" ref="F1889:G1889" si="3777">IF(isblank(F$1),,IF(isblank($A1889),,IFERROR(vlookup($A1889,indirect("'TVC-"&amp;text(month(F$1),"00")&amp;"'!$A:$D"),4,false),1)))</f>
        <v>1</v>
      </c>
      <c r="G1889" s="62">
        <f t="shared" si="3777"/>
        <v>1</v>
      </c>
      <c r="H1889" s="62">
        <f t="shared" ref="H1889:Q1889" si="3778">IF(isblank(H$1),,IFERROR(vlookup($A1889,indirect("'TVC-"&amp;text(month(H$1),"00")&amp;"'!$A:$D"),4,false),1))</f>
        <v>1</v>
      </c>
      <c r="I1889" s="62">
        <f t="shared" si="3778"/>
        <v>1</v>
      </c>
      <c r="J1889" s="62">
        <f t="shared" si="3778"/>
        <v>1</v>
      </c>
      <c r="K1889" s="62">
        <f t="shared" si="3778"/>
        <v>1</v>
      </c>
      <c r="L1889" s="62">
        <f t="shared" si="3778"/>
        <v>1</v>
      </c>
      <c r="M1889" s="62">
        <f t="shared" si="3778"/>
        <v>1</v>
      </c>
      <c r="N1889" s="62">
        <f t="shared" si="3778"/>
        <v>1</v>
      </c>
      <c r="O1889" s="62">
        <f t="shared" si="3778"/>
        <v>1</v>
      </c>
      <c r="P1889" s="62" t="str">
        <f t="shared" si="3778"/>
        <v/>
      </c>
      <c r="Q1889" s="62" t="str">
        <f t="shared" si="3778"/>
        <v/>
      </c>
      <c r="R1889" s="62">
        <f t="shared" si="7"/>
        <v>0</v>
      </c>
      <c r="S1889" s="62"/>
      <c r="T1889" s="62"/>
      <c r="U1889" s="62"/>
      <c r="V1889" s="62"/>
      <c r="W1889" s="62"/>
      <c r="X1889" s="62"/>
      <c r="Y1889" s="62"/>
      <c r="Z1889" s="62"/>
      <c r="AA1889" s="62"/>
      <c r="AB1889" s="62"/>
      <c r="AC1889" s="62"/>
    </row>
    <row r="1890" hidden="1">
      <c r="A1890" s="60">
        <f>IFERROR(__xludf.DUMMYFUNCTION("""COMPUTED_VALUE"""),16737.0)</f>
        <v>16737</v>
      </c>
      <c r="B1890" s="60" t="str">
        <f>IFERROR(__xludf.DUMMYFUNCTION("""COMPUTED_VALUE"""),"Newton, Josh")</f>
        <v>Newton, Josh</v>
      </c>
      <c r="C1890" s="60" t="str">
        <f>IFERROR(__xludf.DUMMYFUNCTION("""COMPUTED_VALUE"""),"CB")</f>
        <v>CB</v>
      </c>
      <c r="D1890" s="60" t="str">
        <f>IFERROR(__xludf.DUMMYFUNCTION("""COMPUTED_VALUE"""),"CIN")</f>
        <v>CIN</v>
      </c>
      <c r="E1890" s="62" t="str">
        <f t="shared" si="4"/>
        <v>Josh Newton</v>
      </c>
      <c r="F1890" s="62">
        <f t="shared" ref="F1890:G1890" si="3779">IF(isblank(F$1),,IF(isblank($A1890),,IFERROR(vlookup($A1890,indirect("'TVC-"&amp;text(month(F$1),"00")&amp;"'!$A:$D"),4,false),1)))</f>
        <v>1</v>
      </c>
      <c r="G1890" s="62">
        <f t="shared" si="3779"/>
        <v>1</v>
      </c>
      <c r="H1890" s="62">
        <f t="shared" ref="H1890:Q1890" si="3780">IF(isblank(H$1),,IFERROR(vlookup($A1890,indirect("'TVC-"&amp;text(month(H$1),"00")&amp;"'!$A:$D"),4,false),1))</f>
        <v>1</v>
      </c>
      <c r="I1890" s="62">
        <f t="shared" si="3780"/>
        <v>1</v>
      </c>
      <c r="J1890" s="62">
        <f t="shared" si="3780"/>
        <v>1</v>
      </c>
      <c r="K1890" s="62">
        <f t="shared" si="3780"/>
        <v>1</v>
      </c>
      <c r="L1890" s="62">
        <f t="shared" si="3780"/>
        <v>1</v>
      </c>
      <c r="M1890" s="62">
        <f t="shared" si="3780"/>
        <v>1</v>
      </c>
      <c r="N1890" s="62">
        <f t="shared" si="3780"/>
        <v>1</v>
      </c>
      <c r="O1890" s="62">
        <f t="shared" si="3780"/>
        <v>1</v>
      </c>
      <c r="P1890" s="62" t="str">
        <f t="shared" si="3780"/>
        <v/>
      </c>
      <c r="Q1890" s="62" t="str">
        <f t="shared" si="3780"/>
        <v/>
      </c>
      <c r="R1890" s="62">
        <f t="shared" si="7"/>
        <v>0</v>
      </c>
      <c r="S1890" s="62"/>
      <c r="T1890" s="62"/>
      <c r="U1890" s="62"/>
      <c r="V1890" s="62"/>
      <c r="W1890" s="62"/>
      <c r="X1890" s="62"/>
      <c r="Y1890" s="62"/>
      <c r="Z1890" s="62"/>
      <c r="AA1890" s="62"/>
      <c r="AB1890" s="62"/>
      <c r="AC1890" s="62"/>
    </row>
    <row r="1891" hidden="1">
      <c r="A1891" s="60">
        <f>IFERROR(__xludf.DUMMYFUNCTION("""COMPUTED_VALUE"""),16738.0)</f>
        <v>16738</v>
      </c>
      <c r="B1891" s="60" t="str">
        <f>IFERROR(__xludf.DUMMYFUNCTION("""COMPUTED_VALUE"""),"Carlies, Jaylon")</f>
        <v>Carlies, Jaylon</v>
      </c>
      <c r="C1891" s="60" t="str">
        <f>IFERROR(__xludf.DUMMYFUNCTION("""COMPUTED_VALUE"""),"LB")</f>
        <v>LB</v>
      </c>
      <c r="D1891" s="60" t="str">
        <f>IFERROR(__xludf.DUMMYFUNCTION("""COMPUTED_VALUE"""),"IND")</f>
        <v>IND</v>
      </c>
      <c r="E1891" s="62" t="str">
        <f t="shared" si="4"/>
        <v>Jaylon Carlies</v>
      </c>
      <c r="F1891" s="62">
        <f t="shared" ref="F1891:G1891" si="3781">IF(isblank(F$1),,IF(isblank($A1891),,IFERROR(vlookup($A1891,indirect("'TVC-"&amp;text(month(F$1),"00")&amp;"'!$A:$D"),4,false),1)))</f>
        <v>1</v>
      </c>
      <c r="G1891" s="62">
        <f t="shared" si="3781"/>
        <v>1</v>
      </c>
      <c r="H1891" s="62">
        <f t="shared" ref="H1891:Q1891" si="3782">IF(isblank(H$1),,IFERROR(vlookup($A1891,indirect("'TVC-"&amp;text(month(H$1),"00")&amp;"'!$A:$D"),4,false),1))</f>
        <v>1</v>
      </c>
      <c r="I1891" s="62">
        <f t="shared" si="3782"/>
        <v>1</v>
      </c>
      <c r="J1891" s="62">
        <f t="shared" si="3782"/>
        <v>1</v>
      </c>
      <c r="K1891" s="62">
        <f t="shared" si="3782"/>
        <v>1</v>
      </c>
      <c r="L1891" s="62">
        <f t="shared" si="3782"/>
        <v>1</v>
      </c>
      <c r="M1891" s="62">
        <f t="shared" si="3782"/>
        <v>1</v>
      </c>
      <c r="N1891" s="62">
        <f t="shared" si="3782"/>
        <v>1</v>
      </c>
      <c r="O1891" s="62">
        <f t="shared" si="3782"/>
        <v>1</v>
      </c>
      <c r="P1891" s="62" t="str">
        <f t="shared" si="3782"/>
        <v/>
      </c>
      <c r="Q1891" s="62" t="str">
        <f t="shared" si="3782"/>
        <v/>
      </c>
      <c r="R1891" s="62">
        <f t="shared" si="7"/>
        <v>0</v>
      </c>
      <c r="S1891" s="62"/>
      <c r="T1891" s="62"/>
      <c r="U1891" s="62"/>
      <c r="V1891" s="62"/>
      <c r="W1891" s="62"/>
      <c r="X1891" s="62"/>
      <c r="Y1891" s="62"/>
      <c r="Z1891" s="62"/>
      <c r="AA1891" s="62"/>
      <c r="AB1891" s="62"/>
      <c r="AC1891" s="62"/>
    </row>
    <row r="1892" hidden="1">
      <c r="A1892" s="60">
        <f>IFERROR(__xludf.DUMMYFUNCTION("""COMPUTED_VALUE"""),16740.0)</f>
        <v>16740</v>
      </c>
      <c r="B1892" s="60" t="str">
        <f>IFERROR(__xludf.DUMMYFUNCTION("""COMPUTED_VALUE"""),"Jackson, Brennan")</f>
        <v>Jackson, Brennan</v>
      </c>
      <c r="C1892" s="60" t="str">
        <f>IFERROR(__xludf.DUMMYFUNCTION("""COMPUTED_VALUE"""),"DE")</f>
        <v>DE</v>
      </c>
      <c r="D1892" s="60" t="str">
        <f>IFERROR(__xludf.DUMMYFUNCTION("""COMPUTED_VALUE"""),"LVR")</f>
        <v>LVR</v>
      </c>
      <c r="E1892" s="62" t="str">
        <f t="shared" si="4"/>
        <v>Brennan Jackson</v>
      </c>
      <c r="F1892" s="62">
        <f t="shared" ref="F1892:G1892" si="3783">IF(isblank(F$1),,IF(isblank($A1892),,IFERROR(vlookup($A1892,indirect("'TVC-"&amp;text(month(F$1),"00")&amp;"'!$A:$D"),4,false),1)))</f>
        <v>1</v>
      </c>
      <c r="G1892" s="62">
        <f t="shared" si="3783"/>
        <v>1</v>
      </c>
      <c r="H1892" s="62">
        <f t="shared" ref="H1892:Q1892" si="3784">IF(isblank(H$1),,IFERROR(vlookup($A1892,indirect("'TVC-"&amp;text(month(H$1),"00")&amp;"'!$A:$D"),4,false),1))</f>
        <v>1</v>
      </c>
      <c r="I1892" s="62">
        <f t="shared" si="3784"/>
        <v>1</v>
      </c>
      <c r="J1892" s="62">
        <f t="shared" si="3784"/>
        <v>1</v>
      </c>
      <c r="K1892" s="62">
        <f t="shared" si="3784"/>
        <v>1</v>
      </c>
      <c r="L1892" s="62">
        <f t="shared" si="3784"/>
        <v>1</v>
      </c>
      <c r="M1892" s="62">
        <f t="shared" si="3784"/>
        <v>1</v>
      </c>
      <c r="N1892" s="62">
        <f t="shared" si="3784"/>
        <v>1</v>
      </c>
      <c r="O1892" s="62">
        <f t="shared" si="3784"/>
        <v>1</v>
      </c>
      <c r="P1892" s="62" t="str">
        <f t="shared" si="3784"/>
        <v/>
      </c>
      <c r="Q1892" s="62" t="str">
        <f t="shared" si="3784"/>
        <v/>
      </c>
      <c r="R1892" s="62">
        <f t="shared" si="7"/>
        <v>0</v>
      </c>
      <c r="S1892" s="62"/>
      <c r="T1892" s="62"/>
      <c r="U1892" s="62"/>
      <c r="V1892" s="62"/>
      <c r="W1892" s="62"/>
      <c r="X1892" s="62"/>
      <c r="Y1892" s="62"/>
      <c r="Z1892" s="62"/>
      <c r="AA1892" s="62"/>
      <c r="AB1892" s="62"/>
      <c r="AC1892" s="62"/>
    </row>
    <row r="1893" hidden="1">
      <c r="A1893" s="60">
        <f>IFERROR(__xludf.DUMMYFUNCTION("""COMPUTED_VALUE"""),16741.0)</f>
        <v>16741</v>
      </c>
      <c r="B1893" s="60" t="str">
        <f>IFERROR(__xludf.DUMMYFUNCTION("""COMPUTED_VALUE"""),"Smith-Wade, Chau")</f>
        <v>Smith-Wade, Chau</v>
      </c>
      <c r="C1893" s="60" t="str">
        <f>IFERROR(__xludf.DUMMYFUNCTION("""COMPUTED_VALUE"""),"CB")</f>
        <v>CB</v>
      </c>
      <c r="D1893" s="60" t="str">
        <f>IFERROR(__xludf.DUMMYFUNCTION("""COMPUTED_VALUE"""),"CAR")</f>
        <v>CAR</v>
      </c>
      <c r="E1893" s="62" t="str">
        <f t="shared" si="4"/>
        <v>Chau Smith-Wade</v>
      </c>
      <c r="F1893" s="62">
        <f t="shared" ref="F1893:G1893" si="3785">IF(isblank(F$1),,IF(isblank($A1893),,IFERROR(vlookup($A1893,indirect("'TVC-"&amp;text(month(F$1),"00")&amp;"'!$A:$D"),4,false),1)))</f>
        <v>1</v>
      </c>
      <c r="G1893" s="62">
        <f t="shared" si="3785"/>
        <v>1</v>
      </c>
      <c r="H1893" s="62">
        <f t="shared" ref="H1893:Q1893" si="3786">IF(isblank(H$1),,IFERROR(vlookup($A1893,indirect("'TVC-"&amp;text(month(H$1),"00")&amp;"'!$A:$D"),4,false),1))</f>
        <v>1</v>
      </c>
      <c r="I1893" s="62">
        <f t="shared" si="3786"/>
        <v>1</v>
      </c>
      <c r="J1893" s="62">
        <f t="shared" si="3786"/>
        <v>1</v>
      </c>
      <c r="K1893" s="62">
        <f t="shared" si="3786"/>
        <v>1</v>
      </c>
      <c r="L1893" s="62">
        <f t="shared" si="3786"/>
        <v>1</v>
      </c>
      <c r="M1893" s="62">
        <f t="shared" si="3786"/>
        <v>1</v>
      </c>
      <c r="N1893" s="62">
        <f t="shared" si="3786"/>
        <v>1</v>
      </c>
      <c r="O1893" s="62">
        <f t="shared" si="3786"/>
        <v>1</v>
      </c>
      <c r="P1893" s="62" t="str">
        <f t="shared" si="3786"/>
        <v/>
      </c>
      <c r="Q1893" s="62" t="str">
        <f t="shared" si="3786"/>
        <v/>
      </c>
      <c r="R1893" s="62">
        <f t="shared" si="7"/>
        <v>0</v>
      </c>
      <c r="S1893" s="62"/>
      <c r="T1893" s="62"/>
      <c r="U1893" s="62"/>
      <c r="V1893" s="62"/>
      <c r="W1893" s="62"/>
      <c r="X1893" s="62"/>
      <c r="Y1893" s="62"/>
      <c r="Z1893" s="62"/>
      <c r="AA1893" s="62"/>
      <c r="AB1893" s="62"/>
      <c r="AC1893" s="62"/>
    </row>
    <row r="1894" hidden="1">
      <c r="A1894" s="60">
        <f>IFERROR(__xludf.DUMMYFUNCTION("""COMPUTED_VALUE"""),16742.0)</f>
        <v>16742</v>
      </c>
      <c r="B1894" s="60" t="str">
        <f>IFERROR(__xludf.DUMMYFUNCTION("""COMPUTED_VALUE"""),"Kamara, Mohamed")</f>
        <v>Kamara, Mohamed</v>
      </c>
      <c r="C1894" s="60" t="str">
        <f>IFERROR(__xludf.DUMMYFUNCTION("""COMPUTED_VALUE"""),"DE")</f>
        <v>DE</v>
      </c>
      <c r="D1894" s="60" t="str">
        <f>IFERROR(__xludf.DUMMYFUNCTION("""COMPUTED_VALUE"""),"TBB")</f>
        <v>TBB</v>
      </c>
      <c r="E1894" s="62" t="str">
        <f t="shared" si="4"/>
        <v>Mohamed Kamara</v>
      </c>
      <c r="F1894" s="62">
        <f t="shared" ref="F1894:G1894" si="3787">IF(isblank(F$1),,IF(isblank($A1894),,IFERROR(vlookup($A1894,indirect("'TVC-"&amp;text(month(F$1),"00")&amp;"'!$A:$D"),4,false),1)))</f>
        <v>1</v>
      </c>
      <c r="G1894" s="62">
        <f t="shared" si="3787"/>
        <v>1</v>
      </c>
      <c r="H1894" s="62">
        <f t="shared" ref="H1894:Q1894" si="3788">IF(isblank(H$1),,IFERROR(vlookup($A1894,indirect("'TVC-"&amp;text(month(H$1),"00")&amp;"'!$A:$D"),4,false),1))</f>
        <v>1</v>
      </c>
      <c r="I1894" s="62">
        <f t="shared" si="3788"/>
        <v>1</v>
      </c>
      <c r="J1894" s="62">
        <f t="shared" si="3788"/>
        <v>1</v>
      </c>
      <c r="K1894" s="62">
        <f t="shared" si="3788"/>
        <v>1</v>
      </c>
      <c r="L1894" s="62">
        <f t="shared" si="3788"/>
        <v>1</v>
      </c>
      <c r="M1894" s="62">
        <f t="shared" si="3788"/>
        <v>1</v>
      </c>
      <c r="N1894" s="62">
        <f t="shared" si="3788"/>
        <v>1</v>
      </c>
      <c r="O1894" s="62">
        <f t="shared" si="3788"/>
        <v>1</v>
      </c>
      <c r="P1894" s="62" t="str">
        <f t="shared" si="3788"/>
        <v/>
      </c>
      <c r="Q1894" s="62" t="str">
        <f t="shared" si="3788"/>
        <v/>
      </c>
      <c r="R1894" s="62">
        <f t="shared" si="7"/>
        <v>0</v>
      </c>
      <c r="S1894" s="62"/>
      <c r="T1894" s="62"/>
      <c r="U1894" s="62"/>
      <c r="V1894" s="62"/>
      <c r="W1894" s="62"/>
      <c r="X1894" s="62"/>
      <c r="Y1894" s="62"/>
      <c r="Z1894" s="62"/>
      <c r="AA1894" s="62"/>
      <c r="AB1894" s="62"/>
      <c r="AC1894" s="62"/>
    </row>
    <row r="1895">
      <c r="A1895" s="60">
        <f>IFERROR(__xludf.DUMMYFUNCTION("""COMPUTED_VALUE"""),16743.0)</f>
        <v>16743</v>
      </c>
      <c r="B1895" s="60" t="str">
        <f>IFERROR(__xludf.DUMMYFUNCTION("""COMPUTED_VALUE"""),"Ulofoshio, Edefuan")</f>
        <v>Ulofoshio, Edefuan</v>
      </c>
      <c r="C1895" s="60" t="str">
        <f>IFERROR(__xludf.DUMMYFUNCTION("""COMPUTED_VALUE"""),"LB")</f>
        <v>LB</v>
      </c>
      <c r="D1895" s="60" t="str">
        <f>IFERROR(__xludf.DUMMYFUNCTION("""COMPUTED_VALUE"""),"CLE")</f>
        <v>CLE</v>
      </c>
      <c r="E1895" s="62" t="str">
        <f t="shared" si="4"/>
        <v>Edefuan Ulofoshio</v>
      </c>
      <c r="F1895" s="62">
        <f t="shared" ref="F1895:G1895" si="3789">IF(isblank(F$1),,IF(isblank($A1895),,IFERROR(vlookup($A1895,indirect("'TVC-"&amp;text(month(F$1),"00")&amp;"'!$A:$D"),4,false),1)))</f>
        <v>1</v>
      </c>
      <c r="G1895" s="62">
        <f t="shared" si="3789"/>
        <v>1</v>
      </c>
      <c r="H1895" s="62">
        <f t="shared" ref="H1895:Q1895" si="3790">IF(isblank(H$1),,IFERROR(vlookup($A1895,indirect("'TVC-"&amp;text(month(H$1),"00")&amp;"'!$A:$D"),4,false),1))</f>
        <v>1</v>
      </c>
      <c r="I1895" s="62">
        <f t="shared" si="3790"/>
        <v>1</v>
      </c>
      <c r="J1895" s="62">
        <f t="shared" si="3790"/>
        <v>1</v>
      </c>
      <c r="K1895" s="62">
        <f t="shared" si="3790"/>
        <v>1</v>
      </c>
      <c r="L1895" s="62">
        <f t="shared" si="3790"/>
        <v>1</v>
      </c>
      <c r="M1895" s="62">
        <f t="shared" si="3790"/>
        <v>1</v>
      </c>
      <c r="N1895" s="62">
        <f t="shared" si="3790"/>
        <v>1</v>
      </c>
      <c r="O1895" s="62">
        <f t="shared" si="3790"/>
        <v>1</v>
      </c>
      <c r="P1895" s="62" t="str">
        <f t="shared" si="3790"/>
        <v/>
      </c>
      <c r="Q1895" s="62" t="str">
        <f t="shared" si="3790"/>
        <v/>
      </c>
      <c r="R1895" s="62">
        <f t="shared" si="7"/>
        <v>0</v>
      </c>
      <c r="S1895" s="62"/>
      <c r="T1895" s="62"/>
      <c r="U1895" s="62"/>
      <c r="V1895" s="62"/>
      <c r="W1895" s="62"/>
      <c r="X1895" s="62"/>
      <c r="Y1895" s="62"/>
      <c r="Z1895" s="62"/>
      <c r="AA1895" s="62"/>
      <c r="AB1895" s="62"/>
      <c r="AC1895" s="62"/>
    </row>
    <row r="1896" hidden="1">
      <c r="A1896" s="60">
        <f>IFERROR(__xludf.DUMMYFUNCTION("""COMPUTED_VALUE"""),16744.0)</f>
        <v>16744</v>
      </c>
      <c r="B1896" s="60" t="str">
        <f>IFERROR(__xludf.DUMMYFUNCTION("""COMPUTED_VALUE"""),"Hampton, Dominique")</f>
        <v>Hampton, Dominique</v>
      </c>
      <c r="C1896" s="60" t="str">
        <f>IFERROR(__xludf.DUMMYFUNCTION("""COMPUTED_VALUE"""),"S")</f>
        <v>S</v>
      </c>
      <c r="D1896" s="60" t="str">
        <f>IFERROR(__xludf.DUMMYFUNCTION("""COMPUTED_VALUE"""),"FA")</f>
        <v>FA</v>
      </c>
      <c r="E1896" s="62" t="str">
        <f t="shared" si="4"/>
        <v>Dominique Hampton</v>
      </c>
      <c r="F1896" s="62">
        <f t="shared" ref="F1896:G1896" si="3791">IF(isblank(F$1),,IF(isblank($A1896),,IFERROR(vlookup($A1896,indirect("'TVC-"&amp;text(month(F$1),"00")&amp;"'!$A:$D"),4,false),1)))</f>
        <v>1</v>
      </c>
      <c r="G1896" s="62">
        <f t="shared" si="3791"/>
        <v>1</v>
      </c>
      <c r="H1896" s="62">
        <f t="shared" ref="H1896:Q1896" si="3792">IF(isblank(H$1),,IFERROR(vlookup($A1896,indirect("'TVC-"&amp;text(month(H$1),"00")&amp;"'!$A:$D"),4,false),1))</f>
        <v>1</v>
      </c>
      <c r="I1896" s="62">
        <f t="shared" si="3792"/>
        <v>1</v>
      </c>
      <c r="J1896" s="62">
        <f t="shared" si="3792"/>
        <v>1</v>
      </c>
      <c r="K1896" s="62">
        <f t="shared" si="3792"/>
        <v>1</v>
      </c>
      <c r="L1896" s="62">
        <f t="shared" si="3792"/>
        <v>1</v>
      </c>
      <c r="M1896" s="62">
        <f t="shared" si="3792"/>
        <v>1</v>
      </c>
      <c r="N1896" s="62">
        <f t="shared" si="3792"/>
        <v>1</v>
      </c>
      <c r="O1896" s="62">
        <f t="shared" si="3792"/>
        <v>1</v>
      </c>
      <c r="P1896" s="62" t="str">
        <f t="shared" si="3792"/>
        <v/>
      </c>
      <c r="Q1896" s="62" t="str">
        <f t="shared" si="3792"/>
        <v/>
      </c>
      <c r="R1896" s="62">
        <f t="shared" si="7"/>
        <v>0</v>
      </c>
      <c r="S1896" s="62"/>
      <c r="T1896" s="62"/>
      <c r="U1896" s="62"/>
      <c r="V1896" s="62"/>
      <c r="W1896" s="62"/>
      <c r="X1896" s="62"/>
      <c r="Y1896" s="62"/>
      <c r="Z1896" s="62"/>
      <c r="AA1896" s="62"/>
      <c r="AB1896" s="62"/>
      <c r="AC1896" s="62"/>
    </row>
    <row r="1897" hidden="1">
      <c r="A1897" s="60">
        <f>IFERROR(__xludf.DUMMYFUNCTION("""COMPUTED_VALUE"""),16745.0)</f>
        <v>16745</v>
      </c>
      <c r="B1897" s="60" t="str">
        <f>IFERROR(__xludf.DUMMYFUNCTION("""COMPUTED_VALUE"""),"Simpson, Jaylin")</f>
        <v>Simpson, Jaylin</v>
      </c>
      <c r="C1897" s="60" t="str">
        <f>IFERROR(__xludf.DUMMYFUNCTION("""COMPUTED_VALUE"""),"CB")</f>
        <v>CB</v>
      </c>
      <c r="D1897" s="60" t="str">
        <f>IFERROR(__xludf.DUMMYFUNCTION("""COMPUTED_VALUE"""),"MIA")</f>
        <v>MIA</v>
      </c>
      <c r="E1897" s="62" t="str">
        <f t="shared" si="4"/>
        <v>Jaylin Simpson</v>
      </c>
      <c r="F1897" s="62">
        <f t="shared" ref="F1897:G1897" si="3793">IF(isblank(F$1),,IF(isblank($A1897),,IFERROR(vlookup($A1897,indirect("'TVC-"&amp;text(month(F$1),"00")&amp;"'!$A:$D"),4,false),1)))</f>
        <v>1</v>
      </c>
      <c r="G1897" s="62">
        <f t="shared" si="3793"/>
        <v>1</v>
      </c>
      <c r="H1897" s="62">
        <f t="shared" ref="H1897:Q1897" si="3794">IF(isblank(H$1),,IFERROR(vlookup($A1897,indirect("'TVC-"&amp;text(month(H$1),"00")&amp;"'!$A:$D"),4,false),1))</f>
        <v>1</v>
      </c>
      <c r="I1897" s="62">
        <f t="shared" si="3794"/>
        <v>1</v>
      </c>
      <c r="J1897" s="62">
        <f t="shared" si="3794"/>
        <v>1</v>
      </c>
      <c r="K1897" s="62">
        <f t="shared" si="3794"/>
        <v>1</v>
      </c>
      <c r="L1897" s="62">
        <f t="shared" si="3794"/>
        <v>1</v>
      </c>
      <c r="M1897" s="62">
        <f t="shared" si="3794"/>
        <v>1</v>
      </c>
      <c r="N1897" s="62">
        <f t="shared" si="3794"/>
        <v>1</v>
      </c>
      <c r="O1897" s="62">
        <f t="shared" si="3794"/>
        <v>1</v>
      </c>
      <c r="P1897" s="62" t="str">
        <f t="shared" si="3794"/>
        <v/>
      </c>
      <c r="Q1897" s="62" t="str">
        <f t="shared" si="3794"/>
        <v/>
      </c>
      <c r="R1897" s="62">
        <f t="shared" si="7"/>
        <v>0</v>
      </c>
      <c r="S1897" s="62"/>
      <c r="T1897" s="62"/>
      <c r="U1897" s="62"/>
      <c r="V1897" s="62"/>
      <c r="W1897" s="62"/>
      <c r="X1897" s="62"/>
      <c r="Y1897" s="62"/>
      <c r="Z1897" s="62"/>
      <c r="AA1897" s="62"/>
      <c r="AB1897" s="62"/>
      <c r="AC1897" s="62"/>
    </row>
    <row r="1898" hidden="1">
      <c r="A1898" s="60">
        <f>IFERROR(__xludf.DUMMYFUNCTION("""COMPUTED_VALUE"""),16746.0)</f>
        <v>16746</v>
      </c>
      <c r="B1898" s="60" t="str">
        <f>IFERROR(__xludf.DUMMYFUNCTION("""COMPUTED_VALUE"""),"Ali, Rasheen")</f>
        <v>Ali, Rasheen</v>
      </c>
      <c r="C1898" s="60" t="str">
        <f>IFERROR(__xludf.DUMMYFUNCTION("""COMPUTED_VALUE"""),"RB")</f>
        <v>RB</v>
      </c>
      <c r="D1898" s="60" t="str">
        <f>IFERROR(__xludf.DUMMYFUNCTION("""COMPUTED_VALUE"""),"BAL")</f>
        <v>BAL</v>
      </c>
      <c r="E1898" s="62" t="str">
        <f t="shared" si="4"/>
        <v>Rasheen Ali</v>
      </c>
      <c r="F1898" s="62">
        <f t="shared" ref="F1898:G1898" si="3795">IF(isblank(F$1),,IF(isblank($A1898),,IFERROR(vlookup($A1898,indirect("'TVC-"&amp;text(month(F$1),"00")&amp;"'!$A:$D"),4,false),1)))</f>
        <v>1193</v>
      </c>
      <c r="G1898" s="62">
        <f t="shared" si="3795"/>
        <v>1167</v>
      </c>
      <c r="H1898" s="62">
        <f t="shared" ref="H1898:Q1898" si="3796">IF(isblank(H$1),,IFERROR(vlookup($A1898,indirect("'TVC-"&amp;text(month(H$1),"00")&amp;"'!$A:$D"),4,false),1))</f>
        <v>1150</v>
      </c>
      <c r="I1898" s="62">
        <f t="shared" si="3796"/>
        <v>1253</v>
      </c>
      <c r="J1898" s="62">
        <f t="shared" si="3796"/>
        <v>1149</v>
      </c>
      <c r="K1898" s="62">
        <f t="shared" si="3796"/>
        <v>1212</v>
      </c>
      <c r="L1898" s="62">
        <f t="shared" si="3796"/>
        <v>1213</v>
      </c>
      <c r="M1898" s="62">
        <f t="shared" si="3796"/>
        <v>1301</v>
      </c>
      <c r="N1898" s="62">
        <f t="shared" si="3796"/>
        <v>1140</v>
      </c>
      <c r="O1898" s="62">
        <f t="shared" si="3796"/>
        <v>1</v>
      </c>
      <c r="P1898" s="62" t="str">
        <f t="shared" si="3796"/>
        <v/>
      </c>
      <c r="Q1898" s="62" t="str">
        <f t="shared" si="3796"/>
        <v/>
      </c>
      <c r="R1898" s="62">
        <f t="shared" si="7"/>
        <v>-1139</v>
      </c>
      <c r="S1898" s="62"/>
      <c r="T1898" s="62"/>
      <c r="U1898" s="62"/>
      <c r="V1898" s="62"/>
      <c r="W1898" s="62"/>
      <c r="X1898" s="62"/>
      <c r="Y1898" s="62"/>
      <c r="Z1898" s="62"/>
      <c r="AA1898" s="62"/>
      <c r="AB1898" s="62"/>
      <c r="AC1898" s="62"/>
    </row>
    <row r="1899" hidden="1">
      <c r="A1899" s="60">
        <f>IFERROR(__xludf.DUMMYFUNCTION("""COMPUTED_VALUE"""),16747.0)</f>
        <v>16747</v>
      </c>
      <c r="B1899" s="60" t="str">
        <f>IFERROR(__xludf.DUMMYFUNCTION("""COMPUTED_VALUE"""),"Tracy, Tyrone")</f>
        <v>Tracy, Tyrone</v>
      </c>
      <c r="C1899" s="60" t="str">
        <f>IFERROR(__xludf.DUMMYFUNCTION("""COMPUTED_VALUE"""),"RB")</f>
        <v>RB</v>
      </c>
      <c r="D1899" s="60" t="str">
        <f>IFERROR(__xludf.DUMMYFUNCTION("""COMPUTED_VALUE"""),"NYG")</f>
        <v>NYG</v>
      </c>
      <c r="E1899" s="62" t="str">
        <f t="shared" si="4"/>
        <v>Tyrone Tracy</v>
      </c>
      <c r="F1899" s="62">
        <f t="shared" ref="F1899:G1899" si="3797">IF(isblank(F$1),,IF(isblank($A1899),,IFERROR(vlookup($A1899,indirect("'TVC-"&amp;text(month(F$1),"00")&amp;"'!$A:$D"),4,false),1)))</f>
        <v>2709</v>
      </c>
      <c r="G1899" s="62">
        <f t="shared" si="3797"/>
        <v>2738</v>
      </c>
      <c r="H1899" s="62">
        <f t="shared" ref="H1899:Q1899" si="3798">IF(isblank(H$1),,IFERROR(vlookup($A1899,indirect("'TVC-"&amp;text(month(H$1),"00")&amp;"'!$A:$D"),4,false),1))</f>
        <v>2713</v>
      </c>
      <c r="I1899" s="62">
        <f t="shared" si="3798"/>
        <v>2589</v>
      </c>
      <c r="J1899" s="62">
        <f t="shared" si="3798"/>
        <v>2647</v>
      </c>
      <c r="K1899" s="62">
        <f t="shared" si="3798"/>
        <v>2678</v>
      </c>
      <c r="L1899" s="62">
        <f t="shared" si="3798"/>
        <v>2651</v>
      </c>
      <c r="M1899" s="62">
        <f t="shared" si="3798"/>
        <v>2611</v>
      </c>
      <c r="N1899" s="62">
        <f t="shared" si="3798"/>
        <v>2199</v>
      </c>
      <c r="O1899" s="62">
        <f t="shared" si="3798"/>
        <v>1</v>
      </c>
      <c r="P1899" s="62" t="str">
        <f t="shared" si="3798"/>
        <v/>
      </c>
      <c r="Q1899" s="62" t="str">
        <f t="shared" si="3798"/>
        <v/>
      </c>
      <c r="R1899" s="62">
        <f t="shared" si="7"/>
        <v>-2198</v>
      </c>
      <c r="S1899" s="62"/>
      <c r="T1899" s="62"/>
      <c r="U1899" s="62"/>
      <c r="V1899" s="62"/>
      <c r="W1899" s="62"/>
      <c r="X1899" s="62"/>
      <c r="Y1899" s="62"/>
      <c r="Z1899" s="62"/>
      <c r="AA1899" s="62"/>
      <c r="AB1899" s="62"/>
      <c r="AC1899" s="62"/>
    </row>
    <row r="1900">
      <c r="A1900" s="60">
        <f>IFERROR(__xludf.DUMMYFUNCTION("""COMPUTED_VALUE"""),16748.0)</f>
        <v>16748</v>
      </c>
      <c r="B1900" s="60" t="str">
        <f>IFERROR(__xludf.DUMMYFUNCTION("""COMPUTED_VALUE"""),"Robinson, Keilan")</f>
        <v>Robinson, Keilan</v>
      </c>
      <c r="C1900" s="60" t="str">
        <f>IFERROR(__xludf.DUMMYFUNCTION("""COMPUTED_VALUE"""),"RB")</f>
        <v>RB</v>
      </c>
      <c r="D1900" s="60" t="str">
        <f>IFERROR(__xludf.DUMMYFUNCTION("""COMPUTED_VALUE"""),"FA")</f>
        <v>FA</v>
      </c>
      <c r="E1900" s="62" t="str">
        <f t="shared" si="4"/>
        <v>Keilan Robinson</v>
      </c>
      <c r="F1900" s="62">
        <f t="shared" ref="F1900:G1900" si="3799">IF(isblank(F$1),,IF(isblank($A1900),,IFERROR(vlookup($A1900,indirect("'TVC-"&amp;text(month(F$1),"00")&amp;"'!$A:$D"),4,false),1)))</f>
        <v>1</v>
      </c>
      <c r="G1900" s="62">
        <f t="shared" si="3799"/>
        <v>1</v>
      </c>
      <c r="H1900" s="62">
        <f t="shared" ref="H1900:Q1900" si="3800">IF(isblank(H$1),,IFERROR(vlookup($A1900,indirect("'TVC-"&amp;text(month(H$1),"00")&amp;"'!$A:$D"),4,false),1))</f>
        <v>1</v>
      </c>
      <c r="I1900" s="62">
        <f t="shared" si="3800"/>
        <v>1</v>
      </c>
      <c r="J1900" s="62">
        <f t="shared" si="3800"/>
        <v>1</v>
      </c>
      <c r="K1900" s="62">
        <f t="shared" si="3800"/>
        <v>1</v>
      </c>
      <c r="L1900" s="62">
        <f t="shared" si="3800"/>
        <v>1</v>
      </c>
      <c r="M1900" s="62">
        <f t="shared" si="3800"/>
        <v>1</v>
      </c>
      <c r="N1900" s="62">
        <f t="shared" si="3800"/>
        <v>1</v>
      </c>
      <c r="O1900" s="62">
        <f t="shared" si="3800"/>
        <v>1</v>
      </c>
      <c r="P1900" s="62" t="str">
        <f t="shared" si="3800"/>
        <v/>
      </c>
      <c r="Q1900" s="62" t="str">
        <f t="shared" si="3800"/>
        <v/>
      </c>
      <c r="R1900" s="62">
        <f t="shared" si="7"/>
        <v>0</v>
      </c>
      <c r="S1900" s="62"/>
      <c r="T1900" s="62"/>
      <c r="U1900" s="62"/>
      <c r="V1900" s="62"/>
      <c r="W1900" s="62"/>
      <c r="X1900" s="62"/>
      <c r="Y1900" s="62"/>
      <c r="Z1900" s="62"/>
      <c r="AA1900" s="62"/>
      <c r="AB1900" s="62"/>
      <c r="AC1900" s="62"/>
    </row>
    <row r="1901" hidden="1">
      <c r="A1901" s="60">
        <f>IFERROR(__xludf.DUMMYFUNCTION("""COMPUTED_VALUE"""),16749.0)</f>
        <v>16749</v>
      </c>
      <c r="B1901" s="60" t="str">
        <f>IFERROR(__xludf.DUMMYFUNCTION("""COMPUTED_VALUE"""),"Solomon, Javon")</f>
        <v>Solomon, Javon</v>
      </c>
      <c r="C1901" s="60" t="str">
        <f>IFERROR(__xludf.DUMMYFUNCTION("""COMPUTED_VALUE"""),"DE")</f>
        <v>DE</v>
      </c>
      <c r="D1901" s="60" t="str">
        <f>IFERROR(__xludf.DUMMYFUNCTION("""COMPUTED_VALUE"""),"BUF")</f>
        <v>BUF</v>
      </c>
      <c r="E1901" s="62" t="str">
        <f t="shared" si="4"/>
        <v>Javon Solomon</v>
      </c>
      <c r="F1901" s="62">
        <f t="shared" ref="F1901:G1901" si="3801">IF(isblank(F$1),,IF(isblank($A1901),,IFERROR(vlookup($A1901,indirect("'TVC-"&amp;text(month(F$1),"00")&amp;"'!$A:$D"),4,false),1)))</f>
        <v>1</v>
      </c>
      <c r="G1901" s="62">
        <f t="shared" si="3801"/>
        <v>1</v>
      </c>
      <c r="H1901" s="62">
        <f t="shared" ref="H1901:Q1901" si="3802">IF(isblank(H$1),,IFERROR(vlookup($A1901,indirect("'TVC-"&amp;text(month(H$1),"00")&amp;"'!$A:$D"),4,false),1))</f>
        <v>1</v>
      </c>
      <c r="I1901" s="62">
        <f t="shared" si="3802"/>
        <v>1</v>
      </c>
      <c r="J1901" s="62">
        <f t="shared" si="3802"/>
        <v>1</v>
      </c>
      <c r="K1901" s="62">
        <f t="shared" si="3802"/>
        <v>1</v>
      </c>
      <c r="L1901" s="62">
        <f t="shared" si="3802"/>
        <v>1</v>
      </c>
      <c r="M1901" s="62">
        <f t="shared" si="3802"/>
        <v>1</v>
      </c>
      <c r="N1901" s="62">
        <f t="shared" si="3802"/>
        <v>1</v>
      </c>
      <c r="O1901" s="62">
        <f t="shared" si="3802"/>
        <v>1</v>
      </c>
      <c r="P1901" s="62" t="str">
        <f t="shared" si="3802"/>
        <v/>
      </c>
      <c r="Q1901" s="62" t="str">
        <f t="shared" si="3802"/>
        <v/>
      </c>
      <c r="R1901" s="62">
        <f t="shared" si="7"/>
        <v>0</v>
      </c>
      <c r="S1901" s="62"/>
      <c r="T1901" s="62"/>
      <c r="U1901" s="62"/>
      <c r="V1901" s="62"/>
      <c r="W1901" s="62"/>
      <c r="X1901" s="62"/>
      <c r="Y1901" s="62"/>
      <c r="Z1901" s="62"/>
      <c r="AA1901" s="62"/>
      <c r="AB1901" s="62"/>
      <c r="AC1901" s="62"/>
    </row>
    <row r="1902" hidden="1">
      <c r="A1902" s="60">
        <f>IFERROR(__xludf.DUMMYFUNCTION("""COMPUTED_VALUE"""),16750.0)</f>
        <v>16750</v>
      </c>
      <c r="B1902" s="60" t="str">
        <f>IFERROR(__xludf.DUMMYFUNCTION("""COMPUTED_VALUE"""),"Oladapo, Kitan")</f>
        <v>Oladapo, Kitan</v>
      </c>
      <c r="C1902" s="60" t="str">
        <f>IFERROR(__xludf.DUMMYFUNCTION("""COMPUTED_VALUE"""),"S")</f>
        <v>S</v>
      </c>
      <c r="D1902" s="60" t="str">
        <f>IFERROR(__xludf.DUMMYFUNCTION("""COMPUTED_VALUE"""),"GBP")</f>
        <v>GBP</v>
      </c>
      <c r="E1902" s="62" t="str">
        <f t="shared" si="4"/>
        <v>Kitan Oladapo</v>
      </c>
      <c r="F1902" s="62">
        <f t="shared" ref="F1902:G1902" si="3803">IF(isblank(F$1),,IF(isblank($A1902),,IFERROR(vlookup($A1902,indirect("'TVC-"&amp;text(month(F$1),"00")&amp;"'!$A:$D"),4,false),1)))</f>
        <v>1</v>
      </c>
      <c r="G1902" s="62">
        <f t="shared" si="3803"/>
        <v>1</v>
      </c>
      <c r="H1902" s="62">
        <f t="shared" ref="H1902:Q1902" si="3804">IF(isblank(H$1),,IFERROR(vlookup($A1902,indirect("'TVC-"&amp;text(month(H$1),"00")&amp;"'!$A:$D"),4,false),1))</f>
        <v>1</v>
      </c>
      <c r="I1902" s="62">
        <f t="shared" si="3804"/>
        <v>1</v>
      </c>
      <c r="J1902" s="62">
        <f t="shared" si="3804"/>
        <v>1</v>
      </c>
      <c r="K1902" s="62">
        <f t="shared" si="3804"/>
        <v>1</v>
      </c>
      <c r="L1902" s="62">
        <f t="shared" si="3804"/>
        <v>1</v>
      </c>
      <c r="M1902" s="62">
        <f t="shared" si="3804"/>
        <v>1</v>
      </c>
      <c r="N1902" s="62">
        <f t="shared" si="3804"/>
        <v>1</v>
      </c>
      <c r="O1902" s="62">
        <f t="shared" si="3804"/>
        <v>1</v>
      </c>
      <c r="P1902" s="62" t="str">
        <f t="shared" si="3804"/>
        <v/>
      </c>
      <c r="Q1902" s="62" t="str">
        <f t="shared" si="3804"/>
        <v/>
      </c>
      <c r="R1902" s="62">
        <f t="shared" si="7"/>
        <v>0</v>
      </c>
      <c r="S1902" s="62"/>
      <c r="T1902" s="62"/>
      <c r="U1902" s="62"/>
      <c r="V1902" s="62"/>
      <c r="W1902" s="62"/>
      <c r="X1902" s="62"/>
      <c r="Y1902" s="62"/>
      <c r="Z1902" s="62"/>
      <c r="AA1902" s="62"/>
      <c r="AB1902" s="62"/>
      <c r="AC1902" s="62"/>
    </row>
    <row r="1903" hidden="1">
      <c r="A1903" s="60">
        <f>IFERROR(__xludf.DUMMYFUNCTION("""COMPUTED_VALUE"""),16751.0)</f>
        <v>16751</v>
      </c>
      <c r="B1903" s="60" t="str">
        <f>IFERROR(__xludf.DUMMYFUNCTION("""COMPUTED_VALUE"""),"Means, Bub")</f>
        <v>Means, Bub</v>
      </c>
      <c r="C1903" s="60" t="str">
        <f>IFERROR(__xludf.DUMMYFUNCTION("""COMPUTED_VALUE"""),"WR")</f>
        <v>WR</v>
      </c>
      <c r="D1903" s="60" t="str">
        <f>IFERROR(__xludf.DUMMYFUNCTION("""COMPUTED_VALUE"""),"CLE")</f>
        <v>CLE</v>
      </c>
      <c r="E1903" s="62" t="str">
        <f t="shared" si="4"/>
        <v>Bub Means</v>
      </c>
      <c r="F1903" s="62">
        <f t="shared" ref="F1903:G1903" si="3805">IF(isblank(F$1),,IF(isblank($A1903),,IFERROR(vlookup($A1903,indirect("'TVC-"&amp;text(month(F$1),"00")&amp;"'!$A:$D"),4,false),1)))</f>
        <v>850</v>
      </c>
      <c r="G1903" s="62">
        <f t="shared" si="3805"/>
        <v>859</v>
      </c>
      <c r="H1903" s="62">
        <f t="shared" ref="H1903:Q1903" si="3806">IF(isblank(H$1),,IFERROR(vlookup($A1903,indirect("'TVC-"&amp;text(month(H$1),"00")&amp;"'!$A:$D"),4,false),1))</f>
        <v>850</v>
      </c>
      <c r="I1903" s="62">
        <f t="shared" si="3806"/>
        <v>905</v>
      </c>
      <c r="J1903" s="62">
        <f t="shared" si="3806"/>
        <v>956</v>
      </c>
      <c r="K1903" s="62">
        <f t="shared" si="3806"/>
        <v>841</v>
      </c>
      <c r="L1903" s="62">
        <f t="shared" si="3806"/>
        <v>786</v>
      </c>
      <c r="M1903" s="62">
        <f t="shared" si="3806"/>
        <v>732</v>
      </c>
      <c r="N1903" s="62">
        <f t="shared" si="3806"/>
        <v>822</v>
      </c>
      <c r="O1903" s="62">
        <f t="shared" si="3806"/>
        <v>1</v>
      </c>
      <c r="P1903" s="62" t="str">
        <f t="shared" si="3806"/>
        <v/>
      </c>
      <c r="Q1903" s="62" t="str">
        <f t="shared" si="3806"/>
        <v/>
      </c>
      <c r="R1903" s="62">
        <f t="shared" si="7"/>
        <v>-821</v>
      </c>
      <c r="S1903" s="62"/>
      <c r="T1903" s="62"/>
      <c r="U1903" s="62"/>
      <c r="V1903" s="62"/>
      <c r="W1903" s="62"/>
      <c r="X1903" s="62"/>
      <c r="Y1903" s="62"/>
      <c r="Z1903" s="62"/>
      <c r="AA1903" s="62"/>
      <c r="AB1903" s="62"/>
      <c r="AC1903" s="62"/>
    </row>
    <row r="1904" hidden="1">
      <c r="A1904" s="60">
        <f>IFERROR(__xludf.DUMMYFUNCTION("""COMPUTED_VALUE"""),16752.0)</f>
        <v>16752</v>
      </c>
      <c r="B1904" s="60" t="str">
        <f>IFERROR(__xludf.DUMMYFUNCTION("""COMPUTED_VALUE"""),"Davis, Isaiah")</f>
        <v>Davis, Isaiah</v>
      </c>
      <c r="C1904" s="60" t="str">
        <f>IFERROR(__xludf.DUMMYFUNCTION("""COMPUTED_VALUE"""),"RB")</f>
        <v>RB</v>
      </c>
      <c r="D1904" s="60" t="str">
        <f>IFERROR(__xludf.DUMMYFUNCTION("""COMPUTED_VALUE"""),"NYJ")</f>
        <v>NYJ</v>
      </c>
      <c r="E1904" s="62" t="str">
        <f t="shared" si="4"/>
        <v>Isaiah Davis</v>
      </c>
      <c r="F1904" s="62">
        <f t="shared" ref="F1904:G1904" si="3807">IF(isblank(F$1),,IF(isblank($A1904),,IFERROR(vlookup($A1904,indirect("'TVC-"&amp;text(month(F$1),"00")&amp;"'!$A:$D"),4,false),1)))</f>
        <v>2200</v>
      </c>
      <c r="G1904" s="62">
        <f t="shared" si="3807"/>
        <v>2128</v>
      </c>
      <c r="H1904" s="62">
        <f t="shared" ref="H1904:Q1904" si="3808">IF(isblank(H$1),,IFERROR(vlookup($A1904,indirect("'TVC-"&amp;text(month(H$1),"00")&amp;"'!$A:$D"),4,false),1))</f>
        <v>2162</v>
      </c>
      <c r="I1904" s="62">
        <f t="shared" si="3808"/>
        <v>1919</v>
      </c>
      <c r="J1904" s="62">
        <f t="shared" si="3808"/>
        <v>1809</v>
      </c>
      <c r="K1904" s="62">
        <f t="shared" si="3808"/>
        <v>1842</v>
      </c>
      <c r="L1904" s="62">
        <f t="shared" si="3808"/>
        <v>1799</v>
      </c>
      <c r="M1904" s="62">
        <f t="shared" si="3808"/>
        <v>1873</v>
      </c>
      <c r="N1904" s="62">
        <f t="shared" si="3808"/>
        <v>1925</v>
      </c>
      <c r="O1904" s="62">
        <f t="shared" si="3808"/>
        <v>1</v>
      </c>
      <c r="P1904" s="62" t="str">
        <f t="shared" si="3808"/>
        <v/>
      </c>
      <c r="Q1904" s="62" t="str">
        <f t="shared" si="3808"/>
        <v/>
      </c>
      <c r="R1904" s="62">
        <f t="shared" si="7"/>
        <v>-1924</v>
      </c>
      <c r="S1904" s="62"/>
      <c r="T1904" s="62"/>
      <c r="U1904" s="62"/>
      <c r="V1904" s="62"/>
      <c r="W1904" s="62"/>
      <c r="X1904" s="62"/>
      <c r="Y1904" s="62"/>
      <c r="Z1904" s="62"/>
      <c r="AA1904" s="62"/>
      <c r="AB1904" s="62"/>
      <c r="AC1904" s="62"/>
    </row>
    <row r="1905" hidden="1">
      <c r="A1905" s="60">
        <f>IFERROR(__xludf.DUMMYFUNCTION("""COMPUTED_VALUE"""),16753.0)</f>
        <v>16753</v>
      </c>
      <c r="B1905" s="60" t="str">
        <f>IFERROR(__xludf.DUMMYFUNCTION("""COMPUTED_VALUE"""),"Carson, Caelen")</f>
        <v>Carson, Caelen</v>
      </c>
      <c r="C1905" s="60" t="str">
        <f>IFERROR(__xludf.DUMMYFUNCTION("""COMPUTED_VALUE"""),"CB")</f>
        <v>CB</v>
      </c>
      <c r="D1905" s="60" t="str">
        <f>IFERROR(__xludf.DUMMYFUNCTION("""COMPUTED_VALUE"""),"DAL")</f>
        <v>DAL</v>
      </c>
      <c r="E1905" s="62" t="str">
        <f t="shared" si="4"/>
        <v>Caelen Carson</v>
      </c>
      <c r="F1905" s="62">
        <f t="shared" ref="F1905:G1905" si="3809">IF(isblank(F$1),,IF(isblank($A1905),,IFERROR(vlookup($A1905,indirect("'TVC-"&amp;text(month(F$1),"00")&amp;"'!$A:$D"),4,false),1)))</f>
        <v>1</v>
      </c>
      <c r="G1905" s="62">
        <f t="shared" si="3809"/>
        <v>1</v>
      </c>
      <c r="H1905" s="62">
        <f t="shared" ref="H1905:Q1905" si="3810">IF(isblank(H$1),,IFERROR(vlookup($A1905,indirect("'TVC-"&amp;text(month(H$1),"00")&amp;"'!$A:$D"),4,false),1))</f>
        <v>1</v>
      </c>
      <c r="I1905" s="62">
        <f t="shared" si="3810"/>
        <v>1</v>
      </c>
      <c r="J1905" s="62">
        <f t="shared" si="3810"/>
        <v>1</v>
      </c>
      <c r="K1905" s="62">
        <f t="shared" si="3810"/>
        <v>1</v>
      </c>
      <c r="L1905" s="62">
        <f t="shared" si="3810"/>
        <v>1</v>
      </c>
      <c r="M1905" s="62">
        <f t="shared" si="3810"/>
        <v>1</v>
      </c>
      <c r="N1905" s="62">
        <f t="shared" si="3810"/>
        <v>1</v>
      </c>
      <c r="O1905" s="62">
        <f t="shared" si="3810"/>
        <v>1</v>
      </c>
      <c r="P1905" s="62" t="str">
        <f t="shared" si="3810"/>
        <v/>
      </c>
      <c r="Q1905" s="62" t="str">
        <f t="shared" si="3810"/>
        <v/>
      </c>
      <c r="R1905" s="62">
        <f t="shared" si="7"/>
        <v>0</v>
      </c>
      <c r="S1905" s="62"/>
      <c r="T1905" s="62"/>
      <c r="U1905" s="62"/>
      <c r="V1905" s="62"/>
      <c r="W1905" s="62"/>
      <c r="X1905" s="62"/>
      <c r="Y1905" s="62"/>
      <c r="Z1905" s="62"/>
      <c r="AA1905" s="62"/>
      <c r="AB1905" s="62"/>
      <c r="AC1905" s="62"/>
    </row>
    <row r="1906">
      <c r="A1906" s="60">
        <f>IFERROR(__xludf.DUMMYFUNCTION("""COMPUTED_VALUE"""),16754.0)</f>
        <v>16754</v>
      </c>
      <c r="B1906" s="60" t="str">
        <f>IFERROR(__xludf.DUMMYFUNCTION("""COMPUTED_VALUE"""),"Stiggers, Qwan'tez")</f>
        <v>Stiggers, Qwan'tez</v>
      </c>
      <c r="C1906" s="60" t="str">
        <f>IFERROR(__xludf.DUMMYFUNCTION("""COMPUTED_VALUE"""),"CB")</f>
        <v>CB</v>
      </c>
      <c r="D1906" s="60" t="str">
        <f>IFERROR(__xludf.DUMMYFUNCTION("""COMPUTED_VALUE"""),"NYJ")</f>
        <v>NYJ</v>
      </c>
      <c r="E1906" s="62" t="str">
        <f t="shared" si="4"/>
        <v>Qwan'tez Stiggers</v>
      </c>
      <c r="F1906" s="62">
        <f t="shared" ref="F1906:G1906" si="3811">IF(isblank(F$1),,IF(isblank($A1906),,IFERROR(vlookup($A1906,indirect("'TVC-"&amp;text(month(F$1),"00")&amp;"'!$A:$D"),4,false),1)))</f>
        <v>1</v>
      </c>
      <c r="G1906" s="62">
        <f t="shared" si="3811"/>
        <v>1</v>
      </c>
      <c r="H1906" s="62">
        <f t="shared" ref="H1906:Q1906" si="3812">IF(isblank(H$1),,IFERROR(vlookup($A1906,indirect("'TVC-"&amp;text(month(H$1),"00")&amp;"'!$A:$D"),4,false),1))</f>
        <v>1</v>
      </c>
      <c r="I1906" s="62">
        <f t="shared" si="3812"/>
        <v>1</v>
      </c>
      <c r="J1906" s="62">
        <f t="shared" si="3812"/>
        <v>1</v>
      </c>
      <c r="K1906" s="62">
        <f t="shared" si="3812"/>
        <v>1</v>
      </c>
      <c r="L1906" s="62">
        <f t="shared" si="3812"/>
        <v>1</v>
      </c>
      <c r="M1906" s="62">
        <f t="shared" si="3812"/>
        <v>1</v>
      </c>
      <c r="N1906" s="62">
        <f t="shared" si="3812"/>
        <v>1</v>
      </c>
      <c r="O1906" s="62">
        <f t="shared" si="3812"/>
        <v>1</v>
      </c>
      <c r="P1906" s="62" t="str">
        <f t="shared" si="3812"/>
        <v/>
      </c>
      <c r="Q1906" s="62" t="str">
        <f t="shared" si="3812"/>
        <v/>
      </c>
      <c r="R1906" s="62">
        <f t="shared" si="7"/>
        <v>0</v>
      </c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</row>
    <row r="1907">
      <c r="A1907" s="60">
        <f>IFERROR(__xludf.DUMMYFUNCTION("""COMPUTED_VALUE"""),16756.0)</f>
        <v>16756</v>
      </c>
      <c r="B1907" s="60" t="str">
        <f>IFERROR(__xludf.DUMMYFUNCTION("""COMPUTED_VALUE"""),"Dial, Marcellas")</f>
        <v>Dial, Marcellas</v>
      </c>
      <c r="C1907" s="60" t="str">
        <f>IFERROR(__xludf.DUMMYFUNCTION("""COMPUTED_VALUE"""),"CB")</f>
        <v>CB</v>
      </c>
      <c r="D1907" s="60" t="str">
        <f>IFERROR(__xludf.DUMMYFUNCTION("""COMPUTED_VALUE"""),"MIA")</f>
        <v>MIA</v>
      </c>
      <c r="E1907" s="62" t="str">
        <f t="shared" si="4"/>
        <v>Marcellas Dial</v>
      </c>
      <c r="F1907" s="62">
        <f t="shared" ref="F1907:G1907" si="3813">IF(isblank(F$1),,IF(isblank($A1907),,IFERROR(vlookup($A1907,indirect("'TVC-"&amp;text(month(F$1),"00")&amp;"'!$A:$D"),4,false),1)))</f>
        <v>1</v>
      </c>
      <c r="G1907" s="62">
        <f t="shared" si="3813"/>
        <v>1</v>
      </c>
      <c r="H1907" s="62">
        <f t="shared" ref="H1907:Q1907" si="3814">IF(isblank(H$1),,IFERROR(vlookup($A1907,indirect("'TVC-"&amp;text(month(H$1),"00")&amp;"'!$A:$D"),4,false),1))</f>
        <v>1</v>
      </c>
      <c r="I1907" s="62">
        <f t="shared" si="3814"/>
        <v>1</v>
      </c>
      <c r="J1907" s="62">
        <f t="shared" si="3814"/>
        <v>1</v>
      </c>
      <c r="K1907" s="62">
        <f t="shared" si="3814"/>
        <v>1</v>
      </c>
      <c r="L1907" s="62">
        <f t="shared" si="3814"/>
        <v>1</v>
      </c>
      <c r="M1907" s="62">
        <f t="shared" si="3814"/>
        <v>1</v>
      </c>
      <c r="N1907" s="62">
        <f t="shared" si="3814"/>
        <v>1</v>
      </c>
      <c r="O1907" s="62">
        <f t="shared" si="3814"/>
        <v>1</v>
      </c>
      <c r="P1907" s="62" t="str">
        <f t="shared" si="3814"/>
        <v/>
      </c>
      <c r="Q1907" s="62" t="str">
        <f t="shared" si="3814"/>
        <v/>
      </c>
      <c r="R1907" s="62">
        <f t="shared" si="7"/>
        <v>0</v>
      </c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</row>
    <row r="1908" hidden="1">
      <c r="A1908" s="60">
        <f>IFERROR(__xludf.DUMMYFUNCTION("""COMPUTED_VALUE"""),16757.0)</f>
        <v>16757</v>
      </c>
      <c r="B1908" s="60" t="str">
        <f>IFERROR(__xludf.DUMMYFUNCTION("""COMPUTED_VALUE"""),"Vidal, Kimani")</f>
        <v>Vidal, Kimani</v>
      </c>
      <c r="C1908" s="60" t="str">
        <f>IFERROR(__xludf.DUMMYFUNCTION("""COMPUTED_VALUE"""),"RB")</f>
        <v>RB</v>
      </c>
      <c r="D1908" s="60" t="str">
        <f>IFERROR(__xludf.DUMMYFUNCTION("""COMPUTED_VALUE"""),"LAC")</f>
        <v>LAC</v>
      </c>
      <c r="E1908" s="62" t="str">
        <f t="shared" si="4"/>
        <v>Kimani Vidal</v>
      </c>
      <c r="F1908" s="62">
        <f t="shared" ref="F1908:G1908" si="3815">IF(isblank(F$1),,IF(isblank($A1908),,IFERROR(vlookup($A1908,indirect("'TVC-"&amp;text(month(F$1),"00")&amp;"'!$A:$D"),4,false),1)))</f>
        <v>2658</v>
      </c>
      <c r="G1908" s="62">
        <f t="shared" si="3815"/>
        <v>2611</v>
      </c>
      <c r="H1908" s="62">
        <f t="shared" ref="H1908:Q1908" si="3816">IF(isblank(H$1),,IFERROR(vlookup($A1908,indirect("'TVC-"&amp;text(month(H$1),"00")&amp;"'!$A:$D"),4,false),1))</f>
        <v>2611</v>
      </c>
      <c r="I1908" s="62">
        <f t="shared" si="3816"/>
        <v>2469</v>
      </c>
      <c r="J1908" s="62">
        <f t="shared" si="3816"/>
        <v>2309</v>
      </c>
      <c r="K1908" s="62">
        <f t="shared" si="3816"/>
        <v>2179</v>
      </c>
      <c r="L1908" s="62">
        <f t="shared" si="3816"/>
        <v>2148</v>
      </c>
      <c r="M1908" s="62">
        <f t="shared" si="3816"/>
        <v>2215</v>
      </c>
      <c r="N1908" s="62">
        <f t="shared" si="3816"/>
        <v>2168</v>
      </c>
      <c r="O1908" s="62">
        <f t="shared" si="3816"/>
        <v>1</v>
      </c>
      <c r="P1908" s="62" t="str">
        <f t="shared" si="3816"/>
        <v/>
      </c>
      <c r="Q1908" s="62" t="str">
        <f t="shared" si="3816"/>
        <v/>
      </c>
      <c r="R1908" s="62">
        <f t="shared" si="7"/>
        <v>-2167</v>
      </c>
      <c r="S1908" s="62"/>
      <c r="T1908" s="62"/>
      <c r="U1908" s="62"/>
      <c r="V1908" s="62"/>
      <c r="W1908" s="62"/>
      <c r="X1908" s="62"/>
      <c r="Y1908" s="62"/>
      <c r="Z1908" s="62"/>
      <c r="AA1908" s="62"/>
      <c r="AB1908" s="62"/>
      <c r="AC1908" s="62"/>
    </row>
    <row r="1909" hidden="1">
      <c r="A1909" s="60">
        <f>IFERROR(__xludf.DUMMYFUNCTION("""COMPUTED_VALUE"""),16758.0)</f>
        <v>16758</v>
      </c>
      <c r="B1909" s="60" t="str">
        <f>IFERROR(__xludf.DUMMYFUNCTION("""COMPUTED_VALUE"""),"Jackson, Jha'Quan")</f>
        <v>Jackson, Jha'Quan</v>
      </c>
      <c r="C1909" s="60" t="str">
        <f>IFERROR(__xludf.DUMMYFUNCTION("""COMPUTED_VALUE"""),"WR")</f>
        <v>WR</v>
      </c>
      <c r="D1909" s="60" t="str">
        <f>IFERROR(__xludf.DUMMYFUNCTION("""COMPUTED_VALUE"""),"FA")</f>
        <v>FA</v>
      </c>
      <c r="E1909" s="62" t="str">
        <f t="shared" si="4"/>
        <v>Jha'Quan Jackson</v>
      </c>
      <c r="F1909" s="62">
        <f t="shared" ref="F1909:G1909" si="3817">IF(isblank(F$1),,IF(isblank($A1909),,IFERROR(vlookup($A1909,indirect("'TVC-"&amp;text(month(F$1),"00")&amp;"'!$A:$D"),4,false),1)))</f>
        <v>1</v>
      </c>
      <c r="G1909" s="62">
        <f t="shared" si="3817"/>
        <v>1</v>
      </c>
      <c r="H1909" s="62">
        <f t="shared" ref="H1909:Q1909" si="3818">IF(isblank(H$1),,IFERROR(vlookup($A1909,indirect("'TVC-"&amp;text(month(H$1),"00")&amp;"'!$A:$D"),4,false),1))</f>
        <v>1</v>
      </c>
      <c r="I1909" s="62">
        <f t="shared" si="3818"/>
        <v>1</v>
      </c>
      <c r="J1909" s="62">
        <f t="shared" si="3818"/>
        <v>1</v>
      </c>
      <c r="K1909" s="62">
        <f t="shared" si="3818"/>
        <v>1</v>
      </c>
      <c r="L1909" s="62">
        <f t="shared" si="3818"/>
        <v>1</v>
      </c>
      <c r="M1909" s="62">
        <f t="shared" si="3818"/>
        <v>1</v>
      </c>
      <c r="N1909" s="62">
        <f t="shared" si="3818"/>
        <v>1</v>
      </c>
      <c r="O1909" s="62">
        <f t="shared" si="3818"/>
        <v>1</v>
      </c>
      <c r="P1909" s="62" t="str">
        <f t="shared" si="3818"/>
        <v/>
      </c>
      <c r="Q1909" s="62" t="str">
        <f t="shared" si="3818"/>
        <v/>
      </c>
      <c r="R1909" s="62">
        <f t="shared" si="7"/>
        <v>0</v>
      </c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</row>
    <row r="1910" hidden="1">
      <c r="A1910" s="60">
        <f>IFERROR(__xludf.DUMMYFUNCTION("""COMPUTED_VALUE"""),16759.0)</f>
        <v>16759</v>
      </c>
      <c r="B1910" s="60" t="str">
        <f>IFERROR(__xludf.DUMMYFUNCTION("""COMPUTED_VALUE"""),"Muasau, Darius")</f>
        <v>Muasau, Darius</v>
      </c>
      <c r="C1910" s="60" t="str">
        <f>IFERROR(__xludf.DUMMYFUNCTION("""COMPUTED_VALUE"""),"LB")</f>
        <v>LB</v>
      </c>
      <c r="D1910" s="60" t="str">
        <f>IFERROR(__xludf.DUMMYFUNCTION("""COMPUTED_VALUE"""),"NEP")</f>
        <v>NEP</v>
      </c>
      <c r="E1910" s="62" t="str">
        <f t="shared" si="4"/>
        <v>Darius Muasau</v>
      </c>
      <c r="F1910" s="62">
        <f t="shared" ref="F1910:G1910" si="3819">IF(isblank(F$1),,IF(isblank($A1910),,IFERROR(vlookup($A1910,indirect("'TVC-"&amp;text(month(F$1),"00")&amp;"'!$A:$D"),4,false),1)))</f>
        <v>1</v>
      </c>
      <c r="G1910" s="62">
        <f t="shared" si="3819"/>
        <v>1</v>
      </c>
      <c r="H1910" s="62">
        <f t="shared" ref="H1910:Q1910" si="3820">IF(isblank(H$1),,IFERROR(vlookup($A1910,indirect("'TVC-"&amp;text(month(H$1),"00")&amp;"'!$A:$D"),4,false),1))</f>
        <v>1</v>
      </c>
      <c r="I1910" s="62">
        <f t="shared" si="3820"/>
        <v>1</v>
      </c>
      <c r="J1910" s="62">
        <f t="shared" si="3820"/>
        <v>1</v>
      </c>
      <c r="K1910" s="62">
        <f t="shared" si="3820"/>
        <v>1</v>
      </c>
      <c r="L1910" s="62">
        <f t="shared" si="3820"/>
        <v>1</v>
      </c>
      <c r="M1910" s="62">
        <f t="shared" si="3820"/>
        <v>1</v>
      </c>
      <c r="N1910" s="62">
        <f t="shared" si="3820"/>
        <v>1</v>
      </c>
      <c r="O1910" s="62">
        <f t="shared" si="3820"/>
        <v>1</v>
      </c>
      <c r="P1910" s="62" t="str">
        <f t="shared" si="3820"/>
        <v/>
      </c>
      <c r="Q1910" s="62" t="str">
        <f t="shared" si="3820"/>
        <v/>
      </c>
      <c r="R1910" s="62">
        <f t="shared" si="7"/>
        <v>0</v>
      </c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</row>
    <row r="1911" hidden="1">
      <c r="A1911" s="60">
        <f>IFERROR(__xludf.DUMMYFUNCTION("""COMPUTED_VALUE"""),16760.0)</f>
        <v>16760</v>
      </c>
      <c r="B1911" s="60" t="str">
        <f>IFERROR(__xludf.DUMMYFUNCTION("""COMPUTED_VALUE"""),"Washington, Casey")</f>
        <v>Washington, Casey</v>
      </c>
      <c r="C1911" s="60" t="str">
        <f>IFERROR(__xludf.DUMMYFUNCTION("""COMPUTED_VALUE"""),"WR")</f>
        <v>WR</v>
      </c>
      <c r="D1911" s="60" t="str">
        <f>IFERROR(__xludf.DUMMYFUNCTION("""COMPUTED_VALUE"""),"CAR")</f>
        <v>CAR</v>
      </c>
      <c r="E1911" s="62" t="str">
        <f t="shared" si="4"/>
        <v>Casey Washington</v>
      </c>
      <c r="F1911" s="62">
        <f t="shared" ref="F1911:G1911" si="3821">IF(isblank(F$1),,IF(isblank($A1911),,IFERROR(vlookup($A1911,indirect("'TVC-"&amp;text(month(F$1),"00")&amp;"'!$A:$D"),4,false),1)))</f>
        <v>1</v>
      </c>
      <c r="G1911" s="62">
        <f t="shared" si="3821"/>
        <v>1</v>
      </c>
      <c r="H1911" s="62">
        <f t="shared" ref="H1911:Q1911" si="3822">IF(isblank(H$1),,IFERROR(vlookup($A1911,indirect("'TVC-"&amp;text(month(H$1),"00")&amp;"'!$A:$D"),4,false),1))</f>
        <v>1</v>
      </c>
      <c r="I1911" s="62">
        <f t="shared" si="3822"/>
        <v>1</v>
      </c>
      <c r="J1911" s="62">
        <f t="shared" si="3822"/>
        <v>1</v>
      </c>
      <c r="K1911" s="62">
        <f t="shared" si="3822"/>
        <v>1</v>
      </c>
      <c r="L1911" s="62">
        <f t="shared" si="3822"/>
        <v>1</v>
      </c>
      <c r="M1911" s="62">
        <f t="shared" si="3822"/>
        <v>1</v>
      </c>
      <c r="N1911" s="62">
        <f t="shared" si="3822"/>
        <v>1</v>
      </c>
      <c r="O1911" s="62">
        <f t="shared" si="3822"/>
        <v>1</v>
      </c>
      <c r="P1911" s="62" t="str">
        <f t="shared" si="3822"/>
        <v/>
      </c>
      <c r="Q1911" s="62" t="str">
        <f t="shared" si="3822"/>
        <v/>
      </c>
      <c r="R1911" s="62">
        <f t="shared" si="7"/>
        <v>0</v>
      </c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</row>
    <row r="1912" hidden="1">
      <c r="A1912" s="60">
        <f>IFERROR(__xludf.DUMMYFUNCTION("""COMPUTED_VALUE"""),16761.0)</f>
        <v>16761</v>
      </c>
      <c r="B1912" s="60" t="str">
        <f>IFERROR(__xludf.DUMMYFUNCTION("""COMPUTED_VALUE"""),"Hill, Jamal")</f>
        <v>Hill, Jamal</v>
      </c>
      <c r="C1912" s="60" t="str">
        <f>IFERROR(__xludf.DUMMYFUNCTION("""COMPUTED_VALUE"""),"LB")</f>
        <v>LB</v>
      </c>
      <c r="D1912" s="60" t="str">
        <f>IFERROR(__xludf.DUMMYFUNCTION("""COMPUTED_VALUE"""),"HOU")</f>
        <v>HOU</v>
      </c>
      <c r="E1912" s="62" t="str">
        <f t="shared" si="4"/>
        <v>Jamal Hill</v>
      </c>
      <c r="F1912" s="62">
        <f t="shared" ref="F1912:G1912" si="3823">IF(isblank(F$1),,IF(isblank($A1912),,IFERROR(vlookup($A1912,indirect("'TVC-"&amp;text(month(F$1),"00")&amp;"'!$A:$D"),4,false),1)))</f>
        <v>1</v>
      </c>
      <c r="G1912" s="62">
        <f t="shared" si="3823"/>
        <v>1</v>
      </c>
      <c r="H1912" s="62">
        <f t="shared" ref="H1912:Q1912" si="3824">IF(isblank(H$1),,IFERROR(vlookup($A1912,indirect("'TVC-"&amp;text(month(H$1),"00")&amp;"'!$A:$D"),4,false),1))</f>
        <v>1</v>
      </c>
      <c r="I1912" s="62">
        <f t="shared" si="3824"/>
        <v>1</v>
      </c>
      <c r="J1912" s="62">
        <f t="shared" si="3824"/>
        <v>1</v>
      </c>
      <c r="K1912" s="62">
        <f t="shared" si="3824"/>
        <v>1</v>
      </c>
      <c r="L1912" s="62">
        <f t="shared" si="3824"/>
        <v>1</v>
      </c>
      <c r="M1912" s="62">
        <f t="shared" si="3824"/>
        <v>1</v>
      </c>
      <c r="N1912" s="62">
        <f t="shared" si="3824"/>
        <v>1</v>
      </c>
      <c r="O1912" s="62">
        <f t="shared" si="3824"/>
        <v>1</v>
      </c>
      <c r="P1912" s="62" t="str">
        <f t="shared" si="3824"/>
        <v/>
      </c>
      <c r="Q1912" s="62" t="str">
        <f t="shared" si="3824"/>
        <v/>
      </c>
      <c r="R1912" s="62">
        <f t="shared" si="7"/>
        <v>0</v>
      </c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</row>
    <row r="1913" hidden="1">
      <c r="A1913" s="60">
        <f>IFERROR(__xludf.DUMMYFUNCTION("""COMPUTED_VALUE"""),16762.0)</f>
        <v>16762</v>
      </c>
      <c r="B1913" s="60" t="str">
        <f>IFERROR(__xludf.DUMMYFUNCTION("""COMPUTED_VALUE"""),"Wingo, Mekhi")</f>
        <v>Wingo, Mekhi</v>
      </c>
      <c r="C1913" s="60" t="str">
        <f>IFERROR(__xludf.DUMMYFUNCTION("""COMPUTED_VALUE"""),"DT")</f>
        <v>DT</v>
      </c>
      <c r="D1913" s="60" t="str">
        <f>IFERROR(__xludf.DUMMYFUNCTION("""COMPUTED_VALUE"""),"DET")</f>
        <v>DET</v>
      </c>
      <c r="E1913" s="62" t="str">
        <f t="shared" si="4"/>
        <v>Mekhi Wingo</v>
      </c>
      <c r="F1913" s="62">
        <f t="shared" ref="F1913:G1913" si="3825">IF(isblank(F$1),,IF(isblank($A1913),,IFERROR(vlookup($A1913,indirect("'TVC-"&amp;text(month(F$1),"00")&amp;"'!$A:$D"),4,false),1)))</f>
        <v>1</v>
      </c>
      <c r="G1913" s="62">
        <f t="shared" si="3825"/>
        <v>1</v>
      </c>
      <c r="H1913" s="62">
        <f t="shared" ref="H1913:Q1913" si="3826">IF(isblank(H$1),,IFERROR(vlookup($A1913,indirect("'TVC-"&amp;text(month(H$1),"00")&amp;"'!$A:$D"),4,false),1))</f>
        <v>1</v>
      </c>
      <c r="I1913" s="62">
        <f t="shared" si="3826"/>
        <v>1</v>
      </c>
      <c r="J1913" s="62">
        <f t="shared" si="3826"/>
        <v>1</v>
      </c>
      <c r="K1913" s="62">
        <f t="shared" si="3826"/>
        <v>1</v>
      </c>
      <c r="L1913" s="62">
        <f t="shared" si="3826"/>
        <v>1</v>
      </c>
      <c r="M1913" s="62">
        <f t="shared" si="3826"/>
        <v>1</v>
      </c>
      <c r="N1913" s="62">
        <f t="shared" si="3826"/>
        <v>1</v>
      </c>
      <c r="O1913" s="62">
        <f t="shared" si="3826"/>
        <v>1</v>
      </c>
      <c r="P1913" s="62" t="str">
        <f t="shared" si="3826"/>
        <v/>
      </c>
      <c r="Q1913" s="62" t="str">
        <f t="shared" si="3826"/>
        <v/>
      </c>
      <c r="R1913" s="62">
        <f t="shared" si="7"/>
        <v>0</v>
      </c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</row>
    <row r="1914" hidden="1">
      <c r="A1914" s="60">
        <f>IFERROR(__xludf.DUMMYFUNCTION("""COMPUTED_VALUE"""),16763.0)</f>
        <v>16763</v>
      </c>
      <c r="B1914" s="60" t="str">
        <f>IFERROR(__xludf.DUMMYFUNCTION("""COMPUTED_VALUE"""),"Palmer, Tejhaun")</f>
        <v>Palmer, Tejhaun</v>
      </c>
      <c r="C1914" s="60" t="str">
        <f>IFERROR(__xludf.DUMMYFUNCTION("""COMPUTED_VALUE"""),"WR")</f>
        <v>WR</v>
      </c>
      <c r="D1914" s="60" t="str">
        <f>IFERROR(__xludf.DUMMYFUNCTION("""COMPUTED_VALUE"""),"FA")</f>
        <v>FA</v>
      </c>
      <c r="E1914" s="62" t="str">
        <f t="shared" si="4"/>
        <v>Tejhaun Palmer</v>
      </c>
      <c r="F1914" s="62">
        <f t="shared" ref="F1914:G1914" si="3827">IF(isblank(F$1),,IF(isblank($A1914),,IFERROR(vlookup($A1914,indirect("'TVC-"&amp;text(month(F$1),"00")&amp;"'!$A:$D"),4,false),1)))</f>
        <v>1</v>
      </c>
      <c r="G1914" s="62">
        <f t="shared" si="3827"/>
        <v>1</v>
      </c>
      <c r="H1914" s="62">
        <f t="shared" ref="H1914:Q1914" si="3828">IF(isblank(H$1),,IFERROR(vlookup($A1914,indirect("'TVC-"&amp;text(month(H$1),"00")&amp;"'!$A:$D"),4,false),1))</f>
        <v>1</v>
      </c>
      <c r="I1914" s="62">
        <f t="shared" si="3828"/>
        <v>1</v>
      </c>
      <c r="J1914" s="62">
        <f t="shared" si="3828"/>
        <v>1</v>
      </c>
      <c r="K1914" s="62">
        <f t="shared" si="3828"/>
        <v>1</v>
      </c>
      <c r="L1914" s="62">
        <f t="shared" si="3828"/>
        <v>1</v>
      </c>
      <c r="M1914" s="62">
        <f t="shared" si="3828"/>
        <v>1</v>
      </c>
      <c r="N1914" s="62">
        <f t="shared" si="3828"/>
        <v>1</v>
      </c>
      <c r="O1914" s="62">
        <f t="shared" si="3828"/>
        <v>1</v>
      </c>
      <c r="P1914" s="62" t="str">
        <f t="shared" si="3828"/>
        <v/>
      </c>
      <c r="Q1914" s="62" t="str">
        <f t="shared" si="3828"/>
        <v/>
      </c>
      <c r="R1914" s="62">
        <f t="shared" si="7"/>
        <v>0</v>
      </c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</row>
    <row r="1915" hidden="1">
      <c r="A1915" s="60">
        <f>IFERROR(__xludf.DUMMYFUNCTION("""COMPUTED_VALUE"""),16765.0)</f>
        <v>16765</v>
      </c>
      <c r="B1915" s="60" t="str">
        <f>IFERROR(__xludf.DUMMYFUNCTION("""COMPUTED_VALUE"""),"McLachlan, Tanner")</f>
        <v>McLachlan, Tanner</v>
      </c>
      <c r="C1915" s="60" t="str">
        <f>IFERROR(__xludf.DUMMYFUNCTION("""COMPUTED_VALUE"""),"TE")</f>
        <v>TE</v>
      </c>
      <c r="D1915" s="60" t="str">
        <f>IFERROR(__xludf.DUMMYFUNCTION("""COMPUTED_VALUE"""),"FA")</f>
        <v>FA</v>
      </c>
      <c r="E1915" s="62" t="str">
        <f t="shared" si="4"/>
        <v>Tanner McLachlan</v>
      </c>
      <c r="F1915" s="62">
        <f t="shared" ref="F1915:G1915" si="3829">IF(isblank(F$1),,IF(isblank($A1915),,IFERROR(vlookup($A1915,indirect("'TVC-"&amp;text(month(F$1),"00")&amp;"'!$A:$D"),4,false),1)))</f>
        <v>1</v>
      </c>
      <c r="G1915" s="62">
        <f t="shared" si="3829"/>
        <v>1</v>
      </c>
      <c r="H1915" s="62">
        <f t="shared" ref="H1915:Q1915" si="3830">IF(isblank(H$1),,IFERROR(vlookup($A1915,indirect("'TVC-"&amp;text(month(H$1),"00")&amp;"'!$A:$D"),4,false),1))</f>
        <v>1</v>
      </c>
      <c r="I1915" s="62">
        <f t="shared" si="3830"/>
        <v>1</v>
      </c>
      <c r="J1915" s="62">
        <f t="shared" si="3830"/>
        <v>1</v>
      </c>
      <c r="K1915" s="62">
        <f t="shared" si="3830"/>
        <v>1</v>
      </c>
      <c r="L1915" s="62">
        <f t="shared" si="3830"/>
        <v>1</v>
      </c>
      <c r="M1915" s="62">
        <f t="shared" si="3830"/>
        <v>1</v>
      </c>
      <c r="N1915" s="62">
        <f t="shared" si="3830"/>
        <v>1</v>
      </c>
      <c r="O1915" s="62">
        <f t="shared" si="3830"/>
        <v>1</v>
      </c>
      <c r="P1915" s="62" t="str">
        <f t="shared" si="3830"/>
        <v/>
      </c>
      <c r="Q1915" s="62" t="str">
        <f t="shared" si="3830"/>
        <v/>
      </c>
      <c r="R1915" s="62">
        <f t="shared" si="7"/>
        <v>0</v>
      </c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</row>
    <row r="1916" hidden="1">
      <c r="A1916" s="60">
        <f>IFERROR(__xludf.DUMMYFUNCTION("""COMPUTED_VALUE"""),16767.0)</f>
        <v>16767</v>
      </c>
      <c r="B1916" s="60" t="str">
        <f>IFERROR(__xludf.DUMMYFUNCTION("""COMPUTED_VALUE"""),"Davis, Tyler")</f>
        <v>Davis, Tyler</v>
      </c>
      <c r="C1916" s="60" t="str">
        <f>IFERROR(__xludf.DUMMYFUNCTION("""COMPUTED_VALUE"""),"DT")</f>
        <v>DT</v>
      </c>
      <c r="D1916" s="60" t="str">
        <f>IFERROR(__xludf.DUMMYFUNCTION("""COMPUTED_VALUE"""),"LAR")</f>
        <v>LAR</v>
      </c>
      <c r="E1916" s="62" t="str">
        <f t="shared" si="4"/>
        <v>Tyler Davis</v>
      </c>
      <c r="F1916" s="62">
        <f t="shared" ref="F1916:G1916" si="3831">IF(isblank(F$1),,IF(isblank($A1916),,IFERROR(vlookup($A1916,indirect("'TVC-"&amp;text(month(F$1),"00")&amp;"'!$A:$D"),4,false),1)))</f>
        <v>1</v>
      </c>
      <c r="G1916" s="62">
        <f t="shared" si="3831"/>
        <v>1</v>
      </c>
      <c r="H1916" s="62">
        <f t="shared" ref="H1916:Q1916" si="3832">IF(isblank(H$1),,IFERROR(vlookup($A1916,indirect("'TVC-"&amp;text(month(H$1),"00")&amp;"'!$A:$D"),4,false),1))</f>
        <v>1</v>
      </c>
      <c r="I1916" s="62">
        <f t="shared" si="3832"/>
        <v>1</v>
      </c>
      <c r="J1916" s="62">
        <f t="shared" si="3832"/>
        <v>1</v>
      </c>
      <c r="K1916" s="62">
        <f t="shared" si="3832"/>
        <v>1</v>
      </c>
      <c r="L1916" s="62">
        <f t="shared" si="3832"/>
        <v>1</v>
      </c>
      <c r="M1916" s="62">
        <f t="shared" si="3832"/>
        <v>1</v>
      </c>
      <c r="N1916" s="62">
        <f t="shared" si="3832"/>
        <v>1</v>
      </c>
      <c r="O1916" s="62">
        <f t="shared" si="3832"/>
        <v>1</v>
      </c>
      <c r="P1916" s="62" t="str">
        <f t="shared" si="3832"/>
        <v/>
      </c>
      <c r="Q1916" s="62" t="str">
        <f t="shared" si="3832"/>
        <v/>
      </c>
      <c r="R1916" s="62">
        <f t="shared" si="7"/>
        <v>0</v>
      </c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</row>
    <row r="1917" hidden="1">
      <c r="A1917" s="60">
        <f>IFERROR(__xludf.DUMMYFUNCTION("""COMPUTED_VALUE"""),16768.0)</f>
        <v>16768</v>
      </c>
      <c r="B1917" s="60" t="str">
        <f>IFERROR(__xludf.DUMMYFUNCTION("""COMPUTED_VALUE"""),"Logue, Zion")</f>
        <v>Logue, Zion</v>
      </c>
      <c r="C1917" s="60" t="str">
        <f>IFERROR(__xludf.DUMMYFUNCTION("""COMPUTED_VALUE"""),"DT")</f>
        <v>DT</v>
      </c>
      <c r="D1917" s="60" t="str">
        <f>IFERROR(__xludf.DUMMYFUNCTION("""COMPUTED_VALUE"""),"CLE")</f>
        <v>CLE</v>
      </c>
      <c r="E1917" s="62" t="str">
        <f t="shared" si="4"/>
        <v>Zion Logue</v>
      </c>
      <c r="F1917" s="62">
        <f t="shared" ref="F1917:G1917" si="3833">IF(isblank(F$1),,IF(isblank($A1917),,IFERROR(vlookup($A1917,indirect("'TVC-"&amp;text(month(F$1),"00")&amp;"'!$A:$D"),4,false),1)))</f>
        <v>1</v>
      </c>
      <c r="G1917" s="62">
        <f t="shared" si="3833"/>
        <v>1</v>
      </c>
      <c r="H1917" s="62">
        <f t="shared" ref="H1917:Q1917" si="3834">IF(isblank(H$1),,IFERROR(vlookup($A1917,indirect("'TVC-"&amp;text(month(H$1),"00")&amp;"'!$A:$D"),4,false),1))</f>
        <v>1</v>
      </c>
      <c r="I1917" s="62">
        <f t="shared" si="3834"/>
        <v>1</v>
      </c>
      <c r="J1917" s="62">
        <f t="shared" si="3834"/>
        <v>1</v>
      </c>
      <c r="K1917" s="62">
        <f t="shared" si="3834"/>
        <v>1</v>
      </c>
      <c r="L1917" s="62">
        <f t="shared" si="3834"/>
        <v>1</v>
      </c>
      <c r="M1917" s="62">
        <f t="shared" si="3834"/>
        <v>1</v>
      </c>
      <c r="N1917" s="62">
        <f t="shared" si="3834"/>
        <v>1</v>
      </c>
      <c r="O1917" s="62">
        <f t="shared" si="3834"/>
        <v>1</v>
      </c>
      <c r="P1917" s="62" t="str">
        <f t="shared" si="3834"/>
        <v/>
      </c>
      <c r="Q1917" s="62" t="str">
        <f t="shared" si="3834"/>
        <v/>
      </c>
      <c r="R1917" s="62">
        <f t="shared" si="7"/>
        <v>0</v>
      </c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</row>
    <row r="1918" hidden="1">
      <c r="A1918" s="60">
        <f>IFERROR(__xludf.DUMMYFUNCTION("""COMPUTED_VALUE"""),16770.0)</f>
        <v>16770</v>
      </c>
      <c r="B1918" s="60" t="str">
        <f>IFERROR(__xludf.DUMMYFUNCTION("""COMPUTED_VALUE"""),"Boyd, Khristian")</f>
        <v>Boyd, Khristian</v>
      </c>
      <c r="C1918" s="60" t="str">
        <f>IFERROR(__xludf.DUMMYFUNCTION("""COMPUTED_VALUE"""),"DT")</f>
        <v>DT</v>
      </c>
      <c r="D1918" s="60" t="str">
        <f>IFERROR(__xludf.DUMMYFUNCTION("""COMPUTED_VALUE"""),"NOS")</f>
        <v>NOS</v>
      </c>
      <c r="E1918" s="62" t="str">
        <f t="shared" si="4"/>
        <v>Khristian Boyd</v>
      </c>
      <c r="F1918" s="62">
        <f t="shared" ref="F1918:G1918" si="3835">IF(isblank(F$1),,IF(isblank($A1918),,IFERROR(vlookup($A1918,indirect("'TVC-"&amp;text(month(F$1),"00")&amp;"'!$A:$D"),4,false),1)))</f>
        <v>1</v>
      </c>
      <c r="G1918" s="62">
        <f t="shared" si="3835"/>
        <v>1</v>
      </c>
      <c r="H1918" s="62">
        <f t="shared" ref="H1918:Q1918" si="3836">IF(isblank(H$1),,IFERROR(vlookup($A1918,indirect("'TVC-"&amp;text(month(H$1),"00")&amp;"'!$A:$D"),4,false),1))</f>
        <v>1</v>
      </c>
      <c r="I1918" s="62">
        <f t="shared" si="3836"/>
        <v>1</v>
      </c>
      <c r="J1918" s="62">
        <f t="shared" si="3836"/>
        <v>1</v>
      </c>
      <c r="K1918" s="62">
        <f t="shared" si="3836"/>
        <v>1</v>
      </c>
      <c r="L1918" s="62">
        <f t="shared" si="3836"/>
        <v>1</v>
      </c>
      <c r="M1918" s="62">
        <f t="shared" si="3836"/>
        <v>1</v>
      </c>
      <c r="N1918" s="62">
        <f t="shared" si="3836"/>
        <v>1</v>
      </c>
      <c r="O1918" s="62">
        <f t="shared" si="3836"/>
        <v>1</v>
      </c>
      <c r="P1918" s="62" t="str">
        <f t="shared" si="3836"/>
        <v/>
      </c>
      <c r="Q1918" s="62" t="str">
        <f t="shared" si="3836"/>
        <v/>
      </c>
      <c r="R1918" s="62">
        <f t="shared" si="7"/>
        <v>0</v>
      </c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</row>
    <row r="1919" hidden="1">
      <c r="A1919" s="60">
        <f>IFERROR(__xludf.DUMMYFUNCTION("""COMPUTED_VALUE"""),16771.0)</f>
        <v>16771</v>
      </c>
      <c r="B1919" s="60" t="str">
        <f>IFERROR(__xludf.DUMMYFUNCTION("""COMPUTED_VALUE"""),"Crumedy, Jaden")</f>
        <v>Crumedy, Jaden</v>
      </c>
      <c r="C1919" s="60" t="str">
        <f>IFERROR(__xludf.DUMMYFUNCTION("""COMPUTED_VALUE"""),"DT")</f>
        <v>DT</v>
      </c>
      <c r="D1919" s="60" t="str">
        <f>IFERROR(__xludf.DUMMYFUNCTION("""COMPUTED_VALUE"""),"HOU")</f>
        <v>HOU</v>
      </c>
      <c r="E1919" s="62" t="str">
        <f t="shared" si="4"/>
        <v>Jaden Crumedy</v>
      </c>
      <c r="F1919" s="62">
        <f t="shared" ref="F1919:G1919" si="3837">IF(isblank(F$1),,IF(isblank($A1919),,IFERROR(vlookup($A1919,indirect("'TVC-"&amp;text(month(F$1),"00")&amp;"'!$A:$D"),4,false),1)))</f>
        <v>1</v>
      </c>
      <c r="G1919" s="62">
        <f t="shared" si="3837"/>
        <v>1</v>
      </c>
      <c r="H1919" s="62">
        <f t="shared" ref="H1919:Q1919" si="3838">IF(isblank(H$1),,IFERROR(vlookup($A1919,indirect("'TVC-"&amp;text(month(H$1),"00")&amp;"'!$A:$D"),4,false),1))</f>
        <v>1</v>
      </c>
      <c r="I1919" s="62">
        <f t="shared" si="3838"/>
        <v>1</v>
      </c>
      <c r="J1919" s="62">
        <f t="shared" si="3838"/>
        <v>1</v>
      </c>
      <c r="K1919" s="62">
        <f t="shared" si="3838"/>
        <v>1</v>
      </c>
      <c r="L1919" s="62">
        <f t="shared" si="3838"/>
        <v>1</v>
      </c>
      <c r="M1919" s="62">
        <f t="shared" si="3838"/>
        <v>1</v>
      </c>
      <c r="N1919" s="62">
        <f t="shared" si="3838"/>
        <v>1</v>
      </c>
      <c r="O1919" s="62">
        <f t="shared" si="3838"/>
        <v>1</v>
      </c>
      <c r="P1919" s="62" t="str">
        <f t="shared" si="3838"/>
        <v/>
      </c>
      <c r="Q1919" s="62" t="str">
        <f t="shared" si="3838"/>
        <v/>
      </c>
      <c r="R1919" s="62">
        <f t="shared" si="7"/>
        <v>0</v>
      </c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</row>
    <row r="1920" hidden="1">
      <c r="A1920" s="60">
        <f>IFERROR(__xludf.DUMMYFUNCTION("""COMPUTED_VALUE"""),16773.0)</f>
        <v>16773</v>
      </c>
      <c r="B1920" s="60" t="str">
        <f>IFERROR(__xludf.DUMMYFUNCTION("""COMPUTED_VALUE"""),"Jordan, Jawhar")</f>
        <v>Jordan, Jawhar</v>
      </c>
      <c r="C1920" s="60" t="str">
        <f>IFERROR(__xludf.DUMMYFUNCTION("""COMPUTED_VALUE"""),"RB")</f>
        <v>RB</v>
      </c>
      <c r="D1920" s="60" t="str">
        <f>IFERROR(__xludf.DUMMYFUNCTION("""COMPUTED_VALUE"""),"HOU")</f>
        <v>HOU</v>
      </c>
      <c r="E1920" s="62" t="str">
        <f t="shared" si="4"/>
        <v>Jawhar Jordan</v>
      </c>
      <c r="F1920" s="62">
        <f t="shared" ref="F1920:G1920" si="3839">IF(isblank(F$1),,IF(isblank($A1920),,IFERROR(vlookup($A1920,indirect("'TVC-"&amp;text(month(F$1),"00")&amp;"'!$A:$D"),4,false),1)))</f>
        <v>685</v>
      </c>
      <c r="G1920" s="62">
        <f t="shared" si="3839"/>
        <v>900</v>
      </c>
      <c r="H1920" s="62">
        <f t="shared" ref="H1920:Q1920" si="3840">IF(isblank(H$1),,IFERROR(vlookup($A1920,indirect("'TVC-"&amp;text(month(H$1),"00")&amp;"'!$A:$D"),4,false),1))</f>
        <v>954</v>
      </c>
      <c r="I1920" s="62">
        <f t="shared" si="3840"/>
        <v>952</v>
      </c>
      <c r="J1920" s="62">
        <f t="shared" si="3840"/>
        <v>957</v>
      </c>
      <c r="K1920" s="62">
        <f t="shared" si="3840"/>
        <v>879</v>
      </c>
      <c r="L1920" s="62">
        <f t="shared" si="3840"/>
        <v>839</v>
      </c>
      <c r="M1920" s="62">
        <f t="shared" si="3840"/>
        <v>813</v>
      </c>
      <c r="N1920" s="62">
        <f t="shared" si="3840"/>
        <v>502</v>
      </c>
      <c r="O1920" s="62">
        <f t="shared" si="3840"/>
        <v>1</v>
      </c>
      <c r="P1920" s="62" t="str">
        <f t="shared" si="3840"/>
        <v/>
      </c>
      <c r="Q1920" s="62" t="str">
        <f t="shared" si="3840"/>
        <v/>
      </c>
      <c r="R1920" s="62">
        <f t="shared" si="7"/>
        <v>-501</v>
      </c>
      <c r="S1920" s="62"/>
      <c r="T1920" s="62"/>
      <c r="U1920" s="62"/>
      <c r="V1920" s="62"/>
      <c r="W1920" s="62"/>
      <c r="X1920" s="62"/>
      <c r="Y1920" s="62"/>
      <c r="Z1920" s="62"/>
      <c r="AA1920" s="62"/>
      <c r="AB1920" s="62"/>
      <c r="AC1920" s="62"/>
    </row>
    <row r="1921" hidden="1">
      <c r="A1921" s="60">
        <f>IFERROR(__xludf.DUMMYFUNCTION("""COMPUTED_VALUE"""),16774.0)</f>
        <v>16774</v>
      </c>
      <c r="B1921" s="60" t="str">
        <f>IFERROR(__xludf.DUMMYFUNCTION("""COMPUTED_VALUE"""),"Watson, Nathaniel")</f>
        <v>Watson, Nathaniel</v>
      </c>
      <c r="C1921" s="60" t="str">
        <f>IFERROR(__xludf.DUMMYFUNCTION("""COMPUTED_VALUE"""),"LB")</f>
        <v>LB</v>
      </c>
      <c r="D1921" s="60" t="str">
        <f>IFERROR(__xludf.DUMMYFUNCTION("""COMPUTED_VALUE"""),"CLE")</f>
        <v>CLE</v>
      </c>
      <c r="E1921" s="62" t="str">
        <f t="shared" si="4"/>
        <v>Nathaniel Watson</v>
      </c>
      <c r="F1921" s="62">
        <f t="shared" ref="F1921:G1921" si="3841">IF(isblank(F$1),,IF(isblank($A1921),,IFERROR(vlookup($A1921,indirect("'TVC-"&amp;text(month(F$1),"00")&amp;"'!$A:$D"),4,false),1)))</f>
        <v>1</v>
      </c>
      <c r="G1921" s="62">
        <f t="shared" si="3841"/>
        <v>1</v>
      </c>
      <c r="H1921" s="62">
        <f t="shared" ref="H1921:Q1921" si="3842">IF(isblank(H$1),,IFERROR(vlookup($A1921,indirect("'TVC-"&amp;text(month(H$1),"00")&amp;"'!$A:$D"),4,false),1))</f>
        <v>1</v>
      </c>
      <c r="I1921" s="62">
        <f t="shared" si="3842"/>
        <v>1</v>
      </c>
      <c r="J1921" s="62">
        <f t="shared" si="3842"/>
        <v>1</v>
      </c>
      <c r="K1921" s="62">
        <f t="shared" si="3842"/>
        <v>1</v>
      </c>
      <c r="L1921" s="62">
        <f t="shared" si="3842"/>
        <v>1</v>
      </c>
      <c r="M1921" s="62">
        <f t="shared" si="3842"/>
        <v>1</v>
      </c>
      <c r="N1921" s="62">
        <f t="shared" si="3842"/>
        <v>1</v>
      </c>
      <c r="O1921" s="62">
        <f t="shared" si="3842"/>
        <v>1</v>
      </c>
      <c r="P1921" s="62" t="str">
        <f t="shared" si="3842"/>
        <v/>
      </c>
      <c r="Q1921" s="62" t="str">
        <f t="shared" si="3842"/>
        <v/>
      </c>
      <c r="R1921" s="62">
        <f t="shared" si="7"/>
        <v>0</v>
      </c>
      <c r="S1921" s="62"/>
      <c r="T1921" s="62"/>
      <c r="U1921" s="62"/>
      <c r="V1921" s="62"/>
      <c r="W1921" s="62"/>
      <c r="X1921" s="62"/>
      <c r="Y1921" s="62"/>
      <c r="Z1921" s="62"/>
      <c r="AA1921" s="62"/>
      <c r="AB1921" s="62"/>
      <c r="AC1921" s="62"/>
    </row>
    <row r="1922" hidden="1">
      <c r="A1922" s="60">
        <f>IFERROR(__xludf.DUMMYFUNCTION("""COMPUTED_VALUE"""),16775.0)</f>
        <v>16775</v>
      </c>
      <c r="B1922" s="60" t="str">
        <f>IFERROR(__xludf.DUMMYFUNCTION("""COMPUTED_VALUE"""),"Karty, Joshua")</f>
        <v>Karty, Joshua</v>
      </c>
      <c r="C1922" s="60" t="str">
        <f>IFERROR(__xludf.DUMMYFUNCTION("""COMPUTED_VALUE"""),"PK")</f>
        <v>PK</v>
      </c>
      <c r="D1922" s="60" t="str">
        <f>IFERROR(__xludf.DUMMYFUNCTION("""COMPUTED_VALUE"""),"FA")</f>
        <v>FA</v>
      </c>
      <c r="E1922" s="62" t="str">
        <f t="shared" si="4"/>
        <v>Joshua Karty</v>
      </c>
      <c r="F1922" s="62">
        <f t="shared" ref="F1922:G1922" si="3843">IF(isblank(F$1),,IF(isblank($A1922),,IFERROR(vlookup($A1922,indirect("'TVC-"&amp;text(month(F$1),"00")&amp;"'!$A:$D"),4,false),1)))</f>
        <v>1</v>
      </c>
      <c r="G1922" s="62">
        <f t="shared" si="3843"/>
        <v>1</v>
      </c>
      <c r="H1922" s="62">
        <f t="shared" ref="H1922:Q1922" si="3844">IF(isblank(H$1),,IFERROR(vlookup($A1922,indirect("'TVC-"&amp;text(month(H$1),"00")&amp;"'!$A:$D"),4,false),1))</f>
        <v>1</v>
      </c>
      <c r="I1922" s="62">
        <f t="shared" si="3844"/>
        <v>1</v>
      </c>
      <c r="J1922" s="62">
        <f t="shared" si="3844"/>
        <v>1</v>
      </c>
      <c r="K1922" s="62">
        <f t="shared" si="3844"/>
        <v>1</v>
      </c>
      <c r="L1922" s="62">
        <f t="shared" si="3844"/>
        <v>1</v>
      </c>
      <c r="M1922" s="62">
        <f t="shared" si="3844"/>
        <v>1</v>
      </c>
      <c r="N1922" s="62">
        <f t="shared" si="3844"/>
        <v>1</v>
      </c>
      <c r="O1922" s="62">
        <f t="shared" si="3844"/>
        <v>1</v>
      </c>
      <c r="P1922" s="62" t="str">
        <f t="shared" si="3844"/>
        <v/>
      </c>
      <c r="Q1922" s="62" t="str">
        <f t="shared" si="3844"/>
        <v/>
      </c>
      <c r="R1922" s="62">
        <f t="shared" si="7"/>
        <v>0</v>
      </c>
      <c r="S1922" s="62"/>
      <c r="T1922" s="62"/>
      <c r="U1922" s="62"/>
      <c r="V1922" s="62"/>
      <c r="W1922" s="62"/>
      <c r="X1922" s="62"/>
      <c r="Y1922" s="62"/>
      <c r="Z1922" s="62"/>
      <c r="AA1922" s="62"/>
      <c r="AB1922" s="62"/>
      <c r="AC1922" s="62"/>
    </row>
    <row r="1923" hidden="1">
      <c r="A1923" s="60">
        <f>IFERROR(__xludf.DUMMYFUNCTION("""COMPUTED_VALUE"""),16776.0)</f>
        <v>16776</v>
      </c>
      <c r="B1923" s="60" t="str">
        <f>IFERROR(__xludf.DUMMYFUNCTION("""COMPUTED_VALUE"""),"Hadden, Kamal")</f>
        <v>Hadden, Kamal</v>
      </c>
      <c r="C1923" s="60" t="str">
        <f>IFERROR(__xludf.DUMMYFUNCTION("""COMPUTED_VALUE"""),"CB")</f>
        <v>CB</v>
      </c>
      <c r="D1923" s="60" t="str">
        <f>IFERROR(__xludf.DUMMYFUNCTION("""COMPUTED_VALUE"""),"GBP")</f>
        <v>GBP</v>
      </c>
      <c r="E1923" s="62" t="str">
        <f t="shared" si="4"/>
        <v>Kamal Hadden</v>
      </c>
      <c r="F1923" s="62">
        <f t="shared" ref="F1923:G1923" si="3845">IF(isblank(F$1),,IF(isblank($A1923),,IFERROR(vlookup($A1923,indirect("'TVC-"&amp;text(month(F$1),"00")&amp;"'!$A:$D"),4,false),1)))</f>
        <v>1</v>
      </c>
      <c r="G1923" s="62">
        <f t="shared" si="3845"/>
        <v>1</v>
      </c>
      <c r="H1923" s="62">
        <f t="shared" ref="H1923:Q1923" si="3846">IF(isblank(H$1),,IFERROR(vlookup($A1923,indirect("'TVC-"&amp;text(month(H$1),"00")&amp;"'!$A:$D"),4,false),1))</f>
        <v>1</v>
      </c>
      <c r="I1923" s="62">
        <f t="shared" si="3846"/>
        <v>1</v>
      </c>
      <c r="J1923" s="62">
        <f t="shared" si="3846"/>
        <v>1</v>
      </c>
      <c r="K1923" s="62">
        <f t="shared" si="3846"/>
        <v>1</v>
      </c>
      <c r="L1923" s="62">
        <f t="shared" si="3846"/>
        <v>1</v>
      </c>
      <c r="M1923" s="62">
        <f t="shared" si="3846"/>
        <v>1</v>
      </c>
      <c r="N1923" s="62">
        <f t="shared" si="3846"/>
        <v>1</v>
      </c>
      <c r="O1923" s="62">
        <f t="shared" si="3846"/>
        <v>1</v>
      </c>
      <c r="P1923" s="62" t="str">
        <f t="shared" si="3846"/>
        <v/>
      </c>
      <c r="Q1923" s="62" t="str">
        <f t="shared" si="3846"/>
        <v/>
      </c>
      <c r="R1923" s="62">
        <f t="shared" si="7"/>
        <v>0</v>
      </c>
      <c r="S1923" s="62"/>
      <c r="T1923" s="62"/>
      <c r="U1923" s="62"/>
      <c r="V1923" s="62"/>
      <c r="W1923" s="62"/>
      <c r="X1923" s="62"/>
      <c r="Y1923" s="62"/>
      <c r="Z1923" s="62"/>
      <c r="AA1923" s="62"/>
      <c r="AB1923" s="62"/>
      <c r="AC1923" s="62"/>
    </row>
    <row r="1924" hidden="1">
      <c r="A1924" s="60">
        <f>IFERROR(__xludf.DUMMYFUNCTION("""COMPUTED_VALUE"""),16777.0)</f>
        <v>16777</v>
      </c>
      <c r="B1924" s="60" t="str">
        <f>IFERROR(__xludf.DUMMYFUNCTION("""COMPUTED_VALUE"""),"Johnson, Cedric")</f>
        <v>Johnson, Cedric</v>
      </c>
      <c r="C1924" s="60" t="str">
        <f>IFERROR(__xludf.DUMMYFUNCTION("""COMPUTED_VALUE"""),"DE")</f>
        <v>DE</v>
      </c>
      <c r="D1924" s="60" t="str">
        <f>IFERROR(__xludf.DUMMYFUNCTION("""COMPUTED_VALUE"""),"CIN")</f>
        <v>CIN</v>
      </c>
      <c r="E1924" s="62" t="str">
        <f t="shared" si="4"/>
        <v>Cedric Johnson</v>
      </c>
      <c r="F1924" s="62">
        <f t="shared" ref="F1924:G1924" si="3847">IF(isblank(F$1),,IF(isblank($A1924),,IFERROR(vlookup($A1924,indirect("'TVC-"&amp;text(month(F$1),"00")&amp;"'!$A:$D"),4,false),1)))</f>
        <v>1</v>
      </c>
      <c r="G1924" s="62">
        <f t="shared" si="3847"/>
        <v>1</v>
      </c>
      <c r="H1924" s="62">
        <f t="shared" ref="H1924:Q1924" si="3848">IF(isblank(H$1),,IFERROR(vlookup($A1924,indirect("'TVC-"&amp;text(month(H$1),"00")&amp;"'!$A:$D"),4,false),1))</f>
        <v>1</v>
      </c>
      <c r="I1924" s="62">
        <f t="shared" si="3848"/>
        <v>1</v>
      </c>
      <c r="J1924" s="62">
        <f t="shared" si="3848"/>
        <v>1</v>
      </c>
      <c r="K1924" s="62">
        <f t="shared" si="3848"/>
        <v>1</v>
      </c>
      <c r="L1924" s="62">
        <f t="shared" si="3848"/>
        <v>1</v>
      </c>
      <c r="M1924" s="62">
        <f t="shared" si="3848"/>
        <v>1</v>
      </c>
      <c r="N1924" s="62">
        <f t="shared" si="3848"/>
        <v>1</v>
      </c>
      <c r="O1924" s="62">
        <f t="shared" si="3848"/>
        <v>1</v>
      </c>
      <c r="P1924" s="62" t="str">
        <f t="shared" si="3848"/>
        <v/>
      </c>
      <c r="Q1924" s="62" t="str">
        <f t="shared" si="3848"/>
        <v/>
      </c>
      <c r="R1924" s="62">
        <f t="shared" si="7"/>
        <v>0</v>
      </c>
      <c r="S1924" s="62"/>
      <c r="T1924" s="62"/>
      <c r="U1924" s="62"/>
      <c r="V1924" s="62"/>
      <c r="W1924" s="62"/>
      <c r="X1924" s="62"/>
      <c r="Y1924" s="62"/>
      <c r="Z1924" s="62"/>
      <c r="AA1924" s="62"/>
      <c r="AB1924" s="62"/>
      <c r="AC1924" s="62"/>
    </row>
    <row r="1925" hidden="1">
      <c r="A1925" s="60">
        <f>IFERROR(__xludf.DUMMYFUNCTION("""COMPUTED_VALUE"""),16778.0)</f>
        <v>16778</v>
      </c>
      <c r="B1925" s="60" t="str">
        <f>IFERROR(__xludf.DUMMYFUNCTION("""COMPUTED_VALUE"""),"Flournoy, Ryan")</f>
        <v>Flournoy, Ryan</v>
      </c>
      <c r="C1925" s="60" t="str">
        <f>IFERROR(__xludf.DUMMYFUNCTION("""COMPUTED_VALUE"""),"WR")</f>
        <v>WR</v>
      </c>
      <c r="D1925" s="60" t="str">
        <f>IFERROR(__xludf.DUMMYFUNCTION("""COMPUTED_VALUE"""),"DAL")</f>
        <v>DAL</v>
      </c>
      <c r="E1925" s="62" t="str">
        <f t="shared" si="4"/>
        <v>Ryan Flournoy</v>
      </c>
      <c r="F1925" s="62">
        <f t="shared" ref="F1925:G1925" si="3849">IF(isblank(F$1),,IF(isblank($A1925),,IFERROR(vlookup($A1925,indirect("'TVC-"&amp;text(month(F$1),"00")&amp;"'!$A:$D"),4,false),1)))</f>
        <v>1868</v>
      </c>
      <c r="G1925" s="62">
        <f t="shared" si="3849"/>
        <v>1904</v>
      </c>
      <c r="H1925" s="62">
        <f t="shared" ref="H1925:Q1925" si="3850">IF(isblank(H$1),,IFERROR(vlookup($A1925,indirect("'TVC-"&amp;text(month(H$1),"00")&amp;"'!$A:$D"),4,false),1))</f>
        <v>1889</v>
      </c>
      <c r="I1925" s="62">
        <f t="shared" si="3850"/>
        <v>1912</v>
      </c>
      <c r="J1925" s="62">
        <f t="shared" si="3850"/>
        <v>1752</v>
      </c>
      <c r="K1925" s="62">
        <f t="shared" si="3850"/>
        <v>1761</v>
      </c>
      <c r="L1925" s="62">
        <f t="shared" si="3850"/>
        <v>1848</v>
      </c>
      <c r="M1925" s="62">
        <f t="shared" si="3850"/>
        <v>1998</v>
      </c>
      <c r="N1925" s="62">
        <f t="shared" si="3850"/>
        <v>2039</v>
      </c>
      <c r="O1925" s="62">
        <f t="shared" si="3850"/>
        <v>1</v>
      </c>
      <c r="P1925" s="62" t="str">
        <f t="shared" si="3850"/>
        <v/>
      </c>
      <c r="Q1925" s="62" t="str">
        <f t="shared" si="3850"/>
        <v/>
      </c>
      <c r="R1925" s="62">
        <f t="shared" si="7"/>
        <v>-2038</v>
      </c>
      <c r="S1925" s="62"/>
      <c r="T1925" s="62"/>
      <c r="U1925" s="62"/>
      <c r="V1925" s="62"/>
      <c r="W1925" s="62"/>
      <c r="X1925" s="62"/>
      <c r="Y1925" s="62"/>
      <c r="Z1925" s="62"/>
      <c r="AA1925" s="62"/>
      <c r="AB1925" s="62"/>
      <c r="AC1925" s="62"/>
    </row>
    <row r="1926" hidden="1">
      <c r="A1926" s="60">
        <f>IFERROR(__xludf.DUMMYFUNCTION("""COMPUTED_VALUE"""),16780.0)</f>
        <v>16780</v>
      </c>
      <c r="B1926" s="60" t="str">
        <f>IFERROR(__xludf.DUMMYFUNCTION("""COMPUTED_VALUE"""),"Jean-Baptiste, Javontae")</f>
        <v>Jean-Baptiste, Javontae</v>
      </c>
      <c r="C1926" s="60" t="str">
        <f>IFERROR(__xludf.DUMMYFUNCTION("""COMPUTED_VALUE"""),"DE")</f>
        <v>DE</v>
      </c>
      <c r="D1926" s="60" t="str">
        <f>IFERROR(__xludf.DUMMYFUNCTION("""COMPUTED_VALUE"""),"WAS")</f>
        <v>WAS</v>
      </c>
      <c r="E1926" s="62" t="str">
        <f t="shared" si="4"/>
        <v>Javontae Jean-Baptiste</v>
      </c>
      <c r="F1926" s="62">
        <f t="shared" ref="F1926:G1926" si="3851">IF(isblank(F$1),,IF(isblank($A1926),,IFERROR(vlookup($A1926,indirect("'TVC-"&amp;text(month(F$1),"00")&amp;"'!$A:$D"),4,false),1)))</f>
        <v>1</v>
      </c>
      <c r="G1926" s="62">
        <f t="shared" si="3851"/>
        <v>1</v>
      </c>
      <c r="H1926" s="62">
        <f t="shared" ref="H1926:Q1926" si="3852">IF(isblank(H$1),,IFERROR(vlookup($A1926,indirect("'TVC-"&amp;text(month(H$1),"00")&amp;"'!$A:$D"),4,false),1))</f>
        <v>1</v>
      </c>
      <c r="I1926" s="62">
        <f t="shared" si="3852"/>
        <v>1</v>
      </c>
      <c r="J1926" s="62">
        <f t="shared" si="3852"/>
        <v>1</v>
      </c>
      <c r="K1926" s="62">
        <f t="shared" si="3852"/>
        <v>1</v>
      </c>
      <c r="L1926" s="62">
        <f t="shared" si="3852"/>
        <v>1</v>
      </c>
      <c r="M1926" s="62">
        <f t="shared" si="3852"/>
        <v>1</v>
      </c>
      <c r="N1926" s="62">
        <f t="shared" si="3852"/>
        <v>1</v>
      </c>
      <c r="O1926" s="62">
        <f t="shared" si="3852"/>
        <v>1</v>
      </c>
      <c r="P1926" s="62" t="str">
        <f t="shared" si="3852"/>
        <v/>
      </c>
      <c r="Q1926" s="62" t="str">
        <f t="shared" si="3852"/>
        <v/>
      </c>
      <c r="R1926" s="62">
        <f t="shared" si="7"/>
        <v>0</v>
      </c>
      <c r="S1926" s="62"/>
      <c r="T1926" s="62"/>
      <c r="U1926" s="62"/>
      <c r="V1926" s="62"/>
      <c r="W1926" s="62"/>
      <c r="X1926" s="62"/>
      <c r="Y1926" s="62"/>
      <c r="Z1926" s="62"/>
      <c r="AA1926" s="62"/>
      <c r="AB1926" s="62"/>
      <c r="AC1926" s="62"/>
    </row>
    <row r="1927" hidden="1">
      <c r="A1927" s="60">
        <f>IFERROR(__xludf.DUMMYFUNCTION("""COMPUTED_VALUE"""),16782.0)</f>
        <v>16782</v>
      </c>
      <c r="B1927" s="60" t="str">
        <f>IFERROR(__xludf.DUMMYFUNCTION("""COMPUTED_VALUE"""),"Anthony, Daijahn")</f>
        <v>Anthony, Daijahn</v>
      </c>
      <c r="C1927" s="60" t="str">
        <f>IFERROR(__xludf.DUMMYFUNCTION("""COMPUTED_VALUE"""),"S")</f>
        <v>S</v>
      </c>
      <c r="D1927" s="60" t="str">
        <f>IFERROR(__xludf.DUMMYFUNCTION("""COMPUTED_VALUE"""),"FA")</f>
        <v>FA</v>
      </c>
      <c r="E1927" s="62" t="str">
        <f t="shared" si="4"/>
        <v>Daijahn Anthony</v>
      </c>
      <c r="F1927" s="62">
        <f t="shared" ref="F1927:G1927" si="3853">IF(isblank(F$1),,IF(isblank($A1927),,IFERROR(vlookup($A1927,indirect("'TVC-"&amp;text(month(F$1),"00")&amp;"'!$A:$D"),4,false),1)))</f>
        <v>1</v>
      </c>
      <c r="G1927" s="62">
        <f t="shared" si="3853"/>
        <v>1</v>
      </c>
      <c r="H1927" s="62">
        <f t="shared" ref="H1927:Q1927" si="3854">IF(isblank(H$1),,IFERROR(vlookup($A1927,indirect("'TVC-"&amp;text(month(H$1),"00")&amp;"'!$A:$D"),4,false),1))</f>
        <v>1</v>
      </c>
      <c r="I1927" s="62">
        <f t="shared" si="3854"/>
        <v>1</v>
      </c>
      <c r="J1927" s="62">
        <f t="shared" si="3854"/>
        <v>1</v>
      </c>
      <c r="K1927" s="62">
        <f t="shared" si="3854"/>
        <v>1</v>
      </c>
      <c r="L1927" s="62">
        <f t="shared" si="3854"/>
        <v>1</v>
      </c>
      <c r="M1927" s="62">
        <f t="shared" si="3854"/>
        <v>1</v>
      </c>
      <c r="N1927" s="62">
        <f t="shared" si="3854"/>
        <v>1</v>
      </c>
      <c r="O1927" s="62">
        <f t="shared" si="3854"/>
        <v>1</v>
      </c>
      <c r="P1927" s="62" t="str">
        <f t="shared" si="3854"/>
        <v/>
      </c>
      <c r="Q1927" s="62" t="str">
        <f t="shared" si="3854"/>
        <v/>
      </c>
      <c r="R1927" s="62">
        <f t="shared" si="7"/>
        <v>0</v>
      </c>
      <c r="S1927" s="62"/>
      <c r="T1927" s="62"/>
      <c r="U1927" s="62"/>
      <c r="V1927" s="62"/>
      <c r="W1927" s="62"/>
      <c r="X1927" s="62"/>
      <c r="Y1927" s="62"/>
      <c r="Z1927" s="62"/>
      <c r="AA1927" s="62"/>
      <c r="AB1927" s="62"/>
      <c r="AC1927" s="62"/>
    </row>
    <row r="1928" hidden="1">
      <c r="A1928" s="60">
        <f>IFERROR(__xludf.DUMMYFUNCTION("""COMPUTED_VALUE"""),16784.0)</f>
        <v>16784</v>
      </c>
      <c r="B1928" s="60" t="str">
        <f>IFERROR(__xludf.DUMMYFUNCTION("""COMPUTED_VALUE"""),"Harden, Myles")</f>
        <v>Harden, Myles</v>
      </c>
      <c r="C1928" s="60" t="str">
        <f>IFERROR(__xludf.DUMMYFUNCTION("""COMPUTED_VALUE"""),"CB")</f>
        <v>CB</v>
      </c>
      <c r="D1928" s="60" t="str">
        <f>IFERROR(__xludf.DUMMYFUNCTION("""COMPUTED_VALUE"""),"CLE")</f>
        <v>CLE</v>
      </c>
      <c r="E1928" s="62" t="str">
        <f t="shared" si="4"/>
        <v>Myles Harden</v>
      </c>
      <c r="F1928" s="62">
        <f t="shared" ref="F1928:G1928" si="3855">IF(isblank(F$1),,IF(isblank($A1928),,IFERROR(vlookup($A1928,indirect("'TVC-"&amp;text(month(F$1),"00")&amp;"'!$A:$D"),4,false),1)))</f>
        <v>1</v>
      </c>
      <c r="G1928" s="62">
        <f t="shared" si="3855"/>
        <v>1</v>
      </c>
      <c r="H1928" s="62">
        <f t="shared" ref="H1928:Q1928" si="3856">IF(isblank(H$1),,IFERROR(vlookup($A1928,indirect("'TVC-"&amp;text(month(H$1),"00")&amp;"'!$A:$D"),4,false),1))</f>
        <v>1</v>
      </c>
      <c r="I1928" s="62">
        <f t="shared" si="3856"/>
        <v>1</v>
      </c>
      <c r="J1928" s="62">
        <f t="shared" si="3856"/>
        <v>1</v>
      </c>
      <c r="K1928" s="62">
        <f t="shared" si="3856"/>
        <v>1</v>
      </c>
      <c r="L1928" s="62">
        <f t="shared" si="3856"/>
        <v>1</v>
      </c>
      <c r="M1928" s="62">
        <f t="shared" si="3856"/>
        <v>1</v>
      </c>
      <c r="N1928" s="62">
        <f t="shared" si="3856"/>
        <v>1</v>
      </c>
      <c r="O1928" s="62">
        <f t="shared" si="3856"/>
        <v>1</v>
      </c>
      <c r="P1928" s="62" t="str">
        <f t="shared" si="3856"/>
        <v/>
      </c>
      <c r="Q1928" s="62" t="str">
        <f t="shared" si="3856"/>
        <v/>
      </c>
      <c r="R1928" s="62">
        <f t="shared" si="7"/>
        <v>0</v>
      </c>
      <c r="S1928" s="62"/>
      <c r="T1928" s="62"/>
      <c r="U1928" s="62"/>
      <c r="V1928" s="62"/>
      <c r="W1928" s="62"/>
      <c r="X1928" s="62"/>
      <c r="Y1928" s="62"/>
      <c r="Z1928" s="62"/>
      <c r="AA1928" s="62"/>
      <c r="AB1928" s="62"/>
      <c r="AC1928" s="62"/>
    </row>
    <row r="1929" hidden="1">
      <c r="A1929" s="60">
        <f>IFERROR(__xludf.DUMMYFUNCTION("""COMPUTED_VALUE"""),16786.0)</f>
        <v>16786</v>
      </c>
      <c r="B1929" s="60" t="str">
        <f>IFERROR(__xludf.DUMMYFUNCTION("""COMPUTED_VALUE"""),"Drake-Rodriguez, Levi")</f>
        <v>Drake-Rodriguez, Levi</v>
      </c>
      <c r="C1929" s="60" t="str">
        <f>IFERROR(__xludf.DUMMYFUNCTION("""COMPUTED_VALUE"""),"DT")</f>
        <v>DT</v>
      </c>
      <c r="D1929" s="60" t="str">
        <f>IFERROR(__xludf.DUMMYFUNCTION("""COMPUTED_VALUE"""),"MIN")</f>
        <v>MIN</v>
      </c>
      <c r="E1929" s="62" t="str">
        <f t="shared" si="4"/>
        <v>Levi Drake-Rodriguez</v>
      </c>
      <c r="F1929" s="62">
        <f t="shared" ref="F1929:G1929" si="3857">IF(isblank(F$1),,IF(isblank($A1929),,IFERROR(vlookup($A1929,indirect("'TVC-"&amp;text(month(F$1),"00")&amp;"'!$A:$D"),4,false),1)))</f>
        <v>1</v>
      </c>
      <c r="G1929" s="62">
        <f t="shared" si="3857"/>
        <v>1</v>
      </c>
      <c r="H1929" s="62">
        <f t="shared" ref="H1929:Q1929" si="3858">IF(isblank(H$1),,IFERROR(vlookup($A1929,indirect("'TVC-"&amp;text(month(H$1),"00")&amp;"'!$A:$D"),4,false),1))</f>
        <v>1</v>
      </c>
      <c r="I1929" s="62">
        <f t="shared" si="3858"/>
        <v>1</v>
      </c>
      <c r="J1929" s="62">
        <f t="shared" si="3858"/>
        <v>1</v>
      </c>
      <c r="K1929" s="62">
        <f t="shared" si="3858"/>
        <v>1</v>
      </c>
      <c r="L1929" s="62">
        <f t="shared" si="3858"/>
        <v>1</v>
      </c>
      <c r="M1929" s="62">
        <f t="shared" si="3858"/>
        <v>1</v>
      </c>
      <c r="N1929" s="62">
        <f t="shared" si="3858"/>
        <v>1</v>
      </c>
      <c r="O1929" s="62">
        <f t="shared" si="3858"/>
        <v>1</v>
      </c>
      <c r="P1929" s="62" t="str">
        <f t="shared" si="3858"/>
        <v/>
      </c>
      <c r="Q1929" s="62" t="str">
        <f t="shared" si="3858"/>
        <v/>
      </c>
      <c r="R1929" s="62">
        <f t="shared" si="7"/>
        <v>0</v>
      </c>
      <c r="S1929" s="62"/>
      <c r="T1929" s="62"/>
      <c r="U1929" s="62"/>
      <c r="V1929" s="62"/>
      <c r="W1929" s="62"/>
      <c r="X1929" s="62"/>
      <c r="Y1929" s="62"/>
      <c r="Z1929" s="62"/>
      <c r="AA1929" s="62"/>
      <c r="AB1929" s="62"/>
      <c r="AC1929" s="62"/>
    </row>
    <row r="1930" hidden="1">
      <c r="A1930" s="60">
        <f>IFERROR(__xludf.DUMMYFUNCTION("""COMPUTED_VALUE"""),16787.0)</f>
        <v>16787</v>
      </c>
      <c r="B1930" s="60" t="str">
        <f>IFERROR(__xludf.DUMMYFUNCTION("""COMPUTED_VALUE"""),"Laulu, Jonah")</f>
        <v>Laulu, Jonah</v>
      </c>
      <c r="C1930" s="60" t="str">
        <f>IFERROR(__xludf.DUMMYFUNCTION("""COMPUTED_VALUE"""),"DT")</f>
        <v>DT</v>
      </c>
      <c r="D1930" s="60" t="str">
        <f>IFERROR(__xludf.DUMMYFUNCTION("""COMPUTED_VALUE"""),"LVR")</f>
        <v>LVR</v>
      </c>
      <c r="E1930" s="62" t="str">
        <f t="shared" si="4"/>
        <v>Jonah Laulu</v>
      </c>
      <c r="F1930" s="62">
        <f t="shared" ref="F1930:G1930" si="3859">IF(isblank(F$1),,IF(isblank($A1930),,IFERROR(vlookup($A1930,indirect("'TVC-"&amp;text(month(F$1),"00")&amp;"'!$A:$D"),4,false),1)))</f>
        <v>1</v>
      </c>
      <c r="G1930" s="62">
        <f t="shared" si="3859"/>
        <v>1</v>
      </c>
      <c r="H1930" s="62">
        <f t="shared" ref="H1930:Q1930" si="3860">IF(isblank(H$1),,IFERROR(vlookup($A1930,indirect("'TVC-"&amp;text(month(H$1),"00")&amp;"'!$A:$D"),4,false),1))</f>
        <v>1</v>
      </c>
      <c r="I1930" s="62">
        <f t="shared" si="3860"/>
        <v>1</v>
      </c>
      <c r="J1930" s="62">
        <f t="shared" si="3860"/>
        <v>1</v>
      </c>
      <c r="K1930" s="62">
        <f t="shared" si="3860"/>
        <v>1</v>
      </c>
      <c r="L1930" s="62">
        <f t="shared" si="3860"/>
        <v>1</v>
      </c>
      <c r="M1930" s="62">
        <f t="shared" si="3860"/>
        <v>1</v>
      </c>
      <c r="N1930" s="62">
        <f t="shared" si="3860"/>
        <v>1</v>
      </c>
      <c r="O1930" s="62">
        <f t="shared" si="3860"/>
        <v>1</v>
      </c>
      <c r="P1930" s="62" t="str">
        <f t="shared" si="3860"/>
        <v/>
      </c>
      <c r="Q1930" s="62" t="str">
        <f t="shared" si="3860"/>
        <v/>
      </c>
      <c r="R1930" s="62">
        <f t="shared" si="7"/>
        <v>0</v>
      </c>
      <c r="S1930" s="62"/>
      <c r="T1930" s="62"/>
      <c r="U1930" s="62"/>
      <c r="V1930" s="62"/>
      <c r="W1930" s="62"/>
      <c r="X1930" s="62"/>
      <c r="Y1930" s="62"/>
      <c r="Z1930" s="62"/>
      <c r="AA1930" s="62"/>
      <c r="AB1930" s="62"/>
      <c r="AC1930" s="62"/>
    </row>
    <row r="1931" hidden="1">
      <c r="A1931" s="60">
        <f>IFERROR(__xludf.DUMMYFUNCTION("""COMPUTED_VALUE"""),16788.0)</f>
        <v>16788</v>
      </c>
      <c r="B1931" s="60" t="str">
        <f>IFERROR(__xludf.DUMMYFUNCTION("""COMPUTED_VALUE"""),"Vele, Devaughn")</f>
        <v>Vele, Devaughn</v>
      </c>
      <c r="C1931" s="60" t="str">
        <f>IFERROR(__xludf.DUMMYFUNCTION("""COMPUTED_VALUE"""),"WR")</f>
        <v>WR</v>
      </c>
      <c r="D1931" s="60" t="str">
        <f>IFERROR(__xludf.DUMMYFUNCTION("""COMPUTED_VALUE"""),"NOS")</f>
        <v>NOS</v>
      </c>
      <c r="E1931" s="62" t="str">
        <f t="shared" si="4"/>
        <v>Devaughn Vele</v>
      </c>
      <c r="F1931" s="62">
        <f t="shared" ref="F1931:G1931" si="3861">IF(isblank(F$1),,IF(isblank($A1931),,IFERROR(vlookup($A1931,indirect("'TVC-"&amp;text(month(F$1),"00")&amp;"'!$A:$D"),4,false),1)))</f>
        <v>1788</v>
      </c>
      <c r="G1931" s="62">
        <f t="shared" si="3861"/>
        <v>1795</v>
      </c>
      <c r="H1931" s="62">
        <f t="shared" ref="H1931:Q1931" si="3862">IF(isblank(H$1),,IFERROR(vlookup($A1931,indirect("'TVC-"&amp;text(month(H$1),"00")&amp;"'!$A:$D"),4,false),1))</f>
        <v>1796</v>
      </c>
      <c r="I1931" s="62">
        <f t="shared" si="3862"/>
        <v>1742</v>
      </c>
      <c r="J1931" s="62">
        <f t="shared" si="3862"/>
        <v>1656</v>
      </c>
      <c r="K1931" s="62">
        <f t="shared" si="3862"/>
        <v>1463</v>
      </c>
      <c r="L1931" s="62">
        <f t="shared" si="3862"/>
        <v>1452</v>
      </c>
      <c r="M1931" s="62">
        <f t="shared" si="3862"/>
        <v>1400</v>
      </c>
      <c r="N1931" s="62">
        <f t="shared" si="3862"/>
        <v>1707</v>
      </c>
      <c r="O1931" s="62">
        <f t="shared" si="3862"/>
        <v>1</v>
      </c>
      <c r="P1931" s="62" t="str">
        <f t="shared" si="3862"/>
        <v/>
      </c>
      <c r="Q1931" s="62" t="str">
        <f t="shared" si="3862"/>
        <v/>
      </c>
      <c r="R1931" s="62">
        <f t="shared" si="7"/>
        <v>-1706</v>
      </c>
      <c r="S1931" s="62"/>
      <c r="T1931" s="62"/>
      <c r="U1931" s="62"/>
      <c r="V1931" s="62"/>
      <c r="W1931" s="62"/>
      <c r="X1931" s="62"/>
      <c r="Y1931" s="62"/>
      <c r="Z1931" s="62"/>
      <c r="AA1931" s="62"/>
      <c r="AB1931" s="62"/>
      <c r="AC1931" s="62"/>
    </row>
    <row r="1932" hidden="1">
      <c r="A1932" s="60">
        <f>IFERROR(__xludf.DUMMYFUNCTION("""COMPUTED_VALUE"""),16789.0)</f>
        <v>16789</v>
      </c>
      <c r="B1932" s="60" t="str">
        <f>IFERROR(__xludf.DUMMYFUNCTION("""COMPUTED_VALUE"""),"Cole, Myles")</f>
        <v>Cole, Myles</v>
      </c>
      <c r="C1932" s="60" t="str">
        <f>IFERROR(__xludf.DUMMYFUNCTION("""COMPUTED_VALUE"""),"DE")</f>
        <v>DE</v>
      </c>
      <c r="D1932" s="60" t="str">
        <f>IFERROR(__xludf.DUMMYFUNCTION("""COMPUTED_VALUE"""),"FA")</f>
        <v>FA</v>
      </c>
      <c r="E1932" s="62" t="str">
        <f t="shared" si="4"/>
        <v>Myles Cole</v>
      </c>
      <c r="F1932" s="62">
        <f t="shared" ref="F1932:G1932" si="3863">IF(isblank(F$1),,IF(isblank($A1932),,IFERROR(vlookup($A1932,indirect("'TVC-"&amp;text(month(F$1),"00")&amp;"'!$A:$D"),4,false),1)))</f>
        <v>1</v>
      </c>
      <c r="G1932" s="62">
        <f t="shared" si="3863"/>
        <v>1</v>
      </c>
      <c r="H1932" s="62">
        <f t="shared" ref="H1932:Q1932" si="3864">IF(isblank(H$1),,IFERROR(vlookup($A1932,indirect("'TVC-"&amp;text(month(H$1),"00")&amp;"'!$A:$D"),4,false),1))</f>
        <v>1</v>
      </c>
      <c r="I1932" s="62">
        <f t="shared" si="3864"/>
        <v>1</v>
      </c>
      <c r="J1932" s="62">
        <f t="shared" si="3864"/>
        <v>1</v>
      </c>
      <c r="K1932" s="62">
        <f t="shared" si="3864"/>
        <v>1</v>
      </c>
      <c r="L1932" s="62">
        <f t="shared" si="3864"/>
        <v>1</v>
      </c>
      <c r="M1932" s="62">
        <f t="shared" si="3864"/>
        <v>1</v>
      </c>
      <c r="N1932" s="62">
        <f t="shared" si="3864"/>
        <v>1</v>
      </c>
      <c r="O1932" s="62">
        <f t="shared" si="3864"/>
        <v>1</v>
      </c>
      <c r="P1932" s="62" t="str">
        <f t="shared" si="3864"/>
        <v/>
      </c>
      <c r="Q1932" s="62" t="str">
        <f t="shared" si="3864"/>
        <v/>
      </c>
      <c r="R1932" s="62">
        <f t="shared" si="7"/>
        <v>0</v>
      </c>
      <c r="S1932" s="62"/>
      <c r="T1932" s="62"/>
      <c r="U1932" s="62"/>
      <c r="V1932" s="62"/>
      <c r="W1932" s="62"/>
      <c r="X1932" s="62"/>
      <c r="Y1932" s="62"/>
      <c r="Z1932" s="62"/>
      <c r="AA1932" s="62"/>
      <c r="AB1932" s="62"/>
      <c r="AC1932" s="62"/>
    </row>
    <row r="1933" hidden="1">
      <c r="A1933" s="60">
        <f>IFERROR(__xludf.DUMMYFUNCTION("""COMPUTED_VALUE"""),16792.0)</f>
        <v>16792</v>
      </c>
      <c r="B1933" s="60" t="str">
        <f>IFERROR(__xludf.DUMMYFUNCTION("""COMPUTED_VALUE"""),"Washington, Tahj")</f>
        <v>Washington, Tahj</v>
      </c>
      <c r="C1933" s="60" t="str">
        <f>IFERROR(__xludf.DUMMYFUNCTION("""COMPUTED_VALUE"""),"WR")</f>
        <v>WR</v>
      </c>
      <c r="D1933" s="60" t="str">
        <f>IFERROR(__xludf.DUMMYFUNCTION("""COMPUTED_VALUE"""),"FA")</f>
        <v>FA</v>
      </c>
      <c r="E1933" s="62" t="str">
        <f t="shared" si="4"/>
        <v>Tahj Washington</v>
      </c>
      <c r="F1933" s="62">
        <f t="shared" ref="F1933:G1933" si="3865">IF(isblank(F$1),,IF(isblank($A1933),,IFERROR(vlookup($A1933,indirect("'TVC-"&amp;text(month(F$1),"00")&amp;"'!$A:$D"),4,false),1)))</f>
        <v>1136</v>
      </c>
      <c r="G1933" s="62">
        <f t="shared" si="3865"/>
        <v>1202</v>
      </c>
      <c r="H1933" s="62">
        <f t="shared" ref="H1933:Q1933" si="3866">IF(isblank(H$1),,IFERROR(vlookup($A1933,indirect("'TVC-"&amp;text(month(H$1),"00")&amp;"'!$A:$D"),4,false),1))</f>
        <v>1194</v>
      </c>
      <c r="I1933" s="62">
        <f t="shared" si="3866"/>
        <v>1341</v>
      </c>
      <c r="J1933" s="62">
        <f t="shared" si="3866"/>
        <v>1536</v>
      </c>
      <c r="K1933" s="62">
        <f t="shared" si="3866"/>
        <v>1492</v>
      </c>
      <c r="L1933" s="62">
        <f t="shared" si="3866"/>
        <v>1367</v>
      </c>
      <c r="M1933" s="62">
        <f t="shared" si="3866"/>
        <v>1310</v>
      </c>
      <c r="N1933" s="62">
        <f t="shared" si="3866"/>
        <v>1167</v>
      </c>
      <c r="O1933" s="62">
        <f t="shared" si="3866"/>
        <v>1</v>
      </c>
      <c r="P1933" s="62" t="str">
        <f t="shared" si="3866"/>
        <v/>
      </c>
      <c r="Q1933" s="62" t="str">
        <f t="shared" si="3866"/>
        <v/>
      </c>
      <c r="R1933" s="62">
        <f t="shared" si="7"/>
        <v>-1166</v>
      </c>
      <c r="S1933" s="62"/>
      <c r="T1933" s="62"/>
      <c r="U1933" s="62"/>
      <c r="V1933" s="62"/>
      <c r="W1933" s="62"/>
      <c r="X1933" s="62"/>
      <c r="Y1933" s="62"/>
      <c r="Z1933" s="62"/>
      <c r="AA1933" s="62"/>
      <c r="AB1933" s="62"/>
      <c r="AC1933" s="62"/>
    </row>
    <row r="1934" hidden="1">
      <c r="A1934" s="60">
        <f>IFERROR(__xludf.DUMMYFUNCTION("""COMPUTED_VALUE"""),16793.0)</f>
        <v>16793</v>
      </c>
      <c r="B1934" s="60" t="str">
        <f>IFERROR(__xludf.DUMMYFUNCTION("""COMPUTED_VALUE"""),"Williams, James")</f>
        <v>Williams, James</v>
      </c>
      <c r="C1934" s="60" t="str">
        <f>IFERROR(__xludf.DUMMYFUNCTION("""COMPUTED_VALUE"""),"LB")</f>
        <v>LB</v>
      </c>
      <c r="D1934" s="60" t="str">
        <f>IFERROR(__xludf.DUMMYFUNCTION("""COMPUTED_VALUE"""),"TEN")</f>
        <v>TEN</v>
      </c>
      <c r="E1934" s="62" t="str">
        <f t="shared" si="4"/>
        <v>James Williams</v>
      </c>
      <c r="F1934" s="62">
        <f t="shared" ref="F1934:G1934" si="3867">IF(isblank(F$1),,IF(isblank($A1934),,IFERROR(vlookup($A1934,indirect("'TVC-"&amp;text(month(F$1),"00")&amp;"'!$A:$D"),4,false),1)))</f>
        <v>1</v>
      </c>
      <c r="G1934" s="62">
        <f t="shared" si="3867"/>
        <v>1</v>
      </c>
      <c r="H1934" s="62">
        <f t="shared" ref="H1934:Q1934" si="3868">IF(isblank(H$1),,IFERROR(vlookup($A1934,indirect("'TVC-"&amp;text(month(H$1),"00")&amp;"'!$A:$D"),4,false),1))</f>
        <v>1</v>
      </c>
      <c r="I1934" s="62">
        <f t="shared" si="3868"/>
        <v>1</v>
      </c>
      <c r="J1934" s="62">
        <f t="shared" si="3868"/>
        <v>1</v>
      </c>
      <c r="K1934" s="62">
        <f t="shared" si="3868"/>
        <v>1</v>
      </c>
      <c r="L1934" s="62">
        <f t="shared" si="3868"/>
        <v>1</v>
      </c>
      <c r="M1934" s="62">
        <f t="shared" si="3868"/>
        <v>1</v>
      </c>
      <c r="N1934" s="62">
        <f t="shared" si="3868"/>
        <v>1</v>
      </c>
      <c r="O1934" s="62">
        <f t="shared" si="3868"/>
        <v>1</v>
      </c>
      <c r="P1934" s="62" t="str">
        <f t="shared" si="3868"/>
        <v/>
      </c>
      <c r="Q1934" s="62" t="str">
        <f t="shared" si="3868"/>
        <v/>
      </c>
      <c r="R1934" s="62">
        <f t="shared" si="7"/>
        <v>0</v>
      </c>
      <c r="S1934" s="62"/>
      <c r="T1934" s="62"/>
      <c r="U1934" s="62"/>
      <c r="V1934" s="62"/>
      <c r="W1934" s="62"/>
      <c r="X1934" s="62"/>
      <c r="Y1934" s="62"/>
      <c r="Z1934" s="62"/>
      <c r="AA1934" s="62"/>
      <c r="AB1934" s="62"/>
      <c r="AC1934" s="62"/>
    </row>
    <row r="1935" hidden="1">
      <c r="A1935" s="60">
        <f>IFERROR(__xludf.DUMMYFUNCTION("""COMPUTED_VALUE"""),16794.0)</f>
        <v>16794</v>
      </c>
      <c r="B1935" s="60" t="str">
        <f>IFERROR(__xludf.DUMMYFUNCTION("""COMPUTED_VALUE"""),"Briggs, Jowon")</f>
        <v>Briggs, Jowon</v>
      </c>
      <c r="C1935" s="60" t="str">
        <f>IFERROR(__xludf.DUMMYFUNCTION("""COMPUTED_VALUE"""),"DT")</f>
        <v>DT</v>
      </c>
      <c r="D1935" s="60" t="str">
        <f>IFERROR(__xludf.DUMMYFUNCTION("""COMPUTED_VALUE"""),"NYJ")</f>
        <v>NYJ</v>
      </c>
      <c r="E1935" s="62" t="str">
        <f t="shared" si="4"/>
        <v>Jowon Briggs</v>
      </c>
      <c r="F1935" s="62">
        <f t="shared" ref="F1935:G1935" si="3869">IF(isblank(F$1),,IF(isblank($A1935),,IFERROR(vlookup($A1935,indirect("'TVC-"&amp;text(month(F$1),"00")&amp;"'!$A:$D"),4,false),1)))</f>
        <v>1</v>
      </c>
      <c r="G1935" s="62">
        <f t="shared" si="3869"/>
        <v>1</v>
      </c>
      <c r="H1935" s="62">
        <f t="shared" ref="H1935:Q1935" si="3870">IF(isblank(H$1),,IFERROR(vlookup($A1935,indirect("'TVC-"&amp;text(month(H$1),"00")&amp;"'!$A:$D"),4,false),1))</f>
        <v>1</v>
      </c>
      <c r="I1935" s="62">
        <f t="shared" si="3870"/>
        <v>1</v>
      </c>
      <c r="J1935" s="62">
        <f t="shared" si="3870"/>
        <v>1</v>
      </c>
      <c r="K1935" s="62">
        <f t="shared" si="3870"/>
        <v>1</v>
      </c>
      <c r="L1935" s="62">
        <f t="shared" si="3870"/>
        <v>1</v>
      </c>
      <c r="M1935" s="62">
        <f t="shared" si="3870"/>
        <v>1</v>
      </c>
      <c r="N1935" s="62">
        <f t="shared" si="3870"/>
        <v>1</v>
      </c>
      <c r="O1935" s="62">
        <f t="shared" si="3870"/>
        <v>1</v>
      </c>
      <c r="P1935" s="62" t="str">
        <f t="shared" si="3870"/>
        <v/>
      </c>
      <c r="Q1935" s="62" t="str">
        <f t="shared" si="3870"/>
        <v/>
      </c>
      <c r="R1935" s="62">
        <f t="shared" si="7"/>
        <v>0</v>
      </c>
      <c r="S1935" s="62"/>
      <c r="T1935" s="62"/>
      <c r="U1935" s="62"/>
      <c r="V1935" s="62"/>
      <c r="W1935" s="62"/>
      <c r="X1935" s="62"/>
      <c r="Y1935" s="62"/>
      <c r="Z1935" s="62"/>
      <c r="AA1935" s="62"/>
      <c r="AB1935" s="62"/>
      <c r="AC1935" s="62"/>
    </row>
    <row r="1936" hidden="1">
      <c r="A1936" s="60">
        <f>IFERROR(__xludf.DUMMYFUNCTION("""COMPUTED_VALUE"""),16796.0)</f>
        <v>16796</v>
      </c>
      <c r="B1936" s="60" t="str">
        <f>IFERROR(__xludf.DUMMYFUNCTION("""COMPUTED_VALUE"""),"Culp, Devin")</f>
        <v>Culp, Devin</v>
      </c>
      <c r="C1936" s="60" t="str">
        <f>IFERROR(__xludf.DUMMYFUNCTION("""COMPUTED_VALUE"""),"TE")</f>
        <v>TE</v>
      </c>
      <c r="D1936" s="60" t="str">
        <f>IFERROR(__xludf.DUMMYFUNCTION("""COMPUTED_VALUE"""),"CLE")</f>
        <v>CLE</v>
      </c>
      <c r="E1936" s="62" t="str">
        <f t="shared" si="4"/>
        <v>Devin Culp</v>
      </c>
      <c r="F1936" s="62">
        <f t="shared" ref="F1936:G1936" si="3871">IF(isblank(F$1),,IF(isblank($A1936),,IFERROR(vlookup($A1936,indirect("'TVC-"&amp;text(month(F$1),"00")&amp;"'!$A:$D"),4,false),1)))</f>
        <v>1</v>
      </c>
      <c r="G1936" s="62">
        <f t="shared" si="3871"/>
        <v>1</v>
      </c>
      <c r="H1936" s="62">
        <f t="shared" ref="H1936:Q1936" si="3872">IF(isblank(H$1),,IFERROR(vlookup($A1936,indirect("'TVC-"&amp;text(month(H$1),"00")&amp;"'!$A:$D"),4,false),1))</f>
        <v>1</v>
      </c>
      <c r="I1936" s="62">
        <f t="shared" si="3872"/>
        <v>1</v>
      </c>
      <c r="J1936" s="62">
        <f t="shared" si="3872"/>
        <v>1</v>
      </c>
      <c r="K1936" s="62">
        <f t="shared" si="3872"/>
        <v>1</v>
      </c>
      <c r="L1936" s="62">
        <f t="shared" si="3872"/>
        <v>1</v>
      </c>
      <c r="M1936" s="62">
        <f t="shared" si="3872"/>
        <v>1</v>
      </c>
      <c r="N1936" s="62">
        <f t="shared" si="3872"/>
        <v>1</v>
      </c>
      <c r="O1936" s="62">
        <f t="shared" si="3872"/>
        <v>1</v>
      </c>
      <c r="P1936" s="62" t="str">
        <f t="shared" si="3872"/>
        <v/>
      </c>
      <c r="Q1936" s="62" t="str">
        <f t="shared" si="3872"/>
        <v/>
      </c>
      <c r="R1936" s="62">
        <f t="shared" si="7"/>
        <v>0</v>
      </c>
      <c r="S1936" s="62"/>
      <c r="T1936" s="62"/>
      <c r="U1936" s="62"/>
      <c r="V1936" s="62"/>
      <c r="W1936" s="62"/>
      <c r="X1936" s="62"/>
      <c r="Y1936" s="62"/>
      <c r="Z1936" s="62"/>
      <c r="AA1936" s="62"/>
      <c r="AB1936" s="62"/>
      <c r="AC1936" s="62"/>
    </row>
    <row r="1937">
      <c r="A1937" s="60">
        <f>IFERROR(__xludf.DUMMYFUNCTION("""COMPUTED_VALUE"""),16797.0)</f>
        <v>16797</v>
      </c>
      <c r="B1937" s="60" t="str">
        <f>IFERROR(__xludf.DUMMYFUNCTION("""COMPUTED_VALUE"""),"Harris, Marcus")</f>
        <v>Harris, Marcus</v>
      </c>
      <c r="C1937" s="60" t="str">
        <f>IFERROR(__xludf.DUMMYFUNCTION("""COMPUTED_VALUE"""),"DT")</f>
        <v>DT</v>
      </c>
      <c r="D1937" s="60" t="str">
        <f>IFERROR(__xludf.DUMMYFUNCTION("""COMPUTED_VALUE"""),"KCC")</f>
        <v>KCC</v>
      </c>
      <c r="E1937" s="62" t="str">
        <f t="shared" si="4"/>
        <v>Marcus Harris</v>
      </c>
      <c r="F1937" s="62">
        <f t="shared" ref="F1937:G1937" si="3873">IF(isblank(F$1),,IF(isblank($A1937),,IFERROR(vlookup($A1937,indirect("'TVC-"&amp;text(month(F$1),"00")&amp;"'!$A:$D"),4,false),1)))</f>
        <v>1</v>
      </c>
      <c r="G1937" s="62">
        <f t="shared" si="3873"/>
        <v>1</v>
      </c>
      <c r="H1937" s="62">
        <f t="shared" ref="H1937:Q1937" si="3874">IF(isblank(H$1),,IFERROR(vlookup($A1937,indirect("'TVC-"&amp;text(month(H$1),"00")&amp;"'!$A:$D"),4,false),1))</f>
        <v>1</v>
      </c>
      <c r="I1937" s="62">
        <f t="shared" si="3874"/>
        <v>1</v>
      </c>
      <c r="J1937" s="62">
        <f t="shared" si="3874"/>
        <v>1</v>
      </c>
      <c r="K1937" s="62">
        <f t="shared" si="3874"/>
        <v>1</v>
      </c>
      <c r="L1937" s="62">
        <f t="shared" si="3874"/>
        <v>1</v>
      </c>
      <c r="M1937" s="62">
        <f t="shared" si="3874"/>
        <v>1</v>
      </c>
      <c r="N1937" s="62">
        <f t="shared" si="3874"/>
        <v>1</v>
      </c>
      <c r="O1937" s="62">
        <f t="shared" si="3874"/>
        <v>1</v>
      </c>
      <c r="P1937" s="62" t="str">
        <f t="shared" si="3874"/>
        <v/>
      </c>
      <c r="Q1937" s="62" t="str">
        <f t="shared" si="3874"/>
        <v/>
      </c>
      <c r="R1937" s="62">
        <f t="shared" si="7"/>
        <v>0</v>
      </c>
      <c r="S1937" s="62"/>
      <c r="T1937" s="62"/>
      <c r="U1937" s="62"/>
      <c r="V1937" s="62"/>
      <c r="W1937" s="62"/>
      <c r="X1937" s="62"/>
      <c r="Y1937" s="62"/>
      <c r="Z1937" s="62"/>
      <c r="AA1937" s="62"/>
      <c r="AB1937" s="62"/>
      <c r="AC1937" s="62"/>
    </row>
    <row r="1938" hidden="1">
      <c r="A1938" s="60">
        <f>IFERROR(__xludf.DUMMYFUNCTION("""COMPUTED_VALUE"""),16798.0)</f>
        <v>16798</v>
      </c>
      <c r="B1938" s="60" t="str">
        <f>IFERROR(__xludf.DUMMYFUNCTION("""COMPUTED_VALUE"""),"Kane, Sanoussi")</f>
        <v>Kane, Sanoussi</v>
      </c>
      <c r="C1938" s="60" t="str">
        <f>IFERROR(__xludf.DUMMYFUNCTION("""COMPUTED_VALUE"""),"S")</f>
        <v>S</v>
      </c>
      <c r="D1938" s="60" t="str">
        <f>IFERROR(__xludf.DUMMYFUNCTION("""COMPUTED_VALUE"""),"FA")</f>
        <v>FA</v>
      </c>
      <c r="E1938" s="62" t="str">
        <f t="shared" si="4"/>
        <v>Sanoussi Kane</v>
      </c>
      <c r="F1938" s="62">
        <f t="shared" ref="F1938:G1938" si="3875">IF(isblank(F$1),,IF(isblank($A1938),,IFERROR(vlookup($A1938,indirect("'TVC-"&amp;text(month(F$1),"00")&amp;"'!$A:$D"),4,false),1)))</f>
        <v>1</v>
      </c>
      <c r="G1938" s="62">
        <f t="shared" si="3875"/>
        <v>1</v>
      </c>
      <c r="H1938" s="62">
        <f t="shared" ref="H1938:Q1938" si="3876">IF(isblank(H$1),,IFERROR(vlookup($A1938,indirect("'TVC-"&amp;text(month(H$1),"00")&amp;"'!$A:$D"),4,false),1))</f>
        <v>1</v>
      </c>
      <c r="I1938" s="62">
        <f t="shared" si="3876"/>
        <v>1</v>
      </c>
      <c r="J1938" s="62">
        <f t="shared" si="3876"/>
        <v>1</v>
      </c>
      <c r="K1938" s="62">
        <f t="shared" si="3876"/>
        <v>1</v>
      </c>
      <c r="L1938" s="62">
        <f t="shared" si="3876"/>
        <v>1</v>
      </c>
      <c r="M1938" s="62">
        <f t="shared" si="3876"/>
        <v>1</v>
      </c>
      <c r="N1938" s="62">
        <f t="shared" si="3876"/>
        <v>1</v>
      </c>
      <c r="O1938" s="62">
        <f t="shared" si="3876"/>
        <v>1</v>
      </c>
      <c r="P1938" s="62" t="str">
        <f t="shared" si="3876"/>
        <v/>
      </c>
      <c r="Q1938" s="62" t="str">
        <f t="shared" si="3876"/>
        <v/>
      </c>
      <c r="R1938" s="62">
        <f t="shared" si="7"/>
        <v>0</v>
      </c>
      <c r="S1938" s="62"/>
      <c r="T1938" s="62"/>
      <c r="U1938" s="62"/>
      <c r="V1938" s="62"/>
      <c r="W1938" s="62"/>
      <c r="X1938" s="62"/>
      <c r="Y1938" s="62"/>
      <c r="Z1938" s="62"/>
      <c r="AA1938" s="62"/>
      <c r="AB1938" s="62"/>
      <c r="AC1938" s="62"/>
    </row>
    <row r="1939" hidden="1">
      <c r="A1939" s="60">
        <f>IFERROR(__xludf.DUMMYFUNCTION("""COMPUTED_VALUE"""),16799.0)</f>
        <v>16799</v>
      </c>
      <c r="B1939" s="60" t="str">
        <f>IFERROR(__xludf.DUMMYFUNCTION("""COMPUTED_VALUE"""),"Bethune, Tatum")</f>
        <v>Bethune, Tatum</v>
      </c>
      <c r="C1939" s="60" t="str">
        <f>IFERROR(__xludf.DUMMYFUNCTION("""COMPUTED_VALUE"""),"LB")</f>
        <v>LB</v>
      </c>
      <c r="D1939" s="60" t="str">
        <f>IFERROR(__xludf.DUMMYFUNCTION("""COMPUTED_VALUE"""),"SFO")</f>
        <v>SFO</v>
      </c>
      <c r="E1939" s="62" t="str">
        <f t="shared" si="4"/>
        <v>Tatum Bethune</v>
      </c>
      <c r="F1939" s="62">
        <f t="shared" ref="F1939:G1939" si="3877">IF(isblank(F$1),,IF(isblank($A1939),,IFERROR(vlookup($A1939,indirect("'TVC-"&amp;text(month(F$1),"00")&amp;"'!$A:$D"),4,false),1)))</f>
        <v>1</v>
      </c>
      <c r="G1939" s="62">
        <f t="shared" si="3877"/>
        <v>1</v>
      </c>
      <c r="H1939" s="62">
        <f t="shared" ref="H1939:Q1939" si="3878">IF(isblank(H$1),,IFERROR(vlookup($A1939,indirect("'TVC-"&amp;text(month(H$1),"00")&amp;"'!$A:$D"),4,false),1))</f>
        <v>1</v>
      </c>
      <c r="I1939" s="62">
        <f t="shared" si="3878"/>
        <v>1</v>
      </c>
      <c r="J1939" s="62">
        <f t="shared" si="3878"/>
        <v>1</v>
      </c>
      <c r="K1939" s="62">
        <f t="shared" si="3878"/>
        <v>1</v>
      </c>
      <c r="L1939" s="62">
        <f t="shared" si="3878"/>
        <v>1</v>
      </c>
      <c r="M1939" s="62">
        <f t="shared" si="3878"/>
        <v>1</v>
      </c>
      <c r="N1939" s="62">
        <f t="shared" si="3878"/>
        <v>1</v>
      </c>
      <c r="O1939" s="62">
        <f t="shared" si="3878"/>
        <v>1</v>
      </c>
      <c r="P1939" s="62" t="str">
        <f t="shared" si="3878"/>
        <v/>
      </c>
      <c r="Q1939" s="62" t="str">
        <f t="shared" si="3878"/>
        <v/>
      </c>
      <c r="R1939" s="62">
        <f t="shared" si="7"/>
        <v>0</v>
      </c>
      <c r="S1939" s="62"/>
      <c r="T1939" s="62"/>
      <c r="U1939" s="62"/>
      <c r="V1939" s="62"/>
      <c r="W1939" s="62"/>
      <c r="X1939" s="62"/>
      <c r="Y1939" s="62"/>
      <c r="Z1939" s="62"/>
      <c r="AA1939" s="62"/>
      <c r="AB1939" s="62"/>
      <c r="AC1939" s="62"/>
    </row>
    <row r="1940" hidden="1">
      <c r="A1940" s="60">
        <f>IFERROR(__xludf.DUMMYFUNCTION("""COMPUTED_VALUE"""),16800.0)</f>
        <v>16800</v>
      </c>
      <c r="B1940" s="60" t="str">
        <f>IFERROR(__xludf.DUMMYFUNCTION("""COMPUTED_VALUE"""),"Harrell, Jaylen")</f>
        <v>Harrell, Jaylen</v>
      </c>
      <c r="C1940" s="60" t="str">
        <f>IFERROR(__xludf.DUMMYFUNCTION("""COMPUTED_VALUE"""),"DE")</f>
        <v>DE</v>
      </c>
      <c r="D1940" s="60" t="str">
        <f>IFERROR(__xludf.DUMMYFUNCTION("""COMPUTED_VALUE"""),"TEN")</f>
        <v>TEN</v>
      </c>
      <c r="E1940" s="62" t="str">
        <f t="shared" si="4"/>
        <v>Jaylen Harrell</v>
      </c>
      <c r="F1940" s="62">
        <f t="shared" ref="F1940:G1940" si="3879">IF(isblank(F$1),,IF(isblank($A1940),,IFERROR(vlookup($A1940,indirect("'TVC-"&amp;text(month(F$1),"00")&amp;"'!$A:$D"),4,false),1)))</f>
        <v>1</v>
      </c>
      <c r="G1940" s="62">
        <f t="shared" si="3879"/>
        <v>1</v>
      </c>
      <c r="H1940" s="62">
        <f t="shared" ref="H1940:Q1940" si="3880">IF(isblank(H$1),,IFERROR(vlookup($A1940,indirect("'TVC-"&amp;text(month(H$1),"00")&amp;"'!$A:$D"),4,false),1))</f>
        <v>1</v>
      </c>
      <c r="I1940" s="62">
        <f t="shared" si="3880"/>
        <v>1</v>
      </c>
      <c r="J1940" s="62">
        <f t="shared" si="3880"/>
        <v>1</v>
      </c>
      <c r="K1940" s="62">
        <f t="shared" si="3880"/>
        <v>1</v>
      </c>
      <c r="L1940" s="62">
        <f t="shared" si="3880"/>
        <v>1</v>
      </c>
      <c r="M1940" s="62">
        <f t="shared" si="3880"/>
        <v>1</v>
      </c>
      <c r="N1940" s="62">
        <f t="shared" si="3880"/>
        <v>1</v>
      </c>
      <c r="O1940" s="62">
        <f t="shared" si="3880"/>
        <v>1</v>
      </c>
      <c r="P1940" s="62" t="str">
        <f t="shared" si="3880"/>
        <v/>
      </c>
      <c r="Q1940" s="62" t="str">
        <f t="shared" si="3880"/>
        <v/>
      </c>
      <c r="R1940" s="62">
        <f t="shared" si="7"/>
        <v>0</v>
      </c>
      <c r="S1940" s="62"/>
      <c r="T1940" s="62"/>
      <c r="U1940" s="62"/>
      <c r="V1940" s="62"/>
      <c r="W1940" s="62"/>
      <c r="X1940" s="62"/>
      <c r="Y1940" s="62"/>
      <c r="Z1940" s="62"/>
      <c r="AA1940" s="62"/>
      <c r="AB1940" s="62"/>
      <c r="AC1940" s="62"/>
    </row>
    <row r="1941" hidden="1">
      <c r="A1941" s="60">
        <f>IFERROR(__xludf.DUMMYFUNCTION("""COMPUTED_VALUE"""),16801.0)</f>
        <v>16801</v>
      </c>
      <c r="B1941" s="60" t="str">
        <f>IFERROR(__xludf.DUMMYFUNCTION("""COMPUTED_VALUE"""),"Johnson, Cornelius")</f>
        <v>Johnson, Cornelius</v>
      </c>
      <c r="C1941" s="60" t="str">
        <f>IFERROR(__xludf.DUMMYFUNCTION("""COMPUTED_VALUE"""),"WR")</f>
        <v>WR</v>
      </c>
      <c r="D1941" s="60" t="str">
        <f>IFERROR(__xludf.DUMMYFUNCTION("""COMPUTED_VALUE"""),"FA")</f>
        <v>FA</v>
      </c>
      <c r="E1941" s="62" t="str">
        <f t="shared" si="4"/>
        <v>Cornelius Johnson</v>
      </c>
      <c r="F1941" s="62">
        <f t="shared" ref="F1941:G1941" si="3881">IF(isblank(F$1),,IF(isblank($A1941),,IFERROR(vlookup($A1941,indirect("'TVC-"&amp;text(month(F$1),"00")&amp;"'!$A:$D"),4,false),1)))</f>
        <v>1</v>
      </c>
      <c r="G1941" s="62">
        <f t="shared" si="3881"/>
        <v>1</v>
      </c>
      <c r="H1941" s="62">
        <f t="shared" ref="H1941:Q1941" si="3882">IF(isblank(H$1),,IFERROR(vlookup($A1941,indirect("'TVC-"&amp;text(month(H$1),"00")&amp;"'!$A:$D"),4,false),1))</f>
        <v>1</v>
      </c>
      <c r="I1941" s="62">
        <f t="shared" si="3882"/>
        <v>1</v>
      </c>
      <c r="J1941" s="62">
        <f t="shared" si="3882"/>
        <v>1</v>
      </c>
      <c r="K1941" s="62">
        <f t="shared" si="3882"/>
        <v>1</v>
      </c>
      <c r="L1941" s="62">
        <f t="shared" si="3882"/>
        <v>1</v>
      </c>
      <c r="M1941" s="62">
        <f t="shared" si="3882"/>
        <v>1</v>
      </c>
      <c r="N1941" s="62">
        <f t="shared" si="3882"/>
        <v>1</v>
      </c>
      <c r="O1941" s="62">
        <f t="shared" si="3882"/>
        <v>1</v>
      </c>
      <c r="P1941" s="62" t="str">
        <f t="shared" si="3882"/>
        <v/>
      </c>
      <c r="Q1941" s="62" t="str">
        <f t="shared" si="3882"/>
        <v/>
      </c>
      <c r="R1941" s="62">
        <f t="shared" si="7"/>
        <v>0</v>
      </c>
      <c r="S1941" s="62"/>
      <c r="T1941" s="62"/>
      <c r="U1941" s="62"/>
      <c r="V1941" s="62"/>
      <c r="W1941" s="62"/>
      <c r="X1941" s="62"/>
      <c r="Y1941" s="62"/>
      <c r="Z1941" s="62"/>
      <c r="AA1941" s="62"/>
      <c r="AB1941" s="62"/>
      <c r="AC1941" s="62"/>
    </row>
    <row r="1942" hidden="1">
      <c r="A1942" s="60">
        <f>IFERROR(__xludf.DUMMYFUNCTION("""COMPUTED_VALUE"""),16803.0)</f>
        <v>16803</v>
      </c>
      <c r="B1942" s="60" t="str">
        <f>IFERROR(__xludf.DUMMYFUNCTION("""COMPUTED_VALUE"""),"Watson, Blake")</f>
        <v>Watson, Blake</v>
      </c>
      <c r="C1942" s="60" t="str">
        <f>IFERROR(__xludf.DUMMYFUNCTION("""COMPUTED_VALUE"""),"RB")</f>
        <v>RB</v>
      </c>
      <c r="D1942" s="60" t="str">
        <f>IFERROR(__xludf.DUMMYFUNCTION("""COMPUTED_VALUE"""),"FA")</f>
        <v>FA</v>
      </c>
      <c r="E1942" s="62" t="str">
        <f t="shared" si="4"/>
        <v>Blake Watson</v>
      </c>
      <c r="F1942" s="62">
        <f t="shared" ref="F1942:G1942" si="3883">IF(isblank(F$1),,IF(isblank($A1942),,IFERROR(vlookup($A1942,indirect("'TVC-"&amp;text(month(F$1),"00")&amp;"'!$A:$D"),4,false),1)))</f>
        <v>1</v>
      </c>
      <c r="G1942" s="62">
        <f t="shared" si="3883"/>
        <v>1</v>
      </c>
      <c r="H1942" s="62">
        <f t="shared" ref="H1942:Q1942" si="3884">IF(isblank(H$1),,IFERROR(vlookup($A1942,indirect("'TVC-"&amp;text(month(H$1),"00")&amp;"'!$A:$D"),4,false),1))</f>
        <v>1</v>
      </c>
      <c r="I1942" s="62">
        <f t="shared" si="3884"/>
        <v>1</v>
      </c>
      <c r="J1942" s="62">
        <f t="shared" si="3884"/>
        <v>1</v>
      </c>
      <c r="K1942" s="62">
        <f t="shared" si="3884"/>
        <v>1</v>
      </c>
      <c r="L1942" s="62">
        <f t="shared" si="3884"/>
        <v>1</v>
      </c>
      <c r="M1942" s="62">
        <f t="shared" si="3884"/>
        <v>1</v>
      </c>
      <c r="N1942" s="62">
        <f t="shared" si="3884"/>
        <v>1</v>
      </c>
      <c r="O1942" s="62">
        <f t="shared" si="3884"/>
        <v>1</v>
      </c>
      <c r="P1942" s="62" t="str">
        <f t="shared" si="3884"/>
        <v/>
      </c>
      <c r="Q1942" s="62" t="str">
        <f t="shared" si="3884"/>
        <v/>
      </c>
      <c r="R1942" s="62">
        <f t="shared" si="7"/>
        <v>0</v>
      </c>
      <c r="S1942" s="62"/>
      <c r="T1942" s="62"/>
      <c r="U1942" s="62"/>
      <c r="V1942" s="62"/>
      <c r="W1942" s="62"/>
      <c r="X1942" s="62"/>
      <c r="Y1942" s="62"/>
      <c r="Z1942" s="62"/>
      <c r="AA1942" s="62"/>
      <c r="AB1942" s="62"/>
      <c r="AC1942" s="62"/>
    </row>
    <row r="1943" hidden="1">
      <c r="A1943" s="60">
        <f>IFERROR(__xludf.DUMMYFUNCTION("""COMPUTED_VALUE"""),16806.0)</f>
        <v>16806</v>
      </c>
      <c r="B1943" s="60" t="str">
        <f>IFERROR(__xludf.DUMMYFUNCTION("""COMPUTED_VALUE"""),"Cephus, Joshua")</f>
        <v>Cephus, Joshua</v>
      </c>
      <c r="C1943" s="60" t="str">
        <f>IFERROR(__xludf.DUMMYFUNCTION("""COMPUTED_VALUE"""),"WR")</f>
        <v>WR</v>
      </c>
      <c r="D1943" s="60" t="str">
        <f>IFERROR(__xludf.DUMMYFUNCTION("""COMPUTED_VALUE"""),"JAC")</f>
        <v>JAC</v>
      </c>
      <c r="E1943" s="62" t="str">
        <f t="shared" si="4"/>
        <v>Joshua Cephus</v>
      </c>
      <c r="F1943" s="62">
        <f t="shared" ref="F1943:G1943" si="3885">IF(isblank(F$1),,IF(isblank($A1943),,IFERROR(vlookup($A1943,indirect("'TVC-"&amp;text(month(F$1),"00")&amp;"'!$A:$D"),4,false),1)))</f>
        <v>1</v>
      </c>
      <c r="G1943" s="62">
        <f t="shared" si="3885"/>
        <v>1</v>
      </c>
      <c r="H1943" s="62">
        <f t="shared" ref="H1943:Q1943" si="3886">IF(isblank(H$1),,IFERROR(vlookup($A1943,indirect("'TVC-"&amp;text(month(H$1),"00")&amp;"'!$A:$D"),4,false),1))</f>
        <v>1</v>
      </c>
      <c r="I1943" s="62">
        <f t="shared" si="3886"/>
        <v>1</v>
      </c>
      <c r="J1943" s="62">
        <f t="shared" si="3886"/>
        <v>1</v>
      </c>
      <c r="K1943" s="62">
        <f t="shared" si="3886"/>
        <v>1</v>
      </c>
      <c r="L1943" s="62">
        <f t="shared" si="3886"/>
        <v>1</v>
      </c>
      <c r="M1943" s="62">
        <f t="shared" si="3886"/>
        <v>1</v>
      </c>
      <c r="N1943" s="62">
        <f t="shared" si="3886"/>
        <v>1</v>
      </c>
      <c r="O1943" s="62">
        <f t="shared" si="3886"/>
        <v>1</v>
      </c>
      <c r="P1943" s="62" t="str">
        <f t="shared" si="3886"/>
        <v/>
      </c>
      <c r="Q1943" s="62" t="str">
        <f t="shared" si="3886"/>
        <v/>
      </c>
      <c r="R1943" s="62">
        <f t="shared" si="7"/>
        <v>0</v>
      </c>
      <c r="S1943" s="62"/>
      <c r="T1943" s="62"/>
      <c r="U1943" s="62"/>
      <c r="V1943" s="62"/>
      <c r="W1943" s="62"/>
      <c r="X1943" s="62"/>
      <c r="Y1943" s="62"/>
      <c r="Z1943" s="62"/>
      <c r="AA1943" s="62"/>
      <c r="AB1943" s="62"/>
      <c r="AC1943" s="62"/>
    </row>
    <row r="1944" hidden="1">
      <c r="A1944" s="60">
        <f>IFERROR(__xludf.DUMMYFUNCTION("""COMPUTED_VALUE"""),16809.0)</f>
        <v>16809</v>
      </c>
      <c r="B1944" s="60" t="str">
        <f>IFERROR(__xludf.DUMMYFUNCTION("""COMPUTED_VALUE"""),"Coker, Jalen")</f>
        <v>Coker, Jalen</v>
      </c>
      <c r="C1944" s="60" t="str">
        <f>IFERROR(__xludf.DUMMYFUNCTION("""COMPUTED_VALUE"""),"WR")</f>
        <v>WR</v>
      </c>
      <c r="D1944" s="60" t="str">
        <f>IFERROR(__xludf.DUMMYFUNCTION("""COMPUTED_VALUE"""),"CAR")</f>
        <v>CAR</v>
      </c>
      <c r="E1944" s="62" t="str">
        <f t="shared" si="4"/>
        <v>Jalen Coker</v>
      </c>
      <c r="F1944" s="62">
        <f t="shared" ref="F1944:G1944" si="3887">IF(isblank(F$1),,IF(isblank($A1944),,IFERROR(vlookup($A1944,indirect("'TVC-"&amp;text(month(F$1),"00")&amp;"'!$A:$D"),4,false),1)))</f>
        <v>2794</v>
      </c>
      <c r="G1944" s="62">
        <f t="shared" si="3887"/>
        <v>3167</v>
      </c>
      <c r="H1944" s="62">
        <f t="shared" ref="H1944:Q1944" si="3888">IF(isblank(H$1),,IFERROR(vlookup($A1944,indirect("'TVC-"&amp;text(month(H$1),"00")&amp;"'!$A:$D"),4,false),1))</f>
        <v>3277</v>
      </c>
      <c r="I1944" s="62">
        <f t="shared" si="3888"/>
        <v>3046</v>
      </c>
      <c r="J1944" s="62">
        <f t="shared" si="3888"/>
        <v>3039</v>
      </c>
      <c r="K1944" s="62">
        <f t="shared" si="3888"/>
        <v>3068</v>
      </c>
      <c r="L1944" s="62">
        <f t="shared" si="3888"/>
        <v>3158</v>
      </c>
      <c r="M1944" s="62">
        <f t="shared" si="3888"/>
        <v>3158</v>
      </c>
      <c r="N1944" s="62">
        <f t="shared" si="3888"/>
        <v>3252</v>
      </c>
      <c r="O1944" s="62">
        <f t="shared" si="3888"/>
        <v>1</v>
      </c>
      <c r="P1944" s="62" t="str">
        <f t="shared" si="3888"/>
        <v/>
      </c>
      <c r="Q1944" s="62" t="str">
        <f t="shared" si="3888"/>
        <v/>
      </c>
      <c r="R1944" s="62">
        <f t="shared" si="7"/>
        <v>-3251</v>
      </c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</row>
    <row r="1945" hidden="1">
      <c r="A1945" s="60">
        <f>IFERROR(__xludf.DUMMYFUNCTION("""COMPUTED_VALUE"""),16810.0)</f>
        <v>16810</v>
      </c>
      <c r="B1945" s="60" t="str">
        <f>IFERROR(__xludf.DUMMYFUNCTION("""COMPUTED_VALUE"""),"Collier, Chris")</f>
        <v>Collier, Chris</v>
      </c>
      <c r="C1945" s="60" t="str">
        <f>IFERROR(__xludf.DUMMYFUNCTION("""COMPUTED_VALUE"""),"RB")</f>
        <v>RB</v>
      </c>
      <c r="D1945" s="60" t="str">
        <f>IFERROR(__xludf.DUMMYFUNCTION("""COMPUTED_VALUE"""),"LVR")</f>
        <v>LVR</v>
      </c>
      <c r="E1945" s="62" t="str">
        <f t="shared" si="4"/>
        <v>Chris Collier</v>
      </c>
      <c r="F1945" s="62">
        <f t="shared" ref="F1945:G1945" si="3889">IF(isblank(F$1),,IF(isblank($A1945),,IFERROR(vlookup($A1945,indirect("'TVC-"&amp;text(month(F$1),"00")&amp;"'!$A:$D"),4,false),1)))</f>
        <v>1</v>
      </c>
      <c r="G1945" s="62">
        <f t="shared" si="3889"/>
        <v>1</v>
      </c>
      <c r="H1945" s="62">
        <f t="shared" ref="H1945:Q1945" si="3890">IF(isblank(H$1),,IFERROR(vlookup($A1945,indirect("'TVC-"&amp;text(month(H$1),"00")&amp;"'!$A:$D"),4,false),1))</f>
        <v>1</v>
      </c>
      <c r="I1945" s="62">
        <f t="shared" si="3890"/>
        <v>1</v>
      </c>
      <c r="J1945" s="62">
        <f t="shared" si="3890"/>
        <v>1</v>
      </c>
      <c r="K1945" s="62">
        <f t="shared" si="3890"/>
        <v>1</v>
      </c>
      <c r="L1945" s="62">
        <f t="shared" si="3890"/>
        <v>1</v>
      </c>
      <c r="M1945" s="62">
        <f t="shared" si="3890"/>
        <v>1</v>
      </c>
      <c r="N1945" s="62">
        <f t="shared" si="3890"/>
        <v>1</v>
      </c>
      <c r="O1945" s="62">
        <f t="shared" si="3890"/>
        <v>1</v>
      </c>
      <c r="P1945" s="62" t="str">
        <f t="shared" si="3890"/>
        <v/>
      </c>
      <c r="Q1945" s="62" t="str">
        <f t="shared" si="3890"/>
        <v/>
      </c>
      <c r="R1945" s="62">
        <f t="shared" si="7"/>
        <v>0</v>
      </c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</row>
    <row r="1946" hidden="1">
      <c r="A1946" s="60">
        <f>IFERROR(__xludf.DUMMYFUNCTION("""COMPUTED_VALUE"""),16811.0)</f>
        <v>16811</v>
      </c>
      <c r="B1946" s="60" t="str">
        <f>IFERROR(__xludf.DUMMYFUNCTION("""COMPUTED_VALUE"""),"Wiley, Michael")</f>
        <v>Wiley, Michael</v>
      </c>
      <c r="C1946" s="60" t="str">
        <f>IFERROR(__xludf.DUMMYFUNCTION("""COMPUTED_VALUE"""),"RB")</f>
        <v>RB</v>
      </c>
      <c r="D1946" s="60" t="str">
        <f>IFERROR(__xludf.DUMMYFUNCTION("""COMPUTED_VALUE"""),"FA")</f>
        <v>FA</v>
      </c>
      <c r="E1946" s="62" t="str">
        <f t="shared" si="4"/>
        <v>Michael Wiley</v>
      </c>
      <c r="F1946" s="62">
        <f t="shared" ref="F1946:G1946" si="3891">IF(isblank(F$1),,IF(isblank($A1946),,IFERROR(vlookup($A1946,indirect("'TVC-"&amp;text(month(F$1),"00")&amp;"'!$A:$D"),4,false),1)))</f>
        <v>1</v>
      </c>
      <c r="G1946" s="62">
        <f t="shared" si="3891"/>
        <v>1</v>
      </c>
      <c r="H1946" s="62">
        <f t="shared" ref="H1946:Q1946" si="3892">IF(isblank(H$1),,IFERROR(vlookup($A1946,indirect("'TVC-"&amp;text(month(H$1),"00")&amp;"'!$A:$D"),4,false),1))</f>
        <v>1</v>
      </c>
      <c r="I1946" s="62">
        <f t="shared" si="3892"/>
        <v>1</v>
      </c>
      <c r="J1946" s="62">
        <f t="shared" si="3892"/>
        <v>1</v>
      </c>
      <c r="K1946" s="62">
        <f t="shared" si="3892"/>
        <v>1</v>
      </c>
      <c r="L1946" s="62">
        <f t="shared" si="3892"/>
        <v>1</v>
      </c>
      <c r="M1946" s="62">
        <f t="shared" si="3892"/>
        <v>1</v>
      </c>
      <c r="N1946" s="62">
        <f t="shared" si="3892"/>
        <v>1</v>
      </c>
      <c r="O1946" s="62">
        <f t="shared" si="3892"/>
        <v>1</v>
      </c>
      <c r="P1946" s="62" t="str">
        <f t="shared" si="3892"/>
        <v/>
      </c>
      <c r="Q1946" s="62" t="str">
        <f t="shared" si="3892"/>
        <v/>
      </c>
      <c r="R1946" s="62">
        <f t="shared" si="7"/>
        <v>0</v>
      </c>
      <c r="S1946" s="62"/>
      <c r="T1946" s="62"/>
      <c r="U1946" s="62"/>
      <c r="V1946" s="62"/>
      <c r="W1946" s="62"/>
      <c r="X1946" s="62"/>
      <c r="Y1946" s="62"/>
      <c r="Z1946" s="62"/>
      <c r="AA1946" s="62"/>
      <c r="AB1946" s="62"/>
      <c r="AC1946" s="62"/>
    </row>
    <row r="1947" hidden="1">
      <c r="A1947" s="60">
        <f>IFERROR(__xludf.DUMMYFUNCTION("""COMPUTED_VALUE"""),16815.0)</f>
        <v>16815</v>
      </c>
      <c r="B1947" s="60" t="str">
        <f>IFERROR(__xludf.DUMMYFUNCTION("""COMPUTED_VALUE"""),"Jacobs, Curtis")</f>
        <v>Jacobs, Curtis</v>
      </c>
      <c r="C1947" s="60" t="str">
        <f>IFERROR(__xludf.DUMMYFUNCTION("""COMPUTED_VALUE"""),"LB")</f>
        <v>LB</v>
      </c>
      <c r="D1947" s="60" t="str">
        <f>IFERROR(__xludf.DUMMYFUNCTION("""COMPUTED_VALUE"""),"FA")</f>
        <v>FA</v>
      </c>
      <c r="E1947" s="62" t="str">
        <f t="shared" si="4"/>
        <v>Curtis Jacobs</v>
      </c>
      <c r="F1947" s="62">
        <f t="shared" ref="F1947:G1947" si="3893">IF(isblank(F$1),,IF(isblank($A1947),,IFERROR(vlookup($A1947,indirect("'TVC-"&amp;text(month(F$1),"00")&amp;"'!$A:$D"),4,false),1)))</f>
        <v>1</v>
      </c>
      <c r="G1947" s="62">
        <f t="shared" si="3893"/>
        <v>1</v>
      </c>
      <c r="H1947" s="62">
        <f t="shared" ref="H1947:Q1947" si="3894">IF(isblank(H$1),,IFERROR(vlookup($A1947,indirect("'TVC-"&amp;text(month(H$1),"00")&amp;"'!$A:$D"),4,false),1))</f>
        <v>1</v>
      </c>
      <c r="I1947" s="62">
        <f t="shared" si="3894"/>
        <v>1</v>
      </c>
      <c r="J1947" s="62">
        <f t="shared" si="3894"/>
        <v>1</v>
      </c>
      <c r="K1947" s="62">
        <f t="shared" si="3894"/>
        <v>1</v>
      </c>
      <c r="L1947" s="62">
        <f t="shared" si="3894"/>
        <v>1</v>
      </c>
      <c r="M1947" s="62">
        <f t="shared" si="3894"/>
        <v>1</v>
      </c>
      <c r="N1947" s="62">
        <f t="shared" si="3894"/>
        <v>1</v>
      </c>
      <c r="O1947" s="62">
        <f t="shared" si="3894"/>
        <v>1</v>
      </c>
      <c r="P1947" s="62" t="str">
        <f t="shared" si="3894"/>
        <v/>
      </c>
      <c r="Q1947" s="62" t="str">
        <f t="shared" si="3894"/>
        <v/>
      </c>
      <c r="R1947" s="62">
        <f t="shared" si="7"/>
        <v>0</v>
      </c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</row>
    <row r="1948" hidden="1">
      <c r="A1948" s="60">
        <f>IFERROR(__xludf.DUMMYFUNCTION("""COMPUTED_VALUE"""),16816.0)</f>
        <v>16816</v>
      </c>
      <c r="B1948" s="60" t="str">
        <f>IFERROR(__xludf.DUMMYFUNCTION("""COMPUTED_VALUE"""),"Brooks, British")</f>
        <v>Brooks, British</v>
      </c>
      <c r="C1948" s="60" t="str">
        <f>IFERROR(__xludf.DUMMYFUNCTION("""COMPUTED_VALUE"""),"RB")</f>
        <v>RB</v>
      </c>
      <c r="D1948" s="60" t="str">
        <f>IFERROR(__xludf.DUMMYFUNCTION("""COMPUTED_VALUE"""),"HOU")</f>
        <v>HOU</v>
      </c>
      <c r="E1948" s="62" t="str">
        <f t="shared" si="4"/>
        <v>British Brooks</v>
      </c>
      <c r="F1948" s="62">
        <f t="shared" ref="F1948:G1948" si="3895">IF(isblank(F$1),,IF(isblank($A1948),,IFERROR(vlookup($A1948,indirect("'TVC-"&amp;text(month(F$1),"00")&amp;"'!$A:$D"),4,false),1)))</f>
        <v>1</v>
      </c>
      <c r="G1948" s="62">
        <f t="shared" si="3895"/>
        <v>1</v>
      </c>
      <c r="H1948" s="62">
        <f t="shared" ref="H1948:Q1948" si="3896">IF(isblank(H$1),,IFERROR(vlookup($A1948,indirect("'TVC-"&amp;text(month(H$1),"00")&amp;"'!$A:$D"),4,false),1))</f>
        <v>1</v>
      </c>
      <c r="I1948" s="62">
        <f t="shared" si="3896"/>
        <v>1</v>
      </c>
      <c r="J1948" s="62">
        <f t="shared" si="3896"/>
        <v>1</v>
      </c>
      <c r="K1948" s="62">
        <f t="shared" si="3896"/>
        <v>1</v>
      </c>
      <c r="L1948" s="62">
        <f t="shared" si="3896"/>
        <v>1</v>
      </c>
      <c r="M1948" s="62">
        <f t="shared" si="3896"/>
        <v>1</v>
      </c>
      <c r="N1948" s="62">
        <f t="shared" si="3896"/>
        <v>1</v>
      </c>
      <c r="O1948" s="62">
        <f t="shared" si="3896"/>
        <v>1</v>
      </c>
      <c r="P1948" s="62" t="str">
        <f t="shared" si="3896"/>
        <v/>
      </c>
      <c r="Q1948" s="62" t="str">
        <f t="shared" si="3896"/>
        <v/>
      </c>
      <c r="R1948" s="62">
        <f t="shared" si="7"/>
        <v>0</v>
      </c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</row>
    <row r="1949" hidden="1">
      <c r="A1949" s="60">
        <f>IFERROR(__xludf.DUMMYFUNCTION("""COMPUTED_VALUE"""),16817.0)</f>
        <v>16817</v>
      </c>
      <c r="B1949" s="60" t="str">
        <f>IFERROR(__xludf.DUMMYFUNCTION("""COMPUTED_VALUE"""),"Taylor, Leonard")</f>
        <v>Taylor, Leonard</v>
      </c>
      <c r="C1949" s="60" t="str">
        <f>IFERROR(__xludf.DUMMYFUNCTION("""COMPUTED_VALUE"""),"DT")</f>
        <v>DT</v>
      </c>
      <c r="D1949" s="60" t="str">
        <f>IFERROR(__xludf.DUMMYFUNCTION("""COMPUTED_VALUE"""),"NEP")</f>
        <v>NEP</v>
      </c>
      <c r="E1949" s="62" t="str">
        <f t="shared" si="4"/>
        <v>Leonard Taylor</v>
      </c>
      <c r="F1949" s="62">
        <f t="shared" ref="F1949:G1949" si="3897">IF(isblank(F$1),,IF(isblank($A1949),,IFERROR(vlookup($A1949,indirect("'TVC-"&amp;text(month(F$1),"00")&amp;"'!$A:$D"),4,false),1)))</f>
        <v>1</v>
      </c>
      <c r="G1949" s="62">
        <f t="shared" si="3897"/>
        <v>1</v>
      </c>
      <c r="H1949" s="62">
        <f t="shared" ref="H1949:Q1949" si="3898">IF(isblank(H$1),,IFERROR(vlookup($A1949,indirect("'TVC-"&amp;text(month(H$1),"00")&amp;"'!$A:$D"),4,false),1))</f>
        <v>1</v>
      </c>
      <c r="I1949" s="62">
        <f t="shared" si="3898"/>
        <v>1</v>
      </c>
      <c r="J1949" s="62">
        <f t="shared" si="3898"/>
        <v>1</v>
      </c>
      <c r="K1949" s="62">
        <f t="shared" si="3898"/>
        <v>1</v>
      </c>
      <c r="L1949" s="62">
        <f t="shared" si="3898"/>
        <v>1</v>
      </c>
      <c r="M1949" s="62">
        <f t="shared" si="3898"/>
        <v>1</v>
      </c>
      <c r="N1949" s="62">
        <f t="shared" si="3898"/>
        <v>1</v>
      </c>
      <c r="O1949" s="62">
        <f t="shared" si="3898"/>
        <v>1</v>
      </c>
      <c r="P1949" s="62" t="str">
        <f t="shared" si="3898"/>
        <v/>
      </c>
      <c r="Q1949" s="62" t="str">
        <f t="shared" si="3898"/>
        <v/>
      </c>
      <c r="R1949" s="62">
        <f t="shared" si="7"/>
        <v>0</v>
      </c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</row>
    <row r="1950">
      <c r="A1950" s="60">
        <f>IFERROR(__xludf.DUMMYFUNCTION("""COMPUTED_VALUE"""),16820.0)</f>
        <v>16820</v>
      </c>
      <c r="B1950" s="60" t="str">
        <f>IFERROR(__xludf.DUMMYFUNCTION("""COMPUTED_VALUE"""),"Brade, Beau")</f>
        <v>Brade, Beau</v>
      </c>
      <c r="C1950" s="60" t="str">
        <f>IFERROR(__xludf.DUMMYFUNCTION("""COMPUTED_VALUE"""),"S")</f>
        <v>S</v>
      </c>
      <c r="D1950" s="60" t="str">
        <f>IFERROR(__xludf.DUMMYFUNCTION("""COMPUTED_VALUE"""),"CIN")</f>
        <v>CIN</v>
      </c>
      <c r="E1950" s="62" t="str">
        <f t="shared" si="4"/>
        <v>Beau Brade</v>
      </c>
      <c r="F1950" s="62">
        <f t="shared" ref="F1950:G1950" si="3899">IF(isblank(F$1),,IF(isblank($A1950),,IFERROR(vlookup($A1950,indirect("'TVC-"&amp;text(month(F$1),"00")&amp;"'!$A:$D"),4,false),1)))</f>
        <v>1</v>
      </c>
      <c r="G1950" s="62">
        <f t="shared" si="3899"/>
        <v>1</v>
      </c>
      <c r="H1950" s="62">
        <f t="shared" ref="H1950:Q1950" si="3900">IF(isblank(H$1),,IFERROR(vlookup($A1950,indirect("'TVC-"&amp;text(month(H$1),"00")&amp;"'!$A:$D"),4,false),1))</f>
        <v>1</v>
      </c>
      <c r="I1950" s="62">
        <f t="shared" si="3900"/>
        <v>1</v>
      </c>
      <c r="J1950" s="62">
        <f t="shared" si="3900"/>
        <v>1</v>
      </c>
      <c r="K1950" s="62">
        <f t="shared" si="3900"/>
        <v>1</v>
      </c>
      <c r="L1950" s="62">
        <f t="shared" si="3900"/>
        <v>1</v>
      </c>
      <c r="M1950" s="62">
        <f t="shared" si="3900"/>
        <v>1</v>
      </c>
      <c r="N1950" s="62">
        <f t="shared" si="3900"/>
        <v>1</v>
      </c>
      <c r="O1950" s="62">
        <f t="shared" si="3900"/>
        <v>1</v>
      </c>
      <c r="P1950" s="62" t="str">
        <f t="shared" si="3900"/>
        <v/>
      </c>
      <c r="Q1950" s="62" t="str">
        <f t="shared" si="3900"/>
        <v/>
      </c>
      <c r="R1950" s="62">
        <f t="shared" si="7"/>
        <v>0</v>
      </c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</row>
    <row r="1951" hidden="1">
      <c r="A1951" s="60">
        <f>IFERROR(__xludf.DUMMYFUNCTION("""COMPUTED_VALUE"""),16821.0)</f>
        <v>16821</v>
      </c>
      <c r="B1951" s="60" t="str">
        <f>IFERROR(__xludf.DUMMYFUNCTION("""COMPUTED_VALUE"""),"Wade, Dayton")</f>
        <v>Wade, Dayton</v>
      </c>
      <c r="C1951" s="60" t="str">
        <f>IFERROR(__xludf.DUMMYFUNCTION("""COMPUTED_VALUE"""),"WR")</f>
        <v>WR</v>
      </c>
      <c r="D1951" s="60" t="str">
        <f>IFERROR(__xludf.DUMMYFUNCTION("""COMPUTED_VALUE"""),"FA")</f>
        <v>FA</v>
      </c>
      <c r="E1951" s="62" t="str">
        <f t="shared" si="4"/>
        <v>Dayton Wade</v>
      </c>
      <c r="F1951" s="62">
        <f t="shared" ref="F1951:G1951" si="3901">IF(isblank(F$1),,IF(isblank($A1951),,IFERROR(vlookup($A1951,indirect("'TVC-"&amp;text(month(F$1),"00")&amp;"'!$A:$D"),4,false),1)))</f>
        <v>1</v>
      </c>
      <c r="G1951" s="62">
        <f t="shared" si="3901"/>
        <v>1</v>
      </c>
      <c r="H1951" s="62">
        <f t="shared" ref="H1951:Q1951" si="3902">IF(isblank(H$1),,IFERROR(vlookup($A1951,indirect("'TVC-"&amp;text(month(H$1),"00")&amp;"'!$A:$D"),4,false),1))</f>
        <v>1</v>
      </c>
      <c r="I1951" s="62">
        <f t="shared" si="3902"/>
        <v>1</v>
      </c>
      <c r="J1951" s="62">
        <f t="shared" si="3902"/>
        <v>1</v>
      </c>
      <c r="K1951" s="62">
        <f t="shared" si="3902"/>
        <v>1</v>
      </c>
      <c r="L1951" s="62">
        <f t="shared" si="3902"/>
        <v>1</v>
      </c>
      <c r="M1951" s="62">
        <f t="shared" si="3902"/>
        <v>1</v>
      </c>
      <c r="N1951" s="62">
        <f t="shared" si="3902"/>
        <v>1</v>
      </c>
      <c r="O1951" s="62">
        <f t="shared" si="3902"/>
        <v>1</v>
      </c>
      <c r="P1951" s="62" t="str">
        <f t="shared" si="3902"/>
        <v/>
      </c>
      <c r="Q1951" s="62" t="str">
        <f t="shared" si="3902"/>
        <v/>
      </c>
      <c r="R1951" s="62">
        <f t="shared" si="7"/>
        <v>0</v>
      </c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</row>
    <row r="1952" hidden="1">
      <c r="A1952" s="60">
        <f>IFERROR(__xludf.DUMMYFUNCTION("""COMPUTED_VALUE"""),16828.0)</f>
        <v>16828</v>
      </c>
      <c r="B1952" s="60" t="str">
        <f>IFERROR(__xludf.DUMMYFUNCTION("""COMPUTED_VALUE"""),"Njongmeta, Maema")</f>
        <v>Njongmeta, Maema</v>
      </c>
      <c r="C1952" s="60" t="str">
        <f>IFERROR(__xludf.DUMMYFUNCTION("""COMPUTED_VALUE"""),"LB")</f>
        <v>LB</v>
      </c>
      <c r="D1952" s="60" t="str">
        <f>IFERROR(__xludf.DUMMYFUNCTION("""COMPUTED_VALUE"""),"CAR")</f>
        <v>CAR</v>
      </c>
      <c r="E1952" s="62" t="str">
        <f t="shared" si="4"/>
        <v>Maema Njongmeta</v>
      </c>
      <c r="F1952" s="62">
        <f t="shared" ref="F1952:G1952" si="3903">IF(isblank(F$1),,IF(isblank($A1952),,IFERROR(vlookup($A1952,indirect("'TVC-"&amp;text(month(F$1),"00")&amp;"'!$A:$D"),4,false),1)))</f>
        <v>1</v>
      </c>
      <c r="G1952" s="62">
        <f t="shared" si="3903"/>
        <v>1</v>
      </c>
      <c r="H1952" s="62">
        <f t="shared" ref="H1952:Q1952" si="3904">IF(isblank(H$1),,IFERROR(vlookup($A1952,indirect("'TVC-"&amp;text(month(H$1),"00")&amp;"'!$A:$D"),4,false),1))</f>
        <v>1</v>
      </c>
      <c r="I1952" s="62">
        <f t="shared" si="3904"/>
        <v>1</v>
      </c>
      <c r="J1952" s="62">
        <f t="shared" si="3904"/>
        <v>1</v>
      </c>
      <c r="K1952" s="62">
        <f t="shared" si="3904"/>
        <v>1</v>
      </c>
      <c r="L1952" s="62">
        <f t="shared" si="3904"/>
        <v>1</v>
      </c>
      <c r="M1952" s="62">
        <f t="shared" si="3904"/>
        <v>1</v>
      </c>
      <c r="N1952" s="62">
        <f t="shared" si="3904"/>
        <v>1</v>
      </c>
      <c r="O1952" s="62">
        <f t="shared" si="3904"/>
        <v>1</v>
      </c>
      <c r="P1952" s="62" t="str">
        <f t="shared" si="3904"/>
        <v/>
      </c>
      <c r="Q1952" s="62" t="str">
        <f t="shared" si="3904"/>
        <v/>
      </c>
      <c r="R1952" s="62">
        <f t="shared" si="7"/>
        <v>0</v>
      </c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</row>
    <row r="1953" hidden="1">
      <c r="A1953" s="60">
        <f>IFERROR(__xludf.DUMMYFUNCTION("""COMPUTED_VALUE"""),16831.0)</f>
        <v>16831</v>
      </c>
      <c r="B1953" s="60" t="str">
        <f>IFERROR(__xludf.DUMMYFUNCTION("""COMPUTED_VALUE"""),"Martin-Robinson, David")</f>
        <v>Martin-Robinson, David</v>
      </c>
      <c r="C1953" s="60" t="str">
        <f>IFERROR(__xludf.DUMMYFUNCTION("""COMPUTED_VALUE"""),"TE")</f>
        <v>TE</v>
      </c>
      <c r="D1953" s="60" t="str">
        <f>IFERROR(__xludf.DUMMYFUNCTION("""COMPUTED_VALUE"""),"TEN")</f>
        <v>TEN</v>
      </c>
      <c r="E1953" s="62" t="str">
        <f t="shared" si="4"/>
        <v>David Martin-Robinson</v>
      </c>
      <c r="F1953" s="62">
        <f t="shared" ref="F1953:G1953" si="3905">IF(isblank(F$1),,IF(isblank($A1953),,IFERROR(vlookup($A1953,indirect("'TVC-"&amp;text(month(F$1),"00")&amp;"'!$A:$D"),4,false),1)))</f>
        <v>1</v>
      </c>
      <c r="G1953" s="62">
        <f t="shared" si="3905"/>
        <v>1</v>
      </c>
      <c r="H1953" s="62">
        <f t="shared" ref="H1953:Q1953" si="3906">IF(isblank(H$1),,IFERROR(vlookup($A1953,indirect("'TVC-"&amp;text(month(H$1),"00")&amp;"'!$A:$D"),4,false),1))</f>
        <v>1</v>
      </c>
      <c r="I1953" s="62">
        <f t="shared" si="3906"/>
        <v>1</v>
      </c>
      <c r="J1953" s="62">
        <f t="shared" si="3906"/>
        <v>1</v>
      </c>
      <c r="K1953" s="62">
        <f t="shared" si="3906"/>
        <v>1</v>
      </c>
      <c r="L1953" s="62">
        <f t="shared" si="3906"/>
        <v>1</v>
      </c>
      <c r="M1953" s="62">
        <f t="shared" si="3906"/>
        <v>1</v>
      </c>
      <c r="N1953" s="62">
        <f t="shared" si="3906"/>
        <v>1</v>
      </c>
      <c r="O1953" s="62">
        <f t="shared" si="3906"/>
        <v>1</v>
      </c>
      <c r="P1953" s="62" t="str">
        <f t="shared" si="3906"/>
        <v/>
      </c>
      <c r="Q1953" s="62" t="str">
        <f t="shared" si="3906"/>
        <v/>
      </c>
      <c r="R1953" s="62">
        <f t="shared" si="7"/>
        <v>0</v>
      </c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</row>
    <row r="1954" hidden="1">
      <c r="A1954" s="60">
        <f>IFERROR(__xludf.DUMMYFUNCTION("""COMPUTED_VALUE"""),16834.0)</f>
        <v>16834</v>
      </c>
      <c r="B1954" s="60" t="str">
        <f>IFERROR(__xludf.DUMMYFUNCTION("""COMPUTED_VALUE"""),"Burgess, Cole")</f>
        <v>Burgess, Cole</v>
      </c>
      <c r="C1954" s="60" t="str">
        <f>IFERROR(__xludf.DUMMYFUNCTION("""COMPUTED_VALUE"""),"WR")</f>
        <v>WR</v>
      </c>
      <c r="D1954" s="60" t="str">
        <f>IFERROR(__xludf.DUMMYFUNCTION("""COMPUTED_VALUE"""),"PIT")</f>
        <v>PIT</v>
      </c>
      <c r="E1954" s="62" t="str">
        <f t="shared" si="4"/>
        <v>Cole Burgess</v>
      </c>
      <c r="F1954" s="62">
        <f t="shared" ref="F1954:G1954" si="3907">IF(isblank(F$1),,IF(isblank($A1954),,IFERROR(vlookup($A1954,indirect("'TVC-"&amp;text(month(F$1),"00")&amp;"'!$A:$D"),4,false),1)))</f>
        <v>1</v>
      </c>
      <c r="G1954" s="62">
        <f t="shared" si="3907"/>
        <v>1</v>
      </c>
      <c r="H1954" s="62">
        <f t="shared" ref="H1954:Q1954" si="3908">IF(isblank(H$1),,IFERROR(vlookup($A1954,indirect("'TVC-"&amp;text(month(H$1),"00")&amp;"'!$A:$D"),4,false),1))</f>
        <v>1</v>
      </c>
      <c r="I1954" s="62">
        <f t="shared" si="3908"/>
        <v>1</v>
      </c>
      <c r="J1954" s="62">
        <f t="shared" si="3908"/>
        <v>1</v>
      </c>
      <c r="K1954" s="62">
        <f t="shared" si="3908"/>
        <v>1</v>
      </c>
      <c r="L1954" s="62">
        <f t="shared" si="3908"/>
        <v>1</v>
      </c>
      <c r="M1954" s="62">
        <f t="shared" si="3908"/>
        <v>1</v>
      </c>
      <c r="N1954" s="62">
        <f t="shared" si="3908"/>
        <v>1</v>
      </c>
      <c r="O1954" s="62">
        <f t="shared" si="3908"/>
        <v>1</v>
      </c>
      <c r="P1954" s="62" t="str">
        <f t="shared" si="3908"/>
        <v/>
      </c>
      <c r="Q1954" s="62" t="str">
        <f t="shared" si="3908"/>
        <v/>
      </c>
      <c r="R1954" s="62">
        <f t="shared" si="7"/>
        <v>0</v>
      </c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</row>
    <row r="1955" hidden="1">
      <c r="A1955" s="60">
        <f>IFERROR(__xludf.DUMMYFUNCTION("""COMPUTED_VALUE"""),16836.0)</f>
        <v>16836</v>
      </c>
      <c r="B1955" s="60" t="str">
        <f>IFERROR(__xludf.DUMMYFUNCTION("""COMPUTED_VALUE"""),"Bailey, Levelle")</f>
        <v>Bailey, Levelle</v>
      </c>
      <c r="C1955" s="60" t="str">
        <f>IFERROR(__xludf.DUMMYFUNCTION("""COMPUTED_VALUE"""),"LB")</f>
        <v>LB</v>
      </c>
      <c r="D1955" s="60" t="str">
        <f>IFERROR(__xludf.DUMMYFUNCTION("""COMPUTED_VALUE"""),"DEN")</f>
        <v>DEN</v>
      </c>
      <c r="E1955" s="62" t="str">
        <f t="shared" si="4"/>
        <v>Levelle Bailey</v>
      </c>
      <c r="F1955" s="62">
        <f t="shared" ref="F1955:G1955" si="3909">IF(isblank(F$1),,IF(isblank($A1955),,IFERROR(vlookup($A1955,indirect("'TVC-"&amp;text(month(F$1),"00")&amp;"'!$A:$D"),4,false),1)))</f>
        <v>1</v>
      </c>
      <c r="G1955" s="62">
        <f t="shared" si="3909"/>
        <v>1</v>
      </c>
      <c r="H1955" s="62">
        <f t="shared" ref="H1955:Q1955" si="3910">IF(isblank(H$1),,IFERROR(vlookup($A1955,indirect("'TVC-"&amp;text(month(H$1),"00")&amp;"'!$A:$D"),4,false),1))</f>
        <v>1</v>
      </c>
      <c r="I1955" s="62">
        <f t="shared" si="3910"/>
        <v>1</v>
      </c>
      <c r="J1955" s="62">
        <f t="shared" si="3910"/>
        <v>1</v>
      </c>
      <c r="K1955" s="62">
        <f t="shared" si="3910"/>
        <v>1</v>
      </c>
      <c r="L1955" s="62">
        <f t="shared" si="3910"/>
        <v>1</v>
      </c>
      <c r="M1955" s="62">
        <f t="shared" si="3910"/>
        <v>1</v>
      </c>
      <c r="N1955" s="62">
        <f t="shared" si="3910"/>
        <v>1</v>
      </c>
      <c r="O1955" s="62">
        <f t="shared" si="3910"/>
        <v>1</v>
      </c>
      <c r="P1955" s="62" t="str">
        <f t="shared" si="3910"/>
        <v/>
      </c>
      <c r="Q1955" s="62" t="str">
        <f t="shared" si="3910"/>
        <v/>
      </c>
      <c r="R1955" s="62">
        <f t="shared" si="7"/>
        <v>0</v>
      </c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</row>
    <row r="1956" hidden="1">
      <c r="A1956" s="60">
        <f>IFERROR(__xludf.DUMMYFUNCTION("""COMPUTED_VALUE"""),16837.0)</f>
        <v>16837</v>
      </c>
      <c r="B1956" s="60" t="str">
        <f>IFERROR(__xludf.DUMMYFUNCTION("""COMPUTED_VALUE"""),"Johnson, Xavier")</f>
        <v>Johnson, Xavier</v>
      </c>
      <c r="C1956" s="60" t="str">
        <f>IFERROR(__xludf.DUMMYFUNCTION("""COMPUTED_VALUE"""),"WR")</f>
        <v>WR</v>
      </c>
      <c r="D1956" s="60" t="str">
        <f>IFERROR(__xludf.DUMMYFUNCTION("""COMPUTED_VALUE"""),"FA")</f>
        <v>FA</v>
      </c>
      <c r="E1956" s="62" t="str">
        <f t="shared" si="4"/>
        <v>Xavier Johnson</v>
      </c>
      <c r="F1956" s="62">
        <f t="shared" ref="F1956:G1956" si="3911">IF(isblank(F$1),,IF(isblank($A1956),,IFERROR(vlookup($A1956,indirect("'TVC-"&amp;text(month(F$1),"00")&amp;"'!$A:$D"),4,false),1)))</f>
        <v>1</v>
      </c>
      <c r="G1956" s="62">
        <f t="shared" si="3911"/>
        <v>1</v>
      </c>
      <c r="H1956" s="62">
        <f t="shared" ref="H1956:Q1956" si="3912">IF(isblank(H$1),,IFERROR(vlookup($A1956,indirect("'TVC-"&amp;text(month(H$1),"00")&amp;"'!$A:$D"),4,false),1))</f>
        <v>1</v>
      </c>
      <c r="I1956" s="62">
        <f t="shared" si="3912"/>
        <v>1</v>
      </c>
      <c r="J1956" s="62">
        <f t="shared" si="3912"/>
        <v>1</v>
      </c>
      <c r="K1956" s="62">
        <f t="shared" si="3912"/>
        <v>1</v>
      </c>
      <c r="L1956" s="62">
        <f t="shared" si="3912"/>
        <v>1</v>
      </c>
      <c r="M1956" s="62">
        <f t="shared" si="3912"/>
        <v>1</v>
      </c>
      <c r="N1956" s="62">
        <f t="shared" si="3912"/>
        <v>1</v>
      </c>
      <c r="O1956" s="62">
        <f t="shared" si="3912"/>
        <v>1</v>
      </c>
      <c r="P1956" s="62" t="str">
        <f t="shared" si="3912"/>
        <v/>
      </c>
      <c r="Q1956" s="62" t="str">
        <f t="shared" si="3912"/>
        <v/>
      </c>
      <c r="R1956" s="62">
        <f t="shared" si="7"/>
        <v>0</v>
      </c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</row>
    <row r="1957" hidden="1">
      <c r="A1957" s="60">
        <f>IFERROR(__xludf.DUMMYFUNCTION("""COMPUTED_VALUE"""),16838.0)</f>
        <v>16838</v>
      </c>
      <c r="B1957" s="60" t="str">
        <f>IFERROR(__xludf.DUMMYFUNCTION("""COMPUTED_VALUE"""),"Pline, Mason")</f>
        <v>Pline, Mason</v>
      </c>
      <c r="C1957" s="60" t="str">
        <f>IFERROR(__xludf.DUMMYFUNCTION("""COMPUTED_VALUE"""),"TE")</f>
        <v>TE</v>
      </c>
      <c r="D1957" s="60" t="str">
        <f>IFERROR(__xludf.DUMMYFUNCTION("""COMPUTED_VALUE"""),"FA")</f>
        <v>FA</v>
      </c>
      <c r="E1957" s="62" t="str">
        <f t="shared" si="4"/>
        <v>Mason Pline</v>
      </c>
      <c r="F1957" s="62">
        <f t="shared" ref="F1957:G1957" si="3913">IF(isblank(F$1),,IF(isblank($A1957),,IFERROR(vlookup($A1957,indirect("'TVC-"&amp;text(month(F$1),"00")&amp;"'!$A:$D"),4,false),1)))</f>
        <v>1</v>
      </c>
      <c r="G1957" s="62">
        <f t="shared" si="3913"/>
        <v>1</v>
      </c>
      <c r="H1957" s="62">
        <f t="shared" ref="H1957:Q1957" si="3914">IF(isblank(H$1),,IFERROR(vlookup($A1957,indirect("'TVC-"&amp;text(month(H$1),"00")&amp;"'!$A:$D"),4,false),1))</f>
        <v>1</v>
      </c>
      <c r="I1957" s="62">
        <f t="shared" si="3914"/>
        <v>1</v>
      </c>
      <c r="J1957" s="62">
        <f t="shared" si="3914"/>
        <v>1</v>
      </c>
      <c r="K1957" s="62">
        <f t="shared" si="3914"/>
        <v>1</v>
      </c>
      <c r="L1957" s="62">
        <f t="shared" si="3914"/>
        <v>1</v>
      </c>
      <c r="M1957" s="62">
        <f t="shared" si="3914"/>
        <v>1</v>
      </c>
      <c r="N1957" s="62">
        <f t="shared" si="3914"/>
        <v>1</v>
      </c>
      <c r="O1957" s="62">
        <f t="shared" si="3914"/>
        <v>1</v>
      </c>
      <c r="P1957" s="62" t="str">
        <f t="shared" si="3914"/>
        <v/>
      </c>
      <c r="Q1957" s="62" t="str">
        <f t="shared" si="3914"/>
        <v/>
      </c>
      <c r="R1957" s="62">
        <f t="shared" si="7"/>
        <v>0</v>
      </c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</row>
    <row r="1958" hidden="1">
      <c r="A1958" s="60">
        <f>IFERROR(__xludf.DUMMYFUNCTION("""COMPUTED_VALUE"""),16839.0)</f>
        <v>16839</v>
      </c>
      <c r="B1958" s="60" t="str">
        <f>IFERROR(__xludf.DUMMYFUNCTION("""COMPUTED_VALUE"""),"Westover, Jack")</f>
        <v>Westover, Jack</v>
      </c>
      <c r="C1958" s="60" t="str">
        <f>IFERROR(__xludf.DUMMYFUNCTION("""COMPUTED_VALUE"""),"TE")</f>
        <v>TE</v>
      </c>
      <c r="D1958" s="60" t="str">
        <f>IFERROR(__xludf.DUMMYFUNCTION("""COMPUTED_VALUE"""),"WAS")</f>
        <v>WAS</v>
      </c>
      <c r="E1958" s="62" t="str">
        <f t="shared" si="4"/>
        <v>Jack Westover</v>
      </c>
      <c r="F1958" s="62">
        <f t="shared" ref="F1958:G1958" si="3915">IF(isblank(F$1),,IF(isblank($A1958),,IFERROR(vlookup($A1958,indirect("'TVC-"&amp;text(month(F$1),"00")&amp;"'!$A:$D"),4,false),1)))</f>
        <v>1</v>
      </c>
      <c r="G1958" s="62">
        <f t="shared" si="3915"/>
        <v>1</v>
      </c>
      <c r="H1958" s="62">
        <f t="shared" ref="H1958:Q1958" si="3916">IF(isblank(H$1),,IFERROR(vlookup($A1958,indirect("'TVC-"&amp;text(month(H$1),"00")&amp;"'!$A:$D"),4,false),1))</f>
        <v>1</v>
      </c>
      <c r="I1958" s="62">
        <f t="shared" si="3916"/>
        <v>1</v>
      </c>
      <c r="J1958" s="62">
        <f t="shared" si="3916"/>
        <v>1</v>
      </c>
      <c r="K1958" s="62">
        <f t="shared" si="3916"/>
        <v>1</v>
      </c>
      <c r="L1958" s="62">
        <f t="shared" si="3916"/>
        <v>1</v>
      </c>
      <c r="M1958" s="62">
        <f t="shared" si="3916"/>
        <v>1</v>
      </c>
      <c r="N1958" s="62">
        <f t="shared" si="3916"/>
        <v>1</v>
      </c>
      <c r="O1958" s="62">
        <f t="shared" si="3916"/>
        <v>1</v>
      </c>
      <c r="P1958" s="62" t="str">
        <f t="shared" si="3916"/>
        <v/>
      </c>
      <c r="Q1958" s="62" t="str">
        <f t="shared" si="3916"/>
        <v/>
      </c>
      <c r="R1958" s="62">
        <f t="shared" si="7"/>
        <v>0</v>
      </c>
      <c r="S1958" s="62"/>
      <c r="T1958" s="62"/>
      <c r="U1958" s="62"/>
      <c r="V1958" s="62"/>
      <c r="W1958" s="62"/>
      <c r="X1958" s="62"/>
      <c r="Y1958" s="62"/>
      <c r="Z1958" s="62"/>
      <c r="AA1958" s="62"/>
      <c r="AB1958" s="62"/>
      <c r="AC1958" s="62"/>
    </row>
    <row r="1959" hidden="1">
      <c r="A1959" s="60">
        <f>IFERROR(__xludf.DUMMYFUNCTION("""COMPUTED_VALUE"""),16843.0)</f>
        <v>16843</v>
      </c>
      <c r="B1959" s="60" t="str">
        <f>IFERROR(__xludf.DUMMYFUNCTION("""COMPUTED_VALUE"""),"Mevis, Harrison")</f>
        <v>Mevis, Harrison</v>
      </c>
      <c r="C1959" s="60" t="str">
        <f>IFERROR(__xludf.DUMMYFUNCTION("""COMPUTED_VALUE"""),"PK")</f>
        <v>PK</v>
      </c>
      <c r="D1959" s="60" t="str">
        <f>IFERROR(__xludf.DUMMYFUNCTION("""COMPUTED_VALUE"""),"FA")</f>
        <v>FA</v>
      </c>
      <c r="E1959" s="62" t="str">
        <f t="shared" si="4"/>
        <v>Harrison Mevis</v>
      </c>
      <c r="F1959" s="62">
        <f t="shared" ref="F1959:G1959" si="3917">IF(isblank(F$1),,IF(isblank($A1959),,IFERROR(vlookup($A1959,indirect("'TVC-"&amp;text(month(F$1),"00")&amp;"'!$A:$D"),4,false),1)))</f>
        <v>1</v>
      </c>
      <c r="G1959" s="62">
        <f t="shared" si="3917"/>
        <v>1</v>
      </c>
      <c r="H1959" s="62">
        <f t="shared" ref="H1959:Q1959" si="3918">IF(isblank(H$1),,IFERROR(vlookup($A1959,indirect("'TVC-"&amp;text(month(H$1),"00")&amp;"'!$A:$D"),4,false),1))</f>
        <v>1</v>
      </c>
      <c r="I1959" s="62">
        <f t="shared" si="3918"/>
        <v>1</v>
      </c>
      <c r="J1959" s="62">
        <f t="shared" si="3918"/>
        <v>1</v>
      </c>
      <c r="K1959" s="62">
        <f t="shared" si="3918"/>
        <v>1</v>
      </c>
      <c r="L1959" s="62">
        <f t="shared" si="3918"/>
        <v>1</v>
      </c>
      <c r="M1959" s="62">
        <f t="shared" si="3918"/>
        <v>1</v>
      </c>
      <c r="N1959" s="62">
        <f t="shared" si="3918"/>
        <v>1</v>
      </c>
      <c r="O1959" s="62">
        <f t="shared" si="3918"/>
        <v>1</v>
      </c>
      <c r="P1959" s="62" t="str">
        <f t="shared" si="3918"/>
        <v/>
      </c>
      <c r="Q1959" s="62" t="str">
        <f t="shared" si="3918"/>
        <v/>
      </c>
      <c r="R1959" s="62">
        <f t="shared" si="7"/>
        <v>0</v>
      </c>
      <c r="S1959" s="62"/>
      <c r="T1959" s="62"/>
      <c r="U1959" s="62"/>
      <c r="V1959" s="62"/>
      <c r="W1959" s="62"/>
      <c r="X1959" s="62"/>
      <c r="Y1959" s="62"/>
      <c r="Z1959" s="62"/>
      <c r="AA1959" s="62"/>
      <c r="AB1959" s="62"/>
      <c r="AC1959" s="62"/>
    </row>
    <row r="1960" hidden="1">
      <c r="A1960" s="60">
        <f>IFERROR(__xludf.DUMMYFUNCTION("""COMPUTED_VALUE"""),16846.0)</f>
        <v>16846</v>
      </c>
      <c r="B1960" s="60" t="str">
        <f>IFERROR(__xludf.DUMMYFUNCTION("""COMPUTED_VALUE"""),"Bates, Jake")</f>
        <v>Bates, Jake</v>
      </c>
      <c r="C1960" s="60" t="str">
        <f>IFERROR(__xludf.DUMMYFUNCTION("""COMPUTED_VALUE"""),"PK")</f>
        <v>PK</v>
      </c>
      <c r="D1960" s="60" t="str">
        <f>IFERROR(__xludf.DUMMYFUNCTION("""COMPUTED_VALUE"""),"DET")</f>
        <v>DET</v>
      </c>
      <c r="E1960" s="62" t="str">
        <f t="shared" si="4"/>
        <v>Jake Bates</v>
      </c>
      <c r="F1960" s="62">
        <f t="shared" ref="F1960:G1960" si="3919">IF(isblank(F$1),,IF(isblank($A1960),,IFERROR(vlookup($A1960,indirect("'TVC-"&amp;text(month(F$1),"00")&amp;"'!$A:$D"),4,false),1)))</f>
        <v>1</v>
      </c>
      <c r="G1960" s="62">
        <f t="shared" si="3919"/>
        <v>1</v>
      </c>
      <c r="H1960" s="62">
        <f t="shared" ref="H1960:Q1960" si="3920">IF(isblank(H$1),,IFERROR(vlookup($A1960,indirect("'TVC-"&amp;text(month(H$1),"00")&amp;"'!$A:$D"),4,false),1))</f>
        <v>1</v>
      </c>
      <c r="I1960" s="62">
        <f t="shared" si="3920"/>
        <v>1</v>
      </c>
      <c r="J1960" s="62">
        <f t="shared" si="3920"/>
        <v>1</v>
      </c>
      <c r="K1960" s="62">
        <f t="shared" si="3920"/>
        <v>1</v>
      </c>
      <c r="L1960" s="62">
        <f t="shared" si="3920"/>
        <v>1</v>
      </c>
      <c r="M1960" s="62">
        <f t="shared" si="3920"/>
        <v>1</v>
      </c>
      <c r="N1960" s="62">
        <f t="shared" si="3920"/>
        <v>1</v>
      </c>
      <c r="O1960" s="62">
        <f t="shared" si="3920"/>
        <v>1</v>
      </c>
      <c r="P1960" s="62" t="str">
        <f t="shared" si="3920"/>
        <v/>
      </c>
      <c r="Q1960" s="62" t="str">
        <f t="shared" si="3920"/>
        <v/>
      </c>
      <c r="R1960" s="62">
        <f t="shared" si="7"/>
        <v>0</v>
      </c>
      <c r="S1960" s="62"/>
      <c r="T1960" s="62"/>
      <c r="U1960" s="62"/>
      <c r="V1960" s="62"/>
      <c r="W1960" s="62"/>
      <c r="X1960" s="62"/>
      <c r="Y1960" s="62"/>
      <c r="Z1960" s="62"/>
      <c r="AA1960" s="62"/>
      <c r="AB1960" s="62"/>
      <c r="AC1960" s="62"/>
    </row>
    <row r="1961" hidden="1">
      <c r="A1961" s="60">
        <f>IFERROR(__xludf.DUMMYFUNCTION("""COMPUTED_VALUE"""),16848.0)</f>
        <v>16848</v>
      </c>
      <c r="B1961" s="60" t="str">
        <f>IFERROR(__xludf.DUMMYFUNCTION("""COMPUTED_VALUE"""),"McAtamney, Jude")</f>
        <v>McAtamney, Jude</v>
      </c>
      <c r="C1961" s="60" t="str">
        <f>IFERROR(__xludf.DUMMYFUNCTION("""COMPUTED_VALUE"""),"PK")</f>
        <v>PK</v>
      </c>
      <c r="D1961" s="60" t="str">
        <f>IFERROR(__xludf.DUMMYFUNCTION("""COMPUTED_VALUE"""),"NYG")</f>
        <v>NYG</v>
      </c>
      <c r="E1961" s="62" t="str">
        <f t="shared" si="4"/>
        <v>Jude McAtamney</v>
      </c>
      <c r="F1961" s="62">
        <f t="shared" ref="F1961:G1961" si="3921">IF(isblank(F$1),,IF(isblank($A1961),,IFERROR(vlookup($A1961,indirect("'TVC-"&amp;text(month(F$1),"00")&amp;"'!$A:$D"),4,false),1)))</f>
        <v>1</v>
      </c>
      <c r="G1961" s="62">
        <f t="shared" si="3921"/>
        <v>1</v>
      </c>
      <c r="H1961" s="62">
        <f t="shared" ref="H1961:Q1961" si="3922">IF(isblank(H$1),,IFERROR(vlookup($A1961,indirect("'TVC-"&amp;text(month(H$1),"00")&amp;"'!$A:$D"),4,false),1))</f>
        <v>1</v>
      </c>
      <c r="I1961" s="62">
        <f t="shared" si="3922"/>
        <v>1</v>
      </c>
      <c r="J1961" s="62">
        <f t="shared" si="3922"/>
        <v>1</v>
      </c>
      <c r="K1961" s="62">
        <f t="shared" si="3922"/>
        <v>1</v>
      </c>
      <c r="L1961" s="62">
        <f t="shared" si="3922"/>
        <v>1</v>
      </c>
      <c r="M1961" s="62">
        <f t="shared" si="3922"/>
        <v>1</v>
      </c>
      <c r="N1961" s="62">
        <f t="shared" si="3922"/>
        <v>1</v>
      </c>
      <c r="O1961" s="62">
        <f t="shared" si="3922"/>
        <v>1</v>
      </c>
      <c r="P1961" s="62" t="str">
        <f t="shared" si="3922"/>
        <v/>
      </c>
      <c r="Q1961" s="62" t="str">
        <f t="shared" si="3922"/>
        <v/>
      </c>
      <c r="R1961" s="62">
        <f t="shared" si="7"/>
        <v>0</v>
      </c>
      <c r="S1961" s="62"/>
      <c r="T1961" s="62"/>
      <c r="U1961" s="62"/>
      <c r="V1961" s="62"/>
      <c r="W1961" s="62"/>
      <c r="X1961" s="62"/>
      <c r="Y1961" s="62"/>
      <c r="Z1961" s="62"/>
      <c r="AA1961" s="62"/>
      <c r="AB1961" s="62"/>
      <c r="AC1961" s="62"/>
    </row>
    <row r="1962" hidden="1">
      <c r="A1962" s="60">
        <f>IFERROR(__xludf.DUMMYFUNCTION("""COMPUTED_VALUE"""),16850.0)</f>
        <v>16850</v>
      </c>
      <c r="B1962" s="60" t="str">
        <f>IFERROR(__xludf.DUMMYFUNCTION("""COMPUTED_VALUE"""),"Saylors, Jacob")</f>
        <v>Saylors, Jacob</v>
      </c>
      <c r="C1962" s="60" t="str">
        <f>IFERROR(__xludf.DUMMYFUNCTION("""COMPUTED_VALUE"""),"RB")</f>
        <v>RB</v>
      </c>
      <c r="D1962" s="60" t="str">
        <f>IFERROR(__xludf.DUMMYFUNCTION("""COMPUTED_VALUE"""),"DET")</f>
        <v>DET</v>
      </c>
      <c r="E1962" s="62" t="str">
        <f t="shared" si="4"/>
        <v>Jacob Saylors</v>
      </c>
      <c r="F1962" s="62">
        <f t="shared" ref="F1962:G1962" si="3923">IF(isblank(F$1),,IF(isblank($A1962),,IFERROR(vlookup($A1962,indirect("'TVC-"&amp;text(month(F$1),"00")&amp;"'!$A:$D"),4,false),1)))</f>
        <v>1</v>
      </c>
      <c r="G1962" s="62">
        <f t="shared" si="3923"/>
        <v>1</v>
      </c>
      <c r="H1962" s="62">
        <f t="shared" ref="H1962:Q1962" si="3924">IF(isblank(H$1),,IFERROR(vlookup($A1962,indirect("'TVC-"&amp;text(month(H$1),"00")&amp;"'!$A:$D"),4,false),1))</f>
        <v>1</v>
      </c>
      <c r="I1962" s="62">
        <f t="shared" si="3924"/>
        <v>1</v>
      </c>
      <c r="J1962" s="62">
        <f t="shared" si="3924"/>
        <v>1</v>
      </c>
      <c r="K1962" s="62">
        <f t="shared" si="3924"/>
        <v>1</v>
      </c>
      <c r="L1962" s="62">
        <f t="shared" si="3924"/>
        <v>1</v>
      </c>
      <c r="M1962" s="62">
        <f t="shared" si="3924"/>
        <v>1</v>
      </c>
      <c r="N1962" s="62">
        <f t="shared" si="3924"/>
        <v>1</v>
      </c>
      <c r="O1962" s="62">
        <f t="shared" si="3924"/>
        <v>1</v>
      </c>
      <c r="P1962" s="62" t="str">
        <f t="shared" si="3924"/>
        <v/>
      </c>
      <c r="Q1962" s="62" t="str">
        <f t="shared" si="3924"/>
        <v/>
      </c>
      <c r="R1962" s="62">
        <f t="shared" si="7"/>
        <v>0</v>
      </c>
      <c r="S1962" s="62"/>
      <c r="T1962" s="62"/>
      <c r="U1962" s="62"/>
      <c r="V1962" s="62"/>
      <c r="W1962" s="62"/>
      <c r="X1962" s="62"/>
      <c r="Y1962" s="62"/>
      <c r="Z1962" s="62"/>
      <c r="AA1962" s="62"/>
      <c r="AB1962" s="62"/>
      <c r="AC1962" s="62"/>
    </row>
    <row r="1963" hidden="1">
      <c r="A1963" s="60">
        <f>IFERROR(__xludf.DUMMYFUNCTION("""COMPUTED_VALUE"""),16854.0)</f>
        <v>16854</v>
      </c>
      <c r="B1963" s="60" t="str">
        <f>IFERROR(__xludf.DUMMYFUNCTION("""COMPUTED_VALUE"""),"Castles, McCallan")</f>
        <v>Castles, McCallan</v>
      </c>
      <c r="C1963" s="60" t="str">
        <f>IFERROR(__xludf.DUMMYFUNCTION("""COMPUTED_VALUE"""),"TE")</f>
        <v>TE</v>
      </c>
      <c r="D1963" s="60" t="str">
        <f>IFERROR(__xludf.DUMMYFUNCTION("""COMPUTED_VALUE"""),"FA")</f>
        <v>FA</v>
      </c>
      <c r="E1963" s="62" t="str">
        <f t="shared" si="4"/>
        <v>McCallan Castles</v>
      </c>
      <c r="F1963" s="62">
        <f t="shared" ref="F1963:G1963" si="3925">IF(isblank(F$1),,IF(isblank($A1963),,IFERROR(vlookup($A1963,indirect("'TVC-"&amp;text(month(F$1),"00")&amp;"'!$A:$D"),4,false),1)))</f>
        <v>1</v>
      </c>
      <c r="G1963" s="62">
        <f t="shared" si="3925"/>
        <v>1</v>
      </c>
      <c r="H1963" s="62">
        <f t="shared" ref="H1963:Q1963" si="3926">IF(isblank(H$1),,IFERROR(vlookup($A1963,indirect("'TVC-"&amp;text(month(H$1),"00")&amp;"'!$A:$D"),4,false),1))</f>
        <v>1</v>
      </c>
      <c r="I1963" s="62">
        <f t="shared" si="3926"/>
        <v>1</v>
      </c>
      <c r="J1963" s="62">
        <f t="shared" si="3926"/>
        <v>1</v>
      </c>
      <c r="K1963" s="62">
        <f t="shared" si="3926"/>
        <v>1</v>
      </c>
      <c r="L1963" s="62">
        <f t="shared" si="3926"/>
        <v>1</v>
      </c>
      <c r="M1963" s="62">
        <f t="shared" si="3926"/>
        <v>1</v>
      </c>
      <c r="N1963" s="62">
        <f t="shared" si="3926"/>
        <v>1</v>
      </c>
      <c r="O1963" s="62">
        <f t="shared" si="3926"/>
        <v>1</v>
      </c>
      <c r="P1963" s="62" t="str">
        <f t="shared" si="3926"/>
        <v/>
      </c>
      <c r="Q1963" s="62" t="str">
        <f t="shared" si="3926"/>
        <v/>
      </c>
      <c r="R1963" s="62">
        <f t="shared" si="7"/>
        <v>0</v>
      </c>
      <c r="S1963" s="62"/>
      <c r="T1963" s="62"/>
      <c r="U1963" s="62"/>
      <c r="V1963" s="62"/>
      <c r="W1963" s="62"/>
      <c r="X1963" s="62"/>
      <c r="Y1963" s="62"/>
      <c r="Z1963" s="62"/>
      <c r="AA1963" s="62"/>
      <c r="AB1963" s="62"/>
      <c r="AC1963" s="62"/>
    </row>
    <row r="1964" hidden="1">
      <c r="A1964" s="60">
        <f>IFERROR(__xludf.DUMMYFUNCTION("""COMPUTED_VALUE"""),16858.0)</f>
        <v>16858</v>
      </c>
      <c r="B1964" s="60" t="str">
        <f>IFERROR(__xludf.DUMMYFUNCTION("""COMPUTED_VALUE"""),"Tipton, Mason")</f>
        <v>Tipton, Mason</v>
      </c>
      <c r="C1964" s="60" t="str">
        <f>IFERROR(__xludf.DUMMYFUNCTION("""COMPUTED_VALUE"""),"WR")</f>
        <v>WR</v>
      </c>
      <c r="D1964" s="60" t="str">
        <f>IFERROR(__xludf.DUMMYFUNCTION("""COMPUTED_VALUE"""),"NOS")</f>
        <v>NOS</v>
      </c>
      <c r="E1964" s="62" t="str">
        <f t="shared" si="4"/>
        <v>Mason Tipton</v>
      </c>
      <c r="F1964" s="62">
        <f t="shared" ref="F1964:G1964" si="3927">IF(isblank(F$1),,IF(isblank($A1964),,IFERROR(vlookup($A1964,indirect("'TVC-"&amp;text(month(F$1),"00")&amp;"'!$A:$D"),4,false),1)))</f>
        <v>976</v>
      </c>
      <c r="G1964" s="62">
        <f t="shared" si="3927"/>
        <v>990</v>
      </c>
      <c r="H1964" s="62">
        <f t="shared" ref="H1964:Q1964" si="3928">IF(isblank(H$1),,IFERROR(vlookup($A1964,indirect("'TVC-"&amp;text(month(H$1),"00")&amp;"'!$A:$D"),4,false),1))</f>
        <v>973</v>
      </c>
      <c r="I1964" s="62">
        <f t="shared" si="3928"/>
        <v>994</v>
      </c>
      <c r="J1964" s="62">
        <f t="shared" si="3928"/>
        <v>1037</v>
      </c>
      <c r="K1964" s="62">
        <f t="shared" si="3928"/>
        <v>958</v>
      </c>
      <c r="L1964" s="62">
        <f t="shared" si="3928"/>
        <v>912</v>
      </c>
      <c r="M1964" s="62">
        <f t="shared" si="3928"/>
        <v>916</v>
      </c>
      <c r="N1964" s="62">
        <f t="shared" si="3928"/>
        <v>885</v>
      </c>
      <c r="O1964" s="62">
        <f t="shared" si="3928"/>
        <v>1</v>
      </c>
      <c r="P1964" s="62" t="str">
        <f t="shared" si="3928"/>
        <v/>
      </c>
      <c r="Q1964" s="62" t="str">
        <f t="shared" si="3928"/>
        <v/>
      </c>
      <c r="R1964" s="62">
        <f t="shared" si="7"/>
        <v>-884</v>
      </c>
      <c r="S1964" s="62"/>
      <c r="T1964" s="62"/>
      <c r="U1964" s="62"/>
      <c r="V1964" s="62"/>
      <c r="W1964" s="62"/>
      <c r="X1964" s="62"/>
      <c r="Y1964" s="62"/>
      <c r="Z1964" s="62"/>
      <c r="AA1964" s="62"/>
      <c r="AB1964" s="62"/>
      <c r="AC1964" s="62"/>
    </row>
    <row r="1965" hidden="1">
      <c r="A1965" s="60">
        <f>IFERROR(__xludf.DUMMYFUNCTION("""COMPUTED_VALUE"""),16864.0)</f>
        <v>16864</v>
      </c>
      <c r="B1965" s="60" t="str">
        <f>IFERROR(__xludf.DUMMYFUNCTION("""COMPUTED_VALUE"""),"Washington, Carlos")</f>
        <v>Washington, Carlos</v>
      </c>
      <c r="C1965" s="60" t="str">
        <f>IFERROR(__xludf.DUMMYFUNCTION("""COMPUTED_VALUE"""),"RB")</f>
        <v>RB</v>
      </c>
      <c r="D1965" s="60" t="str">
        <f>IFERROR(__xludf.DUMMYFUNCTION("""COMPUTED_VALUE"""),"MIA")</f>
        <v>MIA</v>
      </c>
      <c r="E1965" s="62" t="str">
        <f t="shared" si="4"/>
        <v>Carlos Washington</v>
      </c>
      <c r="F1965" s="62">
        <f t="shared" ref="F1965:G1965" si="3929">IF(isblank(F$1),,IF(isblank($A1965),,IFERROR(vlookup($A1965,indirect("'TVC-"&amp;text(month(F$1),"00")&amp;"'!$A:$D"),4,false),1)))</f>
        <v>1</v>
      </c>
      <c r="G1965" s="62">
        <f t="shared" si="3929"/>
        <v>1</v>
      </c>
      <c r="H1965" s="62">
        <f t="shared" ref="H1965:Q1965" si="3930">IF(isblank(H$1),,IFERROR(vlookup($A1965,indirect("'TVC-"&amp;text(month(H$1),"00")&amp;"'!$A:$D"),4,false),1))</f>
        <v>1</v>
      </c>
      <c r="I1965" s="62">
        <f t="shared" si="3930"/>
        <v>1</v>
      </c>
      <c r="J1965" s="62">
        <f t="shared" si="3930"/>
        <v>1</v>
      </c>
      <c r="K1965" s="62">
        <f t="shared" si="3930"/>
        <v>1</v>
      </c>
      <c r="L1965" s="62">
        <f t="shared" si="3930"/>
        <v>1</v>
      </c>
      <c r="M1965" s="62">
        <f t="shared" si="3930"/>
        <v>1</v>
      </c>
      <c r="N1965" s="62">
        <f t="shared" si="3930"/>
        <v>1</v>
      </c>
      <c r="O1965" s="62">
        <f t="shared" si="3930"/>
        <v>1</v>
      </c>
      <c r="P1965" s="62" t="str">
        <f t="shared" si="3930"/>
        <v/>
      </c>
      <c r="Q1965" s="62" t="str">
        <f t="shared" si="3930"/>
        <v/>
      </c>
      <c r="R1965" s="62">
        <f t="shared" si="7"/>
        <v>0</v>
      </c>
      <c r="S1965" s="62"/>
      <c r="T1965" s="62"/>
      <c r="U1965" s="62"/>
      <c r="V1965" s="62"/>
      <c r="W1965" s="62"/>
      <c r="X1965" s="62"/>
      <c r="Y1965" s="62"/>
      <c r="Z1965" s="62"/>
      <c r="AA1965" s="62"/>
      <c r="AB1965" s="62"/>
      <c r="AC1965" s="62"/>
    </row>
    <row r="1966" hidden="1">
      <c r="A1966" s="60">
        <f>IFERROR(__xludf.DUMMYFUNCTION("""COMPUTED_VALUE"""),16865.0)</f>
        <v>16865</v>
      </c>
      <c r="B1966" s="60" t="str">
        <f>IFERROR(__xludf.DUMMYFUNCTION("""COMPUTED_VALUE"""),"Bishop, Beanie")</f>
        <v>Bishop, Beanie</v>
      </c>
      <c r="C1966" s="60" t="str">
        <f>IFERROR(__xludf.DUMMYFUNCTION("""COMPUTED_VALUE"""),"CB")</f>
        <v>CB</v>
      </c>
      <c r="D1966" s="60" t="str">
        <f>IFERROR(__xludf.DUMMYFUNCTION("""COMPUTED_VALUE"""),"FA")</f>
        <v>FA</v>
      </c>
      <c r="E1966" s="62" t="str">
        <f t="shared" si="4"/>
        <v>Beanie Bishop</v>
      </c>
      <c r="F1966" s="62">
        <f t="shared" ref="F1966:G1966" si="3931">IF(isblank(F$1),,IF(isblank($A1966),,IFERROR(vlookup($A1966,indirect("'TVC-"&amp;text(month(F$1),"00")&amp;"'!$A:$D"),4,false),1)))</f>
        <v>1</v>
      </c>
      <c r="G1966" s="62">
        <f t="shared" si="3931"/>
        <v>1</v>
      </c>
      <c r="H1966" s="62">
        <f t="shared" ref="H1966:Q1966" si="3932">IF(isblank(H$1),,IFERROR(vlookup($A1966,indirect("'TVC-"&amp;text(month(H$1),"00")&amp;"'!$A:$D"),4,false),1))</f>
        <v>1</v>
      </c>
      <c r="I1966" s="62">
        <f t="shared" si="3932"/>
        <v>1</v>
      </c>
      <c r="J1966" s="62">
        <f t="shared" si="3932"/>
        <v>1</v>
      </c>
      <c r="K1966" s="62">
        <f t="shared" si="3932"/>
        <v>1</v>
      </c>
      <c r="L1966" s="62">
        <f t="shared" si="3932"/>
        <v>1</v>
      </c>
      <c r="M1966" s="62">
        <f t="shared" si="3932"/>
        <v>1</v>
      </c>
      <c r="N1966" s="62">
        <f t="shared" si="3932"/>
        <v>1</v>
      </c>
      <c r="O1966" s="62">
        <f t="shared" si="3932"/>
        <v>1</v>
      </c>
      <c r="P1966" s="62" t="str">
        <f t="shared" si="3932"/>
        <v/>
      </c>
      <c r="Q1966" s="62" t="str">
        <f t="shared" si="3932"/>
        <v/>
      </c>
      <c r="R1966" s="62">
        <f t="shared" si="7"/>
        <v>0</v>
      </c>
      <c r="S1966" s="62"/>
      <c r="T1966" s="62"/>
      <c r="U1966" s="62"/>
      <c r="V1966" s="62"/>
      <c r="W1966" s="62"/>
      <c r="X1966" s="62"/>
      <c r="Y1966" s="62"/>
      <c r="Z1966" s="62"/>
      <c r="AA1966" s="62"/>
      <c r="AB1966" s="62"/>
      <c r="AC1966" s="62"/>
    </row>
    <row r="1967" hidden="1">
      <c r="A1967" s="60">
        <f>IFERROR(__xludf.DUMMYFUNCTION("""COMPUTED_VALUE"""),16868.0)</f>
        <v>16868</v>
      </c>
      <c r="B1967" s="60" t="str">
        <f>IFERROR(__xludf.DUMMYFUNCTION("""COMPUTED_VALUE"""),"Martinez, Adrian")</f>
        <v>Martinez, Adrian</v>
      </c>
      <c r="C1967" s="60" t="str">
        <f>IFERROR(__xludf.DUMMYFUNCTION("""COMPUTED_VALUE"""),"QB")</f>
        <v>QB</v>
      </c>
      <c r="D1967" s="60" t="str">
        <f>IFERROR(__xludf.DUMMYFUNCTION("""COMPUTED_VALUE"""),"FA")</f>
        <v>FA</v>
      </c>
      <c r="E1967" s="62" t="str">
        <f t="shared" si="4"/>
        <v>Adrian Martinez</v>
      </c>
      <c r="F1967" s="62">
        <f t="shared" ref="F1967:G1967" si="3933">IF(isblank(F$1),,IF(isblank($A1967),,IFERROR(vlookup($A1967,indirect("'TVC-"&amp;text(month(F$1),"00")&amp;"'!$A:$D"),4,false),1)))</f>
        <v>1</v>
      </c>
      <c r="G1967" s="62">
        <f t="shared" si="3933"/>
        <v>1</v>
      </c>
      <c r="H1967" s="62">
        <f t="shared" ref="H1967:Q1967" si="3934">IF(isblank(H$1),,IFERROR(vlookup($A1967,indirect("'TVC-"&amp;text(month(H$1),"00")&amp;"'!$A:$D"),4,false),1))</f>
        <v>1</v>
      </c>
      <c r="I1967" s="62">
        <f t="shared" si="3934"/>
        <v>1</v>
      </c>
      <c r="J1967" s="62">
        <f t="shared" si="3934"/>
        <v>1</v>
      </c>
      <c r="K1967" s="62">
        <f t="shared" si="3934"/>
        <v>1</v>
      </c>
      <c r="L1967" s="62">
        <f t="shared" si="3934"/>
        <v>1</v>
      </c>
      <c r="M1967" s="62">
        <f t="shared" si="3934"/>
        <v>1</v>
      </c>
      <c r="N1967" s="62">
        <f t="shared" si="3934"/>
        <v>1</v>
      </c>
      <c r="O1967" s="62">
        <f t="shared" si="3934"/>
        <v>1</v>
      </c>
      <c r="P1967" s="62" t="str">
        <f t="shared" si="3934"/>
        <v/>
      </c>
      <c r="Q1967" s="62" t="str">
        <f t="shared" si="3934"/>
        <v/>
      </c>
      <c r="R1967" s="62">
        <f t="shared" si="7"/>
        <v>0</v>
      </c>
      <c r="S1967" s="62"/>
      <c r="T1967" s="62"/>
      <c r="U1967" s="62"/>
      <c r="V1967" s="62"/>
      <c r="W1967" s="62"/>
      <c r="X1967" s="62"/>
      <c r="Y1967" s="62"/>
      <c r="Z1967" s="62"/>
      <c r="AA1967" s="62"/>
      <c r="AB1967" s="62"/>
      <c r="AC1967" s="62"/>
    </row>
    <row r="1968" hidden="1">
      <c r="A1968" s="60">
        <f>IFERROR(__xludf.DUMMYFUNCTION("""COMPUTED_VALUE"""),16869.0)</f>
        <v>16869</v>
      </c>
      <c r="B1968" s="60" t="str">
        <f>IFERROR(__xludf.DUMMYFUNCTION("""COMPUTED_VALUE"""),"Richter, Bo")</f>
        <v>Richter, Bo</v>
      </c>
      <c r="C1968" s="60" t="str">
        <f>IFERROR(__xludf.DUMMYFUNCTION("""COMPUTED_VALUE"""),"DE")</f>
        <v>DE</v>
      </c>
      <c r="D1968" s="60" t="str">
        <f>IFERROR(__xludf.DUMMYFUNCTION("""COMPUTED_VALUE"""),"MIN")</f>
        <v>MIN</v>
      </c>
      <c r="E1968" s="62" t="str">
        <f t="shared" si="4"/>
        <v>Bo Richter</v>
      </c>
      <c r="F1968" s="62">
        <f t="shared" ref="F1968:G1968" si="3935">IF(isblank(F$1),,IF(isblank($A1968),,IFERROR(vlookup($A1968,indirect("'TVC-"&amp;text(month(F$1),"00")&amp;"'!$A:$D"),4,false),1)))</f>
        <v>1</v>
      </c>
      <c r="G1968" s="62">
        <f t="shared" si="3935"/>
        <v>1</v>
      </c>
      <c r="H1968" s="62">
        <f t="shared" ref="H1968:Q1968" si="3936">IF(isblank(H$1),,IFERROR(vlookup($A1968,indirect("'TVC-"&amp;text(month(H$1),"00")&amp;"'!$A:$D"),4,false),1))</f>
        <v>1</v>
      </c>
      <c r="I1968" s="62">
        <f t="shared" si="3936"/>
        <v>1</v>
      </c>
      <c r="J1968" s="62">
        <f t="shared" si="3936"/>
        <v>1</v>
      </c>
      <c r="K1968" s="62">
        <f t="shared" si="3936"/>
        <v>1</v>
      </c>
      <c r="L1968" s="62">
        <f t="shared" si="3936"/>
        <v>1</v>
      </c>
      <c r="M1968" s="62">
        <f t="shared" si="3936"/>
        <v>1</v>
      </c>
      <c r="N1968" s="62">
        <f t="shared" si="3936"/>
        <v>1</v>
      </c>
      <c r="O1968" s="62">
        <f t="shared" si="3936"/>
        <v>1</v>
      </c>
      <c r="P1968" s="62" t="str">
        <f t="shared" si="3936"/>
        <v/>
      </c>
      <c r="Q1968" s="62" t="str">
        <f t="shared" si="3936"/>
        <v/>
      </c>
      <c r="R1968" s="62">
        <f t="shared" si="7"/>
        <v>0</v>
      </c>
      <c r="S1968" s="62"/>
      <c r="T1968" s="62"/>
      <c r="U1968" s="62"/>
      <c r="V1968" s="62"/>
      <c r="W1968" s="62"/>
      <c r="X1968" s="62"/>
      <c r="Y1968" s="62"/>
      <c r="Z1968" s="62"/>
      <c r="AA1968" s="62"/>
      <c r="AB1968" s="62"/>
      <c r="AC1968" s="62"/>
    </row>
    <row r="1969" hidden="1">
      <c r="A1969" s="60">
        <f>IFERROR(__xludf.DUMMYFUNCTION("""COMPUTED_VALUE"""),16870.0)</f>
        <v>16870</v>
      </c>
      <c r="B1969" s="60" t="str">
        <f>IFERROR(__xludf.DUMMYFUNCTION("""COMPUTED_VALUE"""),"Speights, Omar")</f>
        <v>Speights, Omar</v>
      </c>
      <c r="C1969" s="60" t="str">
        <f>IFERROR(__xludf.DUMMYFUNCTION("""COMPUTED_VALUE"""),"LB")</f>
        <v>LB</v>
      </c>
      <c r="D1969" s="60" t="str">
        <f>IFERROR(__xludf.DUMMYFUNCTION("""COMPUTED_VALUE"""),"LAR")</f>
        <v>LAR</v>
      </c>
      <c r="E1969" s="62" t="str">
        <f t="shared" si="4"/>
        <v>Omar Speights</v>
      </c>
      <c r="F1969" s="62">
        <f t="shared" ref="F1969:G1969" si="3937">IF(isblank(F$1),,IF(isblank($A1969),,IFERROR(vlookup($A1969,indirect("'TVC-"&amp;text(month(F$1),"00")&amp;"'!$A:$D"),4,false),1)))</f>
        <v>1</v>
      </c>
      <c r="G1969" s="62">
        <f t="shared" si="3937"/>
        <v>1</v>
      </c>
      <c r="H1969" s="62">
        <f t="shared" ref="H1969:Q1969" si="3938">IF(isblank(H$1),,IFERROR(vlookup($A1969,indirect("'TVC-"&amp;text(month(H$1),"00")&amp;"'!$A:$D"),4,false),1))</f>
        <v>1</v>
      </c>
      <c r="I1969" s="62">
        <f t="shared" si="3938"/>
        <v>1</v>
      </c>
      <c r="J1969" s="62">
        <f t="shared" si="3938"/>
        <v>1</v>
      </c>
      <c r="K1969" s="62">
        <f t="shared" si="3938"/>
        <v>1</v>
      </c>
      <c r="L1969" s="62">
        <f t="shared" si="3938"/>
        <v>1</v>
      </c>
      <c r="M1969" s="62">
        <f t="shared" si="3938"/>
        <v>1</v>
      </c>
      <c r="N1969" s="62">
        <f t="shared" si="3938"/>
        <v>1</v>
      </c>
      <c r="O1969" s="62">
        <f t="shared" si="3938"/>
        <v>1</v>
      </c>
      <c r="P1969" s="62" t="str">
        <f t="shared" si="3938"/>
        <v/>
      </c>
      <c r="Q1969" s="62" t="str">
        <f t="shared" si="3938"/>
        <v/>
      </c>
      <c r="R1969" s="62">
        <f t="shared" si="7"/>
        <v>0</v>
      </c>
      <c r="S1969" s="62"/>
      <c r="T1969" s="62"/>
      <c r="U1969" s="62"/>
      <c r="V1969" s="62"/>
      <c r="W1969" s="62"/>
      <c r="X1969" s="62"/>
      <c r="Y1969" s="62"/>
      <c r="Z1969" s="62"/>
      <c r="AA1969" s="62"/>
      <c r="AB1969" s="62"/>
      <c r="AC1969" s="62"/>
    </row>
    <row r="1970" hidden="1">
      <c r="A1970" s="60">
        <f>IFERROR(__xludf.DUMMYFUNCTION("""COMPUTED_VALUE"""),16871.0)</f>
        <v>16871</v>
      </c>
      <c r="B1970" s="60" t="str">
        <f>IFERROR(__xludf.DUMMYFUNCTION("""COMPUTED_VALUE"""),"Wheeler, Ian")</f>
        <v>Wheeler, Ian</v>
      </c>
      <c r="C1970" s="60" t="str">
        <f>IFERROR(__xludf.DUMMYFUNCTION("""COMPUTED_VALUE"""),"RB")</f>
        <v>RB</v>
      </c>
      <c r="D1970" s="60" t="str">
        <f>IFERROR(__xludf.DUMMYFUNCTION("""COMPUTED_VALUE"""),"PHI")</f>
        <v>PHI</v>
      </c>
      <c r="E1970" s="62" t="str">
        <f t="shared" si="4"/>
        <v>Ian Wheeler</v>
      </c>
      <c r="F1970" s="62">
        <f t="shared" ref="F1970:G1970" si="3939">IF(isblank(F$1),,IF(isblank($A1970),,IFERROR(vlookup($A1970,indirect("'TVC-"&amp;text(month(F$1),"00")&amp;"'!$A:$D"),4,false),1)))</f>
        <v>1</v>
      </c>
      <c r="G1970" s="62">
        <f t="shared" si="3939"/>
        <v>1</v>
      </c>
      <c r="H1970" s="62">
        <f t="shared" ref="H1970:Q1970" si="3940">IF(isblank(H$1),,IFERROR(vlookup($A1970,indirect("'TVC-"&amp;text(month(H$1),"00")&amp;"'!$A:$D"),4,false),1))</f>
        <v>1</v>
      </c>
      <c r="I1970" s="62">
        <f t="shared" si="3940"/>
        <v>1</v>
      </c>
      <c r="J1970" s="62">
        <f t="shared" si="3940"/>
        <v>1</v>
      </c>
      <c r="K1970" s="62">
        <f t="shared" si="3940"/>
        <v>1</v>
      </c>
      <c r="L1970" s="62">
        <f t="shared" si="3940"/>
        <v>1</v>
      </c>
      <c r="M1970" s="62">
        <f t="shared" si="3940"/>
        <v>1</v>
      </c>
      <c r="N1970" s="62">
        <f t="shared" si="3940"/>
        <v>1</v>
      </c>
      <c r="O1970" s="62">
        <f t="shared" si="3940"/>
        <v>1</v>
      </c>
      <c r="P1970" s="62" t="str">
        <f t="shared" si="3940"/>
        <v/>
      </c>
      <c r="Q1970" s="62" t="str">
        <f t="shared" si="3940"/>
        <v/>
      </c>
      <c r="R1970" s="62">
        <f t="shared" si="7"/>
        <v>0</v>
      </c>
      <c r="S1970" s="62"/>
      <c r="T1970" s="62"/>
      <c r="U1970" s="62"/>
      <c r="V1970" s="62"/>
      <c r="W1970" s="62"/>
      <c r="X1970" s="62"/>
      <c r="Y1970" s="62"/>
      <c r="Z1970" s="62"/>
      <c r="AA1970" s="62"/>
      <c r="AB1970" s="62"/>
      <c r="AC1970" s="62"/>
    </row>
    <row r="1971" hidden="1">
      <c r="A1971" s="60">
        <f>IFERROR(__xludf.DUMMYFUNCTION("""COMPUTED_VALUE"""),16872.0)</f>
        <v>16872</v>
      </c>
      <c r="B1971" s="60" t="str">
        <f>IFERROR(__xludf.DUMMYFUNCTION("""COMPUTED_VALUE"""),"Andreessen, Joe")</f>
        <v>Andreessen, Joe</v>
      </c>
      <c r="C1971" s="60" t="str">
        <f>IFERROR(__xludf.DUMMYFUNCTION("""COMPUTED_VALUE"""),"LB")</f>
        <v>LB</v>
      </c>
      <c r="D1971" s="60" t="str">
        <f>IFERROR(__xludf.DUMMYFUNCTION("""COMPUTED_VALUE"""),"BUF")</f>
        <v>BUF</v>
      </c>
      <c r="E1971" s="62" t="str">
        <f t="shared" si="4"/>
        <v>Joe Andreessen</v>
      </c>
      <c r="F1971" s="62">
        <f t="shared" ref="F1971:G1971" si="3941">IF(isblank(F$1),,IF(isblank($A1971),,IFERROR(vlookup($A1971,indirect("'TVC-"&amp;text(month(F$1),"00")&amp;"'!$A:$D"),4,false),1)))</f>
        <v>1</v>
      </c>
      <c r="G1971" s="62">
        <f t="shared" si="3941"/>
        <v>1</v>
      </c>
      <c r="H1971" s="62">
        <f t="shared" ref="H1971:Q1971" si="3942">IF(isblank(H$1),,IFERROR(vlookup($A1971,indirect("'TVC-"&amp;text(month(H$1),"00")&amp;"'!$A:$D"),4,false),1))</f>
        <v>1</v>
      </c>
      <c r="I1971" s="62">
        <f t="shared" si="3942"/>
        <v>1</v>
      </c>
      <c r="J1971" s="62">
        <f t="shared" si="3942"/>
        <v>1</v>
      </c>
      <c r="K1971" s="62">
        <f t="shared" si="3942"/>
        <v>1</v>
      </c>
      <c r="L1971" s="62">
        <f t="shared" si="3942"/>
        <v>1</v>
      </c>
      <c r="M1971" s="62">
        <f t="shared" si="3942"/>
        <v>1</v>
      </c>
      <c r="N1971" s="62">
        <f t="shared" si="3942"/>
        <v>1</v>
      </c>
      <c r="O1971" s="62">
        <f t="shared" si="3942"/>
        <v>1</v>
      </c>
      <c r="P1971" s="62" t="str">
        <f t="shared" si="3942"/>
        <v/>
      </c>
      <c r="Q1971" s="62" t="str">
        <f t="shared" si="3942"/>
        <v/>
      </c>
      <c r="R1971" s="62">
        <f t="shared" si="7"/>
        <v>0</v>
      </c>
      <c r="S1971" s="62"/>
      <c r="T1971" s="62"/>
      <c r="U1971" s="62"/>
      <c r="V1971" s="62"/>
      <c r="W1971" s="62"/>
      <c r="X1971" s="62"/>
      <c r="Y1971" s="62"/>
      <c r="Z1971" s="62"/>
      <c r="AA1971" s="62"/>
      <c r="AB1971" s="62"/>
      <c r="AC1971" s="62"/>
    </row>
    <row r="1972" hidden="1">
      <c r="A1972" s="60">
        <f>IFERROR(__xludf.DUMMYFUNCTION("""COMPUTED_VALUE"""),16875.0)</f>
        <v>16875</v>
      </c>
      <c r="B1972" s="60" t="str">
        <f>IFERROR(__xludf.DUMMYFUNCTION("""COMPUTED_VALUE"""),"Chatman, Elijah")</f>
        <v>Chatman, Elijah</v>
      </c>
      <c r="C1972" s="60" t="str">
        <f>IFERROR(__xludf.DUMMYFUNCTION("""COMPUTED_VALUE"""),"DE")</f>
        <v>DE</v>
      </c>
      <c r="D1972" s="60" t="str">
        <f>IFERROR(__xludf.DUMMYFUNCTION("""COMPUTED_VALUE"""),"CLE")</f>
        <v>CLE</v>
      </c>
      <c r="E1972" s="62" t="str">
        <f t="shared" si="4"/>
        <v>Elijah Chatman</v>
      </c>
      <c r="F1972" s="62">
        <f t="shared" ref="F1972:G1972" si="3943">IF(isblank(F$1),,IF(isblank($A1972),,IFERROR(vlookup($A1972,indirect("'TVC-"&amp;text(month(F$1),"00")&amp;"'!$A:$D"),4,false),1)))</f>
        <v>1</v>
      </c>
      <c r="G1972" s="62">
        <f t="shared" si="3943"/>
        <v>1</v>
      </c>
      <c r="H1972" s="62">
        <f t="shared" ref="H1972:Q1972" si="3944">IF(isblank(H$1),,IFERROR(vlookup($A1972,indirect("'TVC-"&amp;text(month(H$1),"00")&amp;"'!$A:$D"),4,false),1))</f>
        <v>1</v>
      </c>
      <c r="I1972" s="62">
        <f t="shared" si="3944"/>
        <v>1</v>
      </c>
      <c r="J1972" s="62">
        <f t="shared" si="3944"/>
        <v>1</v>
      </c>
      <c r="K1972" s="62">
        <f t="shared" si="3944"/>
        <v>1</v>
      </c>
      <c r="L1972" s="62">
        <f t="shared" si="3944"/>
        <v>1</v>
      </c>
      <c r="M1972" s="62">
        <f t="shared" si="3944"/>
        <v>1</v>
      </c>
      <c r="N1972" s="62">
        <f t="shared" si="3944"/>
        <v>1</v>
      </c>
      <c r="O1972" s="62">
        <f t="shared" si="3944"/>
        <v>1</v>
      </c>
      <c r="P1972" s="62" t="str">
        <f t="shared" si="3944"/>
        <v/>
      </c>
      <c r="Q1972" s="62" t="str">
        <f t="shared" si="3944"/>
        <v/>
      </c>
      <c r="R1972" s="62">
        <f t="shared" si="7"/>
        <v>0</v>
      </c>
      <c r="S1972" s="62"/>
      <c r="T1972" s="62"/>
      <c r="U1972" s="62"/>
      <c r="V1972" s="62"/>
      <c r="W1972" s="62"/>
      <c r="X1972" s="62"/>
      <c r="Y1972" s="62"/>
      <c r="Z1972" s="62"/>
      <c r="AA1972" s="62"/>
      <c r="AB1972" s="62"/>
      <c r="AC1972" s="62"/>
    </row>
    <row r="1973">
      <c r="A1973" s="60">
        <f>IFERROR(__xludf.DUMMYFUNCTION("""COMPUTED_VALUE"""),16877.0)</f>
        <v>16877</v>
      </c>
      <c r="B1973" s="60" t="str">
        <f>IFERROR(__xludf.DUMMYFUNCTION("""COMPUTED_VALUE"""),"Davis, Kaden")</f>
        <v>Davis, Kaden</v>
      </c>
      <c r="C1973" s="60" t="str">
        <f>IFERROR(__xludf.DUMMYFUNCTION("""COMPUTED_VALUE"""),"WR")</f>
        <v>WR</v>
      </c>
      <c r="D1973" s="60" t="str">
        <f>IFERROR(__xludf.DUMMYFUNCTION("""COMPUTED_VALUE"""),"CHI")</f>
        <v>CHI</v>
      </c>
      <c r="E1973" s="62" t="str">
        <f t="shared" si="4"/>
        <v>Kaden Davis</v>
      </c>
      <c r="F1973" s="62">
        <f t="shared" ref="F1973:G1973" si="3945">IF(isblank(F$1),,IF(isblank($A1973),,IFERROR(vlookup($A1973,indirect("'TVC-"&amp;text(month(F$1),"00")&amp;"'!$A:$D"),4,false),1)))</f>
        <v>1</v>
      </c>
      <c r="G1973" s="62">
        <f t="shared" si="3945"/>
        <v>1</v>
      </c>
      <c r="H1973" s="62">
        <f t="shared" ref="H1973:Q1973" si="3946">IF(isblank(H$1),,IFERROR(vlookup($A1973,indirect("'TVC-"&amp;text(month(H$1),"00")&amp;"'!$A:$D"),4,false),1))</f>
        <v>1</v>
      </c>
      <c r="I1973" s="62">
        <f t="shared" si="3946"/>
        <v>1</v>
      </c>
      <c r="J1973" s="62">
        <f t="shared" si="3946"/>
        <v>1</v>
      </c>
      <c r="K1973" s="62">
        <f t="shared" si="3946"/>
        <v>1</v>
      </c>
      <c r="L1973" s="62">
        <f t="shared" si="3946"/>
        <v>1</v>
      </c>
      <c r="M1973" s="62">
        <f t="shared" si="3946"/>
        <v>1</v>
      </c>
      <c r="N1973" s="62">
        <f t="shared" si="3946"/>
        <v>1</v>
      </c>
      <c r="O1973" s="62">
        <f t="shared" si="3946"/>
        <v>1</v>
      </c>
      <c r="P1973" s="62" t="str">
        <f t="shared" si="3946"/>
        <v/>
      </c>
      <c r="Q1973" s="62" t="str">
        <f t="shared" si="3946"/>
        <v/>
      </c>
      <c r="R1973" s="62">
        <f t="shared" si="7"/>
        <v>0</v>
      </c>
      <c r="S1973" s="62"/>
      <c r="T1973" s="62"/>
      <c r="U1973" s="62"/>
      <c r="V1973" s="62"/>
      <c r="W1973" s="62"/>
      <c r="X1973" s="62"/>
      <c r="Y1973" s="62"/>
      <c r="Z1973" s="62"/>
      <c r="AA1973" s="62"/>
      <c r="AB1973" s="62"/>
      <c r="AC1973" s="62"/>
    </row>
    <row r="1974" hidden="1">
      <c r="A1974" s="60">
        <f>IFERROR(__xludf.DUMMYFUNCTION("""COMPUTED_VALUE"""),16878.0)</f>
        <v>16878</v>
      </c>
      <c r="B1974" s="60" t="str">
        <f>IFERROR(__xludf.DUMMYFUNCTION("""COMPUTED_VALUE"""),"Steward, Reddy")</f>
        <v>Steward, Reddy</v>
      </c>
      <c r="C1974" s="60" t="str">
        <f>IFERROR(__xludf.DUMMYFUNCTION("""COMPUTED_VALUE"""),"CB")</f>
        <v>CB</v>
      </c>
      <c r="D1974" s="60" t="str">
        <f>IFERROR(__xludf.DUMMYFUNCTION("""COMPUTED_VALUE"""),"DAL")</f>
        <v>DAL</v>
      </c>
      <c r="E1974" s="62" t="str">
        <f t="shared" si="4"/>
        <v>Reddy Steward</v>
      </c>
      <c r="F1974" s="62">
        <f t="shared" ref="F1974:G1974" si="3947">IF(isblank(F$1),,IF(isblank($A1974),,IFERROR(vlookup($A1974,indirect("'TVC-"&amp;text(month(F$1),"00")&amp;"'!$A:$D"),4,false),1)))</f>
        <v>1</v>
      </c>
      <c r="G1974" s="62">
        <f t="shared" si="3947"/>
        <v>1</v>
      </c>
      <c r="H1974" s="62">
        <f t="shared" ref="H1974:Q1974" si="3948">IF(isblank(H$1),,IFERROR(vlookup($A1974,indirect("'TVC-"&amp;text(month(H$1),"00")&amp;"'!$A:$D"),4,false),1))</f>
        <v>1</v>
      </c>
      <c r="I1974" s="62">
        <f t="shared" si="3948"/>
        <v>1</v>
      </c>
      <c r="J1974" s="62">
        <f t="shared" si="3948"/>
        <v>1</v>
      </c>
      <c r="K1974" s="62">
        <f t="shared" si="3948"/>
        <v>1</v>
      </c>
      <c r="L1974" s="62">
        <f t="shared" si="3948"/>
        <v>1</v>
      </c>
      <c r="M1974" s="62">
        <f t="shared" si="3948"/>
        <v>1</v>
      </c>
      <c r="N1974" s="62">
        <f t="shared" si="3948"/>
        <v>1</v>
      </c>
      <c r="O1974" s="62">
        <f t="shared" si="3948"/>
        <v>1</v>
      </c>
      <c r="P1974" s="62" t="str">
        <f t="shared" si="3948"/>
        <v/>
      </c>
      <c r="Q1974" s="62" t="str">
        <f t="shared" si="3948"/>
        <v/>
      </c>
      <c r="R1974" s="62">
        <f t="shared" si="7"/>
        <v>0</v>
      </c>
      <c r="S1974" s="62"/>
      <c r="T1974" s="62"/>
      <c r="U1974" s="62"/>
      <c r="V1974" s="62"/>
      <c r="W1974" s="62"/>
      <c r="X1974" s="62"/>
      <c r="Y1974" s="62"/>
      <c r="Z1974" s="62"/>
      <c r="AA1974" s="62"/>
      <c r="AB1974" s="62"/>
      <c r="AC1974" s="62"/>
    </row>
    <row r="1975" hidden="1">
      <c r="A1975" s="60">
        <f>IFERROR(__xludf.DUMMYFUNCTION("""COMPUTED_VALUE"""),16880.0)</f>
        <v>16880</v>
      </c>
      <c r="B1975" s="60" t="str">
        <f>IFERROR(__xludf.DUMMYFUNCTION("""COMPUTED_VALUE"""),"Owens, Tyler")</f>
        <v>Owens, Tyler</v>
      </c>
      <c r="C1975" s="60" t="str">
        <f>IFERROR(__xludf.DUMMYFUNCTION("""COMPUTED_VALUE"""),"S")</f>
        <v>S</v>
      </c>
      <c r="D1975" s="60" t="str">
        <f>IFERROR(__xludf.DUMMYFUNCTION("""COMPUTED_VALUE"""),"WAS")</f>
        <v>WAS</v>
      </c>
      <c r="E1975" s="62" t="str">
        <f t="shared" si="4"/>
        <v>Tyler Owens</v>
      </c>
      <c r="F1975" s="62">
        <f t="shared" ref="F1975:G1975" si="3949">IF(isblank(F$1),,IF(isblank($A1975),,IFERROR(vlookup($A1975,indirect("'TVC-"&amp;text(month(F$1),"00")&amp;"'!$A:$D"),4,false),1)))</f>
        <v>1</v>
      </c>
      <c r="G1975" s="62">
        <f t="shared" si="3949"/>
        <v>1</v>
      </c>
      <c r="H1975" s="62">
        <f t="shared" ref="H1975:Q1975" si="3950">IF(isblank(H$1),,IFERROR(vlookup($A1975,indirect("'TVC-"&amp;text(month(H$1),"00")&amp;"'!$A:$D"),4,false),1))</f>
        <v>1</v>
      </c>
      <c r="I1975" s="62">
        <f t="shared" si="3950"/>
        <v>1</v>
      </c>
      <c r="J1975" s="62">
        <f t="shared" si="3950"/>
        <v>1</v>
      </c>
      <c r="K1975" s="62">
        <f t="shared" si="3950"/>
        <v>1</v>
      </c>
      <c r="L1975" s="62">
        <f t="shared" si="3950"/>
        <v>1</v>
      </c>
      <c r="M1975" s="62">
        <f t="shared" si="3950"/>
        <v>1</v>
      </c>
      <c r="N1975" s="62">
        <f t="shared" si="3950"/>
        <v>1</v>
      </c>
      <c r="O1975" s="62">
        <f t="shared" si="3950"/>
        <v>1</v>
      </c>
      <c r="P1975" s="62" t="str">
        <f t="shared" si="3950"/>
        <v/>
      </c>
      <c r="Q1975" s="62" t="str">
        <f t="shared" si="3950"/>
        <v/>
      </c>
      <c r="R1975" s="62">
        <f t="shared" si="7"/>
        <v>0</v>
      </c>
      <c r="S1975" s="62"/>
      <c r="T1975" s="62"/>
      <c r="U1975" s="62"/>
      <c r="V1975" s="62"/>
      <c r="W1975" s="62"/>
      <c r="X1975" s="62"/>
      <c r="Y1975" s="62"/>
      <c r="Z1975" s="62"/>
      <c r="AA1975" s="62"/>
      <c r="AB1975" s="62"/>
      <c r="AC1975" s="62"/>
    </row>
    <row r="1976" hidden="1">
      <c r="A1976" s="60">
        <f>IFERROR(__xludf.DUMMYFUNCTION("""COMPUTED_VALUE"""),16882.0)</f>
        <v>16882</v>
      </c>
      <c r="B1976" s="60" t="str">
        <f>IFERROR(__xludf.DUMMYFUNCTION("""COMPUTED_VALUE"""),"Bradley, Carter")</f>
        <v>Bradley, Carter</v>
      </c>
      <c r="C1976" s="60" t="str">
        <f>IFERROR(__xludf.DUMMYFUNCTION("""COMPUTED_VALUE"""),"QB")</f>
        <v>QB</v>
      </c>
      <c r="D1976" s="60" t="str">
        <f>IFERROR(__xludf.DUMMYFUNCTION("""COMPUTED_VALUE"""),"FA")</f>
        <v>FA</v>
      </c>
      <c r="E1976" s="62" t="str">
        <f t="shared" si="4"/>
        <v>Carter Bradley</v>
      </c>
      <c r="F1976" s="62">
        <f t="shared" ref="F1976:G1976" si="3951">IF(isblank(F$1),,IF(isblank($A1976),,IFERROR(vlookup($A1976,indirect("'TVC-"&amp;text(month(F$1),"00")&amp;"'!$A:$D"),4,false),1)))</f>
        <v>1</v>
      </c>
      <c r="G1976" s="62">
        <f t="shared" si="3951"/>
        <v>1</v>
      </c>
      <c r="H1976" s="62">
        <f t="shared" ref="H1976:Q1976" si="3952">IF(isblank(H$1),,IFERROR(vlookup($A1976,indirect("'TVC-"&amp;text(month(H$1),"00")&amp;"'!$A:$D"),4,false),1))</f>
        <v>1</v>
      </c>
      <c r="I1976" s="62">
        <f t="shared" si="3952"/>
        <v>1</v>
      </c>
      <c r="J1976" s="62">
        <f t="shared" si="3952"/>
        <v>1</v>
      </c>
      <c r="K1976" s="62">
        <f t="shared" si="3952"/>
        <v>1</v>
      </c>
      <c r="L1976" s="62">
        <f t="shared" si="3952"/>
        <v>1</v>
      </c>
      <c r="M1976" s="62">
        <f t="shared" si="3952"/>
        <v>1</v>
      </c>
      <c r="N1976" s="62">
        <f t="shared" si="3952"/>
        <v>1</v>
      </c>
      <c r="O1976" s="62">
        <f t="shared" si="3952"/>
        <v>1</v>
      </c>
      <c r="P1976" s="62" t="str">
        <f t="shared" si="3952"/>
        <v/>
      </c>
      <c r="Q1976" s="62" t="str">
        <f t="shared" si="3952"/>
        <v/>
      </c>
      <c r="R1976" s="62">
        <f t="shared" si="7"/>
        <v>0</v>
      </c>
      <c r="S1976" s="62"/>
      <c r="T1976" s="62"/>
      <c r="U1976" s="62"/>
      <c r="V1976" s="62"/>
      <c r="W1976" s="62"/>
      <c r="X1976" s="62"/>
      <c r="Y1976" s="62"/>
      <c r="Z1976" s="62"/>
      <c r="AA1976" s="62"/>
      <c r="AB1976" s="62"/>
      <c r="AC1976" s="62"/>
    </row>
    <row r="1977" hidden="1">
      <c r="A1977" s="60">
        <f>IFERROR(__xludf.DUMMYFUNCTION("""COMPUTED_VALUE"""),16883.0)</f>
        <v>16883</v>
      </c>
      <c r="B1977" s="60" t="str">
        <f>IFERROR(__xludf.DUMMYFUNCTION("""COMPUTED_VALUE"""),"Johnson, Kameron")</f>
        <v>Johnson, Kameron</v>
      </c>
      <c r="C1977" s="60" t="str">
        <f>IFERROR(__xludf.DUMMYFUNCTION("""COMPUTED_VALUE"""),"WR")</f>
        <v>WR</v>
      </c>
      <c r="D1977" s="60" t="str">
        <f>IFERROR(__xludf.DUMMYFUNCTION("""COMPUTED_VALUE"""),"TBB")</f>
        <v>TBB</v>
      </c>
      <c r="E1977" s="62" t="str">
        <f t="shared" si="4"/>
        <v>Kameron Johnson</v>
      </c>
      <c r="F1977" s="62">
        <f t="shared" ref="F1977:G1977" si="3953">IF(isblank(F$1),,IF(isblank($A1977),,IFERROR(vlookup($A1977,indirect("'TVC-"&amp;text(month(F$1),"00")&amp;"'!$A:$D"),4,false),1)))</f>
        <v>1260</v>
      </c>
      <c r="G1977" s="62">
        <f t="shared" si="3953"/>
        <v>1160</v>
      </c>
      <c r="H1977" s="62">
        <f t="shared" ref="H1977:Q1977" si="3954">IF(isblank(H$1),,IFERROR(vlookup($A1977,indirect("'TVC-"&amp;text(month(H$1),"00")&amp;"'!$A:$D"),4,false),1))</f>
        <v>1152</v>
      </c>
      <c r="I1977" s="62">
        <f t="shared" si="3954"/>
        <v>1165</v>
      </c>
      <c r="J1977" s="62">
        <f t="shared" si="3954"/>
        <v>1233</v>
      </c>
      <c r="K1977" s="62">
        <f t="shared" si="3954"/>
        <v>1199</v>
      </c>
      <c r="L1977" s="62">
        <f t="shared" si="3954"/>
        <v>1196</v>
      </c>
      <c r="M1977" s="62">
        <f t="shared" si="3954"/>
        <v>1224</v>
      </c>
      <c r="N1977" s="62">
        <f t="shared" si="3954"/>
        <v>1259</v>
      </c>
      <c r="O1977" s="62">
        <f t="shared" si="3954"/>
        <v>1</v>
      </c>
      <c r="P1977" s="62" t="str">
        <f t="shared" si="3954"/>
        <v/>
      </c>
      <c r="Q1977" s="62" t="str">
        <f t="shared" si="3954"/>
        <v/>
      </c>
      <c r="R1977" s="62">
        <f t="shared" si="7"/>
        <v>-1258</v>
      </c>
      <c r="S1977" s="62"/>
      <c r="T1977" s="62"/>
      <c r="U1977" s="62"/>
      <c r="V1977" s="62"/>
      <c r="W1977" s="62"/>
      <c r="X1977" s="62"/>
      <c r="Y1977" s="62"/>
      <c r="Z1977" s="62"/>
      <c r="AA1977" s="62"/>
      <c r="AB1977" s="62"/>
      <c r="AC1977" s="62"/>
    </row>
    <row r="1978" hidden="1">
      <c r="A1978" s="60">
        <f>IFERROR(__xludf.DUMMYFUNCTION("""COMPUTED_VALUE"""),16885.0)</f>
        <v>16885</v>
      </c>
      <c r="B1978" s="60" t="str">
        <f>IFERROR(__xludf.DUMMYFUNCTION("""COMPUTED_VALUE"""),"Codrington, Brandon")</f>
        <v>Codrington, Brandon</v>
      </c>
      <c r="C1978" s="60" t="str">
        <f>IFERROR(__xludf.DUMMYFUNCTION("""COMPUTED_VALUE"""),"CB")</f>
        <v>CB</v>
      </c>
      <c r="D1978" s="60" t="str">
        <f>IFERROR(__xludf.DUMMYFUNCTION("""COMPUTED_VALUE"""),"SFO")</f>
        <v>SFO</v>
      </c>
      <c r="E1978" s="62" t="str">
        <f t="shared" si="4"/>
        <v>Brandon Codrington</v>
      </c>
      <c r="F1978" s="62">
        <f t="shared" ref="F1978:G1978" si="3955">IF(isblank(F$1),,IF(isblank($A1978),,IFERROR(vlookup($A1978,indirect("'TVC-"&amp;text(month(F$1),"00")&amp;"'!$A:$D"),4,false),1)))</f>
        <v>1</v>
      </c>
      <c r="G1978" s="62">
        <f t="shared" si="3955"/>
        <v>1</v>
      </c>
      <c r="H1978" s="62">
        <f t="shared" ref="H1978:Q1978" si="3956">IF(isblank(H$1),,IFERROR(vlookup($A1978,indirect("'TVC-"&amp;text(month(H$1),"00")&amp;"'!$A:$D"),4,false),1))</f>
        <v>1</v>
      </c>
      <c r="I1978" s="62">
        <f t="shared" si="3956"/>
        <v>1</v>
      </c>
      <c r="J1978" s="62">
        <f t="shared" si="3956"/>
        <v>1</v>
      </c>
      <c r="K1978" s="62">
        <f t="shared" si="3956"/>
        <v>1</v>
      </c>
      <c r="L1978" s="62">
        <f t="shared" si="3956"/>
        <v>1</v>
      </c>
      <c r="M1978" s="62">
        <f t="shared" si="3956"/>
        <v>1</v>
      </c>
      <c r="N1978" s="62">
        <f t="shared" si="3956"/>
        <v>1</v>
      </c>
      <c r="O1978" s="62">
        <f t="shared" si="3956"/>
        <v>1</v>
      </c>
      <c r="P1978" s="62" t="str">
        <f t="shared" si="3956"/>
        <v/>
      </c>
      <c r="Q1978" s="62" t="str">
        <f t="shared" si="3956"/>
        <v/>
      </c>
      <c r="R1978" s="62">
        <f t="shared" si="7"/>
        <v>0</v>
      </c>
      <c r="S1978" s="62"/>
      <c r="T1978" s="62"/>
      <c r="U1978" s="62"/>
      <c r="V1978" s="62"/>
      <c r="W1978" s="62"/>
      <c r="X1978" s="62"/>
      <c r="Y1978" s="62"/>
      <c r="Z1978" s="62"/>
      <c r="AA1978" s="62"/>
      <c r="AB1978" s="62"/>
      <c r="AC1978" s="62"/>
    </row>
    <row r="1979" hidden="1">
      <c r="A1979" s="60">
        <f>IFERROR(__xludf.DUMMYFUNCTION("""COMPUTED_VALUE"""),16886.0)</f>
        <v>16886</v>
      </c>
      <c r="B1979" s="60" t="str">
        <f>IFERROR(__xludf.DUMMYFUNCTION("""COMPUTED_VALUE"""),"Hayball, Matthew")</f>
        <v>Hayball, Matthew</v>
      </c>
      <c r="C1979" s="60" t="str">
        <f>IFERROR(__xludf.DUMMYFUNCTION("""COMPUTED_VALUE"""),"PN")</f>
        <v>PN</v>
      </c>
      <c r="D1979" s="60" t="str">
        <f>IFERROR(__xludf.DUMMYFUNCTION("""COMPUTED_VALUE"""),"FA")</f>
        <v>FA</v>
      </c>
      <c r="E1979" s="62" t="str">
        <f t="shared" si="4"/>
        <v>Matthew Hayball</v>
      </c>
      <c r="F1979" s="62">
        <f t="shared" ref="F1979:G1979" si="3957">IF(isblank(F$1),,IF(isblank($A1979),,IFERROR(vlookup($A1979,indirect("'TVC-"&amp;text(month(F$1),"00")&amp;"'!$A:$D"),4,false),1)))</f>
        <v>1</v>
      </c>
      <c r="G1979" s="62">
        <f t="shared" si="3957"/>
        <v>1</v>
      </c>
      <c r="H1979" s="62">
        <f t="shared" ref="H1979:Q1979" si="3958">IF(isblank(H$1),,IFERROR(vlookup($A1979,indirect("'TVC-"&amp;text(month(H$1),"00")&amp;"'!$A:$D"),4,false),1))</f>
        <v>1</v>
      </c>
      <c r="I1979" s="62">
        <f t="shared" si="3958"/>
        <v>1</v>
      </c>
      <c r="J1979" s="62">
        <f t="shared" si="3958"/>
        <v>1</v>
      </c>
      <c r="K1979" s="62">
        <f t="shared" si="3958"/>
        <v>1</v>
      </c>
      <c r="L1979" s="62">
        <f t="shared" si="3958"/>
        <v>1</v>
      </c>
      <c r="M1979" s="62">
        <f t="shared" si="3958"/>
        <v>1</v>
      </c>
      <c r="N1979" s="62">
        <f t="shared" si="3958"/>
        <v>1</v>
      </c>
      <c r="O1979" s="62">
        <f t="shared" si="3958"/>
        <v>1</v>
      </c>
      <c r="P1979" s="62" t="str">
        <f t="shared" si="3958"/>
        <v/>
      </c>
      <c r="Q1979" s="62" t="str">
        <f t="shared" si="3958"/>
        <v/>
      </c>
      <c r="R1979" s="62">
        <f t="shared" si="7"/>
        <v>0</v>
      </c>
      <c r="S1979" s="62"/>
      <c r="T1979" s="62"/>
      <c r="U1979" s="62"/>
      <c r="V1979" s="62"/>
      <c r="W1979" s="62"/>
      <c r="X1979" s="62"/>
      <c r="Y1979" s="62"/>
      <c r="Z1979" s="62"/>
      <c r="AA1979" s="62"/>
      <c r="AB1979" s="62"/>
      <c r="AC1979" s="62"/>
    </row>
    <row r="1980" hidden="1">
      <c r="A1980" s="60">
        <f>IFERROR(__xludf.DUMMYFUNCTION("""COMPUTED_VALUE"""),16887.0)</f>
        <v>16887</v>
      </c>
      <c r="B1980" s="60" t="str">
        <f>IFERROR(__xludf.DUMMYFUNCTION("""COMPUTED_VALUE"""),"Rehkow, Ryan")</f>
        <v>Rehkow, Ryan</v>
      </c>
      <c r="C1980" s="60" t="str">
        <f>IFERROR(__xludf.DUMMYFUNCTION("""COMPUTED_VALUE"""),"PN")</f>
        <v>PN</v>
      </c>
      <c r="D1980" s="60" t="str">
        <f>IFERROR(__xludf.DUMMYFUNCTION("""COMPUTED_VALUE"""),"CIN")</f>
        <v>CIN</v>
      </c>
      <c r="E1980" s="62" t="str">
        <f t="shared" si="4"/>
        <v>Ryan Rehkow</v>
      </c>
      <c r="F1980" s="62">
        <f t="shared" ref="F1980:G1980" si="3959">IF(isblank(F$1),,IF(isblank($A1980),,IFERROR(vlookup($A1980,indirect("'TVC-"&amp;text(month(F$1),"00")&amp;"'!$A:$D"),4,false),1)))</f>
        <v>1</v>
      </c>
      <c r="G1980" s="62">
        <f t="shared" si="3959"/>
        <v>1</v>
      </c>
      <c r="H1980" s="62">
        <f t="shared" ref="H1980:Q1980" si="3960">IF(isblank(H$1),,IFERROR(vlookup($A1980,indirect("'TVC-"&amp;text(month(H$1),"00")&amp;"'!$A:$D"),4,false),1))</f>
        <v>1</v>
      </c>
      <c r="I1980" s="62">
        <f t="shared" si="3960"/>
        <v>1</v>
      </c>
      <c r="J1980" s="62">
        <f t="shared" si="3960"/>
        <v>1</v>
      </c>
      <c r="K1980" s="62">
        <f t="shared" si="3960"/>
        <v>1</v>
      </c>
      <c r="L1980" s="62">
        <f t="shared" si="3960"/>
        <v>1</v>
      </c>
      <c r="M1980" s="62">
        <f t="shared" si="3960"/>
        <v>1</v>
      </c>
      <c r="N1980" s="62">
        <f t="shared" si="3960"/>
        <v>1</v>
      </c>
      <c r="O1980" s="62">
        <f t="shared" si="3960"/>
        <v>1</v>
      </c>
      <c r="P1980" s="62" t="str">
        <f t="shared" si="3960"/>
        <v/>
      </c>
      <c r="Q1980" s="62" t="str">
        <f t="shared" si="3960"/>
        <v/>
      </c>
      <c r="R1980" s="62">
        <f t="shared" si="7"/>
        <v>0</v>
      </c>
      <c r="S1980" s="62"/>
      <c r="T1980" s="62"/>
      <c r="U1980" s="62"/>
      <c r="V1980" s="62"/>
      <c r="W1980" s="62"/>
      <c r="X1980" s="62"/>
      <c r="Y1980" s="62"/>
      <c r="Z1980" s="62"/>
      <c r="AA1980" s="62"/>
      <c r="AB1980" s="62"/>
      <c r="AC1980" s="62"/>
    </row>
    <row r="1981" hidden="1">
      <c r="A1981" s="60">
        <f>IFERROR(__xludf.DUMMYFUNCTION("""COMPUTED_VALUE"""),16889.0)</f>
        <v>16889</v>
      </c>
      <c r="B1981" s="60" t="str">
        <f>IFERROR(__xludf.DUMMYFUNCTION("""COMPUTED_VALUE"""),"Duck, Storm")</f>
        <v>Duck, Storm</v>
      </c>
      <c r="C1981" s="60" t="str">
        <f>IFERROR(__xludf.DUMMYFUNCTION("""COMPUTED_VALUE"""),"CB")</f>
        <v>CB</v>
      </c>
      <c r="D1981" s="60" t="str">
        <f>IFERROR(__xludf.DUMMYFUNCTION("""COMPUTED_VALUE"""),"MIA")</f>
        <v>MIA</v>
      </c>
      <c r="E1981" s="62" t="str">
        <f t="shared" si="4"/>
        <v>Storm Duck</v>
      </c>
      <c r="F1981" s="62">
        <f t="shared" ref="F1981:G1981" si="3961">IF(isblank(F$1),,IF(isblank($A1981),,IFERROR(vlookup($A1981,indirect("'TVC-"&amp;text(month(F$1),"00")&amp;"'!$A:$D"),4,false),1)))</f>
        <v>1</v>
      </c>
      <c r="G1981" s="62">
        <f t="shared" si="3961"/>
        <v>1</v>
      </c>
      <c r="H1981" s="62">
        <f t="shared" ref="H1981:Q1981" si="3962">IF(isblank(H$1),,IFERROR(vlookup($A1981,indirect("'TVC-"&amp;text(month(H$1),"00")&amp;"'!$A:$D"),4,false),1))</f>
        <v>1</v>
      </c>
      <c r="I1981" s="62">
        <f t="shared" si="3962"/>
        <v>1</v>
      </c>
      <c r="J1981" s="62">
        <f t="shared" si="3962"/>
        <v>1</v>
      </c>
      <c r="K1981" s="62">
        <f t="shared" si="3962"/>
        <v>1</v>
      </c>
      <c r="L1981" s="62">
        <f t="shared" si="3962"/>
        <v>1</v>
      </c>
      <c r="M1981" s="62">
        <f t="shared" si="3962"/>
        <v>1</v>
      </c>
      <c r="N1981" s="62">
        <f t="shared" si="3962"/>
        <v>1</v>
      </c>
      <c r="O1981" s="62">
        <f t="shared" si="3962"/>
        <v>1</v>
      </c>
      <c r="P1981" s="62" t="str">
        <f t="shared" si="3962"/>
        <v/>
      </c>
      <c r="Q1981" s="62" t="str">
        <f t="shared" si="3962"/>
        <v/>
      </c>
      <c r="R1981" s="62">
        <f t="shared" si="7"/>
        <v>0</v>
      </c>
      <c r="S1981" s="62"/>
      <c r="T1981" s="62"/>
      <c r="U1981" s="62"/>
      <c r="V1981" s="62"/>
      <c r="W1981" s="62"/>
      <c r="X1981" s="62"/>
      <c r="Y1981" s="62"/>
      <c r="Z1981" s="62"/>
      <c r="AA1981" s="62"/>
      <c r="AB1981" s="62"/>
      <c r="AC1981" s="62"/>
    </row>
    <row r="1982" hidden="1">
      <c r="A1982" s="60">
        <f>IFERROR(__xludf.DUMMYFUNCTION("""COMPUTED_VALUE"""),16890.0)</f>
        <v>16890</v>
      </c>
      <c r="B1982" s="60" t="str">
        <f>IFERROR(__xludf.DUMMYFUNCTION("""COMPUTED_VALUE"""),"McGlothern, Dwight")</f>
        <v>McGlothern, Dwight</v>
      </c>
      <c r="C1982" s="60" t="str">
        <f>IFERROR(__xludf.DUMMYFUNCTION("""COMPUTED_VALUE"""),"CB")</f>
        <v>CB</v>
      </c>
      <c r="D1982" s="60" t="str">
        <f>IFERROR(__xludf.DUMMYFUNCTION("""COMPUTED_VALUE"""),"FA")</f>
        <v>FA</v>
      </c>
      <c r="E1982" s="62" t="str">
        <f t="shared" si="4"/>
        <v>Dwight McGlothern</v>
      </c>
      <c r="F1982" s="62">
        <f t="shared" ref="F1982:G1982" si="3963">IF(isblank(F$1),,IF(isblank($A1982),,IFERROR(vlookup($A1982,indirect("'TVC-"&amp;text(month(F$1),"00")&amp;"'!$A:$D"),4,false),1)))</f>
        <v>1</v>
      </c>
      <c r="G1982" s="62">
        <f t="shared" si="3963"/>
        <v>1</v>
      </c>
      <c r="H1982" s="62">
        <f t="shared" ref="H1982:Q1982" si="3964">IF(isblank(H$1),,IFERROR(vlookup($A1982,indirect("'TVC-"&amp;text(month(H$1),"00")&amp;"'!$A:$D"),4,false),1))</f>
        <v>1</v>
      </c>
      <c r="I1982" s="62">
        <f t="shared" si="3964"/>
        <v>1</v>
      </c>
      <c r="J1982" s="62">
        <f t="shared" si="3964"/>
        <v>1</v>
      </c>
      <c r="K1982" s="62">
        <f t="shared" si="3964"/>
        <v>1</v>
      </c>
      <c r="L1982" s="62">
        <f t="shared" si="3964"/>
        <v>1</v>
      </c>
      <c r="M1982" s="62">
        <f t="shared" si="3964"/>
        <v>1</v>
      </c>
      <c r="N1982" s="62">
        <f t="shared" si="3964"/>
        <v>1</v>
      </c>
      <c r="O1982" s="62">
        <f t="shared" si="3964"/>
        <v>1</v>
      </c>
      <c r="P1982" s="62" t="str">
        <f t="shared" si="3964"/>
        <v/>
      </c>
      <c r="Q1982" s="62" t="str">
        <f t="shared" si="3964"/>
        <v/>
      </c>
      <c r="R1982" s="62">
        <f t="shared" si="7"/>
        <v>0</v>
      </c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</row>
    <row r="1983" hidden="1">
      <c r="A1983" s="60">
        <f>IFERROR(__xludf.DUMMYFUNCTION("""COMPUTED_VALUE"""),16894.0)</f>
        <v>16894</v>
      </c>
      <c r="B1983" s="60" t="str">
        <f>IFERROR(__xludf.DUMMYFUNCTION("""COMPUTED_VALUE"""),"McGregor, Braiden")</f>
        <v>McGregor, Braiden</v>
      </c>
      <c r="C1983" s="60" t="str">
        <f>IFERROR(__xludf.DUMMYFUNCTION("""COMPUTED_VALUE"""),"DE")</f>
        <v>DE</v>
      </c>
      <c r="D1983" s="60" t="str">
        <f>IFERROR(__xludf.DUMMYFUNCTION("""COMPUTED_VALUE"""),"NYJ")</f>
        <v>NYJ</v>
      </c>
      <c r="E1983" s="62" t="str">
        <f t="shared" si="4"/>
        <v>Braiden McGregor</v>
      </c>
      <c r="F1983" s="62">
        <f t="shared" ref="F1983:G1983" si="3965">IF(isblank(F$1),,IF(isblank($A1983),,IFERROR(vlookup($A1983,indirect("'TVC-"&amp;text(month(F$1),"00")&amp;"'!$A:$D"),4,false),1)))</f>
        <v>1</v>
      </c>
      <c r="G1983" s="62">
        <f t="shared" si="3965"/>
        <v>1</v>
      </c>
      <c r="H1983" s="62">
        <f t="shared" ref="H1983:Q1983" si="3966">IF(isblank(H$1),,IFERROR(vlookup($A1983,indirect("'TVC-"&amp;text(month(H$1),"00")&amp;"'!$A:$D"),4,false),1))</f>
        <v>1</v>
      </c>
      <c r="I1983" s="62">
        <f t="shared" si="3966"/>
        <v>1</v>
      </c>
      <c r="J1983" s="62">
        <f t="shared" si="3966"/>
        <v>1</v>
      </c>
      <c r="K1983" s="62">
        <f t="shared" si="3966"/>
        <v>1</v>
      </c>
      <c r="L1983" s="62">
        <f t="shared" si="3966"/>
        <v>1</v>
      </c>
      <c r="M1983" s="62">
        <f t="shared" si="3966"/>
        <v>1</v>
      </c>
      <c r="N1983" s="62">
        <f t="shared" si="3966"/>
        <v>1</v>
      </c>
      <c r="O1983" s="62">
        <f t="shared" si="3966"/>
        <v>1</v>
      </c>
      <c r="P1983" s="62" t="str">
        <f t="shared" si="3966"/>
        <v/>
      </c>
      <c r="Q1983" s="62" t="str">
        <f t="shared" si="3966"/>
        <v/>
      </c>
      <c r="R1983" s="62">
        <f t="shared" si="7"/>
        <v>0</v>
      </c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</row>
    <row r="1984" hidden="1">
      <c r="A1984" s="60">
        <f>IFERROR(__xludf.DUMMYFUNCTION("""COMPUTED_VALUE"""),16896.0)</f>
        <v>16896</v>
      </c>
      <c r="B1984" s="60" t="str">
        <f>IFERROR(__xludf.DUMMYFUNCTION("""COMPUTED_VALUE"""),"Shrader, Spencer")</f>
        <v>Shrader, Spencer</v>
      </c>
      <c r="C1984" s="60" t="str">
        <f>IFERROR(__xludf.DUMMYFUNCTION("""COMPUTED_VALUE"""),"PK")</f>
        <v>PK</v>
      </c>
      <c r="D1984" s="60" t="str">
        <f>IFERROR(__xludf.DUMMYFUNCTION("""COMPUTED_VALUE"""),"IND")</f>
        <v>IND</v>
      </c>
      <c r="E1984" s="62" t="str">
        <f t="shared" si="4"/>
        <v>Spencer Shrader</v>
      </c>
      <c r="F1984" s="62">
        <f t="shared" ref="F1984:G1984" si="3967">IF(isblank(F$1),,IF(isblank($A1984),,IFERROR(vlookup($A1984,indirect("'TVC-"&amp;text(month(F$1),"00")&amp;"'!$A:$D"),4,false),1)))</f>
        <v>1</v>
      </c>
      <c r="G1984" s="62">
        <f t="shared" si="3967"/>
        <v>1</v>
      </c>
      <c r="H1984" s="62">
        <f t="shared" ref="H1984:Q1984" si="3968">IF(isblank(H$1),,IFERROR(vlookup($A1984,indirect("'TVC-"&amp;text(month(H$1),"00")&amp;"'!$A:$D"),4,false),1))</f>
        <v>1</v>
      </c>
      <c r="I1984" s="62">
        <f t="shared" si="3968"/>
        <v>1</v>
      </c>
      <c r="J1984" s="62">
        <f t="shared" si="3968"/>
        <v>1</v>
      </c>
      <c r="K1984" s="62">
        <f t="shared" si="3968"/>
        <v>1</v>
      </c>
      <c r="L1984" s="62">
        <f t="shared" si="3968"/>
        <v>1</v>
      </c>
      <c r="M1984" s="62">
        <f t="shared" si="3968"/>
        <v>1</v>
      </c>
      <c r="N1984" s="62">
        <f t="shared" si="3968"/>
        <v>1</v>
      </c>
      <c r="O1984" s="62">
        <f t="shared" si="3968"/>
        <v>1</v>
      </c>
      <c r="P1984" s="62" t="str">
        <f t="shared" si="3968"/>
        <v/>
      </c>
      <c r="Q1984" s="62" t="str">
        <f t="shared" si="3968"/>
        <v/>
      </c>
      <c r="R1984" s="62">
        <f t="shared" si="7"/>
        <v>0</v>
      </c>
      <c r="S1984" s="62"/>
      <c r="T1984" s="62"/>
      <c r="U1984" s="62"/>
      <c r="V1984" s="62"/>
      <c r="W1984" s="62"/>
      <c r="X1984" s="62"/>
      <c r="Y1984" s="62"/>
      <c r="Z1984" s="62"/>
      <c r="AA1984" s="62"/>
      <c r="AB1984" s="62"/>
      <c r="AC1984" s="62"/>
    </row>
    <row r="1985" hidden="1">
      <c r="A1985" s="60">
        <f>IFERROR(__xludf.DUMMYFUNCTION("""COMPUTED_VALUE"""),16898.0)</f>
        <v>16898</v>
      </c>
      <c r="B1985" s="60" t="str">
        <f>IFERROR(__xludf.DUMMYFUNCTION("""COMPUTED_VALUE"""),"Yankoff, Colson")</f>
        <v>Yankoff, Colson</v>
      </c>
      <c r="C1985" s="60" t="str">
        <f>IFERROR(__xludf.DUMMYFUNCTION("""COMPUTED_VALUE"""),"TE")</f>
        <v>TE</v>
      </c>
      <c r="D1985" s="60" t="str">
        <f>IFERROR(__xludf.DUMMYFUNCTION("""COMPUTED_VALUE"""),"WAS")</f>
        <v>WAS</v>
      </c>
      <c r="E1985" s="62" t="str">
        <f t="shared" si="4"/>
        <v>Colson Yankoff</v>
      </c>
      <c r="F1985" s="62">
        <f t="shared" ref="F1985:G1985" si="3969">IF(isblank(F$1),,IF(isblank($A1985),,IFERROR(vlookup($A1985,indirect("'TVC-"&amp;text(month(F$1),"00")&amp;"'!$A:$D"),4,false),1)))</f>
        <v>1</v>
      </c>
      <c r="G1985" s="62">
        <f t="shared" si="3969"/>
        <v>1</v>
      </c>
      <c r="H1985" s="62">
        <f t="shared" ref="H1985:Q1985" si="3970">IF(isblank(H$1),,IFERROR(vlookup($A1985,indirect("'TVC-"&amp;text(month(H$1),"00")&amp;"'!$A:$D"),4,false),1))</f>
        <v>1</v>
      </c>
      <c r="I1985" s="62">
        <f t="shared" si="3970"/>
        <v>1</v>
      </c>
      <c r="J1985" s="62">
        <f t="shared" si="3970"/>
        <v>1</v>
      </c>
      <c r="K1985" s="62">
        <f t="shared" si="3970"/>
        <v>1</v>
      </c>
      <c r="L1985" s="62">
        <f t="shared" si="3970"/>
        <v>1</v>
      </c>
      <c r="M1985" s="62">
        <f t="shared" si="3970"/>
        <v>1</v>
      </c>
      <c r="N1985" s="62">
        <f t="shared" si="3970"/>
        <v>1</v>
      </c>
      <c r="O1985" s="62">
        <f t="shared" si="3970"/>
        <v>1</v>
      </c>
      <c r="P1985" s="62" t="str">
        <f t="shared" si="3970"/>
        <v/>
      </c>
      <c r="Q1985" s="62" t="str">
        <f t="shared" si="3970"/>
        <v/>
      </c>
      <c r="R1985" s="62">
        <f t="shared" si="7"/>
        <v>0</v>
      </c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</row>
    <row r="1986" hidden="1">
      <c r="A1986" s="60">
        <f>IFERROR(__xludf.DUMMYFUNCTION("""COMPUTED_VALUE"""),16900.0)</f>
        <v>16900</v>
      </c>
      <c r="B1986" s="60" t="str">
        <f>IFERROR(__xludf.DUMMYFUNCTION("""COMPUTED_VALUE"""),"Pettus, Dell")</f>
        <v>Pettus, Dell</v>
      </c>
      <c r="C1986" s="60" t="str">
        <f>IFERROR(__xludf.DUMMYFUNCTION("""COMPUTED_VALUE"""),"S")</f>
        <v>S</v>
      </c>
      <c r="D1986" s="60" t="str">
        <f>IFERROR(__xludf.DUMMYFUNCTION("""COMPUTED_VALUE"""),"NEP")</f>
        <v>NEP</v>
      </c>
      <c r="E1986" s="62" t="str">
        <f t="shared" si="4"/>
        <v>Dell Pettus</v>
      </c>
      <c r="F1986" s="62">
        <f t="shared" ref="F1986:G1986" si="3971">IF(isblank(F$1),,IF(isblank($A1986),,IFERROR(vlookup($A1986,indirect("'TVC-"&amp;text(month(F$1),"00")&amp;"'!$A:$D"),4,false),1)))</f>
        <v>1</v>
      </c>
      <c r="G1986" s="62">
        <f t="shared" si="3971"/>
        <v>1</v>
      </c>
      <c r="H1986" s="62">
        <f t="shared" ref="H1986:Q1986" si="3972">IF(isblank(H$1),,IFERROR(vlookup($A1986,indirect("'TVC-"&amp;text(month(H$1),"00")&amp;"'!$A:$D"),4,false),1))</f>
        <v>1</v>
      </c>
      <c r="I1986" s="62">
        <f t="shared" si="3972"/>
        <v>1</v>
      </c>
      <c r="J1986" s="62">
        <f t="shared" si="3972"/>
        <v>1</v>
      </c>
      <c r="K1986" s="62">
        <f t="shared" si="3972"/>
        <v>1</v>
      </c>
      <c r="L1986" s="62">
        <f t="shared" si="3972"/>
        <v>1</v>
      </c>
      <c r="M1986" s="62">
        <f t="shared" si="3972"/>
        <v>1</v>
      </c>
      <c r="N1986" s="62">
        <f t="shared" si="3972"/>
        <v>1</v>
      </c>
      <c r="O1986" s="62">
        <f t="shared" si="3972"/>
        <v>1</v>
      </c>
      <c r="P1986" s="62" t="str">
        <f t="shared" si="3972"/>
        <v/>
      </c>
      <c r="Q1986" s="62" t="str">
        <f t="shared" si="3972"/>
        <v/>
      </c>
      <c r="R1986" s="62">
        <f t="shared" si="7"/>
        <v>0</v>
      </c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</row>
    <row r="1987" hidden="1">
      <c r="A1987" s="60">
        <f>IFERROR(__xludf.DUMMYFUNCTION("""COMPUTED_VALUE"""),16907.0)</f>
        <v>16907</v>
      </c>
      <c r="B1987" s="60" t="str">
        <f>IFERROR(__xludf.DUMMYFUNCTION("""COMPUTED_VALUE"""),"Roland-Wallace, Chris")</f>
        <v>Roland-Wallace, Chris</v>
      </c>
      <c r="C1987" s="60" t="str">
        <f>IFERROR(__xludf.DUMMYFUNCTION("""COMPUTED_VALUE"""),"CB")</f>
        <v>CB</v>
      </c>
      <c r="D1987" s="60" t="str">
        <f>IFERROR(__xludf.DUMMYFUNCTION("""COMPUTED_VALUE"""),"KCC")</f>
        <v>KCC</v>
      </c>
      <c r="E1987" s="62" t="str">
        <f t="shared" si="4"/>
        <v>Chris Roland-Wallace</v>
      </c>
      <c r="F1987" s="62">
        <f t="shared" ref="F1987:G1987" si="3973">IF(isblank(F$1),,IF(isblank($A1987),,IFERROR(vlookup($A1987,indirect("'TVC-"&amp;text(month(F$1),"00")&amp;"'!$A:$D"),4,false),1)))</f>
        <v>1</v>
      </c>
      <c r="G1987" s="62">
        <f t="shared" si="3973"/>
        <v>1</v>
      </c>
      <c r="H1987" s="62">
        <f t="shared" ref="H1987:Q1987" si="3974">IF(isblank(H$1),,IFERROR(vlookup($A1987,indirect("'TVC-"&amp;text(month(H$1),"00")&amp;"'!$A:$D"),4,false),1))</f>
        <v>1</v>
      </c>
      <c r="I1987" s="62">
        <f t="shared" si="3974"/>
        <v>1</v>
      </c>
      <c r="J1987" s="62">
        <f t="shared" si="3974"/>
        <v>1</v>
      </c>
      <c r="K1987" s="62">
        <f t="shared" si="3974"/>
        <v>1</v>
      </c>
      <c r="L1987" s="62">
        <f t="shared" si="3974"/>
        <v>1</v>
      </c>
      <c r="M1987" s="62">
        <f t="shared" si="3974"/>
        <v>1</v>
      </c>
      <c r="N1987" s="62">
        <f t="shared" si="3974"/>
        <v>1</v>
      </c>
      <c r="O1987" s="62">
        <f t="shared" si="3974"/>
        <v>1</v>
      </c>
      <c r="P1987" s="62" t="str">
        <f t="shared" si="3974"/>
        <v/>
      </c>
      <c r="Q1987" s="62" t="str">
        <f t="shared" si="3974"/>
        <v/>
      </c>
      <c r="R1987" s="62">
        <f t="shared" si="7"/>
        <v>0</v>
      </c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</row>
    <row r="1988">
      <c r="A1988" s="60">
        <f>IFERROR(__xludf.DUMMYFUNCTION("""COMPUTED_VALUE"""),16911.0)</f>
        <v>16911</v>
      </c>
      <c r="B1988" s="60" t="str">
        <f>IFERROR(__xludf.DUMMYFUNCTION("""COMPUTED_VALUE"""),"Stalbird, Isaiah")</f>
        <v>Stalbird, Isaiah</v>
      </c>
      <c r="C1988" s="60" t="str">
        <f>IFERROR(__xludf.DUMMYFUNCTION("""COMPUTED_VALUE"""),"LB")</f>
        <v>LB</v>
      </c>
      <c r="D1988" s="60" t="str">
        <f>IFERROR(__xludf.DUMMYFUNCTION("""COMPUTED_VALUE"""),"NOS")</f>
        <v>NOS</v>
      </c>
      <c r="E1988" s="62" t="str">
        <f t="shared" si="4"/>
        <v>Isaiah Stalbird</v>
      </c>
      <c r="F1988" s="62">
        <f t="shared" ref="F1988:G1988" si="3975">IF(isblank(F$1),,IF(isblank($A1988),,IFERROR(vlookup($A1988,indirect("'TVC-"&amp;text(month(F$1),"00")&amp;"'!$A:$D"),4,false),1)))</f>
        <v>1</v>
      </c>
      <c r="G1988" s="62">
        <f t="shared" si="3975"/>
        <v>1</v>
      </c>
      <c r="H1988" s="62">
        <f t="shared" ref="H1988:Q1988" si="3976">IF(isblank(H$1),,IFERROR(vlookup($A1988,indirect("'TVC-"&amp;text(month(H$1),"00")&amp;"'!$A:$D"),4,false),1))</f>
        <v>1</v>
      </c>
      <c r="I1988" s="62">
        <f t="shared" si="3976"/>
        <v>1</v>
      </c>
      <c r="J1988" s="62">
        <f t="shared" si="3976"/>
        <v>1</v>
      </c>
      <c r="K1988" s="62">
        <f t="shared" si="3976"/>
        <v>1</v>
      </c>
      <c r="L1988" s="62">
        <f t="shared" si="3976"/>
        <v>1</v>
      </c>
      <c r="M1988" s="62">
        <f t="shared" si="3976"/>
        <v>1</v>
      </c>
      <c r="N1988" s="62">
        <f t="shared" si="3976"/>
        <v>1</v>
      </c>
      <c r="O1988" s="62">
        <f t="shared" si="3976"/>
        <v>1</v>
      </c>
      <c r="P1988" s="62" t="str">
        <f t="shared" si="3976"/>
        <v/>
      </c>
      <c r="Q1988" s="62" t="str">
        <f t="shared" si="3976"/>
        <v/>
      </c>
      <c r="R1988" s="62">
        <f t="shared" si="7"/>
        <v>0</v>
      </c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</row>
    <row r="1989">
      <c r="A1989" s="60">
        <f>IFERROR(__xludf.DUMMYFUNCTION("""COMPUTED_VALUE"""),16912.0)</f>
        <v>16912</v>
      </c>
      <c r="B1989" s="60" t="str">
        <f>IFERROR(__xludf.DUMMYFUNCTION("""COMPUTED_VALUE"""),"McCollough, Jaylen")</f>
        <v>McCollough, Jaylen</v>
      </c>
      <c r="C1989" s="60" t="str">
        <f>IFERROR(__xludf.DUMMYFUNCTION("""COMPUTED_VALUE"""),"S")</f>
        <v>S</v>
      </c>
      <c r="D1989" s="60" t="str">
        <f>IFERROR(__xludf.DUMMYFUNCTION("""COMPUTED_VALUE"""),"LAR")</f>
        <v>LAR</v>
      </c>
      <c r="E1989" s="62" t="str">
        <f t="shared" si="4"/>
        <v>Jaylen McCollough</v>
      </c>
      <c r="F1989" s="62">
        <f t="shared" ref="F1989:G1989" si="3977">IF(isblank(F$1),,IF(isblank($A1989),,IFERROR(vlookup($A1989,indirect("'TVC-"&amp;text(month(F$1),"00")&amp;"'!$A:$D"),4,false),1)))</f>
        <v>1</v>
      </c>
      <c r="G1989" s="62">
        <f t="shared" si="3977"/>
        <v>1</v>
      </c>
      <c r="H1989" s="62">
        <f t="shared" ref="H1989:Q1989" si="3978">IF(isblank(H$1),,IFERROR(vlookup($A1989,indirect("'TVC-"&amp;text(month(H$1),"00")&amp;"'!$A:$D"),4,false),1))</f>
        <v>1</v>
      </c>
      <c r="I1989" s="62">
        <f t="shared" si="3978"/>
        <v>1</v>
      </c>
      <c r="J1989" s="62">
        <f t="shared" si="3978"/>
        <v>1</v>
      </c>
      <c r="K1989" s="62">
        <f t="shared" si="3978"/>
        <v>1</v>
      </c>
      <c r="L1989" s="62">
        <f t="shared" si="3978"/>
        <v>1</v>
      </c>
      <c r="M1989" s="62">
        <f t="shared" si="3978"/>
        <v>1</v>
      </c>
      <c r="N1989" s="62">
        <f t="shared" si="3978"/>
        <v>1</v>
      </c>
      <c r="O1989" s="62">
        <f t="shared" si="3978"/>
        <v>1</v>
      </c>
      <c r="P1989" s="62" t="str">
        <f t="shared" si="3978"/>
        <v/>
      </c>
      <c r="Q1989" s="62" t="str">
        <f t="shared" si="3978"/>
        <v/>
      </c>
      <c r="R1989" s="62">
        <f t="shared" si="7"/>
        <v>0</v>
      </c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</row>
    <row r="1990">
      <c r="A1990" s="60">
        <f>IFERROR(__xludf.DUMMYFUNCTION("""COMPUTED_VALUE"""),16913.0)</f>
        <v>16913</v>
      </c>
      <c r="B1990" s="60" t="str">
        <f>IFERROR(__xludf.DUMMYFUNCTION("""COMPUTED_VALUE"""),"Woods, Charles")</f>
        <v>Woods, Charles</v>
      </c>
      <c r="C1990" s="60" t="str">
        <f>IFERROR(__xludf.DUMMYFUNCTION("""COMPUTED_VALUE"""),"CB")</f>
        <v>CB</v>
      </c>
      <c r="D1990" s="60" t="str">
        <f>IFERROR(__xludf.DUMMYFUNCTION("""COMPUTED_VALUE"""),"NEP")</f>
        <v>NEP</v>
      </c>
      <c r="E1990" s="62" t="str">
        <f t="shared" si="4"/>
        <v>Charles Woods</v>
      </c>
      <c r="F1990" s="62">
        <f t="shared" ref="F1990:G1990" si="3979">IF(isblank(F$1),,IF(isblank($A1990),,IFERROR(vlookup($A1990,indirect("'TVC-"&amp;text(month(F$1),"00")&amp;"'!$A:$D"),4,false),1)))</f>
        <v>1</v>
      </c>
      <c r="G1990" s="62">
        <f t="shared" si="3979"/>
        <v>1</v>
      </c>
      <c r="H1990" s="62">
        <f t="shared" ref="H1990:Q1990" si="3980">IF(isblank(H$1),,IFERROR(vlookup($A1990,indirect("'TVC-"&amp;text(month(H$1),"00")&amp;"'!$A:$D"),4,false),1))</f>
        <v>1</v>
      </c>
      <c r="I1990" s="62">
        <f t="shared" si="3980"/>
        <v>1</v>
      </c>
      <c r="J1990" s="62">
        <f t="shared" si="3980"/>
        <v>1</v>
      </c>
      <c r="K1990" s="62">
        <f t="shared" si="3980"/>
        <v>1</v>
      </c>
      <c r="L1990" s="62">
        <f t="shared" si="3980"/>
        <v>1</v>
      </c>
      <c r="M1990" s="62">
        <f t="shared" si="3980"/>
        <v>1</v>
      </c>
      <c r="N1990" s="62">
        <f t="shared" si="3980"/>
        <v>1</v>
      </c>
      <c r="O1990" s="62">
        <f t="shared" si="3980"/>
        <v>1</v>
      </c>
      <c r="P1990" s="62" t="str">
        <f t="shared" si="3980"/>
        <v/>
      </c>
      <c r="Q1990" s="62" t="str">
        <f t="shared" si="3980"/>
        <v/>
      </c>
      <c r="R1990" s="62">
        <f t="shared" si="7"/>
        <v>0</v>
      </c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</row>
    <row r="1991">
      <c r="A1991" s="60">
        <f>IFERROR(__xludf.DUMMYFUNCTION("""COMPUTED_VALUE"""),16919.0)</f>
        <v>16919</v>
      </c>
      <c r="B1991" s="60" t="str">
        <f>IFERROR(__xludf.DUMMYFUNCTION("""COMPUTED_VALUE"""),"Jenkins, E.J.")</f>
        <v>Jenkins, E.J.</v>
      </c>
      <c r="C1991" s="60" t="str">
        <f>IFERROR(__xludf.DUMMYFUNCTION("""COMPUTED_VALUE"""),"TE")</f>
        <v>TE</v>
      </c>
      <c r="D1991" s="60" t="str">
        <f>IFERROR(__xludf.DUMMYFUNCTION("""COMPUTED_VALUE"""),"PHI")</f>
        <v>PHI</v>
      </c>
      <c r="E1991" s="62" t="str">
        <f t="shared" si="4"/>
        <v>E.J. Jenkins</v>
      </c>
      <c r="F1991" s="62">
        <f t="shared" ref="F1991:G1991" si="3981">IF(isblank(F$1),,IF(isblank($A1991),,IFERROR(vlookup($A1991,indirect("'TVC-"&amp;text(month(F$1),"00")&amp;"'!$A:$D"),4,false),1)))</f>
        <v>1</v>
      </c>
      <c r="G1991" s="62">
        <f t="shared" si="3981"/>
        <v>1</v>
      </c>
      <c r="H1991" s="62">
        <f t="shared" ref="H1991:Q1991" si="3982">IF(isblank(H$1),,IFERROR(vlookup($A1991,indirect("'TVC-"&amp;text(month(H$1),"00")&amp;"'!$A:$D"),4,false),1))</f>
        <v>1</v>
      </c>
      <c r="I1991" s="62">
        <f t="shared" si="3982"/>
        <v>1</v>
      </c>
      <c r="J1991" s="62">
        <f t="shared" si="3982"/>
        <v>1</v>
      </c>
      <c r="K1991" s="62">
        <f t="shared" si="3982"/>
        <v>1</v>
      </c>
      <c r="L1991" s="62">
        <f t="shared" si="3982"/>
        <v>1</v>
      </c>
      <c r="M1991" s="62">
        <f t="shared" si="3982"/>
        <v>1</v>
      </c>
      <c r="N1991" s="62">
        <f t="shared" si="3982"/>
        <v>1</v>
      </c>
      <c r="O1991" s="62">
        <f t="shared" si="3982"/>
        <v>1</v>
      </c>
      <c r="P1991" s="62" t="str">
        <f t="shared" si="3982"/>
        <v/>
      </c>
      <c r="Q1991" s="62" t="str">
        <f t="shared" si="3982"/>
        <v/>
      </c>
      <c r="R1991" s="62">
        <f t="shared" si="7"/>
        <v>0</v>
      </c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</row>
    <row r="1992">
      <c r="A1992" s="60">
        <f>IFERROR(__xludf.DUMMYFUNCTION("""COMPUTED_VALUE"""),16922.0)</f>
        <v>16922</v>
      </c>
      <c r="B1992" s="60" t="str">
        <f>IFERROR(__xludf.DUMMYFUNCTION("""COMPUTED_VALUE"""),"Green, Art")</f>
        <v>Green, Art</v>
      </c>
      <c r="C1992" s="60" t="str">
        <f>IFERROR(__xludf.DUMMYFUNCTION("""COMPUTED_VALUE"""),"CB")</f>
        <v>CB</v>
      </c>
      <c r="D1992" s="60" t="str">
        <f>IFERROR(__xludf.DUMMYFUNCTION("""COMPUTED_VALUE"""),"ARI")</f>
        <v>ARI</v>
      </c>
      <c r="E1992" s="62" t="str">
        <f t="shared" si="4"/>
        <v>Art Green</v>
      </c>
      <c r="F1992" s="62">
        <f t="shared" ref="F1992:G1992" si="3983">IF(isblank(F$1),,IF(isblank($A1992),,IFERROR(vlookup($A1992,indirect("'TVC-"&amp;text(month(F$1),"00")&amp;"'!$A:$D"),4,false),1)))</f>
        <v>1</v>
      </c>
      <c r="G1992" s="62">
        <f t="shared" si="3983"/>
        <v>1</v>
      </c>
      <c r="H1992" s="62">
        <f t="shared" ref="H1992:Q1992" si="3984">IF(isblank(H$1),,IFERROR(vlookup($A1992,indirect("'TVC-"&amp;text(month(H$1),"00")&amp;"'!$A:$D"),4,false),1))</f>
        <v>1</v>
      </c>
      <c r="I1992" s="62">
        <f t="shared" si="3984"/>
        <v>1</v>
      </c>
      <c r="J1992" s="62">
        <f t="shared" si="3984"/>
        <v>1</v>
      </c>
      <c r="K1992" s="62">
        <f t="shared" si="3984"/>
        <v>1</v>
      </c>
      <c r="L1992" s="62">
        <f t="shared" si="3984"/>
        <v>1</v>
      </c>
      <c r="M1992" s="62">
        <f t="shared" si="3984"/>
        <v>1</v>
      </c>
      <c r="N1992" s="62">
        <f t="shared" si="3984"/>
        <v>1</v>
      </c>
      <c r="O1992" s="62">
        <f t="shared" si="3984"/>
        <v>1</v>
      </c>
      <c r="P1992" s="62" t="str">
        <f t="shared" si="3984"/>
        <v/>
      </c>
      <c r="Q1992" s="62" t="str">
        <f t="shared" si="3984"/>
        <v/>
      </c>
      <c r="R1992" s="62">
        <f t="shared" si="7"/>
        <v>0</v>
      </c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</row>
    <row r="1993">
      <c r="A1993" s="60">
        <f>IFERROR(__xludf.DUMMYFUNCTION("""COMPUTED_VALUE"""),16923.0)</f>
        <v>16923</v>
      </c>
      <c r="B1993" s="60" t="str">
        <f>IFERROR(__xludf.DUMMYFUNCTION("""COMPUTED_VALUE"""),"Tillman, Dondrea")</f>
        <v>Tillman, Dondrea</v>
      </c>
      <c r="C1993" s="60" t="str">
        <f>IFERROR(__xludf.DUMMYFUNCTION("""COMPUTED_VALUE"""),"DE")</f>
        <v>DE</v>
      </c>
      <c r="D1993" s="60" t="str">
        <f>IFERROR(__xludf.DUMMYFUNCTION("""COMPUTED_VALUE"""),"DEN")</f>
        <v>DEN</v>
      </c>
      <c r="E1993" s="62" t="str">
        <f t="shared" si="4"/>
        <v>Dondrea Tillman</v>
      </c>
      <c r="F1993" s="62">
        <f t="shared" ref="F1993:G1993" si="3985">IF(isblank(F$1),,IF(isblank($A1993),,IFERROR(vlookup($A1993,indirect("'TVC-"&amp;text(month(F$1),"00")&amp;"'!$A:$D"),4,false),1)))</f>
        <v>1</v>
      </c>
      <c r="G1993" s="62">
        <f t="shared" si="3985"/>
        <v>1</v>
      </c>
      <c r="H1993" s="62">
        <f t="shared" ref="H1993:Q1993" si="3986">IF(isblank(H$1),,IFERROR(vlookup($A1993,indirect("'TVC-"&amp;text(month(H$1),"00")&amp;"'!$A:$D"),4,false),1))</f>
        <v>1</v>
      </c>
      <c r="I1993" s="62">
        <f t="shared" si="3986"/>
        <v>1</v>
      </c>
      <c r="J1993" s="62">
        <f t="shared" si="3986"/>
        <v>1</v>
      </c>
      <c r="K1993" s="62">
        <f t="shared" si="3986"/>
        <v>1</v>
      </c>
      <c r="L1993" s="62">
        <f t="shared" si="3986"/>
        <v>1</v>
      </c>
      <c r="M1993" s="62">
        <f t="shared" si="3986"/>
        <v>1</v>
      </c>
      <c r="N1993" s="62">
        <f t="shared" si="3986"/>
        <v>1</v>
      </c>
      <c r="O1993" s="62">
        <f t="shared" si="3986"/>
        <v>1</v>
      </c>
      <c r="P1993" s="62" t="str">
        <f t="shared" si="3986"/>
        <v/>
      </c>
      <c r="Q1993" s="62" t="str">
        <f t="shared" si="3986"/>
        <v/>
      </c>
      <c r="R1993" s="62">
        <f t="shared" si="7"/>
        <v>0</v>
      </c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</row>
    <row r="1994">
      <c r="A1994" s="60">
        <f>IFERROR(__xludf.DUMMYFUNCTION("""COMPUTED_VALUE"""),16926.0)</f>
        <v>16926</v>
      </c>
      <c r="B1994" s="60" t="str">
        <f>IFERROR(__xludf.DUMMYFUNCTION("""COMPUTED_VALUE"""),"Reid, Winston")</f>
        <v>Reid, Winston</v>
      </c>
      <c r="C1994" s="60" t="str">
        <f>IFERROR(__xludf.DUMMYFUNCTION("""COMPUTED_VALUE"""),"LB")</f>
        <v>LB</v>
      </c>
      <c r="D1994" s="60" t="str">
        <f>IFERROR(__xludf.DUMMYFUNCTION("""COMPUTED_VALUE"""),"CLE")</f>
        <v>CLE</v>
      </c>
      <c r="E1994" s="62" t="str">
        <f t="shared" si="4"/>
        <v>Winston Reid</v>
      </c>
      <c r="F1994" s="62">
        <f t="shared" ref="F1994:G1994" si="3987">IF(isblank(F$1),,IF(isblank($A1994),,IFERROR(vlookup($A1994,indirect("'TVC-"&amp;text(month(F$1),"00")&amp;"'!$A:$D"),4,false),1)))</f>
        <v>1</v>
      </c>
      <c r="G1994" s="62">
        <f t="shared" si="3987"/>
        <v>1</v>
      </c>
      <c r="H1994" s="62">
        <f t="shared" ref="H1994:Q1994" si="3988">IF(isblank(H$1),,IFERROR(vlookup($A1994,indirect("'TVC-"&amp;text(month(H$1),"00")&amp;"'!$A:$D"),4,false),1))</f>
        <v>1</v>
      </c>
      <c r="I1994" s="62">
        <f t="shared" si="3988"/>
        <v>1</v>
      </c>
      <c r="J1994" s="62">
        <f t="shared" si="3988"/>
        <v>1</v>
      </c>
      <c r="K1994" s="62">
        <f t="shared" si="3988"/>
        <v>1</v>
      </c>
      <c r="L1994" s="62">
        <f t="shared" si="3988"/>
        <v>1</v>
      </c>
      <c r="M1994" s="62">
        <f t="shared" si="3988"/>
        <v>1</v>
      </c>
      <c r="N1994" s="62">
        <f t="shared" si="3988"/>
        <v>1</v>
      </c>
      <c r="O1994" s="62">
        <f t="shared" si="3988"/>
        <v>1</v>
      </c>
      <c r="P1994" s="62" t="str">
        <f t="shared" si="3988"/>
        <v/>
      </c>
      <c r="Q1994" s="62" t="str">
        <f t="shared" si="3988"/>
        <v/>
      </c>
      <c r="R1994" s="62">
        <f t="shared" si="7"/>
        <v>0</v>
      </c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</row>
    <row r="1995">
      <c r="A1995" s="60">
        <f>IFERROR(__xludf.DUMMYFUNCTION("""COMPUTED_VALUE"""),16927.0)</f>
        <v>16927</v>
      </c>
      <c r="B1995" s="60" t="str">
        <f>IFERROR(__xludf.DUMMYFUNCTION("""COMPUTED_VALUE"""),"Redmond, Jalen")</f>
        <v>Redmond, Jalen</v>
      </c>
      <c r="C1995" s="60" t="str">
        <f>IFERROR(__xludf.DUMMYFUNCTION("""COMPUTED_VALUE"""),"DT")</f>
        <v>DT</v>
      </c>
      <c r="D1995" s="60" t="str">
        <f>IFERROR(__xludf.DUMMYFUNCTION("""COMPUTED_VALUE"""),"MIN")</f>
        <v>MIN</v>
      </c>
      <c r="E1995" s="62" t="str">
        <f t="shared" si="4"/>
        <v>Jalen Redmond</v>
      </c>
      <c r="F1995" s="62">
        <f t="shared" ref="F1995:G1995" si="3989">IF(isblank(F$1),,IF(isblank($A1995),,IFERROR(vlookup($A1995,indirect("'TVC-"&amp;text(month(F$1),"00")&amp;"'!$A:$D"),4,false),1)))</f>
        <v>1</v>
      </c>
      <c r="G1995" s="62">
        <f t="shared" si="3989"/>
        <v>1</v>
      </c>
      <c r="H1995" s="62">
        <f t="shared" ref="H1995:Q1995" si="3990">IF(isblank(H$1),,IFERROR(vlookup($A1995,indirect("'TVC-"&amp;text(month(H$1),"00")&amp;"'!$A:$D"),4,false),1))</f>
        <v>1</v>
      </c>
      <c r="I1995" s="62">
        <f t="shared" si="3990"/>
        <v>1</v>
      </c>
      <c r="J1995" s="62">
        <f t="shared" si="3990"/>
        <v>1</v>
      </c>
      <c r="K1995" s="62">
        <f t="shared" si="3990"/>
        <v>1</v>
      </c>
      <c r="L1995" s="62">
        <f t="shared" si="3990"/>
        <v>1</v>
      </c>
      <c r="M1995" s="62">
        <f t="shared" si="3990"/>
        <v>1</v>
      </c>
      <c r="N1995" s="62">
        <f t="shared" si="3990"/>
        <v>1</v>
      </c>
      <c r="O1995" s="62">
        <f t="shared" si="3990"/>
        <v>1</v>
      </c>
      <c r="P1995" s="62" t="str">
        <f t="shared" si="3990"/>
        <v/>
      </c>
      <c r="Q1995" s="62" t="str">
        <f t="shared" si="3990"/>
        <v/>
      </c>
      <c r="R1995" s="62">
        <f t="shared" si="7"/>
        <v>0</v>
      </c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</row>
    <row r="1996">
      <c r="A1996" s="60">
        <f>IFERROR(__xludf.DUMMYFUNCTION("""COMPUTED_VALUE"""),16928.0)</f>
        <v>16928</v>
      </c>
      <c r="B1996" s="60" t="str">
        <f>IFERROR(__xludf.DUMMYFUNCTION("""COMPUTED_VALUE"""),"Harper, Thomas")</f>
        <v>Harper, Thomas</v>
      </c>
      <c r="C1996" s="60" t="str">
        <f>IFERROR(__xludf.DUMMYFUNCTION("""COMPUTED_VALUE"""),"S")</f>
        <v>S</v>
      </c>
      <c r="D1996" s="60" t="str">
        <f>IFERROR(__xludf.DUMMYFUNCTION("""COMPUTED_VALUE"""),"DET")</f>
        <v>DET</v>
      </c>
      <c r="E1996" s="62" t="str">
        <f t="shared" si="4"/>
        <v>Thomas Harper</v>
      </c>
      <c r="F1996" s="62">
        <f t="shared" ref="F1996:G1996" si="3991">IF(isblank(F$1),,IF(isblank($A1996),,IFERROR(vlookup($A1996,indirect("'TVC-"&amp;text(month(F$1),"00")&amp;"'!$A:$D"),4,false),1)))</f>
        <v>1</v>
      </c>
      <c r="G1996" s="62">
        <f t="shared" si="3991"/>
        <v>1</v>
      </c>
      <c r="H1996" s="62">
        <f t="shared" ref="H1996:Q1996" si="3992">IF(isblank(H$1),,IFERROR(vlookup($A1996,indirect("'TVC-"&amp;text(month(H$1),"00")&amp;"'!$A:$D"),4,false),1))</f>
        <v>1</v>
      </c>
      <c r="I1996" s="62">
        <f t="shared" si="3992"/>
        <v>1</v>
      </c>
      <c r="J1996" s="62">
        <f t="shared" si="3992"/>
        <v>1</v>
      </c>
      <c r="K1996" s="62">
        <f t="shared" si="3992"/>
        <v>1</v>
      </c>
      <c r="L1996" s="62">
        <f t="shared" si="3992"/>
        <v>1</v>
      </c>
      <c r="M1996" s="62">
        <f t="shared" si="3992"/>
        <v>1</v>
      </c>
      <c r="N1996" s="62">
        <f t="shared" si="3992"/>
        <v>1</v>
      </c>
      <c r="O1996" s="62">
        <f t="shared" si="3992"/>
        <v>1</v>
      </c>
      <c r="P1996" s="62" t="str">
        <f t="shared" si="3992"/>
        <v/>
      </c>
      <c r="Q1996" s="62" t="str">
        <f t="shared" si="3992"/>
        <v/>
      </c>
      <c r="R1996" s="62">
        <f t="shared" si="7"/>
        <v>0</v>
      </c>
      <c r="S1996" s="62"/>
      <c r="T1996" s="62"/>
      <c r="U1996" s="62"/>
      <c r="V1996" s="62"/>
      <c r="W1996" s="62"/>
      <c r="X1996" s="62"/>
      <c r="Y1996" s="62"/>
      <c r="Z1996" s="62"/>
      <c r="AA1996" s="62"/>
      <c r="AB1996" s="62"/>
      <c r="AC1996" s="62"/>
    </row>
    <row r="1997">
      <c r="A1997" s="60">
        <f>IFERROR(__xludf.DUMMYFUNCTION("""COMPUTED_VALUE"""),16933.0)</f>
        <v>16933</v>
      </c>
      <c r="B1997" s="60" t="str">
        <f>IFERROR(__xludf.DUMMYFUNCTION("""COMPUTED_VALUE"""),"Richardson, Demani")</f>
        <v>Richardson, Demani</v>
      </c>
      <c r="C1997" s="60" t="str">
        <f>IFERROR(__xludf.DUMMYFUNCTION("""COMPUTED_VALUE"""),"S")</f>
        <v>S</v>
      </c>
      <c r="D1997" s="60" t="str">
        <f>IFERROR(__xludf.DUMMYFUNCTION("""COMPUTED_VALUE"""),"FA")</f>
        <v>FA</v>
      </c>
      <c r="E1997" s="62" t="str">
        <f t="shared" si="4"/>
        <v>Demani Richardson</v>
      </c>
      <c r="F1997" s="62">
        <f t="shared" ref="F1997:G1997" si="3993">IF(isblank(F$1),,IF(isblank($A1997),,IFERROR(vlookup($A1997,indirect("'TVC-"&amp;text(month(F$1),"00")&amp;"'!$A:$D"),4,false),1)))</f>
        <v>1</v>
      </c>
      <c r="G1997" s="62">
        <f t="shared" si="3993"/>
        <v>1</v>
      </c>
      <c r="H1997" s="62">
        <f t="shared" ref="H1997:Q1997" si="3994">IF(isblank(H$1),,IFERROR(vlookup($A1997,indirect("'TVC-"&amp;text(month(H$1),"00")&amp;"'!$A:$D"),4,false),1))</f>
        <v>1</v>
      </c>
      <c r="I1997" s="62">
        <f t="shared" si="3994"/>
        <v>1</v>
      </c>
      <c r="J1997" s="62">
        <f t="shared" si="3994"/>
        <v>1</v>
      </c>
      <c r="K1997" s="62">
        <f t="shared" si="3994"/>
        <v>1</v>
      </c>
      <c r="L1997" s="62">
        <f t="shared" si="3994"/>
        <v>1</v>
      </c>
      <c r="M1997" s="62">
        <f t="shared" si="3994"/>
        <v>1</v>
      </c>
      <c r="N1997" s="62">
        <f t="shared" si="3994"/>
        <v>1</v>
      </c>
      <c r="O1997" s="62">
        <f t="shared" si="3994"/>
        <v>1</v>
      </c>
      <c r="P1997" s="62" t="str">
        <f t="shared" si="3994"/>
        <v/>
      </c>
      <c r="Q1997" s="62" t="str">
        <f t="shared" si="3994"/>
        <v/>
      </c>
      <c r="R1997" s="62">
        <f t="shared" si="7"/>
        <v>0</v>
      </c>
      <c r="S1997" s="62"/>
      <c r="T1997" s="62"/>
      <c r="U1997" s="62"/>
      <c r="V1997" s="62"/>
      <c r="W1997" s="62"/>
      <c r="X1997" s="62"/>
      <c r="Y1997" s="62"/>
      <c r="Z1997" s="62"/>
      <c r="AA1997" s="62"/>
      <c r="AB1997" s="62"/>
      <c r="AC1997" s="62"/>
    </row>
    <row r="1998" hidden="1">
      <c r="A1998" s="60">
        <f>IFERROR(__xludf.DUMMYFUNCTION("""COMPUTED_VALUE"""),16940.0)</f>
        <v>16940</v>
      </c>
      <c r="B1998" s="60" t="str">
        <f>IFERROR(__xludf.DUMMYFUNCTION("""COMPUTED_VALUE"""),"Whiteheart, Blake")</f>
        <v>Whiteheart, Blake</v>
      </c>
      <c r="C1998" s="60" t="str">
        <f>IFERROR(__xludf.DUMMYFUNCTION("""COMPUTED_VALUE"""),"TE")</f>
        <v>TE</v>
      </c>
      <c r="D1998" s="60" t="str">
        <f>IFERROR(__xludf.DUMMYFUNCTION("""COMPUTED_VALUE"""),"CLE")</f>
        <v>CLE</v>
      </c>
      <c r="E1998" s="62" t="str">
        <f t="shared" si="4"/>
        <v>Blake Whiteheart</v>
      </c>
      <c r="F1998" s="62">
        <f t="shared" ref="F1998:G1998" si="3995">IF(isblank(F$1),,IF(isblank($A1998),,IFERROR(vlookup($A1998,indirect("'TVC-"&amp;text(month(F$1),"00")&amp;"'!$A:$D"),4,false),1)))</f>
        <v>1</v>
      </c>
      <c r="G1998" s="62">
        <f t="shared" si="3995"/>
        <v>1</v>
      </c>
      <c r="H1998" s="62">
        <f t="shared" ref="H1998:Q1998" si="3996">IF(isblank(H$1),,IFERROR(vlookup($A1998,indirect("'TVC-"&amp;text(month(H$1),"00")&amp;"'!$A:$D"),4,false),1))</f>
        <v>1</v>
      </c>
      <c r="I1998" s="62">
        <f t="shared" si="3996"/>
        <v>1</v>
      </c>
      <c r="J1998" s="62">
        <f t="shared" si="3996"/>
        <v>1</v>
      </c>
      <c r="K1998" s="62">
        <f t="shared" si="3996"/>
        <v>1</v>
      </c>
      <c r="L1998" s="62">
        <f t="shared" si="3996"/>
        <v>1</v>
      </c>
      <c r="M1998" s="62">
        <f t="shared" si="3996"/>
        <v>1</v>
      </c>
      <c r="N1998" s="62">
        <f t="shared" si="3996"/>
        <v>1</v>
      </c>
      <c r="O1998" s="62">
        <f t="shared" si="3996"/>
        <v>1</v>
      </c>
      <c r="P1998" s="62" t="str">
        <f t="shared" si="3996"/>
        <v/>
      </c>
      <c r="Q1998" s="62" t="str">
        <f t="shared" si="3996"/>
        <v/>
      </c>
      <c r="R1998" s="62">
        <f t="shared" si="7"/>
        <v>0</v>
      </c>
      <c r="S1998" s="62"/>
      <c r="T1998" s="62"/>
      <c r="U1998" s="62"/>
      <c r="V1998" s="62"/>
      <c r="W1998" s="62"/>
      <c r="X1998" s="62"/>
      <c r="Y1998" s="62"/>
      <c r="Z1998" s="62"/>
      <c r="AA1998" s="62"/>
      <c r="AB1998" s="62"/>
      <c r="AC1998" s="62"/>
    </row>
    <row r="1999" hidden="1">
      <c r="A1999" s="60">
        <f>IFERROR(__xludf.DUMMYFUNCTION("""COMPUTED_VALUE"""),16949.0)</f>
        <v>16949</v>
      </c>
      <c r="B1999" s="60" t="str">
        <f>IFERROR(__xludf.DUMMYFUNCTION("""COMPUTED_VALUE"""),"Tremayne, Brycen")</f>
        <v>Tremayne, Brycen</v>
      </c>
      <c r="C1999" s="60" t="str">
        <f>IFERROR(__xludf.DUMMYFUNCTION("""COMPUTED_VALUE"""),"WR")</f>
        <v>WR</v>
      </c>
      <c r="D1999" s="60" t="str">
        <f>IFERROR(__xludf.DUMMYFUNCTION("""COMPUTED_VALUE"""),"CAR")</f>
        <v>CAR</v>
      </c>
      <c r="E1999" s="62" t="str">
        <f t="shared" si="4"/>
        <v>Brycen Tremayne</v>
      </c>
      <c r="F1999" s="62">
        <f t="shared" ref="F1999:G1999" si="3997">IF(isblank(F$1),,IF(isblank($A1999),,IFERROR(vlookup($A1999,indirect("'TVC-"&amp;text(month(F$1),"00")&amp;"'!$A:$D"),4,false),1)))</f>
        <v>1</v>
      </c>
      <c r="G1999" s="62">
        <f t="shared" si="3997"/>
        <v>1</v>
      </c>
      <c r="H1999" s="62">
        <f t="shared" ref="H1999:Q1999" si="3998">IF(isblank(H$1),,IFERROR(vlookup($A1999,indirect("'TVC-"&amp;text(month(H$1),"00")&amp;"'!$A:$D"),4,false),1))</f>
        <v>1</v>
      </c>
      <c r="I1999" s="62">
        <f t="shared" si="3998"/>
        <v>1</v>
      </c>
      <c r="J1999" s="62">
        <f t="shared" si="3998"/>
        <v>1</v>
      </c>
      <c r="K1999" s="62">
        <f t="shared" si="3998"/>
        <v>1</v>
      </c>
      <c r="L1999" s="62">
        <f t="shared" si="3998"/>
        <v>1</v>
      </c>
      <c r="M1999" s="62">
        <f t="shared" si="3998"/>
        <v>1</v>
      </c>
      <c r="N1999" s="62">
        <f t="shared" si="3998"/>
        <v>1</v>
      </c>
      <c r="O1999" s="62">
        <f t="shared" si="3998"/>
        <v>1</v>
      </c>
      <c r="P1999" s="62" t="str">
        <f t="shared" si="3998"/>
        <v/>
      </c>
      <c r="Q1999" s="62" t="str">
        <f t="shared" si="3998"/>
        <v/>
      </c>
      <c r="R1999" s="62">
        <f t="shared" si="7"/>
        <v>0</v>
      </c>
      <c r="S1999" s="62"/>
      <c r="T1999" s="62"/>
      <c r="U1999" s="62"/>
      <c r="V1999" s="62"/>
      <c r="W1999" s="62"/>
      <c r="X1999" s="62"/>
      <c r="Y1999" s="62"/>
      <c r="Z1999" s="62"/>
      <c r="AA1999" s="62"/>
      <c r="AB1999" s="62"/>
      <c r="AC1999" s="62"/>
    </row>
    <row r="2000">
      <c r="A2000" s="60">
        <f>IFERROR(__xludf.DUMMYFUNCTION("""COMPUTED_VALUE"""),16954.0)</f>
        <v>16954</v>
      </c>
      <c r="B2000" s="60" t="str">
        <f>IFERROR(__xludf.DUMMYFUNCTION("""COMPUTED_VALUE"""),"Wallace, Josh")</f>
        <v>Wallace, Josh</v>
      </c>
      <c r="C2000" s="60" t="str">
        <f>IFERROR(__xludf.DUMMYFUNCTION("""COMPUTED_VALUE"""),"CB")</f>
        <v>CB</v>
      </c>
      <c r="D2000" s="60" t="str">
        <f>IFERROR(__xludf.DUMMYFUNCTION("""COMPUTED_VALUE"""),"LAR")</f>
        <v>LAR</v>
      </c>
      <c r="E2000" s="62" t="str">
        <f t="shared" si="4"/>
        <v>Josh Wallace</v>
      </c>
      <c r="F2000" s="62">
        <f t="shared" ref="F2000:G2000" si="3999">IF(isblank(F$1),,IF(isblank($A2000),,IFERROR(vlookup($A2000,indirect("'TVC-"&amp;text(month(F$1),"00")&amp;"'!$A:$D"),4,false),1)))</f>
        <v>1</v>
      </c>
      <c r="G2000" s="62">
        <f t="shared" si="3999"/>
        <v>1</v>
      </c>
      <c r="H2000" s="62">
        <f t="shared" ref="H2000:Q2000" si="4000">IF(isblank(H$1),,IFERROR(vlookup($A2000,indirect("'TVC-"&amp;text(month(H$1),"00")&amp;"'!$A:$D"),4,false),1))</f>
        <v>1</v>
      </c>
      <c r="I2000" s="62">
        <f t="shared" si="4000"/>
        <v>1</v>
      </c>
      <c r="J2000" s="62">
        <f t="shared" si="4000"/>
        <v>1</v>
      </c>
      <c r="K2000" s="62">
        <f t="shared" si="4000"/>
        <v>1</v>
      </c>
      <c r="L2000" s="62">
        <f t="shared" si="4000"/>
        <v>1</v>
      </c>
      <c r="M2000" s="62">
        <f t="shared" si="4000"/>
        <v>1</v>
      </c>
      <c r="N2000" s="62">
        <f t="shared" si="4000"/>
        <v>1</v>
      </c>
      <c r="O2000" s="62">
        <f t="shared" si="4000"/>
        <v>1</v>
      </c>
      <c r="P2000" s="62" t="str">
        <f t="shared" si="4000"/>
        <v/>
      </c>
      <c r="Q2000" s="62" t="str">
        <f t="shared" si="4000"/>
        <v/>
      </c>
      <c r="R2000" s="62">
        <f t="shared" si="7"/>
        <v>0</v>
      </c>
      <c r="S2000" s="62"/>
      <c r="T2000" s="62"/>
      <c r="U2000" s="62"/>
      <c r="V2000" s="62"/>
      <c r="W2000" s="62"/>
      <c r="X2000" s="62"/>
      <c r="Y2000" s="62"/>
      <c r="Z2000" s="62"/>
      <c r="AA2000" s="62"/>
      <c r="AB2000" s="62"/>
      <c r="AC2000" s="62"/>
    </row>
    <row r="2001">
      <c r="A2001" s="60">
        <f>IFERROR(__xludf.DUMMYFUNCTION("""COMPUTED_VALUE"""),16957.0)</f>
        <v>16957</v>
      </c>
      <c r="B2001" s="60" t="str">
        <f>IFERROR(__xludf.DUMMYFUNCTION("""COMPUTED_VALUE"""),"Jennings, Terrell")</f>
        <v>Jennings, Terrell</v>
      </c>
      <c r="C2001" s="60" t="str">
        <f>IFERROR(__xludf.DUMMYFUNCTION("""COMPUTED_VALUE"""),"RB")</f>
        <v>RB</v>
      </c>
      <c r="D2001" s="60" t="str">
        <f>IFERROR(__xludf.DUMMYFUNCTION("""COMPUTED_VALUE"""),"FA")</f>
        <v>FA</v>
      </c>
      <c r="E2001" s="62" t="str">
        <f t="shared" si="4"/>
        <v>Terrell Jennings</v>
      </c>
      <c r="F2001" s="62">
        <f t="shared" ref="F2001:G2001" si="4001">IF(isblank(F$1),,IF(isblank($A2001),,IFERROR(vlookup($A2001,indirect("'TVC-"&amp;text(month(F$1),"00")&amp;"'!$A:$D"),4,false),1)))</f>
        <v>1059</v>
      </c>
      <c r="G2001" s="62">
        <f t="shared" si="4001"/>
        <v>961</v>
      </c>
      <c r="H2001" s="62">
        <f t="shared" ref="H2001:Q2001" si="4002">IF(isblank(H$1),,IFERROR(vlookup($A2001,indirect("'TVC-"&amp;text(month(H$1),"00")&amp;"'!$A:$D"),4,false),1))</f>
        <v>992</v>
      </c>
      <c r="I2001" s="62">
        <f t="shared" si="4002"/>
        <v>904</v>
      </c>
      <c r="J2001" s="62">
        <f t="shared" si="4002"/>
        <v>745</v>
      </c>
      <c r="K2001" s="62">
        <f t="shared" si="4002"/>
        <v>504</v>
      </c>
      <c r="L2001" s="62">
        <f t="shared" si="4002"/>
        <v>543</v>
      </c>
      <c r="M2001" s="62">
        <f t="shared" si="4002"/>
        <v>616</v>
      </c>
      <c r="N2001" s="62">
        <f t="shared" si="4002"/>
        <v>1</v>
      </c>
      <c r="O2001" s="62">
        <f t="shared" si="4002"/>
        <v>1</v>
      </c>
      <c r="P2001" s="62" t="str">
        <f t="shared" si="4002"/>
        <v/>
      </c>
      <c r="Q2001" s="62" t="str">
        <f t="shared" si="4002"/>
        <v/>
      </c>
      <c r="R2001" s="62">
        <f t="shared" si="7"/>
        <v>0</v>
      </c>
      <c r="S2001" s="62"/>
      <c r="T2001" s="62"/>
      <c r="U2001" s="62"/>
      <c r="V2001" s="62"/>
      <c r="W2001" s="62"/>
      <c r="X2001" s="62"/>
      <c r="Y2001" s="62"/>
      <c r="Z2001" s="62"/>
      <c r="AA2001" s="62"/>
      <c r="AB2001" s="62"/>
      <c r="AC2001" s="62"/>
    </row>
    <row r="2002">
      <c r="A2002" s="60">
        <f>IFERROR(__xludf.DUMMYFUNCTION("""COMPUTED_VALUE"""),16958.0)</f>
        <v>16958</v>
      </c>
      <c r="B2002" s="60" t="str">
        <f>IFERROR(__xludf.DUMMYFUNCTION("""COMPUTED_VALUE"""),"Miller, Ryan")</f>
        <v>Miller, Ryan</v>
      </c>
      <c r="C2002" s="60" t="str">
        <f>IFERROR(__xludf.DUMMYFUNCTION("""COMPUTED_VALUE"""),"WR")</f>
        <v>WR</v>
      </c>
      <c r="D2002" s="60" t="str">
        <f>IFERROR(__xludf.DUMMYFUNCTION("""COMPUTED_VALUE"""),"FA")</f>
        <v>FA</v>
      </c>
      <c r="E2002" s="62" t="str">
        <f t="shared" si="4"/>
        <v>Ryan Miller</v>
      </c>
      <c r="F2002" s="62">
        <f t="shared" ref="F2002:G2002" si="4003">IF(isblank(F$1),,IF(isblank($A2002),,IFERROR(vlookup($A2002,indirect("'TVC-"&amp;text(month(F$1),"00")&amp;"'!$A:$D"),4,false),1)))</f>
        <v>1</v>
      </c>
      <c r="G2002" s="62">
        <f t="shared" si="4003"/>
        <v>1</v>
      </c>
      <c r="H2002" s="62">
        <f t="shared" ref="H2002:Q2002" si="4004">IF(isblank(H$1),,IFERROR(vlookup($A2002,indirect("'TVC-"&amp;text(month(H$1),"00")&amp;"'!$A:$D"),4,false),1))</f>
        <v>1</v>
      </c>
      <c r="I2002" s="62">
        <f t="shared" si="4004"/>
        <v>1</v>
      </c>
      <c r="J2002" s="62">
        <f t="shared" si="4004"/>
        <v>1</v>
      </c>
      <c r="K2002" s="62">
        <f t="shared" si="4004"/>
        <v>1</v>
      </c>
      <c r="L2002" s="62">
        <f t="shared" si="4004"/>
        <v>1</v>
      </c>
      <c r="M2002" s="62">
        <f t="shared" si="4004"/>
        <v>1</v>
      </c>
      <c r="N2002" s="62">
        <f t="shared" si="4004"/>
        <v>1</v>
      </c>
      <c r="O2002" s="62">
        <f t="shared" si="4004"/>
        <v>1</v>
      </c>
      <c r="P2002" s="62" t="str">
        <f t="shared" si="4004"/>
        <v/>
      </c>
      <c r="Q2002" s="62" t="str">
        <f t="shared" si="4004"/>
        <v/>
      </c>
      <c r="R2002" s="62">
        <f t="shared" si="7"/>
        <v>0</v>
      </c>
      <c r="S2002" s="62"/>
      <c r="T2002" s="62"/>
      <c r="U2002" s="62"/>
      <c r="V2002" s="62"/>
      <c r="W2002" s="62"/>
      <c r="X2002" s="62"/>
      <c r="Y2002" s="62"/>
      <c r="Z2002" s="62"/>
      <c r="AA2002" s="62"/>
      <c r="AB2002" s="62"/>
      <c r="AC2002" s="62"/>
    </row>
    <row r="2003">
      <c r="A2003" s="60">
        <f>IFERROR(__xludf.DUMMYFUNCTION("""COMPUTED_VALUE"""),16962.0)</f>
        <v>16962</v>
      </c>
      <c r="B2003" s="60" t="str">
        <f>IFERROR(__xludf.DUMMYFUNCTION("""COMPUTED_VALUE"""),"Bates, Brenden")</f>
        <v>Bates, Brenden</v>
      </c>
      <c r="C2003" s="60" t="str">
        <f>IFERROR(__xludf.DUMMYFUNCTION("""COMPUTED_VALUE"""),"TE")</f>
        <v>TE</v>
      </c>
      <c r="D2003" s="60" t="str">
        <f>IFERROR(__xludf.DUMMYFUNCTION("""COMPUTED_VALUE"""),"JAC")</f>
        <v>JAC</v>
      </c>
      <c r="E2003" s="62" t="str">
        <f t="shared" si="4"/>
        <v>Brenden Bates</v>
      </c>
      <c r="F2003" s="62">
        <f t="shared" ref="F2003:G2003" si="4005">IF(isblank(F$1),,IF(isblank($A2003),,IFERROR(vlookup($A2003,indirect("'TVC-"&amp;text(month(F$1),"00")&amp;"'!$A:$D"),4,false),1)))</f>
        <v>1</v>
      </c>
      <c r="G2003" s="62">
        <f t="shared" si="4005"/>
        <v>1</v>
      </c>
      <c r="H2003" s="62">
        <f t="shared" ref="H2003:Q2003" si="4006">IF(isblank(H$1),,IFERROR(vlookup($A2003,indirect("'TVC-"&amp;text(month(H$1),"00")&amp;"'!$A:$D"),4,false),1))</f>
        <v>1</v>
      </c>
      <c r="I2003" s="62">
        <f t="shared" si="4006"/>
        <v>1</v>
      </c>
      <c r="J2003" s="62">
        <f t="shared" si="4006"/>
        <v>1</v>
      </c>
      <c r="K2003" s="62">
        <f t="shared" si="4006"/>
        <v>1</v>
      </c>
      <c r="L2003" s="62">
        <f t="shared" si="4006"/>
        <v>1</v>
      </c>
      <c r="M2003" s="62">
        <f t="shared" si="4006"/>
        <v>1</v>
      </c>
      <c r="N2003" s="62">
        <f t="shared" si="4006"/>
        <v>1</v>
      </c>
      <c r="O2003" s="62">
        <f t="shared" si="4006"/>
        <v>1</v>
      </c>
      <c r="P2003" s="62" t="str">
        <f t="shared" si="4006"/>
        <v/>
      </c>
      <c r="Q2003" s="62" t="str">
        <f t="shared" si="4006"/>
        <v/>
      </c>
      <c r="R2003" s="62">
        <f t="shared" si="7"/>
        <v>0</v>
      </c>
      <c r="S2003" s="62"/>
      <c r="T2003" s="62"/>
      <c r="U2003" s="62"/>
      <c r="V2003" s="62"/>
      <c r="W2003" s="62"/>
      <c r="X2003" s="62"/>
      <c r="Y2003" s="62"/>
      <c r="Z2003" s="62"/>
      <c r="AA2003" s="62"/>
      <c r="AB2003" s="62"/>
      <c r="AC2003" s="62"/>
    </row>
    <row r="2004">
      <c r="A2004" s="60">
        <f>IFERROR(__xludf.DUMMYFUNCTION("""COMPUTED_VALUE"""),16967.0)</f>
        <v>16967</v>
      </c>
      <c r="B2004" s="60" t="str">
        <f>IFERROR(__xludf.DUMMYFUNCTION("""COMPUTED_VALUE"""),"Windmon, Jacoby")</f>
        <v>Windmon, Jacoby</v>
      </c>
      <c r="C2004" s="60" t="str">
        <f>IFERROR(__xludf.DUMMYFUNCTION("""COMPUTED_VALUE"""),"LB")</f>
        <v>LB</v>
      </c>
      <c r="D2004" s="60" t="str">
        <f>IFERROR(__xludf.DUMMYFUNCTION("""COMPUTED_VALUE"""),"PIT")</f>
        <v>PIT</v>
      </c>
      <c r="E2004" s="62" t="str">
        <f t="shared" si="4"/>
        <v>Jacoby Windmon</v>
      </c>
      <c r="F2004" s="62">
        <f t="shared" ref="F2004:G2004" si="4007">IF(isblank(F$1),,IF(isblank($A2004),,IFERROR(vlookup($A2004,indirect("'TVC-"&amp;text(month(F$1),"00")&amp;"'!$A:$D"),4,false),1)))</f>
        <v>1</v>
      </c>
      <c r="G2004" s="62">
        <f t="shared" si="4007"/>
        <v>1</v>
      </c>
      <c r="H2004" s="62">
        <f t="shared" ref="H2004:Q2004" si="4008">IF(isblank(H$1),,IFERROR(vlookup($A2004,indirect("'TVC-"&amp;text(month(H$1),"00")&amp;"'!$A:$D"),4,false),1))</f>
        <v>1</v>
      </c>
      <c r="I2004" s="62">
        <f t="shared" si="4008"/>
        <v>1</v>
      </c>
      <c r="J2004" s="62">
        <f t="shared" si="4008"/>
        <v>1</v>
      </c>
      <c r="K2004" s="62">
        <f t="shared" si="4008"/>
        <v>1</v>
      </c>
      <c r="L2004" s="62">
        <f t="shared" si="4008"/>
        <v>1</v>
      </c>
      <c r="M2004" s="62">
        <f t="shared" si="4008"/>
        <v>1</v>
      </c>
      <c r="N2004" s="62">
        <f t="shared" si="4008"/>
        <v>1</v>
      </c>
      <c r="O2004" s="62">
        <f t="shared" si="4008"/>
        <v>1</v>
      </c>
      <c r="P2004" s="62" t="str">
        <f t="shared" si="4008"/>
        <v/>
      </c>
      <c r="Q2004" s="62" t="str">
        <f t="shared" si="4008"/>
        <v/>
      </c>
      <c r="R2004" s="62">
        <f t="shared" si="7"/>
        <v>0</v>
      </c>
      <c r="S2004" s="62"/>
      <c r="T2004" s="62"/>
      <c r="U2004" s="62"/>
      <c r="V2004" s="62"/>
      <c r="W2004" s="62"/>
      <c r="X2004" s="62"/>
      <c r="Y2004" s="62"/>
      <c r="Z2004" s="62"/>
      <c r="AA2004" s="62"/>
      <c r="AB2004" s="62"/>
      <c r="AC2004" s="62"/>
    </row>
    <row r="2005">
      <c r="A2005" s="60">
        <f>IFERROR(__xludf.DUMMYFUNCTION("""COMPUTED_VALUE"""),16975.0)</f>
        <v>16975</v>
      </c>
      <c r="B2005" s="60" t="str">
        <f>IFERROR(__xludf.DUMMYFUNCTION("""COMPUTED_VALUE"""),"Oliver, Bryce")</f>
        <v>Oliver, Bryce</v>
      </c>
      <c r="C2005" s="60" t="str">
        <f>IFERROR(__xludf.DUMMYFUNCTION("""COMPUTED_VALUE"""),"WR")</f>
        <v>WR</v>
      </c>
      <c r="D2005" s="60" t="str">
        <f>IFERROR(__xludf.DUMMYFUNCTION("""COMPUTED_VALUE"""),"HOU")</f>
        <v>HOU</v>
      </c>
      <c r="E2005" s="62" t="str">
        <f t="shared" si="4"/>
        <v>Bryce Oliver</v>
      </c>
      <c r="F2005" s="62">
        <f t="shared" ref="F2005:G2005" si="4009">IF(isblank(F$1),,IF(isblank($A2005),,IFERROR(vlookup($A2005,indirect("'TVC-"&amp;text(month(F$1),"00")&amp;"'!$A:$D"),4,false),1)))</f>
        <v>1</v>
      </c>
      <c r="G2005" s="62">
        <f t="shared" si="4009"/>
        <v>1</v>
      </c>
      <c r="H2005" s="62">
        <f t="shared" ref="H2005:Q2005" si="4010">IF(isblank(H$1),,IFERROR(vlookup($A2005,indirect("'TVC-"&amp;text(month(H$1),"00")&amp;"'!$A:$D"),4,false),1))</f>
        <v>1</v>
      </c>
      <c r="I2005" s="62">
        <f t="shared" si="4010"/>
        <v>1</v>
      </c>
      <c r="J2005" s="62">
        <f t="shared" si="4010"/>
        <v>1</v>
      </c>
      <c r="K2005" s="62">
        <f t="shared" si="4010"/>
        <v>1</v>
      </c>
      <c r="L2005" s="62">
        <f t="shared" si="4010"/>
        <v>1</v>
      </c>
      <c r="M2005" s="62">
        <f t="shared" si="4010"/>
        <v>1</v>
      </c>
      <c r="N2005" s="62">
        <f t="shared" si="4010"/>
        <v>1</v>
      </c>
      <c r="O2005" s="62">
        <f t="shared" si="4010"/>
        <v>1</v>
      </c>
      <c r="P2005" s="62" t="str">
        <f t="shared" si="4010"/>
        <v/>
      </c>
      <c r="Q2005" s="62" t="str">
        <f t="shared" si="4010"/>
        <v/>
      </c>
      <c r="R2005" s="62">
        <f t="shared" si="7"/>
        <v>0</v>
      </c>
      <c r="S2005" s="62"/>
      <c r="T2005" s="62"/>
      <c r="U2005" s="62"/>
      <c r="V2005" s="62"/>
      <c r="W2005" s="62"/>
      <c r="X2005" s="62"/>
      <c r="Y2005" s="62"/>
      <c r="Z2005" s="62"/>
      <c r="AA2005" s="62"/>
      <c r="AB2005" s="62"/>
      <c r="AC2005" s="62"/>
    </row>
    <row r="2006">
      <c r="A2006" s="60">
        <f>IFERROR(__xludf.DUMMYFUNCTION("""COMPUTED_VALUE"""),16976.0)</f>
        <v>16976</v>
      </c>
      <c r="B2006" s="60" t="str">
        <f>IFERROR(__xludf.DUMMYFUNCTION("""COMPUTED_VALUE"""),"Brooks, Natrone")</f>
        <v>Brooks, Natrone</v>
      </c>
      <c r="C2006" s="60" t="str">
        <f>IFERROR(__xludf.DUMMYFUNCTION("""COMPUTED_VALUE"""),"CB")</f>
        <v>CB</v>
      </c>
      <c r="D2006" s="60" t="str">
        <f>IFERROR(__xludf.DUMMYFUNCTION("""COMPUTED_VALUE"""),"MIN")</f>
        <v>MIN</v>
      </c>
      <c r="E2006" s="62" t="str">
        <f t="shared" si="4"/>
        <v>Natrone Brooks</v>
      </c>
      <c r="F2006" s="62">
        <f t="shared" ref="F2006:G2006" si="4011">IF(isblank(F$1),,IF(isblank($A2006),,IFERROR(vlookup($A2006,indirect("'TVC-"&amp;text(month(F$1),"00")&amp;"'!$A:$D"),4,false),1)))</f>
        <v>1</v>
      </c>
      <c r="G2006" s="62">
        <f t="shared" si="4011"/>
        <v>1</v>
      </c>
      <c r="H2006" s="62">
        <f t="shared" ref="H2006:Q2006" si="4012">IF(isblank(H$1),,IFERROR(vlookup($A2006,indirect("'TVC-"&amp;text(month(H$1),"00")&amp;"'!$A:$D"),4,false),1))</f>
        <v>1</v>
      </c>
      <c r="I2006" s="62">
        <f t="shared" si="4012"/>
        <v>1</v>
      </c>
      <c r="J2006" s="62">
        <f t="shared" si="4012"/>
        <v>1</v>
      </c>
      <c r="K2006" s="62">
        <f t="shared" si="4012"/>
        <v>1</v>
      </c>
      <c r="L2006" s="62">
        <f t="shared" si="4012"/>
        <v>1</v>
      </c>
      <c r="M2006" s="62">
        <f t="shared" si="4012"/>
        <v>1</v>
      </c>
      <c r="N2006" s="62">
        <f t="shared" si="4012"/>
        <v>1</v>
      </c>
      <c r="O2006" s="62">
        <f t="shared" si="4012"/>
        <v>1</v>
      </c>
      <c r="P2006" s="62" t="str">
        <f t="shared" si="4012"/>
        <v/>
      </c>
      <c r="Q2006" s="62" t="str">
        <f t="shared" si="4012"/>
        <v/>
      </c>
      <c r="R2006" s="62">
        <f t="shared" si="7"/>
        <v>0</v>
      </c>
      <c r="S2006" s="62"/>
      <c r="T2006" s="62"/>
      <c r="U2006" s="62"/>
      <c r="V2006" s="62"/>
      <c r="W2006" s="62"/>
      <c r="X2006" s="62"/>
      <c r="Y2006" s="62"/>
      <c r="Z2006" s="62"/>
      <c r="AA2006" s="62"/>
      <c r="AB2006" s="62"/>
      <c r="AC2006" s="62"/>
    </row>
    <row r="2007">
      <c r="A2007" s="60">
        <f>IFERROR(__xludf.DUMMYFUNCTION("""COMPUTED_VALUE"""),16979.0)</f>
        <v>16979</v>
      </c>
      <c r="B2007" s="60" t="str">
        <f>IFERROR(__xludf.DUMMYFUNCTION("""COMPUTED_VALUE"""),"Grandy, Cam")</f>
        <v>Grandy, Cam</v>
      </c>
      <c r="C2007" s="60" t="str">
        <f>IFERROR(__xludf.DUMMYFUNCTION("""COMPUTED_VALUE"""),"TE")</f>
        <v>TE</v>
      </c>
      <c r="D2007" s="60" t="str">
        <f>IFERROR(__xludf.DUMMYFUNCTION("""COMPUTED_VALUE"""),"MIN")</f>
        <v>MIN</v>
      </c>
      <c r="E2007" s="62" t="str">
        <f t="shared" si="4"/>
        <v>Cam Grandy</v>
      </c>
      <c r="F2007" s="62">
        <f t="shared" ref="F2007:G2007" si="4013">IF(isblank(F$1),,IF(isblank($A2007),,IFERROR(vlookup($A2007,indirect("'TVC-"&amp;text(month(F$1),"00")&amp;"'!$A:$D"),4,false),1)))</f>
        <v>1</v>
      </c>
      <c r="G2007" s="62">
        <f t="shared" si="4013"/>
        <v>1</v>
      </c>
      <c r="H2007" s="62">
        <f t="shared" ref="H2007:Q2007" si="4014">IF(isblank(H$1),,IFERROR(vlookup($A2007,indirect("'TVC-"&amp;text(month(H$1),"00")&amp;"'!$A:$D"),4,false),1))</f>
        <v>1</v>
      </c>
      <c r="I2007" s="62">
        <f t="shared" si="4014"/>
        <v>1</v>
      </c>
      <c r="J2007" s="62">
        <f t="shared" si="4014"/>
        <v>1</v>
      </c>
      <c r="K2007" s="62">
        <f t="shared" si="4014"/>
        <v>1</v>
      </c>
      <c r="L2007" s="62">
        <f t="shared" si="4014"/>
        <v>1</v>
      </c>
      <c r="M2007" s="62">
        <f t="shared" si="4014"/>
        <v>1</v>
      </c>
      <c r="N2007" s="62">
        <f t="shared" si="4014"/>
        <v>1</v>
      </c>
      <c r="O2007" s="62">
        <f t="shared" si="4014"/>
        <v>1</v>
      </c>
      <c r="P2007" s="62" t="str">
        <f t="shared" si="4014"/>
        <v/>
      </c>
      <c r="Q2007" s="62" t="str">
        <f t="shared" si="4014"/>
        <v/>
      </c>
      <c r="R2007" s="62">
        <f t="shared" si="7"/>
        <v>0</v>
      </c>
      <c r="S2007" s="62"/>
      <c r="T2007" s="62"/>
      <c r="U2007" s="62"/>
      <c r="V2007" s="62"/>
      <c r="W2007" s="62"/>
      <c r="X2007" s="62"/>
      <c r="Y2007" s="62"/>
      <c r="Z2007" s="62"/>
      <c r="AA2007" s="62"/>
      <c r="AB2007" s="62"/>
      <c r="AC2007" s="62"/>
    </row>
    <row r="2008">
      <c r="A2008" s="60">
        <f>IFERROR(__xludf.DUMMYFUNCTION("""COMPUTED_VALUE"""),16982.0)</f>
        <v>16982</v>
      </c>
      <c r="B2008" s="60" t="str">
        <f>IFERROR(__xludf.DUMMYFUNCTION("""COMPUTED_VALUE"""),"Butler, Josh")</f>
        <v>Butler, Josh</v>
      </c>
      <c r="C2008" s="60" t="str">
        <f>IFERROR(__xludf.DUMMYFUNCTION("""COMPUTED_VALUE"""),"CB")</f>
        <v>CB</v>
      </c>
      <c r="D2008" s="60" t="str">
        <f>IFERROR(__xludf.DUMMYFUNCTION("""COMPUTED_VALUE"""),"FA")</f>
        <v>FA</v>
      </c>
      <c r="E2008" s="62" t="str">
        <f t="shared" si="4"/>
        <v>Josh Butler</v>
      </c>
      <c r="F2008" s="62">
        <f t="shared" ref="F2008:G2008" si="4015">IF(isblank(F$1),,IF(isblank($A2008),,IFERROR(vlookup($A2008,indirect("'TVC-"&amp;text(month(F$1),"00")&amp;"'!$A:$D"),4,false),1)))</f>
        <v>1</v>
      </c>
      <c r="G2008" s="62">
        <f t="shared" si="4015"/>
        <v>1</v>
      </c>
      <c r="H2008" s="62">
        <f t="shared" ref="H2008:Q2008" si="4016">IF(isblank(H$1),,IFERROR(vlookup($A2008,indirect("'TVC-"&amp;text(month(H$1),"00")&amp;"'!$A:$D"),4,false),1))</f>
        <v>1</v>
      </c>
      <c r="I2008" s="62">
        <f t="shared" si="4016"/>
        <v>1</v>
      </c>
      <c r="J2008" s="62">
        <f t="shared" si="4016"/>
        <v>1</v>
      </c>
      <c r="K2008" s="62">
        <f t="shared" si="4016"/>
        <v>1</v>
      </c>
      <c r="L2008" s="62">
        <f t="shared" si="4016"/>
        <v>1</v>
      </c>
      <c r="M2008" s="62">
        <f t="shared" si="4016"/>
        <v>1</v>
      </c>
      <c r="N2008" s="62">
        <f t="shared" si="4016"/>
        <v>1</v>
      </c>
      <c r="O2008" s="62">
        <f t="shared" si="4016"/>
        <v>1</v>
      </c>
      <c r="P2008" s="62" t="str">
        <f t="shared" si="4016"/>
        <v/>
      </c>
      <c r="Q2008" s="62" t="str">
        <f t="shared" si="4016"/>
        <v/>
      </c>
      <c r="R2008" s="62">
        <f t="shared" si="7"/>
        <v>0</v>
      </c>
      <c r="S2008" s="62"/>
      <c r="T2008" s="62"/>
      <c r="U2008" s="62"/>
      <c r="V2008" s="62"/>
      <c r="W2008" s="62"/>
      <c r="X2008" s="62"/>
      <c r="Y2008" s="62"/>
      <c r="Z2008" s="62"/>
      <c r="AA2008" s="62"/>
      <c r="AB2008" s="62"/>
      <c r="AC2008" s="62"/>
    </row>
    <row r="2009">
      <c r="A2009" s="60">
        <f>IFERROR(__xludf.DUMMYFUNCTION("""COMPUTED_VALUE"""),16989.0)</f>
        <v>16989</v>
      </c>
      <c r="B2009" s="60" t="str">
        <f>IFERROR(__xludf.DUMMYFUNCTION("""COMPUTED_VALUE"""),"Wood, Julius")</f>
        <v>Wood, Julius</v>
      </c>
      <c r="C2009" s="60" t="str">
        <f>IFERROR(__xludf.DUMMYFUNCTION("""COMPUTED_VALUE"""),"S")</f>
        <v>S</v>
      </c>
      <c r="D2009" s="60" t="str">
        <f>IFERROR(__xludf.DUMMYFUNCTION("""COMPUTED_VALUE"""),"MIA")</f>
        <v>MIA</v>
      </c>
      <c r="E2009" s="62" t="str">
        <f t="shared" si="4"/>
        <v>Julius Wood</v>
      </c>
      <c r="F2009" s="62">
        <f t="shared" ref="F2009:G2009" si="4017">IF(isblank(F$1),,IF(isblank($A2009),,IFERROR(vlookup($A2009,indirect("'TVC-"&amp;text(month(F$1),"00")&amp;"'!$A:$D"),4,false),1)))</f>
        <v>1</v>
      </c>
      <c r="G2009" s="62">
        <f t="shared" si="4017"/>
        <v>1</v>
      </c>
      <c r="H2009" s="62">
        <f t="shared" ref="H2009:Q2009" si="4018">IF(isblank(H$1),,IFERROR(vlookup($A2009,indirect("'TVC-"&amp;text(month(H$1),"00")&amp;"'!$A:$D"),4,false),1))</f>
        <v>1</v>
      </c>
      <c r="I2009" s="62">
        <f t="shared" si="4018"/>
        <v>1</v>
      </c>
      <c r="J2009" s="62">
        <f t="shared" si="4018"/>
        <v>1</v>
      </c>
      <c r="K2009" s="62">
        <f t="shared" si="4018"/>
        <v>1</v>
      </c>
      <c r="L2009" s="62">
        <f t="shared" si="4018"/>
        <v>1</v>
      </c>
      <c r="M2009" s="62">
        <f t="shared" si="4018"/>
        <v>1</v>
      </c>
      <c r="N2009" s="62">
        <f t="shared" si="4018"/>
        <v>1</v>
      </c>
      <c r="O2009" s="62">
        <f t="shared" si="4018"/>
        <v>1</v>
      </c>
      <c r="P2009" s="62" t="str">
        <f t="shared" si="4018"/>
        <v/>
      </c>
      <c r="Q2009" s="62" t="str">
        <f t="shared" si="4018"/>
        <v/>
      </c>
      <c r="R2009" s="62">
        <f t="shared" si="7"/>
        <v>0</v>
      </c>
      <c r="S2009" s="62"/>
      <c r="T2009" s="62"/>
      <c r="U2009" s="62"/>
      <c r="V2009" s="62"/>
      <c r="W2009" s="62"/>
      <c r="X2009" s="62"/>
      <c r="Y2009" s="62"/>
      <c r="Z2009" s="62"/>
      <c r="AA2009" s="62"/>
      <c r="AB2009" s="62"/>
      <c r="AC2009" s="62"/>
    </row>
    <row r="2010">
      <c r="A2010" s="60">
        <f>IFERROR(__xludf.DUMMYFUNCTION("""COMPUTED_VALUE"""),17000.0)</f>
        <v>17000</v>
      </c>
      <c r="B2010" s="60" t="str">
        <f>IFERROR(__xludf.DUMMYFUNCTION("""COMPUTED_VALUE"""),"Heyward, Shaka")</f>
        <v>Heyward, Shaka</v>
      </c>
      <c r="C2010" s="60" t="str">
        <f>IFERROR(__xludf.DUMMYFUNCTION("""COMPUTED_VALUE"""),"LB")</f>
        <v>LB</v>
      </c>
      <c r="D2010" s="60" t="str">
        <f>IFERROR(__xludf.DUMMYFUNCTION("""COMPUTED_VALUE"""),"MIA")</f>
        <v>MIA</v>
      </c>
      <c r="E2010" s="62" t="str">
        <f t="shared" si="4"/>
        <v>Shaka Heyward</v>
      </c>
      <c r="F2010" s="62">
        <f t="shared" ref="F2010:G2010" si="4019">IF(isblank(F$1),,IF(isblank($A2010),,IFERROR(vlookup($A2010,indirect("'TVC-"&amp;text(month(F$1),"00")&amp;"'!$A:$D"),4,false),1)))</f>
        <v>1</v>
      </c>
      <c r="G2010" s="62">
        <f t="shared" si="4019"/>
        <v>1</v>
      </c>
      <c r="H2010" s="62">
        <f t="shared" ref="H2010:Q2010" si="4020">IF(isblank(H$1),,IFERROR(vlookup($A2010,indirect("'TVC-"&amp;text(month(H$1),"00")&amp;"'!$A:$D"),4,false),1))</f>
        <v>1</v>
      </c>
      <c r="I2010" s="62">
        <f t="shared" si="4020"/>
        <v>1</v>
      </c>
      <c r="J2010" s="62">
        <f t="shared" si="4020"/>
        <v>1</v>
      </c>
      <c r="K2010" s="62">
        <f t="shared" si="4020"/>
        <v>1</v>
      </c>
      <c r="L2010" s="62">
        <f t="shared" si="4020"/>
        <v>1</v>
      </c>
      <c r="M2010" s="62">
        <f t="shared" si="4020"/>
        <v>1</v>
      </c>
      <c r="N2010" s="62">
        <f t="shared" si="4020"/>
        <v>1</v>
      </c>
      <c r="O2010" s="62">
        <f t="shared" si="4020"/>
        <v>1</v>
      </c>
      <c r="P2010" s="62" t="str">
        <f t="shared" si="4020"/>
        <v/>
      </c>
      <c r="Q2010" s="62" t="str">
        <f t="shared" si="4020"/>
        <v/>
      </c>
      <c r="R2010" s="62">
        <f t="shared" si="7"/>
        <v>0</v>
      </c>
      <c r="S2010" s="62"/>
      <c r="T2010" s="62"/>
      <c r="U2010" s="62"/>
      <c r="V2010" s="62"/>
      <c r="W2010" s="62"/>
      <c r="X2010" s="62"/>
      <c r="Y2010" s="62"/>
      <c r="Z2010" s="62"/>
      <c r="AA2010" s="62"/>
      <c r="AB2010" s="62"/>
      <c r="AC2010" s="62"/>
    </row>
    <row r="2011">
      <c r="A2011" s="60">
        <f>IFERROR(__xludf.DUMMYFUNCTION("""COMPUTED_VALUE"""),17001.0)</f>
        <v>17001</v>
      </c>
      <c r="B2011" s="60" t="str">
        <f>IFERROR(__xludf.DUMMYFUNCTION("""COMPUTED_VALUE"""),"Brooks, Kendell")</f>
        <v>Brooks, Kendell</v>
      </c>
      <c r="C2011" s="60" t="str">
        <f>IFERROR(__xludf.DUMMYFUNCTION("""COMPUTED_VALUE"""),"S")</f>
        <v>S</v>
      </c>
      <c r="D2011" s="60" t="str">
        <f>IFERROR(__xludf.DUMMYFUNCTION("""COMPUTED_VALUE"""),"TEN")</f>
        <v>TEN</v>
      </c>
      <c r="E2011" s="62" t="str">
        <f t="shared" si="4"/>
        <v>Kendell Brooks</v>
      </c>
      <c r="F2011" s="62">
        <f t="shared" ref="F2011:G2011" si="4021">IF(isblank(F$1),,IF(isblank($A2011),,IFERROR(vlookup($A2011,indirect("'TVC-"&amp;text(month(F$1),"00")&amp;"'!$A:$D"),4,false),1)))</f>
        <v>1</v>
      </c>
      <c r="G2011" s="62">
        <f t="shared" si="4021"/>
        <v>1</v>
      </c>
      <c r="H2011" s="62">
        <f t="shared" ref="H2011:Q2011" si="4022">IF(isblank(H$1),,IFERROR(vlookup($A2011,indirect("'TVC-"&amp;text(month(H$1),"00")&amp;"'!$A:$D"),4,false),1))</f>
        <v>1</v>
      </c>
      <c r="I2011" s="62">
        <f t="shared" si="4022"/>
        <v>1</v>
      </c>
      <c r="J2011" s="62">
        <f t="shared" si="4022"/>
        <v>1</v>
      </c>
      <c r="K2011" s="62">
        <f t="shared" si="4022"/>
        <v>1</v>
      </c>
      <c r="L2011" s="62">
        <f t="shared" si="4022"/>
        <v>1</v>
      </c>
      <c r="M2011" s="62">
        <f t="shared" si="4022"/>
        <v>1</v>
      </c>
      <c r="N2011" s="62">
        <f t="shared" si="4022"/>
        <v>1</v>
      </c>
      <c r="O2011" s="62">
        <f t="shared" si="4022"/>
        <v>1</v>
      </c>
      <c r="P2011" s="62" t="str">
        <f t="shared" si="4022"/>
        <v/>
      </c>
      <c r="Q2011" s="62" t="str">
        <f t="shared" si="4022"/>
        <v/>
      </c>
      <c r="R2011" s="62">
        <f t="shared" si="7"/>
        <v>0</v>
      </c>
      <c r="S2011" s="62"/>
      <c r="T2011" s="62"/>
      <c r="U2011" s="62"/>
      <c r="V2011" s="62"/>
      <c r="W2011" s="62"/>
      <c r="X2011" s="62"/>
      <c r="Y2011" s="62"/>
      <c r="Z2011" s="62"/>
      <c r="AA2011" s="62"/>
      <c r="AB2011" s="62"/>
      <c r="AC2011" s="62"/>
    </row>
    <row r="2012">
      <c r="A2012" s="60">
        <f>IFERROR(__xludf.DUMMYFUNCTION("""COMPUTED_VALUE"""),17010.0)</f>
        <v>17010</v>
      </c>
      <c r="B2012" s="60" t="str">
        <f>IFERROR(__xludf.DUMMYFUNCTION("""COMPUTED_VALUE"""),"Bozeman, Swayze")</f>
        <v>Bozeman, Swayze</v>
      </c>
      <c r="C2012" s="60" t="str">
        <f>IFERROR(__xludf.DUMMYFUNCTION("""COMPUTED_VALUE"""),"LB")</f>
        <v>LB</v>
      </c>
      <c r="D2012" s="60" t="str">
        <f>IFERROR(__xludf.DUMMYFUNCTION("""COMPUTED_VALUE"""),"CIN")</f>
        <v>CIN</v>
      </c>
      <c r="E2012" s="62" t="str">
        <f t="shared" si="4"/>
        <v>Swayze Bozeman</v>
      </c>
      <c r="F2012" s="62">
        <f t="shared" ref="F2012:G2012" si="4023">IF(isblank(F$1),,IF(isblank($A2012),,IFERROR(vlookup($A2012,indirect("'TVC-"&amp;text(month(F$1),"00")&amp;"'!$A:$D"),4,false),1)))</f>
        <v>1</v>
      </c>
      <c r="G2012" s="62">
        <f t="shared" si="4023"/>
        <v>1</v>
      </c>
      <c r="H2012" s="62">
        <f t="shared" ref="H2012:Q2012" si="4024">IF(isblank(H$1),,IFERROR(vlookup($A2012,indirect("'TVC-"&amp;text(month(H$1),"00")&amp;"'!$A:$D"),4,false),1))</f>
        <v>1</v>
      </c>
      <c r="I2012" s="62">
        <f t="shared" si="4024"/>
        <v>1</v>
      </c>
      <c r="J2012" s="62">
        <f t="shared" si="4024"/>
        <v>1</v>
      </c>
      <c r="K2012" s="62">
        <f t="shared" si="4024"/>
        <v>1</v>
      </c>
      <c r="L2012" s="62">
        <f t="shared" si="4024"/>
        <v>1</v>
      </c>
      <c r="M2012" s="62">
        <f t="shared" si="4024"/>
        <v>1</v>
      </c>
      <c r="N2012" s="62">
        <f t="shared" si="4024"/>
        <v>1</v>
      </c>
      <c r="O2012" s="62">
        <f t="shared" si="4024"/>
        <v>1</v>
      </c>
      <c r="P2012" s="62" t="str">
        <f t="shared" si="4024"/>
        <v/>
      </c>
      <c r="Q2012" s="62" t="str">
        <f t="shared" si="4024"/>
        <v/>
      </c>
      <c r="R2012" s="62">
        <f t="shared" si="7"/>
        <v>0</v>
      </c>
      <c r="S2012" s="62"/>
      <c r="T2012" s="62"/>
      <c r="U2012" s="62"/>
      <c r="V2012" s="62"/>
      <c r="W2012" s="62"/>
      <c r="X2012" s="62"/>
      <c r="Y2012" s="62"/>
      <c r="Z2012" s="62"/>
      <c r="AA2012" s="62"/>
      <c r="AB2012" s="62"/>
      <c r="AC2012" s="62"/>
    </row>
    <row r="2013">
      <c r="A2013" s="60">
        <f>IFERROR(__xludf.DUMMYFUNCTION("""COMPUTED_VALUE"""),17011.0)</f>
        <v>17011</v>
      </c>
      <c r="B2013" s="60" t="str">
        <f>IFERROR(__xludf.DUMMYFUNCTION("""COMPUTED_VALUE"""),"Wayne, Jared")</f>
        <v>Wayne, Jared</v>
      </c>
      <c r="C2013" s="60" t="str">
        <f>IFERROR(__xludf.DUMMYFUNCTION("""COMPUTED_VALUE"""),"WR")</f>
        <v>WR</v>
      </c>
      <c r="D2013" s="60" t="str">
        <f>IFERROR(__xludf.DUMMYFUNCTION("""COMPUTED_VALUE"""),"MIA")</f>
        <v>MIA</v>
      </c>
      <c r="E2013" s="62" t="str">
        <f t="shared" si="4"/>
        <v>Jared Wayne</v>
      </c>
      <c r="F2013" s="62">
        <f t="shared" ref="F2013:G2013" si="4025">IF(isblank(F$1),,IF(isblank($A2013),,IFERROR(vlookup($A2013,indirect("'TVC-"&amp;text(month(F$1),"00")&amp;"'!$A:$D"),4,false),1)))</f>
        <v>1</v>
      </c>
      <c r="G2013" s="62">
        <f t="shared" si="4025"/>
        <v>1</v>
      </c>
      <c r="H2013" s="62">
        <f t="shared" ref="H2013:Q2013" si="4026">IF(isblank(H$1),,IFERROR(vlookup($A2013,indirect("'TVC-"&amp;text(month(H$1),"00")&amp;"'!$A:$D"),4,false),1))</f>
        <v>1</v>
      </c>
      <c r="I2013" s="62">
        <f t="shared" si="4026"/>
        <v>1</v>
      </c>
      <c r="J2013" s="62">
        <f t="shared" si="4026"/>
        <v>1</v>
      </c>
      <c r="K2013" s="62">
        <f t="shared" si="4026"/>
        <v>1</v>
      </c>
      <c r="L2013" s="62">
        <f t="shared" si="4026"/>
        <v>1</v>
      </c>
      <c r="M2013" s="62">
        <f t="shared" si="4026"/>
        <v>1</v>
      </c>
      <c r="N2013" s="62">
        <f t="shared" si="4026"/>
        <v>1</v>
      </c>
      <c r="O2013" s="62">
        <f t="shared" si="4026"/>
        <v>1</v>
      </c>
      <c r="P2013" s="62" t="str">
        <f t="shared" si="4026"/>
        <v/>
      </c>
      <c r="Q2013" s="62" t="str">
        <f t="shared" si="4026"/>
        <v/>
      </c>
      <c r="R2013" s="62">
        <f t="shared" si="7"/>
        <v>0</v>
      </c>
      <c r="S2013" s="62"/>
      <c r="T2013" s="62"/>
      <c r="U2013" s="62"/>
      <c r="V2013" s="62"/>
      <c r="W2013" s="62"/>
      <c r="X2013" s="62"/>
      <c r="Y2013" s="62"/>
      <c r="Z2013" s="62"/>
      <c r="AA2013" s="62"/>
      <c r="AB2013" s="62"/>
      <c r="AC2013" s="62"/>
    </row>
    <row r="2014">
      <c r="A2014" s="60">
        <f>IFERROR(__xludf.DUMMYFUNCTION("""COMPUTED_VALUE"""),17016.0)</f>
        <v>17016</v>
      </c>
      <c r="B2014" s="60" t="str">
        <f>IFERROR(__xludf.DUMMYFUNCTION("""COMPUTED_VALUE"""),"Jones, Truman")</f>
        <v>Jones, Truman</v>
      </c>
      <c r="C2014" s="60" t="str">
        <f>IFERROR(__xludf.DUMMYFUNCTION("""COMPUTED_VALUE"""),"DE")</f>
        <v>DE</v>
      </c>
      <c r="D2014" s="60" t="str">
        <f>IFERROR(__xludf.DUMMYFUNCTION("""COMPUTED_VALUE"""),"TEN")</f>
        <v>TEN</v>
      </c>
      <c r="E2014" s="62" t="str">
        <f t="shared" si="4"/>
        <v>Truman Jones</v>
      </c>
      <c r="F2014" s="62">
        <f t="shared" ref="F2014:G2014" si="4027">IF(isblank(F$1),,IF(isblank($A2014),,IFERROR(vlookup($A2014,indirect("'TVC-"&amp;text(month(F$1),"00")&amp;"'!$A:$D"),4,false),1)))</f>
        <v>1</v>
      </c>
      <c r="G2014" s="62">
        <f t="shared" si="4027"/>
        <v>1</v>
      </c>
      <c r="H2014" s="62">
        <f t="shared" ref="H2014:Q2014" si="4028">IF(isblank(H$1),,IFERROR(vlookup($A2014,indirect("'TVC-"&amp;text(month(H$1),"00")&amp;"'!$A:$D"),4,false),1))</f>
        <v>1</v>
      </c>
      <c r="I2014" s="62">
        <f t="shared" si="4028"/>
        <v>1</v>
      </c>
      <c r="J2014" s="62">
        <f t="shared" si="4028"/>
        <v>1</v>
      </c>
      <c r="K2014" s="62">
        <f t="shared" si="4028"/>
        <v>1</v>
      </c>
      <c r="L2014" s="62">
        <f t="shared" si="4028"/>
        <v>1</v>
      </c>
      <c r="M2014" s="62">
        <f t="shared" si="4028"/>
        <v>1</v>
      </c>
      <c r="N2014" s="62">
        <f t="shared" si="4028"/>
        <v>1</v>
      </c>
      <c r="O2014" s="62">
        <f t="shared" si="4028"/>
        <v>1</v>
      </c>
      <c r="P2014" s="62" t="str">
        <f t="shared" si="4028"/>
        <v/>
      </c>
      <c r="Q2014" s="62" t="str">
        <f t="shared" si="4028"/>
        <v/>
      </c>
      <c r="R2014" s="62">
        <f t="shared" si="7"/>
        <v>0</v>
      </c>
      <c r="S2014" s="62"/>
      <c r="T2014" s="62"/>
      <c r="U2014" s="62"/>
      <c r="V2014" s="62"/>
      <c r="W2014" s="62"/>
      <c r="X2014" s="62"/>
      <c r="Y2014" s="62"/>
      <c r="Z2014" s="62"/>
      <c r="AA2014" s="62"/>
      <c r="AB2014" s="62"/>
      <c r="AC2014" s="62"/>
    </row>
    <row r="2015">
      <c r="A2015" s="60">
        <f>IFERROR(__xludf.DUMMYFUNCTION("""COMPUTED_VALUE"""),17027.0)</f>
        <v>17027</v>
      </c>
      <c r="B2015" s="60" t="str">
        <f>IFERROR(__xludf.DUMMYFUNCTION("""COMPUTED_VALUE"""),"Johnson, Ben")</f>
        <v>Johnson, Ben</v>
      </c>
      <c r="C2015" s="60" t="str">
        <f>IFERROR(__xludf.DUMMYFUNCTION("""COMPUTED_VALUE"""),"Coach")</f>
        <v>Coach</v>
      </c>
      <c r="D2015" s="60" t="str">
        <f>IFERROR(__xludf.DUMMYFUNCTION("""COMPUTED_VALUE"""),"CHI")</f>
        <v>CHI</v>
      </c>
      <c r="E2015" s="62" t="str">
        <f t="shared" si="4"/>
        <v>Ben Johnson</v>
      </c>
      <c r="F2015" s="62">
        <f t="shared" ref="F2015:G2015" si="4029">IF(isblank(F$1),,IF(isblank($A2015),,IFERROR(vlookup($A2015,indirect("'TVC-"&amp;text(month(F$1),"00")&amp;"'!$A:$D"),4,false),1)))</f>
        <v>1</v>
      </c>
      <c r="G2015" s="62">
        <f t="shared" si="4029"/>
        <v>1</v>
      </c>
      <c r="H2015" s="62">
        <f t="shared" ref="H2015:Q2015" si="4030">IF(isblank(H$1),,IFERROR(vlookup($A2015,indirect("'TVC-"&amp;text(month(H$1),"00")&amp;"'!$A:$D"),4,false),1))</f>
        <v>1</v>
      </c>
      <c r="I2015" s="62">
        <f t="shared" si="4030"/>
        <v>1</v>
      </c>
      <c r="J2015" s="62">
        <f t="shared" si="4030"/>
        <v>1</v>
      </c>
      <c r="K2015" s="62">
        <f t="shared" si="4030"/>
        <v>1</v>
      </c>
      <c r="L2015" s="62">
        <f t="shared" si="4030"/>
        <v>1</v>
      </c>
      <c r="M2015" s="62">
        <f t="shared" si="4030"/>
        <v>1</v>
      </c>
      <c r="N2015" s="62">
        <f t="shared" si="4030"/>
        <v>1</v>
      </c>
      <c r="O2015" s="62">
        <f t="shared" si="4030"/>
        <v>1</v>
      </c>
      <c r="P2015" s="62" t="str">
        <f t="shared" si="4030"/>
        <v/>
      </c>
      <c r="Q2015" s="62" t="str">
        <f t="shared" si="4030"/>
        <v/>
      </c>
      <c r="R2015" s="62">
        <f t="shared" si="7"/>
        <v>0</v>
      </c>
      <c r="S2015" s="62"/>
      <c r="T2015" s="62"/>
      <c r="U2015" s="62"/>
      <c r="V2015" s="62"/>
      <c r="W2015" s="62"/>
      <c r="X2015" s="62"/>
      <c r="Y2015" s="62"/>
      <c r="Z2015" s="62"/>
      <c r="AA2015" s="62"/>
      <c r="AB2015" s="62"/>
      <c r="AC2015" s="62"/>
    </row>
    <row r="2016">
      <c r="A2016" s="60">
        <f>IFERROR(__xludf.DUMMYFUNCTION("""COMPUTED_VALUE"""),17028.0)</f>
        <v>17028</v>
      </c>
      <c r="B2016" s="60" t="str">
        <f>IFERROR(__xludf.DUMMYFUNCTION("""COMPUTED_VALUE"""),"Schottenheimer, Brian")</f>
        <v>Schottenheimer, Brian</v>
      </c>
      <c r="C2016" s="60" t="str">
        <f>IFERROR(__xludf.DUMMYFUNCTION("""COMPUTED_VALUE"""),"Coach")</f>
        <v>Coach</v>
      </c>
      <c r="D2016" s="60" t="str">
        <f>IFERROR(__xludf.DUMMYFUNCTION("""COMPUTED_VALUE"""),"DAL")</f>
        <v>DAL</v>
      </c>
      <c r="E2016" s="62" t="str">
        <f t="shared" si="4"/>
        <v>Brian Schottenheimer</v>
      </c>
      <c r="F2016" s="62">
        <f t="shared" ref="F2016:G2016" si="4031">IF(isblank(F$1),,IF(isblank($A2016),,IFERROR(vlookup($A2016,indirect("'TVC-"&amp;text(month(F$1),"00")&amp;"'!$A:$D"),4,false),1)))</f>
        <v>1</v>
      </c>
      <c r="G2016" s="62">
        <f t="shared" si="4031"/>
        <v>1</v>
      </c>
      <c r="H2016" s="62">
        <f t="shared" ref="H2016:Q2016" si="4032">IF(isblank(H$1),,IFERROR(vlookup($A2016,indirect("'TVC-"&amp;text(month(H$1),"00")&amp;"'!$A:$D"),4,false),1))</f>
        <v>1</v>
      </c>
      <c r="I2016" s="62">
        <f t="shared" si="4032"/>
        <v>1</v>
      </c>
      <c r="J2016" s="62">
        <f t="shared" si="4032"/>
        <v>1</v>
      </c>
      <c r="K2016" s="62">
        <f t="shared" si="4032"/>
        <v>1</v>
      </c>
      <c r="L2016" s="62">
        <f t="shared" si="4032"/>
        <v>1</v>
      </c>
      <c r="M2016" s="62">
        <f t="shared" si="4032"/>
        <v>1</v>
      </c>
      <c r="N2016" s="62">
        <f t="shared" si="4032"/>
        <v>1</v>
      </c>
      <c r="O2016" s="62">
        <f t="shared" si="4032"/>
        <v>1</v>
      </c>
      <c r="P2016" s="62" t="str">
        <f t="shared" si="4032"/>
        <v/>
      </c>
      <c r="Q2016" s="62" t="str">
        <f t="shared" si="4032"/>
        <v/>
      </c>
      <c r="R2016" s="62">
        <f t="shared" si="7"/>
        <v>0</v>
      </c>
      <c r="S2016" s="62"/>
      <c r="T2016" s="62"/>
      <c r="U2016" s="62"/>
      <c r="V2016" s="62"/>
      <c r="W2016" s="62"/>
      <c r="X2016" s="62"/>
      <c r="Y2016" s="62"/>
      <c r="Z2016" s="62"/>
      <c r="AA2016" s="62"/>
      <c r="AB2016" s="62"/>
      <c r="AC2016" s="62"/>
    </row>
    <row r="2017">
      <c r="A2017" s="60">
        <f>IFERROR(__xludf.DUMMYFUNCTION("""COMPUTED_VALUE"""),17029.0)</f>
        <v>17029</v>
      </c>
      <c r="B2017" s="60" t="str">
        <f>IFERROR(__xludf.DUMMYFUNCTION("""COMPUTED_VALUE"""),"Coen, Liam")</f>
        <v>Coen, Liam</v>
      </c>
      <c r="C2017" s="60" t="str">
        <f>IFERROR(__xludf.DUMMYFUNCTION("""COMPUTED_VALUE"""),"Coach")</f>
        <v>Coach</v>
      </c>
      <c r="D2017" s="60" t="str">
        <f>IFERROR(__xludf.DUMMYFUNCTION("""COMPUTED_VALUE"""),"JAC")</f>
        <v>JAC</v>
      </c>
      <c r="E2017" s="62" t="str">
        <f t="shared" si="4"/>
        <v>Liam Coen</v>
      </c>
      <c r="F2017" s="62">
        <f t="shared" ref="F2017:G2017" si="4033">IF(isblank(F$1),,IF(isblank($A2017),,IFERROR(vlookup($A2017,indirect("'TVC-"&amp;text(month(F$1),"00")&amp;"'!$A:$D"),4,false),1)))</f>
        <v>1</v>
      </c>
      <c r="G2017" s="62">
        <f t="shared" si="4033"/>
        <v>1</v>
      </c>
      <c r="H2017" s="62">
        <f t="shared" ref="H2017:Q2017" si="4034">IF(isblank(H$1),,IFERROR(vlookup($A2017,indirect("'TVC-"&amp;text(month(H$1),"00")&amp;"'!$A:$D"),4,false),1))</f>
        <v>1</v>
      </c>
      <c r="I2017" s="62">
        <f t="shared" si="4034"/>
        <v>1</v>
      </c>
      <c r="J2017" s="62">
        <f t="shared" si="4034"/>
        <v>1</v>
      </c>
      <c r="K2017" s="62">
        <f t="shared" si="4034"/>
        <v>1</v>
      </c>
      <c r="L2017" s="62">
        <f t="shared" si="4034"/>
        <v>1</v>
      </c>
      <c r="M2017" s="62">
        <f t="shared" si="4034"/>
        <v>1</v>
      </c>
      <c r="N2017" s="62">
        <f t="shared" si="4034"/>
        <v>1</v>
      </c>
      <c r="O2017" s="62">
        <f t="shared" si="4034"/>
        <v>1</v>
      </c>
      <c r="P2017" s="62" t="str">
        <f t="shared" si="4034"/>
        <v/>
      </c>
      <c r="Q2017" s="62" t="str">
        <f t="shared" si="4034"/>
        <v/>
      </c>
      <c r="R2017" s="62">
        <f t="shared" si="7"/>
        <v>0</v>
      </c>
      <c r="S2017" s="62"/>
      <c r="T2017" s="62"/>
      <c r="U2017" s="62"/>
      <c r="V2017" s="62"/>
      <c r="W2017" s="62"/>
      <c r="X2017" s="62"/>
      <c r="Y2017" s="62"/>
      <c r="Z2017" s="62"/>
      <c r="AA2017" s="62"/>
      <c r="AB2017" s="62"/>
      <c r="AC2017" s="62"/>
    </row>
    <row r="2018">
      <c r="A2018" s="60">
        <f>IFERROR(__xludf.DUMMYFUNCTION("""COMPUTED_VALUE"""),17030.0)</f>
        <v>17030</v>
      </c>
      <c r="B2018" s="60" t="str">
        <f>IFERROR(__xludf.DUMMYFUNCTION("""COMPUTED_VALUE"""),"Ward, Cam")</f>
        <v>Ward, Cam</v>
      </c>
      <c r="C2018" s="60" t="str">
        <f>IFERROR(__xludf.DUMMYFUNCTION("""COMPUTED_VALUE"""),"QB")</f>
        <v>QB</v>
      </c>
      <c r="D2018" s="60" t="str">
        <f>IFERROR(__xludf.DUMMYFUNCTION("""COMPUTED_VALUE"""),"TEN")</f>
        <v>TEN</v>
      </c>
      <c r="E2018" s="62" t="str">
        <f t="shared" si="4"/>
        <v>Cam Ward</v>
      </c>
      <c r="F2018" s="62">
        <f t="shared" ref="F2018:G2018" si="4035">IF(isblank(F$1),,IF(isblank($A2018),,IFERROR(vlookup($A2018,indirect("'TVC-"&amp;text(month(F$1),"00")&amp;"'!$A:$D"),4,false),1)))</f>
        <v>4815</v>
      </c>
      <c r="G2018" s="62">
        <f t="shared" si="4035"/>
        <v>5030</v>
      </c>
      <c r="H2018" s="62">
        <f t="shared" ref="H2018:Q2018" si="4036">IF(isblank(H$1),,IFERROR(vlookup($A2018,indirect("'TVC-"&amp;text(month(H$1),"00")&amp;"'!$A:$D"),4,false),1))</f>
        <v>5089</v>
      </c>
      <c r="I2018" s="62">
        <f t="shared" si="4036"/>
        <v>5147</v>
      </c>
      <c r="J2018" s="62">
        <f t="shared" si="4036"/>
        <v>5248</v>
      </c>
      <c r="K2018" s="62">
        <f t="shared" si="4036"/>
        <v>5445</v>
      </c>
      <c r="L2018" s="62">
        <f t="shared" si="4036"/>
        <v>5363</v>
      </c>
      <c r="M2018" s="62">
        <f t="shared" si="4036"/>
        <v>5266</v>
      </c>
      <c r="N2018" s="62">
        <f t="shared" si="4036"/>
        <v>4696</v>
      </c>
      <c r="O2018" s="62">
        <f t="shared" si="4036"/>
        <v>1</v>
      </c>
      <c r="P2018" s="62" t="str">
        <f t="shared" si="4036"/>
        <v/>
      </c>
      <c r="Q2018" s="62" t="str">
        <f t="shared" si="4036"/>
        <v/>
      </c>
      <c r="R2018" s="62">
        <f t="shared" si="7"/>
        <v>-4695</v>
      </c>
      <c r="S2018" s="62"/>
      <c r="T2018" s="62"/>
      <c r="U2018" s="62"/>
      <c r="V2018" s="62"/>
      <c r="W2018" s="62"/>
      <c r="X2018" s="62"/>
      <c r="Y2018" s="62"/>
      <c r="Z2018" s="62"/>
      <c r="AA2018" s="62"/>
      <c r="AB2018" s="62"/>
      <c r="AC2018" s="62"/>
    </row>
    <row r="2019">
      <c r="A2019" s="60">
        <f>IFERROR(__xludf.DUMMYFUNCTION("""COMPUTED_VALUE"""),17031.0)</f>
        <v>17031</v>
      </c>
      <c r="B2019" s="60" t="str">
        <f>IFERROR(__xludf.DUMMYFUNCTION("""COMPUTED_VALUE"""),"Sanders, Shedeur")</f>
        <v>Sanders, Shedeur</v>
      </c>
      <c r="C2019" s="60" t="str">
        <f>IFERROR(__xludf.DUMMYFUNCTION("""COMPUTED_VALUE"""),"QB")</f>
        <v>QB</v>
      </c>
      <c r="D2019" s="60" t="str">
        <f>IFERROR(__xludf.DUMMYFUNCTION("""COMPUTED_VALUE"""),"CLE")</f>
        <v>CLE</v>
      </c>
      <c r="E2019" s="62" t="str">
        <f t="shared" si="4"/>
        <v>Shedeur Sanders</v>
      </c>
      <c r="F2019" s="62">
        <f t="shared" ref="F2019:G2019" si="4037">IF(isblank(F$1),,IF(isblank($A2019),,IFERROR(vlookup($A2019,indirect("'TVC-"&amp;text(month(F$1),"00")&amp;"'!$A:$D"),4,false),1)))</f>
        <v>3101</v>
      </c>
      <c r="G2019" s="62">
        <f t="shared" si="4037"/>
        <v>2900</v>
      </c>
      <c r="H2019" s="62">
        <f t="shared" ref="H2019:Q2019" si="4038">IF(isblank(H$1),,IFERROR(vlookup($A2019,indirect("'TVC-"&amp;text(month(H$1),"00")&amp;"'!$A:$D"),4,false),1))</f>
        <v>2842</v>
      </c>
      <c r="I2019" s="62">
        <f t="shared" si="4038"/>
        <v>2846</v>
      </c>
      <c r="J2019" s="62">
        <f t="shared" si="4038"/>
        <v>2825</v>
      </c>
      <c r="K2019" s="62">
        <f t="shared" si="4038"/>
        <v>2749</v>
      </c>
      <c r="L2019" s="62">
        <f t="shared" si="4038"/>
        <v>2714</v>
      </c>
      <c r="M2019" s="62">
        <f t="shared" si="4038"/>
        <v>2678</v>
      </c>
      <c r="N2019" s="62">
        <f t="shared" si="4038"/>
        <v>2363</v>
      </c>
      <c r="O2019" s="62">
        <f t="shared" si="4038"/>
        <v>1</v>
      </c>
      <c r="P2019" s="62" t="str">
        <f t="shared" si="4038"/>
        <v/>
      </c>
      <c r="Q2019" s="62" t="str">
        <f t="shared" si="4038"/>
        <v/>
      </c>
      <c r="R2019" s="62">
        <f t="shared" si="7"/>
        <v>-2362</v>
      </c>
      <c r="S2019" s="62"/>
      <c r="T2019" s="62"/>
      <c r="U2019" s="62"/>
      <c r="V2019" s="62"/>
      <c r="W2019" s="62"/>
      <c r="X2019" s="62"/>
      <c r="Y2019" s="62"/>
      <c r="Z2019" s="62"/>
      <c r="AA2019" s="62"/>
      <c r="AB2019" s="62"/>
      <c r="AC2019" s="62"/>
    </row>
    <row r="2020">
      <c r="A2020" s="60">
        <f>IFERROR(__xludf.DUMMYFUNCTION("""COMPUTED_VALUE"""),17032.0)</f>
        <v>17032</v>
      </c>
      <c r="B2020" s="60" t="str">
        <f>IFERROR(__xludf.DUMMYFUNCTION("""COMPUTED_VALUE"""),"Dart, Jaxson")</f>
        <v>Dart, Jaxson</v>
      </c>
      <c r="C2020" s="60" t="str">
        <f>IFERROR(__xludf.DUMMYFUNCTION("""COMPUTED_VALUE"""),"QB")</f>
        <v>QB</v>
      </c>
      <c r="D2020" s="60" t="str">
        <f>IFERROR(__xludf.DUMMYFUNCTION("""COMPUTED_VALUE"""),"NYG")</f>
        <v>NYG</v>
      </c>
      <c r="E2020" s="62" t="str">
        <f t="shared" si="4"/>
        <v>Jaxson Dart</v>
      </c>
      <c r="F2020" s="62">
        <f t="shared" ref="F2020:G2020" si="4039">IF(isblank(F$1),,IF(isblank($A2020),,IFERROR(vlookup($A2020,indirect("'TVC-"&amp;text(month(F$1),"00")&amp;"'!$A:$D"),4,false),1)))</f>
        <v>6391</v>
      </c>
      <c r="G2020" s="62">
        <f t="shared" si="4039"/>
        <v>6600</v>
      </c>
      <c r="H2020" s="62">
        <f t="shared" ref="H2020:Q2020" si="4040">IF(isblank(H$1),,IFERROR(vlookup($A2020,indirect("'TVC-"&amp;text(month(H$1),"00")&amp;"'!$A:$D"),4,false),1))</f>
        <v>6630</v>
      </c>
      <c r="I2020" s="62">
        <f t="shared" si="4040"/>
        <v>6653</v>
      </c>
      <c r="J2020" s="62">
        <f t="shared" si="4040"/>
        <v>6632</v>
      </c>
      <c r="K2020" s="62">
        <f t="shared" si="4040"/>
        <v>6606</v>
      </c>
      <c r="L2020" s="62">
        <f t="shared" si="4040"/>
        <v>6449</v>
      </c>
      <c r="M2020" s="62">
        <f t="shared" si="4040"/>
        <v>6293</v>
      </c>
      <c r="N2020" s="62">
        <f t="shared" si="4040"/>
        <v>5886</v>
      </c>
      <c r="O2020" s="62">
        <f t="shared" si="4040"/>
        <v>1</v>
      </c>
      <c r="P2020" s="62" t="str">
        <f t="shared" si="4040"/>
        <v/>
      </c>
      <c r="Q2020" s="62" t="str">
        <f t="shared" si="4040"/>
        <v/>
      </c>
      <c r="R2020" s="62">
        <f t="shared" si="7"/>
        <v>-5885</v>
      </c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</row>
    <row r="2021">
      <c r="A2021" s="60">
        <f>IFERROR(__xludf.DUMMYFUNCTION("""COMPUTED_VALUE"""),17033.0)</f>
        <v>17033</v>
      </c>
      <c r="B2021" s="60" t="str">
        <f>IFERROR(__xludf.DUMMYFUNCTION("""COMPUTED_VALUE"""),"Milroe, Jalen")</f>
        <v>Milroe, Jalen</v>
      </c>
      <c r="C2021" s="60" t="str">
        <f>IFERROR(__xludf.DUMMYFUNCTION("""COMPUTED_VALUE"""),"QB")</f>
        <v>QB</v>
      </c>
      <c r="D2021" s="60" t="str">
        <f>IFERROR(__xludf.DUMMYFUNCTION("""COMPUTED_VALUE"""),"SEA")</f>
        <v>SEA</v>
      </c>
      <c r="E2021" s="62" t="str">
        <f t="shared" si="4"/>
        <v>Jalen Milroe</v>
      </c>
      <c r="F2021" s="62">
        <f t="shared" ref="F2021:G2021" si="4041">IF(isblank(F$1),,IF(isblank($A2021),,IFERROR(vlookup($A2021,indirect("'TVC-"&amp;text(month(F$1),"00")&amp;"'!$A:$D"),4,false),1)))</f>
        <v>2403</v>
      </c>
      <c r="G2021" s="62">
        <f t="shared" si="4041"/>
        <v>2383</v>
      </c>
      <c r="H2021" s="62">
        <f t="shared" ref="H2021:Q2021" si="4042">IF(isblank(H$1),,IFERROR(vlookup($A2021,indirect("'TVC-"&amp;text(month(H$1),"00")&amp;"'!$A:$D"),4,false),1))</f>
        <v>2437</v>
      </c>
      <c r="I2021" s="62">
        <f t="shared" si="4042"/>
        <v>2457</v>
      </c>
      <c r="J2021" s="62">
        <f t="shared" si="4042"/>
        <v>2358</v>
      </c>
      <c r="K2021" s="62">
        <f t="shared" si="4042"/>
        <v>2249</v>
      </c>
      <c r="L2021" s="62">
        <f t="shared" si="4042"/>
        <v>2237</v>
      </c>
      <c r="M2021" s="62">
        <f t="shared" si="4042"/>
        <v>2191</v>
      </c>
      <c r="N2021" s="62">
        <f t="shared" si="4042"/>
        <v>2104</v>
      </c>
      <c r="O2021" s="62">
        <f t="shared" si="4042"/>
        <v>1</v>
      </c>
      <c r="P2021" s="62" t="str">
        <f t="shared" si="4042"/>
        <v/>
      </c>
      <c r="Q2021" s="62" t="str">
        <f t="shared" si="4042"/>
        <v/>
      </c>
      <c r="R2021" s="62">
        <f t="shared" si="7"/>
        <v>-2103</v>
      </c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</row>
    <row r="2022">
      <c r="A2022" s="60">
        <f>IFERROR(__xludf.DUMMYFUNCTION("""COMPUTED_VALUE"""),17034.0)</f>
        <v>17034</v>
      </c>
      <c r="B2022" s="60" t="str">
        <f>IFERROR(__xludf.DUMMYFUNCTION("""COMPUTED_VALUE"""),"Ewers,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IFERROR(__xludf.DUMMYFUNCTION("""COMPUTED_VALUE"""),"JAC")</f>
        <v>JAC</v>
      </c>
      <c r="E2022" s="62" t="str">
        <f t="shared" si="4"/>
        <v>Quinn Ewers</v>
      </c>
      <c r="F2022" s="62">
        <f t="shared" ref="F2022:G2022" si="4043">IF(isblank(F$1),,IF(isblank($A2022),,IFERROR(vlookup($A2022,indirect("'TVC-"&amp;text(month(F$1),"00")&amp;"'!$A:$D"),4,false),1)))</f>
        <v>1942</v>
      </c>
      <c r="G2022" s="62">
        <f t="shared" si="4043"/>
        <v>2197</v>
      </c>
      <c r="H2022" s="62">
        <f t="shared" ref="H2022:Q2022" si="4044">IF(isblank(H$1),,IFERROR(vlookup($A2022,indirect("'TVC-"&amp;text(month(H$1),"00")&amp;"'!$A:$D"),4,false),1))</f>
        <v>2297</v>
      </c>
      <c r="I2022" s="62">
        <f t="shared" si="4044"/>
        <v>1934</v>
      </c>
      <c r="J2022" s="62">
        <f t="shared" si="4044"/>
        <v>1851</v>
      </c>
      <c r="K2022" s="62">
        <f t="shared" si="4044"/>
        <v>1801</v>
      </c>
      <c r="L2022" s="62">
        <f t="shared" si="4044"/>
        <v>1714</v>
      </c>
      <c r="M2022" s="62">
        <f t="shared" si="4044"/>
        <v>1722</v>
      </c>
      <c r="N2022" s="62">
        <f t="shared" si="4044"/>
        <v>1520</v>
      </c>
      <c r="O2022" s="62">
        <f t="shared" si="4044"/>
        <v>1</v>
      </c>
      <c r="P2022" s="62" t="str">
        <f t="shared" si="4044"/>
        <v/>
      </c>
      <c r="Q2022" s="62" t="str">
        <f t="shared" si="4044"/>
        <v/>
      </c>
      <c r="R2022" s="62">
        <f t="shared" si="7"/>
        <v>-1519</v>
      </c>
      <c r="S2022" s="62"/>
      <c r="T2022" s="62"/>
      <c r="U2022" s="62"/>
      <c r="V2022" s="62"/>
      <c r="W2022" s="62"/>
      <c r="X2022" s="62"/>
      <c r="Y2022" s="62"/>
      <c r="Z2022" s="62"/>
      <c r="AA2022" s="62"/>
      <c r="AB2022" s="62"/>
      <c r="AC2022" s="62"/>
    </row>
    <row r="2023">
      <c r="A2023" s="60">
        <f>IFERROR(__xludf.DUMMYFUNCTION("""COMPUTED_VALUE"""),17035.0)</f>
        <v>17035</v>
      </c>
      <c r="B2023" s="60" t="str">
        <f>IFERROR(__xludf.DUMMYFUNCTION("""COMPUTED_VALUE"""),"Leonard, Riley")</f>
        <v>Leonard, Riley</v>
      </c>
      <c r="C2023" s="60" t="str">
        <f>IFERROR(__xludf.DUMMYFUNCTION("""COMPUTED_VALUE"""),"QB")</f>
        <v>QB</v>
      </c>
      <c r="D2023" s="60" t="str">
        <f>IFERROR(__xludf.DUMMYFUNCTION("""COMPUTED_VALUE"""),"IND")</f>
        <v>IND</v>
      </c>
      <c r="E2023" s="62" t="str">
        <f t="shared" si="4"/>
        <v>Riley Leonard</v>
      </c>
      <c r="F2023" s="62">
        <f t="shared" ref="F2023:G2023" si="4045">IF(isblank(F$1),,IF(isblank($A2023),,IFERROR(vlookup($A2023,indirect("'TVC-"&amp;text(month(F$1),"00")&amp;"'!$A:$D"),4,false),1)))</f>
        <v>1404</v>
      </c>
      <c r="G2023" s="62">
        <f t="shared" si="4045"/>
        <v>1804</v>
      </c>
      <c r="H2023" s="62">
        <f t="shared" ref="H2023:Q2023" si="4046">IF(isblank(H$1),,IFERROR(vlookup($A2023,indirect("'TVC-"&amp;text(month(H$1),"00")&amp;"'!$A:$D"),4,false),1))</f>
        <v>1860</v>
      </c>
      <c r="I2023" s="62">
        <f t="shared" si="4046"/>
        <v>1794</v>
      </c>
      <c r="J2023" s="62">
        <f t="shared" si="4046"/>
        <v>1811</v>
      </c>
      <c r="K2023" s="62">
        <f t="shared" si="4046"/>
        <v>1749</v>
      </c>
      <c r="L2023" s="62">
        <f t="shared" si="4046"/>
        <v>1704</v>
      </c>
      <c r="M2023" s="62">
        <f t="shared" si="4046"/>
        <v>1592</v>
      </c>
      <c r="N2023" s="62">
        <f t="shared" si="4046"/>
        <v>1462</v>
      </c>
      <c r="O2023" s="62">
        <f t="shared" si="4046"/>
        <v>1</v>
      </c>
      <c r="P2023" s="62" t="str">
        <f t="shared" si="4046"/>
        <v/>
      </c>
      <c r="Q2023" s="62" t="str">
        <f t="shared" si="4046"/>
        <v/>
      </c>
      <c r="R2023" s="62">
        <f t="shared" si="7"/>
        <v>-1461</v>
      </c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</row>
    <row r="2024">
      <c r="A2024" s="60">
        <f>IFERROR(__xludf.DUMMYFUNCTION("""COMPUTED_VALUE"""),17036.0)</f>
        <v>17036</v>
      </c>
      <c r="B2024" s="60" t="str">
        <f>IFERROR(__xludf.DUMMYFUNCTION("""COMPUTED_VALUE"""),"Howard, Will")</f>
        <v>Howard, Will</v>
      </c>
      <c r="C2024" s="60" t="str">
        <f>IFERROR(__xludf.DUMMYFUNCTION("""COMPUTED_VALUE"""),"QB")</f>
        <v>QB</v>
      </c>
      <c r="D2024" s="60" t="str">
        <f>IFERROR(__xludf.DUMMYFUNCTION("""COMPUTED_VALUE"""),"PIT")</f>
        <v>PIT</v>
      </c>
      <c r="E2024" s="62" t="str">
        <f t="shared" si="4"/>
        <v>Will Howard</v>
      </c>
      <c r="F2024" s="62">
        <f t="shared" ref="F2024:G2024" si="4047">IF(isblank(F$1),,IF(isblank($A2024),,IFERROR(vlookup($A2024,indirect("'TVC-"&amp;text(month(F$1),"00")&amp;"'!$A:$D"),4,false),1)))</f>
        <v>1647</v>
      </c>
      <c r="G2024" s="62">
        <f t="shared" si="4047"/>
        <v>1872</v>
      </c>
      <c r="H2024" s="62">
        <f t="shared" ref="H2024:Q2024" si="4048">IF(isblank(H$1),,IFERROR(vlookup($A2024,indirect("'TVC-"&amp;text(month(H$1),"00")&amp;"'!$A:$D"),4,false),1))</f>
        <v>1975</v>
      </c>
      <c r="I2024" s="62">
        <f t="shared" si="4048"/>
        <v>2092</v>
      </c>
      <c r="J2024" s="62">
        <f t="shared" si="4048"/>
        <v>1971</v>
      </c>
      <c r="K2024" s="62">
        <f t="shared" si="4048"/>
        <v>1970</v>
      </c>
      <c r="L2024" s="62">
        <f t="shared" si="4048"/>
        <v>1946</v>
      </c>
      <c r="M2024" s="62">
        <f t="shared" si="4048"/>
        <v>1825</v>
      </c>
      <c r="N2024" s="62">
        <f t="shared" si="4048"/>
        <v>1731</v>
      </c>
      <c r="O2024" s="62">
        <f t="shared" si="4048"/>
        <v>1</v>
      </c>
      <c r="P2024" s="62" t="str">
        <f t="shared" si="4048"/>
        <v/>
      </c>
      <c r="Q2024" s="62" t="str">
        <f t="shared" si="4048"/>
        <v/>
      </c>
      <c r="R2024" s="62">
        <f t="shared" si="7"/>
        <v>-1730</v>
      </c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</row>
    <row r="2025">
      <c r="A2025" s="60">
        <f>IFERROR(__xludf.DUMMYFUNCTION("""COMPUTED_VALUE"""),17037.0)</f>
        <v>17037</v>
      </c>
      <c r="B2025" s="60" t="str">
        <f>IFERROR(__xludf.DUMMYFUNCTION("""COMPUTED_VALUE"""),"Gabriel, Dillon")</f>
        <v>Gabriel, Dillon</v>
      </c>
      <c r="C2025" s="60" t="str">
        <f>IFERROR(__xludf.DUMMYFUNCTION("""COMPUTED_VALUE"""),"QB")</f>
        <v>QB</v>
      </c>
      <c r="D2025" s="60" t="str">
        <f>IFERROR(__xludf.DUMMYFUNCTION("""COMPUTED_VALUE"""),"CLE")</f>
        <v>CLE</v>
      </c>
      <c r="E2025" s="62" t="str">
        <f t="shared" si="4"/>
        <v>Dillon Gabriel</v>
      </c>
      <c r="F2025" s="62">
        <f t="shared" ref="F2025:G2025" si="4049">IF(isblank(F$1),,IF(isblank($A2025),,IFERROR(vlookup($A2025,indirect("'TVC-"&amp;text(month(F$1),"00")&amp;"'!$A:$D"),4,false),1)))</f>
        <v>1676</v>
      </c>
      <c r="G2025" s="62">
        <f t="shared" si="4049"/>
        <v>1601</v>
      </c>
      <c r="H2025" s="62">
        <f t="shared" ref="H2025:Q2025" si="4050">IF(isblank(H$1),,IFERROR(vlookup($A2025,indirect("'TVC-"&amp;text(month(H$1),"00")&amp;"'!$A:$D"),4,false),1))</f>
        <v>1610</v>
      </c>
      <c r="I2025" s="62">
        <f t="shared" si="4050"/>
        <v>1622</v>
      </c>
      <c r="J2025" s="62">
        <f t="shared" si="4050"/>
        <v>1497</v>
      </c>
      <c r="K2025" s="62">
        <f t="shared" si="4050"/>
        <v>1425</v>
      </c>
      <c r="L2025" s="62">
        <f t="shared" si="4050"/>
        <v>1318</v>
      </c>
      <c r="M2025" s="62">
        <f t="shared" si="4050"/>
        <v>1239</v>
      </c>
      <c r="N2025" s="62">
        <f t="shared" si="4050"/>
        <v>1033</v>
      </c>
      <c r="O2025" s="62">
        <f t="shared" si="4050"/>
        <v>1</v>
      </c>
      <c r="P2025" s="62" t="str">
        <f t="shared" si="4050"/>
        <v/>
      </c>
      <c r="Q2025" s="62" t="str">
        <f t="shared" si="4050"/>
        <v/>
      </c>
      <c r="R2025" s="62">
        <f t="shared" si="7"/>
        <v>-1032</v>
      </c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</row>
    <row r="2026">
      <c r="A2026" s="60">
        <f>IFERROR(__xludf.DUMMYFUNCTION("""COMPUTED_VALUE"""),17038.0)</f>
        <v>17038</v>
      </c>
      <c r="B2026" s="60" t="str">
        <f>IFERROR(__xludf.DUMMYFUNCTION("""COMPUTED_VALUE"""),"McCord, Kyle")</f>
        <v>McCord, Kyle</v>
      </c>
      <c r="C2026" s="60" t="str">
        <f>IFERROR(__xludf.DUMMYFUNCTION("""COMPUTED_VALUE"""),"QB")</f>
        <v>QB</v>
      </c>
      <c r="D2026" s="60" t="str">
        <f>IFERROR(__xludf.DUMMYFUNCTION("""COMPUTED_VALUE"""),"MIA")</f>
        <v>MIA</v>
      </c>
      <c r="E2026" s="62" t="str">
        <f t="shared" si="4"/>
        <v>Kyle McCord</v>
      </c>
      <c r="F2026" s="62">
        <f t="shared" ref="F2026:G2026" si="4051">IF(isblank(F$1),,IF(isblank($A2026),,IFERROR(vlookup($A2026,indirect("'TVC-"&amp;text(month(F$1),"00")&amp;"'!$A:$D"),4,false),1)))</f>
        <v>617</v>
      </c>
      <c r="G2026" s="62">
        <f t="shared" si="4051"/>
        <v>1</v>
      </c>
      <c r="H2026" s="62">
        <f t="shared" ref="H2026:Q2026" si="4052">IF(isblank(H$1),,IFERROR(vlookup($A2026,indirect("'TVC-"&amp;text(month(H$1),"00")&amp;"'!$A:$D"),4,false),1))</f>
        <v>1</v>
      </c>
      <c r="I2026" s="62">
        <f t="shared" si="4052"/>
        <v>755</v>
      </c>
      <c r="J2026" s="62">
        <f t="shared" si="4052"/>
        <v>606</v>
      </c>
      <c r="K2026" s="62">
        <f t="shared" si="4052"/>
        <v>505</v>
      </c>
      <c r="L2026" s="62">
        <f t="shared" si="4052"/>
        <v>530</v>
      </c>
      <c r="M2026" s="62">
        <f t="shared" si="4052"/>
        <v>576</v>
      </c>
      <c r="N2026" s="62">
        <f t="shared" si="4052"/>
        <v>653</v>
      </c>
      <c r="O2026" s="62">
        <f t="shared" si="4052"/>
        <v>1</v>
      </c>
      <c r="P2026" s="62" t="str">
        <f t="shared" si="4052"/>
        <v/>
      </c>
      <c r="Q2026" s="62" t="str">
        <f t="shared" si="4052"/>
        <v/>
      </c>
      <c r="R2026" s="62">
        <f t="shared" si="7"/>
        <v>-652</v>
      </c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</row>
    <row r="2027">
      <c r="A2027" s="60">
        <f>IFERROR(__xludf.DUMMYFUNCTION("""COMPUTED_VALUE"""),17039.0)</f>
        <v>17039</v>
      </c>
      <c r="B2027" s="60" t="str">
        <f>IFERROR(__xludf.DUMMYFUNCTION("""COMPUTED_VALUE"""),"Shough, Tyler")</f>
        <v>Shough, Tyler</v>
      </c>
      <c r="C2027" s="60" t="str">
        <f>IFERROR(__xludf.DUMMYFUNCTION("""COMPUTED_VALUE"""),"QB")</f>
        <v>QB</v>
      </c>
      <c r="D2027" s="60" t="str">
        <f>IFERROR(__xludf.DUMMYFUNCTION("""COMPUTED_VALUE"""),"NOS")</f>
        <v>NOS</v>
      </c>
      <c r="E2027" s="62" t="str">
        <f t="shared" si="4"/>
        <v>Tyler Shough</v>
      </c>
      <c r="F2027" s="62">
        <f t="shared" ref="F2027:G2027" si="4053">IF(isblank(F$1),,IF(isblank($A2027),,IFERROR(vlookup($A2027,indirect("'TVC-"&amp;text(month(F$1),"00")&amp;"'!$A:$D"),4,false),1)))</f>
        <v>3674</v>
      </c>
      <c r="G2027" s="62">
        <f t="shared" si="4053"/>
        <v>4586</v>
      </c>
      <c r="H2027" s="62">
        <f t="shared" ref="H2027:Q2027" si="4054">IF(isblank(H$1),,IFERROR(vlookup($A2027,indirect("'TVC-"&amp;text(month(H$1),"00")&amp;"'!$A:$D"),4,false),1))</f>
        <v>4599</v>
      </c>
      <c r="I2027" s="62">
        <f t="shared" si="4054"/>
        <v>4632</v>
      </c>
      <c r="J2027" s="62">
        <f t="shared" si="4054"/>
        <v>4841</v>
      </c>
      <c r="K2027" s="62">
        <f t="shared" si="4054"/>
        <v>4930</v>
      </c>
      <c r="L2027" s="62">
        <f t="shared" si="4054"/>
        <v>4816</v>
      </c>
      <c r="M2027" s="62">
        <f t="shared" si="4054"/>
        <v>4837</v>
      </c>
      <c r="N2027" s="62">
        <f t="shared" si="4054"/>
        <v>4800</v>
      </c>
      <c r="O2027" s="62">
        <f t="shared" si="4054"/>
        <v>1</v>
      </c>
      <c r="P2027" s="62" t="str">
        <f t="shared" si="4054"/>
        <v/>
      </c>
      <c r="Q2027" s="62" t="str">
        <f t="shared" si="4054"/>
        <v/>
      </c>
      <c r="R2027" s="62">
        <f t="shared" si="7"/>
        <v>-4799</v>
      </c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</row>
    <row r="2028">
      <c r="A2028" s="60">
        <f>IFERROR(__xludf.DUMMYFUNCTION("""COMPUTED_VALUE"""),17040.0)</f>
        <v>17040</v>
      </c>
      <c r="B2028" s="60" t="str">
        <f>IFERROR(__xludf.DUMMYFUNCTION("""COMPUTED_VALUE"""),"Cook, Brady")</f>
        <v>Cook, Brady</v>
      </c>
      <c r="C2028" s="60" t="str">
        <f>IFERROR(__xludf.DUMMYFUNCTION("""COMPUTED_VALUE"""),"QB")</f>
        <v>QB</v>
      </c>
      <c r="D2028" s="60" t="str">
        <f>IFERROR(__xludf.DUMMYFUNCTION("""COMPUTED_VALUE"""),"MIA")</f>
        <v>MIA</v>
      </c>
      <c r="E2028" s="62" t="str">
        <f t="shared" si="4"/>
        <v>Brady Cook</v>
      </c>
      <c r="F2028" s="62">
        <f t="shared" ref="F2028:G2028" si="4055">IF(isblank(F$1),,IF(isblank($A2028),,IFERROR(vlookup($A2028,indirect("'TVC-"&amp;text(month(F$1),"00")&amp;"'!$A:$D"),4,false),1)))</f>
        <v>1</v>
      </c>
      <c r="G2028" s="62">
        <f t="shared" si="4055"/>
        <v>1</v>
      </c>
      <c r="H2028" s="62">
        <f t="shared" ref="H2028:Q2028" si="4056">IF(isblank(H$1),,IFERROR(vlookup($A2028,indirect("'TVC-"&amp;text(month(H$1),"00")&amp;"'!$A:$D"),4,false),1))</f>
        <v>1</v>
      </c>
      <c r="I2028" s="62">
        <f t="shared" si="4056"/>
        <v>1</v>
      </c>
      <c r="J2028" s="62">
        <f t="shared" si="4056"/>
        <v>1</v>
      </c>
      <c r="K2028" s="62">
        <f t="shared" si="4056"/>
        <v>1</v>
      </c>
      <c r="L2028" s="62">
        <f t="shared" si="4056"/>
        <v>1</v>
      </c>
      <c r="M2028" s="62">
        <f t="shared" si="4056"/>
        <v>1</v>
      </c>
      <c r="N2028" s="62">
        <f t="shared" si="4056"/>
        <v>1</v>
      </c>
      <c r="O2028" s="62">
        <f t="shared" si="4056"/>
        <v>1</v>
      </c>
      <c r="P2028" s="62" t="str">
        <f t="shared" si="4056"/>
        <v/>
      </c>
      <c r="Q2028" s="62" t="str">
        <f t="shared" si="4056"/>
        <v/>
      </c>
      <c r="R2028" s="62">
        <f t="shared" si="7"/>
        <v>0</v>
      </c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</row>
    <row r="2029">
      <c r="A2029" s="60">
        <f>IFERROR(__xludf.DUMMYFUNCTION("""COMPUTED_VALUE"""),17041.0)</f>
        <v>17041</v>
      </c>
      <c r="B2029" s="60" t="str">
        <f>IFERROR(__xludf.DUMMYFUNCTION("""COMPUTED_VALUE"""),"Rourke, Kurtis")</f>
        <v>Rourke, Kurtis</v>
      </c>
      <c r="C2029" s="60" t="str">
        <f>IFERROR(__xludf.DUMMYFUNCTION("""COMPUTED_VALUE"""),"QB")</f>
        <v>QB</v>
      </c>
      <c r="D2029" s="60" t="str">
        <f>IFERROR(__xludf.DUMMYFUNCTION("""COMPUTED_VALUE"""),"SFO")</f>
        <v>SFO</v>
      </c>
      <c r="E2029" s="62" t="str">
        <f t="shared" si="4"/>
        <v>Kurtis Rourke</v>
      </c>
      <c r="F2029" s="62">
        <f t="shared" ref="F2029:G2029" si="4057">IF(isblank(F$1),,IF(isblank($A2029),,IFERROR(vlookup($A2029,indirect("'TVC-"&amp;text(month(F$1),"00")&amp;"'!$A:$D"),4,false),1)))</f>
        <v>1</v>
      </c>
      <c r="G2029" s="62">
        <f t="shared" si="4057"/>
        <v>1</v>
      </c>
      <c r="H2029" s="62">
        <f t="shared" ref="H2029:Q2029" si="4058">IF(isblank(H$1),,IFERROR(vlookup($A2029,indirect("'TVC-"&amp;text(month(H$1),"00")&amp;"'!$A:$D"),4,false),1))</f>
        <v>1</v>
      </c>
      <c r="I2029" s="62">
        <f t="shared" si="4058"/>
        <v>1</v>
      </c>
      <c r="J2029" s="62">
        <f t="shared" si="4058"/>
        <v>1</v>
      </c>
      <c r="K2029" s="62">
        <f t="shared" si="4058"/>
        <v>1</v>
      </c>
      <c r="L2029" s="62">
        <f t="shared" si="4058"/>
        <v>1</v>
      </c>
      <c r="M2029" s="62">
        <f t="shared" si="4058"/>
        <v>1</v>
      </c>
      <c r="N2029" s="62">
        <f t="shared" si="4058"/>
        <v>1</v>
      </c>
      <c r="O2029" s="62">
        <f t="shared" si="4058"/>
        <v>1</v>
      </c>
      <c r="P2029" s="62" t="str">
        <f t="shared" si="4058"/>
        <v/>
      </c>
      <c r="Q2029" s="62" t="str">
        <f t="shared" si="4058"/>
        <v/>
      </c>
      <c r="R2029" s="62">
        <f t="shared" si="7"/>
        <v>0</v>
      </c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</row>
    <row r="2030">
      <c r="A2030" s="60">
        <f>IFERROR(__xludf.DUMMYFUNCTION("""COMPUTED_VALUE"""),17042.0)</f>
        <v>17042</v>
      </c>
      <c r="B2030" s="60" t="str">
        <f>IFERROR(__xludf.DUMMYFUNCTION("""COMPUTED_VALUE"""),"Jeanty, Ashton")</f>
        <v>Jeanty, Ashton</v>
      </c>
      <c r="C2030" s="60" t="str">
        <f>IFERROR(__xludf.DUMMYFUNCTION("""COMPUTED_VALUE"""),"RB")</f>
        <v>RB</v>
      </c>
      <c r="D2030" s="60" t="str">
        <f>IFERROR(__xludf.DUMMYFUNCTION("""COMPUTED_VALUE"""),"LVR")</f>
        <v>LVR</v>
      </c>
      <c r="E2030" s="62" t="str">
        <f t="shared" si="4"/>
        <v>Ashton Jeanty</v>
      </c>
      <c r="F2030" s="62">
        <f t="shared" ref="F2030:G2030" si="4059">IF(isblank(F$1),,IF(isblank($A2030),,IFERROR(vlookup($A2030,indirect("'TVC-"&amp;text(month(F$1),"00")&amp;"'!$A:$D"),4,false),1)))</f>
        <v>6914</v>
      </c>
      <c r="G2030" s="62">
        <f t="shared" si="4059"/>
        <v>7198</v>
      </c>
      <c r="H2030" s="62">
        <f t="shared" ref="H2030:Q2030" si="4060">IF(isblank(H$1),,IFERROR(vlookup($A2030,indirect("'TVC-"&amp;text(month(H$1),"00")&amp;"'!$A:$D"),4,false),1))</f>
        <v>7224</v>
      </c>
      <c r="I2030" s="62">
        <f t="shared" si="4060"/>
        <v>7477</v>
      </c>
      <c r="J2030" s="62">
        <f t="shared" si="4060"/>
        <v>7569</v>
      </c>
      <c r="K2030" s="62">
        <f t="shared" si="4060"/>
        <v>7576</v>
      </c>
      <c r="L2030" s="62">
        <f t="shared" si="4060"/>
        <v>7673</v>
      </c>
      <c r="M2030" s="62">
        <f t="shared" si="4060"/>
        <v>7647</v>
      </c>
      <c r="N2030" s="62">
        <f t="shared" si="4060"/>
        <v>7295</v>
      </c>
      <c r="O2030" s="62">
        <f t="shared" si="4060"/>
        <v>1</v>
      </c>
      <c r="P2030" s="62" t="str">
        <f t="shared" si="4060"/>
        <v/>
      </c>
      <c r="Q2030" s="62" t="str">
        <f t="shared" si="4060"/>
        <v/>
      </c>
      <c r="R2030" s="62">
        <f t="shared" si="7"/>
        <v>-7294</v>
      </c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</row>
    <row r="2031">
      <c r="A2031" s="60">
        <f>IFERROR(__xludf.DUMMYFUNCTION("""COMPUTED_VALUE"""),17043.0)</f>
        <v>17043</v>
      </c>
      <c r="B2031" s="60" t="str">
        <f>IFERROR(__xludf.DUMMYFUNCTION("""COMPUTED_VALUE"""),"Henderson, TreVeyon")</f>
        <v>Henderson, TreVeyon</v>
      </c>
      <c r="C2031" s="60" t="str">
        <f>IFERROR(__xludf.DUMMYFUNCTION("""COMPUTED_VALUE"""),"RB")</f>
        <v>RB</v>
      </c>
      <c r="D2031" s="60" t="str">
        <f>IFERROR(__xludf.DUMMYFUNCTION("""COMPUTED_VALUE"""),"NEP")</f>
        <v>NEP</v>
      </c>
      <c r="E2031" s="62" t="str">
        <f t="shared" si="4"/>
        <v>TreVeyon Henderson</v>
      </c>
      <c r="F2031" s="62">
        <f t="shared" ref="F2031:G2031" si="4061">IF(isblank(F$1),,IF(isblank($A2031),,IFERROR(vlookup($A2031,indirect("'TVC-"&amp;text(month(F$1),"00")&amp;"'!$A:$D"),4,false),1)))</f>
        <v>6392</v>
      </c>
      <c r="G2031" s="62">
        <f t="shared" si="4061"/>
        <v>5966</v>
      </c>
      <c r="H2031" s="62">
        <f t="shared" ref="H2031:Q2031" si="4062">IF(isblank(H$1),,IFERROR(vlookup($A2031,indirect("'TVC-"&amp;text(month(H$1),"00")&amp;"'!$A:$D"),4,false),1))</f>
        <v>5888</v>
      </c>
      <c r="I2031" s="62">
        <f t="shared" si="4062"/>
        <v>5474</v>
      </c>
      <c r="J2031" s="62">
        <f t="shared" si="4062"/>
        <v>5477</v>
      </c>
      <c r="K2031" s="62">
        <f t="shared" si="4062"/>
        <v>5394</v>
      </c>
      <c r="L2031" s="62">
        <f t="shared" si="4062"/>
        <v>5489</v>
      </c>
      <c r="M2031" s="62">
        <f t="shared" si="4062"/>
        <v>5350</v>
      </c>
      <c r="N2031" s="62">
        <f t="shared" si="4062"/>
        <v>4930</v>
      </c>
      <c r="O2031" s="62">
        <f t="shared" si="4062"/>
        <v>1</v>
      </c>
      <c r="P2031" s="62" t="str">
        <f t="shared" si="4062"/>
        <v/>
      </c>
      <c r="Q2031" s="62" t="str">
        <f t="shared" si="4062"/>
        <v/>
      </c>
      <c r="R2031" s="62">
        <f t="shared" si="7"/>
        <v>-4929</v>
      </c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</row>
    <row r="2032">
      <c r="A2032" s="60">
        <f>IFERROR(__xludf.DUMMYFUNCTION("""COMPUTED_VALUE"""),17044.0)</f>
        <v>17044</v>
      </c>
      <c r="B2032" s="60" t="str">
        <f>IFERROR(__xludf.DUMMYFUNCTION("""COMPUTED_VALUE"""),"Hampton, Omarion")</f>
        <v>Hampton, Omarion</v>
      </c>
      <c r="C2032" s="60" t="str">
        <f>IFERROR(__xludf.DUMMYFUNCTION("""COMPUTED_VALUE"""),"RB")</f>
        <v>RB</v>
      </c>
      <c r="D2032" s="60" t="str">
        <f>IFERROR(__xludf.DUMMYFUNCTION("""COMPUTED_VALUE"""),"LAC")</f>
        <v>LAC</v>
      </c>
      <c r="E2032" s="62" t="str">
        <f t="shared" si="4"/>
        <v>Omarion Hampton</v>
      </c>
      <c r="F2032" s="62">
        <f t="shared" ref="F2032:G2032" si="4063">IF(isblank(F$1),,IF(isblank($A2032),,IFERROR(vlookup($A2032,indirect("'TVC-"&amp;text(month(F$1),"00")&amp;"'!$A:$D"),4,false),1)))</f>
        <v>6545</v>
      </c>
      <c r="G2032" s="62">
        <f t="shared" si="4063"/>
        <v>6621</v>
      </c>
      <c r="H2032" s="62">
        <f t="shared" ref="H2032:Q2032" si="4064">IF(isblank(H$1),,IFERROR(vlookup($A2032,indirect("'TVC-"&amp;text(month(H$1),"00")&amp;"'!$A:$D"),4,false),1))</f>
        <v>6641</v>
      </c>
      <c r="I2032" s="62">
        <f t="shared" si="4064"/>
        <v>6763</v>
      </c>
      <c r="J2032" s="62">
        <f t="shared" si="4064"/>
        <v>6694</v>
      </c>
      <c r="K2032" s="62">
        <f t="shared" si="4064"/>
        <v>6810</v>
      </c>
      <c r="L2032" s="62">
        <f t="shared" si="4064"/>
        <v>6855</v>
      </c>
      <c r="M2032" s="62">
        <f t="shared" si="4064"/>
        <v>6992</v>
      </c>
      <c r="N2032" s="62">
        <f t="shared" si="4064"/>
        <v>6966</v>
      </c>
      <c r="O2032" s="62">
        <f t="shared" si="4064"/>
        <v>1</v>
      </c>
      <c r="P2032" s="62" t="str">
        <f t="shared" si="4064"/>
        <v/>
      </c>
      <c r="Q2032" s="62" t="str">
        <f t="shared" si="4064"/>
        <v/>
      </c>
      <c r="R2032" s="62">
        <f t="shared" si="7"/>
        <v>-6965</v>
      </c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</row>
    <row r="2033">
      <c r="A2033" s="60">
        <f>IFERROR(__xludf.DUMMYFUNCTION("""COMPUTED_VALUE"""),17045.0)</f>
        <v>17045</v>
      </c>
      <c r="B2033" s="60" t="str">
        <f>IFERROR(__xludf.DUMMYFUNCTION("""COMPUTED_VALUE"""),"Skattebo, Cam")</f>
        <v>Skattebo, Cam</v>
      </c>
      <c r="C2033" s="60" t="str">
        <f>IFERROR(__xludf.DUMMYFUNCTION("""COMPUTED_VALUE"""),"RB")</f>
        <v>RB</v>
      </c>
      <c r="D2033" s="60" t="str">
        <f>IFERROR(__xludf.DUMMYFUNCTION("""COMPUTED_VALUE"""),"NYG")</f>
        <v>NYG</v>
      </c>
      <c r="E2033" s="62" t="str">
        <f t="shared" si="4"/>
        <v>Cam Skattebo</v>
      </c>
      <c r="F2033" s="62">
        <f t="shared" ref="F2033:G2033" si="4065">IF(isblank(F$1),,IF(isblank($A2033),,IFERROR(vlookup($A2033,indirect("'TVC-"&amp;text(month(F$1),"00")&amp;"'!$A:$D"),4,false),1)))</f>
        <v>4778</v>
      </c>
      <c r="G2033" s="62">
        <f t="shared" si="4065"/>
        <v>4852</v>
      </c>
      <c r="H2033" s="62">
        <f t="shared" ref="H2033:Q2033" si="4066">IF(isblank(H$1),,IFERROR(vlookup($A2033,indirect("'TVC-"&amp;text(month(H$1),"00")&amp;"'!$A:$D"),4,false),1))</f>
        <v>4825</v>
      </c>
      <c r="I2033" s="62">
        <f t="shared" si="4066"/>
        <v>4525</v>
      </c>
      <c r="J2033" s="62">
        <f t="shared" si="4066"/>
        <v>4478</v>
      </c>
      <c r="K2033" s="62">
        <f t="shared" si="4066"/>
        <v>4714</v>
      </c>
      <c r="L2033" s="62">
        <f t="shared" si="4066"/>
        <v>4788</v>
      </c>
      <c r="M2033" s="62">
        <f t="shared" si="4066"/>
        <v>4771</v>
      </c>
      <c r="N2033" s="62">
        <f t="shared" si="4066"/>
        <v>4653</v>
      </c>
      <c r="O2033" s="62">
        <f t="shared" si="4066"/>
        <v>1</v>
      </c>
      <c r="P2033" s="62" t="str">
        <f t="shared" si="4066"/>
        <v/>
      </c>
      <c r="Q2033" s="62" t="str">
        <f t="shared" si="4066"/>
        <v/>
      </c>
      <c r="R2033" s="62">
        <f t="shared" si="7"/>
        <v>-4652</v>
      </c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</row>
    <row r="2034">
      <c r="A2034" s="60">
        <f>IFERROR(__xludf.DUMMYFUNCTION("""COMPUTED_VALUE"""),17046.0)</f>
        <v>17046</v>
      </c>
      <c r="B2034" s="60" t="str">
        <f>IFERROR(__xludf.DUMMYFUNCTION("""COMPUTED_VALUE"""),"Neal, Devin")</f>
        <v>Neal, Devin</v>
      </c>
      <c r="C2034" s="60" t="str">
        <f>IFERROR(__xludf.DUMMYFUNCTION("""COMPUTED_VALUE"""),"RB")</f>
        <v>RB</v>
      </c>
      <c r="D2034" s="60" t="str">
        <f>IFERROR(__xludf.DUMMYFUNCTION("""COMPUTED_VALUE"""),"WAS")</f>
        <v>WAS</v>
      </c>
      <c r="E2034" s="62" t="str">
        <f t="shared" si="4"/>
        <v>Devin Neal</v>
      </c>
      <c r="F2034" s="62">
        <f t="shared" ref="F2034:G2034" si="4067">IF(isblank(F$1),,IF(isblank($A2034),,IFERROR(vlookup($A2034,indirect("'TVC-"&amp;text(month(F$1),"00")&amp;"'!$A:$D"),4,false),1)))</f>
        <v>2776</v>
      </c>
      <c r="G2034" s="62">
        <f t="shared" si="4067"/>
        <v>2621</v>
      </c>
      <c r="H2034" s="62">
        <f t="shared" ref="H2034:Q2034" si="4068">IF(isblank(H$1),,IFERROR(vlookup($A2034,indirect("'TVC-"&amp;text(month(H$1),"00")&amp;"'!$A:$D"),4,false),1))</f>
        <v>2649</v>
      </c>
      <c r="I2034" s="62">
        <f t="shared" si="4068"/>
        <v>2314</v>
      </c>
      <c r="J2034" s="62">
        <f t="shared" si="4068"/>
        <v>2157</v>
      </c>
      <c r="K2034" s="62">
        <f t="shared" si="4068"/>
        <v>2089</v>
      </c>
      <c r="L2034" s="62">
        <f t="shared" si="4068"/>
        <v>2032</v>
      </c>
      <c r="M2034" s="62">
        <f t="shared" si="4068"/>
        <v>1926</v>
      </c>
      <c r="N2034" s="62">
        <f t="shared" si="4068"/>
        <v>1868</v>
      </c>
      <c r="O2034" s="62">
        <f t="shared" si="4068"/>
        <v>1</v>
      </c>
      <c r="P2034" s="62" t="str">
        <f t="shared" si="4068"/>
        <v/>
      </c>
      <c r="Q2034" s="62" t="str">
        <f t="shared" si="4068"/>
        <v/>
      </c>
      <c r="R2034" s="62">
        <f t="shared" si="7"/>
        <v>-1867</v>
      </c>
      <c r="S2034" s="62"/>
      <c r="T2034" s="62"/>
      <c r="U2034" s="62"/>
      <c r="V2034" s="62"/>
      <c r="W2034" s="62"/>
      <c r="X2034" s="62"/>
      <c r="Y2034" s="62"/>
      <c r="Z2034" s="62"/>
      <c r="AA2034" s="62"/>
      <c r="AB2034" s="62"/>
      <c r="AC2034" s="62"/>
    </row>
    <row r="2035">
      <c r="A2035" s="60">
        <f>IFERROR(__xludf.DUMMYFUNCTION("""COMPUTED_VALUE"""),17047.0)</f>
        <v>17047</v>
      </c>
      <c r="B2035" s="60" t="str">
        <f>IFERROR(__xludf.DUMMYFUNCTION("""COMPUTED_VALUE"""),"Sampson, Dylan")</f>
        <v>Sampson, Dylan</v>
      </c>
      <c r="C2035" s="60" t="str">
        <f>IFERROR(__xludf.DUMMYFUNCTION("""COMPUTED_VALUE"""),"RB")</f>
        <v>RB</v>
      </c>
      <c r="D2035" s="60" t="str">
        <f>IFERROR(__xludf.DUMMYFUNCTION("""COMPUTED_VALUE"""),"CLE")</f>
        <v>CLE</v>
      </c>
      <c r="E2035" s="62" t="str">
        <f t="shared" si="4"/>
        <v>Dylan Sampson</v>
      </c>
      <c r="F2035" s="62">
        <f t="shared" ref="F2035:G2035" si="4069">IF(isblank(F$1),,IF(isblank($A2035),,IFERROR(vlookup($A2035,indirect("'TVC-"&amp;text(month(F$1),"00")&amp;"'!$A:$D"),4,false),1)))</f>
        <v>2772</v>
      </c>
      <c r="G2035" s="62">
        <f t="shared" si="4069"/>
        <v>2724</v>
      </c>
      <c r="H2035" s="62">
        <f t="shared" ref="H2035:Q2035" si="4070">IF(isblank(H$1),,IFERROR(vlookup($A2035,indirect("'TVC-"&amp;text(month(H$1),"00")&amp;"'!$A:$D"),4,false),1))</f>
        <v>2702</v>
      </c>
      <c r="I2035" s="62">
        <f t="shared" si="4070"/>
        <v>2716</v>
      </c>
      <c r="J2035" s="62">
        <f t="shared" si="4070"/>
        <v>2740</v>
      </c>
      <c r="K2035" s="62">
        <f t="shared" si="4070"/>
        <v>2748</v>
      </c>
      <c r="L2035" s="62">
        <f t="shared" si="4070"/>
        <v>2750</v>
      </c>
      <c r="M2035" s="62">
        <f t="shared" si="4070"/>
        <v>2767</v>
      </c>
      <c r="N2035" s="62">
        <f t="shared" si="4070"/>
        <v>2597</v>
      </c>
      <c r="O2035" s="62">
        <f t="shared" si="4070"/>
        <v>1</v>
      </c>
      <c r="P2035" s="62" t="str">
        <f t="shared" si="4070"/>
        <v/>
      </c>
      <c r="Q2035" s="62" t="str">
        <f t="shared" si="4070"/>
        <v/>
      </c>
      <c r="R2035" s="62">
        <f t="shared" si="7"/>
        <v>-2596</v>
      </c>
      <c r="S2035" s="62"/>
      <c r="T2035" s="62"/>
      <c r="U2035" s="62"/>
      <c r="V2035" s="62"/>
      <c r="W2035" s="62"/>
      <c r="X2035" s="62"/>
      <c r="Y2035" s="62"/>
      <c r="Z2035" s="62"/>
      <c r="AA2035" s="62"/>
      <c r="AB2035" s="62"/>
      <c r="AC2035" s="62"/>
    </row>
    <row r="2036">
      <c r="A2036" s="60">
        <f>IFERROR(__xludf.DUMMYFUNCTION("""COMPUTED_VALUE"""),17048.0)</f>
        <v>17048</v>
      </c>
      <c r="B2036" s="60" t="str">
        <f>IFERROR(__xludf.DUMMYFUNCTION("""COMPUTED_VALUE"""),"Johnson, Kaleb")</f>
        <v>Johnson, Kaleb</v>
      </c>
      <c r="C2036" s="60" t="str">
        <f>IFERROR(__xludf.DUMMYFUNCTION("""COMPUTED_VALUE"""),"RB")</f>
        <v>RB</v>
      </c>
      <c r="D2036" s="60" t="str">
        <f>IFERROR(__xludf.DUMMYFUNCTION("""COMPUTED_VALUE"""),"GBP")</f>
        <v>GBP</v>
      </c>
      <c r="E2036" s="62" t="str">
        <f t="shared" si="4"/>
        <v>Kaleb Johnson</v>
      </c>
      <c r="F2036" s="62">
        <f t="shared" ref="F2036:G2036" si="4071">IF(isblank(F$1),,IF(isblank($A2036),,IFERROR(vlookup($A2036,indirect("'TVC-"&amp;text(month(F$1),"00")&amp;"'!$A:$D"),4,false),1)))</f>
        <v>2615</v>
      </c>
      <c r="G2036" s="62">
        <f t="shared" si="4071"/>
        <v>2683</v>
      </c>
      <c r="H2036" s="62">
        <f t="shared" ref="H2036:Q2036" si="4072">IF(isblank(H$1),,IFERROR(vlookup($A2036,indirect("'TVC-"&amp;text(month(H$1),"00")&amp;"'!$A:$D"),4,false),1))</f>
        <v>2709</v>
      </c>
      <c r="I2036" s="62">
        <f t="shared" si="4072"/>
        <v>2388</v>
      </c>
      <c r="J2036" s="62">
        <f t="shared" si="4072"/>
        <v>2496</v>
      </c>
      <c r="K2036" s="62">
        <f t="shared" si="4072"/>
        <v>2393</v>
      </c>
      <c r="L2036" s="62">
        <f t="shared" si="4072"/>
        <v>2359</v>
      </c>
      <c r="M2036" s="62">
        <f t="shared" si="4072"/>
        <v>2269</v>
      </c>
      <c r="N2036" s="62">
        <f t="shared" si="4072"/>
        <v>2348</v>
      </c>
      <c r="O2036" s="62">
        <f t="shared" si="4072"/>
        <v>1</v>
      </c>
      <c r="P2036" s="62" t="str">
        <f t="shared" si="4072"/>
        <v/>
      </c>
      <c r="Q2036" s="62" t="str">
        <f t="shared" si="4072"/>
        <v/>
      </c>
      <c r="R2036" s="62">
        <f t="shared" si="7"/>
        <v>-2347</v>
      </c>
      <c r="S2036" s="62"/>
      <c r="T2036" s="62"/>
      <c r="U2036" s="62"/>
      <c r="V2036" s="62"/>
      <c r="W2036" s="62"/>
      <c r="X2036" s="62"/>
      <c r="Y2036" s="62"/>
      <c r="Z2036" s="62"/>
      <c r="AA2036" s="62"/>
      <c r="AB2036" s="62"/>
      <c r="AC2036" s="62"/>
    </row>
    <row r="2037">
      <c r="A2037" s="60">
        <f>IFERROR(__xludf.DUMMYFUNCTION("""COMPUTED_VALUE"""),17049.0)</f>
        <v>17049</v>
      </c>
      <c r="B2037" s="60" t="str">
        <f>IFERROR(__xludf.DUMMYFUNCTION("""COMPUTED_VALUE"""),"Smith, Brashard")</f>
        <v>Smith, Brashard</v>
      </c>
      <c r="C2037" s="60" t="str">
        <f>IFERROR(__xludf.DUMMYFUNCTION("""COMPUTED_VALUE"""),"RB")</f>
        <v>RB</v>
      </c>
      <c r="D2037" s="60" t="str">
        <f>IFERROR(__xludf.DUMMYFUNCTION("""COMPUTED_VALUE"""),"KCC")</f>
        <v>KCC</v>
      </c>
      <c r="E2037" s="62" t="str">
        <f t="shared" si="4"/>
        <v>Brashard Smith</v>
      </c>
      <c r="F2037" s="62">
        <f t="shared" ref="F2037:G2037" si="4073">IF(isblank(F$1),,IF(isblank($A2037),,IFERROR(vlookup($A2037,indirect("'TVC-"&amp;text(month(F$1),"00")&amp;"'!$A:$D"),4,false),1)))</f>
        <v>2294</v>
      </c>
      <c r="G2037" s="62">
        <f t="shared" si="4073"/>
        <v>2307</v>
      </c>
      <c r="H2037" s="62">
        <f t="shared" ref="H2037:Q2037" si="4074">IF(isblank(H$1),,IFERROR(vlookup($A2037,indirect("'TVC-"&amp;text(month(H$1),"00")&amp;"'!$A:$D"),4,false),1))</f>
        <v>2307</v>
      </c>
      <c r="I2037" s="62">
        <f t="shared" si="4074"/>
        <v>2160</v>
      </c>
      <c r="J2037" s="62">
        <f t="shared" si="4074"/>
        <v>1907</v>
      </c>
      <c r="K2037" s="62">
        <f t="shared" si="4074"/>
        <v>1854</v>
      </c>
      <c r="L2037" s="62">
        <f t="shared" si="4074"/>
        <v>1749</v>
      </c>
      <c r="M2037" s="62">
        <f t="shared" si="4074"/>
        <v>1708</v>
      </c>
      <c r="N2037" s="62">
        <f t="shared" si="4074"/>
        <v>1688</v>
      </c>
      <c r="O2037" s="62">
        <f t="shared" si="4074"/>
        <v>1</v>
      </c>
      <c r="P2037" s="62" t="str">
        <f t="shared" si="4074"/>
        <v/>
      </c>
      <c r="Q2037" s="62" t="str">
        <f t="shared" si="4074"/>
        <v/>
      </c>
      <c r="R2037" s="62">
        <f t="shared" si="7"/>
        <v>-1687</v>
      </c>
      <c r="S2037" s="62"/>
      <c r="T2037" s="62"/>
      <c r="U2037" s="62"/>
      <c r="V2037" s="62"/>
      <c r="W2037" s="62"/>
      <c r="X2037" s="62"/>
      <c r="Y2037" s="62"/>
      <c r="Z2037" s="62"/>
      <c r="AA2037" s="62"/>
      <c r="AB2037" s="62"/>
      <c r="AC2037" s="62"/>
    </row>
    <row r="2038">
      <c r="A2038" s="60">
        <f>IFERROR(__xludf.DUMMYFUNCTION("""COMPUTED_VALUE"""),17050.0)</f>
        <v>17050</v>
      </c>
      <c r="B2038" s="60" t="str">
        <f>IFERROR(__xludf.DUMMYFUNCTION("""COMPUTED_VALUE"""),"Mullings, Kalel")</f>
        <v>Mullings, Kalel</v>
      </c>
      <c r="C2038" s="60" t="str">
        <f>IFERROR(__xludf.DUMMYFUNCTION("""COMPUTED_VALUE"""),"RB")</f>
        <v>RB</v>
      </c>
      <c r="D2038" s="60" t="str">
        <f>IFERROR(__xludf.DUMMYFUNCTION("""COMPUTED_VALUE"""),"TEN")</f>
        <v>TEN</v>
      </c>
      <c r="E2038" s="62" t="str">
        <f t="shared" si="4"/>
        <v>Kalel Mullings</v>
      </c>
      <c r="F2038" s="62">
        <f t="shared" ref="F2038:G2038" si="4075">IF(isblank(F$1),,IF(isblank($A2038),,IFERROR(vlookup($A2038,indirect("'TVC-"&amp;text(month(F$1),"00")&amp;"'!$A:$D"),4,false),1)))</f>
        <v>1168</v>
      </c>
      <c r="G2038" s="62">
        <f t="shared" si="4075"/>
        <v>1135</v>
      </c>
      <c r="H2038" s="62">
        <f t="shared" ref="H2038:Q2038" si="4076">IF(isblank(H$1),,IFERROR(vlookup($A2038,indirect("'TVC-"&amp;text(month(H$1),"00")&amp;"'!$A:$D"),4,false),1))</f>
        <v>1115</v>
      </c>
      <c r="I2038" s="62">
        <f t="shared" si="4076"/>
        <v>1174</v>
      </c>
      <c r="J2038" s="62">
        <f t="shared" si="4076"/>
        <v>1137</v>
      </c>
      <c r="K2038" s="62">
        <f t="shared" si="4076"/>
        <v>1065</v>
      </c>
      <c r="L2038" s="62">
        <f t="shared" si="4076"/>
        <v>1076</v>
      </c>
      <c r="M2038" s="62">
        <f t="shared" si="4076"/>
        <v>1133</v>
      </c>
      <c r="N2038" s="62">
        <f t="shared" si="4076"/>
        <v>1120</v>
      </c>
      <c r="O2038" s="62">
        <f t="shared" si="4076"/>
        <v>1</v>
      </c>
      <c r="P2038" s="62" t="str">
        <f t="shared" si="4076"/>
        <v/>
      </c>
      <c r="Q2038" s="62" t="str">
        <f t="shared" si="4076"/>
        <v/>
      </c>
      <c r="R2038" s="62">
        <f t="shared" si="7"/>
        <v>-1119</v>
      </c>
      <c r="S2038" s="62"/>
      <c r="T2038" s="62"/>
      <c r="U2038" s="62"/>
      <c r="V2038" s="62"/>
      <c r="W2038" s="62"/>
      <c r="X2038" s="62"/>
      <c r="Y2038" s="62"/>
      <c r="Z2038" s="62"/>
      <c r="AA2038" s="62"/>
      <c r="AB2038" s="62"/>
      <c r="AC2038" s="62"/>
    </row>
    <row r="2039">
      <c r="A2039" s="60">
        <f>IFERROR(__xludf.DUMMYFUNCTION("""COMPUTED_VALUE"""),17051.0)</f>
        <v>17051</v>
      </c>
      <c r="B2039" s="60" t="str">
        <f>IFERROR(__xludf.DUMMYFUNCTION("""COMPUTED_VALUE"""),"Judkins, Quinshon")</f>
        <v>Judkins, Quinshon</v>
      </c>
      <c r="C2039" s="60" t="str">
        <f>IFERROR(__xludf.DUMMYFUNCTION("""COMPUTED_VALUE"""),"RB")</f>
        <v>RB</v>
      </c>
      <c r="D2039" s="60" t="str">
        <f>IFERROR(__xludf.DUMMYFUNCTION("""COMPUTED_VALUE"""),"CLE")</f>
        <v>CLE</v>
      </c>
      <c r="E2039" s="62" t="str">
        <f t="shared" si="4"/>
        <v>Quinshon Judkins</v>
      </c>
      <c r="F2039" s="62">
        <f t="shared" ref="F2039:G2039" si="4077">IF(isblank(F$1),,IF(isblank($A2039),,IFERROR(vlookup($A2039,indirect("'TVC-"&amp;text(month(F$1),"00")&amp;"'!$A:$D"),4,false),1)))</f>
        <v>5614</v>
      </c>
      <c r="G2039" s="62">
        <f t="shared" si="4077"/>
        <v>5508</v>
      </c>
      <c r="H2039" s="62">
        <f t="shared" ref="H2039:Q2039" si="4078">IF(isblank(H$1),,IFERROR(vlookup($A2039,indirect("'TVC-"&amp;text(month(H$1),"00")&amp;"'!$A:$D"),4,false),1))</f>
        <v>5463</v>
      </c>
      <c r="I2039" s="62">
        <f t="shared" si="4078"/>
        <v>5421</v>
      </c>
      <c r="J2039" s="62">
        <f t="shared" si="4078"/>
        <v>5458</v>
      </c>
      <c r="K2039" s="62">
        <f t="shared" si="4078"/>
        <v>5519</v>
      </c>
      <c r="L2039" s="62">
        <f t="shared" si="4078"/>
        <v>5514</v>
      </c>
      <c r="M2039" s="62">
        <f t="shared" si="4078"/>
        <v>5538</v>
      </c>
      <c r="N2039" s="62">
        <f t="shared" si="4078"/>
        <v>5241</v>
      </c>
      <c r="O2039" s="62">
        <f t="shared" si="4078"/>
        <v>1</v>
      </c>
      <c r="P2039" s="62" t="str">
        <f t="shared" si="4078"/>
        <v/>
      </c>
      <c r="Q2039" s="62" t="str">
        <f t="shared" si="4078"/>
        <v/>
      </c>
      <c r="R2039" s="62">
        <f t="shared" si="7"/>
        <v>-5240</v>
      </c>
      <c r="S2039" s="62"/>
      <c r="T2039" s="62"/>
      <c r="U2039" s="62"/>
      <c r="V2039" s="62"/>
      <c r="W2039" s="62"/>
      <c r="X2039" s="62"/>
      <c r="Y2039" s="62"/>
      <c r="Z2039" s="62"/>
      <c r="AA2039" s="62"/>
      <c r="AB2039" s="62"/>
      <c r="AC2039" s="62"/>
    </row>
    <row r="2040" hidden="1">
      <c r="A2040" s="60">
        <f>IFERROR(__xludf.DUMMYFUNCTION("""COMPUTED_VALUE"""),17052.0)</f>
        <v>17052</v>
      </c>
      <c r="B2040" s="60" t="str">
        <f>IFERROR(__xludf.DUMMYFUNCTION("""COMPUTED_VALUE"""),"Tuten, Bhayshul")</f>
        <v>Tuten, Bhayshul</v>
      </c>
      <c r="C2040" s="60" t="str">
        <f>IFERROR(__xludf.DUMMYFUNCTION("""COMPUTED_VALUE"""),"RB")</f>
        <v>RB</v>
      </c>
      <c r="D2040" s="60" t="str">
        <f>IFERROR(__xludf.DUMMYFUNCTION("""COMPUTED_VALUE"""),"JAC")</f>
        <v>JAC</v>
      </c>
      <c r="E2040" s="62" t="str">
        <f t="shared" si="4"/>
        <v>Bhayshul Tuten</v>
      </c>
      <c r="F2040" s="62">
        <f t="shared" ref="F2040:G2040" si="4079">IF(isblank(F$1),,IF(isblank($A2040),,IFERROR(vlookup($A2040,indirect("'TVC-"&amp;text(month(F$1),"00")&amp;"'!$A:$D"),4,false),1)))</f>
        <v>3180</v>
      </c>
      <c r="G2040" s="62">
        <f t="shared" si="4079"/>
        <v>3455</v>
      </c>
      <c r="H2040" s="62">
        <f t="shared" ref="H2040:Q2040" si="4080">IF(isblank(H$1),,IFERROR(vlookup($A2040,indirect("'TVC-"&amp;text(month(H$1),"00")&amp;"'!$A:$D"),4,false),1))</f>
        <v>3491</v>
      </c>
      <c r="I2040" s="62">
        <f t="shared" si="4080"/>
        <v>3939</v>
      </c>
      <c r="J2040" s="62">
        <f t="shared" si="4080"/>
        <v>3930</v>
      </c>
      <c r="K2040" s="62">
        <f t="shared" si="4080"/>
        <v>3916</v>
      </c>
      <c r="L2040" s="62">
        <f t="shared" si="4080"/>
        <v>4116</v>
      </c>
      <c r="M2040" s="62">
        <f t="shared" si="4080"/>
        <v>4198</v>
      </c>
      <c r="N2040" s="62">
        <f t="shared" si="4080"/>
        <v>4296</v>
      </c>
      <c r="O2040" s="62">
        <f t="shared" si="4080"/>
        <v>1</v>
      </c>
      <c r="P2040" s="62" t="str">
        <f t="shared" si="4080"/>
        <v/>
      </c>
      <c r="Q2040" s="62" t="str">
        <f t="shared" si="4080"/>
        <v/>
      </c>
      <c r="R2040" s="62">
        <f t="shared" si="7"/>
        <v>-4295</v>
      </c>
      <c r="S2040" s="62"/>
      <c r="T2040" s="62"/>
      <c r="U2040" s="62"/>
      <c r="V2040" s="62"/>
      <c r="W2040" s="62"/>
      <c r="X2040" s="62"/>
      <c r="Y2040" s="62"/>
      <c r="Z2040" s="62"/>
      <c r="AA2040" s="62"/>
      <c r="AB2040" s="62"/>
      <c r="AC2040" s="62"/>
    </row>
    <row r="2041">
      <c r="A2041" s="60">
        <f>IFERROR(__xludf.DUMMYFUNCTION("""COMPUTED_VALUE"""),17053.0)</f>
        <v>17053</v>
      </c>
      <c r="B2041" s="60" t="str">
        <f>IFERROR(__xludf.DUMMYFUNCTION("""COMPUTED_VALUE"""),"Marks, Woody")</f>
        <v>Marks, Woody</v>
      </c>
      <c r="C2041" s="60" t="str">
        <f>IFERROR(__xludf.DUMMYFUNCTION("""COMPUTED_VALUE"""),"RB")</f>
        <v>RB</v>
      </c>
      <c r="D2041" s="60" t="str">
        <f>IFERROR(__xludf.DUMMYFUNCTION("""COMPUTED_VALUE"""),"HOU")</f>
        <v>HOU</v>
      </c>
      <c r="E2041" s="62" t="str">
        <f t="shared" si="4"/>
        <v>Woody Marks</v>
      </c>
      <c r="F2041" s="62">
        <f t="shared" ref="F2041:G2041" si="4081">IF(isblank(F$1),,IF(isblank($A2041),,IFERROR(vlookup($A2041,indirect("'TVC-"&amp;text(month(F$1),"00")&amp;"'!$A:$D"),4,false),1)))</f>
        <v>3580</v>
      </c>
      <c r="G2041" s="62">
        <f t="shared" si="4081"/>
        <v>3330</v>
      </c>
      <c r="H2041" s="62">
        <f t="shared" ref="H2041:Q2041" si="4082">IF(isblank(H$1),,IFERROR(vlookup($A2041,indirect("'TVC-"&amp;text(month(H$1),"00")&amp;"'!$A:$D"),4,false),1))</f>
        <v>3311</v>
      </c>
      <c r="I2041" s="62">
        <f t="shared" si="4082"/>
        <v>2818</v>
      </c>
      <c r="J2041" s="62">
        <f t="shared" si="4082"/>
        <v>2944</v>
      </c>
      <c r="K2041" s="62">
        <f t="shared" si="4082"/>
        <v>2806</v>
      </c>
      <c r="L2041" s="62">
        <f t="shared" si="4082"/>
        <v>2726</v>
      </c>
      <c r="M2041" s="62">
        <f t="shared" si="4082"/>
        <v>2735</v>
      </c>
      <c r="N2041" s="62">
        <f t="shared" si="4082"/>
        <v>2867</v>
      </c>
      <c r="O2041" s="62">
        <f t="shared" si="4082"/>
        <v>1</v>
      </c>
      <c r="P2041" s="62" t="str">
        <f t="shared" si="4082"/>
        <v/>
      </c>
      <c r="Q2041" s="62" t="str">
        <f t="shared" si="4082"/>
        <v/>
      </c>
      <c r="R2041" s="62">
        <f t="shared" si="7"/>
        <v>-2866</v>
      </c>
      <c r="S2041" s="62"/>
      <c r="T2041" s="62"/>
      <c r="U2041" s="62"/>
      <c r="V2041" s="62"/>
      <c r="W2041" s="62"/>
      <c r="X2041" s="62"/>
      <c r="Y2041" s="62"/>
      <c r="Z2041" s="62"/>
      <c r="AA2041" s="62"/>
      <c r="AB2041" s="62"/>
      <c r="AC2041" s="62"/>
    </row>
    <row r="2042">
      <c r="A2042" s="60">
        <f>IFERROR(__xludf.DUMMYFUNCTION("""COMPUTED_VALUE"""),17054.0)</f>
        <v>17054</v>
      </c>
      <c r="B2042" s="60" t="str">
        <f>IFERROR(__xludf.DUMMYFUNCTION("""COMPUTED_VALUE"""),"Martinez, Damien")</f>
        <v>Martinez, Damien</v>
      </c>
      <c r="C2042" s="60" t="str">
        <f>IFERROR(__xludf.DUMMYFUNCTION("""COMPUTED_VALUE"""),"RB")</f>
        <v>RB</v>
      </c>
      <c r="D2042" s="60" t="str">
        <f>IFERROR(__xludf.DUMMYFUNCTION("""COMPUTED_VALUE"""),"FA")</f>
        <v>FA</v>
      </c>
      <c r="E2042" s="62" t="str">
        <f t="shared" si="4"/>
        <v>Damien Martinez</v>
      </c>
      <c r="F2042" s="62">
        <f t="shared" ref="F2042:G2042" si="4083">IF(isblank(F$1),,IF(isblank($A2042),,IFERROR(vlookup($A2042,indirect("'TVC-"&amp;text(month(F$1),"00")&amp;"'!$A:$D"),4,false),1)))</f>
        <v>1145</v>
      </c>
      <c r="G2042" s="62">
        <f t="shared" si="4083"/>
        <v>1136</v>
      </c>
      <c r="H2042" s="62">
        <f t="shared" ref="H2042:Q2042" si="4084">IF(isblank(H$1),,IFERROR(vlookup($A2042,indirect("'TVC-"&amp;text(month(H$1),"00")&amp;"'!$A:$D"),4,false),1))</f>
        <v>1170</v>
      </c>
      <c r="I2042" s="62">
        <f t="shared" si="4084"/>
        <v>1200</v>
      </c>
      <c r="J2042" s="62">
        <f t="shared" si="4084"/>
        <v>1373</v>
      </c>
      <c r="K2042" s="62">
        <f t="shared" si="4084"/>
        <v>1458</v>
      </c>
      <c r="L2042" s="62">
        <f t="shared" si="4084"/>
        <v>1477</v>
      </c>
      <c r="M2042" s="62">
        <f t="shared" si="4084"/>
        <v>1323</v>
      </c>
      <c r="N2042" s="62">
        <f t="shared" si="4084"/>
        <v>1323</v>
      </c>
      <c r="O2042" s="62">
        <f t="shared" si="4084"/>
        <v>1</v>
      </c>
      <c r="P2042" s="62" t="str">
        <f t="shared" si="4084"/>
        <v/>
      </c>
      <c r="Q2042" s="62" t="str">
        <f t="shared" si="4084"/>
        <v/>
      </c>
      <c r="R2042" s="62">
        <f t="shared" si="7"/>
        <v>-1322</v>
      </c>
      <c r="S2042" s="62"/>
      <c r="T2042" s="62"/>
      <c r="U2042" s="62"/>
      <c r="V2042" s="62"/>
      <c r="W2042" s="62"/>
      <c r="X2042" s="62"/>
      <c r="Y2042" s="62"/>
      <c r="Z2042" s="62"/>
      <c r="AA2042" s="62"/>
      <c r="AB2042" s="62"/>
      <c r="AC2042" s="62"/>
    </row>
    <row r="2043" hidden="1">
      <c r="A2043" s="60">
        <f>IFERROR(__xludf.DUMMYFUNCTION("""COMPUTED_VALUE"""),17055.0)</f>
        <v>17055</v>
      </c>
      <c r="B2043" s="60" t="str">
        <f>IFERROR(__xludf.DUMMYFUNCTION("""COMPUTED_VALUE"""),"James, Jordan")</f>
        <v>James, Jordan</v>
      </c>
      <c r="C2043" s="60" t="str">
        <f>IFERROR(__xludf.DUMMYFUNCTION("""COMPUTED_VALUE"""),"RB")</f>
        <v>RB</v>
      </c>
      <c r="D2043" s="60" t="str">
        <f>IFERROR(__xludf.DUMMYFUNCTION("""COMPUTED_VALUE"""),"SFO")</f>
        <v>SFO</v>
      </c>
      <c r="E2043" s="62" t="str">
        <f t="shared" si="4"/>
        <v>Jordan James</v>
      </c>
      <c r="F2043" s="62">
        <f t="shared" ref="F2043:G2043" si="4085">IF(isblank(F$1),,IF(isblank($A2043),,IFERROR(vlookup($A2043,indirect("'TVC-"&amp;text(month(F$1),"00")&amp;"'!$A:$D"),4,false),1)))</f>
        <v>1570</v>
      </c>
      <c r="G2043" s="62">
        <f t="shared" si="4085"/>
        <v>1738</v>
      </c>
      <c r="H2043" s="62">
        <f t="shared" ref="H2043:Q2043" si="4086">IF(isblank(H$1),,IFERROR(vlookup($A2043,indirect("'TVC-"&amp;text(month(H$1),"00")&amp;"'!$A:$D"),4,false),1))</f>
        <v>1767</v>
      </c>
      <c r="I2043" s="62">
        <f t="shared" si="4086"/>
        <v>1929</v>
      </c>
      <c r="J2043" s="62">
        <f t="shared" si="4086"/>
        <v>2082</v>
      </c>
      <c r="K2043" s="62">
        <f t="shared" si="4086"/>
        <v>2122</v>
      </c>
      <c r="L2043" s="62">
        <f t="shared" si="4086"/>
        <v>2129</v>
      </c>
      <c r="M2043" s="62">
        <f t="shared" si="4086"/>
        <v>2283</v>
      </c>
      <c r="N2043" s="62">
        <f t="shared" si="4086"/>
        <v>2138</v>
      </c>
      <c r="O2043" s="62">
        <f t="shared" si="4086"/>
        <v>1</v>
      </c>
      <c r="P2043" s="62" t="str">
        <f t="shared" si="4086"/>
        <v/>
      </c>
      <c r="Q2043" s="62" t="str">
        <f t="shared" si="4086"/>
        <v/>
      </c>
      <c r="R2043" s="62">
        <f t="shared" si="7"/>
        <v>-2137</v>
      </c>
      <c r="S2043" s="62"/>
      <c r="T2043" s="62"/>
      <c r="U2043" s="62"/>
      <c r="V2043" s="62"/>
      <c r="W2043" s="62"/>
      <c r="X2043" s="62"/>
      <c r="Y2043" s="62"/>
      <c r="Z2043" s="62"/>
      <c r="AA2043" s="62"/>
      <c r="AB2043" s="62"/>
      <c r="AC2043" s="62"/>
    </row>
    <row r="2044" hidden="1">
      <c r="A2044" s="60">
        <f>IFERROR(__xludf.DUMMYFUNCTION("""COMPUTED_VALUE"""),17056.0)</f>
        <v>17056</v>
      </c>
      <c r="B2044" s="60" t="str">
        <f>IFERROR(__xludf.DUMMYFUNCTION("""COMPUTED_VALUE"""),"Etienne, Trevor")</f>
        <v>Etienne, Trevor</v>
      </c>
      <c r="C2044" s="60" t="str">
        <f>IFERROR(__xludf.DUMMYFUNCTION("""COMPUTED_VALUE"""),"RB")</f>
        <v>RB</v>
      </c>
      <c r="D2044" s="60" t="str">
        <f>IFERROR(__xludf.DUMMYFUNCTION("""COMPUTED_VALUE"""),"CAR")</f>
        <v>CAR</v>
      </c>
      <c r="E2044" s="62" t="str">
        <f t="shared" si="4"/>
        <v>Trevor Etienne</v>
      </c>
      <c r="F2044" s="62">
        <f t="shared" ref="F2044:G2044" si="4087">IF(isblank(F$1),,IF(isblank($A2044),,IFERROR(vlookup($A2044,indirect("'TVC-"&amp;text(month(F$1),"00")&amp;"'!$A:$D"),4,false),1)))</f>
        <v>1952</v>
      </c>
      <c r="G2044" s="62">
        <f t="shared" si="4087"/>
        <v>2025</v>
      </c>
      <c r="H2044" s="62">
        <f t="shared" ref="H2044:Q2044" si="4088">IF(isblank(H$1),,IFERROR(vlookup($A2044,indirect("'TVC-"&amp;text(month(H$1),"00")&amp;"'!$A:$D"),4,false),1))</f>
        <v>2090</v>
      </c>
      <c r="I2044" s="62">
        <f t="shared" si="4088"/>
        <v>2118</v>
      </c>
      <c r="J2044" s="62">
        <f t="shared" si="4088"/>
        <v>2147</v>
      </c>
      <c r="K2044" s="62">
        <f t="shared" si="4088"/>
        <v>2072</v>
      </c>
      <c r="L2044" s="62">
        <f t="shared" si="4088"/>
        <v>2034</v>
      </c>
      <c r="M2044" s="62">
        <f t="shared" si="4088"/>
        <v>1944</v>
      </c>
      <c r="N2044" s="62">
        <f t="shared" si="4088"/>
        <v>2024</v>
      </c>
      <c r="O2044" s="62">
        <f t="shared" si="4088"/>
        <v>1</v>
      </c>
      <c r="P2044" s="62" t="str">
        <f t="shared" si="4088"/>
        <v/>
      </c>
      <c r="Q2044" s="62" t="str">
        <f t="shared" si="4088"/>
        <v/>
      </c>
      <c r="R2044" s="62">
        <f t="shared" si="7"/>
        <v>-2023</v>
      </c>
      <c r="S2044" s="62"/>
      <c r="T2044" s="62"/>
      <c r="U2044" s="62"/>
      <c r="V2044" s="62"/>
      <c r="W2044" s="62"/>
      <c r="X2044" s="62"/>
      <c r="Y2044" s="62"/>
      <c r="Z2044" s="62"/>
      <c r="AA2044" s="62"/>
      <c r="AB2044" s="62"/>
      <c r="AC2044" s="62"/>
    </row>
    <row r="2045" hidden="1">
      <c r="A2045" s="60">
        <f>IFERROR(__xludf.DUMMYFUNCTION("""COMPUTED_VALUE"""),17057.0)</f>
        <v>17057</v>
      </c>
      <c r="B2045" s="60" t="str">
        <f>IFERROR(__xludf.DUMMYFUNCTION("""COMPUTED_VALUE"""),"Edwards, Donovan")</f>
        <v>Edwards, Donovan</v>
      </c>
      <c r="C2045" s="60" t="str">
        <f>IFERROR(__xludf.DUMMYFUNCTION("""COMPUTED_VALUE"""),"RB")</f>
        <v>RB</v>
      </c>
      <c r="D2045" s="60" t="str">
        <f>IFERROR(__xludf.DUMMYFUNCTION("""COMPUTED_VALUE"""),"FA")</f>
        <v>FA</v>
      </c>
      <c r="E2045" s="62" t="str">
        <f t="shared" si="4"/>
        <v>Donovan Edwards</v>
      </c>
      <c r="F2045" s="62">
        <f t="shared" ref="F2045:G2045" si="4089">IF(isblank(F$1),,IF(isblank($A2045),,IFERROR(vlookup($A2045,indirect("'TVC-"&amp;text(month(F$1),"00")&amp;"'!$A:$D"),4,false),1)))</f>
        <v>1027</v>
      </c>
      <c r="G2045" s="62">
        <f t="shared" si="4089"/>
        <v>1005</v>
      </c>
      <c r="H2045" s="62">
        <f t="shared" ref="H2045:Q2045" si="4090">IF(isblank(H$1),,IFERROR(vlookup($A2045,indirect("'TVC-"&amp;text(month(H$1),"00")&amp;"'!$A:$D"),4,false),1))</f>
        <v>1006</v>
      </c>
      <c r="I2045" s="62">
        <f t="shared" si="4090"/>
        <v>1094</v>
      </c>
      <c r="J2045" s="62">
        <f t="shared" si="4090"/>
        <v>1205</v>
      </c>
      <c r="K2045" s="62">
        <f t="shared" si="4090"/>
        <v>1175</v>
      </c>
      <c r="L2045" s="62">
        <f t="shared" si="4090"/>
        <v>1164</v>
      </c>
      <c r="M2045" s="62">
        <f t="shared" si="4090"/>
        <v>1147</v>
      </c>
      <c r="N2045" s="62">
        <f t="shared" si="4090"/>
        <v>1144</v>
      </c>
      <c r="O2045" s="62">
        <f t="shared" si="4090"/>
        <v>1</v>
      </c>
      <c r="P2045" s="62" t="str">
        <f t="shared" si="4090"/>
        <v/>
      </c>
      <c r="Q2045" s="62" t="str">
        <f t="shared" si="4090"/>
        <v/>
      </c>
      <c r="R2045" s="62">
        <f t="shared" si="7"/>
        <v>-1143</v>
      </c>
      <c r="S2045" s="62"/>
      <c r="T2045" s="62"/>
      <c r="U2045" s="62"/>
      <c r="V2045" s="62"/>
      <c r="W2045" s="62"/>
      <c r="X2045" s="62"/>
      <c r="Y2045" s="62"/>
      <c r="Z2045" s="62"/>
      <c r="AA2045" s="62"/>
      <c r="AB2045" s="62"/>
      <c r="AC2045" s="62"/>
    </row>
    <row r="2046">
      <c r="A2046" s="60">
        <f>IFERROR(__xludf.DUMMYFUNCTION("""COMPUTED_VALUE"""),17058.0)</f>
        <v>17058</v>
      </c>
      <c r="B2046" s="60" t="str">
        <f>IFERROR(__xludf.DUMMYFUNCTION("""COMPUTED_VALUE"""),"Brooks, Tahj")</f>
        <v>Brooks, Tahj</v>
      </c>
      <c r="C2046" s="60" t="str">
        <f>IFERROR(__xludf.DUMMYFUNCTION("""COMPUTED_VALUE"""),"RB")</f>
        <v>RB</v>
      </c>
      <c r="D2046" s="60" t="str">
        <f>IFERROR(__xludf.DUMMYFUNCTION("""COMPUTED_VALUE"""),"CIN")</f>
        <v>CIN</v>
      </c>
      <c r="E2046" s="62" t="str">
        <f t="shared" si="4"/>
        <v>Tahj Brooks</v>
      </c>
      <c r="F2046" s="62">
        <f t="shared" ref="F2046:G2046" si="4091">IF(isblank(F$1),,IF(isblank($A2046),,IFERROR(vlookup($A2046,indirect("'TVC-"&amp;text(month(F$1),"00")&amp;"'!$A:$D"),4,false),1)))</f>
        <v>1686</v>
      </c>
      <c r="G2046" s="62">
        <f t="shared" si="4091"/>
        <v>1721</v>
      </c>
      <c r="H2046" s="62">
        <f t="shared" ref="H2046:Q2046" si="4092">IF(isblank(H$1),,IFERROR(vlookup($A2046,indirect("'TVC-"&amp;text(month(H$1),"00")&amp;"'!$A:$D"),4,false),1))</f>
        <v>1764</v>
      </c>
      <c r="I2046" s="62">
        <f t="shared" si="4092"/>
        <v>1734</v>
      </c>
      <c r="J2046" s="62">
        <f t="shared" si="4092"/>
        <v>1649</v>
      </c>
      <c r="K2046" s="62">
        <f t="shared" si="4092"/>
        <v>1655</v>
      </c>
      <c r="L2046" s="62">
        <f t="shared" si="4092"/>
        <v>1665</v>
      </c>
      <c r="M2046" s="62">
        <f t="shared" si="4092"/>
        <v>1681</v>
      </c>
      <c r="N2046" s="62">
        <f t="shared" si="4092"/>
        <v>1525</v>
      </c>
      <c r="O2046" s="62">
        <f t="shared" si="4092"/>
        <v>1</v>
      </c>
      <c r="P2046" s="62" t="str">
        <f t="shared" si="4092"/>
        <v/>
      </c>
      <c r="Q2046" s="62" t="str">
        <f t="shared" si="4092"/>
        <v/>
      </c>
      <c r="R2046" s="62">
        <f t="shared" si="7"/>
        <v>-1524</v>
      </c>
      <c r="S2046" s="62"/>
      <c r="T2046" s="62"/>
      <c r="U2046" s="62"/>
      <c r="V2046" s="62"/>
      <c r="W2046" s="62"/>
      <c r="X2046" s="62"/>
      <c r="Y2046" s="62"/>
      <c r="Z2046" s="62"/>
      <c r="AA2046" s="62"/>
      <c r="AB2046" s="62"/>
      <c r="AC2046" s="62"/>
    </row>
    <row r="2047">
      <c r="A2047" s="60">
        <f>IFERROR(__xludf.DUMMYFUNCTION("""COMPUTED_VALUE"""),17059.0)</f>
        <v>17059</v>
      </c>
      <c r="B2047" s="60" t="str">
        <f>IFERROR(__xludf.DUMMYFUNCTION("""COMPUTED_VALUE"""),"Gordon II, Ollie")</f>
        <v>Gordon II, Ollie</v>
      </c>
      <c r="C2047" s="60" t="str">
        <f>IFERROR(__xludf.DUMMYFUNCTION("""COMPUTED_VALUE"""),"RB")</f>
        <v>RB</v>
      </c>
      <c r="D2047" s="60" t="str">
        <f>IFERROR(__xludf.DUMMYFUNCTION("""COMPUTED_VALUE"""),"MIA")</f>
        <v>MIA</v>
      </c>
      <c r="E2047" s="62" t="str">
        <f t="shared" si="4"/>
        <v>Ollie Gordon II</v>
      </c>
      <c r="F2047" s="62">
        <f t="shared" ref="F2047:G2047" si="4093">IF(isblank(F$1),,IF(isblank($A2047),,IFERROR(vlookup($A2047,indirect("'TVC-"&amp;text(month(F$1),"00")&amp;"'!$A:$D"),4,false),1)))</f>
        <v>1</v>
      </c>
      <c r="G2047" s="62">
        <f t="shared" si="4093"/>
        <v>1</v>
      </c>
      <c r="H2047" s="62">
        <f t="shared" ref="H2047:Q2047" si="4094">IF(isblank(H$1),,IFERROR(vlookup($A2047,indirect("'TVC-"&amp;text(month(H$1),"00")&amp;"'!$A:$D"),4,false),1))</f>
        <v>1</v>
      </c>
      <c r="I2047" s="62">
        <f t="shared" si="4094"/>
        <v>1</v>
      </c>
      <c r="J2047" s="62">
        <f t="shared" si="4094"/>
        <v>1</v>
      </c>
      <c r="K2047" s="62">
        <f t="shared" si="4094"/>
        <v>1</v>
      </c>
      <c r="L2047" s="62">
        <f t="shared" si="4094"/>
        <v>1</v>
      </c>
      <c r="M2047" s="62">
        <f t="shared" si="4094"/>
        <v>1</v>
      </c>
      <c r="N2047" s="62">
        <f t="shared" si="4094"/>
        <v>1</v>
      </c>
      <c r="O2047" s="62">
        <f t="shared" si="4094"/>
        <v>1</v>
      </c>
      <c r="P2047" s="62" t="str">
        <f t="shared" si="4094"/>
        <v/>
      </c>
      <c r="Q2047" s="62" t="str">
        <f t="shared" si="4094"/>
        <v/>
      </c>
      <c r="R2047" s="62">
        <f t="shared" si="7"/>
        <v>0</v>
      </c>
      <c r="S2047" s="62"/>
      <c r="T2047" s="62"/>
      <c r="U2047" s="62"/>
      <c r="V2047" s="62"/>
      <c r="W2047" s="62"/>
      <c r="X2047" s="62"/>
      <c r="Y2047" s="62"/>
      <c r="Z2047" s="62"/>
      <c r="AA2047" s="62"/>
      <c r="AB2047" s="62"/>
      <c r="AC2047" s="62"/>
    </row>
    <row r="2048">
      <c r="A2048" s="60">
        <f>IFERROR(__xludf.DUMMYFUNCTION("""COMPUTED_VALUE"""),17060.0)</f>
        <v>17060</v>
      </c>
      <c r="B2048" s="60" t="str">
        <f>IFERROR(__xludf.DUMMYFUNCTION("""COMPUTED_VALUE"""),"Giddens, DJ")</f>
        <v>Giddens, DJ</v>
      </c>
      <c r="C2048" s="60" t="str">
        <f>IFERROR(__xludf.DUMMYFUNCTION("""COMPUTED_VALUE"""),"RB")</f>
        <v>RB</v>
      </c>
      <c r="D2048" s="60" t="str">
        <f>IFERROR(__xludf.DUMMYFUNCTION("""COMPUTED_VALUE"""),"IND")</f>
        <v>IND</v>
      </c>
      <c r="E2048" s="62" t="str">
        <f t="shared" si="4"/>
        <v>DJ Giddens</v>
      </c>
      <c r="F2048" s="62">
        <f t="shared" ref="F2048:G2048" si="4095">IF(isblank(F$1),,IF(isblank($A2048),,IFERROR(vlookup($A2048,indirect("'TVC-"&amp;text(month(F$1),"00")&amp;"'!$A:$D"),4,false),1)))</f>
        <v>1918</v>
      </c>
      <c r="G2048" s="62">
        <f t="shared" si="4095"/>
        <v>2000</v>
      </c>
      <c r="H2048" s="62">
        <f t="shared" ref="H2048:Q2048" si="4096">IF(isblank(H$1),,IFERROR(vlookup($A2048,indirect("'TVC-"&amp;text(month(H$1),"00")&amp;"'!$A:$D"),4,false),1))</f>
        <v>2068</v>
      </c>
      <c r="I2048" s="62">
        <f t="shared" si="4096"/>
        <v>2111</v>
      </c>
      <c r="J2048" s="62">
        <f t="shared" si="4096"/>
        <v>2043</v>
      </c>
      <c r="K2048" s="62">
        <f t="shared" si="4096"/>
        <v>2046</v>
      </c>
      <c r="L2048" s="62">
        <f t="shared" si="4096"/>
        <v>2066</v>
      </c>
      <c r="M2048" s="62">
        <f t="shared" si="4096"/>
        <v>2049</v>
      </c>
      <c r="N2048" s="62">
        <f t="shared" si="4096"/>
        <v>1859</v>
      </c>
      <c r="O2048" s="62">
        <f t="shared" si="4096"/>
        <v>1</v>
      </c>
      <c r="P2048" s="62" t="str">
        <f t="shared" si="4096"/>
        <v/>
      </c>
      <c r="Q2048" s="62" t="str">
        <f t="shared" si="4096"/>
        <v/>
      </c>
      <c r="R2048" s="62">
        <f t="shared" si="7"/>
        <v>-1858</v>
      </c>
      <c r="S2048" s="62"/>
      <c r="T2048" s="62"/>
      <c r="U2048" s="62"/>
      <c r="V2048" s="62"/>
      <c r="W2048" s="62"/>
      <c r="X2048" s="62"/>
      <c r="Y2048" s="62"/>
      <c r="Z2048" s="62"/>
      <c r="AA2048" s="62"/>
      <c r="AB2048" s="62"/>
      <c r="AC2048" s="62"/>
    </row>
    <row r="2049">
      <c r="A2049" s="60">
        <f>IFERROR(__xludf.DUMMYFUNCTION("""COMPUTED_VALUE"""),17061.0)</f>
        <v>17061</v>
      </c>
      <c r="B2049" s="60" t="str">
        <f>IFERROR(__xludf.DUMMYFUNCTION("""COMPUTED_VALUE"""),"Allen, LeQuint")</f>
        <v>Allen, LeQuint</v>
      </c>
      <c r="C2049" s="60" t="str">
        <f>IFERROR(__xludf.DUMMYFUNCTION("""COMPUTED_VALUE"""),"RB")</f>
        <v>RB</v>
      </c>
      <c r="D2049" s="60" t="str">
        <f>IFERROR(__xludf.DUMMYFUNCTION("""COMPUTED_VALUE"""),"JAC")</f>
        <v>JAC</v>
      </c>
      <c r="E2049" s="62" t="str">
        <f t="shared" si="4"/>
        <v>LeQuint Allen</v>
      </c>
      <c r="F2049" s="62">
        <f t="shared" ref="F2049:G2049" si="4097">IF(isblank(F$1),,IF(isblank($A2049),,IFERROR(vlookup($A2049,indirect("'TVC-"&amp;text(month(F$1),"00")&amp;"'!$A:$D"),4,false),1)))</f>
        <v>1766</v>
      </c>
      <c r="G2049" s="62">
        <f t="shared" si="4097"/>
        <v>1845</v>
      </c>
      <c r="H2049" s="62">
        <f t="shared" ref="H2049:Q2049" si="4098">IF(isblank(H$1),,IFERROR(vlookup($A2049,indirect("'TVC-"&amp;text(month(H$1),"00")&amp;"'!$A:$D"),4,false),1))</f>
        <v>1872</v>
      </c>
      <c r="I2049" s="62">
        <f t="shared" si="4098"/>
        <v>2150</v>
      </c>
      <c r="J2049" s="62">
        <f t="shared" si="4098"/>
        <v>2065</v>
      </c>
      <c r="K2049" s="62">
        <f t="shared" si="4098"/>
        <v>2033</v>
      </c>
      <c r="L2049" s="62">
        <f t="shared" si="4098"/>
        <v>2049</v>
      </c>
      <c r="M2049" s="62">
        <f t="shared" si="4098"/>
        <v>2057</v>
      </c>
      <c r="N2049" s="62">
        <f t="shared" si="4098"/>
        <v>2028</v>
      </c>
      <c r="O2049" s="62">
        <f t="shared" si="4098"/>
        <v>1</v>
      </c>
      <c r="P2049" s="62" t="str">
        <f t="shared" si="4098"/>
        <v/>
      </c>
      <c r="Q2049" s="62" t="str">
        <f t="shared" si="4098"/>
        <v/>
      </c>
      <c r="R2049" s="62">
        <f t="shared" si="7"/>
        <v>-2027</v>
      </c>
      <c r="S2049" s="62"/>
      <c r="T2049" s="62"/>
      <c r="U2049" s="62"/>
      <c r="V2049" s="62"/>
      <c r="W2049" s="62"/>
      <c r="X2049" s="62"/>
      <c r="Y2049" s="62"/>
      <c r="Z2049" s="62"/>
      <c r="AA2049" s="62"/>
      <c r="AB2049" s="62"/>
      <c r="AC2049" s="62"/>
    </row>
    <row r="2050" hidden="1">
      <c r="A2050" s="60">
        <f>IFERROR(__xludf.DUMMYFUNCTION("""COMPUTED_VALUE"""),17062.0)</f>
        <v>17062</v>
      </c>
      <c r="B2050" s="60" t="str">
        <f>IFERROR(__xludf.DUMMYFUNCTION("""COMPUTED_VALUE"""),"Sanders, Raheim")</f>
        <v>Sanders, Raheim</v>
      </c>
      <c r="C2050" s="60" t="str">
        <f>IFERROR(__xludf.DUMMYFUNCTION("""COMPUTED_VALUE"""),"RB")</f>
        <v>RB</v>
      </c>
      <c r="D2050" s="60" t="str">
        <f>IFERROR(__xludf.DUMMYFUNCTION("""COMPUTED_VALUE"""),"CLE")</f>
        <v>CLE</v>
      </c>
      <c r="E2050" s="62" t="str">
        <f t="shared" si="4"/>
        <v>Raheim Sanders</v>
      </c>
      <c r="F2050" s="62">
        <f t="shared" ref="F2050:G2050" si="4099">IF(isblank(F$1),,IF(isblank($A2050),,IFERROR(vlookup($A2050,indirect("'TVC-"&amp;text(month(F$1),"00")&amp;"'!$A:$D"),4,false),1)))</f>
        <v>1208</v>
      </c>
      <c r="G2050" s="62">
        <f t="shared" si="4099"/>
        <v>1385</v>
      </c>
      <c r="H2050" s="62">
        <f t="shared" ref="H2050:Q2050" si="4100">IF(isblank(H$1),,IFERROR(vlookup($A2050,indirect("'TVC-"&amp;text(month(H$1),"00")&amp;"'!$A:$D"),4,false),1))</f>
        <v>1430</v>
      </c>
      <c r="I2050" s="62">
        <f t="shared" si="4100"/>
        <v>1446</v>
      </c>
      <c r="J2050" s="62">
        <f t="shared" si="4100"/>
        <v>1388</v>
      </c>
      <c r="K2050" s="62">
        <f t="shared" si="4100"/>
        <v>1359</v>
      </c>
      <c r="L2050" s="62">
        <f t="shared" si="4100"/>
        <v>1302</v>
      </c>
      <c r="M2050" s="62">
        <f t="shared" si="4100"/>
        <v>1207</v>
      </c>
      <c r="N2050" s="62">
        <f t="shared" si="4100"/>
        <v>1188</v>
      </c>
      <c r="O2050" s="62">
        <f t="shared" si="4100"/>
        <v>1</v>
      </c>
      <c r="P2050" s="62" t="str">
        <f t="shared" si="4100"/>
        <v/>
      </c>
      <c r="Q2050" s="62" t="str">
        <f t="shared" si="4100"/>
        <v/>
      </c>
      <c r="R2050" s="62">
        <f t="shared" si="7"/>
        <v>-1187</v>
      </c>
      <c r="S2050" s="62"/>
      <c r="T2050" s="62"/>
      <c r="U2050" s="62"/>
      <c r="V2050" s="62"/>
      <c r="W2050" s="62"/>
      <c r="X2050" s="62"/>
      <c r="Y2050" s="62"/>
      <c r="Z2050" s="62"/>
      <c r="AA2050" s="62"/>
      <c r="AB2050" s="62"/>
      <c r="AC2050" s="62"/>
    </row>
    <row r="2051">
      <c r="A2051" s="60">
        <f>IFERROR(__xludf.DUMMYFUNCTION("""COMPUTED_VALUE"""),17063.0)</f>
        <v>17063</v>
      </c>
      <c r="B2051" s="60" t="str">
        <f>IFERROR(__xludf.DUMMYFUNCTION("""COMPUTED_VALUE"""),"Mafah, Phil")</f>
        <v>Mafah, Phil</v>
      </c>
      <c r="C2051" s="60" t="str">
        <f>IFERROR(__xludf.DUMMYFUNCTION("""COMPUTED_VALUE"""),"RB")</f>
        <v>RB</v>
      </c>
      <c r="D2051" s="60" t="str">
        <f>IFERROR(__xludf.DUMMYFUNCTION("""COMPUTED_VALUE"""),"NYG")</f>
        <v>NYG</v>
      </c>
      <c r="E2051" s="62" t="str">
        <f t="shared" si="4"/>
        <v>Phil Mafah</v>
      </c>
      <c r="F2051" s="62">
        <f t="shared" ref="F2051:G2051" si="4101">IF(isblank(F$1),,IF(isblank($A2051),,IFERROR(vlookup($A2051,indirect("'TVC-"&amp;text(month(F$1),"00")&amp;"'!$A:$D"),4,false),1)))</f>
        <v>1062</v>
      </c>
      <c r="G2051" s="62">
        <f t="shared" si="4101"/>
        <v>1188</v>
      </c>
      <c r="H2051" s="62">
        <f t="shared" ref="H2051:Q2051" si="4102">IF(isblank(H$1),,IFERROR(vlookup($A2051,indirect("'TVC-"&amp;text(month(H$1),"00")&amp;"'!$A:$D"),4,false),1))</f>
        <v>1186</v>
      </c>
      <c r="I2051" s="62">
        <f t="shared" si="4102"/>
        <v>1289</v>
      </c>
      <c r="J2051" s="62">
        <f t="shared" si="4102"/>
        <v>1251</v>
      </c>
      <c r="K2051" s="62">
        <f t="shared" si="4102"/>
        <v>1197</v>
      </c>
      <c r="L2051" s="62">
        <f t="shared" si="4102"/>
        <v>1179</v>
      </c>
      <c r="M2051" s="62">
        <f t="shared" si="4102"/>
        <v>1298</v>
      </c>
      <c r="N2051" s="62">
        <f t="shared" si="4102"/>
        <v>1245</v>
      </c>
      <c r="O2051" s="62">
        <f t="shared" si="4102"/>
        <v>1</v>
      </c>
      <c r="P2051" s="62" t="str">
        <f t="shared" si="4102"/>
        <v/>
      </c>
      <c r="Q2051" s="62" t="str">
        <f t="shared" si="4102"/>
        <v/>
      </c>
      <c r="R2051" s="62">
        <f t="shared" si="7"/>
        <v>-1244</v>
      </c>
      <c r="S2051" s="62"/>
      <c r="T2051" s="62"/>
      <c r="U2051" s="62"/>
      <c r="V2051" s="62"/>
      <c r="W2051" s="62"/>
      <c r="X2051" s="62"/>
      <c r="Y2051" s="62"/>
      <c r="Z2051" s="62"/>
      <c r="AA2051" s="62"/>
      <c r="AB2051" s="62"/>
      <c r="AC2051" s="62"/>
    </row>
    <row r="2052">
      <c r="A2052" s="60">
        <f>IFERROR(__xludf.DUMMYFUNCTION("""COMPUTED_VALUE"""),17064.0)</f>
        <v>17064</v>
      </c>
      <c r="B2052" s="60" t="str">
        <f>IFERROR(__xludf.DUMMYFUNCTION("""COMPUTED_VALUE"""),"Hunter, Jarquez")</f>
        <v>Hunter, Jarquez</v>
      </c>
      <c r="C2052" s="60" t="str">
        <f>IFERROR(__xludf.DUMMYFUNCTION("""COMPUTED_VALUE"""),"RB")</f>
        <v>RB</v>
      </c>
      <c r="D2052" s="60" t="str">
        <f>IFERROR(__xludf.DUMMYFUNCTION("""COMPUTED_VALUE"""),"NOS")</f>
        <v>NOS</v>
      </c>
      <c r="E2052" s="62" t="str">
        <f t="shared" si="4"/>
        <v>Jarquez Hunter</v>
      </c>
      <c r="F2052" s="62">
        <f t="shared" ref="F2052:G2052" si="4103">IF(isblank(F$1),,IF(isblank($A2052),,IFERROR(vlookup($A2052,indirect("'TVC-"&amp;text(month(F$1),"00")&amp;"'!$A:$D"),4,false),1)))</f>
        <v>1680</v>
      </c>
      <c r="G2052" s="62">
        <f t="shared" si="4103"/>
        <v>1676</v>
      </c>
      <c r="H2052" s="62">
        <f t="shared" ref="H2052:Q2052" si="4104">IF(isblank(H$1),,IFERROR(vlookup($A2052,indirect("'TVC-"&amp;text(month(H$1),"00")&amp;"'!$A:$D"),4,false),1))</f>
        <v>1668</v>
      </c>
      <c r="I2052" s="62">
        <f t="shared" si="4104"/>
        <v>1706</v>
      </c>
      <c r="J2052" s="62">
        <f t="shared" si="4104"/>
        <v>1671</v>
      </c>
      <c r="K2052" s="62">
        <f t="shared" si="4104"/>
        <v>1668</v>
      </c>
      <c r="L2052" s="62">
        <f t="shared" si="4104"/>
        <v>1682</v>
      </c>
      <c r="M2052" s="62">
        <f t="shared" si="4104"/>
        <v>1576</v>
      </c>
      <c r="N2052" s="62">
        <f t="shared" si="4104"/>
        <v>1622</v>
      </c>
      <c r="O2052" s="62">
        <f t="shared" si="4104"/>
        <v>1</v>
      </c>
      <c r="P2052" s="62" t="str">
        <f t="shared" si="4104"/>
        <v/>
      </c>
      <c r="Q2052" s="62" t="str">
        <f t="shared" si="4104"/>
        <v/>
      </c>
      <c r="R2052" s="62">
        <f t="shared" si="7"/>
        <v>-1621</v>
      </c>
      <c r="S2052" s="62"/>
      <c r="T2052" s="62"/>
      <c r="U2052" s="62"/>
      <c r="V2052" s="62"/>
      <c r="W2052" s="62"/>
      <c r="X2052" s="62"/>
      <c r="Y2052" s="62"/>
      <c r="Z2052" s="62"/>
      <c r="AA2052" s="62"/>
      <c r="AB2052" s="62"/>
      <c r="AC2052" s="62"/>
    </row>
    <row r="2053">
      <c r="A2053" s="60">
        <f>IFERROR(__xludf.DUMMYFUNCTION("""COMPUTED_VALUE"""),17066.0)</f>
        <v>17066</v>
      </c>
      <c r="B2053" s="60" t="str">
        <f>IFERROR(__xludf.DUMMYFUNCTION("""COMPUTED_VALUE"""),"Monangai, Kyle")</f>
        <v>Monangai, Kyle</v>
      </c>
      <c r="C2053" s="60" t="str">
        <f>IFERROR(__xludf.DUMMYFUNCTION("""COMPUTED_VALUE"""),"RB")</f>
        <v>RB</v>
      </c>
      <c r="D2053" s="60" t="str">
        <f>IFERROR(__xludf.DUMMYFUNCTION("""COMPUTED_VALUE"""),"CHI")</f>
        <v>CHI</v>
      </c>
      <c r="E2053" s="62" t="str">
        <f t="shared" si="4"/>
        <v>Kyle Monangai</v>
      </c>
      <c r="F2053" s="62">
        <f t="shared" ref="F2053:G2053" si="4105">IF(isblank(F$1),,IF(isblank($A2053),,IFERROR(vlookup($A2053,indirect("'TVC-"&amp;text(month(F$1),"00")&amp;"'!$A:$D"),4,false),1)))</f>
        <v>3964</v>
      </c>
      <c r="G2053" s="62">
        <f t="shared" si="4105"/>
        <v>3935</v>
      </c>
      <c r="H2053" s="62">
        <f t="shared" ref="H2053:Q2053" si="4106">IF(isblank(H$1),,IFERROR(vlookup($A2053,indirect("'TVC-"&amp;text(month(H$1),"00")&amp;"'!$A:$D"),4,false),1))</f>
        <v>3811</v>
      </c>
      <c r="I2053" s="62">
        <f t="shared" si="4106"/>
        <v>3559</v>
      </c>
      <c r="J2053" s="62">
        <f t="shared" si="4106"/>
        <v>3570</v>
      </c>
      <c r="K2053" s="62">
        <f t="shared" si="4106"/>
        <v>3669</v>
      </c>
      <c r="L2053" s="62">
        <f t="shared" si="4106"/>
        <v>3573</v>
      </c>
      <c r="M2053" s="62">
        <f t="shared" si="4106"/>
        <v>3512</v>
      </c>
      <c r="N2053" s="62">
        <f t="shared" si="4106"/>
        <v>3320</v>
      </c>
      <c r="O2053" s="62">
        <f t="shared" si="4106"/>
        <v>1</v>
      </c>
      <c r="P2053" s="62" t="str">
        <f t="shared" si="4106"/>
        <v/>
      </c>
      <c r="Q2053" s="62" t="str">
        <f t="shared" si="4106"/>
        <v/>
      </c>
      <c r="R2053" s="62">
        <f t="shared" si="7"/>
        <v>-3319</v>
      </c>
      <c r="S2053" s="62"/>
      <c r="T2053" s="62"/>
      <c r="U2053" s="62"/>
      <c r="V2053" s="62"/>
      <c r="W2053" s="62"/>
      <c r="X2053" s="62"/>
      <c r="Y2053" s="62"/>
      <c r="Z2053" s="62"/>
      <c r="AA2053" s="62"/>
      <c r="AB2053" s="62"/>
      <c r="AC2053" s="62"/>
    </row>
    <row r="2054">
      <c r="A2054" s="60">
        <f>IFERROR(__xludf.DUMMYFUNCTION("""COMPUTED_VALUE"""),17068.0)</f>
        <v>17068</v>
      </c>
      <c r="B2054" s="60" t="str">
        <f>IFERROR(__xludf.DUMMYFUNCTION("""COMPUTED_VALUE"""),"Harvey, RJ")</f>
        <v>Harvey, RJ</v>
      </c>
      <c r="C2054" s="60" t="str">
        <f>IFERROR(__xludf.DUMMYFUNCTION("""COMPUTED_VALUE"""),"RB")</f>
        <v>RB</v>
      </c>
      <c r="D2054" s="60" t="str">
        <f>IFERROR(__xludf.DUMMYFUNCTION("""COMPUTED_VALUE"""),"DEN")</f>
        <v>DEN</v>
      </c>
      <c r="E2054" s="62" t="str">
        <f t="shared" si="4"/>
        <v>RJ Harvey</v>
      </c>
      <c r="F2054" s="62">
        <f t="shared" ref="F2054:G2054" si="4107">IF(isblank(F$1),,IF(isblank($A2054),,IFERROR(vlookup($A2054,indirect("'TVC-"&amp;text(month(F$1),"00")&amp;"'!$A:$D"),4,false),1)))</f>
        <v>4828</v>
      </c>
      <c r="G2054" s="62">
        <f t="shared" si="4107"/>
        <v>4532</v>
      </c>
      <c r="H2054" s="62">
        <f t="shared" ref="H2054:Q2054" si="4108">IF(isblank(H$1),,IFERROR(vlookup($A2054,indirect("'TVC-"&amp;text(month(H$1),"00")&amp;"'!$A:$D"),4,false),1))</f>
        <v>4472</v>
      </c>
      <c r="I2054" s="62">
        <f t="shared" si="4108"/>
        <v>3761</v>
      </c>
      <c r="J2054" s="62">
        <f t="shared" si="4108"/>
        <v>3649</v>
      </c>
      <c r="K2054" s="62">
        <f t="shared" si="4108"/>
        <v>3436</v>
      </c>
      <c r="L2054" s="62">
        <f t="shared" si="4108"/>
        <v>3385</v>
      </c>
      <c r="M2054" s="62">
        <f t="shared" si="4108"/>
        <v>3392</v>
      </c>
      <c r="N2054" s="62">
        <f t="shared" si="4108"/>
        <v>3301</v>
      </c>
      <c r="O2054" s="62">
        <f t="shared" si="4108"/>
        <v>1</v>
      </c>
      <c r="P2054" s="62" t="str">
        <f t="shared" si="4108"/>
        <v/>
      </c>
      <c r="Q2054" s="62" t="str">
        <f t="shared" si="4108"/>
        <v/>
      </c>
      <c r="R2054" s="62">
        <f t="shared" si="7"/>
        <v>-3300</v>
      </c>
      <c r="S2054" s="62"/>
      <c r="T2054" s="62"/>
      <c r="U2054" s="62"/>
      <c r="V2054" s="62"/>
      <c r="W2054" s="62"/>
      <c r="X2054" s="62"/>
      <c r="Y2054" s="62"/>
      <c r="Z2054" s="62"/>
      <c r="AA2054" s="62"/>
      <c r="AB2054" s="62"/>
      <c r="AC2054" s="62"/>
    </row>
    <row r="2055">
      <c r="A2055" s="60">
        <f>IFERROR(__xludf.DUMMYFUNCTION("""COMPUTED_VALUE"""),17069.0)</f>
        <v>17069</v>
      </c>
      <c r="B2055" s="60" t="str">
        <f>IFERROR(__xludf.DUMMYFUNCTION("""COMPUTED_VALUE"""),"Blue, Jaydon")</f>
        <v>Blue, Jaydon</v>
      </c>
      <c r="C2055" s="60" t="str">
        <f>IFERROR(__xludf.DUMMYFUNCTION("""COMPUTED_VALUE"""),"RB")</f>
        <v>RB</v>
      </c>
      <c r="D2055" s="60" t="str">
        <f>IFERROR(__xludf.DUMMYFUNCTION("""COMPUTED_VALUE"""),"PHI")</f>
        <v>PHI</v>
      </c>
      <c r="E2055" s="62" t="str">
        <f t="shared" si="4"/>
        <v>Jaydon Blue</v>
      </c>
      <c r="F2055" s="62">
        <f t="shared" ref="F2055:G2055" si="4109">IF(isblank(F$1),,IF(isblank($A2055),,IFERROR(vlookup($A2055,indirect("'TVC-"&amp;text(month(F$1),"00")&amp;"'!$A:$D"),4,false),1)))</f>
        <v>1864</v>
      </c>
      <c r="G2055" s="62">
        <f t="shared" si="4109"/>
        <v>2176</v>
      </c>
      <c r="H2055" s="62">
        <f t="shared" ref="H2055:Q2055" si="4110">IF(isblank(H$1),,IFERROR(vlookup($A2055,indirect("'TVC-"&amp;text(month(H$1),"00")&amp;"'!$A:$D"),4,false),1))</f>
        <v>2136</v>
      </c>
      <c r="I2055" s="62">
        <f t="shared" si="4110"/>
        <v>2021</v>
      </c>
      <c r="J2055" s="62">
        <f t="shared" si="4110"/>
        <v>2039</v>
      </c>
      <c r="K2055" s="62">
        <f t="shared" si="4110"/>
        <v>2038</v>
      </c>
      <c r="L2055" s="62">
        <f t="shared" si="4110"/>
        <v>2066</v>
      </c>
      <c r="M2055" s="62">
        <f t="shared" si="4110"/>
        <v>2128</v>
      </c>
      <c r="N2055" s="62">
        <f t="shared" si="4110"/>
        <v>1848</v>
      </c>
      <c r="O2055" s="62">
        <f t="shared" si="4110"/>
        <v>1</v>
      </c>
      <c r="P2055" s="62" t="str">
        <f t="shared" si="4110"/>
        <v/>
      </c>
      <c r="Q2055" s="62" t="str">
        <f t="shared" si="4110"/>
        <v/>
      </c>
      <c r="R2055" s="62">
        <f t="shared" si="7"/>
        <v>-1847</v>
      </c>
      <c r="S2055" s="62"/>
      <c r="T2055" s="62"/>
      <c r="U2055" s="62"/>
      <c r="V2055" s="62"/>
      <c r="W2055" s="62"/>
      <c r="X2055" s="62"/>
      <c r="Y2055" s="62"/>
      <c r="Z2055" s="62"/>
      <c r="AA2055" s="62"/>
      <c r="AB2055" s="62"/>
      <c r="AC2055" s="62"/>
    </row>
    <row r="2056">
      <c r="A2056" s="60">
        <f>IFERROR(__xludf.DUMMYFUNCTION("""COMPUTED_VALUE"""),17070.0)</f>
        <v>17070</v>
      </c>
      <c r="B2056" s="60" t="str">
        <f>IFERROR(__xludf.DUMMYFUNCTION("""COMPUTED_VALUE"""),"Burden, Luther")</f>
        <v>Burden, Luther</v>
      </c>
      <c r="C2056" s="60" t="str">
        <f>IFERROR(__xludf.DUMMYFUNCTION("""COMPUTED_VALUE"""),"WR")</f>
        <v>WR</v>
      </c>
      <c r="D2056" s="60" t="str">
        <f>IFERROR(__xludf.DUMMYFUNCTION("""COMPUTED_VALUE"""),"CHI")</f>
        <v>CHI</v>
      </c>
      <c r="E2056" s="62" t="str">
        <f t="shared" si="4"/>
        <v>Luther Burden</v>
      </c>
      <c r="F2056" s="62">
        <f t="shared" ref="F2056:G2056" si="4111">IF(isblank(F$1),,IF(isblank($A2056),,IFERROR(vlookup($A2056,indirect("'TVC-"&amp;text(month(F$1),"00")&amp;"'!$A:$D"),4,false),1)))</f>
        <v>4652</v>
      </c>
      <c r="G2056" s="62">
        <f t="shared" si="4111"/>
        <v>4970</v>
      </c>
      <c r="H2056" s="62">
        <f t="shared" ref="H2056:Q2056" si="4112">IF(isblank(H$1),,IFERROR(vlookup($A2056,indirect("'TVC-"&amp;text(month(H$1),"00")&amp;"'!$A:$D"),4,false),1))</f>
        <v>4936</v>
      </c>
      <c r="I2056" s="62">
        <f t="shared" si="4112"/>
        <v>5376</v>
      </c>
      <c r="J2056" s="62">
        <f t="shared" si="4112"/>
        <v>5278</v>
      </c>
      <c r="K2056" s="62">
        <f t="shared" si="4112"/>
        <v>5291</v>
      </c>
      <c r="L2056" s="62">
        <f t="shared" si="4112"/>
        <v>5404</v>
      </c>
      <c r="M2056" s="62">
        <f t="shared" si="4112"/>
        <v>5525</v>
      </c>
      <c r="N2056" s="62">
        <f t="shared" si="4112"/>
        <v>5497</v>
      </c>
      <c r="O2056" s="62">
        <f t="shared" si="4112"/>
        <v>1</v>
      </c>
      <c r="P2056" s="62" t="str">
        <f t="shared" si="4112"/>
        <v/>
      </c>
      <c r="Q2056" s="62" t="str">
        <f t="shared" si="4112"/>
        <v/>
      </c>
      <c r="R2056" s="62">
        <f t="shared" si="7"/>
        <v>-5496</v>
      </c>
      <c r="S2056" s="62"/>
      <c r="T2056" s="62"/>
      <c r="U2056" s="62"/>
      <c r="V2056" s="62"/>
      <c r="W2056" s="62"/>
      <c r="X2056" s="62"/>
      <c r="Y2056" s="62"/>
      <c r="Z2056" s="62"/>
      <c r="AA2056" s="62"/>
      <c r="AB2056" s="62"/>
      <c r="AC2056" s="62"/>
    </row>
    <row r="2057">
      <c r="A2057" s="60">
        <f>IFERROR(__xludf.DUMMYFUNCTION("""COMPUTED_VALUE"""),17071.0)</f>
        <v>17071</v>
      </c>
      <c r="B2057" s="60" t="str">
        <f>IFERROR(__xludf.DUMMYFUNCTION("""COMPUTED_VALUE"""),"McMillan, Tetairoa")</f>
        <v>McMillan, Tetairoa</v>
      </c>
      <c r="C2057" s="60" t="str">
        <f>IFERROR(__xludf.DUMMYFUNCTION("""COMPUTED_VALUE"""),"WR")</f>
        <v>WR</v>
      </c>
      <c r="D2057" s="60" t="str">
        <f>IFERROR(__xludf.DUMMYFUNCTION("""COMPUTED_VALUE"""),"CAR")</f>
        <v>CAR</v>
      </c>
      <c r="E2057" s="62" t="str">
        <f t="shared" si="4"/>
        <v>Tetairoa McMillan</v>
      </c>
      <c r="F2057" s="62">
        <f t="shared" ref="F2057:G2057" si="4113">IF(isblank(F$1),,IF(isblank($A2057),,IFERROR(vlookup($A2057,indirect("'TVC-"&amp;text(month(F$1),"00")&amp;"'!$A:$D"),4,false),1)))</f>
        <v>6525</v>
      </c>
      <c r="G2057" s="62">
        <f t="shared" si="4113"/>
        <v>6571</v>
      </c>
      <c r="H2057" s="62">
        <f t="shared" ref="H2057:Q2057" si="4114">IF(isblank(H$1),,IFERROR(vlookup($A2057,indirect("'TVC-"&amp;text(month(H$1),"00")&amp;"'!$A:$D"),4,false),1))</f>
        <v>6609</v>
      </c>
      <c r="I2057" s="62">
        <f t="shared" si="4114"/>
        <v>6645</v>
      </c>
      <c r="J2057" s="62">
        <f t="shared" si="4114"/>
        <v>6627</v>
      </c>
      <c r="K2057" s="62">
        <f t="shared" si="4114"/>
        <v>6553</v>
      </c>
      <c r="L2057" s="62">
        <f t="shared" si="4114"/>
        <v>6555</v>
      </c>
      <c r="M2057" s="62">
        <f t="shared" si="4114"/>
        <v>6391</v>
      </c>
      <c r="N2057" s="62">
        <f t="shared" si="4114"/>
        <v>6187</v>
      </c>
      <c r="O2057" s="62">
        <f t="shared" si="4114"/>
        <v>1</v>
      </c>
      <c r="P2057" s="62" t="str">
        <f t="shared" si="4114"/>
        <v/>
      </c>
      <c r="Q2057" s="62" t="str">
        <f t="shared" si="4114"/>
        <v/>
      </c>
      <c r="R2057" s="62">
        <f t="shared" si="7"/>
        <v>-6186</v>
      </c>
      <c r="S2057" s="62"/>
      <c r="T2057" s="62"/>
      <c r="U2057" s="62"/>
      <c r="V2057" s="62"/>
      <c r="W2057" s="62"/>
      <c r="X2057" s="62"/>
      <c r="Y2057" s="62"/>
      <c r="Z2057" s="62"/>
      <c r="AA2057" s="62"/>
      <c r="AB2057" s="62"/>
      <c r="AC2057" s="62"/>
    </row>
    <row r="2058">
      <c r="A2058" s="60">
        <f>IFERROR(__xludf.DUMMYFUNCTION("""COMPUTED_VALUE"""),17072.0)</f>
        <v>17072</v>
      </c>
      <c r="B2058" s="60" t="str">
        <f>IFERROR(__xludf.DUMMYFUNCTION("""COMPUTED_VALUE"""),"Harris, Tre")</f>
        <v>Harris, Tre</v>
      </c>
      <c r="C2058" s="60" t="str">
        <f>IFERROR(__xludf.DUMMYFUNCTION("""COMPUTED_VALUE"""),"WR")</f>
        <v>WR</v>
      </c>
      <c r="D2058" s="60" t="str">
        <f>IFERROR(__xludf.DUMMYFUNCTION("""COMPUTED_VALUE"""),"LAC")</f>
        <v>LAC</v>
      </c>
      <c r="E2058" s="62" t="str">
        <f t="shared" si="4"/>
        <v>Tre Harris</v>
      </c>
      <c r="F2058" s="62">
        <f t="shared" ref="F2058:G2058" si="4115">IF(isblank(F$1),,IF(isblank($A2058),,IFERROR(vlookup($A2058,indirect("'TVC-"&amp;text(month(F$1),"00")&amp;"'!$A:$D"),4,false),1)))</f>
        <v>2773</v>
      </c>
      <c r="G2058" s="62">
        <f t="shared" si="4115"/>
        <v>2839</v>
      </c>
      <c r="H2058" s="62">
        <f t="shared" ref="H2058:Q2058" si="4116">IF(isblank(H$1),,IFERROR(vlookup($A2058,indirect("'TVC-"&amp;text(month(H$1),"00")&amp;"'!$A:$D"),4,false),1))</f>
        <v>2837</v>
      </c>
      <c r="I2058" s="62">
        <f t="shared" si="4116"/>
        <v>2843</v>
      </c>
      <c r="J2058" s="62">
        <f t="shared" si="4116"/>
        <v>2781</v>
      </c>
      <c r="K2058" s="62">
        <f t="shared" si="4116"/>
        <v>2767</v>
      </c>
      <c r="L2058" s="62">
        <f t="shared" si="4116"/>
        <v>2739</v>
      </c>
      <c r="M2058" s="62">
        <f t="shared" si="4116"/>
        <v>2678</v>
      </c>
      <c r="N2058" s="62">
        <f t="shared" si="4116"/>
        <v>2611</v>
      </c>
      <c r="O2058" s="62">
        <f t="shared" si="4116"/>
        <v>1</v>
      </c>
      <c r="P2058" s="62" t="str">
        <f t="shared" si="4116"/>
        <v/>
      </c>
      <c r="Q2058" s="62" t="str">
        <f t="shared" si="4116"/>
        <v/>
      </c>
      <c r="R2058" s="62">
        <f t="shared" si="7"/>
        <v>-2610</v>
      </c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</row>
    <row r="2059" hidden="1">
      <c r="A2059" s="60">
        <f>IFERROR(__xludf.DUMMYFUNCTION("""COMPUTED_VALUE"""),17073.0)</f>
        <v>17073</v>
      </c>
      <c r="B2059" s="60" t="str">
        <f>IFERROR(__xludf.DUMMYFUNCTION("""COMPUTED_VALUE"""),"Ayomanor, Elic")</f>
        <v>Ayomanor, Elic</v>
      </c>
      <c r="C2059" s="60" t="str">
        <f>IFERROR(__xludf.DUMMYFUNCTION("""COMPUTED_VALUE"""),"WR")</f>
        <v>WR</v>
      </c>
      <c r="D2059" s="60" t="str">
        <f>IFERROR(__xludf.DUMMYFUNCTION("""COMPUTED_VALUE"""),"TEN")</f>
        <v>TEN</v>
      </c>
      <c r="E2059" s="62" t="str">
        <f t="shared" si="4"/>
        <v>Elic Ayomanor</v>
      </c>
      <c r="F2059" s="62">
        <f t="shared" ref="F2059:G2059" si="4117">IF(isblank(F$1),,IF(isblank($A2059),,IFERROR(vlookup($A2059,indirect("'TVC-"&amp;text(month(F$1),"00")&amp;"'!$A:$D"),4,false),1)))</f>
        <v>2904</v>
      </c>
      <c r="G2059" s="62">
        <f t="shared" si="4117"/>
        <v>2841</v>
      </c>
      <c r="H2059" s="62">
        <f t="shared" ref="H2059:Q2059" si="4118">IF(isblank(H$1),,IFERROR(vlookup($A2059,indirect("'TVC-"&amp;text(month(H$1),"00")&amp;"'!$A:$D"),4,false),1))</f>
        <v>2838</v>
      </c>
      <c r="I2059" s="62">
        <f t="shared" si="4118"/>
        <v>2814</v>
      </c>
      <c r="J2059" s="62">
        <f t="shared" si="4118"/>
        <v>2737</v>
      </c>
      <c r="K2059" s="62">
        <f t="shared" si="4118"/>
        <v>2611</v>
      </c>
      <c r="L2059" s="62">
        <f t="shared" si="4118"/>
        <v>2483</v>
      </c>
      <c r="M2059" s="62">
        <f t="shared" si="4118"/>
        <v>2474</v>
      </c>
      <c r="N2059" s="62">
        <f t="shared" si="4118"/>
        <v>2273</v>
      </c>
      <c r="O2059" s="62">
        <f t="shared" si="4118"/>
        <v>1</v>
      </c>
      <c r="P2059" s="62" t="str">
        <f t="shared" si="4118"/>
        <v/>
      </c>
      <c r="Q2059" s="62" t="str">
        <f t="shared" si="4118"/>
        <v/>
      </c>
      <c r="R2059" s="62">
        <f t="shared" si="7"/>
        <v>-2272</v>
      </c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</row>
    <row r="2060" hidden="1">
      <c r="A2060" s="60">
        <f>IFERROR(__xludf.DUMMYFUNCTION("""COMPUTED_VALUE"""),17074.0)</f>
        <v>17074</v>
      </c>
      <c r="B2060" s="60" t="str">
        <f>IFERROR(__xludf.DUMMYFUNCTION("""COMPUTED_VALUE"""),"Hunter, Travis")</f>
        <v>Hunter, Travis</v>
      </c>
      <c r="C2060" s="60" t="str">
        <f>IFERROR(__xludf.DUMMYFUNCTION("""COMPUTED_VALUE"""),"WR")</f>
        <v>WR</v>
      </c>
      <c r="D2060" s="60" t="str">
        <f>IFERROR(__xludf.DUMMYFUNCTION("""COMPUTED_VALUE"""),"JAC")</f>
        <v>JAC</v>
      </c>
      <c r="E2060" s="62" t="str">
        <f t="shared" si="4"/>
        <v>Travis Hunter</v>
      </c>
      <c r="F2060" s="62">
        <f t="shared" ref="F2060:G2060" si="4119">IF(isblank(F$1),,IF(isblank($A2060),,IFERROR(vlookup($A2060,indirect("'TVC-"&amp;text(month(F$1),"00")&amp;"'!$A:$D"),4,false),1)))</f>
        <v>4697</v>
      </c>
      <c r="G2060" s="62">
        <f t="shared" si="4119"/>
        <v>4217</v>
      </c>
      <c r="H2060" s="62">
        <f t="shared" ref="H2060:Q2060" si="4120">IF(isblank(H$1),,IFERROR(vlookup($A2060,indirect("'TVC-"&amp;text(month(H$1),"00")&amp;"'!$A:$D"),4,false),1))</f>
        <v>4043</v>
      </c>
      <c r="I2060" s="62">
        <f t="shared" si="4120"/>
        <v>3668</v>
      </c>
      <c r="J2060" s="62">
        <f t="shared" si="4120"/>
        <v>3312</v>
      </c>
      <c r="K2060" s="62">
        <f t="shared" si="4120"/>
        <v>3368</v>
      </c>
      <c r="L2060" s="62">
        <f t="shared" si="4120"/>
        <v>3329</v>
      </c>
      <c r="M2060" s="62">
        <f t="shared" si="4120"/>
        <v>3369</v>
      </c>
      <c r="N2060" s="62">
        <f t="shared" si="4120"/>
        <v>3003</v>
      </c>
      <c r="O2060" s="62">
        <f t="shared" si="4120"/>
        <v>1</v>
      </c>
      <c r="P2060" s="62" t="str">
        <f t="shared" si="4120"/>
        <v/>
      </c>
      <c r="Q2060" s="62" t="str">
        <f t="shared" si="4120"/>
        <v/>
      </c>
      <c r="R2060" s="62">
        <f t="shared" si="7"/>
        <v>-3002</v>
      </c>
      <c r="S2060" s="62"/>
      <c r="T2060" s="62"/>
      <c r="U2060" s="62"/>
      <c r="V2060" s="62"/>
      <c r="W2060" s="62"/>
      <c r="X2060" s="62"/>
      <c r="Y2060" s="62"/>
      <c r="Z2060" s="62"/>
      <c r="AA2060" s="62"/>
      <c r="AB2060" s="62"/>
      <c r="AC2060" s="62"/>
    </row>
    <row r="2061" hidden="1">
      <c r="A2061" s="60">
        <f>IFERROR(__xludf.DUMMYFUNCTION("""COMPUTED_VALUE"""),17075.0)</f>
        <v>17075</v>
      </c>
      <c r="B2061" s="60" t="str">
        <f>IFERROR(__xludf.DUMMYFUNCTION("""COMPUTED_VALUE"""),"Golden, Matthew")</f>
        <v>Golden, Matthew</v>
      </c>
      <c r="C2061" s="60" t="str">
        <f>IFERROR(__xludf.DUMMYFUNCTION("""COMPUTED_VALUE"""),"WR")</f>
        <v>WR</v>
      </c>
      <c r="D2061" s="60" t="str">
        <f>IFERROR(__xludf.DUMMYFUNCTION("""COMPUTED_VALUE"""),"GBP")</f>
        <v>GBP</v>
      </c>
      <c r="E2061" s="62" t="str">
        <f t="shared" si="4"/>
        <v>Matthew Golden</v>
      </c>
      <c r="F2061" s="62">
        <f t="shared" ref="F2061:G2061" si="4121">IF(isblank(F$1),,IF(isblank($A2061),,IFERROR(vlookup($A2061,indirect("'TVC-"&amp;text(month(F$1),"00")&amp;"'!$A:$D"),4,false),1)))</f>
        <v>3405</v>
      </c>
      <c r="G2061" s="62">
        <f t="shared" si="4121"/>
        <v>3534</v>
      </c>
      <c r="H2061" s="62">
        <f t="shared" ref="H2061:Q2061" si="4122">IF(isblank(H$1),,IFERROR(vlookup($A2061,indirect("'TVC-"&amp;text(month(H$1),"00")&amp;"'!$A:$D"),4,false),1))</f>
        <v>3608</v>
      </c>
      <c r="I2061" s="62">
        <f t="shared" si="4122"/>
        <v>3525</v>
      </c>
      <c r="J2061" s="62">
        <f t="shared" si="4122"/>
        <v>3707</v>
      </c>
      <c r="K2061" s="62">
        <f t="shared" si="4122"/>
        <v>3710</v>
      </c>
      <c r="L2061" s="62">
        <f t="shared" si="4122"/>
        <v>3622</v>
      </c>
      <c r="M2061" s="62">
        <f t="shared" si="4122"/>
        <v>3529</v>
      </c>
      <c r="N2061" s="62">
        <f t="shared" si="4122"/>
        <v>3729</v>
      </c>
      <c r="O2061" s="62">
        <f t="shared" si="4122"/>
        <v>1</v>
      </c>
      <c r="P2061" s="62" t="str">
        <f t="shared" si="4122"/>
        <v/>
      </c>
      <c r="Q2061" s="62" t="str">
        <f t="shared" si="4122"/>
        <v/>
      </c>
      <c r="R2061" s="62">
        <f t="shared" si="7"/>
        <v>-3728</v>
      </c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</row>
    <row r="2062" hidden="1">
      <c r="A2062" s="60">
        <f>IFERROR(__xludf.DUMMYFUNCTION("""COMPUTED_VALUE"""),17076.0)</f>
        <v>17076</v>
      </c>
      <c r="B2062" s="60" t="str">
        <f>IFERROR(__xludf.DUMMYFUNCTION("""COMPUTED_VALUE"""),"Bond, Isaiah")</f>
        <v>Bond, Isaiah</v>
      </c>
      <c r="C2062" s="60" t="str">
        <f>IFERROR(__xludf.DUMMYFUNCTION("""COMPUTED_VALUE"""),"WR")</f>
        <v>WR</v>
      </c>
      <c r="D2062" s="60" t="str">
        <f>IFERROR(__xludf.DUMMYFUNCTION("""COMPUTED_VALUE"""),"CLE")</f>
        <v>CLE</v>
      </c>
      <c r="E2062" s="62" t="str">
        <f t="shared" si="4"/>
        <v>Isaiah Bond</v>
      </c>
      <c r="F2062" s="62">
        <f t="shared" ref="F2062:G2062" si="4123">IF(isblank(F$1),,IF(isblank($A2062),,IFERROR(vlookup($A2062,indirect("'TVC-"&amp;text(month(F$1),"00")&amp;"'!$A:$D"),4,false),1)))</f>
        <v>2309</v>
      </c>
      <c r="G2062" s="62">
        <f t="shared" si="4123"/>
        <v>2250</v>
      </c>
      <c r="H2062" s="62">
        <f t="shared" ref="H2062:Q2062" si="4124">IF(isblank(H$1),,IFERROR(vlookup($A2062,indirect("'TVC-"&amp;text(month(H$1),"00")&amp;"'!$A:$D"),4,false),1))</f>
        <v>2268</v>
      </c>
      <c r="I2062" s="62">
        <f t="shared" si="4124"/>
        <v>2290</v>
      </c>
      <c r="J2062" s="62">
        <f t="shared" si="4124"/>
        <v>2086</v>
      </c>
      <c r="K2062" s="62">
        <f t="shared" si="4124"/>
        <v>2004</v>
      </c>
      <c r="L2062" s="62">
        <f t="shared" si="4124"/>
        <v>1981</v>
      </c>
      <c r="M2062" s="62">
        <f t="shared" si="4124"/>
        <v>2054</v>
      </c>
      <c r="N2062" s="62">
        <f t="shared" si="4124"/>
        <v>1992</v>
      </c>
      <c r="O2062" s="62">
        <f t="shared" si="4124"/>
        <v>1</v>
      </c>
      <c r="P2062" s="62" t="str">
        <f t="shared" si="4124"/>
        <v/>
      </c>
      <c r="Q2062" s="62" t="str">
        <f t="shared" si="4124"/>
        <v/>
      </c>
      <c r="R2062" s="62">
        <f t="shared" si="7"/>
        <v>-1991</v>
      </c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</row>
    <row r="2063" hidden="1">
      <c r="A2063" s="60">
        <f>IFERROR(__xludf.DUMMYFUNCTION("""COMPUTED_VALUE"""),17077.0)</f>
        <v>17077</v>
      </c>
      <c r="B2063" s="60" t="str">
        <f>IFERROR(__xludf.DUMMYFUNCTION("""COMPUTED_VALUE"""),"Restrepo, Xavier")</f>
        <v>Restrepo, Xavier</v>
      </c>
      <c r="C2063" s="60" t="str">
        <f>IFERROR(__xludf.DUMMYFUNCTION("""COMPUTED_VALUE"""),"WR")</f>
        <v>WR</v>
      </c>
      <c r="D2063" s="60" t="str">
        <f>IFERROR(__xludf.DUMMYFUNCTION("""COMPUTED_VALUE"""),"TEN")</f>
        <v>TEN</v>
      </c>
      <c r="E2063" s="62" t="str">
        <f t="shared" si="4"/>
        <v>Xavier Restrepo</v>
      </c>
      <c r="F2063" s="62">
        <f t="shared" ref="F2063:G2063" si="4125">IF(isblank(F$1),,IF(isblank($A2063),,IFERROR(vlookup($A2063,indirect("'TVC-"&amp;text(month(F$1),"00")&amp;"'!$A:$D"),4,false),1)))</f>
        <v>1394</v>
      </c>
      <c r="G2063" s="62">
        <f t="shared" si="4125"/>
        <v>1497</v>
      </c>
      <c r="H2063" s="62">
        <f t="shared" ref="H2063:Q2063" si="4126">IF(isblank(H$1),,IFERROR(vlookup($A2063,indirect("'TVC-"&amp;text(month(H$1),"00")&amp;"'!$A:$D"),4,false),1))</f>
        <v>1474</v>
      </c>
      <c r="I2063" s="62">
        <f t="shared" si="4126"/>
        <v>1510</v>
      </c>
      <c r="J2063" s="62">
        <f t="shared" si="4126"/>
        <v>1352</v>
      </c>
      <c r="K2063" s="62">
        <f t="shared" si="4126"/>
        <v>1298</v>
      </c>
      <c r="L2063" s="62">
        <f t="shared" si="4126"/>
        <v>1219</v>
      </c>
      <c r="M2063" s="62">
        <f t="shared" si="4126"/>
        <v>1173</v>
      </c>
      <c r="N2063" s="62">
        <f t="shared" si="4126"/>
        <v>1117</v>
      </c>
      <c r="O2063" s="62">
        <f t="shared" si="4126"/>
        <v>1</v>
      </c>
      <c r="P2063" s="62" t="str">
        <f t="shared" si="4126"/>
        <v/>
      </c>
      <c r="Q2063" s="62" t="str">
        <f t="shared" si="4126"/>
        <v/>
      </c>
      <c r="R2063" s="62">
        <f t="shared" si="7"/>
        <v>-1116</v>
      </c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</row>
    <row r="2064" hidden="1">
      <c r="A2064" s="60">
        <f>IFERROR(__xludf.DUMMYFUNCTION("""COMPUTED_VALUE"""),17078.0)</f>
        <v>17078</v>
      </c>
      <c r="B2064" s="60" t="str">
        <f>IFERROR(__xludf.DUMMYFUNCTION("""COMPUTED_VALUE"""),"Bech, Jack")</f>
        <v>Bech, Jack</v>
      </c>
      <c r="C2064" s="60" t="str">
        <f>IFERROR(__xludf.DUMMYFUNCTION("""COMPUTED_VALUE"""),"WR")</f>
        <v>WR</v>
      </c>
      <c r="D2064" s="60" t="str">
        <f>IFERROR(__xludf.DUMMYFUNCTION("""COMPUTED_VALUE"""),"LVR")</f>
        <v>LVR</v>
      </c>
      <c r="E2064" s="62" t="str">
        <f t="shared" si="4"/>
        <v>Jack Bech</v>
      </c>
      <c r="F2064" s="62">
        <f t="shared" ref="F2064:G2064" si="4127">IF(isblank(F$1),,IF(isblank($A2064),,IFERROR(vlookup($A2064,indirect("'TVC-"&amp;text(month(F$1),"00")&amp;"'!$A:$D"),4,false),1)))</f>
        <v>2311</v>
      </c>
      <c r="G2064" s="62">
        <f t="shared" si="4127"/>
        <v>2489</v>
      </c>
      <c r="H2064" s="62">
        <f t="shared" ref="H2064:Q2064" si="4128">IF(isblank(H$1),,IFERROR(vlookup($A2064,indirect("'TVC-"&amp;text(month(H$1),"00")&amp;"'!$A:$D"),4,false),1))</f>
        <v>2566</v>
      </c>
      <c r="I2064" s="62">
        <f t="shared" si="4128"/>
        <v>2397</v>
      </c>
      <c r="J2064" s="62">
        <f t="shared" si="4128"/>
        <v>2369</v>
      </c>
      <c r="K2064" s="62">
        <f t="shared" si="4128"/>
        <v>2518</v>
      </c>
      <c r="L2064" s="62">
        <f t="shared" si="4128"/>
        <v>2489</v>
      </c>
      <c r="M2064" s="62">
        <f t="shared" si="4128"/>
        <v>2394</v>
      </c>
      <c r="N2064" s="62">
        <f t="shared" si="4128"/>
        <v>2318</v>
      </c>
      <c r="O2064" s="62">
        <f t="shared" si="4128"/>
        <v>1</v>
      </c>
      <c r="P2064" s="62" t="str">
        <f t="shared" si="4128"/>
        <v/>
      </c>
      <c r="Q2064" s="62" t="str">
        <f t="shared" si="4128"/>
        <v/>
      </c>
      <c r="R2064" s="62">
        <f t="shared" si="7"/>
        <v>-2317</v>
      </c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</row>
    <row r="2065" hidden="1">
      <c r="A2065" s="60">
        <f>IFERROR(__xludf.DUMMYFUNCTION("""COMPUTED_VALUE"""),17079.0)</f>
        <v>17079</v>
      </c>
      <c r="B2065" s="60" t="str">
        <f>IFERROR(__xludf.DUMMYFUNCTION("""COMPUTED_VALUE"""),"Johnson, Tez")</f>
        <v>Johnson, Tez</v>
      </c>
      <c r="C2065" s="60" t="str">
        <f>IFERROR(__xludf.DUMMYFUNCTION("""COMPUTED_VALUE"""),"WR")</f>
        <v>WR</v>
      </c>
      <c r="D2065" s="60" t="str">
        <f>IFERROR(__xludf.DUMMYFUNCTION("""COMPUTED_VALUE"""),"TBB")</f>
        <v>TBB</v>
      </c>
      <c r="E2065" s="62" t="str">
        <f t="shared" si="4"/>
        <v>Tez Johnson</v>
      </c>
      <c r="F2065" s="62">
        <f t="shared" ref="F2065:G2065" si="4129">IF(isblank(F$1),,IF(isblank($A2065),,IFERROR(vlookup($A2065,indirect("'TVC-"&amp;text(month(F$1),"00")&amp;"'!$A:$D"),4,false),1)))</f>
        <v>2489</v>
      </c>
      <c r="G2065" s="62">
        <f t="shared" si="4129"/>
        <v>2334</v>
      </c>
      <c r="H2065" s="62">
        <f t="shared" ref="H2065:Q2065" si="4130">IF(isblank(H$1),,IFERROR(vlookup($A2065,indirect("'TVC-"&amp;text(month(H$1),"00")&amp;"'!$A:$D"),4,false),1))</f>
        <v>2320</v>
      </c>
      <c r="I2065" s="62">
        <f t="shared" si="4130"/>
        <v>2275</v>
      </c>
      <c r="J2065" s="62">
        <f t="shared" si="4130"/>
        <v>2201</v>
      </c>
      <c r="K2065" s="62">
        <f t="shared" si="4130"/>
        <v>2140</v>
      </c>
      <c r="L2065" s="62">
        <f t="shared" si="4130"/>
        <v>2092</v>
      </c>
      <c r="M2065" s="62">
        <f t="shared" si="4130"/>
        <v>2081</v>
      </c>
      <c r="N2065" s="62">
        <f t="shared" si="4130"/>
        <v>2081</v>
      </c>
      <c r="O2065" s="62">
        <f t="shared" si="4130"/>
        <v>1</v>
      </c>
      <c r="P2065" s="62" t="str">
        <f t="shared" si="4130"/>
        <v/>
      </c>
      <c r="Q2065" s="62" t="str">
        <f t="shared" si="4130"/>
        <v/>
      </c>
      <c r="R2065" s="62">
        <f t="shared" si="7"/>
        <v>-2080</v>
      </c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</row>
    <row r="2066" hidden="1">
      <c r="A2066" s="60">
        <f>IFERROR(__xludf.DUMMYFUNCTION("""COMPUTED_VALUE"""),17080.0)</f>
        <v>17080</v>
      </c>
      <c r="B2066" s="60" t="str">
        <f>IFERROR(__xludf.DUMMYFUNCTION("""COMPUTED_VALUE"""),"Noel, Jaylin")</f>
        <v>Noel, Jaylin</v>
      </c>
      <c r="C2066" s="60" t="str">
        <f>IFERROR(__xludf.DUMMYFUNCTION("""COMPUTED_VALUE"""),"WR")</f>
        <v>WR</v>
      </c>
      <c r="D2066" s="60" t="str">
        <f>IFERROR(__xludf.DUMMYFUNCTION("""COMPUTED_VALUE"""),"HOU")</f>
        <v>HOU</v>
      </c>
      <c r="E2066" s="62" t="str">
        <f t="shared" si="4"/>
        <v>Jaylin Noel</v>
      </c>
      <c r="F2066" s="62">
        <f t="shared" ref="F2066:G2066" si="4131">IF(isblank(F$1),,IF(isblank($A2066),,IFERROR(vlookup($A2066,indirect("'TVC-"&amp;text(month(F$1),"00")&amp;"'!$A:$D"),4,false),1)))</f>
        <v>2836</v>
      </c>
      <c r="G2066" s="62">
        <f t="shared" si="4131"/>
        <v>2782</v>
      </c>
      <c r="H2066" s="62">
        <f t="shared" ref="H2066:Q2066" si="4132">IF(isblank(H$1),,IFERROR(vlookup($A2066,indirect("'TVC-"&amp;text(month(H$1),"00")&amp;"'!$A:$D"),4,false),1))</f>
        <v>2791</v>
      </c>
      <c r="I2066" s="62">
        <f t="shared" si="4132"/>
        <v>2805</v>
      </c>
      <c r="J2066" s="62">
        <f t="shared" si="4132"/>
        <v>2726</v>
      </c>
      <c r="K2066" s="62">
        <f t="shared" si="4132"/>
        <v>2674</v>
      </c>
      <c r="L2066" s="62">
        <f t="shared" si="4132"/>
        <v>2720</v>
      </c>
      <c r="M2066" s="62">
        <f t="shared" si="4132"/>
        <v>2644</v>
      </c>
      <c r="N2066" s="62">
        <f t="shared" si="4132"/>
        <v>2456</v>
      </c>
      <c r="O2066" s="62">
        <f t="shared" si="4132"/>
        <v>1</v>
      </c>
      <c r="P2066" s="62" t="str">
        <f t="shared" si="4132"/>
        <v/>
      </c>
      <c r="Q2066" s="62" t="str">
        <f t="shared" si="4132"/>
        <v/>
      </c>
      <c r="R2066" s="62">
        <f t="shared" si="7"/>
        <v>-2455</v>
      </c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</row>
    <row r="2067" hidden="1">
      <c r="A2067" s="60">
        <f>IFERROR(__xludf.DUMMYFUNCTION("""COMPUTED_VALUE"""),17081.0)</f>
        <v>17081</v>
      </c>
      <c r="B2067" s="60" t="str">
        <f>IFERROR(__xludf.DUMMYFUNCTION("""COMPUTED_VALUE"""),"Egbuka, Emeka")</f>
        <v>Egbuka, Emeka</v>
      </c>
      <c r="C2067" s="60" t="str">
        <f>IFERROR(__xludf.DUMMYFUNCTION("""COMPUTED_VALUE"""),"WR")</f>
        <v>WR</v>
      </c>
      <c r="D2067" s="60" t="str">
        <f>IFERROR(__xludf.DUMMYFUNCTION("""COMPUTED_VALUE"""),"TBB")</f>
        <v>TBB</v>
      </c>
      <c r="E2067" s="62" t="str">
        <f t="shared" si="4"/>
        <v>Emeka Egbuka</v>
      </c>
      <c r="F2067" s="62">
        <f t="shared" ref="F2067:G2067" si="4133">IF(isblank(F$1),,IF(isblank($A2067),,IFERROR(vlookup($A2067,indirect("'TVC-"&amp;text(month(F$1),"00")&amp;"'!$A:$D"),4,false),1)))</f>
        <v>6099</v>
      </c>
      <c r="G2067" s="62">
        <f t="shared" si="4133"/>
        <v>6005</v>
      </c>
      <c r="H2067" s="62">
        <f t="shared" ref="H2067:Q2067" si="4134">IF(isblank(H$1),,IFERROR(vlookup($A2067,indirect("'TVC-"&amp;text(month(H$1),"00")&amp;"'!$A:$D"),4,false),1))</f>
        <v>5978</v>
      </c>
      <c r="I2067" s="62">
        <f t="shared" si="4134"/>
        <v>5993</v>
      </c>
      <c r="J2067" s="62">
        <f t="shared" si="4134"/>
        <v>6117</v>
      </c>
      <c r="K2067" s="62">
        <f t="shared" si="4134"/>
        <v>6086</v>
      </c>
      <c r="L2067" s="62">
        <f t="shared" si="4134"/>
        <v>6061</v>
      </c>
      <c r="M2067" s="62">
        <f t="shared" si="4134"/>
        <v>6345</v>
      </c>
      <c r="N2067" s="62">
        <f t="shared" si="4134"/>
        <v>6191</v>
      </c>
      <c r="O2067" s="62">
        <f t="shared" si="4134"/>
        <v>1</v>
      </c>
      <c r="P2067" s="62" t="str">
        <f t="shared" si="4134"/>
        <v/>
      </c>
      <c r="Q2067" s="62" t="str">
        <f t="shared" si="4134"/>
        <v/>
      </c>
      <c r="R2067" s="62">
        <f t="shared" si="7"/>
        <v>-6190</v>
      </c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</row>
    <row r="2068" hidden="1">
      <c r="A2068" s="60">
        <f>IFERROR(__xludf.DUMMYFUNCTION("""COMPUTED_VALUE"""),17082.0)</f>
        <v>17082</v>
      </c>
      <c r="B2068" s="60" t="str">
        <f>IFERROR(__xludf.DUMMYFUNCTION("""COMPUTED_VALUE"""),"Bryant, Pat")</f>
        <v>Bryant, Pat</v>
      </c>
      <c r="C2068" s="60" t="str">
        <f>IFERROR(__xludf.DUMMYFUNCTION("""COMPUTED_VALUE"""),"WR")</f>
        <v>WR</v>
      </c>
      <c r="D2068" s="60" t="str">
        <f>IFERROR(__xludf.DUMMYFUNCTION("""COMPUTED_VALUE"""),"DEN")</f>
        <v>DEN</v>
      </c>
      <c r="E2068" s="62" t="str">
        <f t="shared" si="4"/>
        <v>Pat Bryant</v>
      </c>
      <c r="F2068" s="62">
        <f t="shared" ref="F2068:G2068" si="4135">IF(isblank(F$1),,IF(isblank($A2068),,IFERROR(vlookup($A2068,indirect("'TVC-"&amp;text(month(F$1),"00")&amp;"'!$A:$D"),4,false),1)))</f>
        <v>2787</v>
      </c>
      <c r="G2068" s="62">
        <f t="shared" si="4135"/>
        <v>2978</v>
      </c>
      <c r="H2068" s="62">
        <f t="shared" ref="H2068:Q2068" si="4136">IF(isblank(H$1),,IFERROR(vlookup($A2068,indirect("'TVC-"&amp;text(month(H$1),"00")&amp;"'!$A:$D"),4,false),1))</f>
        <v>3009</v>
      </c>
      <c r="I2068" s="62">
        <f t="shared" si="4136"/>
        <v>2790</v>
      </c>
      <c r="J2068" s="62">
        <f t="shared" si="4136"/>
        <v>2608</v>
      </c>
      <c r="K2068" s="62">
        <f t="shared" si="4136"/>
        <v>2516</v>
      </c>
      <c r="L2068" s="62">
        <f t="shared" si="4136"/>
        <v>2462</v>
      </c>
      <c r="M2068" s="62">
        <f t="shared" si="4136"/>
        <v>2471</v>
      </c>
      <c r="N2068" s="62">
        <f t="shared" si="4136"/>
        <v>2653</v>
      </c>
      <c r="O2068" s="62">
        <f t="shared" si="4136"/>
        <v>1</v>
      </c>
      <c r="P2068" s="62" t="str">
        <f t="shared" si="4136"/>
        <v/>
      </c>
      <c r="Q2068" s="62" t="str">
        <f t="shared" si="4136"/>
        <v/>
      </c>
      <c r="R2068" s="62">
        <f t="shared" si="7"/>
        <v>-2652</v>
      </c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</row>
    <row r="2069" hidden="1">
      <c r="A2069" s="60">
        <f>IFERROR(__xludf.DUMMYFUNCTION("""COMPUTED_VALUE"""),17083.0)</f>
        <v>17083</v>
      </c>
      <c r="B2069" s="60" t="str">
        <f>IFERROR(__xludf.DUMMYFUNCTION("""COMPUTED_VALUE"""),"Higgins, Jayden")</f>
        <v>Higgins, Jayden</v>
      </c>
      <c r="C2069" s="60" t="str">
        <f>IFERROR(__xludf.DUMMYFUNCTION("""COMPUTED_VALUE"""),"WR")</f>
        <v>WR</v>
      </c>
      <c r="D2069" s="60" t="str">
        <f>IFERROR(__xludf.DUMMYFUNCTION("""COMPUTED_VALUE"""),"HOU")</f>
        <v>HOU</v>
      </c>
      <c r="E2069" s="62" t="str">
        <f t="shared" si="4"/>
        <v>Jayden Higgins</v>
      </c>
      <c r="F2069" s="62">
        <f t="shared" ref="F2069:G2069" si="4137">IF(isblank(F$1),,IF(isblank($A2069),,IFERROR(vlookup($A2069,indirect("'TVC-"&amp;text(month(F$1),"00")&amp;"'!$A:$D"),4,false),1)))</f>
        <v>3746</v>
      </c>
      <c r="G2069" s="62">
        <f t="shared" si="4137"/>
        <v>3822</v>
      </c>
      <c r="H2069" s="62">
        <f t="shared" ref="H2069:Q2069" si="4138">IF(isblank(H$1),,IFERROR(vlookup($A2069,indirect("'TVC-"&amp;text(month(H$1),"00")&amp;"'!$A:$D"),4,false),1))</f>
        <v>3847</v>
      </c>
      <c r="I2069" s="62">
        <f t="shared" si="4138"/>
        <v>3590</v>
      </c>
      <c r="J2069" s="62">
        <f t="shared" si="4138"/>
        <v>3507</v>
      </c>
      <c r="K2069" s="62">
        <f t="shared" si="4138"/>
        <v>3373</v>
      </c>
      <c r="L2069" s="62">
        <f t="shared" si="4138"/>
        <v>3447</v>
      </c>
      <c r="M2069" s="62">
        <f t="shared" si="4138"/>
        <v>3365</v>
      </c>
      <c r="N2069" s="62">
        <f t="shared" si="4138"/>
        <v>2927</v>
      </c>
      <c r="O2069" s="62">
        <f t="shared" si="4138"/>
        <v>1</v>
      </c>
      <c r="P2069" s="62" t="str">
        <f t="shared" si="4138"/>
        <v/>
      </c>
      <c r="Q2069" s="62" t="str">
        <f t="shared" si="4138"/>
        <v/>
      </c>
      <c r="R2069" s="62">
        <f t="shared" si="7"/>
        <v>-2926</v>
      </c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</row>
    <row r="2070" hidden="1">
      <c r="A2070" s="60">
        <f>IFERROR(__xludf.DUMMYFUNCTION("""COMPUTED_VALUE"""),17084.0)</f>
        <v>17084</v>
      </c>
      <c r="B2070" s="60" t="str">
        <f>IFERROR(__xludf.DUMMYFUNCTION("""COMPUTED_VALUE"""),"White, Ricky")</f>
        <v>White, Ricky</v>
      </c>
      <c r="C2070" s="60" t="str">
        <f>IFERROR(__xludf.DUMMYFUNCTION("""COMPUTED_VALUE"""),"WR")</f>
        <v>WR</v>
      </c>
      <c r="D2070" s="60" t="str">
        <f>IFERROR(__xludf.DUMMYFUNCTION("""COMPUTED_VALUE"""),"SEA")</f>
        <v>SEA</v>
      </c>
      <c r="E2070" s="62" t="str">
        <f t="shared" si="4"/>
        <v>Ricky White</v>
      </c>
      <c r="F2070" s="62">
        <f t="shared" ref="F2070:G2070" si="4139">IF(isblank(F$1),,IF(isblank($A2070),,IFERROR(vlookup($A2070,indirect("'TVC-"&amp;text(month(F$1),"00")&amp;"'!$A:$D"),4,false),1)))</f>
        <v>1</v>
      </c>
      <c r="G2070" s="62">
        <f t="shared" si="4139"/>
        <v>1</v>
      </c>
      <c r="H2070" s="62">
        <f t="shared" ref="H2070:Q2070" si="4140">IF(isblank(H$1),,IFERROR(vlookup($A2070,indirect("'TVC-"&amp;text(month(H$1),"00")&amp;"'!$A:$D"),4,false),1))</f>
        <v>1</v>
      </c>
      <c r="I2070" s="62">
        <f t="shared" si="4140"/>
        <v>1</v>
      </c>
      <c r="J2070" s="62">
        <f t="shared" si="4140"/>
        <v>1</v>
      </c>
      <c r="K2070" s="62">
        <f t="shared" si="4140"/>
        <v>1</v>
      </c>
      <c r="L2070" s="62">
        <f t="shared" si="4140"/>
        <v>1</v>
      </c>
      <c r="M2070" s="62">
        <f t="shared" si="4140"/>
        <v>1</v>
      </c>
      <c r="N2070" s="62">
        <f t="shared" si="4140"/>
        <v>1</v>
      </c>
      <c r="O2070" s="62">
        <f t="shared" si="4140"/>
        <v>1</v>
      </c>
      <c r="P2070" s="62" t="str">
        <f t="shared" si="4140"/>
        <v/>
      </c>
      <c r="Q2070" s="62" t="str">
        <f t="shared" si="4140"/>
        <v/>
      </c>
      <c r="R2070" s="62">
        <f t="shared" si="7"/>
        <v>0</v>
      </c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</row>
    <row r="2071" hidden="1">
      <c r="A2071" s="60">
        <f>IFERROR(__xludf.DUMMYFUNCTION("""COMPUTED_VALUE"""),17086.0)</f>
        <v>17086</v>
      </c>
      <c r="B2071" s="60" t="str">
        <f>IFERROR(__xludf.DUMMYFUNCTION("""COMPUTED_VALUE"""),"Royals, Jalen")</f>
        <v>Royals, Jalen</v>
      </c>
      <c r="C2071" s="60" t="str">
        <f>IFERROR(__xludf.DUMMYFUNCTION("""COMPUTED_VALUE"""),"WR")</f>
        <v>WR</v>
      </c>
      <c r="D2071" s="60" t="str">
        <f>IFERROR(__xludf.DUMMYFUNCTION("""COMPUTED_VALUE"""),"KCC")</f>
        <v>KCC</v>
      </c>
      <c r="E2071" s="62" t="str">
        <f t="shared" si="4"/>
        <v>Jalen Royals</v>
      </c>
      <c r="F2071" s="62">
        <f t="shared" ref="F2071:G2071" si="4141">IF(isblank(F$1),,IF(isblank($A2071),,IFERROR(vlookup($A2071,indirect("'TVC-"&amp;text(month(F$1),"00")&amp;"'!$A:$D"),4,false),1)))</f>
        <v>1717</v>
      </c>
      <c r="G2071" s="62">
        <f t="shared" si="4141"/>
        <v>1764</v>
      </c>
      <c r="H2071" s="62">
        <f t="shared" ref="H2071:Q2071" si="4142">IF(isblank(H$1),,IFERROR(vlookup($A2071,indirect("'TVC-"&amp;text(month(H$1),"00")&amp;"'!$A:$D"),4,false),1))</f>
        <v>1783</v>
      </c>
      <c r="I2071" s="62">
        <f t="shared" si="4142"/>
        <v>1858</v>
      </c>
      <c r="J2071" s="62">
        <f t="shared" si="4142"/>
        <v>1820</v>
      </c>
      <c r="K2071" s="62">
        <f t="shared" si="4142"/>
        <v>1859</v>
      </c>
      <c r="L2071" s="62">
        <f t="shared" si="4142"/>
        <v>1799</v>
      </c>
      <c r="M2071" s="62">
        <f t="shared" si="4142"/>
        <v>1840</v>
      </c>
      <c r="N2071" s="62">
        <f t="shared" si="4142"/>
        <v>1797</v>
      </c>
      <c r="O2071" s="62">
        <f t="shared" si="4142"/>
        <v>1</v>
      </c>
      <c r="P2071" s="62" t="str">
        <f t="shared" si="4142"/>
        <v/>
      </c>
      <c r="Q2071" s="62" t="str">
        <f t="shared" si="4142"/>
        <v/>
      </c>
      <c r="R2071" s="62">
        <f t="shared" si="7"/>
        <v>-1796</v>
      </c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</row>
    <row r="2072" hidden="1">
      <c r="A2072" s="60">
        <f>IFERROR(__xludf.DUMMYFUNCTION("""COMPUTED_VALUE"""),17087.0)</f>
        <v>17087</v>
      </c>
      <c r="B2072" s="60" t="str">
        <f>IFERROR(__xludf.DUMMYFUNCTION("""COMPUTED_VALUE"""),"Thornton, Dont'e")</f>
        <v>Thornton, Dont'e</v>
      </c>
      <c r="C2072" s="60" t="str">
        <f>IFERROR(__xludf.DUMMYFUNCTION("""COMPUTED_VALUE"""),"WR")</f>
        <v>WR</v>
      </c>
      <c r="D2072" s="60" t="str">
        <f>IFERROR(__xludf.DUMMYFUNCTION("""COMPUTED_VALUE"""),"LVR")</f>
        <v>LVR</v>
      </c>
      <c r="E2072" s="62" t="str">
        <f t="shared" si="4"/>
        <v>Dont'e Thornton</v>
      </c>
      <c r="F2072" s="62">
        <f t="shared" ref="F2072:G2072" si="4143">IF(isblank(F$1),,IF(isblank($A2072),,IFERROR(vlookup($A2072,indirect("'TVC-"&amp;text(month(F$1),"00")&amp;"'!$A:$D"),4,false),1)))</f>
        <v>2000</v>
      </c>
      <c r="G2072" s="62">
        <f t="shared" si="4143"/>
        <v>2110</v>
      </c>
      <c r="H2072" s="62">
        <f t="shared" ref="H2072:Q2072" si="4144">IF(isblank(H$1),,IFERROR(vlookup($A2072,indirect("'TVC-"&amp;text(month(H$1),"00")&amp;"'!$A:$D"),4,false),1))</f>
        <v>2148</v>
      </c>
      <c r="I2072" s="62">
        <f t="shared" si="4144"/>
        <v>2194</v>
      </c>
      <c r="J2072" s="62">
        <f t="shared" si="4144"/>
        <v>2082</v>
      </c>
      <c r="K2072" s="62">
        <f t="shared" si="4144"/>
        <v>2016</v>
      </c>
      <c r="L2072" s="62">
        <f t="shared" si="4144"/>
        <v>1927</v>
      </c>
      <c r="M2072" s="62">
        <f t="shared" si="4144"/>
        <v>1919</v>
      </c>
      <c r="N2072" s="62">
        <f t="shared" si="4144"/>
        <v>1894</v>
      </c>
      <c r="O2072" s="62">
        <f t="shared" si="4144"/>
        <v>1</v>
      </c>
      <c r="P2072" s="62" t="str">
        <f t="shared" si="4144"/>
        <v/>
      </c>
      <c r="Q2072" s="62" t="str">
        <f t="shared" si="4144"/>
        <v/>
      </c>
      <c r="R2072" s="62">
        <f t="shared" si="7"/>
        <v>-1893</v>
      </c>
      <c r="S2072" s="62"/>
      <c r="T2072" s="62"/>
      <c r="U2072" s="62"/>
      <c r="V2072" s="62"/>
      <c r="W2072" s="62"/>
      <c r="X2072" s="62"/>
      <c r="Y2072" s="62"/>
      <c r="Z2072" s="62"/>
      <c r="AA2072" s="62"/>
      <c r="AB2072" s="62"/>
      <c r="AC2072" s="62"/>
    </row>
    <row r="2073" hidden="1">
      <c r="A2073" s="60">
        <f>IFERROR(__xludf.DUMMYFUNCTION("""COMPUTED_VALUE"""),17088.0)</f>
        <v>17088</v>
      </c>
      <c r="B2073" s="60" t="str">
        <f>IFERROR(__xludf.DUMMYFUNCTION("""COMPUTED_VALUE"""),"Wease, Theo")</f>
        <v>Wease, Theo</v>
      </c>
      <c r="C2073" s="60" t="str">
        <f>IFERROR(__xludf.DUMMYFUNCTION("""COMPUTED_VALUE"""),"WR")</f>
        <v>WR</v>
      </c>
      <c r="D2073" s="60" t="str">
        <f>IFERROR(__xludf.DUMMYFUNCTION("""COMPUTED_VALUE"""),"LAC")</f>
        <v>LAC</v>
      </c>
      <c r="E2073" s="62" t="str">
        <f t="shared" si="4"/>
        <v>Theo Wease</v>
      </c>
      <c r="F2073" s="62">
        <f t="shared" ref="F2073:G2073" si="4145">IF(isblank(F$1),,IF(isblank($A2073),,IFERROR(vlookup($A2073,indirect("'TVC-"&amp;text(month(F$1),"00")&amp;"'!$A:$D"),4,false),1)))</f>
        <v>1</v>
      </c>
      <c r="G2073" s="62">
        <f t="shared" si="4145"/>
        <v>1</v>
      </c>
      <c r="H2073" s="62">
        <f t="shared" ref="H2073:Q2073" si="4146">IF(isblank(H$1),,IFERROR(vlookup($A2073,indirect("'TVC-"&amp;text(month(H$1),"00")&amp;"'!$A:$D"),4,false),1))</f>
        <v>1</v>
      </c>
      <c r="I2073" s="62">
        <f t="shared" si="4146"/>
        <v>1</v>
      </c>
      <c r="J2073" s="62">
        <f t="shared" si="4146"/>
        <v>1</v>
      </c>
      <c r="K2073" s="62">
        <f t="shared" si="4146"/>
        <v>1</v>
      </c>
      <c r="L2073" s="62">
        <f t="shared" si="4146"/>
        <v>1</v>
      </c>
      <c r="M2073" s="62">
        <f t="shared" si="4146"/>
        <v>1</v>
      </c>
      <c r="N2073" s="62">
        <f t="shared" si="4146"/>
        <v>1</v>
      </c>
      <c r="O2073" s="62">
        <f t="shared" si="4146"/>
        <v>1</v>
      </c>
      <c r="P2073" s="62" t="str">
        <f t="shared" si="4146"/>
        <v/>
      </c>
      <c r="Q2073" s="62" t="str">
        <f t="shared" si="4146"/>
        <v/>
      </c>
      <c r="R2073" s="62">
        <f t="shared" si="7"/>
        <v>0</v>
      </c>
      <c r="S2073" s="62"/>
      <c r="T2073" s="62"/>
      <c r="U2073" s="62"/>
      <c r="V2073" s="62"/>
      <c r="W2073" s="62"/>
      <c r="X2073" s="62"/>
      <c r="Y2073" s="62"/>
      <c r="Z2073" s="62"/>
      <c r="AA2073" s="62"/>
      <c r="AB2073" s="62"/>
      <c r="AC2073" s="62"/>
    </row>
    <row r="2074" hidden="1">
      <c r="A2074" s="60">
        <f>IFERROR(__xludf.DUMMYFUNCTION("""COMPUTED_VALUE"""),17089.0)</f>
        <v>17089</v>
      </c>
      <c r="B2074" s="60" t="str">
        <f>IFERROR(__xludf.DUMMYFUNCTION("""COMPUTED_VALUE"""),"Wells, Antwane")</f>
        <v>Wells, Antwane</v>
      </c>
      <c r="C2074" s="60" t="str">
        <f>IFERROR(__xludf.DUMMYFUNCTION("""COMPUTED_VALUE"""),"WR")</f>
        <v>WR</v>
      </c>
      <c r="D2074" s="60" t="str">
        <f>IFERROR(__xludf.DUMMYFUNCTION("""COMPUTED_VALUE"""),"ATL")</f>
        <v>ATL</v>
      </c>
      <c r="E2074" s="62" t="str">
        <f t="shared" si="4"/>
        <v>Antwane Wells</v>
      </c>
      <c r="F2074" s="62">
        <f t="shared" ref="F2074:G2074" si="4147">IF(isblank(F$1),,IF(isblank($A2074),,IFERROR(vlookup($A2074,indirect("'TVC-"&amp;text(month(F$1),"00")&amp;"'!$A:$D"),4,false),1)))</f>
        <v>1</v>
      </c>
      <c r="G2074" s="62">
        <f t="shared" si="4147"/>
        <v>1</v>
      </c>
      <c r="H2074" s="62">
        <f t="shared" ref="H2074:Q2074" si="4148">IF(isblank(H$1),,IFERROR(vlookup($A2074,indirect("'TVC-"&amp;text(month(H$1),"00")&amp;"'!$A:$D"),4,false),1))</f>
        <v>1</v>
      </c>
      <c r="I2074" s="62">
        <f t="shared" si="4148"/>
        <v>1</v>
      </c>
      <c r="J2074" s="62">
        <f t="shared" si="4148"/>
        <v>1</v>
      </c>
      <c r="K2074" s="62">
        <f t="shared" si="4148"/>
        <v>1</v>
      </c>
      <c r="L2074" s="62">
        <f t="shared" si="4148"/>
        <v>1</v>
      </c>
      <c r="M2074" s="62">
        <f t="shared" si="4148"/>
        <v>1</v>
      </c>
      <c r="N2074" s="62">
        <f t="shared" si="4148"/>
        <v>1</v>
      </c>
      <c r="O2074" s="62">
        <f t="shared" si="4148"/>
        <v>1</v>
      </c>
      <c r="P2074" s="62" t="str">
        <f t="shared" si="4148"/>
        <v/>
      </c>
      <c r="Q2074" s="62" t="str">
        <f t="shared" si="4148"/>
        <v/>
      </c>
      <c r="R2074" s="62">
        <f t="shared" si="7"/>
        <v>0</v>
      </c>
      <c r="S2074" s="62"/>
      <c r="T2074" s="62"/>
      <c r="U2074" s="62"/>
      <c r="V2074" s="62"/>
      <c r="W2074" s="62"/>
      <c r="X2074" s="62"/>
      <c r="Y2074" s="62"/>
      <c r="Z2074" s="62"/>
      <c r="AA2074" s="62"/>
      <c r="AB2074" s="62"/>
      <c r="AC2074" s="62"/>
    </row>
    <row r="2075" hidden="1">
      <c r="A2075" s="60">
        <f>IFERROR(__xludf.DUMMYFUNCTION("""COMPUTED_VALUE"""),17091.0)</f>
        <v>17091</v>
      </c>
      <c r="B2075" s="60" t="str">
        <f>IFERROR(__xludf.DUMMYFUNCTION("""COMPUTED_VALUE"""),"Brooks, Ja'Corey")</f>
        <v>Brooks, Ja'Corey</v>
      </c>
      <c r="C2075" s="60" t="str">
        <f>IFERROR(__xludf.DUMMYFUNCTION("""COMPUTED_VALUE"""),"WR")</f>
        <v>WR</v>
      </c>
      <c r="D2075" s="60" t="str">
        <f>IFERROR(__xludf.DUMMYFUNCTION("""COMPUTED_VALUE"""),"FA")</f>
        <v>FA</v>
      </c>
      <c r="E2075" s="62" t="str">
        <f t="shared" si="4"/>
        <v>Ja'Corey Brooks</v>
      </c>
      <c r="F2075" s="62">
        <f t="shared" ref="F2075:G2075" si="4149">IF(isblank(F$1),,IF(isblank($A2075),,IFERROR(vlookup($A2075,indirect("'TVC-"&amp;text(month(F$1),"00")&amp;"'!$A:$D"),4,false),1)))</f>
        <v>1</v>
      </c>
      <c r="G2075" s="62">
        <f t="shared" si="4149"/>
        <v>1</v>
      </c>
      <c r="H2075" s="62">
        <f t="shared" ref="H2075:Q2075" si="4150">IF(isblank(H$1),,IFERROR(vlookup($A2075,indirect("'TVC-"&amp;text(month(H$1),"00")&amp;"'!$A:$D"),4,false),1))</f>
        <v>1</v>
      </c>
      <c r="I2075" s="62">
        <f t="shared" si="4150"/>
        <v>1</v>
      </c>
      <c r="J2075" s="62">
        <f t="shared" si="4150"/>
        <v>1</v>
      </c>
      <c r="K2075" s="62">
        <f t="shared" si="4150"/>
        <v>1</v>
      </c>
      <c r="L2075" s="62">
        <f t="shared" si="4150"/>
        <v>1</v>
      </c>
      <c r="M2075" s="62">
        <f t="shared" si="4150"/>
        <v>1</v>
      </c>
      <c r="N2075" s="62">
        <f t="shared" si="4150"/>
        <v>1</v>
      </c>
      <c r="O2075" s="62">
        <f t="shared" si="4150"/>
        <v>1</v>
      </c>
      <c r="P2075" s="62" t="str">
        <f t="shared" si="4150"/>
        <v/>
      </c>
      <c r="Q2075" s="62" t="str">
        <f t="shared" si="4150"/>
        <v/>
      </c>
      <c r="R2075" s="62">
        <f t="shared" si="7"/>
        <v>0</v>
      </c>
      <c r="S2075" s="62"/>
      <c r="T2075" s="62"/>
      <c r="U2075" s="62"/>
      <c r="V2075" s="62"/>
      <c r="W2075" s="62"/>
      <c r="X2075" s="62"/>
      <c r="Y2075" s="62"/>
      <c r="Z2075" s="62"/>
      <c r="AA2075" s="62"/>
      <c r="AB2075" s="62"/>
      <c r="AC2075" s="62"/>
    </row>
    <row r="2076" hidden="1">
      <c r="A2076" s="60">
        <f>IFERROR(__xludf.DUMMYFUNCTION("""COMPUTED_VALUE"""),17096.0)</f>
        <v>17096</v>
      </c>
      <c r="B2076" s="60" t="str">
        <f>IFERROR(__xludf.DUMMYFUNCTION("""COMPUTED_VALUE"""),"Williams, Savion")</f>
        <v>Williams, Savion</v>
      </c>
      <c r="C2076" s="60" t="str">
        <f>IFERROR(__xludf.DUMMYFUNCTION("""COMPUTED_VALUE"""),"WR")</f>
        <v>WR</v>
      </c>
      <c r="D2076" s="60" t="str">
        <f>IFERROR(__xludf.DUMMYFUNCTION("""COMPUTED_VALUE"""),"GBP")</f>
        <v>GBP</v>
      </c>
      <c r="E2076" s="62" t="str">
        <f t="shared" si="4"/>
        <v>Savion Williams</v>
      </c>
      <c r="F2076" s="62">
        <f t="shared" ref="F2076:G2076" si="4151">IF(isblank(F$1),,IF(isblank($A2076),,IFERROR(vlookup($A2076,indirect("'TVC-"&amp;text(month(F$1),"00")&amp;"'!$A:$D"),4,false),1)))</f>
        <v>1584</v>
      </c>
      <c r="G2076" s="62">
        <f t="shared" si="4151"/>
        <v>1590</v>
      </c>
      <c r="H2076" s="62">
        <f t="shared" ref="H2076:Q2076" si="4152">IF(isblank(H$1),,IFERROR(vlookup($A2076,indirect("'TVC-"&amp;text(month(H$1),"00")&amp;"'!$A:$D"),4,false),1))</f>
        <v>1605</v>
      </c>
      <c r="I2076" s="62">
        <f t="shared" si="4152"/>
        <v>1617</v>
      </c>
      <c r="J2076" s="62">
        <f t="shared" si="4152"/>
        <v>1759</v>
      </c>
      <c r="K2076" s="62">
        <f t="shared" si="4152"/>
        <v>1693</v>
      </c>
      <c r="L2076" s="62">
        <f t="shared" si="4152"/>
        <v>1656</v>
      </c>
      <c r="M2076" s="62">
        <f t="shared" si="4152"/>
        <v>1628</v>
      </c>
      <c r="N2076" s="62">
        <f t="shared" si="4152"/>
        <v>1591</v>
      </c>
      <c r="O2076" s="62">
        <f t="shared" si="4152"/>
        <v>1</v>
      </c>
      <c r="P2076" s="62" t="str">
        <f t="shared" si="4152"/>
        <v/>
      </c>
      <c r="Q2076" s="62" t="str">
        <f t="shared" si="4152"/>
        <v/>
      </c>
      <c r="R2076" s="62">
        <f t="shared" si="7"/>
        <v>-1590</v>
      </c>
      <c r="S2076" s="62"/>
      <c r="T2076" s="62"/>
      <c r="U2076" s="62"/>
      <c r="V2076" s="62"/>
      <c r="W2076" s="62"/>
      <c r="X2076" s="62"/>
      <c r="Y2076" s="62"/>
      <c r="Z2076" s="62"/>
      <c r="AA2076" s="62"/>
      <c r="AB2076" s="62"/>
      <c r="AC2076" s="62"/>
    </row>
    <row r="2077" hidden="1">
      <c r="A2077" s="60">
        <f>IFERROR(__xludf.DUMMYFUNCTION("""COMPUTED_VALUE"""),17097.0)</f>
        <v>17097</v>
      </c>
      <c r="B2077" s="60" t="str">
        <f>IFERROR(__xludf.DUMMYFUNCTION("""COMPUTED_VALUE"""),"Felton, Tai")</f>
        <v>Felton, Tai</v>
      </c>
      <c r="C2077" s="60" t="str">
        <f>IFERROR(__xludf.DUMMYFUNCTION("""COMPUTED_VALUE"""),"WR")</f>
        <v>WR</v>
      </c>
      <c r="D2077" s="60" t="str">
        <f>IFERROR(__xludf.DUMMYFUNCTION("""COMPUTED_VALUE"""),"MIN")</f>
        <v>MIN</v>
      </c>
      <c r="E2077" s="62" t="str">
        <f t="shared" si="4"/>
        <v>Tai Felton</v>
      </c>
      <c r="F2077" s="62">
        <f t="shared" ref="F2077:G2077" si="4153">IF(isblank(F$1),,IF(isblank($A2077),,IFERROR(vlookup($A2077,indirect("'TVC-"&amp;text(month(F$1),"00")&amp;"'!$A:$D"),4,false),1)))</f>
        <v>1181</v>
      </c>
      <c r="G2077" s="62">
        <f t="shared" si="4153"/>
        <v>1148</v>
      </c>
      <c r="H2077" s="62">
        <f t="shared" ref="H2077:Q2077" si="4154">IF(isblank(H$1),,IFERROR(vlookup($A2077,indirect("'TVC-"&amp;text(month(H$1),"00")&amp;"'!$A:$D"),4,false),1))</f>
        <v>1134</v>
      </c>
      <c r="I2077" s="62">
        <f t="shared" si="4154"/>
        <v>1334</v>
      </c>
      <c r="J2077" s="62">
        <f t="shared" si="4154"/>
        <v>1256</v>
      </c>
      <c r="K2077" s="62">
        <f t="shared" si="4154"/>
        <v>1267</v>
      </c>
      <c r="L2077" s="62">
        <f t="shared" si="4154"/>
        <v>1221</v>
      </c>
      <c r="M2077" s="62">
        <f t="shared" si="4154"/>
        <v>1294</v>
      </c>
      <c r="N2077" s="62">
        <f t="shared" si="4154"/>
        <v>1401</v>
      </c>
      <c r="O2077" s="62">
        <f t="shared" si="4154"/>
        <v>1</v>
      </c>
      <c r="P2077" s="62" t="str">
        <f t="shared" si="4154"/>
        <v/>
      </c>
      <c r="Q2077" s="62" t="str">
        <f t="shared" si="4154"/>
        <v/>
      </c>
      <c r="R2077" s="62">
        <f t="shared" si="7"/>
        <v>-1400</v>
      </c>
      <c r="S2077" s="62"/>
      <c r="T2077" s="62"/>
      <c r="U2077" s="62"/>
      <c r="V2077" s="62"/>
      <c r="W2077" s="62"/>
      <c r="X2077" s="62"/>
      <c r="Y2077" s="62"/>
      <c r="Z2077" s="62"/>
      <c r="AA2077" s="62"/>
      <c r="AB2077" s="62"/>
      <c r="AC2077" s="62"/>
    </row>
    <row r="2078" hidden="1">
      <c r="A2078" s="60">
        <f>IFERROR(__xludf.DUMMYFUNCTION("""COMPUTED_VALUE"""),17098.0)</f>
        <v>17098</v>
      </c>
      <c r="B2078" s="60" t="str">
        <f>IFERROR(__xludf.DUMMYFUNCTION("""COMPUTED_VALUE"""),"Horton, Tory")</f>
        <v>Horton, Tory</v>
      </c>
      <c r="C2078" s="60" t="str">
        <f>IFERROR(__xludf.DUMMYFUNCTION("""COMPUTED_VALUE"""),"WR")</f>
        <v>WR</v>
      </c>
      <c r="D2078" s="60" t="str">
        <f>IFERROR(__xludf.DUMMYFUNCTION("""COMPUTED_VALUE"""),"SEA")</f>
        <v>SEA</v>
      </c>
      <c r="E2078" s="62" t="str">
        <f t="shared" si="4"/>
        <v>Tory Horton</v>
      </c>
      <c r="F2078" s="62">
        <f t="shared" ref="F2078:G2078" si="4155">IF(isblank(F$1),,IF(isblank($A2078),,IFERROR(vlookup($A2078,indirect("'TVC-"&amp;text(month(F$1),"00")&amp;"'!$A:$D"),4,false),1)))</f>
        <v>2788</v>
      </c>
      <c r="G2078" s="62">
        <f t="shared" si="4155"/>
        <v>2742</v>
      </c>
      <c r="H2078" s="62">
        <f t="shared" ref="H2078:Q2078" si="4156">IF(isblank(H$1),,IFERROR(vlookup($A2078,indirect("'TVC-"&amp;text(month(H$1),"00")&amp;"'!$A:$D"),4,false),1))</f>
        <v>2785</v>
      </c>
      <c r="I2078" s="62">
        <f t="shared" si="4156"/>
        <v>2747</v>
      </c>
      <c r="J2078" s="62">
        <f t="shared" si="4156"/>
        <v>2722</v>
      </c>
      <c r="K2078" s="62">
        <f t="shared" si="4156"/>
        <v>2706</v>
      </c>
      <c r="L2078" s="62">
        <f t="shared" si="4156"/>
        <v>2637</v>
      </c>
      <c r="M2078" s="62">
        <f t="shared" si="4156"/>
        <v>2611</v>
      </c>
      <c r="N2078" s="62">
        <f t="shared" si="4156"/>
        <v>2409</v>
      </c>
      <c r="O2078" s="62">
        <f t="shared" si="4156"/>
        <v>1</v>
      </c>
      <c r="P2078" s="62" t="str">
        <f t="shared" si="4156"/>
        <v/>
      </c>
      <c r="Q2078" s="62" t="str">
        <f t="shared" si="4156"/>
        <v/>
      </c>
      <c r="R2078" s="62">
        <f t="shared" si="7"/>
        <v>-2408</v>
      </c>
      <c r="S2078" s="62"/>
      <c r="T2078" s="62"/>
      <c r="U2078" s="62"/>
      <c r="V2078" s="62"/>
      <c r="W2078" s="62"/>
      <c r="X2078" s="62"/>
      <c r="Y2078" s="62"/>
      <c r="Z2078" s="62"/>
      <c r="AA2078" s="62"/>
      <c r="AB2078" s="62"/>
      <c r="AC2078" s="62"/>
    </row>
    <row r="2079" hidden="1">
      <c r="A2079" s="60">
        <f>IFERROR(__xludf.DUMMYFUNCTION("""COMPUTED_VALUE"""),17099.0)</f>
        <v>17099</v>
      </c>
      <c r="B2079" s="60" t="str">
        <f>IFERROR(__xludf.DUMMYFUNCTION("""COMPUTED_VALUE"""),"Gadsden, Oronde")</f>
        <v>Gadsden, Oronde</v>
      </c>
      <c r="C2079" s="60" t="str">
        <f>IFERROR(__xludf.DUMMYFUNCTION("""COMPUTED_VALUE"""),"TE")</f>
        <v>TE</v>
      </c>
      <c r="D2079" s="60" t="str">
        <f>IFERROR(__xludf.DUMMYFUNCTION("""COMPUTED_VALUE"""),"LAC")</f>
        <v>LAC</v>
      </c>
      <c r="E2079" s="62" t="str">
        <f t="shared" si="4"/>
        <v>Oronde Gadsden</v>
      </c>
      <c r="F2079" s="62">
        <f t="shared" ref="F2079:G2079" si="4157">IF(isblank(F$1),,IF(isblank($A2079),,IFERROR(vlookup($A2079,indirect("'TVC-"&amp;text(month(F$1),"00")&amp;"'!$A:$D"),4,false),1)))</f>
        <v>4570</v>
      </c>
      <c r="G2079" s="62">
        <f t="shared" si="4157"/>
        <v>4644</v>
      </c>
      <c r="H2079" s="62">
        <f t="shared" ref="H2079:Q2079" si="4158">IF(isblank(H$1),,IFERROR(vlookup($A2079,indirect("'TVC-"&amp;text(month(H$1),"00")&amp;"'!$A:$D"),4,false),1))</f>
        <v>4653</v>
      </c>
      <c r="I2079" s="62">
        <f t="shared" si="4158"/>
        <v>4349</v>
      </c>
      <c r="J2079" s="62">
        <f t="shared" si="4158"/>
        <v>4362</v>
      </c>
      <c r="K2079" s="62">
        <f t="shared" si="4158"/>
        <v>4100</v>
      </c>
      <c r="L2079" s="62">
        <f t="shared" si="4158"/>
        <v>4064</v>
      </c>
      <c r="M2079" s="62">
        <f t="shared" si="4158"/>
        <v>3940</v>
      </c>
      <c r="N2079" s="62">
        <f t="shared" si="4158"/>
        <v>3437</v>
      </c>
      <c r="O2079" s="62">
        <f t="shared" si="4158"/>
        <v>1</v>
      </c>
      <c r="P2079" s="62" t="str">
        <f t="shared" si="4158"/>
        <v/>
      </c>
      <c r="Q2079" s="62" t="str">
        <f t="shared" si="4158"/>
        <v/>
      </c>
      <c r="R2079" s="62">
        <f t="shared" si="7"/>
        <v>-3436</v>
      </c>
      <c r="S2079" s="62"/>
      <c r="T2079" s="62"/>
      <c r="U2079" s="62"/>
      <c r="V2079" s="62"/>
      <c r="W2079" s="62"/>
      <c r="X2079" s="62"/>
      <c r="Y2079" s="62"/>
      <c r="Z2079" s="62"/>
      <c r="AA2079" s="62"/>
      <c r="AB2079" s="62"/>
      <c r="AC2079" s="62"/>
    </row>
    <row r="2080" hidden="1">
      <c r="A2080" s="60">
        <f>IFERROR(__xludf.DUMMYFUNCTION("""COMPUTED_VALUE"""),17100.0)</f>
        <v>17100</v>
      </c>
      <c r="B2080" s="60" t="str">
        <f>IFERROR(__xludf.DUMMYFUNCTION("""COMPUTED_VALUE"""),"Nash, Nick")</f>
        <v>Nash, Nick</v>
      </c>
      <c r="C2080" s="60" t="str">
        <f>IFERROR(__xludf.DUMMYFUNCTION("""COMPUTED_VALUE"""),"WR")</f>
        <v>WR</v>
      </c>
      <c r="D2080" s="60" t="str">
        <f>IFERROR(__xludf.DUMMYFUNCTION("""COMPUTED_VALUE"""),"FA")</f>
        <v>FA</v>
      </c>
      <c r="E2080" s="62" t="str">
        <f t="shared" si="4"/>
        <v>Nick Nash</v>
      </c>
      <c r="F2080" s="62">
        <f t="shared" ref="F2080:G2080" si="4159">IF(isblank(F$1),,IF(isblank($A2080),,IFERROR(vlookup($A2080,indirect("'TVC-"&amp;text(month(F$1),"00")&amp;"'!$A:$D"),4,false),1)))</f>
        <v>1</v>
      </c>
      <c r="G2080" s="62">
        <f t="shared" si="4159"/>
        <v>1</v>
      </c>
      <c r="H2080" s="62">
        <f t="shared" ref="H2080:Q2080" si="4160">IF(isblank(H$1),,IFERROR(vlookup($A2080,indirect("'TVC-"&amp;text(month(H$1),"00")&amp;"'!$A:$D"),4,false),1))</f>
        <v>1</v>
      </c>
      <c r="I2080" s="62">
        <f t="shared" si="4160"/>
        <v>1</v>
      </c>
      <c r="J2080" s="62">
        <f t="shared" si="4160"/>
        <v>1</v>
      </c>
      <c r="K2080" s="62">
        <f t="shared" si="4160"/>
        <v>1</v>
      </c>
      <c r="L2080" s="62">
        <f t="shared" si="4160"/>
        <v>1</v>
      </c>
      <c r="M2080" s="62">
        <f t="shared" si="4160"/>
        <v>1</v>
      </c>
      <c r="N2080" s="62">
        <f t="shared" si="4160"/>
        <v>1</v>
      </c>
      <c r="O2080" s="62">
        <f t="shared" si="4160"/>
        <v>1</v>
      </c>
      <c r="P2080" s="62" t="str">
        <f t="shared" si="4160"/>
        <v/>
      </c>
      <c r="Q2080" s="62" t="str">
        <f t="shared" si="4160"/>
        <v/>
      </c>
      <c r="R2080" s="62">
        <f t="shared" si="7"/>
        <v>0</v>
      </c>
      <c r="S2080" s="62"/>
      <c r="T2080" s="62"/>
      <c r="U2080" s="62"/>
      <c r="V2080" s="62"/>
      <c r="W2080" s="62"/>
      <c r="X2080" s="62"/>
      <c r="Y2080" s="62"/>
      <c r="Z2080" s="62"/>
      <c r="AA2080" s="62"/>
      <c r="AB2080" s="62"/>
      <c r="AC2080" s="62"/>
    </row>
    <row r="2081" hidden="1">
      <c r="A2081" s="60">
        <f>IFERROR(__xludf.DUMMYFUNCTION("""COMPUTED_VALUE"""),17102.0)</f>
        <v>17102</v>
      </c>
      <c r="B2081" s="60" t="str">
        <f>IFERROR(__xludf.DUMMYFUNCTION("""COMPUTED_VALUE"""),"Warren, Tyler")</f>
        <v>Warren, Tyler</v>
      </c>
      <c r="C2081" s="60" t="str">
        <f>IFERROR(__xludf.DUMMYFUNCTION("""COMPUTED_VALUE"""),"TE")</f>
        <v>TE</v>
      </c>
      <c r="D2081" s="60" t="str">
        <f>IFERROR(__xludf.DUMMYFUNCTION("""COMPUTED_VALUE"""),"IND")</f>
        <v>IND</v>
      </c>
      <c r="E2081" s="62" t="str">
        <f t="shared" si="4"/>
        <v>Tyler Warren</v>
      </c>
      <c r="F2081" s="62">
        <f t="shared" ref="F2081:G2081" si="4161">IF(isblank(F$1),,IF(isblank($A2081),,IFERROR(vlookup($A2081,indirect("'TVC-"&amp;text(month(F$1),"00")&amp;"'!$A:$D"),4,false),1)))</f>
        <v>6530</v>
      </c>
      <c r="G2081" s="62">
        <f t="shared" si="4161"/>
        <v>6248</v>
      </c>
      <c r="H2081" s="62">
        <f t="shared" ref="H2081:Q2081" si="4162">IF(isblank(H$1),,IFERROR(vlookup($A2081,indirect("'TVC-"&amp;text(month(H$1),"00")&amp;"'!$A:$D"),4,false),1))</f>
        <v>6269</v>
      </c>
      <c r="I2081" s="62">
        <f t="shared" si="4162"/>
        <v>6401</v>
      </c>
      <c r="J2081" s="62">
        <f t="shared" si="4162"/>
        <v>6376</v>
      </c>
      <c r="K2081" s="62">
        <f t="shared" si="4162"/>
        <v>6424</v>
      </c>
      <c r="L2081" s="62">
        <f t="shared" si="4162"/>
        <v>6499</v>
      </c>
      <c r="M2081" s="62">
        <f t="shared" si="4162"/>
        <v>6534</v>
      </c>
      <c r="N2081" s="62">
        <f t="shared" si="4162"/>
        <v>6638</v>
      </c>
      <c r="O2081" s="62">
        <f t="shared" si="4162"/>
        <v>1</v>
      </c>
      <c r="P2081" s="62" t="str">
        <f t="shared" si="4162"/>
        <v/>
      </c>
      <c r="Q2081" s="62" t="str">
        <f t="shared" si="4162"/>
        <v/>
      </c>
      <c r="R2081" s="62">
        <f t="shared" si="7"/>
        <v>-6637</v>
      </c>
      <c r="S2081" s="62"/>
      <c r="T2081" s="62"/>
      <c r="U2081" s="62"/>
      <c r="V2081" s="62"/>
      <c r="W2081" s="62"/>
      <c r="X2081" s="62"/>
      <c r="Y2081" s="62"/>
      <c r="Z2081" s="62"/>
      <c r="AA2081" s="62"/>
      <c r="AB2081" s="62"/>
      <c r="AC2081" s="62"/>
    </row>
    <row r="2082">
      <c r="A2082" s="60">
        <f>IFERROR(__xludf.DUMMYFUNCTION("""COMPUTED_VALUE"""),17103.0)</f>
        <v>17103</v>
      </c>
      <c r="B2082" s="60" t="str">
        <f>IFERROR(__xludf.DUMMYFUNCTION("""COMPUTED_VALUE"""),"Fannin, Harold")</f>
        <v>Fannin, Harold</v>
      </c>
      <c r="C2082" s="60" t="str">
        <f>IFERROR(__xludf.DUMMYFUNCTION("""COMPUTED_VALUE"""),"TE")</f>
        <v>TE</v>
      </c>
      <c r="D2082" s="60" t="str">
        <f>IFERROR(__xludf.DUMMYFUNCTION("""COMPUTED_VALUE"""),"CLE")</f>
        <v>CLE</v>
      </c>
      <c r="E2082" s="62" t="str">
        <f t="shared" si="4"/>
        <v>Harold Fannin</v>
      </c>
      <c r="F2082" s="62">
        <f t="shared" ref="F2082:G2082" si="4163">IF(isblank(F$1),,IF(isblank($A2082),,IFERROR(vlookup($A2082,indirect("'TVC-"&amp;text(month(F$1),"00")&amp;"'!$A:$D"),4,false),1)))</f>
        <v>5379</v>
      </c>
      <c r="G2082" s="62">
        <f t="shared" si="4163"/>
        <v>5445</v>
      </c>
      <c r="H2082" s="62">
        <f t="shared" ref="H2082:Q2082" si="4164">IF(isblank(H$1),,IFERROR(vlookup($A2082,indirect("'TVC-"&amp;text(month(H$1),"00")&amp;"'!$A:$D"),4,false),1))</f>
        <v>5470</v>
      </c>
      <c r="I2082" s="62">
        <f t="shared" si="4164"/>
        <v>5536</v>
      </c>
      <c r="J2082" s="62">
        <f t="shared" si="4164"/>
        <v>5477</v>
      </c>
      <c r="K2082" s="62">
        <f t="shared" si="4164"/>
        <v>5458</v>
      </c>
      <c r="L2082" s="62">
        <f t="shared" si="4164"/>
        <v>5411</v>
      </c>
      <c r="M2082" s="62">
        <f t="shared" si="4164"/>
        <v>5304</v>
      </c>
      <c r="N2082" s="62">
        <f t="shared" si="4164"/>
        <v>5259</v>
      </c>
      <c r="O2082" s="62">
        <f t="shared" si="4164"/>
        <v>1</v>
      </c>
      <c r="P2082" s="62" t="str">
        <f t="shared" si="4164"/>
        <v/>
      </c>
      <c r="Q2082" s="62" t="str">
        <f t="shared" si="4164"/>
        <v/>
      </c>
      <c r="R2082" s="62">
        <f t="shared" si="7"/>
        <v>-5258</v>
      </c>
      <c r="S2082" s="62"/>
      <c r="T2082" s="62"/>
      <c r="U2082" s="62"/>
      <c r="V2082" s="62"/>
      <c r="W2082" s="62"/>
      <c r="X2082" s="62"/>
      <c r="Y2082" s="62"/>
      <c r="Z2082" s="62"/>
      <c r="AA2082" s="62"/>
      <c r="AB2082" s="62"/>
      <c r="AC2082" s="62"/>
    </row>
    <row r="2083" hidden="1">
      <c r="A2083" s="60">
        <f>IFERROR(__xludf.DUMMYFUNCTION("""COMPUTED_VALUE"""),17104.0)</f>
        <v>17104</v>
      </c>
      <c r="B2083" s="60" t="str">
        <f>IFERROR(__xludf.DUMMYFUNCTION("""COMPUTED_VALUE"""),"Loveland, Colston")</f>
        <v>Loveland, Colston</v>
      </c>
      <c r="C2083" s="60" t="str">
        <f>IFERROR(__xludf.DUMMYFUNCTION("""COMPUTED_VALUE"""),"TE")</f>
        <v>TE</v>
      </c>
      <c r="D2083" s="60" t="str">
        <f>IFERROR(__xludf.DUMMYFUNCTION("""COMPUTED_VALUE"""),"CHI")</f>
        <v>CHI</v>
      </c>
      <c r="E2083" s="62" t="str">
        <f t="shared" si="4"/>
        <v>Colston Loveland</v>
      </c>
      <c r="F2083" s="62">
        <f t="shared" ref="F2083:G2083" si="4165">IF(isblank(F$1),,IF(isblank($A2083),,IFERROR(vlookup($A2083,indirect("'TVC-"&amp;text(month(F$1),"00")&amp;"'!$A:$D"),4,false),1)))</f>
        <v>5403</v>
      </c>
      <c r="G2083" s="62">
        <f t="shared" si="4165"/>
        <v>6491</v>
      </c>
      <c r="H2083" s="62">
        <f t="shared" ref="H2083:Q2083" si="4166">IF(isblank(H$1),,IFERROR(vlookup($A2083,indirect("'TVC-"&amp;text(month(H$1),"00")&amp;"'!$A:$D"),4,false),1))</f>
        <v>6615</v>
      </c>
      <c r="I2083" s="62">
        <f t="shared" si="4166"/>
        <v>6658</v>
      </c>
      <c r="J2083" s="62">
        <f t="shared" si="4166"/>
        <v>6766</v>
      </c>
      <c r="K2083" s="62">
        <f t="shared" si="4166"/>
        <v>6788</v>
      </c>
      <c r="L2083" s="62">
        <f t="shared" si="4166"/>
        <v>6911</v>
      </c>
      <c r="M2083" s="62">
        <f t="shared" si="4166"/>
        <v>7062</v>
      </c>
      <c r="N2083" s="62">
        <f t="shared" si="4166"/>
        <v>7040</v>
      </c>
      <c r="O2083" s="62">
        <f t="shared" si="4166"/>
        <v>1</v>
      </c>
      <c r="P2083" s="62" t="str">
        <f t="shared" si="4166"/>
        <v/>
      </c>
      <c r="Q2083" s="62" t="str">
        <f t="shared" si="4166"/>
        <v/>
      </c>
      <c r="R2083" s="62">
        <f t="shared" si="7"/>
        <v>-7039</v>
      </c>
      <c r="S2083" s="62"/>
      <c r="T2083" s="62"/>
      <c r="U2083" s="62"/>
      <c r="V2083" s="62"/>
      <c r="W2083" s="62"/>
      <c r="X2083" s="62"/>
      <c r="Y2083" s="62"/>
      <c r="Z2083" s="62"/>
      <c r="AA2083" s="62"/>
      <c r="AB2083" s="62"/>
      <c r="AC2083" s="62"/>
    </row>
    <row r="2084" hidden="1">
      <c r="A2084" s="60">
        <f>IFERROR(__xludf.DUMMYFUNCTION("""COMPUTED_VALUE"""),17105.0)</f>
        <v>17105</v>
      </c>
      <c r="B2084" s="60" t="str">
        <f>IFERROR(__xludf.DUMMYFUNCTION("""COMPUTED_VALUE"""),"Helm, Gunnar")</f>
        <v>Helm, Gunnar</v>
      </c>
      <c r="C2084" s="60" t="str">
        <f>IFERROR(__xludf.DUMMYFUNCTION("""COMPUTED_VALUE"""),"TE")</f>
        <v>TE</v>
      </c>
      <c r="D2084" s="60" t="str">
        <f>IFERROR(__xludf.DUMMYFUNCTION("""COMPUTED_VALUE"""),"TEN")</f>
        <v>TEN</v>
      </c>
      <c r="E2084" s="62" t="str">
        <f t="shared" si="4"/>
        <v>Gunnar Helm</v>
      </c>
      <c r="F2084" s="62">
        <f t="shared" ref="F2084:G2084" si="4167">IF(isblank(F$1),,IF(isblank($A2084),,IFERROR(vlookup($A2084,indirect("'TVC-"&amp;text(month(F$1),"00")&amp;"'!$A:$D"),4,false),1)))</f>
        <v>2648</v>
      </c>
      <c r="G2084" s="62">
        <f t="shared" si="4167"/>
        <v>2733</v>
      </c>
      <c r="H2084" s="62">
        <f t="shared" ref="H2084:Q2084" si="4168">IF(isblank(H$1),,IFERROR(vlookup($A2084,indirect("'TVC-"&amp;text(month(H$1),"00")&amp;"'!$A:$D"),4,false),1))</f>
        <v>2809</v>
      </c>
      <c r="I2084" s="62">
        <f t="shared" si="4168"/>
        <v>2973</v>
      </c>
      <c r="J2084" s="62">
        <f t="shared" si="4168"/>
        <v>3109</v>
      </c>
      <c r="K2084" s="62">
        <f t="shared" si="4168"/>
        <v>3083</v>
      </c>
      <c r="L2084" s="62">
        <f t="shared" si="4168"/>
        <v>3059</v>
      </c>
      <c r="M2084" s="62">
        <f t="shared" si="4168"/>
        <v>3053</v>
      </c>
      <c r="N2084" s="62">
        <f t="shared" si="4168"/>
        <v>2892</v>
      </c>
      <c r="O2084" s="62">
        <f t="shared" si="4168"/>
        <v>1</v>
      </c>
      <c r="P2084" s="62" t="str">
        <f t="shared" si="4168"/>
        <v/>
      </c>
      <c r="Q2084" s="62" t="str">
        <f t="shared" si="4168"/>
        <v/>
      </c>
      <c r="R2084" s="62">
        <f t="shared" si="7"/>
        <v>-2891</v>
      </c>
      <c r="S2084" s="62"/>
      <c r="T2084" s="62"/>
      <c r="U2084" s="62"/>
      <c r="V2084" s="62"/>
      <c r="W2084" s="62"/>
      <c r="X2084" s="62"/>
      <c r="Y2084" s="62"/>
      <c r="Z2084" s="62"/>
      <c r="AA2084" s="62"/>
      <c r="AB2084" s="62"/>
      <c r="AC2084" s="62"/>
    </row>
    <row r="2085" hidden="1">
      <c r="A2085" s="60">
        <f>IFERROR(__xludf.DUMMYFUNCTION("""COMPUTED_VALUE"""),17106.0)</f>
        <v>17106</v>
      </c>
      <c r="B2085" s="60" t="str">
        <f>IFERROR(__xludf.DUMMYFUNCTION("""COMPUTED_VALUE"""),"Taylor, Mason")</f>
        <v>Taylor, Mason</v>
      </c>
      <c r="C2085" s="60" t="str">
        <f>IFERROR(__xludf.DUMMYFUNCTION("""COMPUTED_VALUE"""),"TE")</f>
        <v>TE</v>
      </c>
      <c r="D2085" s="60" t="str">
        <f>IFERROR(__xludf.DUMMYFUNCTION("""COMPUTED_VALUE"""),"NYJ")</f>
        <v>NYJ</v>
      </c>
      <c r="E2085" s="62" t="str">
        <f t="shared" si="4"/>
        <v>Mason Taylor</v>
      </c>
      <c r="F2085" s="62">
        <f t="shared" ref="F2085:G2085" si="4169">IF(isblank(F$1),,IF(isblank($A2085),,IFERROR(vlookup($A2085,indirect("'TVC-"&amp;text(month(F$1),"00")&amp;"'!$A:$D"),4,false),1)))</f>
        <v>3379</v>
      </c>
      <c r="G2085" s="62">
        <f t="shared" si="4169"/>
        <v>3349</v>
      </c>
      <c r="H2085" s="62">
        <f t="shared" ref="H2085:Q2085" si="4170">IF(isblank(H$1),,IFERROR(vlookup($A2085,indirect("'TVC-"&amp;text(month(H$1),"00")&amp;"'!$A:$D"),4,false),1))</f>
        <v>3348</v>
      </c>
      <c r="I2085" s="62">
        <f t="shared" si="4170"/>
        <v>3348</v>
      </c>
      <c r="J2085" s="62">
        <f t="shared" si="4170"/>
        <v>2782</v>
      </c>
      <c r="K2085" s="62">
        <f t="shared" si="4170"/>
        <v>2754</v>
      </c>
      <c r="L2085" s="62">
        <f t="shared" si="4170"/>
        <v>2779</v>
      </c>
      <c r="M2085" s="62">
        <f t="shared" si="4170"/>
        <v>2726</v>
      </c>
      <c r="N2085" s="62">
        <f t="shared" si="4170"/>
        <v>2649</v>
      </c>
      <c r="O2085" s="62">
        <f t="shared" si="4170"/>
        <v>1</v>
      </c>
      <c r="P2085" s="62" t="str">
        <f t="shared" si="4170"/>
        <v/>
      </c>
      <c r="Q2085" s="62" t="str">
        <f t="shared" si="4170"/>
        <v/>
      </c>
      <c r="R2085" s="62">
        <f t="shared" si="7"/>
        <v>-2648</v>
      </c>
      <c r="S2085" s="62"/>
      <c r="T2085" s="62"/>
      <c r="U2085" s="62"/>
      <c r="V2085" s="62"/>
      <c r="W2085" s="62"/>
      <c r="X2085" s="62"/>
      <c r="Y2085" s="62"/>
      <c r="Z2085" s="62"/>
      <c r="AA2085" s="62"/>
      <c r="AB2085" s="62"/>
      <c r="AC2085" s="62"/>
    </row>
    <row r="2086" hidden="1">
      <c r="A2086" s="60">
        <f>IFERROR(__xludf.DUMMYFUNCTION("""COMPUTED_VALUE"""),17107.0)</f>
        <v>17107</v>
      </c>
      <c r="B2086" s="60" t="str">
        <f>IFERROR(__xludf.DUMMYFUNCTION("""COMPUTED_VALUE"""),"Ferguson, Terrance")</f>
        <v>Ferguson, Terrance</v>
      </c>
      <c r="C2086" s="60" t="str">
        <f>IFERROR(__xludf.DUMMYFUNCTION("""COMPUTED_VALUE"""),"TE")</f>
        <v>TE</v>
      </c>
      <c r="D2086" s="60" t="str">
        <f>IFERROR(__xludf.DUMMYFUNCTION("""COMPUTED_VALUE"""),"LAR")</f>
        <v>LAR</v>
      </c>
      <c r="E2086" s="62" t="str">
        <f t="shared" si="4"/>
        <v>Terrance Ferguson</v>
      </c>
      <c r="F2086" s="62">
        <f t="shared" ref="F2086:G2086" si="4171">IF(isblank(F$1),,IF(isblank($A2086),,IFERROR(vlookup($A2086,indirect("'TVC-"&amp;text(month(F$1),"00")&amp;"'!$A:$D"),4,false),1)))</f>
        <v>3121</v>
      </c>
      <c r="G2086" s="62">
        <f t="shared" si="4171"/>
        <v>3326</v>
      </c>
      <c r="H2086" s="62">
        <f t="shared" ref="H2086:Q2086" si="4172">IF(isblank(H$1),,IFERROR(vlookup($A2086,indirect("'TVC-"&amp;text(month(H$1),"00")&amp;"'!$A:$D"),4,false),1))</f>
        <v>3324</v>
      </c>
      <c r="I2086" s="62">
        <f t="shared" si="4172"/>
        <v>3281</v>
      </c>
      <c r="J2086" s="62">
        <f t="shared" si="4172"/>
        <v>3130</v>
      </c>
      <c r="K2086" s="62">
        <f t="shared" si="4172"/>
        <v>3034</v>
      </c>
      <c r="L2086" s="62">
        <f t="shared" si="4172"/>
        <v>3081</v>
      </c>
      <c r="M2086" s="62">
        <f t="shared" si="4172"/>
        <v>3164</v>
      </c>
      <c r="N2086" s="62">
        <f t="shared" si="4172"/>
        <v>3383</v>
      </c>
      <c r="O2086" s="62">
        <f t="shared" si="4172"/>
        <v>1</v>
      </c>
      <c r="P2086" s="62" t="str">
        <f t="shared" si="4172"/>
        <v/>
      </c>
      <c r="Q2086" s="62" t="str">
        <f t="shared" si="4172"/>
        <v/>
      </c>
      <c r="R2086" s="62">
        <f t="shared" si="7"/>
        <v>-3382</v>
      </c>
      <c r="S2086" s="62"/>
      <c r="T2086" s="62"/>
      <c r="U2086" s="62"/>
      <c r="V2086" s="62"/>
      <c r="W2086" s="62"/>
      <c r="X2086" s="62"/>
      <c r="Y2086" s="62"/>
      <c r="Z2086" s="62"/>
      <c r="AA2086" s="62"/>
      <c r="AB2086" s="62"/>
      <c r="AC2086" s="62"/>
    </row>
    <row r="2087" hidden="1">
      <c r="A2087" s="60">
        <f>IFERROR(__xludf.DUMMYFUNCTION("""COMPUTED_VALUE"""),17108.0)</f>
        <v>17108</v>
      </c>
      <c r="B2087" s="60" t="str">
        <f>IFERROR(__xludf.DUMMYFUNCTION("""COMPUTED_VALUE"""),"Arroyo, Elijah")</f>
        <v>Arroyo, Elijah</v>
      </c>
      <c r="C2087" s="60" t="str">
        <f>IFERROR(__xludf.DUMMYFUNCTION("""COMPUTED_VALUE"""),"TE")</f>
        <v>TE</v>
      </c>
      <c r="D2087" s="60" t="str">
        <f>IFERROR(__xludf.DUMMYFUNCTION("""COMPUTED_VALUE"""),"SEA")</f>
        <v>SEA</v>
      </c>
      <c r="E2087" s="62" t="str">
        <f t="shared" si="4"/>
        <v>Elijah Arroyo</v>
      </c>
      <c r="F2087" s="62">
        <f t="shared" ref="F2087:G2087" si="4173">IF(isblank(F$1),,IF(isblank($A2087),,IFERROR(vlookup($A2087,indirect("'TVC-"&amp;text(month(F$1),"00")&amp;"'!$A:$D"),4,false),1)))</f>
        <v>2886</v>
      </c>
      <c r="G2087" s="62">
        <f t="shared" si="4173"/>
        <v>2988</v>
      </c>
      <c r="H2087" s="62">
        <f t="shared" ref="H2087:Q2087" si="4174">IF(isblank(H$1),,IFERROR(vlookup($A2087,indirect("'TVC-"&amp;text(month(H$1),"00")&amp;"'!$A:$D"),4,false),1))</f>
        <v>3042</v>
      </c>
      <c r="I2087" s="62">
        <f t="shared" si="4174"/>
        <v>2954</v>
      </c>
      <c r="J2087" s="62">
        <f t="shared" si="4174"/>
        <v>2984</v>
      </c>
      <c r="K2087" s="62">
        <f t="shared" si="4174"/>
        <v>2925</v>
      </c>
      <c r="L2087" s="62">
        <f t="shared" si="4174"/>
        <v>2822</v>
      </c>
      <c r="M2087" s="62">
        <f t="shared" si="4174"/>
        <v>2916</v>
      </c>
      <c r="N2087" s="62">
        <f t="shared" si="4174"/>
        <v>2716</v>
      </c>
      <c r="O2087" s="62">
        <f t="shared" si="4174"/>
        <v>1</v>
      </c>
      <c r="P2087" s="62" t="str">
        <f t="shared" si="4174"/>
        <v/>
      </c>
      <c r="Q2087" s="62" t="str">
        <f t="shared" si="4174"/>
        <v/>
      </c>
      <c r="R2087" s="62">
        <f t="shared" si="7"/>
        <v>-2715</v>
      </c>
      <c r="S2087" s="62"/>
      <c r="T2087" s="62"/>
      <c r="U2087" s="62"/>
      <c r="V2087" s="62"/>
      <c r="W2087" s="62"/>
      <c r="X2087" s="62"/>
      <c r="Y2087" s="62"/>
      <c r="Z2087" s="62"/>
      <c r="AA2087" s="62"/>
      <c r="AB2087" s="62"/>
      <c r="AC2087" s="62"/>
    </row>
    <row r="2088" hidden="1">
      <c r="A2088" s="60">
        <f>IFERROR(__xludf.DUMMYFUNCTION("""COMPUTED_VALUE"""),17109.0)</f>
        <v>17109</v>
      </c>
      <c r="B2088" s="60" t="str">
        <f>IFERROR(__xludf.DUMMYFUNCTION("""COMPUTED_VALUE"""),"Evans, Mitchell")</f>
        <v>Evans, Mitchell</v>
      </c>
      <c r="C2088" s="60" t="str">
        <f>IFERROR(__xludf.DUMMYFUNCTION("""COMPUTED_VALUE"""),"TE")</f>
        <v>TE</v>
      </c>
      <c r="D2088" s="60" t="str">
        <f>IFERROR(__xludf.DUMMYFUNCTION("""COMPUTED_VALUE"""),"CAR")</f>
        <v>CAR</v>
      </c>
      <c r="E2088" s="62" t="str">
        <f t="shared" si="4"/>
        <v>Mitchell Evans</v>
      </c>
      <c r="F2088" s="62">
        <f t="shared" ref="F2088:G2088" si="4175">IF(isblank(F$1),,IF(isblank($A2088),,IFERROR(vlookup($A2088,indirect("'TVC-"&amp;text(month(F$1),"00")&amp;"'!$A:$D"),4,false),1)))</f>
        <v>1394</v>
      </c>
      <c r="G2088" s="62">
        <f t="shared" si="4175"/>
        <v>1490</v>
      </c>
      <c r="H2088" s="62">
        <f t="shared" ref="H2088:Q2088" si="4176">IF(isblank(H$1),,IFERROR(vlookup($A2088,indirect("'TVC-"&amp;text(month(H$1),"00")&amp;"'!$A:$D"),4,false),1))</f>
        <v>1462</v>
      </c>
      <c r="I2088" s="62">
        <f t="shared" si="4176"/>
        <v>1485</v>
      </c>
      <c r="J2088" s="62">
        <f t="shared" si="4176"/>
        <v>1541</v>
      </c>
      <c r="K2088" s="62">
        <f t="shared" si="4176"/>
        <v>1542</v>
      </c>
      <c r="L2088" s="62">
        <f t="shared" si="4176"/>
        <v>1550</v>
      </c>
      <c r="M2088" s="62">
        <f t="shared" si="4176"/>
        <v>1539</v>
      </c>
      <c r="N2088" s="62">
        <f t="shared" si="4176"/>
        <v>1517</v>
      </c>
      <c r="O2088" s="62">
        <f t="shared" si="4176"/>
        <v>1</v>
      </c>
      <c r="P2088" s="62" t="str">
        <f t="shared" si="4176"/>
        <v/>
      </c>
      <c r="Q2088" s="62" t="str">
        <f t="shared" si="4176"/>
        <v/>
      </c>
      <c r="R2088" s="62">
        <f t="shared" si="7"/>
        <v>-1516</v>
      </c>
      <c r="S2088" s="62"/>
      <c r="T2088" s="62"/>
      <c r="U2088" s="62"/>
      <c r="V2088" s="62"/>
      <c r="W2088" s="62"/>
      <c r="X2088" s="62"/>
      <c r="Y2088" s="62"/>
      <c r="Z2088" s="62"/>
      <c r="AA2088" s="62"/>
      <c r="AB2088" s="62"/>
      <c r="AC2088" s="62"/>
    </row>
    <row r="2089" hidden="1">
      <c r="A2089" s="60">
        <f>IFERROR(__xludf.DUMMYFUNCTION("""COMPUTED_VALUE"""),17111.0)</f>
        <v>17111</v>
      </c>
      <c r="B2089" s="60" t="str">
        <f>IFERROR(__xludf.DUMMYFUNCTION("""COMPUTED_VALUE"""),"Lachey, Luke")</f>
        <v>Lachey, Luke</v>
      </c>
      <c r="C2089" s="60" t="str">
        <f>IFERROR(__xludf.DUMMYFUNCTION("""COMPUTED_VALUE"""),"TE")</f>
        <v>TE</v>
      </c>
      <c r="D2089" s="60" t="str">
        <f>IFERROR(__xludf.DUMMYFUNCTION("""COMPUTED_VALUE"""),"FA")</f>
        <v>FA</v>
      </c>
      <c r="E2089" s="62" t="str">
        <f t="shared" si="4"/>
        <v>Luke Lachey</v>
      </c>
      <c r="F2089" s="62">
        <f t="shared" ref="F2089:G2089" si="4177">IF(isblank(F$1),,IF(isblank($A2089),,IFERROR(vlookup($A2089,indirect("'TVC-"&amp;text(month(F$1),"00")&amp;"'!$A:$D"),4,false),1)))</f>
        <v>1</v>
      </c>
      <c r="G2089" s="62">
        <f t="shared" si="4177"/>
        <v>1</v>
      </c>
      <c r="H2089" s="62">
        <f t="shared" ref="H2089:Q2089" si="4178">IF(isblank(H$1),,IFERROR(vlookup($A2089,indirect("'TVC-"&amp;text(month(H$1),"00")&amp;"'!$A:$D"),4,false),1))</f>
        <v>1</v>
      </c>
      <c r="I2089" s="62">
        <f t="shared" si="4178"/>
        <v>1</v>
      </c>
      <c r="J2089" s="62">
        <f t="shared" si="4178"/>
        <v>1</v>
      </c>
      <c r="K2089" s="62">
        <f t="shared" si="4178"/>
        <v>1</v>
      </c>
      <c r="L2089" s="62">
        <f t="shared" si="4178"/>
        <v>1</v>
      </c>
      <c r="M2089" s="62">
        <f t="shared" si="4178"/>
        <v>1</v>
      </c>
      <c r="N2089" s="62">
        <f t="shared" si="4178"/>
        <v>1</v>
      </c>
      <c r="O2089" s="62">
        <f t="shared" si="4178"/>
        <v>1</v>
      </c>
      <c r="P2089" s="62" t="str">
        <f t="shared" si="4178"/>
        <v/>
      </c>
      <c r="Q2089" s="62" t="str">
        <f t="shared" si="4178"/>
        <v/>
      </c>
      <c r="R2089" s="62">
        <f t="shared" si="7"/>
        <v>0</v>
      </c>
      <c r="S2089" s="62"/>
      <c r="T2089" s="62"/>
      <c r="U2089" s="62"/>
      <c r="V2089" s="62"/>
      <c r="W2089" s="62"/>
      <c r="X2089" s="62"/>
      <c r="Y2089" s="62"/>
      <c r="Z2089" s="62"/>
      <c r="AA2089" s="62"/>
      <c r="AB2089" s="62"/>
      <c r="AC2089" s="62"/>
    </row>
    <row r="2090" hidden="1">
      <c r="A2090" s="60">
        <f>IFERROR(__xludf.DUMMYFUNCTION("""COMPUTED_VALUE"""),17112.0)</f>
        <v>17112</v>
      </c>
      <c r="B2090" s="60" t="str">
        <f>IFERROR(__xludf.DUMMYFUNCTION("""COMPUTED_VALUE"""),"Carter, Abdul")</f>
        <v>Carter, Abdul</v>
      </c>
      <c r="C2090" s="60" t="str">
        <f>IFERROR(__xludf.DUMMYFUNCTION("""COMPUTED_VALUE"""),"DE")</f>
        <v>DE</v>
      </c>
      <c r="D2090" s="60" t="str">
        <f>IFERROR(__xludf.DUMMYFUNCTION("""COMPUTED_VALUE"""),"NYG")</f>
        <v>NYG</v>
      </c>
      <c r="E2090" s="62" t="str">
        <f t="shared" si="4"/>
        <v>Abdul Carter</v>
      </c>
      <c r="F2090" s="62">
        <f t="shared" ref="F2090:G2090" si="4179">IF(isblank(F$1),,IF(isblank($A2090),,IFERROR(vlookup($A2090,indirect("'TVC-"&amp;text(month(F$1),"00")&amp;"'!$A:$D"),4,false),1)))</f>
        <v>1</v>
      </c>
      <c r="G2090" s="62">
        <f t="shared" si="4179"/>
        <v>1</v>
      </c>
      <c r="H2090" s="62">
        <f t="shared" ref="H2090:Q2090" si="4180">IF(isblank(H$1),,IFERROR(vlookup($A2090,indirect("'TVC-"&amp;text(month(H$1),"00")&amp;"'!$A:$D"),4,false),1))</f>
        <v>1</v>
      </c>
      <c r="I2090" s="62">
        <f t="shared" si="4180"/>
        <v>1</v>
      </c>
      <c r="J2090" s="62">
        <f t="shared" si="4180"/>
        <v>1</v>
      </c>
      <c r="K2090" s="62">
        <f t="shared" si="4180"/>
        <v>1</v>
      </c>
      <c r="L2090" s="62">
        <f t="shared" si="4180"/>
        <v>1</v>
      </c>
      <c r="M2090" s="62">
        <f t="shared" si="4180"/>
        <v>1</v>
      </c>
      <c r="N2090" s="62">
        <f t="shared" si="4180"/>
        <v>1</v>
      </c>
      <c r="O2090" s="62">
        <f t="shared" si="4180"/>
        <v>1</v>
      </c>
      <c r="P2090" s="62" t="str">
        <f t="shared" si="4180"/>
        <v/>
      </c>
      <c r="Q2090" s="62" t="str">
        <f t="shared" si="4180"/>
        <v/>
      </c>
      <c r="R2090" s="62">
        <f t="shared" si="7"/>
        <v>0</v>
      </c>
      <c r="S2090" s="62"/>
      <c r="T2090" s="62"/>
      <c r="U2090" s="62"/>
      <c r="V2090" s="62"/>
      <c r="W2090" s="62"/>
      <c r="X2090" s="62"/>
      <c r="Y2090" s="62"/>
      <c r="Z2090" s="62"/>
      <c r="AA2090" s="62"/>
      <c r="AB2090" s="62"/>
      <c r="AC2090" s="62"/>
    </row>
    <row r="2091" hidden="1">
      <c r="A2091" s="60">
        <f>IFERROR(__xludf.DUMMYFUNCTION("""COMPUTED_VALUE"""),17113.0)</f>
        <v>17113</v>
      </c>
      <c r="B2091" s="60" t="str">
        <f>IFERROR(__xludf.DUMMYFUNCTION("""COMPUTED_VALUE"""),"Williams, Mykel")</f>
        <v>Williams, Mykel</v>
      </c>
      <c r="C2091" s="60" t="str">
        <f>IFERROR(__xludf.DUMMYFUNCTION("""COMPUTED_VALUE"""),"DE")</f>
        <v>DE</v>
      </c>
      <c r="D2091" s="60" t="str">
        <f>IFERROR(__xludf.DUMMYFUNCTION("""COMPUTED_VALUE"""),"SFO")</f>
        <v>SFO</v>
      </c>
      <c r="E2091" s="62" t="str">
        <f t="shared" si="4"/>
        <v>Mykel Williams</v>
      </c>
      <c r="F2091" s="62">
        <f t="shared" ref="F2091:G2091" si="4181">IF(isblank(F$1),,IF(isblank($A2091),,IFERROR(vlookup($A2091,indirect("'TVC-"&amp;text(month(F$1),"00")&amp;"'!$A:$D"),4,false),1)))</f>
        <v>1</v>
      </c>
      <c r="G2091" s="62">
        <f t="shared" si="4181"/>
        <v>1</v>
      </c>
      <c r="H2091" s="62">
        <f t="shared" ref="H2091:Q2091" si="4182">IF(isblank(H$1),,IFERROR(vlookup($A2091,indirect("'TVC-"&amp;text(month(H$1),"00")&amp;"'!$A:$D"),4,false),1))</f>
        <v>1</v>
      </c>
      <c r="I2091" s="62">
        <f t="shared" si="4182"/>
        <v>1</v>
      </c>
      <c r="J2091" s="62">
        <f t="shared" si="4182"/>
        <v>1</v>
      </c>
      <c r="K2091" s="62">
        <f t="shared" si="4182"/>
        <v>1</v>
      </c>
      <c r="L2091" s="62">
        <f t="shared" si="4182"/>
        <v>1</v>
      </c>
      <c r="M2091" s="62">
        <f t="shared" si="4182"/>
        <v>1</v>
      </c>
      <c r="N2091" s="62">
        <f t="shared" si="4182"/>
        <v>1</v>
      </c>
      <c r="O2091" s="62">
        <f t="shared" si="4182"/>
        <v>1</v>
      </c>
      <c r="P2091" s="62" t="str">
        <f t="shared" si="4182"/>
        <v/>
      </c>
      <c r="Q2091" s="62" t="str">
        <f t="shared" si="4182"/>
        <v/>
      </c>
      <c r="R2091" s="62">
        <f t="shared" si="7"/>
        <v>0</v>
      </c>
      <c r="S2091" s="62"/>
      <c r="T2091" s="62"/>
      <c r="U2091" s="62"/>
      <c r="V2091" s="62"/>
      <c r="W2091" s="62"/>
      <c r="X2091" s="62"/>
      <c r="Y2091" s="62"/>
      <c r="Z2091" s="62"/>
      <c r="AA2091" s="62"/>
      <c r="AB2091" s="62"/>
      <c r="AC2091" s="62"/>
    </row>
    <row r="2092" hidden="1">
      <c r="A2092" s="60">
        <f>IFERROR(__xludf.DUMMYFUNCTION("""COMPUTED_VALUE"""),17114.0)</f>
        <v>17114</v>
      </c>
      <c r="B2092" s="60" t="str">
        <f>IFERROR(__xludf.DUMMYFUNCTION("""COMPUTED_VALUE"""),"Stewart, Shemar")</f>
        <v>Stewart, Shemar</v>
      </c>
      <c r="C2092" s="60" t="str">
        <f>IFERROR(__xludf.DUMMYFUNCTION("""COMPUTED_VALUE"""),"DE")</f>
        <v>DE</v>
      </c>
      <c r="D2092" s="60" t="str">
        <f>IFERROR(__xludf.DUMMYFUNCTION("""COMPUTED_VALUE"""),"CIN")</f>
        <v>CIN</v>
      </c>
      <c r="E2092" s="62" t="str">
        <f t="shared" si="4"/>
        <v>Shemar Stewart</v>
      </c>
      <c r="F2092" s="62">
        <f t="shared" ref="F2092:G2092" si="4183">IF(isblank(F$1),,IF(isblank($A2092),,IFERROR(vlookup($A2092,indirect("'TVC-"&amp;text(month(F$1),"00")&amp;"'!$A:$D"),4,false),1)))</f>
        <v>1</v>
      </c>
      <c r="G2092" s="62">
        <f t="shared" si="4183"/>
        <v>1</v>
      </c>
      <c r="H2092" s="62">
        <f t="shared" ref="H2092:Q2092" si="4184">IF(isblank(H$1),,IFERROR(vlookup($A2092,indirect("'TVC-"&amp;text(month(H$1),"00")&amp;"'!$A:$D"),4,false),1))</f>
        <v>1</v>
      </c>
      <c r="I2092" s="62">
        <f t="shared" si="4184"/>
        <v>1</v>
      </c>
      <c r="J2092" s="62">
        <f t="shared" si="4184"/>
        <v>1</v>
      </c>
      <c r="K2092" s="62">
        <f t="shared" si="4184"/>
        <v>1</v>
      </c>
      <c r="L2092" s="62">
        <f t="shared" si="4184"/>
        <v>1</v>
      </c>
      <c r="M2092" s="62">
        <f t="shared" si="4184"/>
        <v>1</v>
      </c>
      <c r="N2092" s="62">
        <f t="shared" si="4184"/>
        <v>1</v>
      </c>
      <c r="O2092" s="62">
        <f t="shared" si="4184"/>
        <v>1</v>
      </c>
      <c r="P2092" s="62" t="str">
        <f t="shared" si="4184"/>
        <v/>
      </c>
      <c r="Q2092" s="62" t="str">
        <f t="shared" si="4184"/>
        <v/>
      </c>
      <c r="R2092" s="62">
        <f t="shared" si="7"/>
        <v>0</v>
      </c>
      <c r="S2092" s="62"/>
      <c r="T2092" s="62"/>
      <c r="U2092" s="62"/>
      <c r="V2092" s="62"/>
      <c r="W2092" s="62"/>
      <c r="X2092" s="62"/>
      <c r="Y2092" s="62"/>
      <c r="Z2092" s="62"/>
      <c r="AA2092" s="62"/>
      <c r="AB2092" s="62"/>
      <c r="AC2092" s="62"/>
    </row>
    <row r="2093" hidden="1">
      <c r="A2093" s="60">
        <f>IFERROR(__xludf.DUMMYFUNCTION("""COMPUTED_VALUE"""),17115.0)</f>
        <v>17115</v>
      </c>
      <c r="B2093" s="60" t="str">
        <f>IFERROR(__xludf.DUMMYFUNCTION("""COMPUTED_VALUE"""),"Pearce, James")</f>
        <v>Pearce, James</v>
      </c>
      <c r="C2093" s="60" t="str">
        <f>IFERROR(__xludf.DUMMYFUNCTION("""COMPUTED_VALUE"""),"DE")</f>
        <v>DE</v>
      </c>
      <c r="D2093" s="60" t="str">
        <f>IFERROR(__xludf.DUMMYFUNCTION("""COMPUTED_VALUE"""),"ATL")</f>
        <v>ATL</v>
      </c>
      <c r="E2093" s="62" t="str">
        <f t="shared" si="4"/>
        <v>James Pearce</v>
      </c>
      <c r="F2093" s="62">
        <f t="shared" ref="F2093:G2093" si="4185">IF(isblank(F$1),,IF(isblank($A2093),,IFERROR(vlookup($A2093,indirect("'TVC-"&amp;text(month(F$1),"00")&amp;"'!$A:$D"),4,false),1)))</f>
        <v>1</v>
      </c>
      <c r="G2093" s="62">
        <f t="shared" si="4185"/>
        <v>1</v>
      </c>
      <c r="H2093" s="62">
        <f t="shared" ref="H2093:Q2093" si="4186">IF(isblank(H$1),,IFERROR(vlookup($A2093,indirect("'TVC-"&amp;text(month(H$1),"00")&amp;"'!$A:$D"),4,false),1))</f>
        <v>1</v>
      </c>
      <c r="I2093" s="62">
        <f t="shared" si="4186"/>
        <v>1</v>
      </c>
      <c r="J2093" s="62">
        <f t="shared" si="4186"/>
        <v>1</v>
      </c>
      <c r="K2093" s="62">
        <f t="shared" si="4186"/>
        <v>1</v>
      </c>
      <c r="L2093" s="62">
        <f t="shared" si="4186"/>
        <v>1</v>
      </c>
      <c r="M2093" s="62">
        <f t="shared" si="4186"/>
        <v>1</v>
      </c>
      <c r="N2093" s="62">
        <f t="shared" si="4186"/>
        <v>1</v>
      </c>
      <c r="O2093" s="62">
        <f t="shared" si="4186"/>
        <v>1</v>
      </c>
      <c r="P2093" s="62" t="str">
        <f t="shared" si="4186"/>
        <v/>
      </c>
      <c r="Q2093" s="62" t="str">
        <f t="shared" si="4186"/>
        <v/>
      </c>
      <c r="R2093" s="62">
        <f t="shared" si="7"/>
        <v>0</v>
      </c>
      <c r="S2093" s="62"/>
      <c r="T2093" s="62"/>
      <c r="U2093" s="62"/>
      <c r="V2093" s="62"/>
      <c r="W2093" s="62"/>
      <c r="X2093" s="62"/>
      <c r="Y2093" s="62"/>
      <c r="Z2093" s="62"/>
      <c r="AA2093" s="62"/>
      <c r="AB2093" s="62"/>
      <c r="AC2093" s="62"/>
    </row>
    <row r="2094" hidden="1">
      <c r="A2094" s="60">
        <f>IFERROR(__xludf.DUMMYFUNCTION("""COMPUTED_VALUE"""),17116.0)</f>
        <v>17116</v>
      </c>
      <c r="B2094" s="60" t="str">
        <f>IFERROR(__xludf.DUMMYFUNCTION("""COMPUTED_VALUE"""),"Sawyer, Jack")</f>
        <v>Sawyer, Jack</v>
      </c>
      <c r="C2094" s="60" t="str">
        <f>IFERROR(__xludf.DUMMYFUNCTION("""COMPUTED_VALUE"""),"DE")</f>
        <v>DE</v>
      </c>
      <c r="D2094" s="60" t="str">
        <f>IFERROR(__xludf.DUMMYFUNCTION("""COMPUTED_VALUE"""),"PIT")</f>
        <v>PIT</v>
      </c>
      <c r="E2094" s="62" t="str">
        <f t="shared" si="4"/>
        <v>Jack Sawyer</v>
      </c>
      <c r="F2094" s="62">
        <f t="shared" ref="F2094:G2094" si="4187">IF(isblank(F$1),,IF(isblank($A2094),,IFERROR(vlookup($A2094,indirect("'TVC-"&amp;text(month(F$1),"00")&amp;"'!$A:$D"),4,false),1)))</f>
        <v>1</v>
      </c>
      <c r="G2094" s="62">
        <f t="shared" si="4187"/>
        <v>1</v>
      </c>
      <c r="H2094" s="62">
        <f t="shared" ref="H2094:Q2094" si="4188">IF(isblank(H$1),,IFERROR(vlookup($A2094,indirect("'TVC-"&amp;text(month(H$1),"00")&amp;"'!$A:$D"),4,false),1))</f>
        <v>1</v>
      </c>
      <c r="I2094" s="62">
        <f t="shared" si="4188"/>
        <v>1</v>
      </c>
      <c r="J2094" s="62">
        <f t="shared" si="4188"/>
        <v>1</v>
      </c>
      <c r="K2094" s="62">
        <f t="shared" si="4188"/>
        <v>1</v>
      </c>
      <c r="L2094" s="62">
        <f t="shared" si="4188"/>
        <v>1</v>
      </c>
      <c r="M2094" s="62">
        <f t="shared" si="4188"/>
        <v>1</v>
      </c>
      <c r="N2094" s="62">
        <f t="shared" si="4188"/>
        <v>1</v>
      </c>
      <c r="O2094" s="62">
        <f t="shared" si="4188"/>
        <v>1</v>
      </c>
      <c r="P2094" s="62" t="str">
        <f t="shared" si="4188"/>
        <v/>
      </c>
      <c r="Q2094" s="62" t="str">
        <f t="shared" si="4188"/>
        <v/>
      </c>
      <c r="R2094" s="62">
        <f t="shared" si="7"/>
        <v>0</v>
      </c>
      <c r="S2094" s="62"/>
      <c r="T2094" s="62"/>
      <c r="U2094" s="62"/>
      <c r="V2094" s="62"/>
      <c r="W2094" s="62"/>
      <c r="X2094" s="62"/>
      <c r="Y2094" s="62"/>
      <c r="Z2094" s="62"/>
      <c r="AA2094" s="62"/>
      <c r="AB2094" s="62"/>
      <c r="AC2094" s="62"/>
    </row>
    <row r="2095" hidden="1">
      <c r="A2095" s="60">
        <f>IFERROR(__xludf.DUMMYFUNCTION("""COMPUTED_VALUE"""),17117.0)</f>
        <v>17117</v>
      </c>
      <c r="B2095" s="60" t="str">
        <f>IFERROR(__xludf.DUMMYFUNCTION("""COMPUTED_VALUE"""),"Jackson, Landon")</f>
        <v>Jackson, Landon</v>
      </c>
      <c r="C2095" s="60" t="str">
        <f>IFERROR(__xludf.DUMMYFUNCTION("""COMPUTED_VALUE"""),"DE")</f>
        <v>DE</v>
      </c>
      <c r="D2095" s="60" t="str">
        <f>IFERROR(__xludf.DUMMYFUNCTION("""COMPUTED_VALUE"""),"BUF")</f>
        <v>BUF</v>
      </c>
      <c r="E2095" s="62" t="str">
        <f t="shared" si="4"/>
        <v>Landon Jackson</v>
      </c>
      <c r="F2095" s="62">
        <f t="shared" ref="F2095:G2095" si="4189">IF(isblank(F$1),,IF(isblank($A2095),,IFERROR(vlookup($A2095,indirect("'TVC-"&amp;text(month(F$1),"00")&amp;"'!$A:$D"),4,false),1)))</f>
        <v>1</v>
      </c>
      <c r="G2095" s="62">
        <f t="shared" si="4189"/>
        <v>1</v>
      </c>
      <c r="H2095" s="62">
        <f t="shared" ref="H2095:Q2095" si="4190">IF(isblank(H$1),,IFERROR(vlookup($A2095,indirect("'TVC-"&amp;text(month(H$1),"00")&amp;"'!$A:$D"),4,false),1))</f>
        <v>1</v>
      </c>
      <c r="I2095" s="62">
        <f t="shared" si="4190"/>
        <v>1</v>
      </c>
      <c r="J2095" s="62">
        <f t="shared" si="4190"/>
        <v>1</v>
      </c>
      <c r="K2095" s="62">
        <f t="shared" si="4190"/>
        <v>1</v>
      </c>
      <c r="L2095" s="62">
        <f t="shared" si="4190"/>
        <v>1</v>
      </c>
      <c r="M2095" s="62">
        <f t="shared" si="4190"/>
        <v>1</v>
      </c>
      <c r="N2095" s="62">
        <f t="shared" si="4190"/>
        <v>1</v>
      </c>
      <c r="O2095" s="62">
        <f t="shared" si="4190"/>
        <v>1</v>
      </c>
      <c r="P2095" s="62" t="str">
        <f t="shared" si="4190"/>
        <v/>
      </c>
      <c r="Q2095" s="62" t="str">
        <f t="shared" si="4190"/>
        <v/>
      </c>
      <c r="R2095" s="62">
        <f t="shared" si="7"/>
        <v>0</v>
      </c>
      <c r="S2095" s="62"/>
      <c r="T2095" s="62"/>
      <c r="U2095" s="62"/>
      <c r="V2095" s="62"/>
      <c r="W2095" s="62"/>
      <c r="X2095" s="62"/>
      <c r="Y2095" s="62"/>
      <c r="Z2095" s="62"/>
      <c r="AA2095" s="62"/>
      <c r="AB2095" s="62"/>
      <c r="AC2095" s="62"/>
    </row>
    <row r="2096" hidden="1">
      <c r="A2096" s="60">
        <f>IFERROR(__xludf.DUMMYFUNCTION("""COMPUTED_VALUE"""),17118.0)</f>
        <v>17118</v>
      </c>
      <c r="B2096" s="60" t="str">
        <f>IFERROR(__xludf.DUMMYFUNCTION("""COMPUTED_VALUE"""),"Stewart, Josaiah")</f>
        <v>Stewart, Josaiah</v>
      </c>
      <c r="C2096" s="60" t="str">
        <f>IFERROR(__xludf.DUMMYFUNCTION("""COMPUTED_VALUE"""),"DE")</f>
        <v>DE</v>
      </c>
      <c r="D2096" s="60" t="str">
        <f>IFERROR(__xludf.DUMMYFUNCTION("""COMPUTED_VALUE"""),"LAR")</f>
        <v>LAR</v>
      </c>
      <c r="E2096" s="62" t="str">
        <f t="shared" si="4"/>
        <v>Josaiah Stewart</v>
      </c>
      <c r="F2096" s="62">
        <f t="shared" ref="F2096:G2096" si="4191">IF(isblank(F$1),,IF(isblank($A2096),,IFERROR(vlookup($A2096,indirect("'TVC-"&amp;text(month(F$1),"00")&amp;"'!$A:$D"),4,false),1)))</f>
        <v>1</v>
      </c>
      <c r="G2096" s="62">
        <f t="shared" si="4191"/>
        <v>1</v>
      </c>
      <c r="H2096" s="62">
        <f t="shared" ref="H2096:Q2096" si="4192">IF(isblank(H$1),,IFERROR(vlookup($A2096,indirect("'TVC-"&amp;text(month(H$1),"00")&amp;"'!$A:$D"),4,false),1))</f>
        <v>1</v>
      </c>
      <c r="I2096" s="62">
        <f t="shared" si="4192"/>
        <v>1</v>
      </c>
      <c r="J2096" s="62">
        <f t="shared" si="4192"/>
        <v>1</v>
      </c>
      <c r="K2096" s="62">
        <f t="shared" si="4192"/>
        <v>1</v>
      </c>
      <c r="L2096" s="62">
        <f t="shared" si="4192"/>
        <v>1</v>
      </c>
      <c r="M2096" s="62">
        <f t="shared" si="4192"/>
        <v>1</v>
      </c>
      <c r="N2096" s="62">
        <f t="shared" si="4192"/>
        <v>1</v>
      </c>
      <c r="O2096" s="62">
        <f t="shared" si="4192"/>
        <v>1</v>
      </c>
      <c r="P2096" s="62" t="str">
        <f t="shared" si="4192"/>
        <v/>
      </c>
      <c r="Q2096" s="62" t="str">
        <f t="shared" si="4192"/>
        <v/>
      </c>
      <c r="R2096" s="62">
        <f t="shared" si="7"/>
        <v>0</v>
      </c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</row>
    <row r="2097" hidden="1">
      <c r="A2097" s="60">
        <f>IFERROR(__xludf.DUMMYFUNCTION("""COMPUTED_VALUE"""),17119.0)</f>
        <v>17119</v>
      </c>
      <c r="B2097" s="60" t="str">
        <f>IFERROR(__xludf.DUMMYFUNCTION("""COMPUTED_VALUE"""),"Scourton, Nic")</f>
        <v>Scourton, Nic</v>
      </c>
      <c r="C2097" s="60" t="str">
        <f>IFERROR(__xludf.DUMMYFUNCTION("""COMPUTED_VALUE"""),"DE")</f>
        <v>DE</v>
      </c>
      <c r="D2097" s="60" t="str">
        <f>IFERROR(__xludf.DUMMYFUNCTION("""COMPUTED_VALUE"""),"CAR")</f>
        <v>CAR</v>
      </c>
      <c r="E2097" s="62" t="str">
        <f t="shared" si="4"/>
        <v>Nic Scourton</v>
      </c>
      <c r="F2097" s="62">
        <f t="shared" ref="F2097:G2097" si="4193">IF(isblank(F$1),,IF(isblank($A2097),,IFERROR(vlookup($A2097,indirect("'TVC-"&amp;text(month(F$1),"00")&amp;"'!$A:$D"),4,false),1)))</f>
        <v>1</v>
      </c>
      <c r="G2097" s="62">
        <f t="shared" si="4193"/>
        <v>1</v>
      </c>
      <c r="H2097" s="62">
        <f t="shared" ref="H2097:Q2097" si="4194">IF(isblank(H$1),,IFERROR(vlookup($A2097,indirect("'TVC-"&amp;text(month(H$1),"00")&amp;"'!$A:$D"),4,false),1))</f>
        <v>1</v>
      </c>
      <c r="I2097" s="62">
        <f t="shared" si="4194"/>
        <v>1</v>
      </c>
      <c r="J2097" s="62">
        <f t="shared" si="4194"/>
        <v>1</v>
      </c>
      <c r="K2097" s="62">
        <f t="shared" si="4194"/>
        <v>1</v>
      </c>
      <c r="L2097" s="62">
        <f t="shared" si="4194"/>
        <v>1</v>
      </c>
      <c r="M2097" s="62">
        <f t="shared" si="4194"/>
        <v>1</v>
      </c>
      <c r="N2097" s="62">
        <f t="shared" si="4194"/>
        <v>1</v>
      </c>
      <c r="O2097" s="62">
        <f t="shared" si="4194"/>
        <v>1</v>
      </c>
      <c r="P2097" s="62" t="str">
        <f t="shared" si="4194"/>
        <v/>
      </c>
      <c r="Q2097" s="62" t="str">
        <f t="shared" si="4194"/>
        <v/>
      </c>
      <c r="R2097" s="62">
        <f t="shared" si="7"/>
        <v>0</v>
      </c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</row>
    <row r="2098" hidden="1">
      <c r="A2098" s="60">
        <f>IFERROR(__xludf.DUMMYFUNCTION("""COMPUTED_VALUE"""),17120.0)</f>
        <v>17120</v>
      </c>
      <c r="B2098" s="60" t="str">
        <f>IFERROR(__xludf.DUMMYFUNCTION("""COMPUTED_VALUE"""),"Green, Mike")</f>
        <v>Green, Mike</v>
      </c>
      <c r="C2098" s="60" t="str">
        <f>IFERROR(__xludf.DUMMYFUNCTION("""COMPUTED_VALUE"""),"DE")</f>
        <v>DE</v>
      </c>
      <c r="D2098" s="60" t="str">
        <f>IFERROR(__xludf.DUMMYFUNCTION("""COMPUTED_VALUE"""),"BAL")</f>
        <v>BAL</v>
      </c>
      <c r="E2098" s="62" t="str">
        <f t="shared" si="4"/>
        <v>Mike Green</v>
      </c>
      <c r="F2098" s="62">
        <f t="shared" ref="F2098:G2098" si="4195">IF(isblank(F$1),,IF(isblank($A2098),,IFERROR(vlookup($A2098,indirect("'TVC-"&amp;text(month(F$1),"00")&amp;"'!$A:$D"),4,false),1)))</f>
        <v>1</v>
      </c>
      <c r="G2098" s="62">
        <f t="shared" si="4195"/>
        <v>1</v>
      </c>
      <c r="H2098" s="62">
        <f t="shared" ref="H2098:Q2098" si="4196">IF(isblank(H$1),,IFERROR(vlookup($A2098,indirect("'TVC-"&amp;text(month(H$1),"00")&amp;"'!$A:$D"),4,false),1))</f>
        <v>1</v>
      </c>
      <c r="I2098" s="62">
        <f t="shared" si="4196"/>
        <v>1</v>
      </c>
      <c r="J2098" s="62">
        <f t="shared" si="4196"/>
        <v>1</v>
      </c>
      <c r="K2098" s="62">
        <f t="shared" si="4196"/>
        <v>1</v>
      </c>
      <c r="L2098" s="62">
        <f t="shared" si="4196"/>
        <v>1</v>
      </c>
      <c r="M2098" s="62">
        <f t="shared" si="4196"/>
        <v>1</v>
      </c>
      <c r="N2098" s="62">
        <f t="shared" si="4196"/>
        <v>1</v>
      </c>
      <c r="O2098" s="62">
        <f t="shared" si="4196"/>
        <v>1</v>
      </c>
      <c r="P2098" s="62" t="str">
        <f t="shared" si="4196"/>
        <v/>
      </c>
      <c r="Q2098" s="62" t="str">
        <f t="shared" si="4196"/>
        <v/>
      </c>
      <c r="R2098" s="62">
        <f t="shared" si="7"/>
        <v>0</v>
      </c>
      <c r="S2098" s="62"/>
      <c r="T2098" s="62"/>
      <c r="U2098" s="62"/>
      <c r="V2098" s="62"/>
      <c r="W2098" s="62"/>
      <c r="X2098" s="62"/>
      <c r="Y2098" s="62"/>
      <c r="Z2098" s="62"/>
      <c r="AA2098" s="62"/>
      <c r="AB2098" s="62"/>
      <c r="AC2098" s="62"/>
    </row>
    <row r="2099" hidden="1">
      <c r="A2099" s="60">
        <f>IFERROR(__xludf.DUMMYFUNCTION("""COMPUTED_VALUE"""),17121.0)</f>
        <v>17121</v>
      </c>
      <c r="B2099" s="60" t="str">
        <f>IFERROR(__xludf.DUMMYFUNCTION("""COMPUTED_VALUE"""),"Graham, Mason")</f>
        <v>Graham, Mason</v>
      </c>
      <c r="C2099" s="60" t="str">
        <f>IFERROR(__xludf.DUMMYFUNCTION("""COMPUTED_VALUE"""),"DT")</f>
        <v>DT</v>
      </c>
      <c r="D2099" s="60" t="str">
        <f>IFERROR(__xludf.DUMMYFUNCTION("""COMPUTED_VALUE"""),"CLE")</f>
        <v>CLE</v>
      </c>
      <c r="E2099" s="62" t="str">
        <f t="shared" si="4"/>
        <v>Mason Graham</v>
      </c>
      <c r="F2099" s="62">
        <f t="shared" ref="F2099:G2099" si="4197">IF(isblank(F$1),,IF(isblank($A2099),,IFERROR(vlookup($A2099,indirect("'TVC-"&amp;text(month(F$1),"00")&amp;"'!$A:$D"),4,false),1)))</f>
        <v>1</v>
      </c>
      <c r="G2099" s="62">
        <f t="shared" si="4197"/>
        <v>1</v>
      </c>
      <c r="H2099" s="62">
        <f t="shared" ref="H2099:Q2099" si="4198">IF(isblank(H$1),,IFERROR(vlookup($A2099,indirect("'TVC-"&amp;text(month(H$1),"00")&amp;"'!$A:$D"),4,false),1))</f>
        <v>1</v>
      </c>
      <c r="I2099" s="62">
        <f t="shared" si="4198"/>
        <v>1</v>
      </c>
      <c r="J2099" s="62">
        <f t="shared" si="4198"/>
        <v>1</v>
      </c>
      <c r="K2099" s="62">
        <f t="shared" si="4198"/>
        <v>1</v>
      </c>
      <c r="L2099" s="62">
        <f t="shared" si="4198"/>
        <v>1</v>
      </c>
      <c r="M2099" s="62">
        <f t="shared" si="4198"/>
        <v>1</v>
      </c>
      <c r="N2099" s="62">
        <f t="shared" si="4198"/>
        <v>1</v>
      </c>
      <c r="O2099" s="62">
        <f t="shared" si="4198"/>
        <v>1</v>
      </c>
      <c r="P2099" s="62" t="str">
        <f t="shared" si="4198"/>
        <v/>
      </c>
      <c r="Q2099" s="62" t="str">
        <f t="shared" si="4198"/>
        <v/>
      </c>
      <c r="R2099" s="62">
        <f t="shared" si="7"/>
        <v>0</v>
      </c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</row>
    <row r="2100" hidden="1">
      <c r="A2100" s="60">
        <f>IFERROR(__xludf.DUMMYFUNCTION("""COMPUTED_VALUE"""),17122.0)</f>
        <v>17122</v>
      </c>
      <c r="B2100" s="60" t="str">
        <f>IFERROR(__xludf.DUMMYFUNCTION("""COMPUTED_VALUE"""),"Walker, Jalon")</f>
        <v>Walker, Jalon</v>
      </c>
      <c r="C2100" s="60" t="str">
        <f>IFERROR(__xludf.DUMMYFUNCTION("""COMPUTED_VALUE"""),"DE")</f>
        <v>DE</v>
      </c>
      <c r="D2100" s="60" t="str">
        <f>IFERROR(__xludf.DUMMYFUNCTION("""COMPUTED_VALUE"""),"ATL")</f>
        <v>ATL</v>
      </c>
      <c r="E2100" s="62" t="str">
        <f t="shared" si="4"/>
        <v>Jalon Walker</v>
      </c>
      <c r="F2100" s="62">
        <f t="shared" ref="F2100:G2100" si="4199">IF(isblank(F$1),,IF(isblank($A2100),,IFERROR(vlookup($A2100,indirect("'TVC-"&amp;text(month(F$1),"00")&amp;"'!$A:$D"),4,false),1)))</f>
        <v>1</v>
      </c>
      <c r="G2100" s="62">
        <f t="shared" si="4199"/>
        <v>1</v>
      </c>
      <c r="H2100" s="62">
        <f t="shared" ref="H2100:Q2100" si="4200">IF(isblank(H$1),,IFERROR(vlookup($A2100,indirect("'TVC-"&amp;text(month(H$1),"00")&amp;"'!$A:$D"),4,false),1))</f>
        <v>1</v>
      </c>
      <c r="I2100" s="62">
        <f t="shared" si="4200"/>
        <v>1</v>
      </c>
      <c r="J2100" s="62">
        <f t="shared" si="4200"/>
        <v>1</v>
      </c>
      <c r="K2100" s="62">
        <f t="shared" si="4200"/>
        <v>1</v>
      </c>
      <c r="L2100" s="62">
        <f t="shared" si="4200"/>
        <v>1</v>
      </c>
      <c r="M2100" s="62">
        <f t="shared" si="4200"/>
        <v>1</v>
      </c>
      <c r="N2100" s="62">
        <f t="shared" si="4200"/>
        <v>1</v>
      </c>
      <c r="O2100" s="62">
        <f t="shared" si="4200"/>
        <v>1</v>
      </c>
      <c r="P2100" s="62" t="str">
        <f t="shared" si="4200"/>
        <v/>
      </c>
      <c r="Q2100" s="62" t="str">
        <f t="shared" si="4200"/>
        <v/>
      </c>
      <c r="R2100" s="62">
        <f t="shared" si="7"/>
        <v>0</v>
      </c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</row>
    <row r="2101" hidden="1">
      <c r="A2101" s="60">
        <f>IFERROR(__xludf.DUMMYFUNCTION("""COMPUTED_VALUE"""),17123.0)</f>
        <v>17123</v>
      </c>
      <c r="B2101" s="60" t="str">
        <f>IFERROR(__xludf.DUMMYFUNCTION("""COMPUTED_VALUE"""),"Campbell, Jihaad")</f>
        <v>Campbell, Jihaad</v>
      </c>
      <c r="C2101" s="60" t="str">
        <f>IFERROR(__xludf.DUMMYFUNCTION("""COMPUTED_VALUE"""),"LB")</f>
        <v>LB</v>
      </c>
      <c r="D2101" s="60" t="str">
        <f>IFERROR(__xludf.DUMMYFUNCTION("""COMPUTED_VALUE"""),"PHI")</f>
        <v>PHI</v>
      </c>
      <c r="E2101" s="62" t="str">
        <f t="shared" si="4"/>
        <v>Jihaad Campbell</v>
      </c>
      <c r="F2101" s="62">
        <f t="shared" ref="F2101:G2101" si="4201">IF(isblank(F$1),,IF(isblank($A2101),,IFERROR(vlookup($A2101,indirect("'TVC-"&amp;text(month(F$1),"00")&amp;"'!$A:$D"),4,false),1)))</f>
        <v>1</v>
      </c>
      <c r="G2101" s="62">
        <f t="shared" si="4201"/>
        <v>1</v>
      </c>
      <c r="H2101" s="62">
        <f t="shared" ref="H2101:Q2101" si="4202">IF(isblank(H$1),,IFERROR(vlookup($A2101,indirect("'TVC-"&amp;text(month(H$1),"00")&amp;"'!$A:$D"),4,false),1))</f>
        <v>1</v>
      </c>
      <c r="I2101" s="62">
        <f t="shared" si="4202"/>
        <v>1</v>
      </c>
      <c r="J2101" s="62">
        <f t="shared" si="4202"/>
        <v>1</v>
      </c>
      <c r="K2101" s="62">
        <f t="shared" si="4202"/>
        <v>1</v>
      </c>
      <c r="L2101" s="62">
        <f t="shared" si="4202"/>
        <v>1</v>
      </c>
      <c r="M2101" s="62">
        <f t="shared" si="4202"/>
        <v>1</v>
      </c>
      <c r="N2101" s="62">
        <f t="shared" si="4202"/>
        <v>1</v>
      </c>
      <c r="O2101" s="62">
        <f t="shared" si="4202"/>
        <v>1</v>
      </c>
      <c r="P2101" s="62" t="str">
        <f t="shared" si="4202"/>
        <v/>
      </c>
      <c r="Q2101" s="62" t="str">
        <f t="shared" si="4202"/>
        <v/>
      </c>
      <c r="R2101" s="62">
        <f t="shared" si="7"/>
        <v>0</v>
      </c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</row>
    <row r="2102" hidden="1">
      <c r="A2102" s="60">
        <f>IFERROR(__xludf.DUMMYFUNCTION("""COMPUTED_VALUE"""),17124.0)</f>
        <v>17124</v>
      </c>
      <c r="B2102" s="60" t="str">
        <f>IFERROR(__xludf.DUMMYFUNCTION("""COMPUTED_VALUE"""),"Carter, Barrett")</f>
        <v>Carter, Barrett</v>
      </c>
      <c r="C2102" s="60" t="str">
        <f>IFERROR(__xludf.DUMMYFUNCTION("""COMPUTED_VALUE"""),"LB")</f>
        <v>LB</v>
      </c>
      <c r="D2102" s="60" t="str">
        <f>IFERROR(__xludf.DUMMYFUNCTION("""COMPUTED_VALUE"""),"CIN")</f>
        <v>CIN</v>
      </c>
      <c r="E2102" s="62" t="str">
        <f t="shared" si="4"/>
        <v>Barrett Carter</v>
      </c>
      <c r="F2102" s="62">
        <f t="shared" ref="F2102:G2102" si="4203">IF(isblank(F$1),,IF(isblank($A2102),,IFERROR(vlookup($A2102,indirect("'TVC-"&amp;text(month(F$1),"00")&amp;"'!$A:$D"),4,false),1)))</f>
        <v>1</v>
      </c>
      <c r="G2102" s="62">
        <f t="shared" si="4203"/>
        <v>1</v>
      </c>
      <c r="H2102" s="62">
        <f t="shared" ref="H2102:Q2102" si="4204">IF(isblank(H$1),,IFERROR(vlookup($A2102,indirect("'TVC-"&amp;text(month(H$1),"00")&amp;"'!$A:$D"),4,false),1))</f>
        <v>1</v>
      </c>
      <c r="I2102" s="62">
        <f t="shared" si="4204"/>
        <v>1</v>
      </c>
      <c r="J2102" s="62">
        <f t="shared" si="4204"/>
        <v>1</v>
      </c>
      <c r="K2102" s="62">
        <f t="shared" si="4204"/>
        <v>1</v>
      </c>
      <c r="L2102" s="62">
        <f t="shared" si="4204"/>
        <v>1</v>
      </c>
      <c r="M2102" s="62">
        <f t="shared" si="4204"/>
        <v>1</v>
      </c>
      <c r="N2102" s="62">
        <f t="shared" si="4204"/>
        <v>1</v>
      </c>
      <c r="O2102" s="62">
        <f t="shared" si="4204"/>
        <v>1</v>
      </c>
      <c r="P2102" s="62" t="str">
        <f t="shared" si="4204"/>
        <v/>
      </c>
      <c r="Q2102" s="62" t="str">
        <f t="shared" si="4204"/>
        <v/>
      </c>
      <c r="R2102" s="62">
        <f t="shared" si="7"/>
        <v>0</v>
      </c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</row>
    <row r="2103" hidden="1">
      <c r="A2103" s="60">
        <f>IFERROR(__xludf.DUMMYFUNCTION("""COMPUTED_VALUE"""),17125.0)</f>
        <v>17125</v>
      </c>
      <c r="B2103" s="60" t="str">
        <f>IFERROR(__xludf.DUMMYFUNCTION("""COMPUTED_VALUE"""),"Knight, Demetrius")</f>
        <v>Knight, Demetrius</v>
      </c>
      <c r="C2103" s="60" t="str">
        <f>IFERROR(__xludf.DUMMYFUNCTION("""COMPUTED_VALUE"""),"LB")</f>
        <v>LB</v>
      </c>
      <c r="D2103" s="60" t="str">
        <f>IFERROR(__xludf.DUMMYFUNCTION("""COMPUTED_VALUE"""),"CIN")</f>
        <v>CIN</v>
      </c>
      <c r="E2103" s="62" t="str">
        <f t="shared" si="4"/>
        <v>Demetrius Knight</v>
      </c>
      <c r="F2103" s="62">
        <f t="shared" ref="F2103:G2103" si="4205">IF(isblank(F$1),,IF(isblank($A2103),,IFERROR(vlookup($A2103,indirect("'TVC-"&amp;text(month(F$1),"00")&amp;"'!$A:$D"),4,false),1)))</f>
        <v>1</v>
      </c>
      <c r="G2103" s="62">
        <f t="shared" si="4205"/>
        <v>1</v>
      </c>
      <c r="H2103" s="62">
        <f t="shared" ref="H2103:Q2103" si="4206">IF(isblank(H$1),,IFERROR(vlookup($A2103,indirect("'TVC-"&amp;text(month(H$1),"00")&amp;"'!$A:$D"),4,false),1))</f>
        <v>1</v>
      </c>
      <c r="I2103" s="62">
        <f t="shared" si="4206"/>
        <v>1</v>
      </c>
      <c r="J2103" s="62">
        <f t="shared" si="4206"/>
        <v>1</v>
      </c>
      <c r="K2103" s="62">
        <f t="shared" si="4206"/>
        <v>1</v>
      </c>
      <c r="L2103" s="62">
        <f t="shared" si="4206"/>
        <v>1</v>
      </c>
      <c r="M2103" s="62">
        <f t="shared" si="4206"/>
        <v>1</v>
      </c>
      <c r="N2103" s="62">
        <f t="shared" si="4206"/>
        <v>1</v>
      </c>
      <c r="O2103" s="62">
        <f t="shared" si="4206"/>
        <v>1</v>
      </c>
      <c r="P2103" s="62" t="str">
        <f t="shared" si="4206"/>
        <v/>
      </c>
      <c r="Q2103" s="62" t="str">
        <f t="shared" si="4206"/>
        <v/>
      </c>
      <c r="R2103" s="62">
        <f t="shared" si="7"/>
        <v>0</v>
      </c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</row>
    <row r="2104" hidden="1">
      <c r="A2104" s="60">
        <f>IFERROR(__xludf.DUMMYFUNCTION("""COMPUTED_VALUE"""),17126.0)</f>
        <v>17126</v>
      </c>
      <c r="B2104" s="60" t="str">
        <f>IFERROR(__xludf.DUMMYFUNCTION("""COMPUTED_VALUE"""),"Stutsman, Danny")</f>
        <v>Stutsman, Danny</v>
      </c>
      <c r="C2104" s="60" t="str">
        <f>IFERROR(__xludf.DUMMYFUNCTION("""COMPUTED_VALUE"""),"LB")</f>
        <v>LB</v>
      </c>
      <c r="D2104" s="60" t="str">
        <f>IFERROR(__xludf.DUMMYFUNCTION("""COMPUTED_VALUE"""),"NOS")</f>
        <v>NOS</v>
      </c>
      <c r="E2104" s="62" t="str">
        <f t="shared" si="4"/>
        <v>Danny Stutsman</v>
      </c>
      <c r="F2104" s="62">
        <f t="shared" ref="F2104:G2104" si="4207">IF(isblank(F$1),,IF(isblank($A2104),,IFERROR(vlookup($A2104,indirect("'TVC-"&amp;text(month(F$1),"00")&amp;"'!$A:$D"),4,false),1)))</f>
        <v>1</v>
      </c>
      <c r="G2104" s="62">
        <f t="shared" si="4207"/>
        <v>1</v>
      </c>
      <c r="H2104" s="62">
        <f t="shared" ref="H2104:Q2104" si="4208">IF(isblank(H$1),,IFERROR(vlookup($A2104,indirect("'TVC-"&amp;text(month(H$1),"00")&amp;"'!$A:$D"),4,false),1))</f>
        <v>1</v>
      </c>
      <c r="I2104" s="62">
        <f t="shared" si="4208"/>
        <v>1</v>
      </c>
      <c r="J2104" s="62">
        <f t="shared" si="4208"/>
        <v>1</v>
      </c>
      <c r="K2104" s="62">
        <f t="shared" si="4208"/>
        <v>1</v>
      </c>
      <c r="L2104" s="62">
        <f t="shared" si="4208"/>
        <v>1</v>
      </c>
      <c r="M2104" s="62">
        <f t="shared" si="4208"/>
        <v>1</v>
      </c>
      <c r="N2104" s="62">
        <f t="shared" si="4208"/>
        <v>1</v>
      </c>
      <c r="O2104" s="62">
        <f t="shared" si="4208"/>
        <v>1</v>
      </c>
      <c r="P2104" s="62" t="str">
        <f t="shared" si="4208"/>
        <v/>
      </c>
      <c r="Q2104" s="62" t="str">
        <f t="shared" si="4208"/>
        <v/>
      </c>
      <c r="R2104" s="62">
        <f t="shared" si="7"/>
        <v>0</v>
      </c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</row>
    <row r="2105">
      <c r="A2105" s="60">
        <f>IFERROR(__xludf.DUMMYFUNCTION("""COMPUTED_VALUE"""),17127.0)</f>
        <v>17127</v>
      </c>
      <c r="B2105" s="60" t="str">
        <f>IFERROR(__xludf.DUMMYFUNCTION("""COMPUTED_VALUE"""),"Johnson, Will")</f>
        <v>Johnson, Will</v>
      </c>
      <c r="C2105" s="60" t="str">
        <f>IFERROR(__xludf.DUMMYFUNCTION("""COMPUTED_VALUE"""),"CB")</f>
        <v>CB</v>
      </c>
      <c r="D2105" s="60" t="str">
        <f>IFERROR(__xludf.DUMMYFUNCTION("""COMPUTED_VALUE"""),"ARI")</f>
        <v>ARI</v>
      </c>
      <c r="E2105" s="62" t="str">
        <f t="shared" si="4"/>
        <v>Will Johnson</v>
      </c>
      <c r="F2105" s="62">
        <f t="shared" ref="F2105:G2105" si="4209">IF(isblank(F$1),,IF(isblank($A2105),,IFERROR(vlookup($A2105,indirect("'TVC-"&amp;text(month(F$1),"00")&amp;"'!$A:$D"),4,false),1)))</f>
        <v>1</v>
      </c>
      <c r="G2105" s="62">
        <f t="shared" si="4209"/>
        <v>1</v>
      </c>
      <c r="H2105" s="62">
        <f t="shared" ref="H2105:Q2105" si="4210">IF(isblank(H$1),,IFERROR(vlookup($A2105,indirect("'TVC-"&amp;text(month(H$1),"00")&amp;"'!$A:$D"),4,false),1))</f>
        <v>1</v>
      </c>
      <c r="I2105" s="62">
        <f t="shared" si="4210"/>
        <v>1</v>
      </c>
      <c r="J2105" s="62">
        <f t="shared" si="4210"/>
        <v>1</v>
      </c>
      <c r="K2105" s="62">
        <f t="shared" si="4210"/>
        <v>1</v>
      </c>
      <c r="L2105" s="62">
        <f t="shared" si="4210"/>
        <v>1</v>
      </c>
      <c r="M2105" s="62">
        <f t="shared" si="4210"/>
        <v>1</v>
      </c>
      <c r="N2105" s="62">
        <f t="shared" si="4210"/>
        <v>1</v>
      </c>
      <c r="O2105" s="62">
        <f t="shared" si="4210"/>
        <v>1</v>
      </c>
      <c r="P2105" s="62" t="str">
        <f t="shared" si="4210"/>
        <v/>
      </c>
      <c r="Q2105" s="62" t="str">
        <f t="shared" si="4210"/>
        <v/>
      </c>
      <c r="R2105" s="62">
        <f t="shared" si="7"/>
        <v>0</v>
      </c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</row>
    <row r="2106" hidden="1">
      <c r="A2106" s="60">
        <f>IFERROR(__xludf.DUMMYFUNCTION("""COMPUTED_VALUE"""),17128.0)</f>
        <v>17128</v>
      </c>
      <c r="B2106" s="60" t="str">
        <f>IFERROR(__xludf.DUMMYFUNCTION("""COMPUTED_VALUE"""),"Barron, Jahdae")</f>
        <v>Barron, Jahdae</v>
      </c>
      <c r="C2106" s="60" t="str">
        <f>IFERROR(__xludf.DUMMYFUNCTION("""COMPUTED_VALUE"""),"CB")</f>
        <v>CB</v>
      </c>
      <c r="D2106" s="60" t="str">
        <f>IFERROR(__xludf.DUMMYFUNCTION("""COMPUTED_VALUE"""),"DEN")</f>
        <v>DEN</v>
      </c>
      <c r="E2106" s="62" t="str">
        <f t="shared" si="4"/>
        <v>Jahdae Barron</v>
      </c>
      <c r="F2106" s="62">
        <f t="shared" ref="F2106:G2106" si="4211">IF(isblank(F$1),,IF(isblank($A2106),,IFERROR(vlookup($A2106,indirect("'TVC-"&amp;text(month(F$1),"00")&amp;"'!$A:$D"),4,false),1)))</f>
        <v>1</v>
      </c>
      <c r="G2106" s="62">
        <f t="shared" si="4211"/>
        <v>1</v>
      </c>
      <c r="H2106" s="62">
        <f t="shared" ref="H2106:Q2106" si="4212">IF(isblank(H$1),,IFERROR(vlookup($A2106,indirect("'TVC-"&amp;text(month(H$1),"00")&amp;"'!$A:$D"),4,false),1))</f>
        <v>1</v>
      </c>
      <c r="I2106" s="62">
        <f t="shared" si="4212"/>
        <v>1</v>
      </c>
      <c r="J2106" s="62">
        <f t="shared" si="4212"/>
        <v>1</v>
      </c>
      <c r="K2106" s="62">
        <f t="shared" si="4212"/>
        <v>1</v>
      </c>
      <c r="L2106" s="62">
        <f t="shared" si="4212"/>
        <v>1</v>
      </c>
      <c r="M2106" s="62">
        <f t="shared" si="4212"/>
        <v>1</v>
      </c>
      <c r="N2106" s="62">
        <f t="shared" si="4212"/>
        <v>1</v>
      </c>
      <c r="O2106" s="62">
        <f t="shared" si="4212"/>
        <v>1</v>
      </c>
      <c r="P2106" s="62" t="str">
        <f t="shared" si="4212"/>
        <v/>
      </c>
      <c r="Q2106" s="62" t="str">
        <f t="shared" si="4212"/>
        <v/>
      </c>
      <c r="R2106" s="62">
        <f t="shared" si="7"/>
        <v>0</v>
      </c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</row>
    <row r="2107" hidden="1">
      <c r="A2107" s="60">
        <f>IFERROR(__xludf.DUMMYFUNCTION("""COMPUTED_VALUE"""),17129.0)</f>
        <v>17129</v>
      </c>
      <c r="B2107" s="60" t="str">
        <f>IFERROR(__xludf.DUMMYFUNCTION("""COMPUTED_VALUE"""),"Morrison, Benjamin")</f>
        <v>Morrison, Benjamin</v>
      </c>
      <c r="C2107" s="60" t="str">
        <f>IFERROR(__xludf.DUMMYFUNCTION("""COMPUTED_VALUE"""),"CB")</f>
        <v>CB</v>
      </c>
      <c r="D2107" s="60" t="str">
        <f>IFERROR(__xludf.DUMMYFUNCTION("""COMPUTED_VALUE"""),"TBB")</f>
        <v>TBB</v>
      </c>
      <c r="E2107" s="62" t="str">
        <f t="shared" si="4"/>
        <v>Benjamin Morrison</v>
      </c>
      <c r="F2107" s="62">
        <f t="shared" ref="F2107:G2107" si="4213">IF(isblank(F$1),,IF(isblank($A2107),,IFERROR(vlookup($A2107,indirect("'TVC-"&amp;text(month(F$1),"00")&amp;"'!$A:$D"),4,false),1)))</f>
        <v>1</v>
      </c>
      <c r="G2107" s="62">
        <f t="shared" si="4213"/>
        <v>1</v>
      </c>
      <c r="H2107" s="62">
        <f t="shared" ref="H2107:Q2107" si="4214">IF(isblank(H$1),,IFERROR(vlookup($A2107,indirect("'TVC-"&amp;text(month(H$1),"00")&amp;"'!$A:$D"),4,false),1))</f>
        <v>1</v>
      </c>
      <c r="I2107" s="62">
        <f t="shared" si="4214"/>
        <v>1</v>
      </c>
      <c r="J2107" s="62">
        <f t="shared" si="4214"/>
        <v>1</v>
      </c>
      <c r="K2107" s="62">
        <f t="shared" si="4214"/>
        <v>1</v>
      </c>
      <c r="L2107" s="62">
        <f t="shared" si="4214"/>
        <v>1</v>
      </c>
      <c r="M2107" s="62">
        <f t="shared" si="4214"/>
        <v>1</v>
      </c>
      <c r="N2107" s="62">
        <f t="shared" si="4214"/>
        <v>1</v>
      </c>
      <c r="O2107" s="62">
        <f t="shared" si="4214"/>
        <v>1</v>
      </c>
      <c r="P2107" s="62" t="str">
        <f t="shared" si="4214"/>
        <v/>
      </c>
      <c r="Q2107" s="62" t="str">
        <f t="shared" si="4214"/>
        <v/>
      </c>
      <c r="R2107" s="62">
        <f t="shared" si="7"/>
        <v>0</v>
      </c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</row>
    <row r="2108" hidden="1">
      <c r="A2108" s="60">
        <f>IFERROR(__xludf.DUMMYFUNCTION("""COMPUTED_VALUE"""),17130.0)</f>
        <v>17130</v>
      </c>
      <c r="B2108" s="60" t="str">
        <f>IFERROR(__xludf.DUMMYFUNCTION("""COMPUTED_VALUE"""),"Amos, Trey")</f>
        <v>Amos, Trey</v>
      </c>
      <c r="C2108" s="60" t="str">
        <f>IFERROR(__xludf.DUMMYFUNCTION("""COMPUTED_VALUE"""),"CB")</f>
        <v>CB</v>
      </c>
      <c r="D2108" s="60" t="str">
        <f>IFERROR(__xludf.DUMMYFUNCTION("""COMPUTED_VALUE"""),"WAS")</f>
        <v>WAS</v>
      </c>
      <c r="E2108" s="62" t="str">
        <f t="shared" si="4"/>
        <v>Trey Amos</v>
      </c>
      <c r="F2108" s="62">
        <f t="shared" ref="F2108:G2108" si="4215">IF(isblank(F$1),,IF(isblank($A2108),,IFERROR(vlookup($A2108,indirect("'TVC-"&amp;text(month(F$1),"00")&amp;"'!$A:$D"),4,false),1)))</f>
        <v>1</v>
      </c>
      <c r="G2108" s="62">
        <f t="shared" si="4215"/>
        <v>1</v>
      </c>
      <c r="H2108" s="62">
        <f t="shared" ref="H2108:Q2108" si="4216">IF(isblank(H$1),,IFERROR(vlookup($A2108,indirect("'TVC-"&amp;text(month(H$1),"00")&amp;"'!$A:$D"),4,false),1))</f>
        <v>1</v>
      </c>
      <c r="I2108" s="62">
        <f t="shared" si="4216"/>
        <v>1</v>
      </c>
      <c r="J2108" s="62">
        <f t="shared" si="4216"/>
        <v>1</v>
      </c>
      <c r="K2108" s="62">
        <f t="shared" si="4216"/>
        <v>1</v>
      </c>
      <c r="L2108" s="62">
        <f t="shared" si="4216"/>
        <v>1</v>
      </c>
      <c r="M2108" s="62">
        <f t="shared" si="4216"/>
        <v>1</v>
      </c>
      <c r="N2108" s="62">
        <f t="shared" si="4216"/>
        <v>1</v>
      </c>
      <c r="O2108" s="62">
        <f t="shared" si="4216"/>
        <v>1</v>
      </c>
      <c r="P2108" s="62" t="str">
        <f t="shared" si="4216"/>
        <v/>
      </c>
      <c r="Q2108" s="62" t="str">
        <f t="shared" si="4216"/>
        <v/>
      </c>
      <c r="R2108" s="62">
        <f t="shared" si="7"/>
        <v>0</v>
      </c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</row>
    <row r="2109" hidden="1">
      <c r="A2109" s="60">
        <f>IFERROR(__xludf.DUMMYFUNCTION("""COMPUTED_VALUE"""),17131.0)</f>
        <v>17131</v>
      </c>
      <c r="B2109" s="60" t="str">
        <f>IFERROR(__xludf.DUMMYFUNCTION("""COMPUTED_VALUE"""),"Watts, Xavier")</f>
        <v>Watts, Xavier</v>
      </c>
      <c r="C2109" s="60" t="str">
        <f>IFERROR(__xludf.DUMMYFUNCTION("""COMPUTED_VALUE"""),"S")</f>
        <v>S</v>
      </c>
      <c r="D2109" s="60" t="str">
        <f>IFERROR(__xludf.DUMMYFUNCTION("""COMPUTED_VALUE"""),"ATL")</f>
        <v>ATL</v>
      </c>
      <c r="E2109" s="62" t="str">
        <f t="shared" si="4"/>
        <v>Xavier Watts</v>
      </c>
      <c r="F2109" s="62">
        <f t="shared" ref="F2109:G2109" si="4217">IF(isblank(F$1),,IF(isblank($A2109),,IFERROR(vlookup($A2109,indirect("'TVC-"&amp;text(month(F$1),"00")&amp;"'!$A:$D"),4,false),1)))</f>
        <v>1</v>
      </c>
      <c r="G2109" s="62">
        <f t="shared" si="4217"/>
        <v>1</v>
      </c>
      <c r="H2109" s="62">
        <f t="shared" ref="H2109:Q2109" si="4218">IF(isblank(H$1),,IFERROR(vlookup($A2109,indirect("'TVC-"&amp;text(month(H$1),"00")&amp;"'!$A:$D"),4,false),1))</f>
        <v>1</v>
      </c>
      <c r="I2109" s="62">
        <f t="shared" si="4218"/>
        <v>1</v>
      </c>
      <c r="J2109" s="62">
        <f t="shared" si="4218"/>
        <v>1</v>
      </c>
      <c r="K2109" s="62">
        <f t="shared" si="4218"/>
        <v>1</v>
      </c>
      <c r="L2109" s="62">
        <f t="shared" si="4218"/>
        <v>1</v>
      </c>
      <c r="M2109" s="62">
        <f t="shared" si="4218"/>
        <v>1</v>
      </c>
      <c r="N2109" s="62">
        <f t="shared" si="4218"/>
        <v>1</v>
      </c>
      <c r="O2109" s="62">
        <f t="shared" si="4218"/>
        <v>1</v>
      </c>
      <c r="P2109" s="62" t="str">
        <f t="shared" si="4218"/>
        <v/>
      </c>
      <c r="Q2109" s="62" t="str">
        <f t="shared" si="4218"/>
        <v/>
      </c>
      <c r="R2109" s="62">
        <f t="shared" si="7"/>
        <v>0</v>
      </c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</row>
    <row r="2110" hidden="1">
      <c r="A2110" s="60">
        <f>IFERROR(__xludf.DUMMYFUNCTION("""COMPUTED_VALUE"""),17132.0)</f>
        <v>17132</v>
      </c>
      <c r="B2110" s="60" t="str">
        <f>IFERROR(__xludf.DUMMYFUNCTION("""COMPUTED_VALUE"""),"Starks, Malaki")</f>
        <v>Starks, Malaki</v>
      </c>
      <c r="C2110" s="60" t="str">
        <f>IFERROR(__xludf.DUMMYFUNCTION("""COMPUTED_VALUE"""),"S")</f>
        <v>S</v>
      </c>
      <c r="D2110" s="60" t="str">
        <f>IFERROR(__xludf.DUMMYFUNCTION("""COMPUTED_VALUE"""),"BAL")</f>
        <v>BAL</v>
      </c>
      <c r="E2110" s="62" t="str">
        <f t="shared" si="4"/>
        <v>Malaki Starks</v>
      </c>
      <c r="F2110" s="62">
        <f t="shared" ref="F2110:G2110" si="4219">IF(isblank(F$1),,IF(isblank($A2110),,IFERROR(vlookup($A2110,indirect("'TVC-"&amp;text(month(F$1),"00")&amp;"'!$A:$D"),4,false),1)))</f>
        <v>1</v>
      </c>
      <c r="G2110" s="62">
        <f t="shared" si="4219"/>
        <v>1</v>
      </c>
      <c r="H2110" s="62">
        <f t="shared" ref="H2110:Q2110" si="4220">IF(isblank(H$1),,IFERROR(vlookup($A2110,indirect("'TVC-"&amp;text(month(H$1),"00")&amp;"'!$A:$D"),4,false),1))</f>
        <v>1</v>
      </c>
      <c r="I2110" s="62">
        <f t="shared" si="4220"/>
        <v>1</v>
      </c>
      <c r="J2110" s="62">
        <f t="shared" si="4220"/>
        <v>1</v>
      </c>
      <c r="K2110" s="62">
        <f t="shared" si="4220"/>
        <v>1</v>
      </c>
      <c r="L2110" s="62">
        <f t="shared" si="4220"/>
        <v>1</v>
      </c>
      <c r="M2110" s="62">
        <f t="shared" si="4220"/>
        <v>1</v>
      </c>
      <c r="N2110" s="62">
        <f t="shared" si="4220"/>
        <v>1</v>
      </c>
      <c r="O2110" s="62">
        <f t="shared" si="4220"/>
        <v>1</v>
      </c>
      <c r="P2110" s="62" t="str">
        <f t="shared" si="4220"/>
        <v/>
      </c>
      <c r="Q2110" s="62" t="str">
        <f t="shared" si="4220"/>
        <v/>
      </c>
      <c r="R2110" s="62">
        <f t="shared" si="7"/>
        <v>0</v>
      </c>
      <c r="S2110" s="62"/>
      <c r="T2110" s="62"/>
      <c r="U2110" s="62"/>
      <c r="V2110" s="62"/>
      <c r="W2110" s="62"/>
      <c r="X2110" s="62"/>
      <c r="Y2110" s="62"/>
      <c r="Z2110" s="62"/>
      <c r="AA2110" s="62"/>
      <c r="AB2110" s="62"/>
      <c r="AC2110" s="62"/>
    </row>
    <row r="2111" hidden="1">
      <c r="A2111" s="60">
        <f>IFERROR(__xludf.DUMMYFUNCTION("""COMPUTED_VALUE"""),17133.0)</f>
        <v>17133</v>
      </c>
      <c r="B2111" s="60" t="str">
        <f>IFERROR(__xludf.DUMMYFUNCTION("""COMPUTED_VALUE"""),"Krieg, Lenny")</f>
        <v>Krieg, Lenny</v>
      </c>
      <c r="C2111" s="60" t="str">
        <f>IFERROR(__xludf.DUMMYFUNCTION("""COMPUTED_VALUE"""),"PK")</f>
        <v>PK</v>
      </c>
      <c r="D2111" s="60" t="str">
        <f>IFERROR(__xludf.DUMMYFUNCTION("""COMPUTED_VALUE"""),"GBP")</f>
        <v>GBP</v>
      </c>
      <c r="E2111" s="62" t="str">
        <f t="shared" si="4"/>
        <v>Lenny Krieg</v>
      </c>
      <c r="F2111" s="62">
        <f t="shared" ref="F2111:G2111" si="4221">IF(isblank(F$1),,IF(isblank($A2111),,IFERROR(vlookup($A2111,indirect("'TVC-"&amp;text(month(F$1),"00")&amp;"'!$A:$D"),4,false),1)))</f>
        <v>1</v>
      </c>
      <c r="G2111" s="62">
        <f t="shared" si="4221"/>
        <v>1</v>
      </c>
      <c r="H2111" s="62">
        <f t="shared" ref="H2111:Q2111" si="4222">IF(isblank(H$1),,IFERROR(vlookup($A2111,indirect("'TVC-"&amp;text(month(H$1),"00")&amp;"'!$A:$D"),4,false),1))</f>
        <v>1</v>
      </c>
      <c r="I2111" s="62">
        <f t="shared" si="4222"/>
        <v>1</v>
      </c>
      <c r="J2111" s="62">
        <f t="shared" si="4222"/>
        <v>1</v>
      </c>
      <c r="K2111" s="62">
        <f t="shared" si="4222"/>
        <v>1</v>
      </c>
      <c r="L2111" s="62">
        <f t="shared" si="4222"/>
        <v>1</v>
      </c>
      <c r="M2111" s="62">
        <f t="shared" si="4222"/>
        <v>1</v>
      </c>
      <c r="N2111" s="62">
        <f t="shared" si="4222"/>
        <v>1</v>
      </c>
      <c r="O2111" s="62">
        <f t="shared" si="4222"/>
        <v>1</v>
      </c>
      <c r="P2111" s="62" t="str">
        <f t="shared" si="4222"/>
        <v/>
      </c>
      <c r="Q2111" s="62" t="str">
        <f t="shared" si="4222"/>
        <v/>
      </c>
      <c r="R2111" s="62">
        <f t="shared" si="7"/>
        <v>0</v>
      </c>
      <c r="S2111" s="62"/>
      <c r="T2111" s="62"/>
      <c r="U2111" s="62"/>
      <c r="V2111" s="62"/>
      <c r="W2111" s="62"/>
      <c r="X2111" s="62"/>
      <c r="Y2111" s="62"/>
      <c r="Z2111" s="62"/>
      <c r="AA2111" s="62"/>
      <c r="AB2111" s="62"/>
      <c r="AC2111" s="62"/>
    </row>
    <row r="2112" hidden="1">
      <c r="A2112" s="60">
        <f>IFERROR(__xludf.DUMMYFUNCTION("""COMPUTED_VALUE"""),17134.0)</f>
        <v>17134</v>
      </c>
      <c r="B2112" s="60" t="str">
        <f>IFERROR(__xludf.DUMMYFUNCTION("""COMPUTED_VALUE"""),"Williams, Kyle")</f>
        <v>Williams, Kyle</v>
      </c>
      <c r="C2112" s="60" t="str">
        <f>IFERROR(__xludf.DUMMYFUNCTION("""COMPUTED_VALUE"""),"WR")</f>
        <v>WR</v>
      </c>
      <c r="D2112" s="60" t="str">
        <f>IFERROR(__xludf.DUMMYFUNCTION("""COMPUTED_VALUE"""),"NEP")</f>
        <v>NEP</v>
      </c>
      <c r="E2112" s="62" t="str">
        <f t="shared" si="4"/>
        <v>Kyle Williams</v>
      </c>
      <c r="F2112" s="62">
        <f t="shared" ref="F2112:G2112" si="4223">IF(isblank(F$1),,IF(isblank($A2112),,IFERROR(vlookup($A2112,indirect("'TVC-"&amp;text(month(F$1),"00")&amp;"'!$A:$D"),4,false),1)))</f>
        <v>2731</v>
      </c>
      <c r="G2112" s="62">
        <f t="shared" si="4223"/>
        <v>2803</v>
      </c>
      <c r="H2112" s="62">
        <f t="shared" ref="H2112:Q2112" si="4224">IF(isblank(H$1),,IFERROR(vlookup($A2112,indirect("'TVC-"&amp;text(month(H$1),"00")&amp;"'!$A:$D"),4,false),1))</f>
        <v>2773</v>
      </c>
      <c r="I2112" s="62">
        <f t="shared" si="4224"/>
        <v>2698</v>
      </c>
      <c r="J2112" s="62">
        <f t="shared" si="4224"/>
        <v>2518</v>
      </c>
      <c r="K2112" s="62">
        <f t="shared" si="4224"/>
        <v>2443</v>
      </c>
      <c r="L2112" s="62">
        <f t="shared" si="4224"/>
        <v>2369</v>
      </c>
      <c r="M2112" s="62">
        <f t="shared" si="4224"/>
        <v>2163</v>
      </c>
      <c r="N2112" s="62">
        <f t="shared" si="4224"/>
        <v>2268</v>
      </c>
      <c r="O2112" s="62">
        <f t="shared" si="4224"/>
        <v>1</v>
      </c>
      <c r="P2112" s="62" t="str">
        <f t="shared" si="4224"/>
        <v/>
      </c>
      <c r="Q2112" s="62" t="str">
        <f t="shared" si="4224"/>
        <v/>
      </c>
      <c r="R2112" s="62">
        <f t="shared" si="7"/>
        <v>-2267</v>
      </c>
      <c r="S2112" s="62"/>
      <c r="T2112" s="62"/>
      <c r="U2112" s="62"/>
      <c r="V2112" s="62"/>
      <c r="W2112" s="62"/>
      <c r="X2112" s="62"/>
      <c r="Y2112" s="62"/>
      <c r="Z2112" s="62"/>
      <c r="AA2112" s="62"/>
      <c r="AB2112" s="62"/>
      <c r="AC2112" s="62"/>
    </row>
    <row r="2113" hidden="1">
      <c r="A2113" s="60">
        <f>IFERROR(__xludf.DUMMYFUNCTION("""COMPUTED_VALUE"""),17135.0)</f>
        <v>17135</v>
      </c>
      <c r="B2113" s="60" t="str">
        <f>IFERROR(__xludf.DUMMYFUNCTION("""COMPUTED_VALUE"""),"Ezeiruaku, Donovan")</f>
        <v>Ezeiruaku, Donovan</v>
      </c>
      <c r="C2113" s="60" t="str">
        <f>IFERROR(__xludf.DUMMYFUNCTION("""COMPUTED_VALUE"""),"DE")</f>
        <v>DE</v>
      </c>
      <c r="D2113" s="60" t="str">
        <f>IFERROR(__xludf.DUMMYFUNCTION("""COMPUTED_VALUE"""),"DAL")</f>
        <v>DAL</v>
      </c>
      <c r="E2113" s="62" t="str">
        <f t="shared" si="4"/>
        <v>Donovan Ezeiruaku</v>
      </c>
      <c r="F2113" s="62">
        <f t="shared" ref="F2113:G2113" si="4225">IF(isblank(F$1),,IF(isblank($A2113),,IFERROR(vlookup($A2113,indirect("'TVC-"&amp;text(month(F$1),"00")&amp;"'!$A:$D"),4,false),1)))</f>
        <v>1</v>
      </c>
      <c r="G2113" s="62">
        <f t="shared" si="4225"/>
        <v>1</v>
      </c>
      <c r="H2113" s="62">
        <f t="shared" ref="H2113:Q2113" si="4226">IF(isblank(H$1),,IFERROR(vlookup($A2113,indirect("'TVC-"&amp;text(month(H$1),"00")&amp;"'!$A:$D"),4,false),1))</f>
        <v>1</v>
      </c>
      <c r="I2113" s="62">
        <f t="shared" si="4226"/>
        <v>1</v>
      </c>
      <c r="J2113" s="62">
        <f t="shared" si="4226"/>
        <v>1</v>
      </c>
      <c r="K2113" s="62">
        <f t="shared" si="4226"/>
        <v>1</v>
      </c>
      <c r="L2113" s="62">
        <f t="shared" si="4226"/>
        <v>1</v>
      </c>
      <c r="M2113" s="62">
        <f t="shared" si="4226"/>
        <v>1</v>
      </c>
      <c r="N2113" s="62">
        <f t="shared" si="4226"/>
        <v>1</v>
      </c>
      <c r="O2113" s="62">
        <f t="shared" si="4226"/>
        <v>1</v>
      </c>
      <c r="P2113" s="62" t="str">
        <f t="shared" si="4226"/>
        <v/>
      </c>
      <c r="Q2113" s="62" t="str">
        <f t="shared" si="4226"/>
        <v/>
      </c>
      <c r="R2113" s="62">
        <f t="shared" si="7"/>
        <v>0</v>
      </c>
      <c r="S2113" s="62"/>
      <c r="T2113" s="62"/>
      <c r="U2113" s="62"/>
      <c r="V2113" s="62"/>
      <c r="W2113" s="62"/>
      <c r="X2113" s="62"/>
      <c r="Y2113" s="62"/>
      <c r="Z2113" s="62"/>
      <c r="AA2113" s="62"/>
      <c r="AB2113" s="62"/>
      <c r="AC2113" s="62"/>
    </row>
    <row r="2114" hidden="1">
      <c r="A2114" s="60">
        <f>IFERROR(__xludf.DUMMYFUNCTION("""COMPUTED_VALUE"""),17136.0)</f>
        <v>17136</v>
      </c>
      <c r="B2114" s="60" t="str">
        <f>IFERROR(__xludf.DUMMYFUNCTION("""COMPUTED_VALUE"""),"Nolen, Walter")</f>
        <v>Nolen, Walter</v>
      </c>
      <c r="C2114" s="60" t="str">
        <f>IFERROR(__xludf.DUMMYFUNCTION("""COMPUTED_VALUE"""),"DT")</f>
        <v>DT</v>
      </c>
      <c r="D2114" s="60" t="str">
        <f>IFERROR(__xludf.DUMMYFUNCTION("""COMPUTED_VALUE"""),"ARI")</f>
        <v>ARI</v>
      </c>
      <c r="E2114" s="62" t="str">
        <f t="shared" si="4"/>
        <v>Walter Nolen</v>
      </c>
      <c r="F2114" s="62">
        <f t="shared" ref="F2114:G2114" si="4227">IF(isblank(F$1),,IF(isblank($A2114),,IFERROR(vlookup($A2114,indirect("'TVC-"&amp;text(month(F$1),"00")&amp;"'!$A:$D"),4,false),1)))</f>
        <v>1</v>
      </c>
      <c r="G2114" s="62">
        <f t="shared" si="4227"/>
        <v>1</v>
      </c>
      <c r="H2114" s="62">
        <f t="shared" ref="H2114:Q2114" si="4228">IF(isblank(H$1),,IFERROR(vlookup($A2114,indirect("'TVC-"&amp;text(month(H$1),"00")&amp;"'!$A:$D"),4,false),1))</f>
        <v>1</v>
      </c>
      <c r="I2114" s="62">
        <f t="shared" si="4228"/>
        <v>1</v>
      </c>
      <c r="J2114" s="62">
        <f t="shared" si="4228"/>
        <v>1</v>
      </c>
      <c r="K2114" s="62">
        <f t="shared" si="4228"/>
        <v>1</v>
      </c>
      <c r="L2114" s="62">
        <f t="shared" si="4228"/>
        <v>1</v>
      </c>
      <c r="M2114" s="62">
        <f t="shared" si="4228"/>
        <v>1</v>
      </c>
      <c r="N2114" s="62">
        <f t="shared" si="4228"/>
        <v>1</v>
      </c>
      <c r="O2114" s="62">
        <f t="shared" si="4228"/>
        <v>1</v>
      </c>
      <c r="P2114" s="62" t="str">
        <f t="shared" si="4228"/>
        <v/>
      </c>
      <c r="Q2114" s="62" t="str">
        <f t="shared" si="4228"/>
        <v/>
      </c>
      <c r="R2114" s="62">
        <f t="shared" si="7"/>
        <v>0</v>
      </c>
      <c r="S2114" s="62"/>
      <c r="T2114" s="62"/>
      <c r="U2114" s="62"/>
      <c r="V2114" s="62"/>
      <c r="W2114" s="62"/>
      <c r="X2114" s="62"/>
      <c r="Y2114" s="62"/>
      <c r="Z2114" s="62"/>
      <c r="AA2114" s="62"/>
      <c r="AB2114" s="62"/>
      <c r="AC2114" s="62"/>
    </row>
    <row r="2115" hidden="1">
      <c r="A2115" s="60">
        <f>IFERROR(__xludf.DUMMYFUNCTION("""COMPUTED_VALUE"""),17137.0)</f>
        <v>17137</v>
      </c>
      <c r="B2115" s="60" t="str">
        <f>IFERROR(__xludf.DUMMYFUNCTION("""COMPUTED_VALUE"""),"Harmon, Derrick")</f>
        <v>Harmon, Derrick</v>
      </c>
      <c r="C2115" s="60" t="str">
        <f>IFERROR(__xludf.DUMMYFUNCTION("""COMPUTED_VALUE"""),"DT")</f>
        <v>DT</v>
      </c>
      <c r="D2115" s="60" t="str">
        <f>IFERROR(__xludf.DUMMYFUNCTION("""COMPUTED_VALUE"""),"PIT")</f>
        <v>PIT</v>
      </c>
      <c r="E2115" s="62" t="str">
        <f t="shared" si="4"/>
        <v>Derrick Harmon</v>
      </c>
      <c r="F2115" s="62">
        <f t="shared" ref="F2115:G2115" si="4229">IF(isblank(F$1),,IF(isblank($A2115),,IFERROR(vlookup($A2115,indirect("'TVC-"&amp;text(month(F$1),"00")&amp;"'!$A:$D"),4,false),1)))</f>
        <v>1</v>
      </c>
      <c r="G2115" s="62">
        <f t="shared" si="4229"/>
        <v>1</v>
      </c>
      <c r="H2115" s="62">
        <f t="shared" ref="H2115:Q2115" si="4230">IF(isblank(H$1),,IFERROR(vlookup($A2115,indirect("'TVC-"&amp;text(month(H$1),"00")&amp;"'!$A:$D"),4,false),1))</f>
        <v>1</v>
      </c>
      <c r="I2115" s="62">
        <f t="shared" si="4230"/>
        <v>1</v>
      </c>
      <c r="J2115" s="62">
        <f t="shared" si="4230"/>
        <v>1</v>
      </c>
      <c r="K2115" s="62">
        <f t="shared" si="4230"/>
        <v>1</v>
      </c>
      <c r="L2115" s="62">
        <f t="shared" si="4230"/>
        <v>1</v>
      </c>
      <c r="M2115" s="62">
        <f t="shared" si="4230"/>
        <v>1</v>
      </c>
      <c r="N2115" s="62">
        <f t="shared" si="4230"/>
        <v>1</v>
      </c>
      <c r="O2115" s="62">
        <f t="shared" si="4230"/>
        <v>1</v>
      </c>
      <c r="P2115" s="62" t="str">
        <f t="shared" si="4230"/>
        <v/>
      </c>
      <c r="Q2115" s="62" t="str">
        <f t="shared" si="4230"/>
        <v/>
      </c>
      <c r="R2115" s="62">
        <f t="shared" si="7"/>
        <v>0</v>
      </c>
      <c r="S2115" s="62"/>
      <c r="T2115" s="62"/>
      <c r="U2115" s="62"/>
      <c r="V2115" s="62"/>
      <c r="W2115" s="62"/>
      <c r="X2115" s="62"/>
      <c r="Y2115" s="62"/>
      <c r="Z2115" s="62"/>
      <c r="AA2115" s="62"/>
      <c r="AB2115" s="62"/>
      <c r="AC2115" s="62"/>
    </row>
    <row r="2116" hidden="1">
      <c r="A2116" s="60">
        <f>IFERROR(__xludf.DUMMYFUNCTION("""COMPUTED_VALUE"""),17138.0)</f>
        <v>17138</v>
      </c>
      <c r="B2116" s="60" t="str">
        <f>IFERROR(__xludf.DUMMYFUNCTION("""COMPUTED_VALUE"""),"Grant, Kenneth")</f>
        <v>Grant, Kenneth</v>
      </c>
      <c r="C2116" s="60" t="str">
        <f>IFERROR(__xludf.DUMMYFUNCTION("""COMPUTED_VALUE"""),"DT")</f>
        <v>DT</v>
      </c>
      <c r="D2116" s="60" t="str">
        <f>IFERROR(__xludf.DUMMYFUNCTION("""COMPUTED_VALUE"""),"MIA")</f>
        <v>MIA</v>
      </c>
      <c r="E2116" s="62" t="str">
        <f t="shared" si="4"/>
        <v>Kenneth Grant</v>
      </c>
      <c r="F2116" s="62">
        <f t="shared" ref="F2116:G2116" si="4231">IF(isblank(F$1),,IF(isblank($A2116),,IFERROR(vlookup($A2116,indirect("'TVC-"&amp;text(month(F$1),"00")&amp;"'!$A:$D"),4,false),1)))</f>
        <v>1</v>
      </c>
      <c r="G2116" s="62">
        <f t="shared" si="4231"/>
        <v>1</v>
      </c>
      <c r="H2116" s="62">
        <f t="shared" ref="H2116:Q2116" si="4232">IF(isblank(H$1),,IFERROR(vlookup($A2116,indirect("'TVC-"&amp;text(month(H$1),"00")&amp;"'!$A:$D"),4,false),1))</f>
        <v>1</v>
      </c>
      <c r="I2116" s="62">
        <f t="shared" si="4232"/>
        <v>1</v>
      </c>
      <c r="J2116" s="62">
        <f t="shared" si="4232"/>
        <v>1</v>
      </c>
      <c r="K2116" s="62">
        <f t="shared" si="4232"/>
        <v>1</v>
      </c>
      <c r="L2116" s="62">
        <f t="shared" si="4232"/>
        <v>1</v>
      </c>
      <c r="M2116" s="62">
        <f t="shared" si="4232"/>
        <v>1</v>
      </c>
      <c r="N2116" s="62">
        <f t="shared" si="4232"/>
        <v>1</v>
      </c>
      <c r="O2116" s="62">
        <f t="shared" si="4232"/>
        <v>1</v>
      </c>
      <c r="P2116" s="62" t="str">
        <f t="shared" si="4232"/>
        <v/>
      </c>
      <c r="Q2116" s="62" t="str">
        <f t="shared" si="4232"/>
        <v/>
      </c>
      <c r="R2116" s="62">
        <f t="shared" si="7"/>
        <v>0</v>
      </c>
      <c r="S2116" s="62"/>
      <c r="T2116" s="62"/>
      <c r="U2116" s="62"/>
      <c r="V2116" s="62"/>
      <c r="W2116" s="62"/>
      <c r="X2116" s="62"/>
      <c r="Y2116" s="62"/>
      <c r="Z2116" s="62"/>
      <c r="AA2116" s="62"/>
      <c r="AB2116" s="62"/>
      <c r="AC2116" s="62"/>
    </row>
    <row r="2117" hidden="1">
      <c r="A2117" s="60">
        <f>IFERROR(__xludf.DUMMYFUNCTION("""COMPUTED_VALUE"""),17139.0)</f>
        <v>17139</v>
      </c>
      <c r="B2117" s="60" t="str">
        <f>IFERROR(__xludf.DUMMYFUNCTION("""COMPUTED_VALUE"""),"Sanders, T.J.")</f>
        <v>Sanders, T.J.</v>
      </c>
      <c r="C2117" s="60" t="str">
        <f>IFERROR(__xludf.DUMMYFUNCTION("""COMPUTED_VALUE"""),"DT")</f>
        <v>DT</v>
      </c>
      <c r="D2117" s="60" t="str">
        <f>IFERROR(__xludf.DUMMYFUNCTION("""COMPUTED_VALUE"""),"BUF")</f>
        <v>BUF</v>
      </c>
      <c r="E2117" s="62" t="str">
        <f t="shared" si="4"/>
        <v>T.J. Sanders</v>
      </c>
      <c r="F2117" s="62">
        <f t="shared" ref="F2117:G2117" si="4233">IF(isblank(F$1),,IF(isblank($A2117),,IFERROR(vlookup($A2117,indirect("'TVC-"&amp;text(month(F$1),"00")&amp;"'!$A:$D"),4,false),1)))</f>
        <v>1</v>
      </c>
      <c r="G2117" s="62">
        <f t="shared" si="4233"/>
        <v>1</v>
      </c>
      <c r="H2117" s="62">
        <f t="shared" ref="H2117:Q2117" si="4234">IF(isblank(H$1),,IFERROR(vlookup($A2117,indirect("'TVC-"&amp;text(month(H$1),"00")&amp;"'!$A:$D"),4,false),1))</f>
        <v>1</v>
      </c>
      <c r="I2117" s="62">
        <f t="shared" si="4234"/>
        <v>1</v>
      </c>
      <c r="J2117" s="62">
        <f t="shared" si="4234"/>
        <v>1</v>
      </c>
      <c r="K2117" s="62">
        <f t="shared" si="4234"/>
        <v>1</v>
      </c>
      <c r="L2117" s="62">
        <f t="shared" si="4234"/>
        <v>1</v>
      </c>
      <c r="M2117" s="62">
        <f t="shared" si="4234"/>
        <v>1</v>
      </c>
      <c r="N2117" s="62">
        <f t="shared" si="4234"/>
        <v>1</v>
      </c>
      <c r="O2117" s="62">
        <f t="shared" si="4234"/>
        <v>1</v>
      </c>
      <c r="P2117" s="62" t="str">
        <f t="shared" si="4234"/>
        <v/>
      </c>
      <c r="Q2117" s="62" t="str">
        <f t="shared" si="4234"/>
        <v/>
      </c>
      <c r="R2117" s="62">
        <f t="shared" si="7"/>
        <v>0</v>
      </c>
      <c r="S2117" s="62"/>
      <c r="T2117" s="62"/>
      <c r="U2117" s="62"/>
      <c r="V2117" s="62"/>
      <c r="W2117" s="62"/>
      <c r="X2117" s="62"/>
      <c r="Y2117" s="62"/>
      <c r="Z2117" s="62"/>
      <c r="AA2117" s="62"/>
      <c r="AB2117" s="62"/>
      <c r="AC2117" s="62"/>
    </row>
    <row r="2118" hidden="1">
      <c r="A2118" s="60">
        <f>IFERROR(__xludf.DUMMYFUNCTION("""COMPUTED_VALUE"""),17140.0)</f>
        <v>17140</v>
      </c>
      <c r="B2118" s="60" t="str">
        <f>IFERROR(__xludf.DUMMYFUNCTION("""COMPUTED_VALUE"""),"Mondon, Smael")</f>
        <v>Mondon, Smael</v>
      </c>
      <c r="C2118" s="60" t="str">
        <f>IFERROR(__xludf.DUMMYFUNCTION("""COMPUTED_VALUE"""),"LB")</f>
        <v>LB</v>
      </c>
      <c r="D2118" s="60" t="str">
        <f>IFERROR(__xludf.DUMMYFUNCTION("""COMPUTED_VALUE"""),"PHI")</f>
        <v>PHI</v>
      </c>
      <c r="E2118" s="62" t="str">
        <f t="shared" si="4"/>
        <v>Smael Mondon</v>
      </c>
      <c r="F2118" s="62">
        <f t="shared" ref="F2118:G2118" si="4235">IF(isblank(F$1),,IF(isblank($A2118),,IFERROR(vlookup($A2118,indirect("'TVC-"&amp;text(month(F$1),"00")&amp;"'!$A:$D"),4,false),1)))</f>
        <v>1</v>
      </c>
      <c r="G2118" s="62">
        <f t="shared" si="4235"/>
        <v>1</v>
      </c>
      <c r="H2118" s="62">
        <f t="shared" ref="H2118:Q2118" si="4236">IF(isblank(H$1),,IFERROR(vlookup($A2118,indirect("'TVC-"&amp;text(month(H$1),"00")&amp;"'!$A:$D"),4,false),1))</f>
        <v>1</v>
      </c>
      <c r="I2118" s="62">
        <f t="shared" si="4236"/>
        <v>1</v>
      </c>
      <c r="J2118" s="62">
        <f t="shared" si="4236"/>
        <v>1</v>
      </c>
      <c r="K2118" s="62">
        <f t="shared" si="4236"/>
        <v>1</v>
      </c>
      <c r="L2118" s="62">
        <f t="shared" si="4236"/>
        <v>1</v>
      </c>
      <c r="M2118" s="62">
        <f t="shared" si="4236"/>
        <v>1</v>
      </c>
      <c r="N2118" s="62">
        <f t="shared" si="4236"/>
        <v>1</v>
      </c>
      <c r="O2118" s="62">
        <f t="shared" si="4236"/>
        <v>1</v>
      </c>
      <c r="P2118" s="62" t="str">
        <f t="shared" si="4236"/>
        <v/>
      </c>
      <c r="Q2118" s="62" t="str">
        <f t="shared" si="4236"/>
        <v/>
      </c>
      <c r="R2118" s="62">
        <f t="shared" si="7"/>
        <v>0</v>
      </c>
      <c r="S2118" s="62"/>
      <c r="T2118" s="62"/>
      <c r="U2118" s="62"/>
      <c r="V2118" s="62"/>
      <c r="W2118" s="62"/>
      <c r="X2118" s="62"/>
      <c r="Y2118" s="62"/>
      <c r="Z2118" s="62"/>
      <c r="AA2118" s="62"/>
      <c r="AB2118" s="62"/>
      <c r="AC2118" s="62"/>
    </row>
    <row r="2119">
      <c r="A2119" s="60">
        <f>IFERROR(__xludf.DUMMYFUNCTION("""COMPUTED_VALUE"""),17141.0)</f>
        <v>17141</v>
      </c>
      <c r="B2119" s="60" t="str">
        <f>IFERROR(__xludf.DUMMYFUNCTION("""COMPUTED_VALUE"""),"Hairston, Maxwell")</f>
        <v>Hairston, Maxwell</v>
      </c>
      <c r="C2119" s="60" t="str">
        <f>IFERROR(__xludf.DUMMYFUNCTION("""COMPUTED_VALUE"""),"CB")</f>
        <v>CB</v>
      </c>
      <c r="D2119" s="60" t="str">
        <f>IFERROR(__xludf.DUMMYFUNCTION("""COMPUTED_VALUE"""),"BUF")</f>
        <v>BUF</v>
      </c>
      <c r="E2119" s="62" t="str">
        <f t="shared" si="4"/>
        <v>Maxwell Hairston</v>
      </c>
      <c r="F2119" s="62">
        <f t="shared" ref="F2119:G2119" si="4237">IF(isblank(F$1),,IF(isblank($A2119),,IFERROR(vlookup($A2119,indirect("'TVC-"&amp;text(month(F$1),"00")&amp;"'!$A:$D"),4,false),1)))</f>
        <v>1</v>
      </c>
      <c r="G2119" s="62">
        <f t="shared" si="4237"/>
        <v>1</v>
      </c>
      <c r="H2119" s="62">
        <f t="shared" ref="H2119:Q2119" si="4238">IF(isblank(H$1),,IFERROR(vlookup($A2119,indirect("'TVC-"&amp;text(month(H$1),"00")&amp;"'!$A:$D"),4,false),1))</f>
        <v>1</v>
      </c>
      <c r="I2119" s="62">
        <f t="shared" si="4238"/>
        <v>1</v>
      </c>
      <c r="J2119" s="62">
        <f t="shared" si="4238"/>
        <v>1</v>
      </c>
      <c r="K2119" s="62">
        <f t="shared" si="4238"/>
        <v>1</v>
      </c>
      <c r="L2119" s="62">
        <f t="shared" si="4238"/>
        <v>1</v>
      </c>
      <c r="M2119" s="62">
        <f t="shared" si="4238"/>
        <v>1</v>
      </c>
      <c r="N2119" s="62">
        <f t="shared" si="4238"/>
        <v>1</v>
      </c>
      <c r="O2119" s="62">
        <f t="shared" si="4238"/>
        <v>1</v>
      </c>
      <c r="P2119" s="62" t="str">
        <f t="shared" si="4238"/>
        <v/>
      </c>
      <c r="Q2119" s="62" t="str">
        <f t="shared" si="4238"/>
        <v/>
      </c>
      <c r="R2119" s="62">
        <f t="shared" si="7"/>
        <v>0</v>
      </c>
      <c r="S2119" s="62"/>
      <c r="T2119" s="62"/>
      <c r="U2119" s="62"/>
      <c r="V2119" s="62"/>
      <c r="W2119" s="62"/>
      <c r="X2119" s="62"/>
      <c r="Y2119" s="62"/>
      <c r="Z2119" s="62"/>
      <c r="AA2119" s="62"/>
      <c r="AB2119" s="62"/>
      <c r="AC2119" s="62"/>
    </row>
    <row r="2120" hidden="1">
      <c r="A2120" s="60">
        <f>IFERROR(__xludf.DUMMYFUNCTION("""COMPUTED_VALUE"""),17142.0)</f>
        <v>17142</v>
      </c>
      <c r="B2120" s="60" t="str">
        <f>IFERROR(__xludf.DUMMYFUNCTION("""COMPUTED_VALUE"""),"Revel, Shavon")</f>
        <v>Revel, Shavon</v>
      </c>
      <c r="C2120" s="60" t="str">
        <f>IFERROR(__xludf.DUMMYFUNCTION("""COMPUTED_VALUE"""),"CB")</f>
        <v>CB</v>
      </c>
      <c r="D2120" s="60" t="str">
        <f>IFERROR(__xludf.DUMMYFUNCTION("""COMPUTED_VALUE"""),"DAL")</f>
        <v>DAL</v>
      </c>
      <c r="E2120" s="62" t="str">
        <f t="shared" si="4"/>
        <v>Shavon Revel</v>
      </c>
      <c r="F2120" s="62">
        <f t="shared" ref="F2120:G2120" si="4239">IF(isblank(F$1),,IF(isblank($A2120),,IFERROR(vlookup($A2120,indirect("'TVC-"&amp;text(month(F$1),"00")&amp;"'!$A:$D"),4,false),1)))</f>
        <v>1</v>
      </c>
      <c r="G2120" s="62">
        <f t="shared" si="4239"/>
        <v>1</v>
      </c>
      <c r="H2120" s="62">
        <f t="shared" ref="H2120:Q2120" si="4240">IF(isblank(H$1),,IFERROR(vlookup($A2120,indirect("'TVC-"&amp;text(month(H$1),"00")&amp;"'!$A:$D"),4,false),1))</f>
        <v>1</v>
      </c>
      <c r="I2120" s="62">
        <f t="shared" si="4240"/>
        <v>1</v>
      </c>
      <c r="J2120" s="62">
        <f t="shared" si="4240"/>
        <v>1</v>
      </c>
      <c r="K2120" s="62">
        <f t="shared" si="4240"/>
        <v>1</v>
      </c>
      <c r="L2120" s="62">
        <f t="shared" si="4240"/>
        <v>1</v>
      </c>
      <c r="M2120" s="62">
        <f t="shared" si="4240"/>
        <v>1</v>
      </c>
      <c r="N2120" s="62">
        <f t="shared" si="4240"/>
        <v>1</v>
      </c>
      <c r="O2120" s="62">
        <f t="shared" si="4240"/>
        <v>1</v>
      </c>
      <c r="P2120" s="62" t="str">
        <f t="shared" si="4240"/>
        <v/>
      </c>
      <c r="Q2120" s="62" t="str">
        <f t="shared" si="4240"/>
        <v/>
      </c>
      <c r="R2120" s="62">
        <f t="shared" si="7"/>
        <v>0</v>
      </c>
      <c r="S2120" s="62"/>
      <c r="T2120" s="62"/>
      <c r="U2120" s="62"/>
      <c r="V2120" s="62"/>
      <c r="W2120" s="62"/>
      <c r="X2120" s="62"/>
      <c r="Y2120" s="62"/>
      <c r="Z2120" s="62"/>
      <c r="AA2120" s="62"/>
      <c r="AB2120" s="62"/>
      <c r="AC2120" s="62"/>
    </row>
    <row r="2121" hidden="1">
      <c r="A2121" s="60">
        <f>IFERROR(__xludf.DUMMYFUNCTION("""COMPUTED_VALUE"""),17143.0)</f>
        <v>17143</v>
      </c>
      <c r="B2121" s="60" t="str">
        <f>IFERROR(__xludf.DUMMYFUNCTION("""COMPUTED_VALUE"""),"Thomas, Azareye'h")</f>
        <v>Thomas, Azareye'h</v>
      </c>
      <c r="C2121" s="60" t="str">
        <f>IFERROR(__xludf.DUMMYFUNCTION("""COMPUTED_VALUE"""),"CB")</f>
        <v>CB</v>
      </c>
      <c r="D2121" s="60" t="str">
        <f>IFERROR(__xludf.DUMMYFUNCTION("""COMPUTED_VALUE"""),"NYJ")</f>
        <v>NYJ</v>
      </c>
      <c r="E2121" s="62" t="str">
        <f t="shared" si="4"/>
        <v>Azareye'h Thomas</v>
      </c>
      <c r="F2121" s="62">
        <f t="shared" ref="F2121:G2121" si="4241">IF(isblank(F$1),,IF(isblank($A2121),,IFERROR(vlookup($A2121,indirect("'TVC-"&amp;text(month(F$1),"00")&amp;"'!$A:$D"),4,false),1)))</f>
        <v>1</v>
      </c>
      <c r="G2121" s="62">
        <f t="shared" si="4241"/>
        <v>1</v>
      </c>
      <c r="H2121" s="62">
        <f t="shared" ref="H2121:Q2121" si="4242">IF(isblank(H$1),,IFERROR(vlookup($A2121,indirect("'TVC-"&amp;text(month(H$1),"00")&amp;"'!$A:$D"),4,false),1))</f>
        <v>1</v>
      </c>
      <c r="I2121" s="62">
        <f t="shared" si="4242"/>
        <v>1</v>
      </c>
      <c r="J2121" s="62">
        <f t="shared" si="4242"/>
        <v>1</v>
      </c>
      <c r="K2121" s="62">
        <f t="shared" si="4242"/>
        <v>1</v>
      </c>
      <c r="L2121" s="62">
        <f t="shared" si="4242"/>
        <v>1</v>
      </c>
      <c r="M2121" s="62">
        <f t="shared" si="4242"/>
        <v>1</v>
      </c>
      <c r="N2121" s="62">
        <f t="shared" si="4242"/>
        <v>1</v>
      </c>
      <c r="O2121" s="62">
        <f t="shared" si="4242"/>
        <v>1</v>
      </c>
      <c r="P2121" s="62" t="str">
        <f t="shared" si="4242"/>
        <v/>
      </c>
      <c r="Q2121" s="62" t="str">
        <f t="shared" si="4242"/>
        <v/>
      </c>
      <c r="R2121" s="62">
        <f t="shared" si="7"/>
        <v>0</v>
      </c>
      <c r="S2121" s="62"/>
      <c r="T2121" s="62"/>
      <c r="U2121" s="62"/>
      <c r="V2121" s="62"/>
      <c r="W2121" s="62"/>
      <c r="X2121" s="62"/>
      <c r="Y2121" s="62"/>
      <c r="Z2121" s="62"/>
      <c r="AA2121" s="62"/>
      <c r="AB2121" s="62"/>
      <c r="AC2121" s="62"/>
    </row>
    <row r="2122" hidden="1">
      <c r="A2122" s="60">
        <f>IFERROR(__xludf.DUMMYFUNCTION("""COMPUTED_VALUE"""),17144.0)</f>
        <v>17144</v>
      </c>
      <c r="B2122" s="60" t="str">
        <f>IFERROR(__xludf.DUMMYFUNCTION("""COMPUTED_VALUE"""),"Emmanwori, Nick")</f>
        <v>Emmanwori, Nick</v>
      </c>
      <c r="C2122" s="60" t="str">
        <f>IFERROR(__xludf.DUMMYFUNCTION("""COMPUTED_VALUE"""),"S")</f>
        <v>S</v>
      </c>
      <c r="D2122" s="60" t="str">
        <f>IFERROR(__xludf.DUMMYFUNCTION("""COMPUTED_VALUE"""),"SEA")</f>
        <v>SEA</v>
      </c>
      <c r="E2122" s="62" t="str">
        <f t="shared" si="4"/>
        <v>Nick Emmanwori</v>
      </c>
      <c r="F2122" s="62">
        <f t="shared" ref="F2122:G2122" si="4243">IF(isblank(F$1),,IF(isblank($A2122),,IFERROR(vlookup($A2122,indirect("'TVC-"&amp;text(month(F$1),"00")&amp;"'!$A:$D"),4,false),1)))</f>
        <v>1</v>
      </c>
      <c r="G2122" s="62">
        <f t="shared" si="4243"/>
        <v>1</v>
      </c>
      <c r="H2122" s="62">
        <f t="shared" ref="H2122:Q2122" si="4244">IF(isblank(H$1),,IFERROR(vlookup($A2122,indirect("'TVC-"&amp;text(month(H$1),"00")&amp;"'!$A:$D"),4,false),1))</f>
        <v>1</v>
      </c>
      <c r="I2122" s="62">
        <f t="shared" si="4244"/>
        <v>1</v>
      </c>
      <c r="J2122" s="62">
        <f t="shared" si="4244"/>
        <v>1</v>
      </c>
      <c r="K2122" s="62">
        <f t="shared" si="4244"/>
        <v>1</v>
      </c>
      <c r="L2122" s="62">
        <f t="shared" si="4244"/>
        <v>1</v>
      </c>
      <c r="M2122" s="62">
        <f t="shared" si="4244"/>
        <v>1</v>
      </c>
      <c r="N2122" s="62">
        <f t="shared" si="4244"/>
        <v>1</v>
      </c>
      <c r="O2122" s="62">
        <f t="shared" si="4244"/>
        <v>1</v>
      </c>
      <c r="P2122" s="62" t="str">
        <f t="shared" si="4244"/>
        <v/>
      </c>
      <c r="Q2122" s="62" t="str">
        <f t="shared" si="4244"/>
        <v/>
      </c>
      <c r="R2122" s="62">
        <f t="shared" si="7"/>
        <v>0</v>
      </c>
      <c r="S2122" s="62"/>
      <c r="T2122" s="62"/>
      <c r="U2122" s="62"/>
      <c r="V2122" s="62"/>
      <c r="W2122" s="62"/>
      <c r="X2122" s="62"/>
      <c r="Y2122" s="62"/>
      <c r="Z2122" s="62"/>
      <c r="AA2122" s="62"/>
      <c r="AB2122" s="62"/>
      <c r="AC2122" s="62"/>
    </row>
    <row r="2123">
      <c r="A2123" s="60">
        <f>IFERROR(__xludf.DUMMYFUNCTION("""COMPUTED_VALUE"""),17145.0)</f>
        <v>17145</v>
      </c>
      <c r="B2123" s="60" t="str">
        <f>IFERROR(__xludf.DUMMYFUNCTION("""COMPUTED_VALUE"""),"Winston, Kevin")</f>
        <v>Winston, Kevin</v>
      </c>
      <c r="C2123" s="60" t="str">
        <f>IFERROR(__xludf.DUMMYFUNCTION("""COMPUTED_VALUE"""),"S")</f>
        <v>S</v>
      </c>
      <c r="D2123" s="60" t="str">
        <f>IFERROR(__xludf.DUMMYFUNCTION("""COMPUTED_VALUE"""),"TEN")</f>
        <v>TEN</v>
      </c>
      <c r="E2123" s="62" t="str">
        <f t="shared" si="4"/>
        <v>Kevin Winston</v>
      </c>
      <c r="F2123" s="62">
        <f t="shared" ref="F2123:G2123" si="4245">IF(isblank(F$1),,IF(isblank($A2123),,IFERROR(vlookup($A2123,indirect("'TVC-"&amp;text(month(F$1),"00")&amp;"'!$A:$D"),4,false),1)))</f>
        <v>1</v>
      </c>
      <c r="G2123" s="62">
        <f t="shared" si="4245"/>
        <v>1</v>
      </c>
      <c r="H2123" s="62">
        <f t="shared" ref="H2123:Q2123" si="4246">IF(isblank(H$1),,IFERROR(vlookup($A2123,indirect("'TVC-"&amp;text(month(H$1),"00")&amp;"'!$A:$D"),4,false),1))</f>
        <v>1</v>
      </c>
      <c r="I2123" s="62">
        <f t="shared" si="4246"/>
        <v>1</v>
      </c>
      <c r="J2123" s="62">
        <f t="shared" si="4246"/>
        <v>1</v>
      </c>
      <c r="K2123" s="62">
        <f t="shared" si="4246"/>
        <v>1</v>
      </c>
      <c r="L2123" s="62">
        <f t="shared" si="4246"/>
        <v>1</v>
      </c>
      <c r="M2123" s="62">
        <f t="shared" si="4246"/>
        <v>1</v>
      </c>
      <c r="N2123" s="62">
        <f t="shared" si="4246"/>
        <v>1</v>
      </c>
      <c r="O2123" s="62">
        <f t="shared" si="4246"/>
        <v>1</v>
      </c>
      <c r="P2123" s="62" t="str">
        <f t="shared" si="4246"/>
        <v/>
      </c>
      <c r="Q2123" s="62" t="str">
        <f t="shared" si="4246"/>
        <v/>
      </c>
      <c r="R2123" s="62">
        <f t="shared" si="7"/>
        <v>0</v>
      </c>
      <c r="S2123" s="62"/>
      <c r="T2123" s="62"/>
      <c r="U2123" s="62"/>
      <c r="V2123" s="62"/>
      <c r="W2123" s="62"/>
      <c r="X2123" s="62"/>
      <c r="Y2123" s="62"/>
      <c r="Z2123" s="62"/>
      <c r="AA2123" s="62"/>
      <c r="AB2123" s="62"/>
      <c r="AC2123" s="62"/>
    </row>
    <row r="2124" hidden="1">
      <c r="A2124" s="60">
        <f>IFERROR(__xludf.DUMMYFUNCTION("""COMPUTED_VALUE"""),17146.0)</f>
        <v>17146</v>
      </c>
      <c r="B2124" s="60" t="str">
        <f>IFERROR(__xludf.DUMMYFUNCTION("""COMPUTED_VALUE"""),"Williams, Tyleik")</f>
        <v>Williams, Tyleik</v>
      </c>
      <c r="C2124" s="60" t="str">
        <f>IFERROR(__xludf.DUMMYFUNCTION("""COMPUTED_VALUE"""),"DT")</f>
        <v>DT</v>
      </c>
      <c r="D2124" s="60" t="str">
        <f>IFERROR(__xludf.DUMMYFUNCTION("""COMPUTED_VALUE"""),"DET")</f>
        <v>DET</v>
      </c>
      <c r="E2124" s="62" t="str">
        <f t="shared" si="4"/>
        <v>Tyleik Williams</v>
      </c>
      <c r="F2124" s="62">
        <f t="shared" ref="F2124:G2124" si="4247">IF(isblank(F$1),,IF(isblank($A2124),,IFERROR(vlookup($A2124,indirect("'TVC-"&amp;text(month(F$1),"00")&amp;"'!$A:$D"),4,false),1)))</f>
        <v>1</v>
      </c>
      <c r="G2124" s="62">
        <f t="shared" si="4247"/>
        <v>1</v>
      </c>
      <c r="H2124" s="62">
        <f t="shared" ref="H2124:Q2124" si="4248">IF(isblank(H$1),,IFERROR(vlookup($A2124,indirect("'TVC-"&amp;text(month(H$1),"00")&amp;"'!$A:$D"),4,false),1))</f>
        <v>1</v>
      </c>
      <c r="I2124" s="62">
        <f t="shared" si="4248"/>
        <v>1</v>
      </c>
      <c r="J2124" s="62">
        <f t="shared" si="4248"/>
        <v>1</v>
      </c>
      <c r="K2124" s="62">
        <f t="shared" si="4248"/>
        <v>1</v>
      </c>
      <c r="L2124" s="62">
        <f t="shared" si="4248"/>
        <v>1</v>
      </c>
      <c r="M2124" s="62">
        <f t="shared" si="4248"/>
        <v>1</v>
      </c>
      <c r="N2124" s="62">
        <f t="shared" si="4248"/>
        <v>1</v>
      </c>
      <c r="O2124" s="62">
        <f t="shared" si="4248"/>
        <v>1</v>
      </c>
      <c r="P2124" s="62" t="str">
        <f t="shared" si="4248"/>
        <v/>
      </c>
      <c r="Q2124" s="62" t="str">
        <f t="shared" si="4248"/>
        <v/>
      </c>
      <c r="R2124" s="62">
        <f t="shared" si="7"/>
        <v>0</v>
      </c>
      <c r="S2124" s="62"/>
      <c r="T2124" s="62"/>
      <c r="U2124" s="62"/>
      <c r="V2124" s="62"/>
      <c r="W2124" s="62"/>
      <c r="X2124" s="62"/>
      <c r="Y2124" s="62"/>
      <c r="Z2124" s="62"/>
      <c r="AA2124" s="62"/>
      <c r="AB2124" s="62"/>
      <c r="AC2124" s="62"/>
    </row>
    <row r="2125" hidden="1">
      <c r="A2125" s="60">
        <f>IFERROR(__xludf.DUMMYFUNCTION("""COMPUTED_VALUE"""),17147.0)</f>
        <v>17147</v>
      </c>
      <c r="B2125" s="60" t="str">
        <f>IFERROR(__xludf.DUMMYFUNCTION("""COMPUTED_VALUE"""),"Schwesinger, Carson")</f>
        <v>Schwesinger, Carson</v>
      </c>
      <c r="C2125" s="60" t="str">
        <f>IFERROR(__xludf.DUMMYFUNCTION("""COMPUTED_VALUE"""),"LB")</f>
        <v>LB</v>
      </c>
      <c r="D2125" s="60" t="str">
        <f>IFERROR(__xludf.DUMMYFUNCTION("""COMPUTED_VALUE"""),"CLE")</f>
        <v>CLE</v>
      </c>
      <c r="E2125" s="62" t="str">
        <f t="shared" si="4"/>
        <v>Carson Schwesinger</v>
      </c>
      <c r="F2125" s="62">
        <f t="shared" ref="F2125:G2125" si="4249">IF(isblank(F$1),,IF(isblank($A2125),,IFERROR(vlookup($A2125,indirect("'TVC-"&amp;text(month(F$1),"00")&amp;"'!$A:$D"),4,false),1)))</f>
        <v>1</v>
      </c>
      <c r="G2125" s="62">
        <f t="shared" si="4249"/>
        <v>1</v>
      </c>
      <c r="H2125" s="62">
        <f t="shared" ref="H2125:Q2125" si="4250">IF(isblank(H$1),,IFERROR(vlookup($A2125,indirect("'TVC-"&amp;text(month(H$1),"00")&amp;"'!$A:$D"),4,false),1))</f>
        <v>1</v>
      </c>
      <c r="I2125" s="62">
        <f t="shared" si="4250"/>
        <v>1</v>
      </c>
      <c r="J2125" s="62">
        <f t="shared" si="4250"/>
        <v>1</v>
      </c>
      <c r="K2125" s="62">
        <f t="shared" si="4250"/>
        <v>1</v>
      </c>
      <c r="L2125" s="62">
        <f t="shared" si="4250"/>
        <v>1</v>
      </c>
      <c r="M2125" s="62">
        <f t="shared" si="4250"/>
        <v>1</v>
      </c>
      <c r="N2125" s="62">
        <f t="shared" si="4250"/>
        <v>1</v>
      </c>
      <c r="O2125" s="62">
        <f t="shared" si="4250"/>
        <v>1</v>
      </c>
      <c r="P2125" s="62" t="str">
        <f t="shared" si="4250"/>
        <v/>
      </c>
      <c r="Q2125" s="62" t="str">
        <f t="shared" si="4250"/>
        <v/>
      </c>
      <c r="R2125" s="62">
        <f t="shared" si="7"/>
        <v>0</v>
      </c>
      <c r="S2125" s="62"/>
      <c r="T2125" s="62"/>
      <c r="U2125" s="62"/>
      <c r="V2125" s="62"/>
      <c r="W2125" s="62"/>
      <c r="X2125" s="62"/>
      <c r="Y2125" s="62"/>
      <c r="Z2125" s="62"/>
      <c r="AA2125" s="62"/>
      <c r="AB2125" s="62"/>
      <c r="AC2125" s="62"/>
    </row>
    <row r="2126" hidden="1">
      <c r="A2126" s="60">
        <f>IFERROR(__xludf.DUMMYFUNCTION("""COMPUTED_VALUE"""),17148.0)</f>
        <v>17148</v>
      </c>
      <c r="B2126" s="60" t="str">
        <f>IFERROR(__xludf.DUMMYFUNCTION("""COMPUTED_VALUE"""),"Collins, Alfred")</f>
        <v>Collins, Alfred</v>
      </c>
      <c r="C2126" s="60" t="str">
        <f>IFERROR(__xludf.DUMMYFUNCTION("""COMPUTED_VALUE"""),"DT")</f>
        <v>DT</v>
      </c>
      <c r="D2126" s="60" t="str">
        <f>IFERROR(__xludf.DUMMYFUNCTION("""COMPUTED_VALUE"""),"SFO")</f>
        <v>SFO</v>
      </c>
      <c r="E2126" s="62" t="str">
        <f t="shared" si="4"/>
        <v>Alfred Collins</v>
      </c>
      <c r="F2126" s="62">
        <f t="shared" ref="F2126:G2126" si="4251">IF(isblank(F$1),,IF(isblank($A2126),,IFERROR(vlookup($A2126,indirect("'TVC-"&amp;text(month(F$1),"00")&amp;"'!$A:$D"),4,false),1)))</f>
        <v>1</v>
      </c>
      <c r="G2126" s="62">
        <f t="shared" si="4251"/>
        <v>1</v>
      </c>
      <c r="H2126" s="62">
        <f t="shared" ref="H2126:Q2126" si="4252">IF(isblank(H$1),,IFERROR(vlookup($A2126,indirect("'TVC-"&amp;text(month(H$1),"00")&amp;"'!$A:$D"),4,false),1))</f>
        <v>1</v>
      </c>
      <c r="I2126" s="62">
        <f t="shared" si="4252"/>
        <v>1</v>
      </c>
      <c r="J2126" s="62">
        <f t="shared" si="4252"/>
        <v>1</v>
      </c>
      <c r="K2126" s="62">
        <f t="shared" si="4252"/>
        <v>1</v>
      </c>
      <c r="L2126" s="62">
        <f t="shared" si="4252"/>
        <v>1</v>
      </c>
      <c r="M2126" s="62">
        <f t="shared" si="4252"/>
        <v>1</v>
      </c>
      <c r="N2126" s="62">
        <f t="shared" si="4252"/>
        <v>1</v>
      </c>
      <c r="O2126" s="62">
        <f t="shared" si="4252"/>
        <v>1</v>
      </c>
      <c r="P2126" s="62" t="str">
        <f t="shared" si="4252"/>
        <v/>
      </c>
      <c r="Q2126" s="62" t="str">
        <f t="shared" si="4252"/>
        <v/>
      </c>
      <c r="R2126" s="62">
        <f t="shared" si="7"/>
        <v>0</v>
      </c>
      <c r="S2126" s="62"/>
      <c r="T2126" s="62"/>
      <c r="U2126" s="62"/>
      <c r="V2126" s="62"/>
      <c r="W2126" s="62"/>
      <c r="X2126" s="62"/>
      <c r="Y2126" s="62"/>
      <c r="Z2126" s="62"/>
      <c r="AA2126" s="62"/>
      <c r="AB2126" s="62"/>
      <c r="AC2126" s="62"/>
    </row>
    <row r="2127" hidden="1">
      <c r="A2127" s="60">
        <f>IFERROR(__xludf.DUMMYFUNCTION("""COMPUTED_VALUE"""),17149.0)</f>
        <v>17149</v>
      </c>
      <c r="B2127" s="60" t="str">
        <f>IFERROR(__xludf.DUMMYFUNCTION("""COMPUTED_VALUE"""),"Tuimoloau, JT")</f>
        <v>Tuimoloau, JT</v>
      </c>
      <c r="C2127" s="60" t="str">
        <f>IFERROR(__xludf.DUMMYFUNCTION("""COMPUTED_VALUE"""),"DE")</f>
        <v>DE</v>
      </c>
      <c r="D2127" s="60" t="str">
        <f>IFERROR(__xludf.DUMMYFUNCTION("""COMPUTED_VALUE"""),"IND")</f>
        <v>IND</v>
      </c>
      <c r="E2127" s="62" t="str">
        <f t="shared" si="4"/>
        <v>JT Tuimoloau</v>
      </c>
      <c r="F2127" s="62">
        <f t="shared" ref="F2127:G2127" si="4253">IF(isblank(F$1),,IF(isblank($A2127),,IFERROR(vlookup($A2127,indirect("'TVC-"&amp;text(month(F$1),"00")&amp;"'!$A:$D"),4,false),1)))</f>
        <v>1</v>
      </c>
      <c r="G2127" s="62">
        <f t="shared" si="4253"/>
        <v>1</v>
      </c>
      <c r="H2127" s="62">
        <f t="shared" ref="H2127:Q2127" si="4254">IF(isblank(H$1),,IFERROR(vlookup($A2127,indirect("'TVC-"&amp;text(month(H$1),"00")&amp;"'!$A:$D"),4,false),1))</f>
        <v>1</v>
      </c>
      <c r="I2127" s="62">
        <f t="shared" si="4254"/>
        <v>1</v>
      </c>
      <c r="J2127" s="62">
        <f t="shared" si="4254"/>
        <v>1</v>
      </c>
      <c r="K2127" s="62">
        <f t="shared" si="4254"/>
        <v>1</v>
      </c>
      <c r="L2127" s="62">
        <f t="shared" si="4254"/>
        <v>1</v>
      </c>
      <c r="M2127" s="62">
        <f t="shared" si="4254"/>
        <v>1</v>
      </c>
      <c r="N2127" s="62">
        <f t="shared" si="4254"/>
        <v>1</v>
      </c>
      <c r="O2127" s="62">
        <f t="shared" si="4254"/>
        <v>1</v>
      </c>
      <c r="P2127" s="62" t="str">
        <f t="shared" si="4254"/>
        <v/>
      </c>
      <c r="Q2127" s="62" t="str">
        <f t="shared" si="4254"/>
        <v/>
      </c>
      <c r="R2127" s="62">
        <f t="shared" si="7"/>
        <v>0</v>
      </c>
      <c r="S2127" s="62"/>
      <c r="T2127" s="62"/>
      <c r="U2127" s="62"/>
      <c r="V2127" s="62"/>
      <c r="W2127" s="62"/>
      <c r="X2127" s="62"/>
      <c r="Y2127" s="62"/>
      <c r="Z2127" s="62"/>
      <c r="AA2127" s="62"/>
      <c r="AB2127" s="62"/>
      <c r="AC2127" s="62"/>
    </row>
    <row r="2128" hidden="1">
      <c r="A2128" s="60">
        <f>IFERROR(__xludf.DUMMYFUNCTION("""COMPUTED_VALUE"""),17150.0)</f>
        <v>17150</v>
      </c>
      <c r="B2128" s="60" t="str">
        <f>IFERROR(__xludf.DUMMYFUNCTION("""COMPUTED_VALUE"""),"Oladejo, Oluwafemi")</f>
        <v>Oladejo, Oluwafemi</v>
      </c>
      <c r="C2128" s="60" t="str">
        <f>IFERROR(__xludf.DUMMYFUNCTION("""COMPUTED_VALUE"""),"DE")</f>
        <v>DE</v>
      </c>
      <c r="D2128" s="60" t="str">
        <f>IFERROR(__xludf.DUMMYFUNCTION("""COMPUTED_VALUE"""),"TEN")</f>
        <v>TEN</v>
      </c>
      <c r="E2128" s="62" t="str">
        <f t="shared" si="4"/>
        <v>Oluwafemi Oladejo</v>
      </c>
      <c r="F2128" s="62">
        <f t="shared" ref="F2128:G2128" si="4255">IF(isblank(F$1),,IF(isblank($A2128),,IFERROR(vlookup($A2128,indirect("'TVC-"&amp;text(month(F$1),"00")&amp;"'!$A:$D"),4,false),1)))</f>
        <v>1</v>
      </c>
      <c r="G2128" s="62">
        <f t="shared" si="4255"/>
        <v>1</v>
      </c>
      <c r="H2128" s="62">
        <f t="shared" ref="H2128:Q2128" si="4256">IF(isblank(H$1),,IFERROR(vlookup($A2128,indirect("'TVC-"&amp;text(month(H$1),"00")&amp;"'!$A:$D"),4,false),1))</f>
        <v>1</v>
      </c>
      <c r="I2128" s="62">
        <f t="shared" si="4256"/>
        <v>1</v>
      </c>
      <c r="J2128" s="62">
        <f t="shared" si="4256"/>
        <v>1</v>
      </c>
      <c r="K2128" s="62">
        <f t="shared" si="4256"/>
        <v>1</v>
      </c>
      <c r="L2128" s="62">
        <f t="shared" si="4256"/>
        <v>1</v>
      </c>
      <c r="M2128" s="62">
        <f t="shared" si="4256"/>
        <v>1</v>
      </c>
      <c r="N2128" s="62">
        <f t="shared" si="4256"/>
        <v>1</v>
      </c>
      <c r="O2128" s="62">
        <f t="shared" si="4256"/>
        <v>1</v>
      </c>
      <c r="P2128" s="62" t="str">
        <f t="shared" si="4256"/>
        <v/>
      </c>
      <c r="Q2128" s="62" t="str">
        <f t="shared" si="4256"/>
        <v/>
      </c>
      <c r="R2128" s="62">
        <f t="shared" si="7"/>
        <v>0</v>
      </c>
      <c r="S2128" s="62"/>
      <c r="T2128" s="62"/>
      <c r="U2128" s="62"/>
      <c r="V2128" s="62"/>
      <c r="W2128" s="62"/>
      <c r="X2128" s="62"/>
      <c r="Y2128" s="62"/>
      <c r="Z2128" s="62"/>
      <c r="AA2128" s="62"/>
      <c r="AB2128" s="62"/>
      <c r="AC2128" s="62"/>
    </row>
    <row r="2129" hidden="1">
      <c r="A2129" s="60">
        <f>IFERROR(__xludf.DUMMYFUNCTION("""COMPUTED_VALUE"""),17151.0)</f>
        <v>17151</v>
      </c>
      <c r="B2129" s="60" t="str">
        <f>IFERROR(__xludf.DUMMYFUNCTION("""COMPUTED_VALUE"""),"Turner, Shemar")</f>
        <v>Turner, Shemar</v>
      </c>
      <c r="C2129" s="60" t="str">
        <f>IFERROR(__xludf.DUMMYFUNCTION("""COMPUTED_VALUE"""),"DT")</f>
        <v>DT</v>
      </c>
      <c r="D2129" s="60" t="str">
        <f>IFERROR(__xludf.DUMMYFUNCTION("""COMPUTED_VALUE"""),"CHI")</f>
        <v>CHI</v>
      </c>
      <c r="E2129" s="62" t="str">
        <f t="shared" si="4"/>
        <v>Shemar Turner</v>
      </c>
      <c r="F2129" s="62">
        <f t="shared" ref="F2129:G2129" si="4257">IF(isblank(F$1),,IF(isblank($A2129),,IFERROR(vlookup($A2129,indirect("'TVC-"&amp;text(month(F$1),"00")&amp;"'!$A:$D"),4,false),1)))</f>
        <v>1</v>
      </c>
      <c r="G2129" s="62">
        <f t="shared" si="4257"/>
        <v>1</v>
      </c>
      <c r="H2129" s="62">
        <f t="shared" ref="H2129:Q2129" si="4258">IF(isblank(H$1),,IFERROR(vlookup($A2129,indirect("'TVC-"&amp;text(month(H$1),"00")&amp;"'!$A:$D"),4,false),1))</f>
        <v>1</v>
      </c>
      <c r="I2129" s="62">
        <f t="shared" si="4258"/>
        <v>1</v>
      </c>
      <c r="J2129" s="62">
        <f t="shared" si="4258"/>
        <v>1</v>
      </c>
      <c r="K2129" s="62">
        <f t="shared" si="4258"/>
        <v>1</v>
      </c>
      <c r="L2129" s="62">
        <f t="shared" si="4258"/>
        <v>1</v>
      </c>
      <c r="M2129" s="62">
        <f t="shared" si="4258"/>
        <v>1</v>
      </c>
      <c r="N2129" s="62">
        <f t="shared" si="4258"/>
        <v>1</v>
      </c>
      <c r="O2129" s="62">
        <f t="shared" si="4258"/>
        <v>1</v>
      </c>
      <c r="P2129" s="62" t="str">
        <f t="shared" si="4258"/>
        <v/>
      </c>
      <c r="Q2129" s="62" t="str">
        <f t="shared" si="4258"/>
        <v/>
      </c>
      <c r="R2129" s="62">
        <f t="shared" si="7"/>
        <v>0</v>
      </c>
      <c r="S2129" s="62"/>
      <c r="T2129" s="62"/>
      <c r="U2129" s="62"/>
      <c r="V2129" s="62"/>
      <c r="W2129" s="62"/>
      <c r="X2129" s="62"/>
      <c r="Y2129" s="62"/>
      <c r="Z2129" s="62"/>
      <c r="AA2129" s="62"/>
      <c r="AB2129" s="62"/>
      <c r="AC2129" s="62"/>
    </row>
    <row r="2130" hidden="1">
      <c r="A2130" s="60">
        <f>IFERROR(__xludf.DUMMYFUNCTION("""COMPUTED_VALUE"""),17152.0)</f>
        <v>17152</v>
      </c>
      <c r="B2130" s="60" t="str">
        <f>IFERROR(__xludf.DUMMYFUNCTION("""COMPUTED_VALUE"""),"Norman-Lott, Omarr")</f>
        <v>Norman-Lott, Omarr</v>
      </c>
      <c r="C2130" s="60" t="str">
        <f>IFERROR(__xludf.DUMMYFUNCTION("""COMPUTED_VALUE"""),"DT")</f>
        <v>DT</v>
      </c>
      <c r="D2130" s="60" t="str">
        <f>IFERROR(__xludf.DUMMYFUNCTION("""COMPUTED_VALUE"""),"KCC")</f>
        <v>KCC</v>
      </c>
      <c r="E2130" s="62" t="str">
        <f t="shared" si="4"/>
        <v>Omarr Norman-Lott</v>
      </c>
      <c r="F2130" s="62">
        <f t="shared" ref="F2130:G2130" si="4259">IF(isblank(F$1),,IF(isblank($A2130),,IFERROR(vlookup($A2130,indirect("'TVC-"&amp;text(month(F$1),"00")&amp;"'!$A:$D"),4,false),1)))</f>
        <v>1</v>
      </c>
      <c r="G2130" s="62">
        <f t="shared" si="4259"/>
        <v>1</v>
      </c>
      <c r="H2130" s="62">
        <f t="shared" ref="H2130:Q2130" si="4260">IF(isblank(H$1),,IFERROR(vlookup($A2130,indirect("'TVC-"&amp;text(month(H$1),"00")&amp;"'!$A:$D"),4,false),1))</f>
        <v>1</v>
      </c>
      <c r="I2130" s="62">
        <f t="shared" si="4260"/>
        <v>1</v>
      </c>
      <c r="J2130" s="62">
        <f t="shared" si="4260"/>
        <v>1</v>
      </c>
      <c r="K2130" s="62">
        <f t="shared" si="4260"/>
        <v>1</v>
      </c>
      <c r="L2130" s="62">
        <f t="shared" si="4260"/>
        <v>1</v>
      </c>
      <c r="M2130" s="62">
        <f t="shared" si="4260"/>
        <v>1</v>
      </c>
      <c r="N2130" s="62">
        <f t="shared" si="4260"/>
        <v>1</v>
      </c>
      <c r="O2130" s="62">
        <f t="shared" si="4260"/>
        <v>1</v>
      </c>
      <c r="P2130" s="62" t="str">
        <f t="shared" si="4260"/>
        <v/>
      </c>
      <c r="Q2130" s="62" t="str">
        <f t="shared" si="4260"/>
        <v/>
      </c>
      <c r="R2130" s="62">
        <f t="shared" si="7"/>
        <v>0</v>
      </c>
      <c r="S2130" s="62"/>
      <c r="T2130" s="62"/>
      <c r="U2130" s="62"/>
      <c r="V2130" s="62"/>
      <c r="W2130" s="62"/>
      <c r="X2130" s="62"/>
      <c r="Y2130" s="62"/>
      <c r="Z2130" s="62"/>
      <c r="AA2130" s="62"/>
      <c r="AB2130" s="62"/>
      <c r="AC2130" s="62"/>
    </row>
    <row r="2131" hidden="1">
      <c r="A2131" s="60">
        <f>IFERROR(__xludf.DUMMYFUNCTION("""COMPUTED_VALUE"""),17153.0)</f>
        <v>17153</v>
      </c>
      <c r="B2131" s="60" t="str">
        <f>IFERROR(__xludf.DUMMYFUNCTION("""COMPUTED_VALUE"""),"Mukuba, Andrew")</f>
        <v>Mukuba, Andrew</v>
      </c>
      <c r="C2131" s="60" t="str">
        <f>IFERROR(__xludf.DUMMYFUNCTION("""COMPUTED_VALUE"""),"S")</f>
        <v>S</v>
      </c>
      <c r="D2131" s="60" t="str">
        <f>IFERROR(__xludf.DUMMYFUNCTION("""COMPUTED_VALUE"""),"PHI")</f>
        <v>PHI</v>
      </c>
      <c r="E2131" s="62" t="str">
        <f t="shared" si="4"/>
        <v>Andrew Mukuba</v>
      </c>
      <c r="F2131" s="62">
        <f t="shared" ref="F2131:G2131" si="4261">IF(isblank(F$1),,IF(isblank($A2131),,IFERROR(vlookup($A2131,indirect("'TVC-"&amp;text(month(F$1),"00")&amp;"'!$A:$D"),4,false),1)))</f>
        <v>1</v>
      </c>
      <c r="G2131" s="62">
        <f t="shared" si="4261"/>
        <v>1</v>
      </c>
      <c r="H2131" s="62">
        <f t="shared" ref="H2131:Q2131" si="4262">IF(isblank(H$1),,IFERROR(vlookup($A2131,indirect("'TVC-"&amp;text(month(H$1),"00")&amp;"'!$A:$D"),4,false),1))</f>
        <v>1</v>
      </c>
      <c r="I2131" s="62">
        <f t="shared" si="4262"/>
        <v>1</v>
      </c>
      <c r="J2131" s="62">
        <f t="shared" si="4262"/>
        <v>1</v>
      </c>
      <c r="K2131" s="62">
        <f t="shared" si="4262"/>
        <v>1</v>
      </c>
      <c r="L2131" s="62">
        <f t="shared" si="4262"/>
        <v>1</v>
      </c>
      <c r="M2131" s="62">
        <f t="shared" si="4262"/>
        <v>1</v>
      </c>
      <c r="N2131" s="62">
        <f t="shared" si="4262"/>
        <v>1</v>
      </c>
      <c r="O2131" s="62">
        <f t="shared" si="4262"/>
        <v>1</v>
      </c>
      <c r="P2131" s="62" t="str">
        <f t="shared" si="4262"/>
        <v/>
      </c>
      <c r="Q2131" s="62" t="str">
        <f t="shared" si="4262"/>
        <v/>
      </c>
      <c r="R2131" s="62">
        <f t="shared" si="7"/>
        <v>0</v>
      </c>
      <c r="S2131" s="62"/>
      <c r="T2131" s="62"/>
      <c r="U2131" s="62"/>
      <c r="V2131" s="62"/>
      <c r="W2131" s="62"/>
      <c r="X2131" s="62"/>
      <c r="Y2131" s="62"/>
      <c r="Z2131" s="62"/>
      <c r="AA2131" s="62"/>
      <c r="AB2131" s="62"/>
      <c r="AC2131" s="62"/>
    </row>
    <row r="2132">
      <c r="A2132" s="60">
        <f>IFERROR(__xludf.DUMMYFUNCTION("""COMPUTED_VALUE"""),17154.0)</f>
        <v>17154</v>
      </c>
      <c r="B2132" s="60" t="str">
        <f>IFERROR(__xludf.DUMMYFUNCTION("""COMPUTED_VALUE"""),"Alexander, Darius")</f>
        <v>Alexander, Darius</v>
      </c>
      <c r="C2132" s="60" t="str">
        <f>IFERROR(__xludf.DUMMYFUNCTION("""COMPUTED_VALUE"""),"DT")</f>
        <v>DT</v>
      </c>
      <c r="D2132" s="60" t="str">
        <f>IFERROR(__xludf.DUMMYFUNCTION("""COMPUTED_VALUE"""),"NYG")</f>
        <v>NYG</v>
      </c>
      <c r="E2132" s="62" t="str">
        <f t="shared" si="4"/>
        <v>Darius Alexander</v>
      </c>
      <c r="F2132" s="62">
        <f t="shared" ref="F2132:G2132" si="4263">IF(isblank(F$1),,IF(isblank($A2132),,IFERROR(vlookup($A2132,indirect("'TVC-"&amp;text(month(F$1),"00")&amp;"'!$A:$D"),4,false),1)))</f>
        <v>1</v>
      </c>
      <c r="G2132" s="62">
        <f t="shared" si="4263"/>
        <v>1</v>
      </c>
      <c r="H2132" s="62">
        <f t="shared" ref="H2132:Q2132" si="4264">IF(isblank(H$1),,IFERROR(vlookup($A2132,indirect("'TVC-"&amp;text(month(H$1),"00")&amp;"'!$A:$D"),4,false),1))</f>
        <v>1</v>
      </c>
      <c r="I2132" s="62">
        <f t="shared" si="4264"/>
        <v>1</v>
      </c>
      <c r="J2132" s="62">
        <f t="shared" si="4264"/>
        <v>1</v>
      </c>
      <c r="K2132" s="62">
        <f t="shared" si="4264"/>
        <v>1</v>
      </c>
      <c r="L2132" s="62">
        <f t="shared" si="4264"/>
        <v>1</v>
      </c>
      <c r="M2132" s="62">
        <f t="shared" si="4264"/>
        <v>1</v>
      </c>
      <c r="N2132" s="62">
        <f t="shared" si="4264"/>
        <v>1</v>
      </c>
      <c r="O2132" s="62">
        <f t="shared" si="4264"/>
        <v>1</v>
      </c>
      <c r="P2132" s="62" t="str">
        <f t="shared" si="4264"/>
        <v/>
      </c>
      <c r="Q2132" s="62" t="str">
        <f t="shared" si="4264"/>
        <v/>
      </c>
      <c r="R2132" s="62">
        <f t="shared" si="7"/>
        <v>0</v>
      </c>
      <c r="S2132" s="62"/>
      <c r="T2132" s="62"/>
      <c r="U2132" s="62"/>
      <c r="V2132" s="62"/>
      <c r="W2132" s="62"/>
      <c r="X2132" s="62"/>
      <c r="Y2132" s="62"/>
      <c r="Z2132" s="62"/>
      <c r="AA2132" s="62"/>
      <c r="AB2132" s="62"/>
      <c r="AC2132" s="62"/>
    </row>
    <row r="2133" hidden="1">
      <c r="A2133" s="60">
        <f>IFERROR(__xludf.DUMMYFUNCTION("""COMPUTED_VALUE"""),17155.0)</f>
        <v>17155</v>
      </c>
      <c r="B2133" s="60" t="str">
        <f>IFERROR(__xludf.DUMMYFUNCTION("""COMPUTED_VALUE"""),"Gillotte, Ashton")</f>
        <v>Gillotte, Ashton</v>
      </c>
      <c r="C2133" s="60" t="str">
        <f>IFERROR(__xludf.DUMMYFUNCTION("""COMPUTED_VALUE"""),"DE")</f>
        <v>DE</v>
      </c>
      <c r="D2133" s="60" t="str">
        <f>IFERROR(__xludf.DUMMYFUNCTION("""COMPUTED_VALUE"""),"KCC")</f>
        <v>KCC</v>
      </c>
      <c r="E2133" s="62" t="str">
        <f t="shared" si="4"/>
        <v>Ashton Gillotte</v>
      </c>
      <c r="F2133" s="62">
        <f t="shared" ref="F2133:G2133" si="4265">IF(isblank(F$1),,IF(isblank($A2133),,IFERROR(vlookup($A2133,indirect("'TVC-"&amp;text(month(F$1),"00")&amp;"'!$A:$D"),4,false),1)))</f>
        <v>1</v>
      </c>
      <c r="G2133" s="62">
        <f t="shared" si="4265"/>
        <v>1</v>
      </c>
      <c r="H2133" s="62">
        <f t="shared" ref="H2133:Q2133" si="4266">IF(isblank(H$1),,IFERROR(vlookup($A2133,indirect("'TVC-"&amp;text(month(H$1),"00")&amp;"'!$A:$D"),4,false),1))</f>
        <v>1</v>
      </c>
      <c r="I2133" s="62">
        <f t="shared" si="4266"/>
        <v>1</v>
      </c>
      <c r="J2133" s="62">
        <f t="shared" si="4266"/>
        <v>1</v>
      </c>
      <c r="K2133" s="62">
        <f t="shared" si="4266"/>
        <v>1</v>
      </c>
      <c r="L2133" s="62">
        <f t="shared" si="4266"/>
        <v>1</v>
      </c>
      <c r="M2133" s="62">
        <f t="shared" si="4266"/>
        <v>1</v>
      </c>
      <c r="N2133" s="62">
        <f t="shared" si="4266"/>
        <v>1</v>
      </c>
      <c r="O2133" s="62">
        <f t="shared" si="4266"/>
        <v>1</v>
      </c>
      <c r="P2133" s="62" t="str">
        <f t="shared" si="4266"/>
        <v/>
      </c>
      <c r="Q2133" s="62" t="str">
        <f t="shared" si="4266"/>
        <v/>
      </c>
      <c r="R2133" s="62">
        <f t="shared" si="7"/>
        <v>0</v>
      </c>
      <c r="S2133" s="62"/>
      <c r="T2133" s="62"/>
      <c r="U2133" s="62"/>
      <c r="V2133" s="62"/>
      <c r="W2133" s="62"/>
      <c r="X2133" s="62"/>
      <c r="Y2133" s="62"/>
      <c r="Z2133" s="62"/>
      <c r="AA2133" s="62"/>
      <c r="AB2133" s="62"/>
      <c r="AC2133" s="62"/>
    </row>
    <row r="2134" hidden="1">
      <c r="A2134" s="60">
        <f>IFERROR(__xludf.DUMMYFUNCTION("""COMPUTED_VALUE"""),17156.0)</f>
        <v>17156</v>
      </c>
      <c r="B2134" s="60" t="str">
        <f>IFERROR(__xludf.DUMMYFUNCTION("""COMPUTED_VALUE"""),"Porter, Darien")</f>
        <v>Porter, Darien</v>
      </c>
      <c r="C2134" s="60" t="str">
        <f>IFERROR(__xludf.DUMMYFUNCTION("""COMPUTED_VALUE"""),"CB")</f>
        <v>CB</v>
      </c>
      <c r="D2134" s="60" t="str">
        <f>IFERROR(__xludf.DUMMYFUNCTION("""COMPUTED_VALUE"""),"LVR")</f>
        <v>LVR</v>
      </c>
      <c r="E2134" s="62" t="str">
        <f t="shared" si="4"/>
        <v>Darien Porter</v>
      </c>
      <c r="F2134" s="62">
        <f t="shared" ref="F2134:G2134" si="4267">IF(isblank(F$1),,IF(isblank($A2134),,IFERROR(vlookup($A2134,indirect("'TVC-"&amp;text(month(F$1),"00")&amp;"'!$A:$D"),4,false),1)))</f>
        <v>1</v>
      </c>
      <c r="G2134" s="62">
        <f t="shared" si="4267"/>
        <v>1</v>
      </c>
      <c r="H2134" s="62">
        <f t="shared" ref="H2134:Q2134" si="4268">IF(isblank(H$1),,IFERROR(vlookup($A2134,indirect("'TVC-"&amp;text(month(H$1),"00")&amp;"'!$A:$D"),4,false),1))</f>
        <v>1</v>
      </c>
      <c r="I2134" s="62">
        <f t="shared" si="4268"/>
        <v>1</v>
      </c>
      <c r="J2134" s="62">
        <f t="shared" si="4268"/>
        <v>1</v>
      </c>
      <c r="K2134" s="62">
        <f t="shared" si="4268"/>
        <v>1</v>
      </c>
      <c r="L2134" s="62">
        <f t="shared" si="4268"/>
        <v>1</v>
      </c>
      <c r="M2134" s="62">
        <f t="shared" si="4268"/>
        <v>1</v>
      </c>
      <c r="N2134" s="62">
        <f t="shared" si="4268"/>
        <v>1</v>
      </c>
      <c r="O2134" s="62">
        <f t="shared" si="4268"/>
        <v>1</v>
      </c>
      <c r="P2134" s="62" t="str">
        <f t="shared" si="4268"/>
        <v/>
      </c>
      <c r="Q2134" s="62" t="str">
        <f t="shared" si="4268"/>
        <v/>
      </c>
      <c r="R2134" s="62">
        <f t="shared" si="7"/>
        <v>0</v>
      </c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</row>
    <row r="2135" hidden="1">
      <c r="A2135" s="60">
        <f>IFERROR(__xludf.DUMMYFUNCTION("""COMPUTED_VALUE"""),17157.0)</f>
        <v>17157</v>
      </c>
      <c r="B2135" s="60" t="str">
        <f>IFERROR(__xludf.DUMMYFUNCTION("""COMPUTED_VALUE"""),"TeSlaa, Isaac")</f>
        <v>TeSlaa, Isaac</v>
      </c>
      <c r="C2135" s="60" t="str">
        <f>IFERROR(__xludf.DUMMYFUNCTION("""COMPUTED_VALUE"""),"WR")</f>
        <v>WR</v>
      </c>
      <c r="D2135" s="60" t="str">
        <f>IFERROR(__xludf.DUMMYFUNCTION("""COMPUTED_VALUE"""),"DET")</f>
        <v>DET</v>
      </c>
      <c r="E2135" s="62" t="str">
        <f t="shared" si="4"/>
        <v>Isaac TeSlaa</v>
      </c>
      <c r="F2135" s="62">
        <f t="shared" ref="F2135:G2135" si="4269">IF(isblank(F$1),,IF(isblank($A2135),,IFERROR(vlookup($A2135,indirect("'TVC-"&amp;text(month(F$1),"00")&amp;"'!$A:$D"),4,false),1)))</f>
        <v>2931</v>
      </c>
      <c r="G2135" s="62">
        <f t="shared" si="4269"/>
        <v>2835</v>
      </c>
      <c r="H2135" s="62">
        <f t="shared" ref="H2135:Q2135" si="4270">IF(isblank(H$1),,IFERROR(vlookup($A2135,indirect("'TVC-"&amp;text(month(H$1),"00")&amp;"'!$A:$D"),4,false),1))</f>
        <v>2837</v>
      </c>
      <c r="I2135" s="62">
        <f t="shared" si="4270"/>
        <v>2836</v>
      </c>
      <c r="J2135" s="62">
        <f t="shared" si="4270"/>
        <v>2781</v>
      </c>
      <c r="K2135" s="62">
        <f t="shared" si="4270"/>
        <v>2810</v>
      </c>
      <c r="L2135" s="62">
        <f t="shared" si="4270"/>
        <v>2763</v>
      </c>
      <c r="M2135" s="62">
        <f t="shared" si="4270"/>
        <v>2728</v>
      </c>
      <c r="N2135" s="62">
        <f t="shared" si="4270"/>
        <v>2494</v>
      </c>
      <c r="O2135" s="62">
        <f t="shared" si="4270"/>
        <v>1</v>
      </c>
      <c r="P2135" s="62" t="str">
        <f t="shared" si="4270"/>
        <v/>
      </c>
      <c r="Q2135" s="62" t="str">
        <f t="shared" si="4270"/>
        <v/>
      </c>
      <c r="R2135" s="62">
        <f t="shared" si="7"/>
        <v>-2493</v>
      </c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</row>
    <row r="2136" hidden="1">
      <c r="A2136" s="60">
        <f>IFERROR(__xludf.DUMMYFUNCTION("""COMPUTED_VALUE"""),17158.0)</f>
        <v>17158</v>
      </c>
      <c r="B2136" s="60" t="str">
        <f>IFERROR(__xludf.DUMMYFUNCTION("""COMPUTED_VALUE"""),"Broughton, Vernon")</f>
        <v>Broughton, Vernon</v>
      </c>
      <c r="C2136" s="60" t="str">
        <f>IFERROR(__xludf.DUMMYFUNCTION("""COMPUTED_VALUE"""),"DT")</f>
        <v>DT</v>
      </c>
      <c r="D2136" s="60" t="str">
        <f>IFERROR(__xludf.DUMMYFUNCTION("""COMPUTED_VALUE"""),"NOS")</f>
        <v>NOS</v>
      </c>
      <c r="E2136" s="62" t="str">
        <f t="shared" si="4"/>
        <v>Vernon Broughton</v>
      </c>
      <c r="F2136" s="62">
        <f t="shared" ref="F2136:G2136" si="4271">IF(isblank(F$1),,IF(isblank($A2136),,IFERROR(vlookup($A2136,indirect("'TVC-"&amp;text(month(F$1),"00")&amp;"'!$A:$D"),4,false),1)))</f>
        <v>1</v>
      </c>
      <c r="G2136" s="62">
        <f t="shared" si="4271"/>
        <v>1</v>
      </c>
      <c r="H2136" s="62">
        <f t="shared" ref="H2136:Q2136" si="4272">IF(isblank(H$1),,IFERROR(vlookup($A2136,indirect("'TVC-"&amp;text(month(H$1),"00")&amp;"'!$A:$D"),4,false),1))</f>
        <v>1</v>
      </c>
      <c r="I2136" s="62">
        <f t="shared" si="4272"/>
        <v>1</v>
      </c>
      <c r="J2136" s="62">
        <f t="shared" si="4272"/>
        <v>1</v>
      </c>
      <c r="K2136" s="62">
        <f t="shared" si="4272"/>
        <v>1</v>
      </c>
      <c r="L2136" s="62">
        <f t="shared" si="4272"/>
        <v>1</v>
      </c>
      <c r="M2136" s="62">
        <f t="shared" si="4272"/>
        <v>1</v>
      </c>
      <c r="N2136" s="62">
        <f t="shared" si="4272"/>
        <v>1</v>
      </c>
      <c r="O2136" s="62">
        <f t="shared" si="4272"/>
        <v>1</v>
      </c>
      <c r="P2136" s="62" t="str">
        <f t="shared" si="4272"/>
        <v/>
      </c>
      <c r="Q2136" s="62" t="str">
        <f t="shared" si="4272"/>
        <v/>
      </c>
      <c r="R2136" s="62">
        <f t="shared" si="7"/>
        <v>0</v>
      </c>
      <c r="S2136" s="62"/>
      <c r="T2136" s="62"/>
      <c r="U2136" s="62"/>
      <c r="V2136" s="62"/>
      <c r="W2136" s="62"/>
      <c r="X2136" s="62"/>
      <c r="Y2136" s="62"/>
      <c r="Z2136" s="62"/>
      <c r="AA2136" s="62"/>
      <c r="AB2136" s="62"/>
      <c r="AC2136" s="62"/>
    </row>
    <row r="2137" hidden="1">
      <c r="A2137" s="60">
        <f>IFERROR(__xludf.DUMMYFUNCTION("""COMPUTED_VALUE"""),17159.0)</f>
        <v>17159</v>
      </c>
      <c r="B2137" s="60" t="str">
        <f>IFERROR(__xludf.DUMMYFUNCTION("""COMPUTED_VALUE"""),"Martin, Nick")</f>
        <v>Martin, Nick</v>
      </c>
      <c r="C2137" s="60" t="str">
        <f>IFERROR(__xludf.DUMMYFUNCTION("""COMPUTED_VALUE"""),"LB")</f>
        <v>LB</v>
      </c>
      <c r="D2137" s="60" t="str">
        <f>IFERROR(__xludf.DUMMYFUNCTION("""COMPUTED_VALUE"""),"SFO")</f>
        <v>SFO</v>
      </c>
      <c r="E2137" s="62" t="str">
        <f t="shared" si="4"/>
        <v>Nick Martin</v>
      </c>
      <c r="F2137" s="62">
        <f t="shared" ref="F2137:G2137" si="4273">IF(isblank(F$1),,IF(isblank($A2137),,IFERROR(vlookup($A2137,indirect("'TVC-"&amp;text(month(F$1),"00")&amp;"'!$A:$D"),4,false),1)))</f>
        <v>1</v>
      </c>
      <c r="G2137" s="62">
        <f t="shared" si="4273"/>
        <v>1</v>
      </c>
      <c r="H2137" s="62">
        <f t="shared" ref="H2137:Q2137" si="4274">IF(isblank(H$1),,IFERROR(vlookup($A2137,indirect("'TVC-"&amp;text(month(H$1),"00")&amp;"'!$A:$D"),4,false),1))</f>
        <v>1</v>
      </c>
      <c r="I2137" s="62">
        <f t="shared" si="4274"/>
        <v>1</v>
      </c>
      <c r="J2137" s="62">
        <f t="shared" si="4274"/>
        <v>1</v>
      </c>
      <c r="K2137" s="62">
        <f t="shared" si="4274"/>
        <v>1</v>
      </c>
      <c r="L2137" s="62">
        <f t="shared" si="4274"/>
        <v>1</v>
      </c>
      <c r="M2137" s="62">
        <f t="shared" si="4274"/>
        <v>1</v>
      </c>
      <c r="N2137" s="62">
        <f t="shared" si="4274"/>
        <v>1</v>
      </c>
      <c r="O2137" s="62">
        <f t="shared" si="4274"/>
        <v>1</v>
      </c>
      <c r="P2137" s="62" t="str">
        <f t="shared" si="4274"/>
        <v/>
      </c>
      <c r="Q2137" s="62" t="str">
        <f t="shared" si="4274"/>
        <v/>
      </c>
      <c r="R2137" s="62">
        <f t="shared" si="7"/>
        <v>0</v>
      </c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</row>
    <row r="2138" hidden="1">
      <c r="A2138" s="60">
        <f>IFERROR(__xludf.DUMMYFUNCTION("""COMPUTED_VALUE"""),17160.0)</f>
        <v>17160</v>
      </c>
      <c r="B2138" s="60" t="str">
        <f>IFERROR(__xludf.DUMMYFUNCTION("""COMPUTED_VALUE"""),"Umanmielen, Princely")</f>
        <v>Umanmielen, Princely</v>
      </c>
      <c r="C2138" s="60" t="str">
        <f>IFERROR(__xludf.DUMMYFUNCTION("""COMPUTED_VALUE"""),"DE")</f>
        <v>DE</v>
      </c>
      <c r="D2138" s="60" t="str">
        <f>IFERROR(__xludf.DUMMYFUNCTION("""COMPUTED_VALUE"""),"CAR")</f>
        <v>CAR</v>
      </c>
      <c r="E2138" s="62" t="str">
        <f t="shared" si="4"/>
        <v>Princely Umanmielen</v>
      </c>
      <c r="F2138" s="62">
        <f t="shared" ref="F2138:G2138" si="4275">IF(isblank(F$1),,IF(isblank($A2138),,IFERROR(vlookup($A2138,indirect("'TVC-"&amp;text(month(F$1),"00")&amp;"'!$A:$D"),4,false),1)))</f>
        <v>1</v>
      </c>
      <c r="G2138" s="62">
        <f t="shared" si="4275"/>
        <v>1</v>
      </c>
      <c r="H2138" s="62">
        <f t="shared" ref="H2138:Q2138" si="4276">IF(isblank(H$1),,IFERROR(vlookup($A2138,indirect("'TVC-"&amp;text(month(H$1),"00")&amp;"'!$A:$D"),4,false),1))</f>
        <v>1</v>
      </c>
      <c r="I2138" s="62">
        <f t="shared" si="4276"/>
        <v>1</v>
      </c>
      <c r="J2138" s="62">
        <f t="shared" si="4276"/>
        <v>1</v>
      </c>
      <c r="K2138" s="62">
        <f t="shared" si="4276"/>
        <v>1</v>
      </c>
      <c r="L2138" s="62">
        <f t="shared" si="4276"/>
        <v>1</v>
      </c>
      <c r="M2138" s="62">
        <f t="shared" si="4276"/>
        <v>1</v>
      </c>
      <c r="N2138" s="62">
        <f t="shared" si="4276"/>
        <v>1</v>
      </c>
      <c r="O2138" s="62">
        <f t="shared" si="4276"/>
        <v>1</v>
      </c>
      <c r="P2138" s="62" t="str">
        <f t="shared" si="4276"/>
        <v/>
      </c>
      <c r="Q2138" s="62" t="str">
        <f t="shared" si="4276"/>
        <v/>
      </c>
      <c r="R2138" s="62">
        <f t="shared" si="7"/>
        <v>0</v>
      </c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</row>
    <row r="2139" hidden="1">
      <c r="A2139" s="60">
        <f>IFERROR(__xludf.DUMMYFUNCTION("""COMPUTED_VALUE"""),17161.0)</f>
        <v>17161</v>
      </c>
      <c r="B2139" s="60" t="str">
        <f>IFERROR(__xludf.DUMMYFUNCTION("""COMPUTED_VALUE"""),"Burch, Jordan")</f>
        <v>Burch, Jordan</v>
      </c>
      <c r="C2139" s="60" t="str">
        <f>IFERROR(__xludf.DUMMYFUNCTION("""COMPUTED_VALUE"""),"DE")</f>
        <v>DE</v>
      </c>
      <c r="D2139" s="60" t="str">
        <f>IFERROR(__xludf.DUMMYFUNCTION("""COMPUTED_VALUE"""),"ARI")</f>
        <v>ARI</v>
      </c>
      <c r="E2139" s="62" t="str">
        <f t="shared" si="4"/>
        <v>Jordan Burch</v>
      </c>
      <c r="F2139" s="62">
        <f t="shared" ref="F2139:G2139" si="4277">IF(isblank(F$1),,IF(isblank($A2139),,IFERROR(vlookup($A2139,indirect("'TVC-"&amp;text(month(F$1),"00")&amp;"'!$A:$D"),4,false),1)))</f>
        <v>1</v>
      </c>
      <c r="G2139" s="62">
        <f t="shared" si="4277"/>
        <v>1</v>
      </c>
      <c r="H2139" s="62">
        <f t="shared" ref="H2139:Q2139" si="4278">IF(isblank(H$1),,IFERROR(vlookup($A2139,indirect("'TVC-"&amp;text(month(H$1),"00")&amp;"'!$A:$D"),4,false),1))</f>
        <v>1</v>
      </c>
      <c r="I2139" s="62">
        <f t="shared" si="4278"/>
        <v>1</v>
      </c>
      <c r="J2139" s="62">
        <f t="shared" si="4278"/>
        <v>1</v>
      </c>
      <c r="K2139" s="62">
        <f t="shared" si="4278"/>
        <v>1</v>
      </c>
      <c r="L2139" s="62">
        <f t="shared" si="4278"/>
        <v>1</v>
      </c>
      <c r="M2139" s="62">
        <f t="shared" si="4278"/>
        <v>1</v>
      </c>
      <c r="N2139" s="62">
        <f t="shared" si="4278"/>
        <v>1</v>
      </c>
      <c r="O2139" s="62">
        <f t="shared" si="4278"/>
        <v>1</v>
      </c>
      <c r="P2139" s="62" t="str">
        <f t="shared" si="4278"/>
        <v/>
      </c>
      <c r="Q2139" s="62" t="str">
        <f t="shared" si="4278"/>
        <v/>
      </c>
      <c r="R2139" s="62">
        <f t="shared" si="7"/>
        <v>0</v>
      </c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</row>
    <row r="2140">
      <c r="A2140" s="60">
        <f>IFERROR(__xludf.DUMMYFUNCTION("""COMPUTED_VALUE"""),17162.0)</f>
        <v>17162</v>
      </c>
      <c r="B2140" s="60" t="str">
        <f>IFERROR(__xludf.DUMMYFUNCTION("""COMPUTED_VALUE"""),"Walley, Justin")</f>
        <v>Walley, Justin</v>
      </c>
      <c r="C2140" s="60" t="str">
        <f>IFERROR(__xludf.DUMMYFUNCTION("""COMPUTED_VALUE"""),"CB")</f>
        <v>CB</v>
      </c>
      <c r="D2140" s="60" t="str">
        <f>IFERROR(__xludf.DUMMYFUNCTION("""COMPUTED_VALUE"""),"IND")</f>
        <v>IND</v>
      </c>
      <c r="E2140" s="62" t="str">
        <f t="shared" si="4"/>
        <v>Justin Walley</v>
      </c>
      <c r="F2140" s="62">
        <f t="shared" ref="F2140:G2140" si="4279">IF(isblank(F$1),,IF(isblank($A2140),,IFERROR(vlookup($A2140,indirect("'TVC-"&amp;text(month(F$1),"00")&amp;"'!$A:$D"),4,false),1)))</f>
        <v>1</v>
      </c>
      <c r="G2140" s="62">
        <f t="shared" si="4279"/>
        <v>1</v>
      </c>
      <c r="H2140" s="62">
        <f t="shared" ref="H2140:Q2140" si="4280">IF(isblank(H$1),,IFERROR(vlookup($A2140,indirect("'TVC-"&amp;text(month(H$1),"00")&amp;"'!$A:$D"),4,false),1))</f>
        <v>1</v>
      </c>
      <c r="I2140" s="62">
        <f t="shared" si="4280"/>
        <v>1</v>
      </c>
      <c r="J2140" s="62">
        <f t="shared" si="4280"/>
        <v>1</v>
      </c>
      <c r="K2140" s="62">
        <f t="shared" si="4280"/>
        <v>1</v>
      </c>
      <c r="L2140" s="62">
        <f t="shared" si="4280"/>
        <v>1</v>
      </c>
      <c r="M2140" s="62">
        <f t="shared" si="4280"/>
        <v>1</v>
      </c>
      <c r="N2140" s="62">
        <f t="shared" si="4280"/>
        <v>1</v>
      </c>
      <c r="O2140" s="62">
        <f t="shared" si="4280"/>
        <v>1</v>
      </c>
      <c r="P2140" s="62" t="str">
        <f t="shared" si="4280"/>
        <v/>
      </c>
      <c r="Q2140" s="62" t="str">
        <f t="shared" si="4280"/>
        <v/>
      </c>
      <c r="R2140" s="62">
        <f t="shared" si="7"/>
        <v>0</v>
      </c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</row>
    <row r="2141" hidden="1">
      <c r="A2141" s="60">
        <f>IFERROR(__xludf.DUMMYFUNCTION("""COMPUTED_VALUE"""),17163.0)</f>
        <v>17163</v>
      </c>
      <c r="B2141" s="60" t="str">
        <f>IFERROR(__xludf.DUMMYFUNCTION("""COMPUTED_VALUE"""),"Parrish, Jacob")</f>
        <v>Parrish, Jacob</v>
      </c>
      <c r="C2141" s="60" t="str">
        <f>IFERROR(__xludf.DUMMYFUNCTION("""COMPUTED_VALUE"""),"CB")</f>
        <v>CB</v>
      </c>
      <c r="D2141" s="60" t="str">
        <f>IFERROR(__xludf.DUMMYFUNCTION("""COMPUTED_VALUE"""),"TBB")</f>
        <v>TBB</v>
      </c>
      <c r="E2141" s="62" t="str">
        <f t="shared" si="4"/>
        <v>Jacob Parrish</v>
      </c>
      <c r="F2141" s="62">
        <f t="shared" ref="F2141:G2141" si="4281">IF(isblank(F$1),,IF(isblank($A2141),,IFERROR(vlookup($A2141,indirect("'TVC-"&amp;text(month(F$1),"00")&amp;"'!$A:$D"),4,false),1)))</f>
        <v>1</v>
      </c>
      <c r="G2141" s="62">
        <f t="shared" si="4281"/>
        <v>1</v>
      </c>
      <c r="H2141" s="62">
        <f t="shared" ref="H2141:Q2141" si="4282">IF(isblank(H$1),,IFERROR(vlookup($A2141,indirect("'TVC-"&amp;text(month(H$1),"00")&amp;"'!$A:$D"),4,false),1))</f>
        <v>1</v>
      </c>
      <c r="I2141" s="62">
        <f t="shared" si="4282"/>
        <v>1</v>
      </c>
      <c r="J2141" s="62">
        <f t="shared" si="4282"/>
        <v>1</v>
      </c>
      <c r="K2141" s="62">
        <f t="shared" si="4282"/>
        <v>1</v>
      </c>
      <c r="L2141" s="62">
        <f t="shared" si="4282"/>
        <v>1</v>
      </c>
      <c r="M2141" s="62">
        <f t="shared" si="4282"/>
        <v>1</v>
      </c>
      <c r="N2141" s="62">
        <f t="shared" si="4282"/>
        <v>1</v>
      </c>
      <c r="O2141" s="62">
        <f t="shared" si="4282"/>
        <v>1</v>
      </c>
      <c r="P2141" s="62" t="str">
        <f t="shared" si="4282"/>
        <v/>
      </c>
      <c r="Q2141" s="62" t="str">
        <f t="shared" si="4282"/>
        <v/>
      </c>
      <c r="R2141" s="62">
        <f t="shared" si="7"/>
        <v>0</v>
      </c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</row>
    <row r="2142" hidden="1">
      <c r="A2142" s="60">
        <f>IFERROR(__xludf.DUMMYFUNCTION("""COMPUTED_VALUE"""),17164.0)</f>
        <v>17164</v>
      </c>
      <c r="B2142" s="60" t="str">
        <f>IFERROR(__xludf.DUMMYFUNCTION("""COMPUTED_VALUE"""),"Williams, Nohl")</f>
        <v>Williams, Nohl</v>
      </c>
      <c r="C2142" s="60" t="str">
        <f>IFERROR(__xludf.DUMMYFUNCTION("""COMPUTED_VALUE"""),"CB")</f>
        <v>CB</v>
      </c>
      <c r="D2142" s="60" t="str">
        <f>IFERROR(__xludf.DUMMYFUNCTION("""COMPUTED_VALUE"""),"KCC")</f>
        <v>KCC</v>
      </c>
      <c r="E2142" s="62" t="str">
        <f t="shared" si="4"/>
        <v>Nohl Williams</v>
      </c>
      <c r="F2142" s="62">
        <f t="shared" ref="F2142:G2142" si="4283">IF(isblank(F$1),,IF(isblank($A2142),,IFERROR(vlookup($A2142,indirect("'TVC-"&amp;text(month(F$1),"00")&amp;"'!$A:$D"),4,false),1)))</f>
        <v>1</v>
      </c>
      <c r="G2142" s="62">
        <f t="shared" si="4283"/>
        <v>1</v>
      </c>
      <c r="H2142" s="62">
        <f t="shared" ref="H2142:Q2142" si="4284">IF(isblank(H$1),,IFERROR(vlookup($A2142,indirect("'TVC-"&amp;text(month(H$1),"00")&amp;"'!$A:$D"),4,false),1))</f>
        <v>1</v>
      </c>
      <c r="I2142" s="62">
        <f t="shared" si="4284"/>
        <v>1</v>
      </c>
      <c r="J2142" s="62">
        <f t="shared" si="4284"/>
        <v>1</v>
      </c>
      <c r="K2142" s="62">
        <f t="shared" si="4284"/>
        <v>1</v>
      </c>
      <c r="L2142" s="62">
        <f t="shared" si="4284"/>
        <v>1</v>
      </c>
      <c r="M2142" s="62">
        <f t="shared" si="4284"/>
        <v>1</v>
      </c>
      <c r="N2142" s="62">
        <f t="shared" si="4284"/>
        <v>1</v>
      </c>
      <c r="O2142" s="62">
        <f t="shared" si="4284"/>
        <v>1</v>
      </c>
      <c r="P2142" s="62" t="str">
        <f t="shared" si="4284"/>
        <v/>
      </c>
      <c r="Q2142" s="62" t="str">
        <f t="shared" si="4284"/>
        <v/>
      </c>
      <c r="R2142" s="62">
        <f t="shared" si="7"/>
        <v>0</v>
      </c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</row>
    <row r="2143" hidden="1">
      <c r="A2143" s="60">
        <f>IFERROR(__xludf.DUMMYFUNCTION("""COMPUTED_VALUE"""),17165.0)</f>
        <v>17165</v>
      </c>
      <c r="B2143" s="60" t="str">
        <f>IFERROR(__xludf.DUMMYFUNCTION("""COMPUTED_VALUE"""),"Caldwell, Jamaree")</f>
        <v>Caldwell, Jamaree</v>
      </c>
      <c r="C2143" s="60" t="str">
        <f>IFERROR(__xludf.DUMMYFUNCTION("""COMPUTED_VALUE"""),"DT")</f>
        <v>DT</v>
      </c>
      <c r="D2143" s="60" t="str">
        <f>IFERROR(__xludf.DUMMYFUNCTION("""COMPUTED_VALUE"""),"LAC")</f>
        <v>LAC</v>
      </c>
      <c r="E2143" s="62" t="str">
        <f t="shared" si="4"/>
        <v>Jamaree Caldwell</v>
      </c>
      <c r="F2143" s="62">
        <f t="shared" ref="F2143:G2143" si="4285">IF(isblank(F$1),,IF(isblank($A2143),,IFERROR(vlookup($A2143,indirect("'TVC-"&amp;text(month(F$1),"00")&amp;"'!$A:$D"),4,false),1)))</f>
        <v>1</v>
      </c>
      <c r="G2143" s="62">
        <f t="shared" si="4285"/>
        <v>1</v>
      </c>
      <c r="H2143" s="62">
        <f t="shared" ref="H2143:Q2143" si="4286">IF(isblank(H$1),,IFERROR(vlookup($A2143,indirect("'TVC-"&amp;text(month(H$1),"00")&amp;"'!$A:$D"),4,false),1))</f>
        <v>1</v>
      </c>
      <c r="I2143" s="62">
        <f t="shared" si="4286"/>
        <v>1</v>
      </c>
      <c r="J2143" s="62">
        <f t="shared" si="4286"/>
        <v>1</v>
      </c>
      <c r="K2143" s="62">
        <f t="shared" si="4286"/>
        <v>1</v>
      </c>
      <c r="L2143" s="62">
        <f t="shared" si="4286"/>
        <v>1</v>
      </c>
      <c r="M2143" s="62">
        <f t="shared" si="4286"/>
        <v>1</v>
      </c>
      <c r="N2143" s="62">
        <f t="shared" si="4286"/>
        <v>1</v>
      </c>
      <c r="O2143" s="62">
        <f t="shared" si="4286"/>
        <v>1</v>
      </c>
      <c r="P2143" s="62" t="str">
        <f t="shared" si="4286"/>
        <v/>
      </c>
      <c r="Q2143" s="62" t="str">
        <f t="shared" si="4286"/>
        <v/>
      </c>
      <c r="R2143" s="62">
        <f t="shared" si="7"/>
        <v>0</v>
      </c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</row>
    <row r="2144" hidden="1">
      <c r="A2144" s="60">
        <f>IFERROR(__xludf.DUMMYFUNCTION("""COMPUTED_VALUE"""),17166.0)</f>
        <v>17166</v>
      </c>
      <c r="B2144" s="60" t="str">
        <f>IFERROR(__xludf.DUMMYFUNCTION("""COMPUTED_VALUE"""),"Ransaw, Caleb")</f>
        <v>Ransaw, Caleb</v>
      </c>
      <c r="C2144" s="60" t="str">
        <f>IFERROR(__xludf.DUMMYFUNCTION("""COMPUTED_VALUE"""),"S")</f>
        <v>S</v>
      </c>
      <c r="D2144" s="60" t="str">
        <f>IFERROR(__xludf.DUMMYFUNCTION("""COMPUTED_VALUE"""),"JAC")</f>
        <v>JAC</v>
      </c>
      <c r="E2144" s="62" t="str">
        <f t="shared" si="4"/>
        <v>Caleb Ransaw</v>
      </c>
      <c r="F2144" s="62">
        <f t="shared" ref="F2144:G2144" si="4287">IF(isblank(F$1),,IF(isblank($A2144),,IFERROR(vlookup($A2144,indirect("'TVC-"&amp;text(month(F$1),"00")&amp;"'!$A:$D"),4,false),1)))</f>
        <v>1</v>
      </c>
      <c r="G2144" s="62">
        <f t="shared" si="4287"/>
        <v>1</v>
      </c>
      <c r="H2144" s="62">
        <f t="shared" ref="H2144:Q2144" si="4288">IF(isblank(H$1),,IFERROR(vlookup($A2144,indirect("'TVC-"&amp;text(month(H$1),"00")&amp;"'!$A:$D"),4,false),1))</f>
        <v>1</v>
      </c>
      <c r="I2144" s="62">
        <f t="shared" si="4288"/>
        <v>1</v>
      </c>
      <c r="J2144" s="62">
        <f t="shared" si="4288"/>
        <v>1</v>
      </c>
      <c r="K2144" s="62">
        <f t="shared" si="4288"/>
        <v>1</v>
      </c>
      <c r="L2144" s="62">
        <f t="shared" si="4288"/>
        <v>1</v>
      </c>
      <c r="M2144" s="62">
        <f t="shared" si="4288"/>
        <v>1</v>
      </c>
      <c r="N2144" s="62">
        <f t="shared" si="4288"/>
        <v>1</v>
      </c>
      <c r="O2144" s="62">
        <f t="shared" si="4288"/>
        <v>1</v>
      </c>
      <c r="P2144" s="62" t="str">
        <f t="shared" si="4288"/>
        <v/>
      </c>
      <c r="Q2144" s="62" t="str">
        <f t="shared" si="4288"/>
        <v/>
      </c>
      <c r="R2144" s="62">
        <f t="shared" si="7"/>
        <v>0</v>
      </c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</row>
    <row r="2145" hidden="1">
      <c r="A2145" s="60">
        <f>IFERROR(__xludf.DUMMYFUNCTION("""COMPUTED_VALUE"""),17167.0)</f>
        <v>17167</v>
      </c>
      <c r="B2145" s="60" t="str">
        <f>IFERROR(__xludf.DUMMYFUNCTION("""COMPUTED_VALUE"""),"Sanker, Jonas")</f>
        <v>Sanker, Jonas</v>
      </c>
      <c r="C2145" s="60" t="str">
        <f>IFERROR(__xludf.DUMMYFUNCTION("""COMPUTED_VALUE"""),"S")</f>
        <v>S</v>
      </c>
      <c r="D2145" s="60" t="str">
        <f>IFERROR(__xludf.DUMMYFUNCTION("""COMPUTED_VALUE"""),"NOS")</f>
        <v>NOS</v>
      </c>
      <c r="E2145" s="62" t="str">
        <f t="shared" si="4"/>
        <v>Jonas Sanker</v>
      </c>
      <c r="F2145" s="62">
        <f t="shared" ref="F2145:G2145" si="4289">IF(isblank(F$1),,IF(isblank($A2145),,IFERROR(vlookup($A2145,indirect("'TVC-"&amp;text(month(F$1),"00")&amp;"'!$A:$D"),4,false),1)))</f>
        <v>1</v>
      </c>
      <c r="G2145" s="62">
        <f t="shared" si="4289"/>
        <v>1</v>
      </c>
      <c r="H2145" s="62">
        <f t="shared" ref="H2145:Q2145" si="4290">IF(isblank(H$1),,IFERROR(vlookup($A2145,indirect("'TVC-"&amp;text(month(H$1),"00")&amp;"'!$A:$D"),4,false),1))</f>
        <v>1</v>
      </c>
      <c r="I2145" s="62">
        <f t="shared" si="4290"/>
        <v>1</v>
      </c>
      <c r="J2145" s="62">
        <f t="shared" si="4290"/>
        <v>1</v>
      </c>
      <c r="K2145" s="62">
        <f t="shared" si="4290"/>
        <v>1</v>
      </c>
      <c r="L2145" s="62">
        <f t="shared" si="4290"/>
        <v>1</v>
      </c>
      <c r="M2145" s="62">
        <f t="shared" si="4290"/>
        <v>1</v>
      </c>
      <c r="N2145" s="62">
        <f t="shared" si="4290"/>
        <v>1</v>
      </c>
      <c r="O2145" s="62">
        <f t="shared" si="4290"/>
        <v>1</v>
      </c>
      <c r="P2145" s="62" t="str">
        <f t="shared" si="4290"/>
        <v/>
      </c>
      <c r="Q2145" s="62" t="str">
        <f t="shared" si="4290"/>
        <v/>
      </c>
      <c r="R2145" s="62">
        <f t="shared" si="7"/>
        <v>0</v>
      </c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</row>
    <row r="2146" hidden="1">
      <c r="A2146" s="60">
        <f>IFERROR(__xludf.DUMMYFUNCTION("""COMPUTED_VALUE"""),17168.0)</f>
        <v>17168</v>
      </c>
      <c r="B2146" s="60" t="str">
        <f>IFERROR(__xludf.DUMMYFUNCTION("""COMPUTED_VALUE"""),"Smith, Jaylin")</f>
        <v>Smith, Jaylin</v>
      </c>
      <c r="C2146" s="60" t="str">
        <f>IFERROR(__xludf.DUMMYFUNCTION("""COMPUTED_VALUE"""),"CB")</f>
        <v>CB</v>
      </c>
      <c r="D2146" s="60" t="str">
        <f>IFERROR(__xludf.DUMMYFUNCTION("""COMPUTED_VALUE"""),"HOU")</f>
        <v>HOU</v>
      </c>
      <c r="E2146" s="62" t="str">
        <f t="shared" si="4"/>
        <v>Jaylin Smith</v>
      </c>
      <c r="F2146" s="62">
        <f t="shared" ref="F2146:G2146" si="4291">IF(isblank(F$1),,IF(isblank($A2146),,IFERROR(vlookup($A2146,indirect("'TVC-"&amp;text(month(F$1),"00")&amp;"'!$A:$D"),4,false),1)))</f>
        <v>1</v>
      </c>
      <c r="G2146" s="62">
        <f t="shared" si="4291"/>
        <v>1</v>
      </c>
      <c r="H2146" s="62">
        <f t="shared" ref="H2146:Q2146" si="4292">IF(isblank(H$1),,IFERROR(vlookup($A2146,indirect("'TVC-"&amp;text(month(H$1),"00")&amp;"'!$A:$D"),4,false),1))</f>
        <v>1</v>
      </c>
      <c r="I2146" s="62">
        <f t="shared" si="4292"/>
        <v>1</v>
      </c>
      <c r="J2146" s="62">
        <f t="shared" si="4292"/>
        <v>1</v>
      </c>
      <c r="K2146" s="62">
        <f t="shared" si="4292"/>
        <v>1</v>
      </c>
      <c r="L2146" s="62">
        <f t="shared" si="4292"/>
        <v>1</v>
      </c>
      <c r="M2146" s="62">
        <f t="shared" si="4292"/>
        <v>1</v>
      </c>
      <c r="N2146" s="62">
        <f t="shared" si="4292"/>
        <v>1</v>
      </c>
      <c r="O2146" s="62">
        <f t="shared" si="4292"/>
        <v>1</v>
      </c>
      <c r="P2146" s="62" t="str">
        <f t="shared" si="4292"/>
        <v/>
      </c>
      <c r="Q2146" s="62" t="str">
        <f t="shared" si="4292"/>
        <v/>
      </c>
      <c r="R2146" s="62">
        <f t="shared" si="7"/>
        <v>0</v>
      </c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</row>
    <row r="2147" hidden="1">
      <c r="A2147" s="60">
        <f>IFERROR(__xludf.DUMMYFUNCTION("""COMPUTED_VALUE"""),17169.0)</f>
        <v>17169</v>
      </c>
      <c r="B2147" s="60" t="str">
        <f>IFERROR(__xludf.DUMMYFUNCTION("""COMPUTED_VALUE"""),"Stout, Upton")</f>
        <v>Stout, Upton</v>
      </c>
      <c r="C2147" s="60" t="str">
        <f>IFERROR(__xludf.DUMMYFUNCTION("""COMPUTED_VALUE"""),"CB")</f>
        <v>CB</v>
      </c>
      <c r="D2147" s="60" t="str">
        <f>IFERROR(__xludf.DUMMYFUNCTION("""COMPUTED_VALUE"""),"SFO")</f>
        <v>SFO</v>
      </c>
      <c r="E2147" s="62" t="str">
        <f t="shared" si="4"/>
        <v>Upton Stout</v>
      </c>
      <c r="F2147" s="62">
        <f t="shared" ref="F2147:G2147" si="4293">IF(isblank(F$1),,IF(isblank($A2147),,IFERROR(vlookup($A2147,indirect("'TVC-"&amp;text(month(F$1),"00")&amp;"'!$A:$D"),4,false),1)))</f>
        <v>1</v>
      </c>
      <c r="G2147" s="62">
        <f t="shared" si="4293"/>
        <v>1</v>
      </c>
      <c r="H2147" s="62">
        <f t="shared" ref="H2147:Q2147" si="4294">IF(isblank(H$1),,IFERROR(vlookup($A2147,indirect("'TVC-"&amp;text(month(H$1),"00")&amp;"'!$A:$D"),4,false),1))</f>
        <v>1</v>
      </c>
      <c r="I2147" s="62">
        <f t="shared" si="4294"/>
        <v>1</v>
      </c>
      <c r="J2147" s="62">
        <f t="shared" si="4294"/>
        <v>1</v>
      </c>
      <c r="K2147" s="62">
        <f t="shared" si="4294"/>
        <v>1</v>
      </c>
      <c r="L2147" s="62">
        <f t="shared" si="4294"/>
        <v>1</v>
      </c>
      <c r="M2147" s="62">
        <f t="shared" si="4294"/>
        <v>1</v>
      </c>
      <c r="N2147" s="62">
        <f t="shared" si="4294"/>
        <v>1</v>
      </c>
      <c r="O2147" s="62">
        <f t="shared" si="4294"/>
        <v>1</v>
      </c>
      <c r="P2147" s="62" t="str">
        <f t="shared" si="4294"/>
        <v/>
      </c>
      <c r="Q2147" s="62" t="str">
        <f t="shared" si="4294"/>
        <v/>
      </c>
      <c r="R2147" s="62">
        <f t="shared" si="7"/>
        <v>0</v>
      </c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</row>
    <row r="2148" hidden="1">
      <c r="A2148" s="60">
        <f>IFERROR(__xludf.DUMMYFUNCTION("""COMPUTED_VALUE"""),17170.0)</f>
        <v>17170</v>
      </c>
      <c r="B2148" s="60" t="str">
        <f>IFERROR(__xludf.DUMMYFUNCTION("""COMPUTED_VALUE"""),"Jones, Sai'vion")</f>
        <v>Jones, Sai'vion</v>
      </c>
      <c r="C2148" s="60" t="str">
        <f>IFERROR(__xludf.DUMMYFUNCTION("""COMPUTED_VALUE"""),"DT")</f>
        <v>DT</v>
      </c>
      <c r="D2148" s="60" t="str">
        <f>IFERROR(__xludf.DUMMYFUNCTION("""COMPUTED_VALUE"""),"DEN")</f>
        <v>DEN</v>
      </c>
      <c r="E2148" s="62" t="str">
        <f t="shared" si="4"/>
        <v>Sai'vion Jones</v>
      </c>
      <c r="F2148" s="62">
        <f t="shared" ref="F2148:G2148" si="4295">IF(isblank(F$1),,IF(isblank($A2148),,IFERROR(vlookup($A2148,indirect("'TVC-"&amp;text(month(F$1),"00")&amp;"'!$A:$D"),4,false),1)))</f>
        <v>1</v>
      </c>
      <c r="G2148" s="62">
        <f t="shared" si="4295"/>
        <v>1</v>
      </c>
      <c r="H2148" s="62">
        <f t="shared" ref="H2148:Q2148" si="4296">IF(isblank(H$1),,IFERROR(vlookup($A2148,indirect("'TVC-"&amp;text(month(H$1),"00")&amp;"'!$A:$D"),4,false),1))</f>
        <v>1</v>
      </c>
      <c r="I2148" s="62">
        <f t="shared" si="4296"/>
        <v>1</v>
      </c>
      <c r="J2148" s="62">
        <f t="shared" si="4296"/>
        <v>1</v>
      </c>
      <c r="K2148" s="62">
        <f t="shared" si="4296"/>
        <v>1</v>
      </c>
      <c r="L2148" s="62">
        <f t="shared" si="4296"/>
        <v>1</v>
      </c>
      <c r="M2148" s="62">
        <f t="shared" si="4296"/>
        <v>1</v>
      </c>
      <c r="N2148" s="62">
        <f t="shared" si="4296"/>
        <v>1</v>
      </c>
      <c r="O2148" s="62">
        <f t="shared" si="4296"/>
        <v>1</v>
      </c>
      <c r="P2148" s="62" t="str">
        <f t="shared" si="4296"/>
        <v/>
      </c>
      <c r="Q2148" s="62" t="str">
        <f t="shared" si="4296"/>
        <v/>
      </c>
      <c r="R2148" s="62">
        <f t="shared" si="7"/>
        <v>0</v>
      </c>
      <c r="S2148" s="62"/>
      <c r="T2148" s="62"/>
      <c r="U2148" s="62"/>
      <c r="V2148" s="62"/>
      <c r="W2148" s="62"/>
      <c r="X2148" s="62"/>
      <c r="Y2148" s="62"/>
      <c r="Z2148" s="62"/>
      <c r="AA2148" s="62"/>
      <c r="AB2148" s="62"/>
      <c r="AC2148" s="62"/>
    </row>
    <row r="2149" hidden="1">
      <c r="A2149" s="60">
        <f>IFERROR(__xludf.DUMMYFUNCTION("""COMPUTED_VALUE"""),17171.0)</f>
        <v>17171</v>
      </c>
      <c r="B2149" s="60" t="str">
        <f>IFERROR(__xludf.DUMMYFUNCTION("""COMPUTED_VALUE"""),"Dike, Chimere")</f>
        <v>Dike, Chimere</v>
      </c>
      <c r="C2149" s="60" t="str">
        <f>IFERROR(__xludf.DUMMYFUNCTION("""COMPUTED_VALUE"""),"WR")</f>
        <v>WR</v>
      </c>
      <c r="D2149" s="60" t="str">
        <f>IFERROR(__xludf.DUMMYFUNCTION("""COMPUTED_VALUE"""),"TEN")</f>
        <v>TEN</v>
      </c>
      <c r="E2149" s="62" t="str">
        <f t="shared" si="4"/>
        <v>Chimere Dike</v>
      </c>
      <c r="F2149" s="62">
        <f t="shared" ref="F2149:G2149" si="4297">IF(isblank(F$1),,IF(isblank($A2149),,IFERROR(vlookup($A2149,indirect("'TVC-"&amp;text(month(F$1),"00")&amp;"'!$A:$D"),4,false),1)))</f>
        <v>2930</v>
      </c>
      <c r="G2149" s="62">
        <f t="shared" si="4297"/>
        <v>2851</v>
      </c>
      <c r="H2149" s="62">
        <f t="shared" ref="H2149:Q2149" si="4298">IF(isblank(H$1),,IFERROR(vlookup($A2149,indirect("'TVC-"&amp;text(month(H$1),"00")&amp;"'!$A:$D"),4,false),1))</f>
        <v>2836</v>
      </c>
      <c r="I2149" s="62">
        <f t="shared" si="4298"/>
        <v>2733</v>
      </c>
      <c r="J2149" s="62">
        <f t="shared" si="4298"/>
        <v>2652</v>
      </c>
      <c r="K2149" s="62">
        <f t="shared" si="4298"/>
        <v>2451</v>
      </c>
      <c r="L2149" s="62">
        <f t="shared" si="4298"/>
        <v>2410</v>
      </c>
      <c r="M2149" s="62">
        <f t="shared" si="4298"/>
        <v>2279</v>
      </c>
      <c r="N2149" s="62">
        <f t="shared" si="4298"/>
        <v>2143</v>
      </c>
      <c r="O2149" s="62">
        <f t="shared" si="4298"/>
        <v>1</v>
      </c>
      <c r="P2149" s="62" t="str">
        <f t="shared" si="4298"/>
        <v/>
      </c>
      <c r="Q2149" s="62" t="str">
        <f t="shared" si="4298"/>
        <v/>
      </c>
      <c r="R2149" s="62">
        <f t="shared" si="7"/>
        <v>-2142</v>
      </c>
      <c r="S2149" s="62"/>
      <c r="T2149" s="62"/>
      <c r="U2149" s="62"/>
      <c r="V2149" s="62"/>
      <c r="W2149" s="62"/>
      <c r="X2149" s="62"/>
      <c r="Y2149" s="62"/>
      <c r="Z2149" s="62"/>
      <c r="AA2149" s="62"/>
      <c r="AB2149" s="62"/>
      <c r="AC2149" s="62"/>
    </row>
    <row r="2150" hidden="1">
      <c r="A2150" s="60">
        <f>IFERROR(__xludf.DUMMYFUNCTION("""COMPUTED_VALUE"""),17172.0)</f>
        <v>17172</v>
      </c>
      <c r="B2150" s="60" t="str">
        <f>IFERROR(__xludf.DUMMYFUNCTION("""COMPUTED_VALUE"""),"Woodson, Craig")</f>
        <v>Woodson, Craig</v>
      </c>
      <c r="C2150" s="60" t="str">
        <f>IFERROR(__xludf.DUMMYFUNCTION("""COMPUTED_VALUE"""),"S")</f>
        <v>S</v>
      </c>
      <c r="D2150" s="60" t="str">
        <f>IFERROR(__xludf.DUMMYFUNCTION("""COMPUTED_VALUE"""),"NEP")</f>
        <v>NEP</v>
      </c>
      <c r="E2150" s="62" t="str">
        <f t="shared" si="4"/>
        <v>Craig Woodson</v>
      </c>
      <c r="F2150" s="62">
        <f t="shared" ref="F2150:G2150" si="4299">IF(isblank(F$1),,IF(isblank($A2150),,IFERROR(vlookup($A2150,indirect("'TVC-"&amp;text(month(F$1),"00")&amp;"'!$A:$D"),4,false),1)))</f>
        <v>1</v>
      </c>
      <c r="G2150" s="62">
        <f t="shared" si="4299"/>
        <v>1</v>
      </c>
      <c r="H2150" s="62">
        <f t="shared" ref="H2150:Q2150" si="4300">IF(isblank(H$1),,IFERROR(vlookup($A2150,indirect("'TVC-"&amp;text(month(H$1),"00")&amp;"'!$A:$D"),4,false),1))</f>
        <v>1</v>
      </c>
      <c r="I2150" s="62">
        <f t="shared" si="4300"/>
        <v>1</v>
      </c>
      <c r="J2150" s="62">
        <f t="shared" si="4300"/>
        <v>1</v>
      </c>
      <c r="K2150" s="62">
        <f t="shared" si="4300"/>
        <v>1</v>
      </c>
      <c r="L2150" s="62">
        <f t="shared" si="4300"/>
        <v>1</v>
      </c>
      <c r="M2150" s="62">
        <f t="shared" si="4300"/>
        <v>1</v>
      </c>
      <c r="N2150" s="62">
        <f t="shared" si="4300"/>
        <v>1</v>
      </c>
      <c r="O2150" s="62">
        <f t="shared" si="4300"/>
        <v>1</v>
      </c>
      <c r="P2150" s="62" t="str">
        <f t="shared" si="4300"/>
        <v/>
      </c>
      <c r="Q2150" s="62" t="str">
        <f t="shared" si="4300"/>
        <v/>
      </c>
      <c r="R2150" s="62">
        <f t="shared" si="7"/>
        <v>0</v>
      </c>
      <c r="S2150" s="62"/>
      <c r="T2150" s="62"/>
      <c r="U2150" s="62"/>
      <c r="V2150" s="62"/>
      <c r="W2150" s="62"/>
      <c r="X2150" s="62"/>
      <c r="Y2150" s="62"/>
      <c r="Z2150" s="62"/>
      <c r="AA2150" s="62"/>
      <c r="AB2150" s="62"/>
      <c r="AC2150" s="62"/>
    </row>
    <row r="2151" hidden="1">
      <c r="A2151" s="60">
        <f>IFERROR(__xludf.DUMMYFUNCTION("""COMPUTED_VALUE"""),17173.0)</f>
        <v>17173</v>
      </c>
      <c r="B2151" s="60" t="str">
        <f>IFERROR(__xludf.DUMMYFUNCTION("""COMPUTED_VALUE"""),"Kiser, Jack")</f>
        <v>Kiser, Jack</v>
      </c>
      <c r="C2151" s="60" t="str">
        <f>IFERROR(__xludf.DUMMYFUNCTION("""COMPUTED_VALUE"""),"LB")</f>
        <v>LB</v>
      </c>
      <c r="D2151" s="60" t="str">
        <f>IFERROR(__xludf.DUMMYFUNCTION("""COMPUTED_VALUE"""),"CIN")</f>
        <v>CIN</v>
      </c>
      <c r="E2151" s="62" t="str">
        <f t="shared" si="4"/>
        <v>Jack Kiser</v>
      </c>
      <c r="F2151" s="62">
        <f t="shared" ref="F2151:G2151" si="4301">IF(isblank(F$1),,IF(isblank($A2151),,IFERROR(vlookup($A2151,indirect("'TVC-"&amp;text(month(F$1),"00")&amp;"'!$A:$D"),4,false),1)))</f>
        <v>1</v>
      </c>
      <c r="G2151" s="62">
        <f t="shared" si="4301"/>
        <v>1</v>
      </c>
      <c r="H2151" s="62">
        <f t="shared" ref="H2151:Q2151" si="4302">IF(isblank(H$1),,IFERROR(vlookup($A2151,indirect("'TVC-"&amp;text(month(H$1),"00")&amp;"'!$A:$D"),4,false),1))</f>
        <v>1</v>
      </c>
      <c r="I2151" s="62">
        <f t="shared" si="4302"/>
        <v>1</v>
      </c>
      <c r="J2151" s="62">
        <f t="shared" si="4302"/>
        <v>1</v>
      </c>
      <c r="K2151" s="62">
        <f t="shared" si="4302"/>
        <v>1</v>
      </c>
      <c r="L2151" s="62">
        <f t="shared" si="4302"/>
        <v>1</v>
      </c>
      <c r="M2151" s="62">
        <f t="shared" si="4302"/>
        <v>1</v>
      </c>
      <c r="N2151" s="62">
        <f t="shared" si="4302"/>
        <v>1</v>
      </c>
      <c r="O2151" s="62">
        <f t="shared" si="4302"/>
        <v>1</v>
      </c>
      <c r="P2151" s="62" t="str">
        <f t="shared" si="4302"/>
        <v/>
      </c>
      <c r="Q2151" s="62" t="str">
        <f t="shared" si="4302"/>
        <v/>
      </c>
      <c r="R2151" s="62">
        <f t="shared" si="7"/>
        <v>0</v>
      </c>
      <c r="S2151" s="62"/>
      <c r="T2151" s="62"/>
      <c r="U2151" s="62"/>
      <c r="V2151" s="62"/>
      <c r="W2151" s="62"/>
      <c r="X2151" s="62"/>
      <c r="Y2151" s="62"/>
      <c r="Z2151" s="62"/>
      <c r="AA2151" s="62"/>
      <c r="AB2151" s="62"/>
      <c r="AC2151" s="62"/>
    </row>
    <row r="2152" hidden="1">
      <c r="A2152" s="60">
        <f>IFERROR(__xludf.DUMMYFUNCTION("""COMPUTED_VALUE"""),17174.0)</f>
        <v>17174</v>
      </c>
      <c r="B2152" s="60" t="str">
        <f>IFERROR(__xludf.DUMMYFUNCTION("""COMPUTED_VALUE"""),"Walker, Deone")</f>
        <v>Walker, Deone</v>
      </c>
      <c r="C2152" s="60" t="str">
        <f>IFERROR(__xludf.DUMMYFUNCTION("""COMPUTED_VALUE"""),"DT")</f>
        <v>DT</v>
      </c>
      <c r="D2152" s="60" t="str">
        <f>IFERROR(__xludf.DUMMYFUNCTION("""COMPUTED_VALUE"""),"BUF")</f>
        <v>BUF</v>
      </c>
      <c r="E2152" s="62" t="str">
        <f t="shared" si="4"/>
        <v>Deone Walker</v>
      </c>
      <c r="F2152" s="62">
        <f t="shared" ref="F2152:G2152" si="4303">IF(isblank(F$1),,IF(isblank($A2152),,IFERROR(vlookup($A2152,indirect("'TVC-"&amp;text(month(F$1),"00")&amp;"'!$A:$D"),4,false),1)))</f>
        <v>1</v>
      </c>
      <c r="G2152" s="62">
        <f t="shared" si="4303"/>
        <v>1</v>
      </c>
      <c r="H2152" s="62">
        <f t="shared" ref="H2152:Q2152" si="4304">IF(isblank(H$1),,IFERROR(vlookup($A2152,indirect("'TVC-"&amp;text(month(H$1),"00")&amp;"'!$A:$D"),4,false),1))</f>
        <v>1</v>
      </c>
      <c r="I2152" s="62">
        <f t="shared" si="4304"/>
        <v>1</v>
      </c>
      <c r="J2152" s="62">
        <f t="shared" si="4304"/>
        <v>1</v>
      </c>
      <c r="K2152" s="62">
        <f t="shared" si="4304"/>
        <v>1</v>
      </c>
      <c r="L2152" s="62">
        <f t="shared" si="4304"/>
        <v>1</v>
      </c>
      <c r="M2152" s="62">
        <f t="shared" si="4304"/>
        <v>1</v>
      </c>
      <c r="N2152" s="62">
        <f t="shared" si="4304"/>
        <v>1</v>
      </c>
      <c r="O2152" s="62">
        <f t="shared" si="4304"/>
        <v>1</v>
      </c>
      <c r="P2152" s="62" t="str">
        <f t="shared" si="4304"/>
        <v/>
      </c>
      <c r="Q2152" s="62" t="str">
        <f t="shared" si="4304"/>
        <v/>
      </c>
      <c r="R2152" s="62">
        <f t="shared" si="7"/>
        <v>0</v>
      </c>
      <c r="S2152" s="62"/>
      <c r="T2152" s="62"/>
      <c r="U2152" s="62"/>
      <c r="V2152" s="62"/>
      <c r="W2152" s="62"/>
      <c r="X2152" s="62"/>
      <c r="Y2152" s="62"/>
      <c r="Z2152" s="62"/>
      <c r="AA2152" s="62"/>
      <c r="AB2152" s="62"/>
      <c r="AC2152" s="62"/>
    </row>
    <row r="2153">
      <c r="A2153" s="60">
        <f>IFERROR(__xludf.DUMMYFUNCTION("""COMPUTED_VALUE"""),17175.0)</f>
        <v>17175</v>
      </c>
      <c r="B2153" s="60" t="str">
        <f>IFERROR(__xludf.DUMMYFUNCTION("""COMPUTED_VALUE"""),"Smith, Arian")</f>
        <v>Smith, Arian</v>
      </c>
      <c r="C2153" s="60" t="str">
        <f>IFERROR(__xludf.DUMMYFUNCTION("""COMPUTED_VALUE"""),"WR")</f>
        <v>WR</v>
      </c>
      <c r="D2153" s="60" t="str">
        <f>IFERROR(__xludf.DUMMYFUNCTION("""COMPUTED_VALUE"""),"NYJ")</f>
        <v>NYJ</v>
      </c>
      <c r="E2153" s="62" t="str">
        <f t="shared" si="4"/>
        <v>Arian Smith</v>
      </c>
      <c r="F2153" s="62">
        <f t="shared" ref="F2153:G2153" si="4305">IF(isblank(F$1),,IF(isblank($A2153),,IFERROR(vlookup($A2153,indirect("'TVC-"&amp;text(month(F$1),"00")&amp;"'!$A:$D"),4,false),1)))</f>
        <v>1118</v>
      </c>
      <c r="G2153" s="62">
        <f t="shared" si="4305"/>
        <v>1091</v>
      </c>
      <c r="H2153" s="62">
        <f t="shared" ref="H2153:Q2153" si="4306">IF(isblank(H$1),,IFERROR(vlookup($A2153,indirect("'TVC-"&amp;text(month(H$1),"00")&amp;"'!$A:$D"),4,false),1))</f>
        <v>1074</v>
      </c>
      <c r="I2153" s="62">
        <f t="shared" si="4306"/>
        <v>1059</v>
      </c>
      <c r="J2153" s="62">
        <f t="shared" si="4306"/>
        <v>1043</v>
      </c>
      <c r="K2153" s="62">
        <f t="shared" si="4306"/>
        <v>974</v>
      </c>
      <c r="L2153" s="62">
        <f t="shared" si="4306"/>
        <v>999</v>
      </c>
      <c r="M2153" s="62">
        <f t="shared" si="4306"/>
        <v>880</v>
      </c>
      <c r="N2153" s="62">
        <f t="shared" si="4306"/>
        <v>919</v>
      </c>
      <c r="O2153" s="62">
        <f t="shared" si="4306"/>
        <v>1</v>
      </c>
      <c r="P2153" s="62" t="str">
        <f t="shared" si="4306"/>
        <v/>
      </c>
      <c r="Q2153" s="62" t="str">
        <f t="shared" si="4306"/>
        <v/>
      </c>
      <c r="R2153" s="62">
        <f t="shared" si="7"/>
        <v>-918</v>
      </c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</row>
    <row r="2154" hidden="1">
      <c r="A2154" s="60">
        <f>IFERROR(__xludf.DUMMYFUNCTION("""COMPUTED_VALUE"""),17176.0)</f>
        <v>17176</v>
      </c>
      <c r="B2154" s="60" t="str">
        <f>IFERROR(__xludf.DUMMYFUNCTION("""COMPUTED_VALUE"""),"Robinson, Ty")</f>
        <v>Robinson, Ty</v>
      </c>
      <c r="C2154" s="60" t="str">
        <f>IFERROR(__xludf.DUMMYFUNCTION("""COMPUTED_VALUE"""),"DT")</f>
        <v>DT</v>
      </c>
      <c r="D2154" s="60" t="str">
        <f>IFERROR(__xludf.DUMMYFUNCTION("""COMPUTED_VALUE"""),"PHI")</f>
        <v>PHI</v>
      </c>
      <c r="E2154" s="62" t="str">
        <f t="shared" si="4"/>
        <v>Ty Robinson</v>
      </c>
      <c r="F2154" s="62">
        <f t="shared" ref="F2154:G2154" si="4307">IF(isblank(F$1),,IF(isblank($A2154),,IFERROR(vlookup($A2154,indirect("'TVC-"&amp;text(month(F$1),"00")&amp;"'!$A:$D"),4,false),1)))</f>
        <v>1</v>
      </c>
      <c r="G2154" s="62">
        <f t="shared" si="4307"/>
        <v>1</v>
      </c>
      <c r="H2154" s="62">
        <f t="shared" ref="H2154:Q2154" si="4308">IF(isblank(H$1),,IFERROR(vlookup($A2154,indirect("'TVC-"&amp;text(month(H$1),"00")&amp;"'!$A:$D"),4,false),1))</f>
        <v>1</v>
      </c>
      <c r="I2154" s="62">
        <f t="shared" si="4308"/>
        <v>1</v>
      </c>
      <c r="J2154" s="62">
        <f t="shared" si="4308"/>
        <v>1</v>
      </c>
      <c r="K2154" s="62">
        <f t="shared" si="4308"/>
        <v>1</v>
      </c>
      <c r="L2154" s="62">
        <f t="shared" si="4308"/>
        <v>1</v>
      </c>
      <c r="M2154" s="62">
        <f t="shared" si="4308"/>
        <v>1</v>
      </c>
      <c r="N2154" s="62">
        <f t="shared" si="4308"/>
        <v>1</v>
      </c>
      <c r="O2154" s="62">
        <f t="shared" si="4308"/>
        <v>1</v>
      </c>
      <c r="P2154" s="62" t="str">
        <f t="shared" si="4308"/>
        <v/>
      </c>
      <c r="Q2154" s="62" t="str">
        <f t="shared" si="4308"/>
        <v/>
      </c>
      <c r="R2154" s="62">
        <f t="shared" si="7"/>
        <v>0</v>
      </c>
      <c r="S2154" s="62"/>
      <c r="T2154" s="62"/>
      <c r="U2154" s="62"/>
      <c r="V2154" s="62"/>
      <c r="W2154" s="62"/>
      <c r="X2154" s="62"/>
      <c r="Y2154" s="62"/>
      <c r="Z2154" s="62"/>
      <c r="AA2154" s="62"/>
      <c r="AB2154" s="62"/>
      <c r="AC2154" s="62"/>
    </row>
    <row r="2155" hidden="1">
      <c r="A2155" s="60">
        <f>IFERROR(__xludf.DUMMYFUNCTION("""COMPUTED_VALUE"""),17177.0)</f>
        <v>17177</v>
      </c>
      <c r="B2155" s="60" t="str">
        <f>IFERROR(__xludf.DUMMYFUNCTION("""COMPUTED_VALUE"""),"West, CJ")</f>
        <v>West, CJ</v>
      </c>
      <c r="C2155" s="60" t="str">
        <f>IFERROR(__xludf.DUMMYFUNCTION("""COMPUTED_VALUE"""),"DT")</f>
        <v>DT</v>
      </c>
      <c r="D2155" s="60" t="str">
        <f>IFERROR(__xludf.DUMMYFUNCTION("""COMPUTED_VALUE"""),"SFO")</f>
        <v>SFO</v>
      </c>
      <c r="E2155" s="62" t="str">
        <f t="shared" si="4"/>
        <v>CJ West</v>
      </c>
      <c r="F2155" s="62">
        <f t="shared" ref="F2155:G2155" si="4309">IF(isblank(F$1),,IF(isblank($A2155),,IFERROR(vlookup($A2155,indirect("'TVC-"&amp;text(month(F$1),"00")&amp;"'!$A:$D"),4,false),1)))</f>
        <v>1</v>
      </c>
      <c r="G2155" s="62">
        <f t="shared" si="4309"/>
        <v>1</v>
      </c>
      <c r="H2155" s="62">
        <f t="shared" ref="H2155:Q2155" si="4310">IF(isblank(H$1),,IFERROR(vlookup($A2155,indirect("'TVC-"&amp;text(month(H$1),"00")&amp;"'!$A:$D"),4,false),1))</f>
        <v>1</v>
      </c>
      <c r="I2155" s="62">
        <f t="shared" si="4310"/>
        <v>1</v>
      </c>
      <c r="J2155" s="62">
        <f t="shared" si="4310"/>
        <v>1</v>
      </c>
      <c r="K2155" s="62">
        <f t="shared" si="4310"/>
        <v>1</v>
      </c>
      <c r="L2155" s="62">
        <f t="shared" si="4310"/>
        <v>1</v>
      </c>
      <c r="M2155" s="62">
        <f t="shared" si="4310"/>
        <v>1</v>
      </c>
      <c r="N2155" s="62">
        <f t="shared" si="4310"/>
        <v>1</v>
      </c>
      <c r="O2155" s="62">
        <f t="shared" si="4310"/>
        <v>1</v>
      </c>
      <c r="P2155" s="62" t="str">
        <f t="shared" si="4310"/>
        <v/>
      </c>
      <c r="Q2155" s="62" t="str">
        <f t="shared" si="4310"/>
        <v/>
      </c>
      <c r="R2155" s="62">
        <f t="shared" si="7"/>
        <v>0</v>
      </c>
      <c r="S2155" s="62"/>
      <c r="T2155" s="62"/>
      <c r="U2155" s="62"/>
      <c r="V2155" s="62"/>
      <c r="W2155" s="62"/>
      <c r="X2155" s="62"/>
      <c r="Y2155" s="62"/>
      <c r="Z2155" s="62"/>
      <c r="AA2155" s="62"/>
      <c r="AB2155" s="62"/>
      <c r="AC2155" s="62"/>
    </row>
    <row r="2156" hidden="1">
      <c r="A2156" s="60">
        <f>IFERROR(__xludf.DUMMYFUNCTION("""COMPUTED_VALUE"""),17178.0)</f>
        <v>17178</v>
      </c>
      <c r="B2156" s="60" t="str">
        <f>IFERROR(__xludf.DUMMYFUNCTION("""COMPUTED_VALUE"""),"Simon, Cody")</f>
        <v>Simon, Cody</v>
      </c>
      <c r="C2156" s="60" t="str">
        <f>IFERROR(__xludf.DUMMYFUNCTION("""COMPUTED_VALUE"""),"LB")</f>
        <v>LB</v>
      </c>
      <c r="D2156" s="60" t="str">
        <f>IFERROR(__xludf.DUMMYFUNCTION("""COMPUTED_VALUE"""),"ARI")</f>
        <v>ARI</v>
      </c>
      <c r="E2156" s="62" t="str">
        <f t="shared" si="4"/>
        <v>Cody Simon</v>
      </c>
      <c r="F2156" s="62">
        <f t="shared" ref="F2156:G2156" si="4311">IF(isblank(F$1),,IF(isblank($A2156),,IFERROR(vlookup($A2156,indirect("'TVC-"&amp;text(month(F$1),"00")&amp;"'!$A:$D"),4,false),1)))</f>
        <v>1</v>
      </c>
      <c r="G2156" s="62">
        <f t="shared" si="4311"/>
        <v>1</v>
      </c>
      <c r="H2156" s="62">
        <f t="shared" ref="H2156:Q2156" si="4312">IF(isblank(H$1),,IFERROR(vlookup($A2156,indirect("'TVC-"&amp;text(month(H$1),"00")&amp;"'!$A:$D"),4,false),1))</f>
        <v>1</v>
      </c>
      <c r="I2156" s="62">
        <f t="shared" si="4312"/>
        <v>1</v>
      </c>
      <c r="J2156" s="62">
        <f t="shared" si="4312"/>
        <v>1</v>
      </c>
      <c r="K2156" s="62">
        <f t="shared" si="4312"/>
        <v>1</v>
      </c>
      <c r="L2156" s="62">
        <f t="shared" si="4312"/>
        <v>1</v>
      </c>
      <c r="M2156" s="62">
        <f t="shared" si="4312"/>
        <v>1</v>
      </c>
      <c r="N2156" s="62">
        <f t="shared" si="4312"/>
        <v>1</v>
      </c>
      <c r="O2156" s="62">
        <f t="shared" si="4312"/>
        <v>1</v>
      </c>
      <c r="P2156" s="62" t="str">
        <f t="shared" si="4312"/>
        <v/>
      </c>
      <c r="Q2156" s="62" t="str">
        <f t="shared" si="4312"/>
        <v/>
      </c>
      <c r="R2156" s="62">
        <f t="shared" si="7"/>
        <v>0</v>
      </c>
      <c r="S2156" s="62"/>
      <c r="T2156" s="62"/>
      <c r="U2156" s="62"/>
      <c r="V2156" s="62"/>
      <c r="W2156" s="62"/>
      <c r="X2156" s="62"/>
      <c r="Y2156" s="62"/>
      <c r="Z2156" s="62"/>
      <c r="AA2156" s="62"/>
      <c r="AB2156" s="62"/>
      <c r="AC2156" s="62"/>
    </row>
    <row r="2157" hidden="1">
      <c r="A2157" s="60">
        <f>IFERROR(__xludf.DUMMYFUNCTION("""COMPUTED_VALUE"""),17179.0)</f>
        <v>17179</v>
      </c>
      <c r="B2157" s="60" t="str">
        <f>IFERROR(__xludf.DUMMYFUNCTION("""COMPUTED_VALUE"""),"Bowman, Billy")</f>
        <v>Bowman, Billy</v>
      </c>
      <c r="C2157" s="60" t="str">
        <f>IFERROR(__xludf.DUMMYFUNCTION("""COMPUTED_VALUE"""),"S")</f>
        <v>S</v>
      </c>
      <c r="D2157" s="60" t="str">
        <f>IFERROR(__xludf.DUMMYFUNCTION("""COMPUTED_VALUE"""),"ATL")</f>
        <v>ATL</v>
      </c>
      <c r="E2157" s="62" t="str">
        <f t="shared" si="4"/>
        <v>Billy Bowman</v>
      </c>
      <c r="F2157" s="62">
        <f t="shared" ref="F2157:G2157" si="4313">IF(isblank(F$1),,IF(isblank($A2157),,IFERROR(vlookup($A2157,indirect("'TVC-"&amp;text(month(F$1),"00")&amp;"'!$A:$D"),4,false),1)))</f>
        <v>1</v>
      </c>
      <c r="G2157" s="62">
        <f t="shared" si="4313"/>
        <v>1</v>
      </c>
      <c r="H2157" s="62">
        <f t="shared" ref="H2157:Q2157" si="4314">IF(isblank(H$1),,IFERROR(vlookup($A2157,indirect("'TVC-"&amp;text(month(H$1),"00")&amp;"'!$A:$D"),4,false),1))</f>
        <v>1</v>
      </c>
      <c r="I2157" s="62">
        <f t="shared" si="4314"/>
        <v>1</v>
      </c>
      <c r="J2157" s="62">
        <f t="shared" si="4314"/>
        <v>1</v>
      </c>
      <c r="K2157" s="62">
        <f t="shared" si="4314"/>
        <v>1</v>
      </c>
      <c r="L2157" s="62">
        <f t="shared" si="4314"/>
        <v>1</v>
      </c>
      <c r="M2157" s="62">
        <f t="shared" si="4314"/>
        <v>1</v>
      </c>
      <c r="N2157" s="62">
        <f t="shared" si="4314"/>
        <v>1</v>
      </c>
      <c r="O2157" s="62">
        <f t="shared" si="4314"/>
        <v>1</v>
      </c>
      <c r="P2157" s="62" t="str">
        <f t="shared" si="4314"/>
        <v/>
      </c>
      <c r="Q2157" s="62" t="str">
        <f t="shared" si="4314"/>
        <v/>
      </c>
      <c r="R2157" s="62">
        <f t="shared" si="7"/>
        <v>0</v>
      </c>
      <c r="S2157" s="62"/>
      <c r="T2157" s="62"/>
      <c r="U2157" s="62"/>
      <c r="V2157" s="62"/>
      <c r="W2157" s="62"/>
      <c r="X2157" s="62"/>
      <c r="Y2157" s="62"/>
      <c r="Z2157" s="62"/>
      <c r="AA2157" s="62"/>
      <c r="AB2157" s="62"/>
      <c r="AC2157" s="62"/>
    </row>
    <row r="2158" hidden="1">
      <c r="A2158" s="60">
        <f>IFERROR(__xludf.DUMMYFUNCTION("""COMPUTED_VALUE"""),17180.0)</f>
        <v>17180</v>
      </c>
      <c r="B2158" s="60" t="str">
        <f>IFERROR(__xludf.DUMMYFUNCTION("""COMPUTED_VALUE"""),"Walker, David")</f>
        <v>Walker, David</v>
      </c>
      <c r="C2158" s="60" t="str">
        <f>IFERROR(__xludf.DUMMYFUNCTION("""COMPUTED_VALUE"""),"DE")</f>
        <v>DE</v>
      </c>
      <c r="D2158" s="60" t="str">
        <f>IFERROR(__xludf.DUMMYFUNCTION("""COMPUTED_VALUE"""),"TBB")</f>
        <v>TBB</v>
      </c>
      <c r="E2158" s="62" t="str">
        <f t="shared" si="4"/>
        <v>David Walker</v>
      </c>
      <c r="F2158" s="62">
        <f t="shared" ref="F2158:G2158" si="4315">IF(isblank(F$1),,IF(isblank($A2158),,IFERROR(vlookup($A2158,indirect("'TVC-"&amp;text(month(F$1),"00")&amp;"'!$A:$D"),4,false),1)))</f>
        <v>1</v>
      </c>
      <c r="G2158" s="62">
        <f t="shared" si="4315"/>
        <v>1</v>
      </c>
      <c r="H2158" s="62">
        <f t="shared" ref="H2158:Q2158" si="4316">IF(isblank(H$1),,IFERROR(vlookup($A2158,indirect("'TVC-"&amp;text(month(H$1),"00")&amp;"'!$A:$D"),4,false),1))</f>
        <v>1</v>
      </c>
      <c r="I2158" s="62">
        <f t="shared" si="4316"/>
        <v>1</v>
      </c>
      <c r="J2158" s="62">
        <f t="shared" si="4316"/>
        <v>1</v>
      </c>
      <c r="K2158" s="62">
        <f t="shared" si="4316"/>
        <v>1</v>
      </c>
      <c r="L2158" s="62">
        <f t="shared" si="4316"/>
        <v>1</v>
      </c>
      <c r="M2158" s="62">
        <f t="shared" si="4316"/>
        <v>1</v>
      </c>
      <c r="N2158" s="62">
        <f t="shared" si="4316"/>
        <v>1</v>
      </c>
      <c r="O2158" s="62">
        <f t="shared" si="4316"/>
        <v>1</v>
      </c>
      <c r="P2158" s="62" t="str">
        <f t="shared" si="4316"/>
        <v/>
      </c>
      <c r="Q2158" s="62" t="str">
        <f t="shared" si="4316"/>
        <v/>
      </c>
      <c r="R2158" s="62">
        <f t="shared" si="7"/>
        <v>0</v>
      </c>
      <c r="S2158" s="62"/>
      <c r="T2158" s="62"/>
      <c r="U2158" s="62"/>
      <c r="V2158" s="62"/>
      <c r="W2158" s="62"/>
      <c r="X2158" s="62"/>
      <c r="Y2158" s="62"/>
      <c r="Z2158" s="62"/>
      <c r="AA2158" s="62"/>
      <c r="AB2158" s="62"/>
      <c r="AC2158" s="62"/>
    </row>
    <row r="2159" hidden="1">
      <c r="A2159" s="60">
        <f>IFERROR(__xludf.DUMMYFUNCTION("""COMPUTED_VALUE"""),17181.0)</f>
        <v>17181</v>
      </c>
      <c r="B2159" s="60" t="str">
        <f>IFERROR(__xludf.DUMMYFUNCTION("""COMPUTED_VALUE"""),"Ransom, Lathan")</f>
        <v>Ransom, Lathan</v>
      </c>
      <c r="C2159" s="60" t="str">
        <f>IFERROR(__xludf.DUMMYFUNCTION("""COMPUTED_VALUE"""),"S")</f>
        <v>S</v>
      </c>
      <c r="D2159" s="60" t="str">
        <f>IFERROR(__xludf.DUMMYFUNCTION("""COMPUTED_VALUE"""),"CAR")</f>
        <v>CAR</v>
      </c>
      <c r="E2159" s="62" t="str">
        <f t="shared" si="4"/>
        <v>Lathan Ransom</v>
      </c>
      <c r="F2159" s="62">
        <f t="shared" ref="F2159:G2159" si="4317">IF(isblank(F$1),,IF(isblank($A2159),,IFERROR(vlookup($A2159,indirect("'TVC-"&amp;text(month(F$1),"00")&amp;"'!$A:$D"),4,false),1)))</f>
        <v>1</v>
      </c>
      <c r="G2159" s="62">
        <f t="shared" si="4317"/>
        <v>1</v>
      </c>
      <c r="H2159" s="62">
        <f t="shared" ref="H2159:Q2159" si="4318">IF(isblank(H$1),,IFERROR(vlookup($A2159,indirect("'TVC-"&amp;text(month(H$1),"00")&amp;"'!$A:$D"),4,false),1))</f>
        <v>1</v>
      </c>
      <c r="I2159" s="62">
        <f t="shared" si="4318"/>
        <v>1</v>
      </c>
      <c r="J2159" s="62">
        <f t="shared" si="4318"/>
        <v>1</v>
      </c>
      <c r="K2159" s="62">
        <f t="shared" si="4318"/>
        <v>1</v>
      </c>
      <c r="L2159" s="62">
        <f t="shared" si="4318"/>
        <v>1</v>
      </c>
      <c r="M2159" s="62">
        <f t="shared" si="4318"/>
        <v>1</v>
      </c>
      <c r="N2159" s="62">
        <f t="shared" si="4318"/>
        <v>1</v>
      </c>
      <c r="O2159" s="62">
        <f t="shared" si="4318"/>
        <v>1</v>
      </c>
      <c r="P2159" s="62" t="str">
        <f t="shared" si="4318"/>
        <v/>
      </c>
      <c r="Q2159" s="62" t="str">
        <f t="shared" si="4318"/>
        <v/>
      </c>
      <c r="R2159" s="62">
        <f t="shared" si="7"/>
        <v>0</v>
      </c>
      <c r="S2159" s="62"/>
      <c r="T2159" s="62"/>
      <c r="U2159" s="62"/>
      <c r="V2159" s="62"/>
      <c r="W2159" s="62"/>
      <c r="X2159" s="62"/>
      <c r="Y2159" s="62"/>
      <c r="Z2159" s="62"/>
      <c r="AA2159" s="62"/>
      <c r="AB2159" s="62"/>
      <c r="AC2159" s="62"/>
    </row>
    <row r="2160" hidden="1">
      <c r="A2160" s="60">
        <f>IFERROR(__xludf.DUMMYFUNCTION("""COMPUTED_VALUE"""),17182.0)</f>
        <v>17182</v>
      </c>
      <c r="B2160" s="60" t="str">
        <f>IFERROR(__xludf.DUMMYFUNCTION("""COMPUTED_VALUE"""),"Sorrell, Barryn")</f>
        <v>Sorrell, Barryn</v>
      </c>
      <c r="C2160" s="60" t="str">
        <f>IFERROR(__xludf.DUMMYFUNCTION("""COMPUTED_VALUE"""),"DE")</f>
        <v>DE</v>
      </c>
      <c r="D2160" s="60" t="str">
        <f>IFERROR(__xludf.DUMMYFUNCTION("""COMPUTED_VALUE"""),"GBP")</f>
        <v>GBP</v>
      </c>
      <c r="E2160" s="62" t="str">
        <f t="shared" si="4"/>
        <v>Barryn Sorrell</v>
      </c>
      <c r="F2160" s="62">
        <f t="shared" ref="F2160:G2160" si="4319">IF(isblank(F$1),,IF(isblank($A2160),,IFERROR(vlookup($A2160,indirect("'TVC-"&amp;text(month(F$1),"00")&amp;"'!$A:$D"),4,false),1)))</f>
        <v>1</v>
      </c>
      <c r="G2160" s="62">
        <f t="shared" si="4319"/>
        <v>1</v>
      </c>
      <c r="H2160" s="62">
        <f t="shared" ref="H2160:Q2160" si="4320">IF(isblank(H$1),,IFERROR(vlookup($A2160,indirect("'TVC-"&amp;text(month(H$1),"00")&amp;"'!$A:$D"),4,false),1))</f>
        <v>1</v>
      </c>
      <c r="I2160" s="62">
        <f t="shared" si="4320"/>
        <v>1</v>
      </c>
      <c r="J2160" s="62">
        <f t="shared" si="4320"/>
        <v>1</v>
      </c>
      <c r="K2160" s="62">
        <f t="shared" si="4320"/>
        <v>1</v>
      </c>
      <c r="L2160" s="62">
        <f t="shared" si="4320"/>
        <v>1</v>
      </c>
      <c r="M2160" s="62">
        <f t="shared" si="4320"/>
        <v>1</v>
      </c>
      <c r="N2160" s="62">
        <f t="shared" si="4320"/>
        <v>1</v>
      </c>
      <c r="O2160" s="62">
        <f t="shared" si="4320"/>
        <v>1</v>
      </c>
      <c r="P2160" s="62" t="str">
        <f t="shared" si="4320"/>
        <v/>
      </c>
      <c r="Q2160" s="62" t="str">
        <f t="shared" si="4320"/>
        <v/>
      </c>
      <c r="R2160" s="62">
        <f t="shared" si="7"/>
        <v>0</v>
      </c>
      <c r="S2160" s="62"/>
      <c r="T2160" s="62"/>
      <c r="U2160" s="62"/>
      <c r="V2160" s="62"/>
      <c r="W2160" s="62"/>
      <c r="X2160" s="62"/>
      <c r="Y2160" s="62"/>
      <c r="Z2160" s="62"/>
      <c r="AA2160" s="62"/>
      <c r="AB2160" s="62"/>
      <c r="AC2160" s="62"/>
    </row>
    <row r="2161" hidden="1">
      <c r="A2161" s="60">
        <f>IFERROR(__xludf.DUMMYFUNCTION("""COMPUTED_VALUE"""),17183.0)</f>
        <v>17183</v>
      </c>
      <c r="B2161" s="60" t="str">
        <f>IFERROR(__xludf.DUMMYFUNCTION("""COMPUTED_VALUE"""),"Kennard, Kyle")</f>
        <v>Kennard, Kyle</v>
      </c>
      <c r="C2161" s="60" t="str">
        <f>IFERROR(__xludf.DUMMYFUNCTION("""COMPUTED_VALUE"""),"DE")</f>
        <v>DE</v>
      </c>
      <c r="D2161" s="60" t="str">
        <f>IFERROR(__xludf.DUMMYFUNCTION("""COMPUTED_VALUE"""),"FA")</f>
        <v>FA</v>
      </c>
      <c r="E2161" s="62" t="str">
        <f t="shared" si="4"/>
        <v>Kyle Kennard</v>
      </c>
      <c r="F2161" s="62">
        <f t="shared" ref="F2161:G2161" si="4321">IF(isblank(F$1),,IF(isblank($A2161),,IFERROR(vlookup($A2161,indirect("'TVC-"&amp;text(month(F$1),"00")&amp;"'!$A:$D"),4,false),1)))</f>
        <v>1</v>
      </c>
      <c r="G2161" s="62">
        <f t="shared" si="4321"/>
        <v>1</v>
      </c>
      <c r="H2161" s="62">
        <f t="shared" ref="H2161:Q2161" si="4322">IF(isblank(H$1),,IFERROR(vlookup($A2161,indirect("'TVC-"&amp;text(month(H$1),"00")&amp;"'!$A:$D"),4,false),1))</f>
        <v>1</v>
      </c>
      <c r="I2161" s="62">
        <f t="shared" si="4322"/>
        <v>1</v>
      </c>
      <c r="J2161" s="62">
        <f t="shared" si="4322"/>
        <v>1</v>
      </c>
      <c r="K2161" s="62">
        <f t="shared" si="4322"/>
        <v>1</v>
      </c>
      <c r="L2161" s="62">
        <f t="shared" si="4322"/>
        <v>1</v>
      </c>
      <c r="M2161" s="62">
        <f t="shared" si="4322"/>
        <v>1</v>
      </c>
      <c r="N2161" s="62">
        <f t="shared" si="4322"/>
        <v>1</v>
      </c>
      <c r="O2161" s="62">
        <f t="shared" si="4322"/>
        <v>1</v>
      </c>
      <c r="P2161" s="62" t="str">
        <f t="shared" si="4322"/>
        <v/>
      </c>
      <c r="Q2161" s="62" t="str">
        <f t="shared" si="4322"/>
        <v/>
      </c>
      <c r="R2161" s="62">
        <f t="shared" si="7"/>
        <v>0</v>
      </c>
      <c r="S2161" s="62"/>
      <c r="T2161" s="62"/>
      <c r="U2161" s="62"/>
      <c r="V2161" s="62"/>
      <c r="W2161" s="62"/>
      <c r="X2161" s="62"/>
      <c r="Y2161" s="62"/>
      <c r="Z2161" s="62"/>
      <c r="AA2161" s="62"/>
      <c r="AB2161" s="62"/>
      <c r="AC2161" s="62"/>
    </row>
    <row r="2162" hidden="1">
      <c r="A2162" s="60">
        <f>IFERROR(__xludf.DUMMYFUNCTION("""COMPUTED_VALUE"""),17184.0)</f>
        <v>17184</v>
      </c>
      <c r="B2162" s="60" t="str">
        <f>IFERROR(__xludf.DUMMYFUNCTION("""COMPUTED_VALUE"""),"Lane, Jaylin")</f>
        <v>Lane, Jaylin</v>
      </c>
      <c r="C2162" s="60" t="str">
        <f>IFERROR(__xludf.DUMMYFUNCTION("""COMPUTED_VALUE"""),"WR")</f>
        <v>WR</v>
      </c>
      <c r="D2162" s="60" t="str">
        <f>IFERROR(__xludf.DUMMYFUNCTION("""COMPUTED_VALUE"""),"WAS")</f>
        <v>WAS</v>
      </c>
      <c r="E2162" s="62" t="str">
        <f t="shared" si="4"/>
        <v>Jaylin Lane</v>
      </c>
      <c r="F2162" s="62">
        <f t="shared" ref="F2162:G2162" si="4323">IF(isblank(F$1),,IF(isblank($A2162),,IFERROR(vlookup($A2162,indirect("'TVC-"&amp;text(month(F$1),"00")&amp;"'!$A:$D"),4,false),1)))</f>
        <v>1960</v>
      </c>
      <c r="G2162" s="62">
        <f t="shared" si="4323"/>
        <v>1938</v>
      </c>
      <c r="H2162" s="62">
        <f t="shared" ref="H2162:Q2162" si="4324">IF(isblank(H$1),,IFERROR(vlookup($A2162,indirect("'TVC-"&amp;text(month(H$1),"00")&amp;"'!$A:$D"),4,false),1))</f>
        <v>1920</v>
      </c>
      <c r="I2162" s="62">
        <f t="shared" si="4324"/>
        <v>1886</v>
      </c>
      <c r="J2162" s="62">
        <f t="shared" si="4324"/>
        <v>1936</v>
      </c>
      <c r="K2162" s="62">
        <f t="shared" si="4324"/>
        <v>1953</v>
      </c>
      <c r="L2162" s="62">
        <f t="shared" si="4324"/>
        <v>2032</v>
      </c>
      <c r="M2162" s="62">
        <f t="shared" si="4324"/>
        <v>1935</v>
      </c>
      <c r="N2162" s="62">
        <f t="shared" si="4324"/>
        <v>1972</v>
      </c>
      <c r="O2162" s="62">
        <f t="shared" si="4324"/>
        <v>1</v>
      </c>
      <c r="P2162" s="62" t="str">
        <f t="shared" si="4324"/>
        <v/>
      </c>
      <c r="Q2162" s="62" t="str">
        <f t="shared" si="4324"/>
        <v/>
      </c>
      <c r="R2162" s="62">
        <f t="shared" si="7"/>
        <v>-1971</v>
      </c>
      <c r="S2162" s="62"/>
      <c r="T2162" s="62"/>
      <c r="U2162" s="62"/>
      <c r="V2162" s="62"/>
      <c r="W2162" s="62"/>
      <c r="X2162" s="62"/>
      <c r="Y2162" s="62"/>
      <c r="Z2162" s="62"/>
      <c r="AA2162" s="62"/>
      <c r="AB2162" s="62"/>
      <c r="AC2162" s="62"/>
    </row>
    <row r="2163" hidden="1">
      <c r="A2163" s="60">
        <f>IFERROR(__xludf.DUMMYFUNCTION("""COMPUTED_VALUE"""),17185.0)</f>
        <v>17185</v>
      </c>
      <c r="B2163" s="60" t="str">
        <f>IFERROR(__xludf.DUMMYFUNCTION("""COMPUTED_VALUE"""),"Buchanan, Teddye")</f>
        <v>Buchanan, Teddye</v>
      </c>
      <c r="C2163" s="60" t="str">
        <f>IFERROR(__xludf.DUMMYFUNCTION("""COMPUTED_VALUE"""),"LB")</f>
        <v>LB</v>
      </c>
      <c r="D2163" s="60" t="str">
        <f>IFERROR(__xludf.DUMMYFUNCTION("""COMPUTED_VALUE"""),"BAL")</f>
        <v>BAL</v>
      </c>
      <c r="E2163" s="62" t="str">
        <f t="shared" si="4"/>
        <v>Teddye Buchanan</v>
      </c>
      <c r="F2163" s="62">
        <f t="shared" ref="F2163:G2163" si="4325">IF(isblank(F$1),,IF(isblank($A2163),,IFERROR(vlookup($A2163,indirect("'TVC-"&amp;text(month(F$1),"00")&amp;"'!$A:$D"),4,false),1)))</f>
        <v>1</v>
      </c>
      <c r="G2163" s="62">
        <f t="shared" si="4325"/>
        <v>1</v>
      </c>
      <c r="H2163" s="62">
        <f t="shared" ref="H2163:Q2163" si="4326">IF(isblank(H$1),,IFERROR(vlookup($A2163,indirect("'TVC-"&amp;text(month(H$1),"00")&amp;"'!$A:$D"),4,false),1))</f>
        <v>1</v>
      </c>
      <c r="I2163" s="62">
        <f t="shared" si="4326"/>
        <v>1</v>
      </c>
      <c r="J2163" s="62">
        <f t="shared" si="4326"/>
        <v>1</v>
      </c>
      <c r="K2163" s="62">
        <f t="shared" si="4326"/>
        <v>1</v>
      </c>
      <c r="L2163" s="62">
        <f t="shared" si="4326"/>
        <v>1</v>
      </c>
      <c r="M2163" s="62">
        <f t="shared" si="4326"/>
        <v>1</v>
      </c>
      <c r="N2163" s="62">
        <f t="shared" si="4326"/>
        <v>1</v>
      </c>
      <c r="O2163" s="62">
        <f t="shared" si="4326"/>
        <v>1</v>
      </c>
      <c r="P2163" s="62" t="str">
        <f t="shared" si="4326"/>
        <v/>
      </c>
      <c r="Q2163" s="62" t="str">
        <f t="shared" si="4326"/>
        <v/>
      </c>
      <c r="R2163" s="62">
        <f t="shared" si="7"/>
        <v>0</v>
      </c>
      <c r="S2163" s="62"/>
      <c r="T2163" s="62"/>
      <c r="U2163" s="62"/>
      <c r="V2163" s="62"/>
      <c r="W2163" s="62"/>
      <c r="X2163" s="62"/>
      <c r="Y2163" s="62"/>
      <c r="Z2163" s="62"/>
      <c r="AA2163" s="62"/>
      <c r="AB2163" s="62"/>
      <c r="AC2163" s="62"/>
    </row>
    <row r="2164" hidden="1">
      <c r="A2164" s="60">
        <f>IFERROR(__xludf.DUMMYFUNCTION("""COMPUTED_VALUE"""),17186.0)</f>
        <v>17186</v>
      </c>
      <c r="B2164" s="60" t="str">
        <f>IFERROR(__xludf.DUMMYFUNCTION("""COMPUTED_VALUE"""),"Moore, Malachi")</f>
        <v>Moore, Malachi</v>
      </c>
      <c r="C2164" s="60" t="str">
        <f>IFERROR(__xludf.DUMMYFUNCTION("""COMPUTED_VALUE"""),"S")</f>
        <v>S</v>
      </c>
      <c r="D2164" s="60" t="str">
        <f>IFERROR(__xludf.DUMMYFUNCTION("""COMPUTED_VALUE"""),"NYJ")</f>
        <v>NYJ</v>
      </c>
      <c r="E2164" s="62" t="str">
        <f t="shared" si="4"/>
        <v>Malachi Moore</v>
      </c>
      <c r="F2164" s="62">
        <f t="shared" ref="F2164:G2164" si="4327">IF(isblank(F$1),,IF(isblank($A2164),,IFERROR(vlookup($A2164,indirect("'TVC-"&amp;text(month(F$1),"00")&amp;"'!$A:$D"),4,false),1)))</f>
        <v>1</v>
      </c>
      <c r="G2164" s="62">
        <f t="shared" si="4327"/>
        <v>1</v>
      </c>
      <c r="H2164" s="62">
        <f t="shared" ref="H2164:Q2164" si="4328">IF(isblank(H$1),,IFERROR(vlookup($A2164,indirect("'TVC-"&amp;text(month(H$1),"00")&amp;"'!$A:$D"),4,false),1))</f>
        <v>1</v>
      </c>
      <c r="I2164" s="62">
        <f t="shared" si="4328"/>
        <v>1</v>
      </c>
      <c r="J2164" s="62">
        <f t="shared" si="4328"/>
        <v>1</v>
      </c>
      <c r="K2164" s="62">
        <f t="shared" si="4328"/>
        <v>1</v>
      </c>
      <c r="L2164" s="62">
        <f t="shared" si="4328"/>
        <v>1</v>
      </c>
      <c r="M2164" s="62">
        <f t="shared" si="4328"/>
        <v>1</v>
      </c>
      <c r="N2164" s="62">
        <f t="shared" si="4328"/>
        <v>1</v>
      </c>
      <c r="O2164" s="62">
        <f t="shared" si="4328"/>
        <v>1</v>
      </c>
      <c r="P2164" s="62" t="str">
        <f t="shared" si="4328"/>
        <v/>
      </c>
      <c r="Q2164" s="62" t="str">
        <f t="shared" si="4328"/>
        <v/>
      </c>
      <c r="R2164" s="62">
        <f t="shared" si="7"/>
        <v>0</v>
      </c>
      <c r="S2164" s="62"/>
      <c r="T2164" s="62"/>
      <c r="U2164" s="62"/>
      <c r="V2164" s="62"/>
      <c r="W2164" s="62"/>
      <c r="X2164" s="62"/>
      <c r="Y2164" s="62"/>
      <c r="Z2164" s="62"/>
      <c r="AA2164" s="62"/>
      <c r="AB2164" s="62"/>
      <c r="AC2164" s="62"/>
    </row>
    <row r="2165" hidden="1">
      <c r="A2165" s="60">
        <f>IFERROR(__xludf.DUMMYFUNCTION("""COMPUTED_VALUE"""),17187.0)</f>
        <v>17187</v>
      </c>
      <c r="B2165" s="60" t="str">
        <f>IFERROR(__xludf.DUMMYFUNCTION("""COMPUTED_VALUE"""),"Riley, Quincy")</f>
        <v>Riley, Quincy</v>
      </c>
      <c r="C2165" s="60" t="str">
        <f>IFERROR(__xludf.DUMMYFUNCTION("""COMPUTED_VALUE"""),"CB")</f>
        <v>CB</v>
      </c>
      <c r="D2165" s="60" t="str">
        <f>IFERROR(__xludf.DUMMYFUNCTION("""COMPUTED_VALUE"""),"NOS")</f>
        <v>NOS</v>
      </c>
      <c r="E2165" s="62" t="str">
        <f t="shared" si="4"/>
        <v>Quincy Riley</v>
      </c>
      <c r="F2165" s="62">
        <f t="shared" ref="F2165:G2165" si="4329">IF(isblank(F$1),,IF(isblank($A2165),,IFERROR(vlookup($A2165,indirect("'TVC-"&amp;text(month(F$1),"00")&amp;"'!$A:$D"),4,false),1)))</f>
        <v>1</v>
      </c>
      <c r="G2165" s="62">
        <f t="shared" si="4329"/>
        <v>1</v>
      </c>
      <c r="H2165" s="62">
        <f t="shared" ref="H2165:Q2165" si="4330">IF(isblank(H$1),,IFERROR(vlookup($A2165,indirect("'TVC-"&amp;text(month(H$1),"00")&amp;"'!$A:$D"),4,false),1))</f>
        <v>1</v>
      </c>
      <c r="I2165" s="62">
        <f t="shared" si="4330"/>
        <v>1</v>
      </c>
      <c r="J2165" s="62">
        <f t="shared" si="4330"/>
        <v>1</v>
      </c>
      <c r="K2165" s="62">
        <f t="shared" si="4330"/>
        <v>1</v>
      </c>
      <c r="L2165" s="62">
        <f t="shared" si="4330"/>
        <v>1</v>
      </c>
      <c r="M2165" s="62">
        <f t="shared" si="4330"/>
        <v>1</v>
      </c>
      <c r="N2165" s="62">
        <f t="shared" si="4330"/>
        <v>1</v>
      </c>
      <c r="O2165" s="62">
        <f t="shared" si="4330"/>
        <v>1</v>
      </c>
      <c r="P2165" s="62" t="str">
        <f t="shared" si="4330"/>
        <v/>
      </c>
      <c r="Q2165" s="62" t="str">
        <f t="shared" si="4330"/>
        <v/>
      </c>
      <c r="R2165" s="62">
        <f t="shared" si="7"/>
        <v>0</v>
      </c>
      <c r="S2165" s="62"/>
      <c r="T2165" s="62"/>
      <c r="U2165" s="62"/>
      <c r="V2165" s="62"/>
      <c r="W2165" s="62"/>
      <c r="X2165" s="62"/>
      <c r="Y2165" s="62"/>
      <c r="Z2165" s="62"/>
      <c r="AA2165" s="62"/>
      <c r="AB2165" s="62"/>
      <c r="AC2165" s="62"/>
    </row>
    <row r="2166" hidden="1">
      <c r="A2166" s="60">
        <f>IFERROR(__xludf.DUMMYFUNCTION("""COMPUTED_VALUE"""),17188.0)</f>
        <v>17188</v>
      </c>
      <c r="B2166" s="60" t="str">
        <f>IFERROR(__xludf.DUMMYFUNCTION("""COMPUTED_VALUE"""),"Hyppolite, Ruben")</f>
        <v>Hyppolite, Ruben</v>
      </c>
      <c r="C2166" s="60" t="str">
        <f>IFERROR(__xludf.DUMMYFUNCTION("""COMPUTED_VALUE"""),"LB")</f>
        <v>LB</v>
      </c>
      <c r="D2166" s="60" t="str">
        <f>IFERROR(__xludf.DUMMYFUNCTION("""COMPUTED_VALUE"""),"CHI")</f>
        <v>CHI</v>
      </c>
      <c r="E2166" s="62" t="str">
        <f t="shared" si="4"/>
        <v>Ruben Hyppolite</v>
      </c>
      <c r="F2166" s="62">
        <f t="shared" ref="F2166:G2166" si="4331">IF(isblank(F$1),,IF(isblank($A2166),,IFERROR(vlookup($A2166,indirect("'TVC-"&amp;text(month(F$1),"00")&amp;"'!$A:$D"),4,false),1)))</f>
        <v>1</v>
      </c>
      <c r="G2166" s="62">
        <f t="shared" si="4331"/>
        <v>1</v>
      </c>
      <c r="H2166" s="62">
        <f t="shared" ref="H2166:Q2166" si="4332">IF(isblank(H$1),,IFERROR(vlookup($A2166,indirect("'TVC-"&amp;text(month(H$1),"00")&amp;"'!$A:$D"),4,false),1))</f>
        <v>1</v>
      </c>
      <c r="I2166" s="62">
        <f t="shared" si="4332"/>
        <v>1</v>
      </c>
      <c r="J2166" s="62">
        <f t="shared" si="4332"/>
        <v>1</v>
      </c>
      <c r="K2166" s="62">
        <f t="shared" si="4332"/>
        <v>1</v>
      </c>
      <c r="L2166" s="62">
        <f t="shared" si="4332"/>
        <v>1</v>
      </c>
      <c r="M2166" s="62">
        <f t="shared" si="4332"/>
        <v>1</v>
      </c>
      <c r="N2166" s="62">
        <f t="shared" si="4332"/>
        <v>1</v>
      </c>
      <c r="O2166" s="62">
        <f t="shared" si="4332"/>
        <v>1</v>
      </c>
      <c r="P2166" s="62" t="str">
        <f t="shared" si="4332"/>
        <v/>
      </c>
      <c r="Q2166" s="62" t="str">
        <f t="shared" si="4332"/>
        <v/>
      </c>
      <c r="R2166" s="62">
        <f t="shared" si="7"/>
        <v>0</v>
      </c>
      <c r="S2166" s="62"/>
      <c r="T2166" s="62"/>
      <c r="U2166" s="62"/>
      <c r="V2166" s="62"/>
      <c r="W2166" s="62"/>
      <c r="X2166" s="62"/>
      <c r="Y2166" s="62"/>
      <c r="Z2166" s="62"/>
      <c r="AA2166" s="62"/>
      <c r="AB2166" s="62"/>
      <c r="AC2166" s="62"/>
    </row>
    <row r="2167" hidden="1">
      <c r="A2167" s="60">
        <f>IFERROR(__xludf.DUMMYFUNCTION("""COMPUTED_VALUE"""),17189.0)</f>
        <v>17189</v>
      </c>
      <c r="B2167" s="60" t="str">
        <f>IFERROR(__xludf.DUMMYFUNCTION("""COMPUTED_VALUE"""),"Robinson, Quandarrius")</f>
        <v>Robinson, Quandarrius</v>
      </c>
      <c r="C2167" s="60" t="str">
        <f>IFERROR(__xludf.DUMMYFUNCTION("""COMPUTED_VALUE"""),"DE")</f>
        <v>DE</v>
      </c>
      <c r="D2167" s="60" t="str">
        <f>IFERROR(__xludf.DUMMYFUNCTION("""COMPUTED_VALUE"""),"DEN")</f>
        <v>DEN</v>
      </c>
      <c r="E2167" s="62" t="str">
        <f t="shared" si="4"/>
        <v>Quandarrius Robinson</v>
      </c>
      <c r="F2167" s="62">
        <f t="shared" ref="F2167:G2167" si="4333">IF(isblank(F$1),,IF(isblank($A2167),,IFERROR(vlookup($A2167,indirect("'TVC-"&amp;text(month(F$1),"00")&amp;"'!$A:$D"),4,false),1)))</f>
        <v>1</v>
      </c>
      <c r="G2167" s="62">
        <f t="shared" si="4333"/>
        <v>1</v>
      </c>
      <c r="H2167" s="62">
        <f t="shared" ref="H2167:Q2167" si="4334">IF(isblank(H$1),,IFERROR(vlookup($A2167,indirect("'TVC-"&amp;text(month(H$1),"00")&amp;"'!$A:$D"),4,false),1))</f>
        <v>1</v>
      </c>
      <c r="I2167" s="62">
        <f t="shared" si="4334"/>
        <v>1</v>
      </c>
      <c r="J2167" s="62">
        <f t="shared" si="4334"/>
        <v>1</v>
      </c>
      <c r="K2167" s="62">
        <f t="shared" si="4334"/>
        <v>1</v>
      </c>
      <c r="L2167" s="62">
        <f t="shared" si="4334"/>
        <v>1</v>
      </c>
      <c r="M2167" s="62">
        <f t="shared" si="4334"/>
        <v>1</v>
      </c>
      <c r="N2167" s="62">
        <f t="shared" si="4334"/>
        <v>1</v>
      </c>
      <c r="O2167" s="62">
        <f t="shared" si="4334"/>
        <v>1</v>
      </c>
      <c r="P2167" s="62" t="str">
        <f t="shared" si="4334"/>
        <v/>
      </c>
      <c r="Q2167" s="62" t="str">
        <f t="shared" si="4334"/>
        <v/>
      </c>
      <c r="R2167" s="62">
        <f t="shared" si="7"/>
        <v>0</v>
      </c>
      <c r="S2167" s="62"/>
      <c r="T2167" s="62"/>
      <c r="U2167" s="62"/>
      <c r="V2167" s="62"/>
      <c r="W2167" s="62"/>
      <c r="X2167" s="62"/>
      <c r="Y2167" s="62"/>
      <c r="Z2167" s="62"/>
      <c r="AA2167" s="62"/>
      <c r="AB2167" s="62"/>
      <c r="AC2167" s="62"/>
    </row>
    <row r="2168" hidden="1">
      <c r="A2168" s="60">
        <f>IFERROR(__xludf.DUMMYFUNCTION("""COMPUTED_VALUE"""),17190.0)</f>
        <v>17190</v>
      </c>
      <c r="B2168" s="60" t="str">
        <f>IFERROR(__xludf.DUMMYFUNCTION("""COMPUTED_VALUE"""),"Hemingway, Tonka")</f>
        <v>Hemingway, Tonka</v>
      </c>
      <c r="C2168" s="60" t="str">
        <f>IFERROR(__xludf.DUMMYFUNCTION("""COMPUTED_VALUE"""),"DT")</f>
        <v>DT</v>
      </c>
      <c r="D2168" s="60" t="str">
        <f>IFERROR(__xludf.DUMMYFUNCTION("""COMPUTED_VALUE"""),"LVR")</f>
        <v>LVR</v>
      </c>
      <c r="E2168" s="62" t="str">
        <f t="shared" si="4"/>
        <v>Tonka Hemingway</v>
      </c>
      <c r="F2168" s="62">
        <f t="shared" ref="F2168:G2168" si="4335">IF(isblank(F$1),,IF(isblank($A2168),,IFERROR(vlookup($A2168,indirect("'TVC-"&amp;text(month(F$1),"00")&amp;"'!$A:$D"),4,false),1)))</f>
        <v>1</v>
      </c>
      <c r="G2168" s="62">
        <f t="shared" si="4335"/>
        <v>1</v>
      </c>
      <c r="H2168" s="62">
        <f t="shared" ref="H2168:Q2168" si="4336">IF(isblank(H$1),,IFERROR(vlookup($A2168,indirect("'TVC-"&amp;text(month(H$1),"00")&amp;"'!$A:$D"),4,false),1))</f>
        <v>1</v>
      </c>
      <c r="I2168" s="62">
        <f t="shared" si="4336"/>
        <v>1</v>
      </c>
      <c r="J2168" s="62">
        <f t="shared" si="4336"/>
        <v>1</v>
      </c>
      <c r="K2168" s="62">
        <f t="shared" si="4336"/>
        <v>1</v>
      </c>
      <c r="L2168" s="62">
        <f t="shared" si="4336"/>
        <v>1</v>
      </c>
      <c r="M2168" s="62">
        <f t="shared" si="4336"/>
        <v>1</v>
      </c>
      <c r="N2168" s="62">
        <f t="shared" si="4336"/>
        <v>1</v>
      </c>
      <c r="O2168" s="62">
        <f t="shared" si="4336"/>
        <v>1</v>
      </c>
      <c r="P2168" s="62" t="str">
        <f t="shared" si="4336"/>
        <v/>
      </c>
      <c r="Q2168" s="62" t="str">
        <f t="shared" si="4336"/>
        <v/>
      </c>
      <c r="R2168" s="62">
        <f t="shared" si="7"/>
        <v>0</v>
      </c>
      <c r="S2168" s="62"/>
      <c r="T2168" s="62"/>
      <c r="U2168" s="62"/>
      <c r="V2168" s="62"/>
      <c r="W2168" s="62"/>
      <c r="X2168" s="62"/>
      <c r="Y2168" s="62"/>
      <c r="Z2168" s="62"/>
      <c r="AA2168" s="62"/>
      <c r="AB2168" s="62"/>
      <c r="AC2168" s="62"/>
    </row>
    <row r="2169" hidden="1">
      <c r="A2169" s="60">
        <f>IFERROR(__xludf.DUMMYFUNCTION("""COMPUTED_VALUE"""),17191.0)</f>
        <v>17191</v>
      </c>
      <c r="B2169" s="60" t="str">
        <f>IFERROR(__xludf.DUMMYFUNCTION("""COMPUTED_VALUE"""),"Farmer, Joshua")</f>
        <v>Farmer, Joshua</v>
      </c>
      <c r="C2169" s="60" t="str">
        <f>IFERROR(__xludf.DUMMYFUNCTION("""COMPUTED_VALUE"""),"DT")</f>
        <v>DT</v>
      </c>
      <c r="D2169" s="60" t="str">
        <f>IFERROR(__xludf.DUMMYFUNCTION("""COMPUTED_VALUE"""),"NEP")</f>
        <v>NEP</v>
      </c>
      <c r="E2169" s="62" t="str">
        <f t="shared" si="4"/>
        <v>Joshua Farmer</v>
      </c>
      <c r="F2169" s="62">
        <f t="shared" ref="F2169:G2169" si="4337">IF(isblank(F$1),,IF(isblank($A2169),,IFERROR(vlookup($A2169,indirect("'TVC-"&amp;text(month(F$1),"00")&amp;"'!$A:$D"),4,false),1)))</f>
        <v>1</v>
      </c>
      <c r="G2169" s="62">
        <f t="shared" si="4337"/>
        <v>1</v>
      </c>
      <c r="H2169" s="62">
        <f t="shared" ref="H2169:Q2169" si="4338">IF(isblank(H$1),,IFERROR(vlookup($A2169,indirect("'TVC-"&amp;text(month(H$1),"00")&amp;"'!$A:$D"),4,false),1))</f>
        <v>1</v>
      </c>
      <c r="I2169" s="62">
        <f t="shared" si="4338"/>
        <v>1</v>
      </c>
      <c r="J2169" s="62">
        <f t="shared" si="4338"/>
        <v>1</v>
      </c>
      <c r="K2169" s="62">
        <f t="shared" si="4338"/>
        <v>1</v>
      </c>
      <c r="L2169" s="62">
        <f t="shared" si="4338"/>
        <v>1</v>
      </c>
      <c r="M2169" s="62">
        <f t="shared" si="4338"/>
        <v>1</v>
      </c>
      <c r="N2169" s="62">
        <f t="shared" si="4338"/>
        <v>1</v>
      </c>
      <c r="O2169" s="62">
        <f t="shared" si="4338"/>
        <v>1</v>
      </c>
      <c r="P2169" s="62" t="str">
        <f t="shared" si="4338"/>
        <v/>
      </c>
      <c r="Q2169" s="62" t="str">
        <f t="shared" si="4338"/>
        <v/>
      </c>
      <c r="R2169" s="62">
        <f t="shared" si="7"/>
        <v>0</v>
      </c>
      <c r="S2169" s="62"/>
      <c r="T2169" s="62"/>
      <c r="U2169" s="62"/>
      <c r="V2169" s="62"/>
      <c r="W2169" s="62"/>
      <c r="X2169" s="62"/>
      <c r="Y2169" s="62"/>
      <c r="Z2169" s="62"/>
      <c r="AA2169" s="62"/>
      <c r="AB2169" s="62"/>
      <c r="AC2169" s="62"/>
    </row>
    <row r="2170" hidden="1">
      <c r="A2170" s="60">
        <f>IFERROR(__xludf.DUMMYFUNCTION("""COMPUTED_VALUE"""),17192.0)</f>
        <v>17192</v>
      </c>
      <c r="B2170" s="60" t="str">
        <f>IFERROR(__xludf.DUMMYFUNCTION("""COMPUTED_VALUE"""),"Watkins, Jordan")</f>
        <v>Watkins, Jordan</v>
      </c>
      <c r="C2170" s="60" t="str">
        <f>IFERROR(__xludf.DUMMYFUNCTION("""COMPUTED_VALUE"""),"WR")</f>
        <v>WR</v>
      </c>
      <c r="D2170" s="60" t="str">
        <f>IFERROR(__xludf.DUMMYFUNCTION("""COMPUTED_VALUE"""),"SFO")</f>
        <v>SFO</v>
      </c>
      <c r="E2170" s="62" t="str">
        <f t="shared" si="4"/>
        <v>Jordan Watkins</v>
      </c>
      <c r="F2170" s="62">
        <f t="shared" ref="F2170:G2170" si="4339">IF(isblank(F$1),,IF(isblank($A2170),,IFERROR(vlookup($A2170,indirect("'TVC-"&amp;text(month(F$1),"00")&amp;"'!$A:$D"),4,false),1)))</f>
        <v>1053</v>
      </c>
      <c r="G2170" s="62">
        <f t="shared" si="4339"/>
        <v>1104</v>
      </c>
      <c r="H2170" s="62">
        <f t="shared" ref="H2170:Q2170" si="4340">IF(isblank(H$1),,IFERROR(vlookup($A2170,indirect("'TVC-"&amp;text(month(H$1),"00")&amp;"'!$A:$D"),4,false),1))</f>
        <v>1116</v>
      </c>
      <c r="I2170" s="62">
        <f t="shared" si="4340"/>
        <v>1126</v>
      </c>
      <c r="J2170" s="62">
        <f t="shared" si="4340"/>
        <v>1097</v>
      </c>
      <c r="K2170" s="62">
        <f t="shared" si="4340"/>
        <v>1114</v>
      </c>
      <c r="L2170" s="62">
        <f t="shared" si="4340"/>
        <v>1097</v>
      </c>
      <c r="M2170" s="62">
        <f t="shared" si="4340"/>
        <v>1207</v>
      </c>
      <c r="N2170" s="62">
        <f t="shared" si="4340"/>
        <v>1273</v>
      </c>
      <c r="O2170" s="62">
        <f t="shared" si="4340"/>
        <v>1</v>
      </c>
      <c r="P2170" s="62" t="str">
        <f t="shared" si="4340"/>
        <v/>
      </c>
      <c r="Q2170" s="62" t="str">
        <f t="shared" si="4340"/>
        <v/>
      </c>
      <c r="R2170" s="62">
        <f t="shared" si="7"/>
        <v>-1272</v>
      </c>
      <c r="S2170" s="62"/>
      <c r="T2170" s="62"/>
      <c r="U2170" s="62"/>
      <c r="V2170" s="62"/>
      <c r="W2170" s="62"/>
      <c r="X2170" s="62"/>
      <c r="Y2170" s="62"/>
      <c r="Z2170" s="62"/>
      <c r="AA2170" s="62"/>
      <c r="AB2170" s="62"/>
      <c r="AC2170" s="62"/>
    </row>
    <row r="2171" hidden="1">
      <c r="A2171" s="60">
        <f>IFERROR(__xludf.DUMMYFUNCTION("""COMPUTED_VALUE"""),17193.0)</f>
        <v>17193</v>
      </c>
      <c r="B2171" s="60" t="str">
        <f>IFERROR(__xludf.DUMMYFUNCTION("""COMPUTED_VALUE"""),"Ingram-Dawkins, Tyrion")</f>
        <v>Ingram-Dawkins, Tyrion</v>
      </c>
      <c r="C2171" s="60" t="str">
        <f>IFERROR(__xludf.DUMMYFUNCTION("""COMPUTED_VALUE"""),"DT")</f>
        <v>DT</v>
      </c>
      <c r="D2171" s="60" t="str">
        <f>IFERROR(__xludf.DUMMYFUNCTION("""COMPUTED_VALUE"""),"MIN")</f>
        <v>MIN</v>
      </c>
      <c r="E2171" s="62" t="str">
        <f t="shared" si="4"/>
        <v>Tyrion Ingram-Dawkins</v>
      </c>
      <c r="F2171" s="62">
        <f t="shared" ref="F2171:G2171" si="4341">IF(isblank(F$1),,IF(isblank($A2171),,IFERROR(vlookup($A2171,indirect("'TVC-"&amp;text(month(F$1),"00")&amp;"'!$A:$D"),4,false),1)))</f>
        <v>1</v>
      </c>
      <c r="G2171" s="62">
        <f t="shared" si="4341"/>
        <v>1</v>
      </c>
      <c r="H2171" s="62">
        <f t="shared" ref="H2171:Q2171" si="4342">IF(isblank(H$1),,IFERROR(vlookup($A2171,indirect("'TVC-"&amp;text(month(H$1),"00")&amp;"'!$A:$D"),4,false),1))</f>
        <v>1</v>
      </c>
      <c r="I2171" s="62">
        <f t="shared" si="4342"/>
        <v>1</v>
      </c>
      <c r="J2171" s="62">
        <f t="shared" si="4342"/>
        <v>1</v>
      </c>
      <c r="K2171" s="62">
        <f t="shared" si="4342"/>
        <v>1</v>
      </c>
      <c r="L2171" s="62">
        <f t="shared" si="4342"/>
        <v>1</v>
      </c>
      <c r="M2171" s="62">
        <f t="shared" si="4342"/>
        <v>1</v>
      </c>
      <c r="N2171" s="62">
        <f t="shared" si="4342"/>
        <v>1</v>
      </c>
      <c r="O2171" s="62">
        <f t="shared" si="4342"/>
        <v>1</v>
      </c>
      <c r="P2171" s="62" t="str">
        <f t="shared" si="4342"/>
        <v/>
      </c>
      <c r="Q2171" s="62" t="str">
        <f t="shared" si="4342"/>
        <v/>
      </c>
      <c r="R2171" s="62">
        <f t="shared" si="7"/>
        <v>0</v>
      </c>
      <c r="S2171" s="62"/>
      <c r="T2171" s="62"/>
      <c r="U2171" s="62"/>
      <c r="V2171" s="62"/>
      <c r="W2171" s="62"/>
      <c r="X2171" s="62"/>
      <c r="Y2171" s="62"/>
      <c r="Z2171" s="62"/>
      <c r="AA2171" s="62"/>
      <c r="AB2171" s="62"/>
      <c r="AC2171" s="62"/>
    </row>
    <row r="2172" hidden="1">
      <c r="A2172" s="60">
        <f>IFERROR(__xludf.DUMMYFUNCTION("""COMPUTED_VALUE"""),17194.0)</f>
        <v>17194</v>
      </c>
      <c r="B2172" s="60" t="str">
        <f>IFERROR(__xludf.DUMMYFUNCTION("""COMPUTED_VALUE"""),"Jackson, Cam")</f>
        <v>Jackson, Cam</v>
      </c>
      <c r="C2172" s="60" t="str">
        <f>IFERROR(__xludf.DUMMYFUNCTION("""COMPUTED_VALUE"""),"DT")</f>
        <v>DT</v>
      </c>
      <c r="D2172" s="60" t="str">
        <f>IFERROR(__xludf.DUMMYFUNCTION("""COMPUTED_VALUE"""),"CAR")</f>
        <v>CAR</v>
      </c>
      <c r="E2172" s="62" t="str">
        <f t="shared" si="4"/>
        <v>Cam Jackson</v>
      </c>
      <c r="F2172" s="62">
        <f t="shared" ref="F2172:G2172" si="4343">IF(isblank(F$1),,IF(isblank($A2172),,IFERROR(vlookup($A2172,indirect("'TVC-"&amp;text(month(F$1),"00")&amp;"'!$A:$D"),4,false),1)))</f>
        <v>1</v>
      </c>
      <c r="G2172" s="62">
        <f t="shared" si="4343"/>
        <v>1</v>
      </c>
      <c r="H2172" s="62">
        <f t="shared" ref="H2172:Q2172" si="4344">IF(isblank(H$1),,IFERROR(vlookup($A2172,indirect("'TVC-"&amp;text(month(H$1),"00")&amp;"'!$A:$D"),4,false),1))</f>
        <v>1</v>
      </c>
      <c r="I2172" s="62">
        <f t="shared" si="4344"/>
        <v>1</v>
      </c>
      <c r="J2172" s="62">
        <f t="shared" si="4344"/>
        <v>1</v>
      </c>
      <c r="K2172" s="62">
        <f t="shared" si="4344"/>
        <v>1</v>
      </c>
      <c r="L2172" s="62">
        <f t="shared" si="4344"/>
        <v>1</v>
      </c>
      <c r="M2172" s="62">
        <f t="shared" si="4344"/>
        <v>1</v>
      </c>
      <c r="N2172" s="62">
        <f t="shared" si="4344"/>
        <v>1</v>
      </c>
      <c r="O2172" s="62">
        <f t="shared" si="4344"/>
        <v>1</v>
      </c>
      <c r="P2172" s="62" t="str">
        <f t="shared" si="4344"/>
        <v/>
      </c>
      <c r="Q2172" s="62" t="str">
        <f t="shared" si="4344"/>
        <v/>
      </c>
      <c r="R2172" s="62">
        <f t="shared" si="7"/>
        <v>0</v>
      </c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</row>
    <row r="2173" hidden="1">
      <c r="A2173" s="60">
        <f>IFERROR(__xludf.DUMMYFUNCTION("""COMPUTED_VALUE"""),17195.0)</f>
        <v>17195</v>
      </c>
      <c r="B2173" s="60" t="str">
        <f>IFERROR(__xludf.DUMMYFUNCTION("""COMPUTED_VALUE"""),"Mills, Rylie")</f>
        <v>Mills, Rylie</v>
      </c>
      <c r="C2173" s="60" t="str">
        <f>IFERROR(__xludf.DUMMYFUNCTION("""COMPUTED_VALUE"""),"DT")</f>
        <v>DT</v>
      </c>
      <c r="D2173" s="60" t="str">
        <f>IFERROR(__xludf.DUMMYFUNCTION("""COMPUTED_VALUE"""),"SEA")</f>
        <v>SEA</v>
      </c>
      <c r="E2173" s="62" t="str">
        <f t="shared" si="4"/>
        <v>Rylie Mills</v>
      </c>
      <c r="F2173" s="62">
        <f t="shared" ref="F2173:G2173" si="4345">IF(isblank(F$1),,IF(isblank($A2173),,IFERROR(vlookup($A2173,indirect("'TVC-"&amp;text(month(F$1),"00")&amp;"'!$A:$D"),4,false),1)))</f>
        <v>1</v>
      </c>
      <c r="G2173" s="62">
        <f t="shared" si="4345"/>
        <v>1</v>
      </c>
      <c r="H2173" s="62">
        <f t="shared" ref="H2173:Q2173" si="4346">IF(isblank(H$1),,IFERROR(vlookup($A2173,indirect("'TVC-"&amp;text(month(H$1),"00")&amp;"'!$A:$D"),4,false),1))</f>
        <v>1</v>
      </c>
      <c r="I2173" s="62">
        <f t="shared" si="4346"/>
        <v>1</v>
      </c>
      <c r="J2173" s="62">
        <f t="shared" si="4346"/>
        <v>1</v>
      </c>
      <c r="K2173" s="62">
        <f t="shared" si="4346"/>
        <v>1</v>
      </c>
      <c r="L2173" s="62">
        <f t="shared" si="4346"/>
        <v>1</v>
      </c>
      <c r="M2173" s="62">
        <f t="shared" si="4346"/>
        <v>1</v>
      </c>
      <c r="N2173" s="62">
        <f t="shared" si="4346"/>
        <v>1</v>
      </c>
      <c r="O2173" s="62">
        <f t="shared" si="4346"/>
        <v>1</v>
      </c>
      <c r="P2173" s="62" t="str">
        <f t="shared" si="4346"/>
        <v/>
      </c>
      <c r="Q2173" s="62" t="str">
        <f t="shared" si="4346"/>
        <v/>
      </c>
      <c r="R2173" s="62">
        <f t="shared" si="7"/>
        <v>0</v>
      </c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</row>
    <row r="2174" hidden="1">
      <c r="A2174" s="60">
        <f>IFERROR(__xludf.DUMMYFUNCTION("""COMPUTED_VALUE"""),17196.0)</f>
        <v>17196</v>
      </c>
      <c r="B2174" s="60" t="str">
        <f>IFERROR(__xludf.DUMMYFUNCTION("""COMPUTED_VALUE"""),"Phillips, Jordan")</f>
        <v>Phillips, Jordan</v>
      </c>
      <c r="C2174" s="60" t="str">
        <f>IFERROR(__xludf.DUMMYFUNCTION("""COMPUTED_VALUE"""),"DT")</f>
        <v>DT</v>
      </c>
      <c r="D2174" s="60" t="str">
        <f>IFERROR(__xludf.DUMMYFUNCTION("""COMPUTED_VALUE"""),"MIA")</f>
        <v>MIA</v>
      </c>
      <c r="E2174" s="62" t="str">
        <f t="shared" si="4"/>
        <v>Jordan Phillips</v>
      </c>
      <c r="F2174" s="62">
        <f t="shared" ref="F2174:G2174" si="4347">IF(isblank(F$1),,IF(isblank($A2174),,IFERROR(vlookup($A2174,indirect("'TVC-"&amp;text(month(F$1),"00")&amp;"'!$A:$D"),4,false),1)))</f>
        <v>1</v>
      </c>
      <c r="G2174" s="62">
        <f t="shared" si="4347"/>
        <v>1</v>
      </c>
      <c r="H2174" s="62">
        <f t="shared" ref="H2174:Q2174" si="4348">IF(isblank(H$1),,IFERROR(vlookup($A2174,indirect("'TVC-"&amp;text(month(H$1),"00")&amp;"'!$A:$D"),4,false),1))</f>
        <v>1</v>
      </c>
      <c r="I2174" s="62">
        <f t="shared" si="4348"/>
        <v>1</v>
      </c>
      <c r="J2174" s="62">
        <f t="shared" si="4348"/>
        <v>1</v>
      </c>
      <c r="K2174" s="62">
        <f t="shared" si="4348"/>
        <v>1</v>
      </c>
      <c r="L2174" s="62">
        <f t="shared" si="4348"/>
        <v>1</v>
      </c>
      <c r="M2174" s="62">
        <f t="shared" si="4348"/>
        <v>1</v>
      </c>
      <c r="N2174" s="62">
        <f t="shared" si="4348"/>
        <v>1</v>
      </c>
      <c r="O2174" s="62">
        <f t="shared" si="4348"/>
        <v>1</v>
      </c>
      <c r="P2174" s="62" t="str">
        <f t="shared" si="4348"/>
        <v/>
      </c>
      <c r="Q2174" s="62" t="str">
        <f t="shared" si="4348"/>
        <v/>
      </c>
      <c r="R2174" s="62">
        <f t="shared" si="7"/>
        <v>0</v>
      </c>
      <c r="S2174" s="62"/>
      <c r="T2174" s="62"/>
      <c r="U2174" s="62"/>
      <c r="V2174" s="62"/>
      <c r="W2174" s="62"/>
      <c r="X2174" s="62"/>
      <c r="Y2174" s="62"/>
      <c r="Z2174" s="62"/>
      <c r="AA2174" s="62"/>
      <c r="AB2174" s="62"/>
      <c r="AC2174" s="62"/>
    </row>
    <row r="2175" hidden="1">
      <c r="A2175" s="60">
        <f>IFERROR(__xludf.DUMMYFUNCTION("""COMPUTED_VALUE"""),17197.0)</f>
        <v>17197</v>
      </c>
      <c r="B2175" s="60" t="str">
        <f>IFERROR(__xludf.DUMMYFUNCTION("""COMPUTED_VALUE"""),"McWilliams, Mac")</f>
        <v>McWilliams, Mac</v>
      </c>
      <c r="C2175" s="60" t="str">
        <f>IFERROR(__xludf.DUMMYFUNCTION("""COMPUTED_VALUE"""),"CB")</f>
        <v>CB</v>
      </c>
      <c r="D2175" s="60" t="str">
        <f>IFERROR(__xludf.DUMMYFUNCTION("""COMPUTED_VALUE"""),"PHI")</f>
        <v>PHI</v>
      </c>
      <c r="E2175" s="62" t="str">
        <f t="shared" si="4"/>
        <v>Mac McWilliams</v>
      </c>
      <c r="F2175" s="62">
        <f t="shared" ref="F2175:G2175" si="4349">IF(isblank(F$1),,IF(isblank($A2175),,IFERROR(vlookup($A2175,indirect("'TVC-"&amp;text(month(F$1),"00")&amp;"'!$A:$D"),4,false),1)))</f>
        <v>1</v>
      </c>
      <c r="G2175" s="62">
        <f t="shared" si="4349"/>
        <v>1</v>
      </c>
      <c r="H2175" s="62">
        <f t="shared" ref="H2175:Q2175" si="4350">IF(isblank(H$1),,IFERROR(vlookup($A2175,indirect("'TVC-"&amp;text(month(H$1),"00")&amp;"'!$A:$D"),4,false),1))</f>
        <v>1</v>
      </c>
      <c r="I2175" s="62">
        <f t="shared" si="4350"/>
        <v>1</v>
      </c>
      <c r="J2175" s="62">
        <f t="shared" si="4350"/>
        <v>1</v>
      </c>
      <c r="K2175" s="62">
        <f t="shared" si="4350"/>
        <v>1</v>
      </c>
      <c r="L2175" s="62">
        <f t="shared" si="4350"/>
        <v>1</v>
      </c>
      <c r="M2175" s="62">
        <f t="shared" si="4350"/>
        <v>1</v>
      </c>
      <c r="N2175" s="62">
        <f t="shared" si="4350"/>
        <v>1</v>
      </c>
      <c r="O2175" s="62">
        <f t="shared" si="4350"/>
        <v>1</v>
      </c>
      <c r="P2175" s="62" t="str">
        <f t="shared" si="4350"/>
        <v/>
      </c>
      <c r="Q2175" s="62" t="str">
        <f t="shared" si="4350"/>
        <v/>
      </c>
      <c r="R2175" s="62">
        <f t="shared" si="7"/>
        <v>0</v>
      </c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</row>
    <row r="2176" hidden="1">
      <c r="A2176" s="60">
        <f>IFERROR(__xludf.DUMMYFUNCTION("""COMPUTED_VALUE"""),17198.0)</f>
        <v>17198</v>
      </c>
      <c r="B2176" s="60" t="str">
        <f>IFERROR(__xludf.DUMMYFUNCTION("""COMPUTED_VALUE"""),"Swinson, Bradyn")</f>
        <v>Swinson, Bradyn</v>
      </c>
      <c r="C2176" s="60" t="str">
        <f>IFERROR(__xludf.DUMMYFUNCTION("""COMPUTED_VALUE"""),"DE")</f>
        <v>DE</v>
      </c>
      <c r="D2176" s="60" t="str">
        <f>IFERROR(__xludf.DUMMYFUNCTION("""COMPUTED_VALUE"""),"PIT")</f>
        <v>PIT</v>
      </c>
      <c r="E2176" s="62" t="str">
        <f t="shared" si="4"/>
        <v>Bradyn Swinson</v>
      </c>
      <c r="F2176" s="62">
        <f t="shared" ref="F2176:G2176" si="4351">IF(isblank(F$1),,IF(isblank($A2176),,IFERROR(vlookup($A2176,indirect("'TVC-"&amp;text(month(F$1),"00")&amp;"'!$A:$D"),4,false),1)))</f>
        <v>1</v>
      </c>
      <c r="G2176" s="62">
        <f t="shared" si="4351"/>
        <v>1</v>
      </c>
      <c r="H2176" s="62">
        <f t="shared" ref="H2176:Q2176" si="4352">IF(isblank(H$1),,IFERROR(vlookup($A2176,indirect("'TVC-"&amp;text(month(H$1),"00")&amp;"'!$A:$D"),4,false),1))</f>
        <v>1</v>
      </c>
      <c r="I2176" s="62">
        <f t="shared" si="4352"/>
        <v>1</v>
      </c>
      <c r="J2176" s="62">
        <f t="shared" si="4352"/>
        <v>1</v>
      </c>
      <c r="K2176" s="62">
        <f t="shared" si="4352"/>
        <v>1</v>
      </c>
      <c r="L2176" s="62">
        <f t="shared" si="4352"/>
        <v>1</v>
      </c>
      <c r="M2176" s="62">
        <f t="shared" si="4352"/>
        <v>1</v>
      </c>
      <c r="N2176" s="62">
        <f t="shared" si="4352"/>
        <v>1</v>
      </c>
      <c r="O2176" s="62">
        <f t="shared" si="4352"/>
        <v>1</v>
      </c>
      <c r="P2176" s="62" t="str">
        <f t="shared" si="4352"/>
        <v/>
      </c>
      <c r="Q2176" s="62" t="str">
        <f t="shared" si="4352"/>
        <v/>
      </c>
      <c r="R2176" s="62">
        <f t="shared" si="7"/>
        <v>0</v>
      </c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</row>
    <row r="2177">
      <c r="A2177" s="60">
        <f>IFERROR(__xludf.DUMMYFUNCTION("""COMPUTED_VALUE"""),17199.0)</f>
        <v>17199</v>
      </c>
      <c r="B2177" s="60" t="str">
        <f>IFERROR(__xludf.DUMMYFUNCTION("""COMPUTED_VALUE"""),"Hamilton, Ty")</f>
        <v>Hamilton, Ty</v>
      </c>
      <c r="C2177" s="60" t="str">
        <f>IFERROR(__xludf.DUMMYFUNCTION("""COMPUTED_VALUE"""),"DT")</f>
        <v>DT</v>
      </c>
      <c r="D2177" s="60" t="str">
        <f>IFERROR(__xludf.DUMMYFUNCTION("""COMPUTED_VALUE"""),"LAR")</f>
        <v>LAR</v>
      </c>
      <c r="E2177" s="62" t="str">
        <f t="shared" si="4"/>
        <v>Ty Hamilton</v>
      </c>
      <c r="F2177" s="62">
        <f t="shared" ref="F2177:G2177" si="4353">IF(isblank(F$1),,IF(isblank($A2177),,IFERROR(vlookup($A2177,indirect("'TVC-"&amp;text(month(F$1),"00")&amp;"'!$A:$D"),4,false),1)))</f>
        <v>1</v>
      </c>
      <c r="G2177" s="62">
        <f t="shared" si="4353"/>
        <v>1</v>
      </c>
      <c r="H2177" s="62">
        <f t="shared" ref="H2177:Q2177" si="4354">IF(isblank(H$1),,IFERROR(vlookup($A2177,indirect("'TVC-"&amp;text(month(H$1),"00")&amp;"'!$A:$D"),4,false),1))</f>
        <v>1</v>
      </c>
      <c r="I2177" s="62">
        <f t="shared" si="4354"/>
        <v>1</v>
      </c>
      <c r="J2177" s="62">
        <f t="shared" si="4354"/>
        <v>1</v>
      </c>
      <c r="K2177" s="62">
        <f t="shared" si="4354"/>
        <v>1</v>
      </c>
      <c r="L2177" s="62">
        <f t="shared" si="4354"/>
        <v>1</v>
      </c>
      <c r="M2177" s="62">
        <f t="shared" si="4354"/>
        <v>1</v>
      </c>
      <c r="N2177" s="62">
        <f t="shared" si="4354"/>
        <v>1</v>
      </c>
      <c r="O2177" s="62">
        <f t="shared" si="4354"/>
        <v>1</v>
      </c>
      <c r="P2177" s="62" t="str">
        <f t="shared" si="4354"/>
        <v/>
      </c>
      <c r="Q2177" s="62" t="str">
        <f t="shared" si="4354"/>
        <v/>
      </c>
      <c r="R2177" s="62">
        <f t="shared" si="7"/>
        <v>0</v>
      </c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</row>
    <row r="2178" hidden="1">
      <c r="A2178" s="60">
        <f>IFERROR(__xludf.DUMMYFUNCTION("""COMPUTED_VALUE"""),17200.0)</f>
        <v>17200</v>
      </c>
      <c r="B2178" s="60" t="str">
        <f>IFERROR(__xludf.DUMMYFUNCTION("""COMPUTED_VALUE"""),"Marshall, Jason")</f>
        <v>Marshall, Jason</v>
      </c>
      <c r="C2178" s="60" t="str">
        <f>IFERROR(__xludf.DUMMYFUNCTION("""COMPUTED_VALUE"""),"CB")</f>
        <v>CB</v>
      </c>
      <c r="D2178" s="60" t="str">
        <f>IFERROR(__xludf.DUMMYFUNCTION("""COMPUTED_VALUE"""),"MIA")</f>
        <v>MIA</v>
      </c>
      <c r="E2178" s="62" t="str">
        <f t="shared" si="4"/>
        <v>Jason Marshall</v>
      </c>
      <c r="F2178" s="62">
        <f t="shared" ref="F2178:G2178" si="4355">IF(isblank(F$1),,IF(isblank($A2178),,IFERROR(vlookup($A2178,indirect("'TVC-"&amp;text(month(F$1),"00")&amp;"'!$A:$D"),4,false),1)))</f>
        <v>1</v>
      </c>
      <c r="G2178" s="62">
        <f t="shared" si="4355"/>
        <v>1</v>
      </c>
      <c r="H2178" s="62">
        <f t="shared" ref="H2178:Q2178" si="4356">IF(isblank(H$1),,IFERROR(vlookup($A2178,indirect("'TVC-"&amp;text(month(H$1),"00")&amp;"'!$A:$D"),4,false),1))</f>
        <v>1</v>
      </c>
      <c r="I2178" s="62">
        <f t="shared" si="4356"/>
        <v>1</v>
      </c>
      <c r="J2178" s="62">
        <f t="shared" si="4356"/>
        <v>1</v>
      </c>
      <c r="K2178" s="62">
        <f t="shared" si="4356"/>
        <v>1</v>
      </c>
      <c r="L2178" s="62">
        <f t="shared" si="4356"/>
        <v>1</v>
      </c>
      <c r="M2178" s="62">
        <f t="shared" si="4356"/>
        <v>1</v>
      </c>
      <c r="N2178" s="62">
        <f t="shared" si="4356"/>
        <v>1</v>
      </c>
      <c r="O2178" s="62">
        <f t="shared" si="4356"/>
        <v>1</v>
      </c>
      <c r="P2178" s="62" t="str">
        <f t="shared" si="4356"/>
        <v/>
      </c>
      <c r="Q2178" s="62" t="str">
        <f t="shared" si="4356"/>
        <v/>
      </c>
      <c r="R2178" s="62">
        <f t="shared" si="7"/>
        <v>0</v>
      </c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</row>
    <row r="2179">
      <c r="A2179" s="60">
        <f>IFERROR(__xludf.DUMMYFUNCTION("""COMPUTED_VALUE"""),17201.0)</f>
        <v>17201</v>
      </c>
      <c r="B2179" s="60" t="str">
        <f>IFERROR(__xludf.DUMMYFUNCTION("""COMPUTED_VALUE"""),"James, Shemar")</f>
        <v>James, Shemar</v>
      </c>
      <c r="C2179" s="60" t="str">
        <f>IFERROR(__xludf.DUMMYFUNCTION("""COMPUTED_VALUE"""),"LB")</f>
        <v>LB</v>
      </c>
      <c r="D2179" s="60" t="str">
        <f>IFERROR(__xludf.DUMMYFUNCTION("""COMPUTED_VALUE"""),"DAL")</f>
        <v>DAL</v>
      </c>
      <c r="E2179" s="62" t="str">
        <f t="shared" si="4"/>
        <v>Shemar James</v>
      </c>
      <c r="F2179" s="62">
        <f t="shared" ref="F2179:G2179" si="4357">IF(isblank(F$1),,IF(isblank($A2179),,IFERROR(vlookup($A2179,indirect("'TVC-"&amp;text(month(F$1),"00")&amp;"'!$A:$D"),4,false),1)))</f>
        <v>1</v>
      </c>
      <c r="G2179" s="62">
        <f t="shared" si="4357"/>
        <v>1</v>
      </c>
      <c r="H2179" s="62">
        <f t="shared" ref="H2179:Q2179" si="4358">IF(isblank(H$1),,IFERROR(vlookup($A2179,indirect("'TVC-"&amp;text(month(H$1),"00")&amp;"'!$A:$D"),4,false),1))</f>
        <v>1</v>
      </c>
      <c r="I2179" s="62">
        <f t="shared" si="4358"/>
        <v>1</v>
      </c>
      <c r="J2179" s="62">
        <f t="shared" si="4358"/>
        <v>1</v>
      </c>
      <c r="K2179" s="62">
        <f t="shared" si="4358"/>
        <v>1</v>
      </c>
      <c r="L2179" s="62">
        <f t="shared" si="4358"/>
        <v>1</v>
      </c>
      <c r="M2179" s="62">
        <f t="shared" si="4358"/>
        <v>1</v>
      </c>
      <c r="N2179" s="62">
        <f t="shared" si="4358"/>
        <v>1</v>
      </c>
      <c r="O2179" s="62">
        <f t="shared" si="4358"/>
        <v>1</v>
      </c>
      <c r="P2179" s="62" t="str">
        <f t="shared" si="4358"/>
        <v/>
      </c>
      <c r="Q2179" s="62" t="str">
        <f t="shared" si="4358"/>
        <v/>
      </c>
      <c r="R2179" s="62">
        <f t="shared" si="7"/>
        <v>0</v>
      </c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</row>
    <row r="2180" hidden="1">
      <c r="A2180" s="60">
        <f>IFERROR(__xludf.DUMMYFUNCTION("""COMPUTED_VALUE"""),17202.0)</f>
        <v>17202</v>
      </c>
      <c r="B2180" s="60" t="str">
        <f>IFERROR(__xludf.DUMMYFUNCTION("""COMPUTED_VALUE"""),"Trader, Dante")</f>
        <v>Trader, Dante</v>
      </c>
      <c r="C2180" s="60" t="str">
        <f>IFERROR(__xludf.DUMMYFUNCTION("""COMPUTED_VALUE"""),"S")</f>
        <v>S</v>
      </c>
      <c r="D2180" s="60" t="str">
        <f>IFERROR(__xludf.DUMMYFUNCTION("""COMPUTED_VALUE"""),"MIA")</f>
        <v>MIA</v>
      </c>
      <c r="E2180" s="62" t="str">
        <f t="shared" si="4"/>
        <v>Dante Trader</v>
      </c>
      <c r="F2180" s="62">
        <f t="shared" ref="F2180:G2180" si="4359">IF(isblank(F$1),,IF(isblank($A2180),,IFERROR(vlookup($A2180,indirect("'TVC-"&amp;text(month(F$1),"00")&amp;"'!$A:$D"),4,false),1)))</f>
        <v>1</v>
      </c>
      <c r="G2180" s="62">
        <f t="shared" si="4359"/>
        <v>1</v>
      </c>
      <c r="H2180" s="62">
        <f t="shared" ref="H2180:Q2180" si="4360">IF(isblank(H$1),,IFERROR(vlookup($A2180,indirect("'TVC-"&amp;text(month(H$1),"00")&amp;"'!$A:$D"),4,false),1))</f>
        <v>1</v>
      </c>
      <c r="I2180" s="62">
        <f t="shared" si="4360"/>
        <v>1</v>
      </c>
      <c r="J2180" s="62">
        <f t="shared" si="4360"/>
        <v>1</v>
      </c>
      <c r="K2180" s="62">
        <f t="shared" si="4360"/>
        <v>1</v>
      </c>
      <c r="L2180" s="62">
        <f t="shared" si="4360"/>
        <v>1</v>
      </c>
      <c r="M2180" s="62">
        <f t="shared" si="4360"/>
        <v>1</v>
      </c>
      <c r="N2180" s="62">
        <f t="shared" si="4360"/>
        <v>1</v>
      </c>
      <c r="O2180" s="62">
        <f t="shared" si="4360"/>
        <v>1</v>
      </c>
      <c r="P2180" s="62" t="str">
        <f t="shared" si="4360"/>
        <v/>
      </c>
      <c r="Q2180" s="62" t="str">
        <f t="shared" si="4360"/>
        <v/>
      </c>
      <c r="R2180" s="62">
        <f t="shared" si="7"/>
        <v>0</v>
      </c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</row>
    <row r="2181" hidden="1">
      <c r="A2181" s="60">
        <f>IFERROR(__xludf.DUMMYFUNCTION("""COMPUTED_VALUE"""),17203.0)</f>
        <v>17203</v>
      </c>
      <c r="B2181" s="60" t="str">
        <f>IFERROR(__xludf.DUMMYFUNCTION("""COMPUTED_VALUE"""),"Bassa, Jeffrey")</f>
        <v>Bassa, Jeffrey</v>
      </c>
      <c r="C2181" s="60" t="str">
        <f>IFERROR(__xludf.DUMMYFUNCTION("""COMPUTED_VALUE"""),"LB")</f>
        <v>LB</v>
      </c>
      <c r="D2181" s="60" t="str">
        <f>IFERROR(__xludf.DUMMYFUNCTION("""COMPUTED_VALUE"""),"KCC")</f>
        <v>KCC</v>
      </c>
      <c r="E2181" s="62" t="str">
        <f t="shared" si="4"/>
        <v>Jeffrey Bassa</v>
      </c>
      <c r="F2181" s="62">
        <f t="shared" ref="F2181:G2181" si="4361">IF(isblank(F$1),,IF(isblank($A2181),,IFERROR(vlookup($A2181,indirect("'TVC-"&amp;text(month(F$1),"00")&amp;"'!$A:$D"),4,false),1)))</f>
        <v>1</v>
      </c>
      <c r="G2181" s="62">
        <f t="shared" si="4361"/>
        <v>1</v>
      </c>
      <c r="H2181" s="62">
        <f t="shared" ref="H2181:Q2181" si="4362">IF(isblank(H$1),,IFERROR(vlookup($A2181,indirect("'TVC-"&amp;text(month(H$1),"00")&amp;"'!$A:$D"),4,false),1))</f>
        <v>1</v>
      </c>
      <c r="I2181" s="62">
        <f t="shared" si="4362"/>
        <v>1</v>
      </c>
      <c r="J2181" s="62">
        <f t="shared" si="4362"/>
        <v>1</v>
      </c>
      <c r="K2181" s="62">
        <f t="shared" si="4362"/>
        <v>1</v>
      </c>
      <c r="L2181" s="62">
        <f t="shared" si="4362"/>
        <v>1</v>
      </c>
      <c r="M2181" s="62">
        <f t="shared" si="4362"/>
        <v>1</v>
      </c>
      <c r="N2181" s="62">
        <f t="shared" si="4362"/>
        <v>1</v>
      </c>
      <c r="O2181" s="62">
        <f t="shared" si="4362"/>
        <v>1</v>
      </c>
      <c r="P2181" s="62" t="str">
        <f t="shared" si="4362"/>
        <v/>
      </c>
      <c r="Q2181" s="62" t="str">
        <f t="shared" si="4362"/>
        <v/>
      </c>
      <c r="R2181" s="62">
        <f t="shared" si="7"/>
        <v>0</v>
      </c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</row>
    <row r="2182" hidden="1">
      <c r="A2182" s="60">
        <f>IFERROR(__xludf.DUMMYFUNCTION("""COMPUTED_VALUE"""),17204.0)</f>
        <v>17204</v>
      </c>
      <c r="B2182" s="60" t="str">
        <f>IFERROR(__xludf.DUMMYFUNCTION("""COMPUTED_VALUE"""),"Roberts, Elijah")</f>
        <v>Roberts, Elijah</v>
      </c>
      <c r="C2182" s="60" t="str">
        <f>IFERROR(__xludf.DUMMYFUNCTION("""COMPUTED_VALUE"""),"DT")</f>
        <v>DT</v>
      </c>
      <c r="D2182" s="60" t="str">
        <f>IFERROR(__xludf.DUMMYFUNCTION("""COMPUTED_VALUE"""),"TBB")</f>
        <v>TBB</v>
      </c>
      <c r="E2182" s="62" t="str">
        <f t="shared" si="4"/>
        <v>Elijah Roberts</v>
      </c>
      <c r="F2182" s="62">
        <f t="shared" ref="F2182:G2182" si="4363">IF(isblank(F$1),,IF(isblank($A2182),,IFERROR(vlookup($A2182,indirect("'TVC-"&amp;text(month(F$1),"00")&amp;"'!$A:$D"),4,false),1)))</f>
        <v>1</v>
      </c>
      <c r="G2182" s="62">
        <f t="shared" si="4363"/>
        <v>1</v>
      </c>
      <c r="H2182" s="62">
        <f t="shared" ref="H2182:Q2182" si="4364">IF(isblank(H$1),,IFERROR(vlookup($A2182,indirect("'TVC-"&amp;text(month(H$1),"00")&amp;"'!$A:$D"),4,false),1))</f>
        <v>1</v>
      </c>
      <c r="I2182" s="62">
        <f t="shared" si="4364"/>
        <v>1</v>
      </c>
      <c r="J2182" s="62">
        <f t="shared" si="4364"/>
        <v>1</v>
      </c>
      <c r="K2182" s="62">
        <f t="shared" si="4364"/>
        <v>1</v>
      </c>
      <c r="L2182" s="62">
        <f t="shared" si="4364"/>
        <v>1</v>
      </c>
      <c r="M2182" s="62">
        <f t="shared" si="4364"/>
        <v>1</v>
      </c>
      <c r="N2182" s="62">
        <f t="shared" si="4364"/>
        <v>1</v>
      </c>
      <c r="O2182" s="62">
        <f t="shared" si="4364"/>
        <v>1</v>
      </c>
      <c r="P2182" s="62" t="str">
        <f t="shared" si="4364"/>
        <v/>
      </c>
      <c r="Q2182" s="62" t="str">
        <f t="shared" si="4364"/>
        <v/>
      </c>
      <c r="R2182" s="62">
        <f t="shared" si="7"/>
        <v>0</v>
      </c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</row>
    <row r="2183" hidden="1">
      <c r="A2183" s="60">
        <f>IFERROR(__xludf.DUMMYFUNCTION("""COMPUTED_VALUE"""),17205.0)</f>
        <v>17205</v>
      </c>
      <c r="B2183" s="60" t="str">
        <f>IFERROR(__xludf.DUMMYFUNCTION("""COMPUTED_VALUE"""),"Lambert-Smith, KeAndre")</f>
        <v>Lambert-Smith, KeAndre</v>
      </c>
      <c r="C2183" s="60" t="str">
        <f>IFERROR(__xludf.DUMMYFUNCTION("""COMPUTED_VALUE"""),"WR")</f>
        <v>WR</v>
      </c>
      <c r="D2183" s="60" t="str">
        <f>IFERROR(__xludf.DUMMYFUNCTION("""COMPUTED_VALUE"""),"LAC")</f>
        <v>LAC</v>
      </c>
      <c r="E2183" s="62" t="str">
        <f t="shared" si="4"/>
        <v>KeAndre Lambert-Smith</v>
      </c>
      <c r="F2183" s="62">
        <f t="shared" ref="F2183:G2183" si="4365">IF(isblank(F$1),,IF(isblank($A2183),,IFERROR(vlookup($A2183,indirect("'TVC-"&amp;text(month(F$1),"00")&amp;"'!$A:$D"),4,false),1)))</f>
        <v>1546</v>
      </c>
      <c r="G2183" s="62">
        <f t="shared" si="4365"/>
        <v>1640</v>
      </c>
      <c r="H2183" s="62">
        <f t="shared" ref="H2183:Q2183" si="4366">IF(isblank(H$1),,IFERROR(vlookup($A2183,indirect("'TVC-"&amp;text(month(H$1),"00")&amp;"'!$A:$D"),4,false),1))</f>
        <v>1682</v>
      </c>
      <c r="I2183" s="62">
        <f t="shared" si="4366"/>
        <v>1640</v>
      </c>
      <c r="J2183" s="62">
        <f t="shared" si="4366"/>
        <v>1590</v>
      </c>
      <c r="K2183" s="62">
        <f t="shared" si="4366"/>
        <v>1564</v>
      </c>
      <c r="L2183" s="62">
        <f t="shared" si="4366"/>
        <v>1514</v>
      </c>
      <c r="M2183" s="62">
        <f t="shared" si="4366"/>
        <v>1440</v>
      </c>
      <c r="N2183" s="62">
        <f t="shared" si="4366"/>
        <v>1380</v>
      </c>
      <c r="O2183" s="62">
        <f t="shared" si="4366"/>
        <v>1</v>
      </c>
      <c r="P2183" s="62" t="str">
        <f t="shared" si="4366"/>
        <v/>
      </c>
      <c r="Q2183" s="62" t="str">
        <f t="shared" si="4366"/>
        <v/>
      </c>
      <c r="R2183" s="62">
        <f t="shared" si="7"/>
        <v>-1379</v>
      </c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</row>
    <row r="2184" hidden="1">
      <c r="A2184" s="60">
        <f>IFERROR(__xludf.DUMMYFUNCTION("""COMPUTED_VALUE"""),17206.0)</f>
        <v>17206</v>
      </c>
      <c r="B2184" s="60" t="str">
        <f>IFERROR(__xludf.DUMMYFUNCTION("""COMPUTED_VALUE"""),"Oliver, Collin")</f>
        <v>Oliver, Collin</v>
      </c>
      <c r="C2184" s="60" t="str">
        <f>IFERROR(__xludf.DUMMYFUNCTION("""COMPUTED_VALUE"""),"DE")</f>
        <v>DE</v>
      </c>
      <c r="D2184" s="60" t="str">
        <f>IFERROR(__xludf.DUMMYFUNCTION("""COMPUTED_VALUE"""),"GBP")</f>
        <v>GBP</v>
      </c>
      <c r="E2184" s="62" t="str">
        <f t="shared" si="4"/>
        <v>Collin Oliver</v>
      </c>
      <c r="F2184" s="62">
        <f t="shared" ref="F2184:G2184" si="4367">IF(isblank(F$1),,IF(isblank($A2184),,IFERROR(vlookup($A2184,indirect("'TVC-"&amp;text(month(F$1),"00")&amp;"'!$A:$D"),4,false),1)))</f>
        <v>1</v>
      </c>
      <c r="G2184" s="62">
        <f t="shared" si="4367"/>
        <v>1</v>
      </c>
      <c r="H2184" s="62">
        <f t="shared" ref="H2184:Q2184" si="4368">IF(isblank(H$1),,IFERROR(vlookup($A2184,indirect("'TVC-"&amp;text(month(H$1),"00")&amp;"'!$A:$D"),4,false),1))</f>
        <v>1</v>
      </c>
      <c r="I2184" s="62">
        <f t="shared" si="4368"/>
        <v>1</v>
      </c>
      <c r="J2184" s="62">
        <f t="shared" si="4368"/>
        <v>1</v>
      </c>
      <c r="K2184" s="62">
        <f t="shared" si="4368"/>
        <v>1</v>
      </c>
      <c r="L2184" s="62">
        <f t="shared" si="4368"/>
        <v>1</v>
      </c>
      <c r="M2184" s="62">
        <f t="shared" si="4368"/>
        <v>1</v>
      </c>
      <c r="N2184" s="62">
        <f t="shared" si="4368"/>
        <v>1</v>
      </c>
      <c r="O2184" s="62">
        <f t="shared" si="4368"/>
        <v>1</v>
      </c>
      <c r="P2184" s="62" t="str">
        <f t="shared" si="4368"/>
        <v/>
      </c>
      <c r="Q2184" s="62" t="str">
        <f t="shared" si="4368"/>
        <v/>
      </c>
      <c r="R2184" s="62">
        <f t="shared" si="7"/>
        <v>0</v>
      </c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</row>
    <row r="2185" hidden="1">
      <c r="A2185" s="60">
        <f>IFERROR(__xludf.DUMMYFUNCTION("""COMPUTED_VALUE"""),17207.0)</f>
        <v>17207</v>
      </c>
      <c r="B2185" s="60" t="str">
        <f>IFERROR(__xludf.DUMMYFUNCTION("""COMPUTED_VALUE"""),"Sigle, Marques")</f>
        <v>Sigle, Marques</v>
      </c>
      <c r="C2185" s="60" t="str">
        <f>IFERROR(__xludf.DUMMYFUNCTION("""COMPUTED_VALUE"""),"S")</f>
        <v>S</v>
      </c>
      <c r="D2185" s="60" t="str">
        <f>IFERROR(__xludf.DUMMYFUNCTION("""COMPUTED_VALUE"""),"SFO")</f>
        <v>SFO</v>
      </c>
      <c r="E2185" s="62" t="str">
        <f t="shared" si="4"/>
        <v>Marques Sigle</v>
      </c>
      <c r="F2185" s="62">
        <f t="shared" ref="F2185:G2185" si="4369">IF(isblank(F$1),,IF(isblank($A2185),,IFERROR(vlookup($A2185,indirect("'TVC-"&amp;text(month(F$1),"00")&amp;"'!$A:$D"),4,false),1)))</f>
        <v>1</v>
      </c>
      <c r="G2185" s="62">
        <f t="shared" si="4369"/>
        <v>1</v>
      </c>
      <c r="H2185" s="62">
        <f t="shared" ref="H2185:Q2185" si="4370">IF(isblank(H$1),,IFERROR(vlookup($A2185,indirect("'TVC-"&amp;text(month(H$1),"00")&amp;"'!$A:$D"),4,false),1))</f>
        <v>1</v>
      </c>
      <c r="I2185" s="62">
        <f t="shared" si="4370"/>
        <v>1</v>
      </c>
      <c r="J2185" s="62">
        <f t="shared" si="4370"/>
        <v>1</v>
      </c>
      <c r="K2185" s="62">
        <f t="shared" si="4370"/>
        <v>1</v>
      </c>
      <c r="L2185" s="62">
        <f t="shared" si="4370"/>
        <v>1</v>
      </c>
      <c r="M2185" s="62">
        <f t="shared" si="4370"/>
        <v>1</v>
      </c>
      <c r="N2185" s="62">
        <f t="shared" si="4370"/>
        <v>1</v>
      </c>
      <c r="O2185" s="62">
        <f t="shared" si="4370"/>
        <v>1</v>
      </c>
      <c r="P2185" s="62" t="str">
        <f t="shared" si="4370"/>
        <v/>
      </c>
      <c r="Q2185" s="62" t="str">
        <f t="shared" si="4370"/>
        <v/>
      </c>
      <c r="R2185" s="62">
        <f t="shared" si="7"/>
        <v>0</v>
      </c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</row>
    <row r="2186" hidden="1">
      <c r="A2186" s="60">
        <f>IFERROR(__xludf.DUMMYFUNCTION("""COMPUTED_VALUE"""),17208.0)</f>
        <v>17208</v>
      </c>
      <c r="B2186" s="60" t="str">
        <f>IFERROR(__xludf.DUMMYFUNCTION("""COMPUTED_VALUE"""),"Mauigoa, Francisco")</f>
        <v>Mauigoa, Francisco</v>
      </c>
      <c r="C2186" s="60" t="str">
        <f>IFERROR(__xludf.DUMMYFUNCTION("""COMPUTED_VALUE"""),"LB")</f>
        <v>LB</v>
      </c>
      <c r="D2186" s="60" t="str">
        <f>IFERROR(__xludf.DUMMYFUNCTION("""COMPUTED_VALUE"""),"NYJ")</f>
        <v>NYJ</v>
      </c>
      <c r="E2186" s="62" t="str">
        <f t="shared" si="4"/>
        <v>Francisco Mauigoa</v>
      </c>
      <c r="F2186" s="62">
        <f t="shared" ref="F2186:G2186" si="4371">IF(isblank(F$1),,IF(isblank($A2186),,IFERROR(vlookup($A2186,indirect("'TVC-"&amp;text(month(F$1),"00")&amp;"'!$A:$D"),4,false),1)))</f>
        <v>1</v>
      </c>
      <c r="G2186" s="62">
        <f t="shared" si="4371"/>
        <v>1</v>
      </c>
      <c r="H2186" s="62">
        <f t="shared" ref="H2186:Q2186" si="4372">IF(isblank(H$1),,IFERROR(vlookup($A2186,indirect("'TVC-"&amp;text(month(H$1),"00")&amp;"'!$A:$D"),4,false),1))</f>
        <v>1</v>
      </c>
      <c r="I2186" s="62">
        <f t="shared" si="4372"/>
        <v>1</v>
      </c>
      <c r="J2186" s="62">
        <f t="shared" si="4372"/>
        <v>1</v>
      </c>
      <c r="K2186" s="62">
        <f t="shared" si="4372"/>
        <v>1</v>
      </c>
      <c r="L2186" s="62">
        <f t="shared" si="4372"/>
        <v>1</v>
      </c>
      <c r="M2186" s="62">
        <f t="shared" si="4372"/>
        <v>1</v>
      </c>
      <c r="N2186" s="62">
        <f t="shared" si="4372"/>
        <v>1</v>
      </c>
      <c r="O2186" s="62">
        <f t="shared" si="4372"/>
        <v>1</v>
      </c>
      <c r="P2186" s="62" t="str">
        <f t="shared" si="4372"/>
        <v/>
      </c>
      <c r="Q2186" s="62" t="str">
        <f t="shared" si="4372"/>
        <v/>
      </c>
      <c r="R2186" s="62">
        <f t="shared" si="7"/>
        <v>0</v>
      </c>
      <c r="S2186" s="62"/>
      <c r="T2186" s="62"/>
      <c r="U2186" s="62"/>
      <c r="V2186" s="62"/>
      <c r="W2186" s="62"/>
      <c r="X2186" s="62"/>
      <c r="Y2186" s="62"/>
      <c r="Z2186" s="62"/>
      <c r="AA2186" s="62"/>
      <c r="AB2186" s="62"/>
      <c r="AC2186" s="62"/>
    </row>
    <row r="2187">
      <c r="A2187" s="60">
        <f>IFERROR(__xludf.DUMMYFUNCTION("""COMPUTED_VALUE"""),17209.0)</f>
        <v>17209</v>
      </c>
      <c r="B2187" s="60" t="str">
        <f>IFERROR(__xludf.DUMMYFUNCTION("""COMPUTED_VALUE"""),"Black, Yahya")</f>
        <v>Black, Yahya</v>
      </c>
      <c r="C2187" s="60" t="str">
        <f>IFERROR(__xludf.DUMMYFUNCTION("""COMPUTED_VALUE"""),"DT")</f>
        <v>DT</v>
      </c>
      <c r="D2187" s="60" t="str">
        <f>IFERROR(__xludf.DUMMYFUNCTION("""COMPUTED_VALUE"""),"PIT")</f>
        <v>PIT</v>
      </c>
      <c r="E2187" s="62" t="str">
        <f t="shared" si="4"/>
        <v>Yahya Black</v>
      </c>
      <c r="F2187" s="62">
        <f t="shared" ref="F2187:G2187" si="4373">IF(isblank(F$1),,IF(isblank($A2187),,IFERROR(vlookup($A2187,indirect("'TVC-"&amp;text(month(F$1),"00")&amp;"'!$A:$D"),4,false),1)))</f>
        <v>1</v>
      </c>
      <c r="G2187" s="62">
        <f t="shared" si="4373"/>
        <v>1</v>
      </c>
      <c r="H2187" s="62">
        <f t="shared" ref="H2187:Q2187" si="4374">IF(isblank(H$1),,IFERROR(vlookup($A2187,indirect("'TVC-"&amp;text(month(H$1),"00")&amp;"'!$A:$D"),4,false),1))</f>
        <v>1</v>
      </c>
      <c r="I2187" s="62">
        <f t="shared" si="4374"/>
        <v>1</v>
      </c>
      <c r="J2187" s="62">
        <f t="shared" si="4374"/>
        <v>1</v>
      </c>
      <c r="K2187" s="62">
        <f t="shared" si="4374"/>
        <v>1</v>
      </c>
      <c r="L2187" s="62">
        <f t="shared" si="4374"/>
        <v>1</v>
      </c>
      <c r="M2187" s="62">
        <f t="shared" si="4374"/>
        <v>1</v>
      </c>
      <c r="N2187" s="62">
        <f t="shared" si="4374"/>
        <v>1</v>
      </c>
      <c r="O2187" s="62">
        <f t="shared" si="4374"/>
        <v>1</v>
      </c>
      <c r="P2187" s="62" t="str">
        <f t="shared" si="4374"/>
        <v/>
      </c>
      <c r="Q2187" s="62" t="str">
        <f t="shared" si="4374"/>
        <v/>
      </c>
      <c r="R2187" s="62">
        <f t="shared" si="7"/>
        <v>0</v>
      </c>
      <c r="S2187" s="62"/>
      <c r="T2187" s="62"/>
      <c r="U2187" s="62"/>
      <c r="V2187" s="62"/>
      <c r="W2187" s="62"/>
      <c r="X2187" s="62"/>
      <c r="Y2187" s="62"/>
      <c r="Z2187" s="62"/>
      <c r="AA2187" s="62"/>
      <c r="AB2187" s="62"/>
      <c r="AC2187" s="62"/>
    </row>
    <row r="2188" hidden="1">
      <c r="A2188" s="60">
        <f>IFERROR(__xludf.DUMMYFUNCTION("""COMPUTED_VALUE"""),17211.0)</f>
        <v>17211</v>
      </c>
      <c r="B2188" s="60" t="str">
        <f>IFERROR(__xludf.DUMMYFUNCTION("""COMPUTED_VALUE"""),"Hancock, Jordan")</f>
        <v>Hancock, Jordan</v>
      </c>
      <c r="C2188" s="60" t="str">
        <f>IFERROR(__xludf.DUMMYFUNCTION("""COMPUTED_VALUE"""),"S")</f>
        <v>S</v>
      </c>
      <c r="D2188" s="60" t="str">
        <f>IFERROR(__xludf.DUMMYFUNCTION("""COMPUTED_VALUE"""),"BUF")</f>
        <v>BUF</v>
      </c>
      <c r="E2188" s="62" t="str">
        <f t="shared" si="4"/>
        <v>Jordan Hancock</v>
      </c>
      <c r="F2188" s="62">
        <f t="shared" ref="F2188:G2188" si="4375">IF(isblank(F$1),,IF(isblank($A2188),,IFERROR(vlookup($A2188,indirect("'TVC-"&amp;text(month(F$1),"00")&amp;"'!$A:$D"),4,false),1)))</f>
        <v>1</v>
      </c>
      <c r="G2188" s="62">
        <f t="shared" si="4375"/>
        <v>1</v>
      </c>
      <c r="H2188" s="62">
        <f t="shared" ref="H2188:Q2188" si="4376">IF(isblank(H$1),,IFERROR(vlookup($A2188,indirect("'TVC-"&amp;text(month(H$1),"00")&amp;"'!$A:$D"),4,false),1))</f>
        <v>1</v>
      </c>
      <c r="I2188" s="62">
        <f t="shared" si="4376"/>
        <v>1</v>
      </c>
      <c r="J2188" s="62">
        <f t="shared" si="4376"/>
        <v>1</v>
      </c>
      <c r="K2188" s="62">
        <f t="shared" si="4376"/>
        <v>1</v>
      </c>
      <c r="L2188" s="62">
        <f t="shared" si="4376"/>
        <v>1</v>
      </c>
      <c r="M2188" s="62">
        <f t="shared" si="4376"/>
        <v>1</v>
      </c>
      <c r="N2188" s="62">
        <f t="shared" si="4376"/>
        <v>1</v>
      </c>
      <c r="O2188" s="62">
        <f t="shared" si="4376"/>
        <v>1</v>
      </c>
      <c r="P2188" s="62" t="str">
        <f t="shared" si="4376"/>
        <v/>
      </c>
      <c r="Q2188" s="62" t="str">
        <f t="shared" si="4376"/>
        <v/>
      </c>
      <c r="R2188" s="62">
        <f t="shared" si="7"/>
        <v>0</v>
      </c>
      <c r="S2188" s="62"/>
      <c r="T2188" s="62"/>
      <c r="U2188" s="62"/>
      <c r="V2188" s="62"/>
      <c r="W2188" s="62"/>
      <c r="X2188" s="62"/>
      <c r="Y2188" s="62"/>
      <c r="Z2188" s="62"/>
      <c r="AA2188" s="62"/>
      <c r="AB2188" s="62"/>
      <c r="AC2188" s="62"/>
    </row>
    <row r="2189" hidden="1">
      <c r="A2189" s="60">
        <f>IFERROR(__xludf.DUMMYFUNCTION("""COMPUTED_VALUE"""),17212.0)</f>
        <v>17212</v>
      </c>
      <c r="B2189" s="60" t="str">
        <f>IFERROR(__xludf.DUMMYFUNCTION("""COMPUTED_VALUE"""),"Paul, Chris")</f>
        <v>Paul, Chris</v>
      </c>
      <c r="C2189" s="60" t="str">
        <f>IFERROR(__xludf.DUMMYFUNCTION("""COMPUTED_VALUE"""),"LB")</f>
        <v>LB</v>
      </c>
      <c r="D2189" s="60" t="str">
        <f>IFERROR(__xludf.DUMMYFUNCTION("""COMPUTED_VALUE"""),"FA")</f>
        <v>FA</v>
      </c>
      <c r="E2189" s="62" t="str">
        <f t="shared" si="4"/>
        <v>Chris Paul</v>
      </c>
      <c r="F2189" s="62">
        <f t="shared" ref="F2189:G2189" si="4377">IF(isblank(F$1),,IF(isblank($A2189),,IFERROR(vlookup($A2189,indirect("'TVC-"&amp;text(month(F$1),"00")&amp;"'!$A:$D"),4,false),1)))</f>
        <v>1</v>
      </c>
      <c r="G2189" s="62">
        <f t="shared" si="4377"/>
        <v>1</v>
      </c>
      <c r="H2189" s="62">
        <f t="shared" ref="H2189:Q2189" si="4378">IF(isblank(H$1),,IFERROR(vlookup($A2189,indirect("'TVC-"&amp;text(month(H$1),"00")&amp;"'!$A:$D"),4,false),1))</f>
        <v>1</v>
      </c>
      <c r="I2189" s="62">
        <f t="shared" si="4378"/>
        <v>1</v>
      </c>
      <c r="J2189" s="62">
        <f t="shared" si="4378"/>
        <v>1</v>
      </c>
      <c r="K2189" s="62">
        <f t="shared" si="4378"/>
        <v>1</v>
      </c>
      <c r="L2189" s="62">
        <f t="shared" si="4378"/>
        <v>1</v>
      </c>
      <c r="M2189" s="62">
        <f t="shared" si="4378"/>
        <v>1</v>
      </c>
      <c r="N2189" s="62">
        <f t="shared" si="4378"/>
        <v>1</v>
      </c>
      <c r="O2189" s="62">
        <f t="shared" si="4378"/>
        <v>1</v>
      </c>
      <c r="P2189" s="62" t="str">
        <f t="shared" si="4378"/>
        <v/>
      </c>
      <c r="Q2189" s="62" t="str">
        <f t="shared" si="4378"/>
        <v/>
      </c>
      <c r="R2189" s="62">
        <f t="shared" si="7"/>
        <v>0</v>
      </c>
      <c r="S2189" s="62"/>
      <c r="T2189" s="62"/>
      <c r="U2189" s="62"/>
      <c r="V2189" s="62"/>
      <c r="W2189" s="62"/>
      <c r="X2189" s="62"/>
      <c r="Y2189" s="62"/>
      <c r="Z2189" s="62"/>
      <c r="AA2189" s="62"/>
      <c r="AB2189" s="62"/>
      <c r="AC2189" s="62"/>
    </row>
    <row r="2190" hidden="1">
      <c r="A2190" s="60">
        <f>IFERROR(__xludf.DUMMYFUNCTION("""COMPUTED_VALUE"""),17213.0)</f>
        <v>17213</v>
      </c>
      <c r="B2190" s="60" t="str">
        <f>IFERROR(__xludf.DUMMYFUNCTION("""COMPUTED_VALUE"""),"Hawes, Jackson")</f>
        <v>Hawes, Jackson</v>
      </c>
      <c r="C2190" s="60" t="str">
        <f>IFERROR(__xludf.DUMMYFUNCTION("""COMPUTED_VALUE"""),"TE")</f>
        <v>TE</v>
      </c>
      <c r="D2190" s="60" t="str">
        <f>IFERROR(__xludf.DUMMYFUNCTION("""COMPUTED_VALUE"""),"BUF")</f>
        <v>BUF</v>
      </c>
      <c r="E2190" s="62" t="str">
        <f t="shared" si="4"/>
        <v>Jackson Hawes</v>
      </c>
      <c r="F2190" s="62">
        <f t="shared" ref="F2190:G2190" si="4379">IF(isblank(F$1),,IF(isblank($A2190),,IFERROR(vlookup($A2190,indirect("'TVC-"&amp;text(month(F$1),"00")&amp;"'!$A:$D"),4,false),1)))</f>
        <v>1</v>
      </c>
      <c r="G2190" s="62">
        <f t="shared" si="4379"/>
        <v>1</v>
      </c>
      <c r="H2190" s="62">
        <f t="shared" ref="H2190:Q2190" si="4380">IF(isblank(H$1),,IFERROR(vlookup($A2190,indirect("'TVC-"&amp;text(month(H$1),"00")&amp;"'!$A:$D"),4,false),1))</f>
        <v>1</v>
      </c>
      <c r="I2190" s="62">
        <f t="shared" si="4380"/>
        <v>1</v>
      </c>
      <c r="J2190" s="62">
        <f t="shared" si="4380"/>
        <v>1</v>
      </c>
      <c r="K2190" s="62">
        <f t="shared" si="4380"/>
        <v>1</v>
      </c>
      <c r="L2190" s="62">
        <f t="shared" si="4380"/>
        <v>1</v>
      </c>
      <c r="M2190" s="62">
        <f t="shared" si="4380"/>
        <v>1</v>
      </c>
      <c r="N2190" s="62">
        <f t="shared" si="4380"/>
        <v>1</v>
      </c>
      <c r="O2190" s="62">
        <f t="shared" si="4380"/>
        <v>1</v>
      </c>
      <c r="P2190" s="62" t="str">
        <f t="shared" si="4380"/>
        <v/>
      </c>
      <c r="Q2190" s="62" t="str">
        <f t="shared" si="4380"/>
        <v/>
      </c>
      <c r="R2190" s="62">
        <f t="shared" si="7"/>
        <v>0</v>
      </c>
      <c r="S2190" s="62"/>
      <c r="T2190" s="62"/>
      <c r="U2190" s="62"/>
      <c r="V2190" s="62"/>
      <c r="W2190" s="62"/>
      <c r="X2190" s="62"/>
      <c r="Y2190" s="62"/>
      <c r="Z2190" s="62"/>
      <c r="AA2190" s="62"/>
      <c r="AB2190" s="62"/>
      <c r="AC2190" s="62"/>
    </row>
    <row r="2191" hidden="1">
      <c r="A2191" s="60">
        <f>IFERROR(__xludf.DUMMYFUNCTION("""COMPUTED_VALUE"""),17214.0)</f>
        <v>17214</v>
      </c>
      <c r="B2191" s="60" t="str">
        <f>IFERROR(__xludf.DUMMYFUNCTION("""COMPUTED_VALUE"""),"Burke, Denzel")</f>
        <v>Burke, Denzel</v>
      </c>
      <c r="C2191" s="60" t="str">
        <f>IFERROR(__xludf.DUMMYFUNCTION("""COMPUTED_VALUE"""),"CB")</f>
        <v>CB</v>
      </c>
      <c r="D2191" s="60" t="str">
        <f>IFERROR(__xludf.DUMMYFUNCTION("""COMPUTED_VALUE"""),"ARI")</f>
        <v>ARI</v>
      </c>
      <c r="E2191" s="62" t="str">
        <f t="shared" si="4"/>
        <v>Denzel Burke</v>
      </c>
      <c r="F2191" s="62">
        <f t="shared" ref="F2191:G2191" si="4381">IF(isblank(F$1),,IF(isblank($A2191),,IFERROR(vlookup($A2191,indirect("'TVC-"&amp;text(month(F$1),"00")&amp;"'!$A:$D"),4,false),1)))</f>
        <v>1</v>
      </c>
      <c r="G2191" s="62">
        <f t="shared" si="4381"/>
        <v>1</v>
      </c>
      <c r="H2191" s="62">
        <f t="shared" ref="H2191:Q2191" si="4382">IF(isblank(H$1),,IFERROR(vlookup($A2191,indirect("'TVC-"&amp;text(month(H$1),"00")&amp;"'!$A:$D"),4,false),1))</f>
        <v>1</v>
      </c>
      <c r="I2191" s="62">
        <f t="shared" si="4382"/>
        <v>1</v>
      </c>
      <c r="J2191" s="62">
        <f t="shared" si="4382"/>
        <v>1</v>
      </c>
      <c r="K2191" s="62">
        <f t="shared" si="4382"/>
        <v>1</v>
      </c>
      <c r="L2191" s="62">
        <f t="shared" si="4382"/>
        <v>1</v>
      </c>
      <c r="M2191" s="62">
        <f t="shared" si="4382"/>
        <v>1</v>
      </c>
      <c r="N2191" s="62">
        <f t="shared" si="4382"/>
        <v>1</v>
      </c>
      <c r="O2191" s="62">
        <f t="shared" si="4382"/>
        <v>1</v>
      </c>
      <c r="P2191" s="62" t="str">
        <f t="shared" si="4382"/>
        <v/>
      </c>
      <c r="Q2191" s="62" t="str">
        <f t="shared" si="4382"/>
        <v/>
      </c>
      <c r="R2191" s="62">
        <f t="shared" si="7"/>
        <v>0</v>
      </c>
      <c r="S2191" s="62"/>
      <c r="T2191" s="62"/>
      <c r="U2191" s="62"/>
      <c r="V2191" s="62"/>
      <c r="W2191" s="62"/>
      <c r="X2191" s="62"/>
      <c r="Y2191" s="62"/>
      <c r="Z2191" s="62"/>
      <c r="AA2191" s="62"/>
      <c r="AB2191" s="62"/>
      <c r="AC2191" s="62"/>
    </row>
    <row r="2192" hidden="1">
      <c r="A2192" s="60">
        <f>IFERROR(__xludf.DUMMYFUNCTION("""COMPUTED_VALUE"""),17215.0)</f>
        <v>17215</v>
      </c>
      <c r="B2192" s="60" t="str">
        <f>IFERROR(__xludf.DUMMYFUNCTION("""COMPUTED_VALUE"""),"Ouzts, Robbie")</f>
        <v>Ouzts, Robbie</v>
      </c>
      <c r="C2192" s="60" t="str">
        <f>IFERROR(__xludf.DUMMYFUNCTION("""COMPUTED_VALUE"""),"RB")</f>
        <v>RB</v>
      </c>
      <c r="D2192" s="60" t="str">
        <f>IFERROR(__xludf.DUMMYFUNCTION("""COMPUTED_VALUE"""),"SEA")</f>
        <v>SEA</v>
      </c>
      <c r="E2192" s="62" t="str">
        <f t="shared" si="4"/>
        <v>Robbie Ouzts</v>
      </c>
      <c r="F2192" s="62">
        <f t="shared" ref="F2192:G2192" si="4383">IF(isblank(F$1),,IF(isblank($A2192),,IFERROR(vlookup($A2192,indirect("'TVC-"&amp;text(month(F$1),"00")&amp;"'!$A:$D"),4,false),1)))</f>
        <v>1</v>
      </c>
      <c r="G2192" s="62">
        <f t="shared" si="4383"/>
        <v>1</v>
      </c>
      <c r="H2192" s="62">
        <f t="shared" ref="H2192:Q2192" si="4384">IF(isblank(H$1),,IFERROR(vlookup($A2192,indirect("'TVC-"&amp;text(month(H$1),"00")&amp;"'!$A:$D"),4,false),1))</f>
        <v>1</v>
      </c>
      <c r="I2192" s="62">
        <f t="shared" si="4384"/>
        <v>1</v>
      </c>
      <c r="J2192" s="62">
        <f t="shared" si="4384"/>
        <v>1</v>
      </c>
      <c r="K2192" s="62">
        <f t="shared" si="4384"/>
        <v>1</v>
      </c>
      <c r="L2192" s="62">
        <f t="shared" si="4384"/>
        <v>1</v>
      </c>
      <c r="M2192" s="62">
        <f t="shared" si="4384"/>
        <v>1</v>
      </c>
      <c r="N2192" s="62">
        <f t="shared" si="4384"/>
        <v>1</v>
      </c>
      <c r="O2192" s="62">
        <f t="shared" si="4384"/>
        <v>1</v>
      </c>
      <c r="P2192" s="62" t="str">
        <f t="shared" si="4384"/>
        <v/>
      </c>
      <c r="Q2192" s="62" t="str">
        <f t="shared" si="4384"/>
        <v/>
      </c>
      <c r="R2192" s="62">
        <f t="shared" si="7"/>
        <v>0</v>
      </c>
      <c r="S2192" s="62"/>
      <c r="T2192" s="62"/>
      <c r="U2192" s="62"/>
      <c r="V2192" s="62"/>
      <c r="W2192" s="62"/>
      <c r="X2192" s="62"/>
      <c r="Y2192" s="62"/>
      <c r="Z2192" s="62"/>
      <c r="AA2192" s="62"/>
      <c r="AB2192" s="62"/>
      <c r="AC2192" s="62"/>
    </row>
    <row r="2193" hidden="1">
      <c r="A2193" s="60">
        <f>IFERROR(__xludf.DUMMYFUNCTION("""COMPUTED_VALUE"""),17216.0)</f>
        <v>17216</v>
      </c>
      <c r="B2193" s="60" t="str">
        <f>IFERROR(__xludf.DUMMYFUNCTION("""COMPUTED_VALUE"""),"Baron, Tyler")</f>
        <v>Baron, Tyler</v>
      </c>
      <c r="C2193" s="60" t="str">
        <f>IFERROR(__xludf.DUMMYFUNCTION("""COMPUTED_VALUE"""),"DE")</f>
        <v>DE</v>
      </c>
      <c r="D2193" s="60" t="str">
        <f>IFERROR(__xludf.DUMMYFUNCTION("""COMPUTED_VALUE"""),"NYJ")</f>
        <v>NYJ</v>
      </c>
      <c r="E2193" s="62" t="str">
        <f t="shared" si="4"/>
        <v>Tyler Baron</v>
      </c>
      <c r="F2193" s="62">
        <f t="shared" ref="F2193:G2193" si="4385">IF(isblank(F$1),,IF(isblank($A2193),,IFERROR(vlookup($A2193,indirect("'TVC-"&amp;text(month(F$1),"00")&amp;"'!$A:$D"),4,false),1)))</f>
        <v>1</v>
      </c>
      <c r="G2193" s="62">
        <f t="shared" si="4385"/>
        <v>1</v>
      </c>
      <c r="H2193" s="62">
        <f t="shared" ref="H2193:Q2193" si="4386">IF(isblank(H$1),,IFERROR(vlookup($A2193,indirect("'TVC-"&amp;text(month(H$1),"00")&amp;"'!$A:$D"),4,false),1))</f>
        <v>1</v>
      </c>
      <c r="I2193" s="62">
        <f t="shared" si="4386"/>
        <v>1</v>
      </c>
      <c r="J2193" s="62">
        <f t="shared" si="4386"/>
        <v>1</v>
      </c>
      <c r="K2193" s="62">
        <f t="shared" si="4386"/>
        <v>1</v>
      </c>
      <c r="L2193" s="62">
        <f t="shared" si="4386"/>
        <v>1</v>
      </c>
      <c r="M2193" s="62">
        <f t="shared" si="4386"/>
        <v>1</v>
      </c>
      <c r="N2193" s="62">
        <f t="shared" si="4386"/>
        <v>1</v>
      </c>
      <c r="O2193" s="62">
        <f t="shared" si="4386"/>
        <v>1</v>
      </c>
      <c r="P2193" s="62" t="str">
        <f t="shared" si="4386"/>
        <v/>
      </c>
      <c r="Q2193" s="62" t="str">
        <f t="shared" si="4386"/>
        <v/>
      </c>
      <c r="R2193" s="62">
        <f t="shared" si="7"/>
        <v>0</v>
      </c>
      <c r="S2193" s="62"/>
      <c r="T2193" s="62"/>
      <c r="U2193" s="62"/>
      <c r="V2193" s="62"/>
      <c r="W2193" s="62"/>
      <c r="X2193" s="62"/>
      <c r="Y2193" s="62"/>
      <c r="Z2193" s="62"/>
      <c r="AA2193" s="62"/>
      <c r="AB2193" s="62"/>
      <c r="AC2193" s="62"/>
    </row>
    <row r="2194" hidden="1">
      <c r="A2194" s="60">
        <f>IFERROR(__xludf.DUMMYFUNCTION("""COMPUTED_VALUE"""),17217.0)</f>
        <v>17217</v>
      </c>
      <c r="B2194" s="60" t="str">
        <f>IFERROR(__xludf.DUMMYFUNCTION("""COMPUTED_VALUE"""),"Strong, Dorian")</f>
        <v>Strong, Dorian</v>
      </c>
      <c r="C2194" s="60" t="str">
        <f>IFERROR(__xludf.DUMMYFUNCTION("""COMPUTED_VALUE"""),"CB")</f>
        <v>CB</v>
      </c>
      <c r="D2194" s="60" t="str">
        <f>IFERROR(__xludf.DUMMYFUNCTION("""COMPUTED_VALUE"""),"BUF")</f>
        <v>BUF</v>
      </c>
      <c r="E2194" s="62" t="str">
        <f t="shared" si="4"/>
        <v>Dorian Strong</v>
      </c>
      <c r="F2194" s="62">
        <f t="shared" ref="F2194:G2194" si="4387">IF(isblank(F$1),,IF(isblank($A2194),,IFERROR(vlookup($A2194,indirect("'TVC-"&amp;text(month(F$1),"00")&amp;"'!$A:$D"),4,false),1)))</f>
        <v>1</v>
      </c>
      <c r="G2194" s="62">
        <f t="shared" si="4387"/>
        <v>1</v>
      </c>
      <c r="H2194" s="62">
        <f t="shared" ref="H2194:Q2194" si="4388">IF(isblank(H$1),,IFERROR(vlookup($A2194,indirect("'TVC-"&amp;text(month(H$1),"00")&amp;"'!$A:$D"),4,false),1))</f>
        <v>1</v>
      </c>
      <c r="I2194" s="62">
        <f t="shared" si="4388"/>
        <v>1</v>
      </c>
      <c r="J2194" s="62">
        <f t="shared" si="4388"/>
        <v>1</v>
      </c>
      <c r="K2194" s="62">
        <f t="shared" si="4388"/>
        <v>1</v>
      </c>
      <c r="L2194" s="62">
        <f t="shared" si="4388"/>
        <v>1</v>
      </c>
      <c r="M2194" s="62">
        <f t="shared" si="4388"/>
        <v>1</v>
      </c>
      <c r="N2194" s="62">
        <f t="shared" si="4388"/>
        <v>1</v>
      </c>
      <c r="O2194" s="62">
        <f t="shared" si="4388"/>
        <v>1</v>
      </c>
      <c r="P2194" s="62" t="str">
        <f t="shared" si="4388"/>
        <v/>
      </c>
      <c r="Q2194" s="62" t="str">
        <f t="shared" si="4388"/>
        <v/>
      </c>
      <c r="R2194" s="62">
        <f t="shared" si="7"/>
        <v>0</v>
      </c>
      <c r="S2194" s="62"/>
      <c r="T2194" s="62"/>
      <c r="U2194" s="62"/>
      <c r="V2194" s="62"/>
      <c r="W2194" s="62"/>
      <c r="X2194" s="62"/>
      <c r="Y2194" s="62"/>
      <c r="Z2194" s="62"/>
      <c r="AA2194" s="62"/>
      <c r="AB2194" s="62"/>
      <c r="AC2194" s="62"/>
    </row>
    <row r="2195">
      <c r="A2195" s="60">
        <f>IFERROR(__xludf.DUMMYFUNCTION("""COMPUTED_VALUE"""),17219.0)</f>
        <v>17219</v>
      </c>
      <c r="B2195" s="60" t="str">
        <f>IFERROR(__xludf.DUMMYFUNCTION("""COMPUTED_VALUE"""),"Pegues, JJ")</f>
        <v>Pegues, JJ</v>
      </c>
      <c r="C2195" s="60" t="str">
        <f>IFERROR(__xludf.DUMMYFUNCTION("""COMPUTED_VALUE"""),"DT")</f>
        <v>DT</v>
      </c>
      <c r="D2195" s="60" t="str">
        <f>IFERROR(__xludf.DUMMYFUNCTION("""COMPUTED_VALUE"""),"LVR")</f>
        <v>LVR</v>
      </c>
      <c r="E2195" s="62" t="str">
        <f t="shared" si="4"/>
        <v>JJ Pegues</v>
      </c>
      <c r="F2195" s="62">
        <f t="shared" ref="F2195:G2195" si="4389">IF(isblank(F$1),,IF(isblank($A2195),,IFERROR(vlookup($A2195,indirect("'TVC-"&amp;text(month(F$1),"00")&amp;"'!$A:$D"),4,false),1)))</f>
        <v>1</v>
      </c>
      <c r="G2195" s="62">
        <f t="shared" si="4389"/>
        <v>1</v>
      </c>
      <c r="H2195" s="62">
        <f t="shared" ref="H2195:Q2195" si="4390">IF(isblank(H$1),,IFERROR(vlookup($A2195,indirect("'TVC-"&amp;text(month(H$1),"00")&amp;"'!$A:$D"),4,false),1))</f>
        <v>1</v>
      </c>
      <c r="I2195" s="62">
        <f t="shared" si="4390"/>
        <v>1</v>
      </c>
      <c r="J2195" s="62">
        <f t="shared" si="4390"/>
        <v>1</v>
      </c>
      <c r="K2195" s="62">
        <f t="shared" si="4390"/>
        <v>1</v>
      </c>
      <c r="L2195" s="62">
        <f t="shared" si="4390"/>
        <v>1</v>
      </c>
      <c r="M2195" s="62">
        <f t="shared" si="4390"/>
        <v>1</v>
      </c>
      <c r="N2195" s="62">
        <f t="shared" si="4390"/>
        <v>1</v>
      </c>
      <c r="O2195" s="62">
        <f t="shared" si="4390"/>
        <v>1</v>
      </c>
      <c r="P2195" s="62" t="str">
        <f t="shared" si="4390"/>
        <v/>
      </c>
      <c r="Q2195" s="62" t="str">
        <f t="shared" si="4390"/>
        <v/>
      </c>
      <c r="R2195" s="62">
        <f t="shared" si="7"/>
        <v>0</v>
      </c>
      <c r="S2195" s="62"/>
      <c r="T2195" s="62"/>
      <c r="U2195" s="62"/>
      <c r="V2195" s="62"/>
      <c r="W2195" s="62"/>
      <c r="X2195" s="62"/>
      <c r="Y2195" s="62"/>
      <c r="Z2195" s="62"/>
      <c r="AA2195" s="62"/>
      <c r="AB2195" s="62"/>
      <c r="AC2195" s="62"/>
    </row>
    <row r="2196" hidden="1">
      <c r="A2196" s="60">
        <f>IFERROR(__xludf.DUMMYFUNCTION("""COMPUTED_VALUE"""),17220.0)</f>
        <v>17220</v>
      </c>
      <c r="B2196" s="60" t="str">
        <f>IFERROR(__xludf.DUMMYFUNCTION("""COMPUTED_VALUE"""),"Borregales, Andres")</f>
        <v>Borregales, Andres</v>
      </c>
      <c r="C2196" s="60" t="str">
        <f>IFERROR(__xludf.DUMMYFUNCTION("""COMPUTED_VALUE"""),"PK")</f>
        <v>PK</v>
      </c>
      <c r="D2196" s="60" t="str">
        <f>IFERROR(__xludf.DUMMYFUNCTION("""COMPUTED_VALUE"""),"NEP")</f>
        <v>NEP</v>
      </c>
      <c r="E2196" s="62" t="str">
        <f t="shared" si="4"/>
        <v>Andres Borregales</v>
      </c>
      <c r="F2196" s="62">
        <f t="shared" ref="F2196:G2196" si="4391">IF(isblank(F$1),,IF(isblank($A2196),,IFERROR(vlookup($A2196,indirect("'TVC-"&amp;text(month(F$1),"00")&amp;"'!$A:$D"),4,false),1)))</f>
        <v>1</v>
      </c>
      <c r="G2196" s="62">
        <f t="shared" si="4391"/>
        <v>1</v>
      </c>
      <c r="H2196" s="62">
        <f t="shared" ref="H2196:Q2196" si="4392">IF(isblank(H$1),,IFERROR(vlookup($A2196,indirect("'TVC-"&amp;text(month(H$1),"00")&amp;"'!$A:$D"),4,false),1))</f>
        <v>1</v>
      </c>
      <c r="I2196" s="62">
        <f t="shared" si="4392"/>
        <v>1</v>
      </c>
      <c r="J2196" s="62">
        <f t="shared" si="4392"/>
        <v>1</v>
      </c>
      <c r="K2196" s="62">
        <f t="shared" si="4392"/>
        <v>1</v>
      </c>
      <c r="L2196" s="62">
        <f t="shared" si="4392"/>
        <v>1</v>
      </c>
      <c r="M2196" s="62">
        <f t="shared" si="4392"/>
        <v>1</v>
      </c>
      <c r="N2196" s="62">
        <f t="shared" si="4392"/>
        <v>1</v>
      </c>
      <c r="O2196" s="62">
        <f t="shared" si="4392"/>
        <v>1</v>
      </c>
      <c r="P2196" s="62" t="str">
        <f t="shared" si="4392"/>
        <v/>
      </c>
      <c r="Q2196" s="62" t="str">
        <f t="shared" si="4392"/>
        <v/>
      </c>
      <c r="R2196" s="62">
        <f t="shared" si="7"/>
        <v>0</v>
      </c>
      <c r="S2196" s="62"/>
      <c r="T2196" s="62"/>
      <c r="U2196" s="62"/>
      <c r="V2196" s="62"/>
      <c r="W2196" s="62"/>
      <c r="X2196" s="62"/>
      <c r="Y2196" s="62"/>
      <c r="Z2196" s="62"/>
      <c r="AA2196" s="62"/>
      <c r="AB2196" s="62"/>
      <c r="AC2196" s="62"/>
    </row>
    <row r="2197">
      <c r="A2197" s="60">
        <f>IFERROR(__xludf.DUMMYFUNCTION("""COMPUTED_VALUE"""),17221.0)</f>
        <v>17221</v>
      </c>
      <c r="B2197" s="60" t="str">
        <f>IFERROR(__xludf.DUMMYFUNCTION("""COMPUTED_VALUE"""),"Harris, Marcus")</f>
        <v>Harris, Marcus</v>
      </c>
      <c r="C2197" s="60" t="str">
        <f>IFERROR(__xludf.DUMMYFUNCTION("""COMPUTED_VALUE"""),"CB")</f>
        <v>CB</v>
      </c>
      <c r="D2197" s="60" t="str">
        <f>IFERROR(__xludf.DUMMYFUNCTION("""COMPUTED_VALUE"""),"TEN")</f>
        <v>TEN</v>
      </c>
      <c r="E2197" s="62" t="str">
        <f t="shared" si="4"/>
        <v>Marcus Harris</v>
      </c>
      <c r="F2197" s="62">
        <f t="shared" ref="F2197:G2197" si="4393">IF(isblank(F$1),,IF(isblank($A2197),,IFERROR(vlookup($A2197,indirect("'TVC-"&amp;text(month(F$1),"00")&amp;"'!$A:$D"),4,false),1)))</f>
        <v>1</v>
      </c>
      <c r="G2197" s="62">
        <f t="shared" si="4393"/>
        <v>1</v>
      </c>
      <c r="H2197" s="62">
        <f t="shared" ref="H2197:Q2197" si="4394">IF(isblank(H$1),,IFERROR(vlookup($A2197,indirect("'TVC-"&amp;text(month(H$1),"00")&amp;"'!$A:$D"),4,false),1))</f>
        <v>1</v>
      </c>
      <c r="I2197" s="62">
        <f t="shared" si="4394"/>
        <v>1</v>
      </c>
      <c r="J2197" s="62">
        <f t="shared" si="4394"/>
        <v>1</v>
      </c>
      <c r="K2197" s="62">
        <f t="shared" si="4394"/>
        <v>1</v>
      </c>
      <c r="L2197" s="62">
        <f t="shared" si="4394"/>
        <v>1</v>
      </c>
      <c r="M2197" s="62">
        <f t="shared" si="4394"/>
        <v>1</v>
      </c>
      <c r="N2197" s="62">
        <f t="shared" si="4394"/>
        <v>1</v>
      </c>
      <c r="O2197" s="62">
        <f t="shared" si="4394"/>
        <v>1</v>
      </c>
      <c r="P2197" s="62" t="str">
        <f t="shared" si="4394"/>
        <v/>
      </c>
      <c r="Q2197" s="62" t="str">
        <f t="shared" si="4394"/>
        <v/>
      </c>
      <c r="R2197" s="62">
        <f t="shared" si="7"/>
        <v>0</v>
      </c>
      <c r="S2197" s="62"/>
      <c r="T2197" s="62"/>
      <c r="U2197" s="62"/>
      <c r="V2197" s="62"/>
      <c r="W2197" s="62"/>
      <c r="X2197" s="62"/>
      <c r="Y2197" s="62"/>
      <c r="Z2197" s="62"/>
      <c r="AA2197" s="62"/>
      <c r="AB2197" s="62"/>
      <c r="AC2197" s="62"/>
    </row>
    <row r="2198" hidden="1">
      <c r="A2198" s="60">
        <f>IFERROR(__xludf.DUMMYFUNCTION("""COMPUTED_VALUE"""),17222.0)</f>
        <v>17222</v>
      </c>
      <c r="B2198" s="60" t="str">
        <f>IFERROR(__xludf.DUMMYFUNCTION("""COMPUTED_VALUE"""),"Loop, Tyler")</f>
        <v>Loop, Tyler</v>
      </c>
      <c r="C2198" s="60" t="str">
        <f>IFERROR(__xludf.DUMMYFUNCTION("""COMPUTED_VALUE"""),"PK")</f>
        <v>PK</v>
      </c>
      <c r="D2198" s="60" t="str">
        <f>IFERROR(__xludf.DUMMYFUNCTION("""COMPUTED_VALUE"""),"BAL")</f>
        <v>BAL</v>
      </c>
      <c r="E2198" s="62" t="str">
        <f t="shared" si="4"/>
        <v>Tyler Loop</v>
      </c>
      <c r="F2198" s="62">
        <f t="shared" ref="F2198:G2198" si="4395">IF(isblank(F$1),,IF(isblank($A2198),,IFERROR(vlookup($A2198,indirect("'TVC-"&amp;text(month(F$1),"00")&amp;"'!$A:$D"),4,false),1)))</f>
        <v>1</v>
      </c>
      <c r="G2198" s="62">
        <f t="shared" si="4395"/>
        <v>1</v>
      </c>
      <c r="H2198" s="62">
        <f t="shared" ref="H2198:Q2198" si="4396">IF(isblank(H$1),,IFERROR(vlookup($A2198,indirect("'TVC-"&amp;text(month(H$1),"00")&amp;"'!$A:$D"),4,false),1))</f>
        <v>1</v>
      </c>
      <c r="I2198" s="62">
        <f t="shared" si="4396"/>
        <v>1</v>
      </c>
      <c r="J2198" s="62">
        <f t="shared" si="4396"/>
        <v>1</v>
      </c>
      <c r="K2198" s="62">
        <f t="shared" si="4396"/>
        <v>1</v>
      </c>
      <c r="L2198" s="62">
        <f t="shared" si="4396"/>
        <v>1</v>
      </c>
      <c r="M2198" s="62">
        <f t="shared" si="4396"/>
        <v>1</v>
      </c>
      <c r="N2198" s="62">
        <f t="shared" si="4396"/>
        <v>1</v>
      </c>
      <c r="O2198" s="62">
        <f t="shared" si="4396"/>
        <v>1</v>
      </c>
      <c r="P2198" s="62" t="str">
        <f t="shared" si="4396"/>
        <v/>
      </c>
      <c r="Q2198" s="62" t="str">
        <f t="shared" si="4396"/>
        <v/>
      </c>
      <c r="R2198" s="62">
        <f t="shared" si="7"/>
        <v>0</v>
      </c>
      <c r="S2198" s="62"/>
      <c r="T2198" s="62"/>
      <c r="U2198" s="62"/>
      <c r="V2198" s="62"/>
      <c r="W2198" s="62"/>
      <c r="X2198" s="62"/>
      <c r="Y2198" s="62"/>
      <c r="Z2198" s="62"/>
      <c r="AA2198" s="62"/>
      <c r="AB2198" s="62"/>
      <c r="AC2198" s="62"/>
    </row>
    <row r="2199" hidden="1">
      <c r="A2199" s="60">
        <f>IFERROR(__xludf.DUMMYFUNCTION("""COMPUTED_VALUE"""),17223.0)</f>
        <v>17223</v>
      </c>
      <c r="B2199" s="60" t="str">
        <f>IFERROR(__xludf.DUMMYFUNCTION("""COMPUTED_VALUE"""),"Reed, Jaylen")</f>
        <v>Reed, Jaylen</v>
      </c>
      <c r="C2199" s="60" t="str">
        <f>IFERROR(__xludf.DUMMYFUNCTION("""COMPUTED_VALUE"""),"S")</f>
        <v>S</v>
      </c>
      <c r="D2199" s="60" t="str">
        <f>IFERROR(__xludf.DUMMYFUNCTION("""COMPUTED_VALUE"""),"NEP")</f>
        <v>NEP</v>
      </c>
      <c r="E2199" s="62" t="str">
        <f t="shared" si="4"/>
        <v>Jaylen Reed</v>
      </c>
      <c r="F2199" s="62">
        <f t="shared" ref="F2199:G2199" si="4397">IF(isblank(F$1),,IF(isblank($A2199),,IFERROR(vlookup($A2199,indirect("'TVC-"&amp;text(month(F$1),"00")&amp;"'!$A:$D"),4,false),1)))</f>
        <v>1</v>
      </c>
      <c r="G2199" s="62">
        <f t="shared" si="4397"/>
        <v>1</v>
      </c>
      <c r="H2199" s="62">
        <f t="shared" ref="H2199:Q2199" si="4398">IF(isblank(H$1),,IFERROR(vlookup($A2199,indirect("'TVC-"&amp;text(month(H$1),"00")&amp;"'!$A:$D"),4,false),1))</f>
        <v>1</v>
      </c>
      <c r="I2199" s="62">
        <f t="shared" si="4398"/>
        <v>1</v>
      </c>
      <c r="J2199" s="62">
        <f t="shared" si="4398"/>
        <v>1</v>
      </c>
      <c r="K2199" s="62">
        <f t="shared" si="4398"/>
        <v>1</v>
      </c>
      <c r="L2199" s="62">
        <f t="shared" si="4398"/>
        <v>1</v>
      </c>
      <c r="M2199" s="62">
        <f t="shared" si="4398"/>
        <v>1</v>
      </c>
      <c r="N2199" s="62">
        <f t="shared" si="4398"/>
        <v>1</v>
      </c>
      <c r="O2199" s="62">
        <f t="shared" si="4398"/>
        <v>1</v>
      </c>
      <c r="P2199" s="62" t="str">
        <f t="shared" si="4398"/>
        <v/>
      </c>
      <c r="Q2199" s="62" t="str">
        <f t="shared" si="4398"/>
        <v/>
      </c>
      <c r="R2199" s="62">
        <f t="shared" si="7"/>
        <v>0</v>
      </c>
      <c r="S2199" s="62"/>
      <c r="T2199" s="62"/>
      <c r="U2199" s="62"/>
      <c r="V2199" s="62"/>
      <c r="W2199" s="62"/>
      <c r="X2199" s="62"/>
      <c r="Y2199" s="62"/>
      <c r="Z2199" s="62"/>
      <c r="AA2199" s="62"/>
      <c r="AB2199" s="62"/>
      <c r="AC2199" s="62"/>
    </row>
    <row r="2200" hidden="1">
      <c r="A2200" s="60">
        <f>IFERROR(__xludf.DUMMYFUNCTION("""COMPUTED_VALUE"""),17224.0)</f>
        <v>17224</v>
      </c>
      <c r="B2200" s="60" t="str">
        <f>IFERROR(__xludf.DUMMYFUNCTION("""COMPUTED_VALUE"""),"Smith, Tim")</f>
        <v>Smith, Tim</v>
      </c>
      <c r="C2200" s="60" t="str">
        <f>IFERROR(__xludf.DUMMYFUNCTION("""COMPUTED_VALUE"""),"DT")</f>
        <v>DT</v>
      </c>
      <c r="D2200" s="60" t="str">
        <f>IFERROR(__xludf.DUMMYFUNCTION("""COMPUTED_VALUE"""),"IND")</f>
        <v>IND</v>
      </c>
      <c r="E2200" s="62" t="str">
        <f t="shared" si="4"/>
        <v>Tim Smith</v>
      </c>
      <c r="F2200" s="62">
        <f t="shared" ref="F2200:G2200" si="4399">IF(isblank(F$1),,IF(isblank($A2200),,IFERROR(vlookup($A2200,indirect("'TVC-"&amp;text(month(F$1),"00")&amp;"'!$A:$D"),4,false),1)))</f>
        <v>1</v>
      </c>
      <c r="G2200" s="62">
        <f t="shared" si="4399"/>
        <v>1</v>
      </c>
      <c r="H2200" s="62">
        <f t="shared" ref="H2200:Q2200" si="4400">IF(isblank(H$1),,IFERROR(vlookup($A2200,indirect("'TVC-"&amp;text(month(H$1),"00")&amp;"'!$A:$D"),4,false),1))</f>
        <v>1</v>
      </c>
      <c r="I2200" s="62">
        <f t="shared" si="4400"/>
        <v>1</v>
      </c>
      <c r="J2200" s="62">
        <f t="shared" si="4400"/>
        <v>1</v>
      </c>
      <c r="K2200" s="62">
        <f t="shared" si="4400"/>
        <v>1</v>
      </c>
      <c r="L2200" s="62">
        <f t="shared" si="4400"/>
        <v>1</v>
      </c>
      <c r="M2200" s="62">
        <f t="shared" si="4400"/>
        <v>1</v>
      </c>
      <c r="N2200" s="62">
        <f t="shared" si="4400"/>
        <v>1</v>
      </c>
      <c r="O2200" s="62">
        <f t="shared" si="4400"/>
        <v>1</v>
      </c>
      <c r="P2200" s="62" t="str">
        <f t="shared" si="4400"/>
        <v/>
      </c>
      <c r="Q2200" s="62" t="str">
        <f t="shared" si="4400"/>
        <v/>
      </c>
      <c r="R2200" s="62">
        <f t="shared" si="7"/>
        <v>0</v>
      </c>
      <c r="S2200" s="62"/>
      <c r="T2200" s="62"/>
      <c r="U2200" s="62"/>
      <c r="V2200" s="62"/>
      <c r="W2200" s="62"/>
      <c r="X2200" s="62"/>
      <c r="Y2200" s="62"/>
      <c r="Z2200" s="62"/>
      <c r="AA2200" s="62"/>
      <c r="AB2200" s="62"/>
      <c r="AC2200" s="62"/>
    </row>
    <row r="2201" hidden="1">
      <c r="A2201" s="60">
        <f>IFERROR(__xludf.DUMMYFUNCTION("""COMPUTED_VALUE"""),17225.0)</f>
        <v>17225</v>
      </c>
      <c r="B2201" s="60" t="str">
        <f>IFERROR(__xludf.DUMMYFUNCTION("""COMPUTED_VALUE"""),"McLeod, Jalen")</f>
        <v>McLeod, Jalen</v>
      </c>
      <c r="C2201" s="60" t="str">
        <f>IFERROR(__xludf.DUMMYFUNCTION("""COMPUTED_VALUE"""),"DE")</f>
        <v>DE</v>
      </c>
      <c r="D2201" s="60" t="str">
        <f>IFERROR(__xludf.DUMMYFUNCTION("""COMPUTED_VALUE"""),"JAC")</f>
        <v>JAC</v>
      </c>
      <c r="E2201" s="62" t="str">
        <f t="shared" si="4"/>
        <v>Jalen McLeod</v>
      </c>
      <c r="F2201" s="62">
        <f t="shared" ref="F2201:G2201" si="4401">IF(isblank(F$1),,IF(isblank($A2201),,IFERROR(vlookup($A2201,indirect("'TVC-"&amp;text(month(F$1),"00")&amp;"'!$A:$D"),4,false),1)))</f>
        <v>1</v>
      </c>
      <c r="G2201" s="62">
        <f t="shared" si="4401"/>
        <v>1</v>
      </c>
      <c r="H2201" s="62">
        <f t="shared" ref="H2201:Q2201" si="4402">IF(isblank(H$1),,IFERROR(vlookup($A2201,indirect("'TVC-"&amp;text(month(H$1),"00")&amp;"'!$A:$D"),4,false),1))</f>
        <v>1</v>
      </c>
      <c r="I2201" s="62">
        <f t="shared" si="4402"/>
        <v>1</v>
      </c>
      <c r="J2201" s="62">
        <f t="shared" si="4402"/>
        <v>1</v>
      </c>
      <c r="K2201" s="62">
        <f t="shared" si="4402"/>
        <v>1</v>
      </c>
      <c r="L2201" s="62">
        <f t="shared" si="4402"/>
        <v>1</v>
      </c>
      <c r="M2201" s="62">
        <f t="shared" si="4402"/>
        <v>1</v>
      </c>
      <c r="N2201" s="62">
        <f t="shared" si="4402"/>
        <v>1</v>
      </c>
      <c r="O2201" s="62">
        <f t="shared" si="4402"/>
        <v>1</v>
      </c>
      <c r="P2201" s="62" t="str">
        <f t="shared" si="4402"/>
        <v/>
      </c>
      <c r="Q2201" s="62" t="str">
        <f t="shared" si="4402"/>
        <v/>
      </c>
      <c r="R2201" s="62">
        <f t="shared" si="7"/>
        <v>0</v>
      </c>
      <c r="S2201" s="62"/>
      <c r="T2201" s="62"/>
      <c r="U2201" s="62"/>
      <c r="V2201" s="62"/>
      <c r="W2201" s="62"/>
      <c r="X2201" s="62"/>
      <c r="Y2201" s="62"/>
      <c r="Z2201" s="62"/>
      <c r="AA2201" s="62"/>
      <c r="AB2201" s="62"/>
      <c r="AC2201" s="62"/>
    </row>
    <row r="2202" hidden="1">
      <c r="A2202" s="60">
        <f>IFERROR(__xludf.DUMMYFUNCTION("""COMPUTED_VALUE"""),17226.0)</f>
        <v>17226</v>
      </c>
      <c r="B2202" s="60" t="str">
        <f>IFERROR(__xludf.DUMMYFUNCTION("""COMPUTED_VALUE"""),"Hassanein, Ahmed")</f>
        <v>Hassanein, Ahmed</v>
      </c>
      <c r="C2202" s="60" t="str">
        <f>IFERROR(__xludf.DUMMYFUNCTION("""COMPUTED_VALUE"""),"DE")</f>
        <v>DE</v>
      </c>
      <c r="D2202" s="60" t="str">
        <f>IFERROR(__xludf.DUMMYFUNCTION("""COMPUTED_VALUE"""),"DET")</f>
        <v>DET</v>
      </c>
      <c r="E2202" s="62" t="str">
        <f t="shared" si="4"/>
        <v>Ahmed Hassanein</v>
      </c>
      <c r="F2202" s="62">
        <f t="shared" ref="F2202:G2202" si="4403">IF(isblank(F$1),,IF(isblank($A2202),,IFERROR(vlookup($A2202,indirect("'TVC-"&amp;text(month(F$1),"00")&amp;"'!$A:$D"),4,false),1)))</f>
        <v>1</v>
      </c>
      <c r="G2202" s="62">
        <f t="shared" si="4403"/>
        <v>1</v>
      </c>
      <c r="H2202" s="62">
        <f t="shared" ref="H2202:Q2202" si="4404">IF(isblank(H$1),,IFERROR(vlookup($A2202,indirect("'TVC-"&amp;text(month(H$1),"00")&amp;"'!$A:$D"),4,false),1))</f>
        <v>1</v>
      </c>
      <c r="I2202" s="62">
        <f t="shared" si="4404"/>
        <v>1</v>
      </c>
      <c r="J2202" s="62">
        <f t="shared" si="4404"/>
        <v>1</v>
      </c>
      <c r="K2202" s="62">
        <f t="shared" si="4404"/>
        <v>1</v>
      </c>
      <c r="L2202" s="62">
        <f t="shared" si="4404"/>
        <v>1</v>
      </c>
      <c r="M2202" s="62">
        <f t="shared" si="4404"/>
        <v>1</v>
      </c>
      <c r="N2202" s="62">
        <f t="shared" si="4404"/>
        <v>1</v>
      </c>
      <c r="O2202" s="62">
        <f t="shared" si="4404"/>
        <v>1</v>
      </c>
      <c r="P2202" s="62" t="str">
        <f t="shared" si="4404"/>
        <v/>
      </c>
      <c r="Q2202" s="62" t="str">
        <f t="shared" si="4404"/>
        <v/>
      </c>
      <c r="R2202" s="62">
        <f t="shared" si="7"/>
        <v>0</v>
      </c>
      <c r="S2202" s="62"/>
      <c r="T2202" s="62"/>
      <c r="U2202" s="62"/>
      <c r="V2202" s="62"/>
      <c r="W2202" s="62"/>
      <c r="X2202" s="62"/>
      <c r="Y2202" s="62"/>
      <c r="Z2202" s="62"/>
      <c r="AA2202" s="62"/>
      <c r="AB2202" s="62"/>
      <c r="AC2202" s="62"/>
    </row>
    <row r="2203" hidden="1">
      <c r="A2203" s="60">
        <f>IFERROR(__xludf.DUMMYFUNCTION("""COMPUTED_VALUE"""),17227.0)</f>
        <v>17227</v>
      </c>
      <c r="B2203" s="60" t="str">
        <f>IFERROR(__xludf.DUMMYFUNCTION("""COMPUTED_VALUE"""),"Mertz, Graham")</f>
        <v>Mertz, Graham</v>
      </c>
      <c r="C2203" s="60" t="str">
        <f>IFERROR(__xludf.DUMMYFUNCTION("""COMPUTED_VALUE"""),"QB")</f>
        <v>QB</v>
      </c>
      <c r="D2203" s="60" t="str">
        <f>IFERROR(__xludf.DUMMYFUNCTION("""COMPUTED_VALUE"""),"HOU")</f>
        <v>HOU</v>
      </c>
      <c r="E2203" s="62" t="str">
        <f t="shared" si="4"/>
        <v>Graham Mertz</v>
      </c>
      <c r="F2203" s="62">
        <f t="shared" ref="F2203:G2203" si="4405">IF(isblank(F$1),,IF(isblank($A2203),,IFERROR(vlookup($A2203,indirect("'TVC-"&amp;text(month(F$1),"00")&amp;"'!$A:$D"),4,false),1)))</f>
        <v>1</v>
      </c>
      <c r="G2203" s="62">
        <f t="shared" si="4405"/>
        <v>1</v>
      </c>
      <c r="H2203" s="62">
        <f t="shared" ref="H2203:Q2203" si="4406">IF(isblank(H$1),,IFERROR(vlookup($A2203,indirect("'TVC-"&amp;text(month(H$1),"00")&amp;"'!$A:$D"),4,false),1))</f>
        <v>1</v>
      </c>
      <c r="I2203" s="62">
        <f t="shared" si="4406"/>
        <v>1</v>
      </c>
      <c r="J2203" s="62">
        <f t="shared" si="4406"/>
        <v>1</v>
      </c>
      <c r="K2203" s="62">
        <f t="shared" si="4406"/>
        <v>1</v>
      </c>
      <c r="L2203" s="62">
        <f t="shared" si="4406"/>
        <v>1</v>
      </c>
      <c r="M2203" s="62">
        <f t="shared" si="4406"/>
        <v>1</v>
      </c>
      <c r="N2203" s="62">
        <f t="shared" si="4406"/>
        <v>1</v>
      </c>
      <c r="O2203" s="62">
        <f t="shared" si="4406"/>
        <v>1</v>
      </c>
      <c r="P2203" s="62" t="str">
        <f t="shared" si="4406"/>
        <v/>
      </c>
      <c r="Q2203" s="62" t="str">
        <f t="shared" si="4406"/>
        <v/>
      </c>
      <c r="R2203" s="62">
        <f t="shared" si="7"/>
        <v>0</v>
      </c>
      <c r="S2203" s="62"/>
      <c r="T2203" s="62"/>
      <c r="U2203" s="62"/>
      <c r="V2203" s="62"/>
      <c r="W2203" s="62"/>
      <c r="X2203" s="62"/>
      <c r="Y2203" s="62"/>
      <c r="Z2203" s="62"/>
      <c r="AA2203" s="62"/>
      <c r="AB2203" s="62"/>
      <c r="AC2203" s="62"/>
    </row>
    <row r="2204" hidden="1">
      <c r="A2204" s="60">
        <f>IFERROR(__xludf.DUMMYFUNCTION("""COMPUTED_VALUE"""),17228.0)</f>
        <v>17228</v>
      </c>
      <c r="B2204" s="60" t="str">
        <f>IFERROR(__xludf.DUMMYFUNCTION("""COMPUTED_VALUE"""),"Brinson, Warren")</f>
        <v>Brinson, Warren</v>
      </c>
      <c r="C2204" s="60" t="str">
        <f>IFERROR(__xludf.DUMMYFUNCTION("""COMPUTED_VALUE"""),"DT")</f>
        <v>DT</v>
      </c>
      <c r="D2204" s="60" t="str">
        <f>IFERROR(__xludf.DUMMYFUNCTION("""COMPUTED_VALUE"""),"GBP")</f>
        <v>GBP</v>
      </c>
      <c r="E2204" s="62" t="str">
        <f t="shared" si="4"/>
        <v>Warren Brinson</v>
      </c>
      <c r="F2204" s="62">
        <f t="shared" ref="F2204:G2204" si="4407">IF(isblank(F$1),,IF(isblank($A2204),,IFERROR(vlookup($A2204,indirect("'TVC-"&amp;text(month(F$1),"00")&amp;"'!$A:$D"),4,false),1)))</f>
        <v>1</v>
      </c>
      <c r="G2204" s="62">
        <f t="shared" si="4407"/>
        <v>1</v>
      </c>
      <c r="H2204" s="62">
        <f t="shared" ref="H2204:Q2204" si="4408">IF(isblank(H$1),,IFERROR(vlookup($A2204,indirect("'TVC-"&amp;text(month(H$1),"00")&amp;"'!$A:$D"),4,false),1))</f>
        <v>1</v>
      </c>
      <c r="I2204" s="62">
        <f t="shared" si="4408"/>
        <v>1</v>
      </c>
      <c r="J2204" s="62">
        <f t="shared" si="4408"/>
        <v>1</v>
      </c>
      <c r="K2204" s="62">
        <f t="shared" si="4408"/>
        <v>1</v>
      </c>
      <c r="L2204" s="62">
        <f t="shared" si="4408"/>
        <v>1</v>
      </c>
      <c r="M2204" s="62">
        <f t="shared" si="4408"/>
        <v>1</v>
      </c>
      <c r="N2204" s="62">
        <f t="shared" si="4408"/>
        <v>1</v>
      </c>
      <c r="O2204" s="62">
        <f t="shared" si="4408"/>
        <v>1</v>
      </c>
      <c r="P2204" s="62" t="str">
        <f t="shared" si="4408"/>
        <v/>
      </c>
      <c r="Q2204" s="62" t="str">
        <f t="shared" si="4408"/>
        <v/>
      </c>
      <c r="R2204" s="62">
        <f t="shared" si="7"/>
        <v>0</v>
      </c>
      <c r="S2204" s="62"/>
      <c r="T2204" s="62"/>
      <c r="U2204" s="62"/>
      <c r="V2204" s="62"/>
      <c r="W2204" s="62"/>
      <c r="X2204" s="62"/>
      <c r="Y2204" s="62"/>
      <c r="Z2204" s="62"/>
      <c r="AA2204" s="62"/>
      <c r="AB2204" s="62"/>
      <c r="AC2204" s="62"/>
    </row>
    <row r="2205" hidden="1">
      <c r="A2205" s="60">
        <f>IFERROR(__xludf.DUMMYFUNCTION("""COMPUTED_VALUE"""),17229.0)</f>
        <v>17229</v>
      </c>
      <c r="B2205" s="60" t="str">
        <f>IFERROR(__xludf.DUMMYFUNCTION("""COMPUTED_VALUE"""),"Lane, Rayuan")</f>
        <v>Lane, Rayuan</v>
      </c>
      <c r="C2205" s="60" t="str">
        <f>IFERROR(__xludf.DUMMYFUNCTION("""COMPUTED_VALUE"""),"S")</f>
        <v>S</v>
      </c>
      <c r="D2205" s="60" t="str">
        <f>IFERROR(__xludf.DUMMYFUNCTION("""COMPUTED_VALUE"""),"JAC")</f>
        <v>JAC</v>
      </c>
      <c r="E2205" s="62" t="str">
        <f t="shared" si="4"/>
        <v>Rayuan Lane</v>
      </c>
      <c r="F2205" s="62">
        <f t="shared" ref="F2205:G2205" si="4409">IF(isblank(F$1),,IF(isblank($A2205),,IFERROR(vlookup($A2205,indirect("'TVC-"&amp;text(month(F$1),"00")&amp;"'!$A:$D"),4,false),1)))</f>
        <v>1</v>
      </c>
      <c r="G2205" s="62">
        <f t="shared" si="4409"/>
        <v>1</v>
      </c>
      <c r="H2205" s="62">
        <f t="shared" ref="H2205:Q2205" si="4410">IF(isblank(H$1),,IFERROR(vlookup($A2205,indirect("'TVC-"&amp;text(month(H$1),"00")&amp;"'!$A:$D"),4,false),1))</f>
        <v>1</v>
      </c>
      <c r="I2205" s="62">
        <f t="shared" si="4410"/>
        <v>1</v>
      </c>
      <c r="J2205" s="62">
        <f t="shared" si="4410"/>
        <v>1</v>
      </c>
      <c r="K2205" s="62">
        <f t="shared" si="4410"/>
        <v>1</v>
      </c>
      <c r="L2205" s="62">
        <f t="shared" si="4410"/>
        <v>1</v>
      </c>
      <c r="M2205" s="62">
        <f t="shared" si="4410"/>
        <v>1</v>
      </c>
      <c r="N2205" s="62">
        <f t="shared" si="4410"/>
        <v>1</v>
      </c>
      <c r="O2205" s="62">
        <f t="shared" si="4410"/>
        <v>1</v>
      </c>
      <c r="P2205" s="62" t="str">
        <f t="shared" si="4410"/>
        <v/>
      </c>
      <c r="Q2205" s="62" t="str">
        <f t="shared" si="4410"/>
        <v/>
      </c>
      <c r="R2205" s="62">
        <f t="shared" si="7"/>
        <v>0</v>
      </c>
      <c r="S2205" s="62"/>
      <c r="T2205" s="62"/>
      <c r="U2205" s="62"/>
      <c r="V2205" s="62"/>
      <c r="W2205" s="62"/>
      <c r="X2205" s="62"/>
      <c r="Y2205" s="62"/>
      <c r="Z2205" s="62"/>
      <c r="AA2205" s="62"/>
      <c r="AB2205" s="62"/>
      <c r="AC2205" s="62"/>
    </row>
    <row r="2206" hidden="1">
      <c r="A2206" s="60">
        <f>IFERROR(__xludf.DUMMYFUNCTION("""COMPUTED_VALUE"""),17230.0)</f>
        <v>17230</v>
      </c>
      <c r="B2206" s="60" t="str">
        <f>IFERROR(__xludf.DUMMYFUNCTION("""COMPUTED_VALUE"""),"King, Kobe")</f>
        <v>King, Kobe</v>
      </c>
      <c r="C2206" s="60" t="str">
        <f>IFERROR(__xludf.DUMMYFUNCTION("""COMPUTED_VALUE"""),"LB")</f>
        <v>LB</v>
      </c>
      <c r="D2206" s="60" t="str">
        <f>IFERROR(__xludf.DUMMYFUNCTION("""COMPUTED_VALUE"""),"FA")</f>
        <v>FA</v>
      </c>
      <c r="E2206" s="62" t="str">
        <f t="shared" si="4"/>
        <v>Kobe King</v>
      </c>
      <c r="F2206" s="62">
        <f t="shared" ref="F2206:G2206" si="4411">IF(isblank(F$1),,IF(isblank($A2206),,IFERROR(vlookup($A2206,indirect("'TVC-"&amp;text(month(F$1),"00")&amp;"'!$A:$D"),4,false),1)))</f>
        <v>1</v>
      </c>
      <c r="G2206" s="62">
        <f t="shared" si="4411"/>
        <v>1</v>
      </c>
      <c r="H2206" s="62">
        <f t="shared" ref="H2206:Q2206" si="4412">IF(isblank(H$1),,IFERROR(vlookup($A2206,indirect("'TVC-"&amp;text(month(H$1),"00")&amp;"'!$A:$D"),4,false),1))</f>
        <v>1</v>
      </c>
      <c r="I2206" s="62">
        <f t="shared" si="4412"/>
        <v>1</v>
      </c>
      <c r="J2206" s="62">
        <f t="shared" si="4412"/>
        <v>1</v>
      </c>
      <c r="K2206" s="62">
        <f t="shared" si="4412"/>
        <v>1</v>
      </c>
      <c r="L2206" s="62">
        <f t="shared" si="4412"/>
        <v>1</v>
      </c>
      <c r="M2206" s="62">
        <f t="shared" si="4412"/>
        <v>1</v>
      </c>
      <c r="N2206" s="62">
        <f t="shared" si="4412"/>
        <v>1</v>
      </c>
      <c r="O2206" s="62">
        <f t="shared" si="4412"/>
        <v>1</v>
      </c>
      <c r="P2206" s="62" t="str">
        <f t="shared" si="4412"/>
        <v/>
      </c>
      <c r="Q2206" s="62" t="str">
        <f t="shared" si="4412"/>
        <v/>
      </c>
      <c r="R2206" s="62">
        <f t="shared" si="7"/>
        <v>0</v>
      </c>
      <c r="S2206" s="62"/>
      <c r="T2206" s="62"/>
      <c r="U2206" s="62"/>
      <c r="V2206" s="62"/>
      <c r="W2206" s="62"/>
      <c r="X2206" s="62"/>
      <c r="Y2206" s="62"/>
      <c r="Z2206" s="62"/>
      <c r="AA2206" s="62"/>
      <c r="AB2206" s="62"/>
      <c r="AC2206" s="62"/>
    </row>
    <row r="2207" hidden="1">
      <c r="A2207" s="60">
        <f>IFERROR(__xludf.DUMMYFUNCTION("""COMPUTED_VALUE"""),17231.0)</f>
        <v>17231</v>
      </c>
      <c r="B2207" s="60" t="str">
        <f>IFERROR(__xludf.DUMMYFUNCTION("""COMPUTED_VALUE"""),"Bartholomew, Gavin")</f>
        <v>Bartholomew, Gavin</v>
      </c>
      <c r="C2207" s="60" t="str">
        <f>IFERROR(__xludf.DUMMYFUNCTION("""COMPUTED_VALUE"""),"TE")</f>
        <v>TE</v>
      </c>
      <c r="D2207" s="60" t="str">
        <f>IFERROR(__xludf.DUMMYFUNCTION("""COMPUTED_VALUE"""),"MIN")</f>
        <v>MIN</v>
      </c>
      <c r="E2207" s="62" t="str">
        <f t="shared" si="4"/>
        <v>Gavin Bartholomew</v>
      </c>
      <c r="F2207" s="62">
        <f t="shared" ref="F2207:G2207" si="4413">IF(isblank(F$1),,IF(isblank($A2207),,IFERROR(vlookup($A2207,indirect("'TVC-"&amp;text(month(F$1),"00")&amp;"'!$A:$D"),4,false),1)))</f>
        <v>1</v>
      </c>
      <c r="G2207" s="62">
        <f t="shared" si="4413"/>
        <v>1</v>
      </c>
      <c r="H2207" s="62">
        <f t="shared" ref="H2207:Q2207" si="4414">IF(isblank(H$1),,IFERROR(vlookup($A2207,indirect("'TVC-"&amp;text(month(H$1),"00")&amp;"'!$A:$D"),4,false),1))</f>
        <v>1</v>
      </c>
      <c r="I2207" s="62">
        <f t="shared" si="4414"/>
        <v>1</v>
      </c>
      <c r="J2207" s="62">
        <f t="shared" si="4414"/>
        <v>1</v>
      </c>
      <c r="K2207" s="62">
        <f t="shared" si="4414"/>
        <v>1</v>
      </c>
      <c r="L2207" s="62">
        <f t="shared" si="4414"/>
        <v>1</v>
      </c>
      <c r="M2207" s="62">
        <f t="shared" si="4414"/>
        <v>1</v>
      </c>
      <c r="N2207" s="62">
        <f t="shared" si="4414"/>
        <v>1</v>
      </c>
      <c r="O2207" s="62">
        <f t="shared" si="4414"/>
        <v>1</v>
      </c>
      <c r="P2207" s="62" t="str">
        <f t="shared" si="4414"/>
        <v/>
      </c>
      <c r="Q2207" s="62" t="str">
        <f t="shared" si="4414"/>
        <v/>
      </c>
      <c r="R2207" s="62">
        <f t="shared" si="7"/>
        <v>0</v>
      </c>
      <c r="S2207" s="62"/>
      <c r="T2207" s="62"/>
      <c r="U2207" s="62"/>
      <c r="V2207" s="62"/>
      <c r="W2207" s="62"/>
      <c r="X2207" s="62"/>
      <c r="Y2207" s="62"/>
      <c r="Z2207" s="62"/>
      <c r="AA2207" s="62"/>
      <c r="AB2207" s="62"/>
      <c r="AC2207" s="62"/>
    </row>
    <row r="2208" hidden="1">
      <c r="A2208" s="60">
        <f>IFERROR(__xludf.DUMMYFUNCTION("""COMPUTED_VALUE"""),17232.0)</f>
        <v>17232</v>
      </c>
      <c r="B2208" s="60" t="str">
        <f>IFERROR(__xludf.DUMMYFUNCTION("""COMPUTED_VALUE"""),"Wester, LaJohntay")</f>
        <v>Wester, LaJohntay</v>
      </c>
      <c r="C2208" s="60" t="str">
        <f>IFERROR(__xludf.DUMMYFUNCTION("""COMPUTED_VALUE"""),"WR")</f>
        <v>WR</v>
      </c>
      <c r="D2208" s="60" t="str">
        <f>IFERROR(__xludf.DUMMYFUNCTION("""COMPUTED_VALUE"""),"BAL")</f>
        <v>BAL</v>
      </c>
      <c r="E2208" s="62" t="str">
        <f t="shared" si="4"/>
        <v>LaJohntay Wester</v>
      </c>
      <c r="F2208" s="62">
        <f t="shared" ref="F2208:G2208" si="4415">IF(isblank(F$1),,IF(isblank($A2208),,IFERROR(vlookup($A2208,indirect("'TVC-"&amp;text(month(F$1),"00")&amp;"'!$A:$D"),4,false),1)))</f>
        <v>674</v>
      </c>
      <c r="G2208" s="62">
        <f t="shared" si="4415"/>
        <v>735</v>
      </c>
      <c r="H2208" s="62">
        <f t="shared" ref="H2208:Q2208" si="4416">IF(isblank(H$1),,IFERROR(vlookup($A2208,indirect("'TVC-"&amp;text(month(H$1),"00")&amp;"'!$A:$D"),4,false),1))</f>
        <v>731</v>
      </c>
      <c r="I2208" s="62">
        <f t="shared" si="4416"/>
        <v>700</v>
      </c>
      <c r="J2208" s="62">
        <f t="shared" si="4416"/>
        <v>1</v>
      </c>
      <c r="K2208" s="62">
        <f t="shared" si="4416"/>
        <v>1</v>
      </c>
      <c r="L2208" s="62">
        <f t="shared" si="4416"/>
        <v>508</v>
      </c>
      <c r="M2208" s="62">
        <f t="shared" si="4416"/>
        <v>574</v>
      </c>
      <c r="N2208" s="62">
        <f t="shared" si="4416"/>
        <v>501</v>
      </c>
      <c r="O2208" s="62">
        <f t="shared" si="4416"/>
        <v>1</v>
      </c>
      <c r="P2208" s="62" t="str">
        <f t="shared" si="4416"/>
        <v/>
      </c>
      <c r="Q2208" s="62" t="str">
        <f t="shared" si="4416"/>
        <v/>
      </c>
      <c r="R2208" s="62">
        <f t="shared" si="7"/>
        <v>-500</v>
      </c>
      <c r="S2208" s="62"/>
      <c r="T2208" s="62"/>
      <c r="U2208" s="62"/>
      <c r="V2208" s="62"/>
      <c r="W2208" s="62"/>
      <c r="X2208" s="62"/>
      <c r="Y2208" s="62"/>
      <c r="Z2208" s="62"/>
      <c r="AA2208" s="62"/>
      <c r="AB2208" s="62"/>
      <c r="AC2208" s="62"/>
    </row>
    <row r="2209">
      <c r="A2209" s="60">
        <f>IFERROR(__xludf.DUMMYFUNCTION("""COMPUTED_VALUE"""),17233.0)</f>
        <v>17233</v>
      </c>
      <c r="B2209" s="60" t="str">
        <f>IFERROR(__xludf.DUMMYFUNCTION("""COMPUTED_VALUE"""),"Medrano, Kain")</f>
        <v>Medrano, Kain</v>
      </c>
      <c r="C2209" s="60" t="str">
        <f>IFERROR(__xludf.DUMMYFUNCTION("""COMPUTED_VALUE"""),"LB")</f>
        <v>LB</v>
      </c>
      <c r="D2209" s="60" t="str">
        <f>IFERROR(__xludf.DUMMYFUNCTION("""COMPUTED_VALUE"""),"WAS")</f>
        <v>WAS</v>
      </c>
      <c r="E2209" s="62" t="str">
        <f t="shared" si="4"/>
        <v>Kain Medrano</v>
      </c>
      <c r="F2209" s="62">
        <f t="shared" ref="F2209:G2209" si="4417">IF(isblank(F$1),,IF(isblank($A2209),,IFERROR(vlookup($A2209,indirect("'TVC-"&amp;text(month(F$1),"00")&amp;"'!$A:$D"),4,false),1)))</f>
        <v>1</v>
      </c>
      <c r="G2209" s="62">
        <f t="shared" si="4417"/>
        <v>1</v>
      </c>
      <c r="H2209" s="62">
        <f t="shared" ref="H2209:Q2209" si="4418">IF(isblank(H$1),,IFERROR(vlookup($A2209,indirect("'TVC-"&amp;text(month(H$1),"00")&amp;"'!$A:$D"),4,false),1))</f>
        <v>1</v>
      </c>
      <c r="I2209" s="62">
        <f t="shared" si="4418"/>
        <v>1</v>
      </c>
      <c r="J2209" s="62">
        <f t="shared" si="4418"/>
        <v>1</v>
      </c>
      <c r="K2209" s="62">
        <f t="shared" si="4418"/>
        <v>1</v>
      </c>
      <c r="L2209" s="62">
        <f t="shared" si="4418"/>
        <v>1</v>
      </c>
      <c r="M2209" s="62">
        <f t="shared" si="4418"/>
        <v>1</v>
      </c>
      <c r="N2209" s="62">
        <f t="shared" si="4418"/>
        <v>1</v>
      </c>
      <c r="O2209" s="62">
        <f t="shared" si="4418"/>
        <v>1</v>
      </c>
      <c r="P2209" s="62" t="str">
        <f t="shared" si="4418"/>
        <v/>
      </c>
      <c r="Q2209" s="62" t="str">
        <f t="shared" si="4418"/>
        <v/>
      </c>
      <c r="R2209" s="62">
        <f t="shared" si="7"/>
        <v>0</v>
      </c>
      <c r="S2209" s="62"/>
      <c r="T2209" s="62"/>
      <c r="U2209" s="62"/>
      <c r="V2209" s="62"/>
      <c r="W2209" s="62"/>
      <c r="X2209" s="62"/>
      <c r="Y2209" s="62"/>
      <c r="Z2209" s="62"/>
      <c r="AA2209" s="62"/>
      <c r="AB2209" s="62"/>
      <c r="AC2209" s="62"/>
    </row>
    <row r="2210" hidden="1">
      <c r="A2210" s="60">
        <f>IFERROR(__xludf.DUMMYFUNCTION("""COMPUTED_VALUE"""),17234.0)</f>
        <v>17234</v>
      </c>
      <c r="B2210" s="60" t="str">
        <f>IFERROR(__xludf.DUMMYFUNCTION("""COMPUTED_VALUE"""),"Horn, Jimmy")</f>
        <v>Horn, Jimmy</v>
      </c>
      <c r="C2210" s="60" t="str">
        <f>IFERROR(__xludf.DUMMYFUNCTION("""COMPUTED_VALUE"""),"WR")</f>
        <v>WR</v>
      </c>
      <c r="D2210" s="60" t="str">
        <f>IFERROR(__xludf.DUMMYFUNCTION("""COMPUTED_VALUE"""),"CLE")</f>
        <v>CLE</v>
      </c>
      <c r="E2210" s="62" t="str">
        <f t="shared" si="4"/>
        <v>Jimmy Horn</v>
      </c>
      <c r="F2210" s="62">
        <f t="shared" ref="F2210:G2210" si="4419">IF(isblank(F$1),,IF(isblank($A2210),,IFERROR(vlookup($A2210,indirect("'TVC-"&amp;text(month(F$1),"00")&amp;"'!$A:$D"),4,false),1)))</f>
        <v>1612</v>
      </c>
      <c r="G2210" s="62">
        <f t="shared" si="4419"/>
        <v>1628</v>
      </c>
      <c r="H2210" s="62">
        <f t="shared" ref="H2210:Q2210" si="4420">IF(isblank(H$1),,IFERROR(vlookup($A2210,indirect("'TVC-"&amp;text(month(H$1),"00")&amp;"'!$A:$D"),4,false),1))</f>
        <v>1653</v>
      </c>
      <c r="I2210" s="62">
        <f t="shared" si="4420"/>
        <v>1640</v>
      </c>
      <c r="J2210" s="62">
        <f t="shared" si="4420"/>
        <v>1581</v>
      </c>
      <c r="K2210" s="62">
        <f t="shared" si="4420"/>
        <v>1548</v>
      </c>
      <c r="L2210" s="62">
        <f t="shared" si="4420"/>
        <v>1539</v>
      </c>
      <c r="M2210" s="62">
        <f t="shared" si="4420"/>
        <v>1463</v>
      </c>
      <c r="N2210" s="62">
        <f t="shared" si="4420"/>
        <v>1450</v>
      </c>
      <c r="O2210" s="62">
        <f t="shared" si="4420"/>
        <v>1</v>
      </c>
      <c r="P2210" s="62" t="str">
        <f t="shared" si="4420"/>
        <v/>
      </c>
      <c r="Q2210" s="62" t="str">
        <f t="shared" si="4420"/>
        <v/>
      </c>
      <c r="R2210" s="62">
        <f t="shared" si="7"/>
        <v>-1449</v>
      </c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</row>
    <row r="2211" hidden="1">
      <c r="A2211" s="60">
        <f>IFERROR(__xludf.DUMMYFUNCTION("""COMPUTED_VALUE"""),17236.0)</f>
        <v>17236</v>
      </c>
      <c r="B2211" s="60" t="str">
        <f>IFERROR(__xludf.DUMMYFUNCTION("""COMPUTED_VALUE"""),"Peebles, Aeneas")</f>
        <v>Peebles, Aeneas</v>
      </c>
      <c r="C2211" s="60" t="str">
        <f>IFERROR(__xludf.DUMMYFUNCTION("""COMPUTED_VALUE"""),"DT")</f>
        <v>DT</v>
      </c>
      <c r="D2211" s="60" t="str">
        <f>IFERROR(__xludf.DUMMYFUNCTION("""COMPUTED_VALUE"""),"BAL")</f>
        <v>BAL</v>
      </c>
      <c r="E2211" s="62" t="str">
        <f t="shared" si="4"/>
        <v>Aeneas Peebles</v>
      </c>
      <c r="F2211" s="62">
        <f t="shared" ref="F2211:G2211" si="4421">IF(isblank(F$1),,IF(isblank($A2211),,IFERROR(vlookup($A2211,indirect("'TVC-"&amp;text(month(F$1),"00")&amp;"'!$A:$D"),4,false),1)))</f>
        <v>1</v>
      </c>
      <c r="G2211" s="62">
        <f t="shared" si="4421"/>
        <v>1</v>
      </c>
      <c r="H2211" s="62">
        <f t="shared" ref="H2211:Q2211" si="4422">IF(isblank(H$1),,IFERROR(vlookup($A2211,indirect("'TVC-"&amp;text(month(H$1),"00")&amp;"'!$A:$D"),4,false),1))</f>
        <v>1</v>
      </c>
      <c r="I2211" s="62">
        <f t="shared" si="4422"/>
        <v>1</v>
      </c>
      <c r="J2211" s="62">
        <f t="shared" si="4422"/>
        <v>1</v>
      </c>
      <c r="K2211" s="62">
        <f t="shared" si="4422"/>
        <v>1</v>
      </c>
      <c r="L2211" s="62">
        <f t="shared" si="4422"/>
        <v>1</v>
      </c>
      <c r="M2211" s="62">
        <f t="shared" si="4422"/>
        <v>1</v>
      </c>
      <c r="N2211" s="62">
        <f t="shared" si="4422"/>
        <v>1</v>
      </c>
      <c r="O2211" s="62">
        <f t="shared" si="4422"/>
        <v>1</v>
      </c>
      <c r="P2211" s="62" t="str">
        <f t="shared" si="4422"/>
        <v/>
      </c>
      <c r="Q2211" s="62" t="str">
        <f t="shared" si="4422"/>
        <v/>
      </c>
      <c r="R2211" s="62">
        <f t="shared" si="7"/>
        <v>0</v>
      </c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</row>
    <row r="2212" hidden="1">
      <c r="A2212" s="60">
        <f>IFERROR(__xludf.DUMMYFUNCTION("""COMPUTED_VALUE"""),17237.0)</f>
        <v>17237</v>
      </c>
      <c r="B2212" s="60" t="str">
        <f>IFERROR(__xludf.DUMMYFUNCTION("""COMPUTED_VALUE"""),"Longerbeam, Robert")</f>
        <v>Longerbeam, Robert</v>
      </c>
      <c r="C2212" s="60" t="str">
        <f>IFERROR(__xludf.DUMMYFUNCTION("""COMPUTED_VALUE"""),"CB")</f>
        <v>CB</v>
      </c>
      <c r="D2212" s="60" t="str">
        <f>IFERROR(__xludf.DUMMYFUNCTION("""COMPUTED_VALUE"""),"ATL")</f>
        <v>ATL</v>
      </c>
      <c r="E2212" s="62" t="str">
        <f t="shared" si="4"/>
        <v>Robert Longerbeam</v>
      </c>
      <c r="F2212" s="62">
        <f t="shared" ref="F2212:G2212" si="4423">IF(isblank(F$1),,IF(isblank($A2212),,IFERROR(vlookup($A2212,indirect("'TVC-"&amp;text(month(F$1),"00")&amp;"'!$A:$D"),4,false),1)))</f>
        <v>1</v>
      </c>
      <c r="G2212" s="62">
        <f t="shared" si="4423"/>
        <v>1</v>
      </c>
      <c r="H2212" s="62">
        <f t="shared" ref="H2212:Q2212" si="4424">IF(isblank(H$1),,IFERROR(vlookup($A2212,indirect("'TVC-"&amp;text(month(H$1),"00")&amp;"'!$A:$D"),4,false),1))</f>
        <v>1</v>
      </c>
      <c r="I2212" s="62">
        <f t="shared" si="4424"/>
        <v>1</v>
      </c>
      <c r="J2212" s="62">
        <f t="shared" si="4424"/>
        <v>1</v>
      </c>
      <c r="K2212" s="62">
        <f t="shared" si="4424"/>
        <v>1</v>
      </c>
      <c r="L2212" s="62">
        <f t="shared" si="4424"/>
        <v>1</v>
      </c>
      <c r="M2212" s="62">
        <f t="shared" si="4424"/>
        <v>1</v>
      </c>
      <c r="N2212" s="62">
        <f t="shared" si="4424"/>
        <v>1</v>
      </c>
      <c r="O2212" s="62">
        <f t="shared" si="4424"/>
        <v>1</v>
      </c>
      <c r="P2212" s="62" t="str">
        <f t="shared" si="4424"/>
        <v/>
      </c>
      <c r="Q2212" s="62" t="str">
        <f t="shared" si="4424"/>
        <v/>
      </c>
      <c r="R2212" s="62">
        <f t="shared" si="7"/>
        <v>0</v>
      </c>
      <c r="S2212" s="62"/>
      <c r="T2212" s="62"/>
      <c r="U2212" s="62"/>
      <c r="V2212" s="62"/>
      <c r="W2212" s="62"/>
      <c r="X2212" s="62"/>
      <c r="Y2212" s="62"/>
      <c r="Z2212" s="62"/>
      <c r="AA2212" s="62"/>
      <c r="AB2212" s="62"/>
      <c r="AC2212" s="62"/>
    </row>
    <row r="2213" hidden="1">
      <c r="A2213" s="60">
        <f>IFERROR(__xludf.DUMMYFUNCTION("""COMPUTED_VALUE"""),17238.0)</f>
        <v>17238</v>
      </c>
      <c r="B2213" s="60" t="str">
        <f>IFERROR(__xludf.DUMMYFUNCTION("""COMPUTED_VALUE"""),"Mellott, Tommy")</f>
        <v>Mellott, Tommy</v>
      </c>
      <c r="C2213" s="60" t="str">
        <f>IFERROR(__xludf.DUMMYFUNCTION("""COMPUTED_VALUE"""),"WR")</f>
        <v>WR</v>
      </c>
      <c r="D2213" s="60" t="str">
        <f>IFERROR(__xludf.DUMMYFUNCTION("""COMPUTED_VALUE"""),"NOS")</f>
        <v>NOS</v>
      </c>
      <c r="E2213" s="62" t="str">
        <f t="shared" si="4"/>
        <v>Tommy Mellott</v>
      </c>
      <c r="F2213" s="62">
        <f t="shared" ref="F2213:G2213" si="4425">IF(isblank(F$1),,IF(isblank($A2213),,IFERROR(vlookup($A2213,indirect("'TVC-"&amp;text(month(F$1),"00")&amp;"'!$A:$D"),4,false),1)))</f>
        <v>1</v>
      </c>
      <c r="G2213" s="62">
        <f t="shared" si="4425"/>
        <v>1</v>
      </c>
      <c r="H2213" s="62">
        <f t="shared" ref="H2213:Q2213" si="4426">IF(isblank(H$1),,IFERROR(vlookup($A2213,indirect("'TVC-"&amp;text(month(H$1),"00")&amp;"'!$A:$D"),4,false),1))</f>
        <v>1</v>
      </c>
      <c r="I2213" s="62">
        <f t="shared" si="4426"/>
        <v>1</v>
      </c>
      <c r="J2213" s="62">
        <f t="shared" si="4426"/>
        <v>1</v>
      </c>
      <c r="K2213" s="62">
        <f t="shared" si="4426"/>
        <v>1</v>
      </c>
      <c r="L2213" s="62">
        <f t="shared" si="4426"/>
        <v>1</v>
      </c>
      <c r="M2213" s="62">
        <f t="shared" si="4426"/>
        <v>1</v>
      </c>
      <c r="N2213" s="62">
        <f t="shared" si="4426"/>
        <v>1</v>
      </c>
      <c r="O2213" s="62">
        <f t="shared" si="4426"/>
        <v>1</v>
      </c>
      <c r="P2213" s="62" t="str">
        <f t="shared" si="4426"/>
        <v/>
      </c>
      <c r="Q2213" s="62" t="str">
        <f t="shared" si="4426"/>
        <v/>
      </c>
      <c r="R2213" s="62">
        <f t="shared" si="7"/>
        <v>0</v>
      </c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</row>
    <row r="2214" hidden="1">
      <c r="A2214" s="60">
        <f>IFERROR(__xludf.DUMMYFUNCTION("""COMPUTED_VALUE"""),17239.0)</f>
        <v>17239</v>
      </c>
      <c r="B2214" s="60" t="str">
        <f>IFERROR(__xludf.DUMMYFUNCTION("""COMPUTED_VALUE"""),"Mickens, R.J.")</f>
        <v>Mickens, R.J.</v>
      </c>
      <c r="C2214" s="60" t="str">
        <f>IFERROR(__xludf.DUMMYFUNCTION("""COMPUTED_VALUE"""),"S")</f>
        <v>S</v>
      </c>
      <c r="D2214" s="60" t="str">
        <f>IFERROR(__xludf.DUMMYFUNCTION("""COMPUTED_VALUE"""),"LAC")</f>
        <v>LAC</v>
      </c>
      <c r="E2214" s="62" t="str">
        <f t="shared" si="4"/>
        <v>R.J. Mickens</v>
      </c>
      <c r="F2214" s="62">
        <f t="shared" ref="F2214:G2214" si="4427">IF(isblank(F$1),,IF(isblank($A2214),,IFERROR(vlookup($A2214,indirect("'TVC-"&amp;text(month(F$1),"00")&amp;"'!$A:$D"),4,false),1)))</f>
        <v>1</v>
      </c>
      <c r="G2214" s="62">
        <f t="shared" si="4427"/>
        <v>1</v>
      </c>
      <c r="H2214" s="62">
        <f t="shared" ref="H2214:Q2214" si="4428">IF(isblank(H$1),,IFERROR(vlookup($A2214,indirect("'TVC-"&amp;text(month(H$1),"00")&amp;"'!$A:$D"),4,false),1))</f>
        <v>1</v>
      </c>
      <c r="I2214" s="62">
        <f t="shared" si="4428"/>
        <v>1</v>
      </c>
      <c r="J2214" s="62">
        <f t="shared" si="4428"/>
        <v>1</v>
      </c>
      <c r="K2214" s="62">
        <f t="shared" si="4428"/>
        <v>1</v>
      </c>
      <c r="L2214" s="62">
        <f t="shared" si="4428"/>
        <v>1</v>
      </c>
      <c r="M2214" s="62">
        <f t="shared" si="4428"/>
        <v>1</v>
      </c>
      <c r="N2214" s="62">
        <f t="shared" si="4428"/>
        <v>1</v>
      </c>
      <c r="O2214" s="62">
        <f t="shared" si="4428"/>
        <v>1</v>
      </c>
      <c r="P2214" s="62" t="str">
        <f t="shared" si="4428"/>
        <v/>
      </c>
      <c r="Q2214" s="62" t="str">
        <f t="shared" si="4428"/>
        <v/>
      </c>
      <c r="R2214" s="62">
        <f t="shared" si="7"/>
        <v>0</v>
      </c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</row>
    <row r="2215" hidden="1">
      <c r="A2215" s="60">
        <f>IFERROR(__xludf.DUMMYFUNCTION("""COMPUTED_VALUE"""),17240.0)</f>
        <v>17240</v>
      </c>
      <c r="B2215" s="60" t="str">
        <f>IFERROR(__xludf.DUMMYFUNCTION("""COMPUTED_VALUE"""),"Miller, Cam")</f>
        <v>Miller, Cam</v>
      </c>
      <c r="C2215" s="60" t="str">
        <f>IFERROR(__xludf.DUMMYFUNCTION("""COMPUTED_VALUE"""),"QB")</f>
        <v>QB</v>
      </c>
      <c r="D2215" s="60" t="str">
        <f>IFERROR(__xludf.DUMMYFUNCTION("""COMPUTED_VALUE"""),"FA")</f>
        <v>FA</v>
      </c>
      <c r="E2215" s="62" t="str">
        <f t="shared" si="4"/>
        <v>Cam Miller</v>
      </c>
      <c r="F2215" s="62">
        <f t="shared" ref="F2215:G2215" si="4429">IF(isblank(F$1),,IF(isblank($A2215),,IFERROR(vlookup($A2215,indirect("'TVC-"&amp;text(month(F$1),"00")&amp;"'!$A:$D"),4,false),1)))</f>
        <v>1</v>
      </c>
      <c r="G2215" s="62">
        <f t="shared" si="4429"/>
        <v>1</v>
      </c>
      <c r="H2215" s="62">
        <f t="shared" ref="H2215:Q2215" si="4430">IF(isblank(H$1),,IFERROR(vlookup($A2215,indirect("'TVC-"&amp;text(month(H$1),"00")&amp;"'!$A:$D"),4,false),1))</f>
        <v>1</v>
      </c>
      <c r="I2215" s="62">
        <f t="shared" si="4430"/>
        <v>1</v>
      </c>
      <c r="J2215" s="62">
        <f t="shared" si="4430"/>
        <v>1</v>
      </c>
      <c r="K2215" s="62">
        <f t="shared" si="4430"/>
        <v>1</v>
      </c>
      <c r="L2215" s="62">
        <f t="shared" si="4430"/>
        <v>1</v>
      </c>
      <c r="M2215" s="62">
        <f t="shared" si="4430"/>
        <v>1</v>
      </c>
      <c r="N2215" s="62">
        <f t="shared" si="4430"/>
        <v>1</v>
      </c>
      <c r="O2215" s="62">
        <f t="shared" si="4430"/>
        <v>1</v>
      </c>
      <c r="P2215" s="62" t="str">
        <f t="shared" si="4430"/>
        <v/>
      </c>
      <c r="Q2215" s="62" t="str">
        <f t="shared" si="4430"/>
        <v/>
      </c>
      <c r="R2215" s="62">
        <f t="shared" si="7"/>
        <v>0</v>
      </c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</row>
    <row r="2216" hidden="1">
      <c r="A2216" s="60">
        <f>IFERROR(__xludf.DUMMYFUNCTION("""COMPUTED_VALUE"""),17241.0)</f>
        <v>17241</v>
      </c>
      <c r="B2216" s="60" t="str">
        <f>IFERROR(__xludf.DUMMYFUNCTION("""COMPUTED_VALUE"""),"Crawshaw, Jeremy")</f>
        <v>Crawshaw, Jeremy</v>
      </c>
      <c r="C2216" s="60" t="str">
        <f>IFERROR(__xludf.DUMMYFUNCTION("""COMPUTED_VALUE"""),"PN")</f>
        <v>PN</v>
      </c>
      <c r="D2216" s="60" t="str">
        <f>IFERROR(__xludf.DUMMYFUNCTION("""COMPUTED_VALUE"""),"DEN")</f>
        <v>DEN</v>
      </c>
      <c r="E2216" s="62" t="str">
        <f t="shared" si="4"/>
        <v>Jeremy Crawshaw</v>
      </c>
      <c r="F2216" s="62">
        <f t="shared" ref="F2216:G2216" si="4431">IF(isblank(F$1),,IF(isblank($A2216),,IFERROR(vlookup($A2216,indirect("'TVC-"&amp;text(month(F$1),"00")&amp;"'!$A:$D"),4,false),1)))</f>
        <v>1</v>
      </c>
      <c r="G2216" s="62">
        <f t="shared" si="4431"/>
        <v>1</v>
      </c>
      <c r="H2216" s="62">
        <f t="shared" ref="H2216:Q2216" si="4432">IF(isblank(H$1),,IFERROR(vlookup($A2216,indirect("'TVC-"&amp;text(month(H$1),"00")&amp;"'!$A:$D"),4,false),1))</f>
        <v>1</v>
      </c>
      <c r="I2216" s="62">
        <f t="shared" si="4432"/>
        <v>1</v>
      </c>
      <c r="J2216" s="62">
        <f t="shared" si="4432"/>
        <v>1</v>
      </c>
      <c r="K2216" s="62">
        <f t="shared" si="4432"/>
        <v>1</v>
      </c>
      <c r="L2216" s="62">
        <f t="shared" si="4432"/>
        <v>1</v>
      </c>
      <c r="M2216" s="62">
        <f t="shared" si="4432"/>
        <v>1</v>
      </c>
      <c r="N2216" s="62">
        <f t="shared" si="4432"/>
        <v>1</v>
      </c>
      <c r="O2216" s="62">
        <f t="shared" si="4432"/>
        <v>1</v>
      </c>
      <c r="P2216" s="62" t="str">
        <f t="shared" si="4432"/>
        <v/>
      </c>
      <c r="Q2216" s="62" t="str">
        <f t="shared" si="4432"/>
        <v/>
      </c>
      <c r="R2216" s="62">
        <f t="shared" si="7"/>
        <v>0</v>
      </c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</row>
    <row r="2217" hidden="1">
      <c r="A2217" s="60">
        <f>IFERROR(__xludf.DUMMYFUNCTION("""COMPUTED_VALUE"""),17242.0)</f>
        <v>17242</v>
      </c>
      <c r="B2217" s="60" t="str">
        <f>IFERROR(__xludf.DUMMYFUNCTION("""COMPUTED_VALUE"""),"Toia, Jay")</f>
        <v>Toia, Jay</v>
      </c>
      <c r="C2217" s="60" t="str">
        <f>IFERROR(__xludf.DUMMYFUNCTION("""COMPUTED_VALUE"""),"DT")</f>
        <v>DT</v>
      </c>
      <c r="D2217" s="60" t="str">
        <f>IFERROR(__xludf.DUMMYFUNCTION("""COMPUTED_VALUE"""),"ARI")</f>
        <v>ARI</v>
      </c>
      <c r="E2217" s="62" t="str">
        <f t="shared" si="4"/>
        <v>Jay Toia</v>
      </c>
      <c r="F2217" s="62">
        <f t="shared" ref="F2217:G2217" si="4433">IF(isblank(F$1),,IF(isblank($A2217),,IFERROR(vlookup($A2217,indirect("'TVC-"&amp;text(month(F$1),"00")&amp;"'!$A:$D"),4,false),1)))</f>
        <v>1</v>
      </c>
      <c r="G2217" s="62">
        <f t="shared" si="4433"/>
        <v>1</v>
      </c>
      <c r="H2217" s="62">
        <f t="shared" ref="H2217:Q2217" si="4434">IF(isblank(H$1),,IFERROR(vlookup($A2217,indirect("'TVC-"&amp;text(month(H$1),"00")&amp;"'!$A:$D"),4,false),1))</f>
        <v>1</v>
      </c>
      <c r="I2217" s="62">
        <f t="shared" si="4434"/>
        <v>1</v>
      </c>
      <c r="J2217" s="62">
        <f t="shared" si="4434"/>
        <v>1</v>
      </c>
      <c r="K2217" s="62">
        <f t="shared" si="4434"/>
        <v>1</v>
      </c>
      <c r="L2217" s="62">
        <f t="shared" si="4434"/>
        <v>1</v>
      </c>
      <c r="M2217" s="62">
        <f t="shared" si="4434"/>
        <v>1</v>
      </c>
      <c r="N2217" s="62">
        <f t="shared" si="4434"/>
        <v>1</v>
      </c>
      <c r="O2217" s="62">
        <f t="shared" si="4434"/>
        <v>1</v>
      </c>
      <c r="P2217" s="62" t="str">
        <f t="shared" si="4434"/>
        <v/>
      </c>
      <c r="Q2217" s="62" t="str">
        <f t="shared" si="4434"/>
        <v/>
      </c>
      <c r="R2217" s="62">
        <f t="shared" si="7"/>
        <v>0</v>
      </c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</row>
    <row r="2218" hidden="1">
      <c r="A2218" s="60">
        <f>IFERROR(__xludf.DUMMYFUNCTION("""COMPUTED_VALUE"""),17243.0)</f>
        <v>17243</v>
      </c>
      <c r="B2218" s="60" t="str">
        <f>IFERROR(__xludf.DUMMYFUNCTION("""COMPUTED_VALUE"""),"Fidone, Thomas")</f>
        <v>Fidone, Thomas</v>
      </c>
      <c r="C2218" s="60" t="str">
        <f>IFERROR(__xludf.DUMMYFUNCTION("""COMPUTED_VALUE"""),"TE")</f>
        <v>TE</v>
      </c>
      <c r="D2218" s="60" t="str">
        <f>IFERROR(__xludf.DUMMYFUNCTION("""COMPUTED_VALUE"""),"NYG")</f>
        <v>NYG</v>
      </c>
      <c r="E2218" s="62" t="str">
        <f t="shared" si="4"/>
        <v>Thomas Fidone</v>
      </c>
      <c r="F2218" s="62">
        <f t="shared" ref="F2218:G2218" si="4435">IF(isblank(F$1),,IF(isblank($A2218),,IFERROR(vlookup($A2218,indirect("'TVC-"&amp;text(month(F$1),"00")&amp;"'!$A:$D"),4,false),1)))</f>
        <v>918</v>
      </c>
      <c r="G2218" s="62">
        <f t="shared" si="4435"/>
        <v>1</v>
      </c>
      <c r="H2218" s="62">
        <f t="shared" ref="H2218:Q2218" si="4436">IF(isblank(H$1),,IFERROR(vlookup($A2218,indirect("'TVC-"&amp;text(month(H$1),"00")&amp;"'!$A:$D"),4,false),1))</f>
        <v>1</v>
      </c>
      <c r="I2218" s="62">
        <f t="shared" si="4436"/>
        <v>1</v>
      </c>
      <c r="J2218" s="62">
        <f t="shared" si="4436"/>
        <v>931</v>
      </c>
      <c r="K2218" s="62">
        <f t="shared" si="4436"/>
        <v>850</v>
      </c>
      <c r="L2218" s="62">
        <f t="shared" si="4436"/>
        <v>848</v>
      </c>
      <c r="M2218" s="62">
        <f t="shared" si="4436"/>
        <v>832</v>
      </c>
      <c r="N2218" s="62">
        <f t="shared" si="4436"/>
        <v>1</v>
      </c>
      <c r="O2218" s="62">
        <f t="shared" si="4436"/>
        <v>1</v>
      </c>
      <c r="P2218" s="62" t="str">
        <f t="shared" si="4436"/>
        <v/>
      </c>
      <c r="Q2218" s="62" t="str">
        <f t="shared" si="4436"/>
        <v/>
      </c>
      <c r="R2218" s="62">
        <f t="shared" si="7"/>
        <v>0</v>
      </c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</row>
    <row r="2219" hidden="1">
      <c r="A2219" s="60">
        <f>IFERROR(__xludf.DUMMYFUNCTION("""COMPUTED_VALUE"""),17244.0)</f>
        <v>17244</v>
      </c>
      <c r="B2219" s="60" t="str">
        <f>IFERROR(__xludf.DUMMYFUNCTION("""COMPUTED_VALUE"""),"Lindenberg, Cody")</f>
        <v>Lindenberg, Cody</v>
      </c>
      <c r="C2219" s="60" t="str">
        <f>IFERROR(__xludf.DUMMYFUNCTION("""COMPUTED_VALUE"""),"LB")</f>
        <v>LB</v>
      </c>
      <c r="D2219" s="60" t="str">
        <f>IFERROR(__xludf.DUMMYFUNCTION("""COMPUTED_VALUE"""),"LVR")</f>
        <v>LVR</v>
      </c>
      <c r="E2219" s="62" t="str">
        <f t="shared" si="4"/>
        <v>Cody Lindenberg</v>
      </c>
      <c r="F2219" s="62">
        <f t="shared" ref="F2219:G2219" si="4437">IF(isblank(F$1),,IF(isblank($A2219),,IFERROR(vlookup($A2219,indirect("'TVC-"&amp;text(month(F$1),"00")&amp;"'!$A:$D"),4,false),1)))</f>
        <v>1</v>
      </c>
      <c r="G2219" s="62">
        <f t="shared" si="4437"/>
        <v>1</v>
      </c>
      <c r="H2219" s="62">
        <f t="shared" ref="H2219:Q2219" si="4438">IF(isblank(H$1),,IFERROR(vlookup($A2219,indirect("'TVC-"&amp;text(month(H$1),"00")&amp;"'!$A:$D"),4,false),1))</f>
        <v>1</v>
      </c>
      <c r="I2219" s="62">
        <f t="shared" si="4438"/>
        <v>1</v>
      </c>
      <c r="J2219" s="62">
        <f t="shared" si="4438"/>
        <v>1</v>
      </c>
      <c r="K2219" s="62">
        <f t="shared" si="4438"/>
        <v>1</v>
      </c>
      <c r="L2219" s="62">
        <f t="shared" si="4438"/>
        <v>1</v>
      </c>
      <c r="M2219" s="62">
        <f t="shared" si="4438"/>
        <v>1</v>
      </c>
      <c r="N2219" s="62">
        <f t="shared" si="4438"/>
        <v>1</v>
      </c>
      <c r="O2219" s="62">
        <f t="shared" si="4438"/>
        <v>1</v>
      </c>
      <c r="P2219" s="62" t="str">
        <f t="shared" si="4438"/>
        <v/>
      </c>
      <c r="Q2219" s="62" t="str">
        <f t="shared" si="4438"/>
        <v/>
      </c>
      <c r="R2219" s="62">
        <f t="shared" si="7"/>
        <v>0</v>
      </c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</row>
    <row r="2220" hidden="1">
      <c r="A2220" s="60">
        <f>IFERROR(__xludf.DUMMYFUNCTION("""COMPUTED_VALUE"""),17246.0)</f>
        <v>17246</v>
      </c>
      <c r="B2220" s="60" t="str">
        <f>IFERROR(__xludf.DUMMYFUNCTION("""COMPUTED_VALUE"""),"Crawford, Kitan")</f>
        <v>Crawford, Kitan</v>
      </c>
      <c r="C2220" s="60" t="str">
        <f>IFERROR(__xludf.DUMMYFUNCTION("""COMPUTED_VALUE"""),"S")</f>
        <v>S</v>
      </c>
      <c r="D2220" s="60" t="str">
        <f>IFERROR(__xludf.DUMMYFUNCTION("""COMPUTED_VALUE"""),"ARI")</f>
        <v>ARI</v>
      </c>
      <c r="E2220" s="62" t="str">
        <f t="shared" si="4"/>
        <v>Kitan Crawford</v>
      </c>
      <c r="F2220" s="62">
        <f t="shared" ref="F2220:G2220" si="4439">IF(isblank(F$1),,IF(isblank($A2220),,IFERROR(vlookup($A2220,indirect("'TVC-"&amp;text(month(F$1),"00")&amp;"'!$A:$D"),4,false),1)))</f>
        <v>1</v>
      </c>
      <c r="G2220" s="62">
        <f t="shared" si="4439"/>
        <v>1</v>
      </c>
      <c r="H2220" s="62">
        <f t="shared" ref="H2220:Q2220" si="4440">IF(isblank(H$1),,IFERROR(vlookup($A2220,indirect("'TVC-"&amp;text(month(H$1),"00")&amp;"'!$A:$D"),4,false),1))</f>
        <v>1</v>
      </c>
      <c r="I2220" s="62">
        <f t="shared" si="4440"/>
        <v>1</v>
      </c>
      <c r="J2220" s="62">
        <f t="shared" si="4440"/>
        <v>1</v>
      </c>
      <c r="K2220" s="62">
        <f t="shared" si="4440"/>
        <v>1</v>
      </c>
      <c r="L2220" s="62">
        <f t="shared" si="4440"/>
        <v>1</v>
      </c>
      <c r="M2220" s="62">
        <f t="shared" si="4440"/>
        <v>1</v>
      </c>
      <c r="N2220" s="62">
        <f t="shared" si="4440"/>
        <v>1</v>
      </c>
      <c r="O2220" s="62">
        <f t="shared" si="4440"/>
        <v>1</v>
      </c>
      <c r="P2220" s="62" t="str">
        <f t="shared" si="4440"/>
        <v/>
      </c>
      <c r="Q2220" s="62" t="str">
        <f t="shared" si="4440"/>
        <v/>
      </c>
      <c r="R2220" s="62">
        <f t="shared" si="7"/>
        <v>0</v>
      </c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</row>
    <row r="2221" hidden="1">
      <c r="A2221" s="60">
        <f>IFERROR(__xludf.DUMMYFUNCTION("""COMPUTED_VALUE"""),17247.0)</f>
        <v>17247</v>
      </c>
      <c r="B2221" s="60" t="str">
        <f>IFERROR(__xludf.DUMMYFUNCTION("""COMPUTED_VALUE"""),"Bruener, Carson")</f>
        <v>Bruener, Carson</v>
      </c>
      <c r="C2221" s="60" t="str">
        <f>IFERROR(__xludf.DUMMYFUNCTION("""COMPUTED_VALUE"""),"LB")</f>
        <v>LB</v>
      </c>
      <c r="D2221" s="60" t="str">
        <f>IFERROR(__xludf.DUMMYFUNCTION("""COMPUTED_VALUE"""),"PIT")</f>
        <v>PIT</v>
      </c>
      <c r="E2221" s="62" t="str">
        <f t="shared" si="4"/>
        <v>Carson Bruener</v>
      </c>
      <c r="F2221" s="62">
        <f t="shared" ref="F2221:G2221" si="4441">IF(isblank(F$1),,IF(isblank($A2221),,IFERROR(vlookup($A2221,indirect("'TVC-"&amp;text(month(F$1),"00")&amp;"'!$A:$D"),4,false),1)))</f>
        <v>1</v>
      </c>
      <c r="G2221" s="62">
        <f t="shared" si="4441"/>
        <v>1</v>
      </c>
      <c r="H2221" s="62">
        <f t="shared" ref="H2221:Q2221" si="4442">IF(isblank(H$1),,IFERROR(vlookup($A2221,indirect("'TVC-"&amp;text(month(H$1),"00")&amp;"'!$A:$D"),4,false),1))</f>
        <v>1</v>
      </c>
      <c r="I2221" s="62">
        <f t="shared" si="4442"/>
        <v>1</v>
      </c>
      <c r="J2221" s="62">
        <f t="shared" si="4442"/>
        <v>1</v>
      </c>
      <c r="K2221" s="62">
        <f t="shared" si="4442"/>
        <v>1</v>
      </c>
      <c r="L2221" s="62">
        <f t="shared" si="4442"/>
        <v>1</v>
      </c>
      <c r="M2221" s="62">
        <f t="shared" si="4442"/>
        <v>1</v>
      </c>
      <c r="N2221" s="62">
        <f t="shared" si="4442"/>
        <v>1</v>
      </c>
      <c r="O2221" s="62">
        <f t="shared" si="4442"/>
        <v>1</v>
      </c>
      <c r="P2221" s="62" t="str">
        <f t="shared" si="4442"/>
        <v/>
      </c>
      <c r="Q2221" s="62" t="str">
        <f t="shared" si="4442"/>
        <v/>
      </c>
      <c r="R2221" s="62">
        <f t="shared" si="7"/>
        <v>0</v>
      </c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</row>
    <row r="2222" hidden="1">
      <c r="A2222" s="60">
        <f>IFERROR(__xludf.DUMMYFUNCTION("""COMPUTED_VALUE"""),17249.0)</f>
        <v>17249</v>
      </c>
      <c r="B2222" s="60" t="str">
        <f>IFERROR(__xludf.DUMMYFUNCTION("""COMPUTED_VALUE"""),"Jackson, Dan")</f>
        <v>Jackson, Dan</v>
      </c>
      <c r="C2222" s="60" t="str">
        <f>IFERROR(__xludf.DUMMYFUNCTION("""COMPUTED_VALUE"""),"S")</f>
        <v>S</v>
      </c>
      <c r="D2222" s="60" t="str">
        <f>IFERROR(__xludf.DUMMYFUNCTION("""COMPUTED_VALUE"""),"FA")</f>
        <v>FA</v>
      </c>
      <c r="E2222" s="62" t="str">
        <f t="shared" si="4"/>
        <v>Dan Jackson</v>
      </c>
      <c r="F2222" s="62">
        <f t="shared" ref="F2222:G2222" si="4443">IF(isblank(F$1),,IF(isblank($A2222),,IFERROR(vlookup($A2222,indirect("'TVC-"&amp;text(month(F$1),"00")&amp;"'!$A:$D"),4,false),1)))</f>
        <v>1</v>
      </c>
      <c r="G2222" s="62">
        <f t="shared" si="4443"/>
        <v>1</v>
      </c>
      <c r="H2222" s="62">
        <f t="shared" ref="H2222:Q2222" si="4444">IF(isblank(H$1),,IFERROR(vlookup($A2222,indirect("'TVC-"&amp;text(month(H$1),"00")&amp;"'!$A:$D"),4,false),1))</f>
        <v>1</v>
      </c>
      <c r="I2222" s="62">
        <f t="shared" si="4444"/>
        <v>1</v>
      </c>
      <c r="J2222" s="62">
        <f t="shared" si="4444"/>
        <v>1</v>
      </c>
      <c r="K2222" s="62">
        <f t="shared" si="4444"/>
        <v>1</v>
      </c>
      <c r="L2222" s="62">
        <f t="shared" si="4444"/>
        <v>1</v>
      </c>
      <c r="M2222" s="62">
        <f t="shared" si="4444"/>
        <v>1</v>
      </c>
      <c r="N2222" s="62">
        <f t="shared" si="4444"/>
        <v>1</v>
      </c>
      <c r="O2222" s="62">
        <f t="shared" si="4444"/>
        <v>1</v>
      </c>
      <c r="P2222" s="62" t="str">
        <f t="shared" si="4444"/>
        <v/>
      </c>
      <c r="Q2222" s="62" t="str">
        <f t="shared" si="4444"/>
        <v/>
      </c>
      <c r="R2222" s="62">
        <f t="shared" si="7"/>
        <v>0</v>
      </c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</row>
    <row r="2223" hidden="1">
      <c r="A2223" s="60">
        <f>IFERROR(__xludf.DUMMYFUNCTION("""COMPUTED_VALUE"""),17250.0)</f>
        <v>17250</v>
      </c>
      <c r="B2223" s="60" t="str">
        <f>IFERROR(__xludf.DUMMYFUNCTION("""COMPUTED_VALUE"""),"Wohler, Hunter")</f>
        <v>Wohler, Hunter</v>
      </c>
      <c r="C2223" s="60" t="str">
        <f>IFERROR(__xludf.DUMMYFUNCTION("""COMPUTED_VALUE"""),"S")</f>
        <v>S</v>
      </c>
      <c r="D2223" s="60" t="str">
        <f>IFERROR(__xludf.DUMMYFUNCTION("""COMPUTED_VALUE"""),"IND")</f>
        <v>IND</v>
      </c>
      <c r="E2223" s="62" t="str">
        <f t="shared" si="4"/>
        <v>Hunter Wohler</v>
      </c>
      <c r="F2223" s="62">
        <f t="shared" ref="F2223:G2223" si="4445">IF(isblank(F$1),,IF(isblank($A2223),,IFERROR(vlookup($A2223,indirect("'TVC-"&amp;text(month(F$1),"00")&amp;"'!$A:$D"),4,false),1)))</f>
        <v>1</v>
      </c>
      <c r="G2223" s="62">
        <f t="shared" si="4445"/>
        <v>1</v>
      </c>
      <c r="H2223" s="62">
        <f t="shared" ref="H2223:Q2223" si="4446">IF(isblank(H$1),,IFERROR(vlookup($A2223,indirect("'TVC-"&amp;text(month(H$1),"00")&amp;"'!$A:$D"),4,false),1))</f>
        <v>1</v>
      </c>
      <c r="I2223" s="62">
        <f t="shared" si="4446"/>
        <v>1</v>
      </c>
      <c r="J2223" s="62">
        <f t="shared" si="4446"/>
        <v>1</v>
      </c>
      <c r="K2223" s="62">
        <f t="shared" si="4446"/>
        <v>1</v>
      </c>
      <c r="L2223" s="62">
        <f t="shared" si="4446"/>
        <v>1</v>
      </c>
      <c r="M2223" s="62">
        <f t="shared" si="4446"/>
        <v>1</v>
      </c>
      <c r="N2223" s="62">
        <f t="shared" si="4446"/>
        <v>1</v>
      </c>
      <c r="O2223" s="62">
        <f t="shared" si="4446"/>
        <v>1</v>
      </c>
      <c r="P2223" s="62" t="str">
        <f t="shared" si="4446"/>
        <v/>
      </c>
      <c r="Q2223" s="62" t="str">
        <f t="shared" si="4446"/>
        <v/>
      </c>
      <c r="R2223" s="62">
        <f t="shared" si="7"/>
        <v>0</v>
      </c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</row>
    <row r="2224" hidden="1">
      <c r="A2224" s="60">
        <f>IFERROR(__xludf.DUMMYFUNCTION("""COMPUTED_VALUE"""),17251.0)</f>
        <v>17251</v>
      </c>
      <c r="B2224" s="60" t="str">
        <f>IFERROR(__xludf.DUMMYFUNCTION("""COMPUTED_VALUE"""),"Robinson, Micah")</f>
        <v>Robinson, Micah</v>
      </c>
      <c r="C2224" s="60" t="str">
        <f>IFERROR(__xludf.DUMMYFUNCTION("""COMPUTED_VALUE"""),"CB")</f>
        <v>CB</v>
      </c>
      <c r="D2224" s="60" t="str">
        <f>IFERROR(__xludf.DUMMYFUNCTION("""COMPUTED_VALUE"""),"TEN")</f>
        <v>TEN</v>
      </c>
      <c r="E2224" s="62" t="str">
        <f t="shared" si="4"/>
        <v>Micah Robinson</v>
      </c>
      <c r="F2224" s="62">
        <f t="shared" ref="F2224:G2224" si="4447">IF(isblank(F$1),,IF(isblank($A2224),,IFERROR(vlookup($A2224,indirect("'TVC-"&amp;text(month(F$1),"00")&amp;"'!$A:$D"),4,false),1)))</f>
        <v>1</v>
      </c>
      <c r="G2224" s="62">
        <f t="shared" si="4447"/>
        <v>1</v>
      </c>
      <c r="H2224" s="62">
        <f t="shared" ref="H2224:Q2224" si="4448">IF(isblank(H$1),,IFERROR(vlookup($A2224,indirect("'TVC-"&amp;text(month(H$1),"00")&amp;"'!$A:$D"),4,false),1))</f>
        <v>1</v>
      </c>
      <c r="I2224" s="62">
        <f t="shared" si="4448"/>
        <v>1</v>
      </c>
      <c r="J2224" s="62">
        <f t="shared" si="4448"/>
        <v>1</v>
      </c>
      <c r="K2224" s="62">
        <f t="shared" si="4448"/>
        <v>1</v>
      </c>
      <c r="L2224" s="62">
        <f t="shared" si="4448"/>
        <v>1</v>
      </c>
      <c r="M2224" s="62">
        <f t="shared" si="4448"/>
        <v>1</v>
      </c>
      <c r="N2224" s="62">
        <f t="shared" si="4448"/>
        <v>1</v>
      </c>
      <c r="O2224" s="62">
        <f t="shared" si="4448"/>
        <v>1</v>
      </c>
      <c r="P2224" s="62" t="str">
        <f t="shared" si="4448"/>
        <v/>
      </c>
      <c r="Q2224" s="62" t="str">
        <f t="shared" si="4448"/>
        <v/>
      </c>
      <c r="R2224" s="62">
        <f t="shared" si="7"/>
        <v>0</v>
      </c>
      <c r="S2224" s="62"/>
      <c r="T2224" s="62"/>
      <c r="U2224" s="62"/>
      <c r="V2224" s="62"/>
      <c r="W2224" s="62"/>
      <c r="X2224" s="62"/>
      <c r="Y2224" s="62"/>
      <c r="Z2224" s="62"/>
      <c r="AA2224" s="62"/>
      <c r="AB2224" s="62"/>
      <c r="AC2224" s="62"/>
    </row>
    <row r="2225" hidden="1">
      <c r="A2225" s="60">
        <f>IFERROR(__xludf.DUMMYFUNCTION("""COMPUTED_VALUE"""),17253.0)</f>
        <v>17253</v>
      </c>
      <c r="B2225" s="60" t="str">
        <f>IFERROR(__xludf.DUMMYFUNCTION("""COMPUTED_VALUE"""),"Lohner, Caleb")</f>
        <v>Lohner, Caleb</v>
      </c>
      <c r="C2225" s="60" t="str">
        <f>IFERROR(__xludf.DUMMYFUNCTION("""COMPUTED_VALUE"""),"TE")</f>
        <v>TE</v>
      </c>
      <c r="D2225" s="60" t="str">
        <f>IFERROR(__xludf.DUMMYFUNCTION("""COMPUTED_VALUE"""),"DEN")</f>
        <v>DEN</v>
      </c>
      <c r="E2225" s="62" t="str">
        <f t="shared" si="4"/>
        <v>Caleb Lohner</v>
      </c>
      <c r="F2225" s="62">
        <f t="shared" ref="F2225:G2225" si="4449">IF(isblank(F$1),,IF(isblank($A2225),,IFERROR(vlookup($A2225,indirect("'TVC-"&amp;text(month(F$1),"00")&amp;"'!$A:$D"),4,false),1)))</f>
        <v>1</v>
      </c>
      <c r="G2225" s="62">
        <f t="shared" si="4449"/>
        <v>1</v>
      </c>
      <c r="H2225" s="62">
        <f t="shared" ref="H2225:Q2225" si="4450">IF(isblank(H$1),,IFERROR(vlookup($A2225,indirect("'TVC-"&amp;text(month(H$1),"00")&amp;"'!$A:$D"),4,false),1))</f>
        <v>1</v>
      </c>
      <c r="I2225" s="62">
        <f t="shared" si="4450"/>
        <v>1</v>
      </c>
      <c r="J2225" s="62">
        <f t="shared" si="4450"/>
        <v>1</v>
      </c>
      <c r="K2225" s="62">
        <f t="shared" si="4450"/>
        <v>1</v>
      </c>
      <c r="L2225" s="62">
        <f t="shared" si="4450"/>
        <v>1</v>
      </c>
      <c r="M2225" s="62">
        <f t="shared" si="4450"/>
        <v>1</v>
      </c>
      <c r="N2225" s="62">
        <f t="shared" si="4450"/>
        <v>1</v>
      </c>
      <c r="O2225" s="62">
        <f t="shared" si="4450"/>
        <v>1</v>
      </c>
      <c r="P2225" s="62" t="str">
        <f t="shared" si="4450"/>
        <v/>
      </c>
      <c r="Q2225" s="62" t="str">
        <f t="shared" si="4450"/>
        <v/>
      </c>
      <c r="R2225" s="62">
        <f t="shared" si="7"/>
        <v>0</v>
      </c>
      <c r="S2225" s="62"/>
      <c r="T2225" s="62"/>
      <c r="U2225" s="62"/>
      <c r="V2225" s="62"/>
      <c r="W2225" s="62"/>
      <c r="X2225" s="62"/>
      <c r="Y2225" s="62"/>
      <c r="Z2225" s="62"/>
      <c r="AA2225" s="62"/>
      <c r="AB2225" s="62"/>
      <c r="AC2225" s="62"/>
    </row>
    <row r="2226" hidden="1">
      <c r="A2226" s="60">
        <f>IFERROR(__xludf.DUMMYFUNCTION("""COMPUTED_VALUE"""),17254.0)</f>
        <v>17254</v>
      </c>
      <c r="B2226" s="60" t="str">
        <f>IFERROR(__xludf.DUMMYFUNCTION("""COMPUTED_VALUE"""),"Mumpfield, Konata")</f>
        <v>Mumpfield, Konata</v>
      </c>
      <c r="C2226" s="60" t="str">
        <f>IFERROR(__xludf.DUMMYFUNCTION("""COMPUTED_VALUE"""),"WR")</f>
        <v>WR</v>
      </c>
      <c r="D2226" s="60" t="str">
        <f>IFERROR(__xludf.DUMMYFUNCTION("""COMPUTED_VALUE"""),"LAR")</f>
        <v>LAR</v>
      </c>
      <c r="E2226" s="62" t="str">
        <f t="shared" si="4"/>
        <v>Konata Mumpfield</v>
      </c>
      <c r="F2226" s="62">
        <f t="shared" ref="F2226:G2226" si="4451">IF(isblank(F$1),,IF(isblank($A2226),,IFERROR(vlookup($A2226,indirect("'TVC-"&amp;text(month(F$1),"00")&amp;"'!$A:$D"),4,false),1)))</f>
        <v>1175</v>
      </c>
      <c r="G2226" s="62">
        <f t="shared" si="4451"/>
        <v>1447</v>
      </c>
      <c r="H2226" s="62">
        <f t="shared" ref="H2226:Q2226" si="4452">IF(isblank(H$1),,IFERROR(vlookup($A2226,indirect("'TVC-"&amp;text(month(H$1),"00")&amp;"'!$A:$D"),4,false),1))</f>
        <v>1465</v>
      </c>
      <c r="I2226" s="62">
        <f t="shared" si="4452"/>
        <v>1506</v>
      </c>
      <c r="J2226" s="62">
        <f t="shared" si="4452"/>
        <v>1435</v>
      </c>
      <c r="K2226" s="62">
        <f t="shared" si="4452"/>
        <v>1357</v>
      </c>
      <c r="L2226" s="62">
        <f t="shared" si="4452"/>
        <v>1309</v>
      </c>
      <c r="M2226" s="62">
        <f t="shared" si="4452"/>
        <v>1303</v>
      </c>
      <c r="N2226" s="62">
        <f t="shared" si="4452"/>
        <v>1268</v>
      </c>
      <c r="O2226" s="62">
        <f t="shared" si="4452"/>
        <v>1</v>
      </c>
      <c r="P2226" s="62" t="str">
        <f t="shared" si="4452"/>
        <v/>
      </c>
      <c r="Q2226" s="62" t="str">
        <f t="shared" si="4452"/>
        <v/>
      </c>
      <c r="R2226" s="62">
        <f t="shared" si="7"/>
        <v>-1267</v>
      </c>
      <c r="S2226" s="62"/>
      <c r="T2226" s="62"/>
      <c r="U2226" s="62"/>
      <c r="V2226" s="62"/>
      <c r="W2226" s="62"/>
      <c r="X2226" s="62"/>
      <c r="Y2226" s="62"/>
      <c r="Z2226" s="62"/>
      <c r="AA2226" s="62"/>
      <c r="AB2226" s="62"/>
      <c r="AC2226" s="62"/>
    </row>
    <row r="2227" hidden="1">
      <c r="A2227" s="60">
        <f>IFERROR(__xludf.DUMMYFUNCTION("""COMPUTED_VALUE"""),17255.0)</f>
        <v>17255</v>
      </c>
      <c r="B2227" s="60" t="str">
        <f>IFERROR(__xludf.DUMMYFUNCTION("""COMPUTED_VALUE"""),"Lovett, Dominic")</f>
        <v>Lovett, Dominic</v>
      </c>
      <c r="C2227" s="60" t="str">
        <f>IFERROR(__xludf.DUMMYFUNCTION("""COMPUTED_VALUE"""),"WR")</f>
        <v>WR</v>
      </c>
      <c r="D2227" s="60" t="str">
        <f>IFERROR(__xludf.DUMMYFUNCTION("""COMPUTED_VALUE"""),"DET")</f>
        <v>DET</v>
      </c>
      <c r="E2227" s="62" t="str">
        <f t="shared" si="4"/>
        <v>Dominic Lovett</v>
      </c>
      <c r="F2227" s="62">
        <f t="shared" ref="F2227:G2227" si="4453">IF(isblank(F$1),,IF(isblank($A2227),,IFERROR(vlookup($A2227,indirect("'TVC-"&amp;text(month(F$1),"00")&amp;"'!$A:$D"),4,false),1)))</f>
        <v>1</v>
      </c>
      <c r="G2227" s="62">
        <f t="shared" si="4453"/>
        <v>1</v>
      </c>
      <c r="H2227" s="62">
        <f t="shared" ref="H2227:Q2227" si="4454">IF(isblank(H$1),,IFERROR(vlookup($A2227,indirect("'TVC-"&amp;text(month(H$1),"00")&amp;"'!$A:$D"),4,false),1))</f>
        <v>1</v>
      </c>
      <c r="I2227" s="62">
        <f t="shared" si="4454"/>
        <v>1</v>
      </c>
      <c r="J2227" s="62">
        <f t="shared" si="4454"/>
        <v>1</v>
      </c>
      <c r="K2227" s="62">
        <f t="shared" si="4454"/>
        <v>1</v>
      </c>
      <c r="L2227" s="62">
        <f t="shared" si="4454"/>
        <v>1</v>
      </c>
      <c r="M2227" s="62">
        <f t="shared" si="4454"/>
        <v>1</v>
      </c>
      <c r="N2227" s="62">
        <f t="shared" si="4454"/>
        <v>1</v>
      </c>
      <c r="O2227" s="62">
        <f t="shared" si="4454"/>
        <v>1</v>
      </c>
      <c r="P2227" s="62" t="str">
        <f t="shared" si="4454"/>
        <v/>
      </c>
      <c r="Q2227" s="62" t="str">
        <f t="shared" si="4454"/>
        <v/>
      </c>
      <c r="R2227" s="62">
        <f t="shared" si="7"/>
        <v>0</v>
      </c>
      <c r="S2227" s="62"/>
      <c r="T2227" s="62"/>
      <c r="U2227" s="62"/>
      <c r="V2227" s="62"/>
      <c r="W2227" s="62"/>
      <c r="X2227" s="62"/>
      <c r="Y2227" s="62"/>
      <c r="Z2227" s="62"/>
      <c r="AA2227" s="62"/>
      <c r="AB2227" s="62"/>
      <c r="AC2227" s="62"/>
    </row>
    <row r="2228" hidden="1">
      <c r="A2228" s="60">
        <f>IFERROR(__xludf.DUMMYFUNCTION("""COMPUTED_VALUE"""),17256.0)</f>
        <v>17256</v>
      </c>
      <c r="B2228" s="60" t="str">
        <f>IFERROR(__xludf.DUMMYFUNCTION("""COMPUTED_VALUE"""),"Croskey-Merritt, Jacory")</f>
        <v>Croskey-Merritt, Jacory</v>
      </c>
      <c r="C2228" s="60" t="str">
        <f>IFERROR(__xludf.DUMMYFUNCTION("""COMPUTED_VALUE"""),"RB")</f>
        <v>RB</v>
      </c>
      <c r="D2228" s="60" t="str">
        <f>IFERROR(__xludf.DUMMYFUNCTION("""COMPUTED_VALUE"""),"WAS")</f>
        <v>WAS</v>
      </c>
      <c r="E2228" s="62" t="str">
        <f t="shared" si="4"/>
        <v>Jacory Croskey-Merritt</v>
      </c>
      <c r="F2228" s="62">
        <f t="shared" ref="F2228:G2228" si="4455">IF(isblank(F$1),,IF(isblank($A2228),,IFERROR(vlookup($A2228,indirect("'TVC-"&amp;text(month(F$1),"00")&amp;"'!$A:$D"),4,false),1)))</f>
        <v>2881</v>
      </c>
      <c r="G2228" s="62">
        <f t="shared" si="4455"/>
        <v>2891</v>
      </c>
      <c r="H2228" s="62">
        <f t="shared" ref="H2228:Q2228" si="4456">IF(isblank(H$1),,IFERROR(vlookup($A2228,indirect("'TVC-"&amp;text(month(H$1),"00")&amp;"'!$A:$D"),4,false),1))</f>
        <v>2915</v>
      </c>
      <c r="I2228" s="62">
        <f t="shared" si="4456"/>
        <v>2832</v>
      </c>
      <c r="J2228" s="62">
        <f t="shared" si="4456"/>
        <v>2899</v>
      </c>
      <c r="K2228" s="62">
        <f t="shared" si="4456"/>
        <v>2938</v>
      </c>
      <c r="L2228" s="62">
        <f t="shared" si="4456"/>
        <v>2952</v>
      </c>
      <c r="M2228" s="62">
        <f t="shared" si="4456"/>
        <v>3015</v>
      </c>
      <c r="N2228" s="62">
        <f t="shared" si="4456"/>
        <v>3181</v>
      </c>
      <c r="O2228" s="62">
        <f t="shared" si="4456"/>
        <v>1</v>
      </c>
      <c r="P2228" s="62" t="str">
        <f t="shared" si="4456"/>
        <v/>
      </c>
      <c r="Q2228" s="62" t="str">
        <f t="shared" si="4456"/>
        <v/>
      </c>
      <c r="R2228" s="62">
        <f t="shared" si="7"/>
        <v>-3180</v>
      </c>
      <c r="S2228" s="62"/>
      <c r="T2228" s="62"/>
      <c r="U2228" s="62"/>
      <c r="V2228" s="62"/>
      <c r="W2228" s="62"/>
      <c r="X2228" s="62"/>
      <c r="Y2228" s="62"/>
      <c r="Z2228" s="62"/>
      <c r="AA2228" s="62"/>
      <c r="AB2228" s="62"/>
      <c r="AC2228" s="62"/>
    </row>
    <row r="2229" hidden="1">
      <c r="A2229" s="60">
        <f>IFERROR(__xludf.DUMMYFUNCTION("""COMPUTED_VALUE"""),17257.0)</f>
        <v>17257</v>
      </c>
      <c r="B2229" s="60" t="str">
        <f>IFERROR(__xludf.DUMMYFUNCTION("""COMPUTED_VALUE"""),"Black, Korie")</f>
        <v>Black, Korie</v>
      </c>
      <c r="C2229" s="60" t="str">
        <f>IFERROR(__xludf.DUMMYFUNCTION("""COMPUTED_VALUE"""),"CB")</f>
        <v>CB</v>
      </c>
      <c r="D2229" s="60" t="str">
        <f>IFERROR(__xludf.DUMMYFUNCTION("""COMPUTED_VALUE"""),"NYG")</f>
        <v>NYG</v>
      </c>
      <c r="E2229" s="62" t="str">
        <f t="shared" si="4"/>
        <v>Korie Black</v>
      </c>
      <c r="F2229" s="62">
        <f t="shared" ref="F2229:G2229" si="4457">IF(isblank(F$1),,IF(isblank($A2229),,IFERROR(vlookup($A2229,indirect("'TVC-"&amp;text(month(F$1),"00")&amp;"'!$A:$D"),4,false),1)))</f>
        <v>1</v>
      </c>
      <c r="G2229" s="62">
        <f t="shared" si="4457"/>
        <v>1</v>
      </c>
      <c r="H2229" s="62">
        <f t="shared" ref="H2229:Q2229" si="4458">IF(isblank(H$1),,IFERROR(vlookup($A2229,indirect("'TVC-"&amp;text(month(H$1),"00")&amp;"'!$A:$D"),4,false),1))</f>
        <v>1</v>
      </c>
      <c r="I2229" s="62">
        <f t="shared" si="4458"/>
        <v>1</v>
      </c>
      <c r="J2229" s="62">
        <f t="shared" si="4458"/>
        <v>1</v>
      </c>
      <c r="K2229" s="62">
        <f t="shared" si="4458"/>
        <v>1</v>
      </c>
      <c r="L2229" s="62">
        <f t="shared" si="4458"/>
        <v>1</v>
      </c>
      <c r="M2229" s="62">
        <f t="shared" si="4458"/>
        <v>1</v>
      </c>
      <c r="N2229" s="62">
        <f t="shared" si="4458"/>
        <v>1</v>
      </c>
      <c r="O2229" s="62">
        <f t="shared" si="4458"/>
        <v>1</v>
      </c>
      <c r="P2229" s="62" t="str">
        <f t="shared" si="4458"/>
        <v/>
      </c>
      <c r="Q2229" s="62" t="str">
        <f t="shared" si="4458"/>
        <v/>
      </c>
      <c r="R2229" s="62">
        <f t="shared" si="7"/>
        <v>0</v>
      </c>
      <c r="S2229" s="62"/>
      <c r="T2229" s="62"/>
      <c r="U2229" s="62"/>
      <c r="V2229" s="62"/>
      <c r="W2229" s="62"/>
      <c r="X2229" s="62"/>
      <c r="Y2229" s="62"/>
      <c r="Z2229" s="62"/>
      <c r="AA2229" s="62"/>
      <c r="AB2229" s="62"/>
      <c r="AC2229" s="62"/>
    </row>
    <row r="2230" hidden="1">
      <c r="A2230" s="60">
        <f>IFERROR(__xludf.DUMMYFUNCTION("""COMPUTED_VALUE"""),17259.0)</f>
        <v>17259</v>
      </c>
      <c r="B2230" s="60" t="str">
        <f>IFERROR(__xludf.DUMMYFUNCTION("""COMPUTED_VALUE"""),"Matavao, Moliki")</f>
        <v>Matavao, Moliki</v>
      </c>
      <c r="C2230" s="60" t="str">
        <f>IFERROR(__xludf.DUMMYFUNCTION("""COMPUTED_VALUE"""),"TE")</f>
        <v>TE</v>
      </c>
      <c r="D2230" s="60" t="str">
        <f>IFERROR(__xludf.DUMMYFUNCTION("""COMPUTED_VALUE"""),"NOS")</f>
        <v>NOS</v>
      </c>
      <c r="E2230" s="62" t="str">
        <f t="shared" si="4"/>
        <v>Moliki Matavao</v>
      </c>
      <c r="F2230" s="62">
        <f t="shared" ref="F2230:G2230" si="4459">IF(isblank(F$1),,IF(isblank($A2230),,IFERROR(vlookup($A2230,indirect("'TVC-"&amp;text(month(F$1),"00")&amp;"'!$A:$D"),4,false),1)))</f>
        <v>1</v>
      </c>
      <c r="G2230" s="62">
        <f t="shared" si="4459"/>
        <v>1</v>
      </c>
      <c r="H2230" s="62">
        <f t="shared" ref="H2230:Q2230" si="4460">IF(isblank(H$1),,IFERROR(vlookup($A2230,indirect("'TVC-"&amp;text(month(H$1),"00")&amp;"'!$A:$D"),4,false),1))</f>
        <v>1</v>
      </c>
      <c r="I2230" s="62">
        <f t="shared" si="4460"/>
        <v>1</v>
      </c>
      <c r="J2230" s="62">
        <f t="shared" si="4460"/>
        <v>1</v>
      </c>
      <c r="K2230" s="62">
        <f t="shared" si="4460"/>
        <v>1</v>
      </c>
      <c r="L2230" s="62">
        <f t="shared" si="4460"/>
        <v>1</v>
      </c>
      <c r="M2230" s="62">
        <f t="shared" si="4460"/>
        <v>1</v>
      </c>
      <c r="N2230" s="62">
        <f t="shared" si="4460"/>
        <v>1</v>
      </c>
      <c r="O2230" s="62">
        <f t="shared" si="4460"/>
        <v>1</v>
      </c>
      <c r="P2230" s="62" t="str">
        <f t="shared" si="4460"/>
        <v/>
      </c>
      <c r="Q2230" s="62" t="str">
        <f t="shared" si="4460"/>
        <v/>
      </c>
      <c r="R2230" s="62">
        <f t="shared" si="7"/>
        <v>0</v>
      </c>
      <c r="S2230" s="62"/>
      <c r="T2230" s="62"/>
      <c r="U2230" s="62"/>
      <c r="V2230" s="62"/>
      <c r="W2230" s="62"/>
      <c r="X2230" s="62"/>
      <c r="Y2230" s="62"/>
      <c r="Z2230" s="62"/>
      <c r="AA2230" s="62"/>
      <c r="AB2230" s="62"/>
      <c r="AC2230" s="62"/>
    </row>
    <row r="2231" hidden="1">
      <c r="A2231" s="60">
        <f>IFERROR(__xludf.DUMMYFUNCTION("""COMPUTED_VALUE"""),17260.0)</f>
        <v>17260</v>
      </c>
      <c r="B2231" s="60" t="str">
        <f>IFERROR(__xludf.DUMMYFUNCTION("""COMPUTED_VALUE"""),"Bergen, Junior")</f>
        <v>Bergen, Junior</v>
      </c>
      <c r="C2231" s="60" t="str">
        <f>IFERROR(__xludf.DUMMYFUNCTION("""COMPUTED_VALUE"""),"WR")</f>
        <v>WR</v>
      </c>
      <c r="D2231" s="60" t="str">
        <f>IFERROR(__xludf.DUMMYFUNCTION("""COMPUTED_VALUE"""),"FA")</f>
        <v>FA</v>
      </c>
      <c r="E2231" s="62" t="str">
        <f t="shared" si="4"/>
        <v>Junior Bergen</v>
      </c>
      <c r="F2231" s="62">
        <f t="shared" ref="F2231:G2231" si="4461">IF(isblank(F$1),,IF(isblank($A2231),,IFERROR(vlookup($A2231,indirect("'TVC-"&amp;text(month(F$1),"00")&amp;"'!$A:$D"),4,false),1)))</f>
        <v>1</v>
      </c>
      <c r="G2231" s="62">
        <f t="shared" si="4461"/>
        <v>1</v>
      </c>
      <c r="H2231" s="62">
        <f t="shared" ref="H2231:Q2231" si="4462">IF(isblank(H$1),,IFERROR(vlookup($A2231,indirect("'TVC-"&amp;text(month(H$1),"00")&amp;"'!$A:$D"),4,false),1))</f>
        <v>1</v>
      </c>
      <c r="I2231" s="62">
        <f t="shared" si="4462"/>
        <v>1</v>
      </c>
      <c r="J2231" s="62">
        <f t="shared" si="4462"/>
        <v>1</v>
      </c>
      <c r="K2231" s="62">
        <f t="shared" si="4462"/>
        <v>1</v>
      </c>
      <c r="L2231" s="62">
        <f t="shared" si="4462"/>
        <v>1</v>
      </c>
      <c r="M2231" s="62">
        <f t="shared" si="4462"/>
        <v>1</v>
      </c>
      <c r="N2231" s="62">
        <f t="shared" si="4462"/>
        <v>1</v>
      </c>
      <c r="O2231" s="62">
        <f t="shared" si="4462"/>
        <v>1</v>
      </c>
      <c r="P2231" s="62" t="str">
        <f t="shared" si="4462"/>
        <v/>
      </c>
      <c r="Q2231" s="62" t="str">
        <f t="shared" si="4462"/>
        <v/>
      </c>
      <c r="R2231" s="62">
        <f t="shared" si="7"/>
        <v>0</v>
      </c>
      <c r="S2231" s="62"/>
      <c r="T2231" s="62"/>
      <c r="U2231" s="62"/>
      <c r="V2231" s="62"/>
      <c r="W2231" s="62"/>
      <c r="X2231" s="62"/>
      <c r="Y2231" s="62"/>
      <c r="Z2231" s="62"/>
      <c r="AA2231" s="62"/>
      <c r="AB2231" s="62"/>
      <c r="AC2231" s="62"/>
    </row>
    <row r="2232" hidden="1">
      <c r="A2232" s="60">
        <f>IFERROR(__xludf.DUMMYFUNCTION("""COMPUTED_VALUE"""),17261.0)</f>
        <v>17261</v>
      </c>
      <c r="B2232" s="60" t="str">
        <f>IFERROR(__xludf.DUMMYFUNCTION("""COMPUTED_VALUE"""),"Biggers, Zeek")</f>
        <v>Biggers, Zeek</v>
      </c>
      <c r="C2232" s="60" t="str">
        <f>IFERROR(__xludf.DUMMYFUNCTION("""COMPUTED_VALUE"""),"DT")</f>
        <v>DT</v>
      </c>
      <c r="D2232" s="60" t="str">
        <f>IFERROR(__xludf.DUMMYFUNCTION("""COMPUTED_VALUE"""),"MIA")</f>
        <v>MIA</v>
      </c>
      <c r="E2232" s="62" t="str">
        <f t="shared" si="4"/>
        <v>Zeek Biggers</v>
      </c>
      <c r="F2232" s="62">
        <f t="shared" ref="F2232:G2232" si="4463">IF(isblank(F$1),,IF(isblank($A2232),,IFERROR(vlookup($A2232,indirect("'TVC-"&amp;text(month(F$1),"00")&amp;"'!$A:$D"),4,false),1)))</f>
        <v>1</v>
      </c>
      <c r="G2232" s="62">
        <f t="shared" si="4463"/>
        <v>1</v>
      </c>
      <c r="H2232" s="62">
        <f t="shared" ref="H2232:Q2232" si="4464">IF(isblank(H$1),,IFERROR(vlookup($A2232,indirect("'TVC-"&amp;text(month(H$1),"00")&amp;"'!$A:$D"),4,false),1))</f>
        <v>1</v>
      </c>
      <c r="I2232" s="62">
        <f t="shared" si="4464"/>
        <v>1</v>
      </c>
      <c r="J2232" s="62">
        <f t="shared" si="4464"/>
        <v>1</v>
      </c>
      <c r="K2232" s="62">
        <f t="shared" si="4464"/>
        <v>1</v>
      </c>
      <c r="L2232" s="62">
        <f t="shared" si="4464"/>
        <v>1</v>
      </c>
      <c r="M2232" s="62">
        <f t="shared" si="4464"/>
        <v>1</v>
      </c>
      <c r="N2232" s="62">
        <f t="shared" si="4464"/>
        <v>1</v>
      </c>
      <c r="O2232" s="62">
        <f t="shared" si="4464"/>
        <v>1</v>
      </c>
      <c r="P2232" s="62" t="str">
        <f t="shared" si="4464"/>
        <v/>
      </c>
      <c r="Q2232" s="62" t="str">
        <f t="shared" si="4464"/>
        <v/>
      </c>
      <c r="R2232" s="62">
        <f t="shared" si="7"/>
        <v>0</v>
      </c>
      <c r="S2232" s="62"/>
      <c r="T2232" s="62"/>
      <c r="U2232" s="62"/>
      <c r="V2232" s="62"/>
      <c r="W2232" s="62"/>
      <c r="X2232" s="62"/>
      <c r="Y2232" s="62"/>
      <c r="Z2232" s="62"/>
      <c r="AA2232" s="62"/>
      <c r="AB2232" s="62"/>
      <c r="AC2232" s="62"/>
    </row>
    <row r="2233" hidden="1">
      <c r="A2233" s="60">
        <f>IFERROR(__xludf.DUMMYFUNCTION("""COMPUTED_VALUE"""),17262.0)</f>
        <v>17262</v>
      </c>
      <c r="B2233" s="60" t="str">
        <f>IFERROR(__xludf.DUMMYFUNCTION("""COMPUTED_VALUE"""),"Diggs, Fadil")</f>
        <v>Diggs, Fadil</v>
      </c>
      <c r="C2233" s="60" t="str">
        <f>IFERROR(__xludf.DUMMYFUNCTION("""COMPUTED_VALUE"""),"DE")</f>
        <v>DE</v>
      </c>
      <c r="D2233" s="60" t="str">
        <f>IFERROR(__xludf.DUMMYFUNCTION("""COMPUTED_VALUE"""),"NOS")</f>
        <v>NOS</v>
      </c>
      <c r="E2233" s="62" t="str">
        <f t="shared" si="4"/>
        <v>Fadil Diggs</v>
      </c>
      <c r="F2233" s="62">
        <f t="shared" ref="F2233:G2233" si="4465">IF(isblank(F$1),,IF(isblank($A2233),,IFERROR(vlookup($A2233,indirect("'TVC-"&amp;text(month(F$1),"00")&amp;"'!$A:$D"),4,false),1)))</f>
        <v>1</v>
      </c>
      <c r="G2233" s="62">
        <f t="shared" si="4465"/>
        <v>1</v>
      </c>
      <c r="H2233" s="62">
        <f t="shared" ref="H2233:Q2233" si="4466">IF(isblank(H$1),,IFERROR(vlookup($A2233,indirect("'TVC-"&amp;text(month(H$1),"00")&amp;"'!$A:$D"),4,false),1))</f>
        <v>1</v>
      </c>
      <c r="I2233" s="62">
        <f t="shared" si="4466"/>
        <v>1</v>
      </c>
      <c r="J2233" s="62">
        <f t="shared" si="4466"/>
        <v>1</v>
      </c>
      <c r="K2233" s="62">
        <f t="shared" si="4466"/>
        <v>1</v>
      </c>
      <c r="L2233" s="62">
        <f t="shared" si="4466"/>
        <v>1</v>
      </c>
      <c r="M2233" s="62">
        <f t="shared" si="4466"/>
        <v>1</v>
      </c>
      <c r="N2233" s="62">
        <f t="shared" si="4466"/>
        <v>1</v>
      </c>
      <c r="O2233" s="62">
        <f t="shared" si="4466"/>
        <v>1</v>
      </c>
      <c r="P2233" s="62" t="str">
        <f t="shared" si="4466"/>
        <v/>
      </c>
      <c r="Q2233" s="62" t="str">
        <f t="shared" si="4466"/>
        <v/>
      </c>
      <c r="R2233" s="62">
        <f t="shared" si="7"/>
        <v>0</v>
      </c>
      <c r="S2233" s="62"/>
      <c r="T2233" s="62"/>
      <c r="U2233" s="62"/>
      <c r="V2233" s="62"/>
      <c r="W2233" s="62"/>
      <c r="X2233" s="62"/>
      <c r="Y2233" s="62"/>
      <c r="Z2233" s="62"/>
      <c r="AA2233" s="62"/>
      <c r="AB2233" s="62"/>
      <c r="AC2233" s="62"/>
    </row>
    <row r="2234" hidden="1">
      <c r="A2234" s="60">
        <f>IFERROR(__xludf.DUMMYFUNCTION("""COMPUTED_VALUE"""),17263.0)</f>
        <v>17263</v>
      </c>
      <c r="B2234" s="60" t="str">
        <f>IFERROR(__xludf.DUMMYFUNCTION("""COMPUTED_VALUE"""),"Bridges, Trikweze")</f>
        <v>Bridges, Trikweze</v>
      </c>
      <c r="C2234" s="60" t="str">
        <f>IFERROR(__xludf.DUMMYFUNCTION("""COMPUTED_VALUE"""),"S")</f>
        <v>S</v>
      </c>
      <c r="D2234" s="60" t="str">
        <f>IFERROR(__xludf.DUMMYFUNCTION("""COMPUTED_VALUE"""),"CIN")</f>
        <v>CIN</v>
      </c>
      <c r="E2234" s="62" t="str">
        <f t="shared" si="4"/>
        <v>Trikweze Bridges</v>
      </c>
      <c r="F2234" s="62">
        <f t="shared" ref="F2234:G2234" si="4467">IF(isblank(F$1),,IF(isblank($A2234),,IFERROR(vlookup($A2234,indirect("'TVC-"&amp;text(month(F$1),"00")&amp;"'!$A:$D"),4,false),1)))</f>
        <v>1</v>
      </c>
      <c r="G2234" s="62">
        <f t="shared" si="4467"/>
        <v>1</v>
      </c>
      <c r="H2234" s="62">
        <f t="shared" ref="H2234:Q2234" si="4468">IF(isblank(H$1),,IFERROR(vlookup($A2234,indirect("'TVC-"&amp;text(month(H$1),"00")&amp;"'!$A:$D"),4,false),1))</f>
        <v>1</v>
      </c>
      <c r="I2234" s="62">
        <f t="shared" si="4468"/>
        <v>1</v>
      </c>
      <c r="J2234" s="62">
        <f t="shared" si="4468"/>
        <v>1</v>
      </c>
      <c r="K2234" s="62">
        <f t="shared" si="4468"/>
        <v>1</v>
      </c>
      <c r="L2234" s="62">
        <f t="shared" si="4468"/>
        <v>1</v>
      </c>
      <c r="M2234" s="62">
        <f t="shared" si="4468"/>
        <v>1</v>
      </c>
      <c r="N2234" s="62">
        <f t="shared" si="4468"/>
        <v>1</v>
      </c>
      <c r="O2234" s="62">
        <f t="shared" si="4468"/>
        <v>1</v>
      </c>
      <c r="P2234" s="62" t="str">
        <f t="shared" si="4468"/>
        <v/>
      </c>
      <c r="Q2234" s="62" t="str">
        <f t="shared" si="4468"/>
        <v/>
      </c>
      <c r="R2234" s="62">
        <f t="shared" si="7"/>
        <v>0</v>
      </c>
      <c r="S2234" s="62"/>
      <c r="T2234" s="62"/>
      <c r="U2234" s="62"/>
      <c r="V2234" s="62"/>
      <c r="W2234" s="62"/>
      <c r="X2234" s="62"/>
      <c r="Y2234" s="62"/>
      <c r="Z2234" s="62"/>
      <c r="AA2234" s="62"/>
      <c r="AB2234" s="62"/>
      <c r="AC2234" s="62"/>
    </row>
    <row r="2235" hidden="1">
      <c r="A2235" s="60">
        <f>IFERROR(__xludf.DUMMYFUNCTION("""COMPUTED_VALUE"""),17264.0)</f>
        <v>17264</v>
      </c>
      <c r="B2235" s="60" t="str">
        <f>IFERROR(__xludf.DUMMYFUNCTION("""COMPUTED_VALUE"""),"Minor, Kobee")</f>
        <v>Minor, Kobee</v>
      </c>
      <c r="C2235" s="60" t="str">
        <f>IFERROR(__xludf.DUMMYFUNCTION("""COMPUTED_VALUE"""),"CB")</f>
        <v>CB</v>
      </c>
      <c r="D2235" s="60" t="str">
        <f>IFERROR(__xludf.DUMMYFUNCTION("""COMPUTED_VALUE"""),"FA")</f>
        <v>FA</v>
      </c>
      <c r="E2235" s="62" t="str">
        <f t="shared" si="4"/>
        <v>Kobee Minor</v>
      </c>
      <c r="F2235" s="62">
        <f t="shared" ref="F2235:G2235" si="4469">IF(isblank(F$1),,IF(isblank($A2235),,IFERROR(vlookup($A2235,indirect("'TVC-"&amp;text(month(F$1),"00")&amp;"'!$A:$D"),4,false),1)))</f>
        <v>1</v>
      </c>
      <c r="G2235" s="62">
        <f t="shared" si="4469"/>
        <v>1</v>
      </c>
      <c r="H2235" s="62">
        <f t="shared" ref="H2235:Q2235" si="4470">IF(isblank(H$1),,IFERROR(vlookup($A2235,indirect("'TVC-"&amp;text(month(H$1),"00")&amp;"'!$A:$D"),4,false),1))</f>
        <v>1</v>
      </c>
      <c r="I2235" s="62">
        <f t="shared" si="4470"/>
        <v>1</v>
      </c>
      <c r="J2235" s="62">
        <f t="shared" si="4470"/>
        <v>1</v>
      </c>
      <c r="K2235" s="62">
        <f t="shared" si="4470"/>
        <v>1</v>
      </c>
      <c r="L2235" s="62">
        <f t="shared" si="4470"/>
        <v>1</v>
      </c>
      <c r="M2235" s="62">
        <f t="shared" si="4470"/>
        <v>1</v>
      </c>
      <c r="N2235" s="62">
        <f t="shared" si="4470"/>
        <v>1</v>
      </c>
      <c r="O2235" s="62">
        <f t="shared" si="4470"/>
        <v>1</v>
      </c>
      <c r="P2235" s="62" t="str">
        <f t="shared" si="4470"/>
        <v/>
      </c>
      <c r="Q2235" s="62" t="str">
        <f t="shared" si="4470"/>
        <v/>
      </c>
      <c r="R2235" s="62">
        <f t="shared" si="7"/>
        <v>0</v>
      </c>
      <c r="S2235" s="62"/>
      <c r="T2235" s="62"/>
      <c r="U2235" s="62"/>
      <c r="V2235" s="62"/>
      <c r="W2235" s="62"/>
      <c r="X2235" s="62"/>
      <c r="Y2235" s="62"/>
      <c r="Z2235" s="62"/>
      <c r="AA2235" s="62"/>
      <c r="AB2235" s="62"/>
      <c r="AC2235" s="62"/>
    </row>
    <row r="2236" hidden="1">
      <c r="A2236" s="60">
        <f>IFERROR(__xludf.DUMMYFUNCTION("""COMPUTED_VALUE"""),17265.0)</f>
        <v>17265</v>
      </c>
      <c r="B2236" s="60" t="str">
        <f>IFERROR(__xludf.DUMMYFUNCTION("""COMPUTED_VALUE"""),"Dolac, Shaun")</f>
        <v>Dolac, Shaun</v>
      </c>
      <c r="C2236" s="60" t="str">
        <f>IFERROR(__xludf.DUMMYFUNCTION("""COMPUTED_VALUE"""),"LB")</f>
        <v>LB</v>
      </c>
      <c r="D2236" s="60" t="str">
        <f>IFERROR(__xludf.DUMMYFUNCTION("""COMPUTED_VALUE"""),"LAR")</f>
        <v>LAR</v>
      </c>
      <c r="E2236" s="62" t="str">
        <f t="shared" si="4"/>
        <v>Shaun Dolac</v>
      </c>
      <c r="F2236" s="62">
        <f t="shared" ref="F2236:G2236" si="4471">IF(isblank(F$1),,IF(isblank($A2236),,IFERROR(vlookup($A2236,indirect("'TVC-"&amp;text(month(F$1),"00")&amp;"'!$A:$D"),4,false),1)))</f>
        <v>1</v>
      </c>
      <c r="G2236" s="62">
        <f t="shared" si="4471"/>
        <v>1</v>
      </c>
      <c r="H2236" s="62">
        <f t="shared" ref="H2236:Q2236" si="4472">IF(isblank(H$1),,IFERROR(vlookup($A2236,indirect("'TVC-"&amp;text(month(H$1),"00")&amp;"'!$A:$D"),4,false),1))</f>
        <v>1</v>
      </c>
      <c r="I2236" s="62">
        <f t="shared" si="4472"/>
        <v>1</v>
      </c>
      <c r="J2236" s="62">
        <f t="shared" si="4472"/>
        <v>1</v>
      </c>
      <c r="K2236" s="62">
        <f t="shared" si="4472"/>
        <v>1</v>
      </c>
      <c r="L2236" s="62">
        <f t="shared" si="4472"/>
        <v>1</v>
      </c>
      <c r="M2236" s="62">
        <f t="shared" si="4472"/>
        <v>1</v>
      </c>
      <c r="N2236" s="62">
        <f t="shared" si="4472"/>
        <v>1</v>
      </c>
      <c r="O2236" s="62">
        <f t="shared" si="4472"/>
        <v>1</v>
      </c>
      <c r="P2236" s="62" t="str">
        <f t="shared" si="4472"/>
        <v/>
      </c>
      <c r="Q2236" s="62" t="str">
        <f t="shared" si="4472"/>
        <v/>
      </c>
      <c r="R2236" s="62">
        <f t="shared" si="7"/>
        <v>0</v>
      </c>
      <c r="S2236" s="62"/>
      <c r="T2236" s="62"/>
      <c r="U2236" s="62"/>
      <c r="V2236" s="62"/>
      <c r="W2236" s="62"/>
      <c r="X2236" s="62"/>
      <c r="Y2236" s="62"/>
      <c r="Z2236" s="62"/>
      <c r="AA2236" s="62"/>
      <c r="AB2236" s="62"/>
      <c r="AC2236" s="62"/>
    </row>
    <row r="2237" hidden="1">
      <c r="A2237" s="60">
        <f>IFERROR(__xludf.DUMMYFUNCTION("""COMPUTED_VALUE"""),17266.0)</f>
        <v>17266</v>
      </c>
      <c r="B2237" s="60" t="str">
        <f>IFERROR(__xludf.DUMMYFUNCTION("""COMPUTED_VALUE"""),"Johnson, Montrell")</f>
        <v>Johnson, Montrell</v>
      </c>
      <c r="C2237" s="60" t="str">
        <f>IFERROR(__xludf.DUMMYFUNCTION("""COMPUTED_VALUE"""),"RB")</f>
        <v>RB</v>
      </c>
      <c r="D2237" s="60" t="str">
        <f>IFERROR(__xludf.DUMMYFUNCTION("""COMPUTED_VALUE"""),"FA")</f>
        <v>FA</v>
      </c>
      <c r="E2237" s="62" t="str">
        <f t="shared" si="4"/>
        <v>Montrell Johnson</v>
      </c>
      <c r="F2237" s="62">
        <f t="shared" ref="F2237:G2237" si="4473">IF(isblank(F$1),,IF(isblank($A2237),,IFERROR(vlookup($A2237,indirect("'TVC-"&amp;text(month(F$1),"00")&amp;"'!$A:$D"),4,false),1)))</f>
        <v>1</v>
      </c>
      <c r="G2237" s="62">
        <f t="shared" si="4473"/>
        <v>1</v>
      </c>
      <c r="H2237" s="62">
        <f t="shared" ref="H2237:Q2237" si="4474">IF(isblank(H$1),,IFERROR(vlookup($A2237,indirect("'TVC-"&amp;text(month(H$1),"00")&amp;"'!$A:$D"),4,false),1))</f>
        <v>1</v>
      </c>
      <c r="I2237" s="62">
        <f t="shared" si="4474"/>
        <v>1</v>
      </c>
      <c r="J2237" s="62">
        <f t="shared" si="4474"/>
        <v>1</v>
      </c>
      <c r="K2237" s="62">
        <f t="shared" si="4474"/>
        <v>1</v>
      </c>
      <c r="L2237" s="62">
        <f t="shared" si="4474"/>
        <v>1</v>
      </c>
      <c r="M2237" s="62">
        <f t="shared" si="4474"/>
        <v>1</v>
      </c>
      <c r="N2237" s="62">
        <f t="shared" si="4474"/>
        <v>1</v>
      </c>
      <c r="O2237" s="62">
        <f t="shared" si="4474"/>
        <v>1</v>
      </c>
      <c r="P2237" s="62" t="str">
        <f t="shared" si="4474"/>
        <v/>
      </c>
      <c r="Q2237" s="62" t="str">
        <f t="shared" si="4474"/>
        <v/>
      </c>
      <c r="R2237" s="62">
        <f t="shared" si="7"/>
        <v>0</v>
      </c>
      <c r="S2237" s="62"/>
      <c r="T2237" s="62"/>
      <c r="U2237" s="62"/>
      <c r="V2237" s="62"/>
      <c r="W2237" s="62"/>
      <c r="X2237" s="62"/>
      <c r="Y2237" s="62"/>
      <c r="Z2237" s="62"/>
      <c r="AA2237" s="62"/>
      <c r="AB2237" s="62"/>
      <c r="AC2237" s="62"/>
    </row>
    <row r="2238" hidden="1">
      <c r="A2238" s="60">
        <f>IFERROR(__xludf.DUMMYFUNCTION("""COMPUTED_VALUE"""),17267.0)</f>
        <v>17267</v>
      </c>
      <c r="B2238" s="60" t="str">
        <f>IFERROR(__xludf.DUMMYFUNCTION("""COMPUTED_VALUE"""),"Larison, Lan")</f>
        <v>Larison, Lan</v>
      </c>
      <c r="C2238" s="60" t="str">
        <f>IFERROR(__xludf.DUMMYFUNCTION("""COMPUTED_VALUE"""),"RB")</f>
        <v>RB</v>
      </c>
      <c r="D2238" s="60" t="str">
        <f>IFERROR(__xludf.DUMMYFUNCTION("""COMPUTED_VALUE"""),"NEP")</f>
        <v>NEP</v>
      </c>
      <c r="E2238" s="62" t="str">
        <f t="shared" si="4"/>
        <v>Lan Larison</v>
      </c>
      <c r="F2238" s="62">
        <f t="shared" ref="F2238:G2238" si="4475">IF(isblank(F$1),,IF(isblank($A2238),,IFERROR(vlookup($A2238,indirect("'TVC-"&amp;text(month(F$1),"00")&amp;"'!$A:$D"),4,false),1)))</f>
        <v>1</v>
      </c>
      <c r="G2238" s="62">
        <f t="shared" si="4475"/>
        <v>1</v>
      </c>
      <c r="H2238" s="62">
        <f t="shared" ref="H2238:Q2238" si="4476">IF(isblank(H$1),,IFERROR(vlookup($A2238,indirect("'TVC-"&amp;text(month(H$1),"00")&amp;"'!$A:$D"),4,false),1))</f>
        <v>1</v>
      </c>
      <c r="I2238" s="62">
        <f t="shared" si="4476"/>
        <v>1</v>
      </c>
      <c r="J2238" s="62">
        <f t="shared" si="4476"/>
        <v>1</v>
      </c>
      <c r="K2238" s="62">
        <f t="shared" si="4476"/>
        <v>1</v>
      </c>
      <c r="L2238" s="62">
        <f t="shared" si="4476"/>
        <v>1</v>
      </c>
      <c r="M2238" s="62">
        <f t="shared" si="4476"/>
        <v>1</v>
      </c>
      <c r="N2238" s="62">
        <f t="shared" si="4476"/>
        <v>1</v>
      </c>
      <c r="O2238" s="62">
        <f t="shared" si="4476"/>
        <v>1</v>
      </c>
      <c r="P2238" s="62" t="str">
        <f t="shared" si="4476"/>
        <v/>
      </c>
      <c r="Q2238" s="62" t="str">
        <f t="shared" si="4476"/>
        <v/>
      </c>
      <c r="R2238" s="62">
        <f t="shared" si="7"/>
        <v>0</v>
      </c>
      <c r="S2238" s="62"/>
      <c r="T2238" s="62"/>
      <c r="U2238" s="62"/>
      <c r="V2238" s="62"/>
      <c r="W2238" s="62"/>
      <c r="X2238" s="62"/>
      <c r="Y2238" s="62"/>
      <c r="Z2238" s="62"/>
      <c r="AA2238" s="62"/>
      <c r="AB2238" s="62"/>
      <c r="AC2238" s="62"/>
    </row>
    <row r="2239" hidden="1">
      <c r="A2239" s="60">
        <f>IFERROR(__xludf.DUMMYFUNCTION("""COMPUTED_VALUE"""),17268.0)</f>
        <v>17268</v>
      </c>
      <c r="B2239" s="60" t="str">
        <f>IFERROR(__xludf.DUMMYFUNCTION("""COMPUTED_VALUE"""),"Briningstool, Jake")</f>
        <v>Briningstool, Jake</v>
      </c>
      <c r="C2239" s="60" t="str">
        <f>IFERROR(__xludf.DUMMYFUNCTION("""COMPUTED_VALUE"""),"TE")</f>
        <v>TE</v>
      </c>
      <c r="D2239" s="60" t="str">
        <f>IFERROR(__xludf.DUMMYFUNCTION("""COMPUTED_VALUE"""),"KCC")</f>
        <v>KCC</v>
      </c>
      <c r="E2239" s="62" t="str">
        <f t="shared" si="4"/>
        <v>Jake Briningstool</v>
      </c>
      <c r="F2239" s="62">
        <f t="shared" ref="F2239:G2239" si="4477">IF(isblank(F$1),,IF(isblank($A2239),,IFERROR(vlookup($A2239,indirect("'TVC-"&amp;text(month(F$1),"00")&amp;"'!$A:$D"),4,false),1)))</f>
        <v>1</v>
      </c>
      <c r="G2239" s="62">
        <f t="shared" si="4477"/>
        <v>1</v>
      </c>
      <c r="H2239" s="62">
        <f t="shared" ref="H2239:Q2239" si="4478">IF(isblank(H$1),,IFERROR(vlookup($A2239,indirect("'TVC-"&amp;text(month(H$1),"00")&amp;"'!$A:$D"),4,false),1))</f>
        <v>1</v>
      </c>
      <c r="I2239" s="62">
        <f t="shared" si="4478"/>
        <v>1</v>
      </c>
      <c r="J2239" s="62">
        <f t="shared" si="4478"/>
        <v>1</v>
      </c>
      <c r="K2239" s="62">
        <f t="shared" si="4478"/>
        <v>1</v>
      </c>
      <c r="L2239" s="62">
        <f t="shared" si="4478"/>
        <v>1</v>
      </c>
      <c r="M2239" s="62">
        <f t="shared" si="4478"/>
        <v>1</v>
      </c>
      <c r="N2239" s="62">
        <f t="shared" si="4478"/>
        <v>1</v>
      </c>
      <c r="O2239" s="62">
        <f t="shared" si="4478"/>
        <v>1</v>
      </c>
      <c r="P2239" s="62" t="str">
        <f t="shared" si="4478"/>
        <v/>
      </c>
      <c r="Q2239" s="62" t="str">
        <f t="shared" si="4478"/>
        <v/>
      </c>
      <c r="R2239" s="62">
        <f t="shared" si="7"/>
        <v>0</v>
      </c>
      <c r="S2239" s="62"/>
      <c r="T2239" s="62"/>
      <c r="U2239" s="62"/>
      <c r="V2239" s="62"/>
      <c r="W2239" s="62"/>
      <c r="X2239" s="62"/>
      <c r="Y2239" s="62"/>
      <c r="Z2239" s="62"/>
      <c r="AA2239" s="62"/>
      <c r="AB2239" s="62"/>
      <c r="AC2239" s="62"/>
    </row>
    <row r="2240" hidden="1">
      <c r="A2240" s="60">
        <f>IFERROR(__xludf.DUMMYFUNCTION("""COMPUTED_VALUE"""),17269.0)</f>
        <v>17269</v>
      </c>
      <c r="B2240" s="60" t="str">
        <f>IFERROR(__xludf.DUMMYFUNCTION("""COMPUTED_VALUE"""),"Chism, Efton")</f>
        <v>Chism, Efton</v>
      </c>
      <c r="C2240" s="60" t="str">
        <f>IFERROR(__xludf.DUMMYFUNCTION("""COMPUTED_VALUE"""),"WR")</f>
        <v>WR</v>
      </c>
      <c r="D2240" s="60" t="str">
        <f>IFERROR(__xludf.DUMMYFUNCTION("""COMPUTED_VALUE"""),"NEP")</f>
        <v>NEP</v>
      </c>
      <c r="E2240" s="62" t="str">
        <f t="shared" si="4"/>
        <v>Efton Chism</v>
      </c>
      <c r="F2240" s="62">
        <f t="shared" ref="F2240:G2240" si="4479">IF(isblank(F$1),,IF(isblank($A2240),,IFERROR(vlookup($A2240,indirect("'TVC-"&amp;text(month(F$1),"00")&amp;"'!$A:$D"),4,false),1)))</f>
        <v>1222</v>
      </c>
      <c r="G2240" s="62">
        <f t="shared" si="4479"/>
        <v>1392</v>
      </c>
      <c r="H2240" s="62">
        <f t="shared" ref="H2240:Q2240" si="4480">IF(isblank(H$1),,IFERROR(vlookup($A2240,indirect("'TVC-"&amp;text(month(H$1),"00")&amp;"'!$A:$D"),4,false),1))</f>
        <v>1441</v>
      </c>
      <c r="I2240" s="62">
        <f t="shared" si="4480"/>
        <v>1497</v>
      </c>
      <c r="J2240" s="62">
        <f t="shared" si="4480"/>
        <v>1401</v>
      </c>
      <c r="K2240" s="62">
        <f t="shared" si="4480"/>
        <v>1254</v>
      </c>
      <c r="L2240" s="62">
        <f t="shared" si="4480"/>
        <v>1192</v>
      </c>
      <c r="M2240" s="62">
        <f t="shared" si="4480"/>
        <v>1163</v>
      </c>
      <c r="N2240" s="62">
        <f t="shared" si="4480"/>
        <v>1093</v>
      </c>
      <c r="O2240" s="62">
        <f t="shared" si="4480"/>
        <v>1</v>
      </c>
      <c r="P2240" s="62" t="str">
        <f t="shared" si="4480"/>
        <v/>
      </c>
      <c r="Q2240" s="62" t="str">
        <f t="shared" si="4480"/>
        <v/>
      </c>
      <c r="R2240" s="62">
        <f t="shared" si="7"/>
        <v>-1092</v>
      </c>
      <c r="S2240" s="62"/>
      <c r="T2240" s="62"/>
      <c r="U2240" s="62"/>
      <c r="V2240" s="62"/>
      <c r="W2240" s="62"/>
      <c r="X2240" s="62"/>
      <c r="Y2240" s="62"/>
      <c r="Z2240" s="62"/>
      <c r="AA2240" s="62"/>
      <c r="AB2240" s="62"/>
      <c r="AC2240" s="62"/>
    </row>
    <row r="2241" hidden="1">
      <c r="A2241" s="60">
        <f>IFERROR(__xludf.DUMMYFUNCTION("""COMPUTED_VALUE"""),17272.0)</f>
        <v>17272</v>
      </c>
      <c r="B2241" s="60" t="str">
        <f>IFERROR(__xludf.DUMMYFUNCTION("""COMPUTED_VALUE"""),"Johnson, Amar")</f>
        <v>Johnson, Amar</v>
      </c>
      <c r="C2241" s="60" t="str">
        <f>IFERROR(__xludf.DUMMYFUNCTION("""COMPUTED_VALUE"""),"RB")</f>
        <v>RB</v>
      </c>
      <c r="D2241" s="60" t="str">
        <f>IFERROR(__xludf.DUMMYFUNCTION("""COMPUTED_VALUE"""),"LAC")</f>
        <v>LAC</v>
      </c>
      <c r="E2241" s="62" t="str">
        <f t="shared" si="4"/>
        <v>Amar Johnson</v>
      </c>
      <c r="F2241" s="62">
        <f t="shared" ref="F2241:G2241" si="4481">IF(isblank(F$1),,IF(isblank($A2241),,IFERROR(vlookup($A2241,indirect("'TVC-"&amp;text(month(F$1),"00")&amp;"'!$A:$D"),4,false),1)))</f>
        <v>1</v>
      </c>
      <c r="G2241" s="62">
        <f t="shared" si="4481"/>
        <v>1</v>
      </c>
      <c r="H2241" s="62">
        <f t="shared" ref="H2241:Q2241" si="4482">IF(isblank(H$1),,IFERROR(vlookup($A2241,indirect("'TVC-"&amp;text(month(H$1),"00")&amp;"'!$A:$D"),4,false),1))</f>
        <v>1</v>
      </c>
      <c r="I2241" s="62">
        <f t="shared" si="4482"/>
        <v>1</v>
      </c>
      <c r="J2241" s="62">
        <f t="shared" si="4482"/>
        <v>1</v>
      </c>
      <c r="K2241" s="62">
        <f t="shared" si="4482"/>
        <v>1</v>
      </c>
      <c r="L2241" s="62">
        <f t="shared" si="4482"/>
        <v>1</v>
      </c>
      <c r="M2241" s="62">
        <f t="shared" si="4482"/>
        <v>1</v>
      </c>
      <c r="N2241" s="62">
        <f t="shared" si="4482"/>
        <v>1</v>
      </c>
      <c r="O2241" s="62">
        <f t="shared" si="4482"/>
        <v>1</v>
      </c>
      <c r="P2241" s="62" t="str">
        <f t="shared" si="4482"/>
        <v/>
      </c>
      <c r="Q2241" s="62" t="str">
        <f t="shared" si="4482"/>
        <v/>
      </c>
      <c r="R2241" s="62">
        <f t="shared" si="7"/>
        <v>0</v>
      </c>
      <c r="S2241" s="62"/>
      <c r="T2241" s="62"/>
      <c r="U2241" s="62"/>
      <c r="V2241" s="62"/>
      <c r="W2241" s="62"/>
      <c r="X2241" s="62"/>
      <c r="Y2241" s="62"/>
      <c r="Z2241" s="62"/>
      <c r="AA2241" s="62"/>
      <c r="AB2241" s="62"/>
      <c r="AC2241" s="62"/>
    </row>
    <row r="2242" hidden="1">
      <c r="A2242" s="60">
        <f>IFERROR(__xludf.DUMMYFUNCTION("""COMPUTED_VALUE"""),17274.0)</f>
        <v>17274</v>
      </c>
      <c r="B2242" s="60" t="str">
        <f>IFERROR(__xludf.DUMMYFUNCTION("""COMPUTED_VALUE"""),"Kiner, Corey")</f>
        <v>Kiner, Corey</v>
      </c>
      <c r="C2242" s="60" t="str">
        <f>IFERROR(__xludf.DUMMYFUNCTION("""COMPUTED_VALUE"""),"RB")</f>
        <v>RB</v>
      </c>
      <c r="D2242" s="60" t="str">
        <f>IFERROR(__xludf.DUMMYFUNCTION("""COMPUTED_VALUE"""),"NEP")</f>
        <v>NEP</v>
      </c>
      <c r="E2242" s="62" t="str">
        <f t="shared" si="4"/>
        <v>Corey Kiner</v>
      </c>
      <c r="F2242" s="62">
        <f t="shared" ref="F2242:G2242" si="4483">IF(isblank(F$1),,IF(isblank($A2242),,IFERROR(vlookup($A2242,indirect("'TVC-"&amp;text(month(F$1),"00")&amp;"'!$A:$D"),4,false),1)))</f>
        <v>1</v>
      </c>
      <c r="G2242" s="62">
        <f t="shared" si="4483"/>
        <v>1</v>
      </c>
      <c r="H2242" s="62">
        <f t="shared" ref="H2242:Q2242" si="4484">IF(isblank(H$1),,IFERROR(vlookup($A2242,indirect("'TVC-"&amp;text(month(H$1),"00")&amp;"'!$A:$D"),4,false),1))</f>
        <v>1</v>
      </c>
      <c r="I2242" s="62">
        <f t="shared" si="4484"/>
        <v>1</v>
      </c>
      <c r="J2242" s="62">
        <f t="shared" si="4484"/>
        <v>1</v>
      </c>
      <c r="K2242" s="62">
        <f t="shared" si="4484"/>
        <v>1</v>
      </c>
      <c r="L2242" s="62">
        <f t="shared" si="4484"/>
        <v>1</v>
      </c>
      <c r="M2242" s="62">
        <f t="shared" si="4484"/>
        <v>1</v>
      </c>
      <c r="N2242" s="62">
        <f t="shared" si="4484"/>
        <v>1</v>
      </c>
      <c r="O2242" s="62">
        <f t="shared" si="4484"/>
        <v>1</v>
      </c>
      <c r="P2242" s="62" t="str">
        <f t="shared" si="4484"/>
        <v/>
      </c>
      <c r="Q2242" s="62" t="str">
        <f t="shared" si="4484"/>
        <v/>
      </c>
      <c r="R2242" s="62">
        <f t="shared" si="7"/>
        <v>0</v>
      </c>
      <c r="S2242" s="62"/>
      <c r="T2242" s="62"/>
      <c r="U2242" s="62"/>
      <c r="V2242" s="62"/>
      <c r="W2242" s="62"/>
      <c r="X2242" s="62"/>
      <c r="Y2242" s="62"/>
      <c r="Z2242" s="62"/>
      <c r="AA2242" s="62"/>
      <c r="AB2242" s="62"/>
      <c r="AC2242" s="62"/>
    </row>
    <row r="2243" hidden="1">
      <c r="A2243" s="60">
        <f>IFERROR(__xludf.DUMMYFUNCTION("""COMPUTED_VALUE"""),17275.0)</f>
        <v>17275</v>
      </c>
      <c r="B2243" s="60" t="str">
        <f>IFERROR(__xludf.DUMMYFUNCTION("""COMPUTED_VALUE"""),"Neyor, Isaiah")</f>
        <v>Neyor, Isaiah</v>
      </c>
      <c r="C2243" s="60" t="str">
        <f>IFERROR(__xludf.DUMMYFUNCTION("""COMPUTED_VALUE"""),"WR")</f>
        <v>WR</v>
      </c>
      <c r="D2243" s="60" t="str">
        <f>IFERROR(__xludf.DUMMYFUNCTION("""COMPUTED_VALUE"""),"GBP")</f>
        <v>GBP</v>
      </c>
      <c r="E2243" s="62" t="str">
        <f t="shared" si="4"/>
        <v>Isaiah Neyor</v>
      </c>
      <c r="F2243" s="62">
        <f t="shared" ref="F2243:G2243" si="4485">IF(isblank(F$1),,IF(isblank($A2243),,IFERROR(vlookup($A2243,indirect("'TVC-"&amp;text(month(F$1),"00")&amp;"'!$A:$D"),4,false),1)))</f>
        <v>1</v>
      </c>
      <c r="G2243" s="62">
        <f t="shared" si="4485"/>
        <v>1</v>
      </c>
      <c r="H2243" s="62">
        <f t="shared" ref="H2243:Q2243" si="4486">IF(isblank(H$1),,IFERROR(vlookup($A2243,indirect("'TVC-"&amp;text(month(H$1),"00")&amp;"'!$A:$D"),4,false),1))</f>
        <v>1</v>
      </c>
      <c r="I2243" s="62">
        <f t="shared" si="4486"/>
        <v>1</v>
      </c>
      <c r="J2243" s="62">
        <f t="shared" si="4486"/>
        <v>1</v>
      </c>
      <c r="K2243" s="62">
        <f t="shared" si="4486"/>
        <v>1</v>
      </c>
      <c r="L2243" s="62">
        <f t="shared" si="4486"/>
        <v>1</v>
      </c>
      <c r="M2243" s="62">
        <f t="shared" si="4486"/>
        <v>1</v>
      </c>
      <c r="N2243" s="62">
        <f t="shared" si="4486"/>
        <v>1</v>
      </c>
      <c r="O2243" s="62">
        <f t="shared" si="4486"/>
        <v>1</v>
      </c>
      <c r="P2243" s="62" t="str">
        <f t="shared" si="4486"/>
        <v/>
      </c>
      <c r="Q2243" s="62" t="str">
        <f t="shared" si="4486"/>
        <v/>
      </c>
      <c r="R2243" s="62">
        <f t="shared" si="7"/>
        <v>0</v>
      </c>
      <c r="S2243" s="62"/>
      <c r="T2243" s="62"/>
      <c r="U2243" s="62"/>
      <c r="V2243" s="62"/>
      <c r="W2243" s="62"/>
      <c r="X2243" s="62"/>
      <c r="Y2243" s="62"/>
      <c r="Z2243" s="62"/>
      <c r="AA2243" s="62"/>
      <c r="AB2243" s="62"/>
      <c r="AC2243" s="62"/>
    </row>
    <row r="2244" hidden="1">
      <c r="A2244" s="60">
        <f>IFERROR(__xludf.DUMMYFUNCTION("""COMPUTED_VALUE"""),17276.0)</f>
        <v>17276</v>
      </c>
      <c r="B2244" s="60" t="str">
        <f>IFERROR(__xludf.DUMMYFUNCTION("""COMPUTED_VALUE"""),"Armstrong, Andrew")</f>
        <v>Armstrong, Andrew</v>
      </c>
      <c r="C2244" s="60" t="str">
        <f>IFERROR(__xludf.DUMMYFUNCTION("""COMPUTED_VALUE"""),"WR")</f>
        <v>WR</v>
      </c>
      <c r="D2244" s="60" t="str">
        <f>IFERROR(__xludf.DUMMYFUNCTION("""COMPUTED_VALUE"""),"KCC")</f>
        <v>KCC</v>
      </c>
      <c r="E2244" s="62" t="str">
        <f t="shared" si="4"/>
        <v>Andrew Armstrong</v>
      </c>
      <c r="F2244" s="62">
        <f t="shared" ref="F2244:G2244" si="4487">IF(isblank(F$1),,IF(isblank($A2244),,IFERROR(vlookup($A2244,indirect("'TVC-"&amp;text(month(F$1),"00")&amp;"'!$A:$D"),4,false),1)))</f>
        <v>1</v>
      </c>
      <c r="G2244" s="62">
        <f t="shared" si="4487"/>
        <v>1</v>
      </c>
      <c r="H2244" s="62">
        <f t="shared" ref="H2244:Q2244" si="4488">IF(isblank(H$1),,IFERROR(vlookup($A2244,indirect("'TVC-"&amp;text(month(H$1),"00")&amp;"'!$A:$D"),4,false),1))</f>
        <v>1</v>
      </c>
      <c r="I2244" s="62">
        <f t="shared" si="4488"/>
        <v>1</v>
      </c>
      <c r="J2244" s="62">
        <f t="shared" si="4488"/>
        <v>1</v>
      </c>
      <c r="K2244" s="62">
        <f t="shared" si="4488"/>
        <v>1</v>
      </c>
      <c r="L2244" s="62">
        <f t="shared" si="4488"/>
        <v>1</v>
      </c>
      <c r="M2244" s="62">
        <f t="shared" si="4488"/>
        <v>1</v>
      </c>
      <c r="N2244" s="62">
        <f t="shared" si="4488"/>
        <v>1</v>
      </c>
      <c r="O2244" s="62">
        <f t="shared" si="4488"/>
        <v>1</v>
      </c>
      <c r="P2244" s="62" t="str">
        <f t="shared" si="4488"/>
        <v/>
      </c>
      <c r="Q2244" s="62" t="str">
        <f t="shared" si="4488"/>
        <v/>
      </c>
      <c r="R2244" s="62">
        <f t="shared" si="7"/>
        <v>0</v>
      </c>
      <c r="S2244" s="62"/>
      <c r="T2244" s="62"/>
      <c r="U2244" s="62"/>
      <c r="V2244" s="62"/>
      <c r="W2244" s="62"/>
      <c r="X2244" s="62"/>
      <c r="Y2244" s="62"/>
      <c r="Z2244" s="62"/>
      <c r="AA2244" s="62"/>
      <c r="AB2244" s="62"/>
      <c r="AC2244" s="62"/>
    </row>
    <row r="2245" hidden="1">
      <c r="A2245" s="60">
        <f>IFERROR(__xludf.DUMMYFUNCTION("""COMPUTED_VALUE"""),17277.0)</f>
        <v>17277</v>
      </c>
      <c r="B2245" s="60" t="str">
        <f>IFERROR(__xludf.DUMMYFUNCTION("""COMPUTED_VALUE"""),"Fitzgerald, Ryan")</f>
        <v>Fitzgerald, Ryan</v>
      </c>
      <c r="C2245" s="60" t="str">
        <f>IFERROR(__xludf.DUMMYFUNCTION("""COMPUTED_VALUE"""),"PK")</f>
        <v>PK</v>
      </c>
      <c r="D2245" s="60" t="str">
        <f>IFERROR(__xludf.DUMMYFUNCTION("""COMPUTED_VALUE"""),"CAR")</f>
        <v>CAR</v>
      </c>
      <c r="E2245" s="62" t="str">
        <f t="shared" si="4"/>
        <v>Ryan Fitzgerald</v>
      </c>
      <c r="F2245" s="62">
        <f t="shared" ref="F2245:G2245" si="4489">IF(isblank(F$1),,IF(isblank($A2245),,IFERROR(vlookup($A2245,indirect("'TVC-"&amp;text(month(F$1),"00")&amp;"'!$A:$D"),4,false),1)))</f>
        <v>1</v>
      </c>
      <c r="G2245" s="62">
        <f t="shared" si="4489"/>
        <v>1</v>
      </c>
      <c r="H2245" s="62">
        <f t="shared" ref="H2245:Q2245" si="4490">IF(isblank(H$1),,IFERROR(vlookup($A2245,indirect("'TVC-"&amp;text(month(H$1),"00")&amp;"'!$A:$D"),4,false),1))</f>
        <v>1</v>
      </c>
      <c r="I2245" s="62">
        <f t="shared" si="4490"/>
        <v>1</v>
      </c>
      <c r="J2245" s="62">
        <f t="shared" si="4490"/>
        <v>1</v>
      </c>
      <c r="K2245" s="62">
        <f t="shared" si="4490"/>
        <v>1</v>
      </c>
      <c r="L2245" s="62">
        <f t="shared" si="4490"/>
        <v>1</v>
      </c>
      <c r="M2245" s="62">
        <f t="shared" si="4490"/>
        <v>1</v>
      </c>
      <c r="N2245" s="62">
        <f t="shared" si="4490"/>
        <v>1</v>
      </c>
      <c r="O2245" s="62">
        <f t="shared" si="4490"/>
        <v>1</v>
      </c>
      <c r="P2245" s="62" t="str">
        <f t="shared" si="4490"/>
        <v/>
      </c>
      <c r="Q2245" s="62" t="str">
        <f t="shared" si="4490"/>
        <v/>
      </c>
      <c r="R2245" s="62">
        <f t="shared" si="7"/>
        <v>0</v>
      </c>
      <c r="S2245" s="62"/>
      <c r="T2245" s="62"/>
      <c r="U2245" s="62"/>
      <c r="V2245" s="62"/>
      <c r="W2245" s="62"/>
      <c r="X2245" s="62"/>
      <c r="Y2245" s="62"/>
      <c r="Z2245" s="62"/>
      <c r="AA2245" s="62"/>
      <c r="AB2245" s="62"/>
      <c r="AC2245" s="62"/>
    </row>
    <row r="2246" hidden="1">
      <c r="A2246" s="60">
        <f>IFERROR(__xludf.DUMMYFUNCTION("""COMPUTED_VALUE"""),17278.0)</f>
        <v>17278</v>
      </c>
      <c r="B2246" s="60" t="str">
        <f>IFERROR(__xludf.DUMMYFUNCTION("""COMPUTED_VALUE"""),"Owen, Coleman")</f>
        <v>Owen, Coleman</v>
      </c>
      <c r="C2246" s="60" t="str">
        <f>IFERROR(__xludf.DUMMYFUNCTION("""COMPUTED_VALUE"""),"WR")</f>
        <v>WR</v>
      </c>
      <c r="D2246" s="60" t="str">
        <f>IFERROR(__xludf.DUMMYFUNCTION("""COMPUTED_VALUE"""),"GBP")</f>
        <v>GBP</v>
      </c>
      <c r="E2246" s="62" t="str">
        <f t="shared" si="4"/>
        <v>Coleman Owen</v>
      </c>
      <c r="F2246" s="62">
        <f t="shared" ref="F2246:G2246" si="4491">IF(isblank(F$1),,IF(isblank($A2246),,IFERROR(vlookup($A2246,indirect("'TVC-"&amp;text(month(F$1),"00")&amp;"'!$A:$D"),4,false),1)))</f>
        <v>1</v>
      </c>
      <c r="G2246" s="62">
        <f t="shared" si="4491"/>
        <v>1</v>
      </c>
      <c r="H2246" s="62">
        <f t="shared" ref="H2246:Q2246" si="4492">IF(isblank(H$1),,IFERROR(vlookup($A2246,indirect("'TVC-"&amp;text(month(H$1),"00")&amp;"'!$A:$D"),4,false),1))</f>
        <v>1</v>
      </c>
      <c r="I2246" s="62">
        <f t="shared" si="4492"/>
        <v>1</v>
      </c>
      <c r="J2246" s="62">
        <f t="shared" si="4492"/>
        <v>1</v>
      </c>
      <c r="K2246" s="62">
        <f t="shared" si="4492"/>
        <v>1</v>
      </c>
      <c r="L2246" s="62">
        <f t="shared" si="4492"/>
        <v>1</v>
      </c>
      <c r="M2246" s="62">
        <f t="shared" si="4492"/>
        <v>1</v>
      </c>
      <c r="N2246" s="62">
        <f t="shared" si="4492"/>
        <v>1</v>
      </c>
      <c r="O2246" s="62">
        <f t="shared" si="4492"/>
        <v>1</v>
      </c>
      <c r="P2246" s="62" t="str">
        <f t="shared" si="4492"/>
        <v/>
      </c>
      <c r="Q2246" s="62" t="str">
        <f t="shared" si="4492"/>
        <v/>
      </c>
      <c r="R2246" s="62">
        <f t="shared" si="7"/>
        <v>0</v>
      </c>
      <c r="S2246" s="62"/>
      <c r="T2246" s="62"/>
      <c r="U2246" s="62"/>
      <c r="V2246" s="62"/>
      <c r="W2246" s="62"/>
      <c r="X2246" s="62"/>
      <c r="Y2246" s="62"/>
      <c r="Z2246" s="62"/>
      <c r="AA2246" s="62"/>
      <c r="AB2246" s="62"/>
      <c r="AC2246" s="62"/>
    </row>
    <row r="2247" hidden="1">
      <c r="A2247" s="60">
        <f>IFERROR(__xludf.DUMMYFUNCTION("""COMPUTED_VALUE"""),17281.0)</f>
        <v>17281</v>
      </c>
      <c r="B2247" s="60" t="str">
        <f>IFERROR(__xludf.DUMMYFUNCTION("""COMPUTED_VALUE"""),"Dippre, CJ")</f>
        <v>Dippre, CJ</v>
      </c>
      <c r="C2247" s="60" t="str">
        <f>IFERROR(__xludf.DUMMYFUNCTION("""COMPUTED_VALUE"""),"TE")</f>
        <v>TE</v>
      </c>
      <c r="D2247" s="60" t="str">
        <f>IFERROR(__xludf.DUMMYFUNCTION("""COMPUTED_VALUE"""),"TBB")</f>
        <v>TBB</v>
      </c>
      <c r="E2247" s="62" t="str">
        <f t="shared" si="4"/>
        <v>CJ Dippre</v>
      </c>
      <c r="F2247" s="62">
        <f t="shared" ref="F2247:G2247" si="4493">IF(isblank(F$1),,IF(isblank($A2247),,IFERROR(vlookup($A2247,indirect("'TVC-"&amp;text(month(F$1),"00")&amp;"'!$A:$D"),4,false),1)))</f>
        <v>1</v>
      </c>
      <c r="G2247" s="62">
        <f t="shared" si="4493"/>
        <v>1</v>
      </c>
      <c r="H2247" s="62">
        <f t="shared" ref="H2247:Q2247" si="4494">IF(isblank(H$1),,IFERROR(vlookup($A2247,indirect("'TVC-"&amp;text(month(H$1),"00")&amp;"'!$A:$D"),4,false),1))</f>
        <v>1</v>
      </c>
      <c r="I2247" s="62">
        <f t="shared" si="4494"/>
        <v>1</v>
      </c>
      <c r="J2247" s="62">
        <f t="shared" si="4494"/>
        <v>1</v>
      </c>
      <c r="K2247" s="62">
        <f t="shared" si="4494"/>
        <v>1</v>
      </c>
      <c r="L2247" s="62">
        <f t="shared" si="4494"/>
        <v>1</v>
      </c>
      <c r="M2247" s="62">
        <f t="shared" si="4494"/>
        <v>1</v>
      </c>
      <c r="N2247" s="62">
        <f t="shared" si="4494"/>
        <v>1</v>
      </c>
      <c r="O2247" s="62">
        <f t="shared" si="4494"/>
        <v>1</v>
      </c>
      <c r="P2247" s="62" t="str">
        <f t="shared" si="4494"/>
        <v/>
      </c>
      <c r="Q2247" s="62" t="str">
        <f t="shared" si="4494"/>
        <v/>
      </c>
      <c r="R2247" s="62">
        <f t="shared" si="7"/>
        <v>0</v>
      </c>
      <c r="S2247" s="62"/>
      <c r="T2247" s="62"/>
      <c r="U2247" s="62"/>
      <c r="V2247" s="62"/>
      <c r="W2247" s="62"/>
      <c r="X2247" s="62"/>
      <c r="Y2247" s="62"/>
      <c r="Z2247" s="62"/>
      <c r="AA2247" s="62"/>
      <c r="AB2247" s="62"/>
      <c r="AC2247" s="62"/>
    </row>
    <row r="2248">
      <c r="A2248" s="60">
        <f>IFERROR(__xludf.DUMMYFUNCTION("""COMPUTED_VALUE"""),17282.0)</f>
        <v>17282</v>
      </c>
      <c r="B2248" s="60" t="str">
        <f>IFERROR(__xludf.DUMMYFUNCTION("""COMPUTED_VALUE"""),"Brosmer, Max")</f>
        <v>Brosmer, Max</v>
      </c>
      <c r="C2248" s="60" t="str">
        <f>IFERROR(__xludf.DUMMYFUNCTION("""COMPUTED_VALUE"""),"QB")</f>
        <v>QB</v>
      </c>
      <c r="D2248" s="60" t="str">
        <f>IFERROR(__xludf.DUMMYFUNCTION("""COMPUTED_VALUE"""),"MIN")</f>
        <v>MIN</v>
      </c>
      <c r="E2248" s="62" t="str">
        <f t="shared" si="4"/>
        <v>Max Brosmer</v>
      </c>
      <c r="F2248" s="62">
        <f t="shared" ref="F2248:G2248" si="4495">IF(isblank(F$1),,IF(isblank($A2248),,IFERROR(vlookup($A2248,indirect("'TVC-"&amp;text(month(F$1),"00")&amp;"'!$A:$D"),4,false),1)))</f>
        <v>726</v>
      </c>
      <c r="G2248" s="62">
        <f t="shared" si="4495"/>
        <v>778</v>
      </c>
      <c r="H2248" s="62">
        <f t="shared" ref="H2248:Q2248" si="4496">IF(isblank(H$1),,IFERROR(vlookup($A2248,indirect("'TVC-"&amp;text(month(H$1),"00")&amp;"'!$A:$D"),4,false),1))</f>
        <v>781</v>
      </c>
      <c r="I2248" s="62">
        <f t="shared" si="4496"/>
        <v>1</v>
      </c>
      <c r="J2248" s="62">
        <f t="shared" si="4496"/>
        <v>572</v>
      </c>
      <c r="K2248" s="62">
        <f t="shared" si="4496"/>
        <v>1</v>
      </c>
      <c r="L2248" s="62">
        <f t="shared" si="4496"/>
        <v>1</v>
      </c>
      <c r="M2248" s="62">
        <f t="shared" si="4496"/>
        <v>1</v>
      </c>
      <c r="N2248" s="62">
        <f t="shared" si="4496"/>
        <v>1</v>
      </c>
      <c r="O2248" s="62">
        <f t="shared" si="4496"/>
        <v>1</v>
      </c>
      <c r="P2248" s="62" t="str">
        <f t="shared" si="4496"/>
        <v/>
      </c>
      <c r="Q2248" s="62" t="str">
        <f t="shared" si="4496"/>
        <v/>
      </c>
      <c r="R2248" s="62">
        <f t="shared" si="7"/>
        <v>0</v>
      </c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</row>
    <row r="2249" hidden="1">
      <c r="A2249" s="60">
        <f>IFERROR(__xludf.DUMMYFUNCTION("""COMPUTED_VALUE"""),17283.0)</f>
        <v>17283</v>
      </c>
      <c r="B2249" s="60" t="str">
        <f>IFERROR(__xludf.DUMMYFUNCTION("""COMPUTED_VALUE"""),"Henigan, Seth")</f>
        <v>Henigan, Seth</v>
      </c>
      <c r="C2249" s="60" t="str">
        <f>IFERROR(__xludf.DUMMYFUNCTION("""COMPUTED_VALUE"""),"QB")</f>
        <v>QB</v>
      </c>
      <c r="D2249" s="60" t="str">
        <f>IFERROR(__xludf.DUMMYFUNCTION("""COMPUTED_VALUE"""),"FA")</f>
        <v>FA</v>
      </c>
      <c r="E2249" s="62" t="str">
        <f t="shared" si="4"/>
        <v>Seth Henigan</v>
      </c>
      <c r="F2249" s="62">
        <f t="shared" ref="F2249:G2249" si="4497">IF(isblank(F$1),,IF(isblank($A2249),,IFERROR(vlookup($A2249,indirect("'TVC-"&amp;text(month(F$1),"00")&amp;"'!$A:$D"),4,false),1)))</f>
        <v>1</v>
      </c>
      <c r="G2249" s="62">
        <f t="shared" si="4497"/>
        <v>1</v>
      </c>
      <c r="H2249" s="62">
        <f t="shared" ref="H2249:Q2249" si="4498">IF(isblank(H$1),,IFERROR(vlookup($A2249,indirect("'TVC-"&amp;text(month(H$1),"00")&amp;"'!$A:$D"),4,false),1))</f>
        <v>1</v>
      </c>
      <c r="I2249" s="62">
        <f t="shared" si="4498"/>
        <v>1</v>
      </c>
      <c r="J2249" s="62">
        <f t="shared" si="4498"/>
        <v>1</v>
      </c>
      <c r="K2249" s="62">
        <f t="shared" si="4498"/>
        <v>1</v>
      </c>
      <c r="L2249" s="62">
        <f t="shared" si="4498"/>
        <v>1</v>
      </c>
      <c r="M2249" s="62">
        <f t="shared" si="4498"/>
        <v>1</v>
      </c>
      <c r="N2249" s="62">
        <f t="shared" si="4498"/>
        <v>1</v>
      </c>
      <c r="O2249" s="62">
        <f t="shared" si="4498"/>
        <v>1</v>
      </c>
      <c r="P2249" s="62" t="str">
        <f t="shared" si="4498"/>
        <v/>
      </c>
      <c r="Q2249" s="62" t="str">
        <f t="shared" si="4498"/>
        <v/>
      </c>
      <c r="R2249" s="62">
        <f t="shared" si="7"/>
        <v>0</v>
      </c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</row>
    <row r="2250" hidden="1">
      <c r="A2250" s="60">
        <f>IFERROR(__xludf.DUMMYFUNCTION("""COMPUTED_VALUE"""),17284.0)</f>
        <v>17284</v>
      </c>
      <c r="B2250" s="60" t="str">
        <f>IFERROR(__xludf.DUMMYFUNCTION("""COMPUTED_VALUE"""),"Conyers, Jalin")</f>
        <v>Conyers, Jalin</v>
      </c>
      <c r="C2250" s="60" t="str">
        <f>IFERROR(__xludf.DUMMYFUNCTION("""COMPUTED_VALUE"""),"TE")</f>
        <v>TE</v>
      </c>
      <c r="D2250" s="60" t="str">
        <f>IFERROR(__xludf.DUMMYFUNCTION("""COMPUTED_VALUE"""),"FA")</f>
        <v>FA</v>
      </c>
      <c r="E2250" s="62" t="str">
        <f t="shared" si="4"/>
        <v>Jalin Conyers</v>
      </c>
      <c r="F2250" s="62">
        <f t="shared" ref="F2250:G2250" si="4499">IF(isblank(F$1),,IF(isblank($A2250),,IFERROR(vlookup($A2250,indirect("'TVC-"&amp;text(month(F$1),"00")&amp;"'!$A:$D"),4,false),1)))</f>
        <v>1</v>
      </c>
      <c r="G2250" s="62">
        <f t="shared" si="4499"/>
        <v>1</v>
      </c>
      <c r="H2250" s="62">
        <f t="shared" ref="H2250:Q2250" si="4500">IF(isblank(H$1),,IFERROR(vlookup($A2250,indirect("'TVC-"&amp;text(month(H$1),"00")&amp;"'!$A:$D"),4,false),1))</f>
        <v>1</v>
      </c>
      <c r="I2250" s="62">
        <f t="shared" si="4500"/>
        <v>1</v>
      </c>
      <c r="J2250" s="62">
        <f t="shared" si="4500"/>
        <v>1</v>
      </c>
      <c r="K2250" s="62">
        <f t="shared" si="4500"/>
        <v>1</v>
      </c>
      <c r="L2250" s="62">
        <f t="shared" si="4500"/>
        <v>1</v>
      </c>
      <c r="M2250" s="62">
        <f t="shared" si="4500"/>
        <v>1</v>
      </c>
      <c r="N2250" s="62">
        <f t="shared" si="4500"/>
        <v>1</v>
      </c>
      <c r="O2250" s="62">
        <f t="shared" si="4500"/>
        <v>1</v>
      </c>
      <c r="P2250" s="62" t="str">
        <f t="shared" si="4500"/>
        <v/>
      </c>
      <c r="Q2250" s="62" t="str">
        <f t="shared" si="4500"/>
        <v/>
      </c>
      <c r="R2250" s="62">
        <f t="shared" si="7"/>
        <v>0</v>
      </c>
      <c r="S2250" s="62"/>
      <c r="T2250" s="62"/>
      <c r="U2250" s="62"/>
      <c r="V2250" s="62"/>
      <c r="W2250" s="62"/>
      <c r="X2250" s="62"/>
      <c r="Y2250" s="62"/>
      <c r="Z2250" s="62"/>
      <c r="AA2250" s="62"/>
      <c r="AB2250" s="62"/>
      <c r="AC2250" s="62"/>
    </row>
    <row r="2251" hidden="1">
      <c r="A2251" s="60">
        <f>IFERROR(__xludf.DUMMYFUNCTION("""COMPUTED_VALUE"""),17285.0)</f>
        <v>17285</v>
      </c>
      <c r="B2251" s="60" t="str">
        <f>IFERROR(__xludf.DUMMYFUNCTION("""COMPUTED_VALUE"""),"Yurosek, Ben")</f>
        <v>Yurosek, Ben</v>
      </c>
      <c r="C2251" s="60" t="str">
        <f>IFERROR(__xludf.DUMMYFUNCTION("""COMPUTED_VALUE"""),"TE")</f>
        <v>TE</v>
      </c>
      <c r="D2251" s="60" t="str">
        <f>IFERROR(__xludf.DUMMYFUNCTION("""COMPUTED_VALUE"""),"MIN")</f>
        <v>MIN</v>
      </c>
      <c r="E2251" s="62" t="str">
        <f t="shared" si="4"/>
        <v>Ben Yurosek</v>
      </c>
      <c r="F2251" s="62">
        <f t="shared" ref="F2251:G2251" si="4501">IF(isblank(F$1),,IF(isblank($A2251),,IFERROR(vlookup($A2251,indirect("'TVC-"&amp;text(month(F$1),"00")&amp;"'!$A:$D"),4,false),1)))</f>
        <v>1</v>
      </c>
      <c r="G2251" s="62">
        <f t="shared" si="4501"/>
        <v>1</v>
      </c>
      <c r="H2251" s="62">
        <f t="shared" ref="H2251:Q2251" si="4502">IF(isblank(H$1),,IFERROR(vlookup($A2251,indirect("'TVC-"&amp;text(month(H$1),"00")&amp;"'!$A:$D"),4,false),1))</f>
        <v>1</v>
      </c>
      <c r="I2251" s="62">
        <f t="shared" si="4502"/>
        <v>1</v>
      </c>
      <c r="J2251" s="62">
        <f t="shared" si="4502"/>
        <v>1</v>
      </c>
      <c r="K2251" s="62">
        <f t="shared" si="4502"/>
        <v>1</v>
      </c>
      <c r="L2251" s="62">
        <f t="shared" si="4502"/>
        <v>1</v>
      </c>
      <c r="M2251" s="62">
        <f t="shared" si="4502"/>
        <v>1</v>
      </c>
      <c r="N2251" s="62">
        <f t="shared" si="4502"/>
        <v>1</v>
      </c>
      <c r="O2251" s="62">
        <f t="shared" si="4502"/>
        <v>1</v>
      </c>
      <c r="P2251" s="62" t="str">
        <f t="shared" si="4502"/>
        <v/>
      </c>
      <c r="Q2251" s="62" t="str">
        <f t="shared" si="4502"/>
        <v/>
      </c>
      <c r="R2251" s="62">
        <f t="shared" si="7"/>
        <v>0</v>
      </c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</row>
    <row r="2252" hidden="1">
      <c r="A2252" s="60">
        <f>IFERROR(__xludf.DUMMYFUNCTION("""COMPUTED_VALUE"""),17286.0)</f>
        <v>17286</v>
      </c>
      <c r="B2252" s="60" t="str">
        <f>IFERROR(__xludf.DUMMYFUNCTION("""COMPUTED_VALUE"""),"Higgins, Jay")</f>
        <v>Higgins, Jay</v>
      </c>
      <c r="C2252" s="60" t="str">
        <f>IFERROR(__xludf.DUMMYFUNCTION("""COMPUTED_VALUE"""),"LB")</f>
        <v>LB</v>
      </c>
      <c r="D2252" s="60" t="str">
        <f>IFERROR(__xludf.DUMMYFUNCTION("""COMPUTED_VALUE"""),"BAL")</f>
        <v>BAL</v>
      </c>
      <c r="E2252" s="62" t="str">
        <f t="shared" si="4"/>
        <v>Jay Higgins</v>
      </c>
      <c r="F2252" s="62">
        <f t="shared" ref="F2252:G2252" si="4503">IF(isblank(F$1),,IF(isblank($A2252),,IFERROR(vlookup($A2252,indirect("'TVC-"&amp;text(month(F$1),"00")&amp;"'!$A:$D"),4,false),1)))</f>
        <v>1</v>
      </c>
      <c r="G2252" s="62">
        <f t="shared" si="4503"/>
        <v>1</v>
      </c>
      <c r="H2252" s="62">
        <f t="shared" ref="H2252:Q2252" si="4504">IF(isblank(H$1),,IFERROR(vlookup($A2252,indirect("'TVC-"&amp;text(month(H$1),"00")&amp;"'!$A:$D"),4,false),1))</f>
        <v>1</v>
      </c>
      <c r="I2252" s="62">
        <f t="shared" si="4504"/>
        <v>1</v>
      </c>
      <c r="J2252" s="62">
        <f t="shared" si="4504"/>
        <v>1</v>
      </c>
      <c r="K2252" s="62">
        <f t="shared" si="4504"/>
        <v>1</v>
      </c>
      <c r="L2252" s="62">
        <f t="shared" si="4504"/>
        <v>1</v>
      </c>
      <c r="M2252" s="62">
        <f t="shared" si="4504"/>
        <v>1</v>
      </c>
      <c r="N2252" s="62">
        <f t="shared" si="4504"/>
        <v>1</v>
      </c>
      <c r="O2252" s="62">
        <f t="shared" si="4504"/>
        <v>1</v>
      </c>
      <c r="P2252" s="62" t="str">
        <f t="shared" si="4504"/>
        <v/>
      </c>
      <c r="Q2252" s="62" t="str">
        <f t="shared" si="4504"/>
        <v/>
      </c>
      <c r="R2252" s="62">
        <f t="shared" si="7"/>
        <v>0</v>
      </c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</row>
    <row r="2253">
      <c r="A2253" s="60">
        <f>IFERROR(__xludf.DUMMYFUNCTION("""COMPUTED_VALUE"""),17287.0)</f>
        <v>17287</v>
      </c>
      <c r="B2253" s="60" t="str">
        <f>IFERROR(__xludf.DUMMYFUNCTION("""COMPUTED_VALUE"""),"Ivey, Jared")</f>
        <v>Ivey, Jared</v>
      </c>
      <c r="C2253" s="60" t="str">
        <f>IFERROR(__xludf.DUMMYFUNCTION("""COMPUTED_VALUE"""),"LB")</f>
        <v>LB</v>
      </c>
      <c r="D2253" s="60" t="str">
        <f>IFERROR(__xludf.DUMMYFUNCTION("""COMPUTED_VALUE"""),"ATL")</f>
        <v>ATL</v>
      </c>
      <c r="E2253" s="62" t="str">
        <f t="shared" si="4"/>
        <v>Jared Ivey</v>
      </c>
      <c r="F2253" s="62">
        <f t="shared" ref="F2253:G2253" si="4505">IF(isblank(F$1),,IF(isblank($A2253),,IFERROR(vlookup($A2253,indirect("'TVC-"&amp;text(month(F$1),"00")&amp;"'!$A:$D"),4,false),1)))</f>
        <v>1</v>
      </c>
      <c r="G2253" s="62">
        <f t="shared" si="4505"/>
        <v>1</v>
      </c>
      <c r="H2253" s="62">
        <f t="shared" ref="H2253:Q2253" si="4506">IF(isblank(H$1),,IFERROR(vlookup($A2253,indirect("'TVC-"&amp;text(month(H$1),"00")&amp;"'!$A:$D"),4,false),1))</f>
        <v>1</v>
      </c>
      <c r="I2253" s="62">
        <f t="shared" si="4506"/>
        <v>1</v>
      </c>
      <c r="J2253" s="62">
        <f t="shared" si="4506"/>
        <v>1</v>
      </c>
      <c r="K2253" s="62">
        <f t="shared" si="4506"/>
        <v>1</v>
      </c>
      <c r="L2253" s="62">
        <f t="shared" si="4506"/>
        <v>1</v>
      </c>
      <c r="M2253" s="62">
        <f t="shared" si="4506"/>
        <v>1</v>
      </c>
      <c r="N2253" s="62">
        <f t="shared" si="4506"/>
        <v>1</v>
      </c>
      <c r="O2253" s="62">
        <f t="shared" si="4506"/>
        <v>1</v>
      </c>
      <c r="P2253" s="62" t="str">
        <f t="shared" si="4506"/>
        <v/>
      </c>
      <c r="Q2253" s="62" t="str">
        <f t="shared" si="4506"/>
        <v/>
      </c>
      <c r="R2253" s="62">
        <f t="shared" si="7"/>
        <v>0</v>
      </c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</row>
    <row r="2254" hidden="1">
      <c r="A2254" s="60">
        <f>IFERROR(__xludf.DUMMYFUNCTION("""COMPUTED_VALUE"""),17289.0)</f>
        <v>17289</v>
      </c>
      <c r="B2254" s="60" t="str">
        <f>IFERROR(__xludf.DUMMYFUNCTION("""COMPUTED_VALUE"""),"Jackson, Courtney")</f>
        <v>Jackson, Courtney</v>
      </c>
      <c r="C2254" s="60" t="str">
        <f>IFERROR(__xludf.DUMMYFUNCTION("""COMPUTED_VALUE"""),"WR")</f>
        <v>WR</v>
      </c>
      <c r="D2254" s="60" t="str">
        <f>IFERROR(__xludf.DUMMYFUNCTION("""COMPUTED_VALUE"""),"FA")</f>
        <v>FA</v>
      </c>
      <c r="E2254" s="62" t="str">
        <f t="shared" si="4"/>
        <v>Courtney Jackson</v>
      </c>
      <c r="F2254" s="62">
        <f t="shared" ref="F2254:G2254" si="4507">IF(isblank(F$1),,IF(isblank($A2254),,IFERROR(vlookup($A2254,indirect("'TVC-"&amp;text(month(F$1),"00")&amp;"'!$A:$D"),4,false),1)))</f>
        <v>1</v>
      </c>
      <c r="G2254" s="62">
        <f t="shared" si="4507"/>
        <v>1</v>
      </c>
      <c r="H2254" s="62">
        <f t="shared" ref="H2254:Q2254" si="4508">IF(isblank(H$1),,IFERROR(vlookup($A2254,indirect("'TVC-"&amp;text(month(H$1),"00")&amp;"'!$A:$D"),4,false),1))</f>
        <v>1</v>
      </c>
      <c r="I2254" s="62">
        <f t="shared" si="4508"/>
        <v>1</v>
      </c>
      <c r="J2254" s="62">
        <f t="shared" si="4508"/>
        <v>1</v>
      </c>
      <c r="K2254" s="62">
        <f t="shared" si="4508"/>
        <v>1</v>
      </c>
      <c r="L2254" s="62">
        <f t="shared" si="4508"/>
        <v>1</v>
      </c>
      <c r="M2254" s="62">
        <f t="shared" si="4508"/>
        <v>1</v>
      </c>
      <c r="N2254" s="62">
        <f t="shared" si="4508"/>
        <v>1</v>
      </c>
      <c r="O2254" s="62">
        <f t="shared" si="4508"/>
        <v>1</v>
      </c>
      <c r="P2254" s="62" t="str">
        <f t="shared" si="4508"/>
        <v/>
      </c>
      <c r="Q2254" s="62" t="str">
        <f t="shared" si="4508"/>
        <v/>
      </c>
      <c r="R2254" s="62">
        <f t="shared" si="7"/>
        <v>0</v>
      </c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</row>
    <row r="2255" hidden="1">
      <c r="A2255" s="60">
        <f>IFERROR(__xludf.DUMMYFUNCTION("""COMPUTED_VALUE"""),17293.0)</f>
        <v>17293</v>
      </c>
      <c r="B2255" s="60" t="str">
        <f>IFERROR(__xludf.DUMMYFUNCTION("""COMPUTED_VALUE"""),"Pritchett, Jamaal")</f>
        <v>Pritchett, Jamaal</v>
      </c>
      <c r="C2255" s="60" t="str">
        <f>IFERROR(__xludf.DUMMYFUNCTION("""COMPUTED_VALUE"""),"WR")</f>
        <v>WR</v>
      </c>
      <c r="D2255" s="60" t="str">
        <f>IFERROR(__xludf.DUMMYFUNCTION("""COMPUTED_VALUE"""),"NYJ")</f>
        <v>NYJ</v>
      </c>
      <c r="E2255" s="62" t="str">
        <f t="shared" si="4"/>
        <v>Jamaal Pritchett</v>
      </c>
      <c r="F2255" s="62">
        <f t="shared" ref="F2255:G2255" si="4509">IF(isblank(F$1),,IF(isblank($A2255),,IFERROR(vlookup($A2255,indirect("'TVC-"&amp;text(month(F$1),"00")&amp;"'!$A:$D"),4,false),1)))</f>
        <v>1</v>
      </c>
      <c r="G2255" s="62">
        <f t="shared" si="4509"/>
        <v>1</v>
      </c>
      <c r="H2255" s="62">
        <f t="shared" ref="H2255:Q2255" si="4510">IF(isblank(H$1),,IFERROR(vlookup($A2255,indirect("'TVC-"&amp;text(month(H$1),"00")&amp;"'!$A:$D"),4,false),1))</f>
        <v>1</v>
      </c>
      <c r="I2255" s="62">
        <f t="shared" si="4510"/>
        <v>1</v>
      </c>
      <c r="J2255" s="62">
        <f t="shared" si="4510"/>
        <v>1</v>
      </c>
      <c r="K2255" s="62">
        <f t="shared" si="4510"/>
        <v>1</v>
      </c>
      <c r="L2255" s="62">
        <f t="shared" si="4510"/>
        <v>1</v>
      </c>
      <c r="M2255" s="62">
        <f t="shared" si="4510"/>
        <v>1</v>
      </c>
      <c r="N2255" s="62">
        <f t="shared" si="4510"/>
        <v>1</v>
      </c>
      <c r="O2255" s="62">
        <f t="shared" si="4510"/>
        <v>1</v>
      </c>
      <c r="P2255" s="62" t="str">
        <f t="shared" si="4510"/>
        <v/>
      </c>
      <c r="Q2255" s="62" t="str">
        <f t="shared" si="4510"/>
        <v/>
      </c>
      <c r="R2255" s="62">
        <f t="shared" si="7"/>
        <v>0</v>
      </c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</row>
    <row r="2256" hidden="1">
      <c r="A2256" s="60">
        <f>IFERROR(__xludf.DUMMYFUNCTION("""COMPUTED_VALUE"""),17295.0)</f>
        <v>17295</v>
      </c>
      <c r="B2256" s="60" t="str">
        <f>IFERROR(__xludf.DUMMYFUNCTION("""COMPUTED_VALUE"""),"Bryant, Cobee")</f>
        <v>Bryant, Cobee</v>
      </c>
      <c r="C2256" s="60" t="str">
        <f>IFERROR(__xludf.DUMMYFUNCTION("""COMPUTED_VALUE"""),"CB")</f>
        <v>CB</v>
      </c>
      <c r="D2256" s="60" t="str">
        <f>IFERROR(__xludf.DUMMYFUNCTION("""COMPUTED_VALUE"""),"ATL")</f>
        <v>ATL</v>
      </c>
      <c r="E2256" s="62" t="str">
        <f t="shared" si="4"/>
        <v>Cobee Bryant</v>
      </c>
      <c r="F2256" s="62">
        <f t="shared" ref="F2256:G2256" si="4511">IF(isblank(F$1),,IF(isblank($A2256),,IFERROR(vlookup($A2256,indirect("'TVC-"&amp;text(month(F$1),"00")&amp;"'!$A:$D"),4,false),1)))</f>
        <v>1</v>
      </c>
      <c r="G2256" s="62">
        <f t="shared" si="4511"/>
        <v>1</v>
      </c>
      <c r="H2256" s="62">
        <f t="shared" ref="H2256:Q2256" si="4512">IF(isblank(H$1),,IFERROR(vlookup($A2256,indirect("'TVC-"&amp;text(month(H$1),"00")&amp;"'!$A:$D"),4,false),1))</f>
        <v>1</v>
      </c>
      <c r="I2256" s="62">
        <f t="shared" si="4512"/>
        <v>1</v>
      </c>
      <c r="J2256" s="62">
        <f t="shared" si="4512"/>
        <v>1</v>
      </c>
      <c r="K2256" s="62">
        <f t="shared" si="4512"/>
        <v>1</v>
      </c>
      <c r="L2256" s="62">
        <f t="shared" si="4512"/>
        <v>1</v>
      </c>
      <c r="M2256" s="62">
        <f t="shared" si="4512"/>
        <v>1</v>
      </c>
      <c r="N2256" s="62">
        <f t="shared" si="4512"/>
        <v>1</v>
      </c>
      <c r="O2256" s="62">
        <f t="shared" si="4512"/>
        <v>1</v>
      </c>
      <c r="P2256" s="62" t="str">
        <f t="shared" si="4512"/>
        <v/>
      </c>
      <c r="Q2256" s="62" t="str">
        <f t="shared" si="4512"/>
        <v/>
      </c>
      <c r="R2256" s="62">
        <f t="shared" si="7"/>
        <v>0</v>
      </c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</row>
    <row r="2257" hidden="1">
      <c r="A2257" s="60">
        <f>IFERROR(__xludf.DUMMYFUNCTION("""COMPUTED_VALUE"""),17298.0)</f>
        <v>17298</v>
      </c>
      <c r="B2257" s="60" t="str">
        <f>IFERROR(__xludf.DUMMYFUNCTION("""COMPUTED_VALUE"""),"Grimm, Luke")</f>
        <v>Grimm, Luke</v>
      </c>
      <c r="C2257" s="60" t="str">
        <f>IFERROR(__xludf.DUMMYFUNCTION("""COMPUTED_VALUE"""),"WR")</f>
        <v>WR</v>
      </c>
      <c r="D2257" s="60" t="str">
        <f>IFERROR(__xludf.DUMMYFUNCTION("""COMPUTED_VALUE"""),"LAC")</f>
        <v>LAC</v>
      </c>
      <c r="E2257" s="62" t="str">
        <f t="shared" si="4"/>
        <v>Luke Grimm</v>
      </c>
      <c r="F2257" s="62">
        <f t="shared" ref="F2257:G2257" si="4513">IF(isblank(F$1),,IF(isblank($A2257),,IFERROR(vlookup($A2257,indirect("'TVC-"&amp;text(month(F$1),"00")&amp;"'!$A:$D"),4,false),1)))</f>
        <v>1</v>
      </c>
      <c r="G2257" s="62">
        <f t="shared" si="4513"/>
        <v>1</v>
      </c>
      <c r="H2257" s="62">
        <f t="shared" ref="H2257:Q2257" si="4514">IF(isblank(H$1),,IFERROR(vlookup($A2257,indirect("'TVC-"&amp;text(month(H$1),"00")&amp;"'!$A:$D"),4,false),1))</f>
        <v>1</v>
      </c>
      <c r="I2257" s="62">
        <f t="shared" si="4514"/>
        <v>1</v>
      </c>
      <c r="J2257" s="62">
        <f t="shared" si="4514"/>
        <v>1</v>
      </c>
      <c r="K2257" s="62">
        <f t="shared" si="4514"/>
        <v>1</v>
      </c>
      <c r="L2257" s="62">
        <f t="shared" si="4514"/>
        <v>1</v>
      </c>
      <c r="M2257" s="62">
        <f t="shared" si="4514"/>
        <v>1</v>
      </c>
      <c r="N2257" s="62">
        <f t="shared" si="4514"/>
        <v>1</v>
      </c>
      <c r="O2257" s="62">
        <f t="shared" si="4514"/>
        <v>1</v>
      </c>
      <c r="P2257" s="62" t="str">
        <f t="shared" si="4514"/>
        <v/>
      </c>
      <c r="Q2257" s="62" t="str">
        <f t="shared" si="4514"/>
        <v/>
      </c>
      <c r="R2257" s="62">
        <f t="shared" si="7"/>
        <v>0</v>
      </c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</row>
    <row r="2258" hidden="1">
      <c r="A2258" s="60">
        <f>IFERROR(__xludf.DUMMYFUNCTION("""COMPUTED_VALUE"""),17303.0)</f>
        <v>17303</v>
      </c>
      <c r="B2258" s="60" t="str">
        <f>IFERROR(__xludf.DUMMYFUNCTION("""COMPUTED_VALUE"""),"Collins, Beaux")</f>
        <v>Collins, Beaux</v>
      </c>
      <c r="C2258" s="60" t="str">
        <f>IFERROR(__xludf.DUMMYFUNCTION("""COMPUTED_VALUE"""),"WR")</f>
        <v>WR</v>
      </c>
      <c r="D2258" s="60" t="str">
        <f>IFERROR(__xludf.DUMMYFUNCTION("""COMPUTED_VALUE"""),"ATL")</f>
        <v>ATL</v>
      </c>
      <c r="E2258" s="62" t="str">
        <f t="shared" si="4"/>
        <v>Beaux Collins</v>
      </c>
      <c r="F2258" s="62">
        <f t="shared" ref="F2258:G2258" si="4515">IF(isblank(F$1),,IF(isblank($A2258),,IFERROR(vlookup($A2258,indirect("'TVC-"&amp;text(month(F$1),"00")&amp;"'!$A:$D"),4,false),1)))</f>
        <v>1</v>
      </c>
      <c r="G2258" s="62">
        <f t="shared" si="4515"/>
        <v>1</v>
      </c>
      <c r="H2258" s="62">
        <f t="shared" ref="H2258:Q2258" si="4516">IF(isblank(H$1),,IFERROR(vlookup($A2258,indirect("'TVC-"&amp;text(month(H$1),"00")&amp;"'!$A:$D"),4,false),1))</f>
        <v>1</v>
      </c>
      <c r="I2258" s="62">
        <f t="shared" si="4516"/>
        <v>1</v>
      </c>
      <c r="J2258" s="62">
        <f t="shared" si="4516"/>
        <v>1</v>
      </c>
      <c r="K2258" s="62">
        <f t="shared" si="4516"/>
        <v>1</v>
      </c>
      <c r="L2258" s="62">
        <f t="shared" si="4516"/>
        <v>1</v>
      </c>
      <c r="M2258" s="62">
        <f t="shared" si="4516"/>
        <v>1</v>
      </c>
      <c r="N2258" s="62">
        <f t="shared" si="4516"/>
        <v>1</v>
      </c>
      <c r="O2258" s="62">
        <f t="shared" si="4516"/>
        <v>1</v>
      </c>
      <c r="P2258" s="62" t="str">
        <f t="shared" si="4516"/>
        <v/>
      </c>
      <c r="Q2258" s="62" t="str">
        <f t="shared" si="4516"/>
        <v/>
      </c>
      <c r="R2258" s="62">
        <f t="shared" si="7"/>
        <v>0</v>
      </c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</row>
    <row r="2259" hidden="1">
      <c r="A2259" s="60">
        <f>IFERROR(__xludf.DUMMYFUNCTION("""COMPUTED_VALUE"""),17305.0)</f>
        <v>17305</v>
      </c>
      <c r="B2259" s="60" t="str">
        <f>IFERROR(__xludf.DUMMYFUNCTION("""COMPUTED_VALUE"""),"Moore, Jordan")</f>
        <v>Moore, Jordan</v>
      </c>
      <c r="C2259" s="60" t="str">
        <f>IFERROR(__xludf.DUMMYFUNCTION("""COMPUTED_VALUE"""),"WR")</f>
        <v>WR</v>
      </c>
      <c r="D2259" s="60" t="str">
        <f>IFERROR(__xludf.DUMMYFUNCTION("""COMPUTED_VALUE"""),"CIN")</f>
        <v>CIN</v>
      </c>
      <c r="E2259" s="62" t="str">
        <f t="shared" si="4"/>
        <v>Jordan Moore</v>
      </c>
      <c r="F2259" s="62">
        <f t="shared" ref="F2259:G2259" si="4517">IF(isblank(F$1),,IF(isblank($A2259),,IFERROR(vlookup($A2259,indirect("'TVC-"&amp;text(month(F$1),"00")&amp;"'!$A:$D"),4,false),1)))</f>
        <v>1</v>
      </c>
      <c r="G2259" s="62">
        <f t="shared" si="4517"/>
        <v>1</v>
      </c>
      <c r="H2259" s="62">
        <f t="shared" ref="H2259:Q2259" si="4518">IF(isblank(H$1),,IFERROR(vlookup($A2259,indirect("'TVC-"&amp;text(month(H$1),"00")&amp;"'!$A:$D"),4,false),1))</f>
        <v>1</v>
      </c>
      <c r="I2259" s="62">
        <f t="shared" si="4518"/>
        <v>1</v>
      </c>
      <c r="J2259" s="62">
        <f t="shared" si="4518"/>
        <v>1</v>
      </c>
      <c r="K2259" s="62">
        <f t="shared" si="4518"/>
        <v>1</v>
      </c>
      <c r="L2259" s="62">
        <f t="shared" si="4518"/>
        <v>1</v>
      </c>
      <c r="M2259" s="62">
        <f t="shared" si="4518"/>
        <v>1</v>
      </c>
      <c r="N2259" s="62">
        <f t="shared" si="4518"/>
        <v>1</v>
      </c>
      <c r="O2259" s="62">
        <f t="shared" si="4518"/>
        <v>1</v>
      </c>
      <c r="P2259" s="62" t="str">
        <f t="shared" si="4518"/>
        <v/>
      </c>
      <c r="Q2259" s="62" t="str">
        <f t="shared" si="4518"/>
        <v/>
      </c>
      <c r="R2259" s="62">
        <f t="shared" si="7"/>
        <v>0</v>
      </c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</row>
    <row r="2260" hidden="1">
      <c r="A2260" s="60">
        <f>IFERROR(__xludf.DUMMYFUNCTION("""COMPUTED_VALUE"""),17307.0)</f>
        <v>17307</v>
      </c>
      <c r="B2260" s="60" t="str">
        <f>IFERROR(__xludf.DUMMYFUNCTION("""COMPUTED_VALUE"""),"Bentley, Ulysses")</f>
        <v>Bentley, Ulysses</v>
      </c>
      <c r="C2260" s="60" t="str">
        <f>IFERROR(__xludf.DUMMYFUNCTION("""COMPUTED_VALUE"""),"RB")</f>
        <v>RB</v>
      </c>
      <c r="D2260" s="60" t="str">
        <f>IFERROR(__xludf.DUMMYFUNCTION("""COMPUTED_VALUE"""),"NOS")</f>
        <v>NOS</v>
      </c>
      <c r="E2260" s="62" t="str">
        <f t="shared" si="4"/>
        <v>Ulysses Bentley</v>
      </c>
      <c r="F2260" s="62">
        <f t="shared" ref="F2260:G2260" si="4519">IF(isblank(F$1),,IF(isblank($A2260),,IFERROR(vlookup($A2260,indirect("'TVC-"&amp;text(month(F$1),"00")&amp;"'!$A:$D"),4,false),1)))</f>
        <v>1</v>
      </c>
      <c r="G2260" s="62">
        <f t="shared" si="4519"/>
        <v>1</v>
      </c>
      <c r="H2260" s="62">
        <f t="shared" ref="H2260:Q2260" si="4520">IF(isblank(H$1),,IFERROR(vlookup($A2260,indirect("'TVC-"&amp;text(month(H$1),"00")&amp;"'!$A:$D"),4,false),1))</f>
        <v>1</v>
      </c>
      <c r="I2260" s="62">
        <f t="shared" si="4520"/>
        <v>1</v>
      </c>
      <c r="J2260" s="62">
        <f t="shared" si="4520"/>
        <v>1</v>
      </c>
      <c r="K2260" s="62">
        <f t="shared" si="4520"/>
        <v>1</v>
      </c>
      <c r="L2260" s="62">
        <f t="shared" si="4520"/>
        <v>1</v>
      </c>
      <c r="M2260" s="62">
        <f t="shared" si="4520"/>
        <v>1</v>
      </c>
      <c r="N2260" s="62">
        <f t="shared" si="4520"/>
        <v>1</v>
      </c>
      <c r="O2260" s="62">
        <f t="shared" si="4520"/>
        <v>1</v>
      </c>
      <c r="P2260" s="62" t="str">
        <f t="shared" si="4520"/>
        <v/>
      </c>
      <c r="Q2260" s="62" t="str">
        <f t="shared" si="4520"/>
        <v/>
      </c>
      <c r="R2260" s="62">
        <f t="shared" si="7"/>
        <v>0</v>
      </c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</row>
    <row r="2261" hidden="1">
      <c r="A2261" s="60">
        <f>IFERROR(__xludf.DUMMYFUNCTION("""COMPUTED_VALUE"""),17308.0)</f>
        <v>17308</v>
      </c>
      <c r="B2261" s="60" t="str">
        <f>IFERROR(__xludf.DUMMYFUNCTION("""COMPUTED_VALUE"""),"Uiagalelei, DJ")</f>
        <v>Uiagalelei, DJ</v>
      </c>
      <c r="C2261" s="60" t="str">
        <f>IFERROR(__xludf.DUMMYFUNCTION("""COMPUTED_VALUE"""),"QB")</f>
        <v>QB</v>
      </c>
      <c r="D2261" s="60" t="str">
        <f>IFERROR(__xludf.DUMMYFUNCTION("""COMPUTED_VALUE"""),"LAC")</f>
        <v>LAC</v>
      </c>
      <c r="E2261" s="62" t="str">
        <f t="shared" si="4"/>
        <v>DJ Uiagalelei</v>
      </c>
      <c r="F2261" s="62">
        <f t="shared" ref="F2261:G2261" si="4521">IF(isblank(F$1),,IF(isblank($A2261),,IFERROR(vlookup($A2261,indirect("'TVC-"&amp;text(month(F$1),"00")&amp;"'!$A:$D"),4,false),1)))</f>
        <v>1</v>
      </c>
      <c r="G2261" s="62">
        <f t="shared" si="4521"/>
        <v>1</v>
      </c>
      <c r="H2261" s="62">
        <f t="shared" ref="H2261:Q2261" si="4522">IF(isblank(H$1),,IFERROR(vlookup($A2261,indirect("'TVC-"&amp;text(month(H$1),"00")&amp;"'!$A:$D"),4,false),1))</f>
        <v>1</v>
      </c>
      <c r="I2261" s="62">
        <f t="shared" si="4522"/>
        <v>1</v>
      </c>
      <c r="J2261" s="62">
        <f t="shared" si="4522"/>
        <v>1</v>
      </c>
      <c r="K2261" s="62">
        <f t="shared" si="4522"/>
        <v>1</v>
      </c>
      <c r="L2261" s="62">
        <f t="shared" si="4522"/>
        <v>1</v>
      </c>
      <c r="M2261" s="62">
        <f t="shared" si="4522"/>
        <v>1</v>
      </c>
      <c r="N2261" s="62">
        <f t="shared" si="4522"/>
        <v>1</v>
      </c>
      <c r="O2261" s="62">
        <f t="shared" si="4522"/>
        <v>1</v>
      </c>
      <c r="P2261" s="62" t="str">
        <f t="shared" si="4522"/>
        <v/>
      </c>
      <c r="Q2261" s="62" t="str">
        <f t="shared" si="4522"/>
        <v/>
      </c>
      <c r="R2261" s="62">
        <f t="shared" si="7"/>
        <v>0</v>
      </c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</row>
    <row r="2262" hidden="1">
      <c r="A2262" s="60">
        <f>IFERROR(__xludf.DUMMYFUNCTION("""COMPUTED_VALUE"""),17309.0)</f>
        <v>17309</v>
      </c>
      <c r="B2262" s="60" t="str">
        <f>IFERROR(__xludf.DUMMYFUNCTION("""COMPUTED_VALUE"""),"Davis, Joaquin")</f>
        <v>Davis, Joaquin</v>
      </c>
      <c r="C2262" s="60" t="str">
        <f>IFERROR(__xludf.DUMMYFUNCTION("""COMPUTED_VALUE"""),"WR")</f>
        <v>WR</v>
      </c>
      <c r="D2262" s="60" t="str">
        <f>IFERROR(__xludf.DUMMYFUNCTION("""COMPUTED_VALUE"""),"FA")</f>
        <v>FA</v>
      </c>
      <c r="E2262" s="62" t="str">
        <f t="shared" si="4"/>
        <v>Joaquin Davis</v>
      </c>
      <c r="F2262" s="62">
        <f t="shared" ref="F2262:G2262" si="4523">IF(isblank(F$1),,IF(isblank($A2262),,IFERROR(vlookup($A2262,indirect("'TVC-"&amp;text(month(F$1),"00")&amp;"'!$A:$D"),4,false),1)))</f>
        <v>1</v>
      </c>
      <c r="G2262" s="62">
        <f t="shared" si="4523"/>
        <v>1</v>
      </c>
      <c r="H2262" s="62">
        <f t="shared" ref="H2262:Q2262" si="4524">IF(isblank(H$1),,IFERROR(vlookup($A2262,indirect("'TVC-"&amp;text(month(H$1),"00")&amp;"'!$A:$D"),4,false),1))</f>
        <v>1</v>
      </c>
      <c r="I2262" s="62">
        <f t="shared" si="4524"/>
        <v>1</v>
      </c>
      <c r="J2262" s="62">
        <f t="shared" si="4524"/>
        <v>1</v>
      </c>
      <c r="K2262" s="62">
        <f t="shared" si="4524"/>
        <v>1</v>
      </c>
      <c r="L2262" s="62">
        <f t="shared" si="4524"/>
        <v>1</v>
      </c>
      <c r="M2262" s="62">
        <f t="shared" si="4524"/>
        <v>1</v>
      </c>
      <c r="N2262" s="62">
        <f t="shared" si="4524"/>
        <v>1</v>
      </c>
      <c r="O2262" s="62">
        <f t="shared" si="4524"/>
        <v>1</v>
      </c>
      <c r="P2262" s="62" t="str">
        <f t="shared" si="4524"/>
        <v/>
      </c>
      <c r="Q2262" s="62" t="str">
        <f t="shared" si="4524"/>
        <v/>
      </c>
      <c r="R2262" s="62">
        <f t="shared" si="7"/>
        <v>0</v>
      </c>
      <c r="S2262" s="62"/>
      <c r="T2262" s="62"/>
      <c r="U2262" s="62"/>
      <c r="V2262" s="62"/>
      <c r="W2262" s="62"/>
      <c r="X2262" s="62"/>
      <c r="Y2262" s="62"/>
      <c r="Z2262" s="62"/>
      <c r="AA2262" s="62"/>
      <c r="AB2262" s="62"/>
      <c r="AC2262" s="62"/>
    </row>
    <row r="2263" hidden="1">
      <c r="A2263" s="60">
        <f>IFERROR(__xludf.DUMMYFUNCTION("""COMPUTED_VALUE"""),17312.0)</f>
        <v>17312</v>
      </c>
      <c r="B2263" s="60" t="str">
        <f>IFERROR(__xludf.DUMMYFUNCTION("""COMPUTED_VALUE"""),"Simon, Joshua")</f>
        <v>Simon, Joshua</v>
      </c>
      <c r="C2263" s="60" t="str">
        <f>IFERROR(__xludf.DUMMYFUNCTION("""COMPUTED_VALUE"""),"TE")</f>
        <v>TE</v>
      </c>
      <c r="D2263" s="60" t="str">
        <f>IFERROR(__xludf.DUMMYFUNCTION("""COMPUTED_VALUE"""),"WAS")</f>
        <v>WAS</v>
      </c>
      <c r="E2263" s="62" t="str">
        <f t="shared" si="4"/>
        <v>Joshua Simon</v>
      </c>
      <c r="F2263" s="62">
        <f t="shared" ref="F2263:G2263" si="4525">IF(isblank(F$1),,IF(isblank($A2263),,IFERROR(vlookup($A2263,indirect("'TVC-"&amp;text(month(F$1),"00")&amp;"'!$A:$D"),4,false),1)))</f>
        <v>1</v>
      </c>
      <c r="G2263" s="62">
        <f t="shared" si="4525"/>
        <v>1</v>
      </c>
      <c r="H2263" s="62">
        <f t="shared" ref="H2263:Q2263" si="4526">IF(isblank(H$1),,IFERROR(vlookup($A2263,indirect("'TVC-"&amp;text(month(H$1),"00")&amp;"'!$A:$D"),4,false),1))</f>
        <v>1</v>
      </c>
      <c r="I2263" s="62">
        <f t="shared" si="4526"/>
        <v>1</v>
      </c>
      <c r="J2263" s="62">
        <f t="shared" si="4526"/>
        <v>1</v>
      </c>
      <c r="K2263" s="62">
        <f t="shared" si="4526"/>
        <v>1</v>
      </c>
      <c r="L2263" s="62">
        <f t="shared" si="4526"/>
        <v>1</v>
      </c>
      <c r="M2263" s="62">
        <f t="shared" si="4526"/>
        <v>1</v>
      </c>
      <c r="N2263" s="62">
        <f t="shared" si="4526"/>
        <v>1</v>
      </c>
      <c r="O2263" s="62">
        <f t="shared" si="4526"/>
        <v>1</v>
      </c>
      <c r="P2263" s="62" t="str">
        <f t="shared" si="4526"/>
        <v/>
      </c>
      <c r="Q2263" s="62" t="str">
        <f t="shared" si="4526"/>
        <v/>
      </c>
      <c r="R2263" s="62">
        <f t="shared" si="7"/>
        <v>0</v>
      </c>
      <c r="S2263" s="62"/>
      <c r="T2263" s="62"/>
      <c r="U2263" s="62"/>
      <c r="V2263" s="62"/>
      <c r="W2263" s="62"/>
      <c r="X2263" s="62"/>
      <c r="Y2263" s="62"/>
      <c r="Z2263" s="62"/>
      <c r="AA2263" s="62"/>
      <c r="AB2263" s="62"/>
      <c r="AC2263" s="62"/>
    </row>
    <row r="2264" hidden="1">
      <c r="A2264" s="60">
        <f>IFERROR(__xludf.DUMMYFUNCTION("""COMPUTED_VALUE"""),17313.0)</f>
        <v>17313</v>
      </c>
      <c r="B2264" s="60" t="str">
        <f>IFERROR(__xludf.DUMMYFUNCTION("""COMPUTED_VALUE"""),"Pancol, Eli")</f>
        <v>Pancol, Eli</v>
      </c>
      <c r="C2264" s="60" t="str">
        <f>IFERROR(__xludf.DUMMYFUNCTION("""COMPUTED_VALUE"""),"WR")</f>
        <v>WR</v>
      </c>
      <c r="D2264" s="60" t="str">
        <f>IFERROR(__xludf.DUMMYFUNCTION("""COMPUTED_VALUE"""),"IND")</f>
        <v>IND</v>
      </c>
      <c r="E2264" s="62" t="str">
        <f t="shared" si="4"/>
        <v>Eli Pancol</v>
      </c>
      <c r="F2264" s="62">
        <f t="shared" ref="F2264:G2264" si="4527">IF(isblank(F$1),,IF(isblank($A2264),,IFERROR(vlookup($A2264,indirect("'TVC-"&amp;text(month(F$1),"00")&amp;"'!$A:$D"),4,false),1)))</f>
        <v>1</v>
      </c>
      <c r="G2264" s="62">
        <f t="shared" si="4527"/>
        <v>1</v>
      </c>
      <c r="H2264" s="62">
        <f t="shared" ref="H2264:Q2264" si="4528">IF(isblank(H$1),,IFERROR(vlookup($A2264,indirect("'TVC-"&amp;text(month(H$1),"00")&amp;"'!$A:$D"),4,false),1))</f>
        <v>1</v>
      </c>
      <c r="I2264" s="62">
        <f t="shared" si="4528"/>
        <v>1</v>
      </c>
      <c r="J2264" s="62">
        <f t="shared" si="4528"/>
        <v>1</v>
      </c>
      <c r="K2264" s="62">
        <f t="shared" si="4528"/>
        <v>1</v>
      </c>
      <c r="L2264" s="62">
        <f t="shared" si="4528"/>
        <v>1</v>
      </c>
      <c r="M2264" s="62">
        <f t="shared" si="4528"/>
        <v>1</v>
      </c>
      <c r="N2264" s="62">
        <f t="shared" si="4528"/>
        <v>1</v>
      </c>
      <c r="O2264" s="62">
        <f t="shared" si="4528"/>
        <v>1</v>
      </c>
      <c r="P2264" s="62" t="str">
        <f t="shared" si="4528"/>
        <v/>
      </c>
      <c r="Q2264" s="62" t="str">
        <f t="shared" si="4528"/>
        <v/>
      </c>
      <c r="R2264" s="62">
        <f t="shared" si="7"/>
        <v>0</v>
      </c>
      <c r="S2264" s="62"/>
      <c r="T2264" s="62"/>
      <c r="U2264" s="62"/>
      <c r="V2264" s="62"/>
      <c r="W2264" s="62"/>
      <c r="X2264" s="62"/>
      <c r="Y2264" s="62"/>
      <c r="Z2264" s="62"/>
      <c r="AA2264" s="62"/>
      <c r="AB2264" s="62"/>
      <c r="AC2264" s="62"/>
    </row>
    <row r="2265" hidden="1">
      <c r="A2265" s="60">
        <f>IFERROR(__xludf.DUMMYFUNCTION("""COMPUTED_VALUE"""),17314.0)</f>
        <v>17314</v>
      </c>
      <c r="B2265" s="60" t="str">
        <f>IFERROR(__xludf.DUMMYFUNCTION("""COMPUTED_VALUE"""),"Floriea, Luke")</f>
        <v>Floriea, Luke</v>
      </c>
      <c r="C2265" s="60" t="str">
        <f>IFERROR(__xludf.DUMMYFUNCTION("""COMPUTED_VALUE"""),"WR")</f>
        <v>WR</v>
      </c>
      <c r="D2265" s="60" t="str">
        <f>IFERROR(__xludf.DUMMYFUNCTION("""COMPUTED_VALUE"""),"FA")</f>
        <v>FA</v>
      </c>
      <c r="E2265" s="62" t="str">
        <f t="shared" si="4"/>
        <v>Luke Floriea</v>
      </c>
      <c r="F2265" s="62">
        <f t="shared" ref="F2265:G2265" si="4529">IF(isblank(F$1),,IF(isblank($A2265),,IFERROR(vlookup($A2265,indirect("'TVC-"&amp;text(month(F$1),"00")&amp;"'!$A:$D"),4,false),1)))</f>
        <v>1</v>
      </c>
      <c r="G2265" s="62">
        <f t="shared" si="4529"/>
        <v>1</v>
      </c>
      <c r="H2265" s="62">
        <f t="shared" ref="H2265:Q2265" si="4530">IF(isblank(H$1),,IFERROR(vlookup($A2265,indirect("'TVC-"&amp;text(month(H$1),"00")&amp;"'!$A:$D"),4,false),1))</f>
        <v>1</v>
      </c>
      <c r="I2265" s="62">
        <f t="shared" si="4530"/>
        <v>1</v>
      </c>
      <c r="J2265" s="62">
        <f t="shared" si="4530"/>
        <v>1</v>
      </c>
      <c r="K2265" s="62">
        <f t="shared" si="4530"/>
        <v>1</v>
      </c>
      <c r="L2265" s="62">
        <f t="shared" si="4530"/>
        <v>1</v>
      </c>
      <c r="M2265" s="62">
        <f t="shared" si="4530"/>
        <v>1</v>
      </c>
      <c r="N2265" s="62">
        <f t="shared" si="4530"/>
        <v>1</v>
      </c>
      <c r="O2265" s="62">
        <f t="shared" si="4530"/>
        <v>1</v>
      </c>
      <c r="P2265" s="62" t="str">
        <f t="shared" si="4530"/>
        <v/>
      </c>
      <c r="Q2265" s="62" t="str">
        <f t="shared" si="4530"/>
        <v/>
      </c>
      <c r="R2265" s="62">
        <f t="shared" si="7"/>
        <v>0</v>
      </c>
      <c r="S2265" s="62"/>
      <c r="T2265" s="62"/>
      <c r="U2265" s="62"/>
      <c r="V2265" s="62"/>
      <c r="W2265" s="62"/>
      <c r="X2265" s="62"/>
      <c r="Y2265" s="62"/>
      <c r="Z2265" s="62"/>
      <c r="AA2265" s="62"/>
      <c r="AB2265" s="62"/>
      <c r="AC2265" s="62"/>
    </row>
    <row r="2266" hidden="1">
      <c r="A2266" s="60">
        <f>IFERROR(__xludf.DUMMYFUNCTION("""COMPUTED_VALUE"""),17317.0)</f>
        <v>17317</v>
      </c>
      <c r="B2266" s="60" t="str">
        <f>IFERROR(__xludf.DUMMYFUNCTION("""COMPUTED_VALUE"""),"Castro, Sebastian")</f>
        <v>Castro, Sebastian</v>
      </c>
      <c r="C2266" s="60" t="str">
        <f>IFERROR(__xludf.DUMMYFUNCTION("""COMPUTED_VALUE"""),"S")</f>
        <v>S</v>
      </c>
      <c r="D2266" s="60" t="str">
        <f>IFERROR(__xludf.DUMMYFUNCTION("""COMPUTED_VALUE"""),"PIT")</f>
        <v>PIT</v>
      </c>
      <c r="E2266" s="62" t="str">
        <f t="shared" si="4"/>
        <v>Sebastian Castro</v>
      </c>
      <c r="F2266" s="62">
        <f t="shared" ref="F2266:G2266" si="4531">IF(isblank(F$1),,IF(isblank($A2266),,IFERROR(vlookup($A2266,indirect("'TVC-"&amp;text(month(F$1),"00")&amp;"'!$A:$D"),4,false),1)))</f>
        <v>1</v>
      </c>
      <c r="G2266" s="62">
        <f t="shared" si="4531"/>
        <v>1</v>
      </c>
      <c r="H2266" s="62">
        <f t="shared" ref="H2266:Q2266" si="4532">IF(isblank(H$1),,IFERROR(vlookup($A2266,indirect("'TVC-"&amp;text(month(H$1),"00")&amp;"'!$A:$D"),4,false),1))</f>
        <v>1</v>
      </c>
      <c r="I2266" s="62">
        <f t="shared" si="4532"/>
        <v>1</v>
      </c>
      <c r="J2266" s="62">
        <f t="shared" si="4532"/>
        <v>1</v>
      </c>
      <c r="K2266" s="62">
        <f t="shared" si="4532"/>
        <v>1</v>
      </c>
      <c r="L2266" s="62">
        <f t="shared" si="4532"/>
        <v>1</v>
      </c>
      <c r="M2266" s="62">
        <f t="shared" si="4532"/>
        <v>1</v>
      </c>
      <c r="N2266" s="62">
        <f t="shared" si="4532"/>
        <v>1</v>
      </c>
      <c r="O2266" s="62">
        <f t="shared" si="4532"/>
        <v>1</v>
      </c>
      <c r="P2266" s="62" t="str">
        <f t="shared" si="4532"/>
        <v/>
      </c>
      <c r="Q2266" s="62" t="str">
        <f t="shared" si="4532"/>
        <v/>
      </c>
      <c r="R2266" s="62">
        <f t="shared" si="7"/>
        <v>0</v>
      </c>
      <c r="S2266" s="62"/>
      <c r="T2266" s="62"/>
      <c r="U2266" s="62"/>
      <c r="V2266" s="62"/>
      <c r="W2266" s="62"/>
      <c r="X2266" s="62"/>
      <c r="Y2266" s="62"/>
      <c r="Z2266" s="62"/>
      <c r="AA2266" s="62"/>
      <c r="AB2266" s="62"/>
      <c r="AC2266" s="62"/>
    </row>
    <row r="2267" hidden="1">
      <c r="A2267" s="60">
        <f>IFERROR(__xludf.DUMMYFUNCTION("""COMPUTED_VALUE"""),17319.0)</f>
        <v>17319</v>
      </c>
      <c r="B2267" s="60" t="str">
        <f>IFERROR(__xludf.DUMMYFUNCTION("""COMPUTED_VALUE"""),"Clark, Alijah")</f>
        <v>Clark, Alijah</v>
      </c>
      <c r="C2267" s="60" t="str">
        <f>IFERROR(__xludf.DUMMYFUNCTION("""COMPUTED_VALUE"""),"S")</f>
        <v>S</v>
      </c>
      <c r="D2267" s="60" t="str">
        <f>IFERROR(__xludf.DUMMYFUNCTION("""COMPUTED_VALUE"""),"DAL")</f>
        <v>DAL</v>
      </c>
      <c r="E2267" s="62" t="str">
        <f t="shared" si="4"/>
        <v>Alijah Clark</v>
      </c>
      <c r="F2267" s="62">
        <f t="shared" ref="F2267:G2267" si="4533">IF(isblank(F$1),,IF(isblank($A2267),,IFERROR(vlookup($A2267,indirect("'TVC-"&amp;text(month(F$1),"00")&amp;"'!$A:$D"),4,false),1)))</f>
        <v>1</v>
      </c>
      <c r="G2267" s="62">
        <f t="shared" si="4533"/>
        <v>1</v>
      </c>
      <c r="H2267" s="62">
        <f t="shared" ref="H2267:Q2267" si="4534">IF(isblank(H$1),,IFERROR(vlookup($A2267,indirect("'TVC-"&amp;text(month(H$1),"00")&amp;"'!$A:$D"),4,false),1))</f>
        <v>1</v>
      </c>
      <c r="I2267" s="62">
        <f t="shared" si="4534"/>
        <v>1</v>
      </c>
      <c r="J2267" s="62">
        <f t="shared" si="4534"/>
        <v>1</v>
      </c>
      <c r="K2267" s="62">
        <f t="shared" si="4534"/>
        <v>1</v>
      </c>
      <c r="L2267" s="62">
        <f t="shared" si="4534"/>
        <v>1</v>
      </c>
      <c r="M2267" s="62">
        <f t="shared" si="4534"/>
        <v>1</v>
      </c>
      <c r="N2267" s="62">
        <f t="shared" si="4534"/>
        <v>1</v>
      </c>
      <c r="O2267" s="62">
        <f t="shared" si="4534"/>
        <v>1</v>
      </c>
      <c r="P2267" s="62" t="str">
        <f t="shared" si="4534"/>
        <v/>
      </c>
      <c r="Q2267" s="62" t="str">
        <f t="shared" si="4534"/>
        <v/>
      </c>
      <c r="R2267" s="62">
        <f t="shared" si="7"/>
        <v>0</v>
      </c>
      <c r="S2267" s="62"/>
      <c r="T2267" s="62"/>
      <c r="U2267" s="62"/>
      <c r="V2267" s="62"/>
      <c r="W2267" s="62"/>
      <c r="X2267" s="62"/>
      <c r="Y2267" s="62"/>
      <c r="Z2267" s="62"/>
      <c r="AA2267" s="62"/>
      <c r="AB2267" s="62"/>
      <c r="AC2267" s="62"/>
    </row>
    <row r="2268" hidden="1">
      <c r="A2268" s="60">
        <f>IFERROR(__xludf.DUMMYFUNCTION("""COMPUTED_VALUE"""),17321.0)</f>
        <v>17321</v>
      </c>
      <c r="B2268" s="60" t="str">
        <f>IFERROR(__xludf.DUMMYFUNCTION("""COMPUTED_VALUE"""),"Presley, Brennan")</f>
        <v>Presley, Brennan</v>
      </c>
      <c r="C2268" s="60" t="str">
        <f>IFERROR(__xludf.DUMMYFUNCTION("""COMPUTED_VALUE"""),"WR")</f>
        <v>WR</v>
      </c>
      <c r="D2268" s="60" t="str">
        <f>IFERROR(__xludf.DUMMYFUNCTION("""COMPUTED_VALUE"""),"LAR")</f>
        <v>LAR</v>
      </c>
      <c r="E2268" s="62" t="str">
        <f t="shared" si="4"/>
        <v>Brennan Presley</v>
      </c>
      <c r="F2268" s="62">
        <f t="shared" ref="F2268:G2268" si="4535">IF(isblank(F$1),,IF(isblank($A2268),,IFERROR(vlookup($A2268,indirect("'TVC-"&amp;text(month(F$1),"00")&amp;"'!$A:$D"),4,false),1)))</f>
        <v>1</v>
      </c>
      <c r="G2268" s="62">
        <f t="shared" si="4535"/>
        <v>1</v>
      </c>
      <c r="H2268" s="62">
        <f t="shared" ref="H2268:Q2268" si="4536">IF(isblank(H$1),,IFERROR(vlookup($A2268,indirect("'TVC-"&amp;text(month(H$1),"00")&amp;"'!$A:$D"),4,false),1))</f>
        <v>1</v>
      </c>
      <c r="I2268" s="62">
        <f t="shared" si="4536"/>
        <v>1</v>
      </c>
      <c r="J2268" s="62">
        <f t="shared" si="4536"/>
        <v>1</v>
      </c>
      <c r="K2268" s="62">
        <f t="shared" si="4536"/>
        <v>1</v>
      </c>
      <c r="L2268" s="62">
        <f t="shared" si="4536"/>
        <v>1</v>
      </c>
      <c r="M2268" s="62">
        <f t="shared" si="4536"/>
        <v>1</v>
      </c>
      <c r="N2268" s="62">
        <f t="shared" si="4536"/>
        <v>1</v>
      </c>
      <c r="O2268" s="62">
        <f t="shared" si="4536"/>
        <v>1</v>
      </c>
      <c r="P2268" s="62" t="str">
        <f t="shared" si="4536"/>
        <v/>
      </c>
      <c r="Q2268" s="62" t="str">
        <f t="shared" si="4536"/>
        <v/>
      </c>
      <c r="R2268" s="62">
        <f t="shared" si="7"/>
        <v>0</v>
      </c>
      <c r="S2268" s="62"/>
      <c r="T2268" s="62"/>
      <c r="U2268" s="62"/>
      <c r="V2268" s="62"/>
      <c r="W2268" s="62"/>
      <c r="X2268" s="62"/>
      <c r="Y2268" s="62"/>
      <c r="Z2268" s="62"/>
      <c r="AA2268" s="62"/>
      <c r="AB2268" s="62"/>
      <c r="AC2268" s="62"/>
    </row>
    <row r="2269" hidden="1">
      <c r="A2269" s="60">
        <f>IFERROR(__xludf.DUMMYFUNCTION("""COMPUTED_VALUE"""),17322.0)</f>
        <v>17322</v>
      </c>
      <c r="B2269" s="60" t="str">
        <f>IFERROR(__xludf.DUMMYFUNCTION("""COMPUTED_VALUE"""),"Richardson, JP")</f>
        <v>Richardson, JP</v>
      </c>
      <c r="C2269" s="60" t="str">
        <f>IFERROR(__xludf.DUMMYFUNCTION("""COMPUTED_VALUE"""),"WR")</f>
        <v>WR</v>
      </c>
      <c r="D2269" s="60" t="str">
        <f>IFERROR(__xludf.DUMMYFUNCTION("""COMPUTED_VALUE"""),"CHI")</f>
        <v>CHI</v>
      </c>
      <c r="E2269" s="62" t="str">
        <f t="shared" si="4"/>
        <v>JP Richardson</v>
      </c>
      <c r="F2269" s="62">
        <f t="shared" ref="F2269:G2269" si="4537">IF(isblank(F$1),,IF(isblank($A2269),,IFERROR(vlookup($A2269,indirect("'TVC-"&amp;text(month(F$1),"00")&amp;"'!$A:$D"),4,false),1)))</f>
        <v>1</v>
      </c>
      <c r="G2269" s="62">
        <f t="shared" si="4537"/>
        <v>1</v>
      </c>
      <c r="H2269" s="62">
        <f t="shared" ref="H2269:Q2269" si="4538">IF(isblank(H$1),,IFERROR(vlookup($A2269,indirect("'TVC-"&amp;text(month(H$1),"00")&amp;"'!$A:$D"),4,false),1))</f>
        <v>1</v>
      </c>
      <c r="I2269" s="62">
        <f t="shared" si="4538"/>
        <v>1</v>
      </c>
      <c r="J2269" s="62">
        <f t="shared" si="4538"/>
        <v>1</v>
      </c>
      <c r="K2269" s="62">
        <f t="shared" si="4538"/>
        <v>1</v>
      </c>
      <c r="L2269" s="62">
        <f t="shared" si="4538"/>
        <v>1</v>
      </c>
      <c r="M2269" s="62">
        <f t="shared" si="4538"/>
        <v>1</v>
      </c>
      <c r="N2269" s="62">
        <f t="shared" si="4538"/>
        <v>1</v>
      </c>
      <c r="O2269" s="62">
        <f t="shared" si="4538"/>
        <v>1</v>
      </c>
      <c r="P2269" s="62" t="str">
        <f t="shared" si="4538"/>
        <v/>
      </c>
      <c r="Q2269" s="62" t="str">
        <f t="shared" si="4538"/>
        <v/>
      </c>
      <c r="R2269" s="62">
        <f t="shared" si="7"/>
        <v>0</v>
      </c>
      <c r="S2269" s="62"/>
      <c r="T2269" s="62"/>
      <c r="U2269" s="62"/>
      <c r="V2269" s="62"/>
      <c r="W2269" s="62"/>
      <c r="X2269" s="62"/>
      <c r="Y2269" s="62"/>
      <c r="Z2269" s="62"/>
      <c r="AA2269" s="62"/>
      <c r="AB2269" s="62"/>
      <c r="AC2269" s="62"/>
    </row>
    <row r="2270" hidden="1">
      <c r="A2270" s="60">
        <f>IFERROR(__xludf.DUMMYFUNCTION("""COMPUTED_VALUE"""),17323.0)</f>
        <v>17323</v>
      </c>
      <c r="B2270" s="60" t="str">
        <f>IFERROR(__xludf.DUMMYFUNCTION("""COMPUTED_VALUE"""),"Barron, Justin")</f>
        <v>Barron, Justin</v>
      </c>
      <c r="C2270" s="60" t="str">
        <f>IFERROR(__xludf.DUMMYFUNCTION("""COMPUTED_VALUE"""),"LB")</f>
        <v>LB</v>
      </c>
      <c r="D2270" s="60" t="str">
        <f>IFERROR(__xludf.DUMMYFUNCTION("""COMPUTED_VALUE"""),"DAL")</f>
        <v>DAL</v>
      </c>
      <c r="E2270" s="62" t="str">
        <f t="shared" si="4"/>
        <v>Justin Barron</v>
      </c>
      <c r="F2270" s="62">
        <f t="shared" ref="F2270:G2270" si="4539">IF(isblank(F$1),,IF(isblank($A2270),,IFERROR(vlookup($A2270,indirect("'TVC-"&amp;text(month(F$1),"00")&amp;"'!$A:$D"),4,false),1)))</f>
        <v>1</v>
      </c>
      <c r="G2270" s="62">
        <f t="shared" si="4539"/>
        <v>1</v>
      </c>
      <c r="H2270" s="62">
        <f t="shared" ref="H2270:Q2270" si="4540">IF(isblank(H$1),,IFERROR(vlookup($A2270,indirect("'TVC-"&amp;text(month(H$1),"00")&amp;"'!$A:$D"),4,false),1))</f>
        <v>1</v>
      </c>
      <c r="I2270" s="62">
        <f t="shared" si="4540"/>
        <v>1</v>
      </c>
      <c r="J2270" s="62">
        <f t="shared" si="4540"/>
        <v>1</v>
      </c>
      <c r="K2270" s="62">
        <f t="shared" si="4540"/>
        <v>1</v>
      </c>
      <c r="L2270" s="62">
        <f t="shared" si="4540"/>
        <v>1</v>
      </c>
      <c r="M2270" s="62">
        <f t="shared" si="4540"/>
        <v>1</v>
      </c>
      <c r="N2270" s="62">
        <f t="shared" si="4540"/>
        <v>1</v>
      </c>
      <c r="O2270" s="62">
        <f t="shared" si="4540"/>
        <v>1</v>
      </c>
      <c r="P2270" s="62" t="str">
        <f t="shared" si="4540"/>
        <v/>
      </c>
      <c r="Q2270" s="62" t="str">
        <f t="shared" si="4540"/>
        <v/>
      </c>
      <c r="R2270" s="62">
        <f t="shared" si="7"/>
        <v>0</v>
      </c>
      <c r="S2270" s="62"/>
      <c r="T2270" s="62"/>
      <c r="U2270" s="62"/>
      <c r="V2270" s="62"/>
      <c r="W2270" s="62"/>
      <c r="X2270" s="62"/>
      <c r="Y2270" s="62"/>
      <c r="Z2270" s="62"/>
      <c r="AA2270" s="62"/>
      <c r="AB2270" s="62"/>
      <c r="AC2270" s="62"/>
    </row>
    <row r="2271" hidden="1">
      <c r="A2271" s="60">
        <f>IFERROR(__xludf.DUMMYFUNCTION("""COMPUTED_VALUE"""),17325.0)</f>
        <v>17325</v>
      </c>
      <c r="B2271" s="60" t="str">
        <f>IFERROR(__xludf.DUMMYFUNCTION("""COMPUTED_VALUE"""),"Campbell, Dalevon")</f>
        <v>Campbell, Dalevon</v>
      </c>
      <c r="C2271" s="60" t="str">
        <f>IFERROR(__xludf.DUMMYFUNCTION("""COMPUTED_VALUE"""),"WR")</f>
        <v>WR</v>
      </c>
      <c r="D2271" s="60" t="str">
        <f>IFERROR(__xludf.DUMMYFUNCTION("""COMPUTED_VALUE"""),"FA")</f>
        <v>FA</v>
      </c>
      <c r="E2271" s="62" t="str">
        <f t="shared" si="4"/>
        <v>Dalevon Campbell</v>
      </c>
      <c r="F2271" s="62">
        <f t="shared" ref="F2271:G2271" si="4541">IF(isblank(F$1),,IF(isblank($A2271),,IFERROR(vlookup($A2271,indirect("'TVC-"&amp;text(month(F$1),"00")&amp;"'!$A:$D"),4,false),1)))</f>
        <v>1</v>
      </c>
      <c r="G2271" s="62">
        <f t="shared" si="4541"/>
        <v>1</v>
      </c>
      <c r="H2271" s="62">
        <f t="shared" ref="H2271:Q2271" si="4542">IF(isblank(H$1),,IFERROR(vlookup($A2271,indirect("'TVC-"&amp;text(month(H$1),"00")&amp;"'!$A:$D"),4,false),1))</f>
        <v>1</v>
      </c>
      <c r="I2271" s="62">
        <f t="shared" si="4542"/>
        <v>1</v>
      </c>
      <c r="J2271" s="62">
        <f t="shared" si="4542"/>
        <v>1</v>
      </c>
      <c r="K2271" s="62">
        <f t="shared" si="4542"/>
        <v>1</v>
      </c>
      <c r="L2271" s="62">
        <f t="shared" si="4542"/>
        <v>1</v>
      </c>
      <c r="M2271" s="62">
        <f t="shared" si="4542"/>
        <v>1</v>
      </c>
      <c r="N2271" s="62">
        <f t="shared" si="4542"/>
        <v>1</v>
      </c>
      <c r="O2271" s="62">
        <f t="shared" si="4542"/>
        <v>1</v>
      </c>
      <c r="P2271" s="62" t="str">
        <f t="shared" si="4542"/>
        <v/>
      </c>
      <c r="Q2271" s="62" t="str">
        <f t="shared" si="4542"/>
        <v/>
      </c>
      <c r="R2271" s="62">
        <f t="shared" si="7"/>
        <v>0</v>
      </c>
      <c r="S2271" s="62"/>
      <c r="T2271" s="62"/>
      <c r="U2271" s="62"/>
      <c r="V2271" s="62"/>
      <c r="W2271" s="62"/>
      <c r="X2271" s="62"/>
      <c r="Y2271" s="62"/>
      <c r="Z2271" s="62"/>
      <c r="AA2271" s="62"/>
      <c r="AB2271" s="62"/>
      <c r="AC2271" s="62"/>
    </row>
    <row r="2272" hidden="1">
      <c r="A2272" s="60">
        <f>IFERROR(__xludf.DUMMYFUNCTION("""COMPUTED_VALUE"""),17326.0)</f>
        <v>17326</v>
      </c>
      <c r="B2272" s="60" t="str">
        <f>IFERROR(__xludf.DUMMYFUNCTION("""COMPUTED_VALUE"""),"Reed, Nikko")</f>
        <v>Reed, Nikko</v>
      </c>
      <c r="C2272" s="60" t="str">
        <f>IFERROR(__xludf.DUMMYFUNCTION("""COMPUTED_VALUE"""),"CB")</f>
        <v>CB</v>
      </c>
      <c r="D2272" s="60" t="str">
        <f>IFERROR(__xludf.DUMMYFUNCTION("""COMPUTED_VALUE"""),"NYG")</f>
        <v>NYG</v>
      </c>
      <c r="E2272" s="62" t="str">
        <f t="shared" si="4"/>
        <v>Nikko Reed</v>
      </c>
      <c r="F2272" s="62">
        <f t="shared" ref="F2272:G2272" si="4543">IF(isblank(F$1),,IF(isblank($A2272),,IFERROR(vlookup($A2272,indirect("'TVC-"&amp;text(month(F$1),"00")&amp;"'!$A:$D"),4,false),1)))</f>
        <v>1</v>
      </c>
      <c r="G2272" s="62">
        <f t="shared" si="4543"/>
        <v>1</v>
      </c>
      <c r="H2272" s="62">
        <f t="shared" ref="H2272:Q2272" si="4544">IF(isblank(H$1),,IFERROR(vlookup($A2272,indirect("'TVC-"&amp;text(month(H$1),"00")&amp;"'!$A:$D"),4,false),1))</f>
        <v>1</v>
      </c>
      <c r="I2272" s="62">
        <f t="shared" si="4544"/>
        <v>1</v>
      </c>
      <c r="J2272" s="62">
        <f t="shared" si="4544"/>
        <v>1</v>
      </c>
      <c r="K2272" s="62">
        <f t="shared" si="4544"/>
        <v>1</v>
      </c>
      <c r="L2272" s="62">
        <f t="shared" si="4544"/>
        <v>1</v>
      </c>
      <c r="M2272" s="62">
        <f t="shared" si="4544"/>
        <v>1</v>
      </c>
      <c r="N2272" s="62">
        <f t="shared" si="4544"/>
        <v>1</v>
      </c>
      <c r="O2272" s="62">
        <f t="shared" si="4544"/>
        <v>1</v>
      </c>
      <c r="P2272" s="62" t="str">
        <f t="shared" si="4544"/>
        <v/>
      </c>
      <c r="Q2272" s="62" t="str">
        <f t="shared" si="4544"/>
        <v/>
      </c>
      <c r="R2272" s="62">
        <f t="shared" si="7"/>
        <v>0</v>
      </c>
      <c r="S2272" s="62"/>
      <c r="T2272" s="62"/>
      <c r="U2272" s="62"/>
      <c r="V2272" s="62"/>
      <c r="W2272" s="62"/>
      <c r="X2272" s="62"/>
      <c r="Y2272" s="62"/>
      <c r="Z2272" s="62"/>
      <c r="AA2272" s="62"/>
      <c r="AB2272" s="62"/>
      <c r="AC2272" s="62"/>
    </row>
    <row r="2273" hidden="1">
      <c r="A2273" s="60">
        <f>IFERROR(__xludf.DUMMYFUNCTION("""COMPUTED_VALUE"""),17329.0)</f>
        <v>17329</v>
      </c>
      <c r="B2273" s="60" t="str">
        <f>IFERROR(__xludf.DUMMYFUNCTION("""COMPUTED_VALUE"""),"Jackson, Ja'Quinden")</f>
        <v>Jackson, Ja'Quinden</v>
      </c>
      <c r="C2273" s="60" t="str">
        <f>IFERROR(__xludf.DUMMYFUNCTION("""COMPUTED_VALUE"""),"RB")</f>
        <v>RB</v>
      </c>
      <c r="D2273" s="60" t="str">
        <f>IFERROR(__xludf.DUMMYFUNCTION("""COMPUTED_VALUE"""),"FA")</f>
        <v>FA</v>
      </c>
      <c r="E2273" s="62" t="str">
        <f t="shared" si="4"/>
        <v>Ja'Quinden Jackson</v>
      </c>
      <c r="F2273" s="62">
        <f t="shared" ref="F2273:G2273" si="4545">IF(isblank(F$1),,IF(isblank($A2273),,IFERROR(vlookup($A2273,indirect("'TVC-"&amp;text(month(F$1),"00")&amp;"'!$A:$D"),4,false),1)))</f>
        <v>1</v>
      </c>
      <c r="G2273" s="62">
        <f t="shared" si="4545"/>
        <v>1</v>
      </c>
      <c r="H2273" s="62">
        <f t="shared" ref="H2273:Q2273" si="4546">IF(isblank(H$1),,IFERROR(vlookup($A2273,indirect("'TVC-"&amp;text(month(H$1),"00")&amp;"'!$A:$D"),4,false),1))</f>
        <v>1</v>
      </c>
      <c r="I2273" s="62">
        <f t="shared" si="4546"/>
        <v>1</v>
      </c>
      <c r="J2273" s="62">
        <f t="shared" si="4546"/>
        <v>1</v>
      </c>
      <c r="K2273" s="62">
        <f t="shared" si="4546"/>
        <v>1</v>
      </c>
      <c r="L2273" s="62">
        <f t="shared" si="4546"/>
        <v>1</v>
      </c>
      <c r="M2273" s="62">
        <f t="shared" si="4546"/>
        <v>1</v>
      </c>
      <c r="N2273" s="62">
        <f t="shared" si="4546"/>
        <v>1</v>
      </c>
      <c r="O2273" s="62">
        <f t="shared" si="4546"/>
        <v>1</v>
      </c>
      <c r="P2273" s="62" t="str">
        <f t="shared" si="4546"/>
        <v/>
      </c>
      <c r="Q2273" s="62" t="str">
        <f t="shared" si="4546"/>
        <v/>
      </c>
      <c r="R2273" s="62">
        <f t="shared" si="7"/>
        <v>0</v>
      </c>
      <c r="S2273" s="62"/>
      <c r="T2273" s="62"/>
      <c r="U2273" s="62"/>
      <c r="V2273" s="62"/>
      <c r="W2273" s="62"/>
      <c r="X2273" s="62"/>
      <c r="Y2273" s="62"/>
      <c r="Z2273" s="62"/>
      <c r="AA2273" s="62"/>
      <c r="AB2273" s="62"/>
      <c r="AC2273" s="62"/>
    </row>
    <row r="2274" hidden="1">
      <c r="A2274" s="60">
        <f>IFERROR(__xludf.DUMMYFUNCTION("""COMPUTED_VALUE"""),17330.0)</f>
        <v>17330</v>
      </c>
      <c r="B2274" s="60" t="str">
        <f>IFERROR(__xludf.DUMMYFUNCTION("""COMPUTED_VALUE"""),"Stackhouse, Nazir")</f>
        <v>Stackhouse, Nazir</v>
      </c>
      <c r="C2274" s="60" t="str">
        <f>IFERROR(__xludf.DUMMYFUNCTION("""COMPUTED_VALUE"""),"DT")</f>
        <v>DT</v>
      </c>
      <c r="D2274" s="60" t="str">
        <f>IFERROR(__xludf.DUMMYFUNCTION("""COMPUTED_VALUE"""),"TEN")</f>
        <v>TEN</v>
      </c>
      <c r="E2274" s="62" t="str">
        <f t="shared" si="4"/>
        <v>Nazir Stackhouse</v>
      </c>
      <c r="F2274" s="62">
        <f t="shared" ref="F2274:G2274" si="4547">IF(isblank(F$1),,IF(isblank($A2274),,IFERROR(vlookup($A2274,indirect("'TVC-"&amp;text(month(F$1),"00")&amp;"'!$A:$D"),4,false),1)))</f>
        <v>1</v>
      </c>
      <c r="G2274" s="62">
        <f t="shared" si="4547"/>
        <v>1</v>
      </c>
      <c r="H2274" s="62">
        <f t="shared" ref="H2274:Q2274" si="4548">IF(isblank(H$1),,IFERROR(vlookup($A2274,indirect("'TVC-"&amp;text(month(H$1),"00")&amp;"'!$A:$D"),4,false),1))</f>
        <v>1</v>
      </c>
      <c r="I2274" s="62">
        <f t="shared" si="4548"/>
        <v>1</v>
      </c>
      <c r="J2274" s="62">
        <f t="shared" si="4548"/>
        <v>1</v>
      </c>
      <c r="K2274" s="62">
        <f t="shared" si="4548"/>
        <v>1</v>
      </c>
      <c r="L2274" s="62">
        <f t="shared" si="4548"/>
        <v>1</v>
      </c>
      <c r="M2274" s="62">
        <f t="shared" si="4548"/>
        <v>1</v>
      </c>
      <c r="N2274" s="62">
        <f t="shared" si="4548"/>
        <v>1</v>
      </c>
      <c r="O2274" s="62">
        <f t="shared" si="4548"/>
        <v>1</v>
      </c>
      <c r="P2274" s="62" t="str">
        <f t="shared" si="4548"/>
        <v/>
      </c>
      <c r="Q2274" s="62" t="str">
        <f t="shared" si="4548"/>
        <v/>
      </c>
      <c r="R2274" s="62">
        <f t="shared" si="7"/>
        <v>0</v>
      </c>
      <c r="S2274" s="62"/>
      <c r="T2274" s="62"/>
      <c r="U2274" s="62"/>
      <c r="V2274" s="62"/>
      <c r="W2274" s="62"/>
      <c r="X2274" s="62"/>
      <c r="Y2274" s="62"/>
      <c r="Z2274" s="62"/>
      <c r="AA2274" s="62"/>
      <c r="AB2274" s="62"/>
      <c r="AC2274" s="62"/>
    </row>
    <row r="2275" hidden="1">
      <c r="A2275" s="60">
        <f>IFERROR(__xludf.DUMMYFUNCTION("""COMPUTED_VALUE"""),17332.0)</f>
        <v>17332</v>
      </c>
      <c r="B2275" s="60" t="str">
        <f>IFERROR(__xludf.DUMMYFUNCTION("""COMPUTED_VALUE"""),"Vance, Greedy")</f>
        <v>Vance, Greedy</v>
      </c>
      <c r="C2275" s="60" t="str">
        <f>IFERROR(__xludf.DUMMYFUNCTION("""COMPUTED_VALUE"""),"CB")</f>
        <v>CB</v>
      </c>
      <c r="D2275" s="60" t="str">
        <f>IFERROR(__xludf.DUMMYFUNCTION("""COMPUTED_VALUE"""),"LVR")</f>
        <v>LVR</v>
      </c>
      <c r="E2275" s="62" t="str">
        <f t="shared" si="4"/>
        <v>Greedy Vance</v>
      </c>
      <c r="F2275" s="62">
        <f t="shared" ref="F2275:G2275" si="4549">IF(isblank(F$1),,IF(isblank($A2275),,IFERROR(vlookup($A2275,indirect("'TVC-"&amp;text(month(F$1),"00")&amp;"'!$A:$D"),4,false),1)))</f>
        <v>1</v>
      </c>
      <c r="G2275" s="62">
        <f t="shared" si="4549"/>
        <v>1</v>
      </c>
      <c r="H2275" s="62">
        <f t="shared" ref="H2275:Q2275" si="4550">IF(isblank(H$1),,IFERROR(vlookup($A2275,indirect("'TVC-"&amp;text(month(H$1),"00")&amp;"'!$A:$D"),4,false),1))</f>
        <v>1</v>
      </c>
      <c r="I2275" s="62">
        <f t="shared" si="4550"/>
        <v>1</v>
      </c>
      <c r="J2275" s="62">
        <f t="shared" si="4550"/>
        <v>1</v>
      </c>
      <c r="K2275" s="62">
        <f t="shared" si="4550"/>
        <v>1</v>
      </c>
      <c r="L2275" s="62">
        <f t="shared" si="4550"/>
        <v>1</v>
      </c>
      <c r="M2275" s="62">
        <f t="shared" si="4550"/>
        <v>1</v>
      </c>
      <c r="N2275" s="62">
        <f t="shared" si="4550"/>
        <v>1</v>
      </c>
      <c r="O2275" s="62">
        <f t="shared" si="4550"/>
        <v>1</v>
      </c>
      <c r="P2275" s="62" t="str">
        <f t="shared" si="4550"/>
        <v/>
      </c>
      <c r="Q2275" s="62" t="str">
        <f t="shared" si="4550"/>
        <v/>
      </c>
      <c r="R2275" s="62">
        <f t="shared" si="7"/>
        <v>0</v>
      </c>
      <c r="S2275" s="62"/>
      <c r="T2275" s="62"/>
      <c r="U2275" s="62"/>
      <c r="V2275" s="62"/>
      <c r="W2275" s="62"/>
      <c r="X2275" s="62"/>
      <c r="Y2275" s="62"/>
      <c r="Z2275" s="62"/>
      <c r="AA2275" s="62"/>
      <c r="AB2275" s="62"/>
      <c r="AC2275" s="62"/>
    </row>
    <row r="2276" hidden="1">
      <c r="A2276" s="60">
        <f>IFERROR(__xludf.DUMMYFUNCTION("""COMPUTED_VALUE"""),17333.0)</f>
        <v>17333</v>
      </c>
      <c r="B2276" s="60" t="str">
        <f>IFERROR(__xludf.DUMMYFUNCTION("""COMPUTED_VALUE"""),"Cooper, Darius")</f>
        <v>Cooper, Darius</v>
      </c>
      <c r="C2276" s="60" t="str">
        <f>IFERROR(__xludf.DUMMYFUNCTION("""COMPUTED_VALUE"""),"WR")</f>
        <v>WR</v>
      </c>
      <c r="D2276" s="60" t="str">
        <f>IFERROR(__xludf.DUMMYFUNCTION("""COMPUTED_VALUE"""),"PHI")</f>
        <v>PHI</v>
      </c>
      <c r="E2276" s="62" t="str">
        <f t="shared" si="4"/>
        <v>Darius Cooper</v>
      </c>
      <c r="F2276" s="62">
        <f t="shared" ref="F2276:G2276" si="4551">IF(isblank(F$1),,IF(isblank($A2276),,IFERROR(vlookup($A2276,indirect("'TVC-"&amp;text(month(F$1),"00")&amp;"'!$A:$D"),4,false),1)))</f>
        <v>1</v>
      </c>
      <c r="G2276" s="62">
        <f t="shared" si="4551"/>
        <v>1</v>
      </c>
      <c r="H2276" s="62">
        <f t="shared" ref="H2276:Q2276" si="4552">IF(isblank(H$1),,IFERROR(vlookup($A2276,indirect("'TVC-"&amp;text(month(H$1),"00")&amp;"'!$A:$D"),4,false),1))</f>
        <v>1</v>
      </c>
      <c r="I2276" s="62">
        <f t="shared" si="4552"/>
        <v>1</v>
      </c>
      <c r="J2276" s="62">
        <f t="shared" si="4552"/>
        <v>1</v>
      </c>
      <c r="K2276" s="62">
        <f t="shared" si="4552"/>
        <v>1</v>
      </c>
      <c r="L2276" s="62">
        <f t="shared" si="4552"/>
        <v>1</v>
      </c>
      <c r="M2276" s="62">
        <f t="shared" si="4552"/>
        <v>1</v>
      </c>
      <c r="N2276" s="62">
        <f t="shared" si="4552"/>
        <v>1</v>
      </c>
      <c r="O2276" s="62">
        <f t="shared" si="4552"/>
        <v>1</v>
      </c>
      <c r="P2276" s="62" t="str">
        <f t="shared" si="4552"/>
        <v/>
      </c>
      <c r="Q2276" s="62" t="str">
        <f t="shared" si="4552"/>
        <v/>
      </c>
      <c r="R2276" s="62">
        <f t="shared" si="7"/>
        <v>0</v>
      </c>
      <c r="S2276" s="62"/>
      <c r="T2276" s="62"/>
      <c r="U2276" s="62"/>
      <c r="V2276" s="62"/>
      <c r="W2276" s="62"/>
      <c r="X2276" s="62"/>
      <c r="Y2276" s="62"/>
      <c r="Z2276" s="62"/>
      <c r="AA2276" s="62"/>
      <c r="AB2276" s="62"/>
      <c r="AC2276" s="62"/>
    </row>
    <row r="2277" hidden="1">
      <c r="A2277" s="60">
        <f>IFERROR(__xludf.DUMMYFUNCTION("""COMPUTED_VALUE"""),17334.0)</f>
        <v>17334</v>
      </c>
      <c r="B2277" s="60" t="str">
        <f>IFERROR(__xludf.DUMMYFUNCTION("""COMPUTED_VALUE"""),"Meeks, Jackson")</f>
        <v>Meeks, Jackson</v>
      </c>
      <c r="C2277" s="60" t="str">
        <f>IFERROR(__xludf.DUMMYFUNCTION("""COMPUTED_VALUE"""),"WR")</f>
        <v>WR</v>
      </c>
      <c r="D2277" s="60" t="str">
        <f>IFERROR(__xludf.DUMMYFUNCTION("""COMPUTED_VALUE"""),"DET")</f>
        <v>DET</v>
      </c>
      <c r="E2277" s="62" t="str">
        <f t="shared" si="4"/>
        <v>Jackson Meeks</v>
      </c>
      <c r="F2277" s="62">
        <f t="shared" ref="F2277:G2277" si="4553">IF(isblank(F$1),,IF(isblank($A2277),,IFERROR(vlookup($A2277,indirect("'TVC-"&amp;text(month(F$1),"00")&amp;"'!$A:$D"),4,false),1)))</f>
        <v>1</v>
      </c>
      <c r="G2277" s="62">
        <f t="shared" si="4553"/>
        <v>1</v>
      </c>
      <c r="H2277" s="62">
        <f t="shared" ref="H2277:Q2277" si="4554">IF(isblank(H$1),,IFERROR(vlookup($A2277,indirect("'TVC-"&amp;text(month(H$1),"00")&amp;"'!$A:$D"),4,false),1))</f>
        <v>1</v>
      </c>
      <c r="I2277" s="62">
        <f t="shared" si="4554"/>
        <v>1</v>
      </c>
      <c r="J2277" s="62">
        <f t="shared" si="4554"/>
        <v>1</v>
      </c>
      <c r="K2277" s="62">
        <f t="shared" si="4554"/>
        <v>1</v>
      </c>
      <c r="L2277" s="62">
        <f t="shared" si="4554"/>
        <v>1</v>
      </c>
      <c r="M2277" s="62">
        <f t="shared" si="4554"/>
        <v>1</v>
      </c>
      <c r="N2277" s="62">
        <f t="shared" si="4554"/>
        <v>1</v>
      </c>
      <c r="O2277" s="62">
        <f t="shared" si="4554"/>
        <v>1</v>
      </c>
      <c r="P2277" s="62" t="str">
        <f t="shared" si="4554"/>
        <v/>
      </c>
      <c r="Q2277" s="62" t="str">
        <f t="shared" si="4554"/>
        <v/>
      </c>
      <c r="R2277" s="62">
        <f t="shared" si="7"/>
        <v>0</v>
      </c>
      <c r="S2277" s="62"/>
      <c r="T2277" s="62"/>
      <c r="U2277" s="62"/>
      <c r="V2277" s="62"/>
      <c r="W2277" s="62"/>
      <c r="X2277" s="62"/>
      <c r="Y2277" s="62"/>
      <c r="Z2277" s="62"/>
      <c r="AA2277" s="62"/>
      <c r="AB2277" s="62"/>
      <c r="AC2277" s="62"/>
    </row>
    <row r="2278" hidden="1">
      <c r="A2278" s="60">
        <f>IFERROR(__xludf.DUMMYFUNCTION("""COMPUTED_VALUE"""),17336.0)</f>
        <v>17336</v>
      </c>
      <c r="B2278" s="60" t="str">
        <f>IFERROR(__xludf.DUMMYFUNCTION("""COMPUTED_VALUE"""),"Marshall, Ahmani")</f>
        <v>Marshall, Ahmani</v>
      </c>
      <c r="C2278" s="60" t="str">
        <f>IFERROR(__xludf.DUMMYFUNCTION("""COMPUTED_VALUE"""),"RB")</f>
        <v>RB</v>
      </c>
      <c r="D2278" s="60" t="str">
        <f>IFERROR(__xludf.DUMMYFUNCTION("""COMPUTED_VALUE"""),"CAR")</f>
        <v>CAR</v>
      </c>
      <c r="E2278" s="62" t="str">
        <f t="shared" si="4"/>
        <v>Ahmani Marshall</v>
      </c>
      <c r="F2278" s="62">
        <f t="shared" ref="F2278:G2278" si="4555">IF(isblank(F$1),,IF(isblank($A2278),,IFERROR(vlookup($A2278,indirect("'TVC-"&amp;text(month(F$1),"00")&amp;"'!$A:$D"),4,false),1)))</f>
        <v>1</v>
      </c>
      <c r="G2278" s="62">
        <f t="shared" si="4555"/>
        <v>1</v>
      </c>
      <c r="H2278" s="62">
        <f t="shared" ref="H2278:Q2278" si="4556">IF(isblank(H$1),,IFERROR(vlookup($A2278,indirect("'TVC-"&amp;text(month(H$1),"00")&amp;"'!$A:$D"),4,false),1))</f>
        <v>1</v>
      </c>
      <c r="I2278" s="62">
        <f t="shared" si="4556"/>
        <v>1</v>
      </c>
      <c r="J2278" s="62">
        <f t="shared" si="4556"/>
        <v>1</v>
      </c>
      <c r="K2278" s="62">
        <f t="shared" si="4556"/>
        <v>1</v>
      </c>
      <c r="L2278" s="62">
        <f t="shared" si="4556"/>
        <v>1</v>
      </c>
      <c r="M2278" s="62">
        <f t="shared" si="4556"/>
        <v>1</v>
      </c>
      <c r="N2278" s="62">
        <f t="shared" si="4556"/>
        <v>1</v>
      </c>
      <c r="O2278" s="62">
        <f t="shared" si="4556"/>
        <v>1</v>
      </c>
      <c r="P2278" s="62" t="str">
        <f t="shared" si="4556"/>
        <v/>
      </c>
      <c r="Q2278" s="62" t="str">
        <f t="shared" si="4556"/>
        <v/>
      </c>
      <c r="R2278" s="62">
        <f t="shared" si="7"/>
        <v>0</v>
      </c>
      <c r="S2278" s="62"/>
      <c r="T2278" s="62"/>
      <c r="U2278" s="62"/>
      <c r="V2278" s="62"/>
      <c r="W2278" s="62"/>
      <c r="X2278" s="62"/>
      <c r="Y2278" s="62"/>
      <c r="Z2278" s="62"/>
      <c r="AA2278" s="62"/>
      <c r="AB2278" s="62"/>
      <c r="AC2278" s="62"/>
    </row>
    <row r="2279" hidden="1">
      <c r="A2279" s="60">
        <f>IFERROR(__xludf.DUMMYFUNCTION("""COMPUTED_VALUE"""),17337.0)</f>
        <v>17337</v>
      </c>
      <c r="B2279" s="60" t="str">
        <f>IFERROR(__xludf.DUMMYFUNCTION("""COMPUTED_VALUE"""),"Scott, Zavier")</f>
        <v>Scott, Zavier</v>
      </c>
      <c r="C2279" s="60" t="str">
        <f>IFERROR(__xludf.DUMMYFUNCTION("""COMPUTED_VALUE"""),"RB")</f>
        <v>RB</v>
      </c>
      <c r="D2279" s="60" t="str">
        <f>IFERROR(__xludf.DUMMYFUNCTION("""COMPUTED_VALUE"""),"CHI")</f>
        <v>CHI</v>
      </c>
      <c r="E2279" s="62" t="str">
        <f t="shared" si="4"/>
        <v>Zavier Scott</v>
      </c>
      <c r="F2279" s="62">
        <f t="shared" ref="F2279:G2279" si="4557">IF(isblank(F$1),,IF(isblank($A2279),,IFERROR(vlookup($A2279,indirect("'TVC-"&amp;text(month(F$1),"00")&amp;"'!$A:$D"),4,false),1)))</f>
        <v>958</v>
      </c>
      <c r="G2279" s="62">
        <f t="shared" si="4557"/>
        <v>942</v>
      </c>
      <c r="H2279" s="62">
        <f t="shared" ref="H2279:Q2279" si="4558">IF(isblank(H$1),,IFERROR(vlookup($A2279,indirect("'TVC-"&amp;text(month(H$1),"00")&amp;"'!$A:$D"),4,false),1))</f>
        <v>910</v>
      </c>
      <c r="I2279" s="62">
        <f t="shared" si="4558"/>
        <v>869</v>
      </c>
      <c r="J2279" s="62">
        <f t="shared" si="4558"/>
        <v>897</v>
      </c>
      <c r="K2279" s="62">
        <f t="shared" si="4558"/>
        <v>771</v>
      </c>
      <c r="L2279" s="62">
        <f t="shared" si="4558"/>
        <v>787</v>
      </c>
      <c r="M2279" s="62">
        <f t="shared" si="4558"/>
        <v>703</v>
      </c>
      <c r="N2279" s="62">
        <f t="shared" si="4558"/>
        <v>475</v>
      </c>
      <c r="O2279" s="62">
        <f t="shared" si="4558"/>
        <v>1</v>
      </c>
      <c r="P2279" s="62" t="str">
        <f t="shared" si="4558"/>
        <v/>
      </c>
      <c r="Q2279" s="62" t="str">
        <f t="shared" si="4558"/>
        <v/>
      </c>
      <c r="R2279" s="62">
        <f t="shared" si="7"/>
        <v>-474</v>
      </c>
      <c r="S2279" s="62"/>
      <c r="T2279" s="62"/>
      <c r="U2279" s="62"/>
      <c r="V2279" s="62"/>
      <c r="W2279" s="62"/>
      <c r="X2279" s="62"/>
      <c r="Y2279" s="62"/>
      <c r="Z2279" s="62"/>
      <c r="AA2279" s="62"/>
      <c r="AB2279" s="62"/>
      <c r="AC2279" s="62"/>
    </row>
    <row r="2280" hidden="1">
      <c r="A2280" s="60">
        <f>IFERROR(__xludf.DUMMYFUNCTION("""COMPUTED_VALUE"""),17339.0)</f>
        <v>17339</v>
      </c>
      <c r="B2280" s="60" t="str">
        <f>IFERROR(__xludf.DUMMYFUNCTION("""COMPUTED_VALUE"""),"McNamara, Austin")</f>
        <v>McNamara, Austin</v>
      </c>
      <c r="C2280" s="60" t="str">
        <f>IFERROR(__xludf.DUMMYFUNCTION("""COMPUTED_VALUE"""),"PN")</f>
        <v>PN</v>
      </c>
      <c r="D2280" s="60" t="str">
        <f>IFERROR(__xludf.DUMMYFUNCTION("""COMPUTED_VALUE"""),"NYJ")</f>
        <v>NYJ</v>
      </c>
      <c r="E2280" s="62" t="str">
        <f t="shared" si="4"/>
        <v>Austin McNamara</v>
      </c>
      <c r="F2280" s="62">
        <f t="shared" ref="F2280:G2280" si="4559">IF(isblank(F$1),,IF(isblank($A2280),,IFERROR(vlookup($A2280,indirect("'TVC-"&amp;text(month(F$1),"00")&amp;"'!$A:$D"),4,false),1)))</f>
        <v>1</v>
      </c>
      <c r="G2280" s="62">
        <f t="shared" si="4559"/>
        <v>1</v>
      </c>
      <c r="H2280" s="62">
        <f t="shared" ref="H2280:Q2280" si="4560">IF(isblank(H$1),,IFERROR(vlookup($A2280,indirect("'TVC-"&amp;text(month(H$1),"00")&amp;"'!$A:$D"),4,false),1))</f>
        <v>1</v>
      </c>
      <c r="I2280" s="62">
        <f t="shared" si="4560"/>
        <v>1</v>
      </c>
      <c r="J2280" s="62">
        <f t="shared" si="4560"/>
        <v>1</v>
      </c>
      <c r="K2280" s="62">
        <f t="shared" si="4560"/>
        <v>1</v>
      </c>
      <c r="L2280" s="62">
        <f t="shared" si="4560"/>
        <v>1</v>
      </c>
      <c r="M2280" s="62">
        <f t="shared" si="4560"/>
        <v>1</v>
      </c>
      <c r="N2280" s="62">
        <f t="shared" si="4560"/>
        <v>1</v>
      </c>
      <c r="O2280" s="62">
        <f t="shared" si="4560"/>
        <v>1</v>
      </c>
      <c r="P2280" s="62" t="str">
        <f t="shared" si="4560"/>
        <v/>
      </c>
      <c r="Q2280" s="62" t="str">
        <f t="shared" si="4560"/>
        <v/>
      </c>
      <c r="R2280" s="62">
        <f t="shared" si="7"/>
        <v>0</v>
      </c>
      <c r="S2280" s="62"/>
      <c r="T2280" s="62"/>
      <c r="U2280" s="62"/>
      <c r="V2280" s="62"/>
      <c r="W2280" s="62"/>
      <c r="X2280" s="62"/>
      <c r="Y2280" s="62"/>
      <c r="Z2280" s="62"/>
      <c r="AA2280" s="62"/>
      <c r="AB2280" s="62"/>
      <c r="AC2280" s="62"/>
    </row>
    <row r="2281" hidden="1">
      <c r="A2281" s="60">
        <f>IFERROR(__xludf.DUMMYFUNCTION("""COMPUTED_VALUE"""),17340.0)</f>
        <v>17340</v>
      </c>
      <c r="B2281" s="60" t="str">
        <f>IFERROR(__xludf.DUMMYFUNCTION("""COMPUTED_VALUE"""),"Martin-Scott, Bam")</f>
        <v>Martin-Scott, Bam</v>
      </c>
      <c r="C2281" s="60" t="str">
        <f>IFERROR(__xludf.DUMMYFUNCTION("""COMPUTED_VALUE"""),"LB")</f>
        <v>LB</v>
      </c>
      <c r="D2281" s="60" t="str">
        <f>IFERROR(__xludf.DUMMYFUNCTION("""COMPUTED_VALUE"""),"CAR")</f>
        <v>CAR</v>
      </c>
      <c r="E2281" s="62" t="str">
        <f t="shared" si="4"/>
        <v>Bam Martin-Scott</v>
      </c>
      <c r="F2281" s="62">
        <f t="shared" ref="F2281:G2281" si="4561">IF(isblank(F$1),,IF(isblank($A2281),,IFERROR(vlookup($A2281,indirect("'TVC-"&amp;text(month(F$1),"00")&amp;"'!$A:$D"),4,false),1)))</f>
        <v>1</v>
      </c>
      <c r="G2281" s="62">
        <f t="shared" si="4561"/>
        <v>1</v>
      </c>
      <c r="H2281" s="62">
        <f t="shared" ref="H2281:Q2281" si="4562">IF(isblank(H$1),,IFERROR(vlookup($A2281,indirect("'TVC-"&amp;text(month(H$1),"00")&amp;"'!$A:$D"),4,false),1))</f>
        <v>1</v>
      </c>
      <c r="I2281" s="62">
        <f t="shared" si="4562"/>
        <v>1</v>
      </c>
      <c r="J2281" s="62">
        <f t="shared" si="4562"/>
        <v>1</v>
      </c>
      <c r="K2281" s="62">
        <f t="shared" si="4562"/>
        <v>1</v>
      </c>
      <c r="L2281" s="62">
        <f t="shared" si="4562"/>
        <v>1</v>
      </c>
      <c r="M2281" s="62">
        <f t="shared" si="4562"/>
        <v>1</v>
      </c>
      <c r="N2281" s="62">
        <f t="shared" si="4562"/>
        <v>1</v>
      </c>
      <c r="O2281" s="62">
        <f t="shared" si="4562"/>
        <v>1</v>
      </c>
      <c r="P2281" s="62" t="str">
        <f t="shared" si="4562"/>
        <v/>
      </c>
      <c r="Q2281" s="62" t="str">
        <f t="shared" si="4562"/>
        <v/>
      </c>
      <c r="R2281" s="62">
        <f t="shared" si="7"/>
        <v>0</v>
      </c>
      <c r="S2281" s="62"/>
      <c r="T2281" s="62"/>
      <c r="U2281" s="62"/>
      <c r="V2281" s="62"/>
      <c r="W2281" s="62"/>
      <c r="X2281" s="62"/>
      <c r="Y2281" s="62"/>
      <c r="Z2281" s="62"/>
      <c r="AA2281" s="62"/>
      <c r="AB2281" s="62"/>
      <c r="AC2281" s="62"/>
    </row>
    <row r="2282" hidden="1">
      <c r="A2282" s="60">
        <f>IFERROR(__xludf.DUMMYFUNCTION("""COMPUTED_VALUE"""),17341.0)</f>
        <v>17341</v>
      </c>
      <c r="B2282" s="60" t="str">
        <f>IFERROR(__xludf.DUMMYFUNCTION("""COMPUTED_VALUE"""),"Jackson, Nick")</f>
        <v>Jackson, Nick</v>
      </c>
      <c r="C2282" s="60" t="str">
        <f>IFERROR(__xludf.DUMMYFUNCTION("""COMPUTED_VALUE"""),"LB")</f>
        <v>LB</v>
      </c>
      <c r="D2282" s="60" t="str">
        <f>IFERROR(__xludf.DUMMYFUNCTION("""COMPUTED_VALUE"""),"FA")</f>
        <v>FA</v>
      </c>
      <c r="E2282" s="62" t="str">
        <f t="shared" si="4"/>
        <v>Nick Jackson</v>
      </c>
      <c r="F2282" s="62">
        <f t="shared" ref="F2282:G2282" si="4563">IF(isblank(F$1),,IF(isblank($A2282),,IFERROR(vlookup($A2282,indirect("'TVC-"&amp;text(month(F$1),"00")&amp;"'!$A:$D"),4,false),1)))</f>
        <v>1</v>
      </c>
      <c r="G2282" s="62">
        <f t="shared" si="4563"/>
        <v>1</v>
      </c>
      <c r="H2282" s="62">
        <f t="shared" ref="H2282:Q2282" si="4564">IF(isblank(H$1),,IFERROR(vlookup($A2282,indirect("'TVC-"&amp;text(month(H$1),"00")&amp;"'!$A:$D"),4,false),1))</f>
        <v>1</v>
      </c>
      <c r="I2282" s="62">
        <f t="shared" si="4564"/>
        <v>1</v>
      </c>
      <c r="J2282" s="62">
        <f t="shared" si="4564"/>
        <v>1</v>
      </c>
      <c r="K2282" s="62">
        <f t="shared" si="4564"/>
        <v>1</v>
      </c>
      <c r="L2282" s="62">
        <f t="shared" si="4564"/>
        <v>1</v>
      </c>
      <c r="M2282" s="62">
        <f t="shared" si="4564"/>
        <v>1</v>
      </c>
      <c r="N2282" s="62">
        <f t="shared" si="4564"/>
        <v>1</v>
      </c>
      <c r="O2282" s="62">
        <f t="shared" si="4564"/>
        <v>1</v>
      </c>
      <c r="P2282" s="62" t="str">
        <f t="shared" si="4564"/>
        <v/>
      </c>
      <c r="Q2282" s="62" t="str">
        <f t="shared" si="4564"/>
        <v/>
      </c>
      <c r="R2282" s="62">
        <f t="shared" si="7"/>
        <v>0</v>
      </c>
      <c r="S2282" s="62"/>
      <c r="T2282" s="62"/>
      <c r="U2282" s="62"/>
      <c r="V2282" s="62"/>
      <c r="W2282" s="62"/>
      <c r="X2282" s="62"/>
      <c r="Y2282" s="62"/>
      <c r="Z2282" s="62"/>
      <c r="AA2282" s="62"/>
      <c r="AB2282" s="62"/>
      <c r="AC2282" s="62"/>
    </row>
    <row r="2283" hidden="1">
      <c r="A2283" s="60">
        <f>IFERROR(__xludf.DUMMYFUNCTION("""COMPUTED_VALUE"""),17343.0)</f>
        <v>17343</v>
      </c>
      <c r="B2283" s="60" t="str">
        <f>IFERROR(__xludf.DUMMYFUNCTION("""COMPUTED_VALUE"""),"Jules, PJ")</f>
        <v>Jules, PJ</v>
      </c>
      <c r="C2283" s="60" t="str">
        <f>IFERROR(__xludf.DUMMYFUNCTION("""COMPUTED_VALUE"""),"S")</f>
        <v>S</v>
      </c>
      <c r="D2283" s="60" t="str">
        <f>IFERROR(__xludf.DUMMYFUNCTION("""COMPUTED_VALUE"""),"CIN")</f>
        <v>CIN</v>
      </c>
      <c r="E2283" s="62" t="str">
        <f t="shared" si="4"/>
        <v>PJ Jules</v>
      </c>
      <c r="F2283" s="62">
        <f t="shared" ref="F2283:G2283" si="4565">IF(isblank(F$1),,IF(isblank($A2283),,IFERROR(vlookup($A2283,indirect("'TVC-"&amp;text(month(F$1),"00")&amp;"'!$A:$D"),4,false),1)))</f>
        <v>1</v>
      </c>
      <c r="G2283" s="62">
        <f t="shared" si="4565"/>
        <v>1</v>
      </c>
      <c r="H2283" s="62">
        <f t="shared" ref="H2283:Q2283" si="4566">IF(isblank(H$1),,IFERROR(vlookup($A2283,indirect("'TVC-"&amp;text(month(H$1),"00")&amp;"'!$A:$D"),4,false),1))</f>
        <v>1</v>
      </c>
      <c r="I2283" s="62">
        <f t="shared" si="4566"/>
        <v>1</v>
      </c>
      <c r="J2283" s="62">
        <f t="shared" si="4566"/>
        <v>1</v>
      </c>
      <c r="K2283" s="62">
        <f t="shared" si="4566"/>
        <v>1</v>
      </c>
      <c r="L2283" s="62">
        <f t="shared" si="4566"/>
        <v>1</v>
      </c>
      <c r="M2283" s="62">
        <f t="shared" si="4566"/>
        <v>1</v>
      </c>
      <c r="N2283" s="62">
        <f t="shared" si="4566"/>
        <v>1</v>
      </c>
      <c r="O2283" s="62">
        <f t="shared" si="4566"/>
        <v>1</v>
      </c>
      <c r="P2283" s="62" t="str">
        <f t="shared" si="4566"/>
        <v/>
      </c>
      <c r="Q2283" s="62" t="str">
        <f t="shared" si="4566"/>
        <v/>
      </c>
      <c r="R2283" s="62">
        <f t="shared" si="7"/>
        <v>0</v>
      </c>
      <c r="S2283" s="62"/>
      <c r="T2283" s="62"/>
      <c r="U2283" s="62"/>
      <c r="V2283" s="62"/>
      <c r="W2283" s="62"/>
      <c r="X2283" s="62"/>
      <c r="Y2283" s="62"/>
      <c r="Z2283" s="62"/>
      <c r="AA2283" s="62"/>
      <c r="AB2283" s="62"/>
      <c r="AC2283" s="62"/>
    </row>
    <row r="2284" hidden="1">
      <c r="A2284" s="60">
        <f>IFERROR(__xludf.DUMMYFUNCTION("""COMPUTED_VALUE"""),17344.0)</f>
        <v>17344</v>
      </c>
      <c r="B2284" s="60" t="str">
        <f>IFERROR(__xludf.DUMMYFUNCTION("""COMPUTED_VALUE"""),"Johnson, Emany")</f>
        <v>Johnson, Emany</v>
      </c>
      <c r="C2284" s="60" t="str">
        <f>IFERROR(__xludf.DUMMYFUNCTION("""COMPUTED_VALUE"""),"LB")</f>
        <v>LB</v>
      </c>
      <c r="D2284" s="60" t="str">
        <f>IFERROR(__xludf.DUMMYFUNCTION("""COMPUTED_VALUE"""),"FA")</f>
        <v>FA</v>
      </c>
      <c r="E2284" s="62" t="str">
        <f t="shared" si="4"/>
        <v>Emany Johnson</v>
      </c>
      <c r="F2284" s="62">
        <f t="shared" ref="F2284:G2284" si="4567">IF(isblank(F$1),,IF(isblank($A2284),,IFERROR(vlookup($A2284,indirect("'TVC-"&amp;text(month(F$1),"00")&amp;"'!$A:$D"),4,false),1)))</f>
        <v>1</v>
      </c>
      <c r="G2284" s="62">
        <f t="shared" si="4567"/>
        <v>1</v>
      </c>
      <c r="H2284" s="62">
        <f t="shared" ref="H2284:Q2284" si="4568">IF(isblank(H$1),,IFERROR(vlookup($A2284,indirect("'TVC-"&amp;text(month(H$1),"00")&amp;"'!$A:$D"),4,false),1))</f>
        <v>1</v>
      </c>
      <c r="I2284" s="62">
        <f t="shared" si="4568"/>
        <v>1</v>
      </c>
      <c r="J2284" s="62">
        <f t="shared" si="4568"/>
        <v>1</v>
      </c>
      <c r="K2284" s="62">
        <f t="shared" si="4568"/>
        <v>1</v>
      </c>
      <c r="L2284" s="62">
        <f t="shared" si="4568"/>
        <v>1</v>
      </c>
      <c r="M2284" s="62">
        <f t="shared" si="4568"/>
        <v>1</v>
      </c>
      <c r="N2284" s="62">
        <f t="shared" si="4568"/>
        <v>1</v>
      </c>
      <c r="O2284" s="62">
        <f t="shared" si="4568"/>
        <v>1</v>
      </c>
      <c r="P2284" s="62" t="str">
        <f t="shared" si="4568"/>
        <v/>
      </c>
      <c r="Q2284" s="62" t="str">
        <f t="shared" si="4568"/>
        <v/>
      </c>
      <c r="R2284" s="62">
        <f t="shared" si="7"/>
        <v>0</v>
      </c>
      <c r="S2284" s="62"/>
      <c r="T2284" s="62"/>
      <c r="U2284" s="62"/>
      <c r="V2284" s="62"/>
      <c r="W2284" s="62"/>
      <c r="X2284" s="62"/>
      <c r="Y2284" s="62"/>
      <c r="Z2284" s="62"/>
      <c r="AA2284" s="62"/>
      <c r="AB2284" s="62"/>
      <c r="AC2284" s="62"/>
    </row>
    <row r="2285" hidden="1">
      <c r="A2285" s="60">
        <f>IFERROR(__xludf.DUMMYFUNCTION("""COMPUTED_VALUE"""),17347.0)</f>
        <v>17347</v>
      </c>
      <c r="B2285" s="60" t="str">
        <f>IFERROR(__xludf.DUMMYFUNCTION("""COMPUTED_VALUE"""),"Vaughn, Zemaiah")</f>
        <v>Vaughn, Zemaiah</v>
      </c>
      <c r="C2285" s="60" t="str">
        <f>IFERROR(__xludf.DUMMYFUNCTION("""COMPUTED_VALUE"""),"CB")</f>
        <v>CB</v>
      </c>
      <c r="D2285" s="60" t="str">
        <f>IFERROR(__xludf.DUMMYFUNCTION("""COMPUTED_VALUE"""),"MIN")</f>
        <v>MIN</v>
      </c>
      <c r="E2285" s="62" t="str">
        <f t="shared" si="4"/>
        <v>Zemaiah Vaughn</v>
      </c>
      <c r="F2285" s="62">
        <f t="shared" ref="F2285:G2285" si="4569">IF(isblank(F$1),,IF(isblank($A2285),,IFERROR(vlookup($A2285,indirect("'TVC-"&amp;text(month(F$1),"00")&amp;"'!$A:$D"),4,false),1)))</f>
        <v>1</v>
      </c>
      <c r="G2285" s="62">
        <f t="shared" si="4569"/>
        <v>1</v>
      </c>
      <c r="H2285" s="62">
        <f t="shared" ref="H2285:Q2285" si="4570">IF(isblank(H$1),,IFERROR(vlookup($A2285,indirect("'TVC-"&amp;text(month(H$1),"00")&amp;"'!$A:$D"),4,false),1))</f>
        <v>1</v>
      </c>
      <c r="I2285" s="62">
        <f t="shared" si="4570"/>
        <v>1</v>
      </c>
      <c r="J2285" s="62">
        <f t="shared" si="4570"/>
        <v>1</v>
      </c>
      <c r="K2285" s="62">
        <f t="shared" si="4570"/>
        <v>1</v>
      </c>
      <c r="L2285" s="62">
        <f t="shared" si="4570"/>
        <v>1</v>
      </c>
      <c r="M2285" s="62">
        <f t="shared" si="4570"/>
        <v>1</v>
      </c>
      <c r="N2285" s="62">
        <f t="shared" si="4570"/>
        <v>1</v>
      </c>
      <c r="O2285" s="62">
        <f t="shared" si="4570"/>
        <v>1</v>
      </c>
      <c r="P2285" s="62" t="str">
        <f t="shared" si="4570"/>
        <v/>
      </c>
      <c r="Q2285" s="62" t="str">
        <f t="shared" si="4570"/>
        <v/>
      </c>
      <c r="R2285" s="62">
        <f t="shared" si="7"/>
        <v>0</v>
      </c>
      <c r="S2285" s="62"/>
      <c r="T2285" s="62"/>
      <c r="U2285" s="62"/>
      <c r="V2285" s="62"/>
      <c r="W2285" s="62"/>
      <c r="X2285" s="62"/>
      <c r="Y2285" s="62"/>
      <c r="Z2285" s="62"/>
      <c r="AA2285" s="62"/>
      <c r="AB2285" s="62"/>
      <c r="AC2285" s="62"/>
    </row>
    <row r="2286" hidden="1">
      <c r="A2286" s="60">
        <f>IFERROR(__xludf.DUMMYFUNCTION("""COMPUTED_VALUE"""),17348.0)</f>
        <v>17348</v>
      </c>
      <c r="B2286" s="60" t="str">
        <f>IFERROR(__xludf.DUMMYFUNCTION("""COMPUTED_VALUE"""),"Carter, Nathan")</f>
        <v>Carter, Nathan</v>
      </c>
      <c r="C2286" s="60" t="str">
        <f>IFERROR(__xludf.DUMMYFUNCTION("""COMPUTED_VALUE"""),"RB")</f>
        <v>RB</v>
      </c>
      <c r="D2286" s="60" t="str">
        <f>IFERROR(__xludf.DUMMYFUNCTION("""COMPUTED_VALUE"""),"ATL")</f>
        <v>ATL</v>
      </c>
      <c r="E2286" s="62" t="str">
        <f t="shared" si="4"/>
        <v>Nathan Carter</v>
      </c>
      <c r="F2286" s="62">
        <f t="shared" ref="F2286:G2286" si="4571">IF(isblank(F$1),,IF(isblank($A2286),,IFERROR(vlookup($A2286,indirect("'TVC-"&amp;text(month(F$1),"00")&amp;"'!$A:$D"),4,false),1)))</f>
        <v>1</v>
      </c>
      <c r="G2286" s="62">
        <f t="shared" si="4571"/>
        <v>1</v>
      </c>
      <c r="H2286" s="62">
        <f t="shared" ref="H2286:Q2286" si="4572">IF(isblank(H$1),,IFERROR(vlookup($A2286,indirect("'TVC-"&amp;text(month(H$1),"00")&amp;"'!$A:$D"),4,false),1))</f>
        <v>1</v>
      </c>
      <c r="I2286" s="62">
        <f t="shared" si="4572"/>
        <v>1</v>
      </c>
      <c r="J2286" s="62">
        <f t="shared" si="4572"/>
        <v>1</v>
      </c>
      <c r="K2286" s="62">
        <f t="shared" si="4572"/>
        <v>1</v>
      </c>
      <c r="L2286" s="62">
        <f t="shared" si="4572"/>
        <v>498</v>
      </c>
      <c r="M2286" s="62">
        <f t="shared" si="4572"/>
        <v>501</v>
      </c>
      <c r="N2286" s="62">
        <f t="shared" si="4572"/>
        <v>467</v>
      </c>
      <c r="O2286" s="62">
        <f t="shared" si="4572"/>
        <v>1</v>
      </c>
      <c r="P2286" s="62" t="str">
        <f t="shared" si="4572"/>
        <v/>
      </c>
      <c r="Q2286" s="62" t="str">
        <f t="shared" si="4572"/>
        <v/>
      </c>
      <c r="R2286" s="62">
        <f t="shared" si="7"/>
        <v>-466</v>
      </c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</row>
    <row r="2287" hidden="1">
      <c r="A2287" s="60">
        <f>IFERROR(__xludf.DUMMYFUNCTION("""COMPUTED_VALUE"""),17349.0)</f>
        <v>17349</v>
      </c>
      <c r="B2287" s="60" t="str">
        <f>IFERROR(__xludf.DUMMYFUNCTION("""COMPUTED_VALUE"""),"Larvadain, Gage")</f>
        <v>Larvadain, Gage</v>
      </c>
      <c r="C2287" s="60" t="str">
        <f>IFERROR(__xludf.DUMMYFUNCTION("""COMPUTED_VALUE"""),"WR")</f>
        <v>WR</v>
      </c>
      <c r="D2287" s="60" t="str">
        <f>IFERROR(__xludf.DUMMYFUNCTION("""COMPUTED_VALUE"""),"BAL")</f>
        <v>BAL</v>
      </c>
      <c r="E2287" s="62" t="str">
        <f t="shared" si="4"/>
        <v>Gage Larvadain</v>
      </c>
      <c r="F2287" s="62">
        <f t="shared" ref="F2287:G2287" si="4573">IF(isblank(F$1),,IF(isblank($A2287),,IFERROR(vlookup($A2287,indirect("'TVC-"&amp;text(month(F$1),"00")&amp;"'!$A:$D"),4,false),1)))</f>
        <v>1</v>
      </c>
      <c r="G2287" s="62">
        <f t="shared" si="4573"/>
        <v>1</v>
      </c>
      <c r="H2287" s="62">
        <f t="shared" ref="H2287:Q2287" si="4574">IF(isblank(H$1),,IFERROR(vlookup($A2287,indirect("'TVC-"&amp;text(month(H$1),"00")&amp;"'!$A:$D"),4,false),1))</f>
        <v>1</v>
      </c>
      <c r="I2287" s="62">
        <f t="shared" si="4574"/>
        <v>1</v>
      </c>
      <c r="J2287" s="62">
        <f t="shared" si="4574"/>
        <v>1</v>
      </c>
      <c r="K2287" s="62">
        <f t="shared" si="4574"/>
        <v>1</v>
      </c>
      <c r="L2287" s="62">
        <f t="shared" si="4574"/>
        <v>1</v>
      </c>
      <c r="M2287" s="62">
        <f t="shared" si="4574"/>
        <v>1</v>
      </c>
      <c r="N2287" s="62">
        <f t="shared" si="4574"/>
        <v>1</v>
      </c>
      <c r="O2287" s="62">
        <f t="shared" si="4574"/>
        <v>1</v>
      </c>
      <c r="P2287" s="62" t="str">
        <f t="shared" si="4574"/>
        <v/>
      </c>
      <c r="Q2287" s="62" t="str">
        <f t="shared" si="4574"/>
        <v/>
      </c>
      <c r="R2287" s="62">
        <f t="shared" si="7"/>
        <v>0</v>
      </c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</row>
    <row r="2288" hidden="1">
      <c r="A2288" s="60">
        <f>IFERROR(__xludf.DUMMYFUNCTION("""COMPUTED_VALUE"""),17350.0)</f>
        <v>17350</v>
      </c>
      <c r="B2288" s="60" t="str">
        <f>IFERROR(__xludf.DUMMYFUNCTION("""COMPUTED_VALUE"""),"Huntington, Adin")</f>
        <v>Huntington, Adin</v>
      </c>
      <c r="C2288" s="60" t="str">
        <f>IFERROR(__xludf.DUMMYFUNCTION("""COMPUTED_VALUE"""),"DE")</f>
        <v>DE</v>
      </c>
      <c r="D2288" s="60" t="str">
        <f>IFERROR(__xludf.DUMMYFUNCTION("""COMPUTED_VALUE"""),"CLE")</f>
        <v>CLE</v>
      </c>
      <c r="E2288" s="62" t="str">
        <f t="shared" si="4"/>
        <v>Adin Huntington</v>
      </c>
      <c r="F2288" s="62">
        <f t="shared" ref="F2288:G2288" si="4575">IF(isblank(F$1),,IF(isblank($A2288),,IFERROR(vlookup($A2288,indirect("'TVC-"&amp;text(month(F$1),"00")&amp;"'!$A:$D"),4,false),1)))</f>
        <v>1</v>
      </c>
      <c r="G2288" s="62">
        <f t="shared" si="4575"/>
        <v>1</v>
      </c>
      <c r="H2288" s="62">
        <f t="shared" ref="H2288:Q2288" si="4576">IF(isblank(H$1),,IFERROR(vlookup($A2288,indirect("'TVC-"&amp;text(month(H$1),"00")&amp;"'!$A:$D"),4,false),1))</f>
        <v>1</v>
      </c>
      <c r="I2288" s="62">
        <f t="shared" si="4576"/>
        <v>1</v>
      </c>
      <c r="J2288" s="62">
        <f t="shared" si="4576"/>
        <v>1</v>
      </c>
      <c r="K2288" s="62">
        <f t="shared" si="4576"/>
        <v>1</v>
      </c>
      <c r="L2288" s="62">
        <f t="shared" si="4576"/>
        <v>1</v>
      </c>
      <c r="M2288" s="62">
        <f t="shared" si="4576"/>
        <v>1</v>
      </c>
      <c r="N2288" s="62">
        <f t="shared" si="4576"/>
        <v>1</v>
      </c>
      <c r="O2288" s="62">
        <f t="shared" si="4576"/>
        <v>1</v>
      </c>
      <c r="P2288" s="62" t="str">
        <f t="shared" si="4576"/>
        <v/>
      </c>
      <c r="Q2288" s="62" t="str">
        <f t="shared" si="4576"/>
        <v/>
      </c>
      <c r="R2288" s="62">
        <f t="shared" si="7"/>
        <v>0</v>
      </c>
      <c r="S2288" s="62"/>
      <c r="T2288" s="62"/>
      <c r="U2288" s="62"/>
      <c r="V2288" s="62"/>
      <c r="W2288" s="62"/>
      <c r="X2288" s="62"/>
      <c r="Y2288" s="62"/>
      <c r="Z2288" s="62"/>
      <c r="AA2288" s="62"/>
      <c r="AB2288" s="62"/>
      <c r="AC2288" s="62"/>
    </row>
    <row r="2289" hidden="1">
      <c r="A2289" s="60">
        <f>IFERROR(__xludf.DUMMYFUNCTION("""COMPUTED_VALUE"""),17351.0)</f>
        <v>17351</v>
      </c>
      <c r="B2289" s="60" t="str">
        <f>IFERROR(__xludf.DUMMYFUNCTION("""COMPUTED_VALUE"""),"Green, B.J.")</f>
        <v>Green, B.J.</v>
      </c>
      <c r="C2289" s="60" t="str">
        <f>IFERROR(__xludf.DUMMYFUNCTION("""COMPUTED_VALUE"""),"DE")</f>
        <v>DE</v>
      </c>
      <c r="D2289" s="60" t="str">
        <f>IFERROR(__xludf.DUMMYFUNCTION("""COMPUTED_VALUE"""),"JAC")</f>
        <v>JAC</v>
      </c>
      <c r="E2289" s="62" t="str">
        <f t="shared" si="4"/>
        <v>B.J. Green</v>
      </c>
      <c r="F2289" s="62">
        <f t="shared" ref="F2289:G2289" si="4577">IF(isblank(F$1),,IF(isblank($A2289),,IFERROR(vlookup($A2289,indirect("'TVC-"&amp;text(month(F$1),"00")&amp;"'!$A:$D"),4,false),1)))</f>
        <v>1</v>
      </c>
      <c r="G2289" s="62">
        <f t="shared" si="4577"/>
        <v>1</v>
      </c>
      <c r="H2289" s="62">
        <f t="shared" ref="H2289:Q2289" si="4578">IF(isblank(H$1),,IFERROR(vlookup($A2289,indirect("'TVC-"&amp;text(month(H$1),"00")&amp;"'!$A:$D"),4,false),1))</f>
        <v>1</v>
      </c>
      <c r="I2289" s="62">
        <f t="shared" si="4578"/>
        <v>1</v>
      </c>
      <c r="J2289" s="62">
        <f t="shared" si="4578"/>
        <v>1</v>
      </c>
      <c r="K2289" s="62">
        <f t="shared" si="4578"/>
        <v>1</v>
      </c>
      <c r="L2289" s="62">
        <f t="shared" si="4578"/>
        <v>1</v>
      </c>
      <c r="M2289" s="62">
        <f t="shared" si="4578"/>
        <v>1</v>
      </c>
      <c r="N2289" s="62">
        <f t="shared" si="4578"/>
        <v>1</v>
      </c>
      <c r="O2289" s="62">
        <f t="shared" si="4578"/>
        <v>1</v>
      </c>
      <c r="P2289" s="62" t="str">
        <f t="shared" si="4578"/>
        <v/>
      </c>
      <c r="Q2289" s="62" t="str">
        <f t="shared" si="4578"/>
        <v/>
      </c>
      <c r="R2289" s="62">
        <f t="shared" si="7"/>
        <v>0</v>
      </c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</row>
    <row r="2290" hidden="1">
      <c r="A2290" s="60">
        <f>IFERROR(__xludf.DUMMYFUNCTION("""COMPUTED_VALUE"""),17352.0)</f>
        <v>17352</v>
      </c>
      <c r="B2290" s="60" t="str">
        <f>IFERROR(__xludf.DUMMYFUNCTION("""COMPUTED_VALUE"""),"Kroeger, Kai")</f>
        <v>Kroeger, Kai</v>
      </c>
      <c r="C2290" s="60" t="str">
        <f>IFERROR(__xludf.DUMMYFUNCTION("""COMPUTED_VALUE"""),"PN")</f>
        <v>PN</v>
      </c>
      <c r="D2290" s="60" t="str">
        <f>IFERROR(__xludf.DUMMYFUNCTION("""COMPUTED_VALUE"""),"HOU")</f>
        <v>HOU</v>
      </c>
      <c r="E2290" s="62" t="str">
        <f t="shared" si="4"/>
        <v>Kai Kroeger</v>
      </c>
      <c r="F2290" s="62">
        <f t="shared" ref="F2290:G2290" si="4579">IF(isblank(F$1),,IF(isblank($A2290),,IFERROR(vlookup($A2290,indirect("'TVC-"&amp;text(month(F$1),"00")&amp;"'!$A:$D"),4,false),1)))</f>
        <v>1</v>
      </c>
      <c r="G2290" s="62">
        <f t="shared" si="4579"/>
        <v>1</v>
      </c>
      <c r="H2290" s="62">
        <f t="shared" ref="H2290:Q2290" si="4580">IF(isblank(H$1),,IFERROR(vlookup($A2290,indirect("'TVC-"&amp;text(month(H$1),"00")&amp;"'!$A:$D"),4,false),1))</f>
        <v>1</v>
      </c>
      <c r="I2290" s="62">
        <f t="shared" si="4580"/>
        <v>1</v>
      </c>
      <c r="J2290" s="62">
        <f t="shared" si="4580"/>
        <v>1</v>
      </c>
      <c r="K2290" s="62">
        <f t="shared" si="4580"/>
        <v>1</v>
      </c>
      <c r="L2290" s="62">
        <f t="shared" si="4580"/>
        <v>1</v>
      </c>
      <c r="M2290" s="62">
        <f t="shared" si="4580"/>
        <v>1</v>
      </c>
      <c r="N2290" s="62">
        <f t="shared" si="4580"/>
        <v>1</v>
      </c>
      <c r="O2290" s="62">
        <f t="shared" si="4580"/>
        <v>1</v>
      </c>
      <c r="P2290" s="62" t="str">
        <f t="shared" si="4580"/>
        <v/>
      </c>
      <c r="Q2290" s="62" t="str">
        <f t="shared" si="4580"/>
        <v/>
      </c>
      <c r="R2290" s="62">
        <f t="shared" si="7"/>
        <v>0</v>
      </c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</row>
    <row r="2291" hidden="1">
      <c r="A2291" s="60">
        <f>IFERROR(__xludf.DUMMYFUNCTION("""COMPUTED_VALUE"""),17353.0)</f>
        <v>17353</v>
      </c>
      <c r="B2291" s="60" t="str">
        <f>IFERROR(__xludf.DUMMYFUNCTION("""COMPUTED_VALUE"""),"Walker, Jahdae")</f>
        <v>Walker, Jahdae</v>
      </c>
      <c r="C2291" s="60" t="str">
        <f>IFERROR(__xludf.DUMMYFUNCTION("""COMPUTED_VALUE"""),"WR")</f>
        <v>WR</v>
      </c>
      <c r="D2291" s="60" t="str">
        <f>IFERROR(__xludf.DUMMYFUNCTION("""COMPUTED_VALUE"""),"CHI")</f>
        <v>CHI</v>
      </c>
      <c r="E2291" s="62" t="str">
        <f t="shared" si="4"/>
        <v>Jahdae Walker</v>
      </c>
      <c r="F2291" s="62">
        <f t="shared" ref="F2291:G2291" si="4581">IF(isblank(F$1),,IF(isblank($A2291),,IFERROR(vlookup($A2291,indirect("'TVC-"&amp;text(month(F$1),"00")&amp;"'!$A:$D"),4,false),1)))</f>
        <v>1</v>
      </c>
      <c r="G2291" s="62">
        <f t="shared" si="4581"/>
        <v>1</v>
      </c>
      <c r="H2291" s="62">
        <f t="shared" ref="H2291:Q2291" si="4582">IF(isblank(H$1),,IFERROR(vlookup($A2291,indirect("'TVC-"&amp;text(month(H$1),"00")&amp;"'!$A:$D"),4,false),1))</f>
        <v>1</v>
      </c>
      <c r="I2291" s="62">
        <f t="shared" si="4582"/>
        <v>1</v>
      </c>
      <c r="J2291" s="62">
        <f t="shared" si="4582"/>
        <v>1</v>
      </c>
      <c r="K2291" s="62">
        <f t="shared" si="4582"/>
        <v>1</v>
      </c>
      <c r="L2291" s="62">
        <f t="shared" si="4582"/>
        <v>1</v>
      </c>
      <c r="M2291" s="62">
        <f t="shared" si="4582"/>
        <v>1</v>
      </c>
      <c r="N2291" s="62">
        <f t="shared" si="4582"/>
        <v>1341</v>
      </c>
      <c r="O2291" s="62">
        <f t="shared" si="4582"/>
        <v>1</v>
      </c>
      <c r="P2291" s="62" t="str">
        <f t="shared" si="4582"/>
        <v/>
      </c>
      <c r="Q2291" s="62" t="str">
        <f t="shared" si="4582"/>
        <v/>
      </c>
      <c r="R2291" s="62">
        <f t="shared" si="7"/>
        <v>-1340</v>
      </c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</row>
    <row r="2292" hidden="1">
      <c r="A2292" s="60">
        <f>IFERROR(__xludf.DUMMYFUNCTION("""COMPUTED_VALUE"""),17354.0)</f>
        <v>17354</v>
      </c>
      <c r="B2292" s="60" t="str">
        <f>IFERROR(__xludf.DUMMYFUNCTION("""COMPUTED_VALUE"""),"Wax, Marlowe")</f>
        <v>Wax, Marlowe</v>
      </c>
      <c r="C2292" s="60" t="str">
        <f>IFERROR(__xludf.DUMMYFUNCTION("""COMPUTED_VALUE"""),"LB")</f>
        <v>LB</v>
      </c>
      <c r="D2292" s="60" t="str">
        <f>IFERROR(__xludf.DUMMYFUNCTION("""COMPUTED_VALUE"""),"LAC")</f>
        <v>LAC</v>
      </c>
      <c r="E2292" s="62" t="str">
        <f t="shared" si="4"/>
        <v>Marlowe Wax</v>
      </c>
      <c r="F2292" s="62">
        <f t="shared" ref="F2292:G2292" si="4583">IF(isblank(F$1),,IF(isblank($A2292),,IFERROR(vlookup($A2292,indirect("'TVC-"&amp;text(month(F$1),"00")&amp;"'!$A:$D"),4,false),1)))</f>
        <v>1</v>
      </c>
      <c r="G2292" s="62">
        <f t="shared" si="4583"/>
        <v>1</v>
      </c>
      <c r="H2292" s="62">
        <f t="shared" ref="H2292:Q2292" si="4584">IF(isblank(H$1),,IFERROR(vlookup($A2292,indirect("'TVC-"&amp;text(month(H$1),"00")&amp;"'!$A:$D"),4,false),1))</f>
        <v>1</v>
      </c>
      <c r="I2292" s="62">
        <f t="shared" si="4584"/>
        <v>1</v>
      </c>
      <c r="J2292" s="62">
        <f t="shared" si="4584"/>
        <v>1</v>
      </c>
      <c r="K2292" s="62">
        <f t="shared" si="4584"/>
        <v>1</v>
      </c>
      <c r="L2292" s="62">
        <f t="shared" si="4584"/>
        <v>1</v>
      </c>
      <c r="M2292" s="62">
        <f t="shared" si="4584"/>
        <v>1</v>
      </c>
      <c r="N2292" s="62">
        <f t="shared" si="4584"/>
        <v>1</v>
      </c>
      <c r="O2292" s="62">
        <f t="shared" si="4584"/>
        <v>1</v>
      </c>
      <c r="P2292" s="62" t="str">
        <f t="shared" si="4584"/>
        <v/>
      </c>
      <c r="Q2292" s="62" t="str">
        <f t="shared" si="4584"/>
        <v/>
      </c>
      <c r="R2292" s="62">
        <f t="shared" si="7"/>
        <v>0</v>
      </c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</row>
    <row r="2293" hidden="1">
      <c r="A2293" s="60">
        <f>IFERROR(__xludf.DUMMYFUNCTION("""COMPUTED_VALUE"""),17355.0)</f>
        <v>17355</v>
      </c>
      <c r="B2293" s="60" t="str">
        <f>IFERROR(__xludf.DUMMYFUNCTION("""COMPUTED_VALUE"""),"Chambliss, Chaz")</f>
        <v>Chambliss, Chaz</v>
      </c>
      <c r="C2293" s="60" t="str">
        <f>IFERROR(__xludf.DUMMYFUNCTION("""COMPUTED_VALUE"""),"LB")</f>
        <v>LB</v>
      </c>
      <c r="D2293" s="60" t="str">
        <f>IFERROR(__xludf.DUMMYFUNCTION("""COMPUTED_VALUE"""),"MIN")</f>
        <v>MIN</v>
      </c>
      <c r="E2293" s="62" t="str">
        <f t="shared" si="4"/>
        <v>Chaz Chambliss</v>
      </c>
      <c r="F2293" s="62">
        <f t="shared" ref="F2293:G2293" si="4585">IF(isblank(F$1),,IF(isblank($A2293),,IFERROR(vlookup($A2293,indirect("'TVC-"&amp;text(month(F$1),"00")&amp;"'!$A:$D"),4,false),1)))</f>
        <v>1</v>
      </c>
      <c r="G2293" s="62">
        <f t="shared" si="4585"/>
        <v>1</v>
      </c>
      <c r="H2293" s="62">
        <f t="shared" ref="H2293:Q2293" si="4586">IF(isblank(H$1),,IFERROR(vlookup($A2293,indirect("'TVC-"&amp;text(month(H$1),"00")&amp;"'!$A:$D"),4,false),1))</f>
        <v>1</v>
      </c>
      <c r="I2293" s="62">
        <f t="shared" si="4586"/>
        <v>1</v>
      </c>
      <c r="J2293" s="62">
        <f t="shared" si="4586"/>
        <v>1</v>
      </c>
      <c r="K2293" s="62">
        <f t="shared" si="4586"/>
        <v>1</v>
      </c>
      <c r="L2293" s="62">
        <f t="shared" si="4586"/>
        <v>1</v>
      </c>
      <c r="M2293" s="62">
        <f t="shared" si="4586"/>
        <v>1</v>
      </c>
      <c r="N2293" s="62">
        <f t="shared" si="4586"/>
        <v>1</v>
      </c>
      <c r="O2293" s="62">
        <f t="shared" si="4586"/>
        <v>1</v>
      </c>
      <c r="P2293" s="62" t="str">
        <f t="shared" si="4586"/>
        <v/>
      </c>
      <c r="Q2293" s="62" t="str">
        <f t="shared" si="4586"/>
        <v/>
      </c>
      <c r="R2293" s="62">
        <f t="shared" si="7"/>
        <v>0</v>
      </c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</row>
    <row r="2294" hidden="1">
      <c r="A2294" s="60">
        <f>IFERROR(__xludf.DUMMYFUNCTION("""COMPUTED_VALUE"""),17356.0)</f>
        <v>17356</v>
      </c>
      <c r="B2294" s="60" t="str">
        <f>IFERROR(__xludf.DUMMYFUNCTION("""COMPUTED_VALUE"""),"McDonald, Cooper")</f>
        <v>McDonald, Cooper</v>
      </c>
      <c r="C2294" s="60" t="str">
        <f>IFERROR(__xludf.DUMMYFUNCTION("""COMPUTED_VALUE"""),"LB")</f>
        <v>LB</v>
      </c>
      <c r="D2294" s="60" t="str">
        <f>IFERROR(__xludf.DUMMYFUNCTION("""COMPUTED_VALUE"""),"KCC")</f>
        <v>KCC</v>
      </c>
      <c r="E2294" s="62" t="str">
        <f t="shared" si="4"/>
        <v>Cooper McDonald</v>
      </c>
      <c r="F2294" s="62">
        <f t="shared" ref="F2294:G2294" si="4587">IF(isblank(F$1),,IF(isblank($A2294),,IFERROR(vlookup($A2294,indirect("'TVC-"&amp;text(month(F$1),"00")&amp;"'!$A:$D"),4,false),1)))</f>
        <v>1</v>
      </c>
      <c r="G2294" s="62">
        <f t="shared" si="4587"/>
        <v>1</v>
      </c>
      <c r="H2294" s="62">
        <f t="shared" ref="H2294:Q2294" si="4588">IF(isblank(H$1),,IFERROR(vlookup($A2294,indirect("'TVC-"&amp;text(month(H$1),"00")&amp;"'!$A:$D"),4,false),1))</f>
        <v>1</v>
      </c>
      <c r="I2294" s="62">
        <f t="shared" si="4588"/>
        <v>1</v>
      </c>
      <c r="J2294" s="62">
        <f t="shared" si="4588"/>
        <v>1</v>
      </c>
      <c r="K2294" s="62">
        <f t="shared" si="4588"/>
        <v>1</v>
      </c>
      <c r="L2294" s="62">
        <f t="shared" si="4588"/>
        <v>1</v>
      </c>
      <c r="M2294" s="62">
        <f t="shared" si="4588"/>
        <v>1</v>
      </c>
      <c r="N2294" s="62">
        <f t="shared" si="4588"/>
        <v>1</v>
      </c>
      <c r="O2294" s="62">
        <f t="shared" si="4588"/>
        <v>1</v>
      </c>
      <c r="P2294" s="62" t="str">
        <f t="shared" si="4588"/>
        <v/>
      </c>
      <c r="Q2294" s="62" t="str">
        <f t="shared" si="4588"/>
        <v/>
      </c>
      <c r="R2294" s="62">
        <f t="shared" si="7"/>
        <v>0</v>
      </c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</row>
    <row r="2295" hidden="1">
      <c r="A2295" s="60">
        <f>IFERROR(__xludf.DUMMYFUNCTION("""COMPUTED_VALUE"""),17357.0)</f>
        <v>17357</v>
      </c>
      <c r="B2295" s="60" t="str">
        <f>IFERROR(__xludf.DUMMYFUNCTION("""COMPUTED_VALUE"""),"Thornton, Corey")</f>
        <v>Thornton, Corey</v>
      </c>
      <c r="C2295" s="60" t="str">
        <f>IFERROR(__xludf.DUMMYFUNCTION("""COMPUTED_VALUE"""),"CB")</f>
        <v>CB</v>
      </c>
      <c r="D2295" s="60" t="str">
        <f>IFERROR(__xludf.DUMMYFUNCTION("""COMPUTED_VALUE"""),"CAR")</f>
        <v>CAR</v>
      </c>
      <c r="E2295" s="62" t="str">
        <f t="shared" si="4"/>
        <v>Corey Thornton</v>
      </c>
      <c r="F2295" s="62">
        <f t="shared" ref="F2295:G2295" si="4589">IF(isblank(F$1),,IF(isblank($A2295),,IFERROR(vlookup($A2295,indirect("'TVC-"&amp;text(month(F$1),"00")&amp;"'!$A:$D"),4,false),1)))</f>
        <v>1</v>
      </c>
      <c r="G2295" s="62">
        <f t="shared" si="4589"/>
        <v>1</v>
      </c>
      <c r="H2295" s="62">
        <f t="shared" ref="H2295:Q2295" si="4590">IF(isblank(H$1),,IFERROR(vlookup($A2295,indirect("'TVC-"&amp;text(month(H$1),"00")&amp;"'!$A:$D"),4,false),1))</f>
        <v>1</v>
      </c>
      <c r="I2295" s="62">
        <f t="shared" si="4590"/>
        <v>1</v>
      </c>
      <c r="J2295" s="62">
        <f t="shared" si="4590"/>
        <v>1</v>
      </c>
      <c r="K2295" s="62">
        <f t="shared" si="4590"/>
        <v>1</v>
      </c>
      <c r="L2295" s="62">
        <f t="shared" si="4590"/>
        <v>1</v>
      </c>
      <c r="M2295" s="62">
        <f t="shared" si="4590"/>
        <v>1</v>
      </c>
      <c r="N2295" s="62">
        <f t="shared" si="4590"/>
        <v>1</v>
      </c>
      <c r="O2295" s="62">
        <f t="shared" si="4590"/>
        <v>1</v>
      </c>
      <c r="P2295" s="62" t="str">
        <f t="shared" si="4590"/>
        <v/>
      </c>
      <c r="Q2295" s="62" t="str">
        <f t="shared" si="4590"/>
        <v/>
      </c>
      <c r="R2295" s="62">
        <f t="shared" si="7"/>
        <v>0</v>
      </c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</row>
    <row r="2296" hidden="1">
      <c r="A2296" s="60">
        <f>IFERROR(__xludf.DUMMYFUNCTION("""COMPUTED_VALUE"""),17358.0)</f>
        <v>17358</v>
      </c>
      <c r="B2296" s="60" t="str">
        <f>IFERROR(__xludf.DUMMYFUNCTION("""COMPUTED_VALUE"""),"Bullock, John")</f>
        <v>Bullock, John</v>
      </c>
      <c r="C2296" s="60" t="str">
        <f>IFERROR(__xludf.DUMMYFUNCTION("""COMPUTED_VALUE"""),"LB")</f>
        <v>LB</v>
      </c>
      <c r="D2296" s="60" t="str">
        <f>IFERROR(__xludf.DUMMYFUNCTION("""COMPUTED_VALUE"""),"FA")</f>
        <v>FA</v>
      </c>
      <c r="E2296" s="62" t="str">
        <f t="shared" si="4"/>
        <v>John Bullock</v>
      </c>
      <c r="F2296" s="62">
        <f t="shared" ref="F2296:G2296" si="4591">IF(isblank(F$1),,IF(isblank($A2296),,IFERROR(vlookup($A2296,indirect("'TVC-"&amp;text(month(F$1),"00")&amp;"'!$A:$D"),4,false),1)))</f>
        <v>1</v>
      </c>
      <c r="G2296" s="62">
        <f t="shared" si="4591"/>
        <v>1</v>
      </c>
      <c r="H2296" s="62">
        <f t="shared" ref="H2296:Q2296" si="4592">IF(isblank(H$1),,IFERROR(vlookup($A2296,indirect("'TVC-"&amp;text(month(H$1),"00")&amp;"'!$A:$D"),4,false),1))</f>
        <v>1</v>
      </c>
      <c r="I2296" s="62">
        <f t="shared" si="4592"/>
        <v>1</v>
      </c>
      <c r="J2296" s="62">
        <f t="shared" si="4592"/>
        <v>1</v>
      </c>
      <c r="K2296" s="62">
        <f t="shared" si="4592"/>
        <v>1</v>
      </c>
      <c r="L2296" s="62">
        <f t="shared" si="4592"/>
        <v>1</v>
      </c>
      <c r="M2296" s="62">
        <f t="shared" si="4592"/>
        <v>1</v>
      </c>
      <c r="N2296" s="62">
        <f t="shared" si="4592"/>
        <v>1</v>
      </c>
      <c r="O2296" s="62">
        <f t="shared" si="4592"/>
        <v>1</v>
      </c>
      <c r="P2296" s="62" t="str">
        <f t="shared" si="4592"/>
        <v/>
      </c>
      <c r="Q2296" s="62" t="str">
        <f t="shared" si="4592"/>
        <v/>
      </c>
      <c r="R2296" s="62">
        <f t="shared" si="7"/>
        <v>0</v>
      </c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</row>
    <row r="2297" hidden="1">
      <c r="A2297" s="60">
        <f>IFERROR(__xludf.DUMMYFUNCTION("""COMPUTED_VALUE"""),17359.0)</f>
        <v>17359</v>
      </c>
      <c r="B2297" s="60" t="str">
        <f>IFERROR(__xludf.DUMMYFUNCTION("""COMPUTED_VALUE"""),"Williams, Josh")</f>
        <v>Williams, Josh</v>
      </c>
      <c r="C2297" s="60" t="str">
        <f>IFERROR(__xludf.DUMMYFUNCTION("""COMPUTED_VALUE"""),"RB")</f>
        <v>RB</v>
      </c>
      <c r="D2297" s="60" t="str">
        <f>IFERROR(__xludf.DUMMYFUNCTION("""COMPUTED_VALUE"""),"TBB")</f>
        <v>TBB</v>
      </c>
      <c r="E2297" s="62" t="str">
        <f t="shared" si="4"/>
        <v>Josh Williams</v>
      </c>
      <c r="F2297" s="62">
        <f t="shared" ref="F2297:G2297" si="4593">IF(isblank(F$1),,IF(isblank($A2297),,IFERROR(vlookup($A2297,indirect("'TVC-"&amp;text(month(F$1),"00")&amp;"'!$A:$D"),4,false),1)))</f>
        <v>1</v>
      </c>
      <c r="G2297" s="62">
        <f t="shared" si="4593"/>
        <v>1</v>
      </c>
      <c r="H2297" s="62">
        <f t="shared" ref="H2297:Q2297" si="4594">IF(isblank(H$1),,IFERROR(vlookup($A2297,indirect("'TVC-"&amp;text(month(H$1),"00")&amp;"'!$A:$D"),4,false),1))</f>
        <v>1</v>
      </c>
      <c r="I2297" s="62">
        <f t="shared" si="4594"/>
        <v>1</v>
      </c>
      <c r="J2297" s="62">
        <f t="shared" si="4594"/>
        <v>1</v>
      </c>
      <c r="K2297" s="62">
        <f t="shared" si="4594"/>
        <v>1</v>
      </c>
      <c r="L2297" s="62">
        <f t="shared" si="4594"/>
        <v>1</v>
      </c>
      <c r="M2297" s="62">
        <f t="shared" si="4594"/>
        <v>1</v>
      </c>
      <c r="N2297" s="62">
        <f t="shared" si="4594"/>
        <v>1</v>
      </c>
      <c r="O2297" s="62">
        <f t="shared" si="4594"/>
        <v>1</v>
      </c>
      <c r="P2297" s="62" t="str">
        <f t="shared" si="4594"/>
        <v/>
      </c>
      <c r="Q2297" s="62" t="str">
        <f t="shared" si="4594"/>
        <v/>
      </c>
      <c r="R2297" s="62">
        <f t="shared" si="7"/>
        <v>0</v>
      </c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</row>
    <row r="2298" hidden="1">
      <c r="A2298" s="60">
        <f>IFERROR(__xludf.DUMMYFUNCTION("""COMPUTED_VALUE"""),17360.0)</f>
        <v>17360</v>
      </c>
      <c r="B2298" s="60" t="str">
        <f>IFERROR(__xludf.DUMMYFUNCTION("""COMPUTED_VALUE"""),"Price, Myles")</f>
        <v>Price, Myles</v>
      </c>
      <c r="C2298" s="60" t="str">
        <f>IFERROR(__xludf.DUMMYFUNCTION("""COMPUTED_VALUE"""),"WR")</f>
        <v>WR</v>
      </c>
      <c r="D2298" s="60" t="str">
        <f>IFERROR(__xludf.DUMMYFUNCTION("""COMPUTED_VALUE"""),"MIN")</f>
        <v>MIN</v>
      </c>
      <c r="E2298" s="62" t="str">
        <f t="shared" si="4"/>
        <v>Myles Price</v>
      </c>
      <c r="F2298" s="62">
        <f t="shared" ref="F2298:G2298" si="4595">IF(isblank(F$1),,IF(isblank($A2298),,IFERROR(vlookup($A2298,indirect("'TVC-"&amp;text(month(F$1),"00")&amp;"'!$A:$D"),4,false),1)))</f>
        <v>1</v>
      </c>
      <c r="G2298" s="62">
        <f t="shared" si="4595"/>
        <v>1</v>
      </c>
      <c r="H2298" s="62">
        <f t="shared" ref="H2298:Q2298" si="4596">IF(isblank(H$1),,IFERROR(vlookup($A2298,indirect("'TVC-"&amp;text(month(H$1),"00")&amp;"'!$A:$D"),4,false),1))</f>
        <v>1</v>
      </c>
      <c r="I2298" s="62">
        <f t="shared" si="4596"/>
        <v>1</v>
      </c>
      <c r="J2298" s="62">
        <f t="shared" si="4596"/>
        <v>1</v>
      </c>
      <c r="K2298" s="62">
        <f t="shared" si="4596"/>
        <v>1</v>
      </c>
      <c r="L2298" s="62">
        <f t="shared" si="4596"/>
        <v>1</v>
      </c>
      <c r="M2298" s="62">
        <f t="shared" si="4596"/>
        <v>1</v>
      </c>
      <c r="N2298" s="62">
        <f t="shared" si="4596"/>
        <v>1</v>
      </c>
      <c r="O2298" s="62">
        <f t="shared" si="4596"/>
        <v>1</v>
      </c>
      <c r="P2298" s="62" t="str">
        <f t="shared" si="4596"/>
        <v/>
      </c>
      <c r="Q2298" s="62" t="str">
        <f t="shared" si="4596"/>
        <v/>
      </c>
      <c r="R2298" s="62">
        <f t="shared" si="7"/>
        <v>0</v>
      </c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</row>
    <row r="2299" hidden="1">
      <c r="A2299" s="60">
        <f>IFERROR(__xludf.DUMMYFUNCTION("""COMPUTED_VALUE"""),17361.0)</f>
        <v>17361</v>
      </c>
      <c r="B2299" s="60" t="str">
        <f>IFERROR(__xludf.DUMMYFUNCTION("""COMPUTED_VALUE"""),"Ponder, Elijah")</f>
        <v>Ponder, Elijah</v>
      </c>
      <c r="C2299" s="60" t="str">
        <f>IFERROR(__xludf.DUMMYFUNCTION("""COMPUTED_VALUE"""),"LB")</f>
        <v>LB</v>
      </c>
      <c r="D2299" s="60" t="str">
        <f>IFERROR(__xludf.DUMMYFUNCTION("""COMPUTED_VALUE"""),"NEP")</f>
        <v>NEP</v>
      </c>
      <c r="E2299" s="62" t="str">
        <f t="shared" si="4"/>
        <v>Elijah Ponder</v>
      </c>
      <c r="F2299" s="62">
        <f t="shared" ref="F2299:G2299" si="4597">IF(isblank(F$1),,IF(isblank($A2299),,IFERROR(vlookup($A2299,indirect("'TVC-"&amp;text(month(F$1),"00")&amp;"'!$A:$D"),4,false),1)))</f>
        <v>1</v>
      </c>
      <c r="G2299" s="62">
        <f t="shared" si="4597"/>
        <v>1</v>
      </c>
      <c r="H2299" s="62">
        <f t="shared" ref="H2299:Q2299" si="4598">IF(isblank(H$1),,IFERROR(vlookup($A2299,indirect("'TVC-"&amp;text(month(H$1),"00")&amp;"'!$A:$D"),4,false),1))</f>
        <v>1</v>
      </c>
      <c r="I2299" s="62">
        <f t="shared" si="4598"/>
        <v>1</v>
      </c>
      <c r="J2299" s="62">
        <f t="shared" si="4598"/>
        <v>1</v>
      </c>
      <c r="K2299" s="62">
        <f t="shared" si="4598"/>
        <v>1</v>
      </c>
      <c r="L2299" s="62">
        <f t="shared" si="4598"/>
        <v>1</v>
      </c>
      <c r="M2299" s="62">
        <f t="shared" si="4598"/>
        <v>1</v>
      </c>
      <c r="N2299" s="62">
        <f t="shared" si="4598"/>
        <v>1</v>
      </c>
      <c r="O2299" s="62">
        <f t="shared" si="4598"/>
        <v>1</v>
      </c>
      <c r="P2299" s="62" t="str">
        <f t="shared" si="4598"/>
        <v/>
      </c>
      <c r="Q2299" s="62" t="str">
        <f t="shared" si="4598"/>
        <v/>
      </c>
      <c r="R2299" s="62">
        <f t="shared" si="7"/>
        <v>0</v>
      </c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</row>
    <row r="2300" hidden="1">
      <c r="A2300" s="60">
        <f>IFERROR(__xludf.DUMMYFUNCTION("""COMPUTED_VALUE"""),17362.0)</f>
        <v>17362</v>
      </c>
      <c r="B2300" s="60" t="str">
        <f>IFERROR(__xludf.DUMMYFUNCTION("""COMPUTED_VALUE"""),"Reid, Karene")</f>
        <v>Reid, Karene</v>
      </c>
      <c r="C2300" s="60" t="str">
        <f>IFERROR(__xludf.DUMMYFUNCTION("""COMPUTED_VALUE"""),"LB")</f>
        <v>LB</v>
      </c>
      <c r="D2300" s="60" t="str">
        <f>IFERROR(__xludf.DUMMYFUNCTION("""COMPUTED_VALUE"""),"DEN")</f>
        <v>DEN</v>
      </c>
      <c r="E2300" s="62" t="str">
        <f t="shared" si="4"/>
        <v>Karene Reid</v>
      </c>
      <c r="F2300" s="62">
        <f t="shared" ref="F2300:G2300" si="4599">IF(isblank(F$1),,IF(isblank($A2300),,IFERROR(vlookup($A2300,indirect("'TVC-"&amp;text(month(F$1),"00")&amp;"'!$A:$D"),4,false),1)))</f>
        <v>1</v>
      </c>
      <c r="G2300" s="62">
        <f t="shared" si="4599"/>
        <v>1</v>
      </c>
      <c r="H2300" s="62">
        <f t="shared" ref="H2300:Q2300" si="4600">IF(isblank(H$1),,IFERROR(vlookup($A2300,indirect("'TVC-"&amp;text(month(H$1),"00")&amp;"'!$A:$D"),4,false),1))</f>
        <v>1</v>
      </c>
      <c r="I2300" s="62">
        <f t="shared" si="4600"/>
        <v>1</v>
      </c>
      <c r="J2300" s="62">
        <f t="shared" si="4600"/>
        <v>1</v>
      </c>
      <c r="K2300" s="62">
        <f t="shared" si="4600"/>
        <v>1</v>
      </c>
      <c r="L2300" s="62">
        <f t="shared" si="4600"/>
        <v>1</v>
      </c>
      <c r="M2300" s="62">
        <f t="shared" si="4600"/>
        <v>1</v>
      </c>
      <c r="N2300" s="62">
        <f t="shared" si="4600"/>
        <v>1</v>
      </c>
      <c r="O2300" s="62">
        <f t="shared" si="4600"/>
        <v>1</v>
      </c>
      <c r="P2300" s="62" t="str">
        <f t="shared" si="4600"/>
        <v/>
      </c>
      <c r="Q2300" s="62" t="str">
        <f t="shared" si="4600"/>
        <v/>
      </c>
      <c r="R2300" s="62">
        <f t="shared" si="7"/>
        <v>0</v>
      </c>
      <c r="S2300" s="62"/>
      <c r="T2300" s="62"/>
      <c r="U2300" s="62"/>
      <c r="V2300" s="62"/>
      <c r="W2300" s="62"/>
      <c r="X2300" s="62"/>
      <c r="Y2300" s="62"/>
      <c r="Z2300" s="62"/>
      <c r="AA2300" s="62"/>
      <c r="AB2300" s="62"/>
      <c r="AC2300" s="62"/>
    </row>
    <row r="2301" hidden="1">
      <c r="A2301" s="60">
        <f>IFERROR(__xludf.DUMMYFUNCTION("""COMPUTED_VALUE"""),17365.0)</f>
        <v>17365</v>
      </c>
      <c r="B2301" s="60" t="str">
        <f>IFERROR(__xludf.DUMMYFUNCTION("""COMPUTED_VALUE"""),"McMillon, Donovan")</f>
        <v>McMillon, Donovan</v>
      </c>
      <c r="C2301" s="60" t="str">
        <f>IFERROR(__xludf.DUMMYFUNCTION("""COMPUTED_VALUE"""),"S")</f>
        <v>S</v>
      </c>
      <c r="D2301" s="60" t="str">
        <f>IFERROR(__xludf.DUMMYFUNCTION("""COMPUTED_VALUE"""),"CLE")</f>
        <v>CLE</v>
      </c>
      <c r="E2301" s="62" t="str">
        <f t="shared" si="4"/>
        <v>Donovan McMillon</v>
      </c>
      <c r="F2301" s="62">
        <f t="shared" ref="F2301:G2301" si="4601">IF(isblank(F$1),,IF(isblank($A2301),,IFERROR(vlookup($A2301,indirect("'TVC-"&amp;text(month(F$1),"00")&amp;"'!$A:$D"),4,false),1)))</f>
        <v>1</v>
      </c>
      <c r="G2301" s="62">
        <f t="shared" si="4601"/>
        <v>1</v>
      </c>
      <c r="H2301" s="62">
        <f t="shared" ref="H2301:Q2301" si="4602">IF(isblank(H$1),,IFERROR(vlookup($A2301,indirect("'TVC-"&amp;text(month(H$1),"00")&amp;"'!$A:$D"),4,false),1))</f>
        <v>1</v>
      </c>
      <c r="I2301" s="62">
        <f t="shared" si="4602"/>
        <v>1</v>
      </c>
      <c r="J2301" s="62">
        <f t="shared" si="4602"/>
        <v>1</v>
      </c>
      <c r="K2301" s="62">
        <f t="shared" si="4602"/>
        <v>1</v>
      </c>
      <c r="L2301" s="62">
        <f t="shared" si="4602"/>
        <v>1</v>
      </c>
      <c r="M2301" s="62">
        <f t="shared" si="4602"/>
        <v>1</v>
      </c>
      <c r="N2301" s="62">
        <f t="shared" si="4602"/>
        <v>1</v>
      </c>
      <c r="O2301" s="62">
        <f t="shared" si="4602"/>
        <v>1</v>
      </c>
      <c r="P2301" s="62" t="str">
        <f t="shared" si="4602"/>
        <v/>
      </c>
      <c r="Q2301" s="62" t="str">
        <f t="shared" si="4602"/>
        <v/>
      </c>
      <c r="R2301" s="62">
        <f t="shared" si="7"/>
        <v>0</v>
      </c>
      <c r="S2301" s="62"/>
      <c r="T2301" s="62"/>
      <c r="U2301" s="62"/>
      <c r="V2301" s="62"/>
      <c r="W2301" s="62"/>
      <c r="X2301" s="62"/>
      <c r="Y2301" s="62"/>
      <c r="Z2301" s="62"/>
      <c r="AA2301" s="62"/>
      <c r="AB2301" s="62"/>
      <c r="AC2301" s="62"/>
    </row>
    <row r="2302" hidden="1">
      <c r="A2302" s="60">
        <f>IFERROR(__xludf.DUMMYFUNCTION("""COMPUTED_VALUE"""),17367.0)</f>
        <v>17367</v>
      </c>
      <c r="B2302" s="60" t="str">
        <f>IFERROR(__xludf.DUMMYFUNCTION("""COMPUTED_VALUE"""),"Mausi, Dorian")</f>
        <v>Mausi, Dorian</v>
      </c>
      <c r="C2302" s="60" t="str">
        <f>IFERROR(__xludf.DUMMYFUNCTION("""COMPUTED_VALUE"""),"LB")</f>
        <v>LB</v>
      </c>
      <c r="D2302" s="60" t="str">
        <f>IFERROR(__xludf.DUMMYFUNCTION("""COMPUTED_VALUE"""),"TEN")</f>
        <v>TEN</v>
      </c>
      <c r="E2302" s="62" t="str">
        <f t="shared" si="4"/>
        <v>Dorian Mausi</v>
      </c>
      <c r="F2302" s="62">
        <f t="shared" ref="F2302:G2302" si="4603">IF(isblank(F$1),,IF(isblank($A2302),,IFERROR(vlookup($A2302,indirect("'TVC-"&amp;text(month(F$1),"00")&amp;"'!$A:$D"),4,false),1)))</f>
        <v>1</v>
      </c>
      <c r="G2302" s="62">
        <f t="shared" si="4603"/>
        <v>1</v>
      </c>
      <c r="H2302" s="62">
        <f t="shared" ref="H2302:Q2302" si="4604">IF(isblank(H$1),,IFERROR(vlookup($A2302,indirect("'TVC-"&amp;text(month(H$1),"00")&amp;"'!$A:$D"),4,false),1))</f>
        <v>1</v>
      </c>
      <c r="I2302" s="62">
        <f t="shared" si="4604"/>
        <v>1</v>
      </c>
      <c r="J2302" s="62">
        <f t="shared" si="4604"/>
        <v>1</v>
      </c>
      <c r="K2302" s="62">
        <f t="shared" si="4604"/>
        <v>1</v>
      </c>
      <c r="L2302" s="62">
        <f t="shared" si="4604"/>
        <v>1</v>
      </c>
      <c r="M2302" s="62">
        <f t="shared" si="4604"/>
        <v>1</v>
      </c>
      <c r="N2302" s="62">
        <f t="shared" si="4604"/>
        <v>1</v>
      </c>
      <c r="O2302" s="62">
        <f t="shared" si="4604"/>
        <v>1</v>
      </c>
      <c r="P2302" s="62" t="str">
        <f t="shared" si="4604"/>
        <v/>
      </c>
      <c r="Q2302" s="62" t="str">
        <f t="shared" si="4604"/>
        <v/>
      </c>
      <c r="R2302" s="62">
        <f t="shared" si="7"/>
        <v>0</v>
      </c>
      <c r="S2302" s="62"/>
      <c r="T2302" s="62"/>
      <c r="U2302" s="62"/>
      <c r="V2302" s="62"/>
      <c r="W2302" s="62"/>
      <c r="X2302" s="62"/>
      <c r="Y2302" s="62"/>
      <c r="Z2302" s="62"/>
      <c r="AA2302" s="62"/>
      <c r="AB2302" s="62"/>
      <c r="AC2302" s="62"/>
    </row>
    <row r="2303" hidden="1">
      <c r="A2303" s="60">
        <f>IFERROR(__xludf.DUMMYFUNCTION("""COMPUTED_VALUE"""),17368.0)</f>
        <v>17368</v>
      </c>
      <c r="B2303" s="60" t="str">
        <f>IFERROR(__xludf.DUMMYFUNCTION("""COMPUTED_VALUE"""),"Martin, Keyon")</f>
        <v>Martin, Keyon</v>
      </c>
      <c r="C2303" s="60" t="str">
        <f>IFERROR(__xludf.DUMMYFUNCTION("""COMPUTED_VALUE"""),"CB")</f>
        <v>CB</v>
      </c>
      <c r="D2303" s="60" t="str">
        <f>IFERROR(__xludf.DUMMYFUNCTION("""COMPUTED_VALUE"""),"BAL")</f>
        <v>BAL</v>
      </c>
      <c r="E2303" s="62" t="str">
        <f t="shared" si="4"/>
        <v>Keyon Martin</v>
      </c>
      <c r="F2303" s="62">
        <f t="shared" ref="F2303:G2303" si="4605">IF(isblank(F$1),,IF(isblank($A2303),,IFERROR(vlookup($A2303,indirect("'TVC-"&amp;text(month(F$1),"00")&amp;"'!$A:$D"),4,false),1)))</f>
        <v>1</v>
      </c>
      <c r="G2303" s="62">
        <f t="shared" si="4605"/>
        <v>1</v>
      </c>
      <c r="H2303" s="62">
        <f t="shared" ref="H2303:Q2303" si="4606">IF(isblank(H$1),,IFERROR(vlookup($A2303,indirect("'TVC-"&amp;text(month(H$1),"00")&amp;"'!$A:$D"),4,false),1))</f>
        <v>1</v>
      </c>
      <c r="I2303" s="62">
        <f t="shared" si="4606"/>
        <v>1</v>
      </c>
      <c r="J2303" s="62">
        <f t="shared" si="4606"/>
        <v>1</v>
      </c>
      <c r="K2303" s="62">
        <f t="shared" si="4606"/>
        <v>1</v>
      </c>
      <c r="L2303" s="62">
        <f t="shared" si="4606"/>
        <v>1</v>
      </c>
      <c r="M2303" s="62">
        <f t="shared" si="4606"/>
        <v>1</v>
      </c>
      <c r="N2303" s="62">
        <f t="shared" si="4606"/>
        <v>1</v>
      </c>
      <c r="O2303" s="62">
        <f t="shared" si="4606"/>
        <v>1</v>
      </c>
      <c r="P2303" s="62" t="str">
        <f t="shared" si="4606"/>
        <v/>
      </c>
      <c r="Q2303" s="62" t="str">
        <f t="shared" si="4606"/>
        <v/>
      </c>
      <c r="R2303" s="62">
        <f t="shared" si="7"/>
        <v>0</v>
      </c>
      <c r="S2303" s="62"/>
      <c r="T2303" s="62"/>
      <c r="U2303" s="62"/>
      <c r="V2303" s="62"/>
      <c r="W2303" s="62"/>
      <c r="X2303" s="62"/>
      <c r="Y2303" s="62"/>
      <c r="Z2303" s="62"/>
      <c r="AA2303" s="62"/>
      <c r="AB2303" s="62"/>
      <c r="AC2303" s="62"/>
    </row>
    <row r="2304" hidden="1">
      <c r="A2304" s="60">
        <f>IFERROR(__xludf.DUMMYFUNCTION("""COMPUTED_VALUE"""),17369.0)</f>
        <v>17369</v>
      </c>
      <c r="B2304" s="60" t="str">
        <f>IFERROR(__xludf.DUMMYFUNCTION("""COMPUTED_VALUE"""),"Ajiake, Austin")</f>
        <v>Ajiake, Austin</v>
      </c>
      <c r="C2304" s="60" t="str">
        <f>IFERROR(__xludf.DUMMYFUNCTION("""COMPUTED_VALUE"""),"LB")</f>
        <v>LB</v>
      </c>
      <c r="D2304" s="60" t="str">
        <f>IFERROR(__xludf.DUMMYFUNCTION("""COMPUTED_VALUE"""),"IND")</f>
        <v>IND</v>
      </c>
      <c r="E2304" s="62" t="str">
        <f t="shared" si="4"/>
        <v>Austin Ajiake</v>
      </c>
      <c r="F2304" s="62">
        <f t="shared" ref="F2304:G2304" si="4607">IF(isblank(F$1),,IF(isblank($A2304),,IFERROR(vlookup($A2304,indirect("'TVC-"&amp;text(month(F$1),"00")&amp;"'!$A:$D"),4,false),1)))</f>
        <v>1</v>
      </c>
      <c r="G2304" s="62">
        <f t="shared" si="4607"/>
        <v>1</v>
      </c>
      <c r="H2304" s="62">
        <f t="shared" ref="H2304:Q2304" si="4608">IF(isblank(H$1),,IFERROR(vlookup($A2304,indirect("'TVC-"&amp;text(month(H$1),"00")&amp;"'!$A:$D"),4,false),1))</f>
        <v>1</v>
      </c>
      <c r="I2304" s="62">
        <f t="shared" si="4608"/>
        <v>1</v>
      </c>
      <c r="J2304" s="62">
        <f t="shared" si="4608"/>
        <v>1</v>
      </c>
      <c r="K2304" s="62">
        <f t="shared" si="4608"/>
        <v>1</v>
      </c>
      <c r="L2304" s="62">
        <f t="shared" si="4608"/>
        <v>1</v>
      </c>
      <c r="M2304" s="62">
        <f t="shared" si="4608"/>
        <v>1</v>
      </c>
      <c r="N2304" s="62">
        <f t="shared" si="4608"/>
        <v>1</v>
      </c>
      <c r="O2304" s="62">
        <f t="shared" si="4608"/>
        <v>1</v>
      </c>
      <c r="P2304" s="62" t="str">
        <f t="shared" si="4608"/>
        <v/>
      </c>
      <c r="Q2304" s="62" t="str">
        <f t="shared" si="4608"/>
        <v/>
      </c>
      <c r="R2304" s="62">
        <f t="shared" si="7"/>
        <v>0</v>
      </c>
      <c r="S2304" s="62"/>
      <c r="T2304" s="62"/>
      <c r="U2304" s="62"/>
      <c r="V2304" s="62"/>
      <c r="W2304" s="62"/>
      <c r="X2304" s="62"/>
      <c r="Y2304" s="62"/>
      <c r="Z2304" s="62"/>
      <c r="AA2304" s="62"/>
      <c r="AB2304" s="62"/>
      <c r="AC2304" s="62"/>
    </row>
    <row r="2305" hidden="1">
      <c r="A2305" s="60">
        <f>IFERROR(__xludf.DUMMYFUNCTION("""COMPUTED_VALUE"""),17371.0)</f>
        <v>17371</v>
      </c>
      <c r="B2305" s="60" t="str">
        <f>IFERROR(__xludf.DUMMYFUNCTION("""COMPUTED_VALUE"""),"Keys, Austin")</f>
        <v>Keys, Austin</v>
      </c>
      <c r="C2305" s="60" t="str">
        <f>IFERROR(__xludf.DUMMYFUNCTION("""COMPUTED_VALUE"""),"LB")</f>
        <v>LB</v>
      </c>
      <c r="D2305" s="60" t="str">
        <f>IFERROR(__xludf.DUMMYFUNCTION("""COMPUTED_VALUE"""),"WAS")</f>
        <v>WAS</v>
      </c>
      <c r="E2305" s="62" t="str">
        <f t="shared" si="4"/>
        <v>Austin Keys</v>
      </c>
      <c r="F2305" s="62">
        <f t="shared" ref="F2305:G2305" si="4609">IF(isblank(F$1),,IF(isblank($A2305),,IFERROR(vlookup($A2305,indirect("'TVC-"&amp;text(month(F$1),"00")&amp;"'!$A:$D"),4,false),1)))</f>
        <v>1</v>
      </c>
      <c r="G2305" s="62">
        <f t="shared" si="4609"/>
        <v>1</v>
      </c>
      <c r="H2305" s="62">
        <f t="shared" ref="H2305:Q2305" si="4610">IF(isblank(H$1),,IFERROR(vlookup($A2305,indirect("'TVC-"&amp;text(month(H$1),"00")&amp;"'!$A:$D"),4,false),1))</f>
        <v>1</v>
      </c>
      <c r="I2305" s="62">
        <f t="shared" si="4610"/>
        <v>1</v>
      </c>
      <c r="J2305" s="62">
        <f t="shared" si="4610"/>
        <v>1</v>
      </c>
      <c r="K2305" s="62">
        <f t="shared" si="4610"/>
        <v>1</v>
      </c>
      <c r="L2305" s="62">
        <f t="shared" si="4610"/>
        <v>1</v>
      </c>
      <c r="M2305" s="62">
        <f t="shared" si="4610"/>
        <v>1</v>
      </c>
      <c r="N2305" s="62">
        <f t="shared" si="4610"/>
        <v>1</v>
      </c>
      <c r="O2305" s="62">
        <f t="shared" si="4610"/>
        <v>1</v>
      </c>
      <c r="P2305" s="62" t="str">
        <f t="shared" si="4610"/>
        <v/>
      </c>
      <c r="Q2305" s="62" t="str">
        <f t="shared" si="4610"/>
        <v/>
      </c>
      <c r="R2305" s="62">
        <f t="shared" si="7"/>
        <v>0</v>
      </c>
      <c r="S2305" s="62"/>
      <c r="T2305" s="62"/>
      <c r="U2305" s="62"/>
      <c r="V2305" s="62"/>
      <c r="W2305" s="62"/>
      <c r="X2305" s="62"/>
      <c r="Y2305" s="62"/>
      <c r="Z2305" s="62"/>
      <c r="AA2305" s="62"/>
      <c r="AB2305" s="62"/>
      <c r="AC2305" s="62"/>
    </row>
    <row r="2306" hidden="1">
      <c r="A2306" s="60">
        <f>IFERROR(__xludf.DUMMYFUNCTION("""COMPUTED_VALUE"""),17373.0)</f>
        <v>17373</v>
      </c>
      <c r="B2306" s="60" t="str">
        <f>IFERROR(__xludf.DUMMYFUNCTION("""COMPUTED_VALUE"""),"Jenkins, Keonta")</f>
        <v>Jenkins, Keonta</v>
      </c>
      <c r="C2306" s="60" t="str">
        <f>IFERROR(__xludf.DUMMYFUNCTION("""COMPUTED_VALUE"""),"S")</f>
        <v>S</v>
      </c>
      <c r="D2306" s="60" t="str">
        <f>IFERROR(__xludf.DUMMYFUNCTION("""COMPUTED_VALUE"""),"BUF")</f>
        <v>BUF</v>
      </c>
      <c r="E2306" s="62" t="str">
        <f t="shared" si="4"/>
        <v>Keonta Jenkins</v>
      </c>
      <c r="F2306" s="62">
        <f t="shared" ref="F2306:G2306" si="4611">IF(isblank(F$1),,IF(isblank($A2306),,IFERROR(vlookup($A2306,indirect("'TVC-"&amp;text(month(F$1),"00")&amp;"'!$A:$D"),4,false),1)))</f>
        <v>1</v>
      </c>
      <c r="G2306" s="62">
        <f t="shared" si="4611"/>
        <v>1</v>
      </c>
      <c r="H2306" s="62">
        <f t="shared" ref="H2306:Q2306" si="4612">IF(isblank(H$1),,IFERROR(vlookup($A2306,indirect("'TVC-"&amp;text(month(H$1),"00")&amp;"'!$A:$D"),4,false),1))</f>
        <v>1</v>
      </c>
      <c r="I2306" s="62">
        <f t="shared" si="4612"/>
        <v>1</v>
      </c>
      <c r="J2306" s="62">
        <f t="shared" si="4612"/>
        <v>1</v>
      </c>
      <c r="K2306" s="62">
        <f t="shared" si="4612"/>
        <v>1</v>
      </c>
      <c r="L2306" s="62">
        <f t="shared" si="4612"/>
        <v>1</v>
      </c>
      <c r="M2306" s="62">
        <f t="shared" si="4612"/>
        <v>1</v>
      </c>
      <c r="N2306" s="62">
        <f t="shared" si="4612"/>
        <v>1</v>
      </c>
      <c r="O2306" s="62">
        <f t="shared" si="4612"/>
        <v>1</v>
      </c>
      <c r="P2306" s="62" t="str">
        <f t="shared" si="4612"/>
        <v/>
      </c>
      <c r="Q2306" s="62" t="str">
        <f t="shared" si="4612"/>
        <v/>
      </c>
      <c r="R2306" s="62">
        <f t="shared" si="7"/>
        <v>0</v>
      </c>
      <c r="S2306" s="62"/>
      <c r="T2306" s="62"/>
      <c r="U2306" s="62"/>
      <c r="V2306" s="62"/>
      <c r="W2306" s="62"/>
      <c r="X2306" s="62"/>
      <c r="Y2306" s="62"/>
      <c r="Z2306" s="62"/>
      <c r="AA2306" s="62"/>
      <c r="AB2306" s="62"/>
      <c r="AC2306" s="62"/>
    </row>
    <row r="2307" hidden="1">
      <c r="A2307" s="60">
        <f>IFERROR(__xludf.DUMMYFUNCTION("""COMPUTED_VALUE"""),17374.0)</f>
        <v>17374</v>
      </c>
      <c r="B2307" s="60" t="str">
        <f>IFERROR(__xludf.DUMMYFUNCTION("""COMPUTED_VALUE"""),"Ravenell, C.J.")</f>
        <v>Ravenell, C.J.</v>
      </c>
      <c r="C2307" s="60" t="str">
        <f>IFERROR(__xludf.DUMMYFUNCTION("""COMPUTED_VALUE"""),"DE")</f>
        <v>DE</v>
      </c>
      <c r="D2307" s="60" t="str">
        <f>IFERROR(__xludf.DUMMYFUNCTION("""COMPUTED_VALUE"""),"NYG")</f>
        <v>NYG</v>
      </c>
      <c r="E2307" s="62" t="str">
        <f t="shared" si="4"/>
        <v>C.J. Ravenell</v>
      </c>
      <c r="F2307" s="62">
        <f t="shared" ref="F2307:G2307" si="4613">IF(isblank(F$1),,IF(isblank($A2307),,IFERROR(vlookup($A2307,indirect("'TVC-"&amp;text(month(F$1),"00")&amp;"'!$A:$D"),4,false),1)))</f>
        <v>1</v>
      </c>
      <c r="G2307" s="62">
        <f t="shared" si="4613"/>
        <v>1</v>
      </c>
      <c r="H2307" s="62">
        <f t="shared" ref="H2307:Q2307" si="4614">IF(isblank(H$1),,IFERROR(vlookup($A2307,indirect("'TVC-"&amp;text(month(H$1),"00")&amp;"'!$A:$D"),4,false),1))</f>
        <v>1</v>
      </c>
      <c r="I2307" s="62">
        <f t="shared" si="4614"/>
        <v>1</v>
      </c>
      <c r="J2307" s="62">
        <f t="shared" si="4614"/>
        <v>1</v>
      </c>
      <c r="K2307" s="62">
        <f t="shared" si="4614"/>
        <v>1</v>
      </c>
      <c r="L2307" s="62">
        <f t="shared" si="4614"/>
        <v>1</v>
      </c>
      <c r="M2307" s="62">
        <f t="shared" si="4614"/>
        <v>1</v>
      </c>
      <c r="N2307" s="62">
        <f t="shared" si="4614"/>
        <v>1</v>
      </c>
      <c r="O2307" s="62">
        <f t="shared" si="4614"/>
        <v>1</v>
      </c>
      <c r="P2307" s="62" t="str">
        <f t="shared" si="4614"/>
        <v/>
      </c>
      <c r="Q2307" s="62" t="str">
        <f t="shared" si="4614"/>
        <v/>
      </c>
      <c r="R2307" s="62">
        <f t="shared" si="7"/>
        <v>0</v>
      </c>
      <c r="S2307" s="62"/>
      <c r="T2307" s="62"/>
      <c r="U2307" s="62"/>
      <c r="V2307" s="62"/>
      <c r="W2307" s="62"/>
      <c r="X2307" s="62"/>
      <c r="Y2307" s="62"/>
      <c r="Z2307" s="62"/>
      <c r="AA2307" s="62"/>
      <c r="AB2307" s="62"/>
      <c r="AC2307" s="62"/>
    </row>
    <row r="2308" hidden="1">
      <c r="A2308" s="60">
        <f>IFERROR(__xludf.DUMMYFUNCTION("""COMPUTED_VALUE"""),17375.0)</f>
        <v>17375</v>
      </c>
      <c r="B2308" s="60" t="str">
        <f>IFERROR(__xludf.DUMMYFUNCTION("""COMPUTED_VALUE"""),"Mitchell-Paden, Zaire")</f>
        <v>Mitchell-Paden, Zaire</v>
      </c>
      <c r="C2308" s="60" t="str">
        <f>IFERROR(__xludf.DUMMYFUNCTION("""COMPUTED_VALUE"""),"TE")</f>
        <v>TE</v>
      </c>
      <c r="D2308" s="60" t="str">
        <f>IFERROR(__xludf.DUMMYFUNCTION("""COMPUTED_VALUE"""),"HOU")</f>
        <v>HOU</v>
      </c>
      <c r="E2308" s="62" t="str">
        <f t="shared" si="4"/>
        <v>Zaire Mitchell-Paden</v>
      </c>
      <c r="F2308" s="62">
        <f t="shared" ref="F2308:G2308" si="4615">IF(isblank(F$1),,IF(isblank($A2308),,IFERROR(vlookup($A2308,indirect("'TVC-"&amp;text(month(F$1),"00")&amp;"'!$A:$D"),4,false),1)))</f>
        <v>1</v>
      </c>
      <c r="G2308" s="62">
        <f t="shared" si="4615"/>
        <v>1</v>
      </c>
      <c r="H2308" s="62">
        <f t="shared" ref="H2308:Q2308" si="4616">IF(isblank(H$1),,IFERROR(vlookup($A2308,indirect("'TVC-"&amp;text(month(H$1),"00")&amp;"'!$A:$D"),4,false),1))</f>
        <v>1</v>
      </c>
      <c r="I2308" s="62">
        <f t="shared" si="4616"/>
        <v>1</v>
      </c>
      <c r="J2308" s="62">
        <f t="shared" si="4616"/>
        <v>1</v>
      </c>
      <c r="K2308" s="62">
        <f t="shared" si="4616"/>
        <v>1</v>
      </c>
      <c r="L2308" s="62">
        <f t="shared" si="4616"/>
        <v>1</v>
      </c>
      <c r="M2308" s="62">
        <f t="shared" si="4616"/>
        <v>1</v>
      </c>
      <c r="N2308" s="62">
        <f t="shared" si="4616"/>
        <v>1</v>
      </c>
      <c r="O2308" s="62">
        <f t="shared" si="4616"/>
        <v>1</v>
      </c>
      <c r="P2308" s="62" t="str">
        <f t="shared" si="4616"/>
        <v/>
      </c>
      <c r="Q2308" s="62" t="str">
        <f t="shared" si="4616"/>
        <v/>
      </c>
      <c r="R2308" s="62">
        <f t="shared" si="7"/>
        <v>0</v>
      </c>
      <c r="S2308" s="62"/>
      <c r="T2308" s="62"/>
      <c r="U2308" s="62"/>
      <c r="V2308" s="62"/>
      <c r="W2308" s="62"/>
      <c r="X2308" s="62"/>
      <c r="Y2308" s="62"/>
      <c r="Z2308" s="62"/>
      <c r="AA2308" s="62"/>
      <c r="AB2308" s="62"/>
      <c r="AC2308" s="62"/>
    </row>
    <row r="2309" hidden="1">
      <c r="A2309" s="60">
        <f>IFERROR(__xludf.DUMMYFUNCTION("""COMPUTED_VALUE"""),17376.0)</f>
        <v>17376</v>
      </c>
      <c r="B2309" s="60" t="str">
        <f>IFERROR(__xludf.DUMMYFUNCTION("""COMPUTED_VALUE"""),"Knowles, Kevin")</f>
        <v>Knowles, Kevin</v>
      </c>
      <c r="C2309" s="60" t="str">
        <f>IFERROR(__xludf.DUMMYFUNCTION("""COMPUTED_VALUE"""),"CB")</f>
        <v>CB</v>
      </c>
      <c r="D2309" s="60" t="str">
        <f>IFERROR(__xludf.DUMMYFUNCTION("""COMPUTED_VALUE"""),"TBB")</f>
        <v>TBB</v>
      </c>
      <c r="E2309" s="62" t="str">
        <f t="shared" si="4"/>
        <v>Kevin Knowles</v>
      </c>
      <c r="F2309" s="62">
        <f t="shared" ref="F2309:G2309" si="4617">IF(isblank(F$1),,IF(isblank($A2309),,IFERROR(vlookup($A2309,indirect("'TVC-"&amp;text(month(F$1),"00")&amp;"'!$A:$D"),4,false),1)))</f>
        <v>1</v>
      </c>
      <c r="G2309" s="62">
        <f t="shared" si="4617"/>
        <v>1</v>
      </c>
      <c r="H2309" s="62">
        <f t="shared" ref="H2309:Q2309" si="4618">IF(isblank(H$1),,IFERROR(vlookup($A2309,indirect("'TVC-"&amp;text(month(H$1),"00")&amp;"'!$A:$D"),4,false),1))</f>
        <v>1</v>
      </c>
      <c r="I2309" s="62">
        <f t="shared" si="4618"/>
        <v>1</v>
      </c>
      <c r="J2309" s="62">
        <f t="shared" si="4618"/>
        <v>1</v>
      </c>
      <c r="K2309" s="62">
        <f t="shared" si="4618"/>
        <v>1</v>
      </c>
      <c r="L2309" s="62">
        <f t="shared" si="4618"/>
        <v>1</v>
      </c>
      <c r="M2309" s="62">
        <f t="shared" si="4618"/>
        <v>1</v>
      </c>
      <c r="N2309" s="62">
        <f t="shared" si="4618"/>
        <v>1</v>
      </c>
      <c r="O2309" s="62">
        <f t="shared" si="4618"/>
        <v>1</v>
      </c>
      <c r="P2309" s="62" t="str">
        <f t="shared" si="4618"/>
        <v/>
      </c>
      <c r="Q2309" s="62" t="str">
        <f t="shared" si="4618"/>
        <v/>
      </c>
      <c r="R2309" s="62">
        <f t="shared" si="7"/>
        <v>0</v>
      </c>
      <c r="S2309" s="62"/>
      <c r="T2309" s="62"/>
      <c r="U2309" s="62"/>
      <c r="V2309" s="62"/>
      <c r="W2309" s="62"/>
      <c r="X2309" s="62"/>
      <c r="Y2309" s="62"/>
      <c r="Z2309" s="62"/>
      <c r="AA2309" s="62"/>
      <c r="AB2309" s="62"/>
      <c r="AC2309" s="62"/>
    </row>
    <row r="2310">
      <c r="A2310" s="60">
        <f>IFERROR(__xludf.DUMMYFUNCTION("""COMPUTED_VALUE"""),17379.0)</f>
        <v>17379</v>
      </c>
      <c r="B2310" s="60" t="str">
        <f>IFERROR(__xludf.DUMMYFUNCTION("""COMPUTED_VALUE"""),"Mascarenas-Arnold, Easton")</f>
        <v>Mascarenas-Arnold, Easton</v>
      </c>
      <c r="C2310" s="60" t="str">
        <f>IFERROR(__xludf.DUMMYFUNCTION("""COMPUTED_VALUE"""),"LB")</f>
        <v>LB</v>
      </c>
      <c r="D2310" s="60" t="str">
        <f>IFERROR(__xludf.DUMMYFUNCTION("""COMPUTED_VALUE"""),"CLE")</f>
        <v>CLE</v>
      </c>
      <c r="E2310" s="62" t="str">
        <f t="shared" si="4"/>
        <v>Easton Mascarenas-Arnold</v>
      </c>
      <c r="F2310" s="62">
        <f t="shared" ref="F2310:G2310" si="4619">IF(isblank(F$1),,IF(isblank($A2310),,IFERROR(vlookup($A2310,indirect("'TVC-"&amp;text(month(F$1),"00")&amp;"'!$A:$D"),4,false),1)))</f>
        <v>1</v>
      </c>
      <c r="G2310" s="62">
        <f t="shared" si="4619"/>
        <v>1</v>
      </c>
      <c r="H2310" s="62">
        <f t="shared" ref="H2310:Q2310" si="4620">IF(isblank(H$1),,IFERROR(vlookup($A2310,indirect("'TVC-"&amp;text(month(H$1),"00")&amp;"'!$A:$D"),4,false),1))</f>
        <v>1</v>
      </c>
      <c r="I2310" s="62">
        <f t="shared" si="4620"/>
        <v>1</v>
      </c>
      <c r="J2310" s="62">
        <f t="shared" si="4620"/>
        <v>1</v>
      </c>
      <c r="K2310" s="62">
        <f t="shared" si="4620"/>
        <v>1</v>
      </c>
      <c r="L2310" s="62">
        <f t="shared" si="4620"/>
        <v>1</v>
      </c>
      <c r="M2310" s="62">
        <f t="shared" si="4620"/>
        <v>1</v>
      </c>
      <c r="N2310" s="62">
        <f t="shared" si="4620"/>
        <v>1</v>
      </c>
      <c r="O2310" s="62">
        <f t="shared" si="4620"/>
        <v>1</v>
      </c>
      <c r="P2310" s="62" t="str">
        <f t="shared" si="4620"/>
        <v/>
      </c>
      <c r="Q2310" s="62" t="str">
        <f t="shared" si="4620"/>
        <v/>
      </c>
      <c r="R2310" s="62">
        <f t="shared" si="7"/>
        <v>0</v>
      </c>
      <c r="S2310" s="62"/>
      <c r="T2310" s="62"/>
      <c r="U2310" s="62"/>
      <c r="V2310" s="62"/>
      <c r="W2310" s="62"/>
      <c r="X2310" s="62"/>
      <c r="Y2310" s="62"/>
      <c r="Z2310" s="62"/>
      <c r="AA2310" s="62"/>
      <c r="AB2310" s="62"/>
      <c r="AC2310" s="62"/>
    </row>
    <row r="2311">
      <c r="A2311" s="60">
        <f>IFERROR(__xludf.DUMMYFUNCTION("""COMPUTED_VALUE"""),17381.0)</f>
        <v>17381</v>
      </c>
      <c r="B2311" s="60" t="str">
        <f>IFERROR(__xludf.DUMMYFUNCTION("""COMPUTED_VALUE"""),"Clark, Dean")</f>
        <v>Clark, Dean</v>
      </c>
      <c r="C2311" s="60" t="str">
        <f>IFERROR(__xludf.DUMMYFUNCTION("""COMPUTED_VALUE"""),"S")</f>
        <v>S</v>
      </c>
      <c r="D2311" s="60" t="str">
        <f>IFERROR(__xludf.DUMMYFUNCTION("""COMPUTED_VALUE"""),"PHI")</f>
        <v>PHI</v>
      </c>
      <c r="E2311" s="62" t="str">
        <f t="shared" si="4"/>
        <v>Dean Clark</v>
      </c>
      <c r="F2311" s="62">
        <f t="shared" ref="F2311:G2311" si="4621">IF(isblank(F$1),,IF(isblank($A2311),,IFERROR(vlookup($A2311,indirect("'TVC-"&amp;text(month(F$1),"00")&amp;"'!$A:$D"),4,false),1)))</f>
        <v>1</v>
      </c>
      <c r="G2311" s="62">
        <f t="shared" si="4621"/>
        <v>1</v>
      </c>
      <c r="H2311" s="62">
        <f t="shared" ref="H2311:Q2311" si="4622">IF(isblank(H$1),,IFERROR(vlookup($A2311,indirect("'TVC-"&amp;text(month(H$1),"00")&amp;"'!$A:$D"),4,false),1))</f>
        <v>1</v>
      </c>
      <c r="I2311" s="62">
        <f t="shared" si="4622"/>
        <v>1</v>
      </c>
      <c r="J2311" s="62">
        <f t="shared" si="4622"/>
        <v>1</v>
      </c>
      <c r="K2311" s="62">
        <f t="shared" si="4622"/>
        <v>1</v>
      </c>
      <c r="L2311" s="62">
        <f t="shared" si="4622"/>
        <v>1</v>
      </c>
      <c r="M2311" s="62">
        <f t="shared" si="4622"/>
        <v>1</v>
      </c>
      <c r="N2311" s="62">
        <f t="shared" si="4622"/>
        <v>1</v>
      </c>
      <c r="O2311" s="62">
        <f t="shared" si="4622"/>
        <v>1</v>
      </c>
      <c r="P2311" s="62" t="str">
        <f t="shared" si="4622"/>
        <v/>
      </c>
      <c r="Q2311" s="62" t="str">
        <f t="shared" si="4622"/>
        <v/>
      </c>
      <c r="R2311" s="62">
        <f t="shared" si="7"/>
        <v>0</v>
      </c>
      <c r="S2311" s="62"/>
      <c r="T2311" s="62"/>
      <c r="U2311" s="62"/>
      <c r="V2311" s="62"/>
      <c r="W2311" s="62"/>
      <c r="X2311" s="62"/>
      <c r="Y2311" s="62"/>
      <c r="Z2311" s="62"/>
      <c r="AA2311" s="62"/>
      <c r="AB2311" s="62"/>
      <c r="AC2311" s="62"/>
    </row>
    <row r="2312" hidden="1">
      <c r="A2312" s="60">
        <f>IFERROR(__xludf.DUMMYFUNCTION("""COMPUTED_VALUE"""),17382.0)</f>
        <v>17382</v>
      </c>
      <c r="B2312" s="60" t="str">
        <f>IFERROR(__xludf.DUMMYFUNCTION("""COMPUTED_VALUE"""),"Wright, Jacardia")</f>
        <v>Wright, Jacardia</v>
      </c>
      <c r="C2312" s="60" t="str">
        <f>IFERROR(__xludf.DUMMYFUNCTION("""COMPUTED_VALUE"""),"RB")</f>
        <v>RB</v>
      </c>
      <c r="D2312" s="60" t="str">
        <f>IFERROR(__xludf.DUMMYFUNCTION("""COMPUTED_VALUE"""),"SEA")</f>
        <v>SEA</v>
      </c>
      <c r="E2312" s="62" t="str">
        <f t="shared" si="4"/>
        <v>Jacardia Wright</v>
      </c>
      <c r="F2312" s="62">
        <f t="shared" ref="F2312:G2312" si="4623">IF(isblank(F$1),,IF(isblank($A2312),,IFERROR(vlookup($A2312,indirect("'TVC-"&amp;text(month(F$1),"00")&amp;"'!$A:$D"),4,false),1)))</f>
        <v>1</v>
      </c>
      <c r="G2312" s="62">
        <f t="shared" si="4623"/>
        <v>1</v>
      </c>
      <c r="H2312" s="62">
        <f t="shared" ref="H2312:Q2312" si="4624">IF(isblank(H$1),,IFERROR(vlookup($A2312,indirect("'TVC-"&amp;text(month(H$1),"00")&amp;"'!$A:$D"),4,false),1))</f>
        <v>1</v>
      </c>
      <c r="I2312" s="62">
        <f t="shared" si="4624"/>
        <v>1</v>
      </c>
      <c r="J2312" s="62">
        <f t="shared" si="4624"/>
        <v>1</v>
      </c>
      <c r="K2312" s="62">
        <f t="shared" si="4624"/>
        <v>1</v>
      </c>
      <c r="L2312" s="62">
        <f t="shared" si="4624"/>
        <v>1</v>
      </c>
      <c r="M2312" s="62">
        <f t="shared" si="4624"/>
        <v>1</v>
      </c>
      <c r="N2312" s="62">
        <f t="shared" si="4624"/>
        <v>1</v>
      </c>
      <c r="O2312" s="62">
        <f t="shared" si="4624"/>
        <v>1</v>
      </c>
      <c r="P2312" s="62" t="str">
        <f t="shared" si="4624"/>
        <v/>
      </c>
      <c r="Q2312" s="62" t="str">
        <f t="shared" si="4624"/>
        <v/>
      </c>
      <c r="R2312" s="62">
        <f t="shared" si="7"/>
        <v>0</v>
      </c>
      <c r="S2312" s="62"/>
      <c r="T2312" s="62"/>
      <c r="U2312" s="62"/>
      <c r="V2312" s="62"/>
      <c r="W2312" s="62"/>
      <c r="X2312" s="62"/>
      <c r="Y2312" s="62"/>
      <c r="Z2312" s="62"/>
      <c r="AA2312" s="62"/>
      <c r="AB2312" s="62"/>
      <c r="AC2312" s="62"/>
    </row>
    <row r="2313">
      <c r="A2313" s="60">
        <f>IFERROR(__xludf.DUMMYFUNCTION("""COMPUTED_VALUE"""),17383.0)</f>
        <v>17383</v>
      </c>
      <c r="B2313" s="60" t="str">
        <f>IFERROR(__xludf.DUMMYFUNCTION("""COMPUTED_VALUE"""),"Jones, Carl")</f>
        <v>Jones, Carl</v>
      </c>
      <c r="C2313" s="60" t="str">
        <f>IFERROR(__xludf.DUMMYFUNCTION("""COMPUTED_VALUE"""),"LB")</f>
        <v>LB</v>
      </c>
      <c r="D2313" s="60" t="str">
        <f>IFERROR(__xludf.DUMMYFUNCTION("""COMPUTED_VALUE"""),"BAL")</f>
        <v>BAL</v>
      </c>
      <c r="E2313" s="62" t="str">
        <f t="shared" si="4"/>
        <v>Carl Jones</v>
      </c>
      <c r="F2313" s="62">
        <f t="shared" ref="F2313:G2313" si="4625">IF(isblank(F$1),,IF(isblank($A2313),,IFERROR(vlookup($A2313,indirect("'TVC-"&amp;text(month(F$1),"00")&amp;"'!$A:$D"),4,false),1)))</f>
        <v>1</v>
      </c>
      <c r="G2313" s="62">
        <f t="shared" si="4625"/>
        <v>1</v>
      </c>
      <c r="H2313" s="62">
        <f t="shared" ref="H2313:Q2313" si="4626">IF(isblank(H$1),,IFERROR(vlookup($A2313,indirect("'TVC-"&amp;text(month(H$1),"00")&amp;"'!$A:$D"),4,false),1))</f>
        <v>1</v>
      </c>
      <c r="I2313" s="62">
        <f t="shared" si="4626"/>
        <v>1</v>
      </c>
      <c r="J2313" s="62">
        <f t="shared" si="4626"/>
        <v>1</v>
      </c>
      <c r="K2313" s="62">
        <f t="shared" si="4626"/>
        <v>1</v>
      </c>
      <c r="L2313" s="62">
        <f t="shared" si="4626"/>
        <v>1</v>
      </c>
      <c r="M2313" s="62">
        <f t="shared" si="4626"/>
        <v>1</v>
      </c>
      <c r="N2313" s="62">
        <f t="shared" si="4626"/>
        <v>1</v>
      </c>
      <c r="O2313" s="62">
        <f t="shared" si="4626"/>
        <v>1</v>
      </c>
      <c r="P2313" s="62" t="str">
        <f t="shared" si="4626"/>
        <v/>
      </c>
      <c r="Q2313" s="62" t="str">
        <f t="shared" si="4626"/>
        <v/>
      </c>
      <c r="R2313" s="62">
        <f t="shared" si="7"/>
        <v>0</v>
      </c>
      <c r="S2313" s="62"/>
      <c r="T2313" s="62"/>
      <c r="U2313" s="62"/>
      <c r="V2313" s="62"/>
      <c r="W2313" s="62"/>
      <c r="X2313" s="62"/>
      <c r="Y2313" s="62"/>
      <c r="Z2313" s="62"/>
      <c r="AA2313" s="62"/>
      <c r="AB2313" s="62"/>
      <c r="AC2313" s="62"/>
    </row>
    <row r="2314">
      <c r="A2314" s="60">
        <f>IFERROR(__xludf.DUMMYFUNCTION("""COMPUTED_VALUE"""),17384.0)</f>
        <v>17384</v>
      </c>
      <c r="B2314" s="60" t="str">
        <f>IFERROR(__xludf.DUMMYFUNCTION("""COMPUTED_VALUE"""),"Goodlow, Anthony")</f>
        <v>Goodlow, Anthony</v>
      </c>
      <c r="C2314" s="60" t="str">
        <f>IFERROR(__xludf.DUMMYFUNCTION("""COMPUTED_VALUE"""),"DE")</f>
        <v>DE</v>
      </c>
      <c r="D2314" s="60" t="str">
        <f>IFERROR(__xludf.DUMMYFUNCTION("""COMPUTED_VALUE"""),"CAR")</f>
        <v>CAR</v>
      </c>
      <c r="E2314" s="62" t="str">
        <f t="shared" si="4"/>
        <v>Anthony Goodlow</v>
      </c>
      <c r="F2314" s="62">
        <f t="shared" ref="F2314:G2314" si="4627">IF(isblank(F$1),,IF(isblank($A2314),,IFERROR(vlookup($A2314,indirect("'TVC-"&amp;text(month(F$1),"00")&amp;"'!$A:$D"),4,false),1)))</f>
        <v>1</v>
      </c>
      <c r="G2314" s="62">
        <f t="shared" si="4627"/>
        <v>1</v>
      </c>
      <c r="H2314" s="62">
        <f t="shared" ref="H2314:Q2314" si="4628">IF(isblank(H$1),,IFERROR(vlookup($A2314,indirect("'TVC-"&amp;text(month(H$1),"00")&amp;"'!$A:$D"),4,false),1))</f>
        <v>1</v>
      </c>
      <c r="I2314" s="62">
        <f t="shared" si="4628"/>
        <v>1</v>
      </c>
      <c r="J2314" s="62">
        <f t="shared" si="4628"/>
        <v>1</v>
      </c>
      <c r="K2314" s="62">
        <f t="shared" si="4628"/>
        <v>1</v>
      </c>
      <c r="L2314" s="62">
        <f t="shared" si="4628"/>
        <v>1</v>
      </c>
      <c r="M2314" s="62">
        <f t="shared" si="4628"/>
        <v>1</v>
      </c>
      <c r="N2314" s="62">
        <f t="shared" si="4628"/>
        <v>1</v>
      </c>
      <c r="O2314" s="62">
        <f t="shared" si="4628"/>
        <v>1</v>
      </c>
      <c r="P2314" s="62" t="str">
        <f t="shared" si="4628"/>
        <v/>
      </c>
      <c r="Q2314" s="62" t="str">
        <f t="shared" si="4628"/>
        <v/>
      </c>
      <c r="R2314" s="62">
        <f t="shared" si="7"/>
        <v>0</v>
      </c>
      <c r="S2314" s="62"/>
      <c r="T2314" s="62"/>
      <c r="U2314" s="62"/>
      <c r="V2314" s="62"/>
      <c r="W2314" s="62"/>
      <c r="X2314" s="62"/>
      <c r="Y2314" s="62"/>
      <c r="Z2314" s="62"/>
      <c r="AA2314" s="62"/>
      <c r="AB2314" s="62"/>
      <c r="AC2314" s="62"/>
    </row>
    <row r="2315">
      <c r="A2315" s="60">
        <f>IFERROR(__xludf.DUMMYFUNCTION("""COMPUTED_VALUE"""),17385.0)</f>
        <v>17385</v>
      </c>
      <c r="B2315" s="60" t="str">
        <f>IFERROR(__xludf.DUMMYFUNCTION("""COMPUTED_VALUE"""),"Runyon, Carter")</f>
        <v>Runyon, Carter</v>
      </c>
      <c r="C2315" s="60" t="str">
        <f>IFERROR(__xludf.DUMMYFUNCTION("""COMPUTED_VALUE"""),"TE")</f>
        <v>TE</v>
      </c>
      <c r="D2315" s="60" t="str">
        <f>IFERROR(__xludf.DUMMYFUNCTION("""COMPUTED_VALUE"""),"LVR")</f>
        <v>LVR</v>
      </c>
      <c r="E2315" s="62" t="str">
        <f t="shared" si="4"/>
        <v>Carter Runyon</v>
      </c>
      <c r="F2315" s="62">
        <f t="shared" ref="F2315:G2315" si="4629">IF(isblank(F$1),,IF(isblank($A2315),,IFERROR(vlookup($A2315,indirect("'TVC-"&amp;text(month(F$1),"00")&amp;"'!$A:$D"),4,false),1)))</f>
        <v>1</v>
      </c>
      <c r="G2315" s="62">
        <f t="shared" si="4629"/>
        <v>1</v>
      </c>
      <c r="H2315" s="62">
        <f t="shared" ref="H2315:Q2315" si="4630">IF(isblank(H$1),,IFERROR(vlookup($A2315,indirect("'TVC-"&amp;text(month(H$1),"00")&amp;"'!$A:$D"),4,false),1))</f>
        <v>1</v>
      </c>
      <c r="I2315" s="62">
        <f t="shared" si="4630"/>
        <v>1</v>
      </c>
      <c r="J2315" s="62">
        <f t="shared" si="4630"/>
        <v>1</v>
      </c>
      <c r="K2315" s="62">
        <f t="shared" si="4630"/>
        <v>1</v>
      </c>
      <c r="L2315" s="62">
        <f t="shared" si="4630"/>
        <v>1</v>
      </c>
      <c r="M2315" s="62">
        <f t="shared" si="4630"/>
        <v>1</v>
      </c>
      <c r="N2315" s="62">
        <f t="shared" si="4630"/>
        <v>1</v>
      </c>
      <c r="O2315" s="62">
        <f t="shared" si="4630"/>
        <v>1</v>
      </c>
      <c r="P2315" s="62" t="str">
        <f t="shared" si="4630"/>
        <v/>
      </c>
      <c r="Q2315" s="62" t="str">
        <f t="shared" si="4630"/>
        <v/>
      </c>
      <c r="R2315" s="62">
        <f t="shared" si="7"/>
        <v>0</v>
      </c>
      <c r="S2315" s="62"/>
      <c r="T2315" s="62"/>
      <c r="U2315" s="62"/>
      <c r="V2315" s="62"/>
      <c r="W2315" s="62"/>
      <c r="X2315" s="62"/>
      <c r="Y2315" s="62"/>
      <c r="Z2315" s="62"/>
      <c r="AA2315" s="62"/>
      <c r="AB2315" s="62"/>
      <c r="AC2315" s="62"/>
    </row>
    <row r="2316">
      <c r="A2316" s="60">
        <f>IFERROR(__xludf.DUMMYFUNCTION("""COMPUTED_VALUE"""),17386.0)</f>
        <v>17386</v>
      </c>
      <c r="B2316" s="60" t="str">
        <f>IFERROR(__xludf.DUMMYFUNCTION("""COMPUTED_VALUE"""),"Williams, Elijah")</f>
        <v>Williams, Elijah</v>
      </c>
      <c r="C2316" s="60" t="str">
        <f>IFERROR(__xludf.DUMMYFUNCTION("""COMPUTED_VALUE"""),"DE")</f>
        <v>DE</v>
      </c>
      <c r="D2316" s="60" t="str">
        <f>IFERROR(__xludf.DUMMYFUNCTION("""COMPUTED_VALUE"""),"MIN")</f>
        <v>MIN</v>
      </c>
      <c r="E2316" s="62" t="str">
        <f t="shared" si="4"/>
        <v>Elijah Williams</v>
      </c>
      <c r="F2316" s="62">
        <f t="shared" ref="F2316:G2316" si="4631">IF(isblank(F$1),,IF(isblank($A2316),,IFERROR(vlookup($A2316,indirect("'TVC-"&amp;text(month(F$1),"00")&amp;"'!$A:$D"),4,false),1)))</f>
        <v>1</v>
      </c>
      <c r="G2316" s="62">
        <f t="shared" si="4631"/>
        <v>1</v>
      </c>
      <c r="H2316" s="62">
        <f t="shared" ref="H2316:Q2316" si="4632">IF(isblank(H$1),,IFERROR(vlookup($A2316,indirect("'TVC-"&amp;text(month(H$1),"00")&amp;"'!$A:$D"),4,false),1))</f>
        <v>1</v>
      </c>
      <c r="I2316" s="62">
        <f t="shared" si="4632"/>
        <v>1</v>
      </c>
      <c r="J2316" s="62">
        <f t="shared" si="4632"/>
        <v>1</v>
      </c>
      <c r="K2316" s="62">
        <f t="shared" si="4632"/>
        <v>1</v>
      </c>
      <c r="L2316" s="62">
        <f t="shared" si="4632"/>
        <v>1</v>
      </c>
      <c r="M2316" s="62">
        <f t="shared" si="4632"/>
        <v>1</v>
      </c>
      <c r="N2316" s="62">
        <f t="shared" si="4632"/>
        <v>1</v>
      </c>
      <c r="O2316" s="62">
        <f t="shared" si="4632"/>
        <v>1</v>
      </c>
      <c r="P2316" s="62" t="str">
        <f t="shared" si="4632"/>
        <v/>
      </c>
      <c r="Q2316" s="62" t="str">
        <f t="shared" si="4632"/>
        <v/>
      </c>
      <c r="R2316" s="62">
        <f t="shared" si="7"/>
        <v>0</v>
      </c>
      <c r="S2316" s="62"/>
      <c r="T2316" s="62"/>
      <c r="U2316" s="62"/>
      <c r="V2316" s="62"/>
      <c r="W2316" s="62"/>
      <c r="X2316" s="62"/>
      <c r="Y2316" s="62"/>
      <c r="Z2316" s="62"/>
      <c r="AA2316" s="62"/>
      <c r="AB2316" s="62"/>
      <c r="AC2316" s="62"/>
    </row>
    <row r="2317" hidden="1">
      <c r="A2317" s="60">
        <f>IFERROR(__xludf.DUMMYFUNCTION("""COMPUTED_VALUE"""),17388.0)</f>
        <v>17388</v>
      </c>
      <c r="B2317" s="60" t="str">
        <f>IFERROR(__xludf.DUMMYFUNCTION("""COMPUTED_VALUE"""),"Simmons, Elijah")</f>
        <v>Simmons, Elijah</v>
      </c>
      <c r="C2317" s="60" t="str">
        <f>IFERROR(__xludf.DUMMYFUNCTION("""COMPUTED_VALUE"""),"DT")</f>
        <v>DT</v>
      </c>
      <c r="D2317" s="60" t="str">
        <f>IFERROR(__xludf.DUMMYFUNCTION("""COMPUTED_VALUE"""),"TBB")</f>
        <v>TBB</v>
      </c>
      <c r="E2317" s="62" t="str">
        <f t="shared" si="4"/>
        <v>Elijah Simmons</v>
      </c>
      <c r="F2317" s="62">
        <f t="shared" ref="F2317:G2317" si="4633">IF(isblank(F$1),,IF(isblank($A2317),,IFERROR(vlookup($A2317,indirect("'TVC-"&amp;text(month(F$1),"00")&amp;"'!$A:$D"),4,false),1)))</f>
        <v>1</v>
      </c>
      <c r="G2317" s="62">
        <f t="shared" si="4633"/>
        <v>1</v>
      </c>
      <c r="H2317" s="62">
        <f t="shared" ref="H2317:Q2317" si="4634">IF(isblank(H$1),,IFERROR(vlookup($A2317,indirect("'TVC-"&amp;text(month(H$1),"00")&amp;"'!$A:$D"),4,false),1))</f>
        <v>1</v>
      </c>
      <c r="I2317" s="62">
        <f t="shared" si="4634"/>
        <v>1</v>
      </c>
      <c r="J2317" s="62">
        <f t="shared" si="4634"/>
        <v>1</v>
      </c>
      <c r="K2317" s="62">
        <f t="shared" si="4634"/>
        <v>1</v>
      </c>
      <c r="L2317" s="62">
        <f t="shared" si="4634"/>
        <v>1</v>
      </c>
      <c r="M2317" s="62">
        <f t="shared" si="4634"/>
        <v>1</v>
      </c>
      <c r="N2317" s="62">
        <f t="shared" si="4634"/>
        <v>1</v>
      </c>
      <c r="O2317" s="62">
        <f t="shared" si="4634"/>
        <v>1</v>
      </c>
      <c r="P2317" s="62" t="str">
        <f t="shared" si="4634"/>
        <v/>
      </c>
      <c r="Q2317" s="62" t="str">
        <f t="shared" si="4634"/>
        <v/>
      </c>
      <c r="R2317" s="62">
        <f t="shared" si="7"/>
        <v>0</v>
      </c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</row>
    <row r="2318" hidden="1">
      <c r="A2318" s="60">
        <f>IFERROR(__xludf.DUMMYFUNCTION("""COMPUTED_VALUE"""),17389.0)</f>
        <v>17389</v>
      </c>
      <c r="B2318" s="60" t="str">
        <f>IFERROR(__xludf.DUMMYFUNCTION("""COMPUTED_VALUE"""),"Okoye, CJ")</f>
        <v>Okoye, CJ</v>
      </c>
      <c r="C2318" s="60" t="str">
        <f>IFERROR(__xludf.DUMMYFUNCTION("""COMPUTED_VALUE"""),"DT")</f>
        <v>DT</v>
      </c>
      <c r="D2318" s="60" t="str">
        <f>IFERROR(__xludf.DUMMYFUNCTION("""COMPUTED_VALUE"""),"NYG")</f>
        <v>NYG</v>
      </c>
      <c r="E2318" s="62" t="str">
        <f t="shared" si="4"/>
        <v>CJ Okoye</v>
      </c>
      <c r="F2318" s="62">
        <f t="shared" ref="F2318:G2318" si="4635">IF(isblank(F$1),,IF(isblank($A2318),,IFERROR(vlookup($A2318,indirect("'TVC-"&amp;text(month(F$1),"00")&amp;"'!$A:$D"),4,false),1)))</f>
        <v>1</v>
      </c>
      <c r="G2318" s="62">
        <f t="shared" si="4635"/>
        <v>1</v>
      </c>
      <c r="H2318" s="62">
        <f t="shared" ref="H2318:Q2318" si="4636">IF(isblank(H$1),,IFERROR(vlookup($A2318,indirect("'TVC-"&amp;text(month(H$1),"00")&amp;"'!$A:$D"),4,false),1))</f>
        <v>1</v>
      </c>
      <c r="I2318" s="62">
        <f t="shared" si="4636"/>
        <v>1</v>
      </c>
      <c r="J2318" s="62">
        <f t="shared" si="4636"/>
        <v>1</v>
      </c>
      <c r="K2318" s="62">
        <f t="shared" si="4636"/>
        <v>1</v>
      </c>
      <c r="L2318" s="62">
        <f t="shared" si="4636"/>
        <v>1</v>
      </c>
      <c r="M2318" s="62">
        <f t="shared" si="4636"/>
        <v>1</v>
      </c>
      <c r="N2318" s="62">
        <f t="shared" si="4636"/>
        <v>1</v>
      </c>
      <c r="O2318" s="62">
        <f t="shared" si="4636"/>
        <v>1</v>
      </c>
      <c r="P2318" s="62" t="str">
        <f t="shared" si="4636"/>
        <v/>
      </c>
      <c r="Q2318" s="62" t="str">
        <f t="shared" si="4636"/>
        <v/>
      </c>
      <c r="R2318" s="62">
        <f t="shared" si="7"/>
        <v>0</v>
      </c>
      <c r="S2318" s="62"/>
      <c r="T2318" s="62"/>
      <c r="U2318" s="62"/>
      <c r="V2318" s="62"/>
      <c r="W2318" s="62"/>
      <c r="X2318" s="62"/>
      <c r="Y2318" s="62"/>
      <c r="Z2318" s="62"/>
      <c r="AA2318" s="62"/>
      <c r="AB2318" s="62"/>
      <c r="AC2318" s="62"/>
    </row>
    <row r="2319" hidden="1">
      <c r="A2319" s="60">
        <f>IFERROR(__xludf.DUMMYFUNCTION("""COMPUTED_VALUE"""),17390.0)</f>
        <v>17390</v>
      </c>
      <c r="B2319" s="60" t="str">
        <f>IFERROR(__xludf.DUMMYFUNCTION("""COMPUTED_VALUE"""),"Edwards, Johnathan")</f>
        <v>Edwards, Johnathan</v>
      </c>
      <c r="C2319" s="60" t="str">
        <f>IFERROR(__xludf.DUMMYFUNCTION("""COMPUTED_VALUE"""),"CB")</f>
        <v>CB</v>
      </c>
      <c r="D2319" s="60" t="str">
        <f>IFERROR(__xludf.DUMMYFUNCTION("""COMPUTED_VALUE"""),"IND")</f>
        <v>IND</v>
      </c>
      <c r="E2319" s="62" t="str">
        <f t="shared" si="4"/>
        <v>Johnathan Edwards</v>
      </c>
      <c r="F2319" s="62">
        <f t="shared" ref="F2319:G2319" si="4637">IF(isblank(F$1),,IF(isblank($A2319),,IFERROR(vlookup($A2319,indirect("'TVC-"&amp;text(month(F$1),"00")&amp;"'!$A:$D"),4,false),1)))</f>
        <v>1</v>
      </c>
      <c r="G2319" s="62">
        <f t="shared" si="4637"/>
        <v>1</v>
      </c>
      <c r="H2319" s="62">
        <f t="shared" ref="H2319:Q2319" si="4638">IF(isblank(H$1),,IFERROR(vlookup($A2319,indirect("'TVC-"&amp;text(month(H$1),"00")&amp;"'!$A:$D"),4,false),1))</f>
        <v>1</v>
      </c>
      <c r="I2319" s="62">
        <f t="shared" si="4638"/>
        <v>1</v>
      </c>
      <c r="J2319" s="62">
        <f t="shared" si="4638"/>
        <v>1</v>
      </c>
      <c r="K2319" s="62">
        <f t="shared" si="4638"/>
        <v>1</v>
      </c>
      <c r="L2319" s="62">
        <f t="shared" si="4638"/>
        <v>1</v>
      </c>
      <c r="M2319" s="62">
        <f t="shared" si="4638"/>
        <v>1</v>
      </c>
      <c r="N2319" s="62">
        <f t="shared" si="4638"/>
        <v>1</v>
      </c>
      <c r="O2319" s="62">
        <f t="shared" si="4638"/>
        <v>1</v>
      </c>
      <c r="P2319" s="62" t="str">
        <f t="shared" si="4638"/>
        <v/>
      </c>
      <c r="Q2319" s="62" t="str">
        <f t="shared" si="4638"/>
        <v/>
      </c>
      <c r="R2319" s="62">
        <f t="shared" si="7"/>
        <v>0</v>
      </c>
      <c r="S2319" s="62"/>
      <c r="T2319" s="62"/>
      <c r="U2319" s="62"/>
      <c r="V2319" s="62"/>
      <c r="W2319" s="62"/>
      <c r="X2319" s="62"/>
      <c r="Y2319" s="62"/>
      <c r="Z2319" s="62"/>
      <c r="AA2319" s="62"/>
      <c r="AB2319" s="62"/>
      <c r="AC2319" s="62"/>
    </row>
    <row r="2320">
      <c r="A2320" s="60">
        <f>IFERROR(__xludf.DUMMYFUNCTION("""COMPUTED_VALUE"""),17392.0)</f>
        <v>17392</v>
      </c>
      <c r="B2320" s="60" t="str">
        <f>IFERROR(__xludf.DUMMYFUNCTION("""COMPUTED_VALUE"""),"Washington, Trey")</f>
        <v>Washington, Trey</v>
      </c>
      <c r="C2320" s="60" t="str">
        <f>IFERROR(__xludf.DUMMYFUNCTION("""COMPUTED_VALUE"""),"S")</f>
        <v>S</v>
      </c>
      <c r="D2320" s="60" t="str">
        <f>IFERROR(__xludf.DUMMYFUNCTION("""COMPUTED_VALUE"""),"IND")</f>
        <v>IND</v>
      </c>
      <c r="E2320" s="62" t="str">
        <f t="shared" si="4"/>
        <v>Trey Washington</v>
      </c>
      <c r="F2320" s="62">
        <f t="shared" ref="F2320:G2320" si="4639">IF(isblank(F$1),,IF(isblank($A2320),,IFERROR(vlookup($A2320,indirect("'TVC-"&amp;text(month(F$1),"00")&amp;"'!$A:$D"),4,false),1)))</f>
        <v>1</v>
      </c>
      <c r="G2320" s="62">
        <f t="shared" si="4639"/>
        <v>1</v>
      </c>
      <c r="H2320" s="62">
        <f t="shared" ref="H2320:Q2320" si="4640">IF(isblank(H$1),,IFERROR(vlookup($A2320,indirect("'TVC-"&amp;text(month(H$1),"00")&amp;"'!$A:$D"),4,false),1))</f>
        <v>1</v>
      </c>
      <c r="I2320" s="62">
        <f t="shared" si="4640"/>
        <v>1</v>
      </c>
      <c r="J2320" s="62">
        <f t="shared" si="4640"/>
        <v>1</v>
      </c>
      <c r="K2320" s="62">
        <f t="shared" si="4640"/>
        <v>1</v>
      </c>
      <c r="L2320" s="62">
        <f t="shared" si="4640"/>
        <v>1</v>
      </c>
      <c r="M2320" s="62">
        <f t="shared" si="4640"/>
        <v>1</v>
      </c>
      <c r="N2320" s="62">
        <f t="shared" si="4640"/>
        <v>1</v>
      </c>
      <c r="O2320" s="62">
        <f t="shared" si="4640"/>
        <v>1</v>
      </c>
      <c r="P2320" s="62" t="str">
        <f t="shared" si="4640"/>
        <v/>
      </c>
      <c r="Q2320" s="62" t="str">
        <f t="shared" si="4640"/>
        <v/>
      </c>
      <c r="R2320" s="62">
        <f t="shared" si="7"/>
        <v>0</v>
      </c>
      <c r="S2320" s="62"/>
      <c r="T2320" s="62"/>
      <c r="U2320" s="62"/>
      <c r="V2320" s="62"/>
      <c r="W2320" s="62"/>
      <c r="X2320" s="62"/>
      <c r="Y2320" s="62"/>
      <c r="Z2320" s="62"/>
      <c r="AA2320" s="62"/>
      <c r="AB2320" s="62"/>
      <c r="AC2320" s="62"/>
    </row>
    <row r="2321">
      <c r="A2321" s="60">
        <f>IFERROR(__xludf.DUMMYFUNCTION("""COMPUTED_VALUE"""),17394.0)</f>
        <v>17394</v>
      </c>
      <c r="B2321" s="60" t="str">
        <f>IFERROR(__xludf.DUMMYFUNCTION("""COMPUTED_VALUE"""),"Lowery, Reuben")</f>
        <v>Lowery, Reuben</v>
      </c>
      <c r="C2321" s="60" t="str">
        <f>IFERROR(__xludf.DUMMYFUNCTION("""COMPUTED_VALUE"""),"S")</f>
        <v>S</v>
      </c>
      <c r="D2321" s="60" t="str">
        <f>IFERROR(__xludf.DUMMYFUNCTION("""COMPUTED_VALUE"""),"FA")</f>
        <v>FA</v>
      </c>
      <c r="E2321" s="62" t="str">
        <f t="shared" si="4"/>
        <v>Reuben Lowery</v>
      </c>
      <c r="F2321" s="62">
        <f t="shared" ref="F2321:G2321" si="4641">IF(isblank(F$1),,IF(isblank($A2321),,IFERROR(vlookup($A2321,indirect("'TVC-"&amp;text(month(F$1),"00")&amp;"'!$A:$D"),4,false),1)))</f>
        <v>1</v>
      </c>
      <c r="G2321" s="62">
        <f t="shared" si="4641"/>
        <v>1</v>
      </c>
      <c r="H2321" s="62">
        <f t="shared" ref="H2321:Q2321" si="4642">IF(isblank(H$1),,IFERROR(vlookup($A2321,indirect("'TVC-"&amp;text(month(H$1),"00")&amp;"'!$A:$D"),4,false),1))</f>
        <v>1</v>
      </c>
      <c r="I2321" s="62">
        <f t="shared" si="4642"/>
        <v>1</v>
      </c>
      <c r="J2321" s="62">
        <f t="shared" si="4642"/>
        <v>1</v>
      </c>
      <c r="K2321" s="62">
        <f t="shared" si="4642"/>
        <v>1</v>
      </c>
      <c r="L2321" s="62">
        <f t="shared" si="4642"/>
        <v>1</v>
      </c>
      <c r="M2321" s="62">
        <f t="shared" si="4642"/>
        <v>1</v>
      </c>
      <c r="N2321" s="62">
        <f t="shared" si="4642"/>
        <v>1</v>
      </c>
      <c r="O2321" s="62">
        <f t="shared" si="4642"/>
        <v>1</v>
      </c>
      <c r="P2321" s="62" t="str">
        <f t="shared" si="4642"/>
        <v/>
      </c>
      <c r="Q2321" s="62" t="str">
        <f t="shared" si="4642"/>
        <v/>
      </c>
      <c r="R2321" s="62">
        <f t="shared" si="7"/>
        <v>0</v>
      </c>
      <c r="S2321" s="62"/>
      <c r="T2321" s="62"/>
      <c r="U2321" s="62"/>
      <c r="V2321" s="62"/>
      <c r="W2321" s="62"/>
      <c r="X2321" s="62"/>
      <c r="Y2321" s="62"/>
      <c r="Z2321" s="62"/>
      <c r="AA2321" s="62"/>
      <c r="AB2321" s="62"/>
      <c r="AC2321" s="62"/>
    </row>
    <row r="2322">
      <c r="A2322" s="60">
        <f>IFERROR(__xludf.DUMMYFUNCTION("""COMPUTED_VALUE"""),17396.0)</f>
        <v>17396</v>
      </c>
      <c r="B2322" s="60" t="str">
        <f>IFERROR(__xludf.DUMMYFUNCTION("""COMPUTED_VALUE"""),"Williams, Ke'Shawn")</f>
        <v>Williams, Ke'Shawn</v>
      </c>
      <c r="C2322" s="60" t="str">
        <f>IFERROR(__xludf.DUMMYFUNCTION("""COMPUTED_VALUE"""),"WR")</f>
        <v>WR</v>
      </c>
      <c r="D2322" s="60" t="str">
        <f>IFERROR(__xludf.DUMMYFUNCTION("""COMPUTED_VALUE"""),"CIN")</f>
        <v>CIN</v>
      </c>
      <c r="E2322" s="62" t="str">
        <f t="shared" si="4"/>
        <v>Ke'Shawn Williams</v>
      </c>
      <c r="F2322" s="62">
        <f t="shared" ref="F2322:G2322" si="4643">IF(isblank(F$1),,IF(isblank($A2322),,IFERROR(vlookup($A2322,indirect("'TVC-"&amp;text(month(F$1),"00")&amp;"'!$A:$D"),4,false),1)))</f>
        <v>1</v>
      </c>
      <c r="G2322" s="62">
        <f t="shared" si="4643"/>
        <v>1</v>
      </c>
      <c r="H2322" s="62">
        <f t="shared" ref="H2322:Q2322" si="4644">IF(isblank(H$1),,IFERROR(vlookup($A2322,indirect("'TVC-"&amp;text(month(H$1),"00")&amp;"'!$A:$D"),4,false),1))</f>
        <v>1</v>
      </c>
      <c r="I2322" s="62">
        <f t="shared" si="4644"/>
        <v>1</v>
      </c>
      <c r="J2322" s="62">
        <f t="shared" si="4644"/>
        <v>1</v>
      </c>
      <c r="K2322" s="62">
        <f t="shared" si="4644"/>
        <v>1</v>
      </c>
      <c r="L2322" s="62">
        <f t="shared" si="4644"/>
        <v>1</v>
      </c>
      <c r="M2322" s="62">
        <f t="shared" si="4644"/>
        <v>1</v>
      </c>
      <c r="N2322" s="62">
        <f t="shared" si="4644"/>
        <v>1</v>
      </c>
      <c r="O2322" s="62">
        <f t="shared" si="4644"/>
        <v>1</v>
      </c>
      <c r="P2322" s="62" t="str">
        <f t="shared" si="4644"/>
        <v/>
      </c>
      <c r="Q2322" s="62" t="str">
        <f t="shared" si="4644"/>
        <v/>
      </c>
      <c r="R2322" s="62">
        <f t="shared" si="7"/>
        <v>0</v>
      </c>
      <c r="S2322" s="62"/>
      <c r="T2322" s="62"/>
      <c r="U2322" s="62"/>
      <c r="V2322" s="62"/>
      <c r="W2322" s="62"/>
      <c r="X2322" s="62"/>
      <c r="Y2322" s="62"/>
      <c r="Z2322" s="62"/>
      <c r="AA2322" s="62"/>
      <c r="AB2322" s="62"/>
      <c r="AC2322" s="62"/>
    </row>
    <row r="2323">
      <c r="A2323" s="60">
        <f>IFERROR(__xludf.DUMMYFUNCTION("""COMPUTED_VALUE"""),17397.0)</f>
        <v>17397</v>
      </c>
      <c r="B2323" s="60" t="str">
        <f>IFERROR(__xludf.DUMMYFUNCTION("""COMPUTED_VALUE"""),"Striggow, Danny")</f>
        <v>Striggow, Danny</v>
      </c>
      <c r="C2323" s="60" t="str">
        <f>IFERROR(__xludf.DUMMYFUNCTION("""COMPUTED_VALUE"""),"DE")</f>
        <v>DE</v>
      </c>
      <c r="D2323" s="60" t="str">
        <f>IFERROR(__xludf.DUMMYFUNCTION("""COMPUTED_VALUE"""),"JAC")</f>
        <v>JAC</v>
      </c>
      <c r="E2323" s="62" t="str">
        <f t="shared" si="4"/>
        <v>Danny Striggow</v>
      </c>
      <c r="F2323" s="62">
        <f t="shared" ref="F2323:G2323" si="4645">IF(isblank(F$1),,IF(isblank($A2323),,IFERROR(vlookup($A2323,indirect("'TVC-"&amp;text(month(F$1),"00")&amp;"'!$A:$D"),4,false),1)))</f>
        <v>1</v>
      </c>
      <c r="G2323" s="62">
        <f t="shared" si="4645"/>
        <v>1</v>
      </c>
      <c r="H2323" s="62">
        <f t="shared" ref="H2323:Q2323" si="4646">IF(isblank(H$1),,IFERROR(vlookup($A2323,indirect("'TVC-"&amp;text(month(H$1),"00")&amp;"'!$A:$D"),4,false),1))</f>
        <v>1</v>
      </c>
      <c r="I2323" s="62">
        <f t="shared" si="4646"/>
        <v>1</v>
      </c>
      <c r="J2323" s="62">
        <f t="shared" si="4646"/>
        <v>1</v>
      </c>
      <c r="K2323" s="62">
        <f t="shared" si="4646"/>
        <v>1</v>
      </c>
      <c r="L2323" s="62">
        <f t="shared" si="4646"/>
        <v>1</v>
      </c>
      <c r="M2323" s="62">
        <f t="shared" si="4646"/>
        <v>1</v>
      </c>
      <c r="N2323" s="62">
        <f t="shared" si="4646"/>
        <v>1</v>
      </c>
      <c r="O2323" s="62">
        <f t="shared" si="4646"/>
        <v>1</v>
      </c>
      <c r="P2323" s="62" t="str">
        <f t="shared" si="4646"/>
        <v/>
      </c>
      <c r="Q2323" s="62" t="str">
        <f t="shared" si="4646"/>
        <v/>
      </c>
      <c r="R2323" s="62">
        <f t="shared" si="7"/>
        <v>0</v>
      </c>
      <c r="S2323" s="62"/>
      <c r="T2323" s="62"/>
      <c r="U2323" s="62"/>
      <c r="V2323" s="62"/>
      <c r="W2323" s="62"/>
      <c r="X2323" s="62"/>
      <c r="Y2323" s="62"/>
      <c r="Z2323" s="62"/>
      <c r="AA2323" s="62"/>
      <c r="AB2323" s="62"/>
      <c r="AC2323" s="62"/>
    </row>
    <row r="2324">
      <c r="A2324" s="60">
        <f>IFERROR(__xludf.DUMMYFUNCTION("""COMPUTED_VALUE"""),17398.0)</f>
        <v>17398</v>
      </c>
      <c r="B2324" s="60" t="str">
        <f>IFERROR(__xludf.DUMMYFUNCTION("""COMPUTED_VALUE"""),"Jackson, Keondre")</f>
        <v>Jackson, Keondre</v>
      </c>
      <c r="C2324" s="60" t="str">
        <f>IFERROR(__xludf.DUMMYFUNCTION("""COMPUTED_VALUE"""),"S")</f>
        <v>S</v>
      </c>
      <c r="D2324" s="60" t="str">
        <f>IFERROR(__xludf.DUMMYFUNCTION("""COMPUTED_VALUE"""),"BAL")</f>
        <v>BAL</v>
      </c>
      <c r="E2324" s="62" t="str">
        <f t="shared" si="4"/>
        <v>Keondre Jackson</v>
      </c>
      <c r="F2324" s="62">
        <f t="shared" ref="F2324:G2324" si="4647">IF(isblank(F$1),,IF(isblank($A2324),,IFERROR(vlookup($A2324,indirect("'TVC-"&amp;text(month(F$1),"00")&amp;"'!$A:$D"),4,false),1)))</f>
        <v>1</v>
      </c>
      <c r="G2324" s="62">
        <f t="shared" si="4647"/>
        <v>1</v>
      </c>
      <c r="H2324" s="62">
        <f t="shared" ref="H2324:Q2324" si="4648">IF(isblank(H$1),,IFERROR(vlookup($A2324,indirect("'TVC-"&amp;text(month(H$1),"00")&amp;"'!$A:$D"),4,false),1))</f>
        <v>1</v>
      </c>
      <c r="I2324" s="62">
        <f t="shared" si="4648"/>
        <v>1</v>
      </c>
      <c r="J2324" s="62">
        <f t="shared" si="4648"/>
        <v>1</v>
      </c>
      <c r="K2324" s="62">
        <f t="shared" si="4648"/>
        <v>1</v>
      </c>
      <c r="L2324" s="62">
        <f t="shared" si="4648"/>
        <v>1</v>
      </c>
      <c r="M2324" s="62">
        <f t="shared" si="4648"/>
        <v>1</v>
      </c>
      <c r="N2324" s="62">
        <f t="shared" si="4648"/>
        <v>1</v>
      </c>
      <c r="O2324" s="62">
        <f t="shared" si="4648"/>
        <v>1</v>
      </c>
      <c r="P2324" s="62" t="str">
        <f t="shared" si="4648"/>
        <v/>
      </c>
      <c r="Q2324" s="62" t="str">
        <f t="shared" si="4648"/>
        <v/>
      </c>
      <c r="R2324" s="62">
        <f t="shared" si="7"/>
        <v>0</v>
      </c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</row>
    <row r="2325">
      <c r="A2325" s="60">
        <f>IFERROR(__xludf.DUMMYFUNCTION("""COMPUTED_VALUE"""),17400.0)</f>
        <v>17400</v>
      </c>
      <c r="B2325" s="60" t="str">
        <f>IFERROR(__xludf.DUMMYFUNCTION("""COMPUTED_VALUE"""),"Batty, Tyler")</f>
        <v>Batty, Tyler</v>
      </c>
      <c r="C2325" s="60" t="str">
        <f>IFERROR(__xludf.DUMMYFUNCTION("""COMPUTED_VALUE"""),"LB")</f>
        <v>LB</v>
      </c>
      <c r="D2325" s="60" t="str">
        <f>IFERROR(__xludf.DUMMYFUNCTION("""COMPUTED_VALUE"""),"MIN")</f>
        <v>MIN</v>
      </c>
      <c r="E2325" s="62" t="str">
        <f t="shared" si="4"/>
        <v>Tyler Batty</v>
      </c>
      <c r="F2325" s="62">
        <f t="shared" ref="F2325:G2325" si="4649">IF(isblank(F$1),,IF(isblank($A2325),,IFERROR(vlookup($A2325,indirect("'TVC-"&amp;text(month(F$1),"00")&amp;"'!$A:$D"),4,false),1)))</f>
        <v>1</v>
      </c>
      <c r="G2325" s="62">
        <f t="shared" si="4649"/>
        <v>1</v>
      </c>
      <c r="H2325" s="62">
        <f t="shared" ref="H2325:Q2325" si="4650">IF(isblank(H$1),,IFERROR(vlookup($A2325,indirect("'TVC-"&amp;text(month(H$1),"00")&amp;"'!$A:$D"),4,false),1))</f>
        <v>1</v>
      </c>
      <c r="I2325" s="62">
        <f t="shared" si="4650"/>
        <v>1</v>
      </c>
      <c r="J2325" s="62">
        <f t="shared" si="4650"/>
        <v>1</v>
      </c>
      <c r="K2325" s="62">
        <f t="shared" si="4650"/>
        <v>1</v>
      </c>
      <c r="L2325" s="62">
        <f t="shared" si="4650"/>
        <v>1</v>
      </c>
      <c r="M2325" s="62">
        <f t="shared" si="4650"/>
        <v>1</v>
      </c>
      <c r="N2325" s="62">
        <f t="shared" si="4650"/>
        <v>1</v>
      </c>
      <c r="O2325" s="62">
        <f t="shared" si="4650"/>
        <v>1</v>
      </c>
      <c r="P2325" s="62" t="str">
        <f t="shared" si="4650"/>
        <v/>
      </c>
      <c r="Q2325" s="62" t="str">
        <f t="shared" si="4650"/>
        <v/>
      </c>
      <c r="R2325" s="62">
        <f t="shared" si="7"/>
        <v>0</v>
      </c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</row>
    <row r="2326">
      <c r="A2326" s="60">
        <f>IFERROR(__xludf.DUMMYFUNCTION("""COMPUTED_VALUE"""),17404.0)</f>
        <v>17404</v>
      </c>
      <c r="B2326" s="60" t="str">
        <f>IFERROR(__xludf.DUMMYFUNCTION("""COMPUTED_VALUE"""),"Whiteside, Nick")</f>
        <v>Whiteside, Nick</v>
      </c>
      <c r="C2326" s="60" t="str">
        <f>IFERROR(__xludf.DUMMYFUNCTION("""COMPUTED_VALUE"""),"CB")</f>
        <v>CB</v>
      </c>
      <c r="D2326" s="60" t="str">
        <f>IFERROR(__xludf.DUMMYFUNCTION("""COMPUTED_VALUE"""),"DET")</f>
        <v>DET</v>
      </c>
      <c r="E2326" s="62" t="str">
        <f t="shared" si="4"/>
        <v>Nick Whiteside</v>
      </c>
      <c r="F2326" s="62">
        <f t="shared" ref="F2326:G2326" si="4651">IF(isblank(F$1),,IF(isblank($A2326),,IFERROR(vlookup($A2326,indirect("'TVC-"&amp;text(month(F$1),"00")&amp;"'!$A:$D"),4,false),1)))</f>
        <v>1</v>
      </c>
      <c r="G2326" s="62">
        <f t="shared" si="4651"/>
        <v>1</v>
      </c>
      <c r="H2326" s="62">
        <f t="shared" ref="H2326:Q2326" si="4652">IF(isblank(H$1),,IFERROR(vlookup($A2326,indirect("'TVC-"&amp;text(month(H$1),"00")&amp;"'!$A:$D"),4,false),1))</f>
        <v>1</v>
      </c>
      <c r="I2326" s="62">
        <f t="shared" si="4652"/>
        <v>1</v>
      </c>
      <c r="J2326" s="62">
        <f t="shared" si="4652"/>
        <v>1</v>
      </c>
      <c r="K2326" s="62">
        <f t="shared" si="4652"/>
        <v>1</v>
      </c>
      <c r="L2326" s="62">
        <f t="shared" si="4652"/>
        <v>1</v>
      </c>
      <c r="M2326" s="62">
        <f t="shared" si="4652"/>
        <v>1</v>
      </c>
      <c r="N2326" s="62">
        <f t="shared" si="4652"/>
        <v>1</v>
      </c>
      <c r="O2326" s="62">
        <f t="shared" si="4652"/>
        <v>1</v>
      </c>
      <c r="P2326" s="62" t="str">
        <f t="shared" si="4652"/>
        <v/>
      </c>
      <c r="Q2326" s="62" t="str">
        <f t="shared" si="4652"/>
        <v/>
      </c>
      <c r="R2326" s="62">
        <f t="shared" si="7"/>
        <v>0</v>
      </c>
      <c r="S2326" s="62"/>
      <c r="T2326" s="62"/>
      <c r="U2326" s="62"/>
      <c r="V2326" s="62"/>
      <c r="W2326" s="62"/>
      <c r="X2326" s="62"/>
      <c r="Y2326" s="62"/>
      <c r="Z2326" s="62"/>
      <c r="AA2326" s="62"/>
      <c r="AB2326" s="62"/>
      <c r="AC2326" s="62"/>
    </row>
    <row r="2327">
      <c r="A2327" s="60">
        <f>IFERROR(__xludf.DUMMYFUNCTION("""COMPUTED_VALUE"""),17405.0)</f>
        <v>17405</v>
      </c>
      <c r="B2327" s="60" t="str">
        <f>IFERROR(__xludf.DUMMYFUNCTION("""COMPUTED_VALUE"""),"Smith, Brandon")</f>
        <v>Smith, Brandon</v>
      </c>
      <c r="C2327" s="60" t="str">
        <f>IFERROR(__xludf.DUMMYFUNCTION("""COMPUTED_VALUE"""),"WR")</f>
        <v>WR</v>
      </c>
      <c r="D2327" s="60" t="str">
        <f>IFERROR(__xludf.DUMMYFUNCTION("""COMPUTED_VALUE"""),"PIT")</f>
        <v>PIT</v>
      </c>
      <c r="E2327" s="62" t="str">
        <f t="shared" si="4"/>
        <v>Brandon Smith</v>
      </c>
      <c r="F2327" s="62">
        <f t="shared" ref="F2327:G2327" si="4653">IF(isblank(F$1),,IF(isblank($A2327),,IFERROR(vlookup($A2327,indirect("'TVC-"&amp;text(month(F$1),"00")&amp;"'!$A:$D"),4,false),1)))</f>
        <v>1</v>
      </c>
      <c r="G2327" s="62">
        <f t="shared" si="4653"/>
        <v>1</v>
      </c>
      <c r="H2327" s="62">
        <f t="shared" ref="H2327:Q2327" si="4654">IF(isblank(H$1),,IFERROR(vlookup($A2327,indirect("'TVC-"&amp;text(month(H$1),"00")&amp;"'!$A:$D"),4,false),1))</f>
        <v>1</v>
      </c>
      <c r="I2327" s="62">
        <f t="shared" si="4654"/>
        <v>1</v>
      </c>
      <c r="J2327" s="62">
        <f t="shared" si="4654"/>
        <v>1</v>
      </c>
      <c r="K2327" s="62">
        <f t="shared" si="4654"/>
        <v>1</v>
      </c>
      <c r="L2327" s="62">
        <f t="shared" si="4654"/>
        <v>1</v>
      </c>
      <c r="M2327" s="62">
        <f t="shared" si="4654"/>
        <v>1</v>
      </c>
      <c r="N2327" s="62">
        <f t="shared" si="4654"/>
        <v>1</v>
      </c>
      <c r="O2327" s="62">
        <f t="shared" si="4654"/>
        <v>1</v>
      </c>
      <c r="P2327" s="62" t="str">
        <f t="shared" si="4654"/>
        <v/>
      </c>
      <c r="Q2327" s="62" t="str">
        <f t="shared" si="4654"/>
        <v/>
      </c>
      <c r="R2327" s="62">
        <f t="shared" si="7"/>
        <v>0</v>
      </c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</row>
    <row r="2328" hidden="1">
      <c r="A2328" s="60">
        <f>IFERROR(__xludf.DUMMYFUNCTION("""COMPUTED_VALUE"""),17407.0)</f>
        <v>17407</v>
      </c>
      <c r="B2328" s="60" t="str">
        <f>IFERROR(__xludf.DUMMYFUNCTION("""COMPUTED_VALUE"""),"Rucci, Hayden")</f>
        <v>Rucci, Hayden</v>
      </c>
      <c r="C2328" s="60" t="str">
        <f>IFERROR(__xludf.DUMMYFUNCTION("""COMPUTED_VALUE"""),"TE")</f>
        <v>TE</v>
      </c>
      <c r="D2328" s="60" t="str">
        <f>IFERROR(__xludf.DUMMYFUNCTION("""COMPUTED_VALUE"""),"LAC")</f>
        <v>LAC</v>
      </c>
      <c r="E2328" s="62" t="str">
        <f t="shared" si="4"/>
        <v>Hayden Rucci</v>
      </c>
      <c r="F2328" s="62">
        <f t="shared" ref="F2328:G2328" si="4655">IF(isblank(F$1),,IF(isblank($A2328),,IFERROR(vlookup($A2328,indirect("'TVC-"&amp;text(month(F$1),"00")&amp;"'!$A:$D"),4,false),1)))</f>
        <v>1</v>
      </c>
      <c r="G2328" s="62">
        <f t="shared" si="4655"/>
        <v>1</v>
      </c>
      <c r="H2328" s="62">
        <f t="shared" ref="H2328:Q2328" si="4656">IF(isblank(H$1),,IFERROR(vlookup($A2328,indirect("'TVC-"&amp;text(month(H$1),"00")&amp;"'!$A:$D"),4,false),1))</f>
        <v>1</v>
      </c>
      <c r="I2328" s="62">
        <f t="shared" si="4656"/>
        <v>1</v>
      </c>
      <c r="J2328" s="62">
        <f t="shared" si="4656"/>
        <v>1</v>
      </c>
      <c r="K2328" s="62">
        <f t="shared" si="4656"/>
        <v>1</v>
      </c>
      <c r="L2328" s="62">
        <f t="shared" si="4656"/>
        <v>1</v>
      </c>
      <c r="M2328" s="62">
        <f t="shared" si="4656"/>
        <v>1</v>
      </c>
      <c r="N2328" s="62">
        <f t="shared" si="4656"/>
        <v>1</v>
      </c>
      <c r="O2328" s="62">
        <f t="shared" si="4656"/>
        <v>1</v>
      </c>
      <c r="P2328" s="62" t="str">
        <f t="shared" si="4656"/>
        <v/>
      </c>
      <c r="Q2328" s="62" t="str">
        <f t="shared" si="4656"/>
        <v/>
      </c>
      <c r="R2328" s="62">
        <f t="shared" si="7"/>
        <v>0</v>
      </c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</row>
    <row r="2329">
      <c r="A2329" s="60">
        <f>IFERROR(__xludf.DUMMYFUNCTION("""COMPUTED_VALUE"""),17408.0)</f>
        <v>17408</v>
      </c>
      <c r="B2329" s="60" t="str">
        <f>IFERROR(__xludf.DUMMYFUNCTION("""COMPUTED_VALUE"""),"Turner, Jordan")</f>
        <v>Turner, Jordan</v>
      </c>
      <c r="C2329" s="60" t="str">
        <f>IFERROR(__xludf.DUMMYFUNCTION("""COMPUTED_VALUE"""),"LB")</f>
        <v>LB</v>
      </c>
      <c r="D2329" s="60" t="str">
        <f>IFERROR(__xludf.DUMMYFUNCTION("""COMPUTED_VALUE"""),"DEN")</f>
        <v>DEN</v>
      </c>
      <c r="E2329" s="62" t="str">
        <f t="shared" si="4"/>
        <v>Jordan Turner</v>
      </c>
      <c r="F2329" s="62">
        <f t="shared" ref="F2329:G2329" si="4657">IF(isblank(F$1),,IF(isblank($A2329),,IFERROR(vlookup($A2329,indirect("'TVC-"&amp;text(month(F$1),"00")&amp;"'!$A:$D"),4,false),1)))</f>
        <v>1</v>
      </c>
      <c r="G2329" s="62">
        <f t="shared" si="4657"/>
        <v>1</v>
      </c>
      <c r="H2329" s="62">
        <f t="shared" ref="H2329:Q2329" si="4658">IF(isblank(H$1),,IFERROR(vlookup($A2329,indirect("'TVC-"&amp;text(month(H$1),"00")&amp;"'!$A:$D"),4,false),1))</f>
        <v>1</v>
      </c>
      <c r="I2329" s="62">
        <f t="shared" si="4658"/>
        <v>1</v>
      </c>
      <c r="J2329" s="62">
        <f t="shared" si="4658"/>
        <v>1</v>
      </c>
      <c r="K2329" s="62">
        <f t="shared" si="4658"/>
        <v>1</v>
      </c>
      <c r="L2329" s="62">
        <f t="shared" si="4658"/>
        <v>1</v>
      </c>
      <c r="M2329" s="62">
        <f t="shared" si="4658"/>
        <v>1</v>
      </c>
      <c r="N2329" s="62">
        <f t="shared" si="4658"/>
        <v>1</v>
      </c>
      <c r="O2329" s="62">
        <f t="shared" si="4658"/>
        <v>1</v>
      </c>
      <c r="P2329" s="62" t="str">
        <f t="shared" si="4658"/>
        <v/>
      </c>
      <c r="Q2329" s="62" t="str">
        <f t="shared" si="4658"/>
        <v/>
      </c>
      <c r="R2329" s="62">
        <f t="shared" si="7"/>
        <v>0</v>
      </c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</row>
    <row r="2330">
      <c r="A2330" s="60">
        <f>IFERROR(__xludf.DUMMYFUNCTION("""COMPUTED_VALUE"""),17410.0)</f>
        <v>17410</v>
      </c>
      <c r="B2330" s="60" t="str">
        <f>IFERROR(__xludf.DUMMYFUNCTION("""COMPUTED_VALUE"""),"Combs, Branson")</f>
        <v>Combs, Branson</v>
      </c>
      <c r="C2330" s="60" t="str">
        <f>IFERROR(__xludf.DUMMYFUNCTION("""COMPUTED_VALUE"""),"LB")</f>
        <v>LB</v>
      </c>
      <c r="D2330" s="60" t="str">
        <f>IFERROR(__xludf.DUMMYFUNCTION("""COMPUTED_VALUE"""),"JAC")</f>
        <v>JAC</v>
      </c>
      <c r="E2330" s="62" t="str">
        <f t="shared" si="4"/>
        <v>Branson Combs</v>
      </c>
      <c r="F2330" s="62">
        <f t="shared" ref="F2330:G2330" si="4659">IF(isblank(F$1),,IF(isblank($A2330),,IFERROR(vlookup($A2330,indirect("'TVC-"&amp;text(month(F$1),"00")&amp;"'!$A:$D"),4,false),1)))</f>
        <v>1</v>
      </c>
      <c r="G2330" s="62">
        <f t="shared" si="4659"/>
        <v>1</v>
      </c>
      <c r="H2330" s="62">
        <f t="shared" ref="H2330:Q2330" si="4660">IF(isblank(H$1),,IFERROR(vlookup($A2330,indirect("'TVC-"&amp;text(month(H$1),"00")&amp;"'!$A:$D"),4,false),1))</f>
        <v>1</v>
      </c>
      <c r="I2330" s="62">
        <f t="shared" si="4660"/>
        <v>1</v>
      </c>
      <c r="J2330" s="62">
        <f t="shared" si="4660"/>
        <v>1</v>
      </c>
      <c r="K2330" s="62">
        <f t="shared" si="4660"/>
        <v>1</v>
      </c>
      <c r="L2330" s="62">
        <f t="shared" si="4660"/>
        <v>1</v>
      </c>
      <c r="M2330" s="62">
        <f t="shared" si="4660"/>
        <v>1</v>
      </c>
      <c r="N2330" s="62">
        <f t="shared" si="4660"/>
        <v>1</v>
      </c>
      <c r="O2330" s="62">
        <f t="shared" si="4660"/>
        <v>1</v>
      </c>
      <c r="P2330" s="62" t="str">
        <f t="shared" si="4660"/>
        <v/>
      </c>
      <c r="Q2330" s="62" t="str">
        <f t="shared" si="4660"/>
        <v/>
      </c>
      <c r="R2330" s="62">
        <f t="shared" si="7"/>
        <v>0</v>
      </c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</row>
    <row r="2331" hidden="1">
      <c r="A2331" s="60">
        <f>IFERROR(__xludf.DUMMYFUNCTION("""COMPUTED_VALUE"""),17412.0)</f>
        <v>17412</v>
      </c>
      <c r="B2331" s="60" t="str">
        <f>IFERROR(__xludf.DUMMYFUNCTION("""COMPUTED_VALUE"""),"O'Toole, Connor")</f>
        <v>O'Toole, Connor</v>
      </c>
      <c r="C2331" s="60" t="str">
        <f>IFERROR(__xludf.DUMMYFUNCTION("""COMPUTED_VALUE"""),"LB")</f>
        <v>LB</v>
      </c>
      <c r="D2331" s="60" t="str">
        <f>IFERROR(__xludf.DUMMYFUNCTION("""COMPUTED_VALUE"""),"SEA")</f>
        <v>SEA</v>
      </c>
      <c r="E2331" s="62" t="str">
        <f t="shared" si="4"/>
        <v>Connor O'Toole</v>
      </c>
      <c r="F2331" s="62">
        <f t="shared" ref="F2331:G2331" si="4661">IF(isblank(F$1),,IF(isblank($A2331),,IFERROR(vlookup($A2331,indirect("'TVC-"&amp;text(month(F$1),"00")&amp;"'!$A:$D"),4,false),1)))</f>
        <v>1</v>
      </c>
      <c r="G2331" s="62">
        <f t="shared" si="4661"/>
        <v>1</v>
      </c>
      <c r="H2331" s="62">
        <f t="shared" ref="H2331:Q2331" si="4662">IF(isblank(H$1),,IFERROR(vlookup($A2331,indirect("'TVC-"&amp;text(month(H$1),"00")&amp;"'!$A:$D"),4,false),1))</f>
        <v>1</v>
      </c>
      <c r="I2331" s="62">
        <f t="shared" si="4662"/>
        <v>1</v>
      </c>
      <c r="J2331" s="62">
        <f t="shared" si="4662"/>
        <v>1</v>
      </c>
      <c r="K2331" s="62">
        <f t="shared" si="4662"/>
        <v>1</v>
      </c>
      <c r="L2331" s="62">
        <f t="shared" si="4662"/>
        <v>1</v>
      </c>
      <c r="M2331" s="62">
        <f t="shared" si="4662"/>
        <v>1</v>
      </c>
      <c r="N2331" s="62">
        <f t="shared" si="4662"/>
        <v>1</v>
      </c>
      <c r="O2331" s="62">
        <f t="shared" si="4662"/>
        <v>1</v>
      </c>
      <c r="P2331" s="62" t="str">
        <f t="shared" si="4662"/>
        <v/>
      </c>
      <c r="Q2331" s="62" t="str">
        <f t="shared" si="4662"/>
        <v/>
      </c>
      <c r="R2331" s="62">
        <f t="shared" si="7"/>
        <v>0</v>
      </c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</row>
    <row r="2332" hidden="1">
      <c r="A2332" s="60">
        <f>IFERROR(__xludf.DUMMYFUNCTION("""COMPUTED_VALUE"""),17414.0)</f>
        <v>17414</v>
      </c>
      <c r="B2332" s="60" t="str">
        <f>IFERROR(__xludf.DUMMYFUNCTION("""COMPUTED_VALUE"""),"Kallerup, Nick")</f>
        <v>Kallerup, Nick</v>
      </c>
      <c r="C2332" s="60" t="str">
        <f>IFERROR(__xludf.DUMMYFUNCTION("""COMPUTED_VALUE"""),"TE")</f>
        <v>TE</v>
      </c>
      <c r="D2332" s="60" t="str">
        <f>IFERROR(__xludf.DUMMYFUNCTION("""COMPUTED_VALUE"""),"SEA")</f>
        <v>SEA</v>
      </c>
      <c r="E2332" s="62" t="str">
        <f t="shared" si="4"/>
        <v>Nick Kallerup</v>
      </c>
      <c r="F2332" s="62">
        <f t="shared" ref="F2332:G2332" si="4663">IF(isblank(F$1),,IF(isblank($A2332),,IFERROR(vlookup($A2332,indirect("'TVC-"&amp;text(month(F$1),"00")&amp;"'!$A:$D"),4,false),1)))</f>
        <v>1</v>
      </c>
      <c r="G2332" s="62">
        <f t="shared" si="4663"/>
        <v>1</v>
      </c>
      <c r="H2332" s="62">
        <f t="shared" ref="H2332:Q2332" si="4664">IF(isblank(H$1),,IFERROR(vlookup($A2332,indirect("'TVC-"&amp;text(month(H$1),"00")&amp;"'!$A:$D"),4,false),1))</f>
        <v>1</v>
      </c>
      <c r="I2332" s="62">
        <f t="shared" si="4664"/>
        <v>1</v>
      </c>
      <c r="J2332" s="62">
        <f t="shared" si="4664"/>
        <v>1</v>
      </c>
      <c r="K2332" s="62">
        <f t="shared" si="4664"/>
        <v>1</v>
      </c>
      <c r="L2332" s="62">
        <f t="shared" si="4664"/>
        <v>1</v>
      </c>
      <c r="M2332" s="62">
        <f t="shared" si="4664"/>
        <v>1</v>
      </c>
      <c r="N2332" s="62">
        <f t="shared" si="4664"/>
        <v>1</v>
      </c>
      <c r="O2332" s="62">
        <f t="shared" si="4664"/>
        <v>1</v>
      </c>
      <c r="P2332" s="62" t="str">
        <f t="shared" si="4664"/>
        <v/>
      </c>
      <c r="Q2332" s="62" t="str">
        <f t="shared" si="4664"/>
        <v/>
      </c>
      <c r="R2332" s="62">
        <f t="shared" si="7"/>
        <v>0</v>
      </c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</row>
    <row r="2333">
      <c r="A2333" s="60">
        <f>IFERROR(__xludf.DUMMYFUNCTION("""COMPUTED_VALUE"""),17415.0)</f>
        <v>17415</v>
      </c>
      <c r="B2333" s="60" t="str">
        <f>IFERROR(__xludf.DUMMYFUNCTION("""COMPUTED_VALUE"""),"Kaho, Ale")</f>
        <v>Kaho, Ale</v>
      </c>
      <c r="C2333" s="60" t="str">
        <f>IFERROR(__xludf.DUMMYFUNCTION("""COMPUTED_VALUE"""),"LB")</f>
        <v>LB</v>
      </c>
      <c r="D2333" s="60" t="str">
        <f>IFERROR(__xludf.DUMMYFUNCTION("""COMPUTED_VALUE"""),"WAS")</f>
        <v>WAS</v>
      </c>
      <c r="E2333" s="62" t="str">
        <f t="shared" si="4"/>
        <v>Ale Kaho</v>
      </c>
      <c r="F2333" s="62">
        <f t="shared" ref="F2333:G2333" si="4665">IF(isblank(F$1),,IF(isblank($A2333),,IFERROR(vlookup($A2333,indirect("'TVC-"&amp;text(month(F$1),"00")&amp;"'!$A:$D"),4,false),1)))</f>
        <v>1</v>
      </c>
      <c r="G2333" s="62">
        <f t="shared" si="4665"/>
        <v>1</v>
      </c>
      <c r="H2333" s="62">
        <f t="shared" ref="H2333:Q2333" si="4666">IF(isblank(H$1),,IFERROR(vlookup($A2333,indirect("'TVC-"&amp;text(month(H$1),"00")&amp;"'!$A:$D"),4,false),1))</f>
        <v>1</v>
      </c>
      <c r="I2333" s="62">
        <f t="shared" si="4666"/>
        <v>1</v>
      </c>
      <c r="J2333" s="62">
        <f t="shared" si="4666"/>
        <v>1</v>
      </c>
      <c r="K2333" s="62">
        <f t="shared" si="4666"/>
        <v>1</v>
      </c>
      <c r="L2333" s="62">
        <f t="shared" si="4666"/>
        <v>1</v>
      </c>
      <c r="M2333" s="62">
        <f t="shared" si="4666"/>
        <v>1</v>
      </c>
      <c r="N2333" s="62">
        <f t="shared" si="4666"/>
        <v>1</v>
      </c>
      <c r="O2333" s="62">
        <f t="shared" si="4666"/>
        <v>1</v>
      </c>
      <c r="P2333" s="62" t="str">
        <f t="shared" si="4666"/>
        <v/>
      </c>
      <c r="Q2333" s="62" t="str">
        <f t="shared" si="4666"/>
        <v/>
      </c>
      <c r="R2333" s="62">
        <f t="shared" si="7"/>
        <v>0</v>
      </c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</row>
    <row r="2334">
      <c r="A2334" s="60">
        <f>IFERROR(__xludf.DUMMYFUNCTION("""COMPUTED_VALUE"""),17416.0)</f>
        <v>17416</v>
      </c>
      <c r="B2334" s="60" t="str">
        <f>IFERROR(__xludf.DUMMYFUNCTION("""COMPUTED_VALUE"""),"Jones, Jacoby")</f>
        <v>Jones, Jacoby</v>
      </c>
      <c r="C2334" s="60" t="str">
        <f>IFERROR(__xludf.DUMMYFUNCTION("""COMPUTED_VALUE"""),"WR")</f>
        <v>WR</v>
      </c>
      <c r="D2334" s="60" t="str">
        <f>IFERROR(__xludf.DUMMYFUNCTION("""COMPUTED_VALUE"""),"FA")</f>
        <v>FA</v>
      </c>
      <c r="E2334" s="62" t="str">
        <f t="shared" si="4"/>
        <v>Jacoby Jones</v>
      </c>
      <c r="F2334" s="62">
        <f t="shared" ref="F2334:G2334" si="4667">IF(isblank(F$1),,IF(isblank($A2334),,IFERROR(vlookup($A2334,indirect("'TVC-"&amp;text(month(F$1),"00")&amp;"'!$A:$D"),4,false),1)))</f>
        <v>1</v>
      </c>
      <c r="G2334" s="62">
        <f t="shared" si="4667"/>
        <v>1</v>
      </c>
      <c r="H2334" s="62">
        <f t="shared" ref="H2334:Q2334" si="4668">IF(isblank(H$1),,IFERROR(vlookup($A2334,indirect("'TVC-"&amp;text(month(H$1),"00")&amp;"'!$A:$D"),4,false),1))</f>
        <v>1</v>
      </c>
      <c r="I2334" s="62">
        <f t="shared" si="4668"/>
        <v>1</v>
      </c>
      <c r="J2334" s="62">
        <f t="shared" si="4668"/>
        <v>1</v>
      </c>
      <c r="K2334" s="62">
        <f t="shared" si="4668"/>
        <v>1</v>
      </c>
      <c r="L2334" s="62">
        <f t="shared" si="4668"/>
        <v>1</v>
      </c>
      <c r="M2334" s="62">
        <f t="shared" si="4668"/>
        <v>1</v>
      </c>
      <c r="N2334" s="62">
        <f t="shared" si="4668"/>
        <v>1</v>
      </c>
      <c r="O2334" s="62">
        <f t="shared" si="4668"/>
        <v>1</v>
      </c>
      <c r="P2334" s="62" t="str">
        <f t="shared" si="4668"/>
        <v/>
      </c>
      <c r="Q2334" s="62" t="str">
        <f t="shared" si="4668"/>
        <v/>
      </c>
      <c r="R2334" s="62">
        <f t="shared" si="7"/>
        <v>0</v>
      </c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</row>
    <row r="2335">
      <c r="A2335" s="60">
        <f>IFERROR(__xludf.DUMMYFUNCTION("""COMPUTED_VALUE"""),17418.0)</f>
        <v>17418</v>
      </c>
      <c r="B2335" s="60" t="str">
        <f>IFERROR(__xludf.DUMMYFUNCTION("""COMPUTED_VALUE"""),"Cambre, Dalen")</f>
        <v>Cambre, Dalen</v>
      </c>
      <c r="C2335" s="60" t="str">
        <f>IFERROR(__xludf.DUMMYFUNCTION("""COMPUTED_VALUE"""),"WR")</f>
        <v>WR</v>
      </c>
      <c r="D2335" s="60" t="str">
        <f>IFERROR(__xludf.DUMMYFUNCTION("""COMPUTED_VALUE"""),"NYG")</f>
        <v>NYG</v>
      </c>
      <c r="E2335" s="62" t="str">
        <f t="shared" si="4"/>
        <v>Dalen Cambre</v>
      </c>
      <c r="F2335" s="62">
        <f t="shared" ref="F2335:G2335" si="4669">IF(isblank(F$1),,IF(isblank($A2335),,IFERROR(vlookup($A2335,indirect("'TVC-"&amp;text(month(F$1),"00")&amp;"'!$A:$D"),4,false),1)))</f>
        <v>1</v>
      </c>
      <c r="G2335" s="62">
        <f t="shared" si="4669"/>
        <v>1</v>
      </c>
      <c r="H2335" s="62">
        <f t="shared" ref="H2335:Q2335" si="4670">IF(isblank(H$1),,IFERROR(vlookup($A2335,indirect("'TVC-"&amp;text(month(H$1),"00")&amp;"'!$A:$D"),4,false),1))</f>
        <v>1</v>
      </c>
      <c r="I2335" s="62">
        <f t="shared" si="4670"/>
        <v>1</v>
      </c>
      <c r="J2335" s="62">
        <f t="shared" si="4670"/>
        <v>1</v>
      </c>
      <c r="K2335" s="62">
        <f t="shared" si="4670"/>
        <v>1</v>
      </c>
      <c r="L2335" s="62">
        <f t="shared" si="4670"/>
        <v>1</v>
      </c>
      <c r="M2335" s="62">
        <f t="shared" si="4670"/>
        <v>1</v>
      </c>
      <c r="N2335" s="62">
        <f t="shared" si="4670"/>
        <v>1</v>
      </c>
      <c r="O2335" s="62">
        <f t="shared" si="4670"/>
        <v>1</v>
      </c>
      <c r="P2335" s="62" t="str">
        <f t="shared" si="4670"/>
        <v/>
      </c>
      <c r="Q2335" s="62" t="str">
        <f t="shared" si="4670"/>
        <v/>
      </c>
      <c r="R2335" s="62">
        <f t="shared" si="7"/>
        <v>0</v>
      </c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</row>
    <row r="2336" hidden="1">
      <c r="A2336" s="60">
        <f>IFERROR(__xludf.DUMMYFUNCTION("""COMPUTED_VALUE"""),17419.0)</f>
        <v>17419</v>
      </c>
      <c r="B2336" s="60" t="str">
        <f>IFERROR(__xludf.DUMMYFUNCTION("""COMPUTED_VALUE"""),"Latu, Keleki")</f>
        <v>Latu, Keleki</v>
      </c>
      <c r="C2336" s="60" t="str">
        <f>IFERROR(__xludf.DUMMYFUNCTION("""COMPUTED_VALUE"""),"TE")</f>
        <v>TE</v>
      </c>
      <c r="D2336" s="60" t="str">
        <f>IFERROR(__xludf.DUMMYFUNCTION("""COMPUTED_VALUE"""),"BUF")</f>
        <v>BUF</v>
      </c>
      <c r="E2336" s="62" t="str">
        <f t="shared" si="4"/>
        <v>Keleki Latu</v>
      </c>
      <c r="F2336" s="62">
        <f t="shared" ref="F2336:G2336" si="4671">IF(isblank(F$1),,IF(isblank($A2336),,IFERROR(vlookup($A2336,indirect("'TVC-"&amp;text(month(F$1),"00")&amp;"'!$A:$D"),4,false),1)))</f>
        <v>1</v>
      </c>
      <c r="G2336" s="62">
        <f t="shared" si="4671"/>
        <v>1</v>
      </c>
      <c r="H2336" s="62">
        <f t="shared" ref="H2336:Q2336" si="4672">IF(isblank(H$1),,IFERROR(vlookup($A2336,indirect("'TVC-"&amp;text(month(H$1),"00")&amp;"'!$A:$D"),4,false),1))</f>
        <v>1</v>
      </c>
      <c r="I2336" s="62">
        <f t="shared" si="4672"/>
        <v>1</v>
      </c>
      <c r="J2336" s="62">
        <f t="shared" si="4672"/>
        <v>1</v>
      </c>
      <c r="K2336" s="62">
        <f t="shared" si="4672"/>
        <v>1</v>
      </c>
      <c r="L2336" s="62">
        <f t="shared" si="4672"/>
        <v>1</v>
      </c>
      <c r="M2336" s="62">
        <f t="shared" si="4672"/>
        <v>1</v>
      </c>
      <c r="N2336" s="62">
        <f t="shared" si="4672"/>
        <v>1</v>
      </c>
      <c r="O2336" s="62">
        <f t="shared" si="4672"/>
        <v>1</v>
      </c>
      <c r="P2336" s="62" t="str">
        <f t="shared" si="4672"/>
        <v/>
      </c>
      <c r="Q2336" s="62" t="str">
        <f t="shared" si="4672"/>
        <v/>
      </c>
      <c r="R2336" s="62">
        <f t="shared" si="7"/>
        <v>0</v>
      </c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</row>
    <row r="2337" hidden="1">
      <c r="A2337" s="60">
        <f>IFERROR(__xludf.DUMMYFUNCTION("""COMPUTED_VALUE"""),17423.0)</f>
        <v>17423</v>
      </c>
      <c r="B2337" s="60" t="str">
        <f>IFERROR(__xludf.DUMMYFUNCTION("""COMPUTED_VALUE"""),"Ingle, Tanner")</f>
        <v>Ingle, Tanner</v>
      </c>
      <c r="C2337" s="60" t="str">
        <f>IFERROR(__xludf.DUMMYFUNCTION("""COMPUTED_VALUE"""),"S")</f>
        <v>S</v>
      </c>
      <c r="D2337" s="60" t="str">
        <f>IFERROR(__xludf.DUMMYFUNCTION("""COMPUTED_VALUE"""),"LAR")</f>
        <v>LAR</v>
      </c>
      <c r="E2337" s="62" t="str">
        <f t="shared" si="4"/>
        <v>Tanner Ingle</v>
      </c>
      <c r="F2337" s="62">
        <f t="shared" ref="F2337:G2337" si="4673">IF(isblank(F$1),,IF(isblank($A2337),,IFERROR(vlookup($A2337,indirect("'TVC-"&amp;text(month(F$1),"00")&amp;"'!$A:$D"),4,false),1)))</f>
        <v>1</v>
      </c>
      <c r="G2337" s="62">
        <f t="shared" si="4673"/>
        <v>1</v>
      </c>
      <c r="H2337" s="62">
        <f t="shared" ref="H2337:Q2337" si="4674">IF(isblank(H$1),,IFERROR(vlookup($A2337,indirect("'TVC-"&amp;text(month(H$1),"00")&amp;"'!$A:$D"),4,false),1))</f>
        <v>1</v>
      </c>
      <c r="I2337" s="62">
        <f t="shared" si="4674"/>
        <v>1</v>
      </c>
      <c r="J2337" s="62">
        <f t="shared" si="4674"/>
        <v>1</v>
      </c>
      <c r="K2337" s="62">
        <f t="shared" si="4674"/>
        <v>1</v>
      </c>
      <c r="L2337" s="62">
        <f t="shared" si="4674"/>
        <v>1</v>
      </c>
      <c r="M2337" s="62">
        <f t="shared" si="4674"/>
        <v>1</v>
      </c>
      <c r="N2337" s="62">
        <f t="shared" si="4674"/>
        <v>1</v>
      </c>
      <c r="O2337" s="62">
        <f t="shared" si="4674"/>
        <v>1</v>
      </c>
      <c r="P2337" s="62" t="str">
        <f t="shared" si="4674"/>
        <v/>
      </c>
      <c r="Q2337" s="62" t="str">
        <f t="shared" si="4674"/>
        <v/>
      </c>
      <c r="R2337" s="62">
        <f t="shared" si="7"/>
        <v>0</v>
      </c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</row>
    <row r="2338" hidden="1">
      <c r="A2338" s="60">
        <f>IFERROR(__xludf.DUMMYFUNCTION("""COMPUTED_VALUE"""),17424.0)</f>
        <v>17424</v>
      </c>
      <c r="B2338" s="60" t="str">
        <f>IFERROR(__xludf.DUMMYFUNCTION("""COMPUTED_VALUE"""),"Smyth, Charlie")</f>
        <v>Smyth, Charlie</v>
      </c>
      <c r="C2338" s="60" t="str">
        <f>IFERROR(__xludf.DUMMYFUNCTION("""COMPUTED_VALUE"""),"PK")</f>
        <v>PK</v>
      </c>
      <c r="D2338" s="60" t="str">
        <f>IFERROR(__xludf.DUMMYFUNCTION("""COMPUTED_VALUE"""),"NOS")</f>
        <v>NOS</v>
      </c>
      <c r="E2338" s="62" t="str">
        <f t="shared" si="4"/>
        <v>Charlie Smyth</v>
      </c>
      <c r="F2338" s="62">
        <f t="shared" ref="F2338:G2338" si="4675">IF(isblank(F$1),,IF(isblank($A2338),,IFERROR(vlookup($A2338,indirect("'TVC-"&amp;text(month(F$1),"00")&amp;"'!$A:$D"),4,false),1)))</f>
        <v>1</v>
      </c>
      <c r="G2338" s="62">
        <f t="shared" si="4675"/>
        <v>1</v>
      </c>
      <c r="H2338" s="62">
        <f t="shared" ref="H2338:Q2338" si="4676">IF(isblank(H$1),,IFERROR(vlookup($A2338,indirect("'TVC-"&amp;text(month(H$1),"00")&amp;"'!$A:$D"),4,false),1))</f>
        <v>1</v>
      </c>
      <c r="I2338" s="62">
        <f t="shared" si="4676"/>
        <v>1</v>
      </c>
      <c r="J2338" s="62">
        <f t="shared" si="4676"/>
        <v>1</v>
      </c>
      <c r="K2338" s="62">
        <f t="shared" si="4676"/>
        <v>1</v>
      </c>
      <c r="L2338" s="62">
        <f t="shared" si="4676"/>
        <v>1</v>
      </c>
      <c r="M2338" s="62">
        <f t="shared" si="4676"/>
        <v>1</v>
      </c>
      <c r="N2338" s="62">
        <f t="shared" si="4676"/>
        <v>1</v>
      </c>
      <c r="O2338" s="62">
        <f t="shared" si="4676"/>
        <v>1</v>
      </c>
      <c r="P2338" s="62" t="str">
        <f t="shared" si="4676"/>
        <v/>
      </c>
      <c r="Q2338" s="62" t="str">
        <f t="shared" si="4676"/>
        <v/>
      </c>
      <c r="R2338" s="62">
        <f t="shared" si="7"/>
        <v>0</v>
      </c>
      <c r="S2338" s="62"/>
      <c r="T2338" s="62"/>
      <c r="U2338" s="62"/>
      <c r="V2338" s="62"/>
      <c r="W2338" s="62"/>
      <c r="X2338" s="62"/>
      <c r="Y2338" s="62"/>
      <c r="Z2338" s="62"/>
      <c r="AA2338" s="62"/>
      <c r="AB2338" s="62"/>
      <c r="AC2338" s="62"/>
    </row>
    <row r="2339" hidden="1">
      <c r="A2339" s="60">
        <f>IFERROR(__xludf.DUMMYFUNCTION("""COMPUTED_VALUE"""),17427.0)</f>
        <v>17427</v>
      </c>
      <c r="B2339" s="60" t="str">
        <f>IFERROR(__xludf.DUMMYFUNCTION("""COMPUTED_VALUE"""),"Taylor, Reese")</f>
        <v>Taylor, Reese</v>
      </c>
      <c r="C2339" s="60" t="str">
        <f>IFERROR(__xludf.DUMMYFUNCTION("""COMPUTED_VALUE"""),"CB")</f>
        <v>CB</v>
      </c>
      <c r="D2339" s="60" t="str">
        <f>IFERROR(__xludf.DUMMYFUNCTION("""COMPUTED_VALUE"""),"MIA")</f>
        <v>MIA</v>
      </c>
      <c r="E2339" s="62" t="str">
        <f t="shared" si="4"/>
        <v>Reese Taylor</v>
      </c>
      <c r="F2339" s="62">
        <f t="shared" ref="F2339:G2339" si="4677">IF(isblank(F$1),,IF(isblank($A2339),,IFERROR(vlookup($A2339,indirect("'TVC-"&amp;text(month(F$1),"00")&amp;"'!$A:$D"),4,false),1)))</f>
        <v>1</v>
      </c>
      <c r="G2339" s="62">
        <f t="shared" si="4677"/>
        <v>1</v>
      </c>
      <c r="H2339" s="62">
        <f t="shared" ref="H2339:Q2339" si="4678">IF(isblank(H$1),,IFERROR(vlookup($A2339,indirect("'TVC-"&amp;text(month(H$1),"00")&amp;"'!$A:$D"),4,false),1))</f>
        <v>1</v>
      </c>
      <c r="I2339" s="62">
        <f t="shared" si="4678"/>
        <v>1</v>
      </c>
      <c r="J2339" s="62">
        <f t="shared" si="4678"/>
        <v>1</v>
      </c>
      <c r="K2339" s="62">
        <f t="shared" si="4678"/>
        <v>1</v>
      </c>
      <c r="L2339" s="62">
        <f t="shared" si="4678"/>
        <v>1</v>
      </c>
      <c r="M2339" s="62">
        <f t="shared" si="4678"/>
        <v>1</v>
      </c>
      <c r="N2339" s="62">
        <f t="shared" si="4678"/>
        <v>1</v>
      </c>
      <c r="O2339" s="62">
        <f t="shared" si="4678"/>
        <v>1</v>
      </c>
      <c r="P2339" s="62" t="str">
        <f t="shared" si="4678"/>
        <v/>
      </c>
      <c r="Q2339" s="62" t="str">
        <f t="shared" si="4678"/>
        <v/>
      </c>
      <c r="R2339" s="62">
        <f t="shared" si="7"/>
        <v>0</v>
      </c>
      <c r="S2339" s="62"/>
      <c r="T2339" s="62"/>
      <c r="U2339" s="62"/>
      <c r="V2339" s="62"/>
      <c r="W2339" s="62"/>
      <c r="X2339" s="62"/>
      <c r="Y2339" s="62"/>
      <c r="Z2339" s="62"/>
      <c r="AA2339" s="62"/>
      <c r="AB2339" s="62"/>
      <c r="AC2339" s="62"/>
    </row>
    <row r="2340" hidden="1">
      <c r="A2340" s="60">
        <f>IFERROR(__xludf.DUMMYFUNCTION("""COMPUTED_VALUE"""),17430.0)</f>
        <v>17430</v>
      </c>
      <c r="B2340" s="60" t="str">
        <f>IFERROR(__xludf.DUMMYFUNCTION("""COMPUTED_VALUE"""),"Clark, Jordan")</f>
        <v>Clark, Jordan</v>
      </c>
      <c r="C2340" s="60" t="str">
        <f>IFERROR(__xludf.DUMMYFUNCTION("""COMPUTED_VALUE"""),"CB")</f>
        <v>CB</v>
      </c>
      <c r="D2340" s="60" t="str">
        <f>IFERROR(__xludf.DUMMYFUNCTION("""COMPUTED_VALUE"""),"NYJ")</f>
        <v>NYJ</v>
      </c>
      <c r="E2340" s="62" t="str">
        <f t="shared" si="4"/>
        <v>Jordan Clark</v>
      </c>
      <c r="F2340" s="62">
        <f t="shared" ref="F2340:G2340" si="4679">IF(isblank(F$1),,IF(isblank($A2340),,IFERROR(vlookup($A2340,indirect("'TVC-"&amp;text(month(F$1),"00")&amp;"'!$A:$D"),4,false),1)))</f>
        <v>1</v>
      </c>
      <c r="G2340" s="62">
        <f t="shared" si="4679"/>
        <v>1</v>
      </c>
      <c r="H2340" s="62">
        <f t="shared" ref="H2340:Q2340" si="4680">IF(isblank(H$1),,IFERROR(vlookup($A2340,indirect("'TVC-"&amp;text(month(H$1),"00")&amp;"'!$A:$D"),4,false),1))</f>
        <v>1</v>
      </c>
      <c r="I2340" s="62">
        <f t="shared" si="4680"/>
        <v>1</v>
      </c>
      <c r="J2340" s="62">
        <f t="shared" si="4680"/>
        <v>1</v>
      </c>
      <c r="K2340" s="62">
        <f t="shared" si="4680"/>
        <v>1</v>
      </c>
      <c r="L2340" s="62">
        <f t="shared" si="4680"/>
        <v>1</v>
      </c>
      <c r="M2340" s="62">
        <f t="shared" si="4680"/>
        <v>1</v>
      </c>
      <c r="N2340" s="62">
        <f t="shared" si="4680"/>
        <v>1</v>
      </c>
      <c r="O2340" s="62">
        <f t="shared" si="4680"/>
        <v>1</v>
      </c>
      <c r="P2340" s="62" t="str">
        <f t="shared" si="4680"/>
        <v/>
      </c>
      <c r="Q2340" s="62" t="str">
        <f t="shared" si="4680"/>
        <v/>
      </c>
      <c r="R2340" s="62">
        <f t="shared" si="7"/>
        <v>0</v>
      </c>
      <c r="S2340" s="62"/>
      <c r="T2340" s="62"/>
      <c r="U2340" s="62"/>
      <c r="V2340" s="62"/>
      <c r="W2340" s="62"/>
      <c r="X2340" s="62"/>
      <c r="Y2340" s="62"/>
      <c r="Z2340" s="62"/>
      <c r="AA2340" s="62"/>
      <c r="AB2340" s="62"/>
      <c r="AC2340" s="62"/>
    </row>
    <row r="2341" hidden="1">
      <c r="A2341" s="60">
        <f>IFERROR(__xludf.DUMMYFUNCTION("""COMPUTED_VALUE"""),17434.0)</f>
        <v>17434</v>
      </c>
      <c r="B2341" s="60" t="str">
        <f>IFERROR(__xludf.DUMMYFUNCTION("""COMPUTED_VALUE"""),"Sauls, Ben")</f>
        <v>Sauls, Ben</v>
      </c>
      <c r="C2341" s="60" t="str">
        <f>IFERROR(__xludf.DUMMYFUNCTION("""COMPUTED_VALUE"""),"PK")</f>
        <v>PK</v>
      </c>
      <c r="D2341" s="60" t="str">
        <f>IFERROR(__xludf.DUMMYFUNCTION("""COMPUTED_VALUE"""),"FA")</f>
        <v>FA</v>
      </c>
      <c r="E2341" s="62" t="str">
        <f t="shared" si="4"/>
        <v>Ben Sauls</v>
      </c>
      <c r="F2341" s="62">
        <f t="shared" ref="F2341:G2341" si="4681">IF(isblank(F$1),,IF(isblank($A2341),,IFERROR(vlookup($A2341,indirect("'TVC-"&amp;text(month(F$1),"00")&amp;"'!$A:$D"),4,false),1)))</f>
        <v>1</v>
      </c>
      <c r="G2341" s="62">
        <f t="shared" si="4681"/>
        <v>1</v>
      </c>
      <c r="H2341" s="62">
        <f t="shared" ref="H2341:Q2341" si="4682">IF(isblank(H$1),,IFERROR(vlookup($A2341,indirect("'TVC-"&amp;text(month(H$1),"00")&amp;"'!$A:$D"),4,false),1))</f>
        <v>1</v>
      </c>
      <c r="I2341" s="62">
        <f t="shared" si="4682"/>
        <v>1</v>
      </c>
      <c r="J2341" s="62">
        <f t="shared" si="4682"/>
        <v>1</v>
      </c>
      <c r="K2341" s="62">
        <f t="shared" si="4682"/>
        <v>1</v>
      </c>
      <c r="L2341" s="62">
        <f t="shared" si="4682"/>
        <v>1</v>
      </c>
      <c r="M2341" s="62">
        <f t="shared" si="4682"/>
        <v>1</v>
      </c>
      <c r="N2341" s="62">
        <f t="shared" si="4682"/>
        <v>1</v>
      </c>
      <c r="O2341" s="62">
        <f t="shared" si="4682"/>
        <v>1</v>
      </c>
      <c r="P2341" s="62" t="str">
        <f t="shared" si="4682"/>
        <v/>
      </c>
      <c r="Q2341" s="62" t="str">
        <f t="shared" si="4682"/>
        <v/>
      </c>
      <c r="R2341" s="62">
        <f t="shared" si="7"/>
        <v>0</v>
      </c>
      <c r="S2341" s="62"/>
      <c r="T2341" s="62"/>
      <c r="U2341" s="62"/>
      <c r="V2341" s="62"/>
      <c r="W2341" s="62"/>
      <c r="X2341" s="62"/>
      <c r="Y2341" s="62"/>
      <c r="Z2341" s="62"/>
      <c r="AA2341" s="62"/>
      <c r="AB2341" s="62"/>
      <c r="AC2341" s="62"/>
    </row>
    <row r="2342" hidden="1">
      <c r="A2342" s="60">
        <f>IFERROR(__xludf.DUMMYFUNCTION("""COMPUTED_VALUE"""),17439.0)</f>
        <v>17439</v>
      </c>
      <c r="B2342" s="60" t="str">
        <f>IFERROR(__xludf.DUMMYFUNCTION("""COMPUTED_VALUE"""),"Cannella, Sal")</f>
        <v>Cannella, Sal</v>
      </c>
      <c r="C2342" s="60" t="str">
        <f>IFERROR(__xludf.DUMMYFUNCTION("""COMPUTED_VALUE"""),"TE")</f>
        <v>TE</v>
      </c>
      <c r="D2342" s="60" t="str">
        <f>IFERROR(__xludf.DUMMYFUNCTION("""COMPUTED_VALUE"""),"FA")</f>
        <v>FA</v>
      </c>
      <c r="E2342" s="62" t="str">
        <f t="shared" si="4"/>
        <v>Sal Cannella</v>
      </c>
      <c r="F2342" s="62">
        <f t="shared" ref="F2342:G2342" si="4683">IF(isblank(F$1),,IF(isblank($A2342),,IFERROR(vlookup($A2342,indirect("'TVC-"&amp;text(month(F$1),"00")&amp;"'!$A:$D"),4,false),1)))</f>
        <v>1</v>
      </c>
      <c r="G2342" s="62">
        <f t="shared" si="4683"/>
        <v>1</v>
      </c>
      <c r="H2342" s="62">
        <f t="shared" ref="H2342:Q2342" si="4684">IF(isblank(H$1),,IFERROR(vlookup($A2342,indirect("'TVC-"&amp;text(month(H$1),"00")&amp;"'!$A:$D"),4,false),1))</f>
        <v>1</v>
      </c>
      <c r="I2342" s="62">
        <f t="shared" si="4684"/>
        <v>1</v>
      </c>
      <c r="J2342" s="62">
        <f t="shared" si="4684"/>
        <v>1</v>
      </c>
      <c r="K2342" s="62">
        <f t="shared" si="4684"/>
        <v>1</v>
      </c>
      <c r="L2342" s="62">
        <f t="shared" si="4684"/>
        <v>1</v>
      </c>
      <c r="M2342" s="62">
        <f t="shared" si="4684"/>
        <v>1</v>
      </c>
      <c r="N2342" s="62">
        <f t="shared" si="4684"/>
        <v>1</v>
      </c>
      <c r="O2342" s="62">
        <f t="shared" si="4684"/>
        <v>1</v>
      </c>
      <c r="P2342" s="62" t="str">
        <f t="shared" si="4684"/>
        <v/>
      </c>
      <c r="Q2342" s="62" t="str">
        <f t="shared" si="4684"/>
        <v/>
      </c>
      <c r="R2342" s="62">
        <f t="shared" si="7"/>
        <v>0</v>
      </c>
      <c r="S2342" s="62"/>
      <c r="T2342" s="62"/>
      <c r="U2342" s="62"/>
      <c r="V2342" s="62"/>
      <c r="W2342" s="62"/>
      <c r="X2342" s="62"/>
      <c r="Y2342" s="62"/>
      <c r="Z2342" s="62"/>
      <c r="AA2342" s="62"/>
      <c r="AB2342" s="62"/>
      <c r="AC2342" s="62"/>
    </row>
    <row r="2343" hidden="1">
      <c r="A2343" s="60">
        <f>IFERROR(__xludf.DUMMYFUNCTION("""COMPUTED_VALUE"""),17444.0)</f>
        <v>17444</v>
      </c>
      <c r="B2343" s="60" t="str">
        <f>IFERROR(__xludf.DUMMYFUNCTION("""COMPUTED_VALUE"""),"Keeney-James, Jakobie")</f>
        <v>Keeney-James, Jakobie</v>
      </c>
      <c r="C2343" s="60" t="str">
        <f>IFERROR(__xludf.DUMMYFUNCTION("""COMPUTED_VALUE"""),"WR")</f>
        <v>WR</v>
      </c>
      <c r="D2343" s="60" t="str">
        <f>IFERROR(__xludf.DUMMYFUNCTION("""COMPUTED_VALUE"""),"FA")</f>
        <v>FA</v>
      </c>
      <c r="E2343" s="62" t="str">
        <f t="shared" si="4"/>
        <v>Jakobie Keeney-James</v>
      </c>
      <c r="F2343" s="62">
        <f t="shared" ref="F2343:G2343" si="4685">IF(isblank(F$1),,IF(isblank($A2343),,IFERROR(vlookup($A2343,indirect("'TVC-"&amp;text(month(F$1),"00")&amp;"'!$A:$D"),4,false),1)))</f>
        <v>1</v>
      </c>
      <c r="G2343" s="62">
        <f t="shared" si="4685"/>
        <v>1</v>
      </c>
      <c r="H2343" s="62">
        <f t="shared" ref="H2343:Q2343" si="4686">IF(isblank(H$1),,IFERROR(vlookup($A2343,indirect("'TVC-"&amp;text(month(H$1),"00")&amp;"'!$A:$D"),4,false),1))</f>
        <v>1</v>
      </c>
      <c r="I2343" s="62">
        <f t="shared" si="4686"/>
        <v>1</v>
      </c>
      <c r="J2343" s="62">
        <f t="shared" si="4686"/>
        <v>1</v>
      </c>
      <c r="K2343" s="62">
        <f t="shared" si="4686"/>
        <v>1</v>
      </c>
      <c r="L2343" s="62">
        <f t="shared" si="4686"/>
        <v>1</v>
      </c>
      <c r="M2343" s="62">
        <f t="shared" si="4686"/>
        <v>1</v>
      </c>
      <c r="N2343" s="62">
        <f t="shared" si="4686"/>
        <v>1</v>
      </c>
      <c r="O2343" s="62">
        <f t="shared" si="4686"/>
        <v>1</v>
      </c>
      <c r="P2343" s="62" t="str">
        <f t="shared" si="4686"/>
        <v/>
      </c>
      <c r="Q2343" s="62" t="str">
        <f t="shared" si="4686"/>
        <v/>
      </c>
      <c r="R2343" s="62">
        <f t="shared" si="7"/>
        <v>0</v>
      </c>
      <c r="S2343" s="62"/>
      <c r="T2343" s="62"/>
      <c r="U2343" s="62"/>
      <c r="V2343" s="62"/>
      <c r="W2343" s="62"/>
      <c r="X2343" s="62"/>
      <c r="Y2343" s="62"/>
      <c r="Z2343" s="62"/>
      <c r="AA2343" s="62"/>
      <c r="AB2343" s="62"/>
      <c r="AC2343" s="62"/>
    </row>
    <row r="2344" hidden="1">
      <c r="A2344" s="60">
        <f>IFERROR(__xludf.DUMMYFUNCTION("""COMPUTED_VALUE"""),17446.0)</f>
        <v>17446</v>
      </c>
      <c r="B2344" s="60" t="str">
        <f>IFERROR(__xludf.DUMMYFUNCTION("""COMPUTED_VALUE"""),"Jones, Jeshaun")</f>
        <v>Jones, Jeshaun</v>
      </c>
      <c r="C2344" s="60" t="str">
        <f>IFERROR(__xludf.DUMMYFUNCTION("""COMPUTED_VALUE"""),"WR")</f>
        <v>WR</v>
      </c>
      <c r="D2344" s="60" t="str">
        <f>IFERROR(__xludf.DUMMYFUNCTION("""COMPUTED_VALUE"""),"MIN")</f>
        <v>MIN</v>
      </c>
      <c r="E2344" s="62" t="str">
        <f t="shared" si="4"/>
        <v>Jeshaun Jones</v>
      </c>
      <c r="F2344" s="62">
        <f t="shared" ref="F2344:G2344" si="4687">IF(isblank(F$1),,IF(isblank($A2344),,IFERROR(vlookup($A2344,indirect("'TVC-"&amp;text(month(F$1),"00")&amp;"'!$A:$D"),4,false),1)))</f>
        <v>1</v>
      </c>
      <c r="G2344" s="62">
        <f t="shared" si="4687"/>
        <v>1</v>
      </c>
      <c r="H2344" s="62">
        <f t="shared" ref="H2344:Q2344" si="4688">IF(isblank(H$1),,IFERROR(vlookup($A2344,indirect("'TVC-"&amp;text(month(H$1),"00")&amp;"'!$A:$D"),4,false),1))</f>
        <v>1</v>
      </c>
      <c r="I2344" s="62">
        <f t="shared" si="4688"/>
        <v>1</v>
      </c>
      <c r="J2344" s="62">
        <f t="shared" si="4688"/>
        <v>1</v>
      </c>
      <c r="K2344" s="62">
        <f t="shared" si="4688"/>
        <v>1</v>
      </c>
      <c r="L2344" s="62">
        <f t="shared" si="4688"/>
        <v>1</v>
      </c>
      <c r="M2344" s="62">
        <f t="shared" si="4688"/>
        <v>1</v>
      </c>
      <c r="N2344" s="62">
        <f t="shared" si="4688"/>
        <v>1</v>
      </c>
      <c r="O2344" s="62">
        <f t="shared" si="4688"/>
        <v>1</v>
      </c>
      <c r="P2344" s="62" t="str">
        <f t="shared" si="4688"/>
        <v/>
      </c>
      <c r="Q2344" s="62" t="str">
        <f t="shared" si="4688"/>
        <v/>
      </c>
      <c r="R2344" s="62">
        <f t="shared" si="7"/>
        <v>0</v>
      </c>
      <c r="S2344" s="62"/>
      <c r="T2344" s="62"/>
      <c r="U2344" s="62"/>
      <c r="V2344" s="62"/>
      <c r="W2344" s="62"/>
      <c r="X2344" s="62"/>
      <c r="Y2344" s="62"/>
      <c r="Z2344" s="62"/>
      <c r="AA2344" s="62"/>
      <c r="AB2344" s="62"/>
      <c r="AC2344" s="62"/>
    </row>
    <row r="2345">
      <c r="A2345" s="60">
        <f>IFERROR(__xludf.DUMMYFUNCTION("""COMPUTED_VALUE"""),17449.0)</f>
        <v>17449</v>
      </c>
      <c r="B2345" s="60" t="str">
        <f>IFERROR(__xludf.DUMMYFUNCTION("""COMPUTED_VALUE"""),"Woodard, Jackson")</f>
        <v>Woodard, Jackson</v>
      </c>
      <c r="C2345" s="60" t="str">
        <f>IFERROR(__xludf.DUMMYFUNCTION("""COMPUTED_VALUE"""),"LB")</f>
        <v>LB</v>
      </c>
      <c r="D2345" s="60" t="str">
        <f>IFERROR(__xludf.DUMMYFUNCTION("""COMPUTED_VALUE"""),"MIA")</f>
        <v>MIA</v>
      </c>
      <c r="E2345" s="62" t="str">
        <f t="shared" si="4"/>
        <v>Jackson Woodard</v>
      </c>
      <c r="F2345" s="62">
        <f t="shared" ref="F2345:G2345" si="4689">IF(isblank(F$1),,IF(isblank($A2345),,IFERROR(vlookup($A2345,indirect("'TVC-"&amp;text(month(F$1),"00")&amp;"'!$A:$D"),4,false),1)))</f>
        <v>1</v>
      </c>
      <c r="G2345" s="62">
        <f t="shared" si="4689"/>
        <v>1</v>
      </c>
      <c r="H2345" s="62">
        <f t="shared" ref="H2345:Q2345" si="4690">IF(isblank(H$1),,IFERROR(vlookup($A2345,indirect("'TVC-"&amp;text(month(H$1),"00")&amp;"'!$A:$D"),4,false),1))</f>
        <v>1</v>
      </c>
      <c r="I2345" s="62">
        <f t="shared" si="4690"/>
        <v>1</v>
      </c>
      <c r="J2345" s="62">
        <f t="shared" si="4690"/>
        <v>1</v>
      </c>
      <c r="K2345" s="62">
        <f t="shared" si="4690"/>
        <v>1</v>
      </c>
      <c r="L2345" s="62">
        <f t="shared" si="4690"/>
        <v>1</v>
      </c>
      <c r="M2345" s="62">
        <f t="shared" si="4690"/>
        <v>1</v>
      </c>
      <c r="N2345" s="62">
        <f t="shared" si="4690"/>
        <v>1</v>
      </c>
      <c r="O2345" s="62">
        <f t="shared" si="4690"/>
        <v>1</v>
      </c>
      <c r="P2345" s="62" t="str">
        <f t="shared" si="4690"/>
        <v/>
      </c>
      <c r="Q2345" s="62" t="str">
        <f t="shared" si="4690"/>
        <v/>
      </c>
      <c r="R2345" s="62">
        <f t="shared" si="7"/>
        <v>0</v>
      </c>
      <c r="S2345" s="62"/>
      <c r="T2345" s="62"/>
      <c r="U2345" s="62"/>
      <c r="V2345" s="62"/>
      <c r="W2345" s="62"/>
      <c r="X2345" s="62"/>
      <c r="Y2345" s="62"/>
      <c r="Z2345" s="62"/>
      <c r="AA2345" s="62"/>
      <c r="AB2345" s="62"/>
      <c r="AC2345" s="62"/>
    </row>
    <row r="2346">
      <c r="A2346" s="60">
        <f>IFERROR(__xludf.DUMMYFUNCTION("""COMPUTED_VALUE"""),17456.0)</f>
        <v>17456</v>
      </c>
      <c r="B2346" s="60" t="str">
        <f>IFERROR(__xludf.DUMMYFUNCTION("""COMPUTED_VALUE"""),"Neal, Elias")</f>
        <v>Neal, Elias</v>
      </c>
      <c r="C2346" s="60" t="str">
        <f>IFERROR(__xludf.DUMMYFUNCTION("""COMPUTED_VALUE"""),"LB")</f>
        <v>LB</v>
      </c>
      <c r="D2346" s="60" t="str">
        <f>IFERROR(__xludf.DUMMYFUNCTION("""COMPUTED_VALUE"""),"LAR")</f>
        <v>LAR</v>
      </c>
      <c r="E2346" s="62" t="str">
        <f t="shared" si="4"/>
        <v>Elias Neal</v>
      </c>
      <c r="F2346" s="62">
        <f t="shared" ref="F2346:G2346" si="4691">IF(isblank(F$1),,IF(isblank($A2346),,IFERROR(vlookup($A2346,indirect("'TVC-"&amp;text(month(F$1),"00")&amp;"'!$A:$D"),4,false),1)))</f>
        <v>1</v>
      </c>
      <c r="G2346" s="62">
        <f t="shared" si="4691"/>
        <v>1</v>
      </c>
      <c r="H2346" s="62">
        <f t="shared" ref="H2346:Q2346" si="4692">IF(isblank(H$1),,IFERROR(vlookup($A2346,indirect("'TVC-"&amp;text(month(H$1),"00")&amp;"'!$A:$D"),4,false),1))</f>
        <v>1</v>
      </c>
      <c r="I2346" s="62">
        <f t="shared" si="4692"/>
        <v>1</v>
      </c>
      <c r="J2346" s="62">
        <f t="shared" si="4692"/>
        <v>1</v>
      </c>
      <c r="K2346" s="62">
        <f t="shared" si="4692"/>
        <v>1</v>
      </c>
      <c r="L2346" s="62">
        <f t="shared" si="4692"/>
        <v>1</v>
      </c>
      <c r="M2346" s="62">
        <f t="shared" si="4692"/>
        <v>1</v>
      </c>
      <c r="N2346" s="62">
        <f t="shared" si="4692"/>
        <v>1</v>
      </c>
      <c r="O2346" s="62">
        <f t="shared" si="4692"/>
        <v>1</v>
      </c>
      <c r="P2346" s="62" t="str">
        <f t="shared" si="4692"/>
        <v/>
      </c>
      <c r="Q2346" s="62" t="str">
        <f t="shared" si="4692"/>
        <v/>
      </c>
      <c r="R2346" s="62">
        <f t="shared" si="7"/>
        <v>0</v>
      </c>
      <c r="S2346" s="62"/>
      <c r="T2346" s="62"/>
      <c r="U2346" s="62"/>
      <c r="V2346" s="62"/>
      <c r="W2346" s="62"/>
      <c r="X2346" s="62"/>
      <c r="Y2346" s="62"/>
      <c r="Z2346" s="62"/>
      <c r="AA2346" s="62"/>
      <c r="AB2346" s="62"/>
      <c r="AC2346" s="62"/>
    </row>
    <row r="2347">
      <c r="A2347" s="60">
        <f>IFERROR(__xludf.DUMMYFUNCTION("""COMPUTED_VALUE"""),17457.0)</f>
        <v>17457</v>
      </c>
      <c r="B2347" s="60" t="str">
        <f>IFERROR(__xludf.DUMMYFUNCTION("""COMPUTED_VALUE"""),"Hafley, Jeff")</f>
        <v>Hafley, Jeff</v>
      </c>
      <c r="C2347" s="60" t="str">
        <f>IFERROR(__xludf.DUMMYFUNCTION("""COMPUTED_VALUE"""),"Coach")</f>
        <v>Coach</v>
      </c>
      <c r="D2347" s="60" t="str">
        <f>IFERROR(__xludf.DUMMYFUNCTION("""COMPUTED_VALUE"""),"MIA")</f>
        <v>MIA</v>
      </c>
      <c r="E2347" s="62" t="str">
        <f t="shared" si="4"/>
        <v>Jeff Hafley</v>
      </c>
      <c r="F2347" s="62">
        <f t="shared" ref="F2347:G2347" si="4693">IF(isblank(F$1),,IF(isblank($A2347),,IFERROR(vlookup($A2347,indirect("'TVC-"&amp;text(month(F$1),"00")&amp;"'!$A:$D"),4,false),1)))</f>
        <v>1</v>
      </c>
      <c r="G2347" s="62">
        <f t="shared" si="4693"/>
        <v>1</v>
      </c>
      <c r="H2347" s="62">
        <f t="shared" ref="H2347:Q2347" si="4694">IF(isblank(H$1),,IFERROR(vlookup($A2347,indirect("'TVC-"&amp;text(month(H$1),"00")&amp;"'!$A:$D"),4,false),1))</f>
        <v>1</v>
      </c>
      <c r="I2347" s="62">
        <f t="shared" si="4694"/>
        <v>1</v>
      </c>
      <c r="J2347" s="62">
        <f t="shared" si="4694"/>
        <v>1</v>
      </c>
      <c r="K2347" s="62">
        <f t="shared" si="4694"/>
        <v>1</v>
      </c>
      <c r="L2347" s="62">
        <f t="shared" si="4694"/>
        <v>1</v>
      </c>
      <c r="M2347" s="62">
        <f t="shared" si="4694"/>
        <v>1</v>
      </c>
      <c r="N2347" s="62">
        <f t="shared" si="4694"/>
        <v>1</v>
      </c>
      <c r="O2347" s="62">
        <f t="shared" si="4694"/>
        <v>1</v>
      </c>
      <c r="P2347" s="62" t="str">
        <f t="shared" si="4694"/>
        <v/>
      </c>
      <c r="Q2347" s="62" t="str">
        <f t="shared" si="4694"/>
        <v/>
      </c>
      <c r="R2347" s="62">
        <f t="shared" si="7"/>
        <v>0</v>
      </c>
      <c r="S2347" s="62"/>
      <c r="T2347" s="62"/>
      <c r="U2347" s="62"/>
      <c r="V2347" s="62"/>
      <c r="W2347" s="62"/>
      <c r="X2347" s="62"/>
      <c r="Y2347" s="62"/>
      <c r="Z2347" s="62"/>
      <c r="AA2347" s="62"/>
      <c r="AB2347" s="62"/>
      <c r="AC2347" s="62"/>
    </row>
    <row r="2348">
      <c r="A2348" s="60">
        <f>IFERROR(__xludf.DUMMYFUNCTION("""COMPUTED_VALUE"""),17458.0)</f>
        <v>17458</v>
      </c>
      <c r="B2348" s="60" t="str">
        <f>IFERROR(__xludf.DUMMYFUNCTION("""COMPUTED_VALUE"""),"Minter, Jesse")</f>
        <v>Minter, Jesse</v>
      </c>
      <c r="C2348" s="60" t="str">
        <f>IFERROR(__xludf.DUMMYFUNCTION("""COMPUTED_VALUE"""),"Coach")</f>
        <v>Coach</v>
      </c>
      <c r="D2348" s="60" t="str">
        <f>IFERROR(__xludf.DUMMYFUNCTION("""COMPUTED_VALUE"""),"BAL")</f>
        <v>BAL</v>
      </c>
      <c r="E2348" s="62" t="str">
        <f t="shared" si="4"/>
        <v>Jesse Minter</v>
      </c>
      <c r="F2348" s="62">
        <f t="shared" ref="F2348:G2348" si="4695">IF(isblank(F$1),,IF(isblank($A2348),,IFERROR(vlookup($A2348,indirect("'TVC-"&amp;text(month(F$1),"00")&amp;"'!$A:$D"),4,false),1)))</f>
        <v>1</v>
      </c>
      <c r="G2348" s="62">
        <f t="shared" si="4695"/>
        <v>1</v>
      </c>
      <c r="H2348" s="62">
        <f t="shared" ref="H2348:Q2348" si="4696">IF(isblank(H$1),,IFERROR(vlookup($A2348,indirect("'TVC-"&amp;text(month(H$1),"00")&amp;"'!$A:$D"),4,false),1))</f>
        <v>1</v>
      </c>
      <c r="I2348" s="62">
        <f t="shared" si="4696"/>
        <v>1</v>
      </c>
      <c r="J2348" s="62">
        <f t="shared" si="4696"/>
        <v>1</v>
      </c>
      <c r="K2348" s="62">
        <f t="shared" si="4696"/>
        <v>1</v>
      </c>
      <c r="L2348" s="62">
        <f t="shared" si="4696"/>
        <v>1</v>
      </c>
      <c r="M2348" s="62">
        <f t="shared" si="4696"/>
        <v>1</v>
      </c>
      <c r="N2348" s="62">
        <f t="shared" si="4696"/>
        <v>1</v>
      </c>
      <c r="O2348" s="62">
        <f t="shared" si="4696"/>
        <v>1</v>
      </c>
      <c r="P2348" s="62" t="str">
        <f t="shared" si="4696"/>
        <v/>
      </c>
      <c r="Q2348" s="62" t="str">
        <f t="shared" si="4696"/>
        <v/>
      </c>
      <c r="R2348" s="62">
        <f t="shared" si="7"/>
        <v>0</v>
      </c>
      <c r="S2348" s="62"/>
      <c r="T2348" s="62"/>
      <c r="U2348" s="62"/>
      <c r="V2348" s="62"/>
      <c r="W2348" s="62"/>
      <c r="X2348" s="62"/>
      <c r="Y2348" s="62"/>
      <c r="Z2348" s="62"/>
      <c r="AA2348" s="62"/>
      <c r="AB2348" s="62"/>
      <c r="AC2348" s="62"/>
    </row>
    <row r="2349">
      <c r="A2349" s="60">
        <f>IFERROR(__xludf.DUMMYFUNCTION("""COMPUTED_VALUE"""),17459.0)</f>
        <v>17459</v>
      </c>
      <c r="B2349" s="60" t="str">
        <f>IFERROR(__xludf.DUMMYFUNCTION("""COMPUTED_VALUE"""),"Brady, Joe")</f>
        <v>Brady, Joe</v>
      </c>
      <c r="C2349" s="60" t="str">
        <f>IFERROR(__xludf.DUMMYFUNCTION("""COMPUTED_VALUE"""),"Coach")</f>
        <v>Coach</v>
      </c>
      <c r="D2349" s="60" t="str">
        <f>IFERROR(__xludf.DUMMYFUNCTION("""COMPUTED_VALUE"""),"BUF")</f>
        <v>BUF</v>
      </c>
      <c r="E2349" s="62" t="str">
        <f t="shared" si="4"/>
        <v>Joe Brady</v>
      </c>
      <c r="F2349" s="62">
        <f t="shared" ref="F2349:G2349" si="4697">IF(isblank(F$1),,IF(isblank($A2349),,IFERROR(vlookup($A2349,indirect("'TVC-"&amp;text(month(F$1),"00")&amp;"'!$A:$D"),4,false),1)))</f>
        <v>1</v>
      </c>
      <c r="G2349" s="62">
        <f t="shared" si="4697"/>
        <v>1</v>
      </c>
      <c r="H2349" s="62">
        <f t="shared" ref="H2349:Q2349" si="4698">IF(isblank(H$1),,IFERROR(vlookup($A2349,indirect("'TVC-"&amp;text(month(H$1),"00")&amp;"'!$A:$D"),4,false),1))</f>
        <v>1</v>
      </c>
      <c r="I2349" s="62">
        <f t="shared" si="4698"/>
        <v>1</v>
      </c>
      <c r="J2349" s="62">
        <f t="shared" si="4698"/>
        <v>1</v>
      </c>
      <c r="K2349" s="62">
        <f t="shared" si="4698"/>
        <v>1</v>
      </c>
      <c r="L2349" s="62">
        <f t="shared" si="4698"/>
        <v>1</v>
      </c>
      <c r="M2349" s="62">
        <f t="shared" si="4698"/>
        <v>1</v>
      </c>
      <c r="N2349" s="62">
        <f t="shared" si="4698"/>
        <v>1</v>
      </c>
      <c r="O2349" s="62">
        <f t="shared" si="4698"/>
        <v>1</v>
      </c>
      <c r="P2349" s="62" t="str">
        <f t="shared" si="4698"/>
        <v/>
      </c>
      <c r="Q2349" s="62" t="str">
        <f t="shared" si="4698"/>
        <v/>
      </c>
      <c r="R2349" s="62">
        <f t="shared" si="7"/>
        <v>0</v>
      </c>
      <c r="S2349" s="62"/>
      <c r="T2349" s="62"/>
      <c r="U2349" s="62"/>
      <c r="V2349" s="62"/>
      <c r="W2349" s="62"/>
      <c r="X2349" s="62"/>
      <c r="Y2349" s="62"/>
      <c r="Z2349" s="62"/>
      <c r="AA2349" s="62"/>
      <c r="AB2349" s="62"/>
      <c r="AC2349" s="62"/>
    </row>
    <row r="2350">
      <c r="A2350" s="60">
        <f>IFERROR(__xludf.DUMMYFUNCTION("""COMPUTED_VALUE"""),17460.0)</f>
        <v>17460</v>
      </c>
      <c r="B2350" s="60" t="str">
        <f>IFERROR(__xludf.DUMMYFUNCTION("""COMPUTED_VALUE"""),"Monken, Todd")</f>
        <v>Monken, Todd</v>
      </c>
      <c r="C2350" s="60" t="str">
        <f>IFERROR(__xludf.DUMMYFUNCTION("""COMPUTED_VALUE"""),"Coach")</f>
        <v>Coach</v>
      </c>
      <c r="D2350" s="60" t="str">
        <f>IFERROR(__xludf.DUMMYFUNCTION("""COMPUTED_VALUE"""),"CLE")</f>
        <v>CLE</v>
      </c>
      <c r="E2350" s="62" t="str">
        <f t="shared" si="4"/>
        <v>Todd Monken</v>
      </c>
      <c r="F2350" s="62">
        <f t="shared" ref="F2350:G2350" si="4699">IF(isblank(F$1),,IF(isblank($A2350),,IFERROR(vlookup($A2350,indirect("'TVC-"&amp;text(month(F$1),"00")&amp;"'!$A:$D"),4,false),1)))</f>
        <v>1</v>
      </c>
      <c r="G2350" s="62">
        <f t="shared" si="4699"/>
        <v>1</v>
      </c>
      <c r="H2350" s="62">
        <f t="shared" ref="H2350:Q2350" si="4700">IF(isblank(H$1),,IFERROR(vlookup($A2350,indirect("'TVC-"&amp;text(month(H$1),"00")&amp;"'!$A:$D"),4,false),1))</f>
        <v>1</v>
      </c>
      <c r="I2350" s="62">
        <f t="shared" si="4700"/>
        <v>1</v>
      </c>
      <c r="J2350" s="62">
        <f t="shared" si="4700"/>
        <v>1</v>
      </c>
      <c r="K2350" s="62">
        <f t="shared" si="4700"/>
        <v>1</v>
      </c>
      <c r="L2350" s="62">
        <f t="shared" si="4700"/>
        <v>1</v>
      </c>
      <c r="M2350" s="62">
        <f t="shared" si="4700"/>
        <v>1</v>
      </c>
      <c r="N2350" s="62">
        <f t="shared" si="4700"/>
        <v>1</v>
      </c>
      <c r="O2350" s="62">
        <f t="shared" si="4700"/>
        <v>1</v>
      </c>
      <c r="P2350" s="62" t="str">
        <f t="shared" si="4700"/>
        <v/>
      </c>
      <c r="Q2350" s="62" t="str">
        <f t="shared" si="4700"/>
        <v/>
      </c>
      <c r="R2350" s="62">
        <f t="shared" si="7"/>
        <v>0</v>
      </c>
      <c r="S2350" s="62"/>
      <c r="T2350" s="62"/>
      <c r="U2350" s="62"/>
      <c r="V2350" s="62"/>
      <c r="W2350" s="62"/>
      <c r="X2350" s="62"/>
      <c r="Y2350" s="62"/>
      <c r="Z2350" s="62"/>
      <c r="AA2350" s="62"/>
      <c r="AB2350" s="62"/>
      <c r="AC2350" s="62"/>
    </row>
    <row r="2351">
      <c r="A2351" s="60">
        <f>IFERROR(__xludf.DUMMYFUNCTION("""COMPUTED_VALUE"""),17461.0)</f>
        <v>17461</v>
      </c>
      <c r="B2351" s="60" t="str">
        <f>IFERROR(__xludf.DUMMYFUNCTION("""COMPUTED_VALUE"""),"LaFleur, Mike")</f>
        <v>LaFleur, Mike</v>
      </c>
      <c r="C2351" s="60" t="str">
        <f>IFERROR(__xludf.DUMMYFUNCTION("""COMPUTED_VALUE"""),"Coach")</f>
        <v>Coach</v>
      </c>
      <c r="D2351" s="60" t="str">
        <f>IFERROR(__xludf.DUMMYFUNCTION("""COMPUTED_VALUE"""),"ARI")</f>
        <v>ARI</v>
      </c>
      <c r="E2351" s="62" t="str">
        <f t="shared" si="4"/>
        <v>Mike LaFleur</v>
      </c>
      <c r="F2351" s="62">
        <f t="shared" ref="F2351:G2351" si="4701">IF(isblank(F$1),,IF(isblank($A2351),,IFERROR(vlookup($A2351,indirect("'TVC-"&amp;text(month(F$1),"00")&amp;"'!$A:$D"),4,false),1)))</f>
        <v>1</v>
      </c>
      <c r="G2351" s="62">
        <f t="shared" si="4701"/>
        <v>1</v>
      </c>
      <c r="H2351" s="62">
        <f t="shared" ref="H2351:Q2351" si="4702">IF(isblank(H$1),,IFERROR(vlookup($A2351,indirect("'TVC-"&amp;text(month(H$1),"00")&amp;"'!$A:$D"),4,false),1))</f>
        <v>1</v>
      </c>
      <c r="I2351" s="62">
        <f t="shared" si="4702"/>
        <v>1</v>
      </c>
      <c r="J2351" s="62">
        <f t="shared" si="4702"/>
        <v>1</v>
      </c>
      <c r="K2351" s="62">
        <f t="shared" si="4702"/>
        <v>1</v>
      </c>
      <c r="L2351" s="62">
        <f t="shared" si="4702"/>
        <v>1</v>
      </c>
      <c r="M2351" s="62">
        <f t="shared" si="4702"/>
        <v>1</v>
      </c>
      <c r="N2351" s="62">
        <f t="shared" si="4702"/>
        <v>1</v>
      </c>
      <c r="O2351" s="62">
        <f t="shared" si="4702"/>
        <v>1</v>
      </c>
      <c r="P2351" s="62" t="str">
        <f t="shared" si="4702"/>
        <v/>
      </c>
      <c r="Q2351" s="62" t="str">
        <f t="shared" si="4702"/>
        <v/>
      </c>
      <c r="R2351" s="62">
        <f t="shared" si="7"/>
        <v>0</v>
      </c>
      <c r="S2351" s="62"/>
      <c r="T2351" s="62"/>
      <c r="U2351" s="62"/>
      <c r="V2351" s="62"/>
      <c r="W2351" s="62"/>
      <c r="X2351" s="62"/>
      <c r="Y2351" s="62"/>
      <c r="Z2351" s="62"/>
      <c r="AA2351" s="62"/>
      <c r="AB2351" s="62"/>
      <c r="AC2351" s="62"/>
    </row>
    <row r="2352">
      <c r="A2352" s="60">
        <f>IFERROR(__xludf.DUMMYFUNCTION("""COMPUTED_VALUE"""),17462.0)</f>
        <v>17462</v>
      </c>
      <c r="B2352" s="60" t="str">
        <f>IFERROR(__xludf.DUMMYFUNCTION("""COMPUTED_VALUE"""),"Mendoza, Fernando")</f>
        <v>Mendoza, Fernando</v>
      </c>
      <c r="C2352" s="60" t="str">
        <f>IFERROR(__xludf.DUMMYFUNCTION("""COMPUTED_VALUE"""),"QB")</f>
        <v>QB</v>
      </c>
      <c r="D2352" s="60" t="str">
        <f>IFERROR(__xludf.DUMMYFUNCTION("""COMPUTED_VALUE"""),"LVR")</f>
        <v>LVR</v>
      </c>
      <c r="E2352" s="62" t="str">
        <f t="shared" si="4"/>
        <v>Fernando Mendoza</v>
      </c>
      <c r="F2352" s="62">
        <f t="shared" ref="F2352:G2352" si="4703">IF(isblank(F$1),,IF(isblank($A2352),,IFERROR(vlookup($A2352,indirect("'TVC-"&amp;text(month(F$1),"00")&amp;"'!$A:$D"),4,false),1)))</f>
        <v>1</v>
      </c>
      <c r="G2352" s="62">
        <f t="shared" si="4703"/>
        <v>5583</v>
      </c>
      <c r="H2352" s="62">
        <f t="shared" ref="H2352:Q2352" si="4704">IF(isblank(H$1),,IFERROR(vlookup($A2352,indirect("'TVC-"&amp;text(month(H$1),"00")&amp;"'!$A:$D"),4,false),1))</f>
        <v>5615</v>
      </c>
      <c r="I2352" s="62">
        <f t="shared" si="4704"/>
        <v>5595</v>
      </c>
      <c r="J2352" s="62">
        <f t="shared" si="4704"/>
        <v>5649</v>
      </c>
      <c r="K2352" s="62">
        <f t="shared" si="4704"/>
        <v>5613</v>
      </c>
      <c r="L2352" s="62">
        <f t="shared" si="4704"/>
        <v>5535</v>
      </c>
      <c r="M2352" s="62">
        <f t="shared" si="4704"/>
        <v>5430</v>
      </c>
      <c r="N2352" s="62">
        <f t="shared" si="4704"/>
        <v>5303</v>
      </c>
      <c r="O2352" s="62">
        <f t="shared" si="4704"/>
        <v>1</v>
      </c>
      <c r="P2352" s="62" t="str">
        <f t="shared" si="4704"/>
        <v/>
      </c>
      <c r="Q2352" s="62" t="str">
        <f t="shared" si="4704"/>
        <v/>
      </c>
      <c r="R2352" s="62">
        <f t="shared" si="7"/>
        <v>-5302</v>
      </c>
      <c r="S2352" s="62"/>
      <c r="T2352" s="62"/>
      <c r="U2352" s="62"/>
      <c r="V2352" s="62"/>
      <c r="W2352" s="62"/>
      <c r="X2352" s="62"/>
      <c r="Y2352" s="62"/>
      <c r="Z2352" s="62"/>
      <c r="AA2352" s="62"/>
      <c r="AB2352" s="62"/>
      <c r="AC2352" s="62"/>
    </row>
    <row r="2353">
      <c r="A2353" s="60">
        <f>IFERROR(__xludf.DUMMYFUNCTION("""COMPUTED_VALUE"""),17463.0)</f>
        <v>17463</v>
      </c>
      <c r="B2353" s="60" t="str">
        <f>IFERROR(__xludf.DUMMYFUNCTION("""COMPUTED_VALUE"""),"Simpson, Ty")</f>
        <v>Simpson, Ty</v>
      </c>
      <c r="C2353" s="60" t="str">
        <f>IFERROR(__xludf.DUMMYFUNCTION("""COMPUTED_VALUE"""),"QB")</f>
        <v>QB</v>
      </c>
      <c r="D2353" s="60" t="str">
        <f>IFERROR(__xludf.DUMMYFUNCTION("""COMPUTED_VALUE"""),"LAR")</f>
        <v>LAR</v>
      </c>
      <c r="E2353" s="62" t="str">
        <f t="shared" si="4"/>
        <v>Ty Simpson</v>
      </c>
      <c r="F2353" s="62">
        <f t="shared" ref="F2353:G2353" si="4705">IF(isblank(F$1),,IF(isblank($A2353),,IFERROR(vlookup($A2353,indirect("'TVC-"&amp;text(month(F$1),"00")&amp;"'!$A:$D"),4,false),1)))</f>
        <v>1</v>
      </c>
      <c r="G2353" s="62">
        <f t="shared" si="4705"/>
        <v>2990</v>
      </c>
      <c r="H2353" s="62">
        <f t="shared" ref="H2353:Q2353" si="4706">IF(isblank(H$1),,IFERROR(vlookup($A2353,indirect("'TVC-"&amp;text(month(H$1),"00")&amp;"'!$A:$D"),4,false),1))</f>
        <v>2884</v>
      </c>
      <c r="I2353" s="62">
        <f t="shared" si="4706"/>
        <v>3017</v>
      </c>
      <c r="J2353" s="62">
        <f t="shared" si="4706"/>
        <v>3690</v>
      </c>
      <c r="K2353" s="62">
        <f t="shared" si="4706"/>
        <v>3669</v>
      </c>
      <c r="L2353" s="62">
        <f t="shared" si="4706"/>
        <v>3550</v>
      </c>
      <c r="M2353" s="62">
        <f t="shared" si="4706"/>
        <v>3483</v>
      </c>
      <c r="N2353" s="62">
        <f t="shared" si="4706"/>
        <v>3706</v>
      </c>
      <c r="O2353" s="62">
        <f t="shared" si="4706"/>
        <v>1</v>
      </c>
      <c r="P2353" s="62" t="str">
        <f t="shared" si="4706"/>
        <v/>
      </c>
      <c r="Q2353" s="62" t="str">
        <f t="shared" si="4706"/>
        <v/>
      </c>
      <c r="R2353" s="62">
        <f t="shared" si="7"/>
        <v>-3705</v>
      </c>
      <c r="S2353" s="62"/>
      <c r="T2353" s="62"/>
      <c r="U2353" s="62"/>
      <c r="V2353" s="62"/>
      <c r="W2353" s="62"/>
      <c r="X2353" s="62"/>
      <c r="Y2353" s="62"/>
      <c r="Z2353" s="62"/>
      <c r="AA2353" s="62"/>
      <c r="AB2353" s="62"/>
      <c r="AC2353" s="62"/>
    </row>
    <row r="2354">
      <c r="A2354" s="60">
        <f>IFERROR(__xludf.DUMMYFUNCTION("""COMPUTED_VALUE"""),17464.0)</f>
        <v>17464</v>
      </c>
      <c r="B2354" s="60" t="str">
        <f>IFERROR(__xludf.DUMMYFUNCTION("""COMPUTED_VALUE"""),"Chambliss, Trinidad")</f>
        <v>Chambliss, Trinidad</v>
      </c>
      <c r="C2354" s="60" t="str">
        <f>IFERROR(__xludf.DUMMYFUNCTION("""COMPUTED_VALUE"""),"XX")</f>
        <v>XX</v>
      </c>
      <c r="D2354" s="60" t="str">
        <f>IFERROR(__xludf.DUMMYFUNCTION("""COMPUTED_VALUE"""),"FA")</f>
        <v>FA</v>
      </c>
      <c r="E2354" s="62" t="str">
        <f t="shared" si="4"/>
        <v>Trinidad Chambliss</v>
      </c>
      <c r="F2354" s="62">
        <f t="shared" ref="F2354:G2354" si="4707">IF(isblank(F$1),,IF(isblank($A2354),,IFERROR(vlookup($A2354,indirect("'TVC-"&amp;text(month(F$1),"00")&amp;"'!$A:$D"),4,false),1)))</f>
        <v>1</v>
      </c>
      <c r="G2354" s="62">
        <f t="shared" si="4707"/>
        <v>2540</v>
      </c>
      <c r="H2354" s="62">
        <f t="shared" ref="H2354:Q2354" si="4708">IF(isblank(H$1),,IFERROR(vlookup($A2354,indirect("'TVC-"&amp;text(month(H$1),"00")&amp;"'!$A:$D"),4,false),1))</f>
        <v>2358</v>
      </c>
      <c r="I2354" s="62">
        <f t="shared" si="4708"/>
        <v>2053</v>
      </c>
      <c r="J2354" s="62">
        <f t="shared" si="4708"/>
        <v>1</v>
      </c>
      <c r="K2354" s="62">
        <f t="shared" si="4708"/>
        <v>1</v>
      </c>
      <c r="L2354" s="62">
        <f t="shared" si="4708"/>
        <v>1</v>
      </c>
      <c r="M2354" s="62">
        <f t="shared" si="4708"/>
        <v>1</v>
      </c>
      <c r="N2354" s="62">
        <f t="shared" si="4708"/>
        <v>1</v>
      </c>
      <c r="O2354" s="62">
        <f t="shared" si="4708"/>
        <v>1</v>
      </c>
      <c r="P2354" s="62" t="str">
        <f t="shared" si="4708"/>
        <v/>
      </c>
      <c r="Q2354" s="62" t="str">
        <f t="shared" si="4708"/>
        <v/>
      </c>
      <c r="R2354" s="62">
        <f t="shared" si="7"/>
        <v>0</v>
      </c>
      <c r="S2354" s="62"/>
      <c r="T2354" s="62"/>
      <c r="U2354" s="62"/>
      <c r="V2354" s="62"/>
      <c r="W2354" s="62"/>
      <c r="X2354" s="62"/>
      <c r="Y2354" s="62"/>
      <c r="Z2354" s="62"/>
      <c r="AA2354" s="62"/>
      <c r="AB2354" s="62"/>
      <c r="AC2354" s="62"/>
    </row>
    <row r="2355">
      <c r="A2355" s="60">
        <f>IFERROR(__xludf.DUMMYFUNCTION("""COMPUTED_VALUE"""),17465.0)</f>
        <v>17465</v>
      </c>
      <c r="B2355" s="60" t="str">
        <f>IFERROR(__xludf.DUMMYFUNCTION("""COMPUTED_VALUE"""),"Nussmeier, Garrett")</f>
        <v>Nussmeier, Garrett</v>
      </c>
      <c r="C2355" s="60" t="str">
        <f>IFERROR(__xludf.DUMMYFUNCTION("""COMPUTED_VALUE"""),"QB")</f>
        <v>QB</v>
      </c>
      <c r="D2355" s="60" t="str">
        <f>IFERROR(__xludf.DUMMYFUNCTION("""COMPUTED_VALUE"""),"KCC")</f>
        <v>KCC</v>
      </c>
      <c r="E2355" s="62" t="str">
        <f t="shared" si="4"/>
        <v>Garrett Nussmeier</v>
      </c>
      <c r="F2355" s="62">
        <f t="shared" ref="F2355:G2355" si="4709">IF(isblank(F$1),,IF(isblank($A2355),,IFERROR(vlookup($A2355,indirect("'TVC-"&amp;text(month(F$1),"00")&amp;"'!$A:$D"),4,false),1)))</f>
        <v>1</v>
      </c>
      <c r="G2355" s="62">
        <f t="shared" si="4709"/>
        <v>1895</v>
      </c>
      <c r="H2355" s="62">
        <f t="shared" ref="H2355:Q2355" si="4710">IF(isblank(H$1),,IFERROR(vlookup($A2355,indirect("'TVC-"&amp;text(month(H$1),"00")&amp;"'!$A:$D"),4,false),1))</f>
        <v>1957</v>
      </c>
      <c r="I2355" s="62">
        <f t="shared" si="4710"/>
        <v>2046</v>
      </c>
      <c r="J2355" s="62">
        <f t="shared" si="4710"/>
        <v>1768</v>
      </c>
      <c r="K2355" s="62">
        <f t="shared" si="4710"/>
        <v>1693</v>
      </c>
      <c r="L2355" s="62">
        <f t="shared" si="4710"/>
        <v>1639</v>
      </c>
      <c r="M2355" s="62">
        <f t="shared" si="4710"/>
        <v>1500</v>
      </c>
      <c r="N2355" s="62">
        <f t="shared" si="4710"/>
        <v>1473</v>
      </c>
      <c r="O2355" s="62">
        <f t="shared" si="4710"/>
        <v>1</v>
      </c>
      <c r="P2355" s="62" t="str">
        <f t="shared" si="4710"/>
        <v/>
      </c>
      <c r="Q2355" s="62" t="str">
        <f t="shared" si="4710"/>
        <v/>
      </c>
      <c r="R2355" s="62">
        <f t="shared" si="7"/>
        <v>-1472</v>
      </c>
      <c r="S2355" s="62"/>
      <c r="T2355" s="62"/>
      <c r="U2355" s="62"/>
      <c r="V2355" s="62"/>
      <c r="W2355" s="62"/>
      <c r="X2355" s="62"/>
      <c r="Y2355" s="62"/>
      <c r="Z2355" s="62"/>
      <c r="AA2355" s="62"/>
      <c r="AB2355" s="62"/>
      <c r="AC2355" s="62"/>
    </row>
    <row r="2356">
      <c r="A2356" s="60">
        <f>IFERROR(__xludf.DUMMYFUNCTION("""COMPUTED_VALUE"""),17466.0)</f>
        <v>17466</v>
      </c>
      <c r="B2356" s="60" t="str">
        <f>IFERROR(__xludf.DUMMYFUNCTION("""COMPUTED_VALUE"""),"Beck, Carson")</f>
        <v>Beck, Carson</v>
      </c>
      <c r="C2356" s="60" t="str">
        <f>IFERROR(__xludf.DUMMYFUNCTION("""COMPUTED_VALUE"""),"QB")</f>
        <v>QB</v>
      </c>
      <c r="D2356" s="60" t="str">
        <f>IFERROR(__xludf.DUMMYFUNCTION("""COMPUTED_VALUE"""),"ARI")</f>
        <v>ARI</v>
      </c>
      <c r="E2356" s="62" t="str">
        <f t="shared" si="4"/>
        <v>Carson Beck</v>
      </c>
      <c r="F2356" s="62">
        <f t="shared" ref="F2356:G2356" si="4711">IF(isblank(F$1),,IF(isblank($A2356),,IFERROR(vlookup($A2356,indirect("'TVC-"&amp;text(month(F$1),"00")&amp;"'!$A:$D"),4,false),1)))</f>
        <v>1</v>
      </c>
      <c r="G2356" s="62">
        <f t="shared" si="4711"/>
        <v>1</v>
      </c>
      <c r="H2356" s="62">
        <f t="shared" ref="H2356:Q2356" si="4712">IF(isblank(H$1),,IFERROR(vlookup($A2356,indirect("'TVC-"&amp;text(month(H$1),"00")&amp;"'!$A:$D"),4,false),1))</f>
        <v>1</v>
      </c>
      <c r="I2356" s="62">
        <f t="shared" si="4712"/>
        <v>1</v>
      </c>
      <c r="J2356" s="62">
        <f t="shared" si="4712"/>
        <v>970</v>
      </c>
      <c r="K2356" s="62">
        <f t="shared" si="4712"/>
        <v>1725</v>
      </c>
      <c r="L2356" s="62">
        <f t="shared" si="4712"/>
        <v>2195</v>
      </c>
      <c r="M2356" s="62">
        <f t="shared" si="4712"/>
        <v>2596</v>
      </c>
      <c r="N2356" s="62">
        <f t="shared" si="4712"/>
        <v>2768</v>
      </c>
      <c r="O2356" s="62">
        <f t="shared" si="4712"/>
        <v>1</v>
      </c>
      <c r="P2356" s="62" t="str">
        <f t="shared" si="4712"/>
        <v/>
      </c>
      <c r="Q2356" s="62" t="str">
        <f t="shared" si="4712"/>
        <v/>
      </c>
      <c r="R2356" s="62">
        <f t="shared" si="7"/>
        <v>-2767</v>
      </c>
      <c r="S2356" s="62"/>
      <c r="T2356" s="62"/>
      <c r="U2356" s="62"/>
      <c r="V2356" s="62"/>
      <c r="W2356" s="62"/>
      <c r="X2356" s="62"/>
      <c r="Y2356" s="62"/>
      <c r="Z2356" s="62"/>
      <c r="AA2356" s="62"/>
      <c r="AB2356" s="62"/>
      <c r="AC2356" s="62"/>
    </row>
    <row r="2357">
      <c r="A2357" s="60">
        <f>IFERROR(__xludf.DUMMYFUNCTION("""COMPUTED_VALUE"""),17467.0)</f>
        <v>17467</v>
      </c>
      <c r="B2357" s="60" t="str">
        <f>IFERROR(__xludf.DUMMYFUNCTION("""COMPUTED_VALUE"""),"Klubnik, Cade")</f>
        <v>Klubnik, Cade</v>
      </c>
      <c r="C2357" s="60" t="str">
        <f>IFERROR(__xludf.DUMMYFUNCTION("""COMPUTED_VALUE"""),"QB")</f>
        <v>QB</v>
      </c>
      <c r="D2357" s="60" t="str">
        <f>IFERROR(__xludf.DUMMYFUNCTION("""COMPUTED_VALUE"""),"NYJ")</f>
        <v>NYJ</v>
      </c>
      <c r="E2357" s="62" t="str">
        <f t="shared" si="4"/>
        <v>Cade Klubnik</v>
      </c>
      <c r="F2357" s="62">
        <f t="shared" ref="F2357:G2357" si="4713">IF(isblank(F$1),,IF(isblank($A2357),,IFERROR(vlookup($A2357,indirect("'TVC-"&amp;text(month(F$1),"00")&amp;"'!$A:$D"),4,false),1)))</f>
        <v>1</v>
      </c>
      <c r="G2357" s="62">
        <f t="shared" si="4713"/>
        <v>1003</v>
      </c>
      <c r="H2357" s="62">
        <f t="shared" ref="H2357:Q2357" si="4714">IF(isblank(H$1),,IFERROR(vlookup($A2357,indirect("'TVC-"&amp;text(month(H$1),"00")&amp;"'!$A:$D"),4,false),1))</f>
        <v>992</v>
      </c>
      <c r="I2357" s="62">
        <f t="shared" si="4714"/>
        <v>1008</v>
      </c>
      <c r="J2357" s="62">
        <f t="shared" si="4714"/>
        <v>1516</v>
      </c>
      <c r="K2357" s="62">
        <f t="shared" si="4714"/>
        <v>1797</v>
      </c>
      <c r="L2357" s="62">
        <f t="shared" si="4714"/>
        <v>1856</v>
      </c>
      <c r="M2357" s="62">
        <f t="shared" si="4714"/>
        <v>1937</v>
      </c>
      <c r="N2357" s="62">
        <f t="shared" si="4714"/>
        <v>2050</v>
      </c>
      <c r="O2357" s="62">
        <f t="shared" si="4714"/>
        <v>1</v>
      </c>
      <c r="P2357" s="62" t="str">
        <f t="shared" si="4714"/>
        <v/>
      </c>
      <c r="Q2357" s="62" t="str">
        <f t="shared" si="4714"/>
        <v/>
      </c>
      <c r="R2357" s="62">
        <f t="shared" si="7"/>
        <v>-2049</v>
      </c>
      <c r="S2357" s="62"/>
      <c r="T2357" s="62"/>
      <c r="U2357" s="62"/>
      <c r="V2357" s="62"/>
      <c r="W2357" s="62"/>
      <c r="X2357" s="62"/>
      <c r="Y2357" s="62"/>
      <c r="Z2357" s="62"/>
      <c r="AA2357" s="62"/>
      <c r="AB2357" s="62"/>
      <c r="AC2357" s="62"/>
    </row>
    <row r="2358">
      <c r="A2358" s="60">
        <f>IFERROR(__xludf.DUMMYFUNCTION("""COMPUTED_VALUE"""),17468.0)</f>
        <v>17468</v>
      </c>
      <c r="B2358" s="60" t="str">
        <f>IFERROR(__xludf.DUMMYFUNCTION("""COMPUTED_VALUE"""),"Allar, Drew")</f>
        <v>Allar, Drew</v>
      </c>
      <c r="C2358" s="60" t="str">
        <f>IFERROR(__xludf.DUMMYFUNCTION("""COMPUTED_VALUE"""),"QB")</f>
        <v>QB</v>
      </c>
      <c r="D2358" s="60" t="str">
        <f>IFERROR(__xludf.DUMMYFUNCTION("""COMPUTED_VALUE"""),"PIT")</f>
        <v>PIT</v>
      </c>
      <c r="E2358" s="62" t="str">
        <f t="shared" si="4"/>
        <v>Drew Allar</v>
      </c>
      <c r="F2358" s="62">
        <f t="shared" ref="F2358:G2358" si="4715">IF(isblank(F$1),,IF(isblank($A2358),,IFERROR(vlookup($A2358,indirect("'TVC-"&amp;text(month(F$1),"00")&amp;"'!$A:$D"),4,false),1)))</f>
        <v>1</v>
      </c>
      <c r="G2358" s="62">
        <f t="shared" si="4715"/>
        <v>1</v>
      </c>
      <c r="H2358" s="62">
        <f t="shared" ref="H2358:Q2358" si="4716">IF(isblank(H$1),,IFERROR(vlookup($A2358,indirect("'TVC-"&amp;text(month(H$1),"00")&amp;"'!$A:$D"),4,false),1))</f>
        <v>1</v>
      </c>
      <c r="I2358" s="62">
        <f t="shared" si="4716"/>
        <v>1</v>
      </c>
      <c r="J2358" s="62">
        <f t="shared" si="4716"/>
        <v>959</v>
      </c>
      <c r="K2358" s="62">
        <f t="shared" si="4716"/>
        <v>1536</v>
      </c>
      <c r="L2358" s="62">
        <f t="shared" si="4716"/>
        <v>1868</v>
      </c>
      <c r="M2358" s="62">
        <f t="shared" si="4716"/>
        <v>2014</v>
      </c>
      <c r="N2358" s="62">
        <f t="shared" si="4716"/>
        <v>2559</v>
      </c>
      <c r="O2358" s="62">
        <f t="shared" si="4716"/>
        <v>1</v>
      </c>
      <c r="P2358" s="62" t="str">
        <f t="shared" si="4716"/>
        <v/>
      </c>
      <c r="Q2358" s="62" t="str">
        <f t="shared" si="4716"/>
        <v/>
      </c>
      <c r="R2358" s="62">
        <f t="shared" si="7"/>
        <v>-2558</v>
      </c>
      <c r="S2358" s="62"/>
      <c r="T2358" s="62"/>
      <c r="U2358" s="62"/>
      <c r="V2358" s="62"/>
      <c r="W2358" s="62"/>
      <c r="X2358" s="62"/>
      <c r="Y2358" s="62"/>
      <c r="Z2358" s="62"/>
      <c r="AA2358" s="62"/>
      <c r="AB2358" s="62"/>
      <c r="AC2358" s="62"/>
    </row>
    <row r="2359">
      <c r="A2359" s="60">
        <f>IFERROR(__xludf.DUMMYFUNCTION("""COMPUTED_VALUE"""),17469.0)</f>
        <v>17469</v>
      </c>
      <c r="B2359" s="60" t="str">
        <f>IFERROR(__xludf.DUMMYFUNCTION("""COMPUTED_VALUE"""),"Daniels, Jalon")</f>
        <v>Daniels, Jalon</v>
      </c>
      <c r="C2359" s="60" t="str">
        <f>IFERROR(__xludf.DUMMYFUNCTION("""COMPUTED_VALUE"""),"QB")</f>
        <v>QB</v>
      </c>
      <c r="D2359" s="60" t="str">
        <f>IFERROR(__xludf.DUMMYFUNCTION("""COMPUTED_VALUE"""),"TBB")</f>
        <v>TBB</v>
      </c>
      <c r="E2359" s="62" t="str">
        <f t="shared" si="4"/>
        <v>Jalon Daniels</v>
      </c>
      <c r="F2359" s="62">
        <f t="shared" ref="F2359:G2359" si="4717">IF(isblank(F$1),,IF(isblank($A2359),,IFERROR(vlookup($A2359,indirect("'TVC-"&amp;text(month(F$1),"00")&amp;"'!$A:$D"),4,false),1)))</f>
        <v>1</v>
      </c>
      <c r="G2359" s="62">
        <f t="shared" si="4717"/>
        <v>1</v>
      </c>
      <c r="H2359" s="62">
        <f t="shared" ref="H2359:Q2359" si="4718">IF(isblank(H$1),,IFERROR(vlookup($A2359,indirect("'TVC-"&amp;text(month(H$1),"00")&amp;"'!$A:$D"),4,false),1))</f>
        <v>1</v>
      </c>
      <c r="I2359" s="62">
        <f t="shared" si="4718"/>
        <v>1</v>
      </c>
      <c r="J2359" s="62">
        <f t="shared" si="4718"/>
        <v>1</v>
      </c>
      <c r="K2359" s="62">
        <f t="shared" si="4718"/>
        <v>1</v>
      </c>
      <c r="L2359" s="62">
        <f t="shared" si="4718"/>
        <v>1</v>
      </c>
      <c r="M2359" s="62">
        <f t="shared" si="4718"/>
        <v>1</v>
      </c>
      <c r="N2359" s="62">
        <f t="shared" si="4718"/>
        <v>1</v>
      </c>
      <c r="O2359" s="62">
        <f t="shared" si="4718"/>
        <v>1</v>
      </c>
      <c r="P2359" s="62" t="str">
        <f t="shared" si="4718"/>
        <v/>
      </c>
      <c r="Q2359" s="62" t="str">
        <f t="shared" si="4718"/>
        <v/>
      </c>
      <c r="R2359" s="62">
        <f t="shared" si="7"/>
        <v>0</v>
      </c>
      <c r="S2359" s="62"/>
      <c r="T2359" s="62"/>
      <c r="U2359" s="62"/>
      <c r="V2359" s="62"/>
      <c r="W2359" s="62"/>
      <c r="X2359" s="62"/>
      <c r="Y2359" s="62"/>
      <c r="Z2359" s="62"/>
      <c r="AA2359" s="62"/>
      <c r="AB2359" s="62"/>
      <c r="AC2359" s="62"/>
    </row>
    <row r="2360">
      <c r="A2360" s="60">
        <f>IFERROR(__xludf.DUMMYFUNCTION("""COMPUTED_VALUE"""),17470.0)</f>
        <v>17470</v>
      </c>
      <c r="B2360" s="60" t="str">
        <f>IFERROR(__xludf.DUMMYFUNCTION("""COMPUTED_VALUE"""),"Altmyer, Luke")</f>
        <v>Altmyer, Luke</v>
      </c>
      <c r="C2360" s="60" t="str">
        <f>IFERROR(__xludf.DUMMYFUNCTION("""COMPUTED_VALUE"""),"QB")</f>
        <v>QB</v>
      </c>
      <c r="D2360" s="60" t="str">
        <f>IFERROR(__xludf.DUMMYFUNCTION("""COMPUTED_VALUE"""),"DET")</f>
        <v>DET</v>
      </c>
      <c r="E2360" s="62" t="str">
        <f t="shared" si="4"/>
        <v>Luke Altmyer</v>
      </c>
      <c r="F2360" s="62">
        <f t="shared" ref="F2360:G2360" si="4719">IF(isblank(F$1),,IF(isblank($A2360),,IFERROR(vlookup($A2360,indirect("'TVC-"&amp;text(month(F$1),"00")&amp;"'!$A:$D"),4,false),1)))</f>
        <v>1</v>
      </c>
      <c r="G2360" s="62">
        <f t="shared" si="4719"/>
        <v>1402</v>
      </c>
      <c r="H2360" s="62">
        <f t="shared" ref="H2360:Q2360" si="4720">IF(isblank(H$1),,IFERROR(vlookup($A2360,indirect("'TVC-"&amp;text(month(H$1),"00")&amp;"'!$A:$D"),4,false),1))</f>
        <v>1295</v>
      </c>
      <c r="I2360" s="62">
        <f t="shared" si="4720"/>
        <v>699</v>
      </c>
      <c r="J2360" s="62">
        <f t="shared" si="4720"/>
        <v>1</v>
      </c>
      <c r="K2360" s="62">
        <f t="shared" si="4720"/>
        <v>1</v>
      </c>
      <c r="L2360" s="62">
        <f t="shared" si="4720"/>
        <v>1</v>
      </c>
      <c r="M2360" s="62">
        <f t="shared" si="4720"/>
        <v>1</v>
      </c>
      <c r="N2360" s="62">
        <f t="shared" si="4720"/>
        <v>1</v>
      </c>
      <c r="O2360" s="62">
        <f t="shared" si="4720"/>
        <v>1</v>
      </c>
      <c r="P2360" s="62" t="str">
        <f t="shared" si="4720"/>
        <v/>
      </c>
      <c r="Q2360" s="62" t="str">
        <f t="shared" si="4720"/>
        <v/>
      </c>
      <c r="R2360" s="62">
        <f t="shared" si="7"/>
        <v>0</v>
      </c>
      <c r="S2360" s="62"/>
      <c r="T2360" s="62"/>
      <c r="U2360" s="62"/>
      <c r="V2360" s="62"/>
      <c r="W2360" s="62"/>
      <c r="X2360" s="62"/>
      <c r="Y2360" s="62"/>
      <c r="Z2360" s="62"/>
      <c r="AA2360" s="62"/>
      <c r="AB2360" s="62"/>
      <c r="AC2360" s="62"/>
    </row>
    <row r="2361" hidden="1">
      <c r="A2361" s="60">
        <f>IFERROR(__xludf.DUMMYFUNCTION("""COMPUTED_VALUE"""),17471.0)</f>
        <v>17471</v>
      </c>
      <c r="B2361" s="60" t="str">
        <f>IFERROR(__xludf.DUMMYFUNCTION("""COMPUTED_VALUE"""),"Pavia, Diego")</f>
        <v>Pavia, Diego</v>
      </c>
      <c r="C2361" s="60" t="str">
        <f>IFERROR(__xludf.DUMMYFUNCTION("""COMPUTED_VALUE"""),"QB")</f>
        <v>QB</v>
      </c>
      <c r="D2361" s="60" t="str">
        <f>IFERROR(__xludf.DUMMYFUNCTION("""COMPUTED_VALUE"""),"FA")</f>
        <v>FA</v>
      </c>
      <c r="E2361" s="62" t="str">
        <f t="shared" si="4"/>
        <v>Diego Pavia</v>
      </c>
      <c r="F2361" s="62">
        <f t="shared" ref="F2361:G2361" si="4721">IF(isblank(F$1),,IF(isblank($A2361),,IFERROR(vlookup($A2361,indirect("'TVC-"&amp;text(month(F$1),"00")&amp;"'!$A:$D"),4,false),1)))</f>
        <v>1</v>
      </c>
      <c r="G2361" s="62">
        <f t="shared" si="4721"/>
        <v>1</v>
      </c>
      <c r="H2361" s="62">
        <f t="shared" ref="H2361:Q2361" si="4722">IF(isblank(H$1),,IFERROR(vlookup($A2361,indirect("'TVC-"&amp;text(month(H$1),"00")&amp;"'!$A:$D"),4,false),1))</f>
        <v>1</v>
      </c>
      <c r="I2361" s="62">
        <f t="shared" si="4722"/>
        <v>1</v>
      </c>
      <c r="J2361" s="62">
        <f t="shared" si="4722"/>
        <v>1</v>
      </c>
      <c r="K2361" s="62">
        <f t="shared" si="4722"/>
        <v>1</v>
      </c>
      <c r="L2361" s="62">
        <f t="shared" si="4722"/>
        <v>1</v>
      </c>
      <c r="M2361" s="62">
        <f t="shared" si="4722"/>
        <v>1</v>
      </c>
      <c r="N2361" s="62">
        <f t="shared" si="4722"/>
        <v>1</v>
      </c>
      <c r="O2361" s="62">
        <f t="shared" si="4722"/>
        <v>1</v>
      </c>
      <c r="P2361" s="62" t="str">
        <f t="shared" si="4722"/>
        <v/>
      </c>
      <c r="Q2361" s="62" t="str">
        <f t="shared" si="4722"/>
        <v/>
      </c>
      <c r="R2361" s="62">
        <f t="shared" si="7"/>
        <v>0</v>
      </c>
      <c r="S2361" s="62"/>
      <c r="T2361" s="62"/>
      <c r="U2361" s="62"/>
      <c r="V2361" s="62"/>
      <c r="W2361" s="62"/>
      <c r="X2361" s="62"/>
      <c r="Y2361" s="62"/>
      <c r="Z2361" s="62"/>
      <c r="AA2361" s="62"/>
      <c r="AB2361" s="62"/>
      <c r="AC2361" s="62"/>
    </row>
    <row r="2362">
      <c r="A2362" s="60">
        <f>IFERROR(__xludf.DUMMYFUNCTION("""COMPUTED_VALUE"""),17472.0)</f>
        <v>17472</v>
      </c>
      <c r="B2362" s="60" t="str">
        <f>IFERROR(__xludf.DUMMYFUNCTION("""COMPUTED_VALUE"""),"Love, Jeremiyah")</f>
        <v>Love, Jeremiyah</v>
      </c>
      <c r="C2362" s="60" t="str">
        <f>IFERROR(__xludf.DUMMYFUNCTION("""COMPUTED_VALUE"""),"RB")</f>
        <v>RB</v>
      </c>
      <c r="D2362" s="60" t="str">
        <f>IFERROR(__xludf.DUMMYFUNCTION("""COMPUTED_VALUE"""),"ARI")</f>
        <v>ARI</v>
      </c>
      <c r="E2362" s="62" t="str">
        <f t="shared" si="4"/>
        <v>Jeremiyah Love</v>
      </c>
      <c r="F2362" s="62">
        <f t="shared" ref="F2362:G2362" si="4723">IF(isblank(F$1),,IF(isblank($A2362),,IFERROR(vlookup($A2362,indirect("'TVC-"&amp;text(month(F$1),"00")&amp;"'!$A:$D"),4,false),1)))</f>
        <v>1</v>
      </c>
      <c r="G2362" s="62">
        <f t="shared" si="4723"/>
        <v>6748</v>
      </c>
      <c r="H2362" s="62">
        <f t="shared" ref="H2362:Q2362" si="4724">IF(isblank(H$1),,IFERROR(vlookup($A2362,indirect("'TVC-"&amp;text(month(H$1),"00")&amp;"'!$A:$D"),4,false),1))</f>
        <v>6935</v>
      </c>
      <c r="I2362" s="62">
        <f t="shared" si="4724"/>
        <v>7416</v>
      </c>
      <c r="J2362" s="62">
        <f t="shared" si="4724"/>
        <v>7586</v>
      </c>
      <c r="K2362" s="62">
        <f t="shared" si="4724"/>
        <v>7649</v>
      </c>
      <c r="L2362" s="62">
        <f t="shared" si="4724"/>
        <v>7589</v>
      </c>
      <c r="M2362" s="62">
        <f t="shared" si="4724"/>
        <v>7468</v>
      </c>
      <c r="N2362" s="62">
        <f t="shared" si="4724"/>
        <v>7334</v>
      </c>
      <c r="O2362" s="62">
        <f t="shared" si="4724"/>
        <v>1</v>
      </c>
      <c r="P2362" s="62" t="str">
        <f t="shared" si="4724"/>
        <v/>
      </c>
      <c r="Q2362" s="62" t="str">
        <f t="shared" si="4724"/>
        <v/>
      </c>
      <c r="R2362" s="62">
        <f t="shared" si="7"/>
        <v>-7333</v>
      </c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</row>
    <row r="2363" hidden="1">
      <c r="A2363" s="60">
        <f>IFERROR(__xludf.DUMMYFUNCTION("""COMPUTED_VALUE"""),17473.0)</f>
        <v>17473</v>
      </c>
      <c r="B2363" s="60" t="str">
        <f>IFERROR(__xludf.DUMMYFUNCTION("""COMPUTED_VALUE"""),"Price, Jadarian")</f>
        <v>Price, Jadarian</v>
      </c>
      <c r="C2363" s="60" t="str">
        <f>IFERROR(__xludf.DUMMYFUNCTION("""COMPUTED_VALUE"""),"RB")</f>
        <v>RB</v>
      </c>
      <c r="D2363" s="60" t="str">
        <f>IFERROR(__xludf.DUMMYFUNCTION("""COMPUTED_VALUE"""),"SEA")</f>
        <v>SEA</v>
      </c>
      <c r="E2363" s="62" t="str">
        <f t="shared" si="4"/>
        <v>Jadarian Price</v>
      </c>
      <c r="F2363" s="62">
        <f t="shared" ref="F2363:G2363" si="4725">IF(isblank(F$1),,IF(isblank($A2363),,IFERROR(vlookup($A2363,indirect("'TVC-"&amp;text(month(F$1),"00")&amp;"'!$A:$D"),4,false),1)))</f>
        <v>1</v>
      </c>
      <c r="G2363" s="62">
        <f t="shared" si="4725"/>
        <v>3313</v>
      </c>
      <c r="H2363" s="62">
        <f t="shared" ref="H2363:Q2363" si="4726">IF(isblank(H$1),,IFERROR(vlookup($A2363,indirect("'TVC-"&amp;text(month(H$1),"00")&amp;"'!$A:$D"),4,false),1))</f>
        <v>3286</v>
      </c>
      <c r="I2363" s="62">
        <f t="shared" si="4726"/>
        <v>2975</v>
      </c>
      <c r="J2363" s="62">
        <f t="shared" si="4726"/>
        <v>4577</v>
      </c>
      <c r="K2363" s="62">
        <f t="shared" si="4726"/>
        <v>4835</v>
      </c>
      <c r="L2363" s="62">
        <f t="shared" si="4726"/>
        <v>4856</v>
      </c>
      <c r="M2363" s="62">
        <f t="shared" si="4726"/>
        <v>4791</v>
      </c>
      <c r="N2363" s="62">
        <f t="shared" si="4726"/>
        <v>5116</v>
      </c>
      <c r="O2363" s="62">
        <f t="shared" si="4726"/>
        <v>1</v>
      </c>
      <c r="P2363" s="62" t="str">
        <f t="shared" si="4726"/>
        <v/>
      </c>
      <c r="Q2363" s="62" t="str">
        <f t="shared" si="4726"/>
        <v/>
      </c>
      <c r="R2363" s="62">
        <f t="shared" si="7"/>
        <v>-5115</v>
      </c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</row>
    <row r="2364" hidden="1">
      <c r="A2364" s="60">
        <f>IFERROR(__xludf.DUMMYFUNCTION("""COMPUTED_VALUE"""),17474.0)</f>
        <v>17474</v>
      </c>
      <c r="B2364" s="60" t="str">
        <f>IFERROR(__xludf.DUMMYFUNCTION("""COMPUTED_VALUE"""),"Johnson, Emmett")</f>
        <v>Johnson, Emmett</v>
      </c>
      <c r="C2364" s="60" t="str">
        <f>IFERROR(__xludf.DUMMYFUNCTION("""COMPUTED_VALUE"""),"RB")</f>
        <v>RB</v>
      </c>
      <c r="D2364" s="60" t="str">
        <f>IFERROR(__xludf.DUMMYFUNCTION("""COMPUTED_VALUE"""),"KCC")</f>
        <v>KCC</v>
      </c>
      <c r="E2364" s="62" t="str">
        <f t="shared" si="4"/>
        <v>Emmett Johnson</v>
      </c>
      <c r="F2364" s="62">
        <f t="shared" ref="F2364:G2364" si="4727">IF(isblank(F$1),,IF(isblank($A2364),,IFERROR(vlookup($A2364,indirect("'TVC-"&amp;text(month(F$1),"00")&amp;"'!$A:$D"),4,false),1)))</f>
        <v>1</v>
      </c>
      <c r="G2364" s="62">
        <f t="shared" si="4727"/>
        <v>2474</v>
      </c>
      <c r="H2364" s="62">
        <f t="shared" ref="H2364:Q2364" si="4728">IF(isblank(H$1),,IFERROR(vlookup($A2364,indirect("'TVC-"&amp;text(month(H$1),"00")&amp;"'!$A:$D"),4,false),1))</f>
        <v>2468</v>
      </c>
      <c r="I2364" s="62">
        <f t="shared" si="4728"/>
        <v>2166</v>
      </c>
      <c r="J2364" s="62">
        <f t="shared" si="4728"/>
        <v>2292</v>
      </c>
      <c r="K2364" s="62">
        <f t="shared" si="4728"/>
        <v>2594</v>
      </c>
      <c r="L2364" s="62">
        <f t="shared" si="4728"/>
        <v>2568</v>
      </c>
      <c r="M2364" s="62">
        <f t="shared" si="4728"/>
        <v>2469</v>
      </c>
      <c r="N2364" s="62">
        <f t="shared" si="4728"/>
        <v>2573</v>
      </c>
      <c r="O2364" s="62">
        <f t="shared" si="4728"/>
        <v>1</v>
      </c>
      <c r="P2364" s="62" t="str">
        <f t="shared" si="4728"/>
        <v/>
      </c>
      <c r="Q2364" s="62" t="str">
        <f t="shared" si="4728"/>
        <v/>
      </c>
      <c r="R2364" s="62">
        <f t="shared" si="7"/>
        <v>-2572</v>
      </c>
      <c r="S2364" s="62"/>
      <c r="T2364" s="62"/>
      <c r="U2364" s="62"/>
      <c r="V2364" s="62"/>
      <c r="W2364" s="62"/>
      <c r="X2364" s="62"/>
      <c r="Y2364" s="62"/>
      <c r="Z2364" s="62"/>
      <c r="AA2364" s="62"/>
      <c r="AB2364" s="62"/>
      <c r="AC2364" s="62"/>
    </row>
    <row r="2365">
      <c r="A2365" s="60">
        <f>IFERROR(__xludf.DUMMYFUNCTION("""COMPUTED_VALUE"""),17475.0)</f>
        <v>17475</v>
      </c>
      <c r="B2365" s="60" t="str">
        <f>IFERROR(__xludf.DUMMYFUNCTION("""COMPUTED_VALUE"""),"McGowan, Seth")</f>
        <v>McGowan, Seth</v>
      </c>
      <c r="C2365" s="60" t="str">
        <f>IFERROR(__xludf.DUMMYFUNCTION("""COMPUTED_VALUE"""),"RB")</f>
        <v>RB</v>
      </c>
      <c r="D2365" s="60" t="str">
        <f>IFERROR(__xludf.DUMMYFUNCTION("""COMPUTED_VALUE"""),"IND")</f>
        <v>IND</v>
      </c>
      <c r="E2365" s="62" t="str">
        <f t="shared" si="4"/>
        <v>Seth McGowan</v>
      </c>
      <c r="F2365" s="62">
        <f t="shared" ref="F2365:G2365" si="4729">IF(isblank(F$1),,IF(isblank($A2365),,IFERROR(vlookup($A2365,indirect("'TVC-"&amp;text(month(F$1),"00")&amp;"'!$A:$D"),4,false),1)))</f>
        <v>1</v>
      </c>
      <c r="G2365" s="62">
        <f t="shared" si="4729"/>
        <v>1508</v>
      </c>
      <c r="H2365" s="62">
        <f t="shared" ref="H2365:Q2365" si="4730">IF(isblank(H$1),,IFERROR(vlookup($A2365,indirect("'TVC-"&amp;text(month(H$1),"00")&amp;"'!$A:$D"),4,false),1))</f>
        <v>1367</v>
      </c>
      <c r="I2365" s="62">
        <f t="shared" si="4730"/>
        <v>994</v>
      </c>
      <c r="J2365" s="62">
        <f t="shared" si="4730"/>
        <v>638</v>
      </c>
      <c r="K2365" s="62">
        <f t="shared" si="4730"/>
        <v>914</v>
      </c>
      <c r="L2365" s="62">
        <f t="shared" si="4730"/>
        <v>1035</v>
      </c>
      <c r="M2365" s="62">
        <f t="shared" si="4730"/>
        <v>1297</v>
      </c>
      <c r="N2365" s="62">
        <f t="shared" si="4730"/>
        <v>1771</v>
      </c>
      <c r="O2365" s="62">
        <f t="shared" si="4730"/>
        <v>1</v>
      </c>
      <c r="P2365" s="62" t="str">
        <f t="shared" si="4730"/>
        <v/>
      </c>
      <c r="Q2365" s="62" t="str">
        <f t="shared" si="4730"/>
        <v/>
      </c>
      <c r="R2365" s="62">
        <f t="shared" si="7"/>
        <v>-1770</v>
      </c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</row>
    <row r="2366">
      <c r="A2366" s="60">
        <f>IFERROR(__xludf.DUMMYFUNCTION("""COMPUTED_VALUE"""),17476.0)</f>
        <v>17476</v>
      </c>
      <c r="B2366" s="60" t="str">
        <f>IFERROR(__xludf.DUMMYFUNCTION("""COMPUTED_VALUE"""),"Singleton, Nicholas")</f>
        <v>Singleton, Nicholas</v>
      </c>
      <c r="C2366" s="60" t="str">
        <f>IFERROR(__xludf.DUMMYFUNCTION("""COMPUTED_VALUE"""),"RB")</f>
        <v>RB</v>
      </c>
      <c r="D2366" s="60" t="str">
        <f>IFERROR(__xludf.DUMMYFUNCTION("""COMPUTED_VALUE"""),"TEN")</f>
        <v>TEN</v>
      </c>
      <c r="E2366" s="62" t="str">
        <f t="shared" si="4"/>
        <v>Nicholas Singleton</v>
      </c>
      <c r="F2366" s="62">
        <f t="shared" ref="F2366:G2366" si="4731">IF(isblank(F$1),,IF(isblank($A2366),,IFERROR(vlookup($A2366,indirect("'TVC-"&amp;text(month(F$1),"00")&amp;"'!$A:$D"),4,false),1)))</f>
        <v>1</v>
      </c>
      <c r="G2366" s="62">
        <f t="shared" si="4731"/>
        <v>3202</v>
      </c>
      <c r="H2366" s="62">
        <f t="shared" ref="H2366:Q2366" si="4732">IF(isblank(H$1),,IFERROR(vlookup($A2366,indirect("'TVC-"&amp;text(month(H$1),"00")&amp;"'!$A:$D"),4,false),1))</f>
        <v>2758</v>
      </c>
      <c r="I2366" s="62">
        <f t="shared" si="4732"/>
        <v>2447</v>
      </c>
      <c r="J2366" s="62">
        <f t="shared" si="4732"/>
        <v>2852</v>
      </c>
      <c r="K2366" s="62">
        <f t="shared" si="4732"/>
        <v>2944</v>
      </c>
      <c r="L2366" s="62">
        <f t="shared" si="4732"/>
        <v>2903</v>
      </c>
      <c r="M2366" s="62">
        <f t="shared" si="4732"/>
        <v>2879</v>
      </c>
      <c r="N2366" s="62">
        <f t="shared" si="4732"/>
        <v>2746</v>
      </c>
      <c r="O2366" s="62">
        <f t="shared" si="4732"/>
        <v>1</v>
      </c>
      <c r="P2366" s="62" t="str">
        <f t="shared" si="4732"/>
        <v/>
      </c>
      <c r="Q2366" s="62" t="str">
        <f t="shared" si="4732"/>
        <v/>
      </c>
      <c r="R2366" s="62">
        <f t="shared" si="7"/>
        <v>-2745</v>
      </c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</row>
    <row r="2367">
      <c r="A2367" s="60">
        <f>IFERROR(__xludf.DUMMYFUNCTION("""COMPUTED_VALUE"""),17477.0)</f>
        <v>17477</v>
      </c>
      <c r="B2367" s="60" t="str">
        <f>IFERROR(__xludf.DUMMYFUNCTION("""COMPUTED_VALUE"""),"Coleman, Jonah")</f>
        <v>Coleman, Jonah</v>
      </c>
      <c r="C2367" s="60" t="str">
        <f>IFERROR(__xludf.DUMMYFUNCTION("""COMPUTED_VALUE"""),"RB")</f>
        <v>RB</v>
      </c>
      <c r="D2367" s="60" t="str">
        <f>IFERROR(__xludf.DUMMYFUNCTION("""COMPUTED_VALUE"""),"DEN")</f>
        <v>DEN</v>
      </c>
      <c r="E2367" s="62" t="str">
        <f t="shared" si="4"/>
        <v>Jonah Coleman</v>
      </c>
      <c r="F2367" s="62">
        <f t="shared" ref="F2367:G2367" si="4733">IF(isblank(F$1),,IF(isblank($A2367),,IFERROR(vlookup($A2367,indirect("'TVC-"&amp;text(month(F$1),"00")&amp;"'!$A:$D"),4,false),1)))</f>
        <v>1</v>
      </c>
      <c r="G2367" s="62">
        <f t="shared" si="4733"/>
        <v>3634</v>
      </c>
      <c r="H2367" s="62">
        <f t="shared" ref="H2367:Q2367" si="4734">IF(isblank(H$1),,IFERROR(vlookup($A2367,indirect("'TVC-"&amp;text(month(H$1),"00")&amp;"'!$A:$D"),4,false),1))</f>
        <v>3239</v>
      </c>
      <c r="I2367" s="62">
        <f t="shared" si="4734"/>
        <v>2766</v>
      </c>
      <c r="J2367" s="62">
        <f t="shared" si="4734"/>
        <v>2887</v>
      </c>
      <c r="K2367" s="62">
        <f t="shared" si="4734"/>
        <v>3161</v>
      </c>
      <c r="L2367" s="62">
        <f t="shared" si="4734"/>
        <v>3180</v>
      </c>
      <c r="M2367" s="62">
        <f t="shared" si="4734"/>
        <v>3186</v>
      </c>
      <c r="N2367" s="62">
        <f t="shared" si="4734"/>
        <v>3292</v>
      </c>
      <c r="O2367" s="62">
        <f t="shared" si="4734"/>
        <v>1</v>
      </c>
      <c r="P2367" s="62" t="str">
        <f t="shared" si="4734"/>
        <v/>
      </c>
      <c r="Q2367" s="62" t="str">
        <f t="shared" si="4734"/>
        <v/>
      </c>
      <c r="R2367" s="62">
        <f t="shared" si="7"/>
        <v>-3291</v>
      </c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</row>
    <row r="2368">
      <c r="A2368" s="60">
        <f>IFERROR(__xludf.DUMMYFUNCTION("""COMPUTED_VALUE"""),17478.0)</f>
        <v>17478</v>
      </c>
      <c r="B2368" s="60" t="str">
        <f>IFERROR(__xludf.DUMMYFUNCTION("""COMPUTED_VALUE"""),"Allen, Kaytron")</f>
        <v>Allen, Kaytron</v>
      </c>
      <c r="C2368" s="60" t="str">
        <f>IFERROR(__xludf.DUMMYFUNCTION("""COMPUTED_VALUE"""),"RB")</f>
        <v>RB</v>
      </c>
      <c r="D2368" s="60" t="str">
        <f>IFERROR(__xludf.DUMMYFUNCTION("""COMPUTED_VALUE"""),"MIA")</f>
        <v>MIA</v>
      </c>
      <c r="E2368" s="62" t="str">
        <f t="shared" si="4"/>
        <v>Kaytron Allen</v>
      </c>
      <c r="F2368" s="62">
        <f t="shared" ref="F2368:G2368" si="4735">IF(isblank(F$1),,IF(isblank($A2368),,IFERROR(vlookup($A2368,indirect("'TVC-"&amp;text(month(F$1),"00")&amp;"'!$A:$D"),4,false),1)))</f>
        <v>1</v>
      </c>
      <c r="G2368" s="62">
        <f t="shared" si="4735"/>
        <v>2215</v>
      </c>
      <c r="H2368" s="62">
        <f t="shared" ref="H2368:Q2368" si="4736">IF(isblank(H$1),,IFERROR(vlookup($A2368,indirect("'TVC-"&amp;text(month(H$1),"00")&amp;"'!$A:$D"),4,false),1))</f>
        <v>2098</v>
      </c>
      <c r="I2368" s="62">
        <f t="shared" si="4736"/>
        <v>1848</v>
      </c>
      <c r="J2368" s="62">
        <f t="shared" si="4736"/>
        <v>2207</v>
      </c>
      <c r="K2368" s="62">
        <f t="shared" si="4736"/>
        <v>2528</v>
      </c>
      <c r="L2368" s="62">
        <f t="shared" si="4736"/>
        <v>2585</v>
      </c>
      <c r="M2368" s="62">
        <f t="shared" si="4736"/>
        <v>2496</v>
      </c>
      <c r="N2368" s="62">
        <f t="shared" si="4736"/>
        <v>2486</v>
      </c>
      <c r="O2368" s="62">
        <f t="shared" si="4736"/>
        <v>1</v>
      </c>
      <c r="P2368" s="62" t="str">
        <f t="shared" si="4736"/>
        <v/>
      </c>
      <c r="Q2368" s="62" t="str">
        <f t="shared" si="4736"/>
        <v/>
      </c>
      <c r="R2368" s="62">
        <f t="shared" si="7"/>
        <v>-2485</v>
      </c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</row>
    <row r="2369">
      <c r="A2369" s="60">
        <f>IFERROR(__xludf.DUMMYFUNCTION("""COMPUTED_VALUE"""),17479.0)</f>
        <v>17479</v>
      </c>
      <c r="B2369" s="60" t="str">
        <f>IFERROR(__xludf.DUMMYFUNCTION("""COMPUTED_VALUE"""),"Moss, Le'Veon")</f>
        <v>Moss, Le'Veon</v>
      </c>
      <c r="C2369" s="60" t="str">
        <f>IFERROR(__xludf.DUMMYFUNCTION("""COMPUTED_VALUE"""),"RB")</f>
        <v>RB</v>
      </c>
      <c r="D2369" s="60" t="str">
        <f>IFERROR(__xludf.DUMMYFUNCTION("""COMPUTED_VALUE"""),"MIA")</f>
        <v>MIA</v>
      </c>
      <c r="E2369" s="62" t="str">
        <f t="shared" si="4"/>
        <v>Le'Veon Moss</v>
      </c>
      <c r="F2369" s="62">
        <f t="shared" ref="F2369:G2369" si="4737">IF(isblank(F$1),,IF(isblank($A2369),,IFERROR(vlookup($A2369,indirect("'TVC-"&amp;text(month(F$1),"00")&amp;"'!$A:$D"),4,false),1)))</f>
        <v>1</v>
      </c>
      <c r="G2369" s="62">
        <f t="shared" si="4737"/>
        <v>1385</v>
      </c>
      <c r="H2369" s="62">
        <f t="shared" ref="H2369:Q2369" si="4738">IF(isblank(H$1),,IFERROR(vlookup($A2369,indirect("'TVC-"&amp;text(month(H$1),"00")&amp;"'!$A:$D"),4,false),1))</f>
        <v>1335</v>
      </c>
      <c r="I2369" s="62">
        <f t="shared" si="4738"/>
        <v>1052</v>
      </c>
      <c r="J2369" s="62">
        <f t="shared" si="4738"/>
        <v>959</v>
      </c>
      <c r="K2369" s="62">
        <f t="shared" si="4738"/>
        <v>964</v>
      </c>
      <c r="L2369" s="62">
        <f t="shared" si="4738"/>
        <v>884</v>
      </c>
      <c r="M2369" s="62">
        <f t="shared" si="4738"/>
        <v>908</v>
      </c>
      <c r="N2369" s="62">
        <f t="shared" si="4738"/>
        <v>881</v>
      </c>
      <c r="O2369" s="62">
        <f t="shared" si="4738"/>
        <v>1</v>
      </c>
      <c r="P2369" s="62" t="str">
        <f t="shared" si="4738"/>
        <v/>
      </c>
      <c r="Q2369" s="62" t="str">
        <f t="shared" si="4738"/>
        <v/>
      </c>
      <c r="R2369" s="62">
        <f t="shared" si="7"/>
        <v>-880</v>
      </c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</row>
    <row r="2370" hidden="1">
      <c r="A2370" s="60">
        <f>IFERROR(__xludf.DUMMYFUNCTION("""COMPUTED_VALUE"""),17480.0)</f>
        <v>17480</v>
      </c>
      <c r="B2370" s="60" t="str">
        <f>IFERROR(__xludf.DUMMYFUNCTION("""COMPUTED_VALUE"""),"Ott, Jaydn")</f>
        <v>Ott, Jaydn</v>
      </c>
      <c r="C2370" s="60" t="str">
        <f>IFERROR(__xludf.DUMMYFUNCTION("""COMPUTED_VALUE"""),"RB")</f>
        <v>RB</v>
      </c>
      <c r="D2370" s="60" t="str">
        <f>IFERROR(__xludf.DUMMYFUNCTION("""COMPUTED_VALUE"""),"KCC")</f>
        <v>KCC</v>
      </c>
      <c r="E2370" s="62" t="str">
        <f t="shared" si="4"/>
        <v>Jaydn Ott</v>
      </c>
      <c r="F2370" s="62">
        <f t="shared" ref="F2370:G2370" si="4739">IF(isblank(F$1),,IF(isblank($A2370),,IFERROR(vlookup($A2370,indirect("'TVC-"&amp;text(month(F$1),"00")&amp;"'!$A:$D"),4,false),1)))</f>
        <v>1</v>
      </c>
      <c r="G2370" s="62">
        <f t="shared" si="4739"/>
        <v>1</v>
      </c>
      <c r="H2370" s="62">
        <f t="shared" ref="H2370:Q2370" si="4740">IF(isblank(H$1),,IFERROR(vlookup($A2370,indirect("'TVC-"&amp;text(month(H$1),"00")&amp;"'!$A:$D"),4,false),1))</f>
        <v>1</v>
      </c>
      <c r="I2370" s="62">
        <f t="shared" si="4740"/>
        <v>1</v>
      </c>
      <c r="J2370" s="62">
        <f t="shared" si="4740"/>
        <v>1</v>
      </c>
      <c r="K2370" s="62">
        <f t="shared" si="4740"/>
        <v>1</v>
      </c>
      <c r="L2370" s="62">
        <f t="shared" si="4740"/>
        <v>1</v>
      </c>
      <c r="M2370" s="62">
        <f t="shared" si="4740"/>
        <v>1</v>
      </c>
      <c r="N2370" s="62">
        <f t="shared" si="4740"/>
        <v>1</v>
      </c>
      <c r="O2370" s="62">
        <f t="shared" si="4740"/>
        <v>1</v>
      </c>
      <c r="P2370" s="62" t="str">
        <f t="shared" si="4740"/>
        <v/>
      </c>
      <c r="Q2370" s="62" t="str">
        <f t="shared" si="4740"/>
        <v/>
      </c>
      <c r="R2370" s="62">
        <f t="shared" si="7"/>
        <v>0</v>
      </c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</row>
    <row r="2371" hidden="1">
      <c r="A2371" s="60">
        <f>IFERROR(__xludf.DUMMYFUNCTION("""COMPUTED_VALUE"""),17481.0)</f>
        <v>17481</v>
      </c>
      <c r="B2371" s="60" t="str">
        <f>IFERROR(__xludf.DUMMYFUNCTION("""COMPUTED_VALUE"""),"Claiborne, Demond")</f>
        <v>Claiborne, Demond</v>
      </c>
      <c r="C2371" s="60" t="str">
        <f>IFERROR(__xludf.DUMMYFUNCTION("""COMPUTED_VALUE"""),"RB")</f>
        <v>RB</v>
      </c>
      <c r="D2371" s="60" t="str">
        <f>IFERROR(__xludf.DUMMYFUNCTION("""COMPUTED_VALUE"""),"MIN")</f>
        <v>MIN</v>
      </c>
      <c r="E2371" s="62" t="str">
        <f t="shared" si="4"/>
        <v>Demond Claiborne</v>
      </c>
      <c r="F2371" s="62">
        <f t="shared" ref="F2371:G2371" si="4741">IF(isblank(F$1),,IF(isblank($A2371),,IFERROR(vlookup($A2371,indirect("'TVC-"&amp;text(month(F$1),"00")&amp;"'!$A:$D"),4,false),1)))</f>
        <v>1</v>
      </c>
      <c r="G2371" s="62">
        <f t="shared" si="4741"/>
        <v>1801</v>
      </c>
      <c r="H2371" s="62">
        <f t="shared" ref="H2371:Q2371" si="4742">IF(isblank(H$1),,IFERROR(vlookup($A2371,indirect("'TVC-"&amp;text(month(H$1),"00")&amp;"'!$A:$D"),4,false),1))</f>
        <v>1703</v>
      </c>
      <c r="I2371" s="62">
        <f t="shared" si="4742"/>
        <v>1160</v>
      </c>
      <c r="J2371" s="62">
        <f t="shared" si="4742"/>
        <v>1393</v>
      </c>
      <c r="K2371" s="62">
        <f t="shared" si="4742"/>
        <v>1749</v>
      </c>
      <c r="L2371" s="62">
        <f t="shared" si="4742"/>
        <v>1910</v>
      </c>
      <c r="M2371" s="62">
        <f t="shared" si="4742"/>
        <v>2176</v>
      </c>
      <c r="N2371" s="62">
        <f t="shared" si="4742"/>
        <v>2332</v>
      </c>
      <c r="O2371" s="62">
        <f t="shared" si="4742"/>
        <v>1</v>
      </c>
      <c r="P2371" s="62" t="str">
        <f t="shared" si="4742"/>
        <v/>
      </c>
      <c r="Q2371" s="62" t="str">
        <f t="shared" si="4742"/>
        <v/>
      </c>
      <c r="R2371" s="62">
        <f t="shared" si="7"/>
        <v>-2331</v>
      </c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</row>
    <row r="2372" hidden="1">
      <c r="A2372" s="60">
        <f>IFERROR(__xludf.DUMMYFUNCTION("""COMPUTED_VALUE"""),17482.0)</f>
        <v>17482</v>
      </c>
      <c r="B2372" s="60" t="str">
        <f>IFERROR(__xludf.DUMMYFUNCTION("""COMPUTED_VALUE"""),"Washington Jr., Mike")</f>
        <v>Washington Jr., Mike</v>
      </c>
      <c r="C2372" s="60" t="str">
        <f>IFERROR(__xludf.DUMMYFUNCTION("""COMPUTED_VALUE"""),"RB")</f>
        <v>RB</v>
      </c>
      <c r="D2372" s="60" t="str">
        <f>IFERROR(__xludf.DUMMYFUNCTION("""COMPUTED_VALUE"""),"LVR")</f>
        <v>LVR</v>
      </c>
      <c r="E2372" s="62" t="str">
        <f t="shared" si="4"/>
        <v>Mike Washington Jr.</v>
      </c>
      <c r="F2372" s="62">
        <f t="shared" ref="F2372:G2372" si="4743">IF(isblank(F$1),,IF(isblank($A2372),,IFERROR(vlookup($A2372,indirect("'TVC-"&amp;text(month(F$1),"00")&amp;"'!$A:$D"),4,false),1)))</f>
        <v>1</v>
      </c>
      <c r="G2372" s="62">
        <f t="shared" si="4743"/>
        <v>2072</v>
      </c>
      <c r="H2372" s="62">
        <f t="shared" ref="H2372:Q2372" si="4744">IF(isblank(H$1),,IFERROR(vlookup($A2372,indirect("'TVC-"&amp;text(month(H$1),"00")&amp;"'!$A:$D"),4,false),1))</f>
        <v>1927</v>
      </c>
      <c r="I2372" s="62">
        <f t="shared" si="4744"/>
        <v>2248</v>
      </c>
      <c r="J2372" s="62">
        <f t="shared" si="4744"/>
        <v>2523</v>
      </c>
      <c r="K2372" s="62">
        <f t="shared" si="4744"/>
        <v>2408</v>
      </c>
      <c r="L2372" s="62">
        <f t="shared" si="4744"/>
        <v>2284</v>
      </c>
      <c r="M2372" s="62">
        <f t="shared" si="4744"/>
        <v>2276</v>
      </c>
      <c r="N2372" s="62">
        <f t="shared" si="4744"/>
        <v>3194</v>
      </c>
      <c r="O2372" s="62">
        <f t="shared" si="4744"/>
        <v>1</v>
      </c>
      <c r="P2372" s="62" t="str">
        <f t="shared" si="4744"/>
        <v/>
      </c>
      <c r="Q2372" s="62" t="str">
        <f t="shared" si="4744"/>
        <v/>
      </c>
      <c r="R2372" s="62">
        <f t="shared" si="7"/>
        <v>-3193</v>
      </c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</row>
    <row r="2373" hidden="1">
      <c r="A2373" s="60">
        <f>IFERROR(__xludf.DUMMYFUNCTION("""COMPUTED_VALUE"""),17483.0)</f>
        <v>17483</v>
      </c>
      <c r="B2373" s="60" t="str">
        <f>IFERROR(__xludf.DUMMYFUNCTION("""COMPUTED_VALUE"""),"Hemby, Roman")</f>
        <v>Hemby, Roman</v>
      </c>
      <c r="C2373" s="60" t="str">
        <f>IFERROR(__xludf.DUMMYFUNCTION("""COMPUTED_VALUE"""),"RB")</f>
        <v>RB</v>
      </c>
      <c r="D2373" s="60" t="str">
        <f>IFERROR(__xludf.DUMMYFUNCTION("""COMPUTED_VALUE"""),"LVR")</f>
        <v>LVR</v>
      </c>
      <c r="E2373" s="62" t="str">
        <f t="shared" si="4"/>
        <v>Roman Hemby</v>
      </c>
      <c r="F2373" s="62">
        <f t="shared" ref="F2373:G2373" si="4745">IF(isblank(F$1),,IF(isblank($A2373),,IFERROR(vlookup($A2373,indirect("'TVC-"&amp;text(month(F$1),"00")&amp;"'!$A:$D"),4,false),1)))</f>
        <v>1</v>
      </c>
      <c r="G2373" s="62">
        <f t="shared" si="4745"/>
        <v>1</v>
      </c>
      <c r="H2373" s="62">
        <f t="shared" ref="H2373:Q2373" si="4746">IF(isblank(H$1),,IFERROR(vlookup($A2373,indirect("'TVC-"&amp;text(month(H$1),"00")&amp;"'!$A:$D"),4,false),1))</f>
        <v>1</v>
      </c>
      <c r="I2373" s="62">
        <f t="shared" si="4746"/>
        <v>1</v>
      </c>
      <c r="J2373" s="62">
        <f t="shared" si="4746"/>
        <v>1</v>
      </c>
      <c r="K2373" s="62">
        <f t="shared" si="4746"/>
        <v>1</v>
      </c>
      <c r="L2373" s="62">
        <f t="shared" si="4746"/>
        <v>1</v>
      </c>
      <c r="M2373" s="62">
        <f t="shared" si="4746"/>
        <v>1</v>
      </c>
      <c r="N2373" s="62">
        <f t="shared" si="4746"/>
        <v>1</v>
      </c>
      <c r="O2373" s="62">
        <f t="shared" si="4746"/>
        <v>1</v>
      </c>
      <c r="P2373" s="62" t="str">
        <f t="shared" si="4746"/>
        <v/>
      </c>
      <c r="Q2373" s="62" t="str">
        <f t="shared" si="4746"/>
        <v/>
      </c>
      <c r="R2373" s="62">
        <f t="shared" si="7"/>
        <v>0</v>
      </c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</row>
    <row r="2374" hidden="1">
      <c r="A2374" s="60">
        <f>IFERROR(__xludf.DUMMYFUNCTION("""COMPUTED_VALUE"""),17484.0)</f>
        <v>17484</v>
      </c>
      <c r="B2374" s="60" t="str">
        <f>IFERROR(__xludf.DUMMYFUNCTION("""COMPUTED_VALUE"""),"Reid, Desmond")</f>
        <v>Reid, Desmond</v>
      </c>
      <c r="C2374" s="60" t="str">
        <f>IFERROR(__xludf.DUMMYFUNCTION("""COMPUTED_VALUE"""),"RB")</f>
        <v>RB</v>
      </c>
      <c r="D2374" s="60" t="str">
        <f>IFERROR(__xludf.DUMMYFUNCTION("""COMPUTED_VALUE"""),"FA")</f>
        <v>FA</v>
      </c>
      <c r="E2374" s="62" t="str">
        <f t="shared" si="4"/>
        <v>Desmond Reid</v>
      </c>
      <c r="F2374" s="62">
        <f t="shared" ref="F2374:G2374" si="4747">IF(isblank(F$1),,IF(isblank($A2374),,IFERROR(vlookup($A2374,indirect("'TVC-"&amp;text(month(F$1),"00")&amp;"'!$A:$D"),4,false),1)))</f>
        <v>1</v>
      </c>
      <c r="G2374" s="62">
        <f t="shared" si="4747"/>
        <v>1</v>
      </c>
      <c r="H2374" s="62">
        <f t="shared" ref="H2374:Q2374" si="4748">IF(isblank(H$1),,IFERROR(vlookup($A2374,indirect("'TVC-"&amp;text(month(H$1),"00")&amp;"'!$A:$D"),4,false),1))</f>
        <v>1</v>
      </c>
      <c r="I2374" s="62">
        <f t="shared" si="4748"/>
        <v>1</v>
      </c>
      <c r="J2374" s="62">
        <f t="shared" si="4748"/>
        <v>1</v>
      </c>
      <c r="K2374" s="62">
        <f t="shared" si="4748"/>
        <v>1</v>
      </c>
      <c r="L2374" s="62">
        <f t="shared" si="4748"/>
        <v>1</v>
      </c>
      <c r="M2374" s="62">
        <f t="shared" si="4748"/>
        <v>1</v>
      </c>
      <c r="N2374" s="62">
        <f t="shared" si="4748"/>
        <v>1</v>
      </c>
      <c r="O2374" s="62">
        <f t="shared" si="4748"/>
        <v>1</v>
      </c>
      <c r="P2374" s="62" t="str">
        <f t="shared" si="4748"/>
        <v/>
      </c>
      <c r="Q2374" s="62" t="str">
        <f t="shared" si="4748"/>
        <v/>
      </c>
      <c r="R2374" s="62">
        <f t="shared" si="7"/>
        <v>0</v>
      </c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</row>
    <row r="2375" hidden="1">
      <c r="A2375" s="60">
        <f>IFERROR(__xludf.DUMMYFUNCTION("""COMPUTED_VALUE"""),17485.0)</f>
        <v>17485</v>
      </c>
      <c r="B2375" s="60" t="str">
        <f>IFERROR(__xludf.DUMMYFUNCTION("""COMPUTED_VALUE"""),"Black, Kaelon")</f>
        <v>Black, Kaelon</v>
      </c>
      <c r="C2375" s="60" t="str">
        <f>IFERROR(__xludf.DUMMYFUNCTION("""COMPUTED_VALUE"""),"RB")</f>
        <v>RB</v>
      </c>
      <c r="D2375" s="60" t="str">
        <f>IFERROR(__xludf.DUMMYFUNCTION("""COMPUTED_VALUE"""),"SFO")</f>
        <v>SFO</v>
      </c>
      <c r="E2375" s="62" t="str">
        <f t="shared" si="4"/>
        <v>Kaelon Black</v>
      </c>
      <c r="F2375" s="62">
        <f t="shared" ref="F2375:G2375" si="4749">IF(isblank(F$1),,IF(isblank($A2375),,IFERROR(vlookup($A2375,indirect("'TVC-"&amp;text(month(F$1),"00")&amp;"'!$A:$D"),4,false),1)))</f>
        <v>1</v>
      </c>
      <c r="G2375" s="62">
        <f t="shared" si="4749"/>
        <v>1</v>
      </c>
      <c r="H2375" s="62">
        <f t="shared" ref="H2375:Q2375" si="4750">IF(isblank(H$1),,IFERROR(vlookup($A2375,indirect("'TVC-"&amp;text(month(H$1),"00")&amp;"'!$A:$D"),4,false),1))</f>
        <v>1</v>
      </c>
      <c r="I2375" s="62">
        <f t="shared" si="4750"/>
        <v>1</v>
      </c>
      <c r="J2375" s="62">
        <f t="shared" si="4750"/>
        <v>642</v>
      </c>
      <c r="K2375" s="62">
        <f t="shared" si="4750"/>
        <v>1463</v>
      </c>
      <c r="L2375" s="62">
        <f t="shared" si="4750"/>
        <v>1824</v>
      </c>
      <c r="M2375" s="62">
        <f t="shared" si="4750"/>
        <v>2086</v>
      </c>
      <c r="N2375" s="62">
        <f t="shared" si="4750"/>
        <v>2499</v>
      </c>
      <c r="O2375" s="62">
        <f t="shared" si="4750"/>
        <v>1</v>
      </c>
      <c r="P2375" s="62" t="str">
        <f t="shared" si="4750"/>
        <v/>
      </c>
      <c r="Q2375" s="62" t="str">
        <f t="shared" si="4750"/>
        <v/>
      </c>
      <c r="R2375" s="62">
        <f t="shared" si="7"/>
        <v>-2498</v>
      </c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</row>
    <row r="2376">
      <c r="A2376" s="60">
        <f>IFERROR(__xludf.DUMMYFUNCTION("""COMPUTED_VALUE"""),17486.0)</f>
        <v>17486</v>
      </c>
      <c r="B2376" s="60" t="str">
        <f>IFERROR(__xludf.DUMMYFUNCTION("""COMPUTED_VALUE"""),"Miller, Jam")</f>
        <v>Miller, Jam</v>
      </c>
      <c r="C2376" s="60" t="str">
        <f>IFERROR(__xludf.DUMMYFUNCTION("""COMPUTED_VALUE"""),"RB")</f>
        <v>RB</v>
      </c>
      <c r="D2376" s="60" t="str">
        <f>IFERROR(__xludf.DUMMYFUNCTION("""COMPUTED_VALUE"""),"ATL")</f>
        <v>ATL</v>
      </c>
      <c r="E2376" s="62" t="str">
        <f t="shared" si="4"/>
        <v>Jam Miller</v>
      </c>
      <c r="F2376" s="62">
        <f t="shared" ref="F2376:G2376" si="4751">IF(isblank(F$1),,IF(isblank($A2376),,IFERROR(vlookup($A2376,indirect("'TVC-"&amp;text(month(F$1),"00")&amp;"'!$A:$D"),4,false),1)))</f>
        <v>1</v>
      </c>
      <c r="G2376" s="62">
        <f t="shared" si="4751"/>
        <v>1389</v>
      </c>
      <c r="H2376" s="62">
        <f t="shared" ref="H2376:Q2376" si="4752">IF(isblank(H$1),,IFERROR(vlookup($A2376,indirect("'TVC-"&amp;text(month(H$1),"00")&amp;"'!$A:$D"),4,false),1))</f>
        <v>1309</v>
      </c>
      <c r="I2376" s="62">
        <f t="shared" si="4752"/>
        <v>1026</v>
      </c>
      <c r="J2376" s="62">
        <f t="shared" si="4752"/>
        <v>822</v>
      </c>
      <c r="K2376" s="62">
        <f t="shared" si="4752"/>
        <v>780</v>
      </c>
      <c r="L2376" s="62">
        <f t="shared" si="4752"/>
        <v>798</v>
      </c>
      <c r="M2376" s="62">
        <f t="shared" si="4752"/>
        <v>843</v>
      </c>
      <c r="N2376" s="62">
        <f t="shared" si="4752"/>
        <v>1213</v>
      </c>
      <c r="O2376" s="62">
        <f t="shared" si="4752"/>
        <v>1</v>
      </c>
      <c r="P2376" s="62" t="str">
        <f t="shared" si="4752"/>
        <v/>
      </c>
      <c r="Q2376" s="62" t="str">
        <f t="shared" si="4752"/>
        <v/>
      </c>
      <c r="R2376" s="62">
        <f t="shared" si="7"/>
        <v>-1212</v>
      </c>
      <c r="S2376" s="62"/>
      <c r="T2376" s="62"/>
      <c r="U2376" s="62"/>
      <c r="V2376" s="62"/>
      <c r="W2376" s="62"/>
      <c r="X2376" s="62"/>
      <c r="Y2376" s="62"/>
      <c r="Z2376" s="62"/>
      <c r="AA2376" s="62"/>
      <c r="AB2376" s="62"/>
      <c r="AC2376" s="62"/>
    </row>
    <row r="2377">
      <c r="A2377" s="60">
        <f>IFERROR(__xludf.DUMMYFUNCTION("""COMPUTED_VALUE"""),17487.0)</f>
        <v>17487</v>
      </c>
      <c r="B2377" s="60" t="str">
        <f>IFERROR(__xludf.DUMMYFUNCTION("""COMPUTED_VALUE"""),"Taylor, J'Mari")</f>
        <v>Taylor, J'Mari</v>
      </c>
      <c r="C2377" s="60" t="str">
        <f>IFERROR(__xludf.DUMMYFUNCTION("""COMPUTED_VALUE"""),"RB")</f>
        <v>RB</v>
      </c>
      <c r="D2377" s="60" t="str">
        <f>IFERROR(__xludf.DUMMYFUNCTION("""COMPUTED_VALUE"""),"JAC")</f>
        <v>JAC</v>
      </c>
      <c r="E2377" s="62" t="str">
        <f t="shared" si="4"/>
        <v>J'Mari Taylor</v>
      </c>
      <c r="F2377" s="62">
        <f t="shared" ref="F2377:G2377" si="4753">IF(isblank(F$1),,IF(isblank($A2377),,IFERROR(vlookup($A2377,indirect("'TVC-"&amp;text(month(F$1),"00")&amp;"'!$A:$D"),4,false),1)))</f>
        <v>1</v>
      </c>
      <c r="G2377" s="62">
        <f t="shared" si="4753"/>
        <v>1343</v>
      </c>
      <c r="H2377" s="62">
        <f t="shared" ref="H2377:Q2377" si="4754">IF(isblank(H$1),,IFERROR(vlookup($A2377,indirect("'TVC-"&amp;text(month(H$1),"00")&amp;"'!$A:$D"),4,false),1))</f>
        <v>1312</v>
      </c>
      <c r="I2377" s="62">
        <f t="shared" si="4754"/>
        <v>1004</v>
      </c>
      <c r="J2377" s="62">
        <f t="shared" si="4754"/>
        <v>724</v>
      </c>
      <c r="K2377" s="62">
        <f t="shared" si="4754"/>
        <v>848</v>
      </c>
      <c r="L2377" s="62">
        <f t="shared" si="4754"/>
        <v>918</v>
      </c>
      <c r="M2377" s="62">
        <f t="shared" si="4754"/>
        <v>967</v>
      </c>
      <c r="N2377" s="62">
        <f t="shared" si="4754"/>
        <v>1220</v>
      </c>
      <c r="O2377" s="62">
        <f t="shared" si="4754"/>
        <v>1</v>
      </c>
      <c r="P2377" s="62" t="str">
        <f t="shared" si="4754"/>
        <v/>
      </c>
      <c r="Q2377" s="62" t="str">
        <f t="shared" si="4754"/>
        <v/>
      </c>
      <c r="R2377" s="62">
        <f t="shared" si="7"/>
        <v>-1219</v>
      </c>
      <c r="S2377" s="62"/>
      <c r="T2377" s="62"/>
      <c r="U2377" s="62"/>
      <c r="V2377" s="62"/>
      <c r="W2377" s="62"/>
      <c r="X2377" s="62"/>
      <c r="Y2377" s="62"/>
      <c r="Z2377" s="62"/>
      <c r="AA2377" s="62"/>
      <c r="AB2377" s="62"/>
      <c r="AC2377" s="62"/>
    </row>
    <row r="2378" hidden="1">
      <c r="A2378" s="60">
        <f>IFERROR(__xludf.DUMMYFUNCTION("""COMPUTED_VALUE"""),17488.0)</f>
        <v>17488</v>
      </c>
      <c r="B2378" s="60" t="str">
        <f>IFERROR(__xludf.DUMMYFUNCTION("""COMPUTED_VALUE"""),"Stewart, Terion")</f>
        <v>Stewart, Terion</v>
      </c>
      <c r="C2378" s="60" t="str">
        <f>IFERROR(__xludf.DUMMYFUNCTION("""COMPUTED_VALUE"""),"RB")</f>
        <v>RB</v>
      </c>
      <c r="D2378" s="60" t="str">
        <f>IFERROR(__xludf.DUMMYFUNCTION("""COMPUTED_VALUE"""),"FA")</f>
        <v>FA</v>
      </c>
      <c r="E2378" s="62" t="str">
        <f t="shared" si="4"/>
        <v>Terion Stewart</v>
      </c>
      <c r="F2378" s="62">
        <f t="shared" ref="F2378:G2378" si="4755">IF(isblank(F$1),,IF(isblank($A2378),,IFERROR(vlookup($A2378,indirect("'TVC-"&amp;text(month(F$1),"00")&amp;"'!$A:$D"),4,false),1)))</f>
        <v>1</v>
      </c>
      <c r="G2378" s="62">
        <f t="shared" si="4755"/>
        <v>907</v>
      </c>
      <c r="H2378" s="62">
        <f t="shared" ref="H2378:Q2378" si="4756">IF(isblank(H$1),,IFERROR(vlookup($A2378,indirect("'TVC-"&amp;text(month(H$1),"00")&amp;"'!$A:$D"),4,false),1))</f>
        <v>838</v>
      </c>
      <c r="I2378" s="62">
        <f t="shared" si="4756"/>
        <v>1</v>
      </c>
      <c r="J2378" s="62">
        <f t="shared" si="4756"/>
        <v>1</v>
      </c>
      <c r="K2378" s="62">
        <f t="shared" si="4756"/>
        <v>1</v>
      </c>
      <c r="L2378" s="62">
        <f t="shared" si="4756"/>
        <v>1</v>
      </c>
      <c r="M2378" s="62">
        <f t="shared" si="4756"/>
        <v>1</v>
      </c>
      <c r="N2378" s="62">
        <f t="shared" si="4756"/>
        <v>1</v>
      </c>
      <c r="O2378" s="62">
        <f t="shared" si="4756"/>
        <v>1</v>
      </c>
      <c r="P2378" s="62" t="str">
        <f t="shared" si="4756"/>
        <v/>
      </c>
      <c r="Q2378" s="62" t="str">
        <f t="shared" si="4756"/>
        <v/>
      </c>
      <c r="R2378" s="62">
        <f t="shared" si="7"/>
        <v>0</v>
      </c>
      <c r="S2378" s="62"/>
      <c r="T2378" s="62"/>
      <c r="U2378" s="62"/>
      <c r="V2378" s="62"/>
      <c r="W2378" s="62"/>
      <c r="X2378" s="62"/>
      <c r="Y2378" s="62"/>
      <c r="Z2378" s="62"/>
      <c r="AA2378" s="62"/>
      <c r="AB2378" s="62"/>
      <c r="AC2378" s="62"/>
    </row>
    <row r="2379" hidden="1">
      <c r="A2379" s="60">
        <f>IFERROR(__xludf.DUMMYFUNCTION("""COMPUTED_VALUE"""),17489.0)</f>
        <v>17489</v>
      </c>
      <c r="B2379" s="60" t="str">
        <f>IFERROR(__xludf.DUMMYFUNCTION("""COMPUTED_VALUE"""),"Trayanum, Chip")</f>
        <v>Trayanum, Chip</v>
      </c>
      <c r="C2379" s="60" t="str">
        <f>IFERROR(__xludf.DUMMYFUNCTION("""COMPUTED_VALUE"""),"RB")</f>
        <v>RB</v>
      </c>
      <c r="D2379" s="60" t="str">
        <f>IFERROR(__xludf.DUMMYFUNCTION("""COMPUTED_VALUE"""),"NYJ")</f>
        <v>NYJ</v>
      </c>
      <c r="E2379" s="62" t="str">
        <f t="shared" si="4"/>
        <v>Chip Trayanum</v>
      </c>
      <c r="F2379" s="62">
        <f t="shared" ref="F2379:G2379" si="4757">IF(isblank(F$1),,IF(isblank($A2379),,IFERROR(vlookup($A2379,indirect("'TVC-"&amp;text(month(F$1),"00")&amp;"'!$A:$D"),4,false),1)))</f>
        <v>1</v>
      </c>
      <c r="G2379" s="62">
        <f t="shared" si="4757"/>
        <v>1</v>
      </c>
      <c r="H2379" s="62">
        <f t="shared" ref="H2379:Q2379" si="4758">IF(isblank(H$1),,IFERROR(vlookup($A2379,indirect("'TVC-"&amp;text(month(H$1),"00")&amp;"'!$A:$D"),4,false),1))</f>
        <v>1</v>
      </c>
      <c r="I2379" s="62">
        <f t="shared" si="4758"/>
        <v>1</v>
      </c>
      <c r="J2379" s="62">
        <f t="shared" si="4758"/>
        <v>1</v>
      </c>
      <c r="K2379" s="62">
        <f t="shared" si="4758"/>
        <v>1</v>
      </c>
      <c r="L2379" s="62">
        <f t="shared" si="4758"/>
        <v>1</v>
      </c>
      <c r="M2379" s="62">
        <f t="shared" si="4758"/>
        <v>1</v>
      </c>
      <c r="N2379" s="62">
        <f t="shared" si="4758"/>
        <v>1</v>
      </c>
      <c r="O2379" s="62">
        <f t="shared" si="4758"/>
        <v>1</v>
      </c>
      <c r="P2379" s="62" t="str">
        <f t="shared" si="4758"/>
        <v/>
      </c>
      <c r="Q2379" s="62" t="str">
        <f t="shared" si="4758"/>
        <v/>
      </c>
      <c r="R2379" s="62">
        <f t="shared" si="7"/>
        <v>0</v>
      </c>
      <c r="S2379" s="62"/>
      <c r="T2379" s="62"/>
      <c r="U2379" s="62"/>
      <c r="V2379" s="62"/>
      <c r="W2379" s="62"/>
      <c r="X2379" s="62"/>
      <c r="Y2379" s="62"/>
      <c r="Z2379" s="62"/>
      <c r="AA2379" s="62"/>
      <c r="AB2379" s="62"/>
      <c r="AC2379" s="62"/>
    </row>
    <row r="2380" hidden="1">
      <c r="A2380" s="60">
        <f>IFERROR(__xludf.DUMMYFUNCTION("""COMPUTED_VALUE"""),17490.0)</f>
        <v>17490</v>
      </c>
      <c r="B2380" s="60" t="str">
        <f>IFERROR(__xludf.DUMMYFUNCTION("""COMPUTED_VALUE"""),"Whittington, Noah")</f>
        <v>Whittington, Noah</v>
      </c>
      <c r="C2380" s="60" t="str">
        <f>IFERROR(__xludf.DUMMYFUNCTION("""COMPUTED_VALUE"""),"RB")</f>
        <v>RB</v>
      </c>
      <c r="D2380" s="60" t="str">
        <f>IFERROR(__xludf.DUMMYFUNCTION("""COMPUTED_VALUE"""),"HOU")</f>
        <v>HOU</v>
      </c>
      <c r="E2380" s="62" t="str">
        <f t="shared" si="4"/>
        <v>Noah Whittington</v>
      </c>
      <c r="F2380" s="62">
        <f t="shared" ref="F2380:G2380" si="4759">IF(isblank(F$1),,IF(isblank($A2380),,IFERROR(vlookup($A2380,indirect("'TVC-"&amp;text(month(F$1),"00")&amp;"'!$A:$D"),4,false),1)))</f>
        <v>1</v>
      </c>
      <c r="G2380" s="62">
        <f t="shared" si="4759"/>
        <v>1</v>
      </c>
      <c r="H2380" s="62">
        <f t="shared" ref="H2380:Q2380" si="4760">IF(isblank(H$1),,IFERROR(vlookup($A2380,indirect("'TVC-"&amp;text(month(H$1),"00")&amp;"'!$A:$D"),4,false),1))</f>
        <v>1</v>
      </c>
      <c r="I2380" s="62">
        <f t="shared" si="4760"/>
        <v>1</v>
      </c>
      <c r="J2380" s="62">
        <f t="shared" si="4760"/>
        <v>1</v>
      </c>
      <c r="K2380" s="62">
        <f t="shared" si="4760"/>
        <v>1</v>
      </c>
      <c r="L2380" s="62">
        <f t="shared" si="4760"/>
        <v>1</v>
      </c>
      <c r="M2380" s="62">
        <f t="shared" si="4760"/>
        <v>1</v>
      </c>
      <c r="N2380" s="62">
        <f t="shared" si="4760"/>
        <v>1</v>
      </c>
      <c r="O2380" s="62">
        <f t="shared" si="4760"/>
        <v>1</v>
      </c>
      <c r="P2380" s="62" t="str">
        <f t="shared" si="4760"/>
        <v/>
      </c>
      <c r="Q2380" s="62" t="str">
        <f t="shared" si="4760"/>
        <v/>
      </c>
      <c r="R2380" s="62">
        <f t="shared" si="7"/>
        <v>0</v>
      </c>
      <c r="S2380" s="62"/>
      <c r="T2380" s="62"/>
      <c r="U2380" s="62"/>
      <c r="V2380" s="62"/>
      <c r="W2380" s="62"/>
      <c r="X2380" s="62"/>
      <c r="Y2380" s="62"/>
      <c r="Z2380" s="62"/>
      <c r="AA2380" s="62"/>
      <c r="AB2380" s="62"/>
      <c r="AC2380" s="62"/>
    </row>
    <row r="2381" hidden="1">
      <c r="A2381" s="60">
        <f>IFERROR(__xludf.DUMMYFUNCTION("""COMPUTED_VALUE"""),17491.0)</f>
        <v>17491</v>
      </c>
      <c r="B2381" s="60" t="str">
        <f>IFERROR(__xludf.DUMMYFUNCTION("""COMPUTED_VALUE"""),"Connors, Dean")</f>
        <v>Connors, Dean</v>
      </c>
      <c r="C2381" s="60" t="str">
        <f>IFERROR(__xludf.DUMMYFUNCTION("""COMPUTED_VALUE"""),"RB")</f>
        <v>RB</v>
      </c>
      <c r="D2381" s="60" t="str">
        <f>IFERROR(__xludf.DUMMYFUNCTION("""COMPUTED_VALUE"""),"LAR")</f>
        <v>LAR</v>
      </c>
      <c r="E2381" s="62" t="str">
        <f t="shared" si="4"/>
        <v>Dean Connors</v>
      </c>
      <c r="F2381" s="62">
        <f t="shared" ref="F2381:G2381" si="4761">IF(isblank(F$1),,IF(isblank($A2381),,IFERROR(vlookup($A2381,indirect("'TVC-"&amp;text(month(F$1),"00")&amp;"'!$A:$D"),4,false),1)))</f>
        <v>1</v>
      </c>
      <c r="G2381" s="62">
        <f t="shared" si="4761"/>
        <v>1</v>
      </c>
      <c r="H2381" s="62">
        <f t="shared" ref="H2381:Q2381" si="4762">IF(isblank(H$1),,IFERROR(vlookup($A2381,indirect("'TVC-"&amp;text(month(H$1),"00")&amp;"'!$A:$D"),4,false),1))</f>
        <v>1</v>
      </c>
      <c r="I2381" s="62">
        <f t="shared" si="4762"/>
        <v>1</v>
      </c>
      <c r="J2381" s="62">
        <f t="shared" si="4762"/>
        <v>1</v>
      </c>
      <c r="K2381" s="62">
        <f t="shared" si="4762"/>
        <v>1</v>
      </c>
      <c r="L2381" s="62">
        <f t="shared" si="4762"/>
        <v>1</v>
      </c>
      <c r="M2381" s="62">
        <f t="shared" si="4762"/>
        <v>1</v>
      </c>
      <c r="N2381" s="62">
        <f t="shared" si="4762"/>
        <v>1</v>
      </c>
      <c r="O2381" s="62">
        <f t="shared" si="4762"/>
        <v>1</v>
      </c>
      <c r="P2381" s="62" t="str">
        <f t="shared" si="4762"/>
        <v/>
      </c>
      <c r="Q2381" s="62" t="str">
        <f t="shared" si="4762"/>
        <v/>
      </c>
      <c r="R2381" s="62">
        <f t="shared" si="7"/>
        <v>0</v>
      </c>
      <c r="S2381" s="62"/>
      <c r="T2381" s="62"/>
      <c r="U2381" s="62"/>
      <c r="V2381" s="62"/>
      <c r="W2381" s="62"/>
      <c r="X2381" s="62"/>
      <c r="Y2381" s="62"/>
      <c r="Z2381" s="62"/>
      <c r="AA2381" s="62"/>
      <c r="AB2381" s="62"/>
      <c r="AC2381" s="62"/>
    </row>
    <row r="2382" hidden="1">
      <c r="A2382" s="60">
        <f>IFERROR(__xludf.DUMMYFUNCTION("""COMPUTED_VALUE"""),17492.0)</f>
        <v>17492</v>
      </c>
      <c r="B2382" s="60" t="str">
        <f>IFERROR(__xludf.DUMMYFUNCTION("""COMPUTED_VALUE"""),"Donaldson, CJ")</f>
        <v>Donaldson, CJ</v>
      </c>
      <c r="C2382" s="60" t="str">
        <f>IFERROR(__xludf.DUMMYFUNCTION("""COMPUTED_VALUE"""),"RB")</f>
        <v>RB</v>
      </c>
      <c r="D2382" s="60" t="str">
        <f>IFERROR(__xludf.DUMMYFUNCTION("""COMPUTED_VALUE"""),"NOS")</f>
        <v>NOS</v>
      </c>
      <c r="E2382" s="62" t="str">
        <f t="shared" si="4"/>
        <v>CJ Donaldson</v>
      </c>
      <c r="F2382" s="62">
        <f t="shared" ref="F2382:G2382" si="4763">IF(isblank(F$1),,IF(isblank($A2382),,IFERROR(vlookup($A2382,indirect("'TVC-"&amp;text(month(F$1),"00")&amp;"'!$A:$D"),4,false),1)))</f>
        <v>1</v>
      </c>
      <c r="G2382" s="62">
        <f t="shared" si="4763"/>
        <v>1</v>
      </c>
      <c r="H2382" s="62">
        <f t="shared" ref="H2382:Q2382" si="4764">IF(isblank(H$1),,IFERROR(vlookup($A2382,indirect("'TVC-"&amp;text(month(H$1),"00")&amp;"'!$A:$D"),4,false),1))</f>
        <v>1</v>
      </c>
      <c r="I2382" s="62">
        <f t="shared" si="4764"/>
        <v>1</v>
      </c>
      <c r="J2382" s="62">
        <f t="shared" si="4764"/>
        <v>1</v>
      </c>
      <c r="K2382" s="62">
        <f t="shared" si="4764"/>
        <v>1</v>
      </c>
      <c r="L2382" s="62">
        <f t="shared" si="4764"/>
        <v>1</v>
      </c>
      <c r="M2382" s="62">
        <f t="shared" si="4764"/>
        <v>1</v>
      </c>
      <c r="N2382" s="62">
        <f t="shared" si="4764"/>
        <v>1</v>
      </c>
      <c r="O2382" s="62">
        <f t="shared" si="4764"/>
        <v>1</v>
      </c>
      <c r="P2382" s="62" t="str">
        <f t="shared" si="4764"/>
        <v/>
      </c>
      <c r="Q2382" s="62" t="str">
        <f t="shared" si="4764"/>
        <v/>
      </c>
      <c r="R2382" s="62">
        <f t="shared" si="7"/>
        <v>0</v>
      </c>
      <c r="S2382" s="62"/>
      <c r="T2382" s="62"/>
      <c r="U2382" s="62"/>
      <c r="V2382" s="62"/>
      <c r="W2382" s="62"/>
      <c r="X2382" s="62"/>
      <c r="Y2382" s="62"/>
      <c r="Z2382" s="62"/>
      <c r="AA2382" s="62"/>
      <c r="AB2382" s="62"/>
      <c r="AC2382" s="62"/>
    </row>
    <row r="2383" hidden="1">
      <c r="A2383" s="60">
        <f>IFERROR(__xludf.DUMMYFUNCTION("""COMPUTED_VALUE"""),17493.0)</f>
        <v>17493</v>
      </c>
      <c r="B2383" s="60" t="str">
        <f>IFERROR(__xludf.DUMMYFUNCTION("""COMPUTED_VALUE"""),"Jones, Cash")</f>
        <v>Jones, Cash</v>
      </c>
      <c r="C2383" s="60" t="str">
        <f>IFERROR(__xludf.DUMMYFUNCTION("""COMPUTED_VALUE"""),"RB")</f>
        <v>RB</v>
      </c>
      <c r="D2383" s="60" t="str">
        <f>IFERROR(__xludf.DUMMYFUNCTION("""COMPUTED_VALUE"""),"ATL")</f>
        <v>ATL</v>
      </c>
      <c r="E2383" s="62" t="str">
        <f t="shared" si="4"/>
        <v>Cash Jones</v>
      </c>
      <c r="F2383" s="62">
        <f t="shared" ref="F2383:G2383" si="4765">IF(isblank(F$1),,IF(isblank($A2383),,IFERROR(vlookup($A2383,indirect("'TVC-"&amp;text(month(F$1),"00")&amp;"'!$A:$D"),4,false),1)))</f>
        <v>1</v>
      </c>
      <c r="G2383" s="62">
        <f t="shared" si="4765"/>
        <v>1</v>
      </c>
      <c r="H2383" s="62">
        <f t="shared" ref="H2383:Q2383" si="4766">IF(isblank(H$1),,IFERROR(vlookup($A2383,indirect("'TVC-"&amp;text(month(H$1),"00")&amp;"'!$A:$D"),4,false),1))</f>
        <v>1</v>
      </c>
      <c r="I2383" s="62">
        <f t="shared" si="4766"/>
        <v>1</v>
      </c>
      <c r="J2383" s="62">
        <f t="shared" si="4766"/>
        <v>1</v>
      </c>
      <c r="K2383" s="62">
        <f t="shared" si="4766"/>
        <v>1</v>
      </c>
      <c r="L2383" s="62">
        <f t="shared" si="4766"/>
        <v>1</v>
      </c>
      <c r="M2383" s="62">
        <f t="shared" si="4766"/>
        <v>1</v>
      </c>
      <c r="N2383" s="62">
        <f t="shared" si="4766"/>
        <v>1</v>
      </c>
      <c r="O2383" s="62">
        <f t="shared" si="4766"/>
        <v>1</v>
      </c>
      <c r="P2383" s="62" t="str">
        <f t="shared" si="4766"/>
        <v/>
      </c>
      <c r="Q2383" s="62" t="str">
        <f t="shared" si="4766"/>
        <v/>
      </c>
      <c r="R2383" s="62">
        <f t="shared" si="7"/>
        <v>0</v>
      </c>
      <c r="S2383" s="62"/>
      <c r="T2383" s="62"/>
      <c r="U2383" s="62"/>
      <c r="V2383" s="62"/>
      <c r="W2383" s="62"/>
      <c r="X2383" s="62"/>
      <c r="Y2383" s="62"/>
      <c r="Z2383" s="62"/>
      <c r="AA2383" s="62"/>
      <c r="AB2383" s="62"/>
      <c r="AC2383" s="62"/>
    </row>
    <row r="2384" hidden="1">
      <c r="A2384" s="60">
        <f>IFERROR(__xludf.DUMMYFUNCTION("""COMPUTED_VALUE"""),17494.0)</f>
        <v>17494</v>
      </c>
      <c r="B2384" s="60" t="str">
        <f>IFERROR(__xludf.DUMMYFUNCTION("""COMPUTED_VALUE"""),"Diggs, Logan")</f>
        <v>Diggs, Logan</v>
      </c>
      <c r="C2384" s="60" t="str">
        <f>IFERROR(__xludf.DUMMYFUNCTION("""COMPUTED_VALUE"""),"XX")</f>
        <v>XX</v>
      </c>
      <c r="D2384" s="60" t="str">
        <f>IFERROR(__xludf.DUMMYFUNCTION("""COMPUTED_VALUE"""),"FA")</f>
        <v>FA</v>
      </c>
      <c r="E2384" s="62" t="str">
        <f t="shared" si="4"/>
        <v>Logan Diggs</v>
      </c>
      <c r="F2384" s="62">
        <f t="shared" ref="F2384:G2384" si="4767">IF(isblank(F$1),,IF(isblank($A2384),,IFERROR(vlookup($A2384,indirect("'TVC-"&amp;text(month(F$1),"00")&amp;"'!$A:$D"),4,false),1)))</f>
        <v>1</v>
      </c>
      <c r="G2384" s="62">
        <f t="shared" si="4767"/>
        <v>1</v>
      </c>
      <c r="H2384" s="62">
        <f t="shared" ref="H2384:Q2384" si="4768">IF(isblank(H$1),,IFERROR(vlookup($A2384,indirect("'TVC-"&amp;text(month(H$1),"00")&amp;"'!$A:$D"),4,false),1))</f>
        <v>1</v>
      </c>
      <c r="I2384" s="62">
        <f t="shared" si="4768"/>
        <v>1</v>
      </c>
      <c r="J2384" s="62">
        <f t="shared" si="4768"/>
        <v>1</v>
      </c>
      <c r="K2384" s="62">
        <f t="shared" si="4768"/>
        <v>1</v>
      </c>
      <c r="L2384" s="62">
        <f t="shared" si="4768"/>
        <v>1</v>
      </c>
      <c r="M2384" s="62">
        <f t="shared" si="4768"/>
        <v>1</v>
      </c>
      <c r="N2384" s="62">
        <f t="shared" si="4768"/>
        <v>1</v>
      </c>
      <c r="O2384" s="62">
        <f t="shared" si="4768"/>
        <v>1</v>
      </c>
      <c r="P2384" s="62" t="str">
        <f t="shared" si="4768"/>
        <v/>
      </c>
      <c r="Q2384" s="62" t="str">
        <f t="shared" si="4768"/>
        <v/>
      </c>
      <c r="R2384" s="62">
        <f t="shared" si="7"/>
        <v>0</v>
      </c>
      <c r="S2384" s="62"/>
      <c r="T2384" s="62"/>
      <c r="U2384" s="62"/>
      <c r="V2384" s="62"/>
      <c r="W2384" s="62"/>
      <c r="X2384" s="62"/>
      <c r="Y2384" s="62"/>
      <c r="Z2384" s="62"/>
      <c r="AA2384" s="62"/>
      <c r="AB2384" s="62"/>
      <c r="AC2384" s="62"/>
    </row>
    <row r="2385" hidden="1">
      <c r="A2385" s="60">
        <f>IFERROR(__xludf.DUMMYFUNCTION("""COMPUTED_VALUE"""),17495.0)</f>
        <v>17495</v>
      </c>
      <c r="B2385" s="60" t="str">
        <f>IFERROR(__xludf.DUMMYFUNCTION("""COMPUTED_VALUE"""),"Williams, Roydell")</f>
        <v>Williams, Roydell</v>
      </c>
      <c r="C2385" s="60" t="str">
        <f>IFERROR(__xludf.DUMMYFUNCTION("""COMPUTED_VALUE"""),"RB")</f>
        <v>RB</v>
      </c>
      <c r="D2385" s="60" t="str">
        <f>IFERROR(__xludf.DUMMYFUNCTION("""COMPUTED_VALUE"""),"FA")</f>
        <v>FA</v>
      </c>
      <c r="E2385" s="62" t="str">
        <f t="shared" si="4"/>
        <v>Roydell Williams</v>
      </c>
      <c r="F2385" s="62">
        <f t="shared" ref="F2385:G2385" si="4769">IF(isblank(F$1),,IF(isblank($A2385),,IFERROR(vlookup($A2385,indirect("'TVC-"&amp;text(month(F$1),"00")&amp;"'!$A:$D"),4,false),1)))</f>
        <v>1</v>
      </c>
      <c r="G2385" s="62">
        <f t="shared" si="4769"/>
        <v>1</v>
      </c>
      <c r="H2385" s="62">
        <f t="shared" ref="H2385:Q2385" si="4770">IF(isblank(H$1),,IFERROR(vlookup($A2385,indirect("'TVC-"&amp;text(month(H$1),"00")&amp;"'!$A:$D"),4,false),1))</f>
        <v>1</v>
      </c>
      <c r="I2385" s="62">
        <f t="shared" si="4770"/>
        <v>1</v>
      </c>
      <c r="J2385" s="62">
        <f t="shared" si="4770"/>
        <v>1</v>
      </c>
      <c r="K2385" s="62">
        <f t="shared" si="4770"/>
        <v>1</v>
      </c>
      <c r="L2385" s="62">
        <f t="shared" si="4770"/>
        <v>1</v>
      </c>
      <c r="M2385" s="62">
        <f t="shared" si="4770"/>
        <v>1</v>
      </c>
      <c r="N2385" s="62">
        <f t="shared" si="4770"/>
        <v>1</v>
      </c>
      <c r="O2385" s="62">
        <f t="shared" si="4770"/>
        <v>1</v>
      </c>
      <c r="P2385" s="62" t="str">
        <f t="shared" si="4770"/>
        <v/>
      </c>
      <c r="Q2385" s="62" t="str">
        <f t="shared" si="4770"/>
        <v/>
      </c>
      <c r="R2385" s="62">
        <f t="shared" si="7"/>
        <v>0</v>
      </c>
      <c r="S2385" s="62"/>
      <c r="T2385" s="62"/>
      <c r="U2385" s="62"/>
      <c r="V2385" s="62"/>
      <c r="W2385" s="62"/>
      <c r="X2385" s="62"/>
      <c r="Y2385" s="62"/>
      <c r="Z2385" s="62"/>
      <c r="AA2385" s="62"/>
      <c r="AB2385" s="62"/>
      <c r="AC2385" s="62"/>
    </row>
    <row r="2386" hidden="1">
      <c r="A2386" s="60">
        <f>IFERROR(__xludf.DUMMYFUNCTION("""COMPUTED_VALUE"""),17496.0)</f>
        <v>17496</v>
      </c>
      <c r="B2386" s="60" t="str">
        <f>IFERROR(__xludf.DUMMYFUNCTION("""COMPUTED_VALUE"""),"Brown, Mel")</f>
        <v>Brown, Mel</v>
      </c>
      <c r="C2386" s="60" t="str">
        <f>IFERROR(__xludf.DUMMYFUNCTION("""COMPUTED_VALUE"""),"RB")</f>
        <v>RB</v>
      </c>
      <c r="D2386" s="60" t="str">
        <f>IFERROR(__xludf.DUMMYFUNCTION("""COMPUTED_VALUE"""),"FA")</f>
        <v>FA</v>
      </c>
      <c r="E2386" s="62" t="str">
        <f t="shared" si="4"/>
        <v>Mel Brown</v>
      </c>
      <c r="F2386" s="62">
        <f t="shared" ref="F2386:G2386" si="4771">IF(isblank(F$1),,IF(isblank($A2386),,IFERROR(vlookup($A2386,indirect("'TVC-"&amp;text(month(F$1),"00")&amp;"'!$A:$D"),4,false),1)))</f>
        <v>1</v>
      </c>
      <c r="G2386" s="62">
        <f t="shared" si="4771"/>
        <v>1</v>
      </c>
      <c r="H2386" s="62">
        <f t="shared" ref="H2386:Q2386" si="4772">IF(isblank(H$1),,IFERROR(vlookup($A2386,indirect("'TVC-"&amp;text(month(H$1),"00")&amp;"'!$A:$D"),4,false),1))</f>
        <v>1</v>
      </c>
      <c r="I2386" s="62">
        <f t="shared" si="4772"/>
        <v>1</v>
      </c>
      <c r="J2386" s="62">
        <f t="shared" si="4772"/>
        <v>1</v>
      </c>
      <c r="K2386" s="62">
        <f t="shared" si="4772"/>
        <v>1</v>
      </c>
      <c r="L2386" s="62">
        <f t="shared" si="4772"/>
        <v>1</v>
      </c>
      <c r="M2386" s="62">
        <f t="shared" si="4772"/>
        <v>1</v>
      </c>
      <c r="N2386" s="62">
        <f t="shared" si="4772"/>
        <v>1</v>
      </c>
      <c r="O2386" s="62">
        <f t="shared" si="4772"/>
        <v>1</v>
      </c>
      <c r="P2386" s="62" t="str">
        <f t="shared" si="4772"/>
        <v/>
      </c>
      <c r="Q2386" s="62" t="str">
        <f t="shared" si="4772"/>
        <v/>
      </c>
      <c r="R2386" s="62">
        <f t="shared" si="7"/>
        <v>0</v>
      </c>
      <c r="S2386" s="62"/>
      <c r="T2386" s="62"/>
      <c r="U2386" s="62"/>
      <c r="V2386" s="62"/>
      <c r="W2386" s="62"/>
      <c r="X2386" s="62"/>
      <c r="Y2386" s="62"/>
      <c r="Z2386" s="62"/>
      <c r="AA2386" s="62"/>
      <c r="AB2386" s="62"/>
      <c r="AC2386" s="62"/>
    </row>
    <row r="2387" hidden="1">
      <c r="A2387" s="60">
        <f>IFERROR(__xludf.DUMMYFUNCTION("""COMPUTED_VALUE"""),17497.0)</f>
        <v>17497</v>
      </c>
      <c r="B2387" s="60" t="str">
        <f>IFERROR(__xludf.DUMMYFUNCTION("""COMPUTED_VALUE"""),"Tate, Carnell")</f>
        <v>Tate, Carnell</v>
      </c>
      <c r="C2387" s="60" t="str">
        <f>IFERROR(__xludf.DUMMYFUNCTION("""COMPUTED_VALUE"""),"WR")</f>
        <v>WR</v>
      </c>
      <c r="D2387" s="60" t="str">
        <f>IFERROR(__xludf.DUMMYFUNCTION("""COMPUTED_VALUE"""),"TEN")</f>
        <v>TEN</v>
      </c>
      <c r="E2387" s="62" t="str">
        <f t="shared" si="4"/>
        <v>Carnell Tate</v>
      </c>
      <c r="F2387" s="62">
        <f t="shared" ref="F2387:G2387" si="4773">IF(isblank(F$1),,IF(isblank($A2387),,IFERROR(vlookup($A2387,indirect("'TVC-"&amp;text(month(F$1),"00")&amp;"'!$A:$D"),4,false),1)))</f>
        <v>1</v>
      </c>
      <c r="G2387" s="62">
        <f t="shared" si="4773"/>
        <v>5182</v>
      </c>
      <c r="H2387" s="62">
        <f t="shared" ref="H2387:Q2387" si="4774">IF(isblank(H$1),,IFERROR(vlookup($A2387,indirect("'TVC-"&amp;text(month(H$1),"00")&amp;"'!$A:$D"),4,false),1))</f>
        <v>5314</v>
      </c>
      <c r="I2387" s="62">
        <f t="shared" si="4774"/>
        <v>5201</v>
      </c>
      <c r="J2387" s="62">
        <f t="shared" si="4774"/>
        <v>5692</v>
      </c>
      <c r="K2387" s="62">
        <f t="shared" si="4774"/>
        <v>5931</v>
      </c>
      <c r="L2387" s="62">
        <f t="shared" si="4774"/>
        <v>5957</v>
      </c>
      <c r="M2387" s="62">
        <f t="shared" si="4774"/>
        <v>5908</v>
      </c>
      <c r="N2387" s="62">
        <f t="shared" si="4774"/>
        <v>5568</v>
      </c>
      <c r="O2387" s="62">
        <f t="shared" si="4774"/>
        <v>1</v>
      </c>
      <c r="P2387" s="62" t="str">
        <f t="shared" si="4774"/>
        <v/>
      </c>
      <c r="Q2387" s="62" t="str">
        <f t="shared" si="4774"/>
        <v/>
      </c>
      <c r="R2387" s="62">
        <f t="shared" si="7"/>
        <v>-5567</v>
      </c>
      <c r="S2387" s="62"/>
      <c r="T2387" s="62"/>
      <c r="U2387" s="62"/>
      <c r="V2387" s="62"/>
      <c r="W2387" s="62"/>
      <c r="X2387" s="62"/>
      <c r="Y2387" s="62"/>
      <c r="Z2387" s="62"/>
      <c r="AA2387" s="62"/>
      <c r="AB2387" s="62"/>
      <c r="AC2387" s="62"/>
    </row>
    <row r="2388" hidden="1">
      <c r="A2388" s="60">
        <f>IFERROR(__xludf.DUMMYFUNCTION("""COMPUTED_VALUE"""),17498.0)</f>
        <v>17498</v>
      </c>
      <c r="B2388" s="60" t="str">
        <f>IFERROR(__xludf.DUMMYFUNCTION("""COMPUTED_VALUE"""),"Tyson, Jordyn")</f>
        <v>Tyson, Jordyn</v>
      </c>
      <c r="C2388" s="60" t="str">
        <f>IFERROR(__xludf.DUMMYFUNCTION("""COMPUTED_VALUE"""),"WR")</f>
        <v>WR</v>
      </c>
      <c r="D2388" s="60" t="str">
        <f>IFERROR(__xludf.DUMMYFUNCTION("""COMPUTED_VALUE"""),"NOS")</f>
        <v>NOS</v>
      </c>
      <c r="E2388" s="62" t="str">
        <f t="shared" si="4"/>
        <v>Jordyn Tyson</v>
      </c>
      <c r="F2388" s="62">
        <f t="shared" ref="F2388:G2388" si="4775">IF(isblank(F$1),,IF(isblank($A2388),,IFERROR(vlookup($A2388,indirect("'TVC-"&amp;text(month(F$1),"00")&amp;"'!$A:$D"),4,false),1)))</f>
        <v>1</v>
      </c>
      <c r="G2388" s="62">
        <f t="shared" si="4775"/>
        <v>4857</v>
      </c>
      <c r="H2388" s="62">
        <f t="shared" ref="H2388:Q2388" si="4776">IF(isblank(H$1),,IFERROR(vlookup($A2388,indirect("'TVC-"&amp;text(month(H$1),"00")&amp;"'!$A:$D"),4,false),1))</f>
        <v>4820</v>
      </c>
      <c r="I2388" s="62">
        <f t="shared" si="4776"/>
        <v>4811</v>
      </c>
      <c r="J2388" s="62">
        <f t="shared" si="4776"/>
        <v>5212</v>
      </c>
      <c r="K2388" s="62">
        <f t="shared" si="4776"/>
        <v>5426</v>
      </c>
      <c r="L2388" s="62">
        <f t="shared" si="4776"/>
        <v>5394</v>
      </c>
      <c r="M2388" s="62">
        <f t="shared" si="4776"/>
        <v>5365</v>
      </c>
      <c r="N2388" s="62">
        <f t="shared" si="4776"/>
        <v>4948</v>
      </c>
      <c r="O2388" s="62">
        <f t="shared" si="4776"/>
        <v>1</v>
      </c>
      <c r="P2388" s="62" t="str">
        <f t="shared" si="4776"/>
        <v/>
      </c>
      <c r="Q2388" s="62" t="str">
        <f t="shared" si="4776"/>
        <v/>
      </c>
      <c r="R2388" s="62">
        <f t="shared" si="7"/>
        <v>-4947</v>
      </c>
      <c r="S2388" s="62"/>
      <c r="T2388" s="62"/>
      <c r="U2388" s="62"/>
      <c r="V2388" s="62"/>
      <c r="W2388" s="62"/>
      <c r="X2388" s="62"/>
      <c r="Y2388" s="62"/>
      <c r="Z2388" s="62"/>
      <c r="AA2388" s="62"/>
      <c r="AB2388" s="62"/>
      <c r="AC2388" s="62"/>
    </row>
    <row r="2389">
      <c r="A2389" s="60">
        <f>IFERROR(__xludf.DUMMYFUNCTION("""COMPUTED_VALUE"""),17499.0)</f>
        <v>17499</v>
      </c>
      <c r="B2389" s="60" t="str">
        <f>IFERROR(__xludf.DUMMYFUNCTION("""COMPUTED_VALUE"""),"Lemon, Makai")</f>
        <v>Lemon, Makai</v>
      </c>
      <c r="C2389" s="60" t="str">
        <f>IFERROR(__xludf.DUMMYFUNCTION("""COMPUTED_VALUE"""),"WR")</f>
        <v>WR</v>
      </c>
      <c r="D2389" s="60" t="str">
        <f>IFERROR(__xludf.DUMMYFUNCTION("""COMPUTED_VALUE"""),"PHI")</f>
        <v>PHI</v>
      </c>
      <c r="E2389" s="62" t="str">
        <f t="shared" si="4"/>
        <v>Makai Lemon</v>
      </c>
      <c r="F2389" s="62">
        <f t="shared" ref="F2389:G2389" si="4777">IF(isblank(F$1),,IF(isblank($A2389),,IFERROR(vlookup($A2389,indirect("'TVC-"&amp;text(month(F$1),"00")&amp;"'!$A:$D"),4,false),1)))</f>
        <v>1</v>
      </c>
      <c r="G2389" s="62">
        <f t="shared" si="4777"/>
        <v>5391</v>
      </c>
      <c r="H2389" s="62">
        <f t="shared" ref="H2389:Q2389" si="4778">IF(isblank(H$1),,IFERROR(vlookup($A2389,indirect("'TVC-"&amp;text(month(H$1),"00")&amp;"'!$A:$D"),4,false),1))</f>
        <v>5235</v>
      </c>
      <c r="I2389" s="62">
        <f t="shared" si="4778"/>
        <v>5100</v>
      </c>
      <c r="J2389" s="62">
        <f t="shared" si="4778"/>
        <v>5081</v>
      </c>
      <c r="K2389" s="62">
        <f t="shared" si="4778"/>
        <v>5085</v>
      </c>
      <c r="L2389" s="62">
        <f t="shared" si="4778"/>
        <v>5095</v>
      </c>
      <c r="M2389" s="62">
        <f t="shared" si="4778"/>
        <v>5007</v>
      </c>
      <c r="N2389" s="62">
        <f t="shared" si="4778"/>
        <v>4768</v>
      </c>
      <c r="O2389" s="62">
        <f t="shared" si="4778"/>
        <v>1</v>
      </c>
      <c r="P2389" s="62" t="str">
        <f t="shared" si="4778"/>
        <v/>
      </c>
      <c r="Q2389" s="62" t="str">
        <f t="shared" si="4778"/>
        <v/>
      </c>
      <c r="R2389" s="62">
        <f t="shared" si="7"/>
        <v>-4767</v>
      </c>
      <c r="S2389" s="62"/>
      <c r="T2389" s="62"/>
      <c r="U2389" s="62"/>
      <c r="V2389" s="62"/>
      <c r="W2389" s="62"/>
      <c r="X2389" s="62"/>
      <c r="Y2389" s="62"/>
      <c r="Z2389" s="62"/>
      <c r="AA2389" s="62"/>
      <c r="AB2389" s="62"/>
      <c r="AC2389" s="62"/>
    </row>
    <row r="2390">
      <c r="A2390" s="60">
        <f>IFERROR(__xludf.DUMMYFUNCTION("""COMPUTED_VALUE"""),17500.0)</f>
        <v>17500</v>
      </c>
      <c r="B2390" s="60" t="str">
        <f>IFERROR(__xludf.DUMMYFUNCTION("""COMPUTED_VALUE"""),"Boston, Denzel")</f>
        <v>Boston, Denzel</v>
      </c>
      <c r="C2390" s="60" t="str">
        <f>IFERROR(__xludf.DUMMYFUNCTION("""COMPUTED_VALUE"""),"WR")</f>
        <v>WR</v>
      </c>
      <c r="D2390" s="60" t="str">
        <f>IFERROR(__xludf.DUMMYFUNCTION("""COMPUTED_VALUE"""),"CLE")</f>
        <v>CLE</v>
      </c>
      <c r="E2390" s="62" t="str">
        <f t="shared" si="4"/>
        <v>Denzel Boston</v>
      </c>
      <c r="F2390" s="62">
        <f t="shared" ref="F2390:G2390" si="4779">IF(isblank(F$1),,IF(isblank($A2390),,IFERROR(vlookup($A2390,indirect("'TVC-"&amp;text(month(F$1),"00")&amp;"'!$A:$D"),4,false),1)))</f>
        <v>1</v>
      </c>
      <c r="G2390" s="62">
        <f t="shared" si="4779"/>
        <v>4194</v>
      </c>
      <c r="H2390" s="62">
        <f t="shared" ref="H2390:Q2390" si="4780">IF(isblank(H$1),,IFERROR(vlookup($A2390,indirect("'TVC-"&amp;text(month(H$1),"00")&amp;"'!$A:$D"),4,false),1))</f>
        <v>3796</v>
      </c>
      <c r="I2390" s="62">
        <f t="shared" si="4780"/>
        <v>3356</v>
      </c>
      <c r="J2390" s="62">
        <f t="shared" si="4780"/>
        <v>3415</v>
      </c>
      <c r="K2390" s="62">
        <f t="shared" si="4780"/>
        <v>3435</v>
      </c>
      <c r="L2390" s="62">
        <f t="shared" si="4780"/>
        <v>3461</v>
      </c>
      <c r="M2390" s="62">
        <f t="shared" si="4780"/>
        <v>3357</v>
      </c>
      <c r="N2390" s="62">
        <f t="shared" si="4780"/>
        <v>3722</v>
      </c>
      <c r="O2390" s="62">
        <f t="shared" si="4780"/>
        <v>1</v>
      </c>
      <c r="P2390" s="62" t="str">
        <f t="shared" si="4780"/>
        <v/>
      </c>
      <c r="Q2390" s="62" t="str">
        <f t="shared" si="4780"/>
        <v/>
      </c>
      <c r="R2390" s="62">
        <f t="shared" si="7"/>
        <v>-3721</v>
      </c>
      <c r="S2390" s="62"/>
      <c r="T2390" s="62"/>
      <c r="U2390" s="62"/>
      <c r="V2390" s="62"/>
      <c r="W2390" s="62"/>
      <c r="X2390" s="62"/>
      <c r="Y2390" s="62"/>
      <c r="Z2390" s="62"/>
      <c r="AA2390" s="62"/>
      <c r="AB2390" s="62"/>
      <c r="AC2390" s="62"/>
    </row>
    <row r="2391">
      <c r="A2391" s="60">
        <f>IFERROR(__xludf.DUMMYFUNCTION("""COMPUTED_VALUE"""),17501.0)</f>
        <v>17501</v>
      </c>
      <c r="B2391" s="60" t="str">
        <f>IFERROR(__xludf.DUMMYFUNCTION("""COMPUTED_VALUE"""),"Concepcion, KC")</f>
        <v>Concepcion, KC</v>
      </c>
      <c r="C2391" s="60" t="str">
        <f>IFERROR(__xludf.DUMMYFUNCTION("""COMPUTED_VALUE"""),"WR")</f>
        <v>WR</v>
      </c>
      <c r="D2391" s="60" t="str">
        <f>IFERROR(__xludf.DUMMYFUNCTION("""COMPUTED_VALUE"""),"CLE")</f>
        <v>CLE</v>
      </c>
      <c r="E2391" s="62" t="str">
        <f t="shared" si="4"/>
        <v>KC Concepcion</v>
      </c>
      <c r="F2391" s="62">
        <f t="shared" ref="F2391:G2391" si="4781">IF(isblank(F$1),,IF(isblank($A2391),,IFERROR(vlookup($A2391,indirect("'TVC-"&amp;text(month(F$1),"00")&amp;"'!$A:$D"),4,false),1)))</f>
        <v>1</v>
      </c>
      <c r="G2391" s="62">
        <f t="shared" si="4781"/>
        <v>3957</v>
      </c>
      <c r="H2391" s="62">
        <f t="shared" ref="H2391:Q2391" si="4782">IF(isblank(H$1),,IFERROR(vlookup($A2391,indirect("'TVC-"&amp;text(month(H$1),"00")&amp;"'!$A:$D"),4,false),1))</f>
        <v>3842</v>
      </c>
      <c r="I2391" s="62">
        <f t="shared" si="4782"/>
        <v>3740</v>
      </c>
      <c r="J2391" s="62">
        <f t="shared" si="4782"/>
        <v>4407</v>
      </c>
      <c r="K2391" s="62">
        <f t="shared" si="4782"/>
        <v>4505</v>
      </c>
      <c r="L2391" s="62">
        <f t="shared" si="4782"/>
        <v>4470</v>
      </c>
      <c r="M2391" s="62">
        <f t="shared" si="4782"/>
        <v>4348</v>
      </c>
      <c r="N2391" s="62">
        <f t="shared" si="4782"/>
        <v>4717</v>
      </c>
      <c r="O2391" s="62">
        <f t="shared" si="4782"/>
        <v>1</v>
      </c>
      <c r="P2391" s="62" t="str">
        <f t="shared" si="4782"/>
        <v/>
      </c>
      <c r="Q2391" s="62" t="str">
        <f t="shared" si="4782"/>
        <v/>
      </c>
      <c r="R2391" s="62">
        <f t="shared" si="7"/>
        <v>-4716</v>
      </c>
      <c r="S2391" s="62"/>
      <c r="T2391" s="62"/>
      <c r="U2391" s="62"/>
      <c r="V2391" s="62"/>
      <c r="W2391" s="62"/>
      <c r="X2391" s="62"/>
      <c r="Y2391" s="62"/>
      <c r="Z2391" s="62"/>
      <c r="AA2391" s="62"/>
      <c r="AB2391" s="62"/>
      <c r="AC2391" s="62"/>
    </row>
    <row r="2392">
      <c r="A2392" s="60">
        <f>IFERROR(__xludf.DUMMYFUNCTION("""COMPUTED_VALUE"""),17502.0)</f>
        <v>17502</v>
      </c>
      <c r="B2392" s="60" t="str">
        <f>IFERROR(__xludf.DUMMYFUNCTION("""COMPUTED_VALUE"""),"Cooper Jr., Omar")</f>
        <v>Cooper Jr., Omar</v>
      </c>
      <c r="C2392" s="60" t="str">
        <f>IFERROR(__xludf.DUMMYFUNCTION("""COMPUTED_VALUE"""),"WR")</f>
        <v>WR</v>
      </c>
      <c r="D2392" s="60" t="str">
        <f>IFERROR(__xludf.DUMMYFUNCTION("""COMPUTED_VALUE"""),"NYJ")</f>
        <v>NYJ</v>
      </c>
      <c r="E2392" s="62" t="str">
        <f t="shared" si="4"/>
        <v>Omar Cooper Jr.</v>
      </c>
      <c r="F2392" s="62">
        <f t="shared" ref="F2392:G2392" si="4783">IF(isblank(F$1),,IF(isblank($A2392),,IFERROR(vlookup($A2392,indirect("'TVC-"&amp;text(month(F$1),"00")&amp;"'!$A:$D"),4,false),1)))</f>
        <v>1</v>
      </c>
      <c r="G2392" s="62">
        <f t="shared" si="4783"/>
        <v>3399</v>
      </c>
      <c r="H2392" s="62">
        <f t="shared" ref="H2392:Q2392" si="4784">IF(isblank(H$1),,IFERROR(vlookup($A2392,indirect("'TVC-"&amp;text(month(H$1),"00")&amp;"'!$A:$D"),4,false),1))</f>
        <v>3210</v>
      </c>
      <c r="I2392" s="62">
        <f t="shared" si="4784"/>
        <v>3410</v>
      </c>
      <c r="J2392" s="62">
        <f t="shared" si="4784"/>
        <v>3828</v>
      </c>
      <c r="K2392" s="62">
        <f t="shared" si="4784"/>
        <v>3827</v>
      </c>
      <c r="L2392" s="62">
        <f t="shared" si="4784"/>
        <v>3711</v>
      </c>
      <c r="M2392" s="62">
        <f t="shared" si="4784"/>
        <v>3524</v>
      </c>
      <c r="N2392" s="62">
        <f t="shared" si="4784"/>
        <v>3298</v>
      </c>
      <c r="O2392" s="62">
        <f t="shared" si="4784"/>
        <v>1</v>
      </c>
      <c r="P2392" s="62" t="str">
        <f t="shared" si="4784"/>
        <v/>
      </c>
      <c r="Q2392" s="62" t="str">
        <f t="shared" si="4784"/>
        <v/>
      </c>
      <c r="R2392" s="62">
        <f t="shared" si="7"/>
        <v>-3297</v>
      </c>
      <c r="S2392" s="62"/>
      <c r="T2392" s="62"/>
      <c r="U2392" s="62"/>
      <c r="V2392" s="62"/>
      <c r="W2392" s="62"/>
      <c r="X2392" s="62"/>
      <c r="Y2392" s="62"/>
      <c r="Z2392" s="62"/>
      <c r="AA2392" s="62"/>
      <c r="AB2392" s="62"/>
      <c r="AC2392" s="62"/>
    </row>
    <row r="2393">
      <c r="A2393" s="60">
        <f>IFERROR(__xludf.DUMMYFUNCTION("""COMPUTED_VALUE"""),17503.0)</f>
        <v>17503</v>
      </c>
      <c r="B2393" s="60" t="str">
        <f>IFERROR(__xludf.DUMMYFUNCTION("""COMPUTED_VALUE"""),"Bernard, Germie")</f>
        <v>Bernard, Germie</v>
      </c>
      <c r="C2393" s="60" t="str">
        <f>IFERROR(__xludf.DUMMYFUNCTION("""COMPUTED_VALUE"""),"WR")</f>
        <v>WR</v>
      </c>
      <c r="D2393" s="60" t="str">
        <f>IFERROR(__xludf.DUMMYFUNCTION("""COMPUTED_VALUE"""),"PIT")</f>
        <v>PIT</v>
      </c>
      <c r="E2393" s="62" t="str">
        <f t="shared" si="4"/>
        <v>Germie Bernard</v>
      </c>
      <c r="F2393" s="62">
        <f t="shared" ref="F2393:G2393" si="4785">IF(isblank(F$1),,IF(isblank($A2393),,IFERROR(vlookup($A2393,indirect("'TVC-"&amp;text(month(F$1),"00")&amp;"'!$A:$D"),4,false),1)))</f>
        <v>1</v>
      </c>
      <c r="G2393" s="62">
        <f t="shared" si="4785"/>
        <v>2157</v>
      </c>
      <c r="H2393" s="62">
        <f t="shared" ref="H2393:Q2393" si="4786">IF(isblank(H$1),,IFERROR(vlookup($A2393,indirect("'TVC-"&amp;text(month(H$1),"00")&amp;"'!$A:$D"),4,false),1))</f>
        <v>1942</v>
      </c>
      <c r="I2393" s="62">
        <f t="shared" si="4786"/>
        <v>1727</v>
      </c>
      <c r="J2393" s="62">
        <f t="shared" si="4786"/>
        <v>2726</v>
      </c>
      <c r="K2393" s="62">
        <f t="shared" si="4786"/>
        <v>2964</v>
      </c>
      <c r="L2393" s="62">
        <f t="shared" si="4786"/>
        <v>2964</v>
      </c>
      <c r="M2393" s="62">
        <f t="shared" si="4786"/>
        <v>2933</v>
      </c>
      <c r="N2393" s="62">
        <f t="shared" si="4786"/>
        <v>2905</v>
      </c>
      <c r="O2393" s="62">
        <f t="shared" si="4786"/>
        <v>1</v>
      </c>
      <c r="P2393" s="62" t="str">
        <f t="shared" si="4786"/>
        <v/>
      </c>
      <c r="Q2393" s="62" t="str">
        <f t="shared" si="4786"/>
        <v/>
      </c>
      <c r="R2393" s="62">
        <f t="shared" si="7"/>
        <v>-2904</v>
      </c>
      <c r="S2393" s="62"/>
      <c r="T2393" s="62"/>
      <c r="U2393" s="62"/>
      <c r="V2393" s="62"/>
      <c r="W2393" s="62"/>
      <c r="X2393" s="62"/>
      <c r="Y2393" s="62"/>
      <c r="Z2393" s="62"/>
      <c r="AA2393" s="62"/>
      <c r="AB2393" s="62"/>
      <c r="AC2393" s="62"/>
    </row>
    <row r="2394">
      <c r="A2394" s="60">
        <f>IFERROR(__xludf.DUMMYFUNCTION("""COMPUTED_VALUE"""),17504.0)</f>
        <v>17504</v>
      </c>
      <c r="B2394" s="60" t="str">
        <f>IFERROR(__xludf.DUMMYFUNCTION("""COMPUTED_VALUE"""),"Daniels, CJ")</f>
        <v>Daniels, CJ</v>
      </c>
      <c r="C2394" s="60" t="str">
        <f>IFERROR(__xludf.DUMMYFUNCTION("""COMPUTED_VALUE"""),"WR")</f>
        <v>WR</v>
      </c>
      <c r="D2394" s="60" t="str">
        <f>IFERROR(__xludf.DUMMYFUNCTION("""COMPUTED_VALUE"""),"LAR")</f>
        <v>LAR</v>
      </c>
      <c r="E2394" s="62" t="str">
        <f t="shared" si="4"/>
        <v>CJ Daniels</v>
      </c>
      <c r="F2394" s="62">
        <f t="shared" ref="F2394:G2394" si="4787">IF(isblank(F$1),,IF(isblank($A2394),,IFERROR(vlookup($A2394,indirect("'TVC-"&amp;text(month(F$1),"00")&amp;"'!$A:$D"),4,false),1)))</f>
        <v>1</v>
      </c>
      <c r="G2394" s="62">
        <f t="shared" si="4787"/>
        <v>1504</v>
      </c>
      <c r="H2394" s="62">
        <f t="shared" ref="H2394:Q2394" si="4788">IF(isblank(H$1),,IFERROR(vlookup($A2394,indirect("'TVC-"&amp;text(month(H$1),"00")&amp;"'!$A:$D"),4,false),1))</f>
        <v>1384</v>
      </c>
      <c r="I2394" s="62">
        <f t="shared" si="4788"/>
        <v>946</v>
      </c>
      <c r="J2394" s="62">
        <f t="shared" si="4788"/>
        <v>1</v>
      </c>
      <c r="K2394" s="62">
        <f t="shared" si="4788"/>
        <v>858</v>
      </c>
      <c r="L2394" s="62">
        <f t="shared" si="4788"/>
        <v>952</v>
      </c>
      <c r="M2394" s="62">
        <f t="shared" si="4788"/>
        <v>1088</v>
      </c>
      <c r="N2394" s="62">
        <f t="shared" si="4788"/>
        <v>1218</v>
      </c>
      <c r="O2394" s="62">
        <f t="shared" si="4788"/>
        <v>1</v>
      </c>
      <c r="P2394" s="62" t="str">
        <f t="shared" si="4788"/>
        <v/>
      </c>
      <c r="Q2394" s="62" t="str">
        <f t="shared" si="4788"/>
        <v/>
      </c>
      <c r="R2394" s="62">
        <f t="shared" si="7"/>
        <v>-1217</v>
      </c>
      <c r="S2394" s="62"/>
      <c r="T2394" s="62"/>
      <c r="U2394" s="62"/>
      <c r="V2394" s="62"/>
      <c r="W2394" s="62"/>
      <c r="X2394" s="62"/>
      <c r="Y2394" s="62"/>
      <c r="Z2394" s="62"/>
      <c r="AA2394" s="62"/>
      <c r="AB2394" s="62"/>
      <c r="AC2394" s="62"/>
    </row>
    <row r="2395">
      <c r="A2395" s="60">
        <f>IFERROR(__xludf.DUMMYFUNCTION("""COMPUTED_VALUE"""),17505.0)</f>
        <v>17505</v>
      </c>
      <c r="B2395" s="60" t="str">
        <f>IFERROR(__xludf.DUMMYFUNCTION("""COMPUTED_VALUE"""),"Sarratt, Elijah")</f>
        <v>Sarratt, Elijah</v>
      </c>
      <c r="C2395" s="60" t="str">
        <f>IFERROR(__xludf.DUMMYFUNCTION("""COMPUTED_VALUE"""),"WR")</f>
        <v>WR</v>
      </c>
      <c r="D2395" s="60" t="str">
        <f>IFERROR(__xludf.DUMMYFUNCTION("""COMPUTED_VALUE"""),"BAL")</f>
        <v>BAL</v>
      </c>
      <c r="E2395" s="62" t="str">
        <f t="shared" si="4"/>
        <v>Elijah Sarratt</v>
      </c>
      <c r="F2395" s="62">
        <f t="shared" ref="F2395:G2395" si="4789">IF(isblank(F$1),,IF(isblank($A2395),,IFERROR(vlookup($A2395,indirect("'TVC-"&amp;text(month(F$1),"00")&amp;"'!$A:$D"),4,false),1)))</f>
        <v>1</v>
      </c>
      <c r="G2395" s="62">
        <f t="shared" si="4789"/>
        <v>2675</v>
      </c>
      <c r="H2395" s="62">
        <f t="shared" ref="H2395:Q2395" si="4790">IF(isblank(H$1),,IFERROR(vlookup($A2395,indirect("'TVC-"&amp;text(month(H$1),"00")&amp;"'!$A:$D"),4,false),1))</f>
        <v>2559</v>
      </c>
      <c r="I2395" s="62">
        <f t="shared" si="4790"/>
        <v>2413</v>
      </c>
      <c r="J2395" s="62">
        <f t="shared" si="4790"/>
        <v>2646</v>
      </c>
      <c r="K2395" s="62">
        <f t="shared" si="4790"/>
        <v>2783</v>
      </c>
      <c r="L2395" s="62">
        <f t="shared" si="4790"/>
        <v>2786</v>
      </c>
      <c r="M2395" s="62">
        <f t="shared" si="4790"/>
        <v>2686</v>
      </c>
      <c r="N2395" s="62">
        <f t="shared" si="4790"/>
        <v>2483</v>
      </c>
      <c r="O2395" s="62">
        <f t="shared" si="4790"/>
        <v>1</v>
      </c>
      <c r="P2395" s="62" t="str">
        <f t="shared" si="4790"/>
        <v/>
      </c>
      <c r="Q2395" s="62" t="str">
        <f t="shared" si="4790"/>
        <v/>
      </c>
      <c r="R2395" s="62">
        <f t="shared" si="7"/>
        <v>-2482</v>
      </c>
      <c r="S2395" s="62"/>
      <c r="T2395" s="62"/>
      <c r="U2395" s="62"/>
      <c r="V2395" s="62"/>
      <c r="W2395" s="62"/>
      <c r="X2395" s="62"/>
      <c r="Y2395" s="62"/>
      <c r="Z2395" s="62"/>
      <c r="AA2395" s="62"/>
      <c r="AB2395" s="62"/>
      <c r="AC2395" s="62"/>
    </row>
    <row r="2396">
      <c r="A2396" s="60">
        <f>IFERROR(__xludf.DUMMYFUNCTION("""COMPUTED_VALUE"""),17506.0)</f>
        <v>17506</v>
      </c>
      <c r="B2396" s="60" t="str">
        <f>IFERROR(__xludf.DUMMYFUNCTION("""COMPUTED_VALUE"""),"Bell, Chris")</f>
        <v>Bell, Chris</v>
      </c>
      <c r="C2396" s="60" t="str">
        <f>IFERROR(__xludf.DUMMYFUNCTION("""COMPUTED_VALUE"""),"WR")</f>
        <v>WR</v>
      </c>
      <c r="D2396" s="60" t="str">
        <f>IFERROR(__xludf.DUMMYFUNCTION("""COMPUTED_VALUE"""),"MIA")</f>
        <v>MIA</v>
      </c>
      <c r="E2396" s="62" t="str">
        <f t="shared" si="4"/>
        <v>Chris Bell</v>
      </c>
      <c r="F2396" s="62">
        <f t="shared" ref="F2396:G2396" si="4791">IF(isblank(F$1),,IF(isblank($A2396),,IFERROR(vlookup($A2396,indirect("'TVC-"&amp;text(month(F$1),"00")&amp;"'!$A:$D"),4,false),1)))</f>
        <v>1</v>
      </c>
      <c r="G2396" s="62">
        <f t="shared" si="4791"/>
        <v>2398</v>
      </c>
      <c r="H2396" s="62">
        <f t="shared" ref="H2396:Q2396" si="4792">IF(isblank(H$1),,IFERROR(vlookup($A2396,indirect("'TVC-"&amp;text(month(H$1),"00")&amp;"'!$A:$D"),4,false),1))</f>
        <v>2209</v>
      </c>
      <c r="I2396" s="62">
        <f t="shared" si="4792"/>
        <v>1961</v>
      </c>
      <c r="J2396" s="62">
        <f t="shared" si="4792"/>
        <v>2875</v>
      </c>
      <c r="K2396" s="62">
        <f t="shared" si="4792"/>
        <v>2999</v>
      </c>
      <c r="L2396" s="62">
        <f t="shared" si="4792"/>
        <v>3059</v>
      </c>
      <c r="M2396" s="62">
        <f t="shared" si="4792"/>
        <v>3019</v>
      </c>
      <c r="N2396" s="62">
        <f t="shared" si="4792"/>
        <v>3033</v>
      </c>
      <c r="O2396" s="62">
        <f t="shared" si="4792"/>
        <v>1</v>
      </c>
      <c r="P2396" s="62" t="str">
        <f t="shared" si="4792"/>
        <v/>
      </c>
      <c r="Q2396" s="62" t="str">
        <f t="shared" si="4792"/>
        <v/>
      </c>
      <c r="R2396" s="62">
        <f t="shared" si="7"/>
        <v>-3032</v>
      </c>
      <c r="S2396" s="62"/>
      <c r="T2396" s="62"/>
      <c r="U2396" s="62"/>
      <c r="V2396" s="62"/>
      <c r="W2396" s="62"/>
      <c r="X2396" s="62"/>
      <c r="Y2396" s="62"/>
      <c r="Z2396" s="62"/>
      <c r="AA2396" s="62"/>
      <c r="AB2396" s="62"/>
      <c r="AC2396" s="62"/>
    </row>
    <row r="2397">
      <c r="A2397" s="60">
        <f>IFERROR(__xludf.DUMMYFUNCTION("""COMPUTED_VALUE"""),17507.0)</f>
        <v>17507</v>
      </c>
      <c r="B2397" s="60" t="str">
        <f>IFERROR(__xludf.DUMMYFUNCTION("""COMPUTED_VALUE"""),"Branch, Zachariah")</f>
        <v>Branch, Zachariah</v>
      </c>
      <c r="C2397" s="60" t="str">
        <f>IFERROR(__xludf.DUMMYFUNCTION("""COMPUTED_VALUE"""),"WR")</f>
        <v>WR</v>
      </c>
      <c r="D2397" s="60" t="str">
        <f>IFERROR(__xludf.DUMMYFUNCTION("""COMPUTED_VALUE"""),"ATL")</f>
        <v>ATL</v>
      </c>
      <c r="E2397" s="62" t="str">
        <f t="shared" si="4"/>
        <v>Zachariah Branch</v>
      </c>
      <c r="F2397" s="62">
        <f t="shared" ref="F2397:G2397" si="4793">IF(isblank(F$1),,IF(isblank($A2397),,IFERROR(vlookup($A2397,indirect("'TVC-"&amp;text(month(F$1),"00")&amp;"'!$A:$D"),4,false),1)))</f>
        <v>1</v>
      </c>
      <c r="G2397" s="62">
        <f t="shared" si="4793"/>
        <v>2661</v>
      </c>
      <c r="H2397" s="62">
        <f t="shared" ref="H2397:Q2397" si="4794">IF(isblank(H$1),,IFERROR(vlookup($A2397,indirect("'TVC-"&amp;text(month(H$1),"00")&amp;"'!$A:$D"),4,false),1))</f>
        <v>2400</v>
      </c>
      <c r="I2397" s="62">
        <f t="shared" si="4794"/>
        <v>2122</v>
      </c>
      <c r="J2397" s="62">
        <f t="shared" si="4794"/>
        <v>2448</v>
      </c>
      <c r="K2397" s="62">
        <f t="shared" si="4794"/>
        <v>2695</v>
      </c>
      <c r="L2397" s="62">
        <f t="shared" si="4794"/>
        <v>2703</v>
      </c>
      <c r="M2397" s="62">
        <f t="shared" si="4794"/>
        <v>2684</v>
      </c>
      <c r="N2397" s="62">
        <f t="shared" si="4794"/>
        <v>2728</v>
      </c>
      <c r="O2397" s="62">
        <f t="shared" si="4794"/>
        <v>1</v>
      </c>
      <c r="P2397" s="62" t="str">
        <f t="shared" si="4794"/>
        <v/>
      </c>
      <c r="Q2397" s="62" t="str">
        <f t="shared" si="4794"/>
        <v/>
      </c>
      <c r="R2397" s="62">
        <f t="shared" si="7"/>
        <v>-2727</v>
      </c>
      <c r="S2397" s="62"/>
      <c r="T2397" s="62"/>
      <c r="U2397" s="62"/>
      <c r="V2397" s="62"/>
      <c r="W2397" s="62"/>
      <c r="X2397" s="62"/>
      <c r="Y2397" s="62"/>
      <c r="Z2397" s="62"/>
      <c r="AA2397" s="62"/>
      <c r="AB2397" s="62"/>
      <c r="AC2397" s="62"/>
    </row>
    <row r="2398" hidden="1">
      <c r="A2398" s="60">
        <f>IFERROR(__xludf.DUMMYFUNCTION("""COMPUTED_VALUE"""),17508.0)</f>
        <v>17508</v>
      </c>
      <c r="B2398" s="60" t="str">
        <f>IFERROR(__xludf.DUMMYFUNCTION("""COMPUTED_VALUE"""),"Bell, Skyler")</f>
        <v>Bell, Skyler</v>
      </c>
      <c r="C2398" s="60" t="str">
        <f>IFERROR(__xludf.DUMMYFUNCTION("""COMPUTED_VALUE"""),"WR")</f>
        <v>WR</v>
      </c>
      <c r="D2398" s="60" t="str">
        <f>IFERROR(__xludf.DUMMYFUNCTION("""COMPUTED_VALUE"""),"BUF")</f>
        <v>BUF</v>
      </c>
      <c r="E2398" s="62" t="str">
        <f t="shared" si="4"/>
        <v>Skyler Bell</v>
      </c>
      <c r="F2398" s="62">
        <f t="shared" ref="F2398:G2398" si="4795">IF(isblank(F$1),,IF(isblank($A2398),,IFERROR(vlookup($A2398,indirect("'TVC-"&amp;text(month(F$1),"00")&amp;"'!$A:$D"),4,false),1)))</f>
        <v>1</v>
      </c>
      <c r="G2398" s="62">
        <f t="shared" si="4795"/>
        <v>1961</v>
      </c>
      <c r="H2398" s="62">
        <f t="shared" ref="H2398:Q2398" si="4796">IF(isblank(H$1),,IFERROR(vlookup($A2398,indirect("'TVC-"&amp;text(month(H$1),"00")&amp;"'!$A:$D"),4,false),1))</f>
        <v>1861</v>
      </c>
      <c r="I2398" s="62">
        <f t="shared" si="4796"/>
        <v>1416</v>
      </c>
      <c r="J2398" s="62">
        <f t="shared" si="4796"/>
        <v>2266</v>
      </c>
      <c r="K2398" s="62">
        <f t="shared" si="4796"/>
        <v>2506</v>
      </c>
      <c r="L2398" s="62">
        <f t="shared" si="4796"/>
        <v>2445</v>
      </c>
      <c r="M2398" s="62">
        <f t="shared" si="4796"/>
        <v>2428</v>
      </c>
      <c r="N2398" s="62">
        <f t="shared" si="4796"/>
        <v>2374</v>
      </c>
      <c r="O2398" s="62">
        <f t="shared" si="4796"/>
        <v>1</v>
      </c>
      <c r="P2398" s="62" t="str">
        <f t="shared" si="4796"/>
        <v/>
      </c>
      <c r="Q2398" s="62" t="str">
        <f t="shared" si="4796"/>
        <v/>
      </c>
      <c r="R2398" s="62">
        <f t="shared" si="7"/>
        <v>-2373</v>
      </c>
      <c r="S2398" s="62"/>
      <c r="T2398" s="62"/>
      <c r="U2398" s="62"/>
      <c r="V2398" s="62"/>
      <c r="W2398" s="62"/>
      <c r="X2398" s="62"/>
      <c r="Y2398" s="62"/>
      <c r="Z2398" s="62"/>
      <c r="AA2398" s="62"/>
      <c r="AB2398" s="62"/>
      <c r="AC2398" s="62"/>
    </row>
    <row r="2399" hidden="1">
      <c r="A2399" s="60">
        <f>IFERROR(__xludf.DUMMYFUNCTION("""COMPUTED_VALUE"""),17509.0)</f>
        <v>17509</v>
      </c>
      <c r="B2399" s="60" t="str">
        <f>IFERROR(__xludf.DUMMYFUNCTION("""COMPUTED_VALUE"""),"Brazzell II, Chris")</f>
        <v>Brazzell II, Chris</v>
      </c>
      <c r="C2399" s="60" t="str">
        <f>IFERROR(__xludf.DUMMYFUNCTION("""COMPUTED_VALUE"""),"WR")</f>
        <v>WR</v>
      </c>
      <c r="D2399" s="60" t="str">
        <f>IFERROR(__xludf.DUMMYFUNCTION("""COMPUTED_VALUE"""),"CAR")</f>
        <v>CAR</v>
      </c>
      <c r="E2399" s="62" t="str">
        <f t="shared" si="4"/>
        <v>Chris Brazzell II</v>
      </c>
      <c r="F2399" s="62">
        <f t="shared" ref="F2399:G2399" si="4797">IF(isblank(F$1),,IF(isblank($A2399),,IFERROR(vlookup($A2399,indirect("'TVC-"&amp;text(month(F$1),"00")&amp;"'!$A:$D"),4,false),1)))</f>
        <v>1</v>
      </c>
      <c r="G2399" s="62">
        <f t="shared" si="4797"/>
        <v>2482</v>
      </c>
      <c r="H2399" s="62">
        <f t="shared" ref="H2399:Q2399" si="4798">IF(isblank(H$1),,IFERROR(vlookup($A2399,indirect("'TVC-"&amp;text(month(H$1),"00")&amp;"'!$A:$D"),4,false),1))</f>
        <v>2209</v>
      </c>
      <c r="I2399" s="62">
        <f t="shared" si="4798"/>
        <v>2124</v>
      </c>
      <c r="J2399" s="62">
        <f t="shared" si="4798"/>
        <v>2599</v>
      </c>
      <c r="K2399" s="62">
        <f t="shared" si="4798"/>
        <v>2609</v>
      </c>
      <c r="L2399" s="62">
        <f t="shared" si="4798"/>
        <v>2483</v>
      </c>
      <c r="M2399" s="62">
        <f t="shared" si="4798"/>
        <v>2413</v>
      </c>
      <c r="N2399" s="62">
        <f t="shared" si="4798"/>
        <v>2251</v>
      </c>
      <c r="O2399" s="62">
        <f t="shared" si="4798"/>
        <v>1</v>
      </c>
      <c r="P2399" s="62" t="str">
        <f t="shared" si="4798"/>
        <v/>
      </c>
      <c r="Q2399" s="62" t="str">
        <f t="shared" si="4798"/>
        <v/>
      </c>
      <c r="R2399" s="62">
        <f t="shared" si="7"/>
        <v>-2250</v>
      </c>
      <c r="S2399" s="62"/>
      <c r="T2399" s="62"/>
      <c r="U2399" s="62"/>
      <c r="V2399" s="62"/>
      <c r="W2399" s="62"/>
      <c r="X2399" s="62"/>
      <c r="Y2399" s="62"/>
      <c r="Z2399" s="62"/>
      <c r="AA2399" s="62"/>
      <c r="AB2399" s="62"/>
      <c r="AC2399" s="62"/>
    </row>
    <row r="2400" hidden="1">
      <c r="A2400" s="60">
        <f>IFERROR(__xludf.DUMMYFUNCTION("""COMPUTED_VALUE"""),17510.0)</f>
        <v>17510</v>
      </c>
      <c r="B2400" s="60" t="str">
        <f>IFERROR(__xludf.DUMMYFUNCTION("""COMPUTED_VALUE"""),"Burks, Deion")</f>
        <v>Burks, Deion</v>
      </c>
      <c r="C2400" s="60" t="str">
        <f>IFERROR(__xludf.DUMMYFUNCTION("""COMPUTED_VALUE"""),"WR")</f>
        <v>WR</v>
      </c>
      <c r="D2400" s="60" t="str">
        <f>IFERROR(__xludf.DUMMYFUNCTION("""COMPUTED_VALUE"""),"IND")</f>
        <v>IND</v>
      </c>
      <c r="E2400" s="62" t="str">
        <f t="shared" si="4"/>
        <v>Deion Burks</v>
      </c>
      <c r="F2400" s="62">
        <f t="shared" ref="F2400:G2400" si="4799">IF(isblank(F$1),,IF(isblank($A2400),,IFERROR(vlookup($A2400,indirect("'TVC-"&amp;text(month(F$1),"00")&amp;"'!$A:$D"),4,false),1)))</f>
        <v>1</v>
      </c>
      <c r="G2400" s="62">
        <f t="shared" si="4799"/>
        <v>1428</v>
      </c>
      <c r="H2400" s="62">
        <f t="shared" ref="H2400:Q2400" si="4800">IF(isblank(H$1),,IFERROR(vlookup($A2400,indirect("'TVC-"&amp;text(month(H$1),"00")&amp;"'!$A:$D"),4,false),1))</f>
        <v>1374</v>
      </c>
      <c r="I2400" s="62">
        <f t="shared" si="4800"/>
        <v>963</v>
      </c>
      <c r="J2400" s="62">
        <f t="shared" si="4800"/>
        <v>906</v>
      </c>
      <c r="K2400" s="62">
        <f t="shared" si="4800"/>
        <v>1112</v>
      </c>
      <c r="L2400" s="62">
        <f t="shared" si="4800"/>
        <v>1157</v>
      </c>
      <c r="M2400" s="62">
        <f t="shared" si="4800"/>
        <v>1245</v>
      </c>
      <c r="N2400" s="62">
        <f t="shared" si="4800"/>
        <v>1395</v>
      </c>
      <c r="O2400" s="62">
        <f t="shared" si="4800"/>
        <v>1</v>
      </c>
      <c r="P2400" s="62" t="str">
        <f t="shared" si="4800"/>
        <v/>
      </c>
      <c r="Q2400" s="62" t="str">
        <f t="shared" si="4800"/>
        <v/>
      </c>
      <c r="R2400" s="62">
        <f t="shared" si="7"/>
        <v>-1394</v>
      </c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</row>
    <row r="2401" hidden="1">
      <c r="A2401" s="60">
        <f>IFERROR(__xludf.DUMMYFUNCTION("""COMPUTED_VALUE"""),17511.0)</f>
        <v>17511</v>
      </c>
      <c r="B2401" s="60" t="str">
        <f>IFERROR(__xludf.DUMMYFUNCTION("""COMPUTED_VALUE"""),"Fields, Malachi")</f>
        <v>Fields, Malachi</v>
      </c>
      <c r="C2401" s="60" t="str">
        <f>IFERROR(__xludf.DUMMYFUNCTION("""COMPUTED_VALUE"""),"WR")</f>
        <v>WR</v>
      </c>
      <c r="D2401" s="60" t="str">
        <f>IFERROR(__xludf.DUMMYFUNCTION("""COMPUTED_VALUE"""),"NYG")</f>
        <v>NYG</v>
      </c>
      <c r="E2401" s="62" t="str">
        <f t="shared" si="4"/>
        <v>Malachi Fields</v>
      </c>
      <c r="F2401" s="62">
        <f t="shared" ref="F2401:G2401" si="4801">IF(isblank(F$1),,IF(isblank($A2401),,IFERROR(vlookup($A2401,indirect("'TVC-"&amp;text(month(F$1),"00")&amp;"'!$A:$D"),4,false),1)))</f>
        <v>1</v>
      </c>
      <c r="G2401" s="62">
        <f t="shared" si="4801"/>
        <v>2819</v>
      </c>
      <c r="H2401" s="62">
        <f t="shared" ref="H2401:Q2401" si="4802">IF(isblank(H$1),,IFERROR(vlookup($A2401,indirect("'TVC-"&amp;text(month(H$1),"00")&amp;"'!$A:$D"),4,false),1))</f>
        <v>2376</v>
      </c>
      <c r="I2401" s="62">
        <f t="shared" si="4802"/>
        <v>1890</v>
      </c>
      <c r="J2401" s="62">
        <f t="shared" si="4802"/>
        <v>2468</v>
      </c>
      <c r="K2401" s="62">
        <f t="shared" si="4802"/>
        <v>2690</v>
      </c>
      <c r="L2401" s="62">
        <f t="shared" si="4802"/>
        <v>2718</v>
      </c>
      <c r="M2401" s="62">
        <f t="shared" si="4802"/>
        <v>2601</v>
      </c>
      <c r="N2401" s="62">
        <f t="shared" si="4802"/>
        <v>2831</v>
      </c>
      <c r="O2401" s="62">
        <f t="shared" si="4802"/>
        <v>1</v>
      </c>
      <c r="P2401" s="62" t="str">
        <f t="shared" si="4802"/>
        <v/>
      </c>
      <c r="Q2401" s="62" t="str">
        <f t="shared" si="4802"/>
        <v/>
      </c>
      <c r="R2401" s="62">
        <f t="shared" si="7"/>
        <v>-2830</v>
      </c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</row>
    <row r="2402" hidden="1">
      <c r="A2402" s="60">
        <f>IFERROR(__xludf.DUMMYFUNCTION("""COMPUTED_VALUE"""),17512.0)</f>
        <v>17512</v>
      </c>
      <c r="B2402" s="60" t="str">
        <f>IFERROR(__xludf.DUMMYFUNCTION("""COMPUTED_VALUE"""),"Williams, Antonio")</f>
        <v>Williams, Antonio</v>
      </c>
      <c r="C2402" s="60" t="str">
        <f>IFERROR(__xludf.DUMMYFUNCTION("""COMPUTED_VALUE"""),"WR")</f>
        <v>WR</v>
      </c>
      <c r="D2402" s="60" t="str">
        <f>IFERROR(__xludf.DUMMYFUNCTION("""COMPUTED_VALUE"""),"WAS")</f>
        <v>WAS</v>
      </c>
      <c r="E2402" s="62" t="str">
        <f t="shared" si="4"/>
        <v>Antonio Williams</v>
      </c>
      <c r="F2402" s="62">
        <f t="shared" ref="F2402:G2402" si="4803">IF(isblank(F$1),,IF(isblank($A2402),,IFERROR(vlookup($A2402,indirect("'TVC-"&amp;text(month(F$1),"00")&amp;"'!$A:$D"),4,false),1)))</f>
        <v>1</v>
      </c>
      <c r="G2402" s="62">
        <f t="shared" si="4803"/>
        <v>2023</v>
      </c>
      <c r="H2402" s="62">
        <f t="shared" ref="H2402:Q2402" si="4804">IF(isblank(H$1),,IFERROR(vlookup($A2402,indirect("'TVC-"&amp;text(month(H$1),"00")&amp;"'!$A:$D"),4,false),1))</f>
        <v>1902</v>
      </c>
      <c r="I2402" s="62">
        <f t="shared" si="4804"/>
        <v>1319</v>
      </c>
      <c r="J2402" s="62">
        <f t="shared" si="4804"/>
        <v>2241</v>
      </c>
      <c r="K2402" s="62">
        <f t="shared" si="4804"/>
        <v>2966</v>
      </c>
      <c r="L2402" s="62">
        <f t="shared" si="4804"/>
        <v>3038</v>
      </c>
      <c r="M2402" s="62">
        <f t="shared" si="4804"/>
        <v>3028</v>
      </c>
      <c r="N2402" s="62">
        <f t="shared" si="4804"/>
        <v>2871</v>
      </c>
      <c r="O2402" s="62">
        <f t="shared" si="4804"/>
        <v>1</v>
      </c>
      <c r="P2402" s="62" t="str">
        <f t="shared" si="4804"/>
        <v/>
      </c>
      <c r="Q2402" s="62" t="str">
        <f t="shared" si="4804"/>
        <v/>
      </c>
      <c r="R2402" s="62">
        <f t="shared" si="7"/>
        <v>-2870</v>
      </c>
      <c r="S2402" s="62"/>
      <c r="T2402" s="62"/>
      <c r="U2402" s="62"/>
      <c r="V2402" s="62"/>
      <c r="W2402" s="62"/>
      <c r="X2402" s="62"/>
      <c r="Y2402" s="62"/>
      <c r="Z2402" s="62"/>
      <c r="AA2402" s="62"/>
      <c r="AB2402" s="62"/>
      <c r="AC2402" s="62"/>
    </row>
    <row r="2403" hidden="1">
      <c r="A2403" s="60">
        <f>IFERROR(__xludf.DUMMYFUNCTION("""COMPUTED_VALUE"""),17513.0)</f>
        <v>17513</v>
      </c>
      <c r="B2403" s="60" t="str">
        <f>IFERROR(__xludf.DUMMYFUNCTION("""COMPUTED_VALUE"""),"McAlister, Eric")</f>
        <v>McAlister, Eric</v>
      </c>
      <c r="C2403" s="60" t="str">
        <f>IFERROR(__xludf.DUMMYFUNCTION("""COMPUTED_VALUE"""),"WR")</f>
        <v>WR</v>
      </c>
      <c r="D2403" s="60" t="str">
        <f>IFERROR(__xludf.DUMMYFUNCTION("""COMPUTED_VALUE"""),"FA")</f>
        <v>FA</v>
      </c>
      <c r="E2403" s="62" t="str">
        <f t="shared" si="4"/>
        <v>Eric McAlister</v>
      </c>
      <c r="F2403" s="62">
        <f t="shared" ref="F2403:G2403" si="4805">IF(isblank(F$1),,IF(isblank($A2403),,IFERROR(vlookup($A2403,indirect("'TVC-"&amp;text(month(F$1),"00")&amp;"'!$A:$D"),4,false),1)))</f>
        <v>1</v>
      </c>
      <c r="G2403" s="62">
        <f t="shared" si="4805"/>
        <v>1</v>
      </c>
      <c r="H2403" s="62">
        <f t="shared" ref="H2403:Q2403" si="4806">IF(isblank(H$1),,IFERROR(vlookup($A2403,indirect("'TVC-"&amp;text(month(H$1),"00")&amp;"'!$A:$D"),4,false),1))</f>
        <v>1</v>
      </c>
      <c r="I2403" s="62">
        <f t="shared" si="4806"/>
        <v>1</v>
      </c>
      <c r="J2403" s="62">
        <f t="shared" si="4806"/>
        <v>1</v>
      </c>
      <c r="K2403" s="62">
        <f t="shared" si="4806"/>
        <v>1</v>
      </c>
      <c r="L2403" s="62">
        <f t="shared" si="4806"/>
        <v>1</v>
      </c>
      <c r="M2403" s="62">
        <f t="shared" si="4806"/>
        <v>1</v>
      </c>
      <c r="N2403" s="62">
        <f t="shared" si="4806"/>
        <v>1</v>
      </c>
      <c r="O2403" s="62">
        <f t="shared" si="4806"/>
        <v>1</v>
      </c>
      <c r="P2403" s="62" t="str">
        <f t="shared" si="4806"/>
        <v/>
      </c>
      <c r="Q2403" s="62" t="str">
        <f t="shared" si="4806"/>
        <v/>
      </c>
      <c r="R2403" s="62">
        <f t="shared" si="7"/>
        <v>0</v>
      </c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</row>
    <row r="2404" hidden="1">
      <c r="A2404" s="60">
        <f>IFERROR(__xludf.DUMMYFUNCTION("""COMPUTED_VALUE"""),17514.0)</f>
        <v>17514</v>
      </c>
      <c r="B2404" s="60" t="str">
        <f>IFERROR(__xludf.DUMMYFUNCTION("""COMPUTED_VALUE"""),"Stribling, De'Zhaun")</f>
        <v>Stribling, De'Zhaun</v>
      </c>
      <c r="C2404" s="60" t="str">
        <f>IFERROR(__xludf.DUMMYFUNCTION("""COMPUTED_VALUE"""),"WR")</f>
        <v>WR</v>
      </c>
      <c r="D2404" s="60" t="str">
        <f>IFERROR(__xludf.DUMMYFUNCTION("""COMPUTED_VALUE"""),"SFO")</f>
        <v>SFO</v>
      </c>
      <c r="E2404" s="62" t="str">
        <f t="shared" si="4"/>
        <v>De'Zhaun Stribling</v>
      </c>
      <c r="F2404" s="62">
        <f t="shared" ref="F2404:G2404" si="4807">IF(isblank(F$1),,IF(isblank($A2404),,IFERROR(vlookup($A2404,indirect("'TVC-"&amp;text(month(F$1),"00")&amp;"'!$A:$D"),4,false),1)))</f>
        <v>1</v>
      </c>
      <c r="G2404" s="62">
        <f t="shared" si="4807"/>
        <v>1</v>
      </c>
      <c r="H2404" s="62">
        <f t="shared" ref="H2404:Q2404" si="4808">IF(isblank(H$1),,IFERROR(vlookup($A2404,indirect("'TVC-"&amp;text(month(H$1),"00")&amp;"'!$A:$D"),4,false),1))</f>
        <v>1</v>
      </c>
      <c r="I2404" s="62">
        <f t="shared" si="4808"/>
        <v>1</v>
      </c>
      <c r="J2404" s="62">
        <f t="shared" si="4808"/>
        <v>1347</v>
      </c>
      <c r="K2404" s="62">
        <f t="shared" si="4808"/>
        <v>2405</v>
      </c>
      <c r="L2404" s="62">
        <f t="shared" si="4808"/>
        <v>2725</v>
      </c>
      <c r="M2404" s="62">
        <f t="shared" si="4808"/>
        <v>3075</v>
      </c>
      <c r="N2404" s="62">
        <f t="shared" si="4808"/>
        <v>3918</v>
      </c>
      <c r="O2404" s="62">
        <f t="shared" si="4808"/>
        <v>1</v>
      </c>
      <c r="P2404" s="62" t="str">
        <f t="shared" si="4808"/>
        <v/>
      </c>
      <c r="Q2404" s="62" t="str">
        <f t="shared" si="4808"/>
        <v/>
      </c>
      <c r="R2404" s="62">
        <f t="shared" si="7"/>
        <v>-3917</v>
      </c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</row>
    <row r="2405" hidden="1">
      <c r="A2405" s="60">
        <f>IFERROR(__xludf.DUMMYFUNCTION("""COMPUTED_VALUE"""),17515.0)</f>
        <v>17515</v>
      </c>
      <c r="B2405" s="60" t="str">
        <f>IFERROR(__xludf.DUMMYFUNCTION("""COMPUTED_VALUE"""),"Rivers, Eric")</f>
        <v>Rivers, Eric</v>
      </c>
      <c r="C2405" s="60" t="str">
        <f>IFERROR(__xludf.DUMMYFUNCTION("""COMPUTED_VALUE"""),"WR")</f>
        <v>WR</v>
      </c>
      <c r="D2405" s="60" t="str">
        <f>IFERROR(__xludf.DUMMYFUNCTION("""COMPUTED_VALUE"""),"TBB")</f>
        <v>TBB</v>
      </c>
      <c r="E2405" s="62" t="str">
        <f t="shared" si="4"/>
        <v>Eric Rivers</v>
      </c>
      <c r="F2405" s="62">
        <f t="shared" ref="F2405:G2405" si="4809">IF(isblank(F$1),,IF(isblank($A2405),,IFERROR(vlookup($A2405,indirect("'TVC-"&amp;text(month(F$1),"00")&amp;"'!$A:$D"),4,false),1)))</f>
        <v>1</v>
      </c>
      <c r="G2405" s="62">
        <f t="shared" si="4809"/>
        <v>1</v>
      </c>
      <c r="H2405" s="62">
        <f t="shared" ref="H2405:Q2405" si="4810">IF(isblank(H$1),,IFERROR(vlookup($A2405,indirect("'TVC-"&amp;text(month(H$1),"00")&amp;"'!$A:$D"),4,false),1))</f>
        <v>1</v>
      </c>
      <c r="I2405" s="62">
        <f t="shared" si="4810"/>
        <v>1</v>
      </c>
      <c r="J2405" s="62">
        <f t="shared" si="4810"/>
        <v>1</v>
      </c>
      <c r="K2405" s="62">
        <f t="shared" si="4810"/>
        <v>1</v>
      </c>
      <c r="L2405" s="62">
        <f t="shared" si="4810"/>
        <v>1</v>
      </c>
      <c r="M2405" s="62">
        <f t="shared" si="4810"/>
        <v>1</v>
      </c>
      <c r="N2405" s="62">
        <f t="shared" si="4810"/>
        <v>1</v>
      </c>
      <c r="O2405" s="62">
        <f t="shared" si="4810"/>
        <v>1</v>
      </c>
      <c r="P2405" s="62" t="str">
        <f t="shared" si="4810"/>
        <v/>
      </c>
      <c r="Q2405" s="62" t="str">
        <f t="shared" si="4810"/>
        <v/>
      </c>
      <c r="R2405" s="62">
        <f t="shared" si="7"/>
        <v>0</v>
      </c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</row>
    <row r="2406" hidden="1">
      <c r="A2406" s="60">
        <f>IFERROR(__xludf.DUMMYFUNCTION("""COMPUTED_VALUE"""),17516.0)</f>
        <v>17516</v>
      </c>
      <c r="B2406" s="60" t="str">
        <f>IFERROR(__xludf.DUMMYFUNCTION("""COMPUTED_VALUE"""),"Anderson, Aaron")</f>
        <v>Anderson, Aaron</v>
      </c>
      <c r="C2406" s="60" t="str">
        <f>IFERROR(__xludf.DUMMYFUNCTION("""COMPUTED_VALUE"""),"WR")</f>
        <v>WR</v>
      </c>
      <c r="D2406" s="60" t="str">
        <f>IFERROR(__xludf.DUMMYFUNCTION("""COMPUTED_VALUE"""),"FA")</f>
        <v>FA</v>
      </c>
      <c r="E2406" s="62" t="str">
        <f t="shared" si="4"/>
        <v>Aaron Anderson</v>
      </c>
      <c r="F2406" s="62">
        <f t="shared" ref="F2406:G2406" si="4811">IF(isblank(F$1),,IF(isblank($A2406),,IFERROR(vlookup($A2406,indirect("'TVC-"&amp;text(month(F$1),"00")&amp;"'!$A:$D"),4,false),1)))</f>
        <v>1</v>
      </c>
      <c r="G2406" s="62">
        <f t="shared" si="4811"/>
        <v>1</v>
      </c>
      <c r="H2406" s="62">
        <f t="shared" ref="H2406:Q2406" si="4812">IF(isblank(H$1),,IFERROR(vlookup($A2406,indirect("'TVC-"&amp;text(month(H$1),"00")&amp;"'!$A:$D"),4,false),1))</f>
        <v>1</v>
      </c>
      <c r="I2406" s="62">
        <f t="shared" si="4812"/>
        <v>1</v>
      </c>
      <c r="J2406" s="62">
        <f t="shared" si="4812"/>
        <v>1</v>
      </c>
      <c r="K2406" s="62">
        <f t="shared" si="4812"/>
        <v>1</v>
      </c>
      <c r="L2406" s="62">
        <f t="shared" si="4812"/>
        <v>1</v>
      </c>
      <c r="M2406" s="62">
        <f t="shared" si="4812"/>
        <v>1</v>
      </c>
      <c r="N2406" s="62">
        <f t="shared" si="4812"/>
        <v>1</v>
      </c>
      <c r="O2406" s="62">
        <f t="shared" si="4812"/>
        <v>1</v>
      </c>
      <c r="P2406" s="62" t="str">
        <f t="shared" si="4812"/>
        <v/>
      </c>
      <c r="Q2406" s="62" t="str">
        <f t="shared" si="4812"/>
        <v/>
      </c>
      <c r="R2406" s="62">
        <f t="shared" si="7"/>
        <v>0</v>
      </c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</row>
    <row r="2407" hidden="1">
      <c r="A2407" s="60">
        <f>IFERROR(__xludf.DUMMYFUNCTION("""COMPUTED_VALUE"""),17517.0)</f>
        <v>17517</v>
      </c>
      <c r="B2407" s="60" t="str">
        <f>IFERROR(__xludf.DUMMYFUNCTION("""COMPUTED_VALUE"""),"Lane, Ja'Kobi")</f>
        <v>Lane, Ja'Kobi</v>
      </c>
      <c r="C2407" s="60" t="str">
        <f>IFERROR(__xludf.DUMMYFUNCTION("""COMPUTED_VALUE"""),"WR")</f>
        <v>WR</v>
      </c>
      <c r="D2407" s="60" t="str">
        <f>IFERROR(__xludf.DUMMYFUNCTION("""COMPUTED_VALUE"""),"BAL")</f>
        <v>BAL</v>
      </c>
      <c r="E2407" s="62" t="str">
        <f t="shared" si="4"/>
        <v>Ja'Kobi Lane</v>
      </c>
      <c r="F2407" s="62">
        <f t="shared" ref="F2407:G2407" si="4813">IF(isblank(F$1),,IF(isblank($A2407),,IFERROR(vlookup($A2407,indirect("'TVC-"&amp;text(month(F$1),"00")&amp;"'!$A:$D"),4,false),1)))</f>
        <v>1</v>
      </c>
      <c r="G2407" s="62">
        <f t="shared" si="4813"/>
        <v>2029</v>
      </c>
      <c r="H2407" s="62">
        <f t="shared" ref="H2407:Q2407" si="4814">IF(isblank(H$1),,IFERROR(vlookup($A2407,indirect("'TVC-"&amp;text(month(H$1),"00")&amp;"'!$A:$D"),4,false),1))</f>
        <v>1868</v>
      </c>
      <c r="I2407" s="62">
        <f t="shared" si="4814"/>
        <v>1748</v>
      </c>
      <c r="J2407" s="62">
        <f t="shared" si="4814"/>
        <v>2235</v>
      </c>
      <c r="K2407" s="62">
        <f t="shared" si="4814"/>
        <v>2385</v>
      </c>
      <c r="L2407" s="62">
        <f t="shared" si="4814"/>
        <v>2378</v>
      </c>
      <c r="M2407" s="62">
        <f t="shared" si="4814"/>
        <v>2445</v>
      </c>
      <c r="N2407" s="62">
        <f t="shared" si="4814"/>
        <v>3253</v>
      </c>
      <c r="O2407" s="62">
        <f t="shared" si="4814"/>
        <v>1</v>
      </c>
      <c r="P2407" s="62" t="str">
        <f t="shared" si="4814"/>
        <v/>
      </c>
      <c r="Q2407" s="62" t="str">
        <f t="shared" si="4814"/>
        <v/>
      </c>
      <c r="R2407" s="62">
        <f t="shared" si="7"/>
        <v>-3252</v>
      </c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</row>
    <row r="2408" hidden="1">
      <c r="A2408" s="60">
        <f>IFERROR(__xludf.DUMMYFUNCTION("""COMPUTED_VALUE"""),17518.0)</f>
        <v>17518</v>
      </c>
      <c r="B2408" s="60" t="str">
        <f>IFERROR(__xludf.DUMMYFUNCTION("""COMPUTED_VALUE"""),"Allen, Cyrus")</f>
        <v>Allen, Cyrus</v>
      </c>
      <c r="C2408" s="60" t="str">
        <f>IFERROR(__xludf.DUMMYFUNCTION("""COMPUTED_VALUE"""),"WR")</f>
        <v>WR</v>
      </c>
      <c r="D2408" s="60" t="str">
        <f>IFERROR(__xludf.DUMMYFUNCTION("""COMPUTED_VALUE"""),"KCC")</f>
        <v>KCC</v>
      </c>
      <c r="E2408" s="62" t="str">
        <f t="shared" si="4"/>
        <v>Cyrus Allen</v>
      </c>
      <c r="F2408" s="62">
        <f t="shared" ref="F2408:G2408" si="4815">IF(isblank(F$1),,IF(isblank($A2408),,IFERROR(vlookup($A2408,indirect("'TVC-"&amp;text(month(F$1),"00")&amp;"'!$A:$D"),4,false),1)))</f>
        <v>1</v>
      </c>
      <c r="G2408" s="62">
        <f t="shared" si="4815"/>
        <v>1</v>
      </c>
      <c r="H2408" s="62">
        <f t="shared" ref="H2408:Q2408" si="4816">IF(isblank(H$1),,IFERROR(vlookup($A2408,indirect("'TVC-"&amp;text(month(H$1),"00")&amp;"'!$A:$D"),4,false),1))</f>
        <v>1</v>
      </c>
      <c r="I2408" s="62">
        <f t="shared" si="4816"/>
        <v>1</v>
      </c>
      <c r="J2408" s="62">
        <f t="shared" si="4816"/>
        <v>1</v>
      </c>
      <c r="K2408" s="62">
        <f t="shared" si="4816"/>
        <v>729</v>
      </c>
      <c r="L2408" s="62">
        <f t="shared" si="4816"/>
        <v>922</v>
      </c>
      <c r="M2408" s="62">
        <f t="shared" si="4816"/>
        <v>1186</v>
      </c>
      <c r="N2408" s="62">
        <f t="shared" si="4816"/>
        <v>2888</v>
      </c>
      <c r="O2408" s="62">
        <f t="shared" si="4816"/>
        <v>1</v>
      </c>
      <c r="P2408" s="62" t="str">
        <f t="shared" si="4816"/>
        <v/>
      </c>
      <c r="Q2408" s="62" t="str">
        <f t="shared" si="4816"/>
        <v/>
      </c>
      <c r="R2408" s="62">
        <f t="shared" si="7"/>
        <v>-2887</v>
      </c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</row>
    <row r="2409" hidden="1">
      <c r="A2409" s="60">
        <f>IFERROR(__xludf.DUMMYFUNCTION("""COMPUTED_VALUE"""),17519.0)</f>
        <v>17519</v>
      </c>
      <c r="B2409" s="60" t="str">
        <f>IFERROR(__xludf.DUMMYFUNCTION("""COMPUTED_VALUE"""),"Lance, Bryce")</f>
        <v>Lance, Bryce</v>
      </c>
      <c r="C2409" s="60" t="str">
        <f>IFERROR(__xludf.DUMMYFUNCTION("""COMPUTED_VALUE"""),"WR")</f>
        <v>WR</v>
      </c>
      <c r="D2409" s="60" t="str">
        <f>IFERROR(__xludf.DUMMYFUNCTION("""COMPUTED_VALUE"""),"NOS")</f>
        <v>NOS</v>
      </c>
      <c r="E2409" s="62" t="str">
        <f t="shared" si="4"/>
        <v>Bryce Lance</v>
      </c>
      <c r="F2409" s="62">
        <f t="shared" ref="F2409:G2409" si="4817">IF(isblank(F$1),,IF(isblank($A2409),,IFERROR(vlookup($A2409,indirect("'TVC-"&amp;text(month(F$1),"00")&amp;"'!$A:$D"),4,false),1)))</f>
        <v>1</v>
      </c>
      <c r="G2409" s="62">
        <f t="shared" si="4817"/>
        <v>1</v>
      </c>
      <c r="H2409" s="62">
        <f t="shared" ref="H2409:Q2409" si="4818">IF(isblank(H$1),,IFERROR(vlookup($A2409,indirect("'TVC-"&amp;text(month(H$1),"00")&amp;"'!$A:$D"),4,false),1))</f>
        <v>1</v>
      </c>
      <c r="I2409" s="62">
        <f t="shared" si="4818"/>
        <v>1</v>
      </c>
      <c r="J2409" s="62">
        <f t="shared" si="4818"/>
        <v>806</v>
      </c>
      <c r="K2409" s="62">
        <f t="shared" si="4818"/>
        <v>1206</v>
      </c>
      <c r="L2409" s="62">
        <f t="shared" si="4818"/>
        <v>1417</v>
      </c>
      <c r="M2409" s="62">
        <f t="shared" si="4818"/>
        <v>1766</v>
      </c>
      <c r="N2409" s="62">
        <f t="shared" si="4818"/>
        <v>1935</v>
      </c>
      <c r="O2409" s="62">
        <f t="shared" si="4818"/>
        <v>1</v>
      </c>
      <c r="P2409" s="62" t="str">
        <f t="shared" si="4818"/>
        <v/>
      </c>
      <c r="Q2409" s="62" t="str">
        <f t="shared" si="4818"/>
        <v/>
      </c>
      <c r="R2409" s="62">
        <f t="shared" si="7"/>
        <v>-1934</v>
      </c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</row>
    <row r="2410" hidden="1">
      <c r="A2410" s="60">
        <f>IFERROR(__xludf.DUMMYFUNCTION("""COMPUTED_VALUE"""),17520.0)</f>
        <v>17520</v>
      </c>
      <c r="B2410" s="60" t="str">
        <f>IFERROR(__xludf.DUMMYFUNCTION("""COMPUTED_VALUE"""),"Hurst, Ted")</f>
        <v>Hurst, Ted</v>
      </c>
      <c r="C2410" s="60" t="str">
        <f>IFERROR(__xludf.DUMMYFUNCTION("""COMPUTED_VALUE"""),"WR")</f>
        <v>WR</v>
      </c>
      <c r="D2410" s="60" t="str">
        <f>IFERROR(__xludf.DUMMYFUNCTION("""COMPUTED_VALUE"""),"TBB")</f>
        <v>TBB</v>
      </c>
      <c r="E2410" s="62" t="str">
        <f t="shared" si="4"/>
        <v>Ted Hurst</v>
      </c>
      <c r="F2410" s="62">
        <f t="shared" ref="F2410:G2410" si="4819">IF(isblank(F$1),,IF(isblank($A2410),,IFERROR(vlookup($A2410,indirect("'TVC-"&amp;text(month(F$1),"00")&amp;"'!$A:$D"),4,false),1)))</f>
        <v>1</v>
      </c>
      <c r="G2410" s="62">
        <f t="shared" si="4819"/>
        <v>1830</v>
      </c>
      <c r="H2410" s="62">
        <f t="shared" ref="H2410:Q2410" si="4820">IF(isblank(H$1),,IFERROR(vlookup($A2410,indirect("'TVC-"&amp;text(month(H$1),"00")&amp;"'!$A:$D"),4,false),1))</f>
        <v>1671</v>
      </c>
      <c r="I2410" s="62">
        <f t="shared" si="4820"/>
        <v>1028</v>
      </c>
      <c r="J2410" s="62">
        <f t="shared" si="4820"/>
        <v>1739</v>
      </c>
      <c r="K2410" s="62">
        <f t="shared" si="4820"/>
        <v>2253</v>
      </c>
      <c r="L2410" s="62">
        <f t="shared" si="4820"/>
        <v>2526</v>
      </c>
      <c r="M2410" s="62">
        <f t="shared" si="4820"/>
        <v>2616</v>
      </c>
      <c r="N2410" s="62">
        <f t="shared" si="4820"/>
        <v>2532</v>
      </c>
      <c r="O2410" s="62">
        <f t="shared" si="4820"/>
        <v>1</v>
      </c>
      <c r="P2410" s="62" t="str">
        <f t="shared" si="4820"/>
        <v/>
      </c>
      <c r="Q2410" s="62" t="str">
        <f t="shared" si="4820"/>
        <v/>
      </c>
      <c r="R2410" s="62">
        <f t="shared" si="7"/>
        <v>-2531</v>
      </c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</row>
    <row r="2411" hidden="1">
      <c r="A2411" s="60">
        <f>IFERROR(__xludf.DUMMYFUNCTION("""COMPUTED_VALUE"""),17521.0)</f>
        <v>17521</v>
      </c>
      <c r="B2411" s="60" t="str">
        <f>IFERROR(__xludf.DUMMYFUNCTION("""COMPUTED_VALUE"""),"Thomas, Zavion")</f>
        <v>Thomas, Zavion</v>
      </c>
      <c r="C2411" s="60" t="str">
        <f>IFERROR(__xludf.DUMMYFUNCTION("""COMPUTED_VALUE"""),"WR")</f>
        <v>WR</v>
      </c>
      <c r="D2411" s="60" t="str">
        <f>IFERROR(__xludf.DUMMYFUNCTION("""COMPUTED_VALUE"""),"CHI")</f>
        <v>CHI</v>
      </c>
      <c r="E2411" s="62" t="str">
        <f t="shared" si="4"/>
        <v>Zavion Thomas</v>
      </c>
      <c r="F2411" s="62">
        <f t="shared" ref="F2411:G2411" si="4821">IF(isblank(F$1),,IF(isblank($A2411),,IFERROR(vlookup($A2411,indirect("'TVC-"&amp;text(month(F$1),"00")&amp;"'!$A:$D"),4,false),1)))</f>
        <v>1</v>
      </c>
      <c r="G2411" s="62">
        <f t="shared" si="4821"/>
        <v>1</v>
      </c>
      <c r="H2411" s="62">
        <f t="shared" ref="H2411:Q2411" si="4822">IF(isblank(H$1),,IFERROR(vlookup($A2411,indirect("'TVC-"&amp;text(month(H$1),"00")&amp;"'!$A:$D"),4,false),1))</f>
        <v>1</v>
      </c>
      <c r="I2411" s="62">
        <f t="shared" si="4822"/>
        <v>1</v>
      </c>
      <c r="J2411" s="62">
        <f t="shared" si="4822"/>
        <v>454</v>
      </c>
      <c r="K2411" s="62">
        <f t="shared" si="4822"/>
        <v>1278</v>
      </c>
      <c r="L2411" s="62">
        <f t="shared" si="4822"/>
        <v>1397</v>
      </c>
      <c r="M2411" s="62">
        <f t="shared" si="4822"/>
        <v>1642</v>
      </c>
      <c r="N2411" s="62">
        <f t="shared" si="4822"/>
        <v>2071</v>
      </c>
      <c r="O2411" s="62">
        <f t="shared" si="4822"/>
        <v>1</v>
      </c>
      <c r="P2411" s="62" t="str">
        <f t="shared" si="4822"/>
        <v/>
      </c>
      <c r="Q2411" s="62" t="str">
        <f t="shared" si="4822"/>
        <v/>
      </c>
      <c r="R2411" s="62">
        <f t="shared" si="7"/>
        <v>-2070</v>
      </c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</row>
    <row r="2412" hidden="1">
      <c r="A2412" s="60">
        <f>IFERROR(__xludf.DUMMYFUNCTION("""COMPUTED_VALUE"""),17522.0)</f>
        <v>17522</v>
      </c>
      <c r="B2412" s="60" t="str">
        <f>IFERROR(__xludf.DUMMYFUNCTION("""COMPUTED_VALUE"""),"Roberts, Chase")</f>
        <v>Roberts, Chase</v>
      </c>
      <c r="C2412" s="60" t="str">
        <f>IFERROR(__xludf.DUMMYFUNCTION("""COMPUTED_VALUE"""),"WR")</f>
        <v>WR</v>
      </c>
      <c r="D2412" s="60" t="str">
        <f>IFERROR(__xludf.DUMMYFUNCTION("""COMPUTED_VALUE"""),"FA")</f>
        <v>FA</v>
      </c>
      <c r="E2412" s="62" t="str">
        <f t="shared" si="4"/>
        <v>Chase Roberts</v>
      </c>
      <c r="F2412" s="62">
        <f t="shared" ref="F2412:G2412" si="4823">IF(isblank(F$1),,IF(isblank($A2412),,IFERROR(vlookup($A2412,indirect("'TVC-"&amp;text(month(F$1),"00")&amp;"'!$A:$D"),4,false),1)))</f>
        <v>1</v>
      </c>
      <c r="G2412" s="62">
        <f t="shared" si="4823"/>
        <v>1</v>
      </c>
      <c r="H2412" s="62">
        <f t="shared" ref="H2412:Q2412" si="4824">IF(isblank(H$1),,IFERROR(vlookup($A2412,indirect("'TVC-"&amp;text(month(H$1),"00")&amp;"'!$A:$D"),4,false),1))</f>
        <v>1</v>
      </c>
      <c r="I2412" s="62">
        <f t="shared" si="4824"/>
        <v>1</v>
      </c>
      <c r="J2412" s="62">
        <f t="shared" si="4824"/>
        <v>1</v>
      </c>
      <c r="K2412" s="62">
        <f t="shared" si="4824"/>
        <v>1</v>
      </c>
      <c r="L2412" s="62">
        <f t="shared" si="4824"/>
        <v>1</v>
      </c>
      <c r="M2412" s="62">
        <f t="shared" si="4824"/>
        <v>1</v>
      </c>
      <c r="N2412" s="62">
        <f t="shared" si="4824"/>
        <v>1</v>
      </c>
      <c r="O2412" s="62">
        <f t="shared" si="4824"/>
        <v>1</v>
      </c>
      <c r="P2412" s="62" t="str">
        <f t="shared" si="4824"/>
        <v/>
      </c>
      <c r="Q2412" s="62" t="str">
        <f t="shared" si="4824"/>
        <v/>
      </c>
      <c r="R2412" s="62">
        <f t="shared" si="7"/>
        <v>0</v>
      </c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</row>
    <row r="2413" hidden="1">
      <c r="A2413" s="60">
        <f>IFERROR(__xludf.DUMMYFUNCTION("""COMPUTED_VALUE"""),17523.0)</f>
        <v>17523</v>
      </c>
      <c r="B2413" s="60" t="str">
        <f>IFERROR(__xludf.DUMMYFUNCTION("""COMPUTED_VALUE"""),"Caldwell, Jeff")</f>
        <v>Caldwell, Jeff</v>
      </c>
      <c r="C2413" s="60" t="str">
        <f>IFERROR(__xludf.DUMMYFUNCTION("""COMPUTED_VALUE"""),"WR")</f>
        <v>WR</v>
      </c>
      <c r="D2413" s="60" t="str">
        <f>IFERROR(__xludf.DUMMYFUNCTION("""COMPUTED_VALUE"""),"KCC")</f>
        <v>KCC</v>
      </c>
      <c r="E2413" s="62" t="str">
        <f t="shared" si="4"/>
        <v>Jeff Caldwell</v>
      </c>
      <c r="F2413" s="62">
        <f t="shared" ref="F2413:G2413" si="4825">IF(isblank(F$1),,IF(isblank($A2413),,IFERROR(vlookup($A2413,indirect("'TVC-"&amp;text(month(F$1),"00")&amp;"'!$A:$D"),4,false),1)))</f>
        <v>1</v>
      </c>
      <c r="G2413" s="62">
        <f t="shared" si="4825"/>
        <v>1</v>
      </c>
      <c r="H2413" s="62">
        <f t="shared" ref="H2413:Q2413" si="4826">IF(isblank(H$1),,IFERROR(vlookup($A2413,indirect("'TVC-"&amp;text(month(H$1),"00")&amp;"'!$A:$D"),4,false),1))</f>
        <v>1</v>
      </c>
      <c r="I2413" s="62">
        <f t="shared" si="4826"/>
        <v>1</v>
      </c>
      <c r="J2413" s="62">
        <f t="shared" si="4826"/>
        <v>1</v>
      </c>
      <c r="K2413" s="62">
        <f t="shared" si="4826"/>
        <v>1</v>
      </c>
      <c r="L2413" s="62">
        <f t="shared" si="4826"/>
        <v>1</v>
      </c>
      <c r="M2413" s="62">
        <f t="shared" si="4826"/>
        <v>1</v>
      </c>
      <c r="N2413" s="62">
        <f t="shared" si="4826"/>
        <v>1</v>
      </c>
      <c r="O2413" s="62">
        <f t="shared" si="4826"/>
        <v>1</v>
      </c>
      <c r="P2413" s="62" t="str">
        <f t="shared" si="4826"/>
        <v/>
      </c>
      <c r="Q2413" s="62" t="str">
        <f t="shared" si="4826"/>
        <v/>
      </c>
      <c r="R2413" s="62">
        <f t="shared" si="7"/>
        <v>0</v>
      </c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</row>
    <row r="2414" hidden="1">
      <c r="A2414" s="60">
        <f>IFERROR(__xludf.DUMMYFUNCTION("""COMPUTED_VALUE"""),17524.0)</f>
        <v>17524</v>
      </c>
      <c r="B2414" s="60" t="str">
        <f>IFERROR(__xludf.DUMMYFUNCTION("""COMPUTED_VALUE"""),"Key, Dane")</f>
        <v>Key, Dane</v>
      </c>
      <c r="C2414" s="60" t="str">
        <f>IFERROR(__xludf.DUMMYFUNCTION("""COMPUTED_VALUE"""),"WR")</f>
        <v>WR</v>
      </c>
      <c r="D2414" s="60" t="str">
        <f>IFERROR(__xludf.DUMMYFUNCTION("""COMPUTED_VALUE"""),"DEN")</f>
        <v>DEN</v>
      </c>
      <c r="E2414" s="62" t="str">
        <f t="shared" si="4"/>
        <v>Dane Key</v>
      </c>
      <c r="F2414" s="62">
        <f t="shared" ref="F2414:G2414" si="4827">IF(isblank(F$1),,IF(isblank($A2414),,IFERROR(vlookup($A2414,indirect("'TVC-"&amp;text(month(F$1),"00")&amp;"'!$A:$D"),4,false),1)))</f>
        <v>1</v>
      </c>
      <c r="G2414" s="62">
        <f t="shared" si="4827"/>
        <v>1</v>
      </c>
      <c r="H2414" s="62">
        <f t="shared" ref="H2414:Q2414" si="4828">IF(isblank(H$1),,IFERROR(vlookup($A2414,indirect("'TVC-"&amp;text(month(H$1),"00")&amp;"'!$A:$D"),4,false),1))</f>
        <v>1</v>
      </c>
      <c r="I2414" s="62">
        <f t="shared" si="4828"/>
        <v>1</v>
      </c>
      <c r="J2414" s="62">
        <f t="shared" si="4828"/>
        <v>1</v>
      </c>
      <c r="K2414" s="62">
        <f t="shared" si="4828"/>
        <v>1</v>
      </c>
      <c r="L2414" s="62">
        <f t="shared" si="4828"/>
        <v>1</v>
      </c>
      <c r="M2414" s="62">
        <f t="shared" si="4828"/>
        <v>1</v>
      </c>
      <c r="N2414" s="62">
        <f t="shared" si="4828"/>
        <v>1</v>
      </c>
      <c r="O2414" s="62">
        <f t="shared" si="4828"/>
        <v>1</v>
      </c>
      <c r="P2414" s="62" t="str">
        <f t="shared" si="4828"/>
        <v/>
      </c>
      <c r="Q2414" s="62" t="str">
        <f t="shared" si="4828"/>
        <v/>
      </c>
      <c r="R2414" s="62">
        <f t="shared" si="7"/>
        <v>0</v>
      </c>
      <c r="S2414" s="62"/>
      <c r="T2414" s="62"/>
      <c r="U2414" s="62"/>
      <c r="V2414" s="62"/>
      <c r="W2414" s="62"/>
      <c r="X2414" s="62"/>
      <c r="Y2414" s="62"/>
      <c r="Z2414" s="62"/>
      <c r="AA2414" s="62"/>
      <c r="AB2414" s="62"/>
      <c r="AC2414" s="62"/>
    </row>
    <row r="2415">
      <c r="A2415" s="60">
        <f>IFERROR(__xludf.DUMMYFUNCTION("""COMPUTED_VALUE"""),17525.0)</f>
        <v>17525</v>
      </c>
      <c r="B2415" s="60" t="str">
        <f>IFERROR(__xludf.DUMMYFUNCTION("""COMPUTED_VALUE"""),"Thomas, Noah")</f>
        <v>Thomas, Noah</v>
      </c>
      <c r="C2415" s="60" t="str">
        <f>IFERROR(__xludf.DUMMYFUNCTION("""COMPUTED_VALUE"""),"WR")</f>
        <v>WR</v>
      </c>
      <c r="D2415" s="60" t="str">
        <f>IFERROR(__xludf.DUMMYFUNCTION("""COMPUTED_VALUE"""),"CIN")</f>
        <v>CIN</v>
      </c>
      <c r="E2415" s="62" t="str">
        <f t="shared" si="4"/>
        <v>Noah Thomas</v>
      </c>
      <c r="F2415" s="62">
        <f t="shared" ref="F2415:G2415" si="4829">IF(isblank(F$1),,IF(isblank($A2415),,IFERROR(vlookup($A2415,indirect("'TVC-"&amp;text(month(F$1),"00")&amp;"'!$A:$D"),4,false),1)))</f>
        <v>1</v>
      </c>
      <c r="G2415" s="62">
        <f t="shared" si="4829"/>
        <v>1</v>
      </c>
      <c r="H2415" s="62">
        <f t="shared" ref="H2415:Q2415" si="4830">IF(isblank(H$1),,IFERROR(vlookup($A2415,indirect("'TVC-"&amp;text(month(H$1),"00")&amp;"'!$A:$D"),4,false),1))</f>
        <v>1</v>
      </c>
      <c r="I2415" s="62">
        <f t="shared" si="4830"/>
        <v>1</v>
      </c>
      <c r="J2415" s="62">
        <f t="shared" si="4830"/>
        <v>1</v>
      </c>
      <c r="K2415" s="62">
        <f t="shared" si="4830"/>
        <v>1</v>
      </c>
      <c r="L2415" s="62">
        <f t="shared" si="4830"/>
        <v>1</v>
      </c>
      <c r="M2415" s="62">
        <f t="shared" si="4830"/>
        <v>1</v>
      </c>
      <c r="N2415" s="62">
        <f t="shared" si="4830"/>
        <v>1</v>
      </c>
      <c r="O2415" s="62">
        <f t="shared" si="4830"/>
        <v>1</v>
      </c>
      <c r="P2415" s="62" t="str">
        <f t="shared" si="4830"/>
        <v/>
      </c>
      <c r="Q2415" s="62" t="str">
        <f t="shared" si="4830"/>
        <v/>
      </c>
      <c r="R2415" s="62">
        <f t="shared" si="7"/>
        <v>0</v>
      </c>
      <c r="S2415" s="62"/>
      <c r="T2415" s="62"/>
      <c r="U2415" s="62"/>
      <c r="V2415" s="62"/>
      <c r="W2415" s="62"/>
      <c r="X2415" s="62"/>
      <c r="Y2415" s="62"/>
      <c r="Z2415" s="62"/>
      <c r="AA2415" s="62"/>
      <c r="AB2415" s="62"/>
      <c r="AC2415" s="62"/>
    </row>
    <row r="2416" hidden="1">
      <c r="A2416" s="60">
        <f>IFERROR(__xludf.DUMMYFUNCTION("""COMPUTED_VALUE"""),17526.0)</f>
        <v>17526</v>
      </c>
      <c r="B2416" s="60" t="str">
        <f>IFERROR(__xludf.DUMMYFUNCTION("""COMPUTED_VALUE"""),"Virgil, Reggie")</f>
        <v>Virgil, Reggie</v>
      </c>
      <c r="C2416" s="60" t="str">
        <f>IFERROR(__xludf.DUMMYFUNCTION("""COMPUTED_VALUE"""),"WR")</f>
        <v>WR</v>
      </c>
      <c r="D2416" s="60" t="str">
        <f>IFERROR(__xludf.DUMMYFUNCTION("""COMPUTED_VALUE"""),"ARI")</f>
        <v>ARI</v>
      </c>
      <c r="E2416" s="62" t="str">
        <f t="shared" si="4"/>
        <v>Reggie Virgil</v>
      </c>
      <c r="F2416" s="62">
        <f t="shared" ref="F2416:G2416" si="4831">IF(isblank(F$1),,IF(isblank($A2416),,IFERROR(vlookup($A2416,indirect("'TVC-"&amp;text(month(F$1),"00")&amp;"'!$A:$D"),4,false),1)))</f>
        <v>1</v>
      </c>
      <c r="G2416" s="62">
        <f t="shared" si="4831"/>
        <v>1287</v>
      </c>
      <c r="H2416" s="62">
        <f t="shared" ref="H2416:Q2416" si="4832">IF(isblank(H$1),,IFERROR(vlookup($A2416,indirect("'TVC-"&amp;text(month(H$1),"00")&amp;"'!$A:$D"),4,false),1))</f>
        <v>1210</v>
      </c>
      <c r="I2416" s="62">
        <f t="shared" si="4832"/>
        <v>686</v>
      </c>
      <c r="J2416" s="62">
        <f t="shared" si="4832"/>
        <v>1</v>
      </c>
      <c r="K2416" s="62">
        <f t="shared" si="4832"/>
        <v>1</v>
      </c>
      <c r="L2416" s="62">
        <f t="shared" si="4832"/>
        <v>1</v>
      </c>
      <c r="M2416" s="62">
        <f t="shared" si="4832"/>
        <v>1</v>
      </c>
      <c r="N2416" s="62">
        <f t="shared" si="4832"/>
        <v>839</v>
      </c>
      <c r="O2416" s="62">
        <f t="shared" si="4832"/>
        <v>1</v>
      </c>
      <c r="P2416" s="62" t="str">
        <f t="shared" si="4832"/>
        <v/>
      </c>
      <c r="Q2416" s="62" t="str">
        <f t="shared" si="4832"/>
        <v/>
      </c>
      <c r="R2416" s="62">
        <f t="shared" si="7"/>
        <v>-838</v>
      </c>
      <c r="S2416" s="62"/>
      <c r="T2416" s="62"/>
      <c r="U2416" s="62"/>
      <c r="V2416" s="62"/>
      <c r="W2416" s="62"/>
      <c r="X2416" s="62"/>
      <c r="Y2416" s="62"/>
      <c r="Z2416" s="62"/>
      <c r="AA2416" s="62"/>
      <c r="AB2416" s="62"/>
      <c r="AC2416" s="62"/>
    </row>
    <row r="2417" hidden="1">
      <c r="A2417" s="60">
        <f>IFERROR(__xludf.DUMMYFUNCTION("""COMPUTED_VALUE"""),17527.0)</f>
        <v>17527</v>
      </c>
      <c r="B2417" s="60" t="str">
        <f>IFERROR(__xludf.DUMMYFUNCTION("""COMPUTED_VALUE"""),"Cameron, Josh")</f>
        <v>Cameron, Josh</v>
      </c>
      <c r="C2417" s="60" t="str">
        <f>IFERROR(__xludf.DUMMYFUNCTION("""COMPUTED_VALUE"""),"WR")</f>
        <v>WR</v>
      </c>
      <c r="D2417" s="60" t="str">
        <f>IFERROR(__xludf.DUMMYFUNCTION("""COMPUTED_VALUE"""),"JAC")</f>
        <v>JAC</v>
      </c>
      <c r="E2417" s="62" t="str">
        <f t="shared" si="4"/>
        <v>Josh Cameron</v>
      </c>
      <c r="F2417" s="62">
        <f t="shared" ref="F2417:G2417" si="4833">IF(isblank(F$1),,IF(isblank($A2417),,IFERROR(vlookup($A2417,indirect("'TVC-"&amp;text(month(F$1),"00")&amp;"'!$A:$D"),4,false),1)))</f>
        <v>1</v>
      </c>
      <c r="G2417" s="62">
        <f t="shared" si="4833"/>
        <v>1</v>
      </c>
      <c r="H2417" s="62">
        <f t="shared" ref="H2417:Q2417" si="4834">IF(isblank(H$1),,IFERROR(vlookup($A2417,indirect("'TVC-"&amp;text(month(H$1),"00")&amp;"'!$A:$D"),4,false),1))</f>
        <v>1</v>
      </c>
      <c r="I2417" s="62">
        <f t="shared" si="4834"/>
        <v>1</v>
      </c>
      <c r="J2417" s="62">
        <f t="shared" si="4834"/>
        <v>1</v>
      </c>
      <c r="K2417" s="62">
        <f t="shared" si="4834"/>
        <v>1</v>
      </c>
      <c r="L2417" s="62">
        <f t="shared" si="4834"/>
        <v>1</v>
      </c>
      <c r="M2417" s="62">
        <f t="shared" si="4834"/>
        <v>1</v>
      </c>
      <c r="N2417" s="62">
        <f t="shared" si="4834"/>
        <v>1</v>
      </c>
      <c r="O2417" s="62">
        <f t="shared" si="4834"/>
        <v>1</v>
      </c>
      <c r="P2417" s="62" t="str">
        <f t="shared" si="4834"/>
        <v/>
      </c>
      <c r="Q2417" s="62" t="str">
        <f t="shared" si="4834"/>
        <v/>
      </c>
      <c r="R2417" s="62">
        <f t="shared" si="7"/>
        <v>0</v>
      </c>
      <c r="S2417" s="62"/>
      <c r="T2417" s="62"/>
      <c r="U2417" s="62"/>
      <c r="V2417" s="62"/>
      <c r="W2417" s="62"/>
      <c r="X2417" s="62"/>
      <c r="Y2417" s="62"/>
      <c r="Z2417" s="62"/>
      <c r="AA2417" s="62"/>
      <c r="AB2417" s="62"/>
      <c r="AC2417" s="62"/>
    </row>
    <row r="2418" hidden="1">
      <c r="A2418" s="60">
        <f>IFERROR(__xludf.DUMMYFUNCTION("""COMPUTED_VALUE"""),17528.0)</f>
        <v>17528</v>
      </c>
      <c r="B2418" s="60" t="str">
        <f>IFERROR(__xludf.DUMMYFUNCTION("""COMPUTED_VALUE"""),"Coleman, Kevin")</f>
        <v>Coleman, Kevin</v>
      </c>
      <c r="C2418" s="60" t="str">
        <f>IFERROR(__xludf.DUMMYFUNCTION("""COMPUTED_VALUE"""),"WR")</f>
        <v>WR</v>
      </c>
      <c r="D2418" s="60" t="str">
        <f>IFERROR(__xludf.DUMMYFUNCTION("""COMPUTED_VALUE"""),"MIA")</f>
        <v>MIA</v>
      </c>
      <c r="E2418" s="62" t="str">
        <f t="shared" si="4"/>
        <v>Kevin Coleman</v>
      </c>
      <c r="F2418" s="62">
        <f t="shared" ref="F2418:G2418" si="4835">IF(isblank(F$1),,IF(isblank($A2418),,IFERROR(vlookup($A2418,indirect("'TVC-"&amp;text(month(F$1),"00")&amp;"'!$A:$D"),4,false),1)))</f>
        <v>1</v>
      </c>
      <c r="G2418" s="62">
        <f t="shared" si="4835"/>
        <v>1733</v>
      </c>
      <c r="H2418" s="62">
        <f t="shared" ref="H2418:Q2418" si="4836">IF(isblank(H$1),,IFERROR(vlookup($A2418,indirect("'TVC-"&amp;text(month(H$1),"00")&amp;"'!$A:$D"),4,false),1))</f>
        <v>1649</v>
      </c>
      <c r="I2418" s="62">
        <f t="shared" si="4836"/>
        <v>1249</v>
      </c>
      <c r="J2418" s="62">
        <f t="shared" si="4836"/>
        <v>1482</v>
      </c>
      <c r="K2418" s="62">
        <f t="shared" si="4836"/>
        <v>1731</v>
      </c>
      <c r="L2418" s="62">
        <f t="shared" si="4836"/>
        <v>1917</v>
      </c>
      <c r="M2418" s="62">
        <f t="shared" si="4836"/>
        <v>2052</v>
      </c>
      <c r="N2418" s="62">
        <f t="shared" si="4836"/>
        <v>2029</v>
      </c>
      <c r="O2418" s="62">
        <f t="shared" si="4836"/>
        <v>1</v>
      </c>
      <c r="P2418" s="62" t="str">
        <f t="shared" si="4836"/>
        <v/>
      </c>
      <c r="Q2418" s="62" t="str">
        <f t="shared" si="4836"/>
        <v/>
      </c>
      <c r="R2418" s="62">
        <f t="shared" si="7"/>
        <v>-2028</v>
      </c>
      <c r="S2418" s="62"/>
      <c r="T2418" s="62"/>
      <c r="U2418" s="62"/>
      <c r="V2418" s="62"/>
      <c r="W2418" s="62"/>
      <c r="X2418" s="62"/>
      <c r="Y2418" s="62"/>
      <c r="Z2418" s="62"/>
      <c r="AA2418" s="62"/>
      <c r="AB2418" s="62"/>
      <c r="AC2418" s="62"/>
    </row>
    <row r="2419" hidden="1">
      <c r="A2419" s="60">
        <f>IFERROR(__xludf.DUMMYFUNCTION("""COMPUTED_VALUE"""),17529.0)</f>
        <v>17529</v>
      </c>
      <c r="B2419" s="60" t="str">
        <f>IFERROR(__xludf.DUMMYFUNCTION("""COMPUTED_VALUE"""),"Thompson, Brenen")</f>
        <v>Thompson, Brenen</v>
      </c>
      <c r="C2419" s="60" t="str">
        <f>IFERROR(__xludf.DUMMYFUNCTION("""COMPUTED_VALUE"""),"WR")</f>
        <v>WR</v>
      </c>
      <c r="D2419" s="60" t="str">
        <f>IFERROR(__xludf.DUMMYFUNCTION("""COMPUTED_VALUE"""),"LAC")</f>
        <v>LAC</v>
      </c>
      <c r="E2419" s="62" t="str">
        <f t="shared" si="4"/>
        <v>Brenen Thompson</v>
      </c>
      <c r="F2419" s="62">
        <f t="shared" ref="F2419:G2419" si="4837">IF(isblank(F$1),,IF(isblank($A2419),,IFERROR(vlookup($A2419,indirect("'TVC-"&amp;text(month(F$1),"00")&amp;"'!$A:$D"),4,false),1)))</f>
        <v>1</v>
      </c>
      <c r="G2419" s="62">
        <f t="shared" si="4837"/>
        <v>1</v>
      </c>
      <c r="H2419" s="62">
        <f t="shared" ref="H2419:Q2419" si="4838">IF(isblank(H$1),,IFERROR(vlookup($A2419,indirect("'TVC-"&amp;text(month(H$1),"00")&amp;"'!$A:$D"),4,false),1))</f>
        <v>1</v>
      </c>
      <c r="I2419" s="62">
        <f t="shared" si="4838"/>
        <v>1</v>
      </c>
      <c r="J2419" s="62">
        <f t="shared" si="4838"/>
        <v>352</v>
      </c>
      <c r="K2419" s="62">
        <f t="shared" si="4838"/>
        <v>1340</v>
      </c>
      <c r="L2419" s="62">
        <f t="shared" si="4838"/>
        <v>1545</v>
      </c>
      <c r="M2419" s="62">
        <f t="shared" si="4838"/>
        <v>1691</v>
      </c>
      <c r="N2419" s="62">
        <f t="shared" si="4838"/>
        <v>1815</v>
      </c>
      <c r="O2419" s="62">
        <f t="shared" si="4838"/>
        <v>1</v>
      </c>
      <c r="P2419" s="62" t="str">
        <f t="shared" si="4838"/>
        <v/>
      </c>
      <c r="Q2419" s="62" t="str">
        <f t="shared" si="4838"/>
        <v/>
      </c>
      <c r="R2419" s="62">
        <f t="shared" si="7"/>
        <v>-1814</v>
      </c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</row>
    <row r="2420" hidden="1">
      <c r="A2420" s="60">
        <f>IFERROR(__xludf.DUMMYFUNCTION("""COMPUTED_VALUE"""),17530.0)</f>
        <v>17530</v>
      </c>
      <c r="B2420" s="60" t="str">
        <f>IFERROR(__xludf.DUMMYFUNCTION("""COMPUTED_VALUE"""),"Bond, Lewis")</f>
        <v>Bond, Lewis</v>
      </c>
      <c r="C2420" s="60" t="str">
        <f>IFERROR(__xludf.DUMMYFUNCTION("""COMPUTED_VALUE"""),"WR")</f>
        <v>WR</v>
      </c>
      <c r="D2420" s="60" t="str">
        <f>IFERROR(__xludf.DUMMYFUNCTION("""COMPUTED_VALUE"""),"HOU")</f>
        <v>HOU</v>
      </c>
      <c r="E2420" s="62" t="str">
        <f t="shared" si="4"/>
        <v>Lewis Bond</v>
      </c>
      <c r="F2420" s="62">
        <f t="shared" ref="F2420:G2420" si="4839">IF(isblank(F$1),,IF(isblank($A2420),,IFERROR(vlookup($A2420,indirect("'TVC-"&amp;text(month(F$1),"00")&amp;"'!$A:$D"),4,false),1)))</f>
        <v>1</v>
      </c>
      <c r="G2420" s="62">
        <f t="shared" si="4839"/>
        <v>1</v>
      </c>
      <c r="H2420" s="62">
        <f t="shared" ref="H2420:Q2420" si="4840">IF(isblank(H$1),,IFERROR(vlookup($A2420,indirect("'TVC-"&amp;text(month(H$1),"00")&amp;"'!$A:$D"),4,false),1))</f>
        <v>1</v>
      </c>
      <c r="I2420" s="62">
        <f t="shared" si="4840"/>
        <v>1</v>
      </c>
      <c r="J2420" s="62">
        <f t="shared" si="4840"/>
        <v>1</v>
      </c>
      <c r="K2420" s="62">
        <f t="shared" si="4840"/>
        <v>1</v>
      </c>
      <c r="L2420" s="62">
        <f t="shared" si="4840"/>
        <v>1</v>
      </c>
      <c r="M2420" s="62">
        <f t="shared" si="4840"/>
        <v>1</v>
      </c>
      <c r="N2420" s="62">
        <f t="shared" si="4840"/>
        <v>1</v>
      </c>
      <c r="O2420" s="62">
        <f t="shared" si="4840"/>
        <v>1</v>
      </c>
      <c r="P2420" s="62" t="str">
        <f t="shared" si="4840"/>
        <v/>
      </c>
      <c r="Q2420" s="62" t="str">
        <f t="shared" si="4840"/>
        <v/>
      </c>
      <c r="R2420" s="62">
        <f t="shared" si="7"/>
        <v>0</v>
      </c>
      <c r="S2420" s="62"/>
      <c r="T2420" s="62"/>
      <c r="U2420" s="62"/>
      <c r="V2420" s="62"/>
      <c r="W2420" s="62"/>
      <c r="X2420" s="62"/>
      <c r="Y2420" s="62"/>
      <c r="Z2420" s="62"/>
      <c r="AA2420" s="62"/>
      <c r="AB2420" s="62"/>
      <c r="AC2420" s="62"/>
    </row>
    <row r="2421" hidden="1">
      <c r="A2421" s="60">
        <f>IFERROR(__xludf.DUMMYFUNCTION("""COMPUTED_VALUE"""),17531.0)</f>
        <v>17531</v>
      </c>
      <c r="B2421" s="60" t="str">
        <f>IFERROR(__xludf.DUMMYFUNCTION("""COMPUTED_VALUE"""),"White, Squirrel")</f>
        <v>White, Squirrel</v>
      </c>
      <c r="C2421" s="60" t="str">
        <f>IFERROR(__xludf.DUMMYFUNCTION("""COMPUTED_VALUE"""),"WR")</f>
        <v>WR</v>
      </c>
      <c r="D2421" s="60" t="str">
        <f>IFERROR(__xludf.DUMMYFUNCTION("""COMPUTED_VALUE"""),"CHI")</f>
        <v>CHI</v>
      </c>
      <c r="E2421" s="62" t="str">
        <f t="shared" si="4"/>
        <v>Squirrel White</v>
      </c>
      <c r="F2421" s="62">
        <f t="shared" ref="F2421:G2421" si="4841">IF(isblank(F$1),,IF(isblank($A2421),,IFERROR(vlookup($A2421,indirect("'TVC-"&amp;text(month(F$1),"00")&amp;"'!$A:$D"),4,false),1)))</f>
        <v>1</v>
      </c>
      <c r="G2421" s="62">
        <f t="shared" si="4841"/>
        <v>1</v>
      </c>
      <c r="H2421" s="62">
        <f t="shared" ref="H2421:Q2421" si="4842">IF(isblank(H$1),,IFERROR(vlookup($A2421,indirect("'TVC-"&amp;text(month(H$1),"00")&amp;"'!$A:$D"),4,false),1))</f>
        <v>1</v>
      </c>
      <c r="I2421" s="62">
        <f t="shared" si="4842"/>
        <v>1</v>
      </c>
      <c r="J2421" s="62">
        <f t="shared" si="4842"/>
        <v>1</v>
      </c>
      <c r="K2421" s="62">
        <f t="shared" si="4842"/>
        <v>1</v>
      </c>
      <c r="L2421" s="62">
        <f t="shared" si="4842"/>
        <v>1</v>
      </c>
      <c r="M2421" s="62">
        <f t="shared" si="4842"/>
        <v>1</v>
      </c>
      <c r="N2421" s="62">
        <f t="shared" si="4842"/>
        <v>1</v>
      </c>
      <c r="O2421" s="62">
        <f t="shared" si="4842"/>
        <v>1</v>
      </c>
      <c r="P2421" s="62" t="str">
        <f t="shared" si="4842"/>
        <v/>
      </c>
      <c r="Q2421" s="62" t="str">
        <f t="shared" si="4842"/>
        <v/>
      </c>
      <c r="R2421" s="62">
        <f t="shared" si="7"/>
        <v>0</v>
      </c>
      <c r="S2421" s="62"/>
      <c r="T2421" s="62"/>
      <c r="U2421" s="62"/>
      <c r="V2421" s="62"/>
      <c r="W2421" s="62"/>
      <c r="X2421" s="62"/>
      <c r="Y2421" s="62"/>
      <c r="Z2421" s="62"/>
      <c r="AA2421" s="62"/>
      <c r="AB2421" s="62"/>
      <c r="AC2421" s="62"/>
    </row>
    <row r="2422" hidden="1">
      <c r="A2422" s="60">
        <f>IFERROR(__xludf.DUMMYFUNCTION("""COMPUTED_VALUE"""),17532.0)</f>
        <v>17532</v>
      </c>
      <c r="B2422" s="60" t="str">
        <f>IFERROR(__xludf.DUMMYFUNCTION("""COMPUTED_VALUE"""),"Prentice, Kobe")</f>
        <v>Prentice, Kobe</v>
      </c>
      <c r="C2422" s="60" t="str">
        <f>IFERROR(__xludf.DUMMYFUNCTION("""COMPUTED_VALUE"""),"WR")</f>
        <v>WR</v>
      </c>
      <c r="D2422" s="60" t="str">
        <f>IFERROR(__xludf.DUMMYFUNCTION("""COMPUTED_VALUE"""),"FA")</f>
        <v>FA</v>
      </c>
      <c r="E2422" s="62" t="str">
        <f t="shared" si="4"/>
        <v>Kobe Prentice</v>
      </c>
      <c r="F2422" s="62">
        <f t="shared" ref="F2422:G2422" si="4843">IF(isblank(F$1),,IF(isblank($A2422),,IFERROR(vlookup($A2422,indirect("'TVC-"&amp;text(month(F$1),"00")&amp;"'!$A:$D"),4,false),1)))</f>
        <v>1</v>
      </c>
      <c r="G2422" s="62">
        <f t="shared" si="4843"/>
        <v>1</v>
      </c>
      <c r="H2422" s="62">
        <f t="shared" ref="H2422:Q2422" si="4844">IF(isblank(H$1),,IFERROR(vlookup($A2422,indirect("'TVC-"&amp;text(month(H$1),"00")&amp;"'!$A:$D"),4,false),1))</f>
        <v>1</v>
      </c>
      <c r="I2422" s="62">
        <f t="shared" si="4844"/>
        <v>1</v>
      </c>
      <c r="J2422" s="62">
        <f t="shared" si="4844"/>
        <v>1</v>
      </c>
      <c r="K2422" s="62">
        <f t="shared" si="4844"/>
        <v>1</v>
      </c>
      <c r="L2422" s="62">
        <f t="shared" si="4844"/>
        <v>1</v>
      </c>
      <c r="M2422" s="62">
        <f t="shared" si="4844"/>
        <v>1</v>
      </c>
      <c r="N2422" s="62">
        <f t="shared" si="4844"/>
        <v>1</v>
      </c>
      <c r="O2422" s="62">
        <f t="shared" si="4844"/>
        <v>1</v>
      </c>
      <c r="P2422" s="62" t="str">
        <f t="shared" si="4844"/>
        <v/>
      </c>
      <c r="Q2422" s="62" t="str">
        <f t="shared" si="4844"/>
        <v/>
      </c>
      <c r="R2422" s="62">
        <f t="shared" si="7"/>
        <v>0</v>
      </c>
      <c r="S2422" s="62"/>
      <c r="T2422" s="62"/>
      <c r="U2422" s="62"/>
      <c r="V2422" s="62"/>
      <c r="W2422" s="62"/>
      <c r="X2422" s="62"/>
      <c r="Y2422" s="62"/>
      <c r="Z2422" s="62"/>
      <c r="AA2422" s="62"/>
      <c r="AB2422" s="62"/>
      <c r="AC2422" s="62"/>
    </row>
    <row r="2423" hidden="1">
      <c r="A2423" s="60">
        <f>IFERROR(__xludf.DUMMYFUNCTION("""COMPUTED_VALUE"""),17533.0)</f>
        <v>17533</v>
      </c>
      <c r="B2423" s="60" t="str">
        <f>IFERROR(__xludf.DUMMYFUNCTION("""COMPUTED_VALUE"""),"Mosley, Jordan")</f>
        <v>Mosley, Jordan</v>
      </c>
      <c r="C2423" s="60" t="str">
        <f>IFERROR(__xludf.DUMMYFUNCTION("""COMPUTED_VALUE"""),"XX")</f>
        <v>XX</v>
      </c>
      <c r="D2423" s="60" t="str">
        <f>IFERROR(__xludf.DUMMYFUNCTION("""COMPUTED_VALUE"""),"FA")</f>
        <v>FA</v>
      </c>
      <c r="E2423" s="62" t="str">
        <f t="shared" si="4"/>
        <v>Jordan Mosley</v>
      </c>
      <c r="F2423" s="62">
        <f t="shared" ref="F2423:G2423" si="4845">IF(isblank(F$1),,IF(isblank($A2423),,IFERROR(vlookup($A2423,indirect("'TVC-"&amp;text(month(F$1),"00")&amp;"'!$A:$D"),4,false),1)))</f>
        <v>1</v>
      </c>
      <c r="G2423" s="62">
        <f t="shared" si="4845"/>
        <v>1</v>
      </c>
      <c r="H2423" s="62">
        <f t="shared" ref="H2423:Q2423" si="4846">IF(isblank(H$1),,IFERROR(vlookup($A2423,indirect("'TVC-"&amp;text(month(H$1),"00")&amp;"'!$A:$D"),4,false),1))</f>
        <v>1</v>
      </c>
      <c r="I2423" s="62">
        <f t="shared" si="4846"/>
        <v>1</v>
      </c>
      <c r="J2423" s="62">
        <f t="shared" si="4846"/>
        <v>1</v>
      </c>
      <c r="K2423" s="62">
        <f t="shared" si="4846"/>
        <v>1</v>
      </c>
      <c r="L2423" s="62">
        <f t="shared" si="4846"/>
        <v>1</v>
      </c>
      <c r="M2423" s="62">
        <f t="shared" si="4846"/>
        <v>1</v>
      </c>
      <c r="N2423" s="62">
        <f t="shared" si="4846"/>
        <v>1</v>
      </c>
      <c r="O2423" s="62">
        <f t="shared" si="4846"/>
        <v>1</v>
      </c>
      <c r="P2423" s="62" t="str">
        <f t="shared" si="4846"/>
        <v/>
      </c>
      <c r="Q2423" s="62" t="str">
        <f t="shared" si="4846"/>
        <v/>
      </c>
      <c r="R2423" s="62">
        <f t="shared" si="7"/>
        <v>0</v>
      </c>
      <c r="S2423" s="62"/>
      <c r="T2423" s="62"/>
      <c r="U2423" s="62"/>
      <c r="V2423" s="62"/>
      <c r="W2423" s="62"/>
      <c r="X2423" s="62"/>
      <c r="Y2423" s="62"/>
      <c r="Z2423" s="62"/>
      <c r="AA2423" s="62"/>
      <c r="AB2423" s="62"/>
      <c r="AC2423" s="62"/>
    </row>
    <row r="2424" hidden="1">
      <c r="A2424" s="60">
        <f>IFERROR(__xludf.DUMMYFUNCTION("""COMPUTED_VALUE"""),17534.0)</f>
        <v>17534</v>
      </c>
      <c r="B2424" s="60" t="str">
        <f>IFERROR(__xludf.DUMMYFUNCTION("""COMPUTED_VALUE"""),"Edrine, Jahmal")</f>
        <v>Edrine, Jahmal</v>
      </c>
      <c r="C2424" s="60" t="str">
        <f>IFERROR(__xludf.DUMMYFUNCTION("""COMPUTED_VALUE"""),"XX")</f>
        <v>XX</v>
      </c>
      <c r="D2424" s="60" t="str">
        <f>IFERROR(__xludf.DUMMYFUNCTION("""COMPUTED_VALUE"""),"FA")</f>
        <v>FA</v>
      </c>
      <c r="E2424" s="62" t="str">
        <f t="shared" si="4"/>
        <v>Jahmal Edrine</v>
      </c>
      <c r="F2424" s="62">
        <f t="shared" ref="F2424:G2424" si="4847">IF(isblank(F$1),,IF(isblank($A2424),,IFERROR(vlookup($A2424,indirect("'TVC-"&amp;text(month(F$1),"00")&amp;"'!$A:$D"),4,false),1)))</f>
        <v>1</v>
      </c>
      <c r="G2424" s="62">
        <f t="shared" si="4847"/>
        <v>1</v>
      </c>
      <c r="H2424" s="62">
        <f t="shared" ref="H2424:Q2424" si="4848">IF(isblank(H$1),,IFERROR(vlookup($A2424,indirect("'TVC-"&amp;text(month(H$1),"00")&amp;"'!$A:$D"),4,false),1))</f>
        <v>1</v>
      </c>
      <c r="I2424" s="62">
        <f t="shared" si="4848"/>
        <v>1</v>
      </c>
      <c r="J2424" s="62">
        <f t="shared" si="4848"/>
        <v>1</v>
      </c>
      <c r="K2424" s="62">
        <f t="shared" si="4848"/>
        <v>1</v>
      </c>
      <c r="L2424" s="62">
        <f t="shared" si="4848"/>
        <v>1</v>
      </c>
      <c r="M2424" s="62">
        <f t="shared" si="4848"/>
        <v>1</v>
      </c>
      <c r="N2424" s="62">
        <f t="shared" si="4848"/>
        <v>1</v>
      </c>
      <c r="O2424" s="62">
        <f t="shared" si="4848"/>
        <v>1</v>
      </c>
      <c r="P2424" s="62" t="str">
        <f t="shared" si="4848"/>
        <v/>
      </c>
      <c r="Q2424" s="62" t="str">
        <f t="shared" si="4848"/>
        <v/>
      </c>
      <c r="R2424" s="62">
        <f t="shared" si="7"/>
        <v>0</v>
      </c>
      <c r="S2424" s="62"/>
      <c r="T2424" s="62"/>
      <c r="U2424" s="62"/>
      <c r="V2424" s="62"/>
      <c r="W2424" s="62"/>
      <c r="X2424" s="62"/>
      <c r="Y2424" s="62"/>
      <c r="Z2424" s="62"/>
      <c r="AA2424" s="62"/>
      <c r="AB2424" s="62"/>
      <c r="AC2424" s="62"/>
    </row>
    <row r="2425" hidden="1">
      <c r="A2425" s="60">
        <f>IFERROR(__xludf.DUMMYFUNCTION("""COMPUTED_VALUE"""),17535.0)</f>
        <v>17535</v>
      </c>
      <c r="B2425" s="60" t="str">
        <f>IFERROR(__xludf.DUMMYFUNCTION("""COMPUTED_VALUE"""),"Pena, Trebor")</f>
        <v>Pena, Trebor</v>
      </c>
      <c r="C2425" s="60" t="str">
        <f>IFERROR(__xludf.DUMMYFUNCTION("""COMPUTED_VALUE"""),"WR")</f>
        <v>WR</v>
      </c>
      <c r="D2425" s="60" t="str">
        <f>IFERROR(__xludf.DUMMYFUNCTION("""COMPUTED_VALUE"""),"JAC")</f>
        <v>JAC</v>
      </c>
      <c r="E2425" s="62" t="str">
        <f t="shared" si="4"/>
        <v>Trebor Pena</v>
      </c>
      <c r="F2425" s="62">
        <f t="shared" ref="F2425:G2425" si="4849">IF(isblank(F$1),,IF(isblank($A2425),,IFERROR(vlookup($A2425,indirect("'TVC-"&amp;text(month(F$1),"00")&amp;"'!$A:$D"),4,false),1)))</f>
        <v>1</v>
      </c>
      <c r="G2425" s="62">
        <f t="shared" si="4849"/>
        <v>1</v>
      </c>
      <c r="H2425" s="62">
        <f t="shared" ref="H2425:Q2425" si="4850">IF(isblank(H$1),,IFERROR(vlookup($A2425,indirect("'TVC-"&amp;text(month(H$1),"00")&amp;"'!$A:$D"),4,false),1))</f>
        <v>1</v>
      </c>
      <c r="I2425" s="62">
        <f t="shared" si="4850"/>
        <v>1</v>
      </c>
      <c r="J2425" s="62">
        <f t="shared" si="4850"/>
        <v>1</v>
      </c>
      <c r="K2425" s="62">
        <f t="shared" si="4850"/>
        <v>1</v>
      </c>
      <c r="L2425" s="62">
        <f t="shared" si="4850"/>
        <v>1</v>
      </c>
      <c r="M2425" s="62">
        <f t="shared" si="4850"/>
        <v>1</v>
      </c>
      <c r="N2425" s="62">
        <f t="shared" si="4850"/>
        <v>1</v>
      </c>
      <c r="O2425" s="62">
        <f t="shared" si="4850"/>
        <v>1</v>
      </c>
      <c r="P2425" s="62" t="str">
        <f t="shared" si="4850"/>
        <v/>
      </c>
      <c r="Q2425" s="62" t="str">
        <f t="shared" si="4850"/>
        <v/>
      </c>
      <c r="R2425" s="62">
        <f t="shared" si="7"/>
        <v>0</v>
      </c>
      <c r="S2425" s="62"/>
      <c r="T2425" s="62"/>
      <c r="U2425" s="62"/>
      <c r="V2425" s="62"/>
      <c r="W2425" s="62"/>
      <c r="X2425" s="62"/>
      <c r="Y2425" s="62"/>
      <c r="Z2425" s="62"/>
      <c r="AA2425" s="62"/>
      <c r="AB2425" s="62"/>
      <c r="AC2425" s="62"/>
    </row>
    <row r="2426" hidden="1">
      <c r="A2426" s="60">
        <f>IFERROR(__xludf.DUMMYFUNCTION("""COMPUTED_VALUE"""),17536.0)</f>
        <v>17536</v>
      </c>
      <c r="B2426" s="60" t="str">
        <f>IFERROR(__xludf.DUMMYFUNCTION("""COMPUTED_VALUE"""),"Bell, Dillon")</f>
        <v>Bell, Dillon</v>
      </c>
      <c r="C2426" s="60" t="str">
        <f>IFERROR(__xludf.DUMMYFUNCTION("""COMPUTED_VALUE"""),"WR")</f>
        <v>WR</v>
      </c>
      <c r="D2426" s="60" t="str">
        <f>IFERROR(__xludf.DUMMYFUNCTION("""COMPUTED_VALUE"""),"MIN")</f>
        <v>MIN</v>
      </c>
      <c r="E2426" s="62" t="str">
        <f t="shared" si="4"/>
        <v>Dillon Bell</v>
      </c>
      <c r="F2426" s="62">
        <f t="shared" ref="F2426:G2426" si="4851">IF(isblank(F$1),,IF(isblank($A2426),,IFERROR(vlookup($A2426,indirect("'TVC-"&amp;text(month(F$1),"00")&amp;"'!$A:$D"),4,false),1)))</f>
        <v>1</v>
      </c>
      <c r="G2426" s="62">
        <f t="shared" si="4851"/>
        <v>1</v>
      </c>
      <c r="H2426" s="62">
        <f t="shared" ref="H2426:Q2426" si="4852">IF(isblank(H$1),,IFERROR(vlookup($A2426,indirect("'TVC-"&amp;text(month(H$1),"00")&amp;"'!$A:$D"),4,false),1))</f>
        <v>1</v>
      </c>
      <c r="I2426" s="62">
        <f t="shared" si="4852"/>
        <v>1</v>
      </c>
      <c r="J2426" s="62">
        <f t="shared" si="4852"/>
        <v>1</v>
      </c>
      <c r="K2426" s="62">
        <f t="shared" si="4852"/>
        <v>1</v>
      </c>
      <c r="L2426" s="62">
        <f t="shared" si="4852"/>
        <v>1</v>
      </c>
      <c r="M2426" s="62">
        <f t="shared" si="4852"/>
        <v>1</v>
      </c>
      <c r="N2426" s="62">
        <f t="shared" si="4852"/>
        <v>1</v>
      </c>
      <c r="O2426" s="62">
        <f t="shared" si="4852"/>
        <v>1</v>
      </c>
      <c r="P2426" s="62" t="str">
        <f t="shared" si="4852"/>
        <v/>
      </c>
      <c r="Q2426" s="62" t="str">
        <f t="shared" si="4852"/>
        <v/>
      </c>
      <c r="R2426" s="62">
        <f t="shared" si="7"/>
        <v>0</v>
      </c>
      <c r="S2426" s="62"/>
      <c r="T2426" s="62"/>
      <c r="U2426" s="62"/>
      <c r="V2426" s="62"/>
      <c r="W2426" s="62"/>
      <c r="X2426" s="62"/>
      <c r="Y2426" s="62"/>
      <c r="Z2426" s="62"/>
      <c r="AA2426" s="62"/>
      <c r="AB2426" s="62"/>
      <c r="AC2426" s="62"/>
    </row>
    <row r="2427" hidden="1">
      <c r="A2427" s="60">
        <f>IFERROR(__xludf.DUMMYFUNCTION("""COMPUTED_VALUE"""),17537.0)</f>
        <v>17537</v>
      </c>
      <c r="B2427" s="60" t="str">
        <f>IFERROR(__xludf.DUMMYFUNCTION("""COMPUTED_VALUE"""),"Beatty, Hank")</f>
        <v>Beatty, Hank</v>
      </c>
      <c r="C2427" s="60" t="str">
        <f>IFERROR(__xludf.DUMMYFUNCTION("""COMPUTED_VALUE"""),"WR")</f>
        <v>WR</v>
      </c>
      <c r="D2427" s="60" t="str">
        <f>IFERROR(__xludf.DUMMYFUNCTION("""COMPUTED_VALUE"""),"TEN")</f>
        <v>TEN</v>
      </c>
      <c r="E2427" s="62" t="str">
        <f t="shared" si="4"/>
        <v>Hank Beatty</v>
      </c>
      <c r="F2427" s="62">
        <f t="shared" ref="F2427:G2427" si="4853">IF(isblank(F$1),,IF(isblank($A2427),,IFERROR(vlookup($A2427,indirect("'TVC-"&amp;text(month(F$1),"00")&amp;"'!$A:$D"),4,false),1)))</f>
        <v>1</v>
      </c>
      <c r="G2427" s="62">
        <f t="shared" si="4853"/>
        <v>1</v>
      </c>
      <c r="H2427" s="62">
        <f t="shared" ref="H2427:Q2427" si="4854">IF(isblank(H$1),,IFERROR(vlookup($A2427,indirect("'TVC-"&amp;text(month(H$1),"00")&amp;"'!$A:$D"),4,false),1))</f>
        <v>1</v>
      </c>
      <c r="I2427" s="62">
        <f t="shared" si="4854"/>
        <v>1</v>
      </c>
      <c r="J2427" s="62">
        <f t="shared" si="4854"/>
        <v>1</v>
      </c>
      <c r="K2427" s="62">
        <f t="shared" si="4854"/>
        <v>1</v>
      </c>
      <c r="L2427" s="62">
        <f t="shared" si="4854"/>
        <v>1</v>
      </c>
      <c r="M2427" s="62">
        <f t="shared" si="4854"/>
        <v>1</v>
      </c>
      <c r="N2427" s="62">
        <f t="shared" si="4854"/>
        <v>1</v>
      </c>
      <c r="O2427" s="62">
        <f t="shared" si="4854"/>
        <v>1</v>
      </c>
      <c r="P2427" s="62" t="str">
        <f t="shared" si="4854"/>
        <v/>
      </c>
      <c r="Q2427" s="62" t="str">
        <f t="shared" si="4854"/>
        <v/>
      </c>
      <c r="R2427" s="62">
        <f t="shared" si="7"/>
        <v>0</v>
      </c>
      <c r="S2427" s="62"/>
      <c r="T2427" s="62"/>
      <c r="U2427" s="62"/>
      <c r="V2427" s="62"/>
      <c r="W2427" s="62"/>
      <c r="X2427" s="62"/>
      <c r="Y2427" s="62"/>
      <c r="Z2427" s="62"/>
      <c r="AA2427" s="62"/>
      <c r="AB2427" s="62"/>
      <c r="AC2427" s="62"/>
    </row>
    <row r="2428" hidden="1">
      <c r="A2428" s="60">
        <f>IFERROR(__xludf.DUMMYFUNCTION("""COMPUTED_VALUE"""),17538.0)</f>
        <v>17538</v>
      </c>
      <c r="B2428" s="60" t="str">
        <f>IFERROR(__xludf.DUMMYFUNCTION("""COMPUTED_VALUE"""),"Wallace, Harrison")</f>
        <v>Wallace, Harrison</v>
      </c>
      <c r="C2428" s="60" t="str">
        <f>IFERROR(__xludf.DUMMYFUNCTION("""COMPUTED_VALUE"""),"WR")</f>
        <v>WR</v>
      </c>
      <c r="D2428" s="60" t="str">
        <f>IFERROR(__xludf.DUMMYFUNCTION("""COMPUTED_VALUE"""),"ARI")</f>
        <v>ARI</v>
      </c>
      <c r="E2428" s="62" t="str">
        <f t="shared" si="4"/>
        <v>Harrison Wallace</v>
      </c>
      <c r="F2428" s="62">
        <f t="shared" ref="F2428:G2428" si="4855">IF(isblank(F$1),,IF(isblank($A2428),,IFERROR(vlookup($A2428,indirect("'TVC-"&amp;text(month(F$1),"00")&amp;"'!$A:$D"),4,false),1)))</f>
        <v>1</v>
      </c>
      <c r="G2428" s="62">
        <f t="shared" si="4855"/>
        <v>1</v>
      </c>
      <c r="H2428" s="62">
        <f t="shared" ref="H2428:Q2428" si="4856">IF(isblank(H$1),,IFERROR(vlookup($A2428,indirect("'TVC-"&amp;text(month(H$1),"00")&amp;"'!$A:$D"),4,false),1))</f>
        <v>1</v>
      </c>
      <c r="I2428" s="62">
        <f t="shared" si="4856"/>
        <v>1</v>
      </c>
      <c r="J2428" s="62">
        <f t="shared" si="4856"/>
        <v>1</v>
      </c>
      <c r="K2428" s="62">
        <f t="shared" si="4856"/>
        <v>1</v>
      </c>
      <c r="L2428" s="62">
        <f t="shared" si="4856"/>
        <v>1</v>
      </c>
      <c r="M2428" s="62">
        <f t="shared" si="4856"/>
        <v>1</v>
      </c>
      <c r="N2428" s="62">
        <f t="shared" si="4856"/>
        <v>1</v>
      </c>
      <c r="O2428" s="62">
        <f t="shared" si="4856"/>
        <v>1</v>
      </c>
      <c r="P2428" s="62" t="str">
        <f t="shared" si="4856"/>
        <v/>
      </c>
      <c r="Q2428" s="62" t="str">
        <f t="shared" si="4856"/>
        <v/>
      </c>
      <c r="R2428" s="62">
        <f t="shared" si="7"/>
        <v>0</v>
      </c>
      <c r="S2428" s="62"/>
      <c r="T2428" s="62"/>
      <c r="U2428" s="62"/>
      <c r="V2428" s="62"/>
      <c r="W2428" s="62"/>
      <c r="X2428" s="62"/>
      <c r="Y2428" s="62"/>
      <c r="Z2428" s="62"/>
      <c r="AA2428" s="62"/>
      <c r="AB2428" s="62"/>
      <c r="AC2428" s="62"/>
    </row>
    <row r="2429" hidden="1">
      <c r="A2429" s="60">
        <f>IFERROR(__xludf.DUMMYFUNCTION("""COMPUTED_VALUE"""),17539.0)</f>
        <v>17539</v>
      </c>
      <c r="B2429" s="60" t="str">
        <f>IFERROR(__xludf.DUMMYFUNCTION("""COMPUTED_VALUE"""),"Greene, Donavon")</f>
        <v>Greene, Donavon</v>
      </c>
      <c r="C2429" s="60" t="str">
        <f>IFERROR(__xludf.DUMMYFUNCTION("""COMPUTED_VALUE"""),"WR")</f>
        <v>WR</v>
      </c>
      <c r="D2429" s="60" t="str">
        <f>IFERROR(__xludf.DUMMYFUNCTION("""COMPUTED_VALUE"""),"FA")</f>
        <v>FA</v>
      </c>
      <c r="E2429" s="62" t="str">
        <f t="shared" si="4"/>
        <v>Donavon Greene</v>
      </c>
      <c r="F2429" s="62">
        <f t="shared" ref="F2429:G2429" si="4857">IF(isblank(F$1),,IF(isblank($A2429),,IFERROR(vlookup($A2429,indirect("'TVC-"&amp;text(month(F$1),"00")&amp;"'!$A:$D"),4,false),1)))</f>
        <v>1</v>
      </c>
      <c r="G2429" s="62">
        <f t="shared" si="4857"/>
        <v>1</v>
      </c>
      <c r="H2429" s="62">
        <f t="shared" ref="H2429:Q2429" si="4858">IF(isblank(H$1),,IFERROR(vlookup($A2429,indirect("'TVC-"&amp;text(month(H$1),"00")&amp;"'!$A:$D"),4,false),1))</f>
        <v>1</v>
      </c>
      <c r="I2429" s="62">
        <f t="shared" si="4858"/>
        <v>1</v>
      </c>
      <c r="J2429" s="62">
        <f t="shared" si="4858"/>
        <v>1</v>
      </c>
      <c r="K2429" s="62">
        <f t="shared" si="4858"/>
        <v>1</v>
      </c>
      <c r="L2429" s="62">
        <f t="shared" si="4858"/>
        <v>1</v>
      </c>
      <c r="M2429" s="62">
        <f t="shared" si="4858"/>
        <v>1</v>
      </c>
      <c r="N2429" s="62">
        <f t="shared" si="4858"/>
        <v>1</v>
      </c>
      <c r="O2429" s="62">
        <f t="shared" si="4858"/>
        <v>1</v>
      </c>
      <c r="P2429" s="62" t="str">
        <f t="shared" si="4858"/>
        <v/>
      </c>
      <c r="Q2429" s="62" t="str">
        <f t="shared" si="4858"/>
        <v/>
      </c>
      <c r="R2429" s="62">
        <f t="shared" si="7"/>
        <v>0</v>
      </c>
      <c r="S2429" s="62"/>
      <c r="T2429" s="62"/>
      <c r="U2429" s="62"/>
      <c r="V2429" s="62"/>
      <c r="W2429" s="62"/>
      <c r="X2429" s="62"/>
      <c r="Y2429" s="62"/>
      <c r="Z2429" s="62"/>
      <c r="AA2429" s="62"/>
      <c r="AB2429" s="62"/>
      <c r="AC2429" s="62"/>
    </row>
    <row r="2430" hidden="1">
      <c r="A2430" s="60">
        <f>IFERROR(__xludf.DUMMYFUNCTION("""COMPUTED_VALUE"""),17540.0)</f>
        <v>17540</v>
      </c>
      <c r="B2430" s="60" t="str">
        <f>IFERROR(__xludf.DUMMYFUNCTION("""COMPUTED_VALUE"""),"Hilton Jr., Chris")</f>
        <v>Hilton Jr., Chris</v>
      </c>
      <c r="C2430" s="60" t="str">
        <f>IFERROR(__xludf.DUMMYFUNCTION("""COMPUTED_VALUE"""),"WR")</f>
        <v>WR</v>
      </c>
      <c r="D2430" s="60" t="str">
        <f>IFERROR(__xludf.DUMMYFUNCTION("""COMPUTED_VALUE"""),"GBP")</f>
        <v>GBP</v>
      </c>
      <c r="E2430" s="62" t="str">
        <f t="shared" si="4"/>
        <v>Chris Hilton Jr.</v>
      </c>
      <c r="F2430" s="62">
        <f t="shared" ref="F2430:G2430" si="4859">IF(isblank(F$1),,IF(isblank($A2430),,IFERROR(vlookup($A2430,indirect("'TVC-"&amp;text(month(F$1),"00")&amp;"'!$A:$D"),4,false),1)))</f>
        <v>1</v>
      </c>
      <c r="G2430" s="62">
        <f t="shared" si="4859"/>
        <v>1</v>
      </c>
      <c r="H2430" s="62">
        <f t="shared" ref="H2430:Q2430" si="4860">IF(isblank(H$1),,IFERROR(vlookup($A2430,indirect("'TVC-"&amp;text(month(H$1),"00")&amp;"'!$A:$D"),4,false),1))</f>
        <v>1</v>
      </c>
      <c r="I2430" s="62">
        <f t="shared" si="4860"/>
        <v>1</v>
      </c>
      <c r="J2430" s="62">
        <f t="shared" si="4860"/>
        <v>1</v>
      </c>
      <c r="K2430" s="62">
        <f t="shared" si="4860"/>
        <v>1</v>
      </c>
      <c r="L2430" s="62">
        <f t="shared" si="4860"/>
        <v>1</v>
      </c>
      <c r="M2430" s="62">
        <f t="shared" si="4860"/>
        <v>1</v>
      </c>
      <c r="N2430" s="62">
        <f t="shared" si="4860"/>
        <v>1</v>
      </c>
      <c r="O2430" s="62">
        <f t="shared" si="4860"/>
        <v>1</v>
      </c>
      <c r="P2430" s="62" t="str">
        <f t="shared" si="4860"/>
        <v/>
      </c>
      <c r="Q2430" s="62" t="str">
        <f t="shared" si="4860"/>
        <v/>
      </c>
      <c r="R2430" s="62">
        <f t="shared" si="7"/>
        <v>0</v>
      </c>
      <c r="S2430" s="62"/>
      <c r="T2430" s="62"/>
      <c r="U2430" s="62"/>
      <c r="V2430" s="62"/>
      <c r="W2430" s="62"/>
      <c r="X2430" s="62"/>
      <c r="Y2430" s="62"/>
      <c r="Z2430" s="62"/>
      <c r="AA2430" s="62"/>
      <c r="AB2430" s="62"/>
      <c r="AC2430" s="62"/>
    </row>
    <row r="2431" hidden="1">
      <c r="A2431" s="60">
        <f>IFERROR(__xludf.DUMMYFUNCTION("""COMPUTED_VALUE"""),17541.0)</f>
        <v>17541</v>
      </c>
      <c r="B2431" s="60" t="str">
        <f>IFERROR(__xludf.DUMMYFUNCTION("""COMPUTED_VALUE"""),"Brown, Barion")</f>
        <v>Brown, Barion</v>
      </c>
      <c r="C2431" s="60" t="str">
        <f>IFERROR(__xludf.DUMMYFUNCTION("""COMPUTED_VALUE"""),"WR")</f>
        <v>WR</v>
      </c>
      <c r="D2431" s="60" t="str">
        <f>IFERROR(__xludf.DUMMYFUNCTION("""COMPUTED_VALUE"""),"NOS")</f>
        <v>NOS</v>
      </c>
      <c r="E2431" s="62" t="str">
        <f t="shared" si="4"/>
        <v>Barion Brown</v>
      </c>
      <c r="F2431" s="62">
        <f t="shared" ref="F2431:G2431" si="4861">IF(isblank(F$1),,IF(isblank($A2431),,IFERROR(vlookup($A2431,indirect("'TVC-"&amp;text(month(F$1),"00")&amp;"'!$A:$D"),4,false),1)))</f>
        <v>1</v>
      </c>
      <c r="G2431" s="62">
        <f t="shared" si="4861"/>
        <v>1458</v>
      </c>
      <c r="H2431" s="62">
        <f t="shared" ref="H2431:Q2431" si="4862">IF(isblank(H$1),,IFERROR(vlookup($A2431,indirect("'TVC-"&amp;text(month(H$1),"00")&amp;"'!$A:$D"),4,false),1))</f>
        <v>1347</v>
      </c>
      <c r="I2431" s="62">
        <f t="shared" si="4862"/>
        <v>722</v>
      </c>
      <c r="J2431" s="62">
        <f t="shared" si="4862"/>
        <v>1</v>
      </c>
      <c r="K2431" s="62">
        <f t="shared" si="4862"/>
        <v>620</v>
      </c>
      <c r="L2431" s="62">
        <f t="shared" si="4862"/>
        <v>721</v>
      </c>
      <c r="M2431" s="62">
        <f t="shared" si="4862"/>
        <v>856</v>
      </c>
      <c r="N2431" s="62">
        <f t="shared" si="4862"/>
        <v>1771</v>
      </c>
      <c r="O2431" s="62">
        <f t="shared" si="4862"/>
        <v>1</v>
      </c>
      <c r="P2431" s="62" t="str">
        <f t="shared" si="4862"/>
        <v/>
      </c>
      <c r="Q2431" s="62" t="str">
        <f t="shared" si="4862"/>
        <v/>
      </c>
      <c r="R2431" s="62">
        <f t="shared" si="7"/>
        <v>-1770</v>
      </c>
      <c r="S2431" s="62"/>
      <c r="T2431" s="62"/>
      <c r="U2431" s="62"/>
      <c r="V2431" s="62"/>
      <c r="W2431" s="62"/>
      <c r="X2431" s="62"/>
      <c r="Y2431" s="62"/>
      <c r="Z2431" s="62"/>
      <c r="AA2431" s="62"/>
      <c r="AB2431" s="62"/>
      <c r="AC2431" s="62"/>
    </row>
    <row r="2432" hidden="1">
      <c r="A2432" s="60">
        <f>IFERROR(__xludf.DUMMYFUNCTION("""COMPUTED_VALUE"""),17542.0)</f>
        <v>17542</v>
      </c>
      <c r="B2432" s="60" t="str">
        <f>IFERROR(__xludf.DUMMYFUNCTION("""COMPUTED_VALUE"""),"Young, Colbie")</f>
        <v>Young, Colbie</v>
      </c>
      <c r="C2432" s="60" t="str">
        <f>IFERROR(__xludf.DUMMYFUNCTION("""COMPUTED_VALUE"""),"WR")</f>
        <v>WR</v>
      </c>
      <c r="D2432" s="60" t="str">
        <f>IFERROR(__xludf.DUMMYFUNCTION("""COMPUTED_VALUE"""),"CIN")</f>
        <v>CIN</v>
      </c>
      <c r="E2432" s="62" t="str">
        <f t="shared" si="4"/>
        <v>Colbie Young</v>
      </c>
      <c r="F2432" s="62">
        <f t="shared" ref="F2432:G2432" si="4863">IF(isblank(F$1),,IF(isblank($A2432),,IFERROR(vlookup($A2432,indirect("'TVC-"&amp;text(month(F$1),"00")&amp;"'!$A:$D"),4,false),1)))</f>
        <v>1</v>
      </c>
      <c r="G2432" s="62">
        <f t="shared" si="4863"/>
        <v>1</v>
      </c>
      <c r="H2432" s="62">
        <f t="shared" ref="H2432:Q2432" si="4864">IF(isblank(H$1),,IFERROR(vlookup($A2432,indirect("'TVC-"&amp;text(month(H$1),"00")&amp;"'!$A:$D"),4,false),1))</f>
        <v>1</v>
      </c>
      <c r="I2432" s="62">
        <f t="shared" si="4864"/>
        <v>1</v>
      </c>
      <c r="J2432" s="62">
        <f t="shared" si="4864"/>
        <v>1</v>
      </c>
      <c r="K2432" s="62">
        <f t="shared" si="4864"/>
        <v>1</v>
      </c>
      <c r="L2432" s="62">
        <f t="shared" si="4864"/>
        <v>1</v>
      </c>
      <c r="M2432" s="62">
        <f t="shared" si="4864"/>
        <v>558</v>
      </c>
      <c r="N2432" s="62">
        <f t="shared" si="4864"/>
        <v>1247</v>
      </c>
      <c r="O2432" s="62">
        <f t="shared" si="4864"/>
        <v>1</v>
      </c>
      <c r="P2432" s="62" t="str">
        <f t="shared" si="4864"/>
        <v/>
      </c>
      <c r="Q2432" s="62" t="str">
        <f t="shared" si="4864"/>
        <v/>
      </c>
      <c r="R2432" s="62">
        <f t="shared" si="7"/>
        <v>-1246</v>
      </c>
      <c r="S2432" s="62"/>
      <c r="T2432" s="62"/>
      <c r="U2432" s="62"/>
      <c r="V2432" s="62"/>
      <c r="W2432" s="62"/>
      <c r="X2432" s="62"/>
      <c r="Y2432" s="62"/>
      <c r="Z2432" s="62"/>
      <c r="AA2432" s="62"/>
      <c r="AB2432" s="62"/>
      <c r="AC2432" s="62"/>
    </row>
    <row r="2433" hidden="1">
      <c r="A2433" s="60">
        <f>IFERROR(__xludf.DUMMYFUNCTION("""COMPUTED_VALUE"""),17543.0)</f>
        <v>17543</v>
      </c>
      <c r="B2433" s="60" t="str">
        <f>IFERROR(__xludf.DUMMYFUNCTION("""COMPUTED_VALUE"""),"Sadiq, Kenyon")</f>
        <v>Sadiq, Kenyon</v>
      </c>
      <c r="C2433" s="60" t="str">
        <f>IFERROR(__xludf.DUMMYFUNCTION("""COMPUTED_VALUE"""),"TE")</f>
        <v>TE</v>
      </c>
      <c r="D2433" s="60" t="str">
        <f>IFERROR(__xludf.DUMMYFUNCTION("""COMPUTED_VALUE"""),"NYJ")</f>
        <v>NYJ</v>
      </c>
      <c r="E2433" s="62" t="str">
        <f t="shared" si="4"/>
        <v>Kenyon Sadiq</v>
      </c>
      <c r="F2433" s="62">
        <f t="shared" ref="F2433:G2433" si="4865">IF(isblank(F$1),,IF(isblank($A2433),,IFERROR(vlookup($A2433,indirect("'TVC-"&amp;text(month(F$1),"00")&amp;"'!$A:$D"),4,false),1)))</f>
        <v>1</v>
      </c>
      <c r="G2433" s="62">
        <f t="shared" si="4865"/>
        <v>4481</v>
      </c>
      <c r="H2433" s="62">
        <f t="shared" ref="H2433:Q2433" si="4866">IF(isblank(H$1),,IFERROR(vlookup($A2433,indirect("'TVC-"&amp;text(month(H$1),"00")&amp;"'!$A:$D"),4,false),1))</f>
        <v>4507</v>
      </c>
      <c r="I2433" s="62">
        <f t="shared" si="4866"/>
        <v>4944</v>
      </c>
      <c r="J2433" s="62">
        <f t="shared" si="4866"/>
        <v>4568</v>
      </c>
      <c r="K2433" s="62">
        <f t="shared" si="4866"/>
        <v>4666</v>
      </c>
      <c r="L2433" s="62">
        <f t="shared" si="4866"/>
        <v>4561</v>
      </c>
      <c r="M2433" s="62">
        <f t="shared" si="4866"/>
        <v>4522</v>
      </c>
      <c r="N2433" s="62">
        <f t="shared" si="4866"/>
        <v>4113</v>
      </c>
      <c r="O2433" s="62">
        <f t="shared" si="4866"/>
        <v>1</v>
      </c>
      <c r="P2433" s="62" t="str">
        <f t="shared" si="4866"/>
        <v/>
      </c>
      <c r="Q2433" s="62" t="str">
        <f t="shared" si="4866"/>
        <v/>
      </c>
      <c r="R2433" s="62">
        <f t="shared" si="7"/>
        <v>-4112</v>
      </c>
      <c r="S2433" s="62"/>
      <c r="T2433" s="62"/>
      <c r="U2433" s="62"/>
      <c r="V2433" s="62"/>
      <c r="W2433" s="62"/>
      <c r="X2433" s="62"/>
      <c r="Y2433" s="62"/>
      <c r="Z2433" s="62"/>
      <c r="AA2433" s="62"/>
      <c r="AB2433" s="62"/>
      <c r="AC2433" s="62"/>
    </row>
    <row r="2434" hidden="1">
      <c r="A2434" s="60">
        <f>IFERROR(__xludf.DUMMYFUNCTION("""COMPUTED_VALUE"""),17544.0)</f>
        <v>17544</v>
      </c>
      <c r="B2434" s="60" t="str">
        <f>IFERROR(__xludf.DUMMYFUNCTION("""COMPUTED_VALUE"""),"Stowers, Eli")</f>
        <v>Stowers, Eli</v>
      </c>
      <c r="C2434" s="60" t="str">
        <f>IFERROR(__xludf.DUMMYFUNCTION("""COMPUTED_VALUE"""),"TE")</f>
        <v>TE</v>
      </c>
      <c r="D2434" s="60" t="str">
        <f>IFERROR(__xludf.DUMMYFUNCTION("""COMPUTED_VALUE"""),"PHI")</f>
        <v>PHI</v>
      </c>
      <c r="E2434" s="62" t="str">
        <f t="shared" si="4"/>
        <v>Eli Stowers</v>
      </c>
      <c r="F2434" s="62">
        <f t="shared" ref="F2434:G2434" si="4867">IF(isblank(F$1),,IF(isblank($A2434),,IFERROR(vlookup($A2434,indirect("'TVC-"&amp;text(month(F$1),"00")&amp;"'!$A:$D"),4,false),1)))</f>
        <v>1</v>
      </c>
      <c r="G2434" s="62">
        <f t="shared" si="4867"/>
        <v>2605</v>
      </c>
      <c r="H2434" s="62">
        <f t="shared" ref="H2434:Q2434" si="4868">IF(isblank(H$1),,IFERROR(vlookup($A2434,indirect("'TVC-"&amp;text(month(H$1),"00")&amp;"'!$A:$D"),4,false),1))</f>
        <v>2664</v>
      </c>
      <c r="I2434" s="62">
        <f t="shared" si="4868"/>
        <v>3038</v>
      </c>
      <c r="J2434" s="62">
        <f t="shared" si="4868"/>
        <v>3876</v>
      </c>
      <c r="K2434" s="62">
        <f t="shared" si="4868"/>
        <v>4183</v>
      </c>
      <c r="L2434" s="62">
        <f t="shared" si="4868"/>
        <v>4054</v>
      </c>
      <c r="M2434" s="62">
        <f t="shared" si="4868"/>
        <v>3864</v>
      </c>
      <c r="N2434" s="62">
        <f t="shared" si="4868"/>
        <v>3463</v>
      </c>
      <c r="O2434" s="62">
        <f t="shared" si="4868"/>
        <v>1</v>
      </c>
      <c r="P2434" s="62" t="str">
        <f t="shared" si="4868"/>
        <v/>
      </c>
      <c r="Q2434" s="62" t="str">
        <f t="shared" si="4868"/>
        <v/>
      </c>
      <c r="R2434" s="62">
        <f t="shared" si="7"/>
        <v>-3462</v>
      </c>
      <c r="S2434" s="62"/>
      <c r="T2434" s="62"/>
      <c r="U2434" s="62"/>
      <c r="V2434" s="62"/>
      <c r="W2434" s="62"/>
      <c r="X2434" s="62"/>
      <c r="Y2434" s="62"/>
      <c r="Z2434" s="62"/>
      <c r="AA2434" s="62"/>
      <c r="AB2434" s="62"/>
      <c r="AC2434" s="62"/>
    </row>
    <row r="2435" hidden="1">
      <c r="A2435" s="60">
        <f>IFERROR(__xludf.DUMMYFUNCTION("""COMPUTED_VALUE"""),17545.0)</f>
        <v>17545</v>
      </c>
      <c r="B2435" s="60" t="str">
        <f>IFERROR(__xludf.DUMMYFUNCTION("""COMPUTED_VALUE"""),"Endries, Jack")</f>
        <v>Endries, Jack</v>
      </c>
      <c r="C2435" s="60" t="str">
        <f>IFERROR(__xludf.DUMMYFUNCTION("""COMPUTED_VALUE"""),"TE")</f>
        <v>TE</v>
      </c>
      <c r="D2435" s="60" t="str">
        <f>IFERROR(__xludf.DUMMYFUNCTION("""COMPUTED_VALUE"""),"CIN")</f>
        <v>CIN</v>
      </c>
      <c r="E2435" s="62" t="str">
        <f t="shared" si="4"/>
        <v>Jack Endries</v>
      </c>
      <c r="F2435" s="62">
        <f t="shared" ref="F2435:G2435" si="4869">IF(isblank(F$1),,IF(isblank($A2435),,IFERROR(vlookup($A2435,indirect("'TVC-"&amp;text(month(F$1),"00")&amp;"'!$A:$D"),4,false),1)))</f>
        <v>1</v>
      </c>
      <c r="G2435" s="62">
        <f t="shared" si="4869"/>
        <v>2179</v>
      </c>
      <c r="H2435" s="62">
        <f t="shared" ref="H2435:Q2435" si="4870">IF(isblank(H$1),,IFERROR(vlookup($A2435,indirect("'TVC-"&amp;text(month(H$1),"00")&amp;"'!$A:$D"),4,false),1))</f>
        <v>1991</v>
      </c>
      <c r="I2435" s="62">
        <f t="shared" si="4870"/>
        <v>1314</v>
      </c>
      <c r="J2435" s="62">
        <f t="shared" si="4870"/>
        <v>924</v>
      </c>
      <c r="K2435" s="62">
        <f t="shared" si="4870"/>
        <v>1025</v>
      </c>
      <c r="L2435" s="62">
        <f t="shared" si="4870"/>
        <v>1051</v>
      </c>
      <c r="M2435" s="62">
        <f t="shared" si="4870"/>
        <v>1052</v>
      </c>
      <c r="N2435" s="62">
        <f t="shared" si="4870"/>
        <v>1462</v>
      </c>
      <c r="O2435" s="62">
        <f t="shared" si="4870"/>
        <v>1</v>
      </c>
      <c r="P2435" s="62" t="str">
        <f t="shared" si="4870"/>
        <v/>
      </c>
      <c r="Q2435" s="62" t="str">
        <f t="shared" si="4870"/>
        <v/>
      </c>
      <c r="R2435" s="62">
        <f t="shared" si="7"/>
        <v>-1461</v>
      </c>
      <c r="S2435" s="62"/>
      <c r="T2435" s="62"/>
      <c r="U2435" s="62"/>
      <c r="V2435" s="62"/>
      <c r="W2435" s="62"/>
      <c r="X2435" s="62"/>
      <c r="Y2435" s="62"/>
      <c r="Z2435" s="62"/>
      <c r="AA2435" s="62"/>
      <c r="AB2435" s="62"/>
      <c r="AC2435" s="62"/>
    </row>
    <row r="2436" hidden="1">
      <c r="A2436" s="60">
        <f>IFERROR(__xludf.DUMMYFUNCTION("""COMPUTED_VALUE"""),17546.0)</f>
        <v>17546</v>
      </c>
      <c r="B2436" s="60" t="str">
        <f>IFERROR(__xludf.DUMMYFUNCTION("""COMPUTED_VALUE"""),"Trigg, Michael")</f>
        <v>Trigg, Michael</v>
      </c>
      <c r="C2436" s="60" t="str">
        <f>IFERROR(__xludf.DUMMYFUNCTION("""COMPUTED_VALUE"""),"TE")</f>
        <v>TE</v>
      </c>
      <c r="D2436" s="60" t="str">
        <f>IFERROR(__xludf.DUMMYFUNCTION("""COMPUTED_VALUE"""),"DAL")</f>
        <v>DAL</v>
      </c>
      <c r="E2436" s="62" t="str">
        <f t="shared" si="4"/>
        <v>Michael Trigg</v>
      </c>
      <c r="F2436" s="62">
        <f t="shared" ref="F2436:G2436" si="4871">IF(isblank(F$1),,IF(isblank($A2436),,IFERROR(vlookup($A2436,indirect("'TVC-"&amp;text(month(F$1),"00")&amp;"'!$A:$D"),4,false),1)))</f>
        <v>1</v>
      </c>
      <c r="G2436" s="62">
        <f t="shared" si="4871"/>
        <v>2358</v>
      </c>
      <c r="H2436" s="62">
        <f t="shared" ref="H2436:Q2436" si="4872">IF(isblank(H$1),,IFERROR(vlookup($A2436,indirect("'TVC-"&amp;text(month(H$1),"00")&amp;"'!$A:$D"),4,false),1))</f>
        <v>2276</v>
      </c>
      <c r="I2436" s="62">
        <f t="shared" si="4872"/>
        <v>1610</v>
      </c>
      <c r="J2436" s="62">
        <f t="shared" si="4872"/>
        <v>1522</v>
      </c>
      <c r="K2436" s="62">
        <f t="shared" si="4872"/>
        <v>1512</v>
      </c>
      <c r="L2436" s="62">
        <f t="shared" si="4872"/>
        <v>1534</v>
      </c>
      <c r="M2436" s="62">
        <f t="shared" si="4872"/>
        <v>1541</v>
      </c>
      <c r="N2436" s="62">
        <f t="shared" si="4872"/>
        <v>1669</v>
      </c>
      <c r="O2436" s="62">
        <f t="shared" si="4872"/>
        <v>1</v>
      </c>
      <c r="P2436" s="62" t="str">
        <f t="shared" si="4872"/>
        <v/>
      </c>
      <c r="Q2436" s="62" t="str">
        <f t="shared" si="4872"/>
        <v/>
      </c>
      <c r="R2436" s="62">
        <f t="shared" si="7"/>
        <v>-1668</v>
      </c>
      <c r="S2436" s="62"/>
      <c r="T2436" s="62"/>
      <c r="U2436" s="62"/>
      <c r="V2436" s="62"/>
      <c r="W2436" s="62"/>
      <c r="X2436" s="62"/>
      <c r="Y2436" s="62"/>
      <c r="Z2436" s="62"/>
      <c r="AA2436" s="62"/>
      <c r="AB2436" s="62"/>
      <c r="AC2436" s="62"/>
    </row>
    <row r="2437" hidden="1">
      <c r="A2437" s="60">
        <f>IFERROR(__xludf.DUMMYFUNCTION("""COMPUTED_VALUE"""),17547.0)</f>
        <v>17547</v>
      </c>
      <c r="B2437" s="60" t="str">
        <f>IFERROR(__xludf.DUMMYFUNCTION("""COMPUTED_VALUE"""),"Klare, Max")</f>
        <v>Klare, Max</v>
      </c>
      <c r="C2437" s="60" t="str">
        <f>IFERROR(__xludf.DUMMYFUNCTION("""COMPUTED_VALUE"""),"TE")</f>
        <v>TE</v>
      </c>
      <c r="D2437" s="60" t="str">
        <f>IFERROR(__xludf.DUMMYFUNCTION("""COMPUTED_VALUE"""),"LAR")</f>
        <v>LAR</v>
      </c>
      <c r="E2437" s="62" t="str">
        <f t="shared" si="4"/>
        <v>Max Klare</v>
      </c>
      <c r="F2437" s="62">
        <f t="shared" ref="F2437:G2437" si="4873">IF(isblank(F$1),,IF(isblank($A2437),,IFERROR(vlookup($A2437,indirect("'TVC-"&amp;text(month(F$1),"00")&amp;"'!$A:$D"),4,false),1)))</f>
        <v>1</v>
      </c>
      <c r="G2437" s="62">
        <f t="shared" si="4873"/>
        <v>2394</v>
      </c>
      <c r="H2437" s="62">
        <f t="shared" ref="H2437:Q2437" si="4874">IF(isblank(H$1),,IFERROR(vlookup($A2437,indirect("'TVC-"&amp;text(month(H$1),"00")&amp;"'!$A:$D"),4,false),1))</f>
        <v>2242</v>
      </c>
      <c r="I2437" s="62">
        <f t="shared" si="4874"/>
        <v>1762</v>
      </c>
      <c r="J2437" s="62">
        <f t="shared" si="4874"/>
        <v>2217</v>
      </c>
      <c r="K2437" s="62">
        <f t="shared" si="4874"/>
        <v>2661</v>
      </c>
      <c r="L2437" s="62">
        <f t="shared" si="4874"/>
        <v>2751</v>
      </c>
      <c r="M2437" s="62">
        <f t="shared" si="4874"/>
        <v>2680</v>
      </c>
      <c r="N2437" s="62">
        <f t="shared" si="4874"/>
        <v>2644</v>
      </c>
      <c r="O2437" s="62">
        <f t="shared" si="4874"/>
        <v>1</v>
      </c>
      <c r="P2437" s="62" t="str">
        <f t="shared" si="4874"/>
        <v/>
      </c>
      <c r="Q2437" s="62" t="str">
        <f t="shared" si="4874"/>
        <v/>
      </c>
      <c r="R2437" s="62">
        <f t="shared" si="7"/>
        <v>-2643</v>
      </c>
      <c r="S2437" s="62"/>
      <c r="T2437" s="62"/>
      <c r="U2437" s="62"/>
      <c r="V2437" s="62"/>
      <c r="W2437" s="62"/>
      <c r="X2437" s="62"/>
      <c r="Y2437" s="62"/>
      <c r="Z2437" s="62"/>
      <c r="AA2437" s="62"/>
      <c r="AB2437" s="62"/>
      <c r="AC2437" s="62"/>
    </row>
    <row r="2438" hidden="1">
      <c r="A2438" s="60">
        <f>IFERROR(__xludf.DUMMYFUNCTION("""COMPUTED_VALUE"""),17548.0)</f>
        <v>17548</v>
      </c>
      <c r="B2438" s="60" t="str">
        <f>IFERROR(__xludf.DUMMYFUNCTION("""COMPUTED_VALUE"""),"Joly, Justin")</f>
        <v>Joly, Justin</v>
      </c>
      <c r="C2438" s="60" t="str">
        <f>IFERROR(__xludf.DUMMYFUNCTION("""COMPUTED_VALUE"""),"TE")</f>
        <v>TE</v>
      </c>
      <c r="D2438" s="60" t="str">
        <f>IFERROR(__xludf.DUMMYFUNCTION("""COMPUTED_VALUE"""),"MIA")</f>
        <v>MIA</v>
      </c>
      <c r="E2438" s="62" t="str">
        <f t="shared" si="4"/>
        <v>Justin Joly</v>
      </c>
      <c r="F2438" s="62">
        <f t="shared" ref="F2438:G2438" si="4875">IF(isblank(F$1),,IF(isblank($A2438),,IFERROR(vlookup($A2438,indirect("'TVC-"&amp;text(month(F$1),"00")&amp;"'!$A:$D"),4,false),1)))</f>
        <v>1</v>
      </c>
      <c r="G2438" s="62">
        <f t="shared" si="4875"/>
        <v>1</v>
      </c>
      <c r="H2438" s="62">
        <f t="shared" ref="H2438:Q2438" si="4876">IF(isblank(H$1),,IFERROR(vlookup($A2438,indirect("'TVC-"&amp;text(month(H$1),"00")&amp;"'!$A:$D"),4,false),1))</f>
        <v>1</v>
      </c>
      <c r="I2438" s="62">
        <f t="shared" si="4876"/>
        <v>1</v>
      </c>
      <c r="J2438" s="62">
        <f t="shared" si="4876"/>
        <v>781</v>
      </c>
      <c r="K2438" s="62">
        <f t="shared" si="4876"/>
        <v>1930</v>
      </c>
      <c r="L2438" s="62">
        <f t="shared" si="4876"/>
        <v>2147</v>
      </c>
      <c r="M2438" s="62">
        <f t="shared" si="4876"/>
        <v>2235</v>
      </c>
      <c r="N2438" s="62">
        <f t="shared" si="4876"/>
        <v>2314</v>
      </c>
      <c r="O2438" s="62">
        <f t="shared" si="4876"/>
        <v>1</v>
      </c>
      <c r="P2438" s="62" t="str">
        <f t="shared" si="4876"/>
        <v/>
      </c>
      <c r="Q2438" s="62" t="str">
        <f t="shared" si="4876"/>
        <v/>
      </c>
      <c r="R2438" s="62">
        <f t="shared" si="7"/>
        <v>-2313</v>
      </c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</row>
    <row r="2439" hidden="1">
      <c r="A2439" s="60">
        <f>IFERROR(__xludf.DUMMYFUNCTION("""COMPUTED_VALUE"""),17549.0)</f>
        <v>17549</v>
      </c>
      <c r="B2439" s="60" t="str">
        <f>IFERROR(__xludf.DUMMYFUNCTION("""COMPUTED_VALUE"""),"Roush, Sam")</f>
        <v>Roush, Sam</v>
      </c>
      <c r="C2439" s="60" t="str">
        <f>IFERROR(__xludf.DUMMYFUNCTION("""COMPUTED_VALUE"""),"TE")</f>
        <v>TE</v>
      </c>
      <c r="D2439" s="60" t="str">
        <f>IFERROR(__xludf.DUMMYFUNCTION("""COMPUTED_VALUE"""),"CHI")</f>
        <v>CHI</v>
      </c>
      <c r="E2439" s="62" t="str">
        <f t="shared" si="4"/>
        <v>Sam Roush</v>
      </c>
      <c r="F2439" s="62">
        <f t="shared" ref="F2439:G2439" si="4877">IF(isblank(F$1),,IF(isblank($A2439),,IFERROR(vlookup($A2439,indirect("'TVC-"&amp;text(month(F$1),"00")&amp;"'!$A:$D"),4,false),1)))</f>
        <v>1</v>
      </c>
      <c r="G2439" s="62">
        <f t="shared" si="4877"/>
        <v>1</v>
      </c>
      <c r="H2439" s="62">
        <f t="shared" ref="H2439:Q2439" si="4878">IF(isblank(H$1),,IFERROR(vlookup($A2439,indirect("'TVC-"&amp;text(month(H$1),"00")&amp;"'!$A:$D"),4,false),1))</f>
        <v>1</v>
      </c>
      <c r="I2439" s="62">
        <f t="shared" si="4878"/>
        <v>1</v>
      </c>
      <c r="J2439" s="62">
        <f t="shared" si="4878"/>
        <v>651</v>
      </c>
      <c r="K2439" s="62">
        <f t="shared" si="4878"/>
        <v>1231</v>
      </c>
      <c r="L2439" s="62">
        <f t="shared" si="4878"/>
        <v>1216</v>
      </c>
      <c r="M2439" s="62">
        <f t="shared" si="4878"/>
        <v>1303</v>
      </c>
      <c r="N2439" s="62">
        <f t="shared" si="4878"/>
        <v>1455</v>
      </c>
      <c r="O2439" s="62">
        <f t="shared" si="4878"/>
        <v>1</v>
      </c>
      <c r="P2439" s="62" t="str">
        <f t="shared" si="4878"/>
        <v/>
      </c>
      <c r="Q2439" s="62" t="str">
        <f t="shared" si="4878"/>
        <v/>
      </c>
      <c r="R2439" s="62">
        <f t="shared" si="7"/>
        <v>-1454</v>
      </c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</row>
    <row r="2440" hidden="1">
      <c r="A2440" s="60">
        <f>IFERROR(__xludf.DUMMYFUNCTION("""COMPUTED_VALUE"""),17550.0)</f>
        <v>17550</v>
      </c>
      <c r="B2440" s="60" t="str">
        <f>IFERROR(__xludf.DUMMYFUNCTION("""COMPUTED_VALUE"""),"Bain Jr., Rueben")</f>
        <v>Bain Jr., Rueben</v>
      </c>
      <c r="C2440" s="60" t="str">
        <f>IFERROR(__xludf.DUMMYFUNCTION("""COMPUTED_VALUE"""),"DE")</f>
        <v>DE</v>
      </c>
      <c r="D2440" s="60" t="str">
        <f>IFERROR(__xludf.DUMMYFUNCTION("""COMPUTED_VALUE"""),"TBB")</f>
        <v>TBB</v>
      </c>
      <c r="E2440" s="62" t="str">
        <f t="shared" si="4"/>
        <v>Rueben Bain Jr.</v>
      </c>
      <c r="F2440" s="62">
        <f t="shared" ref="F2440:G2440" si="4879">IF(isblank(F$1),,IF(isblank($A2440),,IFERROR(vlookup($A2440,indirect("'TVC-"&amp;text(month(F$1),"00")&amp;"'!$A:$D"),4,false),1)))</f>
        <v>1</v>
      </c>
      <c r="G2440" s="62">
        <f t="shared" si="4879"/>
        <v>1</v>
      </c>
      <c r="H2440" s="62">
        <f t="shared" ref="H2440:Q2440" si="4880">IF(isblank(H$1),,IFERROR(vlookup($A2440,indirect("'TVC-"&amp;text(month(H$1),"00")&amp;"'!$A:$D"),4,false),1))</f>
        <v>1</v>
      </c>
      <c r="I2440" s="62">
        <f t="shared" si="4880"/>
        <v>1</v>
      </c>
      <c r="J2440" s="62">
        <f t="shared" si="4880"/>
        <v>1</v>
      </c>
      <c r="K2440" s="62">
        <f t="shared" si="4880"/>
        <v>1</v>
      </c>
      <c r="L2440" s="62">
        <f t="shared" si="4880"/>
        <v>1</v>
      </c>
      <c r="M2440" s="62">
        <f t="shared" si="4880"/>
        <v>1</v>
      </c>
      <c r="N2440" s="62">
        <f t="shared" si="4880"/>
        <v>1</v>
      </c>
      <c r="O2440" s="62">
        <f t="shared" si="4880"/>
        <v>1</v>
      </c>
      <c r="P2440" s="62" t="str">
        <f t="shared" si="4880"/>
        <v/>
      </c>
      <c r="Q2440" s="62" t="str">
        <f t="shared" si="4880"/>
        <v/>
      </c>
      <c r="R2440" s="62">
        <f t="shared" si="7"/>
        <v>0</v>
      </c>
      <c r="S2440" s="62"/>
      <c r="T2440" s="62"/>
      <c r="U2440" s="62"/>
      <c r="V2440" s="62"/>
      <c r="W2440" s="62"/>
      <c r="X2440" s="62"/>
      <c r="Y2440" s="62"/>
      <c r="Z2440" s="62"/>
      <c r="AA2440" s="62"/>
      <c r="AB2440" s="62"/>
      <c r="AC2440" s="62"/>
    </row>
    <row r="2441" hidden="1">
      <c r="A2441" s="60">
        <f>IFERROR(__xludf.DUMMYFUNCTION("""COMPUTED_VALUE"""),17551.0)</f>
        <v>17551</v>
      </c>
      <c r="B2441" s="60" t="str">
        <f>IFERROR(__xludf.DUMMYFUNCTION("""COMPUTED_VALUE"""),"Bailey, David")</f>
        <v>Bailey, David</v>
      </c>
      <c r="C2441" s="60" t="str">
        <f>IFERROR(__xludf.DUMMYFUNCTION("""COMPUTED_VALUE"""),"DE")</f>
        <v>DE</v>
      </c>
      <c r="D2441" s="60" t="str">
        <f>IFERROR(__xludf.DUMMYFUNCTION("""COMPUTED_VALUE"""),"NYJ")</f>
        <v>NYJ</v>
      </c>
      <c r="E2441" s="62" t="str">
        <f t="shared" si="4"/>
        <v>David Bailey</v>
      </c>
      <c r="F2441" s="62">
        <f t="shared" ref="F2441:G2441" si="4881">IF(isblank(F$1),,IF(isblank($A2441),,IFERROR(vlookup($A2441,indirect("'TVC-"&amp;text(month(F$1),"00")&amp;"'!$A:$D"),4,false),1)))</f>
        <v>1</v>
      </c>
      <c r="G2441" s="62">
        <f t="shared" si="4881"/>
        <v>1</v>
      </c>
      <c r="H2441" s="62">
        <f t="shared" ref="H2441:Q2441" si="4882">IF(isblank(H$1),,IFERROR(vlookup($A2441,indirect("'TVC-"&amp;text(month(H$1),"00")&amp;"'!$A:$D"),4,false),1))</f>
        <v>1</v>
      </c>
      <c r="I2441" s="62">
        <f t="shared" si="4882"/>
        <v>1</v>
      </c>
      <c r="J2441" s="62">
        <f t="shared" si="4882"/>
        <v>1</v>
      </c>
      <c r="K2441" s="62">
        <f t="shared" si="4882"/>
        <v>1</v>
      </c>
      <c r="L2441" s="62">
        <f t="shared" si="4882"/>
        <v>1</v>
      </c>
      <c r="M2441" s="62">
        <f t="shared" si="4882"/>
        <v>1</v>
      </c>
      <c r="N2441" s="62">
        <f t="shared" si="4882"/>
        <v>1</v>
      </c>
      <c r="O2441" s="62">
        <f t="shared" si="4882"/>
        <v>1</v>
      </c>
      <c r="P2441" s="62" t="str">
        <f t="shared" si="4882"/>
        <v/>
      </c>
      <c r="Q2441" s="62" t="str">
        <f t="shared" si="4882"/>
        <v/>
      </c>
      <c r="R2441" s="62">
        <f t="shared" si="7"/>
        <v>0</v>
      </c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</row>
    <row r="2442" hidden="1">
      <c r="A2442" s="60">
        <f>IFERROR(__xludf.DUMMYFUNCTION("""COMPUTED_VALUE"""),17552.0)</f>
        <v>17552</v>
      </c>
      <c r="B2442" s="60" t="str">
        <f>IFERROR(__xludf.DUMMYFUNCTION("""COMPUTED_VALUE"""),"Howell, Cashius")</f>
        <v>Howell, Cashius</v>
      </c>
      <c r="C2442" s="60" t="str">
        <f>IFERROR(__xludf.DUMMYFUNCTION("""COMPUTED_VALUE"""),"DE")</f>
        <v>DE</v>
      </c>
      <c r="D2442" s="60" t="str">
        <f>IFERROR(__xludf.DUMMYFUNCTION("""COMPUTED_VALUE"""),"CIN")</f>
        <v>CIN</v>
      </c>
      <c r="E2442" s="62" t="str">
        <f t="shared" si="4"/>
        <v>Cashius Howell</v>
      </c>
      <c r="F2442" s="62">
        <f t="shared" ref="F2442:G2442" si="4883">IF(isblank(F$1),,IF(isblank($A2442),,IFERROR(vlookup($A2442,indirect("'TVC-"&amp;text(month(F$1),"00")&amp;"'!$A:$D"),4,false),1)))</f>
        <v>1</v>
      </c>
      <c r="G2442" s="62">
        <f t="shared" si="4883"/>
        <v>1</v>
      </c>
      <c r="H2442" s="62">
        <f t="shared" ref="H2442:Q2442" si="4884">IF(isblank(H$1),,IFERROR(vlookup($A2442,indirect("'TVC-"&amp;text(month(H$1),"00")&amp;"'!$A:$D"),4,false),1))</f>
        <v>1</v>
      </c>
      <c r="I2442" s="62">
        <f t="shared" si="4884"/>
        <v>1</v>
      </c>
      <c r="J2442" s="62">
        <f t="shared" si="4884"/>
        <v>1</v>
      </c>
      <c r="K2442" s="62">
        <f t="shared" si="4884"/>
        <v>1</v>
      </c>
      <c r="L2442" s="62">
        <f t="shared" si="4884"/>
        <v>1</v>
      </c>
      <c r="M2442" s="62">
        <f t="shared" si="4884"/>
        <v>1</v>
      </c>
      <c r="N2442" s="62">
        <f t="shared" si="4884"/>
        <v>1</v>
      </c>
      <c r="O2442" s="62">
        <f t="shared" si="4884"/>
        <v>1</v>
      </c>
      <c r="P2442" s="62" t="str">
        <f t="shared" si="4884"/>
        <v/>
      </c>
      <c r="Q2442" s="62" t="str">
        <f t="shared" si="4884"/>
        <v/>
      </c>
      <c r="R2442" s="62">
        <f t="shared" si="7"/>
        <v>0</v>
      </c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</row>
    <row r="2443" hidden="1">
      <c r="A2443" s="60">
        <f>IFERROR(__xludf.DUMMYFUNCTION("""COMPUTED_VALUE"""),17553.0)</f>
        <v>17553</v>
      </c>
      <c r="B2443" s="60" t="str">
        <f>IFERROR(__xludf.DUMMYFUNCTION("""COMPUTED_VALUE"""),"Faulk, Keldric")</f>
        <v>Faulk, Keldric</v>
      </c>
      <c r="C2443" s="60" t="str">
        <f>IFERROR(__xludf.DUMMYFUNCTION("""COMPUTED_VALUE"""),"DE")</f>
        <v>DE</v>
      </c>
      <c r="D2443" s="60" t="str">
        <f>IFERROR(__xludf.DUMMYFUNCTION("""COMPUTED_VALUE"""),"TEN")</f>
        <v>TEN</v>
      </c>
      <c r="E2443" s="62" t="str">
        <f t="shared" si="4"/>
        <v>Keldric Faulk</v>
      </c>
      <c r="F2443" s="62">
        <f t="shared" ref="F2443:G2443" si="4885">IF(isblank(F$1),,IF(isblank($A2443),,IFERROR(vlookup($A2443,indirect("'TVC-"&amp;text(month(F$1),"00")&amp;"'!$A:$D"),4,false),1)))</f>
        <v>1</v>
      </c>
      <c r="G2443" s="62">
        <f t="shared" si="4885"/>
        <v>1</v>
      </c>
      <c r="H2443" s="62">
        <f t="shared" ref="H2443:Q2443" si="4886">IF(isblank(H$1),,IFERROR(vlookup($A2443,indirect("'TVC-"&amp;text(month(H$1),"00")&amp;"'!$A:$D"),4,false),1))</f>
        <v>1</v>
      </c>
      <c r="I2443" s="62">
        <f t="shared" si="4886"/>
        <v>1</v>
      </c>
      <c r="J2443" s="62">
        <f t="shared" si="4886"/>
        <v>1</v>
      </c>
      <c r="K2443" s="62">
        <f t="shared" si="4886"/>
        <v>1</v>
      </c>
      <c r="L2443" s="62">
        <f t="shared" si="4886"/>
        <v>1</v>
      </c>
      <c r="M2443" s="62">
        <f t="shared" si="4886"/>
        <v>1</v>
      </c>
      <c r="N2443" s="62">
        <f t="shared" si="4886"/>
        <v>1</v>
      </c>
      <c r="O2443" s="62">
        <f t="shared" si="4886"/>
        <v>1</v>
      </c>
      <c r="P2443" s="62" t="str">
        <f t="shared" si="4886"/>
        <v/>
      </c>
      <c r="Q2443" s="62" t="str">
        <f t="shared" si="4886"/>
        <v/>
      </c>
      <c r="R2443" s="62">
        <f t="shared" si="7"/>
        <v>0</v>
      </c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</row>
    <row r="2444" hidden="1">
      <c r="A2444" s="60">
        <f>IFERROR(__xludf.DUMMYFUNCTION("""COMPUTED_VALUE"""),17554.0)</f>
        <v>17554</v>
      </c>
      <c r="B2444" s="60" t="str">
        <f>IFERROR(__xludf.DUMMYFUNCTION("""COMPUTED_VALUE"""),"Parker, T.J.")</f>
        <v>Parker, T.J.</v>
      </c>
      <c r="C2444" s="60" t="str">
        <f>IFERROR(__xludf.DUMMYFUNCTION("""COMPUTED_VALUE"""),"DE")</f>
        <v>DE</v>
      </c>
      <c r="D2444" s="60" t="str">
        <f>IFERROR(__xludf.DUMMYFUNCTION("""COMPUTED_VALUE"""),"BUF")</f>
        <v>BUF</v>
      </c>
      <c r="E2444" s="62" t="str">
        <f t="shared" si="4"/>
        <v>T.J. Parker</v>
      </c>
      <c r="F2444" s="62">
        <f t="shared" ref="F2444:G2444" si="4887">IF(isblank(F$1),,IF(isblank($A2444),,IFERROR(vlookup($A2444,indirect("'TVC-"&amp;text(month(F$1),"00")&amp;"'!$A:$D"),4,false),1)))</f>
        <v>1</v>
      </c>
      <c r="G2444" s="62">
        <f t="shared" si="4887"/>
        <v>1</v>
      </c>
      <c r="H2444" s="62">
        <f t="shared" ref="H2444:Q2444" si="4888">IF(isblank(H$1),,IFERROR(vlookup($A2444,indirect("'TVC-"&amp;text(month(H$1),"00")&amp;"'!$A:$D"),4,false),1))</f>
        <v>1</v>
      </c>
      <c r="I2444" s="62">
        <f t="shared" si="4888"/>
        <v>1</v>
      </c>
      <c r="J2444" s="62">
        <f t="shared" si="4888"/>
        <v>1</v>
      </c>
      <c r="K2444" s="62">
        <f t="shared" si="4888"/>
        <v>1</v>
      </c>
      <c r="L2444" s="62">
        <f t="shared" si="4888"/>
        <v>1</v>
      </c>
      <c r="M2444" s="62">
        <f t="shared" si="4888"/>
        <v>1</v>
      </c>
      <c r="N2444" s="62">
        <f t="shared" si="4888"/>
        <v>1</v>
      </c>
      <c r="O2444" s="62">
        <f t="shared" si="4888"/>
        <v>1</v>
      </c>
      <c r="P2444" s="62" t="str">
        <f t="shared" si="4888"/>
        <v/>
      </c>
      <c r="Q2444" s="62" t="str">
        <f t="shared" si="4888"/>
        <v/>
      </c>
      <c r="R2444" s="62">
        <f t="shared" si="7"/>
        <v>0</v>
      </c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</row>
    <row r="2445" hidden="1">
      <c r="A2445" s="60">
        <f>IFERROR(__xludf.DUMMYFUNCTION("""COMPUTED_VALUE"""),17555.0)</f>
        <v>17555</v>
      </c>
      <c r="B2445" s="60" t="str">
        <f>IFERROR(__xludf.DUMMYFUNCTION("""COMPUTED_VALUE"""),"Woods, Peter")</f>
        <v>Woods, Peter</v>
      </c>
      <c r="C2445" s="60" t="str">
        <f>IFERROR(__xludf.DUMMYFUNCTION("""COMPUTED_VALUE"""),"DT")</f>
        <v>DT</v>
      </c>
      <c r="D2445" s="60" t="str">
        <f>IFERROR(__xludf.DUMMYFUNCTION("""COMPUTED_VALUE"""),"KCC")</f>
        <v>KCC</v>
      </c>
      <c r="E2445" s="62" t="str">
        <f t="shared" si="4"/>
        <v>Peter Woods</v>
      </c>
      <c r="F2445" s="62">
        <f t="shared" ref="F2445:G2445" si="4889">IF(isblank(F$1),,IF(isblank($A2445),,IFERROR(vlookup($A2445,indirect("'TVC-"&amp;text(month(F$1),"00")&amp;"'!$A:$D"),4,false),1)))</f>
        <v>1</v>
      </c>
      <c r="G2445" s="62">
        <f t="shared" si="4889"/>
        <v>1</v>
      </c>
      <c r="H2445" s="62">
        <f t="shared" ref="H2445:Q2445" si="4890">IF(isblank(H$1),,IFERROR(vlookup($A2445,indirect("'TVC-"&amp;text(month(H$1),"00")&amp;"'!$A:$D"),4,false),1))</f>
        <v>1</v>
      </c>
      <c r="I2445" s="62">
        <f t="shared" si="4890"/>
        <v>1</v>
      </c>
      <c r="J2445" s="62">
        <f t="shared" si="4890"/>
        <v>1</v>
      </c>
      <c r="K2445" s="62">
        <f t="shared" si="4890"/>
        <v>1</v>
      </c>
      <c r="L2445" s="62">
        <f t="shared" si="4890"/>
        <v>1</v>
      </c>
      <c r="M2445" s="62">
        <f t="shared" si="4890"/>
        <v>1</v>
      </c>
      <c r="N2445" s="62">
        <f t="shared" si="4890"/>
        <v>1</v>
      </c>
      <c r="O2445" s="62">
        <f t="shared" si="4890"/>
        <v>1</v>
      </c>
      <c r="P2445" s="62" t="str">
        <f t="shared" si="4890"/>
        <v/>
      </c>
      <c r="Q2445" s="62" t="str">
        <f t="shared" si="4890"/>
        <v/>
      </c>
      <c r="R2445" s="62">
        <f t="shared" si="7"/>
        <v>0</v>
      </c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</row>
    <row r="2446" hidden="1">
      <c r="A2446" s="60">
        <f>IFERROR(__xludf.DUMMYFUNCTION("""COMPUTED_VALUE"""),17556.0)</f>
        <v>17556</v>
      </c>
      <c r="B2446" s="60" t="str">
        <f>IFERROR(__xludf.DUMMYFUNCTION("""COMPUTED_VALUE"""),"Reese, Arvell")</f>
        <v>Reese, Arvell</v>
      </c>
      <c r="C2446" s="60" t="str">
        <f>IFERROR(__xludf.DUMMYFUNCTION("""COMPUTED_VALUE"""),"LB")</f>
        <v>LB</v>
      </c>
      <c r="D2446" s="60" t="str">
        <f>IFERROR(__xludf.DUMMYFUNCTION("""COMPUTED_VALUE"""),"NYG")</f>
        <v>NYG</v>
      </c>
      <c r="E2446" s="62" t="str">
        <f t="shared" si="4"/>
        <v>Arvell Reese</v>
      </c>
      <c r="F2446" s="62">
        <f t="shared" ref="F2446:G2446" si="4891">IF(isblank(F$1),,IF(isblank($A2446),,IFERROR(vlookup($A2446,indirect("'TVC-"&amp;text(month(F$1),"00")&amp;"'!$A:$D"),4,false),1)))</f>
        <v>1</v>
      </c>
      <c r="G2446" s="62">
        <f t="shared" si="4891"/>
        <v>1</v>
      </c>
      <c r="H2446" s="62">
        <f t="shared" ref="H2446:Q2446" si="4892">IF(isblank(H$1),,IFERROR(vlookup($A2446,indirect("'TVC-"&amp;text(month(H$1),"00")&amp;"'!$A:$D"),4,false),1))</f>
        <v>1</v>
      </c>
      <c r="I2446" s="62">
        <f t="shared" si="4892"/>
        <v>1</v>
      </c>
      <c r="J2446" s="62">
        <f t="shared" si="4892"/>
        <v>1</v>
      </c>
      <c r="K2446" s="62">
        <f t="shared" si="4892"/>
        <v>1</v>
      </c>
      <c r="L2446" s="62">
        <f t="shared" si="4892"/>
        <v>1</v>
      </c>
      <c r="M2446" s="62">
        <f t="shared" si="4892"/>
        <v>1</v>
      </c>
      <c r="N2446" s="62">
        <f t="shared" si="4892"/>
        <v>1</v>
      </c>
      <c r="O2446" s="62">
        <f t="shared" si="4892"/>
        <v>1</v>
      </c>
      <c r="P2446" s="62" t="str">
        <f t="shared" si="4892"/>
        <v/>
      </c>
      <c r="Q2446" s="62" t="str">
        <f t="shared" si="4892"/>
        <v/>
      </c>
      <c r="R2446" s="62">
        <f t="shared" si="7"/>
        <v>0</v>
      </c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</row>
    <row r="2447">
      <c r="A2447" s="60">
        <f>IFERROR(__xludf.DUMMYFUNCTION("""COMPUTED_VALUE"""),17557.0)</f>
        <v>17557</v>
      </c>
      <c r="B2447" s="60" t="str">
        <f>IFERROR(__xludf.DUMMYFUNCTION("""COMPUTED_VALUE"""),"Styles, Sonny")</f>
        <v>Styles, Sonny</v>
      </c>
      <c r="C2447" s="60" t="str">
        <f>IFERROR(__xludf.DUMMYFUNCTION("""COMPUTED_VALUE"""),"LB")</f>
        <v>LB</v>
      </c>
      <c r="D2447" s="60" t="str">
        <f>IFERROR(__xludf.DUMMYFUNCTION("""COMPUTED_VALUE"""),"WAS")</f>
        <v>WAS</v>
      </c>
      <c r="E2447" s="62" t="str">
        <f t="shared" si="4"/>
        <v>Sonny Styles</v>
      </c>
      <c r="F2447" s="62">
        <f t="shared" ref="F2447:G2447" si="4893">IF(isblank(F$1),,IF(isblank($A2447),,IFERROR(vlookup($A2447,indirect("'TVC-"&amp;text(month(F$1),"00")&amp;"'!$A:$D"),4,false),1)))</f>
        <v>1</v>
      </c>
      <c r="G2447" s="62">
        <f t="shared" si="4893"/>
        <v>1</v>
      </c>
      <c r="H2447" s="62">
        <f t="shared" ref="H2447:Q2447" si="4894">IF(isblank(H$1),,IFERROR(vlookup($A2447,indirect("'TVC-"&amp;text(month(H$1),"00")&amp;"'!$A:$D"),4,false),1))</f>
        <v>1</v>
      </c>
      <c r="I2447" s="62">
        <f t="shared" si="4894"/>
        <v>1</v>
      </c>
      <c r="J2447" s="62">
        <f t="shared" si="4894"/>
        <v>1</v>
      </c>
      <c r="K2447" s="62">
        <f t="shared" si="4894"/>
        <v>1</v>
      </c>
      <c r="L2447" s="62">
        <f t="shared" si="4894"/>
        <v>1</v>
      </c>
      <c r="M2447" s="62">
        <f t="shared" si="4894"/>
        <v>1</v>
      </c>
      <c r="N2447" s="62">
        <f t="shared" si="4894"/>
        <v>1</v>
      </c>
      <c r="O2447" s="62">
        <f t="shared" si="4894"/>
        <v>1</v>
      </c>
      <c r="P2447" s="62" t="str">
        <f t="shared" si="4894"/>
        <v/>
      </c>
      <c r="Q2447" s="62" t="str">
        <f t="shared" si="4894"/>
        <v/>
      </c>
      <c r="R2447" s="62">
        <f t="shared" si="7"/>
        <v>0</v>
      </c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</row>
    <row r="2448" hidden="1">
      <c r="A2448" s="60">
        <f>IFERROR(__xludf.DUMMYFUNCTION("""COMPUTED_VALUE"""),17558.0)</f>
        <v>17558</v>
      </c>
      <c r="B2448" s="60" t="str">
        <f>IFERROR(__xludf.DUMMYFUNCTION("""COMPUTED_VALUE"""),"Allen, CJ")</f>
        <v>Allen, CJ</v>
      </c>
      <c r="C2448" s="60" t="str">
        <f>IFERROR(__xludf.DUMMYFUNCTION("""COMPUTED_VALUE"""),"LB")</f>
        <v>LB</v>
      </c>
      <c r="D2448" s="60" t="str">
        <f>IFERROR(__xludf.DUMMYFUNCTION("""COMPUTED_VALUE"""),"IND")</f>
        <v>IND</v>
      </c>
      <c r="E2448" s="62" t="str">
        <f t="shared" si="4"/>
        <v>CJ Allen</v>
      </c>
      <c r="F2448" s="62">
        <f t="shared" ref="F2448:G2448" si="4895">IF(isblank(F$1),,IF(isblank($A2448),,IFERROR(vlookup($A2448,indirect("'TVC-"&amp;text(month(F$1),"00")&amp;"'!$A:$D"),4,false),1)))</f>
        <v>1</v>
      </c>
      <c r="G2448" s="62">
        <f t="shared" si="4895"/>
        <v>1</v>
      </c>
      <c r="H2448" s="62">
        <f t="shared" ref="H2448:Q2448" si="4896">IF(isblank(H$1),,IFERROR(vlookup($A2448,indirect("'TVC-"&amp;text(month(H$1),"00")&amp;"'!$A:$D"),4,false),1))</f>
        <v>1</v>
      </c>
      <c r="I2448" s="62">
        <f t="shared" si="4896"/>
        <v>1</v>
      </c>
      <c r="J2448" s="62">
        <f t="shared" si="4896"/>
        <v>1</v>
      </c>
      <c r="K2448" s="62">
        <f t="shared" si="4896"/>
        <v>1</v>
      </c>
      <c r="L2448" s="62">
        <f t="shared" si="4896"/>
        <v>1</v>
      </c>
      <c r="M2448" s="62">
        <f t="shared" si="4896"/>
        <v>1</v>
      </c>
      <c r="N2448" s="62">
        <f t="shared" si="4896"/>
        <v>1</v>
      </c>
      <c r="O2448" s="62">
        <f t="shared" si="4896"/>
        <v>1</v>
      </c>
      <c r="P2448" s="62" t="str">
        <f t="shared" si="4896"/>
        <v/>
      </c>
      <c r="Q2448" s="62" t="str">
        <f t="shared" si="4896"/>
        <v/>
      </c>
      <c r="R2448" s="62">
        <f t="shared" si="7"/>
        <v>0</v>
      </c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</row>
    <row r="2449" hidden="1">
      <c r="A2449" s="60">
        <f>IFERROR(__xludf.DUMMYFUNCTION("""COMPUTED_VALUE"""),17559.0)</f>
        <v>17559</v>
      </c>
      <c r="B2449" s="60" t="str">
        <f>IFERROR(__xludf.DUMMYFUNCTION("""COMPUTED_VALUE"""),"Lawson, Deontae")</f>
        <v>Lawson, Deontae</v>
      </c>
      <c r="C2449" s="60" t="str">
        <f>IFERROR(__xludf.DUMMYFUNCTION("""COMPUTED_VALUE"""),"LB")</f>
        <v>LB</v>
      </c>
      <c r="D2449" s="60" t="str">
        <f>IFERROR(__xludf.DUMMYFUNCTION("""COMPUTED_VALUE"""),"FA")</f>
        <v>FA</v>
      </c>
      <c r="E2449" s="62" t="str">
        <f t="shared" si="4"/>
        <v>Deontae Lawson</v>
      </c>
      <c r="F2449" s="62">
        <f t="shared" ref="F2449:G2449" si="4897">IF(isblank(F$1),,IF(isblank($A2449),,IFERROR(vlookup($A2449,indirect("'TVC-"&amp;text(month(F$1),"00")&amp;"'!$A:$D"),4,false),1)))</f>
        <v>1</v>
      </c>
      <c r="G2449" s="62">
        <f t="shared" si="4897"/>
        <v>1</v>
      </c>
      <c r="H2449" s="62">
        <f t="shared" ref="H2449:Q2449" si="4898">IF(isblank(H$1),,IFERROR(vlookup($A2449,indirect("'TVC-"&amp;text(month(H$1),"00")&amp;"'!$A:$D"),4,false),1))</f>
        <v>1</v>
      </c>
      <c r="I2449" s="62">
        <f t="shared" si="4898"/>
        <v>1</v>
      </c>
      <c r="J2449" s="62">
        <f t="shared" si="4898"/>
        <v>1</v>
      </c>
      <c r="K2449" s="62">
        <f t="shared" si="4898"/>
        <v>1</v>
      </c>
      <c r="L2449" s="62">
        <f t="shared" si="4898"/>
        <v>1</v>
      </c>
      <c r="M2449" s="62">
        <f t="shared" si="4898"/>
        <v>1</v>
      </c>
      <c r="N2449" s="62">
        <f t="shared" si="4898"/>
        <v>1</v>
      </c>
      <c r="O2449" s="62">
        <f t="shared" si="4898"/>
        <v>1</v>
      </c>
      <c r="P2449" s="62" t="str">
        <f t="shared" si="4898"/>
        <v/>
      </c>
      <c r="Q2449" s="62" t="str">
        <f t="shared" si="4898"/>
        <v/>
      </c>
      <c r="R2449" s="62">
        <f t="shared" si="7"/>
        <v>0</v>
      </c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</row>
    <row r="2450" hidden="1">
      <c r="A2450" s="60">
        <f>IFERROR(__xludf.DUMMYFUNCTION("""COMPUTED_VALUE"""),17560.0)</f>
        <v>17560</v>
      </c>
      <c r="B2450" s="60" t="str">
        <f>IFERROR(__xludf.DUMMYFUNCTION("""COMPUTED_VALUE"""),"Hill Jr., Anthony")</f>
        <v>Hill Jr., Anthony</v>
      </c>
      <c r="C2450" s="60" t="str">
        <f>IFERROR(__xludf.DUMMYFUNCTION("""COMPUTED_VALUE"""),"LB")</f>
        <v>LB</v>
      </c>
      <c r="D2450" s="60" t="str">
        <f>IFERROR(__xludf.DUMMYFUNCTION("""COMPUTED_VALUE"""),"TEN")</f>
        <v>TEN</v>
      </c>
      <c r="E2450" s="62" t="str">
        <f t="shared" si="4"/>
        <v>Anthony Hill Jr.</v>
      </c>
      <c r="F2450" s="62">
        <f t="shared" ref="F2450:G2450" si="4899">IF(isblank(F$1),,IF(isblank($A2450),,IFERROR(vlookup($A2450,indirect("'TVC-"&amp;text(month(F$1),"00")&amp;"'!$A:$D"),4,false),1)))</f>
        <v>1</v>
      </c>
      <c r="G2450" s="62">
        <f t="shared" si="4899"/>
        <v>1</v>
      </c>
      <c r="H2450" s="62">
        <f t="shared" ref="H2450:Q2450" si="4900">IF(isblank(H$1),,IFERROR(vlookup($A2450,indirect("'TVC-"&amp;text(month(H$1),"00")&amp;"'!$A:$D"),4,false),1))</f>
        <v>1</v>
      </c>
      <c r="I2450" s="62">
        <f t="shared" si="4900"/>
        <v>1</v>
      </c>
      <c r="J2450" s="62">
        <f t="shared" si="4900"/>
        <v>1</v>
      </c>
      <c r="K2450" s="62">
        <f t="shared" si="4900"/>
        <v>1</v>
      </c>
      <c r="L2450" s="62">
        <f t="shared" si="4900"/>
        <v>1</v>
      </c>
      <c r="M2450" s="62">
        <f t="shared" si="4900"/>
        <v>1</v>
      </c>
      <c r="N2450" s="62">
        <f t="shared" si="4900"/>
        <v>1</v>
      </c>
      <c r="O2450" s="62">
        <f t="shared" si="4900"/>
        <v>1</v>
      </c>
      <c r="P2450" s="62" t="str">
        <f t="shared" si="4900"/>
        <v/>
      </c>
      <c r="Q2450" s="62" t="str">
        <f t="shared" si="4900"/>
        <v/>
      </c>
      <c r="R2450" s="62">
        <f t="shared" si="7"/>
        <v>0</v>
      </c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</row>
    <row r="2451" hidden="1">
      <c r="A2451" s="60">
        <f>IFERROR(__xludf.DUMMYFUNCTION("""COMPUTED_VALUE"""),17561.0)</f>
        <v>17561</v>
      </c>
      <c r="B2451" s="60" t="str">
        <f>IFERROR(__xludf.DUMMYFUNCTION("""COMPUTED_VALUE"""),"McCoy, Jermod")</f>
        <v>McCoy, Jermod</v>
      </c>
      <c r="C2451" s="60" t="str">
        <f>IFERROR(__xludf.DUMMYFUNCTION("""COMPUTED_VALUE"""),"CB")</f>
        <v>CB</v>
      </c>
      <c r="D2451" s="60" t="str">
        <f>IFERROR(__xludf.DUMMYFUNCTION("""COMPUTED_VALUE"""),"LVR")</f>
        <v>LVR</v>
      </c>
      <c r="E2451" s="62" t="str">
        <f t="shared" si="4"/>
        <v>Jermod McCoy</v>
      </c>
      <c r="F2451" s="62">
        <f t="shared" ref="F2451:G2451" si="4901">IF(isblank(F$1),,IF(isblank($A2451),,IFERROR(vlookup($A2451,indirect("'TVC-"&amp;text(month(F$1),"00")&amp;"'!$A:$D"),4,false),1)))</f>
        <v>1</v>
      </c>
      <c r="G2451" s="62">
        <f t="shared" si="4901"/>
        <v>1</v>
      </c>
      <c r="H2451" s="62">
        <f t="shared" ref="H2451:Q2451" si="4902">IF(isblank(H$1),,IFERROR(vlookup($A2451,indirect("'TVC-"&amp;text(month(H$1),"00")&amp;"'!$A:$D"),4,false),1))</f>
        <v>1</v>
      </c>
      <c r="I2451" s="62">
        <f t="shared" si="4902"/>
        <v>1</v>
      </c>
      <c r="J2451" s="62">
        <f t="shared" si="4902"/>
        <v>1</v>
      </c>
      <c r="K2451" s="62">
        <f t="shared" si="4902"/>
        <v>1</v>
      </c>
      <c r="L2451" s="62">
        <f t="shared" si="4902"/>
        <v>1</v>
      </c>
      <c r="M2451" s="62">
        <f t="shared" si="4902"/>
        <v>1</v>
      </c>
      <c r="N2451" s="62">
        <f t="shared" si="4902"/>
        <v>1</v>
      </c>
      <c r="O2451" s="62">
        <f t="shared" si="4902"/>
        <v>1</v>
      </c>
      <c r="P2451" s="62" t="str">
        <f t="shared" si="4902"/>
        <v/>
      </c>
      <c r="Q2451" s="62" t="str">
        <f t="shared" si="4902"/>
        <v/>
      </c>
      <c r="R2451" s="62">
        <f t="shared" si="7"/>
        <v>0</v>
      </c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</row>
    <row r="2452" hidden="1">
      <c r="A2452" s="60">
        <f>IFERROR(__xludf.DUMMYFUNCTION("""COMPUTED_VALUE"""),17562.0)</f>
        <v>17562</v>
      </c>
      <c r="B2452" s="60" t="str">
        <f>IFERROR(__xludf.DUMMYFUNCTION("""COMPUTED_VALUE"""),"Delane, Mansoor")</f>
        <v>Delane, Mansoor</v>
      </c>
      <c r="C2452" s="60" t="str">
        <f>IFERROR(__xludf.DUMMYFUNCTION("""COMPUTED_VALUE"""),"CB")</f>
        <v>CB</v>
      </c>
      <c r="D2452" s="60" t="str">
        <f>IFERROR(__xludf.DUMMYFUNCTION("""COMPUTED_VALUE"""),"KCC")</f>
        <v>KCC</v>
      </c>
      <c r="E2452" s="62" t="str">
        <f t="shared" si="4"/>
        <v>Mansoor Delane</v>
      </c>
      <c r="F2452" s="62">
        <f t="shared" ref="F2452:G2452" si="4903">IF(isblank(F$1),,IF(isblank($A2452),,IFERROR(vlookup($A2452,indirect("'TVC-"&amp;text(month(F$1),"00")&amp;"'!$A:$D"),4,false),1)))</f>
        <v>1</v>
      </c>
      <c r="G2452" s="62">
        <f t="shared" si="4903"/>
        <v>1</v>
      </c>
      <c r="H2452" s="62">
        <f t="shared" ref="H2452:Q2452" si="4904">IF(isblank(H$1),,IFERROR(vlookup($A2452,indirect("'TVC-"&amp;text(month(H$1),"00")&amp;"'!$A:$D"),4,false),1))</f>
        <v>1</v>
      </c>
      <c r="I2452" s="62">
        <f t="shared" si="4904"/>
        <v>1</v>
      </c>
      <c r="J2452" s="62">
        <f t="shared" si="4904"/>
        <v>1</v>
      </c>
      <c r="K2452" s="62">
        <f t="shared" si="4904"/>
        <v>1</v>
      </c>
      <c r="L2452" s="62">
        <f t="shared" si="4904"/>
        <v>1</v>
      </c>
      <c r="M2452" s="62">
        <f t="shared" si="4904"/>
        <v>1</v>
      </c>
      <c r="N2452" s="62">
        <f t="shared" si="4904"/>
        <v>1</v>
      </c>
      <c r="O2452" s="62">
        <f t="shared" si="4904"/>
        <v>1</v>
      </c>
      <c r="P2452" s="62" t="str">
        <f t="shared" si="4904"/>
        <v/>
      </c>
      <c r="Q2452" s="62" t="str">
        <f t="shared" si="4904"/>
        <v/>
      </c>
      <c r="R2452" s="62">
        <f t="shared" si="7"/>
        <v>0</v>
      </c>
      <c r="S2452" s="62"/>
      <c r="T2452" s="62"/>
      <c r="U2452" s="62"/>
      <c r="V2452" s="62"/>
      <c r="W2452" s="62"/>
      <c r="X2452" s="62"/>
      <c r="Y2452" s="62"/>
      <c r="Z2452" s="62"/>
      <c r="AA2452" s="62"/>
      <c r="AB2452" s="62"/>
      <c r="AC2452" s="62"/>
    </row>
    <row r="2453" hidden="1">
      <c r="A2453" s="60">
        <f>IFERROR(__xludf.DUMMYFUNCTION("""COMPUTED_VALUE"""),17563.0)</f>
        <v>17563</v>
      </c>
      <c r="B2453" s="60" t="str">
        <f>IFERROR(__xludf.DUMMYFUNCTION("""COMPUTED_VALUE"""),"Downs, Caleb")</f>
        <v>Downs, Caleb</v>
      </c>
      <c r="C2453" s="60" t="str">
        <f>IFERROR(__xludf.DUMMYFUNCTION("""COMPUTED_VALUE"""),"S")</f>
        <v>S</v>
      </c>
      <c r="D2453" s="60" t="str">
        <f>IFERROR(__xludf.DUMMYFUNCTION("""COMPUTED_VALUE"""),"DAL")</f>
        <v>DAL</v>
      </c>
      <c r="E2453" s="62" t="str">
        <f t="shared" si="4"/>
        <v>Caleb Downs</v>
      </c>
      <c r="F2453" s="62">
        <f t="shared" ref="F2453:G2453" si="4905">IF(isblank(F$1),,IF(isblank($A2453),,IFERROR(vlookup($A2453,indirect("'TVC-"&amp;text(month(F$1),"00")&amp;"'!$A:$D"),4,false),1)))</f>
        <v>1</v>
      </c>
      <c r="G2453" s="62">
        <f t="shared" si="4905"/>
        <v>1</v>
      </c>
      <c r="H2453" s="62">
        <f t="shared" ref="H2453:Q2453" si="4906">IF(isblank(H$1),,IFERROR(vlookup($A2453,indirect("'TVC-"&amp;text(month(H$1),"00")&amp;"'!$A:$D"),4,false),1))</f>
        <v>1</v>
      </c>
      <c r="I2453" s="62">
        <f t="shared" si="4906"/>
        <v>1</v>
      </c>
      <c r="J2453" s="62">
        <f t="shared" si="4906"/>
        <v>1</v>
      </c>
      <c r="K2453" s="62">
        <f t="shared" si="4906"/>
        <v>1</v>
      </c>
      <c r="L2453" s="62">
        <f t="shared" si="4906"/>
        <v>1</v>
      </c>
      <c r="M2453" s="62">
        <f t="shared" si="4906"/>
        <v>1</v>
      </c>
      <c r="N2453" s="62">
        <f t="shared" si="4906"/>
        <v>1</v>
      </c>
      <c r="O2453" s="62">
        <f t="shared" si="4906"/>
        <v>1</v>
      </c>
      <c r="P2453" s="62" t="str">
        <f t="shared" si="4906"/>
        <v/>
      </c>
      <c r="Q2453" s="62" t="str">
        <f t="shared" si="4906"/>
        <v/>
      </c>
      <c r="R2453" s="62">
        <f t="shared" si="7"/>
        <v>0</v>
      </c>
      <c r="S2453" s="62"/>
      <c r="T2453" s="62"/>
      <c r="U2453" s="62"/>
      <c r="V2453" s="62"/>
      <c r="W2453" s="62"/>
      <c r="X2453" s="62"/>
      <c r="Y2453" s="62"/>
      <c r="Z2453" s="62"/>
      <c r="AA2453" s="62"/>
      <c r="AB2453" s="62"/>
      <c r="AC2453" s="62"/>
    </row>
    <row r="2454" hidden="1">
      <c r="A2454" s="60">
        <f>IFERROR(__xludf.DUMMYFUNCTION("""COMPUTED_VALUE"""),17564.0)</f>
        <v>17564</v>
      </c>
      <c r="B2454" s="60" t="str">
        <f>IFERROR(__xludf.DUMMYFUNCTION("""COMPUTED_VALUE"""),"Ramsey, Kamari")</f>
        <v>Ramsey, Kamari</v>
      </c>
      <c r="C2454" s="60" t="str">
        <f>IFERROR(__xludf.DUMMYFUNCTION("""COMPUTED_VALUE"""),"S")</f>
        <v>S</v>
      </c>
      <c r="D2454" s="60" t="str">
        <f>IFERROR(__xludf.DUMMYFUNCTION("""COMPUTED_VALUE"""),"HOU")</f>
        <v>HOU</v>
      </c>
      <c r="E2454" s="62" t="str">
        <f t="shared" si="4"/>
        <v>Kamari Ramsey</v>
      </c>
      <c r="F2454" s="62">
        <f t="shared" ref="F2454:G2454" si="4907">IF(isblank(F$1),,IF(isblank($A2454),,IFERROR(vlookup($A2454,indirect("'TVC-"&amp;text(month(F$1),"00")&amp;"'!$A:$D"),4,false),1)))</f>
        <v>1</v>
      </c>
      <c r="G2454" s="62">
        <f t="shared" si="4907"/>
        <v>1</v>
      </c>
      <c r="H2454" s="62">
        <f t="shared" ref="H2454:Q2454" si="4908">IF(isblank(H$1),,IFERROR(vlookup($A2454,indirect("'TVC-"&amp;text(month(H$1),"00")&amp;"'!$A:$D"),4,false),1))</f>
        <v>1</v>
      </c>
      <c r="I2454" s="62">
        <f t="shared" si="4908"/>
        <v>1</v>
      </c>
      <c r="J2454" s="62">
        <f t="shared" si="4908"/>
        <v>1</v>
      </c>
      <c r="K2454" s="62">
        <f t="shared" si="4908"/>
        <v>1</v>
      </c>
      <c r="L2454" s="62">
        <f t="shared" si="4908"/>
        <v>1</v>
      </c>
      <c r="M2454" s="62">
        <f t="shared" si="4908"/>
        <v>1</v>
      </c>
      <c r="N2454" s="62">
        <f t="shared" si="4908"/>
        <v>1</v>
      </c>
      <c r="O2454" s="62">
        <f t="shared" si="4908"/>
        <v>1</v>
      </c>
      <c r="P2454" s="62" t="str">
        <f t="shared" si="4908"/>
        <v/>
      </c>
      <c r="Q2454" s="62" t="str">
        <f t="shared" si="4908"/>
        <v/>
      </c>
      <c r="R2454" s="62">
        <f t="shared" si="7"/>
        <v>0</v>
      </c>
      <c r="S2454" s="62"/>
      <c r="T2454" s="62"/>
      <c r="U2454" s="62"/>
      <c r="V2454" s="62"/>
      <c r="W2454" s="62"/>
      <c r="X2454" s="62"/>
      <c r="Y2454" s="62"/>
      <c r="Z2454" s="62"/>
      <c r="AA2454" s="62"/>
      <c r="AB2454" s="62"/>
      <c r="AC2454" s="62"/>
    </row>
    <row r="2455">
      <c r="A2455" s="60">
        <f>IFERROR(__xludf.DUMMYFUNCTION("""COMPUTED_VALUE"""),17565.0)</f>
        <v>17565</v>
      </c>
      <c r="B2455" s="60" t="str">
        <f>IFERROR(__xludf.DUMMYFUNCTION("""COMPUTED_VALUE"""),"Kubiak, Klint")</f>
        <v>Kubiak, Klint</v>
      </c>
      <c r="C2455" s="60" t="str">
        <f>IFERROR(__xludf.DUMMYFUNCTION("""COMPUTED_VALUE"""),"Coach")</f>
        <v>Coach</v>
      </c>
      <c r="D2455" s="60" t="str">
        <f>IFERROR(__xludf.DUMMYFUNCTION("""COMPUTED_VALUE"""),"LVR")</f>
        <v>LVR</v>
      </c>
      <c r="E2455" s="62" t="str">
        <f t="shared" si="4"/>
        <v>Klint Kubiak</v>
      </c>
      <c r="F2455" s="62">
        <f t="shared" ref="F2455:G2455" si="4909">IF(isblank(F$1),,IF(isblank($A2455),,IFERROR(vlookup($A2455,indirect("'TVC-"&amp;text(month(F$1),"00")&amp;"'!$A:$D"),4,false),1)))</f>
        <v>1</v>
      </c>
      <c r="G2455" s="62">
        <f t="shared" si="4909"/>
        <v>1</v>
      </c>
      <c r="H2455" s="62">
        <f t="shared" ref="H2455:Q2455" si="4910">IF(isblank(H$1),,IFERROR(vlookup($A2455,indirect("'TVC-"&amp;text(month(H$1),"00")&amp;"'!$A:$D"),4,false),1))</f>
        <v>1</v>
      </c>
      <c r="I2455" s="62">
        <f t="shared" si="4910"/>
        <v>1</v>
      </c>
      <c r="J2455" s="62">
        <f t="shared" si="4910"/>
        <v>1</v>
      </c>
      <c r="K2455" s="62">
        <f t="shared" si="4910"/>
        <v>1</v>
      </c>
      <c r="L2455" s="62">
        <f t="shared" si="4910"/>
        <v>1</v>
      </c>
      <c r="M2455" s="62">
        <f t="shared" si="4910"/>
        <v>1</v>
      </c>
      <c r="N2455" s="62">
        <f t="shared" si="4910"/>
        <v>1</v>
      </c>
      <c r="O2455" s="62">
        <f t="shared" si="4910"/>
        <v>1</v>
      </c>
      <c r="P2455" s="62" t="str">
        <f t="shared" si="4910"/>
        <v/>
      </c>
      <c r="Q2455" s="62" t="str">
        <f t="shared" si="4910"/>
        <v/>
      </c>
      <c r="R2455" s="62">
        <f t="shared" si="7"/>
        <v>0</v>
      </c>
      <c r="S2455" s="62"/>
      <c r="T2455" s="62"/>
      <c r="U2455" s="62"/>
      <c r="V2455" s="62"/>
      <c r="W2455" s="62"/>
      <c r="X2455" s="62"/>
      <c r="Y2455" s="62"/>
      <c r="Z2455" s="62"/>
      <c r="AA2455" s="62"/>
      <c r="AB2455" s="62"/>
      <c r="AC2455" s="62"/>
    </row>
    <row r="2456" hidden="1">
      <c r="A2456" s="60">
        <f>IFERROR(__xludf.DUMMYFUNCTION("""COMPUTED_VALUE"""),17566.0)</f>
        <v>17566</v>
      </c>
      <c r="B2456" s="60" t="str">
        <f>IFERROR(__xludf.DUMMYFUNCTION("""COMPUTED_VALUE"""),"Royer, Joe")</f>
        <v>Royer, Joe</v>
      </c>
      <c r="C2456" s="60" t="str">
        <f>IFERROR(__xludf.DUMMYFUNCTION("""COMPUTED_VALUE"""),"TE")</f>
        <v>TE</v>
      </c>
      <c r="D2456" s="60" t="str">
        <f>IFERROR(__xludf.DUMMYFUNCTION("""COMPUTED_VALUE"""),"CLE")</f>
        <v>CLE</v>
      </c>
      <c r="E2456" s="62" t="str">
        <f t="shared" si="4"/>
        <v>Joe Royer</v>
      </c>
      <c r="F2456" s="62">
        <f t="shared" ref="F2456:G2456" si="4911">IF(isblank(F$1),,IF(isblank($A2456),,IFERROR(vlookup($A2456,indirect("'TVC-"&amp;text(month(F$1),"00")&amp;"'!$A:$D"),4,false),1)))</f>
        <v>1</v>
      </c>
      <c r="G2456" s="62">
        <f t="shared" si="4911"/>
        <v>1</v>
      </c>
      <c r="H2456" s="62">
        <f t="shared" ref="H2456:Q2456" si="4912">IF(isblank(H$1),,IFERROR(vlookup($A2456,indirect("'TVC-"&amp;text(month(H$1),"00")&amp;"'!$A:$D"),4,false),1))</f>
        <v>1</v>
      </c>
      <c r="I2456" s="62">
        <f t="shared" si="4912"/>
        <v>1</v>
      </c>
      <c r="J2456" s="62">
        <f t="shared" si="4912"/>
        <v>1</v>
      </c>
      <c r="K2456" s="62">
        <f t="shared" si="4912"/>
        <v>1</v>
      </c>
      <c r="L2456" s="62">
        <f t="shared" si="4912"/>
        <v>1</v>
      </c>
      <c r="M2456" s="62">
        <f t="shared" si="4912"/>
        <v>1</v>
      </c>
      <c r="N2456" s="62">
        <f t="shared" si="4912"/>
        <v>1</v>
      </c>
      <c r="O2456" s="62">
        <f t="shared" si="4912"/>
        <v>1</v>
      </c>
      <c r="P2456" s="62" t="str">
        <f t="shared" si="4912"/>
        <v/>
      </c>
      <c r="Q2456" s="62" t="str">
        <f t="shared" si="4912"/>
        <v/>
      </c>
      <c r="R2456" s="62">
        <f t="shared" si="7"/>
        <v>0</v>
      </c>
      <c r="S2456" s="62"/>
      <c r="T2456" s="62"/>
      <c r="U2456" s="62"/>
      <c r="V2456" s="62"/>
      <c r="W2456" s="62"/>
      <c r="X2456" s="62"/>
      <c r="Y2456" s="62"/>
      <c r="Z2456" s="62"/>
      <c r="AA2456" s="62"/>
      <c r="AB2456" s="62"/>
      <c r="AC2456" s="62"/>
    </row>
    <row r="2457" hidden="1">
      <c r="A2457" s="60">
        <f>IFERROR(__xludf.DUMMYFUNCTION("""COMPUTED_VALUE"""),17567.0)</f>
        <v>17567</v>
      </c>
      <c r="B2457" s="60" t="str">
        <f>IFERROR(__xludf.DUMMYFUNCTION("""COMPUTED_VALUE"""),"Delp, Oscar")</f>
        <v>Delp, Oscar</v>
      </c>
      <c r="C2457" s="60" t="str">
        <f>IFERROR(__xludf.DUMMYFUNCTION("""COMPUTED_VALUE"""),"TE")</f>
        <v>TE</v>
      </c>
      <c r="D2457" s="60" t="str">
        <f>IFERROR(__xludf.DUMMYFUNCTION("""COMPUTED_VALUE"""),"NOS")</f>
        <v>NOS</v>
      </c>
      <c r="E2457" s="62" t="str">
        <f t="shared" si="4"/>
        <v>Oscar Delp</v>
      </c>
      <c r="F2457" s="62">
        <f t="shared" ref="F2457:G2457" si="4913">IF(isblank(F$1),,IF(isblank($A2457),,IFERROR(vlookup($A2457,indirect("'TVC-"&amp;text(month(F$1),"00")&amp;"'!$A:$D"),4,false),1)))</f>
        <v>1</v>
      </c>
      <c r="G2457" s="62">
        <f t="shared" si="4913"/>
        <v>1</v>
      </c>
      <c r="H2457" s="62">
        <f t="shared" ref="H2457:Q2457" si="4914">IF(isblank(H$1),,IFERROR(vlookup($A2457,indirect("'TVC-"&amp;text(month(H$1),"00")&amp;"'!$A:$D"),4,false),1))</f>
        <v>1</v>
      </c>
      <c r="I2457" s="62">
        <f t="shared" si="4914"/>
        <v>1</v>
      </c>
      <c r="J2457" s="62">
        <f t="shared" si="4914"/>
        <v>1062</v>
      </c>
      <c r="K2457" s="62">
        <f t="shared" si="4914"/>
        <v>1655</v>
      </c>
      <c r="L2457" s="62">
        <f t="shared" si="4914"/>
        <v>2078</v>
      </c>
      <c r="M2457" s="62">
        <f t="shared" si="4914"/>
        <v>2542</v>
      </c>
      <c r="N2457" s="62">
        <f t="shared" si="4914"/>
        <v>2473</v>
      </c>
      <c r="O2457" s="62">
        <f t="shared" si="4914"/>
        <v>1</v>
      </c>
      <c r="P2457" s="62" t="str">
        <f t="shared" si="4914"/>
        <v/>
      </c>
      <c r="Q2457" s="62" t="str">
        <f t="shared" si="4914"/>
        <v/>
      </c>
      <c r="R2457" s="62">
        <f t="shared" si="7"/>
        <v>-2472</v>
      </c>
      <c r="S2457" s="62"/>
      <c r="T2457" s="62"/>
      <c r="U2457" s="62"/>
      <c r="V2457" s="62"/>
      <c r="W2457" s="62"/>
      <c r="X2457" s="62"/>
      <c r="Y2457" s="62"/>
      <c r="Z2457" s="62"/>
      <c r="AA2457" s="62"/>
      <c r="AB2457" s="62"/>
      <c r="AC2457" s="62"/>
    </row>
    <row r="2458" hidden="1">
      <c r="A2458" s="60">
        <f>IFERROR(__xludf.DUMMYFUNCTION("""COMPUTED_VALUE"""),17568.0)</f>
        <v>17568</v>
      </c>
      <c r="B2458" s="60" t="str">
        <f>IFERROR(__xludf.DUMMYFUNCTION("""COMPUTED_VALUE"""),"Mesidor, Akheem")</f>
        <v>Mesidor, Akheem</v>
      </c>
      <c r="C2458" s="60" t="str">
        <f>IFERROR(__xludf.DUMMYFUNCTION("""COMPUTED_VALUE"""),"DE")</f>
        <v>DE</v>
      </c>
      <c r="D2458" s="60" t="str">
        <f>IFERROR(__xludf.DUMMYFUNCTION("""COMPUTED_VALUE"""),"LAC")</f>
        <v>LAC</v>
      </c>
      <c r="E2458" s="62" t="str">
        <f t="shared" si="4"/>
        <v>Akheem Mesidor</v>
      </c>
      <c r="F2458" s="62">
        <f t="shared" ref="F2458:G2458" si="4915">IF(isblank(F$1),,IF(isblank($A2458),,IFERROR(vlookup($A2458,indirect("'TVC-"&amp;text(month(F$1),"00")&amp;"'!$A:$D"),4,false),1)))</f>
        <v>1</v>
      </c>
      <c r="G2458" s="62">
        <f t="shared" si="4915"/>
        <v>1</v>
      </c>
      <c r="H2458" s="62">
        <f t="shared" ref="H2458:Q2458" si="4916">IF(isblank(H$1),,IFERROR(vlookup($A2458,indirect("'TVC-"&amp;text(month(H$1),"00")&amp;"'!$A:$D"),4,false),1))</f>
        <v>1</v>
      </c>
      <c r="I2458" s="62">
        <f t="shared" si="4916"/>
        <v>1</v>
      </c>
      <c r="J2458" s="62">
        <f t="shared" si="4916"/>
        <v>1</v>
      </c>
      <c r="K2458" s="62">
        <f t="shared" si="4916"/>
        <v>1</v>
      </c>
      <c r="L2458" s="62">
        <f t="shared" si="4916"/>
        <v>1</v>
      </c>
      <c r="M2458" s="62">
        <f t="shared" si="4916"/>
        <v>1</v>
      </c>
      <c r="N2458" s="62">
        <f t="shared" si="4916"/>
        <v>1</v>
      </c>
      <c r="O2458" s="62">
        <f t="shared" si="4916"/>
        <v>1</v>
      </c>
      <c r="P2458" s="62" t="str">
        <f t="shared" si="4916"/>
        <v/>
      </c>
      <c r="Q2458" s="62" t="str">
        <f t="shared" si="4916"/>
        <v/>
      </c>
      <c r="R2458" s="62">
        <f t="shared" si="7"/>
        <v>0</v>
      </c>
      <c r="S2458" s="62"/>
      <c r="T2458" s="62"/>
      <c r="U2458" s="62"/>
      <c r="V2458" s="62"/>
      <c r="W2458" s="62"/>
      <c r="X2458" s="62"/>
      <c r="Y2458" s="62"/>
      <c r="Z2458" s="62"/>
      <c r="AA2458" s="62"/>
      <c r="AB2458" s="62"/>
      <c r="AC2458" s="62"/>
    </row>
    <row r="2459" hidden="1">
      <c r="A2459" s="60">
        <f>IFERROR(__xludf.DUMMYFUNCTION("""COMPUTED_VALUE"""),17569.0)</f>
        <v>17569</v>
      </c>
      <c r="B2459" s="60" t="str">
        <f>IFERROR(__xludf.DUMMYFUNCTION("""COMPUTED_VALUE"""),"McDonald, Kayden")</f>
        <v>McDonald, Kayden</v>
      </c>
      <c r="C2459" s="60" t="str">
        <f>IFERROR(__xludf.DUMMYFUNCTION("""COMPUTED_VALUE"""),"DT")</f>
        <v>DT</v>
      </c>
      <c r="D2459" s="60" t="str">
        <f>IFERROR(__xludf.DUMMYFUNCTION("""COMPUTED_VALUE"""),"HOU")</f>
        <v>HOU</v>
      </c>
      <c r="E2459" s="62" t="str">
        <f t="shared" si="4"/>
        <v>Kayden McDonald</v>
      </c>
      <c r="F2459" s="62">
        <f t="shared" ref="F2459:G2459" si="4917">IF(isblank(F$1),,IF(isblank($A2459),,IFERROR(vlookup($A2459,indirect("'TVC-"&amp;text(month(F$1),"00")&amp;"'!$A:$D"),4,false),1)))</f>
        <v>1</v>
      </c>
      <c r="G2459" s="62">
        <f t="shared" si="4917"/>
        <v>1</v>
      </c>
      <c r="H2459" s="62">
        <f t="shared" ref="H2459:Q2459" si="4918">IF(isblank(H$1),,IFERROR(vlookup($A2459,indirect("'TVC-"&amp;text(month(H$1),"00")&amp;"'!$A:$D"),4,false),1))</f>
        <v>1</v>
      </c>
      <c r="I2459" s="62">
        <f t="shared" si="4918"/>
        <v>1</v>
      </c>
      <c r="J2459" s="62">
        <f t="shared" si="4918"/>
        <v>1</v>
      </c>
      <c r="K2459" s="62">
        <f t="shared" si="4918"/>
        <v>1</v>
      </c>
      <c r="L2459" s="62">
        <f t="shared" si="4918"/>
        <v>1</v>
      </c>
      <c r="M2459" s="62">
        <f t="shared" si="4918"/>
        <v>1</v>
      </c>
      <c r="N2459" s="62">
        <f t="shared" si="4918"/>
        <v>1</v>
      </c>
      <c r="O2459" s="62">
        <f t="shared" si="4918"/>
        <v>1</v>
      </c>
      <c r="P2459" s="62" t="str">
        <f t="shared" si="4918"/>
        <v/>
      </c>
      <c r="Q2459" s="62" t="str">
        <f t="shared" si="4918"/>
        <v/>
      </c>
      <c r="R2459" s="62">
        <f t="shared" si="7"/>
        <v>0</v>
      </c>
      <c r="S2459" s="62"/>
      <c r="T2459" s="62"/>
      <c r="U2459" s="62"/>
      <c r="V2459" s="62"/>
      <c r="W2459" s="62"/>
      <c r="X2459" s="62"/>
      <c r="Y2459" s="62"/>
      <c r="Z2459" s="62"/>
      <c r="AA2459" s="62"/>
      <c r="AB2459" s="62"/>
      <c r="AC2459" s="62"/>
    </row>
    <row r="2460" hidden="1">
      <c r="A2460" s="60">
        <f>IFERROR(__xludf.DUMMYFUNCTION("""COMPUTED_VALUE"""),17570.0)</f>
        <v>17570</v>
      </c>
      <c r="B2460" s="60" t="str">
        <f>IFERROR(__xludf.DUMMYFUNCTION("""COMPUTED_VALUE"""),"Hunter, Lee")</f>
        <v>Hunter, Lee</v>
      </c>
      <c r="C2460" s="60" t="str">
        <f>IFERROR(__xludf.DUMMYFUNCTION("""COMPUTED_VALUE"""),"DT")</f>
        <v>DT</v>
      </c>
      <c r="D2460" s="60" t="str">
        <f>IFERROR(__xludf.DUMMYFUNCTION("""COMPUTED_VALUE"""),"CAR")</f>
        <v>CAR</v>
      </c>
      <c r="E2460" s="62" t="str">
        <f t="shared" si="4"/>
        <v>Lee Hunter</v>
      </c>
      <c r="F2460" s="62">
        <f t="shared" ref="F2460:G2460" si="4919">IF(isblank(F$1),,IF(isblank($A2460),,IFERROR(vlookup($A2460,indirect("'TVC-"&amp;text(month(F$1),"00")&amp;"'!$A:$D"),4,false),1)))</f>
        <v>1</v>
      </c>
      <c r="G2460" s="62">
        <f t="shared" si="4919"/>
        <v>1</v>
      </c>
      <c r="H2460" s="62">
        <f t="shared" ref="H2460:Q2460" si="4920">IF(isblank(H$1),,IFERROR(vlookup($A2460,indirect("'TVC-"&amp;text(month(H$1),"00")&amp;"'!$A:$D"),4,false),1))</f>
        <v>1</v>
      </c>
      <c r="I2460" s="62">
        <f t="shared" si="4920"/>
        <v>1</v>
      </c>
      <c r="J2460" s="62">
        <f t="shared" si="4920"/>
        <v>1</v>
      </c>
      <c r="K2460" s="62">
        <f t="shared" si="4920"/>
        <v>1</v>
      </c>
      <c r="L2460" s="62">
        <f t="shared" si="4920"/>
        <v>1</v>
      </c>
      <c r="M2460" s="62">
        <f t="shared" si="4920"/>
        <v>1</v>
      </c>
      <c r="N2460" s="62">
        <f t="shared" si="4920"/>
        <v>1</v>
      </c>
      <c r="O2460" s="62">
        <f t="shared" si="4920"/>
        <v>1</v>
      </c>
      <c r="P2460" s="62" t="str">
        <f t="shared" si="4920"/>
        <v/>
      </c>
      <c r="Q2460" s="62" t="str">
        <f t="shared" si="4920"/>
        <v/>
      </c>
      <c r="R2460" s="62">
        <f t="shared" si="7"/>
        <v>0</v>
      </c>
      <c r="S2460" s="62"/>
      <c r="T2460" s="62"/>
      <c r="U2460" s="62"/>
      <c r="V2460" s="62"/>
      <c r="W2460" s="62"/>
      <c r="X2460" s="62"/>
      <c r="Y2460" s="62"/>
      <c r="Z2460" s="62"/>
      <c r="AA2460" s="62"/>
      <c r="AB2460" s="62"/>
      <c r="AC2460" s="62"/>
    </row>
    <row r="2461" hidden="1">
      <c r="A2461" s="60">
        <f>IFERROR(__xludf.DUMMYFUNCTION("""COMPUTED_VALUE"""),17571.0)</f>
        <v>17571</v>
      </c>
      <c r="B2461" s="60" t="str">
        <f>IFERROR(__xludf.DUMMYFUNCTION("""COMPUTED_VALUE"""),"Golday, Jake")</f>
        <v>Golday, Jake</v>
      </c>
      <c r="C2461" s="60" t="str">
        <f>IFERROR(__xludf.DUMMYFUNCTION("""COMPUTED_VALUE"""),"LB")</f>
        <v>LB</v>
      </c>
      <c r="D2461" s="60" t="str">
        <f>IFERROR(__xludf.DUMMYFUNCTION("""COMPUTED_VALUE"""),"MIN")</f>
        <v>MIN</v>
      </c>
      <c r="E2461" s="62" t="str">
        <f t="shared" si="4"/>
        <v>Jake Golday</v>
      </c>
      <c r="F2461" s="62">
        <f t="shared" ref="F2461:G2461" si="4921">IF(isblank(F$1),,IF(isblank($A2461),,IFERROR(vlookup($A2461,indirect("'TVC-"&amp;text(month(F$1),"00")&amp;"'!$A:$D"),4,false),1)))</f>
        <v>1</v>
      </c>
      <c r="G2461" s="62">
        <f t="shared" si="4921"/>
        <v>1</v>
      </c>
      <c r="H2461" s="62">
        <f t="shared" ref="H2461:Q2461" si="4922">IF(isblank(H$1),,IFERROR(vlookup($A2461,indirect("'TVC-"&amp;text(month(H$1),"00")&amp;"'!$A:$D"),4,false),1))</f>
        <v>1</v>
      </c>
      <c r="I2461" s="62">
        <f t="shared" si="4922"/>
        <v>1</v>
      </c>
      <c r="J2461" s="62">
        <f t="shared" si="4922"/>
        <v>1</v>
      </c>
      <c r="K2461" s="62">
        <f t="shared" si="4922"/>
        <v>1</v>
      </c>
      <c r="L2461" s="62">
        <f t="shared" si="4922"/>
        <v>1</v>
      </c>
      <c r="M2461" s="62">
        <f t="shared" si="4922"/>
        <v>1</v>
      </c>
      <c r="N2461" s="62">
        <f t="shared" si="4922"/>
        <v>1</v>
      </c>
      <c r="O2461" s="62">
        <f t="shared" si="4922"/>
        <v>1</v>
      </c>
      <c r="P2461" s="62" t="str">
        <f t="shared" si="4922"/>
        <v/>
      </c>
      <c r="Q2461" s="62" t="str">
        <f t="shared" si="4922"/>
        <v/>
      </c>
      <c r="R2461" s="62">
        <f t="shared" si="7"/>
        <v>0</v>
      </c>
      <c r="S2461" s="62"/>
      <c r="T2461" s="62"/>
      <c r="U2461" s="62"/>
      <c r="V2461" s="62"/>
      <c r="W2461" s="62"/>
      <c r="X2461" s="62"/>
      <c r="Y2461" s="62"/>
      <c r="Z2461" s="62"/>
      <c r="AA2461" s="62"/>
      <c r="AB2461" s="62"/>
      <c r="AC2461" s="62"/>
    </row>
    <row r="2462" hidden="1">
      <c r="A2462" s="60">
        <f>IFERROR(__xludf.DUMMYFUNCTION("""COMPUTED_VALUE"""),17572.0)</f>
        <v>17572</v>
      </c>
      <c r="B2462" s="60" t="str">
        <f>IFERROR(__xludf.DUMMYFUNCTION("""COMPUTED_VALUE"""),"Terrell, Avieon")</f>
        <v>Terrell, Avieon</v>
      </c>
      <c r="C2462" s="60" t="str">
        <f>IFERROR(__xludf.DUMMYFUNCTION("""COMPUTED_VALUE"""),"CB")</f>
        <v>CB</v>
      </c>
      <c r="D2462" s="60" t="str">
        <f>IFERROR(__xludf.DUMMYFUNCTION("""COMPUTED_VALUE"""),"ATL")</f>
        <v>ATL</v>
      </c>
      <c r="E2462" s="62" t="str">
        <f t="shared" si="4"/>
        <v>Avieon Terrell</v>
      </c>
      <c r="F2462" s="62">
        <f t="shared" ref="F2462:G2462" si="4923">IF(isblank(F$1),,IF(isblank($A2462),,IFERROR(vlookup($A2462,indirect("'TVC-"&amp;text(month(F$1),"00")&amp;"'!$A:$D"),4,false),1)))</f>
        <v>1</v>
      </c>
      <c r="G2462" s="62">
        <f t="shared" si="4923"/>
        <v>1</v>
      </c>
      <c r="H2462" s="62">
        <f t="shared" ref="H2462:Q2462" si="4924">IF(isblank(H$1),,IFERROR(vlookup($A2462,indirect("'TVC-"&amp;text(month(H$1),"00")&amp;"'!$A:$D"),4,false),1))</f>
        <v>1</v>
      </c>
      <c r="I2462" s="62">
        <f t="shared" si="4924"/>
        <v>1</v>
      </c>
      <c r="J2462" s="62">
        <f t="shared" si="4924"/>
        <v>1</v>
      </c>
      <c r="K2462" s="62">
        <f t="shared" si="4924"/>
        <v>1</v>
      </c>
      <c r="L2462" s="62">
        <f t="shared" si="4924"/>
        <v>1</v>
      </c>
      <c r="M2462" s="62">
        <f t="shared" si="4924"/>
        <v>1</v>
      </c>
      <c r="N2462" s="62">
        <f t="shared" si="4924"/>
        <v>1</v>
      </c>
      <c r="O2462" s="62">
        <f t="shared" si="4924"/>
        <v>1</v>
      </c>
      <c r="P2462" s="62" t="str">
        <f t="shared" si="4924"/>
        <v/>
      </c>
      <c r="Q2462" s="62" t="str">
        <f t="shared" si="4924"/>
        <v/>
      </c>
      <c r="R2462" s="62">
        <f t="shared" si="7"/>
        <v>0</v>
      </c>
      <c r="S2462" s="62"/>
      <c r="T2462" s="62"/>
      <c r="U2462" s="62"/>
      <c r="V2462" s="62"/>
      <c r="W2462" s="62"/>
      <c r="X2462" s="62"/>
      <c r="Y2462" s="62"/>
      <c r="Z2462" s="62"/>
      <c r="AA2462" s="62"/>
      <c r="AB2462" s="62"/>
      <c r="AC2462" s="62"/>
    </row>
    <row r="2463" hidden="1">
      <c r="A2463" s="60">
        <f>IFERROR(__xludf.DUMMYFUNCTION("""COMPUTED_VALUE"""),17573.0)</f>
        <v>17573</v>
      </c>
      <c r="B2463" s="60" t="str">
        <f>IFERROR(__xludf.DUMMYFUNCTION("""COMPUTED_VALUE"""),"Johnson, Chris")</f>
        <v>Johnson, Chris</v>
      </c>
      <c r="C2463" s="60" t="str">
        <f>IFERROR(__xludf.DUMMYFUNCTION("""COMPUTED_VALUE"""),"CB")</f>
        <v>CB</v>
      </c>
      <c r="D2463" s="60" t="str">
        <f>IFERROR(__xludf.DUMMYFUNCTION("""COMPUTED_VALUE"""),"MIA")</f>
        <v>MIA</v>
      </c>
      <c r="E2463" s="62" t="str">
        <f t="shared" si="4"/>
        <v>Chris Johnson</v>
      </c>
      <c r="F2463" s="62">
        <f t="shared" ref="F2463:G2463" si="4925">IF(isblank(F$1),,IF(isblank($A2463),,IFERROR(vlookup($A2463,indirect("'TVC-"&amp;text(month(F$1),"00")&amp;"'!$A:$D"),4,false),1)))</f>
        <v>1</v>
      </c>
      <c r="G2463" s="62">
        <f t="shared" si="4925"/>
        <v>1</v>
      </c>
      <c r="H2463" s="62">
        <f t="shared" ref="H2463:Q2463" si="4926">IF(isblank(H$1),,IFERROR(vlookup($A2463,indirect("'TVC-"&amp;text(month(H$1),"00")&amp;"'!$A:$D"),4,false),1))</f>
        <v>1</v>
      </c>
      <c r="I2463" s="62">
        <f t="shared" si="4926"/>
        <v>1</v>
      </c>
      <c r="J2463" s="62">
        <f t="shared" si="4926"/>
        <v>1</v>
      </c>
      <c r="K2463" s="62">
        <f t="shared" si="4926"/>
        <v>1</v>
      </c>
      <c r="L2463" s="62">
        <f t="shared" si="4926"/>
        <v>1</v>
      </c>
      <c r="M2463" s="62">
        <f t="shared" si="4926"/>
        <v>1</v>
      </c>
      <c r="N2463" s="62">
        <f t="shared" si="4926"/>
        <v>1</v>
      </c>
      <c r="O2463" s="62">
        <f t="shared" si="4926"/>
        <v>1</v>
      </c>
      <c r="P2463" s="62" t="str">
        <f t="shared" si="4926"/>
        <v/>
      </c>
      <c r="Q2463" s="62" t="str">
        <f t="shared" si="4926"/>
        <v/>
      </c>
      <c r="R2463" s="62">
        <f t="shared" si="7"/>
        <v>0</v>
      </c>
      <c r="S2463" s="62"/>
      <c r="T2463" s="62"/>
      <c r="U2463" s="62"/>
      <c r="V2463" s="62"/>
      <c r="W2463" s="62"/>
      <c r="X2463" s="62"/>
      <c r="Y2463" s="62"/>
      <c r="Z2463" s="62"/>
      <c r="AA2463" s="62"/>
      <c r="AB2463" s="62"/>
      <c r="AC2463" s="62"/>
    </row>
    <row r="2464" hidden="1">
      <c r="A2464" s="60">
        <f>IFERROR(__xludf.DUMMYFUNCTION("""COMPUTED_VALUE"""),17574.0)</f>
        <v>17574</v>
      </c>
      <c r="B2464" s="60" t="str">
        <f>IFERROR(__xludf.DUMMYFUNCTION("""COMPUTED_VALUE"""),"Hood, Colton")</f>
        <v>Hood, Colton</v>
      </c>
      <c r="C2464" s="60" t="str">
        <f>IFERROR(__xludf.DUMMYFUNCTION("""COMPUTED_VALUE"""),"CB")</f>
        <v>CB</v>
      </c>
      <c r="D2464" s="60" t="str">
        <f>IFERROR(__xludf.DUMMYFUNCTION("""COMPUTED_VALUE"""),"NYG")</f>
        <v>NYG</v>
      </c>
      <c r="E2464" s="62" t="str">
        <f t="shared" si="4"/>
        <v>Colton Hood</v>
      </c>
      <c r="F2464" s="62">
        <f t="shared" ref="F2464:G2464" si="4927">IF(isblank(F$1),,IF(isblank($A2464),,IFERROR(vlookup($A2464,indirect("'TVC-"&amp;text(month(F$1),"00")&amp;"'!$A:$D"),4,false),1)))</f>
        <v>1</v>
      </c>
      <c r="G2464" s="62">
        <f t="shared" si="4927"/>
        <v>1</v>
      </c>
      <c r="H2464" s="62">
        <f t="shared" ref="H2464:Q2464" si="4928">IF(isblank(H$1),,IFERROR(vlookup($A2464,indirect("'TVC-"&amp;text(month(H$1),"00")&amp;"'!$A:$D"),4,false),1))</f>
        <v>1</v>
      </c>
      <c r="I2464" s="62">
        <f t="shared" si="4928"/>
        <v>1</v>
      </c>
      <c r="J2464" s="62">
        <f t="shared" si="4928"/>
        <v>1</v>
      </c>
      <c r="K2464" s="62">
        <f t="shared" si="4928"/>
        <v>1</v>
      </c>
      <c r="L2464" s="62">
        <f t="shared" si="4928"/>
        <v>1</v>
      </c>
      <c r="M2464" s="62">
        <f t="shared" si="4928"/>
        <v>1</v>
      </c>
      <c r="N2464" s="62">
        <f t="shared" si="4928"/>
        <v>1</v>
      </c>
      <c r="O2464" s="62">
        <f t="shared" si="4928"/>
        <v>1</v>
      </c>
      <c r="P2464" s="62" t="str">
        <f t="shared" si="4928"/>
        <v/>
      </c>
      <c r="Q2464" s="62" t="str">
        <f t="shared" si="4928"/>
        <v/>
      </c>
      <c r="R2464" s="62">
        <f t="shared" si="7"/>
        <v>0</v>
      </c>
      <c r="S2464" s="62"/>
      <c r="T2464" s="62"/>
      <c r="U2464" s="62"/>
      <c r="V2464" s="62"/>
      <c r="W2464" s="62"/>
      <c r="X2464" s="62"/>
      <c r="Y2464" s="62"/>
      <c r="Z2464" s="62"/>
      <c r="AA2464" s="62"/>
      <c r="AB2464" s="62"/>
      <c r="AC2464" s="62"/>
    </row>
    <row r="2465" hidden="1">
      <c r="A2465" s="60">
        <f>IFERROR(__xludf.DUMMYFUNCTION("""COMPUTED_VALUE"""),17575.0)</f>
        <v>17575</v>
      </c>
      <c r="B2465" s="60" t="str">
        <f>IFERROR(__xludf.DUMMYFUNCTION("""COMPUTED_VALUE"""),"McNeil-Warren, Emmanuel")</f>
        <v>McNeil-Warren, Emmanuel</v>
      </c>
      <c r="C2465" s="60" t="str">
        <f>IFERROR(__xludf.DUMMYFUNCTION("""COMPUTED_VALUE"""),"S")</f>
        <v>S</v>
      </c>
      <c r="D2465" s="60" t="str">
        <f>IFERROR(__xludf.DUMMYFUNCTION("""COMPUTED_VALUE"""),"CLE")</f>
        <v>CLE</v>
      </c>
      <c r="E2465" s="62" t="str">
        <f t="shared" si="4"/>
        <v>Emmanuel McNeil-Warren</v>
      </c>
      <c r="F2465" s="62">
        <f t="shared" ref="F2465:G2465" si="4929">IF(isblank(F$1),,IF(isblank($A2465),,IFERROR(vlookup($A2465,indirect("'TVC-"&amp;text(month(F$1),"00")&amp;"'!$A:$D"),4,false),1)))</f>
        <v>1</v>
      </c>
      <c r="G2465" s="62">
        <f t="shared" si="4929"/>
        <v>1</v>
      </c>
      <c r="H2465" s="62">
        <f t="shared" ref="H2465:Q2465" si="4930">IF(isblank(H$1),,IFERROR(vlookup($A2465,indirect("'TVC-"&amp;text(month(H$1),"00")&amp;"'!$A:$D"),4,false),1))</f>
        <v>1</v>
      </c>
      <c r="I2465" s="62">
        <f t="shared" si="4930"/>
        <v>1</v>
      </c>
      <c r="J2465" s="62">
        <f t="shared" si="4930"/>
        <v>1</v>
      </c>
      <c r="K2465" s="62">
        <f t="shared" si="4930"/>
        <v>1</v>
      </c>
      <c r="L2465" s="62">
        <f t="shared" si="4930"/>
        <v>1</v>
      </c>
      <c r="M2465" s="62">
        <f t="shared" si="4930"/>
        <v>1</v>
      </c>
      <c r="N2465" s="62">
        <f t="shared" si="4930"/>
        <v>1</v>
      </c>
      <c r="O2465" s="62">
        <f t="shared" si="4930"/>
        <v>1</v>
      </c>
      <c r="P2465" s="62" t="str">
        <f t="shared" si="4930"/>
        <v/>
      </c>
      <c r="Q2465" s="62" t="str">
        <f t="shared" si="4930"/>
        <v/>
      </c>
      <c r="R2465" s="62">
        <f t="shared" si="7"/>
        <v>0</v>
      </c>
      <c r="S2465" s="62"/>
      <c r="T2465" s="62"/>
      <c r="U2465" s="62"/>
      <c r="V2465" s="62"/>
      <c r="W2465" s="62"/>
      <c r="X2465" s="62"/>
      <c r="Y2465" s="62"/>
      <c r="Z2465" s="62"/>
      <c r="AA2465" s="62"/>
      <c r="AB2465" s="62"/>
      <c r="AC2465" s="62"/>
    </row>
    <row r="2466" hidden="1">
      <c r="A2466" s="60">
        <f>IFERROR(__xludf.DUMMYFUNCTION("""COMPUTED_VALUE"""),17576.0)</f>
        <v>17576</v>
      </c>
      <c r="B2466" s="60" t="str">
        <f>IFERROR(__xludf.DUMMYFUNCTION("""COMPUTED_VALUE"""),"Thieneman, Dillon")</f>
        <v>Thieneman, Dillon</v>
      </c>
      <c r="C2466" s="60" t="str">
        <f>IFERROR(__xludf.DUMMYFUNCTION("""COMPUTED_VALUE"""),"S")</f>
        <v>S</v>
      </c>
      <c r="D2466" s="60" t="str">
        <f>IFERROR(__xludf.DUMMYFUNCTION("""COMPUTED_VALUE"""),"CHI")</f>
        <v>CHI</v>
      </c>
      <c r="E2466" s="62" t="str">
        <f t="shared" si="4"/>
        <v>Dillon Thieneman</v>
      </c>
      <c r="F2466" s="62">
        <f t="shared" ref="F2466:G2466" si="4931">IF(isblank(F$1),,IF(isblank($A2466),,IFERROR(vlookup($A2466,indirect("'TVC-"&amp;text(month(F$1),"00")&amp;"'!$A:$D"),4,false),1)))</f>
        <v>1</v>
      </c>
      <c r="G2466" s="62">
        <f t="shared" si="4931"/>
        <v>1</v>
      </c>
      <c r="H2466" s="62">
        <f t="shared" ref="H2466:Q2466" si="4932">IF(isblank(H$1),,IFERROR(vlookup($A2466,indirect("'TVC-"&amp;text(month(H$1),"00")&amp;"'!$A:$D"),4,false),1))</f>
        <v>1</v>
      </c>
      <c r="I2466" s="62">
        <f t="shared" si="4932"/>
        <v>1</v>
      </c>
      <c r="J2466" s="62">
        <f t="shared" si="4932"/>
        <v>1</v>
      </c>
      <c r="K2466" s="62">
        <f t="shared" si="4932"/>
        <v>1</v>
      </c>
      <c r="L2466" s="62">
        <f t="shared" si="4932"/>
        <v>1</v>
      </c>
      <c r="M2466" s="62">
        <f t="shared" si="4932"/>
        <v>1</v>
      </c>
      <c r="N2466" s="62">
        <f t="shared" si="4932"/>
        <v>1</v>
      </c>
      <c r="O2466" s="62">
        <f t="shared" si="4932"/>
        <v>1</v>
      </c>
      <c r="P2466" s="62" t="str">
        <f t="shared" si="4932"/>
        <v/>
      </c>
      <c r="Q2466" s="62" t="str">
        <f t="shared" si="4932"/>
        <v/>
      </c>
      <c r="R2466" s="62">
        <f t="shared" si="7"/>
        <v>0</v>
      </c>
      <c r="S2466" s="62"/>
      <c r="T2466" s="62"/>
      <c r="U2466" s="62"/>
      <c r="V2466" s="62"/>
      <c r="W2466" s="62"/>
      <c r="X2466" s="62"/>
      <c r="Y2466" s="62"/>
      <c r="Z2466" s="62"/>
      <c r="AA2466" s="62"/>
      <c r="AB2466" s="62"/>
      <c r="AC2466" s="62"/>
    </row>
    <row r="2467" hidden="1">
      <c r="A2467" s="60">
        <f>IFERROR(__xludf.DUMMYFUNCTION("""COMPUTED_VALUE"""),17577.0)</f>
        <v>17577</v>
      </c>
      <c r="B2467" s="60" t="str">
        <f>IFERROR(__xludf.DUMMYFUNCTION("""COMPUTED_VALUE"""),"Wheatley, Zakee")</f>
        <v>Wheatley, Zakee</v>
      </c>
      <c r="C2467" s="60" t="str">
        <f>IFERROR(__xludf.DUMMYFUNCTION("""COMPUTED_VALUE"""),"S")</f>
        <v>S</v>
      </c>
      <c r="D2467" s="60" t="str">
        <f>IFERROR(__xludf.DUMMYFUNCTION("""COMPUTED_VALUE"""),"CAR")</f>
        <v>CAR</v>
      </c>
      <c r="E2467" s="62" t="str">
        <f t="shared" si="4"/>
        <v>Zakee Wheatley</v>
      </c>
      <c r="F2467" s="62">
        <f t="shared" ref="F2467:G2467" si="4933">IF(isblank(F$1),,IF(isblank($A2467),,IFERROR(vlookup($A2467,indirect("'TVC-"&amp;text(month(F$1),"00")&amp;"'!$A:$D"),4,false),1)))</f>
        <v>1</v>
      </c>
      <c r="G2467" s="62">
        <f t="shared" si="4933"/>
        <v>1</v>
      </c>
      <c r="H2467" s="62">
        <f t="shared" ref="H2467:Q2467" si="4934">IF(isblank(H$1),,IFERROR(vlookup($A2467,indirect("'TVC-"&amp;text(month(H$1),"00")&amp;"'!$A:$D"),4,false),1))</f>
        <v>1</v>
      </c>
      <c r="I2467" s="62">
        <f t="shared" si="4934"/>
        <v>1</v>
      </c>
      <c r="J2467" s="62">
        <f t="shared" si="4934"/>
        <v>1</v>
      </c>
      <c r="K2467" s="62">
        <f t="shared" si="4934"/>
        <v>1</v>
      </c>
      <c r="L2467" s="62">
        <f t="shared" si="4934"/>
        <v>1</v>
      </c>
      <c r="M2467" s="62">
        <f t="shared" si="4934"/>
        <v>1</v>
      </c>
      <c r="N2467" s="62">
        <f t="shared" si="4934"/>
        <v>1</v>
      </c>
      <c r="O2467" s="62">
        <f t="shared" si="4934"/>
        <v>1</v>
      </c>
      <c r="P2467" s="62" t="str">
        <f t="shared" si="4934"/>
        <v/>
      </c>
      <c r="Q2467" s="62" t="str">
        <f t="shared" si="4934"/>
        <v/>
      </c>
      <c r="R2467" s="62">
        <f t="shared" si="7"/>
        <v>0</v>
      </c>
      <c r="S2467" s="62"/>
      <c r="T2467" s="62"/>
      <c r="U2467" s="62"/>
      <c r="V2467" s="62"/>
      <c r="W2467" s="62"/>
      <c r="X2467" s="62"/>
      <c r="Y2467" s="62"/>
      <c r="Z2467" s="62"/>
      <c r="AA2467" s="62"/>
      <c r="AB2467" s="62"/>
      <c r="AC2467" s="62"/>
    </row>
    <row r="2468" hidden="1">
      <c r="A2468" s="60">
        <f>IFERROR(__xludf.DUMMYFUNCTION("""COMPUTED_VALUE"""),17578.0)</f>
        <v>17578</v>
      </c>
      <c r="B2468" s="60" t="str">
        <f>IFERROR(__xludf.DUMMYFUNCTION("""COMPUTED_VALUE"""),"Louis, Kyle")</f>
        <v>Louis, Kyle</v>
      </c>
      <c r="C2468" s="60" t="str">
        <f>IFERROR(__xludf.DUMMYFUNCTION("""COMPUTED_VALUE"""),"LB")</f>
        <v>LB</v>
      </c>
      <c r="D2468" s="60" t="str">
        <f>IFERROR(__xludf.DUMMYFUNCTION("""COMPUTED_VALUE"""),"MIA")</f>
        <v>MIA</v>
      </c>
      <c r="E2468" s="62" t="str">
        <f t="shared" si="4"/>
        <v>Kyle Louis</v>
      </c>
      <c r="F2468" s="62">
        <f t="shared" ref="F2468:G2468" si="4935">IF(isblank(F$1),,IF(isblank($A2468),,IFERROR(vlookup($A2468,indirect("'TVC-"&amp;text(month(F$1),"00")&amp;"'!$A:$D"),4,false),1)))</f>
        <v>1</v>
      </c>
      <c r="G2468" s="62">
        <f t="shared" si="4935"/>
        <v>1</v>
      </c>
      <c r="H2468" s="62">
        <f t="shared" ref="H2468:Q2468" si="4936">IF(isblank(H$1),,IFERROR(vlookup($A2468,indirect("'TVC-"&amp;text(month(H$1),"00")&amp;"'!$A:$D"),4,false),1))</f>
        <v>1</v>
      </c>
      <c r="I2468" s="62">
        <f t="shared" si="4936"/>
        <v>1</v>
      </c>
      <c r="J2468" s="62">
        <f t="shared" si="4936"/>
        <v>1</v>
      </c>
      <c r="K2468" s="62">
        <f t="shared" si="4936"/>
        <v>1</v>
      </c>
      <c r="L2468" s="62">
        <f t="shared" si="4936"/>
        <v>1</v>
      </c>
      <c r="M2468" s="62">
        <f t="shared" si="4936"/>
        <v>1</v>
      </c>
      <c r="N2468" s="62">
        <f t="shared" si="4936"/>
        <v>1</v>
      </c>
      <c r="O2468" s="62">
        <f t="shared" si="4936"/>
        <v>1</v>
      </c>
      <c r="P2468" s="62" t="str">
        <f t="shared" si="4936"/>
        <v/>
      </c>
      <c r="Q2468" s="62" t="str">
        <f t="shared" si="4936"/>
        <v/>
      </c>
      <c r="R2468" s="62">
        <f t="shared" si="7"/>
        <v>0</v>
      </c>
      <c r="S2468" s="62"/>
      <c r="T2468" s="62"/>
      <c r="U2468" s="62"/>
      <c r="V2468" s="62"/>
      <c r="W2468" s="62"/>
      <c r="X2468" s="62"/>
      <c r="Y2468" s="62"/>
      <c r="Z2468" s="62"/>
      <c r="AA2468" s="62"/>
      <c r="AB2468" s="62"/>
      <c r="AC2468" s="62"/>
    </row>
    <row r="2469" hidden="1">
      <c r="A2469" s="60">
        <f>IFERROR(__xludf.DUMMYFUNCTION("""COMPUTED_VALUE"""),17579.0)</f>
        <v>17579</v>
      </c>
      <c r="B2469" s="60" t="str">
        <f>IFERROR(__xludf.DUMMYFUNCTION("""COMPUTED_VALUE"""),"Banks, Caleb")</f>
        <v>Banks, Caleb</v>
      </c>
      <c r="C2469" s="60" t="str">
        <f>IFERROR(__xludf.DUMMYFUNCTION("""COMPUTED_VALUE"""),"DT")</f>
        <v>DT</v>
      </c>
      <c r="D2469" s="60" t="str">
        <f>IFERROR(__xludf.DUMMYFUNCTION("""COMPUTED_VALUE"""),"MIN")</f>
        <v>MIN</v>
      </c>
      <c r="E2469" s="62" t="str">
        <f t="shared" si="4"/>
        <v>Caleb Banks</v>
      </c>
      <c r="F2469" s="62">
        <f t="shared" ref="F2469:G2469" si="4937">IF(isblank(F$1),,IF(isblank($A2469),,IFERROR(vlookup($A2469,indirect("'TVC-"&amp;text(month(F$1),"00")&amp;"'!$A:$D"),4,false),1)))</f>
        <v>1</v>
      </c>
      <c r="G2469" s="62">
        <f t="shared" si="4937"/>
        <v>1</v>
      </c>
      <c r="H2469" s="62">
        <f t="shared" ref="H2469:Q2469" si="4938">IF(isblank(H$1),,IFERROR(vlookup($A2469,indirect("'TVC-"&amp;text(month(H$1),"00")&amp;"'!$A:$D"),4,false),1))</f>
        <v>1</v>
      </c>
      <c r="I2469" s="62">
        <f t="shared" si="4938"/>
        <v>1</v>
      </c>
      <c r="J2469" s="62">
        <f t="shared" si="4938"/>
        <v>1</v>
      </c>
      <c r="K2469" s="62">
        <f t="shared" si="4938"/>
        <v>1</v>
      </c>
      <c r="L2469" s="62">
        <f t="shared" si="4938"/>
        <v>1</v>
      </c>
      <c r="M2469" s="62">
        <f t="shared" si="4938"/>
        <v>1</v>
      </c>
      <c r="N2469" s="62">
        <f t="shared" si="4938"/>
        <v>1</v>
      </c>
      <c r="O2469" s="62">
        <f t="shared" si="4938"/>
        <v>1</v>
      </c>
      <c r="P2469" s="62" t="str">
        <f t="shared" si="4938"/>
        <v/>
      </c>
      <c r="Q2469" s="62" t="str">
        <f t="shared" si="4938"/>
        <v/>
      </c>
      <c r="R2469" s="62">
        <f t="shared" si="7"/>
        <v>0</v>
      </c>
      <c r="S2469" s="62"/>
      <c r="T2469" s="62"/>
      <c r="U2469" s="62"/>
      <c r="V2469" s="62"/>
      <c r="W2469" s="62"/>
      <c r="X2469" s="62"/>
      <c r="Y2469" s="62"/>
      <c r="Z2469" s="62"/>
      <c r="AA2469" s="62"/>
      <c r="AB2469" s="62"/>
      <c r="AC2469" s="62"/>
    </row>
    <row r="2470" hidden="1">
      <c r="A2470" s="60">
        <f>IFERROR(__xludf.DUMMYFUNCTION("""COMPUTED_VALUE"""),17580.0)</f>
        <v>17580</v>
      </c>
      <c r="B2470" s="60" t="str">
        <f>IFERROR(__xludf.DUMMYFUNCTION("""COMPUTED_VALUE"""),"Lawrence, Malachi")</f>
        <v>Lawrence, Malachi</v>
      </c>
      <c r="C2470" s="60" t="str">
        <f>IFERROR(__xludf.DUMMYFUNCTION("""COMPUTED_VALUE"""),"DE")</f>
        <v>DE</v>
      </c>
      <c r="D2470" s="60" t="str">
        <f>IFERROR(__xludf.DUMMYFUNCTION("""COMPUTED_VALUE"""),"DAL")</f>
        <v>DAL</v>
      </c>
      <c r="E2470" s="62" t="str">
        <f t="shared" si="4"/>
        <v>Malachi Lawrence</v>
      </c>
      <c r="F2470" s="62">
        <f t="shared" ref="F2470:G2470" si="4939">IF(isblank(F$1),,IF(isblank($A2470),,IFERROR(vlookup($A2470,indirect("'TVC-"&amp;text(month(F$1),"00")&amp;"'!$A:$D"),4,false),1)))</f>
        <v>1</v>
      </c>
      <c r="G2470" s="62">
        <f t="shared" si="4939"/>
        <v>1</v>
      </c>
      <c r="H2470" s="62">
        <f t="shared" ref="H2470:Q2470" si="4940">IF(isblank(H$1),,IFERROR(vlookup($A2470,indirect("'TVC-"&amp;text(month(H$1),"00")&amp;"'!$A:$D"),4,false),1))</f>
        <v>1</v>
      </c>
      <c r="I2470" s="62">
        <f t="shared" si="4940"/>
        <v>1</v>
      </c>
      <c r="J2470" s="62">
        <f t="shared" si="4940"/>
        <v>1</v>
      </c>
      <c r="K2470" s="62">
        <f t="shared" si="4940"/>
        <v>1</v>
      </c>
      <c r="L2470" s="62">
        <f t="shared" si="4940"/>
        <v>1</v>
      </c>
      <c r="M2470" s="62">
        <f t="shared" si="4940"/>
        <v>1</v>
      </c>
      <c r="N2470" s="62">
        <f t="shared" si="4940"/>
        <v>1</v>
      </c>
      <c r="O2470" s="62">
        <f t="shared" si="4940"/>
        <v>1</v>
      </c>
      <c r="P2470" s="62" t="str">
        <f t="shared" si="4940"/>
        <v/>
      </c>
      <c r="Q2470" s="62" t="str">
        <f t="shared" si="4940"/>
        <v/>
      </c>
      <c r="R2470" s="62">
        <f t="shared" si="7"/>
        <v>0</v>
      </c>
      <c r="S2470" s="62"/>
      <c r="T2470" s="62"/>
      <c r="U2470" s="62"/>
      <c r="V2470" s="62"/>
      <c r="W2470" s="62"/>
      <c r="X2470" s="62"/>
      <c r="Y2470" s="62"/>
      <c r="Z2470" s="62"/>
      <c r="AA2470" s="62"/>
      <c r="AB2470" s="62"/>
      <c r="AC2470" s="62"/>
    </row>
    <row r="2471" hidden="1">
      <c r="A2471" s="60">
        <f>IFERROR(__xludf.DUMMYFUNCTION("""COMPUTED_VALUE"""),17581.0)</f>
        <v>17581</v>
      </c>
      <c r="B2471" s="60" t="str">
        <f>IFERROR(__xludf.DUMMYFUNCTION("""COMPUTED_VALUE"""),"Cisse, Brandon")</f>
        <v>Cisse, Brandon</v>
      </c>
      <c r="C2471" s="60" t="str">
        <f>IFERROR(__xludf.DUMMYFUNCTION("""COMPUTED_VALUE"""),"CB")</f>
        <v>CB</v>
      </c>
      <c r="D2471" s="60" t="str">
        <f>IFERROR(__xludf.DUMMYFUNCTION("""COMPUTED_VALUE"""),"GBP")</f>
        <v>GBP</v>
      </c>
      <c r="E2471" s="62" t="str">
        <f t="shared" si="4"/>
        <v>Brandon Cisse</v>
      </c>
      <c r="F2471" s="62">
        <f t="shared" ref="F2471:G2471" si="4941">IF(isblank(F$1),,IF(isblank($A2471),,IFERROR(vlookup($A2471,indirect("'TVC-"&amp;text(month(F$1),"00")&amp;"'!$A:$D"),4,false),1)))</f>
        <v>1</v>
      </c>
      <c r="G2471" s="62">
        <f t="shared" si="4941"/>
        <v>1</v>
      </c>
      <c r="H2471" s="62">
        <f t="shared" ref="H2471:Q2471" si="4942">IF(isblank(H$1),,IFERROR(vlookup($A2471,indirect("'TVC-"&amp;text(month(H$1),"00")&amp;"'!$A:$D"),4,false),1))</f>
        <v>1</v>
      </c>
      <c r="I2471" s="62">
        <f t="shared" si="4942"/>
        <v>1</v>
      </c>
      <c r="J2471" s="62">
        <f t="shared" si="4942"/>
        <v>1</v>
      </c>
      <c r="K2471" s="62">
        <f t="shared" si="4942"/>
        <v>1</v>
      </c>
      <c r="L2471" s="62">
        <f t="shared" si="4942"/>
        <v>1</v>
      </c>
      <c r="M2471" s="62">
        <f t="shared" si="4942"/>
        <v>1</v>
      </c>
      <c r="N2471" s="62">
        <f t="shared" si="4942"/>
        <v>1</v>
      </c>
      <c r="O2471" s="62">
        <f t="shared" si="4942"/>
        <v>1</v>
      </c>
      <c r="P2471" s="62" t="str">
        <f t="shared" si="4942"/>
        <v/>
      </c>
      <c r="Q2471" s="62" t="str">
        <f t="shared" si="4942"/>
        <v/>
      </c>
      <c r="R2471" s="62">
        <f t="shared" si="7"/>
        <v>0</v>
      </c>
      <c r="S2471" s="62"/>
      <c r="T2471" s="62"/>
      <c r="U2471" s="62"/>
      <c r="V2471" s="62"/>
      <c r="W2471" s="62"/>
      <c r="X2471" s="62"/>
      <c r="Y2471" s="62"/>
      <c r="Z2471" s="62"/>
      <c r="AA2471" s="62"/>
      <c r="AB2471" s="62"/>
      <c r="AC2471" s="62"/>
    </row>
    <row r="2472" hidden="1">
      <c r="A2472" s="60">
        <f>IFERROR(__xludf.DUMMYFUNCTION("""COMPUTED_VALUE"""),17582.0)</f>
        <v>17582</v>
      </c>
      <c r="B2472" s="60" t="str">
        <f>IFERROR(__xludf.DUMMYFUNCTION("""COMPUTED_VALUE"""),"Stukes, Treydan")</f>
        <v>Stukes, Treydan</v>
      </c>
      <c r="C2472" s="60" t="str">
        <f>IFERROR(__xludf.DUMMYFUNCTION("""COMPUTED_VALUE"""),"S")</f>
        <v>S</v>
      </c>
      <c r="D2472" s="60" t="str">
        <f>IFERROR(__xludf.DUMMYFUNCTION("""COMPUTED_VALUE"""),"LVR")</f>
        <v>LVR</v>
      </c>
      <c r="E2472" s="62" t="str">
        <f t="shared" si="4"/>
        <v>Treydan Stukes</v>
      </c>
      <c r="F2472" s="62">
        <f t="shared" ref="F2472:G2472" si="4943">IF(isblank(F$1),,IF(isblank($A2472),,IFERROR(vlookup($A2472,indirect("'TVC-"&amp;text(month(F$1),"00")&amp;"'!$A:$D"),4,false),1)))</f>
        <v>1</v>
      </c>
      <c r="G2472" s="62">
        <f t="shared" si="4943"/>
        <v>1</v>
      </c>
      <c r="H2472" s="62">
        <f t="shared" ref="H2472:Q2472" si="4944">IF(isblank(H$1),,IFERROR(vlookup($A2472,indirect("'TVC-"&amp;text(month(H$1),"00")&amp;"'!$A:$D"),4,false),1))</f>
        <v>1</v>
      </c>
      <c r="I2472" s="62">
        <f t="shared" si="4944"/>
        <v>1</v>
      </c>
      <c r="J2472" s="62">
        <f t="shared" si="4944"/>
        <v>1</v>
      </c>
      <c r="K2472" s="62">
        <f t="shared" si="4944"/>
        <v>1</v>
      </c>
      <c r="L2472" s="62">
        <f t="shared" si="4944"/>
        <v>1</v>
      </c>
      <c r="M2472" s="62">
        <f t="shared" si="4944"/>
        <v>1</v>
      </c>
      <c r="N2472" s="62">
        <f t="shared" si="4944"/>
        <v>1</v>
      </c>
      <c r="O2472" s="62">
        <f t="shared" si="4944"/>
        <v>1</v>
      </c>
      <c r="P2472" s="62" t="str">
        <f t="shared" si="4944"/>
        <v/>
      </c>
      <c r="Q2472" s="62" t="str">
        <f t="shared" si="4944"/>
        <v/>
      </c>
      <c r="R2472" s="62">
        <f t="shared" si="7"/>
        <v>0</v>
      </c>
      <c r="S2472" s="62"/>
      <c r="T2472" s="62"/>
      <c r="U2472" s="62"/>
      <c r="V2472" s="62"/>
      <c r="W2472" s="62"/>
      <c r="X2472" s="62"/>
      <c r="Y2472" s="62"/>
      <c r="Z2472" s="62"/>
      <c r="AA2472" s="62"/>
      <c r="AB2472" s="62"/>
      <c r="AC2472" s="62"/>
    </row>
    <row r="2473" hidden="1">
      <c r="A2473" s="60">
        <f>IFERROR(__xludf.DUMMYFUNCTION("""COMPUTED_VALUE"""),17583.0)</f>
        <v>17583</v>
      </c>
      <c r="B2473" s="60" t="str">
        <f>IFERROR(__xludf.DUMMYFUNCTION("""COMPUTED_VALUE"""),"Thomas, R Mason")</f>
        <v>Thomas, R Mason</v>
      </c>
      <c r="C2473" s="60" t="str">
        <f>IFERROR(__xludf.DUMMYFUNCTION("""COMPUTED_VALUE"""),"DE")</f>
        <v>DE</v>
      </c>
      <c r="D2473" s="60" t="str">
        <f>IFERROR(__xludf.DUMMYFUNCTION("""COMPUTED_VALUE"""),"KCC")</f>
        <v>KCC</v>
      </c>
      <c r="E2473" s="62" t="str">
        <f t="shared" si="4"/>
        <v>R Mason Thomas</v>
      </c>
      <c r="F2473" s="62">
        <f t="shared" ref="F2473:G2473" si="4945">IF(isblank(F$1),,IF(isblank($A2473),,IFERROR(vlookup($A2473,indirect("'TVC-"&amp;text(month(F$1),"00")&amp;"'!$A:$D"),4,false),1)))</f>
        <v>1</v>
      </c>
      <c r="G2473" s="62">
        <f t="shared" si="4945"/>
        <v>1</v>
      </c>
      <c r="H2473" s="62">
        <f t="shared" ref="H2473:Q2473" si="4946">IF(isblank(H$1),,IFERROR(vlookup($A2473,indirect("'TVC-"&amp;text(month(H$1),"00")&amp;"'!$A:$D"),4,false),1))</f>
        <v>1</v>
      </c>
      <c r="I2473" s="62">
        <f t="shared" si="4946"/>
        <v>1</v>
      </c>
      <c r="J2473" s="62">
        <f t="shared" si="4946"/>
        <v>1</v>
      </c>
      <c r="K2473" s="62">
        <f t="shared" si="4946"/>
        <v>1</v>
      </c>
      <c r="L2473" s="62">
        <f t="shared" si="4946"/>
        <v>1</v>
      </c>
      <c r="M2473" s="62">
        <f t="shared" si="4946"/>
        <v>1</v>
      </c>
      <c r="N2473" s="62">
        <f t="shared" si="4946"/>
        <v>1</v>
      </c>
      <c r="O2473" s="62">
        <f t="shared" si="4946"/>
        <v>1</v>
      </c>
      <c r="P2473" s="62" t="str">
        <f t="shared" si="4946"/>
        <v/>
      </c>
      <c r="Q2473" s="62" t="str">
        <f t="shared" si="4946"/>
        <v/>
      </c>
      <c r="R2473" s="62">
        <f t="shared" si="7"/>
        <v>0</v>
      </c>
      <c r="S2473" s="62"/>
      <c r="T2473" s="62"/>
      <c r="U2473" s="62"/>
      <c r="V2473" s="62"/>
      <c r="W2473" s="62"/>
      <c r="X2473" s="62"/>
      <c r="Y2473" s="62"/>
      <c r="Z2473" s="62"/>
      <c r="AA2473" s="62"/>
      <c r="AB2473" s="62"/>
      <c r="AC2473" s="62"/>
    </row>
    <row r="2474" hidden="1">
      <c r="A2474" s="60">
        <f>IFERROR(__xludf.DUMMYFUNCTION("""COMPUTED_VALUE"""),17584.0)</f>
        <v>17584</v>
      </c>
      <c r="B2474" s="60" t="str">
        <f>IFERROR(__xludf.DUMMYFUNCTION("""COMPUTED_VALUE"""),"Jacas, Gabe")</f>
        <v>Jacas, Gabe</v>
      </c>
      <c r="C2474" s="60" t="str">
        <f>IFERROR(__xludf.DUMMYFUNCTION("""COMPUTED_VALUE"""),"DE")</f>
        <v>DE</v>
      </c>
      <c r="D2474" s="60" t="str">
        <f>IFERROR(__xludf.DUMMYFUNCTION("""COMPUTED_VALUE"""),"NEP")</f>
        <v>NEP</v>
      </c>
      <c r="E2474" s="62" t="str">
        <f t="shared" si="4"/>
        <v>Gabe Jacas</v>
      </c>
      <c r="F2474" s="62">
        <f t="shared" ref="F2474:G2474" si="4947">IF(isblank(F$1),,IF(isblank($A2474),,IFERROR(vlookup($A2474,indirect("'TVC-"&amp;text(month(F$1),"00")&amp;"'!$A:$D"),4,false),1)))</f>
        <v>1</v>
      </c>
      <c r="G2474" s="62">
        <f t="shared" si="4947"/>
        <v>1</v>
      </c>
      <c r="H2474" s="62">
        <f t="shared" ref="H2474:Q2474" si="4948">IF(isblank(H$1),,IFERROR(vlookup($A2474,indirect("'TVC-"&amp;text(month(H$1),"00")&amp;"'!$A:$D"),4,false),1))</f>
        <v>1</v>
      </c>
      <c r="I2474" s="62">
        <f t="shared" si="4948"/>
        <v>1</v>
      </c>
      <c r="J2474" s="62">
        <f t="shared" si="4948"/>
        <v>1</v>
      </c>
      <c r="K2474" s="62">
        <f t="shared" si="4948"/>
        <v>1</v>
      </c>
      <c r="L2474" s="62">
        <f t="shared" si="4948"/>
        <v>1</v>
      </c>
      <c r="M2474" s="62">
        <f t="shared" si="4948"/>
        <v>1</v>
      </c>
      <c r="N2474" s="62">
        <f t="shared" si="4948"/>
        <v>1</v>
      </c>
      <c r="O2474" s="62">
        <f t="shared" si="4948"/>
        <v>1</v>
      </c>
      <c r="P2474" s="62" t="str">
        <f t="shared" si="4948"/>
        <v/>
      </c>
      <c r="Q2474" s="62" t="str">
        <f t="shared" si="4948"/>
        <v/>
      </c>
      <c r="R2474" s="62">
        <f t="shared" si="7"/>
        <v>0</v>
      </c>
      <c r="S2474" s="62"/>
      <c r="T2474" s="62"/>
      <c r="U2474" s="62"/>
      <c r="V2474" s="62"/>
      <c r="W2474" s="62"/>
      <c r="X2474" s="62"/>
      <c r="Y2474" s="62"/>
      <c r="Z2474" s="62"/>
      <c r="AA2474" s="62"/>
      <c r="AB2474" s="62"/>
      <c r="AC2474" s="62"/>
    </row>
    <row r="2475">
      <c r="A2475" s="60">
        <f>IFERROR(__xludf.DUMMYFUNCTION("""COMPUTED_VALUE"""),17585.0)</f>
        <v>17585</v>
      </c>
      <c r="B2475" s="60" t="str">
        <f>IFERROR(__xludf.DUMMYFUNCTION("""COMPUTED_VALUE"""),"Miller, Christen")</f>
        <v>Miller, Christen</v>
      </c>
      <c r="C2475" s="60" t="str">
        <f>IFERROR(__xludf.DUMMYFUNCTION("""COMPUTED_VALUE"""),"DT")</f>
        <v>DT</v>
      </c>
      <c r="D2475" s="60" t="str">
        <f>IFERROR(__xludf.DUMMYFUNCTION("""COMPUTED_VALUE"""),"NOS")</f>
        <v>NOS</v>
      </c>
      <c r="E2475" s="62" t="str">
        <f t="shared" si="4"/>
        <v>Christen Miller</v>
      </c>
      <c r="F2475" s="62">
        <f t="shared" ref="F2475:G2475" si="4949">IF(isblank(F$1),,IF(isblank($A2475),,IFERROR(vlookup($A2475,indirect("'TVC-"&amp;text(month(F$1),"00")&amp;"'!$A:$D"),4,false),1)))</f>
        <v>1</v>
      </c>
      <c r="G2475" s="62">
        <f t="shared" si="4949"/>
        <v>1</v>
      </c>
      <c r="H2475" s="62">
        <f t="shared" ref="H2475:Q2475" si="4950">IF(isblank(H$1),,IFERROR(vlookup($A2475,indirect("'TVC-"&amp;text(month(H$1),"00")&amp;"'!$A:$D"),4,false),1))</f>
        <v>1</v>
      </c>
      <c r="I2475" s="62">
        <f t="shared" si="4950"/>
        <v>1</v>
      </c>
      <c r="J2475" s="62">
        <f t="shared" si="4950"/>
        <v>1</v>
      </c>
      <c r="K2475" s="62">
        <f t="shared" si="4950"/>
        <v>1</v>
      </c>
      <c r="L2475" s="62">
        <f t="shared" si="4950"/>
        <v>1</v>
      </c>
      <c r="M2475" s="62">
        <f t="shared" si="4950"/>
        <v>1</v>
      </c>
      <c r="N2475" s="62">
        <f t="shared" si="4950"/>
        <v>1</v>
      </c>
      <c r="O2475" s="62">
        <f t="shared" si="4950"/>
        <v>1</v>
      </c>
      <c r="P2475" s="62" t="str">
        <f t="shared" si="4950"/>
        <v/>
      </c>
      <c r="Q2475" s="62" t="str">
        <f t="shared" si="4950"/>
        <v/>
      </c>
      <c r="R2475" s="62">
        <f t="shared" si="7"/>
        <v>0</v>
      </c>
      <c r="S2475" s="62"/>
      <c r="T2475" s="62"/>
      <c r="U2475" s="62"/>
      <c r="V2475" s="62"/>
      <c r="W2475" s="62"/>
      <c r="X2475" s="62"/>
      <c r="Y2475" s="62"/>
      <c r="Z2475" s="62"/>
      <c r="AA2475" s="62"/>
      <c r="AB2475" s="62"/>
      <c r="AC2475" s="62"/>
    </row>
    <row r="2476" hidden="1">
      <c r="A2476" s="60">
        <f>IFERROR(__xludf.DUMMYFUNCTION("""COMPUTED_VALUE"""),17586.0)</f>
        <v>17586</v>
      </c>
      <c r="B2476" s="60" t="str">
        <f>IFERROR(__xludf.DUMMYFUNCTION("""COMPUTED_VALUE"""),"Rodriguez, Jacob")</f>
        <v>Rodriguez, Jacob</v>
      </c>
      <c r="C2476" s="60" t="str">
        <f>IFERROR(__xludf.DUMMYFUNCTION("""COMPUTED_VALUE"""),"LB")</f>
        <v>LB</v>
      </c>
      <c r="D2476" s="60" t="str">
        <f>IFERROR(__xludf.DUMMYFUNCTION("""COMPUTED_VALUE"""),"MIA")</f>
        <v>MIA</v>
      </c>
      <c r="E2476" s="62" t="str">
        <f t="shared" si="4"/>
        <v>Jacob Rodriguez</v>
      </c>
      <c r="F2476" s="62">
        <f t="shared" ref="F2476:G2476" si="4951">IF(isblank(F$1),,IF(isblank($A2476),,IFERROR(vlookup($A2476,indirect("'TVC-"&amp;text(month(F$1),"00")&amp;"'!$A:$D"),4,false),1)))</f>
        <v>1</v>
      </c>
      <c r="G2476" s="62">
        <f t="shared" si="4951"/>
        <v>1</v>
      </c>
      <c r="H2476" s="62">
        <f t="shared" ref="H2476:Q2476" si="4952">IF(isblank(H$1),,IFERROR(vlookup($A2476,indirect("'TVC-"&amp;text(month(H$1),"00")&amp;"'!$A:$D"),4,false),1))</f>
        <v>1</v>
      </c>
      <c r="I2476" s="62">
        <f t="shared" si="4952"/>
        <v>1</v>
      </c>
      <c r="J2476" s="62">
        <f t="shared" si="4952"/>
        <v>1</v>
      </c>
      <c r="K2476" s="62">
        <f t="shared" si="4952"/>
        <v>1</v>
      </c>
      <c r="L2476" s="62">
        <f t="shared" si="4952"/>
        <v>1</v>
      </c>
      <c r="M2476" s="62">
        <f t="shared" si="4952"/>
        <v>1</v>
      </c>
      <c r="N2476" s="62">
        <f t="shared" si="4952"/>
        <v>1</v>
      </c>
      <c r="O2476" s="62">
        <f t="shared" si="4952"/>
        <v>1</v>
      </c>
      <c r="P2476" s="62" t="str">
        <f t="shared" si="4952"/>
        <v/>
      </c>
      <c r="Q2476" s="62" t="str">
        <f t="shared" si="4952"/>
        <v/>
      </c>
      <c r="R2476" s="62">
        <f t="shared" si="7"/>
        <v>0</v>
      </c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</row>
    <row r="2477" hidden="1">
      <c r="A2477" s="60">
        <f>IFERROR(__xludf.DUMMYFUNCTION("""COMPUTED_VALUE"""),17587.0)</f>
        <v>17587</v>
      </c>
      <c r="B2477" s="60" t="str">
        <f>IFERROR(__xludf.DUMMYFUNCTION("""COMPUTED_VALUE"""),"Moore, Derrick")</f>
        <v>Moore, Derrick</v>
      </c>
      <c r="C2477" s="60" t="str">
        <f>IFERROR(__xludf.DUMMYFUNCTION("""COMPUTED_VALUE"""),"DE")</f>
        <v>DE</v>
      </c>
      <c r="D2477" s="60" t="str">
        <f>IFERROR(__xludf.DUMMYFUNCTION("""COMPUTED_VALUE"""),"DET")</f>
        <v>DET</v>
      </c>
      <c r="E2477" s="62" t="str">
        <f t="shared" si="4"/>
        <v>Derrick Moore</v>
      </c>
      <c r="F2477" s="62">
        <f t="shared" ref="F2477:G2477" si="4953">IF(isblank(F$1),,IF(isblank($A2477),,IFERROR(vlookup($A2477,indirect("'TVC-"&amp;text(month(F$1),"00")&amp;"'!$A:$D"),4,false),1)))</f>
        <v>1</v>
      </c>
      <c r="G2477" s="62">
        <f t="shared" si="4953"/>
        <v>1</v>
      </c>
      <c r="H2477" s="62">
        <f t="shared" ref="H2477:Q2477" si="4954">IF(isblank(H$1),,IFERROR(vlookup($A2477,indirect("'TVC-"&amp;text(month(H$1),"00")&amp;"'!$A:$D"),4,false),1))</f>
        <v>1</v>
      </c>
      <c r="I2477" s="62">
        <f t="shared" si="4954"/>
        <v>1</v>
      </c>
      <c r="J2477" s="62">
        <f t="shared" si="4954"/>
        <v>1</v>
      </c>
      <c r="K2477" s="62">
        <f t="shared" si="4954"/>
        <v>1</v>
      </c>
      <c r="L2477" s="62">
        <f t="shared" si="4954"/>
        <v>1</v>
      </c>
      <c r="M2477" s="62">
        <f t="shared" si="4954"/>
        <v>1</v>
      </c>
      <c r="N2477" s="62">
        <f t="shared" si="4954"/>
        <v>1</v>
      </c>
      <c r="O2477" s="62">
        <f t="shared" si="4954"/>
        <v>1</v>
      </c>
      <c r="P2477" s="62" t="str">
        <f t="shared" si="4954"/>
        <v/>
      </c>
      <c r="Q2477" s="62" t="str">
        <f t="shared" si="4954"/>
        <v/>
      </c>
      <c r="R2477" s="62">
        <f t="shared" si="7"/>
        <v>0</v>
      </c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</row>
    <row r="2478" hidden="1">
      <c r="A2478" s="60">
        <f>IFERROR(__xludf.DUMMYFUNCTION("""COMPUTED_VALUE"""),17588.0)</f>
        <v>17588</v>
      </c>
      <c r="B2478" s="60" t="str">
        <f>IFERROR(__xludf.DUMMYFUNCTION("""COMPUTED_VALUE"""),"Young, Zion")</f>
        <v>Young, Zion</v>
      </c>
      <c r="C2478" s="60" t="str">
        <f>IFERROR(__xludf.DUMMYFUNCTION("""COMPUTED_VALUE"""),"DE")</f>
        <v>DE</v>
      </c>
      <c r="D2478" s="60" t="str">
        <f>IFERROR(__xludf.DUMMYFUNCTION("""COMPUTED_VALUE"""),"BAL")</f>
        <v>BAL</v>
      </c>
      <c r="E2478" s="62" t="str">
        <f t="shared" si="4"/>
        <v>Zion Young</v>
      </c>
      <c r="F2478" s="62">
        <f t="shared" ref="F2478:G2478" si="4955">IF(isblank(F$1),,IF(isblank($A2478),,IFERROR(vlookup($A2478,indirect("'TVC-"&amp;text(month(F$1),"00")&amp;"'!$A:$D"),4,false),1)))</f>
        <v>1</v>
      </c>
      <c r="G2478" s="62">
        <f t="shared" si="4955"/>
        <v>1</v>
      </c>
      <c r="H2478" s="62">
        <f t="shared" ref="H2478:Q2478" si="4956">IF(isblank(H$1),,IFERROR(vlookup($A2478,indirect("'TVC-"&amp;text(month(H$1),"00")&amp;"'!$A:$D"),4,false),1))</f>
        <v>1</v>
      </c>
      <c r="I2478" s="62">
        <f t="shared" si="4956"/>
        <v>1</v>
      </c>
      <c r="J2478" s="62">
        <f t="shared" si="4956"/>
        <v>1</v>
      </c>
      <c r="K2478" s="62">
        <f t="shared" si="4956"/>
        <v>1</v>
      </c>
      <c r="L2478" s="62">
        <f t="shared" si="4956"/>
        <v>1</v>
      </c>
      <c r="M2478" s="62">
        <f t="shared" si="4956"/>
        <v>1</v>
      </c>
      <c r="N2478" s="62">
        <f t="shared" si="4956"/>
        <v>1</v>
      </c>
      <c r="O2478" s="62">
        <f t="shared" si="4956"/>
        <v>1</v>
      </c>
      <c r="P2478" s="62" t="str">
        <f t="shared" si="4956"/>
        <v/>
      </c>
      <c r="Q2478" s="62" t="str">
        <f t="shared" si="4956"/>
        <v/>
      </c>
      <c r="R2478" s="62">
        <f t="shared" si="7"/>
        <v>0</v>
      </c>
      <c r="S2478" s="62"/>
      <c r="T2478" s="62"/>
      <c r="U2478" s="62"/>
      <c r="V2478" s="62"/>
      <c r="W2478" s="62"/>
      <c r="X2478" s="62"/>
      <c r="Y2478" s="62"/>
      <c r="Z2478" s="62"/>
      <c r="AA2478" s="62"/>
      <c r="AB2478" s="62"/>
      <c r="AC2478" s="62"/>
    </row>
    <row r="2479" hidden="1">
      <c r="A2479" s="60">
        <f>IFERROR(__xludf.DUMMYFUNCTION("""COMPUTED_VALUE"""),17589.0)</f>
        <v>17589</v>
      </c>
      <c r="B2479" s="60" t="str">
        <f>IFERROR(__xludf.DUMMYFUNCTION("""COMPUTED_VALUE"""),"Trotter, Josiah")</f>
        <v>Trotter, Josiah</v>
      </c>
      <c r="C2479" s="60" t="str">
        <f>IFERROR(__xludf.DUMMYFUNCTION("""COMPUTED_VALUE"""),"LB")</f>
        <v>LB</v>
      </c>
      <c r="D2479" s="60" t="str">
        <f>IFERROR(__xludf.DUMMYFUNCTION("""COMPUTED_VALUE"""),"TBB")</f>
        <v>TBB</v>
      </c>
      <c r="E2479" s="62" t="str">
        <f t="shared" si="4"/>
        <v>Josiah Trotter</v>
      </c>
      <c r="F2479" s="62">
        <f t="shared" ref="F2479:G2479" si="4957">IF(isblank(F$1),,IF(isblank($A2479),,IFERROR(vlookup($A2479,indirect("'TVC-"&amp;text(month(F$1),"00")&amp;"'!$A:$D"),4,false),1)))</f>
        <v>1</v>
      </c>
      <c r="G2479" s="62">
        <f t="shared" si="4957"/>
        <v>1</v>
      </c>
      <c r="H2479" s="62">
        <f t="shared" ref="H2479:Q2479" si="4958">IF(isblank(H$1),,IFERROR(vlookup($A2479,indirect("'TVC-"&amp;text(month(H$1),"00")&amp;"'!$A:$D"),4,false),1))</f>
        <v>1</v>
      </c>
      <c r="I2479" s="62">
        <f t="shared" si="4958"/>
        <v>1</v>
      </c>
      <c r="J2479" s="62">
        <f t="shared" si="4958"/>
        <v>1</v>
      </c>
      <c r="K2479" s="62">
        <f t="shared" si="4958"/>
        <v>1</v>
      </c>
      <c r="L2479" s="62">
        <f t="shared" si="4958"/>
        <v>1</v>
      </c>
      <c r="M2479" s="62">
        <f t="shared" si="4958"/>
        <v>1</v>
      </c>
      <c r="N2479" s="62">
        <f t="shared" si="4958"/>
        <v>1</v>
      </c>
      <c r="O2479" s="62">
        <f t="shared" si="4958"/>
        <v>1</v>
      </c>
      <c r="P2479" s="62" t="str">
        <f t="shared" si="4958"/>
        <v/>
      </c>
      <c r="Q2479" s="62" t="str">
        <f t="shared" si="4958"/>
        <v/>
      </c>
      <c r="R2479" s="62">
        <f t="shared" si="7"/>
        <v>0</v>
      </c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</row>
    <row r="2480" hidden="1">
      <c r="A2480" s="60">
        <f>IFERROR(__xludf.DUMMYFUNCTION("""COMPUTED_VALUE"""),17590.0)</f>
        <v>17590</v>
      </c>
      <c r="B2480" s="60" t="str">
        <f>IFERROR(__xludf.DUMMYFUNCTION("""COMPUTED_VALUE"""),"Ponds, D'Angelo")</f>
        <v>Ponds, D'Angelo</v>
      </c>
      <c r="C2480" s="60" t="str">
        <f>IFERROR(__xludf.DUMMYFUNCTION("""COMPUTED_VALUE"""),"CB")</f>
        <v>CB</v>
      </c>
      <c r="D2480" s="60" t="str">
        <f>IFERROR(__xludf.DUMMYFUNCTION("""COMPUTED_VALUE"""),"NYJ")</f>
        <v>NYJ</v>
      </c>
      <c r="E2480" s="62" t="str">
        <f t="shared" si="4"/>
        <v>D'Angelo Ponds</v>
      </c>
      <c r="F2480" s="62">
        <f t="shared" ref="F2480:G2480" si="4959">IF(isblank(F$1),,IF(isblank($A2480),,IFERROR(vlookup($A2480,indirect("'TVC-"&amp;text(month(F$1),"00")&amp;"'!$A:$D"),4,false),1)))</f>
        <v>1</v>
      </c>
      <c r="G2480" s="62">
        <f t="shared" si="4959"/>
        <v>1</v>
      </c>
      <c r="H2480" s="62">
        <f t="shared" ref="H2480:Q2480" si="4960">IF(isblank(H$1),,IFERROR(vlookup($A2480,indirect("'TVC-"&amp;text(month(H$1),"00")&amp;"'!$A:$D"),4,false),1))</f>
        <v>1</v>
      </c>
      <c r="I2480" s="62">
        <f t="shared" si="4960"/>
        <v>1</v>
      </c>
      <c r="J2480" s="62">
        <f t="shared" si="4960"/>
        <v>1</v>
      </c>
      <c r="K2480" s="62">
        <f t="shared" si="4960"/>
        <v>1</v>
      </c>
      <c r="L2480" s="62">
        <f t="shared" si="4960"/>
        <v>1</v>
      </c>
      <c r="M2480" s="62">
        <f t="shared" si="4960"/>
        <v>1</v>
      </c>
      <c r="N2480" s="62">
        <f t="shared" si="4960"/>
        <v>1</v>
      </c>
      <c r="O2480" s="62">
        <f t="shared" si="4960"/>
        <v>1</v>
      </c>
      <c r="P2480" s="62" t="str">
        <f t="shared" si="4960"/>
        <v/>
      </c>
      <c r="Q2480" s="62" t="str">
        <f t="shared" si="4960"/>
        <v/>
      </c>
      <c r="R2480" s="62">
        <f t="shared" si="7"/>
        <v>0</v>
      </c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</row>
    <row r="2481" hidden="1">
      <c r="A2481" s="60">
        <f>IFERROR(__xludf.DUMMYFUNCTION("""COMPUTED_VALUE"""),17591.0)</f>
        <v>17591</v>
      </c>
      <c r="B2481" s="60" t="str">
        <f>IFERROR(__xludf.DUMMYFUNCTION("""COMPUTED_VALUE"""),"Boerkircher, Nate")</f>
        <v>Boerkircher, Nate</v>
      </c>
      <c r="C2481" s="60" t="str">
        <f>IFERROR(__xludf.DUMMYFUNCTION("""COMPUTED_VALUE"""),"TE")</f>
        <v>TE</v>
      </c>
      <c r="D2481" s="60" t="str">
        <f>IFERROR(__xludf.DUMMYFUNCTION("""COMPUTED_VALUE"""),"JAC")</f>
        <v>JAC</v>
      </c>
      <c r="E2481" s="62" t="str">
        <f t="shared" si="4"/>
        <v>Nate Boerkircher</v>
      </c>
      <c r="F2481" s="62">
        <f t="shared" ref="F2481:G2481" si="4961">IF(isblank(F$1),,IF(isblank($A2481),,IFERROR(vlookup($A2481,indirect("'TVC-"&amp;text(month(F$1),"00")&amp;"'!$A:$D"),4,false),1)))</f>
        <v>1</v>
      </c>
      <c r="G2481" s="62">
        <f t="shared" si="4961"/>
        <v>1</v>
      </c>
      <c r="H2481" s="62">
        <f t="shared" ref="H2481:Q2481" si="4962">IF(isblank(H$1),,IFERROR(vlookup($A2481,indirect("'TVC-"&amp;text(month(H$1),"00")&amp;"'!$A:$D"),4,false),1))</f>
        <v>1</v>
      </c>
      <c r="I2481" s="62">
        <f t="shared" si="4962"/>
        <v>1</v>
      </c>
      <c r="J2481" s="62">
        <f t="shared" si="4962"/>
        <v>541</v>
      </c>
      <c r="K2481" s="62">
        <f t="shared" si="4962"/>
        <v>1</v>
      </c>
      <c r="L2481" s="62">
        <f t="shared" si="4962"/>
        <v>1</v>
      </c>
      <c r="M2481" s="62">
        <f t="shared" si="4962"/>
        <v>1</v>
      </c>
      <c r="N2481" s="62">
        <f t="shared" si="4962"/>
        <v>1</v>
      </c>
      <c r="O2481" s="62">
        <f t="shared" si="4962"/>
        <v>1</v>
      </c>
      <c r="P2481" s="62" t="str">
        <f t="shared" si="4962"/>
        <v/>
      </c>
      <c r="Q2481" s="62" t="str">
        <f t="shared" si="4962"/>
        <v/>
      </c>
      <c r="R2481" s="62">
        <f t="shared" si="7"/>
        <v>0</v>
      </c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</row>
    <row r="2482" hidden="1">
      <c r="A2482" s="60">
        <f>IFERROR(__xludf.DUMMYFUNCTION("""COMPUTED_VALUE"""),17592.0)</f>
        <v>17592</v>
      </c>
      <c r="B2482" s="60" t="str">
        <f>IFERROR(__xludf.DUMMYFUNCTION("""COMPUTED_VALUE"""),"Igbinosun, Davison")</f>
        <v>Igbinosun, Davison</v>
      </c>
      <c r="C2482" s="60" t="str">
        <f>IFERROR(__xludf.DUMMYFUNCTION("""COMPUTED_VALUE"""),"CB")</f>
        <v>CB</v>
      </c>
      <c r="D2482" s="60" t="str">
        <f>IFERROR(__xludf.DUMMYFUNCTION("""COMPUTED_VALUE"""),"BUF")</f>
        <v>BUF</v>
      </c>
      <c r="E2482" s="62" t="str">
        <f t="shared" si="4"/>
        <v>Davison Igbinosun</v>
      </c>
      <c r="F2482" s="62">
        <f t="shared" ref="F2482:G2482" si="4963">IF(isblank(F$1),,IF(isblank($A2482),,IFERROR(vlookup($A2482,indirect("'TVC-"&amp;text(month(F$1),"00")&amp;"'!$A:$D"),4,false),1)))</f>
        <v>1</v>
      </c>
      <c r="G2482" s="62">
        <f t="shared" si="4963"/>
        <v>1</v>
      </c>
      <c r="H2482" s="62">
        <f t="shared" ref="H2482:Q2482" si="4964">IF(isblank(H$1),,IFERROR(vlookup($A2482,indirect("'TVC-"&amp;text(month(H$1),"00")&amp;"'!$A:$D"),4,false),1))</f>
        <v>1</v>
      </c>
      <c r="I2482" s="62">
        <f t="shared" si="4964"/>
        <v>1</v>
      </c>
      <c r="J2482" s="62">
        <f t="shared" si="4964"/>
        <v>1</v>
      </c>
      <c r="K2482" s="62">
        <f t="shared" si="4964"/>
        <v>1</v>
      </c>
      <c r="L2482" s="62">
        <f t="shared" si="4964"/>
        <v>1</v>
      </c>
      <c r="M2482" s="62">
        <f t="shared" si="4964"/>
        <v>1</v>
      </c>
      <c r="N2482" s="62">
        <f t="shared" si="4964"/>
        <v>1</v>
      </c>
      <c r="O2482" s="62">
        <f t="shared" si="4964"/>
        <v>1</v>
      </c>
      <c r="P2482" s="62" t="str">
        <f t="shared" si="4964"/>
        <v/>
      </c>
      <c r="Q2482" s="62" t="str">
        <f t="shared" si="4964"/>
        <v/>
      </c>
      <c r="R2482" s="62">
        <f t="shared" si="7"/>
        <v>0</v>
      </c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</row>
    <row r="2483" hidden="1">
      <c r="A2483" s="60">
        <f>IFERROR(__xludf.DUMMYFUNCTION("""COMPUTED_VALUE"""),17593.0)</f>
        <v>17593</v>
      </c>
      <c r="B2483" s="60" t="str">
        <f>IFERROR(__xludf.DUMMYFUNCTION("""COMPUTED_VALUE"""),"Klein, Marlin")</f>
        <v>Klein, Marlin</v>
      </c>
      <c r="C2483" s="60" t="str">
        <f>IFERROR(__xludf.DUMMYFUNCTION("""COMPUTED_VALUE"""),"TE")</f>
        <v>TE</v>
      </c>
      <c r="D2483" s="60" t="str">
        <f>IFERROR(__xludf.DUMMYFUNCTION("""COMPUTED_VALUE"""),"HOU")</f>
        <v>HOU</v>
      </c>
      <c r="E2483" s="62" t="str">
        <f t="shared" si="4"/>
        <v>Marlin Klein</v>
      </c>
      <c r="F2483" s="62">
        <f t="shared" ref="F2483:G2483" si="4965">IF(isblank(F$1),,IF(isblank($A2483),,IFERROR(vlookup($A2483,indirect("'TVC-"&amp;text(month(F$1),"00")&amp;"'!$A:$D"),4,false),1)))</f>
        <v>1</v>
      </c>
      <c r="G2483" s="62">
        <f t="shared" si="4965"/>
        <v>1</v>
      </c>
      <c r="H2483" s="62">
        <f t="shared" ref="H2483:Q2483" si="4966">IF(isblank(H$1),,IFERROR(vlookup($A2483,indirect("'TVC-"&amp;text(month(H$1),"00")&amp;"'!$A:$D"),4,false),1))</f>
        <v>1</v>
      </c>
      <c r="I2483" s="62">
        <f t="shared" si="4966"/>
        <v>1</v>
      </c>
      <c r="J2483" s="62">
        <f t="shared" si="4966"/>
        <v>1</v>
      </c>
      <c r="K2483" s="62">
        <f t="shared" si="4966"/>
        <v>1</v>
      </c>
      <c r="L2483" s="62">
        <f t="shared" si="4966"/>
        <v>1</v>
      </c>
      <c r="M2483" s="62">
        <f t="shared" si="4966"/>
        <v>1</v>
      </c>
      <c r="N2483" s="62">
        <f t="shared" si="4966"/>
        <v>1654</v>
      </c>
      <c r="O2483" s="62">
        <f t="shared" si="4966"/>
        <v>1</v>
      </c>
      <c r="P2483" s="62" t="str">
        <f t="shared" si="4966"/>
        <v/>
      </c>
      <c r="Q2483" s="62" t="str">
        <f t="shared" si="4966"/>
        <v/>
      </c>
      <c r="R2483" s="62">
        <f t="shared" si="7"/>
        <v>-1653</v>
      </c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</row>
    <row r="2484" hidden="1">
      <c r="A2484" s="60">
        <f>IFERROR(__xludf.DUMMYFUNCTION("""COMPUTED_VALUE"""),17594.0)</f>
        <v>17594</v>
      </c>
      <c r="B2484" s="60" t="str">
        <f>IFERROR(__xludf.DUMMYFUNCTION("""COMPUTED_VALUE"""),"Clark, Bud")</f>
        <v>Clark, Bud</v>
      </c>
      <c r="C2484" s="60" t="str">
        <f>IFERROR(__xludf.DUMMYFUNCTION("""COMPUTED_VALUE"""),"S")</f>
        <v>S</v>
      </c>
      <c r="D2484" s="60" t="str">
        <f>IFERROR(__xludf.DUMMYFUNCTION("""COMPUTED_VALUE"""),"SEA")</f>
        <v>SEA</v>
      </c>
      <c r="E2484" s="62" t="str">
        <f t="shared" si="4"/>
        <v>Bud Clark</v>
      </c>
      <c r="F2484" s="62">
        <f t="shared" ref="F2484:G2484" si="4967">IF(isblank(F$1),,IF(isblank($A2484),,IFERROR(vlookup($A2484,indirect("'TVC-"&amp;text(month(F$1),"00")&amp;"'!$A:$D"),4,false),1)))</f>
        <v>1</v>
      </c>
      <c r="G2484" s="62">
        <f t="shared" si="4967"/>
        <v>1</v>
      </c>
      <c r="H2484" s="62">
        <f t="shared" ref="H2484:Q2484" si="4968">IF(isblank(H$1),,IFERROR(vlookup($A2484,indirect("'TVC-"&amp;text(month(H$1),"00")&amp;"'!$A:$D"),4,false),1))</f>
        <v>1</v>
      </c>
      <c r="I2484" s="62">
        <f t="shared" si="4968"/>
        <v>1</v>
      </c>
      <c r="J2484" s="62">
        <f t="shared" si="4968"/>
        <v>1</v>
      </c>
      <c r="K2484" s="62">
        <f t="shared" si="4968"/>
        <v>1</v>
      </c>
      <c r="L2484" s="62">
        <f t="shared" si="4968"/>
        <v>1</v>
      </c>
      <c r="M2484" s="62">
        <f t="shared" si="4968"/>
        <v>1</v>
      </c>
      <c r="N2484" s="62">
        <f t="shared" si="4968"/>
        <v>1</v>
      </c>
      <c r="O2484" s="62">
        <f t="shared" si="4968"/>
        <v>1</v>
      </c>
      <c r="P2484" s="62" t="str">
        <f t="shared" si="4968"/>
        <v/>
      </c>
      <c r="Q2484" s="62" t="str">
        <f t="shared" si="4968"/>
        <v/>
      </c>
      <c r="R2484" s="62">
        <f t="shared" si="7"/>
        <v>0</v>
      </c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</row>
    <row r="2485" hidden="1">
      <c r="A2485" s="60">
        <f>IFERROR(__xludf.DUMMYFUNCTION("""COMPUTED_VALUE"""),17595.0)</f>
        <v>17595</v>
      </c>
      <c r="B2485" s="60" t="str">
        <f>IFERROR(__xludf.DUMMYFUNCTION("""COMPUTED_VALUE"""),"Onyedim, Tyler")</f>
        <v>Onyedim, Tyler</v>
      </c>
      <c r="C2485" s="60" t="str">
        <f>IFERROR(__xludf.DUMMYFUNCTION("""COMPUTED_VALUE"""),"DT")</f>
        <v>DT</v>
      </c>
      <c r="D2485" s="60" t="str">
        <f>IFERROR(__xludf.DUMMYFUNCTION("""COMPUTED_VALUE"""),"DEN")</f>
        <v>DEN</v>
      </c>
      <c r="E2485" s="62" t="str">
        <f t="shared" si="4"/>
        <v>Tyler Onyedim</v>
      </c>
      <c r="F2485" s="62">
        <f t="shared" ref="F2485:G2485" si="4969">IF(isblank(F$1),,IF(isblank($A2485),,IFERROR(vlookup($A2485,indirect("'TVC-"&amp;text(month(F$1),"00")&amp;"'!$A:$D"),4,false),1)))</f>
        <v>1</v>
      </c>
      <c r="G2485" s="62">
        <f t="shared" si="4969"/>
        <v>1</v>
      </c>
      <c r="H2485" s="62">
        <f t="shared" ref="H2485:Q2485" si="4970">IF(isblank(H$1),,IFERROR(vlookup($A2485,indirect("'TVC-"&amp;text(month(H$1),"00")&amp;"'!$A:$D"),4,false),1))</f>
        <v>1</v>
      </c>
      <c r="I2485" s="62">
        <f t="shared" si="4970"/>
        <v>1</v>
      </c>
      <c r="J2485" s="62">
        <f t="shared" si="4970"/>
        <v>1</v>
      </c>
      <c r="K2485" s="62">
        <f t="shared" si="4970"/>
        <v>1</v>
      </c>
      <c r="L2485" s="62">
        <f t="shared" si="4970"/>
        <v>1</v>
      </c>
      <c r="M2485" s="62">
        <f t="shared" si="4970"/>
        <v>1</v>
      </c>
      <c r="N2485" s="62">
        <f t="shared" si="4970"/>
        <v>1</v>
      </c>
      <c r="O2485" s="62">
        <f t="shared" si="4970"/>
        <v>1</v>
      </c>
      <c r="P2485" s="62" t="str">
        <f t="shared" si="4970"/>
        <v/>
      </c>
      <c r="Q2485" s="62" t="str">
        <f t="shared" si="4970"/>
        <v/>
      </c>
      <c r="R2485" s="62">
        <f t="shared" si="7"/>
        <v>0</v>
      </c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</row>
    <row r="2486" hidden="1">
      <c r="A2486" s="60">
        <f>IFERROR(__xludf.DUMMYFUNCTION("""COMPUTED_VALUE"""),17596.0)</f>
        <v>17596</v>
      </c>
      <c r="B2486" s="60" t="str">
        <f>IFERROR(__xludf.DUMMYFUNCTION("""COMPUTED_VALUE"""),"Crawford, Keyron")</f>
        <v>Crawford, Keyron</v>
      </c>
      <c r="C2486" s="60" t="str">
        <f>IFERROR(__xludf.DUMMYFUNCTION("""COMPUTED_VALUE"""),"DE")</f>
        <v>DE</v>
      </c>
      <c r="D2486" s="60" t="str">
        <f>IFERROR(__xludf.DUMMYFUNCTION("""COMPUTED_VALUE"""),"LVR")</f>
        <v>LVR</v>
      </c>
      <c r="E2486" s="62" t="str">
        <f t="shared" si="4"/>
        <v>Keyron Crawford</v>
      </c>
      <c r="F2486" s="62">
        <f t="shared" ref="F2486:G2486" si="4971">IF(isblank(F$1),,IF(isblank($A2486),,IFERROR(vlookup($A2486,indirect("'TVC-"&amp;text(month(F$1),"00")&amp;"'!$A:$D"),4,false),1)))</f>
        <v>1</v>
      </c>
      <c r="G2486" s="62">
        <f t="shared" si="4971"/>
        <v>1</v>
      </c>
      <c r="H2486" s="62">
        <f t="shared" ref="H2486:Q2486" si="4972">IF(isblank(H$1),,IFERROR(vlookup($A2486,indirect("'TVC-"&amp;text(month(H$1),"00")&amp;"'!$A:$D"),4,false),1))</f>
        <v>1</v>
      </c>
      <c r="I2486" s="62">
        <f t="shared" si="4972"/>
        <v>1</v>
      </c>
      <c r="J2486" s="62">
        <f t="shared" si="4972"/>
        <v>1</v>
      </c>
      <c r="K2486" s="62">
        <f t="shared" si="4972"/>
        <v>1</v>
      </c>
      <c r="L2486" s="62">
        <f t="shared" si="4972"/>
        <v>1</v>
      </c>
      <c r="M2486" s="62">
        <f t="shared" si="4972"/>
        <v>1</v>
      </c>
      <c r="N2486" s="62">
        <f t="shared" si="4972"/>
        <v>1</v>
      </c>
      <c r="O2486" s="62">
        <f t="shared" si="4972"/>
        <v>1</v>
      </c>
      <c r="P2486" s="62" t="str">
        <f t="shared" si="4972"/>
        <v/>
      </c>
      <c r="Q2486" s="62" t="str">
        <f t="shared" si="4972"/>
        <v/>
      </c>
      <c r="R2486" s="62">
        <f t="shared" si="7"/>
        <v>0</v>
      </c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</row>
    <row r="2487" hidden="1">
      <c r="A2487" s="60">
        <f>IFERROR(__xludf.DUMMYFUNCTION("""COMPUTED_VALUE"""),17597.0)</f>
        <v>17597</v>
      </c>
      <c r="B2487" s="60" t="str">
        <f>IFERROR(__xludf.DUMMYFUNCTION("""COMPUTED_VALUE"""),"Height, Romello")</f>
        <v>Height, Romello</v>
      </c>
      <c r="C2487" s="60" t="str">
        <f>IFERROR(__xludf.DUMMYFUNCTION("""COMPUTED_VALUE"""),"DE")</f>
        <v>DE</v>
      </c>
      <c r="D2487" s="60" t="str">
        <f>IFERROR(__xludf.DUMMYFUNCTION("""COMPUTED_VALUE"""),"SFO")</f>
        <v>SFO</v>
      </c>
      <c r="E2487" s="62" t="str">
        <f t="shared" si="4"/>
        <v>Romello Height</v>
      </c>
      <c r="F2487" s="62">
        <f t="shared" ref="F2487:G2487" si="4973">IF(isblank(F$1),,IF(isblank($A2487),,IFERROR(vlookup($A2487,indirect("'TVC-"&amp;text(month(F$1),"00")&amp;"'!$A:$D"),4,false),1)))</f>
        <v>1</v>
      </c>
      <c r="G2487" s="62">
        <f t="shared" si="4973"/>
        <v>1</v>
      </c>
      <c r="H2487" s="62">
        <f t="shared" ref="H2487:Q2487" si="4974">IF(isblank(H$1),,IFERROR(vlookup($A2487,indirect("'TVC-"&amp;text(month(H$1),"00")&amp;"'!$A:$D"),4,false),1))</f>
        <v>1</v>
      </c>
      <c r="I2487" s="62">
        <f t="shared" si="4974"/>
        <v>1</v>
      </c>
      <c r="J2487" s="62">
        <f t="shared" si="4974"/>
        <v>1</v>
      </c>
      <c r="K2487" s="62">
        <f t="shared" si="4974"/>
        <v>1</v>
      </c>
      <c r="L2487" s="62">
        <f t="shared" si="4974"/>
        <v>1</v>
      </c>
      <c r="M2487" s="62">
        <f t="shared" si="4974"/>
        <v>1</v>
      </c>
      <c r="N2487" s="62">
        <f t="shared" si="4974"/>
        <v>1</v>
      </c>
      <c r="O2487" s="62">
        <f t="shared" si="4974"/>
        <v>1</v>
      </c>
      <c r="P2487" s="62" t="str">
        <f t="shared" si="4974"/>
        <v/>
      </c>
      <c r="Q2487" s="62" t="str">
        <f t="shared" si="4974"/>
        <v/>
      </c>
      <c r="R2487" s="62">
        <f t="shared" si="7"/>
        <v>0</v>
      </c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</row>
    <row r="2488" hidden="1">
      <c r="A2488" s="60">
        <f>IFERROR(__xludf.DUMMYFUNCTION("""COMPUTED_VALUE"""),17598.0)</f>
        <v>17598</v>
      </c>
      <c r="B2488" s="60" t="str">
        <f>IFERROR(__xludf.DUMMYFUNCTION("""COMPUTED_VALUE"""),"Davis, Tacario")</f>
        <v>Davis, Tacario</v>
      </c>
      <c r="C2488" s="60" t="str">
        <f>IFERROR(__xludf.DUMMYFUNCTION("""COMPUTED_VALUE"""),"CB")</f>
        <v>CB</v>
      </c>
      <c r="D2488" s="60" t="str">
        <f>IFERROR(__xludf.DUMMYFUNCTION("""COMPUTED_VALUE"""),"CIN")</f>
        <v>CIN</v>
      </c>
      <c r="E2488" s="62" t="str">
        <f t="shared" si="4"/>
        <v>Tacario Davis</v>
      </c>
      <c r="F2488" s="62">
        <f t="shared" ref="F2488:G2488" si="4975">IF(isblank(F$1),,IF(isblank($A2488),,IFERROR(vlookup($A2488,indirect("'TVC-"&amp;text(month(F$1),"00")&amp;"'!$A:$D"),4,false),1)))</f>
        <v>1</v>
      </c>
      <c r="G2488" s="62">
        <f t="shared" si="4975"/>
        <v>1</v>
      </c>
      <c r="H2488" s="62">
        <f t="shared" ref="H2488:Q2488" si="4976">IF(isblank(H$1),,IFERROR(vlookup($A2488,indirect("'TVC-"&amp;text(month(H$1),"00")&amp;"'!$A:$D"),4,false),1))</f>
        <v>1</v>
      </c>
      <c r="I2488" s="62">
        <f t="shared" si="4976"/>
        <v>1</v>
      </c>
      <c r="J2488" s="62">
        <f t="shared" si="4976"/>
        <v>1</v>
      </c>
      <c r="K2488" s="62">
        <f t="shared" si="4976"/>
        <v>1</v>
      </c>
      <c r="L2488" s="62">
        <f t="shared" si="4976"/>
        <v>1</v>
      </c>
      <c r="M2488" s="62">
        <f t="shared" si="4976"/>
        <v>1</v>
      </c>
      <c r="N2488" s="62">
        <f t="shared" si="4976"/>
        <v>1</v>
      </c>
      <c r="O2488" s="62">
        <f t="shared" si="4976"/>
        <v>1</v>
      </c>
      <c r="P2488" s="62" t="str">
        <f t="shared" si="4976"/>
        <v/>
      </c>
      <c r="Q2488" s="62" t="str">
        <f t="shared" si="4976"/>
        <v/>
      </c>
      <c r="R2488" s="62">
        <f t="shared" si="7"/>
        <v>0</v>
      </c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</row>
    <row r="2489" hidden="1">
      <c r="A2489" s="60">
        <f>IFERROR(__xludf.DUMMYFUNCTION("""COMPUTED_VALUE"""),17599.0)</f>
        <v>17599</v>
      </c>
      <c r="B2489" s="60" t="str">
        <f>IFERROR(__xludf.DUMMYFUNCTION("""COMPUTED_VALUE"""),"Douglas, Caleb")</f>
        <v>Douglas, Caleb</v>
      </c>
      <c r="C2489" s="60" t="str">
        <f>IFERROR(__xludf.DUMMYFUNCTION("""COMPUTED_VALUE"""),"WR")</f>
        <v>WR</v>
      </c>
      <c r="D2489" s="60" t="str">
        <f>IFERROR(__xludf.DUMMYFUNCTION("""COMPUTED_VALUE"""),"MIA")</f>
        <v>MIA</v>
      </c>
      <c r="E2489" s="62" t="str">
        <f t="shared" si="4"/>
        <v>Caleb Douglas</v>
      </c>
      <c r="F2489" s="62">
        <f t="shared" ref="F2489:G2489" si="4977">IF(isblank(F$1),,IF(isblank($A2489),,IFERROR(vlookup($A2489,indirect("'TVC-"&amp;text(month(F$1),"00")&amp;"'!$A:$D"),4,false),1)))</f>
        <v>1</v>
      </c>
      <c r="G2489" s="62">
        <f t="shared" si="4977"/>
        <v>1</v>
      </c>
      <c r="H2489" s="62">
        <f t="shared" ref="H2489:Q2489" si="4978">IF(isblank(H$1),,IFERROR(vlookup($A2489,indirect("'TVC-"&amp;text(month(H$1),"00")&amp;"'!$A:$D"),4,false),1))</f>
        <v>1</v>
      </c>
      <c r="I2489" s="62">
        <f t="shared" si="4978"/>
        <v>1</v>
      </c>
      <c r="J2489" s="62">
        <f t="shared" si="4978"/>
        <v>224</v>
      </c>
      <c r="K2489" s="62">
        <f t="shared" si="4978"/>
        <v>1064</v>
      </c>
      <c r="L2489" s="62">
        <f t="shared" si="4978"/>
        <v>1361</v>
      </c>
      <c r="M2489" s="62">
        <f t="shared" si="4978"/>
        <v>2061</v>
      </c>
      <c r="N2489" s="62">
        <f t="shared" si="4978"/>
        <v>2719</v>
      </c>
      <c r="O2489" s="62">
        <f t="shared" si="4978"/>
        <v>1</v>
      </c>
      <c r="P2489" s="62" t="str">
        <f t="shared" si="4978"/>
        <v/>
      </c>
      <c r="Q2489" s="62" t="str">
        <f t="shared" si="4978"/>
        <v/>
      </c>
      <c r="R2489" s="62">
        <f t="shared" si="7"/>
        <v>-2718</v>
      </c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</row>
    <row r="2490" hidden="1">
      <c r="A2490" s="60">
        <f>IFERROR(__xludf.DUMMYFUNCTION("""COMPUTED_VALUE"""),17600.0)</f>
        <v>17600</v>
      </c>
      <c r="B2490" s="60" t="str">
        <f>IFERROR(__xludf.DUMMYFUNCTION("""COMPUTED_VALUE"""),"McClellan, Chris")</f>
        <v>McClellan, Chris</v>
      </c>
      <c r="C2490" s="60" t="str">
        <f>IFERROR(__xludf.DUMMYFUNCTION("""COMPUTED_VALUE"""),"DT")</f>
        <v>DT</v>
      </c>
      <c r="D2490" s="60" t="str">
        <f>IFERROR(__xludf.DUMMYFUNCTION("""COMPUTED_VALUE"""),"GBP")</f>
        <v>GBP</v>
      </c>
      <c r="E2490" s="62" t="str">
        <f t="shared" si="4"/>
        <v>Chris McClellan</v>
      </c>
      <c r="F2490" s="62">
        <f t="shared" ref="F2490:G2490" si="4979">IF(isblank(F$1),,IF(isblank($A2490),,IFERROR(vlookup($A2490,indirect("'TVC-"&amp;text(month(F$1),"00")&amp;"'!$A:$D"),4,false),1)))</f>
        <v>1</v>
      </c>
      <c r="G2490" s="62">
        <f t="shared" si="4979"/>
        <v>1</v>
      </c>
      <c r="H2490" s="62">
        <f t="shared" ref="H2490:Q2490" si="4980">IF(isblank(H$1),,IFERROR(vlookup($A2490,indirect("'TVC-"&amp;text(month(H$1),"00")&amp;"'!$A:$D"),4,false),1))</f>
        <v>1</v>
      </c>
      <c r="I2490" s="62">
        <f t="shared" si="4980"/>
        <v>1</v>
      </c>
      <c r="J2490" s="62">
        <f t="shared" si="4980"/>
        <v>1</v>
      </c>
      <c r="K2490" s="62">
        <f t="shared" si="4980"/>
        <v>1</v>
      </c>
      <c r="L2490" s="62">
        <f t="shared" si="4980"/>
        <v>1</v>
      </c>
      <c r="M2490" s="62">
        <f t="shared" si="4980"/>
        <v>1</v>
      </c>
      <c r="N2490" s="62">
        <f t="shared" si="4980"/>
        <v>1</v>
      </c>
      <c r="O2490" s="62">
        <f t="shared" si="4980"/>
        <v>1</v>
      </c>
      <c r="P2490" s="62" t="str">
        <f t="shared" si="4980"/>
        <v/>
      </c>
      <c r="Q2490" s="62" t="str">
        <f t="shared" si="4980"/>
        <v/>
      </c>
      <c r="R2490" s="62">
        <f t="shared" si="7"/>
        <v>0</v>
      </c>
      <c r="S2490" s="62"/>
      <c r="T2490" s="62"/>
      <c r="U2490" s="62"/>
      <c r="V2490" s="62"/>
      <c r="W2490" s="62"/>
      <c r="X2490" s="62"/>
      <c r="Y2490" s="62"/>
      <c r="Z2490" s="62"/>
      <c r="AA2490" s="62"/>
      <c r="AB2490" s="62"/>
      <c r="AC2490" s="62"/>
    </row>
    <row r="2491" hidden="1">
      <c r="A2491" s="60">
        <f>IFERROR(__xludf.DUMMYFUNCTION("""COMPUTED_VALUE"""),17601.0)</f>
        <v>17601</v>
      </c>
      <c r="B2491" s="60" t="str">
        <f>IFERROR(__xludf.DUMMYFUNCTION("""COMPUTED_VALUE"""),"Haulcy, A.J.")</f>
        <v>Haulcy, A.J.</v>
      </c>
      <c r="C2491" s="60" t="str">
        <f>IFERROR(__xludf.DUMMYFUNCTION("""COMPUTED_VALUE"""),"S")</f>
        <v>S</v>
      </c>
      <c r="D2491" s="60" t="str">
        <f>IFERROR(__xludf.DUMMYFUNCTION("""COMPUTED_VALUE"""),"IND")</f>
        <v>IND</v>
      </c>
      <c r="E2491" s="62" t="str">
        <f t="shared" si="4"/>
        <v>A.J. Haulcy</v>
      </c>
      <c r="F2491" s="62">
        <f t="shared" ref="F2491:G2491" si="4981">IF(isblank(F$1),,IF(isblank($A2491),,IFERROR(vlookup($A2491,indirect("'TVC-"&amp;text(month(F$1),"00")&amp;"'!$A:$D"),4,false),1)))</f>
        <v>1</v>
      </c>
      <c r="G2491" s="62">
        <f t="shared" si="4981"/>
        <v>1</v>
      </c>
      <c r="H2491" s="62">
        <f t="shared" ref="H2491:Q2491" si="4982">IF(isblank(H$1),,IFERROR(vlookup($A2491,indirect("'TVC-"&amp;text(month(H$1),"00")&amp;"'!$A:$D"),4,false),1))</f>
        <v>1</v>
      </c>
      <c r="I2491" s="62">
        <f t="shared" si="4982"/>
        <v>1</v>
      </c>
      <c r="J2491" s="62">
        <f t="shared" si="4982"/>
        <v>1</v>
      </c>
      <c r="K2491" s="62">
        <f t="shared" si="4982"/>
        <v>1</v>
      </c>
      <c r="L2491" s="62">
        <f t="shared" si="4982"/>
        <v>1</v>
      </c>
      <c r="M2491" s="62">
        <f t="shared" si="4982"/>
        <v>1</v>
      </c>
      <c r="N2491" s="62">
        <f t="shared" si="4982"/>
        <v>1</v>
      </c>
      <c r="O2491" s="62">
        <f t="shared" si="4982"/>
        <v>1</v>
      </c>
      <c r="P2491" s="62" t="str">
        <f t="shared" si="4982"/>
        <v/>
      </c>
      <c r="Q2491" s="62" t="str">
        <f t="shared" si="4982"/>
        <v/>
      </c>
      <c r="R2491" s="62">
        <f t="shared" si="7"/>
        <v>0</v>
      </c>
      <c r="S2491" s="62"/>
      <c r="T2491" s="62"/>
      <c r="U2491" s="62"/>
      <c r="V2491" s="62"/>
      <c r="W2491" s="62"/>
      <c r="X2491" s="62"/>
      <c r="Y2491" s="62"/>
      <c r="Z2491" s="62"/>
      <c r="AA2491" s="62"/>
      <c r="AB2491" s="62"/>
      <c r="AC2491" s="62"/>
    </row>
    <row r="2492" hidden="1">
      <c r="A2492" s="60">
        <f>IFERROR(__xludf.DUMMYFUNCTION("""COMPUTED_VALUE"""),17602.0)</f>
        <v>17602</v>
      </c>
      <c r="B2492" s="60" t="str">
        <f>IFERROR(__xludf.DUMMYFUNCTION("""COMPUTED_VALUE"""),"Regis, Albert")</f>
        <v>Regis, Albert</v>
      </c>
      <c r="C2492" s="60" t="str">
        <f>IFERROR(__xludf.DUMMYFUNCTION("""COMPUTED_VALUE"""),"DT")</f>
        <v>DT</v>
      </c>
      <c r="D2492" s="60" t="str">
        <f>IFERROR(__xludf.DUMMYFUNCTION("""COMPUTED_VALUE"""),"JAC")</f>
        <v>JAC</v>
      </c>
      <c r="E2492" s="62" t="str">
        <f t="shared" si="4"/>
        <v>Albert Regis</v>
      </c>
      <c r="F2492" s="62">
        <f t="shared" ref="F2492:G2492" si="4983">IF(isblank(F$1),,IF(isblank($A2492),,IFERROR(vlookup($A2492,indirect("'TVC-"&amp;text(month(F$1),"00")&amp;"'!$A:$D"),4,false),1)))</f>
        <v>1</v>
      </c>
      <c r="G2492" s="62">
        <f t="shared" si="4983"/>
        <v>1</v>
      </c>
      <c r="H2492" s="62">
        <f t="shared" ref="H2492:Q2492" si="4984">IF(isblank(H$1),,IFERROR(vlookup($A2492,indirect("'TVC-"&amp;text(month(H$1),"00")&amp;"'!$A:$D"),4,false),1))</f>
        <v>1</v>
      </c>
      <c r="I2492" s="62">
        <f t="shared" si="4984"/>
        <v>1</v>
      </c>
      <c r="J2492" s="62">
        <f t="shared" si="4984"/>
        <v>1</v>
      </c>
      <c r="K2492" s="62">
        <f t="shared" si="4984"/>
        <v>1</v>
      </c>
      <c r="L2492" s="62">
        <f t="shared" si="4984"/>
        <v>1</v>
      </c>
      <c r="M2492" s="62">
        <f t="shared" si="4984"/>
        <v>1</v>
      </c>
      <c r="N2492" s="62">
        <f t="shared" si="4984"/>
        <v>1</v>
      </c>
      <c r="O2492" s="62">
        <f t="shared" si="4984"/>
        <v>1</v>
      </c>
      <c r="P2492" s="62" t="str">
        <f t="shared" si="4984"/>
        <v/>
      </c>
      <c r="Q2492" s="62" t="str">
        <f t="shared" si="4984"/>
        <v/>
      </c>
      <c r="R2492" s="62">
        <f t="shared" si="7"/>
        <v>0</v>
      </c>
      <c r="S2492" s="62"/>
      <c r="T2492" s="62"/>
      <c r="U2492" s="62"/>
      <c r="V2492" s="62"/>
      <c r="W2492" s="62"/>
      <c r="X2492" s="62"/>
      <c r="Y2492" s="62"/>
      <c r="Z2492" s="62"/>
      <c r="AA2492" s="62"/>
      <c r="AB2492" s="62"/>
      <c r="AC2492" s="62"/>
    </row>
    <row r="2493" hidden="1">
      <c r="A2493" s="60">
        <f>IFERROR(__xludf.DUMMYFUNCTION("""COMPUTED_VALUE"""),17603.0)</f>
        <v>17603</v>
      </c>
      <c r="B2493" s="60" t="str">
        <f>IFERROR(__xludf.DUMMYFUNCTION("""COMPUTED_VALUE"""),"Orange, Domonique")</f>
        <v>Orange, Domonique</v>
      </c>
      <c r="C2493" s="60" t="str">
        <f>IFERROR(__xludf.DUMMYFUNCTION("""COMPUTED_VALUE"""),"DT")</f>
        <v>DT</v>
      </c>
      <c r="D2493" s="60" t="str">
        <f>IFERROR(__xludf.DUMMYFUNCTION("""COMPUTED_VALUE"""),"MIN")</f>
        <v>MIN</v>
      </c>
      <c r="E2493" s="62" t="str">
        <f t="shared" si="4"/>
        <v>Domonique Orange</v>
      </c>
      <c r="F2493" s="62">
        <f t="shared" ref="F2493:G2493" si="4985">IF(isblank(F$1),,IF(isblank($A2493),,IFERROR(vlookup($A2493,indirect("'TVC-"&amp;text(month(F$1),"00")&amp;"'!$A:$D"),4,false),1)))</f>
        <v>1</v>
      </c>
      <c r="G2493" s="62">
        <f t="shared" si="4985"/>
        <v>1</v>
      </c>
      <c r="H2493" s="62">
        <f t="shared" ref="H2493:Q2493" si="4986">IF(isblank(H$1),,IFERROR(vlookup($A2493,indirect("'TVC-"&amp;text(month(H$1),"00")&amp;"'!$A:$D"),4,false),1))</f>
        <v>1</v>
      </c>
      <c r="I2493" s="62">
        <f t="shared" si="4986"/>
        <v>1</v>
      </c>
      <c r="J2493" s="62">
        <f t="shared" si="4986"/>
        <v>1</v>
      </c>
      <c r="K2493" s="62">
        <f t="shared" si="4986"/>
        <v>1</v>
      </c>
      <c r="L2493" s="62">
        <f t="shared" si="4986"/>
        <v>1</v>
      </c>
      <c r="M2493" s="62">
        <f t="shared" si="4986"/>
        <v>1</v>
      </c>
      <c r="N2493" s="62">
        <f t="shared" si="4986"/>
        <v>1</v>
      </c>
      <c r="O2493" s="62">
        <f t="shared" si="4986"/>
        <v>1</v>
      </c>
      <c r="P2493" s="62" t="str">
        <f t="shared" si="4986"/>
        <v/>
      </c>
      <c r="Q2493" s="62" t="str">
        <f t="shared" si="4986"/>
        <v/>
      </c>
      <c r="R2493" s="62">
        <f t="shared" si="7"/>
        <v>0</v>
      </c>
      <c r="S2493" s="62"/>
      <c r="T2493" s="62"/>
      <c r="U2493" s="62"/>
      <c r="V2493" s="62"/>
      <c r="W2493" s="62"/>
      <c r="X2493" s="62"/>
      <c r="Y2493" s="62"/>
      <c r="Z2493" s="62"/>
      <c r="AA2493" s="62"/>
      <c r="AB2493" s="62"/>
      <c r="AC2493" s="62"/>
    </row>
    <row r="2494" hidden="1">
      <c r="A2494" s="60">
        <f>IFERROR(__xludf.DUMMYFUNCTION("""COMPUTED_VALUE"""),17604.0)</f>
        <v>17604</v>
      </c>
      <c r="B2494" s="60" t="str">
        <f>IFERROR(__xludf.DUMMYFUNCTION("""COMPUTED_VALUE"""),"Everette, Daylen")</f>
        <v>Everette, Daylen</v>
      </c>
      <c r="C2494" s="60" t="str">
        <f>IFERROR(__xludf.DUMMYFUNCTION("""COMPUTED_VALUE"""),"CB")</f>
        <v>CB</v>
      </c>
      <c r="D2494" s="60" t="str">
        <f>IFERROR(__xludf.DUMMYFUNCTION("""COMPUTED_VALUE"""),"PIT")</f>
        <v>PIT</v>
      </c>
      <c r="E2494" s="62" t="str">
        <f t="shared" si="4"/>
        <v>Daylen Everette</v>
      </c>
      <c r="F2494" s="62">
        <f t="shared" ref="F2494:G2494" si="4987">IF(isblank(F$1),,IF(isblank($A2494),,IFERROR(vlookup($A2494,indirect("'TVC-"&amp;text(month(F$1),"00")&amp;"'!$A:$D"),4,false),1)))</f>
        <v>1</v>
      </c>
      <c r="G2494" s="62">
        <f t="shared" si="4987"/>
        <v>1</v>
      </c>
      <c r="H2494" s="62">
        <f t="shared" ref="H2494:Q2494" si="4988">IF(isblank(H$1),,IFERROR(vlookup($A2494,indirect("'TVC-"&amp;text(month(H$1),"00")&amp;"'!$A:$D"),4,false),1))</f>
        <v>1</v>
      </c>
      <c r="I2494" s="62">
        <f t="shared" si="4988"/>
        <v>1</v>
      </c>
      <c r="J2494" s="62">
        <f t="shared" si="4988"/>
        <v>1</v>
      </c>
      <c r="K2494" s="62">
        <f t="shared" si="4988"/>
        <v>1</v>
      </c>
      <c r="L2494" s="62">
        <f t="shared" si="4988"/>
        <v>1</v>
      </c>
      <c r="M2494" s="62">
        <f t="shared" si="4988"/>
        <v>1</v>
      </c>
      <c r="N2494" s="62">
        <f t="shared" si="4988"/>
        <v>1</v>
      </c>
      <c r="O2494" s="62">
        <f t="shared" si="4988"/>
        <v>1</v>
      </c>
      <c r="P2494" s="62" t="str">
        <f t="shared" si="4988"/>
        <v/>
      </c>
      <c r="Q2494" s="62" t="str">
        <f t="shared" si="4988"/>
        <v/>
      </c>
      <c r="R2494" s="62">
        <f t="shared" si="7"/>
        <v>0</v>
      </c>
      <c r="S2494" s="62"/>
      <c r="T2494" s="62"/>
      <c r="U2494" s="62"/>
      <c r="V2494" s="62"/>
      <c r="W2494" s="62"/>
      <c r="X2494" s="62"/>
      <c r="Y2494" s="62"/>
      <c r="Z2494" s="62"/>
      <c r="AA2494" s="62"/>
      <c r="AB2494" s="62"/>
      <c r="AC2494" s="62"/>
    </row>
    <row r="2495" hidden="1">
      <c r="A2495" s="60">
        <f>IFERROR(__xludf.DUMMYFUNCTION("""COMPUTED_VALUE"""),17605.0)</f>
        <v>17605</v>
      </c>
      <c r="B2495" s="60" t="str">
        <f>IFERROR(__xludf.DUMMYFUNCTION("""COMPUTED_VALUE"""),"Kacmarek, Will")</f>
        <v>Kacmarek, Will</v>
      </c>
      <c r="C2495" s="60" t="str">
        <f>IFERROR(__xludf.DUMMYFUNCTION("""COMPUTED_VALUE"""),"TE")</f>
        <v>TE</v>
      </c>
      <c r="D2495" s="60" t="str">
        <f>IFERROR(__xludf.DUMMYFUNCTION("""COMPUTED_VALUE"""),"MIA")</f>
        <v>MIA</v>
      </c>
      <c r="E2495" s="62" t="str">
        <f t="shared" si="4"/>
        <v>Will Kacmarek</v>
      </c>
      <c r="F2495" s="62">
        <f t="shared" ref="F2495:G2495" si="4989">IF(isblank(F$1),,IF(isblank($A2495),,IFERROR(vlookup($A2495,indirect("'TVC-"&amp;text(month(F$1),"00")&amp;"'!$A:$D"),4,false),1)))</f>
        <v>1</v>
      </c>
      <c r="G2495" s="62">
        <f t="shared" si="4989"/>
        <v>1</v>
      </c>
      <c r="H2495" s="62">
        <f t="shared" ref="H2495:Q2495" si="4990">IF(isblank(H$1),,IFERROR(vlookup($A2495,indirect("'TVC-"&amp;text(month(H$1),"00")&amp;"'!$A:$D"),4,false),1))</f>
        <v>1</v>
      </c>
      <c r="I2495" s="62">
        <f t="shared" si="4990"/>
        <v>1</v>
      </c>
      <c r="J2495" s="62">
        <f t="shared" si="4990"/>
        <v>1</v>
      </c>
      <c r="K2495" s="62">
        <f t="shared" si="4990"/>
        <v>1</v>
      </c>
      <c r="L2495" s="62">
        <f t="shared" si="4990"/>
        <v>1</v>
      </c>
      <c r="M2495" s="62">
        <f t="shared" si="4990"/>
        <v>1</v>
      </c>
      <c r="N2495" s="62">
        <f t="shared" si="4990"/>
        <v>1</v>
      </c>
      <c r="O2495" s="62">
        <f t="shared" si="4990"/>
        <v>1</v>
      </c>
      <c r="P2495" s="62" t="str">
        <f t="shared" si="4990"/>
        <v/>
      </c>
      <c r="Q2495" s="62" t="str">
        <f t="shared" si="4990"/>
        <v/>
      </c>
      <c r="R2495" s="62">
        <f t="shared" si="7"/>
        <v>0</v>
      </c>
      <c r="S2495" s="62"/>
      <c r="T2495" s="62"/>
      <c r="U2495" s="62"/>
      <c r="V2495" s="62"/>
      <c r="W2495" s="62"/>
      <c r="X2495" s="62"/>
      <c r="Y2495" s="62"/>
      <c r="Z2495" s="62"/>
      <c r="AA2495" s="62"/>
      <c r="AB2495" s="62"/>
      <c r="AC2495" s="62"/>
    </row>
    <row r="2496" hidden="1">
      <c r="A2496" s="60">
        <f>IFERROR(__xludf.DUMMYFUNCTION("""COMPUTED_VALUE"""),17606.0)</f>
        <v>17606</v>
      </c>
      <c r="B2496" s="60" t="str">
        <f>IFERROR(__xludf.DUMMYFUNCTION("""COMPUTED_VALUE"""),"Barham, Jaishawn")</f>
        <v>Barham, Jaishawn</v>
      </c>
      <c r="C2496" s="60" t="str">
        <f>IFERROR(__xludf.DUMMYFUNCTION("""COMPUTED_VALUE"""),"LB")</f>
        <v>LB</v>
      </c>
      <c r="D2496" s="60" t="str">
        <f>IFERROR(__xludf.DUMMYFUNCTION("""COMPUTED_VALUE"""),"DAL")</f>
        <v>DAL</v>
      </c>
      <c r="E2496" s="62" t="str">
        <f t="shared" si="4"/>
        <v>Jaishawn Barham</v>
      </c>
      <c r="F2496" s="62">
        <f t="shared" ref="F2496:G2496" si="4991">IF(isblank(F$1),,IF(isblank($A2496),,IFERROR(vlookup($A2496,indirect("'TVC-"&amp;text(month(F$1),"00")&amp;"'!$A:$D"),4,false),1)))</f>
        <v>1</v>
      </c>
      <c r="G2496" s="62">
        <f t="shared" si="4991"/>
        <v>1</v>
      </c>
      <c r="H2496" s="62">
        <f t="shared" ref="H2496:Q2496" si="4992">IF(isblank(H$1),,IFERROR(vlookup($A2496,indirect("'TVC-"&amp;text(month(H$1),"00")&amp;"'!$A:$D"),4,false),1))</f>
        <v>1</v>
      </c>
      <c r="I2496" s="62">
        <f t="shared" si="4992"/>
        <v>1</v>
      </c>
      <c r="J2496" s="62">
        <f t="shared" si="4992"/>
        <v>1</v>
      </c>
      <c r="K2496" s="62">
        <f t="shared" si="4992"/>
        <v>1</v>
      </c>
      <c r="L2496" s="62">
        <f t="shared" si="4992"/>
        <v>1</v>
      </c>
      <c r="M2496" s="62">
        <f t="shared" si="4992"/>
        <v>1</v>
      </c>
      <c r="N2496" s="62">
        <f t="shared" si="4992"/>
        <v>1</v>
      </c>
      <c r="O2496" s="62">
        <f t="shared" si="4992"/>
        <v>1</v>
      </c>
      <c r="P2496" s="62" t="str">
        <f t="shared" si="4992"/>
        <v/>
      </c>
      <c r="Q2496" s="62" t="str">
        <f t="shared" si="4992"/>
        <v/>
      </c>
      <c r="R2496" s="62">
        <f t="shared" si="7"/>
        <v>0</v>
      </c>
      <c r="S2496" s="62"/>
      <c r="T2496" s="62"/>
      <c r="U2496" s="62"/>
      <c r="V2496" s="62"/>
      <c r="W2496" s="62"/>
      <c r="X2496" s="62"/>
      <c r="Y2496" s="62"/>
      <c r="Z2496" s="62"/>
      <c r="AA2496" s="62"/>
      <c r="AB2496" s="62"/>
      <c r="AC2496" s="62"/>
    </row>
    <row r="2497" hidden="1">
      <c r="A2497" s="60">
        <f>IFERROR(__xludf.DUMMYFUNCTION("""COMPUTED_VALUE"""),17607.0)</f>
        <v>17607</v>
      </c>
      <c r="B2497" s="60" t="str">
        <f>IFERROR(__xludf.DUMMYFUNCTION("""COMPUTED_VALUE"""),"Raridon, Eli")</f>
        <v>Raridon, Eli</v>
      </c>
      <c r="C2497" s="60" t="str">
        <f>IFERROR(__xludf.DUMMYFUNCTION("""COMPUTED_VALUE"""),"TE")</f>
        <v>TE</v>
      </c>
      <c r="D2497" s="60" t="str">
        <f>IFERROR(__xludf.DUMMYFUNCTION("""COMPUTED_VALUE"""),"NEP")</f>
        <v>NEP</v>
      </c>
      <c r="E2497" s="62" t="str">
        <f t="shared" si="4"/>
        <v>Eli Raridon</v>
      </c>
      <c r="F2497" s="62">
        <f t="shared" ref="F2497:G2497" si="4993">IF(isblank(F$1),,IF(isblank($A2497),,IFERROR(vlookup($A2497,indirect("'TVC-"&amp;text(month(F$1),"00")&amp;"'!$A:$D"),4,false),1)))</f>
        <v>1</v>
      </c>
      <c r="G2497" s="62">
        <f t="shared" si="4993"/>
        <v>1</v>
      </c>
      <c r="H2497" s="62">
        <f t="shared" ref="H2497:Q2497" si="4994">IF(isblank(H$1),,IFERROR(vlookup($A2497,indirect("'TVC-"&amp;text(month(H$1),"00")&amp;"'!$A:$D"),4,false),1))</f>
        <v>1</v>
      </c>
      <c r="I2497" s="62">
        <f t="shared" si="4994"/>
        <v>1</v>
      </c>
      <c r="J2497" s="62">
        <f t="shared" si="4994"/>
        <v>676</v>
      </c>
      <c r="K2497" s="62">
        <f t="shared" si="4994"/>
        <v>1592</v>
      </c>
      <c r="L2497" s="62">
        <f t="shared" si="4994"/>
        <v>2078</v>
      </c>
      <c r="M2497" s="62">
        <f t="shared" si="4994"/>
        <v>2576</v>
      </c>
      <c r="N2497" s="62">
        <f t="shared" si="4994"/>
        <v>2891</v>
      </c>
      <c r="O2497" s="62">
        <f t="shared" si="4994"/>
        <v>1</v>
      </c>
      <c r="P2497" s="62" t="str">
        <f t="shared" si="4994"/>
        <v/>
      </c>
      <c r="Q2497" s="62" t="str">
        <f t="shared" si="4994"/>
        <v/>
      </c>
      <c r="R2497" s="62">
        <f t="shared" si="7"/>
        <v>-2890</v>
      </c>
      <c r="S2497" s="62"/>
      <c r="T2497" s="62"/>
      <c r="U2497" s="62"/>
      <c r="V2497" s="62"/>
      <c r="W2497" s="62"/>
      <c r="X2497" s="62"/>
      <c r="Y2497" s="62"/>
      <c r="Z2497" s="62"/>
      <c r="AA2497" s="62"/>
      <c r="AB2497" s="62"/>
      <c r="AC2497" s="62"/>
    </row>
    <row r="2498" hidden="1">
      <c r="A2498" s="60">
        <f>IFERROR(__xludf.DUMMYFUNCTION("""COMPUTED_VALUE"""),17608.0)</f>
        <v>17608</v>
      </c>
      <c r="B2498" s="60" t="str">
        <f>IFERROR(__xludf.DUMMYFUNCTION("""COMPUTED_VALUE"""),"Thomas, Jakobe")</f>
        <v>Thomas, Jakobe</v>
      </c>
      <c r="C2498" s="60" t="str">
        <f>IFERROR(__xludf.DUMMYFUNCTION("""COMPUTED_VALUE"""),"S")</f>
        <v>S</v>
      </c>
      <c r="D2498" s="60" t="str">
        <f>IFERROR(__xludf.DUMMYFUNCTION("""COMPUTED_VALUE"""),"MIN")</f>
        <v>MIN</v>
      </c>
      <c r="E2498" s="62" t="str">
        <f t="shared" si="4"/>
        <v>Jakobe Thomas</v>
      </c>
      <c r="F2498" s="62">
        <f t="shared" ref="F2498:G2498" si="4995">IF(isblank(F$1),,IF(isblank($A2498),,IFERROR(vlookup($A2498,indirect("'TVC-"&amp;text(month(F$1),"00")&amp;"'!$A:$D"),4,false),1)))</f>
        <v>1</v>
      </c>
      <c r="G2498" s="62">
        <f t="shared" si="4995"/>
        <v>1</v>
      </c>
      <c r="H2498" s="62">
        <f t="shared" ref="H2498:Q2498" si="4996">IF(isblank(H$1),,IFERROR(vlookup($A2498,indirect("'TVC-"&amp;text(month(H$1),"00")&amp;"'!$A:$D"),4,false),1))</f>
        <v>1</v>
      </c>
      <c r="I2498" s="62">
        <f t="shared" si="4996"/>
        <v>1</v>
      </c>
      <c r="J2498" s="62">
        <f t="shared" si="4996"/>
        <v>1</v>
      </c>
      <c r="K2498" s="62">
        <f t="shared" si="4996"/>
        <v>1</v>
      </c>
      <c r="L2498" s="62">
        <f t="shared" si="4996"/>
        <v>1</v>
      </c>
      <c r="M2498" s="62">
        <f t="shared" si="4996"/>
        <v>1</v>
      </c>
      <c r="N2498" s="62">
        <f t="shared" si="4996"/>
        <v>1</v>
      </c>
      <c r="O2498" s="62">
        <f t="shared" si="4996"/>
        <v>1</v>
      </c>
      <c r="P2498" s="62" t="str">
        <f t="shared" si="4996"/>
        <v/>
      </c>
      <c r="Q2498" s="62" t="str">
        <f t="shared" si="4996"/>
        <v/>
      </c>
      <c r="R2498" s="62">
        <f t="shared" si="7"/>
        <v>0</v>
      </c>
      <c r="S2498" s="62"/>
      <c r="T2498" s="62"/>
      <c r="U2498" s="62"/>
      <c r="V2498" s="62"/>
      <c r="W2498" s="62"/>
      <c r="X2498" s="62"/>
      <c r="Y2498" s="62"/>
      <c r="Z2498" s="62"/>
      <c r="AA2498" s="62"/>
      <c r="AB2498" s="62"/>
      <c r="AC2498" s="62"/>
    </row>
    <row r="2499" hidden="1">
      <c r="A2499" s="60">
        <f>IFERROR(__xludf.DUMMYFUNCTION("""COMPUTED_VALUE"""),17609.0)</f>
        <v>17609</v>
      </c>
      <c r="B2499" s="60" t="str">
        <f>IFERROR(__xludf.DUMMYFUNCTION("""COMPUTED_VALUE"""),"Neal, Julian")</f>
        <v>Neal, Julian</v>
      </c>
      <c r="C2499" s="60" t="str">
        <f>IFERROR(__xludf.DUMMYFUNCTION("""COMPUTED_VALUE"""),"CB")</f>
        <v>CB</v>
      </c>
      <c r="D2499" s="60" t="str">
        <f>IFERROR(__xludf.DUMMYFUNCTION("""COMPUTED_VALUE"""),"SEA")</f>
        <v>SEA</v>
      </c>
      <c r="E2499" s="62" t="str">
        <f t="shared" si="4"/>
        <v>Julian Neal</v>
      </c>
      <c r="F2499" s="62">
        <f t="shared" ref="F2499:G2499" si="4997">IF(isblank(F$1),,IF(isblank($A2499),,IFERROR(vlookup($A2499,indirect("'TVC-"&amp;text(month(F$1),"00")&amp;"'!$A:$D"),4,false),1)))</f>
        <v>1</v>
      </c>
      <c r="G2499" s="62">
        <f t="shared" si="4997"/>
        <v>1</v>
      </c>
      <c r="H2499" s="62">
        <f t="shared" ref="H2499:Q2499" si="4998">IF(isblank(H$1),,IFERROR(vlookup($A2499,indirect("'TVC-"&amp;text(month(H$1),"00")&amp;"'!$A:$D"),4,false),1))</f>
        <v>1</v>
      </c>
      <c r="I2499" s="62">
        <f t="shared" si="4998"/>
        <v>1</v>
      </c>
      <c r="J2499" s="62">
        <f t="shared" si="4998"/>
        <v>1</v>
      </c>
      <c r="K2499" s="62">
        <f t="shared" si="4998"/>
        <v>1</v>
      </c>
      <c r="L2499" s="62">
        <f t="shared" si="4998"/>
        <v>1</v>
      </c>
      <c r="M2499" s="62">
        <f t="shared" si="4998"/>
        <v>1</v>
      </c>
      <c r="N2499" s="62">
        <f t="shared" si="4998"/>
        <v>1</v>
      </c>
      <c r="O2499" s="62">
        <f t="shared" si="4998"/>
        <v>1</v>
      </c>
      <c r="P2499" s="62" t="str">
        <f t="shared" si="4998"/>
        <v/>
      </c>
      <c r="Q2499" s="62" t="str">
        <f t="shared" si="4998"/>
        <v/>
      </c>
      <c r="R2499" s="62">
        <f t="shared" si="7"/>
        <v>0</v>
      </c>
      <c r="S2499" s="62"/>
      <c r="T2499" s="62"/>
      <c r="U2499" s="62"/>
      <c r="V2499" s="62"/>
      <c r="W2499" s="62"/>
      <c r="X2499" s="62"/>
      <c r="Y2499" s="62"/>
      <c r="Z2499" s="62"/>
      <c r="AA2499" s="62"/>
      <c r="AB2499" s="62"/>
      <c r="AC2499" s="62"/>
    </row>
    <row r="2500">
      <c r="A2500" s="60">
        <f>IFERROR(__xludf.DUMMYFUNCTION("""COMPUTED_VALUE"""),17610.0)</f>
        <v>17610</v>
      </c>
      <c r="B2500" s="60" t="str">
        <f>IFERROR(__xludf.DUMMYFUNCTION("""COMPUTED_VALUE"""),"Huskey, Jalen")</f>
        <v>Huskey, Jalen</v>
      </c>
      <c r="C2500" s="60" t="str">
        <f>IFERROR(__xludf.DUMMYFUNCTION("""COMPUTED_VALUE"""),"S")</f>
        <v>S</v>
      </c>
      <c r="D2500" s="60" t="str">
        <f>IFERROR(__xludf.DUMMYFUNCTION("""COMPUTED_VALUE"""),"JAC")</f>
        <v>JAC</v>
      </c>
      <c r="E2500" s="62" t="str">
        <f t="shared" si="4"/>
        <v>Jalen Huskey</v>
      </c>
      <c r="F2500" s="62">
        <f t="shared" ref="F2500:G2500" si="4999">IF(isblank(F$1),,IF(isblank($A2500),,IFERROR(vlookup($A2500,indirect("'TVC-"&amp;text(month(F$1),"00")&amp;"'!$A:$D"),4,false),1)))</f>
        <v>1</v>
      </c>
      <c r="G2500" s="62">
        <f t="shared" si="4999"/>
        <v>1</v>
      </c>
      <c r="H2500" s="62">
        <f t="shared" ref="H2500:Q2500" si="5000">IF(isblank(H$1),,IFERROR(vlookup($A2500,indirect("'TVC-"&amp;text(month(H$1),"00")&amp;"'!$A:$D"),4,false),1))</f>
        <v>1</v>
      </c>
      <c r="I2500" s="62">
        <f t="shared" si="5000"/>
        <v>1</v>
      </c>
      <c r="J2500" s="62">
        <f t="shared" si="5000"/>
        <v>1</v>
      </c>
      <c r="K2500" s="62">
        <f t="shared" si="5000"/>
        <v>1</v>
      </c>
      <c r="L2500" s="62">
        <f t="shared" si="5000"/>
        <v>1</v>
      </c>
      <c r="M2500" s="62">
        <f t="shared" si="5000"/>
        <v>1</v>
      </c>
      <c r="N2500" s="62">
        <f t="shared" si="5000"/>
        <v>1</v>
      </c>
      <c r="O2500" s="62">
        <f t="shared" si="5000"/>
        <v>1</v>
      </c>
      <c r="P2500" s="62" t="str">
        <f t="shared" si="5000"/>
        <v/>
      </c>
      <c r="Q2500" s="62" t="str">
        <f t="shared" si="5000"/>
        <v/>
      </c>
      <c r="R2500" s="62">
        <f t="shared" si="7"/>
        <v>0</v>
      </c>
      <c r="S2500" s="62"/>
      <c r="T2500" s="62"/>
      <c r="U2500" s="62"/>
      <c r="V2500" s="62"/>
      <c r="W2500" s="62"/>
      <c r="X2500" s="62"/>
      <c r="Y2500" s="62"/>
      <c r="Z2500" s="62"/>
      <c r="AA2500" s="62"/>
      <c r="AB2500" s="62"/>
      <c r="AC2500" s="62"/>
    </row>
    <row r="2501" hidden="1">
      <c r="A2501" s="60">
        <f>IFERROR(__xludf.DUMMYFUNCTION("""COMPUTED_VALUE"""),17611.0)</f>
        <v>17611</v>
      </c>
      <c r="B2501" s="60" t="str">
        <f>IFERROR(__xludf.DUMMYFUNCTION("""COMPUTED_VALUE"""),"Jackson, Darrell")</f>
        <v>Jackson, Darrell</v>
      </c>
      <c r="C2501" s="60" t="str">
        <f>IFERROR(__xludf.DUMMYFUNCTION("""COMPUTED_VALUE"""),"DT")</f>
        <v>DT</v>
      </c>
      <c r="D2501" s="60" t="str">
        <f>IFERROR(__xludf.DUMMYFUNCTION("""COMPUTED_VALUE"""),"NYJ")</f>
        <v>NYJ</v>
      </c>
      <c r="E2501" s="62" t="str">
        <f t="shared" si="4"/>
        <v>Darrell Jackson</v>
      </c>
      <c r="F2501" s="62">
        <f t="shared" ref="F2501:G2501" si="5001">IF(isblank(F$1),,IF(isblank($A2501),,IFERROR(vlookup($A2501,indirect("'TVC-"&amp;text(month(F$1),"00")&amp;"'!$A:$D"),4,false),1)))</f>
        <v>1</v>
      </c>
      <c r="G2501" s="62">
        <f t="shared" si="5001"/>
        <v>1</v>
      </c>
      <c r="H2501" s="62">
        <f t="shared" ref="H2501:Q2501" si="5002">IF(isblank(H$1),,IFERROR(vlookup($A2501,indirect("'TVC-"&amp;text(month(H$1),"00")&amp;"'!$A:$D"),4,false),1))</f>
        <v>1</v>
      </c>
      <c r="I2501" s="62">
        <f t="shared" si="5002"/>
        <v>1</v>
      </c>
      <c r="J2501" s="62">
        <f t="shared" si="5002"/>
        <v>1</v>
      </c>
      <c r="K2501" s="62">
        <f t="shared" si="5002"/>
        <v>1</v>
      </c>
      <c r="L2501" s="62">
        <f t="shared" si="5002"/>
        <v>1</v>
      </c>
      <c r="M2501" s="62">
        <f t="shared" si="5002"/>
        <v>1</v>
      </c>
      <c r="N2501" s="62">
        <f t="shared" si="5002"/>
        <v>1</v>
      </c>
      <c r="O2501" s="62">
        <f t="shared" si="5002"/>
        <v>1</v>
      </c>
      <c r="P2501" s="62" t="str">
        <f t="shared" si="5002"/>
        <v/>
      </c>
      <c r="Q2501" s="62" t="str">
        <f t="shared" si="5002"/>
        <v/>
      </c>
      <c r="R2501" s="62">
        <f t="shared" si="7"/>
        <v>0</v>
      </c>
      <c r="S2501" s="62"/>
      <c r="T2501" s="62"/>
      <c r="U2501" s="62"/>
      <c r="V2501" s="62"/>
      <c r="W2501" s="62"/>
      <c r="X2501" s="62"/>
      <c r="Y2501" s="62"/>
      <c r="Z2501" s="62"/>
      <c r="AA2501" s="62"/>
      <c r="AB2501" s="62"/>
      <c r="AC2501" s="62"/>
    </row>
    <row r="2502">
      <c r="A2502" s="60">
        <f>IFERROR(__xludf.DUMMYFUNCTION("""COMPUTED_VALUE"""),17612.0)</f>
        <v>17612</v>
      </c>
      <c r="B2502" s="60" t="str">
        <f>IFERROR(__xludf.DUMMYFUNCTION("""COMPUTED_VALUE"""),"Proctor, Kaleb")</f>
        <v>Proctor, Kaleb</v>
      </c>
      <c r="C2502" s="60" t="str">
        <f>IFERROR(__xludf.DUMMYFUNCTION("""COMPUTED_VALUE"""),"DT")</f>
        <v>DT</v>
      </c>
      <c r="D2502" s="60" t="str">
        <f>IFERROR(__xludf.DUMMYFUNCTION("""COMPUTED_VALUE"""),"ARI")</f>
        <v>ARI</v>
      </c>
      <c r="E2502" s="62" t="str">
        <f t="shared" si="4"/>
        <v>Kaleb Proctor</v>
      </c>
      <c r="F2502" s="62">
        <f t="shared" ref="F2502:G2502" si="5003">IF(isblank(F$1),,IF(isblank($A2502),,IFERROR(vlookup($A2502,indirect("'TVC-"&amp;text(month(F$1),"00")&amp;"'!$A:$D"),4,false),1)))</f>
        <v>1</v>
      </c>
      <c r="G2502" s="62">
        <f t="shared" si="5003"/>
        <v>1</v>
      </c>
      <c r="H2502" s="62">
        <f t="shared" ref="H2502:Q2502" si="5004">IF(isblank(H$1),,IFERROR(vlookup($A2502,indirect("'TVC-"&amp;text(month(H$1),"00")&amp;"'!$A:$D"),4,false),1))</f>
        <v>1</v>
      </c>
      <c r="I2502" s="62">
        <f t="shared" si="5004"/>
        <v>1</v>
      </c>
      <c r="J2502" s="62">
        <f t="shared" si="5004"/>
        <v>1</v>
      </c>
      <c r="K2502" s="62">
        <f t="shared" si="5004"/>
        <v>1</v>
      </c>
      <c r="L2502" s="62">
        <f t="shared" si="5004"/>
        <v>1</v>
      </c>
      <c r="M2502" s="62">
        <f t="shared" si="5004"/>
        <v>1</v>
      </c>
      <c r="N2502" s="62">
        <f t="shared" si="5004"/>
        <v>1</v>
      </c>
      <c r="O2502" s="62">
        <f t="shared" si="5004"/>
        <v>1</v>
      </c>
      <c r="P2502" s="62" t="str">
        <f t="shared" si="5004"/>
        <v/>
      </c>
      <c r="Q2502" s="62" t="str">
        <f t="shared" si="5004"/>
        <v/>
      </c>
      <c r="R2502" s="62">
        <f t="shared" si="7"/>
        <v>0</v>
      </c>
      <c r="S2502" s="62"/>
      <c r="T2502" s="62"/>
      <c r="U2502" s="62"/>
      <c r="V2502" s="62"/>
      <c r="W2502" s="62"/>
      <c r="X2502" s="62"/>
      <c r="Y2502" s="62"/>
      <c r="Z2502" s="62"/>
      <c r="AA2502" s="62"/>
      <c r="AB2502" s="62"/>
      <c r="AC2502" s="62"/>
    </row>
    <row r="2503" hidden="1">
      <c r="A2503" s="60">
        <f>IFERROR(__xludf.DUMMYFUNCTION("""COMPUTED_VALUE"""),17613.0)</f>
        <v>17613</v>
      </c>
      <c r="B2503" s="60" t="str">
        <f>IFERROR(__xludf.DUMMYFUNCTION("""COMPUTED_VALUE"""),"Halton, Gracen")</f>
        <v>Halton, Gracen</v>
      </c>
      <c r="C2503" s="60" t="str">
        <f>IFERROR(__xludf.DUMMYFUNCTION("""COMPUTED_VALUE"""),"DT")</f>
        <v>DT</v>
      </c>
      <c r="D2503" s="60" t="str">
        <f>IFERROR(__xludf.DUMMYFUNCTION("""COMPUTED_VALUE"""),"SFO")</f>
        <v>SFO</v>
      </c>
      <c r="E2503" s="62" t="str">
        <f t="shared" si="4"/>
        <v>Gracen Halton</v>
      </c>
      <c r="F2503" s="62">
        <f t="shared" ref="F2503:G2503" si="5005">IF(isblank(F$1),,IF(isblank($A2503),,IFERROR(vlookup($A2503,indirect("'TVC-"&amp;text(month(F$1),"00")&amp;"'!$A:$D"),4,false),1)))</f>
        <v>1</v>
      </c>
      <c r="G2503" s="62">
        <f t="shared" si="5005"/>
        <v>1</v>
      </c>
      <c r="H2503" s="62">
        <f t="shared" ref="H2503:Q2503" si="5006">IF(isblank(H$1),,IFERROR(vlookup($A2503,indirect("'TVC-"&amp;text(month(H$1),"00")&amp;"'!$A:$D"),4,false),1))</f>
        <v>1</v>
      </c>
      <c r="I2503" s="62">
        <f t="shared" si="5006"/>
        <v>1</v>
      </c>
      <c r="J2503" s="62">
        <f t="shared" si="5006"/>
        <v>1</v>
      </c>
      <c r="K2503" s="62">
        <f t="shared" si="5006"/>
        <v>1</v>
      </c>
      <c r="L2503" s="62">
        <f t="shared" si="5006"/>
        <v>1</v>
      </c>
      <c r="M2503" s="62">
        <f t="shared" si="5006"/>
        <v>1</v>
      </c>
      <c r="N2503" s="62">
        <f t="shared" si="5006"/>
        <v>1</v>
      </c>
      <c r="O2503" s="62">
        <f t="shared" si="5006"/>
        <v>1</v>
      </c>
      <c r="P2503" s="62" t="str">
        <f t="shared" si="5006"/>
        <v/>
      </c>
      <c r="Q2503" s="62" t="str">
        <f t="shared" si="5006"/>
        <v/>
      </c>
      <c r="R2503" s="62">
        <f t="shared" si="7"/>
        <v>0</v>
      </c>
      <c r="S2503" s="62"/>
      <c r="T2503" s="62"/>
      <c r="U2503" s="62"/>
      <c r="V2503" s="62"/>
      <c r="W2503" s="62"/>
      <c r="X2503" s="62"/>
      <c r="Y2503" s="62"/>
      <c r="Z2503" s="62"/>
      <c r="AA2503" s="62"/>
      <c r="AB2503" s="62"/>
      <c r="AC2503" s="62"/>
    </row>
    <row r="2504" hidden="1">
      <c r="A2504" s="60">
        <f>IFERROR(__xludf.DUMMYFUNCTION("""COMPUTED_VALUE"""),17614.0)</f>
        <v>17614</v>
      </c>
      <c r="B2504" s="60" t="str">
        <f>IFERROR(__xludf.DUMMYFUNCTION("""COMPUTED_VALUE"""),"Canady, Jadon")</f>
        <v>Canady, Jadon</v>
      </c>
      <c r="C2504" s="60" t="str">
        <f>IFERROR(__xludf.DUMMYFUNCTION("""COMPUTED_VALUE"""),"CB")</f>
        <v>CB</v>
      </c>
      <c r="D2504" s="60" t="str">
        <f>IFERROR(__xludf.DUMMYFUNCTION("""COMPUTED_VALUE"""),"KCC")</f>
        <v>KCC</v>
      </c>
      <c r="E2504" s="62" t="str">
        <f t="shared" si="4"/>
        <v>Jadon Canady</v>
      </c>
      <c r="F2504" s="62">
        <f t="shared" ref="F2504:G2504" si="5007">IF(isblank(F$1),,IF(isblank($A2504),,IFERROR(vlookup($A2504,indirect("'TVC-"&amp;text(month(F$1),"00")&amp;"'!$A:$D"),4,false),1)))</f>
        <v>1</v>
      </c>
      <c r="G2504" s="62">
        <f t="shared" si="5007"/>
        <v>1</v>
      </c>
      <c r="H2504" s="62">
        <f t="shared" ref="H2504:Q2504" si="5008">IF(isblank(H$1),,IFERROR(vlookup($A2504,indirect("'TVC-"&amp;text(month(H$1),"00")&amp;"'!$A:$D"),4,false),1))</f>
        <v>1</v>
      </c>
      <c r="I2504" s="62">
        <f t="shared" si="5008"/>
        <v>1</v>
      </c>
      <c r="J2504" s="62">
        <f t="shared" si="5008"/>
        <v>1</v>
      </c>
      <c r="K2504" s="62">
        <f t="shared" si="5008"/>
        <v>1</v>
      </c>
      <c r="L2504" s="62">
        <f t="shared" si="5008"/>
        <v>1</v>
      </c>
      <c r="M2504" s="62">
        <f t="shared" si="5008"/>
        <v>1</v>
      </c>
      <c r="N2504" s="62">
        <f t="shared" si="5008"/>
        <v>1</v>
      </c>
      <c r="O2504" s="62">
        <f t="shared" si="5008"/>
        <v>1</v>
      </c>
      <c r="P2504" s="62" t="str">
        <f t="shared" si="5008"/>
        <v/>
      </c>
      <c r="Q2504" s="62" t="str">
        <f t="shared" si="5008"/>
        <v/>
      </c>
      <c r="R2504" s="62">
        <f t="shared" si="7"/>
        <v>0</v>
      </c>
      <c r="S2504" s="62"/>
      <c r="T2504" s="62"/>
      <c r="U2504" s="62"/>
      <c r="V2504" s="62"/>
      <c r="W2504" s="62"/>
      <c r="X2504" s="62"/>
      <c r="Y2504" s="62"/>
      <c r="Z2504" s="62"/>
      <c r="AA2504" s="62"/>
      <c r="AB2504" s="62"/>
      <c r="AC2504" s="62"/>
    </row>
    <row r="2505">
      <c r="A2505" s="60">
        <f>IFERROR(__xludf.DUMMYFUNCTION("""COMPUTED_VALUE"""),17615.0)</f>
        <v>17615</v>
      </c>
      <c r="B2505" s="60" t="str">
        <f>IFERROR(__xludf.DUMMYFUNCTION("""COMPUTED_VALUE"""),"Moore, Devin")</f>
        <v>Moore, Devin</v>
      </c>
      <c r="C2505" s="60" t="str">
        <f>IFERROR(__xludf.DUMMYFUNCTION("""COMPUTED_VALUE"""),"CB")</f>
        <v>CB</v>
      </c>
      <c r="D2505" s="60" t="str">
        <f>IFERROR(__xludf.DUMMYFUNCTION("""COMPUTED_VALUE"""),"DAL")</f>
        <v>DAL</v>
      </c>
      <c r="E2505" s="62" t="str">
        <f t="shared" si="4"/>
        <v>Devin Moore</v>
      </c>
      <c r="F2505" s="62">
        <f t="shared" ref="F2505:G2505" si="5009">IF(isblank(F$1),,IF(isblank($A2505),,IFERROR(vlookup($A2505,indirect("'TVC-"&amp;text(month(F$1),"00")&amp;"'!$A:$D"),4,false),1)))</f>
        <v>1</v>
      </c>
      <c r="G2505" s="62">
        <f t="shared" si="5009"/>
        <v>1</v>
      </c>
      <c r="H2505" s="62">
        <f t="shared" ref="H2505:Q2505" si="5010">IF(isblank(H$1),,IFERROR(vlookup($A2505,indirect("'TVC-"&amp;text(month(H$1),"00")&amp;"'!$A:$D"),4,false),1))</f>
        <v>1</v>
      </c>
      <c r="I2505" s="62">
        <f t="shared" si="5010"/>
        <v>1</v>
      </c>
      <c r="J2505" s="62">
        <f t="shared" si="5010"/>
        <v>1</v>
      </c>
      <c r="K2505" s="62">
        <f t="shared" si="5010"/>
        <v>1</v>
      </c>
      <c r="L2505" s="62">
        <f t="shared" si="5010"/>
        <v>1</v>
      </c>
      <c r="M2505" s="62">
        <f t="shared" si="5010"/>
        <v>1</v>
      </c>
      <c r="N2505" s="62">
        <f t="shared" si="5010"/>
        <v>1</v>
      </c>
      <c r="O2505" s="62">
        <f t="shared" si="5010"/>
        <v>1</v>
      </c>
      <c r="P2505" s="62" t="str">
        <f t="shared" si="5010"/>
        <v/>
      </c>
      <c r="Q2505" s="62" t="str">
        <f t="shared" si="5010"/>
        <v/>
      </c>
      <c r="R2505" s="62">
        <f t="shared" si="7"/>
        <v>0</v>
      </c>
      <c r="S2505" s="62"/>
      <c r="T2505" s="62"/>
      <c r="U2505" s="62"/>
      <c r="V2505" s="62"/>
      <c r="W2505" s="62"/>
      <c r="X2505" s="62"/>
      <c r="Y2505" s="62"/>
      <c r="Z2505" s="62"/>
      <c r="AA2505" s="62"/>
      <c r="AB2505" s="62"/>
      <c r="AC2505" s="62"/>
    </row>
    <row r="2506" hidden="1">
      <c r="A2506" s="60">
        <f>IFERROR(__xludf.DUMMYFUNCTION("""COMPUTED_VALUE"""),17616.0)</f>
        <v>17616</v>
      </c>
      <c r="B2506" s="60" t="str">
        <f>IFERROR(__xludf.DUMMYFUNCTION("""COMPUTED_VALUE"""),"Scott, Keionte")</f>
        <v>Scott, Keionte</v>
      </c>
      <c r="C2506" s="60" t="str">
        <f>IFERROR(__xludf.DUMMYFUNCTION("""COMPUTED_VALUE"""),"CB")</f>
        <v>CB</v>
      </c>
      <c r="D2506" s="60" t="str">
        <f>IFERROR(__xludf.DUMMYFUNCTION("""COMPUTED_VALUE"""),"TBB")</f>
        <v>TBB</v>
      </c>
      <c r="E2506" s="62" t="str">
        <f t="shared" si="4"/>
        <v>Keionte Scott</v>
      </c>
      <c r="F2506" s="62">
        <f t="shared" ref="F2506:G2506" si="5011">IF(isblank(F$1),,IF(isblank($A2506),,IFERROR(vlookup($A2506,indirect("'TVC-"&amp;text(month(F$1),"00")&amp;"'!$A:$D"),4,false),1)))</f>
        <v>1</v>
      </c>
      <c r="G2506" s="62">
        <f t="shared" si="5011"/>
        <v>1</v>
      </c>
      <c r="H2506" s="62">
        <f t="shared" ref="H2506:Q2506" si="5012">IF(isblank(H$1),,IFERROR(vlookup($A2506,indirect("'TVC-"&amp;text(month(H$1),"00")&amp;"'!$A:$D"),4,false),1))</f>
        <v>1</v>
      </c>
      <c r="I2506" s="62">
        <f t="shared" si="5012"/>
        <v>1</v>
      </c>
      <c r="J2506" s="62">
        <f t="shared" si="5012"/>
        <v>1</v>
      </c>
      <c r="K2506" s="62">
        <f t="shared" si="5012"/>
        <v>1</v>
      </c>
      <c r="L2506" s="62">
        <f t="shared" si="5012"/>
        <v>1</v>
      </c>
      <c r="M2506" s="62">
        <f t="shared" si="5012"/>
        <v>1</v>
      </c>
      <c r="N2506" s="62">
        <f t="shared" si="5012"/>
        <v>1</v>
      </c>
      <c r="O2506" s="62">
        <f t="shared" si="5012"/>
        <v>1</v>
      </c>
      <c r="P2506" s="62" t="str">
        <f t="shared" si="5012"/>
        <v/>
      </c>
      <c r="Q2506" s="62" t="str">
        <f t="shared" si="5012"/>
        <v/>
      </c>
      <c r="R2506" s="62">
        <f t="shared" si="7"/>
        <v>0</v>
      </c>
      <c r="S2506" s="62"/>
      <c r="T2506" s="62"/>
      <c r="U2506" s="62"/>
      <c r="V2506" s="62"/>
      <c r="W2506" s="62"/>
      <c r="X2506" s="62"/>
      <c r="Y2506" s="62"/>
      <c r="Z2506" s="62"/>
      <c r="AA2506" s="62"/>
      <c r="AB2506" s="62"/>
      <c r="AC2506" s="62"/>
    </row>
    <row r="2507" hidden="1">
      <c r="A2507" s="60">
        <f>IFERROR(__xludf.DUMMYFUNCTION("""COMPUTED_VALUE"""),17617.0)</f>
        <v>17617</v>
      </c>
      <c r="B2507" s="60" t="str">
        <f>IFERROR(__xludf.DUMMYFUNCTION("""COMPUTED_VALUE"""),"Rolder, Jimmy")</f>
        <v>Rolder, Jimmy</v>
      </c>
      <c r="C2507" s="60" t="str">
        <f>IFERROR(__xludf.DUMMYFUNCTION("""COMPUTED_VALUE"""),"LB")</f>
        <v>LB</v>
      </c>
      <c r="D2507" s="60" t="str">
        <f>IFERROR(__xludf.DUMMYFUNCTION("""COMPUTED_VALUE"""),"DET")</f>
        <v>DET</v>
      </c>
      <c r="E2507" s="62" t="str">
        <f t="shared" si="4"/>
        <v>Jimmy Rolder</v>
      </c>
      <c r="F2507" s="62">
        <f t="shared" ref="F2507:G2507" si="5013">IF(isblank(F$1),,IF(isblank($A2507),,IFERROR(vlookup($A2507,indirect("'TVC-"&amp;text(month(F$1),"00")&amp;"'!$A:$D"),4,false),1)))</f>
        <v>1</v>
      </c>
      <c r="G2507" s="62">
        <f t="shared" si="5013"/>
        <v>1</v>
      </c>
      <c r="H2507" s="62">
        <f t="shared" ref="H2507:Q2507" si="5014">IF(isblank(H$1),,IFERROR(vlookup($A2507,indirect("'TVC-"&amp;text(month(H$1),"00")&amp;"'!$A:$D"),4,false),1))</f>
        <v>1</v>
      </c>
      <c r="I2507" s="62">
        <f t="shared" si="5014"/>
        <v>1</v>
      </c>
      <c r="J2507" s="62">
        <f t="shared" si="5014"/>
        <v>1</v>
      </c>
      <c r="K2507" s="62">
        <f t="shared" si="5014"/>
        <v>1</v>
      </c>
      <c r="L2507" s="62">
        <f t="shared" si="5014"/>
        <v>1</v>
      </c>
      <c r="M2507" s="62">
        <f t="shared" si="5014"/>
        <v>1</v>
      </c>
      <c r="N2507" s="62">
        <f t="shared" si="5014"/>
        <v>1</v>
      </c>
      <c r="O2507" s="62">
        <f t="shared" si="5014"/>
        <v>1</v>
      </c>
      <c r="P2507" s="62" t="str">
        <f t="shared" si="5014"/>
        <v/>
      </c>
      <c r="Q2507" s="62" t="str">
        <f t="shared" si="5014"/>
        <v/>
      </c>
      <c r="R2507" s="62">
        <f t="shared" si="7"/>
        <v>0</v>
      </c>
      <c r="S2507" s="62"/>
      <c r="T2507" s="62"/>
      <c r="U2507" s="62"/>
      <c r="V2507" s="62"/>
      <c r="W2507" s="62"/>
      <c r="X2507" s="62"/>
      <c r="Y2507" s="62"/>
      <c r="Z2507" s="62"/>
      <c r="AA2507" s="62"/>
      <c r="AB2507" s="62"/>
      <c r="AC2507" s="62"/>
    </row>
    <row r="2508" hidden="1">
      <c r="A2508" s="60">
        <f>IFERROR(__xludf.DUMMYFUNCTION("""COMPUTED_VALUE"""),17618.0)</f>
        <v>17618</v>
      </c>
      <c r="B2508" s="60" t="str">
        <f>IFERROR(__xludf.DUMMYFUNCTION("""COMPUTED_VALUE"""),"Williams, Wesley")</f>
        <v>Williams, Wesley</v>
      </c>
      <c r="C2508" s="60" t="str">
        <f>IFERROR(__xludf.DUMMYFUNCTION("""COMPUTED_VALUE"""),"DE")</f>
        <v>DE</v>
      </c>
      <c r="D2508" s="60" t="str">
        <f>IFERROR(__xludf.DUMMYFUNCTION("""COMPUTED_VALUE"""),"JAC")</f>
        <v>JAC</v>
      </c>
      <c r="E2508" s="62" t="str">
        <f t="shared" si="4"/>
        <v>Wesley Williams</v>
      </c>
      <c r="F2508" s="62">
        <f t="shared" ref="F2508:G2508" si="5015">IF(isblank(F$1),,IF(isblank($A2508),,IFERROR(vlookup($A2508,indirect("'TVC-"&amp;text(month(F$1),"00")&amp;"'!$A:$D"),4,false),1)))</f>
        <v>1</v>
      </c>
      <c r="G2508" s="62">
        <f t="shared" si="5015"/>
        <v>1</v>
      </c>
      <c r="H2508" s="62">
        <f t="shared" ref="H2508:Q2508" si="5016">IF(isblank(H$1),,IFERROR(vlookup($A2508,indirect("'TVC-"&amp;text(month(H$1),"00")&amp;"'!$A:$D"),4,false),1))</f>
        <v>1</v>
      </c>
      <c r="I2508" s="62">
        <f t="shared" si="5016"/>
        <v>1</v>
      </c>
      <c r="J2508" s="62">
        <f t="shared" si="5016"/>
        <v>1</v>
      </c>
      <c r="K2508" s="62">
        <f t="shared" si="5016"/>
        <v>1</v>
      </c>
      <c r="L2508" s="62">
        <f t="shared" si="5016"/>
        <v>1</v>
      </c>
      <c r="M2508" s="62">
        <f t="shared" si="5016"/>
        <v>1</v>
      </c>
      <c r="N2508" s="62">
        <f t="shared" si="5016"/>
        <v>1</v>
      </c>
      <c r="O2508" s="62">
        <f t="shared" si="5016"/>
        <v>1</v>
      </c>
      <c r="P2508" s="62" t="str">
        <f t="shared" si="5016"/>
        <v/>
      </c>
      <c r="Q2508" s="62" t="str">
        <f t="shared" si="5016"/>
        <v/>
      </c>
      <c r="R2508" s="62">
        <f t="shared" si="7"/>
        <v>0</v>
      </c>
      <c r="S2508" s="62"/>
      <c r="T2508" s="62"/>
      <c r="U2508" s="62"/>
      <c r="V2508" s="62"/>
      <c r="W2508" s="62"/>
      <c r="X2508" s="62"/>
      <c r="Y2508" s="62"/>
      <c r="Z2508" s="62"/>
      <c r="AA2508" s="62"/>
      <c r="AB2508" s="62"/>
      <c r="AC2508" s="62"/>
    </row>
    <row r="2509" hidden="1">
      <c r="A2509" s="60">
        <f>IFERROR(__xludf.DUMMYFUNCTION("""COMPUTED_VALUE"""),17619.0)</f>
        <v>17619</v>
      </c>
      <c r="B2509" s="60" t="str">
        <f>IFERROR(__xludf.DUMMYFUNCTION("""COMPUTED_VALUE"""),"Dennis-Sutton, Dani")</f>
        <v>Dennis-Sutton, Dani</v>
      </c>
      <c r="C2509" s="60" t="str">
        <f>IFERROR(__xludf.DUMMYFUNCTION("""COMPUTED_VALUE"""),"DE")</f>
        <v>DE</v>
      </c>
      <c r="D2509" s="60" t="str">
        <f>IFERROR(__xludf.DUMMYFUNCTION("""COMPUTED_VALUE"""),"GBP")</f>
        <v>GBP</v>
      </c>
      <c r="E2509" s="62" t="str">
        <f t="shared" si="4"/>
        <v>Dani Dennis-Sutton</v>
      </c>
      <c r="F2509" s="62">
        <f t="shared" ref="F2509:G2509" si="5017">IF(isblank(F$1),,IF(isblank($A2509),,IFERROR(vlookup($A2509,indirect("'TVC-"&amp;text(month(F$1),"00")&amp;"'!$A:$D"),4,false),1)))</f>
        <v>1</v>
      </c>
      <c r="G2509" s="62">
        <f t="shared" si="5017"/>
        <v>1</v>
      </c>
      <c r="H2509" s="62">
        <f t="shared" ref="H2509:Q2509" si="5018">IF(isblank(H$1),,IFERROR(vlookup($A2509,indirect("'TVC-"&amp;text(month(H$1),"00")&amp;"'!$A:$D"),4,false),1))</f>
        <v>1</v>
      </c>
      <c r="I2509" s="62">
        <f t="shared" si="5018"/>
        <v>1</v>
      </c>
      <c r="J2509" s="62">
        <f t="shared" si="5018"/>
        <v>1</v>
      </c>
      <c r="K2509" s="62">
        <f t="shared" si="5018"/>
        <v>1</v>
      </c>
      <c r="L2509" s="62">
        <f t="shared" si="5018"/>
        <v>1</v>
      </c>
      <c r="M2509" s="62">
        <f t="shared" si="5018"/>
        <v>1</v>
      </c>
      <c r="N2509" s="62">
        <f t="shared" si="5018"/>
        <v>1</v>
      </c>
      <c r="O2509" s="62">
        <f t="shared" si="5018"/>
        <v>1</v>
      </c>
      <c r="P2509" s="62" t="str">
        <f t="shared" si="5018"/>
        <v/>
      </c>
      <c r="Q2509" s="62" t="str">
        <f t="shared" si="5018"/>
        <v/>
      </c>
      <c r="R2509" s="62">
        <f t="shared" si="7"/>
        <v>0</v>
      </c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</row>
    <row r="2510" hidden="1">
      <c r="A2510" s="60">
        <f>IFERROR(__xludf.DUMMYFUNCTION("""COMPUTED_VALUE"""),17620.0)</f>
        <v>17620</v>
      </c>
      <c r="B2510" s="60" t="str">
        <f>IFERROR(__xludf.DUMMYFUNCTION("""COMPUTED_VALUE"""),"Wetjen, Kaden")</f>
        <v>Wetjen, Kaden</v>
      </c>
      <c r="C2510" s="60" t="str">
        <f>IFERROR(__xludf.DUMMYFUNCTION("""COMPUTED_VALUE"""),"WR")</f>
        <v>WR</v>
      </c>
      <c r="D2510" s="60" t="str">
        <f>IFERROR(__xludf.DUMMYFUNCTION("""COMPUTED_VALUE"""),"PIT")</f>
        <v>PIT</v>
      </c>
      <c r="E2510" s="62" t="str">
        <f t="shared" si="4"/>
        <v>Kaden Wetjen</v>
      </c>
      <c r="F2510" s="62">
        <f t="shared" ref="F2510:G2510" si="5019">IF(isblank(F$1),,IF(isblank($A2510),,IFERROR(vlookup($A2510,indirect("'TVC-"&amp;text(month(F$1),"00")&amp;"'!$A:$D"),4,false),1)))</f>
        <v>1</v>
      </c>
      <c r="G2510" s="62">
        <f t="shared" si="5019"/>
        <v>1</v>
      </c>
      <c r="H2510" s="62">
        <f t="shared" ref="H2510:Q2510" si="5020">IF(isblank(H$1),,IFERROR(vlookup($A2510,indirect("'TVC-"&amp;text(month(H$1),"00")&amp;"'!$A:$D"),4,false),1))</f>
        <v>1</v>
      </c>
      <c r="I2510" s="62">
        <f t="shared" si="5020"/>
        <v>1</v>
      </c>
      <c r="J2510" s="62">
        <f t="shared" si="5020"/>
        <v>1</v>
      </c>
      <c r="K2510" s="62">
        <f t="shared" si="5020"/>
        <v>1</v>
      </c>
      <c r="L2510" s="62">
        <f t="shared" si="5020"/>
        <v>1</v>
      </c>
      <c r="M2510" s="62">
        <f t="shared" si="5020"/>
        <v>1</v>
      </c>
      <c r="N2510" s="62">
        <f t="shared" si="5020"/>
        <v>1</v>
      </c>
      <c r="O2510" s="62">
        <f t="shared" si="5020"/>
        <v>1</v>
      </c>
      <c r="P2510" s="62" t="str">
        <f t="shared" si="5020"/>
        <v/>
      </c>
      <c r="Q2510" s="62" t="str">
        <f t="shared" si="5020"/>
        <v/>
      </c>
      <c r="R2510" s="62">
        <f t="shared" si="7"/>
        <v>0</v>
      </c>
      <c r="S2510" s="62"/>
      <c r="T2510" s="62"/>
      <c r="U2510" s="62"/>
      <c r="V2510" s="62"/>
      <c r="W2510" s="62"/>
      <c r="X2510" s="62"/>
      <c r="Y2510" s="62"/>
      <c r="Z2510" s="62"/>
      <c r="AA2510" s="62"/>
      <c r="AB2510" s="62"/>
      <c r="AC2510" s="62"/>
    </row>
    <row r="2511" hidden="1">
      <c r="A2511" s="60">
        <f>IFERROR(__xludf.DUMMYFUNCTION("""COMPUTED_VALUE"""),17621.0)</f>
        <v>17621</v>
      </c>
      <c r="B2511" s="60" t="str">
        <f>IFERROR(__xludf.DUMMYFUNCTION("""COMPUTED_VALUE"""),"Woodaz, Wade")</f>
        <v>Woodaz, Wade</v>
      </c>
      <c r="C2511" s="60" t="str">
        <f>IFERROR(__xludf.DUMMYFUNCTION("""COMPUTED_VALUE"""),"LB")</f>
        <v>LB</v>
      </c>
      <c r="D2511" s="60" t="str">
        <f>IFERROR(__xludf.DUMMYFUNCTION("""COMPUTED_VALUE"""),"HOU")</f>
        <v>HOU</v>
      </c>
      <c r="E2511" s="62" t="str">
        <f t="shared" si="4"/>
        <v>Wade Woodaz</v>
      </c>
      <c r="F2511" s="62">
        <f t="shared" ref="F2511:G2511" si="5021">IF(isblank(F$1),,IF(isblank($A2511),,IFERROR(vlookup($A2511,indirect("'TVC-"&amp;text(month(F$1),"00")&amp;"'!$A:$D"),4,false),1)))</f>
        <v>1</v>
      </c>
      <c r="G2511" s="62">
        <f t="shared" si="5021"/>
        <v>1</v>
      </c>
      <c r="H2511" s="62">
        <f t="shared" ref="H2511:Q2511" si="5022">IF(isblank(H$1),,IFERROR(vlookup($A2511,indirect("'TVC-"&amp;text(month(H$1),"00")&amp;"'!$A:$D"),4,false),1))</f>
        <v>1</v>
      </c>
      <c r="I2511" s="62">
        <f t="shared" si="5022"/>
        <v>1</v>
      </c>
      <c r="J2511" s="62">
        <f t="shared" si="5022"/>
        <v>1</v>
      </c>
      <c r="K2511" s="62">
        <f t="shared" si="5022"/>
        <v>1</v>
      </c>
      <c r="L2511" s="62">
        <f t="shared" si="5022"/>
        <v>1</v>
      </c>
      <c r="M2511" s="62">
        <f t="shared" si="5022"/>
        <v>1</v>
      </c>
      <c r="N2511" s="62">
        <f t="shared" si="5022"/>
        <v>1</v>
      </c>
      <c r="O2511" s="62">
        <f t="shared" si="5022"/>
        <v>1</v>
      </c>
      <c r="P2511" s="62" t="str">
        <f t="shared" si="5022"/>
        <v/>
      </c>
      <c r="Q2511" s="62" t="str">
        <f t="shared" si="5022"/>
        <v/>
      </c>
      <c r="R2511" s="62">
        <f t="shared" si="7"/>
        <v>0</v>
      </c>
      <c r="S2511" s="62"/>
      <c r="T2511" s="62"/>
      <c r="U2511" s="62"/>
      <c r="V2511" s="62"/>
      <c r="W2511" s="62"/>
      <c r="X2511" s="62"/>
      <c r="Y2511" s="62"/>
      <c r="Z2511" s="62"/>
      <c r="AA2511" s="62"/>
      <c r="AB2511" s="62"/>
      <c r="AC2511" s="62"/>
    </row>
    <row r="2512" hidden="1">
      <c r="A2512" s="60">
        <f>IFERROR(__xludf.DUMMYFUNCTION("""COMPUTED_VALUE"""),17622.0)</f>
        <v>17622</v>
      </c>
      <c r="B2512" s="60" t="str">
        <f>IFERROR(__xludf.DUMMYFUNCTION("""COMPUTED_VALUE"""),"Muhammad, Malik")</f>
        <v>Muhammad, Malik</v>
      </c>
      <c r="C2512" s="60" t="str">
        <f>IFERROR(__xludf.DUMMYFUNCTION("""COMPUTED_VALUE"""),"CB")</f>
        <v>CB</v>
      </c>
      <c r="D2512" s="60" t="str">
        <f>IFERROR(__xludf.DUMMYFUNCTION("""COMPUTED_VALUE"""),"CHI")</f>
        <v>CHI</v>
      </c>
      <c r="E2512" s="62" t="str">
        <f t="shared" si="4"/>
        <v>Malik Muhammad</v>
      </c>
      <c r="F2512" s="62">
        <f t="shared" ref="F2512:G2512" si="5023">IF(isblank(F$1),,IF(isblank($A2512),,IFERROR(vlookup($A2512,indirect("'TVC-"&amp;text(month(F$1),"00")&amp;"'!$A:$D"),4,false),1)))</f>
        <v>1</v>
      </c>
      <c r="G2512" s="62">
        <f t="shared" si="5023"/>
        <v>1</v>
      </c>
      <c r="H2512" s="62">
        <f t="shared" ref="H2512:Q2512" si="5024">IF(isblank(H$1),,IFERROR(vlookup($A2512,indirect("'TVC-"&amp;text(month(H$1),"00")&amp;"'!$A:$D"),4,false),1))</f>
        <v>1</v>
      </c>
      <c r="I2512" s="62">
        <f t="shared" si="5024"/>
        <v>1</v>
      </c>
      <c r="J2512" s="62">
        <f t="shared" si="5024"/>
        <v>1</v>
      </c>
      <c r="K2512" s="62">
        <f t="shared" si="5024"/>
        <v>1</v>
      </c>
      <c r="L2512" s="62">
        <f t="shared" si="5024"/>
        <v>1</v>
      </c>
      <c r="M2512" s="62">
        <f t="shared" si="5024"/>
        <v>1</v>
      </c>
      <c r="N2512" s="62">
        <f t="shared" si="5024"/>
        <v>1</v>
      </c>
      <c r="O2512" s="62">
        <f t="shared" si="5024"/>
        <v>1</v>
      </c>
      <c r="P2512" s="62" t="str">
        <f t="shared" si="5024"/>
        <v/>
      </c>
      <c r="Q2512" s="62" t="str">
        <f t="shared" si="5024"/>
        <v/>
      </c>
      <c r="R2512" s="62">
        <f t="shared" si="7"/>
        <v>0</v>
      </c>
      <c r="S2512" s="62"/>
      <c r="T2512" s="62"/>
      <c r="U2512" s="62"/>
      <c r="V2512" s="62"/>
      <c r="W2512" s="62"/>
      <c r="X2512" s="62"/>
      <c r="Y2512" s="62"/>
      <c r="Z2512" s="62"/>
      <c r="AA2512" s="62"/>
      <c r="AB2512" s="62"/>
      <c r="AC2512" s="62"/>
    </row>
    <row r="2513" hidden="1">
      <c r="A2513" s="60">
        <f>IFERROR(__xludf.DUMMYFUNCTION("""COMPUTED_VALUE"""),17623.0)</f>
        <v>17623</v>
      </c>
      <c r="B2513" s="60" t="str">
        <f>IFERROR(__xludf.DUMMYFUNCTION("""COMPUTED_VALUE"""),"Elarms-Orr, Kaleb")</f>
        <v>Elarms-Orr, Kaleb</v>
      </c>
      <c r="C2513" s="60" t="str">
        <f>IFERROR(__xludf.DUMMYFUNCTION("""COMPUTED_VALUE"""),"LB")</f>
        <v>LB</v>
      </c>
      <c r="D2513" s="60" t="str">
        <f>IFERROR(__xludf.DUMMYFUNCTION("""COMPUTED_VALUE"""),"BUF")</f>
        <v>BUF</v>
      </c>
      <c r="E2513" s="62" t="str">
        <f t="shared" si="4"/>
        <v>Kaleb Elarms-Orr</v>
      </c>
      <c r="F2513" s="62">
        <f t="shared" ref="F2513:G2513" si="5025">IF(isblank(F$1),,IF(isblank($A2513),,IFERROR(vlookup($A2513,indirect("'TVC-"&amp;text(month(F$1),"00")&amp;"'!$A:$D"),4,false),1)))</f>
        <v>1</v>
      </c>
      <c r="G2513" s="62">
        <f t="shared" si="5025"/>
        <v>1</v>
      </c>
      <c r="H2513" s="62">
        <f t="shared" ref="H2513:Q2513" si="5026">IF(isblank(H$1),,IFERROR(vlookup($A2513,indirect("'TVC-"&amp;text(month(H$1),"00")&amp;"'!$A:$D"),4,false),1))</f>
        <v>1</v>
      </c>
      <c r="I2513" s="62">
        <f t="shared" si="5026"/>
        <v>1</v>
      </c>
      <c r="J2513" s="62">
        <f t="shared" si="5026"/>
        <v>1</v>
      </c>
      <c r="K2513" s="62">
        <f t="shared" si="5026"/>
        <v>1</v>
      </c>
      <c r="L2513" s="62">
        <f t="shared" si="5026"/>
        <v>1</v>
      </c>
      <c r="M2513" s="62">
        <f t="shared" si="5026"/>
        <v>1</v>
      </c>
      <c r="N2513" s="62">
        <f t="shared" si="5026"/>
        <v>1</v>
      </c>
      <c r="O2513" s="62">
        <f t="shared" si="5026"/>
        <v>1</v>
      </c>
      <c r="P2513" s="62" t="str">
        <f t="shared" si="5026"/>
        <v/>
      </c>
      <c r="Q2513" s="62" t="str">
        <f t="shared" si="5026"/>
        <v/>
      </c>
      <c r="R2513" s="62">
        <f t="shared" si="7"/>
        <v>0</v>
      </c>
      <c r="S2513" s="62"/>
      <c r="T2513" s="62"/>
      <c r="U2513" s="62"/>
      <c r="V2513" s="62"/>
      <c r="W2513" s="62"/>
      <c r="X2513" s="62"/>
      <c r="Y2513" s="62"/>
      <c r="Z2513" s="62"/>
      <c r="AA2513" s="62"/>
      <c r="AB2513" s="62"/>
      <c r="AC2513" s="62"/>
    </row>
    <row r="2514" hidden="1">
      <c r="A2514" s="60">
        <f>IFERROR(__xludf.DUMMYFUNCTION("""COMPUTED_VALUE"""),17624.0)</f>
        <v>17624</v>
      </c>
      <c r="B2514" s="60" t="str">
        <f>IFERROR(__xludf.DUMMYFUNCTION("""COMPUTED_VALUE"""),"Lee, Will")</f>
        <v>Lee, Will</v>
      </c>
      <c r="C2514" s="60" t="str">
        <f>IFERROR(__xludf.DUMMYFUNCTION("""COMPUTED_VALUE"""),"CB")</f>
        <v>CB</v>
      </c>
      <c r="D2514" s="60" t="str">
        <f>IFERROR(__xludf.DUMMYFUNCTION("""COMPUTED_VALUE"""),"CAR")</f>
        <v>CAR</v>
      </c>
      <c r="E2514" s="62" t="str">
        <f t="shared" si="4"/>
        <v>Will Lee</v>
      </c>
      <c r="F2514" s="62">
        <f t="shared" ref="F2514:G2514" si="5027">IF(isblank(F$1),,IF(isblank($A2514),,IFERROR(vlookup($A2514,indirect("'TVC-"&amp;text(month(F$1),"00")&amp;"'!$A:$D"),4,false),1)))</f>
        <v>1</v>
      </c>
      <c r="G2514" s="62">
        <f t="shared" si="5027"/>
        <v>1</v>
      </c>
      <c r="H2514" s="62">
        <f t="shared" ref="H2514:Q2514" si="5028">IF(isblank(H$1),,IFERROR(vlookup($A2514,indirect("'TVC-"&amp;text(month(H$1),"00")&amp;"'!$A:$D"),4,false),1))</f>
        <v>1</v>
      </c>
      <c r="I2514" s="62">
        <f t="shared" si="5028"/>
        <v>1</v>
      </c>
      <c r="J2514" s="62">
        <f t="shared" si="5028"/>
        <v>1</v>
      </c>
      <c r="K2514" s="62">
        <f t="shared" si="5028"/>
        <v>1</v>
      </c>
      <c r="L2514" s="62">
        <f t="shared" si="5028"/>
        <v>1</v>
      </c>
      <c r="M2514" s="62">
        <f t="shared" si="5028"/>
        <v>1</v>
      </c>
      <c r="N2514" s="62">
        <f t="shared" si="5028"/>
        <v>1</v>
      </c>
      <c r="O2514" s="62">
        <f t="shared" si="5028"/>
        <v>1</v>
      </c>
      <c r="P2514" s="62" t="str">
        <f t="shared" si="5028"/>
        <v/>
      </c>
      <c r="Q2514" s="62" t="str">
        <f t="shared" si="5028"/>
        <v/>
      </c>
      <c r="R2514" s="62">
        <f t="shared" si="7"/>
        <v>0</v>
      </c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</row>
    <row r="2515" hidden="1">
      <c r="A2515" s="60">
        <f>IFERROR(__xludf.DUMMYFUNCTION("""COMPUTED_VALUE"""),17625.0)</f>
        <v>17625</v>
      </c>
      <c r="B2515" s="60" t="str">
        <f>IFERROR(__xludf.DUMMYFUNCTION("""COMPUTED_VALUE"""),"Moore, Trey")</f>
        <v>Moore, Trey</v>
      </c>
      <c r="C2515" s="60" t="str">
        <f>IFERROR(__xludf.DUMMYFUNCTION("""COMPUTED_VALUE"""),"LB")</f>
        <v>LB</v>
      </c>
      <c r="D2515" s="60" t="str">
        <f>IFERROR(__xludf.DUMMYFUNCTION("""COMPUTED_VALUE"""),"MIA")</f>
        <v>MIA</v>
      </c>
      <c r="E2515" s="62" t="str">
        <f t="shared" si="4"/>
        <v>Trey Moore</v>
      </c>
      <c r="F2515" s="62">
        <f t="shared" ref="F2515:G2515" si="5029">IF(isblank(F$1),,IF(isblank($A2515),,IFERROR(vlookup($A2515,indirect("'TVC-"&amp;text(month(F$1),"00")&amp;"'!$A:$D"),4,false),1)))</f>
        <v>1</v>
      </c>
      <c r="G2515" s="62">
        <f t="shared" si="5029"/>
        <v>1</v>
      </c>
      <c r="H2515" s="62">
        <f t="shared" ref="H2515:Q2515" si="5030">IF(isblank(H$1),,IFERROR(vlookup($A2515,indirect("'TVC-"&amp;text(month(H$1),"00")&amp;"'!$A:$D"),4,false),1))</f>
        <v>1</v>
      </c>
      <c r="I2515" s="62">
        <f t="shared" si="5030"/>
        <v>1</v>
      </c>
      <c r="J2515" s="62">
        <f t="shared" si="5030"/>
        <v>1</v>
      </c>
      <c r="K2515" s="62">
        <f t="shared" si="5030"/>
        <v>1</v>
      </c>
      <c r="L2515" s="62">
        <f t="shared" si="5030"/>
        <v>1</v>
      </c>
      <c r="M2515" s="62">
        <f t="shared" si="5030"/>
        <v>1</v>
      </c>
      <c r="N2515" s="62">
        <f t="shared" si="5030"/>
        <v>1</v>
      </c>
      <c r="O2515" s="62">
        <f t="shared" si="5030"/>
        <v>1</v>
      </c>
      <c r="P2515" s="62" t="str">
        <f t="shared" si="5030"/>
        <v/>
      </c>
      <c r="Q2515" s="62" t="str">
        <f t="shared" si="5030"/>
        <v/>
      </c>
      <c r="R2515" s="62">
        <f t="shared" si="7"/>
        <v>0</v>
      </c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</row>
    <row r="2516" hidden="1">
      <c r="A2516" s="60">
        <f>IFERROR(__xludf.DUMMYFUNCTION("""COMPUTED_VALUE"""),17626.0)</f>
        <v>17626</v>
      </c>
      <c r="B2516" s="60" t="str">
        <f>IFERROR(__xludf.DUMMYFUNCTION("""COMPUTED_VALUE"""),"Smith, Genesis")</f>
        <v>Smith, Genesis</v>
      </c>
      <c r="C2516" s="60" t="str">
        <f>IFERROR(__xludf.DUMMYFUNCTION("""COMPUTED_VALUE"""),"S")</f>
        <v>S</v>
      </c>
      <c r="D2516" s="60" t="str">
        <f>IFERROR(__xludf.DUMMYFUNCTION("""COMPUTED_VALUE"""),"LAC")</f>
        <v>LAC</v>
      </c>
      <c r="E2516" s="62" t="str">
        <f t="shared" si="4"/>
        <v>Genesis Smith</v>
      </c>
      <c r="F2516" s="62">
        <f t="shared" ref="F2516:G2516" si="5031">IF(isblank(F$1),,IF(isblank($A2516),,IFERROR(vlookup($A2516,indirect("'TVC-"&amp;text(month(F$1),"00")&amp;"'!$A:$D"),4,false),1)))</f>
        <v>1</v>
      </c>
      <c r="G2516" s="62">
        <f t="shared" si="5031"/>
        <v>1</v>
      </c>
      <c r="H2516" s="62">
        <f t="shared" ref="H2516:Q2516" si="5032">IF(isblank(H$1),,IFERROR(vlookup($A2516,indirect("'TVC-"&amp;text(month(H$1),"00")&amp;"'!$A:$D"),4,false),1))</f>
        <v>1</v>
      </c>
      <c r="I2516" s="62">
        <f t="shared" si="5032"/>
        <v>1</v>
      </c>
      <c r="J2516" s="62">
        <f t="shared" si="5032"/>
        <v>1</v>
      </c>
      <c r="K2516" s="62">
        <f t="shared" si="5032"/>
        <v>1</v>
      </c>
      <c r="L2516" s="62">
        <f t="shared" si="5032"/>
        <v>1</v>
      </c>
      <c r="M2516" s="62">
        <f t="shared" si="5032"/>
        <v>1</v>
      </c>
      <c r="N2516" s="62">
        <f t="shared" si="5032"/>
        <v>1</v>
      </c>
      <c r="O2516" s="62">
        <f t="shared" si="5032"/>
        <v>1</v>
      </c>
      <c r="P2516" s="62" t="str">
        <f t="shared" si="5032"/>
        <v/>
      </c>
      <c r="Q2516" s="62" t="str">
        <f t="shared" si="5032"/>
        <v/>
      </c>
      <c r="R2516" s="62">
        <f t="shared" si="7"/>
        <v>0</v>
      </c>
      <c r="S2516" s="62"/>
      <c r="T2516" s="62"/>
      <c r="U2516" s="62"/>
      <c r="V2516" s="62"/>
      <c r="W2516" s="62"/>
      <c r="X2516" s="62"/>
      <c r="Y2516" s="62"/>
      <c r="Z2516" s="62"/>
      <c r="AA2516" s="62"/>
      <c r="AB2516" s="62"/>
      <c r="AC2516" s="62"/>
    </row>
    <row r="2517" hidden="1">
      <c r="A2517" s="60">
        <f>IFERROR(__xludf.DUMMYFUNCTION("""COMPUTED_VALUE"""),17627.0)</f>
        <v>17627</v>
      </c>
      <c r="B2517" s="60" t="str">
        <f>IFERROR(__xludf.DUMMYFUNCTION("""COMPUTED_VALUE"""),"Hibner, Matthew")</f>
        <v>Hibner, Matthew</v>
      </c>
      <c r="C2517" s="60" t="str">
        <f>IFERROR(__xludf.DUMMYFUNCTION("""COMPUTED_VALUE"""),"TE")</f>
        <v>TE</v>
      </c>
      <c r="D2517" s="60" t="str">
        <f>IFERROR(__xludf.DUMMYFUNCTION("""COMPUTED_VALUE"""),"BAL")</f>
        <v>BAL</v>
      </c>
      <c r="E2517" s="62" t="str">
        <f t="shared" si="4"/>
        <v>Matthew Hibner</v>
      </c>
      <c r="F2517" s="62">
        <f t="shared" ref="F2517:G2517" si="5033">IF(isblank(F$1),,IF(isblank($A2517),,IFERROR(vlookup($A2517,indirect("'TVC-"&amp;text(month(F$1),"00")&amp;"'!$A:$D"),4,false),1)))</f>
        <v>1</v>
      </c>
      <c r="G2517" s="62">
        <f t="shared" si="5033"/>
        <v>1</v>
      </c>
      <c r="H2517" s="62">
        <f t="shared" ref="H2517:Q2517" si="5034">IF(isblank(H$1),,IFERROR(vlookup($A2517,indirect("'TVC-"&amp;text(month(H$1),"00")&amp;"'!$A:$D"),4,false),1))</f>
        <v>1</v>
      </c>
      <c r="I2517" s="62">
        <f t="shared" si="5034"/>
        <v>1</v>
      </c>
      <c r="J2517" s="62">
        <f t="shared" si="5034"/>
        <v>1</v>
      </c>
      <c r="K2517" s="62">
        <f t="shared" si="5034"/>
        <v>1024</v>
      </c>
      <c r="L2517" s="62">
        <f t="shared" si="5034"/>
        <v>1166</v>
      </c>
      <c r="M2517" s="62">
        <f t="shared" si="5034"/>
        <v>1209</v>
      </c>
      <c r="N2517" s="62">
        <f t="shared" si="5034"/>
        <v>1618</v>
      </c>
      <c r="O2517" s="62">
        <f t="shared" si="5034"/>
        <v>1</v>
      </c>
      <c r="P2517" s="62" t="str">
        <f t="shared" si="5034"/>
        <v/>
      </c>
      <c r="Q2517" s="62" t="str">
        <f t="shared" si="5034"/>
        <v/>
      </c>
      <c r="R2517" s="62">
        <f t="shared" si="7"/>
        <v>-1617</v>
      </c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</row>
    <row r="2518" hidden="1">
      <c r="A2518" s="60">
        <f>IFERROR(__xludf.DUMMYFUNCTION("""COMPUTED_VALUE"""),17628.0)</f>
        <v>17628</v>
      </c>
      <c r="B2518" s="60" t="str">
        <f>IFERROR(__xludf.DUMMYFUNCTION("""COMPUTED_VALUE"""),"Daniels, Kendal")</f>
        <v>Daniels, Kendal</v>
      </c>
      <c r="C2518" s="60" t="str">
        <f>IFERROR(__xludf.DUMMYFUNCTION("""COMPUTED_VALUE"""),"LB")</f>
        <v>LB</v>
      </c>
      <c r="D2518" s="60" t="str">
        <f>IFERROR(__xludf.DUMMYFUNCTION("""COMPUTED_VALUE"""),"ATL")</f>
        <v>ATL</v>
      </c>
      <c r="E2518" s="62" t="str">
        <f t="shared" si="4"/>
        <v>Kendal Daniels</v>
      </c>
      <c r="F2518" s="62">
        <f t="shared" ref="F2518:G2518" si="5035">IF(isblank(F$1),,IF(isblank($A2518),,IFERROR(vlookup($A2518,indirect("'TVC-"&amp;text(month(F$1),"00")&amp;"'!$A:$D"),4,false),1)))</f>
        <v>1</v>
      </c>
      <c r="G2518" s="62">
        <f t="shared" si="5035"/>
        <v>1</v>
      </c>
      <c r="H2518" s="62">
        <f t="shared" ref="H2518:Q2518" si="5036">IF(isblank(H$1),,IFERROR(vlookup($A2518,indirect("'TVC-"&amp;text(month(H$1),"00")&amp;"'!$A:$D"),4,false),1))</f>
        <v>1</v>
      </c>
      <c r="I2518" s="62">
        <f t="shared" si="5036"/>
        <v>1</v>
      </c>
      <c r="J2518" s="62">
        <f t="shared" si="5036"/>
        <v>1</v>
      </c>
      <c r="K2518" s="62">
        <f t="shared" si="5036"/>
        <v>1</v>
      </c>
      <c r="L2518" s="62">
        <f t="shared" si="5036"/>
        <v>1</v>
      </c>
      <c r="M2518" s="62">
        <f t="shared" si="5036"/>
        <v>1</v>
      </c>
      <c r="N2518" s="62">
        <f t="shared" si="5036"/>
        <v>1</v>
      </c>
      <c r="O2518" s="62">
        <f t="shared" si="5036"/>
        <v>1</v>
      </c>
      <c r="P2518" s="62" t="str">
        <f t="shared" si="5036"/>
        <v/>
      </c>
      <c r="Q2518" s="62" t="str">
        <f t="shared" si="5036"/>
        <v/>
      </c>
      <c r="R2518" s="62">
        <f t="shared" si="7"/>
        <v>0</v>
      </c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</row>
    <row r="2519" hidden="1">
      <c r="A2519" s="60">
        <f>IFERROR(__xludf.DUMMYFUNCTION("""COMPUTED_VALUE"""),17629.0)</f>
        <v>17629</v>
      </c>
      <c r="B2519" s="60" t="str">
        <f>IFERROR(__xludf.DUMMYFUNCTION("""COMPUTED_VALUE"""),"Boettcher, Bryce")</f>
        <v>Boettcher, Bryce</v>
      </c>
      <c r="C2519" s="60" t="str">
        <f>IFERROR(__xludf.DUMMYFUNCTION("""COMPUTED_VALUE"""),"LB")</f>
        <v>LB</v>
      </c>
      <c r="D2519" s="60" t="str">
        <f>IFERROR(__xludf.DUMMYFUNCTION("""COMPUTED_VALUE"""),"IND")</f>
        <v>IND</v>
      </c>
      <c r="E2519" s="62" t="str">
        <f t="shared" si="4"/>
        <v>Bryce Boettcher</v>
      </c>
      <c r="F2519" s="62">
        <f t="shared" ref="F2519:G2519" si="5037">IF(isblank(F$1),,IF(isblank($A2519),,IFERROR(vlookup($A2519,indirect("'TVC-"&amp;text(month(F$1),"00")&amp;"'!$A:$D"),4,false),1)))</f>
        <v>1</v>
      </c>
      <c r="G2519" s="62">
        <f t="shared" si="5037"/>
        <v>1</v>
      </c>
      <c r="H2519" s="62">
        <f t="shared" ref="H2519:Q2519" si="5038">IF(isblank(H$1),,IFERROR(vlookup($A2519,indirect("'TVC-"&amp;text(month(H$1),"00")&amp;"'!$A:$D"),4,false),1))</f>
        <v>1</v>
      </c>
      <c r="I2519" s="62">
        <f t="shared" si="5038"/>
        <v>1</v>
      </c>
      <c r="J2519" s="62">
        <f t="shared" si="5038"/>
        <v>1</v>
      </c>
      <c r="K2519" s="62">
        <f t="shared" si="5038"/>
        <v>1</v>
      </c>
      <c r="L2519" s="62">
        <f t="shared" si="5038"/>
        <v>1</v>
      </c>
      <c r="M2519" s="62">
        <f t="shared" si="5038"/>
        <v>1</v>
      </c>
      <c r="N2519" s="62">
        <f t="shared" si="5038"/>
        <v>1</v>
      </c>
      <c r="O2519" s="62">
        <f t="shared" si="5038"/>
        <v>1</v>
      </c>
      <c r="P2519" s="62" t="str">
        <f t="shared" si="5038"/>
        <v/>
      </c>
      <c r="Q2519" s="62" t="str">
        <f t="shared" si="5038"/>
        <v/>
      </c>
      <c r="R2519" s="62">
        <f t="shared" si="7"/>
        <v>0</v>
      </c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</row>
    <row r="2520" hidden="1">
      <c r="A2520" s="60">
        <f>IFERROR(__xludf.DUMMYFUNCTION("""COMPUTED_VALUE"""),17630.0)</f>
        <v>17630</v>
      </c>
      <c r="B2520" s="60" t="str">
        <f>IFERROR(__xludf.DUMMYFUNCTION("""COMPUTED_VALUE"""),"Overton, LT")</f>
        <v>Overton, LT</v>
      </c>
      <c r="C2520" s="60" t="str">
        <f>IFERROR(__xludf.DUMMYFUNCTION("""COMPUTED_VALUE"""),"DE")</f>
        <v>DE</v>
      </c>
      <c r="D2520" s="60" t="str">
        <f>IFERROR(__xludf.DUMMYFUNCTION("""COMPUTED_VALUE"""),"DAL")</f>
        <v>DAL</v>
      </c>
      <c r="E2520" s="62" t="str">
        <f t="shared" si="4"/>
        <v>LT Overton</v>
      </c>
      <c r="F2520" s="62">
        <f t="shared" ref="F2520:G2520" si="5039">IF(isblank(F$1),,IF(isblank($A2520),,IFERROR(vlookup($A2520,indirect("'TVC-"&amp;text(month(F$1),"00")&amp;"'!$A:$D"),4,false),1)))</f>
        <v>1</v>
      </c>
      <c r="G2520" s="62">
        <f t="shared" si="5039"/>
        <v>1</v>
      </c>
      <c r="H2520" s="62">
        <f t="shared" ref="H2520:Q2520" si="5040">IF(isblank(H$1),,IFERROR(vlookup($A2520,indirect("'TVC-"&amp;text(month(H$1),"00")&amp;"'!$A:$D"),4,false),1))</f>
        <v>1</v>
      </c>
      <c r="I2520" s="62">
        <f t="shared" si="5040"/>
        <v>1</v>
      </c>
      <c r="J2520" s="62">
        <f t="shared" si="5040"/>
        <v>1</v>
      </c>
      <c r="K2520" s="62">
        <f t="shared" si="5040"/>
        <v>1</v>
      </c>
      <c r="L2520" s="62">
        <f t="shared" si="5040"/>
        <v>1</v>
      </c>
      <c r="M2520" s="62">
        <f t="shared" si="5040"/>
        <v>1</v>
      </c>
      <c r="N2520" s="62">
        <f t="shared" si="5040"/>
        <v>1</v>
      </c>
      <c r="O2520" s="62">
        <f t="shared" si="5040"/>
        <v>1</v>
      </c>
      <c r="P2520" s="62" t="str">
        <f t="shared" si="5040"/>
        <v/>
      </c>
      <c r="Q2520" s="62" t="str">
        <f t="shared" si="5040"/>
        <v/>
      </c>
      <c r="R2520" s="62">
        <f t="shared" si="7"/>
        <v>0</v>
      </c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</row>
    <row r="2521" hidden="1">
      <c r="A2521" s="60">
        <f>IFERROR(__xludf.DUMMYFUNCTION("""COMPUTED_VALUE"""),17631.0)</f>
        <v>17631</v>
      </c>
      <c r="B2521" s="60" t="str">
        <f>IFERROR(__xludf.DUMMYFUNCTION("""COMPUTED_VALUE"""),"Prysock, Ephesians")</f>
        <v>Prysock, Ephesians</v>
      </c>
      <c r="C2521" s="60" t="str">
        <f>IFERROR(__xludf.DUMMYFUNCTION("""COMPUTED_VALUE"""),"CB")</f>
        <v>CB</v>
      </c>
      <c r="D2521" s="60" t="str">
        <f>IFERROR(__xludf.DUMMYFUNCTION("""COMPUTED_VALUE"""),"SFO")</f>
        <v>SFO</v>
      </c>
      <c r="E2521" s="62" t="str">
        <f t="shared" si="4"/>
        <v>Ephesians Prysock</v>
      </c>
      <c r="F2521" s="62">
        <f t="shared" ref="F2521:G2521" si="5041">IF(isblank(F$1),,IF(isblank($A2521),,IFERROR(vlookup($A2521,indirect("'TVC-"&amp;text(month(F$1),"00")&amp;"'!$A:$D"),4,false),1)))</f>
        <v>1</v>
      </c>
      <c r="G2521" s="62">
        <f t="shared" si="5041"/>
        <v>1</v>
      </c>
      <c r="H2521" s="62">
        <f t="shared" ref="H2521:Q2521" si="5042">IF(isblank(H$1),,IFERROR(vlookup($A2521,indirect("'TVC-"&amp;text(month(H$1),"00")&amp;"'!$A:$D"),4,false),1))</f>
        <v>1</v>
      </c>
      <c r="I2521" s="62">
        <f t="shared" si="5042"/>
        <v>1</v>
      </c>
      <c r="J2521" s="62">
        <f t="shared" si="5042"/>
        <v>1</v>
      </c>
      <c r="K2521" s="62">
        <f t="shared" si="5042"/>
        <v>1</v>
      </c>
      <c r="L2521" s="62">
        <f t="shared" si="5042"/>
        <v>1</v>
      </c>
      <c r="M2521" s="62">
        <f t="shared" si="5042"/>
        <v>1</v>
      </c>
      <c r="N2521" s="62">
        <f t="shared" si="5042"/>
        <v>1</v>
      </c>
      <c r="O2521" s="62">
        <f t="shared" si="5042"/>
        <v>1</v>
      </c>
      <c r="P2521" s="62" t="str">
        <f t="shared" si="5042"/>
        <v/>
      </c>
      <c r="Q2521" s="62" t="str">
        <f t="shared" si="5042"/>
        <v/>
      </c>
      <c r="R2521" s="62">
        <f t="shared" si="7"/>
        <v>0</v>
      </c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</row>
    <row r="2522" hidden="1">
      <c r="A2522" s="60">
        <f>IFERROR(__xludf.DUMMYFUNCTION("""COMPUTED_VALUE"""),17632.0)</f>
        <v>17632</v>
      </c>
      <c r="B2522" s="60" t="str">
        <f>IFERROR(__xludf.DUMMYFUNCTION("""COMPUTED_VALUE"""),"Barrett, Nick")</f>
        <v>Barrett, Nick</v>
      </c>
      <c r="C2522" s="60" t="str">
        <f>IFERROR(__xludf.DUMMYFUNCTION("""COMPUTED_VALUE"""),"DT")</f>
        <v>DT</v>
      </c>
      <c r="D2522" s="60" t="str">
        <f>IFERROR(__xludf.DUMMYFUNCTION("""COMPUTED_VALUE"""),"LAC")</f>
        <v>LAC</v>
      </c>
      <c r="E2522" s="62" t="str">
        <f t="shared" si="4"/>
        <v>Nick Barrett</v>
      </c>
      <c r="F2522" s="62">
        <f t="shared" ref="F2522:G2522" si="5043">IF(isblank(F$1),,IF(isblank($A2522),,IFERROR(vlookup($A2522,indirect("'TVC-"&amp;text(month(F$1),"00")&amp;"'!$A:$D"),4,false),1)))</f>
        <v>1</v>
      </c>
      <c r="G2522" s="62">
        <f t="shared" si="5043"/>
        <v>1</v>
      </c>
      <c r="H2522" s="62">
        <f t="shared" ref="H2522:Q2522" si="5044">IF(isblank(H$1),,IFERROR(vlookup($A2522,indirect("'TVC-"&amp;text(month(H$1),"00")&amp;"'!$A:$D"),4,false),1))</f>
        <v>1</v>
      </c>
      <c r="I2522" s="62">
        <f t="shared" si="5044"/>
        <v>1</v>
      </c>
      <c r="J2522" s="62">
        <f t="shared" si="5044"/>
        <v>1</v>
      </c>
      <c r="K2522" s="62">
        <f t="shared" si="5044"/>
        <v>1</v>
      </c>
      <c r="L2522" s="62">
        <f t="shared" si="5044"/>
        <v>1</v>
      </c>
      <c r="M2522" s="62">
        <f t="shared" si="5044"/>
        <v>1</v>
      </c>
      <c r="N2522" s="62">
        <f t="shared" si="5044"/>
        <v>1</v>
      </c>
      <c r="O2522" s="62">
        <f t="shared" si="5044"/>
        <v>1</v>
      </c>
      <c r="P2522" s="62" t="str">
        <f t="shared" si="5044"/>
        <v/>
      </c>
      <c r="Q2522" s="62" t="str">
        <f t="shared" si="5044"/>
        <v/>
      </c>
      <c r="R2522" s="62">
        <f t="shared" si="7"/>
        <v>0</v>
      </c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</row>
    <row r="2523" hidden="1">
      <c r="A2523" s="60">
        <f>IFERROR(__xludf.DUMMYFUNCTION("""COMPUTED_VALUE"""),17633.0)</f>
        <v>17633</v>
      </c>
      <c r="B2523" s="60" t="str">
        <f>IFERROR(__xludf.DUMMYFUNCTION("""COMPUTED_VALUE"""),"Josephs, Joshua")</f>
        <v>Josephs, Joshua</v>
      </c>
      <c r="C2523" s="60" t="str">
        <f>IFERROR(__xludf.DUMMYFUNCTION("""COMPUTED_VALUE"""),"DE")</f>
        <v>DE</v>
      </c>
      <c r="D2523" s="60" t="str">
        <f>IFERROR(__xludf.DUMMYFUNCTION("""COMPUTED_VALUE"""),"WAS")</f>
        <v>WAS</v>
      </c>
      <c r="E2523" s="62" t="str">
        <f t="shared" si="4"/>
        <v>Joshua Josephs</v>
      </c>
      <c r="F2523" s="62">
        <f t="shared" ref="F2523:G2523" si="5045">IF(isblank(F$1),,IF(isblank($A2523),,IFERROR(vlookup($A2523,indirect("'TVC-"&amp;text(month(F$1),"00")&amp;"'!$A:$D"),4,false),1)))</f>
        <v>1</v>
      </c>
      <c r="G2523" s="62">
        <f t="shared" si="5045"/>
        <v>1</v>
      </c>
      <c r="H2523" s="62">
        <f t="shared" ref="H2523:Q2523" si="5046">IF(isblank(H$1),,IFERROR(vlookup($A2523,indirect("'TVC-"&amp;text(month(H$1),"00")&amp;"'!$A:$D"),4,false),1))</f>
        <v>1</v>
      </c>
      <c r="I2523" s="62">
        <f t="shared" si="5046"/>
        <v>1</v>
      </c>
      <c r="J2523" s="62">
        <f t="shared" si="5046"/>
        <v>1</v>
      </c>
      <c r="K2523" s="62">
        <f t="shared" si="5046"/>
        <v>1</v>
      </c>
      <c r="L2523" s="62">
        <f t="shared" si="5046"/>
        <v>1</v>
      </c>
      <c r="M2523" s="62">
        <f t="shared" si="5046"/>
        <v>1</v>
      </c>
      <c r="N2523" s="62">
        <f t="shared" si="5046"/>
        <v>1</v>
      </c>
      <c r="O2523" s="62">
        <f t="shared" si="5046"/>
        <v>1</v>
      </c>
      <c r="P2523" s="62" t="str">
        <f t="shared" si="5046"/>
        <v/>
      </c>
      <c r="Q2523" s="62" t="str">
        <f t="shared" si="5046"/>
        <v/>
      </c>
      <c r="R2523" s="62">
        <f t="shared" si="7"/>
        <v>0</v>
      </c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</row>
    <row r="2524" hidden="1">
      <c r="A2524" s="60">
        <f>IFERROR(__xludf.DUMMYFUNCTION("""COMPUTED_VALUE"""),17634.0)</f>
        <v>17634</v>
      </c>
      <c r="B2524" s="60" t="str">
        <f>IFERROR(__xludf.DUMMYFUNCTION("""COMPUTED_VALUE"""),"Jefferson, Justin")</f>
        <v>Jefferson, Justin</v>
      </c>
      <c r="C2524" s="60" t="str">
        <f>IFERROR(__xludf.DUMMYFUNCTION("""COMPUTED_VALUE"""),"LB")</f>
        <v>LB</v>
      </c>
      <c r="D2524" s="60" t="str">
        <f>IFERROR(__xludf.DUMMYFUNCTION("""COMPUTED_VALUE"""),"CLE")</f>
        <v>CLE</v>
      </c>
      <c r="E2524" s="62" t="str">
        <f t="shared" si="4"/>
        <v>Justin Jefferson</v>
      </c>
      <c r="F2524" s="62">
        <f t="shared" ref="F2524:G2524" si="5047">IF(isblank(F$1),,IF(isblank($A2524),,IFERROR(vlookup($A2524,indirect("'TVC-"&amp;text(month(F$1),"00")&amp;"'!$A:$D"),4,false),1)))</f>
        <v>1</v>
      </c>
      <c r="G2524" s="62">
        <f t="shared" si="5047"/>
        <v>1</v>
      </c>
      <c r="H2524" s="62">
        <f t="shared" ref="H2524:Q2524" si="5048">IF(isblank(H$1),,IFERROR(vlookup($A2524,indirect("'TVC-"&amp;text(month(H$1),"00")&amp;"'!$A:$D"),4,false),1))</f>
        <v>1</v>
      </c>
      <c r="I2524" s="62">
        <f t="shared" si="5048"/>
        <v>1</v>
      </c>
      <c r="J2524" s="62">
        <f t="shared" si="5048"/>
        <v>1</v>
      </c>
      <c r="K2524" s="62">
        <f t="shared" si="5048"/>
        <v>1</v>
      </c>
      <c r="L2524" s="62">
        <f t="shared" si="5048"/>
        <v>1</v>
      </c>
      <c r="M2524" s="62">
        <f t="shared" si="5048"/>
        <v>1</v>
      </c>
      <c r="N2524" s="62">
        <f t="shared" si="5048"/>
        <v>1</v>
      </c>
      <c r="O2524" s="62">
        <f t="shared" si="5048"/>
        <v>1</v>
      </c>
      <c r="P2524" s="62" t="str">
        <f t="shared" si="5048"/>
        <v/>
      </c>
      <c r="Q2524" s="62" t="str">
        <f t="shared" si="5048"/>
        <v/>
      </c>
      <c r="R2524" s="62">
        <f t="shared" si="7"/>
        <v>0</v>
      </c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</row>
    <row r="2525" hidden="1">
      <c r="A2525" s="60">
        <f>IFERROR(__xludf.DUMMYFUNCTION("""COMPUTED_VALUE"""),17635.0)</f>
        <v>17635</v>
      </c>
      <c r="B2525" s="60" t="str">
        <f>IFERROR(__xludf.DUMMYFUNCTION("""COMPUTED_VALUE"""),"Johnson, Dalton")</f>
        <v>Johnson, Dalton</v>
      </c>
      <c r="C2525" s="60" t="str">
        <f>IFERROR(__xludf.DUMMYFUNCTION("""COMPUTED_VALUE"""),"S")</f>
        <v>S</v>
      </c>
      <c r="D2525" s="60" t="str">
        <f>IFERROR(__xludf.DUMMYFUNCTION("""COMPUTED_VALUE"""),"LVR")</f>
        <v>LVR</v>
      </c>
      <c r="E2525" s="62" t="str">
        <f t="shared" si="4"/>
        <v>Dalton Johnson</v>
      </c>
      <c r="F2525" s="62">
        <f t="shared" ref="F2525:G2525" si="5049">IF(isblank(F$1),,IF(isblank($A2525),,IFERROR(vlookup($A2525,indirect("'TVC-"&amp;text(month(F$1),"00")&amp;"'!$A:$D"),4,false),1)))</f>
        <v>1</v>
      </c>
      <c r="G2525" s="62">
        <f t="shared" si="5049"/>
        <v>1</v>
      </c>
      <c r="H2525" s="62">
        <f t="shared" ref="H2525:Q2525" si="5050">IF(isblank(H$1),,IFERROR(vlookup($A2525,indirect("'TVC-"&amp;text(month(H$1),"00")&amp;"'!$A:$D"),4,false),1))</f>
        <v>1</v>
      </c>
      <c r="I2525" s="62">
        <f t="shared" si="5050"/>
        <v>1</v>
      </c>
      <c r="J2525" s="62">
        <f t="shared" si="5050"/>
        <v>1</v>
      </c>
      <c r="K2525" s="62">
        <f t="shared" si="5050"/>
        <v>1</v>
      </c>
      <c r="L2525" s="62">
        <f t="shared" si="5050"/>
        <v>1</v>
      </c>
      <c r="M2525" s="62">
        <f t="shared" si="5050"/>
        <v>1</v>
      </c>
      <c r="N2525" s="62">
        <f t="shared" si="5050"/>
        <v>1</v>
      </c>
      <c r="O2525" s="62">
        <f t="shared" si="5050"/>
        <v>1</v>
      </c>
      <c r="P2525" s="62" t="str">
        <f t="shared" si="5050"/>
        <v/>
      </c>
      <c r="Q2525" s="62" t="str">
        <f t="shared" si="5050"/>
        <v/>
      </c>
      <c r="R2525" s="62">
        <f t="shared" si="7"/>
        <v>0</v>
      </c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</row>
    <row r="2526" hidden="1">
      <c r="A2526" s="60">
        <f>IFERROR(__xludf.DUMMYFUNCTION("""COMPUTED_VALUE"""),17636.0)</f>
        <v>17636</v>
      </c>
      <c r="B2526" s="60" t="str">
        <f>IFERROR(__xludf.DUMMYFUNCTION("""COMPUTED_VALUE"""),"Dugger, Jaden")</f>
        <v>Dugger, Jaden</v>
      </c>
      <c r="C2526" s="60" t="str">
        <f>IFERROR(__xludf.DUMMYFUNCTION("""COMPUTED_VALUE"""),"LB")</f>
        <v>LB</v>
      </c>
      <c r="D2526" s="60" t="str">
        <f>IFERROR(__xludf.DUMMYFUNCTION("""COMPUTED_VALUE"""),"SFO")</f>
        <v>SFO</v>
      </c>
      <c r="E2526" s="62" t="str">
        <f t="shared" si="4"/>
        <v>Jaden Dugger</v>
      </c>
      <c r="F2526" s="62">
        <f t="shared" ref="F2526:G2526" si="5051">IF(isblank(F$1),,IF(isblank($A2526),,IFERROR(vlookup($A2526,indirect("'TVC-"&amp;text(month(F$1),"00")&amp;"'!$A:$D"),4,false),1)))</f>
        <v>1</v>
      </c>
      <c r="G2526" s="62">
        <f t="shared" si="5051"/>
        <v>1</v>
      </c>
      <c r="H2526" s="62">
        <f t="shared" ref="H2526:Q2526" si="5052">IF(isblank(H$1),,IFERROR(vlookup($A2526,indirect("'TVC-"&amp;text(month(H$1),"00")&amp;"'!$A:$D"),4,false),1))</f>
        <v>1</v>
      </c>
      <c r="I2526" s="62">
        <f t="shared" si="5052"/>
        <v>1</v>
      </c>
      <c r="J2526" s="62">
        <f t="shared" si="5052"/>
        <v>1</v>
      </c>
      <c r="K2526" s="62">
        <f t="shared" si="5052"/>
        <v>1</v>
      </c>
      <c r="L2526" s="62">
        <f t="shared" si="5052"/>
        <v>1</v>
      </c>
      <c r="M2526" s="62">
        <f t="shared" si="5052"/>
        <v>1</v>
      </c>
      <c r="N2526" s="62">
        <f t="shared" si="5052"/>
        <v>1</v>
      </c>
      <c r="O2526" s="62">
        <f t="shared" si="5052"/>
        <v>1</v>
      </c>
      <c r="P2526" s="62" t="str">
        <f t="shared" si="5052"/>
        <v/>
      </c>
      <c r="Q2526" s="62" t="str">
        <f t="shared" si="5052"/>
        <v/>
      </c>
      <c r="R2526" s="62">
        <f t="shared" si="7"/>
        <v>0</v>
      </c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</row>
    <row r="2527" hidden="1">
      <c r="A2527" s="60">
        <f>IFERROR(__xludf.DUMMYFUNCTION("""COMPUTED_VALUE"""),17637.0)</f>
        <v>17637</v>
      </c>
      <c r="B2527" s="60" t="str">
        <f>IFERROR(__xludf.DUMMYFUNCTION("""COMPUTED_VALUE"""),"Capehart, DeMonte")</f>
        <v>Capehart, DeMonte</v>
      </c>
      <c r="C2527" s="60" t="str">
        <f>IFERROR(__xludf.DUMMYFUNCTION("""COMPUTED_VALUE"""),"DT")</f>
        <v>DT</v>
      </c>
      <c r="D2527" s="60" t="str">
        <f>IFERROR(__xludf.DUMMYFUNCTION("""COMPUTED_VALUE"""),"TBB")</f>
        <v>TBB</v>
      </c>
      <c r="E2527" s="62" t="str">
        <f t="shared" si="4"/>
        <v>DeMonte Capehart</v>
      </c>
      <c r="F2527" s="62">
        <f t="shared" ref="F2527:G2527" si="5053">IF(isblank(F$1),,IF(isblank($A2527),,IFERROR(vlookup($A2527,indirect("'TVC-"&amp;text(month(F$1),"00")&amp;"'!$A:$D"),4,false),1)))</f>
        <v>1</v>
      </c>
      <c r="G2527" s="62">
        <f t="shared" si="5053"/>
        <v>1</v>
      </c>
      <c r="H2527" s="62">
        <f t="shared" ref="H2527:Q2527" si="5054">IF(isblank(H$1),,IFERROR(vlookup($A2527,indirect("'TVC-"&amp;text(month(H$1),"00")&amp;"'!$A:$D"),4,false),1))</f>
        <v>1</v>
      </c>
      <c r="I2527" s="62">
        <f t="shared" si="5054"/>
        <v>1</v>
      </c>
      <c r="J2527" s="62">
        <f t="shared" si="5054"/>
        <v>1</v>
      </c>
      <c r="K2527" s="62">
        <f t="shared" si="5054"/>
        <v>1</v>
      </c>
      <c r="L2527" s="62">
        <f t="shared" si="5054"/>
        <v>1</v>
      </c>
      <c r="M2527" s="62">
        <f t="shared" si="5054"/>
        <v>1</v>
      </c>
      <c r="N2527" s="62">
        <f t="shared" si="5054"/>
        <v>1</v>
      </c>
      <c r="O2527" s="62">
        <f t="shared" si="5054"/>
        <v>1</v>
      </c>
      <c r="P2527" s="62" t="str">
        <f t="shared" si="5054"/>
        <v/>
      </c>
      <c r="Q2527" s="62" t="str">
        <f t="shared" si="5054"/>
        <v/>
      </c>
      <c r="R2527" s="62">
        <f t="shared" si="7"/>
        <v>0</v>
      </c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</row>
    <row r="2528" hidden="1">
      <c r="A2528" s="60">
        <f>IFERROR(__xludf.DUMMYFUNCTION("""COMPUTED_VALUE"""),17638.0)</f>
        <v>17638</v>
      </c>
      <c r="B2528" s="60" t="str">
        <f>IFERROR(__xludf.DUMMYFUNCTION("""COMPUTED_VALUE"""),"Gumbs, George")</f>
        <v>Gumbs, George</v>
      </c>
      <c r="C2528" s="60" t="str">
        <f>IFERROR(__xludf.DUMMYFUNCTION("""COMPUTED_VALUE"""),"DE")</f>
        <v>DE</v>
      </c>
      <c r="D2528" s="60" t="str">
        <f>IFERROR(__xludf.DUMMYFUNCTION("""COMPUTED_VALUE"""),"IND")</f>
        <v>IND</v>
      </c>
      <c r="E2528" s="62" t="str">
        <f t="shared" si="4"/>
        <v>George Gumbs</v>
      </c>
      <c r="F2528" s="62">
        <f t="shared" ref="F2528:G2528" si="5055">IF(isblank(F$1),,IF(isblank($A2528),,IFERROR(vlookup($A2528,indirect("'TVC-"&amp;text(month(F$1),"00")&amp;"'!$A:$D"),4,false),1)))</f>
        <v>1</v>
      </c>
      <c r="G2528" s="62">
        <f t="shared" si="5055"/>
        <v>1</v>
      </c>
      <c r="H2528" s="62">
        <f t="shared" ref="H2528:Q2528" si="5056">IF(isblank(H$1),,IFERROR(vlookup($A2528,indirect("'TVC-"&amp;text(month(H$1),"00")&amp;"'!$A:$D"),4,false),1))</f>
        <v>1</v>
      </c>
      <c r="I2528" s="62">
        <f t="shared" si="5056"/>
        <v>1</v>
      </c>
      <c r="J2528" s="62">
        <f t="shared" si="5056"/>
        <v>1</v>
      </c>
      <c r="K2528" s="62">
        <f t="shared" si="5056"/>
        <v>1</v>
      </c>
      <c r="L2528" s="62">
        <f t="shared" si="5056"/>
        <v>1</v>
      </c>
      <c r="M2528" s="62">
        <f t="shared" si="5056"/>
        <v>1</v>
      </c>
      <c r="N2528" s="62">
        <f t="shared" si="5056"/>
        <v>1</v>
      </c>
      <c r="O2528" s="62">
        <f t="shared" si="5056"/>
        <v>1</v>
      </c>
      <c r="P2528" s="62" t="str">
        <f t="shared" si="5056"/>
        <v/>
      </c>
      <c r="Q2528" s="62" t="str">
        <f t="shared" si="5056"/>
        <v/>
      </c>
      <c r="R2528" s="62">
        <f t="shared" si="7"/>
        <v>0</v>
      </c>
      <c r="S2528" s="62"/>
      <c r="T2528" s="62"/>
      <c r="U2528" s="62"/>
      <c r="V2528" s="62"/>
      <c r="W2528" s="62"/>
      <c r="X2528" s="62"/>
      <c r="Y2528" s="62"/>
      <c r="Z2528" s="62"/>
      <c r="AA2528" s="62"/>
      <c r="AB2528" s="62"/>
      <c r="AC2528" s="62"/>
    </row>
    <row r="2529" hidden="1">
      <c r="A2529" s="60">
        <f>IFERROR(__xludf.DUMMYFUNCTION("""COMPUTED_VALUE"""),17639.0)</f>
        <v>17639</v>
      </c>
      <c r="B2529" s="60" t="str">
        <f>IFERROR(__xludf.DUMMYFUNCTION("""COMPUTED_VALUE"""),"Abney, Keith")</f>
        <v>Abney, Keith</v>
      </c>
      <c r="C2529" s="60" t="str">
        <f>IFERROR(__xludf.DUMMYFUNCTION("""COMPUTED_VALUE"""),"CB")</f>
        <v>CB</v>
      </c>
      <c r="D2529" s="60" t="str">
        <f>IFERROR(__xludf.DUMMYFUNCTION("""COMPUTED_VALUE"""),"DET")</f>
        <v>DET</v>
      </c>
      <c r="E2529" s="62" t="str">
        <f t="shared" si="4"/>
        <v>Keith Abney</v>
      </c>
      <c r="F2529" s="62">
        <f t="shared" ref="F2529:G2529" si="5057">IF(isblank(F$1),,IF(isblank($A2529),,IFERROR(vlookup($A2529,indirect("'TVC-"&amp;text(month(F$1),"00")&amp;"'!$A:$D"),4,false),1)))</f>
        <v>1</v>
      </c>
      <c r="G2529" s="62">
        <f t="shared" si="5057"/>
        <v>1</v>
      </c>
      <c r="H2529" s="62">
        <f t="shared" ref="H2529:Q2529" si="5058">IF(isblank(H$1),,IFERROR(vlookup($A2529,indirect("'TVC-"&amp;text(month(H$1),"00")&amp;"'!$A:$D"),4,false),1))</f>
        <v>1</v>
      </c>
      <c r="I2529" s="62">
        <f t="shared" si="5058"/>
        <v>1</v>
      </c>
      <c r="J2529" s="62">
        <f t="shared" si="5058"/>
        <v>1</v>
      </c>
      <c r="K2529" s="62">
        <f t="shared" si="5058"/>
        <v>1</v>
      </c>
      <c r="L2529" s="62">
        <f t="shared" si="5058"/>
        <v>1</v>
      </c>
      <c r="M2529" s="62">
        <f t="shared" si="5058"/>
        <v>1</v>
      </c>
      <c r="N2529" s="62">
        <f t="shared" si="5058"/>
        <v>1</v>
      </c>
      <c r="O2529" s="62">
        <f t="shared" si="5058"/>
        <v>1</v>
      </c>
      <c r="P2529" s="62" t="str">
        <f t="shared" si="5058"/>
        <v/>
      </c>
      <c r="Q2529" s="62" t="str">
        <f t="shared" si="5058"/>
        <v/>
      </c>
      <c r="R2529" s="62">
        <f t="shared" si="7"/>
        <v>0</v>
      </c>
      <c r="S2529" s="62"/>
      <c r="T2529" s="62"/>
      <c r="U2529" s="62"/>
      <c r="V2529" s="62"/>
      <c r="W2529" s="62"/>
      <c r="X2529" s="62"/>
      <c r="Y2529" s="62"/>
      <c r="Z2529" s="62"/>
      <c r="AA2529" s="62"/>
      <c r="AB2529" s="62"/>
      <c r="AC2529" s="62"/>
    </row>
    <row r="2530" hidden="1">
      <c r="A2530" s="60">
        <f>IFERROR(__xludf.DUMMYFUNCTION("""COMPUTED_VALUE"""),17640.0)</f>
        <v>17640</v>
      </c>
      <c r="B2530" s="60" t="str">
        <f>IFERROR(__xludf.DUMMYFUNCTION("""COMPUTED_VALUE"""),"Taaffe, Michael")</f>
        <v>Taaffe, Michael</v>
      </c>
      <c r="C2530" s="60" t="str">
        <f>IFERROR(__xludf.DUMMYFUNCTION("""COMPUTED_VALUE"""),"S")</f>
        <v>S</v>
      </c>
      <c r="D2530" s="60" t="str">
        <f>IFERROR(__xludf.DUMMYFUNCTION("""COMPUTED_VALUE"""),"MIA")</f>
        <v>MIA</v>
      </c>
      <c r="E2530" s="62" t="str">
        <f t="shared" si="4"/>
        <v>Michael Taaffe</v>
      </c>
      <c r="F2530" s="62">
        <f t="shared" ref="F2530:G2530" si="5059">IF(isblank(F$1),,IF(isblank($A2530),,IFERROR(vlookup($A2530,indirect("'TVC-"&amp;text(month(F$1),"00")&amp;"'!$A:$D"),4,false),1)))</f>
        <v>1</v>
      </c>
      <c r="G2530" s="62">
        <f t="shared" si="5059"/>
        <v>1</v>
      </c>
      <c r="H2530" s="62">
        <f t="shared" ref="H2530:Q2530" si="5060">IF(isblank(H$1),,IFERROR(vlookup($A2530,indirect("'TVC-"&amp;text(month(H$1),"00")&amp;"'!$A:$D"),4,false),1))</f>
        <v>1</v>
      </c>
      <c r="I2530" s="62">
        <f t="shared" si="5060"/>
        <v>1</v>
      </c>
      <c r="J2530" s="62">
        <f t="shared" si="5060"/>
        <v>1</v>
      </c>
      <c r="K2530" s="62">
        <f t="shared" si="5060"/>
        <v>1</v>
      </c>
      <c r="L2530" s="62">
        <f t="shared" si="5060"/>
        <v>1</v>
      </c>
      <c r="M2530" s="62">
        <f t="shared" si="5060"/>
        <v>1</v>
      </c>
      <c r="N2530" s="62">
        <f t="shared" si="5060"/>
        <v>1</v>
      </c>
      <c r="O2530" s="62">
        <f t="shared" si="5060"/>
        <v>1</v>
      </c>
      <c r="P2530" s="62" t="str">
        <f t="shared" si="5060"/>
        <v/>
      </c>
      <c r="Q2530" s="62" t="str">
        <f t="shared" si="5060"/>
        <v/>
      </c>
      <c r="R2530" s="62">
        <f t="shared" si="7"/>
        <v>0</v>
      </c>
      <c r="S2530" s="62"/>
      <c r="T2530" s="62"/>
      <c r="U2530" s="62"/>
      <c r="V2530" s="62"/>
      <c r="W2530" s="62"/>
      <c r="X2530" s="62"/>
      <c r="Y2530" s="62"/>
      <c r="Z2530" s="62"/>
      <c r="AA2530" s="62"/>
      <c r="AB2530" s="62"/>
      <c r="AC2530" s="62"/>
    </row>
    <row r="2531" hidden="1">
      <c r="A2531" s="60">
        <f>IFERROR(__xludf.DUMMYFUNCTION("""COMPUTED_VALUE"""),17641.0)</f>
        <v>17641</v>
      </c>
      <c r="B2531" s="60" t="str">
        <f>IFERROR(__xludf.DUMMYFUNCTION("""COMPUTED_VALUE"""),"Bredeson, Max")</f>
        <v>Bredeson, Max</v>
      </c>
      <c r="C2531" s="60" t="str">
        <f>IFERROR(__xludf.DUMMYFUNCTION("""COMPUTED_VALUE"""),"TE")</f>
        <v>TE</v>
      </c>
      <c r="D2531" s="60" t="str">
        <f>IFERROR(__xludf.DUMMYFUNCTION("""COMPUTED_VALUE"""),"MIN")</f>
        <v>MIN</v>
      </c>
      <c r="E2531" s="62" t="str">
        <f t="shared" si="4"/>
        <v>Max Bredeson</v>
      </c>
      <c r="F2531" s="62">
        <f t="shared" ref="F2531:G2531" si="5061">IF(isblank(F$1),,IF(isblank($A2531),,IFERROR(vlookup($A2531,indirect("'TVC-"&amp;text(month(F$1),"00")&amp;"'!$A:$D"),4,false),1)))</f>
        <v>1</v>
      </c>
      <c r="G2531" s="62">
        <f t="shared" si="5061"/>
        <v>1</v>
      </c>
      <c r="H2531" s="62">
        <f t="shared" ref="H2531:Q2531" si="5062">IF(isblank(H$1),,IFERROR(vlookup($A2531,indirect("'TVC-"&amp;text(month(H$1),"00")&amp;"'!$A:$D"),4,false),1))</f>
        <v>1</v>
      </c>
      <c r="I2531" s="62">
        <f t="shared" si="5062"/>
        <v>1</v>
      </c>
      <c r="J2531" s="62">
        <f t="shared" si="5062"/>
        <v>1</v>
      </c>
      <c r="K2531" s="62">
        <f t="shared" si="5062"/>
        <v>1</v>
      </c>
      <c r="L2531" s="62">
        <f t="shared" si="5062"/>
        <v>1</v>
      </c>
      <c r="M2531" s="62">
        <f t="shared" si="5062"/>
        <v>1</v>
      </c>
      <c r="N2531" s="62">
        <f t="shared" si="5062"/>
        <v>1</v>
      </c>
      <c r="O2531" s="62">
        <f t="shared" si="5062"/>
        <v>1</v>
      </c>
      <c r="P2531" s="62" t="str">
        <f t="shared" si="5062"/>
        <v/>
      </c>
      <c r="Q2531" s="62" t="str">
        <f t="shared" si="5062"/>
        <v/>
      </c>
      <c r="R2531" s="62">
        <f t="shared" si="7"/>
        <v>0</v>
      </c>
      <c r="S2531" s="62"/>
      <c r="T2531" s="62"/>
      <c r="U2531" s="62"/>
      <c r="V2531" s="62"/>
      <c r="W2531" s="62"/>
      <c r="X2531" s="62"/>
      <c r="Y2531" s="62"/>
      <c r="Z2531" s="62"/>
      <c r="AA2531" s="62"/>
      <c r="AB2531" s="62"/>
      <c r="AC2531" s="62"/>
    </row>
    <row r="2532" hidden="1">
      <c r="A2532" s="60">
        <f>IFERROR(__xludf.DUMMYFUNCTION("""COMPUTED_VALUE"""),17642.0)</f>
        <v>17642</v>
      </c>
      <c r="B2532" s="60" t="str">
        <f>IFERROR(__xludf.DUMMYFUNCTION("""COMPUTED_VALUE"""),"Rivers, Chandler")</f>
        <v>Rivers, Chandler</v>
      </c>
      <c r="C2532" s="60" t="str">
        <f>IFERROR(__xludf.DUMMYFUNCTION("""COMPUTED_VALUE"""),"CB")</f>
        <v>CB</v>
      </c>
      <c r="D2532" s="60" t="str">
        <f>IFERROR(__xludf.DUMMYFUNCTION("""COMPUTED_VALUE"""),"BAL")</f>
        <v>BAL</v>
      </c>
      <c r="E2532" s="62" t="str">
        <f t="shared" si="4"/>
        <v>Chandler Rivers</v>
      </c>
      <c r="F2532" s="62">
        <f t="shared" ref="F2532:G2532" si="5063">IF(isblank(F$1),,IF(isblank($A2532),,IFERROR(vlookup($A2532,indirect("'TVC-"&amp;text(month(F$1),"00")&amp;"'!$A:$D"),4,false),1)))</f>
        <v>1</v>
      </c>
      <c r="G2532" s="62">
        <f t="shared" si="5063"/>
        <v>1</v>
      </c>
      <c r="H2532" s="62">
        <f t="shared" ref="H2532:Q2532" si="5064">IF(isblank(H$1),,IFERROR(vlookup($A2532,indirect("'TVC-"&amp;text(month(H$1),"00")&amp;"'!$A:$D"),4,false),1))</f>
        <v>1</v>
      </c>
      <c r="I2532" s="62">
        <f t="shared" si="5064"/>
        <v>1</v>
      </c>
      <c r="J2532" s="62">
        <f t="shared" si="5064"/>
        <v>1</v>
      </c>
      <c r="K2532" s="62">
        <f t="shared" si="5064"/>
        <v>1</v>
      </c>
      <c r="L2532" s="62">
        <f t="shared" si="5064"/>
        <v>1</v>
      </c>
      <c r="M2532" s="62">
        <f t="shared" si="5064"/>
        <v>1</v>
      </c>
      <c r="N2532" s="62">
        <f t="shared" si="5064"/>
        <v>1</v>
      </c>
      <c r="O2532" s="62">
        <f t="shared" si="5064"/>
        <v>1</v>
      </c>
      <c r="P2532" s="62" t="str">
        <f t="shared" si="5064"/>
        <v/>
      </c>
      <c r="Q2532" s="62" t="str">
        <f t="shared" si="5064"/>
        <v/>
      </c>
      <c r="R2532" s="62">
        <f t="shared" si="7"/>
        <v>0</v>
      </c>
      <c r="S2532" s="62"/>
      <c r="T2532" s="62"/>
      <c r="U2532" s="62"/>
      <c r="V2532" s="62"/>
      <c r="W2532" s="62"/>
      <c r="X2532" s="62"/>
      <c r="Y2532" s="62"/>
      <c r="Z2532" s="62"/>
      <c r="AA2532" s="62"/>
      <c r="AB2532" s="62"/>
      <c r="AC2532" s="62"/>
    </row>
    <row r="2533">
      <c r="A2533" s="60">
        <f>IFERROR(__xludf.DUMMYFUNCTION("""COMPUTED_VALUE"""),17643.0)</f>
        <v>17643</v>
      </c>
      <c r="B2533" s="60" t="str">
        <f>IFERROR(__xludf.DUMMYFUNCTION("""COMPUTED_VALUE"""),"Demmings, Charles")</f>
        <v>Demmings, Charles</v>
      </c>
      <c r="C2533" s="60" t="str">
        <f>IFERROR(__xludf.DUMMYFUNCTION("""COMPUTED_VALUE"""),"CB")</f>
        <v>CB</v>
      </c>
      <c r="D2533" s="60" t="str">
        <f>IFERROR(__xludf.DUMMYFUNCTION("""COMPUTED_VALUE"""),"MIN")</f>
        <v>MIN</v>
      </c>
      <c r="E2533" s="62" t="str">
        <f t="shared" si="4"/>
        <v>Charles Demmings</v>
      </c>
      <c r="F2533" s="62">
        <f t="shared" ref="F2533:G2533" si="5065">IF(isblank(F$1),,IF(isblank($A2533),,IFERROR(vlookup($A2533,indirect("'TVC-"&amp;text(month(F$1),"00")&amp;"'!$A:$D"),4,false),1)))</f>
        <v>1</v>
      </c>
      <c r="G2533" s="62">
        <f t="shared" si="5065"/>
        <v>1</v>
      </c>
      <c r="H2533" s="62">
        <f t="shared" ref="H2533:Q2533" si="5066">IF(isblank(H$1),,IFERROR(vlookup($A2533,indirect("'TVC-"&amp;text(month(H$1),"00")&amp;"'!$A:$D"),4,false),1))</f>
        <v>1</v>
      </c>
      <c r="I2533" s="62">
        <f t="shared" si="5066"/>
        <v>1</v>
      </c>
      <c r="J2533" s="62">
        <f t="shared" si="5066"/>
        <v>1</v>
      </c>
      <c r="K2533" s="62">
        <f t="shared" si="5066"/>
        <v>1</v>
      </c>
      <c r="L2533" s="62">
        <f t="shared" si="5066"/>
        <v>1</v>
      </c>
      <c r="M2533" s="62">
        <f t="shared" si="5066"/>
        <v>1</v>
      </c>
      <c r="N2533" s="62">
        <f t="shared" si="5066"/>
        <v>1</v>
      </c>
      <c r="O2533" s="62">
        <f t="shared" si="5066"/>
        <v>1</v>
      </c>
      <c r="P2533" s="62" t="str">
        <f t="shared" si="5066"/>
        <v/>
      </c>
      <c r="Q2533" s="62" t="str">
        <f t="shared" si="5066"/>
        <v/>
      </c>
      <c r="R2533" s="62">
        <f t="shared" si="7"/>
        <v>0</v>
      </c>
      <c r="S2533" s="62"/>
      <c r="T2533" s="62"/>
      <c r="U2533" s="62"/>
      <c r="V2533" s="62"/>
      <c r="W2533" s="62"/>
      <c r="X2533" s="62"/>
      <c r="Y2533" s="62"/>
      <c r="Z2533" s="62"/>
      <c r="AA2533" s="62"/>
      <c r="AB2533" s="62"/>
      <c r="AC2533" s="62"/>
    </row>
    <row r="2534" hidden="1">
      <c r="A2534" s="60">
        <f>IFERROR(__xludf.DUMMYFUNCTION("""COMPUTED_VALUE"""),17644.0)</f>
        <v>17644</v>
      </c>
      <c r="B2534" s="60" t="str">
        <f>IFERROR(__xludf.DUMMYFUNCTION("""COMPUTED_VALUE"""),"Koziol, Tanner")</f>
        <v>Koziol, Tanner</v>
      </c>
      <c r="C2534" s="60" t="str">
        <f>IFERROR(__xludf.DUMMYFUNCTION("""COMPUTED_VALUE"""),"TE")</f>
        <v>TE</v>
      </c>
      <c r="D2534" s="60" t="str">
        <f>IFERROR(__xludf.DUMMYFUNCTION("""COMPUTED_VALUE"""),"JAC")</f>
        <v>JAC</v>
      </c>
      <c r="E2534" s="62" t="str">
        <f t="shared" si="4"/>
        <v>Tanner Koziol</v>
      </c>
      <c r="F2534" s="62">
        <f t="shared" ref="F2534:G2534" si="5067">IF(isblank(F$1),,IF(isblank($A2534),,IFERROR(vlookup($A2534,indirect("'TVC-"&amp;text(month(F$1),"00")&amp;"'!$A:$D"),4,false),1)))</f>
        <v>1</v>
      </c>
      <c r="G2534" s="62">
        <f t="shared" si="5067"/>
        <v>1</v>
      </c>
      <c r="H2534" s="62">
        <f t="shared" ref="H2534:Q2534" si="5068">IF(isblank(H$1),,IFERROR(vlookup($A2534,indirect("'TVC-"&amp;text(month(H$1),"00")&amp;"'!$A:$D"),4,false),1))</f>
        <v>1</v>
      </c>
      <c r="I2534" s="62">
        <f t="shared" si="5068"/>
        <v>1</v>
      </c>
      <c r="J2534" s="62">
        <f t="shared" si="5068"/>
        <v>1</v>
      </c>
      <c r="K2534" s="62">
        <f t="shared" si="5068"/>
        <v>1</v>
      </c>
      <c r="L2534" s="62">
        <f t="shared" si="5068"/>
        <v>1</v>
      </c>
      <c r="M2534" s="62">
        <f t="shared" si="5068"/>
        <v>1</v>
      </c>
      <c r="N2534" s="62">
        <f t="shared" si="5068"/>
        <v>1501</v>
      </c>
      <c r="O2534" s="62">
        <f t="shared" si="5068"/>
        <v>1</v>
      </c>
      <c r="P2534" s="62" t="str">
        <f t="shared" si="5068"/>
        <v/>
      </c>
      <c r="Q2534" s="62" t="str">
        <f t="shared" si="5068"/>
        <v/>
      </c>
      <c r="R2534" s="62">
        <f t="shared" si="7"/>
        <v>-1500</v>
      </c>
      <c r="S2534" s="62"/>
      <c r="T2534" s="62"/>
      <c r="U2534" s="62"/>
      <c r="V2534" s="62"/>
      <c r="W2534" s="62"/>
      <c r="X2534" s="62"/>
      <c r="Y2534" s="62"/>
      <c r="Z2534" s="62"/>
      <c r="AA2534" s="62"/>
      <c r="AB2534" s="62"/>
      <c r="AC2534" s="62"/>
    </row>
    <row r="2535" hidden="1">
      <c r="A2535" s="60">
        <f>IFERROR(__xludf.DUMMYFUNCTION("""COMPUTED_VALUE"""),17645.0)</f>
        <v>17645</v>
      </c>
      <c r="B2535" s="60" t="str">
        <f>IFERROR(__xludf.DUMMYFUNCTION("""COMPUTED_VALUE"""),"Elliott, Keyshaun")</f>
        <v>Elliott, Keyshaun</v>
      </c>
      <c r="C2535" s="60" t="str">
        <f>IFERROR(__xludf.DUMMYFUNCTION("""COMPUTED_VALUE"""),"LB")</f>
        <v>LB</v>
      </c>
      <c r="D2535" s="60" t="str">
        <f>IFERROR(__xludf.DUMMYFUNCTION("""COMPUTED_VALUE"""),"CHI")</f>
        <v>CHI</v>
      </c>
      <c r="E2535" s="62" t="str">
        <f t="shared" si="4"/>
        <v>Keyshaun Elliott</v>
      </c>
      <c r="F2535" s="62">
        <f t="shared" ref="F2535:G2535" si="5069">IF(isblank(F$1),,IF(isblank($A2535),,IFERROR(vlookup($A2535,indirect("'TVC-"&amp;text(month(F$1),"00")&amp;"'!$A:$D"),4,false),1)))</f>
        <v>1</v>
      </c>
      <c r="G2535" s="62">
        <f t="shared" si="5069"/>
        <v>1</v>
      </c>
      <c r="H2535" s="62">
        <f t="shared" ref="H2535:Q2535" si="5070">IF(isblank(H$1),,IFERROR(vlookup($A2535,indirect("'TVC-"&amp;text(month(H$1),"00")&amp;"'!$A:$D"),4,false),1))</f>
        <v>1</v>
      </c>
      <c r="I2535" s="62">
        <f t="shared" si="5070"/>
        <v>1</v>
      </c>
      <c r="J2535" s="62">
        <f t="shared" si="5070"/>
        <v>1</v>
      </c>
      <c r="K2535" s="62">
        <f t="shared" si="5070"/>
        <v>1</v>
      </c>
      <c r="L2535" s="62">
        <f t="shared" si="5070"/>
        <v>1</v>
      </c>
      <c r="M2535" s="62">
        <f t="shared" si="5070"/>
        <v>1</v>
      </c>
      <c r="N2535" s="62">
        <f t="shared" si="5070"/>
        <v>1</v>
      </c>
      <c r="O2535" s="62">
        <f t="shared" si="5070"/>
        <v>1</v>
      </c>
      <c r="P2535" s="62" t="str">
        <f t="shared" si="5070"/>
        <v/>
      </c>
      <c r="Q2535" s="62" t="str">
        <f t="shared" si="5070"/>
        <v/>
      </c>
      <c r="R2535" s="62">
        <f t="shared" si="7"/>
        <v>0</v>
      </c>
      <c r="S2535" s="62"/>
      <c r="T2535" s="62"/>
      <c r="U2535" s="62"/>
      <c r="V2535" s="62"/>
      <c r="W2535" s="62"/>
      <c r="X2535" s="62"/>
      <c r="Y2535" s="62"/>
      <c r="Z2535" s="62"/>
      <c r="AA2535" s="62"/>
      <c r="AB2535" s="62"/>
      <c r="AC2535" s="62"/>
    </row>
    <row r="2536" hidden="1">
      <c r="A2536" s="60">
        <f>IFERROR(__xludf.DUMMYFUNCTION("""COMPUTED_VALUE"""),17646.0)</f>
        <v>17646</v>
      </c>
      <c r="B2536" s="60" t="str">
        <f>IFERROR(__xludf.DUMMYFUNCTION("""COMPUTED_VALUE"""),"Kilgore, Jalon")</f>
        <v>Kilgore, Jalon</v>
      </c>
      <c r="C2536" s="60" t="str">
        <f>IFERROR(__xludf.DUMMYFUNCTION("""COMPUTED_VALUE"""),"S")</f>
        <v>S</v>
      </c>
      <c r="D2536" s="60" t="str">
        <f>IFERROR(__xludf.DUMMYFUNCTION("""COMPUTED_VALUE"""),"BUF")</f>
        <v>BUF</v>
      </c>
      <c r="E2536" s="62" t="str">
        <f t="shared" si="4"/>
        <v>Jalon Kilgore</v>
      </c>
      <c r="F2536" s="62">
        <f t="shared" ref="F2536:G2536" si="5071">IF(isblank(F$1),,IF(isblank($A2536),,IFERROR(vlookup($A2536,indirect("'TVC-"&amp;text(month(F$1),"00")&amp;"'!$A:$D"),4,false),1)))</f>
        <v>1</v>
      </c>
      <c r="G2536" s="62">
        <f t="shared" si="5071"/>
        <v>1</v>
      </c>
      <c r="H2536" s="62">
        <f t="shared" ref="H2536:Q2536" si="5072">IF(isblank(H$1),,IFERROR(vlookup($A2536,indirect("'TVC-"&amp;text(month(H$1),"00")&amp;"'!$A:$D"),4,false),1))</f>
        <v>1</v>
      </c>
      <c r="I2536" s="62">
        <f t="shared" si="5072"/>
        <v>1</v>
      </c>
      <c r="J2536" s="62">
        <f t="shared" si="5072"/>
        <v>1</v>
      </c>
      <c r="K2536" s="62">
        <f t="shared" si="5072"/>
        <v>1</v>
      </c>
      <c r="L2536" s="62">
        <f t="shared" si="5072"/>
        <v>1</v>
      </c>
      <c r="M2536" s="62">
        <f t="shared" si="5072"/>
        <v>1</v>
      </c>
      <c r="N2536" s="62">
        <f t="shared" si="5072"/>
        <v>1</v>
      </c>
      <c r="O2536" s="62">
        <f t="shared" si="5072"/>
        <v>1</v>
      </c>
      <c r="P2536" s="62" t="str">
        <f t="shared" si="5072"/>
        <v/>
      </c>
      <c r="Q2536" s="62" t="str">
        <f t="shared" si="5072"/>
        <v/>
      </c>
      <c r="R2536" s="62">
        <f t="shared" si="7"/>
        <v>0</v>
      </c>
      <c r="S2536" s="62"/>
      <c r="T2536" s="62"/>
      <c r="U2536" s="62"/>
      <c r="V2536" s="62"/>
      <c r="W2536" s="62"/>
      <c r="X2536" s="62"/>
      <c r="Y2536" s="62"/>
      <c r="Z2536" s="62"/>
      <c r="AA2536" s="62"/>
      <c r="AB2536" s="62"/>
      <c r="AC2536" s="62"/>
    </row>
    <row r="2537" hidden="1">
      <c r="A2537" s="60">
        <f>IFERROR(__xludf.DUMMYFUNCTION("""COMPUTED_VALUE"""),17647.0)</f>
        <v>17647</v>
      </c>
      <c r="B2537" s="60" t="str">
        <f>IFERROR(__xludf.DUMMYFUNCTION("""COMPUTED_VALUE"""),"Law, Kendrick")</f>
        <v>Law, Kendrick</v>
      </c>
      <c r="C2537" s="60" t="str">
        <f>IFERROR(__xludf.DUMMYFUNCTION("""COMPUTED_VALUE"""),"WR")</f>
        <v>WR</v>
      </c>
      <c r="D2537" s="60" t="str">
        <f>IFERROR(__xludf.DUMMYFUNCTION("""COMPUTED_VALUE"""),"DET")</f>
        <v>DET</v>
      </c>
      <c r="E2537" s="62" t="str">
        <f t="shared" si="4"/>
        <v>Kendrick Law</v>
      </c>
      <c r="F2537" s="62">
        <f t="shared" ref="F2537:G2537" si="5073">IF(isblank(F$1),,IF(isblank($A2537),,IFERROR(vlookup($A2537,indirect("'TVC-"&amp;text(month(F$1),"00")&amp;"'!$A:$D"),4,false),1)))</f>
        <v>1</v>
      </c>
      <c r="G2537" s="62">
        <f t="shared" si="5073"/>
        <v>1</v>
      </c>
      <c r="H2537" s="62">
        <f t="shared" ref="H2537:Q2537" si="5074">IF(isblank(H$1),,IFERROR(vlookup($A2537,indirect("'TVC-"&amp;text(month(H$1),"00")&amp;"'!$A:$D"),4,false),1))</f>
        <v>1</v>
      </c>
      <c r="I2537" s="62">
        <f t="shared" si="5074"/>
        <v>1</v>
      </c>
      <c r="J2537" s="62">
        <f t="shared" si="5074"/>
        <v>1</v>
      </c>
      <c r="K2537" s="62">
        <f t="shared" si="5074"/>
        <v>1</v>
      </c>
      <c r="L2537" s="62">
        <f t="shared" si="5074"/>
        <v>1</v>
      </c>
      <c r="M2537" s="62">
        <f t="shared" si="5074"/>
        <v>1</v>
      </c>
      <c r="N2537" s="62">
        <f t="shared" si="5074"/>
        <v>1</v>
      </c>
      <c r="O2537" s="62">
        <f t="shared" si="5074"/>
        <v>1</v>
      </c>
      <c r="P2537" s="62" t="str">
        <f t="shared" si="5074"/>
        <v/>
      </c>
      <c r="Q2537" s="62" t="str">
        <f t="shared" si="5074"/>
        <v/>
      </c>
      <c r="R2537" s="62">
        <f t="shared" si="7"/>
        <v>0</v>
      </c>
      <c r="S2537" s="62"/>
      <c r="T2537" s="62"/>
      <c r="U2537" s="62"/>
      <c r="V2537" s="62"/>
      <c r="W2537" s="62"/>
      <c r="X2537" s="62"/>
      <c r="Y2537" s="62"/>
      <c r="Z2537" s="62"/>
      <c r="AA2537" s="62"/>
      <c r="AB2537" s="62"/>
      <c r="AC2537" s="62"/>
    </row>
    <row r="2538" hidden="1">
      <c r="A2538" s="60">
        <f>IFERROR(__xludf.DUMMYFUNCTION("""COMPUTED_VALUE"""),17648.0)</f>
        <v>17648</v>
      </c>
      <c r="B2538" s="60" t="str">
        <f>IFERROR(__xludf.DUMMYFUNCTION("""COMPUTED_VALUE"""),"Nowakowski, Riley")</f>
        <v>Nowakowski, Riley</v>
      </c>
      <c r="C2538" s="60" t="str">
        <f>IFERROR(__xludf.DUMMYFUNCTION("""COMPUTED_VALUE"""),"TE")</f>
        <v>TE</v>
      </c>
      <c r="D2538" s="60" t="str">
        <f>IFERROR(__xludf.DUMMYFUNCTION("""COMPUTED_VALUE"""),"PIT")</f>
        <v>PIT</v>
      </c>
      <c r="E2538" s="62" t="str">
        <f t="shared" si="4"/>
        <v>Riley Nowakowski</v>
      </c>
      <c r="F2538" s="62">
        <f t="shared" ref="F2538:G2538" si="5075">IF(isblank(F$1),,IF(isblank($A2538),,IFERROR(vlookup($A2538,indirect("'TVC-"&amp;text(month(F$1),"00")&amp;"'!$A:$D"),4,false),1)))</f>
        <v>1</v>
      </c>
      <c r="G2538" s="62">
        <f t="shared" si="5075"/>
        <v>1</v>
      </c>
      <c r="H2538" s="62">
        <f t="shared" ref="H2538:Q2538" si="5076">IF(isblank(H$1),,IFERROR(vlookup($A2538,indirect("'TVC-"&amp;text(month(H$1),"00")&amp;"'!$A:$D"),4,false),1))</f>
        <v>1</v>
      </c>
      <c r="I2538" s="62">
        <f t="shared" si="5076"/>
        <v>1</v>
      </c>
      <c r="J2538" s="62">
        <f t="shared" si="5076"/>
        <v>1</v>
      </c>
      <c r="K2538" s="62">
        <f t="shared" si="5076"/>
        <v>1</v>
      </c>
      <c r="L2538" s="62">
        <f t="shared" si="5076"/>
        <v>1</v>
      </c>
      <c r="M2538" s="62">
        <f t="shared" si="5076"/>
        <v>1</v>
      </c>
      <c r="N2538" s="62">
        <f t="shared" si="5076"/>
        <v>1</v>
      </c>
      <c r="O2538" s="62">
        <f t="shared" si="5076"/>
        <v>1</v>
      </c>
      <c r="P2538" s="62" t="str">
        <f t="shared" si="5076"/>
        <v/>
      </c>
      <c r="Q2538" s="62" t="str">
        <f t="shared" si="5076"/>
        <v/>
      </c>
      <c r="R2538" s="62">
        <f t="shared" si="7"/>
        <v>0</v>
      </c>
      <c r="S2538" s="62"/>
      <c r="T2538" s="62"/>
      <c r="U2538" s="62"/>
      <c r="V2538" s="62"/>
      <c r="W2538" s="62"/>
      <c r="X2538" s="62"/>
      <c r="Y2538" s="62"/>
      <c r="Z2538" s="62"/>
      <c r="AA2538" s="62"/>
      <c r="AB2538" s="62"/>
      <c r="AC2538" s="62"/>
    </row>
    <row r="2539" hidden="1">
      <c r="A2539" s="60">
        <f>IFERROR(__xludf.DUMMYFUNCTION("""COMPUTED_VALUE"""),17649.0)</f>
        <v>17649</v>
      </c>
      <c r="B2539" s="60" t="str">
        <f>IFERROR(__xludf.DUMMYFUNCTION("""COMPUTED_VALUE"""),"Prunty, Karon")</f>
        <v>Prunty, Karon</v>
      </c>
      <c r="C2539" s="60" t="str">
        <f>IFERROR(__xludf.DUMMYFUNCTION("""COMPUTED_VALUE"""),"CB")</f>
        <v>CB</v>
      </c>
      <c r="D2539" s="60" t="str">
        <f>IFERROR(__xludf.DUMMYFUNCTION("""COMPUTED_VALUE"""),"NEP")</f>
        <v>NEP</v>
      </c>
      <c r="E2539" s="62" t="str">
        <f t="shared" si="4"/>
        <v>Karon Prunty</v>
      </c>
      <c r="F2539" s="62">
        <f t="shared" ref="F2539:G2539" si="5077">IF(isblank(F$1),,IF(isblank($A2539),,IFERROR(vlookup($A2539,indirect("'TVC-"&amp;text(month(F$1),"00")&amp;"'!$A:$D"),4,false),1)))</f>
        <v>1</v>
      </c>
      <c r="G2539" s="62">
        <f t="shared" si="5077"/>
        <v>1</v>
      </c>
      <c r="H2539" s="62">
        <f t="shared" ref="H2539:Q2539" si="5078">IF(isblank(H$1),,IFERROR(vlookup($A2539,indirect("'TVC-"&amp;text(month(H$1),"00")&amp;"'!$A:$D"),4,false),1))</f>
        <v>1</v>
      </c>
      <c r="I2539" s="62">
        <f t="shared" si="5078"/>
        <v>1</v>
      </c>
      <c r="J2539" s="62">
        <f t="shared" si="5078"/>
        <v>1</v>
      </c>
      <c r="K2539" s="62">
        <f t="shared" si="5078"/>
        <v>1</v>
      </c>
      <c r="L2539" s="62">
        <f t="shared" si="5078"/>
        <v>1</v>
      </c>
      <c r="M2539" s="62">
        <f t="shared" si="5078"/>
        <v>1</v>
      </c>
      <c r="N2539" s="62">
        <f t="shared" si="5078"/>
        <v>1</v>
      </c>
      <c r="O2539" s="62">
        <f t="shared" si="5078"/>
        <v>1</v>
      </c>
      <c r="P2539" s="62" t="str">
        <f t="shared" si="5078"/>
        <v/>
      </c>
      <c r="Q2539" s="62" t="str">
        <f t="shared" si="5078"/>
        <v/>
      </c>
      <c r="R2539" s="62">
        <f t="shared" si="7"/>
        <v>0</v>
      </c>
      <c r="S2539" s="62"/>
      <c r="T2539" s="62"/>
      <c r="U2539" s="62"/>
      <c r="V2539" s="62"/>
      <c r="W2539" s="62"/>
      <c r="X2539" s="62"/>
      <c r="Y2539" s="62"/>
      <c r="Z2539" s="62"/>
      <c r="AA2539" s="62"/>
      <c r="AB2539" s="62"/>
      <c r="AC2539" s="62"/>
    </row>
    <row r="2540" hidden="1">
      <c r="A2540" s="60">
        <f>IFERROR(__xludf.DUMMYFUNCTION("""COMPUTED_VALUE"""),17650.0)</f>
        <v>17650</v>
      </c>
      <c r="B2540" s="60" t="str">
        <f>IFERROR(__xludf.DUMMYFUNCTION("""COMPUTED_VALUE"""),"Styles, Lorenzo")</f>
        <v>Styles, Lorenzo</v>
      </c>
      <c r="C2540" s="60" t="str">
        <f>IFERROR(__xludf.DUMMYFUNCTION("""COMPUTED_VALUE"""),"S")</f>
        <v>S</v>
      </c>
      <c r="D2540" s="60" t="str">
        <f>IFERROR(__xludf.DUMMYFUNCTION("""COMPUTED_VALUE"""),"NOS")</f>
        <v>NOS</v>
      </c>
      <c r="E2540" s="62" t="str">
        <f t="shared" si="4"/>
        <v>Lorenzo Styles</v>
      </c>
      <c r="F2540" s="62">
        <f t="shared" ref="F2540:G2540" si="5079">IF(isblank(F$1),,IF(isblank($A2540),,IFERROR(vlookup($A2540,indirect("'TVC-"&amp;text(month(F$1),"00")&amp;"'!$A:$D"),4,false),1)))</f>
        <v>1</v>
      </c>
      <c r="G2540" s="62">
        <f t="shared" si="5079"/>
        <v>1</v>
      </c>
      <c r="H2540" s="62">
        <f t="shared" ref="H2540:Q2540" si="5080">IF(isblank(H$1),,IFERROR(vlookup($A2540,indirect("'TVC-"&amp;text(month(H$1),"00")&amp;"'!$A:$D"),4,false),1))</f>
        <v>1</v>
      </c>
      <c r="I2540" s="62">
        <f t="shared" si="5080"/>
        <v>1</v>
      </c>
      <c r="J2540" s="62">
        <f t="shared" si="5080"/>
        <v>1</v>
      </c>
      <c r="K2540" s="62">
        <f t="shared" si="5080"/>
        <v>1</v>
      </c>
      <c r="L2540" s="62">
        <f t="shared" si="5080"/>
        <v>1</v>
      </c>
      <c r="M2540" s="62">
        <f t="shared" si="5080"/>
        <v>1</v>
      </c>
      <c r="N2540" s="62">
        <f t="shared" si="5080"/>
        <v>1</v>
      </c>
      <c r="O2540" s="62">
        <f t="shared" si="5080"/>
        <v>1</v>
      </c>
      <c r="P2540" s="62" t="str">
        <f t="shared" si="5080"/>
        <v/>
      </c>
      <c r="Q2540" s="62" t="str">
        <f t="shared" si="5080"/>
        <v/>
      </c>
      <c r="R2540" s="62">
        <f t="shared" si="7"/>
        <v>0</v>
      </c>
      <c r="S2540" s="62"/>
      <c r="T2540" s="62"/>
      <c r="U2540" s="62"/>
      <c r="V2540" s="62"/>
      <c r="W2540" s="62"/>
      <c r="X2540" s="62"/>
      <c r="Y2540" s="62"/>
      <c r="Z2540" s="62"/>
      <c r="AA2540" s="62"/>
      <c r="AB2540" s="62"/>
      <c r="AC2540" s="62"/>
    </row>
    <row r="2541" hidden="1">
      <c r="A2541" s="60">
        <f>IFERROR(__xludf.DUMMYFUNCTION("""COMPUTED_VALUE"""),17651.0)</f>
        <v>17651</v>
      </c>
      <c r="B2541" s="60" t="str">
        <f>IFERROR(__xludf.DUMMYFUNCTION("""COMPUTED_VALUE"""),"Cuevas, Josh")</f>
        <v>Cuevas, Josh</v>
      </c>
      <c r="C2541" s="60" t="str">
        <f>IFERROR(__xludf.DUMMYFUNCTION("""COMPUTED_VALUE"""),"TE")</f>
        <v>TE</v>
      </c>
      <c r="D2541" s="60" t="str">
        <f>IFERROR(__xludf.DUMMYFUNCTION("""COMPUTED_VALUE"""),"BAL")</f>
        <v>BAL</v>
      </c>
      <c r="E2541" s="62" t="str">
        <f t="shared" si="4"/>
        <v>Josh Cuevas</v>
      </c>
      <c r="F2541" s="62">
        <f t="shared" ref="F2541:G2541" si="5081">IF(isblank(F$1),,IF(isblank($A2541),,IFERROR(vlookup($A2541,indirect("'TVC-"&amp;text(month(F$1),"00")&amp;"'!$A:$D"),4,false),1)))</f>
        <v>1</v>
      </c>
      <c r="G2541" s="62">
        <f t="shared" si="5081"/>
        <v>1</v>
      </c>
      <c r="H2541" s="62">
        <f t="shared" ref="H2541:Q2541" si="5082">IF(isblank(H$1),,IFERROR(vlookup($A2541,indirect("'TVC-"&amp;text(month(H$1),"00")&amp;"'!$A:$D"),4,false),1))</f>
        <v>1</v>
      </c>
      <c r="I2541" s="62">
        <f t="shared" si="5082"/>
        <v>1</v>
      </c>
      <c r="J2541" s="62">
        <f t="shared" si="5082"/>
        <v>1</v>
      </c>
      <c r="K2541" s="62">
        <f t="shared" si="5082"/>
        <v>1</v>
      </c>
      <c r="L2541" s="62">
        <f t="shared" si="5082"/>
        <v>1</v>
      </c>
      <c r="M2541" s="62">
        <f t="shared" si="5082"/>
        <v>1</v>
      </c>
      <c r="N2541" s="62">
        <f t="shared" si="5082"/>
        <v>1</v>
      </c>
      <c r="O2541" s="62">
        <f t="shared" si="5082"/>
        <v>1</v>
      </c>
      <c r="P2541" s="62" t="str">
        <f t="shared" si="5082"/>
        <v/>
      </c>
      <c r="Q2541" s="62" t="str">
        <f t="shared" si="5082"/>
        <v/>
      </c>
      <c r="R2541" s="62">
        <f t="shared" si="7"/>
        <v>0</v>
      </c>
      <c r="S2541" s="62"/>
      <c r="T2541" s="62"/>
      <c r="U2541" s="62"/>
      <c r="V2541" s="62"/>
      <c r="W2541" s="62"/>
      <c r="X2541" s="62"/>
      <c r="Y2541" s="62"/>
      <c r="Z2541" s="62"/>
      <c r="AA2541" s="62"/>
      <c r="AB2541" s="62"/>
      <c r="AC2541" s="62"/>
    </row>
    <row r="2542" hidden="1">
      <c r="A2542" s="60">
        <f>IFERROR(__xludf.DUMMYFUNCTION("""COMPUTED_VALUE"""),17652.0)</f>
        <v>17652</v>
      </c>
      <c r="B2542" s="60" t="str">
        <f>IFERROR(__xludf.DUMMYFUNCTION("""COMPUTED_VALUE"""),"Randall, Adam")</f>
        <v>Randall, Adam</v>
      </c>
      <c r="C2542" s="60" t="str">
        <f>IFERROR(__xludf.DUMMYFUNCTION("""COMPUTED_VALUE"""),"RB")</f>
        <v>RB</v>
      </c>
      <c r="D2542" s="60" t="str">
        <f>IFERROR(__xludf.DUMMYFUNCTION("""COMPUTED_VALUE"""),"BAL")</f>
        <v>BAL</v>
      </c>
      <c r="E2542" s="62" t="str">
        <f t="shared" si="4"/>
        <v>Adam Randall</v>
      </c>
      <c r="F2542" s="62">
        <f t="shared" ref="F2542:G2542" si="5083">IF(isblank(F$1),,IF(isblank($A2542),,IFERROR(vlookup($A2542,indirect("'TVC-"&amp;text(month(F$1),"00")&amp;"'!$A:$D"),4,false),1)))</f>
        <v>1</v>
      </c>
      <c r="G2542" s="62">
        <f t="shared" si="5083"/>
        <v>1</v>
      </c>
      <c r="H2542" s="62">
        <f t="shared" ref="H2542:Q2542" si="5084">IF(isblank(H$1),,IFERROR(vlookup($A2542,indirect("'TVC-"&amp;text(month(H$1),"00")&amp;"'!$A:$D"),4,false),1))</f>
        <v>1</v>
      </c>
      <c r="I2542" s="62">
        <f t="shared" si="5084"/>
        <v>1</v>
      </c>
      <c r="J2542" s="62">
        <f t="shared" si="5084"/>
        <v>1</v>
      </c>
      <c r="K2542" s="62">
        <f t="shared" si="5084"/>
        <v>995</v>
      </c>
      <c r="L2542" s="62">
        <f t="shared" si="5084"/>
        <v>1197</v>
      </c>
      <c r="M2542" s="62">
        <f t="shared" si="5084"/>
        <v>1479</v>
      </c>
      <c r="N2542" s="62">
        <f t="shared" si="5084"/>
        <v>2048</v>
      </c>
      <c r="O2542" s="62">
        <f t="shared" si="5084"/>
        <v>1</v>
      </c>
      <c r="P2542" s="62" t="str">
        <f t="shared" si="5084"/>
        <v/>
      </c>
      <c r="Q2542" s="62" t="str">
        <f t="shared" si="5084"/>
        <v/>
      </c>
      <c r="R2542" s="62">
        <f t="shared" si="7"/>
        <v>-2047</v>
      </c>
      <c r="S2542" s="62"/>
      <c r="T2542" s="62"/>
      <c r="U2542" s="62"/>
      <c r="V2542" s="62"/>
      <c r="W2542" s="62"/>
      <c r="X2542" s="62"/>
      <c r="Y2542" s="62"/>
      <c r="Z2542" s="62"/>
      <c r="AA2542" s="62"/>
      <c r="AB2542" s="62"/>
      <c r="AC2542" s="62"/>
    </row>
    <row r="2543" hidden="1">
      <c r="A2543" s="60">
        <f>IFERROR(__xludf.DUMMYFUNCTION("""COMPUTED_VALUE"""),17653.0)</f>
        <v>17653</v>
      </c>
      <c r="B2543" s="60" t="str">
        <f>IFERROR(__xludf.DUMMYFUNCTION("""COMPUTED_VALUE"""),"Masses, Hezekiah")</f>
        <v>Masses, Hezekiah</v>
      </c>
      <c r="C2543" s="60" t="str">
        <f>IFERROR(__xludf.DUMMYFUNCTION("""COMPUTED_VALUE"""),"CB")</f>
        <v>CB</v>
      </c>
      <c r="D2543" s="60" t="str">
        <f>IFERROR(__xludf.DUMMYFUNCTION("""COMPUTED_VALUE"""),"LVR")</f>
        <v>LVR</v>
      </c>
      <c r="E2543" s="62" t="str">
        <f t="shared" si="4"/>
        <v>Hezekiah Masses</v>
      </c>
      <c r="F2543" s="62">
        <f t="shared" ref="F2543:G2543" si="5085">IF(isblank(F$1),,IF(isblank($A2543),,IFERROR(vlookup($A2543,indirect("'TVC-"&amp;text(month(F$1),"00")&amp;"'!$A:$D"),4,false),1)))</f>
        <v>1</v>
      </c>
      <c r="G2543" s="62">
        <f t="shared" si="5085"/>
        <v>1</v>
      </c>
      <c r="H2543" s="62">
        <f t="shared" ref="H2543:Q2543" si="5086">IF(isblank(H$1),,IFERROR(vlookup($A2543,indirect("'TVC-"&amp;text(month(H$1),"00")&amp;"'!$A:$D"),4,false),1))</f>
        <v>1</v>
      </c>
      <c r="I2543" s="62">
        <f t="shared" si="5086"/>
        <v>1</v>
      </c>
      <c r="J2543" s="62">
        <f t="shared" si="5086"/>
        <v>1</v>
      </c>
      <c r="K2543" s="62">
        <f t="shared" si="5086"/>
        <v>1</v>
      </c>
      <c r="L2543" s="62">
        <f t="shared" si="5086"/>
        <v>1</v>
      </c>
      <c r="M2543" s="62">
        <f t="shared" si="5086"/>
        <v>1</v>
      </c>
      <c r="N2543" s="62">
        <f t="shared" si="5086"/>
        <v>1</v>
      </c>
      <c r="O2543" s="62">
        <f t="shared" si="5086"/>
        <v>1</v>
      </c>
      <c r="P2543" s="62" t="str">
        <f t="shared" si="5086"/>
        <v/>
      </c>
      <c r="Q2543" s="62" t="str">
        <f t="shared" si="5086"/>
        <v/>
      </c>
      <c r="R2543" s="62">
        <f t="shared" si="7"/>
        <v>0</v>
      </c>
      <c r="S2543" s="62"/>
      <c r="T2543" s="62"/>
      <c r="U2543" s="62"/>
      <c r="V2543" s="62"/>
      <c r="W2543" s="62"/>
      <c r="X2543" s="62"/>
      <c r="Y2543" s="62"/>
      <c r="Z2543" s="62"/>
      <c r="AA2543" s="62"/>
      <c r="AB2543" s="62"/>
      <c r="AC2543" s="62"/>
    </row>
    <row r="2544" hidden="1">
      <c r="A2544" s="60">
        <f>IFERROR(__xludf.DUMMYFUNCTION("""COMPUTED_VALUE"""),17654.0)</f>
        <v>17654</v>
      </c>
      <c r="B2544" s="60" t="str">
        <f>IFERROR(__xludf.DUMMYFUNCTION("""COMPUTED_VALUE"""),"Payton, Cole")</f>
        <v>Payton, Cole</v>
      </c>
      <c r="C2544" s="60" t="str">
        <f>IFERROR(__xludf.DUMMYFUNCTION("""COMPUTED_VALUE"""),"QB")</f>
        <v>QB</v>
      </c>
      <c r="D2544" s="60" t="str">
        <f>IFERROR(__xludf.DUMMYFUNCTION("""COMPUTED_VALUE"""),"PHI")</f>
        <v>PHI</v>
      </c>
      <c r="E2544" s="62" t="str">
        <f t="shared" si="4"/>
        <v>Cole Payton</v>
      </c>
      <c r="F2544" s="62">
        <f t="shared" ref="F2544:G2544" si="5087">IF(isblank(F$1),,IF(isblank($A2544),,IFERROR(vlookup($A2544,indirect("'TVC-"&amp;text(month(F$1),"00")&amp;"'!$A:$D"),4,false),1)))</f>
        <v>1</v>
      </c>
      <c r="G2544" s="62">
        <f t="shared" si="5087"/>
        <v>1</v>
      </c>
      <c r="H2544" s="62">
        <f t="shared" ref="H2544:Q2544" si="5088">IF(isblank(H$1),,IFERROR(vlookup($A2544,indirect("'TVC-"&amp;text(month(H$1),"00")&amp;"'!$A:$D"),4,false),1))</f>
        <v>1</v>
      </c>
      <c r="I2544" s="62">
        <f t="shared" si="5088"/>
        <v>1</v>
      </c>
      <c r="J2544" s="62">
        <f t="shared" si="5088"/>
        <v>123</v>
      </c>
      <c r="K2544" s="62">
        <f t="shared" si="5088"/>
        <v>765</v>
      </c>
      <c r="L2544" s="62">
        <f t="shared" si="5088"/>
        <v>828</v>
      </c>
      <c r="M2544" s="62">
        <f t="shared" si="5088"/>
        <v>860</v>
      </c>
      <c r="N2544" s="62">
        <f t="shared" si="5088"/>
        <v>768</v>
      </c>
      <c r="O2544" s="62">
        <f t="shared" si="5088"/>
        <v>1</v>
      </c>
      <c r="P2544" s="62" t="str">
        <f t="shared" si="5088"/>
        <v/>
      </c>
      <c r="Q2544" s="62" t="str">
        <f t="shared" si="5088"/>
        <v/>
      </c>
      <c r="R2544" s="62">
        <f t="shared" si="7"/>
        <v>-767</v>
      </c>
      <c r="S2544" s="62"/>
      <c r="T2544" s="62"/>
      <c r="U2544" s="62"/>
      <c r="V2544" s="62"/>
      <c r="W2544" s="62"/>
      <c r="X2544" s="62"/>
      <c r="Y2544" s="62"/>
      <c r="Z2544" s="62"/>
      <c r="AA2544" s="62"/>
      <c r="AB2544" s="62"/>
      <c r="AC2544" s="62"/>
    </row>
    <row r="2545" hidden="1">
      <c r="A2545" s="60">
        <f>IFERROR(__xludf.DUMMYFUNCTION("""COMPUTED_VALUE"""),17655.0)</f>
        <v>17655</v>
      </c>
      <c r="B2545" s="60" t="str">
        <f>IFERROR(__xludf.DUMMYFUNCTION("""COMPUTED_VALUE"""),"Traore, Seydou")</f>
        <v>Traore, Seydou</v>
      </c>
      <c r="C2545" s="60" t="str">
        <f>IFERROR(__xludf.DUMMYFUNCTION("""COMPUTED_VALUE"""),"TE")</f>
        <v>TE</v>
      </c>
      <c r="D2545" s="60" t="str">
        <f>IFERROR(__xludf.DUMMYFUNCTION("""COMPUTED_VALUE"""),"MIA")</f>
        <v>MIA</v>
      </c>
      <c r="E2545" s="62" t="str">
        <f t="shared" si="4"/>
        <v>Seydou Traore</v>
      </c>
      <c r="F2545" s="62">
        <f t="shared" ref="F2545:G2545" si="5089">IF(isblank(F$1),,IF(isblank($A2545),,IFERROR(vlookup($A2545,indirect("'TVC-"&amp;text(month(F$1),"00")&amp;"'!$A:$D"),4,false),1)))</f>
        <v>1</v>
      </c>
      <c r="G2545" s="62">
        <f t="shared" si="5089"/>
        <v>1</v>
      </c>
      <c r="H2545" s="62">
        <f t="shared" ref="H2545:Q2545" si="5090">IF(isblank(H$1),,IFERROR(vlookup($A2545,indirect("'TVC-"&amp;text(month(H$1),"00")&amp;"'!$A:$D"),4,false),1))</f>
        <v>1</v>
      </c>
      <c r="I2545" s="62">
        <f t="shared" si="5090"/>
        <v>1</v>
      </c>
      <c r="J2545" s="62">
        <f t="shared" si="5090"/>
        <v>1</v>
      </c>
      <c r="K2545" s="62">
        <f t="shared" si="5090"/>
        <v>1</v>
      </c>
      <c r="L2545" s="62">
        <f t="shared" si="5090"/>
        <v>1</v>
      </c>
      <c r="M2545" s="62">
        <f t="shared" si="5090"/>
        <v>1</v>
      </c>
      <c r="N2545" s="62">
        <f t="shared" si="5090"/>
        <v>1</v>
      </c>
      <c r="O2545" s="62">
        <f t="shared" si="5090"/>
        <v>1</v>
      </c>
      <c r="P2545" s="62" t="str">
        <f t="shared" si="5090"/>
        <v/>
      </c>
      <c r="Q2545" s="62" t="str">
        <f t="shared" si="5090"/>
        <v/>
      </c>
      <c r="R2545" s="62">
        <f t="shared" si="7"/>
        <v>0</v>
      </c>
      <c r="S2545" s="62"/>
      <c r="T2545" s="62"/>
      <c r="U2545" s="62"/>
      <c r="V2545" s="62"/>
      <c r="W2545" s="62"/>
      <c r="X2545" s="62"/>
      <c r="Y2545" s="62"/>
      <c r="Z2545" s="62"/>
      <c r="AA2545" s="62"/>
      <c r="AB2545" s="62"/>
      <c r="AC2545" s="62"/>
    </row>
    <row r="2546" hidden="1">
      <c r="A2546" s="60">
        <f>IFERROR(__xludf.DUMMYFUNCTION("""COMPUTED_VALUE"""),17656.0)</f>
        <v>17656</v>
      </c>
      <c r="B2546" s="60" t="str">
        <f>IFERROR(__xludf.DUMMYFUNCTION("""COMPUTED_VALUE"""),"Durant, Zane")</f>
        <v>Durant, Zane</v>
      </c>
      <c r="C2546" s="60" t="str">
        <f>IFERROR(__xludf.DUMMYFUNCTION("""COMPUTED_VALUE"""),"DT")</f>
        <v>DT</v>
      </c>
      <c r="D2546" s="60" t="str">
        <f>IFERROR(__xludf.DUMMYFUNCTION("""COMPUTED_VALUE"""),"BUF")</f>
        <v>BUF</v>
      </c>
      <c r="E2546" s="62" t="str">
        <f t="shared" si="4"/>
        <v>Zane Durant</v>
      </c>
      <c r="F2546" s="62">
        <f t="shared" ref="F2546:G2546" si="5091">IF(isblank(F$1),,IF(isblank($A2546),,IFERROR(vlookup($A2546,indirect("'TVC-"&amp;text(month(F$1),"00")&amp;"'!$A:$D"),4,false),1)))</f>
        <v>1</v>
      </c>
      <c r="G2546" s="62">
        <f t="shared" si="5091"/>
        <v>1</v>
      </c>
      <c r="H2546" s="62">
        <f t="shared" ref="H2546:Q2546" si="5092">IF(isblank(H$1),,IFERROR(vlookup($A2546,indirect("'TVC-"&amp;text(month(H$1),"00")&amp;"'!$A:$D"),4,false),1))</f>
        <v>1</v>
      </c>
      <c r="I2546" s="62">
        <f t="shared" si="5092"/>
        <v>1</v>
      </c>
      <c r="J2546" s="62">
        <f t="shared" si="5092"/>
        <v>1</v>
      </c>
      <c r="K2546" s="62">
        <f t="shared" si="5092"/>
        <v>1</v>
      </c>
      <c r="L2546" s="62">
        <f t="shared" si="5092"/>
        <v>1</v>
      </c>
      <c r="M2546" s="62">
        <f t="shared" si="5092"/>
        <v>1</v>
      </c>
      <c r="N2546" s="62">
        <f t="shared" si="5092"/>
        <v>1</v>
      </c>
      <c r="O2546" s="62">
        <f t="shared" si="5092"/>
        <v>1</v>
      </c>
      <c r="P2546" s="62" t="str">
        <f t="shared" si="5092"/>
        <v/>
      </c>
      <c r="Q2546" s="62" t="str">
        <f t="shared" si="5092"/>
        <v/>
      </c>
      <c r="R2546" s="62">
        <f t="shared" si="7"/>
        <v>0</v>
      </c>
      <c r="S2546" s="62"/>
      <c r="T2546" s="62"/>
      <c r="U2546" s="62"/>
      <c r="V2546" s="62"/>
      <c r="W2546" s="62"/>
      <c r="X2546" s="62"/>
      <c r="Y2546" s="62"/>
      <c r="Z2546" s="62"/>
      <c r="AA2546" s="62"/>
      <c r="AB2546" s="62"/>
      <c r="AC2546" s="62"/>
    </row>
    <row r="2547" hidden="1">
      <c r="A2547" s="60">
        <f>IFERROR(__xludf.DUMMYFUNCTION("""COMPUTED_VALUE"""),17657.0)</f>
        <v>17657</v>
      </c>
      <c r="B2547" s="60" t="str">
        <f>IFERROR(__xludf.DUMMYFUNCTION("""COMPUTED_VALUE"""),"Green, Taylen")</f>
        <v>Green, Taylen</v>
      </c>
      <c r="C2547" s="60" t="str">
        <f>IFERROR(__xludf.DUMMYFUNCTION("""COMPUTED_VALUE"""),"QB")</f>
        <v>QB</v>
      </c>
      <c r="D2547" s="60" t="str">
        <f>IFERROR(__xludf.DUMMYFUNCTION("""COMPUTED_VALUE"""),"CLE")</f>
        <v>CLE</v>
      </c>
      <c r="E2547" s="62" t="str">
        <f t="shared" si="4"/>
        <v>Taylen Green</v>
      </c>
      <c r="F2547" s="62">
        <f t="shared" ref="F2547:G2547" si="5093">IF(isblank(F$1),,IF(isblank($A2547),,IFERROR(vlookup($A2547,indirect("'TVC-"&amp;text(month(F$1),"00")&amp;"'!$A:$D"),4,false),1)))</f>
        <v>1</v>
      </c>
      <c r="G2547" s="62">
        <f t="shared" si="5093"/>
        <v>1</v>
      </c>
      <c r="H2547" s="62">
        <f t="shared" ref="H2547:Q2547" si="5094">IF(isblank(H$1),,IFERROR(vlookup($A2547,indirect("'TVC-"&amp;text(month(H$1),"00")&amp;"'!$A:$D"),4,false),1))</f>
        <v>1</v>
      </c>
      <c r="I2547" s="62">
        <f t="shared" si="5094"/>
        <v>1</v>
      </c>
      <c r="J2547" s="62">
        <f t="shared" si="5094"/>
        <v>1</v>
      </c>
      <c r="K2547" s="62">
        <f t="shared" si="5094"/>
        <v>829</v>
      </c>
      <c r="L2547" s="62">
        <f t="shared" si="5094"/>
        <v>1008</v>
      </c>
      <c r="M2547" s="62">
        <f t="shared" si="5094"/>
        <v>1256</v>
      </c>
      <c r="N2547" s="62">
        <f t="shared" si="5094"/>
        <v>1523</v>
      </c>
      <c r="O2547" s="62">
        <f t="shared" si="5094"/>
        <v>1</v>
      </c>
      <c r="P2547" s="62" t="str">
        <f t="shared" si="5094"/>
        <v/>
      </c>
      <c r="Q2547" s="62" t="str">
        <f t="shared" si="5094"/>
        <v/>
      </c>
      <c r="R2547" s="62">
        <f t="shared" si="7"/>
        <v>-1522</v>
      </c>
      <c r="S2547" s="62"/>
      <c r="T2547" s="62"/>
      <c r="U2547" s="62"/>
      <c r="V2547" s="62"/>
      <c r="W2547" s="62"/>
      <c r="X2547" s="62"/>
      <c r="Y2547" s="62"/>
      <c r="Z2547" s="62"/>
      <c r="AA2547" s="62"/>
      <c r="AB2547" s="62"/>
      <c r="AC2547" s="62"/>
    </row>
    <row r="2548" hidden="1">
      <c r="A2548" s="60">
        <f>IFERROR(__xludf.DUMMYFUNCTION("""COMPUTED_VALUE"""),17658.0)</f>
        <v>17658</v>
      </c>
      <c r="B2548" s="60" t="str">
        <f>IFERROR(__xludf.DUMMYFUNCTION("""COMPUTED_VALUE"""),"Sharar, Karson")</f>
        <v>Sharar, Karson</v>
      </c>
      <c r="C2548" s="60" t="str">
        <f>IFERROR(__xludf.DUMMYFUNCTION("""COMPUTED_VALUE"""),"LB")</f>
        <v>LB</v>
      </c>
      <c r="D2548" s="60" t="str">
        <f>IFERROR(__xludf.DUMMYFUNCTION("""COMPUTED_VALUE"""),"ARI")</f>
        <v>ARI</v>
      </c>
      <c r="E2548" s="62" t="str">
        <f t="shared" si="4"/>
        <v>Karson Sharar</v>
      </c>
      <c r="F2548" s="62">
        <f t="shared" ref="F2548:G2548" si="5095">IF(isblank(F$1),,IF(isblank($A2548),,IFERROR(vlookup($A2548,indirect("'TVC-"&amp;text(month(F$1),"00")&amp;"'!$A:$D"),4,false),1)))</f>
        <v>1</v>
      </c>
      <c r="G2548" s="62">
        <f t="shared" si="5095"/>
        <v>1</v>
      </c>
      <c r="H2548" s="62">
        <f t="shared" ref="H2548:Q2548" si="5096">IF(isblank(H$1),,IFERROR(vlookup($A2548,indirect("'TVC-"&amp;text(month(H$1),"00")&amp;"'!$A:$D"),4,false),1))</f>
        <v>1</v>
      </c>
      <c r="I2548" s="62">
        <f t="shared" si="5096"/>
        <v>1</v>
      </c>
      <c r="J2548" s="62">
        <f t="shared" si="5096"/>
        <v>1</v>
      </c>
      <c r="K2548" s="62">
        <f t="shared" si="5096"/>
        <v>1</v>
      </c>
      <c r="L2548" s="62">
        <f t="shared" si="5096"/>
        <v>1</v>
      </c>
      <c r="M2548" s="62">
        <f t="shared" si="5096"/>
        <v>1</v>
      </c>
      <c r="N2548" s="62">
        <f t="shared" si="5096"/>
        <v>1</v>
      </c>
      <c r="O2548" s="62">
        <f t="shared" si="5096"/>
        <v>1</v>
      </c>
      <c r="P2548" s="62" t="str">
        <f t="shared" si="5096"/>
        <v/>
      </c>
      <c r="Q2548" s="62" t="str">
        <f t="shared" si="5096"/>
        <v/>
      </c>
      <c r="R2548" s="62">
        <f t="shared" si="7"/>
        <v>0</v>
      </c>
      <c r="S2548" s="62"/>
      <c r="T2548" s="62"/>
      <c r="U2548" s="62"/>
      <c r="V2548" s="62"/>
      <c r="W2548" s="62"/>
      <c r="X2548" s="62"/>
      <c r="Y2548" s="62"/>
      <c r="Z2548" s="62"/>
      <c r="AA2548" s="62"/>
      <c r="AB2548" s="62"/>
      <c r="AC2548" s="62"/>
    </row>
    <row r="2549" hidden="1">
      <c r="A2549" s="60">
        <f>IFERROR(__xludf.DUMMYFUNCTION("""COMPUTED_VALUE"""),17659.0)</f>
        <v>17659</v>
      </c>
      <c r="B2549" s="60" t="str">
        <f>IFERROR(__xludf.DUMMYFUNCTION("""COMPUTED_VALUE"""),"Marshall, Jackie")</f>
        <v>Marshall, Jackie</v>
      </c>
      <c r="C2549" s="60" t="str">
        <f>IFERROR(__xludf.DUMMYFUNCTION("""COMPUTED_VALUE"""),"DT")</f>
        <v>DT</v>
      </c>
      <c r="D2549" s="60" t="str">
        <f>IFERROR(__xludf.DUMMYFUNCTION("""COMPUTED_VALUE"""),"TEN")</f>
        <v>TEN</v>
      </c>
      <c r="E2549" s="62" t="str">
        <f t="shared" si="4"/>
        <v>Jackie Marshall</v>
      </c>
      <c r="F2549" s="62">
        <f t="shared" ref="F2549:G2549" si="5097">IF(isblank(F$1),,IF(isblank($A2549),,IFERROR(vlookup($A2549,indirect("'TVC-"&amp;text(month(F$1),"00")&amp;"'!$A:$D"),4,false),1)))</f>
        <v>1</v>
      </c>
      <c r="G2549" s="62">
        <f t="shared" si="5097"/>
        <v>1</v>
      </c>
      <c r="H2549" s="62">
        <f t="shared" ref="H2549:Q2549" si="5098">IF(isblank(H$1),,IFERROR(vlookup($A2549,indirect("'TVC-"&amp;text(month(H$1),"00")&amp;"'!$A:$D"),4,false),1))</f>
        <v>1</v>
      </c>
      <c r="I2549" s="62">
        <f t="shared" si="5098"/>
        <v>1</v>
      </c>
      <c r="J2549" s="62">
        <f t="shared" si="5098"/>
        <v>1</v>
      </c>
      <c r="K2549" s="62">
        <f t="shared" si="5098"/>
        <v>1</v>
      </c>
      <c r="L2549" s="62">
        <f t="shared" si="5098"/>
        <v>1</v>
      </c>
      <c r="M2549" s="62">
        <f t="shared" si="5098"/>
        <v>1</v>
      </c>
      <c r="N2549" s="62">
        <f t="shared" si="5098"/>
        <v>1</v>
      </c>
      <c r="O2549" s="62">
        <f t="shared" si="5098"/>
        <v>1</v>
      </c>
      <c r="P2549" s="62" t="str">
        <f t="shared" si="5098"/>
        <v/>
      </c>
      <c r="Q2549" s="62" t="str">
        <f t="shared" si="5098"/>
        <v/>
      </c>
      <c r="R2549" s="62">
        <f t="shared" si="7"/>
        <v>0</v>
      </c>
      <c r="S2549" s="62"/>
      <c r="T2549" s="62"/>
      <c r="U2549" s="62"/>
      <c r="V2549" s="62"/>
      <c r="W2549" s="62"/>
      <c r="X2549" s="62"/>
      <c r="Y2549" s="62"/>
      <c r="Z2549" s="62"/>
      <c r="AA2549" s="62"/>
      <c r="AB2549" s="62"/>
      <c r="AC2549" s="62"/>
    </row>
    <row r="2550" hidden="1">
      <c r="A2550" s="60">
        <f>IFERROR(__xludf.DUMMYFUNCTION("""COMPUTED_VALUE"""),17660.0)</f>
        <v>17660</v>
      </c>
      <c r="B2550" s="60" t="str">
        <f>IFERROR(__xludf.DUMMYFUNCTION("""COMPUTED_VALUE"""),"Sharp, Bauer")</f>
        <v>Sharp, Bauer</v>
      </c>
      <c r="C2550" s="60" t="str">
        <f>IFERROR(__xludf.DUMMYFUNCTION("""COMPUTED_VALUE"""),"TE")</f>
        <v>TE</v>
      </c>
      <c r="D2550" s="60" t="str">
        <f>IFERROR(__xludf.DUMMYFUNCTION("""COMPUTED_VALUE"""),"TBB")</f>
        <v>TBB</v>
      </c>
      <c r="E2550" s="62" t="str">
        <f t="shared" si="4"/>
        <v>Bauer Sharp</v>
      </c>
      <c r="F2550" s="62">
        <f t="shared" ref="F2550:G2550" si="5099">IF(isblank(F$1),,IF(isblank($A2550),,IFERROR(vlookup($A2550,indirect("'TVC-"&amp;text(month(F$1),"00")&amp;"'!$A:$D"),4,false),1)))</f>
        <v>1</v>
      </c>
      <c r="G2550" s="62">
        <f t="shared" si="5099"/>
        <v>1</v>
      </c>
      <c r="H2550" s="62">
        <f t="shared" ref="H2550:Q2550" si="5100">IF(isblank(H$1),,IFERROR(vlookup($A2550,indirect("'TVC-"&amp;text(month(H$1),"00")&amp;"'!$A:$D"),4,false),1))</f>
        <v>1</v>
      </c>
      <c r="I2550" s="62">
        <f t="shared" si="5100"/>
        <v>1</v>
      </c>
      <c r="J2550" s="62">
        <f t="shared" si="5100"/>
        <v>1</v>
      </c>
      <c r="K2550" s="62">
        <f t="shared" si="5100"/>
        <v>1</v>
      </c>
      <c r="L2550" s="62">
        <f t="shared" si="5100"/>
        <v>1</v>
      </c>
      <c r="M2550" s="62">
        <f t="shared" si="5100"/>
        <v>1</v>
      </c>
      <c r="N2550" s="62">
        <f t="shared" si="5100"/>
        <v>1</v>
      </c>
      <c r="O2550" s="62">
        <f t="shared" si="5100"/>
        <v>1</v>
      </c>
      <c r="P2550" s="62" t="str">
        <f t="shared" si="5100"/>
        <v/>
      </c>
      <c r="Q2550" s="62" t="str">
        <f t="shared" si="5100"/>
        <v/>
      </c>
      <c r="R2550" s="62">
        <f t="shared" si="7"/>
        <v>0</v>
      </c>
      <c r="S2550" s="62"/>
      <c r="T2550" s="62"/>
      <c r="U2550" s="62"/>
      <c r="V2550" s="62"/>
      <c r="W2550" s="62"/>
      <c r="X2550" s="62"/>
      <c r="Y2550" s="62"/>
      <c r="Z2550" s="62"/>
      <c r="AA2550" s="62"/>
      <c r="AB2550" s="62"/>
      <c r="AC2550" s="62"/>
    </row>
    <row r="2551" hidden="1">
      <c r="A2551" s="60">
        <f>IFERROR(__xludf.DUMMYFUNCTION("""COMPUTED_VALUE"""),17661.0)</f>
        <v>17661</v>
      </c>
      <c r="B2551" s="60" t="str">
        <f>IFERROR(__xludf.DUMMYFUNCTION("""COMPUTED_VALUE"""),"Jamison-Travis, Bobby")</f>
        <v>Jamison-Travis, Bobby</v>
      </c>
      <c r="C2551" s="60" t="str">
        <f>IFERROR(__xludf.DUMMYFUNCTION("""COMPUTED_VALUE"""),"DT")</f>
        <v>DT</v>
      </c>
      <c r="D2551" s="60" t="str">
        <f>IFERROR(__xludf.DUMMYFUNCTION("""COMPUTED_VALUE"""),"NYG")</f>
        <v>NYG</v>
      </c>
      <c r="E2551" s="62" t="str">
        <f t="shared" si="4"/>
        <v>Bobby Jamison-Travis</v>
      </c>
      <c r="F2551" s="62">
        <f t="shared" ref="F2551:G2551" si="5101">IF(isblank(F$1),,IF(isblank($A2551),,IFERROR(vlookup($A2551,indirect("'TVC-"&amp;text(month(F$1),"00")&amp;"'!$A:$D"),4,false),1)))</f>
        <v>1</v>
      </c>
      <c r="G2551" s="62">
        <f t="shared" si="5101"/>
        <v>1</v>
      </c>
      <c r="H2551" s="62">
        <f t="shared" ref="H2551:Q2551" si="5102">IF(isblank(H$1),,IFERROR(vlookup($A2551,indirect("'TVC-"&amp;text(month(H$1),"00")&amp;"'!$A:$D"),4,false),1))</f>
        <v>1</v>
      </c>
      <c r="I2551" s="62">
        <f t="shared" si="5102"/>
        <v>1</v>
      </c>
      <c r="J2551" s="62">
        <f t="shared" si="5102"/>
        <v>1</v>
      </c>
      <c r="K2551" s="62">
        <f t="shared" si="5102"/>
        <v>1</v>
      </c>
      <c r="L2551" s="62">
        <f t="shared" si="5102"/>
        <v>1</v>
      </c>
      <c r="M2551" s="62">
        <f t="shared" si="5102"/>
        <v>1</v>
      </c>
      <c r="N2551" s="62">
        <f t="shared" si="5102"/>
        <v>1</v>
      </c>
      <c r="O2551" s="62">
        <f t="shared" si="5102"/>
        <v>1</v>
      </c>
      <c r="P2551" s="62" t="str">
        <f t="shared" si="5102"/>
        <v/>
      </c>
      <c r="Q2551" s="62" t="str">
        <f t="shared" si="5102"/>
        <v/>
      </c>
      <c r="R2551" s="62">
        <f t="shared" si="7"/>
        <v>0</v>
      </c>
      <c r="S2551" s="62"/>
      <c r="T2551" s="62"/>
      <c r="U2551" s="62"/>
      <c r="V2551" s="62"/>
      <c r="W2551" s="62"/>
      <c r="X2551" s="62"/>
      <c r="Y2551" s="62"/>
      <c r="Z2551" s="62"/>
      <c r="AA2551" s="62"/>
      <c r="AB2551" s="62"/>
      <c r="AC2551" s="62"/>
    </row>
    <row r="2552" hidden="1">
      <c r="A2552" s="60">
        <f>IFERROR(__xludf.DUMMYFUNCTION("""COMPUTED_VALUE"""),17662.0)</f>
        <v>17662</v>
      </c>
      <c r="B2552" s="60" t="str">
        <f>IFERROR(__xludf.DUMMYFUNCTION("""COMPUTED_VALUE"""),"Kelly, Jack")</f>
        <v>Kelly, Jack</v>
      </c>
      <c r="C2552" s="60" t="str">
        <f>IFERROR(__xludf.DUMMYFUNCTION("""COMPUTED_VALUE"""),"LB")</f>
        <v>LB</v>
      </c>
      <c r="D2552" s="60" t="str">
        <f>IFERROR(__xludf.DUMMYFUNCTION("""COMPUTED_VALUE"""),"NYG")</f>
        <v>NYG</v>
      </c>
      <c r="E2552" s="62" t="str">
        <f t="shared" si="4"/>
        <v>Jack Kelly</v>
      </c>
      <c r="F2552" s="62">
        <f t="shared" ref="F2552:G2552" si="5103">IF(isblank(F$1),,IF(isblank($A2552),,IFERROR(vlookup($A2552,indirect("'TVC-"&amp;text(month(F$1),"00")&amp;"'!$A:$D"),4,false),1)))</f>
        <v>1</v>
      </c>
      <c r="G2552" s="62">
        <f t="shared" si="5103"/>
        <v>1</v>
      </c>
      <c r="H2552" s="62">
        <f t="shared" ref="H2552:Q2552" si="5104">IF(isblank(H$1),,IFERROR(vlookup($A2552,indirect("'TVC-"&amp;text(month(H$1),"00")&amp;"'!$A:$D"),4,false),1))</f>
        <v>1</v>
      </c>
      <c r="I2552" s="62">
        <f t="shared" si="5104"/>
        <v>1</v>
      </c>
      <c r="J2552" s="62">
        <f t="shared" si="5104"/>
        <v>1</v>
      </c>
      <c r="K2552" s="62">
        <f t="shared" si="5104"/>
        <v>1</v>
      </c>
      <c r="L2552" s="62">
        <f t="shared" si="5104"/>
        <v>1</v>
      </c>
      <c r="M2552" s="62">
        <f t="shared" si="5104"/>
        <v>1</v>
      </c>
      <c r="N2552" s="62">
        <f t="shared" si="5104"/>
        <v>1</v>
      </c>
      <c r="O2552" s="62">
        <f t="shared" si="5104"/>
        <v>1</v>
      </c>
      <c r="P2552" s="62" t="str">
        <f t="shared" si="5104"/>
        <v/>
      </c>
      <c r="Q2552" s="62" t="str">
        <f t="shared" si="5104"/>
        <v/>
      </c>
      <c r="R2552" s="62">
        <f t="shared" si="7"/>
        <v>0</v>
      </c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</row>
    <row r="2553" hidden="1">
      <c r="A2553" s="60">
        <f>IFERROR(__xludf.DUMMYFUNCTION("""COMPUTED_VALUE"""),17663.0)</f>
        <v>17663</v>
      </c>
      <c r="B2553" s="60" t="str">
        <f>IFERROR(__xludf.DUMMYFUNCTION("""COMPUTED_VALUE"""),"Thompson, Anterio")</f>
        <v>Thompson, Anterio</v>
      </c>
      <c r="C2553" s="60" t="str">
        <f>IFERROR(__xludf.DUMMYFUNCTION("""COMPUTED_VALUE"""),"DT")</f>
        <v>DT</v>
      </c>
      <c r="D2553" s="60" t="str">
        <f>IFERROR(__xludf.DUMMYFUNCTION("""COMPUTED_VALUE"""),"ATL")</f>
        <v>ATL</v>
      </c>
      <c r="E2553" s="62" t="str">
        <f t="shared" si="4"/>
        <v>Anterio Thompson</v>
      </c>
      <c r="F2553" s="62">
        <f t="shared" ref="F2553:G2553" si="5105">IF(isblank(F$1),,IF(isblank($A2553),,IFERROR(vlookup($A2553,indirect("'TVC-"&amp;text(month(F$1),"00")&amp;"'!$A:$D"),4,false),1)))</f>
        <v>1</v>
      </c>
      <c r="G2553" s="62">
        <f t="shared" si="5105"/>
        <v>1</v>
      </c>
      <c r="H2553" s="62">
        <f t="shared" ref="H2553:Q2553" si="5106">IF(isblank(H$1),,IFERROR(vlookup($A2553,indirect("'TVC-"&amp;text(month(H$1),"00")&amp;"'!$A:$D"),4,false),1))</f>
        <v>1</v>
      </c>
      <c r="I2553" s="62">
        <f t="shared" si="5106"/>
        <v>1</v>
      </c>
      <c r="J2553" s="62">
        <f t="shared" si="5106"/>
        <v>1</v>
      </c>
      <c r="K2553" s="62">
        <f t="shared" si="5106"/>
        <v>1</v>
      </c>
      <c r="L2553" s="62">
        <f t="shared" si="5106"/>
        <v>1</v>
      </c>
      <c r="M2553" s="62">
        <f t="shared" si="5106"/>
        <v>1</v>
      </c>
      <c r="N2553" s="62">
        <f t="shared" si="5106"/>
        <v>1</v>
      </c>
      <c r="O2553" s="62">
        <f t="shared" si="5106"/>
        <v>1</v>
      </c>
      <c r="P2553" s="62" t="str">
        <f t="shared" si="5106"/>
        <v/>
      </c>
      <c r="Q2553" s="62" t="str">
        <f t="shared" si="5106"/>
        <v/>
      </c>
      <c r="R2553" s="62">
        <f t="shared" si="7"/>
        <v>0</v>
      </c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</row>
    <row r="2554">
      <c r="A2554" s="60">
        <f>IFERROR(__xludf.DUMMYFUNCTION("""COMPUTED_VALUE"""),17664.0)</f>
        <v>17664</v>
      </c>
      <c r="B2554" s="60" t="str">
        <f>IFERROR(__xludf.DUMMYFUNCTION("""COMPUTED_VALUE"""),"Eckley, Ryan")</f>
        <v>Eckley, Ryan</v>
      </c>
      <c r="C2554" s="60" t="str">
        <f>IFERROR(__xludf.DUMMYFUNCTION("""COMPUTED_VALUE"""),"PN")</f>
        <v>PN</v>
      </c>
      <c r="D2554" s="60" t="str">
        <f>IFERROR(__xludf.DUMMYFUNCTION("""COMPUTED_VALUE"""),"BAL")</f>
        <v>BAL</v>
      </c>
      <c r="E2554" s="62" t="str">
        <f t="shared" si="4"/>
        <v>Ryan Eckley</v>
      </c>
      <c r="F2554" s="62">
        <f t="shared" ref="F2554:G2554" si="5107">IF(isblank(F$1),,IF(isblank($A2554),,IFERROR(vlookup($A2554,indirect("'TVC-"&amp;text(month(F$1),"00")&amp;"'!$A:$D"),4,false),1)))</f>
        <v>1</v>
      </c>
      <c r="G2554" s="62">
        <f t="shared" si="5107"/>
        <v>1</v>
      </c>
      <c r="H2554" s="62">
        <f t="shared" ref="H2554:Q2554" si="5108">IF(isblank(H$1),,IFERROR(vlookup($A2554,indirect("'TVC-"&amp;text(month(H$1),"00")&amp;"'!$A:$D"),4,false),1))</f>
        <v>1</v>
      </c>
      <c r="I2554" s="62">
        <f t="shared" si="5108"/>
        <v>1</v>
      </c>
      <c r="J2554" s="62">
        <f t="shared" si="5108"/>
        <v>1</v>
      </c>
      <c r="K2554" s="62">
        <f t="shared" si="5108"/>
        <v>1</v>
      </c>
      <c r="L2554" s="62">
        <f t="shared" si="5108"/>
        <v>1</v>
      </c>
      <c r="M2554" s="62">
        <f t="shared" si="5108"/>
        <v>1</v>
      </c>
      <c r="N2554" s="62">
        <f t="shared" si="5108"/>
        <v>1</v>
      </c>
      <c r="O2554" s="62">
        <f t="shared" si="5108"/>
        <v>1</v>
      </c>
      <c r="P2554" s="62" t="str">
        <f t="shared" si="5108"/>
        <v/>
      </c>
      <c r="Q2554" s="62" t="str">
        <f t="shared" si="5108"/>
        <v/>
      </c>
      <c r="R2554" s="62">
        <f t="shared" si="7"/>
        <v>0</v>
      </c>
      <c r="S2554" s="62"/>
      <c r="T2554" s="62"/>
      <c r="U2554" s="62"/>
      <c r="V2554" s="62"/>
      <c r="W2554" s="62"/>
      <c r="X2554" s="62"/>
      <c r="Y2554" s="62"/>
      <c r="Z2554" s="62"/>
      <c r="AA2554" s="62"/>
      <c r="AB2554" s="62"/>
      <c r="AC2554" s="62"/>
    </row>
    <row r="2555" hidden="1">
      <c r="A2555" s="60">
        <f>IFERROR(__xludf.DUMMYFUNCTION("""COMPUTED_VALUE"""),17665.0)</f>
        <v>17665</v>
      </c>
      <c r="B2555" s="60" t="str">
        <f>IFERROR(__xludf.DUMMYFUNCTION("""COMPUTED_VALUE"""),"Obiazor, Namdi")</f>
        <v>Obiazor, Namdi</v>
      </c>
      <c r="C2555" s="60" t="str">
        <f>IFERROR(__xludf.DUMMYFUNCTION("""COMPUTED_VALUE"""),"LB")</f>
        <v>LB</v>
      </c>
      <c r="D2555" s="60" t="str">
        <f>IFERROR(__xludf.DUMMYFUNCTION("""COMPUTED_VALUE"""),"NEP")</f>
        <v>NEP</v>
      </c>
      <c r="E2555" s="62" t="str">
        <f t="shared" si="4"/>
        <v>Namdi Obiazor</v>
      </c>
      <c r="F2555" s="62">
        <f t="shared" ref="F2555:G2555" si="5109">IF(isblank(F$1),,IF(isblank($A2555),,IFERROR(vlookup($A2555,indirect("'TVC-"&amp;text(month(F$1),"00")&amp;"'!$A:$D"),4,false),1)))</f>
        <v>1</v>
      </c>
      <c r="G2555" s="62">
        <f t="shared" si="5109"/>
        <v>1</v>
      </c>
      <c r="H2555" s="62">
        <f t="shared" ref="H2555:Q2555" si="5110">IF(isblank(H$1),,IFERROR(vlookup($A2555,indirect("'TVC-"&amp;text(month(H$1),"00")&amp;"'!$A:$D"),4,false),1))</f>
        <v>1</v>
      </c>
      <c r="I2555" s="62">
        <f t="shared" si="5110"/>
        <v>1</v>
      </c>
      <c r="J2555" s="62">
        <f t="shared" si="5110"/>
        <v>1</v>
      </c>
      <c r="K2555" s="62">
        <f t="shared" si="5110"/>
        <v>1</v>
      </c>
      <c r="L2555" s="62">
        <f t="shared" si="5110"/>
        <v>1</v>
      </c>
      <c r="M2555" s="62">
        <f t="shared" si="5110"/>
        <v>1</v>
      </c>
      <c r="N2555" s="62">
        <f t="shared" si="5110"/>
        <v>1</v>
      </c>
      <c r="O2555" s="62">
        <f t="shared" si="5110"/>
        <v>1</v>
      </c>
      <c r="P2555" s="62" t="str">
        <f t="shared" si="5110"/>
        <v/>
      </c>
      <c r="Q2555" s="62" t="str">
        <f t="shared" si="5110"/>
        <v/>
      </c>
      <c r="R2555" s="62">
        <f t="shared" si="7"/>
        <v>0</v>
      </c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</row>
    <row r="2556" hidden="1">
      <c r="A2556" s="60">
        <f>IFERROR(__xludf.DUMMYFUNCTION("""COMPUTED_VALUE"""),17666.0)</f>
        <v>17666</v>
      </c>
      <c r="B2556" s="60" t="str">
        <f>IFERROR(__xludf.DUMMYFUNCTION("""COMPUTED_VALUE"""),"van den Berg, Jordan")</f>
        <v>van den Berg, Jordan</v>
      </c>
      <c r="C2556" s="60" t="str">
        <f>IFERROR(__xludf.DUMMYFUNCTION("""COMPUTED_VALUE"""),"DT")</f>
        <v>DT</v>
      </c>
      <c r="D2556" s="60" t="str">
        <f>IFERROR(__xludf.DUMMYFUNCTION("""COMPUTED_VALUE"""),"CHI")</f>
        <v>CHI</v>
      </c>
      <c r="E2556" s="62" t="str">
        <f t="shared" si="4"/>
        <v>Jordan van den Berg</v>
      </c>
      <c r="F2556" s="62">
        <f t="shared" ref="F2556:G2556" si="5111">IF(isblank(F$1),,IF(isblank($A2556),,IFERROR(vlookup($A2556,indirect("'TVC-"&amp;text(month(F$1),"00")&amp;"'!$A:$D"),4,false),1)))</f>
        <v>1</v>
      </c>
      <c r="G2556" s="62">
        <f t="shared" si="5111"/>
        <v>1</v>
      </c>
      <c r="H2556" s="62">
        <f t="shared" ref="H2556:Q2556" si="5112">IF(isblank(H$1),,IFERROR(vlookup($A2556,indirect("'TVC-"&amp;text(month(H$1),"00")&amp;"'!$A:$D"),4,false),1))</f>
        <v>1</v>
      </c>
      <c r="I2556" s="62">
        <f t="shared" si="5112"/>
        <v>1</v>
      </c>
      <c r="J2556" s="62">
        <f t="shared" si="5112"/>
        <v>1</v>
      </c>
      <c r="K2556" s="62">
        <f t="shared" si="5112"/>
        <v>1</v>
      </c>
      <c r="L2556" s="62">
        <f t="shared" si="5112"/>
        <v>1</v>
      </c>
      <c r="M2556" s="62">
        <f t="shared" si="5112"/>
        <v>1</v>
      </c>
      <c r="N2556" s="62">
        <f t="shared" si="5112"/>
        <v>1</v>
      </c>
      <c r="O2556" s="62">
        <f t="shared" si="5112"/>
        <v>1</v>
      </c>
      <c r="P2556" s="62" t="str">
        <f t="shared" si="5112"/>
        <v/>
      </c>
      <c r="Q2556" s="62" t="str">
        <f t="shared" si="5112"/>
        <v/>
      </c>
      <c r="R2556" s="62">
        <f t="shared" si="7"/>
        <v>0</v>
      </c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</row>
    <row r="2557">
      <c r="A2557" s="60">
        <f>IFERROR(__xludf.DUMMYFUNCTION("""COMPUTED_VALUE"""),17667.0)</f>
        <v>17667</v>
      </c>
      <c r="B2557" s="60" t="str">
        <f>IFERROR(__xludf.DUMMYFUNCTION("""COMPUTED_VALUE"""),"Perkins, Harold")</f>
        <v>Perkins, Harold</v>
      </c>
      <c r="C2557" s="60" t="str">
        <f>IFERROR(__xludf.DUMMYFUNCTION("""COMPUTED_VALUE"""),"LB")</f>
        <v>LB</v>
      </c>
      <c r="D2557" s="60" t="str">
        <f>IFERROR(__xludf.DUMMYFUNCTION("""COMPUTED_VALUE"""),"ATL")</f>
        <v>ATL</v>
      </c>
      <c r="E2557" s="62" t="str">
        <f t="shared" si="4"/>
        <v>Harold Perkins</v>
      </c>
      <c r="F2557" s="62">
        <f t="shared" ref="F2557:G2557" si="5113">IF(isblank(F$1),,IF(isblank($A2557),,IFERROR(vlookup($A2557,indirect("'TVC-"&amp;text(month(F$1),"00")&amp;"'!$A:$D"),4,false),1)))</f>
        <v>1</v>
      </c>
      <c r="G2557" s="62">
        <f t="shared" si="5113"/>
        <v>1</v>
      </c>
      <c r="H2557" s="62">
        <f t="shared" ref="H2557:Q2557" si="5114">IF(isblank(H$1),,IFERROR(vlookup($A2557,indirect("'TVC-"&amp;text(month(H$1),"00")&amp;"'!$A:$D"),4,false),1))</f>
        <v>1</v>
      </c>
      <c r="I2557" s="62">
        <f t="shared" si="5114"/>
        <v>1</v>
      </c>
      <c r="J2557" s="62">
        <f t="shared" si="5114"/>
        <v>1</v>
      </c>
      <c r="K2557" s="62">
        <f t="shared" si="5114"/>
        <v>1</v>
      </c>
      <c r="L2557" s="62">
        <f t="shared" si="5114"/>
        <v>1</v>
      </c>
      <c r="M2557" s="62">
        <f t="shared" si="5114"/>
        <v>1</v>
      </c>
      <c r="N2557" s="62">
        <f t="shared" si="5114"/>
        <v>1</v>
      </c>
      <c r="O2557" s="62">
        <f t="shared" si="5114"/>
        <v>1</v>
      </c>
      <c r="P2557" s="62" t="str">
        <f t="shared" si="5114"/>
        <v/>
      </c>
      <c r="Q2557" s="62" t="str">
        <f t="shared" si="5114"/>
        <v/>
      </c>
      <c r="R2557" s="62">
        <f t="shared" si="7"/>
        <v>0</v>
      </c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</row>
    <row r="2558" hidden="1">
      <c r="A2558" s="60">
        <f>IFERROR(__xludf.DUMMYFUNCTION("""COMPUTED_VALUE"""),17668.0)</f>
        <v>17668</v>
      </c>
      <c r="B2558" s="60" t="str">
        <f>IFERROR(__xludf.DUMMYFUNCTION("""COMPUTED_VALUE"""),"Smack, Trey")</f>
        <v>Smack, Trey</v>
      </c>
      <c r="C2558" s="60" t="str">
        <f>IFERROR(__xludf.DUMMYFUNCTION("""COMPUTED_VALUE"""),"PK")</f>
        <v>PK</v>
      </c>
      <c r="D2558" s="60" t="str">
        <f>IFERROR(__xludf.DUMMYFUNCTION("""COMPUTED_VALUE"""),"GBP")</f>
        <v>GBP</v>
      </c>
      <c r="E2558" s="62" t="str">
        <f t="shared" si="4"/>
        <v>Trey Smack</v>
      </c>
      <c r="F2558" s="62">
        <f t="shared" ref="F2558:G2558" si="5115">IF(isblank(F$1),,IF(isblank($A2558),,IFERROR(vlookup($A2558,indirect("'TVC-"&amp;text(month(F$1),"00")&amp;"'!$A:$D"),4,false),1)))</f>
        <v>1</v>
      </c>
      <c r="G2558" s="62">
        <f t="shared" si="5115"/>
        <v>1</v>
      </c>
      <c r="H2558" s="62">
        <f t="shared" ref="H2558:Q2558" si="5116">IF(isblank(H$1),,IFERROR(vlookup($A2558,indirect("'TVC-"&amp;text(month(H$1),"00")&amp;"'!$A:$D"),4,false),1))</f>
        <v>1</v>
      </c>
      <c r="I2558" s="62">
        <f t="shared" si="5116"/>
        <v>1</v>
      </c>
      <c r="J2558" s="62">
        <f t="shared" si="5116"/>
        <v>1</v>
      </c>
      <c r="K2558" s="62">
        <f t="shared" si="5116"/>
        <v>1</v>
      </c>
      <c r="L2558" s="62">
        <f t="shared" si="5116"/>
        <v>1</v>
      </c>
      <c r="M2558" s="62">
        <f t="shared" si="5116"/>
        <v>1</v>
      </c>
      <c r="N2558" s="62">
        <f t="shared" si="5116"/>
        <v>1</v>
      </c>
      <c r="O2558" s="62">
        <f t="shared" si="5116"/>
        <v>1</v>
      </c>
      <c r="P2558" s="62" t="str">
        <f t="shared" si="5116"/>
        <v/>
      </c>
      <c r="Q2558" s="62" t="str">
        <f t="shared" si="5116"/>
        <v/>
      </c>
      <c r="R2558" s="62">
        <f t="shared" si="7"/>
        <v>0</v>
      </c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</row>
    <row r="2559" hidden="1">
      <c r="A2559" s="60">
        <f>IFERROR(__xludf.DUMMYFUNCTION("""COMPUTED_VALUE"""),17669.0)</f>
        <v>17669</v>
      </c>
      <c r="B2559" s="60" t="str">
        <f>IFERROR(__xludf.DUMMYFUNCTION("""COMPUTED_VALUE"""),"Henderson, Emmanuel")</f>
        <v>Henderson, Emmanuel</v>
      </c>
      <c r="C2559" s="60" t="str">
        <f>IFERROR(__xludf.DUMMYFUNCTION("""COMPUTED_VALUE"""),"WR")</f>
        <v>WR</v>
      </c>
      <c r="D2559" s="60" t="str">
        <f>IFERROR(__xludf.DUMMYFUNCTION("""COMPUTED_VALUE"""),"SEA")</f>
        <v>SEA</v>
      </c>
      <c r="E2559" s="62" t="str">
        <f t="shared" si="4"/>
        <v>Emmanuel Henderson</v>
      </c>
      <c r="F2559" s="62">
        <f t="shared" ref="F2559:G2559" si="5117">IF(isblank(F$1),,IF(isblank($A2559),,IFERROR(vlookup($A2559,indirect("'TVC-"&amp;text(month(F$1),"00")&amp;"'!$A:$D"),4,false),1)))</f>
        <v>1</v>
      </c>
      <c r="G2559" s="62">
        <f t="shared" si="5117"/>
        <v>1</v>
      </c>
      <c r="H2559" s="62">
        <f t="shared" ref="H2559:Q2559" si="5118">IF(isblank(H$1),,IFERROR(vlookup($A2559,indirect("'TVC-"&amp;text(month(H$1),"00")&amp;"'!$A:$D"),4,false),1))</f>
        <v>1</v>
      </c>
      <c r="I2559" s="62">
        <f t="shared" si="5118"/>
        <v>1</v>
      </c>
      <c r="J2559" s="62">
        <f t="shared" si="5118"/>
        <v>1</v>
      </c>
      <c r="K2559" s="62">
        <f t="shared" si="5118"/>
        <v>1</v>
      </c>
      <c r="L2559" s="62">
        <f t="shared" si="5118"/>
        <v>1</v>
      </c>
      <c r="M2559" s="62">
        <f t="shared" si="5118"/>
        <v>1</v>
      </c>
      <c r="N2559" s="62">
        <f t="shared" si="5118"/>
        <v>1</v>
      </c>
      <c r="O2559" s="62">
        <f t="shared" si="5118"/>
        <v>1</v>
      </c>
      <c r="P2559" s="62" t="str">
        <f t="shared" si="5118"/>
        <v/>
      </c>
      <c r="Q2559" s="62" t="str">
        <f t="shared" si="5118"/>
        <v/>
      </c>
      <c r="R2559" s="62">
        <f t="shared" si="7"/>
        <v>0</v>
      </c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</row>
    <row r="2560" hidden="1">
      <c r="A2560" s="60">
        <f>IFERROR(__xludf.DUMMYFUNCTION("""COMPUTED_VALUE"""),17670.0)</f>
        <v>17670</v>
      </c>
      <c r="B2560" s="60" t="str">
        <f>IFERROR(__xludf.DUMMYFUNCTION("""COMPUTED_VALUE"""),"Jackson, Domani")</f>
        <v>Jackson, Domani</v>
      </c>
      <c r="C2560" s="60" t="str">
        <f>IFERROR(__xludf.DUMMYFUNCTION("""COMPUTED_VALUE"""),"CB")</f>
        <v>CB</v>
      </c>
      <c r="D2560" s="60" t="str">
        <f>IFERROR(__xludf.DUMMYFUNCTION("""COMPUTED_VALUE"""),"GBP")</f>
        <v>GBP</v>
      </c>
      <c r="E2560" s="62" t="str">
        <f t="shared" si="4"/>
        <v>Domani Jackson</v>
      </c>
      <c r="F2560" s="62">
        <f t="shared" ref="F2560:G2560" si="5119">IF(isblank(F$1),,IF(isblank($A2560),,IFERROR(vlookup($A2560,indirect("'TVC-"&amp;text(month(F$1),"00")&amp;"'!$A:$D"),4,false),1)))</f>
        <v>1</v>
      </c>
      <c r="G2560" s="62">
        <f t="shared" si="5119"/>
        <v>1</v>
      </c>
      <c r="H2560" s="62">
        <f t="shared" ref="H2560:Q2560" si="5120">IF(isblank(H$1),,IFERROR(vlookup($A2560,indirect("'TVC-"&amp;text(month(H$1),"00")&amp;"'!$A:$D"),4,false),1))</f>
        <v>1</v>
      </c>
      <c r="I2560" s="62">
        <f t="shared" si="5120"/>
        <v>1</v>
      </c>
      <c r="J2560" s="62">
        <f t="shared" si="5120"/>
        <v>1</v>
      </c>
      <c r="K2560" s="62">
        <f t="shared" si="5120"/>
        <v>1</v>
      </c>
      <c r="L2560" s="62">
        <f t="shared" si="5120"/>
        <v>1</v>
      </c>
      <c r="M2560" s="62">
        <f t="shared" si="5120"/>
        <v>1</v>
      </c>
      <c r="N2560" s="62">
        <f t="shared" si="5120"/>
        <v>1</v>
      </c>
      <c r="O2560" s="62">
        <f t="shared" si="5120"/>
        <v>1</v>
      </c>
      <c r="P2560" s="62" t="str">
        <f t="shared" si="5120"/>
        <v/>
      </c>
      <c r="Q2560" s="62" t="str">
        <f t="shared" si="5120"/>
        <v/>
      </c>
      <c r="R2560" s="62">
        <f t="shared" si="7"/>
        <v>0</v>
      </c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</row>
    <row r="2561" hidden="1">
      <c r="A2561" s="60">
        <f>IFERROR(__xludf.DUMMYFUNCTION("""COMPUTED_VALUE"""),17671.0)</f>
        <v>17671</v>
      </c>
      <c r="B2561" s="60" t="str">
        <f>IFERROR(__xludf.DUMMYFUNCTION("""COMPUTED_VALUE"""),"Williams, C.J.")</f>
        <v>Williams, C.J.</v>
      </c>
      <c r="C2561" s="60" t="str">
        <f>IFERROR(__xludf.DUMMYFUNCTION("""COMPUTED_VALUE"""),"WR")</f>
        <v>WR</v>
      </c>
      <c r="D2561" s="60" t="str">
        <f>IFERROR(__xludf.DUMMYFUNCTION("""COMPUTED_VALUE"""),"JAC")</f>
        <v>JAC</v>
      </c>
      <c r="E2561" s="62" t="str">
        <f t="shared" si="4"/>
        <v>C.J. Williams</v>
      </c>
      <c r="F2561" s="62">
        <f t="shared" ref="F2561:G2561" si="5121">IF(isblank(F$1),,IF(isblank($A2561),,IFERROR(vlookup($A2561,indirect("'TVC-"&amp;text(month(F$1),"00")&amp;"'!$A:$D"),4,false),1)))</f>
        <v>1</v>
      </c>
      <c r="G2561" s="62">
        <f t="shared" si="5121"/>
        <v>1</v>
      </c>
      <c r="H2561" s="62">
        <f t="shared" ref="H2561:Q2561" si="5122">IF(isblank(H$1),,IFERROR(vlookup($A2561,indirect("'TVC-"&amp;text(month(H$1),"00")&amp;"'!$A:$D"),4,false),1))</f>
        <v>1</v>
      </c>
      <c r="I2561" s="62">
        <f t="shared" si="5122"/>
        <v>1</v>
      </c>
      <c r="J2561" s="62">
        <f t="shared" si="5122"/>
        <v>1</v>
      </c>
      <c r="K2561" s="62">
        <f t="shared" si="5122"/>
        <v>1</v>
      </c>
      <c r="L2561" s="62">
        <f t="shared" si="5122"/>
        <v>1</v>
      </c>
      <c r="M2561" s="62">
        <f t="shared" si="5122"/>
        <v>1</v>
      </c>
      <c r="N2561" s="62">
        <f t="shared" si="5122"/>
        <v>1</v>
      </c>
      <c r="O2561" s="62">
        <f t="shared" si="5122"/>
        <v>1</v>
      </c>
      <c r="P2561" s="62" t="str">
        <f t="shared" si="5122"/>
        <v/>
      </c>
      <c r="Q2561" s="62" t="str">
        <f t="shared" si="5122"/>
        <v/>
      </c>
      <c r="R2561" s="62">
        <f t="shared" si="7"/>
        <v>0</v>
      </c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</row>
    <row r="2562" hidden="1">
      <c r="A2562" s="60">
        <f>IFERROR(__xludf.DUMMYFUNCTION("""COMPUTED_VALUE"""),17672.0)</f>
        <v>17672</v>
      </c>
      <c r="B2562" s="60" t="str">
        <f>IFERROR(__xludf.DUMMYFUNCTION("""COMPUTED_VALUE"""),"Gill-Howard, Skyler")</f>
        <v>Gill-Howard, Skyler</v>
      </c>
      <c r="C2562" s="60" t="str">
        <f>IFERROR(__xludf.DUMMYFUNCTION("""COMPUTED_VALUE"""),"DT")</f>
        <v>DT</v>
      </c>
      <c r="D2562" s="60" t="str">
        <f>IFERROR(__xludf.DUMMYFUNCTION("""COMPUTED_VALUE"""),"DET")</f>
        <v>DET</v>
      </c>
      <c r="E2562" s="62" t="str">
        <f t="shared" si="4"/>
        <v>Skyler Gill-Howard</v>
      </c>
      <c r="F2562" s="62">
        <f t="shared" ref="F2562:G2562" si="5123">IF(isblank(F$1),,IF(isblank($A2562),,IFERROR(vlookup($A2562,indirect("'TVC-"&amp;text(month(F$1),"00")&amp;"'!$A:$D"),4,false),1)))</f>
        <v>1</v>
      </c>
      <c r="G2562" s="62">
        <f t="shared" si="5123"/>
        <v>1</v>
      </c>
      <c r="H2562" s="62">
        <f t="shared" ref="H2562:Q2562" si="5124">IF(isblank(H$1),,IFERROR(vlookup($A2562,indirect("'TVC-"&amp;text(month(H$1),"00")&amp;"'!$A:$D"),4,false),1))</f>
        <v>1</v>
      </c>
      <c r="I2562" s="62">
        <f t="shared" si="5124"/>
        <v>1</v>
      </c>
      <c r="J2562" s="62">
        <f t="shared" si="5124"/>
        <v>1</v>
      </c>
      <c r="K2562" s="62">
        <f t="shared" si="5124"/>
        <v>1</v>
      </c>
      <c r="L2562" s="62">
        <f t="shared" si="5124"/>
        <v>1</v>
      </c>
      <c r="M2562" s="62">
        <f t="shared" si="5124"/>
        <v>1</v>
      </c>
      <c r="N2562" s="62">
        <f t="shared" si="5124"/>
        <v>1</v>
      </c>
      <c r="O2562" s="62">
        <f t="shared" si="5124"/>
        <v>1</v>
      </c>
      <c r="P2562" s="62" t="str">
        <f t="shared" si="5124"/>
        <v/>
      </c>
      <c r="Q2562" s="62" t="str">
        <f t="shared" si="5124"/>
        <v/>
      </c>
      <c r="R2562" s="62">
        <f t="shared" si="7"/>
        <v>0</v>
      </c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</row>
    <row r="2563" hidden="1">
      <c r="A2563" s="60">
        <f>IFERROR(__xludf.DUMMYFUNCTION("""COMPUTED_VALUE"""),17673.0)</f>
        <v>17673</v>
      </c>
      <c r="B2563" s="60" t="str">
        <f>IFERROR(__xludf.DUMMYFUNCTION("""COMPUTED_VALUE"""),"Rubio, Gabriel")</f>
        <v>Rubio, Gabriel</v>
      </c>
      <c r="C2563" s="60" t="str">
        <f>IFERROR(__xludf.DUMMYFUNCTION("""COMPUTED_VALUE"""),"DT")</f>
        <v>DT</v>
      </c>
      <c r="D2563" s="60" t="str">
        <f>IFERROR(__xludf.DUMMYFUNCTION("""COMPUTED_VALUE"""),"PIT")</f>
        <v>PIT</v>
      </c>
      <c r="E2563" s="62" t="str">
        <f t="shared" si="4"/>
        <v>Gabriel Rubio</v>
      </c>
      <c r="F2563" s="62">
        <f t="shared" ref="F2563:G2563" si="5125">IF(isblank(F$1),,IF(isblank($A2563),,IFERROR(vlookup($A2563,indirect("'TVC-"&amp;text(month(F$1),"00")&amp;"'!$A:$D"),4,false),1)))</f>
        <v>1</v>
      </c>
      <c r="G2563" s="62">
        <f t="shared" si="5125"/>
        <v>1</v>
      </c>
      <c r="H2563" s="62">
        <f t="shared" ref="H2563:Q2563" si="5126">IF(isblank(H$1),,IFERROR(vlookup($A2563,indirect("'TVC-"&amp;text(month(H$1),"00")&amp;"'!$A:$D"),4,false),1))</f>
        <v>1</v>
      </c>
      <c r="I2563" s="62">
        <f t="shared" si="5126"/>
        <v>1</v>
      </c>
      <c r="J2563" s="62">
        <f t="shared" si="5126"/>
        <v>1</v>
      </c>
      <c r="K2563" s="62">
        <f t="shared" si="5126"/>
        <v>1</v>
      </c>
      <c r="L2563" s="62">
        <f t="shared" si="5126"/>
        <v>1</v>
      </c>
      <c r="M2563" s="62">
        <f t="shared" si="5126"/>
        <v>1</v>
      </c>
      <c r="N2563" s="62">
        <f t="shared" si="5126"/>
        <v>1</v>
      </c>
      <c r="O2563" s="62">
        <f t="shared" si="5126"/>
        <v>1</v>
      </c>
      <c r="P2563" s="62" t="str">
        <f t="shared" si="5126"/>
        <v/>
      </c>
      <c r="Q2563" s="62" t="str">
        <f t="shared" si="5126"/>
        <v/>
      </c>
      <c r="R2563" s="62">
        <f t="shared" si="7"/>
        <v>0</v>
      </c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</row>
    <row r="2564" hidden="1">
      <c r="A2564" s="60">
        <f>IFERROR(__xludf.DUMMYFUNCTION("""COMPUTED_VALUE"""),17674.0)</f>
        <v>17674</v>
      </c>
      <c r="B2564" s="60" t="str">
        <f>IFERROR(__xludf.DUMMYFUNCTION("""COMPUTED_VALUE"""),"Curry, Caden")</f>
        <v>Curry, Caden</v>
      </c>
      <c r="C2564" s="60" t="str">
        <f>IFERROR(__xludf.DUMMYFUNCTION("""COMPUTED_VALUE"""),"DE")</f>
        <v>DE</v>
      </c>
      <c r="D2564" s="60" t="str">
        <f>IFERROR(__xludf.DUMMYFUNCTION("""COMPUTED_VALUE"""),"IND")</f>
        <v>IND</v>
      </c>
      <c r="E2564" s="62" t="str">
        <f t="shared" si="4"/>
        <v>Caden Curry</v>
      </c>
      <c r="F2564" s="62">
        <f t="shared" ref="F2564:G2564" si="5127">IF(isblank(F$1),,IF(isblank($A2564),,IFERROR(vlookup($A2564,indirect("'TVC-"&amp;text(month(F$1),"00")&amp;"'!$A:$D"),4,false),1)))</f>
        <v>1</v>
      </c>
      <c r="G2564" s="62">
        <f t="shared" si="5127"/>
        <v>1</v>
      </c>
      <c r="H2564" s="62">
        <f t="shared" ref="H2564:Q2564" si="5128">IF(isblank(H$1),,IFERROR(vlookup($A2564,indirect("'TVC-"&amp;text(month(H$1),"00")&amp;"'!$A:$D"),4,false),1))</f>
        <v>1</v>
      </c>
      <c r="I2564" s="62">
        <f t="shared" si="5128"/>
        <v>1</v>
      </c>
      <c r="J2564" s="62">
        <f t="shared" si="5128"/>
        <v>1</v>
      </c>
      <c r="K2564" s="62">
        <f t="shared" si="5128"/>
        <v>1</v>
      </c>
      <c r="L2564" s="62">
        <f t="shared" si="5128"/>
        <v>1</v>
      </c>
      <c r="M2564" s="62">
        <f t="shared" si="5128"/>
        <v>1</v>
      </c>
      <c r="N2564" s="62">
        <f t="shared" si="5128"/>
        <v>1</v>
      </c>
      <c r="O2564" s="62">
        <f t="shared" si="5128"/>
        <v>1</v>
      </c>
      <c r="P2564" s="62" t="str">
        <f t="shared" si="5128"/>
        <v/>
      </c>
      <c r="Q2564" s="62" t="str">
        <f t="shared" si="5128"/>
        <v/>
      </c>
      <c r="R2564" s="62">
        <f t="shared" si="7"/>
        <v>0</v>
      </c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</row>
    <row r="2565" hidden="1">
      <c r="A2565" s="60">
        <f>IFERROR(__xludf.DUMMYFUNCTION("""COMPUTED_VALUE"""),17675.0)</f>
        <v>17675</v>
      </c>
      <c r="B2565" s="60" t="str">
        <f>IFERROR(__xludf.DUMMYFUNCTION("""COMPUTED_VALUE"""),"Smith, Anthony")</f>
        <v>Smith, Anthony</v>
      </c>
      <c r="C2565" s="60" t="str">
        <f>IFERROR(__xludf.DUMMYFUNCTION("""COMPUTED_VALUE"""),"WR")</f>
        <v>WR</v>
      </c>
      <c r="D2565" s="60" t="str">
        <f>IFERROR(__xludf.DUMMYFUNCTION("""COMPUTED_VALUE"""),"FA")</f>
        <v>FA</v>
      </c>
      <c r="E2565" s="62" t="str">
        <f t="shared" si="4"/>
        <v>Anthony Smith</v>
      </c>
      <c r="F2565" s="62">
        <f t="shared" ref="F2565:G2565" si="5129">IF(isblank(F$1),,IF(isblank($A2565),,IFERROR(vlookup($A2565,indirect("'TVC-"&amp;text(month(F$1),"00")&amp;"'!$A:$D"),4,false),1)))</f>
        <v>1</v>
      </c>
      <c r="G2565" s="62">
        <f t="shared" si="5129"/>
        <v>1</v>
      </c>
      <c r="H2565" s="62">
        <f t="shared" ref="H2565:Q2565" si="5130">IF(isblank(H$1),,IFERROR(vlookup($A2565,indirect("'TVC-"&amp;text(month(H$1),"00")&amp;"'!$A:$D"),4,false),1))</f>
        <v>1</v>
      </c>
      <c r="I2565" s="62">
        <f t="shared" si="5130"/>
        <v>1</v>
      </c>
      <c r="J2565" s="62">
        <f t="shared" si="5130"/>
        <v>1</v>
      </c>
      <c r="K2565" s="62">
        <f t="shared" si="5130"/>
        <v>1</v>
      </c>
      <c r="L2565" s="62">
        <f t="shared" si="5130"/>
        <v>1</v>
      </c>
      <c r="M2565" s="62">
        <f t="shared" si="5130"/>
        <v>1</v>
      </c>
      <c r="N2565" s="62">
        <f t="shared" si="5130"/>
        <v>1</v>
      </c>
      <c r="O2565" s="62">
        <f t="shared" si="5130"/>
        <v>1</v>
      </c>
      <c r="P2565" s="62" t="str">
        <f t="shared" si="5130"/>
        <v/>
      </c>
      <c r="Q2565" s="62" t="str">
        <f t="shared" si="5130"/>
        <v/>
      </c>
      <c r="R2565" s="62">
        <f t="shared" si="7"/>
        <v>0</v>
      </c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</row>
    <row r="2566" hidden="1">
      <c r="A2566" s="60">
        <f>IFERROR(__xludf.DUMMYFUNCTION("""COMPUTED_VALUE"""),17676.0)</f>
        <v>17676</v>
      </c>
      <c r="B2566" s="60" t="str">
        <f>IFERROR(__xludf.DUMMYFUNCTION("""COMPUTED_VALUE"""),"Hall, TJ")</f>
        <v>Hall, TJ</v>
      </c>
      <c r="C2566" s="60" t="str">
        <f>IFERROR(__xludf.DUMMYFUNCTION("""COMPUTED_VALUE"""),"CB")</f>
        <v>CB</v>
      </c>
      <c r="D2566" s="60" t="str">
        <f>IFERROR(__xludf.DUMMYFUNCTION("""COMPUTED_VALUE"""),"NOS")</f>
        <v>NOS</v>
      </c>
      <c r="E2566" s="62" t="str">
        <f t="shared" si="4"/>
        <v>TJ Hall</v>
      </c>
      <c r="F2566" s="62">
        <f t="shared" ref="F2566:G2566" si="5131">IF(isblank(F$1),,IF(isblank($A2566),,IFERROR(vlookup($A2566,indirect("'TVC-"&amp;text(month(F$1),"00")&amp;"'!$A:$D"),4,false),1)))</f>
        <v>1</v>
      </c>
      <c r="G2566" s="62">
        <f t="shared" si="5131"/>
        <v>1</v>
      </c>
      <c r="H2566" s="62">
        <f t="shared" ref="H2566:Q2566" si="5132">IF(isblank(H$1),,IFERROR(vlookup($A2566,indirect("'TVC-"&amp;text(month(H$1),"00")&amp;"'!$A:$D"),4,false),1))</f>
        <v>1</v>
      </c>
      <c r="I2566" s="62">
        <f t="shared" si="5132"/>
        <v>1</v>
      </c>
      <c r="J2566" s="62">
        <f t="shared" si="5132"/>
        <v>1</v>
      </c>
      <c r="K2566" s="62">
        <f t="shared" si="5132"/>
        <v>1</v>
      </c>
      <c r="L2566" s="62">
        <f t="shared" si="5132"/>
        <v>1</v>
      </c>
      <c r="M2566" s="62">
        <f t="shared" si="5132"/>
        <v>1</v>
      </c>
      <c r="N2566" s="62">
        <f t="shared" si="5132"/>
        <v>1</v>
      </c>
      <c r="O2566" s="62">
        <f t="shared" si="5132"/>
        <v>1</v>
      </c>
      <c r="P2566" s="62" t="str">
        <f t="shared" si="5132"/>
        <v/>
      </c>
      <c r="Q2566" s="62" t="str">
        <f t="shared" si="5132"/>
        <v/>
      </c>
      <c r="R2566" s="62">
        <f t="shared" si="7"/>
        <v>0</v>
      </c>
      <c r="S2566" s="62"/>
      <c r="T2566" s="62"/>
      <c r="U2566" s="62"/>
      <c r="V2566" s="62"/>
      <c r="W2566" s="62"/>
      <c r="X2566" s="62"/>
      <c r="Y2566" s="62"/>
      <c r="Z2566" s="62"/>
      <c r="AA2566" s="62"/>
      <c r="AB2566" s="62"/>
      <c r="AC2566" s="62"/>
    </row>
    <row r="2567" hidden="1">
      <c r="A2567" s="60">
        <f>IFERROR(__xludf.DUMMYFUNCTION("""COMPUTED_VALUE"""),17677.0)</f>
        <v>17677</v>
      </c>
      <c r="B2567" s="60" t="str">
        <f>IFERROR(__xludf.DUMMYFUNCTION("""COMPUTED_VALUE"""),"Pride, Toriano")</f>
        <v>Pride, Toriano</v>
      </c>
      <c r="C2567" s="60" t="str">
        <f>IFERROR(__xludf.DUMMYFUNCTION("""COMPUTED_VALUE"""),"CB")</f>
        <v>CB</v>
      </c>
      <c r="D2567" s="60" t="str">
        <f>IFERROR(__xludf.DUMMYFUNCTION("""COMPUTED_VALUE"""),"CLE")</f>
        <v>CLE</v>
      </c>
      <c r="E2567" s="62" t="str">
        <f t="shared" si="4"/>
        <v>Toriano Pride</v>
      </c>
      <c r="F2567" s="62">
        <f t="shared" ref="F2567:G2567" si="5133">IF(isblank(F$1),,IF(isblank($A2567),,IFERROR(vlookup($A2567,indirect("'TVC-"&amp;text(month(F$1),"00")&amp;"'!$A:$D"),4,false),1)))</f>
        <v>1</v>
      </c>
      <c r="G2567" s="62">
        <f t="shared" si="5133"/>
        <v>1</v>
      </c>
      <c r="H2567" s="62">
        <f t="shared" ref="H2567:Q2567" si="5134">IF(isblank(H$1),,IFERROR(vlookup($A2567,indirect("'TVC-"&amp;text(month(H$1),"00")&amp;"'!$A:$D"),4,false),1))</f>
        <v>1</v>
      </c>
      <c r="I2567" s="62">
        <f t="shared" si="5134"/>
        <v>1</v>
      </c>
      <c r="J2567" s="62">
        <f t="shared" si="5134"/>
        <v>1</v>
      </c>
      <c r="K2567" s="62">
        <f t="shared" si="5134"/>
        <v>1</v>
      </c>
      <c r="L2567" s="62">
        <f t="shared" si="5134"/>
        <v>1</v>
      </c>
      <c r="M2567" s="62">
        <f t="shared" si="5134"/>
        <v>1</v>
      </c>
      <c r="N2567" s="62">
        <f t="shared" si="5134"/>
        <v>1</v>
      </c>
      <c r="O2567" s="62">
        <f t="shared" si="5134"/>
        <v>1</v>
      </c>
      <c r="P2567" s="62" t="str">
        <f t="shared" si="5134"/>
        <v/>
      </c>
      <c r="Q2567" s="62" t="str">
        <f t="shared" si="5134"/>
        <v/>
      </c>
      <c r="R2567" s="62">
        <f t="shared" si="7"/>
        <v>0</v>
      </c>
      <c r="S2567" s="62"/>
      <c r="T2567" s="62"/>
      <c r="U2567" s="62"/>
      <c r="V2567" s="62"/>
      <c r="W2567" s="62"/>
      <c r="X2567" s="62"/>
      <c r="Y2567" s="62"/>
      <c r="Z2567" s="62"/>
      <c r="AA2567" s="62"/>
      <c r="AB2567" s="62"/>
      <c r="AC2567" s="62"/>
    </row>
    <row r="2568" hidden="1">
      <c r="A2568" s="60">
        <f>IFERROR(__xludf.DUMMYFUNCTION("""COMPUTED_VALUE"""),17678.0)</f>
        <v>17678</v>
      </c>
      <c r="B2568" s="60" t="str">
        <f>IFERROR(__xludf.DUMMYFUNCTION("""COMPUTED_VALUE"""),"West, Tyre")</f>
        <v>West, Tyre</v>
      </c>
      <c r="C2568" s="60" t="str">
        <f>IFERROR(__xludf.DUMMYFUNCTION("""COMPUTED_VALUE"""),"DT")</f>
        <v>DT</v>
      </c>
      <c r="D2568" s="60" t="str">
        <f>IFERROR(__xludf.DUMMYFUNCTION("""COMPUTED_VALUE"""),"DET")</f>
        <v>DET</v>
      </c>
      <c r="E2568" s="62" t="str">
        <f t="shared" si="4"/>
        <v>Tyre West</v>
      </c>
      <c r="F2568" s="62">
        <f t="shared" ref="F2568:G2568" si="5135">IF(isblank(F$1),,IF(isblank($A2568),,IFERROR(vlookup($A2568,indirect("'TVC-"&amp;text(month(F$1),"00")&amp;"'!$A:$D"),4,false),1)))</f>
        <v>1</v>
      </c>
      <c r="G2568" s="62">
        <f t="shared" si="5135"/>
        <v>1</v>
      </c>
      <c r="H2568" s="62">
        <f t="shared" ref="H2568:Q2568" si="5136">IF(isblank(H$1),,IFERROR(vlookup($A2568,indirect("'TVC-"&amp;text(month(H$1),"00")&amp;"'!$A:$D"),4,false),1))</f>
        <v>1</v>
      </c>
      <c r="I2568" s="62">
        <f t="shared" si="5136"/>
        <v>1</v>
      </c>
      <c r="J2568" s="62">
        <f t="shared" si="5136"/>
        <v>1</v>
      </c>
      <c r="K2568" s="62">
        <f t="shared" si="5136"/>
        <v>1</v>
      </c>
      <c r="L2568" s="62">
        <f t="shared" si="5136"/>
        <v>1</v>
      </c>
      <c r="M2568" s="62">
        <f t="shared" si="5136"/>
        <v>1</v>
      </c>
      <c r="N2568" s="62">
        <f t="shared" si="5136"/>
        <v>1</v>
      </c>
      <c r="O2568" s="62">
        <f t="shared" si="5136"/>
        <v>1</v>
      </c>
      <c r="P2568" s="62" t="str">
        <f t="shared" si="5136"/>
        <v/>
      </c>
      <c r="Q2568" s="62" t="str">
        <f t="shared" si="5136"/>
        <v/>
      </c>
      <c r="R2568" s="62">
        <f t="shared" si="7"/>
        <v>0</v>
      </c>
      <c r="S2568" s="62"/>
      <c r="T2568" s="62"/>
      <c r="U2568" s="62"/>
      <c r="V2568" s="62"/>
      <c r="W2568" s="62"/>
      <c r="X2568" s="62"/>
      <c r="Y2568" s="62"/>
      <c r="Z2568" s="62"/>
      <c r="AA2568" s="62"/>
      <c r="AB2568" s="62"/>
      <c r="AC2568" s="62"/>
    </row>
    <row r="2569" hidden="1">
      <c r="A2569" s="60">
        <f>IFERROR(__xludf.DUMMYFUNCTION("""COMPUTED_VALUE"""),17679.0)</f>
        <v>17679</v>
      </c>
      <c r="B2569" s="60" t="str">
        <f>IFERROR(__xludf.DUMMYFUNCTION("""COMPUTED_VALUE"""),"Kaliakmanis, Athan")</f>
        <v>Kaliakmanis, Athan</v>
      </c>
      <c r="C2569" s="60" t="str">
        <f>IFERROR(__xludf.DUMMYFUNCTION("""COMPUTED_VALUE"""),"QB")</f>
        <v>QB</v>
      </c>
      <c r="D2569" s="60" t="str">
        <f>IFERROR(__xludf.DUMMYFUNCTION("""COMPUTED_VALUE"""),"WAS")</f>
        <v>WAS</v>
      </c>
      <c r="E2569" s="62" t="str">
        <f t="shared" si="4"/>
        <v>Athan Kaliakmanis</v>
      </c>
      <c r="F2569" s="62">
        <f t="shared" ref="F2569:G2569" si="5137">IF(isblank(F$1),,IF(isblank($A2569),,IFERROR(vlookup($A2569,indirect("'TVC-"&amp;text(month(F$1),"00")&amp;"'!$A:$D"),4,false),1)))</f>
        <v>1</v>
      </c>
      <c r="G2569" s="62">
        <f t="shared" si="5137"/>
        <v>1</v>
      </c>
      <c r="H2569" s="62">
        <f t="shared" ref="H2569:Q2569" si="5138">IF(isblank(H$1),,IFERROR(vlookup($A2569,indirect("'TVC-"&amp;text(month(H$1),"00")&amp;"'!$A:$D"),4,false),1))</f>
        <v>1</v>
      </c>
      <c r="I2569" s="62">
        <f t="shared" si="5138"/>
        <v>1</v>
      </c>
      <c r="J2569" s="62">
        <f t="shared" si="5138"/>
        <v>1</v>
      </c>
      <c r="K2569" s="62">
        <f t="shared" si="5138"/>
        <v>1</v>
      </c>
      <c r="L2569" s="62">
        <f t="shared" si="5138"/>
        <v>1</v>
      </c>
      <c r="M2569" s="62">
        <f t="shared" si="5138"/>
        <v>1</v>
      </c>
      <c r="N2569" s="62">
        <f t="shared" si="5138"/>
        <v>1</v>
      </c>
      <c r="O2569" s="62">
        <f t="shared" si="5138"/>
        <v>1</v>
      </c>
      <c r="P2569" s="62" t="str">
        <f t="shared" si="5138"/>
        <v/>
      </c>
      <c r="Q2569" s="62" t="str">
        <f t="shared" si="5138"/>
        <v/>
      </c>
      <c r="R2569" s="62">
        <f t="shared" si="7"/>
        <v>0</v>
      </c>
      <c r="S2569" s="62"/>
      <c r="T2569" s="62"/>
      <c r="U2569" s="62"/>
      <c r="V2569" s="62"/>
      <c r="W2569" s="62"/>
      <c r="X2569" s="62"/>
      <c r="Y2569" s="62"/>
      <c r="Z2569" s="62"/>
      <c r="AA2569" s="62"/>
      <c r="AB2569" s="62"/>
      <c r="AC2569" s="62"/>
    </row>
    <row r="2570" hidden="1">
      <c r="A2570" s="60">
        <f>IFERROR(__xludf.DUMMYFUNCTION("""COMPUTED_VALUE"""),17680.0)</f>
        <v>17680</v>
      </c>
      <c r="B2570" s="60" t="str">
        <f>IFERROR(__xludf.DUMMYFUNCTION("""COMPUTED_VALUE"""),"Spears-Jennings, Robert")</f>
        <v>Spears-Jennings, Robert</v>
      </c>
      <c r="C2570" s="60" t="str">
        <f>IFERROR(__xludf.DUMMYFUNCTION("""COMPUTED_VALUE"""),"S")</f>
        <v>S</v>
      </c>
      <c r="D2570" s="60" t="str">
        <f>IFERROR(__xludf.DUMMYFUNCTION("""COMPUTED_VALUE"""),"PIT")</f>
        <v>PIT</v>
      </c>
      <c r="E2570" s="62" t="str">
        <f t="shared" si="4"/>
        <v>Robert Spears-Jennings</v>
      </c>
      <c r="F2570" s="62">
        <f t="shared" ref="F2570:G2570" si="5139">IF(isblank(F$1),,IF(isblank($A2570),,IFERROR(vlookup($A2570,indirect("'TVC-"&amp;text(month(F$1),"00")&amp;"'!$A:$D"),4,false),1)))</f>
        <v>1</v>
      </c>
      <c r="G2570" s="62">
        <f t="shared" si="5139"/>
        <v>1</v>
      </c>
      <c r="H2570" s="62">
        <f t="shared" ref="H2570:Q2570" si="5140">IF(isblank(H$1),,IFERROR(vlookup($A2570,indirect("'TVC-"&amp;text(month(H$1),"00")&amp;"'!$A:$D"),4,false),1))</f>
        <v>1</v>
      </c>
      <c r="I2570" s="62">
        <f t="shared" si="5140"/>
        <v>1</v>
      </c>
      <c r="J2570" s="62">
        <f t="shared" si="5140"/>
        <v>1</v>
      </c>
      <c r="K2570" s="62">
        <f t="shared" si="5140"/>
        <v>1</v>
      </c>
      <c r="L2570" s="62">
        <f t="shared" si="5140"/>
        <v>1</v>
      </c>
      <c r="M2570" s="62">
        <f t="shared" si="5140"/>
        <v>1</v>
      </c>
      <c r="N2570" s="62">
        <f t="shared" si="5140"/>
        <v>1</v>
      </c>
      <c r="O2570" s="62">
        <f t="shared" si="5140"/>
        <v>1</v>
      </c>
      <c r="P2570" s="62" t="str">
        <f t="shared" si="5140"/>
        <v/>
      </c>
      <c r="Q2570" s="62" t="str">
        <f t="shared" si="5140"/>
        <v/>
      </c>
      <c r="R2570" s="62">
        <f t="shared" si="7"/>
        <v>0</v>
      </c>
      <c r="S2570" s="62"/>
      <c r="T2570" s="62"/>
      <c r="U2570" s="62"/>
      <c r="V2570" s="62"/>
      <c r="W2570" s="62"/>
      <c r="X2570" s="62"/>
      <c r="Y2570" s="62"/>
      <c r="Z2570" s="62"/>
      <c r="AA2570" s="62"/>
      <c r="AB2570" s="62"/>
      <c r="AC2570" s="62"/>
    </row>
    <row r="2571" hidden="1">
      <c r="A2571" s="60">
        <f>IFERROR(__xludf.DUMMYFUNCTION("""COMPUTED_VALUE"""),17681.0)</f>
        <v>17681</v>
      </c>
      <c r="B2571" s="60" t="str">
        <f>IFERROR(__xludf.DUMMYFUNCTION("""COMPUTED_VALUE"""),"Kanak, Jaren")</f>
        <v>Kanak, Jaren</v>
      </c>
      <c r="C2571" s="60" t="str">
        <f>IFERROR(__xludf.DUMMYFUNCTION("""COMPUTED_VALUE"""),"TE")</f>
        <v>TE</v>
      </c>
      <c r="D2571" s="60" t="str">
        <f>IFERROR(__xludf.DUMMYFUNCTION("""COMPUTED_VALUE"""),"TEN")</f>
        <v>TEN</v>
      </c>
      <c r="E2571" s="62" t="str">
        <f t="shared" si="4"/>
        <v>Jaren Kanak</v>
      </c>
      <c r="F2571" s="62">
        <f t="shared" ref="F2571:G2571" si="5141">IF(isblank(F$1),,IF(isblank($A2571),,IFERROR(vlookup($A2571,indirect("'TVC-"&amp;text(month(F$1),"00")&amp;"'!$A:$D"),4,false),1)))</f>
        <v>1</v>
      </c>
      <c r="G2571" s="62">
        <f t="shared" si="5141"/>
        <v>1</v>
      </c>
      <c r="H2571" s="62">
        <f t="shared" ref="H2571:Q2571" si="5142">IF(isblank(H$1),,IFERROR(vlookup($A2571,indirect("'TVC-"&amp;text(month(H$1),"00")&amp;"'!$A:$D"),4,false),1))</f>
        <v>1</v>
      </c>
      <c r="I2571" s="62">
        <f t="shared" si="5142"/>
        <v>1</v>
      </c>
      <c r="J2571" s="62">
        <f t="shared" si="5142"/>
        <v>1</v>
      </c>
      <c r="K2571" s="62">
        <f t="shared" si="5142"/>
        <v>1</v>
      </c>
      <c r="L2571" s="62">
        <f t="shared" si="5142"/>
        <v>1</v>
      </c>
      <c r="M2571" s="62">
        <f t="shared" si="5142"/>
        <v>1</v>
      </c>
      <c r="N2571" s="62">
        <f t="shared" si="5142"/>
        <v>1</v>
      </c>
      <c r="O2571" s="62">
        <f t="shared" si="5142"/>
        <v>1</v>
      </c>
      <c r="P2571" s="62" t="str">
        <f t="shared" si="5142"/>
        <v/>
      </c>
      <c r="Q2571" s="62" t="str">
        <f t="shared" si="5142"/>
        <v/>
      </c>
      <c r="R2571" s="62">
        <f t="shared" si="7"/>
        <v>0</v>
      </c>
      <c r="S2571" s="62"/>
      <c r="T2571" s="62"/>
      <c r="U2571" s="62"/>
      <c r="V2571" s="62"/>
      <c r="W2571" s="62"/>
      <c r="X2571" s="62"/>
      <c r="Y2571" s="62"/>
      <c r="Z2571" s="62"/>
      <c r="AA2571" s="62"/>
      <c r="AB2571" s="62"/>
      <c r="AC2571" s="62"/>
    </row>
    <row r="2572" hidden="1">
      <c r="A2572" s="60">
        <f>IFERROR(__xludf.DUMMYFUNCTION("""COMPUTED_VALUE"""),17682.0)</f>
        <v>17682</v>
      </c>
      <c r="B2572" s="60" t="str">
        <f>IFERROR(__xludf.DUMMYFUNCTION("""COMPUTED_VALUE"""),"Robinson, Landon")</f>
        <v>Robinson, Landon</v>
      </c>
      <c r="C2572" s="60" t="str">
        <f>IFERROR(__xludf.DUMMYFUNCTION("""COMPUTED_VALUE"""),"DT")</f>
        <v>DT</v>
      </c>
      <c r="D2572" s="60" t="str">
        <f>IFERROR(__xludf.DUMMYFUNCTION("""COMPUTED_VALUE"""),"CIN")</f>
        <v>CIN</v>
      </c>
      <c r="E2572" s="62" t="str">
        <f t="shared" si="4"/>
        <v>Landon Robinson</v>
      </c>
      <c r="F2572" s="62">
        <f t="shared" ref="F2572:G2572" si="5143">IF(isblank(F$1),,IF(isblank($A2572),,IFERROR(vlookup($A2572,indirect("'TVC-"&amp;text(month(F$1),"00")&amp;"'!$A:$D"),4,false),1)))</f>
        <v>1</v>
      </c>
      <c r="G2572" s="62">
        <f t="shared" si="5143"/>
        <v>1</v>
      </c>
      <c r="H2572" s="62">
        <f t="shared" ref="H2572:Q2572" si="5144">IF(isblank(H$1),,IFERROR(vlookup($A2572,indirect("'TVC-"&amp;text(month(H$1),"00")&amp;"'!$A:$D"),4,false),1))</f>
        <v>1</v>
      </c>
      <c r="I2572" s="62">
        <f t="shared" si="5144"/>
        <v>1</v>
      </c>
      <c r="J2572" s="62">
        <f t="shared" si="5144"/>
        <v>1</v>
      </c>
      <c r="K2572" s="62">
        <f t="shared" si="5144"/>
        <v>1</v>
      </c>
      <c r="L2572" s="62">
        <f t="shared" si="5144"/>
        <v>1</v>
      </c>
      <c r="M2572" s="62">
        <f t="shared" si="5144"/>
        <v>1</v>
      </c>
      <c r="N2572" s="62">
        <f t="shared" si="5144"/>
        <v>1</v>
      </c>
      <c r="O2572" s="62">
        <f t="shared" si="5144"/>
        <v>1</v>
      </c>
      <c r="P2572" s="62" t="str">
        <f t="shared" si="5144"/>
        <v/>
      </c>
      <c r="Q2572" s="62" t="str">
        <f t="shared" si="5144"/>
        <v/>
      </c>
      <c r="R2572" s="62">
        <f t="shared" si="7"/>
        <v>0</v>
      </c>
      <c r="S2572" s="62"/>
      <c r="T2572" s="62"/>
      <c r="U2572" s="62"/>
      <c r="V2572" s="62"/>
      <c r="W2572" s="62"/>
      <c r="X2572" s="62"/>
      <c r="Y2572" s="62"/>
      <c r="Z2572" s="62"/>
      <c r="AA2572" s="62"/>
      <c r="AB2572" s="62"/>
      <c r="AC2572" s="62"/>
    </row>
    <row r="2573" hidden="1">
      <c r="A2573" s="60">
        <f>IFERROR(__xludf.DUMMYFUNCTION("""COMPUTED_VALUE"""),17683.0)</f>
        <v>17683</v>
      </c>
      <c r="B2573" s="60" t="str">
        <f>IFERROR(__xludf.DUMMYFUNCTION("""COMPUTED_VALUE"""),"Kuwatch, Jackson")</f>
        <v>Kuwatch, Jackson</v>
      </c>
      <c r="C2573" s="60" t="str">
        <f>IFERROR(__xludf.DUMMYFUNCTION("""COMPUTED_VALUE"""),"LB")</f>
        <v>LB</v>
      </c>
      <c r="D2573" s="60" t="str">
        <f>IFERROR(__xludf.DUMMYFUNCTION("""COMPUTED_VALUE"""),"CAR")</f>
        <v>CAR</v>
      </c>
      <c r="E2573" s="62" t="str">
        <f t="shared" si="4"/>
        <v>Jackson Kuwatch</v>
      </c>
      <c r="F2573" s="62">
        <f t="shared" ref="F2573:G2573" si="5145">IF(isblank(F$1),,IF(isblank($A2573),,IFERROR(vlookup($A2573,indirect("'TVC-"&amp;text(month(F$1),"00")&amp;"'!$A:$D"),4,false),1)))</f>
        <v>1</v>
      </c>
      <c r="G2573" s="62">
        <f t="shared" si="5145"/>
        <v>1</v>
      </c>
      <c r="H2573" s="62">
        <f t="shared" ref="H2573:Q2573" si="5146">IF(isblank(H$1),,IFERROR(vlookup($A2573,indirect("'TVC-"&amp;text(month(H$1),"00")&amp;"'!$A:$D"),4,false),1))</f>
        <v>1</v>
      </c>
      <c r="I2573" s="62">
        <f t="shared" si="5146"/>
        <v>1</v>
      </c>
      <c r="J2573" s="62">
        <f t="shared" si="5146"/>
        <v>1</v>
      </c>
      <c r="K2573" s="62">
        <f t="shared" si="5146"/>
        <v>1</v>
      </c>
      <c r="L2573" s="62">
        <f t="shared" si="5146"/>
        <v>1</v>
      </c>
      <c r="M2573" s="62">
        <f t="shared" si="5146"/>
        <v>1</v>
      </c>
      <c r="N2573" s="62">
        <f t="shared" si="5146"/>
        <v>1</v>
      </c>
      <c r="O2573" s="62">
        <f t="shared" si="5146"/>
        <v>1</v>
      </c>
      <c r="P2573" s="62" t="str">
        <f t="shared" si="5146"/>
        <v/>
      </c>
      <c r="Q2573" s="62" t="str">
        <f t="shared" si="5146"/>
        <v/>
      </c>
      <c r="R2573" s="62">
        <f t="shared" si="7"/>
        <v>0</v>
      </c>
      <c r="S2573" s="62"/>
      <c r="T2573" s="62"/>
      <c r="U2573" s="62"/>
      <c r="V2573" s="62"/>
      <c r="W2573" s="62"/>
      <c r="X2573" s="62"/>
      <c r="Y2573" s="62"/>
      <c r="Z2573" s="62"/>
      <c r="AA2573" s="62"/>
      <c r="AB2573" s="62"/>
      <c r="AC2573" s="62"/>
    </row>
    <row r="2574" hidden="1">
      <c r="A2574" s="60">
        <f>IFERROR(__xludf.DUMMYFUNCTION("""COMPUTED_VALUE"""),17684.0)</f>
        <v>17684</v>
      </c>
      <c r="B2574" s="60" t="str">
        <f>IFERROR(__xludf.DUMMYFUNCTION("""COMPUTED_VALUE"""),"Payne, VJ")</f>
        <v>Payne, VJ</v>
      </c>
      <c r="C2574" s="60" t="str">
        <f>IFERROR(__xludf.DUMMYFUNCTION("""COMPUTED_VALUE"""),"S")</f>
        <v>S</v>
      </c>
      <c r="D2574" s="60" t="str">
        <f>IFERROR(__xludf.DUMMYFUNCTION("""COMPUTED_VALUE"""),"NYJ")</f>
        <v>NYJ</v>
      </c>
      <c r="E2574" s="62" t="str">
        <f t="shared" si="4"/>
        <v>VJ Payne</v>
      </c>
      <c r="F2574" s="62">
        <f t="shared" ref="F2574:G2574" si="5147">IF(isblank(F$1),,IF(isblank($A2574),,IFERROR(vlookup($A2574,indirect("'TVC-"&amp;text(month(F$1),"00")&amp;"'!$A:$D"),4,false),1)))</f>
        <v>1</v>
      </c>
      <c r="G2574" s="62">
        <f t="shared" si="5147"/>
        <v>1</v>
      </c>
      <c r="H2574" s="62">
        <f t="shared" ref="H2574:Q2574" si="5148">IF(isblank(H$1),,IFERROR(vlookup($A2574,indirect("'TVC-"&amp;text(month(H$1),"00")&amp;"'!$A:$D"),4,false),1))</f>
        <v>1</v>
      </c>
      <c r="I2574" s="62">
        <f t="shared" si="5148"/>
        <v>1</v>
      </c>
      <c r="J2574" s="62">
        <f t="shared" si="5148"/>
        <v>1</v>
      </c>
      <c r="K2574" s="62">
        <f t="shared" si="5148"/>
        <v>1</v>
      </c>
      <c r="L2574" s="62">
        <f t="shared" si="5148"/>
        <v>1</v>
      </c>
      <c r="M2574" s="62">
        <f t="shared" si="5148"/>
        <v>1</v>
      </c>
      <c r="N2574" s="62">
        <f t="shared" si="5148"/>
        <v>1</v>
      </c>
      <c r="O2574" s="62">
        <f t="shared" si="5148"/>
        <v>1</v>
      </c>
      <c r="P2574" s="62" t="str">
        <f t="shared" si="5148"/>
        <v/>
      </c>
      <c r="Q2574" s="62" t="str">
        <f t="shared" si="5148"/>
        <v/>
      </c>
      <c r="R2574" s="62">
        <f t="shared" si="7"/>
        <v>0</v>
      </c>
      <c r="S2574" s="62"/>
      <c r="T2574" s="62"/>
      <c r="U2574" s="62"/>
      <c r="V2574" s="62"/>
      <c r="W2574" s="62"/>
      <c r="X2574" s="62"/>
      <c r="Y2574" s="62"/>
      <c r="Z2574" s="62"/>
      <c r="AA2574" s="62"/>
      <c r="AB2574" s="62"/>
      <c r="AC2574" s="62"/>
    </row>
    <row r="2575" hidden="1">
      <c r="A2575" s="60">
        <f>IFERROR(__xludf.DUMMYFUNCTION("""COMPUTED_VALUE"""),17685.0)</f>
        <v>17685</v>
      </c>
      <c r="B2575" s="60" t="str">
        <f>IFERROR(__xludf.DUMMYFUNCTION("""COMPUTED_VALUE"""),"Heidenreich, Eli")</f>
        <v>Heidenreich, Eli</v>
      </c>
      <c r="C2575" s="60" t="str">
        <f>IFERROR(__xludf.DUMMYFUNCTION("""COMPUTED_VALUE"""),"RB")</f>
        <v>RB</v>
      </c>
      <c r="D2575" s="60" t="str">
        <f>IFERROR(__xludf.DUMMYFUNCTION("""COMPUTED_VALUE"""),"PIT")</f>
        <v>PIT</v>
      </c>
      <c r="E2575" s="62" t="str">
        <f t="shared" si="4"/>
        <v>Eli Heidenreich</v>
      </c>
      <c r="F2575" s="62">
        <f t="shared" ref="F2575:G2575" si="5149">IF(isblank(F$1),,IF(isblank($A2575),,IFERROR(vlookup($A2575,indirect("'TVC-"&amp;text(month(F$1),"00")&amp;"'!$A:$D"),4,false),1)))</f>
        <v>1</v>
      </c>
      <c r="G2575" s="62">
        <f t="shared" si="5149"/>
        <v>1</v>
      </c>
      <c r="H2575" s="62">
        <f t="shared" ref="H2575:Q2575" si="5150">IF(isblank(H$1),,IFERROR(vlookup($A2575,indirect("'TVC-"&amp;text(month(H$1),"00")&amp;"'!$A:$D"),4,false),1))</f>
        <v>1</v>
      </c>
      <c r="I2575" s="62">
        <f t="shared" si="5150"/>
        <v>1</v>
      </c>
      <c r="J2575" s="62">
        <f t="shared" si="5150"/>
        <v>212</v>
      </c>
      <c r="K2575" s="62">
        <f t="shared" si="5150"/>
        <v>1101</v>
      </c>
      <c r="L2575" s="62">
        <f t="shared" si="5150"/>
        <v>1316</v>
      </c>
      <c r="M2575" s="62">
        <f t="shared" si="5150"/>
        <v>1736</v>
      </c>
      <c r="N2575" s="62">
        <f t="shared" si="5150"/>
        <v>1633</v>
      </c>
      <c r="O2575" s="62">
        <f t="shared" si="5150"/>
        <v>1</v>
      </c>
      <c r="P2575" s="62" t="str">
        <f t="shared" si="5150"/>
        <v/>
      </c>
      <c r="Q2575" s="62" t="str">
        <f t="shared" si="5150"/>
        <v/>
      </c>
      <c r="R2575" s="62">
        <f t="shared" si="7"/>
        <v>-1632</v>
      </c>
      <c r="S2575" s="62"/>
      <c r="T2575" s="62"/>
      <c r="U2575" s="62"/>
      <c r="V2575" s="62"/>
      <c r="W2575" s="62"/>
      <c r="X2575" s="62"/>
      <c r="Y2575" s="62"/>
      <c r="Z2575" s="62"/>
      <c r="AA2575" s="62"/>
      <c r="AB2575" s="62"/>
      <c r="AC2575" s="62"/>
    </row>
    <row r="2576" hidden="1">
      <c r="A2576" s="60">
        <f>IFERROR(__xludf.DUMMYFUNCTION("""COMPUTED_VALUE"""),17686.0)</f>
        <v>17686</v>
      </c>
      <c r="B2576" s="60" t="str">
        <f>IFERROR(__xludf.DUMMYFUNCTION("""COMPUTED_VALUE"""),"Keenan, Tim")</f>
        <v>Keenan, Tim</v>
      </c>
      <c r="C2576" s="60" t="str">
        <f>IFERROR(__xludf.DUMMYFUNCTION("""COMPUTED_VALUE"""),"DT")</f>
        <v>DT</v>
      </c>
      <c r="D2576" s="60" t="str">
        <f>IFERROR(__xludf.DUMMYFUNCTION("""COMPUTED_VALUE"""),"LVR")</f>
        <v>LVR</v>
      </c>
      <c r="E2576" s="62" t="str">
        <f t="shared" ref="E2576:E3222" si="5153">IFERROR(mid(B2576,find(",",B2576)+2,30)&amp;" "&amp;left(B2576,find(",",B2576)-1),)</f>
        <v>Tim Keenan</v>
      </c>
      <c r="F2576" s="62">
        <f t="shared" ref="F2576:G2576" si="5151">IF(isblank(F$1),,IF(isblank($A2576),,IFERROR(vlookup($A2576,indirect("'TVC-"&amp;text(month(F$1),"00")&amp;"'!$A:$D"),4,false),1)))</f>
        <v>1</v>
      </c>
      <c r="G2576" s="62">
        <f t="shared" si="5151"/>
        <v>1</v>
      </c>
      <c r="H2576" s="62">
        <f t="shared" ref="H2576:Q2576" si="5152">IF(isblank(H$1),,IFERROR(vlookup($A2576,indirect("'TVC-"&amp;text(month(H$1),"00")&amp;"'!$A:$D"),4,false),1))</f>
        <v>1</v>
      </c>
      <c r="I2576" s="62">
        <f t="shared" si="5152"/>
        <v>1</v>
      </c>
      <c r="J2576" s="62">
        <f t="shared" si="5152"/>
        <v>1</v>
      </c>
      <c r="K2576" s="62">
        <f t="shared" si="5152"/>
        <v>1</v>
      </c>
      <c r="L2576" s="62">
        <f t="shared" si="5152"/>
        <v>1</v>
      </c>
      <c r="M2576" s="62">
        <f t="shared" si="5152"/>
        <v>1</v>
      </c>
      <c r="N2576" s="62">
        <f t="shared" si="5152"/>
        <v>1</v>
      </c>
      <c r="O2576" s="62">
        <f t="shared" si="5152"/>
        <v>1</v>
      </c>
      <c r="P2576" s="62" t="str">
        <f t="shared" si="5152"/>
        <v/>
      </c>
      <c r="Q2576" s="62" t="str">
        <f t="shared" si="5152"/>
        <v/>
      </c>
      <c r="R2576" s="62">
        <f t="shared" si="7"/>
        <v>0</v>
      </c>
      <c r="S2576" s="62"/>
      <c r="T2576" s="62"/>
      <c r="U2576" s="62"/>
      <c r="V2576" s="62"/>
      <c r="W2576" s="62"/>
      <c r="X2576" s="62"/>
      <c r="Y2576" s="62"/>
      <c r="Z2576" s="62"/>
      <c r="AA2576" s="62"/>
      <c r="AB2576" s="62"/>
      <c r="AC2576" s="62"/>
    </row>
    <row r="2577" hidden="1">
      <c r="A2577" s="60">
        <f>IFERROR(__xludf.DUMMYFUNCTION("""COMPUTED_VALUE"""),17687.0)</f>
        <v>17687</v>
      </c>
      <c r="B2577" s="60" t="str">
        <f>IFERROR(__xludf.DUMMYFUNCTION("""COMPUTED_VALUE"""),"Durfee, Zach")</f>
        <v>Durfee, Zach</v>
      </c>
      <c r="C2577" s="60" t="str">
        <f>IFERROR(__xludf.DUMMYFUNCTION("""COMPUTED_VALUE"""),"DE")</f>
        <v>DE</v>
      </c>
      <c r="D2577" s="60" t="str">
        <f>IFERROR(__xludf.DUMMYFUNCTION("""COMPUTED_VALUE"""),"JAC")</f>
        <v>JAC</v>
      </c>
      <c r="E2577" s="62" t="str">
        <f t="shared" si="5153"/>
        <v>Zach Durfee</v>
      </c>
      <c r="F2577" s="62">
        <f t="shared" ref="F2577:G2577" si="5154">IF(isblank(F$1),,IF(isblank($A2577),,IFERROR(vlookup($A2577,indirect("'TVC-"&amp;text(month(F$1),"00")&amp;"'!$A:$D"),4,false),1)))</f>
        <v>1</v>
      </c>
      <c r="G2577" s="62">
        <f t="shared" si="5154"/>
        <v>1</v>
      </c>
      <c r="H2577" s="62">
        <f t="shared" ref="H2577:Q2577" si="5155">IF(isblank(H$1),,IFERROR(vlookup($A2577,indirect("'TVC-"&amp;text(month(H$1),"00")&amp;"'!$A:$D"),4,false),1))</f>
        <v>1</v>
      </c>
      <c r="I2577" s="62">
        <f t="shared" si="5155"/>
        <v>1</v>
      </c>
      <c r="J2577" s="62">
        <f t="shared" si="5155"/>
        <v>1</v>
      </c>
      <c r="K2577" s="62">
        <f t="shared" si="5155"/>
        <v>1</v>
      </c>
      <c r="L2577" s="62">
        <f t="shared" si="5155"/>
        <v>1</v>
      </c>
      <c r="M2577" s="62">
        <f t="shared" si="5155"/>
        <v>1</v>
      </c>
      <c r="N2577" s="62">
        <f t="shared" si="5155"/>
        <v>1</v>
      </c>
      <c r="O2577" s="62">
        <f t="shared" si="5155"/>
        <v>1</v>
      </c>
      <c r="P2577" s="62" t="str">
        <f t="shared" si="5155"/>
        <v/>
      </c>
      <c r="Q2577" s="62" t="str">
        <f t="shared" si="5155"/>
        <v/>
      </c>
      <c r="R2577" s="62">
        <f t="shared" si="7"/>
        <v>0</v>
      </c>
      <c r="S2577" s="62"/>
      <c r="T2577" s="62"/>
      <c r="U2577" s="62"/>
      <c r="V2577" s="62"/>
      <c r="W2577" s="62"/>
      <c r="X2577" s="62"/>
      <c r="Y2577" s="62"/>
      <c r="Z2577" s="62"/>
      <c r="AA2577" s="62"/>
      <c r="AB2577" s="62"/>
      <c r="AC2577" s="62"/>
    </row>
    <row r="2578" hidden="1">
      <c r="A2578" s="60">
        <f>IFERROR(__xludf.DUMMYFUNCTION("""COMPUTED_VALUE"""),17688.0)</f>
        <v>17688</v>
      </c>
      <c r="B2578" s="60" t="str">
        <f>IFERROR(__xludf.DUMMYFUNCTION("""COMPUTED_VALUE"""),"Llewellyn, Max")</f>
        <v>Llewellyn, Max</v>
      </c>
      <c r="C2578" s="60" t="str">
        <f>IFERROR(__xludf.DUMMYFUNCTION("""COMPUTED_VALUE"""),"DE")</f>
        <v>DE</v>
      </c>
      <c r="D2578" s="60" t="str">
        <f>IFERROR(__xludf.DUMMYFUNCTION("""COMPUTED_VALUE"""),"MIA")</f>
        <v>MIA</v>
      </c>
      <c r="E2578" s="62" t="str">
        <f t="shared" si="5153"/>
        <v>Max Llewellyn</v>
      </c>
      <c r="F2578" s="62">
        <f t="shared" ref="F2578:G2578" si="5156">IF(isblank(F$1),,IF(isblank($A2578),,IFERROR(vlookup($A2578,indirect("'TVC-"&amp;text(month(F$1),"00")&amp;"'!$A:$D"),4,false),1)))</f>
        <v>1</v>
      </c>
      <c r="G2578" s="62">
        <f t="shared" si="5156"/>
        <v>1</v>
      </c>
      <c r="H2578" s="62">
        <f t="shared" ref="H2578:Q2578" si="5157">IF(isblank(H$1),,IFERROR(vlookup($A2578,indirect("'TVC-"&amp;text(month(H$1),"00")&amp;"'!$A:$D"),4,false),1))</f>
        <v>1</v>
      </c>
      <c r="I2578" s="62">
        <f t="shared" si="5157"/>
        <v>1</v>
      </c>
      <c r="J2578" s="62">
        <f t="shared" si="5157"/>
        <v>1</v>
      </c>
      <c r="K2578" s="62">
        <f t="shared" si="5157"/>
        <v>1</v>
      </c>
      <c r="L2578" s="62">
        <f t="shared" si="5157"/>
        <v>1</v>
      </c>
      <c r="M2578" s="62">
        <f t="shared" si="5157"/>
        <v>1</v>
      </c>
      <c r="N2578" s="62">
        <f t="shared" si="5157"/>
        <v>1</v>
      </c>
      <c r="O2578" s="62">
        <f t="shared" si="5157"/>
        <v>1</v>
      </c>
      <c r="P2578" s="62" t="str">
        <f t="shared" si="5157"/>
        <v/>
      </c>
      <c r="Q2578" s="62" t="str">
        <f t="shared" si="5157"/>
        <v/>
      </c>
      <c r="R2578" s="62">
        <f t="shared" si="7"/>
        <v>0</v>
      </c>
      <c r="S2578" s="62"/>
      <c r="T2578" s="62"/>
      <c r="U2578" s="62"/>
      <c r="V2578" s="62"/>
      <c r="W2578" s="62"/>
      <c r="X2578" s="62"/>
      <c r="Y2578" s="62"/>
      <c r="Z2578" s="62"/>
      <c r="AA2578" s="62"/>
      <c r="AB2578" s="62"/>
      <c r="AC2578" s="62"/>
    </row>
    <row r="2579" hidden="1">
      <c r="A2579" s="60">
        <f>IFERROR(__xludf.DUMMYFUNCTION("""COMPUTED_VALUE"""),17689.0)</f>
        <v>17689</v>
      </c>
      <c r="B2579" s="60" t="str">
        <f>IFERROR(__xludf.DUMMYFUNCTION("""COMPUTED_VALUE"""),"Doman, Tommy")</f>
        <v>Doman, Tommy</v>
      </c>
      <c r="C2579" s="60" t="str">
        <f>IFERROR(__xludf.DUMMYFUNCTION("""COMPUTED_VALUE"""),"PN")</f>
        <v>PN</v>
      </c>
      <c r="D2579" s="60" t="str">
        <f>IFERROR(__xludf.DUMMYFUNCTION("""COMPUTED_VALUE"""),"BUF")</f>
        <v>BUF</v>
      </c>
      <c r="E2579" s="62" t="str">
        <f t="shared" si="5153"/>
        <v>Tommy Doman</v>
      </c>
      <c r="F2579" s="62">
        <f t="shared" ref="F2579:G2579" si="5158">IF(isblank(F$1),,IF(isblank($A2579),,IFERROR(vlookup($A2579,indirect("'TVC-"&amp;text(month(F$1),"00")&amp;"'!$A:$D"),4,false),1)))</f>
        <v>1</v>
      </c>
      <c r="G2579" s="62">
        <f t="shared" si="5158"/>
        <v>1</v>
      </c>
      <c r="H2579" s="62">
        <f t="shared" ref="H2579:Q2579" si="5159">IF(isblank(H$1),,IFERROR(vlookup($A2579,indirect("'TVC-"&amp;text(month(H$1),"00")&amp;"'!$A:$D"),4,false),1))</f>
        <v>1</v>
      </c>
      <c r="I2579" s="62">
        <f t="shared" si="5159"/>
        <v>1</v>
      </c>
      <c r="J2579" s="62">
        <f t="shared" si="5159"/>
        <v>1</v>
      </c>
      <c r="K2579" s="62">
        <f t="shared" si="5159"/>
        <v>1</v>
      </c>
      <c r="L2579" s="62">
        <f t="shared" si="5159"/>
        <v>1</v>
      </c>
      <c r="M2579" s="62">
        <f t="shared" si="5159"/>
        <v>1</v>
      </c>
      <c r="N2579" s="62">
        <f t="shared" si="5159"/>
        <v>1</v>
      </c>
      <c r="O2579" s="62">
        <f t="shared" si="5159"/>
        <v>1</v>
      </c>
      <c r="P2579" s="62" t="str">
        <f t="shared" si="5159"/>
        <v/>
      </c>
      <c r="Q2579" s="62" t="str">
        <f t="shared" si="5159"/>
        <v/>
      </c>
      <c r="R2579" s="62">
        <f t="shared" si="7"/>
        <v>0</v>
      </c>
      <c r="S2579" s="62"/>
      <c r="T2579" s="62"/>
      <c r="U2579" s="62"/>
      <c r="V2579" s="62"/>
      <c r="W2579" s="62"/>
      <c r="X2579" s="62"/>
      <c r="Y2579" s="62"/>
      <c r="Z2579" s="62"/>
      <c r="AA2579" s="62"/>
      <c r="AB2579" s="62"/>
      <c r="AC2579" s="62"/>
    </row>
    <row r="2580" hidden="1">
      <c r="A2580" s="60">
        <f>IFERROR(__xludf.DUMMYFUNCTION("""COMPUTED_VALUE"""),17690.0)</f>
        <v>17690</v>
      </c>
      <c r="B2580" s="60" t="str">
        <f>IFERROR(__xludf.DUMMYFUNCTION("""COMPUTED_VALUE"""),"Hughes, Parker")</f>
        <v>Hughes, Parker</v>
      </c>
      <c r="C2580" s="60" t="str">
        <f>IFERROR(__xludf.DUMMYFUNCTION("""COMPUTED_VALUE"""),"LB")</f>
        <v>LB</v>
      </c>
      <c r="D2580" s="60" t="str">
        <f>IFERROR(__xludf.DUMMYFUNCTION("""COMPUTED_VALUE"""),"JAC")</f>
        <v>JAC</v>
      </c>
      <c r="E2580" s="62" t="str">
        <f t="shared" si="5153"/>
        <v>Parker Hughes</v>
      </c>
      <c r="F2580" s="62">
        <f t="shared" ref="F2580:G2580" si="5160">IF(isblank(F$1),,IF(isblank($A2580),,IFERROR(vlookup($A2580,indirect("'TVC-"&amp;text(month(F$1),"00")&amp;"'!$A:$D"),4,false),1)))</f>
        <v>1</v>
      </c>
      <c r="G2580" s="62">
        <f t="shared" si="5160"/>
        <v>1</v>
      </c>
      <c r="H2580" s="62">
        <f t="shared" ref="H2580:Q2580" si="5161">IF(isblank(H$1),,IFERROR(vlookup($A2580,indirect("'TVC-"&amp;text(month(H$1),"00")&amp;"'!$A:$D"),4,false),1))</f>
        <v>1</v>
      </c>
      <c r="I2580" s="62">
        <f t="shared" si="5161"/>
        <v>1</v>
      </c>
      <c r="J2580" s="62">
        <f t="shared" si="5161"/>
        <v>1</v>
      </c>
      <c r="K2580" s="62">
        <f t="shared" si="5161"/>
        <v>1</v>
      </c>
      <c r="L2580" s="62">
        <f t="shared" si="5161"/>
        <v>1</v>
      </c>
      <c r="M2580" s="62">
        <f t="shared" si="5161"/>
        <v>1</v>
      </c>
      <c r="N2580" s="62">
        <f t="shared" si="5161"/>
        <v>1</v>
      </c>
      <c r="O2580" s="62">
        <f t="shared" si="5161"/>
        <v>1</v>
      </c>
      <c r="P2580" s="62" t="str">
        <f t="shared" si="5161"/>
        <v/>
      </c>
      <c r="Q2580" s="62" t="str">
        <f t="shared" si="5161"/>
        <v/>
      </c>
      <c r="R2580" s="62">
        <f t="shared" si="7"/>
        <v>0</v>
      </c>
      <c r="S2580" s="62"/>
      <c r="T2580" s="62"/>
      <c r="U2580" s="62"/>
      <c r="V2580" s="62"/>
      <c r="W2580" s="62"/>
      <c r="X2580" s="62"/>
      <c r="Y2580" s="62"/>
      <c r="Z2580" s="62"/>
      <c r="AA2580" s="62"/>
      <c r="AB2580" s="62"/>
      <c r="AC2580" s="62"/>
    </row>
    <row r="2581" hidden="1">
      <c r="A2581" s="60">
        <f>IFERROR(__xludf.DUMMYFUNCTION("""COMPUTED_VALUE"""),17691.0)</f>
        <v>17691</v>
      </c>
      <c r="B2581" s="60" t="str">
        <f>IFERROR(__xludf.DUMMYFUNCTION("""COMPUTED_VALUE"""),"Eastern, Deven")</f>
        <v>Eastern, Deven</v>
      </c>
      <c r="C2581" s="60" t="str">
        <f>IFERROR(__xludf.DUMMYFUNCTION("""COMPUTED_VALUE"""),"DT")</f>
        <v>DT</v>
      </c>
      <c r="D2581" s="60" t="str">
        <f>IFERROR(__xludf.DUMMYFUNCTION("""COMPUTED_VALUE"""),"SEA")</f>
        <v>SEA</v>
      </c>
      <c r="E2581" s="62" t="str">
        <f t="shared" si="5153"/>
        <v>Deven Eastern</v>
      </c>
      <c r="F2581" s="62">
        <f t="shared" ref="F2581:G2581" si="5162">IF(isblank(F$1),,IF(isblank($A2581),,IFERROR(vlookup($A2581,indirect("'TVC-"&amp;text(month(F$1),"00")&amp;"'!$A:$D"),4,false),1)))</f>
        <v>1</v>
      </c>
      <c r="G2581" s="62">
        <f t="shared" si="5162"/>
        <v>1</v>
      </c>
      <c r="H2581" s="62">
        <f t="shared" ref="H2581:Q2581" si="5163">IF(isblank(H$1),,IFERROR(vlookup($A2581,indirect("'TVC-"&amp;text(month(H$1),"00")&amp;"'!$A:$D"),4,false),1))</f>
        <v>1</v>
      </c>
      <c r="I2581" s="62">
        <f t="shared" si="5163"/>
        <v>1</v>
      </c>
      <c r="J2581" s="62">
        <f t="shared" si="5163"/>
        <v>1</v>
      </c>
      <c r="K2581" s="62">
        <f t="shared" si="5163"/>
        <v>1</v>
      </c>
      <c r="L2581" s="62">
        <f t="shared" si="5163"/>
        <v>1</v>
      </c>
      <c r="M2581" s="62">
        <f t="shared" si="5163"/>
        <v>1</v>
      </c>
      <c r="N2581" s="62">
        <f t="shared" si="5163"/>
        <v>1</v>
      </c>
      <c r="O2581" s="62">
        <f t="shared" si="5163"/>
        <v>1</v>
      </c>
      <c r="P2581" s="62" t="str">
        <f t="shared" si="5163"/>
        <v/>
      </c>
      <c r="Q2581" s="62" t="str">
        <f t="shared" si="5163"/>
        <v/>
      </c>
      <c r="R2581" s="62">
        <f t="shared" si="7"/>
        <v>0</v>
      </c>
      <c r="S2581" s="62"/>
      <c r="T2581" s="62"/>
      <c r="U2581" s="62"/>
      <c r="V2581" s="62"/>
      <c r="W2581" s="62"/>
      <c r="X2581" s="62"/>
      <c r="Y2581" s="62"/>
      <c r="Z2581" s="62"/>
      <c r="AA2581" s="62"/>
      <c r="AB2581" s="62"/>
      <c r="AC2581" s="62"/>
    </row>
    <row r="2582" hidden="1">
      <c r="A2582" s="60">
        <f>IFERROR(__xludf.DUMMYFUNCTION("""COMPUTED_VALUE"""),17692.0)</f>
        <v>17692</v>
      </c>
      <c r="B2582" s="60" t="str">
        <f>IFERROR(__xludf.DUMMYFUNCTION("""COMPUTED_VALUE"""),"Fisher, Aiden")</f>
        <v>Fisher, Aiden</v>
      </c>
      <c r="C2582" s="60" t="str">
        <f>IFERROR(__xludf.DUMMYFUNCTION("""COMPUTED_VALUE"""),"LB")</f>
        <v>LB</v>
      </c>
      <c r="D2582" s="60" t="str">
        <f>IFERROR(__xludf.DUMMYFUNCTION("""COMPUTED_VALUE"""),"FA")</f>
        <v>FA</v>
      </c>
      <c r="E2582" s="62" t="str">
        <f t="shared" si="5153"/>
        <v>Aiden Fisher</v>
      </c>
      <c r="F2582" s="62">
        <f t="shared" ref="F2582:G2582" si="5164">IF(isblank(F$1),,IF(isblank($A2582),,IFERROR(vlookup($A2582,indirect("'TVC-"&amp;text(month(F$1),"00")&amp;"'!$A:$D"),4,false),1)))</f>
        <v>1</v>
      </c>
      <c r="G2582" s="62">
        <f t="shared" si="5164"/>
        <v>1</v>
      </c>
      <c r="H2582" s="62">
        <f t="shared" ref="H2582:Q2582" si="5165">IF(isblank(H$1),,IFERROR(vlookup($A2582,indirect("'TVC-"&amp;text(month(H$1),"00")&amp;"'!$A:$D"),4,false),1))</f>
        <v>1</v>
      </c>
      <c r="I2582" s="62">
        <f t="shared" si="5165"/>
        <v>1</v>
      </c>
      <c r="J2582" s="62">
        <f t="shared" si="5165"/>
        <v>1</v>
      </c>
      <c r="K2582" s="62">
        <f t="shared" si="5165"/>
        <v>1</v>
      </c>
      <c r="L2582" s="62">
        <f t="shared" si="5165"/>
        <v>1</v>
      </c>
      <c r="M2582" s="62">
        <f t="shared" si="5165"/>
        <v>1</v>
      </c>
      <c r="N2582" s="62">
        <f t="shared" si="5165"/>
        <v>1</v>
      </c>
      <c r="O2582" s="62">
        <f t="shared" si="5165"/>
        <v>1</v>
      </c>
      <c r="P2582" s="62" t="str">
        <f t="shared" si="5165"/>
        <v/>
      </c>
      <c r="Q2582" s="62" t="str">
        <f t="shared" si="5165"/>
        <v/>
      </c>
      <c r="R2582" s="62">
        <f t="shared" si="7"/>
        <v>0</v>
      </c>
      <c r="S2582" s="62"/>
      <c r="T2582" s="62"/>
      <c r="U2582" s="62"/>
      <c r="V2582" s="62"/>
      <c r="W2582" s="62"/>
      <c r="X2582" s="62"/>
      <c r="Y2582" s="62"/>
      <c r="Z2582" s="62"/>
      <c r="AA2582" s="62"/>
      <c r="AB2582" s="62"/>
      <c r="AC2582" s="62"/>
    </row>
    <row r="2583" hidden="1">
      <c r="A2583" s="60">
        <f>IFERROR(__xludf.DUMMYFUNCTION("""COMPUTED_VALUE"""),17693.0)</f>
        <v>17693</v>
      </c>
      <c r="B2583" s="60" t="str">
        <f>IFERROR(__xludf.DUMMYFUNCTION("""COMPUTED_VALUE"""),"Wisniewski, Cole")</f>
        <v>Wisniewski, Cole</v>
      </c>
      <c r="C2583" s="60" t="str">
        <f>IFERROR(__xludf.DUMMYFUNCTION("""COMPUTED_VALUE"""),"S")</f>
        <v>S</v>
      </c>
      <c r="D2583" s="60" t="str">
        <f>IFERROR(__xludf.DUMMYFUNCTION("""COMPUTED_VALUE"""),"PHI")</f>
        <v>PHI</v>
      </c>
      <c r="E2583" s="62" t="str">
        <f t="shared" si="5153"/>
        <v>Cole Wisniewski</v>
      </c>
      <c r="F2583" s="62">
        <f t="shared" ref="F2583:G2583" si="5166">IF(isblank(F$1),,IF(isblank($A2583),,IFERROR(vlookup($A2583,indirect("'TVC-"&amp;text(month(F$1),"00")&amp;"'!$A:$D"),4,false),1)))</f>
        <v>1</v>
      </c>
      <c r="G2583" s="62">
        <f t="shared" si="5166"/>
        <v>1</v>
      </c>
      <c r="H2583" s="62">
        <f t="shared" ref="H2583:Q2583" si="5167">IF(isblank(H$1),,IFERROR(vlookup($A2583,indirect("'TVC-"&amp;text(month(H$1),"00")&amp;"'!$A:$D"),4,false),1))</f>
        <v>1</v>
      </c>
      <c r="I2583" s="62">
        <f t="shared" si="5167"/>
        <v>1</v>
      </c>
      <c r="J2583" s="62">
        <f t="shared" si="5167"/>
        <v>1</v>
      </c>
      <c r="K2583" s="62">
        <f t="shared" si="5167"/>
        <v>1</v>
      </c>
      <c r="L2583" s="62">
        <f t="shared" si="5167"/>
        <v>1</v>
      </c>
      <c r="M2583" s="62">
        <f t="shared" si="5167"/>
        <v>1</v>
      </c>
      <c r="N2583" s="62">
        <f t="shared" si="5167"/>
        <v>1</v>
      </c>
      <c r="O2583" s="62">
        <f t="shared" si="5167"/>
        <v>1</v>
      </c>
      <c r="P2583" s="62" t="str">
        <f t="shared" si="5167"/>
        <v/>
      </c>
      <c r="Q2583" s="62" t="str">
        <f t="shared" si="5167"/>
        <v/>
      </c>
      <c r="R2583" s="62">
        <f t="shared" si="7"/>
        <v>0</v>
      </c>
      <c r="S2583" s="62"/>
      <c r="T2583" s="62"/>
      <c r="U2583" s="62"/>
      <c r="V2583" s="62"/>
      <c r="W2583" s="62"/>
      <c r="X2583" s="62"/>
      <c r="Y2583" s="62"/>
      <c r="Z2583" s="62"/>
      <c r="AA2583" s="62"/>
      <c r="AB2583" s="62"/>
      <c r="AC2583" s="62"/>
    </row>
    <row r="2584" hidden="1">
      <c r="A2584" s="60">
        <f>IFERROR(__xludf.DUMMYFUNCTION("""COMPUTED_VALUE"""),17694.0)</f>
        <v>17694</v>
      </c>
      <c r="B2584" s="60" t="str">
        <f>IFERROR(__xludf.DUMMYFUNCTION("""COMPUTED_VALUE"""),"Scott, Miles")</f>
        <v>Scott, Miles</v>
      </c>
      <c r="C2584" s="60" t="str">
        <f>IFERROR(__xludf.DUMMYFUNCTION("""COMPUTED_VALUE"""),"S")</f>
        <v>S</v>
      </c>
      <c r="D2584" s="60" t="str">
        <f>IFERROR(__xludf.DUMMYFUNCTION("""COMPUTED_VALUE"""),"DEN")</f>
        <v>DEN</v>
      </c>
      <c r="E2584" s="62" t="str">
        <f t="shared" si="5153"/>
        <v>Miles Scott</v>
      </c>
      <c r="F2584" s="62">
        <f t="shared" ref="F2584:G2584" si="5168">IF(isblank(F$1),,IF(isblank($A2584),,IFERROR(vlookup($A2584,indirect("'TVC-"&amp;text(month(F$1),"00")&amp;"'!$A:$D"),4,false),1)))</f>
        <v>1</v>
      </c>
      <c r="G2584" s="62">
        <f t="shared" si="5168"/>
        <v>1</v>
      </c>
      <c r="H2584" s="62">
        <f t="shared" ref="H2584:Q2584" si="5169">IF(isblank(H$1),,IFERROR(vlookup($A2584,indirect("'TVC-"&amp;text(month(H$1),"00")&amp;"'!$A:$D"),4,false),1))</f>
        <v>1</v>
      </c>
      <c r="I2584" s="62">
        <f t="shared" si="5169"/>
        <v>1</v>
      </c>
      <c r="J2584" s="62">
        <f t="shared" si="5169"/>
        <v>1</v>
      </c>
      <c r="K2584" s="62">
        <f t="shared" si="5169"/>
        <v>1</v>
      </c>
      <c r="L2584" s="62">
        <f t="shared" si="5169"/>
        <v>1</v>
      </c>
      <c r="M2584" s="62">
        <f t="shared" si="5169"/>
        <v>1</v>
      </c>
      <c r="N2584" s="62">
        <f t="shared" si="5169"/>
        <v>1</v>
      </c>
      <c r="O2584" s="62">
        <f t="shared" si="5169"/>
        <v>1</v>
      </c>
      <c r="P2584" s="62" t="str">
        <f t="shared" si="5169"/>
        <v/>
      </c>
      <c r="Q2584" s="62" t="str">
        <f t="shared" si="5169"/>
        <v/>
      </c>
      <c r="R2584" s="62">
        <f t="shared" si="7"/>
        <v>0</v>
      </c>
      <c r="S2584" s="62"/>
      <c r="T2584" s="62"/>
      <c r="U2584" s="62"/>
      <c r="V2584" s="62"/>
      <c r="W2584" s="62"/>
      <c r="X2584" s="62"/>
      <c r="Y2584" s="62"/>
      <c r="Z2584" s="62"/>
      <c r="AA2584" s="62"/>
      <c r="AB2584" s="62"/>
      <c r="AC2584" s="62"/>
    </row>
    <row r="2585" hidden="1">
      <c r="A2585" s="60">
        <f>IFERROR(__xludf.DUMMYFUNCTION("""COMPUTED_VALUE"""),17695.0)</f>
        <v>17695</v>
      </c>
      <c r="B2585" s="60" t="str">
        <f>IFERROR(__xludf.DUMMYFUNCTION("""COMPUTED_VALUE"""),"Hutchins, Quintayvious")</f>
        <v>Hutchins, Quintayvious</v>
      </c>
      <c r="C2585" s="60" t="str">
        <f>IFERROR(__xludf.DUMMYFUNCTION("""COMPUTED_VALUE"""),"DE")</f>
        <v>DE</v>
      </c>
      <c r="D2585" s="60" t="str">
        <f>IFERROR(__xludf.DUMMYFUNCTION("""COMPUTED_VALUE"""),"NEP")</f>
        <v>NEP</v>
      </c>
      <c r="E2585" s="62" t="str">
        <f t="shared" si="5153"/>
        <v>Quintayvious Hutchins</v>
      </c>
      <c r="F2585" s="62">
        <f t="shared" ref="F2585:G2585" si="5170">IF(isblank(F$1),,IF(isblank($A2585),,IFERROR(vlookup($A2585,indirect("'TVC-"&amp;text(month(F$1),"00")&amp;"'!$A:$D"),4,false),1)))</f>
        <v>1</v>
      </c>
      <c r="G2585" s="62">
        <f t="shared" si="5170"/>
        <v>1</v>
      </c>
      <c r="H2585" s="62">
        <f t="shared" ref="H2585:Q2585" si="5171">IF(isblank(H$1),,IFERROR(vlookup($A2585,indirect("'TVC-"&amp;text(month(H$1),"00")&amp;"'!$A:$D"),4,false),1))</f>
        <v>1</v>
      </c>
      <c r="I2585" s="62">
        <f t="shared" si="5171"/>
        <v>1</v>
      </c>
      <c r="J2585" s="62">
        <f t="shared" si="5171"/>
        <v>1</v>
      </c>
      <c r="K2585" s="62">
        <f t="shared" si="5171"/>
        <v>1</v>
      </c>
      <c r="L2585" s="62">
        <f t="shared" si="5171"/>
        <v>1</v>
      </c>
      <c r="M2585" s="62">
        <f t="shared" si="5171"/>
        <v>1</v>
      </c>
      <c r="N2585" s="62">
        <f t="shared" si="5171"/>
        <v>1</v>
      </c>
      <c r="O2585" s="62">
        <f t="shared" si="5171"/>
        <v>1</v>
      </c>
      <c r="P2585" s="62" t="str">
        <f t="shared" si="5171"/>
        <v/>
      </c>
      <c r="Q2585" s="62" t="str">
        <f t="shared" si="5171"/>
        <v/>
      </c>
      <c r="R2585" s="62">
        <f t="shared" si="7"/>
        <v>0</v>
      </c>
      <c r="S2585" s="62"/>
      <c r="T2585" s="62"/>
      <c r="U2585" s="62"/>
      <c r="V2585" s="62"/>
      <c r="W2585" s="62"/>
      <c r="X2585" s="62"/>
      <c r="Y2585" s="62"/>
      <c r="Z2585" s="62"/>
      <c r="AA2585" s="62"/>
      <c r="AB2585" s="62"/>
      <c r="AC2585" s="62"/>
    </row>
    <row r="2586" hidden="1">
      <c r="A2586" s="60">
        <f>IFERROR(__xludf.DUMMYFUNCTION("""COMPUTED_VALUE"""),17696.0)</f>
        <v>17696</v>
      </c>
      <c r="B2586" s="60" t="str">
        <f>IFERROR(__xludf.DUMMYFUNCTION("""COMPUTED_VALUE"""),"Ryan, Carsen")</f>
        <v>Ryan, Carsen</v>
      </c>
      <c r="C2586" s="60" t="str">
        <f>IFERROR(__xludf.DUMMYFUNCTION("""COMPUTED_VALUE"""),"TE")</f>
        <v>TE</v>
      </c>
      <c r="D2586" s="60" t="str">
        <f>IFERROR(__xludf.DUMMYFUNCTION("""COMPUTED_VALUE"""),"CLE")</f>
        <v>CLE</v>
      </c>
      <c r="E2586" s="62" t="str">
        <f t="shared" si="5153"/>
        <v>Carsen Ryan</v>
      </c>
      <c r="F2586" s="62">
        <f t="shared" ref="F2586:G2586" si="5172">IF(isblank(F$1),,IF(isblank($A2586),,IFERROR(vlookup($A2586,indirect("'TVC-"&amp;text(month(F$1),"00")&amp;"'!$A:$D"),4,false),1)))</f>
        <v>1</v>
      </c>
      <c r="G2586" s="62">
        <f t="shared" si="5172"/>
        <v>1</v>
      </c>
      <c r="H2586" s="62">
        <f t="shared" ref="H2586:Q2586" si="5173">IF(isblank(H$1),,IFERROR(vlookup($A2586,indirect("'TVC-"&amp;text(month(H$1),"00")&amp;"'!$A:$D"),4,false),1))</f>
        <v>1</v>
      </c>
      <c r="I2586" s="62">
        <f t="shared" si="5173"/>
        <v>1</v>
      </c>
      <c r="J2586" s="62">
        <f t="shared" si="5173"/>
        <v>1</v>
      </c>
      <c r="K2586" s="62">
        <f t="shared" si="5173"/>
        <v>1</v>
      </c>
      <c r="L2586" s="62">
        <f t="shared" si="5173"/>
        <v>1</v>
      </c>
      <c r="M2586" s="62">
        <f t="shared" si="5173"/>
        <v>1</v>
      </c>
      <c r="N2586" s="62">
        <f t="shared" si="5173"/>
        <v>1</v>
      </c>
      <c r="O2586" s="62">
        <f t="shared" si="5173"/>
        <v>1</v>
      </c>
      <c r="P2586" s="62" t="str">
        <f t="shared" si="5173"/>
        <v/>
      </c>
      <c r="Q2586" s="62" t="str">
        <f t="shared" si="5173"/>
        <v/>
      </c>
      <c r="R2586" s="62">
        <f t="shared" si="7"/>
        <v>0</v>
      </c>
      <c r="S2586" s="62"/>
      <c r="T2586" s="62"/>
      <c r="U2586" s="62"/>
      <c r="V2586" s="62"/>
      <c r="W2586" s="62"/>
      <c r="X2586" s="62"/>
      <c r="Y2586" s="62"/>
      <c r="Z2586" s="62"/>
      <c r="AA2586" s="62"/>
      <c r="AB2586" s="62"/>
      <c r="AC2586" s="62"/>
    </row>
    <row r="2587" hidden="1">
      <c r="A2587" s="60">
        <f>IFERROR(__xludf.DUMMYFUNCTION("""COMPUTED_VALUE"""),17697.0)</f>
        <v>17697</v>
      </c>
      <c r="B2587" s="60" t="str">
        <f>IFERROR(__xludf.DUMMYFUNCTION("""COMPUTED_VALUE"""),"Benny, Rayshaun")</f>
        <v>Benny, Rayshaun</v>
      </c>
      <c r="C2587" s="60" t="str">
        <f>IFERROR(__xludf.DUMMYFUNCTION("""COMPUTED_VALUE"""),"DT")</f>
        <v>DT</v>
      </c>
      <c r="D2587" s="60" t="str">
        <f>IFERROR(__xludf.DUMMYFUNCTION("""COMPUTED_VALUE"""),"BAL")</f>
        <v>BAL</v>
      </c>
      <c r="E2587" s="62" t="str">
        <f t="shared" si="5153"/>
        <v>Rayshaun Benny</v>
      </c>
      <c r="F2587" s="62">
        <f t="shared" ref="F2587:G2587" si="5174">IF(isblank(F$1),,IF(isblank($A2587),,IFERROR(vlookup($A2587,indirect("'TVC-"&amp;text(month(F$1),"00")&amp;"'!$A:$D"),4,false),1)))</f>
        <v>1</v>
      </c>
      <c r="G2587" s="62">
        <f t="shared" si="5174"/>
        <v>1</v>
      </c>
      <c r="H2587" s="62">
        <f t="shared" ref="H2587:Q2587" si="5175">IF(isblank(H$1),,IFERROR(vlookup($A2587,indirect("'TVC-"&amp;text(month(H$1),"00")&amp;"'!$A:$D"),4,false),1))</f>
        <v>1</v>
      </c>
      <c r="I2587" s="62">
        <f t="shared" si="5175"/>
        <v>1</v>
      </c>
      <c r="J2587" s="62">
        <f t="shared" si="5175"/>
        <v>1</v>
      </c>
      <c r="K2587" s="62">
        <f t="shared" si="5175"/>
        <v>1</v>
      </c>
      <c r="L2587" s="62">
        <f t="shared" si="5175"/>
        <v>1</v>
      </c>
      <c r="M2587" s="62">
        <f t="shared" si="5175"/>
        <v>1</v>
      </c>
      <c r="N2587" s="62">
        <f t="shared" si="5175"/>
        <v>1</v>
      </c>
      <c r="O2587" s="62">
        <f t="shared" si="5175"/>
        <v>1</v>
      </c>
      <c r="P2587" s="62" t="str">
        <f t="shared" si="5175"/>
        <v/>
      </c>
      <c r="Q2587" s="62" t="str">
        <f t="shared" si="5175"/>
        <v/>
      </c>
      <c r="R2587" s="62">
        <f t="shared" si="7"/>
        <v>0</v>
      </c>
      <c r="S2587" s="62"/>
      <c r="T2587" s="62"/>
      <c r="U2587" s="62"/>
      <c r="V2587" s="62"/>
      <c r="W2587" s="62"/>
      <c r="X2587" s="62"/>
      <c r="Y2587" s="62"/>
      <c r="Z2587" s="62"/>
      <c r="AA2587" s="62"/>
      <c r="AB2587" s="62"/>
      <c r="AC2587" s="62"/>
    </row>
    <row r="2588" hidden="1">
      <c r="A2588" s="60">
        <f>IFERROR(__xludf.DUMMYFUNCTION("""COMPUTED_VALUE"""),17698.0)</f>
        <v>17698</v>
      </c>
      <c r="B2588" s="60" t="str">
        <f>IFERROR(__xludf.DUMMYFUNCTION("""COMPUTED_VALUE"""),"Bernard, Uar")</f>
        <v>Bernard, Uar</v>
      </c>
      <c r="C2588" s="60" t="str">
        <f>IFERROR(__xludf.DUMMYFUNCTION("""COMPUTED_VALUE"""),"DT")</f>
        <v>DT</v>
      </c>
      <c r="D2588" s="60" t="str">
        <f>IFERROR(__xludf.DUMMYFUNCTION("""COMPUTED_VALUE"""),"PHI")</f>
        <v>PHI</v>
      </c>
      <c r="E2588" s="62" t="str">
        <f t="shared" si="5153"/>
        <v>Uar Bernard</v>
      </c>
      <c r="F2588" s="62">
        <f t="shared" ref="F2588:G2588" si="5176">IF(isblank(F$1),,IF(isblank($A2588),,IFERROR(vlookup($A2588,indirect("'TVC-"&amp;text(month(F$1),"00")&amp;"'!$A:$D"),4,false),1)))</f>
        <v>1</v>
      </c>
      <c r="G2588" s="62">
        <f t="shared" si="5176"/>
        <v>1</v>
      </c>
      <c r="H2588" s="62">
        <f t="shared" ref="H2588:Q2588" si="5177">IF(isblank(H$1),,IFERROR(vlookup($A2588,indirect("'TVC-"&amp;text(month(H$1),"00")&amp;"'!$A:$D"),4,false),1))</f>
        <v>1</v>
      </c>
      <c r="I2588" s="62">
        <f t="shared" si="5177"/>
        <v>1</v>
      </c>
      <c r="J2588" s="62">
        <f t="shared" si="5177"/>
        <v>1</v>
      </c>
      <c r="K2588" s="62">
        <f t="shared" si="5177"/>
        <v>1</v>
      </c>
      <c r="L2588" s="62">
        <f t="shared" si="5177"/>
        <v>1</v>
      </c>
      <c r="M2588" s="62">
        <f t="shared" si="5177"/>
        <v>1</v>
      </c>
      <c r="N2588" s="62">
        <f t="shared" si="5177"/>
        <v>1</v>
      </c>
      <c r="O2588" s="62">
        <f t="shared" si="5177"/>
        <v>1</v>
      </c>
      <c r="P2588" s="62" t="str">
        <f t="shared" si="5177"/>
        <v/>
      </c>
      <c r="Q2588" s="62" t="str">
        <f t="shared" si="5177"/>
        <v/>
      </c>
      <c r="R2588" s="62">
        <f t="shared" si="7"/>
        <v>0</v>
      </c>
      <c r="S2588" s="62"/>
      <c r="T2588" s="62"/>
      <c r="U2588" s="62"/>
      <c r="V2588" s="62"/>
      <c r="W2588" s="62"/>
      <c r="X2588" s="62"/>
      <c r="Y2588" s="62"/>
      <c r="Z2588" s="62"/>
      <c r="AA2588" s="62"/>
      <c r="AB2588" s="62"/>
      <c r="AC2588" s="62"/>
    </row>
    <row r="2589" hidden="1">
      <c r="A2589" s="60">
        <f>IFERROR(__xludf.DUMMYFUNCTION("""COMPUTED_VALUE"""),17699.0)</f>
        <v>17699</v>
      </c>
      <c r="B2589" s="60" t="str">
        <f>IFERROR(__xludf.DUMMYFUNCTION("""COMPUTED_VALUE"""),"Bentley, Dallen")</f>
        <v>Bentley, Dallen</v>
      </c>
      <c r="C2589" s="60" t="str">
        <f>IFERROR(__xludf.DUMMYFUNCTION("""COMPUTED_VALUE"""),"TE")</f>
        <v>TE</v>
      </c>
      <c r="D2589" s="60" t="str">
        <f>IFERROR(__xludf.DUMMYFUNCTION("""COMPUTED_VALUE"""),"DEN")</f>
        <v>DEN</v>
      </c>
      <c r="E2589" s="62" t="str">
        <f t="shared" si="5153"/>
        <v>Dallen Bentley</v>
      </c>
      <c r="F2589" s="62">
        <f t="shared" ref="F2589:G2589" si="5178">IF(isblank(F$1),,IF(isblank($A2589),,IFERROR(vlookup($A2589,indirect("'TVC-"&amp;text(month(F$1),"00")&amp;"'!$A:$D"),4,false),1)))</f>
        <v>1</v>
      </c>
      <c r="G2589" s="62">
        <f t="shared" si="5178"/>
        <v>1</v>
      </c>
      <c r="H2589" s="62">
        <f t="shared" ref="H2589:Q2589" si="5179">IF(isblank(H$1),,IFERROR(vlookup($A2589,indirect("'TVC-"&amp;text(month(H$1),"00")&amp;"'!$A:$D"),4,false),1))</f>
        <v>1</v>
      </c>
      <c r="I2589" s="62">
        <f t="shared" si="5179"/>
        <v>1</v>
      </c>
      <c r="J2589" s="62">
        <f t="shared" si="5179"/>
        <v>1</v>
      </c>
      <c r="K2589" s="62">
        <f t="shared" si="5179"/>
        <v>1</v>
      </c>
      <c r="L2589" s="62">
        <f t="shared" si="5179"/>
        <v>1</v>
      </c>
      <c r="M2589" s="62">
        <f t="shared" si="5179"/>
        <v>1</v>
      </c>
      <c r="N2589" s="62">
        <f t="shared" si="5179"/>
        <v>1</v>
      </c>
      <c r="O2589" s="62">
        <f t="shared" si="5179"/>
        <v>1</v>
      </c>
      <c r="P2589" s="62" t="str">
        <f t="shared" si="5179"/>
        <v/>
      </c>
      <c r="Q2589" s="62" t="str">
        <f t="shared" si="5179"/>
        <v/>
      </c>
      <c r="R2589" s="62">
        <f t="shared" si="7"/>
        <v>0</v>
      </c>
      <c r="S2589" s="62"/>
      <c r="T2589" s="62"/>
      <c r="U2589" s="62"/>
      <c r="V2589" s="62"/>
      <c r="W2589" s="62"/>
      <c r="X2589" s="62"/>
      <c r="Y2589" s="62"/>
      <c r="Z2589" s="62"/>
      <c r="AA2589" s="62"/>
      <c r="AB2589" s="62"/>
      <c r="AC2589" s="62"/>
    </row>
    <row r="2590" hidden="1">
      <c r="A2590" s="60">
        <f>IFERROR(__xludf.DUMMYFUNCTION("""COMPUTED_VALUE"""),17700.0)</f>
        <v>17700</v>
      </c>
      <c r="B2590" s="60" t="str">
        <f>IFERROR(__xludf.DUMMYFUNCTION("""COMPUTED_VALUE"""),"Murdock, Red")</f>
        <v>Murdock, Red</v>
      </c>
      <c r="C2590" s="60" t="str">
        <f>IFERROR(__xludf.DUMMYFUNCTION("""COMPUTED_VALUE"""),"LB")</f>
        <v>LB</v>
      </c>
      <c r="D2590" s="60" t="str">
        <f>IFERROR(__xludf.DUMMYFUNCTION("""COMPUTED_VALUE"""),"DEN")</f>
        <v>DEN</v>
      </c>
      <c r="E2590" s="62" t="str">
        <f t="shared" si="5153"/>
        <v>Red Murdock</v>
      </c>
      <c r="F2590" s="62">
        <f t="shared" ref="F2590:G2590" si="5180">IF(isblank(F$1),,IF(isblank($A2590),,IFERROR(vlookup($A2590,indirect("'TVC-"&amp;text(month(F$1),"00")&amp;"'!$A:$D"),4,false),1)))</f>
        <v>1</v>
      </c>
      <c r="G2590" s="62">
        <f t="shared" si="5180"/>
        <v>1</v>
      </c>
      <c r="H2590" s="62">
        <f t="shared" ref="H2590:Q2590" si="5181">IF(isblank(H$1),,IFERROR(vlookup($A2590,indirect("'TVC-"&amp;text(month(H$1),"00")&amp;"'!$A:$D"),4,false),1))</f>
        <v>1</v>
      </c>
      <c r="I2590" s="62">
        <f t="shared" si="5181"/>
        <v>1</v>
      </c>
      <c r="J2590" s="62">
        <f t="shared" si="5181"/>
        <v>1</v>
      </c>
      <c r="K2590" s="62">
        <f t="shared" si="5181"/>
        <v>1</v>
      </c>
      <c r="L2590" s="62">
        <f t="shared" si="5181"/>
        <v>1</v>
      </c>
      <c r="M2590" s="62">
        <f t="shared" si="5181"/>
        <v>1</v>
      </c>
      <c r="N2590" s="62">
        <f t="shared" si="5181"/>
        <v>1</v>
      </c>
      <c r="O2590" s="62">
        <f t="shared" si="5181"/>
        <v>1</v>
      </c>
      <c r="P2590" s="62" t="str">
        <f t="shared" si="5181"/>
        <v/>
      </c>
      <c r="Q2590" s="62" t="str">
        <f t="shared" si="5181"/>
        <v/>
      </c>
      <c r="R2590" s="62">
        <f t="shared" si="7"/>
        <v>0</v>
      </c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</row>
    <row r="2591" hidden="1">
      <c r="A2591" s="60">
        <f>IFERROR(__xludf.DUMMYFUNCTION("""COMPUTED_VALUE"""),17701.0)</f>
        <v>17701</v>
      </c>
      <c r="B2591" s="60" t="str">
        <f>IFERROR(__xludf.DUMMYFUNCTION("""COMPUTED_VALUE"""),"Cleveland, Brandon")</f>
        <v>Cleveland, Brandon</v>
      </c>
      <c r="C2591" s="60" t="str">
        <f>IFERROR(__xludf.DUMMYFUNCTION("""COMPUTED_VALUE"""),"DT")</f>
        <v>DT</v>
      </c>
      <c r="D2591" s="60" t="str">
        <f>IFERROR(__xludf.DUMMYFUNCTION("""COMPUTED_VALUE"""),"LVR")</f>
        <v>LVR</v>
      </c>
      <c r="E2591" s="62" t="str">
        <f t="shared" si="5153"/>
        <v>Brandon Cleveland</v>
      </c>
      <c r="F2591" s="62">
        <f t="shared" ref="F2591:G2591" si="5182">IF(isblank(F$1),,IF(isblank($A2591),,IFERROR(vlookup($A2591,indirect("'TVC-"&amp;text(month(F$1),"00")&amp;"'!$A:$D"),4,false),1)))</f>
        <v>1</v>
      </c>
      <c r="G2591" s="62">
        <f t="shared" si="5182"/>
        <v>1</v>
      </c>
      <c r="H2591" s="62">
        <f t="shared" ref="H2591:Q2591" si="5183">IF(isblank(H$1),,IFERROR(vlookup($A2591,indirect("'TVC-"&amp;text(month(H$1),"00")&amp;"'!$A:$D"),4,false),1))</f>
        <v>1</v>
      </c>
      <c r="I2591" s="62">
        <f t="shared" si="5183"/>
        <v>1</v>
      </c>
      <c r="J2591" s="62">
        <f t="shared" si="5183"/>
        <v>1</v>
      </c>
      <c r="K2591" s="62">
        <f t="shared" si="5183"/>
        <v>1</v>
      </c>
      <c r="L2591" s="62">
        <f t="shared" si="5183"/>
        <v>1</v>
      </c>
      <c r="M2591" s="62">
        <f t="shared" si="5183"/>
        <v>1</v>
      </c>
      <c r="N2591" s="62">
        <f t="shared" si="5183"/>
        <v>1</v>
      </c>
      <c r="O2591" s="62">
        <f t="shared" si="5183"/>
        <v>1</v>
      </c>
      <c r="P2591" s="62" t="str">
        <f t="shared" si="5183"/>
        <v/>
      </c>
      <c r="Q2591" s="62" t="str">
        <f t="shared" si="5183"/>
        <v/>
      </c>
      <c r="R2591" s="62">
        <f t="shared" si="7"/>
        <v>0</v>
      </c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</row>
    <row r="2592" hidden="1">
      <c r="A2592" s="60">
        <f>IFERROR(__xludf.DUMMYFUNCTION("""COMPUTED_VALUE"""),17702.0)</f>
        <v>17702</v>
      </c>
      <c r="B2592" s="60" t="str">
        <f>IFERROR(__xludf.DUMMYFUNCTION("""COMPUTED_VALUE"""),"Morton, Behren")</f>
        <v>Morton, Behren</v>
      </c>
      <c r="C2592" s="60" t="str">
        <f>IFERROR(__xludf.DUMMYFUNCTION("""COMPUTED_VALUE"""),"QB")</f>
        <v>QB</v>
      </c>
      <c r="D2592" s="60" t="str">
        <f>IFERROR(__xludf.DUMMYFUNCTION("""COMPUTED_VALUE"""),"NEP")</f>
        <v>NEP</v>
      </c>
      <c r="E2592" s="62" t="str">
        <f t="shared" si="5153"/>
        <v>Behren Morton</v>
      </c>
      <c r="F2592" s="62">
        <f t="shared" ref="F2592:G2592" si="5184">IF(isblank(F$1),,IF(isblank($A2592),,IFERROR(vlookup($A2592,indirect("'TVC-"&amp;text(month(F$1),"00")&amp;"'!$A:$D"),4,false),1)))</f>
        <v>1</v>
      </c>
      <c r="G2592" s="62">
        <f t="shared" si="5184"/>
        <v>1</v>
      </c>
      <c r="H2592" s="62">
        <f t="shared" ref="H2592:Q2592" si="5185">IF(isblank(H$1),,IFERROR(vlookup($A2592,indirect("'TVC-"&amp;text(month(H$1),"00")&amp;"'!$A:$D"),4,false),1))</f>
        <v>1</v>
      </c>
      <c r="I2592" s="62">
        <f t="shared" si="5185"/>
        <v>1</v>
      </c>
      <c r="J2592" s="62">
        <f t="shared" si="5185"/>
        <v>1</v>
      </c>
      <c r="K2592" s="62">
        <f t="shared" si="5185"/>
        <v>1</v>
      </c>
      <c r="L2592" s="62">
        <f t="shared" si="5185"/>
        <v>1</v>
      </c>
      <c r="M2592" s="62">
        <f t="shared" si="5185"/>
        <v>1</v>
      </c>
      <c r="N2592" s="62">
        <f t="shared" si="5185"/>
        <v>1</v>
      </c>
      <c r="O2592" s="62">
        <f t="shared" si="5185"/>
        <v>1</v>
      </c>
      <c r="P2592" s="62" t="str">
        <f t="shared" si="5185"/>
        <v/>
      </c>
      <c r="Q2592" s="62" t="str">
        <f t="shared" si="5185"/>
        <v/>
      </c>
      <c r="R2592" s="62">
        <f t="shared" si="7"/>
        <v>0</v>
      </c>
      <c r="S2592" s="62"/>
      <c r="T2592" s="62"/>
      <c r="U2592" s="62"/>
      <c r="V2592" s="62"/>
      <c r="W2592" s="62"/>
      <c r="X2592" s="62"/>
      <c r="Y2592" s="62"/>
      <c r="Z2592" s="62"/>
      <c r="AA2592" s="62"/>
      <c r="AB2592" s="62"/>
      <c r="AC2592" s="62"/>
    </row>
    <row r="2593" hidden="1">
      <c r="A2593" s="60">
        <f>IFERROR(__xludf.DUMMYFUNCTION("""COMPUTED_VALUE"""),17703.0)</f>
        <v>17703</v>
      </c>
      <c r="B2593" s="60" t="str">
        <f>IFERROR(__xludf.DUMMYFUNCTION("""COMPUTED_VALUE"""),"Fuller, Andre")</f>
        <v>Fuller, Andre</v>
      </c>
      <c r="C2593" s="60" t="str">
        <f>IFERROR(__xludf.DUMMYFUNCTION("""COMPUTED_VALUE"""),"CB")</f>
        <v>CB</v>
      </c>
      <c r="D2593" s="60" t="str">
        <f>IFERROR(__xludf.DUMMYFUNCTION("""COMPUTED_VALUE"""),"SEA")</f>
        <v>SEA</v>
      </c>
      <c r="E2593" s="62" t="str">
        <f t="shared" si="5153"/>
        <v>Andre Fuller</v>
      </c>
      <c r="F2593" s="62">
        <f t="shared" ref="F2593:G2593" si="5186">IF(isblank(F$1),,IF(isblank($A2593),,IFERROR(vlookup($A2593,indirect("'TVC-"&amp;text(month(F$1),"00")&amp;"'!$A:$D"),4,false),1)))</f>
        <v>1</v>
      </c>
      <c r="G2593" s="62">
        <f t="shared" si="5186"/>
        <v>1</v>
      </c>
      <c r="H2593" s="62">
        <f t="shared" ref="H2593:Q2593" si="5187">IF(isblank(H$1),,IFERROR(vlookup($A2593,indirect("'TVC-"&amp;text(month(H$1),"00")&amp;"'!$A:$D"),4,false),1))</f>
        <v>1</v>
      </c>
      <c r="I2593" s="62">
        <f t="shared" si="5187"/>
        <v>1</v>
      </c>
      <c r="J2593" s="62">
        <f t="shared" si="5187"/>
        <v>1</v>
      </c>
      <c r="K2593" s="62">
        <f t="shared" si="5187"/>
        <v>1</v>
      </c>
      <c r="L2593" s="62">
        <f t="shared" si="5187"/>
        <v>1</v>
      </c>
      <c r="M2593" s="62">
        <f t="shared" si="5187"/>
        <v>1</v>
      </c>
      <c r="N2593" s="62">
        <f t="shared" si="5187"/>
        <v>1</v>
      </c>
      <c r="O2593" s="62">
        <f t="shared" si="5187"/>
        <v>1</v>
      </c>
      <c r="P2593" s="62" t="str">
        <f t="shared" si="5187"/>
        <v/>
      </c>
      <c r="Q2593" s="62" t="str">
        <f t="shared" si="5187"/>
        <v/>
      </c>
      <c r="R2593" s="62">
        <f t="shared" si="7"/>
        <v>0</v>
      </c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</row>
    <row r="2594" hidden="1">
      <c r="A2594" s="60">
        <f>IFERROR(__xludf.DUMMYFUNCTION("""COMPUTED_VALUE"""),17704.0)</f>
        <v>17704</v>
      </c>
      <c r="B2594" s="60" t="str">
        <f>IFERROR(__xludf.DUMMYFUNCTION("""COMPUTED_VALUE"""),"James-Newby, Keyshawn")</f>
        <v>James-Newby, Keyshawn</v>
      </c>
      <c r="C2594" s="60" t="str">
        <f>IFERROR(__xludf.DUMMYFUNCTION("""COMPUTED_VALUE"""),"DE")</f>
        <v>DE</v>
      </c>
      <c r="D2594" s="60" t="str">
        <f>IFERROR(__xludf.DUMMYFUNCTION("""COMPUTED_VALUE"""),"PHI")</f>
        <v>PHI</v>
      </c>
      <c r="E2594" s="62" t="str">
        <f t="shared" si="5153"/>
        <v>Keyshawn James-Newby</v>
      </c>
      <c r="F2594" s="62">
        <f t="shared" ref="F2594:G2594" si="5188">IF(isblank(F$1),,IF(isblank($A2594),,IFERROR(vlookup($A2594,indirect("'TVC-"&amp;text(month(F$1),"00")&amp;"'!$A:$D"),4,false),1)))</f>
        <v>1</v>
      </c>
      <c r="G2594" s="62">
        <f t="shared" si="5188"/>
        <v>1</v>
      </c>
      <c r="H2594" s="62">
        <f t="shared" ref="H2594:Q2594" si="5189">IF(isblank(H$1),,IFERROR(vlookup($A2594,indirect("'TVC-"&amp;text(month(H$1),"00")&amp;"'!$A:$D"),4,false),1))</f>
        <v>1</v>
      </c>
      <c r="I2594" s="62">
        <f t="shared" si="5189"/>
        <v>1</v>
      </c>
      <c r="J2594" s="62">
        <f t="shared" si="5189"/>
        <v>1</v>
      </c>
      <c r="K2594" s="62">
        <f t="shared" si="5189"/>
        <v>1</v>
      </c>
      <c r="L2594" s="62">
        <f t="shared" si="5189"/>
        <v>1</v>
      </c>
      <c r="M2594" s="62">
        <f t="shared" si="5189"/>
        <v>1</v>
      </c>
      <c r="N2594" s="62">
        <f t="shared" si="5189"/>
        <v>1</v>
      </c>
      <c r="O2594" s="62">
        <f t="shared" si="5189"/>
        <v>1</v>
      </c>
      <c r="P2594" s="62" t="str">
        <f t="shared" si="5189"/>
        <v/>
      </c>
      <c r="Q2594" s="62" t="str">
        <f t="shared" si="5189"/>
        <v/>
      </c>
      <c r="R2594" s="62">
        <f t="shared" si="7"/>
        <v>0</v>
      </c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</row>
    <row r="2595" hidden="1">
      <c r="A2595" s="60">
        <f>IFERROR(__xludf.DUMMYFUNCTION("""COMPUTED_VALUE"""),17705.0)</f>
        <v>17705</v>
      </c>
      <c r="B2595" s="60" t="str">
        <f>IFERROR(__xludf.DUMMYFUNCTION("""COMPUTED_VALUE"""),"Dansby, Michael")</f>
        <v>Dansby, Michael</v>
      </c>
      <c r="C2595" s="60" t="str">
        <f>IFERROR(__xludf.DUMMYFUNCTION("""COMPUTED_VALUE"""),"CB")</f>
        <v>CB</v>
      </c>
      <c r="D2595" s="60" t="str">
        <f>IFERROR(__xludf.DUMMYFUNCTION("""COMPUTED_VALUE"""),"SEA")</f>
        <v>SEA</v>
      </c>
      <c r="E2595" s="62" t="str">
        <f t="shared" si="5153"/>
        <v>Michael Dansby</v>
      </c>
      <c r="F2595" s="62">
        <f t="shared" ref="F2595:G2595" si="5190">IF(isblank(F$1),,IF(isblank($A2595),,IFERROR(vlookup($A2595,indirect("'TVC-"&amp;text(month(F$1),"00")&amp;"'!$A:$D"),4,false),1)))</f>
        <v>1</v>
      </c>
      <c r="G2595" s="62">
        <f t="shared" si="5190"/>
        <v>1</v>
      </c>
      <c r="H2595" s="62">
        <f t="shared" ref="H2595:Q2595" si="5191">IF(isblank(H$1),,IFERROR(vlookup($A2595,indirect("'TVC-"&amp;text(month(H$1),"00")&amp;"'!$A:$D"),4,false),1))</f>
        <v>1</v>
      </c>
      <c r="I2595" s="62">
        <f t="shared" si="5191"/>
        <v>1</v>
      </c>
      <c r="J2595" s="62">
        <f t="shared" si="5191"/>
        <v>1</v>
      </c>
      <c r="K2595" s="62">
        <f t="shared" si="5191"/>
        <v>1</v>
      </c>
      <c r="L2595" s="62">
        <f t="shared" si="5191"/>
        <v>1</v>
      </c>
      <c r="M2595" s="62">
        <f t="shared" si="5191"/>
        <v>1</v>
      </c>
      <c r="N2595" s="62">
        <f t="shared" si="5191"/>
        <v>1</v>
      </c>
      <c r="O2595" s="62">
        <f t="shared" si="5191"/>
        <v>1</v>
      </c>
      <c r="P2595" s="62" t="str">
        <f t="shared" si="5191"/>
        <v/>
      </c>
      <c r="Q2595" s="62" t="str">
        <f t="shared" si="5191"/>
        <v/>
      </c>
      <c r="R2595" s="62">
        <f t="shared" si="7"/>
        <v>0</v>
      </c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</row>
    <row r="2596" hidden="1">
      <c r="A2596" s="60">
        <f>IFERROR(__xludf.DUMMYFUNCTION("""COMPUTED_VALUE"""),17706.0)</f>
        <v>17706</v>
      </c>
      <c r="B2596" s="60" t="str">
        <f>IFERROR(__xludf.DUMMYFUNCTION("""COMPUTED_VALUE"""),"Benson, Malik")</f>
        <v>Benson, Malik</v>
      </c>
      <c r="C2596" s="60" t="str">
        <f>IFERROR(__xludf.DUMMYFUNCTION("""COMPUTED_VALUE"""),"WR")</f>
        <v>WR</v>
      </c>
      <c r="D2596" s="60" t="str">
        <f>IFERROR(__xludf.DUMMYFUNCTION("""COMPUTED_VALUE"""),"LVR")</f>
        <v>LVR</v>
      </c>
      <c r="E2596" s="62" t="str">
        <f t="shared" si="5153"/>
        <v>Malik Benson</v>
      </c>
      <c r="F2596" s="62">
        <f t="shared" ref="F2596:G2596" si="5192">IF(isblank(F$1),,IF(isblank($A2596),,IFERROR(vlookup($A2596,indirect("'TVC-"&amp;text(month(F$1),"00")&amp;"'!$A:$D"),4,false),1)))</f>
        <v>1</v>
      </c>
      <c r="G2596" s="62">
        <f t="shared" si="5192"/>
        <v>1</v>
      </c>
      <c r="H2596" s="62">
        <f t="shared" ref="H2596:Q2596" si="5193">IF(isblank(H$1),,IFERROR(vlookup($A2596,indirect("'TVC-"&amp;text(month(H$1),"00")&amp;"'!$A:$D"),4,false),1))</f>
        <v>1</v>
      </c>
      <c r="I2596" s="62">
        <f t="shared" si="5193"/>
        <v>1</v>
      </c>
      <c r="J2596" s="62">
        <f t="shared" si="5193"/>
        <v>1</v>
      </c>
      <c r="K2596" s="62">
        <f t="shared" si="5193"/>
        <v>1</v>
      </c>
      <c r="L2596" s="62">
        <f t="shared" si="5193"/>
        <v>211</v>
      </c>
      <c r="M2596" s="62">
        <f t="shared" si="5193"/>
        <v>1</v>
      </c>
      <c r="N2596" s="62">
        <f t="shared" si="5193"/>
        <v>1783</v>
      </c>
      <c r="O2596" s="62">
        <f t="shared" si="5193"/>
        <v>1</v>
      </c>
      <c r="P2596" s="62" t="str">
        <f t="shared" si="5193"/>
        <v/>
      </c>
      <c r="Q2596" s="62" t="str">
        <f t="shared" si="5193"/>
        <v/>
      </c>
      <c r="R2596" s="62">
        <f t="shared" si="7"/>
        <v>-1782</v>
      </c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</row>
    <row r="2597" hidden="1">
      <c r="A2597" s="60">
        <f>IFERROR(__xludf.DUMMYFUNCTION("""COMPUTED_VALUE"""),17707.0)</f>
        <v>17707</v>
      </c>
      <c r="B2597" s="60" t="str">
        <f>IFERROR(__xludf.DUMMYFUNCTION("""COMPUTED_VALUE"""),"Sturdivant, J Michael")</f>
        <v>Sturdivant, J Michael</v>
      </c>
      <c r="C2597" s="60" t="str">
        <f>IFERROR(__xludf.DUMMYFUNCTION("""COMPUTED_VALUE"""),"WR")</f>
        <v>WR</v>
      </c>
      <c r="D2597" s="60" t="str">
        <f>IFERROR(__xludf.DUMMYFUNCTION("""COMPUTED_VALUE"""),"GBP")</f>
        <v>GBP</v>
      </c>
      <c r="E2597" s="62" t="str">
        <f t="shared" si="5153"/>
        <v>J Michael Sturdivant</v>
      </c>
      <c r="F2597" s="62">
        <f t="shared" ref="F2597:G2597" si="5194">IF(isblank(F$1),,IF(isblank($A2597),,IFERROR(vlookup($A2597,indirect("'TVC-"&amp;text(month(F$1),"00")&amp;"'!$A:$D"),4,false),1)))</f>
        <v>1</v>
      </c>
      <c r="G2597" s="62">
        <f t="shared" si="5194"/>
        <v>1</v>
      </c>
      <c r="H2597" s="62">
        <f t="shared" ref="H2597:Q2597" si="5195">IF(isblank(H$1),,IFERROR(vlookup($A2597,indirect("'TVC-"&amp;text(month(H$1),"00")&amp;"'!$A:$D"),4,false),1))</f>
        <v>1</v>
      </c>
      <c r="I2597" s="62">
        <f t="shared" si="5195"/>
        <v>1</v>
      </c>
      <c r="J2597" s="62">
        <f t="shared" si="5195"/>
        <v>1</v>
      </c>
      <c r="K2597" s="62">
        <f t="shared" si="5195"/>
        <v>1</v>
      </c>
      <c r="L2597" s="62">
        <f t="shared" si="5195"/>
        <v>1</v>
      </c>
      <c r="M2597" s="62">
        <f t="shared" si="5195"/>
        <v>1</v>
      </c>
      <c r="N2597" s="62">
        <f t="shared" si="5195"/>
        <v>1</v>
      </c>
      <c r="O2597" s="62">
        <f t="shared" si="5195"/>
        <v>1</v>
      </c>
      <c r="P2597" s="62" t="str">
        <f t="shared" si="5195"/>
        <v/>
      </c>
      <c r="Q2597" s="62" t="str">
        <f t="shared" si="5195"/>
        <v/>
      </c>
      <c r="R2597" s="62">
        <f t="shared" si="7"/>
        <v>0</v>
      </c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</row>
    <row r="2598" hidden="1">
      <c r="A2598" s="60">
        <f>IFERROR(__xludf.DUMMYFUNCTION("""COMPUTED_VALUE"""),17708.0)</f>
        <v>17708</v>
      </c>
      <c r="B2598" s="60" t="str">
        <f>IFERROR(__xludf.DUMMYFUNCTION("""COMPUTED_VALUE"""),"Owens, Kejon")</f>
        <v>Owens, Kejon</v>
      </c>
      <c r="C2598" s="60" t="str">
        <f>IFERROR(__xludf.DUMMYFUNCTION("""COMPUTED_VALUE"""),"RB")</f>
        <v>RB</v>
      </c>
      <c r="D2598" s="60" t="str">
        <f>IFERROR(__xludf.DUMMYFUNCTION("""COMPUTED_VALUE"""),"FA")</f>
        <v>FA</v>
      </c>
      <c r="E2598" s="62" t="str">
        <f t="shared" si="5153"/>
        <v>Kejon Owens</v>
      </c>
      <c r="F2598" s="62">
        <f t="shared" ref="F2598:G2598" si="5196">IF(isblank(F$1),,IF(isblank($A2598),,IFERROR(vlookup($A2598,indirect("'TVC-"&amp;text(month(F$1),"00")&amp;"'!$A:$D"),4,false),1)))</f>
        <v>1</v>
      </c>
      <c r="G2598" s="62">
        <f t="shared" si="5196"/>
        <v>1</v>
      </c>
      <c r="H2598" s="62">
        <f t="shared" ref="H2598:Q2598" si="5197">IF(isblank(H$1),,IFERROR(vlookup($A2598,indirect("'TVC-"&amp;text(month(H$1),"00")&amp;"'!$A:$D"),4,false),1))</f>
        <v>1</v>
      </c>
      <c r="I2598" s="62">
        <f t="shared" si="5197"/>
        <v>1</v>
      </c>
      <c r="J2598" s="62">
        <f t="shared" si="5197"/>
        <v>1</v>
      </c>
      <c r="K2598" s="62">
        <f t="shared" si="5197"/>
        <v>1</v>
      </c>
      <c r="L2598" s="62">
        <f t="shared" si="5197"/>
        <v>1</v>
      </c>
      <c r="M2598" s="62">
        <f t="shared" si="5197"/>
        <v>1</v>
      </c>
      <c r="N2598" s="62">
        <f t="shared" si="5197"/>
        <v>1</v>
      </c>
      <c r="O2598" s="62">
        <f t="shared" si="5197"/>
        <v>1</v>
      </c>
      <c r="P2598" s="62" t="str">
        <f t="shared" si="5197"/>
        <v/>
      </c>
      <c r="Q2598" s="62" t="str">
        <f t="shared" si="5197"/>
        <v/>
      </c>
      <c r="R2598" s="62">
        <f t="shared" si="7"/>
        <v>0</v>
      </c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</row>
    <row r="2599" hidden="1">
      <c r="A2599" s="60">
        <f>IFERROR(__xludf.DUMMYFUNCTION("""COMPUTED_VALUE"""),17709.0)</f>
        <v>17709</v>
      </c>
      <c r="B2599" s="60" t="str">
        <f>IFERROR(__xludf.DUMMYFUNCTION("""COMPUTED_VALUE"""),"Henry, Robert")</f>
        <v>Henry, Robert</v>
      </c>
      <c r="C2599" s="60" t="str">
        <f>IFERROR(__xludf.DUMMYFUNCTION("""COMPUTED_VALUE"""),"RB")</f>
        <v>RB</v>
      </c>
      <c r="D2599" s="60" t="str">
        <f>IFERROR(__xludf.DUMMYFUNCTION("""COMPUTED_VALUE"""),"SEA")</f>
        <v>SEA</v>
      </c>
      <c r="E2599" s="62" t="str">
        <f t="shared" si="5153"/>
        <v>Robert Henry</v>
      </c>
      <c r="F2599" s="62">
        <f t="shared" ref="F2599:G2599" si="5198">IF(isblank(F$1),,IF(isblank($A2599),,IFERROR(vlookup($A2599,indirect("'TVC-"&amp;text(month(F$1),"00")&amp;"'!$A:$D"),4,false),1)))</f>
        <v>1</v>
      </c>
      <c r="G2599" s="62">
        <f t="shared" si="5198"/>
        <v>1</v>
      </c>
      <c r="H2599" s="62">
        <f t="shared" ref="H2599:Q2599" si="5199">IF(isblank(H$1),,IFERROR(vlookup($A2599,indirect("'TVC-"&amp;text(month(H$1),"00")&amp;"'!$A:$D"),4,false),1))</f>
        <v>1</v>
      </c>
      <c r="I2599" s="62">
        <f t="shared" si="5199"/>
        <v>1</v>
      </c>
      <c r="J2599" s="62">
        <f t="shared" si="5199"/>
        <v>1</v>
      </c>
      <c r="K2599" s="62">
        <f t="shared" si="5199"/>
        <v>1</v>
      </c>
      <c r="L2599" s="62">
        <f t="shared" si="5199"/>
        <v>1</v>
      </c>
      <c r="M2599" s="62">
        <f t="shared" si="5199"/>
        <v>9</v>
      </c>
      <c r="N2599" s="62">
        <f t="shared" si="5199"/>
        <v>1</v>
      </c>
      <c r="O2599" s="62">
        <f t="shared" si="5199"/>
        <v>1</v>
      </c>
      <c r="P2599" s="62" t="str">
        <f t="shared" si="5199"/>
        <v/>
      </c>
      <c r="Q2599" s="62" t="str">
        <f t="shared" si="5199"/>
        <v/>
      </c>
      <c r="R2599" s="62">
        <f t="shared" si="7"/>
        <v>0</v>
      </c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</row>
    <row r="2600" hidden="1">
      <c r="A2600" s="60">
        <f>IFERROR(__xludf.DUMMYFUNCTION("""COMPUTED_VALUE"""),17710.0)</f>
        <v>17710</v>
      </c>
      <c r="B2600" s="60" t="str">
        <f>IFERROR(__xludf.DUMMYFUNCTION("""COMPUTED_VALUE"""),"Gyllenborg, John Michael")</f>
        <v>Gyllenborg, John Michael</v>
      </c>
      <c r="C2600" s="60" t="str">
        <f>IFERROR(__xludf.DUMMYFUNCTION("""COMPUTED_VALUE"""),"TE")</f>
        <v>TE</v>
      </c>
      <c r="D2600" s="60" t="str">
        <f>IFERROR(__xludf.DUMMYFUNCTION("""COMPUTED_VALUE"""),"KCC")</f>
        <v>KCC</v>
      </c>
      <c r="E2600" s="62" t="str">
        <f t="shared" si="5153"/>
        <v>John Michael Gyllenborg</v>
      </c>
      <c r="F2600" s="62">
        <f t="shared" ref="F2600:G2600" si="5200">IF(isblank(F$1),,IF(isblank($A2600),,IFERROR(vlookup($A2600,indirect("'TVC-"&amp;text(month(F$1),"00")&amp;"'!$A:$D"),4,false),1)))</f>
        <v>1</v>
      </c>
      <c r="G2600" s="62">
        <f t="shared" si="5200"/>
        <v>1</v>
      </c>
      <c r="H2600" s="62">
        <f t="shared" ref="H2600:Q2600" si="5201">IF(isblank(H$1),,IFERROR(vlookup($A2600,indirect("'TVC-"&amp;text(month(H$1),"00")&amp;"'!$A:$D"),4,false),1))</f>
        <v>1</v>
      </c>
      <c r="I2600" s="62">
        <f t="shared" si="5201"/>
        <v>1</v>
      </c>
      <c r="J2600" s="62">
        <f t="shared" si="5201"/>
        <v>1</v>
      </c>
      <c r="K2600" s="62">
        <f t="shared" si="5201"/>
        <v>1</v>
      </c>
      <c r="L2600" s="62">
        <f t="shared" si="5201"/>
        <v>1</v>
      </c>
      <c r="M2600" s="62">
        <f t="shared" si="5201"/>
        <v>1</v>
      </c>
      <c r="N2600" s="62">
        <f t="shared" si="5201"/>
        <v>1</v>
      </c>
      <c r="O2600" s="62">
        <f t="shared" si="5201"/>
        <v>1</v>
      </c>
      <c r="P2600" s="62" t="str">
        <f t="shared" si="5201"/>
        <v/>
      </c>
      <c r="Q2600" s="62" t="str">
        <f t="shared" si="5201"/>
        <v/>
      </c>
      <c r="R2600" s="62">
        <f t="shared" si="7"/>
        <v>0</v>
      </c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</row>
    <row r="2601" hidden="1">
      <c r="A2601" s="60">
        <f>IFERROR(__xludf.DUMMYFUNCTION("""COMPUTED_VALUE"""),17711.0)</f>
        <v>17711</v>
      </c>
      <c r="B2601" s="60" t="str">
        <f>IFERROR(__xludf.DUMMYFUNCTION("""COMPUTED_VALUE"""),"Dixon, Kyle")</f>
        <v>Dixon, Kyle</v>
      </c>
      <c r="C2601" s="60" t="str">
        <f>IFERROR(__xludf.DUMMYFUNCTION("""COMPUTED_VALUE"""),"WR")</f>
        <v>WR</v>
      </c>
      <c r="D2601" s="60" t="str">
        <f>IFERROR(__xludf.DUMMYFUNCTION("""COMPUTED_VALUE"""),"NEP")</f>
        <v>NEP</v>
      </c>
      <c r="E2601" s="62" t="str">
        <f t="shared" si="5153"/>
        <v>Kyle Dixon</v>
      </c>
      <c r="F2601" s="62">
        <f t="shared" ref="F2601:G2601" si="5202">IF(isblank(F$1),,IF(isblank($A2601),,IFERROR(vlookup($A2601,indirect("'TVC-"&amp;text(month(F$1),"00")&amp;"'!$A:$D"),4,false),1)))</f>
        <v>1</v>
      </c>
      <c r="G2601" s="62">
        <f t="shared" si="5202"/>
        <v>1</v>
      </c>
      <c r="H2601" s="62">
        <f t="shared" ref="H2601:Q2601" si="5203">IF(isblank(H$1),,IFERROR(vlookup($A2601,indirect("'TVC-"&amp;text(month(H$1),"00")&amp;"'!$A:$D"),4,false),1))</f>
        <v>1</v>
      </c>
      <c r="I2601" s="62">
        <f t="shared" si="5203"/>
        <v>1</v>
      </c>
      <c r="J2601" s="62">
        <f t="shared" si="5203"/>
        <v>1</v>
      </c>
      <c r="K2601" s="62">
        <f t="shared" si="5203"/>
        <v>1</v>
      </c>
      <c r="L2601" s="62">
        <f t="shared" si="5203"/>
        <v>1</v>
      </c>
      <c r="M2601" s="62">
        <f t="shared" si="5203"/>
        <v>1</v>
      </c>
      <c r="N2601" s="62">
        <f t="shared" si="5203"/>
        <v>1</v>
      </c>
      <c r="O2601" s="62">
        <f t="shared" si="5203"/>
        <v>1</v>
      </c>
      <c r="P2601" s="62" t="str">
        <f t="shared" si="5203"/>
        <v/>
      </c>
      <c r="Q2601" s="62" t="str">
        <f t="shared" si="5203"/>
        <v/>
      </c>
      <c r="R2601" s="62">
        <f t="shared" si="7"/>
        <v>0</v>
      </c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</row>
    <row r="2602" hidden="1">
      <c r="A2602" s="60">
        <f>IFERROR(__xludf.DUMMYFUNCTION("""COMPUTED_VALUE"""),17712.0)</f>
        <v>17712</v>
      </c>
      <c r="B2602" s="60" t="str">
        <f>IFERROR(__xludf.DUMMYFUNCTION("""COMPUTED_VALUE"""),"Harris, Zxavian")</f>
        <v>Harris, Zxavian</v>
      </c>
      <c r="C2602" s="60" t="str">
        <f>IFERROR(__xludf.DUMMYFUNCTION("""COMPUTED_VALUE"""),"DT")</f>
        <v>DT</v>
      </c>
      <c r="D2602" s="60" t="str">
        <f>IFERROR(__xludf.DUMMYFUNCTION("""COMPUTED_VALUE"""),"FA")</f>
        <v>FA</v>
      </c>
      <c r="E2602" s="62" t="str">
        <f t="shared" si="5153"/>
        <v>Zxavian Harris</v>
      </c>
      <c r="F2602" s="62">
        <f t="shared" ref="F2602:G2602" si="5204">IF(isblank(F$1),,IF(isblank($A2602),,IFERROR(vlookup($A2602,indirect("'TVC-"&amp;text(month(F$1),"00")&amp;"'!$A:$D"),4,false),1)))</f>
        <v>1</v>
      </c>
      <c r="G2602" s="62">
        <f t="shared" si="5204"/>
        <v>1</v>
      </c>
      <c r="H2602" s="62">
        <f t="shared" ref="H2602:Q2602" si="5205">IF(isblank(H$1),,IFERROR(vlookup($A2602,indirect("'TVC-"&amp;text(month(H$1),"00")&amp;"'!$A:$D"),4,false),1))</f>
        <v>1</v>
      </c>
      <c r="I2602" s="62">
        <f t="shared" si="5205"/>
        <v>1</v>
      </c>
      <c r="J2602" s="62">
        <f t="shared" si="5205"/>
        <v>1</v>
      </c>
      <c r="K2602" s="62">
        <f t="shared" si="5205"/>
        <v>1</v>
      </c>
      <c r="L2602" s="62">
        <f t="shared" si="5205"/>
        <v>1</v>
      </c>
      <c r="M2602" s="62">
        <f t="shared" si="5205"/>
        <v>1</v>
      </c>
      <c r="N2602" s="62">
        <f t="shared" si="5205"/>
        <v>1</v>
      </c>
      <c r="O2602" s="62">
        <f t="shared" si="5205"/>
        <v>1</v>
      </c>
      <c r="P2602" s="62" t="str">
        <f t="shared" si="5205"/>
        <v/>
      </c>
      <c r="Q2602" s="62" t="str">
        <f t="shared" si="5205"/>
        <v/>
      </c>
      <c r="R2602" s="62">
        <f t="shared" si="7"/>
        <v>0</v>
      </c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</row>
    <row r="2603" hidden="1">
      <c r="A2603" s="60">
        <f>IFERROR(__xludf.DUMMYFUNCTION("""COMPUTED_VALUE"""),17713.0)</f>
        <v>17713</v>
      </c>
      <c r="B2603" s="60" t="str">
        <f>IFERROR(__xludf.DUMMYFUNCTION("""COMPUTED_VALUE"""),"King, Haynes")</f>
        <v>King, Haynes</v>
      </c>
      <c r="C2603" s="60" t="str">
        <f>IFERROR(__xludf.DUMMYFUNCTION("""COMPUTED_VALUE"""),"QB")</f>
        <v>QB</v>
      </c>
      <c r="D2603" s="60" t="str">
        <f>IFERROR(__xludf.DUMMYFUNCTION("""COMPUTED_VALUE"""),"CAR")</f>
        <v>CAR</v>
      </c>
      <c r="E2603" s="62" t="str">
        <f t="shared" si="5153"/>
        <v>Haynes King</v>
      </c>
      <c r="F2603" s="62">
        <f t="shared" ref="F2603:G2603" si="5206">IF(isblank(F$1),,IF(isblank($A2603),,IFERROR(vlookup($A2603,indirect("'TVC-"&amp;text(month(F$1),"00")&amp;"'!$A:$D"),4,false),1)))</f>
        <v>1</v>
      </c>
      <c r="G2603" s="62">
        <f t="shared" si="5206"/>
        <v>1</v>
      </c>
      <c r="H2603" s="62">
        <f t="shared" ref="H2603:Q2603" si="5207">IF(isblank(H$1),,IFERROR(vlookup($A2603,indirect("'TVC-"&amp;text(month(H$1),"00")&amp;"'!$A:$D"),4,false),1))</f>
        <v>1</v>
      </c>
      <c r="I2603" s="62">
        <f t="shared" si="5207"/>
        <v>1</v>
      </c>
      <c r="J2603" s="62">
        <f t="shared" si="5207"/>
        <v>1</v>
      </c>
      <c r="K2603" s="62">
        <f t="shared" si="5207"/>
        <v>1</v>
      </c>
      <c r="L2603" s="62">
        <f t="shared" si="5207"/>
        <v>1</v>
      </c>
      <c r="M2603" s="62">
        <f t="shared" si="5207"/>
        <v>1</v>
      </c>
      <c r="N2603" s="62">
        <f t="shared" si="5207"/>
        <v>1</v>
      </c>
      <c r="O2603" s="62">
        <f t="shared" si="5207"/>
        <v>1</v>
      </c>
      <c r="P2603" s="62" t="str">
        <f t="shared" si="5207"/>
        <v/>
      </c>
      <c r="Q2603" s="62" t="str">
        <f t="shared" si="5207"/>
        <v/>
      </c>
      <c r="R2603" s="62">
        <f t="shared" si="7"/>
        <v>0</v>
      </c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</row>
    <row r="2604" hidden="1">
      <c r="A2604" s="60">
        <f>IFERROR(__xludf.DUMMYFUNCTION("""COMPUTED_VALUE"""),17714.0)</f>
        <v>17714</v>
      </c>
      <c r="B2604" s="60" t="str">
        <f>IFERROR(__xludf.DUMMYFUNCTION("""COMPUTED_VALUE"""),"York, Taurean")</f>
        <v>York, Taurean</v>
      </c>
      <c r="C2604" s="60" t="str">
        <f>IFERROR(__xludf.DUMMYFUNCTION("""COMPUTED_VALUE"""),"LB")</f>
        <v>LB</v>
      </c>
      <c r="D2604" s="60" t="str">
        <f>IFERROR(__xludf.DUMMYFUNCTION("""COMPUTED_VALUE"""),"FA")</f>
        <v>FA</v>
      </c>
      <c r="E2604" s="62" t="str">
        <f t="shared" si="5153"/>
        <v>Taurean York</v>
      </c>
      <c r="F2604" s="62">
        <f t="shared" ref="F2604:G2604" si="5208">IF(isblank(F$1),,IF(isblank($A2604),,IFERROR(vlookup($A2604,indirect("'TVC-"&amp;text(month(F$1),"00")&amp;"'!$A:$D"),4,false),1)))</f>
        <v>1</v>
      </c>
      <c r="G2604" s="62">
        <f t="shared" si="5208"/>
        <v>1</v>
      </c>
      <c r="H2604" s="62">
        <f t="shared" ref="H2604:Q2604" si="5209">IF(isblank(H$1),,IFERROR(vlookup($A2604,indirect("'TVC-"&amp;text(month(H$1),"00")&amp;"'!$A:$D"),4,false),1))</f>
        <v>1</v>
      </c>
      <c r="I2604" s="62">
        <f t="shared" si="5209"/>
        <v>1</v>
      </c>
      <c r="J2604" s="62">
        <f t="shared" si="5209"/>
        <v>1</v>
      </c>
      <c r="K2604" s="62">
        <f t="shared" si="5209"/>
        <v>1</v>
      </c>
      <c r="L2604" s="62">
        <f t="shared" si="5209"/>
        <v>1</v>
      </c>
      <c r="M2604" s="62">
        <f t="shared" si="5209"/>
        <v>1</v>
      </c>
      <c r="N2604" s="62">
        <f t="shared" si="5209"/>
        <v>1</v>
      </c>
      <c r="O2604" s="62">
        <f t="shared" si="5209"/>
        <v>1</v>
      </c>
      <c r="P2604" s="62" t="str">
        <f t="shared" si="5209"/>
        <v/>
      </c>
      <c r="Q2604" s="62" t="str">
        <f t="shared" si="5209"/>
        <v/>
      </c>
      <c r="R2604" s="62">
        <f t="shared" si="7"/>
        <v>0</v>
      </c>
      <c r="S2604" s="62"/>
      <c r="T2604" s="62"/>
      <c r="U2604" s="62"/>
      <c r="V2604" s="62"/>
      <c r="W2604" s="62"/>
      <c r="X2604" s="62"/>
      <c r="Y2604" s="62"/>
      <c r="Z2604" s="62"/>
      <c r="AA2604" s="62"/>
      <c r="AB2604" s="62"/>
      <c r="AC2604" s="62"/>
    </row>
    <row r="2605" hidden="1">
      <c r="A2605" s="60">
        <f>IFERROR(__xludf.DUMMYFUNCTION("""COMPUTED_VALUE"""),17715.0)</f>
        <v>17715</v>
      </c>
      <c r="B2605" s="60" t="str">
        <f>IFERROR(__xludf.DUMMYFUNCTION("""COMPUTED_VALUE"""),"Montgomery, Tyren")</f>
        <v>Montgomery, Tyren</v>
      </c>
      <c r="C2605" s="60" t="str">
        <f>IFERROR(__xludf.DUMMYFUNCTION("""COMPUTED_VALUE"""),"WR")</f>
        <v>WR</v>
      </c>
      <c r="D2605" s="60" t="str">
        <f>IFERROR(__xludf.DUMMYFUNCTION("""COMPUTED_VALUE"""),"TEN")</f>
        <v>TEN</v>
      </c>
      <c r="E2605" s="62" t="str">
        <f t="shared" si="5153"/>
        <v>Tyren Montgomery</v>
      </c>
      <c r="F2605" s="62">
        <f t="shared" ref="F2605:G2605" si="5210">IF(isblank(F$1),,IF(isblank($A2605),,IFERROR(vlookup($A2605,indirect("'TVC-"&amp;text(month(F$1),"00")&amp;"'!$A:$D"),4,false),1)))</f>
        <v>1</v>
      </c>
      <c r="G2605" s="62">
        <f t="shared" si="5210"/>
        <v>1</v>
      </c>
      <c r="H2605" s="62">
        <f t="shared" ref="H2605:Q2605" si="5211">IF(isblank(H$1),,IFERROR(vlookup($A2605,indirect("'TVC-"&amp;text(month(H$1),"00")&amp;"'!$A:$D"),4,false),1))</f>
        <v>1</v>
      </c>
      <c r="I2605" s="62">
        <f t="shared" si="5211"/>
        <v>1</v>
      </c>
      <c r="J2605" s="62">
        <f t="shared" si="5211"/>
        <v>1</v>
      </c>
      <c r="K2605" s="62">
        <f t="shared" si="5211"/>
        <v>1</v>
      </c>
      <c r="L2605" s="62">
        <f t="shared" si="5211"/>
        <v>1</v>
      </c>
      <c r="M2605" s="62">
        <f t="shared" si="5211"/>
        <v>1</v>
      </c>
      <c r="N2605" s="62">
        <f t="shared" si="5211"/>
        <v>1</v>
      </c>
      <c r="O2605" s="62">
        <f t="shared" si="5211"/>
        <v>1</v>
      </c>
      <c r="P2605" s="62" t="str">
        <f t="shared" si="5211"/>
        <v/>
      </c>
      <c r="Q2605" s="62" t="str">
        <f t="shared" si="5211"/>
        <v/>
      </c>
      <c r="R2605" s="62">
        <f t="shared" si="7"/>
        <v>0</v>
      </c>
      <c r="S2605" s="62"/>
      <c r="T2605" s="62"/>
      <c r="U2605" s="62"/>
      <c r="V2605" s="62"/>
      <c r="W2605" s="62"/>
      <c r="X2605" s="62"/>
      <c r="Y2605" s="62"/>
      <c r="Z2605" s="62"/>
      <c r="AA2605" s="62"/>
      <c r="AB2605" s="62"/>
      <c r="AC2605" s="62"/>
    </row>
    <row r="2606" hidden="1">
      <c r="A2606" s="60">
        <f>IFERROR(__xludf.DUMMYFUNCTION("""COMPUTED_VALUE"""),17716.0)</f>
        <v>17716</v>
      </c>
      <c r="B2606" s="60" t="str">
        <f>IFERROR(__xludf.DUMMYFUNCTION("""COMPUTED_VALUE"""),"Harden, TJ")</f>
        <v>Harden, TJ</v>
      </c>
      <c r="C2606" s="60" t="str">
        <f>IFERROR(__xludf.DUMMYFUNCTION("""COMPUTED_VALUE"""),"RB")</f>
        <v>RB</v>
      </c>
      <c r="D2606" s="60" t="str">
        <f>IFERROR(__xludf.DUMMYFUNCTION("""COMPUTED_VALUE"""),"FA")</f>
        <v>FA</v>
      </c>
      <c r="E2606" s="62" t="str">
        <f t="shared" si="5153"/>
        <v>TJ Harden</v>
      </c>
      <c r="F2606" s="62">
        <f t="shared" ref="F2606:G2606" si="5212">IF(isblank(F$1),,IF(isblank($A2606),,IFERROR(vlookup($A2606,indirect("'TVC-"&amp;text(month(F$1),"00")&amp;"'!$A:$D"),4,false),1)))</f>
        <v>1</v>
      </c>
      <c r="G2606" s="62">
        <f t="shared" si="5212"/>
        <v>1</v>
      </c>
      <c r="H2606" s="62">
        <f t="shared" ref="H2606:Q2606" si="5213">IF(isblank(H$1),,IFERROR(vlookup($A2606,indirect("'TVC-"&amp;text(month(H$1),"00")&amp;"'!$A:$D"),4,false),1))</f>
        <v>1</v>
      </c>
      <c r="I2606" s="62">
        <f t="shared" si="5213"/>
        <v>1</v>
      </c>
      <c r="J2606" s="62">
        <f t="shared" si="5213"/>
        <v>1</v>
      </c>
      <c r="K2606" s="62">
        <f t="shared" si="5213"/>
        <v>1</v>
      </c>
      <c r="L2606" s="62">
        <f t="shared" si="5213"/>
        <v>1</v>
      </c>
      <c r="M2606" s="62">
        <f t="shared" si="5213"/>
        <v>1</v>
      </c>
      <c r="N2606" s="62">
        <f t="shared" si="5213"/>
        <v>1</v>
      </c>
      <c r="O2606" s="62">
        <f t="shared" si="5213"/>
        <v>1</v>
      </c>
      <c r="P2606" s="62" t="str">
        <f t="shared" si="5213"/>
        <v/>
      </c>
      <c r="Q2606" s="62" t="str">
        <f t="shared" si="5213"/>
        <v/>
      </c>
      <c r="R2606" s="62">
        <f t="shared" si="7"/>
        <v>0</v>
      </c>
      <c r="S2606" s="62"/>
      <c r="T2606" s="62"/>
      <c r="U2606" s="62"/>
      <c r="V2606" s="62"/>
      <c r="W2606" s="62"/>
      <c r="X2606" s="62"/>
      <c r="Y2606" s="62"/>
      <c r="Z2606" s="62"/>
      <c r="AA2606" s="62"/>
      <c r="AB2606" s="62"/>
      <c r="AC2606" s="62"/>
    </row>
    <row r="2607" hidden="1">
      <c r="A2607" s="60">
        <f>IFERROR(__xludf.DUMMYFUNCTION("""COMPUTED_VALUE"""),17717.0)</f>
        <v>17717</v>
      </c>
      <c r="B2607" s="60" t="str">
        <f>IFERROR(__xludf.DUMMYFUNCTION("""COMPUTED_VALUE"""),"Booth, Davon")</f>
        <v>Booth, Davon</v>
      </c>
      <c r="C2607" s="60" t="str">
        <f>IFERROR(__xludf.DUMMYFUNCTION("""COMPUTED_VALUE"""),"RB")</f>
        <v>RB</v>
      </c>
      <c r="D2607" s="60" t="str">
        <f>IFERROR(__xludf.DUMMYFUNCTION("""COMPUTED_VALUE"""),"IND")</f>
        <v>IND</v>
      </c>
      <c r="E2607" s="62" t="str">
        <f t="shared" si="5153"/>
        <v>Davon Booth</v>
      </c>
      <c r="F2607" s="62">
        <f t="shared" ref="F2607:G2607" si="5214">IF(isblank(F$1),,IF(isblank($A2607),,IFERROR(vlookup($A2607,indirect("'TVC-"&amp;text(month(F$1),"00")&amp;"'!$A:$D"),4,false),1)))</f>
        <v>1</v>
      </c>
      <c r="G2607" s="62">
        <f t="shared" si="5214"/>
        <v>1</v>
      </c>
      <c r="H2607" s="62">
        <f t="shared" ref="H2607:Q2607" si="5215">IF(isblank(H$1),,IFERROR(vlookup($A2607,indirect("'TVC-"&amp;text(month(H$1),"00")&amp;"'!$A:$D"),4,false),1))</f>
        <v>1</v>
      </c>
      <c r="I2607" s="62">
        <f t="shared" si="5215"/>
        <v>1</v>
      </c>
      <c r="J2607" s="62">
        <f t="shared" si="5215"/>
        <v>1</v>
      </c>
      <c r="K2607" s="62">
        <f t="shared" si="5215"/>
        <v>1</v>
      </c>
      <c r="L2607" s="62">
        <f t="shared" si="5215"/>
        <v>1</v>
      </c>
      <c r="M2607" s="62">
        <f t="shared" si="5215"/>
        <v>1</v>
      </c>
      <c r="N2607" s="62">
        <f t="shared" si="5215"/>
        <v>1</v>
      </c>
      <c r="O2607" s="62">
        <f t="shared" si="5215"/>
        <v>1</v>
      </c>
      <c r="P2607" s="62" t="str">
        <f t="shared" si="5215"/>
        <v/>
      </c>
      <c r="Q2607" s="62" t="str">
        <f t="shared" si="5215"/>
        <v/>
      </c>
      <c r="R2607" s="62">
        <f t="shared" si="7"/>
        <v>0</v>
      </c>
      <c r="S2607" s="62"/>
      <c r="T2607" s="62"/>
      <c r="U2607" s="62"/>
      <c r="V2607" s="62"/>
      <c r="W2607" s="62"/>
      <c r="X2607" s="62"/>
      <c r="Y2607" s="62"/>
      <c r="Z2607" s="62"/>
      <c r="AA2607" s="62"/>
      <c r="AB2607" s="62"/>
      <c r="AC2607" s="62"/>
    </row>
    <row r="2608" hidden="1">
      <c r="A2608" s="60">
        <f>IFERROR(__xludf.DUMMYFUNCTION("""COMPUTED_VALUE"""),17718.0)</f>
        <v>17718</v>
      </c>
      <c r="B2608" s="60" t="str">
        <f>IFERROR(__xludf.DUMMYFUNCTION("""COMPUTED_VALUE"""),"Montgomery, Myles")</f>
        <v>Montgomery, Myles</v>
      </c>
      <c r="C2608" s="60" t="str">
        <f>IFERROR(__xludf.DUMMYFUNCTION("""COMPUTED_VALUE"""),"RB")</f>
        <v>RB</v>
      </c>
      <c r="D2608" s="60" t="str">
        <f>IFERROR(__xludf.DUMMYFUNCTION("""COMPUTED_VALUE"""),"NEP")</f>
        <v>NEP</v>
      </c>
      <c r="E2608" s="62" t="str">
        <f t="shared" si="5153"/>
        <v>Myles Montgomery</v>
      </c>
      <c r="F2608" s="62">
        <f t="shared" ref="F2608:G2608" si="5216">IF(isblank(F$1),,IF(isblank($A2608),,IFERROR(vlookup($A2608,indirect("'TVC-"&amp;text(month(F$1),"00")&amp;"'!$A:$D"),4,false),1)))</f>
        <v>1</v>
      </c>
      <c r="G2608" s="62">
        <f t="shared" si="5216"/>
        <v>1</v>
      </c>
      <c r="H2608" s="62">
        <f t="shared" ref="H2608:Q2608" si="5217">IF(isblank(H$1),,IFERROR(vlookup($A2608,indirect("'TVC-"&amp;text(month(H$1),"00")&amp;"'!$A:$D"),4,false),1))</f>
        <v>1</v>
      </c>
      <c r="I2608" s="62">
        <f t="shared" si="5217"/>
        <v>1</v>
      </c>
      <c r="J2608" s="62">
        <f t="shared" si="5217"/>
        <v>1</v>
      </c>
      <c r="K2608" s="62">
        <f t="shared" si="5217"/>
        <v>1</v>
      </c>
      <c r="L2608" s="62">
        <f t="shared" si="5217"/>
        <v>1</v>
      </c>
      <c r="M2608" s="62">
        <f t="shared" si="5217"/>
        <v>1</v>
      </c>
      <c r="N2608" s="62">
        <f t="shared" si="5217"/>
        <v>1</v>
      </c>
      <c r="O2608" s="62">
        <f t="shared" si="5217"/>
        <v>1</v>
      </c>
      <c r="P2608" s="62" t="str">
        <f t="shared" si="5217"/>
        <v/>
      </c>
      <c r="Q2608" s="62" t="str">
        <f t="shared" si="5217"/>
        <v/>
      </c>
      <c r="R2608" s="62">
        <f t="shared" si="7"/>
        <v>0</v>
      </c>
      <c r="S2608" s="62"/>
      <c r="T2608" s="62"/>
      <c r="U2608" s="62"/>
      <c r="V2608" s="62"/>
      <c r="W2608" s="62"/>
      <c r="X2608" s="62"/>
      <c r="Y2608" s="62"/>
      <c r="Z2608" s="62"/>
      <c r="AA2608" s="62"/>
      <c r="AB2608" s="62"/>
      <c r="AC2608" s="62"/>
    </row>
    <row r="2609" hidden="1">
      <c r="A2609" s="60">
        <f>IFERROR(__xludf.DUMMYFUNCTION("""COMPUTED_VALUE"""),17719.0)</f>
        <v>17719</v>
      </c>
      <c r="B2609" s="60" t="str">
        <f>IFERROR(__xludf.DUMMYFUNCTION("""COMPUTED_VALUE"""),"Haynes, Jamal")</f>
        <v>Haynes, Jamal</v>
      </c>
      <c r="C2609" s="60" t="str">
        <f>IFERROR(__xludf.DUMMYFUNCTION("""COMPUTED_VALUE"""),"RB")</f>
        <v>RB</v>
      </c>
      <c r="D2609" s="60" t="str">
        <f>IFERROR(__xludf.DUMMYFUNCTION("""COMPUTED_VALUE"""),"FA")</f>
        <v>FA</v>
      </c>
      <c r="E2609" s="62" t="str">
        <f t="shared" si="5153"/>
        <v>Jamal Haynes</v>
      </c>
      <c r="F2609" s="62">
        <f t="shared" ref="F2609:G2609" si="5218">IF(isblank(F$1),,IF(isblank($A2609),,IFERROR(vlookup($A2609,indirect("'TVC-"&amp;text(month(F$1),"00")&amp;"'!$A:$D"),4,false),1)))</f>
        <v>1</v>
      </c>
      <c r="G2609" s="62">
        <f t="shared" si="5218"/>
        <v>1</v>
      </c>
      <c r="H2609" s="62">
        <f t="shared" ref="H2609:Q2609" si="5219">IF(isblank(H$1),,IFERROR(vlookup($A2609,indirect("'TVC-"&amp;text(month(H$1),"00")&amp;"'!$A:$D"),4,false),1))</f>
        <v>1</v>
      </c>
      <c r="I2609" s="62">
        <f t="shared" si="5219"/>
        <v>1</v>
      </c>
      <c r="J2609" s="62">
        <f t="shared" si="5219"/>
        <v>1</v>
      </c>
      <c r="K2609" s="62">
        <f t="shared" si="5219"/>
        <v>1</v>
      </c>
      <c r="L2609" s="62">
        <f t="shared" si="5219"/>
        <v>1</v>
      </c>
      <c r="M2609" s="62">
        <f t="shared" si="5219"/>
        <v>1</v>
      </c>
      <c r="N2609" s="62">
        <f t="shared" si="5219"/>
        <v>1</v>
      </c>
      <c r="O2609" s="62">
        <f t="shared" si="5219"/>
        <v>1</v>
      </c>
      <c r="P2609" s="62" t="str">
        <f t="shared" si="5219"/>
        <v/>
      </c>
      <c r="Q2609" s="62" t="str">
        <f t="shared" si="5219"/>
        <v/>
      </c>
      <c r="R2609" s="62">
        <f t="shared" si="7"/>
        <v>0</v>
      </c>
      <c r="S2609" s="62"/>
      <c r="T2609" s="62"/>
      <c r="U2609" s="62"/>
      <c r="V2609" s="62"/>
      <c r="W2609" s="62"/>
      <c r="X2609" s="62"/>
      <c r="Y2609" s="62"/>
      <c r="Z2609" s="62"/>
      <c r="AA2609" s="62"/>
      <c r="AB2609" s="62"/>
      <c r="AC2609" s="62"/>
    </row>
    <row r="2610" hidden="1">
      <c r="A2610" s="60">
        <f>IFERROR(__xludf.DUMMYFUNCTION("""COMPUTED_VALUE"""),17720.0)</f>
        <v>17720</v>
      </c>
      <c r="B2610" s="60" t="str">
        <f>IFERROR(__xludf.DUMMYFUNCTION("""COMPUTED_VALUE"""),"Gronowski, Mark")</f>
        <v>Gronowski, Mark</v>
      </c>
      <c r="C2610" s="60" t="str">
        <f>IFERROR(__xludf.DUMMYFUNCTION("""COMPUTED_VALUE"""),"QB")</f>
        <v>QB</v>
      </c>
      <c r="D2610" s="60" t="str">
        <f>IFERROR(__xludf.DUMMYFUNCTION("""COMPUTED_VALUE"""),"HOU")</f>
        <v>HOU</v>
      </c>
      <c r="E2610" s="62" t="str">
        <f t="shared" si="5153"/>
        <v>Mark Gronowski</v>
      </c>
      <c r="F2610" s="62">
        <f t="shared" ref="F2610:G2610" si="5220">IF(isblank(F$1),,IF(isblank($A2610),,IFERROR(vlookup($A2610,indirect("'TVC-"&amp;text(month(F$1),"00")&amp;"'!$A:$D"),4,false),1)))</f>
        <v>1</v>
      </c>
      <c r="G2610" s="62">
        <f t="shared" si="5220"/>
        <v>1</v>
      </c>
      <c r="H2610" s="62">
        <f t="shared" ref="H2610:Q2610" si="5221">IF(isblank(H$1),,IFERROR(vlookup($A2610,indirect("'TVC-"&amp;text(month(H$1),"00")&amp;"'!$A:$D"),4,false),1))</f>
        <v>1</v>
      </c>
      <c r="I2610" s="62">
        <f t="shared" si="5221"/>
        <v>1</v>
      </c>
      <c r="J2610" s="62">
        <f t="shared" si="5221"/>
        <v>1</v>
      </c>
      <c r="K2610" s="62">
        <f t="shared" si="5221"/>
        <v>1</v>
      </c>
      <c r="L2610" s="62">
        <f t="shared" si="5221"/>
        <v>1</v>
      </c>
      <c r="M2610" s="62">
        <f t="shared" si="5221"/>
        <v>1</v>
      </c>
      <c r="N2610" s="62">
        <f t="shared" si="5221"/>
        <v>1</v>
      </c>
      <c r="O2610" s="62">
        <f t="shared" si="5221"/>
        <v>1</v>
      </c>
      <c r="P2610" s="62" t="str">
        <f t="shared" si="5221"/>
        <v/>
      </c>
      <c r="Q2610" s="62" t="str">
        <f t="shared" si="5221"/>
        <v/>
      </c>
      <c r="R2610" s="62">
        <f t="shared" si="7"/>
        <v>0</v>
      </c>
      <c r="S2610" s="62"/>
      <c r="T2610" s="62"/>
      <c r="U2610" s="62"/>
      <c r="V2610" s="62"/>
      <c r="W2610" s="62"/>
      <c r="X2610" s="62"/>
      <c r="Y2610" s="62"/>
      <c r="Z2610" s="62"/>
      <c r="AA2610" s="62"/>
      <c r="AB2610" s="62"/>
      <c r="AC2610" s="62"/>
    </row>
    <row r="2611" hidden="1">
      <c r="A2611" s="60">
        <f>IFERROR(__xludf.DUMMYFUNCTION("""COMPUTED_VALUE"""),17721.0)</f>
        <v>17721</v>
      </c>
      <c r="B2611" s="60" t="str">
        <f>IFERROR(__xludf.DUMMYFUNCTION("""COMPUTED_VALUE"""),"Barton, Lander")</f>
        <v>Barton, Lander</v>
      </c>
      <c r="C2611" s="60" t="str">
        <f>IFERROR(__xludf.DUMMYFUNCTION("""COMPUTED_VALUE"""),"LB")</f>
        <v>LB</v>
      </c>
      <c r="D2611" s="60" t="str">
        <f>IFERROR(__xludf.DUMMYFUNCTION("""COMPUTED_VALUE"""),"LAC")</f>
        <v>LAC</v>
      </c>
      <c r="E2611" s="62" t="str">
        <f t="shared" si="5153"/>
        <v>Lander Barton</v>
      </c>
      <c r="F2611" s="62">
        <f t="shared" ref="F2611:G2611" si="5222">IF(isblank(F$1),,IF(isblank($A2611),,IFERROR(vlookup($A2611,indirect("'TVC-"&amp;text(month(F$1),"00")&amp;"'!$A:$D"),4,false),1)))</f>
        <v>1</v>
      </c>
      <c r="G2611" s="62">
        <f t="shared" si="5222"/>
        <v>1</v>
      </c>
      <c r="H2611" s="62">
        <f t="shared" ref="H2611:Q2611" si="5223">IF(isblank(H$1),,IFERROR(vlookup($A2611,indirect("'TVC-"&amp;text(month(H$1),"00")&amp;"'!$A:$D"),4,false),1))</f>
        <v>1</v>
      </c>
      <c r="I2611" s="62">
        <f t="shared" si="5223"/>
        <v>1</v>
      </c>
      <c r="J2611" s="62">
        <f t="shared" si="5223"/>
        <v>1</v>
      </c>
      <c r="K2611" s="62">
        <f t="shared" si="5223"/>
        <v>1</v>
      </c>
      <c r="L2611" s="62">
        <f t="shared" si="5223"/>
        <v>1</v>
      </c>
      <c r="M2611" s="62">
        <f t="shared" si="5223"/>
        <v>1</v>
      </c>
      <c r="N2611" s="62">
        <f t="shared" si="5223"/>
        <v>1</v>
      </c>
      <c r="O2611" s="62">
        <f t="shared" si="5223"/>
        <v>1</v>
      </c>
      <c r="P2611" s="62" t="str">
        <f t="shared" si="5223"/>
        <v/>
      </c>
      <c r="Q2611" s="62" t="str">
        <f t="shared" si="5223"/>
        <v/>
      </c>
      <c r="R2611" s="62">
        <f t="shared" si="7"/>
        <v>0</v>
      </c>
      <c r="S2611" s="62"/>
      <c r="T2611" s="62"/>
      <c r="U2611" s="62"/>
      <c r="V2611" s="62"/>
      <c r="W2611" s="62"/>
      <c r="X2611" s="62"/>
      <c r="Y2611" s="62"/>
      <c r="Z2611" s="62"/>
      <c r="AA2611" s="62"/>
      <c r="AB2611" s="62"/>
      <c r="AC2611" s="62"/>
    </row>
    <row r="2612" hidden="1">
      <c r="A2612" s="60">
        <f>IFERROR(__xludf.DUMMYFUNCTION("""COMPUTED_VALUE"""),17722.0)</f>
        <v>17722</v>
      </c>
      <c r="B2612" s="60" t="str">
        <f>IFERROR(__xludf.DUMMYFUNCTION("""COMPUTED_VALUE"""),"Sorsby, Brendan")</f>
        <v>Sorsby, Brendan</v>
      </c>
      <c r="C2612" s="60" t="str">
        <f>IFERROR(__xludf.DUMMYFUNCTION("""COMPUTED_VALUE"""),"XX")</f>
        <v>XX</v>
      </c>
      <c r="D2612" s="60" t="str">
        <f>IFERROR(__xludf.DUMMYFUNCTION("""COMPUTED_VALUE"""),"FA")</f>
        <v>FA</v>
      </c>
      <c r="E2612" s="62" t="str">
        <f t="shared" si="5153"/>
        <v>Brendan Sorsby</v>
      </c>
      <c r="F2612" s="62">
        <f t="shared" ref="F2612:G2612" si="5224">IF(isblank(F$1),,IF(isblank($A2612),,IFERROR(vlookup($A2612,indirect("'TVC-"&amp;text(month(F$1),"00")&amp;"'!$A:$D"),4,false),1)))</f>
        <v>1</v>
      </c>
      <c r="G2612" s="62">
        <f t="shared" si="5224"/>
        <v>1</v>
      </c>
      <c r="H2612" s="62">
        <f t="shared" ref="H2612:Q2612" si="5225">IF(isblank(H$1),,IFERROR(vlookup($A2612,indirect("'TVC-"&amp;text(month(H$1),"00")&amp;"'!$A:$D"),4,false),1))</f>
        <v>1</v>
      </c>
      <c r="I2612" s="62">
        <f t="shared" si="5225"/>
        <v>1</v>
      </c>
      <c r="J2612" s="62">
        <f t="shared" si="5225"/>
        <v>1</v>
      </c>
      <c r="K2612" s="62">
        <f t="shared" si="5225"/>
        <v>1</v>
      </c>
      <c r="L2612" s="62">
        <f t="shared" si="5225"/>
        <v>1</v>
      </c>
      <c r="M2612" s="62">
        <f t="shared" si="5225"/>
        <v>1</v>
      </c>
      <c r="N2612" s="62">
        <f t="shared" si="5225"/>
        <v>1</v>
      </c>
      <c r="O2612" s="62">
        <f t="shared" si="5225"/>
        <v>1</v>
      </c>
      <c r="P2612" s="62" t="str">
        <f t="shared" si="5225"/>
        <v/>
      </c>
      <c r="Q2612" s="62" t="str">
        <f t="shared" si="5225"/>
        <v/>
      </c>
      <c r="R2612" s="62">
        <f t="shared" si="7"/>
        <v>0</v>
      </c>
      <c r="S2612" s="62"/>
      <c r="T2612" s="62"/>
      <c r="U2612" s="62"/>
      <c r="V2612" s="62"/>
      <c r="W2612" s="62"/>
      <c r="X2612" s="62"/>
      <c r="Y2612" s="62"/>
      <c r="Z2612" s="62"/>
      <c r="AA2612" s="62"/>
      <c r="AB2612" s="62"/>
      <c r="AC2612" s="62"/>
    </row>
    <row r="2613" hidden="1">
      <c r="A2613" s="60">
        <f>IFERROR(__xludf.DUMMYFUNCTION("""COMPUTED_VALUE"""),17723.0)</f>
        <v>17723</v>
      </c>
      <c r="B2613" s="60" t="str">
        <f>IFERROR(__xludf.DUMMYFUNCTION("""COMPUTED_VALUE"""),"McCulley, Donaven")</f>
        <v>McCulley, Donaven</v>
      </c>
      <c r="C2613" s="60" t="str">
        <f>IFERROR(__xludf.DUMMYFUNCTION("""COMPUTED_VALUE"""),"WR")</f>
        <v>WR</v>
      </c>
      <c r="D2613" s="60" t="str">
        <f>IFERROR(__xludf.DUMMYFUNCTION("""COMPUTED_VALUE"""),"FA")</f>
        <v>FA</v>
      </c>
      <c r="E2613" s="62" t="str">
        <f t="shared" si="5153"/>
        <v>Donaven McCulley</v>
      </c>
      <c r="F2613" s="62">
        <f t="shared" ref="F2613:G2613" si="5226">IF(isblank(F$1),,IF(isblank($A2613),,IFERROR(vlookup($A2613,indirect("'TVC-"&amp;text(month(F$1),"00")&amp;"'!$A:$D"),4,false),1)))</f>
        <v>1</v>
      </c>
      <c r="G2613" s="62">
        <f t="shared" si="5226"/>
        <v>1</v>
      </c>
      <c r="H2613" s="62">
        <f t="shared" ref="H2613:Q2613" si="5227">IF(isblank(H$1),,IFERROR(vlookup($A2613,indirect("'TVC-"&amp;text(month(H$1),"00")&amp;"'!$A:$D"),4,false),1))</f>
        <v>1</v>
      </c>
      <c r="I2613" s="62">
        <f t="shared" si="5227"/>
        <v>1</v>
      </c>
      <c r="J2613" s="62">
        <f t="shared" si="5227"/>
        <v>1</v>
      </c>
      <c r="K2613" s="62">
        <f t="shared" si="5227"/>
        <v>1</v>
      </c>
      <c r="L2613" s="62">
        <f t="shared" si="5227"/>
        <v>1</v>
      </c>
      <c r="M2613" s="62">
        <f t="shared" si="5227"/>
        <v>1</v>
      </c>
      <c r="N2613" s="62">
        <f t="shared" si="5227"/>
        <v>1</v>
      </c>
      <c r="O2613" s="62">
        <f t="shared" si="5227"/>
        <v>1</v>
      </c>
      <c r="P2613" s="62" t="str">
        <f t="shared" si="5227"/>
        <v/>
      </c>
      <c r="Q2613" s="62" t="str">
        <f t="shared" si="5227"/>
        <v/>
      </c>
      <c r="R2613" s="62">
        <f t="shared" si="7"/>
        <v>0</v>
      </c>
      <c r="S2613" s="62"/>
      <c r="T2613" s="62"/>
      <c r="U2613" s="62"/>
      <c r="V2613" s="62"/>
      <c r="W2613" s="62"/>
      <c r="X2613" s="62"/>
      <c r="Y2613" s="62"/>
      <c r="Z2613" s="62"/>
      <c r="AA2613" s="62"/>
      <c r="AB2613" s="62"/>
      <c r="AC2613" s="62"/>
    </row>
    <row r="2614" hidden="1">
      <c r="A2614" s="60">
        <f>IFERROR(__xludf.DUMMYFUNCTION("""COMPUTED_VALUE"""),17724.0)</f>
        <v>17724</v>
      </c>
      <c r="B2614" s="60" t="str">
        <f>IFERROR(__xludf.DUMMYFUNCTION("""COMPUTED_VALUE"""),"Wright, Dae'Quan")</f>
        <v>Wright, Dae'Quan</v>
      </c>
      <c r="C2614" s="60" t="str">
        <f>IFERROR(__xludf.DUMMYFUNCTION("""COMPUTED_VALUE"""),"TE")</f>
        <v>TE</v>
      </c>
      <c r="D2614" s="60" t="str">
        <f>IFERROR(__xludf.DUMMYFUNCTION("""COMPUTED_VALUE"""),"FA")</f>
        <v>FA</v>
      </c>
      <c r="E2614" s="62" t="str">
        <f t="shared" si="5153"/>
        <v>Dae'Quan Wright</v>
      </c>
      <c r="F2614" s="62">
        <f t="shared" ref="F2614:G2614" si="5228">IF(isblank(F$1),,IF(isblank($A2614),,IFERROR(vlookup($A2614,indirect("'TVC-"&amp;text(month(F$1),"00")&amp;"'!$A:$D"),4,false),1)))</f>
        <v>1</v>
      </c>
      <c r="G2614" s="62">
        <f t="shared" si="5228"/>
        <v>1</v>
      </c>
      <c r="H2614" s="62">
        <f t="shared" ref="H2614:Q2614" si="5229">IF(isblank(H$1),,IFERROR(vlookup($A2614,indirect("'TVC-"&amp;text(month(H$1),"00")&amp;"'!$A:$D"),4,false),1))</f>
        <v>1</v>
      </c>
      <c r="I2614" s="62">
        <f t="shared" si="5229"/>
        <v>1</v>
      </c>
      <c r="J2614" s="62">
        <f t="shared" si="5229"/>
        <v>1</v>
      </c>
      <c r="K2614" s="62">
        <f t="shared" si="5229"/>
        <v>1</v>
      </c>
      <c r="L2614" s="62">
        <f t="shared" si="5229"/>
        <v>1</v>
      </c>
      <c r="M2614" s="62">
        <f t="shared" si="5229"/>
        <v>1</v>
      </c>
      <c r="N2614" s="62">
        <f t="shared" si="5229"/>
        <v>1</v>
      </c>
      <c r="O2614" s="62">
        <f t="shared" si="5229"/>
        <v>1</v>
      </c>
      <c r="P2614" s="62" t="str">
        <f t="shared" si="5229"/>
        <v/>
      </c>
      <c r="Q2614" s="62" t="str">
        <f t="shared" si="5229"/>
        <v/>
      </c>
      <c r="R2614" s="62">
        <f t="shared" si="7"/>
        <v>0</v>
      </c>
      <c r="S2614" s="62"/>
      <c r="T2614" s="62"/>
      <c r="U2614" s="62"/>
      <c r="V2614" s="62"/>
      <c r="W2614" s="62"/>
      <c r="X2614" s="62"/>
      <c r="Y2614" s="62"/>
      <c r="Z2614" s="62"/>
      <c r="AA2614" s="62"/>
      <c r="AB2614" s="62"/>
      <c r="AC2614" s="62"/>
    </row>
    <row r="2615" hidden="1">
      <c r="A2615" s="60">
        <f>IFERROR(__xludf.DUMMYFUNCTION("""COMPUTED_VALUE"""),17725.0)</f>
        <v>17725</v>
      </c>
      <c r="B2615" s="60" t="str">
        <f>IFERROR(__xludf.DUMMYFUNCTION("""COMPUTED_VALUE"""),"Reiger, Mason")</f>
        <v>Reiger, Mason</v>
      </c>
      <c r="C2615" s="60" t="str">
        <f>IFERROR(__xludf.DUMMYFUNCTION("""COMPUTED_VALUE"""),"LB")</f>
        <v>LB</v>
      </c>
      <c r="D2615" s="60" t="str">
        <f>IFERROR(__xludf.DUMMYFUNCTION("""COMPUTED_VALUE"""),"PHI")</f>
        <v>PHI</v>
      </c>
      <c r="E2615" s="62" t="str">
        <f t="shared" si="5153"/>
        <v>Mason Reiger</v>
      </c>
      <c r="F2615" s="62">
        <f t="shared" ref="F2615:G2615" si="5230">IF(isblank(F$1),,IF(isblank($A2615),,IFERROR(vlookup($A2615,indirect("'TVC-"&amp;text(month(F$1),"00")&amp;"'!$A:$D"),4,false),1)))</f>
        <v>1</v>
      </c>
      <c r="G2615" s="62">
        <f t="shared" si="5230"/>
        <v>1</v>
      </c>
      <c r="H2615" s="62">
        <f t="shared" ref="H2615:Q2615" si="5231">IF(isblank(H$1),,IFERROR(vlookup($A2615,indirect("'TVC-"&amp;text(month(H$1),"00")&amp;"'!$A:$D"),4,false),1))</f>
        <v>1</v>
      </c>
      <c r="I2615" s="62">
        <f t="shared" si="5231"/>
        <v>1</v>
      </c>
      <c r="J2615" s="62">
        <f t="shared" si="5231"/>
        <v>1</v>
      </c>
      <c r="K2615" s="62">
        <f t="shared" si="5231"/>
        <v>1</v>
      </c>
      <c r="L2615" s="62">
        <f t="shared" si="5231"/>
        <v>1</v>
      </c>
      <c r="M2615" s="62">
        <f t="shared" si="5231"/>
        <v>1</v>
      </c>
      <c r="N2615" s="62">
        <f t="shared" si="5231"/>
        <v>1</v>
      </c>
      <c r="O2615" s="62">
        <f t="shared" si="5231"/>
        <v>1</v>
      </c>
      <c r="P2615" s="62" t="str">
        <f t="shared" si="5231"/>
        <v/>
      </c>
      <c r="Q2615" s="62" t="str">
        <f t="shared" si="5231"/>
        <v/>
      </c>
      <c r="R2615" s="62">
        <f t="shared" si="7"/>
        <v>0</v>
      </c>
      <c r="S2615" s="62"/>
      <c r="T2615" s="62"/>
      <c r="U2615" s="62"/>
      <c r="V2615" s="62"/>
      <c r="W2615" s="62"/>
      <c r="X2615" s="62"/>
      <c r="Y2615" s="62"/>
      <c r="Z2615" s="62"/>
      <c r="AA2615" s="62"/>
      <c r="AB2615" s="62"/>
      <c r="AC2615" s="62"/>
    </row>
    <row r="2616" hidden="1">
      <c r="A2616" s="60">
        <f>IFERROR(__xludf.DUMMYFUNCTION("""COMPUTED_VALUE"""),17726.0)</f>
        <v>17726</v>
      </c>
      <c r="B2616" s="60" t="str">
        <f>IFERROR(__xludf.DUMMYFUNCTION("""COMPUTED_VALUE"""),"Stevens, Drew")</f>
        <v>Stevens, Drew</v>
      </c>
      <c r="C2616" s="60" t="str">
        <f>IFERROR(__xludf.DUMMYFUNCTION("""COMPUTED_VALUE"""),"PK")</f>
        <v>PK</v>
      </c>
      <c r="D2616" s="60" t="str">
        <f>IFERROR(__xludf.DUMMYFUNCTION("""COMPUTED_VALUE"""),"WAS")</f>
        <v>WAS</v>
      </c>
      <c r="E2616" s="62" t="str">
        <f t="shared" si="5153"/>
        <v>Drew Stevens</v>
      </c>
      <c r="F2616" s="62">
        <f t="shared" ref="F2616:G2616" si="5232">IF(isblank(F$1),,IF(isblank($A2616),,IFERROR(vlookup($A2616,indirect("'TVC-"&amp;text(month(F$1),"00")&amp;"'!$A:$D"),4,false),1)))</f>
        <v>1</v>
      </c>
      <c r="G2616" s="62">
        <f t="shared" si="5232"/>
        <v>1</v>
      </c>
      <c r="H2616" s="62">
        <f t="shared" ref="H2616:Q2616" si="5233">IF(isblank(H$1),,IFERROR(vlookup($A2616,indirect("'TVC-"&amp;text(month(H$1),"00")&amp;"'!$A:$D"),4,false),1))</f>
        <v>1</v>
      </c>
      <c r="I2616" s="62">
        <f t="shared" si="5233"/>
        <v>1</v>
      </c>
      <c r="J2616" s="62">
        <f t="shared" si="5233"/>
        <v>1</v>
      </c>
      <c r="K2616" s="62">
        <f t="shared" si="5233"/>
        <v>1</v>
      </c>
      <c r="L2616" s="62">
        <f t="shared" si="5233"/>
        <v>1</v>
      </c>
      <c r="M2616" s="62">
        <f t="shared" si="5233"/>
        <v>1</v>
      </c>
      <c r="N2616" s="62">
        <f t="shared" si="5233"/>
        <v>1</v>
      </c>
      <c r="O2616" s="62">
        <f t="shared" si="5233"/>
        <v>1</v>
      </c>
      <c r="P2616" s="62" t="str">
        <f t="shared" si="5233"/>
        <v/>
      </c>
      <c r="Q2616" s="62" t="str">
        <f t="shared" si="5233"/>
        <v/>
      </c>
      <c r="R2616" s="62">
        <f t="shared" si="7"/>
        <v>0</v>
      </c>
      <c r="S2616" s="62"/>
      <c r="T2616" s="62"/>
      <c r="U2616" s="62"/>
      <c r="V2616" s="62"/>
      <c r="W2616" s="62"/>
      <c r="X2616" s="62"/>
      <c r="Y2616" s="62"/>
      <c r="Z2616" s="62"/>
      <c r="AA2616" s="62"/>
      <c r="AB2616" s="62"/>
      <c r="AC2616" s="62"/>
    </row>
    <row r="2617" hidden="1">
      <c r="A2617" s="60">
        <f>IFERROR(__xludf.DUMMYFUNCTION("""COMPUTED_VALUE"""),17727.0)</f>
        <v>17727</v>
      </c>
      <c r="B2617" s="60" t="str">
        <f>IFERROR(__xludf.DUMMYFUNCTION("""COMPUTED_VALUE"""),"Kelly, Nyjalik")</f>
        <v>Kelly, Nyjalik</v>
      </c>
      <c r="C2617" s="60" t="str">
        <f>IFERROR(__xludf.DUMMYFUNCTION("""COMPUTED_VALUE"""),"DE")</f>
        <v>DE</v>
      </c>
      <c r="D2617" s="60" t="str">
        <f>IFERROR(__xludf.DUMMYFUNCTION("""COMPUTED_VALUE"""),"GBP")</f>
        <v>GBP</v>
      </c>
      <c r="E2617" s="62" t="str">
        <f t="shared" si="5153"/>
        <v>Nyjalik Kelly</v>
      </c>
      <c r="F2617" s="62">
        <f t="shared" ref="F2617:G2617" si="5234">IF(isblank(F$1),,IF(isblank($A2617),,IFERROR(vlookup($A2617,indirect("'TVC-"&amp;text(month(F$1),"00")&amp;"'!$A:$D"),4,false),1)))</f>
        <v>1</v>
      </c>
      <c r="G2617" s="62">
        <f t="shared" si="5234"/>
        <v>1</v>
      </c>
      <c r="H2617" s="62">
        <f t="shared" ref="H2617:Q2617" si="5235">IF(isblank(H$1),,IFERROR(vlookup($A2617,indirect("'TVC-"&amp;text(month(H$1),"00")&amp;"'!$A:$D"),4,false),1))</f>
        <v>1</v>
      </c>
      <c r="I2617" s="62">
        <f t="shared" si="5235"/>
        <v>1</v>
      </c>
      <c r="J2617" s="62">
        <f t="shared" si="5235"/>
        <v>1</v>
      </c>
      <c r="K2617" s="62">
        <f t="shared" si="5235"/>
        <v>1</v>
      </c>
      <c r="L2617" s="62">
        <f t="shared" si="5235"/>
        <v>1</v>
      </c>
      <c r="M2617" s="62">
        <f t="shared" si="5235"/>
        <v>1</v>
      </c>
      <c r="N2617" s="62">
        <f t="shared" si="5235"/>
        <v>1</v>
      </c>
      <c r="O2617" s="62">
        <f t="shared" si="5235"/>
        <v>1</v>
      </c>
      <c r="P2617" s="62" t="str">
        <f t="shared" si="5235"/>
        <v/>
      </c>
      <c r="Q2617" s="62" t="str">
        <f t="shared" si="5235"/>
        <v/>
      </c>
      <c r="R2617" s="62">
        <f t="shared" si="7"/>
        <v>0</v>
      </c>
      <c r="S2617" s="62"/>
      <c r="T2617" s="62"/>
      <c r="U2617" s="62"/>
      <c r="V2617" s="62"/>
      <c r="W2617" s="62"/>
      <c r="X2617" s="62"/>
      <c r="Y2617" s="62"/>
      <c r="Z2617" s="62"/>
      <c r="AA2617" s="62"/>
      <c r="AB2617" s="62"/>
      <c r="AC2617" s="62"/>
    </row>
    <row r="2618" hidden="1">
      <c r="A2618" s="60">
        <f>IFERROR(__xludf.DUMMYFUNCTION("""COMPUTED_VALUE"""),17728.0)</f>
        <v>17728</v>
      </c>
      <c r="B2618" s="60" t="str">
        <f>IFERROR(__xludf.DUMMYFUNCTION("""COMPUTED_VALUE"""),"Tucker, Nadame")</f>
        <v>Tucker, Nadame</v>
      </c>
      <c r="C2618" s="60" t="str">
        <f>IFERROR(__xludf.DUMMYFUNCTION("""COMPUTED_VALUE"""),"LB")</f>
        <v>LB</v>
      </c>
      <c r="D2618" s="60" t="str">
        <f>IFERROR(__xludf.DUMMYFUNCTION("""COMPUTED_VALUE"""),"CLE")</f>
        <v>CLE</v>
      </c>
      <c r="E2618" s="62" t="str">
        <f t="shared" si="5153"/>
        <v>Nadame Tucker</v>
      </c>
      <c r="F2618" s="62">
        <f t="shared" ref="F2618:G2618" si="5236">IF(isblank(F$1),,IF(isblank($A2618),,IFERROR(vlookup($A2618,indirect("'TVC-"&amp;text(month(F$1),"00")&amp;"'!$A:$D"),4,false),1)))</f>
        <v>1</v>
      </c>
      <c r="G2618" s="62">
        <f t="shared" si="5236"/>
        <v>1</v>
      </c>
      <c r="H2618" s="62">
        <f t="shared" ref="H2618:Q2618" si="5237">IF(isblank(H$1),,IFERROR(vlookup($A2618,indirect("'TVC-"&amp;text(month(H$1),"00")&amp;"'!$A:$D"),4,false),1))</f>
        <v>1</v>
      </c>
      <c r="I2618" s="62">
        <f t="shared" si="5237"/>
        <v>1</v>
      </c>
      <c r="J2618" s="62">
        <f t="shared" si="5237"/>
        <v>1</v>
      </c>
      <c r="K2618" s="62">
        <f t="shared" si="5237"/>
        <v>1</v>
      </c>
      <c r="L2618" s="62">
        <f t="shared" si="5237"/>
        <v>1</v>
      </c>
      <c r="M2618" s="62">
        <f t="shared" si="5237"/>
        <v>1</v>
      </c>
      <c r="N2618" s="62">
        <f t="shared" si="5237"/>
        <v>1</v>
      </c>
      <c r="O2618" s="62">
        <f t="shared" si="5237"/>
        <v>1</v>
      </c>
      <c r="P2618" s="62" t="str">
        <f t="shared" si="5237"/>
        <v/>
      </c>
      <c r="Q2618" s="62" t="str">
        <f t="shared" si="5237"/>
        <v/>
      </c>
      <c r="R2618" s="62">
        <f t="shared" si="7"/>
        <v>0</v>
      </c>
      <c r="S2618" s="62"/>
      <c r="T2618" s="62"/>
      <c r="U2618" s="62"/>
      <c r="V2618" s="62"/>
      <c r="W2618" s="62"/>
      <c r="X2618" s="62"/>
      <c r="Y2618" s="62"/>
      <c r="Z2618" s="62"/>
      <c r="AA2618" s="62"/>
      <c r="AB2618" s="62"/>
      <c r="AC2618" s="62"/>
    </row>
    <row r="2619" hidden="1">
      <c r="A2619" s="60">
        <f>IFERROR(__xludf.DUMMYFUNCTION("""COMPUTED_VALUE"""),17729.0)</f>
        <v>17729</v>
      </c>
      <c r="B2619" s="60" t="str">
        <f>IFERROR(__xludf.DUMMYFUNCTION("""COMPUTED_VALUE"""),"Jones, Rohan")</f>
        <v>Jones, Rohan</v>
      </c>
      <c r="C2619" s="60" t="str">
        <f>IFERROR(__xludf.DUMMYFUNCTION("""COMPUTED_VALUE"""),"TE")</f>
        <v>TE</v>
      </c>
      <c r="D2619" s="60" t="str">
        <f>IFERROR(__xludf.DUMMYFUNCTION("""COMPUTED_VALUE"""),"FA")</f>
        <v>FA</v>
      </c>
      <c r="E2619" s="62" t="str">
        <f t="shared" si="5153"/>
        <v>Rohan Jones</v>
      </c>
      <c r="F2619" s="62">
        <f t="shared" ref="F2619:G2619" si="5238">IF(isblank(F$1),,IF(isblank($A2619),,IFERROR(vlookup($A2619,indirect("'TVC-"&amp;text(month(F$1),"00")&amp;"'!$A:$D"),4,false),1)))</f>
        <v>1</v>
      </c>
      <c r="G2619" s="62">
        <f t="shared" si="5238"/>
        <v>1</v>
      </c>
      <c r="H2619" s="62">
        <f t="shared" ref="H2619:Q2619" si="5239">IF(isblank(H$1),,IFERROR(vlookup($A2619,indirect("'TVC-"&amp;text(month(H$1),"00")&amp;"'!$A:$D"),4,false),1))</f>
        <v>1</v>
      </c>
      <c r="I2619" s="62">
        <f t="shared" si="5239"/>
        <v>1</v>
      </c>
      <c r="J2619" s="62">
        <f t="shared" si="5239"/>
        <v>1</v>
      </c>
      <c r="K2619" s="62">
        <f t="shared" si="5239"/>
        <v>1</v>
      </c>
      <c r="L2619" s="62">
        <f t="shared" si="5239"/>
        <v>1</v>
      </c>
      <c r="M2619" s="62">
        <f t="shared" si="5239"/>
        <v>1</v>
      </c>
      <c r="N2619" s="62">
        <f t="shared" si="5239"/>
        <v>1</v>
      </c>
      <c r="O2619" s="62">
        <f t="shared" si="5239"/>
        <v>1</v>
      </c>
      <c r="P2619" s="62" t="str">
        <f t="shared" si="5239"/>
        <v/>
      </c>
      <c r="Q2619" s="62" t="str">
        <f t="shared" si="5239"/>
        <v/>
      </c>
      <c r="R2619" s="62">
        <f t="shared" si="7"/>
        <v>0</v>
      </c>
      <c r="S2619" s="62"/>
      <c r="T2619" s="62"/>
      <c r="U2619" s="62"/>
      <c r="V2619" s="62"/>
      <c r="W2619" s="62"/>
      <c r="X2619" s="62"/>
      <c r="Y2619" s="62"/>
      <c r="Z2619" s="62"/>
      <c r="AA2619" s="62"/>
      <c r="AB2619" s="62"/>
      <c r="AC2619" s="62"/>
    </row>
    <row r="2620" hidden="1">
      <c r="A2620" s="60">
        <f>IFERROR(__xludf.DUMMYFUNCTION("""COMPUTED_VALUE"""),17730.0)</f>
        <v>17730</v>
      </c>
      <c r="B2620" s="60" t="str">
        <f>IFERROR(__xludf.DUMMYFUNCTION("""COMPUTED_VALUE"""),"Stroman, Jalen")</f>
        <v>Stroman, Jalen</v>
      </c>
      <c r="C2620" s="60" t="str">
        <f>IFERROR(__xludf.DUMMYFUNCTION("""COMPUTED_VALUE"""),"S")</f>
        <v>S</v>
      </c>
      <c r="D2620" s="60" t="str">
        <f>IFERROR(__xludf.DUMMYFUNCTION("""COMPUTED_VALUE"""),"SFO")</f>
        <v>SFO</v>
      </c>
      <c r="E2620" s="62" t="str">
        <f t="shared" si="5153"/>
        <v>Jalen Stroman</v>
      </c>
      <c r="F2620" s="62">
        <f t="shared" ref="F2620:G2620" si="5240">IF(isblank(F$1),,IF(isblank($A2620),,IFERROR(vlookup($A2620,indirect("'TVC-"&amp;text(month(F$1),"00")&amp;"'!$A:$D"),4,false),1)))</f>
        <v>1</v>
      </c>
      <c r="G2620" s="62">
        <f t="shared" si="5240"/>
        <v>1</v>
      </c>
      <c r="H2620" s="62">
        <f t="shared" ref="H2620:Q2620" si="5241">IF(isblank(H$1),,IFERROR(vlookup($A2620,indirect("'TVC-"&amp;text(month(H$1),"00")&amp;"'!$A:$D"),4,false),1))</f>
        <v>1</v>
      </c>
      <c r="I2620" s="62">
        <f t="shared" si="5241"/>
        <v>1</v>
      </c>
      <c r="J2620" s="62">
        <f t="shared" si="5241"/>
        <v>1</v>
      </c>
      <c r="K2620" s="62">
        <f t="shared" si="5241"/>
        <v>1</v>
      </c>
      <c r="L2620" s="62">
        <f t="shared" si="5241"/>
        <v>1</v>
      </c>
      <c r="M2620" s="62">
        <f t="shared" si="5241"/>
        <v>1</v>
      </c>
      <c r="N2620" s="62">
        <f t="shared" si="5241"/>
        <v>1</v>
      </c>
      <c r="O2620" s="62">
        <f t="shared" si="5241"/>
        <v>1</v>
      </c>
      <c r="P2620" s="62" t="str">
        <f t="shared" si="5241"/>
        <v/>
      </c>
      <c r="Q2620" s="62" t="str">
        <f t="shared" si="5241"/>
        <v/>
      </c>
      <c r="R2620" s="62">
        <f t="shared" si="7"/>
        <v>0</v>
      </c>
      <c r="S2620" s="62"/>
      <c r="T2620" s="62"/>
      <c r="U2620" s="62"/>
      <c r="V2620" s="62"/>
      <c r="W2620" s="62"/>
      <c r="X2620" s="62"/>
      <c r="Y2620" s="62"/>
      <c r="Z2620" s="62"/>
      <c r="AA2620" s="62"/>
      <c r="AB2620" s="62"/>
      <c r="AC2620" s="62"/>
    </row>
    <row r="2621" hidden="1">
      <c r="A2621" s="60">
        <f>IFERROR(__xludf.DUMMYFUNCTION("""COMPUTED_VALUE"""),17731.0)</f>
        <v>17731</v>
      </c>
      <c r="B2621" s="60" t="str">
        <f>IFERROR(__xludf.DUMMYFUNCTION("""COMPUTED_VALUE"""),"Matsuzawa, Kansei")</f>
        <v>Matsuzawa, Kansei</v>
      </c>
      <c r="C2621" s="60" t="str">
        <f>IFERROR(__xludf.DUMMYFUNCTION("""COMPUTED_VALUE"""),"PK")</f>
        <v>PK</v>
      </c>
      <c r="D2621" s="60" t="str">
        <f>IFERROR(__xludf.DUMMYFUNCTION("""COMPUTED_VALUE"""),"LVR")</f>
        <v>LVR</v>
      </c>
      <c r="E2621" s="62" t="str">
        <f t="shared" si="5153"/>
        <v>Kansei Matsuzawa</v>
      </c>
      <c r="F2621" s="62">
        <f t="shared" ref="F2621:G2621" si="5242">IF(isblank(F$1),,IF(isblank($A2621),,IFERROR(vlookup($A2621,indirect("'TVC-"&amp;text(month(F$1),"00")&amp;"'!$A:$D"),4,false),1)))</f>
        <v>1</v>
      </c>
      <c r="G2621" s="62">
        <f t="shared" si="5242"/>
        <v>1</v>
      </c>
      <c r="H2621" s="62">
        <f t="shared" ref="H2621:Q2621" si="5243">IF(isblank(H$1),,IFERROR(vlookup($A2621,indirect("'TVC-"&amp;text(month(H$1),"00")&amp;"'!$A:$D"),4,false),1))</f>
        <v>1</v>
      </c>
      <c r="I2621" s="62">
        <f t="shared" si="5243"/>
        <v>1</v>
      </c>
      <c r="J2621" s="62">
        <f t="shared" si="5243"/>
        <v>1</v>
      </c>
      <c r="K2621" s="62">
        <f t="shared" si="5243"/>
        <v>1</v>
      </c>
      <c r="L2621" s="62">
        <f t="shared" si="5243"/>
        <v>1</v>
      </c>
      <c r="M2621" s="62">
        <f t="shared" si="5243"/>
        <v>1</v>
      </c>
      <c r="N2621" s="62">
        <f t="shared" si="5243"/>
        <v>1</v>
      </c>
      <c r="O2621" s="62">
        <f t="shared" si="5243"/>
        <v>1</v>
      </c>
      <c r="P2621" s="62" t="str">
        <f t="shared" si="5243"/>
        <v/>
      </c>
      <c r="Q2621" s="62" t="str">
        <f t="shared" si="5243"/>
        <v/>
      </c>
      <c r="R2621" s="62">
        <f t="shared" si="7"/>
        <v>0</v>
      </c>
      <c r="S2621" s="62"/>
      <c r="T2621" s="62"/>
      <c r="U2621" s="62"/>
      <c r="V2621" s="62"/>
      <c r="W2621" s="62"/>
      <c r="X2621" s="62"/>
      <c r="Y2621" s="62"/>
      <c r="Z2621" s="62"/>
      <c r="AA2621" s="62"/>
      <c r="AB2621" s="62"/>
      <c r="AC2621" s="62"/>
    </row>
    <row r="2622" hidden="1">
      <c r="A2622" s="60">
        <f>IFERROR(__xludf.DUMMYFUNCTION("""COMPUTED_VALUE"""),17732.0)</f>
        <v>17732</v>
      </c>
      <c r="B2622" s="60" t="str">
        <f>IFERROR(__xludf.DUMMYFUNCTION("""COMPUTED_VALUE"""),"Smith, EJ")</f>
        <v>Smith, EJ</v>
      </c>
      <c r="C2622" s="60" t="str">
        <f>IFERROR(__xludf.DUMMYFUNCTION("""COMPUTED_VALUE"""),"RB")</f>
        <v>RB</v>
      </c>
      <c r="D2622" s="60" t="str">
        <f>IFERROR(__xludf.DUMMYFUNCTION("""COMPUTED_VALUE"""),"FA")</f>
        <v>FA</v>
      </c>
      <c r="E2622" s="62" t="str">
        <f t="shared" si="5153"/>
        <v>EJ Smith</v>
      </c>
      <c r="F2622" s="62">
        <f t="shared" ref="F2622:G2622" si="5244">IF(isblank(F$1),,IF(isblank($A2622),,IFERROR(vlookup($A2622,indirect("'TVC-"&amp;text(month(F$1),"00")&amp;"'!$A:$D"),4,false),1)))</f>
        <v>1</v>
      </c>
      <c r="G2622" s="62">
        <f t="shared" si="5244"/>
        <v>1</v>
      </c>
      <c r="H2622" s="62">
        <f t="shared" ref="H2622:Q2622" si="5245">IF(isblank(H$1),,IFERROR(vlookup($A2622,indirect("'TVC-"&amp;text(month(H$1),"00")&amp;"'!$A:$D"),4,false),1))</f>
        <v>1</v>
      </c>
      <c r="I2622" s="62">
        <f t="shared" si="5245"/>
        <v>1</v>
      </c>
      <c r="J2622" s="62">
        <f t="shared" si="5245"/>
        <v>1</v>
      </c>
      <c r="K2622" s="62">
        <f t="shared" si="5245"/>
        <v>1</v>
      </c>
      <c r="L2622" s="62">
        <f t="shared" si="5245"/>
        <v>1</v>
      </c>
      <c r="M2622" s="62">
        <f t="shared" si="5245"/>
        <v>1</v>
      </c>
      <c r="N2622" s="62">
        <f t="shared" si="5245"/>
        <v>1</v>
      </c>
      <c r="O2622" s="62">
        <f t="shared" si="5245"/>
        <v>1</v>
      </c>
      <c r="P2622" s="62" t="str">
        <f t="shared" si="5245"/>
        <v/>
      </c>
      <c r="Q2622" s="62" t="str">
        <f t="shared" si="5245"/>
        <v/>
      </c>
      <c r="R2622" s="62">
        <f t="shared" si="7"/>
        <v>0</v>
      </c>
      <c r="S2622" s="62"/>
      <c r="T2622" s="62"/>
      <c r="U2622" s="62"/>
      <c r="V2622" s="62"/>
      <c r="W2622" s="62"/>
      <c r="X2622" s="62"/>
      <c r="Y2622" s="62"/>
      <c r="Z2622" s="62"/>
      <c r="AA2622" s="62"/>
      <c r="AB2622" s="62"/>
      <c r="AC2622" s="62"/>
    </row>
    <row r="2623" hidden="1">
      <c r="A2623" s="60">
        <f>IFERROR(__xludf.DUMMYFUNCTION("""COMPUTED_VALUE"""),17733.0)</f>
        <v>17733</v>
      </c>
      <c r="B2623" s="60" t="str">
        <f>IFERROR(__xludf.DUMMYFUNCTION("""COMPUTED_VALUE"""),"Hudson, Jordan")</f>
        <v>Hudson, Jordan</v>
      </c>
      <c r="C2623" s="60" t="str">
        <f>IFERROR(__xludf.DUMMYFUNCTION("""COMPUTED_VALUE"""),"WR")</f>
        <v>WR</v>
      </c>
      <c r="D2623" s="60" t="str">
        <f>IFERROR(__xludf.DUMMYFUNCTION("""COMPUTED_VALUE"""),"DAL")</f>
        <v>DAL</v>
      </c>
      <c r="E2623" s="62" t="str">
        <f t="shared" si="5153"/>
        <v>Jordan Hudson</v>
      </c>
      <c r="F2623" s="62">
        <f t="shared" ref="F2623:G2623" si="5246">IF(isblank(F$1),,IF(isblank($A2623),,IFERROR(vlookup($A2623,indirect("'TVC-"&amp;text(month(F$1),"00")&amp;"'!$A:$D"),4,false),1)))</f>
        <v>1</v>
      </c>
      <c r="G2623" s="62">
        <f t="shared" si="5246"/>
        <v>1</v>
      </c>
      <c r="H2623" s="62">
        <f t="shared" ref="H2623:Q2623" si="5247">IF(isblank(H$1),,IFERROR(vlookup($A2623,indirect("'TVC-"&amp;text(month(H$1),"00")&amp;"'!$A:$D"),4,false),1))</f>
        <v>1</v>
      </c>
      <c r="I2623" s="62">
        <f t="shared" si="5247"/>
        <v>1</v>
      </c>
      <c r="J2623" s="62">
        <f t="shared" si="5247"/>
        <v>1</v>
      </c>
      <c r="K2623" s="62">
        <f t="shared" si="5247"/>
        <v>1</v>
      </c>
      <c r="L2623" s="62">
        <f t="shared" si="5247"/>
        <v>1</v>
      </c>
      <c r="M2623" s="62">
        <f t="shared" si="5247"/>
        <v>1</v>
      </c>
      <c r="N2623" s="62">
        <f t="shared" si="5247"/>
        <v>1</v>
      </c>
      <c r="O2623" s="62">
        <f t="shared" si="5247"/>
        <v>1</v>
      </c>
      <c r="P2623" s="62" t="str">
        <f t="shared" si="5247"/>
        <v/>
      </c>
      <c r="Q2623" s="62" t="str">
        <f t="shared" si="5247"/>
        <v/>
      </c>
      <c r="R2623" s="62">
        <f t="shared" si="7"/>
        <v>0</v>
      </c>
      <c r="S2623" s="62"/>
      <c r="T2623" s="62"/>
      <c r="U2623" s="62"/>
      <c r="V2623" s="62"/>
      <c r="W2623" s="62"/>
      <c r="X2623" s="62"/>
      <c r="Y2623" s="62"/>
      <c r="Z2623" s="62"/>
      <c r="AA2623" s="62"/>
      <c r="AB2623" s="62"/>
      <c r="AC2623" s="62"/>
    </row>
    <row r="2624" hidden="1">
      <c r="A2624" s="60">
        <f>IFERROR(__xludf.DUMMYFUNCTION("""COMPUTED_VALUE"""),17734.0)</f>
        <v>17734</v>
      </c>
      <c r="B2624" s="60" t="str">
        <f>IFERROR(__xludf.DUMMYFUNCTION("""COMPUTED_VALUE"""),"Villari, Dan")</f>
        <v>Villari, Dan</v>
      </c>
      <c r="C2624" s="60" t="str">
        <f>IFERROR(__xludf.DUMMYFUNCTION("""COMPUTED_VALUE"""),"TE")</f>
        <v>TE</v>
      </c>
      <c r="D2624" s="60" t="str">
        <f>IFERROR(__xludf.DUMMYFUNCTION("""COMPUTED_VALUE"""),"LAR")</f>
        <v>LAR</v>
      </c>
      <c r="E2624" s="62" t="str">
        <f t="shared" si="5153"/>
        <v>Dan Villari</v>
      </c>
      <c r="F2624" s="62">
        <f t="shared" ref="F2624:G2624" si="5248">IF(isblank(F$1),,IF(isblank($A2624),,IFERROR(vlookup($A2624,indirect("'TVC-"&amp;text(month(F$1),"00")&amp;"'!$A:$D"),4,false),1)))</f>
        <v>1</v>
      </c>
      <c r="G2624" s="62">
        <f t="shared" si="5248"/>
        <v>1</v>
      </c>
      <c r="H2624" s="62">
        <f t="shared" ref="H2624:Q2624" si="5249">IF(isblank(H$1),,IFERROR(vlookup($A2624,indirect("'TVC-"&amp;text(month(H$1),"00")&amp;"'!$A:$D"),4,false),1))</f>
        <v>1</v>
      </c>
      <c r="I2624" s="62">
        <f t="shared" si="5249"/>
        <v>1</v>
      </c>
      <c r="J2624" s="62">
        <f t="shared" si="5249"/>
        <v>1</v>
      </c>
      <c r="K2624" s="62">
        <f t="shared" si="5249"/>
        <v>1</v>
      </c>
      <c r="L2624" s="62">
        <f t="shared" si="5249"/>
        <v>1</v>
      </c>
      <c r="M2624" s="62">
        <f t="shared" si="5249"/>
        <v>1</v>
      </c>
      <c r="N2624" s="62">
        <f t="shared" si="5249"/>
        <v>1</v>
      </c>
      <c r="O2624" s="62">
        <f t="shared" si="5249"/>
        <v>1</v>
      </c>
      <c r="P2624" s="62" t="str">
        <f t="shared" si="5249"/>
        <v/>
      </c>
      <c r="Q2624" s="62" t="str">
        <f t="shared" si="5249"/>
        <v/>
      </c>
      <c r="R2624" s="62">
        <f t="shared" si="7"/>
        <v>0</v>
      </c>
      <c r="S2624" s="62"/>
      <c r="T2624" s="62"/>
      <c r="U2624" s="62"/>
      <c r="V2624" s="62"/>
      <c r="W2624" s="62"/>
      <c r="X2624" s="62"/>
      <c r="Y2624" s="62"/>
      <c r="Z2624" s="62"/>
      <c r="AA2624" s="62"/>
      <c r="AB2624" s="62"/>
      <c r="AC2624" s="62"/>
    </row>
    <row r="2625" hidden="1">
      <c r="A2625" s="60">
        <f>IFERROR(__xludf.DUMMYFUNCTION("""COMPUTED_VALUE"""),17735.0)</f>
        <v>17735</v>
      </c>
      <c r="B2625" s="60" t="str">
        <f>IFERROR(__xludf.DUMMYFUNCTION("""COMPUTED_VALUE"""),"Fano, Logan")</f>
        <v>Fano, Logan</v>
      </c>
      <c r="C2625" s="60" t="str">
        <f>IFERROR(__xludf.DUMMYFUNCTION("""COMPUTED_VALUE"""),"DE")</f>
        <v>DE</v>
      </c>
      <c r="D2625" s="60" t="str">
        <f>IFERROR(__xludf.DUMMYFUNCTION("""COMPUTED_VALUE"""),"CLE")</f>
        <v>CLE</v>
      </c>
      <c r="E2625" s="62" t="str">
        <f t="shared" si="5153"/>
        <v>Logan Fano</v>
      </c>
      <c r="F2625" s="62">
        <f t="shared" ref="F2625:G2625" si="5250">IF(isblank(F$1),,IF(isblank($A2625),,IFERROR(vlookup($A2625,indirect("'TVC-"&amp;text(month(F$1),"00")&amp;"'!$A:$D"),4,false),1)))</f>
        <v>1</v>
      </c>
      <c r="G2625" s="62">
        <f t="shared" si="5250"/>
        <v>1</v>
      </c>
      <c r="H2625" s="62">
        <f t="shared" ref="H2625:Q2625" si="5251">IF(isblank(H$1),,IFERROR(vlookup($A2625,indirect("'TVC-"&amp;text(month(H$1),"00")&amp;"'!$A:$D"),4,false),1))</f>
        <v>1</v>
      </c>
      <c r="I2625" s="62">
        <f t="shared" si="5251"/>
        <v>1</v>
      </c>
      <c r="J2625" s="62">
        <f t="shared" si="5251"/>
        <v>1</v>
      </c>
      <c r="K2625" s="62">
        <f t="shared" si="5251"/>
        <v>1</v>
      </c>
      <c r="L2625" s="62">
        <f t="shared" si="5251"/>
        <v>1</v>
      </c>
      <c r="M2625" s="62">
        <f t="shared" si="5251"/>
        <v>1</v>
      </c>
      <c r="N2625" s="62">
        <f t="shared" si="5251"/>
        <v>1</v>
      </c>
      <c r="O2625" s="62">
        <f t="shared" si="5251"/>
        <v>1</v>
      </c>
      <c r="P2625" s="62" t="str">
        <f t="shared" si="5251"/>
        <v/>
      </c>
      <c r="Q2625" s="62" t="str">
        <f t="shared" si="5251"/>
        <v/>
      </c>
      <c r="R2625" s="62">
        <f t="shared" si="7"/>
        <v>0</v>
      </c>
      <c r="S2625" s="62"/>
      <c r="T2625" s="62"/>
      <c r="U2625" s="62"/>
      <c r="V2625" s="62"/>
      <c r="W2625" s="62"/>
      <c r="X2625" s="62"/>
      <c r="Y2625" s="62"/>
      <c r="Z2625" s="62"/>
      <c r="AA2625" s="62"/>
      <c r="AB2625" s="62"/>
      <c r="AC2625" s="62"/>
    </row>
    <row r="2626" hidden="1">
      <c r="A2626" s="60">
        <f>IFERROR(__xludf.DUMMYFUNCTION("""COMPUTED_VALUE"""),17736.0)</f>
        <v>17736</v>
      </c>
      <c r="B2626" s="60" t="str">
        <f>IFERROR(__xludf.DUMMYFUNCTION("""COMPUTED_VALUE"""),"Zvada, Dominic")</f>
        <v>Zvada, Dominic</v>
      </c>
      <c r="C2626" s="60" t="str">
        <f>IFERROR(__xludf.DUMMYFUNCTION("""COMPUTED_VALUE"""),"PK")</f>
        <v>PK</v>
      </c>
      <c r="D2626" s="60" t="str">
        <f>IFERROR(__xludf.DUMMYFUNCTION("""COMPUTED_VALUE"""),"NYG")</f>
        <v>NYG</v>
      </c>
      <c r="E2626" s="62" t="str">
        <f t="shared" si="5153"/>
        <v>Dominic Zvada</v>
      </c>
      <c r="F2626" s="62">
        <f t="shared" ref="F2626:G2626" si="5252">IF(isblank(F$1),,IF(isblank($A2626),,IFERROR(vlookup($A2626,indirect("'TVC-"&amp;text(month(F$1),"00")&amp;"'!$A:$D"),4,false),1)))</f>
        <v>1</v>
      </c>
      <c r="G2626" s="62">
        <f t="shared" si="5252"/>
        <v>1</v>
      </c>
      <c r="H2626" s="62">
        <f t="shared" ref="H2626:Q2626" si="5253">IF(isblank(H$1),,IFERROR(vlookup($A2626,indirect("'TVC-"&amp;text(month(H$1),"00")&amp;"'!$A:$D"),4,false),1))</f>
        <v>1</v>
      </c>
      <c r="I2626" s="62">
        <f t="shared" si="5253"/>
        <v>1</v>
      </c>
      <c r="J2626" s="62">
        <f t="shared" si="5253"/>
        <v>1</v>
      </c>
      <c r="K2626" s="62">
        <f t="shared" si="5253"/>
        <v>1</v>
      </c>
      <c r="L2626" s="62">
        <f t="shared" si="5253"/>
        <v>1</v>
      </c>
      <c r="M2626" s="62">
        <f t="shared" si="5253"/>
        <v>1</v>
      </c>
      <c r="N2626" s="62">
        <f t="shared" si="5253"/>
        <v>1</v>
      </c>
      <c r="O2626" s="62">
        <f t="shared" si="5253"/>
        <v>1</v>
      </c>
      <c r="P2626" s="62" t="str">
        <f t="shared" si="5253"/>
        <v/>
      </c>
      <c r="Q2626" s="62" t="str">
        <f t="shared" si="5253"/>
        <v/>
      </c>
      <c r="R2626" s="62">
        <f t="shared" si="7"/>
        <v>0</v>
      </c>
      <c r="S2626" s="62"/>
      <c r="T2626" s="62"/>
      <c r="U2626" s="62"/>
      <c r="V2626" s="62"/>
      <c r="W2626" s="62"/>
      <c r="X2626" s="62"/>
      <c r="Y2626" s="62"/>
      <c r="Z2626" s="62"/>
      <c r="AA2626" s="62"/>
      <c r="AB2626" s="62"/>
      <c r="AC2626" s="62"/>
    </row>
    <row r="2627" hidden="1">
      <c r="A2627" s="60">
        <f>IFERROR(__xludf.DUMMYFUNCTION("""COMPUTED_VALUE"""),17737.0)</f>
        <v>17737</v>
      </c>
      <c r="B2627" s="60" t="str">
        <f>IFERROR(__xludf.DUMMYFUNCTION("""COMPUTED_VALUE"""),"Lacy, Caullin")</f>
        <v>Lacy, Caullin</v>
      </c>
      <c r="C2627" s="60" t="str">
        <f>IFERROR(__xludf.DUMMYFUNCTION("""COMPUTED_VALUE"""),"WR")</f>
        <v>WR</v>
      </c>
      <c r="D2627" s="60" t="str">
        <f>IFERROR(__xludf.DUMMYFUNCTION("""COMPUTED_VALUE"""),"FA")</f>
        <v>FA</v>
      </c>
      <c r="E2627" s="62" t="str">
        <f t="shared" si="5153"/>
        <v>Caullin Lacy</v>
      </c>
      <c r="F2627" s="62">
        <f t="shared" ref="F2627:G2627" si="5254">IF(isblank(F$1),,IF(isblank($A2627),,IFERROR(vlookup($A2627,indirect("'TVC-"&amp;text(month(F$1),"00")&amp;"'!$A:$D"),4,false),1)))</f>
        <v>1</v>
      </c>
      <c r="G2627" s="62">
        <f t="shared" si="5254"/>
        <v>1</v>
      </c>
      <c r="H2627" s="62">
        <f t="shared" ref="H2627:Q2627" si="5255">IF(isblank(H$1),,IFERROR(vlookup($A2627,indirect("'TVC-"&amp;text(month(H$1),"00")&amp;"'!$A:$D"),4,false),1))</f>
        <v>1</v>
      </c>
      <c r="I2627" s="62">
        <f t="shared" si="5255"/>
        <v>1</v>
      </c>
      <c r="J2627" s="62">
        <f t="shared" si="5255"/>
        <v>1</v>
      </c>
      <c r="K2627" s="62">
        <f t="shared" si="5255"/>
        <v>1</v>
      </c>
      <c r="L2627" s="62">
        <f t="shared" si="5255"/>
        <v>1</v>
      </c>
      <c r="M2627" s="62">
        <f t="shared" si="5255"/>
        <v>1</v>
      </c>
      <c r="N2627" s="62">
        <f t="shared" si="5255"/>
        <v>1</v>
      </c>
      <c r="O2627" s="62">
        <f t="shared" si="5255"/>
        <v>1</v>
      </c>
      <c r="P2627" s="62" t="str">
        <f t="shared" si="5255"/>
        <v/>
      </c>
      <c r="Q2627" s="62" t="str">
        <f t="shared" si="5255"/>
        <v/>
      </c>
      <c r="R2627" s="62">
        <f t="shared" si="7"/>
        <v>0</v>
      </c>
      <c r="S2627" s="62"/>
      <c r="T2627" s="62"/>
      <c r="U2627" s="62"/>
      <c r="V2627" s="62"/>
      <c r="W2627" s="62"/>
      <c r="X2627" s="62"/>
      <c r="Y2627" s="62"/>
      <c r="Z2627" s="62"/>
      <c r="AA2627" s="62"/>
      <c r="AB2627" s="62"/>
      <c r="AC2627" s="62"/>
    </row>
    <row r="2628" hidden="1">
      <c r="A2628" s="60">
        <f>IFERROR(__xludf.DUMMYFUNCTION("""COMPUTED_VALUE"""),17738.0)</f>
        <v>17738</v>
      </c>
      <c r="B2628" s="60" t="str">
        <f>IFERROR(__xludf.DUMMYFUNCTION("""COMPUTED_VALUE"""),"Richardson, Dominic")</f>
        <v>Richardson, Dominic</v>
      </c>
      <c r="C2628" s="60" t="str">
        <f>IFERROR(__xludf.DUMMYFUNCTION("""COMPUTED_VALUE"""),"RB")</f>
        <v>RB</v>
      </c>
      <c r="D2628" s="60" t="str">
        <f>IFERROR(__xludf.DUMMYFUNCTION("""COMPUTED_VALUE"""),"FA")</f>
        <v>FA</v>
      </c>
      <c r="E2628" s="62" t="str">
        <f t="shared" si="5153"/>
        <v>Dominic Richardson</v>
      </c>
      <c r="F2628" s="62">
        <f t="shared" ref="F2628:G2628" si="5256">IF(isblank(F$1),,IF(isblank($A2628),,IFERROR(vlookup($A2628,indirect("'TVC-"&amp;text(month(F$1),"00")&amp;"'!$A:$D"),4,false),1)))</f>
        <v>1</v>
      </c>
      <c r="G2628" s="62">
        <f t="shared" si="5256"/>
        <v>1</v>
      </c>
      <c r="H2628" s="62">
        <f t="shared" ref="H2628:Q2628" si="5257">IF(isblank(H$1),,IFERROR(vlookup($A2628,indirect("'TVC-"&amp;text(month(H$1),"00")&amp;"'!$A:$D"),4,false),1))</f>
        <v>1</v>
      </c>
      <c r="I2628" s="62">
        <f t="shared" si="5257"/>
        <v>1</v>
      </c>
      <c r="J2628" s="62">
        <f t="shared" si="5257"/>
        <v>1</v>
      </c>
      <c r="K2628" s="62">
        <f t="shared" si="5257"/>
        <v>1</v>
      </c>
      <c r="L2628" s="62">
        <f t="shared" si="5257"/>
        <v>1</v>
      </c>
      <c r="M2628" s="62">
        <f t="shared" si="5257"/>
        <v>1</v>
      </c>
      <c r="N2628" s="62">
        <f t="shared" si="5257"/>
        <v>1</v>
      </c>
      <c r="O2628" s="62">
        <f t="shared" si="5257"/>
        <v>1</v>
      </c>
      <c r="P2628" s="62" t="str">
        <f t="shared" si="5257"/>
        <v/>
      </c>
      <c r="Q2628" s="62" t="str">
        <f t="shared" si="5257"/>
        <v/>
      </c>
      <c r="R2628" s="62">
        <f t="shared" si="7"/>
        <v>0</v>
      </c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</row>
    <row r="2629" hidden="1">
      <c r="A2629" s="60">
        <f>IFERROR(__xludf.DUMMYFUNCTION("""COMPUTED_VALUE"""),17739.0)</f>
        <v>17739</v>
      </c>
      <c r="B2629" s="60" t="str">
        <f>IFERROR(__xludf.DUMMYFUNCTION("""COMPUTED_VALUE"""),"Bennett, Coleman")</f>
        <v>Bennett, Coleman</v>
      </c>
      <c r="C2629" s="60" t="str">
        <f>IFERROR(__xludf.DUMMYFUNCTION("""COMPUTED_VALUE"""),"RB")</f>
        <v>RB</v>
      </c>
      <c r="D2629" s="60" t="str">
        <f>IFERROR(__xludf.DUMMYFUNCTION("""COMPUTED_VALUE"""),"FA")</f>
        <v>FA</v>
      </c>
      <c r="E2629" s="62" t="str">
        <f t="shared" si="5153"/>
        <v>Coleman Bennett</v>
      </c>
      <c r="F2629" s="62">
        <f t="shared" ref="F2629:G2629" si="5258">IF(isblank(F$1),,IF(isblank($A2629),,IFERROR(vlookup($A2629,indirect("'TVC-"&amp;text(month(F$1),"00")&amp;"'!$A:$D"),4,false),1)))</f>
        <v>1</v>
      </c>
      <c r="G2629" s="62">
        <f t="shared" si="5258"/>
        <v>1</v>
      </c>
      <c r="H2629" s="62">
        <f t="shared" ref="H2629:Q2629" si="5259">IF(isblank(H$1),,IFERROR(vlookup($A2629,indirect("'TVC-"&amp;text(month(H$1),"00")&amp;"'!$A:$D"),4,false),1))</f>
        <v>1</v>
      </c>
      <c r="I2629" s="62">
        <f t="shared" si="5259"/>
        <v>1</v>
      </c>
      <c r="J2629" s="62">
        <f t="shared" si="5259"/>
        <v>1</v>
      </c>
      <c r="K2629" s="62">
        <f t="shared" si="5259"/>
        <v>1</v>
      </c>
      <c r="L2629" s="62">
        <f t="shared" si="5259"/>
        <v>1</v>
      </c>
      <c r="M2629" s="62">
        <f t="shared" si="5259"/>
        <v>1</v>
      </c>
      <c r="N2629" s="62">
        <f t="shared" si="5259"/>
        <v>1</v>
      </c>
      <c r="O2629" s="62">
        <f t="shared" si="5259"/>
        <v>1</v>
      </c>
      <c r="P2629" s="62" t="str">
        <f t="shared" si="5259"/>
        <v/>
      </c>
      <c r="Q2629" s="62" t="str">
        <f t="shared" si="5259"/>
        <v/>
      </c>
      <c r="R2629" s="62">
        <f t="shared" si="7"/>
        <v>0</v>
      </c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</row>
    <row r="2630" hidden="1">
      <c r="A2630" s="60">
        <f>IFERROR(__xludf.DUMMYFUNCTION("""COMPUTED_VALUE"""),17740.0)</f>
        <v>17740</v>
      </c>
      <c r="B2630" s="60" t="str">
        <f>IFERROR(__xludf.DUMMYFUNCTION("""COMPUTED_VALUE"""),"Heldman, Michael")</f>
        <v>Heldman, Michael</v>
      </c>
      <c r="C2630" s="60" t="str">
        <f>IFERROR(__xludf.DUMMYFUNCTION("""COMPUTED_VALUE"""),"DE")</f>
        <v>DE</v>
      </c>
      <c r="D2630" s="60" t="str">
        <f>IFERROR(__xludf.DUMMYFUNCTION("""COMPUTED_VALUE"""),"KCC")</f>
        <v>KCC</v>
      </c>
      <c r="E2630" s="62" t="str">
        <f t="shared" si="5153"/>
        <v>Michael Heldman</v>
      </c>
      <c r="F2630" s="62">
        <f t="shared" ref="F2630:G2630" si="5260">IF(isblank(F$1),,IF(isblank($A2630),,IFERROR(vlookup($A2630,indirect("'TVC-"&amp;text(month(F$1),"00")&amp;"'!$A:$D"),4,false),1)))</f>
        <v>1</v>
      </c>
      <c r="G2630" s="62">
        <f t="shared" si="5260"/>
        <v>1</v>
      </c>
      <c r="H2630" s="62">
        <f t="shared" ref="H2630:Q2630" si="5261">IF(isblank(H$1),,IFERROR(vlookup($A2630,indirect("'TVC-"&amp;text(month(H$1),"00")&amp;"'!$A:$D"),4,false),1))</f>
        <v>1</v>
      </c>
      <c r="I2630" s="62">
        <f t="shared" si="5261"/>
        <v>1</v>
      </c>
      <c r="J2630" s="62">
        <f t="shared" si="5261"/>
        <v>1</v>
      </c>
      <c r="K2630" s="62">
        <f t="shared" si="5261"/>
        <v>1</v>
      </c>
      <c r="L2630" s="62">
        <f t="shared" si="5261"/>
        <v>1</v>
      </c>
      <c r="M2630" s="62">
        <f t="shared" si="5261"/>
        <v>1</v>
      </c>
      <c r="N2630" s="62">
        <f t="shared" si="5261"/>
        <v>1</v>
      </c>
      <c r="O2630" s="62">
        <f t="shared" si="5261"/>
        <v>1</v>
      </c>
      <c r="P2630" s="62" t="str">
        <f t="shared" si="5261"/>
        <v/>
      </c>
      <c r="Q2630" s="62" t="str">
        <f t="shared" si="5261"/>
        <v/>
      </c>
      <c r="R2630" s="62">
        <f t="shared" si="7"/>
        <v>0</v>
      </c>
      <c r="S2630" s="62"/>
      <c r="T2630" s="62"/>
      <c r="U2630" s="62"/>
      <c r="V2630" s="62"/>
      <c r="W2630" s="62"/>
      <c r="X2630" s="62"/>
      <c r="Y2630" s="62"/>
      <c r="Z2630" s="62"/>
      <c r="AA2630" s="62"/>
      <c r="AB2630" s="62"/>
      <c r="AC2630" s="62"/>
    </row>
    <row r="2631" hidden="1">
      <c r="A2631" s="60">
        <f>IFERROR(__xludf.DUMMYFUNCTION("""COMPUTED_VALUE"""),17741.0)</f>
        <v>17741</v>
      </c>
      <c r="B2631" s="60" t="str">
        <f>IFERROR(__xludf.DUMMYFUNCTION("""COMPUTED_VALUE"""),"Rechsteiner, Brock")</f>
        <v>Rechsteiner, Brock</v>
      </c>
      <c r="C2631" s="60" t="str">
        <f>IFERROR(__xludf.DUMMYFUNCTION("""COMPUTED_VALUE"""),"WR")</f>
        <v>WR</v>
      </c>
      <c r="D2631" s="60" t="str">
        <f>IFERROR(__xludf.DUMMYFUNCTION("""COMPUTED_VALUE"""),"FA")</f>
        <v>FA</v>
      </c>
      <c r="E2631" s="62" t="str">
        <f t="shared" si="5153"/>
        <v>Brock Rechsteiner</v>
      </c>
      <c r="F2631" s="62">
        <f t="shared" ref="F2631:G2631" si="5262">IF(isblank(F$1),,IF(isblank($A2631),,IFERROR(vlookup($A2631,indirect("'TVC-"&amp;text(month(F$1),"00")&amp;"'!$A:$D"),4,false),1)))</f>
        <v>1</v>
      </c>
      <c r="G2631" s="62">
        <f t="shared" si="5262"/>
        <v>1</v>
      </c>
      <c r="H2631" s="62">
        <f t="shared" ref="H2631:Q2631" si="5263">IF(isblank(H$1),,IFERROR(vlookup($A2631,indirect("'TVC-"&amp;text(month(H$1),"00")&amp;"'!$A:$D"),4,false),1))</f>
        <v>1</v>
      </c>
      <c r="I2631" s="62">
        <f t="shared" si="5263"/>
        <v>1</v>
      </c>
      <c r="J2631" s="62">
        <f t="shared" si="5263"/>
        <v>1</v>
      </c>
      <c r="K2631" s="62">
        <f t="shared" si="5263"/>
        <v>1</v>
      </c>
      <c r="L2631" s="62">
        <f t="shared" si="5263"/>
        <v>1</v>
      </c>
      <c r="M2631" s="62">
        <f t="shared" si="5263"/>
        <v>1</v>
      </c>
      <c r="N2631" s="62">
        <f t="shared" si="5263"/>
        <v>1</v>
      </c>
      <c r="O2631" s="62">
        <f t="shared" si="5263"/>
        <v>1</v>
      </c>
      <c r="P2631" s="62" t="str">
        <f t="shared" si="5263"/>
        <v/>
      </c>
      <c r="Q2631" s="62" t="str">
        <f t="shared" si="5263"/>
        <v/>
      </c>
      <c r="R2631" s="62">
        <f t="shared" si="7"/>
        <v>0</v>
      </c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</row>
    <row r="2632" hidden="1">
      <c r="A2632" s="60">
        <f>IFERROR(__xludf.DUMMYFUNCTION("""COMPUTED_VALUE"""),17742.0)</f>
        <v>17742</v>
      </c>
      <c r="B2632" s="60" t="str">
        <f>IFERROR(__xludf.DUMMYFUNCTION("""COMPUTED_VALUE"""),"Anthony, Vinny")</f>
        <v>Anthony, Vinny</v>
      </c>
      <c r="C2632" s="60" t="str">
        <f>IFERROR(__xludf.DUMMYFUNCTION("""COMPUTED_VALUE"""),"WR")</f>
        <v>WR</v>
      </c>
      <c r="D2632" s="60" t="str">
        <f>IFERROR(__xludf.DUMMYFUNCTION("""COMPUTED_VALUE"""),"ATL")</f>
        <v>ATL</v>
      </c>
      <c r="E2632" s="62" t="str">
        <f t="shared" si="5153"/>
        <v>Vinny Anthony</v>
      </c>
      <c r="F2632" s="62">
        <f t="shared" ref="F2632:G2632" si="5264">IF(isblank(F$1),,IF(isblank($A2632),,IFERROR(vlookup($A2632,indirect("'TVC-"&amp;text(month(F$1),"00")&amp;"'!$A:$D"),4,false),1)))</f>
        <v>1</v>
      </c>
      <c r="G2632" s="62">
        <f t="shared" si="5264"/>
        <v>1</v>
      </c>
      <c r="H2632" s="62">
        <f t="shared" ref="H2632:Q2632" si="5265">IF(isblank(H$1),,IFERROR(vlookup($A2632,indirect("'TVC-"&amp;text(month(H$1),"00")&amp;"'!$A:$D"),4,false),1))</f>
        <v>1</v>
      </c>
      <c r="I2632" s="62">
        <f t="shared" si="5265"/>
        <v>1</v>
      </c>
      <c r="J2632" s="62">
        <f t="shared" si="5265"/>
        <v>1</v>
      </c>
      <c r="K2632" s="62">
        <f t="shared" si="5265"/>
        <v>1</v>
      </c>
      <c r="L2632" s="62">
        <f t="shared" si="5265"/>
        <v>1</v>
      </c>
      <c r="M2632" s="62">
        <f t="shared" si="5265"/>
        <v>1</v>
      </c>
      <c r="N2632" s="62">
        <f t="shared" si="5265"/>
        <v>1</v>
      </c>
      <c r="O2632" s="62">
        <f t="shared" si="5265"/>
        <v>1</v>
      </c>
      <c r="P2632" s="62" t="str">
        <f t="shared" si="5265"/>
        <v/>
      </c>
      <c r="Q2632" s="62" t="str">
        <f t="shared" si="5265"/>
        <v/>
      </c>
      <c r="R2632" s="62">
        <f t="shared" si="7"/>
        <v>0</v>
      </c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</row>
    <row r="2633" hidden="1">
      <c r="A2633" s="60">
        <f>IFERROR(__xludf.DUMMYFUNCTION("""COMPUTED_VALUE"""),17743.0)</f>
        <v>17743</v>
      </c>
      <c r="B2633" s="60" t="str">
        <f>IFERROR(__xludf.DUMMYFUNCTION("""COMPUTED_VALUE"""),"Strand, Jack")</f>
        <v>Strand, Jack</v>
      </c>
      <c r="C2633" s="60" t="str">
        <f>IFERROR(__xludf.DUMMYFUNCTION("""COMPUTED_VALUE"""),"QB")</f>
        <v>QB</v>
      </c>
      <c r="D2633" s="60" t="str">
        <f>IFERROR(__xludf.DUMMYFUNCTION("""COMPUTED_VALUE"""),"ATL")</f>
        <v>ATL</v>
      </c>
      <c r="E2633" s="62" t="str">
        <f t="shared" si="5153"/>
        <v>Jack Strand</v>
      </c>
      <c r="F2633" s="62">
        <f t="shared" ref="F2633:G2633" si="5266">IF(isblank(F$1),,IF(isblank($A2633),,IFERROR(vlookup($A2633,indirect("'TVC-"&amp;text(month(F$1),"00")&amp;"'!$A:$D"),4,false),1)))</f>
        <v>1</v>
      </c>
      <c r="G2633" s="62">
        <f t="shared" si="5266"/>
        <v>1</v>
      </c>
      <c r="H2633" s="62">
        <f t="shared" ref="H2633:Q2633" si="5267">IF(isblank(H$1),,IFERROR(vlookup($A2633,indirect("'TVC-"&amp;text(month(H$1),"00")&amp;"'!$A:$D"),4,false),1))</f>
        <v>1</v>
      </c>
      <c r="I2633" s="62">
        <f t="shared" si="5267"/>
        <v>1</v>
      </c>
      <c r="J2633" s="62">
        <f t="shared" si="5267"/>
        <v>1</v>
      </c>
      <c r="K2633" s="62">
        <f t="shared" si="5267"/>
        <v>1</v>
      </c>
      <c r="L2633" s="62">
        <f t="shared" si="5267"/>
        <v>1</v>
      </c>
      <c r="M2633" s="62">
        <f t="shared" si="5267"/>
        <v>1</v>
      </c>
      <c r="N2633" s="62">
        <f t="shared" si="5267"/>
        <v>1398</v>
      </c>
      <c r="O2633" s="62">
        <f t="shared" si="5267"/>
        <v>1</v>
      </c>
      <c r="P2633" s="62" t="str">
        <f t="shared" si="5267"/>
        <v/>
      </c>
      <c r="Q2633" s="62" t="str">
        <f t="shared" si="5267"/>
        <v/>
      </c>
      <c r="R2633" s="62">
        <f t="shared" si="7"/>
        <v>-1397</v>
      </c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</row>
    <row r="2634" hidden="1">
      <c r="A2634" s="60">
        <f>IFERROR(__xludf.DUMMYFUNCTION("""COMPUTED_VALUE"""),17744.0)</f>
        <v>17744</v>
      </c>
      <c r="B2634" s="60" t="str">
        <f>IFERROR(__xludf.DUMMYFUNCTION("""COMPUTED_VALUE"""),"Maryland, RJ")</f>
        <v>Maryland, RJ</v>
      </c>
      <c r="C2634" s="60" t="str">
        <f>IFERROR(__xludf.DUMMYFUNCTION("""COMPUTED_VALUE"""),"TE")</f>
        <v>TE</v>
      </c>
      <c r="D2634" s="60" t="str">
        <f>IFERROR(__xludf.DUMMYFUNCTION("""COMPUTED_VALUE"""),"FA")</f>
        <v>FA</v>
      </c>
      <c r="E2634" s="62" t="str">
        <f t="shared" si="5153"/>
        <v>RJ Maryland</v>
      </c>
      <c r="F2634" s="62">
        <f t="shared" ref="F2634:G2634" si="5268">IF(isblank(F$1),,IF(isblank($A2634),,IFERROR(vlookup($A2634,indirect("'TVC-"&amp;text(month(F$1),"00")&amp;"'!$A:$D"),4,false),1)))</f>
        <v>1</v>
      </c>
      <c r="G2634" s="62">
        <f t="shared" si="5268"/>
        <v>1</v>
      </c>
      <c r="H2634" s="62">
        <f t="shared" ref="H2634:Q2634" si="5269">IF(isblank(H$1),,IFERROR(vlookup($A2634,indirect("'TVC-"&amp;text(month(H$1),"00")&amp;"'!$A:$D"),4,false),1))</f>
        <v>1</v>
      </c>
      <c r="I2634" s="62">
        <f t="shared" si="5269"/>
        <v>1</v>
      </c>
      <c r="J2634" s="62">
        <f t="shared" si="5269"/>
        <v>1</v>
      </c>
      <c r="K2634" s="62">
        <f t="shared" si="5269"/>
        <v>1</v>
      </c>
      <c r="L2634" s="62">
        <f t="shared" si="5269"/>
        <v>1</v>
      </c>
      <c r="M2634" s="62">
        <f t="shared" si="5269"/>
        <v>1</v>
      </c>
      <c r="N2634" s="62">
        <f t="shared" si="5269"/>
        <v>1</v>
      </c>
      <c r="O2634" s="62">
        <f t="shared" si="5269"/>
        <v>1</v>
      </c>
      <c r="P2634" s="62" t="str">
        <f t="shared" si="5269"/>
        <v/>
      </c>
      <c r="Q2634" s="62" t="str">
        <f t="shared" si="5269"/>
        <v/>
      </c>
      <c r="R2634" s="62">
        <f t="shared" si="7"/>
        <v>0</v>
      </c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</row>
    <row r="2635" hidden="1">
      <c r="A2635" s="60">
        <f>IFERROR(__xludf.DUMMYFUNCTION("""COMPUTED_VALUE"""),17745.0)</f>
        <v>17745</v>
      </c>
      <c r="B2635" s="60" t="str">
        <f>IFERROR(__xludf.DUMMYFUNCTION("""COMPUTED_VALUE"""),"Slone, Cian")</f>
        <v>Slone, Cian</v>
      </c>
      <c r="C2635" s="60" t="str">
        <f>IFERROR(__xludf.DUMMYFUNCTION("""COMPUTED_VALUE"""),"DE")</f>
        <v>DE</v>
      </c>
      <c r="D2635" s="60" t="str">
        <f>IFERROR(__xludf.DUMMYFUNCTION("""COMPUTED_VALUE"""),"LVR")</f>
        <v>LVR</v>
      </c>
      <c r="E2635" s="62" t="str">
        <f t="shared" si="5153"/>
        <v>Cian Slone</v>
      </c>
      <c r="F2635" s="62">
        <f t="shared" ref="F2635:G2635" si="5270">IF(isblank(F$1),,IF(isblank($A2635),,IFERROR(vlookup($A2635,indirect("'TVC-"&amp;text(month(F$1),"00")&amp;"'!$A:$D"),4,false),1)))</f>
        <v>1</v>
      </c>
      <c r="G2635" s="62">
        <f t="shared" si="5270"/>
        <v>1</v>
      </c>
      <c r="H2635" s="62">
        <f t="shared" ref="H2635:Q2635" si="5271">IF(isblank(H$1),,IFERROR(vlookup($A2635,indirect("'TVC-"&amp;text(month(H$1),"00")&amp;"'!$A:$D"),4,false),1))</f>
        <v>1</v>
      </c>
      <c r="I2635" s="62">
        <f t="shared" si="5271"/>
        <v>1</v>
      </c>
      <c r="J2635" s="62">
        <f t="shared" si="5271"/>
        <v>1</v>
      </c>
      <c r="K2635" s="62">
        <f t="shared" si="5271"/>
        <v>1</v>
      </c>
      <c r="L2635" s="62">
        <f t="shared" si="5271"/>
        <v>1</v>
      </c>
      <c r="M2635" s="62">
        <f t="shared" si="5271"/>
        <v>1</v>
      </c>
      <c r="N2635" s="62">
        <f t="shared" si="5271"/>
        <v>1</v>
      </c>
      <c r="O2635" s="62">
        <f t="shared" si="5271"/>
        <v>1</v>
      </c>
      <c r="P2635" s="62" t="str">
        <f t="shared" si="5271"/>
        <v/>
      </c>
      <c r="Q2635" s="62" t="str">
        <f t="shared" si="5271"/>
        <v/>
      </c>
      <c r="R2635" s="62">
        <f t="shared" si="7"/>
        <v>0</v>
      </c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</row>
    <row r="2636" hidden="1">
      <c r="A2636" s="60">
        <f>IFERROR(__xludf.DUMMYFUNCTION("""COMPUTED_VALUE"""),17746.0)</f>
        <v>17746</v>
      </c>
      <c r="B2636" s="60" t="str">
        <f>IFERROR(__xludf.DUMMYFUNCTION("""COMPUTED_VALUE"""),"Bailey, Wesley")</f>
        <v>Bailey, Wesley</v>
      </c>
      <c r="C2636" s="60" t="str">
        <f>IFERROR(__xludf.DUMMYFUNCTION("""COMPUTED_VALUE"""),"LB")</f>
        <v>LB</v>
      </c>
      <c r="D2636" s="60" t="str">
        <f>IFERROR(__xludf.DUMMYFUNCTION("""COMPUTED_VALUE"""),"LAR")</f>
        <v>LAR</v>
      </c>
      <c r="E2636" s="62" t="str">
        <f t="shared" si="5153"/>
        <v>Wesley Bailey</v>
      </c>
      <c r="F2636" s="62">
        <f t="shared" ref="F2636:G2636" si="5272">IF(isblank(F$1),,IF(isblank($A2636),,IFERROR(vlookup($A2636,indirect("'TVC-"&amp;text(month(F$1),"00")&amp;"'!$A:$D"),4,false),1)))</f>
        <v>1</v>
      </c>
      <c r="G2636" s="62">
        <f t="shared" si="5272"/>
        <v>1</v>
      </c>
      <c r="H2636" s="62">
        <f t="shared" ref="H2636:Q2636" si="5273">IF(isblank(H$1),,IFERROR(vlookup($A2636,indirect("'TVC-"&amp;text(month(H$1),"00")&amp;"'!$A:$D"),4,false),1))</f>
        <v>1</v>
      </c>
      <c r="I2636" s="62">
        <f t="shared" si="5273"/>
        <v>1</v>
      </c>
      <c r="J2636" s="62">
        <f t="shared" si="5273"/>
        <v>1</v>
      </c>
      <c r="K2636" s="62">
        <f t="shared" si="5273"/>
        <v>1</v>
      </c>
      <c r="L2636" s="62">
        <f t="shared" si="5273"/>
        <v>1</v>
      </c>
      <c r="M2636" s="62">
        <f t="shared" si="5273"/>
        <v>1</v>
      </c>
      <c r="N2636" s="62">
        <f t="shared" si="5273"/>
        <v>1</v>
      </c>
      <c r="O2636" s="62">
        <f t="shared" si="5273"/>
        <v>1</v>
      </c>
      <c r="P2636" s="62" t="str">
        <f t="shared" si="5273"/>
        <v/>
      </c>
      <c r="Q2636" s="62" t="str">
        <f t="shared" si="5273"/>
        <v/>
      </c>
      <c r="R2636" s="62">
        <f t="shared" si="7"/>
        <v>0</v>
      </c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</row>
    <row r="2637" hidden="1">
      <c r="A2637" s="60">
        <f>IFERROR(__xludf.DUMMYFUNCTION("""COMPUTED_VALUE"""),17747.0)</f>
        <v>17747</v>
      </c>
      <c r="B2637" s="60" t="str">
        <f>IFERROR(__xludf.DUMMYFUNCTION("""COMPUTED_VALUE"""),"Jacobs, Khalil")</f>
        <v>Jacobs, Khalil</v>
      </c>
      <c r="C2637" s="60" t="str">
        <f>IFERROR(__xludf.DUMMYFUNCTION("""COMPUTED_VALUE"""),"LB")</f>
        <v>LB</v>
      </c>
      <c r="D2637" s="60" t="str">
        <f>IFERROR(__xludf.DUMMYFUNCTION("""COMPUTED_VALUE"""),"NEP")</f>
        <v>NEP</v>
      </c>
      <c r="E2637" s="62" t="str">
        <f t="shared" si="5153"/>
        <v>Khalil Jacobs</v>
      </c>
      <c r="F2637" s="62">
        <f t="shared" ref="F2637:G2637" si="5274">IF(isblank(F$1),,IF(isblank($A2637),,IFERROR(vlookup($A2637,indirect("'TVC-"&amp;text(month(F$1),"00")&amp;"'!$A:$D"),4,false),1)))</f>
        <v>1</v>
      </c>
      <c r="G2637" s="62">
        <f t="shared" si="5274"/>
        <v>1</v>
      </c>
      <c r="H2637" s="62">
        <f t="shared" ref="H2637:Q2637" si="5275">IF(isblank(H$1),,IFERROR(vlookup($A2637,indirect("'TVC-"&amp;text(month(H$1),"00")&amp;"'!$A:$D"),4,false),1))</f>
        <v>1</v>
      </c>
      <c r="I2637" s="62">
        <f t="shared" si="5275"/>
        <v>1</v>
      </c>
      <c r="J2637" s="62">
        <f t="shared" si="5275"/>
        <v>1</v>
      </c>
      <c r="K2637" s="62">
        <f t="shared" si="5275"/>
        <v>1</v>
      </c>
      <c r="L2637" s="62">
        <f t="shared" si="5275"/>
        <v>1</v>
      </c>
      <c r="M2637" s="62">
        <f t="shared" si="5275"/>
        <v>1</v>
      </c>
      <c r="N2637" s="62">
        <f t="shared" si="5275"/>
        <v>1</v>
      </c>
      <c r="O2637" s="62">
        <f t="shared" si="5275"/>
        <v>1</v>
      </c>
      <c r="P2637" s="62" t="str">
        <f t="shared" si="5275"/>
        <v/>
      </c>
      <c r="Q2637" s="62" t="str">
        <f t="shared" si="5275"/>
        <v/>
      </c>
      <c r="R2637" s="62">
        <f t="shared" si="7"/>
        <v>0</v>
      </c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</row>
    <row r="2638" hidden="1">
      <c r="A2638" s="60">
        <f>IFERROR(__xludf.DUMMYFUNCTION("""COMPUTED_VALUE"""),17748.0)</f>
        <v>17748</v>
      </c>
      <c r="B2638" s="60" t="str">
        <f>IFERROR(__xludf.DUMMYFUNCTION("""COMPUTED_VALUE"""),"Robichaux, Kye")</f>
        <v>Robichaux, Kye</v>
      </c>
      <c r="C2638" s="60" t="str">
        <f>IFERROR(__xludf.DUMMYFUNCTION("""COMPUTED_VALUE"""),"RB")</f>
        <v>RB</v>
      </c>
      <c r="D2638" s="60" t="str">
        <f>IFERROR(__xludf.DUMMYFUNCTION("""COMPUTED_VALUE"""),"FA")</f>
        <v>FA</v>
      </c>
      <c r="E2638" s="62" t="str">
        <f t="shared" si="5153"/>
        <v>Kye Robichaux</v>
      </c>
      <c r="F2638" s="62">
        <f t="shared" ref="F2638:G2638" si="5276">IF(isblank(F$1),,IF(isblank($A2638),,IFERROR(vlookup($A2638,indirect("'TVC-"&amp;text(month(F$1),"00")&amp;"'!$A:$D"),4,false),1)))</f>
        <v>1</v>
      </c>
      <c r="G2638" s="62">
        <f t="shared" si="5276"/>
        <v>1</v>
      </c>
      <c r="H2638" s="62">
        <f t="shared" ref="H2638:Q2638" si="5277">IF(isblank(H$1),,IFERROR(vlookup($A2638,indirect("'TVC-"&amp;text(month(H$1),"00")&amp;"'!$A:$D"),4,false),1))</f>
        <v>1</v>
      </c>
      <c r="I2638" s="62">
        <f t="shared" si="5277"/>
        <v>1</v>
      </c>
      <c r="J2638" s="62">
        <f t="shared" si="5277"/>
        <v>1</v>
      </c>
      <c r="K2638" s="62">
        <f t="shared" si="5277"/>
        <v>1</v>
      </c>
      <c r="L2638" s="62">
        <f t="shared" si="5277"/>
        <v>1</v>
      </c>
      <c r="M2638" s="62">
        <f t="shared" si="5277"/>
        <v>1</v>
      </c>
      <c r="N2638" s="62">
        <f t="shared" si="5277"/>
        <v>1</v>
      </c>
      <c r="O2638" s="62">
        <f t="shared" si="5277"/>
        <v>1</v>
      </c>
      <c r="P2638" s="62" t="str">
        <f t="shared" si="5277"/>
        <v/>
      </c>
      <c r="Q2638" s="62" t="str">
        <f t="shared" si="5277"/>
        <v/>
      </c>
      <c r="R2638" s="62">
        <f t="shared" si="7"/>
        <v>0</v>
      </c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</row>
    <row r="2639" hidden="1">
      <c r="A2639" s="60">
        <f>IFERROR(__xludf.DUMMYFUNCTION("""COMPUTED_VALUE"""),17749.0)</f>
        <v>17749</v>
      </c>
      <c r="B2639" s="60" t="str">
        <f>IFERROR(__xludf.DUMMYFUNCTION("""COMPUTED_VALUE"""),"Reed, Ja'Seem")</f>
        <v>Reed, Ja'Seem</v>
      </c>
      <c r="C2639" s="60" t="str">
        <f>IFERROR(__xludf.DUMMYFUNCTION("""COMPUTED_VALUE"""),"WR")</f>
        <v>WR</v>
      </c>
      <c r="D2639" s="60" t="str">
        <f>IFERROR(__xludf.DUMMYFUNCTION("""COMPUTED_VALUE"""),"CAR")</f>
        <v>CAR</v>
      </c>
      <c r="E2639" s="62" t="str">
        <f t="shared" si="5153"/>
        <v>Ja'Seem Reed</v>
      </c>
      <c r="F2639" s="62">
        <f t="shared" ref="F2639:G2639" si="5278">IF(isblank(F$1),,IF(isblank($A2639),,IFERROR(vlookup($A2639,indirect("'TVC-"&amp;text(month(F$1),"00")&amp;"'!$A:$D"),4,false),1)))</f>
        <v>1</v>
      </c>
      <c r="G2639" s="62">
        <f t="shared" si="5278"/>
        <v>1</v>
      </c>
      <c r="H2639" s="62">
        <f t="shared" ref="H2639:Q2639" si="5279">IF(isblank(H$1),,IFERROR(vlookup($A2639,indirect("'TVC-"&amp;text(month(H$1),"00")&amp;"'!$A:$D"),4,false),1))</f>
        <v>1</v>
      </c>
      <c r="I2639" s="62">
        <f t="shared" si="5279"/>
        <v>1</v>
      </c>
      <c r="J2639" s="62">
        <f t="shared" si="5279"/>
        <v>1</v>
      </c>
      <c r="K2639" s="62">
        <f t="shared" si="5279"/>
        <v>1</v>
      </c>
      <c r="L2639" s="62">
        <f t="shared" si="5279"/>
        <v>1</v>
      </c>
      <c r="M2639" s="62">
        <f t="shared" si="5279"/>
        <v>1</v>
      </c>
      <c r="N2639" s="62">
        <f t="shared" si="5279"/>
        <v>1</v>
      </c>
      <c r="O2639" s="62">
        <f t="shared" si="5279"/>
        <v>1</v>
      </c>
      <c r="P2639" s="62" t="str">
        <f t="shared" si="5279"/>
        <v/>
      </c>
      <c r="Q2639" s="62" t="str">
        <f t="shared" si="5279"/>
        <v/>
      </c>
      <c r="R2639" s="62">
        <f t="shared" si="7"/>
        <v>0</v>
      </c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</row>
    <row r="2640" hidden="1">
      <c r="A2640" s="60">
        <f>IFERROR(__xludf.DUMMYFUNCTION("""COMPUTED_VALUE"""),17750.0)</f>
        <v>17750</v>
      </c>
      <c r="B2640" s="60" t="str">
        <f>IFERROR(__xludf.DUMMYFUNCTION("""COMPUTED_VALUE"""),"Brown, Camden")</f>
        <v>Brown, Camden</v>
      </c>
      <c r="C2640" s="60" t="str">
        <f>IFERROR(__xludf.DUMMYFUNCTION("""COMPUTED_VALUE"""),"WR")</f>
        <v>WR</v>
      </c>
      <c r="D2640" s="60" t="str">
        <f>IFERROR(__xludf.DUMMYFUNCTION("""COMPUTED_VALUE"""),"DAL")</f>
        <v>DAL</v>
      </c>
      <c r="E2640" s="62" t="str">
        <f t="shared" si="5153"/>
        <v>Camden Brown</v>
      </c>
      <c r="F2640" s="62">
        <f t="shared" ref="F2640:G2640" si="5280">IF(isblank(F$1),,IF(isblank($A2640),,IFERROR(vlookup($A2640,indirect("'TVC-"&amp;text(month(F$1),"00")&amp;"'!$A:$D"),4,false),1)))</f>
        <v>1</v>
      </c>
      <c r="G2640" s="62">
        <f t="shared" si="5280"/>
        <v>1</v>
      </c>
      <c r="H2640" s="62">
        <f t="shared" ref="H2640:Q2640" si="5281">IF(isblank(H$1),,IFERROR(vlookup($A2640,indirect("'TVC-"&amp;text(month(H$1),"00")&amp;"'!$A:$D"),4,false),1))</f>
        <v>1</v>
      </c>
      <c r="I2640" s="62">
        <f t="shared" si="5281"/>
        <v>1</v>
      </c>
      <c r="J2640" s="62">
        <f t="shared" si="5281"/>
        <v>1</v>
      </c>
      <c r="K2640" s="62">
        <f t="shared" si="5281"/>
        <v>1</v>
      </c>
      <c r="L2640" s="62">
        <f t="shared" si="5281"/>
        <v>1</v>
      </c>
      <c r="M2640" s="62">
        <f t="shared" si="5281"/>
        <v>1</v>
      </c>
      <c r="N2640" s="62">
        <f t="shared" si="5281"/>
        <v>1</v>
      </c>
      <c r="O2640" s="62">
        <f t="shared" si="5281"/>
        <v>1</v>
      </c>
      <c r="P2640" s="62" t="str">
        <f t="shared" si="5281"/>
        <v/>
      </c>
      <c r="Q2640" s="62" t="str">
        <f t="shared" si="5281"/>
        <v/>
      </c>
      <c r="R2640" s="62">
        <f t="shared" si="7"/>
        <v>0</v>
      </c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</row>
    <row r="2641" hidden="1">
      <c r="A2641" s="60">
        <f>IFERROR(__xludf.DUMMYFUNCTION("""COMPUTED_VALUE"""),17751.0)</f>
        <v>17751</v>
      </c>
      <c r="B2641" s="60" t="str">
        <f>IFERROR(__xludf.DUMMYFUNCTION("""COMPUTED_VALUE"""),"Smith, Avery")</f>
        <v>Smith, Avery</v>
      </c>
      <c r="C2641" s="60" t="str">
        <f>IFERROR(__xludf.DUMMYFUNCTION("""COMPUTED_VALUE"""),"CB")</f>
        <v>CB</v>
      </c>
      <c r="D2641" s="60" t="str">
        <f>IFERROR(__xludf.DUMMYFUNCTION("""COMPUTED_VALUE"""),"SEA")</f>
        <v>SEA</v>
      </c>
      <c r="E2641" s="62" t="str">
        <f t="shared" si="5153"/>
        <v>Avery Smith</v>
      </c>
      <c r="F2641" s="62">
        <f t="shared" ref="F2641:G2641" si="5282">IF(isblank(F$1),,IF(isblank($A2641),,IFERROR(vlookup($A2641,indirect("'TVC-"&amp;text(month(F$1),"00")&amp;"'!$A:$D"),4,false),1)))</f>
        <v>1</v>
      </c>
      <c r="G2641" s="62">
        <f t="shared" si="5282"/>
        <v>1</v>
      </c>
      <c r="H2641" s="62">
        <f t="shared" ref="H2641:Q2641" si="5283">IF(isblank(H$1),,IFERROR(vlookup($A2641,indirect("'TVC-"&amp;text(month(H$1),"00")&amp;"'!$A:$D"),4,false),1))</f>
        <v>1</v>
      </c>
      <c r="I2641" s="62">
        <f t="shared" si="5283"/>
        <v>1</v>
      </c>
      <c r="J2641" s="62">
        <f t="shared" si="5283"/>
        <v>1</v>
      </c>
      <c r="K2641" s="62">
        <f t="shared" si="5283"/>
        <v>1</v>
      </c>
      <c r="L2641" s="62">
        <f t="shared" si="5283"/>
        <v>1</v>
      </c>
      <c r="M2641" s="62">
        <f t="shared" si="5283"/>
        <v>1</v>
      </c>
      <c r="N2641" s="62">
        <f t="shared" si="5283"/>
        <v>1</v>
      </c>
      <c r="O2641" s="62">
        <f t="shared" si="5283"/>
        <v>1</v>
      </c>
      <c r="P2641" s="62" t="str">
        <f t="shared" si="5283"/>
        <v/>
      </c>
      <c r="Q2641" s="62" t="str">
        <f t="shared" si="5283"/>
        <v/>
      </c>
      <c r="R2641" s="62">
        <f t="shared" si="7"/>
        <v>0</v>
      </c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</row>
    <row r="2642" hidden="1">
      <c r="A2642" s="60">
        <f>IFERROR(__xludf.DUMMYFUNCTION("""COMPUTED_VALUE"""),17752.0)</f>
        <v>17752</v>
      </c>
      <c r="B2642" s="60" t="str">
        <f>IFERROR(__xludf.DUMMYFUNCTION("""COMPUTED_VALUE"""),"Meyers, Dohnte")</f>
        <v>Meyers, Dohnte</v>
      </c>
      <c r="C2642" s="60" t="str">
        <f>IFERROR(__xludf.DUMMYFUNCTION("""COMPUTED_VALUE"""),"WR")</f>
        <v>WR</v>
      </c>
      <c r="D2642" s="60" t="str">
        <f>IFERROR(__xludf.DUMMYFUNCTION("""COMPUTED_VALUE"""),"CIN")</f>
        <v>CIN</v>
      </c>
      <c r="E2642" s="62" t="str">
        <f t="shared" si="5153"/>
        <v>Dohnte Meyers</v>
      </c>
      <c r="F2642" s="62">
        <f t="shared" ref="F2642:G2642" si="5284">IF(isblank(F$1),,IF(isblank($A2642),,IFERROR(vlookup($A2642,indirect("'TVC-"&amp;text(month(F$1),"00")&amp;"'!$A:$D"),4,false),1)))</f>
        <v>1</v>
      </c>
      <c r="G2642" s="62">
        <f t="shared" si="5284"/>
        <v>1</v>
      </c>
      <c r="H2642" s="62">
        <f t="shared" ref="H2642:Q2642" si="5285">IF(isblank(H$1),,IFERROR(vlookup($A2642,indirect("'TVC-"&amp;text(month(H$1),"00")&amp;"'!$A:$D"),4,false),1))</f>
        <v>1</v>
      </c>
      <c r="I2642" s="62">
        <f t="shared" si="5285"/>
        <v>1</v>
      </c>
      <c r="J2642" s="62">
        <f t="shared" si="5285"/>
        <v>1</v>
      </c>
      <c r="K2642" s="62">
        <f t="shared" si="5285"/>
        <v>1</v>
      </c>
      <c r="L2642" s="62">
        <f t="shared" si="5285"/>
        <v>1</v>
      </c>
      <c r="M2642" s="62">
        <f t="shared" si="5285"/>
        <v>1</v>
      </c>
      <c r="N2642" s="62">
        <f t="shared" si="5285"/>
        <v>586</v>
      </c>
      <c r="O2642" s="62">
        <f t="shared" si="5285"/>
        <v>1</v>
      </c>
      <c r="P2642" s="62" t="str">
        <f t="shared" si="5285"/>
        <v/>
      </c>
      <c r="Q2642" s="62" t="str">
        <f t="shared" si="5285"/>
        <v/>
      </c>
      <c r="R2642" s="62">
        <f t="shared" si="7"/>
        <v>-585</v>
      </c>
      <c r="S2642" s="62"/>
      <c r="T2642" s="62"/>
      <c r="U2642" s="62"/>
      <c r="V2642" s="62"/>
      <c r="W2642" s="62"/>
      <c r="X2642" s="62"/>
      <c r="Y2642" s="62"/>
      <c r="Z2642" s="62"/>
      <c r="AA2642" s="62"/>
      <c r="AB2642" s="62"/>
      <c r="AC2642" s="62"/>
    </row>
    <row r="2643" hidden="1">
      <c r="A2643" s="60">
        <f>IFERROR(__xludf.DUMMYFUNCTION("""COMPUTED_VALUE"""),17753.0)</f>
        <v>17753</v>
      </c>
      <c r="B2643" s="60" t="str">
        <f>IFERROR(__xludf.DUMMYFUNCTION("""COMPUTED_VALUE"""),"Thomas, Jacob")</f>
        <v>Thomas, Jacob</v>
      </c>
      <c r="C2643" s="60" t="str">
        <f>IFERROR(__xludf.DUMMYFUNCTION("""COMPUTED_VALUE"""),"S")</f>
        <v>S</v>
      </c>
      <c r="D2643" s="60" t="str">
        <f>IFERROR(__xludf.DUMMYFUNCTION("""COMPUTED_VALUE"""),"MIN")</f>
        <v>MIN</v>
      </c>
      <c r="E2643" s="62" t="str">
        <f t="shared" si="5153"/>
        <v>Jacob Thomas</v>
      </c>
      <c r="F2643" s="62">
        <f t="shared" ref="F2643:G2643" si="5286">IF(isblank(F$1),,IF(isblank($A2643),,IFERROR(vlookup($A2643,indirect("'TVC-"&amp;text(month(F$1),"00")&amp;"'!$A:$D"),4,false),1)))</f>
        <v>1</v>
      </c>
      <c r="G2643" s="62">
        <f t="shared" si="5286"/>
        <v>1</v>
      </c>
      <c r="H2643" s="62">
        <f t="shared" ref="H2643:Q2643" si="5287">IF(isblank(H$1),,IFERROR(vlookup($A2643,indirect("'TVC-"&amp;text(month(H$1),"00")&amp;"'!$A:$D"),4,false),1))</f>
        <v>1</v>
      </c>
      <c r="I2643" s="62">
        <f t="shared" si="5287"/>
        <v>1</v>
      </c>
      <c r="J2643" s="62">
        <f t="shared" si="5287"/>
        <v>1</v>
      </c>
      <c r="K2643" s="62">
        <f t="shared" si="5287"/>
        <v>1</v>
      </c>
      <c r="L2643" s="62">
        <f t="shared" si="5287"/>
        <v>1</v>
      </c>
      <c r="M2643" s="62">
        <f t="shared" si="5287"/>
        <v>1</v>
      </c>
      <c r="N2643" s="62">
        <f t="shared" si="5287"/>
        <v>1</v>
      </c>
      <c r="O2643" s="62">
        <f t="shared" si="5287"/>
        <v>1</v>
      </c>
      <c r="P2643" s="62" t="str">
        <f t="shared" si="5287"/>
        <v/>
      </c>
      <c r="Q2643" s="62" t="str">
        <f t="shared" si="5287"/>
        <v/>
      </c>
      <c r="R2643" s="62">
        <f t="shared" si="7"/>
        <v>0</v>
      </c>
      <c r="S2643" s="62"/>
      <c r="T2643" s="62"/>
      <c r="U2643" s="62"/>
      <c r="V2643" s="62"/>
      <c r="W2643" s="62"/>
      <c r="X2643" s="62"/>
      <c r="Y2643" s="62"/>
      <c r="Z2643" s="62"/>
      <c r="AA2643" s="62"/>
      <c r="AB2643" s="62"/>
      <c r="AC2643" s="62"/>
    </row>
    <row r="2644" hidden="1">
      <c r="A2644" s="60">
        <f>IFERROR(__xludf.DUMMYFUNCTION("""COMPUTED_VALUE"""),17754.0)</f>
        <v>17754</v>
      </c>
      <c r="B2644" s="60" t="str">
        <f>IFERROR(__xludf.DUMMYFUNCTION("""COMPUTED_VALUE"""),"Foster, Montorie")</f>
        <v>Foster, Montorie</v>
      </c>
      <c r="C2644" s="60" t="str">
        <f>IFERROR(__xludf.DUMMYFUNCTION("""COMPUTED_VALUE"""),"WR")</f>
        <v>WR</v>
      </c>
      <c r="D2644" s="60" t="str">
        <f>IFERROR(__xludf.DUMMYFUNCTION("""COMPUTED_VALUE"""),"SEA")</f>
        <v>SEA</v>
      </c>
      <c r="E2644" s="62" t="str">
        <f t="shared" si="5153"/>
        <v>Montorie Foster</v>
      </c>
      <c r="F2644" s="62">
        <f t="shared" ref="F2644:G2644" si="5288">IF(isblank(F$1),,IF(isblank($A2644),,IFERROR(vlookup($A2644,indirect("'TVC-"&amp;text(month(F$1),"00")&amp;"'!$A:$D"),4,false),1)))</f>
        <v>1</v>
      </c>
      <c r="G2644" s="62">
        <f t="shared" si="5288"/>
        <v>1</v>
      </c>
      <c r="H2644" s="62">
        <f t="shared" ref="H2644:Q2644" si="5289">IF(isblank(H$1),,IFERROR(vlookup($A2644,indirect("'TVC-"&amp;text(month(H$1),"00")&amp;"'!$A:$D"),4,false),1))</f>
        <v>1</v>
      </c>
      <c r="I2644" s="62">
        <f t="shared" si="5289"/>
        <v>1</v>
      </c>
      <c r="J2644" s="62">
        <f t="shared" si="5289"/>
        <v>1</v>
      </c>
      <c r="K2644" s="62">
        <f t="shared" si="5289"/>
        <v>1</v>
      </c>
      <c r="L2644" s="62">
        <f t="shared" si="5289"/>
        <v>1</v>
      </c>
      <c r="M2644" s="62">
        <f t="shared" si="5289"/>
        <v>1</v>
      </c>
      <c r="N2644" s="62">
        <f t="shared" si="5289"/>
        <v>1</v>
      </c>
      <c r="O2644" s="62">
        <f t="shared" si="5289"/>
        <v>1</v>
      </c>
      <c r="P2644" s="62" t="str">
        <f t="shared" si="5289"/>
        <v/>
      </c>
      <c r="Q2644" s="62" t="str">
        <f t="shared" si="5289"/>
        <v/>
      </c>
      <c r="R2644" s="62">
        <f t="shared" si="7"/>
        <v>0</v>
      </c>
      <c r="S2644" s="62"/>
      <c r="T2644" s="62"/>
      <c r="U2644" s="62"/>
      <c r="V2644" s="62"/>
      <c r="W2644" s="62"/>
      <c r="X2644" s="62"/>
      <c r="Y2644" s="62"/>
      <c r="Z2644" s="62"/>
      <c r="AA2644" s="62"/>
      <c r="AB2644" s="62"/>
      <c r="AC2644" s="62"/>
    </row>
    <row r="2645" hidden="1">
      <c r="A2645" s="60">
        <f>IFERROR(__xludf.DUMMYFUNCTION("""COMPUTED_VALUE"""),17755.0)</f>
        <v>17755</v>
      </c>
      <c r="B2645" s="60" t="str">
        <f>IFERROR(__xludf.DUMMYFUNCTION("""COMPUTED_VALUE"""),"Nwankpa, Xavier")</f>
        <v>Nwankpa, Xavier</v>
      </c>
      <c r="C2645" s="60" t="str">
        <f>IFERROR(__xludf.DUMMYFUNCTION("""COMPUTED_VALUE"""),"S")</f>
        <v>S</v>
      </c>
      <c r="D2645" s="60" t="str">
        <f>IFERROR(__xludf.DUMMYFUNCTION("""COMPUTED_VALUE"""),"KCC")</f>
        <v>KCC</v>
      </c>
      <c r="E2645" s="62" t="str">
        <f t="shared" si="5153"/>
        <v>Xavier Nwankpa</v>
      </c>
      <c r="F2645" s="62">
        <f t="shared" ref="F2645:G2645" si="5290">IF(isblank(F$1),,IF(isblank($A2645),,IFERROR(vlookup($A2645,indirect("'TVC-"&amp;text(month(F$1),"00")&amp;"'!$A:$D"),4,false),1)))</f>
        <v>1</v>
      </c>
      <c r="G2645" s="62">
        <f t="shared" si="5290"/>
        <v>1</v>
      </c>
      <c r="H2645" s="62">
        <f t="shared" ref="H2645:Q2645" si="5291">IF(isblank(H$1),,IFERROR(vlookup($A2645,indirect("'TVC-"&amp;text(month(H$1),"00")&amp;"'!$A:$D"),4,false),1))</f>
        <v>1</v>
      </c>
      <c r="I2645" s="62">
        <f t="shared" si="5291"/>
        <v>1</v>
      </c>
      <c r="J2645" s="62">
        <f t="shared" si="5291"/>
        <v>1</v>
      </c>
      <c r="K2645" s="62">
        <f t="shared" si="5291"/>
        <v>1</v>
      </c>
      <c r="L2645" s="62">
        <f t="shared" si="5291"/>
        <v>1</v>
      </c>
      <c r="M2645" s="62">
        <f t="shared" si="5291"/>
        <v>1</v>
      </c>
      <c r="N2645" s="62">
        <f t="shared" si="5291"/>
        <v>1</v>
      </c>
      <c r="O2645" s="62">
        <f t="shared" si="5291"/>
        <v>1</v>
      </c>
      <c r="P2645" s="62" t="str">
        <f t="shared" si="5291"/>
        <v/>
      </c>
      <c r="Q2645" s="62" t="str">
        <f t="shared" si="5291"/>
        <v/>
      </c>
      <c r="R2645" s="62">
        <f t="shared" si="7"/>
        <v>0</v>
      </c>
      <c r="S2645" s="62"/>
      <c r="T2645" s="62"/>
      <c r="U2645" s="62"/>
      <c r="V2645" s="62"/>
      <c r="W2645" s="62"/>
      <c r="X2645" s="62"/>
      <c r="Y2645" s="62"/>
      <c r="Z2645" s="62"/>
      <c r="AA2645" s="62"/>
      <c r="AB2645" s="62"/>
      <c r="AC2645" s="62"/>
    </row>
    <row r="2646" hidden="1">
      <c r="A2646" s="60">
        <f>IFERROR(__xludf.DUMMYFUNCTION("""COMPUTED_VALUE"""),17756.0)</f>
        <v>17756</v>
      </c>
      <c r="B2646" s="60" t="str">
        <f>IFERROR(__xludf.DUMMYFUNCTION("""COMPUTED_VALUE"""),"Nixon, Jaden")</f>
        <v>Nixon, Jaden</v>
      </c>
      <c r="C2646" s="60" t="str">
        <f>IFERROR(__xludf.DUMMYFUNCTION("""COMPUTED_VALUE"""),"RB")</f>
        <v>RB</v>
      </c>
      <c r="D2646" s="60" t="str">
        <f>IFERROR(__xludf.DUMMYFUNCTION("""COMPUTED_VALUE"""),"FA")</f>
        <v>FA</v>
      </c>
      <c r="E2646" s="62" t="str">
        <f t="shared" si="5153"/>
        <v>Jaden Nixon</v>
      </c>
      <c r="F2646" s="62">
        <f t="shared" ref="F2646:G2646" si="5292">IF(isblank(F$1),,IF(isblank($A2646),,IFERROR(vlookup($A2646,indirect("'TVC-"&amp;text(month(F$1),"00")&amp;"'!$A:$D"),4,false),1)))</f>
        <v>1</v>
      </c>
      <c r="G2646" s="62">
        <f t="shared" si="5292"/>
        <v>1</v>
      </c>
      <c r="H2646" s="62">
        <f t="shared" ref="H2646:Q2646" si="5293">IF(isblank(H$1),,IFERROR(vlookup($A2646,indirect("'TVC-"&amp;text(month(H$1),"00")&amp;"'!$A:$D"),4,false),1))</f>
        <v>1</v>
      </c>
      <c r="I2646" s="62">
        <f t="shared" si="5293"/>
        <v>1</v>
      </c>
      <c r="J2646" s="62">
        <f t="shared" si="5293"/>
        <v>1</v>
      </c>
      <c r="K2646" s="62">
        <f t="shared" si="5293"/>
        <v>1</v>
      </c>
      <c r="L2646" s="62">
        <f t="shared" si="5293"/>
        <v>1</v>
      </c>
      <c r="M2646" s="62">
        <f t="shared" si="5293"/>
        <v>1</v>
      </c>
      <c r="N2646" s="62">
        <f t="shared" si="5293"/>
        <v>1</v>
      </c>
      <c r="O2646" s="62">
        <f t="shared" si="5293"/>
        <v>1</v>
      </c>
      <c r="P2646" s="62" t="str">
        <f t="shared" si="5293"/>
        <v/>
      </c>
      <c r="Q2646" s="62" t="str">
        <f t="shared" si="5293"/>
        <v/>
      </c>
      <c r="R2646" s="62">
        <f t="shared" si="7"/>
        <v>0</v>
      </c>
      <c r="S2646" s="62"/>
      <c r="T2646" s="62"/>
      <c r="U2646" s="62"/>
      <c r="V2646" s="62"/>
      <c r="W2646" s="62"/>
      <c r="X2646" s="62"/>
      <c r="Y2646" s="62"/>
      <c r="Z2646" s="62"/>
      <c r="AA2646" s="62"/>
      <c r="AB2646" s="62"/>
      <c r="AC2646" s="62"/>
    </row>
    <row r="2647" hidden="1">
      <c r="A2647" s="60">
        <f>IFERROR(__xludf.DUMMYFUNCTION("""COMPUTED_VALUE"""),17757.0)</f>
        <v>17757</v>
      </c>
      <c r="B2647" s="60" t="str">
        <f>IFERROR(__xludf.DUMMYFUNCTION("""COMPUTED_VALUE"""),"Maclin, Ja'Mori")</f>
        <v>Maclin, Ja'Mori</v>
      </c>
      <c r="C2647" s="60" t="str">
        <f>IFERROR(__xludf.DUMMYFUNCTION("""COMPUTED_VALUE"""),"WR")</f>
        <v>WR</v>
      </c>
      <c r="D2647" s="60" t="str">
        <f>IFERROR(__xludf.DUMMYFUNCTION("""COMPUTED_VALUE"""),"BUF")</f>
        <v>BUF</v>
      </c>
      <c r="E2647" s="62" t="str">
        <f t="shared" si="5153"/>
        <v>Ja'Mori Maclin</v>
      </c>
      <c r="F2647" s="62">
        <f t="shared" ref="F2647:G2647" si="5294">IF(isblank(F$1),,IF(isblank($A2647),,IFERROR(vlookup($A2647,indirect("'TVC-"&amp;text(month(F$1),"00")&amp;"'!$A:$D"),4,false),1)))</f>
        <v>1</v>
      </c>
      <c r="G2647" s="62">
        <f t="shared" si="5294"/>
        <v>1</v>
      </c>
      <c r="H2647" s="62">
        <f t="shared" ref="H2647:Q2647" si="5295">IF(isblank(H$1),,IFERROR(vlookup($A2647,indirect("'TVC-"&amp;text(month(H$1),"00")&amp;"'!$A:$D"),4,false),1))</f>
        <v>1</v>
      </c>
      <c r="I2647" s="62">
        <f t="shared" si="5295"/>
        <v>1</v>
      </c>
      <c r="J2647" s="62">
        <f t="shared" si="5295"/>
        <v>1</v>
      </c>
      <c r="K2647" s="62">
        <f t="shared" si="5295"/>
        <v>1</v>
      </c>
      <c r="L2647" s="62">
        <f t="shared" si="5295"/>
        <v>1</v>
      </c>
      <c r="M2647" s="62">
        <f t="shared" si="5295"/>
        <v>1</v>
      </c>
      <c r="N2647" s="62">
        <f t="shared" si="5295"/>
        <v>1</v>
      </c>
      <c r="O2647" s="62">
        <f t="shared" si="5295"/>
        <v>1</v>
      </c>
      <c r="P2647" s="62" t="str">
        <f t="shared" si="5295"/>
        <v/>
      </c>
      <c r="Q2647" s="62" t="str">
        <f t="shared" si="5295"/>
        <v/>
      </c>
      <c r="R2647" s="62">
        <f t="shared" si="7"/>
        <v>0</v>
      </c>
      <c r="S2647" s="62"/>
      <c r="T2647" s="62"/>
      <c r="U2647" s="62"/>
      <c r="V2647" s="62"/>
      <c r="W2647" s="62"/>
      <c r="X2647" s="62"/>
      <c r="Y2647" s="62"/>
      <c r="Z2647" s="62"/>
      <c r="AA2647" s="62"/>
      <c r="AB2647" s="62"/>
      <c r="AC2647" s="62"/>
    </row>
    <row r="2648" hidden="1">
      <c r="A2648" s="60">
        <f>IFERROR(__xludf.DUMMYFUNCTION("""COMPUTED_VALUE"""),17758.0)</f>
        <v>17758</v>
      </c>
      <c r="B2648" s="60" t="str">
        <f>IFERROR(__xludf.DUMMYFUNCTION("""COMPUTED_VALUE"""),"Weru, Joshua")</f>
        <v>Weru, Joshua</v>
      </c>
      <c r="C2648" s="60" t="str">
        <f>IFERROR(__xludf.DUMMYFUNCTION("""COMPUTED_VALUE"""),"LB")</f>
        <v>LB</v>
      </c>
      <c r="D2648" s="60" t="str">
        <f>IFERROR(__xludf.DUMMYFUNCTION("""COMPUTED_VALUE"""),"PHI")</f>
        <v>PHI</v>
      </c>
      <c r="E2648" s="62" t="str">
        <f t="shared" si="5153"/>
        <v>Joshua Weru</v>
      </c>
      <c r="F2648" s="62">
        <f t="shared" ref="F2648:G2648" si="5296">IF(isblank(F$1),,IF(isblank($A2648),,IFERROR(vlookup($A2648,indirect("'TVC-"&amp;text(month(F$1),"00")&amp;"'!$A:$D"),4,false),1)))</f>
        <v>1</v>
      </c>
      <c r="G2648" s="62">
        <f t="shared" si="5296"/>
        <v>1</v>
      </c>
      <c r="H2648" s="62">
        <f t="shared" ref="H2648:Q2648" si="5297">IF(isblank(H$1),,IFERROR(vlookup($A2648,indirect("'TVC-"&amp;text(month(H$1),"00")&amp;"'!$A:$D"),4,false),1))</f>
        <v>1</v>
      </c>
      <c r="I2648" s="62">
        <f t="shared" si="5297"/>
        <v>1</v>
      </c>
      <c r="J2648" s="62">
        <f t="shared" si="5297"/>
        <v>1</v>
      </c>
      <c r="K2648" s="62">
        <f t="shared" si="5297"/>
        <v>1</v>
      </c>
      <c r="L2648" s="62">
        <f t="shared" si="5297"/>
        <v>1</v>
      </c>
      <c r="M2648" s="62">
        <f t="shared" si="5297"/>
        <v>1</v>
      </c>
      <c r="N2648" s="62">
        <f t="shared" si="5297"/>
        <v>1</v>
      </c>
      <c r="O2648" s="62">
        <f t="shared" si="5297"/>
        <v>1</v>
      </c>
      <c r="P2648" s="62" t="str">
        <f t="shared" si="5297"/>
        <v/>
      </c>
      <c r="Q2648" s="62" t="str">
        <f t="shared" si="5297"/>
        <v/>
      </c>
      <c r="R2648" s="62">
        <f t="shared" si="7"/>
        <v>0</v>
      </c>
      <c r="S2648" s="62"/>
      <c r="T2648" s="62"/>
      <c r="U2648" s="62"/>
      <c r="V2648" s="62"/>
      <c r="W2648" s="62"/>
      <c r="X2648" s="62"/>
      <c r="Y2648" s="62"/>
      <c r="Z2648" s="62"/>
      <c r="AA2648" s="62"/>
      <c r="AB2648" s="62"/>
      <c r="AC2648" s="62"/>
    </row>
    <row r="2649" hidden="1">
      <c r="A2649" s="60">
        <f>IFERROR(__xludf.DUMMYFUNCTION("""COMPUTED_VALUE"""),17759.0)</f>
        <v>17759</v>
      </c>
      <c r="B2649" s="60" t="str">
        <f>IFERROR(__xludf.DUMMYFUNCTION("""COMPUTED_VALUE"""),"Dinkins, Khalil")</f>
        <v>Dinkins, Khalil</v>
      </c>
      <c r="C2649" s="60" t="str">
        <f>IFERROR(__xludf.DUMMYFUNCTION("""COMPUTED_VALUE"""),"TE")</f>
        <v>TE</v>
      </c>
      <c r="D2649" s="60" t="str">
        <f>IFERROR(__xludf.DUMMYFUNCTION("""COMPUTED_VALUE"""),"SFO")</f>
        <v>SFO</v>
      </c>
      <c r="E2649" s="62" t="str">
        <f t="shared" si="5153"/>
        <v>Khalil Dinkins</v>
      </c>
      <c r="F2649" s="62">
        <f t="shared" ref="F2649:G2649" si="5298">IF(isblank(F$1),,IF(isblank($A2649),,IFERROR(vlookup($A2649,indirect("'TVC-"&amp;text(month(F$1),"00")&amp;"'!$A:$D"),4,false),1)))</f>
        <v>1</v>
      </c>
      <c r="G2649" s="62">
        <f t="shared" si="5298"/>
        <v>1</v>
      </c>
      <c r="H2649" s="62">
        <f t="shared" ref="H2649:Q2649" si="5299">IF(isblank(H$1),,IFERROR(vlookup($A2649,indirect("'TVC-"&amp;text(month(H$1),"00")&amp;"'!$A:$D"),4,false),1))</f>
        <v>1</v>
      </c>
      <c r="I2649" s="62">
        <f t="shared" si="5299"/>
        <v>1</v>
      </c>
      <c r="J2649" s="62">
        <f t="shared" si="5299"/>
        <v>1</v>
      </c>
      <c r="K2649" s="62">
        <f t="shared" si="5299"/>
        <v>1</v>
      </c>
      <c r="L2649" s="62">
        <f t="shared" si="5299"/>
        <v>1</v>
      </c>
      <c r="M2649" s="62">
        <f t="shared" si="5299"/>
        <v>1</v>
      </c>
      <c r="N2649" s="62">
        <f t="shared" si="5299"/>
        <v>1</v>
      </c>
      <c r="O2649" s="62">
        <f t="shared" si="5299"/>
        <v>1</v>
      </c>
      <c r="P2649" s="62" t="str">
        <f t="shared" si="5299"/>
        <v/>
      </c>
      <c r="Q2649" s="62" t="str">
        <f t="shared" si="5299"/>
        <v/>
      </c>
      <c r="R2649" s="62">
        <f t="shared" si="7"/>
        <v>0</v>
      </c>
      <c r="S2649" s="62"/>
      <c r="T2649" s="62"/>
      <c r="U2649" s="62"/>
      <c r="V2649" s="62"/>
      <c r="W2649" s="62"/>
      <c r="X2649" s="62"/>
      <c r="Y2649" s="62"/>
      <c r="Z2649" s="62"/>
      <c r="AA2649" s="62"/>
      <c r="AB2649" s="62"/>
      <c r="AC2649" s="62"/>
    </row>
    <row r="2650" hidden="1">
      <c r="A2650" s="60">
        <f>IFERROR(__xludf.DUMMYFUNCTION("""COMPUTED_VALUE"""),17760.0)</f>
        <v>17760</v>
      </c>
      <c r="B2650" s="60" t="str">
        <f>IFERROR(__xludf.DUMMYFUNCTION("""COMPUTED_VALUE"""),"Fagnano, Joe")</f>
        <v>Fagnano, Joe</v>
      </c>
      <c r="C2650" s="60" t="str">
        <f>IFERROR(__xludf.DUMMYFUNCTION("""COMPUTED_VALUE"""),"QB")</f>
        <v>QB</v>
      </c>
      <c r="D2650" s="60" t="str">
        <f>IFERROR(__xludf.DUMMYFUNCTION("""COMPUTED_VALUE"""),"BAL")</f>
        <v>BAL</v>
      </c>
      <c r="E2650" s="62" t="str">
        <f t="shared" si="5153"/>
        <v>Joe Fagnano</v>
      </c>
      <c r="F2650" s="62">
        <f t="shared" ref="F2650:G2650" si="5300">IF(isblank(F$1),,IF(isblank($A2650),,IFERROR(vlookup($A2650,indirect("'TVC-"&amp;text(month(F$1),"00")&amp;"'!$A:$D"),4,false),1)))</f>
        <v>1</v>
      </c>
      <c r="G2650" s="62">
        <f t="shared" si="5300"/>
        <v>1</v>
      </c>
      <c r="H2650" s="62">
        <f t="shared" ref="H2650:Q2650" si="5301">IF(isblank(H$1),,IFERROR(vlookup($A2650,indirect("'TVC-"&amp;text(month(H$1),"00")&amp;"'!$A:$D"),4,false),1))</f>
        <v>1</v>
      </c>
      <c r="I2650" s="62">
        <f t="shared" si="5301"/>
        <v>1</v>
      </c>
      <c r="J2650" s="62">
        <f t="shared" si="5301"/>
        <v>1</v>
      </c>
      <c r="K2650" s="62">
        <f t="shared" si="5301"/>
        <v>1</v>
      </c>
      <c r="L2650" s="62">
        <f t="shared" si="5301"/>
        <v>1</v>
      </c>
      <c r="M2650" s="62">
        <f t="shared" si="5301"/>
        <v>1</v>
      </c>
      <c r="N2650" s="62">
        <f t="shared" si="5301"/>
        <v>1</v>
      </c>
      <c r="O2650" s="62">
        <f t="shared" si="5301"/>
        <v>1</v>
      </c>
      <c r="P2650" s="62" t="str">
        <f t="shared" si="5301"/>
        <v/>
      </c>
      <c r="Q2650" s="62" t="str">
        <f t="shared" si="5301"/>
        <v/>
      </c>
      <c r="R2650" s="62">
        <f t="shared" si="7"/>
        <v>0</v>
      </c>
      <c r="S2650" s="62"/>
      <c r="T2650" s="62"/>
      <c r="U2650" s="62"/>
      <c r="V2650" s="62"/>
      <c r="W2650" s="62"/>
      <c r="X2650" s="62"/>
      <c r="Y2650" s="62"/>
      <c r="Z2650" s="62"/>
      <c r="AA2650" s="62"/>
      <c r="AB2650" s="62"/>
      <c r="AC2650" s="62"/>
    </row>
    <row r="2651" hidden="1">
      <c r="A2651" s="60">
        <f>IFERROR(__xludf.DUMMYFUNCTION("""COMPUTED_VALUE"""),17761.0)</f>
        <v>17761</v>
      </c>
      <c r="B2651" s="60" t="str">
        <f>IFERROR(__xludf.DUMMYFUNCTION("""COMPUTED_VALUE"""),"Thorson, Brett")</f>
        <v>Thorson, Brett</v>
      </c>
      <c r="C2651" s="60" t="str">
        <f>IFERROR(__xludf.DUMMYFUNCTION("""COMPUTED_VALUE"""),"PN")</f>
        <v>PN</v>
      </c>
      <c r="D2651" s="60" t="str">
        <f>IFERROR(__xludf.DUMMYFUNCTION("""COMPUTED_VALUE"""),"MIN")</f>
        <v>MIN</v>
      </c>
      <c r="E2651" s="62" t="str">
        <f t="shared" si="5153"/>
        <v>Brett Thorson</v>
      </c>
      <c r="F2651" s="62">
        <f t="shared" ref="F2651:G2651" si="5302">IF(isblank(F$1),,IF(isblank($A2651),,IFERROR(vlookup($A2651,indirect("'TVC-"&amp;text(month(F$1),"00")&amp;"'!$A:$D"),4,false),1)))</f>
        <v>1</v>
      </c>
      <c r="G2651" s="62">
        <f t="shared" si="5302"/>
        <v>1</v>
      </c>
      <c r="H2651" s="62">
        <f t="shared" ref="H2651:Q2651" si="5303">IF(isblank(H$1),,IFERROR(vlookup($A2651,indirect("'TVC-"&amp;text(month(H$1),"00")&amp;"'!$A:$D"),4,false),1))</f>
        <v>1</v>
      </c>
      <c r="I2651" s="62">
        <f t="shared" si="5303"/>
        <v>1</v>
      </c>
      <c r="J2651" s="62">
        <f t="shared" si="5303"/>
        <v>1</v>
      </c>
      <c r="K2651" s="62">
        <f t="shared" si="5303"/>
        <v>1</v>
      </c>
      <c r="L2651" s="62">
        <f t="shared" si="5303"/>
        <v>1</v>
      </c>
      <c r="M2651" s="62">
        <f t="shared" si="5303"/>
        <v>1</v>
      </c>
      <c r="N2651" s="62">
        <f t="shared" si="5303"/>
        <v>1</v>
      </c>
      <c r="O2651" s="62">
        <f t="shared" si="5303"/>
        <v>1</v>
      </c>
      <c r="P2651" s="62" t="str">
        <f t="shared" si="5303"/>
        <v/>
      </c>
      <c r="Q2651" s="62" t="str">
        <f t="shared" si="5303"/>
        <v/>
      </c>
      <c r="R2651" s="62">
        <f t="shared" si="7"/>
        <v>0</v>
      </c>
      <c r="S2651" s="62"/>
      <c r="T2651" s="62"/>
      <c r="U2651" s="62"/>
      <c r="V2651" s="62"/>
      <c r="W2651" s="62"/>
      <c r="X2651" s="62"/>
      <c r="Y2651" s="62"/>
      <c r="Z2651" s="62"/>
      <c r="AA2651" s="62"/>
      <c r="AB2651" s="62"/>
      <c r="AC2651" s="62"/>
    </row>
    <row r="2652" hidden="1">
      <c r="A2652" s="60">
        <f>IFERROR(__xludf.DUMMYFUNCTION("""COMPUTED_VALUE"""),17762.0)</f>
        <v>17762</v>
      </c>
      <c r="B2652" s="60" t="str">
        <f>IFERROR(__xludf.DUMMYFUNCTION("""COMPUTED_VALUE"""),"Garnes, Ayden")</f>
        <v>Garnes, Ayden</v>
      </c>
      <c r="C2652" s="60" t="str">
        <f>IFERROR(__xludf.DUMMYFUNCTION("""COMPUTED_VALUE"""),"CB")</f>
        <v>CB</v>
      </c>
      <c r="D2652" s="60" t="str">
        <f>IFERROR(__xludf.DUMMYFUNCTION("""COMPUTED_VALUE"""),"TBB")</f>
        <v>TBB</v>
      </c>
      <c r="E2652" s="62" t="str">
        <f t="shared" si="5153"/>
        <v>Ayden Garnes</v>
      </c>
      <c r="F2652" s="62">
        <f t="shared" ref="F2652:G2652" si="5304">IF(isblank(F$1),,IF(isblank($A2652),,IFERROR(vlookup($A2652,indirect("'TVC-"&amp;text(month(F$1),"00")&amp;"'!$A:$D"),4,false),1)))</f>
        <v>1</v>
      </c>
      <c r="G2652" s="62">
        <f t="shared" si="5304"/>
        <v>1</v>
      </c>
      <c r="H2652" s="62">
        <f t="shared" ref="H2652:Q2652" si="5305">IF(isblank(H$1),,IFERROR(vlookup($A2652,indirect("'TVC-"&amp;text(month(H$1),"00")&amp;"'!$A:$D"),4,false),1))</f>
        <v>1</v>
      </c>
      <c r="I2652" s="62">
        <f t="shared" si="5305"/>
        <v>1</v>
      </c>
      <c r="J2652" s="62">
        <f t="shared" si="5305"/>
        <v>1</v>
      </c>
      <c r="K2652" s="62">
        <f t="shared" si="5305"/>
        <v>1</v>
      </c>
      <c r="L2652" s="62">
        <f t="shared" si="5305"/>
        <v>1</v>
      </c>
      <c r="M2652" s="62">
        <f t="shared" si="5305"/>
        <v>1</v>
      </c>
      <c r="N2652" s="62">
        <f t="shared" si="5305"/>
        <v>1</v>
      </c>
      <c r="O2652" s="62">
        <f t="shared" si="5305"/>
        <v>1</v>
      </c>
      <c r="P2652" s="62" t="str">
        <f t="shared" si="5305"/>
        <v/>
      </c>
      <c r="Q2652" s="62" t="str">
        <f t="shared" si="5305"/>
        <v/>
      </c>
      <c r="R2652" s="62">
        <f t="shared" si="7"/>
        <v>0</v>
      </c>
      <c r="S2652" s="62"/>
      <c r="T2652" s="62"/>
      <c r="U2652" s="62"/>
      <c r="V2652" s="62"/>
      <c r="W2652" s="62"/>
      <c r="X2652" s="62"/>
      <c r="Y2652" s="62"/>
      <c r="Z2652" s="62"/>
      <c r="AA2652" s="62"/>
      <c r="AB2652" s="62"/>
      <c r="AC2652" s="62"/>
    </row>
    <row r="2653" hidden="1">
      <c r="A2653" s="60">
        <f>IFERROR(__xludf.DUMMYFUNCTION("""COMPUTED_VALUE"""),17763.0)</f>
        <v>17763</v>
      </c>
      <c r="B2653" s="60" t="str">
        <f>IFERROR(__xludf.DUMMYFUNCTION("""COMPUTED_VALUE"""),"Fordham, Caden")</f>
        <v>Fordham, Caden</v>
      </c>
      <c r="C2653" s="60" t="str">
        <f>IFERROR(__xludf.DUMMYFUNCTION("""COMPUTED_VALUE"""),"LB")</f>
        <v>LB</v>
      </c>
      <c r="D2653" s="60" t="str">
        <f>IFERROR(__xludf.DUMMYFUNCTION("""COMPUTED_VALUE"""),"TBB")</f>
        <v>TBB</v>
      </c>
      <c r="E2653" s="62" t="str">
        <f t="shared" si="5153"/>
        <v>Caden Fordham</v>
      </c>
      <c r="F2653" s="62">
        <f t="shared" ref="F2653:G2653" si="5306">IF(isblank(F$1),,IF(isblank($A2653),,IFERROR(vlookup($A2653,indirect("'TVC-"&amp;text(month(F$1),"00")&amp;"'!$A:$D"),4,false),1)))</f>
        <v>1</v>
      </c>
      <c r="G2653" s="62">
        <f t="shared" si="5306"/>
        <v>1</v>
      </c>
      <c r="H2653" s="62">
        <f t="shared" ref="H2653:Q2653" si="5307">IF(isblank(H$1),,IFERROR(vlookup($A2653,indirect("'TVC-"&amp;text(month(H$1),"00")&amp;"'!$A:$D"),4,false),1))</f>
        <v>1</v>
      </c>
      <c r="I2653" s="62">
        <f t="shared" si="5307"/>
        <v>1</v>
      </c>
      <c r="J2653" s="62">
        <f t="shared" si="5307"/>
        <v>1</v>
      </c>
      <c r="K2653" s="62">
        <f t="shared" si="5307"/>
        <v>1</v>
      </c>
      <c r="L2653" s="62">
        <f t="shared" si="5307"/>
        <v>1</v>
      </c>
      <c r="M2653" s="62">
        <f t="shared" si="5307"/>
        <v>1</v>
      </c>
      <c r="N2653" s="62">
        <f t="shared" si="5307"/>
        <v>1</v>
      </c>
      <c r="O2653" s="62">
        <f t="shared" si="5307"/>
        <v>1</v>
      </c>
      <c r="P2653" s="62" t="str">
        <f t="shared" si="5307"/>
        <v/>
      </c>
      <c r="Q2653" s="62" t="str">
        <f t="shared" si="5307"/>
        <v/>
      </c>
      <c r="R2653" s="62">
        <f t="shared" si="7"/>
        <v>0</v>
      </c>
      <c r="S2653" s="62"/>
      <c r="T2653" s="62"/>
      <c r="U2653" s="62"/>
      <c r="V2653" s="62"/>
      <c r="W2653" s="62"/>
      <c r="X2653" s="62"/>
      <c r="Y2653" s="62"/>
      <c r="Z2653" s="62"/>
      <c r="AA2653" s="62"/>
      <c r="AB2653" s="62"/>
      <c r="AC2653" s="62"/>
    </row>
    <row r="2654" hidden="1">
      <c r="A2654" s="60">
        <f>IFERROR(__xludf.DUMMYFUNCTION("""COMPUTED_VALUE"""),17764.0)</f>
        <v>17764</v>
      </c>
      <c r="B2654" s="60" t="str">
        <f>IFERROR(__xludf.DUMMYFUNCTION("""COMPUTED_VALUE"""),"Thomas Jr., Bryan")</f>
        <v>Thomas Jr., Bryan</v>
      </c>
      <c r="C2654" s="60" t="str">
        <f>IFERROR(__xludf.DUMMYFUNCTION("""COMPUTED_VALUE"""),"DE")</f>
        <v>DE</v>
      </c>
      <c r="D2654" s="60" t="str">
        <f>IFERROR(__xludf.DUMMYFUNCTION("""COMPUTED_VALUE"""),"JAC")</f>
        <v>JAC</v>
      </c>
      <c r="E2654" s="62" t="str">
        <f t="shared" si="5153"/>
        <v>Bryan Thomas Jr.</v>
      </c>
      <c r="F2654" s="62">
        <f t="shared" ref="F2654:G2654" si="5308">IF(isblank(F$1),,IF(isblank($A2654),,IFERROR(vlookup($A2654,indirect("'TVC-"&amp;text(month(F$1),"00")&amp;"'!$A:$D"),4,false),1)))</f>
        <v>1</v>
      </c>
      <c r="G2654" s="62">
        <f t="shared" si="5308"/>
        <v>1</v>
      </c>
      <c r="H2654" s="62">
        <f t="shared" ref="H2654:Q2654" si="5309">IF(isblank(H$1),,IFERROR(vlookup($A2654,indirect("'TVC-"&amp;text(month(H$1),"00")&amp;"'!$A:$D"),4,false),1))</f>
        <v>1</v>
      </c>
      <c r="I2654" s="62">
        <f t="shared" si="5309"/>
        <v>1</v>
      </c>
      <c r="J2654" s="62">
        <f t="shared" si="5309"/>
        <v>1</v>
      </c>
      <c r="K2654" s="62">
        <f t="shared" si="5309"/>
        <v>1</v>
      </c>
      <c r="L2654" s="62">
        <f t="shared" si="5309"/>
        <v>1</v>
      </c>
      <c r="M2654" s="62">
        <f t="shared" si="5309"/>
        <v>1</v>
      </c>
      <c r="N2654" s="62">
        <f t="shared" si="5309"/>
        <v>1</v>
      </c>
      <c r="O2654" s="62">
        <f t="shared" si="5309"/>
        <v>1</v>
      </c>
      <c r="P2654" s="62" t="str">
        <f t="shared" si="5309"/>
        <v/>
      </c>
      <c r="Q2654" s="62" t="str">
        <f t="shared" si="5309"/>
        <v/>
      </c>
      <c r="R2654" s="62">
        <f t="shared" si="7"/>
        <v>0</v>
      </c>
      <c r="S2654" s="62"/>
      <c r="T2654" s="62"/>
      <c r="U2654" s="62"/>
      <c r="V2654" s="62"/>
      <c r="W2654" s="62"/>
      <c r="X2654" s="62"/>
      <c r="Y2654" s="62"/>
      <c r="Z2654" s="62"/>
      <c r="AA2654" s="62"/>
      <c r="AB2654" s="62"/>
      <c r="AC2654" s="62"/>
    </row>
    <row r="2655" hidden="1">
      <c r="A2655" s="60">
        <f>IFERROR(__xludf.DUMMYFUNCTION("""COMPUTED_VALUE"""),17765.0)</f>
        <v>17765</v>
      </c>
      <c r="B2655" s="60" t="str">
        <f>IFERROR(__xludf.DUMMYFUNCTION("""COMPUTED_VALUE"""),"Campbell, Anthony")</f>
        <v>Campbell, Anthony</v>
      </c>
      <c r="C2655" s="60" t="str">
        <f>IFERROR(__xludf.DUMMYFUNCTION("""COMPUTED_VALUE"""),"DT")</f>
        <v>DT</v>
      </c>
      <c r="D2655" s="60" t="str">
        <f>IFERROR(__xludf.DUMMYFUNCTION("""COMPUTED_VALUE"""),"GBP")</f>
        <v>GBP</v>
      </c>
      <c r="E2655" s="62" t="str">
        <f t="shared" si="5153"/>
        <v>Anthony Campbell</v>
      </c>
      <c r="F2655" s="62">
        <f t="shared" ref="F2655:G2655" si="5310">IF(isblank(F$1),,IF(isblank($A2655),,IFERROR(vlookup($A2655,indirect("'TVC-"&amp;text(month(F$1),"00")&amp;"'!$A:$D"),4,false),1)))</f>
        <v>1</v>
      </c>
      <c r="G2655" s="62">
        <f t="shared" si="5310"/>
        <v>1</v>
      </c>
      <c r="H2655" s="62">
        <f t="shared" ref="H2655:Q2655" si="5311">IF(isblank(H$1),,IFERROR(vlookup($A2655,indirect("'TVC-"&amp;text(month(H$1),"00")&amp;"'!$A:$D"),4,false),1))</f>
        <v>1</v>
      </c>
      <c r="I2655" s="62">
        <f t="shared" si="5311"/>
        <v>1</v>
      </c>
      <c r="J2655" s="62">
        <f t="shared" si="5311"/>
        <v>1</v>
      </c>
      <c r="K2655" s="62">
        <f t="shared" si="5311"/>
        <v>1</v>
      </c>
      <c r="L2655" s="62">
        <f t="shared" si="5311"/>
        <v>1</v>
      </c>
      <c r="M2655" s="62">
        <f t="shared" si="5311"/>
        <v>1</v>
      </c>
      <c r="N2655" s="62">
        <f t="shared" si="5311"/>
        <v>1</v>
      </c>
      <c r="O2655" s="62">
        <f t="shared" si="5311"/>
        <v>1</v>
      </c>
      <c r="P2655" s="62" t="str">
        <f t="shared" si="5311"/>
        <v/>
      </c>
      <c r="Q2655" s="62" t="str">
        <f t="shared" si="5311"/>
        <v/>
      </c>
      <c r="R2655" s="62">
        <f t="shared" si="7"/>
        <v>0</v>
      </c>
      <c r="S2655" s="62"/>
      <c r="T2655" s="62"/>
      <c r="U2655" s="62"/>
      <c r="V2655" s="62"/>
      <c r="W2655" s="62"/>
      <c r="X2655" s="62"/>
      <c r="Y2655" s="62"/>
      <c r="Z2655" s="62"/>
      <c r="AA2655" s="62"/>
      <c r="AB2655" s="62"/>
      <c r="AC2655" s="62"/>
    </row>
    <row r="2656" hidden="1">
      <c r="A2656" s="60">
        <f>IFERROR(__xludf.DUMMYFUNCTION("""COMPUTED_VALUE"""),17766.0)</f>
        <v>17766</v>
      </c>
      <c r="B2656" s="60" t="str">
        <f>IFERROR(__xludf.DUMMYFUNCTION("""COMPUTED_VALUE"""),"Hunter, Erick")</f>
        <v>Hunter, Erick</v>
      </c>
      <c r="C2656" s="60" t="str">
        <f>IFERROR(__xludf.DUMMYFUNCTION("""COMPUTED_VALUE"""),"LB")</f>
        <v>LB</v>
      </c>
      <c r="D2656" s="60" t="str">
        <f>IFERROR(__xludf.DUMMYFUNCTION("""COMPUTED_VALUE"""),"NEP")</f>
        <v>NEP</v>
      </c>
      <c r="E2656" s="62" t="str">
        <f t="shared" si="5153"/>
        <v>Erick Hunter</v>
      </c>
      <c r="F2656" s="62">
        <f t="shared" ref="F2656:G2656" si="5312">IF(isblank(F$1),,IF(isblank($A2656),,IFERROR(vlookup($A2656,indirect("'TVC-"&amp;text(month(F$1),"00")&amp;"'!$A:$D"),4,false),1)))</f>
        <v>1</v>
      </c>
      <c r="G2656" s="62">
        <f t="shared" si="5312"/>
        <v>1</v>
      </c>
      <c r="H2656" s="62">
        <f t="shared" ref="H2656:Q2656" si="5313">IF(isblank(H$1),,IFERROR(vlookup($A2656,indirect("'TVC-"&amp;text(month(H$1),"00")&amp;"'!$A:$D"),4,false),1))</f>
        <v>1</v>
      </c>
      <c r="I2656" s="62">
        <f t="shared" si="5313"/>
        <v>1</v>
      </c>
      <c r="J2656" s="62">
        <f t="shared" si="5313"/>
        <v>1</v>
      </c>
      <c r="K2656" s="62">
        <f t="shared" si="5313"/>
        <v>1</v>
      </c>
      <c r="L2656" s="62">
        <f t="shared" si="5313"/>
        <v>1</v>
      </c>
      <c r="M2656" s="62">
        <f t="shared" si="5313"/>
        <v>1</v>
      </c>
      <c r="N2656" s="62">
        <f t="shared" si="5313"/>
        <v>1</v>
      </c>
      <c r="O2656" s="62">
        <f t="shared" si="5313"/>
        <v>1</v>
      </c>
      <c r="P2656" s="62" t="str">
        <f t="shared" si="5313"/>
        <v/>
      </c>
      <c r="Q2656" s="62" t="str">
        <f t="shared" si="5313"/>
        <v/>
      </c>
      <c r="R2656" s="62">
        <f t="shared" si="7"/>
        <v>0</v>
      </c>
      <c r="S2656" s="62"/>
      <c r="T2656" s="62"/>
      <c r="U2656" s="62"/>
      <c r="V2656" s="62"/>
      <c r="W2656" s="62"/>
      <c r="X2656" s="62"/>
      <c r="Y2656" s="62"/>
      <c r="Z2656" s="62"/>
      <c r="AA2656" s="62"/>
      <c r="AB2656" s="62"/>
      <c r="AC2656" s="62"/>
    </row>
    <row r="2657" hidden="1">
      <c r="A2657" s="60">
        <f>IFERROR(__xludf.DUMMYFUNCTION("""COMPUTED_VALUE"""),17767.0)</f>
        <v>17767</v>
      </c>
      <c r="B2657" s="60" t="str">
        <f>IFERROR(__xludf.DUMMYFUNCTION("""COMPUTED_VALUE"""),"Thompson Jr., James")</f>
        <v>Thompson Jr., James</v>
      </c>
      <c r="C2657" s="60" t="str">
        <f>IFERROR(__xludf.DUMMYFUNCTION("""COMPUTED_VALUE"""),"DT")</f>
        <v>DT</v>
      </c>
      <c r="D2657" s="60" t="str">
        <f>IFERROR(__xludf.DUMMYFUNCTION("""COMPUTED_VALUE"""),"SFO")</f>
        <v>SFO</v>
      </c>
      <c r="E2657" s="62" t="str">
        <f t="shared" si="5153"/>
        <v>James Thompson Jr.</v>
      </c>
      <c r="F2657" s="62">
        <f t="shared" ref="F2657:G2657" si="5314">IF(isblank(F$1),,IF(isblank($A2657),,IFERROR(vlookup($A2657,indirect("'TVC-"&amp;text(month(F$1),"00")&amp;"'!$A:$D"),4,false),1)))</f>
        <v>1</v>
      </c>
      <c r="G2657" s="62">
        <f t="shared" si="5314"/>
        <v>1</v>
      </c>
      <c r="H2657" s="62">
        <f t="shared" ref="H2657:Q2657" si="5315">IF(isblank(H$1),,IFERROR(vlookup($A2657,indirect("'TVC-"&amp;text(month(H$1),"00")&amp;"'!$A:$D"),4,false),1))</f>
        <v>1</v>
      </c>
      <c r="I2657" s="62">
        <f t="shared" si="5315"/>
        <v>1</v>
      </c>
      <c r="J2657" s="62">
        <f t="shared" si="5315"/>
        <v>1</v>
      </c>
      <c r="K2657" s="62">
        <f t="shared" si="5315"/>
        <v>1</v>
      </c>
      <c r="L2657" s="62">
        <f t="shared" si="5315"/>
        <v>1</v>
      </c>
      <c r="M2657" s="62">
        <f t="shared" si="5315"/>
        <v>1</v>
      </c>
      <c r="N2657" s="62">
        <f t="shared" si="5315"/>
        <v>1</v>
      </c>
      <c r="O2657" s="62">
        <f t="shared" si="5315"/>
        <v>1</v>
      </c>
      <c r="P2657" s="62" t="str">
        <f t="shared" si="5315"/>
        <v/>
      </c>
      <c r="Q2657" s="62" t="str">
        <f t="shared" si="5315"/>
        <v/>
      </c>
      <c r="R2657" s="62">
        <f t="shared" si="7"/>
        <v>0</v>
      </c>
      <c r="S2657" s="62"/>
      <c r="T2657" s="62"/>
      <c r="U2657" s="62"/>
      <c r="V2657" s="62"/>
      <c r="W2657" s="62"/>
      <c r="X2657" s="62"/>
      <c r="Y2657" s="62"/>
      <c r="Z2657" s="62"/>
      <c r="AA2657" s="62"/>
      <c r="AB2657" s="62"/>
      <c r="AC2657" s="62"/>
    </row>
    <row r="2658" hidden="1">
      <c r="A2658" s="60">
        <f>IFERROR(__xludf.DUMMYFUNCTION("""COMPUTED_VALUE"""),17768.0)</f>
        <v>17768</v>
      </c>
      <c r="B2658" s="60" t="str">
        <f>IFERROR(__xludf.DUMMYFUNCTION("""COMPUTED_VALUE"""),"Burke, Ethan")</f>
        <v>Burke, Ethan</v>
      </c>
      <c r="C2658" s="60" t="str">
        <f>IFERROR(__xludf.DUMMYFUNCTION("""COMPUTED_VALUE"""),"DE")</f>
        <v>DE</v>
      </c>
      <c r="D2658" s="60" t="str">
        <f>IFERROR(__xludf.DUMMYFUNCTION("""COMPUTED_VALUE"""),"BAL")</f>
        <v>BAL</v>
      </c>
      <c r="E2658" s="62" t="str">
        <f t="shared" si="5153"/>
        <v>Ethan Burke</v>
      </c>
      <c r="F2658" s="62">
        <f t="shared" ref="F2658:G2658" si="5316">IF(isblank(F$1),,IF(isblank($A2658),,IFERROR(vlookup($A2658,indirect("'TVC-"&amp;text(month(F$1),"00")&amp;"'!$A:$D"),4,false),1)))</f>
        <v>1</v>
      </c>
      <c r="G2658" s="62">
        <f t="shared" si="5316"/>
        <v>1</v>
      </c>
      <c r="H2658" s="62">
        <f t="shared" ref="H2658:Q2658" si="5317">IF(isblank(H$1),,IFERROR(vlookup($A2658,indirect("'TVC-"&amp;text(month(H$1),"00")&amp;"'!$A:$D"),4,false),1))</f>
        <v>1</v>
      </c>
      <c r="I2658" s="62">
        <f t="shared" si="5317"/>
        <v>1</v>
      </c>
      <c r="J2658" s="62">
        <f t="shared" si="5317"/>
        <v>1</v>
      </c>
      <c r="K2658" s="62">
        <f t="shared" si="5317"/>
        <v>1</v>
      </c>
      <c r="L2658" s="62">
        <f t="shared" si="5317"/>
        <v>1</v>
      </c>
      <c r="M2658" s="62">
        <f t="shared" si="5317"/>
        <v>1</v>
      </c>
      <c r="N2658" s="62">
        <f t="shared" si="5317"/>
        <v>1</v>
      </c>
      <c r="O2658" s="62">
        <f t="shared" si="5317"/>
        <v>1</v>
      </c>
      <c r="P2658" s="62" t="str">
        <f t="shared" si="5317"/>
        <v/>
      </c>
      <c r="Q2658" s="62" t="str">
        <f t="shared" si="5317"/>
        <v/>
      </c>
      <c r="R2658" s="62">
        <f t="shared" si="7"/>
        <v>0</v>
      </c>
      <c r="S2658" s="62"/>
      <c r="T2658" s="62"/>
      <c r="U2658" s="62"/>
      <c r="V2658" s="62"/>
      <c r="W2658" s="62"/>
      <c r="X2658" s="62"/>
      <c r="Y2658" s="62"/>
      <c r="Z2658" s="62"/>
      <c r="AA2658" s="62"/>
      <c r="AB2658" s="62"/>
      <c r="AC2658" s="62"/>
    </row>
    <row r="2659" hidden="1">
      <c r="A2659" s="60">
        <f>IFERROR(__xludf.DUMMYFUNCTION("""COMPUTED_VALUE"""),17769.0)</f>
        <v>17769</v>
      </c>
      <c r="B2659" s="60" t="str">
        <f>IFERROR(__xludf.DUMMYFUNCTION("""COMPUTED_VALUE"""),"Hall, Aaron")</f>
        <v>Hall, Aaron</v>
      </c>
      <c r="C2659" s="60" t="str">
        <f>IFERROR(__xludf.DUMMYFUNCTION("""COMPUTED_VALUE"""),"DT")</f>
        <v>DT</v>
      </c>
      <c r="D2659" s="60" t="str">
        <f>IFERROR(__xludf.DUMMYFUNCTION("""COMPUTED_VALUE"""),"CAR")</f>
        <v>CAR</v>
      </c>
      <c r="E2659" s="62" t="str">
        <f t="shared" si="5153"/>
        <v>Aaron Hall</v>
      </c>
      <c r="F2659" s="62">
        <f t="shared" ref="F2659:G2659" si="5318">IF(isblank(F$1),,IF(isblank($A2659),,IFERROR(vlookup($A2659,indirect("'TVC-"&amp;text(month(F$1),"00")&amp;"'!$A:$D"),4,false),1)))</f>
        <v>1</v>
      </c>
      <c r="G2659" s="62">
        <f t="shared" si="5318"/>
        <v>1</v>
      </c>
      <c r="H2659" s="62">
        <f t="shared" ref="H2659:Q2659" si="5319">IF(isblank(H$1),,IFERROR(vlookup($A2659,indirect("'TVC-"&amp;text(month(H$1),"00")&amp;"'!$A:$D"),4,false),1))</f>
        <v>1</v>
      </c>
      <c r="I2659" s="62">
        <f t="shared" si="5319"/>
        <v>1</v>
      </c>
      <c r="J2659" s="62">
        <f t="shared" si="5319"/>
        <v>1</v>
      </c>
      <c r="K2659" s="62">
        <f t="shared" si="5319"/>
        <v>1</v>
      </c>
      <c r="L2659" s="62">
        <f t="shared" si="5319"/>
        <v>1</v>
      </c>
      <c r="M2659" s="62">
        <f t="shared" si="5319"/>
        <v>1</v>
      </c>
      <c r="N2659" s="62">
        <f t="shared" si="5319"/>
        <v>1</v>
      </c>
      <c r="O2659" s="62">
        <f t="shared" si="5319"/>
        <v>1</v>
      </c>
      <c r="P2659" s="62" t="str">
        <f t="shared" si="5319"/>
        <v/>
      </c>
      <c r="Q2659" s="62" t="str">
        <f t="shared" si="5319"/>
        <v/>
      </c>
      <c r="R2659" s="62">
        <f t="shared" si="7"/>
        <v>0</v>
      </c>
      <c r="S2659" s="62"/>
      <c r="T2659" s="62"/>
      <c r="U2659" s="62"/>
      <c r="V2659" s="62"/>
      <c r="W2659" s="62"/>
      <c r="X2659" s="62"/>
      <c r="Y2659" s="62"/>
      <c r="Z2659" s="62"/>
      <c r="AA2659" s="62"/>
      <c r="AB2659" s="62"/>
      <c r="AC2659" s="62"/>
    </row>
    <row r="2660" hidden="1">
      <c r="A2660" s="60">
        <f>IFERROR(__xludf.DUMMYFUNCTION("""COMPUTED_VALUE"""),17770.0)</f>
        <v>17770</v>
      </c>
      <c r="B2660" s="60" t="str">
        <f>IFERROR(__xludf.DUMMYFUNCTION("""COMPUTED_VALUE"""),"Bankston, Damon")</f>
        <v>Bankston, Damon</v>
      </c>
      <c r="C2660" s="60" t="str">
        <f>IFERROR(__xludf.DUMMYFUNCTION("""COMPUTED_VALUE"""),"RB")</f>
        <v>RB</v>
      </c>
      <c r="D2660" s="60" t="str">
        <f>IFERROR(__xludf.DUMMYFUNCTION("""COMPUTED_VALUE"""),"GBP")</f>
        <v>GBP</v>
      </c>
      <c r="E2660" s="62" t="str">
        <f t="shared" si="5153"/>
        <v>Damon Bankston</v>
      </c>
      <c r="F2660" s="62">
        <f t="shared" ref="F2660:G2660" si="5320">IF(isblank(F$1),,IF(isblank($A2660),,IFERROR(vlookup($A2660,indirect("'TVC-"&amp;text(month(F$1),"00")&amp;"'!$A:$D"),4,false),1)))</f>
        <v>1</v>
      </c>
      <c r="G2660" s="62">
        <f t="shared" si="5320"/>
        <v>1</v>
      </c>
      <c r="H2660" s="62">
        <f t="shared" ref="H2660:Q2660" si="5321">IF(isblank(H$1),,IFERROR(vlookup($A2660,indirect("'TVC-"&amp;text(month(H$1),"00")&amp;"'!$A:$D"),4,false),1))</f>
        <v>1</v>
      </c>
      <c r="I2660" s="62">
        <f t="shared" si="5321"/>
        <v>1</v>
      </c>
      <c r="J2660" s="62">
        <f t="shared" si="5321"/>
        <v>1</v>
      </c>
      <c r="K2660" s="62">
        <f t="shared" si="5321"/>
        <v>1</v>
      </c>
      <c r="L2660" s="62">
        <f t="shared" si="5321"/>
        <v>1</v>
      </c>
      <c r="M2660" s="62">
        <f t="shared" si="5321"/>
        <v>1</v>
      </c>
      <c r="N2660" s="62">
        <f t="shared" si="5321"/>
        <v>1</v>
      </c>
      <c r="O2660" s="62">
        <f t="shared" si="5321"/>
        <v>1</v>
      </c>
      <c r="P2660" s="62" t="str">
        <f t="shared" si="5321"/>
        <v/>
      </c>
      <c r="Q2660" s="62" t="str">
        <f t="shared" si="5321"/>
        <v/>
      </c>
      <c r="R2660" s="62">
        <f t="shared" si="7"/>
        <v>0</v>
      </c>
      <c r="S2660" s="62"/>
      <c r="T2660" s="62"/>
      <c r="U2660" s="62"/>
      <c r="V2660" s="62"/>
      <c r="W2660" s="62"/>
      <c r="X2660" s="62"/>
      <c r="Y2660" s="62"/>
      <c r="Z2660" s="62"/>
      <c r="AA2660" s="62"/>
      <c r="AB2660" s="62"/>
      <c r="AC2660" s="62"/>
    </row>
    <row r="2661" hidden="1">
      <c r="A2661" s="60">
        <f>IFERROR(__xludf.DUMMYFUNCTION("""COMPUTED_VALUE"""),17771.0)</f>
        <v>17771</v>
      </c>
      <c r="B2661" s="60" t="str">
        <f>IFERROR(__xludf.DUMMYFUNCTION("""COMPUTED_VALUE"""),"Thomas, Skyler")</f>
        <v>Thomas, Skyler</v>
      </c>
      <c r="C2661" s="60" t="str">
        <f>IFERROR(__xludf.DUMMYFUNCTION("""COMPUTED_VALUE"""),"CB")</f>
        <v>CB</v>
      </c>
      <c r="D2661" s="60" t="str">
        <f>IFERROR(__xludf.DUMMYFUNCTION("""COMPUTED_VALUE"""),"CHI")</f>
        <v>CHI</v>
      </c>
      <c r="E2661" s="62" t="str">
        <f t="shared" si="5153"/>
        <v>Skyler Thomas</v>
      </c>
      <c r="F2661" s="62">
        <f t="shared" ref="F2661:G2661" si="5322">IF(isblank(F$1),,IF(isblank($A2661),,IFERROR(vlookup($A2661,indirect("'TVC-"&amp;text(month(F$1),"00")&amp;"'!$A:$D"),4,false),1)))</f>
        <v>1</v>
      </c>
      <c r="G2661" s="62">
        <f t="shared" si="5322"/>
        <v>1</v>
      </c>
      <c r="H2661" s="62">
        <f t="shared" ref="H2661:Q2661" si="5323">IF(isblank(H$1),,IFERROR(vlookup($A2661,indirect("'TVC-"&amp;text(month(H$1),"00")&amp;"'!$A:$D"),4,false),1))</f>
        <v>1</v>
      </c>
      <c r="I2661" s="62">
        <f t="shared" si="5323"/>
        <v>1</v>
      </c>
      <c r="J2661" s="62">
        <f t="shared" si="5323"/>
        <v>1</v>
      </c>
      <c r="K2661" s="62">
        <f t="shared" si="5323"/>
        <v>1</v>
      </c>
      <c r="L2661" s="62">
        <f t="shared" si="5323"/>
        <v>1</v>
      </c>
      <c r="M2661" s="62">
        <f t="shared" si="5323"/>
        <v>1</v>
      </c>
      <c r="N2661" s="62">
        <f t="shared" si="5323"/>
        <v>1</v>
      </c>
      <c r="O2661" s="62">
        <f t="shared" si="5323"/>
        <v>1</v>
      </c>
      <c r="P2661" s="62" t="str">
        <f t="shared" si="5323"/>
        <v/>
      </c>
      <c r="Q2661" s="62" t="str">
        <f t="shared" si="5323"/>
        <v/>
      </c>
      <c r="R2661" s="62">
        <f t="shared" si="7"/>
        <v>0</v>
      </c>
      <c r="S2661" s="62"/>
      <c r="T2661" s="62"/>
      <c r="U2661" s="62"/>
      <c r="V2661" s="62"/>
      <c r="W2661" s="62"/>
      <c r="X2661" s="62"/>
      <c r="Y2661" s="62"/>
      <c r="Z2661" s="62"/>
      <c r="AA2661" s="62"/>
      <c r="AB2661" s="62"/>
      <c r="AC2661" s="62"/>
    </row>
    <row r="2662" hidden="1">
      <c r="A2662" s="60">
        <f>IFERROR(__xludf.DUMMYFUNCTION("""COMPUTED_VALUE"""),17772.0)</f>
        <v>17772</v>
      </c>
      <c r="B2662" s="60" t="str">
        <f>IFERROR(__xludf.DUMMYFUNCTION("""COMPUTED_VALUE"""),"Harris, Kenneth")</f>
        <v>Harris, Kenneth</v>
      </c>
      <c r="C2662" s="60" t="str">
        <f>IFERROR(__xludf.DUMMYFUNCTION("""COMPUTED_VALUE"""),"CB")</f>
        <v>CB</v>
      </c>
      <c r="D2662" s="60" t="str">
        <f>IFERROR(__xludf.DUMMYFUNCTION("""COMPUTED_VALUE"""),"IND")</f>
        <v>IND</v>
      </c>
      <c r="E2662" s="62" t="str">
        <f t="shared" si="5153"/>
        <v>Kenneth Harris</v>
      </c>
      <c r="F2662" s="62">
        <f t="shared" ref="F2662:G2662" si="5324">IF(isblank(F$1),,IF(isblank($A2662),,IFERROR(vlookup($A2662,indirect("'TVC-"&amp;text(month(F$1),"00")&amp;"'!$A:$D"),4,false),1)))</f>
        <v>1</v>
      </c>
      <c r="G2662" s="62">
        <f t="shared" si="5324"/>
        <v>1</v>
      </c>
      <c r="H2662" s="62">
        <f t="shared" ref="H2662:Q2662" si="5325">IF(isblank(H$1),,IFERROR(vlookup($A2662,indirect("'TVC-"&amp;text(month(H$1),"00")&amp;"'!$A:$D"),4,false),1))</f>
        <v>1</v>
      </c>
      <c r="I2662" s="62">
        <f t="shared" si="5325"/>
        <v>1</v>
      </c>
      <c r="J2662" s="62">
        <f t="shared" si="5325"/>
        <v>1</v>
      </c>
      <c r="K2662" s="62">
        <f t="shared" si="5325"/>
        <v>1</v>
      </c>
      <c r="L2662" s="62">
        <f t="shared" si="5325"/>
        <v>1</v>
      </c>
      <c r="M2662" s="62">
        <f t="shared" si="5325"/>
        <v>1</v>
      </c>
      <c r="N2662" s="62">
        <f t="shared" si="5325"/>
        <v>1</v>
      </c>
      <c r="O2662" s="62">
        <f t="shared" si="5325"/>
        <v>1</v>
      </c>
      <c r="P2662" s="62" t="str">
        <f t="shared" si="5325"/>
        <v/>
      </c>
      <c r="Q2662" s="62" t="str">
        <f t="shared" si="5325"/>
        <v/>
      </c>
      <c r="R2662" s="62">
        <f t="shared" si="7"/>
        <v>0</v>
      </c>
      <c r="S2662" s="62"/>
      <c r="T2662" s="62"/>
      <c r="U2662" s="62"/>
      <c r="V2662" s="62"/>
      <c r="W2662" s="62"/>
      <c r="X2662" s="62"/>
      <c r="Y2662" s="62"/>
      <c r="Z2662" s="62"/>
      <c r="AA2662" s="62"/>
      <c r="AB2662" s="62"/>
      <c r="AC2662" s="62"/>
    </row>
    <row r="2663" hidden="1">
      <c r="A2663" s="60">
        <f>IFERROR(__xludf.DUMMYFUNCTION("""COMPUTED_VALUE"""),17773.0)</f>
        <v>17773</v>
      </c>
      <c r="B2663" s="60" t="str">
        <f>IFERROR(__xludf.DUMMYFUNCTION("""COMPUTED_VALUE"""),"Edwards, TeRah")</f>
        <v>Edwards, TeRah</v>
      </c>
      <c r="C2663" s="60" t="str">
        <f>IFERROR(__xludf.DUMMYFUNCTION("""COMPUTED_VALUE"""),"DT")</f>
        <v>DT</v>
      </c>
      <c r="D2663" s="60" t="str">
        <f>IFERROR(__xludf.DUMMYFUNCTION("""COMPUTED_VALUE"""),"CAR")</f>
        <v>CAR</v>
      </c>
      <c r="E2663" s="62" t="str">
        <f t="shared" si="5153"/>
        <v>TeRah Edwards</v>
      </c>
      <c r="F2663" s="62">
        <f t="shared" ref="F2663:G2663" si="5326">IF(isblank(F$1),,IF(isblank($A2663),,IFERROR(vlookup($A2663,indirect("'TVC-"&amp;text(month(F$1),"00")&amp;"'!$A:$D"),4,false),1)))</f>
        <v>1</v>
      </c>
      <c r="G2663" s="62">
        <f t="shared" si="5326"/>
        <v>1</v>
      </c>
      <c r="H2663" s="62">
        <f t="shared" ref="H2663:Q2663" si="5327">IF(isblank(H$1),,IFERROR(vlookup($A2663,indirect("'TVC-"&amp;text(month(H$1),"00")&amp;"'!$A:$D"),4,false),1))</f>
        <v>1</v>
      </c>
      <c r="I2663" s="62">
        <f t="shared" si="5327"/>
        <v>1</v>
      </c>
      <c r="J2663" s="62">
        <f t="shared" si="5327"/>
        <v>1</v>
      </c>
      <c r="K2663" s="62">
        <f t="shared" si="5327"/>
        <v>1</v>
      </c>
      <c r="L2663" s="62">
        <f t="shared" si="5327"/>
        <v>1</v>
      </c>
      <c r="M2663" s="62">
        <f t="shared" si="5327"/>
        <v>1</v>
      </c>
      <c r="N2663" s="62">
        <f t="shared" si="5327"/>
        <v>1</v>
      </c>
      <c r="O2663" s="62">
        <f t="shared" si="5327"/>
        <v>1</v>
      </c>
      <c r="P2663" s="62" t="str">
        <f t="shared" si="5327"/>
        <v/>
      </c>
      <c r="Q2663" s="62" t="str">
        <f t="shared" si="5327"/>
        <v/>
      </c>
      <c r="R2663" s="62">
        <f t="shared" si="7"/>
        <v>0</v>
      </c>
      <c r="S2663" s="62"/>
      <c r="T2663" s="62"/>
      <c r="U2663" s="62"/>
      <c r="V2663" s="62"/>
      <c r="W2663" s="62"/>
      <c r="X2663" s="62"/>
      <c r="Y2663" s="62"/>
      <c r="Z2663" s="62"/>
      <c r="AA2663" s="62"/>
      <c r="AB2663" s="62"/>
      <c r="AC2663" s="62"/>
    </row>
    <row r="2664" hidden="1">
      <c r="A2664" s="60">
        <f>IFERROR(__xludf.DUMMYFUNCTION("""COMPUTED_VALUE"""),17774.0)</f>
        <v>17774</v>
      </c>
      <c r="B2664" s="60" t="str">
        <f>IFERROR(__xludf.DUMMYFUNCTION("""COMPUTED_VALUE"""),"Welch, Treyton")</f>
        <v>Welch, Treyton</v>
      </c>
      <c r="C2664" s="60" t="str">
        <f>IFERROR(__xludf.DUMMYFUNCTION("""COMPUTED_VALUE"""),"TE")</f>
        <v>TE</v>
      </c>
      <c r="D2664" s="60" t="str">
        <f>IFERROR(__xludf.DUMMYFUNCTION("""COMPUTED_VALUE"""),"NOS")</f>
        <v>NOS</v>
      </c>
      <c r="E2664" s="62" t="str">
        <f t="shared" si="5153"/>
        <v>Treyton Welch</v>
      </c>
      <c r="F2664" s="62">
        <f t="shared" ref="F2664:G2664" si="5328">IF(isblank(F$1),,IF(isblank($A2664),,IFERROR(vlookup($A2664,indirect("'TVC-"&amp;text(month(F$1),"00")&amp;"'!$A:$D"),4,false),1)))</f>
        <v>1</v>
      </c>
      <c r="G2664" s="62">
        <f t="shared" si="5328"/>
        <v>1</v>
      </c>
      <c r="H2664" s="62">
        <f t="shared" ref="H2664:Q2664" si="5329">IF(isblank(H$1),,IFERROR(vlookup($A2664,indirect("'TVC-"&amp;text(month(H$1),"00")&amp;"'!$A:$D"),4,false),1))</f>
        <v>1</v>
      </c>
      <c r="I2664" s="62">
        <f t="shared" si="5329"/>
        <v>1</v>
      </c>
      <c r="J2664" s="62">
        <f t="shared" si="5329"/>
        <v>1</v>
      </c>
      <c r="K2664" s="62">
        <f t="shared" si="5329"/>
        <v>1</v>
      </c>
      <c r="L2664" s="62">
        <f t="shared" si="5329"/>
        <v>1</v>
      </c>
      <c r="M2664" s="62">
        <f t="shared" si="5329"/>
        <v>1</v>
      </c>
      <c r="N2664" s="62">
        <f t="shared" si="5329"/>
        <v>1</v>
      </c>
      <c r="O2664" s="62">
        <f t="shared" si="5329"/>
        <v>1</v>
      </c>
      <c r="P2664" s="62" t="str">
        <f t="shared" si="5329"/>
        <v/>
      </c>
      <c r="Q2664" s="62" t="str">
        <f t="shared" si="5329"/>
        <v/>
      </c>
      <c r="R2664" s="62">
        <f t="shared" si="7"/>
        <v>0</v>
      </c>
      <c r="S2664" s="62"/>
      <c r="T2664" s="62"/>
      <c r="U2664" s="62"/>
      <c r="V2664" s="62"/>
      <c r="W2664" s="62"/>
      <c r="X2664" s="62"/>
      <c r="Y2664" s="62"/>
      <c r="Z2664" s="62"/>
      <c r="AA2664" s="62"/>
      <c r="AB2664" s="62"/>
      <c r="AC2664" s="62"/>
    </row>
    <row r="2665" hidden="1">
      <c r="A2665" s="60">
        <f>IFERROR(__xludf.DUMMYFUNCTION("""COMPUTED_VALUE"""),17776.0)</f>
        <v>17776</v>
      </c>
      <c r="B2665" s="60" t="str">
        <f>IFERROR(__xludf.DUMMYFUNCTION("""COMPUTED_VALUE"""),"Chambers, Tahj")</f>
        <v>Chambers, Tahj</v>
      </c>
      <c r="C2665" s="60" t="str">
        <f>IFERROR(__xludf.DUMMYFUNCTION("""COMPUTED_VALUE"""),"LB")</f>
        <v>LB</v>
      </c>
      <c r="D2665" s="60" t="str">
        <f>IFERROR(__xludf.DUMMYFUNCTION("""COMPUTED_VALUE"""),"IND")</f>
        <v>IND</v>
      </c>
      <c r="E2665" s="62" t="str">
        <f t="shared" si="5153"/>
        <v>Tahj Chambers</v>
      </c>
      <c r="F2665" s="62">
        <f t="shared" ref="F2665:G2665" si="5330">IF(isblank(F$1),,IF(isblank($A2665),,IFERROR(vlookup($A2665,indirect("'TVC-"&amp;text(month(F$1),"00")&amp;"'!$A:$D"),4,false),1)))</f>
        <v>1</v>
      </c>
      <c r="G2665" s="62">
        <f t="shared" si="5330"/>
        <v>1</v>
      </c>
      <c r="H2665" s="62">
        <f t="shared" ref="H2665:Q2665" si="5331">IF(isblank(H$1),,IFERROR(vlookup($A2665,indirect("'TVC-"&amp;text(month(H$1),"00")&amp;"'!$A:$D"),4,false),1))</f>
        <v>1</v>
      </c>
      <c r="I2665" s="62">
        <f t="shared" si="5331"/>
        <v>1</v>
      </c>
      <c r="J2665" s="62">
        <f t="shared" si="5331"/>
        <v>1</v>
      </c>
      <c r="K2665" s="62">
        <f t="shared" si="5331"/>
        <v>1</v>
      </c>
      <c r="L2665" s="62">
        <f t="shared" si="5331"/>
        <v>1</v>
      </c>
      <c r="M2665" s="62">
        <f t="shared" si="5331"/>
        <v>1</v>
      </c>
      <c r="N2665" s="62">
        <f t="shared" si="5331"/>
        <v>1</v>
      </c>
      <c r="O2665" s="62">
        <f t="shared" si="5331"/>
        <v>1</v>
      </c>
      <c r="P2665" s="62" t="str">
        <f t="shared" si="5331"/>
        <v/>
      </c>
      <c r="Q2665" s="62" t="str">
        <f t="shared" si="5331"/>
        <v/>
      </c>
      <c r="R2665" s="62">
        <f t="shared" si="7"/>
        <v>0</v>
      </c>
      <c r="S2665" s="62"/>
      <c r="T2665" s="62"/>
      <c r="U2665" s="62"/>
      <c r="V2665" s="62"/>
      <c r="W2665" s="62"/>
      <c r="X2665" s="62"/>
      <c r="Y2665" s="62"/>
      <c r="Z2665" s="62"/>
      <c r="AA2665" s="62"/>
      <c r="AB2665" s="62"/>
      <c r="AC2665" s="62"/>
    </row>
    <row r="2666" hidden="1">
      <c r="A2666" s="60">
        <f>IFERROR(__xludf.DUMMYFUNCTION("""COMPUTED_VALUE"""),17777.0)</f>
        <v>17777</v>
      </c>
      <c r="B2666" s="60" t="str">
        <f>IFERROR(__xludf.DUMMYFUNCTION("""COMPUTED_VALUE"""),"Harsh, Sabastian")</f>
        <v>Harsh, Sabastian</v>
      </c>
      <c r="C2666" s="60" t="str">
        <f>IFERROR(__xludf.DUMMYFUNCTION("""COMPUTED_VALUE"""),"DE")</f>
        <v>DE</v>
      </c>
      <c r="D2666" s="60" t="str">
        <f>IFERROR(__xludf.DUMMYFUNCTION("""COMPUTED_VALUE"""),"HOU")</f>
        <v>HOU</v>
      </c>
      <c r="E2666" s="62" t="str">
        <f t="shared" si="5153"/>
        <v>Sabastian Harsh</v>
      </c>
      <c r="F2666" s="62">
        <f t="shared" ref="F2666:G2666" si="5332">IF(isblank(F$1),,IF(isblank($A2666),,IFERROR(vlookup($A2666,indirect("'TVC-"&amp;text(month(F$1),"00")&amp;"'!$A:$D"),4,false),1)))</f>
        <v>1</v>
      </c>
      <c r="G2666" s="62">
        <f t="shared" si="5332"/>
        <v>1</v>
      </c>
      <c r="H2666" s="62">
        <f t="shared" ref="H2666:Q2666" si="5333">IF(isblank(H$1),,IFERROR(vlookup($A2666,indirect("'TVC-"&amp;text(month(H$1),"00")&amp;"'!$A:$D"),4,false),1))</f>
        <v>1</v>
      </c>
      <c r="I2666" s="62">
        <f t="shared" si="5333"/>
        <v>1</v>
      </c>
      <c r="J2666" s="62">
        <f t="shared" si="5333"/>
        <v>1</v>
      </c>
      <c r="K2666" s="62">
        <f t="shared" si="5333"/>
        <v>1</v>
      </c>
      <c r="L2666" s="62">
        <f t="shared" si="5333"/>
        <v>1</v>
      </c>
      <c r="M2666" s="62">
        <f t="shared" si="5333"/>
        <v>1</v>
      </c>
      <c r="N2666" s="62">
        <f t="shared" si="5333"/>
        <v>1</v>
      </c>
      <c r="O2666" s="62">
        <f t="shared" si="5333"/>
        <v>1</v>
      </c>
      <c r="P2666" s="62" t="str">
        <f t="shared" si="5333"/>
        <v/>
      </c>
      <c r="Q2666" s="62" t="str">
        <f t="shared" si="5333"/>
        <v/>
      </c>
      <c r="R2666" s="62">
        <f t="shared" si="7"/>
        <v>0</v>
      </c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</row>
    <row r="2667" hidden="1">
      <c r="A2667" s="60">
        <f>IFERROR(__xludf.DUMMYFUNCTION("""COMPUTED_VALUE"""),17778.0)</f>
        <v>17778</v>
      </c>
      <c r="B2667" s="60" t="str">
        <f>IFERROR(__xludf.DUMMYFUNCTION("""COMPUTED_VALUE"""),"O'Neill, Eric")</f>
        <v>O'Neill, Eric</v>
      </c>
      <c r="C2667" s="60" t="str">
        <f>IFERROR(__xludf.DUMMYFUNCTION("""COMPUTED_VALUE"""),"DE")</f>
        <v>DE</v>
      </c>
      <c r="D2667" s="60" t="str">
        <f>IFERROR(__xludf.DUMMYFUNCTION("""COMPUTED_VALUE"""),"DET")</f>
        <v>DET</v>
      </c>
      <c r="E2667" s="62" t="str">
        <f t="shared" si="5153"/>
        <v>Eric O'Neill</v>
      </c>
      <c r="F2667" s="62">
        <f t="shared" ref="F2667:G2667" si="5334">IF(isblank(F$1),,IF(isblank($A2667),,IFERROR(vlookup($A2667,indirect("'TVC-"&amp;text(month(F$1),"00")&amp;"'!$A:$D"),4,false),1)))</f>
        <v>1</v>
      </c>
      <c r="G2667" s="62">
        <f t="shared" si="5334"/>
        <v>1</v>
      </c>
      <c r="H2667" s="62">
        <f t="shared" ref="H2667:Q2667" si="5335">IF(isblank(H$1),,IFERROR(vlookup($A2667,indirect("'TVC-"&amp;text(month(H$1),"00")&amp;"'!$A:$D"),4,false),1))</f>
        <v>1</v>
      </c>
      <c r="I2667" s="62">
        <f t="shared" si="5335"/>
        <v>1</v>
      </c>
      <c r="J2667" s="62">
        <f t="shared" si="5335"/>
        <v>1</v>
      </c>
      <c r="K2667" s="62">
        <f t="shared" si="5335"/>
        <v>1</v>
      </c>
      <c r="L2667" s="62">
        <f t="shared" si="5335"/>
        <v>1</v>
      </c>
      <c r="M2667" s="62">
        <f t="shared" si="5335"/>
        <v>1</v>
      </c>
      <c r="N2667" s="62">
        <f t="shared" si="5335"/>
        <v>1</v>
      </c>
      <c r="O2667" s="62">
        <f t="shared" si="5335"/>
        <v>1</v>
      </c>
      <c r="P2667" s="62" t="str">
        <f t="shared" si="5335"/>
        <v/>
      </c>
      <c r="Q2667" s="62" t="str">
        <f t="shared" si="5335"/>
        <v/>
      </c>
      <c r="R2667" s="62">
        <f t="shared" si="7"/>
        <v>0</v>
      </c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</row>
    <row r="2668" hidden="1">
      <c r="A2668" s="60">
        <f>IFERROR(__xludf.DUMMYFUNCTION("""COMPUTED_VALUE"""),17780.0)</f>
        <v>17780</v>
      </c>
      <c r="B2668" s="60" t="str">
        <f>IFERROR(__xludf.DUMMYFUNCTION("""COMPUTED_VALUE"""),"Price, Jayden")</f>
        <v>Price, Jayden</v>
      </c>
      <c r="C2668" s="60" t="str">
        <f>IFERROR(__xludf.DUMMYFUNCTION("""COMPUTED_VALUE"""),"CB")</f>
        <v>CB</v>
      </c>
      <c r="D2668" s="60" t="str">
        <f>IFERROR(__xludf.DUMMYFUNCTION("""COMPUTED_VALUE"""),"NOS")</f>
        <v>NOS</v>
      </c>
      <c r="E2668" s="62" t="str">
        <f t="shared" si="5153"/>
        <v>Jayden Price</v>
      </c>
      <c r="F2668" s="62">
        <f t="shared" ref="F2668:G2668" si="5336">IF(isblank(F$1),,IF(isblank($A2668),,IFERROR(vlookup($A2668,indirect("'TVC-"&amp;text(month(F$1),"00")&amp;"'!$A:$D"),4,false),1)))</f>
        <v>1</v>
      </c>
      <c r="G2668" s="62">
        <f t="shared" si="5336"/>
        <v>1</v>
      </c>
      <c r="H2668" s="62">
        <f t="shared" ref="H2668:Q2668" si="5337">IF(isblank(H$1),,IFERROR(vlookup($A2668,indirect("'TVC-"&amp;text(month(H$1),"00")&amp;"'!$A:$D"),4,false),1))</f>
        <v>1</v>
      </c>
      <c r="I2668" s="62">
        <f t="shared" si="5337"/>
        <v>1</v>
      </c>
      <c r="J2668" s="62">
        <f t="shared" si="5337"/>
        <v>1</v>
      </c>
      <c r="K2668" s="62">
        <f t="shared" si="5337"/>
        <v>1</v>
      </c>
      <c r="L2668" s="62">
        <f t="shared" si="5337"/>
        <v>1</v>
      </c>
      <c r="M2668" s="62">
        <f t="shared" si="5337"/>
        <v>1</v>
      </c>
      <c r="N2668" s="62">
        <f t="shared" si="5337"/>
        <v>1</v>
      </c>
      <c r="O2668" s="62">
        <f t="shared" si="5337"/>
        <v>1</v>
      </c>
      <c r="P2668" s="62" t="str">
        <f t="shared" si="5337"/>
        <v/>
      </c>
      <c r="Q2668" s="62" t="str">
        <f t="shared" si="5337"/>
        <v/>
      </c>
      <c r="R2668" s="62">
        <f t="shared" si="7"/>
        <v>0</v>
      </c>
      <c r="S2668" s="62"/>
      <c r="T2668" s="62"/>
      <c r="U2668" s="62"/>
      <c r="V2668" s="62"/>
      <c r="W2668" s="62"/>
      <c r="X2668" s="62"/>
      <c r="Y2668" s="62"/>
      <c r="Z2668" s="62"/>
      <c r="AA2668" s="62"/>
      <c r="AB2668" s="62"/>
      <c r="AC2668" s="62"/>
    </row>
    <row r="2669" hidden="1">
      <c r="A2669" s="60">
        <f>IFERROR(__xludf.DUMMYFUNCTION("""COMPUTED_VALUE"""),17782.0)</f>
        <v>17782</v>
      </c>
      <c r="B2669" s="60" t="str">
        <f>IFERROR(__xludf.DUMMYFUNCTION("""COMPUTED_VALUE"""),"Canada, Channing")</f>
        <v>Canada, Channing</v>
      </c>
      <c r="C2669" s="60" t="str">
        <f>IFERROR(__xludf.DUMMYFUNCTION("""COMPUTED_VALUE"""),"CB")</f>
        <v>CB</v>
      </c>
      <c r="D2669" s="60" t="str">
        <f>IFERROR(__xludf.DUMMYFUNCTION("""COMPUTED_VALUE"""),"NEP")</f>
        <v>NEP</v>
      </c>
      <c r="E2669" s="62" t="str">
        <f t="shared" si="5153"/>
        <v>Channing Canada</v>
      </c>
      <c r="F2669" s="62">
        <f t="shared" ref="F2669:G2669" si="5338">IF(isblank(F$1),,IF(isblank($A2669),,IFERROR(vlookup($A2669,indirect("'TVC-"&amp;text(month(F$1),"00")&amp;"'!$A:$D"),4,false),1)))</f>
        <v>1</v>
      </c>
      <c r="G2669" s="62">
        <f t="shared" si="5338"/>
        <v>1</v>
      </c>
      <c r="H2669" s="62">
        <f t="shared" ref="H2669:Q2669" si="5339">IF(isblank(H$1),,IFERROR(vlookup($A2669,indirect("'TVC-"&amp;text(month(H$1),"00")&amp;"'!$A:$D"),4,false),1))</f>
        <v>1</v>
      </c>
      <c r="I2669" s="62">
        <f t="shared" si="5339"/>
        <v>1</v>
      </c>
      <c r="J2669" s="62">
        <f t="shared" si="5339"/>
        <v>1</v>
      </c>
      <c r="K2669" s="62">
        <f t="shared" si="5339"/>
        <v>1</v>
      </c>
      <c r="L2669" s="62">
        <f t="shared" si="5339"/>
        <v>1</v>
      </c>
      <c r="M2669" s="62">
        <f t="shared" si="5339"/>
        <v>1</v>
      </c>
      <c r="N2669" s="62">
        <f t="shared" si="5339"/>
        <v>1</v>
      </c>
      <c r="O2669" s="62">
        <f t="shared" si="5339"/>
        <v>1</v>
      </c>
      <c r="P2669" s="62" t="str">
        <f t="shared" si="5339"/>
        <v/>
      </c>
      <c r="Q2669" s="62" t="str">
        <f t="shared" si="5339"/>
        <v/>
      </c>
      <c r="R2669" s="62">
        <f t="shared" si="7"/>
        <v>0</v>
      </c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</row>
    <row r="2670" hidden="1">
      <c r="A2670" s="60">
        <f>IFERROR(__xludf.DUMMYFUNCTION("""COMPUTED_VALUE"""),17784.0)</f>
        <v>17784</v>
      </c>
      <c r="B2670" s="60" t="str">
        <f>IFERROR(__xludf.DUMMYFUNCTION("""COMPUTED_VALUE"""),"Herman, DJ")</f>
        <v>Herman, DJ</v>
      </c>
      <c r="C2670" s="60" t="str">
        <f>IFERROR(__xludf.DUMMYFUNCTION("""COMPUTED_VALUE"""),"RB")</f>
        <v>RB</v>
      </c>
      <c r="D2670" s="60" t="str">
        <f>IFERROR(__xludf.DUMMYFUNCTION("""COMPUTED_VALUE"""),"MIA")</f>
        <v>MIA</v>
      </c>
      <c r="E2670" s="62" t="str">
        <f t="shared" si="5153"/>
        <v>DJ Herman</v>
      </c>
      <c r="F2670" s="62">
        <f t="shared" ref="F2670:G2670" si="5340">IF(isblank(F$1),,IF(isblank($A2670),,IFERROR(vlookup($A2670,indirect("'TVC-"&amp;text(month(F$1),"00")&amp;"'!$A:$D"),4,false),1)))</f>
        <v>1</v>
      </c>
      <c r="G2670" s="62">
        <f t="shared" si="5340"/>
        <v>1</v>
      </c>
      <c r="H2670" s="62">
        <f t="shared" ref="H2670:Q2670" si="5341">IF(isblank(H$1),,IFERROR(vlookup($A2670,indirect("'TVC-"&amp;text(month(H$1),"00")&amp;"'!$A:$D"),4,false),1))</f>
        <v>1</v>
      </c>
      <c r="I2670" s="62">
        <f t="shared" si="5341"/>
        <v>1</v>
      </c>
      <c r="J2670" s="62">
        <f t="shared" si="5341"/>
        <v>1</v>
      </c>
      <c r="K2670" s="62">
        <f t="shared" si="5341"/>
        <v>1</v>
      </c>
      <c r="L2670" s="62">
        <f t="shared" si="5341"/>
        <v>1</v>
      </c>
      <c r="M2670" s="62">
        <f t="shared" si="5341"/>
        <v>1</v>
      </c>
      <c r="N2670" s="62">
        <f t="shared" si="5341"/>
        <v>1</v>
      </c>
      <c r="O2670" s="62">
        <f t="shared" si="5341"/>
        <v>1</v>
      </c>
      <c r="P2670" s="62" t="str">
        <f t="shared" si="5341"/>
        <v/>
      </c>
      <c r="Q2670" s="62" t="str">
        <f t="shared" si="5341"/>
        <v/>
      </c>
      <c r="R2670" s="62">
        <f t="shared" si="7"/>
        <v>0</v>
      </c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</row>
    <row r="2671" hidden="1">
      <c r="A2671" s="60">
        <f>IFERROR(__xludf.DUMMYFUNCTION("""COMPUTED_VALUE"""),17785.0)</f>
        <v>17785</v>
      </c>
      <c r="B2671" s="60" t="str">
        <f>IFERROR(__xludf.DUMMYFUNCTION("""COMPUTED_VALUE"""),"Shelley, Rodney")</f>
        <v>Shelley, Rodney</v>
      </c>
      <c r="C2671" s="60" t="str">
        <f>IFERROR(__xludf.DUMMYFUNCTION("""COMPUTED_VALUE"""),"CB")</f>
        <v>CB</v>
      </c>
      <c r="D2671" s="60" t="str">
        <f>IFERROR(__xludf.DUMMYFUNCTION("""COMPUTED_VALUE"""),"LAC")</f>
        <v>LAC</v>
      </c>
      <c r="E2671" s="62" t="str">
        <f t="shared" si="5153"/>
        <v>Rodney Shelley</v>
      </c>
      <c r="F2671" s="62">
        <f t="shared" ref="F2671:G2671" si="5342">IF(isblank(F$1),,IF(isblank($A2671),,IFERROR(vlookup($A2671,indirect("'TVC-"&amp;text(month(F$1),"00")&amp;"'!$A:$D"),4,false),1)))</f>
        <v>1</v>
      </c>
      <c r="G2671" s="62">
        <f t="shared" si="5342"/>
        <v>1</v>
      </c>
      <c r="H2671" s="62">
        <f t="shared" ref="H2671:Q2671" si="5343">IF(isblank(H$1),,IFERROR(vlookup($A2671,indirect("'TVC-"&amp;text(month(H$1),"00")&amp;"'!$A:$D"),4,false),1))</f>
        <v>1</v>
      </c>
      <c r="I2671" s="62">
        <f t="shared" si="5343"/>
        <v>1</v>
      </c>
      <c r="J2671" s="62">
        <f t="shared" si="5343"/>
        <v>1</v>
      </c>
      <c r="K2671" s="62">
        <f t="shared" si="5343"/>
        <v>1</v>
      </c>
      <c r="L2671" s="62">
        <f t="shared" si="5343"/>
        <v>1</v>
      </c>
      <c r="M2671" s="62">
        <f t="shared" si="5343"/>
        <v>1</v>
      </c>
      <c r="N2671" s="62">
        <f t="shared" si="5343"/>
        <v>1</v>
      </c>
      <c r="O2671" s="62">
        <f t="shared" si="5343"/>
        <v>1</v>
      </c>
      <c r="P2671" s="62" t="str">
        <f t="shared" si="5343"/>
        <v/>
      </c>
      <c r="Q2671" s="62" t="str">
        <f t="shared" si="5343"/>
        <v/>
      </c>
      <c r="R2671" s="62">
        <f t="shared" si="7"/>
        <v>0</v>
      </c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</row>
    <row r="2672" hidden="1">
      <c r="A2672" s="60">
        <f>IFERROR(__xludf.DUMMYFUNCTION("""COMPUTED_VALUE"""),17787.0)</f>
        <v>17787</v>
      </c>
      <c r="B2672" s="60" t="str">
        <f>IFERROR(__xludf.DUMMYFUNCTION("""COMPUTED_VALUE"""),"Anderson, Liam")</f>
        <v>Anderson, Liam</v>
      </c>
      <c r="C2672" s="60" t="str">
        <f>IFERROR(__xludf.DUMMYFUNCTION("""COMPUTED_VALUE"""),"LB")</f>
        <v>LB</v>
      </c>
      <c r="D2672" s="60" t="str">
        <f>IFERROR(__xludf.DUMMYFUNCTION("""COMPUTED_VALUE"""),"MIA")</f>
        <v>MIA</v>
      </c>
      <c r="E2672" s="62" t="str">
        <f t="shared" si="5153"/>
        <v>Liam Anderson</v>
      </c>
      <c r="F2672" s="62">
        <f t="shared" ref="F2672:G2672" si="5344">IF(isblank(F$1),,IF(isblank($A2672),,IFERROR(vlookup($A2672,indirect("'TVC-"&amp;text(month(F$1),"00")&amp;"'!$A:$D"),4,false),1)))</f>
        <v>1</v>
      </c>
      <c r="G2672" s="62">
        <f t="shared" si="5344"/>
        <v>1</v>
      </c>
      <c r="H2672" s="62">
        <f t="shared" ref="H2672:Q2672" si="5345">IF(isblank(H$1),,IFERROR(vlookup($A2672,indirect("'TVC-"&amp;text(month(H$1),"00")&amp;"'!$A:$D"),4,false),1))</f>
        <v>1</v>
      </c>
      <c r="I2672" s="62">
        <f t="shared" si="5345"/>
        <v>1</v>
      </c>
      <c r="J2672" s="62">
        <f t="shared" si="5345"/>
        <v>1</v>
      </c>
      <c r="K2672" s="62">
        <f t="shared" si="5345"/>
        <v>1</v>
      </c>
      <c r="L2672" s="62">
        <f t="shared" si="5345"/>
        <v>1</v>
      </c>
      <c r="M2672" s="62">
        <f t="shared" si="5345"/>
        <v>1</v>
      </c>
      <c r="N2672" s="62">
        <f t="shared" si="5345"/>
        <v>1</v>
      </c>
      <c r="O2672" s="62">
        <f t="shared" si="5345"/>
        <v>1</v>
      </c>
      <c r="P2672" s="62" t="str">
        <f t="shared" si="5345"/>
        <v/>
      </c>
      <c r="Q2672" s="62" t="str">
        <f t="shared" si="5345"/>
        <v/>
      </c>
      <c r="R2672" s="62">
        <f t="shared" si="7"/>
        <v>0</v>
      </c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</row>
    <row r="2673" hidden="1">
      <c r="A2673" s="60">
        <f>IFERROR(__xludf.DUMMYFUNCTION("""COMPUTED_VALUE"""),17788.0)</f>
        <v>17788</v>
      </c>
      <c r="B2673" s="60" t="str">
        <f>IFERROR(__xludf.DUMMYFUNCTION("""COMPUTED_VALUE"""),"Gushiken, Kapena")</f>
        <v>Gushiken, Kapena</v>
      </c>
      <c r="C2673" s="60" t="str">
        <f>IFERROR(__xludf.DUMMYFUNCTION("""COMPUTED_VALUE"""),"CB")</f>
        <v>CB</v>
      </c>
      <c r="D2673" s="60" t="str">
        <f>IFERROR(__xludf.DUMMYFUNCTION("""COMPUTED_VALUE"""),"IND")</f>
        <v>IND</v>
      </c>
      <c r="E2673" s="62" t="str">
        <f t="shared" si="5153"/>
        <v>Kapena Gushiken</v>
      </c>
      <c r="F2673" s="62">
        <f t="shared" ref="F2673:G2673" si="5346">IF(isblank(F$1),,IF(isblank($A2673),,IFERROR(vlookup($A2673,indirect("'TVC-"&amp;text(month(F$1),"00")&amp;"'!$A:$D"),4,false),1)))</f>
        <v>1</v>
      </c>
      <c r="G2673" s="62">
        <f t="shared" si="5346"/>
        <v>1</v>
      </c>
      <c r="H2673" s="62">
        <f t="shared" ref="H2673:Q2673" si="5347">IF(isblank(H$1),,IFERROR(vlookup($A2673,indirect("'TVC-"&amp;text(month(H$1),"00")&amp;"'!$A:$D"),4,false),1))</f>
        <v>1</v>
      </c>
      <c r="I2673" s="62">
        <f t="shared" si="5347"/>
        <v>1</v>
      </c>
      <c r="J2673" s="62">
        <f t="shared" si="5347"/>
        <v>1</v>
      </c>
      <c r="K2673" s="62">
        <f t="shared" si="5347"/>
        <v>1</v>
      </c>
      <c r="L2673" s="62">
        <f t="shared" si="5347"/>
        <v>1</v>
      </c>
      <c r="M2673" s="62">
        <f t="shared" si="5347"/>
        <v>1</v>
      </c>
      <c r="N2673" s="62">
        <f t="shared" si="5347"/>
        <v>1</v>
      </c>
      <c r="O2673" s="62">
        <f t="shared" si="5347"/>
        <v>1</v>
      </c>
      <c r="P2673" s="62" t="str">
        <f t="shared" si="5347"/>
        <v/>
      </c>
      <c r="Q2673" s="62" t="str">
        <f t="shared" si="5347"/>
        <v/>
      </c>
      <c r="R2673" s="62">
        <f t="shared" si="7"/>
        <v>0</v>
      </c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</row>
    <row r="2674" hidden="1">
      <c r="A2674" s="60">
        <f>IFERROR(__xludf.DUMMYFUNCTION("""COMPUTED_VALUE"""),17789.0)</f>
        <v>17789</v>
      </c>
      <c r="B2674" s="60" t="str">
        <f>IFERROR(__xludf.DUMMYFUNCTION("""COMPUTED_VALUE"""),"Couch, Te'Cory")</f>
        <v>Couch, Te'Cory</v>
      </c>
      <c r="C2674" s="60" t="str">
        <f>IFERROR(__xludf.DUMMYFUNCTION("""COMPUTED_VALUE"""),"CB")</f>
        <v>CB</v>
      </c>
      <c r="D2674" s="60" t="str">
        <f>IFERROR(__xludf.DUMMYFUNCTION("""COMPUTED_VALUE"""),"BUF")</f>
        <v>BUF</v>
      </c>
      <c r="E2674" s="62" t="str">
        <f t="shared" si="5153"/>
        <v>Te'Cory Couch</v>
      </c>
      <c r="F2674" s="62">
        <f t="shared" ref="F2674:G2674" si="5348">IF(isblank(F$1),,IF(isblank($A2674),,IFERROR(vlookup($A2674,indirect("'TVC-"&amp;text(month(F$1),"00")&amp;"'!$A:$D"),4,false),1)))</f>
        <v>1</v>
      </c>
      <c r="G2674" s="62">
        <f t="shared" si="5348"/>
        <v>1</v>
      </c>
      <c r="H2674" s="62">
        <f t="shared" ref="H2674:Q2674" si="5349">IF(isblank(H$1),,IFERROR(vlookup($A2674,indirect("'TVC-"&amp;text(month(H$1),"00")&amp;"'!$A:$D"),4,false),1))</f>
        <v>1</v>
      </c>
      <c r="I2674" s="62">
        <f t="shared" si="5349"/>
        <v>1</v>
      </c>
      <c r="J2674" s="62">
        <f t="shared" si="5349"/>
        <v>1</v>
      </c>
      <c r="K2674" s="62">
        <f t="shared" si="5349"/>
        <v>1</v>
      </c>
      <c r="L2674" s="62">
        <f t="shared" si="5349"/>
        <v>1</v>
      </c>
      <c r="M2674" s="62">
        <f t="shared" si="5349"/>
        <v>1</v>
      </c>
      <c r="N2674" s="62">
        <f t="shared" si="5349"/>
        <v>1</v>
      </c>
      <c r="O2674" s="62">
        <f t="shared" si="5349"/>
        <v>1</v>
      </c>
      <c r="P2674" s="62" t="str">
        <f t="shared" si="5349"/>
        <v/>
      </c>
      <c r="Q2674" s="62" t="str">
        <f t="shared" si="5349"/>
        <v/>
      </c>
      <c r="R2674" s="62">
        <f t="shared" si="7"/>
        <v>0</v>
      </c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</row>
    <row r="2675" hidden="1">
      <c r="A2675" s="60">
        <f>IFERROR(__xludf.DUMMYFUNCTION("""COMPUTED_VALUE"""),17790.0)</f>
        <v>17790</v>
      </c>
      <c r="B2675" s="60" t="str">
        <f>IFERROR(__xludf.DUMMYFUNCTION("""COMPUTED_VALUE"""),"Eason, Bryson")</f>
        <v>Eason, Bryson</v>
      </c>
      <c r="C2675" s="60" t="str">
        <f>IFERROR(__xludf.DUMMYFUNCTION("""COMPUTED_VALUE"""),"DT")</f>
        <v>DT</v>
      </c>
      <c r="D2675" s="60" t="str">
        <f>IFERROR(__xludf.DUMMYFUNCTION("""COMPUTED_VALUE"""),"KCC")</f>
        <v>KCC</v>
      </c>
      <c r="E2675" s="62" t="str">
        <f t="shared" si="5153"/>
        <v>Bryson Eason</v>
      </c>
      <c r="F2675" s="62">
        <f t="shared" ref="F2675:G2675" si="5350">IF(isblank(F$1),,IF(isblank($A2675),,IFERROR(vlookup($A2675,indirect("'TVC-"&amp;text(month(F$1),"00")&amp;"'!$A:$D"),4,false),1)))</f>
        <v>1</v>
      </c>
      <c r="G2675" s="62">
        <f t="shared" si="5350"/>
        <v>1</v>
      </c>
      <c r="H2675" s="62">
        <f t="shared" ref="H2675:Q2675" si="5351">IF(isblank(H$1),,IFERROR(vlookup($A2675,indirect("'TVC-"&amp;text(month(H$1),"00")&amp;"'!$A:$D"),4,false),1))</f>
        <v>1</v>
      </c>
      <c r="I2675" s="62">
        <f t="shared" si="5351"/>
        <v>1</v>
      </c>
      <c r="J2675" s="62">
        <f t="shared" si="5351"/>
        <v>1</v>
      </c>
      <c r="K2675" s="62">
        <f t="shared" si="5351"/>
        <v>1</v>
      </c>
      <c r="L2675" s="62">
        <f t="shared" si="5351"/>
        <v>1</v>
      </c>
      <c r="M2675" s="62">
        <f t="shared" si="5351"/>
        <v>1</v>
      </c>
      <c r="N2675" s="62">
        <f t="shared" si="5351"/>
        <v>1</v>
      </c>
      <c r="O2675" s="62">
        <f t="shared" si="5351"/>
        <v>1</v>
      </c>
      <c r="P2675" s="62" t="str">
        <f t="shared" si="5351"/>
        <v/>
      </c>
      <c r="Q2675" s="62" t="str">
        <f t="shared" si="5351"/>
        <v/>
      </c>
      <c r="R2675" s="62">
        <f t="shared" si="7"/>
        <v>0</v>
      </c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</row>
    <row r="2676" hidden="1">
      <c r="A2676" s="60">
        <f>IFERROR(__xludf.DUMMYFUNCTION("""COMPUTED_VALUE"""),17791.0)</f>
        <v>17791</v>
      </c>
      <c r="B2676" s="60" t="str">
        <f>IFERROR(__xludf.DUMMYFUNCTION("""COMPUTED_VALUE"""),"Tyus, Anthony")</f>
        <v>Tyus, Anthony</v>
      </c>
      <c r="C2676" s="60" t="str">
        <f>IFERROR(__xludf.DUMMYFUNCTION("""COMPUTED_VALUE"""),"RB")</f>
        <v>RB</v>
      </c>
      <c r="D2676" s="60" t="str">
        <f>IFERROR(__xludf.DUMMYFUNCTION("""COMPUTED_VALUE"""),"CAR")</f>
        <v>CAR</v>
      </c>
      <c r="E2676" s="62" t="str">
        <f t="shared" si="5153"/>
        <v>Anthony Tyus</v>
      </c>
      <c r="F2676" s="62">
        <f t="shared" ref="F2676:G2676" si="5352">IF(isblank(F$1),,IF(isblank($A2676),,IFERROR(vlookup($A2676,indirect("'TVC-"&amp;text(month(F$1),"00")&amp;"'!$A:$D"),4,false),1)))</f>
        <v>1</v>
      </c>
      <c r="G2676" s="62">
        <f t="shared" si="5352"/>
        <v>1</v>
      </c>
      <c r="H2676" s="62">
        <f t="shared" ref="H2676:Q2676" si="5353">IF(isblank(H$1),,IFERROR(vlookup($A2676,indirect("'TVC-"&amp;text(month(H$1),"00")&amp;"'!$A:$D"),4,false),1))</f>
        <v>1</v>
      </c>
      <c r="I2676" s="62">
        <f t="shared" si="5353"/>
        <v>1</v>
      </c>
      <c r="J2676" s="62">
        <f t="shared" si="5353"/>
        <v>1</v>
      </c>
      <c r="K2676" s="62">
        <f t="shared" si="5353"/>
        <v>1</v>
      </c>
      <c r="L2676" s="62">
        <f t="shared" si="5353"/>
        <v>1</v>
      </c>
      <c r="M2676" s="62">
        <f t="shared" si="5353"/>
        <v>1</v>
      </c>
      <c r="N2676" s="62">
        <f t="shared" si="5353"/>
        <v>1</v>
      </c>
      <c r="O2676" s="62">
        <f t="shared" si="5353"/>
        <v>1</v>
      </c>
      <c r="P2676" s="62" t="str">
        <f t="shared" si="5353"/>
        <v/>
      </c>
      <c r="Q2676" s="62" t="str">
        <f t="shared" si="5353"/>
        <v/>
      </c>
      <c r="R2676" s="62">
        <f t="shared" si="7"/>
        <v>0</v>
      </c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</row>
    <row r="2677" hidden="1">
      <c r="A2677" s="60">
        <f>IFERROR(__xludf.DUMMYFUNCTION("""COMPUTED_VALUE"""),17793.0)</f>
        <v>17793</v>
      </c>
      <c r="B2677" s="60" t="str">
        <f>IFERROR(__xludf.DUMMYFUNCTION("""COMPUTED_VALUE"""),"Slaughter, Doneiko")</f>
        <v>Slaughter, Doneiko</v>
      </c>
      <c r="C2677" s="60" t="str">
        <f>IFERROR(__xludf.DUMMYFUNCTION("""COMPUTED_VALUE"""),"CB")</f>
        <v>CB</v>
      </c>
      <c r="D2677" s="60" t="str">
        <f>IFERROR(__xludf.DUMMYFUNCTION("""COMPUTED_VALUE"""),"PIT")</f>
        <v>PIT</v>
      </c>
      <c r="E2677" s="62" t="str">
        <f t="shared" si="5153"/>
        <v>Doneiko Slaughter</v>
      </c>
      <c r="F2677" s="62">
        <f t="shared" ref="F2677:G2677" si="5354">IF(isblank(F$1),,IF(isblank($A2677),,IFERROR(vlookup($A2677,indirect("'TVC-"&amp;text(month(F$1),"00")&amp;"'!$A:$D"),4,false),1)))</f>
        <v>1</v>
      </c>
      <c r="G2677" s="62">
        <f t="shared" si="5354"/>
        <v>1</v>
      </c>
      <c r="H2677" s="62">
        <f t="shared" ref="H2677:Q2677" si="5355">IF(isblank(H$1),,IFERROR(vlookup($A2677,indirect("'TVC-"&amp;text(month(H$1),"00")&amp;"'!$A:$D"),4,false),1))</f>
        <v>1</v>
      </c>
      <c r="I2677" s="62">
        <f t="shared" si="5355"/>
        <v>1</v>
      </c>
      <c r="J2677" s="62">
        <f t="shared" si="5355"/>
        <v>1</v>
      </c>
      <c r="K2677" s="62">
        <f t="shared" si="5355"/>
        <v>1</v>
      </c>
      <c r="L2677" s="62">
        <f t="shared" si="5355"/>
        <v>1</v>
      </c>
      <c r="M2677" s="62">
        <f t="shared" si="5355"/>
        <v>1</v>
      </c>
      <c r="N2677" s="62">
        <f t="shared" si="5355"/>
        <v>1</v>
      </c>
      <c r="O2677" s="62">
        <f t="shared" si="5355"/>
        <v>1</v>
      </c>
      <c r="P2677" s="62" t="str">
        <f t="shared" si="5355"/>
        <v/>
      </c>
      <c r="Q2677" s="62" t="str">
        <f t="shared" si="5355"/>
        <v/>
      </c>
      <c r="R2677" s="62">
        <f t="shared" si="7"/>
        <v>0</v>
      </c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</row>
    <row r="2678" hidden="1">
      <c r="A2678" s="60">
        <f>IFERROR(__xludf.DUMMYFUNCTION("""COMPUTED_VALUE"""),17794.0)</f>
        <v>17794</v>
      </c>
      <c r="B2678" s="60" t="str">
        <f>IFERROR(__xludf.DUMMYFUNCTION("""COMPUTED_VALUE"""),"Cooper, Keith")</f>
        <v>Cooper, Keith</v>
      </c>
      <c r="C2678" s="60" t="str">
        <f>IFERROR(__xludf.DUMMYFUNCTION("""COMPUTED_VALUE"""),"DT")</f>
        <v>DT</v>
      </c>
      <c r="D2678" s="60" t="str">
        <f>IFERROR(__xludf.DUMMYFUNCTION("""COMPUTED_VALUE"""),"CAR")</f>
        <v>CAR</v>
      </c>
      <c r="E2678" s="62" t="str">
        <f t="shared" si="5153"/>
        <v>Keith Cooper</v>
      </c>
      <c r="F2678" s="62">
        <f t="shared" ref="F2678:G2678" si="5356">IF(isblank(F$1),,IF(isblank($A2678),,IFERROR(vlookup($A2678,indirect("'TVC-"&amp;text(month(F$1),"00")&amp;"'!$A:$D"),4,false),1)))</f>
        <v>1</v>
      </c>
      <c r="G2678" s="62">
        <f t="shared" si="5356"/>
        <v>1</v>
      </c>
      <c r="H2678" s="62">
        <f t="shared" ref="H2678:Q2678" si="5357">IF(isblank(H$1),,IFERROR(vlookup($A2678,indirect("'TVC-"&amp;text(month(H$1),"00")&amp;"'!$A:$D"),4,false),1))</f>
        <v>1</v>
      </c>
      <c r="I2678" s="62">
        <f t="shared" si="5357"/>
        <v>1</v>
      </c>
      <c r="J2678" s="62">
        <f t="shared" si="5357"/>
        <v>1</v>
      </c>
      <c r="K2678" s="62">
        <f t="shared" si="5357"/>
        <v>1</v>
      </c>
      <c r="L2678" s="62">
        <f t="shared" si="5357"/>
        <v>1</v>
      </c>
      <c r="M2678" s="62">
        <f t="shared" si="5357"/>
        <v>1</v>
      </c>
      <c r="N2678" s="62">
        <f t="shared" si="5357"/>
        <v>1</v>
      </c>
      <c r="O2678" s="62">
        <f t="shared" si="5357"/>
        <v>1</v>
      </c>
      <c r="P2678" s="62" t="str">
        <f t="shared" si="5357"/>
        <v/>
      </c>
      <c r="Q2678" s="62" t="str">
        <f t="shared" si="5357"/>
        <v/>
      </c>
      <c r="R2678" s="62">
        <f t="shared" si="7"/>
        <v>0</v>
      </c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</row>
    <row r="2679" hidden="1">
      <c r="A2679" s="60">
        <f>IFERROR(__xludf.DUMMYFUNCTION("""COMPUTED_VALUE"""),17795.0)</f>
        <v>17795</v>
      </c>
      <c r="B2679" s="60" t="str">
        <f>IFERROR(__xludf.DUMMYFUNCTION("""COMPUTED_VALUE"""),"Arkin, Tanner")</f>
        <v>Arkin, Tanner</v>
      </c>
      <c r="C2679" s="60" t="str">
        <f>IFERROR(__xludf.DUMMYFUNCTION("""COMPUTED_VALUE"""),"TE")</f>
        <v>TE</v>
      </c>
      <c r="D2679" s="60" t="str">
        <f>IFERROR(__xludf.DUMMYFUNCTION("""COMPUTED_VALUE"""),"NEP")</f>
        <v>NEP</v>
      </c>
      <c r="E2679" s="62" t="str">
        <f t="shared" si="5153"/>
        <v>Tanner Arkin</v>
      </c>
      <c r="F2679" s="62">
        <f t="shared" ref="F2679:G2679" si="5358">IF(isblank(F$1),,IF(isblank($A2679),,IFERROR(vlookup($A2679,indirect("'TVC-"&amp;text(month(F$1),"00")&amp;"'!$A:$D"),4,false),1)))</f>
        <v>1</v>
      </c>
      <c r="G2679" s="62">
        <f t="shared" si="5358"/>
        <v>1</v>
      </c>
      <c r="H2679" s="62">
        <f t="shared" ref="H2679:Q2679" si="5359">IF(isblank(H$1),,IFERROR(vlookup($A2679,indirect("'TVC-"&amp;text(month(H$1),"00")&amp;"'!$A:$D"),4,false),1))</f>
        <v>1</v>
      </c>
      <c r="I2679" s="62">
        <f t="shared" si="5359"/>
        <v>1</v>
      </c>
      <c r="J2679" s="62">
        <f t="shared" si="5359"/>
        <v>1</v>
      </c>
      <c r="K2679" s="62">
        <f t="shared" si="5359"/>
        <v>1</v>
      </c>
      <c r="L2679" s="62">
        <f t="shared" si="5359"/>
        <v>1</v>
      </c>
      <c r="M2679" s="62">
        <f t="shared" si="5359"/>
        <v>1</v>
      </c>
      <c r="N2679" s="62">
        <f t="shared" si="5359"/>
        <v>1</v>
      </c>
      <c r="O2679" s="62">
        <f t="shared" si="5359"/>
        <v>1</v>
      </c>
      <c r="P2679" s="62" t="str">
        <f t="shared" si="5359"/>
        <v/>
      </c>
      <c r="Q2679" s="62" t="str">
        <f t="shared" si="5359"/>
        <v/>
      </c>
      <c r="R2679" s="62">
        <f t="shared" si="7"/>
        <v>0</v>
      </c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</row>
    <row r="2680" hidden="1">
      <c r="A2680" s="60">
        <f>IFERROR(__xludf.DUMMYFUNCTION("""COMPUTED_VALUE"""),17796.0)</f>
        <v>17796</v>
      </c>
      <c r="B2680" s="60" t="str">
        <f>IFERROR(__xludf.DUMMYFUNCTION("""COMPUTED_VALUE"""),"Valdez, Sebastian")</f>
        <v>Valdez, Sebastian</v>
      </c>
      <c r="C2680" s="60" t="str">
        <f>IFERROR(__xludf.DUMMYFUNCTION("""COMPUTED_VALUE"""),"DT")</f>
        <v>DT</v>
      </c>
      <c r="D2680" s="60" t="str">
        <f>IFERROR(__xludf.DUMMYFUNCTION("""COMPUTED_VALUE"""),"SFO")</f>
        <v>SFO</v>
      </c>
      <c r="E2680" s="62" t="str">
        <f t="shared" si="5153"/>
        <v>Sebastian Valdez</v>
      </c>
      <c r="F2680" s="62">
        <f t="shared" ref="F2680:G2680" si="5360">IF(isblank(F$1),,IF(isblank($A2680),,IFERROR(vlookup($A2680,indirect("'TVC-"&amp;text(month(F$1),"00")&amp;"'!$A:$D"),4,false),1)))</f>
        <v>1</v>
      </c>
      <c r="G2680" s="62">
        <f t="shared" si="5360"/>
        <v>1</v>
      </c>
      <c r="H2680" s="62">
        <f t="shared" ref="H2680:Q2680" si="5361">IF(isblank(H$1),,IFERROR(vlookup($A2680,indirect("'TVC-"&amp;text(month(H$1),"00")&amp;"'!$A:$D"),4,false),1))</f>
        <v>1</v>
      </c>
      <c r="I2680" s="62">
        <f t="shared" si="5361"/>
        <v>1</v>
      </c>
      <c r="J2680" s="62">
        <f t="shared" si="5361"/>
        <v>1</v>
      </c>
      <c r="K2680" s="62">
        <f t="shared" si="5361"/>
        <v>1</v>
      </c>
      <c r="L2680" s="62">
        <f t="shared" si="5361"/>
        <v>1</v>
      </c>
      <c r="M2680" s="62">
        <f t="shared" si="5361"/>
        <v>1</v>
      </c>
      <c r="N2680" s="62">
        <f t="shared" si="5361"/>
        <v>1</v>
      </c>
      <c r="O2680" s="62">
        <f t="shared" si="5361"/>
        <v>1</v>
      </c>
      <c r="P2680" s="62" t="str">
        <f t="shared" si="5361"/>
        <v/>
      </c>
      <c r="Q2680" s="62" t="str">
        <f t="shared" si="5361"/>
        <v/>
      </c>
      <c r="R2680" s="62">
        <f t="shared" si="7"/>
        <v>0</v>
      </c>
      <c r="S2680" s="62"/>
      <c r="T2680" s="62"/>
      <c r="U2680" s="62"/>
      <c r="V2680" s="62"/>
      <c r="W2680" s="62"/>
      <c r="X2680" s="62"/>
      <c r="Y2680" s="62"/>
      <c r="Z2680" s="62"/>
      <c r="AA2680" s="62"/>
      <c r="AB2680" s="62"/>
      <c r="AC2680" s="62"/>
    </row>
    <row r="2681" hidden="1">
      <c r="A2681" s="60">
        <f>IFERROR(__xludf.DUMMYFUNCTION("""COMPUTED_VALUE"""),17797.0)</f>
        <v>17797</v>
      </c>
      <c r="B2681" s="60" t="str">
        <f>IFERROR(__xludf.DUMMYFUNCTION("""COMPUTED_VALUE"""),"Williams, Wydett")</f>
        <v>Williams, Wydett</v>
      </c>
      <c r="C2681" s="60" t="str">
        <f>IFERROR(__xludf.DUMMYFUNCTION("""COMPUTED_VALUE"""),"S")</f>
        <v>S</v>
      </c>
      <c r="D2681" s="60" t="str">
        <f>IFERROR(__xludf.DUMMYFUNCTION("""COMPUTED_VALUE"""),"ARI")</f>
        <v>ARI</v>
      </c>
      <c r="E2681" s="62" t="str">
        <f t="shared" si="5153"/>
        <v>Wydett Williams</v>
      </c>
      <c r="F2681" s="62">
        <f t="shared" ref="F2681:G2681" si="5362">IF(isblank(F$1),,IF(isblank($A2681),,IFERROR(vlookup($A2681,indirect("'TVC-"&amp;text(month(F$1),"00")&amp;"'!$A:$D"),4,false),1)))</f>
        <v>1</v>
      </c>
      <c r="G2681" s="62">
        <f t="shared" si="5362"/>
        <v>1</v>
      </c>
      <c r="H2681" s="62">
        <f t="shared" ref="H2681:Q2681" si="5363">IF(isblank(H$1),,IFERROR(vlookup($A2681,indirect("'TVC-"&amp;text(month(H$1),"00")&amp;"'!$A:$D"),4,false),1))</f>
        <v>1</v>
      </c>
      <c r="I2681" s="62">
        <f t="shared" si="5363"/>
        <v>1</v>
      </c>
      <c r="J2681" s="62">
        <f t="shared" si="5363"/>
        <v>1</v>
      </c>
      <c r="K2681" s="62">
        <f t="shared" si="5363"/>
        <v>1</v>
      </c>
      <c r="L2681" s="62">
        <f t="shared" si="5363"/>
        <v>1</v>
      </c>
      <c r="M2681" s="62">
        <f t="shared" si="5363"/>
        <v>1</v>
      </c>
      <c r="N2681" s="62">
        <f t="shared" si="5363"/>
        <v>1</v>
      </c>
      <c r="O2681" s="62">
        <f t="shared" si="5363"/>
        <v>1</v>
      </c>
      <c r="P2681" s="62" t="str">
        <f t="shared" si="5363"/>
        <v/>
      </c>
      <c r="Q2681" s="62" t="str">
        <f t="shared" si="5363"/>
        <v/>
      </c>
      <c r="R2681" s="62">
        <f t="shared" si="7"/>
        <v>0</v>
      </c>
      <c r="S2681" s="62"/>
      <c r="T2681" s="62"/>
      <c r="U2681" s="62"/>
      <c r="V2681" s="62"/>
      <c r="W2681" s="62"/>
      <c r="X2681" s="62"/>
      <c r="Y2681" s="62"/>
      <c r="Z2681" s="62"/>
      <c r="AA2681" s="62"/>
      <c r="AB2681" s="62"/>
      <c r="AC2681" s="62"/>
    </row>
    <row r="2682" hidden="1">
      <c r="A2682" s="60">
        <f>IFERROR(__xludf.DUMMYFUNCTION("""COMPUTED_VALUE"""),17798.0)</f>
        <v>17798</v>
      </c>
      <c r="B2682" s="60" t="str">
        <f>IFERROR(__xludf.DUMMYFUNCTION("""COMPUTED_VALUE"""),"Reid, Mike")</f>
        <v>Reid, Mike</v>
      </c>
      <c r="C2682" s="60" t="str">
        <f>IFERROR(__xludf.DUMMYFUNCTION("""COMPUTED_VALUE"""),"S")</f>
        <v>S</v>
      </c>
      <c r="D2682" s="60" t="str">
        <f>IFERROR(__xludf.DUMMYFUNCTION("""COMPUTED_VALUE"""),"NOS")</f>
        <v>NOS</v>
      </c>
      <c r="E2682" s="62" t="str">
        <f t="shared" si="5153"/>
        <v>Mike Reid</v>
      </c>
      <c r="F2682" s="62">
        <f t="shared" ref="F2682:G2682" si="5364">IF(isblank(F$1),,IF(isblank($A2682),,IFERROR(vlookup($A2682,indirect("'TVC-"&amp;text(month(F$1),"00")&amp;"'!$A:$D"),4,false),1)))</f>
        <v>1</v>
      </c>
      <c r="G2682" s="62">
        <f t="shared" si="5364"/>
        <v>1</v>
      </c>
      <c r="H2682" s="62">
        <f t="shared" ref="H2682:Q2682" si="5365">IF(isblank(H$1),,IFERROR(vlookup($A2682,indirect("'TVC-"&amp;text(month(H$1),"00")&amp;"'!$A:$D"),4,false),1))</f>
        <v>1</v>
      </c>
      <c r="I2682" s="62">
        <f t="shared" si="5365"/>
        <v>1</v>
      </c>
      <c r="J2682" s="62">
        <f t="shared" si="5365"/>
        <v>1</v>
      </c>
      <c r="K2682" s="62">
        <f t="shared" si="5365"/>
        <v>1</v>
      </c>
      <c r="L2682" s="62">
        <f t="shared" si="5365"/>
        <v>1</v>
      </c>
      <c r="M2682" s="62">
        <f t="shared" si="5365"/>
        <v>1</v>
      </c>
      <c r="N2682" s="62">
        <f t="shared" si="5365"/>
        <v>1</v>
      </c>
      <c r="O2682" s="62">
        <f t="shared" si="5365"/>
        <v>1</v>
      </c>
      <c r="P2682" s="62" t="str">
        <f t="shared" si="5365"/>
        <v/>
      </c>
      <c r="Q2682" s="62" t="str">
        <f t="shared" si="5365"/>
        <v/>
      </c>
      <c r="R2682" s="62">
        <f t="shared" si="7"/>
        <v>0</v>
      </c>
      <c r="S2682" s="62"/>
      <c r="T2682" s="62"/>
      <c r="U2682" s="62"/>
      <c r="V2682" s="62"/>
      <c r="W2682" s="62"/>
      <c r="X2682" s="62"/>
      <c r="Y2682" s="62"/>
      <c r="Z2682" s="62"/>
      <c r="AA2682" s="62"/>
      <c r="AB2682" s="62"/>
      <c r="AC2682" s="62"/>
    </row>
    <row r="2683" hidden="1">
      <c r="A2683" s="60">
        <f>IFERROR(__xludf.DUMMYFUNCTION("""COMPUTED_VALUE"""),17799.0)</f>
        <v>17799</v>
      </c>
      <c r="B2683" s="60" t="str">
        <f>IFERROR(__xludf.DUMMYFUNCTION("""COMPUTED_VALUE"""),"Katsis, Kolbe")</f>
        <v>Katsis, Kolbe</v>
      </c>
      <c r="C2683" s="60" t="str">
        <f>IFERROR(__xludf.DUMMYFUNCTION("""COMPUTED_VALUE"""),"WR")</f>
        <v>WR</v>
      </c>
      <c r="D2683" s="60" t="str">
        <f>IFERROR(__xludf.DUMMYFUNCTION("""COMPUTED_VALUE"""),"DEN")</f>
        <v>DEN</v>
      </c>
      <c r="E2683" s="62" t="str">
        <f t="shared" si="5153"/>
        <v>Kolbe Katsis</v>
      </c>
      <c r="F2683" s="62">
        <f t="shared" ref="F2683:G2683" si="5366">IF(isblank(F$1),,IF(isblank($A2683),,IFERROR(vlookup($A2683,indirect("'TVC-"&amp;text(month(F$1),"00")&amp;"'!$A:$D"),4,false),1)))</f>
        <v>1</v>
      </c>
      <c r="G2683" s="62">
        <f t="shared" si="5366"/>
        <v>1</v>
      </c>
      <c r="H2683" s="62">
        <f t="shared" ref="H2683:Q2683" si="5367">IF(isblank(H$1),,IFERROR(vlookup($A2683,indirect("'TVC-"&amp;text(month(H$1),"00")&amp;"'!$A:$D"),4,false),1))</f>
        <v>1</v>
      </c>
      <c r="I2683" s="62">
        <f t="shared" si="5367"/>
        <v>1</v>
      </c>
      <c r="J2683" s="62">
        <f t="shared" si="5367"/>
        <v>1</v>
      </c>
      <c r="K2683" s="62">
        <f t="shared" si="5367"/>
        <v>1</v>
      </c>
      <c r="L2683" s="62">
        <f t="shared" si="5367"/>
        <v>1</v>
      </c>
      <c r="M2683" s="62">
        <f t="shared" si="5367"/>
        <v>1</v>
      </c>
      <c r="N2683" s="62">
        <f t="shared" si="5367"/>
        <v>1</v>
      </c>
      <c r="O2683" s="62">
        <f t="shared" si="5367"/>
        <v>1</v>
      </c>
      <c r="P2683" s="62" t="str">
        <f t="shared" si="5367"/>
        <v/>
      </c>
      <c r="Q2683" s="62" t="str">
        <f t="shared" si="5367"/>
        <v/>
      </c>
      <c r="R2683" s="62">
        <f t="shared" si="7"/>
        <v>0</v>
      </c>
      <c r="S2683" s="62"/>
      <c r="T2683" s="62"/>
      <c r="U2683" s="62"/>
      <c r="V2683" s="62"/>
      <c r="W2683" s="62"/>
      <c r="X2683" s="62"/>
      <c r="Y2683" s="62"/>
      <c r="Z2683" s="62"/>
      <c r="AA2683" s="62"/>
      <c r="AB2683" s="62"/>
      <c r="AC2683" s="62"/>
    </row>
    <row r="2684" hidden="1">
      <c r="A2684" s="60">
        <f>IFERROR(__xludf.DUMMYFUNCTION("""COMPUTED_VALUE"""),17801.0)</f>
        <v>17801</v>
      </c>
      <c r="B2684" s="60" t="str">
        <f>IFERROR(__xludf.DUMMYFUNCTION("""COMPUTED_VALUE"""),"Pyburn, Jack")</f>
        <v>Pyburn, Jack</v>
      </c>
      <c r="C2684" s="60" t="str">
        <f>IFERROR(__xludf.DUMMYFUNCTION("""COMPUTED_VALUE"""),"DE")</f>
        <v>DE</v>
      </c>
      <c r="D2684" s="60" t="str">
        <f>IFERROR(__xludf.DUMMYFUNCTION("""COMPUTED_VALUE"""),"KCC")</f>
        <v>KCC</v>
      </c>
      <c r="E2684" s="62" t="str">
        <f t="shared" si="5153"/>
        <v>Jack Pyburn</v>
      </c>
      <c r="F2684" s="62">
        <f t="shared" ref="F2684:G2684" si="5368">IF(isblank(F$1),,IF(isblank($A2684),,IFERROR(vlookup($A2684,indirect("'TVC-"&amp;text(month(F$1),"00")&amp;"'!$A:$D"),4,false),1)))</f>
        <v>1</v>
      </c>
      <c r="G2684" s="62">
        <f t="shared" si="5368"/>
        <v>1</v>
      </c>
      <c r="H2684" s="62">
        <f t="shared" ref="H2684:Q2684" si="5369">IF(isblank(H$1),,IFERROR(vlookup($A2684,indirect("'TVC-"&amp;text(month(H$1),"00")&amp;"'!$A:$D"),4,false),1))</f>
        <v>1</v>
      </c>
      <c r="I2684" s="62">
        <f t="shared" si="5369"/>
        <v>1</v>
      </c>
      <c r="J2684" s="62">
        <f t="shared" si="5369"/>
        <v>1</v>
      </c>
      <c r="K2684" s="62">
        <f t="shared" si="5369"/>
        <v>1</v>
      </c>
      <c r="L2684" s="62">
        <f t="shared" si="5369"/>
        <v>1</v>
      </c>
      <c r="M2684" s="62">
        <f t="shared" si="5369"/>
        <v>1</v>
      </c>
      <c r="N2684" s="62">
        <f t="shared" si="5369"/>
        <v>1</v>
      </c>
      <c r="O2684" s="62">
        <f t="shared" si="5369"/>
        <v>1</v>
      </c>
      <c r="P2684" s="62" t="str">
        <f t="shared" si="5369"/>
        <v/>
      </c>
      <c r="Q2684" s="62" t="str">
        <f t="shared" si="5369"/>
        <v/>
      </c>
      <c r="R2684" s="62">
        <f t="shared" si="7"/>
        <v>0</v>
      </c>
      <c r="S2684" s="62"/>
      <c r="T2684" s="62"/>
      <c r="U2684" s="62"/>
      <c r="V2684" s="62"/>
      <c r="W2684" s="62"/>
      <c r="X2684" s="62"/>
      <c r="Y2684" s="62"/>
      <c r="Z2684" s="62"/>
      <c r="AA2684" s="62"/>
      <c r="AB2684" s="62"/>
      <c r="AC2684" s="62"/>
    </row>
    <row r="2685" hidden="1">
      <c r="A2685" s="60">
        <f>IFERROR(__xludf.DUMMYFUNCTION("""COMPUTED_VALUE"""),17802.0)</f>
        <v>17802</v>
      </c>
      <c r="B2685" s="60" t="str">
        <f>IFERROR(__xludf.DUMMYFUNCTION("""COMPUTED_VALUE"""),"Redman, Mark")</f>
        <v>Redman, Mark</v>
      </c>
      <c r="C2685" s="60" t="str">
        <f>IFERROR(__xludf.DUMMYFUNCTION("""COMPUTED_VALUE"""),"TE")</f>
        <v>TE</v>
      </c>
      <c r="D2685" s="60" t="str">
        <f>IFERROR(__xludf.DUMMYFUNCTION("""COMPUTED_VALUE"""),"GBP")</f>
        <v>GBP</v>
      </c>
      <c r="E2685" s="62" t="str">
        <f t="shared" si="5153"/>
        <v>Mark Redman</v>
      </c>
      <c r="F2685" s="62">
        <f t="shared" ref="F2685:G2685" si="5370">IF(isblank(F$1),,IF(isblank($A2685),,IFERROR(vlookup($A2685,indirect("'TVC-"&amp;text(month(F$1),"00")&amp;"'!$A:$D"),4,false),1)))</f>
        <v>1</v>
      </c>
      <c r="G2685" s="62">
        <f t="shared" si="5370"/>
        <v>1</v>
      </c>
      <c r="H2685" s="62">
        <f t="shared" ref="H2685:Q2685" si="5371">IF(isblank(H$1),,IFERROR(vlookup($A2685,indirect("'TVC-"&amp;text(month(H$1),"00")&amp;"'!$A:$D"),4,false),1))</f>
        <v>1</v>
      </c>
      <c r="I2685" s="62">
        <f t="shared" si="5371"/>
        <v>1</v>
      </c>
      <c r="J2685" s="62">
        <f t="shared" si="5371"/>
        <v>1</v>
      </c>
      <c r="K2685" s="62">
        <f t="shared" si="5371"/>
        <v>1</v>
      </c>
      <c r="L2685" s="62">
        <f t="shared" si="5371"/>
        <v>1</v>
      </c>
      <c r="M2685" s="62">
        <f t="shared" si="5371"/>
        <v>1</v>
      </c>
      <c r="N2685" s="62">
        <f t="shared" si="5371"/>
        <v>1</v>
      </c>
      <c r="O2685" s="62">
        <f t="shared" si="5371"/>
        <v>1</v>
      </c>
      <c r="P2685" s="62" t="str">
        <f t="shared" si="5371"/>
        <v/>
      </c>
      <c r="Q2685" s="62" t="str">
        <f t="shared" si="5371"/>
        <v/>
      </c>
      <c r="R2685" s="62">
        <f t="shared" si="7"/>
        <v>0</v>
      </c>
      <c r="S2685" s="62"/>
      <c r="T2685" s="62"/>
      <c r="U2685" s="62"/>
      <c r="V2685" s="62"/>
      <c r="W2685" s="62"/>
      <c r="X2685" s="62"/>
      <c r="Y2685" s="62"/>
      <c r="Z2685" s="62"/>
      <c r="AA2685" s="62"/>
      <c r="AB2685" s="62"/>
      <c r="AC2685" s="62"/>
    </row>
    <row r="2686" hidden="1">
      <c r="A2686" s="60">
        <f>IFERROR(__xludf.DUMMYFUNCTION("""COMPUTED_VALUE"""),17803.0)</f>
        <v>17803</v>
      </c>
      <c r="B2686" s="60" t="str">
        <f>IFERROR(__xludf.DUMMYFUNCTION("""COMPUTED_VALUE"""),"Pulley, Maximus")</f>
        <v>Pulley, Maximus</v>
      </c>
      <c r="C2686" s="60" t="str">
        <f>IFERROR(__xludf.DUMMYFUNCTION("""COMPUTED_VALUE"""),"S")</f>
        <v>S</v>
      </c>
      <c r="D2686" s="60" t="str">
        <f>IFERROR(__xludf.DUMMYFUNCTION("""COMPUTED_VALUE"""),"LAR")</f>
        <v>LAR</v>
      </c>
      <c r="E2686" s="62" t="str">
        <f t="shared" si="5153"/>
        <v>Maximus Pulley</v>
      </c>
      <c r="F2686" s="62">
        <f t="shared" ref="F2686:G2686" si="5372">IF(isblank(F$1),,IF(isblank($A2686),,IFERROR(vlookup($A2686,indirect("'TVC-"&amp;text(month(F$1),"00")&amp;"'!$A:$D"),4,false),1)))</f>
        <v>1</v>
      </c>
      <c r="G2686" s="62">
        <f t="shared" si="5372"/>
        <v>1</v>
      </c>
      <c r="H2686" s="62">
        <f t="shared" ref="H2686:Q2686" si="5373">IF(isblank(H$1),,IFERROR(vlookup($A2686,indirect("'TVC-"&amp;text(month(H$1),"00")&amp;"'!$A:$D"),4,false),1))</f>
        <v>1</v>
      </c>
      <c r="I2686" s="62">
        <f t="shared" si="5373"/>
        <v>1</v>
      </c>
      <c r="J2686" s="62">
        <f t="shared" si="5373"/>
        <v>1</v>
      </c>
      <c r="K2686" s="62">
        <f t="shared" si="5373"/>
        <v>1</v>
      </c>
      <c r="L2686" s="62">
        <f t="shared" si="5373"/>
        <v>1</v>
      </c>
      <c r="M2686" s="62">
        <f t="shared" si="5373"/>
        <v>1</v>
      </c>
      <c r="N2686" s="62">
        <f t="shared" si="5373"/>
        <v>1</v>
      </c>
      <c r="O2686" s="62">
        <f t="shared" si="5373"/>
        <v>1</v>
      </c>
      <c r="P2686" s="62" t="str">
        <f t="shared" si="5373"/>
        <v/>
      </c>
      <c r="Q2686" s="62" t="str">
        <f t="shared" si="5373"/>
        <v/>
      </c>
      <c r="R2686" s="62">
        <f t="shared" si="7"/>
        <v>0</v>
      </c>
      <c r="S2686" s="62"/>
      <c r="T2686" s="62"/>
      <c r="U2686" s="62"/>
      <c r="V2686" s="62"/>
      <c r="W2686" s="62"/>
      <c r="X2686" s="62"/>
      <c r="Y2686" s="62"/>
      <c r="Z2686" s="62"/>
      <c r="AA2686" s="62"/>
      <c r="AB2686" s="62"/>
      <c r="AC2686" s="62"/>
    </row>
    <row r="2687" hidden="1">
      <c r="A2687" s="60">
        <f>IFERROR(__xludf.DUMMYFUNCTION("""COMPUTED_VALUE"""),17804.0)</f>
        <v>17804</v>
      </c>
      <c r="B2687" s="60" t="str">
        <f>IFERROR(__xludf.DUMMYFUNCTION("""COMPUTED_VALUE"""),"Walker, Kani")</f>
        <v>Walker, Kani</v>
      </c>
      <c r="C2687" s="60" t="str">
        <f>IFERROR(__xludf.DUMMYFUNCTION("""COMPUTED_VALUE"""),"CB")</f>
        <v>CB</v>
      </c>
      <c r="D2687" s="60" t="str">
        <f>IFERROR(__xludf.DUMMYFUNCTION("""COMPUTED_VALUE"""),"BUF")</f>
        <v>BUF</v>
      </c>
      <c r="E2687" s="62" t="str">
        <f t="shared" si="5153"/>
        <v>Kani Walker</v>
      </c>
      <c r="F2687" s="62">
        <f t="shared" ref="F2687:G2687" si="5374">IF(isblank(F$1),,IF(isblank($A2687),,IFERROR(vlookup($A2687,indirect("'TVC-"&amp;text(month(F$1),"00")&amp;"'!$A:$D"),4,false),1)))</f>
        <v>1</v>
      </c>
      <c r="G2687" s="62">
        <f t="shared" si="5374"/>
        <v>1</v>
      </c>
      <c r="H2687" s="62">
        <f t="shared" ref="H2687:Q2687" si="5375">IF(isblank(H$1),,IFERROR(vlookup($A2687,indirect("'TVC-"&amp;text(month(H$1),"00")&amp;"'!$A:$D"),4,false),1))</f>
        <v>1</v>
      </c>
      <c r="I2687" s="62">
        <f t="shared" si="5375"/>
        <v>1</v>
      </c>
      <c r="J2687" s="62">
        <f t="shared" si="5375"/>
        <v>1</v>
      </c>
      <c r="K2687" s="62">
        <f t="shared" si="5375"/>
        <v>1</v>
      </c>
      <c r="L2687" s="62">
        <f t="shared" si="5375"/>
        <v>1</v>
      </c>
      <c r="M2687" s="62">
        <f t="shared" si="5375"/>
        <v>1</v>
      </c>
      <c r="N2687" s="62">
        <f t="shared" si="5375"/>
        <v>1</v>
      </c>
      <c r="O2687" s="62">
        <f t="shared" si="5375"/>
        <v>1</v>
      </c>
      <c r="P2687" s="62" t="str">
        <f t="shared" si="5375"/>
        <v/>
      </c>
      <c r="Q2687" s="62" t="str">
        <f t="shared" si="5375"/>
        <v/>
      </c>
      <c r="R2687" s="62">
        <f t="shared" si="7"/>
        <v>0</v>
      </c>
      <c r="S2687" s="62"/>
      <c r="T2687" s="62"/>
      <c r="U2687" s="62"/>
      <c r="V2687" s="62"/>
      <c r="W2687" s="62"/>
      <c r="X2687" s="62"/>
      <c r="Y2687" s="62"/>
      <c r="Z2687" s="62"/>
      <c r="AA2687" s="62"/>
      <c r="AB2687" s="62"/>
      <c r="AC2687" s="62"/>
    </row>
    <row r="2688" hidden="1">
      <c r="A2688" s="60">
        <f>IFERROR(__xludf.DUMMYFUNCTION("""COMPUTED_VALUE"""),17805.0)</f>
        <v>17805</v>
      </c>
      <c r="B2688" s="60" t="str">
        <f>IFERROR(__xludf.DUMMYFUNCTION("""COMPUTED_VALUE"""),"Ford, Trace")</f>
        <v>Ford, Trace</v>
      </c>
      <c r="C2688" s="60" t="str">
        <f>IFERROR(__xludf.DUMMYFUNCTION("""COMPUTED_VALUE"""),"LB")</f>
        <v>LB</v>
      </c>
      <c r="D2688" s="60" t="str">
        <f>IFERROR(__xludf.DUMMYFUNCTION("""COMPUTED_VALUE"""),"NYG")</f>
        <v>NYG</v>
      </c>
      <c r="E2688" s="62" t="str">
        <f t="shared" si="5153"/>
        <v>Trace Ford</v>
      </c>
      <c r="F2688" s="62">
        <f t="shared" ref="F2688:G2688" si="5376">IF(isblank(F$1),,IF(isblank($A2688),,IFERROR(vlookup($A2688,indirect("'TVC-"&amp;text(month(F$1),"00")&amp;"'!$A:$D"),4,false),1)))</f>
        <v>1</v>
      </c>
      <c r="G2688" s="62">
        <f t="shared" si="5376"/>
        <v>1</v>
      </c>
      <c r="H2688" s="62">
        <f t="shared" ref="H2688:Q2688" si="5377">IF(isblank(H$1),,IFERROR(vlookup($A2688,indirect("'TVC-"&amp;text(month(H$1),"00")&amp;"'!$A:$D"),4,false),1))</f>
        <v>1</v>
      </c>
      <c r="I2688" s="62">
        <f t="shared" si="5377"/>
        <v>1</v>
      </c>
      <c r="J2688" s="62">
        <f t="shared" si="5377"/>
        <v>1</v>
      </c>
      <c r="K2688" s="62">
        <f t="shared" si="5377"/>
        <v>1</v>
      </c>
      <c r="L2688" s="62">
        <f t="shared" si="5377"/>
        <v>1</v>
      </c>
      <c r="M2688" s="62">
        <f t="shared" si="5377"/>
        <v>1</v>
      </c>
      <c r="N2688" s="62">
        <f t="shared" si="5377"/>
        <v>1</v>
      </c>
      <c r="O2688" s="62">
        <f t="shared" si="5377"/>
        <v>1</v>
      </c>
      <c r="P2688" s="62" t="str">
        <f t="shared" si="5377"/>
        <v/>
      </c>
      <c r="Q2688" s="62" t="str">
        <f t="shared" si="5377"/>
        <v/>
      </c>
      <c r="R2688" s="62">
        <f t="shared" si="7"/>
        <v>0</v>
      </c>
      <c r="S2688" s="62"/>
      <c r="T2688" s="62"/>
      <c r="U2688" s="62"/>
      <c r="V2688" s="62"/>
      <c r="W2688" s="62"/>
      <c r="X2688" s="62"/>
      <c r="Y2688" s="62"/>
      <c r="Z2688" s="62"/>
      <c r="AA2688" s="62"/>
      <c r="AB2688" s="62"/>
      <c r="AC2688" s="62"/>
    </row>
    <row r="2689" hidden="1">
      <c r="A2689" s="60">
        <f>IFERROR(__xludf.DUMMYFUNCTION("""COMPUTED_VALUE"""),17807.0)</f>
        <v>17807</v>
      </c>
      <c r="B2689" s="60" t="str">
        <f>IFERROR(__xludf.DUMMYFUNCTION("""COMPUTED_VALUE"""),"Keller, Jaden")</f>
        <v>Keller, Jaden</v>
      </c>
      <c r="C2689" s="60" t="str">
        <f>IFERROR(__xludf.DUMMYFUNCTION("""COMPUTED_VALUE"""),"LB")</f>
        <v>LB</v>
      </c>
      <c r="D2689" s="60" t="str">
        <f>IFERROR(__xludf.DUMMYFUNCTION("""COMPUTED_VALUE"""),"NYJ")</f>
        <v>NYJ</v>
      </c>
      <c r="E2689" s="62" t="str">
        <f t="shared" si="5153"/>
        <v>Jaden Keller</v>
      </c>
      <c r="F2689" s="62">
        <f t="shared" ref="F2689:G2689" si="5378">IF(isblank(F$1),,IF(isblank($A2689),,IFERROR(vlookup($A2689,indirect("'TVC-"&amp;text(month(F$1),"00")&amp;"'!$A:$D"),4,false),1)))</f>
        <v>1</v>
      </c>
      <c r="G2689" s="62">
        <f t="shared" si="5378"/>
        <v>1</v>
      </c>
      <c r="H2689" s="62">
        <f t="shared" ref="H2689:Q2689" si="5379">IF(isblank(H$1),,IFERROR(vlookup($A2689,indirect("'TVC-"&amp;text(month(H$1),"00")&amp;"'!$A:$D"),4,false),1))</f>
        <v>1</v>
      </c>
      <c r="I2689" s="62">
        <f t="shared" si="5379"/>
        <v>1</v>
      </c>
      <c r="J2689" s="62">
        <f t="shared" si="5379"/>
        <v>1</v>
      </c>
      <c r="K2689" s="62">
        <f t="shared" si="5379"/>
        <v>1</v>
      </c>
      <c r="L2689" s="62">
        <f t="shared" si="5379"/>
        <v>1</v>
      </c>
      <c r="M2689" s="62">
        <f t="shared" si="5379"/>
        <v>1</v>
      </c>
      <c r="N2689" s="62">
        <f t="shared" si="5379"/>
        <v>1</v>
      </c>
      <c r="O2689" s="62">
        <f t="shared" si="5379"/>
        <v>1</v>
      </c>
      <c r="P2689" s="62" t="str">
        <f t="shared" si="5379"/>
        <v/>
      </c>
      <c r="Q2689" s="62" t="str">
        <f t="shared" si="5379"/>
        <v/>
      </c>
      <c r="R2689" s="62">
        <f t="shared" si="7"/>
        <v>0</v>
      </c>
      <c r="S2689" s="62"/>
      <c r="T2689" s="62"/>
      <c r="U2689" s="62"/>
      <c r="V2689" s="62"/>
      <c r="W2689" s="62"/>
      <c r="X2689" s="62"/>
      <c r="Y2689" s="62"/>
      <c r="Z2689" s="62"/>
      <c r="AA2689" s="62"/>
      <c r="AB2689" s="62"/>
      <c r="AC2689" s="62"/>
    </row>
    <row r="2690" hidden="1">
      <c r="A2690" s="60">
        <f>IFERROR(__xludf.DUMMYFUNCTION("""COMPUTED_VALUE"""),17808.0)</f>
        <v>17808</v>
      </c>
      <c r="B2690" s="60" t="str">
        <f>IFERROR(__xludf.DUMMYFUNCTION("""COMPUTED_VALUE"""),"McGraw, Rodney")</f>
        <v>McGraw, Rodney</v>
      </c>
      <c r="C2690" s="60" t="str">
        <f>IFERROR(__xludf.DUMMYFUNCTION("""COMPUTED_VALUE"""),"DE")</f>
        <v>DE</v>
      </c>
      <c r="D2690" s="60" t="str">
        <f>IFERROR(__xludf.DUMMYFUNCTION("""COMPUTED_VALUE"""),"MIA")</f>
        <v>MIA</v>
      </c>
      <c r="E2690" s="62" t="str">
        <f t="shared" si="5153"/>
        <v>Rodney McGraw</v>
      </c>
      <c r="F2690" s="62">
        <f t="shared" ref="F2690:G2690" si="5380">IF(isblank(F$1),,IF(isblank($A2690),,IFERROR(vlookup($A2690,indirect("'TVC-"&amp;text(month(F$1),"00")&amp;"'!$A:$D"),4,false),1)))</f>
        <v>1</v>
      </c>
      <c r="G2690" s="62">
        <f t="shared" si="5380"/>
        <v>1</v>
      </c>
      <c r="H2690" s="62">
        <f t="shared" ref="H2690:Q2690" si="5381">IF(isblank(H$1),,IFERROR(vlookup($A2690,indirect("'TVC-"&amp;text(month(H$1),"00")&amp;"'!$A:$D"),4,false),1))</f>
        <v>1</v>
      </c>
      <c r="I2690" s="62">
        <f t="shared" si="5381"/>
        <v>1</v>
      </c>
      <c r="J2690" s="62">
        <f t="shared" si="5381"/>
        <v>1</v>
      </c>
      <c r="K2690" s="62">
        <f t="shared" si="5381"/>
        <v>1</v>
      </c>
      <c r="L2690" s="62">
        <f t="shared" si="5381"/>
        <v>1</v>
      </c>
      <c r="M2690" s="62">
        <f t="shared" si="5381"/>
        <v>1</v>
      </c>
      <c r="N2690" s="62">
        <f t="shared" si="5381"/>
        <v>1</v>
      </c>
      <c r="O2690" s="62">
        <f t="shared" si="5381"/>
        <v>1</v>
      </c>
      <c r="P2690" s="62" t="str">
        <f t="shared" si="5381"/>
        <v/>
      </c>
      <c r="Q2690" s="62" t="str">
        <f t="shared" si="5381"/>
        <v/>
      </c>
      <c r="R2690" s="62">
        <f t="shared" si="7"/>
        <v>0</v>
      </c>
      <c r="S2690" s="62"/>
      <c r="T2690" s="62"/>
      <c r="U2690" s="62"/>
      <c r="V2690" s="62"/>
      <c r="W2690" s="62"/>
      <c r="X2690" s="62"/>
      <c r="Y2690" s="62"/>
      <c r="Z2690" s="62"/>
      <c r="AA2690" s="62"/>
      <c r="AB2690" s="62"/>
      <c r="AC2690" s="62"/>
    </row>
    <row r="2691" hidden="1">
      <c r="A2691" s="60">
        <f>IFERROR(__xludf.DUMMYFUNCTION("""COMPUTED_VALUE"""),17809.0)</f>
        <v>17809</v>
      </c>
      <c r="B2691" s="60" t="str">
        <f>IFERROR(__xludf.DUMMYFUNCTION("""COMPUTED_VALUE"""),"McMillan, Dontae")</f>
        <v>McMillan, Dontae</v>
      </c>
      <c r="C2691" s="60" t="str">
        <f>IFERROR(__xludf.DUMMYFUNCTION("""COMPUTED_VALUE"""),"RB")</f>
        <v>RB</v>
      </c>
      <c r="D2691" s="60" t="str">
        <f>IFERROR(__xludf.DUMMYFUNCTION("""COMPUTED_VALUE"""),"SEA")</f>
        <v>SEA</v>
      </c>
      <c r="E2691" s="62" t="str">
        <f t="shared" si="5153"/>
        <v>Dontae McMillan</v>
      </c>
      <c r="F2691" s="62">
        <f t="shared" ref="F2691:G2691" si="5382">IF(isblank(F$1),,IF(isblank($A2691),,IFERROR(vlookup($A2691,indirect("'TVC-"&amp;text(month(F$1),"00")&amp;"'!$A:$D"),4,false),1)))</f>
        <v>1</v>
      </c>
      <c r="G2691" s="62">
        <f t="shared" si="5382"/>
        <v>1</v>
      </c>
      <c r="H2691" s="62">
        <f t="shared" ref="H2691:Q2691" si="5383">IF(isblank(H$1),,IFERROR(vlookup($A2691,indirect("'TVC-"&amp;text(month(H$1),"00")&amp;"'!$A:$D"),4,false),1))</f>
        <v>1</v>
      </c>
      <c r="I2691" s="62">
        <f t="shared" si="5383"/>
        <v>1</v>
      </c>
      <c r="J2691" s="62">
        <f t="shared" si="5383"/>
        <v>1</v>
      </c>
      <c r="K2691" s="62">
        <f t="shared" si="5383"/>
        <v>1</v>
      </c>
      <c r="L2691" s="62">
        <f t="shared" si="5383"/>
        <v>1</v>
      </c>
      <c r="M2691" s="62">
        <f t="shared" si="5383"/>
        <v>1</v>
      </c>
      <c r="N2691" s="62">
        <f t="shared" si="5383"/>
        <v>1</v>
      </c>
      <c r="O2691" s="62">
        <f t="shared" si="5383"/>
        <v>1</v>
      </c>
      <c r="P2691" s="62" t="str">
        <f t="shared" si="5383"/>
        <v/>
      </c>
      <c r="Q2691" s="62" t="str">
        <f t="shared" si="5383"/>
        <v/>
      </c>
      <c r="R2691" s="62">
        <f t="shared" si="7"/>
        <v>0</v>
      </c>
      <c r="S2691" s="62"/>
      <c r="T2691" s="62"/>
      <c r="U2691" s="62"/>
      <c r="V2691" s="62"/>
      <c r="W2691" s="62"/>
      <c r="X2691" s="62"/>
      <c r="Y2691" s="62"/>
      <c r="Z2691" s="62"/>
      <c r="AA2691" s="62"/>
      <c r="AB2691" s="62"/>
      <c r="AC2691" s="62"/>
    </row>
    <row r="2692" hidden="1">
      <c r="A2692" s="60">
        <f>IFERROR(__xludf.DUMMYFUNCTION("""COMPUTED_VALUE"""),17811.0)</f>
        <v>17811</v>
      </c>
      <c r="B2692" s="60" t="str">
        <f>IFERROR(__xludf.DUMMYFUNCTION("""COMPUTED_VALUE"""),"McClain, Malik")</f>
        <v>McClain, Malik</v>
      </c>
      <c r="C2692" s="60" t="str">
        <f>IFERROR(__xludf.DUMMYFUNCTION("""COMPUTED_VALUE"""),"WR")</f>
        <v>WR</v>
      </c>
      <c r="D2692" s="60" t="str">
        <f>IFERROR(__xludf.DUMMYFUNCTION("""COMPUTED_VALUE"""),"NYJ")</f>
        <v>NYJ</v>
      </c>
      <c r="E2692" s="62" t="str">
        <f t="shared" si="5153"/>
        <v>Malik McClain</v>
      </c>
      <c r="F2692" s="62">
        <f t="shared" ref="F2692:G2692" si="5384">IF(isblank(F$1),,IF(isblank($A2692),,IFERROR(vlookup($A2692,indirect("'TVC-"&amp;text(month(F$1),"00")&amp;"'!$A:$D"),4,false),1)))</f>
        <v>1</v>
      </c>
      <c r="G2692" s="62">
        <f t="shared" si="5384"/>
        <v>1</v>
      </c>
      <c r="H2692" s="62">
        <f t="shared" ref="H2692:Q2692" si="5385">IF(isblank(H$1),,IFERROR(vlookup($A2692,indirect("'TVC-"&amp;text(month(H$1),"00")&amp;"'!$A:$D"),4,false),1))</f>
        <v>1</v>
      </c>
      <c r="I2692" s="62">
        <f t="shared" si="5385"/>
        <v>1</v>
      </c>
      <c r="J2692" s="62">
        <f t="shared" si="5385"/>
        <v>1</v>
      </c>
      <c r="K2692" s="62">
        <f t="shared" si="5385"/>
        <v>1</v>
      </c>
      <c r="L2692" s="62">
        <f t="shared" si="5385"/>
        <v>1</v>
      </c>
      <c r="M2692" s="62">
        <f t="shared" si="5385"/>
        <v>1</v>
      </c>
      <c r="N2692" s="62">
        <f t="shared" si="5385"/>
        <v>1</v>
      </c>
      <c r="O2692" s="62">
        <f t="shared" si="5385"/>
        <v>1</v>
      </c>
      <c r="P2692" s="62" t="str">
        <f t="shared" si="5385"/>
        <v/>
      </c>
      <c r="Q2692" s="62" t="str">
        <f t="shared" si="5385"/>
        <v/>
      </c>
      <c r="R2692" s="62">
        <f t="shared" si="7"/>
        <v>0</v>
      </c>
      <c r="S2692" s="62"/>
      <c r="T2692" s="62"/>
      <c r="U2692" s="62"/>
      <c r="V2692" s="62"/>
      <c r="W2692" s="62"/>
      <c r="X2692" s="62"/>
      <c r="Y2692" s="62"/>
      <c r="Z2692" s="62"/>
      <c r="AA2692" s="62"/>
      <c r="AB2692" s="62"/>
      <c r="AC2692" s="62"/>
    </row>
    <row r="2693" hidden="1">
      <c r="A2693" s="60">
        <f>IFERROR(__xludf.DUMMYFUNCTION("""COMPUTED_VALUE"""),17812.0)</f>
        <v>17812</v>
      </c>
      <c r="B2693" s="60" t="str">
        <f>IFERROR(__xludf.DUMMYFUNCTION("""COMPUTED_VALUE"""),"Davison, Elliott")</f>
        <v>Davison, Elliott</v>
      </c>
      <c r="C2693" s="60" t="str">
        <f>IFERROR(__xludf.DUMMYFUNCTION("""COMPUTED_VALUE"""),"S")</f>
        <v>S</v>
      </c>
      <c r="D2693" s="60" t="str">
        <f>IFERROR(__xludf.DUMMYFUNCTION("""COMPUTED_VALUE"""),"NEP")</f>
        <v>NEP</v>
      </c>
      <c r="E2693" s="62" t="str">
        <f t="shared" si="5153"/>
        <v>Elliott Davison</v>
      </c>
      <c r="F2693" s="62">
        <f t="shared" ref="F2693:G2693" si="5386">IF(isblank(F$1),,IF(isblank($A2693),,IFERROR(vlookup($A2693,indirect("'TVC-"&amp;text(month(F$1),"00")&amp;"'!$A:$D"),4,false),1)))</f>
        <v>1</v>
      </c>
      <c r="G2693" s="62">
        <f t="shared" si="5386"/>
        <v>1</v>
      </c>
      <c r="H2693" s="62">
        <f t="shared" ref="H2693:Q2693" si="5387">IF(isblank(H$1),,IFERROR(vlookup($A2693,indirect("'TVC-"&amp;text(month(H$1),"00")&amp;"'!$A:$D"),4,false),1))</f>
        <v>1</v>
      </c>
      <c r="I2693" s="62">
        <f t="shared" si="5387"/>
        <v>1</v>
      </c>
      <c r="J2693" s="62">
        <f t="shared" si="5387"/>
        <v>1</v>
      </c>
      <c r="K2693" s="62">
        <f t="shared" si="5387"/>
        <v>1</v>
      </c>
      <c r="L2693" s="62">
        <f t="shared" si="5387"/>
        <v>1</v>
      </c>
      <c r="M2693" s="62">
        <f t="shared" si="5387"/>
        <v>1</v>
      </c>
      <c r="N2693" s="62">
        <f t="shared" si="5387"/>
        <v>1</v>
      </c>
      <c r="O2693" s="62">
        <f t="shared" si="5387"/>
        <v>1</v>
      </c>
      <c r="P2693" s="62" t="str">
        <f t="shared" si="5387"/>
        <v/>
      </c>
      <c r="Q2693" s="62" t="str">
        <f t="shared" si="5387"/>
        <v/>
      </c>
      <c r="R2693" s="62">
        <f t="shared" si="7"/>
        <v>0</v>
      </c>
      <c r="S2693" s="62"/>
      <c r="T2693" s="62"/>
      <c r="U2693" s="62"/>
      <c r="V2693" s="62"/>
      <c r="W2693" s="62"/>
      <c r="X2693" s="62"/>
      <c r="Y2693" s="62"/>
      <c r="Z2693" s="62"/>
      <c r="AA2693" s="62"/>
      <c r="AB2693" s="62"/>
      <c r="AC2693" s="62"/>
    </row>
    <row r="2694" hidden="1">
      <c r="A2694" s="60">
        <f>IFERROR(__xludf.DUMMYFUNCTION("""COMPUTED_VALUE"""),17813.0)</f>
        <v>17813</v>
      </c>
      <c r="B2694" s="60" t="str">
        <f>IFERROR(__xludf.DUMMYFUNCTION("""COMPUTED_VALUE"""),"Fresch, Sean")</f>
        <v>Fresch, Sean</v>
      </c>
      <c r="C2694" s="60" t="str">
        <f>IFERROR(__xludf.DUMMYFUNCTION("""COMPUTED_VALUE"""),"CB")</f>
        <v>CB</v>
      </c>
      <c r="D2694" s="60" t="str">
        <f>IFERROR(__xludf.DUMMYFUNCTION("""COMPUTED_VALUE"""),"DEN")</f>
        <v>DEN</v>
      </c>
      <c r="E2694" s="62" t="str">
        <f t="shared" si="5153"/>
        <v>Sean Fresch</v>
      </c>
      <c r="F2694" s="62">
        <f t="shared" ref="F2694:G2694" si="5388">IF(isblank(F$1),,IF(isblank($A2694),,IFERROR(vlookup($A2694,indirect("'TVC-"&amp;text(month(F$1),"00")&amp;"'!$A:$D"),4,false),1)))</f>
        <v>1</v>
      </c>
      <c r="G2694" s="62">
        <f t="shared" si="5388"/>
        <v>1</v>
      </c>
      <c r="H2694" s="62">
        <f t="shared" ref="H2694:Q2694" si="5389">IF(isblank(H$1),,IFERROR(vlookup($A2694,indirect("'TVC-"&amp;text(month(H$1),"00")&amp;"'!$A:$D"),4,false),1))</f>
        <v>1</v>
      </c>
      <c r="I2694" s="62">
        <f t="shared" si="5389"/>
        <v>1</v>
      </c>
      <c r="J2694" s="62">
        <f t="shared" si="5389"/>
        <v>1</v>
      </c>
      <c r="K2694" s="62">
        <f t="shared" si="5389"/>
        <v>1</v>
      </c>
      <c r="L2694" s="62">
        <f t="shared" si="5389"/>
        <v>1</v>
      </c>
      <c r="M2694" s="62">
        <f t="shared" si="5389"/>
        <v>1</v>
      </c>
      <c r="N2694" s="62">
        <f t="shared" si="5389"/>
        <v>1</v>
      </c>
      <c r="O2694" s="62">
        <f t="shared" si="5389"/>
        <v>1</v>
      </c>
      <c r="P2694" s="62" t="str">
        <f t="shared" si="5389"/>
        <v/>
      </c>
      <c r="Q2694" s="62" t="str">
        <f t="shared" si="5389"/>
        <v/>
      </c>
      <c r="R2694" s="62">
        <f t="shared" si="7"/>
        <v>0</v>
      </c>
      <c r="S2694" s="62"/>
      <c r="T2694" s="62"/>
      <c r="U2694" s="62"/>
      <c r="V2694" s="62"/>
      <c r="W2694" s="62"/>
      <c r="X2694" s="62"/>
      <c r="Y2694" s="62"/>
      <c r="Z2694" s="62"/>
      <c r="AA2694" s="62"/>
      <c r="AB2694" s="62"/>
      <c r="AC2694" s="62"/>
    </row>
    <row r="2695" hidden="1">
      <c r="A2695" s="60">
        <f>IFERROR(__xludf.DUMMYFUNCTION("""COMPUTED_VALUE"""),17815.0)</f>
        <v>17815</v>
      </c>
      <c r="B2695" s="60" t="str">
        <f>IFERROR(__xludf.DUMMYFUNCTION("""COMPUTED_VALUE"""),"Ciarlo, Jimmy")</f>
        <v>Ciarlo, Jimmy</v>
      </c>
      <c r="C2695" s="60" t="str">
        <f>IFERROR(__xludf.DUMMYFUNCTION("""COMPUTED_VALUE"""),"LB")</f>
        <v>LB</v>
      </c>
      <c r="D2695" s="60" t="str">
        <f>IFERROR(__xludf.DUMMYFUNCTION("""COMPUTED_VALUE"""),"SEA")</f>
        <v>SEA</v>
      </c>
      <c r="E2695" s="62" t="str">
        <f t="shared" si="5153"/>
        <v>Jimmy Ciarlo</v>
      </c>
      <c r="F2695" s="62">
        <f t="shared" ref="F2695:G2695" si="5390">IF(isblank(F$1),,IF(isblank($A2695),,IFERROR(vlookup($A2695,indirect("'TVC-"&amp;text(month(F$1),"00")&amp;"'!$A:$D"),4,false),1)))</f>
        <v>1</v>
      </c>
      <c r="G2695" s="62">
        <f t="shared" si="5390"/>
        <v>1</v>
      </c>
      <c r="H2695" s="62">
        <f t="shared" ref="H2695:Q2695" si="5391">IF(isblank(H$1),,IFERROR(vlookup($A2695,indirect("'TVC-"&amp;text(month(H$1),"00")&amp;"'!$A:$D"),4,false),1))</f>
        <v>1</v>
      </c>
      <c r="I2695" s="62">
        <f t="shared" si="5391"/>
        <v>1</v>
      </c>
      <c r="J2695" s="62">
        <f t="shared" si="5391"/>
        <v>1</v>
      </c>
      <c r="K2695" s="62">
        <f t="shared" si="5391"/>
        <v>1</v>
      </c>
      <c r="L2695" s="62">
        <f t="shared" si="5391"/>
        <v>1</v>
      </c>
      <c r="M2695" s="62">
        <f t="shared" si="5391"/>
        <v>1</v>
      </c>
      <c r="N2695" s="62">
        <f t="shared" si="5391"/>
        <v>1</v>
      </c>
      <c r="O2695" s="62">
        <f t="shared" si="5391"/>
        <v>1</v>
      </c>
      <c r="P2695" s="62" t="str">
        <f t="shared" si="5391"/>
        <v/>
      </c>
      <c r="Q2695" s="62" t="str">
        <f t="shared" si="5391"/>
        <v/>
      </c>
      <c r="R2695" s="62">
        <f t="shared" si="7"/>
        <v>0</v>
      </c>
      <c r="S2695" s="62"/>
      <c r="T2695" s="62"/>
      <c r="U2695" s="62"/>
      <c r="V2695" s="62"/>
      <c r="W2695" s="62"/>
      <c r="X2695" s="62"/>
      <c r="Y2695" s="62"/>
      <c r="Z2695" s="62"/>
      <c r="AA2695" s="62"/>
      <c r="AB2695" s="62"/>
      <c r="AC2695" s="62"/>
    </row>
    <row r="2696" hidden="1">
      <c r="A2696" s="60"/>
      <c r="B2696" s="60"/>
      <c r="C2696" s="60"/>
      <c r="D2696" s="60"/>
      <c r="E2696" s="62" t="str">
        <f t="shared" si="5153"/>
        <v/>
      </c>
      <c r="F2696" s="62" t="str">
        <f t="shared" ref="F2696:G2696" si="5392">IF(isblank(F$1),,IF(isblank($A2696),,IFERROR(vlookup($A2696,indirect("'TVC-"&amp;text(month(F$1),"00")&amp;"'!$A:$D"),4,false),1)))</f>
        <v/>
      </c>
      <c r="G2696" s="62" t="str">
        <f t="shared" si="5392"/>
        <v/>
      </c>
      <c r="H2696" s="62">
        <f t="shared" ref="H2696:Q2696" si="5393">IF(isblank(H$1),,IFERROR(vlookup($A2696,indirect("'TVC-"&amp;text(month(H$1),"00")&amp;"'!$A:$D"),4,false),1))</f>
        <v>1</v>
      </c>
      <c r="I2696" s="62">
        <f t="shared" si="5393"/>
        <v>1</v>
      </c>
      <c r="J2696" s="62">
        <f t="shared" si="5393"/>
        <v>1</v>
      </c>
      <c r="K2696" s="62">
        <f t="shared" si="5393"/>
        <v>1</v>
      </c>
      <c r="L2696" s="62">
        <f t="shared" si="5393"/>
        <v>1</v>
      </c>
      <c r="M2696" s="62">
        <f t="shared" si="5393"/>
        <v>1</v>
      </c>
      <c r="N2696" s="62">
        <f t="shared" si="5393"/>
        <v>1</v>
      </c>
      <c r="O2696" s="62">
        <f t="shared" si="5393"/>
        <v>1</v>
      </c>
      <c r="P2696" s="62" t="str">
        <f t="shared" si="5393"/>
        <v/>
      </c>
      <c r="Q2696" s="62" t="str">
        <f t="shared" si="5393"/>
        <v/>
      </c>
      <c r="R2696" s="62">
        <f t="shared" si="7"/>
        <v>0</v>
      </c>
      <c r="S2696" s="62"/>
      <c r="T2696" s="62"/>
      <c r="U2696" s="62"/>
      <c r="V2696" s="62"/>
      <c r="W2696" s="62"/>
      <c r="X2696" s="62"/>
      <c r="Y2696" s="62"/>
      <c r="Z2696" s="62"/>
      <c r="AA2696" s="62"/>
      <c r="AB2696" s="62"/>
      <c r="AC2696" s="62"/>
    </row>
    <row r="2697" hidden="1">
      <c r="A2697" s="60"/>
      <c r="B2697" s="60"/>
      <c r="C2697" s="60"/>
      <c r="D2697" s="60"/>
      <c r="E2697" s="62" t="str">
        <f t="shared" si="5153"/>
        <v/>
      </c>
      <c r="F2697" s="62" t="str">
        <f t="shared" ref="F2697:G2697" si="5394">IF(isblank(F$1),,IF(isblank($A2697),,IFERROR(vlookup($A2697,indirect("'TVC-"&amp;text(month(F$1),"00")&amp;"'!$A:$D"),4,false),1)))</f>
        <v/>
      </c>
      <c r="G2697" s="62" t="str">
        <f t="shared" si="5394"/>
        <v/>
      </c>
      <c r="H2697" s="62">
        <f t="shared" ref="H2697:Q2697" si="5395">IF(isblank(H$1),,IFERROR(vlookup($A2697,indirect("'TVC-"&amp;text(month(H$1),"00")&amp;"'!$A:$D"),4,false),1))</f>
        <v>1</v>
      </c>
      <c r="I2697" s="62">
        <f t="shared" si="5395"/>
        <v>1</v>
      </c>
      <c r="J2697" s="62">
        <f t="shared" si="5395"/>
        <v>1</v>
      </c>
      <c r="K2697" s="62">
        <f t="shared" si="5395"/>
        <v>1</v>
      </c>
      <c r="L2697" s="62">
        <f t="shared" si="5395"/>
        <v>1</v>
      </c>
      <c r="M2697" s="62">
        <f t="shared" si="5395"/>
        <v>1</v>
      </c>
      <c r="N2697" s="62">
        <f t="shared" si="5395"/>
        <v>1</v>
      </c>
      <c r="O2697" s="62">
        <f t="shared" si="5395"/>
        <v>1</v>
      </c>
      <c r="P2697" s="62" t="str">
        <f t="shared" si="5395"/>
        <v/>
      </c>
      <c r="Q2697" s="62" t="str">
        <f t="shared" si="5395"/>
        <v/>
      </c>
      <c r="R2697" s="62">
        <f t="shared" si="7"/>
        <v>0</v>
      </c>
      <c r="S2697" s="62"/>
      <c r="T2697" s="62"/>
      <c r="U2697" s="62"/>
      <c r="V2697" s="62"/>
      <c r="W2697" s="62"/>
      <c r="X2697" s="62"/>
      <c r="Y2697" s="62"/>
      <c r="Z2697" s="62"/>
      <c r="AA2697" s="62"/>
      <c r="AB2697" s="62"/>
      <c r="AC2697" s="62"/>
    </row>
    <row r="2698" hidden="1">
      <c r="A2698" s="60"/>
      <c r="B2698" s="60"/>
      <c r="C2698" s="60"/>
      <c r="D2698" s="60"/>
      <c r="E2698" s="62" t="str">
        <f t="shared" si="5153"/>
        <v/>
      </c>
      <c r="F2698" s="62" t="str">
        <f t="shared" ref="F2698:G2698" si="5396">IF(isblank(F$1),,IF(isblank($A2698),,IFERROR(vlookup($A2698,indirect("'TVC-"&amp;text(month(F$1),"00")&amp;"'!$A:$D"),4,false),1)))</f>
        <v/>
      </c>
      <c r="G2698" s="62" t="str">
        <f t="shared" si="5396"/>
        <v/>
      </c>
      <c r="H2698" s="62">
        <f t="shared" ref="H2698:Q2698" si="5397">IF(isblank(H$1),,IFERROR(vlookup($A2698,indirect("'TVC-"&amp;text(month(H$1),"00")&amp;"'!$A:$D"),4,false),1))</f>
        <v>1</v>
      </c>
      <c r="I2698" s="62">
        <f t="shared" si="5397"/>
        <v>1</v>
      </c>
      <c r="J2698" s="62">
        <f t="shared" si="5397"/>
        <v>1</v>
      </c>
      <c r="K2698" s="62">
        <f t="shared" si="5397"/>
        <v>1</v>
      </c>
      <c r="L2698" s="62">
        <f t="shared" si="5397"/>
        <v>1</v>
      </c>
      <c r="M2698" s="62">
        <f t="shared" si="5397"/>
        <v>1</v>
      </c>
      <c r="N2698" s="62">
        <f t="shared" si="5397"/>
        <v>1</v>
      </c>
      <c r="O2698" s="62">
        <f t="shared" si="5397"/>
        <v>1</v>
      </c>
      <c r="P2698" s="62" t="str">
        <f t="shared" si="5397"/>
        <v/>
      </c>
      <c r="Q2698" s="62" t="str">
        <f t="shared" si="5397"/>
        <v/>
      </c>
      <c r="R2698" s="62">
        <f t="shared" si="7"/>
        <v>0</v>
      </c>
      <c r="S2698" s="62"/>
      <c r="T2698" s="62"/>
      <c r="U2698" s="62"/>
      <c r="V2698" s="62"/>
      <c r="W2698" s="62"/>
      <c r="X2698" s="62"/>
      <c r="Y2698" s="62"/>
      <c r="Z2698" s="62"/>
      <c r="AA2698" s="62"/>
      <c r="AB2698" s="62"/>
      <c r="AC2698" s="62"/>
    </row>
    <row r="2699" hidden="1">
      <c r="A2699" s="60"/>
      <c r="B2699" s="60"/>
      <c r="C2699" s="60"/>
      <c r="D2699" s="60"/>
      <c r="E2699" s="62" t="str">
        <f t="shared" si="5153"/>
        <v/>
      </c>
      <c r="F2699" s="62" t="str">
        <f t="shared" ref="F2699:G2699" si="5398">IF(isblank(F$1),,IF(isblank($A2699),,IFERROR(vlookup($A2699,indirect("'TVC-"&amp;text(month(F$1),"00")&amp;"'!$A:$D"),4,false),1)))</f>
        <v/>
      </c>
      <c r="G2699" s="62" t="str">
        <f t="shared" si="5398"/>
        <v/>
      </c>
      <c r="H2699" s="62">
        <f t="shared" ref="H2699:Q2699" si="5399">IF(isblank(H$1),,IFERROR(vlookup($A2699,indirect("'TVC-"&amp;text(month(H$1),"00")&amp;"'!$A:$D"),4,false),1))</f>
        <v>1</v>
      </c>
      <c r="I2699" s="62">
        <f t="shared" si="5399"/>
        <v>1</v>
      </c>
      <c r="J2699" s="62">
        <f t="shared" si="5399"/>
        <v>1</v>
      </c>
      <c r="K2699" s="62">
        <f t="shared" si="5399"/>
        <v>1</v>
      </c>
      <c r="L2699" s="62">
        <f t="shared" si="5399"/>
        <v>1</v>
      </c>
      <c r="M2699" s="62">
        <f t="shared" si="5399"/>
        <v>1</v>
      </c>
      <c r="N2699" s="62">
        <f t="shared" si="5399"/>
        <v>1</v>
      </c>
      <c r="O2699" s="62">
        <f t="shared" si="5399"/>
        <v>1</v>
      </c>
      <c r="P2699" s="62" t="str">
        <f t="shared" si="5399"/>
        <v/>
      </c>
      <c r="Q2699" s="62" t="str">
        <f t="shared" si="5399"/>
        <v/>
      </c>
      <c r="R2699" s="62">
        <f t="shared" si="7"/>
        <v>0</v>
      </c>
      <c r="S2699" s="62"/>
      <c r="T2699" s="62"/>
      <c r="U2699" s="62"/>
      <c r="V2699" s="62"/>
      <c r="W2699" s="62"/>
      <c r="X2699" s="62"/>
      <c r="Y2699" s="62"/>
      <c r="Z2699" s="62"/>
      <c r="AA2699" s="62"/>
      <c r="AB2699" s="62"/>
      <c r="AC2699" s="62"/>
    </row>
    <row r="2700" hidden="1">
      <c r="A2700" s="60"/>
      <c r="B2700" s="60"/>
      <c r="C2700" s="60"/>
      <c r="D2700" s="60"/>
      <c r="E2700" s="62" t="str">
        <f t="shared" si="5153"/>
        <v/>
      </c>
      <c r="F2700" s="62" t="str">
        <f t="shared" ref="F2700:G2700" si="5400">IF(isblank(F$1),,IF(isblank($A2700),,IFERROR(vlookup($A2700,indirect("'TVC-"&amp;text(month(F$1),"00")&amp;"'!$A:$D"),4,false),1)))</f>
        <v/>
      </c>
      <c r="G2700" s="62" t="str">
        <f t="shared" si="5400"/>
        <v/>
      </c>
      <c r="H2700" s="62">
        <f t="shared" ref="H2700:Q2700" si="5401">IF(isblank(H$1),,IFERROR(vlookup($A2700,indirect("'TVC-"&amp;text(month(H$1),"00")&amp;"'!$A:$D"),4,false),1))</f>
        <v>1</v>
      </c>
      <c r="I2700" s="62">
        <f t="shared" si="5401"/>
        <v>1</v>
      </c>
      <c r="J2700" s="62">
        <f t="shared" si="5401"/>
        <v>1</v>
      </c>
      <c r="K2700" s="62">
        <f t="shared" si="5401"/>
        <v>1</v>
      </c>
      <c r="L2700" s="62">
        <f t="shared" si="5401"/>
        <v>1</v>
      </c>
      <c r="M2700" s="62">
        <f t="shared" si="5401"/>
        <v>1</v>
      </c>
      <c r="N2700" s="62">
        <f t="shared" si="5401"/>
        <v>1</v>
      </c>
      <c r="O2700" s="62">
        <f t="shared" si="5401"/>
        <v>1</v>
      </c>
      <c r="P2700" s="62" t="str">
        <f t="shared" si="5401"/>
        <v/>
      </c>
      <c r="Q2700" s="62" t="str">
        <f t="shared" si="5401"/>
        <v/>
      </c>
      <c r="R2700" s="62">
        <f t="shared" si="7"/>
        <v>0</v>
      </c>
      <c r="S2700" s="62"/>
      <c r="T2700" s="62"/>
      <c r="U2700" s="62"/>
      <c r="V2700" s="62"/>
      <c r="W2700" s="62"/>
      <c r="X2700" s="62"/>
      <c r="Y2700" s="62"/>
      <c r="Z2700" s="62"/>
      <c r="AA2700" s="62"/>
      <c r="AB2700" s="62"/>
      <c r="AC2700" s="62"/>
    </row>
    <row r="2701" hidden="1">
      <c r="A2701" s="60"/>
      <c r="B2701" s="60"/>
      <c r="C2701" s="60"/>
      <c r="D2701" s="60"/>
      <c r="E2701" s="62" t="str">
        <f t="shared" si="5153"/>
        <v/>
      </c>
      <c r="F2701" s="62" t="str">
        <f t="shared" ref="F2701:G2701" si="5402">IF(isblank(F$1),,IF(isblank($A2701),,IFERROR(vlookup($A2701,indirect("'TVC-"&amp;text(month(F$1),"00")&amp;"'!$A:$D"),4,false),1)))</f>
        <v/>
      </c>
      <c r="G2701" s="62" t="str">
        <f t="shared" si="5402"/>
        <v/>
      </c>
      <c r="H2701" s="62">
        <f t="shared" ref="H2701:Q2701" si="5403">IF(isblank(H$1),,IFERROR(vlookup($A2701,indirect("'TVC-"&amp;text(month(H$1),"00")&amp;"'!$A:$D"),4,false),1))</f>
        <v>1</v>
      </c>
      <c r="I2701" s="62">
        <f t="shared" si="5403"/>
        <v>1</v>
      </c>
      <c r="J2701" s="62">
        <f t="shared" si="5403"/>
        <v>1</v>
      </c>
      <c r="K2701" s="62">
        <f t="shared" si="5403"/>
        <v>1</v>
      </c>
      <c r="L2701" s="62">
        <f t="shared" si="5403"/>
        <v>1</v>
      </c>
      <c r="M2701" s="62">
        <f t="shared" si="5403"/>
        <v>1</v>
      </c>
      <c r="N2701" s="62">
        <f t="shared" si="5403"/>
        <v>1</v>
      </c>
      <c r="O2701" s="62">
        <f t="shared" si="5403"/>
        <v>1</v>
      </c>
      <c r="P2701" s="62" t="str">
        <f t="shared" si="5403"/>
        <v/>
      </c>
      <c r="Q2701" s="62" t="str">
        <f t="shared" si="5403"/>
        <v/>
      </c>
      <c r="R2701" s="62">
        <f t="shared" si="7"/>
        <v>0</v>
      </c>
      <c r="S2701" s="62"/>
      <c r="T2701" s="62"/>
      <c r="U2701" s="62"/>
      <c r="V2701" s="62"/>
      <c r="W2701" s="62"/>
      <c r="X2701" s="62"/>
      <c r="Y2701" s="62"/>
      <c r="Z2701" s="62"/>
      <c r="AA2701" s="62"/>
      <c r="AB2701" s="62"/>
      <c r="AC2701" s="62"/>
    </row>
    <row r="2702" hidden="1">
      <c r="A2702" s="60"/>
      <c r="B2702" s="60"/>
      <c r="C2702" s="60"/>
      <c r="D2702" s="60"/>
      <c r="E2702" s="62" t="str">
        <f t="shared" si="5153"/>
        <v/>
      </c>
      <c r="F2702" s="62" t="str">
        <f t="shared" ref="F2702:G2702" si="5404">IF(isblank(F$1),,IF(isblank($A2702),,IFERROR(vlookup($A2702,indirect("'TVC-"&amp;text(month(F$1),"00")&amp;"'!$A:$D"),4,false),1)))</f>
        <v/>
      </c>
      <c r="G2702" s="62" t="str">
        <f t="shared" si="5404"/>
        <v/>
      </c>
      <c r="H2702" s="62">
        <f t="shared" ref="H2702:Q2702" si="5405">IF(isblank(H$1),,IFERROR(vlookup($A2702,indirect("'TVC-"&amp;text(month(H$1),"00")&amp;"'!$A:$D"),4,false),1))</f>
        <v>1</v>
      </c>
      <c r="I2702" s="62">
        <f t="shared" si="5405"/>
        <v>1</v>
      </c>
      <c r="J2702" s="62">
        <f t="shared" si="5405"/>
        <v>1</v>
      </c>
      <c r="K2702" s="62">
        <f t="shared" si="5405"/>
        <v>1</v>
      </c>
      <c r="L2702" s="62">
        <f t="shared" si="5405"/>
        <v>1</v>
      </c>
      <c r="M2702" s="62">
        <f t="shared" si="5405"/>
        <v>1</v>
      </c>
      <c r="N2702" s="62">
        <f t="shared" si="5405"/>
        <v>1</v>
      </c>
      <c r="O2702" s="62">
        <f t="shared" si="5405"/>
        <v>1</v>
      </c>
      <c r="P2702" s="62" t="str">
        <f t="shared" si="5405"/>
        <v/>
      </c>
      <c r="Q2702" s="62" t="str">
        <f t="shared" si="5405"/>
        <v/>
      </c>
      <c r="R2702" s="62">
        <f t="shared" si="7"/>
        <v>0</v>
      </c>
      <c r="S2702" s="62"/>
      <c r="T2702" s="62"/>
      <c r="U2702" s="62"/>
      <c r="V2702" s="62"/>
      <c r="W2702" s="62"/>
      <c r="X2702" s="62"/>
      <c r="Y2702" s="62"/>
      <c r="Z2702" s="62"/>
      <c r="AA2702" s="62"/>
      <c r="AB2702" s="62"/>
      <c r="AC2702" s="62"/>
    </row>
    <row r="2703" hidden="1">
      <c r="A2703" s="60"/>
      <c r="B2703" s="60"/>
      <c r="C2703" s="60"/>
      <c r="D2703" s="60"/>
      <c r="E2703" s="62" t="str">
        <f t="shared" si="5153"/>
        <v/>
      </c>
      <c r="F2703" s="62" t="str">
        <f t="shared" ref="F2703:G2703" si="5406">IF(isblank(F$1),,IF(isblank($A2703),,IFERROR(vlookup($A2703,indirect("'TVC-"&amp;text(month(F$1),"00")&amp;"'!$A:$D"),4,false),1)))</f>
        <v/>
      </c>
      <c r="G2703" s="62" t="str">
        <f t="shared" si="5406"/>
        <v/>
      </c>
      <c r="H2703" s="62">
        <f t="shared" ref="H2703:Q2703" si="5407">IF(isblank(H$1),,IFERROR(vlookup($A2703,indirect("'TVC-"&amp;text(month(H$1),"00")&amp;"'!$A:$D"),4,false),1))</f>
        <v>1</v>
      </c>
      <c r="I2703" s="62">
        <f t="shared" si="5407"/>
        <v>1</v>
      </c>
      <c r="J2703" s="62">
        <f t="shared" si="5407"/>
        <v>1</v>
      </c>
      <c r="K2703" s="62">
        <f t="shared" si="5407"/>
        <v>1</v>
      </c>
      <c r="L2703" s="62">
        <f t="shared" si="5407"/>
        <v>1</v>
      </c>
      <c r="M2703" s="62">
        <f t="shared" si="5407"/>
        <v>1</v>
      </c>
      <c r="N2703" s="62">
        <f t="shared" si="5407"/>
        <v>1</v>
      </c>
      <c r="O2703" s="62">
        <f t="shared" si="5407"/>
        <v>1</v>
      </c>
      <c r="P2703" s="62" t="str">
        <f t="shared" si="5407"/>
        <v/>
      </c>
      <c r="Q2703" s="62" t="str">
        <f t="shared" si="5407"/>
        <v/>
      </c>
      <c r="R2703" s="62">
        <f t="shared" si="7"/>
        <v>0</v>
      </c>
      <c r="S2703" s="62"/>
      <c r="T2703" s="62"/>
      <c r="U2703" s="62"/>
      <c r="V2703" s="62"/>
      <c r="W2703" s="62"/>
      <c r="X2703" s="62"/>
      <c r="Y2703" s="62"/>
      <c r="Z2703" s="62"/>
      <c r="AA2703" s="62"/>
      <c r="AB2703" s="62"/>
      <c r="AC2703" s="62"/>
    </row>
    <row r="2704" hidden="1">
      <c r="A2704" s="60"/>
      <c r="B2704" s="60"/>
      <c r="C2704" s="60"/>
      <c r="D2704" s="60"/>
      <c r="E2704" s="62" t="str">
        <f t="shared" si="5153"/>
        <v/>
      </c>
      <c r="F2704" s="62" t="str">
        <f t="shared" ref="F2704:G2704" si="5408">IF(isblank(F$1),,IF(isblank($A2704),,IFERROR(vlookup($A2704,indirect("'TVC-"&amp;text(month(F$1),"00")&amp;"'!$A:$D"),4,false),1)))</f>
        <v/>
      </c>
      <c r="G2704" s="62" t="str">
        <f t="shared" si="5408"/>
        <v/>
      </c>
      <c r="H2704" s="62">
        <f t="shared" ref="H2704:Q2704" si="5409">IF(isblank(H$1),,IFERROR(vlookup($A2704,indirect("'TVC-"&amp;text(month(H$1),"00")&amp;"'!$A:$D"),4,false),1))</f>
        <v>1</v>
      </c>
      <c r="I2704" s="62">
        <f t="shared" si="5409"/>
        <v>1</v>
      </c>
      <c r="J2704" s="62">
        <f t="shared" si="5409"/>
        <v>1</v>
      </c>
      <c r="K2704" s="62">
        <f t="shared" si="5409"/>
        <v>1</v>
      </c>
      <c r="L2704" s="62">
        <f t="shared" si="5409"/>
        <v>1</v>
      </c>
      <c r="M2704" s="62">
        <f t="shared" si="5409"/>
        <v>1</v>
      </c>
      <c r="N2704" s="62">
        <f t="shared" si="5409"/>
        <v>1</v>
      </c>
      <c r="O2704" s="62">
        <f t="shared" si="5409"/>
        <v>1</v>
      </c>
      <c r="P2704" s="62" t="str">
        <f t="shared" si="5409"/>
        <v/>
      </c>
      <c r="Q2704" s="62" t="str">
        <f t="shared" si="5409"/>
        <v/>
      </c>
      <c r="R2704" s="62">
        <f t="shared" si="7"/>
        <v>0</v>
      </c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</row>
    <row r="2705" hidden="1">
      <c r="A2705" s="60"/>
      <c r="B2705" s="60"/>
      <c r="C2705" s="60"/>
      <c r="D2705" s="60"/>
      <c r="E2705" s="62" t="str">
        <f t="shared" si="5153"/>
        <v/>
      </c>
      <c r="F2705" s="62" t="str">
        <f t="shared" ref="F2705:G2705" si="5410">IF(isblank(F$1),,IF(isblank($A2705),,IFERROR(vlookup($A2705,indirect("'TVC-"&amp;text(month(F$1),"00")&amp;"'!$A:$D"),4,false),1)))</f>
        <v/>
      </c>
      <c r="G2705" s="62" t="str">
        <f t="shared" si="5410"/>
        <v/>
      </c>
      <c r="H2705" s="62">
        <f t="shared" ref="H2705:Q2705" si="5411">IF(isblank(H$1),,IFERROR(vlookup($A2705,indirect("'TVC-"&amp;text(month(H$1),"00")&amp;"'!$A:$D"),4,false),1))</f>
        <v>1</v>
      </c>
      <c r="I2705" s="62">
        <f t="shared" si="5411"/>
        <v>1</v>
      </c>
      <c r="J2705" s="62">
        <f t="shared" si="5411"/>
        <v>1</v>
      </c>
      <c r="K2705" s="62">
        <f t="shared" si="5411"/>
        <v>1</v>
      </c>
      <c r="L2705" s="62">
        <f t="shared" si="5411"/>
        <v>1</v>
      </c>
      <c r="M2705" s="62">
        <f t="shared" si="5411"/>
        <v>1</v>
      </c>
      <c r="N2705" s="62">
        <f t="shared" si="5411"/>
        <v>1</v>
      </c>
      <c r="O2705" s="62">
        <f t="shared" si="5411"/>
        <v>1</v>
      </c>
      <c r="P2705" s="62" t="str">
        <f t="shared" si="5411"/>
        <v/>
      </c>
      <c r="Q2705" s="62" t="str">
        <f t="shared" si="5411"/>
        <v/>
      </c>
      <c r="R2705" s="62">
        <f t="shared" si="7"/>
        <v>0</v>
      </c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</row>
    <row r="2706" hidden="1">
      <c r="A2706" s="60"/>
      <c r="B2706" s="60"/>
      <c r="C2706" s="60"/>
      <c r="D2706" s="60"/>
      <c r="E2706" s="62" t="str">
        <f t="shared" si="5153"/>
        <v/>
      </c>
      <c r="F2706" s="62" t="str">
        <f t="shared" ref="F2706:G2706" si="5412">IF(isblank(F$1),,IF(isblank($A2706),,IFERROR(vlookup($A2706,indirect("'TVC-"&amp;text(month(F$1),"00")&amp;"'!$A:$D"),4,false),1)))</f>
        <v/>
      </c>
      <c r="G2706" s="62" t="str">
        <f t="shared" si="5412"/>
        <v/>
      </c>
      <c r="H2706" s="62">
        <f t="shared" ref="H2706:Q2706" si="5413">IF(isblank(H$1),,IFERROR(vlookup($A2706,indirect("'TVC-"&amp;text(month(H$1),"00")&amp;"'!$A:$D"),4,false),1))</f>
        <v>1</v>
      </c>
      <c r="I2706" s="62">
        <f t="shared" si="5413"/>
        <v>1</v>
      </c>
      <c r="J2706" s="62">
        <f t="shared" si="5413"/>
        <v>1</v>
      </c>
      <c r="K2706" s="62">
        <f t="shared" si="5413"/>
        <v>1</v>
      </c>
      <c r="L2706" s="62">
        <f t="shared" si="5413"/>
        <v>1</v>
      </c>
      <c r="M2706" s="62">
        <f t="shared" si="5413"/>
        <v>1</v>
      </c>
      <c r="N2706" s="62">
        <f t="shared" si="5413"/>
        <v>1</v>
      </c>
      <c r="O2706" s="62">
        <f t="shared" si="5413"/>
        <v>1</v>
      </c>
      <c r="P2706" s="62" t="str">
        <f t="shared" si="5413"/>
        <v/>
      </c>
      <c r="Q2706" s="62" t="str">
        <f t="shared" si="5413"/>
        <v/>
      </c>
      <c r="R2706" s="62">
        <f t="shared" si="7"/>
        <v>0</v>
      </c>
      <c r="S2706" s="62"/>
      <c r="T2706" s="62"/>
      <c r="U2706" s="62"/>
      <c r="V2706" s="62"/>
      <c r="W2706" s="62"/>
      <c r="X2706" s="62"/>
      <c r="Y2706" s="62"/>
      <c r="Z2706" s="62"/>
      <c r="AA2706" s="62"/>
      <c r="AB2706" s="62"/>
      <c r="AC2706" s="62"/>
    </row>
    <row r="2707" hidden="1">
      <c r="A2707" s="60"/>
      <c r="B2707" s="60"/>
      <c r="C2707" s="60"/>
      <c r="D2707" s="60"/>
      <c r="E2707" s="62" t="str">
        <f t="shared" si="5153"/>
        <v/>
      </c>
      <c r="F2707" s="62" t="str">
        <f t="shared" ref="F2707:G2707" si="5414">IF(isblank(F$1),,IF(isblank($A2707),,IFERROR(vlookup($A2707,indirect("'TVC-"&amp;text(month(F$1),"00")&amp;"'!$A:$D"),4,false),1)))</f>
        <v/>
      </c>
      <c r="G2707" s="62" t="str">
        <f t="shared" si="5414"/>
        <v/>
      </c>
      <c r="H2707" s="62">
        <f t="shared" ref="H2707:Q2707" si="5415">IF(isblank(H$1),,IFERROR(vlookup($A2707,indirect("'TVC-"&amp;text(month(H$1),"00")&amp;"'!$A:$D"),4,false),1))</f>
        <v>1</v>
      </c>
      <c r="I2707" s="62">
        <f t="shared" si="5415"/>
        <v>1</v>
      </c>
      <c r="J2707" s="62">
        <f t="shared" si="5415"/>
        <v>1</v>
      </c>
      <c r="K2707" s="62">
        <f t="shared" si="5415"/>
        <v>1</v>
      </c>
      <c r="L2707" s="62">
        <f t="shared" si="5415"/>
        <v>1</v>
      </c>
      <c r="M2707" s="62">
        <f t="shared" si="5415"/>
        <v>1</v>
      </c>
      <c r="N2707" s="62">
        <f t="shared" si="5415"/>
        <v>1</v>
      </c>
      <c r="O2707" s="62">
        <f t="shared" si="5415"/>
        <v>1</v>
      </c>
      <c r="P2707" s="62" t="str">
        <f t="shared" si="5415"/>
        <v/>
      </c>
      <c r="Q2707" s="62" t="str">
        <f t="shared" si="5415"/>
        <v/>
      </c>
      <c r="R2707" s="62">
        <f t="shared" si="7"/>
        <v>0</v>
      </c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</row>
    <row r="2708" hidden="1">
      <c r="A2708" s="60"/>
      <c r="B2708" s="60"/>
      <c r="C2708" s="60"/>
      <c r="D2708" s="60"/>
      <c r="E2708" s="62" t="str">
        <f t="shared" si="5153"/>
        <v/>
      </c>
      <c r="F2708" s="62" t="str">
        <f t="shared" ref="F2708:G2708" si="5416">IF(isblank(F$1),,IF(isblank($A2708),,IFERROR(vlookup($A2708,indirect("'TVC-"&amp;text(month(F$1),"00")&amp;"'!$A:$D"),4,false),1)))</f>
        <v/>
      </c>
      <c r="G2708" s="62" t="str">
        <f t="shared" si="5416"/>
        <v/>
      </c>
      <c r="H2708" s="62">
        <f t="shared" ref="H2708:Q2708" si="5417">IF(isblank(H$1),,IFERROR(vlookup($A2708,indirect("'TVC-"&amp;text(month(H$1),"00")&amp;"'!$A:$D"),4,false),1))</f>
        <v>1</v>
      </c>
      <c r="I2708" s="62">
        <f t="shared" si="5417"/>
        <v>1</v>
      </c>
      <c r="J2708" s="62">
        <f t="shared" si="5417"/>
        <v>1</v>
      </c>
      <c r="K2708" s="62">
        <f t="shared" si="5417"/>
        <v>1</v>
      </c>
      <c r="L2708" s="62">
        <f t="shared" si="5417"/>
        <v>1</v>
      </c>
      <c r="M2708" s="62">
        <f t="shared" si="5417"/>
        <v>1</v>
      </c>
      <c r="N2708" s="62">
        <f t="shared" si="5417"/>
        <v>1</v>
      </c>
      <c r="O2708" s="62">
        <f t="shared" si="5417"/>
        <v>1</v>
      </c>
      <c r="P2708" s="62" t="str">
        <f t="shared" si="5417"/>
        <v/>
      </c>
      <c r="Q2708" s="62" t="str">
        <f t="shared" si="5417"/>
        <v/>
      </c>
      <c r="R2708" s="62">
        <f t="shared" si="7"/>
        <v>0</v>
      </c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</row>
    <row r="2709" hidden="1">
      <c r="A2709" s="60"/>
      <c r="B2709" s="60"/>
      <c r="C2709" s="60"/>
      <c r="D2709" s="60"/>
      <c r="E2709" s="62" t="str">
        <f t="shared" si="5153"/>
        <v/>
      </c>
      <c r="F2709" s="62" t="str">
        <f t="shared" ref="F2709:G2709" si="5418">IF(isblank(F$1),,IF(isblank($A2709),,IFERROR(vlookup($A2709,indirect("'TVC-"&amp;text(month(F$1),"00")&amp;"'!$A:$D"),4,false),1)))</f>
        <v/>
      </c>
      <c r="G2709" s="62" t="str">
        <f t="shared" si="5418"/>
        <v/>
      </c>
      <c r="H2709" s="62">
        <f t="shared" ref="H2709:Q2709" si="5419">IF(isblank(H$1),,IFERROR(vlookup($A2709,indirect("'TVC-"&amp;text(month(H$1),"00")&amp;"'!$A:$D"),4,false),1))</f>
        <v>1</v>
      </c>
      <c r="I2709" s="62">
        <f t="shared" si="5419"/>
        <v>1</v>
      </c>
      <c r="J2709" s="62">
        <f t="shared" si="5419"/>
        <v>1</v>
      </c>
      <c r="K2709" s="62">
        <f t="shared" si="5419"/>
        <v>1</v>
      </c>
      <c r="L2709" s="62">
        <f t="shared" si="5419"/>
        <v>1</v>
      </c>
      <c r="M2709" s="62">
        <f t="shared" si="5419"/>
        <v>1</v>
      </c>
      <c r="N2709" s="62">
        <f t="shared" si="5419"/>
        <v>1</v>
      </c>
      <c r="O2709" s="62">
        <f t="shared" si="5419"/>
        <v>1</v>
      </c>
      <c r="P2709" s="62" t="str">
        <f t="shared" si="5419"/>
        <v/>
      </c>
      <c r="Q2709" s="62" t="str">
        <f t="shared" si="5419"/>
        <v/>
      </c>
      <c r="R2709" s="62">
        <f t="shared" si="7"/>
        <v>0</v>
      </c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</row>
    <row r="2710" hidden="1">
      <c r="A2710" s="60"/>
      <c r="B2710" s="60"/>
      <c r="C2710" s="60"/>
      <c r="D2710" s="60"/>
      <c r="E2710" s="62" t="str">
        <f t="shared" si="5153"/>
        <v/>
      </c>
      <c r="F2710" s="62" t="str">
        <f t="shared" ref="F2710:G2710" si="5420">IF(isblank(F$1),,IF(isblank($A2710),,IFERROR(vlookup($A2710,indirect("'TVC-"&amp;text(month(F$1),"00")&amp;"'!$A:$D"),4,false),1)))</f>
        <v/>
      </c>
      <c r="G2710" s="62" t="str">
        <f t="shared" si="5420"/>
        <v/>
      </c>
      <c r="H2710" s="62">
        <f t="shared" ref="H2710:Q2710" si="5421">IF(isblank(H$1),,IFERROR(vlookup($A2710,indirect("'TVC-"&amp;text(month(H$1),"00")&amp;"'!$A:$D"),4,false),1))</f>
        <v>1</v>
      </c>
      <c r="I2710" s="62">
        <f t="shared" si="5421"/>
        <v>1</v>
      </c>
      <c r="J2710" s="62">
        <f t="shared" si="5421"/>
        <v>1</v>
      </c>
      <c r="K2710" s="62">
        <f t="shared" si="5421"/>
        <v>1</v>
      </c>
      <c r="L2710" s="62">
        <f t="shared" si="5421"/>
        <v>1</v>
      </c>
      <c r="M2710" s="62">
        <f t="shared" si="5421"/>
        <v>1</v>
      </c>
      <c r="N2710" s="62">
        <f t="shared" si="5421"/>
        <v>1</v>
      </c>
      <c r="O2710" s="62">
        <f t="shared" si="5421"/>
        <v>1</v>
      </c>
      <c r="P2710" s="62" t="str">
        <f t="shared" si="5421"/>
        <v/>
      </c>
      <c r="Q2710" s="62" t="str">
        <f t="shared" si="5421"/>
        <v/>
      </c>
      <c r="R2710" s="62">
        <f t="shared" si="7"/>
        <v>0</v>
      </c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</row>
    <row r="2711" hidden="1">
      <c r="A2711" s="60"/>
      <c r="B2711" s="60"/>
      <c r="C2711" s="60"/>
      <c r="D2711" s="60"/>
      <c r="E2711" s="62" t="str">
        <f t="shared" si="5153"/>
        <v/>
      </c>
      <c r="F2711" s="62" t="str">
        <f t="shared" ref="F2711:G2711" si="5422">IF(isblank(F$1),,IF(isblank($A2711),,IFERROR(vlookup($A2711,indirect("'TVC-"&amp;text(month(F$1),"00")&amp;"'!$A:$D"),4,false),1)))</f>
        <v/>
      </c>
      <c r="G2711" s="62" t="str">
        <f t="shared" si="5422"/>
        <v/>
      </c>
      <c r="H2711" s="62">
        <f t="shared" ref="H2711:Q2711" si="5423">IF(isblank(H$1),,IFERROR(vlookup($A2711,indirect("'TVC-"&amp;text(month(H$1),"00")&amp;"'!$A:$D"),4,false),1))</f>
        <v>1</v>
      </c>
      <c r="I2711" s="62">
        <f t="shared" si="5423"/>
        <v>1</v>
      </c>
      <c r="J2711" s="62">
        <f t="shared" si="5423"/>
        <v>1</v>
      </c>
      <c r="K2711" s="62">
        <f t="shared" si="5423"/>
        <v>1</v>
      </c>
      <c r="L2711" s="62">
        <f t="shared" si="5423"/>
        <v>1</v>
      </c>
      <c r="M2711" s="62">
        <f t="shared" si="5423"/>
        <v>1</v>
      </c>
      <c r="N2711" s="62">
        <f t="shared" si="5423"/>
        <v>1</v>
      </c>
      <c r="O2711" s="62">
        <f t="shared" si="5423"/>
        <v>1</v>
      </c>
      <c r="P2711" s="62" t="str">
        <f t="shared" si="5423"/>
        <v/>
      </c>
      <c r="Q2711" s="62" t="str">
        <f t="shared" si="5423"/>
        <v/>
      </c>
      <c r="R2711" s="62">
        <f t="shared" si="7"/>
        <v>0</v>
      </c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</row>
    <row r="2712" hidden="1">
      <c r="A2712" s="60"/>
      <c r="B2712" s="60"/>
      <c r="C2712" s="60"/>
      <c r="D2712" s="60"/>
      <c r="E2712" s="62" t="str">
        <f t="shared" si="5153"/>
        <v/>
      </c>
      <c r="F2712" s="62" t="str">
        <f t="shared" ref="F2712:G2712" si="5424">IF(isblank(F$1),,IF(isblank($A2712),,IFERROR(vlookup($A2712,indirect("'TVC-"&amp;text(month(F$1),"00")&amp;"'!$A:$D"),4,false),1)))</f>
        <v/>
      </c>
      <c r="G2712" s="62" t="str">
        <f t="shared" si="5424"/>
        <v/>
      </c>
      <c r="H2712" s="62">
        <f t="shared" ref="H2712:Q2712" si="5425">IF(isblank(H$1),,IFERROR(vlookup($A2712,indirect("'TVC-"&amp;text(month(H$1),"00")&amp;"'!$A:$D"),4,false),1))</f>
        <v>1</v>
      </c>
      <c r="I2712" s="62">
        <f t="shared" si="5425"/>
        <v>1</v>
      </c>
      <c r="J2712" s="62">
        <f t="shared" si="5425"/>
        <v>1</v>
      </c>
      <c r="K2712" s="62">
        <f t="shared" si="5425"/>
        <v>1</v>
      </c>
      <c r="L2712" s="62">
        <f t="shared" si="5425"/>
        <v>1</v>
      </c>
      <c r="M2712" s="62">
        <f t="shared" si="5425"/>
        <v>1</v>
      </c>
      <c r="N2712" s="62">
        <f t="shared" si="5425"/>
        <v>1</v>
      </c>
      <c r="O2712" s="62">
        <f t="shared" si="5425"/>
        <v>1</v>
      </c>
      <c r="P2712" s="62" t="str">
        <f t="shared" si="5425"/>
        <v/>
      </c>
      <c r="Q2712" s="62" t="str">
        <f t="shared" si="5425"/>
        <v/>
      </c>
      <c r="R2712" s="62">
        <f t="shared" si="7"/>
        <v>0</v>
      </c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</row>
    <row r="2713" hidden="1">
      <c r="A2713" s="60"/>
      <c r="B2713" s="60"/>
      <c r="C2713" s="60"/>
      <c r="D2713" s="60"/>
      <c r="E2713" s="62" t="str">
        <f t="shared" si="5153"/>
        <v/>
      </c>
      <c r="F2713" s="62" t="str">
        <f t="shared" ref="F2713:G2713" si="5426">IF(isblank(F$1),,IF(isblank($A2713),,IFERROR(vlookup($A2713,indirect("'TVC-"&amp;text(month(F$1),"00")&amp;"'!$A:$D"),4,false),1)))</f>
        <v/>
      </c>
      <c r="G2713" s="62" t="str">
        <f t="shared" si="5426"/>
        <v/>
      </c>
      <c r="H2713" s="62">
        <f t="shared" ref="H2713:Q2713" si="5427">IF(isblank(H$1),,IFERROR(vlookup($A2713,indirect("'TVC-"&amp;text(month(H$1),"00")&amp;"'!$A:$D"),4,false),1))</f>
        <v>1</v>
      </c>
      <c r="I2713" s="62">
        <f t="shared" si="5427"/>
        <v>1</v>
      </c>
      <c r="J2713" s="62">
        <f t="shared" si="5427"/>
        <v>1</v>
      </c>
      <c r="K2713" s="62">
        <f t="shared" si="5427"/>
        <v>1</v>
      </c>
      <c r="L2713" s="62">
        <f t="shared" si="5427"/>
        <v>1</v>
      </c>
      <c r="M2713" s="62">
        <f t="shared" si="5427"/>
        <v>1</v>
      </c>
      <c r="N2713" s="62">
        <f t="shared" si="5427"/>
        <v>1</v>
      </c>
      <c r="O2713" s="62">
        <f t="shared" si="5427"/>
        <v>1</v>
      </c>
      <c r="P2713" s="62" t="str">
        <f t="shared" si="5427"/>
        <v/>
      </c>
      <c r="Q2713" s="62" t="str">
        <f t="shared" si="5427"/>
        <v/>
      </c>
      <c r="R2713" s="62">
        <f t="shared" si="7"/>
        <v>0</v>
      </c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</row>
    <row r="2714" hidden="1">
      <c r="A2714" s="60"/>
      <c r="B2714" s="60"/>
      <c r="C2714" s="60"/>
      <c r="D2714" s="60"/>
      <c r="E2714" s="62" t="str">
        <f t="shared" si="5153"/>
        <v/>
      </c>
      <c r="F2714" s="62" t="str">
        <f t="shared" ref="F2714:G2714" si="5428">IF(isblank(F$1),,IF(isblank($A2714),,IFERROR(vlookup($A2714,indirect("'TVC-"&amp;text(month(F$1),"00")&amp;"'!$A:$D"),4,false),1)))</f>
        <v/>
      </c>
      <c r="G2714" s="62" t="str">
        <f t="shared" si="5428"/>
        <v/>
      </c>
      <c r="H2714" s="62">
        <f t="shared" ref="H2714:Q2714" si="5429">IF(isblank(H$1),,IFERROR(vlookup($A2714,indirect("'TVC-"&amp;text(month(H$1),"00")&amp;"'!$A:$D"),4,false),1))</f>
        <v>1</v>
      </c>
      <c r="I2714" s="62">
        <f t="shared" si="5429"/>
        <v>1</v>
      </c>
      <c r="J2714" s="62">
        <f t="shared" si="5429"/>
        <v>1</v>
      </c>
      <c r="K2714" s="62">
        <f t="shared" si="5429"/>
        <v>1</v>
      </c>
      <c r="L2714" s="62">
        <f t="shared" si="5429"/>
        <v>1</v>
      </c>
      <c r="M2714" s="62">
        <f t="shared" si="5429"/>
        <v>1</v>
      </c>
      <c r="N2714" s="62">
        <f t="shared" si="5429"/>
        <v>1</v>
      </c>
      <c r="O2714" s="62">
        <f t="shared" si="5429"/>
        <v>1</v>
      </c>
      <c r="P2714" s="62" t="str">
        <f t="shared" si="5429"/>
        <v/>
      </c>
      <c r="Q2714" s="62" t="str">
        <f t="shared" si="5429"/>
        <v/>
      </c>
      <c r="R2714" s="62">
        <f t="shared" si="7"/>
        <v>0</v>
      </c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</row>
    <row r="2715" hidden="1">
      <c r="A2715" s="60"/>
      <c r="B2715" s="60"/>
      <c r="C2715" s="60"/>
      <c r="D2715" s="60"/>
      <c r="E2715" s="62" t="str">
        <f t="shared" si="5153"/>
        <v/>
      </c>
      <c r="F2715" s="62" t="str">
        <f t="shared" ref="F2715:G2715" si="5430">IF(isblank(F$1),,IF(isblank($A2715),,IFERROR(vlookup($A2715,indirect("'TVC-"&amp;text(month(F$1),"00")&amp;"'!$A:$D"),4,false),1)))</f>
        <v/>
      </c>
      <c r="G2715" s="62" t="str">
        <f t="shared" si="5430"/>
        <v/>
      </c>
      <c r="H2715" s="62">
        <f t="shared" ref="H2715:Q2715" si="5431">IF(isblank(H$1),,IFERROR(vlookup($A2715,indirect("'TVC-"&amp;text(month(H$1),"00")&amp;"'!$A:$D"),4,false),1))</f>
        <v>1</v>
      </c>
      <c r="I2715" s="62">
        <f t="shared" si="5431"/>
        <v>1</v>
      </c>
      <c r="J2715" s="62">
        <f t="shared" si="5431"/>
        <v>1</v>
      </c>
      <c r="K2715" s="62">
        <f t="shared" si="5431"/>
        <v>1</v>
      </c>
      <c r="L2715" s="62">
        <f t="shared" si="5431"/>
        <v>1</v>
      </c>
      <c r="M2715" s="62">
        <f t="shared" si="5431"/>
        <v>1</v>
      </c>
      <c r="N2715" s="62">
        <f t="shared" si="5431"/>
        <v>1</v>
      </c>
      <c r="O2715" s="62">
        <f t="shared" si="5431"/>
        <v>1</v>
      </c>
      <c r="P2715" s="62" t="str">
        <f t="shared" si="5431"/>
        <v/>
      </c>
      <c r="Q2715" s="62" t="str">
        <f t="shared" si="5431"/>
        <v/>
      </c>
      <c r="R2715" s="62">
        <f t="shared" si="7"/>
        <v>0</v>
      </c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</row>
    <row r="2716" hidden="1">
      <c r="A2716" s="60"/>
      <c r="B2716" s="60"/>
      <c r="C2716" s="60"/>
      <c r="D2716" s="60"/>
      <c r="E2716" s="62" t="str">
        <f t="shared" si="5153"/>
        <v/>
      </c>
      <c r="F2716" s="62" t="str">
        <f t="shared" ref="F2716:G2716" si="5432">IF(isblank(F$1),,IF(isblank($A2716),,IFERROR(vlookup($A2716,indirect("'TVC-"&amp;text(month(F$1),"00")&amp;"'!$A:$D"),4,false),1)))</f>
        <v/>
      </c>
      <c r="G2716" s="62" t="str">
        <f t="shared" si="5432"/>
        <v/>
      </c>
      <c r="H2716" s="62">
        <f t="shared" ref="H2716:Q2716" si="5433">IF(isblank(H$1),,IFERROR(vlookup($A2716,indirect("'TVC-"&amp;text(month(H$1),"00")&amp;"'!$A:$D"),4,false),1))</f>
        <v>1</v>
      </c>
      <c r="I2716" s="62">
        <f t="shared" si="5433"/>
        <v>1</v>
      </c>
      <c r="J2716" s="62">
        <f t="shared" si="5433"/>
        <v>1</v>
      </c>
      <c r="K2716" s="62">
        <f t="shared" si="5433"/>
        <v>1</v>
      </c>
      <c r="L2716" s="62">
        <f t="shared" si="5433"/>
        <v>1</v>
      </c>
      <c r="M2716" s="62">
        <f t="shared" si="5433"/>
        <v>1</v>
      </c>
      <c r="N2716" s="62">
        <f t="shared" si="5433"/>
        <v>1</v>
      </c>
      <c r="O2716" s="62">
        <f t="shared" si="5433"/>
        <v>1</v>
      </c>
      <c r="P2716" s="62" t="str">
        <f t="shared" si="5433"/>
        <v/>
      </c>
      <c r="Q2716" s="62" t="str">
        <f t="shared" si="5433"/>
        <v/>
      </c>
      <c r="R2716" s="62">
        <f t="shared" si="7"/>
        <v>0</v>
      </c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</row>
    <row r="2717" hidden="1">
      <c r="A2717" s="60"/>
      <c r="B2717" s="60"/>
      <c r="C2717" s="60"/>
      <c r="D2717" s="60"/>
      <c r="E2717" s="62" t="str">
        <f t="shared" si="5153"/>
        <v/>
      </c>
      <c r="F2717" s="62" t="str">
        <f t="shared" ref="F2717:G2717" si="5434">IF(isblank(F$1),,IF(isblank($A2717),,IFERROR(vlookup($A2717,indirect("'TVC-"&amp;text(month(F$1),"00")&amp;"'!$A:$D"),4,false),1)))</f>
        <v/>
      </c>
      <c r="G2717" s="62" t="str">
        <f t="shared" si="5434"/>
        <v/>
      </c>
      <c r="H2717" s="62">
        <f t="shared" ref="H2717:Q2717" si="5435">IF(isblank(H$1),,IFERROR(vlookup($A2717,indirect("'TVC-"&amp;text(month(H$1),"00")&amp;"'!$A:$D"),4,false),1))</f>
        <v>1</v>
      </c>
      <c r="I2717" s="62">
        <f t="shared" si="5435"/>
        <v>1</v>
      </c>
      <c r="J2717" s="62">
        <f t="shared" si="5435"/>
        <v>1</v>
      </c>
      <c r="K2717" s="62">
        <f t="shared" si="5435"/>
        <v>1</v>
      </c>
      <c r="L2717" s="62">
        <f t="shared" si="5435"/>
        <v>1</v>
      </c>
      <c r="M2717" s="62">
        <f t="shared" si="5435"/>
        <v>1</v>
      </c>
      <c r="N2717" s="62">
        <f t="shared" si="5435"/>
        <v>1</v>
      </c>
      <c r="O2717" s="62">
        <f t="shared" si="5435"/>
        <v>1</v>
      </c>
      <c r="P2717" s="62" t="str">
        <f t="shared" si="5435"/>
        <v/>
      </c>
      <c r="Q2717" s="62" t="str">
        <f t="shared" si="5435"/>
        <v/>
      </c>
      <c r="R2717" s="62">
        <f t="shared" si="7"/>
        <v>0</v>
      </c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</row>
    <row r="2718" hidden="1">
      <c r="A2718" s="60"/>
      <c r="B2718" s="60"/>
      <c r="C2718" s="60"/>
      <c r="D2718" s="60"/>
      <c r="E2718" s="62" t="str">
        <f t="shared" si="5153"/>
        <v/>
      </c>
      <c r="F2718" s="62" t="str">
        <f t="shared" ref="F2718:G2718" si="5436">IF(isblank(F$1),,IF(isblank($A2718),,IFERROR(vlookup($A2718,indirect("'TVC-"&amp;text(month(F$1),"00")&amp;"'!$A:$D"),4,false),1)))</f>
        <v/>
      </c>
      <c r="G2718" s="62" t="str">
        <f t="shared" si="5436"/>
        <v/>
      </c>
      <c r="H2718" s="62">
        <f t="shared" ref="H2718:Q2718" si="5437">IF(isblank(H$1),,IFERROR(vlookup($A2718,indirect("'TVC-"&amp;text(month(H$1),"00")&amp;"'!$A:$D"),4,false),1))</f>
        <v>1</v>
      </c>
      <c r="I2718" s="62">
        <f t="shared" si="5437"/>
        <v>1</v>
      </c>
      <c r="J2718" s="62">
        <f t="shared" si="5437"/>
        <v>1</v>
      </c>
      <c r="K2718" s="62">
        <f t="shared" si="5437"/>
        <v>1</v>
      </c>
      <c r="L2718" s="62">
        <f t="shared" si="5437"/>
        <v>1</v>
      </c>
      <c r="M2718" s="62">
        <f t="shared" si="5437"/>
        <v>1</v>
      </c>
      <c r="N2718" s="62">
        <f t="shared" si="5437"/>
        <v>1</v>
      </c>
      <c r="O2718" s="62">
        <f t="shared" si="5437"/>
        <v>1</v>
      </c>
      <c r="P2718" s="62" t="str">
        <f t="shared" si="5437"/>
        <v/>
      </c>
      <c r="Q2718" s="62" t="str">
        <f t="shared" si="5437"/>
        <v/>
      </c>
      <c r="R2718" s="62">
        <f t="shared" si="7"/>
        <v>0</v>
      </c>
      <c r="S2718" s="62"/>
      <c r="T2718" s="62"/>
      <c r="U2718" s="62"/>
      <c r="V2718" s="62"/>
      <c r="W2718" s="62"/>
      <c r="X2718" s="62"/>
      <c r="Y2718" s="62"/>
      <c r="Z2718" s="62"/>
      <c r="AA2718" s="62"/>
      <c r="AB2718" s="62"/>
      <c r="AC2718" s="62"/>
    </row>
    <row r="2719" hidden="1">
      <c r="A2719" s="60"/>
      <c r="B2719" s="60"/>
      <c r="C2719" s="60"/>
      <c r="D2719" s="60"/>
      <c r="E2719" s="62" t="str">
        <f t="shared" si="5153"/>
        <v/>
      </c>
      <c r="F2719" s="62" t="str">
        <f t="shared" ref="F2719:G2719" si="5438">IF(isblank(F$1),,IF(isblank($A2719),,IFERROR(vlookup($A2719,indirect("'TVC-"&amp;text(month(F$1),"00")&amp;"'!$A:$D"),4,false),1)))</f>
        <v/>
      </c>
      <c r="G2719" s="62" t="str">
        <f t="shared" si="5438"/>
        <v/>
      </c>
      <c r="H2719" s="62">
        <f t="shared" ref="H2719:Q2719" si="5439">IF(isblank(H$1),,IFERROR(vlookup($A2719,indirect("'TVC-"&amp;text(month(H$1),"00")&amp;"'!$A:$D"),4,false),1))</f>
        <v>1</v>
      </c>
      <c r="I2719" s="62">
        <f t="shared" si="5439"/>
        <v>1</v>
      </c>
      <c r="J2719" s="62">
        <f t="shared" si="5439"/>
        <v>1</v>
      </c>
      <c r="K2719" s="62">
        <f t="shared" si="5439"/>
        <v>1</v>
      </c>
      <c r="L2719" s="62">
        <f t="shared" si="5439"/>
        <v>1</v>
      </c>
      <c r="M2719" s="62">
        <f t="shared" si="5439"/>
        <v>1</v>
      </c>
      <c r="N2719" s="62">
        <f t="shared" si="5439"/>
        <v>1</v>
      </c>
      <c r="O2719" s="62">
        <f t="shared" si="5439"/>
        <v>1</v>
      </c>
      <c r="P2719" s="62" t="str">
        <f t="shared" si="5439"/>
        <v/>
      </c>
      <c r="Q2719" s="62" t="str">
        <f t="shared" si="5439"/>
        <v/>
      </c>
      <c r="R2719" s="62">
        <f t="shared" si="7"/>
        <v>0</v>
      </c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</row>
    <row r="2720" hidden="1">
      <c r="A2720" s="60"/>
      <c r="B2720" s="60"/>
      <c r="C2720" s="60"/>
      <c r="D2720" s="60"/>
      <c r="E2720" s="62" t="str">
        <f t="shared" si="5153"/>
        <v/>
      </c>
      <c r="F2720" s="62" t="str">
        <f t="shared" ref="F2720:G2720" si="5440">IF(isblank(F$1),,IF(isblank($A2720),,IFERROR(vlookup($A2720,indirect("'TVC-"&amp;text(month(F$1),"00")&amp;"'!$A:$D"),4,false),1)))</f>
        <v/>
      </c>
      <c r="G2720" s="62" t="str">
        <f t="shared" si="5440"/>
        <v/>
      </c>
      <c r="H2720" s="62">
        <f t="shared" ref="H2720:Q2720" si="5441">IF(isblank(H$1),,IFERROR(vlookup($A2720,indirect("'TVC-"&amp;text(month(H$1),"00")&amp;"'!$A:$D"),4,false),1))</f>
        <v>1</v>
      </c>
      <c r="I2720" s="62">
        <f t="shared" si="5441"/>
        <v>1</v>
      </c>
      <c r="J2720" s="62">
        <f t="shared" si="5441"/>
        <v>1</v>
      </c>
      <c r="K2720" s="62">
        <f t="shared" si="5441"/>
        <v>1</v>
      </c>
      <c r="L2720" s="62">
        <f t="shared" si="5441"/>
        <v>1</v>
      </c>
      <c r="M2720" s="62">
        <f t="shared" si="5441"/>
        <v>1</v>
      </c>
      <c r="N2720" s="62">
        <f t="shared" si="5441"/>
        <v>1</v>
      </c>
      <c r="O2720" s="62">
        <f t="shared" si="5441"/>
        <v>1</v>
      </c>
      <c r="P2720" s="62" t="str">
        <f t="shared" si="5441"/>
        <v/>
      </c>
      <c r="Q2720" s="62" t="str">
        <f t="shared" si="5441"/>
        <v/>
      </c>
      <c r="R2720" s="62">
        <f t="shared" si="7"/>
        <v>0</v>
      </c>
      <c r="S2720" s="62"/>
      <c r="T2720" s="62"/>
      <c r="U2720" s="62"/>
      <c r="V2720" s="62"/>
      <c r="W2720" s="62"/>
      <c r="X2720" s="62"/>
      <c r="Y2720" s="62"/>
      <c r="Z2720" s="62"/>
      <c r="AA2720" s="62"/>
      <c r="AB2720" s="62"/>
      <c r="AC2720" s="62"/>
    </row>
    <row r="2721" hidden="1">
      <c r="A2721" s="60"/>
      <c r="B2721" s="60"/>
      <c r="C2721" s="60"/>
      <c r="D2721" s="60"/>
      <c r="E2721" s="62" t="str">
        <f t="shared" si="5153"/>
        <v/>
      </c>
      <c r="F2721" s="62" t="str">
        <f t="shared" ref="F2721:G2721" si="5442">IF(isblank(F$1),,IF(isblank($A2721),,IFERROR(vlookup($A2721,indirect("'TVC-"&amp;text(month(F$1),"00")&amp;"'!$A:$D"),4,false),1)))</f>
        <v/>
      </c>
      <c r="G2721" s="62" t="str">
        <f t="shared" si="5442"/>
        <v/>
      </c>
      <c r="H2721" s="62">
        <f t="shared" ref="H2721:Q2721" si="5443">IF(isblank(H$1),,IFERROR(vlookup($A2721,indirect("'TVC-"&amp;text(month(H$1),"00")&amp;"'!$A:$D"),4,false),1))</f>
        <v>1</v>
      </c>
      <c r="I2721" s="62">
        <f t="shared" si="5443"/>
        <v>1</v>
      </c>
      <c r="J2721" s="62">
        <f t="shared" si="5443"/>
        <v>1</v>
      </c>
      <c r="K2721" s="62">
        <f t="shared" si="5443"/>
        <v>1</v>
      </c>
      <c r="L2721" s="62">
        <f t="shared" si="5443"/>
        <v>1</v>
      </c>
      <c r="M2721" s="62">
        <f t="shared" si="5443"/>
        <v>1</v>
      </c>
      <c r="N2721" s="62">
        <f t="shared" si="5443"/>
        <v>1</v>
      </c>
      <c r="O2721" s="62">
        <f t="shared" si="5443"/>
        <v>1</v>
      </c>
      <c r="P2721" s="62" t="str">
        <f t="shared" si="5443"/>
        <v/>
      </c>
      <c r="Q2721" s="62" t="str">
        <f t="shared" si="5443"/>
        <v/>
      </c>
      <c r="R2721" s="62">
        <f t="shared" si="7"/>
        <v>0</v>
      </c>
      <c r="S2721" s="62"/>
      <c r="T2721" s="62"/>
      <c r="U2721" s="62"/>
      <c r="V2721" s="62"/>
      <c r="W2721" s="62"/>
      <c r="X2721" s="62"/>
      <c r="Y2721" s="62"/>
      <c r="Z2721" s="62"/>
      <c r="AA2721" s="62"/>
      <c r="AB2721" s="62"/>
      <c r="AC2721" s="62"/>
    </row>
    <row r="2722" hidden="1">
      <c r="A2722" s="60"/>
      <c r="B2722" s="60"/>
      <c r="C2722" s="60"/>
      <c r="D2722" s="60"/>
      <c r="E2722" s="62" t="str">
        <f t="shared" si="5153"/>
        <v/>
      </c>
      <c r="F2722" s="62" t="str">
        <f t="shared" ref="F2722:G2722" si="5444">IF(isblank(F$1),,IF(isblank($A2722),,IFERROR(vlookup($A2722,indirect("'TVC-"&amp;text(month(F$1),"00")&amp;"'!$A:$D"),4,false),1)))</f>
        <v/>
      </c>
      <c r="G2722" s="62" t="str">
        <f t="shared" si="5444"/>
        <v/>
      </c>
      <c r="H2722" s="62">
        <f t="shared" ref="H2722:Q2722" si="5445">IF(isblank(H$1),,IFERROR(vlookup($A2722,indirect("'TVC-"&amp;text(month(H$1),"00")&amp;"'!$A:$D"),4,false),1))</f>
        <v>1</v>
      </c>
      <c r="I2722" s="62">
        <f t="shared" si="5445"/>
        <v>1</v>
      </c>
      <c r="J2722" s="62">
        <f t="shared" si="5445"/>
        <v>1</v>
      </c>
      <c r="K2722" s="62">
        <f t="shared" si="5445"/>
        <v>1</v>
      </c>
      <c r="L2722" s="62">
        <f t="shared" si="5445"/>
        <v>1</v>
      </c>
      <c r="M2722" s="62">
        <f t="shared" si="5445"/>
        <v>1</v>
      </c>
      <c r="N2722" s="62">
        <f t="shared" si="5445"/>
        <v>1</v>
      </c>
      <c r="O2722" s="62">
        <f t="shared" si="5445"/>
        <v>1</v>
      </c>
      <c r="P2722" s="62" t="str">
        <f t="shared" si="5445"/>
        <v/>
      </c>
      <c r="Q2722" s="62" t="str">
        <f t="shared" si="5445"/>
        <v/>
      </c>
      <c r="R2722" s="62">
        <f t="shared" si="7"/>
        <v>0</v>
      </c>
      <c r="S2722" s="62"/>
      <c r="T2722" s="62"/>
      <c r="U2722" s="62"/>
      <c r="V2722" s="62"/>
      <c r="W2722" s="62"/>
      <c r="X2722" s="62"/>
      <c r="Y2722" s="62"/>
      <c r="Z2722" s="62"/>
      <c r="AA2722" s="62"/>
      <c r="AB2722" s="62"/>
      <c r="AC2722" s="62"/>
    </row>
    <row r="2723" hidden="1">
      <c r="A2723" s="60"/>
      <c r="B2723" s="60"/>
      <c r="C2723" s="60"/>
      <c r="D2723" s="60"/>
      <c r="E2723" s="62" t="str">
        <f t="shared" si="5153"/>
        <v/>
      </c>
      <c r="F2723" s="62" t="str">
        <f t="shared" ref="F2723:G2723" si="5446">IF(isblank(F$1),,IF(isblank($A2723),,IFERROR(vlookup($A2723,indirect("'TVC-"&amp;text(month(F$1),"00")&amp;"'!$A:$D"),4,false),1)))</f>
        <v/>
      </c>
      <c r="G2723" s="62" t="str">
        <f t="shared" si="5446"/>
        <v/>
      </c>
      <c r="H2723" s="62">
        <f t="shared" ref="H2723:Q2723" si="5447">IF(isblank(H$1),,IFERROR(vlookup($A2723,indirect("'TVC-"&amp;text(month(H$1),"00")&amp;"'!$A:$D"),4,false),1))</f>
        <v>1</v>
      </c>
      <c r="I2723" s="62">
        <f t="shared" si="5447"/>
        <v>1</v>
      </c>
      <c r="J2723" s="62">
        <f t="shared" si="5447"/>
        <v>1</v>
      </c>
      <c r="K2723" s="62">
        <f t="shared" si="5447"/>
        <v>1</v>
      </c>
      <c r="L2723" s="62">
        <f t="shared" si="5447"/>
        <v>1</v>
      </c>
      <c r="M2723" s="62">
        <f t="shared" si="5447"/>
        <v>1</v>
      </c>
      <c r="N2723" s="62">
        <f t="shared" si="5447"/>
        <v>1</v>
      </c>
      <c r="O2723" s="62">
        <f t="shared" si="5447"/>
        <v>1</v>
      </c>
      <c r="P2723" s="62" t="str">
        <f t="shared" si="5447"/>
        <v/>
      </c>
      <c r="Q2723" s="62" t="str">
        <f t="shared" si="5447"/>
        <v/>
      </c>
      <c r="R2723" s="62">
        <f t="shared" si="7"/>
        <v>0</v>
      </c>
      <c r="S2723" s="62"/>
      <c r="T2723" s="62"/>
      <c r="U2723" s="62"/>
      <c r="V2723" s="62"/>
      <c r="W2723" s="62"/>
      <c r="X2723" s="62"/>
      <c r="Y2723" s="62"/>
      <c r="Z2723" s="62"/>
      <c r="AA2723" s="62"/>
      <c r="AB2723" s="62"/>
      <c r="AC2723" s="62"/>
    </row>
    <row r="2724" hidden="1">
      <c r="A2724" s="60"/>
      <c r="B2724" s="60"/>
      <c r="C2724" s="60"/>
      <c r="D2724" s="60"/>
      <c r="E2724" s="62" t="str">
        <f t="shared" si="5153"/>
        <v/>
      </c>
      <c r="F2724" s="62" t="str">
        <f t="shared" ref="F2724:G2724" si="5448">IF(isblank(F$1),,IF(isblank($A2724),,IFERROR(vlookup($A2724,indirect("'TVC-"&amp;text(month(F$1),"00")&amp;"'!$A:$D"),4,false),1)))</f>
        <v/>
      </c>
      <c r="G2724" s="62" t="str">
        <f t="shared" si="5448"/>
        <v/>
      </c>
      <c r="H2724" s="62">
        <f t="shared" ref="H2724:Q2724" si="5449">IF(isblank(H$1),,IFERROR(vlookup($A2724,indirect("'TVC-"&amp;text(month(H$1),"00")&amp;"'!$A:$D"),4,false),1))</f>
        <v>1</v>
      </c>
      <c r="I2724" s="62">
        <f t="shared" si="5449"/>
        <v>1</v>
      </c>
      <c r="J2724" s="62">
        <f t="shared" si="5449"/>
        <v>1</v>
      </c>
      <c r="K2724" s="62">
        <f t="shared" si="5449"/>
        <v>1</v>
      </c>
      <c r="L2724" s="62">
        <f t="shared" si="5449"/>
        <v>1</v>
      </c>
      <c r="M2724" s="62">
        <f t="shared" si="5449"/>
        <v>1</v>
      </c>
      <c r="N2724" s="62">
        <f t="shared" si="5449"/>
        <v>1</v>
      </c>
      <c r="O2724" s="62">
        <f t="shared" si="5449"/>
        <v>1</v>
      </c>
      <c r="P2724" s="62" t="str">
        <f t="shared" si="5449"/>
        <v/>
      </c>
      <c r="Q2724" s="62" t="str">
        <f t="shared" si="5449"/>
        <v/>
      </c>
      <c r="R2724" s="62">
        <f t="shared" si="7"/>
        <v>0</v>
      </c>
      <c r="S2724" s="62"/>
      <c r="T2724" s="62"/>
      <c r="U2724" s="62"/>
      <c r="V2724" s="62"/>
      <c r="W2724" s="62"/>
      <c r="X2724" s="62"/>
      <c r="Y2724" s="62"/>
      <c r="Z2724" s="62"/>
      <c r="AA2724" s="62"/>
      <c r="AB2724" s="62"/>
      <c r="AC2724" s="62"/>
    </row>
    <row r="2725" hidden="1">
      <c r="A2725" s="60"/>
      <c r="B2725" s="60"/>
      <c r="C2725" s="60"/>
      <c r="D2725" s="60"/>
      <c r="E2725" s="62" t="str">
        <f t="shared" si="5153"/>
        <v/>
      </c>
      <c r="F2725" s="62" t="str">
        <f t="shared" ref="F2725:G2725" si="5450">IF(isblank(F$1),,IF(isblank($A2725),,IFERROR(vlookup($A2725,indirect("'TVC-"&amp;text(month(F$1),"00")&amp;"'!$A:$D"),4,false),1)))</f>
        <v/>
      </c>
      <c r="G2725" s="62" t="str">
        <f t="shared" si="5450"/>
        <v/>
      </c>
      <c r="H2725" s="62">
        <f t="shared" ref="H2725:Q2725" si="5451">IF(isblank(H$1),,IFERROR(vlookup($A2725,indirect("'TVC-"&amp;text(month(H$1),"00")&amp;"'!$A:$D"),4,false),1))</f>
        <v>1</v>
      </c>
      <c r="I2725" s="62">
        <f t="shared" si="5451"/>
        <v>1</v>
      </c>
      <c r="J2725" s="62">
        <f t="shared" si="5451"/>
        <v>1</v>
      </c>
      <c r="K2725" s="62">
        <f t="shared" si="5451"/>
        <v>1</v>
      </c>
      <c r="L2725" s="62">
        <f t="shared" si="5451"/>
        <v>1</v>
      </c>
      <c r="M2725" s="62">
        <f t="shared" si="5451"/>
        <v>1</v>
      </c>
      <c r="N2725" s="62">
        <f t="shared" si="5451"/>
        <v>1</v>
      </c>
      <c r="O2725" s="62">
        <f t="shared" si="5451"/>
        <v>1</v>
      </c>
      <c r="P2725" s="62" t="str">
        <f t="shared" si="5451"/>
        <v/>
      </c>
      <c r="Q2725" s="62" t="str">
        <f t="shared" si="5451"/>
        <v/>
      </c>
      <c r="R2725" s="62">
        <f t="shared" si="7"/>
        <v>0</v>
      </c>
      <c r="S2725" s="62"/>
      <c r="T2725" s="62"/>
      <c r="U2725" s="62"/>
      <c r="V2725" s="62"/>
      <c r="W2725" s="62"/>
      <c r="X2725" s="62"/>
      <c r="Y2725" s="62"/>
      <c r="Z2725" s="62"/>
      <c r="AA2725" s="62"/>
      <c r="AB2725" s="62"/>
      <c r="AC2725" s="62"/>
    </row>
    <row r="2726" hidden="1">
      <c r="A2726" s="60"/>
      <c r="B2726" s="60"/>
      <c r="C2726" s="60"/>
      <c r="D2726" s="60"/>
      <c r="E2726" s="62" t="str">
        <f t="shared" si="5153"/>
        <v/>
      </c>
      <c r="F2726" s="62" t="str">
        <f t="shared" ref="F2726:G2726" si="5452">IF(isblank(F$1),,IF(isblank($A2726),,IFERROR(vlookup($A2726,indirect("'TVC-"&amp;text(month(F$1),"00")&amp;"'!$A:$D"),4,false),1)))</f>
        <v/>
      </c>
      <c r="G2726" s="62" t="str">
        <f t="shared" si="5452"/>
        <v/>
      </c>
      <c r="H2726" s="62">
        <f t="shared" ref="H2726:Q2726" si="5453">IF(isblank(H$1),,IFERROR(vlookup($A2726,indirect("'TVC-"&amp;text(month(H$1),"00")&amp;"'!$A:$D"),4,false),1))</f>
        <v>1</v>
      </c>
      <c r="I2726" s="62">
        <f t="shared" si="5453"/>
        <v>1</v>
      </c>
      <c r="J2726" s="62">
        <f t="shared" si="5453"/>
        <v>1</v>
      </c>
      <c r="K2726" s="62">
        <f t="shared" si="5453"/>
        <v>1</v>
      </c>
      <c r="L2726" s="62">
        <f t="shared" si="5453"/>
        <v>1</v>
      </c>
      <c r="M2726" s="62">
        <f t="shared" si="5453"/>
        <v>1</v>
      </c>
      <c r="N2726" s="62">
        <f t="shared" si="5453"/>
        <v>1</v>
      </c>
      <c r="O2726" s="62">
        <f t="shared" si="5453"/>
        <v>1</v>
      </c>
      <c r="P2726" s="62" t="str">
        <f t="shared" si="5453"/>
        <v/>
      </c>
      <c r="Q2726" s="62" t="str">
        <f t="shared" si="5453"/>
        <v/>
      </c>
      <c r="R2726" s="62">
        <f t="shared" si="7"/>
        <v>0</v>
      </c>
      <c r="S2726" s="62"/>
      <c r="T2726" s="62"/>
      <c r="U2726" s="62"/>
      <c r="V2726" s="62"/>
      <c r="W2726" s="62"/>
      <c r="X2726" s="62"/>
      <c r="Y2726" s="62"/>
      <c r="Z2726" s="62"/>
      <c r="AA2726" s="62"/>
      <c r="AB2726" s="62"/>
      <c r="AC2726" s="62"/>
    </row>
    <row r="2727" hidden="1">
      <c r="A2727" s="60"/>
      <c r="B2727" s="60"/>
      <c r="C2727" s="60"/>
      <c r="D2727" s="60"/>
      <c r="E2727" s="62" t="str">
        <f t="shared" si="5153"/>
        <v/>
      </c>
      <c r="F2727" s="62" t="str">
        <f t="shared" ref="F2727:G2727" si="5454">IF(isblank(F$1),,IF(isblank($A2727),,IFERROR(vlookup($A2727,indirect("'TVC-"&amp;text(month(F$1),"00")&amp;"'!$A:$D"),4,false),1)))</f>
        <v/>
      </c>
      <c r="G2727" s="62" t="str">
        <f t="shared" si="5454"/>
        <v/>
      </c>
      <c r="H2727" s="62">
        <f t="shared" ref="H2727:Q2727" si="5455">IF(isblank(H$1),,IFERROR(vlookup($A2727,indirect("'TVC-"&amp;text(month(H$1),"00")&amp;"'!$A:$D"),4,false),1))</f>
        <v>1</v>
      </c>
      <c r="I2727" s="62">
        <f t="shared" si="5455"/>
        <v>1</v>
      </c>
      <c r="J2727" s="62">
        <f t="shared" si="5455"/>
        <v>1</v>
      </c>
      <c r="K2727" s="62">
        <f t="shared" si="5455"/>
        <v>1</v>
      </c>
      <c r="L2727" s="62">
        <f t="shared" si="5455"/>
        <v>1</v>
      </c>
      <c r="M2727" s="62">
        <f t="shared" si="5455"/>
        <v>1</v>
      </c>
      <c r="N2727" s="62">
        <f t="shared" si="5455"/>
        <v>1</v>
      </c>
      <c r="O2727" s="62">
        <f t="shared" si="5455"/>
        <v>1</v>
      </c>
      <c r="P2727" s="62" t="str">
        <f t="shared" si="5455"/>
        <v/>
      </c>
      <c r="Q2727" s="62" t="str">
        <f t="shared" si="5455"/>
        <v/>
      </c>
      <c r="R2727" s="62">
        <f t="shared" si="7"/>
        <v>0</v>
      </c>
      <c r="S2727" s="62"/>
      <c r="T2727" s="62"/>
      <c r="U2727" s="62"/>
      <c r="V2727" s="62"/>
      <c r="W2727" s="62"/>
      <c r="X2727" s="62"/>
      <c r="Y2727" s="62"/>
      <c r="Z2727" s="62"/>
      <c r="AA2727" s="62"/>
      <c r="AB2727" s="62"/>
      <c r="AC2727" s="62"/>
    </row>
    <row r="2728" hidden="1">
      <c r="A2728" s="60"/>
      <c r="B2728" s="60"/>
      <c r="C2728" s="60"/>
      <c r="D2728" s="60"/>
      <c r="E2728" s="62" t="str">
        <f t="shared" si="5153"/>
        <v/>
      </c>
      <c r="F2728" s="62" t="str">
        <f t="shared" ref="F2728:G2728" si="5456">IF(isblank(F$1),,IF(isblank($A2728),,IFERROR(vlookup($A2728,indirect("'TVC-"&amp;text(month(F$1),"00")&amp;"'!$A:$D"),4,false),1)))</f>
        <v/>
      </c>
      <c r="G2728" s="62" t="str">
        <f t="shared" si="5456"/>
        <v/>
      </c>
      <c r="H2728" s="62">
        <f t="shared" ref="H2728:Q2728" si="5457">IF(isblank(H$1),,IFERROR(vlookup($A2728,indirect("'TVC-"&amp;text(month(H$1),"00")&amp;"'!$A:$D"),4,false),1))</f>
        <v>1</v>
      </c>
      <c r="I2728" s="62">
        <f t="shared" si="5457"/>
        <v>1</v>
      </c>
      <c r="J2728" s="62">
        <f t="shared" si="5457"/>
        <v>1</v>
      </c>
      <c r="K2728" s="62">
        <f t="shared" si="5457"/>
        <v>1</v>
      </c>
      <c r="L2728" s="62">
        <f t="shared" si="5457"/>
        <v>1</v>
      </c>
      <c r="M2728" s="62">
        <f t="shared" si="5457"/>
        <v>1</v>
      </c>
      <c r="N2728" s="62">
        <f t="shared" si="5457"/>
        <v>1</v>
      </c>
      <c r="O2728" s="62">
        <f t="shared" si="5457"/>
        <v>1</v>
      </c>
      <c r="P2728" s="62" t="str">
        <f t="shared" si="5457"/>
        <v/>
      </c>
      <c r="Q2728" s="62" t="str">
        <f t="shared" si="5457"/>
        <v/>
      </c>
      <c r="R2728" s="62">
        <f t="shared" si="7"/>
        <v>0</v>
      </c>
      <c r="S2728" s="62"/>
      <c r="T2728" s="62"/>
      <c r="U2728" s="62"/>
      <c r="V2728" s="62"/>
      <c r="W2728" s="62"/>
      <c r="X2728" s="62"/>
      <c r="Y2728" s="62"/>
      <c r="Z2728" s="62"/>
      <c r="AA2728" s="62"/>
      <c r="AB2728" s="62"/>
      <c r="AC2728" s="62"/>
    </row>
    <row r="2729" hidden="1">
      <c r="A2729" s="60"/>
      <c r="B2729" s="60"/>
      <c r="C2729" s="60"/>
      <c r="D2729" s="60"/>
      <c r="E2729" s="62" t="str">
        <f t="shared" si="5153"/>
        <v/>
      </c>
      <c r="F2729" s="62" t="str">
        <f t="shared" ref="F2729:G2729" si="5458">IF(isblank(F$1),,IF(isblank($A2729),,IFERROR(vlookup($A2729,indirect("'TVC-"&amp;text(month(F$1),"00")&amp;"'!$A:$D"),4,false),1)))</f>
        <v/>
      </c>
      <c r="G2729" s="62" t="str">
        <f t="shared" si="5458"/>
        <v/>
      </c>
      <c r="H2729" s="62">
        <f t="shared" ref="H2729:Q2729" si="5459">IF(isblank(H$1),,IFERROR(vlookup($A2729,indirect("'TVC-"&amp;text(month(H$1),"00")&amp;"'!$A:$D"),4,false),1))</f>
        <v>1</v>
      </c>
      <c r="I2729" s="62">
        <f t="shared" si="5459"/>
        <v>1</v>
      </c>
      <c r="J2729" s="62">
        <f t="shared" si="5459"/>
        <v>1</v>
      </c>
      <c r="K2729" s="62">
        <f t="shared" si="5459"/>
        <v>1</v>
      </c>
      <c r="L2729" s="62">
        <f t="shared" si="5459"/>
        <v>1</v>
      </c>
      <c r="M2729" s="62">
        <f t="shared" si="5459"/>
        <v>1</v>
      </c>
      <c r="N2729" s="62">
        <f t="shared" si="5459"/>
        <v>1</v>
      </c>
      <c r="O2729" s="62">
        <f t="shared" si="5459"/>
        <v>1</v>
      </c>
      <c r="P2729" s="62" t="str">
        <f t="shared" si="5459"/>
        <v/>
      </c>
      <c r="Q2729" s="62" t="str">
        <f t="shared" si="5459"/>
        <v/>
      </c>
      <c r="R2729" s="62">
        <f t="shared" si="7"/>
        <v>0</v>
      </c>
      <c r="S2729" s="62"/>
      <c r="T2729" s="62"/>
      <c r="U2729" s="62"/>
      <c r="V2729" s="62"/>
      <c r="W2729" s="62"/>
      <c r="X2729" s="62"/>
      <c r="Y2729" s="62"/>
      <c r="Z2729" s="62"/>
      <c r="AA2729" s="62"/>
      <c r="AB2729" s="62"/>
      <c r="AC2729" s="62"/>
    </row>
    <row r="2730" hidden="1">
      <c r="A2730" s="60"/>
      <c r="B2730" s="60"/>
      <c r="C2730" s="60"/>
      <c r="D2730" s="60"/>
      <c r="E2730" s="62" t="str">
        <f t="shared" si="5153"/>
        <v/>
      </c>
      <c r="F2730" s="62" t="str">
        <f t="shared" ref="F2730:G2730" si="5460">IF(isblank(F$1),,IF(isblank($A2730),,IFERROR(vlookup($A2730,indirect("'TVC-"&amp;text(month(F$1),"00")&amp;"'!$A:$D"),4,false),1)))</f>
        <v/>
      </c>
      <c r="G2730" s="62" t="str">
        <f t="shared" si="5460"/>
        <v/>
      </c>
      <c r="H2730" s="62">
        <f t="shared" ref="H2730:Q2730" si="5461">IF(isblank(H$1),,IFERROR(vlookup($A2730,indirect("'TVC-"&amp;text(month(H$1),"00")&amp;"'!$A:$D"),4,false),1))</f>
        <v>1</v>
      </c>
      <c r="I2730" s="62">
        <f t="shared" si="5461"/>
        <v>1</v>
      </c>
      <c r="J2730" s="62">
        <f t="shared" si="5461"/>
        <v>1</v>
      </c>
      <c r="K2730" s="62">
        <f t="shared" si="5461"/>
        <v>1</v>
      </c>
      <c r="L2730" s="62">
        <f t="shared" si="5461"/>
        <v>1</v>
      </c>
      <c r="M2730" s="62">
        <f t="shared" si="5461"/>
        <v>1</v>
      </c>
      <c r="N2730" s="62">
        <f t="shared" si="5461"/>
        <v>1</v>
      </c>
      <c r="O2730" s="62">
        <f t="shared" si="5461"/>
        <v>1</v>
      </c>
      <c r="P2730" s="62" t="str">
        <f t="shared" si="5461"/>
        <v/>
      </c>
      <c r="Q2730" s="62" t="str">
        <f t="shared" si="5461"/>
        <v/>
      </c>
      <c r="R2730" s="62">
        <f t="shared" si="7"/>
        <v>0</v>
      </c>
      <c r="S2730" s="62"/>
      <c r="T2730" s="62"/>
      <c r="U2730" s="62"/>
      <c r="V2730" s="62"/>
      <c r="W2730" s="62"/>
      <c r="X2730" s="62"/>
      <c r="Y2730" s="62"/>
      <c r="Z2730" s="62"/>
      <c r="AA2730" s="62"/>
      <c r="AB2730" s="62"/>
      <c r="AC2730" s="62"/>
    </row>
    <row r="2731" hidden="1">
      <c r="A2731" s="60"/>
      <c r="B2731" s="60"/>
      <c r="C2731" s="60"/>
      <c r="D2731" s="60"/>
      <c r="E2731" s="62" t="str">
        <f t="shared" si="5153"/>
        <v/>
      </c>
      <c r="F2731" s="62" t="str">
        <f t="shared" ref="F2731:G2731" si="5462">IF(isblank(F$1),,IF(isblank($A2731),,IFERROR(vlookup($A2731,indirect("'TVC-"&amp;text(month(F$1),"00")&amp;"'!$A:$D"),4,false),1)))</f>
        <v/>
      </c>
      <c r="G2731" s="62" t="str">
        <f t="shared" si="5462"/>
        <v/>
      </c>
      <c r="H2731" s="62">
        <f t="shared" ref="H2731:Q2731" si="5463">IF(isblank(H$1),,IFERROR(vlookup($A2731,indirect("'TVC-"&amp;text(month(H$1),"00")&amp;"'!$A:$D"),4,false),1))</f>
        <v>1</v>
      </c>
      <c r="I2731" s="62">
        <f t="shared" si="5463"/>
        <v>1</v>
      </c>
      <c r="J2731" s="62">
        <f t="shared" si="5463"/>
        <v>1</v>
      </c>
      <c r="K2731" s="62">
        <f t="shared" si="5463"/>
        <v>1</v>
      </c>
      <c r="L2731" s="62">
        <f t="shared" si="5463"/>
        <v>1</v>
      </c>
      <c r="M2731" s="62">
        <f t="shared" si="5463"/>
        <v>1</v>
      </c>
      <c r="N2731" s="62">
        <f t="shared" si="5463"/>
        <v>1</v>
      </c>
      <c r="O2731" s="62">
        <f t="shared" si="5463"/>
        <v>1</v>
      </c>
      <c r="P2731" s="62" t="str">
        <f t="shared" si="5463"/>
        <v/>
      </c>
      <c r="Q2731" s="62" t="str">
        <f t="shared" si="5463"/>
        <v/>
      </c>
      <c r="R2731" s="62">
        <f t="shared" si="7"/>
        <v>0</v>
      </c>
      <c r="S2731" s="62"/>
      <c r="T2731" s="62"/>
      <c r="U2731" s="62"/>
      <c r="V2731" s="62"/>
      <c r="W2731" s="62"/>
      <c r="X2731" s="62"/>
      <c r="Y2731" s="62"/>
      <c r="Z2731" s="62"/>
      <c r="AA2731" s="62"/>
      <c r="AB2731" s="62"/>
      <c r="AC2731" s="62"/>
    </row>
    <row r="2732" hidden="1">
      <c r="A2732" s="60"/>
      <c r="B2732" s="60"/>
      <c r="C2732" s="60"/>
      <c r="D2732" s="60"/>
      <c r="E2732" s="62" t="str">
        <f t="shared" si="5153"/>
        <v/>
      </c>
      <c r="F2732" s="62" t="str">
        <f t="shared" ref="F2732:G2732" si="5464">IF(isblank(F$1),,IF(isblank($A2732),,IFERROR(vlookup($A2732,indirect("'TVC-"&amp;text(month(F$1),"00")&amp;"'!$A:$D"),4,false),1)))</f>
        <v/>
      </c>
      <c r="G2732" s="62" t="str">
        <f t="shared" si="5464"/>
        <v/>
      </c>
      <c r="H2732" s="62">
        <f t="shared" ref="H2732:Q2732" si="5465">IF(isblank(H$1),,IFERROR(vlookup($A2732,indirect("'TVC-"&amp;text(month(H$1),"00")&amp;"'!$A:$D"),4,false),1))</f>
        <v>1</v>
      </c>
      <c r="I2732" s="62">
        <f t="shared" si="5465"/>
        <v>1</v>
      </c>
      <c r="J2732" s="62">
        <f t="shared" si="5465"/>
        <v>1</v>
      </c>
      <c r="K2732" s="62">
        <f t="shared" si="5465"/>
        <v>1</v>
      </c>
      <c r="L2732" s="62">
        <f t="shared" si="5465"/>
        <v>1</v>
      </c>
      <c r="M2732" s="62">
        <f t="shared" si="5465"/>
        <v>1</v>
      </c>
      <c r="N2732" s="62">
        <f t="shared" si="5465"/>
        <v>1</v>
      </c>
      <c r="O2732" s="62">
        <f t="shared" si="5465"/>
        <v>1</v>
      </c>
      <c r="P2732" s="62" t="str">
        <f t="shared" si="5465"/>
        <v/>
      </c>
      <c r="Q2732" s="62" t="str">
        <f t="shared" si="5465"/>
        <v/>
      </c>
      <c r="R2732" s="62">
        <f t="shared" si="7"/>
        <v>0</v>
      </c>
      <c r="S2732" s="62"/>
      <c r="T2732" s="62"/>
      <c r="U2732" s="62"/>
      <c r="V2732" s="62"/>
      <c r="W2732" s="62"/>
      <c r="X2732" s="62"/>
      <c r="Y2732" s="62"/>
      <c r="Z2732" s="62"/>
      <c r="AA2732" s="62"/>
      <c r="AB2732" s="62"/>
      <c r="AC2732" s="62"/>
    </row>
    <row r="2733" hidden="1">
      <c r="A2733" s="60"/>
      <c r="B2733" s="60"/>
      <c r="C2733" s="60"/>
      <c r="D2733" s="60"/>
      <c r="E2733" s="62" t="str">
        <f t="shared" si="5153"/>
        <v/>
      </c>
      <c r="F2733" s="62" t="str">
        <f t="shared" ref="F2733:G2733" si="5466">IF(isblank(F$1),,IF(isblank($A2733),,IFERROR(vlookup($A2733,indirect("'TVC-"&amp;text(month(F$1),"00")&amp;"'!$A:$D"),4,false),1)))</f>
        <v/>
      </c>
      <c r="G2733" s="62" t="str">
        <f t="shared" si="5466"/>
        <v/>
      </c>
      <c r="H2733" s="62">
        <f t="shared" ref="H2733:Q2733" si="5467">IF(isblank(H$1),,IFERROR(vlookup($A2733,indirect("'TVC-"&amp;text(month(H$1),"00")&amp;"'!$A:$D"),4,false),1))</f>
        <v>1</v>
      </c>
      <c r="I2733" s="62">
        <f t="shared" si="5467"/>
        <v>1</v>
      </c>
      <c r="J2733" s="62">
        <f t="shared" si="5467"/>
        <v>1</v>
      </c>
      <c r="K2733" s="62">
        <f t="shared" si="5467"/>
        <v>1</v>
      </c>
      <c r="L2733" s="62">
        <f t="shared" si="5467"/>
        <v>1</v>
      </c>
      <c r="M2733" s="62">
        <f t="shared" si="5467"/>
        <v>1</v>
      </c>
      <c r="N2733" s="62">
        <f t="shared" si="5467"/>
        <v>1</v>
      </c>
      <c r="O2733" s="62">
        <f t="shared" si="5467"/>
        <v>1</v>
      </c>
      <c r="P2733" s="62" t="str">
        <f t="shared" si="5467"/>
        <v/>
      </c>
      <c r="Q2733" s="62" t="str">
        <f t="shared" si="5467"/>
        <v/>
      </c>
      <c r="R2733" s="62">
        <f t="shared" si="7"/>
        <v>0</v>
      </c>
      <c r="S2733" s="62"/>
      <c r="T2733" s="62"/>
      <c r="U2733" s="62"/>
      <c r="V2733" s="62"/>
      <c r="W2733" s="62"/>
      <c r="X2733" s="62"/>
      <c r="Y2733" s="62"/>
      <c r="Z2733" s="62"/>
      <c r="AA2733" s="62"/>
      <c r="AB2733" s="62"/>
      <c r="AC2733" s="62"/>
    </row>
    <row r="2734" hidden="1">
      <c r="A2734" s="60"/>
      <c r="B2734" s="60"/>
      <c r="C2734" s="60"/>
      <c r="D2734" s="60"/>
      <c r="E2734" s="62" t="str">
        <f t="shared" si="5153"/>
        <v/>
      </c>
      <c r="F2734" s="62" t="str">
        <f t="shared" ref="F2734:G2734" si="5468">IF(isblank(F$1),,IF(isblank($A2734),,IFERROR(vlookup($A2734,indirect("'TVC-"&amp;text(month(F$1),"00")&amp;"'!$A:$D"),4,false),1)))</f>
        <v/>
      </c>
      <c r="G2734" s="62" t="str">
        <f t="shared" si="5468"/>
        <v/>
      </c>
      <c r="H2734" s="62">
        <f t="shared" ref="H2734:Q2734" si="5469">IF(isblank(H$1),,IFERROR(vlookup($A2734,indirect("'TVC-"&amp;text(month(H$1),"00")&amp;"'!$A:$D"),4,false),1))</f>
        <v>1</v>
      </c>
      <c r="I2734" s="62">
        <f t="shared" si="5469"/>
        <v>1</v>
      </c>
      <c r="J2734" s="62">
        <f t="shared" si="5469"/>
        <v>1</v>
      </c>
      <c r="K2734" s="62">
        <f t="shared" si="5469"/>
        <v>1</v>
      </c>
      <c r="L2734" s="62">
        <f t="shared" si="5469"/>
        <v>1</v>
      </c>
      <c r="M2734" s="62">
        <f t="shared" si="5469"/>
        <v>1</v>
      </c>
      <c r="N2734" s="62">
        <f t="shared" si="5469"/>
        <v>1</v>
      </c>
      <c r="O2734" s="62">
        <f t="shared" si="5469"/>
        <v>1</v>
      </c>
      <c r="P2734" s="62" t="str">
        <f t="shared" si="5469"/>
        <v/>
      </c>
      <c r="Q2734" s="62" t="str">
        <f t="shared" si="5469"/>
        <v/>
      </c>
      <c r="R2734" s="62">
        <f t="shared" si="7"/>
        <v>0</v>
      </c>
      <c r="S2734" s="62"/>
      <c r="T2734" s="62"/>
      <c r="U2734" s="62"/>
      <c r="V2734" s="62"/>
      <c r="W2734" s="62"/>
      <c r="X2734" s="62"/>
      <c r="Y2734" s="62"/>
      <c r="Z2734" s="62"/>
      <c r="AA2734" s="62"/>
      <c r="AB2734" s="62"/>
      <c r="AC2734" s="62"/>
    </row>
    <row r="2735" hidden="1">
      <c r="A2735" s="60"/>
      <c r="B2735" s="60"/>
      <c r="C2735" s="60"/>
      <c r="D2735" s="60"/>
      <c r="E2735" s="62" t="str">
        <f t="shared" si="5153"/>
        <v/>
      </c>
      <c r="F2735" s="62" t="str">
        <f t="shared" ref="F2735:G2735" si="5470">IF(isblank(F$1),,IF(isblank($A2735),,IFERROR(vlookup($A2735,indirect("'TVC-"&amp;text(month(F$1),"00")&amp;"'!$A:$D"),4,false),1)))</f>
        <v/>
      </c>
      <c r="G2735" s="62" t="str">
        <f t="shared" si="5470"/>
        <v/>
      </c>
      <c r="H2735" s="62">
        <f t="shared" ref="H2735:Q2735" si="5471">IF(isblank(H$1),,IFERROR(vlookup($A2735,indirect("'TVC-"&amp;text(month(H$1),"00")&amp;"'!$A:$D"),4,false),1))</f>
        <v>1</v>
      </c>
      <c r="I2735" s="62">
        <f t="shared" si="5471"/>
        <v>1</v>
      </c>
      <c r="J2735" s="62">
        <f t="shared" si="5471"/>
        <v>1</v>
      </c>
      <c r="K2735" s="62">
        <f t="shared" si="5471"/>
        <v>1</v>
      </c>
      <c r="L2735" s="62">
        <f t="shared" si="5471"/>
        <v>1</v>
      </c>
      <c r="M2735" s="62">
        <f t="shared" si="5471"/>
        <v>1</v>
      </c>
      <c r="N2735" s="62">
        <f t="shared" si="5471"/>
        <v>1</v>
      </c>
      <c r="O2735" s="62">
        <f t="shared" si="5471"/>
        <v>1</v>
      </c>
      <c r="P2735" s="62" t="str">
        <f t="shared" si="5471"/>
        <v/>
      </c>
      <c r="Q2735" s="62" t="str">
        <f t="shared" si="5471"/>
        <v/>
      </c>
      <c r="R2735" s="62">
        <f t="shared" si="7"/>
        <v>0</v>
      </c>
      <c r="S2735" s="62"/>
      <c r="T2735" s="62"/>
      <c r="U2735" s="62"/>
      <c r="V2735" s="62"/>
      <c r="W2735" s="62"/>
      <c r="X2735" s="62"/>
      <c r="Y2735" s="62"/>
      <c r="Z2735" s="62"/>
      <c r="AA2735" s="62"/>
      <c r="AB2735" s="62"/>
      <c r="AC2735" s="62"/>
    </row>
    <row r="2736" hidden="1">
      <c r="A2736" s="60"/>
      <c r="B2736" s="60"/>
      <c r="C2736" s="60"/>
      <c r="D2736" s="60"/>
      <c r="E2736" s="62" t="str">
        <f t="shared" si="5153"/>
        <v/>
      </c>
      <c r="F2736" s="62" t="str">
        <f t="shared" ref="F2736:G2736" si="5472">IF(isblank(F$1),,IF(isblank($A2736),,IFERROR(vlookup($A2736,indirect("'TVC-"&amp;text(month(F$1),"00")&amp;"'!$A:$D"),4,false),1)))</f>
        <v/>
      </c>
      <c r="G2736" s="62" t="str">
        <f t="shared" si="5472"/>
        <v/>
      </c>
      <c r="H2736" s="62">
        <f t="shared" ref="H2736:Q2736" si="5473">IF(isblank(H$1),,IFERROR(vlookup($A2736,indirect("'TVC-"&amp;text(month(H$1),"00")&amp;"'!$A:$D"),4,false),1))</f>
        <v>1</v>
      </c>
      <c r="I2736" s="62">
        <f t="shared" si="5473"/>
        <v>1</v>
      </c>
      <c r="J2736" s="62">
        <f t="shared" si="5473"/>
        <v>1</v>
      </c>
      <c r="K2736" s="62">
        <f t="shared" si="5473"/>
        <v>1</v>
      </c>
      <c r="L2736" s="62">
        <f t="shared" si="5473"/>
        <v>1</v>
      </c>
      <c r="M2736" s="62">
        <f t="shared" si="5473"/>
        <v>1</v>
      </c>
      <c r="N2736" s="62">
        <f t="shared" si="5473"/>
        <v>1</v>
      </c>
      <c r="O2736" s="62">
        <f t="shared" si="5473"/>
        <v>1</v>
      </c>
      <c r="P2736" s="62" t="str">
        <f t="shared" si="5473"/>
        <v/>
      </c>
      <c r="Q2736" s="62" t="str">
        <f t="shared" si="5473"/>
        <v/>
      </c>
      <c r="R2736" s="62">
        <f t="shared" si="7"/>
        <v>0</v>
      </c>
      <c r="S2736" s="62"/>
      <c r="T2736" s="62"/>
      <c r="U2736" s="62"/>
      <c r="V2736" s="62"/>
      <c r="W2736" s="62"/>
      <c r="X2736" s="62"/>
      <c r="Y2736" s="62"/>
      <c r="Z2736" s="62"/>
      <c r="AA2736" s="62"/>
      <c r="AB2736" s="62"/>
      <c r="AC2736" s="62"/>
    </row>
    <row r="2737" hidden="1">
      <c r="A2737" s="60"/>
      <c r="B2737" s="60"/>
      <c r="C2737" s="60"/>
      <c r="D2737" s="60"/>
      <c r="E2737" s="62" t="str">
        <f t="shared" si="5153"/>
        <v/>
      </c>
      <c r="F2737" s="62" t="str">
        <f t="shared" ref="F2737:G2737" si="5474">IF(isblank(F$1),,IF(isblank($A2737),,IFERROR(vlookup($A2737,indirect("'TVC-"&amp;text(month(F$1),"00")&amp;"'!$A:$D"),4,false),1)))</f>
        <v/>
      </c>
      <c r="G2737" s="62" t="str">
        <f t="shared" si="5474"/>
        <v/>
      </c>
      <c r="H2737" s="62">
        <f t="shared" ref="H2737:Q2737" si="5475">IF(isblank(H$1),,IFERROR(vlookup($A2737,indirect("'TVC-"&amp;text(month(H$1),"00")&amp;"'!$A:$D"),4,false),1))</f>
        <v>1</v>
      </c>
      <c r="I2737" s="62">
        <f t="shared" si="5475"/>
        <v>1</v>
      </c>
      <c r="J2737" s="62">
        <f t="shared" si="5475"/>
        <v>1</v>
      </c>
      <c r="K2737" s="62">
        <f t="shared" si="5475"/>
        <v>1</v>
      </c>
      <c r="L2737" s="62">
        <f t="shared" si="5475"/>
        <v>1</v>
      </c>
      <c r="M2737" s="62">
        <f t="shared" si="5475"/>
        <v>1</v>
      </c>
      <c r="N2737" s="62">
        <f t="shared" si="5475"/>
        <v>1</v>
      </c>
      <c r="O2737" s="62">
        <f t="shared" si="5475"/>
        <v>1</v>
      </c>
      <c r="P2737" s="62" t="str">
        <f t="shared" si="5475"/>
        <v/>
      </c>
      <c r="Q2737" s="62" t="str">
        <f t="shared" si="5475"/>
        <v/>
      </c>
      <c r="R2737" s="62">
        <f t="shared" si="7"/>
        <v>0</v>
      </c>
      <c r="S2737" s="62"/>
      <c r="T2737" s="62"/>
      <c r="U2737" s="62"/>
      <c r="V2737" s="62"/>
      <c r="W2737" s="62"/>
      <c r="X2737" s="62"/>
      <c r="Y2737" s="62"/>
      <c r="Z2737" s="62"/>
      <c r="AA2737" s="62"/>
      <c r="AB2737" s="62"/>
      <c r="AC2737" s="62"/>
    </row>
    <row r="2738" hidden="1">
      <c r="A2738" s="60"/>
      <c r="B2738" s="60"/>
      <c r="C2738" s="60"/>
      <c r="D2738" s="60"/>
      <c r="E2738" s="62" t="str">
        <f t="shared" si="5153"/>
        <v/>
      </c>
      <c r="F2738" s="62" t="str">
        <f t="shared" ref="F2738:G2738" si="5476">IF(isblank(F$1),,IF(isblank($A2738),,IFERROR(vlookup($A2738,indirect("'TVC-"&amp;text(month(F$1),"00")&amp;"'!$A:$D"),4,false),1)))</f>
        <v/>
      </c>
      <c r="G2738" s="62" t="str">
        <f t="shared" si="5476"/>
        <v/>
      </c>
      <c r="H2738" s="62">
        <f t="shared" ref="H2738:Q2738" si="5477">IF(isblank(H$1),,IFERROR(vlookup($A2738,indirect("'TVC-"&amp;text(month(H$1),"00")&amp;"'!$A:$D"),4,false),1))</f>
        <v>1</v>
      </c>
      <c r="I2738" s="62">
        <f t="shared" si="5477"/>
        <v>1</v>
      </c>
      <c r="J2738" s="62">
        <f t="shared" si="5477"/>
        <v>1</v>
      </c>
      <c r="K2738" s="62">
        <f t="shared" si="5477"/>
        <v>1</v>
      </c>
      <c r="L2738" s="62">
        <f t="shared" si="5477"/>
        <v>1</v>
      </c>
      <c r="M2738" s="62">
        <f t="shared" si="5477"/>
        <v>1</v>
      </c>
      <c r="N2738" s="62">
        <f t="shared" si="5477"/>
        <v>1</v>
      </c>
      <c r="O2738" s="62">
        <f t="shared" si="5477"/>
        <v>1</v>
      </c>
      <c r="P2738" s="62" t="str">
        <f t="shared" si="5477"/>
        <v/>
      </c>
      <c r="Q2738" s="62" t="str">
        <f t="shared" si="5477"/>
        <v/>
      </c>
      <c r="R2738" s="62">
        <f t="shared" si="7"/>
        <v>0</v>
      </c>
      <c r="S2738" s="62"/>
      <c r="T2738" s="62"/>
      <c r="U2738" s="62"/>
      <c r="V2738" s="62"/>
      <c r="W2738" s="62"/>
      <c r="X2738" s="62"/>
      <c r="Y2738" s="62"/>
      <c r="Z2738" s="62"/>
      <c r="AA2738" s="62"/>
      <c r="AB2738" s="62"/>
      <c r="AC2738" s="62"/>
    </row>
    <row r="2739" hidden="1">
      <c r="A2739" s="60"/>
      <c r="B2739" s="60"/>
      <c r="C2739" s="60"/>
      <c r="D2739" s="60"/>
      <c r="E2739" s="62" t="str">
        <f t="shared" si="5153"/>
        <v/>
      </c>
      <c r="F2739" s="62" t="str">
        <f t="shared" ref="F2739:G2739" si="5478">IF(isblank(F$1),,IF(isblank($A2739),,IFERROR(vlookup($A2739,indirect("'TVC-"&amp;text(month(F$1),"00")&amp;"'!$A:$D"),4,false),1)))</f>
        <v/>
      </c>
      <c r="G2739" s="62" t="str">
        <f t="shared" si="5478"/>
        <v/>
      </c>
      <c r="H2739" s="62">
        <f t="shared" ref="H2739:Q2739" si="5479">IF(isblank(H$1),,IFERROR(vlookup($A2739,indirect("'TVC-"&amp;text(month(H$1),"00")&amp;"'!$A:$D"),4,false),1))</f>
        <v>1</v>
      </c>
      <c r="I2739" s="62">
        <f t="shared" si="5479"/>
        <v>1</v>
      </c>
      <c r="J2739" s="62">
        <f t="shared" si="5479"/>
        <v>1</v>
      </c>
      <c r="K2739" s="62">
        <f t="shared" si="5479"/>
        <v>1</v>
      </c>
      <c r="L2739" s="62">
        <f t="shared" si="5479"/>
        <v>1</v>
      </c>
      <c r="M2739" s="62">
        <f t="shared" si="5479"/>
        <v>1</v>
      </c>
      <c r="N2739" s="62">
        <f t="shared" si="5479"/>
        <v>1</v>
      </c>
      <c r="O2739" s="62">
        <f t="shared" si="5479"/>
        <v>1</v>
      </c>
      <c r="P2739" s="62" t="str">
        <f t="shared" si="5479"/>
        <v/>
      </c>
      <c r="Q2739" s="62" t="str">
        <f t="shared" si="5479"/>
        <v/>
      </c>
      <c r="R2739" s="62">
        <f t="shared" si="7"/>
        <v>0</v>
      </c>
      <c r="S2739" s="62"/>
      <c r="T2739" s="62"/>
      <c r="U2739" s="62"/>
      <c r="V2739" s="62"/>
      <c r="W2739" s="62"/>
      <c r="X2739" s="62"/>
      <c r="Y2739" s="62"/>
      <c r="Z2739" s="62"/>
      <c r="AA2739" s="62"/>
      <c r="AB2739" s="62"/>
      <c r="AC2739" s="62"/>
    </row>
    <row r="2740" hidden="1">
      <c r="A2740" s="60"/>
      <c r="B2740" s="60"/>
      <c r="C2740" s="60"/>
      <c r="D2740" s="60"/>
      <c r="E2740" s="62" t="str">
        <f t="shared" si="5153"/>
        <v/>
      </c>
      <c r="F2740" s="62" t="str">
        <f t="shared" ref="F2740:G2740" si="5480">IF(isblank(F$1),,IF(isblank($A2740),,IFERROR(vlookup($A2740,indirect("'TVC-"&amp;text(month(F$1),"00")&amp;"'!$A:$D"),4,false),1)))</f>
        <v/>
      </c>
      <c r="G2740" s="62" t="str">
        <f t="shared" si="5480"/>
        <v/>
      </c>
      <c r="H2740" s="62">
        <f t="shared" ref="H2740:Q2740" si="5481">IF(isblank(H$1),,IFERROR(vlookup($A2740,indirect("'TVC-"&amp;text(month(H$1),"00")&amp;"'!$A:$D"),4,false),1))</f>
        <v>1</v>
      </c>
      <c r="I2740" s="62">
        <f t="shared" si="5481"/>
        <v>1</v>
      </c>
      <c r="J2740" s="62">
        <f t="shared" si="5481"/>
        <v>1</v>
      </c>
      <c r="K2740" s="62">
        <f t="shared" si="5481"/>
        <v>1</v>
      </c>
      <c r="L2740" s="62">
        <f t="shared" si="5481"/>
        <v>1</v>
      </c>
      <c r="M2740" s="62">
        <f t="shared" si="5481"/>
        <v>1</v>
      </c>
      <c r="N2740" s="62">
        <f t="shared" si="5481"/>
        <v>1</v>
      </c>
      <c r="O2740" s="62">
        <f t="shared" si="5481"/>
        <v>1</v>
      </c>
      <c r="P2740" s="62" t="str">
        <f t="shared" si="5481"/>
        <v/>
      </c>
      <c r="Q2740" s="62" t="str">
        <f t="shared" si="5481"/>
        <v/>
      </c>
      <c r="R2740" s="62">
        <f t="shared" si="7"/>
        <v>0</v>
      </c>
      <c r="S2740" s="62"/>
      <c r="T2740" s="62"/>
      <c r="U2740" s="62"/>
      <c r="V2740" s="62"/>
      <c r="W2740" s="62"/>
      <c r="X2740" s="62"/>
      <c r="Y2740" s="62"/>
      <c r="Z2740" s="62"/>
      <c r="AA2740" s="62"/>
      <c r="AB2740" s="62"/>
      <c r="AC2740" s="62"/>
    </row>
    <row r="2741" hidden="1">
      <c r="A2741" s="60"/>
      <c r="B2741" s="60"/>
      <c r="C2741" s="60"/>
      <c r="D2741" s="60"/>
      <c r="E2741" s="62" t="str">
        <f t="shared" si="5153"/>
        <v/>
      </c>
      <c r="F2741" s="62" t="str">
        <f t="shared" ref="F2741:G2741" si="5482">IF(isblank(F$1),,IF(isblank($A2741),,IFERROR(vlookup($A2741,indirect("'TVC-"&amp;text(month(F$1),"00")&amp;"'!$A:$D"),4,false),1)))</f>
        <v/>
      </c>
      <c r="G2741" s="62" t="str">
        <f t="shared" si="5482"/>
        <v/>
      </c>
      <c r="H2741" s="62">
        <f t="shared" ref="H2741:Q2741" si="5483">IF(isblank(H$1),,IFERROR(vlookup($A2741,indirect("'TVC-"&amp;text(month(H$1),"00")&amp;"'!$A:$D"),4,false),1))</f>
        <v>1</v>
      </c>
      <c r="I2741" s="62">
        <f t="shared" si="5483"/>
        <v>1</v>
      </c>
      <c r="J2741" s="62">
        <f t="shared" si="5483"/>
        <v>1</v>
      </c>
      <c r="K2741" s="62">
        <f t="shared" si="5483"/>
        <v>1</v>
      </c>
      <c r="L2741" s="62">
        <f t="shared" si="5483"/>
        <v>1</v>
      </c>
      <c r="M2741" s="62">
        <f t="shared" si="5483"/>
        <v>1</v>
      </c>
      <c r="N2741" s="62">
        <f t="shared" si="5483"/>
        <v>1</v>
      </c>
      <c r="O2741" s="62">
        <f t="shared" si="5483"/>
        <v>1</v>
      </c>
      <c r="P2741" s="62" t="str">
        <f t="shared" si="5483"/>
        <v/>
      </c>
      <c r="Q2741" s="62" t="str">
        <f t="shared" si="5483"/>
        <v/>
      </c>
      <c r="R2741" s="62">
        <f t="shared" si="7"/>
        <v>0</v>
      </c>
      <c r="S2741" s="62"/>
      <c r="T2741" s="62"/>
      <c r="U2741" s="62"/>
      <c r="V2741" s="62"/>
      <c r="W2741" s="62"/>
      <c r="X2741" s="62"/>
      <c r="Y2741" s="62"/>
      <c r="Z2741" s="62"/>
      <c r="AA2741" s="62"/>
      <c r="AB2741" s="62"/>
      <c r="AC2741" s="62"/>
    </row>
    <row r="2742" hidden="1">
      <c r="A2742" s="60"/>
      <c r="B2742" s="60"/>
      <c r="C2742" s="60"/>
      <c r="D2742" s="60"/>
      <c r="E2742" s="62" t="str">
        <f t="shared" si="5153"/>
        <v/>
      </c>
      <c r="F2742" s="62" t="str">
        <f t="shared" ref="F2742:G2742" si="5484">IF(isblank(F$1),,IF(isblank($A2742),,IFERROR(vlookup($A2742,indirect("'TVC-"&amp;text(month(F$1),"00")&amp;"'!$A:$D"),4,false),1)))</f>
        <v/>
      </c>
      <c r="G2742" s="62" t="str">
        <f t="shared" si="5484"/>
        <v/>
      </c>
      <c r="H2742" s="62">
        <f t="shared" ref="H2742:Q2742" si="5485">IF(isblank(H$1),,IFERROR(vlookup($A2742,indirect("'TVC-"&amp;text(month(H$1),"00")&amp;"'!$A:$D"),4,false),1))</f>
        <v>1</v>
      </c>
      <c r="I2742" s="62">
        <f t="shared" si="5485"/>
        <v>1</v>
      </c>
      <c r="J2742" s="62">
        <f t="shared" si="5485"/>
        <v>1</v>
      </c>
      <c r="K2742" s="62">
        <f t="shared" si="5485"/>
        <v>1</v>
      </c>
      <c r="L2742" s="62">
        <f t="shared" si="5485"/>
        <v>1</v>
      </c>
      <c r="M2742" s="62">
        <f t="shared" si="5485"/>
        <v>1</v>
      </c>
      <c r="N2742" s="62">
        <f t="shared" si="5485"/>
        <v>1</v>
      </c>
      <c r="O2742" s="62">
        <f t="shared" si="5485"/>
        <v>1</v>
      </c>
      <c r="P2742" s="62" t="str">
        <f t="shared" si="5485"/>
        <v/>
      </c>
      <c r="Q2742" s="62" t="str">
        <f t="shared" si="5485"/>
        <v/>
      </c>
      <c r="R2742" s="62">
        <f t="shared" si="7"/>
        <v>0</v>
      </c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</row>
    <row r="2743" hidden="1">
      <c r="A2743" s="60"/>
      <c r="B2743" s="60"/>
      <c r="C2743" s="60"/>
      <c r="D2743" s="60"/>
      <c r="E2743" s="62" t="str">
        <f t="shared" si="5153"/>
        <v/>
      </c>
      <c r="F2743" s="62" t="str">
        <f t="shared" ref="F2743:G2743" si="5486">IF(isblank(F$1),,IF(isblank($A2743),,IFERROR(vlookup($A2743,indirect("'TVC-"&amp;text(month(F$1),"00")&amp;"'!$A:$D"),4,false),1)))</f>
        <v/>
      </c>
      <c r="G2743" s="62" t="str">
        <f t="shared" si="5486"/>
        <v/>
      </c>
      <c r="H2743" s="62">
        <f t="shared" ref="H2743:Q2743" si="5487">IF(isblank(H$1),,IFERROR(vlookup($A2743,indirect("'TVC-"&amp;text(month(H$1),"00")&amp;"'!$A:$D"),4,false),1))</f>
        <v>1</v>
      </c>
      <c r="I2743" s="62">
        <f t="shared" si="5487"/>
        <v>1</v>
      </c>
      <c r="J2743" s="62">
        <f t="shared" si="5487"/>
        <v>1</v>
      </c>
      <c r="K2743" s="62">
        <f t="shared" si="5487"/>
        <v>1</v>
      </c>
      <c r="L2743" s="62">
        <f t="shared" si="5487"/>
        <v>1</v>
      </c>
      <c r="M2743" s="62">
        <f t="shared" si="5487"/>
        <v>1</v>
      </c>
      <c r="N2743" s="62">
        <f t="shared" si="5487"/>
        <v>1</v>
      </c>
      <c r="O2743" s="62">
        <f t="shared" si="5487"/>
        <v>1</v>
      </c>
      <c r="P2743" s="62" t="str">
        <f t="shared" si="5487"/>
        <v/>
      </c>
      <c r="Q2743" s="62" t="str">
        <f t="shared" si="5487"/>
        <v/>
      </c>
      <c r="R2743" s="62">
        <f t="shared" si="7"/>
        <v>0</v>
      </c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</row>
    <row r="2744" hidden="1">
      <c r="A2744" s="60"/>
      <c r="B2744" s="60"/>
      <c r="C2744" s="60"/>
      <c r="D2744" s="60"/>
      <c r="E2744" s="62" t="str">
        <f t="shared" si="5153"/>
        <v/>
      </c>
      <c r="F2744" s="62" t="str">
        <f t="shared" ref="F2744:G2744" si="5488">IF(isblank(F$1),,IF(isblank($A2744),,IFERROR(vlookup($A2744,indirect("'TVC-"&amp;text(month(F$1),"00")&amp;"'!$A:$D"),4,false),1)))</f>
        <v/>
      </c>
      <c r="G2744" s="62" t="str">
        <f t="shared" si="5488"/>
        <v/>
      </c>
      <c r="H2744" s="62">
        <f t="shared" ref="H2744:Q2744" si="5489">IF(isblank(H$1),,IFERROR(vlookup($A2744,indirect("'TVC-"&amp;text(month(H$1),"00")&amp;"'!$A:$D"),4,false),1))</f>
        <v>1</v>
      </c>
      <c r="I2744" s="62">
        <f t="shared" si="5489"/>
        <v>1</v>
      </c>
      <c r="J2744" s="62">
        <f t="shared" si="5489"/>
        <v>1</v>
      </c>
      <c r="K2744" s="62">
        <f t="shared" si="5489"/>
        <v>1</v>
      </c>
      <c r="L2744" s="62">
        <f t="shared" si="5489"/>
        <v>1</v>
      </c>
      <c r="M2744" s="62">
        <f t="shared" si="5489"/>
        <v>1</v>
      </c>
      <c r="N2744" s="62">
        <f t="shared" si="5489"/>
        <v>1</v>
      </c>
      <c r="O2744" s="62">
        <f t="shared" si="5489"/>
        <v>1</v>
      </c>
      <c r="P2744" s="62" t="str">
        <f t="shared" si="5489"/>
        <v/>
      </c>
      <c r="Q2744" s="62" t="str">
        <f t="shared" si="5489"/>
        <v/>
      </c>
      <c r="R2744" s="62">
        <f t="shared" si="7"/>
        <v>0</v>
      </c>
      <c r="S2744" s="62"/>
      <c r="T2744" s="62"/>
      <c r="U2744" s="62"/>
      <c r="V2744" s="62"/>
      <c r="W2744" s="62"/>
      <c r="X2744" s="62"/>
      <c r="Y2744" s="62"/>
      <c r="Z2744" s="62"/>
      <c r="AA2744" s="62"/>
      <c r="AB2744" s="62"/>
      <c r="AC2744" s="62"/>
    </row>
    <row r="2745" hidden="1">
      <c r="A2745" s="60"/>
      <c r="B2745" s="60"/>
      <c r="C2745" s="60"/>
      <c r="D2745" s="60"/>
      <c r="E2745" s="62" t="str">
        <f t="shared" si="5153"/>
        <v/>
      </c>
      <c r="F2745" s="62" t="str">
        <f t="shared" ref="F2745:G2745" si="5490">IF(isblank(F$1),,IF(isblank($A2745),,IFERROR(vlookup($A2745,indirect("'TVC-"&amp;text(month(F$1),"00")&amp;"'!$A:$D"),4,false),1)))</f>
        <v/>
      </c>
      <c r="G2745" s="62" t="str">
        <f t="shared" si="5490"/>
        <v/>
      </c>
      <c r="H2745" s="62">
        <f t="shared" ref="H2745:Q2745" si="5491">IF(isblank(H$1),,IFERROR(vlookup($A2745,indirect("'TVC-"&amp;text(month(H$1),"00")&amp;"'!$A:$D"),4,false),1))</f>
        <v>1</v>
      </c>
      <c r="I2745" s="62">
        <f t="shared" si="5491"/>
        <v>1</v>
      </c>
      <c r="J2745" s="62">
        <f t="shared" si="5491"/>
        <v>1</v>
      </c>
      <c r="K2745" s="62">
        <f t="shared" si="5491"/>
        <v>1</v>
      </c>
      <c r="L2745" s="62">
        <f t="shared" si="5491"/>
        <v>1</v>
      </c>
      <c r="M2745" s="62">
        <f t="shared" si="5491"/>
        <v>1</v>
      </c>
      <c r="N2745" s="62">
        <f t="shared" si="5491"/>
        <v>1</v>
      </c>
      <c r="O2745" s="62">
        <f t="shared" si="5491"/>
        <v>1</v>
      </c>
      <c r="P2745" s="62" t="str">
        <f t="shared" si="5491"/>
        <v/>
      </c>
      <c r="Q2745" s="62" t="str">
        <f t="shared" si="5491"/>
        <v/>
      </c>
      <c r="R2745" s="62">
        <f t="shared" si="7"/>
        <v>0</v>
      </c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</row>
    <row r="2746" hidden="1">
      <c r="A2746" s="60"/>
      <c r="B2746" s="60"/>
      <c r="C2746" s="60"/>
      <c r="D2746" s="60"/>
      <c r="E2746" s="62" t="str">
        <f t="shared" si="5153"/>
        <v/>
      </c>
      <c r="F2746" s="62" t="str">
        <f t="shared" ref="F2746:G2746" si="5492">IF(isblank(F$1),,IF(isblank($A2746),,IFERROR(vlookup($A2746,indirect("'TVC-"&amp;text(month(F$1),"00")&amp;"'!$A:$D"),4,false),1)))</f>
        <v/>
      </c>
      <c r="G2746" s="62" t="str">
        <f t="shared" si="5492"/>
        <v/>
      </c>
      <c r="H2746" s="62">
        <f t="shared" ref="H2746:Q2746" si="5493">IF(isblank(H$1),,IFERROR(vlookup($A2746,indirect("'TVC-"&amp;text(month(H$1),"00")&amp;"'!$A:$D"),4,false),1))</f>
        <v>1</v>
      </c>
      <c r="I2746" s="62">
        <f t="shared" si="5493"/>
        <v>1</v>
      </c>
      <c r="J2746" s="62">
        <f t="shared" si="5493"/>
        <v>1</v>
      </c>
      <c r="K2746" s="62">
        <f t="shared" si="5493"/>
        <v>1</v>
      </c>
      <c r="L2746" s="62">
        <f t="shared" si="5493"/>
        <v>1</v>
      </c>
      <c r="M2746" s="62">
        <f t="shared" si="5493"/>
        <v>1</v>
      </c>
      <c r="N2746" s="62">
        <f t="shared" si="5493"/>
        <v>1</v>
      </c>
      <c r="O2746" s="62">
        <f t="shared" si="5493"/>
        <v>1</v>
      </c>
      <c r="P2746" s="62" t="str">
        <f t="shared" si="5493"/>
        <v/>
      </c>
      <c r="Q2746" s="62" t="str">
        <f t="shared" si="5493"/>
        <v/>
      </c>
      <c r="R2746" s="62">
        <f t="shared" si="7"/>
        <v>0</v>
      </c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</row>
    <row r="2747" hidden="1">
      <c r="A2747" s="60"/>
      <c r="B2747" s="60"/>
      <c r="C2747" s="60"/>
      <c r="D2747" s="60"/>
      <c r="E2747" s="62" t="str">
        <f t="shared" si="5153"/>
        <v/>
      </c>
      <c r="F2747" s="62" t="str">
        <f t="shared" ref="F2747:G2747" si="5494">IF(isblank(F$1),,IF(isblank($A2747),,IFERROR(vlookup($A2747,indirect("'TVC-"&amp;text(month(F$1),"00")&amp;"'!$A:$D"),4,false),1)))</f>
        <v/>
      </c>
      <c r="G2747" s="62" t="str">
        <f t="shared" si="5494"/>
        <v/>
      </c>
      <c r="H2747" s="62">
        <f t="shared" ref="H2747:Q2747" si="5495">IF(isblank(H$1),,IFERROR(vlookup($A2747,indirect("'TVC-"&amp;text(month(H$1),"00")&amp;"'!$A:$D"),4,false),1))</f>
        <v>1</v>
      </c>
      <c r="I2747" s="62">
        <f t="shared" si="5495"/>
        <v>1</v>
      </c>
      <c r="J2747" s="62">
        <f t="shared" si="5495"/>
        <v>1</v>
      </c>
      <c r="K2747" s="62">
        <f t="shared" si="5495"/>
        <v>1</v>
      </c>
      <c r="L2747" s="62">
        <f t="shared" si="5495"/>
        <v>1</v>
      </c>
      <c r="M2747" s="62">
        <f t="shared" si="5495"/>
        <v>1</v>
      </c>
      <c r="N2747" s="62">
        <f t="shared" si="5495"/>
        <v>1</v>
      </c>
      <c r="O2747" s="62">
        <f t="shared" si="5495"/>
        <v>1</v>
      </c>
      <c r="P2747" s="62" t="str">
        <f t="shared" si="5495"/>
        <v/>
      </c>
      <c r="Q2747" s="62" t="str">
        <f t="shared" si="5495"/>
        <v/>
      </c>
      <c r="R2747" s="62">
        <f t="shared" si="7"/>
        <v>0</v>
      </c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</row>
    <row r="2748" hidden="1">
      <c r="A2748" s="60"/>
      <c r="B2748" s="60"/>
      <c r="C2748" s="60"/>
      <c r="D2748" s="60"/>
      <c r="E2748" s="62" t="str">
        <f t="shared" si="5153"/>
        <v/>
      </c>
      <c r="F2748" s="62" t="str">
        <f t="shared" ref="F2748:G2748" si="5496">IF(isblank(F$1),,IF(isblank($A2748),,IFERROR(vlookup($A2748,indirect("'TVC-"&amp;text(month(F$1),"00")&amp;"'!$A:$D"),4,false),1)))</f>
        <v/>
      </c>
      <c r="G2748" s="62" t="str">
        <f t="shared" si="5496"/>
        <v/>
      </c>
      <c r="H2748" s="62">
        <f t="shared" ref="H2748:Q2748" si="5497">IF(isblank(H$1),,IFERROR(vlookup($A2748,indirect("'TVC-"&amp;text(month(H$1),"00")&amp;"'!$A:$D"),4,false),1))</f>
        <v>1</v>
      </c>
      <c r="I2748" s="62">
        <f t="shared" si="5497"/>
        <v>1</v>
      </c>
      <c r="J2748" s="62">
        <f t="shared" si="5497"/>
        <v>1</v>
      </c>
      <c r="K2748" s="62">
        <f t="shared" si="5497"/>
        <v>1</v>
      </c>
      <c r="L2748" s="62">
        <f t="shared" si="5497"/>
        <v>1</v>
      </c>
      <c r="M2748" s="62">
        <f t="shared" si="5497"/>
        <v>1</v>
      </c>
      <c r="N2748" s="62">
        <f t="shared" si="5497"/>
        <v>1</v>
      </c>
      <c r="O2748" s="62">
        <f t="shared" si="5497"/>
        <v>1</v>
      </c>
      <c r="P2748" s="62" t="str">
        <f t="shared" si="5497"/>
        <v/>
      </c>
      <c r="Q2748" s="62" t="str">
        <f t="shared" si="5497"/>
        <v/>
      </c>
      <c r="R2748" s="62">
        <f t="shared" si="7"/>
        <v>0</v>
      </c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</row>
    <row r="2749" hidden="1">
      <c r="A2749" s="60"/>
      <c r="B2749" s="60"/>
      <c r="C2749" s="60"/>
      <c r="D2749" s="60"/>
      <c r="E2749" s="62" t="str">
        <f t="shared" si="5153"/>
        <v/>
      </c>
      <c r="F2749" s="62" t="str">
        <f t="shared" ref="F2749:G2749" si="5498">IF(isblank(F$1),,IF(isblank($A2749),,IFERROR(vlookup($A2749,indirect("'TVC-"&amp;text(month(F$1),"00")&amp;"'!$A:$D"),4,false),1)))</f>
        <v/>
      </c>
      <c r="G2749" s="62" t="str">
        <f t="shared" si="5498"/>
        <v/>
      </c>
      <c r="H2749" s="62">
        <f t="shared" ref="H2749:Q2749" si="5499">IF(isblank(H$1),,IFERROR(vlookup($A2749,indirect("'TVC-"&amp;text(month(H$1),"00")&amp;"'!$A:$D"),4,false),1))</f>
        <v>1</v>
      </c>
      <c r="I2749" s="62">
        <f t="shared" si="5499"/>
        <v>1</v>
      </c>
      <c r="J2749" s="62">
        <f t="shared" si="5499"/>
        <v>1</v>
      </c>
      <c r="K2749" s="62">
        <f t="shared" si="5499"/>
        <v>1</v>
      </c>
      <c r="L2749" s="62">
        <f t="shared" si="5499"/>
        <v>1</v>
      </c>
      <c r="M2749" s="62">
        <f t="shared" si="5499"/>
        <v>1</v>
      </c>
      <c r="N2749" s="62">
        <f t="shared" si="5499"/>
        <v>1</v>
      </c>
      <c r="O2749" s="62">
        <f t="shared" si="5499"/>
        <v>1</v>
      </c>
      <c r="P2749" s="62" t="str">
        <f t="shared" si="5499"/>
        <v/>
      </c>
      <c r="Q2749" s="62" t="str">
        <f t="shared" si="5499"/>
        <v/>
      </c>
      <c r="R2749" s="62">
        <f t="shared" si="7"/>
        <v>0</v>
      </c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</row>
    <row r="2750" hidden="1">
      <c r="A2750" s="60"/>
      <c r="B2750" s="60"/>
      <c r="C2750" s="60"/>
      <c r="D2750" s="60"/>
      <c r="E2750" s="62" t="str">
        <f t="shared" si="5153"/>
        <v/>
      </c>
      <c r="F2750" s="62" t="str">
        <f t="shared" ref="F2750:G2750" si="5500">IF(isblank(F$1),,IF(isblank($A2750),,IFERROR(vlookup($A2750,indirect("'TVC-"&amp;text(month(F$1),"00")&amp;"'!$A:$D"),4,false),1)))</f>
        <v/>
      </c>
      <c r="G2750" s="62" t="str">
        <f t="shared" si="5500"/>
        <v/>
      </c>
      <c r="H2750" s="62">
        <f t="shared" ref="H2750:Q2750" si="5501">IF(isblank(H$1),,IFERROR(vlookup($A2750,indirect("'TVC-"&amp;text(month(H$1),"00")&amp;"'!$A:$D"),4,false),1))</f>
        <v>1</v>
      </c>
      <c r="I2750" s="62">
        <f t="shared" si="5501"/>
        <v>1</v>
      </c>
      <c r="J2750" s="62">
        <f t="shared" si="5501"/>
        <v>1</v>
      </c>
      <c r="K2750" s="62">
        <f t="shared" si="5501"/>
        <v>1</v>
      </c>
      <c r="L2750" s="62">
        <f t="shared" si="5501"/>
        <v>1</v>
      </c>
      <c r="M2750" s="62">
        <f t="shared" si="5501"/>
        <v>1</v>
      </c>
      <c r="N2750" s="62">
        <f t="shared" si="5501"/>
        <v>1</v>
      </c>
      <c r="O2750" s="62">
        <f t="shared" si="5501"/>
        <v>1</v>
      </c>
      <c r="P2750" s="62" t="str">
        <f t="shared" si="5501"/>
        <v/>
      </c>
      <c r="Q2750" s="62" t="str">
        <f t="shared" si="5501"/>
        <v/>
      </c>
      <c r="R2750" s="62">
        <f t="shared" si="7"/>
        <v>0</v>
      </c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</row>
    <row r="2751" hidden="1">
      <c r="A2751" s="60"/>
      <c r="B2751" s="60"/>
      <c r="C2751" s="60"/>
      <c r="D2751" s="60"/>
      <c r="E2751" s="62" t="str">
        <f t="shared" si="5153"/>
        <v/>
      </c>
      <c r="F2751" s="62" t="str">
        <f t="shared" ref="F2751:G2751" si="5502">IF(isblank(F$1),,IF(isblank($A2751),,IFERROR(vlookup($A2751,indirect("'TVC-"&amp;text(month(F$1),"00")&amp;"'!$A:$D"),4,false),1)))</f>
        <v/>
      </c>
      <c r="G2751" s="62" t="str">
        <f t="shared" si="5502"/>
        <v/>
      </c>
      <c r="H2751" s="62">
        <f t="shared" ref="H2751:Q2751" si="5503">IF(isblank(H$1),,IFERROR(vlookup($A2751,indirect("'TVC-"&amp;text(month(H$1),"00")&amp;"'!$A:$D"),4,false),1))</f>
        <v>1</v>
      </c>
      <c r="I2751" s="62">
        <f t="shared" si="5503"/>
        <v>1</v>
      </c>
      <c r="J2751" s="62">
        <f t="shared" si="5503"/>
        <v>1</v>
      </c>
      <c r="K2751" s="62">
        <f t="shared" si="5503"/>
        <v>1</v>
      </c>
      <c r="L2751" s="62">
        <f t="shared" si="5503"/>
        <v>1</v>
      </c>
      <c r="M2751" s="62">
        <f t="shared" si="5503"/>
        <v>1</v>
      </c>
      <c r="N2751" s="62">
        <f t="shared" si="5503"/>
        <v>1</v>
      </c>
      <c r="O2751" s="62">
        <f t="shared" si="5503"/>
        <v>1</v>
      </c>
      <c r="P2751" s="62" t="str">
        <f t="shared" si="5503"/>
        <v/>
      </c>
      <c r="Q2751" s="62" t="str">
        <f t="shared" si="5503"/>
        <v/>
      </c>
      <c r="R2751" s="62">
        <f t="shared" si="7"/>
        <v>0</v>
      </c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</row>
    <row r="2752" hidden="1">
      <c r="A2752" s="60"/>
      <c r="B2752" s="60"/>
      <c r="C2752" s="60"/>
      <c r="D2752" s="60"/>
      <c r="E2752" s="62" t="str">
        <f t="shared" si="5153"/>
        <v/>
      </c>
      <c r="F2752" s="62" t="str">
        <f t="shared" ref="F2752:G2752" si="5504">IF(isblank(F$1),,IF(isblank($A2752),,IFERROR(vlookup($A2752,indirect("'TVC-"&amp;text(month(F$1),"00")&amp;"'!$A:$D"),4,false),1)))</f>
        <v/>
      </c>
      <c r="G2752" s="62" t="str">
        <f t="shared" si="5504"/>
        <v/>
      </c>
      <c r="H2752" s="62">
        <f t="shared" ref="H2752:Q2752" si="5505">IF(isblank(H$1),,IFERROR(vlookup($A2752,indirect("'TVC-"&amp;text(month(H$1),"00")&amp;"'!$A:$D"),4,false),1))</f>
        <v>1</v>
      </c>
      <c r="I2752" s="62">
        <f t="shared" si="5505"/>
        <v>1</v>
      </c>
      <c r="J2752" s="62">
        <f t="shared" si="5505"/>
        <v>1</v>
      </c>
      <c r="K2752" s="62">
        <f t="shared" si="5505"/>
        <v>1</v>
      </c>
      <c r="L2752" s="62">
        <f t="shared" si="5505"/>
        <v>1</v>
      </c>
      <c r="M2752" s="62">
        <f t="shared" si="5505"/>
        <v>1</v>
      </c>
      <c r="N2752" s="62">
        <f t="shared" si="5505"/>
        <v>1</v>
      </c>
      <c r="O2752" s="62">
        <f t="shared" si="5505"/>
        <v>1</v>
      </c>
      <c r="P2752" s="62" t="str">
        <f t="shared" si="5505"/>
        <v/>
      </c>
      <c r="Q2752" s="62" t="str">
        <f t="shared" si="5505"/>
        <v/>
      </c>
      <c r="R2752" s="62">
        <f t="shared" si="7"/>
        <v>0</v>
      </c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</row>
    <row r="2753" hidden="1">
      <c r="A2753" s="60"/>
      <c r="B2753" s="60"/>
      <c r="C2753" s="60"/>
      <c r="D2753" s="60"/>
      <c r="E2753" s="62" t="str">
        <f t="shared" si="5153"/>
        <v/>
      </c>
      <c r="F2753" s="62" t="str">
        <f t="shared" ref="F2753:G2753" si="5506">IF(isblank(F$1),,IF(isblank($A2753),,IFERROR(vlookup($A2753,indirect("'TVC-"&amp;text(month(F$1),"00")&amp;"'!$A:$D"),4,false),1)))</f>
        <v/>
      </c>
      <c r="G2753" s="62" t="str">
        <f t="shared" si="5506"/>
        <v/>
      </c>
      <c r="H2753" s="62">
        <f t="shared" ref="H2753:Q2753" si="5507">IF(isblank(H$1),,IFERROR(vlookup($A2753,indirect("'TVC-"&amp;text(month(H$1),"00")&amp;"'!$A:$D"),4,false),1))</f>
        <v>1</v>
      </c>
      <c r="I2753" s="62">
        <f t="shared" si="5507"/>
        <v>1</v>
      </c>
      <c r="J2753" s="62">
        <f t="shared" si="5507"/>
        <v>1</v>
      </c>
      <c r="K2753" s="62">
        <f t="shared" si="5507"/>
        <v>1</v>
      </c>
      <c r="L2753" s="62">
        <f t="shared" si="5507"/>
        <v>1</v>
      </c>
      <c r="M2753" s="62">
        <f t="shared" si="5507"/>
        <v>1</v>
      </c>
      <c r="N2753" s="62">
        <f t="shared" si="5507"/>
        <v>1</v>
      </c>
      <c r="O2753" s="62">
        <f t="shared" si="5507"/>
        <v>1</v>
      </c>
      <c r="P2753" s="62" t="str">
        <f t="shared" si="5507"/>
        <v/>
      </c>
      <c r="Q2753" s="62" t="str">
        <f t="shared" si="5507"/>
        <v/>
      </c>
      <c r="R2753" s="62">
        <f t="shared" si="7"/>
        <v>0</v>
      </c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</row>
    <row r="2754" hidden="1">
      <c r="A2754" s="60"/>
      <c r="B2754" s="60"/>
      <c r="C2754" s="60"/>
      <c r="D2754" s="60"/>
      <c r="E2754" s="62" t="str">
        <f t="shared" si="5153"/>
        <v/>
      </c>
      <c r="F2754" s="62" t="str">
        <f t="shared" ref="F2754:G2754" si="5508">IF(isblank(F$1),,IF(isblank($A2754),,IFERROR(vlookup($A2754,indirect("'TVC-"&amp;text(month(F$1),"00")&amp;"'!$A:$D"),4,false),1)))</f>
        <v/>
      </c>
      <c r="G2754" s="62" t="str">
        <f t="shared" si="5508"/>
        <v/>
      </c>
      <c r="H2754" s="62">
        <f t="shared" ref="H2754:Q2754" si="5509">IF(isblank(H$1),,IFERROR(vlookup($A2754,indirect("'TVC-"&amp;text(month(H$1),"00")&amp;"'!$A:$D"),4,false),1))</f>
        <v>1</v>
      </c>
      <c r="I2754" s="62">
        <f t="shared" si="5509"/>
        <v>1</v>
      </c>
      <c r="J2754" s="62">
        <f t="shared" si="5509"/>
        <v>1</v>
      </c>
      <c r="K2754" s="62">
        <f t="shared" si="5509"/>
        <v>1</v>
      </c>
      <c r="L2754" s="62">
        <f t="shared" si="5509"/>
        <v>1</v>
      </c>
      <c r="M2754" s="62">
        <f t="shared" si="5509"/>
        <v>1</v>
      </c>
      <c r="N2754" s="62">
        <f t="shared" si="5509"/>
        <v>1</v>
      </c>
      <c r="O2754" s="62">
        <f t="shared" si="5509"/>
        <v>1</v>
      </c>
      <c r="P2754" s="62" t="str">
        <f t="shared" si="5509"/>
        <v/>
      </c>
      <c r="Q2754" s="62" t="str">
        <f t="shared" si="5509"/>
        <v/>
      </c>
      <c r="R2754" s="62">
        <f t="shared" si="7"/>
        <v>0</v>
      </c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</row>
    <row r="2755" hidden="1">
      <c r="A2755" s="60"/>
      <c r="B2755" s="60"/>
      <c r="C2755" s="60"/>
      <c r="D2755" s="60"/>
      <c r="E2755" s="62" t="str">
        <f t="shared" si="5153"/>
        <v/>
      </c>
      <c r="F2755" s="62" t="str">
        <f t="shared" ref="F2755:G2755" si="5510">IF(isblank(F$1),,IF(isblank($A2755),,IFERROR(vlookup($A2755,indirect("'TVC-"&amp;text(month(F$1),"00")&amp;"'!$A:$D"),4,false),1)))</f>
        <v/>
      </c>
      <c r="G2755" s="62" t="str">
        <f t="shared" si="5510"/>
        <v/>
      </c>
      <c r="H2755" s="62">
        <f t="shared" ref="H2755:Q2755" si="5511">IF(isblank(H$1),,IFERROR(vlookup($A2755,indirect("'TVC-"&amp;text(month(H$1),"00")&amp;"'!$A:$D"),4,false),1))</f>
        <v>1</v>
      </c>
      <c r="I2755" s="62">
        <f t="shared" si="5511"/>
        <v>1</v>
      </c>
      <c r="J2755" s="62">
        <f t="shared" si="5511"/>
        <v>1</v>
      </c>
      <c r="K2755" s="62">
        <f t="shared" si="5511"/>
        <v>1</v>
      </c>
      <c r="L2755" s="62">
        <f t="shared" si="5511"/>
        <v>1</v>
      </c>
      <c r="M2755" s="62">
        <f t="shared" si="5511"/>
        <v>1</v>
      </c>
      <c r="N2755" s="62">
        <f t="shared" si="5511"/>
        <v>1</v>
      </c>
      <c r="O2755" s="62">
        <f t="shared" si="5511"/>
        <v>1</v>
      </c>
      <c r="P2755" s="62" t="str">
        <f t="shared" si="5511"/>
        <v/>
      </c>
      <c r="Q2755" s="62" t="str">
        <f t="shared" si="5511"/>
        <v/>
      </c>
      <c r="R2755" s="62">
        <f t="shared" si="7"/>
        <v>0</v>
      </c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</row>
    <row r="2756" hidden="1">
      <c r="A2756" s="60"/>
      <c r="B2756" s="60"/>
      <c r="C2756" s="60"/>
      <c r="D2756" s="60"/>
      <c r="E2756" s="62" t="str">
        <f t="shared" si="5153"/>
        <v/>
      </c>
      <c r="F2756" s="62" t="str">
        <f t="shared" ref="F2756:G2756" si="5512">IF(isblank(F$1),,IF(isblank($A2756),,IFERROR(vlookup($A2756,indirect("'TVC-"&amp;text(month(F$1),"00")&amp;"'!$A:$D"),4,false),1)))</f>
        <v/>
      </c>
      <c r="G2756" s="62" t="str">
        <f t="shared" si="5512"/>
        <v/>
      </c>
      <c r="H2756" s="62">
        <f t="shared" ref="H2756:Q2756" si="5513">IF(isblank(H$1),,IFERROR(vlookup($A2756,indirect("'TVC-"&amp;text(month(H$1),"00")&amp;"'!$A:$D"),4,false),1))</f>
        <v>1</v>
      </c>
      <c r="I2756" s="62">
        <f t="shared" si="5513"/>
        <v>1</v>
      </c>
      <c r="J2756" s="62">
        <f t="shared" si="5513"/>
        <v>1</v>
      </c>
      <c r="K2756" s="62">
        <f t="shared" si="5513"/>
        <v>1</v>
      </c>
      <c r="L2756" s="62">
        <f t="shared" si="5513"/>
        <v>1</v>
      </c>
      <c r="M2756" s="62">
        <f t="shared" si="5513"/>
        <v>1</v>
      </c>
      <c r="N2756" s="62">
        <f t="shared" si="5513"/>
        <v>1</v>
      </c>
      <c r="O2756" s="62">
        <f t="shared" si="5513"/>
        <v>1</v>
      </c>
      <c r="P2756" s="62" t="str">
        <f t="shared" si="5513"/>
        <v/>
      </c>
      <c r="Q2756" s="62" t="str">
        <f t="shared" si="5513"/>
        <v/>
      </c>
      <c r="R2756" s="62">
        <f t="shared" si="7"/>
        <v>0</v>
      </c>
      <c r="S2756" s="62"/>
      <c r="T2756" s="62"/>
      <c r="U2756" s="62"/>
      <c r="V2756" s="62"/>
      <c r="W2756" s="62"/>
      <c r="X2756" s="62"/>
      <c r="Y2756" s="62"/>
      <c r="Z2756" s="62"/>
      <c r="AA2756" s="62"/>
      <c r="AB2756" s="62"/>
      <c r="AC2756" s="62"/>
    </row>
    <row r="2757" hidden="1">
      <c r="A2757" s="60"/>
      <c r="B2757" s="60"/>
      <c r="C2757" s="60"/>
      <c r="D2757" s="60"/>
      <c r="E2757" s="62" t="str">
        <f t="shared" si="5153"/>
        <v/>
      </c>
      <c r="F2757" s="62" t="str">
        <f t="shared" ref="F2757:G2757" si="5514">IF(isblank(F$1),,IF(isblank($A2757),,IFERROR(vlookup($A2757,indirect("'TVC-"&amp;text(month(F$1),"00")&amp;"'!$A:$D"),4,false),1)))</f>
        <v/>
      </c>
      <c r="G2757" s="62" t="str">
        <f t="shared" si="5514"/>
        <v/>
      </c>
      <c r="H2757" s="62">
        <f t="shared" ref="H2757:Q2757" si="5515">IF(isblank(H$1),,IFERROR(vlookup($A2757,indirect("'TVC-"&amp;text(month(H$1),"00")&amp;"'!$A:$D"),4,false),1))</f>
        <v>1</v>
      </c>
      <c r="I2757" s="62">
        <f t="shared" si="5515"/>
        <v>1</v>
      </c>
      <c r="J2757" s="62">
        <f t="shared" si="5515"/>
        <v>1</v>
      </c>
      <c r="K2757" s="62">
        <f t="shared" si="5515"/>
        <v>1</v>
      </c>
      <c r="L2757" s="62">
        <f t="shared" si="5515"/>
        <v>1</v>
      </c>
      <c r="M2757" s="62">
        <f t="shared" si="5515"/>
        <v>1</v>
      </c>
      <c r="N2757" s="62">
        <f t="shared" si="5515"/>
        <v>1</v>
      </c>
      <c r="O2757" s="62">
        <f t="shared" si="5515"/>
        <v>1</v>
      </c>
      <c r="P2757" s="62" t="str">
        <f t="shared" si="5515"/>
        <v/>
      </c>
      <c r="Q2757" s="62" t="str">
        <f t="shared" si="5515"/>
        <v/>
      </c>
      <c r="R2757" s="62">
        <f t="shared" si="7"/>
        <v>0</v>
      </c>
      <c r="S2757" s="62"/>
      <c r="T2757" s="62"/>
      <c r="U2757" s="62"/>
      <c r="V2757" s="62"/>
      <c r="W2757" s="62"/>
      <c r="X2757" s="62"/>
      <c r="Y2757" s="62"/>
      <c r="Z2757" s="62"/>
      <c r="AA2757" s="62"/>
      <c r="AB2757" s="62"/>
      <c r="AC2757" s="62"/>
    </row>
    <row r="2758" hidden="1">
      <c r="A2758" s="60"/>
      <c r="B2758" s="60"/>
      <c r="C2758" s="60"/>
      <c r="D2758" s="60"/>
      <c r="E2758" s="62" t="str">
        <f t="shared" si="5153"/>
        <v/>
      </c>
      <c r="F2758" s="62" t="str">
        <f t="shared" ref="F2758:G2758" si="5516">IF(isblank(F$1),,IF(isblank($A2758),,IFERROR(vlookup($A2758,indirect("'TVC-"&amp;text(month(F$1),"00")&amp;"'!$A:$D"),4,false),1)))</f>
        <v/>
      </c>
      <c r="G2758" s="62" t="str">
        <f t="shared" si="5516"/>
        <v/>
      </c>
      <c r="H2758" s="62">
        <f t="shared" ref="H2758:Q2758" si="5517">IF(isblank(H$1),,IFERROR(vlookup($A2758,indirect("'TVC-"&amp;text(month(H$1),"00")&amp;"'!$A:$D"),4,false),1))</f>
        <v>1</v>
      </c>
      <c r="I2758" s="62">
        <f t="shared" si="5517"/>
        <v>1</v>
      </c>
      <c r="J2758" s="62">
        <f t="shared" si="5517"/>
        <v>1</v>
      </c>
      <c r="K2758" s="62">
        <f t="shared" si="5517"/>
        <v>1</v>
      </c>
      <c r="L2758" s="62">
        <f t="shared" si="5517"/>
        <v>1</v>
      </c>
      <c r="M2758" s="62">
        <f t="shared" si="5517"/>
        <v>1</v>
      </c>
      <c r="N2758" s="62">
        <f t="shared" si="5517"/>
        <v>1</v>
      </c>
      <c r="O2758" s="62">
        <f t="shared" si="5517"/>
        <v>1</v>
      </c>
      <c r="P2758" s="62" t="str">
        <f t="shared" si="5517"/>
        <v/>
      </c>
      <c r="Q2758" s="62" t="str">
        <f t="shared" si="5517"/>
        <v/>
      </c>
      <c r="R2758" s="62">
        <f t="shared" si="7"/>
        <v>0</v>
      </c>
      <c r="S2758" s="62"/>
      <c r="T2758" s="62"/>
      <c r="U2758" s="62"/>
      <c r="V2758" s="62"/>
      <c r="W2758" s="62"/>
      <c r="X2758" s="62"/>
      <c r="Y2758" s="62"/>
      <c r="Z2758" s="62"/>
      <c r="AA2758" s="62"/>
      <c r="AB2758" s="62"/>
      <c r="AC2758" s="62"/>
    </row>
    <row r="2759" hidden="1">
      <c r="A2759" s="60"/>
      <c r="B2759" s="60"/>
      <c r="C2759" s="60"/>
      <c r="D2759" s="60"/>
      <c r="E2759" s="62" t="str">
        <f t="shared" si="5153"/>
        <v/>
      </c>
      <c r="F2759" s="62" t="str">
        <f t="shared" ref="F2759:G2759" si="5518">IF(isblank(F$1),,IF(isblank($A2759),,IFERROR(vlookup($A2759,indirect("'TVC-"&amp;text(month(F$1),"00")&amp;"'!$A:$D"),4,false),1)))</f>
        <v/>
      </c>
      <c r="G2759" s="62" t="str">
        <f t="shared" si="5518"/>
        <v/>
      </c>
      <c r="H2759" s="62">
        <f t="shared" ref="H2759:Q2759" si="5519">IF(isblank(H$1),,IFERROR(vlookup($A2759,indirect("'TVC-"&amp;text(month(H$1),"00")&amp;"'!$A:$D"),4,false),1))</f>
        <v>1</v>
      </c>
      <c r="I2759" s="62">
        <f t="shared" si="5519"/>
        <v>1</v>
      </c>
      <c r="J2759" s="62">
        <f t="shared" si="5519"/>
        <v>1</v>
      </c>
      <c r="K2759" s="62">
        <f t="shared" si="5519"/>
        <v>1</v>
      </c>
      <c r="L2759" s="62">
        <f t="shared" si="5519"/>
        <v>1</v>
      </c>
      <c r="M2759" s="62">
        <f t="shared" si="5519"/>
        <v>1</v>
      </c>
      <c r="N2759" s="62">
        <f t="shared" si="5519"/>
        <v>1</v>
      </c>
      <c r="O2759" s="62">
        <f t="shared" si="5519"/>
        <v>1</v>
      </c>
      <c r="P2759" s="62" t="str">
        <f t="shared" si="5519"/>
        <v/>
      </c>
      <c r="Q2759" s="62" t="str">
        <f t="shared" si="5519"/>
        <v/>
      </c>
      <c r="R2759" s="62">
        <f t="shared" si="7"/>
        <v>0</v>
      </c>
      <c r="S2759" s="62"/>
      <c r="T2759" s="62"/>
      <c r="U2759" s="62"/>
      <c r="V2759" s="62"/>
      <c r="W2759" s="62"/>
      <c r="X2759" s="62"/>
      <c r="Y2759" s="62"/>
      <c r="Z2759" s="62"/>
      <c r="AA2759" s="62"/>
      <c r="AB2759" s="62"/>
      <c r="AC2759" s="62"/>
    </row>
    <row r="2760" hidden="1">
      <c r="A2760" s="60"/>
      <c r="B2760" s="60"/>
      <c r="C2760" s="60"/>
      <c r="D2760" s="60"/>
      <c r="E2760" s="62" t="str">
        <f t="shared" si="5153"/>
        <v/>
      </c>
      <c r="F2760" s="62" t="str">
        <f t="shared" ref="F2760:G2760" si="5520">IF(isblank(F$1),,IF(isblank($A2760),,IFERROR(vlookup($A2760,indirect("'TVC-"&amp;text(month(F$1),"00")&amp;"'!$A:$D"),4,false),1)))</f>
        <v/>
      </c>
      <c r="G2760" s="62" t="str">
        <f t="shared" si="5520"/>
        <v/>
      </c>
      <c r="H2760" s="62">
        <f t="shared" ref="H2760:Q2760" si="5521">IF(isblank(H$1),,IFERROR(vlookup($A2760,indirect("'TVC-"&amp;text(month(H$1),"00")&amp;"'!$A:$D"),4,false),1))</f>
        <v>1</v>
      </c>
      <c r="I2760" s="62">
        <f t="shared" si="5521"/>
        <v>1</v>
      </c>
      <c r="J2760" s="62">
        <f t="shared" si="5521"/>
        <v>1</v>
      </c>
      <c r="K2760" s="62">
        <f t="shared" si="5521"/>
        <v>1</v>
      </c>
      <c r="L2760" s="62">
        <f t="shared" si="5521"/>
        <v>1</v>
      </c>
      <c r="M2760" s="62">
        <f t="shared" si="5521"/>
        <v>1</v>
      </c>
      <c r="N2760" s="62">
        <f t="shared" si="5521"/>
        <v>1</v>
      </c>
      <c r="O2760" s="62">
        <f t="shared" si="5521"/>
        <v>1</v>
      </c>
      <c r="P2760" s="62" t="str">
        <f t="shared" si="5521"/>
        <v/>
      </c>
      <c r="Q2760" s="62" t="str">
        <f t="shared" si="5521"/>
        <v/>
      </c>
      <c r="R2760" s="62">
        <f t="shared" si="7"/>
        <v>0</v>
      </c>
      <c r="S2760" s="62"/>
      <c r="T2760" s="62"/>
      <c r="U2760" s="62"/>
      <c r="V2760" s="62"/>
      <c r="W2760" s="62"/>
      <c r="X2760" s="62"/>
      <c r="Y2760" s="62"/>
      <c r="Z2760" s="62"/>
      <c r="AA2760" s="62"/>
      <c r="AB2760" s="62"/>
      <c r="AC2760" s="62"/>
    </row>
    <row r="2761" hidden="1">
      <c r="A2761" s="60"/>
      <c r="B2761" s="60"/>
      <c r="C2761" s="60"/>
      <c r="D2761" s="60"/>
      <c r="E2761" s="62" t="str">
        <f t="shared" si="5153"/>
        <v/>
      </c>
      <c r="F2761" s="62" t="str">
        <f t="shared" ref="F2761:G2761" si="5522">IF(isblank(F$1),,IF(isblank($A2761),,IFERROR(vlookup($A2761,indirect("'TVC-"&amp;text(month(F$1),"00")&amp;"'!$A:$D"),4,false),1)))</f>
        <v/>
      </c>
      <c r="G2761" s="62" t="str">
        <f t="shared" si="5522"/>
        <v/>
      </c>
      <c r="H2761" s="62">
        <f t="shared" ref="H2761:Q2761" si="5523">IF(isblank(H$1),,IFERROR(vlookup($A2761,indirect("'TVC-"&amp;text(month(H$1),"00")&amp;"'!$A:$D"),4,false),1))</f>
        <v>1</v>
      </c>
      <c r="I2761" s="62">
        <f t="shared" si="5523"/>
        <v>1</v>
      </c>
      <c r="J2761" s="62">
        <f t="shared" si="5523"/>
        <v>1</v>
      </c>
      <c r="K2761" s="62">
        <f t="shared" si="5523"/>
        <v>1</v>
      </c>
      <c r="L2761" s="62">
        <f t="shared" si="5523"/>
        <v>1</v>
      </c>
      <c r="M2761" s="62">
        <f t="shared" si="5523"/>
        <v>1</v>
      </c>
      <c r="N2761" s="62">
        <f t="shared" si="5523"/>
        <v>1</v>
      </c>
      <c r="O2761" s="62">
        <f t="shared" si="5523"/>
        <v>1</v>
      </c>
      <c r="P2761" s="62" t="str">
        <f t="shared" si="5523"/>
        <v/>
      </c>
      <c r="Q2761" s="62" t="str">
        <f t="shared" si="5523"/>
        <v/>
      </c>
      <c r="R2761" s="62">
        <f t="shared" si="7"/>
        <v>0</v>
      </c>
      <c r="S2761" s="62"/>
      <c r="T2761" s="62"/>
      <c r="U2761" s="62"/>
      <c r="V2761" s="62"/>
      <c r="W2761" s="62"/>
      <c r="X2761" s="62"/>
      <c r="Y2761" s="62"/>
      <c r="Z2761" s="62"/>
      <c r="AA2761" s="62"/>
      <c r="AB2761" s="62"/>
      <c r="AC2761" s="62"/>
    </row>
    <row r="2762" hidden="1">
      <c r="A2762" s="60"/>
      <c r="B2762" s="60"/>
      <c r="C2762" s="60"/>
      <c r="D2762" s="60"/>
      <c r="E2762" s="62" t="str">
        <f t="shared" si="5153"/>
        <v/>
      </c>
      <c r="F2762" s="62" t="str">
        <f t="shared" ref="F2762:G2762" si="5524">IF(isblank(F$1),,IF(isblank($A2762),,IFERROR(vlookup($A2762,indirect("'TVC-"&amp;text(month(F$1),"00")&amp;"'!$A:$D"),4,false),1)))</f>
        <v/>
      </c>
      <c r="G2762" s="62" t="str">
        <f t="shared" si="5524"/>
        <v/>
      </c>
      <c r="H2762" s="62">
        <f t="shared" ref="H2762:Q2762" si="5525">IF(isblank(H$1),,IFERROR(vlookup($A2762,indirect("'TVC-"&amp;text(month(H$1),"00")&amp;"'!$A:$D"),4,false),1))</f>
        <v>1</v>
      </c>
      <c r="I2762" s="62">
        <f t="shared" si="5525"/>
        <v>1</v>
      </c>
      <c r="J2762" s="62">
        <f t="shared" si="5525"/>
        <v>1</v>
      </c>
      <c r="K2762" s="62">
        <f t="shared" si="5525"/>
        <v>1</v>
      </c>
      <c r="L2762" s="62">
        <f t="shared" si="5525"/>
        <v>1</v>
      </c>
      <c r="M2762" s="62">
        <f t="shared" si="5525"/>
        <v>1</v>
      </c>
      <c r="N2762" s="62">
        <f t="shared" si="5525"/>
        <v>1</v>
      </c>
      <c r="O2762" s="62">
        <f t="shared" si="5525"/>
        <v>1</v>
      </c>
      <c r="P2762" s="62" t="str">
        <f t="shared" si="5525"/>
        <v/>
      </c>
      <c r="Q2762" s="62" t="str">
        <f t="shared" si="5525"/>
        <v/>
      </c>
      <c r="R2762" s="62">
        <f t="shared" si="7"/>
        <v>0</v>
      </c>
      <c r="S2762" s="62"/>
      <c r="T2762" s="62"/>
      <c r="U2762" s="62"/>
      <c r="V2762" s="62"/>
      <c r="W2762" s="62"/>
      <c r="X2762" s="62"/>
      <c r="Y2762" s="62"/>
      <c r="Z2762" s="62"/>
      <c r="AA2762" s="62"/>
      <c r="AB2762" s="62"/>
      <c r="AC2762" s="62"/>
    </row>
    <row r="2763" hidden="1">
      <c r="A2763" s="60"/>
      <c r="B2763" s="60"/>
      <c r="C2763" s="60"/>
      <c r="D2763" s="60"/>
      <c r="E2763" s="62" t="str">
        <f t="shared" si="5153"/>
        <v/>
      </c>
      <c r="F2763" s="62" t="str">
        <f t="shared" ref="F2763:G2763" si="5526">IF(isblank(F$1),,IF(isblank($A2763),,IFERROR(vlookup($A2763,indirect("'TVC-"&amp;text(month(F$1),"00")&amp;"'!$A:$D"),4,false),1)))</f>
        <v/>
      </c>
      <c r="G2763" s="62" t="str">
        <f t="shared" si="5526"/>
        <v/>
      </c>
      <c r="H2763" s="62">
        <f t="shared" ref="H2763:Q2763" si="5527">IF(isblank(H$1),,IFERROR(vlookup($A2763,indirect("'TVC-"&amp;text(month(H$1),"00")&amp;"'!$A:$D"),4,false),1))</f>
        <v>1</v>
      </c>
      <c r="I2763" s="62">
        <f t="shared" si="5527"/>
        <v>1</v>
      </c>
      <c r="J2763" s="62">
        <f t="shared" si="5527"/>
        <v>1</v>
      </c>
      <c r="K2763" s="62">
        <f t="shared" si="5527"/>
        <v>1</v>
      </c>
      <c r="L2763" s="62">
        <f t="shared" si="5527"/>
        <v>1</v>
      </c>
      <c r="M2763" s="62">
        <f t="shared" si="5527"/>
        <v>1</v>
      </c>
      <c r="N2763" s="62">
        <f t="shared" si="5527"/>
        <v>1</v>
      </c>
      <c r="O2763" s="62">
        <f t="shared" si="5527"/>
        <v>1</v>
      </c>
      <c r="P2763" s="62" t="str">
        <f t="shared" si="5527"/>
        <v/>
      </c>
      <c r="Q2763" s="62" t="str">
        <f t="shared" si="5527"/>
        <v/>
      </c>
      <c r="R2763" s="62">
        <f t="shared" si="7"/>
        <v>0</v>
      </c>
      <c r="S2763" s="62"/>
      <c r="T2763" s="62"/>
      <c r="U2763" s="62"/>
      <c r="V2763" s="62"/>
      <c r="W2763" s="62"/>
      <c r="X2763" s="62"/>
      <c r="Y2763" s="62"/>
      <c r="Z2763" s="62"/>
      <c r="AA2763" s="62"/>
      <c r="AB2763" s="62"/>
      <c r="AC2763" s="62"/>
    </row>
    <row r="2764" hidden="1">
      <c r="A2764" s="60"/>
      <c r="B2764" s="60"/>
      <c r="C2764" s="60"/>
      <c r="D2764" s="60"/>
      <c r="E2764" s="62" t="str">
        <f t="shared" si="5153"/>
        <v/>
      </c>
      <c r="F2764" s="62" t="str">
        <f t="shared" ref="F2764:G2764" si="5528">IF(isblank(F$1),,IF(isblank($A2764),,IFERROR(vlookup($A2764,indirect("'TVC-"&amp;text(month(F$1),"00")&amp;"'!$A:$D"),4,false),1)))</f>
        <v/>
      </c>
      <c r="G2764" s="62" t="str">
        <f t="shared" si="5528"/>
        <v/>
      </c>
      <c r="H2764" s="62">
        <f t="shared" ref="H2764:Q2764" si="5529">IF(isblank(H$1),,IFERROR(vlookup($A2764,indirect("'TVC-"&amp;text(month(H$1),"00")&amp;"'!$A:$D"),4,false),1))</f>
        <v>1</v>
      </c>
      <c r="I2764" s="62">
        <f t="shared" si="5529"/>
        <v>1</v>
      </c>
      <c r="J2764" s="62">
        <f t="shared" si="5529"/>
        <v>1</v>
      </c>
      <c r="K2764" s="62">
        <f t="shared" si="5529"/>
        <v>1</v>
      </c>
      <c r="L2764" s="62">
        <f t="shared" si="5529"/>
        <v>1</v>
      </c>
      <c r="M2764" s="62">
        <f t="shared" si="5529"/>
        <v>1</v>
      </c>
      <c r="N2764" s="62">
        <f t="shared" si="5529"/>
        <v>1</v>
      </c>
      <c r="O2764" s="62">
        <f t="shared" si="5529"/>
        <v>1</v>
      </c>
      <c r="P2764" s="62" t="str">
        <f t="shared" si="5529"/>
        <v/>
      </c>
      <c r="Q2764" s="62" t="str">
        <f t="shared" si="5529"/>
        <v/>
      </c>
      <c r="R2764" s="62">
        <f t="shared" si="7"/>
        <v>0</v>
      </c>
      <c r="S2764" s="62"/>
      <c r="T2764" s="62"/>
      <c r="U2764" s="62"/>
      <c r="V2764" s="62"/>
      <c r="W2764" s="62"/>
      <c r="X2764" s="62"/>
      <c r="Y2764" s="62"/>
      <c r="Z2764" s="62"/>
      <c r="AA2764" s="62"/>
      <c r="AB2764" s="62"/>
      <c r="AC2764" s="62"/>
    </row>
    <row r="2765" hidden="1">
      <c r="A2765" s="60"/>
      <c r="B2765" s="60"/>
      <c r="C2765" s="60"/>
      <c r="D2765" s="60"/>
      <c r="E2765" s="62" t="str">
        <f t="shared" si="5153"/>
        <v/>
      </c>
      <c r="F2765" s="62" t="str">
        <f t="shared" ref="F2765:G2765" si="5530">IF(isblank(F$1),,IF(isblank($A2765),,IFERROR(vlookup($A2765,indirect("'TVC-"&amp;text(month(F$1),"00")&amp;"'!$A:$D"),4,false),1)))</f>
        <v/>
      </c>
      <c r="G2765" s="62" t="str">
        <f t="shared" si="5530"/>
        <v/>
      </c>
      <c r="H2765" s="62">
        <f t="shared" ref="H2765:Q2765" si="5531">IF(isblank(H$1),,IFERROR(vlookup($A2765,indirect("'TVC-"&amp;text(month(H$1),"00")&amp;"'!$A:$D"),4,false),1))</f>
        <v>1</v>
      </c>
      <c r="I2765" s="62">
        <f t="shared" si="5531"/>
        <v>1</v>
      </c>
      <c r="J2765" s="62">
        <f t="shared" si="5531"/>
        <v>1</v>
      </c>
      <c r="K2765" s="62">
        <f t="shared" si="5531"/>
        <v>1</v>
      </c>
      <c r="L2765" s="62">
        <f t="shared" si="5531"/>
        <v>1</v>
      </c>
      <c r="M2765" s="62">
        <f t="shared" si="5531"/>
        <v>1</v>
      </c>
      <c r="N2765" s="62">
        <f t="shared" si="5531"/>
        <v>1</v>
      </c>
      <c r="O2765" s="62">
        <f t="shared" si="5531"/>
        <v>1</v>
      </c>
      <c r="P2765" s="62" t="str">
        <f t="shared" si="5531"/>
        <v/>
      </c>
      <c r="Q2765" s="62" t="str">
        <f t="shared" si="5531"/>
        <v/>
      </c>
      <c r="R2765" s="62">
        <f t="shared" si="7"/>
        <v>0</v>
      </c>
      <c r="S2765" s="62"/>
      <c r="T2765" s="62"/>
      <c r="U2765" s="62"/>
      <c r="V2765" s="62"/>
      <c r="W2765" s="62"/>
      <c r="X2765" s="62"/>
      <c r="Y2765" s="62"/>
      <c r="Z2765" s="62"/>
      <c r="AA2765" s="62"/>
      <c r="AB2765" s="62"/>
      <c r="AC2765" s="62"/>
    </row>
    <row r="2766" hidden="1">
      <c r="A2766" s="60"/>
      <c r="B2766" s="60"/>
      <c r="C2766" s="60"/>
      <c r="D2766" s="60"/>
      <c r="E2766" s="62" t="str">
        <f t="shared" si="5153"/>
        <v/>
      </c>
      <c r="F2766" s="62" t="str">
        <f t="shared" ref="F2766:G2766" si="5532">IF(isblank(F$1),,IF(isblank($A2766),,IFERROR(vlookup($A2766,indirect("'TVC-"&amp;text(month(F$1),"00")&amp;"'!$A:$D"),4,false),1)))</f>
        <v/>
      </c>
      <c r="G2766" s="62" t="str">
        <f t="shared" si="5532"/>
        <v/>
      </c>
      <c r="H2766" s="62">
        <f t="shared" ref="H2766:Q2766" si="5533">IF(isblank(H$1),,IFERROR(vlookup($A2766,indirect("'TVC-"&amp;text(month(H$1),"00")&amp;"'!$A:$D"),4,false),1))</f>
        <v>1</v>
      </c>
      <c r="I2766" s="62">
        <f t="shared" si="5533"/>
        <v>1</v>
      </c>
      <c r="J2766" s="62">
        <f t="shared" si="5533"/>
        <v>1</v>
      </c>
      <c r="K2766" s="62">
        <f t="shared" si="5533"/>
        <v>1</v>
      </c>
      <c r="L2766" s="62">
        <f t="shared" si="5533"/>
        <v>1</v>
      </c>
      <c r="M2766" s="62">
        <f t="shared" si="5533"/>
        <v>1</v>
      </c>
      <c r="N2766" s="62">
        <f t="shared" si="5533"/>
        <v>1</v>
      </c>
      <c r="O2766" s="62">
        <f t="shared" si="5533"/>
        <v>1</v>
      </c>
      <c r="P2766" s="62" t="str">
        <f t="shared" si="5533"/>
        <v/>
      </c>
      <c r="Q2766" s="62" t="str">
        <f t="shared" si="5533"/>
        <v/>
      </c>
      <c r="R2766" s="62">
        <f t="shared" si="7"/>
        <v>0</v>
      </c>
      <c r="S2766" s="62"/>
      <c r="T2766" s="62"/>
      <c r="U2766" s="62"/>
      <c r="V2766" s="62"/>
      <c r="W2766" s="62"/>
      <c r="X2766" s="62"/>
      <c r="Y2766" s="62"/>
      <c r="Z2766" s="62"/>
      <c r="AA2766" s="62"/>
      <c r="AB2766" s="62"/>
      <c r="AC2766" s="62"/>
    </row>
    <row r="2767" hidden="1">
      <c r="A2767" s="60"/>
      <c r="B2767" s="60"/>
      <c r="C2767" s="60"/>
      <c r="D2767" s="60"/>
      <c r="E2767" s="62" t="str">
        <f t="shared" si="5153"/>
        <v/>
      </c>
      <c r="F2767" s="62" t="str">
        <f t="shared" ref="F2767:G2767" si="5534">IF(isblank(F$1),,IF(isblank($A2767),,IFERROR(vlookup($A2767,indirect("'TVC-"&amp;text(month(F$1),"00")&amp;"'!$A:$D"),4,false),1)))</f>
        <v/>
      </c>
      <c r="G2767" s="62" t="str">
        <f t="shared" si="5534"/>
        <v/>
      </c>
      <c r="H2767" s="62">
        <f t="shared" ref="H2767:Q2767" si="5535">IF(isblank(H$1),,IFERROR(vlookup($A2767,indirect("'TVC-"&amp;text(month(H$1),"00")&amp;"'!$A:$D"),4,false),1))</f>
        <v>1</v>
      </c>
      <c r="I2767" s="62">
        <f t="shared" si="5535"/>
        <v>1</v>
      </c>
      <c r="J2767" s="62">
        <f t="shared" si="5535"/>
        <v>1</v>
      </c>
      <c r="K2767" s="62">
        <f t="shared" si="5535"/>
        <v>1</v>
      </c>
      <c r="L2767" s="62">
        <f t="shared" si="5535"/>
        <v>1</v>
      </c>
      <c r="M2767" s="62">
        <f t="shared" si="5535"/>
        <v>1</v>
      </c>
      <c r="N2767" s="62">
        <f t="shared" si="5535"/>
        <v>1</v>
      </c>
      <c r="O2767" s="62">
        <f t="shared" si="5535"/>
        <v>1</v>
      </c>
      <c r="P2767" s="62" t="str">
        <f t="shared" si="5535"/>
        <v/>
      </c>
      <c r="Q2767" s="62" t="str">
        <f t="shared" si="5535"/>
        <v/>
      </c>
      <c r="R2767" s="62">
        <f t="shared" si="7"/>
        <v>0</v>
      </c>
      <c r="S2767" s="62"/>
      <c r="T2767" s="62"/>
      <c r="U2767" s="62"/>
      <c r="V2767" s="62"/>
      <c r="W2767" s="62"/>
      <c r="X2767" s="62"/>
      <c r="Y2767" s="62"/>
      <c r="Z2767" s="62"/>
      <c r="AA2767" s="62"/>
      <c r="AB2767" s="62"/>
      <c r="AC2767" s="62"/>
    </row>
    <row r="2768" hidden="1">
      <c r="A2768" s="60"/>
      <c r="B2768" s="60"/>
      <c r="C2768" s="60"/>
      <c r="D2768" s="60"/>
      <c r="E2768" s="62" t="str">
        <f t="shared" si="5153"/>
        <v/>
      </c>
      <c r="F2768" s="62" t="str">
        <f t="shared" ref="F2768:G2768" si="5536">IF(isblank(F$1),,IF(isblank($A2768),,IFERROR(vlookup($A2768,indirect("'TVC-"&amp;text(month(F$1),"00")&amp;"'!$A:$D"),4,false),1)))</f>
        <v/>
      </c>
      <c r="G2768" s="62" t="str">
        <f t="shared" si="5536"/>
        <v/>
      </c>
      <c r="H2768" s="62">
        <f t="shared" ref="H2768:Q2768" si="5537">IF(isblank(H$1),,IFERROR(vlookup($A2768,indirect("'TVC-"&amp;text(month(H$1),"00")&amp;"'!$A:$D"),4,false),1))</f>
        <v>1</v>
      </c>
      <c r="I2768" s="62">
        <f t="shared" si="5537"/>
        <v>1</v>
      </c>
      <c r="J2768" s="62">
        <f t="shared" si="5537"/>
        <v>1</v>
      </c>
      <c r="K2768" s="62">
        <f t="shared" si="5537"/>
        <v>1</v>
      </c>
      <c r="L2768" s="62">
        <f t="shared" si="5537"/>
        <v>1</v>
      </c>
      <c r="M2768" s="62">
        <f t="shared" si="5537"/>
        <v>1</v>
      </c>
      <c r="N2768" s="62">
        <f t="shared" si="5537"/>
        <v>1</v>
      </c>
      <c r="O2768" s="62">
        <f t="shared" si="5537"/>
        <v>1</v>
      </c>
      <c r="P2768" s="62" t="str">
        <f t="shared" si="5537"/>
        <v/>
      </c>
      <c r="Q2768" s="62" t="str">
        <f t="shared" si="5537"/>
        <v/>
      </c>
      <c r="R2768" s="62">
        <f t="shared" si="7"/>
        <v>0</v>
      </c>
      <c r="S2768" s="62"/>
      <c r="T2768" s="62"/>
      <c r="U2768" s="62"/>
      <c r="V2768" s="62"/>
      <c r="W2768" s="62"/>
      <c r="X2768" s="62"/>
      <c r="Y2768" s="62"/>
      <c r="Z2768" s="62"/>
      <c r="AA2768" s="62"/>
      <c r="AB2768" s="62"/>
      <c r="AC2768" s="62"/>
    </row>
    <row r="2769" hidden="1">
      <c r="A2769" s="60"/>
      <c r="B2769" s="60"/>
      <c r="C2769" s="60"/>
      <c r="D2769" s="60"/>
      <c r="E2769" s="62" t="str">
        <f t="shared" si="5153"/>
        <v/>
      </c>
      <c r="F2769" s="62" t="str">
        <f t="shared" ref="F2769:G2769" si="5538">IF(isblank(F$1),,IF(isblank($A2769),,IFERROR(vlookup($A2769,indirect("'TVC-"&amp;text(month(F$1),"00")&amp;"'!$A:$D"),4,false),1)))</f>
        <v/>
      </c>
      <c r="G2769" s="62" t="str">
        <f t="shared" si="5538"/>
        <v/>
      </c>
      <c r="H2769" s="62">
        <f t="shared" ref="H2769:Q2769" si="5539">IF(isblank(H$1),,IFERROR(vlookup($A2769,indirect("'TVC-"&amp;text(month(H$1),"00")&amp;"'!$A:$D"),4,false),1))</f>
        <v>1</v>
      </c>
      <c r="I2769" s="62">
        <f t="shared" si="5539"/>
        <v>1</v>
      </c>
      <c r="J2769" s="62">
        <f t="shared" si="5539"/>
        <v>1</v>
      </c>
      <c r="K2769" s="62">
        <f t="shared" si="5539"/>
        <v>1</v>
      </c>
      <c r="L2769" s="62">
        <f t="shared" si="5539"/>
        <v>1</v>
      </c>
      <c r="M2769" s="62">
        <f t="shared" si="5539"/>
        <v>1</v>
      </c>
      <c r="N2769" s="62">
        <f t="shared" si="5539"/>
        <v>1</v>
      </c>
      <c r="O2769" s="62">
        <f t="shared" si="5539"/>
        <v>1</v>
      </c>
      <c r="P2769" s="62" t="str">
        <f t="shared" si="5539"/>
        <v/>
      </c>
      <c r="Q2769" s="62" t="str">
        <f t="shared" si="5539"/>
        <v/>
      </c>
      <c r="R2769" s="62">
        <f t="shared" si="7"/>
        <v>0</v>
      </c>
      <c r="S2769" s="62"/>
      <c r="T2769" s="62"/>
      <c r="U2769" s="62"/>
      <c r="V2769" s="62"/>
      <c r="W2769" s="62"/>
      <c r="X2769" s="62"/>
      <c r="Y2769" s="62"/>
      <c r="Z2769" s="62"/>
      <c r="AA2769" s="62"/>
      <c r="AB2769" s="62"/>
      <c r="AC2769" s="62"/>
    </row>
    <row r="2770" hidden="1">
      <c r="A2770" s="60"/>
      <c r="B2770" s="60"/>
      <c r="C2770" s="60"/>
      <c r="D2770" s="60"/>
      <c r="E2770" s="62" t="str">
        <f t="shared" si="5153"/>
        <v/>
      </c>
      <c r="F2770" s="62" t="str">
        <f t="shared" ref="F2770:G2770" si="5540">IF(isblank(F$1),,IF(isblank($A2770),,IFERROR(vlookup($A2770,indirect("'TVC-"&amp;text(month(F$1),"00")&amp;"'!$A:$D"),4,false),1)))</f>
        <v/>
      </c>
      <c r="G2770" s="62" t="str">
        <f t="shared" si="5540"/>
        <v/>
      </c>
      <c r="H2770" s="62">
        <f t="shared" ref="H2770:Q2770" si="5541">IF(isblank(H$1),,IFERROR(vlookup($A2770,indirect("'TVC-"&amp;text(month(H$1),"00")&amp;"'!$A:$D"),4,false),1))</f>
        <v>1</v>
      </c>
      <c r="I2770" s="62">
        <f t="shared" si="5541"/>
        <v>1</v>
      </c>
      <c r="J2770" s="62">
        <f t="shared" si="5541"/>
        <v>1</v>
      </c>
      <c r="K2770" s="62">
        <f t="shared" si="5541"/>
        <v>1</v>
      </c>
      <c r="L2770" s="62">
        <f t="shared" si="5541"/>
        <v>1</v>
      </c>
      <c r="M2770" s="62">
        <f t="shared" si="5541"/>
        <v>1</v>
      </c>
      <c r="N2770" s="62">
        <f t="shared" si="5541"/>
        <v>1</v>
      </c>
      <c r="O2770" s="62">
        <f t="shared" si="5541"/>
        <v>1</v>
      </c>
      <c r="P2770" s="62" t="str">
        <f t="shared" si="5541"/>
        <v/>
      </c>
      <c r="Q2770" s="62" t="str">
        <f t="shared" si="5541"/>
        <v/>
      </c>
      <c r="R2770" s="62">
        <f t="shared" si="7"/>
        <v>0</v>
      </c>
      <c r="S2770" s="62"/>
      <c r="T2770" s="62"/>
      <c r="U2770" s="62"/>
      <c r="V2770" s="62"/>
      <c r="W2770" s="62"/>
      <c r="X2770" s="62"/>
      <c r="Y2770" s="62"/>
      <c r="Z2770" s="62"/>
      <c r="AA2770" s="62"/>
      <c r="AB2770" s="62"/>
      <c r="AC2770" s="62"/>
    </row>
    <row r="2771" hidden="1">
      <c r="A2771" s="60"/>
      <c r="B2771" s="60"/>
      <c r="C2771" s="60"/>
      <c r="D2771" s="60"/>
      <c r="E2771" s="62" t="str">
        <f t="shared" si="5153"/>
        <v/>
      </c>
      <c r="F2771" s="62" t="str">
        <f t="shared" ref="F2771:G2771" si="5542">IF(isblank(F$1),,IF(isblank($A2771),,IFERROR(vlookup($A2771,indirect("'TVC-"&amp;text(month(F$1),"00")&amp;"'!$A:$D"),4,false),1)))</f>
        <v/>
      </c>
      <c r="G2771" s="62" t="str">
        <f t="shared" si="5542"/>
        <v/>
      </c>
      <c r="H2771" s="62">
        <f t="shared" ref="H2771:Q2771" si="5543">IF(isblank(H$1),,IFERROR(vlookup($A2771,indirect("'TVC-"&amp;text(month(H$1),"00")&amp;"'!$A:$D"),4,false),1))</f>
        <v>1</v>
      </c>
      <c r="I2771" s="62">
        <f t="shared" si="5543"/>
        <v>1</v>
      </c>
      <c r="J2771" s="62">
        <f t="shared" si="5543"/>
        <v>1</v>
      </c>
      <c r="K2771" s="62">
        <f t="shared" si="5543"/>
        <v>1</v>
      </c>
      <c r="L2771" s="62">
        <f t="shared" si="5543"/>
        <v>1</v>
      </c>
      <c r="M2771" s="62">
        <f t="shared" si="5543"/>
        <v>1</v>
      </c>
      <c r="N2771" s="62">
        <f t="shared" si="5543"/>
        <v>1</v>
      </c>
      <c r="O2771" s="62">
        <f t="shared" si="5543"/>
        <v>1</v>
      </c>
      <c r="P2771" s="62" t="str">
        <f t="shared" si="5543"/>
        <v/>
      </c>
      <c r="Q2771" s="62" t="str">
        <f t="shared" si="5543"/>
        <v/>
      </c>
      <c r="R2771" s="62">
        <f t="shared" si="7"/>
        <v>0</v>
      </c>
      <c r="S2771" s="62"/>
      <c r="T2771" s="62"/>
      <c r="U2771" s="62"/>
      <c r="V2771" s="62"/>
      <c r="W2771" s="62"/>
      <c r="X2771" s="62"/>
      <c r="Y2771" s="62"/>
      <c r="Z2771" s="62"/>
      <c r="AA2771" s="62"/>
      <c r="AB2771" s="62"/>
      <c r="AC2771" s="62"/>
    </row>
    <row r="2772" hidden="1">
      <c r="A2772" s="60"/>
      <c r="B2772" s="60"/>
      <c r="C2772" s="60"/>
      <c r="D2772" s="60"/>
      <c r="E2772" s="62" t="str">
        <f t="shared" si="5153"/>
        <v/>
      </c>
      <c r="F2772" s="62" t="str">
        <f t="shared" ref="F2772:G2772" si="5544">IF(isblank(F$1),,IF(isblank($A2772),,IFERROR(vlookup($A2772,indirect("'TVC-"&amp;text(month(F$1),"00")&amp;"'!$A:$D"),4,false),1)))</f>
        <v/>
      </c>
      <c r="G2772" s="62" t="str">
        <f t="shared" si="5544"/>
        <v/>
      </c>
      <c r="H2772" s="62">
        <f t="shared" ref="H2772:Q2772" si="5545">IF(isblank(H$1),,IFERROR(vlookup($A2772,indirect("'TVC-"&amp;text(month(H$1),"00")&amp;"'!$A:$D"),4,false),1))</f>
        <v>1</v>
      </c>
      <c r="I2772" s="62">
        <f t="shared" si="5545"/>
        <v>1</v>
      </c>
      <c r="J2772" s="62">
        <f t="shared" si="5545"/>
        <v>1</v>
      </c>
      <c r="K2772" s="62">
        <f t="shared" si="5545"/>
        <v>1</v>
      </c>
      <c r="L2772" s="62">
        <f t="shared" si="5545"/>
        <v>1</v>
      </c>
      <c r="M2772" s="62">
        <f t="shared" si="5545"/>
        <v>1</v>
      </c>
      <c r="N2772" s="62">
        <f t="shared" si="5545"/>
        <v>1</v>
      </c>
      <c r="O2772" s="62">
        <f t="shared" si="5545"/>
        <v>1</v>
      </c>
      <c r="P2772" s="62" t="str">
        <f t="shared" si="5545"/>
        <v/>
      </c>
      <c r="Q2772" s="62" t="str">
        <f t="shared" si="5545"/>
        <v/>
      </c>
      <c r="R2772" s="62">
        <f t="shared" si="7"/>
        <v>0</v>
      </c>
      <c r="S2772" s="62"/>
      <c r="T2772" s="62"/>
      <c r="U2772" s="62"/>
      <c r="V2772" s="62"/>
      <c r="W2772" s="62"/>
      <c r="X2772" s="62"/>
      <c r="Y2772" s="62"/>
      <c r="Z2772" s="62"/>
      <c r="AA2772" s="62"/>
      <c r="AB2772" s="62"/>
      <c r="AC2772" s="62"/>
    </row>
    <row r="2773" hidden="1">
      <c r="A2773" s="60"/>
      <c r="B2773" s="60"/>
      <c r="C2773" s="60"/>
      <c r="D2773" s="60"/>
      <c r="E2773" s="62" t="str">
        <f t="shared" si="5153"/>
        <v/>
      </c>
      <c r="F2773" s="62" t="str">
        <f t="shared" ref="F2773:G2773" si="5546">IF(isblank(F$1),,IF(isblank($A2773),,IFERROR(vlookup($A2773,indirect("'TVC-"&amp;text(month(F$1),"00")&amp;"'!$A:$D"),4,false),1)))</f>
        <v/>
      </c>
      <c r="G2773" s="62" t="str">
        <f t="shared" si="5546"/>
        <v/>
      </c>
      <c r="H2773" s="62">
        <f t="shared" ref="H2773:Q2773" si="5547">IF(isblank(H$1),,IFERROR(vlookup($A2773,indirect("'TVC-"&amp;text(month(H$1),"00")&amp;"'!$A:$D"),4,false),1))</f>
        <v>1</v>
      </c>
      <c r="I2773" s="62">
        <f t="shared" si="5547"/>
        <v>1</v>
      </c>
      <c r="J2773" s="62">
        <f t="shared" si="5547"/>
        <v>1</v>
      </c>
      <c r="K2773" s="62">
        <f t="shared" si="5547"/>
        <v>1</v>
      </c>
      <c r="L2773" s="62">
        <f t="shared" si="5547"/>
        <v>1</v>
      </c>
      <c r="M2773" s="62">
        <f t="shared" si="5547"/>
        <v>1</v>
      </c>
      <c r="N2773" s="62">
        <f t="shared" si="5547"/>
        <v>1</v>
      </c>
      <c r="O2773" s="62">
        <f t="shared" si="5547"/>
        <v>1</v>
      </c>
      <c r="P2773" s="62" t="str">
        <f t="shared" si="5547"/>
        <v/>
      </c>
      <c r="Q2773" s="62" t="str">
        <f t="shared" si="5547"/>
        <v/>
      </c>
      <c r="R2773" s="62">
        <f t="shared" si="7"/>
        <v>0</v>
      </c>
      <c r="S2773" s="62"/>
      <c r="T2773" s="62"/>
      <c r="U2773" s="62"/>
      <c r="V2773" s="62"/>
      <c r="W2773" s="62"/>
      <c r="X2773" s="62"/>
      <c r="Y2773" s="62"/>
      <c r="Z2773" s="62"/>
      <c r="AA2773" s="62"/>
      <c r="AB2773" s="62"/>
      <c r="AC2773" s="62"/>
    </row>
    <row r="2774" hidden="1">
      <c r="A2774" s="60"/>
      <c r="B2774" s="60"/>
      <c r="C2774" s="60"/>
      <c r="D2774" s="60"/>
      <c r="E2774" s="62" t="str">
        <f t="shared" si="5153"/>
        <v/>
      </c>
      <c r="F2774" s="62" t="str">
        <f t="shared" ref="F2774:G2774" si="5548">IF(isblank(F$1),,IF(isblank($A2774),,IFERROR(vlookup($A2774,indirect("'TVC-"&amp;text(month(F$1),"00")&amp;"'!$A:$D"),4,false),1)))</f>
        <v/>
      </c>
      <c r="G2774" s="62" t="str">
        <f t="shared" si="5548"/>
        <v/>
      </c>
      <c r="H2774" s="62">
        <f t="shared" ref="H2774:Q2774" si="5549">IF(isblank(H$1),,IFERROR(vlookup($A2774,indirect("'TVC-"&amp;text(month(H$1),"00")&amp;"'!$A:$D"),4,false),1))</f>
        <v>1</v>
      </c>
      <c r="I2774" s="62">
        <f t="shared" si="5549"/>
        <v>1</v>
      </c>
      <c r="J2774" s="62">
        <f t="shared" si="5549"/>
        <v>1</v>
      </c>
      <c r="K2774" s="62">
        <f t="shared" si="5549"/>
        <v>1</v>
      </c>
      <c r="L2774" s="62">
        <f t="shared" si="5549"/>
        <v>1</v>
      </c>
      <c r="M2774" s="62">
        <f t="shared" si="5549"/>
        <v>1</v>
      </c>
      <c r="N2774" s="62">
        <f t="shared" si="5549"/>
        <v>1</v>
      </c>
      <c r="O2774" s="62">
        <f t="shared" si="5549"/>
        <v>1</v>
      </c>
      <c r="P2774" s="62" t="str">
        <f t="shared" si="5549"/>
        <v/>
      </c>
      <c r="Q2774" s="62" t="str">
        <f t="shared" si="5549"/>
        <v/>
      </c>
      <c r="R2774" s="62">
        <f t="shared" si="7"/>
        <v>0</v>
      </c>
      <c r="S2774" s="62"/>
      <c r="T2774" s="62"/>
      <c r="U2774" s="62"/>
      <c r="V2774" s="62"/>
      <c r="W2774" s="62"/>
      <c r="X2774" s="62"/>
      <c r="Y2774" s="62"/>
      <c r="Z2774" s="62"/>
      <c r="AA2774" s="62"/>
      <c r="AB2774" s="62"/>
      <c r="AC2774" s="62"/>
    </row>
    <row r="2775" hidden="1">
      <c r="A2775" s="60"/>
      <c r="B2775" s="60"/>
      <c r="C2775" s="60"/>
      <c r="D2775" s="60"/>
      <c r="E2775" s="62" t="str">
        <f t="shared" si="5153"/>
        <v/>
      </c>
      <c r="F2775" s="62" t="str">
        <f t="shared" ref="F2775:G2775" si="5550">IF(isblank(F$1),,IF(isblank($A2775),,IFERROR(vlookup($A2775,indirect("'TVC-"&amp;text(month(F$1),"00")&amp;"'!$A:$D"),4,false),1)))</f>
        <v/>
      </c>
      <c r="G2775" s="62" t="str">
        <f t="shared" si="5550"/>
        <v/>
      </c>
      <c r="H2775" s="62">
        <f t="shared" ref="H2775:Q2775" si="5551">IF(isblank(H$1),,IFERROR(vlookup($A2775,indirect("'TVC-"&amp;text(month(H$1),"00")&amp;"'!$A:$D"),4,false),1))</f>
        <v>1</v>
      </c>
      <c r="I2775" s="62">
        <f t="shared" si="5551"/>
        <v>1</v>
      </c>
      <c r="J2775" s="62">
        <f t="shared" si="5551"/>
        <v>1</v>
      </c>
      <c r="K2775" s="62">
        <f t="shared" si="5551"/>
        <v>1</v>
      </c>
      <c r="L2775" s="62">
        <f t="shared" si="5551"/>
        <v>1</v>
      </c>
      <c r="M2775" s="62">
        <f t="shared" si="5551"/>
        <v>1</v>
      </c>
      <c r="N2775" s="62">
        <f t="shared" si="5551"/>
        <v>1</v>
      </c>
      <c r="O2775" s="62">
        <f t="shared" si="5551"/>
        <v>1</v>
      </c>
      <c r="P2775" s="62" t="str">
        <f t="shared" si="5551"/>
        <v/>
      </c>
      <c r="Q2775" s="62" t="str">
        <f t="shared" si="5551"/>
        <v/>
      </c>
      <c r="R2775" s="62">
        <f t="shared" si="7"/>
        <v>0</v>
      </c>
      <c r="S2775" s="62"/>
      <c r="T2775" s="62"/>
      <c r="U2775" s="62"/>
      <c r="V2775" s="62"/>
      <c r="W2775" s="62"/>
      <c r="X2775" s="62"/>
      <c r="Y2775" s="62"/>
      <c r="Z2775" s="62"/>
      <c r="AA2775" s="62"/>
      <c r="AB2775" s="62"/>
      <c r="AC2775" s="62"/>
    </row>
    <row r="2776" hidden="1">
      <c r="A2776" s="60"/>
      <c r="B2776" s="60"/>
      <c r="C2776" s="60"/>
      <c r="D2776" s="60"/>
      <c r="E2776" s="62" t="str">
        <f t="shared" si="5153"/>
        <v/>
      </c>
      <c r="F2776" s="62" t="str">
        <f t="shared" ref="F2776:G2776" si="5552">IF(isblank(F$1),,IF(isblank($A2776),,IFERROR(vlookup($A2776,indirect("'TVC-"&amp;text(month(F$1),"00")&amp;"'!$A:$D"),4,false),1)))</f>
        <v/>
      </c>
      <c r="G2776" s="62" t="str">
        <f t="shared" si="5552"/>
        <v/>
      </c>
      <c r="H2776" s="62">
        <f t="shared" ref="H2776:Q2776" si="5553">IF(isblank(H$1),,IFERROR(vlookup($A2776,indirect("'TVC-"&amp;text(month(H$1),"00")&amp;"'!$A:$D"),4,false),1))</f>
        <v>1</v>
      </c>
      <c r="I2776" s="62">
        <f t="shared" si="5553"/>
        <v>1</v>
      </c>
      <c r="J2776" s="62">
        <f t="shared" si="5553"/>
        <v>1</v>
      </c>
      <c r="K2776" s="62">
        <f t="shared" si="5553"/>
        <v>1</v>
      </c>
      <c r="L2776" s="62">
        <f t="shared" si="5553"/>
        <v>1</v>
      </c>
      <c r="M2776" s="62">
        <f t="shared" si="5553"/>
        <v>1</v>
      </c>
      <c r="N2776" s="62">
        <f t="shared" si="5553"/>
        <v>1</v>
      </c>
      <c r="O2776" s="62">
        <f t="shared" si="5553"/>
        <v>1</v>
      </c>
      <c r="P2776" s="62" t="str">
        <f t="shared" si="5553"/>
        <v/>
      </c>
      <c r="Q2776" s="62" t="str">
        <f t="shared" si="5553"/>
        <v/>
      </c>
      <c r="R2776" s="62">
        <f t="shared" si="7"/>
        <v>0</v>
      </c>
      <c r="S2776" s="62"/>
      <c r="T2776" s="62"/>
      <c r="U2776" s="62"/>
      <c r="V2776" s="62"/>
      <c r="W2776" s="62"/>
      <c r="X2776" s="62"/>
      <c r="Y2776" s="62"/>
      <c r="Z2776" s="62"/>
      <c r="AA2776" s="62"/>
      <c r="AB2776" s="62"/>
      <c r="AC2776" s="62"/>
    </row>
    <row r="2777" hidden="1">
      <c r="A2777" s="60"/>
      <c r="B2777" s="60"/>
      <c r="C2777" s="60"/>
      <c r="D2777" s="60"/>
      <c r="E2777" s="62" t="str">
        <f t="shared" si="5153"/>
        <v/>
      </c>
      <c r="F2777" s="62" t="str">
        <f t="shared" ref="F2777:G2777" si="5554">IF(isblank(F$1),,IF(isblank($A2777),,IFERROR(vlookup($A2777,indirect("'TVC-"&amp;text(month(F$1),"00")&amp;"'!$A:$D"),4,false),1)))</f>
        <v/>
      </c>
      <c r="G2777" s="62" t="str">
        <f t="shared" si="5554"/>
        <v/>
      </c>
      <c r="H2777" s="62">
        <f t="shared" ref="H2777:Q2777" si="5555">IF(isblank(H$1),,IFERROR(vlookup($A2777,indirect("'TVC-"&amp;text(month(H$1),"00")&amp;"'!$A:$D"),4,false),1))</f>
        <v>1</v>
      </c>
      <c r="I2777" s="62">
        <f t="shared" si="5555"/>
        <v>1</v>
      </c>
      <c r="J2777" s="62">
        <f t="shared" si="5555"/>
        <v>1</v>
      </c>
      <c r="K2777" s="62">
        <f t="shared" si="5555"/>
        <v>1</v>
      </c>
      <c r="L2777" s="62">
        <f t="shared" si="5555"/>
        <v>1</v>
      </c>
      <c r="M2777" s="62">
        <f t="shared" si="5555"/>
        <v>1</v>
      </c>
      <c r="N2777" s="62">
        <f t="shared" si="5555"/>
        <v>1</v>
      </c>
      <c r="O2777" s="62">
        <f t="shared" si="5555"/>
        <v>1</v>
      </c>
      <c r="P2777" s="62" t="str">
        <f t="shared" si="5555"/>
        <v/>
      </c>
      <c r="Q2777" s="62" t="str">
        <f t="shared" si="5555"/>
        <v/>
      </c>
      <c r="R2777" s="62">
        <f t="shared" si="7"/>
        <v>0</v>
      </c>
      <c r="S2777" s="62"/>
      <c r="T2777" s="62"/>
      <c r="U2777" s="62"/>
      <c r="V2777" s="62"/>
      <c r="W2777" s="62"/>
      <c r="X2777" s="62"/>
      <c r="Y2777" s="62"/>
      <c r="Z2777" s="62"/>
      <c r="AA2777" s="62"/>
      <c r="AB2777" s="62"/>
      <c r="AC2777" s="62"/>
    </row>
    <row r="2778" hidden="1">
      <c r="A2778" s="60"/>
      <c r="B2778" s="60"/>
      <c r="C2778" s="60"/>
      <c r="D2778" s="60"/>
      <c r="E2778" s="62" t="str">
        <f t="shared" si="5153"/>
        <v/>
      </c>
      <c r="F2778" s="62" t="str">
        <f t="shared" ref="F2778:G2778" si="5556">IF(isblank(F$1),,IF(isblank($A2778),,IFERROR(vlookup($A2778,indirect("'TVC-"&amp;text(month(F$1),"00")&amp;"'!$A:$D"),4,false),1)))</f>
        <v/>
      </c>
      <c r="G2778" s="62" t="str">
        <f t="shared" si="5556"/>
        <v/>
      </c>
      <c r="H2778" s="62">
        <f t="shared" ref="H2778:Q2778" si="5557">IF(isblank(H$1),,IFERROR(vlookup($A2778,indirect("'TVC-"&amp;text(month(H$1),"00")&amp;"'!$A:$D"),4,false),1))</f>
        <v>1</v>
      </c>
      <c r="I2778" s="62">
        <f t="shared" si="5557"/>
        <v>1</v>
      </c>
      <c r="J2778" s="62">
        <f t="shared" si="5557"/>
        <v>1</v>
      </c>
      <c r="K2778" s="62">
        <f t="shared" si="5557"/>
        <v>1</v>
      </c>
      <c r="L2778" s="62">
        <f t="shared" si="5557"/>
        <v>1</v>
      </c>
      <c r="M2778" s="62">
        <f t="shared" si="5557"/>
        <v>1</v>
      </c>
      <c r="N2778" s="62">
        <f t="shared" si="5557"/>
        <v>1</v>
      </c>
      <c r="O2778" s="62">
        <f t="shared" si="5557"/>
        <v>1</v>
      </c>
      <c r="P2778" s="62" t="str">
        <f t="shared" si="5557"/>
        <v/>
      </c>
      <c r="Q2778" s="62" t="str">
        <f t="shared" si="5557"/>
        <v/>
      </c>
      <c r="R2778" s="62">
        <f t="shared" si="7"/>
        <v>0</v>
      </c>
      <c r="S2778" s="62"/>
      <c r="T2778" s="62"/>
      <c r="U2778" s="62"/>
      <c r="V2778" s="62"/>
      <c r="W2778" s="62"/>
      <c r="X2778" s="62"/>
      <c r="Y2778" s="62"/>
      <c r="Z2778" s="62"/>
      <c r="AA2778" s="62"/>
      <c r="AB2778" s="62"/>
      <c r="AC2778" s="62"/>
    </row>
    <row r="2779" hidden="1">
      <c r="A2779" s="60"/>
      <c r="B2779" s="60"/>
      <c r="C2779" s="60"/>
      <c r="D2779" s="60"/>
      <c r="E2779" s="62" t="str">
        <f t="shared" si="5153"/>
        <v/>
      </c>
      <c r="F2779" s="62" t="str">
        <f t="shared" ref="F2779:G2779" si="5558">IF(isblank(F$1),,IF(isblank($A2779),,IFERROR(vlookup($A2779,indirect("'TVC-"&amp;text(month(F$1),"00")&amp;"'!$A:$D"),4,false),1)))</f>
        <v/>
      </c>
      <c r="G2779" s="62" t="str">
        <f t="shared" si="5558"/>
        <v/>
      </c>
      <c r="H2779" s="62">
        <f t="shared" ref="H2779:Q2779" si="5559">IF(isblank(H$1),,IFERROR(vlookup($A2779,indirect("'TVC-"&amp;text(month(H$1),"00")&amp;"'!$A:$D"),4,false),1))</f>
        <v>1</v>
      </c>
      <c r="I2779" s="62">
        <f t="shared" si="5559"/>
        <v>1</v>
      </c>
      <c r="J2779" s="62">
        <f t="shared" si="5559"/>
        <v>1</v>
      </c>
      <c r="K2779" s="62">
        <f t="shared" si="5559"/>
        <v>1</v>
      </c>
      <c r="L2779" s="62">
        <f t="shared" si="5559"/>
        <v>1</v>
      </c>
      <c r="M2779" s="62">
        <f t="shared" si="5559"/>
        <v>1</v>
      </c>
      <c r="N2779" s="62">
        <f t="shared" si="5559"/>
        <v>1</v>
      </c>
      <c r="O2779" s="62">
        <f t="shared" si="5559"/>
        <v>1</v>
      </c>
      <c r="P2779" s="62" t="str">
        <f t="shared" si="5559"/>
        <v/>
      </c>
      <c r="Q2779" s="62" t="str">
        <f t="shared" si="5559"/>
        <v/>
      </c>
      <c r="R2779" s="62">
        <f t="shared" si="7"/>
        <v>0</v>
      </c>
      <c r="S2779" s="62"/>
      <c r="T2779" s="62"/>
      <c r="U2779" s="62"/>
      <c r="V2779" s="62"/>
      <c r="W2779" s="62"/>
      <c r="X2779" s="62"/>
      <c r="Y2779" s="62"/>
      <c r="Z2779" s="62"/>
      <c r="AA2779" s="62"/>
      <c r="AB2779" s="62"/>
      <c r="AC2779" s="62"/>
    </row>
    <row r="2780" hidden="1">
      <c r="A2780" s="60"/>
      <c r="B2780" s="60"/>
      <c r="C2780" s="60"/>
      <c r="D2780" s="60"/>
      <c r="E2780" s="62" t="str">
        <f t="shared" si="5153"/>
        <v/>
      </c>
      <c r="F2780" s="62" t="str">
        <f t="shared" ref="F2780:G2780" si="5560">IF(isblank(F$1),,IF(isblank($A2780),,IFERROR(vlookup($A2780,indirect("'TVC-"&amp;text(month(F$1),"00")&amp;"'!$A:$D"),4,false),1)))</f>
        <v/>
      </c>
      <c r="G2780" s="62" t="str">
        <f t="shared" si="5560"/>
        <v/>
      </c>
      <c r="H2780" s="62">
        <f t="shared" ref="H2780:Q2780" si="5561">IF(isblank(H$1),,IFERROR(vlookup($A2780,indirect("'TVC-"&amp;text(month(H$1),"00")&amp;"'!$A:$D"),4,false),1))</f>
        <v>1</v>
      </c>
      <c r="I2780" s="62">
        <f t="shared" si="5561"/>
        <v>1</v>
      </c>
      <c r="J2780" s="62">
        <f t="shared" si="5561"/>
        <v>1</v>
      </c>
      <c r="K2780" s="62">
        <f t="shared" si="5561"/>
        <v>1</v>
      </c>
      <c r="L2780" s="62">
        <f t="shared" si="5561"/>
        <v>1</v>
      </c>
      <c r="M2780" s="62">
        <f t="shared" si="5561"/>
        <v>1</v>
      </c>
      <c r="N2780" s="62">
        <f t="shared" si="5561"/>
        <v>1</v>
      </c>
      <c r="O2780" s="62">
        <f t="shared" si="5561"/>
        <v>1</v>
      </c>
      <c r="P2780" s="62" t="str">
        <f t="shared" si="5561"/>
        <v/>
      </c>
      <c r="Q2780" s="62" t="str">
        <f t="shared" si="5561"/>
        <v/>
      </c>
      <c r="R2780" s="62">
        <f t="shared" si="7"/>
        <v>0</v>
      </c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</row>
    <row r="2781" hidden="1">
      <c r="A2781" s="60"/>
      <c r="B2781" s="60"/>
      <c r="C2781" s="60"/>
      <c r="D2781" s="60"/>
      <c r="E2781" s="62" t="str">
        <f t="shared" si="5153"/>
        <v/>
      </c>
      <c r="F2781" s="62" t="str">
        <f t="shared" ref="F2781:G2781" si="5562">IF(isblank(F$1),,IF(isblank($A2781),,IFERROR(vlookup($A2781,indirect("'TVC-"&amp;text(month(F$1),"00")&amp;"'!$A:$D"),4,false),1)))</f>
        <v/>
      </c>
      <c r="G2781" s="62" t="str">
        <f t="shared" si="5562"/>
        <v/>
      </c>
      <c r="H2781" s="62">
        <f t="shared" ref="H2781:Q2781" si="5563">IF(isblank(H$1),,IFERROR(vlookup($A2781,indirect("'TVC-"&amp;text(month(H$1),"00")&amp;"'!$A:$D"),4,false),1))</f>
        <v>1</v>
      </c>
      <c r="I2781" s="62">
        <f t="shared" si="5563"/>
        <v>1</v>
      </c>
      <c r="J2781" s="62">
        <f t="shared" si="5563"/>
        <v>1</v>
      </c>
      <c r="K2781" s="62">
        <f t="shared" si="5563"/>
        <v>1</v>
      </c>
      <c r="L2781" s="62">
        <f t="shared" si="5563"/>
        <v>1</v>
      </c>
      <c r="M2781" s="62">
        <f t="shared" si="5563"/>
        <v>1</v>
      </c>
      <c r="N2781" s="62">
        <f t="shared" si="5563"/>
        <v>1</v>
      </c>
      <c r="O2781" s="62">
        <f t="shared" si="5563"/>
        <v>1</v>
      </c>
      <c r="P2781" s="62" t="str">
        <f t="shared" si="5563"/>
        <v/>
      </c>
      <c r="Q2781" s="62" t="str">
        <f t="shared" si="5563"/>
        <v/>
      </c>
      <c r="R2781" s="62">
        <f t="shared" si="7"/>
        <v>0</v>
      </c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</row>
    <row r="2782" hidden="1">
      <c r="A2782" s="60"/>
      <c r="B2782" s="60"/>
      <c r="C2782" s="60"/>
      <c r="D2782" s="60"/>
      <c r="E2782" s="62" t="str">
        <f t="shared" si="5153"/>
        <v/>
      </c>
      <c r="F2782" s="62" t="str">
        <f t="shared" ref="F2782:G2782" si="5564">IF(isblank(F$1),,IF(isblank($A2782),,IFERROR(vlookup($A2782,indirect("'TVC-"&amp;text(month(F$1),"00")&amp;"'!$A:$D"),4,false),1)))</f>
        <v/>
      </c>
      <c r="G2782" s="62" t="str">
        <f t="shared" si="5564"/>
        <v/>
      </c>
      <c r="H2782" s="62">
        <f t="shared" ref="H2782:Q2782" si="5565">IF(isblank(H$1),,IFERROR(vlookup($A2782,indirect("'TVC-"&amp;text(month(H$1),"00")&amp;"'!$A:$D"),4,false),1))</f>
        <v>1</v>
      </c>
      <c r="I2782" s="62">
        <f t="shared" si="5565"/>
        <v>1</v>
      </c>
      <c r="J2782" s="62">
        <f t="shared" si="5565"/>
        <v>1</v>
      </c>
      <c r="K2782" s="62">
        <f t="shared" si="5565"/>
        <v>1</v>
      </c>
      <c r="L2782" s="62">
        <f t="shared" si="5565"/>
        <v>1</v>
      </c>
      <c r="M2782" s="62">
        <f t="shared" si="5565"/>
        <v>1</v>
      </c>
      <c r="N2782" s="62">
        <f t="shared" si="5565"/>
        <v>1</v>
      </c>
      <c r="O2782" s="62">
        <f t="shared" si="5565"/>
        <v>1</v>
      </c>
      <c r="P2782" s="62" t="str">
        <f t="shared" si="5565"/>
        <v/>
      </c>
      <c r="Q2782" s="62" t="str">
        <f t="shared" si="5565"/>
        <v/>
      </c>
      <c r="R2782" s="62">
        <f t="shared" si="7"/>
        <v>0</v>
      </c>
      <c r="S2782" s="62"/>
      <c r="T2782" s="62"/>
      <c r="U2782" s="62"/>
      <c r="V2782" s="62"/>
      <c r="W2782" s="62"/>
      <c r="X2782" s="62"/>
      <c r="Y2782" s="62"/>
      <c r="Z2782" s="62"/>
      <c r="AA2782" s="62"/>
      <c r="AB2782" s="62"/>
      <c r="AC2782" s="62"/>
    </row>
    <row r="2783" hidden="1">
      <c r="A2783" s="60"/>
      <c r="B2783" s="60"/>
      <c r="C2783" s="60"/>
      <c r="D2783" s="60"/>
      <c r="E2783" s="62" t="str">
        <f t="shared" si="5153"/>
        <v/>
      </c>
      <c r="F2783" s="62" t="str">
        <f t="shared" ref="F2783:G2783" si="5566">IF(isblank(F$1),,IF(isblank($A2783),,IFERROR(vlookup($A2783,indirect("'TVC-"&amp;text(month(F$1),"00")&amp;"'!$A:$D"),4,false),1)))</f>
        <v/>
      </c>
      <c r="G2783" s="62" t="str">
        <f t="shared" si="5566"/>
        <v/>
      </c>
      <c r="H2783" s="62">
        <f t="shared" ref="H2783:Q2783" si="5567">IF(isblank(H$1),,IFERROR(vlookup($A2783,indirect("'TVC-"&amp;text(month(H$1),"00")&amp;"'!$A:$D"),4,false),1))</f>
        <v>1</v>
      </c>
      <c r="I2783" s="62">
        <f t="shared" si="5567"/>
        <v>1</v>
      </c>
      <c r="J2783" s="62">
        <f t="shared" si="5567"/>
        <v>1</v>
      </c>
      <c r="K2783" s="62">
        <f t="shared" si="5567"/>
        <v>1</v>
      </c>
      <c r="L2783" s="62">
        <f t="shared" si="5567"/>
        <v>1</v>
      </c>
      <c r="M2783" s="62">
        <f t="shared" si="5567"/>
        <v>1</v>
      </c>
      <c r="N2783" s="62">
        <f t="shared" si="5567"/>
        <v>1</v>
      </c>
      <c r="O2783" s="62">
        <f t="shared" si="5567"/>
        <v>1</v>
      </c>
      <c r="P2783" s="62" t="str">
        <f t="shared" si="5567"/>
        <v/>
      </c>
      <c r="Q2783" s="62" t="str">
        <f t="shared" si="5567"/>
        <v/>
      </c>
      <c r="R2783" s="62">
        <f t="shared" si="7"/>
        <v>0</v>
      </c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</row>
    <row r="2784" hidden="1">
      <c r="A2784" s="60"/>
      <c r="B2784" s="60"/>
      <c r="C2784" s="60"/>
      <c r="D2784" s="60"/>
      <c r="E2784" s="62" t="str">
        <f t="shared" si="5153"/>
        <v/>
      </c>
      <c r="F2784" s="62" t="str">
        <f t="shared" ref="F2784:G2784" si="5568">IF(isblank(F$1),,IF(isblank($A2784),,IFERROR(vlookup($A2784,indirect("'TVC-"&amp;text(month(F$1),"00")&amp;"'!$A:$D"),4,false),1)))</f>
        <v/>
      </c>
      <c r="G2784" s="62" t="str">
        <f t="shared" si="5568"/>
        <v/>
      </c>
      <c r="H2784" s="62">
        <f t="shared" ref="H2784:Q2784" si="5569">IF(isblank(H$1),,IFERROR(vlookup($A2784,indirect("'TVC-"&amp;text(month(H$1),"00")&amp;"'!$A:$D"),4,false),1))</f>
        <v>1</v>
      </c>
      <c r="I2784" s="62">
        <f t="shared" si="5569"/>
        <v>1</v>
      </c>
      <c r="J2784" s="62">
        <f t="shared" si="5569"/>
        <v>1</v>
      </c>
      <c r="K2784" s="62">
        <f t="shared" si="5569"/>
        <v>1</v>
      </c>
      <c r="L2784" s="62">
        <f t="shared" si="5569"/>
        <v>1</v>
      </c>
      <c r="M2784" s="62">
        <f t="shared" si="5569"/>
        <v>1</v>
      </c>
      <c r="N2784" s="62">
        <f t="shared" si="5569"/>
        <v>1</v>
      </c>
      <c r="O2784" s="62">
        <f t="shared" si="5569"/>
        <v>1</v>
      </c>
      <c r="P2784" s="62" t="str">
        <f t="shared" si="5569"/>
        <v/>
      </c>
      <c r="Q2784" s="62" t="str">
        <f t="shared" si="5569"/>
        <v/>
      </c>
      <c r="R2784" s="62">
        <f t="shared" si="7"/>
        <v>0</v>
      </c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</row>
    <row r="2785" hidden="1">
      <c r="A2785" s="60"/>
      <c r="B2785" s="60"/>
      <c r="C2785" s="60"/>
      <c r="D2785" s="60"/>
      <c r="E2785" s="62" t="str">
        <f t="shared" si="5153"/>
        <v/>
      </c>
      <c r="F2785" s="62" t="str">
        <f t="shared" ref="F2785:G2785" si="5570">IF(isblank(F$1),,IF(isblank($A2785),,IFERROR(vlookup($A2785,indirect("'TVC-"&amp;text(month(F$1),"00")&amp;"'!$A:$D"),4,false),1)))</f>
        <v/>
      </c>
      <c r="G2785" s="62" t="str">
        <f t="shared" si="5570"/>
        <v/>
      </c>
      <c r="H2785" s="62">
        <f t="shared" ref="H2785:Q2785" si="5571">IF(isblank(H$1),,IFERROR(vlookup($A2785,indirect("'TVC-"&amp;text(month(H$1),"00")&amp;"'!$A:$D"),4,false),1))</f>
        <v>1</v>
      </c>
      <c r="I2785" s="62">
        <f t="shared" si="5571"/>
        <v>1</v>
      </c>
      <c r="J2785" s="62">
        <f t="shared" si="5571"/>
        <v>1</v>
      </c>
      <c r="K2785" s="62">
        <f t="shared" si="5571"/>
        <v>1</v>
      </c>
      <c r="L2785" s="62">
        <f t="shared" si="5571"/>
        <v>1</v>
      </c>
      <c r="M2785" s="62">
        <f t="shared" si="5571"/>
        <v>1</v>
      </c>
      <c r="N2785" s="62">
        <f t="shared" si="5571"/>
        <v>1</v>
      </c>
      <c r="O2785" s="62">
        <f t="shared" si="5571"/>
        <v>1</v>
      </c>
      <c r="P2785" s="62" t="str">
        <f t="shared" si="5571"/>
        <v/>
      </c>
      <c r="Q2785" s="62" t="str">
        <f t="shared" si="5571"/>
        <v/>
      </c>
      <c r="R2785" s="62">
        <f t="shared" si="7"/>
        <v>0</v>
      </c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</row>
    <row r="2786" hidden="1">
      <c r="A2786" s="60"/>
      <c r="B2786" s="60"/>
      <c r="C2786" s="60"/>
      <c r="D2786" s="60"/>
      <c r="E2786" s="62" t="str">
        <f t="shared" si="5153"/>
        <v/>
      </c>
      <c r="F2786" s="62" t="str">
        <f t="shared" ref="F2786:G2786" si="5572">IF(isblank(F$1),,IF(isblank($A2786),,IFERROR(vlookup($A2786,indirect("'TVC-"&amp;text(month(F$1),"00")&amp;"'!$A:$D"),4,false),1)))</f>
        <v/>
      </c>
      <c r="G2786" s="62" t="str">
        <f t="shared" si="5572"/>
        <v/>
      </c>
      <c r="H2786" s="62">
        <f t="shared" ref="H2786:Q2786" si="5573">IF(isblank(H$1),,IFERROR(vlookup($A2786,indirect("'TVC-"&amp;text(month(H$1),"00")&amp;"'!$A:$D"),4,false),1))</f>
        <v>1</v>
      </c>
      <c r="I2786" s="62">
        <f t="shared" si="5573"/>
        <v>1</v>
      </c>
      <c r="J2786" s="62">
        <f t="shared" si="5573"/>
        <v>1</v>
      </c>
      <c r="K2786" s="62">
        <f t="shared" si="5573"/>
        <v>1</v>
      </c>
      <c r="L2786" s="62">
        <f t="shared" si="5573"/>
        <v>1</v>
      </c>
      <c r="M2786" s="62">
        <f t="shared" si="5573"/>
        <v>1</v>
      </c>
      <c r="N2786" s="62">
        <f t="shared" si="5573"/>
        <v>1</v>
      </c>
      <c r="O2786" s="62">
        <f t="shared" si="5573"/>
        <v>1</v>
      </c>
      <c r="P2786" s="62" t="str">
        <f t="shared" si="5573"/>
        <v/>
      </c>
      <c r="Q2786" s="62" t="str">
        <f t="shared" si="5573"/>
        <v/>
      </c>
      <c r="R2786" s="62">
        <f t="shared" si="7"/>
        <v>0</v>
      </c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</row>
    <row r="2787" hidden="1">
      <c r="A2787" s="60"/>
      <c r="B2787" s="60"/>
      <c r="C2787" s="60"/>
      <c r="D2787" s="60"/>
      <c r="E2787" s="62" t="str">
        <f t="shared" si="5153"/>
        <v/>
      </c>
      <c r="F2787" s="62" t="str">
        <f t="shared" ref="F2787:G2787" si="5574">IF(isblank(F$1),,IF(isblank($A2787),,IFERROR(vlookup($A2787,indirect("'TVC-"&amp;text(month(F$1),"00")&amp;"'!$A:$D"),4,false),1)))</f>
        <v/>
      </c>
      <c r="G2787" s="62" t="str">
        <f t="shared" si="5574"/>
        <v/>
      </c>
      <c r="H2787" s="62">
        <f t="shared" ref="H2787:Q2787" si="5575">IF(isblank(H$1),,IFERROR(vlookup($A2787,indirect("'TVC-"&amp;text(month(H$1),"00")&amp;"'!$A:$D"),4,false),1))</f>
        <v>1</v>
      </c>
      <c r="I2787" s="62">
        <f t="shared" si="5575"/>
        <v>1</v>
      </c>
      <c r="J2787" s="62">
        <f t="shared" si="5575"/>
        <v>1</v>
      </c>
      <c r="K2787" s="62">
        <f t="shared" si="5575"/>
        <v>1</v>
      </c>
      <c r="L2787" s="62">
        <f t="shared" si="5575"/>
        <v>1</v>
      </c>
      <c r="M2787" s="62">
        <f t="shared" si="5575"/>
        <v>1</v>
      </c>
      <c r="N2787" s="62">
        <f t="shared" si="5575"/>
        <v>1</v>
      </c>
      <c r="O2787" s="62">
        <f t="shared" si="5575"/>
        <v>1</v>
      </c>
      <c r="P2787" s="62" t="str">
        <f t="shared" si="5575"/>
        <v/>
      </c>
      <c r="Q2787" s="62" t="str">
        <f t="shared" si="5575"/>
        <v/>
      </c>
      <c r="R2787" s="62">
        <f t="shared" si="7"/>
        <v>0</v>
      </c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</row>
    <row r="2788" hidden="1">
      <c r="A2788" s="60"/>
      <c r="B2788" s="60"/>
      <c r="C2788" s="60"/>
      <c r="D2788" s="60"/>
      <c r="E2788" s="62" t="str">
        <f t="shared" si="5153"/>
        <v/>
      </c>
      <c r="F2788" s="62" t="str">
        <f t="shared" ref="F2788:G2788" si="5576">IF(isblank(F$1),,IF(isblank($A2788),,IFERROR(vlookup($A2788,indirect("'TVC-"&amp;text(month(F$1),"00")&amp;"'!$A:$D"),4,false),1)))</f>
        <v/>
      </c>
      <c r="G2788" s="62" t="str">
        <f t="shared" si="5576"/>
        <v/>
      </c>
      <c r="H2788" s="62">
        <f t="shared" ref="H2788:Q2788" si="5577">IF(isblank(H$1),,IFERROR(vlookup($A2788,indirect("'TVC-"&amp;text(month(H$1),"00")&amp;"'!$A:$D"),4,false),1))</f>
        <v>1</v>
      </c>
      <c r="I2788" s="62">
        <f t="shared" si="5577"/>
        <v>1</v>
      </c>
      <c r="J2788" s="62">
        <f t="shared" si="5577"/>
        <v>1</v>
      </c>
      <c r="K2788" s="62">
        <f t="shared" si="5577"/>
        <v>1</v>
      </c>
      <c r="L2788" s="62">
        <f t="shared" si="5577"/>
        <v>1</v>
      </c>
      <c r="M2788" s="62">
        <f t="shared" si="5577"/>
        <v>1</v>
      </c>
      <c r="N2788" s="62">
        <f t="shared" si="5577"/>
        <v>1</v>
      </c>
      <c r="O2788" s="62">
        <f t="shared" si="5577"/>
        <v>1</v>
      </c>
      <c r="P2788" s="62" t="str">
        <f t="shared" si="5577"/>
        <v/>
      </c>
      <c r="Q2788" s="62" t="str">
        <f t="shared" si="5577"/>
        <v/>
      </c>
      <c r="R2788" s="62">
        <f t="shared" si="7"/>
        <v>0</v>
      </c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</row>
    <row r="2789" hidden="1">
      <c r="A2789" s="60"/>
      <c r="B2789" s="60"/>
      <c r="C2789" s="60"/>
      <c r="D2789" s="60"/>
      <c r="E2789" s="62" t="str">
        <f t="shared" si="5153"/>
        <v/>
      </c>
      <c r="F2789" s="62" t="str">
        <f t="shared" ref="F2789:G2789" si="5578">IF(isblank(F$1),,IF(isblank($A2789),,IFERROR(vlookup($A2789,indirect("'TVC-"&amp;text(month(F$1),"00")&amp;"'!$A:$D"),4,false),1)))</f>
        <v/>
      </c>
      <c r="G2789" s="62" t="str">
        <f t="shared" si="5578"/>
        <v/>
      </c>
      <c r="H2789" s="62">
        <f t="shared" ref="H2789:Q2789" si="5579">IF(isblank(H$1),,IFERROR(vlookup($A2789,indirect("'TVC-"&amp;text(month(H$1),"00")&amp;"'!$A:$D"),4,false),1))</f>
        <v>1</v>
      </c>
      <c r="I2789" s="62">
        <f t="shared" si="5579"/>
        <v>1</v>
      </c>
      <c r="J2789" s="62">
        <f t="shared" si="5579"/>
        <v>1</v>
      </c>
      <c r="K2789" s="62">
        <f t="shared" si="5579"/>
        <v>1</v>
      </c>
      <c r="L2789" s="62">
        <f t="shared" si="5579"/>
        <v>1</v>
      </c>
      <c r="M2789" s="62">
        <f t="shared" si="5579"/>
        <v>1</v>
      </c>
      <c r="N2789" s="62">
        <f t="shared" si="5579"/>
        <v>1</v>
      </c>
      <c r="O2789" s="62">
        <f t="shared" si="5579"/>
        <v>1</v>
      </c>
      <c r="P2789" s="62" t="str">
        <f t="shared" si="5579"/>
        <v/>
      </c>
      <c r="Q2789" s="62" t="str">
        <f t="shared" si="5579"/>
        <v/>
      </c>
      <c r="R2789" s="62">
        <f t="shared" si="7"/>
        <v>0</v>
      </c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</row>
    <row r="2790" hidden="1">
      <c r="A2790" s="60"/>
      <c r="B2790" s="60"/>
      <c r="C2790" s="60"/>
      <c r="D2790" s="60"/>
      <c r="E2790" s="62" t="str">
        <f t="shared" si="5153"/>
        <v/>
      </c>
      <c r="F2790" s="62" t="str">
        <f t="shared" ref="F2790:G2790" si="5580">IF(isblank(F$1),,IF(isblank($A2790),,IFERROR(vlookup($A2790,indirect("'TVC-"&amp;text(month(F$1),"00")&amp;"'!$A:$D"),4,false),1)))</f>
        <v/>
      </c>
      <c r="G2790" s="62" t="str">
        <f t="shared" si="5580"/>
        <v/>
      </c>
      <c r="H2790" s="62">
        <f t="shared" ref="H2790:Q2790" si="5581">IF(isblank(H$1),,IFERROR(vlookup($A2790,indirect("'TVC-"&amp;text(month(H$1),"00")&amp;"'!$A:$D"),4,false),1))</f>
        <v>1</v>
      </c>
      <c r="I2790" s="62">
        <f t="shared" si="5581"/>
        <v>1</v>
      </c>
      <c r="J2790" s="62">
        <f t="shared" si="5581"/>
        <v>1</v>
      </c>
      <c r="K2790" s="62">
        <f t="shared" si="5581"/>
        <v>1</v>
      </c>
      <c r="L2790" s="62">
        <f t="shared" si="5581"/>
        <v>1</v>
      </c>
      <c r="M2790" s="62">
        <f t="shared" si="5581"/>
        <v>1</v>
      </c>
      <c r="N2790" s="62">
        <f t="shared" si="5581"/>
        <v>1</v>
      </c>
      <c r="O2790" s="62">
        <f t="shared" si="5581"/>
        <v>1</v>
      </c>
      <c r="P2790" s="62" t="str">
        <f t="shared" si="5581"/>
        <v/>
      </c>
      <c r="Q2790" s="62" t="str">
        <f t="shared" si="5581"/>
        <v/>
      </c>
      <c r="R2790" s="62">
        <f t="shared" si="7"/>
        <v>0</v>
      </c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</row>
    <row r="2791" hidden="1">
      <c r="A2791" s="60"/>
      <c r="B2791" s="60"/>
      <c r="C2791" s="60"/>
      <c r="D2791" s="60"/>
      <c r="E2791" s="62" t="str">
        <f t="shared" si="5153"/>
        <v/>
      </c>
      <c r="F2791" s="62" t="str">
        <f t="shared" ref="F2791:G2791" si="5582">IF(isblank(F$1),,IF(isblank($A2791),,IFERROR(vlookup($A2791,indirect("'TVC-"&amp;text(month(F$1),"00")&amp;"'!$A:$D"),4,false),1)))</f>
        <v/>
      </c>
      <c r="G2791" s="62" t="str">
        <f t="shared" si="5582"/>
        <v/>
      </c>
      <c r="H2791" s="62">
        <f t="shared" ref="H2791:Q2791" si="5583">IF(isblank(H$1),,IFERROR(vlookup($A2791,indirect("'TVC-"&amp;text(month(H$1),"00")&amp;"'!$A:$D"),4,false),1))</f>
        <v>1</v>
      </c>
      <c r="I2791" s="62">
        <f t="shared" si="5583"/>
        <v>1</v>
      </c>
      <c r="J2791" s="62">
        <f t="shared" si="5583"/>
        <v>1</v>
      </c>
      <c r="K2791" s="62">
        <f t="shared" si="5583"/>
        <v>1</v>
      </c>
      <c r="L2791" s="62">
        <f t="shared" si="5583"/>
        <v>1</v>
      </c>
      <c r="M2791" s="62">
        <f t="shared" si="5583"/>
        <v>1</v>
      </c>
      <c r="N2791" s="62">
        <f t="shared" si="5583"/>
        <v>1</v>
      </c>
      <c r="O2791" s="62">
        <f t="shared" si="5583"/>
        <v>1</v>
      </c>
      <c r="P2791" s="62" t="str">
        <f t="shared" si="5583"/>
        <v/>
      </c>
      <c r="Q2791" s="62" t="str">
        <f t="shared" si="5583"/>
        <v/>
      </c>
      <c r="R2791" s="62">
        <f t="shared" si="7"/>
        <v>0</v>
      </c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</row>
    <row r="2792" hidden="1">
      <c r="A2792" s="60"/>
      <c r="B2792" s="60"/>
      <c r="C2792" s="60"/>
      <c r="D2792" s="60"/>
      <c r="E2792" s="62" t="str">
        <f t="shared" si="5153"/>
        <v/>
      </c>
      <c r="F2792" s="62" t="str">
        <f t="shared" ref="F2792:G2792" si="5584">IF(isblank(F$1),,IF(isblank($A2792),,IFERROR(vlookup($A2792,indirect("'TVC-"&amp;text(month(F$1),"00")&amp;"'!$A:$D"),4,false),1)))</f>
        <v/>
      </c>
      <c r="G2792" s="62" t="str">
        <f t="shared" si="5584"/>
        <v/>
      </c>
      <c r="H2792" s="62">
        <f t="shared" ref="H2792:Q2792" si="5585">IF(isblank(H$1),,IFERROR(vlookup($A2792,indirect("'TVC-"&amp;text(month(H$1),"00")&amp;"'!$A:$D"),4,false),1))</f>
        <v>1</v>
      </c>
      <c r="I2792" s="62">
        <f t="shared" si="5585"/>
        <v>1</v>
      </c>
      <c r="J2792" s="62">
        <f t="shared" si="5585"/>
        <v>1</v>
      </c>
      <c r="K2792" s="62">
        <f t="shared" si="5585"/>
        <v>1</v>
      </c>
      <c r="L2792" s="62">
        <f t="shared" si="5585"/>
        <v>1</v>
      </c>
      <c r="M2792" s="62">
        <f t="shared" si="5585"/>
        <v>1</v>
      </c>
      <c r="N2792" s="62">
        <f t="shared" si="5585"/>
        <v>1</v>
      </c>
      <c r="O2792" s="62">
        <f t="shared" si="5585"/>
        <v>1</v>
      </c>
      <c r="P2792" s="62" t="str">
        <f t="shared" si="5585"/>
        <v/>
      </c>
      <c r="Q2792" s="62" t="str">
        <f t="shared" si="5585"/>
        <v/>
      </c>
      <c r="R2792" s="62">
        <f t="shared" si="7"/>
        <v>0</v>
      </c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</row>
    <row r="2793" hidden="1">
      <c r="A2793" s="60"/>
      <c r="B2793" s="60"/>
      <c r="C2793" s="60"/>
      <c r="D2793" s="60"/>
      <c r="E2793" s="62" t="str">
        <f t="shared" si="5153"/>
        <v/>
      </c>
      <c r="F2793" s="62" t="str">
        <f t="shared" ref="F2793:G2793" si="5586">IF(isblank(F$1),,IF(isblank($A2793),,IFERROR(vlookup($A2793,indirect("'TVC-"&amp;text(month(F$1),"00")&amp;"'!$A:$D"),4,false),1)))</f>
        <v/>
      </c>
      <c r="G2793" s="62" t="str">
        <f t="shared" si="5586"/>
        <v/>
      </c>
      <c r="H2793" s="62">
        <f t="shared" ref="H2793:Q2793" si="5587">IF(isblank(H$1),,IFERROR(vlookup($A2793,indirect("'TVC-"&amp;text(month(H$1),"00")&amp;"'!$A:$D"),4,false),1))</f>
        <v>1</v>
      </c>
      <c r="I2793" s="62">
        <f t="shared" si="5587"/>
        <v>1</v>
      </c>
      <c r="J2793" s="62">
        <f t="shared" si="5587"/>
        <v>1</v>
      </c>
      <c r="K2793" s="62">
        <f t="shared" si="5587"/>
        <v>1</v>
      </c>
      <c r="L2793" s="62">
        <f t="shared" si="5587"/>
        <v>1</v>
      </c>
      <c r="M2793" s="62">
        <f t="shared" si="5587"/>
        <v>1</v>
      </c>
      <c r="N2793" s="62">
        <f t="shared" si="5587"/>
        <v>1</v>
      </c>
      <c r="O2793" s="62">
        <f t="shared" si="5587"/>
        <v>1</v>
      </c>
      <c r="P2793" s="62" t="str">
        <f t="shared" si="5587"/>
        <v/>
      </c>
      <c r="Q2793" s="62" t="str">
        <f t="shared" si="5587"/>
        <v/>
      </c>
      <c r="R2793" s="62">
        <f t="shared" si="7"/>
        <v>0</v>
      </c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</row>
    <row r="2794" hidden="1">
      <c r="A2794" s="60"/>
      <c r="B2794" s="60"/>
      <c r="C2794" s="60"/>
      <c r="D2794" s="60"/>
      <c r="E2794" s="62" t="str">
        <f t="shared" si="5153"/>
        <v/>
      </c>
      <c r="F2794" s="62" t="str">
        <f t="shared" ref="F2794:G2794" si="5588">IF(isblank(F$1),,IF(isblank($A2794),,IFERROR(vlookup($A2794,indirect("'TVC-"&amp;text(month(F$1),"00")&amp;"'!$A:$D"),4,false),1)))</f>
        <v/>
      </c>
      <c r="G2794" s="62" t="str">
        <f t="shared" si="5588"/>
        <v/>
      </c>
      <c r="H2794" s="62">
        <f t="shared" ref="H2794:Q2794" si="5589">IF(isblank(H$1),,IFERROR(vlookup($A2794,indirect("'TVC-"&amp;text(month(H$1),"00")&amp;"'!$A:$D"),4,false),1))</f>
        <v>1</v>
      </c>
      <c r="I2794" s="62">
        <f t="shared" si="5589"/>
        <v>1</v>
      </c>
      <c r="J2794" s="62">
        <f t="shared" si="5589"/>
        <v>1</v>
      </c>
      <c r="K2794" s="62">
        <f t="shared" si="5589"/>
        <v>1</v>
      </c>
      <c r="L2794" s="62">
        <f t="shared" si="5589"/>
        <v>1</v>
      </c>
      <c r="M2794" s="62">
        <f t="shared" si="5589"/>
        <v>1</v>
      </c>
      <c r="N2794" s="62">
        <f t="shared" si="5589"/>
        <v>1</v>
      </c>
      <c r="O2794" s="62">
        <f t="shared" si="5589"/>
        <v>1</v>
      </c>
      <c r="P2794" s="62" t="str">
        <f t="shared" si="5589"/>
        <v/>
      </c>
      <c r="Q2794" s="62" t="str">
        <f t="shared" si="5589"/>
        <v/>
      </c>
      <c r="R2794" s="62">
        <f t="shared" si="7"/>
        <v>0</v>
      </c>
      <c r="S2794" s="62"/>
      <c r="T2794" s="62"/>
      <c r="U2794" s="62"/>
      <c r="V2794" s="62"/>
      <c r="W2794" s="62"/>
      <c r="X2794" s="62"/>
      <c r="Y2794" s="62"/>
      <c r="Z2794" s="62"/>
      <c r="AA2794" s="62"/>
      <c r="AB2794" s="62"/>
      <c r="AC2794" s="62"/>
    </row>
    <row r="2795" hidden="1">
      <c r="A2795" s="60"/>
      <c r="B2795" s="60"/>
      <c r="C2795" s="60"/>
      <c r="D2795" s="60"/>
      <c r="E2795" s="62" t="str">
        <f t="shared" si="5153"/>
        <v/>
      </c>
      <c r="F2795" s="62" t="str">
        <f t="shared" ref="F2795:G2795" si="5590">IF(isblank(F$1),,IF(isblank($A2795),,IFERROR(vlookup($A2795,indirect("'TVC-"&amp;text(month(F$1),"00")&amp;"'!$A:$D"),4,false),1)))</f>
        <v/>
      </c>
      <c r="G2795" s="62" t="str">
        <f t="shared" si="5590"/>
        <v/>
      </c>
      <c r="H2795" s="62">
        <f t="shared" ref="H2795:Q2795" si="5591">IF(isblank(H$1),,IFERROR(vlookup($A2795,indirect("'TVC-"&amp;text(month(H$1),"00")&amp;"'!$A:$D"),4,false),1))</f>
        <v>1</v>
      </c>
      <c r="I2795" s="62">
        <f t="shared" si="5591"/>
        <v>1</v>
      </c>
      <c r="J2795" s="62">
        <f t="shared" si="5591"/>
        <v>1</v>
      </c>
      <c r="K2795" s="62">
        <f t="shared" si="5591"/>
        <v>1</v>
      </c>
      <c r="L2795" s="62">
        <f t="shared" si="5591"/>
        <v>1</v>
      </c>
      <c r="M2795" s="62">
        <f t="shared" si="5591"/>
        <v>1</v>
      </c>
      <c r="N2795" s="62">
        <f t="shared" si="5591"/>
        <v>1</v>
      </c>
      <c r="O2795" s="62">
        <f t="shared" si="5591"/>
        <v>1</v>
      </c>
      <c r="P2795" s="62" t="str">
        <f t="shared" si="5591"/>
        <v/>
      </c>
      <c r="Q2795" s="62" t="str">
        <f t="shared" si="5591"/>
        <v/>
      </c>
      <c r="R2795" s="62">
        <f t="shared" si="7"/>
        <v>0</v>
      </c>
      <c r="S2795" s="62"/>
      <c r="T2795" s="62"/>
      <c r="U2795" s="62"/>
      <c r="V2795" s="62"/>
      <c r="W2795" s="62"/>
      <c r="X2795" s="62"/>
      <c r="Y2795" s="62"/>
      <c r="Z2795" s="62"/>
      <c r="AA2795" s="62"/>
      <c r="AB2795" s="62"/>
      <c r="AC2795" s="62"/>
    </row>
    <row r="2796" hidden="1">
      <c r="A2796" s="60"/>
      <c r="B2796" s="60"/>
      <c r="C2796" s="60"/>
      <c r="D2796" s="60"/>
      <c r="E2796" s="62" t="str">
        <f t="shared" si="5153"/>
        <v/>
      </c>
      <c r="F2796" s="62" t="str">
        <f t="shared" ref="F2796:G2796" si="5592">IF(isblank(F$1),,IF(isblank($A2796),,IFERROR(vlookup($A2796,indirect("'TVC-"&amp;text(month(F$1),"00")&amp;"'!$A:$D"),4,false),1)))</f>
        <v/>
      </c>
      <c r="G2796" s="62" t="str">
        <f t="shared" si="5592"/>
        <v/>
      </c>
      <c r="H2796" s="62">
        <f t="shared" ref="H2796:Q2796" si="5593">IF(isblank(H$1),,IFERROR(vlookup($A2796,indirect("'TVC-"&amp;text(month(H$1),"00")&amp;"'!$A:$D"),4,false),1))</f>
        <v>1</v>
      </c>
      <c r="I2796" s="62">
        <f t="shared" si="5593"/>
        <v>1</v>
      </c>
      <c r="J2796" s="62">
        <f t="shared" si="5593"/>
        <v>1</v>
      </c>
      <c r="K2796" s="62">
        <f t="shared" si="5593"/>
        <v>1</v>
      </c>
      <c r="L2796" s="62">
        <f t="shared" si="5593"/>
        <v>1</v>
      </c>
      <c r="M2796" s="62">
        <f t="shared" si="5593"/>
        <v>1</v>
      </c>
      <c r="N2796" s="62">
        <f t="shared" si="5593"/>
        <v>1</v>
      </c>
      <c r="O2796" s="62">
        <f t="shared" si="5593"/>
        <v>1</v>
      </c>
      <c r="P2796" s="62" t="str">
        <f t="shared" si="5593"/>
        <v/>
      </c>
      <c r="Q2796" s="62" t="str">
        <f t="shared" si="5593"/>
        <v/>
      </c>
      <c r="R2796" s="62">
        <f t="shared" si="7"/>
        <v>0</v>
      </c>
      <c r="S2796" s="62"/>
      <c r="T2796" s="62"/>
      <c r="U2796" s="62"/>
      <c r="V2796" s="62"/>
      <c r="W2796" s="62"/>
      <c r="X2796" s="62"/>
      <c r="Y2796" s="62"/>
      <c r="Z2796" s="62"/>
      <c r="AA2796" s="62"/>
      <c r="AB2796" s="62"/>
      <c r="AC2796" s="62"/>
    </row>
    <row r="2797" hidden="1">
      <c r="A2797" s="60"/>
      <c r="B2797" s="60"/>
      <c r="C2797" s="60"/>
      <c r="D2797" s="60"/>
      <c r="E2797" s="62" t="str">
        <f t="shared" si="5153"/>
        <v/>
      </c>
      <c r="F2797" s="62" t="str">
        <f t="shared" ref="F2797:G2797" si="5594">IF(isblank(F$1),,IF(isblank($A2797),,IFERROR(vlookup($A2797,indirect("'TVC-"&amp;text(month(F$1),"00")&amp;"'!$A:$D"),4,false),1)))</f>
        <v/>
      </c>
      <c r="G2797" s="62" t="str">
        <f t="shared" si="5594"/>
        <v/>
      </c>
      <c r="H2797" s="62">
        <f t="shared" ref="H2797:Q2797" si="5595">IF(isblank(H$1),,IFERROR(vlookup($A2797,indirect("'TVC-"&amp;text(month(H$1),"00")&amp;"'!$A:$D"),4,false),1))</f>
        <v>1</v>
      </c>
      <c r="I2797" s="62">
        <f t="shared" si="5595"/>
        <v>1</v>
      </c>
      <c r="J2797" s="62">
        <f t="shared" si="5595"/>
        <v>1</v>
      </c>
      <c r="K2797" s="62">
        <f t="shared" si="5595"/>
        <v>1</v>
      </c>
      <c r="L2797" s="62">
        <f t="shared" si="5595"/>
        <v>1</v>
      </c>
      <c r="M2797" s="62">
        <f t="shared" si="5595"/>
        <v>1</v>
      </c>
      <c r="N2797" s="62">
        <f t="shared" si="5595"/>
        <v>1</v>
      </c>
      <c r="O2797" s="62">
        <f t="shared" si="5595"/>
        <v>1</v>
      </c>
      <c r="P2797" s="62" t="str">
        <f t="shared" si="5595"/>
        <v/>
      </c>
      <c r="Q2797" s="62" t="str">
        <f t="shared" si="5595"/>
        <v/>
      </c>
      <c r="R2797" s="62">
        <f t="shared" si="7"/>
        <v>0</v>
      </c>
      <c r="S2797" s="62"/>
      <c r="T2797" s="62"/>
      <c r="U2797" s="62"/>
      <c r="V2797" s="62"/>
      <c r="W2797" s="62"/>
      <c r="X2797" s="62"/>
      <c r="Y2797" s="62"/>
      <c r="Z2797" s="62"/>
      <c r="AA2797" s="62"/>
      <c r="AB2797" s="62"/>
      <c r="AC2797" s="62"/>
    </row>
    <row r="2798" hidden="1">
      <c r="A2798" s="60"/>
      <c r="B2798" s="60"/>
      <c r="C2798" s="60"/>
      <c r="D2798" s="60"/>
      <c r="E2798" s="62" t="str">
        <f t="shared" si="5153"/>
        <v/>
      </c>
      <c r="F2798" s="62" t="str">
        <f t="shared" ref="F2798:G2798" si="5596">IF(isblank(F$1),,IF(isblank($A2798),,IFERROR(vlookup($A2798,indirect("'TVC-"&amp;text(month(F$1),"00")&amp;"'!$A:$D"),4,false),1)))</f>
        <v/>
      </c>
      <c r="G2798" s="62" t="str">
        <f t="shared" si="5596"/>
        <v/>
      </c>
      <c r="H2798" s="62">
        <f t="shared" ref="H2798:Q2798" si="5597">IF(isblank(H$1),,IFERROR(vlookup($A2798,indirect("'TVC-"&amp;text(month(H$1),"00")&amp;"'!$A:$D"),4,false),1))</f>
        <v>1</v>
      </c>
      <c r="I2798" s="62">
        <f t="shared" si="5597"/>
        <v>1</v>
      </c>
      <c r="J2798" s="62">
        <f t="shared" si="5597"/>
        <v>1</v>
      </c>
      <c r="K2798" s="62">
        <f t="shared" si="5597"/>
        <v>1</v>
      </c>
      <c r="L2798" s="62">
        <f t="shared" si="5597"/>
        <v>1</v>
      </c>
      <c r="M2798" s="62">
        <f t="shared" si="5597"/>
        <v>1</v>
      </c>
      <c r="N2798" s="62">
        <f t="shared" si="5597"/>
        <v>1</v>
      </c>
      <c r="O2798" s="62">
        <f t="shared" si="5597"/>
        <v>1</v>
      </c>
      <c r="P2798" s="62" t="str">
        <f t="shared" si="5597"/>
        <v/>
      </c>
      <c r="Q2798" s="62" t="str">
        <f t="shared" si="5597"/>
        <v/>
      </c>
      <c r="R2798" s="62">
        <f t="shared" si="7"/>
        <v>0</v>
      </c>
      <c r="S2798" s="62"/>
      <c r="T2798" s="62"/>
      <c r="U2798" s="62"/>
      <c r="V2798" s="62"/>
      <c r="W2798" s="62"/>
      <c r="X2798" s="62"/>
      <c r="Y2798" s="62"/>
      <c r="Z2798" s="62"/>
      <c r="AA2798" s="62"/>
      <c r="AB2798" s="62"/>
      <c r="AC2798" s="62"/>
    </row>
    <row r="2799" hidden="1">
      <c r="A2799" s="60"/>
      <c r="B2799" s="60"/>
      <c r="C2799" s="60"/>
      <c r="D2799" s="60"/>
      <c r="E2799" s="62" t="str">
        <f t="shared" si="5153"/>
        <v/>
      </c>
      <c r="F2799" s="62" t="str">
        <f t="shared" ref="F2799:G2799" si="5598">IF(isblank(F$1),,IF(isblank($A2799),,IFERROR(vlookup($A2799,indirect("'TVC-"&amp;text(month(F$1),"00")&amp;"'!$A:$D"),4,false),1)))</f>
        <v/>
      </c>
      <c r="G2799" s="62" t="str">
        <f t="shared" si="5598"/>
        <v/>
      </c>
      <c r="H2799" s="62">
        <f t="shared" ref="H2799:Q2799" si="5599">IF(isblank(H$1),,IFERROR(vlookup($A2799,indirect("'TVC-"&amp;text(month(H$1),"00")&amp;"'!$A:$D"),4,false),1))</f>
        <v>1</v>
      </c>
      <c r="I2799" s="62">
        <f t="shared" si="5599"/>
        <v>1</v>
      </c>
      <c r="J2799" s="62">
        <f t="shared" si="5599"/>
        <v>1</v>
      </c>
      <c r="K2799" s="62">
        <f t="shared" si="5599"/>
        <v>1</v>
      </c>
      <c r="L2799" s="62">
        <f t="shared" si="5599"/>
        <v>1</v>
      </c>
      <c r="M2799" s="62">
        <f t="shared" si="5599"/>
        <v>1</v>
      </c>
      <c r="N2799" s="62">
        <f t="shared" si="5599"/>
        <v>1</v>
      </c>
      <c r="O2799" s="62">
        <f t="shared" si="5599"/>
        <v>1</v>
      </c>
      <c r="P2799" s="62" t="str">
        <f t="shared" si="5599"/>
        <v/>
      </c>
      <c r="Q2799" s="62" t="str">
        <f t="shared" si="5599"/>
        <v/>
      </c>
      <c r="R2799" s="62">
        <f t="shared" si="7"/>
        <v>0</v>
      </c>
      <c r="S2799" s="62"/>
      <c r="T2799" s="62"/>
      <c r="U2799" s="62"/>
      <c r="V2799" s="62"/>
      <c r="W2799" s="62"/>
      <c r="X2799" s="62"/>
      <c r="Y2799" s="62"/>
      <c r="Z2799" s="62"/>
      <c r="AA2799" s="62"/>
      <c r="AB2799" s="62"/>
      <c r="AC2799" s="62"/>
    </row>
    <row r="2800" hidden="1">
      <c r="A2800" s="60"/>
      <c r="B2800" s="60"/>
      <c r="C2800" s="60"/>
      <c r="D2800" s="60"/>
      <c r="E2800" s="62" t="str">
        <f t="shared" si="5153"/>
        <v/>
      </c>
      <c r="F2800" s="62" t="str">
        <f t="shared" ref="F2800:G2800" si="5600">IF(isblank(F$1),,IF(isblank($A2800),,IFERROR(vlookup($A2800,indirect("'TVC-"&amp;text(month(F$1),"00")&amp;"'!$A:$D"),4,false),1)))</f>
        <v/>
      </c>
      <c r="G2800" s="62" t="str">
        <f t="shared" si="5600"/>
        <v/>
      </c>
      <c r="H2800" s="62">
        <f t="shared" ref="H2800:Q2800" si="5601">IF(isblank(H$1),,IFERROR(vlookup($A2800,indirect("'TVC-"&amp;text(month(H$1),"00")&amp;"'!$A:$D"),4,false),1))</f>
        <v>1</v>
      </c>
      <c r="I2800" s="62">
        <f t="shared" si="5601"/>
        <v>1</v>
      </c>
      <c r="J2800" s="62">
        <f t="shared" si="5601"/>
        <v>1</v>
      </c>
      <c r="K2800" s="62">
        <f t="shared" si="5601"/>
        <v>1</v>
      </c>
      <c r="L2800" s="62">
        <f t="shared" si="5601"/>
        <v>1</v>
      </c>
      <c r="M2800" s="62">
        <f t="shared" si="5601"/>
        <v>1</v>
      </c>
      <c r="N2800" s="62">
        <f t="shared" si="5601"/>
        <v>1</v>
      </c>
      <c r="O2800" s="62">
        <f t="shared" si="5601"/>
        <v>1</v>
      </c>
      <c r="P2800" s="62" t="str">
        <f t="shared" si="5601"/>
        <v/>
      </c>
      <c r="Q2800" s="62" t="str">
        <f t="shared" si="5601"/>
        <v/>
      </c>
      <c r="R2800" s="62">
        <f t="shared" si="7"/>
        <v>0</v>
      </c>
      <c r="S2800" s="62"/>
      <c r="T2800" s="62"/>
      <c r="U2800" s="62"/>
      <c r="V2800" s="62"/>
      <c r="W2800" s="62"/>
      <c r="X2800" s="62"/>
      <c r="Y2800" s="62"/>
      <c r="Z2800" s="62"/>
      <c r="AA2800" s="62"/>
      <c r="AB2800" s="62"/>
      <c r="AC2800" s="62"/>
    </row>
    <row r="2801" hidden="1">
      <c r="A2801" s="60"/>
      <c r="B2801" s="60"/>
      <c r="C2801" s="60"/>
      <c r="D2801" s="60"/>
      <c r="E2801" s="62" t="str">
        <f t="shared" si="5153"/>
        <v/>
      </c>
      <c r="F2801" s="62" t="str">
        <f t="shared" ref="F2801:G2801" si="5602">IF(isblank(F$1),,IF(isblank($A2801),,IFERROR(vlookup($A2801,indirect("'TVC-"&amp;text(month(F$1),"00")&amp;"'!$A:$D"),4,false),1)))</f>
        <v/>
      </c>
      <c r="G2801" s="62" t="str">
        <f t="shared" si="5602"/>
        <v/>
      </c>
      <c r="H2801" s="62">
        <f t="shared" ref="H2801:Q2801" si="5603">IF(isblank(H$1),,IFERROR(vlookup($A2801,indirect("'TVC-"&amp;text(month(H$1),"00")&amp;"'!$A:$D"),4,false),1))</f>
        <v>1</v>
      </c>
      <c r="I2801" s="62">
        <f t="shared" si="5603"/>
        <v>1</v>
      </c>
      <c r="J2801" s="62">
        <f t="shared" si="5603"/>
        <v>1</v>
      </c>
      <c r="K2801" s="62">
        <f t="shared" si="5603"/>
        <v>1</v>
      </c>
      <c r="L2801" s="62">
        <f t="shared" si="5603"/>
        <v>1</v>
      </c>
      <c r="M2801" s="62">
        <f t="shared" si="5603"/>
        <v>1</v>
      </c>
      <c r="N2801" s="62">
        <f t="shared" si="5603"/>
        <v>1</v>
      </c>
      <c r="O2801" s="62">
        <f t="shared" si="5603"/>
        <v>1</v>
      </c>
      <c r="P2801" s="62" t="str">
        <f t="shared" si="5603"/>
        <v/>
      </c>
      <c r="Q2801" s="62" t="str">
        <f t="shared" si="5603"/>
        <v/>
      </c>
      <c r="R2801" s="62">
        <f t="shared" si="7"/>
        <v>0</v>
      </c>
      <c r="S2801" s="62"/>
      <c r="T2801" s="62"/>
      <c r="U2801" s="62"/>
      <c r="V2801" s="62"/>
      <c r="W2801" s="62"/>
      <c r="X2801" s="62"/>
      <c r="Y2801" s="62"/>
      <c r="Z2801" s="62"/>
      <c r="AA2801" s="62"/>
      <c r="AB2801" s="62"/>
      <c r="AC2801" s="62"/>
    </row>
    <row r="2802" hidden="1">
      <c r="A2802" s="60"/>
      <c r="B2802" s="60"/>
      <c r="C2802" s="60"/>
      <c r="D2802" s="60"/>
      <c r="E2802" s="62" t="str">
        <f t="shared" si="5153"/>
        <v/>
      </c>
      <c r="F2802" s="62" t="str">
        <f t="shared" ref="F2802:G2802" si="5604">IF(isblank(F$1),,IF(isblank($A2802),,IFERROR(vlookup($A2802,indirect("'TVC-"&amp;text(month(F$1),"00")&amp;"'!$A:$D"),4,false),1)))</f>
        <v/>
      </c>
      <c r="G2802" s="62" t="str">
        <f t="shared" si="5604"/>
        <v/>
      </c>
      <c r="H2802" s="62">
        <f t="shared" ref="H2802:Q2802" si="5605">IF(isblank(H$1),,IFERROR(vlookup($A2802,indirect("'TVC-"&amp;text(month(H$1),"00")&amp;"'!$A:$D"),4,false),1))</f>
        <v>1</v>
      </c>
      <c r="I2802" s="62">
        <f t="shared" si="5605"/>
        <v>1</v>
      </c>
      <c r="J2802" s="62">
        <f t="shared" si="5605"/>
        <v>1</v>
      </c>
      <c r="K2802" s="62">
        <f t="shared" si="5605"/>
        <v>1</v>
      </c>
      <c r="L2802" s="62">
        <f t="shared" si="5605"/>
        <v>1</v>
      </c>
      <c r="M2802" s="62">
        <f t="shared" si="5605"/>
        <v>1</v>
      </c>
      <c r="N2802" s="62">
        <f t="shared" si="5605"/>
        <v>1</v>
      </c>
      <c r="O2802" s="62">
        <f t="shared" si="5605"/>
        <v>1</v>
      </c>
      <c r="P2802" s="62" t="str">
        <f t="shared" si="5605"/>
        <v/>
      </c>
      <c r="Q2802" s="62" t="str">
        <f t="shared" si="5605"/>
        <v/>
      </c>
      <c r="R2802" s="62">
        <f t="shared" si="7"/>
        <v>0</v>
      </c>
      <c r="S2802" s="62"/>
      <c r="T2802" s="62"/>
      <c r="U2802" s="62"/>
      <c r="V2802" s="62"/>
      <c r="W2802" s="62"/>
      <c r="X2802" s="62"/>
      <c r="Y2802" s="62"/>
      <c r="Z2802" s="62"/>
      <c r="AA2802" s="62"/>
      <c r="AB2802" s="62"/>
      <c r="AC2802" s="62"/>
    </row>
    <row r="2803" hidden="1">
      <c r="A2803" s="60"/>
      <c r="B2803" s="60"/>
      <c r="C2803" s="60"/>
      <c r="D2803" s="60"/>
      <c r="E2803" s="62" t="str">
        <f t="shared" si="5153"/>
        <v/>
      </c>
      <c r="F2803" s="62" t="str">
        <f t="shared" ref="F2803:G2803" si="5606">IF(isblank(F$1),,IF(isblank($A2803),,IFERROR(vlookup($A2803,indirect("'TVC-"&amp;text(month(F$1),"00")&amp;"'!$A:$D"),4,false),1)))</f>
        <v/>
      </c>
      <c r="G2803" s="62" t="str">
        <f t="shared" si="5606"/>
        <v/>
      </c>
      <c r="H2803" s="62">
        <f t="shared" ref="H2803:Q2803" si="5607">IF(isblank(H$1),,IFERROR(vlookup($A2803,indirect("'TVC-"&amp;text(month(H$1),"00")&amp;"'!$A:$D"),4,false),1))</f>
        <v>1</v>
      </c>
      <c r="I2803" s="62">
        <f t="shared" si="5607"/>
        <v>1</v>
      </c>
      <c r="J2803" s="62">
        <f t="shared" si="5607"/>
        <v>1</v>
      </c>
      <c r="K2803" s="62">
        <f t="shared" si="5607"/>
        <v>1</v>
      </c>
      <c r="L2803" s="62">
        <f t="shared" si="5607"/>
        <v>1</v>
      </c>
      <c r="M2803" s="62">
        <f t="shared" si="5607"/>
        <v>1</v>
      </c>
      <c r="N2803" s="62">
        <f t="shared" si="5607"/>
        <v>1</v>
      </c>
      <c r="O2803" s="62">
        <f t="shared" si="5607"/>
        <v>1</v>
      </c>
      <c r="P2803" s="62" t="str">
        <f t="shared" si="5607"/>
        <v/>
      </c>
      <c r="Q2803" s="62" t="str">
        <f t="shared" si="5607"/>
        <v/>
      </c>
      <c r="R2803" s="62">
        <f t="shared" si="7"/>
        <v>0</v>
      </c>
      <c r="S2803" s="62"/>
      <c r="T2803" s="62"/>
      <c r="U2803" s="62"/>
      <c r="V2803" s="62"/>
      <c r="W2803" s="62"/>
      <c r="X2803" s="62"/>
      <c r="Y2803" s="62"/>
      <c r="Z2803" s="62"/>
      <c r="AA2803" s="62"/>
      <c r="AB2803" s="62"/>
      <c r="AC2803" s="62"/>
    </row>
    <row r="2804" hidden="1">
      <c r="A2804" s="60"/>
      <c r="B2804" s="60"/>
      <c r="C2804" s="60"/>
      <c r="D2804" s="60"/>
      <c r="E2804" s="62" t="str">
        <f t="shared" si="5153"/>
        <v/>
      </c>
      <c r="F2804" s="62" t="str">
        <f t="shared" ref="F2804:G2804" si="5608">IF(isblank(F$1),,IF(isblank($A2804),,IFERROR(vlookup($A2804,indirect("'TVC-"&amp;text(month(F$1),"00")&amp;"'!$A:$D"),4,false),1)))</f>
        <v/>
      </c>
      <c r="G2804" s="62" t="str">
        <f t="shared" si="5608"/>
        <v/>
      </c>
      <c r="H2804" s="62">
        <f t="shared" ref="H2804:Q2804" si="5609">IF(isblank(H$1),,IFERROR(vlookup($A2804,indirect("'TVC-"&amp;text(month(H$1),"00")&amp;"'!$A:$D"),4,false),1))</f>
        <v>1</v>
      </c>
      <c r="I2804" s="62">
        <f t="shared" si="5609"/>
        <v>1</v>
      </c>
      <c r="J2804" s="62">
        <f t="shared" si="5609"/>
        <v>1</v>
      </c>
      <c r="K2804" s="62">
        <f t="shared" si="5609"/>
        <v>1</v>
      </c>
      <c r="L2804" s="62">
        <f t="shared" si="5609"/>
        <v>1</v>
      </c>
      <c r="M2804" s="62">
        <f t="shared" si="5609"/>
        <v>1</v>
      </c>
      <c r="N2804" s="62">
        <f t="shared" si="5609"/>
        <v>1</v>
      </c>
      <c r="O2804" s="62">
        <f t="shared" si="5609"/>
        <v>1</v>
      </c>
      <c r="P2804" s="62" t="str">
        <f t="shared" si="5609"/>
        <v/>
      </c>
      <c r="Q2804" s="62" t="str">
        <f t="shared" si="5609"/>
        <v/>
      </c>
      <c r="R2804" s="62">
        <f t="shared" si="7"/>
        <v>0</v>
      </c>
      <c r="S2804" s="62"/>
      <c r="T2804" s="62"/>
      <c r="U2804" s="62"/>
      <c r="V2804" s="62"/>
      <c r="W2804" s="62"/>
      <c r="X2804" s="62"/>
      <c r="Y2804" s="62"/>
      <c r="Z2804" s="62"/>
      <c r="AA2804" s="62"/>
      <c r="AB2804" s="62"/>
      <c r="AC2804" s="62"/>
    </row>
    <row r="2805" hidden="1">
      <c r="A2805" s="60"/>
      <c r="B2805" s="60"/>
      <c r="C2805" s="60"/>
      <c r="D2805" s="60"/>
      <c r="E2805" s="62" t="str">
        <f t="shared" si="5153"/>
        <v/>
      </c>
      <c r="F2805" s="62" t="str">
        <f t="shared" ref="F2805:G2805" si="5610">IF(isblank(F$1),,IF(isblank($A2805),,IFERROR(vlookup($A2805,indirect("'TVC-"&amp;text(month(F$1),"00")&amp;"'!$A:$D"),4,false),1)))</f>
        <v/>
      </c>
      <c r="G2805" s="62" t="str">
        <f t="shared" si="5610"/>
        <v/>
      </c>
      <c r="H2805" s="62">
        <f t="shared" ref="H2805:Q2805" si="5611">IF(isblank(H$1),,IFERROR(vlookup($A2805,indirect("'TVC-"&amp;text(month(H$1),"00")&amp;"'!$A:$D"),4,false),1))</f>
        <v>1</v>
      </c>
      <c r="I2805" s="62">
        <f t="shared" si="5611"/>
        <v>1</v>
      </c>
      <c r="J2805" s="62">
        <f t="shared" si="5611"/>
        <v>1</v>
      </c>
      <c r="K2805" s="62">
        <f t="shared" si="5611"/>
        <v>1</v>
      </c>
      <c r="L2805" s="62">
        <f t="shared" si="5611"/>
        <v>1</v>
      </c>
      <c r="M2805" s="62">
        <f t="shared" si="5611"/>
        <v>1</v>
      </c>
      <c r="N2805" s="62">
        <f t="shared" si="5611"/>
        <v>1</v>
      </c>
      <c r="O2805" s="62">
        <f t="shared" si="5611"/>
        <v>1</v>
      </c>
      <c r="P2805" s="62" t="str">
        <f t="shared" si="5611"/>
        <v/>
      </c>
      <c r="Q2805" s="62" t="str">
        <f t="shared" si="5611"/>
        <v/>
      </c>
      <c r="R2805" s="62">
        <f t="shared" si="7"/>
        <v>0</v>
      </c>
      <c r="S2805" s="62"/>
      <c r="T2805" s="62"/>
      <c r="U2805" s="62"/>
      <c r="V2805" s="62"/>
      <c r="W2805" s="62"/>
      <c r="X2805" s="62"/>
      <c r="Y2805" s="62"/>
      <c r="Z2805" s="62"/>
      <c r="AA2805" s="62"/>
      <c r="AB2805" s="62"/>
      <c r="AC2805" s="62"/>
    </row>
    <row r="2806" hidden="1">
      <c r="A2806" s="60"/>
      <c r="B2806" s="60"/>
      <c r="C2806" s="60"/>
      <c r="D2806" s="60"/>
      <c r="E2806" s="62" t="str">
        <f t="shared" si="5153"/>
        <v/>
      </c>
      <c r="F2806" s="62" t="str">
        <f t="shared" ref="F2806:G2806" si="5612">IF(isblank(F$1),,IF(isblank($A2806),,IFERROR(vlookup($A2806,indirect("'TVC-"&amp;text(month(F$1),"00")&amp;"'!$A:$D"),4,false),1)))</f>
        <v/>
      </c>
      <c r="G2806" s="62" t="str">
        <f t="shared" si="5612"/>
        <v/>
      </c>
      <c r="H2806" s="62">
        <f t="shared" ref="H2806:Q2806" si="5613">IF(isblank(H$1),,IFERROR(vlookup($A2806,indirect("'TVC-"&amp;text(month(H$1),"00")&amp;"'!$A:$D"),4,false),1))</f>
        <v>1</v>
      </c>
      <c r="I2806" s="62">
        <f t="shared" si="5613"/>
        <v>1</v>
      </c>
      <c r="J2806" s="62">
        <f t="shared" si="5613"/>
        <v>1</v>
      </c>
      <c r="K2806" s="62">
        <f t="shared" si="5613"/>
        <v>1</v>
      </c>
      <c r="L2806" s="62">
        <f t="shared" si="5613"/>
        <v>1</v>
      </c>
      <c r="M2806" s="62">
        <f t="shared" si="5613"/>
        <v>1</v>
      </c>
      <c r="N2806" s="62">
        <f t="shared" si="5613"/>
        <v>1</v>
      </c>
      <c r="O2806" s="62">
        <f t="shared" si="5613"/>
        <v>1</v>
      </c>
      <c r="P2806" s="62" t="str">
        <f t="shared" si="5613"/>
        <v/>
      </c>
      <c r="Q2806" s="62" t="str">
        <f t="shared" si="5613"/>
        <v/>
      </c>
      <c r="R2806" s="62">
        <f t="shared" si="7"/>
        <v>0</v>
      </c>
      <c r="S2806" s="62"/>
      <c r="T2806" s="62"/>
      <c r="U2806" s="62"/>
      <c r="V2806" s="62"/>
      <c r="W2806" s="62"/>
      <c r="X2806" s="62"/>
      <c r="Y2806" s="62"/>
      <c r="Z2806" s="62"/>
      <c r="AA2806" s="62"/>
      <c r="AB2806" s="62"/>
      <c r="AC2806" s="62"/>
    </row>
    <row r="2807" hidden="1">
      <c r="A2807" s="60"/>
      <c r="B2807" s="60"/>
      <c r="C2807" s="60"/>
      <c r="D2807" s="60"/>
      <c r="E2807" s="62" t="str">
        <f t="shared" si="5153"/>
        <v/>
      </c>
      <c r="F2807" s="62" t="str">
        <f t="shared" ref="F2807:G2807" si="5614">IF(isblank(F$1),,IF(isblank($A2807),,IFERROR(vlookup($A2807,indirect("'TVC-"&amp;text(month(F$1),"00")&amp;"'!$A:$D"),4,false),1)))</f>
        <v/>
      </c>
      <c r="G2807" s="62" t="str">
        <f t="shared" si="5614"/>
        <v/>
      </c>
      <c r="H2807" s="62">
        <f t="shared" ref="H2807:Q2807" si="5615">IF(isblank(H$1),,IFERROR(vlookup($A2807,indirect("'TVC-"&amp;text(month(H$1),"00")&amp;"'!$A:$D"),4,false),1))</f>
        <v>1</v>
      </c>
      <c r="I2807" s="62">
        <f t="shared" si="5615"/>
        <v>1</v>
      </c>
      <c r="J2807" s="62">
        <f t="shared" si="5615"/>
        <v>1</v>
      </c>
      <c r="K2807" s="62">
        <f t="shared" si="5615"/>
        <v>1</v>
      </c>
      <c r="L2807" s="62">
        <f t="shared" si="5615"/>
        <v>1</v>
      </c>
      <c r="M2807" s="62">
        <f t="shared" si="5615"/>
        <v>1</v>
      </c>
      <c r="N2807" s="62">
        <f t="shared" si="5615"/>
        <v>1</v>
      </c>
      <c r="O2807" s="62">
        <f t="shared" si="5615"/>
        <v>1</v>
      </c>
      <c r="P2807" s="62" t="str">
        <f t="shared" si="5615"/>
        <v/>
      </c>
      <c r="Q2807" s="62" t="str">
        <f t="shared" si="5615"/>
        <v/>
      </c>
      <c r="R2807" s="62">
        <f t="shared" si="7"/>
        <v>0</v>
      </c>
      <c r="S2807" s="62"/>
      <c r="T2807" s="62"/>
      <c r="U2807" s="62"/>
      <c r="V2807" s="62"/>
      <c r="W2807" s="62"/>
      <c r="X2807" s="62"/>
      <c r="Y2807" s="62"/>
      <c r="Z2807" s="62"/>
      <c r="AA2807" s="62"/>
      <c r="AB2807" s="62"/>
      <c r="AC2807" s="62"/>
    </row>
    <row r="2808" hidden="1">
      <c r="A2808" s="60"/>
      <c r="B2808" s="60"/>
      <c r="C2808" s="60"/>
      <c r="D2808" s="60"/>
      <c r="E2808" s="62" t="str">
        <f t="shared" si="5153"/>
        <v/>
      </c>
      <c r="F2808" s="62" t="str">
        <f t="shared" ref="F2808:G2808" si="5616">IF(isblank(F$1),,IF(isblank($A2808),,IFERROR(vlookup($A2808,indirect("'TVC-"&amp;text(month(F$1),"00")&amp;"'!$A:$D"),4,false),1)))</f>
        <v/>
      </c>
      <c r="G2808" s="62" t="str">
        <f t="shared" si="5616"/>
        <v/>
      </c>
      <c r="H2808" s="62">
        <f t="shared" ref="H2808:Q2808" si="5617">IF(isblank(H$1),,IFERROR(vlookup($A2808,indirect("'TVC-"&amp;text(month(H$1),"00")&amp;"'!$A:$D"),4,false),1))</f>
        <v>1</v>
      </c>
      <c r="I2808" s="62">
        <f t="shared" si="5617"/>
        <v>1</v>
      </c>
      <c r="J2808" s="62">
        <f t="shared" si="5617"/>
        <v>1</v>
      </c>
      <c r="K2808" s="62">
        <f t="shared" si="5617"/>
        <v>1</v>
      </c>
      <c r="L2808" s="62">
        <f t="shared" si="5617"/>
        <v>1</v>
      </c>
      <c r="M2808" s="62">
        <f t="shared" si="5617"/>
        <v>1</v>
      </c>
      <c r="N2808" s="62">
        <f t="shared" si="5617"/>
        <v>1</v>
      </c>
      <c r="O2808" s="62">
        <f t="shared" si="5617"/>
        <v>1</v>
      </c>
      <c r="P2808" s="62" t="str">
        <f t="shared" si="5617"/>
        <v/>
      </c>
      <c r="Q2808" s="62" t="str">
        <f t="shared" si="5617"/>
        <v/>
      </c>
      <c r="R2808" s="62">
        <f t="shared" si="7"/>
        <v>0</v>
      </c>
      <c r="S2808" s="62"/>
      <c r="T2808" s="62"/>
      <c r="U2808" s="62"/>
      <c r="V2808" s="62"/>
      <c r="W2808" s="62"/>
      <c r="X2808" s="62"/>
      <c r="Y2808" s="62"/>
      <c r="Z2808" s="62"/>
      <c r="AA2808" s="62"/>
      <c r="AB2808" s="62"/>
      <c r="AC2808" s="62"/>
    </row>
    <row r="2809" hidden="1">
      <c r="A2809" s="60"/>
      <c r="B2809" s="60"/>
      <c r="C2809" s="60"/>
      <c r="D2809" s="60"/>
      <c r="E2809" s="62" t="str">
        <f t="shared" si="5153"/>
        <v/>
      </c>
      <c r="F2809" s="62" t="str">
        <f t="shared" ref="F2809:G2809" si="5618">IF(isblank(F$1),,IF(isblank($A2809),,IFERROR(vlookup($A2809,indirect("'TVC-"&amp;text(month(F$1),"00")&amp;"'!$A:$D"),4,false),1)))</f>
        <v/>
      </c>
      <c r="G2809" s="62" t="str">
        <f t="shared" si="5618"/>
        <v/>
      </c>
      <c r="H2809" s="62">
        <f t="shared" ref="H2809:Q2809" si="5619">IF(isblank(H$1),,IFERROR(vlookup($A2809,indirect("'TVC-"&amp;text(month(H$1),"00")&amp;"'!$A:$D"),4,false),1))</f>
        <v>1</v>
      </c>
      <c r="I2809" s="62">
        <f t="shared" si="5619"/>
        <v>1</v>
      </c>
      <c r="J2809" s="62">
        <f t="shared" si="5619"/>
        <v>1</v>
      </c>
      <c r="K2809" s="62">
        <f t="shared" si="5619"/>
        <v>1</v>
      </c>
      <c r="L2809" s="62">
        <f t="shared" si="5619"/>
        <v>1</v>
      </c>
      <c r="M2809" s="62">
        <f t="shared" si="5619"/>
        <v>1</v>
      </c>
      <c r="N2809" s="62">
        <f t="shared" si="5619"/>
        <v>1</v>
      </c>
      <c r="O2809" s="62">
        <f t="shared" si="5619"/>
        <v>1</v>
      </c>
      <c r="P2809" s="62" t="str">
        <f t="shared" si="5619"/>
        <v/>
      </c>
      <c r="Q2809" s="62" t="str">
        <f t="shared" si="5619"/>
        <v/>
      </c>
      <c r="R2809" s="62">
        <f t="shared" si="7"/>
        <v>0</v>
      </c>
      <c r="S2809" s="62"/>
      <c r="T2809" s="62"/>
      <c r="U2809" s="62"/>
      <c r="V2809" s="62"/>
      <c r="W2809" s="62"/>
      <c r="X2809" s="62"/>
      <c r="Y2809" s="62"/>
      <c r="Z2809" s="62"/>
      <c r="AA2809" s="62"/>
      <c r="AB2809" s="62"/>
      <c r="AC2809" s="62"/>
    </row>
    <row r="2810" hidden="1">
      <c r="A2810" s="60"/>
      <c r="B2810" s="60"/>
      <c r="C2810" s="60"/>
      <c r="D2810" s="60"/>
      <c r="E2810" s="62" t="str">
        <f t="shared" si="5153"/>
        <v/>
      </c>
      <c r="F2810" s="62" t="str">
        <f t="shared" ref="F2810:G2810" si="5620">IF(isblank(F$1),,IF(isblank($A2810),,IFERROR(vlookup($A2810,indirect("'TVC-"&amp;text(month(F$1),"00")&amp;"'!$A:$D"),4,false),1)))</f>
        <v/>
      </c>
      <c r="G2810" s="62" t="str">
        <f t="shared" si="5620"/>
        <v/>
      </c>
      <c r="H2810" s="62">
        <f t="shared" ref="H2810:Q2810" si="5621">IF(isblank(H$1),,IFERROR(vlookup($A2810,indirect("'TVC-"&amp;text(month(H$1),"00")&amp;"'!$A:$D"),4,false),1))</f>
        <v>1</v>
      </c>
      <c r="I2810" s="62">
        <f t="shared" si="5621"/>
        <v>1</v>
      </c>
      <c r="J2810" s="62">
        <f t="shared" si="5621"/>
        <v>1</v>
      </c>
      <c r="K2810" s="62">
        <f t="shared" si="5621"/>
        <v>1</v>
      </c>
      <c r="L2810" s="62">
        <f t="shared" si="5621"/>
        <v>1</v>
      </c>
      <c r="M2810" s="62">
        <f t="shared" si="5621"/>
        <v>1</v>
      </c>
      <c r="N2810" s="62">
        <f t="shared" si="5621"/>
        <v>1</v>
      </c>
      <c r="O2810" s="62">
        <f t="shared" si="5621"/>
        <v>1</v>
      </c>
      <c r="P2810" s="62" t="str">
        <f t="shared" si="5621"/>
        <v/>
      </c>
      <c r="Q2810" s="62" t="str">
        <f t="shared" si="5621"/>
        <v/>
      </c>
      <c r="R2810" s="62">
        <f t="shared" si="7"/>
        <v>0</v>
      </c>
      <c r="S2810" s="62"/>
      <c r="T2810" s="62"/>
      <c r="U2810" s="62"/>
      <c r="V2810" s="62"/>
      <c r="W2810" s="62"/>
      <c r="X2810" s="62"/>
      <c r="Y2810" s="62"/>
      <c r="Z2810" s="62"/>
      <c r="AA2810" s="62"/>
      <c r="AB2810" s="62"/>
      <c r="AC2810" s="62"/>
    </row>
    <row r="2811" hidden="1">
      <c r="A2811" s="60"/>
      <c r="B2811" s="60"/>
      <c r="C2811" s="60"/>
      <c r="D2811" s="60"/>
      <c r="E2811" s="62" t="str">
        <f t="shared" si="5153"/>
        <v/>
      </c>
      <c r="F2811" s="62" t="str">
        <f t="shared" ref="F2811:G2811" si="5622">IF(isblank(F$1),,IF(isblank($A2811),,IFERROR(vlookup($A2811,indirect("'TVC-"&amp;text(month(F$1),"00")&amp;"'!$A:$D"),4,false),1)))</f>
        <v/>
      </c>
      <c r="G2811" s="62" t="str">
        <f t="shared" si="5622"/>
        <v/>
      </c>
      <c r="H2811" s="62">
        <f t="shared" ref="H2811:Q2811" si="5623">IF(isblank(H$1),,IFERROR(vlookup($A2811,indirect("'TVC-"&amp;text(month(H$1),"00")&amp;"'!$A:$D"),4,false),1))</f>
        <v>1</v>
      </c>
      <c r="I2811" s="62">
        <f t="shared" si="5623"/>
        <v>1</v>
      </c>
      <c r="J2811" s="62">
        <f t="shared" si="5623"/>
        <v>1</v>
      </c>
      <c r="K2811" s="62">
        <f t="shared" si="5623"/>
        <v>1</v>
      </c>
      <c r="L2811" s="62">
        <f t="shared" si="5623"/>
        <v>1</v>
      </c>
      <c r="M2811" s="62">
        <f t="shared" si="5623"/>
        <v>1</v>
      </c>
      <c r="N2811" s="62">
        <f t="shared" si="5623"/>
        <v>1</v>
      </c>
      <c r="O2811" s="62">
        <f t="shared" si="5623"/>
        <v>1</v>
      </c>
      <c r="P2811" s="62" t="str">
        <f t="shared" si="5623"/>
        <v/>
      </c>
      <c r="Q2811" s="62" t="str">
        <f t="shared" si="5623"/>
        <v/>
      </c>
      <c r="R2811" s="62">
        <f t="shared" si="7"/>
        <v>0</v>
      </c>
      <c r="S2811" s="62"/>
      <c r="T2811" s="62"/>
      <c r="U2811" s="62"/>
      <c r="V2811" s="62"/>
      <c r="W2811" s="62"/>
      <c r="X2811" s="62"/>
      <c r="Y2811" s="62"/>
      <c r="Z2811" s="62"/>
      <c r="AA2811" s="62"/>
      <c r="AB2811" s="62"/>
      <c r="AC2811" s="62"/>
    </row>
    <row r="2812" hidden="1">
      <c r="A2812" s="60"/>
      <c r="B2812" s="60"/>
      <c r="C2812" s="60"/>
      <c r="D2812" s="60"/>
      <c r="E2812" s="62" t="str">
        <f t="shared" si="5153"/>
        <v/>
      </c>
      <c r="F2812" s="62" t="str">
        <f t="shared" ref="F2812:G2812" si="5624">IF(isblank(F$1),,IF(isblank($A2812),,IFERROR(vlookup($A2812,indirect("'TVC-"&amp;text(month(F$1),"00")&amp;"'!$A:$D"),4,false),1)))</f>
        <v/>
      </c>
      <c r="G2812" s="62" t="str">
        <f t="shared" si="5624"/>
        <v/>
      </c>
      <c r="H2812" s="62">
        <f t="shared" ref="H2812:Q2812" si="5625">IF(isblank(H$1),,IFERROR(vlookup($A2812,indirect("'TVC-"&amp;text(month(H$1),"00")&amp;"'!$A:$D"),4,false),1))</f>
        <v>1</v>
      </c>
      <c r="I2812" s="62">
        <f t="shared" si="5625"/>
        <v>1</v>
      </c>
      <c r="J2812" s="62">
        <f t="shared" si="5625"/>
        <v>1</v>
      </c>
      <c r="K2812" s="62">
        <f t="shared" si="5625"/>
        <v>1</v>
      </c>
      <c r="L2812" s="62">
        <f t="shared" si="5625"/>
        <v>1</v>
      </c>
      <c r="M2812" s="62">
        <f t="shared" si="5625"/>
        <v>1</v>
      </c>
      <c r="N2812" s="62">
        <f t="shared" si="5625"/>
        <v>1</v>
      </c>
      <c r="O2812" s="62">
        <f t="shared" si="5625"/>
        <v>1</v>
      </c>
      <c r="P2812" s="62" t="str">
        <f t="shared" si="5625"/>
        <v/>
      </c>
      <c r="Q2812" s="62" t="str">
        <f t="shared" si="5625"/>
        <v/>
      </c>
      <c r="R2812" s="62">
        <f t="shared" si="7"/>
        <v>0</v>
      </c>
      <c r="S2812" s="62"/>
      <c r="T2812" s="62"/>
      <c r="U2812" s="62"/>
      <c r="V2812" s="62"/>
      <c r="W2812" s="62"/>
      <c r="X2812" s="62"/>
      <c r="Y2812" s="62"/>
      <c r="Z2812" s="62"/>
      <c r="AA2812" s="62"/>
      <c r="AB2812" s="62"/>
      <c r="AC2812" s="62"/>
    </row>
    <row r="2813" hidden="1">
      <c r="A2813" s="60"/>
      <c r="B2813" s="60"/>
      <c r="C2813" s="60"/>
      <c r="D2813" s="60"/>
      <c r="E2813" s="62" t="str">
        <f t="shared" si="5153"/>
        <v/>
      </c>
      <c r="F2813" s="62" t="str">
        <f t="shared" ref="F2813:G2813" si="5626">IF(isblank(F$1),,IF(isblank($A2813),,IFERROR(vlookup($A2813,indirect("'TVC-"&amp;text(month(F$1),"00")&amp;"'!$A:$D"),4,false),1)))</f>
        <v/>
      </c>
      <c r="G2813" s="62" t="str">
        <f t="shared" si="5626"/>
        <v/>
      </c>
      <c r="H2813" s="62">
        <f t="shared" ref="H2813:Q2813" si="5627">IF(isblank(H$1),,IFERROR(vlookup($A2813,indirect("'TVC-"&amp;text(month(H$1),"00")&amp;"'!$A:$D"),4,false),1))</f>
        <v>1</v>
      </c>
      <c r="I2813" s="62">
        <f t="shared" si="5627"/>
        <v>1</v>
      </c>
      <c r="J2813" s="62">
        <f t="shared" si="5627"/>
        <v>1</v>
      </c>
      <c r="K2813" s="62">
        <f t="shared" si="5627"/>
        <v>1</v>
      </c>
      <c r="L2813" s="62">
        <f t="shared" si="5627"/>
        <v>1</v>
      </c>
      <c r="M2813" s="62">
        <f t="shared" si="5627"/>
        <v>1</v>
      </c>
      <c r="N2813" s="62">
        <f t="shared" si="5627"/>
        <v>1</v>
      </c>
      <c r="O2813" s="62">
        <f t="shared" si="5627"/>
        <v>1</v>
      </c>
      <c r="P2813" s="62" t="str">
        <f t="shared" si="5627"/>
        <v/>
      </c>
      <c r="Q2813" s="62" t="str">
        <f t="shared" si="5627"/>
        <v/>
      </c>
      <c r="R2813" s="62">
        <f t="shared" si="7"/>
        <v>0</v>
      </c>
      <c r="S2813" s="62"/>
      <c r="T2813" s="62"/>
      <c r="U2813" s="62"/>
      <c r="V2813" s="62"/>
      <c r="W2813" s="62"/>
      <c r="X2813" s="62"/>
      <c r="Y2813" s="62"/>
      <c r="Z2813" s="62"/>
      <c r="AA2813" s="62"/>
      <c r="AB2813" s="62"/>
      <c r="AC2813" s="62"/>
    </row>
    <row r="2814" hidden="1">
      <c r="A2814" s="60"/>
      <c r="B2814" s="60"/>
      <c r="C2814" s="60"/>
      <c r="D2814" s="60"/>
      <c r="E2814" s="62" t="str">
        <f t="shared" si="5153"/>
        <v/>
      </c>
      <c r="F2814" s="62" t="str">
        <f t="shared" ref="F2814:G2814" si="5628">IF(isblank(F$1),,IF(isblank($A2814),,IFERROR(vlookup($A2814,indirect("'TVC-"&amp;text(month(F$1),"00")&amp;"'!$A:$D"),4,false),1)))</f>
        <v/>
      </c>
      <c r="G2814" s="62" t="str">
        <f t="shared" si="5628"/>
        <v/>
      </c>
      <c r="H2814" s="62">
        <f t="shared" ref="H2814:Q2814" si="5629">IF(isblank(H$1),,IFERROR(vlookup($A2814,indirect("'TVC-"&amp;text(month(H$1),"00")&amp;"'!$A:$D"),4,false),1))</f>
        <v>1</v>
      </c>
      <c r="I2814" s="62">
        <f t="shared" si="5629"/>
        <v>1</v>
      </c>
      <c r="J2814" s="62">
        <f t="shared" si="5629"/>
        <v>1</v>
      </c>
      <c r="K2814" s="62">
        <f t="shared" si="5629"/>
        <v>1</v>
      </c>
      <c r="L2814" s="62">
        <f t="shared" si="5629"/>
        <v>1</v>
      </c>
      <c r="M2814" s="62">
        <f t="shared" si="5629"/>
        <v>1</v>
      </c>
      <c r="N2814" s="62">
        <f t="shared" si="5629"/>
        <v>1</v>
      </c>
      <c r="O2814" s="62">
        <f t="shared" si="5629"/>
        <v>1</v>
      </c>
      <c r="P2814" s="62" t="str">
        <f t="shared" si="5629"/>
        <v/>
      </c>
      <c r="Q2814" s="62" t="str">
        <f t="shared" si="5629"/>
        <v/>
      </c>
      <c r="R2814" s="62">
        <f t="shared" si="7"/>
        <v>0</v>
      </c>
      <c r="S2814" s="62"/>
      <c r="T2814" s="62"/>
      <c r="U2814" s="62"/>
      <c r="V2814" s="62"/>
      <c r="W2814" s="62"/>
      <c r="X2814" s="62"/>
      <c r="Y2814" s="62"/>
      <c r="Z2814" s="62"/>
      <c r="AA2814" s="62"/>
      <c r="AB2814" s="62"/>
      <c r="AC2814" s="62"/>
    </row>
    <row r="2815" hidden="1">
      <c r="A2815" s="60"/>
      <c r="B2815" s="60"/>
      <c r="C2815" s="60"/>
      <c r="D2815" s="60"/>
      <c r="E2815" s="62" t="str">
        <f t="shared" si="5153"/>
        <v/>
      </c>
      <c r="F2815" s="62" t="str">
        <f t="shared" ref="F2815:G2815" si="5630">IF(isblank(F$1),,IF(isblank($A2815),,IFERROR(vlookup($A2815,indirect("'TVC-"&amp;text(month(F$1),"00")&amp;"'!$A:$D"),4,false),1)))</f>
        <v/>
      </c>
      <c r="G2815" s="62" t="str">
        <f t="shared" si="5630"/>
        <v/>
      </c>
      <c r="H2815" s="62">
        <f t="shared" ref="H2815:Q2815" si="5631">IF(isblank(H$1),,IFERROR(vlookup($A2815,indirect("'TVC-"&amp;text(month(H$1),"00")&amp;"'!$A:$D"),4,false),1))</f>
        <v>1</v>
      </c>
      <c r="I2815" s="62">
        <f t="shared" si="5631"/>
        <v>1</v>
      </c>
      <c r="J2815" s="62">
        <f t="shared" si="5631"/>
        <v>1</v>
      </c>
      <c r="K2815" s="62">
        <f t="shared" si="5631"/>
        <v>1</v>
      </c>
      <c r="L2815" s="62">
        <f t="shared" si="5631"/>
        <v>1</v>
      </c>
      <c r="M2815" s="62">
        <f t="shared" si="5631"/>
        <v>1</v>
      </c>
      <c r="N2815" s="62">
        <f t="shared" si="5631"/>
        <v>1</v>
      </c>
      <c r="O2815" s="62">
        <f t="shared" si="5631"/>
        <v>1</v>
      </c>
      <c r="P2815" s="62" t="str">
        <f t="shared" si="5631"/>
        <v/>
      </c>
      <c r="Q2815" s="62" t="str">
        <f t="shared" si="5631"/>
        <v/>
      </c>
      <c r="R2815" s="62">
        <f t="shared" si="7"/>
        <v>0</v>
      </c>
      <c r="S2815" s="62"/>
      <c r="T2815" s="62"/>
      <c r="U2815" s="62"/>
      <c r="V2815" s="62"/>
      <c r="W2815" s="62"/>
      <c r="X2815" s="62"/>
      <c r="Y2815" s="62"/>
      <c r="Z2815" s="62"/>
      <c r="AA2815" s="62"/>
      <c r="AB2815" s="62"/>
      <c r="AC2815" s="62"/>
    </row>
    <row r="2816" hidden="1">
      <c r="A2816" s="60"/>
      <c r="B2816" s="60"/>
      <c r="C2816" s="60"/>
      <c r="D2816" s="60"/>
      <c r="E2816" s="62" t="str">
        <f t="shared" si="5153"/>
        <v/>
      </c>
      <c r="F2816" s="62" t="str">
        <f t="shared" ref="F2816:G2816" si="5632">IF(isblank(F$1),,IF(isblank($A2816),,IFERROR(vlookup($A2816,indirect("'TVC-"&amp;text(month(F$1),"00")&amp;"'!$A:$D"),4,false),1)))</f>
        <v/>
      </c>
      <c r="G2816" s="62" t="str">
        <f t="shared" si="5632"/>
        <v/>
      </c>
      <c r="H2816" s="62">
        <f t="shared" ref="H2816:Q2816" si="5633">IF(isblank(H$1),,IFERROR(vlookup($A2816,indirect("'TVC-"&amp;text(month(H$1),"00")&amp;"'!$A:$D"),4,false),1))</f>
        <v>1</v>
      </c>
      <c r="I2816" s="62">
        <f t="shared" si="5633"/>
        <v>1</v>
      </c>
      <c r="J2816" s="62">
        <f t="shared" si="5633"/>
        <v>1</v>
      </c>
      <c r="K2816" s="62">
        <f t="shared" si="5633"/>
        <v>1</v>
      </c>
      <c r="L2816" s="62">
        <f t="shared" si="5633"/>
        <v>1</v>
      </c>
      <c r="M2816" s="62">
        <f t="shared" si="5633"/>
        <v>1</v>
      </c>
      <c r="N2816" s="62">
        <f t="shared" si="5633"/>
        <v>1</v>
      </c>
      <c r="O2816" s="62">
        <f t="shared" si="5633"/>
        <v>1</v>
      </c>
      <c r="P2816" s="62" t="str">
        <f t="shared" si="5633"/>
        <v/>
      </c>
      <c r="Q2816" s="62" t="str">
        <f t="shared" si="5633"/>
        <v/>
      </c>
      <c r="R2816" s="62">
        <f t="shared" si="7"/>
        <v>0</v>
      </c>
      <c r="S2816" s="62"/>
      <c r="T2816" s="62"/>
      <c r="U2816" s="62"/>
      <c r="V2816" s="62"/>
      <c r="W2816" s="62"/>
      <c r="X2816" s="62"/>
      <c r="Y2816" s="62"/>
      <c r="Z2816" s="62"/>
      <c r="AA2816" s="62"/>
      <c r="AB2816" s="62"/>
      <c r="AC2816" s="62"/>
    </row>
    <row r="2817" hidden="1">
      <c r="A2817" s="60"/>
      <c r="B2817" s="60"/>
      <c r="C2817" s="60"/>
      <c r="D2817" s="60"/>
      <c r="E2817" s="62" t="str">
        <f t="shared" si="5153"/>
        <v/>
      </c>
      <c r="F2817" s="62" t="str">
        <f t="shared" ref="F2817:G2817" si="5634">IF(isblank(F$1),,IF(isblank($A2817),,IFERROR(vlookup($A2817,indirect("'TVC-"&amp;text(month(F$1),"00")&amp;"'!$A:$D"),4,false),1)))</f>
        <v/>
      </c>
      <c r="G2817" s="62" t="str">
        <f t="shared" si="5634"/>
        <v/>
      </c>
      <c r="H2817" s="62">
        <f t="shared" ref="H2817:Q2817" si="5635">IF(isblank(H$1),,IFERROR(vlookup($A2817,indirect("'TVC-"&amp;text(month(H$1),"00")&amp;"'!$A:$D"),4,false),1))</f>
        <v>1</v>
      </c>
      <c r="I2817" s="62">
        <f t="shared" si="5635"/>
        <v>1</v>
      </c>
      <c r="J2817" s="62">
        <f t="shared" si="5635"/>
        <v>1</v>
      </c>
      <c r="K2817" s="62">
        <f t="shared" si="5635"/>
        <v>1</v>
      </c>
      <c r="L2817" s="62">
        <f t="shared" si="5635"/>
        <v>1</v>
      </c>
      <c r="M2817" s="62">
        <f t="shared" si="5635"/>
        <v>1</v>
      </c>
      <c r="N2817" s="62">
        <f t="shared" si="5635"/>
        <v>1</v>
      </c>
      <c r="O2817" s="62">
        <f t="shared" si="5635"/>
        <v>1</v>
      </c>
      <c r="P2817" s="62" t="str">
        <f t="shared" si="5635"/>
        <v/>
      </c>
      <c r="Q2817" s="62" t="str">
        <f t="shared" si="5635"/>
        <v/>
      </c>
      <c r="R2817" s="62">
        <f t="shared" si="7"/>
        <v>0</v>
      </c>
      <c r="S2817" s="62"/>
      <c r="T2817" s="62"/>
      <c r="U2817" s="62"/>
      <c r="V2817" s="62"/>
      <c r="W2817" s="62"/>
      <c r="X2817" s="62"/>
      <c r="Y2817" s="62"/>
      <c r="Z2817" s="62"/>
      <c r="AA2817" s="62"/>
      <c r="AB2817" s="62"/>
      <c r="AC2817" s="62"/>
    </row>
    <row r="2818" hidden="1">
      <c r="A2818" s="60"/>
      <c r="B2818" s="60"/>
      <c r="C2818" s="60"/>
      <c r="D2818" s="60"/>
      <c r="E2818" s="62" t="str">
        <f t="shared" si="5153"/>
        <v/>
      </c>
      <c r="F2818" s="62" t="str">
        <f t="shared" ref="F2818:G2818" si="5636">IF(isblank(F$1),,IF(isblank($A2818),,IFERROR(vlookup($A2818,indirect("'TVC-"&amp;text(month(F$1),"00")&amp;"'!$A:$D"),4,false),1)))</f>
        <v/>
      </c>
      <c r="G2818" s="62" t="str">
        <f t="shared" si="5636"/>
        <v/>
      </c>
      <c r="H2818" s="62">
        <f t="shared" ref="H2818:Q2818" si="5637">IF(isblank(H$1),,IFERROR(vlookup($A2818,indirect("'TVC-"&amp;text(month(H$1),"00")&amp;"'!$A:$D"),4,false),1))</f>
        <v>1</v>
      </c>
      <c r="I2818" s="62">
        <f t="shared" si="5637"/>
        <v>1</v>
      </c>
      <c r="J2818" s="62">
        <f t="shared" si="5637"/>
        <v>1</v>
      </c>
      <c r="K2818" s="62">
        <f t="shared" si="5637"/>
        <v>1</v>
      </c>
      <c r="L2818" s="62">
        <f t="shared" si="5637"/>
        <v>1</v>
      </c>
      <c r="M2818" s="62">
        <f t="shared" si="5637"/>
        <v>1</v>
      </c>
      <c r="N2818" s="62">
        <f t="shared" si="5637"/>
        <v>1</v>
      </c>
      <c r="O2818" s="62">
        <f t="shared" si="5637"/>
        <v>1</v>
      </c>
      <c r="P2818" s="62" t="str">
        <f t="shared" si="5637"/>
        <v/>
      </c>
      <c r="Q2818" s="62" t="str">
        <f t="shared" si="5637"/>
        <v/>
      </c>
      <c r="R2818" s="62">
        <f t="shared" si="7"/>
        <v>0</v>
      </c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</row>
    <row r="2819" hidden="1">
      <c r="A2819" s="60"/>
      <c r="B2819" s="60"/>
      <c r="C2819" s="60"/>
      <c r="D2819" s="60"/>
      <c r="E2819" s="62" t="str">
        <f t="shared" si="5153"/>
        <v/>
      </c>
      <c r="F2819" s="62" t="str">
        <f t="shared" ref="F2819:G2819" si="5638">IF(isblank(F$1),,IF(isblank($A2819),,IFERROR(vlookup($A2819,indirect("'TVC-"&amp;text(month(F$1),"00")&amp;"'!$A:$D"),4,false),1)))</f>
        <v/>
      </c>
      <c r="G2819" s="62" t="str">
        <f t="shared" si="5638"/>
        <v/>
      </c>
      <c r="H2819" s="62">
        <f t="shared" ref="H2819:Q2819" si="5639">IF(isblank(H$1),,IFERROR(vlookup($A2819,indirect("'TVC-"&amp;text(month(H$1),"00")&amp;"'!$A:$D"),4,false),1))</f>
        <v>1</v>
      </c>
      <c r="I2819" s="62">
        <f t="shared" si="5639"/>
        <v>1</v>
      </c>
      <c r="J2819" s="62">
        <f t="shared" si="5639"/>
        <v>1</v>
      </c>
      <c r="K2819" s="62">
        <f t="shared" si="5639"/>
        <v>1</v>
      </c>
      <c r="L2819" s="62">
        <f t="shared" si="5639"/>
        <v>1</v>
      </c>
      <c r="M2819" s="62">
        <f t="shared" si="5639"/>
        <v>1</v>
      </c>
      <c r="N2819" s="62">
        <f t="shared" si="5639"/>
        <v>1</v>
      </c>
      <c r="O2819" s="62">
        <f t="shared" si="5639"/>
        <v>1</v>
      </c>
      <c r="P2819" s="62" t="str">
        <f t="shared" si="5639"/>
        <v/>
      </c>
      <c r="Q2819" s="62" t="str">
        <f t="shared" si="5639"/>
        <v/>
      </c>
      <c r="R2819" s="62">
        <f t="shared" si="7"/>
        <v>0</v>
      </c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</row>
    <row r="2820" hidden="1">
      <c r="A2820" s="60"/>
      <c r="B2820" s="60"/>
      <c r="C2820" s="60"/>
      <c r="D2820" s="60"/>
      <c r="E2820" s="62" t="str">
        <f t="shared" si="5153"/>
        <v/>
      </c>
      <c r="F2820" s="62" t="str">
        <f t="shared" ref="F2820:G2820" si="5640">IF(isblank(F$1),,IF(isblank($A2820),,IFERROR(vlookup($A2820,indirect("'TVC-"&amp;text(month(F$1),"00")&amp;"'!$A:$D"),4,false),1)))</f>
        <v/>
      </c>
      <c r="G2820" s="62" t="str">
        <f t="shared" si="5640"/>
        <v/>
      </c>
      <c r="H2820" s="62">
        <f t="shared" ref="H2820:Q2820" si="5641">IF(isblank(H$1),,IFERROR(vlookup($A2820,indirect("'TVC-"&amp;text(month(H$1),"00")&amp;"'!$A:$D"),4,false),1))</f>
        <v>1</v>
      </c>
      <c r="I2820" s="62">
        <f t="shared" si="5641"/>
        <v>1</v>
      </c>
      <c r="J2820" s="62">
        <f t="shared" si="5641"/>
        <v>1</v>
      </c>
      <c r="K2820" s="62">
        <f t="shared" si="5641"/>
        <v>1</v>
      </c>
      <c r="L2820" s="62">
        <f t="shared" si="5641"/>
        <v>1</v>
      </c>
      <c r="M2820" s="62">
        <f t="shared" si="5641"/>
        <v>1</v>
      </c>
      <c r="N2820" s="62">
        <f t="shared" si="5641"/>
        <v>1</v>
      </c>
      <c r="O2820" s="62">
        <f t="shared" si="5641"/>
        <v>1</v>
      </c>
      <c r="P2820" s="62" t="str">
        <f t="shared" si="5641"/>
        <v/>
      </c>
      <c r="Q2820" s="62" t="str">
        <f t="shared" si="5641"/>
        <v/>
      </c>
      <c r="R2820" s="62">
        <f t="shared" si="7"/>
        <v>0</v>
      </c>
      <c r="S2820" s="62"/>
      <c r="T2820" s="62"/>
      <c r="U2820" s="62"/>
      <c r="V2820" s="62"/>
      <c r="W2820" s="62"/>
      <c r="X2820" s="62"/>
      <c r="Y2820" s="62"/>
      <c r="Z2820" s="62"/>
      <c r="AA2820" s="62"/>
      <c r="AB2820" s="62"/>
      <c r="AC2820" s="62"/>
    </row>
    <row r="2821" hidden="1">
      <c r="A2821" s="60"/>
      <c r="B2821" s="60"/>
      <c r="C2821" s="60"/>
      <c r="D2821" s="60"/>
      <c r="E2821" s="62" t="str">
        <f t="shared" si="5153"/>
        <v/>
      </c>
      <c r="F2821" s="62" t="str">
        <f t="shared" ref="F2821:G2821" si="5642">IF(isblank(F$1),,IF(isblank($A2821),,IFERROR(vlookup($A2821,indirect("'TVC-"&amp;text(month(F$1),"00")&amp;"'!$A:$D"),4,false),1)))</f>
        <v/>
      </c>
      <c r="G2821" s="62" t="str">
        <f t="shared" si="5642"/>
        <v/>
      </c>
      <c r="H2821" s="62">
        <f t="shared" ref="H2821:Q2821" si="5643">IF(isblank(H$1),,IFERROR(vlookup($A2821,indirect("'TVC-"&amp;text(month(H$1),"00")&amp;"'!$A:$D"),4,false),1))</f>
        <v>1</v>
      </c>
      <c r="I2821" s="62">
        <f t="shared" si="5643"/>
        <v>1</v>
      </c>
      <c r="J2821" s="62">
        <f t="shared" si="5643"/>
        <v>1</v>
      </c>
      <c r="K2821" s="62">
        <f t="shared" si="5643"/>
        <v>1</v>
      </c>
      <c r="L2821" s="62">
        <f t="shared" si="5643"/>
        <v>1</v>
      </c>
      <c r="M2821" s="62">
        <f t="shared" si="5643"/>
        <v>1</v>
      </c>
      <c r="N2821" s="62">
        <f t="shared" si="5643"/>
        <v>1</v>
      </c>
      <c r="O2821" s="62">
        <f t="shared" si="5643"/>
        <v>1</v>
      </c>
      <c r="P2821" s="62" t="str">
        <f t="shared" si="5643"/>
        <v/>
      </c>
      <c r="Q2821" s="62" t="str">
        <f t="shared" si="5643"/>
        <v/>
      </c>
      <c r="R2821" s="62">
        <f t="shared" si="7"/>
        <v>0</v>
      </c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</row>
    <row r="2822" hidden="1">
      <c r="A2822" s="60"/>
      <c r="B2822" s="60"/>
      <c r="C2822" s="60"/>
      <c r="D2822" s="60"/>
      <c r="E2822" s="62" t="str">
        <f t="shared" si="5153"/>
        <v/>
      </c>
      <c r="F2822" s="62" t="str">
        <f t="shared" ref="F2822:G2822" si="5644">IF(isblank(F$1),,IF(isblank($A2822),,IFERROR(vlookup($A2822,indirect("'TVC-"&amp;text(month(F$1),"00")&amp;"'!$A:$D"),4,false),1)))</f>
        <v/>
      </c>
      <c r="G2822" s="62" t="str">
        <f t="shared" si="5644"/>
        <v/>
      </c>
      <c r="H2822" s="62">
        <f t="shared" ref="H2822:Q2822" si="5645">IF(isblank(H$1),,IFERROR(vlookup($A2822,indirect("'TVC-"&amp;text(month(H$1),"00")&amp;"'!$A:$D"),4,false),1))</f>
        <v>1</v>
      </c>
      <c r="I2822" s="62">
        <f t="shared" si="5645"/>
        <v>1</v>
      </c>
      <c r="J2822" s="62">
        <f t="shared" si="5645"/>
        <v>1</v>
      </c>
      <c r="K2822" s="62">
        <f t="shared" si="5645"/>
        <v>1</v>
      </c>
      <c r="L2822" s="62">
        <f t="shared" si="5645"/>
        <v>1</v>
      </c>
      <c r="M2822" s="62">
        <f t="shared" si="5645"/>
        <v>1</v>
      </c>
      <c r="N2822" s="62">
        <f t="shared" si="5645"/>
        <v>1</v>
      </c>
      <c r="O2822" s="62">
        <f t="shared" si="5645"/>
        <v>1</v>
      </c>
      <c r="P2822" s="62" t="str">
        <f t="shared" si="5645"/>
        <v/>
      </c>
      <c r="Q2822" s="62" t="str">
        <f t="shared" si="5645"/>
        <v/>
      </c>
      <c r="R2822" s="62">
        <f t="shared" si="7"/>
        <v>0</v>
      </c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</row>
    <row r="2823" hidden="1">
      <c r="A2823" s="60"/>
      <c r="B2823" s="60"/>
      <c r="C2823" s="60"/>
      <c r="D2823" s="60"/>
      <c r="E2823" s="62" t="str">
        <f t="shared" si="5153"/>
        <v/>
      </c>
      <c r="F2823" s="62" t="str">
        <f t="shared" ref="F2823:G2823" si="5646">IF(isblank(F$1),,IF(isblank($A2823),,IFERROR(vlookup($A2823,indirect("'TVC-"&amp;text(month(F$1),"00")&amp;"'!$A:$D"),4,false),1)))</f>
        <v/>
      </c>
      <c r="G2823" s="62" t="str">
        <f t="shared" si="5646"/>
        <v/>
      </c>
      <c r="H2823" s="62">
        <f t="shared" ref="H2823:Q2823" si="5647">IF(isblank(H$1),,IFERROR(vlookup($A2823,indirect("'TVC-"&amp;text(month(H$1),"00")&amp;"'!$A:$D"),4,false),1))</f>
        <v>1</v>
      </c>
      <c r="I2823" s="62">
        <f t="shared" si="5647"/>
        <v>1</v>
      </c>
      <c r="J2823" s="62">
        <f t="shared" si="5647"/>
        <v>1</v>
      </c>
      <c r="K2823" s="62">
        <f t="shared" si="5647"/>
        <v>1</v>
      </c>
      <c r="L2823" s="62">
        <f t="shared" si="5647"/>
        <v>1</v>
      </c>
      <c r="M2823" s="62">
        <f t="shared" si="5647"/>
        <v>1</v>
      </c>
      <c r="N2823" s="62">
        <f t="shared" si="5647"/>
        <v>1</v>
      </c>
      <c r="O2823" s="62">
        <f t="shared" si="5647"/>
        <v>1</v>
      </c>
      <c r="P2823" s="62" t="str">
        <f t="shared" si="5647"/>
        <v/>
      </c>
      <c r="Q2823" s="62" t="str">
        <f t="shared" si="5647"/>
        <v/>
      </c>
      <c r="R2823" s="62">
        <f t="shared" si="7"/>
        <v>0</v>
      </c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</row>
    <row r="2824" hidden="1">
      <c r="A2824" s="60"/>
      <c r="B2824" s="60"/>
      <c r="C2824" s="60"/>
      <c r="D2824" s="60"/>
      <c r="E2824" s="62" t="str">
        <f t="shared" si="5153"/>
        <v/>
      </c>
      <c r="F2824" s="62" t="str">
        <f t="shared" ref="F2824:G2824" si="5648">IF(isblank(F$1),,IF(isblank($A2824),,IFERROR(vlookup($A2824,indirect("'TVC-"&amp;text(month(F$1),"00")&amp;"'!$A:$D"),4,false),1)))</f>
        <v/>
      </c>
      <c r="G2824" s="62" t="str">
        <f t="shared" si="5648"/>
        <v/>
      </c>
      <c r="H2824" s="62">
        <f t="shared" ref="H2824:Q2824" si="5649">IF(isblank(H$1),,IFERROR(vlookup($A2824,indirect("'TVC-"&amp;text(month(H$1),"00")&amp;"'!$A:$D"),4,false),1))</f>
        <v>1</v>
      </c>
      <c r="I2824" s="62">
        <f t="shared" si="5649"/>
        <v>1</v>
      </c>
      <c r="J2824" s="62">
        <f t="shared" si="5649"/>
        <v>1</v>
      </c>
      <c r="K2824" s="62">
        <f t="shared" si="5649"/>
        <v>1</v>
      </c>
      <c r="L2824" s="62">
        <f t="shared" si="5649"/>
        <v>1</v>
      </c>
      <c r="M2824" s="62">
        <f t="shared" si="5649"/>
        <v>1</v>
      </c>
      <c r="N2824" s="62">
        <f t="shared" si="5649"/>
        <v>1</v>
      </c>
      <c r="O2824" s="62">
        <f t="shared" si="5649"/>
        <v>1</v>
      </c>
      <c r="P2824" s="62" t="str">
        <f t="shared" si="5649"/>
        <v/>
      </c>
      <c r="Q2824" s="62" t="str">
        <f t="shared" si="5649"/>
        <v/>
      </c>
      <c r="R2824" s="62">
        <f t="shared" si="7"/>
        <v>0</v>
      </c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</row>
    <row r="2825" hidden="1">
      <c r="A2825" s="60"/>
      <c r="B2825" s="60"/>
      <c r="C2825" s="60"/>
      <c r="D2825" s="60"/>
      <c r="E2825" s="62" t="str">
        <f t="shared" si="5153"/>
        <v/>
      </c>
      <c r="F2825" s="62" t="str">
        <f t="shared" ref="F2825:G2825" si="5650">IF(isblank(F$1),,IF(isblank($A2825),,IFERROR(vlookup($A2825,indirect("'TVC-"&amp;text(month(F$1),"00")&amp;"'!$A:$D"),4,false),1)))</f>
        <v/>
      </c>
      <c r="G2825" s="62" t="str">
        <f t="shared" si="5650"/>
        <v/>
      </c>
      <c r="H2825" s="62">
        <f t="shared" ref="H2825:Q2825" si="5651">IF(isblank(H$1),,IFERROR(vlookup($A2825,indirect("'TVC-"&amp;text(month(H$1),"00")&amp;"'!$A:$D"),4,false),1))</f>
        <v>1</v>
      </c>
      <c r="I2825" s="62">
        <f t="shared" si="5651"/>
        <v>1</v>
      </c>
      <c r="J2825" s="62">
        <f t="shared" si="5651"/>
        <v>1</v>
      </c>
      <c r="K2825" s="62">
        <f t="shared" si="5651"/>
        <v>1</v>
      </c>
      <c r="L2825" s="62">
        <f t="shared" si="5651"/>
        <v>1</v>
      </c>
      <c r="M2825" s="62">
        <f t="shared" si="5651"/>
        <v>1</v>
      </c>
      <c r="N2825" s="62">
        <f t="shared" si="5651"/>
        <v>1</v>
      </c>
      <c r="O2825" s="62">
        <f t="shared" si="5651"/>
        <v>1</v>
      </c>
      <c r="P2825" s="62" t="str">
        <f t="shared" si="5651"/>
        <v/>
      </c>
      <c r="Q2825" s="62" t="str">
        <f t="shared" si="5651"/>
        <v/>
      </c>
      <c r="R2825" s="62">
        <f t="shared" si="7"/>
        <v>0</v>
      </c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</row>
    <row r="2826" hidden="1">
      <c r="A2826" s="60"/>
      <c r="B2826" s="60"/>
      <c r="C2826" s="60"/>
      <c r="D2826" s="60"/>
      <c r="E2826" s="62" t="str">
        <f t="shared" si="5153"/>
        <v/>
      </c>
      <c r="F2826" s="62" t="str">
        <f t="shared" ref="F2826:G2826" si="5652">IF(isblank(F$1),,IF(isblank($A2826),,IFERROR(vlookup($A2826,indirect("'TVC-"&amp;text(month(F$1),"00")&amp;"'!$A:$D"),4,false),1)))</f>
        <v/>
      </c>
      <c r="G2826" s="62" t="str">
        <f t="shared" si="5652"/>
        <v/>
      </c>
      <c r="H2826" s="62">
        <f t="shared" ref="H2826:Q2826" si="5653">IF(isblank(H$1),,IFERROR(vlookup($A2826,indirect("'TVC-"&amp;text(month(H$1),"00")&amp;"'!$A:$D"),4,false),1))</f>
        <v>1</v>
      </c>
      <c r="I2826" s="62">
        <f t="shared" si="5653"/>
        <v>1</v>
      </c>
      <c r="J2826" s="62">
        <f t="shared" si="5653"/>
        <v>1</v>
      </c>
      <c r="K2826" s="62">
        <f t="shared" si="5653"/>
        <v>1</v>
      </c>
      <c r="L2826" s="62">
        <f t="shared" si="5653"/>
        <v>1</v>
      </c>
      <c r="M2826" s="62">
        <f t="shared" si="5653"/>
        <v>1</v>
      </c>
      <c r="N2826" s="62">
        <f t="shared" si="5653"/>
        <v>1</v>
      </c>
      <c r="O2826" s="62">
        <f t="shared" si="5653"/>
        <v>1</v>
      </c>
      <c r="P2826" s="62" t="str">
        <f t="shared" si="5653"/>
        <v/>
      </c>
      <c r="Q2826" s="62" t="str">
        <f t="shared" si="5653"/>
        <v/>
      </c>
      <c r="R2826" s="62">
        <f t="shared" si="7"/>
        <v>0</v>
      </c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</row>
    <row r="2827" hidden="1">
      <c r="A2827" s="60"/>
      <c r="B2827" s="60"/>
      <c r="C2827" s="60"/>
      <c r="D2827" s="60"/>
      <c r="E2827" s="62" t="str">
        <f t="shared" si="5153"/>
        <v/>
      </c>
      <c r="F2827" s="62" t="str">
        <f t="shared" ref="F2827:G2827" si="5654">IF(isblank(F$1),,IF(isblank($A2827),,IFERROR(vlookup($A2827,indirect("'TVC-"&amp;text(month(F$1),"00")&amp;"'!$A:$D"),4,false),1)))</f>
        <v/>
      </c>
      <c r="G2827" s="62" t="str">
        <f t="shared" si="5654"/>
        <v/>
      </c>
      <c r="H2827" s="62">
        <f t="shared" ref="H2827:Q2827" si="5655">IF(isblank(H$1),,IFERROR(vlookup($A2827,indirect("'TVC-"&amp;text(month(H$1),"00")&amp;"'!$A:$D"),4,false),1))</f>
        <v>1</v>
      </c>
      <c r="I2827" s="62">
        <f t="shared" si="5655"/>
        <v>1</v>
      </c>
      <c r="J2827" s="62">
        <f t="shared" si="5655"/>
        <v>1</v>
      </c>
      <c r="K2827" s="62">
        <f t="shared" si="5655"/>
        <v>1</v>
      </c>
      <c r="L2827" s="62">
        <f t="shared" si="5655"/>
        <v>1</v>
      </c>
      <c r="M2827" s="62">
        <f t="shared" si="5655"/>
        <v>1</v>
      </c>
      <c r="N2827" s="62">
        <f t="shared" si="5655"/>
        <v>1</v>
      </c>
      <c r="O2827" s="62">
        <f t="shared" si="5655"/>
        <v>1</v>
      </c>
      <c r="P2827" s="62" t="str">
        <f t="shared" si="5655"/>
        <v/>
      </c>
      <c r="Q2827" s="62" t="str">
        <f t="shared" si="5655"/>
        <v/>
      </c>
      <c r="R2827" s="62">
        <f t="shared" si="7"/>
        <v>0</v>
      </c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</row>
    <row r="2828" hidden="1">
      <c r="A2828" s="60"/>
      <c r="B2828" s="60"/>
      <c r="C2828" s="60"/>
      <c r="D2828" s="60"/>
      <c r="E2828" s="62" t="str">
        <f t="shared" si="5153"/>
        <v/>
      </c>
      <c r="F2828" s="62" t="str">
        <f t="shared" ref="F2828:G2828" si="5656">IF(isblank(F$1),,IF(isblank($A2828),,IFERROR(vlookup($A2828,indirect("'TVC-"&amp;text(month(F$1),"00")&amp;"'!$A:$D"),4,false),1)))</f>
        <v/>
      </c>
      <c r="G2828" s="62" t="str">
        <f t="shared" si="5656"/>
        <v/>
      </c>
      <c r="H2828" s="62">
        <f t="shared" ref="H2828:Q2828" si="5657">IF(isblank(H$1),,IFERROR(vlookup($A2828,indirect("'TVC-"&amp;text(month(H$1),"00")&amp;"'!$A:$D"),4,false),1))</f>
        <v>1</v>
      </c>
      <c r="I2828" s="62">
        <f t="shared" si="5657"/>
        <v>1</v>
      </c>
      <c r="J2828" s="62">
        <f t="shared" si="5657"/>
        <v>1</v>
      </c>
      <c r="K2828" s="62">
        <f t="shared" si="5657"/>
        <v>1</v>
      </c>
      <c r="L2828" s="62">
        <f t="shared" si="5657"/>
        <v>1</v>
      </c>
      <c r="M2828" s="62">
        <f t="shared" si="5657"/>
        <v>1</v>
      </c>
      <c r="N2828" s="62">
        <f t="shared" si="5657"/>
        <v>1</v>
      </c>
      <c r="O2828" s="62">
        <f t="shared" si="5657"/>
        <v>1</v>
      </c>
      <c r="P2828" s="62" t="str">
        <f t="shared" si="5657"/>
        <v/>
      </c>
      <c r="Q2828" s="62" t="str">
        <f t="shared" si="5657"/>
        <v/>
      </c>
      <c r="R2828" s="62">
        <f t="shared" si="7"/>
        <v>0</v>
      </c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</row>
    <row r="2829" hidden="1">
      <c r="A2829" s="60"/>
      <c r="B2829" s="60"/>
      <c r="C2829" s="60"/>
      <c r="D2829" s="60"/>
      <c r="E2829" s="62" t="str">
        <f t="shared" si="5153"/>
        <v/>
      </c>
      <c r="F2829" s="62" t="str">
        <f t="shared" ref="F2829:G2829" si="5658">IF(isblank(F$1),,IF(isblank($A2829),,IFERROR(vlookup($A2829,indirect("'TVC-"&amp;text(month(F$1),"00")&amp;"'!$A:$D"),4,false),1)))</f>
        <v/>
      </c>
      <c r="G2829" s="62" t="str">
        <f t="shared" si="5658"/>
        <v/>
      </c>
      <c r="H2829" s="62">
        <f t="shared" ref="H2829:Q2829" si="5659">IF(isblank(H$1),,IFERROR(vlookup($A2829,indirect("'TVC-"&amp;text(month(H$1),"00")&amp;"'!$A:$D"),4,false),1))</f>
        <v>1</v>
      </c>
      <c r="I2829" s="62">
        <f t="shared" si="5659"/>
        <v>1</v>
      </c>
      <c r="J2829" s="62">
        <f t="shared" si="5659"/>
        <v>1</v>
      </c>
      <c r="K2829" s="62">
        <f t="shared" si="5659"/>
        <v>1</v>
      </c>
      <c r="L2829" s="62">
        <f t="shared" si="5659"/>
        <v>1</v>
      </c>
      <c r="M2829" s="62">
        <f t="shared" si="5659"/>
        <v>1</v>
      </c>
      <c r="N2829" s="62">
        <f t="shared" si="5659"/>
        <v>1</v>
      </c>
      <c r="O2829" s="62">
        <f t="shared" si="5659"/>
        <v>1</v>
      </c>
      <c r="P2829" s="62" t="str">
        <f t="shared" si="5659"/>
        <v/>
      </c>
      <c r="Q2829" s="62" t="str">
        <f t="shared" si="5659"/>
        <v/>
      </c>
      <c r="R2829" s="62">
        <f t="shared" si="7"/>
        <v>0</v>
      </c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</row>
    <row r="2830" hidden="1">
      <c r="A2830" s="60"/>
      <c r="B2830" s="60"/>
      <c r="C2830" s="60"/>
      <c r="D2830" s="60"/>
      <c r="E2830" s="62" t="str">
        <f t="shared" si="5153"/>
        <v/>
      </c>
      <c r="F2830" s="62" t="str">
        <f t="shared" ref="F2830:G2830" si="5660">IF(isblank(F$1),,IF(isblank($A2830),,IFERROR(vlookup($A2830,indirect("'TVC-"&amp;text(month(F$1),"00")&amp;"'!$A:$D"),4,false),1)))</f>
        <v/>
      </c>
      <c r="G2830" s="62" t="str">
        <f t="shared" si="5660"/>
        <v/>
      </c>
      <c r="H2830" s="62">
        <f t="shared" ref="H2830:Q2830" si="5661">IF(isblank(H$1),,IFERROR(vlookup($A2830,indirect("'TVC-"&amp;text(month(H$1),"00")&amp;"'!$A:$D"),4,false),1))</f>
        <v>1</v>
      </c>
      <c r="I2830" s="62">
        <f t="shared" si="5661"/>
        <v>1</v>
      </c>
      <c r="J2830" s="62">
        <f t="shared" si="5661"/>
        <v>1</v>
      </c>
      <c r="K2830" s="62">
        <f t="shared" si="5661"/>
        <v>1</v>
      </c>
      <c r="L2830" s="62">
        <f t="shared" si="5661"/>
        <v>1</v>
      </c>
      <c r="M2830" s="62">
        <f t="shared" si="5661"/>
        <v>1</v>
      </c>
      <c r="N2830" s="62">
        <f t="shared" si="5661"/>
        <v>1</v>
      </c>
      <c r="O2830" s="62">
        <f t="shared" si="5661"/>
        <v>1</v>
      </c>
      <c r="P2830" s="62" t="str">
        <f t="shared" si="5661"/>
        <v/>
      </c>
      <c r="Q2830" s="62" t="str">
        <f t="shared" si="5661"/>
        <v/>
      </c>
      <c r="R2830" s="62">
        <f t="shared" si="7"/>
        <v>0</v>
      </c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</row>
    <row r="2831" hidden="1">
      <c r="A2831" s="60"/>
      <c r="B2831" s="60"/>
      <c r="C2831" s="60"/>
      <c r="D2831" s="60"/>
      <c r="E2831" s="62" t="str">
        <f t="shared" si="5153"/>
        <v/>
      </c>
      <c r="F2831" s="62" t="str">
        <f t="shared" ref="F2831:G2831" si="5662">IF(isblank(F$1),,IF(isblank($A2831),,IFERROR(vlookup($A2831,indirect("'TVC-"&amp;text(month(F$1),"00")&amp;"'!$A:$D"),4,false),1)))</f>
        <v/>
      </c>
      <c r="G2831" s="62" t="str">
        <f t="shared" si="5662"/>
        <v/>
      </c>
      <c r="H2831" s="62">
        <f t="shared" ref="H2831:Q2831" si="5663">IF(isblank(H$1),,IFERROR(vlookup($A2831,indirect("'TVC-"&amp;text(month(H$1),"00")&amp;"'!$A:$D"),4,false),1))</f>
        <v>1</v>
      </c>
      <c r="I2831" s="62">
        <f t="shared" si="5663"/>
        <v>1</v>
      </c>
      <c r="J2831" s="62">
        <f t="shared" si="5663"/>
        <v>1</v>
      </c>
      <c r="K2831" s="62">
        <f t="shared" si="5663"/>
        <v>1</v>
      </c>
      <c r="L2831" s="62">
        <f t="shared" si="5663"/>
        <v>1</v>
      </c>
      <c r="M2831" s="62">
        <f t="shared" si="5663"/>
        <v>1</v>
      </c>
      <c r="N2831" s="62">
        <f t="shared" si="5663"/>
        <v>1</v>
      </c>
      <c r="O2831" s="62">
        <f t="shared" si="5663"/>
        <v>1</v>
      </c>
      <c r="P2831" s="62" t="str">
        <f t="shared" si="5663"/>
        <v/>
      </c>
      <c r="Q2831" s="62" t="str">
        <f t="shared" si="5663"/>
        <v/>
      </c>
      <c r="R2831" s="62">
        <f t="shared" si="7"/>
        <v>0</v>
      </c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</row>
    <row r="2832" hidden="1">
      <c r="A2832" s="60"/>
      <c r="B2832" s="60"/>
      <c r="C2832" s="60"/>
      <c r="D2832" s="60"/>
      <c r="E2832" s="62" t="str">
        <f t="shared" si="5153"/>
        <v/>
      </c>
      <c r="F2832" s="62" t="str">
        <f t="shared" ref="F2832:G2832" si="5664">IF(isblank(F$1),,IF(isblank($A2832),,IFERROR(vlookup($A2832,indirect("'TVC-"&amp;text(month(F$1),"00")&amp;"'!$A:$D"),4,false),1)))</f>
        <v/>
      </c>
      <c r="G2832" s="62" t="str">
        <f t="shared" si="5664"/>
        <v/>
      </c>
      <c r="H2832" s="62">
        <f t="shared" ref="H2832:Q2832" si="5665">IF(isblank(H$1),,IFERROR(vlookup($A2832,indirect("'TVC-"&amp;text(month(H$1),"00")&amp;"'!$A:$D"),4,false),1))</f>
        <v>1</v>
      </c>
      <c r="I2832" s="62">
        <f t="shared" si="5665"/>
        <v>1</v>
      </c>
      <c r="J2832" s="62">
        <f t="shared" si="5665"/>
        <v>1</v>
      </c>
      <c r="K2832" s="62">
        <f t="shared" si="5665"/>
        <v>1</v>
      </c>
      <c r="L2832" s="62">
        <f t="shared" si="5665"/>
        <v>1</v>
      </c>
      <c r="M2832" s="62">
        <f t="shared" si="5665"/>
        <v>1</v>
      </c>
      <c r="N2832" s="62">
        <f t="shared" si="5665"/>
        <v>1</v>
      </c>
      <c r="O2832" s="62">
        <f t="shared" si="5665"/>
        <v>1</v>
      </c>
      <c r="P2832" s="62" t="str">
        <f t="shared" si="5665"/>
        <v/>
      </c>
      <c r="Q2832" s="62" t="str">
        <f t="shared" si="5665"/>
        <v/>
      </c>
      <c r="R2832" s="62">
        <f t="shared" si="7"/>
        <v>0</v>
      </c>
      <c r="S2832" s="62"/>
      <c r="T2832" s="62"/>
      <c r="U2832" s="62"/>
      <c r="V2832" s="62"/>
      <c r="W2832" s="62"/>
      <c r="X2832" s="62"/>
      <c r="Y2832" s="62"/>
      <c r="Z2832" s="62"/>
      <c r="AA2832" s="62"/>
      <c r="AB2832" s="62"/>
      <c r="AC2832" s="62"/>
    </row>
    <row r="2833" hidden="1">
      <c r="A2833" s="60"/>
      <c r="B2833" s="60"/>
      <c r="C2833" s="60"/>
      <c r="D2833" s="60"/>
      <c r="E2833" s="62" t="str">
        <f t="shared" si="5153"/>
        <v/>
      </c>
      <c r="F2833" s="62" t="str">
        <f t="shared" ref="F2833:G2833" si="5666">IF(isblank(F$1),,IF(isblank($A2833),,IFERROR(vlookup($A2833,indirect("'TVC-"&amp;text(month(F$1),"00")&amp;"'!$A:$D"),4,false),1)))</f>
        <v/>
      </c>
      <c r="G2833" s="62" t="str">
        <f t="shared" si="5666"/>
        <v/>
      </c>
      <c r="H2833" s="62">
        <f t="shared" ref="H2833:Q2833" si="5667">IF(isblank(H$1),,IFERROR(vlookup($A2833,indirect("'TVC-"&amp;text(month(H$1),"00")&amp;"'!$A:$D"),4,false),1))</f>
        <v>1</v>
      </c>
      <c r="I2833" s="62">
        <f t="shared" si="5667"/>
        <v>1</v>
      </c>
      <c r="J2833" s="62">
        <f t="shared" si="5667"/>
        <v>1</v>
      </c>
      <c r="K2833" s="62">
        <f t="shared" si="5667"/>
        <v>1</v>
      </c>
      <c r="L2833" s="62">
        <f t="shared" si="5667"/>
        <v>1</v>
      </c>
      <c r="M2833" s="62">
        <f t="shared" si="5667"/>
        <v>1</v>
      </c>
      <c r="N2833" s="62">
        <f t="shared" si="5667"/>
        <v>1</v>
      </c>
      <c r="O2833" s="62">
        <f t="shared" si="5667"/>
        <v>1</v>
      </c>
      <c r="P2833" s="62" t="str">
        <f t="shared" si="5667"/>
        <v/>
      </c>
      <c r="Q2833" s="62" t="str">
        <f t="shared" si="5667"/>
        <v/>
      </c>
      <c r="R2833" s="62">
        <f t="shared" si="7"/>
        <v>0</v>
      </c>
      <c r="S2833" s="62"/>
      <c r="T2833" s="62"/>
      <c r="U2833" s="62"/>
      <c r="V2833" s="62"/>
      <c r="W2833" s="62"/>
      <c r="X2833" s="62"/>
      <c r="Y2833" s="62"/>
      <c r="Z2833" s="62"/>
      <c r="AA2833" s="62"/>
      <c r="AB2833" s="62"/>
      <c r="AC2833" s="62"/>
    </row>
    <row r="2834" hidden="1">
      <c r="A2834" s="60"/>
      <c r="B2834" s="60"/>
      <c r="C2834" s="60"/>
      <c r="D2834" s="60"/>
      <c r="E2834" s="62" t="str">
        <f t="shared" si="5153"/>
        <v/>
      </c>
      <c r="F2834" s="62" t="str">
        <f t="shared" ref="F2834:G2834" si="5668">IF(isblank(F$1),,IF(isblank($A2834),,IFERROR(vlookup($A2834,indirect("'TVC-"&amp;text(month(F$1),"00")&amp;"'!$A:$D"),4,false),1)))</f>
        <v/>
      </c>
      <c r="G2834" s="62" t="str">
        <f t="shared" si="5668"/>
        <v/>
      </c>
      <c r="H2834" s="62">
        <f t="shared" ref="H2834:Q2834" si="5669">IF(isblank(H$1),,IFERROR(vlookup($A2834,indirect("'TVC-"&amp;text(month(H$1),"00")&amp;"'!$A:$D"),4,false),1))</f>
        <v>1</v>
      </c>
      <c r="I2834" s="62">
        <f t="shared" si="5669"/>
        <v>1</v>
      </c>
      <c r="J2834" s="62">
        <f t="shared" si="5669"/>
        <v>1</v>
      </c>
      <c r="K2834" s="62">
        <f t="shared" si="5669"/>
        <v>1</v>
      </c>
      <c r="L2834" s="62">
        <f t="shared" si="5669"/>
        <v>1</v>
      </c>
      <c r="M2834" s="62">
        <f t="shared" si="5669"/>
        <v>1</v>
      </c>
      <c r="N2834" s="62">
        <f t="shared" si="5669"/>
        <v>1</v>
      </c>
      <c r="O2834" s="62">
        <f t="shared" si="5669"/>
        <v>1</v>
      </c>
      <c r="P2834" s="62" t="str">
        <f t="shared" si="5669"/>
        <v/>
      </c>
      <c r="Q2834" s="62" t="str">
        <f t="shared" si="5669"/>
        <v/>
      </c>
      <c r="R2834" s="62">
        <f t="shared" si="7"/>
        <v>0</v>
      </c>
      <c r="S2834" s="62"/>
      <c r="T2834" s="62"/>
      <c r="U2834" s="62"/>
      <c r="V2834" s="62"/>
      <c r="W2834" s="62"/>
      <c r="X2834" s="62"/>
      <c r="Y2834" s="62"/>
      <c r="Z2834" s="62"/>
      <c r="AA2834" s="62"/>
      <c r="AB2834" s="62"/>
      <c r="AC2834" s="62"/>
    </row>
    <row r="2835" hidden="1">
      <c r="A2835" s="60"/>
      <c r="B2835" s="60"/>
      <c r="C2835" s="60"/>
      <c r="D2835" s="60"/>
      <c r="E2835" s="62" t="str">
        <f t="shared" si="5153"/>
        <v/>
      </c>
      <c r="F2835" s="62" t="str">
        <f t="shared" ref="F2835:G2835" si="5670">IF(isblank(F$1),,IF(isblank($A2835),,IFERROR(vlookup($A2835,indirect("'TVC-"&amp;text(month(F$1),"00")&amp;"'!$A:$D"),4,false),1)))</f>
        <v/>
      </c>
      <c r="G2835" s="62" t="str">
        <f t="shared" si="5670"/>
        <v/>
      </c>
      <c r="H2835" s="62">
        <f t="shared" ref="H2835:Q2835" si="5671">IF(isblank(H$1),,IFERROR(vlookup($A2835,indirect("'TVC-"&amp;text(month(H$1),"00")&amp;"'!$A:$D"),4,false),1))</f>
        <v>1</v>
      </c>
      <c r="I2835" s="62">
        <f t="shared" si="5671"/>
        <v>1</v>
      </c>
      <c r="J2835" s="62">
        <f t="shared" si="5671"/>
        <v>1</v>
      </c>
      <c r="K2835" s="62">
        <f t="shared" si="5671"/>
        <v>1</v>
      </c>
      <c r="L2835" s="62">
        <f t="shared" si="5671"/>
        <v>1</v>
      </c>
      <c r="M2835" s="62">
        <f t="shared" si="5671"/>
        <v>1</v>
      </c>
      <c r="N2835" s="62">
        <f t="shared" si="5671"/>
        <v>1</v>
      </c>
      <c r="O2835" s="62">
        <f t="shared" si="5671"/>
        <v>1</v>
      </c>
      <c r="P2835" s="62" t="str">
        <f t="shared" si="5671"/>
        <v/>
      </c>
      <c r="Q2835" s="62" t="str">
        <f t="shared" si="5671"/>
        <v/>
      </c>
      <c r="R2835" s="62">
        <f t="shared" si="7"/>
        <v>0</v>
      </c>
      <c r="S2835" s="62"/>
      <c r="T2835" s="62"/>
      <c r="U2835" s="62"/>
      <c r="V2835" s="62"/>
      <c r="W2835" s="62"/>
      <c r="X2835" s="62"/>
      <c r="Y2835" s="62"/>
      <c r="Z2835" s="62"/>
      <c r="AA2835" s="62"/>
      <c r="AB2835" s="62"/>
      <c r="AC2835" s="62"/>
    </row>
    <row r="2836" hidden="1">
      <c r="A2836" s="60"/>
      <c r="B2836" s="60"/>
      <c r="C2836" s="60"/>
      <c r="D2836" s="60"/>
      <c r="E2836" s="62" t="str">
        <f t="shared" si="5153"/>
        <v/>
      </c>
      <c r="F2836" s="62" t="str">
        <f t="shared" ref="F2836:G2836" si="5672">IF(isblank(F$1),,IF(isblank($A2836),,IFERROR(vlookup($A2836,indirect("'TVC-"&amp;text(month(F$1),"00")&amp;"'!$A:$D"),4,false),1)))</f>
        <v/>
      </c>
      <c r="G2836" s="62" t="str">
        <f t="shared" si="5672"/>
        <v/>
      </c>
      <c r="H2836" s="62">
        <f t="shared" ref="H2836:Q2836" si="5673">IF(isblank(H$1),,IFERROR(vlookup($A2836,indirect("'TVC-"&amp;text(month(H$1),"00")&amp;"'!$A:$D"),4,false),1))</f>
        <v>1</v>
      </c>
      <c r="I2836" s="62">
        <f t="shared" si="5673"/>
        <v>1</v>
      </c>
      <c r="J2836" s="62">
        <f t="shared" si="5673"/>
        <v>1</v>
      </c>
      <c r="K2836" s="62">
        <f t="shared" si="5673"/>
        <v>1</v>
      </c>
      <c r="L2836" s="62">
        <f t="shared" si="5673"/>
        <v>1</v>
      </c>
      <c r="M2836" s="62">
        <f t="shared" si="5673"/>
        <v>1</v>
      </c>
      <c r="N2836" s="62">
        <f t="shared" si="5673"/>
        <v>1</v>
      </c>
      <c r="O2836" s="62">
        <f t="shared" si="5673"/>
        <v>1</v>
      </c>
      <c r="P2836" s="62" t="str">
        <f t="shared" si="5673"/>
        <v/>
      </c>
      <c r="Q2836" s="62" t="str">
        <f t="shared" si="5673"/>
        <v/>
      </c>
      <c r="R2836" s="62">
        <f t="shared" si="7"/>
        <v>0</v>
      </c>
      <c r="S2836" s="62"/>
      <c r="T2836" s="62"/>
      <c r="U2836" s="62"/>
      <c r="V2836" s="62"/>
      <c r="W2836" s="62"/>
      <c r="X2836" s="62"/>
      <c r="Y2836" s="62"/>
      <c r="Z2836" s="62"/>
      <c r="AA2836" s="62"/>
      <c r="AB2836" s="62"/>
      <c r="AC2836" s="62"/>
    </row>
    <row r="2837" hidden="1">
      <c r="A2837" s="60"/>
      <c r="B2837" s="60"/>
      <c r="C2837" s="60"/>
      <c r="D2837" s="60"/>
      <c r="E2837" s="62" t="str">
        <f t="shared" si="5153"/>
        <v/>
      </c>
      <c r="F2837" s="62" t="str">
        <f t="shared" ref="F2837:G2837" si="5674">IF(isblank(F$1),,IF(isblank($A2837),,IFERROR(vlookup($A2837,indirect("'TVC-"&amp;text(month(F$1),"00")&amp;"'!$A:$D"),4,false),1)))</f>
        <v/>
      </c>
      <c r="G2837" s="62" t="str">
        <f t="shared" si="5674"/>
        <v/>
      </c>
      <c r="H2837" s="62">
        <f t="shared" ref="H2837:Q2837" si="5675">IF(isblank(H$1),,IFERROR(vlookup($A2837,indirect("'TVC-"&amp;text(month(H$1),"00")&amp;"'!$A:$D"),4,false),1))</f>
        <v>1</v>
      </c>
      <c r="I2837" s="62">
        <f t="shared" si="5675"/>
        <v>1</v>
      </c>
      <c r="J2837" s="62">
        <f t="shared" si="5675"/>
        <v>1</v>
      </c>
      <c r="K2837" s="62">
        <f t="shared" si="5675"/>
        <v>1</v>
      </c>
      <c r="L2837" s="62">
        <f t="shared" si="5675"/>
        <v>1</v>
      </c>
      <c r="M2837" s="62">
        <f t="shared" si="5675"/>
        <v>1</v>
      </c>
      <c r="N2837" s="62">
        <f t="shared" si="5675"/>
        <v>1</v>
      </c>
      <c r="O2837" s="62">
        <f t="shared" si="5675"/>
        <v>1</v>
      </c>
      <c r="P2837" s="62" t="str">
        <f t="shared" si="5675"/>
        <v/>
      </c>
      <c r="Q2837" s="62" t="str">
        <f t="shared" si="5675"/>
        <v/>
      </c>
      <c r="R2837" s="62">
        <f t="shared" si="7"/>
        <v>0</v>
      </c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</row>
    <row r="2838" hidden="1">
      <c r="A2838" s="60"/>
      <c r="B2838" s="60"/>
      <c r="C2838" s="60"/>
      <c r="D2838" s="60"/>
      <c r="E2838" s="62" t="str">
        <f t="shared" si="5153"/>
        <v/>
      </c>
      <c r="F2838" s="62" t="str">
        <f t="shared" ref="F2838:G2838" si="5676">IF(isblank(F$1),,IF(isblank($A2838),,IFERROR(vlookup($A2838,indirect("'TVC-"&amp;text(month(F$1),"00")&amp;"'!$A:$D"),4,false),1)))</f>
        <v/>
      </c>
      <c r="G2838" s="62" t="str">
        <f t="shared" si="5676"/>
        <v/>
      </c>
      <c r="H2838" s="62">
        <f t="shared" ref="H2838:Q2838" si="5677">IF(isblank(H$1),,IFERROR(vlookup($A2838,indirect("'TVC-"&amp;text(month(H$1),"00")&amp;"'!$A:$D"),4,false),1))</f>
        <v>1</v>
      </c>
      <c r="I2838" s="62">
        <f t="shared" si="5677"/>
        <v>1</v>
      </c>
      <c r="J2838" s="62">
        <f t="shared" si="5677"/>
        <v>1</v>
      </c>
      <c r="K2838" s="62">
        <f t="shared" si="5677"/>
        <v>1</v>
      </c>
      <c r="L2838" s="62">
        <f t="shared" si="5677"/>
        <v>1</v>
      </c>
      <c r="M2838" s="62">
        <f t="shared" si="5677"/>
        <v>1</v>
      </c>
      <c r="N2838" s="62">
        <f t="shared" si="5677"/>
        <v>1</v>
      </c>
      <c r="O2838" s="62">
        <f t="shared" si="5677"/>
        <v>1</v>
      </c>
      <c r="P2838" s="62" t="str">
        <f t="shared" si="5677"/>
        <v/>
      </c>
      <c r="Q2838" s="62" t="str">
        <f t="shared" si="5677"/>
        <v/>
      </c>
      <c r="R2838" s="62">
        <f t="shared" si="7"/>
        <v>0</v>
      </c>
      <c r="S2838" s="62"/>
      <c r="T2838" s="62"/>
      <c r="U2838" s="62"/>
      <c r="V2838" s="62"/>
      <c r="W2838" s="62"/>
      <c r="X2838" s="62"/>
      <c r="Y2838" s="62"/>
      <c r="Z2838" s="62"/>
      <c r="AA2838" s="62"/>
      <c r="AB2838" s="62"/>
      <c r="AC2838" s="62"/>
    </row>
    <row r="2839" hidden="1">
      <c r="A2839" s="60"/>
      <c r="B2839" s="60"/>
      <c r="C2839" s="60"/>
      <c r="D2839" s="60"/>
      <c r="E2839" s="62" t="str">
        <f t="shared" si="5153"/>
        <v/>
      </c>
      <c r="F2839" s="62" t="str">
        <f t="shared" ref="F2839:G2839" si="5678">IF(isblank(F$1),,IF(isblank($A2839),,IFERROR(vlookup($A2839,indirect("'TVC-"&amp;text(month(F$1),"00")&amp;"'!$A:$D"),4,false),1)))</f>
        <v/>
      </c>
      <c r="G2839" s="62" t="str">
        <f t="shared" si="5678"/>
        <v/>
      </c>
      <c r="H2839" s="62">
        <f t="shared" ref="H2839:Q2839" si="5679">IF(isblank(H$1),,IFERROR(vlookup($A2839,indirect("'TVC-"&amp;text(month(H$1),"00")&amp;"'!$A:$D"),4,false),1))</f>
        <v>1</v>
      </c>
      <c r="I2839" s="62">
        <f t="shared" si="5679"/>
        <v>1</v>
      </c>
      <c r="J2839" s="62">
        <f t="shared" si="5679"/>
        <v>1</v>
      </c>
      <c r="K2839" s="62">
        <f t="shared" si="5679"/>
        <v>1</v>
      </c>
      <c r="L2839" s="62">
        <f t="shared" si="5679"/>
        <v>1</v>
      </c>
      <c r="M2839" s="62">
        <f t="shared" si="5679"/>
        <v>1</v>
      </c>
      <c r="N2839" s="62">
        <f t="shared" si="5679"/>
        <v>1</v>
      </c>
      <c r="O2839" s="62">
        <f t="shared" si="5679"/>
        <v>1</v>
      </c>
      <c r="P2839" s="62" t="str">
        <f t="shared" si="5679"/>
        <v/>
      </c>
      <c r="Q2839" s="62" t="str">
        <f t="shared" si="5679"/>
        <v/>
      </c>
      <c r="R2839" s="62">
        <f t="shared" si="7"/>
        <v>0</v>
      </c>
      <c r="S2839" s="62"/>
      <c r="T2839" s="62"/>
      <c r="U2839" s="62"/>
      <c r="V2839" s="62"/>
      <c r="W2839" s="62"/>
      <c r="X2839" s="62"/>
      <c r="Y2839" s="62"/>
      <c r="Z2839" s="62"/>
      <c r="AA2839" s="62"/>
      <c r="AB2839" s="62"/>
      <c r="AC2839" s="62"/>
    </row>
    <row r="2840" hidden="1">
      <c r="A2840" s="60"/>
      <c r="B2840" s="60"/>
      <c r="C2840" s="60"/>
      <c r="D2840" s="60"/>
      <c r="E2840" s="62" t="str">
        <f t="shared" si="5153"/>
        <v/>
      </c>
      <c r="F2840" s="62" t="str">
        <f t="shared" ref="F2840:G2840" si="5680">IF(isblank(F$1),,IF(isblank($A2840),,IFERROR(vlookup($A2840,indirect("'TVC-"&amp;text(month(F$1),"00")&amp;"'!$A:$D"),4,false),1)))</f>
        <v/>
      </c>
      <c r="G2840" s="62" t="str">
        <f t="shared" si="5680"/>
        <v/>
      </c>
      <c r="H2840" s="62">
        <f t="shared" ref="H2840:Q2840" si="5681">IF(isblank(H$1),,IFERROR(vlookup($A2840,indirect("'TVC-"&amp;text(month(H$1),"00")&amp;"'!$A:$D"),4,false),1))</f>
        <v>1</v>
      </c>
      <c r="I2840" s="62">
        <f t="shared" si="5681"/>
        <v>1</v>
      </c>
      <c r="J2840" s="62">
        <f t="shared" si="5681"/>
        <v>1</v>
      </c>
      <c r="K2840" s="62">
        <f t="shared" si="5681"/>
        <v>1</v>
      </c>
      <c r="L2840" s="62">
        <f t="shared" si="5681"/>
        <v>1</v>
      </c>
      <c r="M2840" s="62">
        <f t="shared" si="5681"/>
        <v>1</v>
      </c>
      <c r="N2840" s="62">
        <f t="shared" si="5681"/>
        <v>1</v>
      </c>
      <c r="O2840" s="62">
        <f t="shared" si="5681"/>
        <v>1</v>
      </c>
      <c r="P2840" s="62" t="str">
        <f t="shared" si="5681"/>
        <v/>
      </c>
      <c r="Q2840" s="62" t="str">
        <f t="shared" si="5681"/>
        <v/>
      </c>
      <c r="R2840" s="62">
        <f t="shared" si="7"/>
        <v>0</v>
      </c>
      <c r="S2840" s="62"/>
      <c r="T2840" s="62"/>
      <c r="U2840" s="62"/>
      <c r="V2840" s="62"/>
      <c r="W2840" s="62"/>
      <c r="X2840" s="62"/>
      <c r="Y2840" s="62"/>
      <c r="Z2840" s="62"/>
      <c r="AA2840" s="62"/>
      <c r="AB2840" s="62"/>
      <c r="AC2840" s="62"/>
    </row>
    <row r="2841" hidden="1">
      <c r="A2841" s="60"/>
      <c r="B2841" s="60"/>
      <c r="C2841" s="60"/>
      <c r="D2841" s="60"/>
      <c r="E2841" s="62" t="str">
        <f t="shared" si="5153"/>
        <v/>
      </c>
      <c r="F2841" s="62" t="str">
        <f t="shared" ref="F2841:G2841" si="5682">IF(isblank(F$1),,IF(isblank($A2841),,IFERROR(vlookup($A2841,indirect("'TVC-"&amp;text(month(F$1),"00")&amp;"'!$A:$D"),4,false),1)))</f>
        <v/>
      </c>
      <c r="G2841" s="62" t="str">
        <f t="shared" si="5682"/>
        <v/>
      </c>
      <c r="H2841" s="62">
        <f t="shared" ref="H2841:Q2841" si="5683">IF(isblank(H$1),,IFERROR(vlookup($A2841,indirect("'TVC-"&amp;text(month(H$1),"00")&amp;"'!$A:$D"),4,false),1))</f>
        <v>1</v>
      </c>
      <c r="I2841" s="62">
        <f t="shared" si="5683"/>
        <v>1</v>
      </c>
      <c r="J2841" s="62">
        <f t="shared" si="5683"/>
        <v>1</v>
      </c>
      <c r="K2841" s="62">
        <f t="shared" si="5683"/>
        <v>1</v>
      </c>
      <c r="L2841" s="62">
        <f t="shared" si="5683"/>
        <v>1</v>
      </c>
      <c r="M2841" s="62">
        <f t="shared" si="5683"/>
        <v>1</v>
      </c>
      <c r="N2841" s="62">
        <f t="shared" si="5683"/>
        <v>1</v>
      </c>
      <c r="O2841" s="62">
        <f t="shared" si="5683"/>
        <v>1</v>
      </c>
      <c r="P2841" s="62" t="str">
        <f t="shared" si="5683"/>
        <v/>
      </c>
      <c r="Q2841" s="62" t="str">
        <f t="shared" si="5683"/>
        <v/>
      </c>
      <c r="R2841" s="62">
        <f t="shared" si="7"/>
        <v>0</v>
      </c>
      <c r="S2841" s="62"/>
      <c r="T2841" s="62"/>
      <c r="U2841" s="62"/>
      <c r="V2841" s="62"/>
      <c r="W2841" s="62"/>
      <c r="X2841" s="62"/>
      <c r="Y2841" s="62"/>
      <c r="Z2841" s="62"/>
      <c r="AA2841" s="62"/>
      <c r="AB2841" s="62"/>
      <c r="AC2841" s="62"/>
    </row>
    <row r="2842" hidden="1">
      <c r="A2842" s="60"/>
      <c r="B2842" s="60"/>
      <c r="C2842" s="60"/>
      <c r="D2842" s="60"/>
      <c r="E2842" s="62" t="str">
        <f t="shared" si="5153"/>
        <v/>
      </c>
      <c r="F2842" s="62" t="str">
        <f t="shared" ref="F2842:G2842" si="5684">IF(isblank(F$1),,IF(isblank($A2842),,IFERROR(vlookup($A2842,indirect("'TVC-"&amp;text(month(F$1),"00")&amp;"'!$A:$D"),4,false),1)))</f>
        <v/>
      </c>
      <c r="G2842" s="62" t="str">
        <f t="shared" si="5684"/>
        <v/>
      </c>
      <c r="H2842" s="62">
        <f t="shared" ref="H2842:Q2842" si="5685">IF(isblank(H$1),,IFERROR(vlookup($A2842,indirect("'TVC-"&amp;text(month(H$1),"00")&amp;"'!$A:$D"),4,false),1))</f>
        <v>1</v>
      </c>
      <c r="I2842" s="62">
        <f t="shared" si="5685"/>
        <v>1</v>
      </c>
      <c r="J2842" s="62">
        <f t="shared" si="5685"/>
        <v>1</v>
      </c>
      <c r="K2842" s="62">
        <f t="shared" si="5685"/>
        <v>1</v>
      </c>
      <c r="L2842" s="62">
        <f t="shared" si="5685"/>
        <v>1</v>
      </c>
      <c r="M2842" s="62">
        <f t="shared" si="5685"/>
        <v>1</v>
      </c>
      <c r="N2842" s="62">
        <f t="shared" si="5685"/>
        <v>1</v>
      </c>
      <c r="O2842" s="62">
        <f t="shared" si="5685"/>
        <v>1</v>
      </c>
      <c r="P2842" s="62" t="str">
        <f t="shared" si="5685"/>
        <v/>
      </c>
      <c r="Q2842" s="62" t="str">
        <f t="shared" si="5685"/>
        <v/>
      </c>
      <c r="R2842" s="62">
        <f t="shared" si="7"/>
        <v>0</v>
      </c>
      <c r="S2842" s="62"/>
      <c r="T2842" s="62"/>
      <c r="U2842" s="62"/>
      <c r="V2842" s="62"/>
      <c r="W2842" s="62"/>
      <c r="X2842" s="62"/>
      <c r="Y2842" s="62"/>
      <c r="Z2842" s="62"/>
      <c r="AA2842" s="62"/>
      <c r="AB2842" s="62"/>
      <c r="AC2842" s="62"/>
    </row>
    <row r="2843" hidden="1">
      <c r="A2843" s="60"/>
      <c r="B2843" s="60"/>
      <c r="C2843" s="60"/>
      <c r="D2843" s="60"/>
      <c r="E2843" s="62" t="str">
        <f t="shared" si="5153"/>
        <v/>
      </c>
      <c r="F2843" s="62" t="str">
        <f t="shared" ref="F2843:G2843" si="5686">IF(isblank(F$1),,IF(isblank($A2843),,IFERROR(vlookup($A2843,indirect("'TVC-"&amp;text(month(F$1),"00")&amp;"'!$A:$D"),4,false),1)))</f>
        <v/>
      </c>
      <c r="G2843" s="62" t="str">
        <f t="shared" si="5686"/>
        <v/>
      </c>
      <c r="H2843" s="62">
        <f t="shared" ref="H2843:Q2843" si="5687">IF(isblank(H$1),,IFERROR(vlookup($A2843,indirect("'TVC-"&amp;text(month(H$1),"00")&amp;"'!$A:$D"),4,false),1))</f>
        <v>1</v>
      </c>
      <c r="I2843" s="62">
        <f t="shared" si="5687"/>
        <v>1</v>
      </c>
      <c r="J2843" s="62">
        <f t="shared" si="5687"/>
        <v>1</v>
      </c>
      <c r="K2843" s="62">
        <f t="shared" si="5687"/>
        <v>1</v>
      </c>
      <c r="L2843" s="62">
        <f t="shared" si="5687"/>
        <v>1</v>
      </c>
      <c r="M2843" s="62">
        <f t="shared" si="5687"/>
        <v>1</v>
      </c>
      <c r="N2843" s="62">
        <f t="shared" si="5687"/>
        <v>1</v>
      </c>
      <c r="O2843" s="62">
        <f t="shared" si="5687"/>
        <v>1</v>
      </c>
      <c r="P2843" s="62" t="str">
        <f t="shared" si="5687"/>
        <v/>
      </c>
      <c r="Q2843" s="62" t="str">
        <f t="shared" si="5687"/>
        <v/>
      </c>
      <c r="R2843" s="62">
        <f t="shared" si="7"/>
        <v>0</v>
      </c>
      <c r="S2843" s="62"/>
      <c r="T2843" s="62"/>
      <c r="U2843" s="62"/>
      <c r="V2843" s="62"/>
      <c r="W2843" s="62"/>
      <c r="X2843" s="62"/>
      <c r="Y2843" s="62"/>
      <c r="Z2843" s="62"/>
      <c r="AA2843" s="62"/>
      <c r="AB2843" s="62"/>
      <c r="AC2843" s="62"/>
    </row>
    <row r="2844" hidden="1">
      <c r="A2844" s="60"/>
      <c r="B2844" s="60"/>
      <c r="C2844" s="60"/>
      <c r="D2844" s="60"/>
      <c r="E2844" s="62" t="str">
        <f t="shared" si="5153"/>
        <v/>
      </c>
      <c r="F2844" s="62" t="str">
        <f t="shared" ref="F2844:G2844" si="5688">IF(isblank(F$1),,IF(isblank($A2844),,IFERROR(vlookup($A2844,indirect("'TVC-"&amp;text(month(F$1),"00")&amp;"'!$A:$D"),4,false),1)))</f>
        <v/>
      </c>
      <c r="G2844" s="62" t="str">
        <f t="shared" si="5688"/>
        <v/>
      </c>
      <c r="H2844" s="62">
        <f t="shared" ref="H2844:Q2844" si="5689">IF(isblank(H$1),,IFERROR(vlookup($A2844,indirect("'TVC-"&amp;text(month(H$1),"00")&amp;"'!$A:$D"),4,false),1))</f>
        <v>1</v>
      </c>
      <c r="I2844" s="62">
        <f t="shared" si="5689"/>
        <v>1</v>
      </c>
      <c r="J2844" s="62">
        <f t="shared" si="5689"/>
        <v>1</v>
      </c>
      <c r="K2844" s="62">
        <f t="shared" si="5689"/>
        <v>1</v>
      </c>
      <c r="L2844" s="62">
        <f t="shared" si="5689"/>
        <v>1</v>
      </c>
      <c r="M2844" s="62">
        <f t="shared" si="5689"/>
        <v>1</v>
      </c>
      <c r="N2844" s="62">
        <f t="shared" si="5689"/>
        <v>1</v>
      </c>
      <c r="O2844" s="62">
        <f t="shared" si="5689"/>
        <v>1</v>
      </c>
      <c r="P2844" s="62" t="str">
        <f t="shared" si="5689"/>
        <v/>
      </c>
      <c r="Q2844" s="62" t="str">
        <f t="shared" si="5689"/>
        <v/>
      </c>
      <c r="R2844" s="62">
        <f t="shared" si="7"/>
        <v>0</v>
      </c>
      <c r="S2844" s="62"/>
      <c r="T2844" s="62"/>
      <c r="U2844" s="62"/>
      <c r="V2844" s="62"/>
      <c r="W2844" s="62"/>
      <c r="X2844" s="62"/>
      <c r="Y2844" s="62"/>
      <c r="Z2844" s="62"/>
      <c r="AA2844" s="62"/>
      <c r="AB2844" s="62"/>
      <c r="AC2844" s="62"/>
    </row>
    <row r="2845" hidden="1">
      <c r="A2845" s="60"/>
      <c r="B2845" s="60"/>
      <c r="C2845" s="60"/>
      <c r="D2845" s="60"/>
      <c r="E2845" s="62" t="str">
        <f t="shared" si="5153"/>
        <v/>
      </c>
      <c r="F2845" s="62" t="str">
        <f t="shared" ref="F2845:G2845" si="5690">IF(isblank(F$1),,IF(isblank($A2845),,IFERROR(vlookup($A2845,indirect("'TVC-"&amp;text(month(F$1),"00")&amp;"'!$A:$D"),4,false),1)))</f>
        <v/>
      </c>
      <c r="G2845" s="62" t="str">
        <f t="shared" si="5690"/>
        <v/>
      </c>
      <c r="H2845" s="62">
        <f t="shared" ref="H2845:Q2845" si="5691">IF(isblank(H$1),,IFERROR(vlookup($A2845,indirect("'TVC-"&amp;text(month(H$1),"00")&amp;"'!$A:$D"),4,false),1))</f>
        <v>1</v>
      </c>
      <c r="I2845" s="62">
        <f t="shared" si="5691"/>
        <v>1</v>
      </c>
      <c r="J2845" s="62">
        <f t="shared" si="5691"/>
        <v>1</v>
      </c>
      <c r="K2845" s="62">
        <f t="shared" si="5691"/>
        <v>1</v>
      </c>
      <c r="L2845" s="62">
        <f t="shared" si="5691"/>
        <v>1</v>
      </c>
      <c r="M2845" s="62">
        <f t="shared" si="5691"/>
        <v>1</v>
      </c>
      <c r="N2845" s="62">
        <f t="shared" si="5691"/>
        <v>1</v>
      </c>
      <c r="O2845" s="62">
        <f t="shared" si="5691"/>
        <v>1</v>
      </c>
      <c r="P2845" s="62" t="str">
        <f t="shared" si="5691"/>
        <v/>
      </c>
      <c r="Q2845" s="62" t="str">
        <f t="shared" si="5691"/>
        <v/>
      </c>
      <c r="R2845" s="62">
        <f t="shared" si="7"/>
        <v>0</v>
      </c>
      <c r="S2845" s="62"/>
      <c r="T2845" s="62"/>
      <c r="U2845" s="62"/>
      <c r="V2845" s="62"/>
      <c r="W2845" s="62"/>
      <c r="X2845" s="62"/>
      <c r="Y2845" s="62"/>
      <c r="Z2845" s="62"/>
      <c r="AA2845" s="62"/>
      <c r="AB2845" s="62"/>
      <c r="AC2845" s="62"/>
    </row>
    <row r="2846" hidden="1">
      <c r="A2846" s="60"/>
      <c r="B2846" s="60"/>
      <c r="C2846" s="60"/>
      <c r="D2846" s="60"/>
      <c r="E2846" s="62" t="str">
        <f t="shared" si="5153"/>
        <v/>
      </c>
      <c r="F2846" s="62" t="str">
        <f t="shared" ref="F2846:G2846" si="5692">IF(isblank(F$1),,IF(isblank($A2846),,IFERROR(vlookup($A2846,indirect("'TVC-"&amp;text(month(F$1),"00")&amp;"'!$A:$D"),4,false),1)))</f>
        <v/>
      </c>
      <c r="G2846" s="62" t="str">
        <f t="shared" si="5692"/>
        <v/>
      </c>
      <c r="H2846" s="62">
        <f t="shared" ref="H2846:Q2846" si="5693">IF(isblank(H$1),,IFERROR(vlookup($A2846,indirect("'TVC-"&amp;text(month(H$1),"00")&amp;"'!$A:$D"),4,false),1))</f>
        <v>1</v>
      </c>
      <c r="I2846" s="62">
        <f t="shared" si="5693"/>
        <v>1</v>
      </c>
      <c r="J2846" s="62">
        <f t="shared" si="5693"/>
        <v>1</v>
      </c>
      <c r="K2846" s="62">
        <f t="shared" si="5693"/>
        <v>1</v>
      </c>
      <c r="L2846" s="62">
        <f t="shared" si="5693"/>
        <v>1</v>
      </c>
      <c r="M2846" s="62">
        <f t="shared" si="5693"/>
        <v>1</v>
      </c>
      <c r="N2846" s="62">
        <f t="shared" si="5693"/>
        <v>1</v>
      </c>
      <c r="O2846" s="62">
        <f t="shared" si="5693"/>
        <v>1</v>
      </c>
      <c r="P2846" s="62" t="str">
        <f t="shared" si="5693"/>
        <v/>
      </c>
      <c r="Q2846" s="62" t="str">
        <f t="shared" si="5693"/>
        <v/>
      </c>
      <c r="R2846" s="62">
        <f t="shared" si="7"/>
        <v>0</v>
      </c>
      <c r="S2846" s="62"/>
      <c r="T2846" s="62"/>
      <c r="U2846" s="62"/>
      <c r="V2846" s="62"/>
      <c r="W2846" s="62"/>
      <c r="X2846" s="62"/>
      <c r="Y2846" s="62"/>
      <c r="Z2846" s="62"/>
      <c r="AA2846" s="62"/>
      <c r="AB2846" s="62"/>
      <c r="AC2846" s="62"/>
    </row>
    <row r="2847" hidden="1">
      <c r="A2847" s="60"/>
      <c r="B2847" s="60"/>
      <c r="C2847" s="60"/>
      <c r="D2847" s="60"/>
      <c r="E2847" s="62" t="str">
        <f t="shared" si="5153"/>
        <v/>
      </c>
      <c r="F2847" s="62" t="str">
        <f t="shared" ref="F2847:G2847" si="5694">IF(isblank(F$1),,IF(isblank($A2847),,IFERROR(vlookup($A2847,indirect("'TVC-"&amp;text(month(F$1),"00")&amp;"'!$A:$D"),4,false),1)))</f>
        <v/>
      </c>
      <c r="G2847" s="62" t="str">
        <f t="shared" si="5694"/>
        <v/>
      </c>
      <c r="H2847" s="62">
        <f t="shared" ref="H2847:Q2847" si="5695">IF(isblank(H$1),,IFERROR(vlookup($A2847,indirect("'TVC-"&amp;text(month(H$1),"00")&amp;"'!$A:$D"),4,false),1))</f>
        <v>1</v>
      </c>
      <c r="I2847" s="62">
        <f t="shared" si="5695"/>
        <v>1</v>
      </c>
      <c r="J2847" s="62">
        <f t="shared" si="5695"/>
        <v>1</v>
      </c>
      <c r="K2847" s="62">
        <f t="shared" si="5695"/>
        <v>1</v>
      </c>
      <c r="L2847" s="62">
        <f t="shared" si="5695"/>
        <v>1</v>
      </c>
      <c r="M2847" s="62">
        <f t="shared" si="5695"/>
        <v>1</v>
      </c>
      <c r="N2847" s="62">
        <f t="shared" si="5695"/>
        <v>1</v>
      </c>
      <c r="O2847" s="62">
        <f t="shared" si="5695"/>
        <v>1</v>
      </c>
      <c r="P2847" s="62" t="str">
        <f t="shared" si="5695"/>
        <v/>
      </c>
      <c r="Q2847" s="62" t="str">
        <f t="shared" si="5695"/>
        <v/>
      </c>
      <c r="R2847" s="62">
        <f t="shared" si="7"/>
        <v>0</v>
      </c>
      <c r="S2847" s="62"/>
      <c r="T2847" s="62"/>
      <c r="U2847" s="62"/>
      <c r="V2847" s="62"/>
      <c r="W2847" s="62"/>
      <c r="X2847" s="62"/>
      <c r="Y2847" s="62"/>
      <c r="Z2847" s="62"/>
      <c r="AA2847" s="62"/>
      <c r="AB2847" s="62"/>
      <c r="AC2847" s="62"/>
    </row>
    <row r="2848" hidden="1">
      <c r="A2848" s="60"/>
      <c r="B2848" s="60"/>
      <c r="C2848" s="60"/>
      <c r="D2848" s="60"/>
      <c r="E2848" s="62" t="str">
        <f t="shared" si="5153"/>
        <v/>
      </c>
      <c r="F2848" s="62" t="str">
        <f t="shared" ref="F2848:G2848" si="5696">IF(isblank(F$1),,IF(isblank($A2848),,IFERROR(vlookup($A2848,indirect("'TVC-"&amp;text(month(F$1),"00")&amp;"'!$A:$D"),4,false),1)))</f>
        <v/>
      </c>
      <c r="G2848" s="62" t="str">
        <f t="shared" si="5696"/>
        <v/>
      </c>
      <c r="H2848" s="62">
        <f t="shared" ref="H2848:Q2848" si="5697">IF(isblank(H$1),,IFERROR(vlookup($A2848,indirect("'TVC-"&amp;text(month(H$1),"00")&amp;"'!$A:$D"),4,false),1))</f>
        <v>1</v>
      </c>
      <c r="I2848" s="62">
        <f t="shared" si="5697"/>
        <v>1</v>
      </c>
      <c r="J2848" s="62">
        <f t="shared" si="5697"/>
        <v>1</v>
      </c>
      <c r="K2848" s="62">
        <f t="shared" si="5697"/>
        <v>1</v>
      </c>
      <c r="L2848" s="62">
        <f t="shared" si="5697"/>
        <v>1</v>
      </c>
      <c r="M2848" s="62">
        <f t="shared" si="5697"/>
        <v>1</v>
      </c>
      <c r="N2848" s="62">
        <f t="shared" si="5697"/>
        <v>1</v>
      </c>
      <c r="O2848" s="62">
        <f t="shared" si="5697"/>
        <v>1</v>
      </c>
      <c r="P2848" s="62" t="str">
        <f t="shared" si="5697"/>
        <v/>
      </c>
      <c r="Q2848" s="62" t="str">
        <f t="shared" si="5697"/>
        <v/>
      </c>
      <c r="R2848" s="62">
        <f t="shared" si="7"/>
        <v>0</v>
      </c>
      <c r="S2848" s="62"/>
      <c r="T2848" s="62"/>
      <c r="U2848" s="62"/>
      <c r="V2848" s="62"/>
      <c r="W2848" s="62"/>
      <c r="X2848" s="62"/>
      <c r="Y2848" s="62"/>
      <c r="Z2848" s="62"/>
      <c r="AA2848" s="62"/>
      <c r="AB2848" s="62"/>
      <c r="AC2848" s="62"/>
    </row>
    <row r="2849" hidden="1">
      <c r="A2849" s="60"/>
      <c r="B2849" s="60"/>
      <c r="C2849" s="60"/>
      <c r="D2849" s="60"/>
      <c r="E2849" s="62" t="str">
        <f t="shared" si="5153"/>
        <v/>
      </c>
      <c r="F2849" s="62" t="str">
        <f t="shared" ref="F2849:G2849" si="5698">IF(isblank(F$1),,IF(isblank($A2849),,IFERROR(vlookup($A2849,indirect("'TVC-"&amp;text(month(F$1),"00")&amp;"'!$A:$D"),4,false),1)))</f>
        <v/>
      </c>
      <c r="G2849" s="62" t="str">
        <f t="shared" si="5698"/>
        <v/>
      </c>
      <c r="H2849" s="62">
        <f t="shared" ref="H2849:Q2849" si="5699">IF(isblank(H$1),,IFERROR(vlookup($A2849,indirect("'TVC-"&amp;text(month(H$1),"00")&amp;"'!$A:$D"),4,false),1))</f>
        <v>1</v>
      </c>
      <c r="I2849" s="62">
        <f t="shared" si="5699"/>
        <v>1</v>
      </c>
      <c r="J2849" s="62">
        <f t="shared" si="5699"/>
        <v>1</v>
      </c>
      <c r="K2849" s="62">
        <f t="shared" si="5699"/>
        <v>1</v>
      </c>
      <c r="L2849" s="62">
        <f t="shared" si="5699"/>
        <v>1</v>
      </c>
      <c r="M2849" s="62">
        <f t="shared" si="5699"/>
        <v>1</v>
      </c>
      <c r="N2849" s="62">
        <f t="shared" si="5699"/>
        <v>1</v>
      </c>
      <c r="O2849" s="62">
        <f t="shared" si="5699"/>
        <v>1</v>
      </c>
      <c r="P2849" s="62" t="str">
        <f t="shared" si="5699"/>
        <v/>
      </c>
      <c r="Q2849" s="62" t="str">
        <f t="shared" si="5699"/>
        <v/>
      </c>
      <c r="R2849" s="62">
        <f t="shared" si="7"/>
        <v>0</v>
      </c>
      <c r="S2849" s="62"/>
      <c r="T2849" s="62"/>
      <c r="U2849" s="62"/>
      <c r="V2849" s="62"/>
      <c r="W2849" s="62"/>
      <c r="X2849" s="62"/>
      <c r="Y2849" s="62"/>
      <c r="Z2849" s="62"/>
      <c r="AA2849" s="62"/>
      <c r="AB2849" s="62"/>
      <c r="AC2849" s="62"/>
    </row>
    <row r="2850" hidden="1">
      <c r="A2850" s="60"/>
      <c r="B2850" s="60"/>
      <c r="C2850" s="60"/>
      <c r="D2850" s="60"/>
      <c r="E2850" s="62" t="str">
        <f t="shared" si="5153"/>
        <v/>
      </c>
      <c r="F2850" s="62" t="str">
        <f t="shared" ref="F2850:G2850" si="5700">IF(isblank(F$1),,IF(isblank($A2850),,IFERROR(vlookup($A2850,indirect("'TVC-"&amp;text(month(F$1),"00")&amp;"'!$A:$D"),4,false),1)))</f>
        <v/>
      </c>
      <c r="G2850" s="62" t="str">
        <f t="shared" si="5700"/>
        <v/>
      </c>
      <c r="H2850" s="62">
        <f t="shared" ref="H2850:Q2850" si="5701">IF(isblank(H$1),,IFERROR(vlookup($A2850,indirect("'TVC-"&amp;text(month(H$1),"00")&amp;"'!$A:$D"),4,false),1))</f>
        <v>1</v>
      </c>
      <c r="I2850" s="62">
        <f t="shared" si="5701"/>
        <v>1</v>
      </c>
      <c r="J2850" s="62">
        <f t="shared" si="5701"/>
        <v>1</v>
      </c>
      <c r="K2850" s="62">
        <f t="shared" si="5701"/>
        <v>1</v>
      </c>
      <c r="L2850" s="62">
        <f t="shared" si="5701"/>
        <v>1</v>
      </c>
      <c r="M2850" s="62">
        <f t="shared" si="5701"/>
        <v>1</v>
      </c>
      <c r="N2850" s="62">
        <f t="shared" si="5701"/>
        <v>1</v>
      </c>
      <c r="O2850" s="62">
        <f t="shared" si="5701"/>
        <v>1</v>
      </c>
      <c r="P2850" s="62" t="str">
        <f t="shared" si="5701"/>
        <v/>
      </c>
      <c r="Q2850" s="62" t="str">
        <f t="shared" si="5701"/>
        <v/>
      </c>
      <c r="R2850" s="62">
        <f t="shared" si="7"/>
        <v>0</v>
      </c>
      <c r="S2850" s="62"/>
      <c r="T2850" s="62"/>
      <c r="U2850" s="62"/>
      <c r="V2850" s="62"/>
      <c r="W2850" s="62"/>
      <c r="X2850" s="62"/>
      <c r="Y2850" s="62"/>
      <c r="Z2850" s="62"/>
      <c r="AA2850" s="62"/>
      <c r="AB2850" s="62"/>
      <c r="AC2850" s="62"/>
    </row>
    <row r="2851" hidden="1">
      <c r="A2851" s="60"/>
      <c r="B2851" s="60"/>
      <c r="C2851" s="60"/>
      <c r="D2851" s="60"/>
      <c r="E2851" s="62" t="str">
        <f t="shared" si="5153"/>
        <v/>
      </c>
      <c r="F2851" s="62" t="str">
        <f t="shared" ref="F2851:G2851" si="5702">IF(isblank(F$1),,IF(isblank($A2851),,IFERROR(vlookup($A2851,indirect("'TVC-"&amp;text(month(F$1),"00")&amp;"'!$A:$D"),4,false),1)))</f>
        <v/>
      </c>
      <c r="G2851" s="62" t="str">
        <f t="shared" si="5702"/>
        <v/>
      </c>
      <c r="H2851" s="62">
        <f t="shared" ref="H2851:Q2851" si="5703">IF(isblank(H$1),,IFERROR(vlookup($A2851,indirect("'TVC-"&amp;text(month(H$1),"00")&amp;"'!$A:$D"),4,false),1))</f>
        <v>1</v>
      </c>
      <c r="I2851" s="62">
        <f t="shared" si="5703"/>
        <v>1</v>
      </c>
      <c r="J2851" s="62">
        <f t="shared" si="5703"/>
        <v>1</v>
      </c>
      <c r="K2851" s="62">
        <f t="shared" si="5703"/>
        <v>1</v>
      </c>
      <c r="L2851" s="62">
        <f t="shared" si="5703"/>
        <v>1</v>
      </c>
      <c r="M2851" s="62">
        <f t="shared" si="5703"/>
        <v>1</v>
      </c>
      <c r="N2851" s="62">
        <f t="shared" si="5703"/>
        <v>1</v>
      </c>
      <c r="O2851" s="62">
        <f t="shared" si="5703"/>
        <v>1</v>
      </c>
      <c r="P2851" s="62" t="str">
        <f t="shared" si="5703"/>
        <v/>
      </c>
      <c r="Q2851" s="62" t="str">
        <f t="shared" si="5703"/>
        <v/>
      </c>
      <c r="R2851" s="62">
        <f t="shared" si="7"/>
        <v>0</v>
      </c>
      <c r="S2851" s="62"/>
      <c r="T2851" s="62"/>
      <c r="U2851" s="62"/>
      <c r="V2851" s="62"/>
      <c r="W2851" s="62"/>
      <c r="X2851" s="62"/>
      <c r="Y2851" s="62"/>
      <c r="Z2851" s="62"/>
      <c r="AA2851" s="62"/>
      <c r="AB2851" s="62"/>
      <c r="AC2851" s="62"/>
    </row>
    <row r="2852" hidden="1">
      <c r="A2852" s="60"/>
      <c r="B2852" s="60"/>
      <c r="C2852" s="60"/>
      <c r="D2852" s="60"/>
      <c r="E2852" s="62" t="str">
        <f t="shared" si="5153"/>
        <v/>
      </c>
      <c r="F2852" s="62" t="str">
        <f t="shared" ref="F2852:G2852" si="5704">IF(isblank(F$1),,IF(isblank($A2852),,IFERROR(vlookup($A2852,indirect("'TVC-"&amp;text(month(F$1),"00")&amp;"'!$A:$D"),4,false),1)))</f>
        <v/>
      </c>
      <c r="G2852" s="62" t="str">
        <f t="shared" si="5704"/>
        <v/>
      </c>
      <c r="H2852" s="62">
        <f t="shared" ref="H2852:Q2852" si="5705">IF(isblank(H$1),,IFERROR(vlookup($A2852,indirect("'TVC-"&amp;text(month(H$1),"00")&amp;"'!$A:$D"),4,false),1))</f>
        <v>1</v>
      </c>
      <c r="I2852" s="62">
        <f t="shared" si="5705"/>
        <v>1</v>
      </c>
      <c r="J2852" s="62">
        <f t="shared" si="5705"/>
        <v>1</v>
      </c>
      <c r="K2852" s="62">
        <f t="shared" si="5705"/>
        <v>1</v>
      </c>
      <c r="L2852" s="62">
        <f t="shared" si="5705"/>
        <v>1</v>
      </c>
      <c r="M2852" s="62">
        <f t="shared" si="5705"/>
        <v>1</v>
      </c>
      <c r="N2852" s="62">
        <f t="shared" si="5705"/>
        <v>1</v>
      </c>
      <c r="O2852" s="62">
        <f t="shared" si="5705"/>
        <v>1</v>
      </c>
      <c r="P2852" s="62" t="str">
        <f t="shared" si="5705"/>
        <v/>
      </c>
      <c r="Q2852" s="62" t="str">
        <f t="shared" si="5705"/>
        <v/>
      </c>
      <c r="R2852" s="62">
        <f t="shared" si="7"/>
        <v>0</v>
      </c>
      <c r="S2852" s="62"/>
      <c r="T2852" s="62"/>
      <c r="U2852" s="62"/>
      <c r="V2852" s="62"/>
      <c r="W2852" s="62"/>
      <c r="X2852" s="62"/>
      <c r="Y2852" s="62"/>
      <c r="Z2852" s="62"/>
      <c r="AA2852" s="62"/>
      <c r="AB2852" s="62"/>
      <c r="AC2852" s="62"/>
    </row>
    <row r="2853" hidden="1">
      <c r="A2853" s="60"/>
      <c r="B2853" s="60"/>
      <c r="C2853" s="60"/>
      <c r="D2853" s="60"/>
      <c r="E2853" s="62" t="str">
        <f t="shared" si="5153"/>
        <v/>
      </c>
      <c r="F2853" s="62" t="str">
        <f t="shared" ref="F2853:G2853" si="5706">IF(isblank(F$1),,IF(isblank($A2853),,IFERROR(vlookup($A2853,indirect("'TVC-"&amp;text(month(F$1),"00")&amp;"'!$A:$D"),4,false),1)))</f>
        <v/>
      </c>
      <c r="G2853" s="62" t="str">
        <f t="shared" si="5706"/>
        <v/>
      </c>
      <c r="H2853" s="62">
        <f t="shared" ref="H2853:Q2853" si="5707">IF(isblank(H$1),,IFERROR(vlookup($A2853,indirect("'TVC-"&amp;text(month(H$1),"00")&amp;"'!$A:$D"),4,false),1))</f>
        <v>1</v>
      </c>
      <c r="I2853" s="62">
        <f t="shared" si="5707"/>
        <v>1</v>
      </c>
      <c r="J2853" s="62">
        <f t="shared" si="5707"/>
        <v>1</v>
      </c>
      <c r="K2853" s="62">
        <f t="shared" si="5707"/>
        <v>1</v>
      </c>
      <c r="L2853" s="62">
        <f t="shared" si="5707"/>
        <v>1</v>
      </c>
      <c r="M2853" s="62">
        <f t="shared" si="5707"/>
        <v>1</v>
      </c>
      <c r="N2853" s="62">
        <f t="shared" si="5707"/>
        <v>1</v>
      </c>
      <c r="O2853" s="62">
        <f t="shared" si="5707"/>
        <v>1</v>
      </c>
      <c r="P2853" s="62" t="str">
        <f t="shared" si="5707"/>
        <v/>
      </c>
      <c r="Q2853" s="62" t="str">
        <f t="shared" si="5707"/>
        <v/>
      </c>
      <c r="R2853" s="62">
        <f t="shared" si="7"/>
        <v>0</v>
      </c>
      <c r="S2853" s="62"/>
      <c r="T2853" s="62"/>
      <c r="U2853" s="62"/>
      <c r="V2853" s="62"/>
      <c r="W2853" s="62"/>
      <c r="X2853" s="62"/>
      <c r="Y2853" s="62"/>
      <c r="Z2853" s="62"/>
      <c r="AA2853" s="62"/>
      <c r="AB2853" s="62"/>
      <c r="AC2853" s="62"/>
    </row>
    <row r="2854" hidden="1">
      <c r="A2854" s="60"/>
      <c r="B2854" s="60"/>
      <c r="C2854" s="60"/>
      <c r="D2854" s="60"/>
      <c r="E2854" s="62" t="str">
        <f t="shared" si="5153"/>
        <v/>
      </c>
      <c r="F2854" s="62" t="str">
        <f t="shared" ref="F2854:G2854" si="5708">IF(isblank(F$1),,IF(isblank($A2854),,IFERROR(vlookup($A2854,indirect("'TVC-"&amp;text(month(F$1),"00")&amp;"'!$A:$D"),4,false),1)))</f>
        <v/>
      </c>
      <c r="G2854" s="62" t="str">
        <f t="shared" si="5708"/>
        <v/>
      </c>
      <c r="H2854" s="62">
        <f t="shared" ref="H2854:Q2854" si="5709">IF(isblank(H$1),,IFERROR(vlookup($A2854,indirect("'TVC-"&amp;text(month(H$1),"00")&amp;"'!$A:$D"),4,false),1))</f>
        <v>1</v>
      </c>
      <c r="I2854" s="62">
        <f t="shared" si="5709"/>
        <v>1</v>
      </c>
      <c r="J2854" s="62">
        <f t="shared" si="5709"/>
        <v>1</v>
      </c>
      <c r="K2854" s="62">
        <f t="shared" si="5709"/>
        <v>1</v>
      </c>
      <c r="L2854" s="62">
        <f t="shared" si="5709"/>
        <v>1</v>
      </c>
      <c r="M2854" s="62">
        <f t="shared" si="5709"/>
        <v>1</v>
      </c>
      <c r="N2854" s="62">
        <f t="shared" si="5709"/>
        <v>1</v>
      </c>
      <c r="O2854" s="62">
        <f t="shared" si="5709"/>
        <v>1</v>
      </c>
      <c r="P2854" s="62" t="str">
        <f t="shared" si="5709"/>
        <v/>
      </c>
      <c r="Q2854" s="62" t="str">
        <f t="shared" si="5709"/>
        <v/>
      </c>
      <c r="R2854" s="62">
        <f t="shared" si="7"/>
        <v>0</v>
      </c>
      <c r="S2854" s="62"/>
      <c r="T2854" s="62"/>
      <c r="U2854" s="62"/>
      <c r="V2854" s="62"/>
      <c r="W2854" s="62"/>
      <c r="X2854" s="62"/>
      <c r="Y2854" s="62"/>
      <c r="Z2854" s="62"/>
      <c r="AA2854" s="62"/>
      <c r="AB2854" s="62"/>
      <c r="AC2854" s="62"/>
    </row>
    <row r="2855" hidden="1">
      <c r="A2855" s="60"/>
      <c r="B2855" s="60"/>
      <c r="C2855" s="60"/>
      <c r="D2855" s="60"/>
      <c r="E2855" s="62" t="str">
        <f t="shared" si="5153"/>
        <v/>
      </c>
      <c r="F2855" s="62" t="str">
        <f t="shared" ref="F2855:G2855" si="5710">IF(isblank(F$1),,IF(isblank($A2855),,IFERROR(vlookup($A2855,indirect("'TVC-"&amp;text(month(F$1),"00")&amp;"'!$A:$D"),4,false),1)))</f>
        <v/>
      </c>
      <c r="G2855" s="62" t="str">
        <f t="shared" si="5710"/>
        <v/>
      </c>
      <c r="H2855" s="62">
        <f t="shared" ref="H2855:Q2855" si="5711">IF(isblank(H$1),,IFERROR(vlookup($A2855,indirect("'TVC-"&amp;text(month(H$1),"00")&amp;"'!$A:$D"),4,false),1))</f>
        <v>1</v>
      </c>
      <c r="I2855" s="62">
        <f t="shared" si="5711"/>
        <v>1</v>
      </c>
      <c r="J2855" s="62">
        <f t="shared" si="5711"/>
        <v>1</v>
      </c>
      <c r="K2855" s="62">
        <f t="shared" si="5711"/>
        <v>1</v>
      </c>
      <c r="L2855" s="62">
        <f t="shared" si="5711"/>
        <v>1</v>
      </c>
      <c r="M2855" s="62">
        <f t="shared" si="5711"/>
        <v>1</v>
      </c>
      <c r="N2855" s="62">
        <f t="shared" si="5711"/>
        <v>1</v>
      </c>
      <c r="O2855" s="62">
        <f t="shared" si="5711"/>
        <v>1</v>
      </c>
      <c r="P2855" s="62" t="str">
        <f t="shared" si="5711"/>
        <v/>
      </c>
      <c r="Q2855" s="62" t="str">
        <f t="shared" si="5711"/>
        <v/>
      </c>
      <c r="R2855" s="62">
        <f t="shared" si="7"/>
        <v>0</v>
      </c>
      <c r="S2855" s="62"/>
      <c r="T2855" s="62"/>
      <c r="U2855" s="62"/>
      <c r="V2855" s="62"/>
      <c r="W2855" s="62"/>
      <c r="X2855" s="62"/>
      <c r="Y2855" s="62"/>
      <c r="Z2855" s="62"/>
      <c r="AA2855" s="62"/>
      <c r="AB2855" s="62"/>
      <c r="AC2855" s="62"/>
    </row>
    <row r="2856" hidden="1">
      <c r="A2856" s="60"/>
      <c r="B2856" s="60"/>
      <c r="C2856" s="60"/>
      <c r="D2856" s="60"/>
      <c r="E2856" s="62" t="str">
        <f t="shared" si="5153"/>
        <v/>
      </c>
      <c r="F2856" s="62" t="str">
        <f t="shared" ref="F2856:G2856" si="5712">IF(isblank(F$1),,IF(isblank($A2856),,IFERROR(vlookup($A2856,indirect("'TVC-"&amp;text(month(F$1),"00")&amp;"'!$A:$D"),4,false),1)))</f>
        <v/>
      </c>
      <c r="G2856" s="62" t="str">
        <f t="shared" si="5712"/>
        <v/>
      </c>
      <c r="H2856" s="62">
        <f t="shared" ref="H2856:Q2856" si="5713">IF(isblank(H$1),,IFERROR(vlookup($A2856,indirect("'TVC-"&amp;text(month(H$1),"00")&amp;"'!$A:$D"),4,false),1))</f>
        <v>1</v>
      </c>
      <c r="I2856" s="62">
        <f t="shared" si="5713"/>
        <v>1</v>
      </c>
      <c r="J2856" s="62">
        <f t="shared" si="5713"/>
        <v>1</v>
      </c>
      <c r="K2856" s="62">
        <f t="shared" si="5713"/>
        <v>1</v>
      </c>
      <c r="L2856" s="62">
        <f t="shared" si="5713"/>
        <v>1</v>
      </c>
      <c r="M2856" s="62">
        <f t="shared" si="5713"/>
        <v>1</v>
      </c>
      <c r="N2856" s="62">
        <f t="shared" si="5713"/>
        <v>1</v>
      </c>
      <c r="O2856" s="62">
        <f t="shared" si="5713"/>
        <v>1</v>
      </c>
      <c r="P2856" s="62" t="str">
        <f t="shared" si="5713"/>
        <v/>
      </c>
      <c r="Q2856" s="62" t="str">
        <f t="shared" si="5713"/>
        <v/>
      </c>
      <c r="R2856" s="62">
        <f t="shared" si="7"/>
        <v>0</v>
      </c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</row>
    <row r="2857" hidden="1">
      <c r="A2857" s="60"/>
      <c r="B2857" s="60"/>
      <c r="C2857" s="60"/>
      <c r="D2857" s="60"/>
      <c r="E2857" s="62" t="str">
        <f t="shared" si="5153"/>
        <v/>
      </c>
      <c r="F2857" s="62" t="str">
        <f t="shared" ref="F2857:G2857" si="5714">IF(isblank(F$1),,IF(isblank($A2857),,IFERROR(vlookup($A2857,indirect("'TVC-"&amp;text(month(F$1),"00")&amp;"'!$A:$D"),4,false),1)))</f>
        <v/>
      </c>
      <c r="G2857" s="62" t="str">
        <f t="shared" si="5714"/>
        <v/>
      </c>
      <c r="H2857" s="62">
        <f t="shared" ref="H2857:Q2857" si="5715">IF(isblank(H$1),,IFERROR(vlookup($A2857,indirect("'TVC-"&amp;text(month(H$1),"00")&amp;"'!$A:$D"),4,false),1))</f>
        <v>1</v>
      </c>
      <c r="I2857" s="62">
        <f t="shared" si="5715"/>
        <v>1</v>
      </c>
      <c r="J2857" s="62">
        <f t="shared" si="5715"/>
        <v>1</v>
      </c>
      <c r="K2857" s="62">
        <f t="shared" si="5715"/>
        <v>1</v>
      </c>
      <c r="L2857" s="62">
        <f t="shared" si="5715"/>
        <v>1</v>
      </c>
      <c r="M2857" s="62">
        <f t="shared" si="5715"/>
        <v>1</v>
      </c>
      <c r="N2857" s="62">
        <f t="shared" si="5715"/>
        <v>1</v>
      </c>
      <c r="O2857" s="62">
        <f t="shared" si="5715"/>
        <v>1</v>
      </c>
      <c r="P2857" s="62" t="str">
        <f t="shared" si="5715"/>
        <v/>
      </c>
      <c r="Q2857" s="62" t="str">
        <f t="shared" si="5715"/>
        <v/>
      </c>
      <c r="R2857" s="62">
        <f t="shared" si="7"/>
        <v>0</v>
      </c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</row>
    <row r="2858" hidden="1">
      <c r="A2858" s="60"/>
      <c r="B2858" s="60"/>
      <c r="C2858" s="60"/>
      <c r="D2858" s="60"/>
      <c r="E2858" s="62" t="str">
        <f t="shared" si="5153"/>
        <v/>
      </c>
      <c r="F2858" s="62" t="str">
        <f t="shared" ref="F2858:G2858" si="5716">IF(isblank(F$1),,IF(isblank($A2858),,IFERROR(vlookup($A2858,indirect("'TVC-"&amp;text(month(F$1),"00")&amp;"'!$A:$D"),4,false),1)))</f>
        <v/>
      </c>
      <c r="G2858" s="62" t="str">
        <f t="shared" si="5716"/>
        <v/>
      </c>
      <c r="H2858" s="62">
        <f t="shared" ref="H2858:Q2858" si="5717">IF(isblank(H$1),,IFERROR(vlookup($A2858,indirect("'TVC-"&amp;text(month(H$1),"00")&amp;"'!$A:$D"),4,false),1))</f>
        <v>1</v>
      </c>
      <c r="I2858" s="62">
        <f t="shared" si="5717"/>
        <v>1</v>
      </c>
      <c r="J2858" s="62">
        <f t="shared" si="5717"/>
        <v>1</v>
      </c>
      <c r="K2858" s="62">
        <f t="shared" si="5717"/>
        <v>1</v>
      </c>
      <c r="L2858" s="62">
        <f t="shared" si="5717"/>
        <v>1</v>
      </c>
      <c r="M2858" s="62">
        <f t="shared" si="5717"/>
        <v>1</v>
      </c>
      <c r="N2858" s="62">
        <f t="shared" si="5717"/>
        <v>1</v>
      </c>
      <c r="O2858" s="62">
        <f t="shared" si="5717"/>
        <v>1</v>
      </c>
      <c r="P2858" s="62" t="str">
        <f t="shared" si="5717"/>
        <v/>
      </c>
      <c r="Q2858" s="62" t="str">
        <f t="shared" si="5717"/>
        <v/>
      </c>
      <c r="R2858" s="62">
        <f t="shared" si="7"/>
        <v>0</v>
      </c>
      <c r="S2858" s="62"/>
      <c r="T2858" s="62"/>
      <c r="U2858" s="62"/>
      <c r="V2858" s="62"/>
      <c r="W2858" s="62"/>
      <c r="X2858" s="62"/>
      <c r="Y2858" s="62"/>
      <c r="Z2858" s="62"/>
      <c r="AA2858" s="62"/>
      <c r="AB2858" s="62"/>
      <c r="AC2858" s="62"/>
    </row>
    <row r="2859" hidden="1">
      <c r="A2859" s="60"/>
      <c r="B2859" s="60"/>
      <c r="C2859" s="60"/>
      <c r="D2859" s="60"/>
      <c r="E2859" s="62" t="str">
        <f t="shared" si="5153"/>
        <v/>
      </c>
      <c r="F2859" s="62" t="str">
        <f t="shared" ref="F2859:G2859" si="5718">IF(isblank(F$1),,IF(isblank($A2859),,IFERROR(vlookup($A2859,indirect("'TVC-"&amp;text(month(F$1),"00")&amp;"'!$A:$D"),4,false),1)))</f>
        <v/>
      </c>
      <c r="G2859" s="62" t="str">
        <f t="shared" si="5718"/>
        <v/>
      </c>
      <c r="H2859" s="62">
        <f t="shared" ref="H2859:Q2859" si="5719">IF(isblank(H$1),,IFERROR(vlookup($A2859,indirect("'TVC-"&amp;text(month(H$1),"00")&amp;"'!$A:$D"),4,false),1))</f>
        <v>1</v>
      </c>
      <c r="I2859" s="62">
        <f t="shared" si="5719"/>
        <v>1</v>
      </c>
      <c r="J2859" s="62">
        <f t="shared" si="5719"/>
        <v>1</v>
      </c>
      <c r="K2859" s="62">
        <f t="shared" si="5719"/>
        <v>1</v>
      </c>
      <c r="L2859" s="62">
        <f t="shared" si="5719"/>
        <v>1</v>
      </c>
      <c r="M2859" s="62">
        <f t="shared" si="5719"/>
        <v>1</v>
      </c>
      <c r="N2859" s="62">
        <f t="shared" si="5719"/>
        <v>1</v>
      </c>
      <c r="O2859" s="62">
        <f t="shared" si="5719"/>
        <v>1</v>
      </c>
      <c r="P2859" s="62" t="str">
        <f t="shared" si="5719"/>
        <v/>
      </c>
      <c r="Q2859" s="62" t="str">
        <f t="shared" si="5719"/>
        <v/>
      </c>
      <c r="R2859" s="62">
        <f t="shared" si="7"/>
        <v>0</v>
      </c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</row>
    <row r="2860" hidden="1">
      <c r="A2860" s="60"/>
      <c r="B2860" s="60"/>
      <c r="C2860" s="60"/>
      <c r="D2860" s="60"/>
      <c r="E2860" s="62" t="str">
        <f t="shared" si="5153"/>
        <v/>
      </c>
      <c r="F2860" s="62" t="str">
        <f t="shared" ref="F2860:G2860" si="5720">IF(isblank(F$1),,IF(isblank($A2860),,IFERROR(vlookup($A2860,indirect("'TVC-"&amp;text(month(F$1),"00")&amp;"'!$A:$D"),4,false),1)))</f>
        <v/>
      </c>
      <c r="G2860" s="62" t="str">
        <f t="shared" si="5720"/>
        <v/>
      </c>
      <c r="H2860" s="62">
        <f t="shared" ref="H2860:Q2860" si="5721">IF(isblank(H$1),,IFERROR(vlookup($A2860,indirect("'TVC-"&amp;text(month(H$1),"00")&amp;"'!$A:$D"),4,false),1))</f>
        <v>1</v>
      </c>
      <c r="I2860" s="62">
        <f t="shared" si="5721"/>
        <v>1</v>
      </c>
      <c r="J2860" s="62">
        <f t="shared" si="5721"/>
        <v>1</v>
      </c>
      <c r="K2860" s="62">
        <f t="shared" si="5721"/>
        <v>1</v>
      </c>
      <c r="L2860" s="62">
        <f t="shared" si="5721"/>
        <v>1</v>
      </c>
      <c r="M2860" s="62">
        <f t="shared" si="5721"/>
        <v>1</v>
      </c>
      <c r="N2860" s="62">
        <f t="shared" si="5721"/>
        <v>1</v>
      </c>
      <c r="O2860" s="62">
        <f t="shared" si="5721"/>
        <v>1</v>
      </c>
      <c r="P2860" s="62" t="str">
        <f t="shared" si="5721"/>
        <v/>
      </c>
      <c r="Q2860" s="62" t="str">
        <f t="shared" si="5721"/>
        <v/>
      </c>
      <c r="R2860" s="62">
        <f t="shared" si="7"/>
        <v>0</v>
      </c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</row>
    <row r="2861" hidden="1">
      <c r="A2861" s="60"/>
      <c r="B2861" s="60"/>
      <c r="C2861" s="60"/>
      <c r="D2861" s="60"/>
      <c r="E2861" s="62" t="str">
        <f t="shared" si="5153"/>
        <v/>
      </c>
      <c r="F2861" s="62" t="str">
        <f t="shared" ref="F2861:G2861" si="5722">IF(isblank(F$1),,IF(isblank($A2861),,IFERROR(vlookup($A2861,indirect("'TVC-"&amp;text(month(F$1),"00")&amp;"'!$A:$D"),4,false),1)))</f>
        <v/>
      </c>
      <c r="G2861" s="62" t="str">
        <f t="shared" si="5722"/>
        <v/>
      </c>
      <c r="H2861" s="62">
        <f t="shared" ref="H2861:Q2861" si="5723">IF(isblank(H$1),,IFERROR(vlookup($A2861,indirect("'TVC-"&amp;text(month(H$1),"00")&amp;"'!$A:$D"),4,false),1))</f>
        <v>1</v>
      </c>
      <c r="I2861" s="62">
        <f t="shared" si="5723"/>
        <v>1</v>
      </c>
      <c r="J2861" s="62">
        <f t="shared" si="5723"/>
        <v>1</v>
      </c>
      <c r="K2861" s="62">
        <f t="shared" si="5723"/>
        <v>1</v>
      </c>
      <c r="L2861" s="62">
        <f t="shared" si="5723"/>
        <v>1</v>
      </c>
      <c r="M2861" s="62">
        <f t="shared" si="5723"/>
        <v>1</v>
      </c>
      <c r="N2861" s="62">
        <f t="shared" si="5723"/>
        <v>1</v>
      </c>
      <c r="O2861" s="62">
        <f t="shared" si="5723"/>
        <v>1</v>
      </c>
      <c r="P2861" s="62" t="str">
        <f t="shared" si="5723"/>
        <v/>
      </c>
      <c r="Q2861" s="62" t="str">
        <f t="shared" si="5723"/>
        <v/>
      </c>
      <c r="R2861" s="62">
        <f t="shared" si="7"/>
        <v>0</v>
      </c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</row>
    <row r="2862" hidden="1">
      <c r="A2862" s="60"/>
      <c r="B2862" s="60"/>
      <c r="C2862" s="60"/>
      <c r="D2862" s="60"/>
      <c r="E2862" s="62" t="str">
        <f t="shared" si="5153"/>
        <v/>
      </c>
      <c r="F2862" s="62" t="str">
        <f t="shared" ref="F2862:G2862" si="5724">IF(isblank(F$1),,IF(isblank($A2862),,IFERROR(vlookup($A2862,indirect("'TVC-"&amp;text(month(F$1),"00")&amp;"'!$A:$D"),4,false),1)))</f>
        <v/>
      </c>
      <c r="G2862" s="62" t="str">
        <f t="shared" si="5724"/>
        <v/>
      </c>
      <c r="H2862" s="62">
        <f t="shared" ref="H2862:Q2862" si="5725">IF(isblank(H$1),,IFERROR(vlookup($A2862,indirect("'TVC-"&amp;text(month(H$1),"00")&amp;"'!$A:$D"),4,false),1))</f>
        <v>1</v>
      </c>
      <c r="I2862" s="62">
        <f t="shared" si="5725"/>
        <v>1</v>
      </c>
      <c r="J2862" s="62">
        <f t="shared" si="5725"/>
        <v>1</v>
      </c>
      <c r="K2862" s="62">
        <f t="shared" si="5725"/>
        <v>1</v>
      </c>
      <c r="L2862" s="62">
        <f t="shared" si="5725"/>
        <v>1</v>
      </c>
      <c r="M2862" s="62">
        <f t="shared" si="5725"/>
        <v>1</v>
      </c>
      <c r="N2862" s="62">
        <f t="shared" si="5725"/>
        <v>1</v>
      </c>
      <c r="O2862" s="62">
        <f t="shared" si="5725"/>
        <v>1</v>
      </c>
      <c r="P2862" s="62" t="str">
        <f t="shared" si="5725"/>
        <v/>
      </c>
      <c r="Q2862" s="62" t="str">
        <f t="shared" si="5725"/>
        <v/>
      </c>
      <c r="R2862" s="62">
        <f t="shared" si="7"/>
        <v>0</v>
      </c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</row>
    <row r="2863" hidden="1">
      <c r="A2863" s="60"/>
      <c r="B2863" s="60"/>
      <c r="C2863" s="60"/>
      <c r="D2863" s="60"/>
      <c r="E2863" s="62" t="str">
        <f t="shared" si="5153"/>
        <v/>
      </c>
      <c r="F2863" s="62" t="str">
        <f t="shared" ref="F2863:G2863" si="5726">IF(isblank(F$1),,IF(isblank($A2863),,IFERROR(vlookup($A2863,indirect("'TVC-"&amp;text(month(F$1),"00")&amp;"'!$A:$D"),4,false),1)))</f>
        <v/>
      </c>
      <c r="G2863" s="62" t="str">
        <f t="shared" si="5726"/>
        <v/>
      </c>
      <c r="H2863" s="62">
        <f t="shared" ref="H2863:Q2863" si="5727">IF(isblank(H$1),,IFERROR(vlookup($A2863,indirect("'TVC-"&amp;text(month(H$1),"00")&amp;"'!$A:$D"),4,false),1))</f>
        <v>1</v>
      </c>
      <c r="I2863" s="62">
        <f t="shared" si="5727"/>
        <v>1</v>
      </c>
      <c r="J2863" s="62">
        <f t="shared" si="5727"/>
        <v>1</v>
      </c>
      <c r="K2863" s="62">
        <f t="shared" si="5727"/>
        <v>1</v>
      </c>
      <c r="L2863" s="62">
        <f t="shared" si="5727"/>
        <v>1</v>
      </c>
      <c r="M2863" s="62">
        <f t="shared" si="5727"/>
        <v>1</v>
      </c>
      <c r="N2863" s="62">
        <f t="shared" si="5727"/>
        <v>1</v>
      </c>
      <c r="O2863" s="62">
        <f t="shared" si="5727"/>
        <v>1</v>
      </c>
      <c r="P2863" s="62" t="str">
        <f t="shared" si="5727"/>
        <v/>
      </c>
      <c r="Q2863" s="62" t="str">
        <f t="shared" si="5727"/>
        <v/>
      </c>
      <c r="R2863" s="62">
        <f t="shared" si="7"/>
        <v>0</v>
      </c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</row>
    <row r="2864" hidden="1">
      <c r="A2864" s="60"/>
      <c r="B2864" s="60"/>
      <c r="C2864" s="60"/>
      <c r="D2864" s="60"/>
      <c r="E2864" s="62" t="str">
        <f t="shared" si="5153"/>
        <v/>
      </c>
      <c r="F2864" s="62" t="str">
        <f t="shared" ref="F2864:G2864" si="5728">IF(isblank(F$1),,IF(isblank($A2864),,IFERROR(vlookup($A2864,indirect("'TVC-"&amp;text(month(F$1),"00")&amp;"'!$A:$D"),4,false),1)))</f>
        <v/>
      </c>
      <c r="G2864" s="62" t="str">
        <f t="shared" si="5728"/>
        <v/>
      </c>
      <c r="H2864" s="62">
        <f t="shared" ref="H2864:Q2864" si="5729">IF(isblank(H$1),,IFERROR(vlookup($A2864,indirect("'TVC-"&amp;text(month(H$1),"00")&amp;"'!$A:$D"),4,false),1))</f>
        <v>1</v>
      </c>
      <c r="I2864" s="62">
        <f t="shared" si="5729"/>
        <v>1</v>
      </c>
      <c r="J2864" s="62">
        <f t="shared" si="5729"/>
        <v>1</v>
      </c>
      <c r="K2864" s="62">
        <f t="shared" si="5729"/>
        <v>1</v>
      </c>
      <c r="L2864" s="62">
        <f t="shared" si="5729"/>
        <v>1</v>
      </c>
      <c r="M2864" s="62">
        <f t="shared" si="5729"/>
        <v>1</v>
      </c>
      <c r="N2864" s="62">
        <f t="shared" si="5729"/>
        <v>1</v>
      </c>
      <c r="O2864" s="62">
        <f t="shared" si="5729"/>
        <v>1</v>
      </c>
      <c r="P2864" s="62" t="str">
        <f t="shared" si="5729"/>
        <v/>
      </c>
      <c r="Q2864" s="62" t="str">
        <f t="shared" si="5729"/>
        <v/>
      </c>
      <c r="R2864" s="62">
        <f t="shared" si="7"/>
        <v>0</v>
      </c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</row>
    <row r="2865" hidden="1">
      <c r="A2865" s="60"/>
      <c r="B2865" s="60"/>
      <c r="C2865" s="60"/>
      <c r="D2865" s="60"/>
      <c r="E2865" s="62" t="str">
        <f t="shared" si="5153"/>
        <v/>
      </c>
      <c r="F2865" s="62" t="str">
        <f t="shared" ref="F2865:G2865" si="5730">IF(isblank(F$1),,IF(isblank($A2865),,IFERROR(vlookup($A2865,indirect("'TVC-"&amp;text(month(F$1),"00")&amp;"'!$A:$D"),4,false),1)))</f>
        <v/>
      </c>
      <c r="G2865" s="62" t="str">
        <f t="shared" si="5730"/>
        <v/>
      </c>
      <c r="H2865" s="62">
        <f t="shared" ref="H2865:Q2865" si="5731">IF(isblank(H$1),,IFERROR(vlookup($A2865,indirect("'TVC-"&amp;text(month(H$1),"00")&amp;"'!$A:$D"),4,false),1))</f>
        <v>1</v>
      </c>
      <c r="I2865" s="62">
        <f t="shared" si="5731"/>
        <v>1</v>
      </c>
      <c r="J2865" s="62">
        <f t="shared" si="5731"/>
        <v>1</v>
      </c>
      <c r="K2865" s="62">
        <f t="shared" si="5731"/>
        <v>1</v>
      </c>
      <c r="L2865" s="62">
        <f t="shared" si="5731"/>
        <v>1</v>
      </c>
      <c r="M2865" s="62">
        <f t="shared" si="5731"/>
        <v>1</v>
      </c>
      <c r="N2865" s="62">
        <f t="shared" si="5731"/>
        <v>1</v>
      </c>
      <c r="O2865" s="62">
        <f t="shared" si="5731"/>
        <v>1</v>
      </c>
      <c r="P2865" s="62" t="str">
        <f t="shared" si="5731"/>
        <v/>
      </c>
      <c r="Q2865" s="62" t="str">
        <f t="shared" si="5731"/>
        <v/>
      </c>
      <c r="R2865" s="62">
        <f t="shared" si="7"/>
        <v>0</v>
      </c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</row>
    <row r="2866" hidden="1">
      <c r="A2866" s="60"/>
      <c r="B2866" s="60"/>
      <c r="C2866" s="60"/>
      <c r="D2866" s="60"/>
      <c r="E2866" s="62" t="str">
        <f t="shared" si="5153"/>
        <v/>
      </c>
      <c r="F2866" s="62" t="str">
        <f t="shared" ref="F2866:G2866" si="5732">IF(isblank(F$1),,IF(isblank($A2866),,IFERROR(vlookup($A2866,indirect("'TVC-"&amp;text(month(F$1),"00")&amp;"'!$A:$D"),4,false),1)))</f>
        <v/>
      </c>
      <c r="G2866" s="62" t="str">
        <f t="shared" si="5732"/>
        <v/>
      </c>
      <c r="H2866" s="62">
        <f t="shared" ref="H2866:Q2866" si="5733">IF(isblank(H$1),,IFERROR(vlookup($A2866,indirect("'TVC-"&amp;text(month(H$1),"00")&amp;"'!$A:$D"),4,false),1))</f>
        <v>1</v>
      </c>
      <c r="I2866" s="62">
        <f t="shared" si="5733"/>
        <v>1</v>
      </c>
      <c r="J2866" s="62">
        <f t="shared" si="5733"/>
        <v>1</v>
      </c>
      <c r="K2866" s="62">
        <f t="shared" si="5733"/>
        <v>1</v>
      </c>
      <c r="L2866" s="62">
        <f t="shared" si="5733"/>
        <v>1</v>
      </c>
      <c r="M2866" s="62">
        <f t="shared" si="5733"/>
        <v>1</v>
      </c>
      <c r="N2866" s="62">
        <f t="shared" si="5733"/>
        <v>1</v>
      </c>
      <c r="O2866" s="62">
        <f t="shared" si="5733"/>
        <v>1</v>
      </c>
      <c r="P2866" s="62" t="str">
        <f t="shared" si="5733"/>
        <v/>
      </c>
      <c r="Q2866" s="62" t="str">
        <f t="shared" si="5733"/>
        <v/>
      </c>
      <c r="R2866" s="62">
        <f t="shared" si="7"/>
        <v>0</v>
      </c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</row>
    <row r="2867" hidden="1">
      <c r="A2867" s="60"/>
      <c r="B2867" s="60"/>
      <c r="C2867" s="60"/>
      <c r="D2867" s="60"/>
      <c r="E2867" s="62" t="str">
        <f t="shared" si="5153"/>
        <v/>
      </c>
      <c r="F2867" s="62" t="str">
        <f t="shared" ref="F2867:G2867" si="5734">IF(isblank(F$1),,IF(isblank($A2867),,IFERROR(vlookup($A2867,indirect("'TVC-"&amp;text(month(F$1),"00")&amp;"'!$A:$D"),4,false),1)))</f>
        <v/>
      </c>
      <c r="G2867" s="62" t="str">
        <f t="shared" si="5734"/>
        <v/>
      </c>
      <c r="H2867" s="62">
        <f t="shared" ref="H2867:Q2867" si="5735">IF(isblank(H$1),,IFERROR(vlookup($A2867,indirect("'TVC-"&amp;text(month(H$1),"00")&amp;"'!$A:$D"),4,false),1))</f>
        <v>1</v>
      </c>
      <c r="I2867" s="62">
        <f t="shared" si="5735"/>
        <v>1</v>
      </c>
      <c r="J2867" s="62">
        <f t="shared" si="5735"/>
        <v>1</v>
      </c>
      <c r="K2867" s="62">
        <f t="shared" si="5735"/>
        <v>1</v>
      </c>
      <c r="L2867" s="62">
        <f t="shared" si="5735"/>
        <v>1</v>
      </c>
      <c r="M2867" s="62">
        <f t="shared" si="5735"/>
        <v>1</v>
      </c>
      <c r="N2867" s="62">
        <f t="shared" si="5735"/>
        <v>1</v>
      </c>
      <c r="O2867" s="62">
        <f t="shared" si="5735"/>
        <v>1</v>
      </c>
      <c r="P2867" s="62" t="str">
        <f t="shared" si="5735"/>
        <v/>
      </c>
      <c r="Q2867" s="62" t="str">
        <f t="shared" si="5735"/>
        <v/>
      </c>
      <c r="R2867" s="62">
        <f t="shared" si="7"/>
        <v>0</v>
      </c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</row>
    <row r="2868" hidden="1">
      <c r="A2868" s="60"/>
      <c r="B2868" s="60"/>
      <c r="C2868" s="60"/>
      <c r="D2868" s="60"/>
      <c r="E2868" s="62" t="str">
        <f t="shared" si="5153"/>
        <v/>
      </c>
      <c r="F2868" s="62" t="str">
        <f t="shared" ref="F2868:G2868" si="5736">IF(isblank(F$1),,IF(isblank($A2868),,IFERROR(vlookup($A2868,indirect("'TVC-"&amp;text(month(F$1),"00")&amp;"'!$A:$D"),4,false),1)))</f>
        <v/>
      </c>
      <c r="G2868" s="62" t="str">
        <f t="shared" si="5736"/>
        <v/>
      </c>
      <c r="H2868" s="62">
        <f t="shared" ref="H2868:Q2868" si="5737">IF(isblank(H$1),,IFERROR(vlookup($A2868,indirect("'TVC-"&amp;text(month(H$1),"00")&amp;"'!$A:$D"),4,false),1))</f>
        <v>1</v>
      </c>
      <c r="I2868" s="62">
        <f t="shared" si="5737"/>
        <v>1</v>
      </c>
      <c r="J2868" s="62">
        <f t="shared" si="5737"/>
        <v>1</v>
      </c>
      <c r="K2868" s="62">
        <f t="shared" si="5737"/>
        <v>1</v>
      </c>
      <c r="L2868" s="62">
        <f t="shared" si="5737"/>
        <v>1</v>
      </c>
      <c r="M2868" s="62">
        <f t="shared" si="5737"/>
        <v>1</v>
      </c>
      <c r="N2868" s="62">
        <f t="shared" si="5737"/>
        <v>1</v>
      </c>
      <c r="O2868" s="62">
        <f t="shared" si="5737"/>
        <v>1</v>
      </c>
      <c r="P2868" s="62" t="str">
        <f t="shared" si="5737"/>
        <v/>
      </c>
      <c r="Q2868" s="62" t="str">
        <f t="shared" si="5737"/>
        <v/>
      </c>
      <c r="R2868" s="62">
        <f t="shared" si="7"/>
        <v>0</v>
      </c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</row>
    <row r="2869" hidden="1">
      <c r="A2869" s="60"/>
      <c r="B2869" s="60"/>
      <c r="C2869" s="60"/>
      <c r="D2869" s="60"/>
      <c r="E2869" s="62" t="str">
        <f t="shared" si="5153"/>
        <v/>
      </c>
      <c r="F2869" s="62" t="str">
        <f t="shared" ref="F2869:G2869" si="5738">IF(isblank(F$1),,IF(isblank($A2869),,IFERROR(vlookup($A2869,indirect("'TVC-"&amp;text(month(F$1),"00")&amp;"'!$A:$D"),4,false),1)))</f>
        <v/>
      </c>
      <c r="G2869" s="62" t="str">
        <f t="shared" si="5738"/>
        <v/>
      </c>
      <c r="H2869" s="62">
        <f t="shared" ref="H2869:Q2869" si="5739">IF(isblank(H$1),,IFERROR(vlookup($A2869,indirect("'TVC-"&amp;text(month(H$1),"00")&amp;"'!$A:$D"),4,false),1))</f>
        <v>1</v>
      </c>
      <c r="I2869" s="62">
        <f t="shared" si="5739"/>
        <v>1</v>
      </c>
      <c r="J2869" s="62">
        <f t="shared" si="5739"/>
        <v>1</v>
      </c>
      <c r="K2869" s="62">
        <f t="shared" si="5739"/>
        <v>1</v>
      </c>
      <c r="L2869" s="62">
        <f t="shared" si="5739"/>
        <v>1</v>
      </c>
      <c r="M2869" s="62">
        <f t="shared" si="5739"/>
        <v>1</v>
      </c>
      <c r="N2869" s="62">
        <f t="shared" si="5739"/>
        <v>1</v>
      </c>
      <c r="O2869" s="62">
        <f t="shared" si="5739"/>
        <v>1</v>
      </c>
      <c r="P2869" s="62" t="str">
        <f t="shared" si="5739"/>
        <v/>
      </c>
      <c r="Q2869" s="62" t="str">
        <f t="shared" si="5739"/>
        <v/>
      </c>
      <c r="R2869" s="62">
        <f t="shared" si="7"/>
        <v>0</v>
      </c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</row>
    <row r="2870" hidden="1">
      <c r="A2870" s="60"/>
      <c r="B2870" s="60"/>
      <c r="C2870" s="60"/>
      <c r="D2870" s="60"/>
      <c r="E2870" s="62" t="str">
        <f t="shared" si="5153"/>
        <v/>
      </c>
      <c r="F2870" s="62" t="str">
        <f t="shared" ref="F2870:G2870" si="5740">IF(isblank(F$1),,IF(isblank($A2870),,IFERROR(vlookup($A2870,indirect("'TVC-"&amp;text(month(F$1),"00")&amp;"'!$A:$D"),4,false),1)))</f>
        <v/>
      </c>
      <c r="G2870" s="62" t="str">
        <f t="shared" si="5740"/>
        <v/>
      </c>
      <c r="H2870" s="62">
        <f t="shared" ref="H2870:Q2870" si="5741">IF(isblank(H$1),,IFERROR(vlookup($A2870,indirect("'TVC-"&amp;text(month(H$1),"00")&amp;"'!$A:$D"),4,false),1))</f>
        <v>1</v>
      </c>
      <c r="I2870" s="62">
        <f t="shared" si="5741"/>
        <v>1</v>
      </c>
      <c r="J2870" s="62">
        <f t="shared" si="5741"/>
        <v>1</v>
      </c>
      <c r="K2870" s="62">
        <f t="shared" si="5741"/>
        <v>1</v>
      </c>
      <c r="L2870" s="62">
        <f t="shared" si="5741"/>
        <v>1</v>
      </c>
      <c r="M2870" s="62">
        <f t="shared" si="5741"/>
        <v>1</v>
      </c>
      <c r="N2870" s="62">
        <f t="shared" si="5741"/>
        <v>1</v>
      </c>
      <c r="O2870" s="62">
        <f t="shared" si="5741"/>
        <v>1</v>
      </c>
      <c r="P2870" s="62" t="str">
        <f t="shared" si="5741"/>
        <v/>
      </c>
      <c r="Q2870" s="62" t="str">
        <f t="shared" si="5741"/>
        <v/>
      </c>
      <c r="R2870" s="62">
        <f t="shared" si="7"/>
        <v>0</v>
      </c>
      <c r="S2870" s="62"/>
      <c r="T2870" s="62"/>
      <c r="U2870" s="62"/>
      <c r="V2870" s="62"/>
      <c r="W2870" s="62"/>
      <c r="X2870" s="62"/>
      <c r="Y2870" s="62"/>
      <c r="Z2870" s="62"/>
      <c r="AA2870" s="62"/>
      <c r="AB2870" s="62"/>
      <c r="AC2870" s="62"/>
    </row>
    <row r="2871" hidden="1">
      <c r="A2871" s="60"/>
      <c r="B2871" s="60"/>
      <c r="C2871" s="60"/>
      <c r="D2871" s="60"/>
      <c r="E2871" s="62" t="str">
        <f t="shared" si="5153"/>
        <v/>
      </c>
      <c r="F2871" s="62" t="str">
        <f t="shared" ref="F2871:G2871" si="5742">IF(isblank(F$1),,IF(isblank($A2871),,IFERROR(vlookup($A2871,indirect("'TVC-"&amp;text(month(F$1),"00")&amp;"'!$A:$D"),4,false),1)))</f>
        <v/>
      </c>
      <c r="G2871" s="62" t="str">
        <f t="shared" si="5742"/>
        <v/>
      </c>
      <c r="H2871" s="62">
        <f t="shared" ref="H2871:Q2871" si="5743">IF(isblank(H$1),,IFERROR(vlookup($A2871,indirect("'TVC-"&amp;text(month(H$1),"00")&amp;"'!$A:$D"),4,false),1))</f>
        <v>1</v>
      </c>
      <c r="I2871" s="62">
        <f t="shared" si="5743"/>
        <v>1</v>
      </c>
      <c r="J2871" s="62">
        <f t="shared" si="5743"/>
        <v>1</v>
      </c>
      <c r="K2871" s="62">
        <f t="shared" si="5743"/>
        <v>1</v>
      </c>
      <c r="L2871" s="62">
        <f t="shared" si="5743"/>
        <v>1</v>
      </c>
      <c r="M2871" s="62">
        <f t="shared" si="5743"/>
        <v>1</v>
      </c>
      <c r="N2871" s="62">
        <f t="shared" si="5743"/>
        <v>1</v>
      </c>
      <c r="O2871" s="62">
        <f t="shared" si="5743"/>
        <v>1</v>
      </c>
      <c r="P2871" s="62" t="str">
        <f t="shared" si="5743"/>
        <v/>
      </c>
      <c r="Q2871" s="62" t="str">
        <f t="shared" si="5743"/>
        <v/>
      </c>
      <c r="R2871" s="62">
        <f t="shared" si="7"/>
        <v>0</v>
      </c>
      <c r="S2871" s="62"/>
      <c r="T2871" s="62"/>
      <c r="U2871" s="62"/>
      <c r="V2871" s="62"/>
      <c r="W2871" s="62"/>
      <c r="X2871" s="62"/>
      <c r="Y2871" s="62"/>
      <c r="Z2871" s="62"/>
      <c r="AA2871" s="62"/>
      <c r="AB2871" s="62"/>
      <c r="AC2871" s="62"/>
    </row>
    <row r="2872" hidden="1">
      <c r="A2872" s="60"/>
      <c r="B2872" s="60"/>
      <c r="C2872" s="60"/>
      <c r="D2872" s="60"/>
      <c r="E2872" s="62" t="str">
        <f t="shared" si="5153"/>
        <v/>
      </c>
      <c r="F2872" s="62" t="str">
        <f t="shared" ref="F2872:G2872" si="5744">IF(isblank(F$1),,IF(isblank($A2872),,IFERROR(vlookup($A2872,indirect("'TVC-"&amp;text(month(F$1),"00")&amp;"'!$A:$D"),4,false),1)))</f>
        <v/>
      </c>
      <c r="G2872" s="62" t="str">
        <f t="shared" si="5744"/>
        <v/>
      </c>
      <c r="H2872" s="62">
        <f t="shared" ref="H2872:Q2872" si="5745">IF(isblank(H$1),,IFERROR(vlookup($A2872,indirect("'TVC-"&amp;text(month(H$1),"00")&amp;"'!$A:$D"),4,false),1))</f>
        <v>1</v>
      </c>
      <c r="I2872" s="62">
        <f t="shared" si="5745"/>
        <v>1</v>
      </c>
      <c r="J2872" s="62">
        <f t="shared" si="5745"/>
        <v>1</v>
      </c>
      <c r="K2872" s="62">
        <f t="shared" si="5745"/>
        <v>1</v>
      </c>
      <c r="L2872" s="62">
        <f t="shared" si="5745"/>
        <v>1</v>
      </c>
      <c r="M2872" s="62">
        <f t="shared" si="5745"/>
        <v>1</v>
      </c>
      <c r="N2872" s="62">
        <f t="shared" si="5745"/>
        <v>1</v>
      </c>
      <c r="O2872" s="62">
        <f t="shared" si="5745"/>
        <v>1</v>
      </c>
      <c r="P2872" s="62" t="str">
        <f t="shared" si="5745"/>
        <v/>
      </c>
      <c r="Q2872" s="62" t="str">
        <f t="shared" si="5745"/>
        <v/>
      </c>
      <c r="R2872" s="62">
        <f t="shared" si="7"/>
        <v>0</v>
      </c>
      <c r="S2872" s="62"/>
      <c r="T2872" s="62"/>
      <c r="U2872" s="62"/>
      <c r="V2872" s="62"/>
      <c r="W2872" s="62"/>
      <c r="X2872" s="62"/>
      <c r="Y2872" s="62"/>
      <c r="Z2872" s="62"/>
      <c r="AA2872" s="62"/>
      <c r="AB2872" s="62"/>
      <c r="AC2872" s="62"/>
    </row>
    <row r="2873" hidden="1">
      <c r="A2873" s="60"/>
      <c r="B2873" s="60"/>
      <c r="C2873" s="60"/>
      <c r="D2873" s="60"/>
      <c r="E2873" s="62" t="str">
        <f t="shared" si="5153"/>
        <v/>
      </c>
      <c r="F2873" s="62" t="str">
        <f t="shared" ref="F2873:G2873" si="5746">IF(isblank(F$1),,IF(isblank($A2873),,IFERROR(vlookup($A2873,indirect("'TVC-"&amp;text(month(F$1),"00")&amp;"'!$A:$D"),4,false),1)))</f>
        <v/>
      </c>
      <c r="G2873" s="62" t="str">
        <f t="shared" si="5746"/>
        <v/>
      </c>
      <c r="H2873" s="62">
        <f t="shared" ref="H2873:Q2873" si="5747">IF(isblank(H$1),,IFERROR(vlookup($A2873,indirect("'TVC-"&amp;text(month(H$1),"00")&amp;"'!$A:$D"),4,false),1))</f>
        <v>1</v>
      </c>
      <c r="I2873" s="62">
        <f t="shared" si="5747"/>
        <v>1</v>
      </c>
      <c r="J2873" s="62">
        <f t="shared" si="5747"/>
        <v>1</v>
      </c>
      <c r="K2873" s="62">
        <f t="shared" si="5747"/>
        <v>1</v>
      </c>
      <c r="L2873" s="62">
        <f t="shared" si="5747"/>
        <v>1</v>
      </c>
      <c r="M2873" s="62">
        <f t="shared" si="5747"/>
        <v>1</v>
      </c>
      <c r="N2873" s="62">
        <f t="shared" si="5747"/>
        <v>1</v>
      </c>
      <c r="O2873" s="62">
        <f t="shared" si="5747"/>
        <v>1</v>
      </c>
      <c r="P2873" s="62" t="str">
        <f t="shared" si="5747"/>
        <v/>
      </c>
      <c r="Q2873" s="62" t="str">
        <f t="shared" si="5747"/>
        <v/>
      </c>
      <c r="R2873" s="62">
        <f t="shared" si="7"/>
        <v>0</v>
      </c>
      <c r="S2873" s="62"/>
      <c r="T2873" s="62"/>
      <c r="U2873" s="62"/>
      <c r="V2873" s="62"/>
      <c r="W2873" s="62"/>
      <c r="X2873" s="62"/>
      <c r="Y2873" s="62"/>
      <c r="Z2873" s="62"/>
      <c r="AA2873" s="62"/>
      <c r="AB2873" s="62"/>
      <c r="AC2873" s="62"/>
    </row>
    <row r="2874" hidden="1">
      <c r="A2874" s="60"/>
      <c r="B2874" s="60"/>
      <c r="C2874" s="60"/>
      <c r="D2874" s="60"/>
      <c r="E2874" s="62" t="str">
        <f t="shared" si="5153"/>
        <v/>
      </c>
      <c r="F2874" s="62" t="str">
        <f t="shared" ref="F2874:G2874" si="5748">IF(isblank(F$1),,IF(isblank($A2874),,IFERROR(vlookup($A2874,indirect("'TVC-"&amp;text(month(F$1),"00")&amp;"'!$A:$D"),4,false),1)))</f>
        <v/>
      </c>
      <c r="G2874" s="62" t="str">
        <f t="shared" si="5748"/>
        <v/>
      </c>
      <c r="H2874" s="62">
        <f t="shared" ref="H2874:Q2874" si="5749">IF(isblank(H$1),,IFERROR(vlookup($A2874,indirect("'TVC-"&amp;text(month(H$1),"00")&amp;"'!$A:$D"),4,false),1))</f>
        <v>1</v>
      </c>
      <c r="I2874" s="62">
        <f t="shared" si="5749"/>
        <v>1</v>
      </c>
      <c r="J2874" s="62">
        <f t="shared" si="5749"/>
        <v>1</v>
      </c>
      <c r="K2874" s="62">
        <f t="shared" si="5749"/>
        <v>1</v>
      </c>
      <c r="L2874" s="62">
        <f t="shared" si="5749"/>
        <v>1</v>
      </c>
      <c r="M2874" s="62">
        <f t="shared" si="5749"/>
        <v>1</v>
      </c>
      <c r="N2874" s="62">
        <f t="shared" si="5749"/>
        <v>1</v>
      </c>
      <c r="O2874" s="62">
        <f t="shared" si="5749"/>
        <v>1</v>
      </c>
      <c r="P2874" s="62" t="str">
        <f t="shared" si="5749"/>
        <v/>
      </c>
      <c r="Q2874" s="62" t="str">
        <f t="shared" si="5749"/>
        <v/>
      </c>
      <c r="R2874" s="62">
        <f t="shared" si="7"/>
        <v>0</v>
      </c>
      <c r="S2874" s="62"/>
      <c r="T2874" s="62"/>
      <c r="U2874" s="62"/>
      <c r="V2874" s="62"/>
      <c r="W2874" s="62"/>
      <c r="X2874" s="62"/>
      <c r="Y2874" s="62"/>
      <c r="Z2874" s="62"/>
      <c r="AA2874" s="62"/>
      <c r="AB2874" s="62"/>
      <c r="AC2874" s="62"/>
    </row>
    <row r="2875" hidden="1">
      <c r="A2875" s="60"/>
      <c r="B2875" s="60"/>
      <c r="C2875" s="60"/>
      <c r="D2875" s="60"/>
      <c r="E2875" s="62" t="str">
        <f t="shared" si="5153"/>
        <v/>
      </c>
      <c r="F2875" s="62" t="str">
        <f t="shared" ref="F2875:G2875" si="5750">IF(isblank(F$1),,IF(isblank($A2875),,IFERROR(vlookup($A2875,indirect("'TVC-"&amp;text(month(F$1),"00")&amp;"'!$A:$D"),4,false),1)))</f>
        <v/>
      </c>
      <c r="G2875" s="62" t="str">
        <f t="shared" si="5750"/>
        <v/>
      </c>
      <c r="H2875" s="62">
        <f t="shared" ref="H2875:Q2875" si="5751">IF(isblank(H$1),,IFERROR(vlookup($A2875,indirect("'TVC-"&amp;text(month(H$1),"00")&amp;"'!$A:$D"),4,false),1))</f>
        <v>1</v>
      </c>
      <c r="I2875" s="62">
        <f t="shared" si="5751"/>
        <v>1</v>
      </c>
      <c r="J2875" s="62">
        <f t="shared" si="5751"/>
        <v>1</v>
      </c>
      <c r="K2875" s="62">
        <f t="shared" si="5751"/>
        <v>1</v>
      </c>
      <c r="L2875" s="62">
        <f t="shared" si="5751"/>
        <v>1</v>
      </c>
      <c r="M2875" s="62">
        <f t="shared" si="5751"/>
        <v>1</v>
      </c>
      <c r="N2875" s="62">
        <f t="shared" si="5751"/>
        <v>1</v>
      </c>
      <c r="O2875" s="62">
        <f t="shared" si="5751"/>
        <v>1</v>
      </c>
      <c r="P2875" s="62" t="str">
        <f t="shared" si="5751"/>
        <v/>
      </c>
      <c r="Q2875" s="62" t="str">
        <f t="shared" si="5751"/>
        <v/>
      </c>
      <c r="R2875" s="62">
        <f t="shared" si="7"/>
        <v>0</v>
      </c>
      <c r="S2875" s="62"/>
      <c r="T2875" s="62"/>
      <c r="U2875" s="62"/>
      <c r="V2875" s="62"/>
      <c r="W2875" s="62"/>
      <c r="X2875" s="62"/>
      <c r="Y2875" s="62"/>
      <c r="Z2875" s="62"/>
      <c r="AA2875" s="62"/>
      <c r="AB2875" s="62"/>
      <c r="AC2875" s="62"/>
    </row>
    <row r="2876" hidden="1">
      <c r="A2876" s="60"/>
      <c r="B2876" s="60"/>
      <c r="C2876" s="60"/>
      <c r="D2876" s="60"/>
      <c r="E2876" s="62" t="str">
        <f t="shared" si="5153"/>
        <v/>
      </c>
      <c r="F2876" s="62" t="str">
        <f t="shared" ref="F2876:G2876" si="5752">IF(isblank(F$1),,IF(isblank($A2876),,IFERROR(vlookup($A2876,indirect("'TVC-"&amp;text(month(F$1),"00")&amp;"'!$A:$D"),4,false),1)))</f>
        <v/>
      </c>
      <c r="G2876" s="62" t="str">
        <f t="shared" si="5752"/>
        <v/>
      </c>
      <c r="H2876" s="62">
        <f t="shared" ref="H2876:Q2876" si="5753">IF(isblank(H$1),,IFERROR(vlookup($A2876,indirect("'TVC-"&amp;text(month(H$1),"00")&amp;"'!$A:$D"),4,false),1))</f>
        <v>1</v>
      </c>
      <c r="I2876" s="62">
        <f t="shared" si="5753"/>
        <v>1</v>
      </c>
      <c r="J2876" s="62">
        <f t="shared" si="5753"/>
        <v>1</v>
      </c>
      <c r="K2876" s="62">
        <f t="shared" si="5753"/>
        <v>1</v>
      </c>
      <c r="L2876" s="62">
        <f t="shared" si="5753"/>
        <v>1</v>
      </c>
      <c r="M2876" s="62">
        <f t="shared" si="5753"/>
        <v>1</v>
      </c>
      <c r="N2876" s="62">
        <f t="shared" si="5753"/>
        <v>1</v>
      </c>
      <c r="O2876" s="62">
        <f t="shared" si="5753"/>
        <v>1</v>
      </c>
      <c r="P2876" s="62" t="str">
        <f t="shared" si="5753"/>
        <v/>
      </c>
      <c r="Q2876" s="62" t="str">
        <f t="shared" si="5753"/>
        <v/>
      </c>
      <c r="R2876" s="62">
        <f t="shared" si="7"/>
        <v>0</v>
      </c>
      <c r="S2876" s="62"/>
      <c r="T2876" s="62"/>
      <c r="U2876" s="62"/>
      <c r="V2876" s="62"/>
      <c r="W2876" s="62"/>
      <c r="X2876" s="62"/>
      <c r="Y2876" s="62"/>
      <c r="Z2876" s="62"/>
      <c r="AA2876" s="62"/>
      <c r="AB2876" s="62"/>
      <c r="AC2876" s="62"/>
    </row>
    <row r="2877" hidden="1">
      <c r="A2877" s="60"/>
      <c r="B2877" s="60"/>
      <c r="C2877" s="60"/>
      <c r="D2877" s="60"/>
      <c r="E2877" s="62" t="str">
        <f t="shared" si="5153"/>
        <v/>
      </c>
      <c r="F2877" s="62" t="str">
        <f t="shared" ref="F2877:G2877" si="5754">IF(isblank(F$1),,IF(isblank($A2877),,IFERROR(vlookup($A2877,indirect("'TVC-"&amp;text(month(F$1),"00")&amp;"'!$A:$D"),4,false),1)))</f>
        <v/>
      </c>
      <c r="G2877" s="62" t="str">
        <f t="shared" si="5754"/>
        <v/>
      </c>
      <c r="H2877" s="62">
        <f t="shared" ref="H2877:Q2877" si="5755">IF(isblank(H$1),,IFERROR(vlookup($A2877,indirect("'TVC-"&amp;text(month(H$1),"00")&amp;"'!$A:$D"),4,false),1))</f>
        <v>1</v>
      </c>
      <c r="I2877" s="62">
        <f t="shared" si="5755"/>
        <v>1</v>
      </c>
      <c r="J2877" s="62">
        <f t="shared" si="5755"/>
        <v>1</v>
      </c>
      <c r="K2877" s="62">
        <f t="shared" si="5755"/>
        <v>1</v>
      </c>
      <c r="L2877" s="62">
        <f t="shared" si="5755"/>
        <v>1</v>
      </c>
      <c r="M2877" s="62">
        <f t="shared" si="5755"/>
        <v>1</v>
      </c>
      <c r="N2877" s="62">
        <f t="shared" si="5755"/>
        <v>1</v>
      </c>
      <c r="O2877" s="62">
        <f t="shared" si="5755"/>
        <v>1</v>
      </c>
      <c r="P2877" s="62" t="str">
        <f t="shared" si="5755"/>
        <v/>
      </c>
      <c r="Q2877" s="62" t="str">
        <f t="shared" si="5755"/>
        <v/>
      </c>
      <c r="R2877" s="62">
        <f t="shared" si="7"/>
        <v>0</v>
      </c>
      <c r="S2877" s="62"/>
      <c r="T2877" s="62"/>
      <c r="U2877" s="62"/>
      <c r="V2877" s="62"/>
      <c r="W2877" s="62"/>
      <c r="X2877" s="62"/>
      <c r="Y2877" s="62"/>
      <c r="Z2877" s="62"/>
      <c r="AA2877" s="62"/>
      <c r="AB2877" s="62"/>
      <c r="AC2877" s="62"/>
    </row>
    <row r="2878" hidden="1">
      <c r="A2878" s="60"/>
      <c r="B2878" s="60"/>
      <c r="C2878" s="60"/>
      <c r="D2878" s="60"/>
      <c r="E2878" s="62" t="str">
        <f t="shared" si="5153"/>
        <v/>
      </c>
      <c r="F2878" s="62" t="str">
        <f t="shared" ref="F2878:G2878" si="5756">IF(isblank(F$1),,IF(isblank($A2878),,IFERROR(vlookup($A2878,indirect("'TVC-"&amp;text(month(F$1),"00")&amp;"'!$A:$D"),4,false),1)))</f>
        <v/>
      </c>
      <c r="G2878" s="62" t="str">
        <f t="shared" si="5756"/>
        <v/>
      </c>
      <c r="H2878" s="62">
        <f t="shared" ref="H2878:Q2878" si="5757">IF(isblank(H$1),,IFERROR(vlookup($A2878,indirect("'TVC-"&amp;text(month(H$1),"00")&amp;"'!$A:$D"),4,false),1))</f>
        <v>1</v>
      </c>
      <c r="I2878" s="62">
        <f t="shared" si="5757"/>
        <v>1</v>
      </c>
      <c r="J2878" s="62">
        <f t="shared" si="5757"/>
        <v>1</v>
      </c>
      <c r="K2878" s="62">
        <f t="shared" si="5757"/>
        <v>1</v>
      </c>
      <c r="L2878" s="62">
        <f t="shared" si="5757"/>
        <v>1</v>
      </c>
      <c r="M2878" s="62">
        <f t="shared" si="5757"/>
        <v>1</v>
      </c>
      <c r="N2878" s="62">
        <f t="shared" si="5757"/>
        <v>1</v>
      </c>
      <c r="O2878" s="62">
        <f t="shared" si="5757"/>
        <v>1</v>
      </c>
      <c r="P2878" s="62" t="str">
        <f t="shared" si="5757"/>
        <v/>
      </c>
      <c r="Q2878" s="62" t="str">
        <f t="shared" si="5757"/>
        <v/>
      </c>
      <c r="R2878" s="62">
        <f t="shared" si="7"/>
        <v>0</v>
      </c>
      <c r="S2878" s="62"/>
      <c r="T2878" s="62"/>
      <c r="U2878" s="62"/>
      <c r="V2878" s="62"/>
      <c r="W2878" s="62"/>
      <c r="X2878" s="62"/>
      <c r="Y2878" s="62"/>
      <c r="Z2878" s="62"/>
      <c r="AA2878" s="62"/>
      <c r="AB2878" s="62"/>
      <c r="AC2878" s="62"/>
    </row>
    <row r="2879" hidden="1">
      <c r="A2879" s="60"/>
      <c r="B2879" s="60"/>
      <c r="C2879" s="60"/>
      <c r="D2879" s="60"/>
      <c r="E2879" s="62" t="str">
        <f t="shared" si="5153"/>
        <v/>
      </c>
      <c r="F2879" s="62" t="str">
        <f t="shared" ref="F2879:G2879" si="5758">IF(isblank(F$1),,IF(isblank($A2879),,IFERROR(vlookup($A2879,indirect("'TVC-"&amp;text(month(F$1),"00")&amp;"'!$A:$D"),4,false),1)))</f>
        <v/>
      </c>
      <c r="G2879" s="62" t="str">
        <f t="shared" si="5758"/>
        <v/>
      </c>
      <c r="H2879" s="62">
        <f t="shared" ref="H2879:Q2879" si="5759">IF(isblank(H$1),,IFERROR(vlookup($A2879,indirect("'TVC-"&amp;text(month(H$1),"00")&amp;"'!$A:$D"),4,false),1))</f>
        <v>1</v>
      </c>
      <c r="I2879" s="62">
        <f t="shared" si="5759"/>
        <v>1</v>
      </c>
      <c r="J2879" s="62">
        <f t="shared" si="5759"/>
        <v>1</v>
      </c>
      <c r="K2879" s="62">
        <f t="shared" si="5759"/>
        <v>1</v>
      </c>
      <c r="L2879" s="62">
        <f t="shared" si="5759"/>
        <v>1</v>
      </c>
      <c r="M2879" s="62">
        <f t="shared" si="5759"/>
        <v>1</v>
      </c>
      <c r="N2879" s="62">
        <f t="shared" si="5759"/>
        <v>1</v>
      </c>
      <c r="O2879" s="62">
        <f t="shared" si="5759"/>
        <v>1</v>
      </c>
      <c r="P2879" s="62" t="str">
        <f t="shared" si="5759"/>
        <v/>
      </c>
      <c r="Q2879" s="62" t="str">
        <f t="shared" si="5759"/>
        <v/>
      </c>
      <c r="R2879" s="62">
        <f t="shared" si="7"/>
        <v>0</v>
      </c>
      <c r="S2879" s="62"/>
      <c r="T2879" s="62"/>
      <c r="U2879" s="62"/>
      <c r="V2879" s="62"/>
      <c r="W2879" s="62"/>
      <c r="X2879" s="62"/>
      <c r="Y2879" s="62"/>
      <c r="Z2879" s="62"/>
      <c r="AA2879" s="62"/>
      <c r="AB2879" s="62"/>
      <c r="AC2879" s="62"/>
    </row>
    <row r="2880" hidden="1">
      <c r="A2880" s="60"/>
      <c r="B2880" s="60"/>
      <c r="C2880" s="60"/>
      <c r="D2880" s="60"/>
      <c r="E2880" s="62" t="str">
        <f t="shared" si="5153"/>
        <v/>
      </c>
      <c r="F2880" s="62" t="str">
        <f t="shared" ref="F2880:G2880" si="5760">IF(isblank(F$1),,IF(isblank($A2880),,IFERROR(vlookup($A2880,indirect("'TVC-"&amp;text(month(F$1),"00")&amp;"'!$A:$D"),4,false),1)))</f>
        <v/>
      </c>
      <c r="G2880" s="62" t="str">
        <f t="shared" si="5760"/>
        <v/>
      </c>
      <c r="H2880" s="62">
        <f t="shared" ref="H2880:Q2880" si="5761">IF(isblank(H$1),,IFERROR(vlookup($A2880,indirect("'TVC-"&amp;text(month(H$1),"00")&amp;"'!$A:$D"),4,false),1))</f>
        <v>1</v>
      </c>
      <c r="I2880" s="62">
        <f t="shared" si="5761"/>
        <v>1</v>
      </c>
      <c r="J2880" s="62">
        <f t="shared" si="5761"/>
        <v>1</v>
      </c>
      <c r="K2880" s="62">
        <f t="shared" si="5761"/>
        <v>1</v>
      </c>
      <c r="L2880" s="62">
        <f t="shared" si="5761"/>
        <v>1</v>
      </c>
      <c r="M2880" s="62">
        <f t="shared" si="5761"/>
        <v>1</v>
      </c>
      <c r="N2880" s="62">
        <f t="shared" si="5761"/>
        <v>1</v>
      </c>
      <c r="O2880" s="62">
        <f t="shared" si="5761"/>
        <v>1</v>
      </c>
      <c r="P2880" s="62" t="str">
        <f t="shared" si="5761"/>
        <v/>
      </c>
      <c r="Q2880" s="62" t="str">
        <f t="shared" si="5761"/>
        <v/>
      </c>
      <c r="R2880" s="62">
        <f t="shared" si="7"/>
        <v>0</v>
      </c>
      <c r="S2880" s="62"/>
      <c r="T2880" s="62"/>
      <c r="U2880" s="62"/>
      <c r="V2880" s="62"/>
      <c r="W2880" s="62"/>
      <c r="X2880" s="62"/>
      <c r="Y2880" s="62"/>
      <c r="Z2880" s="62"/>
      <c r="AA2880" s="62"/>
      <c r="AB2880" s="62"/>
      <c r="AC2880" s="62"/>
    </row>
    <row r="2881" hidden="1">
      <c r="A2881" s="60"/>
      <c r="B2881" s="60"/>
      <c r="C2881" s="60"/>
      <c r="D2881" s="60"/>
      <c r="E2881" s="62" t="str">
        <f t="shared" si="5153"/>
        <v/>
      </c>
      <c r="F2881" s="62" t="str">
        <f t="shared" ref="F2881:G2881" si="5762">IF(isblank(F$1),,IF(isblank($A2881),,IFERROR(vlookup($A2881,indirect("'TVC-"&amp;text(month(F$1),"00")&amp;"'!$A:$D"),4,false),1)))</f>
        <v/>
      </c>
      <c r="G2881" s="62" t="str">
        <f t="shared" si="5762"/>
        <v/>
      </c>
      <c r="H2881" s="62">
        <f t="shared" ref="H2881:Q2881" si="5763">IF(isblank(H$1),,IFERROR(vlookup($A2881,indirect("'TVC-"&amp;text(month(H$1),"00")&amp;"'!$A:$D"),4,false),1))</f>
        <v>1</v>
      </c>
      <c r="I2881" s="62">
        <f t="shared" si="5763"/>
        <v>1</v>
      </c>
      <c r="J2881" s="62">
        <f t="shared" si="5763"/>
        <v>1</v>
      </c>
      <c r="K2881" s="62">
        <f t="shared" si="5763"/>
        <v>1</v>
      </c>
      <c r="L2881" s="62">
        <f t="shared" si="5763"/>
        <v>1</v>
      </c>
      <c r="M2881" s="62">
        <f t="shared" si="5763"/>
        <v>1</v>
      </c>
      <c r="N2881" s="62">
        <f t="shared" si="5763"/>
        <v>1</v>
      </c>
      <c r="O2881" s="62">
        <f t="shared" si="5763"/>
        <v>1</v>
      </c>
      <c r="P2881" s="62" t="str">
        <f t="shared" si="5763"/>
        <v/>
      </c>
      <c r="Q2881" s="62" t="str">
        <f t="shared" si="5763"/>
        <v/>
      </c>
      <c r="R2881" s="62">
        <f t="shared" si="7"/>
        <v>0</v>
      </c>
      <c r="S2881" s="62"/>
      <c r="T2881" s="62"/>
      <c r="U2881" s="62"/>
      <c r="V2881" s="62"/>
      <c r="W2881" s="62"/>
      <c r="X2881" s="62"/>
      <c r="Y2881" s="62"/>
      <c r="Z2881" s="62"/>
      <c r="AA2881" s="62"/>
      <c r="AB2881" s="62"/>
      <c r="AC2881" s="62"/>
    </row>
    <row r="2882" hidden="1">
      <c r="A2882" s="60"/>
      <c r="B2882" s="60"/>
      <c r="C2882" s="60"/>
      <c r="D2882" s="60"/>
      <c r="E2882" s="62" t="str">
        <f t="shared" si="5153"/>
        <v/>
      </c>
      <c r="F2882" s="62" t="str">
        <f t="shared" ref="F2882:G2882" si="5764">IF(isblank(F$1),,IF(isblank($A2882),,IFERROR(vlookup($A2882,indirect("'TVC-"&amp;text(month(F$1),"00")&amp;"'!$A:$D"),4,false),1)))</f>
        <v/>
      </c>
      <c r="G2882" s="62" t="str">
        <f t="shared" si="5764"/>
        <v/>
      </c>
      <c r="H2882" s="62">
        <f t="shared" ref="H2882:Q2882" si="5765">IF(isblank(H$1),,IFERROR(vlookup($A2882,indirect("'TVC-"&amp;text(month(H$1),"00")&amp;"'!$A:$D"),4,false),1))</f>
        <v>1</v>
      </c>
      <c r="I2882" s="62">
        <f t="shared" si="5765"/>
        <v>1</v>
      </c>
      <c r="J2882" s="62">
        <f t="shared" si="5765"/>
        <v>1</v>
      </c>
      <c r="K2882" s="62">
        <f t="shared" si="5765"/>
        <v>1</v>
      </c>
      <c r="L2882" s="62">
        <f t="shared" si="5765"/>
        <v>1</v>
      </c>
      <c r="M2882" s="62">
        <f t="shared" si="5765"/>
        <v>1</v>
      </c>
      <c r="N2882" s="62">
        <f t="shared" si="5765"/>
        <v>1</v>
      </c>
      <c r="O2882" s="62">
        <f t="shared" si="5765"/>
        <v>1</v>
      </c>
      <c r="P2882" s="62" t="str">
        <f t="shared" si="5765"/>
        <v/>
      </c>
      <c r="Q2882" s="62" t="str">
        <f t="shared" si="5765"/>
        <v/>
      </c>
      <c r="R2882" s="62">
        <f t="shared" si="7"/>
        <v>0</v>
      </c>
      <c r="S2882" s="62"/>
      <c r="T2882" s="62"/>
      <c r="U2882" s="62"/>
      <c r="V2882" s="62"/>
      <c r="W2882" s="62"/>
      <c r="X2882" s="62"/>
      <c r="Y2882" s="62"/>
      <c r="Z2882" s="62"/>
      <c r="AA2882" s="62"/>
      <c r="AB2882" s="62"/>
      <c r="AC2882" s="62"/>
    </row>
    <row r="2883" hidden="1">
      <c r="A2883" s="60"/>
      <c r="B2883" s="60"/>
      <c r="C2883" s="60"/>
      <c r="D2883" s="60"/>
      <c r="E2883" s="62" t="str">
        <f t="shared" si="5153"/>
        <v/>
      </c>
      <c r="F2883" s="62" t="str">
        <f t="shared" ref="F2883:G2883" si="5766">IF(isblank(F$1),,IF(isblank($A2883),,IFERROR(vlookup($A2883,indirect("'TVC-"&amp;text(month(F$1),"00")&amp;"'!$A:$D"),4,false),1)))</f>
        <v/>
      </c>
      <c r="G2883" s="62" t="str">
        <f t="shared" si="5766"/>
        <v/>
      </c>
      <c r="H2883" s="62">
        <f t="shared" ref="H2883:Q2883" si="5767">IF(isblank(H$1),,IFERROR(vlookup($A2883,indirect("'TVC-"&amp;text(month(H$1),"00")&amp;"'!$A:$D"),4,false),1))</f>
        <v>1</v>
      </c>
      <c r="I2883" s="62">
        <f t="shared" si="5767"/>
        <v>1</v>
      </c>
      <c r="J2883" s="62">
        <f t="shared" si="5767"/>
        <v>1</v>
      </c>
      <c r="K2883" s="62">
        <f t="shared" si="5767"/>
        <v>1</v>
      </c>
      <c r="L2883" s="62">
        <f t="shared" si="5767"/>
        <v>1</v>
      </c>
      <c r="M2883" s="62">
        <f t="shared" si="5767"/>
        <v>1</v>
      </c>
      <c r="N2883" s="62">
        <f t="shared" si="5767"/>
        <v>1</v>
      </c>
      <c r="O2883" s="62">
        <f t="shared" si="5767"/>
        <v>1</v>
      </c>
      <c r="P2883" s="62" t="str">
        <f t="shared" si="5767"/>
        <v/>
      </c>
      <c r="Q2883" s="62" t="str">
        <f t="shared" si="5767"/>
        <v/>
      </c>
      <c r="R2883" s="62">
        <f t="shared" si="7"/>
        <v>0</v>
      </c>
      <c r="S2883" s="62"/>
      <c r="T2883" s="62"/>
      <c r="U2883" s="62"/>
      <c r="V2883" s="62"/>
      <c r="W2883" s="62"/>
      <c r="X2883" s="62"/>
      <c r="Y2883" s="62"/>
      <c r="Z2883" s="62"/>
      <c r="AA2883" s="62"/>
      <c r="AB2883" s="62"/>
      <c r="AC2883" s="62"/>
    </row>
    <row r="2884" hidden="1">
      <c r="A2884" s="60"/>
      <c r="B2884" s="60"/>
      <c r="C2884" s="60"/>
      <c r="D2884" s="60"/>
      <c r="E2884" s="62" t="str">
        <f t="shared" si="5153"/>
        <v/>
      </c>
      <c r="F2884" s="62" t="str">
        <f t="shared" ref="F2884:G2884" si="5768">IF(isblank(F$1),,IF(isblank($A2884),,IFERROR(vlookup($A2884,indirect("'TVC-"&amp;text(month(F$1),"00")&amp;"'!$A:$D"),4,false),1)))</f>
        <v/>
      </c>
      <c r="G2884" s="62" t="str">
        <f t="shared" si="5768"/>
        <v/>
      </c>
      <c r="H2884" s="62">
        <f t="shared" ref="H2884:Q2884" si="5769">IF(isblank(H$1),,IFERROR(vlookup($A2884,indirect("'TVC-"&amp;text(month(H$1),"00")&amp;"'!$A:$D"),4,false),1))</f>
        <v>1</v>
      </c>
      <c r="I2884" s="62">
        <f t="shared" si="5769"/>
        <v>1</v>
      </c>
      <c r="J2884" s="62">
        <f t="shared" si="5769"/>
        <v>1</v>
      </c>
      <c r="K2884" s="62">
        <f t="shared" si="5769"/>
        <v>1</v>
      </c>
      <c r="L2884" s="62">
        <f t="shared" si="5769"/>
        <v>1</v>
      </c>
      <c r="M2884" s="62">
        <f t="shared" si="5769"/>
        <v>1</v>
      </c>
      <c r="N2884" s="62">
        <f t="shared" si="5769"/>
        <v>1</v>
      </c>
      <c r="O2884" s="62">
        <f t="shared" si="5769"/>
        <v>1</v>
      </c>
      <c r="P2884" s="62" t="str">
        <f t="shared" si="5769"/>
        <v/>
      </c>
      <c r="Q2884" s="62" t="str">
        <f t="shared" si="5769"/>
        <v/>
      </c>
      <c r="R2884" s="62">
        <f t="shared" si="7"/>
        <v>0</v>
      </c>
      <c r="S2884" s="62"/>
      <c r="T2884" s="62"/>
      <c r="U2884" s="62"/>
      <c r="V2884" s="62"/>
      <c r="W2884" s="62"/>
      <c r="X2884" s="62"/>
      <c r="Y2884" s="62"/>
      <c r="Z2884" s="62"/>
      <c r="AA2884" s="62"/>
      <c r="AB2884" s="62"/>
      <c r="AC2884" s="62"/>
    </row>
    <row r="2885" hidden="1">
      <c r="A2885" s="60"/>
      <c r="B2885" s="60"/>
      <c r="C2885" s="60"/>
      <c r="D2885" s="60"/>
      <c r="E2885" s="62" t="str">
        <f t="shared" si="5153"/>
        <v/>
      </c>
      <c r="F2885" s="62" t="str">
        <f t="shared" ref="F2885:G2885" si="5770">IF(isblank(F$1),,IF(isblank($A2885),,IFERROR(vlookup($A2885,indirect("'TVC-"&amp;text(month(F$1),"00")&amp;"'!$A:$D"),4,false),1)))</f>
        <v/>
      </c>
      <c r="G2885" s="62" t="str">
        <f t="shared" si="5770"/>
        <v/>
      </c>
      <c r="H2885" s="62">
        <f t="shared" ref="H2885:Q2885" si="5771">IF(isblank(H$1),,IFERROR(vlookup($A2885,indirect("'TVC-"&amp;text(month(H$1),"00")&amp;"'!$A:$D"),4,false),1))</f>
        <v>1</v>
      </c>
      <c r="I2885" s="62">
        <f t="shared" si="5771"/>
        <v>1</v>
      </c>
      <c r="J2885" s="62">
        <f t="shared" si="5771"/>
        <v>1</v>
      </c>
      <c r="K2885" s="62">
        <f t="shared" si="5771"/>
        <v>1</v>
      </c>
      <c r="L2885" s="62">
        <f t="shared" si="5771"/>
        <v>1</v>
      </c>
      <c r="M2885" s="62">
        <f t="shared" si="5771"/>
        <v>1</v>
      </c>
      <c r="N2885" s="62">
        <f t="shared" si="5771"/>
        <v>1</v>
      </c>
      <c r="O2885" s="62">
        <f t="shared" si="5771"/>
        <v>1</v>
      </c>
      <c r="P2885" s="62" t="str">
        <f t="shared" si="5771"/>
        <v/>
      </c>
      <c r="Q2885" s="62" t="str">
        <f t="shared" si="5771"/>
        <v/>
      </c>
      <c r="R2885" s="62">
        <f t="shared" si="7"/>
        <v>0</v>
      </c>
      <c r="S2885" s="62"/>
      <c r="T2885" s="62"/>
      <c r="U2885" s="62"/>
      <c r="V2885" s="62"/>
      <c r="W2885" s="62"/>
      <c r="X2885" s="62"/>
      <c r="Y2885" s="62"/>
      <c r="Z2885" s="62"/>
      <c r="AA2885" s="62"/>
      <c r="AB2885" s="62"/>
      <c r="AC2885" s="62"/>
    </row>
    <row r="2886" hidden="1">
      <c r="A2886" s="60"/>
      <c r="B2886" s="60"/>
      <c r="C2886" s="60"/>
      <c r="D2886" s="60"/>
      <c r="E2886" s="62" t="str">
        <f t="shared" si="5153"/>
        <v/>
      </c>
      <c r="F2886" s="62" t="str">
        <f t="shared" ref="F2886:G2886" si="5772">IF(isblank(F$1),,IF(isblank($A2886),,IFERROR(vlookup($A2886,indirect("'TVC-"&amp;text(month(F$1),"00")&amp;"'!$A:$D"),4,false),1)))</f>
        <v/>
      </c>
      <c r="G2886" s="62" t="str">
        <f t="shared" si="5772"/>
        <v/>
      </c>
      <c r="H2886" s="62">
        <f t="shared" ref="H2886:Q2886" si="5773">IF(isblank(H$1),,IFERROR(vlookup($A2886,indirect("'TVC-"&amp;text(month(H$1),"00")&amp;"'!$A:$D"),4,false),1))</f>
        <v>1</v>
      </c>
      <c r="I2886" s="62">
        <f t="shared" si="5773"/>
        <v>1</v>
      </c>
      <c r="J2886" s="62">
        <f t="shared" si="5773"/>
        <v>1</v>
      </c>
      <c r="K2886" s="62">
        <f t="shared" si="5773"/>
        <v>1</v>
      </c>
      <c r="L2886" s="62">
        <f t="shared" si="5773"/>
        <v>1</v>
      </c>
      <c r="M2886" s="62">
        <f t="shared" si="5773"/>
        <v>1</v>
      </c>
      <c r="N2886" s="62">
        <f t="shared" si="5773"/>
        <v>1</v>
      </c>
      <c r="O2886" s="62">
        <f t="shared" si="5773"/>
        <v>1</v>
      </c>
      <c r="P2886" s="62" t="str">
        <f t="shared" si="5773"/>
        <v/>
      </c>
      <c r="Q2886" s="62" t="str">
        <f t="shared" si="5773"/>
        <v/>
      </c>
      <c r="R2886" s="62">
        <f t="shared" si="7"/>
        <v>0</v>
      </c>
      <c r="S2886" s="62"/>
      <c r="T2886" s="62"/>
      <c r="U2886" s="62"/>
      <c r="V2886" s="62"/>
      <c r="W2886" s="62"/>
      <c r="X2886" s="62"/>
      <c r="Y2886" s="62"/>
      <c r="Z2886" s="62"/>
      <c r="AA2886" s="62"/>
      <c r="AB2886" s="62"/>
      <c r="AC2886" s="62"/>
    </row>
    <row r="2887" hidden="1">
      <c r="A2887" s="60"/>
      <c r="B2887" s="60"/>
      <c r="C2887" s="60"/>
      <c r="D2887" s="60"/>
      <c r="E2887" s="62" t="str">
        <f t="shared" si="5153"/>
        <v/>
      </c>
      <c r="F2887" s="62" t="str">
        <f t="shared" ref="F2887:G2887" si="5774">IF(isblank(F$1),,IF(isblank($A2887),,IFERROR(vlookup($A2887,indirect("'TVC-"&amp;text(month(F$1),"00")&amp;"'!$A:$D"),4,false),1)))</f>
        <v/>
      </c>
      <c r="G2887" s="62" t="str">
        <f t="shared" si="5774"/>
        <v/>
      </c>
      <c r="H2887" s="62">
        <f t="shared" ref="H2887:Q2887" si="5775">IF(isblank(H$1),,IFERROR(vlookup($A2887,indirect("'TVC-"&amp;text(month(H$1),"00")&amp;"'!$A:$D"),4,false),1))</f>
        <v>1</v>
      </c>
      <c r="I2887" s="62">
        <f t="shared" si="5775"/>
        <v>1</v>
      </c>
      <c r="J2887" s="62">
        <f t="shared" si="5775"/>
        <v>1</v>
      </c>
      <c r="K2887" s="62">
        <f t="shared" si="5775"/>
        <v>1</v>
      </c>
      <c r="L2887" s="62">
        <f t="shared" si="5775"/>
        <v>1</v>
      </c>
      <c r="M2887" s="62">
        <f t="shared" si="5775"/>
        <v>1</v>
      </c>
      <c r="N2887" s="62">
        <f t="shared" si="5775"/>
        <v>1</v>
      </c>
      <c r="O2887" s="62">
        <f t="shared" si="5775"/>
        <v>1</v>
      </c>
      <c r="P2887" s="62" t="str">
        <f t="shared" si="5775"/>
        <v/>
      </c>
      <c r="Q2887" s="62" t="str">
        <f t="shared" si="5775"/>
        <v/>
      </c>
      <c r="R2887" s="62">
        <f t="shared" si="7"/>
        <v>0</v>
      </c>
      <c r="S2887" s="62"/>
      <c r="T2887" s="62"/>
      <c r="U2887" s="62"/>
      <c r="V2887" s="62"/>
      <c r="W2887" s="62"/>
      <c r="X2887" s="62"/>
      <c r="Y2887" s="62"/>
      <c r="Z2887" s="62"/>
      <c r="AA2887" s="62"/>
      <c r="AB2887" s="62"/>
      <c r="AC2887" s="62"/>
    </row>
    <row r="2888" hidden="1">
      <c r="A2888" s="60"/>
      <c r="B2888" s="60"/>
      <c r="C2888" s="60"/>
      <c r="D2888" s="60"/>
      <c r="E2888" s="62" t="str">
        <f t="shared" si="5153"/>
        <v/>
      </c>
      <c r="F2888" s="62" t="str">
        <f t="shared" ref="F2888:G2888" si="5776">IF(isblank(F$1),,IF(isblank($A2888),,IFERROR(vlookup($A2888,indirect("'TVC-"&amp;text(month(F$1),"00")&amp;"'!$A:$D"),4,false),1)))</f>
        <v/>
      </c>
      <c r="G2888" s="62" t="str">
        <f t="shared" si="5776"/>
        <v/>
      </c>
      <c r="H2888" s="62">
        <f t="shared" ref="H2888:Q2888" si="5777">IF(isblank(H$1),,IFERROR(vlookup($A2888,indirect("'TVC-"&amp;text(month(H$1),"00")&amp;"'!$A:$D"),4,false),1))</f>
        <v>1</v>
      </c>
      <c r="I2888" s="62">
        <f t="shared" si="5777"/>
        <v>1</v>
      </c>
      <c r="J2888" s="62">
        <f t="shared" si="5777"/>
        <v>1</v>
      </c>
      <c r="K2888" s="62">
        <f t="shared" si="5777"/>
        <v>1</v>
      </c>
      <c r="L2888" s="62">
        <f t="shared" si="5777"/>
        <v>1</v>
      </c>
      <c r="M2888" s="62">
        <f t="shared" si="5777"/>
        <v>1</v>
      </c>
      <c r="N2888" s="62">
        <f t="shared" si="5777"/>
        <v>1</v>
      </c>
      <c r="O2888" s="62">
        <f t="shared" si="5777"/>
        <v>1</v>
      </c>
      <c r="P2888" s="62" t="str">
        <f t="shared" si="5777"/>
        <v/>
      </c>
      <c r="Q2888" s="62" t="str">
        <f t="shared" si="5777"/>
        <v/>
      </c>
      <c r="R2888" s="62">
        <f t="shared" si="7"/>
        <v>0</v>
      </c>
      <c r="S2888" s="62"/>
      <c r="T2888" s="62"/>
      <c r="U2888" s="62"/>
      <c r="V2888" s="62"/>
      <c r="W2888" s="62"/>
      <c r="X2888" s="62"/>
      <c r="Y2888" s="62"/>
      <c r="Z2888" s="62"/>
      <c r="AA2888" s="62"/>
      <c r="AB2888" s="62"/>
      <c r="AC2888" s="62"/>
    </row>
    <row r="2889" hidden="1">
      <c r="A2889" s="60"/>
      <c r="B2889" s="60"/>
      <c r="C2889" s="60"/>
      <c r="D2889" s="60"/>
      <c r="E2889" s="62" t="str">
        <f t="shared" si="5153"/>
        <v/>
      </c>
      <c r="F2889" s="62" t="str">
        <f t="shared" ref="F2889:G2889" si="5778">IF(isblank(F$1),,IF(isblank($A2889),,IFERROR(vlookup($A2889,indirect("'TVC-"&amp;text(month(F$1),"00")&amp;"'!$A:$D"),4,false),1)))</f>
        <v/>
      </c>
      <c r="G2889" s="62" t="str">
        <f t="shared" si="5778"/>
        <v/>
      </c>
      <c r="H2889" s="62">
        <f t="shared" ref="H2889:Q2889" si="5779">IF(isblank(H$1),,IFERROR(vlookup($A2889,indirect("'TVC-"&amp;text(month(H$1),"00")&amp;"'!$A:$D"),4,false),1))</f>
        <v>1</v>
      </c>
      <c r="I2889" s="62">
        <f t="shared" si="5779"/>
        <v>1</v>
      </c>
      <c r="J2889" s="62">
        <f t="shared" si="5779"/>
        <v>1</v>
      </c>
      <c r="K2889" s="62">
        <f t="shared" si="5779"/>
        <v>1</v>
      </c>
      <c r="L2889" s="62">
        <f t="shared" si="5779"/>
        <v>1</v>
      </c>
      <c r="M2889" s="62">
        <f t="shared" si="5779"/>
        <v>1</v>
      </c>
      <c r="N2889" s="62">
        <f t="shared" si="5779"/>
        <v>1</v>
      </c>
      <c r="O2889" s="62">
        <f t="shared" si="5779"/>
        <v>1</v>
      </c>
      <c r="P2889" s="62" t="str">
        <f t="shared" si="5779"/>
        <v/>
      </c>
      <c r="Q2889" s="62" t="str">
        <f t="shared" si="5779"/>
        <v/>
      </c>
      <c r="R2889" s="62">
        <f t="shared" si="7"/>
        <v>0</v>
      </c>
      <c r="S2889" s="62"/>
      <c r="T2889" s="62"/>
      <c r="U2889" s="62"/>
      <c r="V2889" s="62"/>
      <c r="W2889" s="62"/>
      <c r="X2889" s="62"/>
      <c r="Y2889" s="62"/>
      <c r="Z2889" s="62"/>
      <c r="AA2889" s="62"/>
      <c r="AB2889" s="62"/>
      <c r="AC2889" s="62"/>
    </row>
    <row r="2890" hidden="1">
      <c r="A2890" s="60"/>
      <c r="B2890" s="60"/>
      <c r="C2890" s="60"/>
      <c r="D2890" s="60"/>
      <c r="E2890" s="62" t="str">
        <f t="shared" si="5153"/>
        <v/>
      </c>
      <c r="F2890" s="62" t="str">
        <f t="shared" ref="F2890:G2890" si="5780">IF(isblank(F$1),,IF(isblank($A2890),,IFERROR(vlookup($A2890,indirect("'TVC-"&amp;text(month(F$1),"00")&amp;"'!$A:$D"),4,false),1)))</f>
        <v/>
      </c>
      <c r="G2890" s="62" t="str">
        <f t="shared" si="5780"/>
        <v/>
      </c>
      <c r="H2890" s="62">
        <f t="shared" ref="H2890:Q2890" si="5781">IF(isblank(H$1),,IFERROR(vlookup($A2890,indirect("'TVC-"&amp;text(month(H$1),"00")&amp;"'!$A:$D"),4,false),1))</f>
        <v>1</v>
      </c>
      <c r="I2890" s="62">
        <f t="shared" si="5781"/>
        <v>1</v>
      </c>
      <c r="J2890" s="62">
        <f t="shared" si="5781"/>
        <v>1</v>
      </c>
      <c r="K2890" s="62">
        <f t="shared" si="5781"/>
        <v>1</v>
      </c>
      <c r="L2890" s="62">
        <f t="shared" si="5781"/>
        <v>1</v>
      </c>
      <c r="M2890" s="62">
        <f t="shared" si="5781"/>
        <v>1</v>
      </c>
      <c r="N2890" s="62">
        <f t="shared" si="5781"/>
        <v>1</v>
      </c>
      <c r="O2890" s="62">
        <f t="shared" si="5781"/>
        <v>1</v>
      </c>
      <c r="P2890" s="62" t="str">
        <f t="shared" si="5781"/>
        <v/>
      </c>
      <c r="Q2890" s="62" t="str">
        <f t="shared" si="5781"/>
        <v/>
      </c>
      <c r="R2890" s="62">
        <f t="shared" si="7"/>
        <v>0</v>
      </c>
      <c r="S2890" s="62"/>
      <c r="T2890" s="62"/>
      <c r="U2890" s="62"/>
      <c r="V2890" s="62"/>
      <c r="W2890" s="62"/>
      <c r="X2890" s="62"/>
      <c r="Y2890" s="62"/>
      <c r="Z2890" s="62"/>
      <c r="AA2890" s="62"/>
      <c r="AB2890" s="62"/>
      <c r="AC2890" s="62"/>
    </row>
    <row r="2891" hidden="1">
      <c r="A2891" s="60"/>
      <c r="B2891" s="60"/>
      <c r="C2891" s="60"/>
      <c r="D2891" s="60"/>
      <c r="E2891" s="62" t="str">
        <f t="shared" si="5153"/>
        <v/>
      </c>
      <c r="F2891" s="62" t="str">
        <f t="shared" ref="F2891:G2891" si="5782">IF(isblank(F$1),,IF(isblank($A2891),,IFERROR(vlookup($A2891,indirect("'TVC-"&amp;text(month(F$1),"00")&amp;"'!$A:$D"),4,false),1)))</f>
        <v/>
      </c>
      <c r="G2891" s="62" t="str">
        <f t="shared" si="5782"/>
        <v/>
      </c>
      <c r="H2891" s="62">
        <f t="shared" ref="H2891:Q2891" si="5783">IF(isblank(H$1),,IFERROR(vlookup($A2891,indirect("'TVC-"&amp;text(month(H$1),"00")&amp;"'!$A:$D"),4,false),1))</f>
        <v>1</v>
      </c>
      <c r="I2891" s="62">
        <f t="shared" si="5783"/>
        <v>1</v>
      </c>
      <c r="J2891" s="62">
        <f t="shared" si="5783"/>
        <v>1</v>
      </c>
      <c r="K2891" s="62">
        <f t="shared" si="5783"/>
        <v>1</v>
      </c>
      <c r="L2891" s="62">
        <f t="shared" si="5783"/>
        <v>1</v>
      </c>
      <c r="M2891" s="62">
        <f t="shared" si="5783"/>
        <v>1</v>
      </c>
      <c r="N2891" s="62">
        <f t="shared" si="5783"/>
        <v>1</v>
      </c>
      <c r="O2891" s="62">
        <f t="shared" si="5783"/>
        <v>1</v>
      </c>
      <c r="P2891" s="62" t="str">
        <f t="shared" si="5783"/>
        <v/>
      </c>
      <c r="Q2891" s="62" t="str">
        <f t="shared" si="5783"/>
        <v/>
      </c>
      <c r="R2891" s="62">
        <f t="shared" si="7"/>
        <v>0</v>
      </c>
      <c r="S2891" s="62"/>
      <c r="T2891" s="62"/>
      <c r="U2891" s="62"/>
      <c r="V2891" s="62"/>
      <c r="W2891" s="62"/>
      <c r="X2891" s="62"/>
      <c r="Y2891" s="62"/>
      <c r="Z2891" s="62"/>
      <c r="AA2891" s="62"/>
      <c r="AB2891" s="62"/>
      <c r="AC2891" s="62"/>
    </row>
    <row r="2892" hidden="1">
      <c r="A2892" s="60"/>
      <c r="B2892" s="60"/>
      <c r="C2892" s="60"/>
      <c r="D2892" s="60"/>
      <c r="E2892" s="62" t="str">
        <f t="shared" si="5153"/>
        <v/>
      </c>
      <c r="F2892" s="62" t="str">
        <f t="shared" ref="F2892:G2892" si="5784">IF(isblank(F$1),,IF(isblank($A2892),,IFERROR(vlookup($A2892,indirect("'TVC-"&amp;text(month(F$1),"00")&amp;"'!$A:$D"),4,false),1)))</f>
        <v/>
      </c>
      <c r="G2892" s="62" t="str">
        <f t="shared" si="5784"/>
        <v/>
      </c>
      <c r="H2892" s="62">
        <f t="shared" ref="H2892:Q2892" si="5785">IF(isblank(H$1),,IFERROR(vlookup($A2892,indirect("'TVC-"&amp;text(month(H$1),"00")&amp;"'!$A:$D"),4,false),1))</f>
        <v>1</v>
      </c>
      <c r="I2892" s="62">
        <f t="shared" si="5785"/>
        <v>1</v>
      </c>
      <c r="J2892" s="62">
        <f t="shared" si="5785"/>
        <v>1</v>
      </c>
      <c r="K2892" s="62">
        <f t="shared" si="5785"/>
        <v>1</v>
      </c>
      <c r="L2892" s="62">
        <f t="shared" si="5785"/>
        <v>1</v>
      </c>
      <c r="M2892" s="62">
        <f t="shared" si="5785"/>
        <v>1</v>
      </c>
      <c r="N2892" s="62">
        <f t="shared" si="5785"/>
        <v>1</v>
      </c>
      <c r="O2892" s="62">
        <f t="shared" si="5785"/>
        <v>1</v>
      </c>
      <c r="P2892" s="62" t="str">
        <f t="shared" si="5785"/>
        <v/>
      </c>
      <c r="Q2892" s="62" t="str">
        <f t="shared" si="5785"/>
        <v/>
      </c>
      <c r="R2892" s="62">
        <f t="shared" si="7"/>
        <v>0</v>
      </c>
      <c r="S2892" s="62"/>
      <c r="T2892" s="62"/>
      <c r="U2892" s="62"/>
      <c r="V2892" s="62"/>
      <c r="W2892" s="62"/>
      <c r="X2892" s="62"/>
      <c r="Y2892" s="62"/>
      <c r="Z2892" s="62"/>
      <c r="AA2892" s="62"/>
      <c r="AB2892" s="62"/>
      <c r="AC2892" s="62"/>
    </row>
    <row r="2893" hidden="1">
      <c r="A2893" s="60"/>
      <c r="B2893" s="60"/>
      <c r="C2893" s="60"/>
      <c r="D2893" s="60"/>
      <c r="E2893" s="62" t="str">
        <f t="shared" si="5153"/>
        <v/>
      </c>
      <c r="F2893" s="62" t="str">
        <f t="shared" ref="F2893:G2893" si="5786">IF(isblank(F$1),,IF(isblank($A2893),,IFERROR(vlookup($A2893,indirect("'TVC-"&amp;text(month(F$1),"00")&amp;"'!$A:$D"),4,false),1)))</f>
        <v/>
      </c>
      <c r="G2893" s="62" t="str">
        <f t="shared" si="5786"/>
        <v/>
      </c>
      <c r="H2893" s="62">
        <f t="shared" ref="H2893:Q2893" si="5787">IF(isblank(H$1),,IFERROR(vlookup($A2893,indirect("'TVC-"&amp;text(month(H$1),"00")&amp;"'!$A:$D"),4,false),1))</f>
        <v>1</v>
      </c>
      <c r="I2893" s="62">
        <f t="shared" si="5787"/>
        <v>1</v>
      </c>
      <c r="J2893" s="62">
        <f t="shared" si="5787"/>
        <v>1</v>
      </c>
      <c r="K2893" s="62">
        <f t="shared" si="5787"/>
        <v>1</v>
      </c>
      <c r="L2893" s="62">
        <f t="shared" si="5787"/>
        <v>1</v>
      </c>
      <c r="M2893" s="62">
        <f t="shared" si="5787"/>
        <v>1</v>
      </c>
      <c r="N2893" s="62">
        <f t="shared" si="5787"/>
        <v>1</v>
      </c>
      <c r="O2893" s="62">
        <f t="shared" si="5787"/>
        <v>1</v>
      </c>
      <c r="P2893" s="62" t="str">
        <f t="shared" si="5787"/>
        <v/>
      </c>
      <c r="Q2893" s="62" t="str">
        <f t="shared" si="5787"/>
        <v/>
      </c>
      <c r="R2893" s="62">
        <f t="shared" si="7"/>
        <v>0</v>
      </c>
      <c r="S2893" s="62"/>
      <c r="T2893" s="62"/>
      <c r="U2893" s="62"/>
      <c r="V2893" s="62"/>
      <c r="W2893" s="62"/>
      <c r="X2893" s="62"/>
      <c r="Y2893" s="62"/>
      <c r="Z2893" s="62"/>
      <c r="AA2893" s="62"/>
      <c r="AB2893" s="62"/>
      <c r="AC2893" s="62"/>
    </row>
    <row r="2894" hidden="1">
      <c r="A2894" s="60"/>
      <c r="B2894" s="60"/>
      <c r="C2894" s="60"/>
      <c r="D2894" s="60"/>
      <c r="E2894" s="62" t="str">
        <f t="shared" si="5153"/>
        <v/>
      </c>
      <c r="F2894" s="62" t="str">
        <f t="shared" ref="F2894:G2894" si="5788">IF(isblank(F$1),,IF(isblank($A2894),,IFERROR(vlookup($A2894,indirect("'TVC-"&amp;text(month(F$1),"00")&amp;"'!$A:$D"),4,false),1)))</f>
        <v/>
      </c>
      <c r="G2894" s="62" t="str">
        <f t="shared" si="5788"/>
        <v/>
      </c>
      <c r="H2894" s="62">
        <f t="shared" ref="H2894:Q2894" si="5789">IF(isblank(H$1),,IFERROR(vlookup($A2894,indirect("'TVC-"&amp;text(month(H$1),"00")&amp;"'!$A:$D"),4,false),1))</f>
        <v>1</v>
      </c>
      <c r="I2894" s="62">
        <f t="shared" si="5789"/>
        <v>1</v>
      </c>
      <c r="J2894" s="62">
        <f t="shared" si="5789"/>
        <v>1</v>
      </c>
      <c r="K2894" s="62">
        <f t="shared" si="5789"/>
        <v>1</v>
      </c>
      <c r="L2894" s="62">
        <f t="shared" si="5789"/>
        <v>1</v>
      </c>
      <c r="M2894" s="62">
        <f t="shared" si="5789"/>
        <v>1</v>
      </c>
      <c r="N2894" s="62">
        <f t="shared" si="5789"/>
        <v>1</v>
      </c>
      <c r="O2894" s="62">
        <f t="shared" si="5789"/>
        <v>1</v>
      </c>
      <c r="P2894" s="62" t="str">
        <f t="shared" si="5789"/>
        <v/>
      </c>
      <c r="Q2894" s="62" t="str">
        <f t="shared" si="5789"/>
        <v/>
      </c>
      <c r="R2894" s="62">
        <f t="shared" si="7"/>
        <v>0</v>
      </c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</row>
    <row r="2895" hidden="1">
      <c r="A2895" s="60"/>
      <c r="B2895" s="60"/>
      <c r="C2895" s="60"/>
      <c r="D2895" s="60"/>
      <c r="E2895" s="62" t="str">
        <f t="shared" si="5153"/>
        <v/>
      </c>
      <c r="F2895" s="62" t="str">
        <f t="shared" ref="F2895:G2895" si="5790">IF(isblank(F$1),,IF(isblank($A2895),,IFERROR(vlookup($A2895,indirect("'TVC-"&amp;text(month(F$1),"00")&amp;"'!$A:$D"),4,false),1)))</f>
        <v/>
      </c>
      <c r="G2895" s="62" t="str">
        <f t="shared" si="5790"/>
        <v/>
      </c>
      <c r="H2895" s="62">
        <f t="shared" ref="H2895:Q2895" si="5791">IF(isblank(H$1),,IFERROR(vlookup($A2895,indirect("'TVC-"&amp;text(month(H$1),"00")&amp;"'!$A:$D"),4,false),1))</f>
        <v>1</v>
      </c>
      <c r="I2895" s="62">
        <f t="shared" si="5791"/>
        <v>1</v>
      </c>
      <c r="J2895" s="62">
        <f t="shared" si="5791"/>
        <v>1</v>
      </c>
      <c r="K2895" s="62">
        <f t="shared" si="5791"/>
        <v>1</v>
      </c>
      <c r="L2895" s="62">
        <f t="shared" si="5791"/>
        <v>1</v>
      </c>
      <c r="M2895" s="62">
        <f t="shared" si="5791"/>
        <v>1</v>
      </c>
      <c r="N2895" s="62">
        <f t="shared" si="5791"/>
        <v>1</v>
      </c>
      <c r="O2895" s="62">
        <f t="shared" si="5791"/>
        <v>1</v>
      </c>
      <c r="P2895" s="62" t="str">
        <f t="shared" si="5791"/>
        <v/>
      </c>
      <c r="Q2895" s="62" t="str">
        <f t="shared" si="5791"/>
        <v/>
      </c>
      <c r="R2895" s="62">
        <f t="shared" si="7"/>
        <v>0</v>
      </c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</row>
    <row r="2896" hidden="1">
      <c r="A2896" s="60"/>
      <c r="B2896" s="60"/>
      <c r="C2896" s="60"/>
      <c r="D2896" s="60"/>
      <c r="E2896" s="62" t="str">
        <f t="shared" si="5153"/>
        <v/>
      </c>
      <c r="F2896" s="62" t="str">
        <f t="shared" ref="F2896:G2896" si="5792">IF(isblank(F$1),,IF(isblank($A2896),,IFERROR(vlookup($A2896,indirect("'TVC-"&amp;text(month(F$1),"00")&amp;"'!$A:$D"),4,false),1)))</f>
        <v/>
      </c>
      <c r="G2896" s="62" t="str">
        <f t="shared" si="5792"/>
        <v/>
      </c>
      <c r="H2896" s="62">
        <f t="shared" ref="H2896:Q2896" si="5793">IF(isblank(H$1),,IFERROR(vlookup($A2896,indirect("'TVC-"&amp;text(month(H$1),"00")&amp;"'!$A:$D"),4,false),1))</f>
        <v>1</v>
      </c>
      <c r="I2896" s="62">
        <f t="shared" si="5793"/>
        <v>1</v>
      </c>
      <c r="J2896" s="62">
        <f t="shared" si="5793"/>
        <v>1</v>
      </c>
      <c r="K2896" s="62">
        <f t="shared" si="5793"/>
        <v>1</v>
      </c>
      <c r="L2896" s="62">
        <f t="shared" si="5793"/>
        <v>1</v>
      </c>
      <c r="M2896" s="62">
        <f t="shared" si="5793"/>
        <v>1</v>
      </c>
      <c r="N2896" s="62">
        <f t="shared" si="5793"/>
        <v>1</v>
      </c>
      <c r="O2896" s="62">
        <f t="shared" si="5793"/>
        <v>1</v>
      </c>
      <c r="P2896" s="62" t="str">
        <f t="shared" si="5793"/>
        <v/>
      </c>
      <c r="Q2896" s="62" t="str">
        <f t="shared" si="5793"/>
        <v/>
      </c>
      <c r="R2896" s="62">
        <f t="shared" si="7"/>
        <v>0</v>
      </c>
      <c r="S2896" s="62"/>
      <c r="T2896" s="62"/>
      <c r="U2896" s="62"/>
      <c r="V2896" s="62"/>
      <c r="W2896" s="62"/>
      <c r="X2896" s="62"/>
      <c r="Y2896" s="62"/>
      <c r="Z2896" s="62"/>
      <c r="AA2896" s="62"/>
      <c r="AB2896" s="62"/>
      <c r="AC2896" s="62"/>
    </row>
    <row r="2897" hidden="1">
      <c r="A2897" s="60"/>
      <c r="B2897" s="60"/>
      <c r="C2897" s="60"/>
      <c r="D2897" s="60"/>
      <c r="E2897" s="62" t="str">
        <f t="shared" si="5153"/>
        <v/>
      </c>
      <c r="F2897" s="62" t="str">
        <f t="shared" ref="F2897:G2897" si="5794">IF(isblank(F$1),,IF(isblank($A2897),,IFERROR(vlookup($A2897,indirect("'TVC-"&amp;text(month(F$1),"00")&amp;"'!$A:$D"),4,false),1)))</f>
        <v/>
      </c>
      <c r="G2897" s="62" t="str">
        <f t="shared" si="5794"/>
        <v/>
      </c>
      <c r="H2897" s="62">
        <f t="shared" ref="H2897:Q2897" si="5795">IF(isblank(H$1),,IFERROR(vlookup($A2897,indirect("'TVC-"&amp;text(month(H$1),"00")&amp;"'!$A:$D"),4,false),1))</f>
        <v>1</v>
      </c>
      <c r="I2897" s="62">
        <f t="shared" si="5795"/>
        <v>1</v>
      </c>
      <c r="J2897" s="62">
        <f t="shared" si="5795"/>
        <v>1</v>
      </c>
      <c r="K2897" s="62">
        <f t="shared" si="5795"/>
        <v>1</v>
      </c>
      <c r="L2897" s="62">
        <f t="shared" si="5795"/>
        <v>1</v>
      </c>
      <c r="M2897" s="62">
        <f t="shared" si="5795"/>
        <v>1</v>
      </c>
      <c r="N2897" s="62">
        <f t="shared" si="5795"/>
        <v>1</v>
      </c>
      <c r="O2897" s="62">
        <f t="shared" si="5795"/>
        <v>1</v>
      </c>
      <c r="P2897" s="62" t="str">
        <f t="shared" si="5795"/>
        <v/>
      </c>
      <c r="Q2897" s="62" t="str">
        <f t="shared" si="5795"/>
        <v/>
      </c>
      <c r="R2897" s="62">
        <f t="shared" si="7"/>
        <v>0</v>
      </c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</row>
    <row r="2898" hidden="1">
      <c r="A2898" s="60"/>
      <c r="B2898" s="60"/>
      <c r="C2898" s="60"/>
      <c r="D2898" s="60"/>
      <c r="E2898" s="62" t="str">
        <f t="shared" si="5153"/>
        <v/>
      </c>
      <c r="F2898" s="62" t="str">
        <f t="shared" ref="F2898:G2898" si="5796">IF(isblank(F$1),,IF(isblank($A2898),,IFERROR(vlookup($A2898,indirect("'TVC-"&amp;text(month(F$1),"00")&amp;"'!$A:$D"),4,false),1)))</f>
        <v/>
      </c>
      <c r="G2898" s="62" t="str">
        <f t="shared" si="5796"/>
        <v/>
      </c>
      <c r="H2898" s="62">
        <f t="shared" ref="H2898:Q2898" si="5797">IF(isblank(H$1),,IFERROR(vlookup($A2898,indirect("'TVC-"&amp;text(month(H$1),"00")&amp;"'!$A:$D"),4,false),1))</f>
        <v>1</v>
      </c>
      <c r="I2898" s="62">
        <f t="shared" si="5797"/>
        <v>1</v>
      </c>
      <c r="J2898" s="62">
        <f t="shared" si="5797"/>
        <v>1</v>
      </c>
      <c r="K2898" s="62">
        <f t="shared" si="5797"/>
        <v>1</v>
      </c>
      <c r="L2898" s="62">
        <f t="shared" si="5797"/>
        <v>1</v>
      </c>
      <c r="M2898" s="62">
        <f t="shared" si="5797"/>
        <v>1</v>
      </c>
      <c r="N2898" s="62">
        <f t="shared" si="5797"/>
        <v>1</v>
      </c>
      <c r="O2898" s="62">
        <f t="shared" si="5797"/>
        <v>1</v>
      </c>
      <c r="P2898" s="62" t="str">
        <f t="shared" si="5797"/>
        <v/>
      </c>
      <c r="Q2898" s="62" t="str">
        <f t="shared" si="5797"/>
        <v/>
      </c>
      <c r="R2898" s="62">
        <f t="shared" si="7"/>
        <v>0</v>
      </c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</row>
    <row r="2899" hidden="1">
      <c r="A2899" s="60"/>
      <c r="B2899" s="60"/>
      <c r="C2899" s="60"/>
      <c r="D2899" s="60"/>
      <c r="E2899" s="62" t="str">
        <f t="shared" si="5153"/>
        <v/>
      </c>
      <c r="F2899" s="62" t="str">
        <f t="shared" ref="F2899:G2899" si="5798">IF(isblank(F$1),,IF(isblank($A2899),,IFERROR(vlookup($A2899,indirect("'TVC-"&amp;text(month(F$1),"00")&amp;"'!$A:$D"),4,false),1)))</f>
        <v/>
      </c>
      <c r="G2899" s="62" t="str">
        <f t="shared" si="5798"/>
        <v/>
      </c>
      <c r="H2899" s="62">
        <f t="shared" ref="H2899:Q2899" si="5799">IF(isblank(H$1),,IFERROR(vlookup($A2899,indirect("'TVC-"&amp;text(month(H$1),"00")&amp;"'!$A:$D"),4,false),1))</f>
        <v>1</v>
      </c>
      <c r="I2899" s="62">
        <f t="shared" si="5799"/>
        <v>1</v>
      </c>
      <c r="J2899" s="62">
        <f t="shared" si="5799"/>
        <v>1</v>
      </c>
      <c r="K2899" s="62">
        <f t="shared" si="5799"/>
        <v>1</v>
      </c>
      <c r="L2899" s="62">
        <f t="shared" si="5799"/>
        <v>1</v>
      </c>
      <c r="M2899" s="62">
        <f t="shared" si="5799"/>
        <v>1</v>
      </c>
      <c r="N2899" s="62">
        <f t="shared" si="5799"/>
        <v>1</v>
      </c>
      <c r="O2899" s="62">
        <f t="shared" si="5799"/>
        <v>1</v>
      </c>
      <c r="P2899" s="62" t="str">
        <f t="shared" si="5799"/>
        <v/>
      </c>
      <c r="Q2899" s="62" t="str">
        <f t="shared" si="5799"/>
        <v/>
      </c>
      <c r="R2899" s="62">
        <f t="shared" si="7"/>
        <v>0</v>
      </c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</row>
    <row r="2900" hidden="1">
      <c r="A2900" s="60"/>
      <c r="B2900" s="60"/>
      <c r="C2900" s="60"/>
      <c r="D2900" s="60"/>
      <c r="E2900" s="62" t="str">
        <f t="shared" si="5153"/>
        <v/>
      </c>
      <c r="F2900" s="62" t="str">
        <f t="shared" ref="F2900:G2900" si="5800">IF(isblank(F$1),,IF(isblank($A2900),,IFERROR(vlookup($A2900,indirect("'TVC-"&amp;text(month(F$1),"00")&amp;"'!$A:$D"),4,false),1)))</f>
        <v/>
      </c>
      <c r="G2900" s="62" t="str">
        <f t="shared" si="5800"/>
        <v/>
      </c>
      <c r="H2900" s="62">
        <f t="shared" ref="H2900:Q2900" si="5801">IF(isblank(H$1),,IFERROR(vlookup($A2900,indirect("'TVC-"&amp;text(month(H$1),"00")&amp;"'!$A:$D"),4,false),1))</f>
        <v>1</v>
      </c>
      <c r="I2900" s="62">
        <f t="shared" si="5801"/>
        <v>1</v>
      </c>
      <c r="J2900" s="62">
        <f t="shared" si="5801"/>
        <v>1</v>
      </c>
      <c r="K2900" s="62">
        <f t="shared" si="5801"/>
        <v>1</v>
      </c>
      <c r="L2900" s="62">
        <f t="shared" si="5801"/>
        <v>1</v>
      </c>
      <c r="M2900" s="62">
        <f t="shared" si="5801"/>
        <v>1</v>
      </c>
      <c r="N2900" s="62">
        <f t="shared" si="5801"/>
        <v>1</v>
      </c>
      <c r="O2900" s="62">
        <f t="shared" si="5801"/>
        <v>1</v>
      </c>
      <c r="P2900" s="62" t="str">
        <f t="shared" si="5801"/>
        <v/>
      </c>
      <c r="Q2900" s="62" t="str">
        <f t="shared" si="5801"/>
        <v/>
      </c>
      <c r="R2900" s="62">
        <f t="shared" si="7"/>
        <v>0</v>
      </c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</row>
    <row r="2901" hidden="1">
      <c r="A2901" s="60"/>
      <c r="B2901" s="60"/>
      <c r="C2901" s="60"/>
      <c r="D2901" s="60"/>
      <c r="E2901" s="62" t="str">
        <f t="shared" si="5153"/>
        <v/>
      </c>
      <c r="F2901" s="62" t="str">
        <f t="shared" ref="F2901:G2901" si="5802">IF(isblank(F$1),,IF(isblank($A2901),,IFERROR(vlookup($A2901,indirect("'TVC-"&amp;text(month(F$1),"00")&amp;"'!$A:$D"),4,false),1)))</f>
        <v/>
      </c>
      <c r="G2901" s="62" t="str">
        <f t="shared" si="5802"/>
        <v/>
      </c>
      <c r="H2901" s="62">
        <f t="shared" ref="H2901:Q2901" si="5803">IF(isblank(H$1),,IFERROR(vlookup($A2901,indirect("'TVC-"&amp;text(month(H$1),"00")&amp;"'!$A:$D"),4,false),1))</f>
        <v>1</v>
      </c>
      <c r="I2901" s="62">
        <f t="shared" si="5803"/>
        <v>1</v>
      </c>
      <c r="J2901" s="62">
        <f t="shared" si="5803"/>
        <v>1</v>
      </c>
      <c r="K2901" s="62">
        <f t="shared" si="5803"/>
        <v>1</v>
      </c>
      <c r="L2901" s="62">
        <f t="shared" si="5803"/>
        <v>1</v>
      </c>
      <c r="M2901" s="62">
        <f t="shared" si="5803"/>
        <v>1</v>
      </c>
      <c r="N2901" s="62">
        <f t="shared" si="5803"/>
        <v>1</v>
      </c>
      <c r="O2901" s="62">
        <f t="shared" si="5803"/>
        <v>1</v>
      </c>
      <c r="P2901" s="62" t="str">
        <f t="shared" si="5803"/>
        <v/>
      </c>
      <c r="Q2901" s="62" t="str">
        <f t="shared" si="5803"/>
        <v/>
      </c>
      <c r="R2901" s="62">
        <f t="shared" si="7"/>
        <v>0</v>
      </c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</row>
    <row r="2902" hidden="1">
      <c r="A2902" s="60"/>
      <c r="B2902" s="60"/>
      <c r="C2902" s="60"/>
      <c r="D2902" s="60"/>
      <c r="E2902" s="62" t="str">
        <f t="shared" si="5153"/>
        <v/>
      </c>
      <c r="F2902" s="62" t="str">
        <f t="shared" ref="F2902:G2902" si="5804">IF(isblank(F$1),,IF(isblank($A2902),,IFERROR(vlookup($A2902,indirect("'TVC-"&amp;text(month(F$1),"00")&amp;"'!$A:$D"),4,false),1)))</f>
        <v/>
      </c>
      <c r="G2902" s="62" t="str">
        <f t="shared" si="5804"/>
        <v/>
      </c>
      <c r="H2902" s="62">
        <f t="shared" ref="H2902:Q2902" si="5805">IF(isblank(H$1),,IFERROR(vlookup($A2902,indirect("'TVC-"&amp;text(month(H$1),"00")&amp;"'!$A:$D"),4,false),1))</f>
        <v>1</v>
      </c>
      <c r="I2902" s="62">
        <f t="shared" si="5805"/>
        <v>1</v>
      </c>
      <c r="J2902" s="62">
        <f t="shared" si="5805"/>
        <v>1</v>
      </c>
      <c r="K2902" s="62">
        <f t="shared" si="5805"/>
        <v>1</v>
      </c>
      <c r="L2902" s="62">
        <f t="shared" si="5805"/>
        <v>1</v>
      </c>
      <c r="M2902" s="62">
        <f t="shared" si="5805"/>
        <v>1</v>
      </c>
      <c r="N2902" s="62">
        <f t="shared" si="5805"/>
        <v>1</v>
      </c>
      <c r="O2902" s="62">
        <f t="shared" si="5805"/>
        <v>1</v>
      </c>
      <c r="P2902" s="62" t="str">
        <f t="shared" si="5805"/>
        <v/>
      </c>
      <c r="Q2902" s="62" t="str">
        <f t="shared" si="5805"/>
        <v/>
      </c>
      <c r="R2902" s="62">
        <f t="shared" si="7"/>
        <v>0</v>
      </c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</row>
    <row r="2903" hidden="1">
      <c r="A2903" s="60"/>
      <c r="B2903" s="60"/>
      <c r="C2903" s="60"/>
      <c r="D2903" s="60"/>
      <c r="E2903" s="62" t="str">
        <f t="shared" si="5153"/>
        <v/>
      </c>
      <c r="F2903" s="62" t="str">
        <f t="shared" ref="F2903:G2903" si="5806">IF(isblank(F$1),,IF(isblank($A2903),,IFERROR(vlookup($A2903,indirect("'TVC-"&amp;text(month(F$1),"00")&amp;"'!$A:$D"),4,false),1)))</f>
        <v/>
      </c>
      <c r="G2903" s="62" t="str">
        <f t="shared" si="5806"/>
        <v/>
      </c>
      <c r="H2903" s="62">
        <f t="shared" ref="H2903:Q2903" si="5807">IF(isblank(H$1),,IFERROR(vlookup($A2903,indirect("'TVC-"&amp;text(month(H$1),"00")&amp;"'!$A:$D"),4,false),1))</f>
        <v>1</v>
      </c>
      <c r="I2903" s="62">
        <f t="shared" si="5807"/>
        <v>1</v>
      </c>
      <c r="J2903" s="62">
        <f t="shared" si="5807"/>
        <v>1</v>
      </c>
      <c r="K2903" s="62">
        <f t="shared" si="5807"/>
        <v>1</v>
      </c>
      <c r="L2903" s="62">
        <f t="shared" si="5807"/>
        <v>1</v>
      </c>
      <c r="M2903" s="62">
        <f t="shared" si="5807"/>
        <v>1</v>
      </c>
      <c r="N2903" s="62">
        <f t="shared" si="5807"/>
        <v>1</v>
      </c>
      <c r="O2903" s="62">
        <f t="shared" si="5807"/>
        <v>1</v>
      </c>
      <c r="P2903" s="62" t="str">
        <f t="shared" si="5807"/>
        <v/>
      </c>
      <c r="Q2903" s="62" t="str">
        <f t="shared" si="5807"/>
        <v/>
      </c>
      <c r="R2903" s="62">
        <f t="shared" si="7"/>
        <v>0</v>
      </c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</row>
    <row r="2904" hidden="1">
      <c r="A2904" s="60"/>
      <c r="B2904" s="60"/>
      <c r="C2904" s="60"/>
      <c r="D2904" s="60"/>
      <c r="E2904" s="62" t="str">
        <f t="shared" si="5153"/>
        <v/>
      </c>
      <c r="F2904" s="62" t="str">
        <f t="shared" ref="F2904:G2904" si="5808">IF(isblank(F$1),,IF(isblank($A2904),,IFERROR(vlookup($A2904,indirect("'TVC-"&amp;text(month(F$1),"00")&amp;"'!$A:$D"),4,false),1)))</f>
        <v/>
      </c>
      <c r="G2904" s="62" t="str">
        <f t="shared" si="5808"/>
        <v/>
      </c>
      <c r="H2904" s="62">
        <f t="shared" ref="H2904:Q2904" si="5809">IF(isblank(H$1),,IFERROR(vlookup($A2904,indirect("'TVC-"&amp;text(month(H$1),"00")&amp;"'!$A:$D"),4,false),1))</f>
        <v>1</v>
      </c>
      <c r="I2904" s="62">
        <f t="shared" si="5809"/>
        <v>1</v>
      </c>
      <c r="J2904" s="62">
        <f t="shared" si="5809"/>
        <v>1</v>
      </c>
      <c r="K2904" s="62">
        <f t="shared" si="5809"/>
        <v>1</v>
      </c>
      <c r="L2904" s="62">
        <f t="shared" si="5809"/>
        <v>1</v>
      </c>
      <c r="M2904" s="62">
        <f t="shared" si="5809"/>
        <v>1</v>
      </c>
      <c r="N2904" s="62">
        <f t="shared" si="5809"/>
        <v>1</v>
      </c>
      <c r="O2904" s="62">
        <f t="shared" si="5809"/>
        <v>1</v>
      </c>
      <c r="P2904" s="62" t="str">
        <f t="shared" si="5809"/>
        <v/>
      </c>
      <c r="Q2904" s="62" t="str">
        <f t="shared" si="5809"/>
        <v/>
      </c>
      <c r="R2904" s="62">
        <f t="shared" si="7"/>
        <v>0</v>
      </c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</row>
    <row r="2905" hidden="1">
      <c r="A2905" s="60"/>
      <c r="B2905" s="60"/>
      <c r="C2905" s="60"/>
      <c r="D2905" s="60"/>
      <c r="E2905" s="62" t="str">
        <f t="shared" si="5153"/>
        <v/>
      </c>
      <c r="F2905" s="62" t="str">
        <f t="shared" ref="F2905:G2905" si="5810">IF(isblank(F$1),,IF(isblank($A2905),,IFERROR(vlookup($A2905,indirect("'TVC-"&amp;text(month(F$1),"00")&amp;"'!$A:$D"),4,false),1)))</f>
        <v/>
      </c>
      <c r="G2905" s="62" t="str">
        <f t="shared" si="5810"/>
        <v/>
      </c>
      <c r="H2905" s="62">
        <f t="shared" ref="H2905:Q2905" si="5811">IF(isblank(H$1),,IFERROR(vlookup($A2905,indirect("'TVC-"&amp;text(month(H$1),"00")&amp;"'!$A:$D"),4,false),1))</f>
        <v>1</v>
      </c>
      <c r="I2905" s="62">
        <f t="shared" si="5811"/>
        <v>1</v>
      </c>
      <c r="J2905" s="62">
        <f t="shared" si="5811"/>
        <v>1</v>
      </c>
      <c r="K2905" s="62">
        <f t="shared" si="5811"/>
        <v>1</v>
      </c>
      <c r="L2905" s="62">
        <f t="shared" si="5811"/>
        <v>1</v>
      </c>
      <c r="M2905" s="62">
        <f t="shared" si="5811"/>
        <v>1</v>
      </c>
      <c r="N2905" s="62">
        <f t="shared" si="5811"/>
        <v>1</v>
      </c>
      <c r="O2905" s="62">
        <f t="shared" si="5811"/>
        <v>1</v>
      </c>
      <c r="P2905" s="62" t="str">
        <f t="shared" si="5811"/>
        <v/>
      </c>
      <c r="Q2905" s="62" t="str">
        <f t="shared" si="5811"/>
        <v/>
      </c>
      <c r="R2905" s="62">
        <f t="shared" si="7"/>
        <v>0</v>
      </c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</row>
    <row r="2906" hidden="1">
      <c r="A2906" s="60"/>
      <c r="B2906" s="60"/>
      <c r="C2906" s="60"/>
      <c r="D2906" s="60"/>
      <c r="E2906" s="62" t="str">
        <f t="shared" si="5153"/>
        <v/>
      </c>
      <c r="F2906" s="62" t="str">
        <f t="shared" ref="F2906:G2906" si="5812">IF(isblank(F$1),,IF(isblank($A2906),,IFERROR(vlookup($A2906,indirect("'TVC-"&amp;text(month(F$1),"00")&amp;"'!$A:$D"),4,false),1)))</f>
        <v/>
      </c>
      <c r="G2906" s="62" t="str">
        <f t="shared" si="5812"/>
        <v/>
      </c>
      <c r="H2906" s="62">
        <f t="shared" ref="H2906:Q2906" si="5813">IF(isblank(H$1),,IFERROR(vlookup($A2906,indirect("'TVC-"&amp;text(month(H$1),"00")&amp;"'!$A:$D"),4,false),1))</f>
        <v>1</v>
      </c>
      <c r="I2906" s="62">
        <f t="shared" si="5813"/>
        <v>1</v>
      </c>
      <c r="J2906" s="62">
        <f t="shared" si="5813"/>
        <v>1</v>
      </c>
      <c r="K2906" s="62">
        <f t="shared" si="5813"/>
        <v>1</v>
      </c>
      <c r="L2906" s="62">
        <f t="shared" si="5813"/>
        <v>1</v>
      </c>
      <c r="M2906" s="62">
        <f t="shared" si="5813"/>
        <v>1</v>
      </c>
      <c r="N2906" s="62">
        <f t="shared" si="5813"/>
        <v>1</v>
      </c>
      <c r="O2906" s="62">
        <f t="shared" si="5813"/>
        <v>1</v>
      </c>
      <c r="P2906" s="62" t="str">
        <f t="shared" si="5813"/>
        <v/>
      </c>
      <c r="Q2906" s="62" t="str">
        <f t="shared" si="5813"/>
        <v/>
      </c>
      <c r="R2906" s="62">
        <f t="shared" si="7"/>
        <v>0</v>
      </c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</row>
    <row r="2907" hidden="1">
      <c r="A2907" s="60"/>
      <c r="B2907" s="60"/>
      <c r="C2907" s="60"/>
      <c r="D2907" s="60"/>
      <c r="E2907" s="62" t="str">
        <f t="shared" si="5153"/>
        <v/>
      </c>
      <c r="F2907" s="62" t="str">
        <f t="shared" ref="F2907:G2907" si="5814">IF(isblank(F$1),,IF(isblank($A2907),,IFERROR(vlookup($A2907,indirect("'TVC-"&amp;text(month(F$1),"00")&amp;"'!$A:$D"),4,false),1)))</f>
        <v/>
      </c>
      <c r="G2907" s="62" t="str">
        <f t="shared" si="5814"/>
        <v/>
      </c>
      <c r="H2907" s="62">
        <f t="shared" ref="H2907:Q2907" si="5815">IF(isblank(H$1),,IFERROR(vlookup($A2907,indirect("'TVC-"&amp;text(month(H$1),"00")&amp;"'!$A:$D"),4,false),1))</f>
        <v>1</v>
      </c>
      <c r="I2907" s="62">
        <f t="shared" si="5815"/>
        <v>1</v>
      </c>
      <c r="J2907" s="62">
        <f t="shared" si="5815"/>
        <v>1</v>
      </c>
      <c r="K2907" s="62">
        <f t="shared" si="5815"/>
        <v>1</v>
      </c>
      <c r="L2907" s="62">
        <f t="shared" si="5815"/>
        <v>1</v>
      </c>
      <c r="M2907" s="62">
        <f t="shared" si="5815"/>
        <v>1</v>
      </c>
      <c r="N2907" s="62">
        <f t="shared" si="5815"/>
        <v>1</v>
      </c>
      <c r="O2907" s="62">
        <f t="shared" si="5815"/>
        <v>1</v>
      </c>
      <c r="P2907" s="62" t="str">
        <f t="shared" si="5815"/>
        <v/>
      </c>
      <c r="Q2907" s="62" t="str">
        <f t="shared" si="5815"/>
        <v/>
      </c>
      <c r="R2907" s="62">
        <f t="shared" si="7"/>
        <v>0</v>
      </c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</row>
    <row r="2908" hidden="1">
      <c r="A2908" s="60"/>
      <c r="B2908" s="60"/>
      <c r="C2908" s="60"/>
      <c r="D2908" s="60"/>
      <c r="E2908" s="62" t="str">
        <f t="shared" si="5153"/>
        <v/>
      </c>
      <c r="F2908" s="62" t="str">
        <f t="shared" ref="F2908:G2908" si="5816">IF(isblank(F$1),,IF(isblank($A2908),,IFERROR(vlookup($A2908,indirect("'TVC-"&amp;text(month(F$1),"00")&amp;"'!$A:$D"),4,false),1)))</f>
        <v/>
      </c>
      <c r="G2908" s="62" t="str">
        <f t="shared" si="5816"/>
        <v/>
      </c>
      <c r="H2908" s="62">
        <f t="shared" ref="H2908:Q2908" si="5817">IF(isblank(H$1),,IFERROR(vlookup($A2908,indirect("'TVC-"&amp;text(month(H$1),"00")&amp;"'!$A:$D"),4,false),1))</f>
        <v>1</v>
      </c>
      <c r="I2908" s="62">
        <f t="shared" si="5817"/>
        <v>1</v>
      </c>
      <c r="J2908" s="62">
        <f t="shared" si="5817"/>
        <v>1</v>
      </c>
      <c r="K2908" s="62">
        <f t="shared" si="5817"/>
        <v>1</v>
      </c>
      <c r="L2908" s="62">
        <f t="shared" si="5817"/>
        <v>1</v>
      </c>
      <c r="M2908" s="62">
        <f t="shared" si="5817"/>
        <v>1</v>
      </c>
      <c r="N2908" s="62">
        <f t="shared" si="5817"/>
        <v>1</v>
      </c>
      <c r="O2908" s="62">
        <f t="shared" si="5817"/>
        <v>1</v>
      </c>
      <c r="P2908" s="62" t="str">
        <f t="shared" si="5817"/>
        <v/>
      </c>
      <c r="Q2908" s="62" t="str">
        <f t="shared" si="5817"/>
        <v/>
      </c>
      <c r="R2908" s="62">
        <f t="shared" si="7"/>
        <v>0</v>
      </c>
      <c r="S2908" s="62"/>
      <c r="T2908" s="62"/>
      <c r="U2908" s="62"/>
      <c r="V2908" s="62"/>
      <c r="W2908" s="62"/>
      <c r="X2908" s="62"/>
      <c r="Y2908" s="62"/>
      <c r="Z2908" s="62"/>
      <c r="AA2908" s="62"/>
      <c r="AB2908" s="62"/>
      <c r="AC2908" s="62"/>
    </row>
    <row r="2909" hidden="1">
      <c r="A2909" s="60"/>
      <c r="B2909" s="60"/>
      <c r="C2909" s="60"/>
      <c r="D2909" s="60"/>
      <c r="E2909" s="62" t="str">
        <f t="shared" si="5153"/>
        <v/>
      </c>
      <c r="F2909" s="62" t="str">
        <f t="shared" ref="F2909:G2909" si="5818">IF(isblank(F$1),,IF(isblank($A2909),,IFERROR(vlookup($A2909,indirect("'TVC-"&amp;text(month(F$1),"00")&amp;"'!$A:$D"),4,false),1)))</f>
        <v/>
      </c>
      <c r="G2909" s="62" t="str">
        <f t="shared" si="5818"/>
        <v/>
      </c>
      <c r="H2909" s="62">
        <f t="shared" ref="H2909:Q2909" si="5819">IF(isblank(H$1),,IFERROR(vlookup($A2909,indirect("'TVC-"&amp;text(month(H$1),"00")&amp;"'!$A:$D"),4,false),1))</f>
        <v>1</v>
      </c>
      <c r="I2909" s="62">
        <f t="shared" si="5819"/>
        <v>1</v>
      </c>
      <c r="J2909" s="62">
        <f t="shared" si="5819"/>
        <v>1</v>
      </c>
      <c r="K2909" s="62">
        <f t="shared" si="5819"/>
        <v>1</v>
      </c>
      <c r="L2909" s="62">
        <f t="shared" si="5819"/>
        <v>1</v>
      </c>
      <c r="M2909" s="62">
        <f t="shared" si="5819"/>
        <v>1</v>
      </c>
      <c r="N2909" s="62">
        <f t="shared" si="5819"/>
        <v>1</v>
      </c>
      <c r="O2909" s="62">
        <f t="shared" si="5819"/>
        <v>1</v>
      </c>
      <c r="P2909" s="62" t="str">
        <f t="shared" si="5819"/>
        <v/>
      </c>
      <c r="Q2909" s="62" t="str">
        <f t="shared" si="5819"/>
        <v/>
      </c>
      <c r="R2909" s="62">
        <f t="shared" si="7"/>
        <v>0</v>
      </c>
      <c r="S2909" s="62"/>
      <c r="T2909" s="62"/>
      <c r="U2909" s="62"/>
      <c r="V2909" s="62"/>
      <c r="W2909" s="62"/>
      <c r="X2909" s="62"/>
      <c r="Y2909" s="62"/>
      <c r="Z2909" s="62"/>
      <c r="AA2909" s="62"/>
      <c r="AB2909" s="62"/>
      <c r="AC2909" s="62"/>
    </row>
    <row r="2910" hidden="1">
      <c r="A2910" s="60"/>
      <c r="B2910" s="60"/>
      <c r="C2910" s="60"/>
      <c r="D2910" s="60"/>
      <c r="E2910" s="62" t="str">
        <f t="shared" si="5153"/>
        <v/>
      </c>
      <c r="F2910" s="62" t="str">
        <f t="shared" ref="F2910:G2910" si="5820">IF(isblank(F$1),,IF(isblank($A2910),,IFERROR(vlookup($A2910,indirect("'TVC-"&amp;text(month(F$1),"00")&amp;"'!$A:$D"),4,false),1)))</f>
        <v/>
      </c>
      <c r="G2910" s="62" t="str">
        <f t="shared" si="5820"/>
        <v/>
      </c>
      <c r="H2910" s="62">
        <f t="shared" ref="H2910:Q2910" si="5821">IF(isblank(H$1),,IFERROR(vlookup($A2910,indirect("'TVC-"&amp;text(month(H$1),"00")&amp;"'!$A:$D"),4,false),1))</f>
        <v>1</v>
      </c>
      <c r="I2910" s="62">
        <f t="shared" si="5821"/>
        <v>1</v>
      </c>
      <c r="J2910" s="62">
        <f t="shared" si="5821"/>
        <v>1</v>
      </c>
      <c r="K2910" s="62">
        <f t="shared" si="5821"/>
        <v>1</v>
      </c>
      <c r="L2910" s="62">
        <f t="shared" si="5821"/>
        <v>1</v>
      </c>
      <c r="M2910" s="62">
        <f t="shared" si="5821"/>
        <v>1</v>
      </c>
      <c r="N2910" s="62">
        <f t="shared" si="5821"/>
        <v>1</v>
      </c>
      <c r="O2910" s="62">
        <f t="shared" si="5821"/>
        <v>1</v>
      </c>
      <c r="P2910" s="62" t="str">
        <f t="shared" si="5821"/>
        <v/>
      </c>
      <c r="Q2910" s="62" t="str">
        <f t="shared" si="5821"/>
        <v/>
      </c>
      <c r="R2910" s="62">
        <f t="shared" si="7"/>
        <v>0</v>
      </c>
      <c r="S2910" s="62"/>
      <c r="T2910" s="62"/>
      <c r="U2910" s="62"/>
      <c r="V2910" s="62"/>
      <c r="W2910" s="62"/>
      <c r="X2910" s="62"/>
      <c r="Y2910" s="62"/>
      <c r="Z2910" s="62"/>
      <c r="AA2910" s="62"/>
      <c r="AB2910" s="62"/>
      <c r="AC2910" s="62"/>
    </row>
    <row r="2911" hidden="1">
      <c r="A2911" s="60"/>
      <c r="B2911" s="60"/>
      <c r="C2911" s="60"/>
      <c r="D2911" s="60"/>
      <c r="E2911" s="62" t="str">
        <f t="shared" si="5153"/>
        <v/>
      </c>
      <c r="F2911" s="62" t="str">
        <f t="shared" ref="F2911:G2911" si="5822">IF(isblank(F$1),,IF(isblank($A2911),,IFERROR(vlookup($A2911,indirect("'TVC-"&amp;text(month(F$1),"00")&amp;"'!$A:$D"),4,false),1)))</f>
        <v/>
      </c>
      <c r="G2911" s="62" t="str">
        <f t="shared" si="5822"/>
        <v/>
      </c>
      <c r="H2911" s="62">
        <f t="shared" ref="H2911:Q2911" si="5823">IF(isblank(H$1),,IFERROR(vlookup($A2911,indirect("'TVC-"&amp;text(month(H$1),"00")&amp;"'!$A:$D"),4,false),1))</f>
        <v>1</v>
      </c>
      <c r="I2911" s="62">
        <f t="shared" si="5823"/>
        <v>1</v>
      </c>
      <c r="J2911" s="62">
        <f t="shared" si="5823"/>
        <v>1</v>
      </c>
      <c r="K2911" s="62">
        <f t="shared" si="5823"/>
        <v>1</v>
      </c>
      <c r="L2911" s="62">
        <f t="shared" si="5823"/>
        <v>1</v>
      </c>
      <c r="M2911" s="62">
        <f t="shared" si="5823"/>
        <v>1</v>
      </c>
      <c r="N2911" s="62">
        <f t="shared" si="5823"/>
        <v>1</v>
      </c>
      <c r="O2911" s="62">
        <f t="shared" si="5823"/>
        <v>1</v>
      </c>
      <c r="P2911" s="62" t="str">
        <f t="shared" si="5823"/>
        <v/>
      </c>
      <c r="Q2911" s="62" t="str">
        <f t="shared" si="5823"/>
        <v/>
      </c>
      <c r="R2911" s="62">
        <f t="shared" si="7"/>
        <v>0</v>
      </c>
      <c r="S2911" s="62"/>
      <c r="T2911" s="62"/>
      <c r="U2911" s="62"/>
      <c r="V2911" s="62"/>
      <c r="W2911" s="62"/>
      <c r="X2911" s="62"/>
      <c r="Y2911" s="62"/>
      <c r="Z2911" s="62"/>
      <c r="AA2911" s="62"/>
      <c r="AB2911" s="62"/>
      <c r="AC2911" s="62"/>
    </row>
    <row r="2912" hidden="1">
      <c r="A2912" s="60"/>
      <c r="B2912" s="60"/>
      <c r="C2912" s="60"/>
      <c r="D2912" s="60"/>
      <c r="E2912" s="62" t="str">
        <f t="shared" si="5153"/>
        <v/>
      </c>
      <c r="F2912" s="62" t="str">
        <f t="shared" ref="F2912:G2912" si="5824">IF(isblank(F$1),,IF(isblank($A2912),,IFERROR(vlookup($A2912,indirect("'TVC-"&amp;text(month(F$1),"00")&amp;"'!$A:$D"),4,false),1)))</f>
        <v/>
      </c>
      <c r="G2912" s="62" t="str">
        <f t="shared" si="5824"/>
        <v/>
      </c>
      <c r="H2912" s="62">
        <f t="shared" ref="H2912:Q2912" si="5825">IF(isblank(H$1),,IFERROR(vlookup($A2912,indirect("'TVC-"&amp;text(month(H$1),"00")&amp;"'!$A:$D"),4,false),1))</f>
        <v>1</v>
      </c>
      <c r="I2912" s="62">
        <f t="shared" si="5825"/>
        <v>1</v>
      </c>
      <c r="J2912" s="62">
        <f t="shared" si="5825"/>
        <v>1</v>
      </c>
      <c r="K2912" s="62">
        <f t="shared" si="5825"/>
        <v>1</v>
      </c>
      <c r="L2912" s="62">
        <f t="shared" si="5825"/>
        <v>1</v>
      </c>
      <c r="M2912" s="62">
        <f t="shared" si="5825"/>
        <v>1</v>
      </c>
      <c r="N2912" s="62">
        <f t="shared" si="5825"/>
        <v>1</v>
      </c>
      <c r="O2912" s="62">
        <f t="shared" si="5825"/>
        <v>1</v>
      </c>
      <c r="P2912" s="62" t="str">
        <f t="shared" si="5825"/>
        <v/>
      </c>
      <c r="Q2912" s="62" t="str">
        <f t="shared" si="5825"/>
        <v/>
      </c>
      <c r="R2912" s="62">
        <f t="shared" si="7"/>
        <v>0</v>
      </c>
      <c r="S2912" s="62"/>
      <c r="T2912" s="62"/>
      <c r="U2912" s="62"/>
      <c r="V2912" s="62"/>
      <c r="W2912" s="62"/>
      <c r="X2912" s="62"/>
      <c r="Y2912" s="62"/>
      <c r="Z2912" s="62"/>
      <c r="AA2912" s="62"/>
      <c r="AB2912" s="62"/>
      <c r="AC2912" s="62"/>
    </row>
    <row r="2913" hidden="1">
      <c r="A2913" s="60"/>
      <c r="B2913" s="60"/>
      <c r="C2913" s="60"/>
      <c r="D2913" s="60"/>
      <c r="E2913" s="62" t="str">
        <f t="shared" si="5153"/>
        <v/>
      </c>
      <c r="F2913" s="62" t="str">
        <f t="shared" ref="F2913:G2913" si="5826">IF(isblank(F$1),,IF(isblank($A2913),,IFERROR(vlookup($A2913,indirect("'TVC-"&amp;text(month(F$1),"00")&amp;"'!$A:$D"),4,false),1)))</f>
        <v/>
      </c>
      <c r="G2913" s="62" t="str">
        <f t="shared" si="5826"/>
        <v/>
      </c>
      <c r="H2913" s="62">
        <f t="shared" ref="H2913:Q2913" si="5827">IF(isblank(H$1),,IFERROR(vlookup($A2913,indirect("'TVC-"&amp;text(month(H$1),"00")&amp;"'!$A:$D"),4,false),1))</f>
        <v>1</v>
      </c>
      <c r="I2913" s="62">
        <f t="shared" si="5827"/>
        <v>1</v>
      </c>
      <c r="J2913" s="62">
        <f t="shared" si="5827"/>
        <v>1</v>
      </c>
      <c r="K2913" s="62">
        <f t="shared" si="5827"/>
        <v>1</v>
      </c>
      <c r="L2913" s="62">
        <f t="shared" si="5827"/>
        <v>1</v>
      </c>
      <c r="M2913" s="62">
        <f t="shared" si="5827"/>
        <v>1</v>
      </c>
      <c r="N2913" s="62">
        <f t="shared" si="5827"/>
        <v>1</v>
      </c>
      <c r="O2913" s="62">
        <f t="shared" si="5827"/>
        <v>1</v>
      </c>
      <c r="P2913" s="62" t="str">
        <f t="shared" si="5827"/>
        <v/>
      </c>
      <c r="Q2913" s="62" t="str">
        <f t="shared" si="5827"/>
        <v/>
      </c>
      <c r="R2913" s="62">
        <f t="shared" si="7"/>
        <v>0</v>
      </c>
      <c r="S2913" s="62"/>
      <c r="T2913" s="62"/>
      <c r="U2913" s="62"/>
      <c r="V2913" s="62"/>
      <c r="W2913" s="62"/>
      <c r="X2913" s="62"/>
      <c r="Y2913" s="62"/>
      <c r="Z2913" s="62"/>
      <c r="AA2913" s="62"/>
      <c r="AB2913" s="62"/>
      <c r="AC2913" s="62"/>
    </row>
    <row r="2914" hidden="1">
      <c r="A2914" s="60"/>
      <c r="B2914" s="60"/>
      <c r="C2914" s="60"/>
      <c r="D2914" s="60"/>
      <c r="E2914" s="62" t="str">
        <f t="shared" si="5153"/>
        <v/>
      </c>
      <c r="F2914" s="62" t="str">
        <f t="shared" ref="F2914:G2914" si="5828">IF(isblank(F$1),,IF(isblank($A2914),,IFERROR(vlookup($A2914,indirect("'TVC-"&amp;text(month(F$1),"00")&amp;"'!$A:$D"),4,false),1)))</f>
        <v/>
      </c>
      <c r="G2914" s="62" t="str">
        <f t="shared" si="5828"/>
        <v/>
      </c>
      <c r="H2914" s="62">
        <f t="shared" ref="H2914:Q2914" si="5829">IF(isblank(H$1),,IFERROR(vlookup($A2914,indirect("'TVC-"&amp;text(month(H$1),"00")&amp;"'!$A:$D"),4,false),1))</f>
        <v>1</v>
      </c>
      <c r="I2914" s="62">
        <f t="shared" si="5829"/>
        <v>1</v>
      </c>
      <c r="J2914" s="62">
        <f t="shared" si="5829"/>
        <v>1</v>
      </c>
      <c r="K2914" s="62">
        <f t="shared" si="5829"/>
        <v>1</v>
      </c>
      <c r="L2914" s="62">
        <f t="shared" si="5829"/>
        <v>1</v>
      </c>
      <c r="M2914" s="62">
        <f t="shared" si="5829"/>
        <v>1</v>
      </c>
      <c r="N2914" s="62">
        <f t="shared" si="5829"/>
        <v>1</v>
      </c>
      <c r="O2914" s="62">
        <f t="shared" si="5829"/>
        <v>1</v>
      </c>
      <c r="P2914" s="62" t="str">
        <f t="shared" si="5829"/>
        <v/>
      </c>
      <c r="Q2914" s="62" t="str">
        <f t="shared" si="5829"/>
        <v/>
      </c>
      <c r="R2914" s="62">
        <f t="shared" si="7"/>
        <v>0</v>
      </c>
      <c r="S2914" s="62"/>
      <c r="T2914" s="62"/>
      <c r="U2914" s="62"/>
      <c r="V2914" s="62"/>
      <c r="W2914" s="62"/>
      <c r="X2914" s="62"/>
      <c r="Y2914" s="62"/>
      <c r="Z2914" s="62"/>
      <c r="AA2914" s="62"/>
      <c r="AB2914" s="62"/>
      <c r="AC2914" s="62"/>
    </row>
    <row r="2915" hidden="1">
      <c r="A2915" s="60"/>
      <c r="B2915" s="60"/>
      <c r="C2915" s="60"/>
      <c r="D2915" s="60"/>
      <c r="E2915" s="62" t="str">
        <f t="shared" si="5153"/>
        <v/>
      </c>
      <c r="F2915" s="62" t="str">
        <f t="shared" ref="F2915:G2915" si="5830">IF(isblank(F$1),,IF(isblank($A2915),,IFERROR(vlookup($A2915,indirect("'TVC-"&amp;text(month(F$1),"00")&amp;"'!$A:$D"),4,false),1)))</f>
        <v/>
      </c>
      <c r="G2915" s="62" t="str">
        <f t="shared" si="5830"/>
        <v/>
      </c>
      <c r="H2915" s="62">
        <f t="shared" ref="H2915:Q2915" si="5831">IF(isblank(H$1),,IFERROR(vlookup($A2915,indirect("'TVC-"&amp;text(month(H$1),"00")&amp;"'!$A:$D"),4,false),1))</f>
        <v>1</v>
      </c>
      <c r="I2915" s="62">
        <f t="shared" si="5831"/>
        <v>1</v>
      </c>
      <c r="J2915" s="62">
        <f t="shared" si="5831"/>
        <v>1</v>
      </c>
      <c r="K2915" s="62">
        <f t="shared" si="5831"/>
        <v>1</v>
      </c>
      <c r="L2915" s="62">
        <f t="shared" si="5831"/>
        <v>1</v>
      </c>
      <c r="M2915" s="62">
        <f t="shared" si="5831"/>
        <v>1</v>
      </c>
      <c r="N2915" s="62">
        <f t="shared" si="5831"/>
        <v>1</v>
      </c>
      <c r="O2915" s="62">
        <f t="shared" si="5831"/>
        <v>1</v>
      </c>
      <c r="P2915" s="62" t="str">
        <f t="shared" si="5831"/>
        <v/>
      </c>
      <c r="Q2915" s="62" t="str">
        <f t="shared" si="5831"/>
        <v/>
      </c>
      <c r="R2915" s="62">
        <f t="shared" si="7"/>
        <v>0</v>
      </c>
      <c r="S2915" s="62"/>
      <c r="T2915" s="62"/>
      <c r="U2915" s="62"/>
      <c r="V2915" s="62"/>
      <c r="W2915" s="62"/>
      <c r="X2915" s="62"/>
      <c r="Y2915" s="62"/>
      <c r="Z2915" s="62"/>
      <c r="AA2915" s="62"/>
      <c r="AB2915" s="62"/>
      <c r="AC2915" s="62"/>
    </row>
    <row r="2916" hidden="1">
      <c r="A2916" s="60"/>
      <c r="B2916" s="60"/>
      <c r="C2916" s="60"/>
      <c r="D2916" s="60"/>
      <c r="E2916" s="62" t="str">
        <f t="shared" si="5153"/>
        <v/>
      </c>
      <c r="F2916" s="62" t="str">
        <f t="shared" ref="F2916:G2916" si="5832">IF(isblank(F$1),,IF(isblank($A2916),,IFERROR(vlookup($A2916,indirect("'TVC-"&amp;text(month(F$1),"00")&amp;"'!$A:$D"),4,false),1)))</f>
        <v/>
      </c>
      <c r="G2916" s="62" t="str">
        <f t="shared" si="5832"/>
        <v/>
      </c>
      <c r="H2916" s="62">
        <f t="shared" ref="H2916:Q2916" si="5833">IF(isblank(H$1),,IFERROR(vlookup($A2916,indirect("'TVC-"&amp;text(month(H$1),"00")&amp;"'!$A:$D"),4,false),1))</f>
        <v>1</v>
      </c>
      <c r="I2916" s="62">
        <f t="shared" si="5833"/>
        <v>1</v>
      </c>
      <c r="J2916" s="62">
        <f t="shared" si="5833"/>
        <v>1</v>
      </c>
      <c r="K2916" s="62">
        <f t="shared" si="5833"/>
        <v>1</v>
      </c>
      <c r="L2916" s="62">
        <f t="shared" si="5833"/>
        <v>1</v>
      </c>
      <c r="M2916" s="62">
        <f t="shared" si="5833"/>
        <v>1</v>
      </c>
      <c r="N2916" s="62">
        <f t="shared" si="5833"/>
        <v>1</v>
      </c>
      <c r="O2916" s="62">
        <f t="shared" si="5833"/>
        <v>1</v>
      </c>
      <c r="P2916" s="62" t="str">
        <f t="shared" si="5833"/>
        <v/>
      </c>
      <c r="Q2916" s="62" t="str">
        <f t="shared" si="5833"/>
        <v/>
      </c>
      <c r="R2916" s="62">
        <f t="shared" si="7"/>
        <v>0</v>
      </c>
      <c r="S2916" s="62"/>
      <c r="T2916" s="62"/>
      <c r="U2916" s="62"/>
      <c r="V2916" s="62"/>
      <c r="W2916" s="62"/>
      <c r="X2916" s="62"/>
      <c r="Y2916" s="62"/>
      <c r="Z2916" s="62"/>
      <c r="AA2916" s="62"/>
      <c r="AB2916" s="62"/>
      <c r="AC2916" s="62"/>
    </row>
    <row r="2917" hidden="1">
      <c r="A2917" s="60"/>
      <c r="B2917" s="60"/>
      <c r="C2917" s="60"/>
      <c r="D2917" s="60"/>
      <c r="E2917" s="62" t="str">
        <f t="shared" si="5153"/>
        <v/>
      </c>
      <c r="F2917" s="62" t="str">
        <f t="shared" ref="F2917:G2917" si="5834">IF(isblank(F$1),,IF(isblank($A2917),,IFERROR(vlookup($A2917,indirect("'TVC-"&amp;text(month(F$1),"00")&amp;"'!$A:$D"),4,false),1)))</f>
        <v/>
      </c>
      <c r="G2917" s="62" t="str">
        <f t="shared" si="5834"/>
        <v/>
      </c>
      <c r="H2917" s="62">
        <f t="shared" ref="H2917:Q2917" si="5835">IF(isblank(H$1),,IFERROR(vlookup($A2917,indirect("'TVC-"&amp;text(month(H$1),"00")&amp;"'!$A:$D"),4,false),1))</f>
        <v>1</v>
      </c>
      <c r="I2917" s="62">
        <f t="shared" si="5835"/>
        <v>1</v>
      </c>
      <c r="J2917" s="62">
        <f t="shared" si="5835"/>
        <v>1</v>
      </c>
      <c r="K2917" s="62">
        <f t="shared" si="5835"/>
        <v>1</v>
      </c>
      <c r="L2917" s="62">
        <f t="shared" si="5835"/>
        <v>1</v>
      </c>
      <c r="M2917" s="62">
        <f t="shared" si="5835"/>
        <v>1</v>
      </c>
      <c r="N2917" s="62">
        <f t="shared" si="5835"/>
        <v>1</v>
      </c>
      <c r="O2917" s="62">
        <f t="shared" si="5835"/>
        <v>1</v>
      </c>
      <c r="P2917" s="62" t="str">
        <f t="shared" si="5835"/>
        <v/>
      </c>
      <c r="Q2917" s="62" t="str">
        <f t="shared" si="5835"/>
        <v/>
      </c>
      <c r="R2917" s="62">
        <f t="shared" si="7"/>
        <v>0</v>
      </c>
      <c r="S2917" s="62"/>
      <c r="T2917" s="62"/>
      <c r="U2917" s="62"/>
      <c r="V2917" s="62"/>
      <c r="W2917" s="62"/>
      <c r="X2917" s="62"/>
      <c r="Y2917" s="62"/>
      <c r="Z2917" s="62"/>
      <c r="AA2917" s="62"/>
      <c r="AB2917" s="62"/>
      <c r="AC2917" s="62"/>
    </row>
    <row r="2918" hidden="1">
      <c r="A2918" s="60"/>
      <c r="B2918" s="60"/>
      <c r="C2918" s="60"/>
      <c r="D2918" s="60"/>
      <c r="E2918" s="62" t="str">
        <f t="shared" si="5153"/>
        <v/>
      </c>
      <c r="F2918" s="62" t="str">
        <f t="shared" ref="F2918:G2918" si="5836">IF(isblank(F$1),,IF(isblank($A2918),,IFERROR(vlookup($A2918,indirect("'TVC-"&amp;text(month(F$1),"00")&amp;"'!$A:$D"),4,false),1)))</f>
        <v/>
      </c>
      <c r="G2918" s="62" t="str">
        <f t="shared" si="5836"/>
        <v/>
      </c>
      <c r="H2918" s="62">
        <f t="shared" ref="H2918:Q2918" si="5837">IF(isblank(H$1),,IFERROR(vlookup($A2918,indirect("'TVC-"&amp;text(month(H$1),"00")&amp;"'!$A:$D"),4,false),1))</f>
        <v>1</v>
      </c>
      <c r="I2918" s="62">
        <f t="shared" si="5837"/>
        <v>1</v>
      </c>
      <c r="J2918" s="62">
        <f t="shared" si="5837"/>
        <v>1</v>
      </c>
      <c r="K2918" s="62">
        <f t="shared" si="5837"/>
        <v>1</v>
      </c>
      <c r="L2918" s="62">
        <f t="shared" si="5837"/>
        <v>1</v>
      </c>
      <c r="M2918" s="62">
        <f t="shared" si="5837"/>
        <v>1</v>
      </c>
      <c r="N2918" s="62">
        <f t="shared" si="5837"/>
        <v>1</v>
      </c>
      <c r="O2918" s="62">
        <f t="shared" si="5837"/>
        <v>1</v>
      </c>
      <c r="P2918" s="62" t="str">
        <f t="shared" si="5837"/>
        <v/>
      </c>
      <c r="Q2918" s="62" t="str">
        <f t="shared" si="5837"/>
        <v/>
      </c>
      <c r="R2918" s="62">
        <f t="shared" si="7"/>
        <v>0</v>
      </c>
      <c r="S2918" s="62"/>
      <c r="T2918" s="62"/>
      <c r="U2918" s="62"/>
      <c r="V2918" s="62"/>
      <c r="W2918" s="62"/>
      <c r="X2918" s="62"/>
      <c r="Y2918" s="62"/>
      <c r="Z2918" s="62"/>
      <c r="AA2918" s="62"/>
      <c r="AB2918" s="62"/>
      <c r="AC2918" s="62"/>
    </row>
    <row r="2919" hidden="1">
      <c r="A2919" s="60"/>
      <c r="B2919" s="60"/>
      <c r="C2919" s="60"/>
      <c r="D2919" s="60"/>
      <c r="E2919" s="62" t="str">
        <f t="shared" si="5153"/>
        <v/>
      </c>
      <c r="F2919" s="62" t="str">
        <f t="shared" ref="F2919:G2919" si="5838">IF(isblank(F$1),,IF(isblank($A2919),,IFERROR(vlookup($A2919,indirect("'TVC-"&amp;text(month(F$1),"00")&amp;"'!$A:$D"),4,false),1)))</f>
        <v/>
      </c>
      <c r="G2919" s="62" t="str">
        <f t="shared" si="5838"/>
        <v/>
      </c>
      <c r="H2919" s="62">
        <f t="shared" ref="H2919:Q2919" si="5839">IF(isblank(H$1),,IFERROR(vlookup($A2919,indirect("'TVC-"&amp;text(month(H$1),"00")&amp;"'!$A:$D"),4,false),1))</f>
        <v>1</v>
      </c>
      <c r="I2919" s="62">
        <f t="shared" si="5839"/>
        <v>1</v>
      </c>
      <c r="J2919" s="62">
        <f t="shared" si="5839"/>
        <v>1</v>
      </c>
      <c r="K2919" s="62">
        <f t="shared" si="5839"/>
        <v>1</v>
      </c>
      <c r="L2919" s="62">
        <f t="shared" si="5839"/>
        <v>1</v>
      </c>
      <c r="M2919" s="62">
        <f t="shared" si="5839"/>
        <v>1</v>
      </c>
      <c r="N2919" s="62">
        <f t="shared" si="5839"/>
        <v>1</v>
      </c>
      <c r="O2919" s="62">
        <f t="shared" si="5839"/>
        <v>1</v>
      </c>
      <c r="P2919" s="62" t="str">
        <f t="shared" si="5839"/>
        <v/>
      </c>
      <c r="Q2919" s="62" t="str">
        <f t="shared" si="5839"/>
        <v/>
      </c>
      <c r="R2919" s="62">
        <f t="shared" si="7"/>
        <v>0</v>
      </c>
      <c r="S2919" s="62"/>
      <c r="T2919" s="62"/>
      <c r="U2919" s="62"/>
      <c r="V2919" s="62"/>
      <c r="W2919" s="62"/>
      <c r="X2919" s="62"/>
      <c r="Y2919" s="62"/>
      <c r="Z2919" s="62"/>
      <c r="AA2919" s="62"/>
      <c r="AB2919" s="62"/>
      <c r="AC2919" s="62"/>
    </row>
    <row r="2920" hidden="1">
      <c r="A2920" s="60"/>
      <c r="B2920" s="60"/>
      <c r="C2920" s="60"/>
      <c r="D2920" s="60"/>
      <c r="E2920" s="62" t="str">
        <f t="shared" si="5153"/>
        <v/>
      </c>
      <c r="F2920" s="62" t="str">
        <f t="shared" ref="F2920:G2920" si="5840">IF(isblank(F$1),,IF(isblank($A2920),,IFERROR(vlookup($A2920,indirect("'TVC-"&amp;text(month(F$1),"00")&amp;"'!$A:$D"),4,false),1)))</f>
        <v/>
      </c>
      <c r="G2920" s="62" t="str">
        <f t="shared" si="5840"/>
        <v/>
      </c>
      <c r="H2920" s="62">
        <f t="shared" ref="H2920:Q2920" si="5841">IF(isblank(H$1),,IFERROR(vlookup($A2920,indirect("'TVC-"&amp;text(month(H$1),"00")&amp;"'!$A:$D"),4,false),1))</f>
        <v>1</v>
      </c>
      <c r="I2920" s="62">
        <f t="shared" si="5841"/>
        <v>1</v>
      </c>
      <c r="J2920" s="62">
        <f t="shared" si="5841"/>
        <v>1</v>
      </c>
      <c r="K2920" s="62">
        <f t="shared" si="5841"/>
        <v>1</v>
      </c>
      <c r="L2920" s="62">
        <f t="shared" si="5841"/>
        <v>1</v>
      </c>
      <c r="M2920" s="62">
        <f t="shared" si="5841"/>
        <v>1</v>
      </c>
      <c r="N2920" s="62">
        <f t="shared" si="5841"/>
        <v>1</v>
      </c>
      <c r="O2920" s="62">
        <f t="shared" si="5841"/>
        <v>1</v>
      </c>
      <c r="P2920" s="62" t="str">
        <f t="shared" si="5841"/>
        <v/>
      </c>
      <c r="Q2920" s="62" t="str">
        <f t="shared" si="5841"/>
        <v/>
      </c>
      <c r="R2920" s="62">
        <f t="shared" si="7"/>
        <v>0</v>
      </c>
      <c r="S2920" s="62"/>
      <c r="T2920" s="62"/>
      <c r="U2920" s="62"/>
      <c r="V2920" s="62"/>
      <c r="W2920" s="62"/>
      <c r="X2920" s="62"/>
      <c r="Y2920" s="62"/>
      <c r="Z2920" s="62"/>
      <c r="AA2920" s="62"/>
      <c r="AB2920" s="62"/>
      <c r="AC2920" s="62"/>
    </row>
    <row r="2921" hidden="1">
      <c r="A2921" s="60"/>
      <c r="B2921" s="60"/>
      <c r="C2921" s="60"/>
      <c r="D2921" s="60"/>
      <c r="E2921" s="62" t="str">
        <f t="shared" si="5153"/>
        <v/>
      </c>
      <c r="F2921" s="62" t="str">
        <f t="shared" ref="F2921:G2921" si="5842">IF(isblank(F$1),,IF(isblank($A2921),,IFERROR(vlookup($A2921,indirect("'TVC-"&amp;text(month(F$1),"00")&amp;"'!$A:$D"),4,false),1)))</f>
        <v/>
      </c>
      <c r="G2921" s="62" t="str">
        <f t="shared" si="5842"/>
        <v/>
      </c>
      <c r="H2921" s="62">
        <f t="shared" ref="H2921:Q2921" si="5843">IF(isblank(H$1),,IFERROR(vlookup($A2921,indirect("'TVC-"&amp;text(month(H$1),"00")&amp;"'!$A:$D"),4,false),1))</f>
        <v>1</v>
      </c>
      <c r="I2921" s="62">
        <f t="shared" si="5843"/>
        <v>1</v>
      </c>
      <c r="J2921" s="62">
        <f t="shared" si="5843"/>
        <v>1</v>
      </c>
      <c r="K2921" s="62">
        <f t="shared" si="5843"/>
        <v>1</v>
      </c>
      <c r="L2921" s="62">
        <f t="shared" si="5843"/>
        <v>1</v>
      </c>
      <c r="M2921" s="62">
        <f t="shared" si="5843"/>
        <v>1</v>
      </c>
      <c r="N2921" s="62">
        <f t="shared" si="5843"/>
        <v>1</v>
      </c>
      <c r="O2921" s="62">
        <f t="shared" si="5843"/>
        <v>1</v>
      </c>
      <c r="P2921" s="62" t="str">
        <f t="shared" si="5843"/>
        <v/>
      </c>
      <c r="Q2921" s="62" t="str">
        <f t="shared" si="5843"/>
        <v/>
      </c>
      <c r="R2921" s="62">
        <f t="shared" si="7"/>
        <v>0</v>
      </c>
      <c r="S2921" s="62"/>
      <c r="T2921" s="62"/>
      <c r="U2921" s="62"/>
      <c r="V2921" s="62"/>
      <c r="W2921" s="62"/>
      <c r="X2921" s="62"/>
      <c r="Y2921" s="62"/>
      <c r="Z2921" s="62"/>
      <c r="AA2921" s="62"/>
      <c r="AB2921" s="62"/>
      <c r="AC2921" s="62"/>
    </row>
    <row r="2922" hidden="1">
      <c r="A2922" s="60"/>
      <c r="B2922" s="60"/>
      <c r="C2922" s="60"/>
      <c r="D2922" s="60"/>
      <c r="E2922" s="62" t="str">
        <f t="shared" si="5153"/>
        <v/>
      </c>
      <c r="F2922" s="62" t="str">
        <f t="shared" ref="F2922:G2922" si="5844">IF(isblank(F$1),,IF(isblank($A2922),,IFERROR(vlookup($A2922,indirect("'TVC-"&amp;text(month(F$1),"00")&amp;"'!$A:$D"),4,false),1)))</f>
        <v/>
      </c>
      <c r="G2922" s="62" t="str">
        <f t="shared" si="5844"/>
        <v/>
      </c>
      <c r="H2922" s="62">
        <f t="shared" ref="H2922:Q2922" si="5845">IF(isblank(H$1),,IFERROR(vlookup($A2922,indirect("'TVC-"&amp;text(month(H$1),"00")&amp;"'!$A:$D"),4,false),1))</f>
        <v>1</v>
      </c>
      <c r="I2922" s="62">
        <f t="shared" si="5845"/>
        <v>1</v>
      </c>
      <c r="J2922" s="62">
        <f t="shared" si="5845"/>
        <v>1</v>
      </c>
      <c r="K2922" s="62">
        <f t="shared" si="5845"/>
        <v>1</v>
      </c>
      <c r="L2922" s="62">
        <f t="shared" si="5845"/>
        <v>1</v>
      </c>
      <c r="M2922" s="62">
        <f t="shared" si="5845"/>
        <v>1</v>
      </c>
      <c r="N2922" s="62">
        <f t="shared" si="5845"/>
        <v>1</v>
      </c>
      <c r="O2922" s="62">
        <f t="shared" si="5845"/>
        <v>1</v>
      </c>
      <c r="P2922" s="62" t="str">
        <f t="shared" si="5845"/>
        <v/>
      </c>
      <c r="Q2922" s="62" t="str">
        <f t="shared" si="5845"/>
        <v/>
      </c>
      <c r="R2922" s="62">
        <f t="shared" si="7"/>
        <v>0</v>
      </c>
      <c r="S2922" s="62"/>
      <c r="T2922" s="62"/>
      <c r="U2922" s="62"/>
      <c r="V2922" s="62"/>
      <c r="W2922" s="62"/>
      <c r="X2922" s="62"/>
      <c r="Y2922" s="62"/>
      <c r="Z2922" s="62"/>
      <c r="AA2922" s="62"/>
      <c r="AB2922" s="62"/>
      <c r="AC2922" s="62"/>
    </row>
    <row r="2923" hidden="1">
      <c r="A2923" s="60"/>
      <c r="B2923" s="60"/>
      <c r="C2923" s="60"/>
      <c r="D2923" s="60"/>
      <c r="E2923" s="62" t="str">
        <f t="shared" si="5153"/>
        <v/>
      </c>
      <c r="F2923" s="62" t="str">
        <f t="shared" ref="F2923:G2923" si="5846">IF(isblank(F$1),,IF(isblank($A2923),,IFERROR(vlookup($A2923,indirect("'TVC-"&amp;text(month(F$1),"00")&amp;"'!$A:$D"),4,false),1)))</f>
        <v/>
      </c>
      <c r="G2923" s="62" t="str">
        <f t="shared" si="5846"/>
        <v/>
      </c>
      <c r="H2923" s="62">
        <f t="shared" ref="H2923:Q2923" si="5847">IF(isblank(H$1),,IFERROR(vlookup($A2923,indirect("'TVC-"&amp;text(month(H$1),"00")&amp;"'!$A:$D"),4,false),1))</f>
        <v>1</v>
      </c>
      <c r="I2923" s="62">
        <f t="shared" si="5847"/>
        <v>1</v>
      </c>
      <c r="J2923" s="62">
        <f t="shared" si="5847"/>
        <v>1</v>
      </c>
      <c r="K2923" s="62">
        <f t="shared" si="5847"/>
        <v>1</v>
      </c>
      <c r="L2923" s="62">
        <f t="shared" si="5847"/>
        <v>1</v>
      </c>
      <c r="M2923" s="62">
        <f t="shared" si="5847"/>
        <v>1</v>
      </c>
      <c r="N2923" s="62">
        <f t="shared" si="5847"/>
        <v>1</v>
      </c>
      <c r="O2923" s="62">
        <f t="shared" si="5847"/>
        <v>1</v>
      </c>
      <c r="P2923" s="62" t="str">
        <f t="shared" si="5847"/>
        <v/>
      </c>
      <c r="Q2923" s="62" t="str">
        <f t="shared" si="5847"/>
        <v/>
      </c>
      <c r="R2923" s="62">
        <f t="shared" si="7"/>
        <v>0</v>
      </c>
      <c r="S2923" s="62"/>
      <c r="T2923" s="62"/>
      <c r="U2923" s="62"/>
      <c r="V2923" s="62"/>
      <c r="W2923" s="62"/>
      <c r="X2923" s="62"/>
      <c r="Y2923" s="62"/>
      <c r="Z2923" s="62"/>
      <c r="AA2923" s="62"/>
      <c r="AB2923" s="62"/>
      <c r="AC2923" s="62"/>
    </row>
    <row r="2924" hidden="1">
      <c r="A2924" s="60"/>
      <c r="B2924" s="60"/>
      <c r="C2924" s="60"/>
      <c r="D2924" s="60"/>
      <c r="E2924" s="62" t="str">
        <f t="shared" si="5153"/>
        <v/>
      </c>
      <c r="F2924" s="62" t="str">
        <f t="shared" ref="F2924:G2924" si="5848">IF(isblank(F$1),,IF(isblank($A2924),,IFERROR(vlookup($A2924,indirect("'TVC-"&amp;text(month(F$1),"00")&amp;"'!$A:$D"),4,false),1)))</f>
        <v/>
      </c>
      <c r="G2924" s="62" t="str">
        <f t="shared" si="5848"/>
        <v/>
      </c>
      <c r="H2924" s="62">
        <f t="shared" ref="H2924:Q2924" si="5849">IF(isblank(H$1),,IFERROR(vlookup($A2924,indirect("'TVC-"&amp;text(month(H$1),"00")&amp;"'!$A:$D"),4,false),1))</f>
        <v>1</v>
      </c>
      <c r="I2924" s="62">
        <f t="shared" si="5849"/>
        <v>1</v>
      </c>
      <c r="J2924" s="62">
        <f t="shared" si="5849"/>
        <v>1</v>
      </c>
      <c r="K2924" s="62">
        <f t="shared" si="5849"/>
        <v>1</v>
      </c>
      <c r="L2924" s="62">
        <f t="shared" si="5849"/>
        <v>1</v>
      </c>
      <c r="M2924" s="62">
        <f t="shared" si="5849"/>
        <v>1</v>
      </c>
      <c r="N2924" s="62">
        <f t="shared" si="5849"/>
        <v>1</v>
      </c>
      <c r="O2924" s="62">
        <f t="shared" si="5849"/>
        <v>1</v>
      </c>
      <c r="P2924" s="62" t="str">
        <f t="shared" si="5849"/>
        <v/>
      </c>
      <c r="Q2924" s="62" t="str">
        <f t="shared" si="5849"/>
        <v/>
      </c>
      <c r="R2924" s="62">
        <f t="shared" si="7"/>
        <v>0</v>
      </c>
      <c r="S2924" s="62"/>
      <c r="T2924" s="62"/>
      <c r="U2924" s="62"/>
      <c r="V2924" s="62"/>
      <c r="W2924" s="62"/>
      <c r="X2924" s="62"/>
      <c r="Y2924" s="62"/>
      <c r="Z2924" s="62"/>
      <c r="AA2924" s="62"/>
      <c r="AB2924" s="62"/>
      <c r="AC2924" s="62"/>
    </row>
    <row r="2925" hidden="1">
      <c r="A2925" s="60"/>
      <c r="B2925" s="60"/>
      <c r="C2925" s="60"/>
      <c r="D2925" s="60"/>
      <c r="E2925" s="62" t="str">
        <f t="shared" si="5153"/>
        <v/>
      </c>
      <c r="F2925" s="62" t="str">
        <f t="shared" ref="F2925:G2925" si="5850">IF(isblank(F$1),,IF(isblank($A2925),,IFERROR(vlookup($A2925,indirect("'TVC-"&amp;text(month(F$1),"00")&amp;"'!$A:$D"),4,false),1)))</f>
        <v/>
      </c>
      <c r="G2925" s="62" t="str">
        <f t="shared" si="5850"/>
        <v/>
      </c>
      <c r="H2925" s="62">
        <f t="shared" ref="H2925:Q2925" si="5851">IF(isblank(H$1),,IFERROR(vlookup($A2925,indirect("'TVC-"&amp;text(month(H$1),"00")&amp;"'!$A:$D"),4,false),1))</f>
        <v>1</v>
      </c>
      <c r="I2925" s="62">
        <f t="shared" si="5851"/>
        <v>1</v>
      </c>
      <c r="J2925" s="62">
        <f t="shared" si="5851"/>
        <v>1</v>
      </c>
      <c r="K2925" s="62">
        <f t="shared" si="5851"/>
        <v>1</v>
      </c>
      <c r="L2925" s="62">
        <f t="shared" si="5851"/>
        <v>1</v>
      </c>
      <c r="M2925" s="62">
        <f t="shared" si="5851"/>
        <v>1</v>
      </c>
      <c r="N2925" s="62">
        <f t="shared" si="5851"/>
        <v>1</v>
      </c>
      <c r="O2925" s="62">
        <f t="shared" si="5851"/>
        <v>1</v>
      </c>
      <c r="P2925" s="62" t="str">
        <f t="shared" si="5851"/>
        <v/>
      </c>
      <c r="Q2925" s="62" t="str">
        <f t="shared" si="5851"/>
        <v/>
      </c>
      <c r="R2925" s="62">
        <f t="shared" si="7"/>
        <v>0</v>
      </c>
      <c r="S2925" s="62"/>
      <c r="T2925" s="62"/>
      <c r="U2925" s="62"/>
      <c r="V2925" s="62"/>
      <c r="W2925" s="62"/>
      <c r="X2925" s="62"/>
      <c r="Y2925" s="62"/>
      <c r="Z2925" s="62"/>
      <c r="AA2925" s="62"/>
      <c r="AB2925" s="62"/>
      <c r="AC2925" s="62"/>
    </row>
    <row r="2926" hidden="1">
      <c r="A2926" s="60"/>
      <c r="B2926" s="60"/>
      <c r="C2926" s="60"/>
      <c r="D2926" s="60"/>
      <c r="E2926" s="62" t="str">
        <f t="shared" si="5153"/>
        <v/>
      </c>
      <c r="F2926" s="62" t="str">
        <f t="shared" ref="F2926:G2926" si="5852">IF(isblank(F$1),,IF(isblank($A2926),,IFERROR(vlookup($A2926,indirect("'TVC-"&amp;text(month(F$1),"00")&amp;"'!$A:$D"),4,false),1)))</f>
        <v/>
      </c>
      <c r="G2926" s="62" t="str">
        <f t="shared" si="5852"/>
        <v/>
      </c>
      <c r="H2926" s="62">
        <f t="shared" ref="H2926:Q2926" si="5853">IF(isblank(H$1),,IFERROR(vlookup($A2926,indirect("'TVC-"&amp;text(month(H$1),"00")&amp;"'!$A:$D"),4,false),1))</f>
        <v>1</v>
      </c>
      <c r="I2926" s="62">
        <f t="shared" si="5853"/>
        <v>1</v>
      </c>
      <c r="J2926" s="62">
        <f t="shared" si="5853"/>
        <v>1</v>
      </c>
      <c r="K2926" s="62">
        <f t="shared" si="5853"/>
        <v>1</v>
      </c>
      <c r="L2926" s="62">
        <f t="shared" si="5853"/>
        <v>1</v>
      </c>
      <c r="M2926" s="62">
        <f t="shared" si="5853"/>
        <v>1</v>
      </c>
      <c r="N2926" s="62">
        <f t="shared" si="5853"/>
        <v>1</v>
      </c>
      <c r="O2926" s="62">
        <f t="shared" si="5853"/>
        <v>1</v>
      </c>
      <c r="P2926" s="62" t="str">
        <f t="shared" si="5853"/>
        <v/>
      </c>
      <c r="Q2926" s="62" t="str">
        <f t="shared" si="5853"/>
        <v/>
      </c>
      <c r="R2926" s="62">
        <f t="shared" si="7"/>
        <v>0</v>
      </c>
      <c r="S2926" s="62"/>
      <c r="T2926" s="62"/>
      <c r="U2926" s="62"/>
      <c r="V2926" s="62"/>
      <c r="W2926" s="62"/>
      <c r="X2926" s="62"/>
      <c r="Y2926" s="62"/>
      <c r="Z2926" s="62"/>
      <c r="AA2926" s="62"/>
      <c r="AB2926" s="62"/>
      <c r="AC2926" s="62"/>
    </row>
    <row r="2927" hidden="1">
      <c r="A2927" s="60"/>
      <c r="B2927" s="60"/>
      <c r="C2927" s="60"/>
      <c r="D2927" s="60"/>
      <c r="E2927" s="62" t="str">
        <f t="shared" si="5153"/>
        <v/>
      </c>
      <c r="F2927" s="62" t="str">
        <f t="shared" ref="F2927:G2927" si="5854">IF(isblank(F$1),,IF(isblank($A2927),,IFERROR(vlookup($A2927,indirect("'TVC-"&amp;text(month(F$1),"00")&amp;"'!$A:$D"),4,false),1)))</f>
        <v/>
      </c>
      <c r="G2927" s="62" t="str">
        <f t="shared" si="5854"/>
        <v/>
      </c>
      <c r="H2927" s="62">
        <f t="shared" ref="H2927:Q2927" si="5855">IF(isblank(H$1),,IFERROR(vlookup($A2927,indirect("'TVC-"&amp;text(month(H$1),"00")&amp;"'!$A:$D"),4,false),1))</f>
        <v>1</v>
      </c>
      <c r="I2927" s="62">
        <f t="shared" si="5855"/>
        <v>1</v>
      </c>
      <c r="J2927" s="62">
        <f t="shared" si="5855"/>
        <v>1</v>
      </c>
      <c r="K2927" s="62">
        <f t="shared" si="5855"/>
        <v>1</v>
      </c>
      <c r="L2927" s="62">
        <f t="shared" si="5855"/>
        <v>1</v>
      </c>
      <c r="M2927" s="62">
        <f t="shared" si="5855"/>
        <v>1</v>
      </c>
      <c r="N2927" s="62">
        <f t="shared" si="5855"/>
        <v>1</v>
      </c>
      <c r="O2927" s="62">
        <f t="shared" si="5855"/>
        <v>1</v>
      </c>
      <c r="P2927" s="62" t="str">
        <f t="shared" si="5855"/>
        <v/>
      </c>
      <c r="Q2927" s="62" t="str">
        <f t="shared" si="5855"/>
        <v/>
      </c>
      <c r="R2927" s="62">
        <f t="shared" si="7"/>
        <v>0</v>
      </c>
      <c r="S2927" s="62"/>
      <c r="T2927" s="62"/>
      <c r="U2927" s="62"/>
      <c r="V2927" s="62"/>
      <c r="W2927" s="62"/>
      <c r="X2927" s="62"/>
      <c r="Y2927" s="62"/>
      <c r="Z2927" s="62"/>
      <c r="AA2927" s="62"/>
      <c r="AB2927" s="62"/>
      <c r="AC2927" s="62"/>
    </row>
    <row r="2928" hidden="1">
      <c r="A2928" s="60"/>
      <c r="B2928" s="60"/>
      <c r="C2928" s="60"/>
      <c r="D2928" s="60"/>
      <c r="E2928" s="62" t="str">
        <f t="shared" si="5153"/>
        <v/>
      </c>
      <c r="F2928" s="62" t="str">
        <f t="shared" ref="F2928:G2928" si="5856">IF(isblank(F$1),,IF(isblank($A2928),,IFERROR(vlookup($A2928,indirect("'TVC-"&amp;text(month(F$1),"00")&amp;"'!$A:$D"),4,false),1)))</f>
        <v/>
      </c>
      <c r="G2928" s="62" t="str">
        <f t="shared" si="5856"/>
        <v/>
      </c>
      <c r="H2928" s="62">
        <f t="shared" ref="H2928:Q2928" si="5857">IF(isblank(H$1),,IFERROR(vlookup($A2928,indirect("'TVC-"&amp;text(month(H$1),"00")&amp;"'!$A:$D"),4,false),1))</f>
        <v>1</v>
      </c>
      <c r="I2928" s="62">
        <f t="shared" si="5857"/>
        <v>1</v>
      </c>
      <c r="J2928" s="62">
        <f t="shared" si="5857"/>
        <v>1</v>
      </c>
      <c r="K2928" s="62">
        <f t="shared" si="5857"/>
        <v>1</v>
      </c>
      <c r="L2928" s="62">
        <f t="shared" si="5857"/>
        <v>1</v>
      </c>
      <c r="M2928" s="62">
        <f t="shared" si="5857"/>
        <v>1</v>
      </c>
      <c r="N2928" s="62">
        <f t="shared" si="5857"/>
        <v>1</v>
      </c>
      <c r="O2928" s="62">
        <f t="shared" si="5857"/>
        <v>1</v>
      </c>
      <c r="P2928" s="62" t="str">
        <f t="shared" si="5857"/>
        <v/>
      </c>
      <c r="Q2928" s="62" t="str">
        <f t="shared" si="5857"/>
        <v/>
      </c>
      <c r="R2928" s="62">
        <f t="shared" si="7"/>
        <v>0</v>
      </c>
      <c r="S2928" s="62"/>
      <c r="T2928" s="62"/>
      <c r="U2928" s="62"/>
      <c r="V2928" s="62"/>
      <c r="W2928" s="62"/>
      <c r="X2928" s="62"/>
      <c r="Y2928" s="62"/>
      <c r="Z2928" s="62"/>
      <c r="AA2928" s="62"/>
      <c r="AB2928" s="62"/>
      <c r="AC2928" s="62"/>
    </row>
    <row r="2929" hidden="1">
      <c r="A2929" s="60"/>
      <c r="B2929" s="60"/>
      <c r="C2929" s="60"/>
      <c r="D2929" s="60"/>
      <c r="E2929" s="62" t="str">
        <f t="shared" si="5153"/>
        <v/>
      </c>
      <c r="F2929" s="62" t="str">
        <f t="shared" ref="F2929:G2929" si="5858">IF(isblank(F$1),,IF(isblank($A2929),,IFERROR(vlookup($A2929,indirect("'TVC-"&amp;text(month(F$1),"00")&amp;"'!$A:$D"),4,false),1)))</f>
        <v/>
      </c>
      <c r="G2929" s="62" t="str">
        <f t="shared" si="5858"/>
        <v/>
      </c>
      <c r="H2929" s="62">
        <f t="shared" ref="H2929:Q2929" si="5859">IF(isblank(H$1),,IFERROR(vlookup($A2929,indirect("'TVC-"&amp;text(month(H$1),"00")&amp;"'!$A:$D"),4,false),1))</f>
        <v>1</v>
      </c>
      <c r="I2929" s="62">
        <f t="shared" si="5859"/>
        <v>1</v>
      </c>
      <c r="J2929" s="62">
        <f t="shared" si="5859"/>
        <v>1</v>
      </c>
      <c r="K2929" s="62">
        <f t="shared" si="5859"/>
        <v>1</v>
      </c>
      <c r="L2929" s="62">
        <f t="shared" si="5859"/>
        <v>1</v>
      </c>
      <c r="M2929" s="62">
        <f t="shared" si="5859"/>
        <v>1</v>
      </c>
      <c r="N2929" s="62">
        <f t="shared" si="5859"/>
        <v>1</v>
      </c>
      <c r="O2929" s="62">
        <f t="shared" si="5859"/>
        <v>1</v>
      </c>
      <c r="P2929" s="62" t="str">
        <f t="shared" si="5859"/>
        <v/>
      </c>
      <c r="Q2929" s="62" t="str">
        <f t="shared" si="5859"/>
        <v/>
      </c>
      <c r="R2929" s="62">
        <f t="shared" si="7"/>
        <v>0</v>
      </c>
      <c r="S2929" s="62"/>
      <c r="T2929" s="62"/>
      <c r="U2929" s="62"/>
      <c r="V2929" s="62"/>
      <c r="W2929" s="62"/>
      <c r="X2929" s="62"/>
      <c r="Y2929" s="62"/>
      <c r="Z2929" s="62"/>
      <c r="AA2929" s="62"/>
      <c r="AB2929" s="62"/>
      <c r="AC2929" s="62"/>
    </row>
    <row r="2930" hidden="1">
      <c r="A2930" s="60"/>
      <c r="B2930" s="60"/>
      <c r="C2930" s="60"/>
      <c r="D2930" s="60"/>
      <c r="E2930" s="62" t="str">
        <f t="shared" si="5153"/>
        <v/>
      </c>
      <c r="F2930" s="62" t="str">
        <f t="shared" ref="F2930:G2930" si="5860">IF(isblank(F$1),,IF(isblank($A2930),,IFERROR(vlookup($A2930,indirect("'TVC-"&amp;text(month(F$1),"00")&amp;"'!$A:$D"),4,false),1)))</f>
        <v/>
      </c>
      <c r="G2930" s="62" t="str">
        <f t="shared" si="5860"/>
        <v/>
      </c>
      <c r="H2930" s="62">
        <f t="shared" ref="H2930:Q2930" si="5861">IF(isblank(H$1),,IFERROR(vlookup($A2930,indirect("'TVC-"&amp;text(month(H$1),"00")&amp;"'!$A:$D"),4,false),1))</f>
        <v>1</v>
      </c>
      <c r="I2930" s="62">
        <f t="shared" si="5861"/>
        <v>1</v>
      </c>
      <c r="J2930" s="62">
        <f t="shared" si="5861"/>
        <v>1</v>
      </c>
      <c r="K2930" s="62">
        <f t="shared" si="5861"/>
        <v>1</v>
      </c>
      <c r="L2930" s="62">
        <f t="shared" si="5861"/>
        <v>1</v>
      </c>
      <c r="M2930" s="62">
        <f t="shared" si="5861"/>
        <v>1</v>
      </c>
      <c r="N2930" s="62">
        <f t="shared" si="5861"/>
        <v>1</v>
      </c>
      <c r="O2930" s="62">
        <f t="shared" si="5861"/>
        <v>1</v>
      </c>
      <c r="P2930" s="62" t="str">
        <f t="shared" si="5861"/>
        <v/>
      </c>
      <c r="Q2930" s="62" t="str">
        <f t="shared" si="5861"/>
        <v/>
      </c>
      <c r="R2930" s="62">
        <f t="shared" si="7"/>
        <v>0</v>
      </c>
      <c r="S2930" s="62"/>
      <c r="T2930" s="62"/>
      <c r="U2930" s="62"/>
      <c r="V2930" s="62"/>
      <c r="W2930" s="62"/>
      <c r="X2930" s="62"/>
      <c r="Y2930" s="62"/>
      <c r="Z2930" s="62"/>
      <c r="AA2930" s="62"/>
      <c r="AB2930" s="62"/>
      <c r="AC2930" s="62"/>
    </row>
    <row r="2931" hidden="1">
      <c r="A2931" s="60"/>
      <c r="B2931" s="60"/>
      <c r="C2931" s="60"/>
      <c r="D2931" s="60"/>
      <c r="E2931" s="62" t="str">
        <f t="shared" si="5153"/>
        <v/>
      </c>
      <c r="F2931" s="62" t="str">
        <f t="shared" ref="F2931:G2931" si="5862">IF(isblank(F$1),,IF(isblank($A2931),,IFERROR(vlookup($A2931,indirect("'TVC-"&amp;text(month(F$1),"00")&amp;"'!$A:$D"),4,false),1)))</f>
        <v/>
      </c>
      <c r="G2931" s="62" t="str">
        <f t="shared" si="5862"/>
        <v/>
      </c>
      <c r="H2931" s="62">
        <f t="shared" ref="H2931:Q2931" si="5863">IF(isblank(H$1),,IFERROR(vlookup($A2931,indirect("'TVC-"&amp;text(month(H$1),"00")&amp;"'!$A:$D"),4,false),1))</f>
        <v>1</v>
      </c>
      <c r="I2931" s="62">
        <f t="shared" si="5863"/>
        <v>1</v>
      </c>
      <c r="J2931" s="62">
        <f t="shared" si="5863"/>
        <v>1</v>
      </c>
      <c r="K2931" s="62">
        <f t="shared" si="5863"/>
        <v>1</v>
      </c>
      <c r="L2931" s="62">
        <f t="shared" si="5863"/>
        <v>1</v>
      </c>
      <c r="M2931" s="62">
        <f t="shared" si="5863"/>
        <v>1</v>
      </c>
      <c r="N2931" s="62">
        <f t="shared" si="5863"/>
        <v>1</v>
      </c>
      <c r="O2931" s="62">
        <f t="shared" si="5863"/>
        <v>1</v>
      </c>
      <c r="P2931" s="62" t="str">
        <f t="shared" si="5863"/>
        <v/>
      </c>
      <c r="Q2931" s="62" t="str">
        <f t="shared" si="5863"/>
        <v/>
      </c>
      <c r="R2931" s="62">
        <f t="shared" si="7"/>
        <v>0</v>
      </c>
      <c r="S2931" s="62"/>
      <c r="T2931" s="62"/>
      <c r="U2931" s="62"/>
      <c r="V2931" s="62"/>
      <c r="W2931" s="62"/>
      <c r="X2931" s="62"/>
      <c r="Y2931" s="62"/>
      <c r="Z2931" s="62"/>
      <c r="AA2931" s="62"/>
      <c r="AB2931" s="62"/>
      <c r="AC2931" s="62"/>
    </row>
    <row r="2932" hidden="1">
      <c r="A2932" s="60"/>
      <c r="B2932" s="60"/>
      <c r="C2932" s="60"/>
      <c r="D2932" s="60"/>
      <c r="E2932" s="62" t="str">
        <f t="shared" si="5153"/>
        <v/>
      </c>
      <c r="F2932" s="62" t="str">
        <f t="shared" ref="F2932:G2932" si="5864">IF(isblank(F$1),,IF(isblank($A2932),,IFERROR(vlookup($A2932,indirect("'TVC-"&amp;text(month(F$1),"00")&amp;"'!$A:$D"),4,false),1)))</f>
        <v/>
      </c>
      <c r="G2932" s="62" t="str">
        <f t="shared" si="5864"/>
        <v/>
      </c>
      <c r="H2932" s="62">
        <f t="shared" ref="H2932:Q2932" si="5865">IF(isblank(H$1),,IFERROR(vlookup($A2932,indirect("'TVC-"&amp;text(month(H$1),"00")&amp;"'!$A:$D"),4,false),1))</f>
        <v>1</v>
      </c>
      <c r="I2932" s="62">
        <f t="shared" si="5865"/>
        <v>1</v>
      </c>
      <c r="J2932" s="62">
        <f t="shared" si="5865"/>
        <v>1</v>
      </c>
      <c r="K2932" s="62">
        <f t="shared" si="5865"/>
        <v>1</v>
      </c>
      <c r="L2932" s="62">
        <f t="shared" si="5865"/>
        <v>1</v>
      </c>
      <c r="M2932" s="62">
        <f t="shared" si="5865"/>
        <v>1</v>
      </c>
      <c r="N2932" s="62">
        <f t="shared" si="5865"/>
        <v>1</v>
      </c>
      <c r="O2932" s="62">
        <f t="shared" si="5865"/>
        <v>1</v>
      </c>
      <c r="P2932" s="62" t="str">
        <f t="shared" si="5865"/>
        <v/>
      </c>
      <c r="Q2932" s="62" t="str">
        <f t="shared" si="5865"/>
        <v/>
      </c>
      <c r="R2932" s="62">
        <f t="shared" si="7"/>
        <v>0</v>
      </c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</row>
    <row r="2933" hidden="1">
      <c r="A2933" s="60"/>
      <c r="B2933" s="60"/>
      <c r="C2933" s="60"/>
      <c r="D2933" s="60"/>
      <c r="E2933" s="62" t="str">
        <f t="shared" si="5153"/>
        <v/>
      </c>
      <c r="F2933" s="62" t="str">
        <f t="shared" ref="F2933:G2933" si="5866">IF(isblank(F$1),,IF(isblank($A2933),,IFERROR(vlookup($A2933,indirect("'TVC-"&amp;text(month(F$1),"00")&amp;"'!$A:$D"),4,false),1)))</f>
        <v/>
      </c>
      <c r="G2933" s="62" t="str">
        <f t="shared" si="5866"/>
        <v/>
      </c>
      <c r="H2933" s="62">
        <f t="shared" ref="H2933:Q2933" si="5867">IF(isblank(H$1),,IFERROR(vlookup($A2933,indirect("'TVC-"&amp;text(month(H$1),"00")&amp;"'!$A:$D"),4,false),1))</f>
        <v>1</v>
      </c>
      <c r="I2933" s="62">
        <f t="shared" si="5867"/>
        <v>1</v>
      </c>
      <c r="J2933" s="62">
        <f t="shared" si="5867"/>
        <v>1</v>
      </c>
      <c r="K2933" s="62">
        <f t="shared" si="5867"/>
        <v>1</v>
      </c>
      <c r="L2933" s="62">
        <f t="shared" si="5867"/>
        <v>1</v>
      </c>
      <c r="M2933" s="62">
        <f t="shared" si="5867"/>
        <v>1</v>
      </c>
      <c r="N2933" s="62">
        <f t="shared" si="5867"/>
        <v>1</v>
      </c>
      <c r="O2933" s="62">
        <f t="shared" si="5867"/>
        <v>1</v>
      </c>
      <c r="P2933" s="62" t="str">
        <f t="shared" si="5867"/>
        <v/>
      </c>
      <c r="Q2933" s="62" t="str">
        <f t="shared" si="5867"/>
        <v/>
      </c>
      <c r="R2933" s="62">
        <f t="shared" si="7"/>
        <v>0</v>
      </c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</row>
    <row r="2934" hidden="1">
      <c r="A2934" s="60"/>
      <c r="B2934" s="60"/>
      <c r="C2934" s="60"/>
      <c r="D2934" s="60"/>
      <c r="E2934" s="62" t="str">
        <f t="shared" si="5153"/>
        <v/>
      </c>
      <c r="F2934" s="62" t="str">
        <f t="shared" ref="F2934:G2934" si="5868">IF(isblank(F$1),,IF(isblank($A2934),,IFERROR(vlookup($A2934,indirect("'TVC-"&amp;text(month(F$1),"00")&amp;"'!$A:$D"),4,false),1)))</f>
        <v/>
      </c>
      <c r="G2934" s="62" t="str">
        <f t="shared" si="5868"/>
        <v/>
      </c>
      <c r="H2934" s="62">
        <f t="shared" ref="H2934:Q2934" si="5869">IF(isblank(H$1),,IFERROR(vlookup($A2934,indirect("'TVC-"&amp;text(month(H$1),"00")&amp;"'!$A:$D"),4,false),1))</f>
        <v>1</v>
      </c>
      <c r="I2934" s="62">
        <f t="shared" si="5869"/>
        <v>1</v>
      </c>
      <c r="J2934" s="62">
        <f t="shared" si="5869"/>
        <v>1</v>
      </c>
      <c r="K2934" s="62">
        <f t="shared" si="5869"/>
        <v>1</v>
      </c>
      <c r="L2934" s="62">
        <f t="shared" si="5869"/>
        <v>1</v>
      </c>
      <c r="M2934" s="62">
        <f t="shared" si="5869"/>
        <v>1</v>
      </c>
      <c r="N2934" s="62">
        <f t="shared" si="5869"/>
        <v>1</v>
      </c>
      <c r="O2934" s="62">
        <f t="shared" si="5869"/>
        <v>1</v>
      </c>
      <c r="P2934" s="62" t="str">
        <f t="shared" si="5869"/>
        <v/>
      </c>
      <c r="Q2934" s="62" t="str">
        <f t="shared" si="5869"/>
        <v/>
      </c>
      <c r="R2934" s="62">
        <f t="shared" si="7"/>
        <v>0</v>
      </c>
      <c r="S2934" s="62"/>
      <c r="T2934" s="62"/>
      <c r="U2934" s="62"/>
      <c r="V2934" s="62"/>
      <c r="W2934" s="62"/>
      <c r="X2934" s="62"/>
      <c r="Y2934" s="62"/>
      <c r="Z2934" s="62"/>
      <c r="AA2934" s="62"/>
      <c r="AB2934" s="62"/>
      <c r="AC2934" s="62"/>
    </row>
    <row r="2935" hidden="1">
      <c r="A2935" s="60"/>
      <c r="B2935" s="60"/>
      <c r="C2935" s="60"/>
      <c r="D2935" s="60"/>
      <c r="E2935" s="62" t="str">
        <f t="shared" si="5153"/>
        <v/>
      </c>
      <c r="F2935" s="62" t="str">
        <f t="shared" ref="F2935:G2935" si="5870">IF(isblank(F$1),,IF(isblank($A2935),,IFERROR(vlookup($A2935,indirect("'TVC-"&amp;text(month(F$1),"00")&amp;"'!$A:$D"),4,false),1)))</f>
        <v/>
      </c>
      <c r="G2935" s="62" t="str">
        <f t="shared" si="5870"/>
        <v/>
      </c>
      <c r="H2935" s="62">
        <f t="shared" ref="H2935:Q2935" si="5871">IF(isblank(H$1),,IFERROR(vlookup($A2935,indirect("'TVC-"&amp;text(month(H$1),"00")&amp;"'!$A:$D"),4,false),1))</f>
        <v>1</v>
      </c>
      <c r="I2935" s="62">
        <f t="shared" si="5871"/>
        <v>1</v>
      </c>
      <c r="J2935" s="62">
        <f t="shared" si="5871"/>
        <v>1</v>
      </c>
      <c r="K2935" s="62">
        <f t="shared" si="5871"/>
        <v>1</v>
      </c>
      <c r="L2935" s="62">
        <f t="shared" si="5871"/>
        <v>1</v>
      </c>
      <c r="M2935" s="62">
        <f t="shared" si="5871"/>
        <v>1</v>
      </c>
      <c r="N2935" s="62">
        <f t="shared" si="5871"/>
        <v>1</v>
      </c>
      <c r="O2935" s="62">
        <f t="shared" si="5871"/>
        <v>1</v>
      </c>
      <c r="P2935" s="62" t="str">
        <f t="shared" si="5871"/>
        <v/>
      </c>
      <c r="Q2935" s="62" t="str">
        <f t="shared" si="5871"/>
        <v/>
      </c>
      <c r="R2935" s="62">
        <f t="shared" si="7"/>
        <v>0</v>
      </c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</row>
    <row r="2936" hidden="1">
      <c r="A2936" s="60"/>
      <c r="B2936" s="60"/>
      <c r="C2936" s="60"/>
      <c r="D2936" s="60"/>
      <c r="E2936" s="62" t="str">
        <f t="shared" si="5153"/>
        <v/>
      </c>
      <c r="F2936" s="62" t="str">
        <f t="shared" ref="F2936:G2936" si="5872">IF(isblank(F$1),,IF(isblank($A2936),,IFERROR(vlookup($A2936,indirect("'TVC-"&amp;text(month(F$1),"00")&amp;"'!$A:$D"),4,false),1)))</f>
        <v/>
      </c>
      <c r="G2936" s="62" t="str">
        <f t="shared" si="5872"/>
        <v/>
      </c>
      <c r="H2936" s="62">
        <f t="shared" ref="H2936:Q2936" si="5873">IF(isblank(H$1),,IFERROR(vlookup($A2936,indirect("'TVC-"&amp;text(month(H$1),"00")&amp;"'!$A:$D"),4,false),1))</f>
        <v>1</v>
      </c>
      <c r="I2936" s="62">
        <f t="shared" si="5873"/>
        <v>1</v>
      </c>
      <c r="J2936" s="62">
        <f t="shared" si="5873"/>
        <v>1</v>
      </c>
      <c r="K2936" s="62">
        <f t="shared" si="5873"/>
        <v>1</v>
      </c>
      <c r="L2936" s="62">
        <f t="shared" si="5873"/>
        <v>1</v>
      </c>
      <c r="M2936" s="62">
        <f t="shared" si="5873"/>
        <v>1</v>
      </c>
      <c r="N2936" s="62">
        <f t="shared" si="5873"/>
        <v>1</v>
      </c>
      <c r="O2936" s="62">
        <f t="shared" si="5873"/>
        <v>1</v>
      </c>
      <c r="P2936" s="62" t="str">
        <f t="shared" si="5873"/>
        <v/>
      </c>
      <c r="Q2936" s="62" t="str">
        <f t="shared" si="5873"/>
        <v/>
      </c>
      <c r="R2936" s="62">
        <f t="shared" si="7"/>
        <v>0</v>
      </c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</row>
    <row r="2937" hidden="1">
      <c r="A2937" s="60"/>
      <c r="B2937" s="60"/>
      <c r="C2937" s="60"/>
      <c r="D2937" s="60"/>
      <c r="E2937" s="62" t="str">
        <f t="shared" si="5153"/>
        <v/>
      </c>
      <c r="F2937" s="62" t="str">
        <f t="shared" ref="F2937:G2937" si="5874">IF(isblank(F$1),,IF(isblank($A2937),,IFERROR(vlookup($A2937,indirect("'TVC-"&amp;text(month(F$1),"00")&amp;"'!$A:$D"),4,false),1)))</f>
        <v/>
      </c>
      <c r="G2937" s="62" t="str">
        <f t="shared" si="5874"/>
        <v/>
      </c>
      <c r="H2937" s="62">
        <f t="shared" ref="H2937:Q2937" si="5875">IF(isblank(H$1),,IFERROR(vlookup($A2937,indirect("'TVC-"&amp;text(month(H$1),"00")&amp;"'!$A:$D"),4,false),1))</f>
        <v>1</v>
      </c>
      <c r="I2937" s="62">
        <f t="shared" si="5875"/>
        <v>1</v>
      </c>
      <c r="J2937" s="62">
        <f t="shared" si="5875"/>
        <v>1</v>
      </c>
      <c r="K2937" s="62">
        <f t="shared" si="5875"/>
        <v>1</v>
      </c>
      <c r="L2937" s="62">
        <f t="shared" si="5875"/>
        <v>1</v>
      </c>
      <c r="M2937" s="62">
        <f t="shared" si="5875"/>
        <v>1</v>
      </c>
      <c r="N2937" s="62">
        <f t="shared" si="5875"/>
        <v>1</v>
      </c>
      <c r="O2937" s="62">
        <f t="shared" si="5875"/>
        <v>1</v>
      </c>
      <c r="P2937" s="62" t="str">
        <f t="shared" si="5875"/>
        <v/>
      </c>
      <c r="Q2937" s="62" t="str">
        <f t="shared" si="5875"/>
        <v/>
      </c>
      <c r="R2937" s="62">
        <f t="shared" si="7"/>
        <v>0</v>
      </c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</row>
    <row r="2938" hidden="1">
      <c r="A2938" s="60"/>
      <c r="B2938" s="60"/>
      <c r="C2938" s="60"/>
      <c r="D2938" s="60"/>
      <c r="E2938" s="62" t="str">
        <f t="shared" si="5153"/>
        <v/>
      </c>
      <c r="F2938" s="62" t="str">
        <f t="shared" ref="F2938:G2938" si="5876">IF(isblank(F$1),,IF(isblank($A2938),,IFERROR(vlookup($A2938,indirect("'TVC-"&amp;text(month(F$1),"00")&amp;"'!$A:$D"),4,false),1)))</f>
        <v/>
      </c>
      <c r="G2938" s="62" t="str">
        <f t="shared" si="5876"/>
        <v/>
      </c>
      <c r="H2938" s="62">
        <f t="shared" ref="H2938:Q2938" si="5877">IF(isblank(H$1),,IFERROR(vlookup($A2938,indirect("'TVC-"&amp;text(month(H$1),"00")&amp;"'!$A:$D"),4,false),1))</f>
        <v>1</v>
      </c>
      <c r="I2938" s="62">
        <f t="shared" si="5877"/>
        <v>1</v>
      </c>
      <c r="J2938" s="62">
        <f t="shared" si="5877"/>
        <v>1</v>
      </c>
      <c r="K2938" s="62">
        <f t="shared" si="5877"/>
        <v>1</v>
      </c>
      <c r="L2938" s="62">
        <f t="shared" si="5877"/>
        <v>1</v>
      </c>
      <c r="M2938" s="62">
        <f t="shared" si="5877"/>
        <v>1</v>
      </c>
      <c r="N2938" s="62">
        <f t="shared" si="5877"/>
        <v>1</v>
      </c>
      <c r="O2938" s="62">
        <f t="shared" si="5877"/>
        <v>1</v>
      </c>
      <c r="P2938" s="62" t="str">
        <f t="shared" si="5877"/>
        <v/>
      </c>
      <c r="Q2938" s="62" t="str">
        <f t="shared" si="5877"/>
        <v/>
      </c>
      <c r="R2938" s="62">
        <f t="shared" si="7"/>
        <v>0</v>
      </c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</row>
    <row r="2939" hidden="1">
      <c r="A2939" s="60"/>
      <c r="B2939" s="60"/>
      <c r="C2939" s="60"/>
      <c r="D2939" s="60"/>
      <c r="E2939" s="62" t="str">
        <f t="shared" si="5153"/>
        <v/>
      </c>
      <c r="F2939" s="62" t="str">
        <f t="shared" ref="F2939:G2939" si="5878">IF(isblank(F$1),,IF(isblank($A2939),,IFERROR(vlookup($A2939,indirect("'TVC-"&amp;text(month(F$1),"00")&amp;"'!$A:$D"),4,false),1)))</f>
        <v/>
      </c>
      <c r="G2939" s="62" t="str">
        <f t="shared" si="5878"/>
        <v/>
      </c>
      <c r="H2939" s="62">
        <f t="shared" ref="H2939:Q2939" si="5879">IF(isblank(H$1),,IFERROR(vlookup($A2939,indirect("'TVC-"&amp;text(month(H$1),"00")&amp;"'!$A:$D"),4,false),1))</f>
        <v>1</v>
      </c>
      <c r="I2939" s="62">
        <f t="shared" si="5879"/>
        <v>1</v>
      </c>
      <c r="J2939" s="62">
        <f t="shared" si="5879"/>
        <v>1</v>
      </c>
      <c r="K2939" s="62">
        <f t="shared" si="5879"/>
        <v>1</v>
      </c>
      <c r="L2939" s="62">
        <f t="shared" si="5879"/>
        <v>1</v>
      </c>
      <c r="M2939" s="62">
        <f t="shared" si="5879"/>
        <v>1</v>
      </c>
      <c r="N2939" s="62">
        <f t="shared" si="5879"/>
        <v>1</v>
      </c>
      <c r="O2939" s="62">
        <f t="shared" si="5879"/>
        <v>1</v>
      </c>
      <c r="P2939" s="62" t="str">
        <f t="shared" si="5879"/>
        <v/>
      </c>
      <c r="Q2939" s="62" t="str">
        <f t="shared" si="5879"/>
        <v/>
      </c>
      <c r="R2939" s="62">
        <f t="shared" si="7"/>
        <v>0</v>
      </c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</row>
    <row r="2940" hidden="1">
      <c r="A2940" s="60"/>
      <c r="B2940" s="60"/>
      <c r="C2940" s="60"/>
      <c r="D2940" s="60"/>
      <c r="E2940" s="62" t="str">
        <f t="shared" si="5153"/>
        <v/>
      </c>
      <c r="F2940" s="62" t="str">
        <f t="shared" ref="F2940:G2940" si="5880">IF(isblank(F$1),,IF(isblank($A2940),,IFERROR(vlookup($A2940,indirect("'TVC-"&amp;text(month(F$1),"00")&amp;"'!$A:$D"),4,false),1)))</f>
        <v/>
      </c>
      <c r="G2940" s="62" t="str">
        <f t="shared" si="5880"/>
        <v/>
      </c>
      <c r="H2940" s="62">
        <f t="shared" ref="H2940:Q2940" si="5881">IF(isblank(H$1),,IFERROR(vlookup($A2940,indirect("'TVC-"&amp;text(month(H$1),"00")&amp;"'!$A:$D"),4,false),1))</f>
        <v>1</v>
      </c>
      <c r="I2940" s="62">
        <f t="shared" si="5881"/>
        <v>1</v>
      </c>
      <c r="J2940" s="62">
        <f t="shared" si="5881"/>
        <v>1</v>
      </c>
      <c r="K2940" s="62">
        <f t="shared" si="5881"/>
        <v>1</v>
      </c>
      <c r="L2940" s="62">
        <f t="shared" si="5881"/>
        <v>1</v>
      </c>
      <c r="M2940" s="62">
        <f t="shared" si="5881"/>
        <v>1</v>
      </c>
      <c r="N2940" s="62">
        <f t="shared" si="5881"/>
        <v>1</v>
      </c>
      <c r="O2940" s="62">
        <f t="shared" si="5881"/>
        <v>1</v>
      </c>
      <c r="P2940" s="62" t="str">
        <f t="shared" si="5881"/>
        <v/>
      </c>
      <c r="Q2940" s="62" t="str">
        <f t="shared" si="5881"/>
        <v/>
      </c>
      <c r="R2940" s="62">
        <f t="shared" si="7"/>
        <v>0</v>
      </c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</row>
    <row r="2941" hidden="1">
      <c r="A2941" s="60"/>
      <c r="B2941" s="60"/>
      <c r="C2941" s="60"/>
      <c r="D2941" s="60"/>
      <c r="E2941" s="62" t="str">
        <f t="shared" si="5153"/>
        <v/>
      </c>
      <c r="F2941" s="62" t="str">
        <f t="shared" ref="F2941:G2941" si="5882">IF(isblank(F$1),,IF(isblank($A2941),,IFERROR(vlookup($A2941,indirect("'TVC-"&amp;text(month(F$1),"00")&amp;"'!$A:$D"),4,false),1)))</f>
        <v/>
      </c>
      <c r="G2941" s="62" t="str">
        <f t="shared" si="5882"/>
        <v/>
      </c>
      <c r="H2941" s="62">
        <f t="shared" ref="H2941:Q2941" si="5883">IF(isblank(H$1),,IFERROR(vlookup($A2941,indirect("'TVC-"&amp;text(month(H$1),"00")&amp;"'!$A:$D"),4,false),1))</f>
        <v>1</v>
      </c>
      <c r="I2941" s="62">
        <f t="shared" si="5883"/>
        <v>1</v>
      </c>
      <c r="J2941" s="62">
        <f t="shared" si="5883"/>
        <v>1</v>
      </c>
      <c r="K2941" s="62">
        <f t="shared" si="5883"/>
        <v>1</v>
      </c>
      <c r="L2941" s="62">
        <f t="shared" si="5883"/>
        <v>1</v>
      </c>
      <c r="M2941" s="62">
        <f t="shared" si="5883"/>
        <v>1</v>
      </c>
      <c r="N2941" s="62">
        <f t="shared" si="5883"/>
        <v>1</v>
      </c>
      <c r="O2941" s="62">
        <f t="shared" si="5883"/>
        <v>1</v>
      </c>
      <c r="P2941" s="62" t="str">
        <f t="shared" si="5883"/>
        <v/>
      </c>
      <c r="Q2941" s="62" t="str">
        <f t="shared" si="5883"/>
        <v/>
      </c>
      <c r="R2941" s="62">
        <f t="shared" si="7"/>
        <v>0</v>
      </c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</row>
    <row r="2942" hidden="1">
      <c r="A2942" s="60"/>
      <c r="B2942" s="60"/>
      <c r="C2942" s="60"/>
      <c r="D2942" s="60"/>
      <c r="E2942" s="62" t="str">
        <f t="shared" si="5153"/>
        <v/>
      </c>
      <c r="F2942" s="62" t="str">
        <f t="shared" ref="F2942:G2942" si="5884">IF(isblank(F$1),,IF(isblank($A2942),,IFERROR(vlookup($A2942,indirect("'TVC-"&amp;text(month(F$1),"00")&amp;"'!$A:$D"),4,false),1)))</f>
        <v/>
      </c>
      <c r="G2942" s="62" t="str">
        <f t="shared" si="5884"/>
        <v/>
      </c>
      <c r="H2942" s="62">
        <f t="shared" ref="H2942:Q2942" si="5885">IF(isblank(H$1),,IFERROR(vlookup($A2942,indirect("'TVC-"&amp;text(month(H$1),"00")&amp;"'!$A:$D"),4,false),1))</f>
        <v>1</v>
      </c>
      <c r="I2942" s="62">
        <f t="shared" si="5885"/>
        <v>1</v>
      </c>
      <c r="J2942" s="62">
        <f t="shared" si="5885"/>
        <v>1</v>
      </c>
      <c r="K2942" s="62">
        <f t="shared" si="5885"/>
        <v>1</v>
      </c>
      <c r="L2942" s="62">
        <f t="shared" si="5885"/>
        <v>1</v>
      </c>
      <c r="M2942" s="62">
        <f t="shared" si="5885"/>
        <v>1</v>
      </c>
      <c r="N2942" s="62">
        <f t="shared" si="5885"/>
        <v>1</v>
      </c>
      <c r="O2942" s="62">
        <f t="shared" si="5885"/>
        <v>1</v>
      </c>
      <c r="P2942" s="62" t="str">
        <f t="shared" si="5885"/>
        <v/>
      </c>
      <c r="Q2942" s="62" t="str">
        <f t="shared" si="5885"/>
        <v/>
      </c>
      <c r="R2942" s="62">
        <f t="shared" si="7"/>
        <v>0</v>
      </c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</row>
    <row r="2943" hidden="1">
      <c r="A2943" s="60"/>
      <c r="B2943" s="60"/>
      <c r="C2943" s="60"/>
      <c r="D2943" s="60"/>
      <c r="E2943" s="62" t="str">
        <f t="shared" si="5153"/>
        <v/>
      </c>
      <c r="F2943" s="62" t="str">
        <f t="shared" ref="F2943:G2943" si="5886">IF(isblank(F$1),,IF(isblank($A2943),,IFERROR(vlookup($A2943,indirect("'TVC-"&amp;text(month(F$1),"00")&amp;"'!$A:$D"),4,false),1)))</f>
        <v/>
      </c>
      <c r="G2943" s="62" t="str">
        <f t="shared" si="5886"/>
        <v/>
      </c>
      <c r="H2943" s="62">
        <f t="shared" ref="H2943:Q2943" si="5887">IF(isblank(H$1),,IFERROR(vlookup($A2943,indirect("'TVC-"&amp;text(month(H$1),"00")&amp;"'!$A:$D"),4,false),1))</f>
        <v>1</v>
      </c>
      <c r="I2943" s="62">
        <f t="shared" si="5887"/>
        <v>1</v>
      </c>
      <c r="J2943" s="62">
        <f t="shared" si="5887"/>
        <v>1</v>
      </c>
      <c r="K2943" s="62">
        <f t="shared" si="5887"/>
        <v>1</v>
      </c>
      <c r="L2943" s="62">
        <f t="shared" si="5887"/>
        <v>1</v>
      </c>
      <c r="M2943" s="62">
        <f t="shared" si="5887"/>
        <v>1</v>
      </c>
      <c r="N2943" s="62">
        <f t="shared" si="5887"/>
        <v>1</v>
      </c>
      <c r="O2943" s="62">
        <f t="shared" si="5887"/>
        <v>1</v>
      </c>
      <c r="P2943" s="62" t="str">
        <f t="shared" si="5887"/>
        <v/>
      </c>
      <c r="Q2943" s="62" t="str">
        <f t="shared" si="5887"/>
        <v/>
      </c>
      <c r="R2943" s="62">
        <f t="shared" si="7"/>
        <v>0</v>
      </c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</row>
    <row r="2944" hidden="1">
      <c r="A2944" s="60"/>
      <c r="B2944" s="60"/>
      <c r="C2944" s="60"/>
      <c r="D2944" s="60"/>
      <c r="E2944" s="62" t="str">
        <f t="shared" si="5153"/>
        <v/>
      </c>
      <c r="F2944" s="62" t="str">
        <f t="shared" ref="F2944:G2944" si="5888">IF(isblank(F$1),,IF(isblank($A2944),,IFERROR(vlookup($A2944,indirect("'TVC-"&amp;text(month(F$1),"00")&amp;"'!$A:$D"),4,false),1)))</f>
        <v/>
      </c>
      <c r="G2944" s="62" t="str">
        <f t="shared" si="5888"/>
        <v/>
      </c>
      <c r="H2944" s="62">
        <f t="shared" ref="H2944:Q2944" si="5889">IF(isblank(H$1),,IFERROR(vlookup($A2944,indirect("'TVC-"&amp;text(month(H$1),"00")&amp;"'!$A:$D"),4,false),1))</f>
        <v>1</v>
      </c>
      <c r="I2944" s="62">
        <f t="shared" si="5889"/>
        <v>1</v>
      </c>
      <c r="J2944" s="62">
        <f t="shared" si="5889"/>
        <v>1</v>
      </c>
      <c r="K2944" s="62">
        <f t="shared" si="5889"/>
        <v>1</v>
      </c>
      <c r="L2944" s="62">
        <f t="shared" si="5889"/>
        <v>1</v>
      </c>
      <c r="M2944" s="62">
        <f t="shared" si="5889"/>
        <v>1</v>
      </c>
      <c r="N2944" s="62">
        <f t="shared" si="5889"/>
        <v>1</v>
      </c>
      <c r="O2944" s="62">
        <f t="shared" si="5889"/>
        <v>1</v>
      </c>
      <c r="P2944" s="62" t="str">
        <f t="shared" si="5889"/>
        <v/>
      </c>
      <c r="Q2944" s="62" t="str">
        <f t="shared" si="5889"/>
        <v/>
      </c>
      <c r="R2944" s="62">
        <f t="shared" si="7"/>
        <v>0</v>
      </c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</row>
    <row r="2945" hidden="1">
      <c r="A2945" s="60"/>
      <c r="B2945" s="60"/>
      <c r="C2945" s="60"/>
      <c r="D2945" s="60"/>
      <c r="E2945" s="62" t="str">
        <f t="shared" si="5153"/>
        <v/>
      </c>
      <c r="F2945" s="62" t="str">
        <f t="shared" ref="F2945:G2945" si="5890">IF(isblank(F$1),,IF(isblank($A2945),,IFERROR(vlookup($A2945,indirect("'TVC-"&amp;text(month(F$1),"00")&amp;"'!$A:$D"),4,false),1)))</f>
        <v/>
      </c>
      <c r="G2945" s="62" t="str">
        <f t="shared" si="5890"/>
        <v/>
      </c>
      <c r="H2945" s="62">
        <f t="shared" ref="H2945:Q2945" si="5891">IF(isblank(H$1),,IFERROR(vlookup($A2945,indirect("'TVC-"&amp;text(month(H$1),"00")&amp;"'!$A:$D"),4,false),1))</f>
        <v>1</v>
      </c>
      <c r="I2945" s="62">
        <f t="shared" si="5891"/>
        <v>1</v>
      </c>
      <c r="J2945" s="62">
        <f t="shared" si="5891"/>
        <v>1</v>
      </c>
      <c r="K2945" s="62">
        <f t="shared" si="5891"/>
        <v>1</v>
      </c>
      <c r="L2945" s="62">
        <f t="shared" si="5891"/>
        <v>1</v>
      </c>
      <c r="M2945" s="62">
        <f t="shared" si="5891"/>
        <v>1</v>
      </c>
      <c r="N2945" s="62">
        <f t="shared" si="5891"/>
        <v>1</v>
      </c>
      <c r="O2945" s="62">
        <f t="shared" si="5891"/>
        <v>1</v>
      </c>
      <c r="P2945" s="62" t="str">
        <f t="shared" si="5891"/>
        <v/>
      </c>
      <c r="Q2945" s="62" t="str">
        <f t="shared" si="5891"/>
        <v/>
      </c>
      <c r="R2945" s="62">
        <f t="shared" si="7"/>
        <v>0</v>
      </c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</row>
    <row r="2946" hidden="1">
      <c r="A2946" s="60"/>
      <c r="B2946" s="60"/>
      <c r="C2946" s="60"/>
      <c r="D2946" s="60"/>
      <c r="E2946" s="62" t="str">
        <f t="shared" si="5153"/>
        <v/>
      </c>
      <c r="F2946" s="62" t="str">
        <f t="shared" ref="F2946:G2946" si="5892">IF(isblank(F$1),,IF(isblank($A2946),,IFERROR(vlookup($A2946,indirect("'TVC-"&amp;text(month(F$1),"00")&amp;"'!$A:$D"),4,false),1)))</f>
        <v/>
      </c>
      <c r="G2946" s="62" t="str">
        <f t="shared" si="5892"/>
        <v/>
      </c>
      <c r="H2946" s="62">
        <f t="shared" ref="H2946:Q2946" si="5893">IF(isblank(H$1),,IFERROR(vlookup($A2946,indirect("'TVC-"&amp;text(month(H$1),"00")&amp;"'!$A:$D"),4,false),1))</f>
        <v>1</v>
      </c>
      <c r="I2946" s="62">
        <f t="shared" si="5893"/>
        <v>1</v>
      </c>
      <c r="J2946" s="62">
        <f t="shared" si="5893"/>
        <v>1</v>
      </c>
      <c r="K2946" s="62">
        <f t="shared" si="5893"/>
        <v>1</v>
      </c>
      <c r="L2946" s="62">
        <f t="shared" si="5893"/>
        <v>1</v>
      </c>
      <c r="M2946" s="62">
        <f t="shared" si="5893"/>
        <v>1</v>
      </c>
      <c r="N2946" s="62">
        <f t="shared" si="5893"/>
        <v>1</v>
      </c>
      <c r="O2946" s="62">
        <f t="shared" si="5893"/>
        <v>1</v>
      </c>
      <c r="P2946" s="62" t="str">
        <f t="shared" si="5893"/>
        <v/>
      </c>
      <c r="Q2946" s="62" t="str">
        <f t="shared" si="5893"/>
        <v/>
      </c>
      <c r="R2946" s="62">
        <f t="shared" si="7"/>
        <v>0</v>
      </c>
      <c r="S2946" s="62"/>
      <c r="T2946" s="62"/>
      <c r="U2946" s="62"/>
      <c r="V2946" s="62"/>
      <c r="W2946" s="62"/>
      <c r="X2946" s="62"/>
      <c r="Y2946" s="62"/>
      <c r="Z2946" s="62"/>
      <c r="AA2946" s="62"/>
      <c r="AB2946" s="62"/>
      <c r="AC2946" s="62"/>
    </row>
    <row r="2947" hidden="1">
      <c r="A2947" s="60"/>
      <c r="B2947" s="60"/>
      <c r="C2947" s="60"/>
      <c r="D2947" s="60"/>
      <c r="E2947" s="62" t="str">
        <f t="shared" si="5153"/>
        <v/>
      </c>
      <c r="F2947" s="62" t="str">
        <f t="shared" ref="F2947:G2947" si="5894">IF(isblank(F$1),,IF(isblank($A2947),,IFERROR(vlookup($A2947,indirect("'TVC-"&amp;text(month(F$1),"00")&amp;"'!$A:$D"),4,false),1)))</f>
        <v/>
      </c>
      <c r="G2947" s="62" t="str">
        <f t="shared" si="5894"/>
        <v/>
      </c>
      <c r="H2947" s="62">
        <f t="shared" ref="H2947:Q2947" si="5895">IF(isblank(H$1),,IFERROR(vlookup($A2947,indirect("'TVC-"&amp;text(month(H$1),"00")&amp;"'!$A:$D"),4,false),1))</f>
        <v>1</v>
      </c>
      <c r="I2947" s="62">
        <f t="shared" si="5895"/>
        <v>1</v>
      </c>
      <c r="J2947" s="62">
        <f t="shared" si="5895"/>
        <v>1</v>
      </c>
      <c r="K2947" s="62">
        <f t="shared" si="5895"/>
        <v>1</v>
      </c>
      <c r="L2947" s="62">
        <f t="shared" si="5895"/>
        <v>1</v>
      </c>
      <c r="M2947" s="62">
        <f t="shared" si="5895"/>
        <v>1</v>
      </c>
      <c r="N2947" s="62">
        <f t="shared" si="5895"/>
        <v>1</v>
      </c>
      <c r="O2947" s="62">
        <f t="shared" si="5895"/>
        <v>1</v>
      </c>
      <c r="P2947" s="62" t="str">
        <f t="shared" si="5895"/>
        <v/>
      </c>
      <c r="Q2947" s="62" t="str">
        <f t="shared" si="5895"/>
        <v/>
      </c>
      <c r="R2947" s="62">
        <f t="shared" si="7"/>
        <v>0</v>
      </c>
      <c r="S2947" s="62"/>
      <c r="T2947" s="62"/>
      <c r="U2947" s="62"/>
      <c r="V2947" s="62"/>
      <c r="W2947" s="62"/>
      <c r="X2947" s="62"/>
      <c r="Y2947" s="62"/>
      <c r="Z2947" s="62"/>
      <c r="AA2947" s="62"/>
      <c r="AB2947" s="62"/>
      <c r="AC2947" s="62"/>
    </row>
    <row r="2948" hidden="1">
      <c r="A2948" s="60"/>
      <c r="B2948" s="60"/>
      <c r="C2948" s="60"/>
      <c r="D2948" s="60"/>
      <c r="E2948" s="62" t="str">
        <f t="shared" si="5153"/>
        <v/>
      </c>
      <c r="F2948" s="62" t="str">
        <f t="shared" ref="F2948:G2948" si="5896">IF(isblank(F$1),,IF(isblank($A2948),,IFERROR(vlookup($A2948,indirect("'TVC-"&amp;text(month(F$1),"00")&amp;"'!$A:$D"),4,false),1)))</f>
        <v/>
      </c>
      <c r="G2948" s="62" t="str">
        <f t="shared" si="5896"/>
        <v/>
      </c>
      <c r="H2948" s="62">
        <f t="shared" ref="H2948:Q2948" si="5897">IF(isblank(H$1),,IFERROR(vlookup($A2948,indirect("'TVC-"&amp;text(month(H$1),"00")&amp;"'!$A:$D"),4,false),1))</f>
        <v>1</v>
      </c>
      <c r="I2948" s="62">
        <f t="shared" si="5897"/>
        <v>1</v>
      </c>
      <c r="J2948" s="62">
        <f t="shared" si="5897"/>
        <v>1</v>
      </c>
      <c r="K2948" s="62">
        <f t="shared" si="5897"/>
        <v>1</v>
      </c>
      <c r="L2948" s="62">
        <f t="shared" si="5897"/>
        <v>1</v>
      </c>
      <c r="M2948" s="62">
        <f t="shared" si="5897"/>
        <v>1</v>
      </c>
      <c r="N2948" s="62">
        <f t="shared" si="5897"/>
        <v>1</v>
      </c>
      <c r="O2948" s="62">
        <f t="shared" si="5897"/>
        <v>1</v>
      </c>
      <c r="P2948" s="62" t="str">
        <f t="shared" si="5897"/>
        <v/>
      </c>
      <c r="Q2948" s="62" t="str">
        <f t="shared" si="5897"/>
        <v/>
      </c>
      <c r="R2948" s="62">
        <f t="shared" si="7"/>
        <v>0</v>
      </c>
      <c r="S2948" s="62"/>
      <c r="T2948" s="62"/>
      <c r="U2948" s="62"/>
      <c r="V2948" s="62"/>
      <c r="W2948" s="62"/>
      <c r="X2948" s="62"/>
      <c r="Y2948" s="62"/>
      <c r="Z2948" s="62"/>
      <c r="AA2948" s="62"/>
      <c r="AB2948" s="62"/>
      <c r="AC2948" s="62"/>
    </row>
    <row r="2949" hidden="1">
      <c r="A2949" s="60"/>
      <c r="B2949" s="60"/>
      <c r="C2949" s="60"/>
      <c r="D2949" s="60"/>
      <c r="E2949" s="62" t="str">
        <f t="shared" si="5153"/>
        <v/>
      </c>
      <c r="F2949" s="62" t="str">
        <f t="shared" ref="F2949:G2949" si="5898">IF(isblank(F$1),,IF(isblank($A2949),,IFERROR(vlookup($A2949,indirect("'TVC-"&amp;text(month(F$1),"00")&amp;"'!$A:$D"),4,false),1)))</f>
        <v/>
      </c>
      <c r="G2949" s="62" t="str">
        <f t="shared" si="5898"/>
        <v/>
      </c>
      <c r="H2949" s="62">
        <f t="shared" ref="H2949:Q2949" si="5899">IF(isblank(H$1),,IFERROR(vlookup($A2949,indirect("'TVC-"&amp;text(month(H$1),"00")&amp;"'!$A:$D"),4,false),1))</f>
        <v>1</v>
      </c>
      <c r="I2949" s="62">
        <f t="shared" si="5899"/>
        <v>1</v>
      </c>
      <c r="J2949" s="62">
        <f t="shared" si="5899"/>
        <v>1</v>
      </c>
      <c r="K2949" s="62">
        <f t="shared" si="5899"/>
        <v>1</v>
      </c>
      <c r="L2949" s="62">
        <f t="shared" si="5899"/>
        <v>1</v>
      </c>
      <c r="M2949" s="62">
        <f t="shared" si="5899"/>
        <v>1</v>
      </c>
      <c r="N2949" s="62">
        <f t="shared" si="5899"/>
        <v>1</v>
      </c>
      <c r="O2949" s="62">
        <f t="shared" si="5899"/>
        <v>1</v>
      </c>
      <c r="P2949" s="62" t="str">
        <f t="shared" si="5899"/>
        <v/>
      </c>
      <c r="Q2949" s="62" t="str">
        <f t="shared" si="5899"/>
        <v/>
      </c>
      <c r="R2949" s="62">
        <f t="shared" si="7"/>
        <v>0</v>
      </c>
      <c r="S2949" s="62"/>
      <c r="T2949" s="62"/>
      <c r="U2949" s="62"/>
      <c r="V2949" s="62"/>
      <c r="W2949" s="62"/>
      <c r="X2949" s="62"/>
      <c r="Y2949" s="62"/>
      <c r="Z2949" s="62"/>
      <c r="AA2949" s="62"/>
      <c r="AB2949" s="62"/>
      <c r="AC2949" s="62"/>
    </row>
    <row r="2950" hidden="1">
      <c r="A2950" s="60"/>
      <c r="B2950" s="60"/>
      <c r="C2950" s="60"/>
      <c r="D2950" s="60"/>
      <c r="E2950" s="62" t="str">
        <f t="shared" si="5153"/>
        <v/>
      </c>
      <c r="F2950" s="62" t="str">
        <f t="shared" ref="F2950:G2950" si="5900">IF(isblank(F$1),,IF(isblank($A2950),,IFERROR(vlookup($A2950,indirect("'TVC-"&amp;text(month(F$1),"00")&amp;"'!$A:$D"),4,false),1)))</f>
        <v/>
      </c>
      <c r="G2950" s="62" t="str">
        <f t="shared" si="5900"/>
        <v/>
      </c>
      <c r="H2950" s="62">
        <f t="shared" ref="H2950:Q2950" si="5901">IF(isblank(H$1),,IFERROR(vlookup($A2950,indirect("'TVC-"&amp;text(month(H$1),"00")&amp;"'!$A:$D"),4,false),1))</f>
        <v>1</v>
      </c>
      <c r="I2950" s="62">
        <f t="shared" si="5901"/>
        <v>1</v>
      </c>
      <c r="J2950" s="62">
        <f t="shared" si="5901"/>
        <v>1</v>
      </c>
      <c r="K2950" s="62">
        <f t="shared" si="5901"/>
        <v>1</v>
      </c>
      <c r="L2950" s="62">
        <f t="shared" si="5901"/>
        <v>1</v>
      </c>
      <c r="M2950" s="62">
        <f t="shared" si="5901"/>
        <v>1</v>
      </c>
      <c r="N2950" s="62">
        <f t="shared" si="5901"/>
        <v>1</v>
      </c>
      <c r="O2950" s="62">
        <f t="shared" si="5901"/>
        <v>1</v>
      </c>
      <c r="P2950" s="62" t="str">
        <f t="shared" si="5901"/>
        <v/>
      </c>
      <c r="Q2950" s="62" t="str">
        <f t="shared" si="5901"/>
        <v/>
      </c>
      <c r="R2950" s="62">
        <f t="shared" si="7"/>
        <v>0</v>
      </c>
      <c r="S2950" s="62"/>
      <c r="T2950" s="62"/>
      <c r="U2950" s="62"/>
      <c r="V2950" s="62"/>
      <c r="W2950" s="62"/>
      <c r="X2950" s="62"/>
      <c r="Y2950" s="62"/>
      <c r="Z2950" s="62"/>
      <c r="AA2950" s="62"/>
      <c r="AB2950" s="62"/>
      <c r="AC2950" s="62"/>
    </row>
    <row r="2951" hidden="1">
      <c r="A2951" s="60"/>
      <c r="B2951" s="60"/>
      <c r="C2951" s="60"/>
      <c r="D2951" s="60"/>
      <c r="E2951" s="62" t="str">
        <f t="shared" si="5153"/>
        <v/>
      </c>
      <c r="F2951" s="62" t="str">
        <f t="shared" ref="F2951:G2951" si="5902">IF(isblank(F$1),,IF(isblank($A2951),,IFERROR(vlookup($A2951,indirect("'TVC-"&amp;text(month(F$1),"00")&amp;"'!$A:$D"),4,false),1)))</f>
        <v/>
      </c>
      <c r="G2951" s="62" t="str">
        <f t="shared" si="5902"/>
        <v/>
      </c>
      <c r="H2951" s="62">
        <f t="shared" ref="H2951:Q2951" si="5903">IF(isblank(H$1),,IFERROR(vlookup($A2951,indirect("'TVC-"&amp;text(month(H$1),"00")&amp;"'!$A:$D"),4,false),1))</f>
        <v>1</v>
      </c>
      <c r="I2951" s="62">
        <f t="shared" si="5903"/>
        <v>1</v>
      </c>
      <c r="J2951" s="62">
        <f t="shared" si="5903"/>
        <v>1</v>
      </c>
      <c r="K2951" s="62">
        <f t="shared" si="5903"/>
        <v>1</v>
      </c>
      <c r="L2951" s="62">
        <f t="shared" si="5903"/>
        <v>1</v>
      </c>
      <c r="M2951" s="62">
        <f t="shared" si="5903"/>
        <v>1</v>
      </c>
      <c r="N2951" s="62">
        <f t="shared" si="5903"/>
        <v>1</v>
      </c>
      <c r="O2951" s="62">
        <f t="shared" si="5903"/>
        <v>1</v>
      </c>
      <c r="P2951" s="62" t="str">
        <f t="shared" si="5903"/>
        <v/>
      </c>
      <c r="Q2951" s="62" t="str">
        <f t="shared" si="5903"/>
        <v/>
      </c>
      <c r="R2951" s="62">
        <f t="shared" si="7"/>
        <v>0</v>
      </c>
      <c r="S2951" s="62"/>
      <c r="T2951" s="62"/>
      <c r="U2951" s="62"/>
      <c r="V2951" s="62"/>
      <c r="W2951" s="62"/>
      <c r="X2951" s="62"/>
      <c r="Y2951" s="62"/>
      <c r="Z2951" s="62"/>
      <c r="AA2951" s="62"/>
      <c r="AB2951" s="62"/>
      <c r="AC2951" s="62"/>
    </row>
    <row r="2952" hidden="1">
      <c r="A2952" s="60"/>
      <c r="B2952" s="60"/>
      <c r="C2952" s="60"/>
      <c r="D2952" s="60"/>
      <c r="E2952" s="62" t="str">
        <f t="shared" si="5153"/>
        <v/>
      </c>
      <c r="F2952" s="62" t="str">
        <f t="shared" ref="F2952:G2952" si="5904">IF(isblank(F$1),,IF(isblank($A2952),,IFERROR(vlookup($A2952,indirect("'TVC-"&amp;text(month(F$1),"00")&amp;"'!$A:$D"),4,false),1)))</f>
        <v/>
      </c>
      <c r="G2952" s="62" t="str">
        <f t="shared" si="5904"/>
        <v/>
      </c>
      <c r="H2952" s="62">
        <f t="shared" ref="H2952:Q2952" si="5905">IF(isblank(H$1),,IFERROR(vlookup($A2952,indirect("'TVC-"&amp;text(month(H$1),"00")&amp;"'!$A:$D"),4,false),1))</f>
        <v>1</v>
      </c>
      <c r="I2952" s="62">
        <f t="shared" si="5905"/>
        <v>1</v>
      </c>
      <c r="J2952" s="62">
        <f t="shared" si="5905"/>
        <v>1</v>
      </c>
      <c r="K2952" s="62">
        <f t="shared" si="5905"/>
        <v>1</v>
      </c>
      <c r="L2952" s="62">
        <f t="shared" si="5905"/>
        <v>1</v>
      </c>
      <c r="M2952" s="62">
        <f t="shared" si="5905"/>
        <v>1</v>
      </c>
      <c r="N2952" s="62">
        <f t="shared" si="5905"/>
        <v>1</v>
      </c>
      <c r="O2952" s="62">
        <f t="shared" si="5905"/>
        <v>1</v>
      </c>
      <c r="P2952" s="62" t="str">
        <f t="shared" si="5905"/>
        <v/>
      </c>
      <c r="Q2952" s="62" t="str">
        <f t="shared" si="5905"/>
        <v/>
      </c>
      <c r="R2952" s="62">
        <f t="shared" si="7"/>
        <v>0</v>
      </c>
      <c r="S2952" s="62"/>
      <c r="T2952" s="62"/>
      <c r="U2952" s="62"/>
      <c r="V2952" s="62"/>
      <c r="W2952" s="62"/>
      <c r="X2952" s="62"/>
      <c r="Y2952" s="62"/>
      <c r="Z2952" s="62"/>
      <c r="AA2952" s="62"/>
      <c r="AB2952" s="62"/>
      <c r="AC2952" s="62"/>
    </row>
    <row r="2953" hidden="1">
      <c r="A2953" s="60"/>
      <c r="B2953" s="60"/>
      <c r="C2953" s="60"/>
      <c r="D2953" s="60"/>
      <c r="E2953" s="62" t="str">
        <f t="shared" si="5153"/>
        <v/>
      </c>
      <c r="F2953" s="62" t="str">
        <f t="shared" ref="F2953:G2953" si="5906">IF(isblank(F$1),,IF(isblank($A2953),,IFERROR(vlookup($A2953,indirect("'TVC-"&amp;text(month(F$1),"00")&amp;"'!$A:$D"),4,false),1)))</f>
        <v/>
      </c>
      <c r="G2953" s="62" t="str">
        <f t="shared" si="5906"/>
        <v/>
      </c>
      <c r="H2953" s="62">
        <f t="shared" ref="H2953:Q2953" si="5907">IF(isblank(H$1),,IFERROR(vlookup($A2953,indirect("'TVC-"&amp;text(month(H$1),"00")&amp;"'!$A:$D"),4,false),1))</f>
        <v>1</v>
      </c>
      <c r="I2953" s="62">
        <f t="shared" si="5907"/>
        <v>1</v>
      </c>
      <c r="J2953" s="62">
        <f t="shared" si="5907"/>
        <v>1</v>
      </c>
      <c r="K2953" s="62">
        <f t="shared" si="5907"/>
        <v>1</v>
      </c>
      <c r="L2953" s="62">
        <f t="shared" si="5907"/>
        <v>1</v>
      </c>
      <c r="M2953" s="62">
        <f t="shared" si="5907"/>
        <v>1</v>
      </c>
      <c r="N2953" s="62">
        <f t="shared" si="5907"/>
        <v>1</v>
      </c>
      <c r="O2953" s="62">
        <f t="shared" si="5907"/>
        <v>1</v>
      </c>
      <c r="P2953" s="62" t="str">
        <f t="shared" si="5907"/>
        <v/>
      </c>
      <c r="Q2953" s="62" t="str">
        <f t="shared" si="5907"/>
        <v/>
      </c>
      <c r="R2953" s="62">
        <f t="shared" si="7"/>
        <v>0</v>
      </c>
      <c r="S2953" s="62"/>
      <c r="T2953" s="62"/>
      <c r="U2953" s="62"/>
      <c r="V2953" s="62"/>
      <c r="W2953" s="62"/>
      <c r="X2953" s="62"/>
      <c r="Y2953" s="62"/>
      <c r="Z2953" s="62"/>
      <c r="AA2953" s="62"/>
      <c r="AB2953" s="62"/>
      <c r="AC2953" s="62"/>
    </row>
    <row r="2954" hidden="1">
      <c r="A2954" s="60"/>
      <c r="B2954" s="60"/>
      <c r="C2954" s="60"/>
      <c r="D2954" s="60"/>
      <c r="E2954" s="62" t="str">
        <f t="shared" si="5153"/>
        <v/>
      </c>
      <c r="F2954" s="62" t="str">
        <f t="shared" ref="F2954:G2954" si="5908">IF(isblank(F$1),,IF(isblank($A2954),,IFERROR(vlookup($A2954,indirect("'TVC-"&amp;text(month(F$1),"00")&amp;"'!$A:$D"),4,false),1)))</f>
        <v/>
      </c>
      <c r="G2954" s="62" t="str">
        <f t="shared" si="5908"/>
        <v/>
      </c>
      <c r="H2954" s="62">
        <f t="shared" ref="H2954:Q2954" si="5909">IF(isblank(H$1),,IFERROR(vlookup($A2954,indirect("'TVC-"&amp;text(month(H$1),"00")&amp;"'!$A:$D"),4,false),1))</f>
        <v>1</v>
      </c>
      <c r="I2954" s="62">
        <f t="shared" si="5909"/>
        <v>1</v>
      </c>
      <c r="J2954" s="62">
        <f t="shared" si="5909"/>
        <v>1</v>
      </c>
      <c r="K2954" s="62">
        <f t="shared" si="5909"/>
        <v>1</v>
      </c>
      <c r="L2954" s="62">
        <f t="shared" si="5909"/>
        <v>1</v>
      </c>
      <c r="M2954" s="62">
        <f t="shared" si="5909"/>
        <v>1</v>
      </c>
      <c r="N2954" s="62">
        <f t="shared" si="5909"/>
        <v>1</v>
      </c>
      <c r="O2954" s="62">
        <f t="shared" si="5909"/>
        <v>1</v>
      </c>
      <c r="P2954" s="62" t="str">
        <f t="shared" si="5909"/>
        <v/>
      </c>
      <c r="Q2954" s="62" t="str">
        <f t="shared" si="5909"/>
        <v/>
      </c>
      <c r="R2954" s="62">
        <f t="shared" si="7"/>
        <v>0</v>
      </c>
      <c r="S2954" s="62"/>
      <c r="T2954" s="62"/>
      <c r="U2954" s="62"/>
      <c r="V2954" s="62"/>
      <c r="W2954" s="62"/>
      <c r="X2954" s="62"/>
      <c r="Y2954" s="62"/>
      <c r="Z2954" s="62"/>
      <c r="AA2954" s="62"/>
      <c r="AB2954" s="62"/>
      <c r="AC2954" s="62"/>
    </row>
    <row r="2955" hidden="1">
      <c r="A2955" s="60"/>
      <c r="B2955" s="60"/>
      <c r="C2955" s="60"/>
      <c r="D2955" s="60"/>
      <c r="E2955" s="62" t="str">
        <f t="shared" si="5153"/>
        <v/>
      </c>
      <c r="F2955" s="62" t="str">
        <f t="shared" ref="F2955:G2955" si="5910">IF(isblank(F$1),,IF(isblank($A2955),,IFERROR(vlookup($A2955,indirect("'TVC-"&amp;text(month(F$1),"00")&amp;"'!$A:$D"),4,false),1)))</f>
        <v/>
      </c>
      <c r="G2955" s="62" t="str">
        <f t="shared" si="5910"/>
        <v/>
      </c>
      <c r="H2955" s="62">
        <f t="shared" ref="H2955:Q2955" si="5911">IF(isblank(H$1),,IFERROR(vlookup($A2955,indirect("'TVC-"&amp;text(month(H$1),"00")&amp;"'!$A:$D"),4,false),1))</f>
        <v>1</v>
      </c>
      <c r="I2955" s="62">
        <f t="shared" si="5911"/>
        <v>1</v>
      </c>
      <c r="J2955" s="62">
        <f t="shared" si="5911"/>
        <v>1</v>
      </c>
      <c r="K2955" s="62">
        <f t="shared" si="5911"/>
        <v>1</v>
      </c>
      <c r="L2955" s="62">
        <f t="shared" si="5911"/>
        <v>1</v>
      </c>
      <c r="M2955" s="62">
        <f t="shared" si="5911"/>
        <v>1</v>
      </c>
      <c r="N2955" s="62">
        <f t="shared" si="5911"/>
        <v>1</v>
      </c>
      <c r="O2955" s="62">
        <f t="shared" si="5911"/>
        <v>1</v>
      </c>
      <c r="P2955" s="62" t="str">
        <f t="shared" si="5911"/>
        <v/>
      </c>
      <c r="Q2955" s="62" t="str">
        <f t="shared" si="5911"/>
        <v/>
      </c>
      <c r="R2955" s="62">
        <f t="shared" si="7"/>
        <v>0</v>
      </c>
      <c r="S2955" s="62"/>
      <c r="T2955" s="62"/>
      <c r="U2955" s="62"/>
      <c r="V2955" s="62"/>
      <c r="W2955" s="62"/>
      <c r="X2955" s="62"/>
      <c r="Y2955" s="62"/>
      <c r="Z2955" s="62"/>
      <c r="AA2955" s="62"/>
      <c r="AB2955" s="62"/>
      <c r="AC2955" s="62"/>
    </row>
    <row r="2956" hidden="1">
      <c r="A2956" s="60"/>
      <c r="B2956" s="60"/>
      <c r="C2956" s="60"/>
      <c r="D2956" s="60"/>
      <c r="E2956" s="62" t="str">
        <f t="shared" si="5153"/>
        <v/>
      </c>
      <c r="F2956" s="62" t="str">
        <f t="shared" ref="F2956:G2956" si="5912">IF(isblank(F$1),,IF(isblank($A2956),,IFERROR(vlookup($A2956,indirect("'TVC-"&amp;text(month(F$1),"00")&amp;"'!$A:$D"),4,false),1)))</f>
        <v/>
      </c>
      <c r="G2956" s="62" t="str">
        <f t="shared" si="5912"/>
        <v/>
      </c>
      <c r="H2956" s="62">
        <f t="shared" ref="H2956:Q2956" si="5913">IF(isblank(H$1),,IFERROR(vlookup($A2956,indirect("'TVC-"&amp;text(month(H$1),"00")&amp;"'!$A:$D"),4,false),1))</f>
        <v>1</v>
      </c>
      <c r="I2956" s="62">
        <f t="shared" si="5913"/>
        <v>1</v>
      </c>
      <c r="J2956" s="62">
        <f t="shared" si="5913"/>
        <v>1</v>
      </c>
      <c r="K2956" s="62">
        <f t="shared" si="5913"/>
        <v>1</v>
      </c>
      <c r="L2956" s="62">
        <f t="shared" si="5913"/>
        <v>1</v>
      </c>
      <c r="M2956" s="62">
        <f t="shared" si="5913"/>
        <v>1</v>
      </c>
      <c r="N2956" s="62">
        <f t="shared" si="5913"/>
        <v>1</v>
      </c>
      <c r="O2956" s="62">
        <f t="shared" si="5913"/>
        <v>1</v>
      </c>
      <c r="P2956" s="62" t="str">
        <f t="shared" si="5913"/>
        <v/>
      </c>
      <c r="Q2956" s="62" t="str">
        <f t="shared" si="5913"/>
        <v/>
      </c>
      <c r="R2956" s="62">
        <f t="shared" si="7"/>
        <v>0</v>
      </c>
      <c r="S2956" s="62"/>
      <c r="T2956" s="62"/>
      <c r="U2956" s="62"/>
      <c r="V2956" s="62"/>
      <c r="W2956" s="62"/>
      <c r="X2956" s="62"/>
      <c r="Y2956" s="62"/>
      <c r="Z2956" s="62"/>
      <c r="AA2956" s="62"/>
      <c r="AB2956" s="62"/>
      <c r="AC2956" s="62"/>
    </row>
    <row r="2957" hidden="1">
      <c r="A2957" s="60"/>
      <c r="B2957" s="60"/>
      <c r="C2957" s="60"/>
      <c r="D2957" s="60"/>
      <c r="E2957" s="62" t="str">
        <f t="shared" si="5153"/>
        <v/>
      </c>
      <c r="F2957" s="62" t="str">
        <f t="shared" ref="F2957:G2957" si="5914">IF(isblank(F$1),,IF(isblank($A2957),,IFERROR(vlookup($A2957,indirect("'TVC-"&amp;text(month(F$1),"00")&amp;"'!$A:$D"),4,false),1)))</f>
        <v/>
      </c>
      <c r="G2957" s="62" t="str">
        <f t="shared" si="5914"/>
        <v/>
      </c>
      <c r="H2957" s="62">
        <f t="shared" ref="H2957:Q2957" si="5915">IF(isblank(H$1),,IFERROR(vlookup($A2957,indirect("'TVC-"&amp;text(month(H$1),"00")&amp;"'!$A:$D"),4,false),1))</f>
        <v>1</v>
      </c>
      <c r="I2957" s="62">
        <f t="shared" si="5915"/>
        <v>1</v>
      </c>
      <c r="J2957" s="62">
        <f t="shared" si="5915"/>
        <v>1</v>
      </c>
      <c r="K2957" s="62">
        <f t="shared" si="5915"/>
        <v>1</v>
      </c>
      <c r="L2957" s="62">
        <f t="shared" si="5915"/>
        <v>1</v>
      </c>
      <c r="M2957" s="62">
        <f t="shared" si="5915"/>
        <v>1</v>
      </c>
      <c r="N2957" s="62">
        <f t="shared" si="5915"/>
        <v>1</v>
      </c>
      <c r="O2957" s="62">
        <f t="shared" si="5915"/>
        <v>1</v>
      </c>
      <c r="P2957" s="62" t="str">
        <f t="shared" si="5915"/>
        <v/>
      </c>
      <c r="Q2957" s="62" t="str">
        <f t="shared" si="5915"/>
        <v/>
      </c>
      <c r="R2957" s="62">
        <f t="shared" si="7"/>
        <v>0</v>
      </c>
      <c r="S2957" s="62"/>
      <c r="T2957" s="62"/>
      <c r="U2957" s="62"/>
      <c r="V2957" s="62"/>
      <c r="W2957" s="62"/>
      <c r="X2957" s="62"/>
      <c r="Y2957" s="62"/>
      <c r="Z2957" s="62"/>
      <c r="AA2957" s="62"/>
      <c r="AB2957" s="62"/>
      <c r="AC2957" s="62"/>
    </row>
    <row r="2958" hidden="1">
      <c r="A2958" s="60"/>
      <c r="B2958" s="60"/>
      <c r="C2958" s="60"/>
      <c r="D2958" s="60"/>
      <c r="E2958" s="62" t="str">
        <f t="shared" si="5153"/>
        <v/>
      </c>
      <c r="F2958" s="62" t="str">
        <f t="shared" ref="F2958:G2958" si="5916">IF(isblank(F$1),,IF(isblank($A2958),,IFERROR(vlookup($A2958,indirect("'TVC-"&amp;text(month(F$1),"00")&amp;"'!$A:$D"),4,false),1)))</f>
        <v/>
      </c>
      <c r="G2958" s="62" t="str">
        <f t="shared" si="5916"/>
        <v/>
      </c>
      <c r="H2958" s="62">
        <f t="shared" ref="H2958:Q2958" si="5917">IF(isblank(H$1),,IFERROR(vlookup($A2958,indirect("'TVC-"&amp;text(month(H$1),"00")&amp;"'!$A:$D"),4,false),1))</f>
        <v>1</v>
      </c>
      <c r="I2958" s="62">
        <f t="shared" si="5917"/>
        <v>1</v>
      </c>
      <c r="J2958" s="62">
        <f t="shared" si="5917"/>
        <v>1</v>
      </c>
      <c r="K2958" s="62">
        <f t="shared" si="5917"/>
        <v>1</v>
      </c>
      <c r="L2958" s="62">
        <f t="shared" si="5917"/>
        <v>1</v>
      </c>
      <c r="M2958" s="62">
        <f t="shared" si="5917"/>
        <v>1</v>
      </c>
      <c r="N2958" s="62">
        <f t="shared" si="5917"/>
        <v>1</v>
      </c>
      <c r="O2958" s="62">
        <f t="shared" si="5917"/>
        <v>1</v>
      </c>
      <c r="P2958" s="62" t="str">
        <f t="shared" si="5917"/>
        <v/>
      </c>
      <c r="Q2958" s="62" t="str">
        <f t="shared" si="5917"/>
        <v/>
      </c>
      <c r="R2958" s="62">
        <f t="shared" si="7"/>
        <v>0</v>
      </c>
      <c r="S2958" s="62"/>
      <c r="T2958" s="62"/>
      <c r="U2958" s="62"/>
      <c r="V2958" s="62"/>
      <c r="W2958" s="62"/>
      <c r="X2958" s="62"/>
      <c r="Y2958" s="62"/>
      <c r="Z2958" s="62"/>
      <c r="AA2958" s="62"/>
      <c r="AB2958" s="62"/>
      <c r="AC2958" s="62"/>
    </row>
    <row r="2959" hidden="1">
      <c r="A2959" s="60"/>
      <c r="B2959" s="60"/>
      <c r="C2959" s="60"/>
      <c r="D2959" s="60"/>
      <c r="E2959" s="62" t="str">
        <f t="shared" si="5153"/>
        <v/>
      </c>
      <c r="F2959" s="62" t="str">
        <f t="shared" ref="F2959:G2959" si="5918">IF(isblank(F$1),,IF(isblank($A2959),,IFERROR(vlookup($A2959,indirect("'TVC-"&amp;text(month(F$1),"00")&amp;"'!$A:$D"),4,false),1)))</f>
        <v/>
      </c>
      <c r="G2959" s="62" t="str">
        <f t="shared" si="5918"/>
        <v/>
      </c>
      <c r="H2959" s="62">
        <f t="shared" ref="H2959:Q2959" si="5919">IF(isblank(H$1),,IFERROR(vlookup($A2959,indirect("'TVC-"&amp;text(month(H$1),"00")&amp;"'!$A:$D"),4,false),1))</f>
        <v>1</v>
      </c>
      <c r="I2959" s="62">
        <f t="shared" si="5919"/>
        <v>1</v>
      </c>
      <c r="J2959" s="62">
        <f t="shared" si="5919"/>
        <v>1</v>
      </c>
      <c r="K2959" s="62">
        <f t="shared" si="5919"/>
        <v>1</v>
      </c>
      <c r="L2959" s="62">
        <f t="shared" si="5919"/>
        <v>1</v>
      </c>
      <c r="M2959" s="62">
        <f t="shared" si="5919"/>
        <v>1</v>
      </c>
      <c r="N2959" s="62">
        <f t="shared" si="5919"/>
        <v>1</v>
      </c>
      <c r="O2959" s="62">
        <f t="shared" si="5919"/>
        <v>1</v>
      </c>
      <c r="P2959" s="62" t="str">
        <f t="shared" si="5919"/>
        <v/>
      </c>
      <c r="Q2959" s="62" t="str">
        <f t="shared" si="5919"/>
        <v/>
      </c>
      <c r="R2959" s="62">
        <f t="shared" si="7"/>
        <v>0</v>
      </c>
      <c r="S2959" s="62"/>
      <c r="T2959" s="62"/>
      <c r="U2959" s="62"/>
      <c r="V2959" s="62"/>
      <c r="W2959" s="62"/>
      <c r="X2959" s="62"/>
      <c r="Y2959" s="62"/>
      <c r="Z2959" s="62"/>
      <c r="AA2959" s="62"/>
      <c r="AB2959" s="62"/>
      <c r="AC2959" s="62"/>
    </row>
    <row r="2960" hidden="1">
      <c r="A2960" s="60"/>
      <c r="B2960" s="60"/>
      <c r="C2960" s="60"/>
      <c r="D2960" s="60"/>
      <c r="E2960" s="62" t="str">
        <f t="shared" si="5153"/>
        <v/>
      </c>
      <c r="F2960" s="62" t="str">
        <f t="shared" ref="F2960:G2960" si="5920">IF(isblank(F$1),,IF(isblank($A2960),,IFERROR(vlookup($A2960,indirect("'TVC-"&amp;text(month(F$1),"00")&amp;"'!$A:$D"),4,false),1)))</f>
        <v/>
      </c>
      <c r="G2960" s="62" t="str">
        <f t="shared" si="5920"/>
        <v/>
      </c>
      <c r="H2960" s="62">
        <f t="shared" ref="H2960:Q2960" si="5921">IF(isblank(H$1),,IFERROR(vlookup($A2960,indirect("'TVC-"&amp;text(month(H$1),"00")&amp;"'!$A:$D"),4,false),1))</f>
        <v>1</v>
      </c>
      <c r="I2960" s="62">
        <f t="shared" si="5921"/>
        <v>1</v>
      </c>
      <c r="J2960" s="62">
        <f t="shared" si="5921"/>
        <v>1</v>
      </c>
      <c r="K2960" s="62">
        <f t="shared" si="5921"/>
        <v>1</v>
      </c>
      <c r="L2960" s="62">
        <f t="shared" si="5921"/>
        <v>1</v>
      </c>
      <c r="M2960" s="62">
        <f t="shared" si="5921"/>
        <v>1</v>
      </c>
      <c r="N2960" s="62">
        <f t="shared" si="5921"/>
        <v>1</v>
      </c>
      <c r="O2960" s="62">
        <f t="shared" si="5921"/>
        <v>1</v>
      </c>
      <c r="P2960" s="62" t="str">
        <f t="shared" si="5921"/>
        <v/>
      </c>
      <c r="Q2960" s="62" t="str">
        <f t="shared" si="5921"/>
        <v/>
      </c>
      <c r="R2960" s="62">
        <f t="shared" si="7"/>
        <v>0</v>
      </c>
      <c r="S2960" s="62"/>
      <c r="T2960" s="62"/>
      <c r="U2960" s="62"/>
      <c r="V2960" s="62"/>
      <c r="W2960" s="62"/>
      <c r="X2960" s="62"/>
      <c r="Y2960" s="62"/>
      <c r="Z2960" s="62"/>
      <c r="AA2960" s="62"/>
      <c r="AB2960" s="62"/>
      <c r="AC2960" s="62"/>
    </row>
    <row r="2961" hidden="1">
      <c r="A2961" s="60"/>
      <c r="B2961" s="60"/>
      <c r="C2961" s="60"/>
      <c r="D2961" s="60"/>
      <c r="E2961" s="62" t="str">
        <f t="shared" si="5153"/>
        <v/>
      </c>
      <c r="F2961" s="62" t="str">
        <f t="shared" ref="F2961:G2961" si="5922">IF(isblank(F$1),,IF(isblank($A2961),,IFERROR(vlookup($A2961,indirect("'TVC-"&amp;text(month(F$1),"00")&amp;"'!$A:$D"),4,false),1)))</f>
        <v/>
      </c>
      <c r="G2961" s="62" t="str">
        <f t="shared" si="5922"/>
        <v/>
      </c>
      <c r="H2961" s="62">
        <f t="shared" ref="H2961:Q2961" si="5923">IF(isblank(H$1),,IFERROR(vlookup($A2961,indirect("'TVC-"&amp;text(month(H$1),"00")&amp;"'!$A:$D"),4,false),1))</f>
        <v>1</v>
      </c>
      <c r="I2961" s="62">
        <f t="shared" si="5923"/>
        <v>1</v>
      </c>
      <c r="J2961" s="62">
        <f t="shared" si="5923"/>
        <v>1</v>
      </c>
      <c r="K2961" s="62">
        <f t="shared" si="5923"/>
        <v>1</v>
      </c>
      <c r="L2961" s="62">
        <f t="shared" si="5923"/>
        <v>1</v>
      </c>
      <c r="M2961" s="62">
        <f t="shared" si="5923"/>
        <v>1</v>
      </c>
      <c r="N2961" s="62">
        <f t="shared" si="5923"/>
        <v>1</v>
      </c>
      <c r="O2961" s="62">
        <f t="shared" si="5923"/>
        <v>1</v>
      </c>
      <c r="P2961" s="62" t="str">
        <f t="shared" si="5923"/>
        <v/>
      </c>
      <c r="Q2961" s="62" t="str">
        <f t="shared" si="5923"/>
        <v/>
      </c>
      <c r="R2961" s="62">
        <f t="shared" si="7"/>
        <v>0</v>
      </c>
      <c r="S2961" s="62"/>
      <c r="T2961" s="62"/>
      <c r="U2961" s="62"/>
      <c r="V2961" s="62"/>
      <c r="W2961" s="62"/>
      <c r="X2961" s="62"/>
      <c r="Y2961" s="62"/>
      <c r="Z2961" s="62"/>
      <c r="AA2961" s="62"/>
      <c r="AB2961" s="62"/>
      <c r="AC2961" s="62"/>
    </row>
    <row r="2962" hidden="1">
      <c r="A2962" s="60"/>
      <c r="B2962" s="60"/>
      <c r="C2962" s="60"/>
      <c r="D2962" s="60"/>
      <c r="E2962" s="62" t="str">
        <f t="shared" si="5153"/>
        <v/>
      </c>
      <c r="F2962" s="62" t="str">
        <f t="shared" ref="F2962:G2962" si="5924">IF(isblank(F$1),,IF(isblank($A2962),,IFERROR(vlookup($A2962,indirect("'TVC-"&amp;text(month(F$1),"00")&amp;"'!$A:$D"),4,false),1)))</f>
        <v/>
      </c>
      <c r="G2962" s="62" t="str">
        <f t="shared" si="5924"/>
        <v/>
      </c>
      <c r="H2962" s="62">
        <f t="shared" ref="H2962:Q2962" si="5925">IF(isblank(H$1),,IFERROR(vlookup($A2962,indirect("'TVC-"&amp;text(month(H$1),"00")&amp;"'!$A:$D"),4,false),1))</f>
        <v>1</v>
      </c>
      <c r="I2962" s="62">
        <f t="shared" si="5925"/>
        <v>1</v>
      </c>
      <c r="J2962" s="62">
        <f t="shared" si="5925"/>
        <v>1</v>
      </c>
      <c r="K2962" s="62">
        <f t="shared" si="5925"/>
        <v>1</v>
      </c>
      <c r="L2962" s="62">
        <f t="shared" si="5925"/>
        <v>1</v>
      </c>
      <c r="M2962" s="62">
        <f t="shared" si="5925"/>
        <v>1</v>
      </c>
      <c r="N2962" s="62">
        <f t="shared" si="5925"/>
        <v>1</v>
      </c>
      <c r="O2962" s="62">
        <f t="shared" si="5925"/>
        <v>1</v>
      </c>
      <c r="P2962" s="62" t="str">
        <f t="shared" si="5925"/>
        <v/>
      </c>
      <c r="Q2962" s="62" t="str">
        <f t="shared" si="5925"/>
        <v/>
      </c>
      <c r="R2962" s="62">
        <f t="shared" si="7"/>
        <v>0</v>
      </c>
      <c r="S2962" s="62"/>
      <c r="T2962" s="62"/>
      <c r="U2962" s="62"/>
      <c r="V2962" s="62"/>
      <c r="W2962" s="62"/>
      <c r="X2962" s="62"/>
      <c r="Y2962" s="62"/>
      <c r="Z2962" s="62"/>
      <c r="AA2962" s="62"/>
      <c r="AB2962" s="62"/>
      <c r="AC2962" s="62"/>
    </row>
    <row r="2963" hidden="1">
      <c r="A2963" s="60"/>
      <c r="B2963" s="60"/>
      <c r="C2963" s="60"/>
      <c r="D2963" s="60"/>
      <c r="E2963" s="62" t="str">
        <f t="shared" si="5153"/>
        <v/>
      </c>
      <c r="F2963" s="62" t="str">
        <f t="shared" ref="F2963:G2963" si="5926">IF(isblank(F$1),,IF(isblank($A2963),,IFERROR(vlookup($A2963,indirect("'TVC-"&amp;text(month(F$1),"00")&amp;"'!$A:$D"),4,false),1)))</f>
        <v/>
      </c>
      <c r="G2963" s="62" t="str">
        <f t="shared" si="5926"/>
        <v/>
      </c>
      <c r="H2963" s="62">
        <f t="shared" ref="H2963:Q2963" si="5927">IF(isblank(H$1),,IFERROR(vlookup($A2963,indirect("'TVC-"&amp;text(month(H$1),"00")&amp;"'!$A:$D"),4,false),1))</f>
        <v>1</v>
      </c>
      <c r="I2963" s="62">
        <f t="shared" si="5927"/>
        <v>1</v>
      </c>
      <c r="J2963" s="62">
        <f t="shared" si="5927"/>
        <v>1</v>
      </c>
      <c r="K2963" s="62">
        <f t="shared" si="5927"/>
        <v>1</v>
      </c>
      <c r="L2963" s="62">
        <f t="shared" si="5927"/>
        <v>1</v>
      </c>
      <c r="M2963" s="62">
        <f t="shared" si="5927"/>
        <v>1</v>
      </c>
      <c r="N2963" s="62">
        <f t="shared" si="5927"/>
        <v>1</v>
      </c>
      <c r="O2963" s="62">
        <f t="shared" si="5927"/>
        <v>1</v>
      </c>
      <c r="P2963" s="62" t="str">
        <f t="shared" si="5927"/>
        <v/>
      </c>
      <c r="Q2963" s="62" t="str">
        <f t="shared" si="5927"/>
        <v/>
      </c>
      <c r="R2963" s="62">
        <f t="shared" si="7"/>
        <v>0</v>
      </c>
      <c r="S2963" s="62"/>
      <c r="T2963" s="62"/>
      <c r="U2963" s="62"/>
      <c r="V2963" s="62"/>
      <c r="W2963" s="62"/>
      <c r="X2963" s="62"/>
      <c r="Y2963" s="62"/>
      <c r="Z2963" s="62"/>
      <c r="AA2963" s="62"/>
      <c r="AB2963" s="62"/>
      <c r="AC2963" s="62"/>
    </row>
    <row r="2964" hidden="1">
      <c r="A2964" s="60"/>
      <c r="B2964" s="60"/>
      <c r="C2964" s="60"/>
      <c r="D2964" s="60"/>
      <c r="E2964" s="62" t="str">
        <f t="shared" si="5153"/>
        <v/>
      </c>
      <c r="F2964" s="62" t="str">
        <f t="shared" ref="F2964:G2964" si="5928">IF(isblank(F$1),,IF(isblank($A2964),,IFERROR(vlookup($A2964,indirect("'TVC-"&amp;text(month(F$1),"00")&amp;"'!$A:$D"),4,false),1)))</f>
        <v/>
      </c>
      <c r="G2964" s="62" t="str">
        <f t="shared" si="5928"/>
        <v/>
      </c>
      <c r="H2964" s="62">
        <f t="shared" ref="H2964:Q2964" si="5929">IF(isblank(H$1),,IFERROR(vlookup($A2964,indirect("'TVC-"&amp;text(month(H$1),"00")&amp;"'!$A:$D"),4,false),1))</f>
        <v>1</v>
      </c>
      <c r="I2964" s="62">
        <f t="shared" si="5929"/>
        <v>1</v>
      </c>
      <c r="J2964" s="62">
        <f t="shared" si="5929"/>
        <v>1</v>
      </c>
      <c r="K2964" s="62">
        <f t="shared" si="5929"/>
        <v>1</v>
      </c>
      <c r="L2964" s="62">
        <f t="shared" si="5929"/>
        <v>1</v>
      </c>
      <c r="M2964" s="62">
        <f t="shared" si="5929"/>
        <v>1</v>
      </c>
      <c r="N2964" s="62">
        <f t="shared" si="5929"/>
        <v>1</v>
      </c>
      <c r="O2964" s="62">
        <f t="shared" si="5929"/>
        <v>1</v>
      </c>
      <c r="P2964" s="62" t="str">
        <f t="shared" si="5929"/>
        <v/>
      </c>
      <c r="Q2964" s="62" t="str">
        <f t="shared" si="5929"/>
        <v/>
      </c>
      <c r="R2964" s="62">
        <f t="shared" si="7"/>
        <v>0</v>
      </c>
      <c r="S2964" s="62"/>
      <c r="T2964" s="62"/>
      <c r="U2964" s="62"/>
      <c r="V2964" s="62"/>
      <c r="W2964" s="62"/>
      <c r="X2964" s="62"/>
      <c r="Y2964" s="62"/>
      <c r="Z2964" s="62"/>
      <c r="AA2964" s="62"/>
      <c r="AB2964" s="62"/>
      <c r="AC2964" s="62"/>
    </row>
    <row r="2965" hidden="1">
      <c r="A2965" s="60"/>
      <c r="B2965" s="60"/>
      <c r="C2965" s="60"/>
      <c r="D2965" s="60"/>
      <c r="E2965" s="62" t="str">
        <f t="shared" si="5153"/>
        <v/>
      </c>
      <c r="F2965" s="62" t="str">
        <f t="shared" ref="F2965:G2965" si="5930">IF(isblank(F$1),,IF(isblank($A2965),,IFERROR(vlookup($A2965,indirect("'TVC-"&amp;text(month(F$1),"00")&amp;"'!$A:$D"),4,false),1)))</f>
        <v/>
      </c>
      <c r="G2965" s="62" t="str">
        <f t="shared" si="5930"/>
        <v/>
      </c>
      <c r="H2965" s="62">
        <f t="shared" ref="H2965:Q2965" si="5931">IF(isblank(H$1),,IFERROR(vlookup($A2965,indirect("'TVC-"&amp;text(month(H$1),"00")&amp;"'!$A:$D"),4,false),1))</f>
        <v>1</v>
      </c>
      <c r="I2965" s="62">
        <f t="shared" si="5931"/>
        <v>1</v>
      </c>
      <c r="J2965" s="62">
        <f t="shared" si="5931"/>
        <v>1</v>
      </c>
      <c r="K2965" s="62">
        <f t="shared" si="5931"/>
        <v>1</v>
      </c>
      <c r="L2965" s="62">
        <f t="shared" si="5931"/>
        <v>1</v>
      </c>
      <c r="M2965" s="62">
        <f t="shared" si="5931"/>
        <v>1</v>
      </c>
      <c r="N2965" s="62">
        <f t="shared" si="5931"/>
        <v>1</v>
      </c>
      <c r="O2965" s="62">
        <f t="shared" si="5931"/>
        <v>1</v>
      </c>
      <c r="P2965" s="62" t="str">
        <f t="shared" si="5931"/>
        <v/>
      </c>
      <c r="Q2965" s="62" t="str">
        <f t="shared" si="5931"/>
        <v/>
      </c>
      <c r="R2965" s="62">
        <f t="shared" si="7"/>
        <v>0</v>
      </c>
      <c r="S2965" s="62"/>
      <c r="T2965" s="62"/>
      <c r="U2965" s="62"/>
      <c r="V2965" s="62"/>
      <c r="W2965" s="62"/>
      <c r="X2965" s="62"/>
      <c r="Y2965" s="62"/>
      <c r="Z2965" s="62"/>
      <c r="AA2965" s="62"/>
      <c r="AB2965" s="62"/>
      <c r="AC2965" s="62"/>
    </row>
    <row r="2966" hidden="1">
      <c r="A2966" s="60"/>
      <c r="B2966" s="60"/>
      <c r="C2966" s="60"/>
      <c r="D2966" s="60"/>
      <c r="E2966" s="62" t="str">
        <f t="shared" si="5153"/>
        <v/>
      </c>
      <c r="F2966" s="62" t="str">
        <f t="shared" ref="F2966:G2966" si="5932">IF(isblank(F$1),,IF(isblank($A2966),,IFERROR(vlookup($A2966,indirect("'TVC-"&amp;text(month(F$1),"00")&amp;"'!$A:$D"),4,false),1)))</f>
        <v/>
      </c>
      <c r="G2966" s="62" t="str">
        <f t="shared" si="5932"/>
        <v/>
      </c>
      <c r="H2966" s="62">
        <f t="shared" ref="H2966:Q2966" si="5933">IF(isblank(H$1),,IFERROR(vlookup($A2966,indirect("'TVC-"&amp;text(month(H$1),"00")&amp;"'!$A:$D"),4,false),1))</f>
        <v>1</v>
      </c>
      <c r="I2966" s="62">
        <f t="shared" si="5933"/>
        <v>1</v>
      </c>
      <c r="J2966" s="62">
        <f t="shared" si="5933"/>
        <v>1</v>
      </c>
      <c r="K2966" s="62">
        <f t="shared" si="5933"/>
        <v>1</v>
      </c>
      <c r="L2966" s="62">
        <f t="shared" si="5933"/>
        <v>1</v>
      </c>
      <c r="M2966" s="62">
        <f t="shared" si="5933"/>
        <v>1</v>
      </c>
      <c r="N2966" s="62">
        <f t="shared" si="5933"/>
        <v>1</v>
      </c>
      <c r="O2966" s="62">
        <f t="shared" si="5933"/>
        <v>1</v>
      </c>
      <c r="P2966" s="62" t="str">
        <f t="shared" si="5933"/>
        <v/>
      </c>
      <c r="Q2966" s="62" t="str">
        <f t="shared" si="5933"/>
        <v/>
      </c>
      <c r="R2966" s="62">
        <f t="shared" si="7"/>
        <v>0</v>
      </c>
      <c r="S2966" s="62"/>
      <c r="T2966" s="62"/>
      <c r="U2966" s="62"/>
      <c r="V2966" s="62"/>
      <c r="W2966" s="62"/>
      <c r="X2966" s="62"/>
      <c r="Y2966" s="62"/>
      <c r="Z2966" s="62"/>
      <c r="AA2966" s="62"/>
      <c r="AB2966" s="62"/>
      <c r="AC2966" s="62"/>
    </row>
    <row r="2967" hidden="1">
      <c r="A2967" s="60"/>
      <c r="B2967" s="60"/>
      <c r="C2967" s="60"/>
      <c r="D2967" s="60"/>
      <c r="E2967" s="62" t="str">
        <f t="shared" si="5153"/>
        <v/>
      </c>
      <c r="F2967" s="62" t="str">
        <f t="shared" ref="F2967:G2967" si="5934">IF(isblank(F$1),,IF(isblank($A2967),,IFERROR(vlookup($A2967,indirect("'TVC-"&amp;text(month(F$1),"00")&amp;"'!$A:$D"),4,false),1)))</f>
        <v/>
      </c>
      <c r="G2967" s="62" t="str">
        <f t="shared" si="5934"/>
        <v/>
      </c>
      <c r="H2967" s="62">
        <f t="shared" ref="H2967:Q2967" si="5935">IF(isblank(H$1),,IFERROR(vlookup($A2967,indirect("'TVC-"&amp;text(month(H$1),"00")&amp;"'!$A:$D"),4,false),1))</f>
        <v>1</v>
      </c>
      <c r="I2967" s="62">
        <f t="shared" si="5935"/>
        <v>1</v>
      </c>
      <c r="J2967" s="62">
        <f t="shared" si="5935"/>
        <v>1</v>
      </c>
      <c r="K2967" s="62">
        <f t="shared" si="5935"/>
        <v>1</v>
      </c>
      <c r="L2967" s="62">
        <f t="shared" si="5935"/>
        <v>1</v>
      </c>
      <c r="M2967" s="62">
        <f t="shared" si="5935"/>
        <v>1</v>
      </c>
      <c r="N2967" s="62">
        <f t="shared" si="5935"/>
        <v>1</v>
      </c>
      <c r="O2967" s="62">
        <f t="shared" si="5935"/>
        <v>1</v>
      </c>
      <c r="P2967" s="62" t="str">
        <f t="shared" si="5935"/>
        <v/>
      </c>
      <c r="Q2967" s="62" t="str">
        <f t="shared" si="5935"/>
        <v/>
      </c>
      <c r="R2967" s="62">
        <f t="shared" si="7"/>
        <v>0</v>
      </c>
      <c r="S2967" s="62"/>
      <c r="T2967" s="62"/>
      <c r="U2967" s="62"/>
      <c r="V2967" s="62"/>
      <c r="W2967" s="62"/>
      <c r="X2967" s="62"/>
      <c r="Y2967" s="62"/>
      <c r="Z2967" s="62"/>
      <c r="AA2967" s="62"/>
      <c r="AB2967" s="62"/>
      <c r="AC2967" s="62"/>
    </row>
    <row r="2968" hidden="1">
      <c r="A2968" s="60"/>
      <c r="B2968" s="60"/>
      <c r="C2968" s="60"/>
      <c r="D2968" s="60"/>
      <c r="E2968" s="62" t="str">
        <f t="shared" si="5153"/>
        <v/>
      </c>
      <c r="F2968" s="62" t="str">
        <f t="shared" ref="F2968:G2968" si="5936">IF(isblank(F$1),,IF(isblank($A2968),,IFERROR(vlookup($A2968,indirect("'TVC-"&amp;text(month(F$1),"00")&amp;"'!$A:$D"),4,false),1)))</f>
        <v/>
      </c>
      <c r="G2968" s="62" t="str">
        <f t="shared" si="5936"/>
        <v/>
      </c>
      <c r="H2968" s="62">
        <f t="shared" ref="H2968:Q2968" si="5937">IF(isblank(H$1),,IFERROR(vlookup($A2968,indirect("'TVC-"&amp;text(month(H$1),"00")&amp;"'!$A:$D"),4,false),1))</f>
        <v>1</v>
      </c>
      <c r="I2968" s="62">
        <f t="shared" si="5937"/>
        <v>1</v>
      </c>
      <c r="J2968" s="62">
        <f t="shared" si="5937"/>
        <v>1</v>
      </c>
      <c r="K2968" s="62">
        <f t="shared" si="5937"/>
        <v>1</v>
      </c>
      <c r="L2968" s="62">
        <f t="shared" si="5937"/>
        <v>1</v>
      </c>
      <c r="M2968" s="62">
        <f t="shared" si="5937"/>
        <v>1</v>
      </c>
      <c r="N2968" s="62">
        <f t="shared" si="5937"/>
        <v>1</v>
      </c>
      <c r="O2968" s="62">
        <f t="shared" si="5937"/>
        <v>1</v>
      </c>
      <c r="P2968" s="62" t="str">
        <f t="shared" si="5937"/>
        <v/>
      </c>
      <c r="Q2968" s="62" t="str">
        <f t="shared" si="5937"/>
        <v/>
      </c>
      <c r="R2968" s="62">
        <f t="shared" si="7"/>
        <v>0</v>
      </c>
      <c r="S2968" s="62"/>
      <c r="T2968" s="62"/>
      <c r="U2968" s="62"/>
      <c r="V2968" s="62"/>
      <c r="W2968" s="62"/>
      <c r="X2968" s="62"/>
      <c r="Y2968" s="62"/>
      <c r="Z2968" s="62"/>
      <c r="AA2968" s="62"/>
      <c r="AB2968" s="62"/>
      <c r="AC2968" s="62"/>
    </row>
    <row r="2969" hidden="1">
      <c r="A2969" s="60"/>
      <c r="B2969" s="60"/>
      <c r="C2969" s="60"/>
      <c r="D2969" s="60"/>
      <c r="E2969" s="62" t="str">
        <f t="shared" si="5153"/>
        <v/>
      </c>
      <c r="F2969" s="62" t="str">
        <f t="shared" ref="F2969:G2969" si="5938">IF(isblank(F$1),,IF(isblank($A2969),,IFERROR(vlookup($A2969,indirect("'TVC-"&amp;text(month(F$1),"00")&amp;"'!$A:$D"),4,false),1)))</f>
        <v/>
      </c>
      <c r="G2969" s="62" t="str">
        <f t="shared" si="5938"/>
        <v/>
      </c>
      <c r="H2969" s="62">
        <f t="shared" ref="H2969:Q2969" si="5939">IF(isblank(H$1),,IFERROR(vlookup($A2969,indirect("'TVC-"&amp;text(month(H$1),"00")&amp;"'!$A:$D"),4,false),1))</f>
        <v>1</v>
      </c>
      <c r="I2969" s="62">
        <f t="shared" si="5939"/>
        <v>1</v>
      </c>
      <c r="J2969" s="62">
        <f t="shared" si="5939"/>
        <v>1</v>
      </c>
      <c r="K2969" s="62">
        <f t="shared" si="5939"/>
        <v>1</v>
      </c>
      <c r="L2969" s="62">
        <f t="shared" si="5939"/>
        <v>1</v>
      </c>
      <c r="M2969" s="62">
        <f t="shared" si="5939"/>
        <v>1</v>
      </c>
      <c r="N2969" s="62">
        <f t="shared" si="5939"/>
        <v>1</v>
      </c>
      <c r="O2969" s="62">
        <f t="shared" si="5939"/>
        <v>1</v>
      </c>
      <c r="P2969" s="62" t="str">
        <f t="shared" si="5939"/>
        <v/>
      </c>
      <c r="Q2969" s="62" t="str">
        <f t="shared" si="5939"/>
        <v/>
      </c>
      <c r="R2969" s="62">
        <f t="shared" si="7"/>
        <v>0</v>
      </c>
      <c r="S2969" s="62"/>
      <c r="T2969" s="62"/>
      <c r="U2969" s="62"/>
      <c r="V2969" s="62"/>
      <c r="W2969" s="62"/>
      <c r="X2969" s="62"/>
      <c r="Y2969" s="62"/>
      <c r="Z2969" s="62"/>
      <c r="AA2969" s="62"/>
      <c r="AB2969" s="62"/>
      <c r="AC2969" s="62"/>
    </row>
    <row r="2970" hidden="1">
      <c r="A2970" s="60"/>
      <c r="B2970" s="60"/>
      <c r="C2970" s="60"/>
      <c r="D2970" s="60"/>
      <c r="E2970" s="62" t="str">
        <f t="shared" si="5153"/>
        <v/>
      </c>
      <c r="F2970" s="62" t="str">
        <f t="shared" ref="F2970:G2970" si="5940">IF(isblank(F$1),,IF(isblank($A2970),,IFERROR(vlookup($A2970,indirect("'TVC-"&amp;text(month(F$1),"00")&amp;"'!$A:$D"),4,false),1)))</f>
        <v/>
      </c>
      <c r="G2970" s="62" t="str">
        <f t="shared" si="5940"/>
        <v/>
      </c>
      <c r="H2970" s="62">
        <f t="shared" ref="H2970:Q2970" si="5941">IF(isblank(H$1),,IFERROR(vlookup($A2970,indirect("'TVC-"&amp;text(month(H$1),"00")&amp;"'!$A:$D"),4,false),1))</f>
        <v>1</v>
      </c>
      <c r="I2970" s="62">
        <f t="shared" si="5941"/>
        <v>1</v>
      </c>
      <c r="J2970" s="62">
        <f t="shared" si="5941"/>
        <v>1</v>
      </c>
      <c r="K2970" s="62">
        <f t="shared" si="5941"/>
        <v>1</v>
      </c>
      <c r="L2970" s="62">
        <f t="shared" si="5941"/>
        <v>1</v>
      </c>
      <c r="M2970" s="62">
        <f t="shared" si="5941"/>
        <v>1</v>
      </c>
      <c r="N2970" s="62">
        <f t="shared" si="5941"/>
        <v>1</v>
      </c>
      <c r="O2970" s="62">
        <f t="shared" si="5941"/>
        <v>1</v>
      </c>
      <c r="P2970" s="62" t="str">
        <f t="shared" si="5941"/>
        <v/>
      </c>
      <c r="Q2970" s="62" t="str">
        <f t="shared" si="5941"/>
        <v/>
      </c>
      <c r="R2970" s="62">
        <f t="shared" si="7"/>
        <v>0</v>
      </c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</row>
    <row r="2971" hidden="1">
      <c r="A2971" s="60"/>
      <c r="B2971" s="60"/>
      <c r="C2971" s="60"/>
      <c r="D2971" s="60"/>
      <c r="E2971" s="62" t="str">
        <f t="shared" si="5153"/>
        <v/>
      </c>
      <c r="F2971" s="62" t="str">
        <f t="shared" ref="F2971:G2971" si="5942">IF(isblank(F$1),,IF(isblank($A2971),,IFERROR(vlookup($A2971,indirect("'TVC-"&amp;text(month(F$1),"00")&amp;"'!$A:$D"),4,false),1)))</f>
        <v/>
      </c>
      <c r="G2971" s="62" t="str">
        <f t="shared" si="5942"/>
        <v/>
      </c>
      <c r="H2971" s="62">
        <f t="shared" ref="H2971:Q2971" si="5943">IF(isblank(H$1),,IFERROR(vlookup($A2971,indirect("'TVC-"&amp;text(month(H$1),"00")&amp;"'!$A:$D"),4,false),1))</f>
        <v>1</v>
      </c>
      <c r="I2971" s="62">
        <f t="shared" si="5943"/>
        <v>1</v>
      </c>
      <c r="J2971" s="62">
        <f t="shared" si="5943"/>
        <v>1</v>
      </c>
      <c r="K2971" s="62">
        <f t="shared" si="5943"/>
        <v>1</v>
      </c>
      <c r="L2971" s="62">
        <f t="shared" si="5943"/>
        <v>1</v>
      </c>
      <c r="M2971" s="62">
        <f t="shared" si="5943"/>
        <v>1</v>
      </c>
      <c r="N2971" s="62">
        <f t="shared" si="5943"/>
        <v>1</v>
      </c>
      <c r="O2971" s="62">
        <f t="shared" si="5943"/>
        <v>1</v>
      </c>
      <c r="P2971" s="62" t="str">
        <f t="shared" si="5943"/>
        <v/>
      </c>
      <c r="Q2971" s="62" t="str">
        <f t="shared" si="5943"/>
        <v/>
      </c>
      <c r="R2971" s="62">
        <f t="shared" si="7"/>
        <v>0</v>
      </c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</row>
    <row r="2972" hidden="1">
      <c r="A2972" s="60"/>
      <c r="B2972" s="60"/>
      <c r="C2972" s="60"/>
      <c r="D2972" s="60"/>
      <c r="E2972" s="62" t="str">
        <f t="shared" si="5153"/>
        <v/>
      </c>
      <c r="F2972" s="62" t="str">
        <f t="shared" ref="F2972:G2972" si="5944">IF(isblank(F$1),,IF(isblank($A2972),,IFERROR(vlookup($A2972,indirect("'TVC-"&amp;text(month(F$1),"00")&amp;"'!$A:$D"),4,false),1)))</f>
        <v/>
      </c>
      <c r="G2972" s="62" t="str">
        <f t="shared" si="5944"/>
        <v/>
      </c>
      <c r="H2972" s="62">
        <f t="shared" ref="H2972:Q2972" si="5945">IF(isblank(H$1),,IFERROR(vlookup($A2972,indirect("'TVC-"&amp;text(month(H$1),"00")&amp;"'!$A:$D"),4,false),1))</f>
        <v>1</v>
      </c>
      <c r="I2972" s="62">
        <f t="shared" si="5945"/>
        <v>1</v>
      </c>
      <c r="J2972" s="62">
        <f t="shared" si="5945"/>
        <v>1</v>
      </c>
      <c r="K2972" s="62">
        <f t="shared" si="5945"/>
        <v>1</v>
      </c>
      <c r="L2972" s="62">
        <f t="shared" si="5945"/>
        <v>1</v>
      </c>
      <c r="M2972" s="62">
        <f t="shared" si="5945"/>
        <v>1</v>
      </c>
      <c r="N2972" s="62">
        <f t="shared" si="5945"/>
        <v>1</v>
      </c>
      <c r="O2972" s="62">
        <f t="shared" si="5945"/>
        <v>1</v>
      </c>
      <c r="P2972" s="62" t="str">
        <f t="shared" si="5945"/>
        <v/>
      </c>
      <c r="Q2972" s="62" t="str">
        <f t="shared" si="5945"/>
        <v/>
      </c>
      <c r="R2972" s="62">
        <f t="shared" si="7"/>
        <v>0</v>
      </c>
      <c r="S2972" s="62"/>
      <c r="T2972" s="62"/>
      <c r="U2972" s="62"/>
      <c r="V2972" s="62"/>
      <c r="W2972" s="62"/>
      <c r="X2972" s="62"/>
      <c r="Y2972" s="62"/>
      <c r="Z2972" s="62"/>
      <c r="AA2972" s="62"/>
      <c r="AB2972" s="62"/>
      <c r="AC2972" s="62"/>
    </row>
    <row r="2973" hidden="1">
      <c r="A2973" s="60"/>
      <c r="B2973" s="60"/>
      <c r="C2973" s="60"/>
      <c r="D2973" s="60"/>
      <c r="E2973" s="62" t="str">
        <f t="shared" si="5153"/>
        <v/>
      </c>
      <c r="F2973" s="62" t="str">
        <f t="shared" ref="F2973:G2973" si="5946">IF(isblank(F$1),,IF(isblank($A2973),,IFERROR(vlookup($A2973,indirect("'TVC-"&amp;text(month(F$1),"00")&amp;"'!$A:$D"),4,false),1)))</f>
        <v/>
      </c>
      <c r="G2973" s="62" t="str">
        <f t="shared" si="5946"/>
        <v/>
      </c>
      <c r="H2973" s="62">
        <f t="shared" ref="H2973:Q2973" si="5947">IF(isblank(H$1),,IFERROR(vlookup($A2973,indirect("'TVC-"&amp;text(month(H$1),"00")&amp;"'!$A:$D"),4,false),1))</f>
        <v>1</v>
      </c>
      <c r="I2973" s="62">
        <f t="shared" si="5947"/>
        <v>1</v>
      </c>
      <c r="J2973" s="62">
        <f t="shared" si="5947"/>
        <v>1</v>
      </c>
      <c r="K2973" s="62">
        <f t="shared" si="5947"/>
        <v>1</v>
      </c>
      <c r="L2973" s="62">
        <f t="shared" si="5947"/>
        <v>1</v>
      </c>
      <c r="M2973" s="62">
        <f t="shared" si="5947"/>
        <v>1</v>
      </c>
      <c r="N2973" s="62">
        <f t="shared" si="5947"/>
        <v>1</v>
      </c>
      <c r="O2973" s="62">
        <f t="shared" si="5947"/>
        <v>1</v>
      </c>
      <c r="P2973" s="62" t="str">
        <f t="shared" si="5947"/>
        <v/>
      </c>
      <c r="Q2973" s="62" t="str">
        <f t="shared" si="5947"/>
        <v/>
      </c>
      <c r="R2973" s="62">
        <f t="shared" si="7"/>
        <v>0</v>
      </c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</row>
    <row r="2974" hidden="1">
      <c r="A2974" s="60"/>
      <c r="B2974" s="60"/>
      <c r="C2974" s="60"/>
      <c r="D2974" s="60"/>
      <c r="E2974" s="62" t="str">
        <f t="shared" si="5153"/>
        <v/>
      </c>
      <c r="F2974" s="62" t="str">
        <f t="shared" ref="F2974:G2974" si="5948">IF(isblank(F$1),,IF(isblank($A2974),,IFERROR(vlookup($A2974,indirect("'TVC-"&amp;text(month(F$1),"00")&amp;"'!$A:$D"),4,false),1)))</f>
        <v/>
      </c>
      <c r="G2974" s="62" t="str">
        <f t="shared" si="5948"/>
        <v/>
      </c>
      <c r="H2974" s="62">
        <f t="shared" ref="H2974:Q2974" si="5949">IF(isblank(H$1),,IFERROR(vlookup($A2974,indirect("'TVC-"&amp;text(month(H$1),"00")&amp;"'!$A:$D"),4,false),1))</f>
        <v>1</v>
      </c>
      <c r="I2974" s="62">
        <f t="shared" si="5949"/>
        <v>1</v>
      </c>
      <c r="J2974" s="62">
        <f t="shared" si="5949"/>
        <v>1</v>
      </c>
      <c r="K2974" s="62">
        <f t="shared" si="5949"/>
        <v>1</v>
      </c>
      <c r="L2974" s="62">
        <f t="shared" si="5949"/>
        <v>1</v>
      </c>
      <c r="M2974" s="62">
        <f t="shared" si="5949"/>
        <v>1</v>
      </c>
      <c r="N2974" s="62">
        <f t="shared" si="5949"/>
        <v>1</v>
      </c>
      <c r="O2974" s="62">
        <f t="shared" si="5949"/>
        <v>1</v>
      </c>
      <c r="P2974" s="62" t="str">
        <f t="shared" si="5949"/>
        <v/>
      </c>
      <c r="Q2974" s="62" t="str">
        <f t="shared" si="5949"/>
        <v/>
      </c>
      <c r="R2974" s="62">
        <f t="shared" si="7"/>
        <v>0</v>
      </c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</row>
    <row r="2975" hidden="1">
      <c r="A2975" s="60"/>
      <c r="B2975" s="60"/>
      <c r="C2975" s="60"/>
      <c r="D2975" s="60"/>
      <c r="E2975" s="62" t="str">
        <f t="shared" si="5153"/>
        <v/>
      </c>
      <c r="F2975" s="62" t="str">
        <f t="shared" ref="F2975:G2975" si="5950">IF(isblank(F$1),,IF(isblank($A2975),,IFERROR(vlookup($A2975,indirect("'TVC-"&amp;text(month(F$1),"00")&amp;"'!$A:$D"),4,false),1)))</f>
        <v/>
      </c>
      <c r="G2975" s="62" t="str">
        <f t="shared" si="5950"/>
        <v/>
      </c>
      <c r="H2975" s="62">
        <f t="shared" ref="H2975:Q2975" si="5951">IF(isblank(H$1),,IFERROR(vlookup($A2975,indirect("'TVC-"&amp;text(month(H$1),"00")&amp;"'!$A:$D"),4,false),1))</f>
        <v>1</v>
      </c>
      <c r="I2975" s="62">
        <f t="shared" si="5951"/>
        <v>1</v>
      </c>
      <c r="J2975" s="62">
        <f t="shared" si="5951"/>
        <v>1</v>
      </c>
      <c r="K2975" s="62">
        <f t="shared" si="5951"/>
        <v>1</v>
      </c>
      <c r="L2975" s="62">
        <f t="shared" si="5951"/>
        <v>1</v>
      </c>
      <c r="M2975" s="62">
        <f t="shared" si="5951"/>
        <v>1</v>
      </c>
      <c r="N2975" s="62">
        <f t="shared" si="5951"/>
        <v>1</v>
      </c>
      <c r="O2975" s="62">
        <f t="shared" si="5951"/>
        <v>1</v>
      </c>
      <c r="P2975" s="62" t="str">
        <f t="shared" si="5951"/>
        <v/>
      </c>
      <c r="Q2975" s="62" t="str">
        <f t="shared" si="5951"/>
        <v/>
      </c>
      <c r="R2975" s="62">
        <f t="shared" si="7"/>
        <v>0</v>
      </c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</row>
    <row r="2976" hidden="1">
      <c r="A2976" s="60"/>
      <c r="B2976" s="60"/>
      <c r="C2976" s="60"/>
      <c r="D2976" s="60"/>
      <c r="E2976" s="62" t="str">
        <f t="shared" si="5153"/>
        <v/>
      </c>
      <c r="F2976" s="62" t="str">
        <f t="shared" ref="F2976:G2976" si="5952">IF(isblank(F$1),,IF(isblank($A2976),,IFERROR(vlookup($A2976,indirect("'TVC-"&amp;text(month(F$1),"00")&amp;"'!$A:$D"),4,false),1)))</f>
        <v/>
      </c>
      <c r="G2976" s="62" t="str">
        <f t="shared" si="5952"/>
        <v/>
      </c>
      <c r="H2976" s="62">
        <f t="shared" ref="H2976:Q2976" si="5953">IF(isblank(H$1),,IFERROR(vlookup($A2976,indirect("'TVC-"&amp;text(month(H$1),"00")&amp;"'!$A:$D"),4,false),1))</f>
        <v>1</v>
      </c>
      <c r="I2976" s="62">
        <f t="shared" si="5953"/>
        <v>1</v>
      </c>
      <c r="J2976" s="62">
        <f t="shared" si="5953"/>
        <v>1</v>
      </c>
      <c r="K2976" s="62">
        <f t="shared" si="5953"/>
        <v>1</v>
      </c>
      <c r="L2976" s="62">
        <f t="shared" si="5953"/>
        <v>1</v>
      </c>
      <c r="M2976" s="62">
        <f t="shared" si="5953"/>
        <v>1</v>
      </c>
      <c r="N2976" s="62">
        <f t="shared" si="5953"/>
        <v>1</v>
      </c>
      <c r="O2976" s="62">
        <f t="shared" si="5953"/>
        <v>1</v>
      </c>
      <c r="P2976" s="62" t="str">
        <f t="shared" si="5953"/>
        <v/>
      </c>
      <c r="Q2976" s="62" t="str">
        <f t="shared" si="5953"/>
        <v/>
      </c>
      <c r="R2976" s="62">
        <f t="shared" si="7"/>
        <v>0</v>
      </c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</row>
    <row r="2977" hidden="1">
      <c r="A2977" s="60"/>
      <c r="B2977" s="60"/>
      <c r="C2977" s="60"/>
      <c r="D2977" s="60"/>
      <c r="E2977" s="62" t="str">
        <f t="shared" si="5153"/>
        <v/>
      </c>
      <c r="F2977" s="62" t="str">
        <f t="shared" ref="F2977:G2977" si="5954">IF(isblank(F$1),,IF(isblank($A2977),,IFERROR(vlookup($A2977,indirect("'TVC-"&amp;text(month(F$1),"00")&amp;"'!$A:$D"),4,false),1)))</f>
        <v/>
      </c>
      <c r="G2977" s="62" t="str">
        <f t="shared" si="5954"/>
        <v/>
      </c>
      <c r="H2977" s="62">
        <f t="shared" ref="H2977:Q2977" si="5955">IF(isblank(H$1),,IFERROR(vlookup($A2977,indirect("'TVC-"&amp;text(month(H$1),"00")&amp;"'!$A:$D"),4,false),1))</f>
        <v>1</v>
      </c>
      <c r="I2977" s="62">
        <f t="shared" si="5955"/>
        <v>1</v>
      </c>
      <c r="J2977" s="62">
        <f t="shared" si="5955"/>
        <v>1</v>
      </c>
      <c r="K2977" s="62">
        <f t="shared" si="5955"/>
        <v>1</v>
      </c>
      <c r="L2977" s="62">
        <f t="shared" si="5955"/>
        <v>1</v>
      </c>
      <c r="M2977" s="62">
        <f t="shared" si="5955"/>
        <v>1</v>
      </c>
      <c r="N2977" s="62">
        <f t="shared" si="5955"/>
        <v>1</v>
      </c>
      <c r="O2977" s="62">
        <f t="shared" si="5955"/>
        <v>1</v>
      </c>
      <c r="P2977" s="62" t="str">
        <f t="shared" si="5955"/>
        <v/>
      </c>
      <c r="Q2977" s="62" t="str">
        <f t="shared" si="5955"/>
        <v/>
      </c>
      <c r="R2977" s="62">
        <f t="shared" si="7"/>
        <v>0</v>
      </c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</row>
    <row r="2978" hidden="1">
      <c r="A2978" s="60"/>
      <c r="B2978" s="60"/>
      <c r="C2978" s="60"/>
      <c r="D2978" s="60"/>
      <c r="E2978" s="62" t="str">
        <f t="shared" si="5153"/>
        <v/>
      </c>
      <c r="F2978" s="62" t="str">
        <f t="shared" ref="F2978:G2978" si="5956">IF(isblank(F$1),,IF(isblank($A2978),,IFERROR(vlookup($A2978,indirect("'TVC-"&amp;text(month(F$1),"00")&amp;"'!$A:$D"),4,false),1)))</f>
        <v/>
      </c>
      <c r="G2978" s="62" t="str">
        <f t="shared" si="5956"/>
        <v/>
      </c>
      <c r="H2978" s="62">
        <f t="shared" ref="H2978:Q2978" si="5957">IF(isblank(H$1),,IFERROR(vlookup($A2978,indirect("'TVC-"&amp;text(month(H$1),"00")&amp;"'!$A:$D"),4,false),1))</f>
        <v>1</v>
      </c>
      <c r="I2978" s="62">
        <f t="shared" si="5957"/>
        <v>1</v>
      </c>
      <c r="J2978" s="62">
        <f t="shared" si="5957"/>
        <v>1</v>
      </c>
      <c r="K2978" s="62">
        <f t="shared" si="5957"/>
        <v>1</v>
      </c>
      <c r="L2978" s="62">
        <f t="shared" si="5957"/>
        <v>1</v>
      </c>
      <c r="M2978" s="62">
        <f t="shared" si="5957"/>
        <v>1</v>
      </c>
      <c r="N2978" s="62">
        <f t="shared" si="5957"/>
        <v>1</v>
      </c>
      <c r="O2978" s="62">
        <f t="shared" si="5957"/>
        <v>1</v>
      </c>
      <c r="P2978" s="62" t="str">
        <f t="shared" si="5957"/>
        <v/>
      </c>
      <c r="Q2978" s="62" t="str">
        <f t="shared" si="5957"/>
        <v/>
      </c>
      <c r="R2978" s="62">
        <f t="shared" si="7"/>
        <v>0</v>
      </c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</row>
    <row r="2979" hidden="1">
      <c r="A2979" s="60"/>
      <c r="B2979" s="60"/>
      <c r="C2979" s="60"/>
      <c r="D2979" s="60"/>
      <c r="E2979" s="62" t="str">
        <f t="shared" si="5153"/>
        <v/>
      </c>
      <c r="F2979" s="62" t="str">
        <f t="shared" ref="F2979:G2979" si="5958">IF(isblank(F$1),,IF(isblank($A2979),,IFERROR(vlookup($A2979,indirect("'TVC-"&amp;text(month(F$1),"00")&amp;"'!$A:$D"),4,false),1)))</f>
        <v/>
      </c>
      <c r="G2979" s="62" t="str">
        <f t="shared" si="5958"/>
        <v/>
      </c>
      <c r="H2979" s="62">
        <f t="shared" ref="H2979:Q2979" si="5959">IF(isblank(H$1),,IFERROR(vlookup($A2979,indirect("'TVC-"&amp;text(month(H$1),"00")&amp;"'!$A:$D"),4,false),1))</f>
        <v>1</v>
      </c>
      <c r="I2979" s="62">
        <f t="shared" si="5959"/>
        <v>1</v>
      </c>
      <c r="J2979" s="62">
        <f t="shared" si="5959"/>
        <v>1</v>
      </c>
      <c r="K2979" s="62">
        <f t="shared" si="5959"/>
        <v>1</v>
      </c>
      <c r="L2979" s="62">
        <f t="shared" si="5959"/>
        <v>1</v>
      </c>
      <c r="M2979" s="62">
        <f t="shared" si="5959"/>
        <v>1</v>
      </c>
      <c r="N2979" s="62">
        <f t="shared" si="5959"/>
        <v>1</v>
      </c>
      <c r="O2979" s="62">
        <f t="shared" si="5959"/>
        <v>1</v>
      </c>
      <c r="P2979" s="62" t="str">
        <f t="shared" si="5959"/>
        <v/>
      </c>
      <c r="Q2979" s="62" t="str">
        <f t="shared" si="5959"/>
        <v/>
      </c>
      <c r="R2979" s="62">
        <f t="shared" si="7"/>
        <v>0</v>
      </c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</row>
    <row r="2980" hidden="1">
      <c r="A2980" s="60"/>
      <c r="B2980" s="60"/>
      <c r="C2980" s="60"/>
      <c r="D2980" s="60"/>
      <c r="E2980" s="62" t="str">
        <f t="shared" si="5153"/>
        <v/>
      </c>
      <c r="F2980" s="62" t="str">
        <f t="shared" ref="F2980:G2980" si="5960">IF(isblank(F$1),,IF(isblank($A2980),,IFERROR(vlookup($A2980,indirect("'TVC-"&amp;text(month(F$1),"00")&amp;"'!$A:$D"),4,false),1)))</f>
        <v/>
      </c>
      <c r="G2980" s="62" t="str">
        <f t="shared" si="5960"/>
        <v/>
      </c>
      <c r="H2980" s="62">
        <f t="shared" ref="H2980:Q2980" si="5961">IF(isblank(H$1),,IFERROR(vlookup($A2980,indirect("'TVC-"&amp;text(month(H$1),"00")&amp;"'!$A:$D"),4,false),1))</f>
        <v>1</v>
      </c>
      <c r="I2980" s="62">
        <f t="shared" si="5961"/>
        <v>1</v>
      </c>
      <c r="J2980" s="62">
        <f t="shared" si="5961"/>
        <v>1</v>
      </c>
      <c r="K2980" s="62">
        <f t="shared" si="5961"/>
        <v>1</v>
      </c>
      <c r="L2980" s="62">
        <f t="shared" si="5961"/>
        <v>1</v>
      </c>
      <c r="M2980" s="62">
        <f t="shared" si="5961"/>
        <v>1</v>
      </c>
      <c r="N2980" s="62">
        <f t="shared" si="5961"/>
        <v>1</v>
      </c>
      <c r="O2980" s="62">
        <f t="shared" si="5961"/>
        <v>1</v>
      </c>
      <c r="P2980" s="62" t="str">
        <f t="shared" si="5961"/>
        <v/>
      </c>
      <c r="Q2980" s="62" t="str">
        <f t="shared" si="5961"/>
        <v/>
      </c>
      <c r="R2980" s="62">
        <f t="shared" si="7"/>
        <v>0</v>
      </c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</row>
    <row r="2981" hidden="1">
      <c r="A2981" s="60"/>
      <c r="B2981" s="60"/>
      <c r="C2981" s="60"/>
      <c r="D2981" s="60"/>
      <c r="E2981" s="62" t="str">
        <f t="shared" si="5153"/>
        <v/>
      </c>
      <c r="F2981" s="62" t="str">
        <f t="shared" ref="F2981:G2981" si="5962">IF(isblank(F$1),,IF(isblank($A2981),,IFERROR(vlookup($A2981,indirect("'TVC-"&amp;text(month(F$1),"00")&amp;"'!$A:$D"),4,false),1)))</f>
        <v/>
      </c>
      <c r="G2981" s="62" t="str">
        <f t="shared" si="5962"/>
        <v/>
      </c>
      <c r="H2981" s="62">
        <f t="shared" ref="H2981:Q2981" si="5963">IF(isblank(H$1),,IFERROR(vlookup($A2981,indirect("'TVC-"&amp;text(month(H$1),"00")&amp;"'!$A:$D"),4,false),1))</f>
        <v>1</v>
      </c>
      <c r="I2981" s="62">
        <f t="shared" si="5963"/>
        <v>1</v>
      </c>
      <c r="J2981" s="62">
        <f t="shared" si="5963"/>
        <v>1</v>
      </c>
      <c r="K2981" s="62">
        <f t="shared" si="5963"/>
        <v>1</v>
      </c>
      <c r="L2981" s="62">
        <f t="shared" si="5963"/>
        <v>1</v>
      </c>
      <c r="M2981" s="62">
        <f t="shared" si="5963"/>
        <v>1</v>
      </c>
      <c r="N2981" s="62">
        <f t="shared" si="5963"/>
        <v>1</v>
      </c>
      <c r="O2981" s="62">
        <f t="shared" si="5963"/>
        <v>1</v>
      </c>
      <c r="P2981" s="62" t="str">
        <f t="shared" si="5963"/>
        <v/>
      </c>
      <c r="Q2981" s="62" t="str">
        <f t="shared" si="5963"/>
        <v/>
      </c>
      <c r="R2981" s="62">
        <f t="shared" si="7"/>
        <v>0</v>
      </c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</row>
    <row r="2982" hidden="1">
      <c r="A2982" s="60"/>
      <c r="B2982" s="60"/>
      <c r="C2982" s="60"/>
      <c r="D2982" s="60"/>
      <c r="E2982" s="62" t="str">
        <f t="shared" si="5153"/>
        <v/>
      </c>
      <c r="F2982" s="62" t="str">
        <f t="shared" ref="F2982:G2982" si="5964">IF(isblank(F$1),,IF(isblank($A2982),,IFERROR(vlookup($A2982,indirect("'TVC-"&amp;text(month(F$1),"00")&amp;"'!$A:$D"),4,false),1)))</f>
        <v/>
      </c>
      <c r="G2982" s="62" t="str">
        <f t="shared" si="5964"/>
        <v/>
      </c>
      <c r="H2982" s="62">
        <f t="shared" ref="H2982:Q2982" si="5965">IF(isblank(H$1),,IFERROR(vlookup($A2982,indirect("'TVC-"&amp;text(month(H$1),"00")&amp;"'!$A:$D"),4,false),1))</f>
        <v>1</v>
      </c>
      <c r="I2982" s="62">
        <f t="shared" si="5965"/>
        <v>1</v>
      </c>
      <c r="J2982" s="62">
        <f t="shared" si="5965"/>
        <v>1</v>
      </c>
      <c r="K2982" s="62">
        <f t="shared" si="5965"/>
        <v>1</v>
      </c>
      <c r="L2982" s="62">
        <f t="shared" si="5965"/>
        <v>1</v>
      </c>
      <c r="M2982" s="62">
        <f t="shared" si="5965"/>
        <v>1</v>
      </c>
      <c r="N2982" s="62">
        <f t="shared" si="5965"/>
        <v>1</v>
      </c>
      <c r="O2982" s="62">
        <f t="shared" si="5965"/>
        <v>1</v>
      </c>
      <c r="P2982" s="62" t="str">
        <f t="shared" si="5965"/>
        <v/>
      </c>
      <c r="Q2982" s="62" t="str">
        <f t="shared" si="5965"/>
        <v/>
      </c>
      <c r="R2982" s="62">
        <f t="shared" si="7"/>
        <v>0</v>
      </c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</row>
    <row r="2983" hidden="1">
      <c r="A2983" s="60"/>
      <c r="B2983" s="60"/>
      <c r="C2983" s="60"/>
      <c r="D2983" s="60"/>
      <c r="E2983" s="62" t="str">
        <f t="shared" si="5153"/>
        <v/>
      </c>
      <c r="F2983" s="62" t="str">
        <f t="shared" ref="F2983:G2983" si="5966">IF(isblank(F$1),,IF(isblank($A2983),,IFERROR(vlookup($A2983,indirect("'TVC-"&amp;text(month(F$1),"00")&amp;"'!$A:$D"),4,false),1)))</f>
        <v/>
      </c>
      <c r="G2983" s="62" t="str">
        <f t="shared" si="5966"/>
        <v/>
      </c>
      <c r="H2983" s="62">
        <f t="shared" ref="H2983:Q2983" si="5967">IF(isblank(H$1),,IFERROR(vlookup($A2983,indirect("'TVC-"&amp;text(month(H$1),"00")&amp;"'!$A:$D"),4,false),1))</f>
        <v>1</v>
      </c>
      <c r="I2983" s="62">
        <f t="shared" si="5967"/>
        <v>1</v>
      </c>
      <c r="J2983" s="62">
        <f t="shared" si="5967"/>
        <v>1</v>
      </c>
      <c r="K2983" s="62">
        <f t="shared" si="5967"/>
        <v>1</v>
      </c>
      <c r="L2983" s="62">
        <f t="shared" si="5967"/>
        <v>1</v>
      </c>
      <c r="M2983" s="62">
        <f t="shared" si="5967"/>
        <v>1</v>
      </c>
      <c r="N2983" s="62">
        <f t="shared" si="5967"/>
        <v>1</v>
      </c>
      <c r="O2983" s="62">
        <f t="shared" si="5967"/>
        <v>1</v>
      </c>
      <c r="P2983" s="62" t="str">
        <f t="shared" si="5967"/>
        <v/>
      </c>
      <c r="Q2983" s="62" t="str">
        <f t="shared" si="5967"/>
        <v/>
      </c>
      <c r="R2983" s="62">
        <f t="shared" si="7"/>
        <v>0</v>
      </c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</row>
    <row r="2984" hidden="1">
      <c r="A2984" s="60"/>
      <c r="B2984" s="60"/>
      <c r="C2984" s="60"/>
      <c r="D2984" s="60"/>
      <c r="E2984" s="62" t="str">
        <f t="shared" si="5153"/>
        <v/>
      </c>
      <c r="F2984" s="62" t="str">
        <f t="shared" ref="F2984:G2984" si="5968">IF(isblank(F$1),,IF(isblank($A2984),,IFERROR(vlookup($A2984,indirect("'TVC-"&amp;text(month(F$1),"00")&amp;"'!$A:$D"),4,false),1)))</f>
        <v/>
      </c>
      <c r="G2984" s="62" t="str">
        <f t="shared" si="5968"/>
        <v/>
      </c>
      <c r="H2984" s="62">
        <f t="shared" ref="H2984:Q2984" si="5969">IF(isblank(H$1),,IFERROR(vlookup($A2984,indirect("'TVC-"&amp;text(month(H$1),"00")&amp;"'!$A:$D"),4,false),1))</f>
        <v>1</v>
      </c>
      <c r="I2984" s="62">
        <f t="shared" si="5969"/>
        <v>1</v>
      </c>
      <c r="J2984" s="62">
        <f t="shared" si="5969"/>
        <v>1</v>
      </c>
      <c r="K2984" s="62">
        <f t="shared" si="5969"/>
        <v>1</v>
      </c>
      <c r="L2984" s="62">
        <f t="shared" si="5969"/>
        <v>1</v>
      </c>
      <c r="M2984" s="62">
        <f t="shared" si="5969"/>
        <v>1</v>
      </c>
      <c r="N2984" s="62">
        <f t="shared" si="5969"/>
        <v>1</v>
      </c>
      <c r="O2984" s="62">
        <f t="shared" si="5969"/>
        <v>1</v>
      </c>
      <c r="P2984" s="62" t="str">
        <f t="shared" si="5969"/>
        <v/>
      </c>
      <c r="Q2984" s="62" t="str">
        <f t="shared" si="5969"/>
        <v/>
      </c>
      <c r="R2984" s="62">
        <f t="shared" si="7"/>
        <v>0</v>
      </c>
      <c r="S2984" s="62"/>
      <c r="T2984" s="62"/>
      <c r="U2984" s="62"/>
      <c r="V2984" s="62"/>
      <c r="W2984" s="62"/>
      <c r="X2984" s="62"/>
      <c r="Y2984" s="62"/>
      <c r="Z2984" s="62"/>
      <c r="AA2984" s="62"/>
      <c r="AB2984" s="62"/>
      <c r="AC2984" s="62"/>
    </row>
    <row r="2985" hidden="1">
      <c r="A2985" s="60"/>
      <c r="B2985" s="60"/>
      <c r="C2985" s="60"/>
      <c r="D2985" s="60"/>
      <c r="E2985" s="62" t="str">
        <f t="shared" si="5153"/>
        <v/>
      </c>
      <c r="F2985" s="62" t="str">
        <f t="shared" ref="F2985:G2985" si="5970">IF(isblank(F$1),,IF(isblank($A2985),,IFERROR(vlookup($A2985,indirect("'TVC-"&amp;text(month(F$1),"00")&amp;"'!$A:$D"),4,false),1)))</f>
        <v/>
      </c>
      <c r="G2985" s="62" t="str">
        <f t="shared" si="5970"/>
        <v/>
      </c>
      <c r="H2985" s="62">
        <f t="shared" ref="H2985:Q2985" si="5971">IF(isblank(H$1),,IFERROR(vlookup($A2985,indirect("'TVC-"&amp;text(month(H$1),"00")&amp;"'!$A:$D"),4,false),1))</f>
        <v>1</v>
      </c>
      <c r="I2985" s="62">
        <f t="shared" si="5971"/>
        <v>1</v>
      </c>
      <c r="J2985" s="62">
        <f t="shared" si="5971"/>
        <v>1</v>
      </c>
      <c r="K2985" s="62">
        <f t="shared" si="5971"/>
        <v>1</v>
      </c>
      <c r="L2985" s="62">
        <f t="shared" si="5971"/>
        <v>1</v>
      </c>
      <c r="M2985" s="62">
        <f t="shared" si="5971"/>
        <v>1</v>
      </c>
      <c r="N2985" s="62">
        <f t="shared" si="5971"/>
        <v>1</v>
      </c>
      <c r="O2985" s="62">
        <f t="shared" si="5971"/>
        <v>1</v>
      </c>
      <c r="P2985" s="62" t="str">
        <f t="shared" si="5971"/>
        <v/>
      </c>
      <c r="Q2985" s="62" t="str">
        <f t="shared" si="5971"/>
        <v/>
      </c>
      <c r="R2985" s="62">
        <f t="shared" si="7"/>
        <v>0</v>
      </c>
      <c r="S2985" s="62"/>
      <c r="T2985" s="62"/>
      <c r="U2985" s="62"/>
      <c r="V2985" s="62"/>
      <c r="W2985" s="62"/>
      <c r="X2985" s="62"/>
      <c r="Y2985" s="62"/>
      <c r="Z2985" s="62"/>
      <c r="AA2985" s="62"/>
      <c r="AB2985" s="62"/>
      <c r="AC2985" s="62"/>
    </row>
    <row r="2986" hidden="1">
      <c r="A2986" s="60"/>
      <c r="B2986" s="60"/>
      <c r="C2986" s="60"/>
      <c r="D2986" s="60"/>
      <c r="E2986" s="62" t="str">
        <f t="shared" si="5153"/>
        <v/>
      </c>
      <c r="F2986" s="62" t="str">
        <f t="shared" ref="F2986:G2986" si="5972">IF(isblank(F$1),,IF(isblank($A2986),,IFERROR(vlookup($A2986,indirect("'TVC-"&amp;text(month(F$1),"00")&amp;"'!$A:$D"),4,false),1)))</f>
        <v/>
      </c>
      <c r="G2986" s="62" t="str">
        <f t="shared" si="5972"/>
        <v/>
      </c>
      <c r="H2986" s="62">
        <f t="shared" ref="H2986:Q2986" si="5973">IF(isblank(H$1),,IFERROR(vlookup($A2986,indirect("'TVC-"&amp;text(month(H$1),"00")&amp;"'!$A:$D"),4,false),1))</f>
        <v>1</v>
      </c>
      <c r="I2986" s="62">
        <f t="shared" si="5973"/>
        <v>1</v>
      </c>
      <c r="J2986" s="62">
        <f t="shared" si="5973"/>
        <v>1</v>
      </c>
      <c r="K2986" s="62">
        <f t="shared" si="5973"/>
        <v>1</v>
      </c>
      <c r="L2986" s="62">
        <f t="shared" si="5973"/>
        <v>1</v>
      </c>
      <c r="M2986" s="62">
        <f t="shared" si="5973"/>
        <v>1</v>
      </c>
      <c r="N2986" s="62">
        <f t="shared" si="5973"/>
        <v>1</v>
      </c>
      <c r="O2986" s="62">
        <f t="shared" si="5973"/>
        <v>1</v>
      </c>
      <c r="P2986" s="62" t="str">
        <f t="shared" si="5973"/>
        <v/>
      </c>
      <c r="Q2986" s="62" t="str">
        <f t="shared" si="5973"/>
        <v/>
      </c>
      <c r="R2986" s="62">
        <f t="shared" si="7"/>
        <v>0</v>
      </c>
      <c r="S2986" s="62"/>
      <c r="T2986" s="62"/>
      <c r="U2986" s="62"/>
      <c r="V2986" s="62"/>
      <c r="W2986" s="62"/>
      <c r="X2986" s="62"/>
      <c r="Y2986" s="62"/>
      <c r="Z2986" s="62"/>
      <c r="AA2986" s="62"/>
      <c r="AB2986" s="62"/>
      <c r="AC2986" s="62"/>
    </row>
    <row r="2987" hidden="1">
      <c r="A2987" s="60"/>
      <c r="B2987" s="60"/>
      <c r="C2987" s="60"/>
      <c r="D2987" s="60"/>
      <c r="E2987" s="62" t="str">
        <f t="shared" si="5153"/>
        <v/>
      </c>
      <c r="F2987" s="62" t="str">
        <f t="shared" ref="F2987:G2987" si="5974">IF(isblank(F$1),,IF(isblank($A2987),,IFERROR(vlookup($A2987,indirect("'TVC-"&amp;text(month(F$1),"00")&amp;"'!$A:$D"),4,false),1)))</f>
        <v/>
      </c>
      <c r="G2987" s="62" t="str">
        <f t="shared" si="5974"/>
        <v/>
      </c>
      <c r="H2987" s="62">
        <f t="shared" ref="H2987:Q2987" si="5975">IF(isblank(H$1),,IFERROR(vlookup($A2987,indirect("'TVC-"&amp;text(month(H$1),"00")&amp;"'!$A:$D"),4,false),1))</f>
        <v>1</v>
      </c>
      <c r="I2987" s="62">
        <f t="shared" si="5975"/>
        <v>1</v>
      </c>
      <c r="J2987" s="62">
        <f t="shared" si="5975"/>
        <v>1</v>
      </c>
      <c r="K2987" s="62">
        <f t="shared" si="5975"/>
        <v>1</v>
      </c>
      <c r="L2987" s="62">
        <f t="shared" si="5975"/>
        <v>1</v>
      </c>
      <c r="M2987" s="62">
        <f t="shared" si="5975"/>
        <v>1</v>
      </c>
      <c r="N2987" s="62">
        <f t="shared" si="5975"/>
        <v>1</v>
      </c>
      <c r="O2987" s="62">
        <f t="shared" si="5975"/>
        <v>1</v>
      </c>
      <c r="P2987" s="62" t="str">
        <f t="shared" si="5975"/>
        <v/>
      </c>
      <c r="Q2987" s="62" t="str">
        <f t="shared" si="5975"/>
        <v/>
      </c>
      <c r="R2987" s="62">
        <f t="shared" si="7"/>
        <v>0</v>
      </c>
      <c r="S2987" s="62"/>
      <c r="T2987" s="62"/>
      <c r="U2987" s="62"/>
      <c r="V2987" s="62"/>
      <c r="W2987" s="62"/>
      <c r="X2987" s="62"/>
      <c r="Y2987" s="62"/>
      <c r="Z2987" s="62"/>
      <c r="AA2987" s="62"/>
      <c r="AB2987" s="62"/>
      <c r="AC2987" s="62"/>
    </row>
    <row r="2988" hidden="1">
      <c r="A2988" s="60"/>
      <c r="B2988" s="60"/>
      <c r="C2988" s="60"/>
      <c r="D2988" s="60"/>
      <c r="E2988" s="62" t="str">
        <f t="shared" si="5153"/>
        <v/>
      </c>
      <c r="F2988" s="62" t="str">
        <f t="shared" ref="F2988:G2988" si="5976">IF(isblank(F$1),,IF(isblank($A2988),,IFERROR(vlookup($A2988,indirect("'TVC-"&amp;text(month(F$1),"00")&amp;"'!$A:$D"),4,false),1)))</f>
        <v/>
      </c>
      <c r="G2988" s="62" t="str">
        <f t="shared" si="5976"/>
        <v/>
      </c>
      <c r="H2988" s="62">
        <f t="shared" ref="H2988:Q2988" si="5977">IF(isblank(H$1),,IFERROR(vlookup($A2988,indirect("'TVC-"&amp;text(month(H$1),"00")&amp;"'!$A:$D"),4,false),1))</f>
        <v>1</v>
      </c>
      <c r="I2988" s="62">
        <f t="shared" si="5977"/>
        <v>1</v>
      </c>
      <c r="J2988" s="62">
        <f t="shared" si="5977"/>
        <v>1</v>
      </c>
      <c r="K2988" s="62">
        <f t="shared" si="5977"/>
        <v>1</v>
      </c>
      <c r="L2988" s="62">
        <f t="shared" si="5977"/>
        <v>1</v>
      </c>
      <c r="M2988" s="62">
        <f t="shared" si="5977"/>
        <v>1</v>
      </c>
      <c r="N2988" s="62">
        <f t="shared" si="5977"/>
        <v>1</v>
      </c>
      <c r="O2988" s="62">
        <f t="shared" si="5977"/>
        <v>1</v>
      </c>
      <c r="P2988" s="62" t="str">
        <f t="shared" si="5977"/>
        <v/>
      </c>
      <c r="Q2988" s="62" t="str">
        <f t="shared" si="5977"/>
        <v/>
      </c>
      <c r="R2988" s="62">
        <f t="shared" si="7"/>
        <v>0</v>
      </c>
      <c r="S2988" s="62"/>
      <c r="T2988" s="62"/>
      <c r="U2988" s="62"/>
      <c r="V2988" s="62"/>
      <c r="W2988" s="62"/>
      <c r="X2988" s="62"/>
      <c r="Y2988" s="62"/>
      <c r="Z2988" s="62"/>
      <c r="AA2988" s="62"/>
      <c r="AB2988" s="62"/>
      <c r="AC2988" s="62"/>
    </row>
    <row r="2989" hidden="1">
      <c r="A2989" s="60"/>
      <c r="B2989" s="60"/>
      <c r="C2989" s="60"/>
      <c r="D2989" s="60"/>
      <c r="E2989" s="62" t="str">
        <f t="shared" si="5153"/>
        <v/>
      </c>
      <c r="F2989" s="62" t="str">
        <f t="shared" ref="F2989:G2989" si="5978">IF(isblank(F$1),,IF(isblank($A2989),,IFERROR(vlookup($A2989,indirect("'TVC-"&amp;text(month(F$1),"00")&amp;"'!$A:$D"),4,false),1)))</f>
        <v/>
      </c>
      <c r="G2989" s="62" t="str">
        <f t="shared" si="5978"/>
        <v/>
      </c>
      <c r="H2989" s="62">
        <f t="shared" ref="H2989:Q2989" si="5979">IF(isblank(H$1),,IFERROR(vlookup($A2989,indirect("'TVC-"&amp;text(month(H$1),"00")&amp;"'!$A:$D"),4,false),1))</f>
        <v>1</v>
      </c>
      <c r="I2989" s="62">
        <f t="shared" si="5979"/>
        <v>1</v>
      </c>
      <c r="J2989" s="62">
        <f t="shared" si="5979"/>
        <v>1</v>
      </c>
      <c r="K2989" s="62">
        <f t="shared" si="5979"/>
        <v>1</v>
      </c>
      <c r="L2989" s="62">
        <f t="shared" si="5979"/>
        <v>1</v>
      </c>
      <c r="M2989" s="62">
        <f t="shared" si="5979"/>
        <v>1</v>
      </c>
      <c r="N2989" s="62">
        <f t="shared" si="5979"/>
        <v>1</v>
      </c>
      <c r="O2989" s="62">
        <f t="shared" si="5979"/>
        <v>1</v>
      </c>
      <c r="P2989" s="62" t="str">
        <f t="shared" si="5979"/>
        <v/>
      </c>
      <c r="Q2989" s="62" t="str">
        <f t="shared" si="5979"/>
        <v/>
      </c>
      <c r="R2989" s="62">
        <f t="shared" si="7"/>
        <v>0</v>
      </c>
      <c r="S2989" s="62"/>
      <c r="T2989" s="62"/>
      <c r="U2989" s="62"/>
      <c r="V2989" s="62"/>
      <c r="W2989" s="62"/>
      <c r="X2989" s="62"/>
      <c r="Y2989" s="62"/>
      <c r="Z2989" s="62"/>
      <c r="AA2989" s="62"/>
      <c r="AB2989" s="62"/>
      <c r="AC2989" s="62"/>
    </row>
    <row r="2990" hidden="1">
      <c r="A2990" s="60"/>
      <c r="B2990" s="60"/>
      <c r="C2990" s="60"/>
      <c r="D2990" s="60"/>
      <c r="E2990" s="62" t="str">
        <f t="shared" si="5153"/>
        <v/>
      </c>
      <c r="F2990" s="62" t="str">
        <f t="shared" ref="F2990:G2990" si="5980">IF(isblank(F$1),,IF(isblank($A2990),,IFERROR(vlookup($A2990,indirect("'TVC-"&amp;text(month(F$1),"00")&amp;"'!$A:$D"),4,false),1)))</f>
        <v/>
      </c>
      <c r="G2990" s="62" t="str">
        <f t="shared" si="5980"/>
        <v/>
      </c>
      <c r="H2990" s="62">
        <f t="shared" ref="H2990:Q2990" si="5981">IF(isblank(H$1),,IFERROR(vlookup($A2990,indirect("'TVC-"&amp;text(month(H$1),"00")&amp;"'!$A:$D"),4,false),1))</f>
        <v>1</v>
      </c>
      <c r="I2990" s="62">
        <f t="shared" si="5981"/>
        <v>1</v>
      </c>
      <c r="J2990" s="62">
        <f t="shared" si="5981"/>
        <v>1</v>
      </c>
      <c r="K2990" s="62">
        <f t="shared" si="5981"/>
        <v>1</v>
      </c>
      <c r="L2990" s="62">
        <f t="shared" si="5981"/>
        <v>1</v>
      </c>
      <c r="M2990" s="62">
        <f t="shared" si="5981"/>
        <v>1</v>
      </c>
      <c r="N2990" s="62">
        <f t="shared" si="5981"/>
        <v>1</v>
      </c>
      <c r="O2990" s="62">
        <f t="shared" si="5981"/>
        <v>1</v>
      </c>
      <c r="P2990" s="62" t="str">
        <f t="shared" si="5981"/>
        <v/>
      </c>
      <c r="Q2990" s="62" t="str">
        <f t="shared" si="5981"/>
        <v/>
      </c>
      <c r="R2990" s="62">
        <f t="shared" si="7"/>
        <v>0</v>
      </c>
      <c r="S2990" s="62"/>
      <c r="T2990" s="62"/>
      <c r="U2990" s="62"/>
      <c r="V2990" s="62"/>
      <c r="W2990" s="62"/>
      <c r="X2990" s="62"/>
      <c r="Y2990" s="62"/>
      <c r="Z2990" s="62"/>
      <c r="AA2990" s="62"/>
      <c r="AB2990" s="62"/>
      <c r="AC2990" s="62"/>
    </row>
    <row r="2991" hidden="1">
      <c r="A2991" s="60"/>
      <c r="B2991" s="60"/>
      <c r="C2991" s="60"/>
      <c r="D2991" s="60"/>
      <c r="E2991" s="62" t="str">
        <f t="shared" si="5153"/>
        <v/>
      </c>
      <c r="F2991" s="62" t="str">
        <f t="shared" ref="F2991:G2991" si="5982">IF(isblank(F$1),,IF(isblank($A2991),,IFERROR(vlookup($A2991,indirect("'TVC-"&amp;text(month(F$1),"00")&amp;"'!$A:$D"),4,false),1)))</f>
        <v/>
      </c>
      <c r="G2991" s="62" t="str">
        <f t="shared" si="5982"/>
        <v/>
      </c>
      <c r="H2991" s="62">
        <f t="shared" ref="H2991:Q2991" si="5983">IF(isblank(H$1),,IFERROR(vlookup($A2991,indirect("'TVC-"&amp;text(month(H$1),"00")&amp;"'!$A:$D"),4,false),1))</f>
        <v>1</v>
      </c>
      <c r="I2991" s="62">
        <f t="shared" si="5983"/>
        <v>1</v>
      </c>
      <c r="J2991" s="62">
        <f t="shared" si="5983"/>
        <v>1</v>
      </c>
      <c r="K2991" s="62">
        <f t="shared" si="5983"/>
        <v>1</v>
      </c>
      <c r="L2991" s="62">
        <f t="shared" si="5983"/>
        <v>1</v>
      </c>
      <c r="M2991" s="62">
        <f t="shared" si="5983"/>
        <v>1</v>
      </c>
      <c r="N2991" s="62">
        <f t="shared" si="5983"/>
        <v>1</v>
      </c>
      <c r="O2991" s="62">
        <f t="shared" si="5983"/>
        <v>1</v>
      </c>
      <c r="P2991" s="62" t="str">
        <f t="shared" si="5983"/>
        <v/>
      </c>
      <c r="Q2991" s="62" t="str">
        <f t="shared" si="5983"/>
        <v/>
      </c>
      <c r="R2991" s="62">
        <f t="shared" si="7"/>
        <v>0</v>
      </c>
      <c r="S2991" s="62"/>
      <c r="T2991" s="62"/>
      <c r="U2991" s="62"/>
      <c r="V2991" s="62"/>
      <c r="W2991" s="62"/>
      <c r="X2991" s="62"/>
      <c r="Y2991" s="62"/>
      <c r="Z2991" s="62"/>
      <c r="AA2991" s="62"/>
      <c r="AB2991" s="62"/>
      <c r="AC2991" s="62"/>
    </row>
    <row r="2992" hidden="1">
      <c r="A2992" s="60"/>
      <c r="B2992" s="60"/>
      <c r="C2992" s="60"/>
      <c r="D2992" s="60"/>
      <c r="E2992" s="62" t="str">
        <f t="shared" si="5153"/>
        <v/>
      </c>
      <c r="F2992" s="62" t="str">
        <f t="shared" ref="F2992:G2992" si="5984">IF(isblank(F$1),,IF(isblank($A2992),,IFERROR(vlookup($A2992,indirect("'TVC-"&amp;text(month(F$1),"00")&amp;"'!$A:$D"),4,false),1)))</f>
        <v/>
      </c>
      <c r="G2992" s="62" t="str">
        <f t="shared" si="5984"/>
        <v/>
      </c>
      <c r="H2992" s="62">
        <f t="shared" ref="H2992:Q2992" si="5985">IF(isblank(H$1),,IFERROR(vlookup($A2992,indirect("'TVC-"&amp;text(month(H$1),"00")&amp;"'!$A:$D"),4,false),1))</f>
        <v>1</v>
      </c>
      <c r="I2992" s="62">
        <f t="shared" si="5985"/>
        <v>1</v>
      </c>
      <c r="J2992" s="62">
        <f t="shared" si="5985"/>
        <v>1</v>
      </c>
      <c r="K2992" s="62">
        <f t="shared" si="5985"/>
        <v>1</v>
      </c>
      <c r="L2992" s="62">
        <f t="shared" si="5985"/>
        <v>1</v>
      </c>
      <c r="M2992" s="62">
        <f t="shared" si="5985"/>
        <v>1</v>
      </c>
      <c r="N2992" s="62">
        <f t="shared" si="5985"/>
        <v>1</v>
      </c>
      <c r="O2992" s="62">
        <f t="shared" si="5985"/>
        <v>1</v>
      </c>
      <c r="P2992" s="62" t="str">
        <f t="shared" si="5985"/>
        <v/>
      </c>
      <c r="Q2992" s="62" t="str">
        <f t="shared" si="5985"/>
        <v/>
      </c>
      <c r="R2992" s="62">
        <f t="shared" si="7"/>
        <v>0</v>
      </c>
      <c r="S2992" s="62"/>
      <c r="T2992" s="62"/>
      <c r="U2992" s="62"/>
      <c r="V2992" s="62"/>
      <c r="W2992" s="62"/>
      <c r="X2992" s="62"/>
      <c r="Y2992" s="62"/>
      <c r="Z2992" s="62"/>
      <c r="AA2992" s="62"/>
      <c r="AB2992" s="62"/>
      <c r="AC2992" s="62"/>
    </row>
    <row r="2993" hidden="1">
      <c r="A2993" s="60"/>
      <c r="B2993" s="60"/>
      <c r="C2993" s="60"/>
      <c r="D2993" s="60"/>
      <c r="E2993" s="62" t="str">
        <f t="shared" si="5153"/>
        <v/>
      </c>
      <c r="F2993" s="62" t="str">
        <f t="shared" ref="F2993:G2993" si="5986">IF(isblank(F$1),,IF(isblank($A2993),,IFERROR(vlookup($A2993,indirect("'TVC-"&amp;text(month(F$1),"00")&amp;"'!$A:$D"),4,false),1)))</f>
        <v/>
      </c>
      <c r="G2993" s="62" t="str">
        <f t="shared" si="5986"/>
        <v/>
      </c>
      <c r="H2993" s="62">
        <f t="shared" ref="H2993:Q2993" si="5987">IF(isblank(H$1),,IFERROR(vlookup($A2993,indirect("'TVC-"&amp;text(month(H$1),"00")&amp;"'!$A:$D"),4,false),1))</f>
        <v>1</v>
      </c>
      <c r="I2993" s="62">
        <f t="shared" si="5987"/>
        <v>1</v>
      </c>
      <c r="J2993" s="62">
        <f t="shared" si="5987"/>
        <v>1</v>
      </c>
      <c r="K2993" s="62">
        <f t="shared" si="5987"/>
        <v>1</v>
      </c>
      <c r="L2993" s="62">
        <f t="shared" si="5987"/>
        <v>1</v>
      </c>
      <c r="M2993" s="62">
        <f t="shared" si="5987"/>
        <v>1</v>
      </c>
      <c r="N2993" s="62">
        <f t="shared" si="5987"/>
        <v>1</v>
      </c>
      <c r="O2993" s="62">
        <f t="shared" si="5987"/>
        <v>1</v>
      </c>
      <c r="P2993" s="62" t="str">
        <f t="shared" si="5987"/>
        <v/>
      </c>
      <c r="Q2993" s="62" t="str">
        <f t="shared" si="5987"/>
        <v/>
      </c>
      <c r="R2993" s="62">
        <f t="shared" si="7"/>
        <v>0</v>
      </c>
      <c r="S2993" s="62"/>
      <c r="T2993" s="62"/>
      <c r="U2993" s="62"/>
      <c r="V2993" s="62"/>
      <c r="W2993" s="62"/>
      <c r="X2993" s="62"/>
      <c r="Y2993" s="62"/>
      <c r="Z2993" s="62"/>
      <c r="AA2993" s="62"/>
      <c r="AB2993" s="62"/>
      <c r="AC2993" s="62"/>
    </row>
    <row r="2994" hidden="1">
      <c r="A2994" s="60"/>
      <c r="B2994" s="60"/>
      <c r="C2994" s="60"/>
      <c r="D2994" s="60"/>
      <c r="E2994" s="62" t="str">
        <f t="shared" si="5153"/>
        <v/>
      </c>
      <c r="F2994" s="62" t="str">
        <f t="shared" ref="F2994:G2994" si="5988">IF(isblank(F$1),,IF(isblank($A2994),,IFERROR(vlookup($A2994,indirect("'TVC-"&amp;text(month(F$1),"00")&amp;"'!$A:$D"),4,false),1)))</f>
        <v/>
      </c>
      <c r="G2994" s="62" t="str">
        <f t="shared" si="5988"/>
        <v/>
      </c>
      <c r="H2994" s="62">
        <f t="shared" ref="H2994:Q2994" si="5989">IF(isblank(H$1),,IFERROR(vlookup($A2994,indirect("'TVC-"&amp;text(month(H$1),"00")&amp;"'!$A:$D"),4,false),1))</f>
        <v>1</v>
      </c>
      <c r="I2994" s="62">
        <f t="shared" si="5989"/>
        <v>1</v>
      </c>
      <c r="J2994" s="62">
        <f t="shared" si="5989"/>
        <v>1</v>
      </c>
      <c r="K2994" s="62">
        <f t="shared" si="5989"/>
        <v>1</v>
      </c>
      <c r="L2994" s="62">
        <f t="shared" si="5989"/>
        <v>1</v>
      </c>
      <c r="M2994" s="62">
        <f t="shared" si="5989"/>
        <v>1</v>
      </c>
      <c r="N2994" s="62">
        <f t="shared" si="5989"/>
        <v>1</v>
      </c>
      <c r="O2994" s="62">
        <f t="shared" si="5989"/>
        <v>1</v>
      </c>
      <c r="P2994" s="62" t="str">
        <f t="shared" si="5989"/>
        <v/>
      </c>
      <c r="Q2994" s="62" t="str">
        <f t="shared" si="5989"/>
        <v/>
      </c>
      <c r="R2994" s="62">
        <f t="shared" si="7"/>
        <v>0</v>
      </c>
      <c r="S2994" s="62"/>
      <c r="T2994" s="62"/>
      <c r="U2994" s="62"/>
      <c r="V2994" s="62"/>
      <c r="W2994" s="62"/>
      <c r="X2994" s="62"/>
      <c r="Y2994" s="62"/>
      <c r="Z2994" s="62"/>
      <c r="AA2994" s="62"/>
      <c r="AB2994" s="62"/>
      <c r="AC2994" s="62"/>
    </row>
    <row r="2995" hidden="1">
      <c r="A2995" s="60"/>
      <c r="B2995" s="60"/>
      <c r="C2995" s="60"/>
      <c r="D2995" s="60"/>
      <c r="E2995" s="62" t="str">
        <f t="shared" si="5153"/>
        <v/>
      </c>
      <c r="F2995" s="62" t="str">
        <f t="shared" ref="F2995:G2995" si="5990">IF(isblank(F$1),,IF(isblank($A2995),,IFERROR(vlookup($A2995,indirect("'TVC-"&amp;text(month(F$1),"00")&amp;"'!$A:$D"),4,false),1)))</f>
        <v/>
      </c>
      <c r="G2995" s="62" t="str">
        <f t="shared" si="5990"/>
        <v/>
      </c>
      <c r="H2995" s="62">
        <f t="shared" ref="H2995:Q2995" si="5991">IF(isblank(H$1),,IFERROR(vlookup($A2995,indirect("'TVC-"&amp;text(month(H$1),"00")&amp;"'!$A:$D"),4,false),1))</f>
        <v>1</v>
      </c>
      <c r="I2995" s="62">
        <f t="shared" si="5991"/>
        <v>1</v>
      </c>
      <c r="J2995" s="62">
        <f t="shared" si="5991"/>
        <v>1</v>
      </c>
      <c r="K2995" s="62">
        <f t="shared" si="5991"/>
        <v>1</v>
      </c>
      <c r="L2995" s="62">
        <f t="shared" si="5991"/>
        <v>1</v>
      </c>
      <c r="M2995" s="62">
        <f t="shared" si="5991"/>
        <v>1</v>
      </c>
      <c r="N2995" s="62">
        <f t="shared" si="5991"/>
        <v>1</v>
      </c>
      <c r="O2995" s="62">
        <f t="shared" si="5991"/>
        <v>1</v>
      </c>
      <c r="P2995" s="62" t="str">
        <f t="shared" si="5991"/>
        <v/>
      </c>
      <c r="Q2995" s="62" t="str">
        <f t="shared" si="5991"/>
        <v/>
      </c>
      <c r="R2995" s="62">
        <f t="shared" si="7"/>
        <v>0</v>
      </c>
      <c r="S2995" s="62"/>
      <c r="T2995" s="62"/>
      <c r="U2995" s="62"/>
      <c r="V2995" s="62"/>
      <c r="W2995" s="62"/>
      <c r="X2995" s="62"/>
      <c r="Y2995" s="62"/>
      <c r="Z2995" s="62"/>
      <c r="AA2995" s="62"/>
      <c r="AB2995" s="62"/>
      <c r="AC2995" s="62"/>
    </row>
    <row r="2996" hidden="1">
      <c r="A2996" s="60"/>
      <c r="B2996" s="60"/>
      <c r="C2996" s="60"/>
      <c r="D2996" s="60"/>
      <c r="E2996" s="62" t="str">
        <f t="shared" si="5153"/>
        <v/>
      </c>
      <c r="F2996" s="62" t="str">
        <f t="shared" ref="F2996:G2996" si="5992">IF(isblank(F$1),,IF(isblank($A2996),,IFERROR(vlookup($A2996,indirect("'TVC-"&amp;text(month(F$1),"00")&amp;"'!$A:$D"),4,false),1)))</f>
        <v/>
      </c>
      <c r="G2996" s="62" t="str">
        <f t="shared" si="5992"/>
        <v/>
      </c>
      <c r="H2996" s="62">
        <f t="shared" ref="H2996:Q2996" si="5993">IF(isblank(H$1),,IFERROR(vlookup($A2996,indirect("'TVC-"&amp;text(month(H$1),"00")&amp;"'!$A:$D"),4,false),1))</f>
        <v>1</v>
      </c>
      <c r="I2996" s="62">
        <f t="shared" si="5993"/>
        <v>1</v>
      </c>
      <c r="J2996" s="62">
        <f t="shared" si="5993"/>
        <v>1</v>
      </c>
      <c r="K2996" s="62">
        <f t="shared" si="5993"/>
        <v>1</v>
      </c>
      <c r="L2996" s="62">
        <f t="shared" si="5993"/>
        <v>1</v>
      </c>
      <c r="M2996" s="62">
        <f t="shared" si="5993"/>
        <v>1</v>
      </c>
      <c r="N2996" s="62">
        <f t="shared" si="5993"/>
        <v>1</v>
      </c>
      <c r="O2996" s="62">
        <f t="shared" si="5993"/>
        <v>1</v>
      </c>
      <c r="P2996" s="62" t="str">
        <f t="shared" si="5993"/>
        <v/>
      </c>
      <c r="Q2996" s="62" t="str">
        <f t="shared" si="5993"/>
        <v/>
      </c>
      <c r="R2996" s="62">
        <f t="shared" si="7"/>
        <v>0</v>
      </c>
      <c r="S2996" s="62"/>
      <c r="T2996" s="62"/>
      <c r="U2996" s="62"/>
      <c r="V2996" s="62"/>
      <c r="W2996" s="62"/>
      <c r="X2996" s="62"/>
      <c r="Y2996" s="62"/>
      <c r="Z2996" s="62"/>
      <c r="AA2996" s="62"/>
      <c r="AB2996" s="62"/>
      <c r="AC2996" s="62"/>
    </row>
    <row r="2997" hidden="1">
      <c r="A2997" s="60"/>
      <c r="B2997" s="60"/>
      <c r="C2997" s="60"/>
      <c r="D2997" s="60"/>
      <c r="E2997" s="62" t="str">
        <f t="shared" si="5153"/>
        <v/>
      </c>
      <c r="F2997" s="62" t="str">
        <f t="shared" ref="F2997:G2997" si="5994">IF(isblank(F$1),,IF(isblank($A2997),,IFERROR(vlookup($A2997,indirect("'TVC-"&amp;text(month(F$1),"00")&amp;"'!$A:$D"),4,false),1)))</f>
        <v/>
      </c>
      <c r="G2997" s="62" t="str">
        <f t="shared" si="5994"/>
        <v/>
      </c>
      <c r="H2997" s="62">
        <f t="shared" ref="H2997:Q2997" si="5995">IF(isblank(H$1),,IFERROR(vlookup($A2997,indirect("'TVC-"&amp;text(month(H$1),"00")&amp;"'!$A:$D"),4,false),1))</f>
        <v>1</v>
      </c>
      <c r="I2997" s="62">
        <f t="shared" si="5995"/>
        <v>1</v>
      </c>
      <c r="J2997" s="62">
        <f t="shared" si="5995"/>
        <v>1</v>
      </c>
      <c r="K2997" s="62">
        <f t="shared" si="5995"/>
        <v>1</v>
      </c>
      <c r="L2997" s="62">
        <f t="shared" si="5995"/>
        <v>1</v>
      </c>
      <c r="M2997" s="62">
        <f t="shared" si="5995"/>
        <v>1</v>
      </c>
      <c r="N2997" s="62">
        <f t="shared" si="5995"/>
        <v>1</v>
      </c>
      <c r="O2997" s="62">
        <f t="shared" si="5995"/>
        <v>1</v>
      </c>
      <c r="P2997" s="62" t="str">
        <f t="shared" si="5995"/>
        <v/>
      </c>
      <c r="Q2997" s="62" t="str">
        <f t="shared" si="5995"/>
        <v/>
      </c>
      <c r="R2997" s="62">
        <f t="shared" si="7"/>
        <v>0</v>
      </c>
      <c r="S2997" s="62"/>
      <c r="T2997" s="62"/>
      <c r="U2997" s="62"/>
      <c r="V2997" s="62"/>
      <c r="W2997" s="62"/>
      <c r="X2997" s="62"/>
      <c r="Y2997" s="62"/>
      <c r="Z2997" s="62"/>
      <c r="AA2997" s="62"/>
      <c r="AB2997" s="62"/>
      <c r="AC2997" s="62"/>
    </row>
    <row r="2998" hidden="1">
      <c r="A2998" s="60"/>
      <c r="B2998" s="60"/>
      <c r="C2998" s="60"/>
      <c r="D2998" s="60"/>
      <c r="E2998" s="62" t="str">
        <f t="shared" si="5153"/>
        <v/>
      </c>
      <c r="F2998" s="62" t="str">
        <f t="shared" ref="F2998:G2998" si="5996">IF(isblank(F$1),,IF(isblank($A2998),,IFERROR(vlookup($A2998,indirect("'TVC-"&amp;text(month(F$1),"00")&amp;"'!$A:$D"),4,false),1)))</f>
        <v/>
      </c>
      <c r="G2998" s="62" t="str">
        <f t="shared" si="5996"/>
        <v/>
      </c>
      <c r="H2998" s="62">
        <f t="shared" ref="H2998:Q2998" si="5997">IF(isblank(H$1),,IFERROR(vlookup($A2998,indirect("'TVC-"&amp;text(month(H$1),"00")&amp;"'!$A:$D"),4,false),1))</f>
        <v>1</v>
      </c>
      <c r="I2998" s="62">
        <f t="shared" si="5997"/>
        <v>1</v>
      </c>
      <c r="J2998" s="62">
        <f t="shared" si="5997"/>
        <v>1</v>
      </c>
      <c r="K2998" s="62">
        <f t="shared" si="5997"/>
        <v>1</v>
      </c>
      <c r="L2998" s="62">
        <f t="shared" si="5997"/>
        <v>1</v>
      </c>
      <c r="M2998" s="62">
        <f t="shared" si="5997"/>
        <v>1</v>
      </c>
      <c r="N2998" s="62">
        <f t="shared" si="5997"/>
        <v>1</v>
      </c>
      <c r="O2998" s="62">
        <f t="shared" si="5997"/>
        <v>1</v>
      </c>
      <c r="P2998" s="62" t="str">
        <f t="shared" si="5997"/>
        <v/>
      </c>
      <c r="Q2998" s="62" t="str">
        <f t="shared" si="5997"/>
        <v/>
      </c>
      <c r="R2998" s="62">
        <f t="shared" si="7"/>
        <v>0</v>
      </c>
      <c r="S2998" s="62"/>
      <c r="T2998" s="62"/>
      <c r="U2998" s="62"/>
      <c r="V2998" s="62"/>
      <c r="W2998" s="62"/>
      <c r="X2998" s="62"/>
      <c r="Y2998" s="62"/>
      <c r="Z2998" s="62"/>
      <c r="AA2998" s="62"/>
      <c r="AB2998" s="62"/>
      <c r="AC2998" s="62"/>
    </row>
    <row r="2999" hidden="1">
      <c r="A2999" s="60"/>
      <c r="B2999" s="60"/>
      <c r="C2999" s="60"/>
      <c r="D2999" s="60"/>
      <c r="E2999" s="62" t="str">
        <f t="shared" si="5153"/>
        <v/>
      </c>
      <c r="F2999" s="62" t="str">
        <f t="shared" ref="F2999:G2999" si="5998">IF(isblank(F$1),,IF(isblank($A2999),,IFERROR(vlookup($A2999,indirect("'TVC-"&amp;text(month(F$1),"00")&amp;"'!$A:$D"),4,false),1)))</f>
        <v/>
      </c>
      <c r="G2999" s="62" t="str">
        <f t="shared" si="5998"/>
        <v/>
      </c>
      <c r="H2999" s="62">
        <f t="shared" ref="H2999:Q2999" si="5999">IF(isblank(H$1),,IFERROR(vlookup($A2999,indirect("'TVC-"&amp;text(month(H$1),"00")&amp;"'!$A:$D"),4,false),1))</f>
        <v>1</v>
      </c>
      <c r="I2999" s="62">
        <f t="shared" si="5999"/>
        <v>1</v>
      </c>
      <c r="J2999" s="62">
        <f t="shared" si="5999"/>
        <v>1</v>
      </c>
      <c r="K2999" s="62">
        <f t="shared" si="5999"/>
        <v>1</v>
      </c>
      <c r="L2999" s="62">
        <f t="shared" si="5999"/>
        <v>1</v>
      </c>
      <c r="M2999" s="62">
        <f t="shared" si="5999"/>
        <v>1</v>
      </c>
      <c r="N2999" s="62">
        <f t="shared" si="5999"/>
        <v>1</v>
      </c>
      <c r="O2999" s="62">
        <f t="shared" si="5999"/>
        <v>1</v>
      </c>
      <c r="P2999" s="62" t="str">
        <f t="shared" si="5999"/>
        <v/>
      </c>
      <c r="Q2999" s="62" t="str">
        <f t="shared" si="5999"/>
        <v/>
      </c>
      <c r="R2999" s="62">
        <f t="shared" si="7"/>
        <v>0</v>
      </c>
      <c r="S2999" s="62"/>
      <c r="T2999" s="62"/>
      <c r="U2999" s="62"/>
      <c r="V2999" s="62"/>
      <c r="W2999" s="62"/>
      <c r="X2999" s="62"/>
      <c r="Y2999" s="62"/>
      <c r="Z2999" s="62"/>
      <c r="AA2999" s="62"/>
      <c r="AB2999" s="62"/>
      <c r="AC2999" s="62"/>
    </row>
    <row r="3000" hidden="1">
      <c r="A3000" s="60"/>
      <c r="B3000" s="60"/>
      <c r="C3000" s="60"/>
      <c r="D3000" s="60"/>
      <c r="E3000" s="62" t="str">
        <f t="shared" si="5153"/>
        <v/>
      </c>
      <c r="F3000" s="62" t="str">
        <f t="shared" ref="F3000:G3000" si="6000">IF(isblank(F$1),,IF(isblank($A3000),,IFERROR(vlookup($A3000,indirect("'TVC-"&amp;text(month(F$1),"00")&amp;"'!$A:$D"),4,false),1)))</f>
        <v/>
      </c>
      <c r="G3000" s="62" t="str">
        <f t="shared" si="6000"/>
        <v/>
      </c>
      <c r="H3000" s="62">
        <f t="shared" ref="H3000:Q3000" si="6001">IF(isblank(H$1),,IFERROR(vlookup($A3000,indirect("'TVC-"&amp;text(month(H$1),"00")&amp;"'!$A:$D"),4,false),1))</f>
        <v>1</v>
      </c>
      <c r="I3000" s="62">
        <f t="shared" si="6001"/>
        <v>1</v>
      </c>
      <c r="J3000" s="62">
        <f t="shared" si="6001"/>
        <v>1</v>
      </c>
      <c r="K3000" s="62">
        <f t="shared" si="6001"/>
        <v>1</v>
      </c>
      <c r="L3000" s="62">
        <f t="shared" si="6001"/>
        <v>1</v>
      </c>
      <c r="M3000" s="62">
        <f t="shared" si="6001"/>
        <v>1</v>
      </c>
      <c r="N3000" s="62">
        <f t="shared" si="6001"/>
        <v>1</v>
      </c>
      <c r="O3000" s="62">
        <f t="shared" si="6001"/>
        <v>1</v>
      </c>
      <c r="P3000" s="62" t="str">
        <f t="shared" si="6001"/>
        <v/>
      </c>
      <c r="Q3000" s="62" t="str">
        <f t="shared" si="6001"/>
        <v/>
      </c>
      <c r="R3000" s="62">
        <f t="shared" si="7"/>
        <v>0</v>
      </c>
      <c r="S3000" s="62"/>
      <c r="T3000" s="62"/>
      <c r="U3000" s="62"/>
      <c r="V3000" s="62"/>
      <c r="W3000" s="62"/>
      <c r="X3000" s="62"/>
      <c r="Y3000" s="62"/>
      <c r="Z3000" s="62"/>
      <c r="AA3000" s="62"/>
      <c r="AB3000" s="62"/>
      <c r="AC3000" s="62"/>
    </row>
    <row r="3001" hidden="1">
      <c r="A3001" s="60"/>
      <c r="B3001" s="60"/>
      <c r="C3001" s="60"/>
      <c r="D3001" s="60"/>
      <c r="E3001" s="62" t="str">
        <f t="shared" si="5153"/>
        <v/>
      </c>
      <c r="F3001" s="62" t="str">
        <f t="shared" ref="F3001:G3001" si="6002">IF(isblank(F$1),,IF(isblank($A3001),,IFERROR(vlookup($A3001,indirect("'TVC-"&amp;text(month(F$1),"00")&amp;"'!$A:$D"),4,false),1)))</f>
        <v/>
      </c>
      <c r="G3001" s="62" t="str">
        <f t="shared" si="6002"/>
        <v/>
      </c>
      <c r="H3001" s="62">
        <f t="shared" ref="H3001:Q3001" si="6003">IF(isblank(H$1),,IFERROR(vlookup($A3001,indirect("'TVC-"&amp;text(month(H$1),"00")&amp;"'!$A:$D"),4,false),1))</f>
        <v>1</v>
      </c>
      <c r="I3001" s="62">
        <f t="shared" si="6003"/>
        <v>1</v>
      </c>
      <c r="J3001" s="62">
        <f t="shared" si="6003"/>
        <v>1</v>
      </c>
      <c r="K3001" s="62">
        <f t="shared" si="6003"/>
        <v>1</v>
      </c>
      <c r="L3001" s="62">
        <f t="shared" si="6003"/>
        <v>1</v>
      </c>
      <c r="M3001" s="62">
        <f t="shared" si="6003"/>
        <v>1</v>
      </c>
      <c r="N3001" s="62">
        <f t="shared" si="6003"/>
        <v>1</v>
      </c>
      <c r="O3001" s="62">
        <f t="shared" si="6003"/>
        <v>1</v>
      </c>
      <c r="P3001" s="62" t="str">
        <f t="shared" si="6003"/>
        <v/>
      </c>
      <c r="Q3001" s="62" t="str">
        <f t="shared" si="6003"/>
        <v/>
      </c>
      <c r="R3001" s="62">
        <f t="shared" si="7"/>
        <v>0</v>
      </c>
      <c r="S3001" s="62"/>
      <c r="T3001" s="62"/>
      <c r="U3001" s="62"/>
      <c r="V3001" s="62"/>
      <c r="W3001" s="62"/>
      <c r="X3001" s="62"/>
      <c r="Y3001" s="62"/>
      <c r="Z3001" s="62"/>
      <c r="AA3001" s="62"/>
      <c r="AB3001" s="62"/>
      <c r="AC3001" s="62"/>
    </row>
    <row r="3002" hidden="1">
      <c r="A3002" s="60"/>
      <c r="B3002" s="60"/>
      <c r="C3002" s="60"/>
      <c r="D3002" s="60"/>
      <c r="E3002" s="62" t="str">
        <f t="shared" si="5153"/>
        <v/>
      </c>
      <c r="F3002" s="62" t="str">
        <f t="shared" ref="F3002:G3002" si="6004">IF(isblank(F$1),,IF(isblank($A3002),,IFERROR(vlookup($A3002,indirect("'TVC-"&amp;text(month(F$1),"00")&amp;"'!$A:$D"),4,false),1)))</f>
        <v/>
      </c>
      <c r="G3002" s="62" t="str">
        <f t="shared" si="6004"/>
        <v/>
      </c>
      <c r="H3002" s="62">
        <f t="shared" ref="H3002:Q3002" si="6005">IF(isblank(H$1),,IFERROR(vlookup($A3002,indirect("'TVC-"&amp;text(month(H$1),"00")&amp;"'!$A:$D"),4,false),1))</f>
        <v>1</v>
      </c>
      <c r="I3002" s="62">
        <f t="shared" si="6005"/>
        <v>1</v>
      </c>
      <c r="J3002" s="62">
        <f t="shared" si="6005"/>
        <v>1</v>
      </c>
      <c r="K3002" s="62">
        <f t="shared" si="6005"/>
        <v>1</v>
      </c>
      <c r="L3002" s="62">
        <f t="shared" si="6005"/>
        <v>1</v>
      </c>
      <c r="M3002" s="62">
        <f t="shared" si="6005"/>
        <v>1</v>
      </c>
      <c r="N3002" s="62">
        <f t="shared" si="6005"/>
        <v>1</v>
      </c>
      <c r="O3002" s="62">
        <f t="shared" si="6005"/>
        <v>1</v>
      </c>
      <c r="P3002" s="62" t="str">
        <f t="shared" si="6005"/>
        <v/>
      </c>
      <c r="Q3002" s="62" t="str">
        <f t="shared" si="6005"/>
        <v/>
      </c>
      <c r="R3002" s="62">
        <f t="shared" si="7"/>
        <v>0</v>
      </c>
      <c r="S3002" s="62"/>
      <c r="T3002" s="62"/>
      <c r="U3002" s="62"/>
      <c r="V3002" s="62"/>
      <c r="W3002" s="62"/>
      <c r="X3002" s="62"/>
      <c r="Y3002" s="62"/>
      <c r="Z3002" s="62"/>
      <c r="AA3002" s="62"/>
      <c r="AB3002" s="62"/>
      <c r="AC3002" s="62"/>
    </row>
    <row r="3003" hidden="1">
      <c r="A3003" s="60"/>
      <c r="B3003" s="60"/>
      <c r="C3003" s="60"/>
      <c r="D3003" s="60"/>
      <c r="E3003" s="62" t="str">
        <f t="shared" si="5153"/>
        <v/>
      </c>
      <c r="F3003" s="62" t="str">
        <f t="shared" ref="F3003:G3003" si="6006">IF(isblank(F$1),,IF(isblank($A3003),,IFERROR(vlookup($A3003,indirect("'TVC-"&amp;text(month(F$1),"00")&amp;"'!$A:$D"),4,false),1)))</f>
        <v/>
      </c>
      <c r="G3003" s="62" t="str">
        <f t="shared" si="6006"/>
        <v/>
      </c>
      <c r="H3003" s="62">
        <f t="shared" ref="H3003:Q3003" si="6007">IF(isblank(H$1),,IFERROR(vlookup($A3003,indirect("'TVC-"&amp;text(month(H$1),"00")&amp;"'!$A:$D"),4,false),1))</f>
        <v>1</v>
      </c>
      <c r="I3003" s="62">
        <f t="shared" si="6007"/>
        <v>1</v>
      </c>
      <c r="J3003" s="62">
        <f t="shared" si="6007"/>
        <v>1</v>
      </c>
      <c r="K3003" s="62">
        <f t="shared" si="6007"/>
        <v>1</v>
      </c>
      <c r="L3003" s="62">
        <f t="shared" si="6007"/>
        <v>1</v>
      </c>
      <c r="M3003" s="62">
        <f t="shared" si="6007"/>
        <v>1</v>
      </c>
      <c r="N3003" s="62">
        <f t="shared" si="6007"/>
        <v>1</v>
      </c>
      <c r="O3003" s="62">
        <f t="shared" si="6007"/>
        <v>1</v>
      </c>
      <c r="P3003" s="62" t="str">
        <f t="shared" si="6007"/>
        <v/>
      </c>
      <c r="Q3003" s="62" t="str">
        <f t="shared" si="6007"/>
        <v/>
      </c>
      <c r="R3003" s="62">
        <f t="shared" si="7"/>
        <v>0</v>
      </c>
      <c r="S3003" s="62"/>
      <c r="T3003" s="62"/>
      <c r="U3003" s="62"/>
      <c r="V3003" s="62"/>
      <c r="W3003" s="62"/>
      <c r="X3003" s="62"/>
      <c r="Y3003" s="62"/>
      <c r="Z3003" s="62"/>
      <c r="AA3003" s="62"/>
      <c r="AB3003" s="62"/>
      <c r="AC3003" s="62"/>
    </row>
    <row r="3004" hidden="1">
      <c r="A3004" s="60"/>
      <c r="B3004" s="60"/>
      <c r="C3004" s="60"/>
      <c r="D3004" s="60"/>
      <c r="E3004" s="62" t="str">
        <f t="shared" si="5153"/>
        <v/>
      </c>
      <c r="F3004" s="62" t="str">
        <f t="shared" ref="F3004:G3004" si="6008">IF(isblank(F$1),,IF(isblank($A3004),,IFERROR(vlookup($A3004,indirect("'TVC-"&amp;text(month(F$1),"00")&amp;"'!$A:$D"),4,false),1)))</f>
        <v/>
      </c>
      <c r="G3004" s="62" t="str">
        <f t="shared" si="6008"/>
        <v/>
      </c>
      <c r="H3004" s="62">
        <f t="shared" ref="H3004:Q3004" si="6009">IF(isblank(H$1),,IFERROR(vlookup($A3004,indirect("'TVC-"&amp;text(month(H$1),"00")&amp;"'!$A:$D"),4,false),1))</f>
        <v>1</v>
      </c>
      <c r="I3004" s="62">
        <f t="shared" si="6009"/>
        <v>1</v>
      </c>
      <c r="J3004" s="62">
        <f t="shared" si="6009"/>
        <v>1</v>
      </c>
      <c r="K3004" s="62">
        <f t="shared" si="6009"/>
        <v>1</v>
      </c>
      <c r="L3004" s="62">
        <f t="shared" si="6009"/>
        <v>1</v>
      </c>
      <c r="M3004" s="62">
        <f t="shared" si="6009"/>
        <v>1</v>
      </c>
      <c r="N3004" s="62">
        <f t="shared" si="6009"/>
        <v>1</v>
      </c>
      <c r="O3004" s="62">
        <f t="shared" si="6009"/>
        <v>1</v>
      </c>
      <c r="P3004" s="62" t="str">
        <f t="shared" si="6009"/>
        <v/>
      </c>
      <c r="Q3004" s="62" t="str">
        <f t="shared" si="6009"/>
        <v/>
      </c>
      <c r="R3004" s="62">
        <f t="shared" si="7"/>
        <v>0</v>
      </c>
      <c r="S3004" s="62"/>
      <c r="T3004" s="62"/>
      <c r="U3004" s="62"/>
      <c r="V3004" s="62"/>
      <c r="W3004" s="62"/>
      <c r="X3004" s="62"/>
      <c r="Y3004" s="62"/>
      <c r="Z3004" s="62"/>
      <c r="AA3004" s="62"/>
      <c r="AB3004" s="62"/>
      <c r="AC3004" s="62"/>
    </row>
    <row r="3005" hidden="1">
      <c r="A3005" s="60"/>
      <c r="B3005" s="60"/>
      <c r="C3005" s="60"/>
      <c r="D3005" s="60"/>
      <c r="E3005" s="62" t="str">
        <f t="shared" si="5153"/>
        <v/>
      </c>
      <c r="F3005" s="62" t="str">
        <f t="shared" ref="F3005:G3005" si="6010">IF(isblank(F$1),,IF(isblank($A3005),,IFERROR(vlookup($A3005,indirect("'TVC-"&amp;text(month(F$1),"00")&amp;"'!$A:$D"),4,false),1)))</f>
        <v/>
      </c>
      <c r="G3005" s="62" t="str">
        <f t="shared" si="6010"/>
        <v/>
      </c>
      <c r="H3005" s="62">
        <f t="shared" ref="H3005:Q3005" si="6011">IF(isblank(H$1),,IFERROR(vlookup($A3005,indirect("'TVC-"&amp;text(month(H$1),"00")&amp;"'!$A:$D"),4,false),1))</f>
        <v>1</v>
      </c>
      <c r="I3005" s="62">
        <f t="shared" si="6011"/>
        <v>1</v>
      </c>
      <c r="J3005" s="62">
        <f t="shared" si="6011"/>
        <v>1</v>
      </c>
      <c r="K3005" s="62">
        <f t="shared" si="6011"/>
        <v>1</v>
      </c>
      <c r="L3005" s="62">
        <f t="shared" si="6011"/>
        <v>1</v>
      </c>
      <c r="M3005" s="62">
        <f t="shared" si="6011"/>
        <v>1</v>
      </c>
      <c r="N3005" s="62">
        <f t="shared" si="6011"/>
        <v>1</v>
      </c>
      <c r="O3005" s="62">
        <f t="shared" si="6011"/>
        <v>1</v>
      </c>
      <c r="P3005" s="62" t="str">
        <f t="shared" si="6011"/>
        <v/>
      </c>
      <c r="Q3005" s="62" t="str">
        <f t="shared" si="6011"/>
        <v/>
      </c>
      <c r="R3005" s="62">
        <f t="shared" si="7"/>
        <v>0</v>
      </c>
      <c r="S3005" s="62"/>
      <c r="T3005" s="62"/>
      <c r="U3005" s="62"/>
      <c r="V3005" s="62"/>
      <c r="W3005" s="62"/>
      <c r="X3005" s="62"/>
      <c r="Y3005" s="62"/>
      <c r="Z3005" s="62"/>
      <c r="AA3005" s="62"/>
      <c r="AB3005" s="62"/>
      <c r="AC3005" s="62"/>
    </row>
    <row r="3006" hidden="1">
      <c r="A3006" s="60"/>
      <c r="B3006" s="60"/>
      <c r="C3006" s="60"/>
      <c r="D3006" s="60"/>
      <c r="E3006" s="62" t="str">
        <f t="shared" si="5153"/>
        <v/>
      </c>
      <c r="F3006" s="62" t="str">
        <f t="shared" ref="F3006:G3006" si="6012">IF(isblank(F$1),,IF(isblank($A3006),,IFERROR(vlookup($A3006,indirect("'TVC-"&amp;text(month(F$1),"00")&amp;"'!$A:$D"),4,false),1)))</f>
        <v/>
      </c>
      <c r="G3006" s="62" t="str">
        <f t="shared" si="6012"/>
        <v/>
      </c>
      <c r="H3006" s="62">
        <f t="shared" ref="H3006:Q3006" si="6013">IF(isblank(H$1),,IFERROR(vlookup($A3006,indirect("'TVC-"&amp;text(month(H$1),"00")&amp;"'!$A:$D"),4,false),1))</f>
        <v>1</v>
      </c>
      <c r="I3006" s="62">
        <f t="shared" si="6013"/>
        <v>1</v>
      </c>
      <c r="J3006" s="62">
        <f t="shared" si="6013"/>
        <v>1</v>
      </c>
      <c r="K3006" s="62">
        <f t="shared" si="6013"/>
        <v>1</v>
      </c>
      <c r="L3006" s="62">
        <f t="shared" si="6013"/>
        <v>1</v>
      </c>
      <c r="M3006" s="62">
        <f t="shared" si="6013"/>
        <v>1</v>
      </c>
      <c r="N3006" s="62">
        <f t="shared" si="6013"/>
        <v>1</v>
      </c>
      <c r="O3006" s="62">
        <f t="shared" si="6013"/>
        <v>1</v>
      </c>
      <c r="P3006" s="62" t="str">
        <f t="shared" si="6013"/>
        <v/>
      </c>
      <c r="Q3006" s="62" t="str">
        <f t="shared" si="6013"/>
        <v/>
      </c>
      <c r="R3006" s="62">
        <f t="shared" si="7"/>
        <v>0</v>
      </c>
      <c r="S3006" s="62"/>
      <c r="T3006" s="62"/>
      <c r="U3006" s="62"/>
      <c r="V3006" s="62"/>
      <c r="W3006" s="62"/>
      <c r="X3006" s="62"/>
      <c r="Y3006" s="62"/>
      <c r="Z3006" s="62"/>
      <c r="AA3006" s="62"/>
      <c r="AB3006" s="62"/>
      <c r="AC3006" s="62"/>
    </row>
    <row r="3007" hidden="1">
      <c r="A3007" s="60"/>
      <c r="B3007" s="60"/>
      <c r="C3007" s="60"/>
      <c r="D3007" s="60"/>
      <c r="E3007" s="62" t="str">
        <f t="shared" si="5153"/>
        <v/>
      </c>
      <c r="F3007" s="62" t="str">
        <f t="shared" ref="F3007:G3007" si="6014">IF(isblank(F$1),,IF(isblank($A3007),,IFERROR(vlookup($A3007,indirect("'TVC-"&amp;text(month(F$1),"00")&amp;"'!$A:$D"),4,false),1)))</f>
        <v/>
      </c>
      <c r="G3007" s="62" t="str">
        <f t="shared" si="6014"/>
        <v/>
      </c>
      <c r="H3007" s="62">
        <f t="shared" ref="H3007:Q3007" si="6015">IF(isblank(H$1),,IFERROR(vlookup($A3007,indirect("'TVC-"&amp;text(month(H$1),"00")&amp;"'!$A:$D"),4,false),1))</f>
        <v>1</v>
      </c>
      <c r="I3007" s="62">
        <f t="shared" si="6015"/>
        <v>1</v>
      </c>
      <c r="J3007" s="62">
        <f t="shared" si="6015"/>
        <v>1</v>
      </c>
      <c r="K3007" s="62">
        <f t="shared" si="6015"/>
        <v>1</v>
      </c>
      <c r="L3007" s="62">
        <f t="shared" si="6015"/>
        <v>1</v>
      </c>
      <c r="M3007" s="62">
        <f t="shared" si="6015"/>
        <v>1</v>
      </c>
      <c r="N3007" s="62">
        <f t="shared" si="6015"/>
        <v>1</v>
      </c>
      <c r="O3007" s="62">
        <f t="shared" si="6015"/>
        <v>1</v>
      </c>
      <c r="P3007" s="62" t="str">
        <f t="shared" si="6015"/>
        <v/>
      </c>
      <c r="Q3007" s="62" t="str">
        <f t="shared" si="6015"/>
        <v/>
      </c>
      <c r="R3007" s="62">
        <f t="shared" si="7"/>
        <v>0</v>
      </c>
      <c r="S3007" s="62"/>
      <c r="T3007" s="62"/>
      <c r="U3007" s="62"/>
      <c r="V3007" s="62"/>
      <c r="W3007" s="62"/>
      <c r="X3007" s="62"/>
      <c r="Y3007" s="62"/>
      <c r="Z3007" s="62"/>
      <c r="AA3007" s="62"/>
      <c r="AB3007" s="62"/>
      <c r="AC3007" s="62"/>
    </row>
    <row r="3008" hidden="1">
      <c r="A3008" s="60"/>
      <c r="B3008" s="60"/>
      <c r="C3008" s="60"/>
      <c r="D3008" s="60"/>
      <c r="E3008" s="62" t="str">
        <f t="shared" si="5153"/>
        <v/>
      </c>
      <c r="F3008" s="62" t="str">
        <f t="shared" ref="F3008:G3008" si="6016">IF(isblank(F$1),,IF(isblank($A3008),,IFERROR(vlookup($A3008,indirect("'TVC-"&amp;text(month(F$1),"00")&amp;"'!$A:$D"),4,false),1)))</f>
        <v/>
      </c>
      <c r="G3008" s="62" t="str">
        <f t="shared" si="6016"/>
        <v/>
      </c>
      <c r="H3008" s="62">
        <f t="shared" ref="H3008:Q3008" si="6017">IF(isblank(H$1),,IFERROR(vlookup($A3008,indirect("'TVC-"&amp;text(month(H$1),"00")&amp;"'!$A:$D"),4,false),1))</f>
        <v>1</v>
      </c>
      <c r="I3008" s="62">
        <f t="shared" si="6017"/>
        <v>1</v>
      </c>
      <c r="J3008" s="62">
        <f t="shared" si="6017"/>
        <v>1</v>
      </c>
      <c r="K3008" s="62">
        <f t="shared" si="6017"/>
        <v>1</v>
      </c>
      <c r="L3008" s="62">
        <f t="shared" si="6017"/>
        <v>1</v>
      </c>
      <c r="M3008" s="62">
        <f t="shared" si="6017"/>
        <v>1</v>
      </c>
      <c r="N3008" s="62">
        <f t="shared" si="6017"/>
        <v>1</v>
      </c>
      <c r="O3008" s="62">
        <f t="shared" si="6017"/>
        <v>1</v>
      </c>
      <c r="P3008" s="62" t="str">
        <f t="shared" si="6017"/>
        <v/>
      </c>
      <c r="Q3008" s="62" t="str">
        <f t="shared" si="6017"/>
        <v/>
      </c>
      <c r="R3008" s="62">
        <f t="shared" si="7"/>
        <v>0</v>
      </c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</row>
    <row r="3009" hidden="1">
      <c r="A3009" s="60"/>
      <c r="B3009" s="60"/>
      <c r="C3009" s="60"/>
      <c r="D3009" s="60"/>
      <c r="E3009" s="62" t="str">
        <f t="shared" si="5153"/>
        <v/>
      </c>
      <c r="F3009" s="62" t="str">
        <f t="shared" ref="F3009:G3009" si="6018">IF(isblank(F$1),,IF(isblank($A3009),,IFERROR(vlookup($A3009,indirect("'TVC-"&amp;text(month(F$1),"00")&amp;"'!$A:$D"),4,false),1)))</f>
        <v/>
      </c>
      <c r="G3009" s="62" t="str">
        <f t="shared" si="6018"/>
        <v/>
      </c>
      <c r="H3009" s="62">
        <f t="shared" ref="H3009:Q3009" si="6019">IF(isblank(H$1),,IFERROR(vlookup($A3009,indirect("'TVC-"&amp;text(month(H$1),"00")&amp;"'!$A:$D"),4,false),1))</f>
        <v>1</v>
      </c>
      <c r="I3009" s="62">
        <f t="shared" si="6019"/>
        <v>1</v>
      </c>
      <c r="J3009" s="62">
        <f t="shared" si="6019"/>
        <v>1</v>
      </c>
      <c r="K3009" s="62">
        <f t="shared" si="6019"/>
        <v>1</v>
      </c>
      <c r="L3009" s="62">
        <f t="shared" si="6019"/>
        <v>1</v>
      </c>
      <c r="M3009" s="62">
        <f t="shared" si="6019"/>
        <v>1</v>
      </c>
      <c r="N3009" s="62">
        <f t="shared" si="6019"/>
        <v>1</v>
      </c>
      <c r="O3009" s="62">
        <f t="shared" si="6019"/>
        <v>1</v>
      </c>
      <c r="P3009" s="62" t="str">
        <f t="shared" si="6019"/>
        <v/>
      </c>
      <c r="Q3009" s="62" t="str">
        <f t="shared" si="6019"/>
        <v/>
      </c>
      <c r="R3009" s="62">
        <f t="shared" si="7"/>
        <v>0</v>
      </c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</row>
    <row r="3010" hidden="1">
      <c r="A3010" s="60"/>
      <c r="B3010" s="60"/>
      <c r="C3010" s="60"/>
      <c r="D3010" s="60"/>
      <c r="E3010" s="62" t="str">
        <f t="shared" si="5153"/>
        <v/>
      </c>
      <c r="F3010" s="62" t="str">
        <f t="shared" ref="F3010:G3010" si="6020">IF(isblank(F$1),,IF(isblank($A3010),,IFERROR(vlookup($A3010,indirect("'TVC-"&amp;text(month(F$1),"00")&amp;"'!$A:$D"),4,false),1)))</f>
        <v/>
      </c>
      <c r="G3010" s="62" t="str">
        <f t="shared" si="6020"/>
        <v/>
      </c>
      <c r="H3010" s="62">
        <f t="shared" ref="H3010:Q3010" si="6021">IF(isblank(H$1),,IFERROR(vlookup($A3010,indirect("'TVC-"&amp;text(month(H$1),"00")&amp;"'!$A:$D"),4,false),1))</f>
        <v>1</v>
      </c>
      <c r="I3010" s="62">
        <f t="shared" si="6021"/>
        <v>1</v>
      </c>
      <c r="J3010" s="62">
        <f t="shared" si="6021"/>
        <v>1</v>
      </c>
      <c r="K3010" s="62">
        <f t="shared" si="6021"/>
        <v>1</v>
      </c>
      <c r="L3010" s="62">
        <f t="shared" si="6021"/>
        <v>1</v>
      </c>
      <c r="M3010" s="62">
        <f t="shared" si="6021"/>
        <v>1</v>
      </c>
      <c r="N3010" s="62">
        <f t="shared" si="6021"/>
        <v>1</v>
      </c>
      <c r="O3010" s="62">
        <f t="shared" si="6021"/>
        <v>1</v>
      </c>
      <c r="P3010" s="62" t="str">
        <f t="shared" si="6021"/>
        <v/>
      </c>
      <c r="Q3010" s="62" t="str">
        <f t="shared" si="6021"/>
        <v/>
      </c>
      <c r="R3010" s="62">
        <f t="shared" si="7"/>
        <v>0</v>
      </c>
      <c r="S3010" s="62"/>
      <c r="T3010" s="62"/>
      <c r="U3010" s="62"/>
      <c r="V3010" s="62"/>
      <c r="W3010" s="62"/>
      <c r="X3010" s="62"/>
      <c r="Y3010" s="62"/>
      <c r="Z3010" s="62"/>
      <c r="AA3010" s="62"/>
      <c r="AB3010" s="62"/>
      <c r="AC3010" s="62"/>
    </row>
    <row r="3011" hidden="1">
      <c r="A3011" s="60"/>
      <c r="B3011" s="60"/>
      <c r="C3011" s="60"/>
      <c r="D3011" s="60"/>
      <c r="E3011" s="62" t="str">
        <f t="shared" si="5153"/>
        <v/>
      </c>
      <c r="F3011" s="62" t="str">
        <f t="shared" ref="F3011:G3011" si="6022">IF(isblank(F$1),,IF(isblank($A3011),,IFERROR(vlookup($A3011,indirect("'TVC-"&amp;text(month(F$1),"00")&amp;"'!$A:$D"),4,false),1)))</f>
        <v/>
      </c>
      <c r="G3011" s="62" t="str">
        <f t="shared" si="6022"/>
        <v/>
      </c>
      <c r="H3011" s="62">
        <f t="shared" ref="H3011:Q3011" si="6023">IF(isblank(H$1),,IFERROR(vlookup($A3011,indirect("'TVC-"&amp;text(month(H$1),"00")&amp;"'!$A:$D"),4,false),1))</f>
        <v>1</v>
      </c>
      <c r="I3011" s="62">
        <f t="shared" si="6023"/>
        <v>1</v>
      </c>
      <c r="J3011" s="62">
        <f t="shared" si="6023"/>
        <v>1</v>
      </c>
      <c r="K3011" s="62">
        <f t="shared" si="6023"/>
        <v>1</v>
      </c>
      <c r="L3011" s="62">
        <f t="shared" si="6023"/>
        <v>1</v>
      </c>
      <c r="M3011" s="62">
        <f t="shared" si="6023"/>
        <v>1</v>
      </c>
      <c r="N3011" s="62">
        <f t="shared" si="6023"/>
        <v>1</v>
      </c>
      <c r="O3011" s="62">
        <f t="shared" si="6023"/>
        <v>1</v>
      </c>
      <c r="P3011" s="62" t="str">
        <f t="shared" si="6023"/>
        <v/>
      </c>
      <c r="Q3011" s="62" t="str">
        <f t="shared" si="6023"/>
        <v/>
      </c>
      <c r="R3011" s="62">
        <f t="shared" si="7"/>
        <v>0</v>
      </c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</row>
    <row r="3012" hidden="1">
      <c r="A3012" s="60"/>
      <c r="B3012" s="60"/>
      <c r="C3012" s="60"/>
      <c r="D3012" s="60"/>
      <c r="E3012" s="62" t="str">
        <f t="shared" si="5153"/>
        <v/>
      </c>
      <c r="F3012" s="62" t="str">
        <f t="shared" ref="F3012:G3012" si="6024">IF(isblank(F$1),,IF(isblank($A3012),,IFERROR(vlookup($A3012,indirect("'TVC-"&amp;text(month(F$1),"00")&amp;"'!$A:$D"),4,false),1)))</f>
        <v/>
      </c>
      <c r="G3012" s="62" t="str">
        <f t="shared" si="6024"/>
        <v/>
      </c>
      <c r="H3012" s="62">
        <f t="shared" ref="H3012:Q3012" si="6025">IF(isblank(H$1),,IFERROR(vlookup($A3012,indirect("'TVC-"&amp;text(month(H$1),"00")&amp;"'!$A:$D"),4,false),1))</f>
        <v>1</v>
      </c>
      <c r="I3012" s="62">
        <f t="shared" si="6025"/>
        <v>1</v>
      </c>
      <c r="J3012" s="62">
        <f t="shared" si="6025"/>
        <v>1</v>
      </c>
      <c r="K3012" s="62">
        <f t="shared" si="6025"/>
        <v>1</v>
      </c>
      <c r="L3012" s="62">
        <f t="shared" si="6025"/>
        <v>1</v>
      </c>
      <c r="M3012" s="62">
        <f t="shared" si="6025"/>
        <v>1</v>
      </c>
      <c r="N3012" s="62">
        <f t="shared" si="6025"/>
        <v>1</v>
      </c>
      <c r="O3012" s="62">
        <f t="shared" si="6025"/>
        <v>1</v>
      </c>
      <c r="P3012" s="62" t="str">
        <f t="shared" si="6025"/>
        <v/>
      </c>
      <c r="Q3012" s="62" t="str">
        <f t="shared" si="6025"/>
        <v/>
      </c>
      <c r="R3012" s="62">
        <f t="shared" si="7"/>
        <v>0</v>
      </c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</row>
    <row r="3013" hidden="1">
      <c r="A3013" s="60"/>
      <c r="B3013" s="60"/>
      <c r="C3013" s="60"/>
      <c r="D3013" s="60"/>
      <c r="E3013" s="62" t="str">
        <f t="shared" si="5153"/>
        <v/>
      </c>
      <c r="F3013" s="62" t="str">
        <f t="shared" ref="F3013:G3013" si="6026">IF(isblank(F$1),,IF(isblank($A3013),,IFERROR(vlookup($A3013,indirect("'TVC-"&amp;text(month(F$1),"00")&amp;"'!$A:$D"),4,false),1)))</f>
        <v/>
      </c>
      <c r="G3013" s="62" t="str">
        <f t="shared" si="6026"/>
        <v/>
      </c>
      <c r="H3013" s="62">
        <f t="shared" ref="H3013:Q3013" si="6027">IF(isblank(H$1),,IFERROR(vlookup($A3013,indirect("'TVC-"&amp;text(month(H$1),"00")&amp;"'!$A:$D"),4,false),1))</f>
        <v>1</v>
      </c>
      <c r="I3013" s="62">
        <f t="shared" si="6027"/>
        <v>1</v>
      </c>
      <c r="J3013" s="62">
        <f t="shared" si="6027"/>
        <v>1</v>
      </c>
      <c r="K3013" s="62">
        <f t="shared" si="6027"/>
        <v>1</v>
      </c>
      <c r="L3013" s="62">
        <f t="shared" si="6027"/>
        <v>1</v>
      </c>
      <c r="M3013" s="62">
        <f t="shared" si="6027"/>
        <v>1</v>
      </c>
      <c r="N3013" s="62">
        <f t="shared" si="6027"/>
        <v>1</v>
      </c>
      <c r="O3013" s="62">
        <f t="shared" si="6027"/>
        <v>1</v>
      </c>
      <c r="P3013" s="62" t="str">
        <f t="shared" si="6027"/>
        <v/>
      </c>
      <c r="Q3013" s="62" t="str">
        <f t="shared" si="6027"/>
        <v/>
      </c>
      <c r="R3013" s="62">
        <f t="shared" si="7"/>
        <v>0</v>
      </c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</row>
    <row r="3014" hidden="1">
      <c r="A3014" s="60"/>
      <c r="B3014" s="60"/>
      <c r="C3014" s="60"/>
      <c r="D3014" s="60"/>
      <c r="E3014" s="62" t="str">
        <f t="shared" si="5153"/>
        <v/>
      </c>
      <c r="F3014" s="62" t="str">
        <f t="shared" ref="F3014:G3014" si="6028">IF(isblank(F$1),,IF(isblank($A3014),,IFERROR(vlookup($A3014,indirect("'TVC-"&amp;text(month(F$1),"00")&amp;"'!$A:$D"),4,false),1)))</f>
        <v/>
      </c>
      <c r="G3014" s="62" t="str">
        <f t="shared" si="6028"/>
        <v/>
      </c>
      <c r="H3014" s="62">
        <f t="shared" ref="H3014:Q3014" si="6029">IF(isblank(H$1),,IFERROR(vlookup($A3014,indirect("'TVC-"&amp;text(month(H$1),"00")&amp;"'!$A:$D"),4,false),1))</f>
        <v>1</v>
      </c>
      <c r="I3014" s="62">
        <f t="shared" si="6029"/>
        <v>1</v>
      </c>
      <c r="J3014" s="62">
        <f t="shared" si="6029"/>
        <v>1</v>
      </c>
      <c r="K3014" s="62">
        <f t="shared" si="6029"/>
        <v>1</v>
      </c>
      <c r="L3014" s="62">
        <f t="shared" si="6029"/>
        <v>1</v>
      </c>
      <c r="M3014" s="62">
        <f t="shared" si="6029"/>
        <v>1</v>
      </c>
      <c r="N3014" s="62">
        <f t="shared" si="6029"/>
        <v>1</v>
      </c>
      <c r="O3014" s="62">
        <f t="shared" si="6029"/>
        <v>1</v>
      </c>
      <c r="P3014" s="62" t="str">
        <f t="shared" si="6029"/>
        <v/>
      </c>
      <c r="Q3014" s="62" t="str">
        <f t="shared" si="6029"/>
        <v/>
      </c>
      <c r="R3014" s="62">
        <f t="shared" si="7"/>
        <v>0</v>
      </c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</row>
    <row r="3015" hidden="1">
      <c r="A3015" s="60"/>
      <c r="B3015" s="60"/>
      <c r="C3015" s="60"/>
      <c r="D3015" s="60"/>
      <c r="E3015" s="62" t="str">
        <f t="shared" si="5153"/>
        <v/>
      </c>
      <c r="F3015" s="62" t="str">
        <f t="shared" ref="F3015:G3015" si="6030">IF(isblank(F$1),,IF(isblank($A3015),,IFERROR(vlookup($A3015,indirect("'TVC-"&amp;text(month(F$1),"00")&amp;"'!$A:$D"),4,false),1)))</f>
        <v/>
      </c>
      <c r="G3015" s="62" t="str">
        <f t="shared" si="6030"/>
        <v/>
      </c>
      <c r="H3015" s="62">
        <f t="shared" ref="H3015:Q3015" si="6031">IF(isblank(H$1),,IFERROR(vlookup($A3015,indirect("'TVC-"&amp;text(month(H$1),"00")&amp;"'!$A:$D"),4,false),1))</f>
        <v>1</v>
      </c>
      <c r="I3015" s="62">
        <f t="shared" si="6031"/>
        <v>1</v>
      </c>
      <c r="J3015" s="62">
        <f t="shared" si="6031"/>
        <v>1</v>
      </c>
      <c r="K3015" s="62">
        <f t="shared" si="6031"/>
        <v>1</v>
      </c>
      <c r="L3015" s="62">
        <f t="shared" si="6031"/>
        <v>1</v>
      </c>
      <c r="M3015" s="62">
        <f t="shared" si="6031"/>
        <v>1</v>
      </c>
      <c r="N3015" s="62">
        <f t="shared" si="6031"/>
        <v>1</v>
      </c>
      <c r="O3015" s="62">
        <f t="shared" si="6031"/>
        <v>1</v>
      </c>
      <c r="P3015" s="62" t="str">
        <f t="shared" si="6031"/>
        <v/>
      </c>
      <c r="Q3015" s="62" t="str">
        <f t="shared" si="6031"/>
        <v/>
      </c>
      <c r="R3015" s="62">
        <f t="shared" si="7"/>
        <v>0</v>
      </c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</row>
    <row r="3016" hidden="1">
      <c r="A3016" s="60"/>
      <c r="B3016" s="60"/>
      <c r="C3016" s="60"/>
      <c r="D3016" s="60"/>
      <c r="E3016" s="62" t="str">
        <f t="shared" si="5153"/>
        <v/>
      </c>
      <c r="F3016" s="62" t="str">
        <f t="shared" ref="F3016:G3016" si="6032">IF(isblank(F$1),,IF(isblank($A3016),,IFERROR(vlookup($A3016,indirect("'TVC-"&amp;text(month(F$1),"00")&amp;"'!$A:$D"),4,false),1)))</f>
        <v/>
      </c>
      <c r="G3016" s="62" t="str">
        <f t="shared" si="6032"/>
        <v/>
      </c>
      <c r="H3016" s="62">
        <f t="shared" ref="H3016:Q3016" si="6033">IF(isblank(H$1),,IFERROR(vlookup($A3016,indirect("'TVC-"&amp;text(month(H$1),"00")&amp;"'!$A:$D"),4,false),1))</f>
        <v>1</v>
      </c>
      <c r="I3016" s="62">
        <f t="shared" si="6033"/>
        <v>1</v>
      </c>
      <c r="J3016" s="62">
        <f t="shared" si="6033"/>
        <v>1</v>
      </c>
      <c r="K3016" s="62">
        <f t="shared" si="6033"/>
        <v>1</v>
      </c>
      <c r="L3016" s="62">
        <f t="shared" si="6033"/>
        <v>1</v>
      </c>
      <c r="M3016" s="62">
        <f t="shared" si="6033"/>
        <v>1</v>
      </c>
      <c r="N3016" s="62">
        <f t="shared" si="6033"/>
        <v>1</v>
      </c>
      <c r="O3016" s="62">
        <f t="shared" si="6033"/>
        <v>1</v>
      </c>
      <c r="P3016" s="62" t="str">
        <f t="shared" si="6033"/>
        <v/>
      </c>
      <c r="Q3016" s="62" t="str">
        <f t="shared" si="6033"/>
        <v/>
      </c>
      <c r="R3016" s="62">
        <f t="shared" si="7"/>
        <v>0</v>
      </c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</row>
    <row r="3017" hidden="1">
      <c r="A3017" s="60"/>
      <c r="B3017" s="60"/>
      <c r="C3017" s="60"/>
      <c r="D3017" s="60"/>
      <c r="E3017" s="62" t="str">
        <f t="shared" si="5153"/>
        <v/>
      </c>
      <c r="F3017" s="62" t="str">
        <f t="shared" ref="F3017:G3017" si="6034">IF(isblank(F$1),,IF(isblank($A3017),,IFERROR(vlookup($A3017,indirect("'TVC-"&amp;text(month(F$1),"00")&amp;"'!$A:$D"),4,false),1)))</f>
        <v/>
      </c>
      <c r="G3017" s="62" t="str">
        <f t="shared" si="6034"/>
        <v/>
      </c>
      <c r="H3017" s="62">
        <f t="shared" ref="H3017:Q3017" si="6035">IF(isblank(H$1),,IFERROR(vlookup($A3017,indirect("'TVC-"&amp;text(month(H$1),"00")&amp;"'!$A:$D"),4,false),1))</f>
        <v>1</v>
      </c>
      <c r="I3017" s="62">
        <f t="shared" si="6035"/>
        <v>1</v>
      </c>
      <c r="J3017" s="62">
        <f t="shared" si="6035"/>
        <v>1</v>
      </c>
      <c r="K3017" s="62">
        <f t="shared" si="6035"/>
        <v>1</v>
      </c>
      <c r="L3017" s="62">
        <f t="shared" si="6035"/>
        <v>1</v>
      </c>
      <c r="M3017" s="62">
        <f t="shared" si="6035"/>
        <v>1</v>
      </c>
      <c r="N3017" s="62">
        <f t="shared" si="6035"/>
        <v>1</v>
      </c>
      <c r="O3017" s="62">
        <f t="shared" si="6035"/>
        <v>1</v>
      </c>
      <c r="P3017" s="62" t="str">
        <f t="shared" si="6035"/>
        <v/>
      </c>
      <c r="Q3017" s="62" t="str">
        <f t="shared" si="6035"/>
        <v/>
      </c>
      <c r="R3017" s="62">
        <f t="shared" si="7"/>
        <v>0</v>
      </c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</row>
    <row r="3018" hidden="1">
      <c r="A3018" s="60"/>
      <c r="B3018" s="60"/>
      <c r="C3018" s="60"/>
      <c r="D3018" s="60"/>
      <c r="E3018" s="62" t="str">
        <f t="shared" si="5153"/>
        <v/>
      </c>
      <c r="F3018" s="62" t="str">
        <f t="shared" ref="F3018:G3018" si="6036">IF(isblank(F$1),,IF(isblank($A3018),,IFERROR(vlookup($A3018,indirect("'TVC-"&amp;text(month(F$1),"00")&amp;"'!$A:$D"),4,false),1)))</f>
        <v/>
      </c>
      <c r="G3018" s="62" t="str">
        <f t="shared" si="6036"/>
        <v/>
      </c>
      <c r="H3018" s="62">
        <f t="shared" ref="H3018:Q3018" si="6037">IF(isblank(H$1),,IFERROR(vlookup($A3018,indirect("'TVC-"&amp;text(month(H$1),"00")&amp;"'!$A:$D"),4,false),1))</f>
        <v>1</v>
      </c>
      <c r="I3018" s="62">
        <f t="shared" si="6037"/>
        <v>1</v>
      </c>
      <c r="J3018" s="62">
        <f t="shared" si="6037"/>
        <v>1</v>
      </c>
      <c r="K3018" s="62">
        <f t="shared" si="6037"/>
        <v>1</v>
      </c>
      <c r="L3018" s="62">
        <f t="shared" si="6037"/>
        <v>1</v>
      </c>
      <c r="M3018" s="62">
        <f t="shared" si="6037"/>
        <v>1</v>
      </c>
      <c r="N3018" s="62">
        <f t="shared" si="6037"/>
        <v>1</v>
      </c>
      <c r="O3018" s="62">
        <f t="shared" si="6037"/>
        <v>1</v>
      </c>
      <c r="P3018" s="62" t="str">
        <f t="shared" si="6037"/>
        <v/>
      </c>
      <c r="Q3018" s="62" t="str">
        <f t="shared" si="6037"/>
        <v/>
      </c>
      <c r="R3018" s="62">
        <f t="shared" si="7"/>
        <v>0</v>
      </c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</row>
    <row r="3019" hidden="1">
      <c r="A3019" s="60"/>
      <c r="B3019" s="60"/>
      <c r="C3019" s="60"/>
      <c r="D3019" s="60"/>
      <c r="E3019" s="62" t="str">
        <f t="shared" si="5153"/>
        <v/>
      </c>
      <c r="F3019" s="62" t="str">
        <f t="shared" ref="F3019:G3019" si="6038">IF(isblank(F$1),,IF(isblank($A3019),,IFERROR(vlookup($A3019,indirect("'TVC-"&amp;text(month(F$1),"00")&amp;"'!$A:$D"),4,false),1)))</f>
        <v/>
      </c>
      <c r="G3019" s="62" t="str">
        <f t="shared" si="6038"/>
        <v/>
      </c>
      <c r="H3019" s="62">
        <f t="shared" ref="H3019:Q3019" si="6039">IF(isblank(H$1),,IFERROR(vlookup($A3019,indirect("'TVC-"&amp;text(month(H$1),"00")&amp;"'!$A:$D"),4,false),1))</f>
        <v>1</v>
      </c>
      <c r="I3019" s="62">
        <f t="shared" si="6039"/>
        <v>1</v>
      </c>
      <c r="J3019" s="62">
        <f t="shared" si="6039"/>
        <v>1</v>
      </c>
      <c r="K3019" s="62">
        <f t="shared" si="6039"/>
        <v>1</v>
      </c>
      <c r="L3019" s="62">
        <f t="shared" si="6039"/>
        <v>1</v>
      </c>
      <c r="M3019" s="62">
        <f t="shared" si="6039"/>
        <v>1</v>
      </c>
      <c r="N3019" s="62">
        <f t="shared" si="6039"/>
        <v>1</v>
      </c>
      <c r="O3019" s="62">
        <f t="shared" si="6039"/>
        <v>1</v>
      </c>
      <c r="P3019" s="62" t="str">
        <f t="shared" si="6039"/>
        <v/>
      </c>
      <c r="Q3019" s="62" t="str">
        <f t="shared" si="6039"/>
        <v/>
      </c>
      <c r="R3019" s="62">
        <f t="shared" si="7"/>
        <v>0</v>
      </c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</row>
    <row r="3020" hidden="1">
      <c r="A3020" s="60"/>
      <c r="B3020" s="60"/>
      <c r="C3020" s="60"/>
      <c r="D3020" s="60"/>
      <c r="E3020" s="62" t="str">
        <f t="shared" si="5153"/>
        <v/>
      </c>
      <c r="F3020" s="62" t="str">
        <f t="shared" ref="F3020:G3020" si="6040">IF(isblank(F$1),,IF(isblank($A3020),,IFERROR(vlookup($A3020,indirect("'TVC-"&amp;text(month(F$1),"00")&amp;"'!$A:$D"),4,false),1)))</f>
        <v/>
      </c>
      <c r="G3020" s="62" t="str">
        <f t="shared" si="6040"/>
        <v/>
      </c>
      <c r="H3020" s="62">
        <f t="shared" ref="H3020:Q3020" si="6041">IF(isblank(H$1),,IFERROR(vlookup($A3020,indirect("'TVC-"&amp;text(month(H$1),"00")&amp;"'!$A:$D"),4,false),1))</f>
        <v>1</v>
      </c>
      <c r="I3020" s="62">
        <f t="shared" si="6041"/>
        <v>1</v>
      </c>
      <c r="J3020" s="62">
        <f t="shared" si="6041"/>
        <v>1</v>
      </c>
      <c r="K3020" s="62">
        <f t="shared" si="6041"/>
        <v>1</v>
      </c>
      <c r="L3020" s="62">
        <f t="shared" si="6041"/>
        <v>1</v>
      </c>
      <c r="M3020" s="62">
        <f t="shared" si="6041"/>
        <v>1</v>
      </c>
      <c r="N3020" s="62">
        <f t="shared" si="6041"/>
        <v>1</v>
      </c>
      <c r="O3020" s="62">
        <f t="shared" si="6041"/>
        <v>1</v>
      </c>
      <c r="P3020" s="62" t="str">
        <f t="shared" si="6041"/>
        <v/>
      </c>
      <c r="Q3020" s="62" t="str">
        <f t="shared" si="6041"/>
        <v/>
      </c>
      <c r="R3020" s="62">
        <f t="shared" si="7"/>
        <v>0</v>
      </c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</row>
    <row r="3021" hidden="1">
      <c r="A3021" s="60"/>
      <c r="B3021" s="60"/>
      <c r="C3021" s="60"/>
      <c r="D3021" s="60"/>
      <c r="E3021" s="62" t="str">
        <f t="shared" si="5153"/>
        <v/>
      </c>
      <c r="F3021" s="62" t="str">
        <f t="shared" ref="F3021:G3021" si="6042">IF(isblank(F$1),,IF(isblank($A3021),,IFERROR(vlookup($A3021,indirect("'TVC-"&amp;text(month(F$1),"00")&amp;"'!$A:$D"),4,false),1)))</f>
        <v/>
      </c>
      <c r="G3021" s="62" t="str">
        <f t="shared" si="6042"/>
        <v/>
      </c>
      <c r="H3021" s="62">
        <f t="shared" ref="H3021:Q3021" si="6043">IF(isblank(H$1),,IFERROR(vlookup($A3021,indirect("'TVC-"&amp;text(month(H$1),"00")&amp;"'!$A:$D"),4,false),1))</f>
        <v>1</v>
      </c>
      <c r="I3021" s="62">
        <f t="shared" si="6043"/>
        <v>1</v>
      </c>
      <c r="J3021" s="62">
        <f t="shared" si="6043"/>
        <v>1</v>
      </c>
      <c r="K3021" s="62">
        <f t="shared" si="6043"/>
        <v>1</v>
      </c>
      <c r="L3021" s="62">
        <f t="shared" si="6043"/>
        <v>1</v>
      </c>
      <c r="M3021" s="62">
        <f t="shared" si="6043"/>
        <v>1</v>
      </c>
      <c r="N3021" s="62">
        <f t="shared" si="6043"/>
        <v>1</v>
      </c>
      <c r="O3021" s="62">
        <f t="shared" si="6043"/>
        <v>1</v>
      </c>
      <c r="P3021" s="62" t="str">
        <f t="shared" si="6043"/>
        <v/>
      </c>
      <c r="Q3021" s="62" t="str">
        <f t="shared" si="6043"/>
        <v/>
      </c>
      <c r="R3021" s="62">
        <f t="shared" si="7"/>
        <v>0</v>
      </c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</row>
    <row r="3022" hidden="1">
      <c r="A3022" s="60"/>
      <c r="B3022" s="60"/>
      <c r="C3022" s="60"/>
      <c r="D3022" s="60"/>
      <c r="E3022" s="62" t="str">
        <f t="shared" si="5153"/>
        <v/>
      </c>
      <c r="F3022" s="62" t="str">
        <f t="shared" ref="F3022:G3022" si="6044">IF(isblank(F$1),,IF(isblank($A3022),,IFERROR(vlookup($A3022,indirect("'TVC-"&amp;text(month(F$1),"00")&amp;"'!$A:$D"),4,false),1)))</f>
        <v/>
      </c>
      <c r="G3022" s="62" t="str">
        <f t="shared" si="6044"/>
        <v/>
      </c>
      <c r="H3022" s="62">
        <f t="shared" ref="H3022:Q3022" si="6045">IF(isblank(H$1),,IFERROR(vlookup($A3022,indirect("'TVC-"&amp;text(month(H$1),"00")&amp;"'!$A:$D"),4,false),1))</f>
        <v>1</v>
      </c>
      <c r="I3022" s="62">
        <f t="shared" si="6045"/>
        <v>1</v>
      </c>
      <c r="J3022" s="62">
        <f t="shared" si="6045"/>
        <v>1</v>
      </c>
      <c r="K3022" s="62">
        <f t="shared" si="6045"/>
        <v>1</v>
      </c>
      <c r="L3022" s="62">
        <f t="shared" si="6045"/>
        <v>1</v>
      </c>
      <c r="M3022" s="62">
        <f t="shared" si="6045"/>
        <v>1</v>
      </c>
      <c r="N3022" s="62">
        <f t="shared" si="6045"/>
        <v>1</v>
      </c>
      <c r="O3022" s="62">
        <f t="shared" si="6045"/>
        <v>1</v>
      </c>
      <c r="P3022" s="62" t="str">
        <f t="shared" si="6045"/>
        <v/>
      </c>
      <c r="Q3022" s="62" t="str">
        <f t="shared" si="6045"/>
        <v/>
      </c>
      <c r="R3022" s="62">
        <f t="shared" si="7"/>
        <v>0</v>
      </c>
      <c r="S3022" s="62"/>
      <c r="T3022" s="62"/>
      <c r="U3022" s="62"/>
      <c r="V3022" s="62"/>
      <c r="W3022" s="62"/>
      <c r="X3022" s="62"/>
      <c r="Y3022" s="62"/>
      <c r="Z3022" s="62"/>
      <c r="AA3022" s="62"/>
      <c r="AB3022" s="62"/>
      <c r="AC3022" s="62"/>
    </row>
    <row r="3023" hidden="1">
      <c r="A3023" s="60"/>
      <c r="B3023" s="60"/>
      <c r="C3023" s="60"/>
      <c r="D3023" s="60"/>
      <c r="E3023" s="62" t="str">
        <f t="shared" si="5153"/>
        <v/>
      </c>
      <c r="F3023" s="62" t="str">
        <f t="shared" ref="F3023:G3023" si="6046">IF(isblank(F$1),,IF(isblank($A3023),,IFERROR(vlookup($A3023,indirect("'TVC-"&amp;text(month(F$1),"00")&amp;"'!$A:$D"),4,false),1)))</f>
        <v/>
      </c>
      <c r="G3023" s="62" t="str">
        <f t="shared" si="6046"/>
        <v/>
      </c>
      <c r="H3023" s="62">
        <f t="shared" ref="H3023:Q3023" si="6047">IF(isblank(H$1),,IFERROR(vlookup($A3023,indirect("'TVC-"&amp;text(month(H$1),"00")&amp;"'!$A:$D"),4,false),1))</f>
        <v>1</v>
      </c>
      <c r="I3023" s="62">
        <f t="shared" si="6047"/>
        <v>1</v>
      </c>
      <c r="J3023" s="62">
        <f t="shared" si="6047"/>
        <v>1</v>
      </c>
      <c r="K3023" s="62">
        <f t="shared" si="6047"/>
        <v>1</v>
      </c>
      <c r="L3023" s="62">
        <f t="shared" si="6047"/>
        <v>1</v>
      </c>
      <c r="M3023" s="62">
        <f t="shared" si="6047"/>
        <v>1</v>
      </c>
      <c r="N3023" s="62">
        <f t="shared" si="6047"/>
        <v>1</v>
      </c>
      <c r="O3023" s="62">
        <f t="shared" si="6047"/>
        <v>1</v>
      </c>
      <c r="P3023" s="62" t="str">
        <f t="shared" si="6047"/>
        <v/>
      </c>
      <c r="Q3023" s="62" t="str">
        <f t="shared" si="6047"/>
        <v/>
      </c>
      <c r="R3023" s="62">
        <f t="shared" si="7"/>
        <v>0</v>
      </c>
      <c r="S3023" s="62"/>
      <c r="T3023" s="62"/>
      <c r="U3023" s="62"/>
      <c r="V3023" s="62"/>
      <c r="W3023" s="62"/>
      <c r="X3023" s="62"/>
      <c r="Y3023" s="62"/>
      <c r="Z3023" s="62"/>
      <c r="AA3023" s="62"/>
      <c r="AB3023" s="62"/>
      <c r="AC3023" s="62"/>
    </row>
    <row r="3024" hidden="1">
      <c r="A3024" s="60"/>
      <c r="B3024" s="60"/>
      <c r="C3024" s="60"/>
      <c r="D3024" s="60"/>
      <c r="E3024" s="62" t="str">
        <f t="shared" si="5153"/>
        <v/>
      </c>
      <c r="F3024" s="62" t="str">
        <f t="shared" ref="F3024:G3024" si="6048">IF(isblank(F$1),,IF(isblank($A3024),,IFERROR(vlookup($A3024,indirect("'TVC-"&amp;text(month(F$1),"00")&amp;"'!$A:$D"),4,false),1)))</f>
        <v/>
      </c>
      <c r="G3024" s="62" t="str">
        <f t="shared" si="6048"/>
        <v/>
      </c>
      <c r="H3024" s="62">
        <f t="shared" ref="H3024:Q3024" si="6049">IF(isblank(H$1),,IFERROR(vlookup($A3024,indirect("'TVC-"&amp;text(month(H$1),"00")&amp;"'!$A:$D"),4,false),1))</f>
        <v>1</v>
      </c>
      <c r="I3024" s="62">
        <f t="shared" si="6049"/>
        <v>1</v>
      </c>
      <c r="J3024" s="62">
        <f t="shared" si="6049"/>
        <v>1</v>
      </c>
      <c r="K3024" s="62">
        <f t="shared" si="6049"/>
        <v>1</v>
      </c>
      <c r="L3024" s="62">
        <f t="shared" si="6049"/>
        <v>1</v>
      </c>
      <c r="M3024" s="62">
        <f t="shared" si="6049"/>
        <v>1</v>
      </c>
      <c r="N3024" s="62">
        <f t="shared" si="6049"/>
        <v>1</v>
      </c>
      <c r="O3024" s="62">
        <f t="shared" si="6049"/>
        <v>1</v>
      </c>
      <c r="P3024" s="62" t="str">
        <f t="shared" si="6049"/>
        <v/>
      </c>
      <c r="Q3024" s="62" t="str">
        <f t="shared" si="6049"/>
        <v/>
      </c>
      <c r="R3024" s="62">
        <f t="shared" si="7"/>
        <v>0</v>
      </c>
      <c r="S3024" s="62"/>
      <c r="T3024" s="62"/>
      <c r="U3024" s="62"/>
      <c r="V3024" s="62"/>
      <c r="W3024" s="62"/>
      <c r="X3024" s="62"/>
      <c r="Y3024" s="62"/>
      <c r="Z3024" s="62"/>
      <c r="AA3024" s="62"/>
      <c r="AB3024" s="62"/>
      <c r="AC3024" s="62"/>
    </row>
    <row r="3025" hidden="1">
      <c r="A3025" s="60"/>
      <c r="B3025" s="60"/>
      <c r="C3025" s="60"/>
      <c r="D3025" s="60"/>
      <c r="E3025" s="62" t="str">
        <f t="shared" si="5153"/>
        <v/>
      </c>
      <c r="F3025" s="62" t="str">
        <f t="shared" ref="F3025:G3025" si="6050">IF(isblank(F$1),,IF(isblank($A3025),,IFERROR(vlookup($A3025,indirect("'TVC-"&amp;text(month(F$1),"00")&amp;"'!$A:$D"),4,false),1)))</f>
        <v/>
      </c>
      <c r="G3025" s="62" t="str">
        <f t="shared" si="6050"/>
        <v/>
      </c>
      <c r="H3025" s="62">
        <f t="shared" ref="H3025:Q3025" si="6051">IF(isblank(H$1),,IFERROR(vlookup($A3025,indirect("'TVC-"&amp;text(month(H$1),"00")&amp;"'!$A:$D"),4,false),1))</f>
        <v>1</v>
      </c>
      <c r="I3025" s="62">
        <f t="shared" si="6051"/>
        <v>1</v>
      </c>
      <c r="J3025" s="62">
        <f t="shared" si="6051"/>
        <v>1</v>
      </c>
      <c r="K3025" s="62">
        <f t="shared" si="6051"/>
        <v>1</v>
      </c>
      <c r="L3025" s="62">
        <f t="shared" si="6051"/>
        <v>1</v>
      </c>
      <c r="M3025" s="62">
        <f t="shared" si="6051"/>
        <v>1</v>
      </c>
      <c r="N3025" s="62">
        <f t="shared" si="6051"/>
        <v>1</v>
      </c>
      <c r="O3025" s="62">
        <f t="shared" si="6051"/>
        <v>1</v>
      </c>
      <c r="P3025" s="62" t="str">
        <f t="shared" si="6051"/>
        <v/>
      </c>
      <c r="Q3025" s="62" t="str">
        <f t="shared" si="6051"/>
        <v/>
      </c>
      <c r="R3025" s="62">
        <f t="shared" si="7"/>
        <v>0</v>
      </c>
      <c r="S3025" s="62"/>
      <c r="T3025" s="62"/>
      <c r="U3025" s="62"/>
      <c r="V3025" s="62"/>
      <c r="W3025" s="62"/>
      <c r="X3025" s="62"/>
      <c r="Y3025" s="62"/>
      <c r="Z3025" s="62"/>
      <c r="AA3025" s="62"/>
      <c r="AB3025" s="62"/>
      <c r="AC3025" s="62"/>
    </row>
    <row r="3026" hidden="1">
      <c r="A3026" s="60"/>
      <c r="B3026" s="60"/>
      <c r="C3026" s="60"/>
      <c r="D3026" s="60"/>
      <c r="E3026" s="62" t="str">
        <f t="shared" si="5153"/>
        <v/>
      </c>
      <c r="F3026" s="62" t="str">
        <f t="shared" ref="F3026:G3026" si="6052">IF(isblank(F$1),,IF(isblank($A3026),,IFERROR(vlookup($A3026,indirect("'TVC-"&amp;text(month(F$1),"00")&amp;"'!$A:$D"),4,false),1)))</f>
        <v/>
      </c>
      <c r="G3026" s="62" t="str">
        <f t="shared" si="6052"/>
        <v/>
      </c>
      <c r="H3026" s="62">
        <f t="shared" ref="H3026:Q3026" si="6053">IF(isblank(H$1),,IFERROR(vlookup($A3026,indirect("'TVC-"&amp;text(month(H$1),"00")&amp;"'!$A:$D"),4,false),1))</f>
        <v>1</v>
      </c>
      <c r="I3026" s="62">
        <f t="shared" si="6053"/>
        <v>1</v>
      </c>
      <c r="J3026" s="62">
        <f t="shared" si="6053"/>
        <v>1</v>
      </c>
      <c r="K3026" s="62">
        <f t="shared" si="6053"/>
        <v>1</v>
      </c>
      <c r="L3026" s="62">
        <f t="shared" si="6053"/>
        <v>1</v>
      </c>
      <c r="M3026" s="62">
        <f t="shared" si="6053"/>
        <v>1</v>
      </c>
      <c r="N3026" s="62">
        <f t="shared" si="6053"/>
        <v>1</v>
      </c>
      <c r="O3026" s="62">
        <f t="shared" si="6053"/>
        <v>1</v>
      </c>
      <c r="P3026" s="62" t="str">
        <f t="shared" si="6053"/>
        <v/>
      </c>
      <c r="Q3026" s="62" t="str">
        <f t="shared" si="6053"/>
        <v/>
      </c>
      <c r="R3026" s="62">
        <f t="shared" si="7"/>
        <v>0</v>
      </c>
      <c r="S3026" s="62"/>
      <c r="T3026" s="62"/>
      <c r="U3026" s="62"/>
      <c r="V3026" s="62"/>
      <c r="W3026" s="62"/>
      <c r="X3026" s="62"/>
      <c r="Y3026" s="62"/>
      <c r="Z3026" s="62"/>
      <c r="AA3026" s="62"/>
      <c r="AB3026" s="62"/>
      <c r="AC3026" s="62"/>
    </row>
    <row r="3027" hidden="1">
      <c r="A3027" s="60"/>
      <c r="B3027" s="60"/>
      <c r="C3027" s="60"/>
      <c r="D3027" s="60"/>
      <c r="E3027" s="62" t="str">
        <f t="shared" si="5153"/>
        <v/>
      </c>
      <c r="F3027" s="62" t="str">
        <f t="shared" ref="F3027:G3027" si="6054">IF(isblank(F$1),,IF(isblank($A3027),,IFERROR(vlookup($A3027,indirect("'TVC-"&amp;text(month(F$1),"00")&amp;"'!$A:$D"),4,false),1)))</f>
        <v/>
      </c>
      <c r="G3027" s="62" t="str">
        <f t="shared" si="6054"/>
        <v/>
      </c>
      <c r="H3027" s="62">
        <f t="shared" ref="H3027:Q3027" si="6055">IF(isblank(H$1),,IFERROR(vlookup($A3027,indirect("'TVC-"&amp;text(month(H$1),"00")&amp;"'!$A:$D"),4,false),1))</f>
        <v>1</v>
      </c>
      <c r="I3027" s="62">
        <f t="shared" si="6055"/>
        <v>1</v>
      </c>
      <c r="J3027" s="62">
        <f t="shared" si="6055"/>
        <v>1</v>
      </c>
      <c r="K3027" s="62">
        <f t="shared" si="6055"/>
        <v>1</v>
      </c>
      <c r="L3027" s="62">
        <f t="shared" si="6055"/>
        <v>1</v>
      </c>
      <c r="M3027" s="62">
        <f t="shared" si="6055"/>
        <v>1</v>
      </c>
      <c r="N3027" s="62">
        <f t="shared" si="6055"/>
        <v>1</v>
      </c>
      <c r="O3027" s="62">
        <f t="shared" si="6055"/>
        <v>1</v>
      </c>
      <c r="P3027" s="62" t="str">
        <f t="shared" si="6055"/>
        <v/>
      </c>
      <c r="Q3027" s="62" t="str">
        <f t="shared" si="6055"/>
        <v/>
      </c>
      <c r="R3027" s="62">
        <f t="shared" si="7"/>
        <v>0</v>
      </c>
      <c r="S3027" s="62"/>
      <c r="T3027" s="62"/>
      <c r="U3027" s="62"/>
      <c r="V3027" s="62"/>
      <c r="W3027" s="62"/>
      <c r="X3027" s="62"/>
      <c r="Y3027" s="62"/>
      <c r="Z3027" s="62"/>
      <c r="AA3027" s="62"/>
      <c r="AB3027" s="62"/>
      <c r="AC3027" s="62"/>
    </row>
    <row r="3028" hidden="1">
      <c r="A3028" s="60"/>
      <c r="B3028" s="60"/>
      <c r="C3028" s="60"/>
      <c r="D3028" s="60"/>
      <c r="E3028" s="62" t="str">
        <f t="shared" si="5153"/>
        <v/>
      </c>
      <c r="F3028" s="62" t="str">
        <f t="shared" ref="F3028:G3028" si="6056">IF(isblank(F$1),,IF(isblank($A3028),,IFERROR(vlookup($A3028,indirect("'TVC-"&amp;text(month(F$1),"00")&amp;"'!$A:$D"),4,false),1)))</f>
        <v/>
      </c>
      <c r="G3028" s="62" t="str">
        <f t="shared" si="6056"/>
        <v/>
      </c>
      <c r="H3028" s="62">
        <f t="shared" ref="H3028:Q3028" si="6057">IF(isblank(H$1),,IFERROR(vlookup($A3028,indirect("'TVC-"&amp;text(month(H$1),"00")&amp;"'!$A:$D"),4,false),1))</f>
        <v>1</v>
      </c>
      <c r="I3028" s="62">
        <f t="shared" si="6057"/>
        <v>1</v>
      </c>
      <c r="J3028" s="62">
        <f t="shared" si="6057"/>
        <v>1</v>
      </c>
      <c r="K3028" s="62">
        <f t="shared" si="6057"/>
        <v>1</v>
      </c>
      <c r="L3028" s="62">
        <f t="shared" si="6057"/>
        <v>1</v>
      </c>
      <c r="M3028" s="62">
        <f t="shared" si="6057"/>
        <v>1</v>
      </c>
      <c r="N3028" s="62">
        <f t="shared" si="6057"/>
        <v>1</v>
      </c>
      <c r="O3028" s="62">
        <f t="shared" si="6057"/>
        <v>1</v>
      </c>
      <c r="P3028" s="62" t="str">
        <f t="shared" si="6057"/>
        <v/>
      </c>
      <c r="Q3028" s="62" t="str">
        <f t="shared" si="6057"/>
        <v/>
      </c>
      <c r="R3028" s="62">
        <f t="shared" si="7"/>
        <v>0</v>
      </c>
      <c r="S3028" s="62"/>
      <c r="T3028" s="62"/>
      <c r="U3028" s="62"/>
      <c r="V3028" s="62"/>
      <c r="W3028" s="62"/>
      <c r="X3028" s="62"/>
      <c r="Y3028" s="62"/>
      <c r="Z3028" s="62"/>
      <c r="AA3028" s="62"/>
      <c r="AB3028" s="62"/>
      <c r="AC3028" s="62"/>
    </row>
    <row r="3029" hidden="1">
      <c r="A3029" s="60"/>
      <c r="B3029" s="60"/>
      <c r="C3029" s="60"/>
      <c r="D3029" s="60"/>
      <c r="E3029" s="62" t="str">
        <f t="shared" si="5153"/>
        <v/>
      </c>
      <c r="F3029" s="62" t="str">
        <f t="shared" ref="F3029:G3029" si="6058">IF(isblank(F$1),,IF(isblank($A3029),,IFERROR(vlookup($A3029,indirect("'TVC-"&amp;text(month(F$1),"00")&amp;"'!$A:$D"),4,false),1)))</f>
        <v/>
      </c>
      <c r="G3029" s="62" t="str">
        <f t="shared" si="6058"/>
        <v/>
      </c>
      <c r="H3029" s="62">
        <f t="shared" ref="H3029:Q3029" si="6059">IF(isblank(H$1),,IFERROR(vlookup($A3029,indirect("'TVC-"&amp;text(month(H$1),"00")&amp;"'!$A:$D"),4,false),1))</f>
        <v>1</v>
      </c>
      <c r="I3029" s="62">
        <f t="shared" si="6059"/>
        <v>1</v>
      </c>
      <c r="J3029" s="62">
        <f t="shared" si="6059"/>
        <v>1</v>
      </c>
      <c r="K3029" s="62">
        <f t="shared" si="6059"/>
        <v>1</v>
      </c>
      <c r="L3029" s="62">
        <f t="shared" si="6059"/>
        <v>1</v>
      </c>
      <c r="M3029" s="62">
        <f t="shared" si="6059"/>
        <v>1</v>
      </c>
      <c r="N3029" s="62">
        <f t="shared" si="6059"/>
        <v>1</v>
      </c>
      <c r="O3029" s="62">
        <f t="shared" si="6059"/>
        <v>1</v>
      </c>
      <c r="P3029" s="62" t="str">
        <f t="shared" si="6059"/>
        <v/>
      </c>
      <c r="Q3029" s="62" t="str">
        <f t="shared" si="6059"/>
        <v/>
      </c>
      <c r="R3029" s="62">
        <f t="shared" si="7"/>
        <v>0</v>
      </c>
      <c r="S3029" s="62"/>
      <c r="T3029" s="62"/>
      <c r="U3029" s="62"/>
      <c r="V3029" s="62"/>
      <c r="W3029" s="62"/>
      <c r="X3029" s="62"/>
      <c r="Y3029" s="62"/>
      <c r="Z3029" s="62"/>
      <c r="AA3029" s="62"/>
      <c r="AB3029" s="62"/>
      <c r="AC3029" s="62"/>
    </row>
    <row r="3030" hidden="1">
      <c r="A3030" s="60"/>
      <c r="B3030" s="60"/>
      <c r="C3030" s="60"/>
      <c r="D3030" s="60"/>
      <c r="E3030" s="62" t="str">
        <f t="shared" si="5153"/>
        <v/>
      </c>
      <c r="F3030" s="62" t="str">
        <f t="shared" ref="F3030:G3030" si="6060">IF(isblank(F$1),,IF(isblank($A3030),,IFERROR(vlookup($A3030,indirect("'TVC-"&amp;text(month(F$1),"00")&amp;"'!$A:$D"),4,false),1)))</f>
        <v/>
      </c>
      <c r="G3030" s="62" t="str">
        <f t="shared" si="6060"/>
        <v/>
      </c>
      <c r="H3030" s="62">
        <f t="shared" ref="H3030:Q3030" si="6061">IF(isblank(H$1),,IFERROR(vlookup($A3030,indirect("'TVC-"&amp;text(month(H$1),"00")&amp;"'!$A:$D"),4,false),1))</f>
        <v>1</v>
      </c>
      <c r="I3030" s="62">
        <f t="shared" si="6061"/>
        <v>1</v>
      </c>
      <c r="J3030" s="62">
        <f t="shared" si="6061"/>
        <v>1</v>
      </c>
      <c r="K3030" s="62">
        <f t="shared" si="6061"/>
        <v>1</v>
      </c>
      <c r="L3030" s="62">
        <f t="shared" si="6061"/>
        <v>1</v>
      </c>
      <c r="M3030" s="62">
        <f t="shared" si="6061"/>
        <v>1</v>
      </c>
      <c r="N3030" s="62">
        <f t="shared" si="6061"/>
        <v>1</v>
      </c>
      <c r="O3030" s="62">
        <f t="shared" si="6061"/>
        <v>1</v>
      </c>
      <c r="P3030" s="62" t="str">
        <f t="shared" si="6061"/>
        <v/>
      </c>
      <c r="Q3030" s="62" t="str">
        <f t="shared" si="6061"/>
        <v/>
      </c>
      <c r="R3030" s="62">
        <f t="shared" si="7"/>
        <v>0</v>
      </c>
      <c r="S3030" s="62"/>
      <c r="T3030" s="62"/>
      <c r="U3030" s="62"/>
      <c r="V3030" s="62"/>
      <c r="W3030" s="62"/>
      <c r="X3030" s="62"/>
      <c r="Y3030" s="62"/>
      <c r="Z3030" s="62"/>
      <c r="AA3030" s="62"/>
      <c r="AB3030" s="62"/>
      <c r="AC3030" s="62"/>
    </row>
    <row r="3031" hidden="1">
      <c r="A3031" s="60"/>
      <c r="B3031" s="60"/>
      <c r="C3031" s="60"/>
      <c r="D3031" s="60"/>
      <c r="E3031" s="62" t="str">
        <f t="shared" si="5153"/>
        <v/>
      </c>
      <c r="F3031" s="62" t="str">
        <f t="shared" ref="F3031:G3031" si="6062">IF(isblank(F$1),,IF(isblank($A3031),,IFERROR(vlookup($A3031,indirect("'TVC-"&amp;text(month(F$1),"00")&amp;"'!$A:$D"),4,false),1)))</f>
        <v/>
      </c>
      <c r="G3031" s="62" t="str">
        <f t="shared" si="6062"/>
        <v/>
      </c>
      <c r="H3031" s="62">
        <f t="shared" ref="H3031:Q3031" si="6063">IF(isblank(H$1),,IFERROR(vlookup($A3031,indirect("'TVC-"&amp;text(month(H$1),"00")&amp;"'!$A:$D"),4,false),1))</f>
        <v>1</v>
      </c>
      <c r="I3031" s="62">
        <f t="shared" si="6063"/>
        <v>1</v>
      </c>
      <c r="J3031" s="62">
        <f t="shared" si="6063"/>
        <v>1</v>
      </c>
      <c r="K3031" s="62">
        <f t="shared" si="6063"/>
        <v>1</v>
      </c>
      <c r="L3031" s="62">
        <f t="shared" si="6063"/>
        <v>1</v>
      </c>
      <c r="M3031" s="62">
        <f t="shared" si="6063"/>
        <v>1</v>
      </c>
      <c r="N3031" s="62">
        <f t="shared" si="6063"/>
        <v>1</v>
      </c>
      <c r="O3031" s="62">
        <f t="shared" si="6063"/>
        <v>1</v>
      </c>
      <c r="P3031" s="62" t="str">
        <f t="shared" si="6063"/>
        <v/>
      </c>
      <c r="Q3031" s="62" t="str">
        <f t="shared" si="6063"/>
        <v/>
      </c>
      <c r="R3031" s="62">
        <f t="shared" si="7"/>
        <v>0</v>
      </c>
      <c r="S3031" s="62"/>
      <c r="T3031" s="62"/>
      <c r="U3031" s="62"/>
      <c r="V3031" s="62"/>
      <c r="W3031" s="62"/>
      <c r="X3031" s="62"/>
      <c r="Y3031" s="62"/>
      <c r="Z3031" s="62"/>
      <c r="AA3031" s="62"/>
      <c r="AB3031" s="62"/>
      <c r="AC3031" s="62"/>
    </row>
    <row r="3032" hidden="1">
      <c r="A3032" s="60"/>
      <c r="B3032" s="60"/>
      <c r="C3032" s="60"/>
      <c r="D3032" s="60"/>
      <c r="E3032" s="62" t="str">
        <f t="shared" si="5153"/>
        <v/>
      </c>
      <c r="F3032" s="62" t="str">
        <f t="shared" ref="F3032:G3032" si="6064">IF(isblank(F$1),,IF(isblank($A3032),,IFERROR(vlookup($A3032,indirect("'TVC-"&amp;text(month(F$1),"00")&amp;"'!$A:$D"),4,false),1)))</f>
        <v/>
      </c>
      <c r="G3032" s="62" t="str">
        <f t="shared" si="6064"/>
        <v/>
      </c>
      <c r="H3032" s="62">
        <f t="shared" ref="H3032:Q3032" si="6065">IF(isblank(H$1),,IFERROR(vlookup($A3032,indirect("'TVC-"&amp;text(month(H$1),"00")&amp;"'!$A:$D"),4,false),1))</f>
        <v>1</v>
      </c>
      <c r="I3032" s="62">
        <f t="shared" si="6065"/>
        <v>1</v>
      </c>
      <c r="J3032" s="62">
        <f t="shared" si="6065"/>
        <v>1</v>
      </c>
      <c r="K3032" s="62">
        <f t="shared" si="6065"/>
        <v>1</v>
      </c>
      <c r="L3032" s="62">
        <f t="shared" si="6065"/>
        <v>1</v>
      </c>
      <c r="M3032" s="62">
        <f t="shared" si="6065"/>
        <v>1</v>
      </c>
      <c r="N3032" s="62">
        <f t="shared" si="6065"/>
        <v>1</v>
      </c>
      <c r="O3032" s="62">
        <f t="shared" si="6065"/>
        <v>1</v>
      </c>
      <c r="P3032" s="62" t="str">
        <f t="shared" si="6065"/>
        <v/>
      </c>
      <c r="Q3032" s="62" t="str">
        <f t="shared" si="6065"/>
        <v/>
      </c>
      <c r="R3032" s="62">
        <f t="shared" si="7"/>
        <v>0</v>
      </c>
      <c r="S3032" s="62"/>
      <c r="T3032" s="62"/>
      <c r="U3032" s="62"/>
      <c r="V3032" s="62"/>
      <c r="W3032" s="62"/>
      <c r="X3032" s="62"/>
      <c r="Y3032" s="62"/>
      <c r="Z3032" s="62"/>
      <c r="AA3032" s="62"/>
      <c r="AB3032" s="62"/>
      <c r="AC3032" s="62"/>
    </row>
    <row r="3033" hidden="1">
      <c r="A3033" s="60"/>
      <c r="B3033" s="60"/>
      <c r="C3033" s="60"/>
      <c r="D3033" s="60"/>
      <c r="E3033" s="62" t="str">
        <f t="shared" si="5153"/>
        <v/>
      </c>
      <c r="F3033" s="62" t="str">
        <f t="shared" ref="F3033:G3033" si="6066">IF(isblank(F$1),,IF(isblank($A3033),,IFERROR(vlookup($A3033,indirect("'TVC-"&amp;text(month(F$1),"00")&amp;"'!$A:$D"),4,false),1)))</f>
        <v/>
      </c>
      <c r="G3033" s="62" t="str">
        <f t="shared" si="6066"/>
        <v/>
      </c>
      <c r="H3033" s="62">
        <f t="shared" ref="H3033:Q3033" si="6067">IF(isblank(H$1),,IFERROR(vlookup($A3033,indirect("'TVC-"&amp;text(month(H$1),"00")&amp;"'!$A:$D"),4,false),1))</f>
        <v>1</v>
      </c>
      <c r="I3033" s="62">
        <f t="shared" si="6067"/>
        <v>1</v>
      </c>
      <c r="J3033" s="62">
        <f t="shared" si="6067"/>
        <v>1</v>
      </c>
      <c r="K3033" s="62">
        <f t="shared" si="6067"/>
        <v>1</v>
      </c>
      <c r="L3033" s="62">
        <f t="shared" si="6067"/>
        <v>1</v>
      </c>
      <c r="M3033" s="62">
        <f t="shared" si="6067"/>
        <v>1</v>
      </c>
      <c r="N3033" s="62">
        <f t="shared" si="6067"/>
        <v>1</v>
      </c>
      <c r="O3033" s="62">
        <f t="shared" si="6067"/>
        <v>1</v>
      </c>
      <c r="P3033" s="62" t="str">
        <f t="shared" si="6067"/>
        <v/>
      </c>
      <c r="Q3033" s="62" t="str">
        <f t="shared" si="6067"/>
        <v/>
      </c>
      <c r="R3033" s="62">
        <f t="shared" si="7"/>
        <v>0</v>
      </c>
      <c r="S3033" s="62"/>
      <c r="T3033" s="62"/>
      <c r="U3033" s="62"/>
      <c r="V3033" s="62"/>
      <c r="W3033" s="62"/>
      <c r="X3033" s="62"/>
      <c r="Y3033" s="62"/>
      <c r="Z3033" s="62"/>
      <c r="AA3033" s="62"/>
      <c r="AB3033" s="62"/>
      <c r="AC3033" s="62"/>
    </row>
    <row r="3034" hidden="1">
      <c r="A3034" s="60"/>
      <c r="B3034" s="60"/>
      <c r="C3034" s="60"/>
      <c r="D3034" s="60"/>
      <c r="E3034" s="62" t="str">
        <f t="shared" si="5153"/>
        <v/>
      </c>
      <c r="F3034" s="62" t="str">
        <f t="shared" ref="F3034:G3034" si="6068">IF(isblank(F$1),,IF(isblank($A3034),,IFERROR(vlookup($A3034,indirect("'TVC-"&amp;text(month(F$1),"00")&amp;"'!$A:$D"),4,false),1)))</f>
        <v/>
      </c>
      <c r="G3034" s="62" t="str">
        <f t="shared" si="6068"/>
        <v/>
      </c>
      <c r="H3034" s="62">
        <f t="shared" ref="H3034:Q3034" si="6069">IF(isblank(H$1),,IFERROR(vlookup($A3034,indirect("'TVC-"&amp;text(month(H$1),"00")&amp;"'!$A:$D"),4,false),1))</f>
        <v>1</v>
      </c>
      <c r="I3034" s="62">
        <f t="shared" si="6069"/>
        <v>1</v>
      </c>
      <c r="J3034" s="62">
        <f t="shared" si="6069"/>
        <v>1</v>
      </c>
      <c r="K3034" s="62">
        <f t="shared" si="6069"/>
        <v>1</v>
      </c>
      <c r="L3034" s="62">
        <f t="shared" si="6069"/>
        <v>1</v>
      </c>
      <c r="M3034" s="62">
        <f t="shared" si="6069"/>
        <v>1</v>
      </c>
      <c r="N3034" s="62">
        <f t="shared" si="6069"/>
        <v>1</v>
      </c>
      <c r="O3034" s="62">
        <f t="shared" si="6069"/>
        <v>1</v>
      </c>
      <c r="P3034" s="62" t="str">
        <f t="shared" si="6069"/>
        <v/>
      </c>
      <c r="Q3034" s="62" t="str">
        <f t="shared" si="6069"/>
        <v/>
      </c>
      <c r="R3034" s="62">
        <f t="shared" si="7"/>
        <v>0</v>
      </c>
      <c r="S3034" s="62"/>
      <c r="T3034" s="62"/>
      <c r="U3034" s="62"/>
      <c r="V3034" s="62"/>
      <c r="W3034" s="62"/>
      <c r="X3034" s="62"/>
      <c r="Y3034" s="62"/>
      <c r="Z3034" s="62"/>
      <c r="AA3034" s="62"/>
      <c r="AB3034" s="62"/>
      <c r="AC3034" s="62"/>
    </row>
    <row r="3035" hidden="1">
      <c r="A3035" s="60"/>
      <c r="B3035" s="60"/>
      <c r="C3035" s="60"/>
      <c r="D3035" s="60"/>
      <c r="E3035" s="62" t="str">
        <f t="shared" si="5153"/>
        <v/>
      </c>
      <c r="F3035" s="62" t="str">
        <f t="shared" ref="F3035:G3035" si="6070">IF(isblank(F$1),,IF(isblank($A3035),,IFERROR(vlookup($A3035,indirect("'TVC-"&amp;text(month(F$1),"00")&amp;"'!$A:$D"),4,false),1)))</f>
        <v/>
      </c>
      <c r="G3035" s="62" t="str">
        <f t="shared" si="6070"/>
        <v/>
      </c>
      <c r="H3035" s="62">
        <f t="shared" ref="H3035:Q3035" si="6071">IF(isblank(H$1),,IFERROR(vlookup($A3035,indirect("'TVC-"&amp;text(month(H$1),"00")&amp;"'!$A:$D"),4,false),1))</f>
        <v>1</v>
      </c>
      <c r="I3035" s="62">
        <f t="shared" si="6071"/>
        <v>1</v>
      </c>
      <c r="J3035" s="62">
        <f t="shared" si="6071"/>
        <v>1</v>
      </c>
      <c r="K3035" s="62">
        <f t="shared" si="6071"/>
        <v>1</v>
      </c>
      <c r="L3035" s="62">
        <f t="shared" si="6071"/>
        <v>1</v>
      </c>
      <c r="M3035" s="62">
        <f t="shared" si="6071"/>
        <v>1</v>
      </c>
      <c r="N3035" s="62">
        <f t="shared" si="6071"/>
        <v>1</v>
      </c>
      <c r="O3035" s="62">
        <f t="shared" si="6071"/>
        <v>1</v>
      </c>
      <c r="P3035" s="62" t="str">
        <f t="shared" si="6071"/>
        <v/>
      </c>
      <c r="Q3035" s="62" t="str">
        <f t="shared" si="6071"/>
        <v/>
      </c>
      <c r="R3035" s="62">
        <f t="shared" si="7"/>
        <v>0</v>
      </c>
      <c r="S3035" s="62"/>
      <c r="T3035" s="62"/>
      <c r="U3035" s="62"/>
      <c r="V3035" s="62"/>
      <c r="W3035" s="62"/>
      <c r="X3035" s="62"/>
      <c r="Y3035" s="62"/>
      <c r="Z3035" s="62"/>
      <c r="AA3035" s="62"/>
      <c r="AB3035" s="62"/>
      <c r="AC3035" s="62"/>
    </row>
    <row r="3036" hidden="1">
      <c r="A3036" s="60"/>
      <c r="B3036" s="60"/>
      <c r="C3036" s="60"/>
      <c r="D3036" s="60"/>
      <c r="E3036" s="62" t="str">
        <f t="shared" si="5153"/>
        <v/>
      </c>
      <c r="F3036" s="62" t="str">
        <f t="shared" ref="F3036:G3036" si="6072">IF(isblank(F$1),,IF(isblank($A3036),,IFERROR(vlookup($A3036,indirect("'TVC-"&amp;text(month(F$1),"00")&amp;"'!$A:$D"),4,false),1)))</f>
        <v/>
      </c>
      <c r="G3036" s="62" t="str">
        <f t="shared" si="6072"/>
        <v/>
      </c>
      <c r="H3036" s="62">
        <f t="shared" ref="H3036:Q3036" si="6073">IF(isblank(H$1),,IFERROR(vlookup($A3036,indirect("'TVC-"&amp;text(month(H$1),"00")&amp;"'!$A:$D"),4,false),1))</f>
        <v>1</v>
      </c>
      <c r="I3036" s="62">
        <f t="shared" si="6073"/>
        <v>1</v>
      </c>
      <c r="J3036" s="62">
        <f t="shared" si="6073"/>
        <v>1</v>
      </c>
      <c r="K3036" s="62">
        <f t="shared" si="6073"/>
        <v>1</v>
      </c>
      <c r="L3036" s="62">
        <f t="shared" si="6073"/>
        <v>1</v>
      </c>
      <c r="M3036" s="62">
        <f t="shared" si="6073"/>
        <v>1</v>
      </c>
      <c r="N3036" s="62">
        <f t="shared" si="6073"/>
        <v>1</v>
      </c>
      <c r="O3036" s="62">
        <f t="shared" si="6073"/>
        <v>1</v>
      </c>
      <c r="P3036" s="62" t="str">
        <f t="shared" si="6073"/>
        <v/>
      </c>
      <c r="Q3036" s="62" t="str">
        <f t="shared" si="6073"/>
        <v/>
      </c>
      <c r="R3036" s="62">
        <f t="shared" si="7"/>
        <v>0</v>
      </c>
      <c r="S3036" s="62"/>
      <c r="T3036" s="62"/>
      <c r="U3036" s="62"/>
      <c r="V3036" s="62"/>
      <c r="W3036" s="62"/>
      <c r="X3036" s="62"/>
      <c r="Y3036" s="62"/>
      <c r="Z3036" s="62"/>
      <c r="AA3036" s="62"/>
      <c r="AB3036" s="62"/>
      <c r="AC3036" s="62"/>
    </row>
    <row r="3037" hidden="1">
      <c r="A3037" s="60"/>
      <c r="B3037" s="60"/>
      <c r="C3037" s="60"/>
      <c r="D3037" s="60"/>
      <c r="E3037" s="62" t="str">
        <f t="shared" si="5153"/>
        <v/>
      </c>
      <c r="F3037" s="62" t="str">
        <f t="shared" ref="F3037:G3037" si="6074">IF(isblank(F$1),,IF(isblank($A3037),,IFERROR(vlookup($A3037,indirect("'TVC-"&amp;text(month(F$1),"00")&amp;"'!$A:$D"),4,false),1)))</f>
        <v/>
      </c>
      <c r="G3037" s="62" t="str">
        <f t="shared" si="6074"/>
        <v/>
      </c>
      <c r="H3037" s="62">
        <f t="shared" ref="H3037:Q3037" si="6075">IF(isblank(H$1),,IFERROR(vlookup($A3037,indirect("'TVC-"&amp;text(month(H$1),"00")&amp;"'!$A:$D"),4,false),1))</f>
        <v>1</v>
      </c>
      <c r="I3037" s="62">
        <f t="shared" si="6075"/>
        <v>1</v>
      </c>
      <c r="J3037" s="62">
        <f t="shared" si="6075"/>
        <v>1</v>
      </c>
      <c r="K3037" s="62">
        <f t="shared" si="6075"/>
        <v>1</v>
      </c>
      <c r="L3037" s="62">
        <f t="shared" si="6075"/>
        <v>1</v>
      </c>
      <c r="M3037" s="62">
        <f t="shared" si="6075"/>
        <v>1</v>
      </c>
      <c r="N3037" s="62">
        <f t="shared" si="6075"/>
        <v>1</v>
      </c>
      <c r="O3037" s="62">
        <f t="shared" si="6075"/>
        <v>1</v>
      </c>
      <c r="P3037" s="62" t="str">
        <f t="shared" si="6075"/>
        <v/>
      </c>
      <c r="Q3037" s="62" t="str">
        <f t="shared" si="6075"/>
        <v/>
      </c>
      <c r="R3037" s="62">
        <f t="shared" si="7"/>
        <v>0</v>
      </c>
      <c r="S3037" s="62"/>
      <c r="T3037" s="62"/>
      <c r="U3037" s="62"/>
      <c r="V3037" s="62"/>
      <c r="W3037" s="62"/>
      <c r="X3037" s="62"/>
      <c r="Y3037" s="62"/>
      <c r="Z3037" s="62"/>
      <c r="AA3037" s="62"/>
      <c r="AB3037" s="62"/>
      <c r="AC3037" s="62"/>
    </row>
    <row r="3038" hidden="1">
      <c r="A3038" s="60"/>
      <c r="B3038" s="60"/>
      <c r="C3038" s="60"/>
      <c r="D3038" s="60"/>
      <c r="E3038" s="62" t="str">
        <f t="shared" si="5153"/>
        <v/>
      </c>
      <c r="F3038" s="62" t="str">
        <f t="shared" ref="F3038:G3038" si="6076">IF(isblank(F$1),,IF(isblank($A3038),,IFERROR(vlookup($A3038,indirect("'TVC-"&amp;text(month(F$1),"00")&amp;"'!$A:$D"),4,false),1)))</f>
        <v/>
      </c>
      <c r="G3038" s="62" t="str">
        <f t="shared" si="6076"/>
        <v/>
      </c>
      <c r="H3038" s="62">
        <f t="shared" ref="H3038:Q3038" si="6077">IF(isblank(H$1),,IFERROR(vlookup($A3038,indirect("'TVC-"&amp;text(month(H$1),"00")&amp;"'!$A:$D"),4,false),1))</f>
        <v>1</v>
      </c>
      <c r="I3038" s="62">
        <f t="shared" si="6077"/>
        <v>1</v>
      </c>
      <c r="J3038" s="62">
        <f t="shared" si="6077"/>
        <v>1</v>
      </c>
      <c r="K3038" s="62">
        <f t="shared" si="6077"/>
        <v>1</v>
      </c>
      <c r="L3038" s="62">
        <f t="shared" si="6077"/>
        <v>1</v>
      </c>
      <c r="M3038" s="62">
        <f t="shared" si="6077"/>
        <v>1</v>
      </c>
      <c r="N3038" s="62">
        <f t="shared" si="6077"/>
        <v>1</v>
      </c>
      <c r="O3038" s="62">
        <f t="shared" si="6077"/>
        <v>1</v>
      </c>
      <c r="P3038" s="62" t="str">
        <f t="shared" si="6077"/>
        <v/>
      </c>
      <c r="Q3038" s="62" t="str">
        <f t="shared" si="6077"/>
        <v/>
      </c>
      <c r="R3038" s="62">
        <f t="shared" si="7"/>
        <v>0</v>
      </c>
      <c r="S3038" s="62"/>
      <c r="T3038" s="62"/>
      <c r="U3038" s="62"/>
      <c r="V3038" s="62"/>
      <c r="W3038" s="62"/>
      <c r="X3038" s="62"/>
      <c r="Y3038" s="62"/>
      <c r="Z3038" s="62"/>
      <c r="AA3038" s="62"/>
      <c r="AB3038" s="62"/>
      <c r="AC3038" s="62"/>
    </row>
    <row r="3039" hidden="1">
      <c r="A3039" s="60"/>
      <c r="B3039" s="60"/>
      <c r="C3039" s="60"/>
      <c r="D3039" s="60"/>
      <c r="E3039" s="62" t="str">
        <f t="shared" si="5153"/>
        <v/>
      </c>
      <c r="F3039" s="62" t="str">
        <f t="shared" ref="F3039:G3039" si="6078">IF(isblank(F$1),,IF(isblank($A3039),,IFERROR(vlookup($A3039,indirect("'TVC-"&amp;text(month(F$1),"00")&amp;"'!$A:$D"),4,false),1)))</f>
        <v/>
      </c>
      <c r="G3039" s="62" t="str">
        <f t="shared" si="6078"/>
        <v/>
      </c>
      <c r="H3039" s="62">
        <f t="shared" ref="H3039:Q3039" si="6079">IF(isblank(H$1),,IFERROR(vlookup($A3039,indirect("'TVC-"&amp;text(month(H$1),"00")&amp;"'!$A:$D"),4,false),1))</f>
        <v>1</v>
      </c>
      <c r="I3039" s="62">
        <f t="shared" si="6079"/>
        <v>1</v>
      </c>
      <c r="J3039" s="62">
        <f t="shared" si="6079"/>
        <v>1</v>
      </c>
      <c r="K3039" s="62">
        <f t="shared" si="6079"/>
        <v>1</v>
      </c>
      <c r="L3039" s="62">
        <f t="shared" si="6079"/>
        <v>1</v>
      </c>
      <c r="M3039" s="62">
        <f t="shared" si="6079"/>
        <v>1</v>
      </c>
      <c r="N3039" s="62">
        <f t="shared" si="6079"/>
        <v>1</v>
      </c>
      <c r="O3039" s="62">
        <f t="shared" si="6079"/>
        <v>1</v>
      </c>
      <c r="P3039" s="62" t="str">
        <f t="shared" si="6079"/>
        <v/>
      </c>
      <c r="Q3039" s="62" t="str">
        <f t="shared" si="6079"/>
        <v/>
      </c>
      <c r="R3039" s="62">
        <f t="shared" si="7"/>
        <v>0</v>
      </c>
      <c r="S3039" s="62"/>
      <c r="T3039" s="62"/>
      <c r="U3039" s="62"/>
      <c r="V3039" s="62"/>
      <c r="W3039" s="62"/>
      <c r="X3039" s="62"/>
      <c r="Y3039" s="62"/>
      <c r="Z3039" s="62"/>
      <c r="AA3039" s="62"/>
      <c r="AB3039" s="62"/>
      <c r="AC3039" s="62"/>
    </row>
    <row r="3040" hidden="1">
      <c r="A3040" s="60"/>
      <c r="B3040" s="60"/>
      <c r="C3040" s="60"/>
      <c r="D3040" s="60"/>
      <c r="E3040" s="62" t="str">
        <f t="shared" si="5153"/>
        <v/>
      </c>
      <c r="F3040" s="62" t="str">
        <f t="shared" ref="F3040:G3040" si="6080">IF(isblank(F$1),,IF(isblank($A3040),,IFERROR(vlookup($A3040,indirect("'TVC-"&amp;text(month(F$1),"00")&amp;"'!$A:$D"),4,false),1)))</f>
        <v/>
      </c>
      <c r="G3040" s="62" t="str">
        <f t="shared" si="6080"/>
        <v/>
      </c>
      <c r="H3040" s="62">
        <f t="shared" ref="H3040:Q3040" si="6081">IF(isblank(H$1),,IFERROR(vlookup($A3040,indirect("'TVC-"&amp;text(month(H$1),"00")&amp;"'!$A:$D"),4,false),1))</f>
        <v>1</v>
      </c>
      <c r="I3040" s="62">
        <f t="shared" si="6081"/>
        <v>1</v>
      </c>
      <c r="J3040" s="62">
        <f t="shared" si="6081"/>
        <v>1</v>
      </c>
      <c r="K3040" s="62">
        <f t="shared" si="6081"/>
        <v>1</v>
      </c>
      <c r="L3040" s="62">
        <f t="shared" si="6081"/>
        <v>1</v>
      </c>
      <c r="M3040" s="62">
        <f t="shared" si="6081"/>
        <v>1</v>
      </c>
      <c r="N3040" s="62">
        <f t="shared" si="6081"/>
        <v>1</v>
      </c>
      <c r="O3040" s="62">
        <f t="shared" si="6081"/>
        <v>1</v>
      </c>
      <c r="P3040" s="62" t="str">
        <f t="shared" si="6081"/>
        <v/>
      </c>
      <c r="Q3040" s="62" t="str">
        <f t="shared" si="6081"/>
        <v/>
      </c>
      <c r="R3040" s="62">
        <f t="shared" si="7"/>
        <v>0</v>
      </c>
      <c r="S3040" s="62"/>
      <c r="T3040" s="62"/>
      <c r="U3040" s="62"/>
      <c r="V3040" s="62"/>
      <c r="W3040" s="62"/>
      <c r="X3040" s="62"/>
      <c r="Y3040" s="62"/>
      <c r="Z3040" s="62"/>
      <c r="AA3040" s="62"/>
      <c r="AB3040" s="62"/>
      <c r="AC3040" s="62"/>
    </row>
    <row r="3041" hidden="1">
      <c r="A3041" s="60"/>
      <c r="B3041" s="60"/>
      <c r="C3041" s="60"/>
      <c r="D3041" s="60"/>
      <c r="E3041" s="62" t="str">
        <f t="shared" si="5153"/>
        <v/>
      </c>
      <c r="F3041" s="62" t="str">
        <f t="shared" ref="F3041:G3041" si="6082">IF(isblank(F$1),,IF(isblank($A3041),,IFERROR(vlookup($A3041,indirect("'TVC-"&amp;text(month(F$1),"00")&amp;"'!$A:$D"),4,false),1)))</f>
        <v/>
      </c>
      <c r="G3041" s="62" t="str">
        <f t="shared" si="6082"/>
        <v/>
      </c>
      <c r="H3041" s="62">
        <f t="shared" ref="H3041:Q3041" si="6083">IF(isblank(H$1),,IFERROR(vlookup($A3041,indirect("'TVC-"&amp;text(month(H$1),"00")&amp;"'!$A:$D"),4,false),1))</f>
        <v>1</v>
      </c>
      <c r="I3041" s="62">
        <f t="shared" si="6083"/>
        <v>1</v>
      </c>
      <c r="J3041" s="62">
        <f t="shared" si="6083"/>
        <v>1</v>
      </c>
      <c r="K3041" s="62">
        <f t="shared" si="6083"/>
        <v>1</v>
      </c>
      <c r="L3041" s="62">
        <f t="shared" si="6083"/>
        <v>1</v>
      </c>
      <c r="M3041" s="62">
        <f t="shared" si="6083"/>
        <v>1</v>
      </c>
      <c r="N3041" s="62">
        <f t="shared" si="6083"/>
        <v>1</v>
      </c>
      <c r="O3041" s="62">
        <f t="shared" si="6083"/>
        <v>1</v>
      </c>
      <c r="P3041" s="62" t="str">
        <f t="shared" si="6083"/>
        <v/>
      </c>
      <c r="Q3041" s="62" t="str">
        <f t="shared" si="6083"/>
        <v/>
      </c>
      <c r="R3041" s="62">
        <f t="shared" si="7"/>
        <v>0</v>
      </c>
      <c r="S3041" s="62"/>
      <c r="T3041" s="62"/>
      <c r="U3041" s="62"/>
      <c r="V3041" s="62"/>
      <c r="W3041" s="62"/>
      <c r="X3041" s="62"/>
      <c r="Y3041" s="62"/>
      <c r="Z3041" s="62"/>
      <c r="AA3041" s="62"/>
      <c r="AB3041" s="62"/>
      <c r="AC3041" s="62"/>
    </row>
    <row r="3042" hidden="1">
      <c r="A3042" s="60"/>
      <c r="B3042" s="60"/>
      <c r="C3042" s="60"/>
      <c r="D3042" s="60"/>
      <c r="E3042" s="62" t="str">
        <f t="shared" si="5153"/>
        <v/>
      </c>
      <c r="F3042" s="62" t="str">
        <f t="shared" ref="F3042:G3042" si="6084">IF(isblank(F$1),,IF(isblank($A3042),,IFERROR(vlookup($A3042,indirect("'TVC-"&amp;text(month(F$1),"00")&amp;"'!$A:$D"),4,false),1)))</f>
        <v/>
      </c>
      <c r="G3042" s="62" t="str">
        <f t="shared" si="6084"/>
        <v/>
      </c>
      <c r="H3042" s="62">
        <f t="shared" ref="H3042:Q3042" si="6085">IF(isblank(H$1),,IFERROR(vlookup($A3042,indirect("'TVC-"&amp;text(month(H$1),"00")&amp;"'!$A:$D"),4,false),1))</f>
        <v>1</v>
      </c>
      <c r="I3042" s="62">
        <f t="shared" si="6085"/>
        <v>1</v>
      </c>
      <c r="J3042" s="62">
        <f t="shared" si="6085"/>
        <v>1</v>
      </c>
      <c r="K3042" s="62">
        <f t="shared" si="6085"/>
        <v>1</v>
      </c>
      <c r="L3042" s="62">
        <f t="shared" si="6085"/>
        <v>1</v>
      </c>
      <c r="M3042" s="62">
        <f t="shared" si="6085"/>
        <v>1</v>
      </c>
      <c r="N3042" s="62">
        <f t="shared" si="6085"/>
        <v>1</v>
      </c>
      <c r="O3042" s="62">
        <f t="shared" si="6085"/>
        <v>1</v>
      </c>
      <c r="P3042" s="62" t="str">
        <f t="shared" si="6085"/>
        <v/>
      </c>
      <c r="Q3042" s="62" t="str">
        <f t="shared" si="6085"/>
        <v/>
      </c>
      <c r="R3042" s="62">
        <f t="shared" si="7"/>
        <v>0</v>
      </c>
      <c r="S3042" s="62"/>
      <c r="T3042" s="62"/>
      <c r="U3042" s="62"/>
      <c r="V3042" s="62"/>
      <c r="W3042" s="62"/>
      <c r="X3042" s="62"/>
      <c r="Y3042" s="62"/>
      <c r="Z3042" s="62"/>
      <c r="AA3042" s="62"/>
      <c r="AB3042" s="62"/>
      <c r="AC3042" s="62"/>
    </row>
    <row r="3043" hidden="1">
      <c r="A3043" s="60"/>
      <c r="B3043" s="60"/>
      <c r="C3043" s="60"/>
      <c r="D3043" s="60"/>
      <c r="E3043" s="62" t="str">
        <f t="shared" si="5153"/>
        <v/>
      </c>
      <c r="F3043" s="62" t="str">
        <f t="shared" ref="F3043:G3043" si="6086">IF(isblank(F$1),,IF(isblank($A3043),,IFERROR(vlookup($A3043,indirect("'TVC-"&amp;text(month(F$1),"00")&amp;"'!$A:$D"),4,false),1)))</f>
        <v/>
      </c>
      <c r="G3043" s="62" t="str">
        <f t="shared" si="6086"/>
        <v/>
      </c>
      <c r="H3043" s="62">
        <f t="shared" ref="H3043:Q3043" si="6087">IF(isblank(H$1),,IFERROR(vlookup($A3043,indirect("'TVC-"&amp;text(month(H$1),"00")&amp;"'!$A:$D"),4,false),1))</f>
        <v>1</v>
      </c>
      <c r="I3043" s="62">
        <f t="shared" si="6087"/>
        <v>1</v>
      </c>
      <c r="J3043" s="62">
        <f t="shared" si="6087"/>
        <v>1</v>
      </c>
      <c r="K3043" s="62">
        <f t="shared" si="6087"/>
        <v>1</v>
      </c>
      <c r="L3043" s="62">
        <f t="shared" si="6087"/>
        <v>1</v>
      </c>
      <c r="M3043" s="62">
        <f t="shared" si="6087"/>
        <v>1</v>
      </c>
      <c r="N3043" s="62">
        <f t="shared" si="6087"/>
        <v>1</v>
      </c>
      <c r="O3043" s="62">
        <f t="shared" si="6087"/>
        <v>1</v>
      </c>
      <c r="P3043" s="62" t="str">
        <f t="shared" si="6087"/>
        <v/>
      </c>
      <c r="Q3043" s="62" t="str">
        <f t="shared" si="6087"/>
        <v/>
      </c>
      <c r="R3043" s="62">
        <f t="shared" si="7"/>
        <v>0</v>
      </c>
      <c r="S3043" s="62"/>
      <c r="T3043" s="62"/>
      <c r="U3043" s="62"/>
      <c r="V3043" s="62"/>
      <c r="W3043" s="62"/>
      <c r="X3043" s="62"/>
      <c r="Y3043" s="62"/>
      <c r="Z3043" s="62"/>
      <c r="AA3043" s="62"/>
      <c r="AB3043" s="62"/>
      <c r="AC3043" s="62"/>
    </row>
    <row r="3044" hidden="1">
      <c r="A3044" s="60"/>
      <c r="B3044" s="60"/>
      <c r="C3044" s="60"/>
      <c r="D3044" s="60"/>
      <c r="E3044" s="62" t="str">
        <f t="shared" si="5153"/>
        <v/>
      </c>
      <c r="F3044" s="62" t="str">
        <f t="shared" ref="F3044:G3044" si="6088">IF(isblank(F$1),,IF(isblank($A3044),,IFERROR(vlookup($A3044,indirect("'TVC-"&amp;text(month(F$1),"00")&amp;"'!$A:$D"),4,false),1)))</f>
        <v/>
      </c>
      <c r="G3044" s="62" t="str">
        <f t="shared" si="6088"/>
        <v/>
      </c>
      <c r="H3044" s="62">
        <f t="shared" ref="H3044:Q3044" si="6089">IF(isblank(H$1),,IFERROR(vlookup($A3044,indirect("'TVC-"&amp;text(month(H$1),"00")&amp;"'!$A:$D"),4,false),1))</f>
        <v>1</v>
      </c>
      <c r="I3044" s="62">
        <f t="shared" si="6089"/>
        <v>1</v>
      </c>
      <c r="J3044" s="62">
        <f t="shared" si="6089"/>
        <v>1</v>
      </c>
      <c r="K3044" s="62">
        <f t="shared" si="6089"/>
        <v>1</v>
      </c>
      <c r="L3044" s="62">
        <f t="shared" si="6089"/>
        <v>1</v>
      </c>
      <c r="M3044" s="62">
        <f t="shared" si="6089"/>
        <v>1</v>
      </c>
      <c r="N3044" s="62">
        <f t="shared" si="6089"/>
        <v>1</v>
      </c>
      <c r="O3044" s="62">
        <f t="shared" si="6089"/>
        <v>1</v>
      </c>
      <c r="P3044" s="62" t="str">
        <f t="shared" si="6089"/>
        <v/>
      </c>
      <c r="Q3044" s="62" t="str">
        <f t="shared" si="6089"/>
        <v/>
      </c>
      <c r="R3044" s="62">
        <f t="shared" si="7"/>
        <v>0</v>
      </c>
      <c r="S3044" s="62"/>
      <c r="T3044" s="62"/>
      <c r="U3044" s="62"/>
      <c r="V3044" s="62"/>
      <c r="W3044" s="62"/>
      <c r="X3044" s="62"/>
      <c r="Y3044" s="62"/>
      <c r="Z3044" s="62"/>
      <c r="AA3044" s="62"/>
      <c r="AB3044" s="62"/>
      <c r="AC3044" s="62"/>
    </row>
    <row r="3045" hidden="1">
      <c r="A3045" s="60"/>
      <c r="B3045" s="60"/>
      <c r="C3045" s="60"/>
      <c r="D3045" s="60"/>
      <c r="E3045" s="62" t="str">
        <f t="shared" si="5153"/>
        <v/>
      </c>
      <c r="F3045" s="62" t="str">
        <f t="shared" ref="F3045:G3045" si="6090">IF(isblank(F$1),,IF(isblank($A3045),,IFERROR(vlookup($A3045,indirect("'TVC-"&amp;text(month(F$1),"00")&amp;"'!$A:$D"),4,false),1)))</f>
        <v/>
      </c>
      <c r="G3045" s="62" t="str">
        <f t="shared" si="6090"/>
        <v/>
      </c>
      <c r="H3045" s="62">
        <f t="shared" ref="H3045:Q3045" si="6091">IF(isblank(H$1),,IFERROR(vlookup($A3045,indirect("'TVC-"&amp;text(month(H$1),"00")&amp;"'!$A:$D"),4,false),1))</f>
        <v>1</v>
      </c>
      <c r="I3045" s="62">
        <f t="shared" si="6091"/>
        <v>1</v>
      </c>
      <c r="J3045" s="62">
        <f t="shared" si="6091"/>
        <v>1</v>
      </c>
      <c r="K3045" s="62">
        <f t="shared" si="6091"/>
        <v>1</v>
      </c>
      <c r="L3045" s="62">
        <f t="shared" si="6091"/>
        <v>1</v>
      </c>
      <c r="M3045" s="62">
        <f t="shared" si="6091"/>
        <v>1</v>
      </c>
      <c r="N3045" s="62">
        <f t="shared" si="6091"/>
        <v>1</v>
      </c>
      <c r="O3045" s="62">
        <f t="shared" si="6091"/>
        <v>1</v>
      </c>
      <c r="P3045" s="62" t="str">
        <f t="shared" si="6091"/>
        <v/>
      </c>
      <c r="Q3045" s="62" t="str">
        <f t="shared" si="6091"/>
        <v/>
      </c>
      <c r="R3045" s="62">
        <f t="shared" si="7"/>
        <v>0</v>
      </c>
      <c r="S3045" s="62"/>
      <c r="T3045" s="62"/>
      <c r="U3045" s="62"/>
      <c r="V3045" s="62"/>
      <c r="W3045" s="62"/>
      <c r="X3045" s="62"/>
      <c r="Y3045" s="62"/>
      <c r="Z3045" s="62"/>
      <c r="AA3045" s="62"/>
      <c r="AB3045" s="62"/>
      <c r="AC3045" s="62"/>
    </row>
    <row r="3046" hidden="1">
      <c r="A3046" s="60"/>
      <c r="B3046" s="60"/>
      <c r="C3046" s="60"/>
      <c r="D3046" s="60"/>
      <c r="E3046" s="62" t="str">
        <f t="shared" si="5153"/>
        <v/>
      </c>
      <c r="F3046" s="62" t="str">
        <f t="shared" ref="F3046:G3046" si="6092">IF(isblank(F$1),,IF(isblank($A3046),,IFERROR(vlookup($A3046,indirect("'TVC-"&amp;text(month(F$1),"00")&amp;"'!$A:$D"),4,false),1)))</f>
        <v/>
      </c>
      <c r="G3046" s="62" t="str">
        <f t="shared" si="6092"/>
        <v/>
      </c>
      <c r="H3046" s="62">
        <f t="shared" ref="H3046:Q3046" si="6093">IF(isblank(H$1),,IFERROR(vlookup($A3046,indirect("'TVC-"&amp;text(month(H$1),"00")&amp;"'!$A:$D"),4,false),1))</f>
        <v>1</v>
      </c>
      <c r="I3046" s="62">
        <f t="shared" si="6093"/>
        <v>1</v>
      </c>
      <c r="J3046" s="62">
        <f t="shared" si="6093"/>
        <v>1</v>
      </c>
      <c r="K3046" s="62">
        <f t="shared" si="6093"/>
        <v>1</v>
      </c>
      <c r="L3046" s="62">
        <f t="shared" si="6093"/>
        <v>1</v>
      </c>
      <c r="M3046" s="62">
        <f t="shared" si="6093"/>
        <v>1</v>
      </c>
      <c r="N3046" s="62">
        <f t="shared" si="6093"/>
        <v>1</v>
      </c>
      <c r="O3046" s="62">
        <f t="shared" si="6093"/>
        <v>1</v>
      </c>
      <c r="P3046" s="62" t="str">
        <f t="shared" si="6093"/>
        <v/>
      </c>
      <c r="Q3046" s="62" t="str">
        <f t="shared" si="6093"/>
        <v/>
      </c>
      <c r="R3046" s="62">
        <f t="shared" si="7"/>
        <v>0</v>
      </c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</row>
    <row r="3047" hidden="1">
      <c r="A3047" s="60"/>
      <c r="B3047" s="60"/>
      <c r="C3047" s="60"/>
      <c r="D3047" s="60"/>
      <c r="E3047" s="62" t="str">
        <f t="shared" si="5153"/>
        <v/>
      </c>
      <c r="F3047" s="62" t="str">
        <f t="shared" ref="F3047:G3047" si="6094">IF(isblank(F$1),,IF(isblank($A3047),,IFERROR(vlookup($A3047,indirect("'TVC-"&amp;text(month(F$1),"00")&amp;"'!$A:$D"),4,false),1)))</f>
        <v/>
      </c>
      <c r="G3047" s="62" t="str">
        <f t="shared" si="6094"/>
        <v/>
      </c>
      <c r="H3047" s="62">
        <f t="shared" ref="H3047:Q3047" si="6095">IF(isblank(H$1),,IFERROR(vlookup($A3047,indirect("'TVC-"&amp;text(month(H$1),"00")&amp;"'!$A:$D"),4,false),1))</f>
        <v>1</v>
      </c>
      <c r="I3047" s="62">
        <f t="shared" si="6095"/>
        <v>1</v>
      </c>
      <c r="J3047" s="62">
        <f t="shared" si="6095"/>
        <v>1</v>
      </c>
      <c r="K3047" s="62">
        <f t="shared" si="6095"/>
        <v>1</v>
      </c>
      <c r="L3047" s="62">
        <f t="shared" si="6095"/>
        <v>1</v>
      </c>
      <c r="M3047" s="62">
        <f t="shared" si="6095"/>
        <v>1</v>
      </c>
      <c r="N3047" s="62">
        <f t="shared" si="6095"/>
        <v>1</v>
      </c>
      <c r="O3047" s="62">
        <f t="shared" si="6095"/>
        <v>1</v>
      </c>
      <c r="P3047" s="62" t="str">
        <f t="shared" si="6095"/>
        <v/>
      </c>
      <c r="Q3047" s="62" t="str">
        <f t="shared" si="6095"/>
        <v/>
      </c>
      <c r="R3047" s="62">
        <f t="shared" si="7"/>
        <v>0</v>
      </c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</row>
    <row r="3048" hidden="1">
      <c r="A3048" s="60"/>
      <c r="B3048" s="60"/>
      <c r="C3048" s="60"/>
      <c r="D3048" s="60"/>
      <c r="E3048" s="62" t="str">
        <f t="shared" si="5153"/>
        <v/>
      </c>
      <c r="F3048" s="62" t="str">
        <f t="shared" ref="F3048:G3048" si="6096">IF(isblank(F$1),,IF(isblank($A3048),,IFERROR(vlookup($A3048,indirect("'TVC-"&amp;text(month(F$1),"00")&amp;"'!$A:$D"),4,false),1)))</f>
        <v/>
      </c>
      <c r="G3048" s="62" t="str">
        <f t="shared" si="6096"/>
        <v/>
      </c>
      <c r="H3048" s="62">
        <f t="shared" ref="H3048:Q3048" si="6097">IF(isblank(H$1),,IFERROR(vlookup($A3048,indirect("'TVC-"&amp;text(month(H$1),"00")&amp;"'!$A:$D"),4,false),1))</f>
        <v>1</v>
      </c>
      <c r="I3048" s="62">
        <f t="shared" si="6097"/>
        <v>1</v>
      </c>
      <c r="J3048" s="62">
        <f t="shared" si="6097"/>
        <v>1</v>
      </c>
      <c r="K3048" s="62">
        <f t="shared" si="6097"/>
        <v>1</v>
      </c>
      <c r="L3048" s="62">
        <f t="shared" si="6097"/>
        <v>1</v>
      </c>
      <c r="M3048" s="62">
        <f t="shared" si="6097"/>
        <v>1</v>
      </c>
      <c r="N3048" s="62">
        <f t="shared" si="6097"/>
        <v>1</v>
      </c>
      <c r="O3048" s="62">
        <f t="shared" si="6097"/>
        <v>1</v>
      </c>
      <c r="P3048" s="62" t="str">
        <f t="shared" si="6097"/>
        <v/>
      </c>
      <c r="Q3048" s="62" t="str">
        <f t="shared" si="6097"/>
        <v/>
      </c>
      <c r="R3048" s="62">
        <f t="shared" si="7"/>
        <v>0</v>
      </c>
      <c r="S3048" s="62"/>
      <c r="T3048" s="62"/>
      <c r="U3048" s="62"/>
      <c r="V3048" s="62"/>
      <c r="W3048" s="62"/>
      <c r="X3048" s="62"/>
      <c r="Y3048" s="62"/>
      <c r="Z3048" s="62"/>
      <c r="AA3048" s="62"/>
      <c r="AB3048" s="62"/>
      <c r="AC3048" s="62"/>
    </row>
    <row r="3049" hidden="1">
      <c r="A3049" s="60"/>
      <c r="B3049" s="60"/>
      <c r="C3049" s="60"/>
      <c r="D3049" s="60"/>
      <c r="E3049" s="62" t="str">
        <f t="shared" si="5153"/>
        <v/>
      </c>
      <c r="F3049" s="62" t="str">
        <f t="shared" ref="F3049:G3049" si="6098">IF(isblank(F$1),,IF(isblank($A3049),,IFERROR(vlookup($A3049,indirect("'TVC-"&amp;text(month(F$1),"00")&amp;"'!$A:$D"),4,false),1)))</f>
        <v/>
      </c>
      <c r="G3049" s="62" t="str">
        <f t="shared" si="6098"/>
        <v/>
      </c>
      <c r="H3049" s="62">
        <f t="shared" ref="H3049:Q3049" si="6099">IF(isblank(H$1),,IFERROR(vlookup($A3049,indirect("'TVC-"&amp;text(month(H$1),"00")&amp;"'!$A:$D"),4,false),1))</f>
        <v>1</v>
      </c>
      <c r="I3049" s="62">
        <f t="shared" si="6099"/>
        <v>1</v>
      </c>
      <c r="J3049" s="62">
        <f t="shared" si="6099"/>
        <v>1</v>
      </c>
      <c r="K3049" s="62">
        <f t="shared" si="6099"/>
        <v>1</v>
      </c>
      <c r="L3049" s="62">
        <f t="shared" si="6099"/>
        <v>1</v>
      </c>
      <c r="M3049" s="62">
        <f t="shared" si="6099"/>
        <v>1</v>
      </c>
      <c r="N3049" s="62">
        <f t="shared" si="6099"/>
        <v>1</v>
      </c>
      <c r="O3049" s="62">
        <f t="shared" si="6099"/>
        <v>1</v>
      </c>
      <c r="P3049" s="62" t="str">
        <f t="shared" si="6099"/>
        <v/>
      </c>
      <c r="Q3049" s="62" t="str">
        <f t="shared" si="6099"/>
        <v/>
      </c>
      <c r="R3049" s="62">
        <f t="shared" si="7"/>
        <v>0</v>
      </c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</row>
    <row r="3050" hidden="1">
      <c r="A3050" s="60"/>
      <c r="B3050" s="60"/>
      <c r="C3050" s="60"/>
      <c r="D3050" s="60"/>
      <c r="E3050" s="62" t="str">
        <f t="shared" si="5153"/>
        <v/>
      </c>
      <c r="F3050" s="62" t="str">
        <f t="shared" ref="F3050:G3050" si="6100">IF(isblank(F$1),,IF(isblank($A3050),,IFERROR(vlookup($A3050,indirect("'TVC-"&amp;text(month(F$1),"00")&amp;"'!$A:$D"),4,false),1)))</f>
        <v/>
      </c>
      <c r="G3050" s="62" t="str">
        <f t="shared" si="6100"/>
        <v/>
      </c>
      <c r="H3050" s="62">
        <f t="shared" ref="H3050:Q3050" si="6101">IF(isblank(H$1),,IFERROR(vlookup($A3050,indirect("'TVC-"&amp;text(month(H$1),"00")&amp;"'!$A:$D"),4,false),1))</f>
        <v>1</v>
      </c>
      <c r="I3050" s="62">
        <f t="shared" si="6101"/>
        <v>1</v>
      </c>
      <c r="J3050" s="62">
        <f t="shared" si="6101"/>
        <v>1</v>
      </c>
      <c r="K3050" s="62">
        <f t="shared" si="6101"/>
        <v>1</v>
      </c>
      <c r="L3050" s="62">
        <f t="shared" si="6101"/>
        <v>1</v>
      </c>
      <c r="M3050" s="62">
        <f t="shared" si="6101"/>
        <v>1</v>
      </c>
      <c r="N3050" s="62">
        <f t="shared" si="6101"/>
        <v>1</v>
      </c>
      <c r="O3050" s="62">
        <f t="shared" si="6101"/>
        <v>1</v>
      </c>
      <c r="P3050" s="62" t="str">
        <f t="shared" si="6101"/>
        <v/>
      </c>
      <c r="Q3050" s="62" t="str">
        <f t="shared" si="6101"/>
        <v/>
      </c>
      <c r="R3050" s="62">
        <f t="shared" si="7"/>
        <v>0</v>
      </c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</row>
    <row r="3051" hidden="1">
      <c r="A3051" s="60"/>
      <c r="B3051" s="60"/>
      <c r="C3051" s="60"/>
      <c r="D3051" s="60"/>
      <c r="E3051" s="62" t="str">
        <f t="shared" si="5153"/>
        <v/>
      </c>
      <c r="F3051" s="62" t="str">
        <f t="shared" ref="F3051:G3051" si="6102">IF(isblank(F$1),,IF(isblank($A3051),,IFERROR(vlookup($A3051,indirect("'TVC-"&amp;text(month(F$1),"00")&amp;"'!$A:$D"),4,false),1)))</f>
        <v/>
      </c>
      <c r="G3051" s="62" t="str">
        <f t="shared" si="6102"/>
        <v/>
      </c>
      <c r="H3051" s="62">
        <f t="shared" ref="H3051:Q3051" si="6103">IF(isblank(H$1),,IFERROR(vlookup($A3051,indirect("'TVC-"&amp;text(month(H$1),"00")&amp;"'!$A:$D"),4,false),1))</f>
        <v>1</v>
      </c>
      <c r="I3051" s="62">
        <f t="shared" si="6103"/>
        <v>1</v>
      </c>
      <c r="J3051" s="62">
        <f t="shared" si="6103"/>
        <v>1</v>
      </c>
      <c r="K3051" s="62">
        <f t="shared" si="6103"/>
        <v>1</v>
      </c>
      <c r="L3051" s="62">
        <f t="shared" si="6103"/>
        <v>1</v>
      </c>
      <c r="M3051" s="62">
        <f t="shared" si="6103"/>
        <v>1</v>
      </c>
      <c r="N3051" s="62">
        <f t="shared" si="6103"/>
        <v>1</v>
      </c>
      <c r="O3051" s="62">
        <f t="shared" si="6103"/>
        <v>1</v>
      </c>
      <c r="P3051" s="62" t="str">
        <f t="shared" si="6103"/>
        <v/>
      </c>
      <c r="Q3051" s="62" t="str">
        <f t="shared" si="6103"/>
        <v/>
      </c>
      <c r="R3051" s="62">
        <f t="shared" si="7"/>
        <v>0</v>
      </c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</row>
    <row r="3052" hidden="1">
      <c r="A3052" s="60"/>
      <c r="B3052" s="60"/>
      <c r="C3052" s="60"/>
      <c r="D3052" s="60"/>
      <c r="E3052" s="62" t="str">
        <f t="shared" si="5153"/>
        <v/>
      </c>
      <c r="F3052" s="62" t="str">
        <f t="shared" ref="F3052:G3052" si="6104">IF(isblank(F$1),,IF(isblank($A3052),,IFERROR(vlookup($A3052,indirect("'TVC-"&amp;text(month(F$1),"00")&amp;"'!$A:$D"),4,false),1)))</f>
        <v/>
      </c>
      <c r="G3052" s="62" t="str">
        <f t="shared" si="6104"/>
        <v/>
      </c>
      <c r="H3052" s="62">
        <f t="shared" ref="H3052:Q3052" si="6105">IF(isblank(H$1),,IFERROR(vlookup($A3052,indirect("'TVC-"&amp;text(month(H$1),"00")&amp;"'!$A:$D"),4,false),1))</f>
        <v>1</v>
      </c>
      <c r="I3052" s="62">
        <f t="shared" si="6105"/>
        <v>1</v>
      </c>
      <c r="J3052" s="62">
        <f t="shared" si="6105"/>
        <v>1</v>
      </c>
      <c r="K3052" s="62">
        <f t="shared" si="6105"/>
        <v>1</v>
      </c>
      <c r="L3052" s="62">
        <f t="shared" si="6105"/>
        <v>1</v>
      </c>
      <c r="M3052" s="62">
        <f t="shared" si="6105"/>
        <v>1</v>
      </c>
      <c r="N3052" s="62">
        <f t="shared" si="6105"/>
        <v>1</v>
      </c>
      <c r="O3052" s="62">
        <f t="shared" si="6105"/>
        <v>1</v>
      </c>
      <c r="P3052" s="62" t="str">
        <f t="shared" si="6105"/>
        <v/>
      </c>
      <c r="Q3052" s="62" t="str">
        <f t="shared" si="6105"/>
        <v/>
      </c>
      <c r="R3052" s="62">
        <f t="shared" si="7"/>
        <v>0</v>
      </c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</row>
    <row r="3053" hidden="1">
      <c r="A3053" s="60"/>
      <c r="B3053" s="60"/>
      <c r="C3053" s="60"/>
      <c r="D3053" s="60"/>
      <c r="E3053" s="62" t="str">
        <f t="shared" si="5153"/>
        <v/>
      </c>
      <c r="F3053" s="62" t="str">
        <f t="shared" ref="F3053:G3053" si="6106">IF(isblank(F$1),,IF(isblank($A3053),,IFERROR(vlookup($A3053,indirect("'TVC-"&amp;text(month(F$1),"00")&amp;"'!$A:$D"),4,false),1)))</f>
        <v/>
      </c>
      <c r="G3053" s="62" t="str">
        <f t="shared" si="6106"/>
        <v/>
      </c>
      <c r="H3053" s="62">
        <f t="shared" ref="H3053:Q3053" si="6107">IF(isblank(H$1),,IFERROR(vlookup($A3053,indirect("'TVC-"&amp;text(month(H$1),"00")&amp;"'!$A:$D"),4,false),1))</f>
        <v>1</v>
      </c>
      <c r="I3053" s="62">
        <f t="shared" si="6107"/>
        <v>1</v>
      </c>
      <c r="J3053" s="62">
        <f t="shared" si="6107"/>
        <v>1</v>
      </c>
      <c r="K3053" s="62">
        <f t="shared" si="6107"/>
        <v>1</v>
      </c>
      <c r="L3053" s="62">
        <f t="shared" si="6107"/>
        <v>1</v>
      </c>
      <c r="M3053" s="62">
        <f t="shared" si="6107"/>
        <v>1</v>
      </c>
      <c r="N3053" s="62">
        <f t="shared" si="6107"/>
        <v>1</v>
      </c>
      <c r="O3053" s="62">
        <f t="shared" si="6107"/>
        <v>1</v>
      </c>
      <c r="P3053" s="62" t="str">
        <f t="shared" si="6107"/>
        <v/>
      </c>
      <c r="Q3053" s="62" t="str">
        <f t="shared" si="6107"/>
        <v/>
      </c>
      <c r="R3053" s="62">
        <f t="shared" si="7"/>
        <v>0</v>
      </c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</row>
    <row r="3054" hidden="1">
      <c r="A3054" s="60"/>
      <c r="B3054" s="60"/>
      <c r="C3054" s="60"/>
      <c r="D3054" s="60"/>
      <c r="E3054" s="62" t="str">
        <f t="shared" si="5153"/>
        <v/>
      </c>
      <c r="F3054" s="62" t="str">
        <f t="shared" ref="F3054:G3054" si="6108">IF(isblank(F$1),,IF(isblank($A3054),,IFERROR(vlookup($A3054,indirect("'TVC-"&amp;text(month(F$1),"00")&amp;"'!$A:$D"),4,false),1)))</f>
        <v/>
      </c>
      <c r="G3054" s="62" t="str">
        <f t="shared" si="6108"/>
        <v/>
      </c>
      <c r="H3054" s="62">
        <f t="shared" ref="H3054:Q3054" si="6109">IF(isblank(H$1),,IFERROR(vlookup($A3054,indirect("'TVC-"&amp;text(month(H$1),"00")&amp;"'!$A:$D"),4,false),1))</f>
        <v>1</v>
      </c>
      <c r="I3054" s="62">
        <f t="shared" si="6109"/>
        <v>1</v>
      </c>
      <c r="J3054" s="62">
        <f t="shared" si="6109"/>
        <v>1</v>
      </c>
      <c r="K3054" s="62">
        <f t="shared" si="6109"/>
        <v>1</v>
      </c>
      <c r="L3054" s="62">
        <f t="shared" si="6109"/>
        <v>1</v>
      </c>
      <c r="M3054" s="62">
        <f t="shared" si="6109"/>
        <v>1</v>
      </c>
      <c r="N3054" s="62">
        <f t="shared" si="6109"/>
        <v>1</v>
      </c>
      <c r="O3054" s="62">
        <f t="shared" si="6109"/>
        <v>1</v>
      </c>
      <c r="P3054" s="62" t="str">
        <f t="shared" si="6109"/>
        <v/>
      </c>
      <c r="Q3054" s="62" t="str">
        <f t="shared" si="6109"/>
        <v/>
      </c>
      <c r="R3054" s="62">
        <f t="shared" si="7"/>
        <v>0</v>
      </c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</row>
    <row r="3055" hidden="1">
      <c r="A3055" s="60"/>
      <c r="B3055" s="60"/>
      <c r="C3055" s="60"/>
      <c r="D3055" s="60"/>
      <c r="E3055" s="62" t="str">
        <f t="shared" si="5153"/>
        <v/>
      </c>
      <c r="F3055" s="62" t="str">
        <f t="shared" ref="F3055:G3055" si="6110">IF(isblank(F$1),,IF(isblank($A3055),,IFERROR(vlookup($A3055,indirect("'TVC-"&amp;text(month(F$1),"00")&amp;"'!$A:$D"),4,false),1)))</f>
        <v/>
      </c>
      <c r="G3055" s="62" t="str">
        <f t="shared" si="6110"/>
        <v/>
      </c>
      <c r="H3055" s="62">
        <f t="shared" ref="H3055:Q3055" si="6111">IF(isblank(H$1),,IFERROR(vlookup($A3055,indirect("'TVC-"&amp;text(month(H$1),"00")&amp;"'!$A:$D"),4,false),1))</f>
        <v>1</v>
      </c>
      <c r="I3055" s="62">
        <f t="shared" si="6111"/>
        <v>1</v>
      </c>
      <c r="J3055" s="62">
        <f t="shared" si="6111"/>
        <v>1</v>
      </c>
      <c r="K3055" s="62">
        <f t="shared" si="6111"/>
        <v>1</v>
      </c>
      <c r="L3055" s="62">
        <f t="shared" si="6111"/>
        <v>1</v>
      </c>
      <c r="M3055" s="62">
        <f t="shared" si="6111"/>
        <v>1</v>
      </c>
      <c r="N3055" s="62">
        <f t="shared" si="6111"/>
        <v>1</v>
      </c>
      <c r="O3055" s="62">
        <f t="shared" si="6111"/>
        <v>1</v>
      </c>
      <c r="P3055" s="62" t="str">
        <f t="shared" si="6111"/>
        <v/>
      </c>
      <c r="Q3055" s="62" t="str">
        <f t="shared" si="6111"/>
        <v/>
      </c>
      <c r="R3055" s="62">
        <f t="shared" si="7"/>
        <v>0</v>
      </c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</row>
    <row r="3056" hidden="1">
      <c r="A3056" s="60"/>
      <c r="B3056" s="60"/>
      <c r="C3056" s="60"/>
      <c r="D3056" s="60"/>
      <c r="E3056" s="62" t="str">
        <f t="shared" si="5153"/>
        <v/>
      </c>
      <c r="F3056" s="62" t="str">
        <f t="shared" ref="F3056:G3056" si="6112">IF(isblank(F$1),,IF(isblank($A3056),,IFERROR(vlookup($A3056,indirect("'TVC-"&amp;text(month(F$1),"00")&amp;"'!$A:$D"),4,false),1)))</f>
        <v/>
      </c>
      <c r="G3056" s="62" t="str">
        <f t="shared" si="6112"/>
        <v/>
      </c>
      <c r="H3056" s="62">
        <f t="shared" ref="H3056:Q3056" si="6113">IF(isblank(H$1),,IFERROR(vlookup($A3056,indirect("'TVC-"&amp;text(month(H$1),"00")&amp;"'!$A:$D"),4,false),1))</f>
        <v>1</v>
      </c>
      <c r="I3056" s="62">
        <f t="shared" si="6113"/>
        <v>1</v>
      </c>
      <c r="J3056" s="62">
        <f t="shared" si="6113"/>
        <v>1</v>
      </c>
      <c r="K3056" s="62">
        <f t="shared" si="6113"/>
        <v>1</v>
      </c>
      <c r="L3056" s="62">
        <f t="shared" si="6113"/>
        <v>1</v>
      </c>
      <c r="M3056" s="62">
        <f t="shared" si="6113"/>
        <v>1</v>
      </c>
      <c r="N3056" s="62">
        <f t="shared" si="6113"/>
        <v>1</v>
      </c>
      <c r="O3056" s="62">
        <f t="shared" si="6113"/>
        <v>1</v>
      </c>
      <c r="P3056" s="62" t="str">
        <f t="shared" si="6113"/>
        <v/>
      </c>
      <c r="Q3056" s="62" t="str">
        <f t="shared" si="6113"/>
        <v/>
      </c>
      <c r="R3056" s="62">
        <f t="shared" si="7"/>
        <v>0</v>
      </c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</row>
    <row r="3057" hidden="1">
      <c r="A3057" s="60"/>
      <c r="B3057" s="60"/>
      <c r="C3057" s="60"/>
      <c r="D3057" s="60"/>
      <c r="E3057" s="62" t="str">
        <f t="shared" si="5153"/>
        <v/>
      </c>
      <c r="F3057" s="62" t="str">
        <f t="shared" ref="F3057:G3057" si="6114">IF(isblank(F$1),,IF(isblank($A3057),,IFERROR(vlookup($A3057,indirect("'TVC-"&amp;text(month(F$1),"00")&amp;"'!$A:$D"),4,false),1)))</f>
        <v/>
      </c>
      <c r="G3057" s="62" t="str">
        <f t="shared" si="6114"/>
        <v/>
      </c>
      <c r="H3057" s="62">
        <f t="shared" ref="H3057:Q3057" si="6115">IF(isblank(H$1),,IFERROR(vlookup($A3057,indirect("'TVC-"&amp;text(month(H$1),"00")&amp;"'!$A:$D"),4,false),1))</f>
        <v>1</v>
      </c>
      <c r="I3057" s="62">
        <f t="shared" si="6115"/>
        <v>1</v>
      </c>
      <c r="J3057" s="62">
        <f t="shared" si="6115"/>
        <v>1</v>
      </c>
      <c r="K3057" s="62">
        <f t="shared" si="6115"/>
        <v>1</v>
      </c>
      <c r="L3057" s="62">
        <f t="shared" si="6115"/>
        <v>1</v>
      </c>
      <c r="M3057" s="62">
        <f t="shared" si="6115"/>
        <v>1</v>
      </c>
      <c r="N3057" s="62">
        <f t="shared" si="6115"/>
        <v>1</v>
      </c>
      <c r="O3057" s="62">
        <f t="shared" si="6115"/>
        <v>1</v>
      </c>
      <c r="P3057" s="62" t="str">
        <f t="shared" si="6115"/>
        <v/>
      </c>
      <c r="Q3057" s="62" t="str">
        <f t="shared" si="6115"/>
        <v/>
      </c>
      <c r="R3057" s="62">
        <f t="shared" si="7"/>
        <v>0</v>
      </c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</row>
    <row r="3058" hidden="1">
      <c r="A3058" s="60"/>
      <c r="B3058" s="60"/>
      <c r="C3058" s="60"/>
      <c r="D3058" s="60"/>
      <c r="E3058" s="62" t="str">
        <f t="shared" si="5153"/>
        <v/>
      </c>
      <c r="F3058" s="62" t="str">
        <f t="shared" ref="F3058:G3058" si="6116">IF(isblank(F$1),,IF(isblank($A3058),,IFERROR(vlookup($A3058,indirect("'TVC-"&amp;text(month(F$1),"00")&amp;"'!$A:$D"),4,false),1)))</f>
        <v/>
      </c>
      <c r="G3058" s="62" t="str">
        <f t="shared" si="6116"/>
        <v/>
      </c>
      <c r="H3058" s="62">
        <f t="shared" ref="H3058:Q3058" si="6117">IF(isblank(H$1),,IFERROR(vlookup($A3058,indirect("'TVC-"&amp;text(month(H$1),"00")&amp;"'!$A:$D"),4,false),1))</f>
        <v>1</v>
      </c>
      <c r="I3058" s="62">
        <f t="shared" si="6117"/>
        <v>1</v>
      </c>
      <c r="J3058" s="62">
        <f t="shared" si="6117"/>
        <v>1</v>
      </c>
      <c r="K3058" s="62">
        <f t="shared" si="6117"/>
        <v>1</v>
      </c>
      <c r="L3058" s="62">
        <f t="shared" si="6117"/>
        <v>1</v>
      </c>
      <c r="M3058" s="62">
        <f t="shared" si="6117"/>
        <v>1</v>
      </c>
      <c r="N3058" s="62">
        <f t="shared" si="6117"/>
        <v>1</v>
      </c>
      <c r="O3058" s="62">
        <f t="shared" si="6117"/>
        <v>1</v>
      </c>
      <c r="P3058" s="62" t="str">
        <f t="shared" si="6117"/>
        <v/>
      </c>
      <c r="Q3058" s="62" t="str">
        <f t="shared" si="6117"/>
        <v/>
      </c>
      <c r="R3058" s="62">
        <f t="shared" si="7"/>
        <v>0</v>
      </c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</row>
    <row r="3059" hidden="1">
      <c r="A3059" s="60"/>
      <c r="B3059" s="60"/>
      <c r="C3059" s="60"/>
      <c r="D3059" s="60"/>
      <c r="E3059" s="62" t="str">
        <f t="shared" si="5153"/>
        <v/>
      </c>
      <c r="F3059" s="62" t="str">
        <f t="shared" ref="F3059:G3059" si="6118">IF(isblank(F$1),,IF(isblank($A3059),,IFERROR(vlookup($A3059,indirect("'TVC-"&amp;text(month(F$1),"00")&amp;"'!$A:$D"),4,false),1)))</f>
        <v/>
      </c>
      <c r="G3059" s="62" t="str">
        <f t="shared" si="6118"/>
        <v/>
      </c>
      <c r="H3059" s="62">
        <f t="shared" ref="H3059:Q3059" si="6119">IF(isblank(H$1),,IFERROR(vlookup($A3059,indirect("'TVC-"&amp;text(month(H$1),"00")&amp;"'!$A:$D"),4,false),1))</f>
        <v>1</v>
      </c>
      <c r="I3059" s="62">
        <f t="shared" si="6119"/>
        <v>1</v>
      </c>
      <c r="J3059" s="62">
        <f t="shared" si="6119"/>
        <v>1</v>
      </c>
      <c r="K3059" s="62">
        <f t="shared" si="6119"/>
        <v>1</v>
      </c>
      <c r="L3059" s="62">
        <f t="shared" si="6119"/>
        <v>1</v>
      </c>
      <c r="M3059" s="62">
        <f t="shared" si="6119"/>
        <v>1</v>
      </c>
      <c r="N3059" s="62">
        <f t="shared" si="6119"/>
        <v>1</v>
      </c>
      <c r="O3059" s="62">
        <f t="shared" si="6119"/>
        <v>1</v>
      </c>
      <c r="P3059" s="62" t="str">
        <f t="shared" si="6119"/>
        <v/>
      </c>
      <c r="Q3059" s="62" t="str">
        <f t="shared" si="6119"/>
        <v/>
      </c>
      <c r="R3059" s="62">
        <f t="shared" si="7"/>
        <v>0</v>
      </c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</row>
    <row r="3060" hidden="1">
      <c r="A3060" s="60"/>
      <c r="B3060" s="60"/>
      <c r="C3060" s="60"/>
      <c r="D3060" s="60"/>
      <c r="E3060" s="62" t="str">
        <f t="shared" si="5153"/>
        <v/>
      </c>
      <c r="F3060" s="62" t="str">
        <f t="shared" ref="F3060:G3060" si="6120">IF(isblank(F$1),,IF(isblank($A3060),,IFERROR(vlookup($A3060,indirect("'TVC-"&amp;text(month(F$1),"00")&amp;"'!$A:$D"),4,false),1)))</f>
        <v/>
      </c>
      <c r="G3060" s="62" t="str">
        <f t="shared" si="6120"/>
        <v/>
      </c>
      <c r="H3060" s="62">
        <f t="shared" ref="H3060:Q3060" si="6121">IF(isblank(H$1),,IFERROR(vlookup($A3060,indirect("'TVC-"&amp;text(month(H$1),"00")&amp;"'!$A:$D"),4,false),1))</f>
        <v>1</v>
      </c>
      <c r="I3060" s="62">
        <f t="shared" si="6121"/>
        <v>1</v>
      </c>
      <c r="J3060" s="62">
        <f t="shared" si="6121"/>
        <v>1</v>
      </c>
      <c r="K3060" s="62">
        <f t="shared" si="6121"/>
        <v>1</v>
      </c>
      <c r="L3060" s="62">
        <f t="shared" si="6121"/>
        <v>1</v>
      </c>
      <c r="M3060" s="62">
        <f t="shared" si="6121"/>
        <v>1</v>
      </c>
      <c r="N3060" s="62">
        <f t="shared" si="6121"/>
        <v>1</v>
      </c>
      <c r="O3060" s="62">
        <f t="shared" si="6121"/>
        <v>1</v>
      </c>
      <c r="P3060" s="62" t="str">
        <f t="shared" si="6121"/>
        <v/>
      </c>
      <c r="Q3060" s="62" t="str">
        <f t="shared" si="6121"/>
        <v/>
      </c>
      <c r="R3060" s="62">
        <f t="shared" si="7"/>
        <v>0</v>
      </c>
      <c r="S3060" s="62"/>
      <c r="T3060" s="62"/>
      <c r="U3060" s="62"/>
      <c r="V3060" s="62"/>
      <c r="W3060" s="62"/>
      <c r="X3060" s="62"/>
      <c r="Y3060" s="62"/>
      <c r="Z3060" s="62"/>
      <c r="AA3060" s="62"/>
      <c r="AB3060" s="62"/>
      <c r="AC3060" s="62"/>
    </row>
    <row r="3061" hidden="1">
      <c r="A3061" s="60"/>
      <c r="B3061" s="60"/>
      <c r="C3061" s="60"/>
      <c r="D3061" s="60"/>
      <c r="E3061" s="62" t="str">
        <f t="shared" si="5153"/>
        <v/>
      </c>
      <c r="F3061" s="62" t="str">
        <f t="shared" ref="F3061:G3061" si="6122">IF(isblank(F$1),,IF(isblank($A3061),,IFERROR(vlookup($A3061,indirect("'TVC-"&amp;text(month(F$1),"00")&amp;"'!$A:$D"),4,false),1)))</f>
        <v/>
      </c>
      <c r="G3061" s="62" t="str">
        <f t="shared" si="6122"/>
        <v/>
      </c>
      <c r="H3061" s="62">
        <f t="shared" ref="H3061:Q3061" si="6123">IF(isblank(H$1),,IFERROR(vlookup($A3061,indirect("'TVC-"&amp;text(month(H$1),"00")&amp;"'!$A:$D"),4,false),1))</f>
        <v>1</v>
      </c>
      <c r="I3061" s="62">
        <f t="shared" si="6123"/>
        <v>1</v>
      </c>
      <c r="J3061" s="62">
        <f t="shared" si="6123"/>
        <v>1</v>
      </c>
      <c r="K3061" s="62">
        <f t="shared" si="6123"/>
        <v>1</v>
      </c>
      <c r="L3061" s="62">
        <f t="shared" si="6123"/>
        <v>1</v>
      </c>
      <c r="M3061" s="62">
        <f t="shared" si="6123"/>
        <v>1</v>
      </c>
      <c r="N3061" s="62">
        <f t="shared" si="6123"/>
        <v>1</v>
      </c>
      <c r="O3061" s="62">
        <f t="shared" si="6123"/>
        <v>1</v>
      </c>
      <c r="P3061" s="62" t="str">
        <f t="shared" si="6123"/>
        <v/>
      </c>
      <c r="Q3061" s="62" t="str">
        <f t="shared" si="6123"/>
        <v/>
      </c>
      <c r="R3061" s="62">
        <f t="shared" si="7"/>
        <v>0</v>
      </c>
      <c r="S3061" s="62"/>
      <c r="T3061" s="62"/>
      <c r="U3061" s="62"/>
      <c r="V3061" s="62"/>
      <c r="W3061" s="62"/>
      <c r="X3061" s="62"/>
      <c r="Y3061" s="62"/>
      <c r="Z3061" s="62"/>
      <c r="AA3061" s="62"/>
      <c r="AB3061" s="62"/>
      <c r="AC3061" s="62"/>
    </row>
    <row r="3062" hidden="1">
      <c r="A3062" s="60"/>
      <c r="B3062" s="60"/>
      <c r="C3062" s="60"/>
      <c r="D3062" s="60"/>
      <c r="E3062" s="62" t="str">
        <f t="shared" si="5153"/>
        <v/>
      </c>
      <c r="F3062" s="62" t="str">
        <f t="shared" ref="F3062:G3062" si="6124">IF(isblank(F$1),,IF(isblank($A3062),,IFERROR(vlookup($A3062,indirect("'TVC-"&amp;text(month(F$1),"00")&amp;"'!$A:$D"),4,false),1)))</f>
        <v/>
      </c>
      <c r="G3062" s="62" t="str">
        <f t="shared" si="6124"/>
        <v/>
      </c>
      <c r="H3062" s="62">
        <f t="shared" ref="H3062:Q3062" si="6125">IF(isblank(H$1),,IFERROR(vlookup($A3062,indirect("'TVC-"&amp;text(month(H$1),"00")&amp;"'!$A:$D"),4,false),1))</f>
        <v>1</v>
      </c>
      <c r="I3062" s="62">
        <f t="shared" si="6125"/>
        <v>1</v>
      </c>
      <c r="J3062" s="62">
        <f t="shared" si="6125"/>
        <v>1</v>
      </c>
      <c r="K3062" s="62">
        <f t="shared" si="6125"/>
        <v>1</v>
      </c>
      <c r="L3062" s="62">
        <f t="shared" si="6125"/>
        <v>1</v>
      </c>
      <c r="M3062" s="62">
        <f t="shared" si="6125"/>
        <v>1</v>
      </c>
      <c r="N3062" s="62">
        <f t="shared" si="6125"/>
        <v>1</v>
      </c>
      <c r="O3062" s="62">
        <f t="shared" si="6125"/>
        <v>1</v>
      </c>
      <c r="P3062" s="62" t="str">
        <f t="shared" si="6125"/>
        <v/>
      </c>
      <c r="Q3062" s="62" t="str">
        <f t="shared" si="6125"/>
        <v/>
      </c>
      <c r="R3062" s="62">
        <f t="shared" si="7"/>
        <v>0</v>
      </c>
      <c r="S3062" s="62"/>
      <c r="T3062" s="62"/>
      <c r="U3062" s="62"/>
      <c r="V3062" s="62"/>
      <c r="W3062" s="62"/>
      <c r="X3062" s="62"/>
      <c r="Y3062" s="62"/>
      <c r="Z3062" s="62"/>
      <c r="AA3062" s="62"/>
      <c r="AB3062" s="62"/>
      <c r="AC3062" s="62"/>
    </row>
    <row r="3063" hidden="1">
      <c r="A3063" s="60"/>
      <c r="B3063" s="60"/>
      <c r="C3063" s="60"/>
      <c r="D3063" s="60"/>
      <c r="E3063" s="62" t="str">
        <f t="shared" si="5153"/>
        <v/>
      </c>
      <c r="F3063" s="62" t="str">
        <f t="shared" ref="F3063:G3063" si="6126">IF(isblank(F$1),,IF(isblank($A3063),,IFERROR(vlookup($A3063,indirect("'TVC-"&amp;text(month(F$1),"00")&amp;"'!$A:$D"),4,false),1)))</f>
        <v/>
      </c>
      <c r="G3063" s="62" t="str">
        <f t="shared" si="6126"/>
        <v/>
      </c>
      <c r="H3063" s="62">
        <f t="shared" ref="H3063:Q3063" si="6127">IF(isblank(H$1),,IFERROR(vlookup($A3063,indirect("'TVC-"&amp;text(month(H$1),"00")&amp;"'!$A:$D"),4,false),1))</f>
        <v>1</v>
      </c>
      <c r="I3063" s="62">
        <f t="shared" si="6127"/>
        <v>1</v>
      </c>
      <c r="J3063" s="62">
        <f t="shared" si="6127"/>
        <v>1</v>
      </c>
      <c r="K3063" s="62">
        <f t="shared" si="6127"/>
        <v>1</v>
      </c>
      <c r="L3063" s="62">
        <f t="shared" si="6127"/>
        <v>1</v>
      </c>
      <c r="M3063" s="62">
        <f t="shared" si="6127"/>
        <v>1</v>
      </c>
      <c r="N3063" s="62">
        <f t="shared" si="6127"/>
        <v>1</v>
      </c>
      <c r="O3063" s="62">
        <f t="shared" si="6127"/>
        <v>1</v>
      </c>
      <c r="P3063" s="62" t="str">
        <f t="shared" si="6127"/>
        <v/>
      </c>
      <c r="Q3063" s="62" t="str">
        <f t="shared" si="6127"/>
        <v/>
      </c>
      <c r="R3063" s="62">
        <f t="shared" si="7"/>
        <v>0</v>
      </c>
      <c r="S3063" s="62"/>
      <c r="T3063" s="62"/>
      <c r="U3063" s="62"/>
      <c r="V3063" s="62"/>
      <c r="W3063" s="62"/>
      <c r="X3063" s="62"/>
      <c r="Y3063" s="62"/>
      <c r="Z3063" s="62"/>
      <c r="AA3063" s="62"/>
      <c r="AB3063" s="62"/>
      <c r="AC3063" s="62"/>
    </row>
    <row r="3064" hidden="1">
      <c r="A3064" s="60"/>
      <c r="B3064" s="60"/>
      <c r="C3064" s="60"/>
      <c r="D3064" s="60"/>
      <c r="E3064" s="62" t="str">
        <f t="shared" si="5153"/>
        <v/>
      </c>
      <c r="F3064" s="62" t="str">
        <f t="shared" ref="F3064:G3064" si="6128">IF(isblank(F$1),,IF(isblank($A3064),,IFERROR(vlookup($A3064,indirect("'TVC-"&amp;text(month(F$1),"00")&amp;"'!$A:$D"),4,false),1)))</f>
        <v/>
      </c>
      <c r="G3064" s="62" t="str">
        <f t="shared" si="6128"/>
        <v/>
      </c>
      <c r="H3064" s="62">
        <f t="shared" ref="H3064:Q3064" si="6129">IF(isblank(H$1),,IFERROR(vlookup($A3064,indirect("'TVC-"&amp;text(month(H$1),"00")&amp;"'!$A:$D"),4,false),1))</f>
        <v>1</v>
      </c>
      <c r="I3064" s="62">
        <f t="shared" si="6129"/>
        <v>1</v>
      </c>
      <c r="J3064" s="62">
        <f t="shared" si="6129"/>
        <v>1</v>
      </c>
      <c r="K3064" s="62">
        <f t="shared" si="6129"/>
        <v>1</v>
      </c>
      <c r="L3064" s="62">
        <f t="shared" si="6129"/>
        <v>1</v>
      </c>
      <c r="M3064" s="62">
        <f t="shared" si="6129"/>
        <v>1</v>
      </c>
      <c r="N3064" s="62">
        <f t="shared" si="6129"/>
        <v>1</v>
      </c>
      <c r="O3064" s="62">
        <f t="shared" si="6129"/>
        <v>1</v>
      </c>
      <c r="P3064" s="62" t="str">
        <f t="shared" si="6129"/>
        <v/>
      </c>
      <c r="Q3064" s="62" t="str">
        <f t="shared" si="6129"/>
        <v/>
      </c>
      <c r="R3064" s="62">
        <f t="shared" si="7"/>
        <v>0</v>
      </c>
      <c r="S3064" s="62"/>
      <c r="T3064" s="62"/>
      <c r="U3064" s="62"/>
      <c r="V3064" s="62"/>
      <c r="W3064" s="62"/>
      <c r="X3064" s="62"/>
      <c r="Y3064" s="62"/>
      <c r="Z3064" s="62"/>
      <c r="AA3064" s="62"/>
      <c r="AB3064" s="62"/>
      <c r="AC3064" s="62"/>
    </row>
    <row r="3065" hidden="1">
      <c r="A3065" s="60"/>
      <c r="B3065" s="60"/>
      <c r="C3065" s="60"/>
      <c r="D3065" s="60"/>
      <c r="E3065" s="62" t="str">
        <f t="shared" si="5153"/>
        <v/>
      </c>
      <c r="F3065" s="62" t="str">
        <f t="shared" ref="F3065:G3065" si="6130">IF(isblank(F$1),,IF(isblank($A3065),,IFERROR(vlookup($A3065,indirect("'TVC-"&amp;text(month(F$1),"00")&amp;"'!$A:$D"),4,false),1)))</f>
        <v/>
      </c>
      <c r="G3065" s="62" t="str">
        <f t="shared" si="6130"/>
        <v/>
      </c>
      <c r="H3065" s="62">
        <f t="shared" ref="H3065:Q3065" si="6131">IF(isblank(H$1),,IFERROR(vlookup($A3065,indirect("'TVC-"&amp;text(month(H$1),"00")&amp;"'!$A:$D"),4,false),1))</f>
        <v>1</v>
      </c>
      <c r="I3065" s="62">
        <f t="shared" si="6131"/>
        <v>1</v>
      </c>
      <c r="J3065" s="62">
        <f t="shared" si="6131"/>
        <v>1</v>
      </c>
      <c r="K3065" s="62">
        <f t="shared" si="6131"/>
        <v>1</v>
      </c>
      <c r="L3065" s="62">
        <f t="shared" si="6131"/>
        <v>1</v>
      </c>
      <c r="M3065" s="62">
        <f t="shared" si="6131"/>
        <v>1</v>
      </c>
      <c r="N3065" s="62">
        <f t="shared" si="6131"/>
        <v>1</v>
      </c>
      <c r="O3065" s="62">
        <f t="shared" si="6131"/>
        <v>1</v>
      </c>
      <c r="P3065" s="62" t="str">
        <f t="shared" si="6131"/>
        <v/>
      </c>
      <c r="Q3065" s="62" t="str">
        <f t="shared" si="6131"/>
        <v/>
      </c>
      <c r="R3065" s="62">
        <f t="shared" si="7"/>
        <v>0</v>
      </c>
      <c r="S3065" s="62"/>
      <c r="T3065" s="62"/>
      <c r="U3065" s="62"/>
      <c r="V3065" s="62"/>
      <c r="W3065" s="62"/>
      <c r="X3065" s="62"/>
      <c r="Y3065" s="62"/>
      <c r="Z3065" s="62"/>
      <c r="AA3065" s="62"/>
      <c r="AB3065" s="62"/>
      <c r="AC3065" s="62"/>
    </row>
    <row r="3066" hidden="1">
      <c r="A3066" s="60"/>
      <c r="B3066" s="60"/>
      <c r="C3066" s="60"/>
      <c r="D3066" s="60"/>
      <c r="E3066" s="62" t="str">
        <f t="shared" si="5153"/>
        <v/>
      </c>
      <c r="F3066" s="62" t="str">
        <f t="shared" ref="F3066:G3066" si="6132">IF(isblank(F$1),,IF(isblank($A3066),,IFERROR(vlookup($A3066,indirect("'TVC-"&amp;text(month(F$1),"00")&amp;"'!$A:$D"),4,false),1)))</f>
        <v/>
      </c>
      <c r="G3066" s="62" t="str">
        <f t="shared" si="6132"/>
        <v/>
      </c>
      <c r="H3066" s="62">
        <f t="shared" ref="H3066:Q3066" si="6133">IF(isblank(H$1),,IFERROR(vlookup($A3066,indirect("'TVC-"&amp;text(month(H$1),"00")&amp;"'!$A:$D"),4,false),1))</f>
        <v>1</v>
      </c>
      <c r="I3066" s="62">
        <f t="shared" si="6133"/>
        <v>1</v>
      </c>
      <c r="J3066" s="62">
        <f t="shared" si="6133"/>
        <v>1</v>
      </c>
      <c r="K3066" s="62">
        <f t="shared" si="6133"/>
        <v>1</v>
      </c>
      <c r="L3066" s="62">
        <f t="shared" si="6133"/>
        <v>1</v>
      </c>
      <c r="M3066" s="62">
        <f t="shared" si="6133"/>
        <v>1</v>
      </c>
      <c r="N3066" s="62">
        <f t="shared" si="6133"/>
        <v>1</v>
      </c>
      <c r="O3066" s="62">
        <f t="shared" si="6133"/>
        <v>1</v>
      </c>
      <c r="P3066" s="62" t="str">
        <f t="shared" si="6133"/>
        <v/>
      </c>
      <c r="Q3066" s="62" t="str">
        <f t="shared" si="6133"/>
        <v/>
      </c>
      <c r="R3066" s="62">
        <f t="shared" si="7"/>
        <v>0</v>
      </c>
      <c r="S3066" s="62"/>
      <c r="T3066" s="62"/>
      <c r="U3066" s="62"/>
      <c r="V3066" s="62"/>
      <c r="W3066" s="62"/>
      <c r="X3066" s="62"/>
      <c r="Y3066" s="62"/>
      <c r="Z3066" s="62"/>
      <c r="AA3066" s="62"/>
      <c r="AB3066" s="62"/>
      <c r="AC3066" s="62"/>
    </row>
    <row r="3067" hidden="1">
      <c r="A3067" s="60"/>
      <c r="B3067" s="60"/>
      <c r="C3067" s="60"/>
      <c r="D3067" s="60"/>
      <c r="E3067" s="62" t="str">
        <f t="shared" si="5153"/>
        <v/>
      </c>
      <c r="F3067" s="62" t="str">
        <f t="shared" ref="F3067:G3067" si="6134">IF(isblank(F$1),,IF(isblank($A3067),,IFERROR(vlookup($A3067,indirect("'TVC-"&amp;text(month(F$1),"00")&amp;"'!$A:$D"),4,false),1)))</f>
        <v/>
      </c>
      <c r="G3067" s="62" t="str">
        <f t="shared" si="6134"/>
        <v/>
      </c>
      <c r="H3067" s="62">
        <f t="shared" ref="H3067:Q3067" si="6135">IF(isblank(H$1),,IFERROR(vlookup($A3067,indirect("'TVC-"&amp;text(month(H$1),"00")&amp;"'!$A:$D"),4,false),1))</f>
        <v>1</v>
      </c>
      <c r="I3067" s="62">
        <f t="shared" si="6135"/>
        <v>1</v>
      </c>
      <c r="J3067" s="62">
        <f t="shared" si="6135"/>
        <v>1</v>
      </c>
      <c r="K3067" s="62">
        <f t="shared" si="6135"/>
        <v>1</v>
      </c>
      <c r="L3067" s="62">
        <f t="shared" si="6135"/>
        <v>1</v>
      </c>
      <c r="M3067" s="62">
        <f t="shared" si="6135"/>
        <v>1</v>
      </c>
      <c r="N3067" s="62">
        <f t="shared" si="6135"/>
        <v>1</v>
      </c>
      <c r="O3067" s="62">
        <f t="shared" si="6135"/>
        <v>1</v>
      </c>
      <c r="P3067" s="62" t="str">
        <f t="shared" si="6135"/>
        <v/>
      </c>
      <c r="Q3067" s="62" t="str">
        <f t="shared" si="6135"/>
        <v/>
      </c>
      <c r="R3067" s="62">
        <f t="shared" si="7"/>
        <v>0</v>
      </c>
      <c r="S3067" s="62"/>
      <c r="T3067" s="62"/>
      <c r="U3067" s="62"/>
      <c r="V3067" s="62"/>
      <c r="W3067" s="62"/>
      <c r="X3067" s="62"/>
      <c r="Y3067" s="62"/>
      <c r="Z3067" s="62"/>
      <c r="AA3067" s="62"/>
      <c r="AB3067" s="62"/>
      <c r="AC3067" s="62"/>
    </row>
    <row r="3068" hidden="1">
      <c r="A3068" s="60"/>
      <c r="B3068" s="60"/>
      <c r="C3068" s="60"/>
      <c r="D3068" s="60"/>
      <c r="E3068" s="62" t="str">
        <f t="shared" si="5153"/>
        <v/>
      </c>
      <c r="F3068" s="62" t="str">
        <f t="shared" ref="F3068:G3068" si="6136">IF(isblank(F$1),,IF(isblank($A3068),,IFERROR(vlookup($A3068,indirect("'TVC-"&amp;text(month(F$1),"00")&amp;"'!$A:$D"),4,false),1)))</f>
        <v/>
      </c>
      <c r="G3068" s="62" t="str">
        <f t="shared" si="6136"/>
        <v/>
      </c>
      <c r="H3068" s="62">
        <f t="shared" ref="H3068:Q3068" si="6137">IF(isblank(H$1),,IFERROR(vlookup($A3068,indirect("'TVC-"&amp;text(month(H$1),"00")&amp;"'!$A:$D"),4,false),1))</f>
        <v>1</v>
      </c>
      <c r="I3068" s="62">
        <f t="shared" si="6137"/>
        <v>1</v>
      </c>
      <c r="J3068" s="62">
        <f t="shared" si="6137"/>
        <v>1</v>
      </c>
      <c r="K3068" s="62">
        <f t="shared" si="6137"/>
        <v>1</v>
      </c>
      <c r="L3068" s="62">
        <f t="shared" si="6137"/>
        <v>1</v>
      </c>
      <c r="M3068" s="62">
        <f t="shared" si="6137"/>
        <v>1</v>
      </c>
      <c r="N3068" s="62">
        <f t="shared" si="6137"/>
        <v>1</v>
      </c>
      <c r="O3068" s="62">
        <f t="shared" si="6137"/>
        <v>1</v>
      </c>
      <c r="P3068" s="62" t="str">
        <f t="shared" si="6137"/>
        <v/>
      </c>
      <c r="Q3068" s="62" t="str">
        <f t="shared" si="6137"/>
        <v/>
      </c>
      <c r="R3068" s="62">
        <f t="shared" si="7"/>
        <v>0</v>
      </c>
      <c r="S3068" s="62"/>
      <c r="T3068" s="62"/>
      <c r="U3068" s="62"/>
      <c r="V3068" s="62"/>
      <c r="W3068" s="62"/>
      <c r="X3068" s="62"/>
      <c r="Y3068" s="62"/>
      <c r="Z3068" s="62"/>
      <c r="AA3068" s="62"/>
      <c r="AB3068" s="62"/>
      <c r="AC3068" s="62"/>
    </row>
    <row r="3069" hidden="1">
      <c r="A3069" s="60"/>
      <c r="B3069" s="60"/>
      <c r="C3069" s="60"/>
      <c r="D3069" s="60"/>
      <c r="E3069" s="62" t="str">
        <f t="shared" si="5153"/>
        <v/>
      </c>
      <c r="F3069" s="62" t="str">
        <f t="shared" ref="F3069:G3069" si="6138">IF(isblank(F$1),,IF(isblank($A3069),,IFERROR(vlookup($A3069,indirect("'TVC-"&amp;text(month(F$1),"00")&amp;"'!$A:$D"),4,false),1)))</f>
        <v/>
      </c>
      <c r="G3069" s="62" t="str">
        <f t="shared" si="6138"/>
        <v/>
      </c>
      <c r="H3069" s="62">
        <f t="shared" ref="H3069:Q3069" si="6139">IF(isblank(H$1),,IFERROR(vlookup($A3069,indirect("'TVC-"&amp;text(month(H$1),"00")&amp;"'!$A:$D"),4,false),1))</f>
        <v>1</v>
      </c>
      <c r="I3069" s="62">
        <f t="shared" si="6139"/>
        <v>1</v>
      </c>
      <c r="J3069" s="62">
        <f t="shared" si="6139"/>
        <v>1</v>
      </c>
      <c r="K3069" s="62">
        <f t="shared" si="6139"/>
        <v>1</v>
      </c>
      <c r="L3069" s="62">
        <f t="shared" si="6139"/>
        <v>1</v>
      </c>
      <c r="M3069" s="62">
        <f t="shared" si="6139"/>
        <v>1</v>
      </c>
      <c r="N3069" s="62">
        <f t="shared" si="6139"/>
        <v>1</v>
      </c>
      <c r="O3069" s="62">
        <f t="shared" si="6139"/>
        <v>1</v>
      </c>
      <c r="P3069" s="62" t="str">
        <f t="shared" si="6139"/>
        <v/>
      </c>
      <c r="Q3069" s="62" t="str">
        <f t="shared" si="6139"/>
        <v/>
      </c>
      <c r="R3069" s="62">
        <f t="shared" si="7"/>
        <v>0</v>
      </c>
      <c r="S3069" s="62"/>
      <c r="T3069" s="62"/>
      <c r="U3069" s="62"/>
      <c r="V3069" s="62"/>
      <c r="W3069" s="62"/>
      <c r="X3069" s="62"/>
      <c r="Y3069" s="62"/>
      <c r="Z3069" s="62"/>
      <c r="AA3069" s="62"/>
      <c r="AB3069" s="62"/>
      <c r="AC3069" s="62"/>
    </row>
    <row r="3070" hidden="1">
      <c r="A3070" s="60"/>
      <c r="B3070" s="60"/>
      <c r="C3070" s="60"/>
      <c r="D3070" s="60"/>
      <c r="E3070" s="62" t="str">
        <f t="shared" si="5153"/>
        <v/>
      </c>
      <c r="F3070" s="62" t="str">
        <f t="shared" ref="F3070:G3070" si="6140">IF(isblank(F$1),,IF(isblank($A3070),,IFERROR(vlookup($A3070,indirect("'TVC-"&amp;text(month(F$1),"00")&amp;"'!$A:$D"),4,false),1)))</f>
        <v/>
      </c>
      <c r="G3070" s="62" t="str">
        <f t="shared" si="6140"/>
        <v/>
      </c>
      <c r="H3070" s="62">
        <f t="shared" ref="H3070:Q3070" si="6141">IF(isblank(H$1),,IFERROR(vlookup($A3070,indirect("'TVC-"&amp;text(month(H$1),"00")&amp;"'!$A:$D"),4,false),1))</f>
        <v>1</v>
      </c>
      <c r="I3070" s="62">
        <f t="shared" si="6141"/>
        <v>1</v>
      </c>
      <c r="J3070" s="62">
        <f t="shared" si="6141"/>
        <v>1</v>
      </c>
      <c r="K3070" s="62">
        <f t="shared" si="6141"/>
        <v>1</v>
      </c>
      <c r="L3070" s="62">
        <f t="shared" si="6141"/>
        <v>1</v>
      </c>
      <c r="M3070" s="62">
        <f t="shared" si="6141"/>
        <v>1</v>
      </c>
      <c r="N3070" s="62">
        <f t="shared" si="6141"/>
        <v>1</v>
      </c>
      <c r="O3070" s="62">
        <f t="shared" si="6141"/>
        <v>1</v>
      </c>
      <c r="P3070" s="62" t="str">
        <f t="shared" si="6141"/>
        <v/>
      </c>
      <c r="Q3070" s="62" t="str">
        <f t="shared" si="6141"/>
        <v/>
      </c>
      <c r="R3070" s="62">
        <f t="shared" si="7"/>
        <v>0</v>
      </c>
      <c r="S3070" s="62"/>
      <c r="T3070" s="62"/>
      <c r="U3070" s="62"/>
      <c r="V3070" s="62"/>
      <c r="W3070" s="62"/>
      <c r="X3070" s="62"/>
      <c r="Y3070" s="62"/>
      <c r="Z3070" s="62"/>
      <c r="AA3070" s="62"/>
      <c r="AB3070" s="62"/>
      <c r="AC3070" s="62"/>
    </row>
    <row r="3071" hidden="1">
      <c r="A3071" s="60"/>
      <c r="B3071" s="60"/>
      <c r="C3071" s="60"/>
      <c r="D3071" s="60"/>
      <c r="E3071" s="62" t="str">
        <f t="shared" si="5153"/>
        <v/>
      </c>
      <c r="F3071" s="62" t="str">
        <f t="shared" ref="F3071:G3071" si="6142">IF(isblank(F$1),,IF(isblank($A3071),,IFERROR(vlookup($A3071,indirect("'TVC-"&amp;text(month(F$1),"00")&amp;"'!$A:$D"),4,false),1)))</f>
        <v/>
      </c>
      <c r="G3071" s="62" t="str">
        <f t="shared" si="6142"/>
        <v/>
      </c>
      <c r="H3071" s="62">
        <f t="shared" ref="H3071:Q3071" si="6143">IF(isblank(H$1),,IFERROR(vlookup($A3071,indirect("'TVC-"&amp;text(month(H$1),"00")&amp;"'!$A:$D"),4,false),1))</f>
        <v>1</v>
      </c>
      <c r="I3071" s="62">
        <f t="shared" si="6143"/>
        <v>1</v>
      </c>
      <c r="J3071" s="62">
        <f t="shared" si="6143"/>
        <v>1</v>
      </c>
      <c r="K3071" s="62">
        <f t="shared" si="6143"/>
        <v>1</v>
      </c>
      <c r="L3071" s="62">
        <f t="shared" si="6143"/>
        <v>1</v>
      </c>
      <c r="M3071" s="62">
        <f t="shared" si="6143"/>
        <v>1</v>
      </c>
      <c r="N3071" s="62">
        <f t="shared" si="6143"/>
        <v>1</v>
      </c>
      <c r="O3071" s="62">
        <f t="shared" si="6143"/>
        <v>1</v>
      </c>
      <c r="P3071" s="62" t="str">
        <f t="shared" si="6143"/>
        <v/>
      </c>
      <c r="Q3071" s="62" t="str">
        <f t="shared" si="6143"/>
        <v/>
      </c>
      <c r="R3071" s="62">
        <f t="shared" si="7"/>
        <v>0</v>
      </c>
      <c r="S3071" s="62"/>
      <c r="T3071" s="62"/>
      <c r="U3071" s="62"/>
      <c r="V3071" s="62"/>
      <c r="W3071" s="62"/>
      <c r="X3071" s="62"/>
      <c r="Y3071" s="62"/>
      <c r="Z3071" s="62"/>
      <c r="AA3071" s="62"/>
      <c r="AB3071" s="62"/>
      <c r="AC3071" s="62"/>
    </row>
    <row r="3072" hidden="1">
      <c r="A3072" s="60"/>
      <c r="B3072" s="60"/>
      <c r="C3072" s="60"/>
      <c r="D3072" s="60"/>
      <c r="E3072" s="62" t="str">
        <f t="shared" si="5153"/>
        <v/>
      </c>
      <c r="F3072" s="62" t="str">
        <f t="shared" ref="F3072:G3072" si="6144">IF(isblank(F$1),,IF(isblank($A3072),,IFERROR(vlookup($A3072,indirect("'TVC-"&amp;text(month(F$1),"00")&amp;"'!$A:$D"),4,false),1)))</f>
        <v/>
      </c>
      <c r="G3072" s="62" t="str">
        <f t="shared" si="6144"/>
        <v/>
      </c>
      <c r="H3072" s="62">
        <f t="shared" ref="H3072:Q3072" si="6145">IF(isblank(H$1),,IFERROR(vlookup($A3072,indirect("'TVC-"&amp;text(month(H$1),"00")&amp;"'!$A:$D"),4,false),1))</f>
        <v>1</v>
      </c>
      <c r="I3072" s="62">
        <f t="shared" si="6145"/>
        <v>1</v>
      </c>
      <c r="J3072" s="62">
        <f t="shared" si="6145"/>
        <v>1</v>
      </c>
      <c r="K3072" s="62">
        <f t="shared" si="6145"/>
        <v>1</v>
      </c>
      <c r="L3072" s="62">
        <f t="shared" si="6145"/>
        <v>1</v>
      </c>
      <c r="M3072" s="62">
        <f t="shared" si="6145"/>
        <v>1</v>
      </c>
      <c r="N3072" s="62">
        <f t="shared" si="6145"/>
        <v>1</v>
      </c>
      <c r="O3072" s="62">
        <f t="shared" si="6145"/>
        <v>1</v>
      </c>
      <c r="P3072" s="62" t="str">
        <f t="shared" si="6145"/>
        <v/>
      </c>
      <c r="Q3072" s="62" t="str">
        <f t="shared" si="6145"/>
        <v/>
      </c>
      <c r="R3072" s="62">
        <f t="shared" si="7"/>
        <v>0</v>
      </c>
      <c r="S3072" s="62"/>
      <c r="T3072" s="62"/>
      <c r="U3072" s="62"/>
      <c r="V3072" s="62"/>
      <c r="W3072" s="62"/>
      <c r="X3072" s="62"/>
      <c r="Y3072" s="62"/>
      <c r="Z3072" s="62"/>
      <c r="AA3072" s="62"/>
      <c r="AB3072" s="62"/>
      <c r="AC3072" s="62"/>
    </row>
    <row r="3073" hidden="1">
      <c r="A3073" s="60"/>
      <c r="B3073" s="60"/>
      <c r="C3073" s="60"/>
      <c r="D3073" s="60"/>
      <c r="E3073" s="62" t="str">
        <f t="shared" si="5153"/>
        <v/>
      </c>
      <c r="F3073" s="62" t="str">
        <f t="shared" ref="F3073:G3073" si="6146">IF(isblank(F$1),,IF(isblank($A3073),,IFERROR(vlookup($A3073,indirect("'TVC-"&amp;text(month(F$1),"00")&amp;"'!$A:$D"),4,false),1)))</f>
        <v/>
      </c>
      <c r="G3073" s="62" t="str">
        <f t="shared" si="6146"/>
        <v/>
      </c>
      <c r="H3073" s="62">
        <f t="shared" ref="H3073:Q3073" si="6147">IF(isblank(H$1),,IFERROR(vlookup($A3073,indirect("'TVC-"&amp;text(month(H$1),"00")&amp;"'!$A:$D"),4,false),1))</f>
        <v>1</v>
      </c>
      <c r="I3073" s="62">
        <f t="shared" si="6147"/>
        <v>1</v>
      </c>
      <c r="J3073" s="62">
        <f t="shared" si="6147"/>
        <v>1</v>
      </c>
      <c r="K3073" s="62">
        <f t="shared" si="6147"/>
        <v>1</v>
      </c>
      <c r="L3073" s="62">
        <f t="shared" si="6147"/>
        <v>1</v>
      </c>
      <c r="M3073" s="62">
        <f t="shared" si="6147"/>
        <v>1</v>
      </c>
      <c r="N3073" s="62">
        <f t="shared" si="6147"/>
        <v>1</v>
      </c>
      <c r="O3073" s="62">
        <f t="shared" si="6147"/>
        <v>1</v>
      </c>
      <c r="P3073" s="62" t="str">
        <f t="shared" si="6147"/>
        <v/>
      </c>
      <c r="Q3073" s="62" t="str">
        <f t="shared" si="6147"/>
        <v/>
      </c>
      <c r="R3073" s="62">
        <f t="shared" si="7"/>
        <v>0</v>
      </c>
      <c r="S3073" s="62"/>
      <c r="T3073" s="62"/>
      <c r="U3073" s="62"/>
      <c r="V3073" s="62"/>
      <c r="W3073" s="62"/>
      <c r="X3073" s="62"/>
      <c r="Y3073" s="62"/>
      <c r="Z3073" s="62"/>
      <c r="AA3073" s="62"/>
      <c r="AB3073" s="62"/>
      <c r="AC3073" s="62"/>
    </row>
    <row r="3074" hidden="1">
      <c r="A3074" s="60"/>
      <c r="B3074" s="60"/>
      <c r="C3074" s="60"/>
      <c r="D3074" s="60"/>
      <c r="E3074" s="62" t="str">
        <f t="shared" si="5153"/>
        <v/>
      </c>
      <c r="F3074" s="62" t="str">
        <f t="shared" ref="F3074:G3074" si="6148">IF(isblank(F$1),,IF(isblank($A3074),,IFERROR(vlookup($A3074,indirect("'TVC-"&amp;text(month(F$1),"00")&amp;"'!$A:$D"),4,false),1)))</f>
        <v/>
      </c>
      <c r="G3074" s="62" t="str">
        <f t="shared" si="6148"/>
        <v/>
      </c>
      <c r="H3074" s="62">
        <f t="shared" ref="H3074:Q3074" si="6149">IF(isblank(H$1),,IFERROR(vlookup($A3074,indirect("'TVC-"&amp;text(month(H$1),"00")&amp;"'!$A:$D"),4,false),1))</f>
        <v>1</v>
      </c>
      <c r="I3074" s="62">
        <f t="shared" si="6149"/>
        <v>1</v>
      </c>
      <c r="J3074" s="62">
        <f t="shared" si="6149"/>
        <v>1</v>
      </c>
      <c r="K3074" s="62">
        <f t="shared" si="6149"/>
        <v>1</v>
      </c>
      <c r="L3074" s="62">
        <f t="shared" si="6149"/>
        <v>1</v>
      </c>
      <c r="M3074" s="62">
        <f t="shared" si="6149"/>
        <v>1</v>
      </c>
      <c r="N3074" s="62">
        <f t="shared" si="6149"/>
        <v>1</v>
      </c>
      <c r="O3074" s="62">
        <f t="shared" si="6149"/>
        <v>1</v>
      </c>
      <c r="P3074" s="62" t="str">
        <f t="shared" si="6149"/>
        <v/>
      </c>
      <c r="Q3074" s="62" t="str">
        <f t="shared" si="6149"/>
        <v/>
      </c>
      <c r="R3074" s="62">
        <f t="shared" si="7"/>
        <v>0</v>
      </c>
      <c r="S3074" s="62"/>
      <c r="T3074" s="62"/>
      <c r="U3074" s="62"/>
      <c r="V3074" s="62"/>
      <c r="W3074" s="62"/>
      <c r="X3074" s="62"/>
      <c r="Y3074" s="62"/>
      <c r="Z3074" s="62"/>
      <c r="AA3074" s="62"/>
      <c r="AB3074" s="62"/>
      <c r="AC3074" s="62"/>
    </row>
    <row r="3075" hidden="1">
      <c r="A3075" s="60"/>
      <c r="B3075" s="60"/>
      <c r="C3075" s="60"/>
      <c r="D3075" s="60"/>
      <c r="E3075" s="62" t="str">
        <f t="shared" si="5153"/>
        <v/>
      </c>
      <c r="F3075" s="62" t="str">
        <f t="shared" ref="F3075:G3075" si="6150">IF(isblank(F$1),,IF(isblank($A3075),,IFERROR(vlookup($A3075,indirect("'TVC-"&amp;text(month(F$1),"00")&amp;"'!$A:$D"),4,false),1)))</f>
        <v/>
      </c>
      <c r="G3075" s="62" t="str">
        <f t="shared" si="6150"/>
        <v/>
      </c>
      <c r="H3075" s="62">
        <f t="shared" ref="H3075:Q3075" si="6151">IF(isblank(H$1),,IFERROR(vlookup($A3075,indirect("'TVC-"&amp;text(month(H$1),"00")&amp;"'!$A:$D"),4,false),1))</f>
        <v>1</v>
      </c>
      <c r="I3075" s="62">
        <f t="shared" si="6151"/>
        <v>1</v>
      </c>
      <c r="J3075" s="62">
        <f t="shared" si="6151"/>
        <v>1</v>
      </c>
      <c r="K3075" s="62">
        <f t="shared" si="6151"/>
        <v>1</v>
      </c>
      <c r="L3075" s="62">
        <f t="shared" si="6151"/>
        <v>1</v>
      </c>
      <c r="M3075" s="62">
        <f t="shared" si="6151"/>
        <v>1</v>
      </c>
      <c r="N3075" s="62">
        <f t="shared" si="6151"/>
        <v>1</v>
      </c>
      <c r="O3075" s="62">
        <f t="shared" si="6151"/>
        <v>1</v>
      </c>
      <c r="P3075" s="62" t="str">
        <f t="shared" si="6151"/>
        <v/>
      </c>
      <c r="Q3075" s="62" t="str">
        <f t="shared" si="6151"/>
        <v/>
      </c>
      <c r="R3075" s="62">
        <f t="shared" si="7"/>
        <v>0</v>
      </c>
      <c r="S3075" s="62"/>
      <c r="T3075" s="62"/>
      <c r="U3075" s="62"/>
      <c r="V3075" s="62"/>
      <c r="W3075" s="62"/>
      <c r="X3075" s="62"/>
      <c r="Y3075" s="62"/>
      <c r="Z3075" s="62"/>
      <c r="AA3075" s="62"/>
      <c r="AB3075" s="62"/>
      <c r="AC3075" s="62"/>
    </row>
    <row r="3076" hidden="1">
      <c r="A3076" s="60"/>
      <c r="B3076" s="60"/>
      <c r="C3076" s="60"/>
      <c r="D3076" s="60"/>
      <c r="E3076" s="62" t="str">
        <f t="shared" si="5153"/>
        <v/>
      </c>
      <c r="F3076" s="62" t="str">
        <f t="shared" ref="F3076:G3076" si="6152">IF(isblank(F$1),,IF(isblank($A3076),,IFERROR(vlookup($A3076,indirect("'TVC-"&amp;text(month(F$1),"00")&amp;"'!$A:$D"),4,false),1)))</f>
        <v/>
      </c>
      <c r="G3076" s="62" t="str">
        <f t="shared" si="6152"/>
        <v/>
      </c>
      <c r="H3076" s="62">
        <f t="shared" ref="H3076:Q3076" si="6153">IF(isblank(H$1),,IFERROR(vlookup($A3076,indirect("'TVC-"&amp;text(month(H$1),"00")&amp;"'!$A:$D"),4,false),1))</f>
        <v>1</v>
      </c>
      <c r="I3076" s="62">
        <f t="shared" si="6153"/>
        <v>1</v>
      </c>
      <c r="J3076" s="62">
        <f t="shared" si="6153"/>
        <v>1</v>
      </c>
      <c r="K3076" s="62">
        <f t="shared" si="6153"/>
        <v>1</v>
      </c>
      <c r="L3076" s="62">
        <f t="shared" si="6153"/>
        <v>1</v>
      </c>
      <c r="M3076" s="62">
        <f t="shared" si="6153"/>
        <v>1</v>
      </c>
      <c r="N3076" s="62">
        <f t="shared" si="6153"/>
        <v>1</v>
      </c>
      <c r="O3076" s="62">
        <f t="shared" si="6153"/>
        <v>1</v>
      </c>
      <c r="P3076" s="62" t="str">
        <f t="shared" si="6153"/>
        <v/>
      </c>
      <c r="Q3076" s="62" t="str">
        <f t="shared" si="6153"/>
        <v/>
      </c>
      <c r="R3076" s="62">
        <f t="shared" si="7"/>
        <v>0</v>
      </c>
      <c r="S3076" s="62"/>
      <c r="T3076" s="62"/>
      <c r="U3076" s="62"/>
      <c r="V3076" s="62"/>
      <c r="W3076" s="62"/>
      <c r="X3076" s="62"/>
      <c r="Y3076" s="62"/>
      <c r="Z3076" s="62"/>
      <c r="AA3076" s="62"/>
      <c r="AB3076" s="62"/>
      <c r="AC3076" s="62"/>
    </row>
    <row r="3077" hidden="1">
      <c r="A3077" s="60"/>
      <c r="B3077" s="60"/>
      <c r="C3077" s="60"/>
      <c r="D3077" s="60"/>
      <c r="E3077" s="62" t="str">
        <f t="shared" si="5153"/>
        <v/>
      </c>
      <c r="F3077" s="62" t="str">
        <f t="shared" ref="F3077:G3077" si="6154">IF(isblank(F$1),,IF(isblank($A3077),,IFERROR(vlookup($A3077,indirect("'TVC-"&amp;text(month(F$1),"00")&amp;"'!$A:$D"),4,false),1)))</f>
        <v/>
      </c>
      <c r="G3077" s="62" t="str">
        <f t="shared" si="6154"/>
        <v/>
      </c>
      <c r="H3077" s="62">
        <f t="shared" ref="H3077:Q3077" si="6155">IF(isblank(H$1),,IFERROR(vlookup($A3077,indirect("'TVC-"&amp;text(month(H$1),"00")&amp;"'!$A:$D"),4,false),1))</f>
        <v>1</v>
      </c>
      <c r="I3077" s="62">
        <f t="shared" si="6155"/>
        <v>1</v>
      </c>
      <c r="J3077" s="62">
        <f t="shared" si="6155"/>
        <v>1</v>
      </c>
      <c r="K3077" s="62">
        <f t="shared" si="6155"/>
        <v>1</v>
      </c>
      <c r="L3077" s="62">
        <f t="shared" si="6155"/>
        <v>1</v>
      </c>
      <c r="M3077" s="62">
        <f t="shared" si="6155"/>
        <v>1</v>
      </c>
      <c r="N3077" s="62">
        <f t="shared" si="6155"/>
        <v>1</v>
      </c>
      <c r="O3077" s="62">
        <f t="shared" si="6155"/>
        <v>1</v>
      </c>
      <c r="P3077" s="62" t="str">
        <f t="shared" si="6155"/>
        <v/>
      </c>
      <c r="Q3077" s="62" t="str">
        <f t="shared" si="6155"/>
        <v/>
      </c>
      <c r="R3077" s="62">
        <f t="shared" si="7"/>
        <v>0</v>
      </c>
      <c r="S3077" s="62"/>
      <c r="T3077" s="62"/>
      <c r="U3077" s="62"/>
      <c r="V3077" s="62"/>
      <c r="W3077" s="62"/>
      <c r="X3077" s="62"/>
      <c r="Y3077" s="62"/>
      <c r="Z3077" s="62"/>
      <c r="AA3077" s="62"/>
      <c r="AB3077" s="62"/>
      <c r="AC3077" s="62"/>
    </row>
    <row r="3078" hidden="1">
      <c r="A3078" s="60"/>
      <c r="B3078" s="60"/>
      <c r="C3078" s="60"/>
      <c r="D3078" s="60"/>
      <c r="E3078" s="62" t="str">
        <f t="shared" si="5153"/>
        <v/>
      </c>
      <c r="F3078" s="62" t="str">
        <f t="shared" ref="F3078:G3078" si="6156">IF(isblank(F$1),,IF(isblank($A3078),,IFERROR(vlookup($A3078,indirect("'TVC-"&amp;text(month(F$1),"00")&amp;"'!$A:$D"),4,false),1)))</f>
        <v/>
      </c>
      <c r="G3078" s="62" t="str">
        <f t="shared" si="6156"/>
        <v/>
      </c>
      <c r="H3078" s="62">
        <f t="shared" ref="H3078:Q3078" si="6157">IF(isblank(H$1),,IFERROR(vlookup($A3078,indirect("'TVC-"&amp;text(month(H$1),"00")&amp;"'!$A:$D"),4,false),1))</f>
        <v>1</v>
      </c>
      <c r="I3078" s="62">
        <f t="shared" si="6157"/>
        <v>1</v>
      </c>
      <c r="J3078" s="62">
        <f t="shared" si="6157"/>
        <v>1</v>
      </c>
      <c r="K3078" s="62">
        <f t="shared" si="6157"/>
        <v>1</v>
      </c>
      <c r="L3078" s="62">
        <f t="shared" si="6157"/>
        <v>1</v>
      </c>
      <c r="M3078" s="62">
        <f t="shared" si="6157"/>
        <v>1</v>
      </c>
      <c r="N3078" s="62">
        <f t="shared" si="6157"/>
        <v>1</v>
      </c>
      <c r="O3078" s="62">
        <f t="shared" si="6157"/>
        <v>1</v>
      </c>
      <c r="P3078" s="62" t="str">
        <f t="shared" si="6157"/>
        <v/>
      </c>
      <c r="Q3078" s="62" t="str">
        <f t="shared" si="6157"/>
        <v/>
      </c>
      <c r="R3078" s="62">
        <f t="shared" si="7"/>
        <v>0</v>
      </c>
      <c r="S3078" s="62"/>
      <c r="T3078" s="62"/>
      <c r="U3078" s="62"/>
      <c r="V3078" s="62"/>
      <c r="W3078" s="62"/>
      <c r="X3078" s="62"/>
      <c r="Y3078" s="62"/>
      <c r="Z3078" s="62"/>
      <c r="AA3078" s="62"/>
      <c r="AB3078" s="62"/>
      <c r="AC3078" s="62"/>
    </row>
    <row r="3079" hidden="1">
      <c r="A3079" s="60"/>
      <c r="B3079" s="60"/>
      <c r="C3079" s="60"/>
      <c r="D3079" s="60"/>
      <c r="E3079" s="62" t="str">
        <f t="shared" si="5153"/>
        <v/>
      </c>
      <c r="F3079" s="62" t="str">
        <f t="shared" ref="F3079:G3079" si="6158">IF(isblank(F$1),,IF(isblank($A3079),,IFERROR(vlookup($A3079,indirect("'TVC-"&amp;text(month(F$1),"00")&amp;"'!$A:$D"),4,false),1)))</f>
        <v/>
      </c>
      <c r="G3079" s="62" t="str">
        <f t="shared" si="6158"/>
        <v/>
      </c>
      <c r="H3079" s="62">
        <f t="shared" ref="H3079:Q3079" si="6159">IF(isblank(H$1),,IFERROR(vlookup($A3079,indirect("'TVC-"&amp;text(month(H$1),"00")&amp;"'!$A:$D"),4,false),1))</f>
        <v>1</v>
      </c>
      <c r="I3079" s="62">
        <f t="shared" si="6159"/>
        <v>1</v>
      </c>
      <c r="J3079" s="62">
        <f t="shared" si="6159"/>
        <v>1</v>
      </c>
      <c r="K3079" s="62">
        <f t="shared" si="6159"/>
        <v>1</v>
      </c>
      <c r="L3079" s="62">
        <f t="shared" si="6159"/>
        <v>1</v>
      </c>
      <c r="M3079" s="62">
        <f t="shared" si="6159"/>
        <v>1</v>
      </c>
      <c r="N3079" s="62">
        <f t="shared" si="6159"/>
        <v>1</v>
      </c>
      <c r="O3079" s="62">
        <f t="shared" si="6159"/>
        <v>1</v>
      </c>
      <c r="P3079" s="62" t="str">
        <f t="shared" si="6159"/>
        <v/>
      </c>
      <c r="Q3079" s="62" t="str">
        <f t="shared" si="6159"/>
        <v/>
      </c>
      <c r="R3079" s="62">
        <f t="shared" si="7"/>
        <v>0</v>
      </c>
      <c r="S3079" s="62"/>
      <c r="T3079" s="62"/>
      <c r="U3079" s="62"/>
      <c r="V3079" s="62"/>
      <c r="W3079" s="62"/>
      <c r="X3079" s="62"/>
      <c r="Y3079" s="62"/>
      <c r="Z3079" s="62"/>
      <c r="AA3079" s="62"/>
      <c r="AB3079" s="62"/>
      <c r="AC3079" s="62"/>
    </row>
    <row r="3080" hidden="1">
      <c r="A3080" s="60"/>
      <c r="B3080" s="60"/>
      <c r="C3080" s="60"/>
      <c r="D3080" s="60"/>
      <c r="E3080" s="62" t="str">
        <f t="shared" si="5153"/>
        <v/>
      </c>
      <c r="F3080" s="62" t="str">
        <f t="shared" ref="F3080:G3080" si="6160">IF(isblank(F$1),,IF(isblank($A3080),,IFERROR(vlookup($A3080,indirect("'TVC-"&amp;text(month(F$1),"00")&amp;"'!$A:$D"),4,false),1)))</f>
        <v/>
      </c>
      <c r="G3080" s="62" t="str">
        <f t="shared" si="6160"/>
        <v/>
      </c>
      <c r="H3080" s="62">
        <f t="shared" ref="H3080:Q3080" si="6161">IF(isblank(H$1),,IFERROR(vlookup($A3080,indirect("'TVC-"&amp;text(month(H$1),"00")&amp;"'!$A:$D"),4,false),1))</f>
        <v>1</v>
      </c>
      <c r="I3080" s="62">
        <f t="shared" si="6161"/>
        <v>1</v>
      </c>
      <c r="J3080" s="62">
        <f t="shared" si="6161"/>
        <v>1</v>
      </c>
      <c r="K3080" s="62">
        <f t="shared" si="6161"/>
        <v>1</v>
      </c>
      <c r="L3080" s="62">
        <f t="shared" si="6161"/>
        <v>1</v>
      </c>
      <c r="M3080" s="62">
        <f t="shared" si="6161"/>
        <v>1</v>
      </c>
      <c r="N3080" s="62">
        <f t="shared" si="6161"/>
        <v>1</v>
      </c>
      <c r="O3080" s="62">
        <f t="shared" si="6161"/>
        <v>1</v>
      </c>
      <c r="P3080" s="62" t="str">
        <f t="shared" si="6161"/>
        <v/>
      </c>
      <c r="Q3080" s="62" t="str">
        <f t="shared" si="6161"/>
        <v/>
      </c>
      <c r="R3080" s="62">
        <f t="shared" si="7"/>
        <v>0</v>
      </c>
      <c r="S3080" s="62"/>
      <c r="T3080" s="62"/>
      <c r="U3080" s="62"/>
      <c r="V3080" s="62"/>
      <c r="W3080" s="62"/>
      <c r="X3080" s="62"/>
      <c r="Y3080" s="62"/>
      <c r="Z3080" s="62"/>
      <c r="AA3080" s="62"/>
      <c r="AB3080" s="62"/>
      <c r="AC3080" s="62"/>
    </row>
    <row r="3081" hidden="1">
      <c r="A3081" s="60"/>
      <c r="B3081" s="60"/>
      <c r="C3081" s="60"/>
      <c r="D3081" s="60"/>
      <c r="E3081" s="62" t="str">
        <f t="shared" si="5153"/>
        <v/>
      </c>
      <c r="F3081" s="62" t="str">
        <f t="shared" ref="F3081:G3081" si="6162">IF(isblank(F$1),,IF(isblank($A3081),,IFERROR(vlookup($A3081,indirect("'TVC-"&amp;text(month(F$1),"00")&amp;"'!$A:$D"),4,false),1)))</f>
        <v/>
      </c>
      <c r="G3081" s="62" t="str">
        <f t="shared" si="6162"/>
        <v/>
      </c>
      <c r="H3081" s="62">
        <f t="shared" ref="H3081:Q3081" si="6163">IF(isblank(H$1),,IFERROR(vlookup($A3081,indirect("'TVC-"&amp;text(month(H$1),"00")&amp;"'!$A:$D"),4,false),1))</f>
        <v>1</v>
      </c>
      <c r="I3081" s="62">
        <f t="shared" si="6163"/>
        <v>1</v>
      </c>
      <c r="J3081" s="62">
        <f t="shared" si="6163"/>
        <v>1</v>
      </c>
      <c r="K3081" s="62">
        <f t="shared" si="6163"/>
        <v>1</v>
      </c>
      <c r="L3081" s="62">
        <f t="shared" si="6163"/>
        <v>1</v>
      </c>
      <c r="M3081" s="62">
        <f t="shared" si="6163"/>
        <v>1</v>
      </c>
      <c r="N3081" s="62">
        <f t="shared" si="6163"/>
        <v>1</v>
      </c>
      <c r="O3081" s="62">
        <f t="shared" si="6163"/>
        <v>1</v>
      </c>
      <c r="P3081" s="62" t="str">
        <f t="shared" si="6163"/>
        <v/>
      </c>
      <c r="Q3081" s="62" t="str">
        <f t="shared" si="6163"/>
        <v/>
      </c>
      <c r="R3081" s="62">
        <f t="shared" si="7"/>
        <v>0</v>
      </c>
      <c r="S3081" s="62"/>
      <c r="T3081" s="62"/>
      <c r="U3081" s="62"/>
      <c r="V3081" s="62"/>
      <c r="W3081" s="62"/>
      <c r="X3081" s="62"/>
      <c r="Y3081" s="62"/>
      <c r="Z3081" s="62"/>
      <c r="AA3081" s="62"/>
      <c r="AB3081" s="62"/>
      <c r="AC3081" s="62"/>
    </row>
    <row r="3082" hidden="1">
      <c r="A3082" s="60"/>
      <c r="B3082" s="60"/>
      <c r="C3082" s="60"/>
      <c r="D3082" s="60"/>
      <c r="E3082" s="62" t="str">
        <f t="shared" si="5153"/>
        <v/>
      </c>
      <c r="F3082" s="62" t="str">
        <f t="shared" ref="F3082:G3082" si="6164">IF(isblank(F$1),,IF(isblank($A3082),,IFERROR(vlookup($A3082,indirect("'TVC-"&amp;text(month(F$1),"00")&amp;"'!$A:$D"),4,false),1)))</f>
        <v/>
      </c>
      <c r="G3082" s="62" t="str">
        <f t="shared" si="6164"/>
        <v/>
      </c>
      <c r="H3082" s="62">
        <f t="shared" ref="H3082:Q3082" si="6165">IF(isblank(H$1),,IFERROR(vlookup($A3082,indirect("'TVC-"&amp;text(month(H$1),"00")&amp;"'!$A:$D"),4,false),1))</f>
        <v>1</v>
      </c>
      <c r="I3082" s="62">
        <f t="shared" si="6165"/>
        <v>1</v>
      </c>
      <c r="J3082" s="62">
        <f t="shared" si="6165"/>
        <v>1</v>
      </c>
      <c r="K3082" s="62">
        <f t="shared" si="6165"/>
        <v>1</v>
      </c>
      <c r="L3082" s="62">
        <f t="shared" si="6165"/>
        <v>1</v>
      </c>
      <c r="M3082" s="62">
        <f t="shared" si="6165"/>
        <v>1</v>
      </c>
      <c r="N3082" s="62">
        <f t="shared" si="6165"/>
        <v>1</v>
      </c>
      <c r="O3082" s="62">
        <f t="shared" si="6165"/>
        <v>1</v>
      </c>
      <c r="P3082" s="62" t="str">
        <f t="shared" si="6165"/>
        <v/>
      </c>
      <c r="Q3082" s="62" t="str">
        <f t="shared" si="6165"/>
        <v/>
      </c>
      <c r="R3082" s="62">
        <f t="shared" si="7"/>
        <v>0</v>
      </c>
      <c r="S3082" s="62"/>
      <c r="T3082" s="62"/>
      <c r="U3082" s="62"/>
      <c r="V3082" s="62"/>
      <c r="W3082" s="62"/>
      <c r="X3082" s="62"/>
      <c r="Y3082" s="62"/>
      <c r="Z3082" s="62"/>
      <c r="AA3082" s="62"/>
      <c r="AB3082" s="62"/>
      <c r="AC3082" s="62"/>
    </row>
    <row r="3083" hidden="1">
      <c r="A3083" s="60"/>
      <c r="B3083" s="60"/>
      <c r="C3083" s="60"/>
      <c r="D3083" s="60"/>
      <c r="E3083" s="62" t="str">
        <f t="shared" si="5153"/>
        <v/>
      </c>
      <c r="F3083" s="62" t="str">
        <f t="shared" ref="F3083:G3083" si="6166">IF(isblank(F$1),,IF(isblank($A3083),,IFERROR(vlookup($A3083,indirect("'TVC-"&amp;text(month(F$1),"00")&amp;"'!$A:$D"),4,false),1)))</f>
        <v/>
      </c>
      <c r="G3083" s="62" t="str">
        <f t="shared" si="6166"/>
        <v/>
      </c>
      <c r="H3083" s="62">
        <f t="shared" ref="H3083:Q3083" si="6167">IF(isblank(H$1),,IFERROR(vlookup($A3083,indirect("'TVC-"&amp;text(month(H$1),"00")&amp;"'!$A:$D"),4,false),1))</f>
        <v>1</v>
      </c>
      <c r="I3083" s="62">
        <f t="shared" si="6167"/>
        <v>1</v>
      </c>
      <c r="J3083" s="62">
        <f t="shared" si="6167"/>
        <v>1</v>
      </c>
      <c r="K3083" s="62">
        <f t="shared" si="6167"/>
        <v>1</v>
      </c>
      <c r="L3083" s="62">
        <f t="shared" si="6167"/>
        <v>1</v>
      </c>
      <c r="M3083" s="62">
        <f t="shared" si="6167"/>
        <v>1</v>
      </c>
      <c r="N3083" s="62">
        <f t="shared" si="6167"/>
        <v>1</v>
      </c>
      <c r="O3083" s="62">
        <f t="shared" si="6167"/>
        <v>1</v>
      </c>
      <c r="P3083" s="62" t="str">
        <f t="shared" si="6167"/>
        <v/>
      </c>
      <c r="Q3083" s="62" t="str">
        <f t="shared" si="6167"/>
        <v/>
      </c>
      <c r="R3083" s="62">
        <f t="shared" si="7"/>
        <v>0</v>
      </c>
      <c r="S3083" s="62"/>
      <c r="T3083" s="62"/>
      <c r="U3083" s="62"/>
      <c r="V3083" s="62"/>
      <c r="W3083" s="62"/>
      <c r="X3083" s="62"/>
      <c r="Y3083" s="62"/>
      <c r="Z3083" s="62"/>
      <c r="AA3083" s="62"/>
      <c r="AB3083" s="62"/>
      <c r="AC3083" s="62"/>
    </row>
    <row r="3084" hidden="1">
      <c r="A3084" s="60"/>
      <c r="B3084" s="60"/>
      <c r="C3084" s="60"/>
      <c r="D3084" s="60"/>
      <c r="E3084" s="62" t="str">
        <f t="shared" si="5153"/>
        <v/>
      </c>
      <c r="F3084" s="62" t="str">
        <f t="shared" ref="F3084:G3084" si="6168">IF(isblank(F$1),,IF(isblank($A3084),,IFERROR(vlookup($A3084,indirect("'TVC-"&amp;text(month(F$1),"00")&amp;"'!$A:$D"),4,false),1)))</f>
        <v/>
      </c>
      <c r="G3084" s="62" t="str">
        <f t="shared" si="6168"/>
        <v/>
      </c>
      <c r="H3084" s="62">
        <f t="shared" ref="H3084:Q3084" si="6169">IF(isblank(H$1),,IFERROR(vlookup($A3084,indirect("'TVC-"&amp;text(month(H$1),"00")&amp;"'!$A:$D"),4,false),1))</f>
        <v>1</v>
      </c>
      <c r="I3084" s="62">
        <f t="shared" si="6169"/>
        <v>1</v>
      </c>
      <c r="J3084" s="62">
        <f t="shared" si="6169"/>
        <v>1</v>
      </c>
      <c r="K3084" s="62">
        <f t="shared" si="6169"/>
        <v>1</v>
      </c>
      <c r="L3084" s="62">
        <f t="shared" si="6169"/>
        <v>1</v>
      </c>
      <c r="M3084" s="62">
        <f t="shared" si="6169"/>
        <v>1</v>
      </c>
      <c r="N3084" s="62">
        <f t="shared" si="6169"/>
        <v>1</v>
      </c>
      <c r="O3084" s="62">
        <f t="shared" si="6169"/>
        <v>1</v>
      </c>
      <c r="P3084" s="62" t="str">
        <f t="shared" si="6169"/>
        <v/>
      </c>
      <c r="Q3084" s="62" t="str">
        <f t="shared" si="6169"/>
        <v/>
      </c>
      <c r="R3084" s="62">
        <f t="shared" si="7"/>
        <v>0</v>
      </c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</row>
    <row r="3085" hidden="1">
      <c r="A3085" s="60"/>
      <c r="B3085" s="60"/>
      <c r="C3085" s="60"/>
      <c r="D3085" s="60"/>
      <c r="E3085" s="62" t="str">
        <f t="shared" si="5153"/>
        <v/>
      </c>
      <c r="F3085" s="62" t="str">
        <f t="shared" ref="F3085:G3085" si="6170">IF(isblank(F$1),,IF(isblank($A3085),,IFERROR(vlookup($A3085,indirect("'TVC-"&amp;text(month(F$1),"00")&amp;"'!$A:$D"),4,false),1)))</f>
        <v/>
      </c>
      <c r="G3085" s="62" t="str">
        <f t="shared" si="6170"/>
        <v/>
      </c>
      <c r="H3085" s="62">
        <f t="shared" ref="H3085:Q3085" si="6171">IF(isblank(H$1),,IFERROR(vlookup($A3085,indirect("'TVC-"&amp;text(month(H$1),"00")&amp;"'!$A:$D"),4,false),1))</f>
        <v>1</v>
      </c>
      <c r="I3085" s="62">
        <f t="shared" si="6171"/>
        <v>1</v>
      </c>
      <c r="J3085" s="62">
        <f t="shared" si="6171"/>
        <v>1</v>
      </c>
      <c r="K3085" s="62">
        <f t="shared" si="6171"/>
        <v>1</v>
      </c>
      <c r="L3085" s="62">
        <f t="shared" si="6171"/>
        <v>1</v>
      </c>
      <c r="M3085" s="62">
        <f t="shared" si="6171"/>
        <v>1</v>
      </c>
      <c r="N3085" s="62">
        <f t="shared" si="6171"/>
        <v>1</v>
      </c>
      <c r="O3085" s="62">
        <f t="shared" si="6171"/>
        <v>1</v>
      </c>
      <c r="P3085" s="62" t="str">
        <f t="shared" si="6171"/>
        <v/>
      </c>
      <c r="Q3085" s="62" t="str">
        <f t="shared" si="6171"/>
        <v/>
      </c>
      <c r="R3085" s="62">
        <f t="shared" si="7"/>
        <v>0</v>
      </c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</row>
    <row r="3086" hidden="1">
      <c r="A3086" s="60"/>
      <c r="B3086" s="60"/>
      <c r="C3086" s="60"/>
      <c r="D3086" s="60"/>
      <c r="E3086" s="62" t="str">
        <f t="shared" si="5153"/>
        <v/>
      </c>
      <c r="F3086" s="62" t="str">
        <f t="shared" ref="F3086:G3086" si="6172">IF(isblank(F$1),,IF(isblank($A3086),,IFERROR(vlookup($A3086,indirect("'TVC-"&amp;text(month(F$1),"00")&amp;"'!$A:$D"),4,false),1)))</f>
        <v/>
      </c>
      <c r="G3086" s="62" t="str">
        <f t="shared" si="6172"/>
        <v/>
      </c>
      <c r="H3086" s="62">
        <f t="shared" ref="H3086:Q3086" si="6173">IF(isblank(H$1),,IFERROR(vlookup($A3086,indirect("'TVC-"&amp;text(month(H$1),"00")&amp;"'!$A:$D"),4,false),1))</f>
        <v>1</v>
      </c>
      <c r="I3086" s="62">
        <f t="shared" si="6173"/>
        <v>1</v>
      </c>
      <c r="J3086" s="62">
        <f t="shared" si="6173"/>
        <v>1</v>
      </c>
      <c r="K3086" s="62">
        <f t="shared" si="6173"/>
        <v>1</v>
      </c>
      <c r="L3086" s="62">
        <f t="shared" si="6173"/>
        <v>1</v>
      </c>
      <c r="M3086" s="62">
        <f t="shared" si="6173"/>
        <v>1</v>
      </c>
      <c r="N3086" s="62">
        <f t="shared" si="6173"/>
        <v>1</v>
      </c>
      <c r="O3086" s="62">
        <f t="shared" si="6173"/>
        <v>1</v>
      </c>
      <c r="P3086" s="62" t="str">
        <f t="shared" si="6173"/>
        <v/>
      </c>
      <c r="Q3086" s="62" t="str">
        <f t="shared" si="6173"/>
        <v/>
      </c>
      <c r="R3086" s="62">
        <f t="shared" si="7"/>
        <v>0</v>
      </c>
      <c r="S3086" s="62"/>
      <c r="T3086" s="62"/>
      <c r="U3086" s="62"/>
      <c r="V3086" s="62"/>
      <c r="W3086" s="62"/>
      <c r="X3086" s="62"/>
      <c r="Y3086" s="62"/>
      <c r="Z3086" s="62"/>
      <c r="AA3086" s="62"/>
      <c r="AB3086" s="62"/>
      <c r="AC3086" s="62"/>
    </row>
    <row r="3087" hidden="1">
      <c r="A3087" s="60"/>
      <c r="B3087" s="60"/>
      <c r="C3087" s="60"/>
      <c r="D3087" s="60"/>
      <c r="E3087" s="62" t="str">
        <f t="shared" si="5153"/>
        <v/>
      </c>
      <c r="F3087" s="62" t="str">
        <f t="shared" ref="F3087:G3087" si="6174">IF(isblank(F$1),,IF(isblank($A3087),,IFERROR(vlookup($A3087,indirect("'TVC-"&amp;text(month(F$1),"00")&amp;"'!$A:$D"),4,false),1)))</f>
        <v/>
      </c>
      <c r="G3087" s="62" t="str">
        <f t="shared" si="6174"/>
        <v/>
      </c>
      <c r="H3087" s="62">
        <f t="shared" ref="H3087:Q3087" si="6175">IF(isblank(H$1),,IFERROR(vlookup($A3087,indirect("'TVC-"&amp;text(month(H$1),"00")&amp;"'!$A:$D"),4,false),1))</f>
        <v>1</v>
      </c>
      <c r="I3087" s="62">
        <f t="shared" si="6175"/>
        <v>1</v>
      </c>
      <c r="J3087" s="62">
        <f t="shared" si="6175"/>
        <v>1</v>
      </c>
      <c r="K3087" s="62">
        <f t="shared" si="6175"/>
        <v>1</v>
      </c>
      <c r="L3087" s="62">
        <f t="shared" si="6175"/>
        <v>1</v>
      </c>
      <c r="M3087" s="62">
        <f t="shared" si="6175"/>
        <v>1</v>
      </c>
      <c r="N3087" s="62">
        <f t="shared" si="6175"/>
        <v>1</v>
      </c>
      <c r="O3087" s="62">
        <f t="shared" si="6175"/>
        <v>1</v>
      </c>
      <c r="P3087" s="62" t="str">
        <f t="shared" si="6175"/>
        <v/>
      </c>
      <c r="Q3087" s="62" t="str">
        <f t="shared" si="6175"/>
        <v/>
      </c>
      <c r="R3087" s="62">
        <f t="shared" si="7"/>
        <v>0</v>
      </c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</row>
    <row r="3088" hidden="1">
      <c r="A3088" s="60"/>
      <c r="B3088" s="60"/>
      <c r="C3088" s="60"/>
      <c r="D3088" s="60"/>
      <c r="E3088" s="62" t="str">
        <f t="shared" si="5153"/>
        <v/>
      </c>
      <c r="F3088" s="62" t="str">
        <f t="shared" ref="F3088:G3088" si="6176">IF(isblank(F$1),,IF(isblank($A3088),,IFERROR(vlookup($A3088,indirect("'TVC-"&amp;text(month(F$1),"00")&amp;"'!$A:$D"),4,false),1)))</f>
        <v/>
      </c>
      <c r="G3088" s="62" t="str">
        <f t="shared" si="6176"/>
        <v/>
      </c>
      <c r="H3088" s="62">
        <f t="shared" ref="H3088:Q3088" si="6177">IF(isblank(H$1),,IFERROR(vlookup($A3088,indirect("'TVC-"&amp;text(month(H$1),"00")&amp;"'!$A:$D"),4,false),1))</f>
        <v>1</v>
      </c>
      <c r="I3088" s="62">
        <f t="shared" si="6177"/>
        <v>1</v>
      </c>
      <c r="J3088" s="62">
        <f t="shared" si="6177"/>
        <v>1</v>
      </c>
      <c r="K3088" s="62">
        <f t="shared" si="6177"/>
        <v>1</v>
      </c>
      <c r="L3088" s="62">
        <f t="shared" si="6177"/>
        <v>1</v>
      </c>
      <c r="M3088" s="62">
        <f t="shared" si="6177"/>
        <v>1</v>
      </c>
      <c r="N3088" s="62">
        <f t="shared" si="6177"/>
        <v>1</v>
      </c>
      <c r="O3088" s="62">
        <f t="shared" si="6177"/>
        <v>1</v>
      </c>
      <c r="P3088" s="62" t="str">
        <f t="shared" si="6177"/>
        <v/>
      </c>
      <c r="Q3088" s="62" t="str">
        <f t="shared" si="6177"/>
        <v/>
      </c>
      <c r="R3088" s="62">
        <f t="shared" si="7"/>
        <v>0</v>
      </c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</row>
    <row r="3089" hidden="1">
      <c r="A3089" s="60"/>
      <c r="B3089" s="60"/>
      <c r="C3089" s="60"/>
      <c r="D3089" s="60"/>
      <c r="E3089" s="62" t="str">
        <f t="shared" si="5153"/>
        <v/>
      </c>
      <c r="F3089" s="62" t="str">
        <f t="shared" ref="F3089:G3089" si="6178">IF(isblank(F$1),,IF(isblank($A3089),,IFERROR(vlookup($A3089,indirect("'TVC-"&amp;text(month(F$1),"00")&amp;"'!$A:$D"),4,false),1)))</f>
        <v/>
      </c>
      <c r="G3089" s="62" t="str">
        <f t="shared" si="6178"/>
        <v/>
      </c>
      <c r="H3089" s="62">
        <f t="shared" ref="H3089:Q3089" si="6179">IF(isblank(H$1),,IFERROR(vlookup($A3089,indirect("'TVC-"&amp;text(month(H$1),"00")&amp;"'!$A:$D"),4,false),1))</f>
        <v>1</v>
      </c>
      <c r="I3089" s="62">
        <f t="shared" si="6179"/>
        <v>1</v>
      </c>
      <c r="J3089" s="62">
        <f t="shared" si="6179"/>
        <v>1</v>
      </c>
      <c r="K3089" s="62">
        <f t="shared" si="6179"/>
        <v>1</v>
      </c>
      <c r="L3089" s="62">
        <f t="shared" si="6179"/>
        <v>1</v>
      </c>
      <c r="M3089" s="62">
        <f t="shared" si="6179"/>
        <v>1</v>
      </c>
      <c r="N3089" s="62">
        <f t="shared" si="6179"/>
        <v>1</v>
      </c>
      <c r="O3089" s="62">
        <f t="shared" si="6179"/>
        <v>1</v>
      </c>
      <c r="P3089" s="62" t="str">
        <f t="shared" si="6179"/>
        <v/>
      </c>
      <c r="Q3089" s="62" t="str">
        <f t="shared" si="6179"/>
        <v/>
      </c>
      <c r="R3089" s="62">
        <f t="shared" si="7"/>
        <v>0</v>
      </c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</row>
    <row r="3090" hidden="1">
      <c r="A3090" s="60"/>
      <c r="B3090" s="60"/>
      <c r="C3090" s="60"/>
      <c r="D3090" s="60"/>
      <c r="E3090" s="62" t="str">
        <f t="shared" si="5153"/>
        <v/>
      </c>
      <c r="F3090" s="62" t="str">
        <f t="shared" ref="F3090:G3090" si="6180">IF(isblank(F$1),,IF(isblank($A3090),,IFERROR(vlookup($A3090,indirect("'TVC-"&amp;text(month(F$1),"00")&amp;"'!$A:$D"),4,false),1)))</f>
        <v/>
      </c>
      <c r="G3090" s="62" t="str">
        <f t="shared" si="6180"/>
        <v/>
      </c>
      <c r="H3090" s="62">
        <f t="shared" ref="H3090:Q3090" si="6181">IF(isblank(H$1),,IFERROR(vlookup($A3090,indirect("'TVC-"&amp;text(month(H$1),"00")&amp;"'!$A:$D"),4,false),1))</f>
        <v>1</v>
      </c>
      <c r="I3090" s="62">
        <f t="shared" si="6181"/>
        <v>1</v>
      </c>
      <c r="J3090" s="62">
        <f t="shared" si="6181"/>
        <v>1</v>
      </c>
      <c r="K3090" s="62">
        <f t="shared" si="6181"/>
        <v>1</v>
      </c>
      <c r="L3090" s="62">
        <f t="shared" si="6181"/>
        <v>1</v>
      </c>
      <c r="M3090" s="62">
        <f t="shared" si="6181"/>
        <v>1</v>
      </c>
      <c r="N3090" s="62">
        <f t="shared" si="6181"/>
        <v>1</v>
      </c>
      <c r="O3090" s="62">
        <f t="shared" si="6181"/>
        <v>1</v>
      </c>
      <c r="P3090" s="62" t="str">
        <f t="shared" si="6181"/>
        <v/>
      </c>
      <c r="Q3090" s="62" t="str">
        <f t="shared" si="6181"/>
        <v/>
      </c>
      <c r="R3090" s="62">
        <f t="shared" si="7"/>
        <v>0</v>
      </c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</row>
    <row r="3091" hidden="1">
      <c r="A3091" s="60"/>
      <c r="B3091" s="60"/>
      <c r="C3091" s="60"/>
      <c r="D3091" s="60"/>
      <c r="E3091" s="62" t="str">
        <f t="shared" si="5153"/>
        <v/>
      </c>
      <c r="F3091" s="62" t="str">
        <f t="shared" ref="F3091:G3091" si="6182">IF(isblank(F$1),,IF(isblank($A3091),,IFERROR(vlookup($A3091,indirect("'TVC-"&amp;text(month(F$1),"00")&amp;"'!$A:$D"),4,false),1)))</f>
        <v/>
      </c>
      <c r="G3091" s="62" t="str">
        <f t="shared" si="6182"/>
        <v/>
      </c>
      <c r="H3091" s="62">
        <f t="shared" ref="H3091:Q3091" si="6183">IF(isblank(H$1),,IFERROR(vlookup($A3091,indirect("'TVC-"&amp;text(month(H$1),"00")&amp;"'!$A:$D"),4,false),1))</f>
        <v>1</v>
      </c>
      <c r="I3091" s="62">
        <f t="shared" si="6183"/>
        <v>1</v>
      </c>
      <c r="J3091" s="62">
        <f t="shared" si="6183"/>
        <v>1</v>
      </c>
      <c r="K3091" s="62">
        <f t="shared" si="6183"/>
        <v>1</v>
      </c>
      <c r="L3091" s="62">
        <f t="shared" si="6183"/>
        <v>1</v>
      </c>
      <c r="M3091" s="62">
        <f t="shared" si="6183"/>
        <v>1</v>
      </c>
      <c r="N3091" s="62">
        <f t="shared" si="6183"/>
        <v>1</v>
      </c>
      <c r="O3091" s="62">
        <f t="shared" si="6183"/>
        <v>1</v>
      </c>
      <c r="P3091" s="62" t="str">
        <f t="shared" si="6183"/>
        <v/>
      </c>
      <c r="Q3091" s="62" t="str">
        <f t="shared" si="6183"/>
        <v/>
      </c>
      <c r="R3091" s="62">
        <f t="shared" si="7"/>
        <v>0</v>
      </c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</row>
    <row r="3092" hidden="1">
      <c r="A3092" s="60"/>
      <c r="B3092" s="60"/>
      <c r="C3092" s="60"/>
      <c r="D3092" s="60"/>
      <c r="E3092" s="62" t="str">
        <f t="shared" si="5153"/>
        <v/>
      </c>
      <c r="F3092" s="62" t="str">
        <f t="shared" ref="F3092:G3092" si="6184">IF(isblank(F$1),,IF(isblank($A3092),,IFERROR(vlookup($A3092,indirect("'TVC-"&amp;text(month(F$1),"00")&amp;"'!$A:$D"),4,false),1)))</f>
        <v/>
      </c>
      <c r="G3092" s="62" t="str">
        <f t="shared" si="6184"/>
        <v/>
      </c>
      <c r="H3092" s="62">
        <f t="shared" ref="H3092:Q3092" si="6185">IF(isblank(H$1),,IFERROR(vlookup($A3092,indirect("'TVC-"&amp;text(month(H$1),"00")&amp;"'!$A:$D"),4,false),1))</f>
        <v>1</v>
      </c>
      <c r="I3092" s="62">
        <f t="shared" si="6185"/>
        <v>1</v>
      </c>
      <c r="J3092" s="62">
        <f t="shared" si="6185"/>
        <v>1</v>
      </c>
      <c r="K3092" s="62">
        <f t="shared" si="6185"/>
        <v>1</v>
      </c>
      <c r="L3092" s="62">
        <f t="shared" si="6185"/>
        <v>1</v>
      </c>
      <c r="M3092" s="62">
        <f t="shared" si="6185"/>
        <v>1</v>
      </c>
      <c r="N3092" s="62">
        <f t="shared" si="6185"/>
        <v>1</v>
      </c>
      <c r="O3092" s="62">
        <f t="shared" si="6185"/>
        <v>1</v>
      </c>
      <c r="P3092" s="62" t="str">
        <f t="shared" si="6185"/>
        <v/>
      </c>
      <c r="Q3092" s="62" t="str">
        <f t="shared" si="6185"/>
        <v/>
      </c>
      <c r="R3092" s="62">
        <f t="shared" si="7"/>
        <v>0</v>
      </c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</row>
    <row r="3093" hidden="1">
      <c r="A3093" s="60"/>
      <c r="B3093" s="60"/>
      <c r="C3093" s="60"/>
      <c r="D3093" s="60"/>
      <c r="E3093" s="62" t="str">
        <f t="shared" si="5153"/>
        <v/>
      </c>
      <c r="F3093" s="62" t="str">
        <f t="shared" ref="F3093:G3093" si="6186">IF(isblank(F$1),,IF(isblank($A3093),,IFERROR(vlookup($A3093,indirect("'TVC-"&amp;text(month(F$1),"00")&amp;"'!$A:$D"),4,false),1)))</f>
        <v/>
      </c>
      <c r="G3093" s="62" t="str">
        <f t="shared" si="6186"/>
        <v/>
      </c>
      <c r="H3093" s="62">
        <f t="shared" ref="H3093:Q3093" si="6187">IF(isblank(H$1),,IFERROR(vlookup($A3093,indirect("'TVC-"&amp;text(month(H$1),"00")&amp;"'!$A:$D"),4,false),1))</f>
        <v>1</v>
      </c>
      <c r="I3093" s="62">
        <f t="shared" si="6187"/>
        <v>1</v>
      </c>
      <c r="J3093" s="62">
        <f t="shared" si="6187"/>
        <v>1</v>
      </c>
      <c r="K3093" s="62">
        <f t="shared" si="6187"/>
        <v>1</v>
      </c>
      <c r="L3093" s="62">
        <f t="shared" si="6187"/>
        <v>1</v>
      </c>
      <c r="M3093" s="62">
        <f t="shared" si="6187"/>
        <v>1</v>
      </c>
      <c r="N3093" s="62">
        <f t="shared" si="6187"/>
        <v>1</v>
      </c>
      <c r="O3093" s="62">
        <f t="shared" si="6187"/>
        <v>1</v>
      </c>
      <c r="P3093" s="62" t="str">
        <f t="shared" si="6187"/>
        <v/>
      </c>
      <c r="Q3093" s="62" t="str">
        <f t="shared" si="6187"/>
        <v/>
      </c>
      <c r="R3093" s="62">
        <f t="shared" si="7"/>
        <v>0</v>
      </c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</row>
    <row r="3094" hidden="1">
      <c r="A3094" s="60"/>
      <c r="B3094" s="60"/>
      <c r="C3094" s="60"/>
      <c r="D3094" s="60"/>
      <c r="E3094" s="62" t="str">
        <f t="shared" si="5153"/>
        <v/>
      </c>
      <c r="F3094" s="62" t="str">
        <f t="shared" ref="F3094:G3094" si="6188">IF(isblank(F$1),,IF(isblank($A3094),,IFERROR(vlookup($A3094,indirect("'TVC-"&amp;text(month(F$1),"00")&amp;"'!$A:$D"),4,false),1)))</f>
        <v/>
      </c>
      <c r="G3094" s="62" t="str">
        <f t="shared" si="6188"/>
        <v/>
      </c>
      <c r="H3094" s="62">
        <f t="shared" ref="H3094:Q3094" si="6189">IF(isblank(H$1),,IFERROR(vlookup($A3094,indirect("'TVC-"&amp;text(month(H$1),"00")&amp;"'!$A:$D"),4,false),1))</f>
        <v>1</v>
      </c>
      <c r="I3094" s="62">
        <f t="shared" si="6189"/>
        <v>1</v>
      </c>
      <c r="J3094" s="62">
        <f t="shared" si="6189"/>
        <v>1</v>
      </c>
      <c r="K3094" s="62">
        <f t="shared" si="6189"/>
        <v>1</v>
      </c>
      <c r="L3094" s="62">
        <f t="shared" si="6189"/>
        <v>1</v>
      </c>
      <c r="M3094" s="62">
        <f t="shared" si="6189"/>
        <v>1</v>
      </c>
      <c r="N3094" s="62">
        <f t="shared" si="6189"/>
        <v>1</v>
      </c>
      <c r="O3094" s="62">
        <f t="shared" si="6189"/>
        <v>1</v>
      </c>
      <c r="P3094" s="62" t="str">
        <f t="shared" si="6189"/>
        <v/>
      </c>
      <c r="Q3094" s="62" t="str">
        <f t="shared" si="6189"/>
        <v/>
      </c>
      <c r="R3094" s="62">
        <f t="shared" si="7"/>
        <v>0</v>
      </c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</row>
    <row r="3095" hidden="1">
      <c r="A3095" s="60"/>
      <c r="B3095" s="60"/>
      <c r="C3095" s="60"/>
      <c r="D3095" s="60"/>
      <c r="E3095" s="62" t="str">
        <f t="shared" si="5153"/>
        <v/>
      </c>
      <c r="F3095" s="62" t="str">
        <f t="shared" ref="F3095:G3095" si="6190">IF(isblank(F$1),,IF(isblank($A3095),,IFERROR(vlookup($A3095,indirect("'TVC-"&amp;text(month(F$1),"00")&amp;"'!$A:$D"),4,false),1)))</f>
        <v/>
      </c>
      <c r="G3095" s="62" t="str">
        <f t="shared" si="6190"/>
        <v/>
      </c>
      <c r="H3095" s="62">
        <f t="shared" ref="H3095:Q3095" si="6191">IF(isblank(H$1),,IFERROR(vlookup($A3095,indirect("'TVC-"&amp;text(month(H$1),"00")&amp;"'!$A:$D"),4,false),1))</f>
        <v>1</v>
      </c>
      <c r="I3095" s="62">
        <f t="shared" si="6191"/>
        <v>1</v>
      </c>
      <c r="J3095" s="62">
        <f t="shared" si="6191"/>
        <v>1</v>
      </c>
      <c r="K3095" s="62">
        <f t="shared" si="6191"/>
        <v>1</v>
      </c>
      <c r="L3095" s="62">
        <f t="shared" si="6191"/>
        <v>1</v>
      </c>
      <c r="M3095" s="62">
        <f t="shared" si="6191"/>
        <v>1</v>
      </c>
      <c r="N3095" s="62">
        <f t="shared" si="6191"/>
        <v>1</v>
      </c>
      <c r="O3095" s="62">
        <f t="shared" si="6191"/>
        <v>1</v>
      </c>
      <c r="P3095" s="62" t="str">
        <f t="shared" si="6191"/>
        <v/>
      </c>
      <c r="Q3095" s="62" t="str">
        <f t="shared" si="6191"/>
        <v/>
      </c>
      <c r="R3095" s="62">
        <f t="shared" si="7"/>
        <v>0</v>
      </c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</row>
    <row r="3096" hidden="1">
      <c r="A3096" s="60"/>
      <c r="B3096" s="60"/>
      <c r="C3096" s="60"/>
      <c r="D3096" s="60"/>
      <c r="E3096" s="62" t="str">
        <f t="shared" si="5153"/>
        <v/>
      </c>
      <c r="F3096" s="62" t="str">
        <f t="shared" ref="F3096:G3096" si="6192">IF(isblank(F$1),,IF(isblank($A3096),,IFERROR(vlookup($A3096,indirect("'TVC-"&amp;text(month(F$1),"00")&amp;"'!$A:$D"),4,false),1)))</f>
        <v/>
      </c>
      <c r="G3096" s="62" t="str">
        <f t="shared" si="6192"/>
        <v/>
      </c>
      <c r="H3096" s="62">
        <f t="shared" ref="H3096:Q3096" si="6193">IF(isblank(H$1),,IFERROR(vlookup($A3096,indirect("'TVC-"&amp;text(month(H$1),"00")&amp;"'!$A:$D"),4,false),1))</f>
        <v>1</v>
      </c>
      <c r="I3096" s="62">
        <f t="shared" si="6193"/>
        <v>1</v>
      </c>
      <c r="J3096" s="62">
        <f t="shared" si="6193"/>
        <v>1</v>
      </c>
      <c r="K3096" s="62">
        <f t="shared" si="6193"/>
        <v>1</v>
      </c>
      <c r="L3096" s="62">
        <f t="shared" si="6193"/>
        <v>1</v>
      </c>
      <c r="M3096" s="62">
        <f t="shared" si="6193"/>
        <v>1</v>
      </c>
      <c r="N3096" s="62">
        <f t="shared" si="6193"/>
        <v>1</v>
      </c>
      <c r="O3096" s="62">
        <f t="shared" si="6193"/>
        <v>1</v>
      </c>
      <c r="P3096" s="62" t="str">
        <f t="shared" si="6193"/>
        <v/>
      </c>
      <c r="Q3096" s="62" t="str">
        <f t="shared" si="6193"/>
        <v/>
      </c>
      <c r="R3096" s="62">
        <f t="shared" si="7"/>
        <v>0</v>
      </c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</row>
    <row r="3097" hidden="1">
      <c r="A3097" s="60"/>
      <c r="B3097" s="60"/>
      <c r="C3097" s="60"/>
      <c r="D3097" s="60"/>
      <c r="E3097" s="62" t="str">
        <f t="shared" si="5153"/>
        <v/>
      </c>
      <c r="F3097" s="62" t="str">
        <f t="shared" ref="F3097:G3097" si="6194">IF(isblank(F$1),,IF(isblank($A3097),,IFERROR(vlookup($A3097,indirect("'TVC-"&amp;text(month(F$1),"00")&amp;"'!$A:$D"),4,false),1)))</f>
        <v/>
      </c>
      <c r="G3097" s="62" t="str">
        <f t="shared" si="6194"/>
        <v/>
      </c>
      <c r="H3097" s="62">
        <f t="shared" ref="H3097:Q3097" si="6195">IF(isblank(H$1),,IFERROR(vlookup($A3097,indirect("'TVC-"&amp;text(month(H$1),"00")&amp;"'!$A:$D"),4,false),1))</f>
        <v>1</v>
      </c>
      <c r="I3097" s="62">
        <f t="shared" si="6195"/>
        <v>1</v>
      </c>
      <c r="J3097" s="62">
        <f t="shared" si="6195"/>
        <v>1</v>
      </c>
      <c r="K3097" s="62">
        <f t="shared" si="6195"/>
        <v>1</v>
      </c>
      <c r="L3097" s="62">
        <f t="shared" si="6195"/>
        <v>1</v>
      </c>
      <c r="M3097" s="62">
        <f t="shared" si="6195"/>
        <v>1</v>
      </c>
      <c r="N3097" s="62">
        <f t="shared" si="6195"/>
        <v>1</v>
      </c>
      <c r="O3097" s="62">
        <f t="shared" si="6195"/>
        <v>1</v>
      </c>
      <c r="P3097" s="62" t="str">
        <f t="shared" si="6195"/>
        <v/>
      </c>
      <c r="Q3097" s="62" t="str">
        <f t="shared" si="6195"/>
        <v/>
      </c>
      <c r="R3097" s="62">
        <f t="shared" si="7"/>
        <v>0</v>
      </c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</row>
    <row r="3098" hidden="1">
      <c r="A3098" s="60"/>
      <c r="B3098" s="60"/>
      <c r="C3098" s="60"/>
      <c r="D3098" s="60"/>
      <c r="E3098" s="62" t="str">
        <f t="shared" si="5153"/>
        <v/>
      </c>
      <c r="F3098" s="62" t="str">
        <f t="shared" ref="F3098:G3098" si="6196">IF(isblank(F$1),,IF(isblank($A3098),,IFERROR(vlookup($A3098,indirect("'TVC-"&amp;text(month(F$1),"00")&amp;"'!$A:$D"),4,false),1)))</f>
        <v/>
      </c>
      <c r="G3098" s="62" t="str">
        <f t="shared" si="6196"/>
        <v/>
      </c>
      <c r="H3098" s="62">
        <f t="shared" ref="H3098:Q3098" si="6197">IF(isblank(H$1),,IFERROR(vlookup($A3098,indirect("'TVC-"&amp;text(month(H$1),"00")&amp;"'!$A:$D"),4,false),1))</f>
        <v>1</v>
      </c>
      <c r="I3098" s="62">
        <f t="shared" si="6197"/>
        <v>1</v>
      </c>
      <c r="J3098" s="62">
        <f t="shared" si="6197"/>
        <v>1</v>
      </c>
      <c r="K3098" s="62">
        <f t="shared" si="6197"/>
        <v>1</v>
      </c>
      <c r="L3098" s="62">
        <f t="shared" si="6197"/>
        <v>1</v>
      </c>
      <c r="M3098" s="62">
        <f t="shared" si="6197"/>
        <v>1</v>
      </c>
      <c r="N3098" s="62">
        <f t="shared" si="6197"/>
        <v>1</v>
      </c>
      <c r="O3098" s="62">
        <f t="shared" si="6197"/>
        <v>1</v>
      </c>
      <c r="P3098" s="62" t="str">
        <f t="shared" si="6197"/>
        <v/>
      </c>
      <c r="Q3098" s="62" t="str">
        <f t="shared" si="6197"/>
        <v/>
      </c>
      <c r="R3098" s="62">
        <f t="shared" si="7"/>
        <v>0</v>
      </c>
      <c r="S3098" s="62"/>
      <c r="T3098" s="62"/>
      <c r="U3098" s="62"/>
      <c r="V3098" s="62"/>
      <c r="W3098" s="62"/>
      <c r="X3098" s="62"/>
      <c r="Y3098" s="62"/>
      <c r="Z3098" s="62"/>
      <c r="AA3098" s="62"/>
      <c r="AB3098" s="62"/>
      <c r="AC3098" s="62"/>
    </row>
    <row r="3099" hidden="1">
      <c r="A3099" s="60"/>
      <c r="B3099" s="60"/>
      <c r="C3099" s="60"/>
      <c r="D3099" s="60"/>
      <c r="E3099" s="62" t="str">
        <f t="shared" si="5153"/>
        <v/>
      </c>
      <c r="F3099" s="62" t="str">
        <f t="shared" ref="F3099:G3099" si="6198">IF(isblank(F$1),,IF(isblank($A3099),,IFERROR(vlookup($A3099,indirect("'TVC-"&amp;text(month(F$1),"00")&amp;"'!$A:$D"),4,false),1)))</f>
        <v/>
      </c>
      <c r="G3099" s="62" t="str">
        <f t="shared" si="6198"/>
        <v/>
      </c>
      <c r="H3099" s="62">
        <f t="shared" ref="H3099:Q3099" si="6199">IF(isblank(H$1),,IFERROR(vlookup($A3099,indirect("'TVC-"&amp;text(month(H$1),"00")&amp;"'!$A:$D"),4,false),1))</f>
        <v>1</v>
      </c>
      <c r="I3099" s="62">
        <f t="shared" si="6199"/>
        <v>1</v>
      </c>
      <c r="J3099" s="62">
        <f t="shared" si="6199"/>
        <v>1</v>
      </c>
      <c r="K3099" s="62">
        <f t="shared" si="6199"/>
        <v>1</v>
      </c>
      <c r="L3099" s="62">
        <f t="shared" si="6199"/>
        <v>1</v>
      </c>
      <c r="M3099" s="62">
        <f t="shared" si="6199"/>
        <v>1</v>
      </c>
      <c r="N3099" s="62">
        <f t="shared" si="6199"/>
        <v>1</v>
      </c>
      <c r="O3099" s="62">
        <f t="shared" si="6199"/>
        <v>1</v>
      </c>
      <c r="P3099" s="62" t="str">
        <f t="shared" si="6199"/>
        <v/>
      </c>
      <c r="Q3099" s="62" t="str">
        <f t="shared" si="6199"/>
        <v/>
      </c>
      <c r="R3099" s="62">
        <f t="shared" si="7"/>
        <v>0</v>
      </c>
      <c r="S3099" s="62"/>
      <c r="T3099" s="62"/>
      <c r="U3099" s="62"/>
      <c r="V3099" s="62"/>
      <c r="W3099" s="62"/>
      <c r="X3099" s="62"/>
      <c r="Y3099" s="62"/>
      <c r="Z3099" s="62"/>
      <c r="AA3099" s="62"/>
      <c r="AB3099" s="62"/>
      <c r="AC3099" s="62"/>
    </row>
    <row r="3100" hidden="1">
      <c r="A3100" s="60"/>
      <c r="B3100" s="60"/>
      <c r="C3100" s="60"/>
      <c r="D3100" s="60"/>
      <c r="E3100" s="62" t="str">
        <f t="shared" si="5153"/>
        <v/>
      </c>
      <c r="F3100" s="62" t="str">
        <f t="shared" ref="F3100:G3100" si="6200">IF(isblank(F$1),,IF(isblank($A3100),,IFERROR(vlookup($A3100,indirect("'TVC-"&amp;text(month(F$1),"00")&amp;"'!$A:$D"),4,false),1)))</f>
        <v/>
      </c>
      <c r="G3100" s="62" t="str">
        <f t="shared" si="6200"/>
        <v/>
      </c>
      <c r="H3100" s="62">
        <f t="shared" ref="H3100:Q3100" si="6201">IF(isblank(H$1),,IFERROR(vlookup($A3100,indirect("'TVC-"&amp;text(month(H$1),"00")&amp;"'!$A:$D"),4,false),1))</f>
        <v>1</v>
      </c>
      <c r="I3100" s="62">
        <f t="shared" si="6201"/>
        <v>1</v>
      </c>
      <c r="J3100" s="62">
        <f t="shared" si="6201"/>
        <v>1</v>
      </c>
      <c r="K3100" s="62">
        <f t="shared" si="6201"/>
        <v>1</v>
      </c>
      <c r="L3100" s="62">
        <f t="shared" si="6201"/>
        <v>1</v>
      </c>
      <c r="M3100" s="62">
        <f t="shared" si="6201"/>
        <v>1</v>
      </c>
      <c r="N3100" s="62">
        <f t="shared" si="6201"/>
        <v>1</v>
      </c>
      <c r="O3100" s="62">
        <f t="shared" si="6201"/>
        <v>1</v>
      </c>
      <c r="P3100" s="62" t="str">
        <f t="shared" si="6201"/>
        <v/>
      </c>
      <c r="Q3100" s="62" t="str">
        <f t="shared" si="6201"/>
        <v/>
      </c>
      <c r="R3100" s="62">
        <f t="shared" si="7"/>
        <v>0</v>
      </c>
      <c r="S3100" s="62"/>
      <c r="T3100" s="62"/>
      <c r="U3100" s="62"/>
      <c r="V3100" s="62"/>
      <c r="W3100" s="62"/>
      <c r="X3100" s="62"/>
      <c r="Y3100" s="62"/>
      <c r="Z3100" s="62"/>
      <c r="AA3100" s="62"/>
      <c r="AB3100" s="62"/>
      <c r="AC3100" s="62"/>
    </row>
    <row r="3101" hidden="1">
      <c r="A3101" s="60"/>
      <c r="B3101" s="60"/>
      <c r="C3101" s="60"/>
      <c r="D3101" s="60"/>
      <c r="E3101" s="62" t="str">
        <f t="shared" si="5153"/>
        <v/>
      </c>
      <c r="F3101" s="62" t="str">
        <f t="shared" ref="F3101:G3101" si="6202">IF(isblank(F$1),,IF(isblank($A3101),,IFERROR(vlookup($A3101,indirect("'TVC-"&amp;text(month(F$1),"00")&amp;"'!$A:$D"),4,false),1)))</f>
        <v/>
      </c>
      <c r="G3101" s="62" t="str">
        <f t="shared" si="6202"/>
        <v/>
      </c>
      <c r="H3101" s="62">
        <f t="shared" ref="H3101:Q3101" si="6203">IF(isblank(H$1),,IFERROR(vlookup($A3101,indirect("'TVC-"&amp;text(month(H$1),"00")&amp;"'!$A:$D"),4,false),1))</f>
        <v>1</v>
      </c>
      <c r="I3101" s="62">
        <f t="shared" si="6203"/>
        <v>1</v>
      </c>
      <c r="J3101" s="62">
        <f t="shared" si="6203"/>
        <v>1</v>
      </c>
      <c r="K3101" s="62">
        <f t="shared" si="6203"/>
        <v>1</v>
      </c>
      <c r="L3101" s="62">
        <f t="shared" si="6203"/>
        <v>1</v>
      </c>
      <c r="M3101" s="62">
        <f t="shared" si="6203"/>
        <v>1</v>
      </c>
      <c r="N3101" s="62">
        <f t="shared" si="6203"/>
        <v>1</v>
      </c>
      <c r="O3101" s="62">
        <f t="shared" si="6203"/>
        <v>1</v>
      </c>
      <c r="P3101" s="62" t="str">
        <f t="shared" si="6203"/>
        <v/>
      </c>
      <c r="Q3101" s="62" t="str">
        <f t="shared" si="6203"/>
        <v/>
      </c>
      <c r="R3101" s="62">
        <f t="shared" si="7"/>
        <v>0</v>
      </c>
      <c r="S3101" s="62"/>
      <c r="T3101" s="62"/>
      <c r="U3101" s="62"/>
      <c r="V3101" s="62"/>
      <c r="W3101" s="62"/>
      <c r="X3101" s="62"/>
      <c r="Y3101" s="62"/>
      <c r="Z3101" s="62"/>
      <c r="AA3101" s="62"/>
      <c r="AB3101" s="62"/>
      <c r="AC3101" s="62"/>
    </row>
    <row r="3102" hidden="1">
      <c r="A3102" s="60"/>
      <c r="B3102" s="60"/>
      <c r="C3102" s="60"/>
      <c r="D3102" s="60"/>
      <c r="E3102" s="62" t="str">
        <f t="shared" si="5153"/>
        <v/>
      </c>
      <c r="F3102" s="62" t="str">
        <f t="shared" ref="F3102:G3102" si="6204">IF(isblank(F$1),,IF(isblank($A3102),,IFERROR(vlookup($A3102,indirect("'TVC-"&amp;text(month(F$1),"00")&amp;"'!$A:$D"),4,false),1)))</f>
        <v/>
      </c>
      <c r="G3102" s="62" t="str">
        <f t="shared" si="6204"/>
        <v/>
      </c>
      <c r="H3102" s="62">
        <f t="shared" ref="H3102:Q3102" si="6205">IF(isblank(H$1),,IFERROR(vlookup($A3102,indirect("'TVC-"&amp;text(month(H$1),"00")&amp;"'!$A:$D"),4,false),1))</f>
        <v>1</v>
      </c>
      <c r="I3102" s="62">
        <f t="shared" si="6205"/>
        <v>1</v>
      </c>
      <c r="J3102" s="62">
        <f t="shared" si="6205"/>
        <v>1</v>
      </c>
      <c r="K3102" s="62">
        <f t="shared" si="6205"/>
        <v>1</v>
      </c>
      <c r="L3102" s="62">
        <f t="shared" si="6205"/>
        <v>1</v>
      </c>
      <c r="M3102" s="62">
        <f t="shared" si="6205"/>
        <v>1</v>
      </c>
      <c r="N3102" s="62">
        <f t="shared" si="6205"/>
        <v>1</v>
      </c>
      <c r="O3102" s="62">
        <f t="shared" si="6205"/>
        <v>1</v>
      </c>
      <c r="P3102" s="62" t="str">
        <f t="shared" si="6205"/>
        <v/>
      </c>
      <c r="Q3102" s="62" t="str">
        <f t="shared" si="6205"/>
        <v/>
      </c>
      <c r="R3102" s="62">
        <f t="shared" si="7"/>
        <v>0</v>
      </c>
      <c r="S3102" s="62"/>
      <c r="T3102" s="62"/>
      <c r="U3102" s="62"/>
      <c r="V3102" s="62"/>
      <c r="W3102" s="62"/>
      <c r="X3102" s="62"/>
      <c r="Y3102" s="62"/>
      <c r="Z3102" s="62"/>
      <c r="AA3102" s="62"/>
      <c r="AB3102" s="62"/>
      <c r="AC3102" s="62"/>
    </row>
    <row r="3103" hidden="1">
      <c r="A3103" s="60"/>
      <c r="B3103" s="60"/>
      <c r="C3103" s="60"/>
      <c r="D3103" s="60"/>
      <c r="E3103" s="62" t="str">
        <f t="shared" si="5153"/>
        <v/>
      </c>
      <c r="F3103" s="62" t="str">
        <f t="shared" ref="F3103:G3103" si="6206">IF(isblank(F$1),,IF(isblank($A3103),,IFERROR(vlookup($A3103,indirect("'TVC-"&amp;text(month(F$1),"00")&amp;"'!$A:$D"),4,false),1)))</f>
        <v/>
      </c>
      <c r="G3103" s="62" t="str">
        <f t="shared" si="6206"/>
        <v/>
      </c>
      <c r="H3103" s="62">
        <f t="shared" ref="H3103:Q3103" si="6207">IF(isblank(H$1),,IFERROR(vlookup($A3103,indirect("'TVC-"&amp;text(month(H$1),"00")&amp;"'!$A:$D"),4,false),1))</f>
        <v>1</v>
      </c>
      <c r="I3103" s="62">
        <f t="shared" si="6207"/>
        <v>1</v>
      </c>
      <c r="J3103" s="62">
        <f t="shared" si="6207"/>
        <v>1</v>
      </c>
      <c r="K3103" s="62">
        <f t="shared" si="6207"/>
        <v>1</v>
      </c>
      <c r="L3103" s="62">
        <f t="shared" si="6207"/>
        <v>1</v>
      </c>
      <c r="M3103" s="62">
        <f t="shared" si="6207"/>
        <v>1</v>
      </c>
      <c r="N3103" s="62">
        <f t="shared" si="6207"/>
        <v>1</v>
      </c>
      <c r="O3103" s="62">
        <f t="shared" si="6207"/>
        <v>1</v>
      </c>
      <c r="P3103" s="62" t="str">
        <f t="shared" si="6207"/>
        <v/>
      </c>
      <c r="Q3103" s="62" t="str">
        <f t="shared" si="6207"/>
        <v/>
      </c>
      <c r="R3103" s="62">
        <f t="shared" si="7"/>
        <v>0</v>
      </c>
      <c r="S3103" s="62"/>
      <c r="T3103" s="62"/>
      <c r="U3103" s="62"/>
      <c r="V3103" s="62"/>
      <c r="W3103" s="62"/>
      <c r="X3103" s="62"/>
      <c r="Y3103" s="62"/>
      <c r="Z3103" s="62"/>
      <c r="AA3103" s="62"/>
      <c r="AB3103" s="62"/>
      <c r="AC3103" s="62"/>
    </row>
    <row r="3104" hidden="1">
      <c r="A3104" s="60"/>
      <c r="B3104" s="60"/>
      <c r="C3104" s="60"/>
      <c r="D3104" s="60"/>
      <c r="E3104" s="62" t="str">
        <f t="shared" si="5153"/>
        <v/>
      </c>
      <c r="F3104" s="62" t="str">
        <f t="shared" ref="F3104:G3104" si="6208">IF(isblank(F$1),,IF(isblank($A3104),,IFERROR(vlookup($A3104,indirect("'TVC-"&amp;text(month(F$1),"00")&amp;"'!$A:$D"),4,false),1)))</f>
        <v/>
      </c>
      <c r="G3104" s="62" t="str">
        <f t="shared" si="6208"/>
        <v/>
      </c>
      <c r="H3104" s="62">
        <f t="shared" ref="H3104:Q3104" si="6209">IF(isblank(H$1),,IFERROR(vlookup($A3104,indirect("'TVC-"&amp;text(month(H$1),"00")&amp;"'!$A:$D"),4,false),1))</f>
        <v>1</v>
      </c>
      <c r="I3104" s="62">
        <f t="shared" si="6209"/>
        <v>1</v>
      </c>
      <c r="J3104" s="62">
        <f t="shared" si="6209"/>
        <v>1</v>
      </c>
      <c r="K3104" s="62">
        <f t="shared" si="6209"/>
        <v>1</v>
      </c>
      <c r="L3104" s="62">
        <f t="shared" si="6209"/>
        <v>1</v>
      </c>
      <c r="M3104" s="62">
        <f t="shared" si="6209"/>
        <v>1</v>
      </c>
      <c r="N3104" s="62">
        <f t="shared" si="6209"/>
        <v>1</v>
      </c>
      <c r="O3104" s="62">
        <f t="shared" si="6209"/>
        <v>1</v>
      </c>
      <c r="P3104" s="62" t="str">
        <f t="shared" si="6209"/>
        <v/>
      </c>
      <c r="Q3104" s="62" t="str">
        <f t="shared" si="6209"/>
        <v/>
      </c>
      <c r="R3104" s="62">
        <f t="shared" si="7"/>
        <v>0</v>
      </c>
      <c r="S3104" s="62"/>
      <c r="T3104" s="62"/>
      <c r="U3104" s="62"/>
      <c r="V3104" s="62"/>
      <c r="W3104" s="62"/>
      <c r="X3104" s="62"/>
      <c r="Y3104" s="62"/>
      <c r="Z3104" s="62"/>
      <c r="AA3104" s="62"/>
      <c r="AB3104" s="62"/>
      <c r="AC3104" s="62"/>
    </row>
    <row r="3105" hidden="1">
      <c r="A3105" s="60"/>
      <c r="B3105" s="60"/>
      <c r="C3105" s="60"/>
      <c r="D3105" s="60"/>
      <c r="E3105" s="62" t="str">
        <f t="shared" si="5153"/>
        <v/>
      </c>
      <c r="F3105" s="62" t="str">
        <f t="shared" ref="F3105:G3105" si="6210">IF(isblank(F$1),,IF(isblank($A3105),,IFERROR(vlookup($A3105,indirect("'TVC-"&amp;text(month(F$1),"00")&amp;"'!$A:$D"),4,false),1)))</f>
        <v/>
      </c>
      <c r="G3105" s="62" t="str">
        <f t="shared" si="6210"/>
        <v/>
      </c>
      <c r="H3105" s="62">
        <f t="shared" ref="H3105:Q3105" si="6211">IF(isblank(H$1),,IFERROR(vlookup($A3105,indirect("'TVC-"&amp;text(month(H$1),"00")&amp;"'!$A:$D"),4,false),1))</f>
        <v>1</v>
      </c>
      <c r="I3105" s="62">
        <f t="shared" si="6211"/>
        <v>1</v>
      </c>
      <c r="J3105" s="62">
        <f t="shared" si="6211"/>
        <v>1</v>
      </c>
      <c r="K3105" s="62">
        <f t="shared" si="6211"/>
        <v>1</v>
      </c>
      <c r="L3105" s="62">
        <f t="shared" si="6211"/>
        <v>1</v>
      </c>
      <c r="M3105" s="62">
        <f t="shared" si="6211"/>
        <v>1</v>
      </c>
      <c r="N3105" s="62">
        <f t="shared" si="6211"/>
        <v>1</v>
      </c>
      <c r="O3105" s="62">
        <f t="shared" si="6211"/>
        <v>1</v>
      </c>
      <c r="P3105" s="62" t="str">
        <f t="shared" si="6211"/>
        <v/>
      </c>
      <c r="Q3105" s="62" t="str">
        <f t="shared" si="6211"/>
        <v/>
      </c>
      <c r="R3105" s="62">
        <f t="shared" si="7"/>
        <v>0</v>
      </c>
      <c r="S3105" s="62"/>
      <c r="T3105" s="62"/>
      <c r="U3105" s="62"/>
      <c r="V3105" s="62"/>
      <c r="W3105" s="62"/>
      <c r="X3105" s="62"/>
      <c r="Y3105" s="62"/>
      <c r="Z3105" s="62"/>
      <c r="AA3105" s="62"/>
      <c r="AB3105" s="62"/>
      <c r="AC3105" s="62"/>
    </row>
    <row r="3106" hidden="1">
      <c r="A3106" s="60"/>
      <c r="B3106" s="60"/>
      <c r="C3106" s="60"/>
      <c r="D3106" s="60"/>
      <c r="E3106" s="62" t="str">
        <f t="shared" si="5153"/>
        <v/>
      </c>
      <c r="F3106" s="62" t="str">
        <f t="shared" ref="F3106:G3106" si="6212">IF(isblank(F$1),,IF(isblank($A3106),,IFERROR(vlookup($A3106,indirect("'TVC-"&amp;text(month(F$1),"00")&amp;"'!$A:$D"),4,false),1)))</f>
        <v/>
      </c>
      <c r="G3106" s="62" t="str">
        <f t="shared" si="6212"/>
        <v/>
      </c>
      <c r="H3106" s="62">
        <f t="shared" ref="H3106:Q3106" si="6213">IF(isblank(H$1),,IFERROR(vlookup($A3106,indirect("'TVC-"&amp;text(month(H$1),"00")&amp;"'!$A:$D"),4,false),1))</f>
        <v>1</v>
      </c>
      <c r="I3106" s="62">
        <f t="shared" si="6213"/>
        <v>1</v>
      </c>
      <c r="J3106" s="62">
        <f t="shared" si="6213"/>
        <v>1</v>
      </c>
      <c r="K3106" s="62">
        <f t="shared" si="6213"/>
        <v>1</v>
      </c>
      <c r="L3106" s="62">
        <f t="shared" si="6213"/>
        <v>1</v>
      </c>
      <c r="M3106" s="62">
        <f t="shared" si="6213"/>
        <v>1</v>
      </c>
      <c r="N3106" s="62">
        <f t="shared" si="6213"/>
        <v>1</v>
      </c>
      <c r="O3106" s="62">
        <f t="shared" si="6213"/>
        <v>1</v>
      </c>
      <c r="P3106" s="62" t="str">
        <f t="shared" si="6213"/>
        <v/>
      </c>
      <c r="Q3106" s="62" t="str">
        <f t="shared" si="6213"/>
        <v/>
      </c>
      <c r="R3106" s="62">
        <f t="shared" si="7"/>
        <v>0</v>
      </c>
      <c r="S3106" s="62"/>
      <c r="T3106" s="62"/>
      <c r="U3106" s="62"/>
      <c r="V3106" s="62"/>
      <c r="W3106" s="62"/>
      <c r="X3106" s="62"/>
      <c r="Y3106" s="62"/>
      <c r="Z3106" s="62"/>
      <c r="AA3106" s="62"/>
      <c r="AB3106" s="62"/>
      <c r="AC3106" s="62"/>
    </row>
    <row r="3107" hidden="1">
      <c r="A3107" s="60"/>
      <c r="B3107" s="60"/>
      <c r="C3107" s="60"/>
      <c r="D3107" s="60"/>
      <c r="E3107" s="62" t="str">
        <f t="shared" si="5153"/>
        <v/>
      </c>
      <c r="F3107" s="62" t="str">
        <f t="shared" ref="F3107:G3107" si="6214">IF(isblank(F$1),,IF(isblank($A3107),,IFERROR(vlookup($A3107,indirect("'TVC-"&amp;text(month(F$1),"00")&amp;"'!$A:$D"),4,false),1)))</f>
        <v/>
      </c>
      <c r="G3107" s="62" t="str">
        <f t="shared" si="6214"/>
        <v/>
      </c>
      <c r="H3107" s="62">
        <f t="shared" ref="H3107:Q3107" si="6215">IF(isblank(H$1),,IFERROR(vlookup($A3107,indirect("'TVC-"&amp;text(month(H$1),"00")&amp;"'!$A:$D"),4,false),1))</f>
        <v>1</v>
      </c>
      <c r="I3107" s="62">
        <f t="shared" si="6215"/>
        <v>1</v>
      </c>
      <c r="J3107" s="62">
        <f t="shared" si="6215"/>
        <v>1</v>
      </c>
      <c r="K3107" s="62">
        <f t="shared" si="6215"/>
        <v>1</v>
      </c>
      <c r="L3107" s="62">
        <f t="shared" si="6215"/>
        <v>1</v>
      </c>
      <c r="M3107" s="62">
        <f t="shared" si="6215"/>
        <v>1</v>
      </c>
      <c r="N3107" s="62">
        <f t="shared" si="6215"/>
        <v>1</v>
      </c>
      <c r="O3107" s="62">
        <f t="shared" si="6215"/>
        <v>1</v>
      </c>
      <c r="P3107" s="62" t="str">
        <f t="shared" si="6215"/>
        <v/>
      </c>
      <c r="Q3107" s="62" t="str">
        <f t="shared" si="6215"/>
        <v/>
      </c>
      <c r="R3107" s="62">
        <f t="shared" si="7"/>
        <v>0</v>
      </c>
      <c r="S3107" s="62"/>
      <c r="T3107" s="62"/>
      <c r="U3107" s="62"/>
      <c r="V3107" s="62"/>
      <c r="W3107" s="62"/>
      <c r="X3107" s="62"/>
      <c r="Y3107" s="62"/>
      <c r="Z3107" s="62"/>
      <c r="AA3107" s="62"/>
      <c r="AB3107" s="62"/>
      <c r="AC3107" s="62"/>
    </row>
    <row r="3108" hidden="1">
      <c r="A3108" s="60"/>
      <c r="B3108" s="60"/>
      <c r="C3108" s="60"/>
      <c r="D3108" s="60"/>
      <c r="E3108" s="62" t="str">
        <f t="shared" si="5153"/>
        <v/>
      </c>
      <c r="F3108" s="62" t="str">
        <f t="shared" ref="F3108:G3108" si="6216">IF(isblank(F$1),,IF(isblank($A3108),,IFERROR(vlookup($A3108,indirect("'TVC-"&amp;text(month(F$1),"00")&amp;"'!$A:$D"),4,false),1)))</f>
        <v/>
      </c>
      <c r="G3108" s="62" t="str">
        <f t="shared" si="6216"/>
        <v/>
      </c>
      <c r="H3108" s="62">
        <f t="shared" ref="H3108:Q3108" si="6217">IF(isblank(H$1),,IFERROR(vlookup($A3108,indirect("'TVC-"&amp;text(month(H$1),"00")&amp;"'!$A:$D"),4,false),1))</f>
        <v>1</v>
      </c>
      <c r="I3108" s="62">
        <f t="shared" si="6217"/>
        <v>1</v>
      </c>
      <c r="J3108" s="62">
        <f t="shared" si="6217"/>
        <v>1</v>
      </c>
      <c r="K3108" s="62">
        <f t="shared" si="6217"/>
        <v>1</v>
      </c>
      <c r="L3108" s="62">
        <f t="shared" si="6217"/>
        <v>1</v>
      </c>
      <c r="M3108" s="62">
        <f t="shared" si="6217"/>
        <v>1</v>
      </c>
      <c r="N3108" s="62">
        <f t="shared" si="6217"/>
        <v>1</v>
      </c>
      <c r="O3108" s="62">
        <f t="shared" si="6217"/>
        <v>1</v>
      </c>
      <c r="P3108" s="62" t="str">
        <f t="shared" si="6217"/>
        <v/>
      </c>
      <c r="Q3108" s="62" t="str">
        <f t="shared" si="6217"/>
        <v/>
      </c>
      <c r="R3108" s="62">
        <f t="shared" si="7"/>
        <v>0</v>
      </c>
      <c r="S3108" s="62"/>
      <c r="T3108" s="62"/>
      <c r="U3108" s="62"/>
      <c r="V3108" s="62"/>
      <c r="W3108" s="62"/>
      <c r="X3108" s="62"/>
      <c r="Y3108" s="62"/>
      <c r="Z3108" s="62"/>
      <c r="AA3108" s="62"/>
      <c r="AB3108" s="62"/>
      <c r="AC3108" s="62"/>
    </row>
    <row r="3109" hidden="1">
      <c r="A3109" s="60"/>
      <c r="B3109" s="60"/>
      <c r="C3109" s="60"/>
      <c r="D3109" s="60"/>
      <c r="E3109" s="62" t="str">
        <f t="shared" si="5153"/>
        <v/>
      </c>
      <c r="F3109" s="62" t="str">
        <f t="shared" ref="F3109:G3109" si="6218">IF(isblank(F$1),,IF(isblank($A3109),,IFERROR(vlookup($A3109,indirect("'TVC-"&amp;text(month(F$1),"00")&amp;"'!$A:$D"),4,false),1)))</f>
        <v/>
      </c>
      <c r="G3109" s="62" t="str">
        <f t="shared" si="6218"/>
        <v/>
      </c>
      <c r="H3109" s="62">
        <f t="shared" ref="H3109:Q3109" si="6219">IF(isblank(H$1),,IFERROR(vlookup($A3109,indirect("'TVC-"&amp;text(month(H$1),"00")&amp;"'!$A:$D"),4,false),1))</f>
        <v>1</v>
      </c>
      <c r="I3109" s="62">
        <f t="shared" si="6219"/>
        <v>1</v>
      </c>
      <c r="J3109" s="62">
        <f t="shared" si="6219"/>
        <v>1</v>
      </c>
      <c r="K3109" s="62">
        <f t="shared" si="6219"/>
        <v>1</v>
      </c>
      <c r="L3109" s="62">
        <f t="shared" si="6219"/>
        <v>1</v>
      </c>
      <c r="M3109" s="62">
        <f t="shared" si="6219"/>
        <v>1</v>
      </c>
      <c r="N3109" s="62">
        <f t="shared" si="6219"/>
        <v>1</v>
      </c>
      <c r="O3109" s="62">
        <f t="shared" si="6219"/>
        <v>1</v>
      </c>
      <c r="P3109" s="62" t="str">
        <f t="shared" si="6219"/>
        <v/>
      </c>
      <c r="Q3109" s="62" t="str">
        <f t="shared" si="6219"/>
        <v/>
      </c>
      <c r="R3109" s="62">
        <f t="shared" si="7"/>
        <v>0</v>
      </c>
      <c r="S3109" s="62"/>
      <c r="T3109" s="62"/>
      <c r="U3109" s="62"/>
      <c r="V3109" s="62"/>
      <c r="W3109" s="62"/>
      <c r="X3109" s="62"/>
      <c r="Y3109" s="62"/>
      <c r="Z3109" s="62"/>
      <c r="AA3109" s="62"/>
      <c r="AB3109" s="62"/>
      <c r="AC3109" s="62"/>
    </row>
    <row r="3110" hidden="1">
      <c r="A3110" s="60"/>
      <c r="B3110" s="60"/>
      <c r="C3110" s="60"/>
      <c r="D3110" s="60"/>
      <c r="E3110" s="62" t="str">
        <f t="shared" si="5153"/>
        <v/>
      </c>
      <c r="F3110" s="62" t="str">
        <f t="shared" ref="F3110:G3110" si="6220">IF(isblank(F$1),,IF(isblank($A3110),,IFERROR(vlookup($A3110,indirect("'TVC-"&amp;text(month(F$1),"00")&amp;"'!$A:$D"),4,false),1)))</f>
        <v/>
      </c>
      <c r="G3110" s="62" t="str">
        <f t="shared" si="6220"/>
        <v/>
      </c>
      <c r="H3110" s="62">
        <f t="shared" ref="H3110:Q3110" si="6221">IF(isblank(H$1),,IFERROR(vlookup($A3110,indirect("'TVC-"&amp;text(month(H$1),"00")&amp;"'!$A:$D"),4,false),1))</f>
        <v>1</v>
      </c>
      <c r="I3110" s="62">
        <f t="shared" si="6221"/>
        <v>1</v>
      </c>
      <c r="J3110" s="62">
        <f t="shared" si="6221"/>
        <v>1</v>
      </c>
      <c r="K3110" s="62">
        <f t="shared" si="6221"/>
        <v>1</v>
      </c>
      <c r="L3110" s="62">
        <f t="shared" si="6221"/>
        <v>1</v>
      </c>
      <c r="M3110" s="62">
        <f t="shared" si="6221"/>
        <v>1</v>
      </c>
      <c r="N3110" s="62">
        <f t="shared" si="6221"/>
        <v>1</v>
      </c>
      <c r="O3110" s="62">
        <f t="shared" si="6221"/>
        <v>1</v>
      </c>
      <c r="P3110" s="62" t="str">
        <f t="shared" si="6221"/>
        <v/>
      </c>
      <c r="Q3110" s="62" t="str">
        <f t="shared" si="6221"/>
        <v/>
      </c>
      <c r="R3110" s="62">
        <f t="shared" si="7"/>
        <v>0</v>
      </c>
      <c r="S3110" s="62"/>
      <c r="T3110" s="62"/>
      <c r="U3110" s="62"/>
      <c r="V3110" s="62"/>
      <c r="W3110" s="62"/>
      <c r="X3110" s="62"/>
      <c r="Y3110" s="62"/>
      <c r="Z3110" s="62"/>
      <c r="AA3110" s="62"/>
      <c r="AB3110" s="62"/>
      <c r="AC3110" s="62"/>
    </row>
    <row r="3111" hidden="1">
      <c r="A3111" s="60"/>
      <c r="B3111" s="60"/>
      <c r="C3111" s="60"/>
      <c r="D3111" s="60"/>
      <c r="E3111" s="62" t="str">
        <f t="shared" si="5153"/>
        <v/>
      </c>
      <c r="F3111" s="62" t="str">
        <f t="shared" ref="F3111:G3111" si="6222">IF(isblank(F$1),,IF(isblank($A3111),,IFERROR(vlookup($A3111,indirect("'TVC-"&amp;text(month(F$1),"00")&amp;"'!$A:$D"),4,false),1)))</f>
        <v/>
      </c>
      <c r="G3111" s="62" t="str">
        <f t="shared" si="6222"/>
        <v/>
      </c>
      <c r="H3111" s="62">
        <f t="shared" ref="H3111:Q3111" si="6223">IF(isblank(H$1),,IFERROR(vlookup($A3111,indirect("'TVC-"&amp;text(month(H$1),"00")&amp;"'!$A:$D"),4,false),1))</f>
        <v>1</v>
      </c>
      <c r="I3111" s="62">
        <f t="shared" si="6223"/>
        <v>1</v>
      </c>
      <c r="J3111" s="62">
        <f t="shared" si="6223"/>
        <v>1</v>
      </c>
      <c r="K3111" s="62">
        <f t="shared" si="6223"/>
        <v>1</v>
      </c>
      <c r="L3111" s="62">
        <f t="shared" si="6223"/>
        <v>1</v>
      </c>
      <c r="M3111" s="62">
        <f t="shared" si="6223"/>
        <v>1</v>
      </c>
      <c r="N3111" s="62">
        <f t="shared" si="6223"/>
        <v>1</v>
      </c>
      <c r="O3111" s="62">
        <f t="shared" si="6223"/>
        <v>1</v>
      </c>
      <c r="P3111" s="62" t="str">
        <f t="shared" si="6223"/>
        <v/>
      </c>
      <c r="Q3111" s="62" t="str">
        <f t="shared" si="6223"/>
        <v/>
      </c>
      <c r="R3111" s="62">
        <f t="shared" si="7"/>
        <v>0</v>
      </c>
      <c r="S3111" s="62"/>
      <c r="T3111" s="62"/>
      <c r="U3111" s="62"/>
      <c r="V3111" s="62"/>
      <c r="W3111" s="62"/>
      <c r="X3111" s="62"/>
      <c r="Y3111" s="62"/>
      <c r="Z3111" s="62"/>
      <c r="AA3111" s="62"/>
      <c r="AB3111" s="62"/>
      <c r="AC3111" s="62"/>
    </row>
    <row r="3112" hidden="1">
      <c r="A3112" s="60"/>
      <c r="B3112" s="60"/>
      <c r="C3112" s="60"/>
      <c r="D3112" s="60"/>
      <c r="E3112" s="62" t="str">
        <f t="shared" si="5153"/>
        <v/>
      </c>
      <c r="F3112" s="62" t="str">
        <f t="shared" ref="F3112:G3112" si="6224">IF(isblank(F$1),,IF(isblank($A3112),,IFERROR(vlookup($A3112,indirect("'TVC-"&amp;text(month(F$1),"00")&amp;"'!$A:$D"),4,false),1)))</f>
        <v/>
      </c>
      <c r="G3112" s="62" t="str">
        <f t="shared" si="6224"/>
        <v/>
      </c>
      <c r="H3112" s="62">
        <f t="shared" ref="H3112:Q3112" si="6225">IF(isblank(H$1),,IFERROR(vlookup($A3112,indirect("'TVC-"&amp;text(month(H$1),"00")&amp;"'!$A:$D"),4,false),1))</f>
        <v>1</v>
      </c>
      <c r="I3112" s="62">
        <f t="shared" si="6225"/>
        <v>1</v>
      </c>
      <c r="J3112" s="62">
        <f t="shared" si="6225"/>
        <v>1</v>
      </c>
      <c r="K3112" s="62">
        <f t="shared" si="6225"/>
        <v>1</v>
      </c>
      <c r="L3112" s="62">
        <f t="shared" si="6225"/>
        <v>1</v>
      </c>
      <c r="M3112" s="62">
        <f t="shared" si="6225"/>
        <v>1</v>
      </c>
      <c r="N3112" s="62">
        <f t="shared" si="6225"/>
        <v>1</v>
      </c>
      <c r="O3112" s="62">
        <f t="shared" si="6225"/>
        <v>1</v>
      </c>
      <c r="P3112" s="62" t="str">
        <f t="shared" si="6225"/>
        <v/>
      </c>
      <c r="Q3112" s="62" t="str">
        <f t="shared" si="6225"/>
        <v/>
      </c>
      <c r="R3112" s="62">
        <f t="shared" si="7"/>
        <v>0</v>
      </c>
      <c r="S3112" s="62"/>
      <c r="T3112" s="62"/>
      <c r="U3112" s="62"/>
      <c r="V3112" s="62"/>
      <c r="W3112" s="62"/>
      <c r="X3112" s="62"/>
      <c r="Y3112" s="62"/>
      <c r="Z3112" s="62"/>
      <c r="AA3112" s="62"/>
      <c r="AB3112" s="62"/>
      <c r="AC3112" s="62"/>
    </row>
    <row r="3113" hidden="1">
      <c r="A3113" s="60"/>
      <c r="B3113" s="60"/>
      <c r="C3113" s="60"/>
      <c r="D3113" s="60"/>
      <c r="E3113" s="62" t="str">
        <f t="shared" si="5153"/>
        <v/>
      </c>
      <c r="F3113" s="62" t="str">
        <f t="shared" ref="F3113:G3113" si="6226">IF(isblank(F$1),,IF(isblank($A3113),,IFERROR(vlookup($A3113,indirect("'TVC-"&amp;text(month(F$1),"00")&amp;"'!$A:$D"),4,false),1)))</f>
        <v/>
      </c>
      <c r="G3113" s="62" t="str">
        <f t="shared" si="6226"/>
        <v/>
      </c>
      <c r="H3113" s="62">
        <f t="shared" ref="H3113:Q3113" si="6227">IF(isblank(H$1),,IFERROR(vlookup($A3113,indirect("'TVC-"&amp;text(month(H$1),"00")&amp;"'!$A:$D"),4,false),1))</f>
        <v>1</v>
      </c>
      <c r="I3113" s="62">
        <f t="shared" si="6227"/>
        <v>1</v>
      </c>
      <c r="J3113" s="62">
        <f t="shared" si="6227"/>
        <v>1</v>
      </c>
      <c r="K3113" s="62">
        <f t="shared" si="6227"/>
        <v>1</v>
      </c>
      <c r="L3113" s="62">
        <f t="shared" si="6227"/>
        <v>1</v>
      </c>
      <c r="M3113" s="62">
        <f t="shared" si="6227"/>
        <v>1</v>
      </c>
      <c r="N3113" s="62">
        <f t="shared" si="6227"/>
        <v>1</v>
      </c>
      <c r="O3113" s="62">
        <f t="shared" si="6227"/>
        <v>1</v>
      </c>
      <c r="P3113" s="62" t="str">
        <f t="shared" si="6227"/>
        <v/>
      </c>
      <c r="Q3113" s="62" t="str">
        <f t="shared" si="6227"/>
        <v/>
      </c>
      <c r="R3113" s="62">
        <f t="shared" si="7"/>
        <v>0</v>
      </c>
      <c r="S3113" s="62"/>
      <c r="T3113" s="62"/>
      <c r="U3113" s="62"/>
      <c r="V3113" s="62"/>
      <c r="W3113" s="62"/>
      <c r="X3113" s="62"/>
      <c r="Y3113" s="62"/>
      <c r="Z3113" s="62"/>
      <c r="AA3113" s="62"/>
      <c r="AB3113" s="62"/>
      <c r="AC3113" s="62"/>
    </row>
    <row r="3114" hidden="1">
      <c r="A3114" s="60"/>
      <c r="B3114" s="60"/>
      <c r="C3114" s="60"/>
      <c r="D3114" s="60"/>
      <c r="E3114" s="62" t="str">
        <f t="shared" si="5153"/>
        <v/>
      </c>
      <c r="F3114" s="62" t="str">
        <f t="shared" ref="F3114:G3114" si="6228">IF(isblank(F$1),,IF(isblank($A3114),,IFERROR(vlookup($A3114,indirect("'TVC-"&amp;text(month(F$1),"00")&amp;"'!$A:$D"),4,false),1)))</f>
        <v/>
      </c>
      <c r="G3114" s="62" t="str">
        <f t="shared" si="6228"/>
        <v/>
      </c>
      <c r="H3114" s="62">
        <f t="shared" ref="H3114:Q3114" si="6229">IF(isblank(H$1),,IFERROR(vlookup($A3114,indirect("'TVC-"&amp;text(month(H$1),"00")&amp;"'!$A:$D"),4,false),1))</f>
        <v>1</v>
      </c>
      <c r="I3114" s="62">
        <f t="shared" si="6229"/>
        <v>1</v>
      </c>
      <c r="J3114" s="62">
        <f t="shared" si="6229"/>
        <v>1</v>
      </c>
      <c r="K3114" s="62">
        <f t="shared" si="6229"/>
        <v>1</v>
      </c>
      <c r="L3114" s="62">
        <f t="shared" si="6229"/>
        <v>1</v>
      </c>
      <c r="M3114" s="62">
        <f t="shared" si="6229"/>
        <v>1</v>
      </c>
      <c r="N3114" s="62">
        <f t="shared" si="6229"/>
        <v>1</v>
      </c>
      <c r="O3114" s="62">
        <f t="shared" si="6229"/>
        <v>1</v>
      </c>
      <c r="P3114" s="62" t="str">
        <f t="shared" si="6229"/>
        <v/>
      </c>
      <c r="Q3114" s="62" t="str">
        <f t="shared" si="6229"/>
        <v/>
      </c>
      <c r="R3114" s="62">
        <f t="shared" si="7"/>
        <v>0</v>
      </c>
      <c r="S3114" s="62"/>
      <c r="T3114" s="62"/>
      <c r="U3114" s="62"/>
      <c r="V3114" s="62"/>
      <c r="W3114" s="62"/>
      <c r="X3114" s="62"/>
      <c r="Y3114" s="62"/>
      <c r="Z3114" s="62"/>
      <c r="AA3114" s="62"/>
      <c r="AB3114" s="62"/>
      <c r="AC3114" s="62"/>
    </row>
    <row r="3115" hidden="1">
      <c r="A3115" s="60"/>
      <c r="B3115" s="60"/>
      <c r="C3115" s="60"/>
      <c r="D3115" s="60"/>
      <c r="E3115" s="62" t="str">
        <f t="shared" si="5153"/>
        <v/>
      </c>
      <c r="F3115" s="62" t="str">
        <f t="shared" ref="F3115:G3115" si="6230">IF(isblank(F$1),,IF(isblank($A3115),,IFERROR(vlookup($A3115,indirect("'TVC-"&amp;text(month(F$1),"00")&amp;"'!$A:$D"),4,false),1)))</f>
        <v/>
      </c>
      <c r="G3115" s="62" t="str">
        <f t="shared" si="6230"/>
        <v/>
      </c>
      <c r="H3115" s="62">
        <f t="shared" ref="H3115:Q3115" si="6231">IF(isblank(H$1),,IFERROR(vlookup($A3115,indirect("'TVC-"&amp;text(month(H$1),"00")&amp;"'!$A:$D"),4,false),1))</f>
        <v>1</v>
      </c>
      <c r="I3115" s="62">
        <f t="shared" si="6231"/>
        <v>1</v>
      </c>
      <c r="J3115" s="62">
        <f t="shared" si="6231"/>
        <v>1</v>
      </c>
      <c r="K3115" s="62">
        <f t="shared" si="6231"/>
        <v>1</v>
      </c>
      <c r="L3115" s="62">
        <f t="shared" si="6231"/>
        <v>1</v>
      </c>
      <c r="M3115" s="62">
        <f t="shared" si="6231"/>
        <v>1</v>
      </c>
      <c r="N3115" s="62">
        <f t="shared" si="6231"/>
        <v>1</v>
      </c>
      <c r="O3115" s="62">
        <f t="shared" si="6231"/>
        <v>1</v>
      </c>
      <c r="P3115" s="62" t="str">
        <f t="shared" si="6231"/>
        <v/>
      </c>
      <c r="Q3115" s="62" t="str">
        <f t="shared" si="6231"/>
        <v/>
      </c>
      <c r="R3115" s="62">
        <f t="shared" si="7"/>
        <v>0</v>
      </c>
      <c r="S3115" s="62"/>
      <c r="T3115" s="62"/>
      <c r="U3115" s="62"/>
      <c r="V3115" s="62"/>
      <c r="W3115" s="62"/>
      <c r="X3115" s="62"/>
      <c r="Y3115" s="62"/>
      <c r="Z3115" s="62"/>
      <c r="AA3115" s="62"/>
      <c r="AB3115" s="62"/>
      <c r="AC3115" s="62"/>
    </row>
    <row r="3116" hidden="1">
      <c r="A3116" s="60"/>
      <c r="B3116" s="60"/>
      <c r="C3116" s="60"/>
      <c r="D3116" s="60"/>
      <c r="E3116" s="62" t="str">
        <f t="shared" si="5153"/>
        <v/>
      </c>
      <c r="F3116" s="62" t="str">
        <f t="shared" ref="F3116:G3116" si="6232">IF(isblank(F$1),,IF(isblank($A3116),,IFERROR(vlookup($A3116,indirect("'TVC-"&amp;text(month(F$1),"00")&amp;"'!$A:$D"),4,false),1)))</f>
        <v/>
      </c>
      <c r="G3116" s="62" t="str">
        <f t="shared" si="6232"/>
        <v/>
      </c>
      <c r="H3116" s="62">
        <f t="shared" ref="H3116:Q3116" si="6233">IF(isblank(H$1),,IFERROR(vlookup($A3116,indirect("'TVC-"&amp;text(month(H$1),"00")&amp;"'!$A:$D"),4,false),1))</f>
        <v>1</v>
      </c>
      <c r="I3116" s="62">
        <f t="shared" si="6233"/>
        <v>1</v>
      </c>
      <c r="J3116" s="62">
        <f t="shared" si="6233"/>
        <v>1</v>
      </c>
      <c r="K3116" s="62">
        <f t="shared" si="6233"/>
        <v>1</v>
      </c>
      <c r="L3116" s="62">
        <f t="shared" si="6233"/>
        <v>1</v>
      </c>
      <c r="M3116" s="62">
        <f t="shared" si="6233"/>
        <v>1</v>
      </c>
      <c r="N3116" s="62">
        <f t="shared" si="6233"/>
        <v>1</v>
      </c>
      <c r="O3116" s="62">
        <f t="shared" si="6233"/>
        <v>1</v>
      </c>
      <c r="P3116" s="62" t="str">
        <f t="shared" si="6233"/>
        <v/>
      </c>
      <c r="Q3116" s="62" t="str">
        <f t="shared" si="6233"/>
        <v/>
      </c>
      <c r="R3116" s="62">
        <f t="shared" si="7"/>
        <v>0</v>
      </c>
      <c r="S3116" s="62"/>
      <c r="T3116" s="62"/>
      <c r="U3116" s="62"/>
      <c r="V3116" s="62"/>
      <c r="W3116" s="62"/>
      <c r="X3116" s="62"/>
      <c r="Y3116" s="62"/>
      <c r="Z3116" s="62"/>
      <c r="AA3116" s="62"/>
      <c r="AB3116" s="62"/>
      <c r="AC3116" s="62"/>
    </row>
    <row r="3117" hidden="1">
      <c r="A3117" s="60"/>
      <c r="B3117" s="60"/>
      <c r="C3117" s="60"/>
      <c r="D3117" s="60"/>
      <c r="E3117" s="62" t="str">
        <f t="shared" si="5153"/>
        <v/>
      </c>
      <c r="F3117" s="62" t="str">
        <f t="shared" ref="F3117:G3117" si="6234">IF(isblank(F$1),,IF(isblank($A3117),,IFERROR(vlookup($A3117,indirect("'TVC-"&amp;text(month(F$1),"00")&amp;"'!$A:$D"),4,false),1)))</f>
        <v/>
      </c>
      <c r="G3117" s="62" t="str">
        <f t="shared" si="6234"/>
        <v/>
      </c>
      <c r="H3117" s="62">
        <f t="shared" ref="H3117:Q3117" si="6235">IF(isblank(H$1),,IFERROR(vlookup($A3117,indirect("'TVC-"&amp;text(month(H$1),"00")&amp;"'!$A:$D"),4,false),1))</f>
        <v>1</v>
      </c>
      <c r="I3117" s="62">
        <f t="shared" si="6235"/>
        <v>1</v>
      </c>
      <c r="J3117" s="62">
        <f t="shared" si="6235"/>
        <v>1</v>
      </c>
      <c r="K3117" s="62">
        <f t="shared" si="6235"/>
        <v>1</v>
      </c>
      <c r="L3117" s="62">
        <f t="shared" si="6235"/>
        <v>1</v>
      </c>
      <c r="M3117" s="62">
        <f t="shared" si="6235"/>
        <v>1</v>
      </c>
      <c r="N3117" s="62">
        <f t="shared" si="6235"/>
        <v>1</v>
      </c>
      <c r="O3117" s="62">
        <f t="shared" si="6235"/>
        <v>1</v>
      </c>
      <c r="P3117" s="62" t="str">
        <f t="shared" si="6235"/>
        <v/>
      </c>
      <c r="Q3117" s="62" t="str">
        <f t="shared" si="6235"/>
        <v/>
      </c>
      <c r="R3117" s="62">
        <f t="shared" si="7"/>
        <v>0</v>
      </c>
      <c r="S3117" s="62"/>
      <c r="T3117" s="62"/>
      <c r="U3117" s="62"/>
      <c r="V3117" s="62"/>
      <c r="W3117" s="62"/>
      <c r="X3117" s="62"/>
      <c r="Y3117" s="62"/>
      <c r="Z3117" s="62"/>
      <c r="AA3117" s="62"/>
      <c r="AB3117" s="62"/>
      <c r="AC3117" s="62"/>
    </row>
    <row r="3118" hidden="1">
      <c r="A3118" s="60"/>
      <c r="B3118" s="60"/>
      <c r="C3118" s="60"/>
      <c r="D3118" s="60"/>
      <c r="E3118" s="62" t="str">
        <f t="shared" si="5153"/>
        <v/>
      </c>
      <c r="F3118" s="62" t="str">
        <f t="shared" ref="F3118:G3118" si="6236">IF(isblank(F$1),,IF(isblank($A3118),,IFERROR(vlookup($A3118,indirect("'TVC-"&amp;text(month(F$1),"00")&amp;"'!$A:$D"),4,false),1)))</f>
        <v/>
      </c>
      <c r="G3118" s="62" t="str">
        <f t="shared" si="6236"/>
        <v/>
      </c>
      <c r="H3118" s="62">
        <f t="shared" ref="H3118:Q3118" si="6237">IF(isblank(H$1),,IFERROR(vlookup($A3118,indirect("'TVC-"&amp;text(month(H$1),"00")&amp;"'!$A:$D"),4,false),1))</f>
        <v>1</v>
      </c>
      <c r="I3118" s="62">
        <f t="shared" si="6237"/>
        <v>1</v>
      </c>
      <c r="J3118" s="62">
        <f t="shared" si="6237"/>
        <v>1</v>
      </c>
      <c r="K3118" s="62">
        <f t="shared" si="6237"/>
        <v>1</v>
      </c>
      <c r="L3118" s="62">
        <f t="shared" si="6237"/>
        <v>1</v>
      </c>
      <c r="M3118" s="62">
        <f t="shared" si="6237"/>
        <v>1</v>
      </c>
      <c r="N3118" s="62">
        <f t="shared" si="6237"/>
        <v>1</v>
      </c>
      <c r="O3118" s="62">
        <f t="shared" si="6237"/>
        <v>1</v>
      </c>
      <c r="P3118" s="62" t="str">
        <f t="shared" si="6237"/>
        <v/>
      </c>
      <c r="Q3118" s="62" t="str">
        <f t="shared" si="6237"/>
        <v/>
      </c>
      <c r="R3118" s="62">
        <f t="shared" si="7"/>
        <v>0</v>
      </c>
      <c r="S3118" s="62"/>
      <c r="T3118" s="62"/>
      <c r="U3118" s="62"/>
      <c r="V3118" s="62"/>
      <c r="W3118" s="62"/>
      <c r="X3118" s="62"/>
      <c r="Y3118" s="62"/>
      <c r="Z3118" s="62"/>
      <c r="AA3118" s="62"/>
      <c r="AB3118" s="62"/>
      <c r="AC3118" s="62"/>
    </row>
    <row r="3119" hidden="1">
      <c r="A3119" s="60"/>
      <c r="B3119" s="60"/>
      <c r="C3119" s="60"/>
      <c r="D3119" s="60"/>
      <c r="E3119" s="62" t="str">
        <f t="shared" si="5153"/>
        <v/>
      </c>
      <c r="F3119" s="62" t="str">
        <f t="shared" ref="F3119:G3119" si="6238">IF(isblank(F$1),,IF(isblank($A3119),,IFERROR(vlookup($A3119,indirect("'TVC-"&amp;text(month(F$1),"00")&amp;"'!$A:$D"),4,false),1)))</f>
        <v/>
      </c>
      <c r="G3119" s="62" t="str">
        <f t="shared" si="6238"/>
        <v/>
      </c>
      <c r="H3119" s="62">
        <f t="shared" ref="H3119:Q3119" si="6239">IF(isblank(H$1),,IFERROR(vlookup($A3119,indirect("'TVC-"&amp;text(month(H$1),"00")&amp;"'!$A:$D"),4,false),1))</f>
        <v>1</v>
      </c>
      <c r="I3119" s="62">
        <f t="shared" si="6239"/>
        <v>1</v>
      </c>
      <c r="J3119" s="62">
        <f t="shared" si="6239"/>
        <v>1</v>
      </c>
      <c r="K3119" s="62">
        <f t="shared" si="6239"/>
        <v>1</v>
      </c>
      <c r="L3119" s="62">
        <f t="shared" si="6239"/>
        <v>1</v>
      </c>
      <c r="M3119" s="62">
        <f t="shared" si="6239"/>
        <v>1</v>
      </c>
      <c r="N3119" s="62">
        <f t="shared" si="6239"/>
        <v>1</v>
      </c>
      <c r="O3119" s="62">
        <f t="shared" si="6239"/>
        <v>1</v>
      </c>
      <c r="P3119" s="62" t="str">
        <f t="shared" si="6239"/>
        <v/>
      </c>
      <c r="Q3119" s="62" t="str">
        <f t="shared" si="6239"/>
        <v/>
      </c>
      <c r="R3119" s="62">
        <f t="shared" si="7"/>
        <v>0</v>
      </c>
      <c r="S3119" s="62"/>
      <c r="T3119" s="62"/>
      <c r="U3119" s="62"/>
      <c r="V3119" s="62"/>
      <c r="W3119" s="62"/>
      <c r="X3119" s="62"/>
      <c r="Y3119" s="62"/>
      <c r="Z3119" s="62"/>
      <c r="AA3119" s="62"/>
      <c r="AB3119" s="62"/>
      <c r="AC3119" s="62"/>
    </row>
    <row r="3120" hidden="1">
      <c r="A3120" s="60"/>
      <c r="B3120" s="60"/>
      <c r="C3120" s="60"/>
      <c r="D3120" s="60"/>
      <c r="E3120" s="62" t="str">
        <f t="shared" si="5153"/>
        <v/>
      </c>
      <c r="F3120" s="62" t="str">
        <f t="shared" ref="F3120:G3120" si="6240">IF(isblank(F$1),,IF(isblank($A3120),,IFERROR(vlookup($A3120,indirect("'TVC-"&amp;text(month(F$1),"00")&amp;"'!$A:$D"),4,false),1)))</f>
        <v/>
      </c>
      <c r="G3120" s="62" t="str">
        <f t="shared" si="6240"/>
        <v/>
      </c>
      <c r="H3120" s="62">
        <f t="shared" ref="H3120:Q3120" si="6241">IF(isblank(H$1),,IFERROR(vlookup($A3120,indirect("'TVC-"&amp;text(month(H$1),"00")&amp;"'!$A:$D"),4,false),1))</f>
        <v>1</v>
      </c>
      <c r="I3120" s="62">
        <f t="shared" si="6241"/>
        <v>1</v>
      </c>
      <c r="J3120" s="62">
        <f t="shared" si="6241"/>
        <v>1</v>
      </c>
      <c r="K3120" s="62">
        <f t="shared" si="6241"/>
        <v>1</v>
      </c>
      <c r="L3120" s="62">
        <f t="shared" si="6241"/>
        <v>1</v>
      </c>
      <c r="M3120" s="62">
        <f t="shared" si="6241"/>
        <v>1</v>
      </c>
      <c r="N3120" s="62">
        <f t="shared" si="6241"/>
        <v>1</v>
      </c>
      <c r="O3120" s="62">
        <f t="shared" si="6241"/>
        <v>1</v>
      </c>
      <c r="P3120" s="62" t="str">
        <f t="shared" si="6241"/>
        <v/>
      </c>
      <c r="Q3120" s="62" t="str">
        <f t="shared" si="6241"/>
        <v/>
      </c>
      <c r="R3120" s="62">
        <f t="shared" si="7"/>
        <v>0</v>
      </c>
      <c r="S3120" s="62"/>
      <c r="T3120" s="62"/>
      <c r="U3120" s="62"/>
      <c r="V3120" s="62"/>
      <c r="W3120" s="62"/>
      <c r="X3120" s="62"/>
      <c r="Y3120" s="62"/>
      <c r="Z3120" s="62"/>
      <c r="AA3120" s="62"/>
      <c r="AB3120" s="62"/>
      <c r="AC3120" s="62"/>
    </row>
    <row r="3121" hidden="1">
      <c r="A3121" s="60"/>
      <c r="B3121" s="60"/>
      <c r="C3121" s="60"/>
      <c r="D3121" s="60"/>
      <c r="E3121" s="62" t="str">
        <f t="shared" si="5153"/>
        <v/>
      </c>
      <c r="F3121" s="62" t="str">
        <f t="shared" ref="F3121:G3121" si="6242">IF(isblank(F$1),,IF(isblank($A3121),,IFERROR(vlookup($A3121,indirect("'TVC-"&amp;text(month(F$1),"00")&amp;"'!$A:$D"),4,false),1)))</f>
        <v/>
      </c>
      <c r="G3121" s="62" t="str">
        <f t="shared" si="6242"/>
        <v/>
      </c>
      <c r="H3121" s="62">
        <f t="shared" ref="H3121:Q3121" si="6243">IF(isblank(H$1),,IFERROR(vlookup($A3121,indirect("'TVC-"&amp;text(month(H$1),"00")&amp;"'!$A:$D"),4,false),1))</f>
        <v>1</v>
      </c>
      <c r="I3121" s="62">
        <f t="shared" si="6243"/>
        <v>1</v>
      </c>
      <c r="J3121" s="62">
        <f t="shared" si="6243"/>
        <v>1</v>
      </c>
      <c r="K3121" s="62">
        <f t="shared" si="6243"/>
        <v>1</v>
      </c>
      <c r="L3121" s="62">
        <f t="shared" si="6243"/>
        <v>1</v>
      </c>
      <c r="M3121" s="62">
        <f t="shared" si="6243"/>
        <v>1</v>
      </c>
      <c r="N3121" s="62">
        <f t="shared" si="6243"/>
        <v>1</v>
      </c>
      <c r="O3121" s="62">
        <f t="shared" si="6243"/>
        <v>1</v>
      </c>
      <c r="P3121" s="62" t="str">
        <f t="shared" si="6243"/>
        <v/>
      </c>
      <c r="Q3121" s="62" t="str">
        <f t="shared" si="6243"/>
        <v/>
      </c>
      <c r="R3121" s="62">
        <f t="shared" si="7"/>
        <v>0</v>
      </c>
      <c r="S3121" s="62"/>
      <c r="T3121" s="62"/>
      <c r="U3121" s="62"/>
      <c r="V3121" s="62"/>
      <c r="W3121" s="62"/>
      <c r="X3121" s="62"/>
      <c r="Y3121" s="62"/>
      <c r="Z3121" s="62"/>
      <c r="AA3121" s="62"/>
      <c r="AB3121" s="62"/>
      <c r="AC3121" s="62"/>
    </row>
    <row r="3122" hidden="1">
      <c r="A3122" s="60"/>
      <c r="B3122" s="60"/>
      <c r="C3122" s="60"/>
      <c r="D3122" s="60"/>
      <c r="E3122" s="62" t="str">
        <f t="shared" si="5153"/>
        <v/>
      </c>
      <c r="F3122" s="62" t="str">
        <f t="shared" ref="F3122:G3122" si="6244">IF(isblank(F$1),,IF(isblank($A3122),,IFERROR(vlookup($A3122,indirect("'TVC-"&amp;text(month(F$1),"00")&amp;"'!$A:$D"),4,false),1)))</f>
        <v/>
      </c>
      <c r="G3122" s="62" t="str">
        <f t="shared" si="6244"/>
        <v/>
      </c>
      <c r="H3122" s="62">
        <f t="shared" ref="H3122:Q3122" si="6245">IF(isblank(H$1),,IFERROR(vlookup($A3122,indirect("'TVC-"&amp;text(month(H$1),"00")&amp;"'!$A:$D"),4,false),1))</f>
        <v>1</v>
      </c>
      <c r="I3122" s="62">
        <f t="shared" si="6245"/>
        <v>1</v>
      </c>
      <c r="J3122" s="62">
        <f t="shared" si="6245"/>
        <v>1</v>
      </c>
      <c r="K3122" s="62">
        <f t="shared" si="6245"/>
        <v>1</v>
      </c>
      <c r="L3122" s="62">
        <f t="shared" si="6245"/>
        <v>1</v>
      </c>
      <c r="M3122" s="62">
        <f t="shared" si="6245"/>
        <v>1</v>
      </c>
      <c r="N3122" s="62">
        <f t="shared" si="6245"/>
        <v>1</v>
      </c>
      <c r="O3122" s="62">
        <f t="shared" si="6245"/>
        <v>1</v>
      </c>
      <c r="P3122" s="62" t="str">
        <f t="shared" si="6245"/>
        <v/>
      </c>
      <c r="Q3122" s="62" t="str">
        <f t="shared" si="6245"/>
        <v/>
      </c>
      <c r="R3122" s="62">
        <f t="shared" si="7"/>
        <v>0</v>
      </c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</row>
    <row r="3123" hidden="1">
      <c r="A3123" s="60"/>
      <c r="B3123" s="60"/>
      <c r="C3123" s="60"/>
      <c r="D3123" s="60"/>
      <c r="E3123" s="62" t="str">
        <f t="shared" si="5153"/>
        <v/>
      </c>
      <c r="F3123" s="62" t="str">
        <f t="shared" ref="F3123:G3123" si="6246">IF(isblank(F$1),,IF(isblank($A3123),,IFERROR(vlookup($A3123,indirect("'TVC-"&amp;text(month(F$1),"00")&amp;"'!$A:$D"),4,false),1)))</f>
        <v/>
      </c>
      <c r="G3123" s="62" t="str">
        <f t="shared" si="6246"/>
        <v/>
      </c>
      <c r="H3123" s="62">
        <f t="shared" ref="H3123:Q3123" si="6247">IF(isblank(H$1),,IFERROR(vlookup($A3123,indirect("'TVC-"&amp;text(month(H$1),"00")&amp;"'!$A:$D"),4,false),1))</f>
        <v>1</v>
      </c>
      <c r="I3123" s="62">
        <f t="shared" si="6247"/>
        <v>1</v>
      </c>
      <c r="J3123" s="62">
        <f t="shared" si="6247"/>
        <v>1</v>
      </c>
      <c r="K3123" s="62">
        <f t="shared" si="6247"/>
        <v>1</v>
      </c>
      <c r="L3123" s="62">
        <f t="shared" si="6247"/>
        <v>1</v>
      </c>
      <c r="M3123" s="62">
        <f t="shared" si="6247"/>
        <v>1</v>
      </c>
      <c r="N3123" s="62">
        <f t="shared" si="6247"/>
        <v>1</v>
      </c>
      <c r="O3123" s="62">
        <f t="shared" si="6247"/>
        <v>1</v>
      </c>
      <c r="P3123" s="62" t="str">
        <f t="shared" si="6247"/>
        <v/>
      </c>
      <c r="Q3123" s="62" t="str">
        <f t="shared" si="6247"/>
        <v/>
      </c>
      <c r="R3123" s="62">
        <f t="shared" si="7"/>
        <v>0</v>
      </c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</row>
    <row r="3124" hidden="1">
      <c r="A3124" s="60"/>
      <c r="B3124" s="60"/>
      <c r="C3124" s="60"/>
      <c r="D3124" s="60"/>
      <c r="E3124" s="62" t="str">
        <f t="shared" si="5153"/>
        <v/>
      </c>
      <c r="F3124" s="62" t="str">
        <f t="shared" ref="F3124:G3124" si="6248">IF(isblank(F$1),,IF(isblank($A3124),,IFERROR(vlookup($A3124,indirect("'TVC-"&amp;text(month(F$1),"00")&amp;"'!$A:$D"),4,false),1)))</f>
        <v/>
      </c>
      <c r="G3124" s="62" t="str">
        <f t="shared" si="6248"/>
        <v/>
      </c>
      <c r="H3124" s="62">
        <f t="shared" ref="H3124:Q3124" si="6249">IF(isblank(H$1),,IFERROR(vlookup($A3124,indirect("'TVC-"&amp;text(month(H$1),"00")&amp;"'!$A:$D"),4,false),1))</f>
        <v>1</v>
      </c>
      <c r="I3124" s="62">
        <f t="shared" si="6249"/>
        <v>1</v>
      </c>
      <c r="J3124" s="62">
        <f t="shared" si="6249"/>
        <v>1</v>
      </c>
      <c r="K3124" s="62">
        <f t="shared" si="6249"/>
        <v>1</v>
      </c>
      <c r="L3124" s="62">
        <f t="shared" si="6249"/>
        <v>1</v>
      </c>
      <c r="M3124" s="62">
        <f t="shared" si="6249"/>
        <v>1</v>
      </c>
      <c r="N3124" s="62">
        <f t="shared" si="6249"/>
        <v>1</v>
      </c>
      <c r="O3124" s="62">
        <f t="shared" si="6249"/>
        <v>1</v>
      </c>
      <c r="P3124" s="62" t="str">
        <f t="shared" si="6249"/>
        <v/>
      </c>
      <c r="Q3124" s="62" t="str">
        <f t="shared" si="6249"/>
        <v/>
      </c>
      <c r="R3124" s="62">
        <f t="shared" si="7"/>
        <v>0</v>
      </c>
      <c r="S3124" s="62"/>
      <c r="T3124" s="62"/>
      <c r="U3124" s="62"/>
      <c r="V3124" s="62"/>
      <c r="W3124" s="62"/>
      <c r="X3124" s="62"/>
      <c r="Y3124" s="62"/>
      <c r="Z3124" s="62"/>
      <c r="AA3124" s="62"/>
      <c r="AB3124" s="62"/>
      <c r="AC3124" s="62"/>
    </row>
    <row r="3125" hidden="1">
      <c r="A3125" s="60"/>
      <c r="B3125" s="60"/>
      <c r="C3125" s="60"/>
      <c r="D3125" s="60"/>
      <c r="E3125" s="62" t="str">
        <f t="shared" si="5153"/>
        <v/>
      </c>
      <c r="F3125" s="62" t="str">
        <f t="shared" ref="F3125:G3125" si="6250">IF(isblank(F$1),,IF(isblank($A3125),,IFERROR(vlookup($A3125,indirect("'TVC-"&amp;text(month(F$1),"00")&amp;"'!$A:$D"),4,false),1)))</f>
        <v/>
      </c>
      <c r="G3125" s="62" t="str">
        <f t="shared" si="6250"/>
        <v/>
      </c>
      <c r="H3125" s="62">
        <f t="shared" ref="H3125:Q3125" si="6251">IF(isblank(H$1),,IFERROR(vlookup($A3125,indirect("'TVC-"&amp;text(month(H$1),"00")&amp;"'!$A:$D"),4,false),1))</f>
        <v>1</v>
      </c>
      <c r="I3125" s="62">
        <f t="shared" si="6251"/>
        <v>1</v>
      </c>
      <c r="J3125" s="62">
        <f t="shared" si="6251"/>
        <v>1</v>
      </c>
      <c r="K3125" s="62">
        <f t="shared" si="6251"/>
        <v>1</v>
      </c>
      <c r="L3125" s="62">
        <f t="shared" si="6251"/>
        <v>1</v>
      </c>
      <c r="M3125" s="62">
        <f t="shared" si="6251"/>
        <v>1</v>
      </c>
      <c r="N3125" s="62">
        <f t="shared" si="6251"/>
        <v>1</v>
      </c>
      <c r="O3125" s="62">
        <f t="shared" si="6251"/>
        <v>1</v>
      </c>
      <c r="P3125" s="62" t="str">
        <f t="shared" si="6251"/>
        <v/>
      </c>
      <c r="Q3125" s="62" t="str">
        <f t="shared" si="6251"/>
        <v/>
      </c>
      <c r="R3125" s="62">
        <f t="shared" si="7"/>
        <v>0</v>
      </c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</row>
    <row r="3126" hidden="1">
      <c r="A3126" s="60"/>
      <c r="B3126" s="60"/>
      <c r="C3126" s="60"/>
      <c r="D3126" s="60"/>
      <c r="E3126" s="62" t="str">
        <f t="shared" si="5153"/>
        <v/>
      </c>
      <c r="F3126" s="62" t="str">
        <f t="shared" ref="F3126:G3126" si="6252">IF(isblank(F$1),,IF(isblank($A3126),,IFERROR(vlookup($A3126,indirect("'TVC-"&amp;text(month(F$1),"00")&amp;"'!$A:$D"),4,false),1)))</f>
        <v/>
      </c>
      <c r="G3126" s="62" t="str">
        <f t="shared" si="6252"/>
        <v/>
      </c>
      <c r="H3126" s="62">
        <f t="shared" ref="H3126:Q3126" si="6253">IF(isblank(H$1),,IFERROR(vlookup($A3126,indirect("'TVC-"&amp;text(month(H$1),"00")&amp;"'!$A:$D"),4,false),1))</f>
        <v>1</v>
      </c>
      <c r="I3126" s="62">
        <f t="shared" si="6253"/>
        <v>1</v>
      </c>
      <c r="J3126" s="62">
        <f t="shared" si="6253"/>
        <v>1</v>
      </c>
      <c r="K3126" s="62">
        <f t="shared" si="6253"/>
        <v>1</v>
      </c>
      <c r="L3126" s="62">
        <f t="shared" si="6253"/>
        <v>1</v>
      </c>
      <c r="M3126" s="62">
        <f t="shared" si="6253"/>
        <v>1</v>
      </c>
      <c r="N3126" s="62">
        <f t="shared" si="6253"/>
        <v>1</v>
      </c>
      <c r="O3126" s="62">
        <f t="shared" si="6253"/>
        <v>1</v>
      </c>
      <c r="P3126" s="62" t="str">
        <f t="shared" si="6253"/>
        <v/>
      </c>
      <c r="Q3126" s="62" t="str">
        <f t="shared" si="6253"/>
        <v/>
      </c>
      <c r="R3126" s="62">
        <f t="shared" si="7"/>
        <v>0</v>
      </c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</row>
    <row r="3127" hidden="1">
      <c r="A3127" s="60"/>
      <c r="B3127" s="60"/>
      <c r="C3127" s="60"/>
      <c r="D3127" s="60"/>
      <c r="E3127" s="62" t="str">
        <f t="shared" si="5153"/>
        <v/>
      </c>
      <c r="F3127" s="62" t="str">
        <f t="shared" ref="F3127:G3127" si="6254">IF(isblank(F$1),,IF(isblank($A3127),,IFERROR(vlookup($A3127,indirect("'TVC-"&amp;text(month(F$1),"00")&amp;"'!$A:$D"),4,false),1)))</f>
        <v/>
      </c>
      <c r="G3127" s="62" t="str">
        <f t="shared" si="6254"/>
        <v/>
      </c>
      <c r="H3127" s="62">
        <f t="shared" ref="H3127:Q3127" si="6255">IF(isblank(H$1),,IFERROR(vlookup($A3127,indirect("'TVC-"&amp;text(month(H$1),"00")&amp;"'!$A:$D"),4,false),1))</f>
        <v>1</v>
      </c>
      <c r="I3127" s="62">
        <f t="shared" si="6255"/>
        <v>1</v>
      </c>
      <c r="J3127" s="62">
        <f t="shared" si="6255"/>
        <v>1</v>
      </c>
      <c r="K3127" s="62">
        <f t="shared" si="6255"/>
        <v>1</v>
      </c>
      <c r="L3127" s="62">
        <f t="shared" si="6255"/>
        <v>1</v>
      </c>
      <c r="M3127" s="62">
        <f t="shared" si="6255"/>
        <v>1</v>
      </c>
      <c r="N3127" s="62">
        <f t="shared" si="6255"/>
        <v>1</v>
      </c>
      <c r="O3127" s="62">
        <f t="shared" si="6255"/>
        <v>1</v>
      </c>
      <c r="P3127" s="62" t="str">
        <f t="shared" si="6255"/>
        <v/>
      </c>
      <c r="Q3127" s="62" t="str">
        <f t="shared" si="6255"/>
        <v/>
      </c>
      <c r="R3127" s="62">
        <f t="shared" si="7"/>
        <v>0</v>
      </c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</row>
    <row r="3128" hidden="1">
      <c r="A3128" s="60"/>
      <c r="B3128" s="60"/>
      <c r="C3128" s="60"/>
      <c r="D3128" s="60"/>
      <c r="E3128" s="62" t="str">
        <f t="shared" si="5153"/>
        <v/>
      </c>
      <c r="F3128" s="62" t="str">
        <f t="shared" ref="F3128:G3128" si="6256">IF(isblank(F$1),,IF(isblank($A3128),,IFERROR(vlookup($A3128,indirect("'TVC-"&amp;text(month(F$1),"00")&amp;"'!$A:$D"),4,false),1)))</f>
        <v/>
      </c>
      <c r="G3128" s="62" t="str">
        <f t="shared" si="6256"/>
        <v/>
      </c>
      <c r="H3128" s="62">
        <f t="shared" ref="H3128:Q3128" si="6257">IF(isblank(H$1),,IFERROR(vlookup($A3128,indirect("'TVC-"&amp;text(month(H$1),"00")&amp;"'!$A:$D"),4,false),1))</f>
        <v>1</v>
      </c>
      <c r="I3128" s="62">
        <f t="shared" si="6257"/>
        <v>1</v>
      </c>
      <c r="J3128" s="62">
        <f t="shared" si="6257"/>
        <v>1</v>
      </c>
      <c r="K3128" s="62">
        <f t="shared" si="6257"/>
        <v>1</v>
      </c>
      <c r="L3128" s="62">
        <f t="shared" si="6257"/>
        <v>1</v>
      </c>
      <c r="M3128" s="62">
        <f t="shared" si="6257"/>
        <v>1</v>
      </c>
      <c r="N3128" s="62">
        <f t="shared" si="6257"/>
        <v>1</v>
      </c>
      <c r="O3128" s="62">
        <f t="shared" si="6257"/>
        <v>1</v>
      </c>
      <c r="P3128" s="62" t="str">
        <f t="shared" si="6257"/>
        <v/>
      </c>
      <c r="Q3128" s="62" t="str">
        <f t="shared" si="6257"/>
        <v/>
      </c>
      <c r="R3128" s="62">
        <f t="shared" si="7"/>
        <v>0</v>
      </c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</row>
    <row r="3129" hidden="1">
      <c r="A3129" s="60"/>
      <c r="B3129" s="60"/>
      <c r="C3129" s="60"/>
      <c r="D3129" s="60"/>
      <c r="E3129" s="62" t="str">
        <f t="shared" si="5153"/>
        <v/>
      </c>
      <c r="F3129" s="62" t="str">
        <f t="shared" ref="F3129:G3129" si="6258">IF(isblank(F$1),,IF(isblank($A3129),,IFERROR(vlookup($A3129,indirect("'TVC-"&amp;text(month(F$1),"00")&amp;"'!$A:$D"),4,false),1)))</f>
        <v/>
      </c>
      <c r="G3129" s="62" t="str">
        <f t="shared" si="6258"/>
        <v/>
      </c>
      <c r="H3129" s="62">
        <f t="shared" ref="H3129:Q3129" si="6259">IF(isblank(H$1),,IFERROR(vlookup($A3129,indirect("'TVC-"&amp;text(month(H$1),"00")&amp;"'!$A:$D"),4,false),1))</f>
        <v>1</v>
      </c>
      <c r="I3129" s="62">
        <f t="shared" si="6259"/>
        <v>1</v>
      </c>
      <c r="J3129" s="62">
        <f t="shared" si="6259"/>
        <v>1</v>
      </c>
      <c r="K3129" s="62">
        <f t="shared" si="6259"/>
        <v>1</v>
      </c>
      <c r="L3129" s="62">
        <f t="shared" si="6259"/>
        <v>1</v>
      </c>
      <c r="M3129" s="62">
        <f t="shared" si="6259"/>
        <v>1</v>
      </c>
      <c r="N3129" s="62">
        <f t="shared" si="6259"/>
        <v>1</v>
      </c>
      <c r="O3129" s="62">
        <f t="shared" si="6259"/>
        <v>1</v>
      </c>
      <c r="P3129" s="62" t="str">
        <f t="shared" si="6259"/>
        <v/>
      </c>
      <c r="Q3129" s="62" t="str">
        <f t="shared" si="6259"/>
        <v/>
      </c>
      <c r="R3129" s="62">
        <f t="shared" si="7"/>
        <v>0</v>
      </c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</row>
    <row r="3130" hidden="1">
      <c r="A3130" s="60"/>
      <c r="B3130" s="60"/>
      <c r="C3130" s="60"/>
      <c r="D3130" s="60"/>
      <c r="E3130" s="62" t="str">
        <f t="shared" si="5153"/>
        <v/>
      </c>
      <c r="F3130" s="62" t="str">
        <f t="shared" ref="F3130:G3130" si="6260">IF(isblank(F$1),,IF(isblank($A3130),,IFERROR(vlookup($A3130,indirect("'TVC-"&amp;text(month(F$1),"00")&amp;"'!$A:$D"),4,false),1)))</f>
        <v/>
      </c>
      <c r="G3130" s="62" t="str">
        <f t="shared" si="6260"/>
        <v/>
      </c>
      <c r="H3130" s="62">
        <f t="shared" ref="H3130:Q3130" si="6261">IF(isblank(H$1),,IFERROR(vlookup($A3130,indirect("'TVC-"&amp;text(month(H$1),"00")&amp;"'!$A:$D"),4,false),1))</f>
        <v>1</v>
      </c>
      <c r="I3130" s="62">
        <f t="shared" si="6261"/>
        <v>1</v>
      </c>
      <c r="J3130" s="62">
        <f t="shared" si="6261"/>
        <v>1</v>
      </c>
      <c r="K3130" s="62">
        <f t="shared" si="6261"/>
        <v>1</v>
      </c>
      <c r="L3130" s="62">
        <f t="shared" si="6261"/>
        <v>1</v>
      </c>
      <c r="M3130" s="62">
        <f t="shared" si="6261"/>
        <v>1</v>
      </c>
      <c r="N3130" s="62">
        <f t="shared" si="6261"/>
        <v>1</v>
      </c>
      <c r="O3130" s="62">
        <f t="shared" si="6261"/>
        <v>1</v>
      </c>
      <c r="P3130" s="62" t="str">
        <f t="shared" si="6261"/>
        <v/>
      </c>
      <c r="Q3130" s="62" t="str">
        <f t="shared" si="6261"/>
        <v/>
      </c>
      <c r="R3130" s="62">
        <f t="shared" si="7"/>
        <v>0</v>
      </c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</row>
    <row r="3131" hidden="1">
      <c r="A3131" s="60"/>
      <c r="B3131" s="60"/>
      <c r="C3131" s="60"/>
      <c r="D3131" s="60"/>
      <c r="E3131" s="62" t="str">
        <f t="shared" si="5153"/>
        <v/>
      </c>
      <c r="F3131" s="62" t="str">
        <f t="shared" ref="F3131:G3131" si="6262">IF(isblank(F$1),,IF(isblank($A3131),,IFERROR(vlookup($A3131,indirect("'TVC-"&amp;text(month(F$1),"00")&amp;"'!$A:$D"),4,false),1)))</f>
        <v/>
      </c>
      <c r="G3131" s="62" t="str">
        <f t="shared" si="6262"/>
        <v/>
      </c>
      <c r="H3131" s="62">
        <f t="shared" ref="H3131:Q3131" si="6263">IF(isblank(H$1),,IFERROR(vlookup($A3131,indirect("'TVC-"&amp;text(month(H$1),"00")&amp;"'!$A:$D"),4,false),1))</f>
        <v>1</v>
      </c>
      <c r="I3131" s="62">
        <f t="shared" si="6263"/>
        <v>1</v>
      </c>
      <c r="J3131" s="62">
        <f t="shared" si="6263"/>
        <v>1</v>
      </c>
      <c r="K3131" s="62">
        <f t="shared" si="6263"/>
        <v>1</v>
      </c>
      <c r="L3131" s="62">
        <f t="shared" si="6263"/>
        <v>1</v>
      </c>
      <c r="M3131" s="62">
        <f t="shared" si="6263"/>
        <v>1</v>
      </c>
      <c r="N3131" s="62">
        <f t="shared" si="6263"/>
        <v>1</v>
      </c>
      <c r="O3131" s="62">
        <f t="shared" si="6263"/>
        <v>1</v>
      </c>
      <c r="P3131" s="62" t="str">
        <f t="shared" si="6263"/>
        <v/>
      </c>
      <c r="Q3131" s="62" t="str">
        <f t="shared" si="6263"/>
        <v/>
      </c>
      <c r="R3131" s="62">
        <f t="shared" si="7"/>
        <v>0</v>
      </c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</row>
    <row r="3132" hidden="1">
      <c r="A3132" s="60"/>
      <c r="B3132" s="60"/>
      <c r="C3132" s="60"/>
      <c r="D3132" s="60"/>
      <c r="E3132" s="62" t="str">
        <f t="shared" si="5153"/>
        <v/>
      </c>
      <c r="F3132" s="62" t="str">
        <f t="shared" ref="F3132:G3132" si="6264">IF(isblank(F$1),,IF(isblank($A3132),,IFERROR(vlookup($A3132,indirect("'TVC-"&amp;text(month(F$1),"00")&amp;"'!$A:$D"),4,false),1)))</f>
        <v/>
      </c>
      <c r="G3132" s="62" t="str">
        <f t="shared" si="6264"/>
        <v/>
      </c>
      <c r="H3132" s="62">
        <f t="shared" ref="H3132:Q3132" si="6265">IF(isblank(H$1),,IFERROR(vlookup($A3132,indirect("'TVC-"&amp;text(month(H$1),"00")&amp;"'!$A:$D"),4,false),1))</f>
        <v>1</v>
      </c>
      <c r="I3132" s="62">
        <f t="shared" si="6265"/>
        <v>1</v>
      </c>
      <c r="J3132" s="62">
        <f t="shared" si="6265"/>
        <v>1</v>
      </c>
      <c r="K3132" s="62">
        <f t="shared" si="6265"/>
        <v>1</v>
      </c>
      <c r="L3132" s="62">
        <f t="shared" si="6265"/>
        <v>1</v>
      </c>
      <c r="M3132" s="62">
        <f t="shared" si="6265"/>
        <v>1</v>
      </c>
      <c r="N3132" s="62">
        <f t="shared" si="6265"/>
        <v>1</v>
      </c>
      <c r="O3132" s="62">
        <f t="shared" si="6265"/>
        <v>1</v>
      </c>
      <c r="P3132" s="62" t="str">
        <f t="shared" si="6265"/>
        <v/>
      </c>
      <c r="Q3132" s="62" t="str">
        <f t="shared" si="6265"/>
        <v/>
      </c>
      <c r="R3132" s="62">
        <f t="shared" si="7"/>
        <v>0</v>
      </c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</row>
    <row r="3133" hidden="1">
      <c r="A3133" s="60"/>
      <c r="B3133" s="60"/>
      <c r="C3133" s="60"/>
      <c r="D3133" s="60"/>
      <c r="E3133" s="62" t="str">
        <f t="shared" si="5153"/>
        <v/>
      </c>
      <c r="F3133" s="62" t="str">
        <f t="shared" ref="F3133:G3133" si="6266">IF(isblank(F$1),,IF(isblank($A3133),,IFERROR(vlookup($A3133,indirect("'TVC-"&amp;text(month(F$1),"00")&amp;"'!$A:$D"),4,false),1)))</f>
        <v/>
      </c>
      <c r="G3133" s="62" t="str">
        <f t="shared" si="6266"/>
        <v/>
      </c>
      <c r="H3133" s="62">
        <f t="shared" ref="H3133:Q3133" si="6267">IF(isblank(H$1),,IFERROR(vlookup($A3133,indirect("'TVC-"&amp;text(month(H$1),"00")&amp;"'!$A:$D"),4,false),1))</f>
        <v>1</v>
      </c>
      <c r="I3133" s="62">
        <f t="shared" si="6267"/>
        <v>1</v>
      </c>
      <c r="J3133" s="62">
        <f t="shared" si="6267"/>
        <v>1</v>
      </c>
      <c r="K3133" s="62">
        <f t="shared" si="6267"/>
        <v>1</v>
      </c>
      <c r="L3133" s="62">
        <f t="shared" si="6267"/>
        <v>1</v>
      </c>
      <c r="M3133" s="62">
        <f t="shared" si="6267"/>
        <v>1</v>
      </c>
      <c r="N3133" s="62">
        <f t="shared" si="6267"/>
        <v>1</v>
      </c>
      <c r="O3133" s="62">
        <f t="shared" si="6267"/>
        <v>1</v>
      </c>
      <c r="P3133" s="62" t="str">
        <f t="shared" si="6267"/>
        <v/>
      </c>
      <c r="Q3133" s="62" t="str">
        <f t="shared" si="6267"/>
        <v/>
      </c>
      <c r="R3133" s="62">
        <f t="shared" si="7"/>
        <v>0</v>
      </c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</row>
    <row r="3134" hidden="1">
      <c r="A3134" s="60"/>
      <c r="B3134" s="60"/>
      <c r="C3134" s="60"/>
      <c r="D3134" s="60"/>
      <c r="E3134" s="62" t="str">
        <f t="shared" si="5153"/>
        <v/>
      </c>
      <c r="F3134" s="62" t="str">
        <f t="shared" ref="F3134:G3134" si="6268">IF(isblank(F$1),,IF(isblank($A3134),,IFERROR(vlookup($A3134,indirect("'TVC-"&amp;text(month(F$1),"00")&amp;"'!$A:$D"),4,false),1)))</f>
        <v/>
      </c>
      <c r="G3134" s="62" t="str">
        <f t="shared" si="6268"/>
        <v/>
      </c>
      <c r="H3134" s="62">
        <f t="shared" ref="H3134:Q3134" si="6269">IF(isblank(H$1),,IFERROR(vlookup($A3134,indirect("'TVC-"&amp;text(month(H$1),"00")&amp;"'!$A:$D"),4,false),1))</f>
        <v>1</v>
      </c>
      <c r="I3134" s="62">
        <f t="shared" si="6269"/>
        <v>1</v>
      </c>
      <c r="J3134" s="62">
        <f t="shared" si="6269"/>
        <v>1</v>
      </c>
      <c r="K3134" s="62">
        <f t="shared" si="6269"/>
        <v>1</v>
      </c>
      <c r="L3134" s="62">
        <f t="shared" si="6269"/>
        <v>1</v>
      </c>
      <c r="M3134" s="62">
        <f t="shared" si="6269"/>
        <v>1</v>
      </c>
      <c r="N3134" s="62">
        <f t="shared" si="6269"/>
        <v>1</v>
      </c>
      <c r="O3134" s="62">
        <f t="shared" si="6269"/>
        <v>1</v>
      </c>
      <c r="P3134" s="62" t="str">
        <f t="shared" si="6269"/>
        <v/>
      </c>
      <c r="Q3134" s="62" t="str">
        <f t="shared" si="6269"/>
        <v/>
      </c>
      <c r="R3134" s="62">
        <f t="shared" si="7"/>
        <v>0</v>
      </c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</row>
    <row r="3135" hidden="1">
      <c r="A3135" s="60"/>
      <c r="B3135" s="60"/>
      <c r="C3135" s="60"/>
      <c r="D3135" s="60"/>
      <c r="E3135" s="62" t="str">
        <f t="shared" si="5153"/>
        <v/>
      </c>
      <c r="F3135" s="62" t="str">
        <f t="shared" ref="F3135:G3135" si="6270">IF(isblank(F$1),,IF(isblank($A3135),,IFERROR(vlookup($A3135,indirect("'TVC-"&amp;text(month(F$1),"00")&amp;"'!$A:$D"),4,false),1)))</f>
        <v/>
      </c>
      <c r="G3135" s="62" t="str">
        <f t="shared" si="6270"/>
        <v/>
      </c>
      <c r="H3135" s="62">
        <f t="shared" ref="H3135:Q3135" si="6271">IF(isblank(H$1),,IFERROR(vlookup($A3135,indirect("'TVC-"&amp;text(month(H$1),"00")&amp;"'!$A:$D"),4,false),1))</f>
        <v>1</v>
      </c>
      <c r="I3135" s="62">
        <f t="shared" si="6271"/>
        <v>1</v>
      </c>
      <c r="J3135" s="62">
        <f t="shared" si="6271"/>
        <v>1</v>
      </c>
      <c r="K3135" s="62">
        <f t="shared" si="6271"/>
        <v>1</v>
      </c>
      <c r="L3135" s="62">
        <f t="shared" si="6271"/>
        <v>1</v>
      </c>
      <c r="M3135" s="62">
        <f t="shared" si="6271"/>
        <v>1</v>
      </c>
      <c r="N3135" s="62">
        <f t="shared" si="6271"/>
        <v>1</v>
      </c>
      <c r="O3135" s="62">
        <f t="shared" si="6271"/>
        <v>1</v>
      </c>
      <c r="P3135" s="62" t="str">
        <f t="shared" si="6271"/>
        <v/>
      </c>
      <c r="Q3135" s="62" t="str">
        <f t="shared" si="6271"/>
        <v/>
      </c>
      <c r="R3135" s="62">
        <f t="shared" si="7"/>
        <v>0</v>
      </c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</row>
    <row r="3136" hidden="1">
      <c r="A3136" s="60"/>
      <c r="B3136" s="60"/>
      <c r="C3136" s="60"/>
      <c r="D3136" s="60"/>
      <c r="E3136" s="62" t="str">
        <f t="shared" si="5153"/>
        <v/>
      </c>
      <c r="F3136" s="62" t="str">
        <f t="shared" ref="F3136:G3136" si="6272">IF(isblank(F$1),,IF(isblank($A3136),,IFERROR(vlookup($A3136,indirect("'TVC-"&amp;text(month(F$1),"00")&amp;"'!$A:$D"),4,false),1)))</f>
        <v/>
      </c>
      <c r="G3136" s="62" t="str">
        <f t="shared" si="6272"/>
        <v/>
      </c>
      <c r="H3136" s="62">
        <f t="shared" ref="H3136:Q3136" si="6273">IF(isblank(H$1),,IFERROR(vlookup($A3136,indirect("'TVC-"&amp;text(month(H$1),"00")&amp;"'!$A:$D"),4,false),1))</f>
        <v>1</v>
      </c>
      <c r="I3136" s="62">
        <f t="shared" si="6273"/>
        <v>1</v>
      </c>
      <c r="J3136" s="62">
        <f t="shared" si="6273"/>
        <v>1</v>
      </c>
      <c r="K3136" s="62">
        <f t="shared" si="6273"/>
        <v>1</v>
      </c>
      <c r="L3136" s="62">
        <f t="shared" si="6273"/>
        <v>1</v>
      </c>
      <c r="M3136" s="62">
        <f t="shared" si="6273"/>
        <v>1</v>
      </c>
      <c r="N3136" s="62">
        <f t="shared" si="6273"/>
        <v>1</v>
      </c>
      <c r="O3136" s="62">
        <f t="shared" si="6273"/>
        <v>1</v>
      </c>
      <c r="P3136" s="62" t="str">
        <f t="shared" si="6273"/>
        <v/>
      </c>
      <c r="Q3136" s="62" t="str">
        <f t="shared" si="6273"/>
        <v/>
      </c>
      <c r="R3136" s="62">
        <f t="shared" si="7"/>
        <v>0</v>
      </c>
      <c r="S3136" s="62"/>
      <c r="T3136" s="62"/>
      <c r="U3136" s="62"/>
      <c r="V3136" s="62"/>
      <c r="W3136" s="62"/>
      <c r="X3136" s="62"/>
      <c r="Y3136" s="62"/>
      <c r="Z3136" s="62"/>
      <c r="AA3136" s="62"/>
      <c r="AB3136" s="62"/>
      <c r="AC3136" s="62"/>
    </row>
    <row r="3137" hidden="1">
      <c r="A3137" s="60"/>
      <c r="B3137" s="60"/>
      <c r="C3137" s="60"/>
      <c r="D3137" s="60"/>
      <c r="E3137" s="62" t="str">
        <f t="shared" si="5153"/>
        <v/>
      </c>
      <c r="F3137" s="62" t="str">
        <f t="shared" ref="F3137:G3137" si="6274">IF(isblank(F$1),,IF(isblank($A3137),,IFERROR(vlookup($A3137,indirect("'TVC-"&amp;text(month(F$1),"00")&amp;"'!$A:$D"),4,false),1)))</f>
        <v/>
      </c>
      <c r="G3137" s="62" t="str">
        <f t="shared" si="6274"/>
        <v/>
      </c>
      <c r="H3137" s="62">
        <f t="shared" ref="H3137:Q3137" si="6275">IF(isblank(H$1),,IFERROR(vlookup($A3137,indirect("'TVC-"&amp;text(month(H$1),"00")&amp;"'!$A:$D"),4,false),1))</f>
        <v>1</v>
      </c>
      <c r="I3137" s="62">
        <f t="shared" si="6275"/>
        <v>1</v>
      </c>
      <c r="J3137" s="62">
        <f t="shared" si="6275"/>
        <v>1</v>
      </c>
      <c r="K3137" s="62">
        <f t="shared" si="6275"/>
        <v>1</v>
      </c>
      <c r="L3137" s="62">
        <f t="shared" si="6275"/>
        <v>1</v>
      </c>
      <c r="M3137" s="62">
        <f t="shared" si="6275"/>
        <v>1</v>
      </c>
      <c r="N3137" s="62">
        <f t="shared" si="6275"/>
        <v>1</v>
      </c>
      <c r="O3137" s="62">
        <f t="shared" si="6275"/>
        <v>1</v>
      </c>
      <c r="P3137" s="62" t="str">
        <f t="shared" si="6275"/>
        <v/>
      </c>
      <c r="Q3137" s="62" t="str">
        <f t="shared" si="6275"/>
        <v/>
      </c>
      <c r="R3137" s="62">
        <f t="shared" si="7"/>
        <v>0</v>
      </c>
      <c r="S3137" s="62"/>
      <c r="T3137" s="62"/>
      <c r="U3137" s="62"/>
      <c r="V3137" s="62"/>
      <c r="W3137" s="62"/>
      <c r="X3137" s="62"/>
      <c r="Y3137" s="62"/>
      <c r="Z3137" s="62"/>
      <c r="AA3137" s="62"/>
      <c r="AB3137" s="62"/>
      <c r="AC3137" s="62"/>
    </row>
    <row r="3138" hidden="1">
      <c r="A3138" s="60"/>
      <c r="B3138" s="60"/>
      <c r="C3138" s="60"/>
      <c r="D3138" s="60"/>
      <c r="E3138" s="62" t="str">
        <f t="shared" si="5153"/>
        <v/>
      </c>
      <c r="F3138" s="62" t="str">
        <f t="shared" ref="F3138:G3138" si="6276">IF(isblank(F$1),,IF(isblank($A3138),,IFERROR(vlookup($A3138,indirect("'TVC-"&amp;text(month(F$1),"00")&amp;"'!$A:$D"),4,false),1)))</f>
        <v/>
      </c>
      <c r="G3138" s="62" t="str">
        <f t="shared" si="6276"/>
        <v/>
      </c>
      <c r="H3138" s="62">
        <f t="shared" ref="H3138:Q3138" si="6277">IF(isblank(H$1),,IFERROR(vlookup($A3138,indirect("'TVC-"&amp;text(month(H$1),"00")&amp;"'!$A:$D"),4,false),1))</f>
        <v>1</v>
      </c>
      <c r="I3138" s="62">
        <f t="shared" si="6277"/>
        <v>1</v>
      </c>
      <c r="J3138" s="62">
        <f t="shared" si="6277"/>
        <v>1</v>
      </c>
      <c r="K3138" s="62">
        <f t="shared" si="6277"/>
        <v>1</v>
      </c>
      <c r="L3138" s="62">
        <f t="shared" si="6277"/>
        <v>1</v>
      </c>
      <c r="M3138" s="62">
        <f t="shared" si="6277"/>
        <v>1</v>
      </c>
      <c r="N3138" s="62">
        <f t="shared" si="6277"/>
        <v>1</v>
      </c>
      <c r="O3138" s="62">
        <f t="shared" si="6277"/>
        <v>1</v>
      </c>
      <c r="P3138" s="62" t="str">
        <f t="shared" si="6277"/>
        <v/>
      </c>
      <c r="Q3138" s="62" t="str">
        <f t="shared" si="6277"/>
        <v/>
      </c>
      <c r="R3138" s="62">
        <f t="shared" si="7"/>
        <v>0</v>
      </c>
      <c r="S3138" s="62"/>
      <c r="T3138" s="62"/>
      <c r="U3138" s="62"/>
      <c r="V3138" s="62"/>
      <c r="W3138" s="62"/>
      <c r="X3138" s="62"/>
      <c r="Y3138" s="62"/>
      <c r="Z3138" s="62"/>
      <c r="AA3138" s="62"/>
      <c r="AB3138" s="62"/>
      <c r="AC3138" s="62"/>
    </row>
    <row r="3139" hidden="1">
      <c r="A3139" s="60"/>
      <c r="B3139" s="60"/>
      <c r="C3139" s="60"/>
      <c r="D3139" s="60"/>
      <c r="E3139" s="62" t="str">
        <f t="shared" si="5153"/>
        <v/>
      </c>
      <c r="F3139" s="62" t="str">
        <f t="shared" ref="F3139:G3139" si="6278">IF(isblank(F$1),,IF(isblank($A3139),,IFERROR(vlookup($A3139,indirect("'TVC-"&amp;text(month(F$1),"00")&amp;"'!$A:$D"),4,false),1)))</f>
        <v/>
      </c>
      <c r="G3139" s="62" t="str">
        <f t="shared" si="6278"/>
        <v/>
      </c>
      <c r="H3139" s="62">
        <f t="shared" ref="H3139:Q3139" si="6279">IF(isblank(H$1),,IFERROR(vlookup($A3139,indirect("'TVC-"&amp;text(month(H$1),"00")&amp;"'!$A:$D"),4,false),1))</f>
        <v>1</v>
      </c>
      <c r="I3139" s="62">
        <f t="shared" si="6279"/>
        <v>1</v>
      </c>
      <c r="J3139" s="62">
        <f t="shared" si="6279"/>
        <v>1</v>
      </c>
      <c r="K3139" s="62">
        <f t="shared" si="6279"/>
        <v>1</v>
      </c>
      <c r="L3139" s="62">
        <f t="shared" si="6279"/>
        <v>1</v>
      </c>
      <c r="M3139" s="62">
        <f t="shared" si="6279"/>
        <v>1</v>
      </c>
      <c r="N3139" s="62">
        <f t="shared" si="6279"/>
        <v>1</v>
      </c>
      <c r="O3139" s="62">
        <f t="shared" si="6279"/>
        <v>1</v>
      </c>
      <c r="P3139" s="62" t="str">
        <f t="shared" si="6279"/>
        <v/>
      </c>
      <c r="Q3139" s="62" t="str">
        <f t="shared" si="6279"/>
        <v/>
      </c>
      <c r="R3139" s="62">
        <f t="shared" si="7"/>
        <v>0</v>
      </c>
      <c r="S3139" s="62"/>
      <c r="T3139" s="62"/>
      <c r="U3139" s="62"/>
      <c r="V3139" s="62"/>
      <c r="W3139" s="62"/>
      <c r="X3139" s="62"/>
      <c r="Y3139" s="62"/>
      <c r="Z3139" s="62"/>
      <c r="AA3139" s="62"/>
      <c r="AB3139" s="62"/>
      <c r="AC3139" s="62"/>
    </row>
    <row r="3140" hidden="1">
      <c r="A3140" s="60"/>
      <c r="B3140" s="60"/>
      <c r="C3140" s="60"/>
      <c r="D3140" s="60"/>
      <c r="E3140" s="62" t="str">
        <f t="shared" si="5153"/>
        <v/>
      </c>
      <c r="F3140" s="62" t="str">
        <f t="shared" ref="F3140:G3140" si="6280">IF(isblank(F$1),,IF(isblank($A3140),,IFERROR(vlookup($A3140,indirect("'TVC-"&amp;text(month(F$1),"00")&amp;"'!$A:$D"),4,false),1)))</f>
        <v/>
      </c>
      <c r="G3140" s="62" t="str">
        <f t="shared" si="6280"/>
        <v/>
      </c>
      <c r="H3140" s="62">
        <f t="shared" ref="H3140:Q3140" si="6281">IF(isblank(H$1),,IFERROR(vlookup($A3140,indirect("'TVC-"&amp;text(month(H$1),"00")&amp;"'!$A:$D"),4,false),1))</f>
        <v>1</v>
      </c>
      <c r="I3140" s="62">
        <f t="shared" si="6281"/>
        <v>1</v>
      </c>
      <c r="J3140" s="62">
        <f t="shared" si="6281"/>
        <v>1</v>
      </c>
      <c r="K3140" s="62">
        <f t="shared" si="6281"/>
        <v>1</v>
      </c>
      <c r="L3140" s="62">
        <f t="shared" si="6281"/>
        <v>1</v>
      </c>
      <c r="M3140" s="62">
        <f t="shared" si="6281"/>
        <v>1</v>
      </c>
      <c r="N3140" s="62">
        <f t="shared" si="6281"/>
        <v>1</v>
      </c>
      <c r="O3140" s="62">
        <f t="shared" si="6281"/>
        <v>1</v>
      </c>
      <c r="P3140" s="62" t="str">
        <f t="shared" si="6281"/>
        <v/>
      </c>
      <c r="Q3140" s="62" t="str">
        <f t="shared" si="6281"/>
        <v/>
      </c>
      <c r="R3140" s="62">
        <f t="shared" si="7"/>
        <v>0</v>
      </c>
      <c r="S3140" s="62"/>
      <c r="T3140" s="62"/>
      <c r="U3140" s="62"/>
      <c r="V3140" s="62"/>
      <c r="W3140" s="62"/>
      <c r="X3140" s="62"/>
      <c r="Y3140" s="62"/>
      <c r="Z3140" s="62"/>
      <c r="AA3140" s="62"/>
      <c r="AB3140" s="62"/>
      <c r="AC3140" s="62"/>
    </row>
    <row r="3141" hidden="1">
      <c r="A3141" s="60"/>
      <c r="B3141" s="60"/>
      <c r="C3141" s="60"/>
      <c r="D3141" s="60"/>
      <c r="E3141" s="62" t="str">
        <f t="shared" si="5153"/>
        <v/>
      </c>
      <c r="F3141" s="62" t="str">
        <f t="shared" ref="F3141:G3141" si="6282">IF(isblank(F$1),,IF(isblank($A3141),,IFERROR(vlookup($A3141,indirect("'TVC-"&amp;text(month(F$1),"00")&amp;"'!$A:$D"),4,false),1)))</f>
        <v/>
      </c>
      <c r="G3141" s="62" t="str">
        <f t="shared" si="6282"/>
        <v/>
      </c>
      <c r="H3141" s="62">
        <f t="shared" ref="H3141:Q3141" si="6283">IF(isblank(H$1),,IFERROR(vlookup($A3141,indirect("'TVC-"&amp;text(month(H$1),"00")&amp;"'!$A:$D"),4,false),1))</f>
        <v>1</v>
      </c>
      <c r="I3141" s="62">
        <f t="shared" si="6283"/>
        <v>1</v>
      </c>
      <c r="J3141" s="62">
        <f t="shared" si="6283"/>
        <v>1</v>
      </c>
      <c r="K3141" s="62">
        <f t="shared" si="6283"/>
        <v>1</v>
      </c>
      <c r="L3141" s="62">
        <f t="shared" si="6283"/>
        <v>1</v>
      </c>
      <c r="M3141" s="62">
        <f t="shared" si="6283"/>
        <v>1</v>
      </c>
      <c r="N3141" s="62">
        <f t="shared" si="6283"/>
        <v>1</v>
      </c>
      <c r="O3141" s="62">
        <f t="shared" si="6283"/>
        <v>1</v>
      </c>
      <c r="P3141" s="62" t="str">
        <f t="shared" si="6283"/>
        <v/>
      </c>
      <c r="Q3141" s="62" t="str">
        <f t="shared" si="6283"/>
        <v/>
      </c>
      <c r="R3141" s="62">
        <f t="shared" si="7"/>
        <v>0</v>
      </c>
      <c r="S3141" s="62"/>
      <c r="T3141" s="62"/>
      <c r="U3141" s="62"/>
      <c r="V3141" s="62"/>
      <c r="W3141" s="62"/>
      <c r="X3141" s="62"/>
      <c r="Y3141" s="62"/>
      <c r="Z3141" s="62"/>
      <c r="AA3141" s="62"/>
      <c r="AB3141" s="62"/>
      <c r="AC3141" s="62"/>
    </row>
    <row r="3142" hidden="1">
      <c r="A3142" s="60"/>
      <c r="B3142" s="60"/>
      <c r="C3142" s="60"/>
      <c r="D3142" s="60"/>
      <c r="E3142" s="62" t="str">
        <f t="shared" si="5153"/>
        <v/>
      </c>
      <c r="F3142" s="62" t="str">
        <f t="shared" ref="F3142:G3142" si="6284">IF(isblank(F$1),,IF(isblank($A3142),,IFERROR(vlookup($A3142,indirect("'TVC-"&amp;text(month(F$1),"00")&amp;"'!$A:$D"),4,false),1)))</f>
        <v/>
      </c>
      <c r="G3142" s="62" t="str">
        <f t="shared" si="6284"/>
        <v/>
      </c>
      <c r="H3142" s="62">
        <f t="shared" ref="H3142:Q3142" si="6285">IF(isblank(H$1),,IFERROR(vlookup($A3142,indirect("'TVC-"&amp;text(month(H$1),"00")&amp;"'!$A:$D"),4,false),1))</f>
        <v>1</v>
      </c>
      <c r="I3142" s="62">
        <f t="shared" si="6285"/>
        <v>1</v>
      </c>
      <c r="J3142" s="62">
        <f t="shared" si="6285"/>
        <v>1</v>
      </c>
      <c r="K3142" s="62">
        <f t="shared" si="6285"/>
        <v>1</v>
      </c>
      <c r="L3142" s="62">
        <f t="shared" si="6285"/>
        <v>1</v>
      </c>
      <c r="M3142" s="62">
        <f t="shared" si="6285"/>
        <v>1</v>
      </c>
      <c r="N3142" s="62">
        <f t="shared" si="6285"/>
        <v>1</v>
      </c>
      <c r="O3142" s="62">
        <f t="shared" si="6285"/>
        <v>1</v>
      </c>
      <c r="P3142" s="62" t="str">
        <f t="shared" si="6285"/>
        <v/>
      </c>
      <c r="Q3142" s="62" t="str">
        <f t="shared" si="6285"/>
        <v/>
      </c>
      <c r="R3142" s="62">
        <f t="shared" si="7"/>
        <v>0</v>
      </c>
      <c r="S3142" s="62"/>
      <c r="T3142" s="62"/>
      <c r="U3142" s="62"/>
      <c r="V3142" s="62"/>
      <c r="W3142" s="62"/>
      <c r="X3142" s="62"/>
      <c r="Y3142" s="62"/>
      <c r="Z3142" s="62"/>
      <c r="AA3142" s="62"/>
      <c r="AB3142" s="62"/>
      <c r="AC3142" s="62"/>
    </row>
    <row r="3143" hidden="1">
      <c r="A3143" s="60"/>
      <c r="B3143" s="60"/>
      <c r="C3143" s="60"/>
      <c r="D3143" s="60"/>
      <c r="E3143" s="62" t="str">
        <f t="shared" si="5153"/>
        <v/>
      </c>
      <c r="F3143" s="62" t="str">
        <f t="shared" ref="F3143:G3143" si="6286">IF(isblank(F$1),,IF(isblank($A3143),,IFERROR(vlookup($A3143,indirect("'TVC-"&amp;text(month(F$1),"00")&amp;"'!$A:$D"),4,false),1)))</f>
        <v/>
      </c>
      <c r="G3143" s="62" t="str">
        <f t="shared" si="6286"/>
        <v/>
      </c>
      <c r="H3143" s="62">
        <f t="shared" ref="H3143:Q3143" si="6287">IF(isblank(H$1),,IFERROR(vlookup($A3143,indirect("'TVC-"&amp;text(month(H$1),"00")&amp;"'!$A:$D"),4,false),1))</f>
        <v>1</v>
      </c>
      <c r="I3143" s="62">
        <f t="shared" si="6287"/>
        <v>1</v>
      </c>
      <c r="J3143" s="62">
        <f t="shared" si="6287"/>
        <v>1</v>
      </c>
      <c r="K3143" s="62">
        <f t="shared" si="6287"/>
        <v>1</v>
      </c>
      <c r="L3143" s="62">
        <f t="shared" si="6287"/>
        <v>1</v>
      </c>
      <c r="M3143" s="62">
        <f t="shared" si="6287"/>
        <v>1</v>
      </c>
      <c r="N3143" s="62">
        <f t="shared" si="6287"/>
        <v>1</v>
      </c>
      <c r="O3143" s="62">
        <f t="shared" si="6287"/>
        <v>1</v>
      </c>
      <c r="P3143" s="62" t="str">
        <f t="shared" si="6287"/>
        <v/>
      </c>
      <c r="Q3143" s="62" t="str">
        <f t="shared" si="6287"/>
        <v/>
      </c>
      <c r="R3143" s="62">
        <f t="shared" si="7"/>
        <v>0</v>
      </c>
      <c r="S3143" s="62"/>
      <c r="T3143" s="62"/>
      <c r="U3143" s="62"/>
      <c r="V3143" s="62"/>
      <c r="W3143" s="62"/>
      <c r="X3143" s="62"/>
      <c r="Y3143" s="62"/>
      <c r="Z3143" s="62"/>
      <c r="AA3143" s="62"/>
      <c r="AB3143" s="62"/>
      <c r="AC3143" s="62"/>
    </row>
    <row r="3144" hidden="1">
      <c r="A3144" s="60"/>
      <c r="B3144" s="60"/>
      <c r="C3144" s="60"/>
      <c r="D3144" s="60"/>
      <c r="E3144" s="62" t="str">
        <f t="shared" si="5153"/>
        <v/>
      </c>
      <c r="F3144" s="62" t="str">
        <f t="shared" ref="F3144:G3144" si="6288">IF(isblank(F$1),,IF(isblank($A3144),,IFERROR(vlookup($A3144,indirect("'TVC-"&amp;text(month(F$1),"00")&amp;"'!$A:$D"),4,false),1)))</f>
        <v/>
      </c>
      <c r="G3144" s="62" t="str">
        <f t="shared" si="6288"/>
        <v/>
      </c>
      <c r="H3144" s="62">
        <f t="shared" ref="H3144:Q3144" si="6289">IF(isblank(H$1),,IFERROR(vlookup($A3144,indirect("'TVC-"&amp;text(month(H$1),"00")&amp;"'!$A:$D"),4,false),1))</f>
        <v>1</v>
      </c>
      <c r="I3144" s="62">
        <f t="shared" si="6289"/>
        <v>1</v>
      </c>
      <c r="J3144" s="62">
        <f t="shared" si="6289"/>
        <v>1</v>
      </c>
      <c r="K3144" s="62">
        <f t="shared" si="6289"/>
        <v>1</v>
      </c>
      <c r="L3144" s="62">
        <f t="shared" si="6289"/>
        <v>1</v>
      </c>
      <c r="M3144" s="62">
        <f t="shared" si="6289"/>
        <v>1</v>
      </c>
      <c r="N3144" s="62">
        <f t="shared" si="6289"/>
        <v>1</v>
      </c>
      <c r="O3144" s="62">
        <f t="shared" si="6289"/>
        <v>1</v>
      </c>
      <c r="P3144" s="62" t="str">
        <f t="shared" si="6289"/>
        <v/>
      </c>
      <c r="Q3144" s="62" t="str">
        <f t="shared" si="6289"/>
        <v/>
      </c>
      <c r="R3144" s="62">
        <f t="shared" si="7"/>
        <v>0</v>
      </c>
      <c r="S3144" s="62"/>
      <c r="T3144" s="62"/>
      <c r="U3144" s="62"/>
      <c r="V3144" s="62"/>
      <c r="W3144" s="62"/>
      <c r="X3144" s="62"/>
      <c r="Y3144" s="62"/>
      <c r="Z3144" s="62"/>
      <c r="AA3144" s="62"/>
      <c r="AB3144" s="62"/>
      <c r="AC3144" s="62"/>
    </row>
    <row r="3145" hidden="1">
      <c r="A3145" s="60"/>
      <c r="B3145" s="60"/>
      <c r="C3145" s="60"/>
      <c r="D3145" s="60"/>
      <c r="E3145" s="62" t="str">
        <f t="shared" si="5153"/>
        <v/>
      </c>
      <c r="F3145" s="62" t="str">
        <f t="shared" ref="F3145:G3145" si="6290">IF(isblank(F$1),,IF(isblank($A3145),,IFERROR(vlookup($A3145,indirect("'TVC-"&amp;text(month(F$1),"00")&amp;"'!$A:$D"),4,false),1)))</f>
        <v/>
      </c>
      <c r="G3145" s="62" t="str">
        <f t="shared" si="6290"/>
        <v/>
      </c>
      <c r="H3145" s="62">
        <f t="shared" ref="H3145:Q3145" si="6291">IF(isblank(H$1),,IFERROR(vlookup($A3145,indirect("'TVC-"&amp;text(month(H$1),"00")&amp;"'!$A:$D"),4,false),1))</f>
        <v>1</v>
      </c>
      <c r="I3145" s="62">
        <f t="shared" si="6291"/>
        <v>1</v>
      </c>
      <c r="J3145" s="62">
        <f t="shared" si="6291"/>
        <v>1</v>
      </c>
      <c r="K3145" s="62">
        <f t="shared" si="6291"/>
        <v>1</v>
      </c>
      <c r="L3145" s="62">
        <f t="shared" si="6291"/>
        <v>1</v>
      </c>
      <c r="M3145" s="62">
        <f t="shared" si="6291"/>
        <v>1</v>
      </c>
      <c r="N3145" s="62">
        <f t="shared" si="6291"/>
        <v>1</v>
      </c>
      <c r="O3145" s="62">
        <f t="shared" si="6291"/>
        <v>1</v>
      </c>
      <c r="P3145" s="62" t="str">
        <f t="shared" si="6291"/>
        <v/>
      </c>
      <c r="Q3145" s="62" t="str">
        <f t="shared" si="6291"/>
        <v/>
      </c>
      <c r="R3145" s="62">
        <f t="shared" si="7"/>
        <v>0</v>
      </c>
      <c r="S3145" s="62"/>
      <c r="T3145" s="62"/>
      <c r="U3145" s="62"/>
      <c r="V3145" s="62"/>
      <c r="W3145" s="62"/>
      <c r="X3145" s="62"/>
      <c r="Y3145" s="62"/>
      <c r="Z3145" s="62"/>
      <c r="AA3145" s="62"/>
      <c r="AB3145" s="62"/>
      <c r="AC3145" s="62"/>
    </row>
    <row r="3146" hidden="1">
      <c r="A3146" s="60"/>
      <c r="B3146" s="60"/>
      <c r="C3146" s="60"/>
      <c r="D3146" s="60"/>
      <c r="E3146" s="62" t="str">
        <f t="shared" si="5153"/>
        <v/>
      </c>
      <c r="F3146" s="62" t="str">
        <f t="shared" ref="F3146:G3146" si="6292">IF(isblank(F$1),,IF(isblank($A3146),,IFERROR(vlookup($A3146,indirect("'TVC-"&amp;text(month(F$1),"00")&amp;"'!$A:$D"),4,false),1)))</f>
        <v/>
      </c>
      <c r="G3146" s="62" t="str">
        <f t="shared" si="6292"/>
        <v/>
      </c>
      <c r="H3146" s="62">
        <f t="shared" ref="H3146:Q3146" si="6293">IF(isblank(H$1),,IFERROR(vlookup($A3146,indirect("'TVC-"&amp;text(month(H$1),"00")&amp;"'!$A:$D"),4,false),1))</f>
        <v>1</v>
      </c>
      <c r="I3146" s="62">
        <f t="shared" si="6293"/>
        <v>1</v>
      </c>
      <c r="J3146" s="62">
        <f t="shared" si="6293"/>
        <v>1</v>
      </c>
      <c r="K3146" s="62">
        <f t="shared" si="6293"/>
        <v>1</v>
      </c>
      <c r="L3146" s="62">
        <f t="shared" si="6293"/>
        <v>1</v>
      </c>
      <c r="M3146" s="62">
        <f t="shared" si="6293"/>
        <v>1</v>
      </c>
      <c r="N3146" s="62">
        <f t="shared" si="6293"/>
        <v>1</v>
      </c>
      <c r="O3146" s="62">
        <f t="shared" si="6293"/>
        <v>1</v>
      </c>
      <c r="P3146" s="62" t="str">
        <f t="shared" si="6293"/>
        <v/>
      </c>
      <c r="Q3146" s="62" t="str">
        <f t="shared" si="6293"/>
        <v/>
      </c>
      <c r="R3146" s="62">
        <f t="shared" si="7"/>
        <v>0</v>
      </c>
      <c r="S3146" s="62"/>
      <c r="T3146" s="62"/>
      <c r="U3146" s="62"/>
      <c r="V3146" s="62"/>
      <c r="W3146" s="62"/>
      <c r="X3146" s="62"/>
      <c r="Y3146" s="62"/>
      <c r="Z3146" s="62"/>
      <c r="AA3146" s="62"/>
      <c r="AB3146" s="62"/>
      <c r="AC3146" s="62"/>
    </row>
    <row r="3147" hidden="1">
      <c r="A3147" s="60"/>
      <c r="B3147" s="60"/>
      <c r="C3147" s="60"/>
      <c r="D3147" s="60"/>
      <c r="E3147" s="62" t="str">
        <f t="shared" si="5153"/>
        <v/>
      </c>
      <c r="F3147" s="62" t="str">
        <f t="shared" ref="F3147:G3147" si="6294">IF(isblank(F$1),,IF(isblank($A3147),,IFERROR(vlookup($A3147,indirect("'TVC-"&amp;text(month(F$1),"00")&amp;"'!$A:$D"),4,false),1)))</f>
        <v/>
      </c>
      <c r="G3147" s="62" t="str">
        <f t="shared" si="6294"/>
        <v/>
      </c>
      <c r="H3147" s="62">
        <f t="shared" ref="H3147:Q3147" si="6295">IF(isblank(H$1),,IFERROR(vlookup($A3147,indirect("'TVC-"&amp;text(month(H$1),"00")&amp;"'!$A:$D"),4,false),1))</f>
        <v>1</v>
      </c>
      <c r="I3147" s="62">
        <f t="shared" si="6295"/>
        <v>1</v>
      </c>
      <c r="J3147" s="62">
        <f t="shared" si="6295"/>
        <v>1</v>
      </c>
      <c r="K3147" s="62">
        <f t="shared" si="6295"/>
        <v>1</v>
      </c>
      <c r="L3147" s="62">
        <f t="shared" si="6295"/>
        <v>1</v>
      </c>
      <c r="M3147" s="62">
        <f t="shared" si="6295"/>
        <v>1</v>
      </c>
      <c r="N3147" s="62">
        <f t="shared" si="6295"/>
        <v>1</v>
      </c>
      <c r="O3147" s="62">
        <f t="shared" si="6295"/>
        <v>1</v>
      </c>
      <c r="P3147" s="62" t="str">
        <f t="shared" si="6295"/>
        <v/>
      </c>
      <c r="Q3147" s="62" t="str">
        <f t="shared" si="6295"/>
        <v/>
      </c>
      <c r="R3147" s="62">
        <f t="shared" si="7"/>
        <v>0</v>
      </c>
      <c r="S3147" s="62"/>
      <c r="T3147" s="62"/>
      <c r="U3147" s="62"/>
      <c r="V3147" s="62"/>
      <c r="W3147" s="62"/>
      <c r="X3147" s="62"/>
      <c r="Y3147" s="62"/>
      <c r="Z3147" s="62"/>
      <c r="AA3147" s="62"/>
      <c r="AB3147" s="62"/>
      <c r="AC3147" s="62"/>
    </row>
    <row r="3148" hidden="1">
      <c r="A3148" s="60"/>
      <c r="B3148" s="60"/>
      <c r="C3148" s="60"/>
      <c r="D3148" s="60"/>
      <c r="E3148" s="62" t="str">
        <f t="shared" si="5153"/>
        <v/>
      </c>
      <c r="F3148" s="62" t="str">
        <f t="shared" ref="F3148:G3148" si="6296">IF(isblank(F$1),,IF(isblank($A3148),,IFERROR(vlookup($A3148,indirect("'TVC-"&amp;text(month(F$1),"00")&amp;"'!$A:$D"),4,false),1)))</f>
        <v/>
      </c>
      <c r="G3148" s="62" t="str">
        <f t="shared" si="6296"/>
        <v/>
      </c>
      <c r="H3148" s="62">
        <f t="shared" ref="H3148:Q3148" si="6297">IF(isblank(H$1),,IFERROR(vlookup($A3148,indirect("'TVC-"&amp;text(month(H$1),"00")&amp;"'!$A:$D"),4,false),1))</f>
        <v>1</v>
      </c>
      <c r="I3148" s="62">
        <f t="shared" si="6297"/>
        <v>1</v>
      </c>
      <c r="J3148" s="62">
        <f t="shared" si="6297"/>
        <v>1</v>
      </c>
      <c r="K3148" s="62">
        <f t="shared" si="6297"/>
        <v>1</v>
      </c>
      <c r="L3148" s="62">
        <f t="shared" si="6297"/>
        <v>1</v>
      </c>
      <c r="M3148" s="62">
        <f t="shared" si="6297"/>
        <v>1</v>
      </c>
      <c r="N3148" s="62">
        <f t="shared" si="6297"/>
        <v>1</v>
      </c>
      <c r="O3148" s="62">
        <f t="shared" si="6297"/>
        <v>1</v>
      </c>
      <c r="P3148" s="62" t="str">
        <f t="shared" si="6297"/>
        <v/>
      </c>
      <c r="Q3148" s="62" t="str">
        <f t="shared" si="6297"/>
        <v/>
      </c>
      <c r="R3148" s="62">
        <f t="shared" si="7"/>
        <v>0</v>
      </c>
      <c r="S3148" s="62"/>
      <c r="T3148" s="62"/>
      <c r="U3148" s="62"/>
      <c r="V3148" s="62"/>
      <c r="W3148" s="62"/>
      <c r="X3148" s="62"/>
      <c r="Y3148" s="62"/>
      <c r="Z3148" s="62"/>
      <c r="AA3148" s="62"/>
      <c r="AB3148" s="62"/>
      <c r="AC3148" s="62"/>
    </row>
    <row r="3149" hidden="1">
      <c r="A3149" s="60"/>
      <c r="B3149" s="60"/>
      <c r="C3149" s="60"/>
      <c r="D3149" s="60"/>
      <c r="E3149" s="62" t="str">
        <f t="shared" si="5153"/>
        <v/>
      </c>
      <c r="F3149" s="62" t="str">
        <f t="shared" ref="F3149:G3149" si="6298">IF(isblank(F$1),,IF(isblank($A3149),,IFERROR(vlookup($A3149,indirect("'TVC-"&amp;text(month(F$1),"00")&amp;"'!$A:$D"),4,false),1)))</f>
        <v/>
      </c>
      <c r="G3149" s="62" t="str">
        <f t="shared" si="6298"/>
        <v/>
      </c>
      <c r="H3149" s="62">
        <f t="shared" ref="H3149:Q3149" si="6299">IF(isblank(H$1),,IFERROR(vlookup($A3149,indirect("'TVC-"&amp;text(month(H$1),"00")&amp;"'!$A:$D"),4,false),1))</f>
        <v>1</v>
      </c>
      <c r="I3149" s="62">
        <f t="shared" si="6299"/>
        <v>1</v>
      </c>
      <c r="J3149" s="62">
        <f t="shared" si="6299"/>
        <v>1</v>
      </c>
      <c r="K3149" s="62">
        <f t="shared" si="6299"/>
        <v>1</v>
      </c>
      <c r="L3149" s="62">
        <f t="shared" si="6299"/>
        <v>1</v>
      </c>
      <c r="M3149" s="62">
        <f t="shared" si="6299"/>
        <v>1</v>
      </c>
      <c r="N3149" s="62">
        <f t="shared" si="6299"/>
        <v>1</v>
      </c>
      <c r="O3149" s="62">
        <f t="shared" si="6299"/>
        <v>1</v>
      </c>
      <c r="P3149" s="62" t="str">
        <f t="shared" si="6299"/>
        <v/>
      </c>
      <c r="Q3149" s="62" t="str">
        <f t="shared" si="6299"/>
        <v/>
      </c>
      <c r="R3149" s="62">
        <f t="shared" si="7"/>
        <v>0</v>
      </c>
      <c r="S3149" s="62"/>
      <c r="T3149" s="62"/>
      <c r="U3149" s="62"/>
      <c r="V3149" s="62"/>
      <c r="W3149" s="62"/>
      <c r="X3149" s="62"/>
      <c r="Y3149" s="62"/>
      <c r="Z3149" s="62"/>
      <c r="AA3149" s="62"/>
      <c r="AB3149" s="62"/>
      <c r="AC3149" s="62"/>
    </row>
    <row r="3150" hidden="1">
      <c r="A3150" s="60"/>
      <c r="B3150" s="60"/>
      <c r="C3150" s="60"/>
      <c r="D3150" s="60"/>
      <c r="E3150" s="62" t="str">
        <f t="shared" si="5153"/>
        <v/>
      </c>
      <c r="F3150" s="62" t="str">
        <f t="shared" ref="F3150:G3150" si="6300">IF(isblank(F$1),,IF(isblank($A3150),,IFERROR(vlookup($A3150,indirect("'TVC-"&amp;text(month(F$1),"00")&amp;"'!$A:$D"),4,false),1)))</f>
        <v/>
      </c>
      <c r="G3150" s="62" t="str">
        <f t="shared" si="6300"/>
        <v/>
      </c>
      <c r="H3150" s="62">
        <f t="shared" ref="H3150:Q3150" si="6301">IF(isblank(H$1),,IFERROR(vlookup($A3150,indirect("'TVC-"&amp;text(month(H$1),"00")&amp;"'!$A:$D"),4,false),1))</f>
        <v>1</v>
      </c>
      <c r="I3150" s="62">
        <f t="shared" si="6301"/>
        <v>1</v>
      </c>
      <c r="J3150" s="62">
        <f t="shared" si="6301"/>
        <v>1</v>
      </c>
      <c r="K3150" s="62">
        <f t="shared" si="6301"/>
        <v>1</v>
      </c>
      <c r="L3150" s="62">
        <f t="shared" si="6301"/>
        <v>1</v>
      </c>
      <c r="M3150" s="62">
        <f t="shared" si="6301"/>
        <v>1</v>
      </c>
      <c r="N3150" s="62">
        <f t="shared" si="6301"/>
        <v>1</v>
      </c>
      <c r="O3150" s="62">
        <f t="shared" si="6301"/>
        <v>1</v>
      </c>
      <c r="P3150" s="62" t="str">
        <f t="shared" si="6301"/>
        <v/>
      </c>
      <c r="Q3150" s="62" t="str">
        <f t="shared" si="6301"/>
        <v/>
      </c>
      <c r="R3150" s="62">
        <f t="shared" si="7"/>
        <v>0</v>
      </c>
      <c r="S3150" s="62"/>
      <c r="T3150" s="62"/>
      <c r="U3150" s="62"/>
      <c r="V3150" s="62"/>
      <c r="W3150" s="62"/>
      <c r="X3150" s="62"/>
      <c r="Y3150" s="62"/>
      <c r="Z3150" s="62"/>
      <c r="AA3150" s="62"/>
      <c r="AB3150" s="62"/>
      <c r="AC3150" s="62"/>
    </row>
    <row r="3151" hidden="1">
      <c r="A3151" s="60"/>
      <c r="B3151" s="60"/>
      <c r="C3151" s="60"/>
      <c r="D3151" s="60"/>
      <c r="E3151" s="62" t="str">
        <f t="shared" si="5153"/>
        <v/>
      </c>
      <c r="F3151" s="62" t="str">
        <f t="shared" ref="F3151:G3151" si="6302">IF(isblank(F$1),,IF(isblank($A3151),,IFERROR(vlookup($A3151,indirect("'TVC-"&amp;text(month(F$1),"00")&amp;"'!$A:$D"),4,false),1)))</f>
        <v/>
      </c>
      <c r="G3151" s="62" t="str">
        <f t="shared" si="6302"/>
        <v/>
      </c>
      <c r="H3151" s="62">
        <f t="shared" ref="H3151:Q3151" si="6303">IF(isblank(H$1),,IFERROR(vlookup($A3151,indirect("'TVC-"&amp;text(month(H$1),"00")&amp;"'!$A:$D"),4,false),1))</f>
        <v>1</v>
      </c>
      <c r="I3151" s="62">
        <f t="shared" si="6303"/>
        <v>1</v>
      </c>
      <c r="J3151" s="62">
        <f t="shared" si="6303"/>
        <v>1</v>
      </c>
      <c r="K3151" s="62">
        <f t="shared" si="6303"/>
        <v>1</v>
      </c>
      <c r="L3151" s="62">
        <f t="shared" si="6303"/>
        <v>1</v>
      </c>
      <c r="M3151" s="62">
        <f t="shared" si="6303"/>
        <v>1</v>
      </c>
      <c r="N3151" s="62">
        <f t="shared" si="6303"/>
        <v>1</v>
      </c>
      <c r="O3151" s="62">
        <f t="shared" si="6303"/>
        <v>1</v>
      </c>
      <c r="P3151" s="62" t="str">
        <f t="shared" si="6303"/>
        <v/>
      </c>
      <c r="Q3151" s="62" t="str">
        <f t="shared" si="6303"/>
        <v/>
      </c>
      <c r="R3151" s="62">
        <f t="shared" si="7"/>
        <v>0</v>
      </c>
      <c r="S3151" s="62"/>
      <c r="T3151" s="62"/>
      <c r="U3151" s="62"/>
      <c r="V3151" s="62"/>
      <c r="W3151" s="62"/>
      <c r="X3151" s="62"/>
      <c r="Y3151" s="62"/>
      <c r="Z3151" s="62"/>
      <c r="AA3151" s="62"/>
      <c r="AB3151" s="62"/>
      <c r="AC3151" s="62"/>
    </row>
    <row r="3152" hidden="1">
      <c r="A3152" s="60"/>
      <c r="B3152" s="60"/>
      <c r="C3152" s="60"/>
      <c r="D3152" s="60"/>
      <c r="E3152" s="62" t="str">
        <f t="shared" si="5153"/>
        <v/>
      </c>
      <c r="F3152" s="62" t="str">
        <f t="shared" ref="F3152:G3152" si="6304">IF(isblank(F$1),,IF(isblank($A3152),,IFERROR(vlookup($A3152,indirect("'TVC-"&amp;text(month(F$1),"00")&amp;"'!$A:$D"),4,false),1)))</f>
        <v/>
      </c>
      <c r="G3152" s="62" t="str">
        <f t="shared" si="6304"/>
        <v/>
      </c>
      <c r="H3152" s="62">
        <f t="shared" ref="H3152:Q3152" si="6305">IF(isblank(H$1),,IFERROR(vlookup($A3152,indirect("'TVC-"&amp;text(month(H$1),"00")&amp;"'!$A:$D"),4,false),1))</f>
        <v>1</v>
      </c>
      <c r="I3152" s="62">
        <f t="shared" si="6305"/>
        <v>1</v>
      </c>
      <c r="J3152" s="62">
        <f t="shared" si="6305"/>
        <v>1</v>
      </c>
      <c r="K3152" s="62">
        <f t="shared" si="6305"/>
        <v>1</v>
      </c>
      <c r="L3152" s="62">
        <f t="shared" si="6305"/>
        <v>1</v>
      </c>
      <c r="M3152" s="62">
        <f t="shared" si="6305"/>
        <v>1</v>
      </c>
      <c r="N3152" s="62">
        <f t="shared" si="6305"/>
        <v>1</v>
      </c>
      <c r="O3152" s="62">
        <f t="shared" si="6305"/>
        <v>1</v>
      </c>
      <c r="P3152" s="62" t="str">
        <f t="shared" si="6305"/>
        <v/>
      </c>
      <c r="Q3152" s="62" t="str">
        <f t="shared" si="6305"/>
        <v/>
      </c>
      <c r="R3152" s="62">
        <f t="shared" si="7"/>
        <v>0</v>
      </c>
      <c r="S3152" s="62"/>
      <c r="T3152" s="62"/>
      <c r="U3152" s="62"/>
      <c r="V3152" s="62"/>
      <c r="W3152" s="62"/>
      <c r="X3152" s="62"/>
      <c r="Y3152" s="62"/>
      <c r="Z3152" s="62"/>
      <c r="AA3152" s="62"/>
      <c r="AB3152" s="62"/>
      <c r="AC3152" s="62"/>
    </row>
    <row r="3153" hidden="1">
      <c r="A3153" s="60"/>
      <c r="B3153" s="60"/>
      <c r="C3153" s="60"/>
      <c r="D3153" s="60"/>
      <c r="E3153" s="62" t="str">
        <f t="shared" si="5153"/>
        <v/>
      </c>
      <c r="F3153" s="62" t="str">
        <f t="shared" ref="F3153:G3153" si="6306">IF(isblank(F$1),,IF(isblank($A3153),,IFERROR(vlookup($A3153,indirect("'TVC-"&amp;text(month(F$1),"00")&amp;"'!$A:$D"),4,false),1)))</f>
        <v/>
      </c>
      <c r="G3153" s="62" t="str">
        <f t="shared" si="6306"/>
        <v/>
      </c>
      <c r="H3153" s="62">
        <f t="shared" ref="H3153:Q3153" si="6307">IF(isblank(H$1),,IFERROR(vlookup($A3153,indirect("'TVC-"&amp;text(month(H$1),"00")&amp;"'!$A:$D"),4,false),1))</f>
        <v>1</v>
      </c>
      <c r="I3153" s="62">
        <f t="shared" si="6307"/>
        <v>1</v>
      </c>
      <c r="J3153" s="62">
        <f t="shared" si="6307"/>
        <v>1</v>
      </c>
      <c r="K3153" s="62">
        <f t="shared" si="6307"/>
        <v>1</v>
      </c>
      <c r="L3153" s="62">
        <f t="shared" si="6307"/>
        <v>1</v>
      </c>
      <c r="M3153" s="62">
        <f t="shared" si="6307"/>
        <v>1</v>
      </c>
      <c r="N3153" s="62">
        <f t="shared" si="6307"/>
        <v>1</v>
      </c>
      <c r="O3153" s="62">
        <f t="shared" si="6307"/>
        <v>1</v>
      </c>
      <c r="P3153" s="62" t="str">
        <f t="shared" si="6307"/>
        <v/>
      </c>
      <c r="Q3153" s="62" t="str">
        <f t="shared" si="6307"/>
        <v/>
      </c>
      <c r="R3153" s="62">
        <f t="shared" si="7"/>
        <v>0</v>
      </c>
      <c r="S3153" s="62"/>
      <c r="T3153" s="62"/>
      <c r="U3153" s="62"/>
      <c r="V3153" s="62"/>
      <c r="W3153" s="62"/>
      <c r="X3153" s="62"/>
      <c r="Y3153" s="62"/>
      <c r="Z3153" s="62"/>
      <c r="AA3153" s="62"/>
      <c r="AB3153" s="62"/>
      <c r="AC3153" s="62"/>
    </row>
    <row r="3154" hidden="1">
      <c r="A3154" s="60"/>
      <c r="B3154" s="60"/>
      <c r="C3154" s="60"/>
      <c r="D3154" s="60"/>
      <c r="E3154" s="62" t="str">
        <f t="shared" si="5153"/>
        <v/>
      </c>
      <c r="F3154" s="62" t="str">
        <f t="shared" ref="F3154:G3154" si="6308">IF(isblank(F$1),,IF(isblank($A3154),,IFERROR(vlookup($A3154,indirect("'TVC-"&amp;text(month(F$1),"00")&amp;"'!$A:$D"),4,false),1)))</f>
        <v/>
      </c>
      <c r="G3154" s="62" t="str">
        <f t="shared" si="6308"/>
        <v/>
      </c>
      <c r="H3154" s="62">
        <f t="shared" ref="H3154:Q3154" si="6309">IF(isblank(H$1),,IFERROR(vlookup($A3154,indirect("'TVC-"&amp;text(month(H$1),"00")&amp;"'!$A:$D"),4,false),1))</f>
        <v>1</v>
      </c>
      <c r="I3154" s="62">
        <f t="shared" si="6309"/>
        <v>1</v>
      </c>
      <c r="J3154" s="62">
        <f t="shared" si="6309"/>
        <v>1</v>
      </c>
      <c r="K3154" s="62">
        <f t="shared" si="6309"/>
        <v>1</v>
      </c>
      <c r="L3154" s="62">
        <f t="shared" si="6309"/>
        <v>1</v>
      </c>
      <c r="M3154" s="62">
        <f t="shared" si="6309"/>
        <v>1</v>
      </c>
      <c r="N3154" s="62">
        <f t="shared" si="6309"/>
        <v>1</v>
      </c>
      <c r="O3154" s="62">
        <f t="shared" si="6309"/>
        <v>1</v>
      </c>
      <c r="P3154" s="62" t="str">
        <f t="shared" si="6309"/>
        <v/>
      </c>
      <c r="Q3154" s="62" t="str">
        <f t="shared" si="6309"/>
        <v/>
      </c>
      <c r="R3154" s="62">
        <f t="shared" si="7"/>
        <v>0</v>
      </c>
      <c r="S3154" s="62"/>
      <c r="T3154" s="62"/>
      <c r="U3154" s="62"/>
      <c r="V3154" s="62"/>
      <c r="W3154" s="62"/>
      <c r="X3154" s="62"/>
      <c r="Y3154" s="62"/>
      <c r="Z3154" s="62"/>
      <c r="AA3154" s="62"/>
      <c r="AB3154" s="62"/>
      <c r="AC3154" s="62"/>
    </row>
    <row r="3155" hidden="1">
      <c r="A3155" s="60"/>
      <c r="B3155" s="60"/>
      <c r="C3155" s="60"/>
      <c r="D3155" s="60"/>
      <c r="E3155" s="62" t="str">
        <f t="shared" si="5153"/>
        <v/>
      </c>
      <c r="F3155" s="62" t="str">
        <f t="shared" ref="F3155:G3155" si="6310">IF(isblank(F$1),,IF(isblank($A3155),,IFERROR(vlookup($A3155,indirect("'TVC-"&amp;text(month(F$1),"00")&amp;"'!$A:$D"),4,false),1)))</f>
        <v/>
      </c>
      <c r="G3155" s="62" t="str">
        <f t="shared" si="6310"/>
        <v/>
      </c>
      <c r="H3155" s="62">
        <f t="shared" ref="H3155:Q3155" si="6311">IF(isblank(H$1),,IFERROR(vlookup($A3155,indirect("'TVC-"&amp;text(month(H$1),"00")&amp;"'!$A:$D"),4,false),1))</f>
        <v>1</v>
      </c>
      <c r="I3155" s="62">
        <f t="shared" si="6311"/>
        <v>1</v>
      </c>
      <c r="J3155" s="62">
        <f t="shared" si="6311"/>
        <v>1</v>
      </c>
      <c r="K3155" s="62">
        <f t="shared" si="6311"/>
        <v>1</v>
      </c>
      <c r="L3155" s="62">
        <f t="shared" si="6311"/>
        <v>1</v>
      </c>
      <c r="M3155" s="62">
        <f t="shared" si="6311"/>
        <v>1</v>
      </c>
      <c r="N3155" s="62">
        <f t="shared" si="6311"/>
        <v>1</v>
      </c>
      <c r="O3155" s="62">
        <f t="shared" si="6311"/>
        <v>1</v>
      </c>
      <c r="P3155" s="62" t="str">
        <f t="shared" si="6311"/>
        <v/>
      </c>
      <c r="Q3155" s="62" t="str">
        <f t="shared" si="6311"/>
        <v/>
      </c>
      <c r="R3155" s="62">
        <f t="shared" si="7"/>
        <v>0</v>
      </c>
      <c r="S3155" s="62"/>
      <c r="T3155" s="62"/>
      <c r="U3155" s="62"/>
      <c r="V3155" s="62"/>
      <c r="W3155" s="62"/>
      <c r="X3155" s="62"/>
      <c r="Y3155" s="62"/>
      <c r="Z3155" s="62"/>
      <c r="AA3155" s="62"/>
      <c r="AB3155" s="62"/>
      <c r="AC3155" s="62"/>
    </row>
    <row r="3156" hidden="1">
      <c r="A3156" s="60"/>
      <c r="B3156" s="60"/>
      <c r="C3156" s="60"/>
      <c r="D3156" s="60"/>
      <c r="E3156" s="62" t="str">
        <f t="shared" si="5153"/>
        <v/>
      </c>
      <c r="F3156" s="62" t="str">
        <f t="shared" ref="F3156:G3156" si="6312">IF(isblank(F$1),,IF(isblank($A3156),,IFERROR(vlookup($A3156,indirect("'TVC-"&amp;text(month(F$1),"00")&amp;"'!$A:$D"),4,false),1)))</f>
        <v/>
      </c>
      <c r="G3156" s="62" t="str">
        <f t="shared" si="6312"/>
        <v/>
      </c>
      <c r="H3156" s="62">
        <f t="shared" ref="H3156:Q3156" si="6313">IF(isblank(H$1),,IFERROR(vlookup($A3156,indirect("'TVC-"&amp;text(month(H$1),"00")&amp;"'!$A:$D"),4,false),1))</f>
        <v>1</v>
      </c>
      <c r="I3156" s="62">
        <f t="shared" si="6313"/>
        <v>1</v>
      </c>
      <c r="J3156" s="62">
        <f t="shared" si="6313"/>
        <v>1</v>
      </c>
      <c r="K3156" s="62">
        <f t="shared" si="6313"/>
        <v>1</v>
      </c>
      <c r="L3156" s="62">
        <f t="shared" si="6313"/>
        <v>1</v>
      </c>
      <c r="M3156" s="62">
        <f t="shared" si="6313"/>
        <v>1</v>
      </c>
      <c r="N3156" s="62">
        <f t="shared" si="6313"/>
        <v>1</v>
      </c>
      <c r="O3156" s="62">
        <f t="shared" si="6313"/>
        <v>1</v>
      </c>
      <c r="P3156" s="62" t="str">
        <f t="shared" si="6313"/>
        <v/>
      </c>
      <c r="Q3156" s="62" t="str">
        <f t="shared" si="6313"/>
        <v/>
      </c>
      <c r="R3156" s="62">
        <f t="shared" si="7"/>
        <v>0</v>
      </c>
      <c r="S3156" s="62"/>
      <c r="T3156" s="62"/>
      <c r="U3156" s="62"/>
      <c r="V3156" s="62"/>
      <c r="W3156" s="62"/>
      <c r="X3156" s="62"/>
      <c r="Y3156" s="62"/>
      <c r="Z3156" s="62"/>
      <c r="AA3156" s="62"/>
      <c r="AB3156" s="62"/>
      <c r="AC3156" s="62"/>
    </row>
    <row r="3157" hidden="1">
      <c r="A3157" s="60"/>
      <c r="B3157" s="60"/>
      <c r="C3157" s="60"/>
      <c r="D3157" s="60"/>
      <c r="E3157" s="62" t="str">
        <f t="shared" si="5153"/>
        <v/>
      </c>
      <c r="F3157" s="62" t="str">
        <f t="shared" ref="F3157:G3157" si="6314">IF(isblank(F$1),,IF(isblank($A3157),,IFERROR(vlookup($A3157,indirect("'TVC-"&amp;text(month(F$1),"00")&amp;"'!$A:$D"),4,false),1)))</f>
        <v/>
      </c>
      <c r="G3157" s="62" t="str">
        <f t="shared" si="6314"/>
        <v/>
      </c>
      <c r="H3157" s="62">
        <f t="shared" ref="H3157:Q3157" si="6315">IF(isblank(H$1),,IFERROR(vlookup($A3157,indirect("'TVC-"&amp;text(month(H$1),"00")&amp;"'!$A:$D"),4,false),1))</f>
        <v>1</v>
      </c>
      <c r="I3157" s="62">
        <f t="shared" si="6315"/>
        <v>1</v>
      </c>
      <c r="J3157" s="62">
        <f t="shared" si="6315"/>
        <v>1</v>
      </c>
      <c r="K3157" s="62">
        <f t="shared" si="6315"/>
        <v>1</v>
      </c>
      <c r="L3157" s="62">
        <f t="shared" si="6315"/>
        <v>1</v>
      </c>
      <c r="M3157" s="62">
        <f t="shared" si="6315"/>
        <v>1</v>
      </c>
      <c r="N3157" s="62">
        <f t="shared" si="6315"/>
        <v>1</v>
      </c>
      <c r="O3157" s="62">
        <f t="shared" si="6315"/>
        <v>1</v>
      </c>
      <c r="P3157" s="62" t="str">
        <f t="shared" si="6315"/>
        <v/>
      </c>
      <c r="Q3157" s="62" t="str">
        <f t="shared" si="6315"/>
        <v/>
      </c>
      <c r="R3157" s="62">
        <f t="shared" si="7"/>
        <v>0</v>
      </c>
      <c r="S3157" s="62"/>
      <c r="T3157" s="62"/>
      <c r="U3157" s="62"/>
      <c r="V3157" s="62"/>
      <c r="W3157" s="62"/>
      <c r="X3157" s="62"/>
      <c r="Y3157" s="62"/>
      <c r="Z3157" s="62"/>
      <c r="AA3157" s="62"/>
      <c r="AB3157" s="62"/>
      <c r="AC3157" s="62"/>
    </row>
    <row r="3158" hidden="1">
      <c r="A3158" s="60"/>
      <c r="B3158" s="60"/>
      <c r="C3158" s="60"/>
      <c r="D3158" s="60"/>
      <c r="E3158" s="62" t="str">
        <f t="shared" si="5153"/>
        <v/>
      </c>
      <c r="F3158" s="62" t="str">
        <f t="shared" ref="F3158:G3158" si="6316">IF(isblank(F$1),,IF(isblank($A3158),,IFERROR(vlookup($A3158,indirect("'TVC-"&amp;text(month(F$1),"00")&amp;"'!$A:$D"),4,false),1)))</f>
        <v/>
      </c>
      <c r="G3158" s="62" t="str">
        <f t="shared" si="6316"/>
        <v/>
      </c>
      <c r="H3158" s="62">
        <f t="shared" ref="H3158:Q3158" si="6317">IF(isblank(H$1),,IFERROR(vlookup($A3158,indirect("'TVC-"&amp;text(month(H$1),"00")&amp;"'!$A:$D"),4,false),1))</f>
        <v>1</v>
      </c>
      <c r="I3158" s="62">
        <f t="shared" si="6317"/>
        <v>1</v>
      </c>
      <c r="J3158" s="62">
        <f t="shared" si="6317"/>
        <v>1</v>
      </c>
      <c r="K3158" s="62">
        <f t="shared" si="6317"/>
        <v>1</v>
      </c>
      <c r="L3158" s="62">
        <f t="shared" si="6317"/>
        <v>1</v>
      </c>
      <c r="M3158" s="62">
        <f t="shared" si="6317"/>
        <v>1</v>
      </c>
      <c r="N3158" s="62">
        <f t="shared" si="6317"/>
        <v>1</v>
      </c>
      <c r="O3158" s="62">
        <f t="shared" si="6317"/>
        <v>1</v>
      </c>
      <c r="P3158" s="62" t="str">
        <f t="shared" si="6317"/>
        <v/>
      </c>
      <c r="Q3158" s="62" t="str">
        <f t="shared" si="6317"/>
        <v/>
      </c>
      <c r="R3158" s="62">
        <f t="shared" si="7"/>
        <v>0</v>
      </c>
      <c r="S3158" s="62"/>
      <c r="T3158" s="62"/>
      <c r="U3158" s="62"/>
      <c r="V3158" s="62"/>
      <c r="W3158" s="62"/>
      <c r="X3158" s="62"/>
      <c r="Y3158" s="62"/>
      <c r="Z3158" s="62"/>
      <c r="AA3158" s="62"/>
      <c r="AB3158" s="62"/>
      <c r="AC3158" s="62"/>
    </row>
    <row r="3159" hidden="1">
      <c r="A3159" s="60"/>
      <c r="B3159" s="60"/>
      <c r="C3159" s="60"/>
      <c r="D3159" s="60"/>
      <c r="E3159" s="62" t="str">
        <f t="shared" si="5153"/>
        <v/>
      </c>
      <c r="F3159" s="62" t="str">
        <f t="shared" ref="F3159:G3159" si="6318">IF(isblank(F$1),,IF(isblank($A3159),,IFERROR(vlookup($A3159,indirect("'TVC-"&amp;text(month(F$1),"00")&amp;"'!$A:$D"),4,false),1)))</f>
        <v/>
      </c>
      <c r="G3159" s="62" t="str">
        <f t="shared" si="6318"/>
        <v/>
      </c>
      <c r="H3159" s="62">
        <f t="shared" ref="H3159:Q3159" si="6319">IF(isblank(H$1),,IFERROR(vlookup($A3159,indirect("'TVC-"&amp;text(month(H$1),"00")&amp;"'!$A:$D"),4,false),1))</f>
        <v>1</v>
      </c>
      <c r="I3159" s="62">
        <f t="shared" si="6319"/>
        <v>1</v>
      </c>
      <c r="J3159" s="62">
        <f t="shared" si="6319"/>
        <v>1</v>
      </c>
      <c r="K3159" s="62">
        <f t="shared" si="6319"/>
        <v>1</v>
      </c>
      <c r="L3159" s="62">
        <f t="shared" si="6319"/>
        <v>1</v>
      </c>
      <c r="M3159" s="62">
        <f t="shared" si="6319"/>
        <v>1</v>
      </c>
      <c r="N3159" s="62">
        <f t="shared" si="6319"/>
        <v>1</v>
      </c>
      <c r="O3159" s="62">
        <f t="shared" si="6319"/>
        <v>1</v>
      </c>
      <c r="P3159" s="62" t="str">
        <f t="shared" si="6319"/>
        <v/>
      </c>
      <c r="Q3159" s="62" t="str">
        <f t="shared" si="6319"/>
        <v/>
      </c>
      <c r="R3159" s="62">
        <f t="shared" si="7"/>
        <v>0</v>
      </c>
      <c r="S3159" s="62"/>
      <c r="T3159" s="62"/>
      <c r="U3159" s="62"/>
      <c r="V3159" s="62"/>
      <c r="W3159" s="62"/>
      <c r="X3159" s="62"/>
      <c r="Y3159" s="62"/>
      <c r="Z3159" s="62"/>
      <c r="AA3159" s="62"/>
      <c r="AB3159" s="62"/>
      <c r="AC3159" s="62"/>
    </row>
    <row r="3160" hidden="1">
      <c r="A3160" s="60"/>
      <c r="B3160" s="60"/>
      <c r="C3160" s="60"/>
      <c r="D3160" s="60"/>
      <c r="E3160" s="62" t="str">
        <f t="shared" si="5153"/>
        <v/>
      </c>
      <c r="F3160" s="62" t="str">
        <f t="shared" ref="F3160:G3160" si="6320">IF(isblank(F$1),,IF(isblank($A3160),,IFERROR(vlookup($A3160,indirect("'TVC-"&amp;text(month(F$1),"00")&amp;"'!$A:$D"),4,false),1)))</f>
        <v/>
      </c>
      <c r="G3160" s="62" t="str">
        <f t="shared" si="6320"/>
        <v/>
      </c>
      <c r="H3160" s="62">
        <f t="shared" ref="H3160:Q3160" si="6321">IF(isblank(H$1),,IFERROR(vlookup($A3160,indirect("'TVC-"&amp;text(month(H$1),"00")&amp;"'!$A:$D"),4,false),1))</f>
        <v>1</v>
      </c>
      <c r="I3160" s="62">
        <f t="shared" si="6321"/>
        <v>1</v>
      </c>
      <c r="J3160" s="62">
        <f t="shared" si="6321"/>
        <v>1</v>
      </c>
      <c r="K3160" s="62">
        <f t="shared" si="6321"/>
        <v>1</v>
      </c>
      <c r="L3160" s="62">
        <f t="shared" si="6321"/>
        <v>1</v>
      </c>
      <c r="M3160" s="62">
        <f t="shared" si="6321"/>
        <v>1</v>
      </c>
      <c r="N3160" s="62">
        <f t="shared" si="6321"/>
        <v>1</v>
      </c>
      <c r="O3160" s="62">
        <f t="shared" si="6321"/>
        <v>1</v>
      </c>
      <c r="P3160" s="62" t="str">
        <f t="shared" si="6321"/>
        <v/>
      </c>
      <c r="Q3160" s="62" t="str">
        <f t="shared" si="6321"/>
        <v/>
      </c>
      <c r="R3160" s="62">
        <f t="shared" si="7"/>
        <v>0</v>
      </c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</row>
    <row r="3161" hidden="1">
      <c r="A3161" s="60"/>
      <c r="B3161" s="60"/>
      <c r="C3161" s="60"/>
      <c r="D3161" s="60"/>
      <c r="E3161" s="62" t="str">
        <f t="shared" si="5153"/>
        <v/>
      </c>
      <c r="F3161" s="62" t="str">
        <f t="shared" ref="F3161:G3161" si="6322">IF(isblank(F$1),,IF(isblank($A3161),,IFERROR(vlookup($A3161,indirect("'TVC-"&amp;text(month(F$1),"00")&amp;"'!$A:$D"),4,false),1)))</f>
        <v/>
      </c>
      <c r="G3161" s="62" t="str">
        <f t="shared" si="6322"/>
        <v/>
      </c>
      <c r="H3161" s="62">
        <f t="shared" ref="H3161:Q3161" si="6323">IF(isblank(H$1),,IFERROR(vlookup($A3161,indirect("'TVC-"&amp;text(month(H$1),"00")&amp;"'!$A:$D"),4,false),1))</f>
        <v>1</v>
      </c>
      <c r="I3161" s="62">
        <f t="shared" si="6323"/>
        <v>1</v>
      </c>
      <c r="J3161" s="62">
        <f t="shared" si="6323"/>
        <v>1</v>
      </c>
      <c r="K3161" s="62">
        <f t="shared" si="6323"/>
        <v>1</v>
      </c>
      <c r="L3161" s="62">
        <f t="shared" si="6323"/>
        <v>1</v>
      </c>
      <c r="M3161" s="62">
        <f t="shared" si="6323"/>
        <v>1</v>
      </c>
      <c r="N3161" s="62">
        <f t="shared" si="6323"/>
        <v>1</v>
      </c>
      <c r="O3161" s="62">
        <f t="shared" si="6323"/>
        <v>1</v>
      </c>
      <c r="P3161" s="62" t="str">
        <f t="shared" si="6323"/>
        <v/>
      </c>
      <c r="Q3161" s="62" t="str">
        <f t="shared" si="6323"/>
        <v/>
      </c>
      <c r="R3161" s="62">
        <f t="shared" si="7"/>
        <v>0</v>
      </c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</row>
    <row r="3162" hidden="1">
      <c r="A3162" s="60"/>
      <c r="B3162" s="60"/>
      <c r="C3162" s="60"/>
      <c r="D3162" s="60"/>
      <c r="E3162" s="62" t="str">
        <f t="shared" si="5153"/>
        <v/>
      </c>
      <c r="F3162" s="62" t="str">
        <f t="shared" ref="F3162:G3162" si="6324">IF(isblank(F$1),,IF(isblank($A3162),,IFERROR(vlookup($A3162,indirect("'TVC-"&amp;text(month(F$1),"00")&amp;"'!$A:$D"),4,false),1)))</f>
        <v/>
      </c>
      <c r="G3162" s="62" t="str">
        <f t="shared" si="6324"/>
        <v/>
      </c>
      <c r="H3162" s="62">
        <f t="shared" ref="H3162:Q3162" si="6325">IF(isblank(H$1),,IFERROR(vlookup($A3162,indirect("'TVC-"&amp;text(month(H$1),"00")&amp;"'!$A:$D"),4,false),1))</f>
        <v>1</v>
      </c>
      <c r="I3162" s="62">
        <f t="shared" si="6325"/>
        <v>1</v>
      </c>
      <c r="J3162" s="62">
        <f t="shared" si="6325"/>
        <v>1</v>
      </c>
      <c r="K3162" s="62">
        <f t="shared" si="6325"/>
        <v>1</v>
      </c>
      <c r="L3162" s="62">
        <f t="shared" si="6325"/>
        <v>1</v>
      </c>
      <c r="M3162" s="62">
        <f t="shared" si="6325"/>
        <v>1</v>
      </c>
      <c r="N3162" s="62">
        <f t="shared" si="6325"/>
        <v>1</v>
      </c>
      <c r="O3162" s="62">
        <f t="shared" si="6325"/>
        <v>1</v>
      </c>
      <c r="P3162" s="62" t="str">
        <f t="shared" si="6325"/>
        <v/>
      </c>
      <c r="Q3162" s="62" t="str">
        <f t="shared" si="6325"/>
        <v/>
      </c>
      <c r="R3162" s="62">
        <f t="shared" si="7"/>
        <v>0</v>
      </c>
      <c r="S3162" s="62"/>
      <c r="T3162" s="62"/>
      <c r="U3162" s="62"/>
      <c r="V3162" s="62"/>
      <c r="W3162" s="62"/>
      <c r="X3162" s="62"/>
      <c r="Y3162" s="62"/>
      <c r="Z3162" s="62"/>
      <c r="AA3162" s="62"/>
      <c r="AB3162" s="62"/>
      <c r="AC3162" s="62"/>
    </row>
    <row r="3163" hidden="1">
      <c r="A3163" s="60"/>
      <c r="B3163" s="60"/>
      <c r="C3163" s="60"/>
      <c r="D3163" s="60"/>
      <c r="E3163" s="62" t="str">
        <f t="shared" si="5153"/>
        <v/>
      </c>
      <c r="F3163" s="62" t="str">
        <f t="shared" ref="F3163:G3163" si="6326">IF(isblank(F$1),,IF(isblank($A3163),,IFERROR(vlookup($A3163,indirect("'TVC-"&amp;text(month(F$1),"00")&amp;"'!$A:$D"),4,false),1)))</f>
        <v/>
      </c>
      <c r="G3163" s="62" t="str">
        <f t="shared" si="6326"/>
        <v/>
      </c>
      <c r="H3163" s="62">
        <f t="shared" ref="H3163:Q3163" si="6327">IF(isblank(H$1),,IFERROR(vlookup($A3163,indirect("'TVC-"&amp;text(month(H$1),"00")&amp;"'!$A:$D"),4,false),1))</f>
        <v>1</v>
      </c>
      <c r="I3163" s="62">
        <f t="shared" si="6327"/>
        <v>1</v>
      </c>
      <c r="J3163" s="62">
        <f t="shared" si="6327"/>
        <v>1</v>
      </c>
      <c r="K3163" s="62">
        <f t="shared" si="6327"/>
        <v>1</v>
      </c>
      <c r="L3163" s="62">
        <f t="shared" si="6327"/>
        <v>1</v>
      </c>
      <c r="M3163" s="62">
        <f t="shared" si="6327"/>
        <v>1</v>
      </c>
      <c r="N3163" s="62">
        <f t="shared" si="6327"/>
        <v>1</v>
      </c>
      <c r="O3163" s="62">
        <f t="shared" si="6327"/>
        <v>1</v>
      </c>
      <c r="P3163" s="62" t="str">
        <f t="shared" si="6327"/>
        <v/>
      </c>
      <c r="Q3163" s="62" t="str">
        <f t="shared" si="6327"/>
        <v/>
      </c>
      <c r="R3163" s="62">
        <f t="shared" si="7"/>
        <v>0</v>
      </c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</row>
    <row r="3164" hidden="1">
      <c r="A3164" s="60"/>
      <c r="B3164" s="60"/>
      <c r="C3164" s="60"/>
      <c r="D3164" s="60"/>
      <c r="E3164" s="62" t="str">
        <f t="shared" si="5153"/>
        <v/>
      </c>
      <c r="F3164" s="62" t="str">
        <f t="shared" ref="F3164:G3164" si="6328">IF(isblank(F$1),,IF(isblank($A3164),,IFERROR(vlookup($A3164,indirect("'TVC-"&amp;text(month(F$1),"00")&amp;"'!$A:$D"),4,false),1)))</f>
        <v/>
      </c>
      <c r="G3164" s="62" t="str">
        <f t="shared" si="6328"/>
        <v/>
      </c>
      <c r="H3164" s="62">
        <f t="shared" ref="H3164:Q3164" si="6329">IF(isblank(H$1),,IFERROR(vlookup($A3164,indirect("'TVC-"&amp;text(month(H$1),"00")&amp;"'!$A:$D"),4,false),1))</f>
        <v>1</v>
      </c>
      <c r="I3164" s="62">
        <f t="shared" si="6329"/>
        <v>1</v>
      </c>
      <c r="J3164" s="62">
        <f t="shared" si="6329"/>
        <v>1</v>
      </c>
      <c r="K3164" s="62">
        <f t="shared" si="6329"/>
        <v>1</v>
      </c>
      <c r="L3164" s="62">
        <f t="shared" si="6329"/>
        <v>1</v>
      </c>
      <c r="M3164" s="62">
        <f t="shared" si="6329"/>
        <v>1</v>
      </c>
      <c r="N3164" s="62">
        <f t="shared" si="6329"/>
        <v>1</v>
      </c>
      <c r="O3164" s="62">
        <f t="shared" si="6329"/>
        <v>1</v>
      </c>
      <c r="P3164" s="62" t="str">
        <f t="shared" si="6329"/>
        <v/>
      </c>
      <c r="Q3164" s="62" t="str">
        <f t="shared" si="6329"/>
        <v/>
      </c>
      <c r="R3164" s="62">
        <f t="shared" si="7"/>
        <v>0</v>
      </c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</row>
    <row r="3165" hidden="1">
      <c r="A3165" s="60"/>
      <c r="B3165" s="60"/>
      <c r="C3165" s="60"/>
      <c r="D3165" s="60"/>
      <c r="E3165" s="62" t="str">
        <f t="shared" si="5153"/>
        <v/>
      </c>
      <c r="F3165" s="62" t="str">
        <f t="shared" ref="F3165:G3165" si="6330">IF(isblank(F$1),,IF(isblank($A3165),,IFERROR(vlookup($A3165,indirect("'TVC-"&amp;text(month(F$1),"00")&amp;"'!$A:$D"),4,false),1)))</f>
        <v/>
      </c>
      <c r="G3165" s="62" t="str">
        <f t="shared" si="6330"/>
        <v/>
      </c>
      <c r="H3165" s="62">
        <f t="shared" ref="H3165:Q3165" si="6331">IF(isblank(H$1),,IFERROR(vlookup($A3165,indirect("'TVC-"&amp;text(month(H$1),"00")&amp;"'!$A:$D"),4,false),1))</f>
        <v>1</v>
      </c>
      <c r="I3165" s="62">
        <f t="shared" si="6331"/>
        <v>1</v>
      </c>
      <c r="J3165" s="62">
        <f t="shared" si="6331"/>
        <v>1</v>
      </c>
      <c r="K3165" s="62">
        <f t="shared" si="6331"/>
        <v>1</v>
      </c>
      <c r="L3165" s="62">
        <f t="shared" si="6331"/>
        <v>1</v>
      </c>
      <c r="M3165" s="62">
        <f t="shared" si="6331"/>
        <v>1</v>
      </c>
      <c r="N3165" s="62">
        <f t="shared" si="6331"/>
        <v>1</v>
      </c>
      <c r="O3165" s="62">
        <f t="shared" si="6331"/>
        <v>1</v>
      </c>
      <c r="P3165" s="62" t="str">
        <f t="shared" si="6331"/>
        <v/>
      </c>
      <c r="Q3165" s="62" t="str">
        <f t="shared" si="6331"/>
        <v/>
      </c>
      <c r="R3165" s="62">
        <f t="shared" si="7"/>
        <v>0</v>
      </c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</row>
    <row r="3166" hidden="1">
      <c r="A3166" s="60"/>
      <c r="B3166" s="60"/>
      <c r="C3166" s="60"/>
      <c r="D3166" s="60"/>
      <c r="E3166" s="62" t="str">
        <f t="shared" si="5153"/>
        <v/>
      </c>
      <c r="F3166" s="62" t="str">
        <f t="shared" ref="F3166:G3166" si="6332">IF(isblank(F$1),,IF(isblank($A3166),,IFERROR(vlookup($A3166,indirect("'TVC-"&amp;text(month(F$1),"00")&amp;"'!$A:$D"),4,false),1)))</f>
        <v/>
      </c>
      <c r="G3166" s="62" t="str">
        <f t="shared" si="6332"/>
        <v/>
      </c>
      <c r="H3166" s="62">
        <f t="shared" ref="H3166:Q3166" si="6333">IF(isblank(H$1),,IFERROR(vlookup($A3166,indirect("'TVC-"&amp;text(month(H$1),"00")&amp;"'!$A:$D"),4,false),1))</f>
        <v>1</v>
      </c>
      <c r="I3166" s="62">
        <f t="shared" si="6333"/>
        <v>1</v>
      </c>
      <c r="J3166" s="62">
        <f t="shared" si="6333"/>
        <v>1</v>
      </c>
      <c r="K3166" s="62">
        <f t="shared" si="6333"/>
        <v>1</v>
      </c>
      <c r="L3166" s="62">
        <f t="shared" si="6333"/>
        <v>1</v>
      </c>
      <c r="M3166" s="62">
        <f t="shared" si="6333"/>
        <v>1</v>
      </c>
      <c r="N3166" s="62">
        <f t="shared" si="6333"/>
        <v>1</v>
      </c>
      <c r="O3166" s="62">
        <f t="shared" si="6333"/>
        <v>1</v>
      </c>
      <c r="P3166" s="62" t="str">
        <f t="shared" si="6333"/>
        <v/>
      </c>
      <c r="Q3166" s="62" t="str">
        <f t="shared" si="6333"/>
        <v/>
      </c>
      <c r="R3166" s="62">
        <f t="shared" si="7"/>
        <v>0</v>
      </c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</row>
    <row r="3167" hidden="1">
      <c r="A3167" s="60"/>
      <c r="B3167" s="60"/>
      <c r="C3167" s="60"/>
      <c r="D3167" s="60"/>
      <c r="E3167" s="62" t="str">
        <f t="shared" si="5153"/>
        <v/>
      </c>
      <c r="F3167" s="62" t="str">
        <f t="shared" ref="F3167:G3167" si="6334">IF(isblank(F$1),,IF(isblank($A3167),,IFERROR(vlookup($A3167,indirect("'TVC-"&amp;text(month(F$1),"00")&amp;"'!$A:$D"),4,false),1)))</f>
        <v/>
      </c>
      <c r="G3167" s="62" t="str">
        <f t="shared" si="6334"/>
        <v/>
      </c>
      <c r="H3167" s="62">
        <f t="shared" ref="H3167:Q3167" si="6335">IF(isblank(H$1),,IFERROR(vlookup($A3167,indirect("'TVC-"&amp;text(month(H$1),"00")&amp;"'!$A:$D"),4,false),1))</f>
        <v>1</v>
      </c>
      <c r="I3167" s="62">
        <f t="shared" si="6335"/>
        <v>1</v>
      </c>
      <c r="J3167" s="62">
        <f t="shared" si="6335"/>
        <v>1</v>
      </c>
      <c r="K3167" s="62">
        <f t="shared" si="6335"/>
        <v>1</v>
      </c>
      <c r="L3167" s="62">
        <f t="shared" si="6335"/>
        <v>1</v>
      </c>
      <c r="M3167" s="62">
        <f t="shared" si="6335"/>
        <v>1</v>
      </c>
      <c r="N3167" s="62">
        <f t="shared" si="6335"/>
        <v>1</v>
      </c>
      <c r="O3167" s="62">
        <f t="shared" si="6335"/>
        <v>1</v>
      </c>
      <c r="P3167" s="62" t="str">
        <f t="shared" si="6335"/>
        <v/>
      </c>
      <c r="Q3167" s="62" t="str">
        <f t="shared" si="6335"/>
        <v/>
      </c>
      <c r="R3167" s="62">
        <f t="shared" si="7"/>
        <v>0</v>
      </c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</row>
    <row r="3168" hidden="1">
      <c r="A3168" s="60"/>
      <c r="B3168" s="60"/>
      <c r="C3168" s="60"/>
      <c r="D3168" s="60"/>
      <c r="E3168" s="62" t="str">
        <f t="shared" si="5153"/>
        <v/>
      </c>
      <c r="F3168" s="62" t="str">
        <f t="shared" ref="F3168:G3168" si="6336">IF(isblank(F$1),,IF(isblank($A3168),,IFERROR(vlookup($A3168,indirect("'TVC-"&amp;text(month(F$1),"00")&amp;"'!$A:$D"),4,false),1)))</f>
        <v/>
      </c>
      <c r="G3168" s="62" t="str">
        <f t="shared" si="6336"/>
        <v/>
      </c>
      <c r="H3168" s="62">
        <f t="shared" ref="H3168:Q3168" si="6337">IF(isblank(H$1),,IFERROR(vlookup($A3168,indirect("'TVC-"&amp;text(month(H$1),"00")&amp;"'!$A:$D"),4,false),1))</f>
        <v>1</v>
      </c>
      <c r="I3168" s="62">
        <f t="shared" si="6337"/>
        <v>1</v>
      </c>
      <c r="J3168" s="62">
        <f t="shared" si="6337"/>
        <v>1</v>
      </c>
      <c r="K3168" s="62">
        <f t="shared" si="6337"/>
        <v>1</v>
      </c>
      <c r="L3168" s="62">
        <f t="shared" si="6337"/>
        <v>1</v>
      </c>
      <c r="M3168" s="62">
        <f t="shared" si="6337"/>
        <v>1</v>
      </c>
      <c r="N3168" s="62">
        <f t="shared" si="6337"/>
        <v>1</v>
      </c>
      <c r="O3168" s="62">
        <f t="shared" si="6337"/>
        <v>1</v>
      </c>
      <c r="P3168" s="62" t="str">
        <f t="shared" si="6337"/>
        <v/>
      </c>
      <c r="Q3168" s="62" t="str">
        <f t="shared" si="6337"/>
        <v/>
      </c>
      <c r="R3168" s="62">
        <f t="shared" si="7"/>
        <v>0</v>
      </c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</row>
    <row r="3169" hidden="1">
      <c r="A3169" s="60"/>
      <c r="B3169" s="60"/>
      <c r="C3169" s="60"/>
      <c r="D3169" s="60"/>
      <c r="E3169" s="62" t="str">
        <f t="shared" si="5153"/>
        <v/>
      </c>
      <c r="F3169" s="62" t="str">
        <f t="shared" ref="F3169:G3169" si="6338">IF(isblank(F$1),,IF(isblank($A3169),,IFERROR(vlookup($A3169,indirect("'TVC-"&amp;text(month(F$1),"00")&amp;"'!$A:$D"),4,false),1)))</f>
        <v/>
      </c>
      <c r="G3169" s="62" t="str">
        <f t="shared" si="6338"/>
        <v/>
      </c>
      <c r="H3169" s="62">
        <f t="shared" ref="H3169:Q3169" si="6339">IF(isblank(H$1),,IFERROR(vlookup($A3169,indirect("'TVC-"&amp;text(month(H$1),"00")&amp;"'!$A:$D"),4,false),1))</f>
        <v>1</v>
      </c>
      <c r="I3169" s="62">
        <f t="shared" si="6339"/>
        <v>1</v>
      </c>
      <c r="J3169" s="62">
        <f t="shared" si="6339"/>
        <v>1</v>
      </c>
      <c r="K3169" s="62">
        <f t="shared" si="6339"/>
        <v>1</v>
      </c>
      <c r="L3169" s="62">
        <f t="shared" si="6339"/>
        <v>1</v>
      </c>
      <c r="M3169" s="62">
        <f t="shared" si="6339"/>
        <v>1</v>
      </c>
      <c r="N3169" s="62">
        <f t="shared" si="6339"/>
        <v>1</v>
      </c>
      <c r="O3169" s="62">
        <f t="shared" si="6339"/>
        <v>1</v>
      </c>
      <c r="P3169" s="62" t="str">
        <f t="shared" si="6339"/>
        <v/>
      </c>
      <c r="Q3169" s="62" t="str">
        <f t="shared" si="6339"/>
        <v/>
      </c>
      <c r="R3169" s="62">
        <f t="shared" si="7"/>
        <v>0</v>
      </c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</row>
    <row r="3170" hidden="1">
      <c r="A3170" s="60"/>
      <c r="B3170" s="60"/>
      <c r="C3170" s="60"/>
      <c r="D3170" s="60"/>
      <c r="E3170" s="62" t="str">
        <f t="shared" si="5153"/>
        <v/>
      </c>
      <c r="F3170" s="62" t="str">
        <f t="shared" ref="F3170:G3170" si="6340">IF(isblank(F$1),,IF(isblank($A3170),,IFERROR(vlookup($A3170,indirect("'TVC-"&amp;text(month(F$1),"00")&amp;"'!$A:$D"),4,false),1)))</f>
        <v/>
      </c>
      <c r="G3170" s="62" t="str">
        <f t="shared" si="6340"/>
        <v/>
      </c>
      <c r="H3170" s="62">
        <f t="shared" ref="H3170:Q3170" si="6341">IF(isblank(H$1),,IFERROR(vlookup($A3170,indirect("'TVC-"&amp;text(month(H$1),"00")&amp;"'!$A:$D"),4,false),1))</f>
        <v>1</v>
      </c>
      <c r="I3170" s="62">
        <f t="shared" si="6341"/>
        <v>1</v>
      </c>
      <c r="J3170" s="62">
        <f t="shared" si="6341"/>
        <v>1</v>
      </c>
      <c r="K3170" s="62">
        <f t="shared" si="6341"/>
        <v>1</v>
      </c>
      <c r="L3170" s="62">
        <f t="shared" si="6341"/>
        <v>1</v>
      </c>
      <c r="M3170" s="62">
        <f t="shared" si="6341"/>
        <v>1</v>
      </c>
      <c r="N3170" s="62">
        <f t="shared" si="6341"/>
        <v>1</v>
      </c>
      <c r="O3170" s="62">
        <f t="shared" si="6341"/>
        <v>1</v>
      </c>
      <c r="P3170" s="62" t="str">
        <f t="shared" si="6341"/>
        <v/>
      </c>
      <c r="Q3170" s="62" t="str">
        <f t="shared" si="6341"/>
        <v/>
      </c>
      <c r="R3170" s="62">
        <f t="shared" si="7"/>
        <v>0</v>
      </c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</row>
    <row r="3171" hidden="1">
      <c r="A3171" s="60"/>
      <c r="B3171" s="60"/>
      <c r="C3171" s="60"/>
      <c r="D3171" s="60"/>
      <c r="E3171" s="62" t="str">
        <f t="shared" si="5153"/>
        <v/>
      </c>
      <c r="F3171" s="62" t="str">
        <f t="shared" ref="F3171:G3171" si="6342">IF(isblank(F$1),,IF(isblank($A3171),,IFERROR(vlookup($A3171,indirect("'TVC-"&amp;text(month(F$1),"00")&amp;"'!$A:$D"),4,false),1)))</f>
        <v/>
      </c>
      <c r="G3171" s="62" t="str">
        <f t="shared" si="6342"/>
        <v/>
      </c>
      <c r="H3171" s="62">
        <f t="shared" ref="H3171:Q3171" si="6343">IF(isblank(H$1),,IFERROR(vlookup($A3171,indirect("'TVC-"&amp;text(month(H$1),"00")&amp;"'!$A:$D"),4,false),1))</f>
        <v>1</v>
      </c>
      <c r="I3171" s="62">
        <f t="shared" si="6343"/>
        <v>1</v>
      </c>
      <c r="J3171" s="62">
        <f t="shared" si="6343"/>
        <v>1</v>
      </c>
      <c r="K3171" s="62">
        <f t="shared" si="6343"/>
        <v>1</v>
      </c>
      <c r="L3171" s="62">
        <f t="shared" si="6343"/>
        <v>1</v>
      </c>
      <c r="M3171" s="62">
        <f t="shared" si="6343"/>
        <v>1</v>
      </c>
      <c r="N3171" s="62">
        <f t="shared" si="6343"/>
        <v>1</v>
      </c>
      <c r="O3171" s="62">
        <f t="shared" si="6343"/>
        <v>1</v>
      </c>
      <c r="P3171" s="62" t="str">
        <f t="shared" si="6343"/>
        <v/>
      </c>
      <c r="Q3171" s="62" t="str">
        <f t="shared" si="6343"/>
        <v/>
      </c>
      <c r="R3171" s="62">
        <f t="shared" si="7"/>
        <v>0</v>
      </c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</row>
    <row r="3172" hidden="1">
      <c r="A3172" s="60"/>
      <c r="B3172" s="60"/>
      <c r="C3172" s="60"/>
      <c r="D3172" s="60"/>
      <c r="E3172" s="62" t="str">
        <f t="shared" si="5153"/>
        <v/>
      </c>
      <c r="F3172" s="62" t="str">
        <f t="shared" ref="F3172:G3172" si="6344">IF(isblank(F$1),,IF(isblank($A3172),,IFERROR(vlookup($A3172,indirect("'TVC-"&amp;text(month(F$1),"00")&amp;"'!$A:$D"),4,false),1)))</f>
        <v/>
      </c>
      <c r="G3172" s="62" t="str">
        <f t="shared" si="6344"/>
        <v/>
      </c>
      <c r="H3172" s="62">
        <f t="shared" ref="H3172:Q3172" si="6345">IF(isblank(H$1),,IFERROR(vlookup($A3172,indirect("'TVC-"&amp;text(month(H$1),"00")&amp;"'!$A:$D"),4,false),1))</f>
        <v>1</v>
      </c>
      <c r="I3172" s="62">
        <f t="shared" si="6345"/>
        <v>1</v>
      </c>
      <c r="J3172" s="62">
        <f t="shared" si="6345"/>
        <v>1</v>
      </c>
      <c r="K3172" s="62">
        <f t="shared" si="6345"/>
        <v>1</v>
      </c>
      <c r="L3172" s="62">
        <f t="shared" si="6345"/>
        <v>1</v>
      </c>
      <c r="M3172" s="62">
        <f t="shared" si="6345"/>
        <v>1</v>
      </c>
      <c r="N3172" s="62">
        <f t="shared" si="6345"/>
        <v>1</v>
      </c>
      <c r="O3172" s="62">
        <f t="shared" si="6345"/>
        <v>1</v>
      </c>
      <c r="P3172" s="62" t="str">
        <f t="shared" si="6345"/>
        <v/>
      </c>
      <c r="Q3172" s="62" t="str">
        <f t="shared" si="6345"/>
        <v/>
      </c>
      <c r="R3172" s="62">
        <f t="shared" si="7"/>
        <v>0</v>
      </c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</row>
    <row r="3173" hidden="1">
      <c r="A3173" s="60"/>
      <c r="B3173" s="60"/>
      <c r="C3173" s="60"/>
      <c r="D3173" s="60"/>
      <c r="E3173" s="62" t="str">
        <f t="shared" si="5153"/>
        <v/>
      </c>
      <c r="F3173" s="62" t="str">
        <f t="shared" ref="F3173:G3173" si="6346">IF(isblank(F$1),,IF(isblank($A3173),,IFERROR(vlookup($A3173,indirect("'TVC-"&amp;text(month(F$1),"00")&amp;"'!$A:$D"),4,false),1)))</f>
        <v/>
      </c>
      <c r="G3173" s="62" t="str">
        <f t="shared" si="6346"/>
        <v/>
      </c>
      <c r="H3173" s="62">
        <f t="shared" ref="H3173:Q3173" si="6347">IF(isblank(H$1),,IFERROR(vlookup($A3173,indirect("'TVC-"&amp;text(month(H$1),"00")&amp;"'!$A:$D"),4,false),1))</f>
        <v>1</v>
      </c>
      <c r="I3173" s="62">
        <f t="shared" si="6347"/>
        <v>1</v>
      </c>
      <c r="J3173" s="62">
        <f t="shared" si="6347"/>
        <v>1</v>
      </c>
      <c r="K3173" s="62">
        <f t="shared" si="6347"/>
        <v>1</v>
      </c>
      <c r="L3173" s="62">
        <f t="shared" si="6347"/>
        <v>1</v>
      </c>
      <c r="M3173" s="62">
        <f t="shared" si="6347"/>
        <v>1</v>
      </c>
      <c r="N3173" s="62">
        <f t="shared" si="6347"/>
        <v>1</v>
      </c>
      <c r="O3173" s="62">
        <f t="shared" si="6347"/>
        <v>1</v>
      </c>
      <c r="P3173" s="62" t="str">
        <f t="shared" si="6347"/>
        <v/>
      </c>
      <c r="Q3173" s="62" t="str">
        <f t="shared" si="6347"/>
        <v/>
      </c>
      <c r="R3173" s="62">
        <f t="shared" si="7"/>
        <v>0</v>
      </c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</row>
    <row r="3174" hidden="1">
      <c r="A3174" s="60"/>
      <c r="B3174" s="60"/>
      <c r="C3174" s="60"/>
      <c r="D3174" s="60"/>
      <c r="E3174" s="62" t="str">
        <f t="shared" si="5153"/>
        <v/>
      </c>
      <c r="F3174" s="62" t="str">
        <f t="shared" ref="F3174:G3174" si="6348">IF(isblank(F$1),,IF(isblank($A3174),,IFERROR(vlookup($A3174,indirect("'TVC-"&amp;text(month(F$1),"00")&amp;"'!$A:$D"),4,false),1)))</f>
        <v/>
      </c>
      <c r="G3174" s="62" t="str">
        <f t="shared" si="6348"/>
        <v/>
      </c>
      <c r="H3174" s="62">
        <f t="shared" ref="H3174:Q3174" si="6349">IF(isblank(H$1),,IFERROR(vlookup($A3174,indirect("'TVC-"&amp;text(month(H$1),"00")&amp;"'!$A:$D"),4,false),1))</f>
        <v>1</v>
      </c>
      <c r="I3174" s="62">
        <f t="shared" si="6349"/>
        <v>1</v>
      </c>
      <c r="J3174" s="62">
        <f t="shared" si="6349"/>
        <v>1</v>
      </c>
      <c r="K3174" s="62">
        <f t="shared" si="6349"/>
        <v>1</v>
      </c>
      <c r="L3174" s="62">
        <f t="shared" si="6349"/>
        <v>1</v>
      </c>
      <c r="M3174" s="62">
        <f t="shared" si="6349"/>
        <v>1</v>
      </c>
      <c r="N3174" s="62">
        <f t="shared" si="6349"/>
        <v>1</v>
      </c>
      <c r="O3174" s="62">
        <f t="shared" si="6349"/>
        <v>1</v>
      </c>
      <c r="P3174" s="62" t="str">
        <f t="shared" si="6349"/>
        <v/>
      </c>
      <c r="Q3174" s="62" t="str">
        <f t="shared" si="6349"/>
        <v/>
      </c>
      <c r="R3174" s="62">
        <f t="shared" si="7"/>
        <v>0</v>
      </c>
      <c r="S3174" s="62"/>
      <c r="T3174" s="62"/>
      <c r="U3174" s="62"/>
      <c r="V3174" s="62"/>
      <c r="W3174" s="62"/>
      <c r="X3174" s="62"/>
      <c r="Y3174" s="62"/>
      <c r="Z3174" s="62"/>
      <c r="AA3174" s="62"/>
      <c r="AB3174" s="62"/>
      <c r="AC3174" s="62"/>
    </row>
    <row r="3175" hidden="1">
      <c r="A3175" s="60"/>
      <c r="B3175" s="60"/>
      <c r="C3175" s="60"/>
      <c r="D3175" s="60"/>
      <c r="E3175" s="62" t="str">
        <f t="shared" si="5153"/>
        <v/>
      </c>
      <c r="F3175" s="62" t="str">
        <f t="shared" ref="F3175:G3175" si="6350">IF(isblank(F$1),,IF(isblank($A3175),,IFERROR(vlookup($A3175,indirect("'TVC-"&amp;text(month(F$1),"00")&amp;"'!$A:$D"),4,false),1)))</f>
        <v/>
      </c>
      <c r="G3175" s="62" t="str">
        <f t="shared" si="6350"/>
        <v/>
      </c>
      <c r="H3175" s="62">
        <f t="shared" ref="H3175:Q3175" si="6351">IF(isblank(H$1),,IFERROR(vlookup($A3175,indirect("'TVC-"&amp;text(month(H$1),"00")&amp;"'!$A:$D"),4,false),1))</f>
        <v>1</v>
      </c>
      <c r="I3175" s="62">
        <f t="shared" si="6351"/>
        <v>1</v>
      </c>
      <c r="J3175" s="62">
        <f t="shared" si="6351"/>
        <v>1</v>
      </c>
      <c r="K3175" s="62">
        <f t="shared" si="6351"/>
        <v>1</v>
      </c>
      <c r="L3175" s="62">
        <f t="shared" si="6351"/>
        <v>1</v>
      </c>
      <c r="M3175" s="62">
        <f t="shared" si="6351"/>
        <v>1</v>
      </c>
      <c r="N3175" s="62">
        <f t="shared" si="6351"/>
        <v>1</v>
      </c>
      <c r="O3175" s="62">
        <f t="shared" si="6351"/>
        <v>1</v>
      </c>
      <c r="P3175" s="62" t="str">
        <f t="shared" si="6351"/>
        <v/>
      </c>
      <c r="Q3175" s="62" t="str">
        <f t="shared" si="6351"/>
        <v/>
      </c>
      <c r="R3175" s="62">
        <f t="shared" si="7"/>
        <v>0</v>
      </c>
      <c r="S3175" s="62"/>
      <c r="T3175" s="62"/>
      <c r="U3175" s="62"/>
      <c r="V3175" s="62"/>
      <c r="W3175" s="62"/>
      <c r="X3175" s="62"/>
      <c r="Y3175" s="62"/>
      <c r="Z3175" s="62"/>
      <c r="AA3175" s="62"/>
      <c r="AB3175" s="62"/>
      <c r="AC3175" s="62"/>
    </row>
    <row r="3176" hidden="1">
      <c r="A3176" s="60"/>
      <c r="B3176" s="60"/>
      <c r="C3176" s="60"/>
      <c r="D3176" s="60"/>
      <c r="E3176" s="62" t="str">
        <f t="shared" si="5153"/>
        <v/>
      </c>
      <c r="F3176" s="62" t="str">
        <f t="shared" ref="F3176:G3176" si="6352">IF(isblank(F$1),,IF(isblank($A3176),,IFERROR(vlookup($A3176,indirect("'TVC-"&amp;text(month(F$1),"00")&amp;"'!$A:$D"),4,false),1)))</f>
        <v/>
      </c>
      <c r="G3176" s="62" t="str">
        <f t="shared" si="6352"/>
        <v/>
      </c>
      <c r="H3176" s="62">
        <f t="shared" ref="H3176:Q3176" si="6353">IF(isblank(H$1),,IFERROR(vlookup($A3176,indirect("'TVC-"&amp;text(month(H$1),"00")&amp;"'!$A:$D"),4,false),1))</f>
        <v>1</v>
      </c>
      <c r="I3176" s="62">
        <f t="shared" si="6353"/>
        <v>1</v>
      </c>
      <c r="J3176" s="62">
        <f t="shared" si="6353"/>
        <v>1</v>
      </c>
      <c r="K3176" s="62">
        <f t="shared" si="6353"/>
        <v>1</v>
      </c>
      <c r="L3176" s="62">
        <f t="shared" si="6353"/>
        <v>1</v>
      </c>
      <c r="M3176" s="62">
        <f t="shared" si="6353"/>
        <v>1</v>
      </c>
      <c r="N3176" s="62">
        <f t="shared" si="6353"/>
        <v>1</v>
      </c>
      <c r="O3176" s="62">
        <f t="shared" si="6353"/>
        <v>1</v>
      </c>
      <c r="P3176" s="62" t="str">
        <f t="shared" si="6353"/>
        <v/>
      </c>
      <c r="Q3176" s="62" t="str">
        <f t="shared" si="6353"/>
        <v/>
      </c>
      <c r="R3176" s="62">
        <f t="shared" si="7"/>
        <v>0</v>
      </c>
      <c r="S3176" s="62"/>
      <c r="T3176" s="62"/>
      <c r="U3176" s="62"/>
      <c r="V3176" s="62"/>
      <c r="W3176" s="62"/>
      <c r="X3176" s="62"/>
      <c r="Y3176" s="62"/>
      <c r="Z3176" s="62"/>
      <c r="AA3176" s="62"/>
      <c r="AB3176" s="62"/>
      <c r="AC3176" s="62"/>
    </row>
    <row r="3177" hidden="1">
      <c r="A3177" s="60"/>
      <c r="B3177" s="60"/>
      <c r="C3177" s="60"/>
      <c r="D3177" s="60"/>
      <c r="E3177" s="62" t="str">
        <f t="shared" si="5153"/>
        <v/>
      </c>
      <c r="F3177" s="62" t="str">
        <f t="shared" ref="F3177:G3177" si="6354">IF(isblank(F$1),,IF(isblank($A3177),,IFERROR(vlookup($A3177,indirect("'TVC-"&amp;text(month(F$1),"00")&amp;"'!$A:$D"),4,false),1)))</f>
        <v/>
      </c>
      <c r="G3177" s="62" t="str">
        <f t="shared" si="6354"/>
        <v/>
      </c>
      <c r="H3177" s="62">
        <f t="shared" ref="H3177:Q3177" si="6355">IF(isblank(H$1),,IFERROR(vlookup($A3177,indirect("'TVC-"&amp;text(month(H$1),"00")&amp;"'!$A:$D"),4,false),1))</f>
        <v>1</v>
      </c>
      <c r="I3177" s="62">
        <f t="shared" si="6355"/>
        <v>1</v>
      </c>
      <c r="J3177" s="62">
        <f t="shared" si="6355"/>
        <v>1</v>
      </c>
      <c r="K3177" s="62">
        <f t="shared" si="6355"/>
        <v>1</v>
      </c>
      <c r="L3177" s="62">
        <f t="shared" si="6355"/>
        <v>1</v>
      </c>
      <c r="M3177" s="62">
        <f t="shared" si="6355"/>
        <v>1</v>
      </c>
      <c r="N3177" s="62">
        <f t="shared" si="6355"/>
        <v>1</v>
      </c>
      <c r="O3177" s="62">
        <f t="shared" si="6355"/>
        <v>1</v>
      </c>
      <c r="P3177" s="62" t="str">
        <f t="shared" si="6355"/>
        <v/>
      </c>
      <c r="Q3177" s="62" t="str">
        <f t="shared" si="6355"/>
        <v/>
      </c>
      <c r="R3177" s="62">
        <f t="shared" si="7"/>
        <v>0</v>
      </c>
      <c r="S3177" s="62"/>
      <c r="T3177" s="62"/>
      <c r="U3177" s="62"/>
      <c r="V3177" s="62"/>
      <c r="W3177" s="62"/>
      <c r="X3177" s="62"/>
      <c r="Y3177" s="62"/>
      <c r="Z3177" s="62"/>
      <c r="AA3177" s="62"/>
      <c r="AB3177" s="62"/>
      <c r="AC3177" s="62"/>
    </row>
    <row r="3178" hidden="1">
      <c r="A3178" s="60"/>
      <c r="B3178" s="60"/>
      <c r="C3178" s="60"/>
      <c r="D3178" s="60"/>
      <c r="E3178" s="62" t="str">
        <f t="shared" si="5153"/>
        <v/>
      </c>
      <c r="F3178" s="62" t="str">
        <f t="shared" ref="F3178:G3178" si="6356">IF(isblank(F$1),,IF(isblank($A3178),,IFERROR(vlookup($A3178,indirect("'TVC-"&amp;text(month(F$1),"00")&amp;"'!$A:$D"),4,false),1)))</f>
        <v/>
      </c>
      <c r="G3178" s="62" t="str">
        <f t="shared" si="6356"/>
        <v/>
      </c>
      <c r="H3178" s="62">
        <f t="shared" ref="H3178:Q3178" si="6357">IF(isblank(H$1),,IFERROR(vlookup($A3178,indirect("'TVC-"&amp;text(month(H$1),"00")&amp;"'!$A:$D"),4,false),1))</f>
        <v>1</v>
      </c>
      <c r="I3178" s="62">
        <f t="shared" si="6357"/>
        <v>1</v>
      </c>
      <c r="J3178" s="62">
        <f t="shared" si="6357"/>
        <v>1</v>
      </c>
      <c r="K3178" s="62">
        <f t="shared" si="6357"/>
        <v>1</v>
      </c>
      <c r="L3178" s="62">
        <f t="shared" si="6357"/>
        <v>1</v>
      </c>
      <c r="M3178" s="62">
        <f t="shared" si="6357"/>
        <v>1</v>
      </c>
      <c r="N3178" s="62">
        <f t="shared" si="6357"/>
        <v>1</v>
      </c>
      <c r="O3178" s="62">
        <f t="shared" si="6357"/>
        <v>1</v>
      </c>
      <c r="P3178" s="62" t="str">
        <f t="shared" si="6357"/>
        <v/>
      </c>
      <c r="Q3178" s="62" t="str">
        <f t="shared" si="6357"/>
        <v/>
      </c>
      <c r="R3178" s="62">
        <f t="shared" si="7"/>
        <v>0</v>
      </c>
      <c r="S3178" s="62"/>
      <c r="T3178" s="62"/>
      <c r="U3178" s="62"/>
      <c r="V3178" s="62"/>
      <c r="W3178" s="62"/>
      <c r="X3178" s="62"/>
      <c r="Y3178" s="62"/>
      <c r="Z3178" s="62"/>
      <c r="AA3178" s="62"/>
      <c r="AB3178" s="62"/>
      <c r="AC3178" s="62"/>
    </row>
    <row r="3179" hidden="1">
      <c r="A3179" s="60"/>
      <c r="B3179" s="60"/>
      <c r="C3179" s="60"/>
      <c r="D3179" s="60"/>
      <c r="E3179" s="62" t="str">
        <f t="shared" si="5153"/>
        <v/>
      </c>
      <c r="F3179" s="62" t="str">
        <f t="shared" ref="F3179:G3179" si="6358">IF(isblank(F$1),,IF(isblank($A3179),,IFERROR(vlookup($A3179,indirect("'TVC-"&amp;text(month(F$1),"00")&amp;"'!$A:$D"),4,false),1)))</f>
        <v/>
      </c>
      <c r="G3179" s="62" t="str">
        <f t="shared" si="6358"/>
        <v/>
      </c>
      <c r="H3179" s="62">
        <f t="shared" ref="H3179:Q3179" si="6359">IF(isblank(H$1),,IFERROR(vlookup($A3179,indirect("'TVC-"&amp;text(month(H$1),"00")&amp;"'!$A:$D"),4,false),1))</f>
        <v>1</v>
      </c>
      <c r="I3179" s="62">
        <f t="shared" si="6359"/>
        <v>1</v>
      </c>
      <c r="J3179" s="62">
        <f t="shared" si="6359"/>
        <v>1</v>
      </c>
      <c r="K3179" s="62">
        <f t="shared" si="6359"/>
        <v>1</v>
      </c>
      <c r="L3179" s="62">
        <f t="shared" si="6359"/>
        <v>1</v>
      </c>
      <c r="M3179" s="62">
        <f t="shared" si="6359"/>
        <v>1</v>
      </c>
      <c r="N3179" s="62">
        <f t="shared" si="6359"/>
        <v>1</v>
      </c>
      <c r="O3179" s="62">
        <f t="shared" si="6359"/>
        <v>1</v>
      </c>
      <c r="P3179" s="62" t="str">
        <f t="shared" si="6359"/>
        <v/>
      </c>
      <c r="Q3179" s="62" t="str">
        <f t="shared" si="6359"/>
        <v/>
      </c>
      <c r="R3179" s="62">
        <f t="shared" si="7"/>
        <v>0</v>
      </c>
      <c r="S3179" s="62"/>
      <c r="T3179" s="62"/>
      <c r="U3179" s="62"/>
      <c r="V3179" s="62"/>
      <c r="W3179" s="62"/>
      <c r="X3179" s="62"/>
      <c r="Y3179" s="62"/>
      <c r="Z3179" s="62"/>
      <c r="AA3179" s="62"/>
      <c r="AB3179" s="62"/>
      <c r="AC3179" s="62"/>
    </row>
    <row r="3180" hidden="1">
      <c r="A3180" s="60"/>
      <c r="B3180" s="60"/>
      <c r="C3180" s="60"/>
      <c r="D3180" s="60"/>
      <c r="E3180" s="62" t="str">
        <f t="shared" si="5153"/>
        <v/>
      </c>
      <c r="F3180" s="62" t="str">
        <f t="shared" ref="F3180:G3180" si="6360">IF(isblank(F$1),,IF(isblank($A3180),,IFERROR(vlookup($A3180,indirect("'TVC-"&amp;text(month(F$1),"00")&amp;"'!$A:$D"),4,false),1)))</f>
        <v/>
      </c>
      <c r="G3180" s="62" t="str">
        <f t="shared" si="6360"/>
        <v/>
      </c>
      <c r="H3180" s="62">
        <f t="shared" ref="H3180:Q3180" si="6361">IF(isblank(H$1),,IFERROR(vlookup($A3180,indirect("'TVC-"&amp;text(month(H$1),"00")&amp;"'!$A:$D"),4,false),1))</f>
        <v>1</v>
      </c>
      <c r="I3180" s="62">
        <f t="shared" si="6361"/>
        <v>1</v>
      </c>
      <c r="J3180" s="62">
        <f t="shared" si="6361"/>
        <v>1</v>
      </c>
      <c r="K3180" s="62">
        <f t="shared" si="6361"/>
        <v>1</v>
      </c>
      <c r="L3180" s="62">
        <f t="shared" si="6361"/>
        <v>1</v>
      </c>
      <c r="M3180" s="62">
        <f t="shared" si="6361"/>
        <v>1</v>
      </c>
      <c r="N3180" s="62">
        <f t="shared" si="6361"/>
        <v>1</v>
      </c>
      <c r="O3180" s="62">
        <f t="shared" si="6361"/>
        <v>1</v>
      </c>
      <c r="P3180" s="62" t="str">
        <f t="shared" si="6361"/>
        <v/>
      </c>
      <c r="Q3180" s="62" t="str">
        <f t="shared" si="6361"/>
        <v/>
      </c>
      <c r="R3180" s="62">
        <f t="shared" si="7"/>
        <v>0</v>
      </c>
      <c r="S3180" s="62"/>
      <c r="T3180" s="62"/>
      <c r="U3180" s="62"/>
      <c r="V3180" s="62"/>
      <c r="W3180" s="62"/>
      <c r="X3180" s="62"/>
      <c r="Y3180" s="62"/>
      <c r="Z3180" s="62"/>
      <c r="AA3180" s="62"/>
      <c r="AB3180" s="62"/>
      <c r="AC3180" s="62"/>
    </row>
    <row r="3181" hidden="1">
      <c r="A3181" s="60"/>
      <c r="B3181" s="60"/>
      <c r="C3181" s="60"/>
      <c r="D3181" s="60"/>
      <c r="E3181" s="62" t="str">
        <f t="shared" si="5153"/>
        <v/>
      </c>
      <c r="F3181" s="62" t="str">
        <f t="shared" ref="F3181:G3181" si="6362">IF(isblank(F$1),,IF(isblank($A3181),,IFERROR(vlookup($A3181,indirect("'TVC-"&amp;text(month(F$1),"00")&amp;"'!$A:$D"),4,false),1)))</f>
        <v/>
      </c>
      <c r="G3181" s="62" t="str">
        <f t="shared" si="6362"/>
        <v/>
      </c>
      <c r="H3181" s="62">
        <f t="shared" ref="H3181:Q3181" si="6363">IF(isblank(H$1),,IFERROR(vlookup($A3181,indirect("'TVC-"&amp;text(month(H$1),"00")&amp;"'!$A:$D"),4,false),1))</f>
        <v>1</v>
      </c>
      <c r="I3181" s="62">
        <f t="shared" si="6363"/>
        <v>1</v>
      </c>
      <c r="J3181" s="62">
        <f t="shared" si="6363"/>
        <v>1</v>
      </c>
      <c r="K3181" s="62">
        <f t="shared" si="6363"/>
        <v>1</v>
      </c>
      <c r="L3181" s="62">
        <f t="shared" si="6363"/>
        <v>1</v>
      </c>
      <c r="M3181" s="62">
        <f t="shared" si="6363"/>
        <v>1</v>
      </c>
      <c r="N3181" s="62">
        <f t="shared" si="6363"/>
        <v>1</v>
      </c>
      <c r="O3181" s="62">
        <f t="shared" si="6363"/>
        <v>1</v>
      </c>
      <c r="P3181" s="62" t="str">
        <f t="shared" si="6363"/>
        <v/>
      </c>
      <c r="Q3181" s="62" t="str">
        <f t="shared" si="6363"/>
        <v/>
      </c>
      <c r="R3181" s="62">
        <f t="shared" si="7"/>
        <v>0</v>
      </c>
      <c r="S3181" s="62"/>
      <c r="T3181" s="62"/>
      <c r="U3181" s="62"/>
      <c r="V3181" s="62"/>
      <c r="W3181" s="62"/>
      <c r="X3181" s="62"/>
      <c r="Y3181" s="62"/>
      <c r="Z3181" s="62"/>
      <c r="AA3181" s="62"/>
      <c r="AB3181" s="62"/>
      <c r="AC3181" s="62"/>
    </row>
    <row r="3182" hidden="1">
      <c r="A3182" s="60"/>
      <c r="B3182" s="60"/>
      <c r="C3182" s="60"/>
      <c r="D3182" s="60"/>
      <c r="E3182" s="62" t="str">
        <f t="shared" si="5153"/>
        <v/>
      </c>
      <c r="F3182" s="62" t="str">
        <f t="shared" ref="F3182:G3182" si="6364">IF(isblank(F$1),,IF(isblank($A3182),,IFERROR(vlookup($A3182,indirect("'TVC-"&amp;text(month(F$1),"00")&amp;"'!$A:$D"),4,false),1)))</f>
        <v/>
      </c>
      <c r="G3182" s="62" t="str">
        <f t="shared" si="6364"/>
        <v/>
      </c>
      <c r="H3182" s="62">
        <f t="shared" ref="H3182:Q3182" si="6365">IF(isblank(H$1),,IFERROR(vlookup($A3182,indirect("'TVC-"&amp;text(month(H$1),"00")&amp;"'!$A:$D"),4,false),1))</f>
        <v>1</v>
      </c>
      <c r="I3182" s="62">
        <f t="shared" si="6365"/>
        <v>1</v>
      </c>
      <c r="J3182" s="62">
        <f t="shared" si="6365"/>
        <v>1</v>
      </c>
      <c r="K3182" s="62">
        <f t="shared" si="6365"/>
        <v>1</v>
      </c>
      <c r="L3182" s="62">
        <f t="shared" si="6365"/>
        <v>1</v>
      </c>
      <c r="M3182" s="62">
        <f t="shared" si="6365"/>
        <v>1</v>
      </c>
      <c r="N3182" s="62">
        <f t="shared" si="6365"/>
        <v>1</v>
      </c>
      <c r="O3182" s="62">
        <f t="shared" si="6365"/>
        <v>1</v>
      </c>
      <c r="P3182" s="62" t="str">
        <f t="shared" si="6365"/>
        <v/>
      </c>
      <c r="Q3182" s="62" t="str">
        <f t="shared" si="6365"/>
        <v/>
      </c>
      <c r="R3182" s="62">
        <f t="shared" si="7"/>
        <v>0</v>
      </c>
      <c r="S3182" s="62"/>
      <c r="T3182" s="62"/>
      <c r="U3182" s="62"/>
      <c r="V3182" s="62"/>
      <c r="W3182" s="62"/>
      <c r="X3182" s="62"/>
      <c r="Y3182" s="62"/>
      <c r="Z3182" s="62"/>
      <c r="AA3182" s="62"/>
      <c r="AB3182" s="62"/>
      <c r="AC3182" s="62"/>
    </row>
    <row r="3183" hidden="1">
      <c r="A3183" s="60"/>
      <c r="B3183" s="60"/>
      <c r="C3183" s="60"/>
      <c r="D3183" s="60"/>
      <c r="E3183" s="62" t="str">
        <f t="shared" si="5153"/>
        <v/>
      </c>
      <c r="F3183" s="62" t="str">
        <f t="shared" ref="F3183:G3183" si="6366">IF(isblank(F$1),,IF(isblank($A3183),,IFERROR(vlookup($A3183,indirect("'TVC-"&amp;text(month(F$1),"00")&amp;"'!$A:$D"),4,false),1)))</f>
        <v/>
      </c>
      <c r="G3183" s="62" t="str">
        <f t="shared" si="6366"/>
        <v/>
      </c>
      <c r="H3183" s="62">
        <f t="shared" ref="H3183:Q3183" si="6367">IF(isblank(H$1),,IFERROR(vlookup($A3183,indirect("'TVC-"&amp;text(month(H$1),"00")&amp;"'!$A:$D"),4,false),1))</f>
        <v>1</v>
      </c>
      <c r="I3183" s="62">
        <f t="shared" si="6367"/>
        <v>1</v>
      </c>
      <c r="J3183" s="62">
        <f t="shared" si="6367"/>
        <v>1</v>
      </c>
      <c r="K3183" s="62">
        <f t="shared" si="6367"/>
        <v>1</v>
      </c>
      <c r="L3183" s="62">
        <f t="shared" si="6367"/>
        <v>1</v>
      </c>
      <c r="M3183" s="62">
        <f t="shared" si="6367"/>
        <v>1</v>
      </c>
      <c r="N3183" s="62">
        <f t="shared" si="6367"/>
        <v>1</v>
      </c>
      <c r="O3183" s="62">
        <f t="shared" si="6367"/>
        <v>1</v>
      </c>
      <c r="P3183" s="62" t="str">
        <f t="shared" si="6367"/>
        <v/>
      </c>
      <c r="Q3183" s="62" t="str">
        <f t="shared" si="6367"/>
        <v/>
      </c>
      <c r="R3183" s="62">
        <f t="shared" si="7"/>
        <v>0</v>
      </c>
      <c r="S3183" s="62"/>
      <c r="T3183" s="62"/>
      <c r="U3183" s="62"/>
      <c r="V3183" s="62"/>
      <c r="W3183" s="62"/>
      <c r="X3183" s="62"/>
      <c r="Y3183" s="62"/>
      <c r="Z3183" s="62"/>
      <c r="AA3183" s="62"/>
      <c r="AB3183" s="62"/>
      <c r="AC3183" s="62"/>
    </row>
    <row r="3184" hidden="1">
      <c r="A3184" s="60"/>
      <c r="B3184" s="60"/>
      <c r="C3184" s="60"/>
      <c r="D3184" s="60"/>
      <c r="E3184" s="62" t="str">
        <f t="shared" si="5153"/>
        <v/>
      </c>
      <c r="F3184" s="62" t="str">
        <f t="shared" ref="F3184:G3184" si="6368">IF(isblank(F$1),,IF(isblank($A3184),,IFERROR(vlookup($A3184,indirect("'TVC-"&amp;text(month(F$1),"00")&amp;"'!$A:$D"),4,false),1)))</f>
        <v/>
      </c>
      <c r="G3184" s="62" t="str">
        <f t="shared" si="6368"/>
        <v/>
      </c>
      <c r="H3184" s="62">
        <f t="shared" ref="H3184:Q3184" si="6369">IF(isblank(H$1),,IFERROR(vlookup($A3184,indirect("'TVC-"&amp;text(month(H$1),"00")&amp;"'!$A:$D"),4,false),1))</f>
        <v>1</v>
      </c>
      <c r="I3184" s="62">
        <f t="shared" si="6369"/>
        <v>1</v>
      </c>
      <c r="J3184" s="62">
        <f t="shared" si="6369"/>
        <v>1</v>
      </c>
      <c r="K3184" s="62">
        <f t="shared" si="6369"/>
        <v>1</v>
      </c>
      <c r="L3184" s="62">
        <f t="shared" si="6369"/>
        <v>1</v>
      </c>
      <c r="M3184" s="62">
        <f t="shared" si="6369"/>
        <v>1</v>
      </c>
      <c r="N3184" s="62">
        <f t="shared" si="6369"/>
        <v>1</v>
      </c>
      <c r="O3184" s="62">
        <f t="shared" si="6369"/>
        <v>1</v>
      </c>
      <c r="P3184" s="62" t="str">
        <f t="shared" si="6369"/>
        <v/>
      </c>
      <c r="Q3184" s="62" t="str">
        <f t="shared" si="6369"/>
        <v/>
      </c>
      <c r="R3184" s="62">
        <f t="shared" si="7"/>
        <v>0</v>
      </c>
      <c r="S3184" s="62"/>
      <c r="T3184" s="62"/>
      <c r="U3184" s="62"/>
      <c r="V3184" s="62"/>
      <c r="W3184" s="62"/>
      <c r="X3184" s="62"/>
      <c r="Y3184" s="62"/>
      <c r="Z3184" s="62"/>
      <c r="AA3184" s="62"/>
      <c r="AB3184" s="62"/>
      <c r="AC3184" s="62"/>
    </row>
    <row r="3185" hidden="1">
      <c r="A3185" s="60"/>
      <c r="B3185" s="60"/>
      <c r="C3185" s="60"/>
      <c r="D3185" s="60"/>
      <c r="E3185" s="62" t="str">
        <f t="shared" si="5153"/>
        <v/>
      </c>
      <c r="F3185" s="62" t="str">
        <f t="shared" ref="F3185:G3185" si="6370">IF(isblank(F$1),,IF(isblank($A3185),,IFERROR(vlookup($A3185,indirect("'TVC-"&amp;text(month(F$1),"00")&amp;"'!$A:$D"),4,false),1)))</f>
        <v/>
      </c>
      <c r="G3185" s="62" t="str">
        <f t="shared" si="6370"/>
        <v/>
      </c>
      <c r="H3185" s="62">
        <f t="shared" ref="H3185:Q3185" si="6371">IF(isblank(H$1),,IFERROR(vlookup($A3185,indirect("'TVC-"&amp;text(month(H$1),"00")&amp;"'!$A:$D"),4,false),1))</f>
        <v>1</v>
      </c>
      <c r="I3185" s="62">
        <f t="shared" si="6371"/>
        <v>1</v>
      </c>
      <c r="J3185" s="62">
        <f t="shared" si="6371"/>
        <v>1</v>
      </c>
      <c r="K3185" s="62">
        <f t="shared" si="6371"/>
        <v>1</v>
      </c>
      <c r="L3185" s="62">
        <f t="shared" si="6371"/>
        <v>1</v>
      </c>
      <c r="M3185" s="62">
        <f t="shared" si="6371"/>
        <v>1</v>
      </c>
      <c r="N3185" s="62">
        <f t="shared" si="6371"/>
        <v>1</v>
      </c>
      <c r="O3185" s="62">
        <f t="shared" si="6371"/>
        <v>1</v>
      </c>
      <c r="P3185" s="62" t="str">
        <f t="shared" si="6371"/>
        <v/>
      </c>
      <c r="Q3185" s="62" t="str">
        <f t="shared" si="6371"/>
        <v/>
      </c>
      <c r="R3185" s="62">
        <f t="shared" si="7"/>
        <v>0</v>
      </c>
      <c r="S3185" s="62"/>
      <c r="T3185" s="62"/>
      <c r="U3185" s="62"/>
      <c r="V3185" s="62"/>
      <c r="W3185" s="62"/>
      <c r="X3185" s="62"/>
      <c r="Y3185" s="62"/>
      <c r="Z3185" s="62"/>
      <c r="AA3185" s="62"/>
      <c r="AB3185" s="62"/>
      <c r="AC3185" s="62"/>
    </row>
    <row r="3186" hidden="1">
      <c r="A3186" s="60"/>
      <c r="B3186" s="60"/>
      <c r="C3186" s="60"/>
      <c r="D3186" s="60"/>
      <c r="E3186" s="62" t="str">
        <f t="shared" si="5153"/>
        <v/>
      </c>
      <c r="F3186" s="62" t="str">
        <f t="shared" ref="F3186:G3186" si="6372">IF(isblank(F$1),,IF(isblank($A3186),,IFERROR(vlookup($A3186,indirect("'TVC-"&amp;text(month(F$1),"00")&amp;"'!$A:$D"),4,false),1)))</f>
        <v/>
      </c>
      <c r="G3186" s="62" t="str">
        <f t="shared" si="6372"/>
        <v/>
      </c>
      <c r="H3186" s="62">
        <f t="shared" ref="H3186:Q3186" si="6373">IF(isblank(H$1),,IFERROR(vlookup($A3186,indirect("'TVC-"&amp;text(month(H$1),"00")&amp;"'!$A:$D"),4,false),1))</f>
        <v>1</v>
      </c>
      <c r="I3186" s="62">
        <f t="shared" si="6373"/>
        <v>1</v>
      </c>
      <c r="J3186" s="62">
        <f t="shared" si="6373"/>
        <v>1</v>
      </c>
      <c r="K3186" s="62">
        <f t="shared" si="6373"/>
        <v>1</v>
      </c>
      <c r="L3186" s="62">
        <f t="shared" si="6373"/>
        <v>1</v>
      </c>
      <c r="M3186" s="62">
        <f t="shared" si="6373"/>
        <v>1</v>
      </c>
      <c r="N3186" s="62">
        <f t="shared" si="6373"/>
        <v>1</v>
      </c>
      <c r="O3186" s="62">
        <f t="shared" si="6373"/>
        <v>1</v>
      </c>
      <c r="P3186" s="62" t="str">
        <f t="shared" si="6373"/>
        <v/>
      </c>
      <c r="Q3186" s="62" t="str">
        <f t="shared" si="6373"/>
        <v/>
      </c>
      <c r="R3186" s="62">
        <f t="shared" si="7"/>
        <v>0</v>
      </c>
      <c r="S3186" s="62"/>
      <c r="T3186" s="62"/>
      <c r="U3186" s="62"/>
      <c r="V3186" s="62"/>
      <c r="W3186" s="62"/>
      <c r="X3186" s="62"/>
      <c r="Y3186" s="62"/>
      <c r="Z3186" s="62"/>
      <c r="AA3186" s="62"/>
      <c r="AB3186" s="62"/>
      <c r="AC3186" s="62"/>
    </row>
    <row r="3187" hidden="1">
      <c r="A3187" s="60"/>
      <c r="B3187" s="60"/>
      <c r="C3187" s="60"/>
      <c r="D3187" s="60"/>
      <c r="E3187" s="62" t="str">
        <f t="shared" si="5153"/>
        <v/>
      </c>
      <c r="F3187" s="62" t="str">
        <f t="shared" ref="F3187:G3187" si="6374">IF(isblank(F$1),,IF(isblank($A3187),,IFERROR(vlookup($A3187,indirect("'TVC-"&amp;text(month(F$1),"00")&amp;"'!$A:$D"),4,false),1)))</f>
        <v/>
      </c>
      <c r="G3187" s="62" t="str">
        <f t="shared" si="6374"/>
        <v/>
      </c>
      <c r="H3187" s="62">
        <f t="shared" ref="H3187:Q3187" si="6375">IF(isblank(H$1),,IFERROR(vlookup($A3187,indirect("'TVC-"&amp;text(month(H$1),"00")&amp;"'!$A:$D"),4,false),1))</f>
        <v>1</v>
      </c>
      <c r="I3187" s="62">
        <f t="shared" si="6375"/>
        <v>1</v>
      </c>
      <c r="J3187" s="62">
        <f t="shared" si="6375"/>
        <v>1</v>
      </c>
      <c r="K3187" s="62">
        <f t="shared" si="6375"/>
        <v>1</v>
      </c>
      <c r="L3187" s="62">
        <f t="shared" si="6375"/>
        <v>1</v>
      </c>
      <c r="M3187" s="62">
        <f t="shared" si="6375"/>
        <v>1</v>
      </c>
      <c r="N3187" s="62">
        <f t="shared" si="6375"/>
        <v>1</v>
      </c>
      <c r="O3187" s="62">
        <f t="shared" si="6375"/>
        <v>1</v>
      </c>
      <c r="P3187" s="62" t="str">
        <f t="shared" si="6375"/>
        <v/>
      </c>
      <c r="Q3187" s="62" t="str">
        <f t="shared" si="6375"/>
        <v/>
      </c>
      <c r="R3187" s="62">
        <f t="shared" si="7"/>
        <v>0</v>
      </c>
      <c r="S3187" s="62"/>
      <c r="T3187" s="62"/>
      <c r="U3187" s="62"/>
      <c r="V3187" s="62"/>
      <c r="W3187" s="62"/>
      <c r="X3187" s="62"/>
      <c r="Y3187" s="62"/>
      <c r="Z3187" s="62"/>
      <c r="AA3187" s="62"/>
      <c r="AB3187" s="62"/>
      <c r="AC3187" s="62"/>
    </row>
    <row r="3188" hidden="1">
      <c r="A3188" s="60"/>
      <c r="B3188" s="60"/>
      <c r="C3188" s="60"/>
      <c r="D3188" s="60"/>
      <c r="E3188" s="62" t="str">
        <f t="shared" si="5153"/>
        <v/>
      </c>
      <c r="F3188" s="62" t="str">
        <f t="shared" ref="F3188:G3188" si="6376">IF(isblank(F$1),,IF(isblank($A3188),,IFERROR(vlookup($A3188,indirect("'TVC-"&amp;text(month(F$1),"00")&amp;"'!$A:$D"),4,false),1)))</f>
        <v/>
      </c>
      <c r="G3188" s="62" t="str">
        <f t="shared" si="6376"/>
        <v/>
      </c>
      <c r="H3188" s="62">
        <f t="shared" ref="H3188:Q3188" si="6377">IF(isblank(H$1),,IFERROR(vlookup($A3188,indirect("'TVC-"&amp;text(month(H$1),"00")&amp;"'!$A:$D"),4,false),1))</f>
        <v>1</v>
      </c>
      <c r="I3188" s="62">
        <f t="shared" si="6377"/>
        <v>1</v>
      </c>
      <c r="J3188" s="62">
        <f t="shared" si="6377"/>
        <v>1</v>
      </c>
      <c r="K3188" s="62">
        <f t="shared" si="6377"/>
        <v>1</v>
      </c>
      <c r="L3188" s="62">
        <f t="shared" si="6377"/>
        <v>1</v>
      </c>
      <c r="M3188" s="62">
        <f t="shared" si="6377"/>
        <v>1</v>
      </c>
      <c r="N3188" s="62">
        <f t="shared" si="6377"/>
        <v>1</v>
      </c>
      <c r="O3188" s="62">
        <f t="shared" si="6377"/>
        <v>1</v>
      </c>
      <c r="P3188" s="62" t="str">
        <f t="shared" si="6377"/>
        <v/>
      </c>
      <c r="Q3188" s="62" t="str">
        <f t="shared" si="6377"/>
        <v/>
      </c>
      <c r="R3188" s="62">
        <f t="shared" si="7"/>
        <v>0</v>
      </c>
      <c r="S3188" s="62"/>
      <c r="T3188" s="62"/>
      <c r="U3188" s="62"/>
      <c r="V3188" s="62"/>
      <c r="W3188" s="62"/>
      <c r="X3188" s="62"/>
      <c r="Y3188" s="62"/>
      <c r="Z3188" s="62"/>
      <c r="AA3188" s="62"/>
      <c r="AB3188" s="62"/>
      <c r="AC3188" s="62"/>
    </row>
    <row r="3189" hidden="1">
      <c r="A3189" s="60"/>
      <c r="B3189" s="60"/>
      <c r="C3189" s="60"/>
      <c r="D3189" s="60"/>
      <c r="E3189" s="62" t="str">
        <f t="shared" si="5153"/>
        <v/>
      </c>
      <c r="F3189" s="62" t="str">
        <f t="shared" ref="F3189:G3189" si="6378">IF(isblank(F$1),,IF(isblank($A3189),,IFERROR(vlookup($A3189,indirect("'TVC-"&amp;text(month(F$1),"00")&amp;"'!$A:$D"),4,false),1)))</f>
        <v/>
      </c>
      <c r="G3189" s="62" t="str">
        <f t="shared" si="6378"/>
        <v/>
      </c>
      <c r="H3189" s="62">
        <f t="shared" ref="H3189:Q3189" si="6379">IF(isblank(H$1),,IFERROR(vlookup($A3189,indirect("'TVC-"&amp;text(month(H$1),"00")&amp;"'!$A:$D"),4,false),1))</f>
        <v>1</v>
      </c>
      <c r="I3189" s="62">
        <f t="shared" si="6379"/>
        <v>1</v>
      </c>
      <c r="J3189" s="62">
        <f t="shared" si="6379"/>
        <v>1</v>
      </c>
      <c r="K3189" s="62">
        <f t="shared" si="6379"/>
        <v>1</v>
      </c>
      <c r="L3189" s="62">
        <f t="shared" si="6379"/>
        <v>1</v>
      </c>
      <c r="M3189" s="62">
        <f t="shared" si="6379"/>
        <v>1</v>
      </c>
      <c r="N3189" s="62">
        <f t="shared" si="6379"/>
        <v>1</v>
      </c>
      <c r="O3189" s="62">
        <f t="shared" si="6379"/>
        <v>1</v>
      </c>
      <c r="P3189" s="62" t="str">
        <f t="shared" si="6379"/>
        <v/>
      </c>
      <c r="Q3189" s="62" t="str">
        <f t="shared" si="6379"/>
        <v/>
      </c>
      <c r="R3189" s="62">
        <f t="shared" si="7"/>
        <v>0</v>
      </c>
      <c r="S3189" s="62"/>
      <c r="T3189" s="62"/>
      <c r="U3189" s="62"/>
      <c r="V3189" s="62"/>
      <c r="W3189" s="62"/>
      <c r="X3189" s="62"/>
      <c r="Y3189" s="62"/>
      <c r="Z3189" s="62"/>
      <c r="AA3189" s="62"/>
      <c r="AB3189" s="62"/>
      <c r="AC3189" s="62"/>
    </row>
    <row r="3190" hidden="1">
      <c r="A3190" s="60"/>
      <c r="B3190" s="60"/>
      <c r="C3190" s="60"/>
      <c r="D3190" s="60"/>
      <c r="E3190" s="62" t="str">
        <f t="shared" si="5153"/>
        <v/>
      </c>
      <c r="F3190" s="62" t="str">
        <f t="shared" ref="F3190:G3190" si="6380">IF(isblank(F$1),,IF(isblank($A3190),,IFERROR(vlookup($A3190,indirect("'TVC-"&amp;text(month(F$1),"00")&amp;"'!$A:$D"),4,false),1)))</f>
        <v/>
      </c>
      <c r="G3190" s="62" t="str">
        <f t="shared" si="6380"/>
        <v/>
      </c>
      <c r="H3190" s="62">
        <f t="shared" ref="H3190:Q3190" si="6381">IF(isblank(H$1),,IFERROR(vlookup($A3190,indirect("'TVC-"&amp;text(month(H$1),"00")&amp;"'!$A:$D"),4,false),1))</f>
        <v>1</v>
      </c>
      <c r="I3190" s="62">
        <f t="shared" si="6381"/>
        <v>1</v>
      </c>
      <c r="J3190" s="62">
        <f t="shared" si="6381"/>
        <v>1</v>
      </c>
      <c r="K3190" s="62">
        <f t="shared" si="6381"/>
        <v>1</v>
      </c>
      <c r="L3190" s="62">
        <f t="shared" si="6381"/>
        <v>1</v>
      </c>
      <c r="M3190" s="62">
        <f t="shared" si="6381"/>
        <v>1</v>
      </c>
      <c r="N3190" s="62">
        <f t="shared" si="6381"/>
        <v>1</v>
      </c>
      <c r="O3190" s="62">
        <f t="shared" si="6381"/>
        <v>1</v>
      </c>
      <c r="P3190" s="62" t="str">
        <f t="shared" si="6381"/>
        <v/>
      </c>
      <c r="Q3190" s="62" t="str">
        <f t="shared" si="6381"/>
        <v/>
      </c>
      <c r="R3190" s="62">
        <f t="shared" si="7"/>
        <v>0</v>
      </c>
      <c r="S3190" s="62"/>
      <c r="T3190" s="62"/>
      <c r="U3190" s="62"/>
      <c r="V3190" s="62"/>
      <c r="W3190" s="62"/>
      <c r="X3190" s="62"/>
      <c r="Y3190" s="62"/>
      <c r="Z3190" s="62"/>
      <c r="AA3190" s="62"/>
      <c r="AB3190" s="62"/>
      <c r="AC3190" s="62"/>
    </row>
    <row r="3191" hidden="1">
      <c r="A3191" s="60"/>
      <c r="B3191" s="60"/>
      <c r="C3191" s="60"/>
      <c r="D3191" s="60"/>
      <c r="E3191" s="62" t="str">
        <f t="shared" si="5153"/>
        <v/>
      </c>
      <c r="F3191" s="62" t="str">
        <f t="shared" ref="F3191:G3191" si="6382">IF(isblank(F$1),,IF(isblank($A3191),,IFERROR(vlookup($A3191,indirect("'TVC-"&amp;text(month(F$1),"00")&amp;"'!$A:$D"),4,false),1)))</f>
        <v/>
      </c>
      <c r="G3191" s="62" t="str">
        <f t="shared" si="6382"/>
        <v/>
      </c>
      <c r="H3191" s="62">
        <f t="shared" ref="H3191:Q3191" si="6383">IF(isblank(H$1),,IFERROR(vlookup($A3191,indirect("'TVC-"&amp;text(month(H$1),"00")&amp;"'!$A:$D"),4,false),1))</f>
        <v>1</v>
      </c>
      <c r="I3191" s="62">
        <f t="shared" si="6383"/>
        <v>1</v>
      </c>
      <c r="J3191" s="62">
        <f t="shared" si="6383"/>
        <v>1</v>
      </c>
      <c r="K3191" s="62">
        <f t="shared" si="6383"/>
        <v>1</v>
      </c>
      <c r="L3191" s="62">
        <f t="shared" si="6383"/>
        <v>1</v>
      </c>
      <c r="M3191" s="62">
        <f t="shared" si="6383"/>
        <v>1</v>
      </c>
      <c r="N3191" s="62">
        <f t="shared" si="6383"/>
        <v>1</v>
      </c>
      <c r="O3191" s="62">
        <f t="shared" si="6383"/>
        <v>1</v>
      </c>
      <c r="P3191" s="62" t="str">
        <f t="shared" si="6383"/>
        <v/>
      </c>
      <c r="Q3191" s="62" t="str">
        <f t="shared" si="6383"/>
        <v/>
      </c>
      <c r="R3191" s="62">
        <f t="shared" si="7"/>
        <v>0</v>
      </c>
      <c r="S3191" s="62"/>
      <c r="T3191" s="62"/>
      <c r="U3191" s="62"/>
      <c r="V3191" s="62"/>
      <c r="W3191" s="62"/>
      <c r="X3191" s="62"/>
      <c r="Y3191" s="62"/>
      <c r="Z3191" s="62"/>
      <c r="AA3191" s="62"/>
      <c r="AB3191" s="62"/>
      <c r="AC3191" s="62"/>
    </row>
    <row r="3192" hidden="1">
      <c r="A3192" s="60"/>
      <c r="B3192" s="60"/>
      <c r="C3192" s="60"/>
      <c r="D3192" s="60"/>
      <c r="E3192" s="62" t="str">
        <f t="shared" si="5153"/>
        <v/>
      </c>
      <c r="F3192" s="62" t="str">
        <f t="shared" ref="F3192:G3192" si="6384">IF(isblank(F$1),,IF(isblank($A3192),,IFERROR(vlookup($A3192,indirect("'TVC-"&amp;text(month(F$1),"00")&amp;"'!$A:$D"),4,false),1)))</f>
        <v/>
      </c>
      <c r="G3192" s="62" t="str">
        <f t="shared" si="6384"/>
        <v/>
      </c>
      <c r="H3192" s="62">
        <f t="shared" ref="H3192:Q3192" si="6385">IF(isblank(H$1),,IFERROR(vlookup($A3192,indirect("'TVC-"&amp;text(month(H$1),"00")&amp;"'!$A:$D"),4,false),1))</f>
        <v>1</v>
      </c>
      <c r="I3192" s="62">
        <f t="shared" si="6385"/>
        <v>1</v>
      </c>
      <c r="J3192" s="62">
        <f t="shared" si="6385"/>
        <v>1</v>
      </c>
      <c r="K3192" s="62">
        <f t="shared" si="6385"/>
        <v>1</v>
      </c>
      <c r="L3192" s="62">
        <f t="shared" si="6385"/>
        <v>1</v>
      </c>
      <c r="M3192" s="62">
        <f t="shared" si="6385"/>
        <v>1</v>
      </c>
      <c r="N3192" s="62">
        <f t="shared" si="6385"/>
        <v>1</v>
      </c>
      <c r="O3192" s="62">
        <f t="shared" si="6385"/>
        <v>1</v>
      </c>
      <c r="P3192" s="62" t="str">
        <f t="shared" si="6385"/>
        <v/>
      </c>
      <c r="Q3192" s="62" t="str">
        <f t="shared" si="6385"/>
        <v/>
      </c>
      <c r="R3192" s="62">
        <f t="shared" si="7"/>
        <v>0</v>
      </c>
      <c r="S3192" s="62"/>
      <c r="T3192" s="62"/>
      <c r="U3192" s="62"/>
      <c r="V3192" s="62"/>
      <c r="W3192" s="62"/>
      <c r="X3192" s="62"/>
      <c r="Y3192" s="62"/>
      <c r="Z3192" s="62"/>
      <c r="AA3192" s="62"/>
      <c r="AB3192" s="62"/>
      <c r="AC3192" s="62"/>
    </row>
    <row r="3193" hidden="1">
      <c r="A3193" s="60"/>
      <c r="B3193" s="60"/>
      <c r="C3193" s="60"/>
      <c r="D3193" s="60"/>
      <c r="E3193" s="62" t="str">
        <f t="shared" si="5153"/>
        <v/>
      </c>
      <c r="F3193" s="62" t="str">
        <f t="shared" ref="F3193:G3193" si="6386">IF(isblank(F$1),,IF(isblank($A3193),,IFERROR(vlookup($A3193,indirect("'TVC-"&amp;text(month(F$1),"00")&amp;"'!$A:$D"),4,false),1)))</f>
        <v/>
      </c>
      <c r="G3193" s="62" t="str">
        <f t="shared" si="6386"/>
        <v/>
      </c>
      <c r="H3193" s="62">
        <f t="shared" ref="H3193:Q3193" si="6387">IF(isblank(H$1),,IFERROR(vlookup($A3193,indirect("'TVC-"&amp;text(month(H$1),"00")&amp;"'!$A:$D"),4,false),1))</f>
        <v>1</v>
      </c>
      <c r="I3193" s="62">
        <f t="shared" si="6387"/>
        <v>1</v>
      </c>
      <c r="J3193" s="62">
        <f t="shared" si="6387"/>
        <v>1</v>
      </c>
      <c r="K3193" s="62">
        <f t="shared" si="6387"/>
        <v>1</v>
      </c>
      <c r="L3193" s="62">
        <f t="shared" si="6387"/>
        <v>1</v>
      </c>
      <c r="M3193" s="62">
        <f t="shared" si="6387"/>
        <v>1</v>
      </c>
      <c r="N3193" s="62">
        <f t="shared" si="6387"/>
        <v>1</v>
      </c>
      <c r="O3193" s="62">
        <f t="shared" si="6387"/>
        <v>1</v>
      </c>
      <c r="P3193" s="62" t="str">
        <f t="shared" si="6387"/>
        <v/>
      </c>
      <c r="Q3193" s="62" t="str">
        <f t="shared" si="6387"/>
        <v/>
      </c>
      <c r="R3193" s="62">
        <f t="shared" si="7"/>
        <v>0</v>
      </c>
      <c r="S3193" s="62"/>
      <c r="T3193" s="62"/>
      <c r="U3193" s="62"/>
      <c r="V3193" s="62"/>
      <c r="W3193" s="62"/>
      <c r="X3193" s="62"/>
      <c r="Y3193" s="62"/>
      <c r="Z3193" s="62"/>
      <c r="AA3193" s="62"/>
      <c r="AB3193" s="62"/>
      <c r="AC3193" s="62"/>
    </row>
    <row r="3194" hidden="1">
      <c r="A3194" s="60"/>
      <c r="B3194" s="60"/>
      <c r="C3194" s="60"/>
      <c r="D3194" s="60"/>
      <c r="E3194" s="62" t="str">
        <f t="shared" si="5153"/>
        <v/>
      </c>
      <c r="F3194" s="62" t="str">
        <f t="shared" ref="F3194:G3194" si="6388">IF(isblank(F$1),,IF(isblank($A3194),,IFERROR(vlookup($A3194,indirect("'TVC-"&amp;text(month(F$1),"00")&amp;"'!$A:$D"),4,false),1)))</f>
        <v/>
      </c>
      <c r="G3194" s="62" t="str">
        <f t="shared" si="6388"/>
        <v/>
      </c>
      <c r="H3194" s="62">
        <f t="shared" ref="H3194:Q3194" si="6389">IF(isblank(H$1),,IFERROR(vlookup($A3194,indirect("'TVC-"&amp;text(month(H$1),"00")&amp;"'!$A:$D"),4,false),1))</f>
        <v>1</v>
      </c>
      <c r="I3194" s="62">
        <f t="shared" si="6389"/>
        <v>1</v>
      </c>
      <c r="J3194" s="62">
        <f t="shared" si="6389"/>
        <v>1</v>
      </c>
      <c r="K3194" s="62">
        <f t="shared" si="6389"/>
        <v>1</v>
      </c>
      <c r="L3194" s="62">
        <f t="shared" si="6389"/>
        <v>1</v>
      </c>
      <c r="M3194" s="62">
        <f t="shared" si="6389"/>
        <v>1</v>
      </c>
      <c r="N3194" s="62">
        <f t="shared" si="6389"/>
        <v>1</v>
      </c>
      <c r="O3194" s="62">
        <f t="shared" si="6389"/>
        <v>1</v>
      </c>
      <c r="P3194" s="62" t="str">
        <f t="shared" si="6389"/>
        <v/>
      </c>
      <c r="Q3194" s="62" t="str">
        <f t="shared" si="6389"/>
        <v/>
      </c>
      <c r="R3194" s="62">
        <f t="shared" si="7"/>
        <v>0</v>
      </c>
      <c r="S3194" s="62"/>
      <c r="T3194" s="62"/>
      <c r="U3194" s="62"/>
      <c r="V3194" s="62"/>
      <c r="W3194" s="62"/>
      <c r="X3194" s="62"/>
      <c r="Y3194" s="62"/>
      <c r="Z3194" s="62"/>
      <c r="AA3194" s="62"/>
      <c r="AB3194" s="62"/>
      <c r="AC3194" s="62"/>
    </row>
    <row r="3195" hidden="1">
      <c r="A3195" s="60"/>
      <c r="B3195" s="60"/>
      <c r="C3195" s="60"/>
      <c r="D3195" s="60"/>
      <c r="E3195" s="62" t="str">
        <f t="shared" si="5153"/>
        <v/>
      </c>
      <c r="F3195" s="62" t="str">
        <f t="shared" ref="F3195:G3195" si="6390">IF(isblank(F$1),,IF(isblank($A3195),,IFERROR(vlookup($A3195,indirect("'TVC-"&amp;text(month(F$1),"00")&amp;"'!$A:$D"),4,false),1)))</f>
        <v/>
      </c>
      <c r="G3195" s="62" t="str">
        <f t="shared" si="6390"/>
        <v/>
      </c>
      <c r="H3195" s="62">
        <f t="shared" ref="H3195:Q3195" si="6391">IF(isblank(H$1),,IFERROR(vlookup($A3195,indirect("'TVC-"&amp;text(month(H$1),"00")&amp;"'!$A:$D"),4,false),1))</f>
        <v>1</v>
      </c>
      <c r="I3195" s="62">
        <f t="shared" si="6391"/>
        <v>1</v>
      </c>
      <c r="J3195" s="62">
        <f t="shared" si="6391"/>
        <v>1</v>
      </c>
      <c r="K3195" s="62">
        <f t="shared" si="6391"/>
        <v>1</v>
      </c>
      <c r="L3195" s="62">
        <f t="shared" si="6391"/>
        <v>1</v>
      </c>
      <c r="M3195" s="62">
        <f t="shared" si="6391"/>
        <v>1</v>
      </c>
      <c r="N3195" s="62">
        <f t="shared" si="6391"/>
        <v>1</v>
      </c>
      <c r="O3195" s="62">
        <f t="shared" si="6391"/>
        <v>1</v>
      </c>
      <c r="P3195" s="62" t="str">
        <f t="shared" si="6391"/>
        <v/>
      </c>
      <c r="Q3195" s="62" t="str">
        <f t="shared" si="6391"/>
        <v/>
      </c>
      <c r="R3195" s="62">
        <f t="shared" si="7"/>
        <v>0</v>
      </c>
      <c r="S3195" s="62"/>
      <c r="T3195" s="62"/>
      <c r="U3195" s="62"/>
      <c r="V3195" s="62"/>
      <c r="W3195" s="62"/>
      <c r="X3195" s="62"/>
      <c r="Y3195" s="62"/>
      <c r="Z3195" s="62"/>
      <c r="AA3195" s="62"/>
      <c r="AB3195" s="62"/>
      <c r="AC3195" s="62"/>
    </row>
    <row r="3196" hidden="1">
      <c r="A3196" s="60"/>
      <c r="B3196" s="60"/>
      <c r="C3196" s="60"/>
      <c r="D3196" s="60"/>
      <c r="E3196" s="62" t="str">
        <f t="shared" si="5153"/>
        <v/>
      </c>
      <c r="F3196" s="62" t="str">
        <f t="shared" ref="F3196:G3196" si="6392">IF(isblank(F$1),,IF(isblank($A3196),,IFERROR(vlookup($A3196,indirect("'TVC-"&amp;text(month(F$1),"00")&amp;"'!$A:$D"),4,false),1)))</f>
        <v/>
      </c>
      <c r="G3196" s="62" t="str">
        <f t="shared" si="6392"/>
        <v/>
      </c>
      <c r="H3196" s="62">
        <f t="shared" ref="H3196:Q3196" si="6393">IF(isblank(H$1),,IFERROR(vlookup($A3196,indirect("'TVC-"&amp;text(month(H$1),"00")&amp;"'!$A:$D"),4,false),1))</f>
        <v>1</v>
      </c>
      <c r="I3196" s="62">
        <f t="shared" si="6393"/>
        <v>1</v>
      </c>
      <c r="J3196" s="62">
        <f t="shared" si="6393"/>
        <v>1</v>
      </c>
      <c r="K3196" s="62">
        <f t="shared" si="6393"/>
        <v>1</v>
      </c>
      <c r="L3196" s="62">
        <f t="shared" si="6393"/>
        <v>1</v>
      </c>
      <c r="M3196" s="62">
        <f t="shared" si="6393"/>
        <v>1</v>
      </c>
      <c r="N3196" s="62">
        <f t="shared" si="6393"/>
        <v>1</v>
      </c>
      <c r="O3196" s="62">
        <f t="shared" si="6393"/>
        <v>1</v>
      </c>
      <c r="P3196" s="62" t="str">
        <f t="shared" si="6393"/>
        <v/>
      </c>
      <c r="Q3196" s="62" t="str">
        <f t="shared" si="6393"/>
        <v/>
      </c>
      <c r="R3196" s="62">
        <f t="shared" si="7"/>
        <v>0</v>
      </c>
      <c r="S3196" s="62"/>
      <c r="T3196" s="62"/>
      <c r="U3196" s="62"/>
      <c r="V3196" s="62"/>
      <c r="W3196" s="62"/>
      <c r="X3196" s="62"/>
      <c r="Y3196" s="62"/>
      <c r="Z3196" s="62"/>
      <c r="AA3196" s="62"/>
      <c r="AB3196" s="62"/>
      <c r="AC3196" s="62"/>
    </row>
    <row r="3197" hidden="1">
      <c r="A3197" s="60"/>
      <c r="B3197" s="60"/>
      <c r="C3197" s="60"/>
      <c r="D3197" s="60"/>
      <c r="E3197" s="62" t="str">
        <f t="shared" si="5153"/>
        <v/>
      </c>
      <c r="F3197" s="62" t="str">
        <f t="shared" ref="F3197:G3197" si="6394">IF(isblank(F$1),,IF(isblank($A3197),,IFERROR(vlookup($A3197,indirect("'TVC-"&amp;text(month(F$1),"00")&amp;"'!$A:$D"),4,false),1)))</f>
        <v/>
      </c>
      <c r="G3197" s="62" t="str">
        <f t="shared" si="6394"/>
        <v/>
      </c>
      <c r="H3197" s="62">
        <f t="shared" ref="H3197:Q3197" si="6395">IF(isblank(H$1),,IFERROR(vlookup($A3197,indirect("'TVC-"&amp;text(month(H$1),"00")&amp;"'!$A:$D"),4,false),1))</f>
        <v>1</v>
      </c>
      <c r="I3197" s="62">
        <f t="shared" si="6395"/>
        <v>1</v>
      </c>
      <c r="J3197" s="62">
        <f t="shared" si="6395"/>
        <v>1</v>
      </c>
      <c r="K3197" s="62">
        <f t="shared" si="6395"/>
        <v>1</v>
      </c>
      <c r="L3197" s="62">
        <f t="shared" si="6395"/>
        <v>1</v>
      </c>
      <c r="M3197" s="62">
        <f t="shared" si="6395"/>
        <v>1</v>
      </c>
      <c r="N3197" s="62">
        <f t="shared" si="6395"/>
        <v>1</v>
      </c>
      <c r="O3197" s="62">
        <f t="shared" si="6395"/>
        <v>1</v>
      </c>
      <c r="P3197" s="62" t="str">
        <f t="shared" si="6395"/>
        <v/>
      </c>
      <c r="Q3197" s="62" t="str">
        <f t="shared" si="6395"/>
        <v/>
      </c>
      <c r="R3197" s="62">
        <f t="shared" si="7"/>
        <v>0</v>
      </c>
      <c r="S3197" s="62"/>
      <c r="T3197" s="62"/>
      <c r="U3197" s="62"/>
      <c r="V3197" s="62"/>
      <c r="W3197" s="62"/>
      <c r="X3197" s="62"/>
      <c r="Y3197" s="62"/>
      <c r="Z3197" s="62"/>
      <c r="AA3197" s="62"/>
      <c r="AB3197" s="62"/>
      <c r="AC3197" s="62"/>
    </row>
    <row r="3198" hidden="1">
      <c r="A3198" s="60"/>
      <c r="B3198" s="60"/>
      <c r="C3198" s="60"/>
      <c r="D3198" s="60"/>
      <c r="E3198" s="62" t="str">
        <f t="shared" si="5153"/>
        <v/>
      </c>
      <c r="F3198" s="62" t="str">
        <f t="shared" ref="F3198:G3198" si="6396">IF(isblank(F$1),,IF(isblank($A3198),,IFERROR(vlookup($A3198,indirect("'TVC-"&amp;text(month(F$1),"00")&amp;"'!$A:$D"),4,false),1)))</f>
        <v/>
      </c>
      <c r="G3198" s="62" t="str">
        <f t="shared" si="6396"/>
        <v/>
      </c>
      <c r="H3198" s="62">
        <f t="shared" ref="H3198:Q3198" si="6397">IF(isblank(H$1),,IFERROR(vlookup($A3198,indirect("'TVC-"&amp;text(month(H$1),"00")&amp;"'!$A:$D"),4,false),1))</f>
        <v>1</v>
      </c>
      <c r="I3198" s="62">
        <f t="shared" si="6397"/>
        <v>1</v>
      </c>
      <c r="J3198" s="62">
        <f t="shared" si="6397"/>
        <v>1</v>
      </c>
      <c r="K3198" s="62">
        <f t="shared" si="6397"/>
        <v>1</v>
      </c>
      <c r="L3198" s="62">
        <f t="shared" si="6397"/>
        <v>1</v>
      </c>
      <c r="M3198" s="62">
        <f t="shared" si="6397"/>
        <v>1</v>
      </c>
      <c r="N3198" s="62">
        <f t="shared" si="6397"/>
        <v>1</v>
      </c>
      <c r="O3198" s="62">
        <f t="shared" si="6397"/>
        <v>1</v>
      </c>
      <c r="P3198" s="62" t="str">
        <f t="shared" si="6397"/>
        <v/>
      </c>
      <c r="Q3198" s="62" t="str">
        <f t="shared" si="6397"/>
        <v/>
      </c>
      <c r="R3198" s="62">
        <f t="shared" si="7"/>
        <v>0</v>
      </c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</row>
    <row r="3199" hidden="1">
      <c r="A3199" s="60"/>
      <c r="B3199" s="60"/>
      <c r="C3199" s="60"/>
      <c r="D3199" s="60"/>
      <c r="E3199" s="62" t="str">
        <f t="shared" si="5153"/>
        <v/>
      </c>
      <c r="F3199" s="62" t="str">
        <f t="shared" ref="F3199:G3199" si="6398">IF(isblank(F$1),,IF(isblank($A3199),,IFERROR(vlookup($A3199,indirect("'TVC-"&amp;text(month(F$1),"00")&amp;"'!$A:$D"),4,false),1)))</f>
        <v/>
      </c>
      <c r="G3199" s="62" t="str">
        <f t="shared" si="6398"/>
        <v/>
      </c>
      <c r="H3199" s="62">
        <f t="shared" ref="H3199:Q3199" si="6399">IF(isblank(H$1),,IFERROR(vlookup($A3199,indirect("'TVC-"&amp;text(month(H$1),"00")&amp;"'!$A:$D"),4,false),1))</f>
        <v>1</v>
      </c>
      <c r="I3199" s="62">
        <f t="shared" si="6399"/>
        <v>1</v>
      </c>
      <c r="J3199" s="62">
        <f t="shared" si="6399"/>
        <v>1</v>
      </c>
      <c r="K3199" s="62">
        <f t="shared" si="6399"/>
        <v>1</v>
      </c>
      <c r="L3199" s="62">
        <f t="shared" si="6399"/>
        <v>1</v>
      </c>
      <c r="M3199" s="62">
        <f t="shared" si="6399"/>
        <v>1</v>
      </c>
      <c r="N3199" s="62">
        <f t="shared" si="6399"/>
        <v>1</v>
      </c>
      <c r="O3199" s="62">
        <f t="shared" si="6399"/>
        <v>1</v>
      </c>
      <c r="P3199" s="62" t="str">
        <f t="shared" si="6399"/>
        <v/>
      </c>
      <c r="Q3199" s="62" t="str">
        <f t="shared" si="6399"/>
        <v/>
      </c>
      <c r="R3199" s="62">
        <f t="shared" si="7"/>
        <v>0</v>
      </c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</row>
    <row r="3200" hidden="1">
      <c r="A3200" s="60"/>
      <c r="B3200" s="60"/>
      <c r="C3200" s="60"/>
      <c r="D3200" s="60"/>
      <c r="E3200" s="62" t="str">
        <f t="shared" si="5153"/>
        <v/>
      </c>
      <c r="F3200" s="62" t="str">
        <f t="shared" ref="F3200:G3200" si="6400">IF(isblank(F$1),,IF(isblank($A3200),,IFERROR(vlookup($A3200,indirect("'TVC-"&amp;text(month(F$1),"00")&amp;"'!$A:$D"),4,false),1)))</f>
        <v/>
      </c>
      <c r="G3200" s="62" t="str">
        <f t="shared" si="6400"/>
        <v/>
      </c>
      <c r="H3200" s="62">
        <f t="shared" ref="H3200:Q3200" si="6401">IF(isblank(H$1),,IFERROR(vlookup($A3200,indirect("'TVC-"&amp;text(month(H$1),"00")&amp;"'!$A:$D"),4,false),1))</f>
        <v>1</v>
      </c>
      <c r="I3200" s="62">
        <f t="shared" si="6401"/>
        <v>1</v>
      </c>
      <c r="J3200" s="62">
        <f t="shared" si="6401"/>
        <v>1</v>
      </c>
      <c r="K3200" s="62">
        <f t="shared" si="6401"/>
        <v>1</v>
      </c>
      <c r="L3200" s="62">
        <f t="shared" si="6401"/>
        <v>1</v>
      </c>
      <c r="M3200" s="62">
        <f t="shared" si="6401"/>
        <v>1</v>
      </c>
      <c r="N3200" s="62">
        <f t="shared" si="6401"/>
        <v>1</v>
      </c>
      <c r="O3200" s="62">
        <f t="shared" si="6401"/>
        <v>1</v>
      </c>
      <c r="P3200" s="62" t="str">
        <f t="shared" si="6401"/>
        <v/>
      </c>
      <c r="Q3200" s="62" t="str">
        <f t="shared" si="6401"/>
        <v/>
      </c>
      <c r="R3200" s="62">
        <f t="shared" si="7"/>
        <v>0</v>
      </c>
      <c r="S3200" s="62"/>
      <c r="T3200" s="62"/>
      <c r="U3200" s="62"/>
      <c r="V3200" s="62"/>
      <c r="W3200" s="62"/>
      <c r="X3200" s="62"/>
      <c r="Y3200" s="62"/>
      <c r="Z3200" s="62"/>
      <c r="AA3200" s="62"/>
      <c r="AB3200" s="62"/>
      <c r="AC3200" s="62"/>
    </row>
    <row r="3201" hidden="1">
      <c r="A3201" s="60"/>
      <c r="B3201" s="60"/>
      <c r="C3201" s="60"/>
      <c r="D3201" s="60"/>
      <c r="E3201" s="62" t="str">
        <f t="shared" si="5153"/>
        <v/>
      </c>
      <c r="F3201" s="62" t="str">
        <f t="shared" ref="F3201:G3201" si="6402">IF(isblank(F$1),,IF(isblank($A3201),,IFERROR(vlookup($A3201,indirect("'TVC-"&amp;text(month(F$1),"00")&amp;"'!$A:$D"),4,false),1)))</f>
        <v/>
      </c>
      <c r="G3201" s="62" t="str">
        <f t="shared" si="6402"/>
        <v/>
      </c>
      <c r="H3201" s="62">
        <f t="shared" ref="H3201:Q3201" si="6403">IF(isblank(H$1),,IFERROR(vlookup($A3201,indirect("'TVC-"&amp;text(month(H$1),"00")&amp;"'!$A:$D"),4,false),1))</f>
        <v>1</v>
      </c>
      <c r="I3201" s="62">
        <f t="shared" si="6403"/>
        <v>1</v>
      </c>
      <c r="J3201" s="62">
        <f t="shared" si="6403"/>
        <v>1</v>
      </c>
      <c r="K3201" s="62">
        <f t="shared" si="6403"/>
        <v>1</v>
      </c>
      <c r="L3201" s="62">
        <f t="shared" si="6403"/>
        <v>1</v>
      </c>
      <c r="M3201" s="62">
        <f t="shared" si="6403"/>
        <v>1</v>
      </c>
      <c r="N3201" s="62">
        <f t="shared" si="6403"/>
        <v>1</v>
      </c>
      <c r="O3201" s="62">
        <f t="shared" si="6403"/>
        <v>1</v>
      </c>
      <c r="P3201" s="62" t="str">
        <f t="shared" si="6403"/>
        <v/>
      </c>
      <c r="Q3201" s="62" t="str">
        <f t="shared" si="6403"/>
        <v/>
      </c>
      <c r="R3201" s="62">
        <f t="shared" si="7"/>
        <v>0</v>
      </c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</row>
    <row r="3202" hidden="1">
      <c r="A3202" s="60"/>
      <c r="B3202" s="60"/>
      <c r="C3202" s="60"/>
      <c r="D3202" s="60"/>
      <c r="E3202" s="62" t="str">
        <f t="shared" si="5153"/>
        <v/>
      </c>
      <c r="F3202" s="62" t="str">
        <f t="shared" ref="F3202:G3202" si="6404">IF(isblank(F$1),,IF(isblank($A3202),,IFERROR(vlookup($A3202,indirect("'TVC-"&amp;text(month(F$1),"00")&amp;"'!$A:$D"),4,false),1)))</f>
        <v/>
      </c>
      <c r="G3202" s="62" t="str">
        <f t="shared" si="6404"/>
        <v/>
      </c>
      <c r="H3202" s="62">
        <f t="shared" ref="H3202:Q3202" si="6405">IF(isblank(H$1),,IFERROR(vlookup($A3202,indirect("'TVC-"&amp;text(month(H$1),"00")&amp;"'!$A:$D"),4,false),1))</f>
        <v>1</v>
      </c>
      <c r="I3202" s="62">
        <f t="shared" si="6405"/>
        <v>1</v>
      </c>
      <c r="J3202" s="62">
        <f t="shared" si="6405"/>
        <v>1</v>
      </c>
      <c r="K3202" s="62">
        <f t="shared" si="6405"/>
        <v>1</v>
      </c>
      <c r="L3202" s="62">
        <f t="shared" si="6405"/>
        <v>1</v>
      </c>
      <c r="M3202" s="62">
        <f t="shared" si="6405"/>
        <v>1</v>
      </c>
      <c r="N3202" s="62">
        <f t="shared" si="6405"/>
        <v>1</v>
      </c>
      <c r="O3202" s="62">
        <f t="shared" si="6405"/>
        <v>1</v>
      </c>
      <c r="P3202" s="62" t="str">
        <f t="shared" si="6405"/>
        <v/>
      </c>
      <c r="Q3202" s="62" t="str">
        <f t="shared" si="6405"/>
        <v/>
      </c>
      <c r="R3202" s="62">
        <f t="shared" si="7"/>
        <v>0</v>
      </c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</row>
    <row r="3203" hidden="1">
      <c r="A3203" s="60"/>
      <c r="B3203" s="60"/>
      <c r="C3203" s="60"/>
      <c r="D3203" s="60"/>
      <c r="E3203" s="62" t="str">
        <f t="shared" si="5153"/>
        <v/>
      </c>
      <c r="F3203" s="62" t="str">
        <f t="shared" ref="F3203:G3203" si="6406">IF(isblank(F$1),,IF(isblank($A3203),,IFERROR(vlookup($A3203,indirect("'TVC-"&amp;text(month(F$1),"00")&amp;"'!$A:$D"),4,false),1)))</f>
        <v/>
      </c>
      <c r="G3203" s="62" t="str">
        <f t="shared" si="6406"/>
        <v/>
      </c>
      <c r="H3203" s="62">
        <f t="shared" ref="H3203:Q3203" si="6407">IF(isblank(H$1),,IFERROR(vlookup($A3203,indirect("'TVC-"&amp;text(month(H$1),"00")&amp;"'!$A:$D"),4,false),1))</f>
        <v>1</v>
      </c>
      <c r="I3203" s="62">
        <f t="shared" si="6407"/>
        <v>1</v>
      </c>
      <c r="J3203" s="62">
        <f t="shared" si="6407"/>
        <v>1</v>
      </c>
      <c r="K3203" s="62">
        <f t="shared" si="6407"/>
        <v>1</v>
      </c>
      <c r="L3203" s="62">
        <f t="shared" si="6407"/>
        <v>1</v>
      </c>
      <c r="M3203" s="62">
        <f t="shared" si="6407"/>
        <v>1</v>
      </c>
      <c r="N3203" s="62">
        <f t="shared" si="6407"/>
        <v>1</v>
      </c>
      <c r="O3203" s="62">
        <f t="shared" si="6407"/>
        <v>1</v>
      </c>
      <c r="P3203" s="62" t="str">
        <f t="shared" si="6407"/>
        <v/>
      </c>
      <c r="Q3203" s="62" t="str">
        <f t="shared" si="6407"/>
        <v/>
      </c>
      <c r="R3203" s="62">
        <f t="shared" si="7"/>
        <v>0</v>
      </c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</row>
    <row r="3204" hidden="1">
      <c r="A3204" s="60"/>
      <c r="B3204" s="60"/>
      <c r="C3204" s="60"/>
      <c r="D3204" s="60"/>
      <c r="E3204" s="62" t="str">
        <f t="shared" si="5153"/>
        <v/>
      </c>
      <c r="F3204" s="62" t="str">
        <f t="shared" ref="F3204:G3204" si="6408">IF(isblank(F$1),,IF(isblank($A3204),,IFERROR(vlookup($A3204,indirect("'TVC-"&amp;text(month(F$1),"00")&amp;"'!$A:$D"),4,false),1)))</f>
        <v/>
      </c>
      <c r="G3204" s="62" t="str">
        <f t="shared" si="6408"/>
        <v/>
      </c>
      <c r="H3204" s="62">
        <f t="shared" ref="H3204:Q3204" si="6409">IF(isblank(H$1),,IFERROR(vlookup($A3204,indirect("'TVC-"&amp;text(month(H$1),"00")&amp;"'!$A:$D"),4,false),1))</f>
        <v>1</v>
      </c>
      <c r="I3204" s="62">
        <f t="shared" si="6409"/>
        <v>1</v>
      </c>
      <c r="J3204" s="62">
        <f t="shared" si="6409"/>
        <v>1</v>
      </c>
      <c r="K3204" s="62">
        <f t="shared" si="6409"/>
        <v>1</v>
      </c>
      <c r="L3204" s="62">
        <f t="shared" si="6409"/>
        <v>1</v>
      </c>
      <c r="M3204" s="62">
        <f t="shared" si="6409"/>
        <v>1</v>
      </c>
      <c r="N3204" s="62">
        <f t="shared" si="6409"/>
        <v>1</v>
      </c>
      <c r="O3204" s="62">
        <f t="shared" si="6409"/>
        <v>1</v>
      </c>
      <c r="P3204" s="62" t="str">
        <f t="shared" si="6409"/>
        <v/>
      </c>
      <c r="Q3204" s="62" t="str">
        <f t="shared" si="6409"/>
        <v/>
      </c>
      <c r="R3204" s="62">
        <f t="shared" si="7"/>
        <v>0</v>
      </c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</row>
    <row r="3205" hidden="1">
      <c r="A3205" s="60"/>
      <c r="B3205" s="60"/>
      <c r="C3205" s="60"/>
      <c r="D3205" s="60"/>
      <c r="E3205" s="62" t="str">
        <f t="shared" si="5153"/>
        <v/>
      </c>
      <c r="F3205" s="62" t="str">
        <f t="shared" ref="F3205:G3205" si="6410">IF(isblank(F$1),,IF(isblank($A3205),,IFERROR(vlookup($A3205,indirect("'TVC-"&amp;text(month(F$1),"00")&amp;"'!$A:$D"),4,false),1)))</f>
        <v/>
      </c>
      <c r="G3205" s="62" t="str">
        <f t="shared" si="6410"/>
        <v/>
      </c>
      <c r="H3205" s="62">
        <f t="shared" ref="H3205:Q3205" si="6411">IF(isblank(H$1),,IFERROR(vlookup($A3205,indirect("'TVC-"&amp;text(month(H$1),"00")&amp;"'!$A:$D"),4,false),1))</f>
        <v>1</v>
      </c>
      <c r="I3205" s="62">
        <f t="shared" si="6411"/>
        <v>1</v>
      </c>
      <c r="J3205" s="62">
        <f t="shared" si="6411"/>
        <v>1</v>
      </c>
      <c r="K3205" s="62">
        <f t="shared" si="6411"/>
        <v>1</v>
      </c>
      <c r="L3205" s="62">
        <f t="shared" si="6411"/>
        <v>1</v>
      </c>
      <c r="M3205" s="62">
        <f t="shared" si="6411"/>
        <v>1</v>
      </c>
      <c r="N3205" s="62">
        <f t="shared" si="6411"/>
        <v>1</v>
      </c>
      <c r="O3205" s="62">
        <f t="shared" si="6411"/>
        <v>1</v>
      </c>
      <c r="P3205" s="62" t="str">
        <f t="shared" si="6411"/>
        <v/>
      </c>
      <c r="Q3205" s="62" t="str">
        <f t="shared" si="6411"/>
        <v/>
      </c>
      <c r="R3205" s="62">
        <f t="shared" si="7"/>
        <v>0</v>
      </c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</row>
    <row r="3206" hidden="1">
      <c r="A3206" s="60"/>
      <c r="B3206" s="60"/>
      <c r="C3206" s="60"/>
      <c r="D3206" s="60"/>
      <c r="E3206" s="62" t="str">
        <f t="shared" si="5153"/>
        <v/>
      </c>
      <c r="F3206" s="62" t="str">
        <f t="shared" ref="F3206:G3206" si="6412">IF(isblank(F$1),,IF(isblank($A3206),,IFERROR(vlookup($A3206,indirect("'TVC-"&amp;text(month(F$1),"00")&amp;"'!$A:$D"),4,false),1)))</f>
        <v/>
      </c>
      <c r="G3206" s="62" t="str">
        <f t="shared" si="6412"/>
        <v/>
      </c>
      <c r="H3206" s="62">
        <f t="shared" ref="H3206:Q3206" si="6413">IF(isblank(H$1),,IFERROR(vlookup($A3206,indirect("'TVC-"&amp;text(month(H$1),"00")&amp;"'!$A:$D"),4,false),1))</f>
        <v>1</v>
      </c>
      <c r="I3206" s="62">
        <f t="shared" si="6413"/>
        <v>1</v>
      </c>
      <c r="J3206" s="62">
        <f t="shared" si="6413"/>
        <v>1</v>
      </c>
      <c r="K3206" s="62">
        <f t="shared" si="6413"/>
        <v>1</v>
      </c>
      <c r="L3206" s="62">
        <f t="shared" si="6413"/>
        <v>1</v>
      </c>
      <c r="M3206" s="62">
        <f t="shared" si="6413"/>
        <v>1</v>
      </c>
      <c r="N3206" s="62">
        <f t="shared" si="6413"/>
        <v>1</v>
      </c>
      <c r="O3206" s="62">
        <f t="shared" si="6413"/>
        <v>1</v>
      </c>
      <c r="P3206" s="62" t="str">
        <f t="shared" si="6413"/>
        <v/>
      </c>
      <c r="Q3206" s="62" t="str">
        <f t="shared" si="6413"/>
        <v/>
      </c>
      <c r="R3206" s="62">
        <f t="shared" si="7"/>
        <v>0</v>
      </c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</row>
    <row r="3207" hidden="1">
      <c r="A3207" s="60"/>
      <c r="B3207" s="60"/>
      <c r="C3207" s="60"/>
      <c r="D3207" s="60"/>
      <c r="E3207" s="62" t="str">
        <f t="shared" si="5153"/>
        <v/>
      </c>
      <c r="F3207" s="62" t="str">
        <f t="shared" ref="F3207:G3207" si="6414">IF(isblank(F$1),,IF(isblank($A3207),,IFERROR(vlookup($A3207,indirect("'TVC-"&amp;text(month(F$1),"00")&amp;"'!$A:$D"),4,false),1)))</f>
        <v/>
      </c>
      <c r="G3207" s="62" t="str">
        <f t="shared" si="6414"/>
        <v/>
      </c>
      <c r="H3207" s="62">
        <f t="shared" ref="H3207:Q3207" si="6415">IF(isblank(H$1),,IFERROR(vlookup($A3207,indirect("'TVC-"&amp;text(month(H$1),"00")&amp;"'!$A:$D"),4,false),1))</f>
        <v>1</v>
      </c>
      <c r="I3207" s="62">
        <f t="shared" si="6415"/>
        <v>1</v>
      </c>
      <c r="J3207" s="62">
        <f t="shared" si="6415"/>
        <v>1</v>
      </c>
      <c r="K3207" s="62">
        <f t="shared" si="6415"/>
        <v>1</v>
      </c>
      <c r="L3207" s="62">
        <f t="shared" si="6415"/>
        <v>1</v>
      </c>
      <c r="M3207" s="62">
        <f t="shared" si="6415"/>
        <v>1</v>
      </c>
      <c r="N3207" s="62">
        <f t="shared" si="6415"/>
        <v>1</v>
      </c>
      <c r="O3207" s="62">
        <f t="shared" si="6415"/>
        <v>1</v>
      </c>
      <c r="P3207" s="62" t="str">
        <f t="shared" si="6415"/>
        <v/>
      </c>
      <c r="Q3207" s="62" t="str">
        <f t="shared" si="6415"/>
        <v/>
      </c>
      <c r="R3207" s="62">
        <f t="shared" si="7"/>
        <v>0</v>
      </c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</row>
    <row r="3208" hidden="1">
      <c r="A3208" s="60"/>
      <c r="B3208" s="60"/>
      <c r="C3208" s="60"/>
      <c r="D3208" s="60"/>
      <c r="E3208" s="62" t="str">
        <f t="shared" si="5153"/>
        <v/>
      </c>
      <c r="F3208" s="62" t="str">
        <f t="shared" ref="F3208:G3208" si="6416">IF(isblank(F$1),,IF(isblank($A3208),,IFERROR(vlookup($A3208,indirect("'TVC-"&amp;text(month(F$1),"00")&amp;"'!$A:$D"),4,false),1)))</f>
        <v/>
      </c>
      <c r="G3208" s="62" t="str">
        <f t="shared" si="6416"/>
        <v/>
      </c>
      <c r="H3208" s="62">
        <f t="shared" ref="H3208:Q3208" si="6417">IF(isblank(H$1),,IFERROR(vlookup($A3208,indirect("'TVC-"&amp;text(month(H$1),"00")&amp;"'!$A:$D"),4,false),1))</f>
        <v>1</v>
      </c>
      <c r="I3208" s="62">
        <f t="shared" si="6417"/>
        <v>1</v>
      </c>
      <c r="J3208" s="62">
        <f t="shared" si="6417"/>
        <v>1</v>
      </c>
      <c r="K3208" s="62">
        <f t="shared" si="6417"/>
        <v>1</v>
      </c>
      <c r="L3208" s="62">
        <f t="shared" si="6417"/>
        <v>1</v>
      </c>
      <c r="M3208" s="62">
        <f t="shared" si="6417"/>
        <v>1</v>
      </c>
      <c r="N3208" s="62">
        <f t="shared" si="6417"/>
        <v>1</v>
      </c>
      <c r="O3208" s="62">
        <f t="shared" si="6417"/>
        <v>1</v>
      </c>
      <c r="P3208" s="62" t="str">
        <f t="shared" si="6417"/>
        <v/>
      </c>
      <c r="Q3208" s="62" t="str">
        <f t="shared" si="6417"/>
        <v/>
      </c>
      <c r="R3208" s="62">
        <f t="shared" si="7"/>
        <v>0</v>
      </c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</row>
    <row r="3209" hidden="1">
      <c r="A3209" s="60"/>
      <c r="B3209" s="60"/>
      <c r="C3209" s="60"/>
      <c r="D3209" s="60"/>
      <c r="E3209" s="62" t="str">
        <f t="shared" si="5153"/>
        <v/>
      </c>
      <c r="F3209" s="62" t="str">
        <f t="shared" ref="F3209:G3209" si="6418">IF(isblank(F$1),,IF(isblank($A3209),,IFERROR(vlookup($A3209,indirect("'TVC-"&amp;text(month(F$1),"00")&amp;"'!$A:$D"),4,false),1)))</f>
        <v/>
      </c>
      <c r="G3209" s="62" t="str">
        <f t="shared" si="6418"/>
        <v/>
      </c>
      <c r="H3209" s="62">
        <f t="shared" ref="H3209:Q3209" si="6419">IF(isblank(H$1),,IFERROR(vlookup($A3209,indirect("'TVC-"&amp;text(month(H$1),"00")&amp;"'!$A:$D"),4,false),1))</f>
        <v>1</v>
      </c>
      <c r="I3209" s="62">
        <f t="shared" si="6419"/>
        <v>1</v>
      </c>
      <c r="J3209" s="62">
        <f t="shared" si="6419"/>
        <v>1</v>
      </c>
      <c r="K3209" s="62">
        <f t="shared" si="6419"/>
        <v>1</v>
      </c>
      <c r="L3209" s="62">
        <f t="shared" si="6419"/>
        <v>1</v>
      </c>
      <c r="M3209" s="62">
        <f t="shared" si="6419"/>
        <v>1</v>
      </c>
      <c r="N3209" s="62">
        <f t="shared" si="6419"/>
        <v>1</v>
      </c>
      <c r="O3209" s="62">
        <f t="shared" si="6419"/>
        <v>1</v>
      </c>
      <c r="P3209" s="62" t="str">
        <f t="shared" si="6419"/>
        <v/>
      </c>
      <c r="Q3209" s="62" t="str">
        <f t="shared" si="6419"/>
        <v/>
      </c>
      <c r="R3209" s="62">
        <f t="shared" si="7"/>
        <v>0</v>
      </c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</row>
    <row r="3210" hidden="1">
      <c r="A3210" s="60"/>
      <c r="B3210" s="60"/>
      <c r="C3210" s="60"/>
      <c r="D3210" s="60"/>
      <c r="E3210" s="62" t="str">
        <f t="shared" si="5153"/>
        <v/>
      </c>
      <c r="F3210" s="62" t="str">
        <f t="shared" ref="F3210:G3210" si="6420">IF(isblank(F$1),,IF(isblank($A3210),,IFERROR(vlookup($A3210,indirect("'TVC-"&amp;text(month(F$1),"00")&amp;"'!$A:$D"),4,false),1)))</f>
        <v/>
      </c>
      <c r="G3210" s="62" t="str">
        <f t="shared" si="6420"/>
        <v/>
      </c>
      <c r="H3210" s="62">
        <f t="shared" ref="H3210:Q3210" si="6421">IF(isblank(H$1),,IFERROR(vlookup($A3210,indirect("'TVC-"&amp;text(month(H$1),"00")&amp;"'!$A:$D"),4,false),1))</f>
        <v>1</v>
      </c>
      <c r="I3210" s="62">
        <f t="shared" si="6421"/>
        <v>1</v>
      </c>
      <c r="J3210" s="62">
        <f t="shared" si="6421"/>
        <v>1</v>
      </c>
      <c r="K3210" s="62">
        <f t="shared" si="6421"/>
        <v>1</v>
      </c>
      <c r="L3210" s="62">
        <f t="shared" si="6421"/>
        <v>1</v>
      </c>
      <c r="M3210" s="62">
        <f t="shared" si="6421"/>
        <v>1</v>
      </c>
      <c r="N3210" s="62">
        <f t="shared" si="6421"/>
        <v>1</v>
      </c>
      <c r="O3210" s="62">
        <f t="shared" si="6421"/>
        <v>1</v>
      </c>
      <c r="P3210" s="62" t="str">
        <f t="shared" si="6421"/>
        <v/>
      </c>
      <c r="Q3210" s="62" t="str">
        <f t="shared" si="6421"/>
        <v/>
      </c>
      <c r="R3210" s="62">
        <f t="shared" si="7"/>
        <v>0</v>
      </c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</row>
    <row r="3211" hidden="1">
      <c r="A3211" s="60"/>
      <c r="B3211" s="60"/>
      <c r="C3211" s="60"/>
      <c r="D3211" s="60"/>
      <c r="E3211" s="62" t="str">
        <f t="shared" si="5153"/>
        <v/>
      </c>
      <c r="F3211" s="62" t="str">
        <f t="shared" ref="F3211:G3211" si="6422">IF(isblank(F$1),,IF(isblank($A3211),,IFERROR(vlookup($A3211,indirect("'TVC-"&amp;text(month(F$1),"00")&amp;"'!$A:$D"),4,false),1)))</f>
        <v/>
      </c>
      <c r="G3211" s="62" t="str">
        <f t="shared" si="6422"/>
        <v/>
      </c>
      <c r="H3211" s="62">
        <f t="shared" ref="H3211:Q3211" si="6423">IF(isblank(H$1),,IFERROR(vlookup($A3211,indirect("'TVC-"&amp;text(month(H$1),"00")&amp;"'!$A:$D"),4,false),1))</f>
        <v>1</v>
      </c>
      <c r="I3211" s="62">
        <f t="shared" si="6423"/>
        <v>1</v>
      </c>
      <c r="J3211" s="62">
        <f t="shared" si="6423"/>
        <v>1</v>
      </c>
      <c r="K3211" s="62">
        <f t="shared" si="6423"/>
        <v>1</v>
      </c>
      <c r="L3211" s="62">
        <f t="shared" si="6423"/>
        <v>1</v>
      </c>
      <c r="M3211" s="62">
        <f t="shared" si="6423"/>
        <v>1</v>
      </c>
      <c r="N3211" s="62">
        <f t="shared" si="6423"/>
        <v>1</v>
      </c>
      <c r="O3211" s="62">
        <f t="shared" si="6423"/>
        <v>1</v>
      </c>
      <c r="P3211" s="62" t="str">
        <f t="shared" si="6423"/>
        <v/>
      </c>
      <c r="Q3211" s="62" t="str">
        <f t="shared" si="6423"/>
        <v/>
      </c>
      <c r="R3211" s="62">
        <f t="shared" si="7"/>
        <v>0</v>
      </c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</row>
    <row r="3212" hidden="1">
      <c r="A3212" s="60"/>
      <c r="B3212" s="60"/>
      <c r="C3212" s="60"/>
      <c r="D3212" s="60"/>
      <c r="E3212" s="62" t="str">
        <f t="shared" si="5153"/>
        <v/>
      </c>
      <c r="F3212" s="62" t="str">
        <f t="shared" ref="F3212:G3212" si="6424">IF(isblank(F$1),,IF(isblank($A3212),,IFERROR(vlookup($A3212,indirect("'TVC-"&amp;text(month(F$1),"00")&amp;"'!$A:$D"),4,false),1)))</f>
        <v/>
      </c>
      <c r="G3212" s="62" t="str">
        <f t="shared" si="6424"/>
        <v/>
      </c>
      <c r="H3212" s="62">
        <f t="shared" ref="H3212:Q3212" si="6425">IF(isblank(H$1),,IFERROR(vlookup($A3212,indirect("'TVC-"&amp;text(month(H$1),"00")&amp;"'!$A:$D"),4,false),1))</f>
        <v>1</v>
      </c>
      <c r="I3212" s="62">
        <f t="shared" si="6425"/>
        <v>1</v>
      </c>
      <c r="J3212" s="62">
        <f t="shared" si="6425"/>
        <v>1</v>
      </c>
      <c r="K3212" s="62">
        <f t="shared" si="6425"/>
        <v>1</v>
      </c>
      <c r="L3212" s="62">
        <f t="shared" si="6425"/>
        <v>1</v>
      </c>
      <c r="M3212" s="62">
        <f t="shared" si="6425"/>
        <v>1</v>
      </c>
      <c r="N3212" s="62">
        <f t="shared" si="6425"/>
        <v>1</v>
      </c>
      <c r="O3212" s="62">
        <f t="shared" si="6425"/>
        <v>1</v>
      </c>
      <c r="P3212" s="62" t="str">
        <f t="shared" si="6425"/>
        <v/>
      </c>
      <c r="Q3212" s="62" t="str">
        <f t="shared" si="6425"/>
        <v/>
      </c>
      <c r="R3212" s="62">
        <f t="shared" si="7"/>
        <v>0</v>
      </c>
      <c r="S3212" s="62"/>
      <c r="T3212" s="62"/>
      <c r="U3212" s="62"/>
      <c r="V3212" s="62"/>
      <c r="W3212" s="62"/>
      <c r="X3212" s="62"/>
      <c r="Y3212" s="62"/>
      <c r="Z3212" s="62"/>
      <c r="AA3212" s="62"/>
      <c r="AB3212" s="62"/>
      <c r="AC3212" s="62"/>
    </row>
    <row r="3213" hidden="1">
      <c r="A3213" s="60"/>
      <c r="B3213" s="60"/>
      <c r="C3213" s="60"/>
      <c r="D3213" s="60"/>
      <c r="E3213" s="62" t="str">
        <f t="shared" si="5153"/>
        <v/>
      </c>
      <c r="F3213" s="62" t="str">
        <f t="shared" ref="F3213:G3213" si="6426">IF(isblank(F$1),,IF(isblank($A3213),,IFERROR(vlookup($A3213,indirect("'TVC-"&amp;text(month(F$1),"00")&amp;"'!$A:$D"),4,false),1)))</f>
        <v/>
      </c>
      <c r="G3213" s="62" t="str">
        <f t="shared" si="6426"/>
        <v/>
      </c>
      <c r="H3213" s="62">
        <f t="shared" ref="H3213:Q3213" si="6427">IF(isblank(H$1),,IFERROR(vlookup($A3213,indirect("'TVC-"&amp;text(month(H$1),"00")&amp;"'!$A:$D"),4,false),1))</f>
        <v>1</v>
      </c>
      <c r="I3213" s="62">
        <f t="shared" si="6427"/>
        <v>1</v>
      </c>
      <c r="J3213" s="62">
        <f t="shared" si="6427"/>
        <v>1</v>
      </c>
      <c r="K3213" s="62">
        <f t="shared" si="6427"/>
        <v>1</v>
      </c>
      <c r="L3213" s="62">
        <f t="shared" si="6427"/>
        <v>1</v>
      </c>
      <c r="M3213" s="62">
        <f t="shared" si="6427"/>
        <v>1</v>
      </c>
      <c r="N3213" s="62">
        <f t="shared" si="6427"/>
        <v>1</v>
      </c>
      <c r="O3213" s="62">
        <f t="shared" si="6427"/>
        <v>1</v>
      </c>
      <c r="P3213" s="62" t="str">
        <f t="shared" si="6427"/>
        <v/>
      </c>
      <c r="Q3213" s="62" t="str">
        <f t="shared" si="6427"/>
        <v/>
      </c>
      <c r="R3213" s="62">
        <f t="shared" si="7"/>
        <v>0</v>
      </c>
      <c r="S3213" s="62"/>
      <c r="T3213" s="62"/>
      <c r="U3213" s="62"/>
      <c r="V3213" s="62"/>
      <c r="W3213" s="62"/>
      <c r="X3213" s="62"/>
      <c r="Y3213" s="62"/>
      <c r="Z3213" s="62"/>
      <c r="AA3213" s="62"/>
      <c r="AB3213" s="62"/>
      <c r="AC3213" s="62"/>
    </row>
    <row r="3214" hidden="1">
      <c r="A3214" s="60"/>
      <c r="B3214" s="60"/>
      <c r="C3214" s="60"/>
      <c r="D3214" s="60"/>
      <c r="E3214" s="62" t="str">
        <f t="shared" si="5153"/>
        <v/>
      </c>
      <c r="F3214" s="62" t="str">
        <f t="shared" ref="F3214:G3214" si="6428">IF(isblank(F$1),,IF(isblank($A3214),,IFERROR(vlookup($A3214,indirect("'TVC-"&amp;text(month(F$1),"00")&amp;"'!$A:$D"),4,false),1)))</f>
        <v/>
      </c>
      <c r="G3214" s="62" t="str">
        <f t="shared" si="6428"/>
        <v/>
      </c>
      <c r="H3214" s="62">
        <f t="shared" ref="H3214:Q3214" si="6429">IF(isblank(H$1),,IFERROR(vlookup($A3214,indirect("'TVC-"&amp;text(month(H$1),"00")&amp;"'!$A:$D"),4,false),1))</f>
        <v>1</v>
      </c>
      <c r="I3214" s="62">
        <f t="shared" si="6429"/>
        <v>1</v>
      </c>
      <c r="J3214" s="62">
        <f t="shared" si="6429"/>
        <v>1</v>
      </c>
      <c r="K3214" s="62">
        <f t="shared" si="6429"/>
        <v>1</v>
      </c>
      <c r="L3214" s="62">
        <f t="shared" si="6429"/>
        <v>1</v>
      </c>
      <c r="M3214" s="62">
        <f t="shared" si="6429"/>
        <v>1</v>
      </c>
      <c r="N3214" s="62">
        <f t="shared" si="6429"/>
        <v>1</v>
      </c>
      <c r="O3214" s="62">
        <f t="shared" si="6429"/>
        <v>1</v>
      </c>
      <c r="P3214" s="62" t="str">
        <f t="shared" si="6429"/>
        <v/>
      </c>
      <c r="Q3214" s="62" t="str">
        <f t="shared" si="6429"/>
        <v/>
      </c>
      <c r="R3214" s="62">
        <f t="shared" si="7"/>
        <v>0</v>
      </c>
      <c r="S3214" s="62"/>
      <c r="T3214" s="62"/>
      <c r="U3214" s="62"/>
      <c r="V3214" s="62"/>
      <c r="W3214" s="62"/>
      <c r="X3214" s="62"/>
      <c r="Y3214" s="62"/>
      <c r="Z3214" s="62"/>
      <c r="AA3214" s="62"/>
      <c r="AB3214" s="62"/>
      <c r="AC3214" s="62"/>
    </row>
    <row r="3215" hidden="1">
      <c r="A3215" s="60"/>
      <c r="B3215" s="60"/>
      <c r="C3215" s="60"/>
      <c r="D3215" s="60"/>
      <c r="E3215" s="62" t="str">
        <f t="shared" si="5153"/>
        <v/>
      </c>
      <c r="F3215" s="62" t="str">
        <f t="shared" ref="F3215:G3215" si="6430">IF(isblank(F$1),,IF(isblank($A3215),,IFERROR(vlookup($A3215,indirect("'TVC-"&amp;text(month(F$1),"00")&amp;"'!$A:$D"),4,false),1)))</f>
        <v/>
      </c>
      <c r="G3215" s="62" t="str">
        <f t="shared" si="6430"/>
        <v/>
      </c>
      <c r="H3215" s="62">
        <f t="shared" ref="H3215:Q3215" si="6431">IF(isblank(H$1),,IFERROR(vlookup($A3215,indirect("'TVC-"&amp;text(month(H$1),"00")&amp;"'!$A:$D"),4,false),1))</f>
        <v>1</v>
      </c>
      <c r="I3215" s="62">
        <f t="shared" si="6431"/>
        <v>1</v>
      </c>
      <c r="J3215" s="62">
        <f t="shared" si="6431"/>
        <v>1</v>
      </c>
      <c r="K3215" s="62">
        <f t="shared" si="6431"/>
        <v>1</v>
      </c>
      <c r="L3215" s="62">
        <f t="shared" si="6431"/>
        <v>1</v>
      </c>
      <c r="M3215" s="62">
        <f t="shared" si="6431"/>
        <v>1</v>
      </c>
      <c r="N3215" s="62">
        <f t="shared" si="6431"/>
        <v>1</v>
      </c>
      <c r="O3215" s="62">
        <f t="shared" si="6431"/>
        <v>1</v>
      </c>
      <c r="P3215" s="62" t="str">
        <f t="shared" si="6431"/>
        <v/>
      </c>
      <c r="Q3215" s="62" t="str">
        <f t="shared" si="6431"/>
        <v/>
      </c>
      <c r="R3215" s="62">
        <f t="shared" si="7"/>
        <v>0</v>
      </c>
      <c r="S3215" s="62"/>
      <c r="T3215" s="62"/>
      <c r="U3215" s="62"/>
      <c r="V3215" s="62"/>
      <c r="W3215" s="62"/>
      <c r="X3215" s="62"/>
      <c r="Y3215" s="62"/>
      <c r="Z3215" s="62"/>
      <c r="AA3215" s="62"/>
      <c r="AB3215" s="62"/>
      <c r="AC3215" s="62"/>
    </row>
    <row r="3216" hidden="1">
      <c r="A3216" s="60"/>
      <c r="B3216" s="60"/>
      <c r="C3216" s="60"/>
      <c r="D3216" s="60"/>
      <c r="E3216" s="62" t="str">
        <f t="shared" si="5153"/>
        <v/>
      </c>
      <c r="F3216" s="62" t="str">
        <f t="shared" ref="F3216:G3216" si="6432">IF(isblank(F$1),,IF(isblank($A3216),,IFERROR(vlookup($A3216,indirect("'TVC-"&amp;text(month(F$1),"00")&amp;"'!$A:$D"),4,false),1)))</f>
        <v/>
      </c>
      <c r="G3216" s="62" t="str">
        <f t="shared" si="6432"/>
        <v/>
      </c>
      <c r="H3216" s="62">
        <f t="shared" ref="H3216:Q3216" si="6433">IF(isblank(H$1),,IFERROR(vlookup($A3216,indirect("'TVC-"&amp;text(month(H$1),"00")&amp;"'!$A:$D"),4,false),1))</f>
        <v>1</v>
      </c>
      <c r="I3216" s="62">
        <f t="shared" si="6433"/>
        <v>1</v>
      </c>
      <c r="J3216" s="62">
        <f t="shared" si="6433"/>
        <v>1</v>
      </c>
      <c r="K3216" s="62">
        <f t="shared" si="6433"/>
        <v>1</v>
      </c>
      <c r="L3216" s="62">
        <f t="shared" si="6433"/>
        <v>1</v>
      </c>
      <c r="M3216" s="62">
        <f t="shared" si="6433"/>
        <v>1</v>
      </c>
      <c r="N3216" s="62">
        <f t="shared" si="6433"/>
        <v>1</v>
      </c>
      <c r="O3216" s="62">
        <f t="shared" si="6433"/>
        <v>1</v>
      </c>
      <c r="P3216" s="62" t="str">
        <f t="shared" si="6433"/>
        <v/>
      </c>
      <c r="Q3216" s="62" t="str">
        <f t="shared" si="6433"/>
        <v/>
      </c>
      <c r="R3216" s="62">
        <f t="shared" si="7"/>
        <v>0</v>
      </c>
      <c r="S3216" s="62"/>
      <c r="T3216" s="62"/>
      <c r="U3216" s="62"/>
      <c r="V3216" s="62"/>
      <c r="W3216" s="62"/>
      <c r="X3216" s="62"/>
      <c r="Y3216" s="62"/>
      <c r="Z3216" s="62"/>
      <c r="AA3216" s="62"/>
      <c r="AB3216" s="62"/>
      <c r="AC3216" s="62"/>
    </row>
    <row r="3217" hidden="1">
      <c r="A3217" s="60"/>
      <c r="B3217" s="60"/>
      <c r="C3217" s="60"/>
      <c r="D3217" s="60"/>
      <c r="E3217" s="62" t="str">
        <f t="shared" si="5153"/>
        <v/>
      </c>
      <c r="F3217" s="62" t="str">
        <f t="shared" ref="F3217:G3217" si="6434">IF(isblank(F$1),,IF(isblank($A3217),,IFERROR(vlookup($A3217,indirect("'TVC-"&amp;text(month(F$1),"00")&amp;"'!$A:$D"),4,false),1)))</f>
        <v/>
      </c>
      <c r="G3217" s="62" t="str">
        <f t="shared" si="6434"/>
        <v/>
      </c>
      <c r="H3217" s="62">
        <f t="shared" ref="H3217:Q3217" si="6435">IF(isblank(H$1),,IFERROR(vlookup($A3217,indirect("'TVC-"&amp;text(month(H$1),"00")&amp;"'!$A:$D"),4,false),1))</f>
        <v>1</v>
      </c>
      <c r="I3217" s="62">
        <f t="shared" si="6435"/>
        <v>1</v>
      </c>
      <c r="J3217" s="62">
        <f t="shared" si="6435"/>
        <v>1</v>
      </c>
      <c r="K3217" s="62">
        <f t="shared" si="6435"/>
        <v>1</v>
      </c>
      <c r="L3217" s="62">
        <f t="shared" si="6435"/>
        <v>1</v>
      </c>
      <c r="M3217" s="62">
        <f t="shared" si="6435"/>
        <v>1</v>
      </c>
      <c r="N3217" s="62">
        <f t="shared" si="6435"/>
        <v>1</v>
      </c>
      <c r="O3217" s="62">
        <f t="shared" si="6435"/>
        <v>1</v>
      </c>
      <c r="P3217" s="62" t="str">
        <f t="shared" si="6435"/>
        <v/>
      </c>
      <c r="Q3217" s="62" t="str">
        <f t="shared" si="6435"/>
        <v/>
      </c>
      <c r="R3217" s="62">
        <f t="shared" si="7"/>
        <v>0</v>
      </c>
      <c r="S3217" s="62"/>
      <c r="T3217" s="62"/>
      <c r="U3217" s="62"/>
      <c r="V3217" s="62"/>
      <c r="W3217" s="62"/>
      <c r="X3217" s="62"/>
      <c r="Y3217" s="62"/>
      <c r="Z3217" s="62"/>
      <c r="AA3217" s="62"/>
      <c r="AB3217" s="62"/>
      <c r="AC3217" s="62"/>
    </row>
    <row r="3218" hidden="1">
      <c r="A3218" s="60"/>
      <c r="B3218" s="60"/>
      <c r="C3218" s="60"/>
      <c r="D3218" s="60"/>
      <c r="E3218" s="62" t="str">
        <f t="shared" si="5153"/>
        <v/>
      </c>
      <c r="F3218" s="62" t="str">
        <f t="shared" ref="F3218:G3218" si="6436">IF(isblank(F$1),,IF(isblank($A3218),,IFERROR(vlookup($A3218,indirect("'TVC-"&amp;text(month(F$1),"00")&amp;"'!$A:$D"),4,false),1)))</f>
        <v/>
      </c>
      <c r="G3218" s="62" t="str">
        <f t="shared" si="6436"/>
        <v/>
      </c>
      <c r="H3218" s="62">
        <f t="shared" ref="H3218:Q3218" si="6437">IF(isblank(H$1),,IFERROR(vlookup($A3218,indirect("'TVC-"&amp;text(month(H$1),"00")&amp;"'!$A:$D"),4,false),1))</f>
        <v>1</v>
      </c>
      <c r="I3218" s="62">
        <f t="shared" si="6437"/>
        <v>1</v>
      </c>
      <c r="J3218" s="62">
        <f t="shared" si="6437"/>
        <v>1</v>
      </c>
      <c r="K3218" s="62">
        <f t="shared" si="6437"/>
        <v>1</v>
      </c>
      <c r="L3218" s="62">
        <f t="shared" si="6437"/>
        <v>1</v>
      </c>
      <c r="M3218" s="62">
        <f t="shared" si="6437"/>
        <v>1</v>
      </c>
      <c r="N3218" s="62">
        <f t="shared" si="6437"/>
        <v>1</v>
      </c>
      <c r="O3218" s="62">
        <f t="shared" si="6437"/>
        <v>1</v>
      </c>
      <c r="P3218" s="62" t="str">
        <f t="shared" si="6437"/>
        <v/>
      </c>
      <c r="Q3218" s="62" t="str">
        <f t="shared" si="6437"/>
        <v/>
      </c>
      <c r="R3218" s="62">
        <f t="shared" si="7"/>
        <v>0</v>
      </c>
      <c r="S3218" s="62"/>
      <c r="T3218" s="62"/>
      <c r="U3218" s="62"/>
      <c r="V3218" s="62"/>
      <c r="W3218" s="62"/>
      <c r="X3218" s="62"/>
      <c r="Y3218" s="62"/>
      <c r="Z3218" s="62"/>
      <c r="AA3218" s="62"/>
      <c r="AB3218" s="62"/>
      <c r="AC3218" s="62"/>
    </row>
    <row r="3219" hidden="1">
      <c r="A3219" s="60"/>
      <c r="B3219" s="60"/>
      <c r="C3219" s="60"/>
      <c r="D3219" s="60"/>
      <c r="E3219" s="62" t="str">
        <f t="shared" si="5153"/>
        <v/>
      </c>
      <c r="F3219" s="62" t="str">
        <f t="shared" ref="F3219:G3219" si="6438">IF(isblank(F$1),,IF(isblank($A3219),,IFERROR(vlookup($A3219,indirect("'TVC-"&amp;text(month(F$1),"00")&amp;"'!$A:$D"),4,false),1)))</f>
        <v/>
      </c>
      <c r="G3219" s="62" t="str">
        <f t="shared" si="6438"/>
        <v/>
      </c>
      <c r="H3219" s="62">
        <f t="shared" ref="H3219:Q3219" si="6439">IF(isblank(H$1),,IFERROR(vlookup($A3219,indirect("'TVC-"&amp;text(month(H$1),"00")&amp;"'!$A:$D"),4,false),1))</f>
        <v>1</v>
      </c>
      <c r="I3219" s="62">
        <f t="shared" si="6439"/>
        <v>1</v>
      </c>
      <c r="J3219" s="62">
        <f t="shared" si="6439"/>
        <v>1</v>
      </c>
      <c r="K3219" s="62">
        <f t="shared" si="6439"/>
        <v>1</v>
      </c>
      <c r="L3219" s="62">
        <f t="shared" si="6439"/>
        <v>1</v>
      </c>
      <c r="M3219" s="62">
        <f t="shared" si="6439"/>
        <v>1</v>
      </c>
      <c r="N3219" s="62">
        <f t="shared" si="6439"/>
        <v>1</v>
      </c>
      <c r="O3219" s="62">
        <f t="shared" si="6439"/>
        <v>1</v>
      </c>
      <c r="P3219" s="62" t="str">
        <f t="shared" si="6439"/>
        <v/>
      </c>
      <c r="Q3219" s="62" t="str">
        <f t="shared" si="6439"/>
        <v/>
      </c>
      <c r="R3219" s="62">
        <f t="shared" si="7"/>
        <v>0</v>
      </c>
      <c r="S3219" s="62"/>
      <c r="T3219" s="62"/>
      <c r="U3219" s="62"/>
      <c r="V3219" s="62"/>
      <c r="W3219" s="62"/>
      <c r="X3219" s="62"/>
      <c r="Y3219" s="62"/>
      <c r="Z3219" s="62"/>
      <c r="AA3219" s="62"/>
      <c r="AB3219" s="62"/>
      <c r="AC3219" s="62"/>
    </row>
    <row r="3220" hidden="1">
      <c r="A3220" s="60"/>
      <c r="B3220" s="60"/>
      <c r="C3220" s="60"/>
      <c r="D3220" s="60"/>
      <c r="E3220" s="62" t="str">
        <f t="shared" si="5153"/>
        <v/>
      </c>
      <c r="F3220" s="62" t="str">
        <f t="shared" ref="F3220:G3220" si="6440">IF(isblank(F$1),,IF(isblank($A3220),,IFERROR(vlookup($A3220,indirect("'TVC-"&amp;text(month(F$1),"00")&amp;"'!$A:$D"),4,false),1)))</f>
        <v/>
      </c>
      <c r="G3220" s="62" t="str">
        <f t="shared" si="6440"/>
        <v/>
      </c>
      <c r="H3220" s="62">
        <f t="shared" ref="H3220:Q3220" si="6441">IF(isblank(H$1),,IFERROR(vlookup($A3220,indirect("'TVC-"&amp;text(month(H$1),"00")&amp;"'!$A:$D"),4,false),1))</f>
        <v>1</v>
      </c>
      <c r="I3220" s="62">
        <f t="shared" si="6441"/>
        <v>1</v>
      </c>
      <c r="J3220" s="62">
        <f t="shared" si="6441"/>
        <v>1</v>
      </c>
      <c r="K3220" s="62">
        <f t="shared" si="6441"/>
        <v>1</v>
      </c>
      <c r="L3220" s="62">
        <f t="shared" si="6441"/>
        <v>1</v>
      </c>
      <c r="M3220" s="62">
        <f t="shared" si="6441"/>
        <v>1</v>
      </c>
      <c r="N3220" s="62">
        <f t="shared" si="6441"/>
        <v>1</v>
      </c>
      <c r="O3220" s="62">
        <f t="shared" si="6441"/>
        <v>1</v>
      </c>
      <c r="P3220" s="62" t="str">
        <f t="shared" si="6441"/>
        <v/>
      </c>
      <c r="Q3220" s="62" t="str">
        <f t="shared" si="6441"/>
        <v/>
      </c>
      <c r="R3220" s="62">
        <f t="shared" si="7"/>
        <v>0</v>
      </c>
      <c r="S3220" s="62"/>
      <c r="T3220" s="62"/>
      <c r="U3220" s="62"/>
      <c r="V3220" s="62"/>
      <c r="W3220" s="62"/>
      <c r="X3220" s="62"/>
      <c r="Y3220" s="62"/>
      <c r="Z3220" s="62"/>
      <c r="AA3220" s="62"/>
      <c r="AB3220" s="62"/>
      <c r="AC3220" s="62"/>
    </row>
    <row r="3221" hidden="1">
      <c r="A3221" s="60"/>
      <c r="B3221" s="60"/>
      <c r="C3221" s="60"/>
      <c r="D3221" s="60"/>
      <c r="E3221" s="62" t="str">
        <f t="shared" si="5153"/>
        <v/>
      </c>
      <c r="F3221" s="62" t="str">
        <f t="shared" ref="F3221:G3221" si="6442">IF(isblank(F$1),,IF(isblank($A3221),,IFERROR(vlookup($A3221,indirect("'TVC-"&amp;text(month(F$1),"00")&amp;"'!$A:$D"),4,false),1)))</f>
        <v/>
      </c>
      <c r="G3221" s="62" t="str">
        <f t="shared" si="6442"/>
        <v/>
      </c>
      <c r="H3221" s="62">
        <f t="shared" ref="H3221:Q3221" si="6443">IF(isblank(H$1),,IFERROR(vlookup($A3221,indirect("'TVC-"&amp;text(month(H$1),"00")&amp;"'!$A:$D"),4,false),1))</f>
        <v>1</v>
      </c>
      <c r="I3221" s="62">
        <f t="shared" si="6443"/>
        <v>1</v>
      </c>
      <c r="J3221" s="62">
        <f t="shared" si="6443"/>
        <v>1</v>
      </c>
      <c r="K3221" s="62">
        <f t="shared" si="6443"/>
        <v>1</v>
      </c>
      <c r="L3221" s="62">
        <f t="shared" si="6443"/>
        <v>1</v>
      </c>
      <c r="M3221" s="62">
        <f t="shared" si="6443"/>
        <v>1</v>
      </c>
      <c r="N3221" s="62">
        <f t="shared" si="6443"/>
        <v>1</v>
      </c>
      <c r="O3221" s="62">
        <f t="shared" si="6443"/>
        <v>1</v>
      </c>
      <c r="P3221" s="62" t="str">
        <f t="shared" si="6443"/>
        <v/>
      </c>
      <c r="Q3221" s="62" t="str">
        <f t="shared" si="6443"/>
        <v/>
      </c>
      <c r="R3221" s="62">
        <f t="shared" si="7"/>
        <v>0</v>
      </c>
      <c r="S3221" s="62"/>
      <c r="T3221" s="62"/>
      <c r="U3221" s="62"/>
      <c r="V3221" s="62"/>
      <c r="W3221" s="62"/>
      <c r="X3221" s="62"/>
      <c r="Y3221" s="62"/>
      <c r="Z3221" s="62"/>
      <c r="AA3221" s="62"/>
      <c r="AB3221" s="62"/>
      <c r="AC3221" s="62"/>
    </row>
    <row r="3222" hidden="1">
      <c r="A3222" s="60"/>
      <c r="B3222" s="60"/>
      <c r="C3222" s="60"/>
      <c r="D3222" s="60"/>
      <c r="E3222" s="62" t="str">
        <f t="shared" si="5153"/>
        <v/>
      </c>
      <c r="F3222" s="62" t="str">
        <f t="shared" ref="F3222:G3222" si="6444">IF(isblank(F$1),,IF(isblank($A3222),,IFERROR(vlookup($A3222,indirect("'TVC-"&amp;text(month(F$1),"00")&amp;"'!$A:$D"),4,false),1)))</f>
        <v/>
      </c>
      <c r="G3222" s="62" t="str">
        <f t="shared" si="6444"/>
        <v/>
      </c>
      <c r="H3222" s="62">
        <f t="shared" ref="H3222:Q3222" si="6445">IF(isblank(H$1),,IFERROR(vlookup($A3222,indirect("'TVC-"&amp;text(month(H$1),"00")&amp;"'!$A:$D"),4,false),1))</f>
        <v>1</v>
      </c>
      <c r="I3222" s="62">
        <f t="shared" si="6445"/>
        <v>1</v>
      </c>
      <c r="J3222" s="62">
        <f t="shared" si="6445"/>
        <v>1</v>
      </c>
      <c r="K3222" s="62">
        <f t="shared" si="6445"/>
        <v>1</v>
      </c>
      <c r="L3222" s="62">
        <f t="shared" si="6445"/>
        <v>1</v>
      </c>
      <c r="M3222" s="62">
        <f t="shared" si="6445"/>
        <v>1</v>
      </c>
      <c r="N3222" s="62">
        <f t="shared" si="6445"/>
        <v>1</v>
      </c>
      <c r="O3222" s="62">
        <f t="shared" si="6445"/>
        <v>1</v>
      </c>
      <c r="P3222" s="62" t="str">
        <f t="shared" si="6445"/>
        <v/>
      </c>
      <c r="Q3222" s="62" t="str">
        <f t="shared" si="6445"/>
        <v/>
      </c>
      <c r="R3222" s="62">
        <f t="shared" si="7"/>
        <v>0</v>
      </c>
      <c r="S3222" s="62"/>
      <c r="T3222" s="62"/>
      <c r="U3222" s="62"/>
      <c r="V3222" s="62"/>
      <c r="W3222" s="62"/>
      <c r="X3222" s="62"/>
      <c r="Y3222" s="62"/>
      <c r="Z3222" s="62"/>
      <c r="AA3222" s="62"/>
      <c r="AB3222" s="62"/>
      <c r="AC3222" s="62"/>
    </row>
  </sheetData>
  <autoFilter ref="$A$1:$R$3222">
    <filterColumn colId="17">
      <filters>
        <filter val="-2138"/>
        <filter val="-2379"/>
        <filter val="-2137"/>
        <filter val="-4799"/>
        <filter val="-3348"/>
        <filter val="-2139"/>
        <filter val="-3462"/>
        <filter val="-2493"/>
        <filter val="-1282"/>
        <filter val="-2250"/>
        <filter val="-4791"/>
        <filter val="-1163"/>
        <filter val="-2373"/>
        <filter val="-1166"/>
        <filter val="-2375"/>
        <filter val="-5885"/>
        <filter val="-1288"/>
        <filter val="-2498"/>
        <filter val="-4554"/>
        <filter val="-2028"/>
        <filter val="-3119"/>
        <filter val="-2027"/>
        <filter val="-5658"/>
        <filter val="-3359"/>
        <filter val="-4448"/>
        <filter val="-2262"/>
        <filter val="-2020"/>
        <filter val="-4562"/>
        <filter val="-5651"/>
        <filter val="-1293"/>
        <filter val="-3230"/>
        <filter val="-2021"/>
        <filter val="-2142"/>
        <filter val="-4566"/>
        <filter val="-2023"/>
        <filter val="-3476"/>
        <filter val="-2267"/>
        <filter val="-2038"/>
        <filter val="-6637"/>
        <filter val="-1181"/>
        <filter val="-3122"/>
        <filter val="-4695"/>
        <filter val="-2272"/>
        <filter val="-3240"/>
        <filter val="-2274"/>
        <filter val="-5304"/>
        <filter val="-1187"/>
        <filter val="-2158"/>
        <filter val="-3002"/>
        <filter val="-5302"/>
        <filter val="-2049"/>
        <filter val="-1070"/>
        <filter val="-1071"/>
        <filter val="-2281"/>
        <filter val="-6520"/>
        <filter val="-3496"/>
        <filter val="-4461"/>
        <filter val="-3251"/>
        <filter val="-1196"/>
        <filter val="-3252"/>
        <filter val="-1078"/>
        <filter val="-2167"/>
        <filter val="-4587"/>
        <filter val="-2047"/>
        <filter val="-2336"/>
        <filter val="-1126"/>
        <filter val="-6935"/>
        <filter val="-1488"/>
        <filter val="-1246"/>
        <filter val="-1007"/>
        <filter val="-3787"/>
        <filter val="-3308"/>
        <filter val="-2572"/>
        <filter val="-1240"/>
        <filter val="-3543"/>
        <filter val="-3544"/>
        <filter val="-4875"/>
        <filter val="-2331"/>
        <filter val="-2576"/>
        <filter val="-3662"/>
        <filter val="-2455"/>
        <filter val="-1244"/>
        <filter val="-3300"/>
        <filter val="-2589"/>
        <filter val="-6947"/>
        <filter val="-1258"/>
        <filter val="-2347"/>
        <filter val="-1379"/>
        <filter val="-1499"/>
        <filter val="-3556"/>
        <filter val="-1139"/>
        <filter val="-1017"/>
        <filter val="-2348"/>
        <filter val="-3436"/>
        <filter val="-4767"/>
        <filter val="-2229"/>
        <filter val="-2108"/>
        <filter val="-3318"/>
        <filter val="-5738"/>
        <filter val="-3319"/>
        <filter val="-900"/>
        <filter val="-902"/>
        <filter val="-1012"/>
        <filter val="-5731"/>
        <filter val="-1014"/>
        <filter val="-2103"/>
        <filter val="-1497"/>
        <filter val="-3688"/>
        <filter val="-2359"/>
        <filter val="-918"/>
        <filter val="-5749"/>
        <filter val="-1382"/>
        <filter val="-1260"/>
        <filter val="-1383"/>
        <filter val="-2472"/>
        <filter val="-5744"/>
        <filter val="-2596"/>
        <filter val="-1022"/>
        <filter val="-1143"/>
        <filter val="-2235"/>
        <filter val="-1388"/>
        <filter val="-1267"/>
        <filter val="-4652"/>
        <filter val="-2476"/>
        <filter val="-1266"/>
        <filter val="-3322"/>
        <filter val="-5741"/>
        <filter val="-1159"/>
        <filter val="-7816"/>
        <filter val="-1037"/>
        <filter val="-5637"/>
        <filter val="-3699"/>
        <filter val="-1272"/>
        <filter val="-2482"/>
        <filter val="-1153"/>
        <filter val="-1032"/>
        <filter val="-1273"/>
        <filter val="-2362"/>
        <filter val="-1394"/>
        <filter val="-6965"/>
        <filter val="-1397"/>
        <filter val="-2485"/>
        <filter val="-2125"/>
        <filter val="-1278"/>
        <filter val="-819"/>
        <filter val="-818"/>
        <filter val="-3180"/>
        <filter val="-5240"/>
        <filter val="-3060"/>
        <filter val="-812"/>
        <filter val="-7541"/>
        <filter val="-3068"/>
        <filter val="-948"/>
        <filter val="-3190"/>
        <filter val="-3194"/>
        <filter val="-3193"/>
        <filter val="-9977"/>
        <filter val="-826"/>
        <filter val="-947"/>
        <filter val="-5496"/>
        <filter val="-946"/>
        <filter val="-820"/>
        <filter val="-701"/>
        <filter val="-821"/>
        <filter val="-5258"/>
        <filter val="-1900"/>
        <filter val="-838"/>
        <filter val="-4295"/>
        <filter val="-955"/>
        <filter val="-957"/>
        <filter val="-952"/>
        <filter val="-951"/>
        <filter val="-8897"/>
        <filter val="-607"/>
        <filter val="-1914"/>
        <filter val="-1919"/>
        <filter val="-9993"/>
        <filter val="-960"/>
        <filter val="-9998"/>
        <filter val="-7333"/>
        <filter val="-3029"/>
        <filter val="-3382"/>
        <filter val="-3022"/>
        <filter val="-4112"/>
        <filter val="-4231"/>
        <filter val="-3021"/>
        <filter val="-5568"/>
        <filter val="-974"/>
        <filter val="-3148"/>
        <filter val="-5567"/>
        <filter val="-975"/>
        <filter val="-5338"/>
        <filter val="-980"/>
        <filter val="-861"/>
        <filter val="-1092"/>
        <filter val="-2187"/>
        <filter val="-506"/>
        <filter val="-3032"/>
        <filter val="-501"/>
        <filter val="-4006"/>
        <filter val="-2067"/>
        <filter val="-863"/>
        <filter val="-500"/>
        <filter val="-3277"/>
        <filter val="-3036"/>
        <filter val="-6318"/>
        <filter val="-872"/>
        <filter val="-2070"/>
        <filter val="-3045"/>
        <filter val="-515"/>
        <filter val="-6794"/>
        <filter val="-2198"/>
        <filter val="-5221"/>
        <filter val="-4258"/>
        <filter val="-998"/>
        <filter val="-882"/>
        <filter val="-884"/>
        <filter val="-2080"/>
        <filter val="-520"/>
        <filter val="-3291"/>
        <filter val="-880"/>
        <filter val="-3297"/>
        <filter val="-765"/>
        <filter val="-888"/>
        <filter val="-767"/>
        <filter val="-5115"/>
        <filter val="-1722"/>
        <filter val="-1726"/>
        <filter val="-1968"/>
        <filter val="-1847"/>
        <filter val="-1608"/>
        <filter val="-652"/>
        <filter val="-7389"/>
        <filter val="-7266"/>
        <filter val="-898"/>
        <filter val="-1730"/>
        <filter val="-1612"/>
        <filter val="-2823"/>
        <filter val="-1616"/>
        <filter val="-1979"/>
        <filter val="-1858"/>
        <filter val="-2707"/>
        <filter val="-1617"/>
        <filter val="-3917"/>
        <filter val="-6190"/>
        <filter val="-5094"/>
        <filter val="-6186"/>
        <filter val="-1971"/>
        <filter val="-7039"/>
        <filter val="-1984"/>
        <filter val="-1621"/>
        <filter val="-1500"/>
        <filter val="-2830"/>
        <filter val="-1502"/>
        <filter val="-1867"/>
        <filter val="-2715"/>
        <filter val="-2718"/>
        <filter val="-675"/>
        <filter val="-1874"/>
        <filter val="-1632"/>
        <filter val="-1634"/>
        <filter val="-3810"/>
        <filter val="-2964"/>
        <filter val="-1638"/>
        <filter val="-2727"/>
        <filter val="-1516"/>
        <filter val="-1519"/>
        <filter val="-1518"/>
        <filter val="-7294"/>
        <filter val="-680"/>
        <filter val="-1991"/>
        <filter val="-687"/>
        <filter val="-1924"/>
        <filter val="-1802"/>
        <filter val="-1925"/>
        <filter val="-6252"/>
        <filter val="-5283"/>
        <filter val="-5286"/>
        <filter val="-6376"/>
        <filter val="-5287"/>
        <filter val="-5049"/>
        <filter val="-579"/>
        <filter val="-2900"/>
        <filter val="-1814"/>
        <filter val="-1934"/>
        <filter val="-2904"/>
        <filter val="-1818"/>
        <filter val="-585"/>
        <filter val="-466"/>
        <filter val="-462"/>
        <filter val="-461"/>
        <filter val="-7235"/>
        <filter val="-6024"/>
        <filter val="-468"/>
        <filter val="-589"/>
        <filter val="-1821"/>
        <filter val="-1701"/>
        <filter val="-1822"/>
        <filter val="-1706"/>
        <filter val="-1708"/>
        <filter val="-475"/>
        <filter val="-474"/>
        <filter val="-477"/>
        <filter val="-7361"/>
        <filter val="-479"/>
        <filter val="-1950"/>
        <filter val="-1832"/>
        <filter val="-2805"/>
        <filter val="-2926"/>
        <filter val="-2929"/>
        <filter val="-2809"/>
        <filter val="-486"/>
        <filter val="-6040"/>
        <filter val="-485"/>
        <filter val="-5190"/>
        <filter val="-482"/>
        <filter val="-8580"/>
        <filter val="-5079"/>
        <filter val="-1687"/>
        <filter val="-2775"/>
        <filter val="-2535"/>
        <filter val="-1446"/>
        <filter val="-4833"/>
        <filter val="-1325"/>
        <filter val="-1688"/>
        <filter val="-1204"/>
        <filter val="-2538"/>
        <filter val="-1449"/>
        <filter val="-1209"/>
        <filter val="-4716"/>
        <filter val="-498"/>
        <filter val="-2891"/>
        <filter val="-2890"/>
        <filter val="-4952"/>
        <filter val="-1685"/>
        <filter val="-1322"/>
        <filter val="-2652"/>
        <filter val="-2531"/>
        <filter val="-1576"/>
        <filter val="-1697"/>
        <filter val="-3754"/>
        <filter val="-1215"/>
        <filter val="-1459"/>
        <filter val="-3519"/>
        <filter val="-1217"/>
        <filter val="-1219"/>
        <filter val="-8090"/>
        <filter val="-3752"/>
        <filter val="-1212"/>
        <filter val="-1454"/>
        <filter val="-1574"/>
        <filter val="-2542"/>
        <filter val="-2313"/>
        <filter val="-2558"/>
        <filter val="-2317"/>
        <filter val="-1109"/>
        <filter val="-2790"/>
        <filter val="-1461"/>
        <filter val="-1340"/>
        <filter val="-2791"/>
        <filter val="-1100"/>
        <filter val="-4610"/>
        <filter val="-2675"/>
        <filter val="-2554"/>
        <filter val="-1114"/>
        <filter val="-1238"/>
        <filter val="-2326"/>
        <filter val="-1116"/>
        <filter val="-2329"/>
        <filter val="-1119"/>
        <filter val="-5959"/>
        <filter val="-9195"/>
        <filter val="-1590"/>
        <filter val="-1472"/>
        <filter val="-1595"/>
        <filter val="-1232"/>
        <filter val="-4743"/>
        <filter val="-3893"/>
        <filter val="-1354"/>
        <filter val="-1475"/>
        <filter val="-1596"/>
        <filter val="-1522"/>
        <filter val="-1400"/>
        <filter val="-1642"/>
        <filter val="-2610"/>
        <filter val="-1524"/>
        <filter val="-3705"/>
        <filter val="-2614"/>
        <filter val="-1411"/>
        <filter val="-1653"/>
        <filter val="-3952"/>
        <filter val="-2866"/>
        <filter val="-2745"/>
        <filter val="-2623"/>
        <filter val="-1659"/>
        <filter val="-3715"/>
        <filter val="-2508"/>
        <filter val="-3719"/>
        <filter val="-4929"/>
        <filter val="-7193"/>
        <filter val="-1770"/>
        <filter val="-2862"/>
        <filter val="-9139"/>
        <filter val="-1893"/>
        <filter val="-2754"/>
        <filter val="-2996"/>
        <filter val="-2995"/>
        <filter val="-3721"/>
        <filter val="-3728"/>
        <filter val="-1668"/>
        <filter val="-2639"/>
        <filter val="-1429"/>
        <filter val="-1549"/>
        <filter val="-1782"/>
        <filter val="-2870"/>
        <filter val="-2631"/>
        <filter val="-1662"/>
        <filter val="-3734"/>
        <filter val="-2522"/>
        <filter val="-2643"/>
        <filter val="-1796"/>
        <filter val="-1799"/>
        <filter val="-2646"/>
        <filter val="-2767"/>
        <filter val="-1556"/>
        <filter val="-1798"/>
        <filter val="-2766"/>
        <filter val="-2887"/>
        <filter val="-2648"/>
        <filter val="-4828"/>
        <filter val="-2408"/>
        <filter val="-2528"/>
        <filter val="-4947"/>
        <filter val="-8188"/>
        <filter val="-3851"/>
        <filter val="-1793"/>
      </filters>
    </filterColumn>
    <filterColumn colId="2">
      <filters>
        <filter val="XX"/>
        <filter val="QB"/>
        <filter val="WR"/>
        <filter val="RB"/>
        <filter val="TE"/>
      </filters>
    </filterColumn>
    <filterColumn colId="3">
      <filters blank="1">
        <filter val="CHI"/>
        <filter val="WAS"/>
        <filter val="LVR"/>
        <filter val="PHI"/>
        <filter val="BUF"/>
        <filter val="GBP"/>
        <filter val="TBB"/>
        <filter val="NYG"/>
        <filter val="SFO"/>
        <filter val="NYJ"/>
        <filter val="MIA"/>
        <filter val="CIN"/>
        <filter val="KCC"/>
        <filter val="DEN"/>
        <filter val="JAC"/>
        <filter val="BAL"/>
        <filter val="SEA"/>
        <filter val="DAL"/>
        <filter val="LAC"/>
        <filter val="HOU"/>
        <filter val="DET"/>
        <filter val="MIN"/>
        <filter val="NOS"/>
        <filter val="CAR"/>
        <filter val="NEP"/>
        <filter val="ARI"/>
        <filter val="ATL"/>
        <filter val="PIT"/>
        <filter val="TEN"/>
        <filter val="LAR"/>
        <filter val="CLE"/>
        <filter val="IND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9.13"/>
    <col customWidth="1" min="3" max="14" width="6.38"/>
  </cols>
  <sheetData>
    <row r="1">
      <c r="A1" s="61" t="s">
        <v>57</v>
      </c>
      <c r="B1" s="75" t="s">
        <v>58</v>
      </c>
      <c r="C1" s="61">
        <v>46023.0</v>
      </c>
      <c r="D1" s="61">
        <f t="shared" ref="D1:N1" si="1">if(today()&gt;=date(2026,month(C1)+1,1),date(2026,month(C1)+1,1),)</f>
        <v>46054</v>
      </c>
      <c r="E1" s="61">
        <f t="shared" si="1"/>
        <v>46082</v>
      </c>
      <c r="F1" s="61">
        <f t="shared" si="1"/>
        <v>46113</v>
      </c>
      <c r="G1" s="61">
        <f t="shared" si="1"/>
        <v>46143</v>
      </c>
      <c r="H1" s="61">
        <f t="shared" si="1"/>
        <v>46174</v>
      </c>
      <c r="I1" s="61">
        <f t="shared" si="1"/>
        <v>46204</v>
      </c>
      <c r="J1" s="61">
        <f t="shared" si="1"/>
        <v>46235</v>
      </c>
      <c r="K1" s="61">
        <f t="shared" si="1"/>
        <v>46266</v>
      </c>
      <c r="L1" s="61">
        <f t="shared" si="1"/>
        <v>46296</v>
      </c>
      <c r="M1" s="61" t="str">
        <f t="shared" si="1"/>
        <v/>
      </c>
      <c r="N1" s="61" t="str">
        <f t="shared" si="1"/>
        <v/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hidden="1">
      <c r="A2" s="62" t="s">
        <v>59</v>
      </c>
      <c r="B2" s="7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</row>
    <row r="3" hidden="1">
      <c r="A3" s="62" t="s">
        <v>60</v>
      </c>
      <c r="B3" s="7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hidden="1">
      <c r="A4" s="62" t="s">
        <v>61</v>
      </c>
      <c r="B4" s="7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</row>
    <row r="5" hidden="1">
      <c r="A5" s="62" t="s">
        <v>62</v>
      </c>
      <c r="B5" s="7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</row>
    <row r="6" hidden="1">
      <c r="A6" s="62" t="s">
        <v>63</v>
      </c>
      <c r="B6" s="7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</row>
    <row r="7" hidden="1">
      <c r="A7" s="62" t="s">
        <v>64</v>
      </c>
      <c r="B7" s="7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</row>
    <row r="8" hidden="1">
      <c r="A8" s="62" t="s">
        <v>65</v>
      </c>
      <c r="B8" s="7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</row>
    <row r="9" hidden="1">
      <c r="A9" s="60" t="s">
        <v>66</v>
      </c>
      <c r="B9" s="75" t="s">
        <v>67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hidden="1">
      <c r="A10" s="60" t="s">
        <v>68</v>
      </c>
      <c r="B10" s="75" t="s">
        <v>69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</row>
    <row r="11" hidden="1">
      <c r="A11" s="60" t="s">
        <v>70</v>
      </c>
      <c r="B11" s="75" t="s">
        <v>71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</row>
    <row r="12" hidden="1">
      <c r="A12" s="60" t="s">
        <v>72</v>
      </c>
      <c r="B12" s="75" t="s">
        <v>73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</row>
    <row r="13" hidden="1">
      <c r="A13" s="60" t="s">
        <v>74</v>
      </c>
      <c r="B13" s="75" t="s">
        <v>75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hidden="1">
      <c r="A14" s="60" t="s">
        <v>76</v>
      </c>
      <c r="B14" s="75" t="s">
        <v>77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</row>
    <row r="15">
      <c r="A15" s="77" t="s">
        <v>78</v>
      </c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</row>
    <row r="16">
      <c r="A16" s="60" t="s">
        <v>79</v>
      </c>
      <c r="B16" s="75"/>
      <c r="C16" s="76">
        <f t="shared" ref="C16:N16" si="2">IFERROR(vlookup($A16,indirect("'TVC-"&amp;text(month(C$1),"00")&amp;"'!B:D"),3,false),)</f>
        <v>5930</v>
      </c>
      <c r="D16" s="76">
        <f t="shared" si="2"/>
        <v>6044</v>
      </c>
      <c r="E16" s="76">
        <f t="shared" si="2"/>
        <v>5961</v>
      </c>
      <c r="F16" s="76">
        <f t="shared" si="2"/>
        <v>5841</v>
      </c>
      <c r="G16" s="76">
        <f t="shared" si="2"/>
        <v>5668</v>
      </c>
      <c r="H16" s="76">
        <f t="shared" si="2"/>
        <v>5648</v>
      </c>
      <c r="I16" s="76">
        <f t="shared" si="2"/>
        <v>5602</v>
      </c>
      <c r="J16" s="76">
        <f t="shared" si="2"/>
        <v>5595</v>
      </c>
      <c r="K16" s="76">
        <f t="shared" si="2"/>
        <v>5527</v>
      </c>
      <c r="L16" s="76" t="str">
        <f t="shared" si="2"/>
        <v/>
      </c>
      <c r="M16" s="76" t="str">
        <f t="shared" si="2"/>
        <v/>
      </c>
      <c r="N16" s="76" t="str">
        <f t="shared" si="2"/>
        <v/>
      </c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</row>
    <row r="17">
      <c r="A17" s="60" t="s">
        <v>80</v>
      </c>
      <c r="B17" s="75"/>
      <c r="C17" s="76">
        <f t="shared" ref="C17:N17" si="3">IFERROR(vlookup($A17,indirect("'TVC-"&amp;text(month(C$1),"00")&amp;"'!B:D"),3,false),)</f>
        <v>4831</v>
      </c>
      <c r="D17" s="76">
        <f t="shared" si="3"/>
        <v>4728</v>
      </c>
      <c r="E17" s="76">
        <f t="shared" si="3"/>
        <v>4693</v>
      </c>
      <c r="F17" s="76">
        <f t="shared" si="3"/>
        <v>4750</v>
      </c>
      <c r="G17" s="76">
        <f t="shared" si="3"/>
        <v>4579</v>
      </c>
      <c r="H17" s="76">
        <f t="shared" si="3"/>
        <v>4564</v>
      </c>
      <c r="I17" s="76">
        <f t="shared" si="3"/>
        <v>4581</v>
      </c>
      <c r="J17" s="76">
        <f t="shared" si="3"/>
        <v>4665</v>
      </c>
      <c r="K17" s="76">
        <f t="shared" si="3"/>
        <v>4733</v>
      </c>
      <c r="L17" s="76" t="str">
        <f t="shared" si="3"/>
        <v/>
      </c>
      <c r="M17" s="76" t="str">
        <f t="shared" si="3"/>
        <v/>
      </c>
      <c r="N17" s="76" t="str">
        <f t="shared" si="3"/>
        <v/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</row>
    <row r="18">
      <c r="A18" s="60" t="s">
        <v>81</v>
      </c>
      <c r="B18" s="75"/>
      <c r="C18" s="76">
        <f t="shared" ref="C18:N18" si="4">IFERROR(vlookup($A18,indirect("'TVC-"&amp;text(month(C$1),"00")&amp;"'!B:D"),3,false),)</f>
        <v>4494</v>
      </c>
      <c r="D18" s="76">
        <f t="shared" si="4"/>
        <v>4332</v>
      </c>
      <c r="E18" s="76">
        <f t="shared" si="4"/>
        <v>4231</v>
      </c>
      <c r="F18" s="76">
        <f t="shared" si="4"/>
        <v>3927</v>
      </c>
      <c r="G18" s="76">
        <f t="shared" si="4"/>
        <v>3862</v>
      </c>
      <c r="H18" s="76">
        <f t="shared" si="4"/>
        <v>3954</v>
      </c>
      <c r="I18" s="76">
        <f t="shared" si="4"/>
        <v>3888</v>
      </c>
      <c r="J18" s="76">
        <f t="shared" si="4"/>
        <v>3962</v>
      </c>
      <c r="K18" s="76">
        <f t="shared" si="4"/>
        <v>4024</v>
      </c>
      <c r="L18" s="76" t="str">
        <f t="shared" si="4"/>
        <v/>
      </c>
      <c r="M18" s="76" t="str">
        <f t="shared" si="4"/>
        <v/>
      </c>
      <c r="N18" s="76" t="str">
        <f t="shared" si="4"/>
        <v/>
      </c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</row>
    <row r="19">
      <c r="A19" s="60" t="s">
        <v>82</v>
      </c>
      <c r="B19" s="75"/>
      <c r="C19" s="76">
        <f t="shared" ref="C19:N19" si="5">IFERROR(vlookup($A19,indirect("'TVC-"&amp;text(month(C$1),"00")&amp;"'!B:D"),3,false),)</f>
        <v>3651</v>
      </c>
      <c r="D19" s="76">
        <f t="shared" si="5"/>
        <v>3495</v>
      </c>
      <c r="E19" s="76">
        <f t="shared" si="5"/>
        <v>3478</v>
      </c>
      <c r="F19" s="76">
        <f t="shared" si="5"/>
        <v>3360</v>
      </c>
      <c r="G19" s="76">
        <f t="shared" si="5"/>
        <v>3259</v>
      </c>
      <c r="H19" s="76">
        <f t="shared" si="5"/>
        <v>3295</v>
      </c>
      <c r="I19" s="76">
        <f t="shared" si="5"/>
        <v>3312</v>
      </c>
      <c r="J19" s="76">
        <f t="shared" si="5"/>
        <v>3310</v>
      </c>
      <c r="K19" s="76">
        <f t="shared" si="5"/>
        <v>3387</v>
      </c>
      <c r="L19" s="76" t="str">
        <f t="shared" si="5"/>
        <v/>
      </c>
      <c r="M19" s="76" t="str">
        <f t="shared" si="5"/>
        <v/>
      </c>
      <c r="N19" s="76" t="str">
        <f t="shared" si="5"/>
        <v/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</row>
    <row r="20">
      <c r="A20" s="60" t="s">
        <v>84</v>
      </c>
      <c r="B20" s="75"/>
      <c r="C20" s="76">
        <f t="shared" ref="C20:N20" si="6">IFERROR(vlookup($A20,indirect("'TVC-"&amp;text(month(C$1),"00")&amp;"'!B:D"),3,false),)</f>
        <v>3193</v>
      </c>
      <c r="D20" s="76">
        <f t="shared" si="6"/>
        <v>3074</v>
      </c>
      <c r="E20" s="76">
        <f t="shared" si="6"/>
        <v>3039</v>
      </c>
      <c r="F20" s="76">
        <f t="shared" si="6"/>
        <v>3020</v>
      </c>
      <c r="G20" s="76">
        <f t="shared" si="6"/>
        <v>3033</v>
      </c>
      <c r="H20" s="76">
        <f t="shared" si="6"/>
        <v>2953</v>
      </c>
      <c r="I20" s="76">
        <f t="shared" si="6"/>
        <v>2989</v>
      </c>
      <c r="J20" s="76">
        <f t="shared" si="6"/>
        <v>3020</v>
      </c>
      <c r="K20" s="76">
        <f t="shared" si="6"/>
        <v>3175</v>
      </c>
      <c r="L20" s="76" t="str">
        <f t="shared" si="6"/>
        <v/>
      </c>
      <c r="M20" s="76" t="str">
        <f t="shared" si="6"/>
        <v/>
      </c>
      <c r="N20" s="76" t="str">
        <f t="shared" si="6"/>
        <v/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</row>
    <row r="21">
      <c r="A21" s="60" t="s">
        <v>85</v>
      </c>
      <c r="B21" s="75"/>
      <c r="C21" s="76">
        <f t="shared" ref="C21:N21" si="7">IFERROR(vlookup($A21,indirect("'TVC-"&amp;text(month(C$1),"00")&amp;"'!B:D"),3,false),)</f>
        <v>2996</v>
      </c>
      <c r="D21" s="76">
        <f t="shared" si="7"/>
        <v>2804</v>
      </c>
      <c r="E21" s="76">
        <f t="shared" si="7"/>
        <v>2786</v>
      </c>
      <c r="F21" s="76">
        <f t="shared" si="7"/>
        <v>2877</v>
      </c>
      <c r="G21" s="76">
        <f t="shared" si="7"/>
        <v>2765</v>
      </c>
      <c r="H21" s="76">
        <f t="shared" si="7"/>
        <v>2833</v>
      </c>
      <c r="I21" s="76">
        <f t="shared" si="7"/>
        <v>2809</v>
      </c>
      <c r="J21" s="76">
        <f t="shared" si="7"/>
        <v>2797</v>
      </c>
      <c r="K21" s="76">
        <f t="shared" si="7"/>
        <v>2893</v>
      </c>
      <c r="L21" s="76" t="str">
        <f t="shared" si="7"/>
        <v/>
      </c>
      <c r="M21" s="76" t="str">
        <f t="shared" si="7"/>
        <v/>
      </c>
      <c r="N21" s="76" t="str">
        <f t="shared" si="7"/>
        <v/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>
      <c r="A22" s="60" t="s">
        <v>86</v>
      </c>
      <c r="B22" s="75"/>
      <c r="C22" s="76">
        <f t="shared" ref="C22:N22" si="8">IFERROR(vlookup($A22,indirect("'TVC-"&amp;text(month(C$1),"00")&amp;"'!B:D"),3,false),)</f>
        <v>2445</v>
      </c>
      <c r="D22" s="76">
        <f t="shared" si="8"/>
        <v>2364</v>
      </c>
      <c r="E22" s="76">
        <f t="shared" si="8"/>
        <v>2341</v>
      </c>
      <c r="F22" s="76">
        <f t="shared" si="8"/>
        <v>2400</v>
      </c>
      <c r="G22" s="76">
        <f t="shared" si="8"/>
        <v>2265</v>
      </c>
      <c r="H22" s="76">
        <f t="shared" si="8"/>
        <v>2252</v>
      </c>
      <c r="I22" s="76">
        <f t="shared" si="8"/>
        <v>2278</v>
      </c>
      <c r="J22" s="76">
        <f t="shared" si="8"/>
        <v>2359</v>
      </c>
      <c r="K22" s="76">
        <f t="shared" si="8"/>
        <v>2449</v>
      </c>
      <c r="L22" s="76" t="str">
        <f t="shared" si="8"/>
        <v/>
      </c>
      <c r="M22" s="76" t="str">
        <f t="shared" si="8"/>
        <v/>
      </c>
      <c r="N22" s="76" t="str">
        <f t="shared" si="8"/>
        <v/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</row>
    <row r="23">
      <c r="A23" s="60" t="s">
        <v>87</v>
      </c>
      <c r="B23" s="75"/>
      <c r="C23" s="76">
        <f t="shared" ref="C23:N23" si="9">IFERROR(vlookup($A23,indirect("'TVC-"&amp;text(month(C$1),"00")&amp;"'!B:D"),3,false),)</f>
        <v>2289</v>
      </c>
      <c r="D23" s="76">
        <f t="shared" si="9"/>
        <v>2189</v>
      </c>
      <c r="E23" s="76">
        <f t="shared" si="9"/>
        <v>2166</v>
      </c>
      <c r="F23" s="76">
        <f t="shared" si="9"/>
        <v>2250</v>
      </c>
      <c r="G23" s="76">
        <f t="shared" si="9"/>
        <v>2116</v>
      </c>
      <c r="H23" s="76">
        <f t="shared" si="9"/>
        <v>2146</v>
      </c>
      <c r="I23" s="76">
        <f t="shared" si="9"/>
        <v>2160</v>
      </c>
      <c r="J23" s="76">
        <f t="shared" si="9"/>
        <v>2234</v>
      </c>
      <c r="K23" s="76">
        <f t="shared" si="9"/>
        <v>2318</v>
      </c>
      <c r="L23" s="76" t="str">
        <f t="shared" si="9"/>
        <v/>
      </c>
      <c r="M23" s="76" t="str">
        <f t="shared" si="9"/>
        <v/>
      </c>
      <c r="N23" s="76" t="str">
        <f t="shared" si="9"/>
        <v/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</row>
    <row r="24">
      <c r="A24" s="60" t="s">
        <v>88</v>
      </c>
      <c r="B24" s="75"/>
      <c r="C24" s="76">
        <f t="shared" ref="C24:N24" si="10">IFERROR(vlookup($A24,indirect("'TVC-"&amp;text(month(C$1),"00")&amp;"'!B:D"),3,false),)</f>
        <v>2158</v>
      </c>
      <c r="D24" s="76">
        <f t="shared" si="10"/>
        <v>2085</v>
      </c>
      <c r="E24" s="76">
        <f t="shared" si="10"/>
        <v>2112</v>
      </c>
      <c r="F24" s="76">
        <f t="shared" si="10"/>
        <v>2135</v>
      </c>
      <c r="G24" s="76">
        <f t="shared" si="10"/>
        <v>2023</v>
      </c>
      <c r="H24" s="76">
        <f t="shared" si="10"/>
        <v>2083</v>
      </c>
      <c r="I24" s="76">
        <f t="shared" si="10"/>
        <v>2124</v>
      </c>
      <c r="J24" s="76">
        <f t="shared" si="10"/>
        <v>2038</v>
      </c>
      <c r="K24" s="76">
        <f t="shared" si="10"/>
        <v>2133</v>
      </c>
      <c r="L24" s="76" t="str">
        <f t="shared" si="10"/>
        <v/>
      </c>
      <c r="M24" s="76" t="str">
        <f t="shared" si="10"/>
        <v/>
      </c>
      <c r="N24" s="76" t="str">
        <f t="shared" si="10"/>
        <v/>
      </c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</row>
    <row r="25">
      <c r="A25" s="60" t="s">
        <v>89</v>
      </c>
      <c r="B25" s="75"/>
      <c r="C25" s="76">
        <f t="shared" ref="C25:N25" si="11">IFERROR(vlookup($A25,indirect("'TVC-"&amp;text(month(C$1),"00")&amp;"'!B:D"),3,false),)</f>
        <v>1880</v>
      </c>
      <c r="D25" s="76">
        <f t="shared" si="11"/>
        <v>1770</v>
      </c>
      <c r="E25" s="76">
        <f t="shared" si="11"/>
        <v>1753</v>
      </c>
      <c r="F25" s="76">
        <f t="shared" si="11"/>
        <v>1828</v>
      </c>
      <c r="G25" s="76">
        <f t="shared" si="11"/>
        <v>1720</v>
      </c>
      <c r="H25" s="76">
        <f t="shared" si="11"/>
        <v>1705</v>
      </c>
      <c r="I25" s="76">
        <f t="shared" si="11"/>
        <v>1712</v>
      </c>
      <c r="J25" s="76">
        <f t="shared" si="11"/>
        <v>1761</v>
      </c>
      <c r="K25" s="76">
        <f t="shared" si="11"/>
        <v>1747</v>
      </c>
      <c r="L25" s="76" t="str">
        <f t="shared" si="11"/>
        <v/>
      </c>
      <c r="M25" s="76" t="str">
        <f t="shared" si="11"/>
        <v/>
      </c>
      <c r="N25" s="76" t="str">
        <f t="shared" si="11"/>
        <v/>
      </c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</row>
    <row r="26">
      <c r="A26" s="60" t="s">
        <v>90</v>
      </c>
      <c r="B26" s="75"/>
      <c r="C26" s="76">
        <f t="shared" ref="C26:N26" si="12">IFERROR(vlookup($A26,indirect("'TVC-"&amp;text(month(C$1),"00")&amp;"'!B:D"),3,false),)</f>
        <v>1705</v>
      </c>
      <c r="D26" s="76">
        <f t="shared" si="12"/>
        <v>1616</v>
      </c>
      <c r="E26" s="76">
        <f t="shared" si="12"/>
        <v>1641</v>
      </c>
      <c r="F26" s="76">
        <f t="shared" si="12"/>
        <v>1649</v>
      </c>
      <c r="G26" s="76">
        <f t="shared" si="12"/>
        <v>1600</v>
      </c>
      <c r="H26" s="76">
        <f t="shared" si="12"/>
        <v>1600</v>
      </c>
      <c r="I26" s="76">
        <f t="shared" si="12"/>
        <v>1625</v>
      </c>
      <c r="J26" s="76">
        <f t="shared" si="12"/>
        <v>1593</v>
      </c>
      <c r="K26" s="76">
        <f t="shared" si="12"/>
        <v>1699</v>
      </c>
      <c r="L26" s="76" t="str">
        <f t="shared" si="12"/>
        <v/>
      </c>
      <c r="M26" s="76" t="str">
        <f t="shared" si="12"/>
        <v/>
      </c>
      <c r="N26" s="76" t="str">
        <f t="shared" si="12"/>
        <v/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</row>
    <row r="27">
      <c r="A27" s="60" t="s">
        <v>91</v>
      </c>
      <c r="B27" s="75"/>
      <c r="C27" s="76">
        <f t="shared" ref="C27:N27" si="13">IFERROR(vlookup($A27,indirect("'TVC-"&amp;text(month(C$1),"00")&amp;"'!B:D"),3,false),)</f>
        <v>1595</v>
      </c>
      <c r="D27" s="76">
        <f t="shared" si="13"/>
        <v>1558</v>
      </c>
      <c r="E27" s="76">
        <f t="shared" si="13"/>
        <v>1515</v>
      </c>
      <c r="F27" s="76">
        <f t="shared" si="13"/>
        <v>1527</v>
      </c>
      <c r="G27" s="76">
        <f t="shared" si="13"/>
        <v>1518</v>
      </c>
      <c r="H27" s="76">
        <f t="shared" si="13"/>
        <v>1509</v>
      </c>
      <c r="I27" s="76">
        <f t="shared" si="13"/>
        <v>1560</v>
      </c>
      <c r="J27" s="76">
        <f t="shared" si="13"/>
        <v>1533</v>
      </c>
      <c r="K27" s="76">
        <f t="shared" si="13"/>
        <v>1514</v>
      </c>
      <c r="L27" s="76" t="str">
        <f t="shared" si="13"/>
        <v/>
      </c>
      <c r="M27" s="76" t="str">
        <f t="shared" si="13"/>
        <v/>
      </c>
      <c r="N27" s="76" t="str">
        <f t="shared" si="13"/>
        <v/>
      </c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>
      <c r="A28" s="60" t="s">
        <v>92</v>
      </c>
      <c r="B28" s="75"/>
      <c r="C28" s="76">
        <f t="shared" ref="C28:N28" si="14">IFERROR(vlookup($A28,indirect("'TVC-"&amp;text(month(C$1),"00")&amp;"'!B:D"),3,false),)</f>
        <v>6436</v>
      </c>
      <c r="D28" s="76">
        <f t="shared" si="14"/>
        <v>6634</v>
      </c>
      <c r="E28" s="76">
        <f t="shared" si="14"/>
        <v>6650</v>
      </c>
      <c r="F28" s="76">
        <f t="shared" si="14"/>
        <v>6850</v>
      </c>
      <c r="G28" s="76">
        <f t="shared" si="14"/>
        <v>7022</v>
      </c>
      <c r="H28" s="76">
        <f t="shared" si="14"/>
        <v>7142</v>
      </c>
      <c r="I28" s="76">
        <f t="shared" si="14"/>
        <v>7064</v>
      </c>
      <c r="J28" s="76">
        <f t="shared" si="14"/>
        <v>7108</v>
      </c>
      <c r="K28" s="76">
        <f t="shared" si="14"/>
        <v>6938</v>
      </c>
      <c r="L28" s="76" t="str">
        <f t="shared" si="14"/>
        <v/>
      </c>
      <c r="M28" s="76" t="str">
        <f t="shared" si="14"/>
        <v/>
      </c>
      <c r="N28" s="76" t="str">
        <f t="shared" si="14"/>
        <v/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</row>
    <row r="29">
      <c r="A29" s="60" t="s">
        <v>93</v>
      </c>
      <c r="B29" s="75"/>
      <c r="C29" s="76">
        <f t="shared" ref="C29:N29" si="15">IFERROR(vlookup($A29,indirect("'TVC-"&amp;text(month(C$1),"00")&amp;"'!B:D"),3,false),)</f>
        <v>5262</v>
      </c>
      <c r="D29" s="76">
        <f t="shared" si="15"/>
        <v>5404</v>
      </c>
      <c r="E29" s="76">
        <f t="shared" si="15"/>
        <v>5447</v>
      </c>
      <c r="F29" s="76">
        <f t="shared" si="15"/>
        <v>5630</v>
      </c>
      <c r="G29" s="76">
        <f t="shared" si="15"/>
        <v>5571</v>
      </c>
      <c r="H29" s="76">
        <f t="shared" si="15"/>
        <v>5667</v>
      </c>
      <c r="I29" s="76">
        <f t="shared" si="15"/>
        <v>5601</v>
      </c>
      <c r="J29" s="76">
        <f t="shared" si="15"/>
        <v>5655</v>
      </c>
      <c r="K29" s="76">
        <f t="shared" si="15"/>
        <v>5600</v>
      </c>
      <c r="L29" s="76" t="str">
        <f t="shared" si="15"/>
        <v/>
      </c>
      <c r="M29" s="76" t="str">
        <f t="shared" si="15"/>
        <v/>
      </c>
      <c r="N29" s="76" t="str">
        <f t="shared" si="15"/>
        <v/>
      </c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>
      <c r="A30" s="60" t="s">
        <v>94</v>
      </c>
      <c r="B30" s="75"/>
      <c r="C30" s="76">
        <f t="shared" ref="C30:N30" si="16">IFERROR(vlookup($A30,indirect("'TVC-"&amp;text(month(C$1),"00")&amp;"'!B:D"),3,false),)</f>
        <v>4656</v>
      </c>
      <c r="D30" s="76">
        <f t="shared" si="16"/>
        <v>4720</v>
      </c>
      <c r="E30" s="76">
        <f t="shared" si="16"/>
        <v>4785</v>
      </c>
      <c r="F30" s="76">
        <f t="shared" si="16"/>
        <v>4784</v>
      </c>
      <c r="G30" s="76">
        <f t="shared" si="16"/>
        <v>4899</v>
      </c>
      <c r="H30" s="76">
        <f t="shared" si="16"/>
        <v>4974</v>
      </c>
      <c r="I30" s="76">
        <f t="shared" si="16"/>
        <v>4931</v>
      </c>
      <c r="J30" s="76">
        <f t="shared" si="16"/>
        <v>4847</v>
      </c>
      <c r="K30" s="76">
        <f t="shared" si="16"/>
        <v>4941</v>
      </c>
      <c r="L30" s="76" t="str">
        <f t="shared" si="16"/>
        <v/>
      </c>
      <c r="M30" s="76" t="str">
        <f t="shared" si="16"/>
        <v/>
      </c>
      <c r="N30" s="76" t="str">
        <f t="shared" si="16"/>
        <v/>
      </c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31">
      <c r="A31" s="60" t="s">
        <v>95</v>
      </c>
      <c r="B31" s="75"/>
      <c r="C31" s="76">
        <f t="shared" ref="C31:N31" si="17">IFERROR(vlookup($A31,indirect("'TVC-"&amp;text(month(C$1),"00")&amp;"'!B:D"),3,false),)</f>
        <v>3762</v>
      </c>
      <c r="D31" s="76">
        <f t="shared" si="17"/>
        <v>3826</v>
      </c>
      <c r="E31" s="76">
        <f t="shared" si="17"/>
        <v>3843</v>
      </c>
      <c r="F31" s="76">
        <f t="shared" si="17"/>
        <v>3734</v>
      </c>
      <c r="G31" s="76">
        <f t="shared" si="17"/>
        <v>3898</v>
      </c>
      <c r="H31" s="76">
        <f t="shared" si="17"/>
        <v>3909</v>
      </c>
      <c r="I31" s="76">
        <f t="shared" si="17"/>
        <v>3887</v>
      </c>
      <c r="J31" s="76">
        <f t="shared" si="17"/>
        <v>3830</v>
      </c>
      <c r="K31" s="76">
        <f t="shared" si="17"/>
        <v>3809</v>
      </c>
      <c r="L31" s="76" t="str">
        <f t="shared" si="17"/>
        <v/>
      </c>
      <c r="M31" s="76" t="str">
        <f t="shared" si="17"/>
        <v/>
      </c>
      <c r="N31" s="76" t="str">
        <f t="shared" si="17"/>
        <v/>
      </c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</row>
    <row r="32">
      <c r="A32" s="60" t="s">
        <v>96</v>
      </c>
      <c r="B32" s="75"/>
      <c r="C32" s="76">
        <f t="shared" ref="C32:N32" si="18">IFERROR(vlookup($A32,indirect("'TVC-"&amp;text(month(C$1),"00")&amp;"'!B:D"),3,false),)</f>
        <v>3251</v>
      </c>
      <c r="D32" s="76">
        <f t="shared" si="18"/>
        <v>3373</v>
      </c>
      <c r="E32" s="76">
        <f t="shared" si="18"/>
        <v>3405</v>
      </c>
      <c r="F32" s="76">
        <f t="shared" si="18"/>
        <v>3435</v>
      </c>
      <c r="G32" s="76">
        <f t="shared" si="18"/>
        <v>3392</v>
      </c>
      <c r="H32" s="76">
        <f t="shared" si="18"/>
        <v>3488</v>
      </c>
      <c r="I32" s="76">
        <f t="shared" si="18"/>
        <v>3459</v>
      </c>
      <c r="J32" s="76">
        <f t="shared" si="18"/>
        <v>3384</v>
      </c>
      <c r="K32" s="76">
        <f t="shared" si="18"/>
        <v>3442</v>
      </c>
      <c r="L32" s="76" t="str">
        <f t="shared" si="18"/>
        <v/>
      </c>
      <c r="M32" s="76" t="str">
        <f t="shared" si="18"/>
        <v/>
      </c>
      <c r="N32" s="76" t="str">
        <f t="shared" si="18"/>
        <v/>
      </c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</row>
    <row r="33">
      <c r="A33" s="60" t="s">
        <v>97</v>
      </c>
      <c r="B33" s="75"/>
      <c r="C33" s="76">
        <f t="shared" ref="C33:N33" si="19">IFERROR(vlookup($A33,indirect("'TVC-"&amp;text(month(C$1),"00")&amp;"'!B:D"),3,false),)</f>
        <v>2941</v>
      </c>
      <c r="D33" s="76">
        <f t="shared" si="19"/>
        <v>3068</v>
      </c>
      <c r="E33" s="76">
        <f t="shared" si="19"/>
        <v>3045</v>
      </c>
      <c r="F33" s="76">
        <f t="shared" si="19"/>
        <v>3060</v>
      </c>
      <c r="G33" s="76">
        <f t="shared" si="19"/>
        <v>3207</v>
      </c>
      <c r="H33" s="76">
        <f t="shared" si="19"/>
        <v>3155</v>
      </c>
      <c r="I33" s="76">
        <f t="shared" si="19"/>
        <v>3173</v>
      </c>
      <c r="J33" s="76">
        <f t="shared" si="19"/>
        <v>3132</v>
      </c>
      <c r="K33" s="76">
        <f t="shared" si="19"/>
        <v>3210</v>
      </c>
      <c r="L33" s="76" t="str">
        <f t="shared" si="19"/>
        <v/>
      </c>
      <c r="M33" s="76" t="str">
        <f t="shared" si="19"/>
        <v/>
      </c>
      <c r="N33" s="76" t="str">
        <f t="shared" si="19"/>
        <v/>
      </c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</row>
    <row r="34">
      <c r="A34" s="60" t="s">
        <v>98</v>
      </c>
      <c r="B34" s="75"/>
      <c r="C34" s="76">
        <f t="shared" ref="C34:N34" si="20">IFERROR(vlookup($A34,indirect("'TVC-"&amp;text(month(C$1),"00")&amp;"'!B:D"),3,false),)</f>
        <v>2375</v>
      </c>
      <c r="D34" s="76">
        <f t="shared" si="20"/>
        <v>2453</v>
      </c>
      <c r="E34" s="76">
        <f t="shared" si="20"/>
        <v>2468</v>
      </c>
      <c r="F34" s="76">
        <f t="shared" si="20"/>
        <v>2562</v>
      </c>
      <c r="G34" s="76">
        <f t="shared" si="20"/>
        <v>2638</v>
      </c>
      <c r="H34" s="76">
        <f t="shared" si="20"/>
        <v>2623</v>
      </c>
      <c r="I34" s="76">
        <f t="shared" si="20"/>
        <v>2640</v>
      </c>
      <c r="J34" s="76">
        <f t="shared" si="20"/>
        <v>2575</v>
      </c>
      <c r="K34" s="76">
        <f t="shared" si="20"/>
        <v>2580</v>
      </c>
      <c r="L34" s="76" t="str">
        <f t="shared" si="20"/>
        <v/>
      </c>
      <c r="M34" s="76" t="str">
        <f t="shared" si="20"/>
        <v/>
      </c>
      <c r="N34" s="76" t="str">
        <f t="shared" si="20"/>
        <v/>
      </c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</row>
    <row r="35">
      <c r="A35" s="60" t="s">
        <v>99</v>
      </c>
      <c r="B35" s="75"/>
      <c r="C35" s="76">
        <f t="shared" ref="C35:N35" si="21">IFERROR(vlookup($A35,indirect("'TVC-"&amp;text(month(C$1),"00")&amp;"'!B:D"),3,false),)</f>
        <v>2272</v>
      </c>
      <c r="D35" s="76">
        <f t="shared" si="21"/>
        <v>2325</v>
      </c>
      <c r="E35" s="76">
        <f t="shared" si="21"/>
        <v>2298</v>
      </c>
      <c r="F35" s="76">
        <f t="shared" si="21"/>
        <v>2397</v>
      </c>
      <c r="G35" s="76">
        <f t="shared" si="21"/>
        <v>2435</v>
      </c>
      <c r="H35" s="76">
        <f t="shared" si="21"/>
        <v>2447</v>
      </c>
      <c r="I35" s="76">
        <f t="shared" si="21"/>
        <v>2518</v>
      </c>
      <c r="J35" s="76">
        <f t="shared" si="21"/>
        <v>2499</v>
      </c>
      <c r="K35" s="76">
        <f t="shared" si="21"/>
        <v>2505</v>
      </c>
      <c r="L35" s="76" t="str">
        <f t="shared" si="21"/>
        <v/>
      </c>
      <c r="M35" s="76" t="str">
        <f t="shared" si="21"/>
        <v/>
      </c>
      <c r="N35" s="76" t="str">
        <f t="shared" si="21"/>
        <v/>
      </c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</row>
    <row r="36">
      <c r="A36" s="60" t="s">
        <v>100</v>
      </c>
      <c r="B36" s="75"/>
      <c r="C36" s="76">
        <f t="shared" ref="C36:N36" si="22">IFERROR(vlookup($A36,indirect("'TVC-"&amp;text(month(C$1),"00")&amp;"'!B:D"),3,false),)</f>
        <v>2117</v>
      </c>
      <c r="D36" s="76">
        <f t="shared" si="22"/>
        <v>2192</v>
      </c>
      <c r="E36" s="76">
        <f t="shared" si="22"/>
        <v>2171</v>
      </c>
      <c r="F36" s="76">
        <f t="shared" si="22"/>
        <v>2219</v>
      </c>
      <c r="G36" s="76">
        <f t="shared" si="22"/>
        <v>2163</v>
      </c>
      <c r="H36" s="76">
        <f t="shared" si="22"/>
        <v>2234</v>
      </c>
      <c r="I36" s="76">
        <f t="shared" si="22"/>
        <v>2241</v>
      </c>
      <c r="J36" s="76">
        <f t="shared" si="22"/>
        <v>2300</v>
      </c>
      <c r="K36" s="76">
        <f t="shared" si="22"/>
        <v>2361</v>
      </c>
      <c r="L36" s="76" t="str">
        <f t="shared" si="22"/>
        <v/>
      </c>
      <c r="M36" s="76" t="str">
        <f t="shared" si="22"/>
        <v/>
      </c>
      <c r="N36" s="76" t="str">
        <f t="shared" si="22"/>
        <v/>
      </c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>
      <c r="A37" s="60" t="s">
        <v>101</v>
      </c>
      <c r="B37" s="75"/>
      <c r="C37" s="76">
        <f t="shared" ref="C37:N37" si="23">IFERROR(vlookup($A37,indirect("'TVC-"&amp;text(month(C$1),"00")&amp;"'!B:D"),3,false),)</f>
        <v>1797</v>
      </c>
      <c r="D37" s="76">
        <f t="shared" si="23"/>
        <v>1801</v>
      </c>
      <c r="E37" s="76">
        <f t="shared" si="23"/>
        <v>1829</v>
      </c>
      <c r="F37" s="76">
        <f t="shared" si="23"/>
        <v>1837</v>
      </c>
      <c r="G37" s="76">
        <f t="shared" si="23"/>
        <v>1881</v>
      </c>
      <c r="H37" s="76">
        <f t="shared" si="23"/>
        <v>1920</v>
      </c>
      <c r="I37" s="76">
        <f t="shared" si="23"/>
        <v>1855</v>
      </c>
      <c r="J37" s="76">
        <f t="shared" si="23"/>
        <v>1830</v>
      </c>
      <c r="K37" s="76">
        <f t="shared" si="23"/>
        <v>1982</v>
      </c>
      <c r="L37" s="76" t="str">
        <f t="shared" si="23"/>
        <v/>
      </c>
      <c r="M37" s="76" t="str">
        <f t="shared" si="23"/>
        <v/>
      </c>
      <c r="N37" s="76" t="str">
        <f t="shared" si="23"/>
        <v/>
      </c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>
      <c r="A38" s="60" t="s">
        <v>102</v>
      </c>
      <c r="B38" s="75"/>
      <c r="C38" s="76">
        <f t="shared" ref="C38:N38" si="24">IFERROR(vlookup($A38,indirect("'TVC-"&amp;text(month(C$1),"00")&amp;"'!B:D"),3,false),)</f>
        <v>1625</v>
      </c>
      <c r="D38" s="76">
        <f t="shared" si="24"/>
        <v>1670</v>
      </c>
      <c r="E38" s="76">
        <f t="shared" si="24"/>
        <v>1671</v>
      </c>
      <c r="F38" s="76">
        <f t="shared" si="24"/>
        <v>1789</v>
      </c>
      <c r="G38" s="76">
        <f t="shared" si="24"/>
        <v>1689</v>
      </c>
      <c r="H38" s="76">
        <f t="shared" si="24"/>
        <v>1738</v>
      </c>
      <c r="I38" s="76">
        <f t="shared" si="24"/>
        <v>1738</v>
      </c>
      <c r="J38" s="76">
        <f t="shared" si="24"/>
        <v>1745</v>
      </c>
      <c r="K38" s="76">
        <f t="shared" si="24"/>
        <v>1818</v>
      </c>
      <c r="L38" s="76" t="str">
        <f t="shared" si="24"/>
        <v/>
      </c>
      <c r="M38" s="76" t="str">
        <f t="shared" si="24"/>
        <v/>
      </c>
      <c r="N38" s="76" t="str">
        <f t="shared" si="24"/>
        <v/>
      </c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>
      <c r="A39" s="60" t="s">
        <v>103</v>
      </c>
      <c r="B39" s="75"/>
      <c r="C39" s="76">
        <f t="shared" ref="C39:N39" si="25">IFERROR(vlookup($A39,indirect("'TVC-"&amp;text(month(C$1),"00")&amp;"'!B:D"),3,false),)</f>
        <v>1516</v>
      </c>
      <c r="D39" s="76">
        <f t="shared" si="25"/>
        <v>1532</v>
      </c>
      <c r="E39" s="76">
        <f t="shared" si="25"/>
        <v>1566</v>
      </c>
      <c r="F39" s="76">
        <f t="shared" si="25"/>
        <v>1663</v>
      </c>
      <c r="G39" s="76">
        <f t="shared" si="25"/>
        <v>1669</v>
      </c>
      <c r="H39" s="76">
        <f t="shared" si="25"/>
        <v>1691</v>
      </c>
      <c r="I39" s="76">
        <f t="shared" si="25"/>
        <v>1674</v>
      </c>
      <c r="J39" s="76">
        <f t="shared" si="25"/>
        <v>1645</v>
      </c>
      <c r="K39" s="76">
        <f t="shared" si="25"/>
        <v>1713</v>
      </c>
      <c r="L39" s="76" t="str">
        <f t="shared" si="25"/>
        <v/>
      </c>
      <c r="M39" s="76" t="str">
        <f t="shared" si="25"/>
        <v/>
      </c>
      <c r="N39" s="76" t="str">
        <f t="shared" si="25"/>
        <v/>
      </c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>
      <c r="A40" s="60" t="s">
        <v>104</v>
      </c>
      <c r="B40" s="75"/>
      <c r="C40" s="76">
        <f t="shared" ref="C40:N40" si="26">IFERROR(vlookup($A40,indirect("'TVC-"&amp;text(month(C$1),"00")&amp;"'!B:D"),3,false),)</f>
        <v>4881</v>
      </c>
      <c r="D40" s="76">
        <f t="shared" si="26"/>
        <v>4813</v>
      </c>
      <c r="E40" s="76">
        <f t="shared" si="26"/>
        <v>4825</v>
      </c>
      <c r="F40" s="76">
        <f t="shared" si="26"/>
        <v>4990</v>
      </c>
      <c r="G40" s="76">
        <f t="shared" si="26"/>
        <v>4949</v>
      </c>
      <c r="H40" s="76">
        <f t="shared" si="26"/>
        <v>5001</v>
      </c>
      <c r="I40" s="76">
        <f t="shared" si="26"/>
        <v>5016</v>
      </c>
      <c r="J40" s="76">
        <f t="shared" si="26"/>
        <v>5185</v>
      </c>
      <c r="K40" s="76">
        <f t="shared" si="26"/>
        <v>5247</v>
      </c>
      <c r="L40" s="76" t="str">
        <f t="shared" si="26"/>
        <v/>
      </c>
      <c r="M40" s="76" t="str">
        <f t="shared" si="26"/>
        <v/>
      </c>
      <c r="N40" s="76" t="str">
        <f t="shared" si="26"/>
        <v/>
      </c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>
      <c r="A41" s="60" t="s">
        <v>105</v>
      </c>
      <c r="B41" s="75"/>
      <c r="C41" s="76">
        <f t="shared" ref="C41:N41" si="27">IFERROR(vlookup($A41,indirect("'TVC-"&amp;text(month(C$1),"00")&amp;"'!B:D"),3,false),)</f>
        <v>4399</v>
      </c>
      <c r="D41" s="76">
        <f t="shared" si="27"/>
        <v>4438</v>
      </c>
      <c r="E41" s="76">
        <f t="shared" si="27"/>
        <v>4443</v>
      </c>
      <c r="F41" s="76">
        <f t="shared" si="27"/>
        <v>4539</v>
      </c>
      <c r="G41" s="76">
        <f t="shared" si="27"/>
        <v>4409</v>
      </c>
      <c r="H41" s="76">
        <f t="shared" si="27"/>
        <v>4512</v>
      </c>
      <c r="I41" s="76">
        <f t="shared" si="27"/>
        <v>4591</v>
      </c>
      <c r="J41" s="76">
        <f t="shared" si="27"/>
        <v>4572</v>
      </c>
      <c r="K41" s="76">
        <f t="shared" si="27"/>
        <v>4587</v>
      </c>
      <c r="L41" s="76" t="str">
        <f t="shared" si="27"/>
        <v/>
      </c>
      <c r="M41" s="76" t="str">
        <f t="shared" si="27"/>
        <v/>
      </c>
      <c r="N41" s="76" t="str">
        <f t="shared" si="27"/>
        <v/>
      </c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>
      <c r="A42" s="60" t="s">
        <v>107</v>
      </c>
      <c r="B42" s="75"/>
      <c r="C42" s="76">
        <f t="shared" ref="C42:N42" si="28">IFERROR(vlookup($A42,indirect("'TVC-"&amp;text(month(C$1),"00")&amp;"'!B:D"),3,false),)</f>
        <v>4049</v>
      </c>
      <c r="D42" s="76">
        <f t="shared" si="28"/>
        <v>4001</v>
      </c>
      <c r="E42" s="76">
        <f t="shared" si="28"/>
        <v>4032</v>
      </c>
      <c r="F42" s="76">
        <f t="shared" si="28"/>
        <v>3938</v>
      </c>
      <c r="G42" s="76">
        <f t="shared" si="28"/>
        <v>3883</v>
      </c>
      <c r="H42" s="76">
        <f t="shared" si="28"/>
        <v>4091</v>
      </c>
      <c r="I42" s="76">
        <f t="shared" si="28"/>
        <v>4128</v>
      </c>
      <c r="J42" s="76">
        <f t="shared" si="28"/>
        <v>3933</v>
      </c>
      <c r="K42" s="76">
        <f t="shared" si="28"/>
        <v>4175</v>
      </c>
      <c r="L42" s="76" t="str">
        <f t="shared" si="28"/>
        <v/>
      </c>
      <c r="M42" s="76" t="str">
        <f t="shared" si="28"/>
        <v/>
      </c>
      <c r="N42" s="76" t="str">
        <f t="shared" si="28"/>
        <v/>
      </c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>
      <c r="A43" s="60" t="s">
        <v>108</v>
      </c>
      <c r="B43" s="75"/>
      <c r="C43" s="76">
        <f t="shared" ref="C43:N43" si="29">IFERROR(vlookup($A43,indirect("'TVC-"&amp;text(month(C$1),"00")&amp;"'!B:D"),3,false),)</f>
        <v>3047</v>
      </c>
      <c r="D43" s="76">
        <f t="shared" si="29"/>
        <v>3078</v>
      </c>
      <c r="E43" s="76">
        <f t="shared" si="29"/>
        <v>3071</v>
      </c>
      <c r="F43" s="76">
        <f t="shared" si="29"/>
        <v>3120</v>
      </c>
      <c r="G43" s="76">
        <f t="shared" si="29"/>
        <v>3108</v>
      </c>
      <c r="H43" s="76">
        <f t="shared" si="29"/>
        <v>3178</v>
      </c>
      <c r="I43" s="76">
        <f t="shared" si="29"/>
        <v>3216</v>
      </c>
      <c r="J43" s="76">
        <f t="shared" si="29"/>
        <v>3181</v>
      </c>
      <c r="K43" s="76">
        <f t="shared" si="29"/>
        <v>3286</v>
      </c>
      <c r="L43" s="76" t="str">
        <f t="shared" si="29"/>
        <v/>
      </c>
      <c r="M43" s="76" t="str">
        <f t="shared" si="29"/>
        <v/>
      </c>
      <c r="N43" s="76" t="str">
        <f t="shared" si="29"/>
        <v/>
      </c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>
      <c r="A44" s="60" t="s">
        <v>109</v>
      </c>
      <c r="B44" s="75"/>
      <c r="C44" s="76">
        <f t="shared" ref="C44:N44" si="30">IFERROR(vlookup($A44,indirect("'TVC-"&amp;text(month(C$1),"00")&amp;"'!B:D"),3,false),)</f>
        <v>2830</v>
      </c>
      <c r="D44" s="76">
        <f t="shared" si="30"/>
        <v>2799</v>
      </c>
      <c r="E44" s="76">
        <f t="shared" si="30"/>
        <v>2833</v>
      </c>
      <c r="F44" s="76">
        <f t="shared" si="30"/>
        <v>2913</v>
      </c>
      <c r="G44" s="76">
        <f t="shared" si="30"/>
        <v>2915</v>
      </c>
      <c r="H44" s="76">
        <f t="shared" si="30"/>
        <v>2979</v>
      </c>
      <c r="I44" s="76">
        <f t="shared" si="30"/>
        <v>2986</v>
      </c>
      <c r="J44" s="76">
        <f t="shared" si="30"/>
        <v>2938</v>
      </c>
      <c r="K44" s="76">
        <f t="shared" si="30"/>
        <v>3079</v>
      </c>
      <c r="L44" s="76" t="str">
        <f t="shared" si="30"/>
        <v/>
      </c>
      <c r="M44" s="76" t="str">
        <f t="shared" si="30"/>
        <v/>
      </c>
      <c r="N44" s="76" t="str">
        <f t="shared" si="30"/>
        <v/>
      </c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>
      <c r="A45" s="60" t="s">
        <v>110</v>
      </c>
      <c r="B45" s="75"/>
      <c r="C45" s="76">
        <f t="shared" ref="C45:N45" si="31">IFERROR(vlookup($A45,indirect("'TVC-"&amp;text(month(C$1),"00")&amp;"'!B:D"),3,false),)</f>
        <v>2664</v>
      </c>
      <c r="D45" s="76">
        <f t="shared" si="31"/>
        <v>2627</v>
      </c>
      <c r="E45" s="76">
        <f t="shared" si="31"/>
        <v>2659</v>
      </c>
      <c r="F45" s="76">
        <f t="shared" si="31"/>
        <v>2727</v>
      </c>
      <c r="G45" s="76">
        <f t="shared" si="31"/>
        <v>2768</v>
      </c>
      <c r="H45" s="76">
        <f t="shared" si="31"/>
        <v>2819</v>
      </c>
      <c r="I45" s="76">
        <f t="shared" si="31"/>
        <v>2799</v>
      </c>
      <c r="J45" s="76">
        <f t="shared" si="31"/>
        <v>2779</v>
      </c>
      <c r="K45" s="76">
        <f t="shared" si="31"/>
        <v>2803</v>
      </c>
      <c r="L45" s="76" t="str">
        <f t="shared" si="31"/>
        <v/>
      </c>
      <c r="M45" s="76" t="str">
        <f t="shared" si="31"/>
        <v/>
      </c>
      <c r="N45" s="76" t="str">
        <f t="shared" si="31"/>
        <v/>
      </c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>
      <c r="A46" s="60" t="s">
        <v>112</v>
      </c>
      <c r="B46" s="75"/>
      <c r="C46" s="76">
        <f t="shared" ref="C46:N46" si="32">IFERROR(vlookup($A46,indirect("'TVC-"&amp;text(month(C$1),"00")&amp;"'!B:D"),3,false),)</f>
        <v>2115</v>
      </c>
      <c r="D46" s="76">
        <f t="shared" si="32"/>
        <v>2121</v>
      </c>
      <c r="E46" s="76">
        <f t="shared" si="32"/>
        <v>2148</v>
      </c>
      <c r="F46" s="76">
        <f t="shared" si="32"/>
        <v>2167</v>
      </c>
      <c r="G46" s="76">
        <f t="shared" si="32"/>
        <v>2151</v>
      </c>
      <c r="H46" s="76">
        <f t="shared" si="32"/>
        <v>2176</v>
      </c>
      <c r="I46" s="76">
        <f t="shared" si="32"/>
        <v>2211</v>
      </c>
      <c r="J46" s="76">
        <f t="shared" si="32"/>
        <v>2238</v>
      </c>
      <c r="K46" s="76">
        <f t="shared" si="32"/>
        <v>2311</v>
      </c>
      <c r="L46" s="76" t="str">
        <f t="shared" si="32"/>
        <v/>
      </c>
      <c r="M46" s="76" t="str">
        <f t="shared" si="32"/>
        <v/>
      </c>
      <c r="N46" s="76" t="str">
        <f t="shared" si="32"/>
        <v/>
      </c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>
      <c r="A47" s="60" t="s">
        <v>113</v>
      </c>
      <c r="B47" s="75"/>
      <c r="C47" s="76">
        <f t="shared" ref="C47:N47" si="33">IFERROR(vlookup($A47,indirect("'TVC-"&amp;text(month(C$1),"00")&amp;"'!B:D"),3,false),)</f>
        <v>2005</v>
      </c>
      <c r="D47" s="76">
        <f t="shared" si="33"/>
        <v>2001</v>
      </c>
      <c r="E47" s="76">
        <f t="shared" si="33"/>
        <v>2058</v>
      </c>
      <c r="F47" s="76">
        <f t="shared" si="33"/>
        <v>2134</v>
      </c>
      <c r="G47" s="76">
        <f t="shared" si="33"/>
        <v>2076</v>
      </c>
      <c r="H47" s="76">
        <f t="shared" si="33"/>
        <v>2101</v>
      </c>
      <c r="I47" s="76">
        <f t="shared" si="33"/>
        <v>2090</v>
      </c>
      <c r="J47" s="76">
        <f t="shared" si="33"/>
        <v>2115</v>
      </c>
      <c r="K47" s="76">
        <f t="shared" si="33"/>
        <v>2166</v>
      </c>
      <c r="L47" s="76" t="str">
        <f t="shared" si="33"/>
        <v/>
      </c>
      <c r="M47" s="76" t="str">
        <f t="shared" si="33"/>
        <v/>
      </c>
      <c r="N47" s="76" t="str">
        <f t="shared" si="33"/>
        <v/>
      </c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>
      <c r="A48" s="60" t="s">
        <v>114</v>
      </c>
      <c r="B48" s="75"/>
      <c r="C48" s="76">
        <f t="shared" ref="C48:N48" si="34">IFERROR(vlookup($A48,indirect("'TVC-"&amp;text(month(C$1),"00")&amp;"'!B:D"),3,false),)</f>
        <v>1905</v>
      </c>
      <c r="D48" s="76">
        <f t="shared" si="34"/>
        <v>1894</v>
      </c>
      <c r="E48" s="76">
        <f t="shared" si="34"/>
        <v>1882</v>
      </c>
      <c r="F48" s="76">
        <f t="shared" si="34"/>
        <v>1964</v>
      </c>
      <c r="G48" s="76">
        <f t="shared" si="34"/>
        <v>1832</v>
      </c>
      <c r="H48" s="76">
        <f t="shared" si="34"/>
        <v>1992</v>
      </c>
      <c r="I48" s="76">
        <f t="shared" si="34"/>
        <v>2008</v>
      </c>
      <c r="J48" s="76">
        <f t="shared" si="34"/>
        <v>1984</v>
      </c>
      <c r="K48" s="76">
        <f t="shared" si="34"/>
        <v>2075</v>
      </c>
      <c r="L48" s="76" t="str">
        <f t="shared" si="34"/>
        <v/>
      </c>
      <c r="M48" s="76" t="str">
        <f t="shared" si="34"/>
        <v/>
      </c>
      <c r="N48" s="76" t="str">
        <f t="shared" si="34"/>
        <v/>
      </c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>
      <c r="A49" s="60" t="s">
        <v>115</v>
      </c>
      <c r="B49" s="75"/>
      <c r="C49" s="76">
        <f t="shared" ref="C49:N49" si="35">IFERROR(vlookup($A49,indirect("'TVC-"&amp;text(month(C$1),"00")&amp;"'!B:D"),3,false),)</f>
        <v>1541</v>
      </c>
      <c r="D49" s="76">
        <f t="shared" si="35"/>
        <v>1640</v>
      </c>
      <c r="E49" s="76">
        <f t="shared" si="35"/>
        <v>1602</v>
      </c>
      <c r="F49" s="76">
        <f t="shared" si="35"/>
        <v>1641</v>
      </c>
      <c r="G49" s="76">
        <f t="shared" si="35"/>
        <v>1672</v>
      </c>
      <c r="H49" s="76">
        <f t="shared" si="35"/>
        <v>1615</v>
      </c>
      <c r="I49" s="76">
        <f t="shared" si="35"/>
        <v>1642</v>
      </c>
      <c r="J49" s="76">
        <f t="shared" si="35"/>
        <v>1649</v>
      </c>
      <c r="K49" s="76">
        <f t="shared" si="35"/>
        <v>1613</v>
      </c>
      <c r="L49" s="76" t="str">
        <f t="shared" si="35"/>
        <v/>
      </c>
      <c r="M49" s="76" t="str">
        <f t="shared" si="35"/>
        <v/>
      </c>
      <c r="N49" s="76" t="str">
        <f t="shared" si="35"/>
        <v/>
      </c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>
      <c r="A50" s="60" t="s">
        <v>116</v>
      </c>
      <c r="B50" s="75"/>
      <c r="C50" s="76">
        <f t="shared" ref="C50:N50" si="36">IFERROR(vlookup($A50,indirect("'TVC-"&amp;text(month(C$1),"00")&amp;"'!B:D"),3,false),)</f>
        <v>1464</v>
      </c>
      <c r="D50" s="76">
        <f t="shared" si="36"/>
        <v>1513</v>
      </c>
      <c r="E50" s="76">
        <f t="shared" si="36"/>
        <v>1515</v>
      </c>
      <c r="F50" s="76">
        <f t="shared" si="36"/>
        <v>1527</v>
      </c>
      <c r="G50" s="76">
        <f t="shared" si="36"/>
        <v>1521</v>
      </c>
      <c r="H50" s="76">
        <f t="shared" si="36"/>
        <v>1563</v>
      </c>
      <c r="I50" s="76">
        <f t="shared" si="36"/>
        <v>1576</v>
      </c>
      <c r="J50" s="76">
        <f t="shared" si="36"/>
        <v>1523</v>
      </c>
      <c r="K50" s="76">
        <f t="shared" si="36"/>
        <v>1523</v>
      </c>
      <c r="L50" s="76" t="str">
        <f t="shared" si="36"/>
        <v/>
      </c>
      <c r="M50" s="76" t="str">
        <f t="shared" si="36"/>
        <v/>
      </c>
      <c r="N50" s="76" t="str">
        <f t="shared" si="36"/>
        <v/>
      </c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>
      <c r="A51" s="60" t="s">
        <v>117</v>
      </c>
      <c r="B51" s="75"/>
      <c r="C51" s="76">
        <f t="shared" ref="C51:N51" si="37">IFERROR(vlookup($A51,indirect("'TVC-"&amp;text(month(C$1),"00")&amp;"'!B:D"),3,false),)</f>
        <v>1298</v>
      </c>
      <c r="D51" s="76">
        <f t="shared" si="37"/>
        <v>1289</v>
      </c>
      <c r="E51" s="76">
        <f t="shared" si="37"/>
        <v>1315</v>
      </c>
      <c r="F51" s="76">
        <f t="shared" si="37"/>
        <v>1338</v>
      </c>
      <c r="G51" s="76">
        <f t="shared" si="37"/>
        <v>1295</v>
      </c>
      <c r="H51" s="76">
        <f t="shared" si="37"/>
        <v>1286</v>
      </c>
      <c r="I51" s="76">
        <f t="shared" si="37"/>
        <v>1261</v>
      </c>
      <c r="J51" s="76">
        <f t="shared" si="37"/>
        <v>1317</v>
      </c>
      <c r="K51" s="76">
        <f t="shared" si="37"/>
        <v>1376</v>
      </c>
      <c r="L51" s="76" t="str">
        <f t="shared" si="37"/>
        <v/>
      </c>
      <c r="M51" s="76" t="str">
        <f t="shared" si="37"/>
        <v/>
      </c>
      <c r="N51" s="76" t="str">
        <f t="shared" si="37"/>
        <v/>
      </c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</row>
    <row r="52">
      <c r="A52" s="60" t="s">
        <v>118</v>
      </c>
      <c r="B52" s="75"/>
      <c r="C52" s="76" t="str">
        <f t="shared" ref="C52:N52" si="38">IFERROR(vlookup($A52,indirect("'TVC-"&amp;text(month(C$1),"00")&amp;"'!B:D"),3,false),)</f>
        <v/>
      </c>
      <c r="D52" s="76" t="str">
        <f t="shared" si="38"/>
        <v/>
      </c>
      <c r="E52" s="76" t="str">
        <f t="shared" si="38"/>
        <v/>
      </c>
      <c r="F52" s="76" t="str">
        <f t="shared" si="38"/>
        <v/>
      </c>
      <c r="G52" s="76" t="str">
        <f t="shared" si="38"/>
        <v/>
      </c>
      <c r="H52" s="76" t="str">
        <f t="shared" si="38"/>
        <v/>
      </c>
      <c r="I52" s="76" t="str">
        <f t="shared" si="38"/>
        <v/>
      </c>
      <c r="J52" s="76" t="str">
        <f t="shared" si="38"/>
        <v/>
      </c>
      <c r="K52" s="76" t="str">
        <f t="shared" si="38"/>
        <v/>
      </c>
      <c r="L52" s="76" t="str">
        <f t="shared" si="38"/>
        <v/>
      </c>
      <c r="M52" s="76" t="str">
        <f t="shared" si="38"/>
        <v/>
      </c>
      <c r="N52" s="76" t="str">
        <f t="shared" si="38"/>
        <v/>
      </c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>
      <c r="A53" s="60" t="s">
        <v>119</v>
      </c>
      <c r="B53" s="75"/>
      <c r="C53" s="76" t="str">
        <f t="shared" ref="C53:N53" si="39">IFERROR(vlookup($A53,indirect("'TVC-"&amp;text(month(C$1),"00")&amp;"'!B:D"),3,false),)</f>
        <v/>
      </c>
      <c r="D53" s="76" t="str">
        <f t="shared" si="39"/>
        <v/>
      </c>
      <c r="E53" s="76" t="str">
        <f t="shared" si="39"/>
        <v/>
      </c>
      <c r="F53" s="76" t="str">
        <f t="shared" si="39"/>
        <v/>
      </c>
      <c r="G53" s="76" t="str">
        <f t="shared" si="39"/>
        <v/>
      </c>
      <c r="H53" s="76" t="str">
        <f t="shared" si="39"/>
        <v/>
      </c>
      <c r="I53" s="76" t="str">
        <f t="shared" si="39"/>
        <v/>
      </c>
      <c r="J53" s="76" t="str">
        <f t="shared" si="39"/>
        <v/>
      </c>
      <c r="K53" s="76" t="str">
        <f t="shared" si="39"/>
        <v/>
      </c>
      <c r="L53" s="76" t="str">
        <f t="shared" si="39"/>
        <v/>
      </c>
      <c r="M53" s="76" t="str">
        <f t="shared" si="39"/>
        <v/>
      </c>
      <c r="N53" s="76" t="str">
        <f t="shared" si="39"/>
        <v/>
      </c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</row>
    <row r="54">
      <c r="A54" s="60" t="s">
        <v>120</v>
      </c>
      <c r="B54" s="75"/>
      <c r="C54" s="76" t="str">
        <f t="shared" ref="C54:N54" si="40">IFERROR(vlookup($A54,indirect("'TVC-"&amp;text(month(C$1),"00")&amp;"'!B:D"),3,false),)</f>
        <v/>
      </c>
      <c r="D54" s="76" t="str">
        <f t="shared" si="40"/>
        <v/>
      </c>
      <c r="E54" s="76" t="str">
        <f t="shared" si="40"/>
        <v/>
      </c>
      <c r="F54" s="76" t="str">
        <f t="shared" si="40"/>
        <v/>
      </c>
      <c r="G54" s="76" t="str">
        <f t="shared" si="40"/>
        <v/>
      </c>
      <c r="H54" s="76" t="str">
        <f t="shared" si="40"/>
        <v/>
      </c>
      <c r="I54" s="76" t="str">
        <f t="shared" si="40"/>
        <v/>
      </c>
      <c r="J54" s="76" t="str">
        <f t="shared" si="40"/>
        <v/>
      </c>
      <c r="K54" s="76" t="str">
        <f t="shared" si="40"/>
        <v/>
      </c>
      <c r="L54" s="76" t="str">
        <f t="shared" si="40"/>
        <v/>
      </c>
      <c r="M54" s="76" t="str">
        <f t="shared" si="40"/>
        <v/>
      </c>
      <c r="N54" s="76" t="str">
        <f t="shared" si="40"/>
        <v/>
      </c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</row>
    <row r="55">
      <c r="A55" s="60" t="s">
        <v>121</v>
      </c>
      <c r="B55" s="75"/>
      <c r="C55" s="76" t="str">
        <f t="shared" ref="C55:N55" si="41">IFERROR(vlookup($A55,indirect("'TVC-"&amp;text(month(C$1),"00")&amp;"'!B:D"),3,false),)</f>
        <v/>
      </c>
      <c r="D55" s="76" t="str">
        <f t="shared" si="41"/>
        <v/>
      </c>
      <c r="E55" s="76" t="str">
        <f t="shared" si="41"/>
        <v/>
      </c>
      <c r="F55" s="76" t="str">
        <f t="shared" si="41"/>
        <v/>
      </c>
      <c r="G55" s="76" t="str">
        <f t="shared" si="41"/>
        <v/>
      </c>
      <c r="H55" s="76" t="str">
        <f t="shared" si="41"/>
        <v/>
      </c>
      <c r="I55" s="76" t="str">
        <f t="shared" si="41"/>
        <v/>
      </c>
      <c r="J55" s="76" t="str">
        <f t="shared" si="41"/>
        <v/>
      </c>
      <c r="K55" s="76" t="str">
        <f t="shared" si="41"/>
        <v/>
      </c>
      <c r="L55" s="76" t="str">
        <f t="shared" si="41"/>
        <v/>
      </c>
      <c r="M55" s="76" t="str">
        <f t="shared" si="41"/>
        <v/>
      </c>
      <c r="N55" s="76" t="str">
        <f t="shared" si="41"/>
        <v/>
      </c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>
      <c r="A56" s="60" t="s">
        <v>122</v>
      </c>
      <c r="B56" s="75"/>
      <c r="C56" s="76" t="str">
        <f t="shared" ref="C56:N56" si="42">IFERROR(vlookup($A56,indirect("'TVC-"&amp;text(month(C$1),"00")&amp;"'!B:D"),3,false),)</f>
        <v/>
      </c>
      <c r="D56" s="76" t="str">
        <f t="shared" si="42"/>
        <v/>
      </c>
      <c r="E56" s="76" t="str">
        <f t="shared" si="42"/>
        <v/>
      </c>
      <c r="F56" s="76" t="str">
        <f t="shared" si="42"/>
        <v/>
      </c>
      <c r="G56" s="76" t="str">
        <f t="shared" si="42"/>
        <v/>
      </c>
      <c r="H56" s="76" t="str">
        <f t="shared" si="42"/>
        <v/>
      </c>
      <c r="I56" s="76" t="str">
        <f t="shared" si="42"/>
        <v/>
      </c>
      <c r="J56" s="76" t="str">
        <f t="shared" si="42"/>
        <v/>
      </c>
      <c r="K56" s="76" t="str">
        <f t="shared" si="42"/>
        <v/>
      </c>
      <c r="L56" s="76" t="str">
        <f t="shared" si="42"/>
        <v/>
      </c>
      <c r="M56" s="76" t="str">
        <f t="shared" si="42"/>
        <v/>
      </c>
      <c r="N56" s="76" t="str">
        <f t="shared" si="42"/>
        <v/>
      </c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</row>
    <row r="57">
      <c r="A57" s="60" t="s">
        <v>123</v>
      </c>
      <c r="B57" s="75"/>
      <c r="C57" s="76" t="str">
        <f t="shared" ref="C57:N57" si="43">IFERROR(vlookup($A57,indirect("'TVC-"&amp;text(month(C$1),"00")&amp;"'!B:D"),3,false),)</f>
        <v/>
      </c>
      <c r="D57" s="76" t="str">
        <f t="shared" si="43"/>
        <v/>
      </c>
      <c r="E57" s="76" t="str">
        <f t="shared" si="43"/>
        <v/>
      </c>
      <c r="F57" s="76" t="str">
        <f t="shared" si="43"/>
        <v/>
      </c>
      <c r="G57" s="76" t="str">
        <f t="shared" si="43"/>
        <v/>
      </c>
      <c r="H57" s="76" t="str">
        <f t="shared" si="43"/>
        <v/>
      </c>
      <c r="I57" s="76" t="str">
        <f t="shared" si="43"/>
        <v/>
      </c>
      <c r="J57" s="76" t="str">
        <f t="shared" si="43"/>
        <v/>
      </c>
      <c r="K57" s="76" t="str">
        <f t="shared" si="43"/>
        <v/>
      </c>
      <c r="L57" s="76" t="str">
        <f t="shared" si="43"/>
        <v/>
      </c>
      <c r="M57" s="76" t="str">
        <f t="shared" si="43"/>
        <v/>
      </c>
      <c r="N57" s="76" t="str">
        <f t="shared" si="43"/>
        <v/>
      </c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</row>
    <row r="58">
      <c r="A58" s="60" t="s">
        <v>124</v>
      </c>
      <c r="B58" s="75"/>
      <c r="C58" s="76" t="str">
        <f t="shared" ref="C58:N58" si="44">IFERROR(vlookup($A58,indirect("'TVC-"&amp;text(month(C$1),"00")&amp;"'!B:D"),3,false),)</f>
        <v/>
      </c>
      <c r="D58" s="76" t="str">
        <f t="shared" si="44"/>
        <v/>
      </c>
      <c r="E58" s="76" t="str">
        <f t="shared" si="44"/>
        <v/>
      </c>
      <c r="F58" s="76" t="str">
        <f t="shared" si="44"/>
        <v/>
      </c>
      <c r="G58" s="76" t="str">
        <f t="shared" si="44"/>
        <v/>
      </c>
      <c r="H58" s="76" t="str">
        <f t="shared" si="44"/>
        <v/>
      </c>
      <c r="I58" s="76" t="str">
        <f t="shared" si="44"/>
        <v/>
      </c>
      <c r="J58" s="76" t="str">
        <f t="shared" si="44"/>
        <v/>
      </c>
      <c r="K58" s="76" t="str">
        <f t="shared" si="44"/>
        <v/>
      </c>
      <c r="L58" s="76" t="str">
        <f t="shared" si="44"/>
        <v/>
      </c>
      <c r="M58" s="76" t="str">
        <f t="shared" si="44"/>
        <v/>
      </c>
      <c r="N58" s="76" t="str">
        <f t="shared" si="44"/>
        <v/>
      </c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</row>
    <row r="59">
      <c r="A59" s="60" t="s">
        <v>125</v>
      </c>
      <c r="B59" s="75"/>
      <c r="C59" s="76" t="str">
        <f t="shared" ref="C59:N59" si="45">IFERROR(vlookup($A59,indirect("'TVC-"&amp;text(month(C$1),"00")&amp;"'!B:D"),3,false),)</f>
        <v/>
      </c>
      <c r="D59" s="76" t="str">
        <f t="shared" si="45"/>
        <v/>
      </c>
      <c r="E59" s="76" t="str">
        <f t="shared" si="45"/>
        <v/>
      </c>
      <c r="F59" s="76" t="str">
        <f t="shared" si="45"/>
        <v/>
      </c>
      <c r="G59" s="76" t="str">
        <f t="shared" si="45"/>
        <v/>
      </c>
      <c r="H59" s="76" t="str">
        <f t="shared" si="45"/>
        <v/>
      </c>
      <c r="I59" s="76" t="str">
        <f t="shared" si="45"/>
        <v/>
      </c>
      <c r="J59" s="76" t="str">
        <f t="shared" si="45"/>
        <v/>
      </c>
      <c r="K59" s="76" t="str">
        <f t="shared" si="45"/>
        <v/>
      </c>
      <c r="L59" s="76" t="str">
        <f t="shared" si="45"/>
        <v/>
      </c>
      <c r="M59" s="76" t="str">
        <f t="shared" si="45"/>
        <v/>
      </c>
      <c r="N59" s="76" t="str">
        <f t="shared" si="45"/>
        <v/>
      </c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</row>
    <row r="60">
      <c r="A60" s="60" t="s">
        <v>126</v>
      </c>
      <c r="B60" s="75"/>
      <c r="C60" s="76" t="str">
        <f t="shared" ref="C60:N60" si="46">IFERROR(vlookup($A60,indirect("'TVC-"&amp;text(month(C$1),"00")&amp;"'!B:D"),3,false),)</f>
        <v/>
      </c>
      <c r="D60" s="76" t="str">
        <f t="shared" si="46"/>
        <v/>
      </c>
      <c r="E60" s="76" t="str">
        <f t="shared" si="46"/>
        <v/>
      </c>
      <c r="F60" s="76" t="str">
        <f t="shared" si="46"/>
        <v/>
      </c>
      <c r="G60" s="76" t="str">
        <f t="shared" si="46"/>
        <v/>
      </c>
      <c r="H60" s="76" t="str">
        <f t="shared" si="46"/>
        <v/>
      </c>
      <c r="I60" s="76" t="str">
        <f t="shared" si="46"/>
        <v/>
      </c>
      <c r="J60" s="76" t="str">
        <f t="shared" si="46"/>
        <v/>
      </c>
      <c r="K60" s="76" t="str">
        <f t="shared" si="46"/>
        <v/>
      </c>
      <c r="L60" s="76" t="str">
        <f t="shared" si="46"/>
        <v/>
      </c>
      <c r="M60" s="76" t="str">
        <f t="shared" si="46"/>
        <v/>
      </c>
      <c r="N60" s="76" t="str">
        <f t="shared" si="46"/>
        <v/>
      </c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>
      <c r="A61" s="60" t="s">
        <v>127</v>
      </c>
      <c r="B61" s="75"/>
      <c r="C61" s="76" t="str">
        <f t="shared" ref="C61:N61" si="47">IFERROR(vlookup($A61,indirect("'TVC-"&amp;text(month(C$1),"00")&amp;"'!B:D"),3,false),)</f>
        <v/>
      </c>
      <c r="D61" s="76" t="str">
        <f t="shared" si="47"/>
        <v/>
      </c>
      <c r="E61" s="76" t="str">
        <f t="shared" si="47"/>
        <v/>
      </c>
      <c r="F61" s="76" t="str">
        <f t="shared" si="47"/>
        <v/>
      </c>
      <c r="G61" s="76" t="str">
        <f t="shared" si="47"/>
        <v/>
      </c>
      <c r="H61" s="76" t="str">
        <f t="shared" si="47"/>
        <v/>
      </c>
      <c r="I61" s="76" t="str">
        <f t="shared" si="47"/>
        <v/>
      </c>
      <c r="J61" s="76" t="str">
        <f t="shared" si="47"/>
        <v/>
      </c>
      <c r="K61" s="76" t="str">
        <f t="shared" si="47"/>
        <v/>
      </c>
      <c r="L61" s="76" t="str">
        <f t="shared" si="47"/>
        <v/>
      </c>
      <c r="M61" s="76" t="str">
        <f t="shared" si="47"/>
        <v/>
      </c>
      <c r="N61" s="76" t="str">
        <f t="shared" si="47"/>
        <v/>
      </c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</row>
    <row r="62">
      <c r="A62" s="60" t="s">
        <v>128</v>
      </c>
      <c r="B62" s="75"/>
      <c r="C62" s="76" t="str">
        <f t="shared" ref="C62:N62" si="48">IFERROR(vlookup($A62,indirect("'TVC-"&amp;text(month(C$1),"00")&amp;"'!B:D"),3,false),)</f>
        <v/>
      </c>
      <c r="D62" s="76" t="str">
        <f t="shared" si="48"/>
        <v/>
      </c>
      <c r="E62" s="76" t="str">
        <f t="shared" si="48"/>
        <v/>
      </c>
      <c r="F62" s="76" t="str">
        <f t="shared" si="48"/>
        <v/>
      </c>
      <c r="G62" s="76" t="str">
        <f t="shared" si="48"/>
        <v/>
      </c>
      <c r="H62" s="76" t="str">
        <f t="shared" si="48"/>
        <v/>
      </c>
      <c r="I62" s="76" t="str">
        <f t="shared" si="48"/>
        <v/>
      </c>
      <c r="J62" s="76" t="str">
        <f t="shared" si="48"/>
        <v/>
      </c>
      <c r="K62" s="76" t="str">
        <f t="shared" si="48"/>
        <v/>
      </c>
      <c r="L62" s="76" t="str">
        <f t="shared" si="48"/>
        <v/>
      </c>
      <c r="M62" s="76" t="str">
        <f t="shared" si="48"/>
        <v/>
      </c>
      <c r="N62" s="76" t="str">
        <f t="shared" si="48"/>
        <v/>
      </c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</row>
    <row r="63">
      <c r="A63" s="60" t="s">
        <v>129</v>
      </c>
      <c r="B63" s="75"/>
      <c r="C63" s="76" t="str">
        <f t="shared" ref="C63:N63" si="49">IFERROR(vlookup($A63,indirect("'TVC-"&amp;text(month(C$1),"00")&amp;"'!B:D"),3,false),)</f>
        <v/>
      </c>
      <c r="D63" s="76" t="str">
        <f t="shared" si="49"/>
        <v/>
      </c>
      <c r="E63" s="76" t="str">
        <f t="shared" si="49"/>
        <v/>
      </c>
      <c r="F63" s="76" t="str">
        <f t="shared" si="49"/>
        <v/>
      </c>
      <c r="G63" s="76" t="str">
        <f t="shared" si="49"/>
        <v/>
      </c>
      <c r="H63" s="76" t="str">
        <f t="shared" si="49"/>
        <v/>
      </c>
      <c r="I63" s="76" t="str">
        <f t="shared" si="49"/>
        <v/>
      </c>
      <c r="J63" s="76" t="str">
        <f t="shared" si="49"/>
        <v/>
      </c>
      <c r="K63" s="76" t="str">
        <f t="shared" si="49"/>
        <v/>
      </c>
      <c r="L63" s="76" t="str">
        <f t="shared" si="49"/>
        <v/>
      </c>
      <c r="M63" s="76" t="str">
        <f t="shared" si="49"/>
        <v/>
      </c>
      <c r="N63" s="76" t="str">
        <f t="shared" si="49"/>
        <v/>
      </c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>
      <c r="A64" s="77" t="s">
        <v>130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</row>
    <row r="65">
      <c r="A65" s="60" t="s">
        <v>131</v>
      </c>
      <c r="B65" s="75" t="s">
        <v>67</v>
      </c>
      <c r="C65" s="76">
        <f t="shared" ref="C65:N65" si="50">iferror(average(C16:C18),)</f>
        <v>5085</v>
      </c>
      <c r="D65" s="76">
        <f t="shared" si="50"/>
        <v>5034.666667</v>
      </c>
      <c r="E65" s="76">
        <f t="shared" si="50"/>
        <v>4961.666667</v>
      </c>
      <c r="F65" s="76">
        <f t="shared" si="50"/>
        <v>4839.333333</v>
      </c>
      <c r="G65" s="76">
        <f t="shared" si="50"/>
        <v>4703</v>
      </c>
      <c r="H65" s="76">
        <f t="shared" si="50"/>
        <v>4722</v>
      </c>
      <c r="I65" s="76">
        <f t="shared" si="50"/>
        <v>4690.333333</v>
      </c>
      <c r="J65" s="76">
        <f t="shared" si="50"/>
        <v>4740.666667</v>
      </c>
      <c r="K65" s="76">
        <f t="shared" si="50"/>
        <v>4761.333333</v>
      </c>
      <c r="L65" s="76" t="str">
        <f t="shared" si="50"/>
        <v/>
      </c>
      <c r="M65" s="76" t="str">
        <f t="shared" si="50"/>
        <v/>
      </c>
      <c r="N65" s="76" t="str">
        <f t="shared" si="50"/>
        <v/>
      </c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</row>
    <row r="66">
      <c r="A66" s="60" t="s">
        <v>132</v>
      </c>
      <c r="B66" s="75" t="s">
        <v>69</v>
      </c>
      <c r="C66" s="76">
        <f t="shared" ref="C66:N66" si="51">iferror(average(C19:C21),)</f>
        <v>3280</v>
      </c>
      <c r="D66" s="76">
        <f t="shared" si="51"/>
        <v>3124.333333</v>
      </c>
      <c r="E66" s="76">
        <f t="shared" si="51"/>
        <v>3101</v>
      </c>
      <c r="F66" s="76">
        <f t="shared" si="51"/>
        <v>3085.666667</v>
      </c>
      <c r="G66" s="76">
        <f t="shared" si="51"/>
        <v>3019</v>
      </c>
      <c r="H66" s="76">
        <f t="shared" si="51"/>
        <v>3027</v>
      </c>
      <c r="I66" s="76">
        <f t="shared" si="51"/>
        <v>3036.666667</v>
      </c>
      <c r="J66" s="76">
        <f t="shared" si="51"/>
        <v>3042.333333</v>
      </c>
      <c r="K66" s="76">
        <f t="shared" si="51"/>
        <v>3151.666667</v>
      </c>
      <c r="L66" s="76" t="str">
        <f t="shared" si="51"/>
        <v/>
      </c>
      <c r="M66" s="76" t="str">
        <f t="shared" si="51"/>
        <v/>
      </c>
      <c r="N66" s="76" t="str">
        <f t="shared" si="51"/>
        <v/>
      </c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</row>
    <row r="67">
      <c r="A67" s="60" t="s">
        <v>133</v>
      </c>
      <c r="B67" s="75" t="s">
        <v>71</v>
      </c>
      <c r="C67" s="76">
        <f t="shared" ref="C67:N67" si="52">iferror(average(C22:C24),)</f>
        <v>2297.333333</v>
      </c>
      <c r="D67" s="76">
        <f t="shared" si="52"/>
        <v>2212.666667</v>
      </c>
      <c r="E67" s="76">
        <f t="shared" si="52"/>
        <v>2206.333333</v>
      </c>
      <c r="F67" s="76">
        <f t="shared" si="52"/>
        <v>2261.666667</v>
      </c>
      <c r="G67" s="76">
        <f t="shared" si="52"/>
        <v>2134.666667</v>
      </c>
      <c r="H67" s="76">
        <f t="shared" si="52"/>
        <v>2160.333333</v>
      </c>
      <c r="I67" s="76">
        <f t="shared" si="52"/>
        <v>2187.333333</v>
      </c>
      <c r="J67" s="76">
        <f t="shared" si="52"/>
        <v>2210.333333</v>
      </c>
      <c r="K67" s="76">
        <f t="shared" si="52"/>
        <v>2300</v>
      </c>
      <c r="L67" s="76" t="str">
        <f t="shared" si="52"/>
        <v/>
      </c>
      <c r="M67" s="76" t="str">
        <f t="shared" si="52"/>
        <v/>
      </c>
      <c r="N67" s="76" t="str">
        <f t="shared" si="52"/>
        <v/>
      </c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>
      <c r="A68" s="60" t="s">
        <v>134</v>
      </c>
      <c r="B68" s="75" t="s">
        <v>73</v>
      </c>
      <c r="C68" s="76">
        <f t="shared" ref="C68:N68" si="53">iferror(average(C25:C27),)</f>
        <v>1726.666667</v>
      </c>
      <c r="D68" s="76">
        <f t="shared" si="53"/>
        <v>1648</v>
      </c>
      <c r="E68" s="76">
        <f t="shared" si="53"/>
        <v>1636.333333</v>
      </c>
      <c r="F68" s="76">
        <f t="shared" si="53"/>
        <v>1668</v>
      </c>
      <c r="G68" s="76">
        <f t="shared" si="53"/>
        <v>1612.666667</v>
      </c>
      <c r="H68" s="76">
        <f t="shared" si="53"/>
        <v>1604.666667</v>
      </c>
      <c r="I68" s="76">
        <f t="shared" si="53"/>
        <v>1632.333333</v>
      </c>
      <c r="J68" s="76">
        <f t="shared" si="53"/>
        <v>1629</v>
      </c>
      <c r="K68" s="76">
        <f t="shared" si="53"/>
        <v>1653.333333</v>
      </c>
      <c r="L68" s="76" t="str">
        <f t="shared" si="53"/>
        <v/>
      </c>
      <c r="M68" s="76" t="str">
        <f t="shared" si="53"/>
        <v/>
      </c>
      <c r="N68" s="76" t="str">
        <f t="shared" si="53"/>
        <v/>
      </c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>
      <c r="A69" s="60" t="s">
        <v>137</v>
      </c>
      <c r="B69" s="75" t="s">
        <v>75</v>
      </c>
      <c r="C69" s="76">
        <f t="shared" ref="C69:N69" si="54">iferror(C68*(C68/C67),)</f>
        <v>1297.755852</v>
      </c>
      <c r="D69" s="76">
        <f t="shared" si="54"/>
        <v>1227.43477</v>
      </c>
      <c r="E69" s="76">
        <f t="shared" si="54"/>
        <v>1213.591227</v>
      </c>
      <c r="F69" s="76">
        <f t="shared" si="54"/>
        <v>1230.165365</v>
      </c>
      <c r="G69" s="76">
        <f t="shared" si="54"/>
        <v>1218.313762</v>
      </c>
      <c r="H69" s="76">
        <f t="shared" si="54"/>
        <v>1191.924909</v>
      </c>
      <c r="I69" s="76">
        <f t="shared" si="54"/>
        <v>1218.155491</v>
      </c>
      <c r="J69" s="76">
        <f t="shared" si="54"/>
        <v>1200.561454</v>
      </c>
      <c r="K69" s="76">
        <f t="shared" si="54"/>
        <v>1188.483092</v>
      </c>
      <c r="L69" s="76" t="str">
        <f t="shared" si="54"/>
        <v/>
      </c>
      <c r="M69" s="76" t="str">
        <f t="shared" si="54"/>
        <v/>
      </c>
      <c r="N69" s="76" t="str">
        <f t="shared" si="54"/>
        <v/>
      </c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>
      <c r="A70" s="60" t="s">
        <v>139</v>
      </c>
      <c r="B70" s="75" t="s">
        <v>77</v>
      </c>
      <c r="C70" s="76">
        <f t="shared" ref="C70:N70" si="55">iferror(C69*(C69/C68),)</f>
        <v>975.3881768</v>
      </c>
      <c r="D70" s="76">
        <f t="shared" si="55"/>
        <v>914.1966708</v>
      </c>
      <c r="E70" s="76">
        <f t="shared" si="55"/>
        <v>900.0633532</v>
      </c>
      <c r="F70" s="76">
        <f t="shared" si="55"/>
        <v>907.2582882</v>
      </c>
      <c r="G70" s="76">
        <f t="shared" si="55"/>
        <v>920.3938135</v>
      </c>
      <c r="H70" s="76">
        <f t="shared" si="55"/>
        <v>885.3458587</v>
      </c>
      <c r="I70" s="76">
        <f t="shared" si="55"/>
        <v>909.0684914</v>
      </c>
      <c r="J70" s="76">
        <f t="shared" si="55"/>
        <v>884.805282</v>
      </c>
      <c r="K70" s="76">
        <f t="shared" si="55"/>
        <v>854.3298747</v>
      </c>
      <c r="L70" s="76" t="str">
        <f t="shared" si="55"/>
        <v/>
      </c>
      <c r="M70" s="76" t="str">
        <f t="shared" si="55"/>
        <v/>
      </c>
      <c r="N70" s="76" t="str">
        <f t="shared" si="55"/>
        <v/>
      </c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>
      <c r="A71" s="60" t="s">
        <v>140</v>
      </c>
      <c r="B71" s="75" t="s">
        <v>67</v>
      </c>
      <c r="C71" s="76">
        <f t="shared" ref="C71:N71" si="56">iferror(average(C28:C30),)</f>
        <v>5451.333333</v>
      </c>
      <c r="D71" s="76">
        <f t="shared" si="56"/>
        <v>5586</v>
      </c>
      <c r="E71" s="76">
        <f t="shared" si="56"/>
        <v>5627.333333</v>
      </c>
      <c r="F71" s="76">
        <f t="shared" si="56"/>
        <v>5754.666667</v>
      </c>
      <c r="G71" s="76">
        <f t="shared" si="56"/>
        <v>5830.666667</v>
      </c>
      <c r="H71" s="76">
        <f t="shared" si="56"/>
        <v>5927.666667</v>
      </c>
      <c r="I71" s="76">
        <f t="shared" si="56"/>
        <v>5865.333333</v>
      </c>
      <c r="J71" s="76">
        <f t="shared" si="56"/>
        <v>5870</v>
      </c>
      <c r="K71" s="76">
        <f t="shared" si="56"/>
        <v>5826.333333</v>
      </c>
      <c r="L71" s="76" t="str">
        <f t="shared" si="56"/>
        <v/>
      </c>
      <c r="M71" s="76" t="str">
        <f t="shared" si="56"/>
        <v/>
      </c>
      <c r="N71" s="76" t="str">
        <f t="shared" si="56"/>
        <v/>
      </c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>
      <c r="A72" s="60" t="s">
        <v>141</v>
      </c>
      <c r="B72" s="75" t="s">
        <v>69</v>
      </c>
      <c r="C72" s="76">
        <f t="shared" ref="C72:N72" si="57">iferror(average(C31:C33),)</f>
        <v>3318</v>
      </c>
      <c r="D72" s="76">
        <f t="shared" si="57"/>
        <v>3422.333333</v>
      </c>
      <c r="E72" s="76">
        <f t="shared" si="57"/>
        <v>3431</v>
      </c>
      <c r="F72" s="76">
        <f t="shared" si="57"/>
        <v>3409.666667</v>
      </c>
      <c r="G72" s="76">
        <f t="shared" si="57"/>
        <v>3499</v>
      </c>
      <c r="H72" s="76">
        <f t="shared" si="57"/>
        <v>3517.333333</v>
      </c>
      <c r="I72" s="76">
        <f t="shared" si="57"/>
        <v>3506.333333</v>
      </c>
      <c r="J72" s="76">
        <f t="shared" si="57"/>
        <v>3448.666667</v>
      </c>
      <c r="K72" s="76">
        <f t="shared" si="57"/>
        <v>3487</v>
      </c>
      <c r="L72" s="76" t="str">
        <f t="shared" si="57"/>
        <v/>
      </c>
      <c r="M72" s="76" t="str">
        <f t="shared" si="57"/>
        <v/>
      </c>
      <c r="N72" s="76" t="str">
        <f t="shared" si="57"/>
        <v/>
      </c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>
      <c r="A73" s="60" t="s">
        <v>142</v>
      </c>
      <c r="B73" s="75" t="s">
        <v>71</v>
      </c>
      <c r="C73" s="76">
        <f t="shared" ref="C73:N73" si="58">iferror(average(C34:C36),)</f>
        <v>2254.666667</v>
      </c>
      <c r="D73" s="76">
        <f t="shared" si="58"/>
        <v>2323.333333</v>
      </c>
      <c r="E73" s="76">
        <f t="shared" si="58"/>
        <v>2312.333333</v>
      </c>
      <c r="F73" s="76">
        <f t="shared" si="58"/>
        <v>2392.666667</v>
      </c>
      <c r="G73" s="76">
        <f t="shared" si="58"/>
        <v>2412</v>
      </c>
      <c r="H73" s="76">
        <f t="shared" si="58"/>
        <v>2434.666667</v>
      </c>
      <c r="I73" s="76">
        <f t="shared" si="58"/>
        <v>2466.333333</v>
      </c>
      <c r="J73" s="76">
        <f t="shared" si="58"/>
        <v>2458</v>
      </c>
      <c r="K73" s="76">
        <f t="shared" si="58"/>
        <v>2482</v>
      </c>
      <c r="L73" s="76" t="str">
        <f t="shared" si="58"/>
        <v/>
      </c>
      <c r="M73" s="76" t="str">
        <f t="shared" si="58"/>
        <v/>
      </c>
      <c r="N73" s="76" t="str">
        <f t="shared" si="58"/>
        <v/>
      </c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</row>
    <row r="74">
      <c r="A74" s="60" t="s">
        <v>143</v>
      </c>
      <c r="B74" s="75" t="s">
        <v>73</v>
      </c>
      <c r="C74" s="76">
        <f t="shared" ref="C74:N74" si="59">iferror(average(C37:C39),)</f>
        <v>1646</v>
      </c>
      <c r="D74" s="76">
        <f t="shared" si="59"/>
        <v>1667.666667</v>
      </c>
      <c r="E74" s="76">
        <f t="shared" si="59"/>
        <v>1688.666667</v>
      </c>
      <c r="F74" s="76">
        <f t="shared" si="59"/>
        <v>1763</v>
      </c>
      <c r="G74" s="76">
        <f t="shared" si="59"/>
        <v>1746.333333</v>
      </c>
      <c r="H74" s="76">
        <f t="shared" si="59"/>
        <v>1783</v>
      </c>
      <c r="I74" s="76">
        <f t="shared" si="59"/>
        <v>1755.666667</v>
      </c>
      <c r="J74" s="76">
        <f t="shared" si="59"/>
        <v>1740</v>
      </c>
      <c r="K74" s="76">
        <f t="shared" si="59"/>
        <v>1837.666667</v>
      </c>
      <c r="L74" s="76" t="str">
        <f t="shared" si="59"/>
        <v/>
      </c>
      <c r="M74" s="76" t="str">
        <f t="shared" si="59"/>
        <v/>
      </c>
      <c r="N74" s="76" t="str">
        <f t="shared" si="59"/>
        <v/>
      </c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>
      <c r="A75" s="60" t="s">
        <v>144</v>
      </c>
      <c r="B75" s="75" t="s">
        <v>75</v>
      </c>
      <c r="C75" s="76">
        <f t="shared" ref="C75:N75" si="60">iferror(C74*(C74/C73),)</f>
        <v>1201.648137</v>
      </c>
      <c r="D75" s="76">
        <f t="shared" si="60"/>
        <v>1197.035342</v>
      </c>
      <c r="E75" s="76">
        <f t="shared" si="60"/>
        <v>1233.21109</v>
      </c>
      <c r="F75" s="76">
        <f t="shared" si="60"/>
        <v>1299.039705</v>
      </c>
      <c r="G75" s="76">
        <f t="shared" si="60"/>
        <v>1264.378156</v>
      </c>
      <c r="H75" s="76">
        <f t="shared" si="60"/>
        <v>1305.759447</v>
      </c>
      <c r="I75" s="76">
        <f t="shared" si="60"/>
        <v>1249.776501</v>
      </c>
      <c r="J75" s="76">
        <f t="shared" si="60"/>
        <v>1231.733116</v>
      </c>
      <c r="K75" s="76">
        <f t="shared" si="60"/>
        <v>1360.603859</v>
      </c>
      <c r="L75" s="76" t="str">
        <f t="shared" si="60"/>
        <v/>
      </c>
      <c r="M75" s="76" t="str">
        <f t="shared" si="60"/>
        <v/>
      </c>
      <c r="N75" s="76" t="str">
        <f t="shared" si="60"/>
        <v/>
      </c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</row>
    <row r="76">
      <c r="A76" s="60" t="s">
        <v>145</v>
      </c>
      <c r="B76" s="75" t="s">
        <v>77</v>
      </c>
      <c r="C76" s="76">
        <f t="shared" ref="C76:N76" si="61">iferror(C75*(C75/C74),)</f>
        <v>877.2528831</v>
      </c>
      <c r="D76" s="76">
        <f t="shared" si="61"/>
        <v>859.2206335</v>
      </c>
      <c r="E76" s="76">
        <f t="shared" si="61"/>
        <v>900.5978641</v>
      </c>
      <c r="F76" s="76">
        <f t="shared" si="61"/>
        <v>957.1776258</v>
      </c>
      <c r="G76" s="76">
        <f t="shared" si="61"/>
        <v>915.4335485</v>
      </c>
      <c r="H76" s="76">
        <f t="shared" si="61"/>
        <v>956.2578425</v>
      </c>
      <c r="I76" s="76">
        <f t="shared" si="61"/>
        <v>889.6570932</v>
      </c>
      <c r="J76" s="76">
        <f t="shared" si="61"/>
        <v>871.9347528</v>
      </c>
      <c r="K76" s="76">
        <f t="shared" si="61"/>
        <v>1007.387735</v>
      </c>
      <c r="L76" s="76" t="str">
        <f t="shared" si="61"/>
        <v/>
      </c>
      <c r="M76" s="76" t="str">
        <f t="shared" si="61"/>
        <v/>
      </c>
      <c r="N76" s="76" t="str">
        <f t="shared" si="61"/>
        <v/>
      </c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>
      <c r="A77" s="60" t="s">
        <v>146</v>
      </c>
      <c r="B77" s="75" t="s">
        <v>67</v>
      </c>
      <c r="C77" s="76">
        <f t="shared" ref="C77:N77" si="62">iferror(average(C40:C42),)</f>
        <v>4443</v>
      </c>
      <c r="D77" s="76">
        <f t="shared" si="62"/>
        <v>4417.333333</v>
      </c>
      <c r="E77" s="76">
        <f t="shared" si="62"/>
        <v>4433.333333</v>
      </c>
      <c r="F77" s="76">
        <f t="shared" si="62"/>
        <v>4489</v>
      </c>
      <c r="G77" s="76">
        <f t="shared" si="62"/>
        <v>4413.666667</v>
      </c>
      <c r="H77" s="76">
        <f t="shared" si="62"/>
        <v>4534.666667</v>
      </c>
      <c r="I77" s="76">
        <f t="shared" si="62"/>
        <v>4578.333333</v>
      </c>
      <c r="J77" s="76">
        <f t="shared" si="62"/>
        <v>4563.333333</v>
      </c>
      <c r="K77" s="76">
        <f t="shared" si="62"/>
        <v>4669.666667</v>
      </c>
      <c r="L77" s="76" t="str">
        <f t="shared" si="62"/>
        <v/>
      </c>
      <c r="M77" s="76" t="str">
        <f t="shared" si="62"/>
        <v/>
      </c>
      <c r="N77" s="76" t="str">
        <f t="shared" si="62"/>
        <v/>
      </c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>
      <c r="A78" s="60" t="s">
        <v>147</v>
      </c>
      <c r="B78" s="75" t="s">
        <v>69</v>
      </c>
      <c r="C78" s="76">
        <f t="shared" ref="C78:N78" si="63">iferror(average(C43:C45),)</f>
        <v>2847</v>
      </c>
      <c r="D78" s="76">
        <f t="shared" si="63"/>
        <v>2834.666667</v>
      </c>
      <c r="E78" s="76">
        <f t="shared" si="63"/>
        <v>2854.333333</v>
      </c>
      <c r="F78" s="76">
        <f t="shared" si="63"/>
        <v>2920</v>
      </c>
      <c r="G78" s="76">
        <f t="shared" si="63"/>
        <v>2930.333333</v>
      </c>
      <c r="H78" s="76">
        <f t="shared" si="63"/>
        <v>2992</v>
      </c>
      <c r="I78" s="76">
        <f t="shared" si="63"/>
        <v>3000.333333</v>
      </c>
      <c r="J78" s="76">
        <f t="shared" si="63"/>
        <v>2966</v>
      </c>
      <c r="K78" s="76">
        <f t="shared" si="63"/>
        <v>3056</v>
      </c>
      <c r="L78" s="76" t="str">
        <f t="shared" si="63"/>
        <v/>
      </c>
      <c r="M78" s="76" t="str">
        <f t="shared" si="63"/>
        <v/>
      </c>
      <c r="N78" s="76" t="str">
        <f t="shared" si="63"/>
        <v/>
      </c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>
      <c r="A79" s="60" t="s">
        <v>148</v>
      </c>
      <c r="B79" s="75" t="s">
        <v>71</v>
      </c>
      <c r="C79" s="76">
        <f t="shared" ref="C79:N79" si="64">IFERROR(average(C46:C48),)</f>
        <v>2008.333333</v>
      </c>
      <c r="D79" s="76">
        <f t="shared" si="64"/>
        <v>2005.333333</v>
      </c>
      <c r="E79" s="76">
        <f t="shared" si="64"/>
        <v>2029.333333</v>
      </c>
      <c r="F79" s="76">
        <f t="shared" si="64"/>
        <v>2088.333333</v>
      </c>
      <c r="G79" s="76">
        <f t="shared" si="64"/>
        <v>2019.666667</v>
      </c>
      <c r="H79" s="76">
        <f t="shared" si="64"/>
        <v>2089.666667</v>
      </c>
      <c r="I79" s="76">
        <f t="shared" si="64"/>
        <v>2103</v>
      </c>
      <c r="J79" s="76">
        <f t="shared" si="64"/>
        <v>2112.333333</v>
      </c>
      <c r="K79" s="76">
        <f t="shared" si="64"/>
        <v>2184</v>
      </c>
      <c r="L79" s="76" t="str">
        <f t="shared" si="64"/>
        <v/>
      </c>
      <c r="M79" s="76" t="str">
        <f t="shared" si="64"/>
        <v/>
      </c>
      <c r="N79" s="76" t="str">
        <f t="shared" si="64"/>
        <v/>
      </c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</row>
    <row r="80">
      <c r="A80" s="60" t="s">
        <v>149</v>
      </c>
      <c r="B80" s="75" t="s">
        <v>73</v>
      </c>
      <c r="C80" s="76">
        <f t="shared" ref="C80:N80" si="65">iferror(average(C49:C51),)</f>
        <v>1434.333333</v>
      </c>
      <c r="D80" s="76">
        <f t="shared" si="65"/>
        <v>1480.666667</v>
      </c>
      <c r="E80" s="76">
        <f t="shared" si="65"/>
        <v>1477.333333</v>
      </c>
      <c r="F80" s="76">
        <f t="shared" si="65"/>
        <v>1502</v>
      </c>
      <c r="G80" s="76">
        <f t="shared" si="65"/>
        <v>1496</v>
      </c>
      <c r="H80" s="76">
        <f t="shared" si="65"/>
        <v>1488</v>
      </c>
      <c r="I80" s="76">
        <f t="shared" si="65"/>
        <v>1493</v>
      </c>
      <c r="J80" s="76">
        <f t="shared" si="65"/>
        <v>1496.333333</v>
      </c>
      <c r="K80" s="76">
        <f t="shared" si="65"/>
        <v>1504</v>
      </c>
      <c r="L80" s="76" t="str">
        <f t="shared" si="65"/>
        <v/>
      </c>
      <c r="M80" s="76" t="str">
        <f t="shared" si="65"/>
        <v/>
      </c>
      <c r="N80" s="76" t="str">
        <f t="shared" si="65"/>
        <v/>
      </c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>
      <c r="A81" s="60" t="s">
        <v>150</v>
      </c>
      <c r="B81" s="75" t="s">
        <v>75</v>
      </c>
      <c r="C81" s="76">
        <f t="shared" ref="C81:N81" si="66">iferror(C80*(C80/C79),)</f>
        <v>1024.387773</v>
      </c>
      <c r="D81" s="76">
        <f t="shared" si="66"/>
        <v>1093.271498</v>
      </c>
      <c r="E81" s="76">
        <f t="shared" si="66"/>
        <v>1075.483136</v>
      </c>
      <c r="F81" s="76">
        <f t="shared" si="66"/>
        <v>1080.289226</v>
      </c>
      <c r="G81" s="76">
        <f t="shared" si="66"/>
        <v>1108.11157</v>
      </c>
      <c r="H81" s="76">
        <f t="shared" si="66"/>
        <v>1059.568033</v>
      </c>
      <c r="I81" s="76">
        <f t="shared" si="66"/>
        <v>1059.937708</v>
      </c>
      <c r="J81" s="76">
        <f t="shared" si="66"/>
        <v>1059.971648</v>
      </c>
      <c r="K81" s="76">
        <f t="shared" si="66"/>
        <v>1035.721612</v>
      </c>
      <c r="L81" s="76" t="str">
        <f t="shared" si="66"/>
        <v/>
      </c>
      <c r="M81" s="76" t="str">
        <f t="shared" si="66"/>
        <v/>
      </c>
      <c r="N81" s="76" t="str">
        <f t="shared" si="66"/>
        <v/>
      </c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</row>
    <row r="82">
      <c r="A82" s="60" t="s">
        <v>151</v>
      </c>
      <c r="B82" s="75" t="s">
        <v>77</v>
      </c>
      <c r="C82" s="76">
        <f t="shared" ref="C82:N82" si="67">iferror(C81*(C81/C80),)</f>
        <v>731.6083963</v>
      </c>
      <c r="D82" s="76">
        <f t="shared" si="67"/>
        <v>807.232712</v>
      </c>
      <c r="E82" s="76">
        <f t="shared" si="67"/>
        <v>782.9404172</v>
      </c>
      <c r="F82" s="76">
        <f t="shared" si="67"/>
        <v>776.9805669</v>
      </c>
      <c r="G82" s="76">
        <f t="shared" si="67"/>
        <v>820.7962905</v>
      </c>
      <c r="H82" s="76">
        <f t="shared" si="67"/>
        <v>754.4922157</v>
      </c>
      <c r="I82" s="76">
        <f t="shared" si="67"/>
        <v>752.4902511</v>
      </c>
      <c r="J82" s="76">
        <f t="shared" si="67"/>
        <v>750.8620369</v>
      </c>
      <c r="K82" s="76">
        <f t="shared" si="67"/>
        <v>713.2441868</v>
      </c>
      <c r="L82" s="76" t="str">
        <f t="shared" si="67"/>
        <v/>
      </c>
      <c r="M82" s="76" t="str">
        <f t="shared" si="67"/>
        <v/>
      </c>
      <c r="N82" s="76" t="str">
        <f t="shared" si="67"/>
        <v/>
      </c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</row>
    <row r="83">
      <c r="A83" s="60" t="s">
        <v>152</v>
      </c>
      <c r="B83" s="75" t="s">
        <v>67</v>
      </c>
      <c r="C83" s="76" t="str">
        <f t="shared" ref="C83:N83" si="68">iferror(average(C52:C54),)</f>
        <v/>
      </c>
      <c r="D83" s="76" t="str">
        <f t="shared" si="68"/>
        <v/>
      </c>
      <c r="E83" s="76" t="str">
        <f t="shared" si="68"/>
        <v/>
      </c>
      <c r="F83" s="76" t="str">
        <f t="shared" si="68"/>
        <v/>
      </c>
      <c r="G83" s="76" t="str">
        <f t="shared" si="68"/>
        <v/>
      </c>
      <c r="H83" s="76" t="str">
        <f t="shared" si="68"/>
        <v/>
      </c>
      <c r="I83" s="76" t="str">
        <f t="shared" si="68"/>
        <v/>
      </c>
      <c r="J83" s="76" t="str">
        <f t="shared" si="68"/>
        <v/>
      </c>
      <c r="K83" s="76" t="str">
        <f t="shared" si="68"/>
        <v/>
      </c>
      <c r="L83" s="76" t="str">
        <f t="shared" si="68"/>
        <v/>
      </c>
      <c r="M83" s="76" t="str">
        <f t="shared" si="68"/>
        <v/>
      </c>
      <c r="N83" s="76" t="str">
        <f t="shared" si="68"/>
        <v/>
      </c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</row>
    <row r="84">
      <c r="A84" s="60" t="s">
        <v>153</v>
      </c>
      <c r="B84" s="75" t="s">
        <v>69</v>
      </c>
      <c r="C84" s="76" t="str">
        <f t="shared" ref="C84:N84" si="69">iferror(average(C55:C57),)</f>
        <v/>
      </c>
      <c r="D84" s="76" t="str">
        <f t="shared" si="69"/>
        <v/>
      </c>
      <c r="E84" s="76" t="str">
        <f t="shared" si="69"/>
        <v/>
      </c>
      <c r="F84" s="76" t="str">
        <f t="shared" si="69"/>
        <v/>
      </c>
      <c r="G84" s="76" t="str">
        <f t="shared" si="69"/>
        <v/>
      </c>
      <c r="H84" s="76" t="str">
        <f t="shared" si="69"/>
        <v/>
      </c>
      <c r="I84" s="76" t="str">
        <f t="shared" si="69"/>
        <v/>
      </c>
      <c r="J84" s="76" t="str">
        <f t="shared" si="69"/>
        <v/>
      </c>
      <c r="K84" s="76" t="str">
        <f t="shared" si="69"/>
        <v/>
      </c>
      <c r="L84" s="76" t="str">
        <f t="shared" si="69"/>
        <v/>
      </c>
      <c r="M84" s="76" t="str">
        <f t="shared" si="69"/>
        <v/>
      </c>
      <c r="N84" s="76" t="str">
        <f t="shared" si="69"/>
        <v/>
      </c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</row>
    <row r="85">
      <c r="A85" s="60" t="s">
        <v>154</v>
      </c>
      <c r="B85" s="75" t="s">
        <v>71</v>
      </c>
      <c r="C85" s="76" t="str">
        <f t="shared" ref="C85:N85" si="70">iferror(average(C58:C60),)</f>
        <v/>
      </c>
      <c r="D85" s="76" t="str">
        <f t="shared" si="70"/>
        <v/>
      </c>
      <c r="E85" s="76" t="str">
        <f t="shared" si="70"/>
        <v/>
      </c>
      <c r="F85" s="76" t="str">
        <f t="shared" si="70"/>
        <v/>
      </c>
      <c r="G85" s="76" t="str">
        <f t="shared" si="70"/>
        <v/>
      </c>
      <c r="H85" s="76" t="str">
        <f t="shared" si="70"/>
        <v/>
      </c>
      <c r="I85" s="76" t="str">
        <f t="shared" si="70"/>
        <v/>
      </c>
      <c r="J85" s="76" t="str">
        <f t="shared" si="70"/>
        <v/>
      </c>
      <c r="K85" s="76" t="str">
        <f t="shared" si="70"/>
        <v/>
      </c>
      <c r="L85" s="76" t="str">
        <f t="shared" si="70"/>
        <v/>
      </c>
      <c r="M85" s="76" t="str">
        <f t="shared" si="70"/>
        <v/>
      </c>
      <c r="N85" s="76" t="str">
        <f t="shared" si="70"/>
        <v/>
      </c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</row>
    <row r="86">
      <c r="A86" s="60" t="s">
        <v>155</v>
      </c>
      <c r="B86" s="75" t="s">
        <v>73</v>
      </c>
      <c r="C86" s="76" t="str">
        <f t="shared" ref="C86:N86" si="71">iferror(average(C61:C63),)</f>
        <v/>
      </c>
      <c r="D86" s="76" t="str">
        <f t="shared" si="71"/>
        <v/>
      </c>
      <c r="E86" s="76" t="str">
        <f t="shared" si="71"/>
        <v/>
      </c>
      <c r="F86" s="76" t="str">
        <f t="shared" si="71"/>
        <v/>
      </c>
      <c r="G86" s="76" t="str">
        <f t="shared" si="71"/>
        <v/>
      </c>
      <c r="H86" s="76" t="str">
        <f t="shared" si="71"/>
        <v/>
      </c>
      <c r="I86" s="76" t="str">
        <f t="shared" si="71"/>
        <v/>
      </c>
      <c r="J86" s="76" t="str">
        <f t="shared" si="71"/>
        <v/>
      </c>
      <c r="K86" s="76" t="str">
        <f t="shared" si="71"/>
        <v/>
      </c>
      <c r="L86" s="76" t="str">
        <f t="shared" si="71"/>
        <v/>
      </c>
      <c r="M86" s="76" t="str">
        <f t="shared" si="71"/>
        <v/>
      </c>
      <c r="N86" s="76" t="str">
        <f t="shared" si="71"/>
        <v/>
      </c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</row>
    <row r="87">
      <c r="A87" s="60" t="s">
        <v>156</v>
      </c>
      <c r="B87" s="75" t="s">
        <v>75</v>
      </c>
      <c r="C87" s="76" t="str">
        <f t="shared" ref="C87:N87" si="72">iferror(C86*(C86/C85),)</f>
        <v/>
      </c>
      <c r="D87" s="76" t="str">
        <f t="shared" si="72"/>
        <v/>
      </c>
      <c r="E87" s="76" t="str">
        <f t="shared" si="72"/>
        <v/>
      </c>
      <c r="F87" s="76" t="str">
        <f t="shared" si="72"/>
        <v/>
      </c>
      <c r="G87" s="76" t="str">
        <f t="shared" si="72"/>
        <v/>
      </c>
      <c r="H87" s="76" t="str">
        <f t="shared" si="72"/>
        <v/>
      </c>
      <c r="I87" s="76" t="str">
        <f t="shared" si="72"/>
        <v/>
      </c>
      <c r="J87" s="76" t="str">
        <f t="shared" si="72"/>
        <v/>
      </c>
      <c r="K87" s="76" t="str">
        <f t="shared" si="72"/>
        <v/>
      </c>
      <c r="L87" s="76" t="str">
        <f t="shared" si="72"/>
        <v/>
      </c>
      <c r="M87" s="76" t="str">
        <f t="shared" si="72"/>
        <v/>
      </c>
      <c r="N87" s="76" t="str">
        <f t="shared" si="72"/>
        <v/>
      </c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</row>
    <row r="88">
      <c r="A88" s="60" t="s">
        <v>157</v>
      </c>
      <c r="B88" s="75" t="s">
        <v>77</v>
      </c>
      <c r="C88" s="76" t="str">
        <f t="shared" ref="C88:N88" si="73">iferror(C87*(C87/C86),)</f>
        <v/>
      </c>
      <c r="D88" s="76" t="str">
        <f t="shared" si="73"/>
        <v/>
      </c>
      <c r="E88" s="76" t="str">
        <f t="shared" si="73"/>
        <v/>
      </c>
      <c r="F88" s="76" t="str">
        <f t="shared" si="73"/>
        <v/>
      </c>
      <c r="G88" s="76" t="str">
        <f t="shared" si="73"/>
        <v/>
      </c>
      <c r="H88" s="76" t="str">
        <f t="shared" si="73"/>
        <v/>
      </c>
      <c r="I88" s="76" t="str">
        <f t="shared" si="73"/>
        <v/>
      </c>
      <c r="J88" s="76" t="str">
        <f t="shared" si="73"/>
        <v/>
      </c>
      <c r="K88" s="76" t="str">
        <f t="shared" si="73"/>
        <v/>
      </c>
      <c r="L88" s="76" t="str">
        <f t="shared" si="73"/>
        <v/>
      </c>
      <c r="M88" s="76" t="str">
        <f t="shared" si="73"/>
        <v/>
      </c>
      <c r="N88" s="76" t="str">
        <f t="shared" si="73"/>
        <v/>
      </c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</row>
    <row r="89">
      <c r="A89" s="77" t="s">
        <v>158</v>
      </c>
      <c r="B89" s="78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</row>
    <row r="90">
      <c r="A90" s="89" t="s">
        <v>159</v>
      </c>
      <c r="B90" s="90" t="s">
        <v>160</v>
      </c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</row>
    <row r="91">
      <c r="A91" s="60" t="s">
        <v>161</v>
      </c>
      <c r="B91" s="92" t="s">
        <v>162</v>
      </c>
      <c r="C91" s="91">
        <f t="shared" ref="C91:N91" si="74">C16</f>
        <v>5930</v>
      </c>
      <c r="D91" s="91">
        <f t="shared" si="74"/>
        <v>6044</v>
      </c>
      <c r="E91" s="91">
        <f t="shared" si="74"/>
        <v>5961</v>
      </c>
      <c r="F91" s="91">
        <f t="shared" si="74"/>
        <v>5841</v>
      </c>
      <c r="G91" s="91">
        <f t="shared" si="74"/>
        <v>5668</v>
      </c>
      <c r="H91" s="91">
        <f t="shared" si="74"/>
        <v>5648</v>
      </c>
      <c r="I91" s="91">
        <f t="shared" si="74"/>
        <v>5602</v>
      </c>
      <c r="J91" s="91">
        <f t="shared" si="74"/>
        <v>5595</v>
      </c>
      <c r="K91" s="91">
        <f t="shared" si="74"/>
        <v>5527</v>
      </c>
      <c r="L91" s="91" t="str">
        <f t="shared" si="74"/>
        <v/>
      </c>
      <c r="M91" s="91" t="str">
        <f t="shared" si="74"/>
        <v/>
      </c>
      <c r="N91" s="91" t="str">
        <f t="shared" si="74"/>
        <v/>
      </c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</row>
    <row r="92">
      <c r="A92" s="60" t="s">
        <v>163</v>
      </c>
      <c r="B92" s="92" t="s">
        <v>164</v>
      </c>
      <c r="C92" s="91">
        <f t="shared" ref="C92:N92" si="75">C16</f>
        <v>5930</v>
      </c>
      <c r="D92" s="91">
        <f t="shared" si="75"/>
        <v>6044</v>
      </c>
      <c r="E92" s="91">
        <f t="shared" si="75"/>
        <v>5961</v>
      </c>
      <c r="F92" s="91">
        <f t="shared" si="75"/>
        <v>5841</v>
      </c>
      <c r="G92" s="91">
        <f t="shared" si="75"/>
        <v>5668</v>
      </c>
      <c r="H92" s="91">
        <f t="shared" si="75"/>
        <v>5648</v>
      </c>
      <c r="I92" s="91">
        <f t="shared" si="75"/>
        <v>5602</v>
      </c>
      <c r="J92" s="91">
        <f t="shared" si="75"/>
        <v>5595</v>
      </c>
      <c r="K92" s="91">
        <f t="shared" si="75"/>
        <v>5527</v>
      </c>
      <c r="L92" s="91" t="str">
        <f t="shared" si="75"/>
        <v/>
      </c>
      <c r="M92" s="91" t="str">
        <f t="shared" si="75"/>
        <v/>
      </c>
      <c r="N92" s="91" t="str">
        <f t="shared" si="75"/>
        <v/>
      </c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>
      <c r="A93" s="60" t="s">
        <v>165</v>
      </c>
      <c r="B93" s="92" t="s">
        <v>166</v>
      </c>
      <c r="C93" s="91">
        <f t="shared" ref="C93:N93" si="76">C16</f>
        <v>5930</v>
      </c>
      <c r="D93" s="91">
        <f t="shared" si="76"/>
        <v>6044</v>
      </c>
      <c r="E93" s="91">
        <f t="shared" si="76"/>
        <v>5961</v>
      </c>
      <c r="F93" s="91">
        <f t="shared" si="76"/>
        <v>5841</v>
      </c>
      <c r="G93" s="91">
        <f t="shared" si="76"/>
        <v>5668</v>
      </c>
      <c r="H93" s="91">
        <f t="shared" si="76"/>
        <v>5648</v>
      </c>
      <c r="I93" s="91">
        <f t="shared" si="76"/>
        <v>5602</v>
      </c>
      <c r="J93" s="91">
        <f t="shared" si="76"/>
        <v>5595</v>
      </c>
      <c r="K93" s="91">
        <f t="shared" si="76"/>
        <v>5527</v>
      </c>
      <c r="L93" s="91" t="str">
        <f t="shared" si="76"/>
        <v/>
      </c>
      <c r="M93" s="91" t="str">
        <f t="shared" si="76"/>
        <v/>
      </c>
      <c r="N93" s="91" t="str">
        <f t="shared" si="76"/>
        <v/>
      </c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</row>
    <row r="94">
      <c r="A94" s="60" t="s">
        <v>167</v>
      </c>
      <c r="B94" s="92" t="s">
        <v>168</v>
      </c>
      <c r="C94" s="91">
        <f t="shared" ref="C94:N94" si="77">C16</f>
        <v>5930</v>
      </c>
      <c r="D94" s="91">
        <f t="shared" si="77"/>
        <v>6044</v>
      </c>
      <c r="E94" s="91">
        <f t="shared" si="77"/>
        <v>5961</v>
      </c>
      <c r="F94" s="91">
        <f t="shared" si="77"/>
        <v>5841</v>
      </c>
      <c r="G94" s="91">
        <f t="shared" si="77"/>
        <v>5668</v>
      </c>
      <c r="H94" s="91">
        <f t="shared" si="77"/>
        <v>5648</v>
      </c>
      <c r="I94" s="91">
        <f t="shared" si="77"/>
        <v>5602</v>
      </c>
      <c r="J94" s="91">
        <f t="shared" si="77"/>
        <v>5595</v>
      </c>
      <c r="K94" s="91">
        <f t="shared" si="77"/>
        <v>5527</v>
      </c>
      <c r="L94" s="91" t="str">
        <f t="shared" si="77"/>
        <v/>
      </c>
      <c r="M94" s="91" t="str">
        <f t="shared" si="77"/>
        <v/>
      </c>
      <c r="N94" s="91" t="str">
        <f t="shared" si="77"/>
        <v/>
      </c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</row>
    <row r="95">
      <c r="A95" s="60" t="s">
        <v>169</v>
      </c>
      <c r="B95" s="92" t="s">
        <v>170</v>
      </c>
      <c r="C95" s="91">
        <f t="shared" ref="C95:N95" si="78">C17</f>
        <v>4831</v>
      </c>
      <c r="D95" s="91">
        <f t="shared" si="78"/>
        <v>4728</v>
      </c>
      <c r="E95" s="91">
        <f t="shared" si="78"/>
        <v>4693</v>
      </c>
      <c r="F95" s="91">
        <f t="shared" si="78"/>
        <v>4750</v>
      </c>
      <c r="G95" s="91">
        <f t="shared" si="78"/>
        <v>4579</v>
      </c>
      <c r="H95" s="91">
        <f t="shared" si="78"/>
        <v>4564</v>
      </c>
      <c r="I95" s="91">
        <f t="shared" si="78"/>
        <v>4581</v>
      </c>
      <c r="J95" s="91">
        <f t="shared" si="78"/>
        <v>4665</v>
      </c>
      <c r="K95" s="91">
        <f t="shared" si="78"/>
        <v>4733</v>
      </c>
      <c r="L95" s="91" t="str">
        <f t="shared" si="78"/>
        <v/>
      </c>
      <c r="M95" s="91" t="str">
        <f t="shared" si="78"/>
        <v/>
      </c>
      <c r="N95" s="91" t="str">
        <f t="shared" si="78"/>
        <v/>
      </c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>
      <c r="A96" s="60" t="s">
        <v>171</v>
      </c>
      <c r="B96" s="92" t="s">
        <v>172</v>
      </c>
      <c r="C96" s="91">
        <f t="shared" ref="C96:N96" si="79">C17</f>
        <v>4831</v>
      </c>
      <c r="D96" s="91">
        <f t="shared" si="79"/>
        <v>4728</v>
      </c>
      <c r="E96" s="91">
        <f t="shared" si="79"/>
        <v>4693</v>
      </c>
      <c r="F96" s="91">
        <f t="shared" si="79"/>
        <v>4750</v>
      </c>
      <c r="G96" s="91">
        <f t="shared" si="79"/>
        <v>4579</v>
      </c>
      <c r="H96" s="91">
        <f t="shared" si="79"/>
        <v>4564</v>
      </c>
      <c r="I96" s="91">
        <f t="shared" si="79"/>
        <v>4581</v>
      </c>
      <c r="J96" s="91">
        <f t="shared" si="79"/>
        <v>4665</v>
      </c>
      <c r="K96" s="91">
        <f t="shared" si="79"/>
        <v>4733</v>
      </c>
      <c r="L96" s="91" t="str">
        <f t="shared" si="79"/>
        <v/>
      </c>
      <c r="M96" s="91" t="str">
        <f t="shared" si="79"/>
        <v/>
      </c>
      <c r="N96" s="91" t="str">
        <f t="shared" si="79"/>
        <v/>
      </c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</row>
    <row r="97">
      <c r="A97" s="60" t="s">
        <v>173</v>
      </c>
      <c r="B97" s="92" t="s">
        <v>174</v>
      </c>
      <c r="C97" s="91">
        <f t="shared" ref="C97:N97" si="80">C17</f>
        <v>4831</v>
      </c>
      <c r="D97" s="91">
        <f t="shared" si="80"/>
        <v>4728</v>
      </c>
      <c r="E97" s="91">
        <f t="shared" si="80"/>
        <v>4693</v>
      </c>
      <c r="F97" s="91">
        <f t="shared" si="80"/>
        <v>4750</v>
      </c>
      <c r="G97" s="91">
        <f t="shared" si="80"/>
        <v>4579</v>
      </c>
      <c r="H97" s="91">
        <f t="shared" si="80"/>
        <v>4564</v>
      </c>
      <c r="I97" s="91">
        <f t="shared" si="80"/>
        <v>4581</v>
      </c>
      <c r="J97" s="91">
        <f t="shared" si="80"/>
        <v>4665</v>
      </c>
      <c r="K97" s="91">
        <f t="shared" si="80"/>
        <v>4733</v>
      </c>
      <c r="L97" s="91" t="str">
        <f t="shared" si="80"/>
        <v/>
      </c>
      <c r="M97" s="91" t="str">
        <f t="shared" si="80"/>
        <v/>
      </c>
      <c r="N97" s="91" t="str">
        <f t="shared" si="80"/>
        <v/>
      </c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>
      <c r="A98" s="60" t="s">
        <v>175</v>
      </c>
      <c r="B98" s="92" t="s">
        <v>176</v>
      </c>
      <c r="C98" s="91">
        <f t="shared" ref="C98:N98" si="81">C17</f>
        <v>4831</v>
      </c>
      <c r="D98" s="91">
        <f t="shared" si="81"/>
        <v>4728</v>
      </c>
      <c r="E98" s="91">
        <f t="shared" si="81"/>
        <v>4693</v>
      </c>
      <c r="F98" s="91">
        <f t="shared" si="81"/>
        <v>4750</v>
      </c>
      <c r="G98" s="91">
        <f t="shared" si="81"/>
        <v>4579</v>
      </c>
      <c r="H98" s="91">
        <f t="shared" si="81"/>
        <v>4564</v>
      </c>
      <c r="I98" s="91">
        <f t="shared" si="81"/>
        <v>4581</v>
      </c>
      <c r="J98" s="91">
        <f t="shared" si="81"/>
        <v>4665</v>
      </c>
      <c r="K98" s="91">
        <f t="shared" si="81"/>
        <v>4733</v>
      </c>
      <c r="L98" s="91" t="str">
        <f t="shared" si="81"/>
        <v/>
      </c>
      <c r="M98" s="91" t="str">
        <f t="shared" si="81"/>
        <v/>
      </c>
      <c r="N98" s="91" t="str">
        <f t="shared" si="81"/>
        <v/>
      </c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</row>
    <row r="99">
      <c r="A99" s="60" t="s">
        <v>177</v>
      </c>
      <c r="B99" s="92" t="s">
        <v>178</v>
      </c>
      <c r="C99" s="91">
        <f t="shared" ref="C99:N99" si="82">C18</f>
        <v>4494</v>
      </c>
      <c r="D99" s="91">
        <f t="shared" si="82"/>
        <v>4332</v>
      </c>
      <c r="E99" s="91">
        <f t="shared" si="82"/>
        <v>4231</v>
      </c>
      <c r="F99" s="91">
        <f t="shared" si="82"/>
        <v>3927</v>
      </c>
      <c r="G99" s="91">
        <f t="shared" si="82"/>
        <v>3862</v>
      </c>
      <c r="H99" s="91">
        <f t="shared" si="82"/>
        <v>3954</v>
      </c>
      <c r="I99" s="91">
        <f t="shared" si="82"/>
        <v>3888</v>
      </c>
      <c r="J99" s="91">
        <f t="shared" si="82"/>
        <v>3962</v>
      </c>
      <c r="K99" s="91">
        <f t="shared" si="82"/>
        <v>4024</v>
      </c>
      <c r="L99" s="91" t="str">
        <f t="shared" si="82"/>
        <v/>
      </c>
      <c r="M99" s="91" t="str">
        <f t="shared" si="82"/>
        <v/>
      </c>
      <c r="N99" s="91" t="str">
        <f t="shared" si="82"/>
        <v/>
      </c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</row>
    <row r="100">
      <c r="A100" s="60" t="s">
        <v>179</v>
      </c>
      <c r="B100" s="92" t="s">
        <v>180</v>
      </c>
      <c r="C100" s="91">
        <f t="shared" ref="C100:N100" si="83">C18</f>
        <v>4494</v>
      </c>
      <c r="D100" s="91">
        <f t="shared" si="83"/>
        <v>4332</v>
      </c>
      <c r="E100" s="91">
        <f t="shared" si="83"/>
        <v>4231</v>
      </c>
      <c r="F100" s="91">
        <f t="shared" si="83"/>
        <v>3927</v>
      </c>
      <c r="G100" s="91">
        <f t="shared" si="83"/>
        <v>3862</v>
      </c>
      <c r="H100" s="91">
        <f t="shared" si="83"/>
        <v>3954</v>
      </c>
      <c r="I100" s="91">
        <f t="shared" si="83"/>
        <v>3888</v>
      </c>
      <c r="J100" s="91">
        <f t="shared" si="83"/>
        <v>3962</v>
      </c>
      <c r="K100" s="91">
        <f t="shared" si="83"/>
        <v>4024</v>
      </c>
      <c r="L100" s="91" t="str">
        <f t="shared" si="83"/>
        <v/>
      </c>
      <c r="M100" s="91" t="str">
        <f t="shared" si="83"/>
        <v/>
      </c>
      <c r="N100" s="91" t="str">
        <f t="shared" si="83"/>
        <v/>
      </c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>
      <c r="A101" s="60" t="s">
        <v>181</v>
      </c>
      <c r="B101" s="92" t="s">
        <v>182</v>
      </c>
      <c r="C101" s="91">
        <f t="shared" ref="C101:N101" si="84">C18</f>
        <v>4494</v>
      </c>
      <c r="D101" s="91">
        <f t="shared" si="84"/>
        <v>4332</v>
      </c>
      <c r="E101" s="91">
        <f t="shared" si="84"/>
        <v>4231</v>
      </c>
      <c r="F101" s="91">
        <f t="shared" si="84"/>
        <v>3927</v>
      </c>
      <c r="G101" s="91">
        <f t="shared" si="84"/>
        <v>3862</v>
      </c>
      <c r="H101" s="91">
        <f t="shared" si="84"/>
        <v>3954</v>
      </c>
      <c r="I101" s="91">
        <f t="shared" si="84"/>
        <v>3888</v>
      </c>
      <c r="J101" s="91">
        <f t="shared" si="84"/>
        <v>3962</v>
      </c>
      <c r="K101" s="91">
        <f t="shared" si="84"/>
        <v>4024</v>
      </c>
      <c r="L101" s="91" t="str">
        <f t="shared" si="84"/>
        <v/>
      </c>
      <c r="M101" s="91" t="str">
        <f t="shared" si="84"/>
        <v/>
      </c>
      <c r="N101" s="91" t="str">
        <f t="shared" si="84"/>
        <v/>
      </c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</row>
    <row r="102">
      <c r="A102" s="60" t="s">
        <v>183</v>
      </c>
      <c r="B102" s="92" t="s">
        <v>184</v>
      </c>
      <c r="C102" s="91">
        <f t="shared" ref="C102:N102" si="85">C18</f>
        <v>4494</v>
      </c>
      <c r="D102" s="91">
        <f t="shared" si="85"/>
        <v>4332</v>
      </c>
      <c r="E102" s="91">
        <f t="shared" si="85"/>
        <v>4231</v>
      </c>
      <c r="F102" s="91">
        <f t="shared" si="85"/>
        <v>3927</v>
      </c>
      <c r="G102" s="91">
        <f t="shared" si="85"/>
        <v>3862</v>
      </c>
      <c r="H102" s="91">
        <f t="shared" si="85"/>
        <v>3954</v>
      </c>
      <c r="I102" s="91">
        <f t="shared" si="85"/>
        <v>3888</v>
      </c>
      <c r="J102" s="91">
        <f t="shared" si="85"/>
        <v>3962</v>
      </c>
      <c r="K102" s="91">
        <f t="shared" si="85"/>
        <v>4024</v>
      </c>
      <c r="L102" s="91" t="str">
        <f t="shared" si="85"/>
        <v/>
      </c>
      <c r="M102" s="91" t="str">
        <f t="shared" si="85"/>
        <v/>
      </c>
      <c r="N102" s="91" t="str">
        <f t="shared" si="85"/>
        <v/>
      </c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>
      <c r="A103" s="60" t="s">
        <v>185</v>
      </c>
      <c r="B103" s="93" t="s">
        <v>186</v>
      </c>
      <c r="C103" s="91">
        <f t="shared" ref="C103:N103" si="86">iferror(average(C102,C104),)</f>
        <v>4072.5</v>
      </c>
      <c r="D103" s="91">
        <f t="shared" si="86"/>
        <v>3913.5</v>
      </c>
      <c r="E103" s="91">
        <f t="shared" si="86"/>
        <v>3854.5</v>
      </c>
      <c r="F103" s="91">
        <f t="shared" si="86"/>
        <v>3643.5</v>
      </c>
      <c r="G103" s="91">
        <f t="shared" si="86"/>
        <v>3560.5</v>
      </c>
      <c r="H103" s="91">
        <f t="shared" si="86"/>
        <v>3624.5</v>
      </c>
      <c r="I103" s="91">
        <f t="shared" si="86"/>
        <v>3600</v>
      </c>
      <c r="J103" s="91">
        <f t="shared" si="86"/>
        <v>3636</v>
      </c>
      <c r="K103" s="91">
        <f t="shared" si="86"/>
        <v>3705.5</v>
      </c>
      <c r="L103" s="91" t="str">
        <f t="shared" si="86"/>
        <v/>
      </c>
      <c r="M103" s="91" t="str">
        <f t="shared" si="86"/>
        <v/>
      </c>
      <c r="N103" s="91" t="str">
        <f t="shared" si="86"/>
        <v/>
      </c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</row>
    <row r="104">
      <c r="A104" s="60" t="s">
        <v>187</v>
      </c>
      <c r="B104" s="92" t="s">
        <v>188</v>
      </c>
      <c r="C104" s="91">
        <f t="shared" ref="C104:N104" si="87">C19</f>
        <v>3651</v>
      </c>
      <c r="D104" s="91">
        <f t="shared" si="87"/>
        <v>3495</v>
      </c>
      <c r="E104" s="91">
        <f t="shared" si="87"/>
        <v>3478</v>
      </c>
      <c r="F104" s="91">
        <f t="shared" si="87"/>
        <v>3360</v>
      </c>
      <c r="G104" s="91">
        <f t="shared" si="87"/>
        <v>3259</v>
      </c>
      <c r="H104" s="91">
        <f t="shared" si="87"/>
        <v>3295</v>
      </c>
      <c r="I104" s="91">
        <f t="shared" si="87"/>
        <v>3312</v>
      </c>
      <c r="J104" s="91">
        <f t="shared" si="87"/>
        <v>3310</v>
      </c>
      <c r="K104" s="91">
        <f t="shared" si="87"/>
        <v>3387</v>
      </c>
      <c r="L104" s="91" t="str">
        <f t="shared" si="87"/>
        <v/>
      </c>
      <c r="M104" s="91" t="str">
        <f t="shared" si="87"/>
        <v/>
      </c>
      <c r="N104" s="91" t="str">
        <f t="shared" si="87"/>
        <v/>
      </c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</row>
    <row r="105">
      <c r="A105" s="60" t="s">
        <v>189</v>
      </c>
      <c r="B105" s="92" t="s">
        <v>190</v>
      </c>
      <c r="C105" s="91">
        <f t="shared" ref="C105:N105" si="88">C19</f>
        <v>3651</v>
      </c>
      <c r="D105" s="91">
        <f t="shared" si="88"/>
        <v>3495</v>
      </c>
      <c r="E105" s="91">
        <f t="shared" si="88"/>
        <v>3478</v>
      </c>
      <c r="F105" s="91">
        <f t="shared" si="88"/>
        <v>3360</v>
      </c>
      <c r="G105" s="91">
        <f t="shared" si="88"/>
        <v>3259</v>
      </c>
      <c r="H105" s="91">
        <f t="shared" si="88"/>
        <v>3295</v>
      </c>
      <c r="I105" s="91">
        <f t="shared" si="88"/>
        <v>3312</v>
      </c>
      <c r="J105" s="91">
        <f t="shared" si="88"/>
        <v>3310</v>
      </c>
      <c r="K105" s="91">
        <f t="shared" si="88"/>
        <v>3387</v>
      </c>
      <c r="L105" s="91" t="str">
        <f t="shared" si="88"/>
        <v/>
      </c>
      <c r="M105" s="91" t="str">
        <f t="shared" si="88"/>
        <v/>
      </c>
      <c r="N105" s="91" t="str">
        <f t="shared" si="88"/>
        <v/>
      </c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</row>
    <row r="106">
      <c r="A106" s="60" t="s">
        <v>191</v>
      </c>
      <c r="B106" s="92" t="s">
        <v>192</v>
      </c>
      <c r="C106" s="91">
        <f t="shared" ref="C106:N106" si="89">C19</f>
        <v>3651</v>
      </c>
      <c r="D106" s="91">
        <f t="shared" si="89"/>
        <v>3495</v>
      </c>
      <c r="E106" s="91">
        <f t="shared" si="89"/>
        <v>3478</v>
      </c>
      <c r="F106" s="91">
        <f t="shared" si="89"/>
        <v>3360</v>
      </c>
      <c r="G106" s="91">
        <f t="shared" si="89"/>
        <v>3259</v>
      </c>
      <c r="H106" s="91">
        <f t="shared" si="89"/>
        <v>3295</v>
      </c>
      <c r="I106" s="91">
        <f t="shared" si="89"/>
        <v>3312</v>
      </c>
      <c r="J106" s="91">
        <f t="shared" si="89"/>
        <v>3310</v>
      </c>
      <c r="K106" s="91">
        <f t="shared" si="89"/>
        <v>3387</v>
      </c>
      <c r="L106" s="91" t="str">
        <f t="shared" si="89"/>
        <v/>
      </c>
      <c r="M106" s="91" t="str">
        <f t="shared" si="89"/>
        <v/>
      </c>
      <c r="N106" s="91" t="str">
        <f t="shared" si="89"/>
        <v/>
      </c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>
      <c r="A107" s="60" t="s">
        <v>193</v>
      </c>
      <c r="B107" s="92" t="s">
        <v>194</v>
      </c>
      <c r="C107" s="91">
        <f t="shared" ref="C107:N107" si="90">C19</f>
        <v>3651</v>
      </c>
      <c r="D107" s="91">
        <f t="shared" si="90"/>
        <v>3495</v>
      </c>
      <c r="E107" s="91">
        <f t="shared" si="90"/>
        <v>3478</v>
      </c>
      <c r="F107" s="91">
        <f t="shared" si="90"/>
        <v>3360</v>
      </c>
      <c r="G107" s="91">
        <f t="shared" si="90"/>
        <v>3259</v>
      </c>
      <c r="H107" s="91">
        <f t="shared" si="90"/>
        <v>3295</v>
      </c>
      <c r="I107" s="91">
        <f t="shared" si="90"/>
        <v>3312</v>
      </c>
      <c r="J107" s="91">
        <f t="shared" si="90"/>
        <v>3310</v>
      </c>
      <c r="K107" s="91">
        <f t="shared" si="90"/>
        <v>3387</v>
      </c>
      <c r="L107" s="91" t="str">
        <f t="shared" si="90"/>
        <v/>
      </c>
      <c r="M107" s="91" t="str">
        <f t="shared" si="90"/>
        <v/>
      </c>
      <c r="N107" s="91" t="str">
        <f t="shared" si="90"/>
        <v/>
      </c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</row>
    <row r="108">
      <c r="A108" s="60" t="s">
        <v>195</v>
      </c>
      <c r="B108" s="92" t="s">
        <v>196</v>
      </c>
      <c r="C108" s="91">
        <f t="shared" ref="C108:N108" si="91">C20</f>
        <v>3193</v>
      </c>
      <c r="D108" s="91">
        <f t="shared" si="91"/>
        <v>3074</v>
      </c>
      <c r="E108" s="91">
        <f t="shared" si="91"/>
        <v>3039</v>
      </c>
      <c r="F108" s="91">
        <f t="shared" si="91"/>
        <v>3020</v>
      </c>
      <c r="G108" s="91">
        <f t="shared" si="91"/>
        <v>3033</v>
      </c>
      <c r="H108" s="91">
        <f t="shared" si="91"/>
        <v>2953</v>
      </c>
      <c r="I108" s="91">
        <f t="shared" si="91"/>
        <v>2989</v>
      </c>
      <c r="J108" s="91">
        <f t="shared" si="91"/>
        <v>3020</v>
      </c>
      <c r="K108" s="91">
        <f t="shared" si="91"/>
        <v>3175</v>
      </c>
      <c r="L108" s="91" t="str">
        <f t="shared" si="91"/>
        <v/>
      </c>
      <c r="M108" s="91" t="str">
        <f t="shared" si="91"/>
        <v/>
      </c>
      <c r="N108" s="91" t="str">
        <f t="shared" si="91"/>
        <v/>
      </c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</row>
    <row r="109">
      <c r="A109" s="60" t="s">
        <v>197</v>
      </c>
      <c r="B109" s="92" t="s">
        <v>198</v>
      </c>
      <c r="C109" s="91">
        <f t="shared" ref="C109:N109" si="92">C20</f>
        <v>3193</v>
      </c>
      <c r="D109" s="91">
        <f t="shared" si="92"/>
        <v>3074</v>
      </c>
      <c r="E109" s="91">
        <f t="shared" si="92"/>
        <v>3039</v>
      </c>
      <c r="F109" s="91">
        <f t="shared" si="92"/>
        <v>3020</v>
      </c>
      <c r="G109" s="91">
        <f t="shared" si="92"/>
        <v>3033</v>
      </c>
      <c r="H109" s="91">
        <f t="shared" si="92"/>
        <v>2953</v>
      </c>
      <c r="I109" s="91">
        <f t="shared" si="92"/>
        <v>2989</v>
      </c>
      <c r="J109" s="91">
        <f t="shared" si="92"/>
        <v>3020</v>
      </c>
      <c r="K109" s="91">
        <f t="shared" si="92"/>
        <v>3175</v>
      </c>
      <c r="L109" s="91" t="str">
        <f t="shared" si="92"/>
        <v/>
      </c>
      <c r="M109" s="91" t="str">
        <f t="shared" si="92"/>
        <v/>
      </c>
      <c r="N109" s="91" t="str">
        <f t="shared" si="92"/>
        <v/>
      </c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</row>
    <row r="110">
      <c r="A110" s="60" t="s">
        <v>199</v>
      </c>
      <c r="B110" s="92" t="s">
        <v>200</v>
      </c>
      <c r="C110" s="91">
        <f t="shared" ref="C110:N110" si="93">C20</f>
        <v>3193</v>
      </c>
      <c r="D110" s="91">
        <f t="shared" si="93"/>
        <v>3074</v>
      </c>
      <c r="E110" s="91">
        <f t="shared" si="93"/>
        <v>3039</v>
      </c>
      <c r="F110" s="91">
        <f t="shared" si="93"/>
        <v>3020</v>
      </c>
      <c r="G110" s="91">
        <f t="shared" si="93"/>
        <v>3033</v>
      </c>
      <c r="H110" s="91">
        <f t="shared" si="93"/>
        <v>2953</v>
      </c>
      <c r="I110" s="91">
        <f t="shared" si="93"/>
        <v>2989</v>
      </c>
      <c r="J110" s="91">
        <f t="shared" si="93"/>
        <v>3020</v>
      </c>
      <c r="K110" s="91">
        <f t="shared" si="93"/>
        <v>3175</v>
      </c>
      <c r="L110" s="91" t="str">
        <f t="shared" si="93"/>
        <v/>
      </c>
      <c r="M110" s="91" t="str">
        <f t="shared" si="93"/>
        <v/>
      </c>
      <c r="N110" s="91" t="str">
        <f t="shared" si="93"/>
        <v/>
      </c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</row>
    <row r="111">
      <c r="A111" s="60" t="s">
        <v>201</v>
      </c>
      <c r="B111" s="92" t="s">
        <v>202</v>
      </c>
      <c r="C111" s="91">
        <f t="shared" ref="C111:N111" si="94">C20</f>
        <v>3193</v>
      </c>
      <c r="D111" s="91">
        <f t="shared" si="94"/>
        <v>3074</v>
      </c>
      <c r="E111" s="91">
        <f t="shared" si="94"/>
        <v>3039</v>
      </c>
      <c r="F111" s="91">
        <f t="shared" si="94"/>
        <v>3020</v>
      </c>
      <c r="G111" s="91">
        <f t="shared" si="94"/>
        <v>3033</v>
      </c>
      <c r="H111" s="91">
        <f t="shared" si="94"/>
        <v>2953</v>
      </c>
      <c r="I111" s="91">
        <f t="shared" si="94"/>
        <v>2989</v>
      </c>
      <c r="J111" s="91">
        <f t="shared" si="94"/>
        <v>3020</v>
      </c>
      <c r="K111" s="91">
        <f t="shared" si="94"/>
        <v>3175</v>
      </c>
      <c r="L111" s="91" t="str">
        <f t="shared" si="94"/>
        <v/>
      </c>
      <c r="M111" s="91" t="str">
        <f t="shared" si="94"/>
        <v/>
      </c>
      <c r="N111" s="91" t="str">
        <f t="shared" si="94"/>
        <v/>
      </c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</row>
    <row r="112">
      <c r="A112" s="60" t="s">
        <v>203</v>
      </c>
      <c r="B112" s="92" t="s">
        <v>204</v>
      </c>
      <c r="C112" s="91">
        <f t="shared" ref="C112:N112" si="95">C21</f>
        <v>2996</v>
      </c>
      <c r="D112" s="91">
        <f t="shared" si="95"/>
        <v>2804</v>
      </c>
      <c r="E112" s="91">
        <f t="shared" si="95"/>
        <v>2786</v>
      </c>
      <c r="F112" s="91">
        <f t="shared" si="95"/>
        <v>2877</v>
      </c>
      <c r="G112" s="91">
        <f t="shared" si="95"/>
        <v>2765</v>
      </c>
      <c r="H112" s="91">
        <f t="shared" si="95"/>
        <v>2833</v>
      </c>
      <c r="I112" s="91">
        <f t="shared" si="95"/>
        <v>2809</v>
      </c>
      <c r="J112" s="91">
        <f t="shared" si="95"/>
        <v>2797</v>
      </c>
      <c r="K112" s="91">
        <f t="shared" si="95"/>
        <v>2893</v>
      </c>
      <c r="L112" s="91" t="str">
        <f t="shared" si="95"/>
        <v/>
      </c>
      <c r="M112" s="91" t="str">
        <f t="shared" si="95"/>
        <v/>
      </c>
      <c r="N112" s="91" t="str">
        <f t="shared" si="95"/>
        <v/>
      </c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13">
      <c r="A113" s="60" t="s">
        <v>205</v>
      </c>
      <c r="B113" s="92" t="s">
        <v>206</v>
      </c>
      <c r="C113" s="91">
        <f t="shared" ref="C113:N113" si="96">C21</f>
        <v>2996</v>
      </c>
      <c r="D113" s="91">
        <f t="shared" si="96"/>
        <v>2804</v>
      </c>
      <c r="E113" s="91">
        <f t="shared" si="96"/>
        <v>2786</v>
      </c>
      <c r="F113" s="91">
        <f t="shared" si="96"/>
        <v>2877</v>
      </c>
      <c r="G113" s="91">
        <f t="shared" si="96"/>
        <v>2765</v>
      </c>
      <c r="H113" s="91">
        <f t="shared" si="96"/>
        <v>2833</v>
      </c>
      <c r="I113" s="91">
        <f t="shared" si="96"/>
        <v>2809</v>
      </c>
      <c r="J113" s="91">
        <f t="shared" si="96"/>
        <v>2797</v>
      </c>
      <c r="K113" s="91">
        <f t="shared" si="96"/>
        <v>2893</v>
      </c>
      <c r="L113" s="91" t="str">
        <f t="shared" si="96"/>
        <v/>
      </c>
      <c r="M113" s="91" t="str">
        <f t="shared" si="96"/>
        <v/>
      </c>
      <c r="N113" s="91" t="str">
        <f t="shared" si="96"/>
        <v/>
      </c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</row>
    <row r="114">
      <c r="A114" s="60" t="s">
        <v>207</v>
      </c>
      <c r="B114" s="92" t="s">
        <v>208</v>
      </c>
      <c r="C114" s="91">
        <f t="shared" ref="C114:N114" si="97">C21</f>
        <v>2996</v>
      </c>
      <c r="D114" s="91">
        <f t="shared" si="97"/>
        <v>2804</v>
      </c>
      <c r="E114" s="91">
        <f t="shared" si="97"/>
        <v>2786</v>
      </c>
      <c r="F114" s="91">
        <f t="shared" si="97"/>
        <v>2877</v>
      </c>
      <c r="G114" s="91">
        <f t="shared" si="97"/>
        <v>2765</v>
      </c>
      <c r="H114" s="91">
        <f t="shared" si="97"/>
        <v>2833</v>
      </c>
      <c r="I114" s="91">
        <f t="shared" si="97"/>
        <v>2809</v>
      </c>
      <c r="J114" s="91">
        <f t="shared" si="97"/>
        <v>2797</v>
      </c>
      <c r="K114" s="91">
        <f t="shared" si="97"/>
        <v>2893</v>
      </c>
      <c r="L114" s="91" t="str">
        <f t="shared" si="97"/>
        <v/>
      </c>
      <c r="M114" s="91" t="str">
        <f t="shared" si="97"/>
        <v/>
      </c>
      <c r="N114" s="91" t="str">
        <f t="shared" si="97"/>
        <v/>
      </c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</row>
    <row r="115">
      <c r="A115" s="60" t="s">
        <v>209</v>
      </c>
      <c r="B115" s="92" t="s">
        <v>210</v>
      </c>
      <c r="C115" s="91">
        <f t="shared" ref="C115:N115" si="98">C21</f>
        <v>2996</v>
      </c>
      <c r="D115" s="91">
        <f t="shared" si="98"/>
        <v>2804</v>
      </c>
      <c r="E115" s="91">
        <f t="shared" si="98"/>
        <v>2786</v>
      </c>
      <c r="F115" s="91">
        <f t="shared" si="98"/>
        <v>2877</v>
      </c>
      <c r="G115" s="91">
        <f t="shared" si="98"/>
        <v>2765</v>
      </c>
      <c r="H115" s="91">
        <f t="shared" si="98"/>
        <v>2833</v>
      </c>
      <c r="I115" s="91">
        <f t="shared" si="98"/>
        <v>2809</v>
      </c>
      <c r="J115" s="91">
        <f t="shared" si="98"/>
        <v>2797</v>
      </c>
      <c r="K115" s="91">
        <f t="shared" si="98"/>
        <v>2893</v>
      </c>
      <c r="L115" s="91" t="str">
        <f t="shared" si="98"/>
        <v/>
      </c>
      <c r="M115" s="91" t="str">
        <f t="shared" si="98"/>
        <v/>
      </c>
      <c r="N115" s="91" t="str">
        <f t="shared" si="98"/>
        <v/>
      </c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</row>
    <row r="116">
      <c r="A116" s="60" t="s">
        <v>211</v>
      </c>
      <c r="B116" s="93" t="s">
        <v>212</v>
      </c>
      <c r="C116" s="91">
        <f t="shared" ref="C116:N116" si="99">iferror(average(C115,C118),)</f>
        <v>2720.5</v>
      </c>
      <c r="D116" s="91">
        <f t="shared" si="99"/>
        <v>2584</v>
      </c>
      <c r="E116" s="91">
        <f t="shared" si="99"/>
        <v>2563.5</v>
      </c>
      <c r="F116" s="91">
        <f t="shared" si="99"/>
        <v>2638.5</v>
      </c>
      <c r="G116" s="91">
        <f t="shared" si="99"/>
        <v>2515</v>
      </c>
      <c r="H116" s="91">
        <f t="shared" si="99"/>
        <v>2542.5</v>
      </c>
      <c r="I116" s="91">
        <f t="shared" si="99"/>
        <v>2543.5</v>
      </c>
      <c r="J116" s="91">
        <f t="shared" si="99"/>
        <v>2578</v>
      </c>
      <c r="K116" s="91">
        <f t="shared" si="99"/>
        <v>2671</v>
      </c>
      <c r="L116" s="91" t="str">
        <f t="shared" si="99"/>
        <v/>
      </c>
      <c r="M116" s="91" t="str">
        <f t="shared" si="99"/>
        <v/>
      </c>
      <c r="N116" s="91" t="str">
        <f t="shared" si="99"/>
        <v/>
      </c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</row>
    <row r="117">
      <c r="A117" s="60" t="s">
        <v>213</v>
      </c>
      <c r="B117" s="93" t="s">
        <v>214</v>
      </c>
      <c r="C117" s="91">
        <f t="shared" ref="C117:N117" si="100">iferror(average(C116,C118),)</f>
        <v>2582.75</v>
      </c>
      <c r="D117" s="91">
        <f t="shared" si="100"/>
        <v>2474</v>
      </c>
      <c r="E117" s="91">
        <f t="shared" si="100"/>
        <v>2452.25</v>
      </c>
      <c r="F117" s="91">
        <f t="shared" si="100"/>
        <v>2519.25</v>
      </c>
      <c r="G117" s="91">
        <f t="shared" si="100"/>
        <v>2390</v>
      </c>
      <c r="H117" s="91">
        <f t="shared" si="100"/>
        <v>2397.25</v>
      </c>
      <c r="I117" s="91">
        <f t="shared" si="100"/>
        <v>2410.75</v>
      </c>
      <c r="J117" s="91">
        <f t="shared" si="100"/>
        <v>2468.5</v>
      </c>
      <c r="K117" s="91">
        <f t="shared" si="100"/>
        <v>2560</v>
      </c>
      <c r="L117" s="91" t="str">
        <f t="shared" si="100"/>
        <v/>
      </c>
      <c r="M117" s="91" t="str">
        <f t="shared" si="100"/>
        <v/>
      </c>
      <c r="N117" s="91" t="str">
        <f t="shared" si="100"/>
        <v/>
      </c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</row>
    <row r="118">
      <c r="A118" s="60" t="s">
        <v>215</v>
      </c>
      <c r="B118" s="92" t="s">
        <v>216</v>
      </c>
      <c r="C118" s="91">
        <f t="shared" ref="C118:N118" si="101">C22</f>
        <v>2445</v>
      </c>
      <c r="D118" s="91">
        <f t="shared" si="101"/>
        <v>2364</v>
      </c>
      <c r="E118" s="91">
        <f t="shared" si="101"/>
        <v>2341</v>
      </c>
      <c r="F118" s="91">
        <f t="shared" si="101"/>
        <v>2400</v>
      </c>
      <c r="G118" s="91">
        <f t="shared" si="101"/>
        <v>2265</v>
      </c>
      <c r="H118" s="91">
        <f t="shared" si="101"/>
        <v>2252</v>
      </c>
      <c r="I118" s="91">
        <f t="shared" si="101"/>
        <v>2278</v>
      </c>
      <c r="J118" s="91">
        <f t="shared" si="101"/>
        <v>2359</v>
      </c>
      <c r="K118" s="91">
        <f t="shared" si="101"/>
        <v>2449</v>
      </c>
      <c r="L118" s="91" t="str">
        <f t="shared" si="101"/>
        <v/>
      </c>
      <c r="M118" s="91" t="str">
        <f t="shared" si="101"/>
        <v/>
      </c>
      <c r="N118" s="91" t="str">
        <f t="shared" si="101"/>
        <v/>
      </c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>
      <c r="A119" s="60" t="s">
        <v>217</v>
      </c>
      <c r="B119" s="92" t="s">
        <v>218</v>
      </c>
      <c r="C119" s="91">
        <f t="shared" ref="C119:N119" si="102">C22</f>
        <v>2445</v>
      </c>
      <c r="D119" s="91">
        <f t="shared" si="102"/>
        <v>2364</v>
      </c>
      <c r="E119" s="91">
        <f t="shared" si="102"/>
        <v>2341</v>
      </c>
      <c r="F119" s="91">
        <f t="shared" si="102"/>
        <v>2400</v>
      </c>
      <c r="G119" s="91">
        <f t="shared" si="102"/>
        <v>2265</v>
      </c>
      <c r="H119" s="91">
        <f t="shared" si="102"/>
        <v>2252</v>
      </c>
      <c r="I119" s="91">
        <f t="shared" si="102"/>
        <v>2278</v>
      </c>
      <c r="J119" s="91">
        <f t="shared" si="102"/>
        <v>2359</v>
      </c>
      <c r="K119" s="91">
        <f t="shared" si="102"/>
        <v>2449</v>
      </c>
      <c r="L119" s="91" t="str">
        <f t="shared" si="102"/>
        <v/>
      </c>
      <c r="M119" s="91" t="str">
        <f t="shared" si="102"/>
        <v/>
      </c>
      <c r="N119" s="91" t="str">
        <f t="shared" si="102"/>
        <v/>
      </c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>
      <c r="A120" s="60" t="s">
        <v>219</v>
      </c>
      <c r="B120" s="92" t="s">
        <v>220</v>
      </c>
      <c r="C120" s="91">
        <f t="shared" ref="C120:N120" si="103">C22</f>
        <v>2445</v>
      </c>
      <c r="D120" s="91">
        <f t="shared" si="103"/>
        <v>2364</v>
      </c>
      <c r="E120" s="91">
        <f t="shared" si="103"/>
        <v>2341</v>
      </c>
      <c r="F120" s="91">
        <f t="shared" si="103"/>
        <v>2400</v>
      </c>
      <c r="G120" s="91">
        <f t="shared" si="103"/>
        <v>2265</v>
      </c>
      <c r="H120" s="91">
        <f t="shared" si="103"/>
        <v>2252</v>
      </c>
      <c r="I120" s="91">
        <f t="shared" si="103"/>
        <v>2278</v>
      </c>
      <c r="J120" s="91">
        <f t="shared" si="103"/>
        <v>2359</v>
      </c>
      <c r="K120" s="91">
        <f t="shared" si="103"/>
        <v>2449</v>
      </c>
      <c r="L120" s="91" t="str">
        <f t="shared" si="103"/>
        <v/>
      </c>
      <c r="M120" s="91" t="str">
        <f t="shared" si="103"/>
        <v/>
      </c>
      <c r="N120" s="91" t="str">
        <f t="shared" si="103"/>
        <v/>
      </c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</row>
    <row r="121">
      <c r="A121" s="60" t="s">
        <v>221</v>
      </c>
      <c r="B121" s="92" t="s">
        <v>222</v>
      </c>
      <c r="C121" s="91">
        <f t="shared" ref="C121:N121" si="104">C22</f>
        <v>2445</v>
      </c>
      <c r="D121" s="91">
        <f t="shared" si="104"/>
        <v>2364</v>
      </c>
      <c r="E121" s="91">
        <f t="shared" si="104"/>
        <v>2341</v>
      </c>
      <c r="F121" s="91">
        <f t="shared" si="104"/>
        <v>2400</v>
      </c>
      <c r="G121" s="91">
        <f t="shared" si="104"/>
        <v>2265</v>
      </c>
      <c r="H121" s="91">
        <f t="shared" si="104"/>
        <v>2252</v>
      </c>
      <c r="I121" s="91">
        <f t="shared" si="104"/>
        <v>2278</v>
      </c>
      <c r="J121" s="91">
        <f t="shared" si="104"/>
        <v>2359</v>
      </c>
      <c r="K121" s="91">
        <f t="shared" si="104"/>
        <v>2449</v>
      </c>
      <c r="L121" s="91" t="str">
        <f t="shared" si="104"/>
        <v/>
      </c>
      <c r="M121" s="91" t="str">
        <f t="shared" si="104"/>
        <v/>
      </c>
      <c r="N121" s="91" t="str">
        <f t="shared" si="104"/>
        <v/>
      </c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</row>
    <row r="122">
      <c r="A122" s="60" t="s">
        <v>223</v>
      </c>
      <c r="B122" s="92" t="s">
        <v>224</v>
      </c>
      <c r="C122" s="91">
        <f t="shared" ref="C122:N122" si="105">C23</f>
        <v>2289</v>
      </c>
      <c r="D122" s="91">
        <f t="shared" si="105"/>
        <v>2189</v>
      </c>
      <c r="E122" s="91">
        <f t="shared" si="105"/>
        <v>2166</v>
      </c>
      <c r="F122" s="91">
        <f t="shared" si="105"/>
        <v>2250</v>
      </c>
      <c r="G122" s="91">
        <f t="shared" si="105"/>
        <v>2116</v>
      </c>
      <c r="H122" s="91">
        <f t="shared" si="105"/>
        <v>2146</v>
      </c>
      <c r="I122" s="91">
        <f t="shared" si="105"/>
        <v>2160</v>
      </c>
      <c r="J122" s="91">
        <f t="shared" si="105"/>
        <v>2234</v>
      </c>
      <c r="K122" s="91">
        <f t="shared" si="105"/>
        <v>2318</v>
      </c>
      <c r="L122" s="91" t="str">
        <f t="shared" si="105"/>
        <v/>
      </c>
      <c r="M122" s="91" t="str">
        <f t="shared" si="105"/>
        <v/>
      </c>
      <c r="N122" s="91" t="str">
        <f t="shared" si="105"/>
        <v/>
      </c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</row>
    <row r="123">
      <c r="A123" s="60" t="s">
        <v>225</v>
      </c>
      <c r="B123" s="92" t="s">
        <v>226</v>
      </c>
      <c r="C123" s="91">
        <f t="shared" ref="C123:N123" si="106">C23</f>
        <v>2289</v>
      </c>
      <c r="D123" s="91">
        <f t="shared" si="106"/>
        <v>2189</v>
      </c>
      <c r="E123" s="91">
        <f t="shared" si="106"/>
        <v>2166</v>
      </c>
      <c r="F123" s="91">
        <f t="shared" si="106"/>
        <v>2250</v>
      </c>
      <c r="G123" s="91">
        <f t="shared" si="106"/>
        <v>2116</v>
      </c>
      <c r="H123" s="91">
        <f t="shared" si="106"/>
        <v>2146</v>
      </c>
      <c r="I123" s="91">
        <f t="shared" si="106"/>
        <v>2160</v>
      </c>
      <c r="J123" s="91">
        <f t="shared" si="106"/>
        <v>2234</v>
      </c>
      <c r="K123" s="91">
        <f t="shared" si="106"/>
        <v>2318</v>
      </c>
      <c r="L123" s="91" t="str">
        <f t="shared" si="106"/>
        <v/>
      </c>
      <c r="M123" s="91" t="str">
        <f t="shared" si="106"/>
        <v/>
      </c>
      <c r="N123" s="91" t="str">
        <f t="shared" si="106"/>
        <v/>
      </c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</row>
    <row r="124">
      <c r="A124" s="60" t="s">
        <v>227</v>
      </c>
      <c r="B124" s="92" t="s">
        <v>228</v>
      </c>
      <c r="C124" s="91">
        <f t="shared" ref="C124:N124" si="107">C23</f>
        <v>2289</v>
      </c>
      <c r="D124" s="91">
        <f t="shared" si="107"/>
        <v>2189</v>
      </c>
      <c r="E124" s="91">
        <f t="shared" si="107"/>
        <v>2166</v>
      </c>
      <c r="F124" s="91">
        <f t="shared" si="107"/>
        <v>2250</v>
      </c>
      <c r="G124" s="91">
        <f t="shared" si="107"/>
        <v>2116</v>
      </c>
      <c r="H124" s="91">
        <f t="shared" si="107"/>
        <v>2146</v>
      </c>
      <c r="I124" s="91">
        <f t="shared" si="107"/>
        <v>2160</v>
      </c>
      <c r="J124" s="91">
        <f t="shared" si="107"/>
        <v>2234</v>
      </c>
      <c r="K124" s="91">
        <f t="shared" si="107"/>
        <v>2318</v>
      </c>
      <c r="L124" s="91" t="str">
        <f t="shared" si="107"/>
        <v/>
      </c>
      <c r="M124" s="91" t="str">
        <f t="shared" si="107"/>
        <v/>
      </c>
      <c r="N124" s="91" t="str">
        <f t="shared" si="107"/>
        <v/>
      </c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>
      <c r="A125" s="60" t="s">
        <v>229</v>
      </c>
      <c r="B125" s="92" t="s">
        <v>230</v>
      </c>
      <c r="C125" s="91">
        <f t="shared" ref="C125:N125" si="108">C23</f>
        <v>2289</v>
      </c>
      <c r="D125" s="91">
        <f t="shared" si="108"/>
        <v>2189</v>
      </c>
      <c r="E125" s="91">
        <f t="shared" si="108"/>
        <v>2166</v>
      </c>
      <c r="F125" s="91">
        <f t="shared" si="108"/>
        <v>2250</v>
      </c>
      <c r="G125" s="91">
        <f t="shared" si="108"/>
        <v>2116</v>
      </c>
      <c r="H125" s="91">
        <f t="shared" si="108"/>
        <v>2146</v>
      </c>
      <c r="I125" s="91">
        <f t="shared" si="108"/>
        <v>2160</v>
      </c>
      <c r="J125" s="91">
        <f t="shared" si="108"/>
        <v>2234</v>
      </c>
      <c r="K125" s="91">
        <f t="shared" si="108"/>
        <v>2318</v>
      </c>
      <c r="L125" s="91" t="str">
        <f t="shared" si="108"/>
        <v/>
      </c>
      <c r="M125" s="91" t="str">
        <f t="shared" si="108"/>
        <v/>
      </c>
      <c r="N125" s="91" t="str">
        <f t="shared" si="108"/>
        <v/>
      </c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</row>
    <row r="126">
      <c r="A126" s="60" t="s">
        <v>231</v>
      </c>
      <c r="B126" s="92" t="s">
        <v>232</v>
      </c>
      <c r="C126" s="91">
        <f t="shared" ref="C126:N126" si="109">C24</f>
        <v>2158</v>
      </c>
      <c r="D126" s="91">
        <f t="shared" si="109"/>
        <v>2085</v>
      </c>
      <c r="E126" s="91">
        <f t="shared" si="109"/>
        <v>2112</v>
      </c>
      <c r="F126" s="91">
        <f t="shared" si="109"/>
        <v>2135</v>
      </c>
      <c r="G126" s="91">
        <f t="shared" si="109"/>
        <v>2023</v>
      </c>
      <c r="H126" s="91">
        <f t="shared" si="109"/>
        <v>2083</v>
      </c>
      <c r="I126" s="91">
        <f t="shared" si="109"/>
        <v>2124</v>
      </c>
      <c r="J126" s="91">
        <f t="shared" si="109"/>
        <v>2038</v>
      </c>
      <c r="K126" s="91">
        <f t="shared" si="109"/>
        <v>2133</v>
      </c>
      <c r="L126" s="91" t="str">
        <f t="shared" si="109"/>
        <v/>
      </c>
      <c r="M126" s="91" t="str">
        <f t="shared" si="109"/>
        <v/>
      </c>
      <c r="N126" s="91" t="str">
        <f t="shared" si="109"/>
        <v/>
      </c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</row>
    <row r="127">
      <c r="A127" s="60" t="s">
        <v>233</v>
      </c>
      <c r="B127" s="92" t="s">
        <v>234</v>
      </c>
      <c r="C127" s="91">
        <f t="shared" ref="C127:N127" si="110">C24</f>
        <v>2158</v>
      </c>
      <c r="D127" s="91">
        <f t="shared" si="110"/>
        <v>2085</v>
      </c>
      <c r="E127" s="91">
        <f t="shared" si="110"/>
        <v>2112</v>
      </c>
      <c r="F127" s="91">
        <f t="shared" si="110"/>
        <v>2135</v>
      </c>
      <c r="G127" s="91">
        <f t="shared" si="110"/>
        <v>2023</v>
      </c>
      <c r="H127" s="91">
        <f t="shared" si="110"/>
        <v>2083</v>
      </c>
      <c r="I127" s="91">
        <f t="shared" si="110"/>
        <v>2124</v>
      </c>
      <c r="J127" s="91">
        <f t="shared" si="110"/>
        <v>2038</v>
      </c>
      <c r="K127" s="91">
        <f t="shared" si="110"/>
        <v>2133</v>
      </c>
      <c r="L127" s="91" t="str">
        <f t="shared" si="110"/>
        <v/>
      </c>
      <c r="M127" s="91" t="str">
        <f t="shared" si="110"/>
        <v/>
      </c>
      <c r="N127" s="91" t="str">
        <f t="shared" si="110"/>
        <v/>
      </c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</row>
    <row r="128">
      <c r="A128" s="60" t="s">
        <v>235</v>
      </c>
      <c r="B128" s="92" t="s">
        <v>236</v>
      </c>
      <c r="C128" s="91">
        <f t="shared" ref="C128:N128" si="111">C24</f>
        <v>2158</v>
      </c>
      <c r="D128" s="91">
        <f t="shared" si="111"/>
        <v>2085</v>
      </c>
      <c r="E128" s="91">
        <f t="shared" si="111"/>
        <v>2112</v>
      </c>
      <c r="F128" s="91">
        <f t="shared" si="111"/>
        <v>2135</v>
      </c>
      <c r="G128" s="91">
        <f t="shared" si="111"/>
        <v>2023</v>
      </c>
      <c r="H128" s="91">
        <f t="shared" si="111"/>
        <v>2083</v>
      </c>
      <c r="I128" s="91">
        <f t="shared" si="111"/>
        <v>2124</v>
      </c>
      <c r="J128" s="91">
        <f t="shared" si="111"/>
        <v>2038</v>
      </c>
      <c r="K128" s="91">
        <f t="shared" si="111"/>
        <v>2133</v>
      </c>
      <c r="L128" s="91" t="str">
        <f t="shared" si="111"/>
        <v/>
      </c>
      <c r="M128" s="91" t="str">
        <f t="shared" si="111"/>
        <v/>
      </c>
      <c r="N128" s="91" t="str">
        <f t="shared" si="111"/>
        <v/>
      </c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</row>
    <row r="129">
      <c r="A129" s="60" t="s">
        <v>237</v>
      </c>
      <c r="B129" s="92" t="s">
        <v>238</v>
      </c>
      <c r="C129" s="91">
        <f t="shared" ref="C129:N129" si="112">C24</f>
        <v>2158</v>
      </c>
      <c r="D129" s="91">
        <f t="shared" si="112"/>
        <v>2085</v>
      </c>
      <c r="E129" s="91">
        <f t="shared" si="112"/>
        <v>2112</v>
      </c>
      <c r="F129" s="91">
        <f t="shared" si="112"/>
        <v>2135</v>
      </c>
      <c r="G129" s="91">
        <f t="shared" si="112"/>
        <v>2023</v>
      </c>
      <c r="H129" s="91">
        <f t="shared" si="112"/>
        <v>2083</v>
      </c>
      <c r="I129" s="91">
        <f t="shared" si="112"/>
        <v>2124</v>
      </c>
      <c r="J129" s="91">
        <f t="shared" si="112"/>
        <v>2038</v>
      </c>
      <c r="K129" s="91">
        <f t="shared" si="112"/>
        <v>2133</v>
      </c>
      <c r="L129" s="91" t="str">
        <f t="shared" si="112"/>
        <v/>
      </c>
      <c r="M129" s="91" t="str">
        <f t="shared" si="112"/>
        <v/>
      </c>
      <c r="N129" s="91" t="str">
        <f t="shared" si="112"/>
        <v/>
      </c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</row>
    <row r="130">
      <c r="A130" s="60" t="s">
        <v>239</v>
      </c>
      <c r="B130" s="93" t="s">
        <v>240</v>
      </c>
      <c r="C130" s="91">
        <f t="shared" ref="C130:N130" si="113">iferror(average(C129,C132),)</f>
        <v>2019</v>
      </c>
      <c r="D130" s="91">
        <f t="shared" si="113"/>
        <v>1927.5</v>
      </c>
      <c r="E130" s="91">
        <f t="shared" si="113"/>
        <v>1932.5</v>
      </c>
      <c r="F130" s="91">
        <f t="shared" si="113"/>
        <v>1981.5</v>
      </c>
      <c r="G130" s="91">
        <f t="shared" si="113"/>
        <v>1871.5</v>
      </c>
      <c r="H130" s="91">
        <f t="shared" si="113"/>
        <v>1894</v>
      </c>
      <c r="I130" s="91">
        <f t="shared" si="113"/>
        <v>1918</v>
      </c>
      <c r="J130" s="91">
        <f t="shared" si="113"/>
        <v>1899.5</v>
      </c>
      <c r="K130" s="91">
        <f t="shared" si="113"/>
        <v>1940</v>
      </c>
      <c r="L130" s="91" t="str">
        <f t="shared" si="113"/>
        <v/>
      </c>
      <c r="M130" s="91" t="str">
        <f t="shared" si="113"/>
        <v/>
      </c>
      <c r="N130" s="91" t="str">
        <f t="shared" si="113"/>
        <v/>
      </c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>
      <c r="A131" s="60" t="s">
        <v>241</v>
      </c>
      <c r="B131" s="93" t="s">
        <v>242</v>
      </c>
      <c r="C131" s="91">
        <f t="shared" ref="C131:N131" si="114">iferror(average(C130,C132),)</f>
        <v>1949.5</v>
      </c>
      <c r="D131" s="91">
        <f t="shared" si="114"/>
        <v>1848.75</v>
      </c>
      <c r="E131" s="91">
        <f t="shared" si="114"/>
        <v>1842.75</v>
      </c>
      <c r="F131" s="91">
        <f t="shared" si="114"/>
        <v>1904.75</v>
      </c>
      <c r="G131" s="91">
        <f t="shared" si="114"/>
        <v>1795.75</v>
      </c>
      <c r="H131" s="91">
        <f t="shared" si="114"/>
        <v>1799.5</v>
      </c>
      <c r="I131" s="91">
        <f t="shared" si="114"/>
        <v>1815</v>
      </c>
      <c r="J131" s="91">
        <f t="shared" si="114"/>
        <v>1830.25</v>
      </c>
      <c r="K131" s="91">
        <f t="shared" si="114"/>
        <v>1843.5</v>
      </c>
      <c r="L131" s="91" t="str">
        <f t="shared" si="114"/>
        <v/>
      </c>
      <c r="M131" s="91" t="str">
        <f t="shared" si="114"/>
        <v/>
      </c>
      <c r="N131" s="91" t="str">
        <f t="shared" si="114"/>
        <v/>
      </c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</row>
    <row r="132">
      <c r="A132" s="60" t="s">
        <v>243</v>
      </c>
      <c r="B132" s="92" t="s">
        <v>244</v>
      </c>
      <c r="C132" s="91">
        <f t="shared" ref="C132:N132" si="115">C25</f>
        <v>1880</v>
      </c>
      <c r="D132" s="91">
        <f t="shared" si="115"/>
        <v>1770</v>
      </c>
      <c r="E132" s="91">
        <f t="shared" si="115"/>
        <v>1753</v>
      </c>
      <c r="F132" s="91">
        <f t="shared" si="115"/>
        <v>1828</v>
      </c>
      <c r="G132" s="91">
        <f t="shared" si="115"/>
        <v>1720</v>
      </c>
      <c r="H132" s="91">
        <f t="shared" si="115"/>
        <v>1705</v>
      </c>
      <c r="I132" s="91">
        <f t="shared" si="115"/>
        <v>1712</v>
      </c>
      <c r="J132" s="91">
        <f t="shared" si="115"/>
        <v>1761</v>
      </c>
      <c r="K132" s="91">
        <f t="shared" si="115"/>
        <v>1747</v>
      </c>
      <c r="L132" s="91" t="str">
        <f t="shared" si="115"/>
        <v/>
      </c>
      <c r="M132" s="91" t="str">
        <f t="shared" si="115"/>
        <v/>
      </c>
      <c r="N132" s="91" t="str">
        <f t="shared" si="115"/>
        <v/>
      </c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</row>
    <row r="133">
      <c r="A133" s="60" t="s">
        <v>245</v>
      </c>
      <c r="B133" s="92" t="s">
        <v>246</v>
      </c>
      <c r="C133" s="91">
        <f t="shared" ref="C133:N133" si="116">C25</f>
        <v>1880</v>
      </c>
      <c r="D133" s="91">
        <f t="shared" si="116"/>
        <v>1770</v>
      </c>
      <c r="E133" s="91">
        <f t="shared" si="116"/>
        <v>1753</v>
      </c>
      <c r="F133" s="91">
        <f t="shared" si="116"/>
        <v>1828</v>
      </c>
      <c r="G133" s="91">
        <f t="shared" si="116"/>
        <v>1720</v>
      </c>
      <c r="H133" s="91">
        <f t="shared" si="116"/>
        <v>1705</v>
      </c>
      <c r="I133" s="91">
        <f t="shared" si="116"/>
        <v>1712</v>
      </c>
      <c r="J133" s="91">
        <f t="shared" si="116"/>
        <v>1761</v>
      </c>
      <c r="K133" s="91">
        <f t="shared" si="116"/>
        <v>1747</v>
      </c>
      <c r="L133" s="91" t="str">
        <f t="shared" si="116"/>
        <v/>
      </c>
      <c r="M133" s="91" t="str">
        <f t="shared" si="116"/>
        <v/>
      </c>
      <c r="N133" s="91" t="str">
        <f t="shared" si="116"/>
        <v/>
      </c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</row>
    <row r="134">
      <c r="A134" s="60" t="s">
        <v>247</v>
      </c>
      <c r="B134" s="92" t="s">
        <v>248</v>
      </c>
      <c r="C134" s="91">
        <f t="shared" ref="C134:N134" si="117">C25</f>
        <v>1880</v>
      </c>
      <c r="D134" s="91">
        <f t="shared" si="117"/>
        <v>1770</v>
      </c>
      <c r="E134" s="91">
        <f t="shared" si="117"/>
        <v>1753</v>
      </c>
      <c r="F134" s="91">
        <f t="shared" si="117"/>
        <v>1828</v>
      </c>
      <c r="G134" s="91">
        <f t="shared" si="117"/>
        <v>1720</v>
      </c>
      <c r="H134" s="91">
        <f t="shared" si="117"/>
        <v>1705</v>
      </c>
      <c r="I134" s="91">
        <f t="shared" si="117"/>
        <v>1712</v>
      </c>
      <c r="J134" s="91">
        <f t="shared" si="117"/>
        <v>1761</v>
      </c>
      <c r="K134" s="91">
        <f t="shared" si="117"/>
        <v>1747</v>
      </c>
      <c r="L134" s="91" t="str">
        <f t="shared" si="117"/>
        <v/>
      </c>
      <c r="M134" s="91" t="str">
        <f t="shared" si="117"/>
        <v/>
      </c>
      <c r="N134" s="91" t="str">
        <f t="shared" si="117"/>
        <v/>
      </c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</row>
    <row r="135">
      <c r="A135" s="60" t="s">
        <v>249</v>
      </c>
      <c r="B135" s="92" t="s">
        <v>250</v>
      </c>
      <c r="C135" s="91">
        <f t="shared" ref="C135:N135" si="118">C25</f>
        <v>1880</v>
      </c>
      <c r="D135" s="91">
        <f t="shared" si="118"/>
        <v>1770</v>
      </c>
      <c r="E135" s="91">
        <f t="shared" si="118"/>
        <v>1753</v>
      </c>
      <c r="F135" s="91">
        <f t="shared" si="118"/>
        <v>1828</v>
      </c>
      <c r="G135" s="91">
        <f t="shared" si="118"/>
        <v>1720</v>
      </c>
      <c r="H135" s="91">
        <f t="shared" si="118"/>
        <v>1705</v>
      </c>
      <c r="I135" s="91">
        <f t="shared" si="118"/>
        <v>1712</v>
      </c>
      <c r="J135" s="91">
        <f t="shared" si="118"/>
        <v>1761</v>
      </c>
      <c r="K135" s="91">
        <f t="shared" si="118"/>
        <v>1747</v>
      </c>
      <c r="L135" s="91" t="str">
        <f t="shared" si="118"/>
        <v/>
      </c>
      <c r="M135" s="91" t="str">
        <f t="shared" si="118"/>
        <v/>
      </c>
      <c r="N135" s="91" t="str">
        <f t="shared" si="118"/>
        <v/>
      </c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</row>
    <row r="136">
      <c r="A136" s="60" t="s">
        <v>255</v>
      </c>
      <c r="B136" s="92" t="s">
        <v>256</v>
      </c>
      <c r="C136" s="91">
        <f t="shared" ref="C136:N136" si="119">C26</f>
        <v>1705</v>
      </c>
      <c r="D136" s="91">
        <f t="shared" si="119"/>
        <v>1616</v>
      </c>
      <c r="E136" s="91">
        <f t="shared" si="119"/>
        <v>1641</v>
      </c>
      <c r="F136" s="91">
        <f t="shared" si="119"/>
        <v>1649</v>
      </c>
      <c r="G136" s="91">
        <f t="shared" si="119"/>
        <v>1600</v>
      </c>
      <c r="H136" s="91">
        <f t="shared" si="119"/>
        <v>1600</v>
      </c>
      <c r="I136" s="91">
        <f t="shared" si="119"/>
        <v>1625</v>
      </c>
      <c r="J136" s="91">
        <f t="shared" si="119"/>
        <v>1593</v>
      </c>
      <c r="K136" s="91">
        <f t="shared" si="119"/>
        <v>1699</v>
      </c>
      <c r="L136" s="91" t="str">
        <f t="shared" si="119"/>
        <v/>
      </c>
      <c r="M136" s="91" t="str">
        <f t="shared" si="119"/>
        <v/>
      </c>
      <c r="N136" s="91" t="str">
        <f t="shared" si="119"/>
        <v/>
      </c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</row>
    <row r="137">
      <c r="A137" s="60" t="s">
        <v>257</v>
      </c>
      <c r="B137" s="92" t="s">
        <v>258</v>
      </c>
      <c r="C137" s="91">
        <f t="shared" ref="C137:N137" si="120">C26</f>
        <v>1705</v>
      </c>
      <c r="D137" s="91">
        <f t="shared" si="120"/>
        <v>1616</v>
      </c>
      <c r="E137" s="91">
        <f t="shared" si="120"/>
        <v>1641</v>
      </c>
      <c r="F137" s="91">
        <f t="shared" si="120"/>
        <v>1649</v>
      </c>
      <c r="G137" s="91">
        <f t="shared" si="120"/>
        <v>1600</v>
      </c>
      <c r="H137" s="91">
        <f t="shared" si="120"/>
        <v>1600</v>
      </c>
      <c r="I137" s="91">
        <f t="shared" si="120"/>
        <v>1625</v>
      </c>
      <c r="J137" s="91">
        <f t="shared" si="120"/>
        <v>1593</v>
      </c>
      <c r="K137" s="91">
        <f t="shared" si="120"/>
        <v>1699</v>
      </c>
      <c r="L137" s="91" t="str">
        <f t="shared" si="120"/>
        <v/>
      </c>
      <c r="M137" s="91" t="str">
        <f t="shared" si="120"/>
        <v/>
      </c>
      <c r="N137" s="91" t="str">
        <f t="shared" si="120"/>
        <v/>
      </c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</row>
    <row r="138">
      <c r="A138" s="60" t="s">
        <v>259</v>
      </c>
      <c r="B138" s="92" t="s">
        <v>260</v>
      </c>
      <c r="C138" s="91">
        <f t="shared" ref="C138:N138" si="121">C26</f>
        <v>1705</v>
      </c>
      <c r="D138" s="91">
        <f t="shared" si="121"/>
        <v>1616</v>
      </c>
      <c r="E138" s="91">
        <f t="shared" si="121"/>
        <v>1641</v>
      </c>
      <c r="F138" s="91">
        <f t="shared" si="121"/>
        <v>1649</v>
      </c>
      <c r="G138" s="91">
        <f t="shared" si="121"/>
        <v>1600</v>
      </c>
      <c r="H138" s="91">
        <f t="shared" si="121"/>
        <v>1600</v>
      </c>
      <c r="I138" s="91">
        <f t="shared" si="121"/>
        <v>1625</v>
      </c>
      <c r="J138" s="91">
        <f t="shared" si="121"/>
        <v>1593</v>
      </c>
      <c r="K138" s="91">
        <f t="shared" si="121"/>
        <v>1699</v>
      </c>
      <c r="L138" s="91" t="str">
        <f t="shared" si="121"/>
        <v/>
      </c>
      <c r="M138" s="91" t="str">
        <f t="shared" si="121"/>
        <v/>
      </c>
      <c r="N138" s="91" t="str">
        <f t="shared" si="121"/>
        <v/>
      </c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</row>
    <row r="139">
      <c r="A139" s="60" t="s">
        <v>261</v>
      </c>
      <c r="B139" s="92" t="s">
        <v>262</v>
      </c>
      <c r="C139" s="91">
        <f t="shared" ref="C139:N139" si="122">C26</f>
        <v>1705</v>
      </c>
      <c r="D139" s="91">
        <f t="shared" si="122"/>
        <v>1616</v>
      </c>
      <c r="E139" s="91">
        <f t="shared" si="122"/>
        <v>1641</v>
      </c>
      <c r="F139" s="91">
        <f t="shared" si="122"/>
        <v>1649</v>
      </c>
      <c r="G139" s="91">
        <f t="shared" si="122"/>
        <v>1600</v>
      </c>
      <c r="H139" s="91">
        <f t="shared" si="122"/>
        <v>1600</v>
      </c>
      <c r="I139" s="91">
        <f t="shared" si="122"/>
        <v>1625</v>
      </c>
      <c r="J139" s="91">
        <f t="shared" si="122"/>
        <v>1593</v>
      </c>
      <c r="K139" s="91">
        <f t="shared" si="122"/>
        <v>1699</v>
      </c>
      <c r="L139" s="91" t="str">
        <f t="shared" si="122"/>
        <v/>
      </c>
      <c r="M139" s="91" t="str">
        <f t="shared" si="122"/>
        <v/>
      </c>
      <c r="N139" s="91" t="str">
        <f t="shared" si="122"/>
        <v/>
      </c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</row>
    <row r="140">
      <c r="A140" s="60" t="s">
        <v>263</v>
      </c>
      <c r="B140" s="92" t="s">
        <v>264</v>
      </c>
      <c r="C140" s="91">
        <f t="shared" ref="C140:N140" si="123">C27</f>
        <v>1595</v>
      </c>
      <c r="D140" s="91">
        <f t="shared" si="123"/>
        <v>1558</v>
      </c>
      <c r="E140" s="91">
        <f t="shared" si="123"/>
        <v>1515</v>
      </c>
      <c r="F140" s="91">
        <f t="shared" si="123"/>
        <v>1527</v>
      </c>
      <c r="G140" s="91">
        <f t="shared" si="123"/>
        <v>1518</v>
      </c>
      <c r="H140" s="91">
        <f t="shared" si="123"/>
        <v>1509</v>
      </c>
      <c r="I140" s="91">
        <f t="shared" si="123"/>
        <v>1560</v>
      </c>
      <c r="J140" s="91">
        <f t="shared" si="123"/>
        <v>1533</v>
      </c>
      <c r="K140" s="91">
        <f t="shared" si="123"/>
        <v>1514</v>
      </c>
      <c r="L140" s="91" t="str">
        <f t="shared" si="123"/>
        <v/>
      </c>
      <c r="M140" s="91" t="str">
        <f t="shared" si="123"/>
        <v/>
      </c>
      <c r="N140" s="91" t="str">
        <f t="shared" si="123"/>
        <v/>
      </c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</row>
    <row r="141">
      <c r="A141" s="60" t="s">
        <v>265</v>
      </c>
      <c r="B141" s="92" t="s">
        <v>266</v>
      </c>
      <c r="C141" s="91">
        <f t="shared" ref="C141:N141" si="124">C27</f>
        <v>1595</v>
      </c>
      <c r="D141" s="91">
        <f t="shared" si="124"/>
        <v>1558</v>
      </c>
      <c r="E141" s="91">
        <f t="shared" si="124"/>
        <v>1515</v>
      </c>
      <c r="F141" s="91">
        <f t="shared" si="124"/>
        <v>1527</v>
      </c>
      <c r="G141" s="91">
        <f t="shared" si="124"/>
        <v>1518</v>
      </c>
      <c r="H141" s="91">
        <f t="shared" si="124"/>
        <v>1509</v>
      </c>
      <c r="I141" s="91">
        <f t="shared" si="124"/>
        <v>1560</v>
      </c>
      <c r="J141" s="91">
        <f t="shared" si="124"/>
        <v>1533</v>
      </c>
      <c r="K141" s="91">
        <f t="shared" si="124"/>
        <v>1514</v>
      </c>
      <c r="L141" s="91" t="str">
        <f t="shared" si="124"/>
        <v/>
      </c>
      <c r="M141" s="91" t="str">
        <f t="shared" si="124"/>
        <v/>
      </c>
      <c r="N141" s="91" t="str">
        <f t="shared" si="124"/>
        <v/>
      </c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</row>
    <row r="142">
      <c r="A142" s="60" t="s">
        <v>267</v>
      </c>
      <c r="B142" s="92" t="s">
        <v>268</v>
      </c>
      <c r="C142" s="91">
        <f t="shared" ref="C142:N142" si="125">C27</f>
        <v>1595</v>
      </c>
      <c r="D142" s="91">
        <f t="shared" si="125"/>
        <v>1558</v>
      </c>
      <c r="E142" s="91">
        <f t="shared" si="125"/>
        <v>1515</v>
      </c>
      <c r="F142" s="91">
        <f t="shared" si="125"/>
        <v>1527</v>
      </c>
      <c r="G142" s="91">
        <f t="shared" si="125"/>
        <v>1518</v>
      </c>
      <c r="H142" s="91">
        <f t="shared" si="125"/>
        <v>1509</v>
      </c>
      <c r="I142" s="91">
        <f t="shared" si="125"/>
        <v>1560</v>
      </c>
      <c r="J142" s="91">
        <f t="shared" si="125"/>
        <v>1533</v>
      </c>
      <c r="K142" s="91">
        <f t="shared" si="125"/>
        <v>1514</v>
      </c>
      <c r="L142" s="91" t="str">
        <f t="shared" si="125"/>
        <v/>
      </c>
      <c r="M142" s="91" t="str">
        <f t="shared" si="125"/>
        <v/>
      </c>
      <c r="N142" s="91" t="str">
        <f t="shared" si="125"/>
        <v/>
      </c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</row>
    <row r="143">
      <c r="A143" s="60" t="s">
        <v>269</v>
      </c>
      <c r="B143" s="92" t="s">
        <v>270</v>
      </c>
      <c r="C143" s="91">
        <f t="shared" ref="C143:N143" si="126">C27</f>
        <v>1595</v>
      </c>
      <c r="D143" s="91">
        <f t="shared" si="126"/>
        <v>1558</v>
      </c>
      <c r="E143" s="91">
        <f t="shared" si="126"/>
        <v>1515</v>
      </c>
      <c r="F143" s="91">
        <f t="shared" si="126"/>
        <v>1527</v>
      </c>
      <c r="G143" s="91">
        <f t="shared" si="126"/>
        <v>1518</v>
      </c>
      <c r="H143" s="91">
        <f t="shared" si="126"/>
        <v>1509</v>
      </c>
      <c r="I143" s="91">
        <f t="shared" si="126"/>
        <v>1560</v>
      </c>
      <c r="J143" s="91">
        <f t="shared" si="126"/>
        <v>1533</v>
      </c>
      <c r="K143" s="91">
        <f t="shared" si="126"/>
        <v>1514</v>
      </c>
      <c r="L143" s="91" t="str">
        <f t="shared" si="126"/>
        <v/>
      </c>
      <c r="M143" s="91" t="str">
        <f t="shared" si="126"/>
        <v/>
      </c>
      <c r="N143" s="91" t="str">
        <f t="shared" si="126"/>
        <v/>
      </c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</row>
    <row r="144">
      <c r="A144" s="60" t="s">
        <v>271</v>
      </c>
      <c r="B144" s="93" t="s">
        <v>272</v>
      </c>
      <c r="C144" s="91">
        <f t="shared" ref="C144:N144" si="127">iferror(average(C143,C146),)</f>
        <v>1446.377926</v>
      </c>
      <c r="D144" s="91">
        <f t="shared" si="127"/>
        <v>1392.717385</v>
      </c>
      <c r="E144" s="91">
        <f t="shared" si="127"/>
        <v>1364.295614</v>
      </c>
      <c r="F144" s="91">
        <f t="shared" si="127"/>
        <v>1378.582682</v>
      </c>
      <c r="G144" s="91">
        <f t="shared" si="127"/>
        <v>1368.156881</v>
      </c>
      <c r="H144" s="91">
        <f t="shared" si="127"/>
        <v>1350.462454</v>
      </c>
      <c r="I144" s="91">
        <f t="shared" si="127"/>
        <v>1389.077746</v>
      </c>
      <c r="J144" s="91">
        <f t="shared" si="127"/>
        <v>1366.780727</v>
      </c>
      <c r="K144" s="91">
        <f t="shared" si="127"/>
        <v>1351.241546</v>
      </c>
      <c r="L144" s="91" t="str">
        <f t="shared" si="127"/>
        <v/>
      </c>
      <c r="M144" s="91" t="str">
        <f t="shared" si="127"/>
        <v/>
      </c>
      <c r="N144" s="91" t="str">
        <f t="shared" si="127"/>
        <v/>
      </c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</row>
    <row r="145">
      <c r="A145" s="60" t="s">
        <v>273</v>
      </c>
      <c r="B145" s="93" t="s">
        <v>274</v>
      </c>
      <c r="C145" s="91">
        <f t="shared" ref="C145:N145" si="128">iferror(average(C144,C146),)</f>
        <v>1372.066889</v>
      </c>
      <c r="D145" s="91">
        <f t="shared" si="128"/>
        <v>1310.076077</v>
      </c>
      <c r="E145" s="91">
        <f t="shared" si="128"/>
        <v>1288.94342</v>
      </c>
      <c r="F145" s="91">
        <f t="shared" si="128"/>
        <v>1304.374024</v>
      </c>
      <c r="G145" s="91">
        <f t="shared" si="128"/>
        <v>1293.235322</v>
      </c>
      <c r="H145" s="91">
        <f t="shared" si="128"/>
        <v>1271.193682</v>
      </c>
      <c r="I145" s="91">
        <f t="shared" si="128"/>
        <v>1303.616618</v>
      </c>
      <c r="J145" s="91">
        <f t="shared" si="128"/>
        <v>1283.67109</v>
      </c>
      <c r="K145" s="91">
        <f t="shared" si="128"/>
        <v>1269.862319</v>
      </c>
      <c r="L145" s="91" t="str">
        <f t="shared" si="128"/>
        <v/>
      </c>
      <c r="M145" s="91" t="str">
        <f t="shared" si="128"/>
        <v/>
      </c>
      <c r="N145" s="91" t="str">
        <f t="shared" si="128"/>
        <v/>
      </c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</row>
    <row r="146">
      <c r="A146" s="60" t="s">
        <v>275</v>
      </c>
      <c r="B146" s="92" t="s">
        <v>276</v>
      </c>
      <c r="C146" s="91">
        <f t="shared" ref="C146:N146" si="129">C69</f>
        <v>1297.755852</v>
      </c>
      <c r="D146" s="91">
        <f t="shared" si="129"/>
        <v>1227.43477</v>
      </c>
      <c r="E146" s="91">
        <f t="shared" si="129"/>
        <v>1213.591227</v>
      </c>
      <c r="F146" s="91">
        <f t="shared" si="129"/>
        <v>1230.165365</v>
      </c>
      <c r="G146" s="91">
        <f t="shared" si="129"/>
        <v>1218.313762</v>
      </c>
      <c r="H146" s="91">
        <f t="shared" si="129"/>
        <v>1191.924909</v>
      </c>
      <c r="I146" s="91">
        <f t="shared" si="129"/>
        <v>1218.155491</v>
      </c>
      <c r="J146" s="91">
        <f t="shared" si="129"/>
        <v>1200.561454</v>
      </c>
      <c r="K146" s="91">
        <f t="shared" si="129"/>
        <v>1188.483092</v>
      </c>
      <c r="L146" s="91" t="str">
        <f t="shared" si="129"/>
        <v/>
      </c>
      <c r="M146" s="91" t="str">
        <f t="shared" si="129"/>
        <v/>
      </c>
      <c r="N146" s="91" t="str">
        <f t="shared" si="129"/>
        <v/>
      </c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</row>
    <row r="147">
      <c r="A147" s="60" t="s">
        <v>279</v>
      </c>
      <c r="B147" s="92" t="s">
        <v>280</v>
      </c>
      <c r="C147" s="91">
        <f t="shared" ref="C147:N147" si="130">C69</f>
        <v>1297.755852</v>
      </c>
      <c r="D147" s="91">
        <f t="shared" si="130"/>
        <v>1227.43477</v>
      </c>
      <c r="E147" s="91">
        <f t="shared" si="130"/>
        <v>1213.591227</v>
      </c>
      <c r="F147" s="91">
        <f t="shared" si="130"/>
        <v>1230.165365</v>
      </c>
      <c r="G147" s="91">
        <f t="shared" si="130"/>
        <v>1218.313762</v>
      </c>
      <c r="H147" s="91">
        <f t="shared" si="130"/>
        <v>1191.924909</v>
      </c>
      <c r="I147" s="91">
        <f t="shared" si="130"/>
        <v>1218.155491</v>
      </c>
      <c r="J147" s="91">
        <f t="shared" si="130"/>
        <v>1200.561454</v>
      </c>
      <c r="K147" s="91">
        <f t="shared" si="130"/>
        <v>1188.483092</v>
      </c>
      <c r="L147" s="91" t="str">
        <f t="shared" si="130"/>
        <v/>
      </c>
      <c r="M147" s="91" t="str">
        <f t="shared" si="130"/>
        <v/>
      </c>
      <c r="N147" s="91" t="str">
        <f t="shared" si="130"/>
        <v/>
      </c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</row>
    <row r="148">
      <c r="A148" s="60" t="s">
        <v>284</v>
      </c>
      <c r="B148" s="92" t="s">
        <v>285</v>
      </c>
      <c r="C148" s="91">
        <f t="shared" ref="C148:N148" si="131">C69</f>
        <v>1297.755852</v>
      </c>
      <c r="D148" s="91">
        <f t="shared" si="131"/>
        <v>1227.43477</v>
      </c>
      <c r="E148" s="91">
        <f t="shared" si="131"/>
        <v>1213.591227</v>
      </c>
      <c r="F148" s="91">
        <f t="shared" si="131"/>
        <v>1230.165365</v>
      </c>
      <c r="G148" s="91">
        <f t="shared" si="131"/>
        <v>1218.313762</v>
      </c>
      <c r="H148" s="91">
        <f t="shared" si="131"/>
        <v>1191.924909</v>
      </c>
      <c r="I148" s="91">
        <f t="shared" si="131"/>
        <v>1218.155491</v>
      </c>
      <c r="J148" s="91">
        <f t="shared" si="131"/>
        <v>1200.561454</v>
      </c>
      <c r="K148" s="91">
        <f t="shared" si="131"/>
        <v>1188.483092</v>
      </c>
      <c r="L148" s="91" t="str">
        <f t="shared" si="131"/>
        <v/>
      </c>
      <c r="M148" s="91" t="str">
        <f t="shared" si="131"/>
        <v/>
      </c>
      <c r="N148" s="91" t="str">
        <f t="shared" si="131"/>
        <v/>
      </c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</row>
    <row r="149">
      <c r="A149" s="60" t="s">
        <v>288</v>
      </c>
      <c r="B149" s="92" t="s">
        <v>289</v>
      </c>
      <c r="C149" s="91">
        <f t="shared" ref="C149:N149" si="132">C69</f>
        <v>1297.755852</v>
      </c>
      <c r="D149" s="91">
        <f t="shared" si="132"/>
        <v>1227.43477</v>
      </c>
      <c r="E149" s="91">
        <f t="shared" si="132"/>
        <v>1213.591227</v>
      </c>
      <c r="F149" s="91">
        <f t="shared" si="132"/>
        <v>1230.165365</v>
      </c>
      <c r="G149" s="91">
        <f t="shared" si="132"/>
        <v>1218.313762</v>
      </c>
      <c r="H149" s="91">
        <f t="shared" si="132"/>
        <v>1191.924909</v>
      </c>
      <c r="I149" s="91">
        <f t="shared" si="132"/>
        <v>1218.155491</v>
      </c>
      <c r="J149" s="91">
        <f t="shared" si="132"/>
        <v>1200.561454</v>
      </c>
      <c r="K149" s="91">
        <f t="shared" si="132"/>
        <v>1188.483092</v>
      </c>
      <c r="L149" s="91" t="str">
        <f t="shared" si="132"/>
        <v/>
      </c>
      <c r="M149" s="91" t="str">
        <f t="shared" si="132"/>
        <v/>
      </c>
      <c r="N149" s="91" t="str">
        <f t="shared" si="132"/>
        <v/>
      </c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</row>
    <row r="150">
      <c r="A150" s="60" t="s">
        <v>292</v>
      </c>
      <c r="B150" s="92" t="s">
        <v>293</v>
      </c>
      <c r="C150" s="91">
        <f t="shared" ref="C150:N150" si="133">C69</f>
        <v>1297.755852</v>
      </c>
      <c r="D150" s="91">
        <f t="shared" si="133"/>
        <v>1227.43477</v>
      </c>
      <c r="E150" s="91">
        <f t="shared" si="133"/>
        <v>1213.591227</v>
      </c>
      <c r="F150" s="91">
        <f t="shared" si="133"/>
        <v>1230.165365</v>
      </c>
      <c r="G150" s="91">
        <f t="shared" si="133"/>
        <v>1218.313762</v>
      </c>
      <c r="H150" s="91">
        <f t="shared" si="133"/>
        <v>1191.924909</v>
      </c>
      <c r="I150" s="91">
        <f t="shared" si="133"/>
        <v>1218.155491</v>
      </c>
      <c r="J150" s="91">
        <f t="shared" si="133"/>
        <v>1200.561454</v>
      </c>
      <c r="K150" s="91">
        <f t="shared" si="133"/>
        <v>1188.483092</v>
      </c>
      <c r="L150" s="91" t="str">
        <f t="shared" si="133"/>
        <v/>
      </c>
      <c r="M150" s="91" t="str">
        <f t="shared" si="133"/>
        <v/>
      </c>
      <c r="N150" s="91" t="str">
        <f t="shared" si="133"/>
        <v/>
      </c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</row>
    <row r="151">
      <c r="A151" s="60" t="s">
        <v>295</v>
      </c>
      <c r="B151" s="92" t="s">
        <v>296</v>
      </c>
      <c r="C151" s="91">
        <f t="shared" ref="C151:N151" si="134">C69</f>
        <v>1297.755852</v>
      </c>
      <c r="D151" s="91">
        <f t="shared" si="134"/>
        <v>1227.43477</v>
      </c>
      <c r="E151" s="91">
        <f t="shared" si="134"/>
        <v>1213.591227</v>
      </c>
      <c r="F151" s="91">
        <f t="shared" si="134"/>
        <v>1230.165365</v>
      </c>
      <c r="G151" s="91">
        <f t="shared" si="134"/>
        <v>1218.313762</v>
      </c>
      <c r="H151" s="91">
        <f t="shared" si="134"/>
        <v>1191.924909</v>
      </c>
      <c r="I151" s="91">
        <f t="shared" si="134"/>
        <v>1218.155491</v>
      </c>
      <c r="J151" s="91">
        <f t="shared" si="134"/>
        <v>1200.561454</v>
      </c>
      <c r="K151" s="91">
        <f t="shared" si="134"/>
        <v>1188.483092</v>
      </c>
      <c r="L151" s="91" t="str">
        <f t="shared" si="134"/>
        <v/>
      </c>
      <c r="M151" s="91" t="str">
        <f t="shared" si="134"/>
        <v/>
      </c>
      <c r="N151" s="91" t="str">
        <f t="shared" si="134"/>
        <v/>
      </c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</row>
    <row r="152">
      <c r="A152" s="60" t="s">
        <v>300</v>
      </c>
      <c r="B152" s="92" t="s">
        <v>301</v>
      </c>
      <c r="C152" s="91">
        <f t="shared" ref="C152:N152" si="135">C69</f>
        <v>1297.755852</v>
      </c>
      <c r="D152" s="91">
        <f t="shared" si="135"/>
        <v>1227.43477</v>
      </c>
      <c r="E152" s="91">
        <f t="shared" si="135"/>
        <v>1213.591227</v>
      </c>
      <c r="F152" s="91">
        <f t="shared" si="135"/>
        <v>1230.165365</v>
      </c>
      <c r="G152" s="91">
        <f t="shared" si="135"/>
        <v>1218.313762</v>
      </c>
      <c r="H152" s="91">
        <f t="shared" si="135"/>
        <v>1191.924909</v>
      </c>
      <c r="I152" s="91">
        <f t="shared" si="135"/>
        <v>1218.155491</v>
      </c>
      <c r="J152" s="91">
        <f t="shared" si="135"/>
        <v>1200.561454</v>
      </c>
      <c r="K152" s="91">
        <f t="shared" si="135"/>
        <v>1188.483092</v>
      </c>
      <c r="L152" s="91" t="str">
        <f t="shared" si="135"/>
        <v/>
      </c>
      <c r="M152" s="91" t="str">
        <f t="shared" si="135"/>
        <v/>
      </c>
      <c r="N152" s="91" t="str">
        <f t="shared" si="135"/>
        <v/>
      </c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</row>
    <row r="153">
      <c r="A153" s="60" t="s">
        <v>303</v>
      </c>
      <c r="B153" s="92" t="s">
        <v>304</v>
      </c>
      <c r="C153" s="91">
        <f t="shared" ref="C153:N153" si="136">C69</f>
        <v>1297.755852</v>
      </c>
      <c r="D153" s="91">
        <f t="shared" si="136"/>
        <v>1227.43477</v>
      </c>
      <c r="E153" s="91">
        <f t="shared" si="136"/>
        <v>1213.591227</v>
      </c>
      <c r="F153" s="91">
        <f t="shared" si="136"/>
        <v>1230.165365</v>
      </c>
      <c r="G153" s="91">
        <f t="shared" si="136"/>
        <v>1218.313762</v>
      </c>
      <c r="H153" s="91">
        <f t="shared" si="136"/>
        <v>1191.924909</v>
      </c>
      <c r="I153" s="91">
        <f t="shared" si="136"/>
        <v>1218.155491</v>
      </c>
      <c r="J153" s="91">
        <f t="shared" si="136"/>
        <v>1200.561454</v>
      </c>
      <c r="K153" s="91">
        <f t="shared" si="136"/>
        <v>1188.483092</v>
      </c>
      <c r="L153" s="91" t="str">
        <f t="shared" si="136"/>
        <v/>
      </c>
      <c r="M153" s="91" t="str">
        <f t="shared" si="136"/>
        <v/>
      </c>
      <c r="N153" s="91" t="str">
        <f t="shared" si="136"/>
        <v/>
      </c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</row>
    <row r="154">
      <c r="A154" s="60" t="s">
        <v>307</v>
      </c>
      <c r="B154" s="92" t="s">
        <v>308</v>
      </c>
      <c r="C154" s="91">
        <f t="shared" ref="C154:N154" si="137">C69</f>
        <v>1297.755852</v>
      </c>
      <c r="D154" s="91">
        <f t="shared" si="137"/>
        <v>1227.43477</v>
      </c>
      <c r="E154" s="91">
        <f t="shared" si="137"/>
        <v>1213.591227</v>
      </c>
      <c r="F154" s="91">
        <f t="shared" si="137"/>
        <v>1230.165365</v>
      </c>
      <c r="G154" s="91">
        <f t="shared" si="137"/>
        <v>1218.313762</v>
      </c>
      <c r="H154" s="91">
        <f t="shared" si="137"/>
        <v>1191.924909</v>
      </c>
      <c r="I154" s="91">
        <f t="shared" si="137"/>
        <v>1218.155491</v>
      </c>
      <c r="J154" s="91">
        <f t="shared" si="137"/>
        <v>1200.561454</v>
      </c>
      <c r="K154" s="91">
        <f t="shared" si="137"/>
        <v>1188.483092</v>
      </c>
      <c r="L154" s="91" t="str">
        <f t="shared" si="137"/>
        <v/>
      </c>
      <c r="M154" s="91" t="str">
        <f t="shared" si="137"/>
        <v/>
      </c>
      <c r="N154" s="91" t="str">
        <f t="shared" si="137"/>
        <v/>
      </c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</row>
    <row r="155">
      <c r="A155" s="60" t="s">
        <v>311</v>
      </c>
      <c r="B155" s="92" t="s">
        <v>312</v>
      </c>
      <c r="C155" s="91">
        <f t="shared" ref="C155:N155" si="138">C69</f>
        <v>1297.755852</v>
      </c>
      <c r="D155" s="91">
        <f t="shared" si="138"/>
        <v>1227.43477</v>
      </c>
      <c r="E155" s="91">
        <f t="shared" si="138"/>
        <v>1213.591227</v>
      </c>
      <c r="F155" s="91">
        <f t="shared" si="138"/>
        <v>1230.165365</v>
      </c>
      <c r="G155" s="91">
        <f t="shared" si="138"/>
        <v>1218.313762</v>
      </c>
      <c r="H155" s="91">
        <f t="shared" si="138"/>
        <v>1191.924909</v>
      </c>
      <c r="I155" s="91">
        <f t="shared" si="138"/>
        <v>1218.155491</v>
      </c>
      <c r="J155" s="91">
        <f t="shared" si="138"/>
        <v>1200.561454</v>
      </c>
      <c r="K155" s="91">
        <f t="shared" si="138"/>
        <v>1188.483092</v>
      </c>
      <c r="L155" s="91" t="str">
        <f t="shared" si="138"/>
        <v/>
      </c>
      <c r="M155" s="91" t="str">
        <f t="shared" si="138"/>
        <v/>
      </c>
      <c r="N155" s="91" t="str">
        <f t="shared" si="138"/>
        <v/>
      </c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</row>
    <row r="156">
      <c r="A156" s="60" t="s">
        <v>316</v>
      </c>
      <c r="B156" s="92" t="s">
        <v>317</v>
      </c>
      <c r="C156" s="91">
        <f t="shared" ref="C156:N156" si="139">C69</f>
        <v>1297.755852</v>
      </c>
      <c r="D156" s="91">
        <f t="shared" si="139"/>
        <v>1227.43477</v>
      </c>
      <c r="E156" s="91">
        <f t="shared" si="139"/>
        <v>1213.591227</v>
      </c>
      <c r="F156" s="91">
        <f t="shared" si="139"/>
        <v>1230.165365</v>
      </c>
      <c r="G156" s="91">
        <f t="shared" si="139"/>
        <v>1218.313762</v>
      </c>
      <c r="H156" s="91">
        <f t="shared" si="139"/>
        <v>1191.924909</v>
      </c>
      <c r="I156" s="91">
        <f t="shared" si="139"/>
        <v>1218.155491</v>
      </c>
      <c r="J156" s="91">
        <f t="shared" si="139"/>
        <v>1200.561454</v>
      </c>
      <c r="K156" s="91">
        <f t="shared" si="139"/>
        <v>1188.483092</v>
      </c>
      <c r="L156" s="91" t="str">
        <f t="shared" si="139"/>
        <v/>
      </c>
      <c r="M156" s="91" t="str">
        <f t="shared" si="139"/>
        <v/>
      </c>
      <c r="N156" s="91" t="str">
        <f t="shared" si="139"/>
        <v/>
      </c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</row>
    <row r="157">
      <c r="A157" s="60" t="s">
        <v>320</v>
      </c>
      <c r="B157" s="92" t="s">
        <v>321</v>
      </c>
      <c r="C157" s="91">
        <f t="shared" ref="C157:N157" si="140">C69</f>
        <v>1297.755852</v>
      </c>
      <c r="D157" s="91">
        <f t="shared" si="140"/>
        <v>1227.43477</v>
      </c>
      <c r="E157" s="91">
        <f t="shared" si="140"/>
        <v>1213.591227</v>
      </c>
      <c r="F157" s="91">
        <f t="shared" si="140"/>
        <v>1230.165365</v>
      </c>
      <c r="G157" s="91">
        <f t="shared" si="140"/>
        <v>1218.313762</v>
      </c>
      <c r="H157" s="91">
        <f t="shared" si="140"/>
        <v>1191.924909</v>
      </c>
      <c r="I157" s="91">
        <f t="shared" si="140"/>
        <v>1218.155491</v>
      </c>
      <c r="J157" s="91">
        <f t="shared" si="140"/>
        <v>1200.561454</v>
      </c>
      <c r="K157" s="91">
        <f t="shared" si="140"/>
        <v>1188.483092</v>
      </c>
      <c r="L157" s="91" t="str">
        <f t="shared" si="140"/>
        <v/>
      </c>
      <c r="M157" s="91" t="str">
        <f t="shared" si="140"/>
        <v/>
      </c>
      <c r="N157" s="91" t="str">
        <f t="shared" si="140"/>
        <v/>
      </c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>
      <c r="A158" s="60" t="s">
        <v>324</v>
      </c>
      <c r="B158" s="92" t="s">
        <v>326</v>
      </c>
      <c r="C158" s="91">
        <f t="shared" ref="C158:N158" si="141">C69</f>
        <v>1297.755852</v>
      </c>
      <c r="D158" s="91">
        <f t="shared" si="141"/>
        <v>1227.43477</v>
      </c>
      <c r="E158" s="91">
        <f t="shared" si="141"/>
        <v>1213.591227</v>
      </c>
      <c r="F158" s="91">
        <f t="shared" si="141"/>
        <v>1230.165365</v>
      </c>
      <c r="G158" s="91">
        <f t="shared" si="141"/>
        <v>1218.313762</v>
      </c>
      <c r="H158" s="91">
        <f t="shared" si="141"/>
        <v>1191.924909</v>
      </c>
      <c r="I158" s="91">
        <f t="shared" si="141"/>
        <v>1218.155491</v>
      </c>
      <c r="J158" s="91">
        <f t="shared" si="141"/>
        <v>1200.561454</v>
      </c>
      <c r="K158" s="91">
        <f t="shared" si="141"/>
        <v>1188.483092</v>
      </c>
      <c r="L158" s="91" t="str">
        <f t="shared" si="141"/>
        <v/>
      </c>
      <c r="M158" s="91" t="str">
        <f t="shared" si="141"/>
        <v/>
      </c>
      <c r="N158" s="91" t="str">
        <f t="shared" si="141"/>
        <v/>
      </c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</row>
    <row r="159">
      <c r="A159" s="60" t="s">
        <v>329</v>
      </c>
      <c r="B159" s="92" t="s">
        <v>330</v>
      </c>
      <c r="C159" s="91">
        <f t="shared" ref="C159:N159" si="142">C69</f>
        <v>1297.755852</v>
      </c>
      <c r="D159" s="91">
        <f t="shared" si="142"/>
        <v>1227.43477</v>
      </c>
      <c r="E159" s="91">
        <f t="shared" si="142"/>
        <v>1213.591227</v>
      </c>
      <c r="F159" s="91">
        <f t="shared" si="142"/>
        <v>1230.165365</v>
      </c>
      <c r="G159" s="91">
        <f t="shared" si="142"/>
        <v>1218.313762</v>
      </c>
      <c r="H159" s="91">
        <f t="shared" si="142"/>
        <v>1191.924909</v>
      </c>
      <c r="I159" s="91">
        <f t="shared" si="142"/>
        <v>1218.155491</v>
      </c>
      <c r="J159" s="91">
        <f t="shared" si="142"/>
        <v>1200.561454</v>
      </c>
      <c r="K159" s="91">
        <f t="shared" si="142"/>
        <v>1188.483092</v>
      </c>
      <c r="L159" s="91" t="str">
        <f t="shared" si="142"/>
        <v/>
      </c>
      <c r="M159" s="91" t="str">
        <f t="shared" si="142"/>
        <v/>
      </c>
      <c r="N159" s="91" t="str">
        <f t="shared" si="142"/>
        <v/>
      </c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</row>
    <row r="160">
      <c r="A160" s="60" t="s">
        <v>334</v>
      </c>
      <c r="B160" s="92" t="s">
        <v>335</v>
      </c>
      <c r="C160" s="91">
        <f t="shared" ref="C160:N160" si="143">C70</f>
        <v>975.3881768</v>
      </c>
      <c r="D160" s="91">
        <f t="shared" si="143"/>
        <v>914.1966708</v>
      </c>
      <c r="E160" s="91">
        <f t="shared" si="143"/>
        <v>900.0633532</v>
      </c>
      <c r="F160" s="91">
        <f t="shared" si="143"/>
        <v>907.2582882</v>
      </c>
      <c r="G160" s="91">
        <f t="shared" si="143"/>
        <v>920.3938135</v>
      </c>
      <c r="H160" s="91">
        <f t="shared" si="143"/>
        <v>885.3458587</v>
      </c>
      <c r="I160" s="91">
        <f t="shared" si="143"/>
        <v>909.0684914</v>
      </c>
      <c r="J160" s="91">
        <f t="shared" si="143"/>
        <v>884.805282</v>
      </c>
      <c r="K160" s="91">
        <f t="shared" si="143"/>
        <v>854.3298747</v>
      </c>
      <c r="L160" s="91" t="str">
        <f t="shared" si="143"/>
        <v/>
      </c>
      <c r="M160" s="91" t="str">
        <f t="shared" si="143"/>
        <v/>
      </c>
      <c r="N160" s="91" t="str">
        <f t="shared" si="143"/>
        <v/>
      </c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</row>
    <row r="161">
      <c r="A161" s="60" t="s">
        <v>338</v>
      </c>
      <c r="B161" s="92" t="s">
        <v>339</v>
      </c>
      <c r="C161" s="91">
        <f t="shared" ref="C161:N161" si="144">C70</f>
        <v>975.3881768</v>
      </c>
      <c r="D161" s="91">
        <f t="shared" si="144"/>
        <v>914.1966708</v>
      </c>
      <c r="E161" s="91">
        <f t="shared" si="144"/>
        <v>900.0633532</v>
      </c>
      <c r="F161" s="91">
        <f t="shared" si="144"/>
        <v>907.2582882</v>
      </c>
      <c r="G161" s="91">
        <f t="shared" si="144"/>
        <v>920.3938135</v>
      </c>
      <c r="H161" s="91">
        <f t="shared" si="144"/>
        <v>885.3458587</v>
      </c>
      <c r="I161" s="91">
        <f t="shared" si="144"/>
        <v>909.0684914</v>
      </c>
      <c r="J161" s="91">
        <f t="shared" si="144"/>
        <v>884.805282</v>
      </c>
      <c r="K161" s="91">
        <f t="shared" si="144"/>
        <v>854.3298747</v>
      </c>
      <c r="L161" s="91" t="str">
        <f t="shared" si="144"/>
        <v/>
      </c>
      <c r="M161" s="91" t="str">
        <f t="shared" si="144"/>
        <v/>
      </c>
      <c r="N161" s="91" t="str">
        <f t="shared" si="144"/>
        <v/>
      </c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</row>
    <row r="162">
      <c r="A162" s="60" t="s">
        <v>346</v>
      </c>
      <c r="B162" s="92" t="s">
        <v>347</v>
      </c>
      <c r="C162" s="91">
        <f t="shared" ref="C162:N162" si="145">C70</f>
        <v>975.3881768</v>
      </c>
      <c r="D162" s="91">
        <f t="shared" si="145"/>
        <v>914.1966708</v>
      </c>
      <c r="E162" s="91">
        <f t="shared" si="145"/>
        <v>900.0633532</v>
      </c>
      <c r="F162" s="91">
        <f t="shared" si="145"/>
        <v>907.2582882</v>
      </c>
      <c r="G162" s="91">
        <f t="shared" si="145"/>
        <v>920.3938135</v>
      </c>
      <c r="H162" s="91">
        <f t="shared" si="145"/>
        <v>885.3458587</v>
      </c>
      <c r="I162" s="91">
        <f t="shared" si="145"/>
        <v>909.0684914</v>
      </c>
      <c r="J162" s="91">
        <f t="shared" si="145"/>
        <v>884.805282</v>
      </c>
      <c r="K162" s="91">
        <f t="shared" si="145"/>
        <v>854.3298747</v>
      </c>
      <c r="L162" s="91" t="str">
        <f t="shared" si="145"/>
        <v/>
      </c>
      <c r="M162" s="91" t="str">
        <f t="shared" si="145"/>
        <v/>
      </c>
      <c r="N162" s="91" t="str">
        <f t="shared" si="145"/>
        <v/>
      </c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</row>
    <row r="163">
      <c r="A163" s="60" t="s">
        <v>352</v>
      </c>
      <c r="B163" s="92" t="s">
        <v>353</v>
      </c>
      <c r="C163" s="91">
        <f t="shared" ref="C163:N163" si="146">C70</f>
        <v>975.3881768</v>
      </c>
      <c r="D163" s="91">
        <f t="shared" si="146"/>
        <v>914.1966708</v>
      </c>
      <c r="E163" s="91">
        <f t="shared" si="146"/>
        <v>900.0633532</v>
      </c>
      <c r="F163" s="91">
        <f t="shared" si="146"/>
        <v>907.2582882</v>
      </c>
      <c r="G163" s="91">
        <f t="shared" si="146"/>
        <v>920.3938135</v>
      </c>
      <c r="H163" s="91">
        <f t="shared" si="146"/>
        <v>885.3458587</v>
      </c>
      <c r="I163" s="91">
        <f t="shared" si="146"/>
        <v>909.0684914</v>
      </c>
      <c r="J163" s="91">
        <f t="shared" si="146"/>
        <v>884.805282</v>
      </c>
      <c r="K163" s="91">
        <f t="shared" si="146"/>
        <v>854.3298747</v>
      </c>
      <c r="L163" s="91" t="str">
        <f t="shared" si="146"/>
        <v/>
      </c>
      <c r="M163" s="91" t="str">
        <f t="shared" si="146"/>
        <v/>
      </c>
      <c r="N163" s="91" t="str">
        <f t="shared" si="146"/>
        <v/>
      </c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</row>
    <row r="164">
      <c r="A164" s="60" t="s">
        <v>356</v>
      </c>
      <c r="B164" s="92" t="s">
        <v>357</v>
      </c>
      <c r="C164" s="91">
        <f t="shared" ref="C164:N164" si="147">C70</f>
        <v>975.3881768</v>
      </c>
      <c r="D164" s="91">
        <f t="shared" si="147"/>
        <v>914.1966708</v>
      </c>
      <c r="E164" s="91">
        <f t="shared" si="147"/>
        <v>900.0633532</v>
      </c>
      <c r="F164" s="91">
        <f t="shared" si="147"/>
        <v>907.2582882</v>
      </c>
      <c r="G164" s="91">
        <f t="shared" si="147"/>
        <v>920.3938135</v>
      </c>
      <c r="H164" s="91">
        <f t="shared" si="147"/>
        <v>885.3458587</v>
      </c>
      <c r="I164" s="91">
        <f t="shared" si="147"/>
        <v>909.0684914</v>
      </c>
      <c r="J164" s="91">
        <f t="shared" si="147"/>
        <v>884.805282</v>
      </c>
      <c r="K164" s="91">
        <f t="shared" si="147"/>
        <v>854.3298747</v>
      </c>
      <c r="L164" s="91" t="str">
        <f t="shared" si="147"/>
        <v/>
      </c>
      <c r="M164" s="91" t="str">
        <f t="shared" si="147"/>
        <v/>
      </c>
      <c r="N164" s="91" t="str">
        <f t="shared" si="147"/>
        <v/>
      </c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</row>
    <row r="165">
      <c r="A165" s="60" t="s">
        <v>360</v>
      </c>
      <c r="B165" s="92" t="s">
        <v>361</v>
      </c>
      <c r="C165" s="91">
        <f t="shared" ref="C165:N165" si="148">C70</f>
        <v>975.3881768</v>
      </c>
      <c r="D165" s="91">
        <f t="shared" si="148"/>
        <v>914.1966708</v>
      </c>
      <c r="E165" s="91">
        <f t="shared" si="148"/>
        <v>900.0633532</v>
      </c>
      <c r="F165" s="91">
        <f t="shared" si="148"/>
        <v>907.2582882</v>
      </c>
      <c r="G165" s="91">
        <f t="shared" si="148"/>
        <v>920.3938135</v>
      </c>
      <c r="H165" s="91">
        <f t="shared" si="148"/>
        <v>885.3458587</v>
      </c>
      <c r="I165" s="91">
        <f t="shared" si="148"/>
        <v>909.0684914</v>
      </c>
      <c r="J165" s="91">
        <f t="shared" si="148"/>
        <v>884.805282</v>
      </c>
      <c r="K165" s="91">
        <f t="shared" si="148"/>
        <v>854.3298747</v>
      </c>
      <c r="L165" s="91" t="str">
        <f t="shared" si="148"/>
        <v/>
      </c>
      <c r="M165" s="91" t="str">
        <f t="shared" si="148"/>
        <v/>
      </c>
      <c r="N165" s="91" t="str">
        <f t="shared" si="148"/>
        <v/>
      </c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</row>
    <row r="166">
      <c r="A166" s="60" t="s">
        <v>362</v>
      </c>
      <c r="B166" s="92" t="s">
        <v>363</v>
      </c>
      <c r="C166" s="91">
        <f t="shared" ref="C166:N166" si="149">C70</f>
        <v>975.3881768</v>
      </c>
      <c r="D166" s="91">
        <f t="shared" si="149"/>
        <v>914.1966708</v>
      </c>
      <c r="E166" s="91">
        <f t="shared" si="149"/>
        <v>900.0633532</v>
      </c>
      <c r="F166" s="91">
        <f t="shared" si="149"/>
        <v>907.2582882</v>
      </c>
      <c r="G166" s="91">
        <f t="shared" si="149"/>
        <v>920.3938135</v>
      </c>
      <c r="H166" s="91">
        <f t="shared" si="149"/>
        <v>885.3458587</v>
      </c>
      <c r="I166" s="91">
        <f t="shared" si="149"/>
        <v>909.0684914</v>
      </c>
      <c r="J166" s="91">
        <f t="shared" si="149"/>
        <v>884.805282</v>
      </c>
      <c r="K166" s="91">
        <f t="shared" si="149"/>
        <v>854.3298747</v>
      </c>
      <c r="L166" s="91" t="str">
        <f t="shared" si="149"/>
        <v/>
      </c>
      <c r="M166" s="91" t="str">
        <f t="shared" si="149"/>
        <v/>
      </c>
      <c r="N166" s="91" t="str">
        <f t="shared" si="149"/>
        <v/>
      </c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</row>
    <row r="167">
      <c r="A167" s="60" t="s">
        <v>366</v>
      </c>
      <c r="B167" s="92" t="s">
        <v>367</v>
      </c>
      <c r="C167" s="91">
        <f t="shared" ref="C167:N167" si="150">C70</f>
        <v>975.3881768</v>
      </c>
      <c r="D167" s="91">
        <f t="shared" si="150"/>
        <v>914.1966708</v>
      </c>
      <c r="E167" s="91">
        <f t="shared" si="150"/>
        <v>900.0633532</v>
      </c>
      <c r="F167" s="91">
        <f t="shared" si="150"/>
        <v>907.2582882</v>
      </c>
      <c r="G167" s="91">
        <f t="shared" si="150"/>
        <v>920.3938135</v>
      </c>
      <c r="H167" s="91">
        <f t="shared" si="150"/>
        <v>885.3458587</v>
      </c>
      <c r="I167" s="91">
        <f t="shared" si="150"/>
        <v>909.0684914</v>
      </c>
      <c r="J167" s="91">
        <f t="shared" si="150"/>
        <v>884.805282</v>
      </c>
      <c r="K167" s="91">
        <f t="shared" si="150"/>
        <v>854.3298747</v>
      </c>
      <c r="L167" s="91" t="str">
        <f t="shared" si="150"/>
        <v/>
      </c>
      <c r="M167" s="91" t="str">
        <f t="shared" si="150"/>
        <v/>
      </c>
      <c r="N167" s="91" t="str">
        <f t="shared" si="150"/>
        <v/>
      </c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</row>
    <row r="168">
      <c r="A168" s="60" t="s">
        <v>368</v>
      </c>
      <c r="B168" s="92" t="s">
        <v>369</v>
      </c>
      <c r="C168" s="91">
        <f t="shared" ref="C168:N168" si="151">C70</f>
        <v>975.3881768</v>
      </c>
      <c r="D168" s="91">
        <f t="shared" si="151"/>
        <v>914.1966708</v>
      </c>
      <c r="E168" s="91">
        <f t="shared" si="151"/>
        <v>900.0633532</v>
      </c>
      <c r="F168" s="91">
        <f t="shared" si="151"/>
        <v>907.2582882</v>
      </c>
      <c r="G168" s="91">
        <f t="shared" si="151"/>
        <v>920.3938135</v>
      </c>
      <c r="H168" s="91">
        <f t="shared" si="151"/>
        <v>885.3458587</v>
      </c>
      <c r="I168" s="91">
        <f t="shared" si="151"/>
        <v>909.0684914</v>
      </c>
      <c r="J168" s="91">
        <f t="shared" si="151"/>
        <v>884.805282</v>
      </c>
      <c r="K168" s="91">
        <f t="shared" si="151"/>
        <v>854.3298747</v>
      </c>
      <c r="L168" s="91" t="str">
        <f t="shared" si="151"/>
        <v/>
      </c>
      <c r="M168" s="91" t="str">
        <f t="shared" si="151"/>
        <v/>
      </c>
      <c r="N168" s="91" t="str">
        <f t="shared" si="151"/>
        <v/>
      </c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</row>
    <row r="169">
      <c r="A169" s="60" t="s">
        <v>372</v>
      </c>
      <c r="B169" s="92" t="s">
        <v>373</v>
      </c>
      <c r="C169" s="91">
        <f t="shared" ref="C169:N169" si="152">C70</f>
        <v>975.3881768</v>
      </c>
      <c r="D169" s="91">
        <f t="shared" si="152"/>
        <v>914.1966708</v>
      </c>
      <c r="E169" s="91">
        <f t="shared" si="152"/>
        <v>900.0633532</v>
      </c>
      <c r="F169" s="91">
        <f t="shared" si="152"/>
        <v>907.2582882</v>
      </c>
      <c r="G169" s="91">
        <f t="shared" si="152"/>
        <v>920.3938135</v>
      </c>
      <c r="H169" s="91">
        <f t="shared" si="152"/>
        <v>885.3458587</v>
      </c>
      <c r="I169" s="91">
        <f t="shared" si="152"/>
        <v>909.0684914</v>
      </c>
      <c r="J169" s="91">
        <f t="shared" si="152"/>
        <v>884.805282</v>
      </c>
      <c r="K169" s="91">
        <f t="shared" si="152"/>
        <v>854.3298747</v>
      </c>
      <c r="L169" s="91" t="str">
        <f t="shared" si="152"/>
        <v/>
      </c>
      <c r="M169" s="91" t="str">
        <f t="shared" si="152"/>
        <v/>
      </c>
      <c r="N169" s="91" t="str">
        <f t="shared" si="152"/>
        <v/>
      </c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</row>
    <row r="170">
      <c r="A170" s="60" t="s">
        <v>376</v>
      </c>
      <c r="B170" s="92" t="s">
        <v>377</v>
      </c>
      <c r="C170" s="91">
        <f t="shared" ref="C170:N170" si="153">C70</f>
        <v>975.3881768</v>
      </c>
      <c r="D170" s="91">
        <f t="shared" si="153"/>
        <v>914.1966708</v>
      </c>
      <c r="E170" s="91">
        <f t="shared" si="153"/>
        <v>900.0633532</v>
      </c>
      <c r="F170" s="91">
        <f t="shared" si="153"/>
        <v>907.2582882</v>
      </c>
      <c r="G170" s="91">
        <f t="shared" si="153"/>
        <v>920.3938135</v>
      </c>
      <c r="H170" s="91">
        <f t="shared" si="153"/>
        <v>885.3458587</v>
      </c>
      <c r="I170" s="91">
        <f t="shared" si="153"/>
        <v>909.0684914</v>
      </c>
      <c r="J170" s="91">
        <f t="shared" si="153"/>
        <v>884.805282</v>
      </c>
      <c r="K170" s="91">
        <f t="shared" si="153"/>
        <v>854.3298747</v>
      </c>
      <c r="L170" s="91" t="str">
        <f t="shared" si="153"/>
        <v/>
      </c>
      <c r="M170" s="91" t="str">
        <f t="shared" si="153"/>
        <v/>
      </c>
      <c r="N170" s="91" t="str">
        <f t="shared" si="153"/>
        <v/>
      </c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</row>
    <row r="171">
      <c r="A171" s="60" t="s">
        <v>380</v>
      </c>
      <c r="B171" s="92" t="s">
        <v>381</v>
      </c>
      <c r="C171" s="91">
        <f t="shared" ref="C171:N171" si="154">C70</f>
        <v>975.3881768</v>
      </c>
      <c r="D171" s="91">
        <f t="shared" si="154"/>
        <v>914.1966708</v>
      </c>
      <c r="E171" s="91">
        <f t="shared" si="154"/>
        <v>900.0633532</v>
      </c>
      <c r="F171" s="91">
        <f t="shared" si="154"/>
        <v>907.2582882</v>
      </c>
      <c r="G171" s="91">
        <f t="shared" si="154"/>
        <v>920.3938135</v>
      </c>
      <c r="H171" s="91">
        <f t="shared" si="154"/>
        <v>885.3458587</v>
      </c>
      <c r="I171" s="91">
        <f t="shared" si="154"/>
        <v>909.0684914</v>
      </c>
      <c r="J171" s="91">
        <f t="shared" si="154"/>
        <v>884.805282</v>
      </c>
      <c r="K171" s="91">
        <f t="shared" si="154"/>
        <v>854.3298747</v>
      </c>
      <c r="L171" s="91" t="str">
        <f t="shared" si="154"/>
        <v/>
      </c>
      <c r="M171" s="91" t="str">
        <f t="shared" si="154"/>
        <v/>
      </c>
      <c r="N171" s="91" t="str">
        <f t="shared" si="154"/>
        <v/>
      </c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</row>
    <row r="172">
      <c r="A172" s="60" t="s">
        <v>383</v>
      </c>
      <c r="B172" s="92" t="s">
        <v>384</v>
      </c>
      <c r="C172" s="91">
        <f t="shared" ref="C172:N172" si="155">C70</f>
        <v>975.3881768</v>
      </c>
      <c r="D172" s="91">
        <f t="shared" si="155"/>
        <v>914.1966708</v>
      </c>
      <c r="E172" s="91">
        <f t="shared" si="155"/>
        <v>900.0633532</v>
      </c>
      <c r="F172" s="91">
        <f t="shared" si="155"/>
        <v>907.2582882</v>
      </c>
      <c r="G172" s="91">
        <f t="shared" si="155"/>
        <v>920.3938135</v>
      </c>
      <c r="H172" s="91">
        <f t="shared" si="155"/>
        <v>885.3458587</v>
      </c>
      <c r="I172" s="91">
        <f t="shared" si="155"/>
        <v>909.0684914</v>
      </c>
      <c r="J172" s="91">
        <f t="shared" si="155"/>
        <v>884.805282</v>
      </c>
      <c r="K172" s="91">
        <f t="shared" si="155"/>
        <v>854.3298747</v>
      </c>
      <c r="L172" s="91" t="str">
        <f t="shared" si="155"/>
        <v/>
      </c>
      <c r="M172" s="91" t="str">
        <f t="shared" si="155"/>
        <v/>
      </c>
      <c r="N172" s="91" t="str">
        <f t="shared" si="155"/>
        <v/>
      </c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</row>
    <row r="173">
      <c r="A173" s="60" t="s">
        <v>387</v>
      </c>
      <c r="B173" s="92" t="s">
        <v>388</v>
      </c>
      <c r="C173" s="91">
        <f t="shared" ref="C173:N173" si="156">C70</f>
        <v>975.3881768</v>
      </c>
      <c r="D173" s="91">
        <f t="shared" si="156"/>
        <v>914.1966708</v>
      </c>
      <c r="E173" s="91">
        <f t="shared" si="156"/>
        <v>900.0633532</v>
      </c>
      <c r="F173" s="91">
        <f t="shared" si="156"/>
        <v>907.2582882</v>
      </c>
      <c r="G173" s="91">
        <f t="shared" si="156"/>
        <v>920.3938135</v>
      </c>
      <c r="H173" s="91">
        <f t="shared" si="156"/>
        <v>885.3458587</v>
      </c>
      <c r="I173" s="91">
        <f t="shared" si="156"/>
        <v>909.0684914</v>
      </c>
      <c r="J173" s="91">
        <f t="shared" si="156"/>
        <v>884.805282</v>
      </c>
      <c r="K173" s="91">
        <f t="shared" si="156"/>
        <v>854.3298747</v>
      </c>
      <c r="L173" s="91" t="str">
        <f t="shared" si="156"/>
        <v/>
      </c>
      <c r="M173" s="91" t="str">
        <f t="shared" si="156"/>
        <v/>
      </c>
      <c r="N173" s="91" t="str">
        <f t="shared" si="156"/>
        <v/>
      </c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</row>
    <row r="174">
      <c r="A174" s="62"/>
      <c r="B174" s="7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</row>
    <row r="175">
      <c r="A175" s="62"/>
      <c r="B175" s="7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</row>
    <row r="176">
      <c r="A176" s="62"/>
      <c r="B176" s="7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</row>
    <row r="177">
      <c r="A177" s="62"/>
      <c r="B177" s="7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</row>
    <row r="178">
      <c r="A178" s="62"/>
      <c r="B178" s="7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</row>
    <row r="179">
      <c r="A179" s="62"/>
      <c r="B179" s="7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</row>
    <row r="180">
      <c r="A180" s="62"/>
      <c r="B180" s="7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</row>
    <row r="181">
      <c r="A181" s="62"/>
      <c r="B181" s="7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</row>
    <row r="182">
      <c r="A182" s="62"/>
      <c r="B182" s="7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</row>
    <row r="183">
      <c r="A183" s="62"/>
      <c r="B183" s="7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</row>
    <row r="184">
      <c r="A184" s="62"/>
      <c r="B184" s="7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>
      <c r="A185" s="62"/>
      <c r="B185" s="7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</row>
    <row r="186">
      <c r="A186" s="62"/>
      <c r="B186" s="7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>
      <c r="A187" s="62"/>
      <c r="B187" s="7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</row>
    <row r="188">
      <c r="A188" s="62"/>
      <c r="B188" s="7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</row>
    <row r="189">
      <c r="A189" s="62"/>
      <c r="B189" s="7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>
      <c r="A190" s="62"/>
      <c r="B190" s="7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</row>
    <row r="191">
      <c r="A191" s="62"/>
      <c r="B191" s="7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</row>
    <row r="192">
      <c r="A192" s="62"/>
      <c r="B192" s="7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</row>
    <row r="193">
      <c r="A193" s="62"/>
      <c r="B193" s="7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</row>
    <row r="194">
      <c r="A194" s="62"/>
      <c r="B194" s="7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</row>
    <row r="195">
      <c r="A195" s="62"/>
      <c r="B195" s="7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</row>
    <row r="196">
      <c r="A196" s="62"/>
      <c r="B196" s="7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</row>
    <row r="197">
      <c r="A197" s="62"/>
      <c r="B197" s="7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</row>
    <row r="198">
      <c r="A198" s="62"/>
      <c r="B198" s="7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</row>
    <row r="199">
      <c r="A199" s="62"/>
      <c r="B199" s="7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</row>
    <row r="200">
      <c r="A200" s="62"/>
      <c r="B200" s="7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</row>
    <row r="201">
      <c r="A201" s="62"/>
      <c r="B201" s="7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>
      <c r="A202" s="62"/>
      <c r="B202" s="7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>
      <c r="A203" s="62"/>
      <c r="B203" s="7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>
      <c r="A204" s="62"/>
      <c r="B204" s="7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</row>
    <row r="205">
      <c r="A205" s="62"/>
      <c r="B205" s="7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>
      <c r="A206" s="62"/>
      <c r="B206" s="7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</row>
    <row r="207">
      <c r="A207" s="62"/>
      <c r="B207" s="7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</row>
    <row r="208">
      <c r="A208" s="62"/>
      <c r="B208" s="7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</row>
    <row r="209">
      <c r="A209" s="62"/>
      <c r="B209" s="7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</row>
    <row r="210">
      <c r="A210" s="62"/>
      <c r="B210" s="7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</row>
    <row r="211">
      <c r="A211" s="62"/>
      <c r="B211" s="7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</row>
    <row r="212">
      <c r="A212" s="62"/>
      <c r="B212" s="7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</row>
    <row r="213">
      <c r="A213" s="62"/>
      <c r="B213" s="7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</row>
    <row r="214">
      <c r="A214" s="62"/>
      <c r="B214" s="7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</row>
    <row r="215">
      <c r="A215" s="62"/>
      <c r="B215" s="7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</row>
    <row r="216">
      <c r="A216" s="62"/>
      <c r="B216" s="7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</row>
    <row r="217">
      <c r="A217" s="62"/>
      <c r="B217" s="7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</row>
    <row r="218">
      <c r="A218" s="62"/>
      <c r="B218" s="7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</row>
    <row r="219">
      <c r="A219" s="62"/>
      <c r="B219" s="7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</row>
    <row r="220">
      <c r="A220" s="62"/>
      <c r="B220" s="7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>
      <c r="A221" s="62"/>
      <c r="B221" s="7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</row>
    <row r="222">
      <c r="A222" s="62"/>
      <c r="B222" s="7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</row>
    <row r="223">
      <c r="A223" s="62"/>
      <c r="B223" s="7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</row>
    <row r="224">
      <c r="A224" s="62"/>
      <c r="B224" s="7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</row>
    <row r="225">
      <c r="A225" s="62"/>
      <c r="B225" s="7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</row>
    <row r="226">
      <c r="A226" s="62"/>
      <c r="B226" s="7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</row>
    <row r="227">
      <c r="A227" s="62"/>
      <c r="B227" s="7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</row>
    <row r="228">
      <c r="A228" s="62"/>
      <c r="B228" s="7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</row>
    <row r="229">
      <c r="A229" s="62"/>
      <c r="B229" s="7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</row>
    <row r="230">
      <c r="A230" s="62"/>
      <c r="B230" s="7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</row>
    <row r="231">
      <c r="A231" s="62"/>
      <c r="B231" s="7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</row>
    <row r="232">
      <c r="A232" s="62"/>
      <c r="B232" s="7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</row>
    <row r="233">
      <c r="A233" s="62"/>
      <c r="B233" s="7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</row>
    <row r="234">
      <c r="A234" s="62"/>
      <c r="B234" s="7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</row>
    <row r="235">
      <c r="A235" s="62"/>
      <c r="B235" s="7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</row>
    <row r="236">
      <c r="A236" s="62"/>
      <c r="B236" s="7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</row>
    <row r="237">
      <c r="A237" s="62"/>
      <c r="B237" s="7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</row>
    <row r="238">
      <c r="A238" s="62"/>
      <c r="B238" s="7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</row>
    <row r="239">
      <c r="A239" s="62"/>
      <c r="B239" s="7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</row>
    <row r="240">
      <c r="A240" s="62"/>
      <c r="B240" s="7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</row>
    <row r="241">
      <c r="A241" s="62"/>
      <c r="B241" s="7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</row>
    <row r="242">
      <c r="A242" s="62"/>
      <c r="B242" s="7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</row>
    <row r="243">
      <c r="A243" s="62"/>
      <c r="B243" s="7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</row>
    <row r="244">
      <c r="A244" s="62"/>
      <c r="B244" s="7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</row>
    <row r="245">
      <c r="A245" s="62"/>
      <c r="B245" s="7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</row>
    <row r="246">
      <c r="A246" s="62"/>
      <c r="B246" s="7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</row>
    <row r="247">
      <c r="A247" s="62"/>
      <c r="B247" s="7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</row>
    <row r="248">
      <c r="A248" s="62"/>
      <c r="B248" s="7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</row>
    <row r="249">
      <c r="A249" s="62"/>
      <c r="B249" s="7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</row>
    <row r="250">
      <c r="A250" s="62"/>
      <c r="B250" s="7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</row>
    <row r="251">
      <c r="A251" s="62"/>
      <c r="B251" s="7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</row>
    <row r="252">
      <c r="A252" s="62"/>
      <c r="B252" s="7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</row>
    <row r="253">
      <c r="A253" s="62"/>
      <c r="B253" s="7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</row>
    <row r="254">
      <c r="A254" s="62"/>
      <c r="B254" s="7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</row>
    <row r="255">
      <c r="A255" s="62"/>
      <c r="B255" s="7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</row>
    <row r="256">
      <c r="A256" s="62"/>
      <c r="B256" s="7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</row>
    <row r="257">
      <c r="A257" s="62"/>
      <c r="B257" s="7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</row>
    <row r="258">
      <c r="A258" s="62"/>
      <c r="B258" s="7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</row>
    <row r="259">
      <c r="A259" s="62"/>
      <c r="B259" s="7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</row>
    <row r="260">
      <c r="A260" s="62"/>
      <c r="B260" s="7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</row>
    <row r="261">
      <c r="A261" s="62"/>
      <c r="B261" s="7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</row>
    <row r="262">
      <c r="A262" s="62"/>
      <c r="B262" s="7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</row>
    <row r="263">
      <c r="A263" s="62"/>
      <c r="B263" s="7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</row>
    <row r="264">
      <c r="A264" s="62"/>
      <c r="B264" s="7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</row>
    <row r="265">
      <c r="A265" s="62"/>
      <c r="B265" s="7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</row>
    <row r="266">
      <c r="A266" s="62"/>
      <c r="B266" s="7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</row>
    <row r="267">
      <c r="A267" s="62"/>
      <c r="B267" s="7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</row>
    <row r="268">
      <c r="A268" s="62"/>
      <c r="B268" s="7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</row>
    <row r="269">
      <c r="A269" s="62"/>
      <c r="B269" s="7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</row>
    <row r="270">
      <c r="A270" s="62"/>
      <c r="B270" s="7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</row>
    <row r="271">
      <c r="A271" s="62"/>
      <c r="B271" s="7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</row>
    <row r="272">
      <c r="A272" s="62"/>
      <c r="B272" s="7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</row>
    <row r="273">
      <c r="A273" s="62"/>
      <c r="B273" s="7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</row>
    <row r="274">
      <c r="A274" s="62"/>
      <c r="B274" s="7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</row>
    <row r="275">
      <c r="A275" s="62"/>
      <c r="B275" s="7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</row>
    <row r="276">
      <c r="A276" s="62"/>
      <c r="B276" s="7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</row>
    <row r="277">
      <c r="A277" s="62"/>
      <c r="B277" s="7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</row>
    <row r="278">
      <c r="A278" s="62"/>
      <c r="B278" s="7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</row>
    <row r="279">
      <c r="A279" s="62"/>
      <c r="B279" s="7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</row>
    <row r="280">
      <c r="A280" s="62"/>
      <c r="B280" s="7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</row>
    <row r="281">
      <c r="A281" s="62"/>
      <c r="B281" s="7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</row>
    <row r="282">
      <c r="A282" s="62"/>
      <c r="B282" s="7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</row>
    <row r="283">
      <c r="A283" s="62"/>
      <c r="B283" s="7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>
      <c r="A284" s="62"/>
      <c r="B284" s="7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</row>
    <row r="285">
      <c r="A285" s="62"/>
      <c r="B285" s="7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</row>
    <row r="286">
      <c r="A286" s="62"/>
      <c r="B286" s="7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</row>
    <row r="287">
      <c r="A287" s="62"/>
      <c r="B287" s="7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</row>
    <row r="288">
      <c r="A288" s="62"/>
      <c r="B288" s="7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</row>
    <row r="289">
      <c r="A289" s="62"/>
      <c r="B289" s="7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</row>
    <row r="290">
      <c r="A290" s="62"/>
      <c r="B290" s="7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</row>
    <row r="291">
      <c r="A291" s="62"/>
      <c r="B291" s="7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>
      <c r="A292" s="62"/>
      <c r="B292" s="7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</row>
    <row r="293">
      <c r="A293" s="62"/>
      <c r="B293" s="7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</row>
    <row r="294">
      <c r="A294" s="62"/>
      <c r="B294" s="7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</row>
    <row r="295">
      <c r="A295" s="62"/>
      <c r="B295" s="7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</row>
    <row r="296">
      <c r="A296" s="62"/>
      <c r="B296" s="7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</row>
    <row r="297">
      <c r="A297" s="62"/>
      <c r="B297" s="7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</row>
    <row r="298">
      <c r="A298" s="62"/>
      <c r="B298" s="7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</row>
    <row r="299">
      <c r="A299" s="62"/>
      <c r="B299" s="7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</row>
    <row r="300">
      <c r="A300" s="62"/>
      <c r="B300" s="7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</row>
    <row r="301">
      <c r="A301" s="62"/>
      <c r="B301" s="7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</row>
    <row r="302">
      <c r="A302" s="62"/>
      <c r="B302" s="7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</row>
    <row r="303">
      <c r="A303" s="62"/>
      <c r="B303" s="7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</row>
    <row r="304">
      <c r="A304" s="62"/>
      <c r="B304" s="7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</row>
    <row r="305">
      <c r="A305" s="62"/>
      <c r="B305" s="7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</row>
    <row r="306">
      <c r="A306" s="62"/>
      <c r="B306" s="7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</row>
    <row r="307">
      <c r="A307" s="62"/>
      <c r="B307" s="7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</row>
    <row r="308">
      <c r="A308" s="62"/>
      <c r="B308" s="7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309">
      <c r="A309" s="62"/>
      <c r="B309" s="7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</row>
    <row r="310">
      <c r="A310" s="62"/>
      <c r="B310" s="7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</row>
    <row r="311">
      <c r="A311" s="62"/>
      <c r="B311" s="7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</row>
    <row r="312">
      <c r="A312" s="62"/>
      <c r="B312" s="7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</row>
    <row r="313">
      <c r="A313" s="62"/>
      <c r="B313" s="7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</row>
    <row r="314">
      <c r="A314" s="62"/>
      <c r="B314" s="7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</row>
    <row r="315">
      <c r="A315" s="62"/>
      <c r="B315" s="7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</row>
    <row r="316">
      <c r="A316" s="62"/>
      <c r="B316" s="7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</row>
    <row r="317">
      <c r="A317" s="62"/>
      <c r="B317" s="7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</row>
    <row r="318">
      <c r="A318" s="62"/>
      <c r="B318" s="7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</row>
    <row r="319">
      <c r="A319" s="62"/>
      <c r="B319" s="7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</row>
    <row r="320">
      <c r="A320" s="62"/>
      <c r="B320" s="7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</row>
    <row r="321">
      <c r="A321" s="62"/>
      <c r="B321" s="7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</row>
    <row r="322">
      <c r="A322" s="62"/>
      <c r="B322" s="7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</row>
    <row r="323">
      <c r="A323" s="62"/>
      <c r="B323" s="7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</row>
    <row r="324">
      <c r="A324" s="62"/>
      <c r="B324" s="7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</row>
    <row r="325">
      <c r="A325" s="62"/>
      <c r="B325" s="7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</row>
    <row r="326">
      <c r="A326" s="62"/>
      <c r="B326" s="7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</row>
    <row r="327">
      <c r="A327" s="62"/>
      <c r="B327" s="7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</row>
    <row r="328">
      <c r="A328" s="62"/>
      <c r="B328" s="7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</row>
    <row r="329">
      <c r="A329" s="62"/>
      <c r="B329" s="7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</row>
    <row r="330">
      <c r="A330" s="62"/>
      <c r="B330" s="7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</row>
    <row r="331">
      <c r="A331" s="62"/>
      <c r="B331" s="7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</row>
    <row r="332">
      <c r="A332" s="62"/>
      <c r="B332" s="7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</row>
    <row r="333">
      <c r="A333" s="62"/>
      <c r="B333" s="7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</row>
    <row r="334">
      <c r="A334" s="62"/>
      <c r="B334" s="7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</row>
    <row r="335">
      <c r="A335" s="62"/>
      <c r="B335" s="7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</row>
    <row r="336">
      <c r="A336" s="62"/>
      <c r="B336" s="7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</row>
    <row r="337">
      <c r="A337" s="62"/>
      <c r="B337" s="7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</row>
    <row r="338">
      <c r="A338" s="62"/>
      <c r="B338" s="7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</row>
    <row r="339">
      <c r="A339" s="62"/>
      <c r="B339" s="7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</row>
    <row r="340">
      <c r="A340" s="62"/>
      <c r="B340" s="7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</row>
    <row r="341">
      <c r="A341" s="62"/>
      <c r="B341" s="7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</row>
    <row r="342">
      <c r="A342" s="62"/>
      <c r="B342" s="7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</row>
    <row r="343">
      <c r="A343" s="62"/>
      <c r="B343" s="7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>
      <c r="A344" s="62"/>
      <c r="B344" s="7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</row>
    <row r="345">
      <c r="A345" s="62"/>
      <c r="B345" s="7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</row>
    <row r="346">
      <c r="A346" s="62"/>
      <c r="B346" s="7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</row>
    <row r="347">
      <c r="A347" s="62"/>
      <c r="B347" s="7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</row>
    <row r="348">
      <c r="A348" s="62"/>
      <c r="B348" s="7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</row>
    <row r="349">
      <c r="A349" s="62"/>
      <c r="B349" s="7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</row>
    <row r="350">
      <c r="A350" s="62"/>
      <c r="B350" s="7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</row>
    <row r="351">
      <c r="A351" s="62"/>
      <c r="B351" s="7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</row>
    <row r="352">
      <c r="A352" s="62"/>
      <c r="B352" s="7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</row>
    <row r="353">
      <c r="A353" s="62"/>
      <c r="B353" s="7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</row>
    <row r="354">
      <c r="A354" s="62"/>
      <c r="B354" s="7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</row>
    <row r="355">
      <c r="A355" s="62"/>
      <c r="B355" s="7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</row>
    <row r="356">
      <c r="A356" s="62"/>
      <c r="B356" s="7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</row>
    <row r="357">
      <c r="A357" s="62"/>
      <c r="B357" s="7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</row>
    <row r="358">
      <c r="A358" s="62"/>
      <c r="B358" s="7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</row>
    <row r="359">
      <c r="A359" s="62"/>
      <c r="B359" s="7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</row>
    <row r="360">
      <c r="A360" s="62"/>
      <c r="B360" s="7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</row>
    <row r="361">
      <c r="A361" s="62"/>
      <c r="B361" s="7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</row>
    <row r="362">
      <c r="A362" s="62"/>
      <c r="B362" s="7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</row>
    <row r="363">
      <c r="A363" s="62"/>
      <c r="B363" s="7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</row>
    <row r="364">
      <c r="A364" s="62"/>
      <c r="B364" s="7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</row>
    <row r="365">
      <c r="A365" s="62"/>
      <c r="B365" s="7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</row>
    <row r="366">
      <c r="A366" s="62"/>
      <c r="B366" s="7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</row>
    <row r="367">
      <c r="A367" s="62"/>
      <c r="B367" s="7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</row>
    <row r="368">
      <c r="A368" s="62"/>
      <c r="B368" s="7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</row>
    <row r="369">
      <c r="A369" s="62"/>
      <c r="B369" s="7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</row>
    <row r="370">
      <c r="A370" s="62"/>
      <c r="B370" s="7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</row>
    <row r="371">
      <c r="A371" s="62"/>
      <c r="B371" s="7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</row>
    <row r="372">
      <c r="A372" s="62"/>
      <c r="B372" s="7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</row>
    <row r="373">
      <c r="A373" s="62"/>
      <c r="B373" s="7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</row>
    <row r="374">
      <c r="A374" s="62"/>
      <c r="B374" s="7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</row>
    <row r="375">
      <c r="A375" s="62"/>
      <c r="B375" s="7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</row>
    <row r="376">
      <c r="A376" s="62"/>
      <c r="B376" s="7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</row>
    <row r="377">
      <c r="A377" s="62"/>
      <c r="B377" s="7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</row>
    <row r="378">
      <c r="A378" s="62"/>
      <c r="B378" s="7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</row>
    <row r="379">
      <c r="A379" s="62"/>
      <c r="B379" s="7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</row>
    <row r="380">
      <c r="A380" s="62"/>
      <c r="B380" s="7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</row>
    <row r="381">
      <c r="A381" s="62"/>
      <c r="B381" s="7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</row>
    <row r="382">
      <c r="A382" s="62"/>
      <c r="B382" s="7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</row>
    <row r="383">
      <c r="A383" s="62"/>
      <c r="B383" s="7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</row>
    <row r="384">
      <c r="A384" s="62"/>
      <c r="B384" s="7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</row>
    <row r="385">
      <c r="A385" s="62"/>
      <c r="B385" s="7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</row>
    <row r="386">
      <c r="A386" s="62"/>
      <c r="B386" s="7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</row>
    <row r="387">
      <c r="A387" s="62"/>
      <c r="B387" s="7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</row>
    <row r="388">
      <c r="A388" s="62"/>
      <c r="B388" s="7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</row>
    <row r="389">
      <c r="A389" s="62"/>
      <c r="B389" s="7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</row>
    <row r="390">
      <c r="A390" s="62"/>
      <c r="B390" s="7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</row>
    <row r="391">
      <c r="A391" s="62"/>
      <c r="B391" s="7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</row>
    <row r="392">
      <c r="A392" s="62"/>
      <c r="B392" s="7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</row>
    <row r="393">
      <c r="A393" s="62"/>
      <c r="B393" s="7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</row>
    <row r="394">
      <c r="A394" s="62"/>
      <c r="B394" s="7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</row>
    <row r="395">
      <c r="A395" s="62"/>
      <c r="B395" s="7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</row>
    <row r="396">
      <c r="A396" s="62"/>
      <c r="B396" s="7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</row>
    <row r="397">
      <c r="A397" s="62"/>
      <c r="B397" s="7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</row>
    <row r="398">
      <c r="A398" s="62"/>
      <c r="B398" s="7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</row>
    <row r="399">
      <c r="A399" s="62"/>
      <c r="B399" s="7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</row>
    <row r="400">
      <c r="A400" s="62"/>
      <c r="B400" s="7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</row>
    <row r="401">
      <c r="A401" s="62"/>
      <c r="B401" s="7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</row>
    <row r="402">
      <c r="A402" s="62"/>
      <c r="B402" s="7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</row>
    <row r="403">
      <c r="A403" s="62"/>
      <c r="B403" s="7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</row>
    <row r="404">
      <c r="A404" s="62"/>
      <c r="B404" s="7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</row>
    <row r="405">
      <c r="A405" s="62"/>
      <c r="B405" s="7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</row>
    <row r="406">
      <c r="A406" s="62"/>
      <c r="B406" s="7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</row>
    <row r="407">
      <c r="A407" s="62"/>
      <c r="B407" s="7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</row>
    <row r="408">
      <c r="A408" s="62"/>
      <c r="B408" s="7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</row>
    <row r="409">
      <c r="A409" s="62"/>
      <c r="B409" s="7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</row>
    <row r="410">
      <c r="A410" s="62"/>
      <c r="B410" s="7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</row>
    <row r="411">
      <c r="A411" s="62"/>
      <c r="B411" s="7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</row>
    <row r="412">
      <c r="A412" s="62"/>
      <c r="B412" s="7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</row>
    <row r="413">
      <c r="A413" s="62"/>
      <c r="B413" s="7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</row>
    <row r="414">
      <c r="A414" s="62"/>
      <c r="B414" s="7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</row>
    <row r="415">
      <c r="A415" s="62"/>
      <c r="B415" s="7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</row>
    <row r="416">
      <c r="A416" s="62"/>
      <c r="B416" s="7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</row>
    <row r="417">
      <c r="A417" s="62"/>
      <c r="B417" s="7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</row>
    <row r="418">
      <c r="A418" s="62"/>
      <c r="B418" s="7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</row>
    <row r="419">
      <c r="A419" s="62"/>
      <c r="B419" s="7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</row>
    <row r="420">
      <c r="A420" s="62"/>
      <c r="B420" s="7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</row>
    <row r="421">
      <c r="A421" s="62"/>
      <c r="B421" s="7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</row>
    <row r="422">
      <c r="A422" s="62"/>
      <c r="B422" s="7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</row>
    <row r="423">
      <c r="A423" s="62"/>
      <c r="B423" s="7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</row>
    <row r="424">
      <c r="A424" s="62"/>
      <c r="B424" s="7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</row>
    <row r="425">
      <c r="A425" s="62"/>
      <c r="B425" s="7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</row>
    <row r="426">
      <c r="A426" s="62"/>
      <c r="B426" s="7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</row>
    <row r="427">
      <c r="A427" s="62"/>
      <c r="B427" s="7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</row>
    <row r="428">
      <c r="A428" s="62"/>
      <c r="B428" s="7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</row>
    <row r="429">
      <c r="A429" s="62"/>
      <c r="B429" s="7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</row>
    <row r="430">
      <c r="A430" s="62"/>
      <c r="B430" s="7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</row>
    <row r="431">
      <c r="A431" s="62"/>
      <c r="B431" s="7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</row>
    <row r="432">
      <c r="A432" s="62"/>
      <c r="B432" s="7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</row>
    <row r="433">
      <c r="A433" s="62"/>
      <c r="B433" s="7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</row>
    <row r="434">
      <c r="A434" s="62"/>
      <c r="B434" s="7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</row>
    <row r="435">
      <c r="A435" s="62"/>
      <c r="B435" s="7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</row>
    <row r="436">
      <c r="A436" s="62"/>
      <c r="B436" s="7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</row>
    <row r="437">
      <c r="A437" s="62"/>
      <c r="B437" s="7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</row>
    <row r="438">
      <c r="A438" s="62"/>
      <c r="B438" s="7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</row>
    <row r="439">
      <c r="A439" s="62"/>
      <c r="B439" s="7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</row>
    <row r="440">
      <c r="A440" s="62"/>
      <c r="B440" s="7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</row>
    <row r="441">
      <c r="A441" s="62"/>
      <c r="B441" s="7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</row>
    <row r="442">
      <c r="A442" s="62"/>
      <c r="B442" s="7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</row>
    <row r="443">
      <c r="A443" s="62"/>
      <c r="B443" s="7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</row>
    <row r="444">
      <c r="A444" s="62"/>
      <c r="B444" s="7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</row>
    <row r="445">
      <c r="A445" s="62"/>
      <c r="B445" s="7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</row>
    <row r="446">
      <c r="A446" s="62"/>
      <c r="B446" s="7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</row>
    <row r="447">
      <c r="A447" s="62"/>
      <c r="B447" s="7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</row>
    <row r="448">
      <c r="A448" s="62"/>
      <c r="B448" s="7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</row>
    <row r="449">
      <c r="A449" s="62"/>
      <c r="B449" s="7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</row>
    <row r="450">
      <c r="A450" s="62"/>
      <c r="B450" s="7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</row>
    <row r="451">
      <c r="A451" s="62"/>
      <c r="B451" s="7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</row>
    <row r="452">
      <c r="A452" s="62"/>
      <c r="B452" s="7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</row>
    <row r="453">
      <c r="A453" s="62"/>
      <c r="B453" s="7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</row>
    <row r="454">
      <c r="A454" s="62"/>
      <c r="B454" s="7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</row>
    <row r="455">
      <c r="A455" s="62"/>
      <c r="B455" s="7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</row>
    <row r="456">
      <c r="A456" s="62"/>
      <c r="B456" s="7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</row>
    <row r="457">
      <c r="A457" s="62"/>
      <c r="B457" s="7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</row>
    <row r="458">
      <c r="A458" s="62"/>
      <c r="B458" s="7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</row>
    <row r="459">
      <c r="A459" s="62"/>
      <c r="B459" s="7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</row>
    <row r="460">
      <c r="A460" s="62"/>
      <c r="B460" s="7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</row>
    <row r="461">
      <c r="A461" s="62"/>
      <c r="B461" s="7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</row>
    <row r="462">
      <c r="A462" s="62"/>
      <c r="B462" s="7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</row>
    <row r="463">
      <c r="A463" s="62"/>
      <c r="B463" s="7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</row>
    <row r="464">
      <c r="A464" s="62"/>
      <c r="B464" s="7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</row>
    <row r="465">
      <c r="A465" s="62"/>
      <c r="B465" s="7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</row>
    <row r="466">
      <c r="A466" s="62"/>
      <c r="B466" s="7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</row>
    <row r="467">
      <c r="A467" s="62"/>
      <c r="B467" s="7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</row>
    <row r="468">
      <c r="A468" s="62"/>
      <c r="B468" s="7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</row>
    <row r="469">
      <c r="A469" s="62"/>
      <c r="B469" s="7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</row>
    <row r="470">
      <c r="A470" s="62"/>
      <c r="B470" s="7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</row>
    <row r="471">
      <c r="A471" s="62"/>
      <c r="B471" s="7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</row>
    <row r="472">
      <c r="A472" s="62"/>
      <c r="B472" s="7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</row>
    <row r="473">
      <c r="A473" s="62"/>
      <c r="B473" s="7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</row>
    <row r="474">
      <c r="A474" s="62"/>
      <c r="B474" s="7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</row>
    <row r="475">
      <c r="A475" s="62"/>
      <c r="B475" s="7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</row>
    <row r="476">
      <c r="A476" s="62"/>
      <c r="B476" s="7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</row>
    <row r="477">
      <c r="A477" s="62"/>
      <c r="B477" s="7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</row>
    <row r="478">
      <c r="A478" s="62"/>
      <c r="B478" s="7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</row>
    <row r="479">
      <c r="A479" s="62"/>
      <c r="B479" s="7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</row>
    <row r="480">
      <c r="A480" s="62"/>
      <c r="B480" s="7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</row>
    <row r="481">
      <c r="A481" s="62"/>
      <c r="B481" s="7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</row>
    <row r="482">
      <c r="A482" s="62"/>
      <c r="B482" s="7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</row>
    <row r="483">
      <c r="A483" s="62"/>
      <c r="B483" s="7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</row>
    <row r="484">
      <c r="A484" s="62"/>
      <c r="B484" s="7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</row>
    <row r="485">
      <c r="A485" s="62"/>
      <c r="B485" s="7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</row>
    <row r="486">
      <c r="A486" s="62"/>
      <c r="B486" s="7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</row>
    <row r="487">
      <c r="A487" s="62"/>
      <c r="B487" s="7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</row>
    <row r="488">
      <c r="A488" s="62"/>
      <c r="B488" s="7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</row>
    <row r="489">
      <c r="A489" s="62"/>
      <c r="B489" s="7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</row>
    <row r="490">
      <c r="A490" s="62"/>
      <c r="B490" s="7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</row>
    <row r="491">
      <c r="A491" s="62"/>
      <c r="B491" s="7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</row>
    <row r="492">
      <c r="A492" s="62"/>
      <c r="B492" s="7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</row>
    <row r="493">
      <c r="A493" s="62"/>
      <c r="B493" s="7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</row>
    <row r="494">
      <c r="A494" s="62"/>
      <c r="B494" s="7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</row>
    <row r="495">
      <c r="A495" s="62"/>
      <c r="B495" s="7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</row>
    <row r="496">
      <c r="A496" s="62"/>
      <c r="B496" s="7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</row>
    <row r="497">
      <c r="A497" s="62"/>
      <c r="B497" s="7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</row>
    <row r="498">
      <c r="A498" s="62"/>
      <c r="B498" s="7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</row>
    <row r="499">
      <c r="A499" s="62"/>
      <c r="B499" s="7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</row>
    <row r="500">
      <c r="A500" s="62"/>
      <c r="B500" s="7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</row>
    <row r="501">
      <c r="A501" s="62"/>
      <c r="B501" s="7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</row>
    <row r="502">
      <c r="A502" s="62"/>
      <c r="B502" s="7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</row>
    <row r="503">
      <c r="A503" s="62"/>
      <c r="B503" s="7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</row>
    <row r="504">
      <c r="A504" s="62"/>
      <c r="B504" s="7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</row>
    <row r="505">
      <c r="A505" s="62"/>
      <c r="B505" s="7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</row>
    <row r="506">
      <c r="A506" s="62"/>
      <c r="B506" s="7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</row>
    <row r="507">
      <c r="A507" s="62"/>
      <c r="B507" s="7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</row>
    <row r="508">
      <c r="A508" s="62"/>
      <c r="B508" s="7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</row>
    <row r="509">
      <c r="A509" s="62"/>
      <c r="B509" s="7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</row>
    <row r="510">
      <c r="A510" s="62"/>
      <c r="B510" s="7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</row>
    <row r="511">
      <c r="A511" s="62"/>
      <c r="B511" s="7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512">
      <c r="A512" s="62"/>
      <c r="B512" s="7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</row>
    <row r="513">
      <c r="A513" s="62"/>
      <c r="B513" s="7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</row>
    <row r="514">
      <c r="A514" s="62"/>
      <c r="B514" s="7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</row>
    <row r="515">
      <c r="A515" s="62"/>
      <c r="B515" s="7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</row>
    <row r="516">
      <c r="A516" s="62"/>
      <c r="B516" s="7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</row>
    <row r="517">
      <c r="A517" s="62"/>
      <c r="B517" s="7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</row>
    <row r="518">
      <c r="A518" s="62"/>
      <c r="B518" s="7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</row>
    <row r="519">
      <c r="A519" s="62"/>
      <c r="B519" s="7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</row>
    <row r="520">
      <c r="A520" s="62"/>
      <c r="B520" s="7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</row>
    <row r="521">
      <c r="A521" s="62"/>
      <c r="B521" s="7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</row>
    <row r="522">
      <c r="A522" s="62"/>
      <c r="B522" s="7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</row>
    <row r="523">
      <c r="A523" s="62"/>
      <c r="B523" s="7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</row>
    <row r="524">
      <c r="A524" s="62"/>
      <c r="B524" s="7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</row>
    <row r="525">
      <c r="A525" s="62"/>
      <c r="B525" s="7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</row>
    <row r="526">
      <c r="A526" s="62"/>
      <c r="B526" s="7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</row>
    <row r="527">
      <c r="A527" s="62"/>
      <c r="B527" s="7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</row>
    <row r="528">
      <c r="A528" s="62"/>
      <c r="B528" s="7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</row>
    <row r="529">
      <c r="A529" s="62"/>
      <c r="B529" s="7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</row>
    <row r="530">
      <c r="A530" s="62"/>
      <c r="B530" s="7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</row>
    <row r="531">
      <c r="A531" s="62"/>
      <c r="B531" s="7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</row>
    <row r="532">
      <c r="A532" s="62"/>
      <c r="B532" s="7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</row>
    <row r="533">
      <c r="A533" s="62"/>
      <c r="B533" s="7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</row>
    <row r="534">
      <c r="A534" s="62"/>
      <c r="B534" s="7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</row>
    <row r="535">
      <c r="A535" s="62"/>
      <c r="B535" s="7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</row>
    <row r="536">
      <c r="A536" s="62"/>
      <c r="B536" s="7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</row>
    <row r="537">
      <c r="A537" s="62"/>
      <c r="B537" s="7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</row>
    <row r="538">
      <c r="A538" s="62"/>
      <c r="B538" s="7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</row>
    <row r="539">
      <c r="A539" s="62"/>
      <c r="B539" s="7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</row>
    <row r="540">
      <c r="A540" s="62"/>
      <c r="B540" s="7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</row>
    <row r="541">
      <c r="A541" s="62"/>
      <c r="B541" s="7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</row>
    <row r="542">
      <c r="A542" s="62"/>
      <c r="B542" s="7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</row>
    <row r="543">
      <c r="A543" s="62"/>
      <c r="B543" s="7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</row>
    <row r="544">
      <c r="A544" s="62"/>
      <c r="B544" s="7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</row>
    <row r="545">
      <c r="A545" s="62"/>
      <c r="B545" s="7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</row>
    <row r="546">
      <c r="A546" s="62"/>
      <c r="B546" s="7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</row>
    <row r="547">
      <c r="A547" s="62"/>
      <c r="B547" s="7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</row>
    <row r="548">
      <c r="A548" s="62"/>
      <c r="B548" s="7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</row>
    <row r="549">
      <c r="A549" s="62"/>
      <c r="B549" s="7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</row>
    <row r="550">
      <c r="A550" s="62"/>
      <c r="B550" s="7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</row>
    <row r="551">
      <c r="A551" s="62"/>
      <c r="B551" s="7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</row>
    <row r="552">
      <c r="A552" s="62"/>
      <c r="B552" s="7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</row>
    <row r="553">
      <c r="A553" s="62"/>
      <c r="B553" s="7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</row>
    <row r="554">
      <c r="A554" s="62"/>
      <c r="B554" s="7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</row>
    <row r="555">
      <c r="A555" s="62"/>
      <c r="B555" s="7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</row>
    <row r="556">
      <c r="A556" s="62"/>
      <c r="B556" s="7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</row>
    <row r="557">
      <c r="A557" s="62"/>
      <c r="B557" s="7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</row>
    <row r="558">
      <c r="A558" s="62"/>
      <c r="B558" s="7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</row>
    <row r="559">
      <c r="A559" s="62"/>
      <c r="B559" s="7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</row>
    <row r="560">
      <c r="A560" s="62"/>
      <c r="B560" s="7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</row>
    <row r="561">
      <c r="A561" s="62"/>
      <c r="B561" s="7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</row>
    <row r="562">
      <c r="A562" s="62"/>
      <c r="B562" s="7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</row>
    <row r="563">
      <c r="A563" s="62"/>
      <c r="B563" s="7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</row>
    <row r="564">
      <c r="A564" s="62"/>
      <c r="B564" s="7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</row>
    <row r="565">
      <c r="A565" s="62"/>
      <c r="B565" s="7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</row>
    <row r="566">
      <c r="A566" s="62"/>
      <c r="B566" s="7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</row>
    <row r="567">
      <c r="A567" s="62"/>
      <c r="B567" s="7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</row>
    <row r="568">
      <c r="A568" s="62"/>
      <c r="B568" s="7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</row>
    <row r="569">
      <c r="A569" s="62"/>
      <c r="B569" s="7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</row>
    <row r="570">
      <c r="A570" s="62"/>
      <c r="B570" s="7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</row>
    <row r="571">
      <c r="A571" s="62"/>
      <c r="B571" s="7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</row>
    <row r="572">
      <c r="A572" s="62"/>
      <c r="B572" s="7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</row>
    <row r="573">
      <c r="A573" s="62"/>
      <c r="B573" s="7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</row>
    <row r="574">
      <c r="A574" s="62"/>
      <c r="B574" s="7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</row>
    <row r="575">
      <c r="A575" s="62"/>
      <c r="B575" s="7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</row>
    <row r="576">
      <c r="A576" s="62"/>
      <c r="B576" s="7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</row>
    <row r="577">
      <c r="A577" s="62"/>
      <c r="B577" s="7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</row>
    <row r="578">
      <c r="A578" s="62"/>
      <c r="B578" s="7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</row>
    <row r="579">
      <c r="A579" s="62"/>
      <c r="B579" s="7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</row>
    <row r="580">
      <c r="A580" s="62"/>
      <c r="B580" s="7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</row>
    <row r="581">
      <c r="A581" s="62"/>
      <c r="B581" s="7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</row>
    <row r="582">
      <c r="A582" s="62"/>
      <c r="B582" s="7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</row>
    <row r="583">
      <c r="A583" s="62"/>
      <c r="B583" s="7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</row>
    <row r="584">
      <c r="A584" s="62"/>
      <c r="B584" s="7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</row>
    <row r="585">
      <c r="A585" s="62"/>
      <c r="B585" s="7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</row>
    <row r="586">
      <c r="A586" s="62"/>
      <c r="B586" s="7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</row>
    <row r="587">
      <c r="A587" s="62"/>
      <c r="B587" s="7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</row>
    <row r="588">
      <c r="A588" s="62"/>
      <c r="B588" s="7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</row>
    <row r="589">
      <c r="A589" s="62"/>
      <c r="B589" s="7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</row>
    <row r="590">
      <c r="A590" s="62"/>
      <c r="B590" s="7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</row>
    <row r="591">
      <c r="A591" s="62"/>
      <c r="B591" s="7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</row>
    <row r="592">
      <c r="A592" s="62"/>
      <c r="B592" s="7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</row>
    <row r="593">
      <c r="A593" s="62"/>
      <c r="B593" s="7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</row>
    <row r="594">
      <c r="A594" s="62"/>
      <c r="B594" s="7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</row>
    <row r="595">
      <c r="A595" s="62"/>
      <c r="B595" s="7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</row>
    <row r="596">
      <c r="A596" s="62"/>
      <c r="B596" s="7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</row>
    <row r="597">
      <c r="A597" s="62"/>
      <c r="B597" s="7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</row>
    <row r="598">
      <c r="A598" s="62"/>
      <c r="B598" s="7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</row>
    <row r="599">
      <c r="A599" s="62"/>
      <c r="B599" s="7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</row>
    <row r="600">
      <c r="A600" s="62"/>
      <c r="B600" s="7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</row>
    <row r="601">
      <c r="A601" s="62"/>
      <c r="B601" s="7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</row>
    <row r="602">
      <c r="A602" s="62"/>
      <c r="B602" s="7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</row>
    <row r="603">
      <c r="A603" s="62"/>
      <c r="B603" s="7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</row>
    <row r="604">
      <c r="A604" s="62"/>
      <c r="B604" s="7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</row>
    <row r="605">
      <c r="A605" s="62"/>
      <c r="B605" s="7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</row>
    <row r="606">
      <c r="A606" s="62"/>
      <c r="B606" s="7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</row>
    <row r="607">
      <c r="A607" s="62"/>
      <c r="B607" s="7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</row>
    <row r="608">
      <c r="A608" s="62"/>
      <c r="B608" s="7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</row>
    <row r="609">
      <c r="A609" s="62"/>
      <c r="B609" s="7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</row>
    <row r="610">
      <c r="A610" s="62"/>
      <c r="B610" s="7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</row>
    <row r="611">
      <c r="A611" s="62"/>
      <c r="B611" s="7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</row>
    <row r="612">
      <c r="A612" s="62"/>
      <c r="B612" s="7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</row>
    <row r="613">
      <c r="A613" s="62"/>
      <c r="B613" s="7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</row>
    <row r="614">
      <c r="A614" s="62"/>
      <c r="B614" s="7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</row>
    <row r="615">
      <c r="A615" s="62"/>
      <c r="B615" s="7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</row>
    <row r="616">
      <c r="A616" s="62"/>
      <c r="B616" s="7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</row>
    <row r="617">
      <c r="A617" s="62"/>
      <c r="B617" s="7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</row>
    <row r="618">
      <c r="A618" s="62"/>
      <c r="B618" s="7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</row>
    <row r="619">
      <c r="A619" s="62"/>
      <c r="B619" s="7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</row>
    <row r="620">
      <c r="A620" s="62"/>
      <c r="B620" s="7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</row>
    <row r="621">
      <c r="A621" s="62"/>
      <c r="B621" s="7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</row>
    <row r="622">
      <c r="A622" s="62"/>
      <c r="B622" s="7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</row>
    <row r="623">
      <c r="A623" s="62"/>
      <c r="B623" s="7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</row>
    <row r="624">
      <c r="A624" s="62"/>
      <c r="B624" s="7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</row>
    <row r="625">
      <c r="A625" s="62"/>
      <c r="B625" s="7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</row>
    <row r="626">
      <c r="A626" s="62"/>
      <c r="B626" s="7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</row>
    <row r="627">
      <c r="A627" s="62"/>
      <c r="B627" s="7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</row>
    <row r="628">
      <c r="A628" s="62"/>
      <c r="B628" s="7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</row>
    <row r="629">
      <c r="A629" s="62"/>
      <c r="B629" s="7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</row>
    <row r="630">
      <c r="A630" s="62"/>
      <c r="B630" s="7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</row>
    <row r="631">
      <c r="A631" s="62"/>
      <c r="B631" s="7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</row>
    <row r="632">
      <c r="A632" s="62"/>
      <c r="B632" s="7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</row>
    <row r="633">
      <c r="A633" s="62"/>
      <c r="B633" s="7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</row>
    <row r="634">
      <c r="A634" s="62"/>
      <c r="B634" s="7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</row>
    <row r="635">
      <c r="A635" s="62"/>
      <c r="B635" s="7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</row>
    <row r="636">
      <c r="A636" s="62"/>
      <c r="B636" s="7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</row>
    <row r="637">
      <c r="A637" s="62"/>
      <c r="B637" s="7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</row>
    <row r="638">
      <c r="A638" s="62"/>
      <c r="B638" s="7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</row>
    <row r="639">
      <c r="A639" s="62"/>
      <c r="B639" s="7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</row>
    <row r="640">
      <c r="A640" s="62"/>
      <c r="B640" s="7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</row>
    <row r="641">
      <c r="A641" s="62"/>
      <c r="B641" s="7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</row>
    <row r="642">
      <c r="A642" s="62"/>
      <c r="B642" s="7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</row>
    <row r="643">
      <c r="A643" s="62"/>
      <c r="B643" s="7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</row>
    <row r="644">
      <c r="A644" s="62"/>
      <c r="B644" s="7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</row>
    <row r="645">
      <c r="A645" s="62"/>
      <c r="B645" s="7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</row>
    <row r="646">
      <c r="A646" s="62"/>
      <c r="B646" s="7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</row>
    <row r="647">
      <c r="A647" s="62"/>
      <c r="B647" s="7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</row>
    <row r="648">
      <c r="A648" s="62"/>
      <c r="B648" s="7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</row>
    <row r="649">
      <c r="A649" s="62"/>
      <c r="B649" s="7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</row>
    <row r="650">
      <c r="A650" s="62"/>
      <c r="B650" s="7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</row>
    <row r="651">
      <c r="A651" s="62"/>
      <c r="B651" s="7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</row>
    <row r="652">
      <c r="A652" s="62"/>
      <c r="B652" s="7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</row>
    <row r="653">
      <c r="A653" s="62"/>
      <c r="B653" s="7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</row>
    <row r="654">
      <c r="A654" s="62"/>
      <c r="B654" s="7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</row>
    <row r="655">
      <c r="A655" s="62"/>
      <c r="B655" s="7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</row>
    <row r="656">
      <c r="A656" s="62"/>
      <c r="B656" s="7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</row>
    <row r="657">
      <c r="A657" s="62"/>
      <c r="B657" s="7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</row>
    <row r="658">
      <c r="A658" s="62"/>
      <c r="B658" s="7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</row>
    <row r="659">
      <c r="A659" s="62"/>
      <c r="B659" s="7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</row>
    <row r="660">
      <c r="A660" s="62"/>
      <c r="B660" s="7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</row>
    <row r="661">
      <c r="A661" s="62"/>
      <c r="B661" s="7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</row>
    <row r="662">
      <c r="A662" s="62"/>
      <c r="B662" s="7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</row>
    <row r="663">
      <c r="A663" s="62"/>
      <c r="B663" s="7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</row>
    <row r="664">
      <c r="A664" s="62"/>
      <c r="B664" s="7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</row>
    <row r="665">
      <c r="A665" s="62"/>
      <c r="B665" s="7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</row>
    <row r="666">
      <c r="A666" s="62"/>
      <c r="B666" s="7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</row>
    <row r="667">
      <c r="A667" s="62"/>
      <c r="B667" s="7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</row>
    <row r="668">
      <c r="A668" s="62"/>
      <c r="B668" s="7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</row>
    <row r="669">
      <c r="A669" s="62"/>
      <c r="B669" s="7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</row>
    <row r="670">
      <c r="A670" s="62"/>
      <c r="B670" s="7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</row>
    <row r="671">
      <c r="A671" s="62"/>
      <c r="B671" s="7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</row>
    <row r="672">
      <c r="A672" s="62"/>
      <c r="B672" s="7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</row>
    <row r="673">
      <c r="A673" s="62"/>
      <c r="B673" s="7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</row>
    <row r="674">
      <c r="A674" s="62"/>
      <c r="B674" s="7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</row>
    <row r="675">
      <c r="A675" s="62"/>
      <c r="B675" s="7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</row>
    <row r="676">
      <c r="A676" s="62"/>
      <c r="B676" s="7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</row>
    <row r="677">
      <c r="A677" s="62"/>
      <c r="B677" s="7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</row>
    <row r="678">
      <c r="A678" s="62"/>
      <c r="B678" s="7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</row>
    <row r="679">
      <c r="A679" s="62"/>
      <c r="B679" s="7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</row>
    <row r="680">
      <c r="A680" s="62"/>
      <c r="B680" s="7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</row>
    <row r="681">
      <c r="A681" s="62"/>
      <c r="B681" s="7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</row>
    <row r="682">
      <c r="A682" s="62"/>
      <c r="B682" s="7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</row>
    <row r="683">
      <c r="A683" s="62"/>
      <c r="B683" s="7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</row>
    <row r="684">
      <c r="A684" s="62"/>
      <c r="B684" s="7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</row>
    <row r="685">
      <c r="A685" s="62"/>
      <c r="B685" s="7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</row>
    <row r="686">
      <c r="A686" s="62"/>
      <c r="B686" s="7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</row>
    <row r="687">
      <c r="A687" s="62"/>
      <c r="B687" s="7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</row>
    <row r="688">
      <c r="A688" s="62"/>
      <c r="B688" s="7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</row>
    <row r="689">
      <c r="A689" s="62"/>
      <c r="B689" s="7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</row>
    <row r="690">
      <c r="A690" s="62"/>
      <c r="B690" s="7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</row>
    <row r="691">
      <c r="A691" s="62"/>
      <c r="B691" s="7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</row>
    <row r="692">
      <c r="A692" s="62"/>
      <c r="B692" s="7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</row>
    <row r="693">
      <c r="A693" s="62"/>
      <c r="B693" s="7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</row>
    <row r="694">
      <c r="A694" s="62"/>
      <c r="B694" s="7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</row>
    <row r="695">
      <c r="A695" s="62"/>
      <c r="B695" s="7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</row>
    <row r="696">
      <c r="A696" s="62"/>
      <c r="B696" s="7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</row>
    <row r="697">
      <c r="A697" s="62"/>
      <c r="B697" s="7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</row>
    <row r="698">
      <c r="A698" s="62"/>
      <c r="B698" s="7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</row>
    <row r="699">
      <c r="A699" s="62"/>
      <c r="B699" s="7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</row>
    <row r="700">
      <c r="A700" s="62"/>
      <c r="B700" s="7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</row>
    <row r="701">
      <c r="A701" s="62"/>
      <c r="B701" s="7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</row>
    <row r="702">
      <c r="A702" s="62"/>
      <c r="B702" s="7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</row>
    <row r="703">
      <c r="A703" s="62"/>
      <c r="B703" s="7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</row>
    <row r="704">
      <c r="A704" s="62"/>
      <c r="B704" s="7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</row>
    <row r="705">
      <c r="A705" s="62"/>
      <c r="B705" s="7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</row>
    <row r="706">
      <c r="A706" s="62"/>
      <c r="B706" s="7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</row>
    <row r="707">
      <c r="A707" s="62"/>
      <c r="B707" s="7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</row>
    <row r="708">
      <c r="A708" s="62"/>
      <c r="B708" s="7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</row>
    <row r="709">
      <c r="A709" s="62"/>
      <c r="B709" s="7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</row>
    <row r="710">
      <c r="A710" s="62"/>
      <c r="B710" s="7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</row>
    <row r="711">
      <c r="A711" s="62"/>
      <c r="B711" s="7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</row>
    <row r="712">
      <c r="A712" s="62"/>
      <c r="B712" s="7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713">
      <c r="A713" s="62"/>
      <c r="B713" s="7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</row>
    <row r="714">
      <c r="A714" s="62"/>
      <c r="B714" s="7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</row>
    <row r="715">
      <c r="A715" s="62"/>
      <c r="B715" s="7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</row>
    <row r="716">
      <c r="A716" s="62"/>
      <c r="B716" s="7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</row>
    <row r="717">
      <c r="A717" s="62"/>
      <c r="B717" s="7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</row>
    <row r="718">
      <c r="A718" s="62"/>
      <c r="B718" s="7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</row>
    <row r="719">
      <c r="A719" s="62"/>
      <c r="B719" s="7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</row>
    <row r="720">
      <c r="A720" s="62"/>
      <c r="B720" s="7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</row>
    <row r="721">
      <c r="A721" s="62"/>
      <c r="B721" s="7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</row>
    <row r="722">
      <c r="A722" s="62"/>
      <c r="B722" s="7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</row>
    <row r="723">
      <c r="A723" s="62"/>
      <c r="B723" s="7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</row>
    <row r="724">
      <c r="A724" s="62"/>
      <c r="B724" s="7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</row>
    <row r="725">
      <c r="A725" s="62"/>
      <c r="B725" s="7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</row>
    <row r="726">
      <c r="A726" s="62"/>
      <c r="B726" s="7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</row>
    <row r="727">
      <c r="A727" s="62"/>
      <c r="B727" s="7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</row>
    <row r="728">
      <c r="A728" s="62"/>
      <c r="B728" s="7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</row>
    <row r="729">
      <c r="A729" s="62"/>
      <c r="B729" s="7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</row>
    <row r="730">
      <c r="A730" s="62"/>
      <c r="B730" s="7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</row>
    <row r="731">
      <c r="A731" s="62"/>
      <c r="B731" s="7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</row>
    <row r="732">
      <c r="A732" s="62"/>
      <c r="B732" s="7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</row>
    <row r="733">
      <c r="A733" s="62"/>
      <c r="B733" s="7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</row>
    <row r="734">
      <c r="A734" s="62"/>
      <c r="B734" s="7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</row>
    <row r="735">
      <c r="A735" s="62"/>
      <c r="B735" s="7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</row>
    <row r="736">
      <c r="A736" s="62"/>
      <c r="B736" s="7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</row>
    <row r="737">
      <c r="A737" s="62"/>
      <c r="B737" s="7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</row>
    <row r="738">
      <c r="A738" s="62"/>
      <c r="B738" s="7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</row>
    <row r="739">
      <c r="A739" s="62"/>
      <c r="B739" s="7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</row>
    <row r="740">
      <c r="A740" s="62"/>
      <c r="B740" s="7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</row>
    <row r="741">
      <c r="A741" s="62"/>
      <c r="B741" s="7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</row>
    <row r="742">
      <c r="A742" s="62"/>
      <c r="B742" s="7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</row>
    <row r="743">
      <c r="A743" s="62"/>
      <c r="B743" s="7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</row>
    <row r="744">
      <c r="A744" s="62"/>
      <c r="B744" s="7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</row>
    <row r="745">
      <c r="A745" s="62"/>
      <c r="B745" s="7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</row>
    <row r="746">
      <c r="A746" s="62"/>
      <c r="B746" s="7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</row>
    <row r="747">
      <c r="A747" s="62"/>
      <c r="B747" s="7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</row>
    <row r="748">
      <c r="A748" s="62"/>
      <c r="B748" s="7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</row>
    <row r="749">
      <c r="A749" s="62"/>
      <c r="B749" s="7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</row>
    <row r="750">
      <c r="A750" s="62"/>
      <c r="B750" s="7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</row>
    <row r="751">
      <c r="A751" s="62"/>
      <c r="B751" s="7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</row>
    <row r="752">
      <c r="A752" s="62"/>
      <c r="B752" s="7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</row>
    <row r="753">
      <c r="A753" s="62"/>
      <c r="B753" s="7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</row>
    <row r="754">
      <c r="A754" s="62"/>
      <c r="B754" s="7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</row>
    <row r="755">
      <c r="A755" s="62"/>
      <c r="B755" s="7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</row>
    <row r="756">
      <c r="A756" s="62"/>
      <c r="B756" s="7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</row>
    <row r="757">
      <c r="A757" s="62"/>
      <c r="B757" s="7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</row>
    <row r="758">
      <c r="A758" s="62"/>
      <c r="B758" s="7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</row>
    <row r="759">
      <c r="A759" s="62"/>
      <c r="B759" s="7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</row>
    <row r="760">
      <c r="A760" s="62"/>
      <c r="B760" s="7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</row>
    <row r="761">
      <c r="A761" s="62"/>
      <c r="B761" s="7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</row>
    <row r="762">
      <c r="A762" s="62"/>
      <c r="B762" s="7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</row>
    <row r="763">
      <c r="A763" s="62"/>
      <c r="B763" s="7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</row>
    <row r="764">
      <c r="A764" s="62"/>
      <c r="B764" s="7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</row>
    <row r="765">
      <c r="A765" s="62"/>
      <c r="B765" s="7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</row>
    <row r="766">
      <c r="A766" s="62"/>
      <c r="B766" s="7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</row>
    <row r="767">
      <c r="A767" s="62"/>
      <c r="B767" s="7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</row>
    <row r="768">
      <c r="A768" s="62"/>
      <c r="B768" s="7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</row>
    <row r="769">
      <c r="A769" s="62"/>
      <c r="B769" s="7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</row>
    <row r="770">
      <c r="A770" s="62"/>
      <c r="B770" s="7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</row>
    <row r="771">
      <c r="A771" s="62"/>
      <c r="B771" s="7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</row>
    <row r="772">
      <c r="A772" s="62"/>
      <c r="B772" s="7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</row>
    <row r="773">
      <c r="A773" s="62"/>
      <c r="B773" s="7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</row>
    <row r="774">
      <c r="A774" s="62"/>
      <c r="B774" s="7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</row>
    <row r="775">
      <c r="A775" s="62"/>
      <c r="B775" s="7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</row>
    <row r="776">
      <c r="A776" s="62"/>
      <c r="B776" s="7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</row>
    <row r="777">
      <c r="A777" s="62"/>
      <c r="B777" s="7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</row>
    <row r="778">
      <c r="A778" s="62"/>
      <c r="B778" s="7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</row>
    <row r="779">
      <c r="A779" s="62"/>
      <c r="B779" s="7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</row>
    <row r="780">
      <c r="A780" s="62"/>
      <c r="B780" s="7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</row>
    <row r="781">
      <c r="A781" s="62"/>
      <c r="B781" s="7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</row>
    <row r="782">
      <c r="A782" s="62"/>
      <c r="B782" s="7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</row>
    <row r="783">
      <c r="A783" s="62"/>
      <c r="B783" s="7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</row>
    <row r="784">
      <c r="A784" s="62"/>
      <c r="B784" s="7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</row>
    <row r="785">
      <c r="A785" s="62"/>
      <c r="B785" s="7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</row>
    <row r="786">
      <c r="A786" s="62"/>
      <c r="B786" s="7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</row>
    <row r="787">
      <c r="A787" s="62"/>
      <c r="B787" s="7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</row>
    <row r="788">
      <c r="A788" s="62"/>
      <c r="B788" s="7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</row>
    <row r="789">
      <c r="A789" s="62"/>
      <c r="B789" s="7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</row>
    <row r="790">
      <c r="A790" s="62"/>
      <c r="B790" s="7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</row>
    <row r="791">
      <c r="A791" s="62"/>
      <c r="B791" s="7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</row>
    <row r="792">
      <c r="A792" s="62"/>
      <c r="B792" s="7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</row>
    <row r="793">
      <c r="A793" s="62"/>
      <c r="B793" s="7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</row>
    <row r="794">
      <c r="A794" s="62"/>
      <c r="B794" s="7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</row>
    <row r="795">
      <c r="A795" s="62"/>
      <c r="B795" s="7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</row>
    <row r="796">
      <c r="A796" s="62"/>
      <c r="B796" s="7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</row>
    <row r="797">
      <c r="A797" s="62"/>
      <c r="B797" s="7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</row>
    <row r="798">
      <c r="A798" s="62"/>
      <c r="B798" s="7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</row>
    <row r="799">
      <c r="A799" s="62"/>
      <c r="B799" s="7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</row>
    <row r="800">
      <c r="A800" s="62"/>
      <c r="B800" s="7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</row>
    <row r="801">
      <c r="A801" s="62"/>
      <c r="B801" s="7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</row>
    <row r="802">
      <c r="A802" s="62"/>
      <c r="B802" s="7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</row>
    <row r="803">
      <c r="A803" s="62"/>
      <c r="B803" s="7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</row>
    <row r="804">
      <c r="A804" s="62"/>
      <c r="B804" s="7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</row>
    <row r="805">
      <c r="A805" s="62"/>
      <c r="B805" s="7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</row>
    <row r="806">
      <c r="A806" s="62"/>
      <c r="B806" s="7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</row>
    <row r="807">
      <c r="A807" s="62"/>
      <c r="B807" s="7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</row>
    <row r="808">
      <c r="A808" s="62"/>
      <c r="B808" s="7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</row>
    <row r="809">
      <c r="A809" s="62"/>
      <c r="B809" s="7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</row>
    <row r="810">
      <c r="A810" s="62"/>
      <c r="B810" s="7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</row>
    <row r="811">
      <c r="A811" s="62"/>
      <c r="B811" s="7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</row>
    <row r="812">
      <c r="A812" s="62"/>
      <c r="B812" s="7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</row>
    <row r="813">
      <c r="A813" s="62"/>
      <c r="B813" s="7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</row>
    <row r="814">
      <c r="A814" s="62"/>
      <c r="B814" s="7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</row>
    <row r="815">
      <c r="A815" s="62"/>
      <c r="B815" s="7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</row>
    <row r="816">
      <c r="A816" s="62"/>
      <c r="B816" s="7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</row>
    <row r="817">
      <c r="A817" s="62"/>
      <c r="B817" s="7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</row>
    <row r="818">
      <c r="A818" s="62"/>
      <c r="B818" s="7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</row>
    <row r="819">
      <c r="A819" s="62"/>
      <c r="B819" s="7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</row>
    <row r="820">
      <c r="A820" s="62"/>
      <c r="B820" s="7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</row>
    <row r="821">
      <c r="A821" s="62"/>
      <c r="B821" s="7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</row>
    <row r="822">
      <c r="A822" s="62"/>
      <c r="B822" s="7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</row>
    <row r="823">
      <c r="A823" s="62"/>
      <c r="B823" s="7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</row>
    <row r="824">
      <c r="A824" s="62"/>
      <c r="B824" s="7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</row>
    <row r="825">
      <c r="A825" s="62"/>
      <c r="B825" s="7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</row>
    <row r="826">
      <c r="A826" s="62"/>
      <c r="B826" s="7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</row>
    <row r="827">
      <c r="A827" s="62"/>
      <c r="B827" s="7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</row>
    <row r="828">
      <c r="A828" s="62"/>
      <c r="B828" s="7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</row>
    <row r="829">
      <c r="A829" s="62"/>
      <c r="B829" s="7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</row>
    <row r="830">
      <c r="A830" s="62"/>
      <c r="B830" s="7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</row>
    <row r="831">
      <c r="A831" s="62"/>
      <c r="B831" s="7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</row>
    <row r="832">
      <c r="A832" s="62"/>
      <c r="B832" s="7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</row>
    <row r="833">
      <c r="A833" s="62"/>
      <c r="B833" s="7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</row>
    <row r="834">
      <c r="A834" s="62"/>
      <c r="B834" s="7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</row>
    <row r="835">
      <c r="A835" s="62"/>
      <c r="B835" s="7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</row>
    <row r="836">
      <c r="A836" s="62"/>
      <c r="B836" s="7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</row>
    <row r="837">
      <c r="A837" s="62"/>
      <c r="B837" s="7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</row>
    <row r="838">
      <c r="A838" s="62"/>
      <c r="B838" s="7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</row>
    <row r="839">
      <c r="A839" s="62"/>
      <c r="B839" s="7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</row>
    <row r="840">
      <c r="A840" s="62"/>
      <c r="B840" s="7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</row>
    <row r="841">
      <c r="A841" s="62"/>
      <c r="B841" s="7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</row>
    <row r="842">
      <c r="A842" s="62"/>
      <c r="B842" s="7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</row>
    <row r="843">
      <c r="A843" s="62"/>
      <c r="B843" s="7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</row>
    <row r="844">
      <c r="A844" s="62"/>
      <c r="B844" s="7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</row>
    <row r="845">
      <c r="A845" s="62"/>
      <c r="B845" s="7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</row>
    <row r="846">
      <c r="A846" s="62"/>
      <c r="B846" s="7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</row>
    <row r="847">
      <c r="A847" s="62"/>
      <c r="B847" s="7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</row>
    <row r="848">
      <c r="A848" s="62"/>
      <c r="B848" s="7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</row>
    <row r="849">
      <c r="A849" s="62"/>
      <c r="B849" s="7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</row>
    <row r="850">
      <c r="A850" s="62"/>
      <c r="B850" s="7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</row>
    <row r="851">
      <c r="A851" s="62"/>
      <c r="B851" s="7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</row>
    <row r="852">
      <c r="A852" s="62"/>
      <c r="B852" s="7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</row>
    <row r="853">
      <c r="A853" s="62"/>
      <c r="B853" s="7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</row>
    <row r="854">
      <c r="A854" s="62"/>
      <c r="B854" s="7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</row>
    <row r="855">
      <c r="A855" s="62"/>
      <c r="B855" s="7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</row>
    <row r="856">
      <c r="A856" s="62"/>
      <c r="B856" s="7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</row>
    <row r="857">
      <c r="A857" s="62"/>
      <c r="B857" s="7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</row>
    <row r="858">
      <c r="A858" s="62"/>
      <c r="B858" s="7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</row>
    <row r="859">
      <c r="A859" s="62"/>
      <c r="B859" s="7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</row>
    <row r="860">
      <c r="A860" s="62"/>
      <c r="B860" s="7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</row>
    <row r="861">
      <c r="A861" s="62"/>
      <c r="B861" s="7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</row>
    <row r="862">
      <c r="A862" s="62"/>
      <c r="B862" s="7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</row>
    <row r="863">
      <c r="A863" s="62"/>
      <c r="B863" s="7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</row>
    <row r="864">
      <c r="A864" s="62"/>
      <c r="B864" s="7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</row>
    <row r="865">
      <c r="A865" s="62"/>
      <c r="B865" s="7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</row>
    <row r="866">
      <c r="A866" s="62"/>
      <c r="B866" s="7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</row>
    <row r="867">
      <c r="A867" s="62"/>
      <c r="B867" s="7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</row>
    <row r="868">
      <c r="A868" s="62"/>
      <c r="B868" s="7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</row>
    <row r="869">
      <c r="A869" s="62"/>
      <c r="B869" s="7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</row>
    <row r="870">
      <c r="A870" s="62"/>
      <c r="B870" s="7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</row>
    <row r="871">
      <c r="A871" s="62"/>
      <c r="B871" s="7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</row>
    <row r="872">
      <c r="A872" s="62"/>
      <c r="B872" s="7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</row>
    <row r="873">
      <c r="A873" s="62"/>
      <c r="B873" s="7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</row>
    <row r="874">
      <c r="A874" s="62"/>
      <c r="B874" s="7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</row>
    <row r="875">
      <c r="A875" s="62"/>
      <c r="B875" s="7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</row>
    <row r="876">
      <c r="A876" s="62"/>
      <c r="B876" s="7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</row>
    <row r="877">
      <c r="A877" s="62"/>
      <c r="B877" s="7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</row>
    <row r="878">
      <c r="A878" s="62"/>
      <c r="B878" s="7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</row>
    <row r="879">
      <c r="A879" s="62"/>
      <c r="B879" s="7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</row>
    <row r="880">
      <c r="A880" s="62"/>
      <c r="B880" s="7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</row>
    <row r="881">
      <c r="A881" s="62"/>
      <c r="B881" s="7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</row>
    <row r="882">
      <c r="A882" s="62"/>
      <c r="B882" s="7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</row>
    <row r="883">
      <c r="A883" s="62"/>
      <c r="B883" s="7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</row>
    <row r="884">
      <c r="A884" s="62"/>
      <c r="B884" s="7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</row>
    <row r="885">
      <c r="A885" s="62"/>
      <c r="B885" s="7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</row>
    <row r="886">
      <c r="A886" s="62"/>
      <c r="B886" s="7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</row>
    <row r="887">
      <c r="A887" s="62"/>
      <c r="B887" s="7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888">
      <c r="A888" s="62"/>
      <c r="B888" s="7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</row>
    <row r="889">
      <c r="A889" s="62"/>
      <c r="B889" s="7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</row>
    <row r="890">
      <c r="A890" s="62"/>
      <c r="B890" s="7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</row>
    <row r="891">
      <c r="A891" s="62"/>
      <c r="B891" s="7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</row>
    <row r="892">
      <c r="A892" s="62"/>
      <c r="B892" s="7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</row>
    <row r="893">
      <c r="A893" s="62"/>
      <c r="B893" s="7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</row>
    <row r="894">
      <c r="A894" s="62"/>
      <c r="B894" s="7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</row>
    <row r="895">
      <c r="A895" s="62"/>
      <c r="B895" s="7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</row>
    <row r="896">
      <c r="A896" s="62"/>
      <c r="B896" s="7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</row>
    <row r="897">
      <c r="A897" s="62"/>
      <c r="B897" s="7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</row>
    <row r="898">
      <c r="A898" s="62"/>
      <c r="B898" s="7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</row>
    <row r="899">
      <c r="A899" s="62"/>
      <c r="B899" s="7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</row>
    <row r="900">
      <c r="A900" s="62"/>
      <c r="B900" s="7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</row>
    <row r="901">
      <c r="A901" s="62"/>
      <c r="B901" s="7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</row>
    <row r="902">
      <c r="A902" s="62"/>
      <c r="B902" s="7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</row>
    <row r="903">
      <c r="A903" s="62"/>
      <c r="B903" s="7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</row>
    <row r="904">
      <c r="A904" s="62"/>
      <c r="B904" s="7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</row>
    <row r="905">
      <c r="A905" s="62"/>
      <c r="B905" s="7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</row>
    <row r="906">
      <c r="A906" s="62"/>
      <c r="B906" s="7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</row>
    <row r="907">
      <c r="A907" s="62"/>
      <c r="B907" s="7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</row>
    <row r="908">
      <c r="A908" s="62"/>
      <c r="B908" s="7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</row>
    <row r="909">
      <c r="A909" s="62"/>
      <c r="B909" s="7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</row>
    <row r="910">
      <c r="A910" s="62"/>
      <c r="B910" s="7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</row>
    <row r="911">
      <c r="A911" s="62"/>
      <c r="B911" s="7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</row>
    <row r="912">
      <c r="A912" s="62"/>
      <c r="B912" s="7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</row>
    <row r="913">
      <c r="A913" s="62"/>
      <c r="B913" s="7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</row>
    <row r="914">
      <c r="A914" s="62"/>
      <c r="B914" s="7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</row>
    <row r="915">
      <c r="A915" s="62"/>
      <c r="B915" s="7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</row>
    <row r="916">
      <c r="A916" s="62"/>
      <c r="B916" s="7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</row>
    <row r="917">
      <c r="A917" s="62"/>
      <c r="B917" s="7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</row>
    <row r="918">
      <c r="A918" s="62"/>
      <c r="B918" s="7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</row>
    <row r="919">
      <c r="A919" s="62"/>
      <c r="B919" s="7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</row>
    <row r="920">
      <c r="A920" s="62"/>
      <c r="B920" s="7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</row>
    <row r="921">
      <c r="A921" s="62"/>
      <c r="B921" s="7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</row>
    <row r="922">
      <c r="A922" s="62"/>
      <c r="B922" s="7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</row>
    <row r="923">
      <c r="A923" s="62"/>
      <c r="B923" s="7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</row>
    <row r="924">
      <c r="A924" s="62"/>
      <c r="B924" s="7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</row>
    <row r="925">
      <c r="A925" s="62"/>
      <c r="B925" s="7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</row>
    <row r="926">
      <c r="A926" s="62"/>
      <c r="B926" s="7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</row>
    <row r="927">
      <c r="A927" s="62"/>
      <c r="B927" s="7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</row>
    <row r="928">
      <c r="A928" s="62"/>
      <c r="B928" s="7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</row>
    <row r="929">
      <c r="A929" s="62"/>
      <c r="B929" s="7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</row>
    <row r="930">
      <c r="A930" s="62"/>
      <c r="B930" s="7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</row>
    <row r="931">
      <c r="A931" s="62"/>
      <c r="B931" s="7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</row>
    <row r="932">
      <c r="A932" s="62"/>
      <c r="B932" s="7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</row>
    <row r="933">
      <c r="A933" s="62"/>
      <c r="B933" s="7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</row>
    <row r="934">
      <c r="A934" s="62"/>
      <c r="B934" s="7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</row>
    <row r="935">
      <c r="A935" s="62"/>
      <c r="B935" s="7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</row>
    <row r="936">
      <c r="A936" s="62"/>
      <c r="B936" s="7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</row>
    <row r="937">
      <c r="A937" s="62"/>
      <c r="B937" s="7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</row>
    <row r="938">
      <c r="A938" s="62"/>
      <c r="B938" s="7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</row>
    <row r="939">
      <c r="A939" s="62"/>
      <c r="B939" s="7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</row>
    <row r="940">
      <c r="A940" s="62"/>
      <c r="B940" s="7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</row>
    <row r="941">
      <c r="A941" s="62"/>
      <c r="B941" s="7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</row>
    <row r="942">
      <c r="A942" s="62"/>
      <c r="B942" s="7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</row>
    <row r="943">
      <c r="A943" s="62"/>
      <c r="B943" s="7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</row>
    <row r="944">
      <c r="A944" s="62"/>
      <c r="B944" s="7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</row>
    <row r="945">
      <c r="A945" s="62"/>
      <c r="B945" s="7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</row>
    <row r="946">
      <c r="A946" s="62"/>
      <c r="B946" s="7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</row>
    <row r="947">
      <c r="A947" s="62"/>
      <c r="B947" s="7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</row>
    <row r="948">
      <c r="A948" s="62"/>
      <c r="B948" s="7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</row>
    <row r="949">
      <c r="A949" s="62"/>
      <c r="B949" s="7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</row>
    <row r="950">
      <c r="A950" s="62"/>
      <c r="B950" s="7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</row>
    <row r="951">
      <c r="A951" s="62"/>
      <c r="B951" s="7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</row>
    <row r="952">
      <c r="A952" s="62"/>
      <c r="B952" s="7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</row>
    <row r="953">
      <c r="A953" s="62"/>
      <c r="B953" s="7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</row>
    <row r="954">
      <c r="A954" s="62"/>
      <c r="B954" s="7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</row>
    <row r="955">
      <c r="A955" s="62"/>
      <c r="B955" s="7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</row>
    <row r="956">
      <c r="A956" s="62"/>
      <c r="B956" s="7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</row>
    <row r="957">
      <c r="A957" s="62"/>
      <c r="B957" s="7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</row>
    <row r="958">
      <c r="A958" s="62"/>
      <c r="B958" s="7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</row>
    <row r="959">
      <c r="A959" s="62"/>
      <c r="B959" s="7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</row>
    <row r="960">
      <c r="A960" s="62"/>
      <c r="B960" s="7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</row>
    <row r="961">
      <c r="A961" s="62"/>
      <c r="B961" s="7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</row>
    <row r="962">
      <c r="A962" s="62"/>
      <c r="B962" s="7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</row>
    <row r="963">
      <c r="A963" s="62"/>
      <c r="B963" s="7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</row>
    <row r="964">
      <c r="A964" s="62"/>
      <c r="B964" s="7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</row>
    <row r="965">
      <c r="A965" s="62"/>
      <c r="B965" s="7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</row>
    <row r="966">
      <c r="A966" s="62"/>
      <c r="B966" s="7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</row>
    <row r="967">
      <c r="A967" s="62"/>
      <c r="B967" s="7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</row>
    <row r="968">
      <c r="A968" s="62"/>
      <c r="B968" s="7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</row>
    <row r="969">
      <c r="A969" s="62"/>
      <c r="B969" s="7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</row>
    <row r="970">
      <c r="A970" s="62"/>
      <c r="B970" s="7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</row>
    <row r="971">
      <c r="A971" s="62"/>
      <c r="B971" s="7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</row>
    <row r="972">
      <c r="A972" s="62"/>
      <c r="B972" s="7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</row>
    <row r="973">
      <c r="A973" s="62"/>
      <c r="B973" s="7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</row>
    <row r="974">
      <c r="A974" s="62"/>
      <c r="B974" s="7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</row>
    <row r="975">
      <c r="A975" s="62"/>
      <c r="B975" s="7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</row>
    <row r="976">
      <c r="A976" s="62"/>
      <c r="B976" s="7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</row>
    <row r="977">
      <c r="A977" s="62"/>
      <c r="B977" s="7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</row>
    <row r="978">
      <c r="A978" s="62"/>
      <c r="B978" s="7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</row>
    <row r="979">
      <c r="A979" s="62"/>
      <c r="B979" s="7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</row>
    <row r="980">
      <c r="A980" s="62"/>
      <c r="B980" s="7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</row>
    <row r="981">
      <c r="A981" s="62"/>
      <c r="B981" s="7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</row>
    <row r="982">
      <c r="A982" s="62"/>
      <c r="B982" s="7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</row>
    <row r="983">
      <c r="A983" s="62"/>
      <c r="B983" s="7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</row>
    <row r="984">
      <c r="A984" s="62"/>
      <c r="B984" s="7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</row>
    <row r="985">
      <c r="A985" s="62"/>
      <c r="B985" s="7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</row>
    <row r="986">
      <c r="A986" s="62"/>
      <c r="B986" s="7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</row>
    <row r="987">
      <c r="A987" s="62"/>
      <c r="B987" s="7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</row>
    <row r="988">
      <c r="A988" s="62"/>
      <c r="B988" s="7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</row>
    <row r="989">
      <c r="A989" s="62"/>
      <c r="B989" s="7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</row>
    <row r="990">
      <c r="A990" s="62"/>
      <c r="B990" s="7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</row>
    <row r="991">
      <c r="A991" s="62"/>
      <c r="B991" s="7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</row>
    <row r="992">
      <c r="A992" s="62"/>
      <c r="B992" s="7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</row>
    <row r="993">
      <c r="A993" s="62"/>
      <c r="B993" s="7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</row>
    <row r="994">
      <c r="A994" s="62"/>
      <c r="B994" s="7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</row>
    <row r="995">
      <c r="A995" s="62"/>
      <c r="B995" s="7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</row>
    <row r="996">
      <c r="A996" s="62"/>
      <c r="B996" s="7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</row>
    <row r="997">
      <c r="A997" s="62"/>
      <c r="B997" s="7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</row>
    <row r="998">
      <c r="A998" s="62"/>
      <c r="B998" s="7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</row>
    <row r="999">
      <c r="A999" s="62"/>
      <c r="B999" s="7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</row>
    <row r="1000">
      <c r="A1000" s="62"/>
      <c r="B1000" s="7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</row>
    <row r="1001">
      <c r="A1001" s="62"/>
      <c r="B1001" s="7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</row>
    <row r="1002">
      <c r="A1002" s="62"/>
      <c r="B1002" s="7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</row>
    <row r="1003">
      <c r="A1003" s="62"/>
      <c r="B1003" s="7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</row>
    <row r="1004">
      <c r="A1004" s="62"/>
      <c r="B1004" s="7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</row>
    <row r="1005">
      <c r="A1005" s="62"/>
      <c r="B1005" s="7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</row>
    <row r="1006">
      <c r="A1006" s="62"/>
      <c r="B1006" s="7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</row>
    <row r="1007">
      <c r="A1007" s="62"/>
      <c r="B1007" s="7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</row>
    <row r="1008">
      <c r="A1008" s="62"/>
      <c r="B1008" s="7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</row>
    <row r="1009">
      <c r="A1009" s="62"/>
      <c r="B1009" s="7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</row>
    <row r="1010">
      <c r="A1010" s="62"/>
      <c r="B1010" s="7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</row>
    <row r="1011">
      <c r="A1011" s="62"/>
      <c r="B1011" s="7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</row>
    <row r="1012">
      <c r="A1012" s="62"/>
      <c r="B1012" s="7"/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</row>
    <row r="1013">
      <c r="A1013" s="62"/>
      <c r="B1013" s="7"/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</row>
    <row r="1014">
      <c r="A1014" s="62"/>
      <c r="B1014" s="7"/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</row>
    <row r="1015">
      <c r="A1015" s="62"/>
      <c r="B1015" s="7"/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</row>
    <row r="1016">
      <c r="A1016" s="62"/>
      <c r="B1016" s="7"/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</row>
    <row r="1017">
      <c r="A1017" s="62"/>
      <c r="B1017" s="7"/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</row>
    <row r="1018">
      <c r="A1018" s="62"/>
      <c r="B1018" s="7"/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</row>
    <row r="1019">
      <c r="A1019" s="62"/>
      <c r="B1019" s="7"/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</row>
    <row r="1020">
      <c r="A1020" s="62"/>
      <c r="B1020" s="7"/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</row>
    <row r="1021">
      <c r="A1021" s="62"/>
      <c r="B1021" s="7"/>
      <c r="C1021" s="62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</row>
    <row r="1022">
      <c r="A1022" s="62"/>
      <c r="B1022" s="7"/>
      <c r="C1022" s="62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</row>
    <row r="1023">
      <c r="A1023" s="62"/>
      <c r="B1023" s="7"/>
      <c r="C1023" s="62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</row>
    <row r="1024">
      <c r="A1024" s="62"/>
      <c r="B1024" s="7"/>
      <c r="C1024" s="62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2"/>
    </row>
    <row r="1025">
      <c r="A1025" s="62"/>
      <c r="B1025" s="7"/>
      <c r="C1025" s="62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  <c r="AC1025" s="62"/>
      <c r="AD1025" s="62"/>
      <c r="AE1025" s="62"/>
      <c r="AF1025" s="62"/>
      <c r="AG1025" s="62"/>
      <c r="AH1025" s="62"/>
    </row>
    <row r="1026">
      <c r="A1026" s="62"/>
      <c r="B1026" s="7"/>
      <c r="C1026" s="62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  <c r="AC1026" s="62"/>
      <c r="AD1026" s="62"/>
      <c r="AE1026" s="62"/>
      <c r="AF1026" s="62"/>
      <c r="AG1026" s="62"/>
      <c r="AH1026" s="62"/>
    </row>
    <row r="1027">
      <c r="A1027" s="62"/>
      <c r="B1027" s="7"/>
      <c r="C1027" s="62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  <c r="AC1027" s="62"/>
      <c r="AD1027" s="62"/>
      <c r="AE1027" s="62"/>
      <c r="AF1027" s="62"/>
      <c r="AG1027" s="62"/>
      <c r="AH1027" s="62"/>
    </row>
    <row r="1028">
      <c r="A1028" s="62"/>
      <c r="B1028" s="7"/>
      <c r="C1028" s="62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  <c r="AC1028" s="62"/>
      <c r="AD1028" s="62"/>
      <c r="AE1028" s="62"/>
      <c r="AF1028" s="62"/>
      <c r="AG1028" s="62"/>
      <c r="AH1028" s="62"/>
    </row>
    <row r="1029">
      <c r="A1029" s="62"/>
      <c r="B1029" s="7"/>
      <c r="C1029" s="62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  <c r="AC1029" s="62"/>
      <c r="AD1029" s="62"/>
      <c r="AE1029" s="62"/>
      <c r="AF1029" s="62"/>
      <c r="AG1029" s="62"/>
      <c r="AH1029" s="62"/>
    </row>
    <row r="1030">
      <c r="A1030" s="62"/>
      <c r="B1030" s="7"/>
      <c r="C1030" s="62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  <c r="AC1030" s="62"/>
      <c r="AD1030" s="62"/>
      <c r="AE1030" s="62"/>
      <c r="AF1030" s="62"/>
      <c r="AG1030" s="62"/>
      <c r="AH1030" s="62"/>
    </row>
    <row r="1031">
      <c r="A1031" s="62"/>
      <c r="B1031" s="7"/>
      <c r="C1031" s="62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  <c r="AC1031" s="62"/>
      <c r="AD1031" s="62"/>
      <c r="AE1031" s="62"/>
      <c r="AF1031" s="62"/>
      <c r="AG1031" s="62"/>
      <c r="AH1031" s="62"/>
    </row>
    <row r="1032">
      <c r="A1032" s="62"/>
      <c r="B1032" s="7"/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</row>
    <row r="1033">
      <c r="A1033" s="62"/>
      <c r="B1033" s="7"/>
      <c r="C1033" s="62"/>
      <c r="D1033" s="62"/>
      <c r="E1033" s="62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</row>
    <row r="1034">
      <c r="A1034" s="62"/>
      <c r="B1034" s="7"/>
      <c r="C1034" s="62"/>
      <c r="D1034" s="62"/>
      <c r="E1034" s="62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  <c r="W1034" s="62"/>
      <c r="X1034" s="62"/>
      <c r="Y1034" s="62"/>
      <c r="Z1034" s="62"/>
      <c r="AA1034" s="62"/>
      <c r="AB1034" s="62"/>
      <c r="AC1034" s="62"/>
      <c r="AD1034" s="62"/>
      <c r="AE1034" s="62"/>
      <c r="AF1034" s="62"/>
      <c r="AG1034" s="62"/>
      <c r="AH1034" s="62"/>
    </row>
    <row r="1035">
      <c r="A1035" s="62"/>
      <c r="B1035" s="7"/>
      <c r="C1035" s="62"/>
      <c r="D1035" s="62"/>
      <c r="E1035" s="62"/>
      <c r="F1035" s="62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</row>
    <row r="1036">
      <c r="A1036" s="62"/>
      <c r="B1036" s="7"/>
      <c r="C1036" s="62"/>
      <c r="D1036" s="62"/>
      <c r="E1036" s="62"/>
      <c r="F1036" s="62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</row>
    <row r="1037">
      <c r="A1037" s="62"/>
      <c r="B1037" s="7"/>
      <c r="C1037" s="62"/>
      <c r="D1037" s="62"/>
      <c r="E1037" s="62"/>
      <c r="F1037" s="62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</row>
    <row r="1038">
      <c r="A1038" s="62"/>
      <c r="B1038" s="7"/>
      <c r="C1038" s="62"/>
      <c r="D1038" s="62"/>
      <c r="E1038" s="62"/>
      <c r="F1038" s="62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</row>
    <row r="1039">
      <c r="A1039" s="62"/>
      <c r="B1039" s="7"/>
      <c r="C1039" s="62"/>
      <c r="D1039" s="62"/>
      <c r="E1039" s="62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</row>
    <row r="1040">
      <c r="A1040" s="62"/>
      <c r="B1040" s="7"/>
      <c r="C1040" s="62"/>
      <c r="D1040" s="62"/>
      <c r="E1040" s="62"/>
      <c r="F1040" s="62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</row>
    <row r="1041">
      <c r="A1041" s="62"/>
      <c r="B1041" s="7"/>
      <c r="C1041" s="62"/>
      <c r="D1041" s="62"/>
      <c r="E1041" s="62"/>
      <c r="F1041" s="62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</row>
    <row r="1042">
      <c r="A1042" s="62"/>
      <c r="B1042" s="7"/>
      <c r="C1042" s="62"/>
      <c r="D1042" s="62"/>
      <c r="E1042" s="62"/>
      <c r="F1042" s="62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</row>
    <row r="1043">
      <c r="A1043" s="62"/>
      <c r="B1043" s="7"/>
      <c r="C1043" s="62"/>
      <c r="D1043" s="62"/>
      <c r="E1043" s="62"/>
      <c r="F1043" s="62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</row>
    <row r="1044">
      <c r="A1044" s="62"/>
      <c r="B1044" s="7"/>
      <c r="C1044" s="62"/>
      <c r="D1044" s="62"/>
      <c r="E1044" s="62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</row>
    <row r="1045">
      <c r="A1045" s="62"/>
      <c r="B1045" s="7"/>
      <c r="C1045" s="62"/>
      <c r="D1045" s="62"/>
      <c r="E1045" s="62"/>
      <c r="F1045" s="62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</row>
    <row r="1046">
      <c r="A1046" s="62"/>
      <c r="B1046" s="7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</row>
    <row r="1047">
      <c r="A1047" s="62"/>
      <c r="B1047" s="7"/>
      <c r="C1047" s="62"/>
      <c r="D1047" s="62"/>
      <c r="E1047" s="62"/>
      <c r="F1047" s="62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  <c r="W1047" s="62"/>
      <c r="X1047" s="62"/>
      <c r="Y1047" s="62"/>
      <c r="Z1047" s="62"/>
      <c r="AA1047" s="62"/>
      <c r="AB1047" s="62"/>
      <c r="AC1047" s="62"/>
      <c r="AD1047" s="62"/>
      <c r="AE1047" s="62"/>
      <c r="AF1047" s="62"/>
      <c r="AG1047" s="62"/>
      <c r="AH1047" s="62"/>
    </row>
    <row r="1048">
      <c r="A1048" s="62"/>
      <c r="B1048" s="7"/>
      <c r="C1048" s="62"/>
      <c r="D1048" s="62"/>
      <c r="E1048" s="62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  <c r="W1048" s="62"/>
      <c r="X1048" s="62"/>
      <c r="Y1048" s="62"/>
      <c r="Z1048" s="62"/>
      <c r="AA1048" s="62"/>
      <c r="AB1048" s="62"/>
      <c r="AC1048" s="62"/>
      <c r="AD1048" s="62"/>
      <c r="AE1048" s="62"/>
      <c r="AF1048" s="62"/>
      <c r="AG1048" s="62"/>
      <c r="AH1048" s="62"/>
    </row>
    <row r="1049">
      <c r="A1049" s="62"/>
      <c r="B1049" s="7"/>
      <c r="C1049" s="62"/>
      <c r="D1049" s="62"/>
      <c r="E1049" s="62"/>
      <c r="F1049" s="62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  <c r="W1049" s="62"/>
      <c r="X1049" s="62"/>
      <c r="Y1049" s="62"/>
      <c r="Z1049" s="62"/>
      <c r="AA1049" s="62"/>
      <c r="AB1049" s="62"/>
      <c r="AC1049" s="62"/>
      <c r="AD1049" s="62"/>
      <c r="AE1049" s="62"/>
      <c r="AF1049" s="62"/>
      <c r="AG1049" s="62"/>
      <c r="AH1049" s="62"/>
    </row>
    <row r="1050">
      <c r="A1050" s="62"/>
      <c r="B1050" s="7"/>
      <c r="C1050" s="62"/>
      <c r="D1050" s="62"/>
      <c r="E1050" s="62"/>
      <c r="F1050" s="62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  <c r="W1050" s="62"/>
      <c r="X1050" s="62"/>
      <c r="Y1050" s="62"/>
      <c r="Z1050" s="62"/>
      <c r="AA1050" s="62"/>
      <c r="AB1050" s="62"/>
      <c r="AC1050" s="62"/>
      <c r="AD1050" s="62"/>
      <c r="AE1050" s="62"/>
      <c r="AF1050" s="62"/>
      <c r="AG1050" s="62"/>
      <c r="AH1050" s="62"/>
    </row>
    <row r="1051">
      <c r="A1051" s="62"/>
      <c r="B1051" s="7"/>
      <c r="C1051" s="62"/>
      <c r="D1051" s="62"/>
      <c r="E1051" s="62"/>
      <c r="F1051" s="62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62"/>
      <c r="AE1051" s="62"/>
      <c r="AF1051" s="62"/>
      <c r="AG1051" s="62"/>
      <c r="AH1051" s="62"/>
    </row>
    <row r="1052">
      <c r="A1052" s="62"/>
      <c r="B1052" s="7"/>
      <c r="C1052" s="62"/>
      <c r="D1052" s="62"/>
      <c r="E1052" s="62"/>
      <c r="F1052" s="62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62"/>
      <c r="AE1052" s="62"/>
      <c r="AF1052" s="62"/>
      <c r="AG1052" s="62"/>
      <c r="AH1052" s="62"/>
    </row>
    <row r="1053">
      <c r="A1053" s="62"/>
      <c r="B1053" s="7"/>
      <c r="C1053" s="62"/>
      <c r="D1053" s="62"/>
      <c r="E1053" s="62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  <c r="W1053" s="62"/>
      <c r="X1053" s="62"/>
      <c r="Y1053" s="62"/>
      <c r="Z1053" s="62"/>
      <c r="AA1053" s="62"/>
      <c r="AB1053" s="62"/>
      <c r="AC1053" s="62"/>
      <c r="AD1053" s="62"/>
      <c r="AE1053" s="62"/>
      <c r="AF1053" s="62"/>
      <c r="AG1053" s="62"/>
      <c r="AH1053" s="62"/>
    </row>
    <row r="1054">
      <c r="A1054" s="62"/>
      <c r="B1054" s="7"/>
      <c r="C1054" s="62"/>
      <c r="D1054" s="62"/>
      <c r="E1054" s="62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  <c r="W1054" s="62"/>
      <c r="X1054" s="62"/>
      <c r="Y1054" s="62"/>
      <c r="Z1054" s="62"/>
      <c r="AA1054" s="62"/>
      <c r="AB1054" s="62"/>
      <c r="AC1054" s="62"/>
      <c r="AD1054" s="62"/>
      <c r="AE1054" s="62"/>
      <c r="AF1054" s="62"/>
      <c r="AG1054" s="62"/>
      <c r="AH1054" s="62"/>
    </row>
    <row r="1055">
      <c r="A1055" s="62"/>
      <c r="B1055" s="7"/>
      <c r="C1055" s="62"/>
      <c r="D1055" s="62"/>
      <c r="E1055" s="62"/>
      <c r="F1055" s="62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  <c r="W1055" s="62"/>
      <c r="X1055" s="62"/>
      <c r="Y1055" s="62"/>
      <c r="Z1055" s="62"/>
      <c r="AA1055" s="62"/>
      <c r="AB1055" s="62"/>
      <c r="AC1055" s="62"/>
      <c r="AD1055" s="62"/>
      <c r="AE1055" s="62"/>
      <c r="AF1055" s="62"/>
      <c r="AG1055" s="62"/>
      <c r="AH1055" s="62"/>
    </row>
    <row r="1056">
      <c r="A1056" s="62"/>
      <c r="B1056" s="7"/>
      <c r="C1056" s="62"/>
      <c r="D1056" s="62"/>
      <c r="E1056" s="62"/>
      <c r="F1056" s="62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  <c r="W1056" s="62"/>
      <c r="X1056" s="62"/>
      <c r="Y1056" s="62"/>
      <c r="Z1056" s="62"/>
      <c r="AA1056" s="62"/>
      <c r="AB1056" s="62"/>
      <c r="AC1056" s="62"/>
      <c r="AD1056" s="62"/>
      <c r="AE1056" s="62"/>
      <c r="AF1056" s="62"/>
      <c r="AG1056" s="62"/>
      <c r="AH1056" s="62"/>
    </row>
    <row r="1057">
      <c r="A1057" s="62"/>
      <c r="B1057" s="7"/>
      <c r="C1057" s="62"/>
      <c r="D1057" s="62"/>
      <c r="E1057" s="62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  <c r="W1057" s="62"/>
      <c r="X1057" s="62"/>
      <c r="Y1057" s="62"/>
      <c r="Z1057" s="62"/>
      <c r="AA1057" s="62"/>
      <c r="AB1057" s="62"/>
      <c r="AC1057" s="62"/>
      <c r="AD1057" s="62"/>
      <c r="AE1057" s="62"/>
      <c r="AF1057" s="62"/>
      <c r="AG1057" s="62"/>
      <c r="AH1057" s="62"/>
    </row>
    <row r="1058">
      <c r="A1058" s="62"/>
      <c r="B1058" s="7"/>
      <c r="C1058" s="62"/>
      <c r="D1058" s="62"/>
      <c r="E1058" s="62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  <c r="W1058" s="62"/>
      <c r="X1058" s="62"/>
      <c r="Y1058" s="62"/>
      <c r="Z1058" s="62"/>
      <c r="AA1058" s="62"/>
      <c r="AB1058" s="62"/>
      <c r="AC1058" s="62"/>
      <c r="AD1058" s="62"/>
      <c r="AE1058" s="62"/>
      <c r="AF1058" s="62"/>
      <c r="AG1058" s="62"/>
      <c r="AH1058" s="62"/>
    </row>
    <row r="1059">
      <c r="A1059" s="62"/>
      <c r="B1059" s="7"/>
      <c r="C1059" s="62"/>
      <c r="D1059" s="62"/>
      <c r="E1059" s="62"/>
      <c r="F1059" s="62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  <c r="W1059" s="62"/>
      <c r="X1059" s="62"/>
      <c r="Y1059" s="62"/>
      <c r="Z1059" s="62"/>
      <c r="AA1059" s="62"/>
      <c r="AB1059" s="62"/>
      <c r="AC1059" s="62"/>
      <c r="AD1059" s="62"/>
      <c r="AE1059" s="62"/>
      <c r="AF1059" s="62"/>
      <c r="AG1059" s="62"/>
      <c r="AH1059" s="62"/>
    </row>
    <row r="1060">
      <c r="A1060" s="62"/>
      <c r="B1060" s="7"/>
      <c r="C1060" s="62"/>
      <c r="D1060" s="62"/>
      <c r="E1060" s="62"/>
      <c r="F1060" s="62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  <c r="W1060" s="62"/>
      <c r="X1060" s="62"/>
      <c r="Y1060" s="62"/>
      <c r="Z1060" s="62"/>
      <c r="AA1060" s="62"/>
      <c r="AB1060" s="62"/>
      <c r="AC1060" s="62"/>
      <c r="AD1060" s="62"/>
      <c r="AE1060" s="62"/>
      <c r="AF1060" s="62"/>
      <c r="AG1060" s="62"/>
      <c r="AH1060" s="62"/>
    </row>
    <row r="1061">
      <c r="A1061" s="62"/>
      <c r="B1061" s="7"/>
      <c r="C1061" s="62"/>
      <c r="D1061" s="62"/>
      <c r="E1061" s="62"/>
      <c r="F1061" s="62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  <c r="W1061" s="62"/>
      <c r="X1061" s="62"/>
      <c r="Y1061" s="62"/>
      <c r="Z1061" s="62"/>
      <c r="AA1061" s="62"/>
      <c r="AB1061" s="62"/>
      <c r="AC1061" s="62"/>
      <c r="AD1061" s="62"/>
      <c r="AE1061" s="62"/>
      <c r="AF1061" s="62"/>
      <c r="AG1061" s="62"/>
      <c r="AH1061" s="62"/>
    </row>
    <row r="1062">
      <c r="A1062" s="62"/>
      <c r="B1062" s="7"/>
      <c r="C1062" s="62"/>
      <c r="D1062" s="62"/>
      <c r="E1062" s="62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2"/>
      <c r="AB1062" s="62"/>
      <c r="AC1062" s="62"/>
      <c r="AD1062" s="62"/>
      <c r="AE1062" s="62"/>
      <c r="AF1062" s="62"/>
      <c r="AG1062" s="62"/>
      <c r="AH1062" s="62"/>
    </row>
    <row r="1063">
      <c r="A1063" s="62"/>
      <c r="B1063" s="7"/>
      <c r="C1063" s="62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  <c r="W1063" s="62"/>
      <c r="X1063" s="62"/>
      <c r="Y1063" s="62"/>
      <c r="Z1063" s="62"/>
      <c r="AA1063" s="62"/>
      <c r="AB1063" s="62"/>
      <c r="AC1063" s="62"/>
      <c r="AD1063" s="62"/>
      <c r="AE1063" s="62"/>
      <c r="AF1063" s="62"/>
      <c r="AG1063" s="62"/>
      <c r="AH1063" s="62"/>
    </row>
    <row r="1064">
      <c r="A1064" s="62"/>
      <c r="B1064" s="7"/>
      <c r="C1064" s="62"/>
      <c r="D1064" s="62"/>
      <c r="E1064" s="62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  <c r="W1064" s="62"/>
      <c r="X1064" s="62"/>
      <c r="Y1064" s="62"/>
      <c r="Z1064" s="62"/>
      <c r="AA1064" s="62"/>
      <c r="AB1064" s="62"/>
      <c r="AC1064" s="62"/>
      <c r="AD1064" s="62"/>
      <c r="AE1064" s="62"/>
      <c r="AF1064" s="62"/>
      <c r="AG1064" s="62"/>
      <c r="AH1064" s="62"/>
    </row>
    <row r="1065">
      <c r="A1065" s="62"/>
      <c r="B1065" s="7"/>
      <c r="C1065" s="62"/>
      <c r="D1065" s="62"/>
      <c r="E1065" s="62"/>
      <c r="F1065" s="62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  <c r="W1065" s="62"/>
      <c r="X1065" s="62"/>
      <c r="Y1065" s="62"/>
      <c r="Z1065" s="62"/>
      <c r="AA1065" s="62"/>
      <c r="AB1065" s="62"/>
      <c r="AC1065" s="62"/>
      <c r="AD1065" s="62"/>
      <c r="AE1065" s="62"/>
      <c r="AF1065" s="62"/>
      <c r="AG1065" s="62"/>
      <c r="AH1065" s="62"/>
    </row>
    <row r="1066">
      <c r="A1066" s="62"/>
      <c r="B1066" s="7"/>
      <c r="C1066" s="62"/>
      <c r="D1066" s="62"/>
      <c r="E1066" s="62"/>
      <c r="F1066" s="62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  <c r="W1066" s="62"/>
      <c r="X1066" s="62"/>
      <c r="Y1066" s="62"/>
      <c r="Z1066" s="62"/>
      <c r="AA1066" s="62"/>
      <c r="AB1066" s="62"/>
      <c r="AC1066" s="62"/>
      <c r="AD1066" s="62"/>
      <c r="AE1066" s="62"/>
      <c r="AF1066" s="62"/>
      <c r="AG1066" s="62"/>
      <c r="AH1066" s="62"/>
    </row>
    <row r="1067">
      <c r="A1067" s="62"/>
      <c r="B1067" s="7"/>
      <c r="C1067" s="62"/>
      <c r="D1067" s="62"/>
      <c r="E1067" s="62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  <c r="W1067" s="62"/>
      <c r="X1067" s="62"/>
      <c r="Y1067" s="62"/>
      <c r="Z1067" s="62"/>
      <c r="AA1067" s="62"/>
      <c r="AB1067" s="62"/>
      <c r="AC1067" s="62"/>
      <c r="AD1067" s="62"/>
      <c r="AE1067" s="62"/>
      <c r="AF1067" s="62"/>
      <c r="AG1067" s="62"/>
      <c r="AH1067" s="62"/>
    </row>
    <row r="1068">
      <c r="A1068" s="62"/>
      <c r="B1068" s="7"/>
      <c r="C1068" s="62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  <c r="W1068" s="62"/>
      <c r="X1068" s="62"/>
      <c r="Y1068" s="62"/>
      <c r="Z1068" s="62"/>
      <c r="AA1068" s="62"/>
      <c r="AB1068" s="62"/>
      <c r="AC1068" s="62"/>
      <c r="AD1068" s="62"/>
      <c r="AE1068" s="62"/>
      <c r="AF1068" s="62"/>
      <c r="AG1068" s="62"/>
      <c r="AH1068" s="62"/>
    </row>
    <row r="1069">
      <c r="A1069" s="62"/>
      <c r="B1069" s="7"/>
      <c r="C1069" s="62"/>
      <c r="D1069" s="62"/>
      <c r="E1069" s="62"/>
      <c r="F1069" s="62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  <c r="W1069" s="62"/>
      <c r="X1069" s="62"/>
      <c r="Y1069" s="62"/>
      <c r="Z1069" s="62"/>
      <c r="AA1069" s="62"/>
      <c r="AB1069" s="62"/>
      <c r="AC1069" s="62"/>
      <c r="AD1069" s="62"/>
      <c r="AE1069" s="62"/>
      <c r="AF1069" s="62"/>
      <c r="AG1069" s="62"/>
      <c r="AH1069" s="62"/>
    </row>
    <row r="1070">
      <c r="A1070" s="62"/>
      <c r="B1070" s="7"/>
      <c r="C1070" s="62"/>
      <c r="D1070" s="62"/>
      <c r="E1070" s="62"/>
      <c r="F1070" s="62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</row>
    <row r="1071">
      <c r="A1071" s="62"/>
      <c r="B1071" s="7"/>
      <c r="C1071" s="62"/>
      <c r="D1071" s="62"/>
      <c r="E1071" s="62"/>
      <c r="F1071" s="62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</row>
    <row r="1072">
      <c r="A1072" s="62"/>
      <c r="B1072" s="7"/>
      <c r="C1072" s="62"/>
      <c r="D1072" s="62"/>
      <c r="E1072" s="62"/>
      <c r="F1072" s="62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  <c r="W1072" s="62"/>
      <c r="X1072" s="62"/>
      <c r="Y1072" s="62"/>
      <c r="Z1072" s="62"/>
      <c r="AA1072" s="62"/>
      <c r="AB1072" s="62"/>
      <c r="AC1072" s="62"/>
      <c r="AD1072" s="62"/>
      <c r="AE1072" s="62"/>
      <c r="AF1072" s="62"/>
      <c r="AG1072" s="62"/>
      <c r="AH1072" s="62"/>
    </row>
    <row r="1073">
      <c r="A1073" s="62"/>
      <c r="B1073" s="7"/>
      <c r="C1073" s="62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</row>
    <row r="1074">
      <c r="A1074" s="62"/>
      <c r="B1074" s="7"/>
      <c r="C1074" s="62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</row>
    <row r="1075">
      <c r="A1075" s="62"/>
      <c r="B1075" s="7"/>
      <c r="C1075" s="62"/>
      <c r="D1075" s="62"/>
      <c r="E1075" s="62"/>
      <c r="F1075" s="62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</row>
    <row r="1076">
      <c r="A1076" s="62"/>
      <c r="B1076" s="7"/>
      <c r="C1076" s="62"/>
      <c r="D1076" s="62"/>
      <c r="E1076" s="62"/>
      <c r="F1076" s="62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</row>
  </sheetData>
  <conditionalFormatting sqref="C2:AH1076">
    <cfRule type="expression" dxfId="0" priority="1">
      <formula>and(not(isformula(C2)),not(isblank(C2)))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63"/>
    <col customWidth="1" min="6" max="6" width="5.63"/>
    <col customWidth="1" min="7" max="7" width="13.88"/>
  </cols>
  <sheetData>
    <row r="1">
      <c r="A1" s="33" t="s">
        <v>251</v>
      </c>
      <c r="B1" s="33" t="s">
        <v>252</v>
      </c>
      <c r="D1" s="33" t="s">
        <v>49</v>
      </c>
      <c r="E1" s="33" t="s">
        <v>253</v>
      </c>
      <c r="G1" s="33" t="s">
        <v>254</v>
      </c>
      <c r="H1" s="33" t="s">
        <v>253</v>
      </c>
    </row>
    <row r="2">
      <c r="A2" s="4">
        <v>0.0</v>
      </c>
      <c r="B2" s="4">
        <f t="shared" ref="B2:B12" si="1">A2*10</f>
        <v>0</v>
      </c>
      <c r="D2" s="4">
        <v>0.0</v>
      </c>
      <c r="E2" s="4">
        <v>0.0</v>
      </c>
      <c r="G2" s="4">
        <v>0.0</v>
      </c>
      <c r="H2" s="4">
        <v>2.0</v>
      </c>
    </row>
    <row r="3">
      <c r="A3" s="4">
        <v>50.0</v>
      </c>
      <c r="B3" s="4">
        <f t="shared" si="1"/>
        <v>500</v>
      </c>
      <c r="D3" s="4">
        <v>5.0</v>
      </c>
      <c r="E3" s="4">
        <v>1.0</v>
      </c>
      <c r="G3" s="4">
        <v>7500.0</v>
      </c>
      <c r="H3" s="4">
        <v>4.0</v>
      </c>
    </row>
    <row r="4">
      <c r="A4" s="4">
        <v>100.0</v>
      </c>
      <c r="B4" s="4">
        <f t="shared" si="1"/>
        <v>1000</v>
      </c>
      <c r="D4" s="4">
        <v>10.0</v>
      </c>
      <c r="E4" s="4">
        <v>2.0</v>
      </c>
      <c r="G4" s="4">
        <v>15000.0</v>
      </c>
      <c r="H4" s="4">
        <v>6.0</v>
      </c>
    </row>
    <row r="5">
      <c r="A5" s="4">
        <v>150.0</v>
      </c>
      <c r="B5" s="4">
        <f t="shared" si="1"/>
        <v>1500</v>
      </c>
      <c r="D5" s="4">
        <v>15.0</v>
      </c>
      <c r="E5" s="4">
        <v>3.0</v>
      </c>
      <c r="G5" s="4">
        <v>22500.0</v>
      </c>
      <c r="H5" s="4">
        <v>8.0</v>
      </c>
    </row>
    <row r="6">
      <c r="A6" s="4">
        <v>200.0</v>
      </c>
      <c r="B6" s="4">
        <f t="shared" si="1"/>
        <v>2000</v>
      </c>
      <c r="D6" s="4">
        <v>20.0</v>
      </c>
      <c r="E6" s="4">
        <v>4.0</v>
      </c>
      <c r="G6" s="4">
        <v>30000.0</v>
      </c>
      <c r="H6" s="4">
        <v>10.0</v>
      </c>
    </row>
    <row r="7">
      <c r="A7" s="4">
        <v>250.0</v>
      </c>
      <c r="B7" s="4">
        <f t="shared" si="1"/>
        <v>2500</v>
      </c>
      <c r="D7" s="4">
        <v>25.0</v>
      </c>
      <c r="E7" s="4">
        <v>5.0</v>
      </c>
      <c r="G7" s="4">
        <v>37500.0</v>
      </c>
      <c r="H7" s="4">
        <v>12.0</v>
      </c>
    </row>
    <row r="8">
      <c r="A8" s="4">
        <v>300.0</v>
      </c>
      <c r="B8" s="4">
        <f t="shared" si="1"/>
        <v>3000</v>
      </c>
      <c r="D8" s="4">
        <v>30.0</v>
      </c>
      <c r="E8" s="4">
        <v>6.0</v>
      </c>
      <c r="G8" s="4">
        <v>45000.0</v>
      </c>
    </row>
    <row r="9">
      <c r="A9" s="4">
        <v>350.0</v>
      </c>
      <c r="B9" s="4">
        <f t="shared" si="1"/>
        <v>3500</v>
      </c>
      <c r="G9" s="4">
        <v>52500.0</v>
      </c>
    </row>
    <row r="10">
      <c r="A10" s="4">
        <v>400.0</v>
      </c>
      <c r="B10" s="4">
        <f t="shared" si="1"/>
        <v>4000</v>
      </c>
      <c r="G10" s="4">
        <v>60000.0</v>
      </c>
    </row>
    <row r="11">
      <c r="A11" s="4">
        <v>450.0</v>
      </c>
      <c r="B11" s="4">
        <f t="shared" si="1"/>
        <v>4500</v>
      </c>
      <c r="G11" s="4">
        <v>67500.0</v>
      </c>
    </row>
    <row r="12">
      <c r="A12" s="4">
        <v>500.0</v>
      </c>
      <c r="B12" s="4">
        <f t="shared" si="1"/>
        <v>5000</v>
      </c>
      <c r="G12" s="4">
        <v>75000.0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16161</v>
      </c>
      <c r="B1" s="4" t="s">
        <v>277</v>
      </c>
      <c r="C1" s="4" t="s">
        <v>278</v>
      </c>
      <c r="D1" s="94">
        <v>9999.0</v>
      </c>
    </row>
    <row r="2">
      <c r="A2" s="40">
        <f t="array" ref="A2">IFNA(index(PlayerValues!A:A,match(IFNA(vlookup(B2,'Special Names'!A:B,2,FALSE),B2),PlayerValues!E:E,0)),"N/A")</f>
        <v>16162</v>
      </c>
      <c r="B2" s="4" t="s">
        <v>281</v>
      </c>
      <c r="C2" s="4" t="s">
        <v>278</v>
      </c>
      <c r="D2" s="94">
        <v>9999.0</v>
      </c>
    </row>
    <row r="3">
      <c r="A3" s="40">
        <f t="array" ref="A3">IFNA(index(PlayerValues!A:A,match(IFNA(vlookup(B3,'Special Names'!A:B,2,FALSE),B3),PlayerValues!E:E,0)),"N/A")</f>
        <v>13589</v>
      </c>
      <c r="B3" s="4" t="s">
        <v>282</v>
      </c>
      <c r="C3" s="4" t="s">
        <v>283</v>
      </c>
      <c r="D3" s="94">
        <v>9994.0</v>
      </c>
    </row>
    <row r="4">
      <c r="A4" s="40">
        <f t="array" ref="A4">IFNA(index(PlayerValues!A:A,match(IFNA(vlookup(B4,'Special Names'!A:B,2,FALSE),B4),PlayerValues!E:E,0)),"N/A")</f>
        <v>15281</v>
      </c>
      <c r="B4" s="4" t="s">
        <v>286</v>
      </c>
      <c r="C4" s="4" t="s">
        <v>287</v>
      </c>
      <c r="D4" s="94">
        <v>9978.0</v>
      </c>
    </row>
    <row r="5">
      <c r="A5" s="40">
        <f t="array" ref="A5">IFNA(index(PlayerValues!A:A,match(IFNA(vlookup(B5,'Special Names'!A:B,2,FALSE),B5),PlayerValues!E:E,0)),"N/A")</f>
        <v>16185</v>
      </c>
      <c r="B5" s="4" t="s">
        <v>290</v>
      </c>
      <c r="C5" s="4" t="s">
        <v>287</v>
      </c>
      <c r="D5" s="94">
        <v>9196.0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8898.0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8581.0</v>
      </c>
    </row>
    <row r="8">
      <c r="A8" s="40">
        <f t="array" ref="A8">IFNA(index(PlayerValues!A:A,match(IFNA(vlookup(B8,'Special Names'!A:B,2,FALSE),B8),PlayerValues!E:E,0)),"N/A")</f>
        <v>16641</v>
      </c>
      <c r="B8" s="4" t="s">
        <v>297</v>
      </c>
      <c r="C8" s="4" t="s">
        <v>298</v>
      </c>
      <c r="D8" s="94">
        <v>9140.0</v>
      </c>
    </row>
    <row r="9">
      <c r="A9" s="40">
        <f t="array" ref="A9">IFNA(index(PlayerValues!A:A,match(IFNA(vlookup(B9,'Special Names'!A:B,2,FALSE),B9),PlayerValues!E:E,0)),"N/A")</f>
        <v>15287</v>
      </c>
      <c r="B9" s="4" t="s">
        <v>299</v>
      </c>
      <c r="C9" s="4" t="s">
        <v>287</v>
      </c>
      <c r="D9" s="94">
        <v>8189.0</v>
      </c>
    </row>
    <row r="10">
      <c r="A10" s="40">
        <f t="array" ref="A10">IFNA(index(PlayerValues!A:A,match(IFNA(vlookup(B10,'Special Names'!A:B,2,FALSE),B10),PlayerValues!E:E,0)),"N/A")</f>
        <v>16579</v>
      </c>
      <c r="B10" s="4" t="s">
        <v>302</v>
      </c>
      <c r="C10" s="4" t="s">
        <v>283</v>
      </c>
      <c r="D10" s="94">
        <v>7817.0</v>
      </c>
    </row>
    <row r="11">
      <c r="A11" s="40">
        <f t="array" ref="A11">IFNA(index(PlayerValues!A:A,match(IFNA(vlookup(B11,'Special Names'!A:B,2,FALSE),B11),PlayerValues!E:E,0)),"N/A")</f>
        <v>13593</v>
      </c>
      <c r="B11" s="4" t="s">
        <v>305</v>
      </c>
      <c r="C11" s="4" t="s">
        <v>283</v>
      </c>
      <c r="D11" s="94">
        <v>7542.0</v>
      </c>
    </row>
    <row r="12">
      <c r="A12" s="40">
        <f t="array" ref="A12">IFNA(index(PlayerValues!A:A,match(IFNA(vlookup(B12,'Special Names'!A:B,2,FALSE),B12),PlayerValues!E:E,0)),"N/A")</f>
        <v>14836</v>
      </c>
      <c r="B12" s="4" t="s">
        <v>306</v>
      </c>
      <c r="C12" s="4" t="s">
        <v>287</v>
      </c>
      <c r="D12" s="94">
        <v>7390.0</v>
      </c>
    </row>
    <row r="13">
      <c r="A13" s="40">
        <f t="array" ref="A13">IFNA(index(PlayerValues!A:A,match(IFNA(vlookup(B13,'Special Names'!A:B,2,FALSE),B13),PlayerValues!E:E,0)),"N/A")</f>
        <v>16615</v>
      </c>
      <c r="B13" s="4" t="s">
        <v>309</v>
      </c>
      <c r="C13" s="4" t="s">
        <v>287</v>
      </c>
      <c r="D13" s="94">
        <v>7362.0</v>
      </c>
    </row>
    <row r="14">
      <c r="A14" s="40">
        <f t="array" ref="A14">IFNA(index(PlayerValues!A:A,match(IFNA(vlookup(B14,'Special Names'!A:B,2,FALSE),B14),PlayerValues!E:E,0)),"N/A")</f>
        <v>17472</v>
      </c>
      <c r="B14" s="4" t="s">
        <v>310</v>
      </c>
      <c r="C14" s="4" t="s">
        <v>278</v>
      </c>
      <c r="D14" s="94">
        <v>7334.0</v>
      </c>
    </row>
    <row r="15">
      <c r="A15" s="40">
        <f t="array" ref="A15">IFNA(index(PlayerValues!A:A,match(IFNA(vlookup(B15,'Special Names'!A:B,2,FALSE),B15),PlayerValues!E:E,0)),"N/A")</f>
        <v>15794</v>
      </c>
      <c r="B15" s="4" t="s">
        <v>313</v>
      </c>
      <c r="C15" s="4" t="s">
        <v>298</v>
      </c>
      <c r="D15" s="94">
        <v>8091.0</v>
      </c>
    </row>
    <row r="16">
      <c r="A16" s="40">
        <f t="array" ref="A16">IFNA(index(PlayerValues!A:A,match(IFNA(vlookup(B16,'Special Names'!A:B,2,FALSE),B16),PlayerValues!E:E,0)),"N/A")</f>
        <v>17042</v>
      </c>
      <c r="B16" s="4" t="s">
        <v>314</v>
      </c>
      <c r="C16" s="4" t="s">
        <v>278</v>
      </c>
      <c r="D16" s="94">
        <v>7295.0</v>
      </c>
    </row>
    <row r="17">
      <c r="A17" s="40">
        <f t="array" ref="A17">IFNA(index(PlayerValues!A:A,match(IFNA(vlookup(B17,'Special Names'!A:B,2,FALSE),B17),PlayerValues!E:E,0)),"N/A")</f>
        <v>16581</v>
      </c>
      <c r="B17" s="4" t="s">
        <v>315</v>
      </c>
      <c r="C17" s="4" t="s">
        <v>283</v>
      </c>
      <c r="D17" s="94">
        <v>7267.0</v>
      </c>
    </row>
    <row r="18">
      <c r="A18" s="40">
        <f t="array" ref="A18">IFNA(index(PlayerValues!A:A,match(IFNA(vlookup(B18,'Special Names'!A:B,2,FALSE),B18),PlayerValues!E:E,0)),"N/A")</f>
        <v>14777</v>
      </c>
      <c r="B18" s="4" t="s">
        <v>318</v>
      </c>
      <c r="C18" s="4" t="s">
        <v>283</v>
      </c>
      <c r="D18" s="94">
        <v>7236.0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7194.0</v>
      </c>
    </row>
    <row r="20">
      <c r="A20" s="40">
        <f t="array" ref="A20">IFNA(index(PlayerValues!A:A,match(IFNA(vlookup(B20,'Special Names'!A:B,2,FALSE),B20),PlayerValues!E:E,0)),"N/A")</f>
        <v>17044</v>
      </c>
      <c r="B20" s="4" t="s">
        <v>322</v>
      </c>
      <c r="C20" s="4" t="s">
        <v>278</v>
      </c>
      <c r="D20" s="94">
        <v>6966.0</v>
      </c>
    </row>
    <row r="21">
      <c r="A21" s="40">
        <f t="array" ref="A21">IFNA(index(PlayerValues!A:A,match(IFNA(vlookup(B21,'Special Names'!A:B,2,FALSE),B21),PlayerValues!E:E,0)),"N/A")</f>
        <v>16167</v>
      </c>
      <c r="B21" s="4" t="s">
        <v>323</v>
      </c>
      <c r="C21" s="4" t="s">
        <v>278</v>
      </c>
      <c r="D21" s="94">
        <v>6948.0</v>
      </c>
    </row>
    <row r="22">
      <c r="A22" s="40" t="str">
        <f t="array" ref="A22">IFNA(index(PlayerValues!A:A,match(IFNA(vlookup(B22,'Special Names'!A:B,2,FALSE),B22),PlayerValues!E:E,0)),"N/A")</f>
        <v>N/A</v>
      </c>
      <c r="B22" s="4" t="s">
        <v>92</v>
      </c>
      <c r="C22" s="4" t="s">
        <v>325</v>
      </c>
      <c r="D22" s="94">
        <v>6938.0</v>
      </c>
    </row>
    <row r="23">
      <c r="A23" s="40">
        <f t="array" ref="A23">IFNA(index(PlayerValues!A:A,match(IFNA(vlookup(B23,'Special Names'!A:B,2,FALSE),B23),PlayerValues!E:E,0)),"N/A")</f>
        <v>14779</v>
      </c>
      <c r="B23" s="4" t="s">
        <v>327</v>
      </c>
      <c r="C23" s="4" t="s">
        <v>283</v>
      </c>
      <c r="D23" s="94">
        <v>6936.0</v>
      </c>
    </row>
    <row r="24">
      <c r="A24" s="40">
        <f t="array" ref="A24">IFNA(index(PlayerValues!A:A,match(IFNA(vlookup(B24,'Special Names'!A:B,2,FALSE),B24),PlayerValues!E:E,0)),"N/A")</f>
        <v>15751</v>
      </c>
      <c r="B24" s="4" t="s">
        <v>328</v>
      </c>
      <c r="C24" s="4" t="s">
        <v>287</v>
      </c>
      <c r="D24" s="94">
        <v>6795.0</v>
      </c>
    </row>
    <row r="25">
      <c r="A25" s="40">
        <f t="array" ref="A25">IFNA(index(PlayerValues!A:A,match(IFNA(vlookup(B25,'Special Names'!A:B,2,FALSE),B25),PlayerValues!E:E,0)),"N/A")</f>
        <v>15715</v>
      </c>
      <c r="B25" s="4" t="s">
        <v>331</v>
      </c>
      <c r="C25" s="4" t="s">
        <v>278</v>
      </c>
      <c r="D25" s="94">
        <v>6521.0</v>
      </c>
    </row>
    <row r="26">
      <c r="A26" s="40">
        <f t="array" ref="A26">IFNA(index(PlayerValues!A:A,match(IFNA(vlookup(B26,'Special Names'!A:B,2,FALSE),B26),PlayerValues!E:E,0)),"N/A")</f>
        <v>14802</v>
      </c>
      <c r="B26" s="4" t="s">
        <v>332</v>
      </c>
      <c r="C26" s="4" t="s">
        <v>278</v>
      </c>
      <c r="D26" s="94">
        <v>6377.0</v>
      </c>
    </row>
    <row r="27">
      <c r="A27" s="40">
        <f t="array" ref="A27">IFNA(index(PlayerValues!A:A,match(IFNA(vlookup(B27,'Special Names'!A:B,2,FALSE),B27),PlayerValues!E:E,0)),"N/A")</f>
        <v>17104</v>
      </c>
      <c r="B27" s="4" t="s">
        <v>333</v>
      </c>
      <c r="C27" s="4" t="s">
        <v>298</v>
      </c>
      <c r="D27" s="94">
        <v>7040.0</v>
      </c>
    </row>
    <row r="28">
      <c r="A28" s="40">
        <f t="array" ref="A28">IFNA(index(PlayerValues!A:A,match(IFNA(vlookup(B28,'Special Names'!A:B,2,FALSE),B28),PlayerValues!E:E,0)),"N/A")</f>
        <v>15237</v>
      </c>
      <c r="B28" s="4" t="s">
        <v>336</v>
      </c>
      <c r="C28" s="4" t="s">
        <v>283</v>
      </c>
      <c r="D28" s="94">
        <v>6319.0</v>
      </c>
    </row>
    <row r="29">
      <c r="A29" s="40">
        <f t="array" ref="A29">IFNA(index(PlayerValues!A:A,match(IFNA(vlookup(B29,'Special Names'!A:B,2,FALSE),B29),PlayerValues!E:E,0)),"N/A")</f>
        <v>15762</v>
      </c>
      <c r="B29" s="4" t="s">
        <v>337</v>
      </c>
      <c r="C29" s="4" t="s">
        <v>287</v>
      </c>
      <c r="D29" s="94">
        <v>6253.0</v>
      </c>
    </row>
    <row r="30">
      <c r="A30" s="40">
        <f t="array" ref="A30">IFNA(index(PlayerValues!A:A,match(IFNA(vlookup(B30,'Special Names'!A:B,2,FALSE),B30),PlayerValues!E:E,0)),"N/A")</f>
        <v>17081</v>
      </c>
      <c r="B30" s="4" t="s">
        <v>340</v>
      </c>
      <c r="C30" s="4" t="s">
        <v>287</v>
      </c>
      <c r="D30" s="94">
        <v>6191.0</v>
      </c>
    </row>
    <row r="31">
      <c r="A31" s="40">
        <f t="array" ref="A31">IFNA(index(PlayerValues!A:A,match(IFNA(vlookup(B31,'Special Names'!A:B,2,FALSE),B31),PlayerValues!E:E,0)),"N/A")</f>
        <v>17071</v>
      </c>
      <c r="B31" s="4" t="s">
        <v>341</v>
      </c>
      <c r="C31" s="4" t="s">
        <v>287</v>
      </c>
      <c r="D31" s="94">
        <v>6187.0</v>
      </c>
    </row>
    <row r="32">
      <c r="A32" s="40">
        <f t="array" ref="A32">IFNA(index(PlayerValues!A:A,match(IFNA(vlookup(B32,'Special Names'!A:B,2,FALSE),B32),PlayerValues!E:E,0)),"N/A")</f>
        <v>14783</v>
      </c>
      <c r="B32" s="4" t="s">
        <v>342</v>
      </c>
      <c r="C32" s="4" t="s">
        <v>283</v>
      </c>
      <c r="D32" s="94">
        <v>6041.0</v>
      </c>
    </row>
    <row r="33">
      <c r="A33" s="40">
        <f t="array" ref="A33">IFNA(index(PlayerValues!A:A,match(IFNA(vlookup(B33,'Special Names'!A:B,2,FALSE),B33),PlayerValues!E:E,0)),"N/A")</f>
        <v>16582</v>
      </c>
      <c r="B33" s="4" t="s">
        <v>343</v>
      </c>
      <c r="C33" s="4" t="s">
        <v>283</v>
      </c>
      <c r="D33" s="94">
        <v>6025.0</v>
      </c>
    </row>
    <row r="34">
      <c r="A34" s="40">
        <f t="array" ref="A34">IFNA(index(PlayerValues!A:A,match(IFNA(vlookup(B34,'Special Names'!A:B,2,FALSE),B34),PlayerValues!E:E,0)),"N/A")</f>
        <v>17102</v>
      </c>
      <c r="B34" s="4" t="s">
        <v>344</v>
      </c>
      <c r="C34" s="4" t="s">
        <v>298</v>
      </c>
      <c r="D34" s="94">
        <v>6638.0</v>
      </c>
    </row>
    <row r="35">
      <c r="A35" s="40">
        <f t="array" ref="A35">IFNA(index(PlayerValues!A:A,match(IFNA(vlookup(B35,'Special Names'!A:B,2,FALSE),B35),PlayerValues!E:E,0)),"N/A")</f>
        <v>13116</v>
      </c>
      <c r="B35" s="4" t="s">
        <v>345</v>
      </c>
      <c r="C35" s="4" t="s">
        <v>283</v>
      </c>
      <c r="D35" s="94">
        <v>5960.0</v>
      </c>
    </row>
    <row r="36">
      <c r="A36" s="40">
        <f t="array" ref="A36">IFNA(index(PlayerValues!A:A,match(IFNA(vlookup(B36,'Special Names'!A:B,2,FALSE),B36),PlayerValues!E:E,0)),"N/A")</f>
        <v>17032</v>
      </c>
      <c r="B36" s="4" t="s">
        <v>348</v>
      </c>
      <c r="C36" s="4" t="s">
        <v>283</v>
      </c>
      <c r="D36" s="94">
        <v>5886.0</v>
      </c>
    </row>
    <row r="37">
      <c r="A37" s="40">
        <f t="array" ref="A37">IFNA(index(PlayerValues!A:A,match(IFNA(vlookup(B37,'Special Names'!A:B,2,FALSE),B37),PlayerValues!E:E,0)),"N/A")</f>
        <v>15711</v>
      </c>
      <c r="B37" s="4" t="s">
        <v>349</v>
      </c>
      <c r="C37" s="4" t="s">
        <v>278</v>
      </c>
      <c r="D37" s="94">
        <v>5750.0</v>
      </c>
    </row>
    <row r="38">
      <c r="A38" s="40">
        <f t="array" ref="A38">IFNA(index(PlayerValues!A:A,match(IFNA(vlookup(B38,'Special Names'!A:B,2,FALSE),B38),PlayerValues!E:E,0)),"N/A")</f>
        <v>16181</v>
      </c>
      <c r="B38" s="4" t="s">
        <v>350</v>
      </c>
      <c r="C38" s="4" t="s">
        <v>278</v>
      </c>
      <c r="D38" s="94">
        <v>5745.0</v>
      </c>
    </row>
    <row r="39">
      <c r="A39" s="40">
        <f t="array" ref="A39">IFNA(index(PlayerValues!A:A,match(IFNA(vlookup(B39,'Special Names'!A:B,2,FALSE),B39),PlayerValues!E:E,0)),"N/A")</f>
        <v>16627</v>
      </c>
      <c r="B39" s="4" t="s">
        <v>351</v>
      </c>
      <c r="C39" s="4" t="s">
        <v>287</v>
      </c>
      <c r="D39" s="94">
        <v>5742.0</v>
      </c>
    </row>
    <row r="40">
      <c r="A40" s="40">
        <f t="array" ref="A40">IFNA(index(PlayerValues!A:A,match(IFNA(vlookup(B40,'Special Names'!A:B,2,FALSE),B40),PlayerValues!E:E,0)),"N/A")</f>
        <v>15754</v>
      </c>
      <c r="B40" s="4" t="s">
        <v>354</v>
      </c>
      <c r="C40" s="4" t="s">
        <v>287</v>
      </c>
      <c r="D40" s="94">
        <v>5739.0</v>
      </c>
    </row>
    <row r="41">
      <c r="A41" s="40">
        <f t="array" ref="A41">IFNA(index(PlayerValues!A:A,match(IFNA(vlookup(B41,'Special Names'!A:B,2,FALSE),B41),PlayerValues!E:E,0)),"N/A")</f>
        <v>15290</v>
      </c>
      <c r="B41" s="4" t="s">
        <v>355</v>
      </c>
      <c r="C41" s="4" t="s">
        <v>287</v>
      </c>
      <c r="D41" s="94">
        <v>5732.0</v>
      </c>
    </row>
    <row r="42">
      <c r="A42" s="40">
        <f t="array" ref="A42">IFNA(index(PlayerValues!A:A,match(IFNA(vlookup(B42,'Special Names'!A:B,2,FALSE),B42),PlayerValues!E:E,0)),"N/A")</f>
        <v>15698</v>
      </c>
      <c r="B42" s="4" t="s">
        <v>358</v>
      </c>
      <c r="C42" s="4" t="s">
        <v>283</v>
      </c>
      <c r="D42" s="94">
        <v>5659.0</v>
      </c>
    </row>
    <row r="43">
      <c r="A43" s="40">
        <f t="array" ref="A43">IFNA(index(PlayerValues!A:A,match(IFNA(vlookup(B43,'Special Names'!A:B,2,FALSE),B43),PlayerValues!E:E,0)),"N/A")</f>
        <v>15753</v>
      </c>
      <c r="B43" s="4" t="s">
        <v>359</v>
      </c>
      <c r="C43" s="4" t="s">
        <v>287</v>
      </c>
      <c r="D43" s="94">
        <v>5652.0</v>
      </c>
    </row>
    <row r="44">
      <c r="A44" s="40" t="str">
        <f t="array" ref="A44">IFNA(index(PlayerValues!A:A,match(IFNA(vlookup(B44,'Special Names'!A:B,2,FALSE),B44),PlayerValues!E:E,0)),"N/A")</f>
        <v>N/A</v>
      </c>
      <c r="B44" s="4" t="s">
        <v>93</v>
      </c>
      <c r="C44" s="4" t="s">
        <v>325</v>
      </c>
      <c r="D44" s="94">
        <v>5600.0</v>
      </c>
    </row>
    <row r="45">
      <c r="A45" s="40">
        <f t="array" ref="A45">IFNA(index(PlayerValues!A:A,match(IFNA(vlookup(B45,'Special Names'!A:B,2,FALSE),B45),PlayerValues!E:E,0)),"N/A")</f>
        <v>15282</v>
      </c>
      <c r="B45" s="4" t="s">
        <v>364</v>
      </c>
      <c r="C45" s="4" t="s">
        <v>287</v>
      </c>
      <c r="D45" s="94">
        <v>5569.0</v>
      </c>
    </row>
    <row r="46">
      <c r="A46" s="40">
        <f t="array" ref="A46">IFNA(index(PlayerValues!A:A,match(IFNA(vlookup(B46,'Special Names'!A:B,2,FALSE),B46),PlayerValues!E:E,0)),"N/A")</f>
        <v>17497</v>
      </c>
      <c r="B46" s="4" t="s">
        <v>365</v>
      </c>
      <c r="C46" s="4" t="s">
        <v>287</v>
      </c>
      <c r="D46" s="94">
        <v>5568.0</v>
      </c>
    </row>
    <row r="47">
      <c r="A47" s="40" t="str">
        <f t="array" ref="A47">IFNA(index(PlayerValues!A:A,match(IFNA(vlookup(B47,'Special Names'!A:B,2,FALSE),B47),PlayerValues!E:E,0)),"N/A")</f>
        <v>N/A</v>
      </c>
      <c r="B47" s="4" t="s">
        <v>79</v>
      </c>
      <c r="C47" s="4" t="s">
        <v>325</v>
      </c>
      <c r="D47" s="94">
        <v>5527.0</v>
      </c>
    </row>
    <row r="48">
      <c r="A48" s="40">
        <f t="array" ref="A48">IFNA(index(PlayerValues!A:A,match(IFNA(vlookup(B48,'Special Names'!A:B,2,FALSE),B48),PlayerValues!E:E,0)),"N/A")</f>
        <v>17070</v>
      </c>
      <c r="B48" s="4" t="s">
        <v>370</v>
      </c>
      <c r="C48" s="4" t="s">
        <v>287</v>
      </c>
      <c r="D48" s="94">
        <v>5497.0</v>
      </c>
    </row>
    <row r="49">
      <c r="A49" s="40">
        <f t="array" ref="A49">IFNA(index(PlayerValues!A:A,match(IFNA(vlookup(B49,'Special Names'!A:B,2,FALSE),B49),PlayerValues!E:E,0)),"N/A")</f>
        <v>16190</v>
      </c>
      <c r="B49" s="4" t="s">
        <v>371</v>
      </c>
      <c r="C49" s="4" t="s">
        <v>287</v>
      </c>
      <c r="D49" s="94">
        <v>5339.0</v>
      </c>
    </row>
    <row r="50">
      <c r="A50" s="40">
        <f t="array" ref="A50">IFNA(index(PlayerValues!A:A,match(IFNA(vlookup(B50,'Special Names'!A:B,2,FALSE),B50),PlayerValues!E:E,0)),"N/A")</f>
        <v>13130</v>
      </c>
      <c r="B50" s="4" t="s">
        <v>374</v>
      </c>
      <c r="C50" s="4" t="s">
        <v>278</v>
      </c>
      <c r="D50" s="94">
        <v>5305.0</v>
      </c>
    </row>
    <row r="51">
      <c r="A51" s="40">
        <f t="array" ref="A51">IFNA(index(PlayerValues!A:A,match(IFNA(vlookup(B51,'Special Names'!A:B,2,FALSE),B51),PlayerValues!E:E,0)),"N/A")</f>
        <v>17462</v>
      </c>
      <c r="B51" s="4" t="s">
        <v>375</v>
      </c>
      <c r="C51" s="4" t="s">
        <v>283</v>
      </c>
      <c r="D51" s="94">
        <v>5303.0</v>
      </c>
    </row>
    <row r="52">
      <c r="A52" s="40">
        <f t="array" ref="A52">IFNA(index(PlayerValues!A:A,match(IFNA(vlookup(B52,'Special Names'!A:B,2,FALSE),B52),PlayerValues!E:E,0)),"N/A")</f>
        <v>13604</v>
      </c>
      <c r="B52" s="4" t="s">
        <v>378</v>
      </c>
      <c r="C52" s="4" t="s">
        <v>278</v>
      </c>
      <c r="D52" s="94">
        <v>5288.0</v>
      </c>
    </row>
    <row r="53">
      <c r="A53" s="40">
        <f t="array" ref="A53">IFNA(index(PlayerValues!A:A,match(IFNA(vlookup(B53,'Special Names'!A:B,2,FALSE),B53),PlayerValues!E:E,0)),"N/A")</f>
        <v>14104</v>
      </c>
      <c r="B53" s="4" t="s">
        <v>379</v>
      </c>
      <c r="C53" s="4" t="s">
        <v>287</v>
      </c>
      <c r="D53" s="94">
        <v>5287.0</v>
      </c>
    </row>
    <row r="54">
      <c r="A54" s="40">
        <f t="array" ref="A54">IFNA(index(PlayerValues!A:A,match(IFNA(vlookup(B54,'Special Names'!A:B,2,FALSE),B54),PlayerValues!E:E,0)),"N/A")</f>
        <v>15708</v>
      </c>
      <c r="B54" s="4" t="s">
        <v>382</v>
      </c>
      <c r="C54" s="4" t="s">
        <v>278</v>
      </c>
      <c r="D54" s="94">
        <v>5287.0</v>
      </c>
    </row>
    <row r="55">
      <c r="A55" s="40">
        <f t="array" ref="A55">IFNA(index(PlayerValues!A:A,match(IFNA(vlookup(B55,'Special Names'!A:B,2,FALSE),B55),PlayerValues!E:E,0)),"N/A")</f>
        <v>14782</v>
      </c>
      <c r="B55" s="4" t="s">
        <v>385</v>
      </c>
      <c r="C55" s="4" t="s">
        <v>283</v>
      </c>
      <c r="D55" s="94">
        <v>5284.0</v>
      </c>
    </row>
    <row r="56">
      <c r="A56" s="40" t="str">
        <f t="array" ref="A56">IFNA(index(PlayerValues!A:A,match(IFNA(vlookup(B56,'Special Names'!A:B,2,FALSE),B56),PlayerValues!E:E,0)),"N/A")</f>
        <v>N/A</v>
      </c>
      <c r="B56" s="4" t="s">
        <v>104</v>
      </c>
      <c r="C56" s="4" t="s">
        <v>325</v>
      </c>
      <c r="D56" s="94">
        <v>5247.0</v>
      </c>
    </row>
    <row r="57">
      <c r="A57" s="40">
        <f t="array" ref="A57">IFNA(index(PlayerValues!A:A,match(IFNA(vlookup(B57,'Special Names'!A:B,2,FALSE),B57),PlayerValues!E:E,0)),"N/A")</f>
        <v>17051</v>
      </c>
      <c r="B57" s="4" t="s">
        <v>386</v>
      </c>
      <c r="C57" s="4" t="s">
        <v>278</v>
      </c>
      <c r="D57" s="94">
        <v>5241.0</v>
      </c>
    </row>
    <row r="58">
      <c r="A58" s="40">
        <f t="array" ref="A58">IFNA(index(PlayerValues!A:A,match(IFNA(vlookup(B58,'Special Names'!A:B,2,FALSE),B58),PlayerValues!E:E,0)),"N/A")</f>
        <v>16616</v>
      </c>
      <c r="B58" s="4" t="s">
        <v>389</v>
      </c>
      <c r="C58" s="4" t="s">
        <v>287</v>
      </c>
      <c r="D58" s="94">
        <v>5222.0</v>
      </c>
    </row>
    <row r="59">
      <c r="A59" s="40">
        <f t="array" ref="A59">IFNA(index(PlayerValues!A:A,match(IFNA(vlookup(B59,'Special Names'!A:B,2,FALSE),B59),PlayerValues!E:E,0)),"N/A")</f>
        <v>15284</v>
      </c>
      <c r="B59" s="4" t="s">
        <v>390</v>
      </c>
      <c r="C59" s="4" t="s">
        <v>287</v>
      </c>
      <c r="D59" s="94">
        <v>5191.0</v>
      </c>
    </row>
    <row r="60">
      <c r="A60" s="40">
        <f t="array" ref="A60">IFNA(index(PlayerValues!A:A,match(IFNA(vlookup(B60,'Special Names'!A:B,2,FALSE),B60),PlayerValues!E:E,0)),"N/A")</f>
        <v>17473</v>
      </c>
      <c r="B60" s="4" t="s">
        <v>391</v>
      </c>
      <c r="C60" s="4" t="s">
        <v>278</v>
      </c>
      <c r="D60" s="94">
        <v>5116.0</v>
      </c>
    </row>
    <row r="61">
      <c r="A61" s="40">
        <f t="array" ref="A61">IFNA(index(PlayerValues!A:A,match(IFNA(vlookup(B61,'Special Names'!A:B,2,FALSE),B61),PlayerValues!E:E,0)),"N/A")</f>
        <v>14835</v>
      </c>
      <c r="B61" s="4" t="s">
        <v>392</v>
      </c>
      <c r="C61" s="4" t="s">
        <v>287</v>
      </c>
      <c r="D61" s="94">
        <v>5095.0</v>
      </c>
    </row>
    <row r="62">
      <c r="A62" s="40">
        <f t="array" ref="A62">IFNA(index(PlayerValues!A:A,match(IFNA(vlookup(B62,'Special Names'!A:B,2,FALSE),B62),PlayerValues!E:E,0)),"N/A")</f>
        <v>16222</v>
      </c>
      <c r="B62" s="4" t="s">
        <v>393</v>
      </c>
      <c r="C62" s="4" t="s">
        <v>298</v>
      </c>
      <c r="D62" s="94">
        <v>5638.0</v>
      </c>
    </row>
    <row r="63">
      <c r="A63" s="40">
        <f t="array" ref="A63">IFNA(index(PlayerValues!A:A,match(IFNA(vlookup(B63,'Special Names'!A:B,2,FALSE),B63),PlayerValues!E:E,0)),"N/A")</f>
        <v>12620</v>
      </c>
      <c r="B63" s="4" t="s">
        <v>394</v>
      </c>
      <c r="C63" s="4" t="s">
        <v>283</v>
      </c>
      <c r="D63" s="94">
        <v>5050.0</v>
      </c>
    </row>
    <row r="64">
      <c r="A64" s="40">
        <f t="array" ref="A64">IFNA(index(PlayerValues!A:A,match(IFNA(vlookup(B64,'Special Names'!A:B,2,FALSE),B64),PlayerValues!E:E,0)),"N/A")</f>
        <v>15710</v>
      </c>
      <c r="B64" s="4" t="s">
        <v>395</v>
      </c>
      <c r="C64" s="4" t="s">
        <v>278</v>
      </c>
      <c r="D64" s="94">
        <v>4953.0</v>
      </c>
    </row>
    <row r="65">
      <c r="A65" s="40">
        <f t="array" ref="A65">IFNA(index(PlayerValues!A:A,match(IFNA(vlookup(B65,'Special Names'!A:B,2,FALSE),B65),PlayerValues!E:E,0)),"N/A")</f>
        <v>17498</v>
      </c>
      <c r="B65" s="4" t="s">
        <v>396</v>
      </c>
      <c r="C65" s="4" t="s">
        <v>287</v>
      </c>
      <c r="D65" s="94">
        <v>4948.0</v>
      </c>
    </row>
    <row r="66">
      <c r="A66" s="40" t="str">
        <f t="array" ref="A66">IFNA(index(PlayerValues!A:A,match(IFNA(vlookup(B66,'Special Names'!A:B,2,FALSE),B66),PlayerValues!E:E,0)),"N/A")</f>
        <v>N/A</v>
      </c>
      <c r="B66" s="4" t="s">
        <v>94</v>
      </c>
      <c r="C66" s="4" t="s">
        <v>325</v>
      </c>
      <c r="D66" s="94">
        <v>4941.0</v>
      </c>
    </row>
    <row r="67">
      <c r="A67" s="40">
        <f t="array" ref="A67">IFNA(index(PlayerValues!A:A,match(IFNA(vlookup(B67,'Special Names'!A:B,2,FALSE),B67),PlayerValues!E:E,0)),"N/A")</f>
        <v>17043</v>
      </c>
      <c r="B67" s="4" t="s">
        <v>397</v>
      </c>
      <c r="C67" s="4" t="s">
        <v>278</v>
      </c>
      <c r="D67" s="94">
        <v>4930.0</v>
      </c>
    </row>
    <row r="68">
      <c r="A68" s="40">
        <f t="array" ref="A68">IFNA(index(PlayerValues!A:A,match(IFNA(vlookup(B68,'Special Names'!A:B,2,FALSE),B68),PlayerValues!E:E,0)),"N/A")</f>
        <v>16194</v>
      </c>
      <c r="B68" s="4" t="s">
        <v>398</v>
      </c>
      <c r="C68" s="4" t="s">
        <v>287</v>
      </c>
      <c r="D68" s="94">
        <v>4834.0</v>
      </c>
    </row>
    <row r="69">
      <c r="A69" s="40">
        <f t="array" ref="A69">IFNA(index(PlayerValues!A:A,match(IFNA(vlookup(B69,'Special Names'!A:B,2,FALSE),B69),PlayerValues!E:E,0)),"N/A")</f>
        <v>15756</v>
      </c>
      <c r="B69" s="4" t="s">
        <v>399</v>
      </c>
      <c r="C69" s="4" t="s">
        <v>287</v>
      </c>
      <c r="D69" s="94">
        <v>4829.0</v>
      </c>
    </row>
    <row r="70">
      <c r="A70" s="40">
        <f t="array" ref="A70">IFNA(index(PlayerValues!A:A,match(IFNA(vlookup(B70,'Special Names'!A:B,2,FALSE),B70),PlayerValues!E:E,0)),"N/A")</f>
        <v>17039</v>
      </c>
      <c r="B70" s="4" t="s">
        <v>400</v>
      </c>
      <c r="C70" s="4" t="s">
        <v>283</v>
      </c>
      <c r="D70" s="94">
        <v>4800.0</v>
      </c>
    </row>
    <row r="71">
      <c r="A71" s="40">
        <f t="array" ref="A71">IFNA(index(PlayerValues!A:A,match(IFNA(vlookup(B71,'Special Names'!A:B,2,FALSE),B71),PlayerValues!E:E,0)),"N/A")</f>
        <v>15256</v>
      </c>
      <c r="B71" s="4" t="s">
        <v>401</v>
      </c>
      <c r="C71" s="4" t="s">
        <v>278</v>
      </c>
      <c r="D71" s="94">
        <v>4792.0</v>
      </c>
    </row>
    <row r="72">
      <c r="A72" s="40">
        <f t="array" ref="A72">IFNA(index(PlayerValues!A:A,match(IFNA(vlookup(B72,'Special Names'!A:B,2,FALSE),B72),PlayerValues!E:E,0)),"N/A")</f>
        <v>17499</v>
      </c>
      <c r="B72" s="4" t="s">
        <v>402</v>
      </c>
      <c r="C72" s="4" t="s">
        <v>287</v>
      </c>
      <c r="D72" s="94">
        <v>4768.0</v>
      </c>
    </row>
    <row r="73">
      <c r="A73" s="40">
        <f t="array" ref="A73">IFNA(index(PlayerValues!A:A,match(IFNA(vlookup(B73,'Special Names'!A:B,2,FALSE),B73),PlayerValues!E:E,0)),"N/A")</f>
        <v>16614</v>
      </c>
      <c r="B73" s="4" t="s">
        <v>403</v>
      </c>
      <c r="C73" s="4" t="s">
        <v>287</v>
      </c>
      <c r="D73" s="94">
        <v>4744.0</v>
      </c>
    </row>
    <row r="74">
      <c r="A74" s="40" t="str">
        <f t="array" ref="A74">IFNA(index(PlayerValues!A:A,match(IFNA(vlookup(B74,'Special Names'!A:B,2,FALSE),B74),PlayerValues!E:E,0)),"N/A")</f>
        <v>N/A</v>
      </c>
      <c r="B74" s="4" t="s">
        <v>80</v>
      </c>
      <c r="C74" s="4" t="s">
        <v>325</v>
      </c>
      <c r="D74" s="94">
        <v>4733.0</v>
      </c>
    </row>
    <row r="75">
      <c r="A75" s="40">
        <f t="array" ref="A75">IFNA(index(PlayerValues!A:A,match(IFNA(vlookup(B75,'Special Names'!A:B,2,FALSE),B75),PlayerValues!E:E,0)),"N/A")</f>
        <v>17501</v>
      </c>
      <c r="B75" s="4" t="s">
        <v>404</v>
      </c>
      <c r="C75" s="4" t="s">
        <v>287</v>
      </c>
      <c r="D75" s="94">
        <v>4717.0</v>
      </c>
    </row>
    <row r="76">
      <c r="A76" s="40">
        <f t="array" ref="A76">IFNA(index(PlayerValues!A:A,match(IFNA(vlookup(B76,'Special Names'!A:B,2,FALSE),B76),PlayerValues!E:E,0)),"N/A")</f>
        <v>17103</v>
      </c>
      <c r="B76" s="4" t="s">
        <v>405</v>
      </c>
      <c r="C76" s="4" t="s">
        <v>298</v>
      </c>
      <c r="D76" s="94">
        <v>5259.0</v>
      </c>
    </row>
    <row r="77">
      <c r="A77" s="40">
        <f t="array" ref="A77">IFNA(index(PlayerValues!A:A,match(IFNA(vlookup(B77,'Special Names'!A:B,2,FALSE),B77),PlayerValues!E:E,0)),"N/A")</f>
        <v>17030</v>
      </c>
      <c r="B77" s="4" t="s">
        <v>406</v>
      </c>
      <c r="C77" s="4" t="s">
        <v>283</v>
      </c>
      <c r="D77" s="94">
        <v>4696.0</v>
      </c>
    </row>
    <row r="78">
      <c r="A78" s="40">
        <f t="array" ref="A78">IFNA(index(PlayerValues!A:A,match(IFNA(vlookup(B78,'Special Names'!A:B,2,FALSE),B78),PlayerValues!E:E,0)),"N/A")</f>
        <v>17045</v>
      </c>
      <c r="B78" s="4" t="s">
        <v>407</v>
      </c>
      <c r="C78" s="4" t="s">
        <v>278</v>
      </c>
      <c r="D78" s="94">
        <v>4653.0</v>
      </c>
    </row>
    <row r="79">
      <c r="A79" s="40">
        <f t="array" ref="A79">IFNA(index(PlayerValues!A:A,match(IFNA(vlookup(B79,'Special Names'!A:B,2,FALSE),B79),PlayerValues!E:E,0)),"N/A")</f>
        <v>16598</v>
      </c>
      <c r="B79" s="4" t="s">
        <v>408</v>
      </c>
      <c r="C79" s="4" t="s">
        <v>278</v>
      </c>
      <c r="D79" s="94">
        <v>4611.0</v>
      </c>
    </row>
    <row r="80">
      <c r="A80" s="40">
        <f t="array" ref="A80">IFNA(index(PlayerValues!A:A,match(IFNA(vlookup(B80,'Special Names'!A:B,2,FALSE),B80),PlayerValues!E:E,0)),"N/A")</f>
        <v>13590</v>
      </c>
      <c r="B80" s="4" t="s">
        <v>409</v>
      </c>
      <c r="C80" s="4" t="s">
        <v>283</v>
      </c>
      <c r="D80" s="94">
        <v>4588.0</v>
      </c>
    </row>
    <row r="81">
      <c r="A81" s="40" t="str">
        <f t="array" ref="A81">IFNA(index(PlayerValues!A:A,match(IFNA(vlookup(B81,'Special Names'!A:B,2,FALSE),B81),PlayerValues!E:E,0)),"N/A")</f>
        <v>N/A</v>
      </c>
      <c r="B81" s="4" t="s">
        <v>105</v>
      </c>
      <c r="C81" s="4" t="s">
        <v>325</v>
      </c>
      <c r="D81" s="94">
        <v>4587.0</v>
      </c>
    </row>
    <row r="82">
      <c r="A82" s="40">
        <f t="array" ref="A82">IFNA(index(PlayerValues!A:A,match(IFNA(vlookup(B82,'Special Names'!A:B,2,FALSE),B82),PlayerValues!E:E,0)),"N/A")</f>
        <v>12611</v>
      </c>
      <c r="B82" s="4" t="s">
        <v>410</v>
      </c>
      <c r="C82" s="4" t="s">
        <v>283</v>
      </c>
      <c r="D82" s="94">
        <v>4567.0</v>
      </c>
    </row>
    <row r="83">
      <c r="A83" s="40">
        <f t="array" ref="A83">IFNA(index(PlayerValues!A:A,match(IFNA(vlookup(B83,'Special Names'!A:B,2,FALSE),B83),PlayerValues!E:E,0)),"N/A")</f>
        <v>16618</v>
      </c>
      <c r="B83" s="4" t="s">
        <v>411</v>
      </c>
      <c r="C83" s="4" t="s">
        <v>287</v>
      </c>
      <c r="D83" s="94">
        <v>4563.0</v>
      </c>
    </row>
    <row r="84">
      <c r="A84" s="40">
        <f t="array" ref="A84">IFNA(index(PlayerValues!A:A,match(IFNA(vlookup(B84,'Special Names'!A:B,2,FALSE),B84),PlayerValues!E:E,0)),"N/A")</f>
        <v>16192</v>
      </c>
      <c r="B84" s="4" t="s">
        <v>412</v>
      </c>
      <c r="C84" s="4" t="s">
        <v>287</v>
      </c>
      <c r="D84" s="94">
        <v>4555.0</v>
      </c>
    </row>
    <row r="85">
      <c r="A85" s="40">
        <f t="array" ref="A85">IFNA(index(PlayerValues!A:A,match(IFNA(vlookup(B85,'Special Names'!A:B,2,FALSE),B85),PlayerValues!E:E,0)),"N/A")</f>
        <v>16214</v>
      </c>
      <c r="B85" s="4" t="s">
        <v>413</v>
      </c>
      <c r="C85" s="4" t="s">
        <v>298</v>
      </c>
      <c r="D85" s="94">
        <v>5080.0</v>
      </c>
    </row>
    <row r="86">
      <c r="A86" s="40">
        <f t="array" ref="A86">IFNA(index(PlayerValues!A:A,match(IFNA(vlookup(B86,'Special Names'!A:B,2,FALSE),B86),PlayerValues!E:E,0)),"N/A")</f>
        <v>16150</v>
      </c>
      <c r="B86" s="4" t="s">
        <v>414</v>
      </c>
      <c r="C86" s="4" t="s">
        <v>283</v>
      </c>
      <c r="D86" s="94">
        <v>4462.0</v>
      </c>
    </row>
    <row r="87">
      <c r="A87" s="40">
        <f t="array" ref="A87">IFNA(index(PlayerValues!A:A,match(IFNA(vlookup(B87,'Special Names'!A:B,2,FALSE),B87),PlayerValues!E:E,0)),"N/A")</f>
        <v>15253</v>
      </c>
      <c r="B87" s="4" t="s">
        <v>415</v>
      </c>
      <c r="C87" s="4" t="s">
        <v>278</v>
      </c>
      <c r="D87" s="94">
        <v>4449.0</v>
      </c>
    </row>
    <row r="88">
      <c r="A88" s="40">
        <f t="array" ref="A88">IFNA(index(PlayerValues!A:A,match(IFNA(vlookup(B88,'Special Names'!A:B,2,FALSE),B88),PlayerValues!E:E,0)),"N/A")</f>
        <v>15329</v>
      </c>
      <c r="B88" s="4" t="s">
        <v>416</v>
      </c>
      <c r="C88" s="4" t="s">
        <v>298</v>
      </c>
      <c r="D88" s="94">
        <v>4876.0</v>
      </c>
    </row>
    <row r="89">
      <c r="A89" s="40">
        <f t="array" ref="A89">IFNA(index(PlayerValues!A:A,match(IFNA(vlookup(B89,'Special Names'!A:B,2,FALSE),B89),PlayerValues!E:E,0)),"N/A")</f>
        <v>17052</v>
      </c>
      <c r="B89" s="4" t="s">
        <v>417</v>
      </c>
      <c r="C89" s="4" t="s">
        <v>278</v>
      </c>
      <c r="D89" s="94">
        <v>4296.0</v>
      </c>
    </row>
    <row r="90">
      <c r="A90" s="40">
        <f t="array" ref="A90">IFNA(index(PlayerValues!A:A,match(IFNA(vlookup(B90,'Special Names'!A:B,2,FALSE),B90),PlayerValues!E:E,0)),"N/A")</f>
        <v>13592</v>
      </c>
      <c r="B90" s="4" t="s">
        <v>418</v>
      </c>
      <c r="C90" s="4" t="s">
        <v>283</v>
      </c>
      <c r="D90" s="94">
        <v>4259.0</v>
      </c>
    </row>
    <row r="91">
      <c r="A91" s="40">
        <f t="array" ref="A91">IFNA(index(PlayerValues!A:A,match(IFNA(vlookup(B91,'Special Names'!A:B,2,FALSE),B91),PlayerValues!E:E,0)),"N/A")</f>
        <v>12626</v>
      </c>
      <c r="B91" s="4" t="s">
        <v>419</v>
      </c>
      <c r="C91" s="4" t="s">
        <v>278</v>
      </c>
      <c r="D91" s="94">
        <v>4232.0</v>
      </c>
    </row>
    <row r="92">
      <c r="A92" s="40" t="str">
        <f t="array" ref="A92">IFNA(index(PlayerValues!A:A,match(IFNA(vlookup(B92,'Special Names'!A:B,2,FALSE),B92),PlayerValues!E:E,0)),"N/A")</f>
        <v>N/A</v>
      </c>
      <c r="B92" s="4" t="s">
        <v>107</v>
      </c>
      <c r="C92" s="4" t="s">
        <v>325</v>
      </c>
      <c r="D92" s="94">
        <v>4175.0</v>
      </c>
    </row>
    <row r="93">
      <c r="A93" s="40" t="str">
        <f t="array" ref="A93">IFNA(index(PlayerValues!A:A,match(IFNA(vlookup(B93,'Special Names'!A:B,2,FALSE),B93),PlayerValues!E:E,0)),"N/A")</f>
        <v>N/A</v>
      </c>
      <c r="B93" s="4" t="s">
        <v>81</v>
      </c>
      <c r="C93" s="4" t="s">
        <v>325</v>
      </c>
      <c r="D93" s="94">
        <v>4024.0</v>
      </c>
    </row>
    <row r="94">
      <c r="A94" s="40">
        <f t="array" ref="A94">IFNA(index(PlayerValues!A:A,match(IFNA(vlookup(B94,'Special Names'!A:B,2,FALSE),B94),PlayerValues!E:E,0)),"N/A")</f>
        <v>14797</v>
      </c>
      <c r="B94" s="4" t="s">
        <v>420</v>
      </c>
      <c r="C94" s="4" t="s">
        <v>278</v>
      </c>
      <c r="D94" s="94">
        <v>4007.0</v>
      </c>
    </row>
    <row r="95">
      <c r="A95" s="40">
        <f t="array" ref="A95">IFNA(index(PlayerValues!A:A,match(IFNA(vlookup(B95,'Special Names'!A:B,2,FALSE),B95),PlayerValues!E:E,0)),"N/A")</f>
        <v>15789</v>
      </c>
      <c r="B95" s="4" t="s">
        <v>421</v>
      </c>
      <c r="C95" s="4" t="s">
        <v>287</v>
      </c>
      <c r="D95" s="94">
        <v>3953.0</v>
      </c>
    </row>
    <row r="96">
      <c r="A96" s="40">
        <f t="array" ref="A96">IFNA(index(PlayerValues!A:A,match(IFNA(vlookup(B96,'Special Names'!A:B,2,FALSE),B96),PlayerValues!E:E,0)),"N/A")</f>
        <v>17514</v>
      </c>
      <c r="B96" s="4" t="s">
        <v>422</v>
      </c>
      <c r="C96" s="4" t="s">
        <v>287</v>
      </c>
      <c r="D96" s="94">
        <v>3918.0</v>
      </c>
    </row>
    <row r="97">
      <c r="A97" s="40">
        <f t="array" ref="A97">IFNA(index(PlayerValues!A:A,match(IFNA(vlookup(B97,'Special Names'!A:B,2,FALSE),B97),PlayerValues!E:E,0)),"N/A")</f>
        <v>14056</v>
      </c>
      <c r="B97" s="4" t="s">
        <v>423</v>
      </c>
      <c r="C97" s="4" t="s">
        <v>283</v>
      </c>
      <c r="D97" s="94">
        <v>3852.0</v>
      </c>
    </row>
    <row r="98">
      <c r="A98" s="40">
        <f t="array" ref="A98">IFNA(index(PlayerValues!A:A,match(IFNA(vlookup(B98,'Special Names'!A:B,2,FALSE),B98),PlayerValues!E:E,0)),"N/A")</f>
        <v>13635</v>
      </c>
      <c r="B98" s="4" t="s">
        <v>424</v>
      </c>
      <c r="C98" s="4" t="s">
        <v>287</v>
      </c>
      <c r="D98" s="94">
        <v>3811.0</v>
      </c>
    </row>
    <row r="99">
      <c r="A99" s="40" t="str">
        <f t="array" ref="A99">IFNA(index(PlayerValues!A:A,match(IFNA(vlookup(B99,'Special Names'!A:B,2,FALSE),B99),PlayerValues!E:E,0)),"N/A")</f>
        <v>N/A</v>
      </c>
      <c r="B99" s="4" t="s">
        <v>95</v>
      </c>
      <c r="C99" s="4" t="s">
        <v>325</v>
      </c>
      <c r="D99" s="94">
        <v>3809.0</v>
      </c>
    </row>
    <row r="100">
      <c r="A100" s="40">
        <f t="array" ref="A100">IFNA(index(PlayerValues!A:A,match(IFNA(vlookup(B100,'Special Names'!A:B,2,FALSE),B100),PlayerValues!E:E,0)),"N/A")</f>
        <v>16186</v>
      </c>
      <c r="B100" s="4" t="s">
        <v>425</v>
      </c>
      <c r="C100" s="4" t="s">
        <v>287</v>
      </c>
      <c r="D100" s="94">
        <v>3788.0</v>
      </c>
    </row>
    <row r="101">
      <c r="A101" s="40">
        <f t="array" ref="A101">IFNA(index(PlayerValues!A:A,match(IFNA(vlookup(B101,'Special Names'!A:B,2,FALSE),B101),PlayerValues!E:E,0)),"N/A")</f>
        <v>16148</v>
      </c>
      <c r="B101" s="4" t="s">
        <v>426</v>
      </c>
      <c r="C101" s="4" t="s">
        <v>283</v>
      </c>
      <c r="D101" s="94">
        <v>3755.0</v>
      </c>
    </row>
    <row r="102">
      <c r="A102" s="40">
        <f t="array" ref="A102">IFNA(index(PlayerValues!A:A,match(IFNA(vlookup(B102,'Special Names'!A:B,2,FALSE),B102),PlayerValues!E:E,0)),"N/A")</f>
        <v>16597</v>
      </c>
      <c r="B102" s="4" t="s">
        <v>427</v>
      </c>
      <c r="C102" s="4" t="s">
        <v>278</v>
      </c>
      <c r="D102" s="94">
        <v>3753.0</v>
      </c>
    </row>
    <row r="103">
      <c r="A103" s="40">
        <f t="array" ref="A103">IFNA(index(PlayerValues!A:A,match(IFNA(vlookup(B103,'Special Names'!A:B,2,FALSE),B103),PlayerValues!E:E,0)),"N/A")</f>
        <v>9431</v>
      </c>
      <c r="B103" s="4" t="s">
        <v>428</v>
      </c>
      <c r="C103" s="4" t="s">
        <v>283</v>
      </c>
      <c r="D103" s="94">
        <v>3735.0</v>
      </c>
    </row>
    <row r="104">
      <c r="A104" s="40">
        <f t="array" ref="A104">IFNA(index(PlayerValues!A:A,match(IFNA(vlookup(B104,'Special Names'!A:B,2,FALSE),B104),PlayerValues!E:E,0)),"N/A")</f>
        <v>17075</v>
      </c>
      <c r="B104" s="4" t="s">
        <v>429</v>
      </c>
      <c r="C104" s="4" t="s">
        <v>287</v>
      </c>
      <c r="D104" s="94">
        <v>3729.0</v>
      </c>
    </row>
    <row r="105">
      <c r="A105" s="40">
        <f t="array" ref="A105">IFNA(index(PlayerValues!A:A,match(IFNA(vlookup(B105,'Special Names'!A:B,2,FALSE),B105),PlayerValues!E:E,0)),"N/A")</f>
        <v>17500</v>
      </c>
      <c r="B105" s="4" t="s">
        <v>430</v>
      </c>
      <c r="C105" s="4" t="s">
        <v>287</v>
      </c>
      <c r="D105" s="94">
        <v>3722.0</v>
      </c>
    </row>
    <row r="106">
      <c r="A106" s="40">
        <f t="array" ref="A106">IFNA(index(PlayerValues!A:A,match(IFNA(vlookup(B106,'Special Names'!A:B,2,FALSE),B106),PlayerValues!E:E,0)),"N/A")</f>
        <v>16206</v>
      </c>
      <c r="B106" s="4" t="s">
        <v>431</v>
      </c>
      <c r="C106" s="4" t="s">
        <v>287</v>
      </c>
      <c r="D106" s="94">
        <v>3720.0</v>
      </c>
    </row>
    <row r="107">
      <c r="A107" s="40">
        <f t="array" ref="A107">IFNA(index(PlayerValues!A:A,match(IFNA(vlookup(B107,'Special Names'!A:B,2,FALSE),B107),PlayerValues!E:E,0)),"N/A")</f>
        <v>15768</v>
      </c>
      <c r="B107" s="4" t="s">
        <v>432</v>
      </c>
      <c r="C107" s="4" t="s">
        <v>287</v>
      </c>
      <c r="D107" s="94">
        <v>3716.0</v>
      </c>
    </row>
    <row r="108">
      <c r="A108" s="40">
        <f t="array" ref="A108">IFNA(index(PlayerValues!A:A,match(IFNA(vlookup(B108,'Special Names'!A:B,2,FALSE),B108),PlayerValues!E:E,0)),"N/A")</f>
        <v>17463</v>
      </c>
      <c r="B108" s="4" t="s">
        <v>433</v>
      </c>
      <c r="C108" s="4" t="s">
        <v>283</v>
      </c>
      <c r="D108" s="94">
        <v>3706.0</v>
      </c>
    </row>
    <row r="109">
      <c r="A109" s="40">
        <f t="array" ref="A109">IFNA(index(PlayerValues!A:A,match(IFNA(vlookup(B109,'Special Names'!A:B,2,FALSE),B109),PlayerValues!E:E,0)),"N/A")</f>
        <v>15694</v>
      </c>
      <c r="B109" s="4" t="s">
        <v>434</v>
      </c>
      <c r="C109" s="4" t="s">
        <v>283</v>
      </c>
      <c r="D109" s="94">
        <v>3700.0</v>
      </c>
    </row>
    <row r="110">
      <c r="A110" s="40">
        <f t="array" ref="A110">IFNA(index(PlayerValues!A:A,match(IFNA(vlookup(B110,'Special Names'!A:B,2,FALSE),B110),PlayerValues!E:E,0)),"N/A")</f>
        <v>14059</v>
      </c>
      <c r="B110" s="4" t="s">
        <v>435</v>
      </c>
      <c r="C110" s="4" t="s">
        <v>283</v>
      </c>
      <c r="D110" s="94">
        <v>3689.0</v>
      </c>
    </row>
    <row r="111">
      <c r="A111" s="40">
        <f t="array" ref="A111">IFNA(index(PlayerValues!A:A,match(IFNA(vlookup(B111,'Special Names'!A:B,2,FALSE),B111),PlayerValues!E:E,0)),"N/A")</f>
        <v>17543</v>
      </c>
      <c r="B111" s="4" t="s">
        <v>436</v>
      </c>
      <c r="C111" s="4" t="s">
        <v>298</v>
      </c>
      <c r="D111" s="94">
        <v>4113.0</v>
      </c>
    </row>
    <row r="112">
      <c r="A112" s="40">
        <f t="array" ref="A112">IFNA(index(PlayerValues!A:A,match(IFNA(vlookup(B112,'Special Names'!A:B,2,FALSE),B112),PlayerValues!E:E,0)),"N/A")</f>
        <v>14109</v>
      </c>
      <c r="B112" s="4" t="s">
        <v>437</v>
      </c>
      <c r="C112" s="4" t="s">
        <v>287</v>
      </c>
      <c r="D112" s="94">
        <v>3557.0</v>
      </c>
    </row>
    <row r="113">
      <c r="A113" s="40">
        <f t="array" ref="A113">IFNA(index(PlayerValues!A:A,match(IFNA(vlookup(B113,'Special Names'!A:B,2,FALSE),B113),PlayerValues!E:E,0)),"N/A")</f>
        <v>11675</v>
      </c>
      <c r="B113" s="4" t="s">
        <v>438</v>
      </c>
      <c r="C113" s="4" t="s">
        <v>287</v>
      </c>
      <c r="D113" s="94">
        <v>3545.0</v>
      </c>
    </row>
    <row r="114">
      <c r="A114" s="40">
        <f t="array" ref="A114">IFNA(index(PlayerValues!A:A,match(IFNA(vlookup(B114,'Special Names'!A:B,2,FALSE),B114),PlayerValues!E:E,0)),"N/A")</f>
        <v>16188</v>
      </c>
      <c r="B114" s="4" t="s">
        <v>439</v>
      </c>
      <c r="C114" s="4" t="s">
        <v>287</v>
      </c>
      <c r="D114" s="94">
        <v>3544.0</v>
      </c>
    </row>
    <row r="115">
      <c r="A115" s="40">
        <f t="array" ref="A115">IFNA(index(PlayerValues!A:A,match(IFNA(vlookup(B115,'Special Names'!A:B,2,FALSE),B115),PlayerValues!E:E,0)),"N/A")</f>
        <v>14071</v>
      </c>
      <c r="B115" s="4" t="s">
        <v>440</v>
      </c>
      <c r="C115" s="4" t="s">
        <v>278</v>
      </c>
      <c r="D115" s="94">
        <v>3520.0</v>
      </c>
    </row>
    <row r="116">
      <c r="A116" s="40">
        <f t="array" ref="A116">IFNA(index(PlayerValues!A:A,match(IFNA(vlookup(B116,'Special Names'!A:B,2,FALSE),B116),PlayerValues!E:E,0)),"N/A")</f>
        <v>16187</v>
      </c>
      <c r="B116" s="4" t="s">
        <v>441</v>
      </c>
      <c r="C116" s="4" t="s">
        <v>287</v>
      </c>
      <c r="D116" s="94">
        <v>3497.0</v>
      </c>
    </row>
    <row r="117">
      <c r="A117" s="40">
        <f t="array" ref="A117">IFNA(index(PlayerValues!A:A,match(IFNA(vlookup(B117,'Special Names'!A:B,2,FALSE),B117),PlayerValues!E:E,0)),"N/A")</f>
        <v>16593</v>
      </c>
      <c r="B117" s="4" t="s">
        <v>442</v>
      </c>
      <c r="C117" s="4" t="s">
        <v>278</v>
      </c>
      <c r="D117" s="94">
        <v>3463.0</v>
      </c>
    </row>
    <row r="118">
      <c r="A118" s="40" t="str">
        <f t="array" ref="A118">IFNA(index(PlayerValues!A:A,match(IFNA(vlookup(B118,'Special Names'!A:B,2,FALSE),B118),PlayerValues!E:E,0)),"N/A")</f>
        <v>N/A</v>
      </c>
      <c r="B118" s="4" t="s">
        <v>96</v>
      </c>
      <c r="C118" s="4" t="s">
        <v>325</v>
      </c>
      <c r="D118" s="94">
        <v>3442.0</v>
      </c>
    </row>
    <row r="119">
      <c r="A119" s="40">
        <f t="array" ref="A119">IFNA(index(PlayerValues!A:A,match(IFNA(vlookup(B119,'Special Names'!A:B,2,FALSE),B119),PlayerValues!E:E,0)),"N/A")</f>
        <v>15798</v>
      </c>
      <c r="B119" s="4" t="s">
        <v>443</v>
      </c>
      <c r="C119" s="4" t="s">
        <v>298</v>
      </c>
      <c r="D119" s="94">
        <v>3894.0</v>
      </c>
    </row>
    <row r="120">
      <c r="A120" s="40" t="str">
        <f t="array" ref="A120">IFNA(index(PlayerValues!A:A,match(IFNA(vlookup(B120,'Special Names'!A:B,2,FALSE),B120),PlayerValues!E:E,0)),"N/A")</f>
        <v>N/A</v>
      </c>
      <c r="B120" s="4" t="s">
        <v>82</v>
      </c>
      <c r="C120" s="4" t="s">
        <v>325</v>
      </c>
      <c r="D120" s="94">
        <v>3387.0</v>
      </c>
    </row>
    <row r="121">
      <c r="A121" s="40">
        <f t="array" ref="A121">IFNA(index(PlayerValues!A:A,match(IFNA(vlookup(B121,'Special Names'!A:B,2,FALSE),B121),PlayerValues!E:E,0)),"N/A")</f>
        <v>14102</v>
      </c>
      <c r="B121" s="4" t="s">
        <v>444</v>
      </c>
      <c r="C121" s="4" t="s">
        <v>287</v>
      </c>
      <c r="D121" s="94">
        <v>3360.0</v>
      </c>
    </row>
    <row r="122">
      <c r="A122" s="40">
        <f t="array" ref="A122">IFNA(index(PlayerValues!A:A,match(IFNA(vlookup(B122,'Special Names'!A:B,2,FALSE),B122),PlayerValues!E:E,0)),"N/A")</f>
        <v>16184</v>
      </c>
      <c r="B122" s="4" t="s">
        <v>445</v>
      </c>
      <c r="C122" s="4" t="s">
        <v>287</v>
      </c>
      <c r="D122" s="94">
        <v>3349.0</v>
      </c>
    </row>
    <row r="123">
      <c r="A123" s="40">
        <f t="array" ref="A123">IFNA(index(PlayerValues!A:A,match(IFNA(vlookup(B123,'Special Names'!A:B,2,FALSE),B123),PlayerValues!E:E,0)),"N/A")</f>
        <v>17066</v>
      </c>
      <c r="B123" s="4" t="s">
        <v>446</v>
      </c>
      <c r="C123" s="4" t="s">
        <v>278</v>
      </c>
      <c r="D123" s="94">
        <v>3320.0</v>
      </c>
    </row>
    <row r="124">
      <c r="A124" s="40">
        <f t="array" ref="A124">IFNA(index(PlayerValues!A:A,match(IFNA(vlookup(B124,'Special Names'!A:B,2,FALSE),B124),PlayerValues!E:E,0)),"N/A")</f>
        <v>15742</v>
      </c>
      <c r="B124" s="4" t="s">
        <v>447</v>
      </c>
      <c r="C124" s="4" t="s">
        <v>278</v>
      </c>
      <c r="D124" s="94">
        <v>3319.0</v>
      </c>
    </row>
    <row r="125">
      <c r="A125" s="40">
        <f t="array" ref="A125">IFNA(index(PlayerValues!A:A,match(IFNA(vlookup(B125,'Special Names'!A:B,2,FALSE),B125),PlayerValues!E:E,0)),"N/A")</f>
        <v>13299</v>
      </c>
      <c r="B125" s="4" t="s">
        <v>448</v>
      </c>
      <c r="C125" s="4" t="s">
        <v>298</v>
      </c>
      <c r="D125" s="94">
        <v>3755.0</v>
      </c>
    </row>
    <row r="126">
      <c r="A126" s="40">
        <f t="array" ref="A126">IFNA(index(PlayerValues!A:A,match(IFNA(vlookup(B126,'Special Names'!A:B,2,FALSE),B126),PlayerValues!E:E,0)),"N/A")</f>
        <v>15757</v>
      </c>
      <c r="B126" s="4" t="s">
        <v>449</v>
      </c>
      <c r="C126" s="4" t="s">
        <v>287</v>
      </c>
      <c r="D126" s="94">
        <v>3309.0</v>
      </c>
    </row>
    <row r="127">
      <c r="A127" s="40">
        <f t="array" ref="A127">IFNA(index(PlayerValues!A:A,match(IFNA(vlookup(B127,'Special Names'!A:B,2,FALSE),B127),PlayerValues!E:E,0)),"N/A")</f>
        <v>17068</v>
      </c>
      <c r="B127" s="4" t="s">
        <v>450</v>
      </c>
      <c r="C127" s="4" t="s">
        <v>278</v>
      </c>
      <c r="D127" s="94">
        <v>3301.0</v>
      </c>
    </row>
    <row r="128">
      <c r="A128" s="40">
        <f t="array" ref="A128">IFNA(index(PlayerValues!A:A,match(IFNA(vlookup(B128,'Special Names'!A:B,2,FALSE),B128),PlayerValues!E:E,0)),"N/A")</f>
        <v>17502</v>
      </c>
      <c r="B128" s="4" t="s">
        <v>451</v>
      </c>
      <c r="C128" s="4" t="s">
        <v>287</v>
      </c>
      <c r="D128" s="94">
        <v>3298.0</v>
      </c>
    </row>
    <row r="129">
      <c r="A129" s="40">
        <f t="array" ref="A129">IFNA(index(PlayerValues!A:A,match(IFNA(vlookup(B129,'Special Names'!A:B,2,FALSE),B129),PlayerValues!E:E,0)),"N/A")</f>
        <v>17477</v>
      </c>
      <c r="B129" s="4" t="s">
        <v>452</v>
      </c>
      <c r="C129" s="4" t="s">
        <v>278</v>
      </c>
      <c r="D129" s="94">
        <v>3292.0</v>
      </c>
    </row>
    <row r="130">
      <c r="A130" s="40" t="str">
        <f t="array" ref="A130">IFNA(index(PlayerValues!A:A,match(IFNA(vlookup(B130,'Special Names'!A:B,2,FALSE),B130),PlayerValues!E:E,0)),"N/A")</f>
        <v>N/A</v>
      </c>
      <c r="B130" s="4" t="s">
        <v>108</v>
      </c>
      <c r="C130" s="4" t="s">
        <v>325</v>
      </c>
      <c r="D130" s="94">
        <v>3286.0</v>
      </c>
    </row>
    <row r="131">
      <c r="A131" s="40">
        <f t="array" ref="A131">IFNA(index(PlayerValues!A:A,match(IFNA(vlookup(B131,'Special Names'!A:B,2,FALSE),B131),PlayerValues!E:E,0)),"N/A")</f>
        <v>15259</v>
      </c>
      <c r="B131" s="4" t="s">
        <v>453</v>
      </c>
      <c r="C131" s="4" t="s">
        <v>278</v>
      </c>
      <c r="D131" s="94">
        <v>3278.0</v>
      </c>
    </row>
    <row r="132">
      <c r="A132" s="40">
        <f t="array" ref="A132">IFNA(index(PlayerValues!A:A,match(IFNA(vlookup(B132,'Special Names'!A:B,2,FALSE),B132),PlayerValues!E:E,0)),"N/A")</f>
        <v>17517</v>
      </c>
      <c r="B132" s="4" t="s">
        <v>454</v>
      </c>
      <c r="C132" s="4" t="s">
        <v>287</v>
      </c>
      <c r="D132" s="94">
        <v>3253.0</v>
      </c>
    </row>
    <row r="133">
      <c r="A133" s="40">
        <f t="array" ref="A133">IFNA(index(PlayerValues!A:A,match(IFNA(vlookup(B133,'Special Names'!A:B,2,FALSE),B133),PlayerValues!E:E,0)),"N/A")</f>
        <v>16809</v>
      </c>
      <c r="B133" s="4" t="s">
        <v>455</v>
      </c>
      <c r="C133" s="4" t="s">
        <v>287</v>
      </c>
      <c r="D133" s="94">
        <v>3252.0</v>
      </c>
    </row>
    <row r="134">
      <c r="A134" s="40">
        <f t="array" ref="A134">IFNA(index(PlayerValues!A:A,match(IFNA(vlookup(B134,'Special Names'!A:B,2,FALSE),B134),PlayerValues!E:E,0)),"N/A")</f>
        <v>14842</v>
      </c>
      <c r="B134" s="4" t="s">
        <v>456</v>
      </c>
      <c r="C134" s="4" t="s">
        <v>287</v>
      </c>
      <c r="D134" s="94">
        <v>3241.0</v>
      </c>
    </row>
    <row r="135">
      <c r="A135" s="40">
        <f t="array" ref="A135">IFNA(index(PlayerValues!A:A,match(IFNA(vlookup(B135,'Special Names'!A:B,2,FALSE),B135),PlayerValues!E:E,0)),"N/A")</f>
        <v>16169</v>
      </c>
      <c r="B135" s="4" t="s">
        <v>457</v>
      </c>
      <c r="C135" s="4" t="s">
        <v>278</v>
      </c>
      <c r="D135" s="94">
        <v>3231.0</v>
      </c>
    </row>
    <row r="136">
      <c r="A136" s="40">
        <f t="array" ref="A136">IFNA(index(PlayerValues!A:A,match(IFNA(vlookup(B136,'Special Names'!A:B,2,FALSE),B136),PlayerValues!E:E,0)),"N/A")</f>
        <v>16213</v>
      </c>
      <c r="B136" s="4" t="s">
        <v>458</v>
      </c>
      <c r="C136" s="4" t="s">
        <v>298</v>
      </c>
      <c r="D136" s="94">
        <v>3663.0</v>
      </c>
    </row>
    <row r="137">
      <c r="A137" s="40" t="str">
        <f t="array" ref="A137">IFNA(index(PlayerValues!A:A,match(IFNA(vlookup(B137,'Special Names'!A:B,2,FALSE),B137),PlayerValues!E:E,0)),"N/A")</f>
        <v>N/A</v>
      </c>
      <c r="B137" s="4" t="s">
        <v>97</v>
      </c>
      <c r="C137" s="4" t="s">
        <v>325</v>
      </c>
      <c r="D137" s="94">
        <v>3210.0</v>
      </c>
    </row>
    <row r="138">
      <c r="A138" s="40">
        <f t="array" ref="A138">IFNA(index(PlayerValues!A:A,match(IFNA(vlookup(B138,'Special Names'!A:B,2,FALSE),B138),PlayerValues!E:E,0)),"N/A")</f>
        <v>14823</v>
      </c>
      <c r="B138" s="4" t="s">
        <v>459</v>
      </c>
      <c r="C138" s="4" t="s">
        <v>278</v>
      </c>
      <c r="D138" s="94">
        <v>3195.0</v>
      </c>
    </row>
    <row r="139">
      <c r="A139" s="40">
        <f t="array" ref="A139">IFNA(index(PlayerValues!A:A,match(IFNA(vlookup(B139,'Special Names'!A:B,2,FALSE),B139),PlayerValues!E:E,0)),"N/A")</f>
        <v>17482</v>
      </c>
      <c r="B139" s="4" t="s">
        <v>460</v>
      </c>
      <c r="C139" s="4" t="s">
        <v>278</v>
      </c>
      <c r="D139" s="94">
        <v>3194.0</v>
      </c>
    </row>
    <row r="140">
      <c r="A140" s="40">
        <f t="array" ref="A140">IFNA(index(PlayerValues!A:A,match(IFNA(vlookup(B140,'Special Names'!A:B,2,FALSE),B140),PlayerValues!E:E,0)),"N/A")</f>
        <v>15779</v>
      </c>
      <c r="B140" s="4" t="s">
        <v>461</v>
      </c>
      <c r="C140" s="4" t="s">
        <v>287</v>
      </c>
      <c r="D140" s="94">
        <v>3191.0</v>
      </c>
    </row>
    <row r="141">
      <c r="A141" s="40">
        <f t="array" ref="A141">IFNA(index(PlayerValues!A:A,match(IFNA(vlookup(B141,'Special Names'!A:B,2,FALSE),B141),PlayerValues!E:E,0)),"N/A")</f>
        <v>17256</v>
      </c>
      <c r="B141" s="4" t="s">
        <v>462</v>
      </c>
      <c r="C141" s="4" t="s">
        <v>278</v>
      </c>
      <c r="D141" s="94">
        <v>3181.0</v>
      </c>
    </row>
    <row r="142">
      <c r="A142" s="40" t="str">
        <f t="array" ref="A142">IFNA(index(PlayerValues!A:A,match(IFNA(vlookup(B142,'Special Names'!A:B,2,FALSE),B142),PlayerValues!E:E,0)),"N/A")</f>
        <v>N/A</v>
      </c>
      <c r="B142" s="4" t="s">
        <v>84</v>
      </c>
      <c r="C142" s="4" t="s">
        <v>325</v>
      </c>
      <c r="D142" s="94">
        <v>3175.0</v>
      </c>
    </row>
    <row r="143">
      <c r="A143" s="40">
        <f t="array" ref="A143">IFNA(index(PlayerValues!A:A,match(IFNA(vlookup(B143,'Special Names'!A:B,2,FALSE),B143),PlayerValues!E:E,0)),"N/A")</f>
        <v>11671</v>
      </c>
      <c r="B143" s="4" t="s">
        <v>463</v>
      </c>
      <c r="C143" s="4" t="s">
        <v>287</v>
      </c>
      <c r="D143" s="94">
        <v>3149.0</v>
      </c>
    </row>
    <row r="144">
      <c r="A144" s="40">
        <f t="array" ref="A144">IFNA(index(PlayerValues!A:A,match(IFNA(vlookup(B144,'Special Names'!A:B,2,FALSE),B144),PlayerValues!E:E,0)),"N/A")</f>
        <v>14073</v>
      </c>
      <c r="B144" s="4" t="s">
        <v>464</v>
      </c>
      <c r="C144" s="4" t="s">
        <v>278</v>
      </c>
      <c r="D144" s="94">
        <v>3123.0</v>
      </c>
    </row>
    <row r="145">
      <c r="A145" s="40">
        <f t="array" ref="A145">IFNA(index(PlayerValues!A:A,match(IFNA(vlookup(B145,'Special Names'!A:B,2,FALSE),B145),PlayerValues!E:E,0)),"N/A")</f>
        <v>13630</v>
      </c>
      <c r="B145" s="4" t="s">
        <v>465</v>
      </c>
      <c r="C145" s="4" t="s">
        <v>287</v>
      </c>
      <c r="D145" s="94">
        <v>3120.0</v>
      </c>
    </row>
    <row r="146">
      <c r="A146" s="40" t="str">
        <f t="array" ref="A146">IFNA(index(PlayerValues!A:A,match(IFNA(vlookup(B146,'Special Names'!A:B,2,FALSE),B146),PlayerValues!E:E,0)),"N/A")</f>
        <v>N/A</v>
      </c>
      <c r="B146" s="4" t="s">
        <v>109</v>
      </c>
      <c r="C146" s="4" t="s">
        <v>325</v>
      </c>
      <c r="D146" s="94">
        <v>3079.0</v>
      </c>
    </row>
    <row r="147">
      <c r="A147" s="40">
        <f t="array" ref="A147">IFNA(index(PlayerValues!A:A,match(IFNA(vlookup(B147,'Special Names'!A:B,2,FALSE),B147),PlayerValues!E:E,0)),"N/A")</f>
        <v>15261</v>
      </c>
      <c r="B147" s="4" t="s">
        <v>466</v>
      </c>
      <c r="C147" s="4" t="s">
        <v>278</v>
      </c>
      <c r="D147" s="94">
        <v>3069.0</v>
      </c>
    </row>
    <row r="148">
      <c r="A148" s="40">
        <f t="array" ref="A148">IFNA(index(PlayerValues!A:A,match(IFNA(vlookup(B148,'Special Names'!A:B,2,FALSE),B148),PlayerValues!E:E,0)),"N/A")</f>
        <v>16620</v>
      </c>
      <c r="B148" s="4" t="s">
        <v>467</v>
      </c>
      <c r="C148" s="4" t="s">
        <v>287</v>
      </c>
      <c r="D148" s="94">
        <v>3061.0</v>
      </c>
    </row>
    <row r="149">
      <c r="A149" s="40">
        <f t="array" ref="A149">IFNA(index(PlayerValues!A:A,match(IFNA(vlookup(B149,'Special Names'!A:B,2,FALSE),B149),PlayerValues!E:E,0)),"N/A")</f>
        <v>15799</v>
      </c>
      <c r="B149" s="4" t="s">
        <v>468</v>
      </c>
      <c r="C149" s="4" t="s">
        <v>298</v>
      </c>
      <c r="D149" s="94">
        <v>3477.0</v>
      </c>
    </row>
    <row r="150">
      <c r="A150" s="40">
        <f t="array" ref="A150">IFNA(index(PlayerValues!A:A,match(IFNA(vlookup(B150,'Special Names'!A:B,2,FALSE),B150),PlayerValues!E:E,0)),"N/A")</f>
        <v>15972</v>
      </c>
      <c r="B150" s="4" t="s">
        <v>469</v>
      </c>
      <c r="C150" s="4" t="s">
        <v>278</v>
      </c>
      <c r="D150" s="94">
        <v>3037.0</v>
      </c>
    </row>
    <row r="151">
      <c r="A151" s="40">
        <f t="array" ref="A151">IFNA(index(PlayerValues!A:A,match(IFNA(vlookup(B151,'Special Names'!A:B,2,FALSE),B151),PlayerValues!E:E,0)),"N/A")</f>
        <v>17544</v>
      </c>
      <c r="B151" s="4" t="s">
        <v>470</v>
      </c>
      <c r="C151" s="4" t="s">
        <v>298</v>
      </c>
      <c r="D151" s="94">
        <v>3463.0</v>
      </c>
    </row>
    <row r="152">
      <c r="A152" s="40">
        <f t="array" ref="A152">IFNA(index(PlayerValues!A:A,match(IFNA(vlookup(B152,'Special Names'!A:B,2,FALSE),B152),PlayerValues!E:E,0)),"N/A")</f>
        <v>17506</v>
      </c>
      <c r="B152" s="4" t="s">
        <v>471</v>
      </c>
      <c r="C152" s="4" t="s">
        <v>287</v>
      </c>
      <c r="D152" s="94">
        <v>3033.0</v>
      </c>
    </row>
    <row r="153">
      <c r="A153" s="40">
        <f t="array" ref="A153">IFNA(index(PlayerValues!A:A,match(IFNA(vlookup(B153,'Special Names'!A:B,2,FALSE),B153),PlayerValues!E:E,0)),"N/A")</f>
        <v>14800</v>
      </c>
      <c r="B153" s="4" t="s">
        <v>472</v>
      </c>
      <c r="C153" s="4" t="s">
        <v>278</v>
      </c>
      <c r="D153" s="94">
        <v>3023.0</v>
      </c>
    </row>
    <row r="154">
      <c r="A154" s="40">
        <f t="array" ref="A154">IFNA(index(PlayerValues!A:A,match(IFNA(vlookup(B154,'Special Names'!A:B,2,FALSE),B154),PlayerValues!E:E,0)),"N/A")</f>
        <v>13163</v>
      </c>
      <c r="B154" s="4" t="s">
        <v>473</v>
      </c>
      <c r="C154" s="4" t="s">
        <v>287</v>
      </c>
      <c r="D154" s="94">
        <v>3022.0</v>
      </c>
    </row>
    <row r="155">
      <c r="A155" s="40">
        <f t="array" ref="A155">IFNA(index(PlayerValues!A:A,match(IFNA(vlookup(B155,'Special Names'!A:B,2,FALSE),B155),PlayerValues!E:E,0)),"N/A")</f>
        <v>17099</v>
      </c>
      <c r="B155" s="4" t="s">
        <v>474</v>
      </c>
      <c r="C155" s="4" t="s">
        <v>298</v>
      </c>
      <c r="D155" s="94">
        <v>3437.0</v>
      </c>
    </row>
    <row r="156">
      <c r="A156" s="40">
        <f t="array" ref="A156">IFNA(index(PlayerValues!A:A,match(IFNA(vlookup(B156,'Special Names'!A:B,2,FALSE),B156),PlayerValues!E:E,0)),"N/A")</f>
        <v>17074</v>
      </c>
      <c r="B156" s="4" t="s">
        <v>475</v>
      </c>
      <c r="C156" s="4" t="s">
        <v>287</v>
      </c>
      <c r="D156" s="94">
        <v>3003.0</v>
      </c>
    </row>
    <row r="157">
      <c r="A157" s="40">
        <f t="array" ref="A157">IFNA(index(PlayerValues!A:A,match(IFNA(vlookup(B157,'Special Names'!A:B,2,FALSE),B157),PlayerValues!E:E,0)),"N/A")</f>
        <v>16604</v>
      </c>
      <c r="B157" s="4" t="s">
        <v>476</v>
      </c>
      <c r="C157" s="4" t="s">
        <v>278</v>
      </c>
      <c r="D157" s="94">
        <v>2997.0</v>
      </c>
    </row>
    <row r="158">
      <c r="A158" s="40">
        <f t="array" ref="A158">IFNA(index(PlayerValues!A:A,match(IFNA(vlookup(B158,'Special Names'!A:B,2,FALSE),B158),PlayerValues!E:E,0)),"N/A")</f>
        <v>15255</v>
      </c>
      <c r="B158" s="4" t="s">
        <v>477</v>
      </c>
      <c r="C158" s="4" t="s">
        <v>278</v>
      </c>
      <c r="D158" s="94">
        <v>2965.0</v>
      </c>
    </row>
    <row r="159">
      <c r="A159" s="40">
        <f t="array" ref="A159">IFNA(index(PlayerValues!A:A,match(IFNA(vlookup(B159,'Special Names'!A:B,2,FALSE),B159),PlayerValues!E:E,0)),"N/A")</f>
        <v>17107</v>
      </c>
      <c r="B159" s="4" t="s">
        <v>478</v>
      </c>
      <c r="C159" s="4" t="s">
        <v>298</v>
      </c>
      <c r="D159" s="94">
        <v>3383.0</v>
      </c>
    </row>
    <row r="160">
      <c r="A160" s="40">
        <f t="array" ref="A160">IFNA(index(PlayerValues!A:A,match(IFNA(vlookup(B160,'Special Names'!A:B,2,FALSE),B160),PlayerValues!E:E,0)),"N/A")</f>
        <v>17083</v>
      </c>
      <c r="B160" s="4" t="s">
        <v>479</v>
      </c>
      <c r="C160" s="4" t="s">
        <v>287</v>
      </c>
      <c r="D160" s="94">
        <v>2927.0</v>
      </c>
    </row>
    <row r="161">
      <c r="A161" s="40">
        <f t="array" ref="A161">IFNA(index(PlayerValues!A:A,match(IFNA(vlookup(B161,'Special Names'!A:B,2,FALSE),B161),PlayerValues!E:E,0)),"N/A")</f>
        <v>17503</v>
      </c>
      <c r="B161" s="4" t="s">
        <v>480</v>
      </c>
      <c r="C161" s="4" t="s">
        <v>287</v>
      </c>
      <c r="D161" s="94">
        <v>2905.0</v>
      </c>
    </row>
    <row r="162">
      <c r="A162" s="40">
        <f t="array" ref="A162">IFNA(index(PlayerValues!A:A,match(IFNA(vlookup(B162,'Special Names'!A:B,2,FALSE),B162),PlayerValues!E:E,0)),"N/A")</f>
        <v>16269</v>
      </c>
      <c r="B162" s="4" t="s">
        <v>481</v>
      </c>
      <c r="C162" s="4" t="s">
        <v>298</v>
      </c>
      <c r="D162" s="94">
        <v>3323.0</v>
      </c>
    </row>
    <row r="163">
      <c r="A163" s="40" t="str">
        <f t="array" ref="A163">IFNA(index(PlayerValues!A:A,match(IFNA(vlookup(B163,'Special Names'!A:B,2,FALSE),B163),PlayerValues!E:E,0)),"N/A")</f>
        <v>N/A</v>
      </c>
      <c r="B163" s="4" t="s">
        <v>85</v>
      </c>
      <c r="C163" s="4" t="s">
        <v>325</v>
      </c>
      <c r="D163" s="94">
        <v>2893.0</v>
      </c>
    </row>
    <row r="164">
      <c r="A164" s="40">
        <f t="array" ref="A164">IFNA(index(PlayerValues!A:A,match(IFNA(vlookup(B164,'Special Names'!A:B,2,FALSE),B164),PlayerValues!E:E,0)),"N/A")</f>
        <v>17518</v>
      </c>
      <c r="B164" s="4" t="s">
        <v>482</v>
      </c>
      <c r="C164" s="4" t="s">
        <v>287</v>
      </c>
      <c r="D164" s="94">
        <v>2888.0</v>
      </c>
    </row>
    <row r="165">
      <c r="A165" s="40">
        <f t="array" ref="A165">IFNA(index(PlayerValues!A:A,match(IFNA(vlookup(B165,'Special Names'!A:B,2,FALSE),B165),PlayerValues!E:E,0)),"N/A")</f>
        <v>17512</v>
      </c>
      <c r="B165" s="4" t="s">
        <v>483</v>
      </c>
      <c r="C165" s="4" t="s">
        <v>287</v>
      </c>
      <c r="D165" s="94">
        <v>2871.0</v>
      </c>
    </row>
    <row r="166">
      <c r="A166" s="40">
        <f t="array" ref="A166">IFNA(index(PlayerValues!A:A,match(IFNA(vlookup(B166,'Special Names'!A:B,2,FALSE),B166),PlayerValues!E:E,0)),"N/A")</f>
        <v>17053</v>
      </c>
      <c r="B166" s="4" t="s">
        <v>484</v>
      </c>
      <c r="C166" s="4" t="s">
        <v>278</v>
      </c>
      <c r="D166" s="94">
        <v>2867.0</v>
      </c>
    </row>
    <row r="167">
      <c r="A167" s="40">
        <f t="array" ref="A167">IFNA(index(PlayerValues!A:A,match(IFNA(vlookup(B167,'Special Names'!A:B,2,FALSE),B167),PlayerValues!E:E,0)),"N/A")</f>
        <v>17511</v>
      </c>
      <c r="B167" s="4" t="s">
        <v>485</v>
      </c>
      <c r="C167" s="4" t="s">
        <v>287</v>
      </c>
      <c r="D167" s="94">
        <v>2831.0</v>
      </c>
    </row>
    <row r="168">
      <c r="A168" s="40">
        <f t="array" ref="A168">IFNA(index(PlayerValues!A:A,match(IFNA(vlookup(B168,'Special Names'!A:B,2,FALSE),B168),PlayerValues!E:E,0)),"N/A")</f>
        <v>14127</v>
      </c>
      <c r="B168" s="4" t="s">
        <v>486</v>
      </c>
      <c r="C168" s="4" t="s">
        <v>287</v>
      </c>
      <c r="D168" s="94">
        <v>2824.0</v>
      </c>
    </row>
    <row r="169">
      <c r="A169" s="40">
        <f t="array" ref="A169">IFNA(index(PlayerValues!A:A,match(IFNA(vlookup(B169,'Special Names'!A:B,2,FALSE),B169),PlayerValues!E:E,0)),"N/A")</f>
        <v>16193</v>
      </c>
      <c r="B169" s="4" t="s">
        <v>487</v>
      </c>
      <c r="C169" s="4" t="s">
        <v>287</v>
      </c>
      <c r="D169" s="94">
        <v>2810.0</v>
      </c>
    </row>
    <row r="170">
      <c r="A170" s="40">
        <f t="array" ref="A170">IFNA(index(PlayerValues!A:A,match(IFNA(vlookup(B170,'Special Names'!A:B,2,FALSE),B170),PlayerValues!E:E,0)),"N/A")</f>
        <v>15712</v>
      </c>
      <c r="B170" s="4" t="s">
        <v>488</v>
      </c>
      <c r="C170" s="4" t="s">
        <v>278</v>
      </c>
      <c r="D170" s="94">
        <v>2806.0</v>
      </c>
    </row>
    <row r="171">
      <c r="A171" s="40" t="str">
        <f t="array" ref="A171">IFNA(index(PlayerValues!A:A,match(IFNA(vlookup(B171,'Special Names'!A:B,2,FALSE),B171),PlayerValues!E:E,0)),"N/A")</f>
        <v>N/A</v>
      </c>
      <c r="B171" s="4" t="s">
        <v>110</v>
      </c>
      <c r="C171" s="4" t="s">
        <v>325</v>
      </c>
      <c r="D171" s="94">
        <v>2803.0</v>
      </c>
    </row>
    <row r="172">
      <c r="A172" s="40">
        <f t="array" ref="A172">IFNA(index(PlayerValues!A:A,match(IFNA(vlookup(B172,'Special Names'!A:B,2,FALSE),B172),PlayerValues!E:E,0)),"N/A")</f>
        <v>14085</v>
      </c>
      <c r="B172" s="4" t="s">
        <v>489</v>
      </c>
      <c r="C172" s="4" t="s">
        <v>278</v>
      </c>
      <c r="D172" s="94">
        <v>2792.0</v>
      </c>
    </row>
    <row r="173">
      <c r="A173" s="40">
        <f t="array" ref="A173">IFNA(index(PlayerValues!A:A,match(IFNA(vlookup(B173,'Special Names'!A:B,2,FALSE),B173),PlayerValues!E:E,0)),"N/A")</f>
        <v>16628</v>
      </c>
      <c r="B173" s="4" t="s">
        <v>490</v>
      </c>
      <c r="C173" s="4" t="s">
        <v>287</v>
      </c>
      <c r="D173" s="94">
        <v>2791.0</v>
      </c>
    </row>
    <row r="174">
      <c r="A174" s="40">
        <f t="array" ref="A174">IFNA(index(PlayerValues!A:A,match(IFNA(vlookup(B174,'Special Names'!A:B,2,FALSE),B174),PlayerValues!E:E,0)),"N/A")</f>
        <v>15761</v>
      </c>
      <c r="B174" s="4" t="s">
        <v>491</v>
      </c>
      <c r="C174" s="4" t="s">
        <v>287</v>
      </c>
      <c r="D174" s="94">
        <v>2776.0</v>
      </c>
    </row>
    <row r="175">
      <c r="A175" s="40">
        <f t="array" ref="A175">IFNA(index(PlayerValues!A:A,match(IFNA(vlookup(B175,'Special Names'!A:B,2,FALSE),B175),PlayerValues!E:E,0)),"N/A")</f>
        <v>17466</v>
      </c>
      <c r="B175" s="4" t="s">
        <v>492</v>
      </c>
      <c r="C175" s="4" t="s">
        <v>283</v>
      </c>
      <c r="D175" s="94">
        <v>2768.0</v>
      </c>
    </row>
    <row r="176">
      <c r="A176" s="40">
        <f t="array" ref="A176">IFNA(index(PlayerValues!A:A,match(IFNA(vlookup(B176,'Special Names'!A:B,2,FALSE),B176),PlayerValues!E:E,0)),"N/A")</f>
        <v>16583</v>
      </c>
      <c r="B176" s="4" t="s">
        <v>493</v>
      </c>
      <c r="C176" s="4" t="s">
        <v>283</v>
      </c>
      <c r="D176" s="94">
        <v>2767.0</v>
      </c>
    </row>
    <row r="177">
      <c r="A177" s="40">
        <f t="array" ref="A177">IFNA(index(PlayerValues!A:A,match(IFNA(vlookup(B177,'Special Names'!A:B,2,FALSE),B177),PlayerValues!E:E,0)),"N/A")</f>
        <v>17476</v>
      </c>
      <c r="B177" s="4" t="s">
        <v>494</v>
      </c>
      <c r="C177" s="4" t="s">
        <v>278</v>
      </c>
      <c r="D177" s="94">
        <v>2746.0</v>
      </c>
    </row>
    <row r="178">
      <c r="A178" s="40">
        <f t="array" ref="A178">IFNA(index(PlayerValues!A:A,match(IFNA(vlookup(B178,'Special Names'!A:B,2,FALSE),B178),PlayerValues!E:E,0)),"N/A")</f>
        <v>17507</v>
      </c>
      <c r="B178" s="4" t="s">
        <v>495</v>
      </c>
      <c r="C178" s="4" t="s">
        <v>287</v>
      </c>
      <c r="D178" s="94">
        <v>2728.0</v>
      </c>
    </row>
    <row r="179">
      <c r="A179" s="40">
        <f t="array" ref="A179">IFNA(index(PlayerValues!A:A,match(IFNA(vlookup(B179,'Special Names'!A:B,2,FALSE),B179),PlayerValues!E:E,0)),"N/A")</f>
        <v>17599</v>
      </c>
      <c r="B179" s="4" t="s">
        <v>496</v>
      </c>
      <c r="C179" s="4" t="s">
        <v>287</v>
      </c>
      <c r="D179" s="94">
        <v>2719.0</v>
      </c>
    </row>
    <row r="180">
      <c r="A180" s="40">
        <f t="array" ref="A180">IFNA(index(PlayerValues!A:A,match(IFNA(vlookup(B180,'Special Names'!A:B,2,FALSE),B180),PlayerValues!E:E,0)),"N/A")</f>
        <v>12186</v>
      </c>
      <c r="B180" s="4" t="s">
        <v>497</v>
      </c>
      <c r="C180" s="4" t="s">
        <v>287</v>
      </c>
      <c r="D180" s="94">
        <v>2676.0</v>
      </c>
    </row>
    <row r="181">
      <c r="A181" s="40">
        <f t="array" ref="A181">IFNA(index(PlayerValues!A:A,match(IFNA(vlookup(B181,'Special Names'!A:B,2,FALSE),B181),PlayerValues!E:E,0)),"N/A")</f>
        <v>17082</v>
      </c>
      <c r="B181" s="4" t="s">
        <v>498</v>
      </c>
      <c r="C181" s="4" t="s">
        <v>287</v>
      </c>
      <c r="D181" s="94">
        <v>2653.0</v>
      </c>
    </row>
    <row r="182">
      <c r="A182" s="40">
        <f t="array" ref="A182">IFNA(index(PlayerValues!A:A,match(IFNA(vlookup(B182,'Special Names'!A:B,2,FALSE),B182),PlayerValues!E:E,0)),"N/A")</f>
        <v>16080</v>
      </c>
      <c r="B182" s="4" t="s">
        <v>499</v>
      </c>
      <c r="C182" s="4" t="s">
        <v>287</v>
      </c>
      <c r="D182" s="94">
        <v>2647.0</v>
      </c>
    </row>
    <row r="183">
      <c r="A183" s="40">
        <f t="array" ref="A183">IFNA(index(PlayerValues!A:A,match(IFNA(vlookup(B183,'Special Names'!A:B,2,FALSE),B183),PlayerValues!E:E,0)),"N/A")</f>
        <v>16684</v>
      </c>
      <c r="B183" s="4" t="s">
        <v>500</v>
      </c>
      <c r="C183" s="4" t="s">
        <v>287</v>
      </c>
      <c r="D183" s="94">
        <v>2644.0</v>
      </c>
    </row>
    <row r="184">
      <c r="A184" s="40">
        <f t="array" ref="A184">IFNA(index(PlayerValues!A:A,match(IFNA(vlookup(B184,'Special Names'!A:B,2,FALSE),B184),PlayerValues!E:E,0)),"N/A")</f>
        <v>16596</v>
      </c>
      <c r="B184" s="4" t="s">
        <v>501</v>
      </c>
      <c r="C184" s="4" t="s">
        <v>278</v>
      </c>
      <c r="D184" s="94">
        <v>2640.0</v>
      </c>
    </row>
    <row r="185">
      <c r="A185" s="40">
        <f t="array" ref="A185">IFNA(index(PlayerValues!A:A,match(IFNA(vlookup(B185,'Special Names'!A:B,2,FALSE),B185),PlayerValues!E:E,0)),"N/A")</f>
        <v>16723</v>
      </c>
      <c r="B185" s="4" t="s">
        <v>502</v>
      </c>
      <c r="C185" s="4" t="s">
        <v>298</v>
      </c>
      <c r="D185" s="94">
        <v>3046.0</v>
      </c>
    </row>
    <row r="186">
      <c r="A186" s="40">
        <f t="array" ref="A186">IFNA(index(PlayerValues!A:A,match(IFNA(vlookup(B186,'Special Names'!A:B,2,FALSE),B186),PlayerValues!E:E,0)),"N/A")</f>
        <v>15889</v>
      </c>
      <c r="B186" s="4" t="s">
        <v>503</v>
      </c>
      <c r="C186" s="4" t="s">
        <v>298</v>
      </c>
      <c r="D186" s="94">
        <v>3046.0</v>
      </c>
    </row>
    <row r="187">
      <c r="A187" s="40">
        <f t="array" ref="A187">IFNA(index(PlayerValues!A:A,match(IFNA(vlookup(B187,'Special Names'!A:B,2,FALSE),B187),PlayerValues!E:E,0)),"N/A")</f>
        <v>15721</v>
      </c>
      <c r="B187" s="4" t="s">
        <v>504</v>
      </c>
      <c r="C187" s="4" t="s">
        <v>278</v>
      </c>
      <c r="D187" s="94">
        <v>2632.0</v>
      </c>
    </row>
    <row r="188">
      <c r="A188" s="40">
        <f t="array" ref="A188">IFNA(index(PlayerValues!A:A,match(IFNA(vlookup(B188,'Special Names'!A:B,2,FALSE),B188),PlayerValues!E:E,0)),"N/A")</f>
        <v>16174</v>
      </c>
      <c r="B188" s="4" t="s">
        <v>505</v>
      </c>
      <c r="C188" s="4" t="s">
        <v>278</v>
      </c>
      <c r="D188" s="94">
        <v>2624.0</v>
      </c>
    </row>
    <row r="189">
      <c r="A189" s="40">
        <f t="array" ref="A189">IFNA(index(PlayerValues!A:A,match(IFNA(vlookup(B189,'Special Names'!A:B,2,FALSE),B189),PlayerValues!E:E,0)),"N/A")</f>
        <v>13671</v>
      </c>
      <c r="B189" s="4" t="s">
        <v>506</v>
      </c>
      <c r="C189" s="4" t="s">
        <v>298</v>
      </c>
      <c r="D189" s="94">
        <v>3030.0</v>
      </c>
    </row>
    <row r="190">
      <c r="A190" s="40">
        <f t="array" ref="A190">IFNA(index(PlayerValues!A:A,match(IFNA(vlookup(B190,'Special Names'!A:B,2,FALSE),B190),PlayerValues!E:E,0)),"N/A")</f>
        <v>16178</v>
      </c>
      <c r="B190" s="4" t="s">
        <v>507</v>
      </c>
      <c r="C190" s="4" t="s">
        <v>278</v>
      </c>
      <c r="D190" s="94">
        <v>2615.0</v>
      </c>
    </row>
    <row r="191">
      <c r="A191" s="40">
        <f t="array" ref="A191">IFNA(index(PlayerValues!A:A,match(IFNA(vlookup(B191,'Special Names'!A:B,2,FALSE),B191),PlayerValues!E:E,0)),"N/A")</f>
        <v>17072</v>
      </c>
      <c r="B191" s="4" t="s">
        <v>508</v>
      </c>
      <c r="C191" s="4" t="s">
        <v>287</v>
      </c>
      <c r="D191" s="94">
        <v>2611.0</v>
      </c>
    </row>
    <row r="192">
      <c r="A192" s="40">
        <f t="array" ref="A192">IFNA(index(PlayerValues!A:A,match(IFNA(vlookup(B192,'Special Names'!A:B,2,FALSE),B192),PlayerValues!E:E,0)),"N/A")</f>
        <v>16195</v>
      </c>
      <c r="B192" s="4" t="s">
        <v>509</v>
      </c>
      <c r="C192" s="4" t="s">
        <v>287</v>
      </c>
      <c r="D192" s="94">
        <v>2597.0</v>
      </c>
    </row>
    <row r="193">
      <c r="A193" s="40">
        <f t="array" ref="A193">IFNA(index(PlayerValues!A:A,match(IFNA(vlookup(B193,'Special Names'!A:B,2,FALSE),B193),PlayerValues!E:E,0)),"N/A")</f>
        <v>17047</v>
      </c>
      <c r="B193" s="4" t="s">
        <v>510</v>
      </c>
      <c r="C193" s="4" t="s">
        <v>278</v>
      </c>
      <c r="D193" s="94">
        <v>2597.0</v>
      </c>
    </row>
    <row r="194">
      <c r="A194" s="40">
        <f t="array" ref="A194">IFNA(index(PlayerValues!A:A,match(IFNA(vlookup(B194,'Special Names'!A:B,2,FALSE),B194),PlayerValues!E:E,0)),"N/A")</f>
        <v>13674</v>
      </c>
      <c r="B194" s="4" t="s">
        <v>511</v>
      </c>
      <c r="C194" s="4" t="s">
        <v>298</v>
      </c>
      <c r="D194" s="94">
        <v>2996.0</v>
      </c>
    </row>
    <row r="195">
      <c r="A195" s="40" t="str">
        <f t="array" ref="A195">IFNA(index(PlayerValues!A:A,match(IFNA(vlookup(B195,'Special Names'!A:B,2,FALSE),B195),PlayerValues!E:E,0)),"N/A")</f>
        <v>N/A</v>
      </c>
      <c r="B195" s="4" t="s">
        <v>98</v>
      </c>
      <c r="C195" s="4" t="s">
        <v>325</v>
      </c>
      <c r="D195" s="94">
        <v>2580.0</v>
      </c>
    </row>
    <row r="196">
      <c r="A196" s="40">
        <f t="array" ref="A196">IFNA(index(PlayerValues!A:A,match(IFNA(vlookup(B196,'Special Names'!A:B,2,FALSE),B196),PlayerValues!E:E,0)),"N/A")</f>
        <v>16164</v>
      </c>
      <c r="B196" s="4" t="s">
        <v>512</v>
      </c>
      <c r="C196" s="4" t="s">
        <v>278</v>
      </c>
      <c r="D196" s="94">
        <v>2577.0</v>
      </c>
    </row>
    <row r="197">
      <c r="A197" s="40">
        <f t="array" ref="A197">IFNA(index(PlayerValues!A:A,match(IFNA(vlookup(B197,'Special Names'!A:B,2,FALSE),B197),PlayerValues!E:E,0)),"N/A")</f>
        <v>17474</v>
      </c>
      <c r="B197" s="4" t="s">
        <v>513</v>
      </c>
      <c r="C197" s="4" t="s">
        <v>278</v>
      </c>
      <c r="D197" s="94">
        <v>2573.0</v>
      </c>
    </row>
    <row r="198">
      <c r="A198" s="40">
        <f t="array" ref="A198">IFNA(index(PlayerValues!A:A,match(IFNA(vlookup(B198,'Special Names'!A:B,2,FALSE),B198),PlayerValues!E:E,0)),"N/A")</f>
        <v>17468</v>
      </c>
      <c r="B198" s="4" t="s">
        <v>514</v>
      </c>
      <c r="C198" s="4" t="s">
        <v>283</v>
      </c>
      <c r="D198" s="94">
        <v>2559.0</v>
      </c>
    </row>
    <row r="199">
      <c r="A199" s="40">
        <f t="array" ref="A199">IFNA(index(PlayerValues!A:A,match(IFNA(vlookup(B199,'Special Names'!A:B,2,FALSE),B199),PlayerValues!E:E,0)),"N/A")</f>
        <v>16626</v>
      </c>
      <c r="B199" s="4" t="s">
        <v>515</v>
      </c>
      <c r="C199" s="4" t="s">
        <v>287</v>
      </c>
      <c r="D199" s="94">
        <v>2555.0</v>
      </c>
    </row>
    <row r="200">
      <c r="A200" s="40">
        <f t="array" ref="A200">IFNA(index(PlayerValues!A:A,match(IFNA(vlookup(B200,'Special Names'!A:B,2,FALSE),B200),PlayerValues!E:E,0)),"N/A")</f>
        <v>16287</v>
      </c>
      <c r="B200" s="4" t="s">
        <v>516</v>
      </c>
      <c r="C200" s="4" t="s">
        <v>287</v>
      </c>
      <c r="D200" s="94">
        <v>2543.0</v>
      </c>
    </row>
    <row r="201">
      <c r="A201" s="40">
        <f t="array" ref="A201">IFNA(index(PlayerValues!A:A,match(IFNA(vlookup(B201,'Special Names'!A:B,2,FALSE),B201),PlayerValues!E:E,0)),"N/A")</f>
        <v>16622</v>
      </c>
      <c r="B201" s="4" t="s">
        <v>517</v>
      </c>
      <c r="C201" s="4" t="s">
        <v>287</v>
      </c>
      <c r="D201" s="94">
        <v>2539.0</v>
      </c>
    </row>
    <row r="202">
      <c r="A202" s="40">
        <f t="array" ref="A202">IFNA(index(PlayerValues!A:A,match(IFNA(vlookup(B202,'Special Names'!A:B,2,FALSE),B202),PlayerValues!E:E,0)),"N/A")</f>
        <v>17520</v>
      </c>
      <c r="B202" s="4" t="s">
        <v>518</v>
      </c>
      <c r="C202" s="4" t="s">
        <v>287</v>
      </c>
      <c r="D202" s="94">
        <v>2532.0</v>
      </c>
    </row>
    <row r="203">
      <c r="A203" s="40">
        <f t="array" ref="A203">IFNA(index(PlayerValues!A:A,match(IFNA(vlookup(B203,'Special Names'!A:B,2,FALSE),B203),PlayerValues!E:E,0)),"N/A")</f>
        <v>11244</v>
      </c>
      <c r="B203" s="4" t="s">
        <v>519</v>
      </c>
      <c r="C203" s="4" t="s">
        <v>298</v>
      </c>
      <c r="D203" s="94">
        <v>2930.0</v>
      </c>
    </row>
    <row r="204">
      <c r="A204" s="40">
        <f t="array" ref="A204">IFNA(index(PlayerValues!A:A,match(IFNA(vlookup(B204,'Special Names'!A:B,2,FALSE),B204),PlayerValues!E:E,0)),"N/A")</f>
        <v>16165</v>
      </c>
      <c r="B204" s="4" t="s">
        <v>520</v>
      </c>
      <c r="C204" s="4" t="s">
        <v>278</v>
      </c>
      <c r="D204" s="94">
        <v>2523.0</v>
      </c>
    </row>
    <row r="205">
      <c r="A205" s="40" t="str">
        <f t="array" ref="A205">IFNA(index(PlayerValues!A:A,match(IFNA(vlookup(B205,'Special Names'!A:B,2,FALSE),B205),PlayerValues!E:E,0)),"N/A")</f>
        <v>N/A</v>
      </c>
      <c r="B205" s="4" t="s">
        <v>99</v>
      </c>
      <c r="C205" s="4" t="s">
        <v>325</v>
      </c>
      <c r="D205" s="94">
        <v>2505.0</v>
      </c>
    </row>
    <row r="206">
      <c r="A206" s="40">
        <f t="array" ref="A206">IFNA(index(PlayerValues!A:A,match(IFNA(vlookup(B206,'Special Names'!A:B,2,FALSE),B206),PlayerValues!E:E,0)),"N/A")</f>
        <v>15786</v>
      </c>
      <c r="B206" s="4" t="s">
        <v>521</v>
      </c>
      <c r="C206" s="4" t="s">
        <v>287</v>
      </c>
      <c r="D206" s="94">
        <v>2499.0</v>
      </c>
    </row>
    <row r="207">
      <c r="A207" s="40">
        <f t="array" ref="A207">IFNA(index(PlayerValues!A:A,match(IFNA(vlookup(B207,'Special Names'!A:B,2,FALSE),B207),PlayerValues!E:E,0)),"N/A")</f>
        <v>17485</v>
      </c>
      <c r="B207" s="4" t="s">
        <v>522</v>
      </c>
      <c r="C207" s="4" t="s">
        <v>278</v>
      </c>
      <c r="D207" s="94">
        <v>2499.0</v>
      </c>
    </row>
    <row r="208">
      <c r="A208" s="40">
        <f t="array" ref="A208">IFNA(index(PlayerValues!A:A,match(IFNA(vlookup(B208,'Special Names'!A:B,2,FALSE),B208),PlayerValues!E:E,0)),"N/A")</f>
        <v>14861</v>
      </c>
      <c r="B208" s="4" t="s">
        <v>523</v>
      </c>
      <c r="C208" s="4" t="s">
        <v>298</v>
      </c>
      <c r="D208" s="94">
        <v>2901.0</v>
      </c>
    </row>
    <row r="209">
      <c r="A209" s="40">
        <f t="array" ref="A209">IFNA(index(PlayerValues!A:A,match(IFNA(vlookup(B209,'Special Names'!A:B,2,FALSE),B209),PlayerValues!E:E,0)),"N/A")</f>
        <v>17157</v>
      </c>
      <c r="B209" s="4" t="s">
        <v>524</v>
      </c>
      <c r="C209" s="4" t="s">
        <v>287</v>
      </c>
      <c r="D209" s="94">
        <v>2494.0</v>
      </c>
    </row>
    <row r="210">
      <c r="A210" s="40">
        <f t="array" ref="A210">IFNA(index(PlayerValues!A:A,match(IFNA(vlookup(B210,'Special Names'!A:B,2,FALSE),B210),PlayerValues!E:E,0)),"N/A")</f>
        <v>17105</v>
      </c>
      <c r="B210" s="4" t="s">
        <v>525</v>
      </c>
      <c r="C210" s="4" t="s">
        <v>298</v>
      </c>
      <c r="D210" s="94">
        <v>2892.0</v>
      </c>
    </row>
    <row r="211">
      <c r="A211" s="40">
        <f t="array" ref="A211">IFNA(index(PlayerValues!A:A,match(IFNA(vlookup(B211,'Special Names'!A:B,2,FALSE),B211),PlayerValues!E:E,0)),"N/A")</f>
        <v>17607</v>
      </c>
      <c r="B211" s="4" t="s">
        <v>526</v>
      </c>
      <c r="C211" s="4" t="s">
        <v>298</v>
      </c>
      <c r="D211" s="94">
        <v>2891.0</v>
      </c>
    </row>
    <row r="212">
      <c r="A212" s="40">
        <f t="array" ref="A212">IFNA(index(PlayerValues!A:A,match(IFNA(vlookup(B212,'Special Names'!A:B,2,FALSE),B212),PlayerValues!E:E,0)),"N/A")</f>
        <v>17478</v>
      </c>
      <c r="B212" s="4" t="s">
        <v>527</v>
      </c>
      <c r="C212" s="4" t="s">
        <v>278</v>
      </c>
      <c r="D212" s="94">
        <v>2486.0</v>
      </c>
    </row>
    <row r="213">
      <c r="A213" s="40">
        <f t="array" ref="A213">IFNA(index(PlayerValues!A:A,match(IFNA(vlookup(B213,'Special Names'!A:B,2,FALSE),B213),PlayerValues!E:E,0)),"N/A")</f>
        <v>17505</v>
      </c>
      <c r="B213" s="4" t="s">
        <v>528</v>
      </c>
      <c r="C213" s="4" t="s">
        <v>287</v>
      </c>
      <c r="D213" s="94">
        <v>2483.0</v>
      </c>
    </row>
    <row r="214">
      <c r="A214" s="40">
        <f t="array" ref="A214">IFNA(index(PlayerValues!A:A,match(IFNA(vlookup(B214,'Special Names'!A:B,2,FALSE),B214),PlayerValues!E:E,0)),"N/A")</f>
        <v>12616</v>
      </c>
      <c r="B214" s="4" t="s">
        <v>529</v>
      </c>
      <c r="C214" s="4" t="s">
        <v>283</v>
      </c>
      <c r="D214" s="94">
        <v>2477.0</v>
      </c>
    </row>
    <row r="215">
      <c r="A215" s="40">
        <f t="array" ref="A215">IFNA(index(PlayerValues!A:A,match(IFNA(vlookup(B215,'Special Names'!A:B,2,FALSE),B215),PlayerValues!E:E,0)),"N/A")</f>
        <v>16204</v>
      </c>
      <c r="B215" s="4" t="s">
        <v>530</v>
      </c>
      <c r="C215" s="4" t="s">
        <v>287</v>
      </c>
      <c r="D215" s="94">
        <v>2477.0</v>
      </c>
    </row>
    <row r="216">
      <c r="A216" s="40">
        <f t="array" ref="A216">IFNA(index(PlayerValues!A:A,match(IFNA(vlookup(B216,'Special Names'!A:B,2,FALSE),B216),PlayerValues!E:E,0)),"N/A")</f>
        <v>14138</v>
      </c>
      <c r="B216" s="4" t="s">
        <v>531</v>
      </c>
      <c r="C216" s="4" t="s">
        <v>298</v>
      </c>
      <c r="D216" s="94">
        <v>2863.0</v>
      </c>
    </row>
    <row r="217">
      <c r="A217" s="40">
        <f t="array" ref="A217">IFNA(index(PlayerValues!A:A,match(IFNA(vlookup(B217,'Special Names'!A:B,2,FALSE),B217),PlayerValues!E:E,0)),"N/A")</f>
        <v>17080</v>
      </c>
      <c r="B217" s="4" t="s">
        <v>532</v>
      </c>
      <c r="C217" s="4" t="s">
        <v>287</v>
      </c>
      <c r="D217" s="94">
        <v>2456.0</v>
      </c>
    </row>
    <row r="218">
      <c r="A218" s="40" t="str">
        <f t="array" ref="A218">IFNA(index(PlayerValues!A:A,match(IFNA(vlookup(B218,'Special Names'!A:B,2,FALSE),B218),PlayerValues!E:E,0)),"N/A")</f>
        <v>N/A</v>
      </c>
      <c r="B218" s="4" t="s">
        <v>86</v>
      </c>
      <c r="C218" s="4" t="s">
        <v>325</v>
      </c>
      <c r="D218" s="94">
        <v>2449.0</v>
      </c>
    </row>
    <row r="219">
      <c r="A219" s="40">
        <f t="array" ref="A219">IFNA(index(PlayerValues!A:A,match(IFNA(vlookup(B219,'Special Names'!A:B,2,FALSE),B219),PlayerValues!E:E,0)),"N/A")</f>
        <v>17098</v>
      </c>
      <c r="B219" s="4" t="s">
        <v>533</v>
      </c>
      <c r="C219" s="4" t="s">
        <v>287</v>
      </c>
      <c r="D219" s="94">
        <v>2409.0</v>
      </c>
    </row>
    <row r="220">
      <c r="A220" s="40">
        <f t="array" ref="A220">IFNA(index(PlayerValues!A:A,match(IFNA(vlookup(B220,'Special Names'!A:B,2,FALSE),B220),PlayerValues!E:E,0)),"N/A")</f>
        <v>17508</v>
      </c>
      <c r="B220" s="4" t="s">
        <v>534</v>
      </c>
      <c r="C220" s="4" t="s">
        <v>287</v>
      </c>
      <c r="D220" s="94">
        <v>2374.0</v>
      </c>
    </row>
    <row r="221">
      <c r="A221" s="40">
        <f t="array" ref="A221">IFNA(index(PlayerValues!A:A,match(IFNA(vlookup(B221,'Special Names'!A:B,2,FALSE),B221),PlayerValues!E:E,0)),"N/A")</f>
        <v>17031</v>
      </c>
      <c r="B221" s="4" t="s">
        <v>535</v>
      </c>
      <c r="C221" s="4" t="s">
        <v>283</v>
      </c>
      <c r="D221" s="94">
        <v>2363.0</v>
      </c>
    </row>
    <row r="222">
      <c r="A222" s="40" t="str">
        <f t="array" ref="A222">IFNA(index(PlayerValues!A:A,match(IFNA(vlookup(B222,'Special Names'!A:B,2,FALSE),B222),PlayerValues!E:E,0)),"N/A")</f>
        <v>N/A</v>
      </c>
      <c r="B222" s="4" t="s">
        <v>100</v>
      </c>
      <c r="C222" s="4" t="s">
        <v>325</v>
      </c>
      <c r="D222" s="94">
        <v>2361.0</v>
      </c>
    </row>
    <row r="223">
      <c r="A223" s="40">
        <f t="array" ref="A223">IFNA(index(PlayerValues!A:A,match(IFNA(vlookup(B223,'Special Names'!A:B,2,FALSE),B223),PlayerValues!E:E,0)),"N/A")</f>
        <v>14136</v>
      </c>
      <c r="B223" s="4" t="s">
        <v>536</v>
      </c>
      <c r="C223" s="4" t="s">
        <v>287</v>
      </c>
      <c r="D223" s="94">
        <v>2360.0</v>
      </c>
    </row>
    <row r="224">
      <c r="A224" s="40">
        <f t="array" ref="A224">IFNA(index(PlayerValues!A:A,match(IFNA(vlookup(B224,'Special Names'!A:B,2,FALSE),B224),PlayerValues!E:E,0)),"N/A")</f>
        <v>12676</v>
      </c>
      <c r="B224" s="4" t="s">
        <v>537</v>
      </c>
      <c r="C224" s="4" t="s">
        <v>298</v>
      </c>
      <c r="D224" s="94">
        <v>2755.0</v>
      </c>
    </row>
    <row r="225">
      <c r="A225" s="40">
        <f t="array" ref="A225">IFNA(index(PlayerValues!A:A,match(IFNA(vlookup(B225,'Special Names'!A:B,2,FALSE),B225),PlayerValues!E:E,0)),"N/A")</f>
        <v>16619</v>
      </c>
      <c r="B225" s="4" t="s">
        <v>538</v>
      </c>
      <c r="C225" s="4" t="s">
        <v>287</v>
      </c>
      <c r="D225" s="94">
        <v>2349.0</v>
      </c>
    </row>
    <row r="226">
      <c r="A226" s="40">
        <f t="array" ref="A226">IFNA(index(PlayerValues!A:A,match(IFNA(vlookup(B226,'Special Names'!A:B,2,FALSE),B226),PlayerValues!E:E,0)),"N/A")</f>
        <v>17048</v>
      </c>
      <c r="B226" s="4" t="s">
        <v>539</v>
      </c>
      <c r="C226" s="4" t="s">
        <v>278</v>
      </c>
      <c r="D226" s="94">
        <v>2348.0</v>
      </c>
    </row>
    <row r="227">
      <c r="A227" s="40">
        <f t="array" ref="A227">IFNA(index(PlayerValues!A:A,match(IFNA(vlookup(B227,'Special Names'!A:B,2,FALSE),B227),PlayerValues!E:E,0)),"N/A")</f>
        <v>17481</v>
      </c>
      <c r="B227" s="4" t="s">
        <v>540</v>
      </c>
      <c r="C227" s="4" t="s">
        <v>278</v>
      </c>
      <c r="D227" s="94">
        <v>2332.0</v>
      </c>
    </row>
    <row r="228">
      <c r="A228" s="40">
        <f t="array" ref="A228">IFNA(index(PlayerValues!A:A,match(IFNA(vlookup(B228,'Special Names'!A:B,2,FALSE),B228),PlayerValues!E:E,0)),"N/A")</f>
        <v>16617</v>
      </c>
      <c r="B228" s="4" t="s">
        <v>541</v>
      </c>
      <c r="C228" s="4" t="s">
        <v>287</v>
      </c>
      <c r="D228" s="94">
        <v>2327.0</v>
      </c>
    </row>
    <row r="229">
      <c r="A229" s="40">
        <f t="array" ref="A229">IFNA(index(PlayerValues!A:A,match(IFNA(vlookup(B229,'Special Names'!A:B,2,FALSE),B229),PlayerValues!E:E,0)),"N/A")</f>
        <v>17108</v>
      </c>
      <c r="B229" s="4" t="s">
        <v>542</v>
      </c>
      <c r="C229" s="4" t="s">
        <v>298</v>
      </c>
      <c r="D229" s="94">
        <v>2716.0</v>
      </c>
    </row>
    <row r="230">
      <c r="A230" s="40" t="str">
        <f t="array" ref="A230">IFNA(index(PlayerValues!A:A,match(IFNA(vlookup(B230,'Special Names'!A:B,2,FALSE),B230),PlayerValues!E:E,0)),"N/A")</f>
        <v>N/A</v>
      </c>
      <c r="B230" s="4" t="s">
        <v>87</v>
      </c>
      <c r="C230" s="4" t="s">
        <v>325</v>
      </c>
      <c r="D230" s="94">
        <v>2318.0</v>
      </c>
    </row>
    <row r="231">
      <c r="A231" s="40">
        <f t="array" ref="A231">IFNA(index(PlayerValues!A:A,match(IFNA(vlookup(B231,'Special Names'!A:B,2,FALSE),B231),PlayerValues!E:E,0)),"N/A")</f>
        <v>17078</v>
      </c>
      <c r="B231" s="4" t="s">
        <v>543</v>
      </c>
      <c r="C231" s="4" t="s">
        <v>287</v>
      </c>
      <c r="D231" s="94">
        <v>2318.0</v>
      </c>
    </row>
    <row r="232">
      <c r="A232" s="40" t="str">
        <f t="array" ref="A232">IFNA(index(PlayerValues!A:A,match(IFNA(vlookup(B232,'Special Names'!A:B,2,FALSE),B232),PlayerValues!E:E,0)),"N/A")</f>
        <v>N/A</v>
      </c>
      <c r="B232" s="4" t="s">
        <v>112</v>
      </c>
      <c r="C232" s="4" t="s">
        <v>325</v>
      </c>
      <c r="D232" s="94">
        <v>2311.0</v>
      </c>
    </row>
    <row r="233">
      <c r="A233" s="40">
        <f t="array" ref="A233">IFNA(index(PlayerValues!A:A,match(IFNA(vlookup(B233,'Special Names'!A:B,2,FALSE),B233),PlayerValues!E:E,0)),"N/A")</f>
        <v>13772</v>
      </c>
      <c r="B233" s="4" t="s">
        <v>544</v>
      </c>
      <c r="C233" s="4" t="s">
        <v>298</v>
      </c>
      <c r="D233" s="94">
        <v>2708.0</v>
      </c>
    </row>
    <row r="234">
      <c r="A234" s="40">
        <f t="array" ref="A234">IFNA(index(PlayerValues!A:A,match(IFNA(vlookup(B234,'Special Names'!A:B,2,FALSE),B234),PlayerValues!E:E,0)),"N/A")</f>
        <v>15716</v>
      </c>
      <c r="B234" s="4" t="s">
        <v>545</v>
      </c>
      <c r="C234" s="4" t="s">
        <v>278</v>
      </c>
      <c r="D234" s="94">
        <v>2282.0</v>
      </c>
    </row>
    <row r="235">
      <c r="A235" s="40">
        <f t="array" ref="A235">IFNA(index(PlayerValues!A:A,match(IFNA(vlookup(B235,'Special Names'!A:B,2,FALSE),B235),PlayerValues!E:E,0)),"N/A")</f>
        <v>15241</v>
      </c>
      <c r="B235" s="4" t="s">
        <v>546</v>
      </c>
      <c r="C235" s="4" t="s">
        <v>283</v>
      </c>
      <c r="D235" s="94">
        <v>2275.0</v>
      </c>
    </row>
    <row r="236">
      <c r="A236" s="40">
        <f t="array" ref="A236">IFNA(index(PlayerValues!A:A,match(IFNA(vlookup(B236,'Special Names'!A:B,2,FALSE),B236),PlayerValues!E:E,0)),"N/A")</f>
        <v>17073</v>
      </c>
      <c r="B236" s="4" t="s">
        <v>547</v>
      </c>
      <c r="C236" s="4" t="s">
        <v>287</v>
      </c>
      <c r="D236" s="94">
        <v>2273.0</v>
      </c>
    </row>
    <row r="237">
      <c r="A237" s="40">
        <f t="array" ref="A237">IFNA(index(PlayerValues!A:A,match(IFNA(vlookup(B237,'Special Names'!A:B,2,FALSE),B237),PlayerValues!E:E,0)),"N/A")</f>
        <v>17134</v>
      </c>
      <c r="B237" s="4" t="s">
        <v>548</v>
      </c>
      <c r="C237" s="4" t="s">
        <v>287</v>
      </c>
      <c r="D237" s="94">
        <v>2268.0</v>
      </c>
    </row>
    <row r="238">
      <c r="A238" s="40">
        <f t="array" ref="A238">IFNA(index(PlayerValues!A:A,match(IFNA(vlookup(B238,'Special Names'!A:B,2,FALSE),B238),PlayerValues!E:E,0)),"N/A")</f>
        <v>13319</v>
      </c>
      <c r="B238" s="4" t="s">
        <v>549</v>
      </c>
      <c r="C238" s="4" t="s">
        <v>278</v>
      </c>
      <c r="D238" s="94">
        <v>2263.0</v>
      </c>
    </row>
    <row r="239">
      <c r="A239" s="40">
        <f t="array" ref="A239">IFNA(index(PlayerValues!A:A,match(IFNA(vlookup(B239,'Special Names'!A:B,2,FALSE),B239),PlayerValues!E:E,0)),"N/A")</f>
        <v>17106</v>
      </c>
      <c r="B239" s="4" t="s">
        <v>550</v>
      </c>
      <c r="C239" s="4" t="s">
        <v>298</v>
      </c>
      <c r="D239" s="94">
        <v>2649.0</v>
      </c>
    </row>
    <row r="240">
      <c r="A240" s="40">
        <f t="array" ref="A240">IFNA(index(PlayerValues!A:A,match(IFNA(vlookup(B240,'Special Names'!A:B,2,FALSE),B240),PlayerValues!E:E,0)),"N/A")</f>
        <v>17509</v>
      </c>
      <c r="B240" s="4" t="s">
        <v>551</v>
      </c>
      <c r="C240" s="4" t="s">
        <v>287</v>
      </c>
      <c r="D240" s="94">
        <v>2251.0</v>
      </c>
    </row>
    <row r="241">
      <c r="A241" s="40">
        <f t="array" ref="A241">IFNA(index(PlayerValues!A:A,match(IFNA(vlookup(B241,'Special Names'!A:B,2,FALSE),B241),PlayerValues!E:E,0)),"N/A")</f>
        <v>17547</v>
      </c>
      <c r="B241" s="4" t="s">
        <v>552</v>
      </c>
      <c r="C241" s="4" t="s">
        <v>298</v>
      </c>
      <c r="D241" s="94">
        <v>2644.0</v>
      </c>
    </row>
    <row r="242">
      <c r="A242" s="40">
        <f t="array" ref="A242">IFNA(index(PlayerValues!A:A,match(IFNA(vlookup(B242,'Special Names'!A:B,2,FALSE),B242),PlayerValues!E:E,0)),"N/A")</f>
        <v>14833</v>
      </c>
      <c r="B242" s="4" t="s">
        <v>553</v>
      </c>
      <c r="C242" s="4" t="s">
        <v>287</v>
      </c>
      <c r="D242" s="94">
        <v>2236.0</v>
      </c>
    </row>
    <row r="243">
      <c r="A243" s="40">
        <f t="array" ref="A243">IFNA(index(PlayerValues!A:A,match(IFNA(vlookup(B243,'Special Names'!A:B,2,FALSE),B243),PlayerValues!E:E,0)),"N/A")</f>
        <v>14860</v>
      </c>
      <c r="B243" s="4" t="s">
        <v>554</v>
      </c>
      <c r="C243" s="4" t="s">
        <v>287</v>
      </c>
      <c r="D243" s="94">
        <v>2230.0</v>
      </c>
    </row>
    <row r="244">
      <c r="A244" s="40">
        <f t="array" ref="A244">IFNA(index(PlayerValues!A:A,match(IFNA(vlookup(B244,'Special Names'!A:B,2,FALSE),B244),PlayerValues!E:E,0)),"N/A")</f>
        <v>16747</v>
      </c>
      <c r="B244" s="4" t="s">
        <v>555</v>
      </c>
      <c r="C244" s="4" t="s">
        <v>278</v>
      </c>
      <c r="D244" s="94">
        <v>2199.0</v>
      </c>
    </row>
    <row r="245">
      <c r="A245" s="40">
        <f t="array" ref="A245">IFNA(index(PlayerValues!A:A,match(IFNA(vlookup(B245,'Special Names'!A:B,2,FALSE),B245),PlayerValues!E:E,0)),"N/A")</f>
        <v>15797</v>
      </c>
      <c r="B245" s="4" t="s">
        <v>556</v>
      </c>
      <c r="C245" s="4" t="s">
        <v>298</v>
      </c>
      <c r="D245" s="94">
        <v>2590.0</v>
      </c>
    </row>
    <row r="246">
      <c r="A246" s="40" t="str">
        <f t="array" ref="A246">IFNA(index(PlayerValues!A:A,match(IFNA(vlookup(B246,'Special Names'!A:B,2,FALSE),B246),PlayerValues!E:E,0)),"N/A")</f>
        <v>N/A</v>
      </c>
      <c r="B246" s="4" t="s">
        <v>557</v>
      </c>
      <c r="C246" s="4" t="s">
        <v>278</v>
      </c>
      <c r="D246" s="94">
        <v>2175.0</v>
      </c>
    </row>
    <row r="247">
      <c r="A247" s="40">
        <f t="array" ref="A247">IFNA(index(PlayerValues!A:A,match(IFNA(vlookup(B247,'Special Names'!A:B,2,FALSE),B247),PlayerValues!E:E,0)),"N/A")</f>
        <v>16757</v>
      </c>
      <c r="B247" s="4" t="s">
        <v>558</v>
      </c>
      <c r="C247" s="4" t="s">
        <v>278</v>
      </c>
      <c r="D247" s="94">
        <v>2168.0</v>
      </c>
    </row>
    <row r="248">
      <c r="A248" s="40" t="str">
        <f t="array" ref="A248">IFNA(index(PlayerValues!A:A,match(IFNA(vlookup(B248,'Special Names'!A:B,2,FALSE),B248),PlayerValues!E:E,0)),"N/A")</f>
        <v>N/A</v>
      </c>
      <c r="B248" s="4" t="s">
        <v>113</v>
      </c>
      <c r="C248" s="4" t="s">
        <v>325</v>
      </c>
      <c r="D248" s="94">
        <v>2166.0</v>
      </c>
    </row>
    <row r="249">
      <c r="A249" s="40">
        <f t="array" ref="A249">IFNA(index(PlayerValues!A:A,match(IFNA(vlookup(B249,'Special Names'!A:B,2,FALSE),B249),PlayerValues!E:E,0)),"N/A")</f>
        <v>11150</v>
      </c>
      <c r="B249" s="4" t="s">
        <v>559</v>
      </c>
      <c r="C249" s="4" t="s">
        <v>283</v>
      </c>
      <c r="D249" s="94">
        <v>2159.0</v>
      </c>
    </row>
    <row r="250">
      <c r="A250" s="40">
        <f t="array" ref="A250">IFNA(index(PlayerValues!A:A,match(IFNA(vlookup(B250,'Special Names'!A:B,2,FALSE),B250),PlayerValues!E:E,0)),"N/A")</f>
        <v>15331</v>
      </c>
      <c r="B250" s="4" t="s">
        <v>560</v>
      </c>
      <c r="C250" s="4" t="s">
        <v>298</v>
      </c>
      <c r="D250" s="94">
        <v>2536.0</v>
      </c>
    </row>
    <row r="251">
      <c r="A251" s="40">
        <f t="array" ref="A251">IFNA(index(PlayerValues!A:A,match(IFNA(vlookup(B251,'Special Names'!A:B,2,FALSE),B251),PlayerValues!E:E,0)),"N/A")</f>
        <v>17171</v>
      </c>
      <c r="B251" s="4" t="s">
        <v>561</v>
      </c>
      <c r="C251" s="4" t="s">
        <v>287</v>
      </c>
      <c r="D251" s="94">
        <v>2143.0</v>
      </c>
    </row>
    <row r="252">
      <c r="A252" s="40">
        <f t="array" ref="A252">IFNA(index(PlayerValues!A:A,match(IFNA(vlookup(B252,'Special Names'!A:B,2,FALSE),B252),PlayerValues!E:E,0)),"N/A")</f>
        <v>16610</v>
      </c>
      <c r="B252" s="4" t="s">
        <v>562</v>
      </c>
      <c r="C252" s="4" t="s">
        <v>278</v>
      </c>
      <c r="D252" s="94">
        <v>2140.0</v>
      </c>
    </row>
    <row r="253">
      <c r="A253" s="40">
        <f t="array" ref="A253">IFNA(index(PlayerValues!A:A,match(IFNA(vlookup(B253,'Special Names'!A:B,2,FALSE),B253),PlayerValues!E:E,0)),"N/A")</f>
        <v>13192</v>
      </c>
      <c r="B253" s="4" t="s">
        <v>563</v>
      </c>
      <c r="C253" s="4" t="s">
        <v>298</v>
      </c>
      <c r="D253" s="94">
        <v>2529.0</v>
      </c>
    </row>
    <row r="254">
      <c r="A254" s="40">
        <f t="array" ref="A254">IFNA(index(PlayerValues!A:A,match(IFNA(vlookup(B254,'Special Names'!A:B,2,FALSE),B254),PlayerValues!E:E,0)),"N/A")</f>
        <v>14778</v>
      </c>
      <c r="B254" s="4" t="s">
        <v>564</v>
      </c>
      <c r="C254" s="4" t="s">
        <v>283</v>
      </c>
      <c r="D254" s="94">
        <v>2139.0</v>
      </c>
    </row>
    <row r="255">
      <c r="A255" s="40">
        <f t="array" ref="A255">IFNA(index(PlayerValues!A:A,match(IFNA(vlookup(B255,'Special Names'!A:B,2,FALSE),B255),PlayerValues!E:E,0)),"N/A")</f>
        <v>17055</v>
      </c>
      <c r="B255" s="4" t="s">
        <v>565</v>
      </c>
      <c r="C255" s="4" t="s">
        <v>278</v>
      </c>
      <c r="D255" s="94">
        <v>2138.0</v>
      </c>
    </row>
    <row r="256">
      <c r="A256" s="40">
        <f t="array" ref="A256">IFNA(index(PlayerValues!A:A,match(IFNA(vlookup(B256,'Special Names'!A:B,2,FALSE),B256),PlayerValues!E:E,0)),"N/A")</f>
        <v>15802</v>
      </c>
      <c r="B256" s="4" t="s">
        <v>566</v>
      </c>
      <c r="C256" s="4" t="s">
        <v>298</v>
      </c>
      <c r="D256" s="94">
        <v>2529.0</v>
      </c>
    </row>
    <row r="257">
      <c r="A257" s="40" t="str">
        <f t="array" ref="A257">IFNA(index(PlayerValues!A:A,match(IFNA(vlookup(B257,'Special Names'!A:B,2,FALSE),B257),PlayerValues!E:E,0)),"N/A")</f>
        <v>N/A</v>
      </c>
      <c r="B257" s="4" t="s">
        <v>88</v>
      </c>
      <c r="C257" s="4" t="s">
        <v>325</v>
      </c>
      <c r="D257" s="94">
        <v>2133.0</v>
      </c>
    </row>
    <row r="258">
      <c r="A258" s="40">
        <f t="array" ref="A258">IFNA(index(PlayerValues!A:A,match(IFNA(vlookup(B258,'Special Names'!A:B,2,FALSE),B258),PlayerValues!E:E,0)),"N/A")</f>
        <v>16166</v>
      </c>
      <c r="B258" s="4" t="s">
        <v>567</v>
      </c>
      <c r="C258" s="4" t="s">
        <v>278</v>
      </c>
      <c r="D258" s="94">
        <v>2126.0</v>
      </c>
    </row>
    <row r="259">
      <c r="A259" s="40">
        <f t="array" ref="A259">IFNA(index(PlayerValues!A:A,match(IFNA(vlookup(B259,'Special Names'!A:B,2,FALSE),B259),PlayerValues!E:E,0)),"N/A")</f>
        <v>16212</v>
      </c>
      <c r="B259" s="4" t="s">
        <v>568</v>
      </c>
      <c r="C259" s="4" t="s">
        <v>298</v>
      </c>
      <c r="D259" s="94">
        <v>2509.0</v>
      </c>
    </row>
    <row r="260">
      <c r="A260" s="40">
        <f t="array" ref="A260">IFNA(index(PlayerValues!A:A,match(IFNA(vlookup(B260,'Special Names'!A:B,2,FALSE),B260),PlayerValues!E:E,0)),"N/A")</f>
        <v>16584</v>
      </c>
      <c r="B260" s="4" t="s">
        <v>569</v>
      </c>
      <c r="C260" s="4" t="s">
        <v>283</v>
      </c>
      <c r="D260" s="94">
        <v>2109.0</v>
      </c>
    </row>
    <row r="261">
      <c r="A261" s="40">
        <f t="array" ref="A261">IFNA(index(PlayerValues!A:A,match(IFNA(vlookup(B261,'Special Names'!A:B,2,FALSE),B261),PlayerValues!E:E,0)),"N/A")</f>
        <v>17033</v>
      </c>
      <c r="B261" s="4" t="s">
        <v>570</v>
      </c>
      <c r="C261" s="4" t="s">
        <v>283</v>
      </c>
      <c r="D261" s="94">
        <v>2104.0</v>
      </c>
    </row>
    <row r="262">
      <c r="A262" s="40">
        <f t="array" ref="A262">IFNA(index(PlayerValues!A:A,match(IFNA(vlookup(B262,'Special Names'!A:B,2,FALSE),B262),PlayerValues!E:E,0)),"N/A")</f>
        <v>17567</v>
      </c>
      <c r="B262" s="4" t="s">
        <v>571</v>
      </c>
      <c r="C262" s="4" t="s">
        <v>298</v>
      </c>
      <c r="D262" s="94">
        <v>2473.0</v>
      </c>
    </row>
    <row r="263">
      <c r="A263" s="40">
        <f t="array" ref="A263">IFNA(index(PlayerValues!A:A,match(IFNA(vlookup(B263,'Special Names'!A:B,2,FALSE),B263),PlayerValues!E:E,0)),"N/A")</f>
        <v>17079</v>
      </c>
      <c r="B263" s="4" t="s">
        <v>572</v>
      </c>
      <c r="C263" s="4" t="s">
        <v>287</v>
      </c>
      <c r="D263" s="94">
        <v>2081.0</v>
      </c>
    </row>
    <row r="264">
      <c r="A264" s="40" t="str">
        <f t="array" ref="A264">IFNA(index(PlayerValues!A:A,match(IFNA(vlookup(B264,'Special Names'!A:B,2,FALSE),B264),PlayerValues!E:E,0)),"N/A")</f>
        <v>N/A</v>
      </c>
      <c r="B264" s="4" t="s">
        <v>114</v>
      </c>
      <c r="C264" s="4" t="s">
        <v>325</v>
      </c>
      <c r="D264" s="94">
        <v>2075.0</v>
      </c>
    </row>
    <row r="265">
      <c r="A265" s="40">
        <f t="array" ref="A265">IFNA(index(PlayerValues!A:A,match(IFNA(vlookup(B265,'Special Names'!A:B,2,FALSE),B265),PlayerValues!E:E,0)),"N/A")</f>
        <v>17521</v>
      </c>
      <c r="B265" s="4" t="s">
        <v>573</v>
      </c>
      <c r="C265" s="4" t="s">
        <v>287</v>
      </c>
      <c r="D265" s="94">
        <v>2071.0</v>
      </c>
    </row>
    <row r="266">
      <c r="A266" s="40">
        <f t="array" ref="A266">IFNA(index(PlayerValues!A:A,match(IFNA(vlookup(B266,'Special Names'!A:B,2,FALSE),B266),PlayerValues!E:E,0)),"N/A")</f>
        <v>15749</v>
      </c>
      <c r="B266" s="4" t="s">
        <v>574</v>
      </c>
      <c r="C266" s="4" t="s">
        <v>278</v>
      </c>
      <c r="D266" s="94">
        <v>2068.0</v>
      </c>
    </row>
    <row r="267">
      <c r="A267" s="40">
        <f t="array" ref="A267">IFNA(index(PlayerValues!A:A,match(IFNA(vlookup(B267,'Special Names'!A:B,2,FALSE),B267),PlayerValues!E:E,0)),"N/A")</f>
        <v>17467</v>
      </c>
      <c r="B267" s="4" t="s">
        <v>575</v>
      </c>
      <c r="C267" s="4" t="s">
        <v>283</v>
      </c>
      <c r="D267" s="94">
        <v>2050.0</v>
      </c>
    </row>
    <row r="268">
      <c r="A268" s="40">
        <f t="array" ref="A268">IFNA(index(PlayerValues!A:A,match(IFNA(vlookup(B268,'Special Names'!A:B,2,FALSE),B268),PlayerValues!E:E,0)),"N/A")</f>
        <v>17652</v>
      </c>
      <c r="B268" s="4" t="s">
        <v>576</v>
      </c>
      <c r="C268" s="4" t="s">
        <v>278</v>
      </c>
      <c r="D268" s="94">
        <v>2048.0</v>
      </c>
    </row>
    <row r="269">
      <c r="A269" s="40">
        <f t="array" ref="A269">IFNA(index(PlayerValues!A:A,match(IFNA(vlookup(B269,'Special Names'!A:B,2,FALSE),B269),PlayerValues!E:E,0)),"N/A")</f>
        <v>16778</v>
      </c>
      <c r="B269" s="4" t="s">
        <v>577</v>
      </c>
      <c r="C269" s="4" t="s">
        <v>287</v>
      </c>
      <c r="D269" s="94">
        <v>2039.0</v>
      </c>
    </row>
    <row r="270">
      <c r="A270" s="40">
        <f t="array" ref="A270">IFNA(index(PlayerValues!A:A,match(IFNA(vlookup(B270,'Special Names'!A:B,2,FALSE),B270),PlayerValues!E:E,0)),"N/A")</f>
        <v>15293</v>
      </c>
      <c r="B270" s="4" t="s">
        <v>578</v>
      </c>
      <c r="C270" s="4" t="s">
        <v>287</v>
      </c>
      <c r="D270" s="94">
        <v>2029.0</v>
      </c>
    </row>
    <row r="271">
      <c r="A271" s="40">
        <f t="array" ref="A271">IFNA(index(PlayerValues!A:A,match(IFNA(vlookup(B271,'Special Names'!A:B,2,FALSE),B271),PlayerValues!E:E,0)),"N/A")</f>
        <v>17528</v>
      </c>
      <c r="B271" s="4" t="s">
        <v>579</v>
      </c>
      <c r="C271" s="4" t="s">
        <v>287</v>
      </c>
      <c r="D271" s="94">
        <v>2029.0</v>
      </c>
    </row>
    <row r="272">
      <c r="A272" s="40">
        <f t="array" ref="A272">IFNA(index(PlayerValues!A:A,match(IFNA(vlookup(B272,'Special Names'!A:B,2,FALSE),B272),PlayerValues!E:E,0)),"N/A")</f>
        <v>17061</v>
      </c>
      <c r="B272" s="4" t="s">
        <v>580</v>
      </c>
      <c r="C272" s="4" t="s">
        <v>278</v>
      </c>
      <c r="D272" s="94">
        <v>2028.0</v>
      </c>
    </row>
    <row r="273">
      <c r="A273" s="40">
        <f t="array" ref="A273">IFNA(index(PlayerValues!A:A,match(IFNA(vlookup(B273,'Special Names'!A:B,2,FALSE),B273),PlayerValues!E:E,0)),"N/A")</f>
        <v>17056</v>
      </c>
      <c r="B273" s="4" t="s">
        <v>581</v>
      </c>
      <c r="C273" s="4" t="s">
        <v>278</v>
      </c>
      <c r="D273" s="94">
        <v>2024.0</v>
      </c>
    </row>
    <row r="274">
      <c r="A274" s="40">
        <f t="array" ref="A274">IFNA(index(PlayerValues!A:A,match(IFNA(vlookup(B274,'Special Names'!A:B,2,FALSE),B274),PlayerValues!E:E,0)),"N/A")</f>
        <v>16189</v>
      </c>
      <c r="B274" s="4" t="s">
        <v>582</v>
      </c>
      <c r="C274" s="4" t="s">
        <v>287</v>
      </c>
      <c r="D274" s="94">
        <v>2022.0</v>
      </c>
    </row>
    <row r="275">
      <c r="A275" s="40">
        <f t="array" ref="A275">IFNA(index(PlayerValues!A:A,match(IFNA(vlookup(B275,'Special Names'!A:B,2,FALSE),B275),PlayerValues!E:E,0)),"N/A")</f>
        <v>16342</v>
      </c>
      <c r="B275" s="4" t="s">
        <v>583</v>
      </c>
      <c r="C275" s="4" t="s">
        <v>287</v>
      </c>
      <c r="D275" s="94">
        <v>2021.0</v>
      </c>
    </row>
    <row r="276">
      <c r="A276" s="40">
        <f t="array" ref="A276">IFNA(index(PlayerValues!A:A,match(IFNA(vlookup(B276,'Special Names'!A:B,2,FALSE),B276),PlayerValues!E:E,0)),"N/A")</f>
        <v>14871</v>
      </c>
      <c r="B276" s="4" t="s">
        <v>584</v>
      </c>
      <c r="C276" s="4" t="s">
        <v>298</v>
      </c>
      <c r="D276" s="94">
        <v>2380.0</v>
      </c>
    </row>
    <row r="277">
      <c r="A277" s="40">
        <f t="array" ref="A277">IFNA(index(PlayerValues!A:A,match(IFNA(vlookup(B277,'Special Names'!A:B,2,FALSE),B277),PlayerValues!E:E,0)),"N/A")</f>
        <v>17076</v>
      </c>
      <c r="B277" s="4" t="s">
        <v>585</v>
      </c>
      <c r="C277" s="4" t="s">
        <v>287</v>
      </c>
      <c r="D277" s="94">
        <v>1992.0</v>
      </c>
    </row>
    <row r="278">
      <c r="A278" s="40">
        <f t="array" ref="A278">IFNA(index(PlayerValues!A:A,match(IFNA(vlookup(B278,'Special Names'!A:B,2,FALSE),B278),PlayerValues!E:E,0)),"N/A")</f>
        <v>16649</v>
      </c>
      <c r="B278" s="4" t="s">
        <v>586</v>
      </c>
      <c r="C278" s="4" t="s">
        <v>298</v>
      </c>
      <c r="D278" s="94">
        <v>2376.0</v>
      </c>
    </row>
    <row r="279">
      <c r="A279" s="40">
        <f t="array" ref="A279">IFNA(index(PlayerValues!A:A,match(IFNA(vlookup(B279,'Special Names'!A:B,2,FALSE),B279),PlayerValues!E:E,0)),"N/A")</f>
        <v>16603</v>
      </c>
      <c r="B279" s="4" t="s">
        <v>587</v>
      </c>
      <c r="C279" s="4" t="s">
        <v>278</v>
      </c>
      <c r="D279" s="94">
        <v>1985.0</v>
      </c>
    </row>
    <row r="280">
      <c r="A280" s="40" t="str">
        <f t="array" ref="A280">IFNA(index(PlayerValues!A:A,match(IFNA(vlookup(B280,'Special Names'!A:B,2,FALSE),B280),PlayerValues!E:E,0)),"N/A")</f>
        <v>N/A</v>
      </c>
      <c r="B280" s="4" t="s">
        <v>101</v>
      </c>
      <c r="C280" s="4" t="s">
        <v>325</v>
      </c>
      <c r="D280" s="94">
        <v>1982.0</v>
      </c>
    </row>
    <row r="281">
      <c r="A281" s="40">
        <f t="array" ref="A281">IFNA(index(PlayerValues!A:A,match(IFNA(vlookup(B281,'Special Names'!A:B,2,FALSE),B281),PlayerValues!E:E,0)),"N/A")</f>
        <v>17184</v>
      </c>
      <c r="B281" s="4" t="s">
        <v>588</v>
      </c>
      <c r="C281" s="4" t="s">
        <v>287</v>
      </c>
      <c r="D281" s="94">
        <v>1972.0</v>
      </c>
    </row>
    <row r="282">
      <c r="A282" s="40">
        <f t="array" ref="A282">IFNA(index(PlayerValues!A:A,match(IFNA(vlookup(B282,'Special Names'!A:B,2,FALSE),B282),PlayerValues!E:E,0)),"N/A")</f>
        <v>16201</v>
      </c>
      <c r="B282" s="4" t="s">
        <v>589</v>
      </c>
      <c r="C282" s="4" t="s">
        <v>287</v>
      </c>
      <c r="D282" s="94">
        <v>1969.0</v>
      </c>
    </row>
    <row r="283">
      <c r="A283" s="40">
        <f t="array" ref="A283">IFNA(index(PlayerValues!A:A,match(IFNA(vlookup(B283,'Special Names'!A:B,2,FALSE),B283),PlayerValues!E:E,0)),"N/A")</f>
        <v>7836</v>
      </c>
      <c r="B283" s="4" t="s">
        <v>590</v>
      </c>
      <c r="C283" s="4" t="s">
        <v>283</v>
      </c>
      <c r="D283" s="94">
        <v>1951.0</v>
      </c>
    </row>
    <row r="284">
      <c r="A284" s="40">
        <f t="array" ref="A284">IFNA(index(PlayerValues!A:A,match(IFNA(vlookup(B284,'Special Names'!A:B,2,FALSE),B284),PlayerValues!E:E,0)),"N/A")</f>
        <v>14867</v>
      </c>
      <c r="B284" s="4" t="s">
        <v>591</v>
      </c>
      <c r="C284" s="4" t="s">
        <v>298</v>
      </c>
      <c r="D284" s="94">
        <v>2337.0</v>
      </c>
    </row>
    <row r="285">
      <c r="A285" s="40">
        <f t="array" ref="A285">IFNA(index(PlayerValues!A:A,match(IFNA(vlookup(B285,'Special Names'!A:B,2,FALSE),B285),PlayerValues!E:E,0)),"N/A")</f>
        <v>16036</v>
      </c>
      <c r="B285" s="4" t="s">
        <v>592</v>
      </c>
      <c r="C285" s="4" t="s">
        <v>298</v>
      </c>
      <c r="D285" s="94">
        <v>2330.0</v>
      </c>
    </row>
    <row r="286">
      <c r="A286" s="40">
        <f t="array" ref="A286">IFNA(index(PlayerValues!A:A,match(IFNA(vlookup(B286,'Special Names'!A:B,2,FALSE),B286),PlayerValues!E:E,0)),"N/A")</f>
        <v>17519</v>
      </c>
      <c r="B286" s="4" t="s">
        <v>593</v>
      </c>
      <c r="C286" s="4" t="s">
        <v>287</v>
      </c>
      <c r="D286" s="94">
        <v>1935.0</v>
      </c>
    </row>
    <row r="287">
      <c r="A287" s="40">
        <f t="array" ref="A287">IFNA(index(PlayerValues!A:A,match(IFNA(vlookup(B287,'Special Names'!A:B,2,FALSE),B287),PlayerValues!E:E,0)),"N/A")</f>
        <v>17548</v>
      </c>
      <c r="B287" s="4" t="s">
        <v>594</v>
      </c>
      <c r="C287" s="4" t="s">
        <v>298</v>
      </c>
      <c r="D287" s="94">
        <v>2314.0</v>
      </c>
    </row>
    <row r="288">
      <c r="A288" s="40">
        <f t="array" ref="A288">IFNA(index(PlayerValues!A:A,match(IFNA(vlookup(B288,'Special Names'!A:B,2,FALSE),B288),PlayerValues!E:E,0)),"N/A")</f>
        <v>16216</v>
      </c>
      <c r="B288" s="4" t="s">
        <v>595</v>
      </c>
      <c r="C288" s="4" t="s">
        <v>298</v>
      </c>
      <c r="D288" s="94">
        <v>2314.0</v>
      </c>
    </row>
    <row r="289">
      <c r="A289" s="40">
        <f t="array" ref="A289">IFNA(index(PlayerValues!A:A,match(IFNA(vlookup(B289,'Special Names'!A:B,2,FALSE),B289),PlayerValues!E:E,0)),"N/A")</f>
        <v>10700</v>
      </c>
      <c r="B289" s="4" t="s">
        <v>596</v>
      </c>
      <c r="C289" s="4" t="s">
        <v>283</v>
      </c>
      <c r="D289" s="94">
        <v>1926.0</v>
      </c>
    </row>
    <row r="290">
      <c r="A290" s="40">
        <f t="array" ref="A290">IFNA(index(PlayerValues!A:A,match(IFNA(vlookup(B290,'Special Names'!A:B,2,FALSE),B290),PlayerValues!E:E,0)),"N/A")</f>
        <v>16752</v>
      </c>
      <c r="B290" s="4" t="s">
        <v>597</v>
      </c>
      <c r="C290" s="4" t="s">
        <v>278</v>
      </c>
      <c r="D290" s="94">
        <v>1925.0</v>
      </c>
    </row>
    <row r="291">
      <c r="A291" s="40">
        <f t="array" ref="A291">IFNA(index(PlayerValues!A:A,match(IFNA(vlookup(B291,'Special Names'!A:B,2,FALSE),B291),PlayerValues!E:E,0)),"N/A")</f>
        <v>13132</v>
      </c>
      <c r="B291" s="4" t="s">
        <v>598</v>
      </c>
      <c r="C291" s="4" t="s">
        <v>278</v>
      </c>
      <c r="D291" s="94">
        <v>1920.0</v>
      </c>
    </row>
    <row r="292">
      <c r="A292" s="40">
        <f t="array" ref="A292">IFNA(index(PlayerValues!A:A,match(IFNA(vlookup(B292,'Special Names'!A:B,2,FALSE),B292),PlayerValues!E:E,0)),"N/A")</f>
        <v>16639</v>
      </c>
      <c r="B292" s="4" t="s">
        <v>599</v>
      </c>
      <c r="C292" s="4" t="s">
        <v>287</v>
      </c>
      <c r="D292" s="94">
        <v>1901.0</v>
      </c>
    </row>
    <row r="293">
      <c r="A293" s="40">
        <f t="array" ref="A293">IFNA(index(PlayerValues!A:A,match(IFNA(vlookup(B293,'Special Names'!A:B,2,FALSE),B293),PlayerValues!E:E,0)),"N/A")</f>
        <v>17087</v>
      </c>
      <c r="B293" s="4" t="s">
        <v>600</v>
      </c>
      <c r="C293" s="4" t="s">
        <v>287</v>
      </c>
      <c r="D293" s="94">
        <v>1894.0</v>
      </c>
    </row>
    <row r="294">
      <c r="A294" s="40">
        <f t="array" ref="A294">IFNA(index(PlayerValues!A:A,match(IFNA(vlookup(B294,'Special Names'!A:B,2,FALSE),B294),PlayerValues!E:E,0)),"N/A")</f>
        <v>16152</v>
      </c>
      <c r="B294" s="4" t="s">
        <v>601</v>
      </c>
      <c r="C294" s="4" t="s">
        <v>283</v>
      </c>
      <c r="D294" s="94">
        <v>1875.0</v>
      </c>
    </row>
    <row r="295">
      <c r="A295" s="40">
        <f t="array" ref="A295">IFNA(index(PlayerValues!A:A,match(IFNA(vlookup(B295,'Special Names'!A:B,2,FALSE),B295),PlayerValues!E:E,0)),"N/A")</f>
        <v>17046</v>
      </c>
      <c r="B295" s="4" t="s">
        <v>602</v>
      </c>
      <c r="C295" s="4" t="s">
        <v>278</v>
      </c>
      <c r="D295" s="94">
        <v>1868.0</v>
      </c>
    </row>
    <row r="296">
      <c r="A296" s="40">
        <f t="array" ref="A296">IFNA(index(PlayerValues!A:A,match(IFNA(vlookup(B296,'Special Names'!A:B,2,FALSE),B296),PlayerValues!E:E,0)),"N/A")</f>
        <v>17060</v>
      </c>
      <c r="B296" s="4" t="s">
        <v>603</v>
      </c>
      <c r="C296" s="4" t="s">
        <v>278</v>
      </c>
      <c r="D296" s="94">
        <v>1859.0</v>
      </c>
    </row>
    <row r="297">
      <c r="A297" s="40">
        <f t="array" ref="A297">IFNA(index(PlayerValues!A:A,match(IFNA(vlookup(B297,'Special Names'!A:B,2,FALSE),B297),PlayerValues!E:E,0)),"N/A")</f>
        <v>17069</v>
      </c>
      <c r="B297" s="4" t="s">
        <v>604</v>
      </c>
      <c r="C297" s="4" t="s">
        <v>278</v>
      </c>
      <c r="D297" s="94">
        <v>1848.0</v>
      </c>
    </row>
    <row r="298">
      <c r="A298" s="40">
        <f t="array" ref="A298">IFNA(index(PlayerValues!A:A,match(IFNA(vlookup(B298,'Special Names'!A:B,2,FALSE),B298),PlayerValues!E:E,0)),"N/A")</f>
        <v>16629</v>
      </c>
      <c r="B298" s="4" t="s">
        <v>605</v>
      </c>
      <c r="C298" s="4" t="s">
        <v>287</v>
      </c>
      <c r="D298" s="94">
        <v>1823.0</v>
      </c>
    </row>
    <row r="299">
      <c r="A299" s="40">
        <f t="array" ref="A299">IFNA(index(PlayerValues!A:A,match(IFNA(vlookup(B299,'Special Names'!A:B,2,FALSE),B299),PlayerValues!E:E,0)),"N/A")</f>
        <v>13113</v>
      </c>
      <c r="B299" s="4" t="s">
        <v>606</v>
      </c>
      <c r="C299" s="4" t="s">
        <v>283</v>
      </c>
      <c r="D299" s="94">
        <v>1822.0</v>
      </c>
    </row>
    <row r="300">
      <c r="A300" s="40">
        <f t="array" ref="A300">IFNA(index(PlayerValues!A:A,match(IFNA(vlookup(B300,'Special Names'!A:B,2,FALSE),B300),PlayerValues!E:E,0)),"N/A")</f>
        <v>16594</v>
      </c>
      <c r="B300" s="4" t="s">
        <v>607</v>
      </c>
      <c r="C300" s="4" t="s">
        <v>278</v>
      </c>
      <c r="D300" s="94">
        <v>1819.0</v>
      </c>
    </row>
    <row r="301">
      <c r="A301" s="40" t="str">
        <f t="array" ref="A301">IFNA(index(PlayerValues!A:A,match(IFNA(vlookup(B301,'Special Names'!A:B,2,FALSE),B301),PlayerValues!E:E,0)),"N/A")</f>
        <v>N/A</v>
      </c>
      <c r="B301" s="4" t="s">
        <v>102</v>
      </c>
      <c r="C301" s="4" t="s">
        <v>325</v>
      </c>
      <c r="D301" s="94">
        <v>1818.0</v>
      </c>
    </row>
    <row r="302">
      <c r="A302" s="40">
        <f t="array" ref="A302">IFNA(index(PlayerValues!A:A,match(IFNA(vlookup(B302,'Special Names'!A:B,2,FALSE),B302),PlayerValues!E:E,0)),"N/A")</f>
        <v>17529</v>
      </c>
      <c r="B302" s="4" t="s">
        <v>608</v>
      </c>
      <c r="C302" s="4" t="s">
        <v>287</v>
      </c>
      <c r="D302" s="94">
        <v>1815.0</v>
      </c>
    </row>
    <row r="303">
      <c r="A303" s="40">
        <f t="array" ref="A303">IFNA(index(PlayerValues!A:A,match(IFNA(vlookup(B303,'Special Names'!A:B,2,FALSE),B303),PlayerValues!E:E,0)),"N/A")</f>
        <v>16643</v>
      </c>
      <c r="B303" s="4" t="s">
        <v>609</v>
      </c>
      <c r="C303" s="4" t="s">
        <v>298</v>
      </c>
      <c r="D303" s="94">
        <v>2188.0</v>
      </c>
    </row>
    <row r="304">
      <c r="A304" s="40">
        <f t="array" ref="A304">IFNA(index(PlayerValues!A:A,match(IFNA(vlookup(B304,'Special Names'!A:B,2,FALSE),B304),PlayerValues!E:E,0)),"N/A")</f>
        <v>15787</v>
      </c>
      <c r="B304" s="4" t="s">
        <v>610</v>
      </c>
      <c r="C304" s="4" t="s">
        <v>287</v>
      </c>
      <c r="D304" s="94">
        <v>1803.0</v>
      </c>
    </row>
    <row r="305">
      <c r="A305" s="40">
        <f t="array" ref="A305">IFNA(index(PlayerValues!A:A,match(IFNA(vlookup(B305,'Special Names'!A:B,2,FALSE),B305),PlayerValues!E:E,0)),"N/A")</f>
        <v>14974</v>
      </c>
      <c r="B305" s="4" t="s">
        <v>611</v>
      </c>
      <c r="C305" s="4" t="s">
        <v>287</v>
      </c>
      <c r="D305" s="94">
        <v>1799.0</v>
      </c>
    </row>
    <row r="306">
      <c r="A306" s="40">
        <f t="array" ref="A306">IFNA(index(PlayerValues!A:A,match(IFNA(vlookup(B306,'Special Names'!A:B,2,FALSE),B306),PlayerValues!E:E,0)),"N/A")</f>
        <v>17086</v>
      </c>
      <c r="B306" s="4" t="s">
        <v>612</v>
      </c>
      <c r="C306" s="4" t="s">
        <v>287</v>
      </c>
      <c r="D306" s="94">
        <v>1797.0</v>
      </c>
    </row>
    <row r="307">
      <c r="A307" s="40">
        <f t="array" ref="A307">IFNA(index(PlayerValues!A:A,match(IFNA(vlookup(B307,'Special Names'!A:B,2,FALSE),B307),PlayerValues!E:E,0)),"N/A")</f>
        <v>15238</v>
      </c>
      <c r="B307" s="4" t="s">
        <v>613</v>
      </c>
      <c r="C307" s="4" t="s">
        <v>283</v>
      </c>
      <c r="D307" s="94">
        <v>1794.0</v>
      </c>
    </row>
    <row r="308">
      <c r="A308" s="40">
        <f t="array" ref="A308">IFNA(index(PlayerValues!A:A,match(IFNA(vlookup(B308,'Special Names'!A:B,2,FALSE),B308),PlayerValues!E:E,0)),"N/A")</f>
        <v>17706</v>
      </c>
      <c r="B308" s="4" t="s">
        <v>614</v>
      </c>
      <c r="C308" s="4" t="s">
        <v>287</v>
      </c>
      <c r="D308" s="94">
        <v>1783.0</v>
      </c>
    </row>
    <row r="309">
      <c r="A309" s="40">
        <f t="array" ref="A309">IFNA(index(PlayerValues!A:A,match(IFNA(vlookup(B309,'Special Names'!A:B,2,FALSE),B309),PlayerValues!E:E,0)),"N/A")</f>
        <v>17475</v>
      </c>
      <c r="B309" s="4" t="s">
        <v>615</v>
      </c>
      <c r="C309" s="4" t="s">
        <v>278</v>
      </c>
      <c r="D309" s="94">
        <v>1771.0</v>
      </c>
    </row>
    <row r="310">
      <c r="A310" s="40">
        <f t="array" ref="A310">IFNA(index(PlayerValues!A:A,match(IFNA(vlookup(B310,'Special Names'!A:B,2,FALSE),B310),PlayerValues!E:E,0)),"N/A")</f>
        <v>17541</v>
      </c>
      <c r="B310" s="4" t="s">
        <v>616</v>
      </c>
      <c r="C310" s="4" t="s">
        <v>287</v>
      </c>
      <c r="D310" s="94">
        <v>1771.0</v>
      </c>
    </row>
    <row r="311">
      <c r="A311" s="40" t="str">
        <f t="array" ref="A311">IFNA(index(PlayerValues!A:A,match(IFNA(vlookup(B311,'Special Names'!A:B,2,FALSE),B311),PlayerValues!E:E,0)),"N/A")</f>
        <v>N/A</v>
      </c>
      <c r="B311" s="4" t="s">
        <v>89</v>
      </c>
      <c r="C311" s="4" t="s">
        <v>325</v>
      </c>
      <c r="D311" s="94">
        <v>1747.0</v>
      </c>
    </row>
    <row r="312">
      <c r="A312" s="40">
        <f t="array" ref="A312">IFNA(index(PlayerValues!A:A,match(IFNA(vlookup(B312,'Special Names'!A:B,2,FALSE),B312),PlayerValues!E:E,0)),"N/A")</f>
        <v>17036</v>
      </c>
      <c r="B312" s="4" t="s">
        <v>617</v>
      </c>
      <c r="C312" s="4" t="s">
        <v>283</v>
      </c>
      <c r="D312" s="94">
        <v>1731.0</v>
      </c>
    </row>
    <row r="313">
      <c r="A313" s="40">
        <f t="array" ref="A313">IFNA(index(PlayerValues!A:A,match(IFNA(vlookup(B313,'Special Names'!A:B,2,FALSE),B313),PlayerValues!E:E,0)),"N/A")</f>
        <v>16171</v>
      </c>
      <c r="B313" s="4" t="s">
        <v>618</v>
      </c>
      <c r="C313" s="4" t="s">
        <v>278</v>
      </c>
      <c r="D313" s="94">
        <v>1727.0</v>
      </c>
    </row>
    <row r="314">
      <c r="A314" s="40">
        <f t="array" ref="A314">IFNA(index(PlayerValues!A:A,match(IFNA(vlookup(B314,'Special Names'!A:B,2,FALSE),B314),PlayerValues!E:E,0)),"N/A")</f>
        <v>13629</v>
      </c>
      <c r="B314" s="4" t="s">
        <v>619</v>
      </c>
      <c r="C314" s="4" t="s">
        <v>287</v>
      </c>
      <c r="D314" s="94">
        <v>1723.0</v>
      </c>
    </row>
    <row r="315">
      <c r="A315" s="40" t="str">
        <f t="array" ref="A315">IFNA(index(PlayerValues!A:A,match(IFNA(vlookup(B315,'Special Names'!A:B,2,FALSE),B315),PlayerValues!E:E,0)),"N/A")</f>
        <v>N/A</v>
      </c>
      <c r="B315" s="4" t="s">
        <v>103</v>
      </c>
      <c r="C315" s="4" t="s">
        <v>325</v>
      </c>
      <c r="D315" s="94">
        <v>1713.0</v>
      </c>
    </row>
    <row r="316">
      <c r="A316" s="40">
        <f t="array" ref="A316">IFNA(index(PlayerValues!A:A,match(IFNA(vlookup(B316,'Special Names'!A:B,2,FALSE),B316),PlayerValues!E:E,0)),"N/A")</f>
        <v>16432</v>
      </c>
      <c r="B316" s="4" t="s">
        <v>620</v>
      </c>
      <c r="C316" s="4" t="s">
        <v>278</v>
      </c>
      <c r="D316" s="94">
        <v>1709.0</v>
      </c>
    </row>
    <row r="317">
      <c r="A317" s="40">
        <f t="array" ref="A317">IFNA(index(PlayerValues!A:A,match(IFNA(vlookup(B317,'Special Names'!A:B,2,FALSE),B317),PlayerValues!E:E,0)),"N/A")</f>
        <v>16788</v>
      </c>
      <c r="B317" s="4" t="s">
        <v>621</v>
      </c>
      <c r="C317" s="4" t="s">
        <v>287</v>
      </c>
      <c r="D317" s="94">
        <v>1707.0</v>
      </c>
    </row>
    <row r="318">
      <c r="A318" s="40">
        <f t="array" ref="A318">IFNA(index(PlayerValues!A:A,match(IFNA(vlookup(B318,'Special Names'!A:B,2,FALSE),B318),PlayerValues!E:E,0)),"N/A")</f>
        <v>11222</v>
      </c>
      <c r="B318" s="4" t="s">
        <v>622</v>
      </c>
      <c r="C318" s="4" t="s">
        <v>287</v>
      </c>
      <c r="D318" s="94">
        <v>1702.0</v>
      </c>
    </row>
    <row r="319">
      <c r="A319" s="40" t="str">
        <f t="array" ref="A319">IFNA(index(PlayerValues!A:A,match(IFNA(vlookup(B319,'Special Names'!A:B,2,FALSE),B319),PlayerValues!E:E,0)),"N/A")</f>
        <v>N/A</v>
      </c>
      <c r="B319" s="4" t="s">
        <v>90</v>
      </c>
      <c r="C319" s="4" t="s">
        <v>325</v>
      </c>
      <c r="D319" s="94">
        <v>1699.0</v>
      </c>
    </row>
    <row r="320">
      <c r="A320" s="40">
        <f t="array" ref="A320">IFNA(index(PlayerValues!A:A,match(IFNA(vlookup(B320,'Special Names'!A:B,2,FALSE),B320),PlayerValues!E:E,0)),"N/A")</f>
        <v>16585</v>
      </c>
      <c r="B320" s="4" t="s">
        <v>623</v>
      </c>
      <c r="C320" s="4" t="s">
        <v>283</v>
      </c>
      <c r="D320" s="94">
        <v>1689.0</v>
      </c>
    </row>
    <row r="321">
      <c r="A321" s="40">
        <f t="array" ref="A321">IFNA(index(PlayerValues!A:A,match(IFNA(vlookup(B321,'Special Names'!A:B,2,FALSE),B321),PlayerValues!E:E,0)),"N/A")</f>
        <v>17049</v>
      </c>
      <c r="B321" s="4" t="s">
        <v>624</v>
      </c>
      <c r="C321" s="4" t="s">
        <v>278</v>
      </c>
      <c r="D321" s="94">
        <v>1688.0</v>
      </c>
    </row>
    <row r="322">
      <c r="A322" s="40">
        <f t="array" ref="A322">IFNA(index(PlayerValues!A:A,match(IFNA(vlookup(B322,'Special Names'!A:B,2,FALSE),B322),PlayerValues!E:E,0)),"N/A")</f>
        <v>13633</v>
      </c>
      <c r="B322" s="4" t="s">
        <v>625</v>
      </c>
      <c r="C322" s="4" t="s">
        <v>287</v>
      </c>
      <c r="D322" s="94">
        <v>1686.0</v>
      </c>
    </row>
    <row r="323">
      <c r="A323" s="40">
        <f t="array" ref="A323">IFNA(index(PlayerValues!A:A,match(IFNA(vlookup(B323,'Special Names'!A:B,2,FALSE),B323),PlayerValues!E:E,0)),"N/A")</f>
        <v>13189</v>
      </c>
      <c r="B323" s="4" t="s">
        <v>626</v>
      </c>
      <c r="C323" s="4" t="s">
        <v>298</v>
      </c>
      <c r="D323" s="94">
        <v>2050.0</v>
      </c>
    </row>
    <row r="324">
      <c r="A324" s="40">
        <f t="array" ref="A324">IFNA(index(PlayerValues!A:A,match(IFNA(vlookup(B324,'Special Names'!A:B,2,FALSE),B324),PlayerValues!E:E,0)),"N/A")</f>
        <v>15788</v>
      </c>
      <c r="B324" s="4" t="s">
        <v>627</v>
      </c>
      <c r="C324" s="4" t="s">
        <v>287</v>
      </c>
      <c r="D324" s="94">
        <v>1663.0</v>
      </c>
    </row>
    <row r="325">
      <c r="A325" s="40">
        <f t="array" ref="A325">IFNA(index(PlayerValues!A:A,match(IFNA(vlookup(B325,'Special Names'!A:B,2,FALSE),B325),PlayerValues!E:E,0)),"N/A")</f>
        <v>15755</v>
      </c>
      <c r="B325" s="4" t="s">
        <v>628</v>
      </c>
      <c r="C325" s="4" t="s">
        <v>287</v>
      </c>
      <c r="D325" s="94">
        <v>1660.0</v>
      </c>
    </row>
    <row r="326">
      <c r="A326" s="40">
        <f t="array" ref="A326">IFNA(index(PlayerValues!A:A,match(IFNA(vlookup(B326,'Special Names'!A:B,2,FALSE),B326),PlayerValues!E:E,0)),"N/A")</f>
        <v>16608</v>
      </c>
      <c r="B326" s="4" t="s">
        <v>629</v>
      </c>
      <c r="C326" s="4" t="s">
        <v>278</v>
      </c>
      <c r="D326" s="94">
        <v>1643.0</v>
      </c>
    </row>
    <row r="327">
      <c r="A327" s="40">
        <f t="array" ref="A327">IFNA(index(PlayerValues!A:A,match(IFNA(vlookup(B327,'Special Names'!A:B,2,FALSE),B327),PlayerValues!E:E,0)),"N/A")</f>
        <v>17685</v>
      </c>
      <c r="B327" s="4" t="s">
        <v>630</v>
      </c>
      <c r="C327" s="4" t="s">
        <v>278</v>
      </c>
      <c r="D327" s="94">
        <v>1633.0</v>
      </c>
    </row>
    <row r="328">
      <c r="A328" s="40">
        <f t="array" ref="A328">IFNA(index(PlayerValues!A:A,match(IFNA(vlookup(B328,'Special Names'!A:B,2,FALSE),B328),PlayerValues!E:E,0)),"N/A")</f>
        <v>17064</v>
      </c>
      <c r="B328" s="4" t="s">
        <v>631</v>
      </c>
      <c r="C328" s="4" t="s">
        <v>278</v>
      </c>
      <c r="D328" s="94">
        <v>1622.0</v>
      </c>
    </row>
    <row r="329">
      <c r="A329" s="40">
        <f t="array" ref="A329">IFNA(index(PlayerValues!A:A,match(IFNA(vlookup(B329,'Special Names'!A:B,2,FALSE),B329),PlayerValues!E:E,0)),"N/A")</f>
        <v>13164</v>
      </c>
      <c r="B329" s="4" t="s">
        <v>632</v>
      </c>
      <c r="C329" s="4" t="s">
        <v>287</v>
      </c>
      <c r="D329" s="94">
        <v>1617.0</v>
      </c>
    </row>
    <row r="330">
      <c r="A330" s="40">
        <f t="array" ref="A330">IFNA(index(PlayerValues!A:A,match(IFNA(vlookup(B330,'Special Names'!A:B,2,FALSE),B330),PlayerValues!E:E,0)),"N/A")</f>
        <v>15254</v>
      </c>
      <c r="B330" s="4" t="s">
        <v>633</v>
      </c>
      <c r="C330" s="4" t="s">
        <v>278</v>
      </c>
      <c r="D330" s="94">
        <v>1613.0</v>
      </c>
    </row>
    <row r="331">
      <c r="A331" s="40" t="str">
        <f t="array" ref="A331">IFNA(index(PlayerValues!A:A,match(IFNA(vlookup(B331,'Special Names'!A:B,2,FALSE),B331),PlayerValues!E:E,0)),"N/A")</f>
        <v>N/A</v>
      </c>
      <c r="B331" s="4" t="s">
        <v>115</v>
      </c>
      <c r="C331" s="4" t="s">
        <v>325</v>
      </c>
      <c r="D331" s="94">
        <v>1613.0</v>
      </c>
    </row>
    <row r="332">
      <c r="A332" s="40">
        <f t="array" ref="A332">IFNA(index(PlayerValues!A:A,match(IFNA(vlookup(B332,'Special Names'!A:B,2,FALSE),B332),PlayerValues!E:E,0)),"N/A")</f>
        <v>15738</v>
      </c>
      <c r="B332" s="4" t="s">
        <v>634</v>
      </c>
      <c r="C332" s="4" t="s">
        <v>278</v>
      </c>
      <c r="D332" s="94">
        <v>1609.0</v>
      </c>
    </row>
    <row r="333">
      <c r="A333" s="40">
        <f t="array" ref="A333">IFNA(index(PlayerValues!A:A,match(IFNA(vlookup(B333,'Special Names'!A:B,2,FALSE),B333),PlayerValues!E:E,0)),"N/A")</f>
        <v>14143</v>
      </c>
      <c r="B333" s="4" t="s">
        <v>635</v>
      </c>
      <c r="C333" s="4" t="s">
        <v>298</v>
      </c>
      <c r="D333" s="94">
        <v>1980.0</v>
      </c>
    </row>
    <row r="334">
      <c r="A334" s="40">
        <f t="array" ref="A334">IFNA(index(PlayerValues!A:A,match(IFNA(vlookup(B334,'Special Names'!A:B,2,FALSE),B334),PlayerValues!E:E,0)),"N/A")</f>
        <v>16207</v>
      </c>
      <c r="B334" s="4" t="s">
        <v>636</v>
      </c>
      <c r="C334" s="4" t="s">
        <v>287</v>
      </c>
      <c r="D334" s="94">
        <v>1596.0</v>
      </c>
    </row>
    <row r="335">
      <c r="A335" s="40">
        <f t="array" ref="A335">IFNA(index(PlayerValues!A:A,match(IFNA(vlookup(B335,'Special Names'!A:B,2,FALSE),B335),PlayerValues!E:E,0)),"N/A")</f>
        <v>16215</v>
      </c>
      <c r="B335" s="4" t="s">
        <v>637</v>
      </c>
      <c r="C335" s="4" t="s">
        <v>298</v>
      </c>
      <c r="D335" s="94">
        <v>1969.0</v>
      </c>
    </row>
    <row r="336">
      <c r="A336" s="40">
        <f t="array" ref="A336">IFNA(index(PlayerValues!A:A,match(IFNA(vlookup(B336,'Special Names'!A:B,2,FALSE),B336),PlayerValues!E:E,0)),"N/A")</f>
        <v>17096</v>
      </c>
      <c r="B336" s="4" t="s">
        <v>638</v>
      </c>
      <c r="C336" s="4" t="s">
        <v>287</v>
      </c>
      <c r="D336" s="94">
        <v>1591.0</v>
      </c>
    </row>
    <row r="337">
      <c r="A337" s="40">
        <f t="array" ref="A337">IFNA(index(PlayerValues!A:A,match(IFNA(vlookup(B337,'Special Names'!A:B,2,FALSE),B337),PlayerValues!E:E,0)),"N/A")</f>
        <v>14086</v>
      </c>
      <c r="B337" s="4" t="s">
        <v>639</v>
      </c>
      <c r="C337" s="4" t="s">
        <v>278</v>
      </c>
      <c r="D337" s="94">
        <v>1557.0</v>
      </c>
    </row>
    <row r="338">
      <c r="A338" s="40">
        <f t="array" ref="A338">IFNA(index(PlayerValues!A:A,match(IFNA(vlookup(B338,'Special Names'!A:B,2,FALSE),B338),PlayerValues!E:E,0)),"N/A")</f>
        <v>16644</v>
      </c>
      <c r="B338" s="4" t="s">
        <v>640</v>
      </c>
      <c r="C338" s="4" t="s">
        <v>298</v>
      </c>
      <c r="D338" s="94">
        <v>1915.0</v>
      </c>
    </row>
    <row r="339">
      <c r="A339" s="40">
        <f t="array" ref="A339">IFNA(index(PlayerValues!A:A,match(IFNA(vlookup(B339,'Special Names'!A:B,2,FALSE),B339),PlayerValues!E:E,0)),"N/A")</f>
        <v>17058</v>
      </c>
      <c r="B339" s="4" t="s">
        <v>641</v>
      </c>
      <c r="C339" s="4" t="s">
        <v>278</v>
      </c>
      <c r="D339" s="94">
        <v>1525.0</v>
      </c>
    </row>
    <row r="340">
      <c r="A340" s="40" t="str">
        <f t="array" ref="A340">IFNA(index(PlayerValues!A:A,match(IFNA(vlookup(B340,'Special Names'!A:B,2,FALSE),B340),PlayerValues!E:E,0)),"N/A")</f>
        <v>N/A</v>
      </c>
      <c r="B340" s="4" t="s">
        <v>116</v>
      </c>
      <c r="C340" s="4" t="s">
        <v>325</v>
      </c>
      <c r="D340" s="94">
        <v>1523.0</v>
      </c>
    </row>
    <row r="341">
      <c r="A341" s="40">
        <f t="array" ref="A341">IFNA(index(PlayerValues!A:A,match(IFNA(vlookup(B341,'Special Names'!A:B,2,FALSE),B341),PlayerValues!E:E,0)),"N/A")</f>
        <v>17657</v>
      </c>
      <c r="B341" s="4" t="s">
        <v>642</v>
      </c>
      <c r="C341" s="4" t="s">
        <v>283</v>
      </c>
      <c r="D341" s="94">
        <v>1523.0</v>
      </c>
    </row>
    <row r="342">
      <c r="A342" s="40">
        <f t="array" ref="A342">IFNA(index(PlayerValues!A:A,match(IFNA(vlookup(B342,'Special Names'!A:B,2,FALSE),B342),PlayerValues!E:E,0)),"N/A")</f>
        <v>17034</v>
      </c>
      <c r="B342" s="4" t="s">
        <v>643</v>
      </c>
      <c r="C342" s="4" t="s">
        <v>283</v>
      </c>
      <c r="D342" s="94">
        <v>1520.0</v>
      </c>
    </row>
    <row r="343">
      <c r="A343" s="40">
        <f t="array" ref="A343">IFNA(index(PlayerValues!A:A,match(IFNA(vlookup(B343,'Special Names'!A:B,2,FALSE),B343),PlayerValues!E:E,0)),"N/A")</f>
        <v>15319</v>
      </c>
      <c r="B343" s="4" t="s">
        <v>644</v>
      </c>
      <c r="C343" s="4" t="s">
        <v>287</v>
      </c>
      <c r="D343" s="94">
        <v>1519.0</v>
      </c>
    </row>
    <row r="344">
      <c r="A344" s="40" t="str">
        <f t="array" ref="A344">IFNA(index(PlayerValues!A:A,match(IFNA(vlookup(B344,'Special Names'!A:B,2,FALSE),B344),PlayerValues!E:E,0)),"N/A")</f>
        <v>N/A</v>
      </c>
      <c r="B344" s="4" t="s">
        <v>91</v>
      </c>
      <c r="C344" s="4" t="s">
        <v>325</v>
      </c>
      <c r="D344" s="94">
        <v>1514.0</v>
      </c>
    </row>
    <row r="345">
      <c r="A345" s="40">
        <f t="array" ref="A345">IFNA(index(PlayerValues!A:A,match(IFNA(vlookup(B345,'Special Names'!A:B,2,FALSE),B345),PlayerValues!E:E,0)),"N/A")</f>
        <v>16635</v>
      </c>
      <c r="B345" s="4" t="s">
        <v>645</v>
      </c>
      <c r="C345" s="4" t="s">
        <v>287</v>
      </c>
      <c r="D345" s="94">
        <v>1503.0</v>
      </c>
    </row>
    <row r="346">
      <c r="A346" s="40">
        <f t="array" ref="A346">IFNA(index(PlayerValues!A:A,match(IFNA(vlookup(B346,'Special Names'!A:B,2,FALSE),B346),PlayerValues!E:E,0)),"N/A")</f>
        <v>16387</v>
      </c>
      <c r="B346" s="4" t="s">
        <v>646</v>
      </c>
      <c r="C346" s="4" t="s">
        <v>278</v>
      </c>
      <c r="D346" s="94">
        <v>1500.0</v>
      </c>
    </row>
    <row r="347">
      <c r="A347" s="40">
        <f t="array" ref="A347">IFNA(index(PlayerValues!A:A,match(IFNA(vlookup(B347,'Special Names'!A:B,2,FALSE),B347),PlayerValues!E:E,0)),"N/A")</f>
        <v>15752</v>
      </c>
      <c r="B347" s="4" t="s">
        <v>647</v>
      </c>
      <c r="C347" s="4" t="s">
        <v>287</v>
      </c>
      <c r="D347" s="94">
        <v>1489.0</v>
      </c>
    </row>
    <row r="348">
      <c r="A348" s="40">
        <f t="array" ref="A348">IFNA(index(PlayerValues!A:A,match(IFNA(vlookup(B348,'Special Names'!A:B,2,FALSE),B348),PlayerValues!E:E,0)),"N/A")</f>
        <v>16601</v>
      </c>
      <c r="B348" s="4" t="s">
        <v>648</v>
      </c>
      <c r="C348" s="4" t="s">
        <v>278</v>
      </c>
      <c r="D348" s="94">
        <v>1476.0</v>
      </c>
    </row>
    <row r="349">
      <c r="A349" s="40">
        <f t="array" ref="A349">IFNA(index(PlayerValues!A:A,match(IFNA(vlookup(B349,'Special Names'!A:B,2,FALSE),B349),PlayerValues!E:E,0)),"N/A")</f>
        <v>17465</v>
      </c>
      <c r="B349" s="4" t="s">
        <v>649</v>
      </c>
      <c r="C349" s="4" t="s">
        <v>283</v>
      </c>
      <c r="D349" s="94">
        <v>1473.0</v>
      </c>
    </row>
    <row r="350">
      <c r="A350" s="40">
        <f t="array" ref="A350">IFNA(index(PlayerValues!A:A,match(IFNA(vlookup(B350,'Special Names'!A:B,2,FALSE),B350),PlayerValues!E:E,0)),"N/A")</f>
        <v>17035</v>
      </c>
      <c r="B350" s="4" t="s">
        <v>650</v>
      </c>
      <c r="C350" s="4" t="s">
        <v>283</v>
      </c>
      <c r="D350" s="94">
        <v>1462.0</v>
      </c>
    </row>
    <row r="351">
      <c r="A351" s="40">
        <f t="array" ref="A351">IFNA(index(PlayerValues!A:A,match(IFNA(vlookup(B351,'Special Names'!A:B,2,FALSE),B351),PlayerValues!E:E,0)),"N/A")</f>
        <v>16645</v>
      </c>
      <c r="B351" s="4" t="s">
        <v>651</v>
      </c>
      <c r="C351" s="4" t="s">
        <v>298</v>
      </c>
      <c r="D351" s="94">
        <v>1833.0</v>
      </c>
    </row>
    <row r="352">
      <c r="A352" s="40">
        <f t="array" ref="A352">IFNA(index(PlayerValues!A:A,match(IFNA(vlookup(B352,'Special Names'!A:B,2,FALSE),B352),PlayerValues!E:E,0)),"N/A")</f>
        <v>13146</v>
      </c>
      <c r="B352" s="4" t="s">
        <v>652</v>
      </c>
      <c r="C352" s="4" t="s">
        <v>278</v>
      </c>
      <c r="D352" s="94">
        <v>1460.0</v>
      </c>
    </row>
    <row r="353">
      <c r="A353" s="40">
        <f t="array" ref="A353">IFNA(index(PlayerValues!A:A,match(IFNA(vlookup(B353,'Special Names'!A:B,2,FALSE),B353),PlayerValues!E:E,0)),"N/A")</f>
        <v>17234</v>
      </c>
      <c r="B353" s="4" t="s">
        <v>653</v>
      </c>
      <c r="C353" s="4" t="s">
        <v>287</v>
      </c>
      <c r="D353" s="94">
        <v>1450.0</v>
      </c>
    </row>
    <row r="354">
      <c r="A354" s="40">
        <f t="array" ref="A354">IFNA(index(PlayerValues!A:A,match(IFNA(vlookup(B354,'Special Names'!A:B,2,FALSE),B354),PlayerValues!E:E,0)),"N/A")</f>
        <v>16175</v>
      </c>
      <c r="B354" s="4" t="s">
        <v>654</v>
      </c>
      <c r="C354" s="4" t="s">
        <v>278</v>
      </c>
      <c r="D354" s="94">
        <v>1447.0</v>
      </c>
    </row>
    <row r="355">
      <c r="A355" s="40">
        <f t="array" ref="A355">IFNA(index(PlayerValues!A:A,match(IFNA(vlookup(B355,'Special Names'!A:B,2,FALSE),B355),PlayerValues!E:E,0)),"N/A")</f>
        <v>15337</v>
      </c>
      <c r="B355" s="4" t="s">
        <v>655</v>
      </c>
      <c r="C355" s="4" t="s">
        <v>298</v>
      </c>
      <c r="D355" s="94">
        <v>1800.0</v>
      </c>
    </row>
    <row r="356">
      <c r="A356" s="40">
        <f t="array" ref="A356">IFNA(index(PlayerValues!A:A,match(IFNA(vlookup(B356,'Special Names'!A:B,2,FALSE),B356),PlayerValues!E:E,0)),"N/A")</f>
        <v>16633</v>
      </c>
      <c r="B356" s="4" t="s">
        <v>656</v>
      </c>
      <c r="C356" s="4" t="s">
        <v>287</v>
      </c>
      <c r="D356" s="94">
        <v>1430.0</v>
      </c>
    </row>
    <row r="357">
      <c r="A357" s="40">
        <f t="array" ref="A357">IFNA(index(PlayerValues!A:A,match(IFNA(vlookup(B357,'Special Names'!A:B,2,FALSE),B357),PlayerValues!E:E,0)),"N/A")</f>
        <v>15301</v>
      </c>
      <c r="B357" s="4" t="s">
        <v>657</v>
      </c>
      <c r="C357" s="4" t="s">
        <v>287</v>
      </c>
      <c r="D357" s="94">
        <v>1412.0</v>
      </c>
    </row>
    <row r="358">
      <c r="A358" s="40">
        <f t="array" ref="A358">IFNA(index(PlayerValues!A:A,match(IFNA(vlookup(B358,'Special Names'!A:B,2,FALSE),B358),PlayerValues!E:E,0)),"N/A")</f>
        <v>16586</v>
      </c>
      <c r="B358" s="4" t="s">
        <v>658</v>
      </c>
      <c r="C358" s="4" t="s">
        <v>283</v>
      </c>
      <c r="D358" s="94">
        <v>1401.0</v>
      </c>
    </row>
    <row r="359">
      <c r="A359" s="40">
        <f t="array" ref="A359">IFNA(index(PlayerValues!A:A,match(IFNA(vlookup(B359,'Special Names'!A:B,2,FALSE),B359),PlayerValues!E:E,0)),"N/A")</f>
        <v>17097</v>
      </c>
      <c r="B359" s="4" t="s">
        <v>659</v>
      </c>
      <c r="C359" s="4" t="s">
        <v>287</v>
      </c>
      <c r="D359" s="94">
        <v>1401.0</v>
      </c>
    </row>
    <row r="360">
      <c r="A360" s="40">
        <f t="array" ref="A360">IFNA(index(PlayerValues!A:A,match(IFNA(vlookup(B360,'Special Names'!A:B,2,FALSE),B360),PlayerValues!E:E,0)),"N/A")</f>
        <v>17743</v>
      </c>
      <c r="B360" s="4" t="s">
        <v>660</v>
      </c>
      <c r="C360" s="4" t="s">
        <v>283</v>
      </c>
      <c r="D360" s="94">
        <v>1398.0</v>
      </c>
    </row>
    <row r="361">
      <c r="A361" s="40">
        <f t="array" ref="A361">IFNA(index(PlayerValues!A:A,match(IFNA(vlookup(B361,'Special Names'!A:B,2,FALSE),B361),PlayerValues!E:E,0)),"N/A")</f>
        <v>17510</v>
      </c>
      <c r="B361" s="4" t="s">
        <v>661</v>
      </c>
      <c r="C361" s="4" t="s">
        <v>287</v>
      </c>
      <c r="D361" s="94">
        <v>1395.0</v>
      </c>
    </row>
    <row r="362">
      <c r="A362" s="40">
        <f t="array" ref="A362">IFNA(index(PlayerValues!A:A,match(IFNA(vlookup(B362,'Special Names'!A:B,2,FALSE),B362),PlayerValues!E:E,0)),"N/A")</f>
        <v>15759</v>
      </c>
      <c r="B362" s="4" t="s">
        <v>662</v>
      </c>
      <c r="C362" s="4" t="s">
        <v>287</v>
      </c>
      <c r="D362" s="94">
        <v>1389.0</v>
      </c>
    </row>
    <row r="363">
      <c r="A363" s="40">
        <f t="array" ref="A363">IFNA(index(PlayerValues!A:A,match(IFNA(vlookup(B363,'Special Names'!A:B,2,FALSE),B363),PlayerValues!E:E,0)),"N/A")</f>
        <v>14122</v>
      </c>
      <c r="B363" s="4" t="s">
        <v>663</v>
      </c>
      <c r="C363" s="4" t="s">
        <v>287</v>
      </c>
      <c r="D363" s="94">
        <v>1384.0</v>
      </c>
    </row>
    <row r="364">
      <c r="A364" s="40">
        <f t="array" ref="A364">IFNA(index(PlayerValues!A:A,match(IFNA(vlookup(B364,'Special Names'!A:B,2,FALSE),B364),PlayerValues!E:E,0)),"N/A")</f>
        <v>16595</v>
      </c>
      <c r="B364" s="4" t="s">
        <v>664</v>
      </c>
      <c r="C364" s="4" t="s">
        <v>278</v>
      </c>
      <c r="D364" s="94">
        <v>1383.0</v>
      </c>
    </row>
    <row r="365">
      <c r="A365" s="40">
        <f t="array" ref="A365">IFNA(index(PlayerValues!A:A,match(IFNA(vlookup(B365,'Special Names'!A:B,2,FALSE),B365),PlayerValues!E:E,0)),"N/A")</f>
        <v>17205</v>
      </c>
      <c r="B365" s="4" t="s">
        <v>665</v>
      </c>
      <c r="C365" s="4" t="s">
        <v>287</v>
      </c>
      <c r="D365" s="94">
        <v>1380.0</v>
      </c>
    </row>
    <row r="366">
      <c r="A366" s="40" t="str">
        <f t="array" ref="A366">IFNA(index(PlayerValues!A:A,match(IFNA(vlookup(B366,'Special Names'!A:B,2,FALSE),B366),PlayerValues!E:E,0)),"N/A")</f>
        <v>N/A</v>
      </c>
      <c r="B366" s="4" t="s">
        <v>117</v>
      </c>
      <c r="C366" s="4" t="s">
        <v>325</v>
      </c>
      <c r="D366" s="94">
        <v>1376.0</v>
      </c>
    </row>
    <row r="367">
      <c r="A367" s="40">
        <f t="array" ref="A367">IFNA(index(PlayerValues!A:A,match(IFNA(vlookup(B367,'Special Names'!A:B,2,FALSE),B367),PlayerValues!E:E,0)),"N/A")</f>
        <v>16191</v>
      </c>
      <c r="B367" s="4" t="s">
        <v>666</v>
      </c>
      <c r="C367" s="4" t="s">
        <v>287</v>
      </c>
      <c r="D367" s="94">
        <v>1355.0</v>
      </c>
    </row>
    <row r="368">
      <c r="A368" s="40">
        <f t="array" ref="A368">IFNA(index(PlayerValues!A:A,match(IFNA(vlookup(B368,'Special Names'!A:B,2,FALSE),B368),PlayerValues!E:E,0)),"N/A")</f>
        <v>13672</v>
      </c>
      <c r="B368" s="4" t="s">
        <v>667</v>
      </c>
      <c r="C368" s="4" t="s">
        <v>298</v>
      </c>
      <c r="D368" s="94">
        <v>1709.0</v>
      </c>
    </row>
    <row r="369">
      <c r="A369" s="40">
        <f t="array" ref="A369">IFNA(index(PlayerValues!A:A,match(IFNA(vlookup(B369,'Special Names'!A:B,2,FALSE),B369),PlayerValues!E:E,0)),"N/A")</f>
        <v>17353</v>
      </c>
      <c r="B369" s="4" t="s">
        <v>668</v>
      </c>
      <c r="C369" s="4" t="s">
        <v>287</v>
      </c>
      <c r="D369" s="94">
        <v>1341.0</v>
      </c>
    </row>
    <row r="370">
      <c r="A370" s="40">
        <f t="array" ref="A370">IFNA(index(PlayerValues!A:A,match(IFNA(vlookup(B370,'Special Names'!A:B,2,FALSE),B370),PlayerValues!E:E,0)),"N/A")</f>
        <v>15795</v>
      </c>
      <c r="B370" s="4" t="s">
        <v>669</v>
      </c>
      <c r="C370" s="4" t="s">
        <v>298</v>
      </c>
      <c r="D370" s="94">
        <v>1698.0</v>
      </c>
    </row>
    <row r="371">
      <c r="A371" s="40">
        <f t="array" ref="A371">IFNA(index(PlayerValues!A:A,match(IFNA(vlookup(B371,'Special Names'!A:B,2,FALSE),B371),PlayerValues!E:E,0)),"N/A")</f>
        <v>17054</v>
      </c>
      <c r="B371" s="4" t="s">
        <v>670</v>
      </c>
      <c r="C371" s="4" t="s">
        <v>278</v>
      </c>
      <c r="D371" s="94">
        <v>1323.0</v>
      </c>
    </row>
    <row r="372">
      <c r="A372" s="40">
        <f t="array" ref="A372">IFNA(index(PlayerValues!A:A,match(IFNA(vlookup(B372,'Special Names'!A:B,2,FALSE),B372),PlayerValues!E:E,0)),"N/A")</f>
        <v>17546</v>
      </c>
      <c r="B372" s="4" t="s">
        <v>671</v>
      </c>
      <c r="C372" s="4" t="s">
        <v>298</v>
      </c>
      <c r="D372" s="94">
        <v>1669.0</v>
      </c>
    </row>
    <row r="373">
      <c r="A373" s="40">
        <f t="array" ref="A373">IFNA(index(PlayerValues!A:A,match(IFNA(vlookup(B373,'Special Names'!A:B,2,FALSE),B373),PlayerValues!E:E,0)),"N/A")</f>
        <v>16621</v>
      </c>
      <c r="B373" s="4" t="s">
        <v>672</v>
      </c>
      <c r="C373" s="4" t="s">
        <v>287</v>
      </c>
      <c r="D373" s="94">
        <v>1294.0</v>
      </c>
    </row>
    <row r="374">
      <c r="A374" s="40">
        <f t="array" ref="A374">IFNA(index(PlayerValues!A:A,match(IFNA(vlookup(B374,'Special Names'!A:B,2,FALSE),B374),PlayerValues!E:E,0)),"N/A")</f>
        <v>14108</v>
      </c>
      <c r="B374" s="4" t="s">
        <v>673</v>
      </c>
      <c r="C374" s="4" t="s">
        <v>287</v>
      </c>
      <c r="D374" s="94">
        <v>1289.0</v>
      </c>
    </row>
    <row r="375">
      <c r="A375" s="40">
        <f t="array" ref="A375">IFNA(index(PlayerValues!A:A,match(IFNA(vlookup(B375,'Special Names'!A:B,2,FALSE),B375),PlayerValues!E:E,0)),"N/A")</f>
        <v>17593</v>
      </c>
      <c r="B375" s="4" t="s">
        <v>674</v>
      </c>
      <c r="C375" s="4" t="s">
        <v>298</v>
      </c>
      <c r="D375" s="94">
        <v>1654.0</v>
      </c>
    </row>
    <row r="376">
      <c r="A376" s="40">
        <f t="array" ref="A376">IFNA(index(PlayerValues!A:A,match(IFNA(vlookup(B376,'Special Names'!A:B,2,FALSE),B376),PlayerValues!E:E,0)),"N/A")</f>
        <v>14105</v>
      </c>
      <c r="B376" s="4" t="s">
        <v>675</v>
      </c>
      <c r="C376" s="4" t="s">
        <v>287</v>
      </c>
      <c r="D376" s="94">
        <v>1283.0</v>
      </c>
    </row>
    <row r="377">
      <c r="A377" s="40">
        <f t="array" ref="A377">IFNA(index(PlayerValues!A:A,match(IFNA(vlookup(B377,'Special Names'!A:B,2,FALSE),B377),PlayerValues!E:E,0)),"N/A")</f>
        <v>14137</v>
      </c>
      <c r="B377" s="4" t="s">
        <v>676</v>
      </c>
      <c r="C377" s="4" t="s">
        <v>298</v>
      </c>
      <c r="D377" s="94">
        <v>1639.0</v>
      </c>
    </row>
    <row r="378">
      <c r="A378" s="40">
        <f t="array" ref="A378">IFNA(index(PlayerValues!A:A,match(IFNA(vlookup(B378,'Special Names'!A:B,2,FALSE),B378),PlayerValues!E:E,0)),"N/A")</f>
        <v>17192</v>
      </c>
      <c r="B378" s="4" t="s">
        <v>677</v>
      </c>
      <c r="C378" s="4" t="s">
        <v>287</v>
      </c>
      <c r="D378" s="94">
        <v>1273.0</v>
      </c>
    </row>
    <row r="379">
      <c r="A379" s="40">
        <f t="array" ref="A379">IFNA(index(PlayerValues!A:A,match(IFNA(vlookup(B379,'Special Names'!A:B,2,FALSE),B379),PlayerValues!E:E,0)),"N/A")</f>
        <v>16183</v>
      </c>
      <c r="B379" s="4" t="s">
        <v>678</v>
      </c>
      <c r="C379" s="4" t="s">
        <v>287</v>
      </c>
      <c r="D379" s="94">
        <v>1268.0</v>
      </c>
    </row>
    <row r="380">
      <c r="A380" s="40">
        <f t="array" ref="A380">IFNA(index(PlayerValues!A:A,match(IFNA(vlookup(B380,'Special Names'!A:B,2,FALSE),B380),PlayerValues!E:E,0)),"N/A")</f>
        <v>17254</v>
      </c>
      <c r="B380" s="4" t="s">
        <v>679</v>
      </c>
      <c r="C380" s="4" t="s">
        <v>287</v>
      </c>
      <c r="D380" s="94">
        <v>1268.0</v>
      </c>
    </row>
    <row r="381">
      <c r="A381" s="40">
        <f t="array" ref="A381">IFNA(index(PlayerValues!A:A,match(IFNA(vlookup(B381,'Special Names'!A:B,2,FALSE),B381),PlayerValues!E:E,0)),"N/A")</f>
        <v>14095</v>
      </c>
      <c r="B381" s="4" t="s">
        <v>680</v>
      </c>
      <c r="C381" s="4" t="s">
        <v>278</v>
      </c>
      <c r="D381" s="94">
        <v>1267.0</v>
      </c>
    </row>
    <row r="382">
      <c r="A382" s="40">
        <f t="array" ref="A382">IFNA(index(PlayerValues!A:A,match(IFNA(vlookup(B382,'Special Names'!A:B,2,FALSE),B382),PlayerValues!E:E,0)),"N/A")</f>
        <v>15873</v>
      </c>
      <c r="B382" s="4" t="s">
        <v>681</v>
      </c>
      <c r="C382" s="4" t="s">
        <v>298</v>
      </c>
      <c r="D382" s="94">
        <v>1635.0</v>
      </c>
    </row>
    <row r="383">
      <c r="A383" s="40">
        <f t="array" ref="A383">IFNA(index(PlayerValues!A:A,match(IFNA(vlookup(B383,'Special Names'!A:B,2,FALSE),B383),PlayerValues!E:E,0)),"N/A")</f>
        <v>15292</v>
      </c>
      <c r="B383" s="4" t="s">
        <v>682</v>
      </c>
      <c r="C383" s="4" t="s">
        <v>287</v>
      </c>
      <c r="D383" s="94">
        <v>1261.0</v>
      </c>
    </row>
    <row r="384">
      <c r="A384" s="40">
        <f t="array" ref="A384">IFNA(index(PlayerValues!A:A,match(IFNA(vlookup(B384,'Special Names'!A:B,2,FALSE),B384),PlayerValues!E:E,0)),"N/A")</f>
        <v>16883</v>
      </c>
      <c r="B384" s="4" t="s">
        <v>683</v>
      </c>
      <c r="C384" s="4" t="s">
        <v>287</v>
      </c>
      <c r="D384" s="94">
        <v>1259.0</v>
      </c>
    </row>
    <row r="385">
      <c r="A385" s="40">
        <f t="array" ref="A385">IFNA(index(PlayerValues!A:A,match(IFNA(vlookup(B385,'Special Names'!A:B,2,FALSE),B385),PlayerValues!E:E,0)),"N/A")</f>
        <v>17627</v>
      </c>
      <c r="B385" s="4" t="s">
        <v>684</v>
      </c>
      <c r="C385" s="4" t="s">
        <v>298</v>
      </c>
      <c r="D385" s="94">
        <v>1618.0</v>
      </c>
    </row>
    <row r="386">
      <c r="A386" s="40">
        <f t="array" ref="A386">IFNA(index(PlayerValues!A:A,match(IFNA(vlookup(B386,'Special Names'!A:B,2,FALSE),B386),PlayerValues!E:E,0)),"N/A")</f>
        <v>17542</v>
      </c>
      <c r="B386" s="4" t="s">
        <v>685</v>
      </c>
      <c r="C386" s="4" t="s">
        <v>287</v>
      </c>
      <c r="D386" s="94">
        <v>1247.0</v>
      </c>
    </row>
    <row r="387">
      <c r="A387" s="40">
        <f t="array" ref="A387">IFNA(index(PlayerValues!A:A,match(IFNA(vlookup(B387,'Special Names'!A:B,2,FALSE),B387),PlayerValues!E:E,0)),"N/A")</f>
        <v>17063</v>
      </c>
      <c r="B387" s="4" t="s">
        <v>686</v>
      </c>
      <c r="C387" s="4" t="s">
        <v>278</v>
      </c>
      <c r="D387" s="94">
        <v>1245.0</v>
      </c>
    </row>
    <row r="388">
      <c r="A388" s="40">
        <f t="array" ref="A388">IFNA(index(PlayerValues!A:A,match(IFNA(vlookup(B388,'Special Names'!A:B,2,FALSE),B388),PlayerValues!E:E,0)),"N/A")</f>
        <v>16199</v>
      </c>
      <c r="B388" s="4" t="s">
        <v>687</v>
      </c>
      <c r="C388" s="4" t="s">
        <v>287</v>
      </c>
      <c r="D388" s="94">
        <v>1245.0</v>
      </c>
    </row>
    <row r="389">
      <c r="A389" s="40">
        <f t="array" ref="A389">IFNA(index(PlayerValues!A:A,match(IFNA(vlookup(B389,'Special Names'!A:B,2,FALSE),B389),PlayerValues!E:E,0)),"N/A")</f>
        <v>16688</v>
      </c>
      <c r="B389" s="4" t="s">
        <v>688</v>
      </c>
      <c r="C389" s="4" t="s">
        <v>278</v>
      </c>
      <c r="D389" s="94">
        <v>1241.0</v>
      </c>
    </row>
    <row r="390">
      <c r="A390" s="40">
        <f t="array" ref="A390">IFNA(index(PlayerValues!A:A,match(IFNA(vlookup(B390,'Special Names'!A:B,2,FALSE),B390),PlayerValues!E:E,0)),"N/A")</f>
        <v>16390</v>
      </c>
      <c r="B390" s="4" t="s">
        <v>689</v>
      </c>
      <c r="C390" s="4" t="s">
        <v>278</v>
      </c>
      <c r="D390" s="94">
        <v>1239.0</v>
      </c>
    </row>
    <row r="391">
      <c r="A391" s="40">
        <f t="array" ref="A391">IFNA(index(PlayerValues!A:A,match(IFNA(vlookup(B391,'Special Names'!A:B,2,FALSE),B391),PlayerValues!E:E,0)),"N/A")</f>
        <v>16385</v>
      </c>
      <c r="B391" s="4" t="s">
        <v>690</v>
      </c>
      <c r="C391" s="4" t="s">
        <v>278</v>
      </c>
      <c r="D391" s="94">
        <v>1233.0</v>
      </c>
    </row>
    <row r="392">
      <c r="A392" s="40">
        <f t="array" ref="A392">IFNA(index(PlayerValues!A:A,match(IFNA(vlookup(B392,'Special Names'!A:B,2,FALSE),B392),PlayerValues!E:E,0)),"N/A")</f>
        <v>16642</v>
      </c>
      <c r="B392" s="4" t="s">
        <v>691</v>
      </c>
      <c r="C392" s="4" t="s">
        <v>298</v>
      </c>
      <c r="D392" s="94">
        <v>1597.0</v>
      </c>
    </row>
    <row r="393">
      <c r="A393" s="40">
        <f t="array" ref="A393">IFNA(index(PlayerValues!A:A,match(IFNA(vlookup(B393,'Special Names'!A:B,2,FALSE),B393),PlayerValues!E:E,0)),"N/A")</f>
        <v>17487</v>
      </c>
      <c r="B393" s="4" t="s">
        <v>692</v>
      </c>
      <c r="C393" s="4" t="s">
        <v>278</v>
      </c>
      <c r="D393" s="94">
        <v>1220.0</v>
      </c>
    </row>
    <row r="394">
      <c r="A394" s="40">
        <f t="array" ref="A394">IFNA(index(PlayerValues!A:A,match(IFNA(vlookup(B394,'Special Names'!A:B,2,FALSE),B394),PlayerValues!E:E,0)),"N/A")</f>
        <v>17504</v>
      </c>
      <c r="B394" s="4" t="s">
        <v>693</v>
      </c>
      <c r="C394" s="4" t="s">
        <v>287</v>
      </c>
      <c r="D394" s="94">
        <v>1218.0</v>
      </c>
    </row>
    <row r="395">
      <c r="A395" s="40">
        <f t="array" ref="A395">IFNA(index(PlayerValues!A:A,match(IFNA(vlookup(B395,'Special Names'!A:B,2,FALSE),B395),PlayerValues!E:E,0)),"N/A")</f>
        <v>15777</v>
      </c>
      <c r="B395" s="4" t="s">
        <v>694</v>
      </c>
      <c r="C395" s="4" t="s">
        <v>287</v>
      </c>
      <c r="D395" s="94">
        <v>1216.0</v>
      </c>
    </row>
    <row r="396">
      <c r="A396" s="40">
        <f t="array" ref="A396">IFNA(index(PlayerValues!A:A,match(IFNA(vlookup(B396,'Special Names'!A:B,2,FALSE),B396),PlayerValues!E:E,0)),"N/A")</f>
        <v>17486</v>
      </c>
      <c r="B396" s="4" t="s">
        <v>695</v>
      </c>
      <c r="C396" s="4" t="s">
        <v>278</v>
      </c>
      <c r="D396" s="94">
        <v>1213.0</v>
      </c>
    </row>
    <row r="397">
      <c r="A397" s="40">
        <f t="array" ref="A397">IFNA(index(PlayerValues!A:A,match(IFNA(vlookup(B397,'Special Names'!A:B,2,FALSE),B397),PlayerValues!E:E,0)),"N/A")</f>
        <v>16384</v>
      </c>
      <c r="B397" s="4" t="s">
        <v>696</v>
      </c>
      <c r="C397" s="4" t="s">
        <v>283</v>
      </c>
      <c r="D397" s="94">
        <v>1210.0</v>
      </c>
    </row>
    <row r="398">
      <c r="A398" s="40">
        <f t="array" ref="A398">IFNA(index(PlayerValues!A:A,match(IFNA(vlookup(B398,'Special Names'!A:B,2,FALSE),B398),PlayerValues!E:E,0)),"N/A")</f>
        <v>12263</v>
      </c>
      <c r="B398" s="4" t="s">
        <v>697</v>
      </c>
      <c r="C398" s="4" t="s">
        <v>298</v>
      </c>
      <c r="D398" s="94">
        <v>1577.0</v>
      </c>
    </row>
    <row r="399">
      <c r="A399" s="40">
        <f t="array" ref="A399">IFNA(index(PlayerValues!A:A,match(IFNA(vlookup(B399,'Special Names'!A:B,2,FALSE),B399),PlayerValues!E:E,0)),"N/A")</f>
        <v>15332</v>
      </c>
      <c r="B399" s="4" t="s">
        <v>698</v>
      </c>
      <c r="C399" s="4" t="s">
        <v>298</v>
      </c>
      <c r="D399" s="94">
        <v>1575.0</v>
      </c>
    </row>
    <row r="400">
      <c r="A400" s="40">
        <f t="array" ref="A400">IFNA(index(PlayerValues!A:A,match(IFNA(vlookup(B400,'Special Names'!A:B,2,FALSE),B400),PlayerValues!E:E,0)),"N/A")</f>
        <v>16636</v>
      </c>
      <c r="B400" s="4" t="s">
        <v>699</v>
      </c>
      <c r="C400" s="4" t="s">
        <v>287</v>
      </c>
      <c r="D400" s="94">
        <v>1205.0</v>
      </c>
    </row>
    <row r="401">
      <c r="A401" s="40">
        <f t="array" ref="A401">IFNA(index(PlayerValues!A:A,match(IFNA(vlookup(B401,'Special Names'!A:B,2,FALSE),B401),PlayerValues!E:E,0)),"N/A")</f>
        <v>15288</v>
      </c>
      <c r="B401" s="4" t="s">
        <v>700</v>
      </c>
      <c r="C401" s="4" t="s">
        <v>287</v>
      </c>
      <c r="D401" s="94">
        <v>1197.0</v>
      </c>
    </row>
    <row r="402">
      <c r="A402" s="40">
        <f t="array" ref="A402">IFNA(index(PlayerValues!A:A,match(IFNA(vlookup(B402,'Special Names'!A:B,2,FALSE),B402),PlayerValues!E:E,0)),"N/A")</f>
        <v>17062</v>
      </c>
      <c r="B402" s="4" t="s">
        <v>701</v>
      </c>
      <c r="C402" s="4" t="s">
        <v>278</v>
      </c>
      <c r="D402" s="94">
        <v>1188.0</v>
      </c>
    </row>
    <row r="403">
      <c r="A403" s="40">
        <f t="array" ref="A403">IFNA(index(PlayerValues!A:A,match(IFNA(vlookup(B403,'Special Names'!A:B,2,FALSE),B403),PlayerValues!E:E,0)),"N/A")</f>
        <v>12140</v>
      </c>
      <c r="B403" s="4" t="s">
        <v>702</v>
      </c>
      <c r="C403" s="4" t="s">
        <v>283</v>
      </c>
      <c r="D403" s="94">
        <v>1182.0</v>
      </c>
    </row>
    <row r="404">
      <c r="A404" s="40">
        <f t="array" ref="A404">IFNA(index(PlayerValues!A:A,match(IFNA(vlookup(B404,'Special Names'!A:B,2,FALSE),B404),PlayerValues!E:E,0)),"N/A")</f>
        <v>12678</v>
      </c>
      <c r="B404" s="4" t="s">
        <v>703</v>
      </c>
      <c r="C404" s="4" t="s">
        <v>298</v>
      </c>
      <c r="D404" s="94">
        <v>1550.0</v>
      </c>
    </row>
    <row r="405">
      <c r="A405" s="40">
        <f t="array" ref="A405">IFNA(index(PlayerValues!A:A,match(IFNA(vlookup(B405,'Special Names'!A:B,2,FALSE),B405),PlayerValues!E:E,0)),"N/A")</f>
        <v>16792</v>
      </c>
      <c r="B405" s="4" t="s">
        <v>704</v>
      </c>
      <c r="C405" s="4" t="s">
        <v>287</v>
      </c>
      <c r="D405" s="94">
        <v>1167.0</v>
      </c>
    </row>
    <row r="406">
      <c r="A406" s="40">
        <f t="array" ref="A406">IFNA(index(PlayerValues!A:A,match(IFNA(vlookup(B406,'Special Names'!A:B,2,FALSE),B406),PlayerValues!E:E,0)),"N/A")</f>
        <v>14592</v>
      </c>
      <c r="B406" s="4" t="s">
        <v>705</v>
      </c>
      <c r="C406" s="4" t="s">
        <v>287</v>
      </c>
      <c r="D406" s="94">
        <v>1160.0</v>
      </c>
    </row>
    <row r="407">
      <c r="A407" s="40">
        <f t="array" ref="A407">IFNA(index(PlayerValues!A:A,match(IFNA(vlookup(B407,'Special Names'!A:B,2,FALSE),B407),PlayerValues!E:E,0)),"N/A")</f>
        <v>13418</v>
      </c>
      <c r="B407" s="4" t="s">
        <v>706</v>
      </c>
      <c r="C407" s="4" t="s">
        <v>287</v>
      </c>
      <c r="D407" s="94">
        <v>1154.0</v>
      </c>
    </row>
    <row r="408">
      <c r="A408" s="40">
        <f t="array" ref="A408">IFNA(index(PlayerValues!A:A,match(IFNA(vlookup(B408,'Special Names'!A:B,2,FALSE),B408),PlayerValues!E:E,0)),"N/A")</f>
        <v>17109</v>
      </c>
      <c r="B408" s="4" t="s">
        <v>707</v>
      </c>
      <c r="C408" s="4" t="s">
        <v>298</v>
      </c>
      <c r="D408" s="94">
        <v>1517.0</v>
      </c>
    </row>
    <row r="409">
      <c r="A409" s="40">
        <f t="array" ref="A409">IFNA(index(PlayerValues!A:A,match(IFNA(vlookup(B409,'Special Names'!A:B,2,FALSE),B409),PlayerValues!E:E,0)),"N/A")</f>
        <v>17057</v>
      </c>
      <c r="B409" s="4" t="s">
        <v>708</v>
      </c>
      <c r="C409" s="4" t="s">
        <v>278</v>
      </c>
      <c r="D409" s="94">
        <v>1144.0</v>
      </c>
    </row>
    <row r="410">
      <c r="A410" s="40">
        <f t="array" ref="A410">IFNA(index(PlayerValues!A:A,match(IFNA(vlookup(B410,'Special Names'!A:B,2,FALSE),B410),PlayerValues!E:E,0)),"N/A")</f>
        <v>16746</v>
      </c>
      <c r="B410" s="4" t="s">
        <v>709</v>
      </c>
      <c r="C410" s="4" t="s">
        <v>278</v>
      </c>
      <c r="D410" s="94">
        <v>1140.0</v>
      </c>
    </row>
    <row r="411">
      <c r="A411" s="40">
        <f t="array" ref="A411">IFNA(index(PlayerValues!A:A,match(IFNA(vlookup(B411,'Special Names'!A:B,2,FALSE),B411),PlayerValues!E:E,0)),"N/A")</f>
        <v>17644</v>
      </c>
      <c r="B411" s="4" t="s">
        <v>710</v>
      </c>
      <c r="C411" s="4" t="s">
        <v>298</v>
      </c>
      <c r="D411" s="94">
        <v>1501.0</v>
      </c>
    </row>
    <row r="412">
      <c r="A412" s="40">
        <f t="array" ref="A412">IFNA(index(PlayerValues!A:A,match(IFNA(vlookup(B412,'Special Names'!A:B,2,FALSE),B412),PlayerValues!E:E,0)),"N/A")</f>
        <v>16333</v>
      </c>
      <c r="B412" s="4" t="s">
        <v>711</v>
      </c>
      <c r="C412" s="4" t="s">
        <v>298</v>
      </c>
      <c r="D412" s="94">
        <v>1498.0</v>
      </c>
    </row>
    <row r="413">
      <c r="A413" s="40">
        <f t="array" ref="A413">IFNA(index(PlayerValues!A:A,match(IFNA(vlookup(B413,'Special Names'!A:B,2,FALSE),B413),PlayerValues!E:E,0)),"N/A")</f>
        <v>16640</v>
      </c>
      <c r="B413" s="4" t="s">
        <v>712</v>
      </c>
      <c r="C413" s="4" t="s">
        <v>287</v>
      </c>
      <c r="D413" s="94">
        <v>1127.0</v>
      </c>
    </row>
    <row r="414">
      <c r="A414" s="40">
        <f t="array" ref="A414">IFNA(index(PlayerValues!A:A,match(IFNA(vlookup(B414,'Special Names'!A:B,2,FALSE),B414),PlayerValues!E:E,0)),"N/A")</f>
        <v>17050</v>
      </c>
      <c r="B414" s="4" t="s">
        <v>713</v>
      </c>
      <c r="C414" s="4" t="s">
        <v>278</v>
      </c>
      <c r="D414" s="94">
        <v>1120.0</v>
      </c>
    </row>
    <row r="415">
      <c r="A415" s="40">
        <f t="array" ref="A415">IFNA(index(PlayerValues!A:A,match(IFNA(vlookup(B415,'Special Names'!A:B,2,FALSE),B415),PlayerValues!E:E,0)),"N/A")</f>
        <v>17077</v>
      </c>
      <c r="B415" s="4" t="s">
        <v>714</v>
      </c>
      <c r="C415" s="4" t="s">
        <v>287</v>
      </c>
      <c r="D415" s="94">
        <v>1117.0</v>
      </c>
    </row>
    <row r="416">
      <c r="A416" s="40">
        <f t="array" ref="A416">IFNA(index(PlayerValues!A:A,match(IFNA(vlookup(B416,'Special Names'!A:B,2,FALSE),B416),PlayerValues!E:E,0)),"N/A")</f>
        <v>15252</v>
      </c>
      <c r="B416" s="4" t="s">
        <v>715</v>
      </c>
      <c r="C416" s="4" t="s">
        <v>283</v>
      </c>
      <c r="D416" s="94">
        <v>1115.0</v>
      </c>
    </row>
    <row r="417">
      <c r="A417" s="40">
        <f t="array" ref="A417">IFNA(index(PlayerValues!A:A,match(IFNA(vlookup(B417,'Special Names'!A:B,2,FALSE),B417),PlayerValues!E:E,0)),"N/A")</f>
        <v>14080</v>
      </c>
      <c r="B417" s="4" t="s">
        <v>716</v>
      </c>
      <c r="C417" s="4" t="s">
        <v>278</v>
      </c>
      <c r="D417" s="94">
        <v>1110.0</v>
      </c>
    </row>
    <row r="418">
      <c r="A418" s="40">
        <f t="array" ref="A418">IFNA(index(PlayerValues!A:A,match(IFNA(vlookup(B418,'Special Names'!A:B,2,FALSE),B418),PlayerValues!E:E,0)),"N/A")</f>
        <v>14845</v>
      </c>
      <c r="B418" s="4" t="s">
        <v>717</v>
      </c>
      <c r="C418" s="4" t="s">
        <v>287</v>
      </c>
      <c r="D418" s="94">
        <v>1101.0</v>
      </c>
    </row>
    <row r="419">
      <c r="A419" s="40">
        <f t="array" ref="A419">IFNA(index(PlayerValues!A:A,match(IFNA(vlookup(B419,'Special Names'!A:B,2,FALSE),B419),PlayerValues!E:E,0)),"N/A")</f>
        <v>17269</v>
      </c>
      <c r="B419" s="4" t="s">
        <v>718</v>
      </c>
      <c r="C419" s="4" t="s">
        <v>287</v>
      </c>
      <c r="D419" s="94">
        <v>1093.0</v>
      </c>
    </row>
    <row r="420">
      <c r="A420" s="40">
        <f t="array" ref="A420">IFNA(index(PlayerValues!A:A,match(IFNA(vlookup(B420,'Special Names'!A:B,2,FALSE),B420),PlayerValues!E:E,0)),"N/A")</f>
        <v>17545</v>
      </c>
      <c r="B420" s="4" t="s">
        <v>719</v>
      </c>
      <c r="C420" s="4" t="s">
        <v>298</v>
      </c>
      <c r="D420" s="94">
        <v>1462.0</v>
      </c>
    </row>
    <row r="421">
      <c r="A421" s="40">
        <f t="array" ref="A421">IFNA(index(PlayerValues!A:A,match(IFNA(vlookup(B421,'Special Names'!A:B,2,FALSE),B421),PlayerValues!E:E,0)),"N/A")</f>
        <v>17549</v>
      </c>
      <c r="B421" s="4" t="s">
        <v>720</v>
      </c>
      <c r="C421" s="4" t="s">
        <v>298</v>
      </c>
      <c r="D421" s="94">
        <v>1455.0</v>
      </c>
    </row>
    <row r="422">
      <c r="A422" s="40">
        <f t="array" ref="A422">IFNA(index(PlayerValues!A:A,match(IFNA(vlookup(B422,'Special Names'!A:B,2,FALSE),B422),PlayerValues!E:E,0)),"N/A")</f>
        <v>14789</v>
      </c>
      <c r="B422" s="4" t="s">
        <v>721</v>
      </c>
      <c r="C422" s="4" t="s">
        <v>283</v>
      </c>
      <c r="D422" s="94">
        <v>1079.0</v>
      </c>
    </row>
    <row r="423">
      <c r="A423" s="40">
        <f t="array" ref="A423">IFNA(index(PlayerValues!A:A,match(IFNA(vlookup(B423,'Special Names'!A:B,2,FALSE),B423),PlayerValues!E:E,0)),"N/A")</f>
        <v>12801</v>
      </c>
      <c r="B423" s="4" t="s">
        <v>722</v>
      </c>
      <c r="C423" s="4" t="s">
        <v>287</v>
      </c>
      <c r="D423" s="94">
        <v>1072.0</v>
      </c>
    </row>
    <row r="424">
      <c r="A424" s="40">
        <f t="array" ref="A424">IFNA(index(PlayerValues!A:A,match(IFNA(vlookup(B424,'Special Names'!A:B,2,FALSE),B424),PlayerValues!E:E,0)),"N/A")</f>
        <v>15702</v>
      </c>
      <c r="B424" s="4" t="s">
        <v>723</v>
      </c>
      <c r="C424" s="4" t="s">
        <v>283</v>
      </c>
      <c r="D424" s="94">
        <v>1072.0</v>
      </c>
    </row>
    <row r="425">
      <c r="A425" s="40">
        <f t="array" ref="A425">IFNA(index(PlayerValues!A:A,match(IFNA(vlookup(B425,'Special Names'!A:B,2,FALSE),B425),PlayerValues!E:E,0)),"N/A")</f>
        <v>15758</v>
      </c>
      <c r="B425" s="4" t="s">
        <v>724</v>
      </c>
      <c r="C425" s="4" t="s">
        <v>287</v>
      </c>
      <c r="D425" s="94">
        <v>1071.0</v>
      </c>
    </row>
    <row r="426">
      <c r="A426" s="40">
        <f t="array" ref="A426">IFNA(index(PlayerValues!A:A,match(IFNA(vlookup(B426,'Special Names'!A:B,2,FALSE),B426),PlayerValues!E:E,0)),"N/A")</f>
        <v>16221</v>
      </c>
      <c r="B426" s="4" t="s">
        <v>725</v>
      </c>
      <c r="C426" s="4" t="s">
        <v>298</v>
      </c>
      <c r="D426" s="94">
        <v>1412.0</v>
      </c>
    </row>
    <row r="427">
      <c r="A427" s="40">
        <f t="array" ref="A427">IFNA(index(PlayerValues!A:A,match(IFNA(vlookup(B427,'Special Names'!A:B,2,FALSE),B427),PlayerValues!E:E,0)),"N/A")</f>
        <v>16197</v>
      </c>
      <c r="B427" s="4" t="s">
        <v>726</v>
      </c>
      <c r="C427" s="4" t="s">
        <v>287</v>
      </c>
      <c r="D427" s="94">
        <v>1038.0</v>
      </c>
    </row>
    <row r="428">
      <c r="A428" s="40">
        <f t="array" ref="A428">IFNA(index(PlayerValues!A:A,match(IFNA(vlookup(B428,'Special Names'!A:B,2,FALSE),B428),PlayerValues!E:E,0)),"N/A")</f>
        <v>17037</v>
      </c>
      <c r="B428" s="4" t="s">
        <v>727</v>
      </c>
      <c r="C428" s="4" t="s">
        <v>283</v>
      </c>
      <c r="D428" s="94">
        <v>1033.0</v>
      </c>
    </row>
    <row r="429">
      <c r="A429" s="40">
        <f t="array" ref="A429">IFNA(index(PlayerValues!A:A,match(IFNA(vlookup(B429,'Special Names'!A:B,2,FALSE),B429),PlayerValues!E:E,0)),"N/A")</f>
        <v>15109</v>
      </c>
      <c r="B429" s="4" t="s">
        <v>728</v>
      </c>
      <c r="C429" s="4" t="s">
        <v>287</v>
      </c>
      <c r="D429" s="94">
        <v>1023.0</v>
      </c>
    </row>
    <row r="430">
      <c r="A430" s="40">
        <f t="array" ref="A430">IFNA(index(PlayerValues!A:A,match(IFNA(vlookup(B430,'Special Names'!A:B,2,FALSE),B430),PlayerValues!E:E,0)),"N/A")</f>
        <v>15981</v>
      </c>
      <c r="B430" s="4" t="s">
        <v>729</v>
      </c>
      <c r="C430" s="4" t="s">
        <v>287</v>
      </c>
      <c r="D430" s="94">
        <v>1015.0</v>
      </c>
    </row>
    <row r="431">
      <c r="A431" s="40">
        <f t="array" ref="A431">IFNA(index(PlayerValues!A:A,match(IFNA(vlookup(B431,'Special Names'!A:B,2,FALSE),B431),PlayerValues!E:E,0)),"N/A")</f>
        <v>15727</v>
      </c>
      <c r="B431" s="4" t="s">
        <v>730</v>
      </c>
      <c r="C431" s="4" t="s">
        <v>278</v>
      </c>
      <c r="D431" s="94">
        <v>1013.0</v>
      </c>
    </row>
    <row r="432">
      <c r="A432" s="40">
        <f t="array" ref="A432">IFNA(index(PlayerValues!A:A,match(IFNA(vlookup(B432,'Special Names'!A:B,2,FALSE),B432),PlayerValues!E:E,0)),"N/A")</f>
        <v>14840</v>
      </c>
      <c r="B432" s="4" t="s">
        <v>731</v>
      </c>
      <c r="C432" s="4" t="s">
        <v>287</v>
      </c>
      <c r="D432" s="94">
        <v>1008.0</v>
      </c>
    </row>
    <row r="433">
      <c r="A433" s="40">
        <f t="array" ref="A433">IFNA(index(PlayerValues!A:A,match(IFNA(vlookup(B433,'Special Names'!A:B,2,FALSE),B433),PlayerValues!E:E,0)),"N/A")</f>
        <v>15713</v>
      </c>
      <c r="B433" s="4" t="s">
        <v>732</v>
      </c>
      <c r="C433" s="4" t="s">
        <v>278</v>
      </c>
      <c r="D433" s="94">
        <v>999.0</v>
      </c>
    </row>
    <row r="434">
      <c r="A434" s="40">
        <f t="array" ref="A434">IFNA(index(PlayerValues!A:A,match(IFNA(vlookup(B434,'Special Names'!A:B,2,FALSE),B434),PlayerValues!E:E,0)),"N/A")</f>
        <v>14849</v>
      </c>
      <c r="B434" s="4" t="s">
        <v>733</v>
      </c>
      <c r="C434" s="4" t="s">
        <v>287</v>
      </c>
      <c r="D434" s="94">
        <v>981.0</v>
      </c>
    </row>
    <row r="435">
      <c r="A435" s="40">
        <f t="array" ref="A435">IFNA(index(PlayerValues!A:A,match(IFNA(vlookup(B435,'Special Names'!A:B,2,FALSE),B435),PlayerValues!E:E,0)),"N/A")</f>
        <v>15730</v>
      </c>
      <c r="B435" s="4" t="s">
        <v>734</v>
      </c>
      <c r="C435" s="4" t="s">
        <v>278</v>
      </c>
      <c r="D435" s="94">
        <v>981.0</v>
      </c>
    </row>
    <row r="436">
      <c r="A436" s="40">
        <f t="array" ref="A436">IFNA(index(PlayerValues!A:A,match(IFNA(vlookup(B436,'Special Names'!A:B,2,FALSE),B436),PlayerValues!E:E,0)),"N/A")</f>
        <v>14067</v>
      </c>
      <c r="B436" s="4" t="s">
        <v>735</v>
      </c>
      <c r="C436" s="4" t="s">
        <v>283</v>
      </c>
      <c r="D436" s="94">
        <v>976.0</v>
      </c>
    </row>
    <row r="437">
      <c r="A437" s="40">
        <f t="array" ref="A437">IFNA(index(PlayerValues!A:A,match(IFNA(vlookup(B437,'Special Names'!A:B,2,FALSE),B437),PlayerValues!E:E,0)),"N/A")</f>
        <v>16637</v>
      </c>
      <c r="B437" s="4" t="s">
        <v>736</v>
      </c>
      <c r="C437" s="4" t="s">
        <v>287</v>
      </c>
      <c r="D437" s="94">
        <v>976.0</v>
      </c>
    </row>
    <row r="438">
      <c r="A438" s="40">
        <f t="array" ref="A438">IFNA(index(PlayerValues!A:A,match(IFNA(vlookup(B438,'Special Names'!A:B,2,FALSE),B438),PlayerValues!E:E,0)),"N/A")</f>
        <v>16599</v>
      </c>
      <c r="B438" s="4" t="s">
        <v>737</v>
      </c>
      <c r="C438" s="4" t="s">
        <v>278</v>
      </c>
      <c r="D438" s="94">
        <v>975.0</v>
      </c>
    </row>
    <row r="439">
      <c r="A439" s="40">
        <f t="array" ref="A439">IFNA(index(PlayerValues!A:A,match(IFNA(vlookup(B439,'Special Names'!A:B,2,FALSE),B439),PlayerValues!E:E,0)),"N/A")</f>
        <v>16168</v>
      </c>
      <c r="B439" s="4" t="s">
        <v>738</v>
      </c>
      <c r="C439" s="4" t="s">
        <v>278</v>
      </c>
      <c r="D439" s="94">
        <v>961.0</v>
      </c>
    </row>
    <row r="440">
      <c r="A440" s="40">
        <f t="array" ref="A440">IFNA(index(PlayerValues!A:A,match(IFNA(vlookup(B440,'Special Names'!A:B,2,FALSE),B440),PlayerValues!E:E,0)),"N/A")</f>
        <v>16219</v>
      </c>
      <c r="B440" s="4" t="s">
        <v>739</v>
      </c>
      <c r="C440" s="4" t="s">
        <v>298</v>
      </c>
      <c r="D440" s="94">
        <v>1326.0</v>
      </c>
    </row>
    <row r="441">
      <c r="A441" s="40">
        <f t="array" ref="A441">IFNA(index(PlayerValues!A:A,match(IFNA(vlookup(B441,'Special Names'!A:B,2,FALSE),B441),PlayerValues!E:E,0)),"N/A")</f>
        <v>16149</v>
      </c>
      <c r="B441" s="4" t="s">
        <v>740</v>
      </c>
      <c r="C441" s="4" t="s">
        <v>283</v>
      </c>
      <c r="D441" s="94">
        <v>958.0</v>
      </c>
    </row>
    <row r="442">
      <c r="A442" s="40">
        <f t="array" ref="A442">IFNA(index(PlayerValues!A:A,match(IFNA(vlookup(B442,'Special Names'!A:B,2,FALSE),B442),PlayerValues!E:E,0)),"N/A")</f>
        <v>15271</v>
      </c>
      <c r="B442" s="4" t="s">
        <v>741</v>
      </c>
      <c r="C442" s="4" t="s">
        <v>278</v>
      </c>
      <c r="D442" s="94">
        <v>956.0</v>
      </c>
    </row>
    <row r="443">
      <c r="A443" s="40">
        <f t="array" ref="A443">IFNA(index(PlayerValues!A:A,match(IFNA(vlookup(B443,'Special Names'!A:B,2,FALSE),B443),PlayerValues!E:E,0)),"N/A")</f>
        <v>16205</v>
      </c>
      <c r="B443" s="4" t="s">
        <v>742</v>
      </c>
      <c r="C443" s="4" t="s">
        <v>287</v>
      </c>
      <c r="D443" s="94">
        <v>953.0</v>
      </c>
    </row>
    <row r="444">
      <c r="A444" s="40">
        <f t="array" ref="A444">IFNA(index(PlayerValues!A:A,match(IFNA(vlookup(B444,'Special Names'!A:B,2,FALSE),B444),PlayerValues!E:E,0)),"N/A")</f>
        <v>16606</v>
      </c>
      <c r="B444" s="4" t="s">
        <v>743</v>
      </c>
      <c r="C444" s="4" t="s">
        <v>278</v>
      </c>
      <c r="D444" s="94">
        <v>952.0</v>
      </c>
    </row>
    <row r="445">
      <c r="A445" s="40">
        <f t="array" ref="A445">IFNA(index(PlayerValues!A:A,match(IFNA(vlookup(B445,'Special Names'!A:B,2,FALSE),B445),PlayerValues!E:E,0)),"N/A")</f>
        <v>12141</v>
      </c>
      <c r="B445" s="4" t="s">
        <v>744</v>
      </c>
      <c r="C445" s="4" t="s">
        <v>283</v>
      </c>
      <c r="D445" s="94">
        <v>949.0</v>
      </c>
    </row>
    <row r="446">
      <c r="A446" s="40">
        <f t="array" ref="A446">IFNA(index(PlayerValues!A:A,match(IFNA(vlookup(B446,'Special Names'!A:B,2,FALSE),B446),PlayerValues!E:E,0)),"N/A")</f>
        <v>15717</v>
      </c>
      <c r="B446" s="4" t="s">
        <v>745</v>
      </c>
      <c r="C446" s="4" t="s">
        <v>278</v>
      </c>
      <c r="D446" s="94">
        <v>948.0</v>
      </c>
    </row>
    <row r="447">
      <c r="A447" s="40">
        <f t="array" ref="A447">IFNA(index(PlayerValues!A:A,match(IFNA(vlookup(B447,'Special Names'!A:B,2,FALSE),B447),PlayerValues!E:E,0)),"N/A")</f>
        <v>13289</v>
      </c>
      <c r="B447" s="4" t="s">
        <v>746</v>
      </c>
      <c r="C447" s="4" t="s">
        <v>287</v>
      </c>
      <c r="D447" s="94">
        <v>947.0</v>
      </c>
    </row>
    <row r="448">
      <c r="A448" s="40">
        <f t="array" ref="A448">IFNA(index(PlayerValues!A:A,match(IFNA(vlookup(B448,'Special Names'!A:B,2,FALSE),B448),PlayerValues!E:E,0)),"N/A")</f>
        <v>17175</v>
      </c>
      <c r="B448" s="4" t="s">
        <v>747</v>
      </c>
      <c r="C448" s="4" t="s">
        <v>287</v>
      </c>
      <c r="D448" s="94">
        <v>919.0</v>
      </c>
    </row>
    <row r="449">
      <c r="A449" s="40">
        <f t="array" ref="A449">IFNA(index(PlayerValues!A:A,match(IFNA(vlookup(B449,'Special Names'!A:B,2,FALSE),B449),PlayerValues!E:E,0)),"N/A")</f>
        <v>16648</v>
      </c>
      <c r="B449" s="4" t="s">
        <v>748</v>
      </c>
      <c r="C449" s="4" t="s">
        <v>298</v>
      </c>
      <c r="D449" s="94">
        <v>1279.0</v>
      </c>
    </row>
    <row r="450">
      <c r="A450" s="40">
        <f t="array" ref="A450">IFNA(index(PlayerValues!A:A,match(IFNA(vlookup(B450,'Special Names'!A:B,2,FALSE),B450),PlayerValues!E:E,0)),"N/A")</f>
        <v>15330</v>
      </c>
      <c r="B450" s="4" t="s">
        <v>749</v>
      </c>
      <c r="C450" s="4" t="s">
        <v>298</v>
      </c>
      <c r="D450" s="94">
        <v>1274.0</v>
      </c>
    </row>
    <row r="451">
      <c r="A451" s="40">
        <f t="array" ref="A451">IFNA(index(PlayerValues!A:A,match(IFNA(vlookup(B451,'Special Names'!A:B,2,FALSE),B451),PlayerValues!E:E,0)),"N/A")</f>
        <v>15692</v>
      </c>
      <c r="B451" s="4" t="s">
        <v>750</v>
      </c>
      <c r="C451" s="4" t="s">
        <v>283</v>
      </c>
      <c r="D451" s="94">
        <v>903.0</v>
      </c>
    </row>
    <row r="452">
      <c r="A452" s="40">
        <f t="array" ref="A452">IFNA(index(PlayerValues!A:A,match(IFNA(vlookup(B452,'Special Names'!A:B,2,FALSE),B452),PlayerValues!E:E,0)),"N/A")</f>
        <v>15240</v>
      </c>
      <c r="B452" s="4" t="s">
        <v>751</v>
      </c>
      <c r="C452" s="4" t="s">
        <v>283</v>
      </c>
      <c r="D452" s="94">
        <v>901.0</v>
      </c>
    </row>
    <row r="453">
      <c r="A453" s="40">
        <f t="array" ref="A453">IFNA(index(PlayerValues!A:A,match(IFNA(vlookup(B453,'Special Names'!A:B,2,FALSE),B453),PlayerValues!E:E,0)),"N/A")</f>
        <v>16416</v>
      </c>
      <c r="B453" s="4" t="s">
        <v>752</v>
      </c>
      <c r="C453" s="4" t="s">
        <v>287</v>
      </c>
      <c r="D453" s="94">
        <v>899.0</v>
      </c>
    </row>
    <row r="454">
      <c r="A454" s="40">
        <f t="array" ref="A454">IFNA(index(PlayerValues!A:A,match(IFNA(vlookup(B454,'Special Names'!A:B,2,FALSE),B454),PlayerValues!E:E,0)),"N/A")</f>
        <v>15718</v>
      </c>
      <c r="B454" s="4" t="s">
        <v>753</v>
      </c>
      <c r="C454" s="4" t="s">
        <v>278</v>
      </c>
      <c r="D454" s="94">
        <v>889.0</v>
      </c>
    </row>
    <row r="455">
      <c r="A455" s="40">
        <f t="array" ref="A455">IFNA(index(PlayerValues!A:A,match(IFNA(vlookup(B455,'Special Names'!A:B,2,FALSE),B455),PlayerValues!E:E,0)),"N/A")</f>
        <v>16858</v>
      </c>
      <c r="B455" s="4" t="s">
        <v>754</v>
      </c>
      <c r="C455" s="4" t="s">
        <v>287</v>
      </c>
      <c r="D455" s="94">
        <v>885.0</v>
      </c>
    </row>
    <row r="456">
      <c r="A456" s="40">
        <f t="array" ref="A456">IFNA(index(PlayerValues!A:A,match(IFNA(vlookup(B456,'Special Names'!A:B,2,FALSE),B456),PlayerValues!E:E,0)),"N/A")</f>
        <v>15693</v>
      </c>
      <c r="B456" s="4" t="s">
        <v>755</v>
      </c>
      <c r="C456" s="4" t="s">
        <v>283</v>
      </c>
      <c r="D456" s="94">
        <v>883.0</v>
      </c>
    </row>
    <row r="457">
      <c r="A457" s="40">
        <f t="array" ref="A457">IFNA(index(PlayerValues!A:A,match(IFNA(vlookup(B457,'Special Names'!A:B,2,FALSE),B457),PlayerValues!E:E,0)),"N/A")</f>
        <v>17479</v>
      </c>
      <c r="B457" s="4" t="s">
        <v>756</v>
      </c>
      <c r="C457" s="4" t="s">
        <v>278</v>
      </c>
      <c r="D457" s="94">
        <v>881.0</v>
      </c>
    </row>
    <row r="458">
      <c r="A458" s="40">
        <f t="array" ref="A458">IFNA(index(PlayerValues!A:A,match(IFNA(vlookup(B458,'Special Names'!A:B,2,FALSE),B458),PlayerValues!E:E,0)),"N/A")</f>
        <v>15258</v>
      </c>
      <c r="B458" s="4" t="s">
        <v>757</v>
      </c>
      <c r="C458" s="4" t="s">
        <v>278</v>
      </c>
      <c r="D458" s="94">
        <v>873.0</v>
      </c>
    </row>
    <row r="459">
      <c r="A459" s="40">
        <f t="array" ref="A459">IFNA(index(PlayerValues!A:A,match(IFNA(vlookup(B459,'Special Names'!A:B,2,FALSE),B459),PlayerValues!E:E,0)),"N/A")</f>
        <v>16678</v>
      </c>
      <c r="B459" s="4" t="s">
        <v>758</v>
      </c>
      <c r="C459" s="4" t="s">
        <v>278</v>
      </c>
      <c r="D459" s="94">
        <v>864.0</v>
      </c>
    </row>
    <row r="460">
      <c r="A460" s="40">
        <f t="array" ref="A460">IFNA(index(PlayerValues!A:A,match(IFNA(vlookup(B460,'Special Names'!A:B,2,FALSE),B460),PlayerValues!E:E,0)),"N/A")</f>
        <v>15766</v>
      </c>
      <c r="B460" s="4" t="s">
        <v>759</v>
      </c>
      <c r="C460" s="4" t="s">
        <v>287</v>
      </c>
      <c r="D460" s="94">
        <v>862.0</v>
      </c>
    </row>
    <row r="461">
      <c r="A461" s="40">
        <f t="array" ref="A461">IFNA(index(PlayerValues!A:A,match(IFNA(vlookup(B461,'Special Names'!A:B,2,FALSE),B461),PlayerValues!E:E,0)),"N/A")</f>
        <v>17526</v>
      </c>
      <c r="B461" s="4" t="s">
        <v>760</v>
      </c>
      <c r="C461" s="4" t="s">
        <v>287</v>
      </c>
      <c r="D461" s="94">
        <v>839.0</v>
      </c>
    </row>
    <row r="462">
      <c r="A462" s="40">
        <f t="array" ref="A462">IFNA(index(PlayerValues!A:A,match(IFNA(vlookup(B462,'Special Names'!A:B,2,FALSE),B462),PlayerValues!E:E,0)),"N/A")</f>
        <v>9064</v>
      </c>
      <c r="B462" s="4" t="s">
        <v>761</v>
      </c>
      <c r="C462" s="4" t="s">
        <v>283</v>
      </c>
      <c r="D462" s="94">
        <v>827.0</v>
      </c>
    </row>
    <row r="463">
      <c r="A463" s="40">
        <f t="array" ref="A463">IFNA(index(PlayerValues!A:A,match(IFNA(vlookup(B463,'Special Names'!A:B,2,FALSE),B463),PlayerValues!E:E,0)),"N/A")</f>
        <v>16751</v>
      </c>
      <c r="B463" s="4" t="s">
        <v>762</v>
      </c>
      <c r="C463" s="4" t="s">
        <v>287</v>
      </c>
      <c r="D463" s="94">
        <v>822.0</v>
      </c>
    </row>
    <row r="464">
      <c r="A464" s="40">
        <f t="array" ref="A464">IFNA(index(PlayerValues!A:A,match(IFNA(vlookup(B464,'Special Names'!A:B,2,FALSE),B464),PlayerValues!E:E,0)),"N/A")</f>
        <v>15785</v>
      </c>
      <c r="B464" s="4" t="s">
        <v>763</v>
      </c>
      <c r="C464" s="4" t="s">
        <v>287</v>
      </c>
      <c r="D464" s="94">
        <v>821.0</v>
      </c>
    </row>
    <row r="465">
      <c r="A465" s="40">
        <f t="array" ref="A465">IFNA(index(PlayerValues!A:A,match(IFNA(vlookup(B465,'Special Names'!A:B,2,FALSE),B465),PlayerValues!E:E,0)),"N/A")</f>
        <v>13133</v>
      </c>
      <c r="B465" s="4" t="s">
        <v>764</v>
      </c>
      <c r="C465" s="4" t="s">
        <v>278</v>
      </c>
      <c r="D465" s="94">
        <v>820.0</v>
      </c>
    </row>
    <row r="466">
      <c r="A466" s="40">
        <f t="array" ref="A466">IFNA(index(PlayerValues!A:A,match(IFNA(vlookup(B466,'Special Names'!A:B,2,FALSE),B466),PlayerValues!E:E,0)),"N/A")</f>
        <v>14057</v>
      </c>
      <c r="B466" s="4" t="s">
        <v>765</v>
      </c>
      <c r="C466" s="4" t="s">
        <v>283</v>
      </c>
      <c r="D466" s="94">
        <v>813.0</v>
      </c>
    </row>
    <row r="467">
      <c r="A467" s="40">
        <f t="array" ref="A467">IFNA(index(PlayerValues!A:A,match(IFNA(vlookup(B467,'Special Names'!A:B,2,FALSE),B467),PlayerValues!E:E,0)),"N/A")</f>
        <v>15626</v>
      </c>
      <c r="B467" s="4" t="s">
        <v>766</v>
      </c>
      <c r="C467" s="4" t="s">
        <v>298</v>
      </c>
      <c r="D467" s="94">
        <v>1164.0</v>
      </c>
    </row>
    <row r="468">
      <c r="A468" s="40">
        <f t="array" ref="A468">IFNA(index(PlayerValues!A:A,match(IFNA(vlookup(B468,'Special Names'!A:B,2,FALSE),B468),PlayerValues!E:E,0)),"N/A")</f>
        <v>17654</v>
      </c>
      <c r="B468" s="4" t="s">
        <v>767</v>
      </c>
      <c r="C468" s="4" t="s">
        <v>283</v>
      </c>
      <c r="D468" s="94">
        <v>768.0</v>
      </c>
    </row>
    <row r="469">
      <c r="A469" s="40">
        <f t="array" ref="A469">IFNA(index(PlayerValues!A:A,match(IFNA(vlookup(B469,'Special Names'!A:B,2,FALSE),B469),PlayerValues!E:E,0)),"N/A")</f>
        <v>16393</v>
      </c>
      <c r="B469" s="4" t="s">
        <v>768</v>
      </c>
      <c r="C469" s="4" t="s">
        <v>287</v>
      </c>
      <c r="D469" s="94">
        <v>766.0</v>
      </c>
    </row>
    <row r="470">
      <c r="A470" s="40">
        <f t="array" ref="A470">IFNA(index(PlayerValues!A:A,match(IFNA(vlookup(B470,'Special Names'!A:B,2,FALSE),B470),PlayerValues!E:E,0)),"N/A")</f>
        <v>16451</v>
      </c>
      <c r="B470" s="4" t="s">
        <v>769</v>
      </c>
      <c r="C470" s="4" t="s">
        <v>287</v>
      </c>
      <c r="D470" s="94">
        <v>702.0</v>
      </c>
    </row>
    <row r="471">
      <c r="A471" s="40">
        <f t="array" ref="A471">IFNA(index(PlayerValues!A:A,match(IFNA(vlookup(B471,'Special Names'!A:B,2,FALSE),B471),PlayerValues!E:E,0)),"N/A")</f>
        <v>14805</v>
      </c>
      <c r="B471" s="4" t="s">
        <v>770</v>
      </c>
      <c r="C471" s="4" t="s">
        <v>278</v>
      </c>
      <c r="D471" s="94">
        <v>688.0</v>
      </c>
    </row>
    <row r="472">
      <c r="A472" s="40">
        <f t="array" ref="A472">IFNA(index(PlayerValues!A:A,match(IFNA(vlookup(B472,'Special Names'!A:B,2,FALSE),B472),PlayerValues!E:E,0)),"N/A")</f>
        <v>14118</v>
      </c>
      <c r="B472" s="4" t="s">
        <v>771</v>
      </c>
      <c r="C472" s="4" t="s">
        <v>287</v>
      </c>
      <c r="D472" s="94">
        <v>681.0</v>
      </c>
    </row>
    <row r="473">
      <c r="A473" s="40">
        <f t="array" ref="A473">IFNA(index(PlayerValues!A:A,match(IFNA(vlookup(B473,'Special Names'!A:B,2,FALSE),B473),PlayerValues!E:E,0)),"N/A")</f>
        <v>12785</v>
      </c>
      <c r="B473" s="4" t="s">
        <v>772</v>
      </c>
      <c r="C473" s="4" t="s">
        <v>287</v>
      </c>
      <c r="D473" s="94">
        <v>676.0</v>
      </c>
    </row>
    <row r="474">
      <c r="A474" s="40">
        <f t="array" ref="A474">IFNA(index(PlayerValues!A:A,match(IFNA(vlookup(B474,'Special Names'!A:B,2,FALSE),B474),PlayerValues!E:E,0)),"N/A")</f>
        <v>13193</v>
      </c>
      <c r="B474" s="4" t="s">
        <v>773</v>
      </c>
      <c r="C474" s="4" t="s">
        <v>298</v>
      </c>
      <c r="D474" s="94">
        <v>1018.0</v>
      </c>
    </row>
    <row r="475">
      <c r="A475" s="40">
        <f t="array" ref="A475">IFNA(index(PlayerValues!A:A,match(IFNA(vlookup(B475,'Special Names'!A:B,2,FALSE),B475),PlayerValues!E:E,0)),"N/A")</f>
        <v>17038</v>
      </c>
      <c r="B475" s="4" t="s">
        <v>774</v>
      </c>
      <c r="C475" s="4" t="s">
        <v>283</v>
      </c>
      <c r="D475" s="94">
        <v>653.0</v>
      </c>
    </row>
    <row r="476">
      <c r="A476" s="40">
        <f t="array" ref="A476">IFNA(index(PlayerValues!A:A,match(IFNA(vlookup(B476,'Special Names'!A:B,2,FALSE),B476),PlayerValues!E:E,0)),"N/A")</f>
        <v>15714</v>
      </c>
      <c r="B476" s="4" t="s">
        <v>775</v>
      </c>
      <c r="C476" s="4" t="s">
        <v>278</v>
      </c>
      <c r="D476" s="94">
        <v>608.0</v>
      </c>
    </row>
    <row r="477">
      <c r="A477" s="40">
        <f t="array" ref="A477">IFNA(index(PlayerValues!A:A,match(IFNA(vlookup(B477,'Special Names'!A:B,2,FALSE),B477),PlayerValues!E:E,0)),"N/A")</f>
        <v>16153</v>
      </c>
      <c r="B477" s="4" t="s">
        <v>776</v>
      </c>
      <c r="C477" s="4" t="s">
        <v>283</v>
      </c>
      <c r="D477" s="94">
        <v>590.0</v>
      </c>
    </row>
    <row r="478">
      <c r="A478" s="40">
        <f t="array" ref="A478">IFNA(index(PlayerValues!A:A,match(IFNA(vlookup(B478,'Special Names'!A:B,2,FALSE),B478),PlayerValues!E:E,0)),"N/A")</f>
        <v>17752</v>
      </c>
      <c r="B478" s="4" t="s">
        <v>777</v>
      </c>
      <c r="C478" s="4" t="s">
        <v>287</v>
      </c>
      <c r="D478" s="94">
        <v>586.0</v>
      </c>
    </row>
    <row r="479">
      <c r="A479" s="40">
        <f t="array" ref="A479">IFNA(index(PlayerValues!A:A,match(IFNA(vlookup(B479,'Special Names'!A:B,2,FALSE),B479),PlayerValues!E:E,0)),"N/A")</f>
        <v>16625</v>
      </c>
      <c r="B479" s="4" t="s">
        <v>778</v>
      </c>
      <c r="C479" s="4" t="s">
        <v>287</v>
      </c>
      <c r="D479" s="94">
        <v>580.0</v>
      </c>
    </row>
    <row r="480">
      <c r="A480" s="40">
        <f t="array" ref="A480">IFNA(index(PlayerValues!A:A,match(IFNA(vlookup(B480,'Special Names'!A:B,2,FALSE),B480),PlayerValues!E:E,0)),"N/A")</f>
        <v>11679</v>
      </c>
      <c r="B480" s="4" t="s">
        <v>779</v>
      </c>
      <c r="C480" s="4" t="s">
        <v>287</v>
      </c>
      <c r="D480" s="94">
        <v>521.0</v>
      </c>
    </row>
    <row r="481">
      <c r="A481" s="40">
        <f t="array" ref="A481">IFNA(index(PlayerValues!A:A,match(IFNA(vlookup(B481,'Special Names'!A:B,2,FALSE),B481),PlayerValues!E:E,0)),"N/A")</f>
        <v>15743</v>
      </c>
      <c r="B481" s="4" t="s">
        <v>780</v>
      </c>
      <c r="C481" s="4" t="s">
        <v>278</v>
      </c>
      <c r="D481" s="94">
        <v>521.0</v>
      </c>
    </row>
    <row r="482">
      <c r="A482" s="40">
        <f t="array" ref="A482">IFNA(index(PlayerValues!A:A,match(IFNA(vlookup(B482,'Special Names'!A:B,2,FALSE),B482),PlayerValues!E:E,0)),"N/A")</f>
        <v>16413</v>
      </c>
      <c r="B482" s="4" t="s">
        <v>781</v>
      </c>
      <c r="C482" s="4" t="s">
        <v>287</v>
      </c>
      <c r="D482" s="94">
        <v>516.0</v>
      </c>
    </row>
    <row r="483">
      <c r="A483" s="40">
        <f t="array" ref="A483">IFNA(index(PlayerValues!A:A,match(IFNA(vlookup(B483,'Special Names'!A:B,2,FALSE),B483),PlayerValues!E:E,0)),"N/A")</f>
        <v>16613</v>
      </c>
      <c r="B483" s="4" t="s">
        <v>782</v>
      </c>
      <c r="C483" s="4" t="s">
        <v>278</v>
      </c>
      <c r="D483" s="94">
        <v>507.0</v>
      </c>
    </row>
    <row r="484">
      <c r="A484" s="40">
        <f t="array" ref="A484">IFNA(index(PlayerValues!A:A,match(IFNA(vlookup(B484,'Special Names'!A:B,2,FALSE),B484),PlayerValues!E:E,0)),"N/A")</f>
        <v>16773</v>
      </c>
      <c r="B484" s="4" t="s">
        <v>783</v>
      </c>
      <c r="C484" s="4" t="s">
        <v>278</v>
      </c>
      <c r="D484" s="94">
        <v>502.0</v>
      </c>
    </row>
    <row r="485">
      <c r="A485" s="40">
        <f t="array" ref="A485">IFNA(index(PlayerValues!A:A,match(IFNA(vlookup(B485,'Special Names'!A:B,2,FALSE),B485),PlayerValues!E:E,0)),"N/A")</f>
        <v>17232</v>
      </c>
      <c r="B485" s="4" t="s">
        <v>784</v>
      </c>
      <c r="C485" s="4" t="s">
        <v>287</v>
      </c>
      <c r="D485" s="94">
        <v>501.0</v>
      </c>
    </row>
    <row r="486">
      <c r="A486" s="40">
        <f t="array" ref="A486">IFNA(index(PlayerValues!A:A,match(IFNA(vlookup(B486,'Special Names'!A:B,2,FALSE),B486),PlayerValues!E:E,0)),"N/A")</f>
        <v>14223</v>
      </c>
      <c r="B486" s="4" t="s">
        <v>785</v>
      </c>
      <c r="C486" s="4" t="s">
        <v>278</v>
      </c>
      <c r="D486" s="94">
        <v>499.0</v>
      </c>
    </row>
    <row r="487">
      <c r="A487" s="40">
        <f t="array" ref="A487">IFNA(index(PlayerValues!A:A,match(IFNA(vlookup(B487,'Special Names'!A:B,2,FALSE),B487),PlayerValues!E:E,0)),"N/A")</f>
        <v>13143</v>
      </c>
      <c r="B487" s="4" t="s">
        <v>786</v>
      </c>
      <c r="C487" s="4" t="s">
        <v>278</v>
      </c>
      <c r="D487" s="94">
        <v>487.0</v>
      </c>
    </row>
    <row r="488">
      <c r="A488" s="40">
        <f t="array" ref="A488">IFNA(index(PlayerValues!A:A,match(IFNA(vlookup(B488,'Special Names'!A:B,2,FALSE),B488),PlayerValues!E:E,0)),"N/A")</f>
        <v>16299</v>
      </c>
      <c r="B488" s="4" t="s">
        <v>787</v>
      </c>
      <c r="C488" s="4" t="s">
        <v>287</v>
      </c>
      <c r="D488" s="94">
        <v>486.0</v>
      </c>
    </row>
    <row r="489">
      <c r="A489" s="40">
        <f t="array" ref="A489">IFNA(index(PlayerValues!A:A,match(IFNA(vlookup(B489,'Special Names'!A:B,2,FALSE),B489),PlayerValues!E:E,0)),"N/A")</f>
        <v>14113</v>
      </c>
      <c r="B489" s="4" t="s">
        <v>788</v>
      </c>
      <c r="C489" s="4" t="s">
        <v>287</v>
      </c>
      <c r="D489" s="94">
        <v>483.0</v>
      </c>
    </row>
    <row r="490">
      <c r="A490" s="40">
        <f t="array" ref="A490">IFNA(index(PlayerValues!A:A,match(IFNA(vlookup(B490,'Special Names'!A:B,2,FALSE),B490),PlayerValues!E:E,0)),"N/A")</f>
        <v>14864</v>
      </c>
      <c r="B490" s="4" t="s">
        <v>789</v>
      </c>
      <c r="C490" s="4" t="s">
        <v>287</v>
      </c>
      <c r="D490" s="94">
        <v>483.0</v>
      </c>
    </row>
    <row r="491">
      <c r="A491" s="40">
        <f t="array" ref="A491">IFNA(index(PlayerValues!A:A,match(IFNA(vlookup(B491,'Special Names'!A:B,2,FALSE),B491),PlayerValues!E:E,0)),"N/A")</f>
        <v>14076</v>
      </c>
      <c r="B491" s="4" t="s">
        <v>790</v>
      </c>
      <c r="C491" s="4" t="s">
        <v>278</v>
      </c>
      <c r="D491" s="94">
        <v>480.0</v>
      </c>
    </row>
    <row r="492">
      <c r="A492" s="40">
        <f t="array" ref="A492">IFNA(index(PlayerValues!A:A,match(IFNA(vlookup(B492,'Special Names'!A:B,2,FALSE),B492),PlayerValues!E:E,0)),"N/A")</f>
        <v>15965</v>
      </c>
      <c r="B492" s="4" t="s">
        <v>791</v>
      </c>
      <c r="C492" s="4" t="s">
        <v>278</v>
      </c>
      <c r="D492" s="94">
        <v>478.0</v>
      </c>
    </row>
    <row r="493">
      <c r="A493" s="40">
        <f t="array" ref="A493">IFNA(index(PlayerValues!A:A,match(IFNA(vlookup(B493,'Special Names'!A:B,2,FALSE),B493),PlayerValues!E:E,0)),"N/A")</f>
        <v>15285</v>
      </c>
      <c r="B493" s="4" t="s">
        <v>792</v>
      </c>
      <c r="C493" s="4" t="s">
        <v>287</v>
      </c>
      <c r="D493" s="94">
        <v>476.0</v>
      </c>
    </row>
    <row r="494">
      <c r="A494" s="40">
        <f t="array" ref="A494">IFNA(index(PlayerValues!A:A,match(IFNA(vlookup(B494,'Special Names'!A:B,2,FALSE),B494),PlayerValues!E:E,0)),"N/A")</f>
        <v>17337</v>
      </c>
      <c r="B494" s="4" t="s">
        <v>793</v>
      </c>
      <c r="C494" s="4" t="s">
        <v>278</v>
      </c>
      <c r="D494" s="94">
        <v>475.0</v>
      </c>
    </row>
    <row r="495">
      <c r="A495" s="40">
        <f t="array" ref="A495">IFNA(index(PlayerValues!A:A,match(IFNA(vlookup(B495,'Special Names'!A:B,2,FALSE),B495),PlayerValues!E:E,0)),"N/A")</f>
        <v>15796</v>
      </c>
      <c r="B495" s="4" t="s">
        <v>794</v>
      </c>
      <c r="C495" s="4" t="s">
        <v>298</v>
      </c>
      <c r="D495" s="94">
        <v>819.0</v>
      </c>
    </row>
    <row r="496">
      <c r="A496" s="40">
        <f t="array" ref="A496">IFNA(index(PlayerValues!A:A,match(IFNA(vlookup(B496,'Special Names'!A:B,2,FALSE),B496),PlayerValues!E:E,0)),"N/A")</f>
        <v>15720</v>
      </c>
      <c r="B496" s="4" t="s">
        <v>795</v>
      </c>
      <c r="C496" s="4" t="s">
        <v>278</v>
      </c>
      <c r="D496" s="94">
        <v>469.0</v>
      </c>
    </row>
    <row r="497">
      <c r="A497" s="40">
        <f t="array" ref="A497">IFNA(index(PlayerValues!A:A,match(IFNA(vlookup(B497,'Special Names'!A:B,2,FALSE),B497),PlayerValues!E:E,0)),"N/A")</f>
        <v>16624</v>
      </c>
      <c r="B497" s="4" t="s">
        <v>796</v>
      </c>
      <c r="C497" s="4" t="s">
        <v>287</v>
      </c>
      <c r="D497" s="94">
        <v>469.0</v>
      </c>
    </row>
    <row r="498">
      <c r="A498" s="40">
        <f t="array" ref="A498">IFNA(index(PlayerValues!A:A,match(IFNA(vlookup(B498,'Special Names'!A:B,2,FALSE),B498),PlayerValues!E:E,0)),"N/A")</f>
        <v>17348</v>
      </c>
      <c r="B498" s="4" t="s">
        <v>797</v>
      </c>
      <c r="C498" s="4" t="s">
        <v>278</v>
      </c>
      <c r="D498" s="94">
        <v>467.0</v>
      </c>
    </row>
    <row r="499">
      <c r="A499" s="40">
        <f t="array" ref="A499">IFNA(index(PlayerValues!A:A,match(IFNA(vlookup(B499,'Special Names'!A:B,2,FALSE),B499),PlayerValues!E:E,0)),"N/A")</f>
        <v>15723</v>
      </c>
      <c r="B499" s="4" t="s">
        <v>798</v>
      </c>
      <c r="C499" s="4" t="s">
        <v>278</v>
      </c>
      <c r="D499" s="94">
        <v>463.0</v>
      </c>
    </row>
    <row r="500">
      <c r="A500" s="40">
        <f t="array" ref="A500">IFNA(index(PlayerValues!A:A,match(IFNA(vlookup(B500,'Special Names'!A:B,2,FALSE),B500),PlayerValues!E:E,0)),"N/A")</f>
        <v>14858</v>
      </c>
      <c r="B500" s="4" t="s">
        <v>799</v>
      </c>
      <c r="C500" s="4" t="s">
        <v>287</v>
      </c>
      <c r="D500" s="94">
        <v>462.0</v>
      </c>
    </row>
    <row r="501">
      <c r="A501" s="40">
        <f t="array" ref="A501">IFNA(index(PlayerValues!A:A,match(IFNA(vlookup(B501,'Special Names'!A:B,2,FALSE),B501),PlayerValues!E:E,0)),"N/A")</f>
        <v>16161</v>
      </c>
      <c r="B501" s="4" t="s">
        <v>277</v>
      </c>
      <c r="C501" s="4" t="s">
        <v>278</v>
      </c>
      <c r="D501" s="94">
        <v>9999.0</v>
      </c>
    </row>
    <row r="502">
      <c r="A502" s="40">
        <f t="array" ref="A502">IFNA(index(PlayerValues!A:A,match(IFNA(vlookup(B502,'Special Names'!A:B,2,FALSE),B502),PlayerValues!E:E,0)),"N/A")</f>
        <v>16162</v>
      </c>
      <c r="B502" s="4" t="s">
        <v>281</v>
      </c>
      <c r="C502" s="4" t="s">
        <v>278</v>
      </c>
      <c r="D502" s="94">
        <v>9999.0</v>
      </c>
    </row>
    <row r="503">
      <c r="A503" s="40">
        <f t="array" ref="A503">IFNA(index(PlayerValues!A:A,match(IFNA(vlookup(B503,'Special Names'!A:B,2,FALSE),B503),PlayerValues!E:E,0)),"N/A")</f>
        <v>13589</v>
      </c>
      <c r="B503" s="4" t="s">
        <v>282</v>
      </c>
      <c r="C503" s="4" t="s">
        <v>283</v>
      </c>
      <c r="D503" s="94">
        <v>9994.0</v>
      </c>
    </row>
    <row r="504">
      <c r="A504" s="40">
        <f t="array" ref="A504">IFNA(index(PlayerValues!A:A,match(IFNA(vlookup(B504,'Special Names'!A:B,2,FALSE),B504),PlayerValues!E:E,0)),"N/A")</f>
        <v>15281</v>
      </c>
      <c r="B504" s="4" t="s">
        <v>286</v>
      </c>
      <c r="C504" s="4" t="s">
        <v>287</v>
      </c>
      <c r="D504" s="94">
        <v>9978.0</v>
      </c>
    </row>
    <row r="505">
      <c r="A505" s="40">
        <f t="array" ref="A505">IFNA(index(PlayerValues!A:A,match(IFNA(vlookup(B505,'Special Names'!A:B,2,FALSE),B505),PlayerValues!E:E,0)),"N/A")</f>
        <v>16185</v>
      </c>
      <c r="B505" s="4" t="s">
        <v>290</v>
      </c>
      <c r="C505" s="4" t="s">
        <v>287</v>
      </c>
      <c r="D505" s="94">
        <v>9196.0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8898.0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8581.0</v>
      </c>
    </row>
    <row r="508">
      <c r="A508" s="40">
        <f t="array" ref="A508">IFNA(index(PlayerValues!A:A,match(IFNA(vlookup(B508,'Special Names'!A:B,2,FALSE),B508),PlayerValues!E:E,0)),"N/A")</f>
        <v>16641</v>
      </c>
      <c r="B508" s="4" t="s">
        <v>297</v>
      </c>
      <c r="C508" s="4" t="s">
        <v>298</v>
      </c>
      <c r="D508" s="94">
        <v>9140.0</v>
      </c>
    </row>
    <row r="509">
      <c r="A509" s="40">
        <f t="array" ref="A509">IFNA(index(PlayerValues!A:A,match(IFNA(vlookup(B509,'Special Names'!A:B,2,FALSE),B509),PlayerValues!E:E,0)),"N/A")</f>
        <v>15287</v>
      </c>
      <c r="B509" s="4" t="s">
        <v>299</v>
      </c>
      <c r="C509" s="4" t="s">
        <v>287</v>
      </c>
      <c r="D509" s="94">
        <v>8189.0</v>
      </c>
    </row>
    <row r="510">
      <c r="A510" s="40">
        <f t="array" ref="A510">IFNA(index(PlayerValues!A:A,match(IFNA(vlookup(B510,'Special Names'!A:B,2,FALSE),B510),PlayerValues!E:E,0)),"N/A")</f>
        <v>16579</v>
      </c>
      <c r="B510" s="4" t="s">
        <v>302</v>
      </c>
      <c r="C510" s="4" t="s">
        <v>283</v>
      </c>
      <c r="D510" s="94">
        <v>7817.0</v>
      </c>
    </row>
    <row r="511">
      <c r="A511" s="40">
        <f t="array" ref="A511">IFNA(index(PlayerValues!A:A,match(IFNA(vlookup(B511,'Special Names'!A:B,2,FALSE),B511),PlayerValues!E:E,0)),"N/A")</f>
        <v>13593</v>
      </c>
      <c r="B511" s="4" t="s">
        <v>305</v>
      </c>
      <c r="C511" s="4" t="s">
        <v>283</v>
      </c>
      <c r="D511" s="94">
        <v>7542.0</v>
      </c>
    </row>
    <row r="512">
      <c r="A512" s="40">
        <f t="array" ref="A512">IFNA(index(PlayerValues!A:A,match(IFNA(vlookup(B512,'Special Names'!A:B,2,FALSE),B512),PlayerValues!E:E,0)),"N/A")</f>
        <v>14836</v>
      </c>
      <c r="B512" s="4" t="s">
        <v>306</v>
      </c>
      <c r="C512" s="4" t="s">
        <v>287</v>
      </c>
      <c r="D512" s="94">
        <v>7390.0</v>
      </c>
    </row>
    <row r="513">
      <c r="A513" s="40">
        <f t="array" ref="A513">IFNA(index(PlayerValues!A:A,match(IFNA(vlookup(B513,'Special Names'!A:B,2,FALSE),B513),PlayerValues!E:E,0)),"N/A")</f>
        <v>16615</v>
      </c>
      <c r="B513" s="4" t="s">
        <v>309</v>
      </c>
      <c r="C513" s="4" t="s">
        <v>287</v>
      </c>
      <c r="D513" s="94">
        <v>7362.0</v>
      </c>
    </row>
    <row r="514">
      <c r="A514" s="40">
        <f t="array" ref="A514">IFNA(index(PlayerValues!A:A,match(IFNA(vlookup(B514,'Special Names'!A:B,2,FALSE),B514),PlayerValues!E:E,0)),"N/A")</f>
        <v>17472</v>
      </c>
      <c r="B514" s="4" t="s">
        <v>310</v>
      </c>
      <c r="C514" s="4" t="s">
        <v>278</v>
      </c>
      <c r="D514" s="94">
        <v>7334.0</v>
      </c>
    </row>
    <row r="515">
      <c r="A515" s="40">
        <f t="array" ref="A515">IFNA(index(PlayerValues!A:A,match(IFNA(vlookup(B515,'Special Names'!A:B,2,FALSE),B515),PlayerValues!E:E,0)),"N/A")</f>
        <v>15794</v>
      </c>
      <c r="B515" s="4" t="s">
        <v>313</v>
      </c>
      <c r="C515" s="4" t="s">
        <v>298</v>
      </c>
      <c r="D515" s="94">
        <v>8091.0</v>
      </c>
    </row>
    <row r="516">
      <c r="A516" s="40">
        <f t="array" ref="A516">IFNA(index(PlayerValues!A:A,match(IFNA(vlookup(B516,'Special Names'!A:B,2,FALSE),B516),PlayerValues!E:E,0)),"N/A")</f>
        <v>17042</v>
      </c>
      <c r="B516" s="4" t="s">
        <v>314</v>
      </c>
      <c r="C516" s="4" t="s">
        <v>278</v>
      </c>
      <c r="D516" s="94">
        <v>7295.0</v>
      </c>
    </row>
    <row r="517">
      <c r="A517" s="40">
        <f t="array" ref="A517">IFNA(index(PlayerValues!A:A,match(IFNA(vlookup(B517,'Special Names'!A:B,2,FALSE),B517),PlayerValues!E:E,0)),"N/A")</f>
        <v>16581</v>
      </c>
      <c r="B517" s="4" t="s">
        <v>315</v>
      </c>
      <c r="C517" s="4" t="s">
        <v>283</v>
      </c>
      <c r="D517" s="94">
        <v>7267.0</v>
      </c>
    </row>
    <row r="518">
      <c r="A518" s="40">
        <f t="array" ref="A518">IFNA(index(PlayerValues!A:A,match(IFNA(vlookup(B518,'Special Names'!A:B,2,FALSE),B518),PlayerValues!E:E,0)),"N/A")</f>
        <v>14777</v>
      </c>
      <c r="B518" s="4" t="s">
        <v>318</v>
      </c>
      <c r="C518" s="4" t="s">
        <v>283</v>
      </c>
      <c r="D518" s="94">
        <v>7236.0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7194.0</v>
      </c>
    </row>
    <row r="520">
      <c r="A520" s="40">
        <f t="array" ref="A520">IFNA(index(PlayerValues!A:A,match(IFNA(vlookup(B520,'Special Names'!A:B,2,FALSE),B520),PlayerValues!E:E,0)),"N/A")</f>
        <v>17044</v>
      </c>
      <c r="B520" s="4" t="s">
        <v>322</v>
      </c>
      <c r="C520" s="4" t="s">
        <v>278</v>
      </c>
      <c r="D520" s="94">
        <v>6966.0</v>
      </c>
    </row>
    <row r="521">
      <c r="A521" s="40">
        <f t="array" ref="A521">IFNA(index(PlayerValues!A:A,match(IFNA(vlookup(B521,'Special Names'!A:B,2,FALSE),B521),PlayerValues!E:E,0)),"N/A")</f>
        <v>16167</v>
      </c>
      <c r="B521" s="4" t="s">
        <v>323</v>
      </c>
      <c r="C521" s="4" t="s">
        <v>278</v>
      </c>
      <c r="D521" s="94">
        <v>6948.0</v>
      </c>
    </row>
    <row r="522">
      <c r="A522" s="40" t="str">
        <f t="array" ref="A522">IFNA(index(PlayerValues!A:A,match(IFNA(vlookup(B522,'Special Names'!A:B,2,FALSE),B522),PlayerValues!E:E,0)),"N/A")</f>
        <v>N/A</v>
      </c>
      <c r="B522" s="4" t="s">
        <v>92</v>
      </c>
      <c r="C522" s="4" t="s">
        <v>325</v>
      </c>
      <c r="D522" s="94">
        <v>6938.0</v>
      </c>
    </row>
    <row r="523">
      <c r="A523" s="40">
        <f t="array" ref="A523">IFNA(index(PlayerValues!A:A,match(IFNA(vlookup(B523,'Special Names'!A:B,2,FALSE),B523),PlayerValues!E:E,0)),"N/A")</f>
        <v>14779</v>
      </c>
      <c r="B523" s="4" t="s">
        <v>327</v>
      </c>
      <c r="C523" s="4" t="s">
        <v>283</v>
      </c>
      <c r="D523" s="94">
        <v>6936.0</v>
      </c>
    </row>
    <row r="524">
      <c r="A524" s="40">
        <f t="array" ref="A524">IFNA(index(PlayerValues!A:A,match(IFNA(vlookup(B524,'Special Names'!A:B,2,FALSE),B524),PlayerValues!E:E,0)),"N/A")</f>
        <v>15751</v>
      </c>
      <c r="B524" s="4" t="s">
        <v>328</v>
      </c>
      <c r="C524" s="4" t="s">
        <v>287</v>
      </c>
      <c r="D524" s="94">
        <v>6795.0</v>
      </c>
    </row>
    <row r="525">
      <c r="A525" s="40">
        <f t="array" ref="A525">IFNA(index(PlayerValues!A:A,match(IFNA(vlookup(B525,'Special Names'!A:B,2,FALSE),B525),PlayerValues!E:E,0)),"N/A")</f>
        <v>15715</v>
      </c>
      <c r="B525" s="4" t="s">
        <v>331</v>
      </c>
      <c r="C525" s="4" t="s">
        <v>278</v>
      </c>
      <c r="D525" s="94">
        <v>6521.0</v>
      </c>
    </row>
    <row r="526">
      <c r="A526" s="40">
        <f t="array" ref="A526">IFNA(index(PlayerValues!A:A,match(IFNA(vlookup(B526,'Special Names'!A:B,2,FALSE),B526),PlayerValues!E:E,0)),"N/A")</f>
        <v>14802</v>
      </c>
      <c r="B526" s="4" t="s">
        <v>332</v>
      </c>
      <c r="C526" s="4" t="s">
        <v>278</v>
      </c>
      <c r="D526" s="94">
        <v>6377.0</v>
      </c>
    </row>
    <row r="527">
      <c r="A527" s="40">
        <f t="array" ref="A527">IFNA(index(PlayerValues!A:A,match(IFNA(vlookup(B527,'Special Names'!A:B,2,FALSE),B527),PlayerValues!E:E,0)),"N/A")</f>
        <v>17104</v>
      </c>
      <c r="B527" s="4" t="s">
        <v>333</v>
      </c>
      <c r="C527" s="4" t="s">
        <v>298</v>
      </c>
      <c r="D527" s="94">
        <v>7040.0</v>
      </c>
    </row>
    <row r="528">
      <c r="A528" s="40">
        <f t="array" ref="A528">IFNA(index(PlayerValues!A:A,match(IFNA(vlookup(B528,'Special Names'!A:B,2,FALSE),B528),PlayerValues!E:E,0)),"N/A")</f>
        <v>15237</v>
      </c>
      <c r="B528" s="4" t="s">
        <v>336</v>
      </c>
      <c r="C528" s="4" t="s">
        <v>283</v>
      </c>
      <c r="D528" s="94">
        <v>6319.0</v>
      </c>
    </row>
    <row r="529">
      <c r="A529" s="40">
        <f t="array" ref="A529">IFNA(index(PlayerValues!A:A,match(IFNA(vlookup(B529,'Special Names'!A:B,2,FALSE),B529),PlayerValues!E:E,0)),"N/A")</f>
        <v>15762</v>
      </c>
      <c r="B529" s="4" t="s">
        <v>337</v>
      </c>
      <c r="C529" s="4" t="s">
        <v>287</v>
      </c>
      <c r="D529" s="94">
        <v>6253.0</v>
      </c>
    </row>
    <row r="530">
      <c r="A530" s="40">
        <f t="array" ref="A530">IFNA(index(PlayerValues!A:A,match(IFNA(vlookup(B530,'Special Names'!A:B,2,FALSE),B530),PlayerValues!E:E,0)),"N/A")</f>
        <v>17081</v>
      </c>
      <c r="B530" s="4" t="s">
        <v>340</v>
      </c>
      <c r="C530" s="4" t="s">
        <v>287</v>
      </c>
      <c r="D530" s="94">
        <v>6191.0</v>
      </c>
    </row>
    <row r="531">
      <c r="A531" s="40">
        <f t="array" ref="A531">IFNA(index(PlayerValues!A:A,match(IFNA(vlookup(B531,'Special Names'!A:B,2,FALSE),B531),PlayerValues!E:E,0)),"N/A")</f>
        <v>17071</v>
      </c>
      <c r="B531" s="4" t="s">
        <v>341</v>
      </c>
      <c r="C531" s="4" t="s">
        <v>287</v>
      </c>
      <c r="D531" s="94">
        <v>6187.0</v>
      </c>
    </row>
    <row r="532">
      <c r="A532" s="40">
        <f t="array" ref="A532">IFNA(index(PlayerValues!A:A,match(IFNA(vlookup(B532,'Special Names'!A:B,2,FALSE),B532),PlayerValues!E:E,0)),"N/A")</f>
        <v>14783</v>
      </c>
      <c r="B532" s="4" t="s">
        <v>342</v>
      </c>
      <c r="C532" s="4" t="s">
        <v>283</v>
      </c>
      <c r="D532" s="94">
        <v>6041.0</v>
      </c>
    </row>
    <row r="533">
      <c r="A533" s="40">
        <f t="array" ref="A533">IFNA(index(PlayerValues!A:A,match(IFNA(vlookup(B533,'Special Names'!A:B,2,FALSE),B533),PlayerValues!E:E,0)),"N/A")</f>
        <v>16582</v>
      </c>
      <c r="B533" s="4" t="s">
        <v>343</v>
      </c>
      <c r="C533" s="4" t="s">
        <v>283</v>
      </c>
      <c r="D533" s="94">
        <v>6025.0</v>
      </c>
    </row>
    <row r="534">
      <c r="A534" s="40">
        <f t="array" ref="A534">IFNA(index(PlayerValues!A:A,match(IFNA(vlookup(B534,'Special Names'!A:B,2,FALSE),B534),PlayerValues!E:E,0)),"N/A")</f>
        <v>17102</v>
      </c>
      <c r="B534" s="4" t="s">
        <v>344</v>
      </c>
      <c r="C534" s="4" t="s">
        <v>298</v>
      </c>
      <c r="D534" s="94">
        <v>6638.0</v>
      </c>
    </row>
    <row r="535">
      <c r="A535" s="40">
        <f t="array" ref="A535">IFNA(index(PlayerValues!A:A,match(IFNA(vlookup(B535,'Special Names'!A:B,2,FALSE),B535),PlayerValues!E:E,0)),"N/A")</f>
        <v>13116</v>
      </c>
      <c r="B535" s="4" t="s">
        <v>345</v>
      </c>
      <c r="C535" s="4" t="s">
        <v>283</v>
      </c>
      <c r="D535" s="94">
        <v>5960.0</v>
      </c>
    </row>
    <row r="536">
      <c r="A536" s="40">
        <f t="array" ref="A536">IFNA(index(PlayerValues!A:A,match(IFNA(vlookup(B536,'Special Names'!A:B,2,FALSE),B536),PlayerValues!E:E,0)),"N/A")</f>
        <v>17032</v>
      </c>
      <c r="B536" s="4" t="s">
        <v>348</v>
      </c>
      <c r="C536" s="4" t="s">
        <v>283</v>
      </c>
      <c r="D536" s="94">
        <v>5886.0</v>
      </c>
    </row>
    <row r="537">
      <c r="A537" s="40">
        <f t="array" ref="A537">IFNA(index(PlayerValues!A:A,match(IFNA(vlookup(B537,'Special Names'!A:B,2,FALSE),B537),PlayerValues!E:E,0)),"N/A")</f>
        <v>15711</v>
      </c>
      <c r="B537" s="4" t="s">
        <v>349</v>
      </c>
      <c r="C537" s="4" t="s">
        <v>278</v>
      </c>
      <c r="D537" s="94">
        <v>5750.0</v>
      </c>
    </row>
    <row r="538">
      <c r="A538" s="40">
        <f t="array" ref="A538">IFNA(index(PlayerValues!A:A,match(IFNA(vlookup(B538,'Special Names'!A:B,2,FALSE),B538),PlayerValues!E:E,0)),"N/A")</f>
        <v>16181</v>
      </c>
      <c r="B538" s="4" t="s">
        <v>350</v>
      </c>
      <c r="C538" s="4" t="s">
        <v>278</v>
      </c>
      <c r="D538" s="94">
        <v>5745.0</v>
      </c>
    </row>
    <row r="539">
      <c r="A539" s="40">
        <f t="array" ref="A539">IFNA(index(PlayerValues!A:A,match(IFNA(vlookup(B539,'Special Names'!A:B,2,FALSE),B539),PlayerValues!E:E,0)),"N/A")</f>
        <v>16627</v>
      </c>
      <c r="B539" s="4" t="s">
        <v>351</v>
      </c>
      <c r="C539" s="4" t="s">
        <v>287</v>
      </c>
      <c r="D539" s="94">
        <v>5742.0</v>
      </c>
    </row>
    <row r="540">
      <c r="A540" s="40">
        <f t="array" ref="A540">IFNA(index(PlayerValues!A:A,match(IFNA(vlookup(B540,'Special Names'!A:B,2,FALSE),B540),PlayerValues!E:E,0)),"N/A")</f>
        <v>15754</v>
      </c>
      <c r="B540" s="4" t="s">
        <v>354</v>
      </c>
      <c r="C540" s="4" t="s">
        <v>287</v>
      </c>
      <c r="D540" s="94">
        <v>5739.0</v>
      </c>
    </row>
    <row r="541">
      <c r="A541" s="40">
        <f t="array" ref="A541">IFNA(index(PlayerValues!A:A,match(IFNA(vlookup(B541,'Special Names'!A:B,2,FALSE),B541),PlayerValues!E:E,0)),"N/A")</f>
        <v>15290</v>
      </c>
      <c r="B541" s="4" t="s">
        <v>355</v>
      </c>
      <c r="C541" s="4" t="s">
        <v>287</v>
      </c>
      <c r="D541" s="94">
        <v>5732.0</v>
      </c>
    </row>
    <row r="542">
      <c r="A542" s="40">
        <f t="array" ref="A542">IFNA(index(PlayerValues!A:A,match(IFNA(vlookup(B542,'Special Names'!A:B,2,FALSE),B542),PlayerValues!E:E,0)),"N/A")</f>
        <v>15698</v>
      </c>
      <c r="B542" s="4" t="s">
        <v>358</v>
      </c>
      <c r="C542" s="4" t="s">
        <v>283</v>
      </c>
      <c r="D542" s="94">
        <v>5659.0</v>
      </c>
    </row>
    <row r="543">
      <c r="A543" s="40">
        <f t="array" ref="A543">IFNA(index(PlayerValues!A:A,match(IFNA(vlookup(B543,'Special Names'!A:B,2,FALSE),B543),PlayerValues!E:E,0)),"N/A")</f>
        <v>15753</v>
      </c>
      <c r="B543" s="4" t="s">
        <v>359</v>
      </c>
      <c r="C543" s="4" t="s">
        <v>287</v>
      </c>
      <c r="D543" s="94">
        <v>5652.0</v>
      </c>
    </row>
    <row r="544">
      <c r="A544" s="40" t="str">
        <f t="array" ref="A544">IFNA(index(PlayerValues!A:A,match(IFNA(vlookup(B544,'Special Names'!A:B,2,FALSE),B544),PlayerValues!E:E,0)),"N/A")</f>
        <v>N/A</v>
      </c>
      <c r="B544" s="4" t="s">
        <v>93</v>
      </c>
      <c r="C544" s="4" t="s">
        <v>325</v>
      </c>
      <c r="D544" s="94">
        <v>5600.0</v>
      </c>
    </row>
    <row r="545">
      <c r="A545" s="40">
        <f t="array" ref="A545">IFNA(index(PlayerValues!A:A,match(IFNA(vlookup(B545,'Special Names'!A:B,2,FALSE),B545),PlayerValues!E:E,0)),"N/A")</f>
        <v>15282</v>
      </c>
      <c r="B545" s="4" t="s">
        <v>364</v>
      </c>
      <c r="C545" s="4" t="s">
        <v>287</v>
      </c>
      <c r="D545" s="94">
        <v>5569.0</v>
      </c>
    </row>
    <row r="546">
      <c r="A546" s="40">
        <f t="array" ref="A546">IFNA(index(PlayerValues!A:A,match(IFNA(vlookup(B546,'Special Names'!A:B,2,FALSE),B546),PlayerValues!E:E,0)),"N/A")</f>
        <v>17497</v>
      </c>
      <c r="B546" s="4" t="s">
        <v>365</v>
      </c>
      <c r="C546" s="4" t="s">
        <v>287</v>
      </c>
      <c r="D546" s="94">
        <v>5568.0</v>
      </c>
    </row>
    <row r="547">
      <c r="A547" s="40" t="str">
        <f t="array" ref="A547">IFNA(index(PlayerValues!A:A,match(IFNA(vlookup(B547,'Special Names'!A:B,2,FALSE),B547),PlayerValues!E:E,0)),"N/A")</f>
        <v>N/A</v>
      </c>
      <c r="B547" s="4" t="s">
        <v>79</v>
      </c>
      <c r="C547" s="4" t="s">
        <v>325</v>
      </c>
      <c r="D547" s="94">
        <v>5527.0</v>
      </c>
    </row>
    <row r="548">
      <c r="A548" s="40">
        <f t="array" ref="A548">IFNA(index(PlayerValues!A:A,match(IFNA(vlookup(B548,'Special Names'!A:B,2,FALSE),B548),PlayerValues!E:E,0)),"N/A")</f>
        <v>17070</v>
      </c>
      <c r="B548" s="4" t="s">
        <v>370</v>
      </c>
      <c r="C548" s="4" t="s">
        <v>287</v>
      </c>
      <c r="D548" s="94">
        <v>5497.0</v>
      </c>
    </row>
    <row r="549">
      <c r="A549" s="40">
        <f t="array" ref="A549">IFNA(index(PlayerValues!A:A,match(IFNA(vlookup(B549,'Special Names'!A:B,2,FALSE),B549),PlayerValues!E:E,0)),"N/A")</f>
        <v>16190</v>
      </c>
      <c r="B549" s="4" t="s">
        <v>371</v>
      </c>
      <c r="C549" s="4" t="s">
        <v>287</v>
      </c>
      <c r="D549" s="94">
        <v>5339.0</v>
      </c>
    </row>
    <row r="550">
      <c r="A550" s="40">
        <f t="array" ref="A550">IFNA(index(PlayerValues!A:A,match(IFNA(vlookup(B550,'Special Names'!A:B,2,FALSE),B550),PlayerValues!E:E,0)),"N/A")</f>
        <v>13130</v>
      </c>
      <c r="B550" s="4" t="s">
        <v>374</v>
      </c>
      <c r="C550" s="4" t="s">
        <v>278</v>
      </c>
      <c r="D550" s="94">
        <v>5305.0</v>
      </c>
    </row>
    <row r="551">
      <c r="A551" s="40">
        <f t="array" ref="A551">IFNA(index(PlayerValues!A:A,match(IFNA(vlookup(B551,'Special Names'!A:B,2,FALSE),B551),PlayerValues!E:E,0)),"N/A")</f>
        <v>17462</v>
      </c>
      <c r="B551" s="4" t="s">
        <v>375</v>
      </c>
      <c r="C551" s="4" t="s">
        <v>283</v>
      </c>
      <c r="D551" s="94">
        <v>5303.0</v>
      </c>
    </row>
    <row r="552">
      <c r="A552" s="40">
        <f t="array" ref="A552">IFNA(index(PlayerValues!A:A,match(IFNA(vlookup(B552,'Special Names'!A:B,2,FALSE),B552),PlayerValues!E:E,0)),"N/A")</f>
        <v>13604</v>
      </c>
      <c r="B552" s="4" t="s">
        <v>378</v>
      </c>
      <c r="C552" s="4" t="s">
        <v>278</v>
      </c>
      <c r="D552" s="94">
        <v>5288.0</v>
      </c>
    </row>
    <row r="553">
      <c r="A553" s="40">
        <f t="array" ref="A553">IFNA(index(PlayerValues!A:A,match(IFNA(vlookup(B553,'Special Names'!A:B,2,FALSE),B553),PlayerValues!E:E,0)),"N/A")</f>
        <v>14104</v>
      </c>
      <c r="B553" s="4" t="s">
        <v>379</v>
      </c>
      <c r="C553" s="4" t="s">
        <v>287</v>
      </c>
      <c r="D553" s="94">
        <v>5287.0</v>
      </c>
    </row>
    <row r="554">
      <c r="A554" s="40">
        <f t="array" ref="A554">IFNA(index(PlayerValues!A:A,match(IFNA(vlookup(B554,'Special Names'!A:B,2,FALSE),B554),PlayerValues!E:E,0)),"N/A")</f>
        <v>15708</v>
      </c>
      <c r="B554" s="4" t="s">
        <v>382</v>
      </c>
      <c r="C554" s="4" t="s">
        <v>278</v>
      </c>
      <c r="D554" s="94">
        <v>5287.0</v>
      </c>
    </row>
    <row r="555">
      <c r="A555" s="40">
        <f t="array" ref="A555">IFNA(index(PlayerValues!A:A,match(IFNA(vlookup(B555,'Special Names'!A:B,2,FALSE),B555),PlayerValues!E:E,0)),"N/A")</f>
        <v>14782</v>
      </c>
      <c r="B555" s="4" t="s">
        <v>385</v>
      </c>
      <c r="C555" s="4" t="s">
        <v>283</v>
      </c>
      <c r="D555" s="94">
        <v>5284.0</v>
      </c>
    </row>
    <row r="556">
      <c r="A556" s="40" t="str">
        <f t="array" ref="A556">IFNA(index(PlayerValues!A:A,match(IFNA(vlookup(B556,'Special Names'!A:B,2,FALSE),B556),PlayerValues!E:E,0)),"N/A")</f>
        <v>N/A</v>
      </c>
      <c r="B556" s="4" t="s">
        <v>104</v>
      </c>
      <c r="C556" s="4" t="s">
        <v>325</v>
      </c>
      <c r="D556" s="94">
        <v>5247.0</v>
      </c>
    </row>
    <row r="557">
      <c r="A557" s="40">
        <f t="array" ref="A557">IFNA(index(PlayerValues!A:A,match(IFNA(vlookup(B557,'Special Names'!A:B,2,FALSE),B557),PlayerValues!E:E,0)),"N/A")</f>
        <v>17051</v>
      </c>
      <c r="B557" s="4" t="s">
        <v>386</v>
      </c>
      <c r="C557" s="4" t="s">
        <v>278</v>
      </c>
      <c r="D557" s="94">
        <v>5241.0</v>
      </c>
    </row>
    <row r="558">
      <c r="A558" s="40">
        <f t="array" ref="A558">IFNA(index(PlayerValues!A:A,match(IFNA(vlookup(B558,'Special Names'!A:B,2,FALSE),B558),PlayerValues!E:E,0)),"N/A")</f>
        <v>16616</v>
      </c>
      <c r="B558" s="4" t="s">
        <v>389</v>
      </c>
      <c r="C558" s="4" t="s">
        <v>287</v>
      </c>
      <c r="D558" s="94">
        <v>5222.0</v>
      </c>
    </row>
    <row r="559">
      <c r="A559" s="40">
        <f t="array" ref="A559">IFNA(index(PlayerValues!A:A,match(IFNA(vlookup(B559,'Special Names'!A:B,2,FALSE),B559),PlayerValues!E:E,0)),"N/A")</f>
        <v>15284</v>
      </c>
      <c r="B559" s="4" t="s">
        <v>390</v>
      </c>
      <c r="C559" s="4" t="s">
        <v>287</v>
      </c>
      <c r="D559" s="94">
        <v>5191.0</v>
      </c>
    </row>
    <row r="560">
      <c r="A560" s="40">
        <f t="array" ref="A560">IFNA(index(PlayerValues!A:A,match(IFNA(vlookup(B560,'Special Names'!A:B,2,FALSE),B560),PlayerValues!E:E,0)),"N/A")</f>
        <v>17473</v>
      </c>
      <c r="B560" s="4" t="s">
        <v>391</v>
      </c>
      <c r="C560" s="4" t="s">
        <v>278</v>
      </c>
      <c r="D560" s="94">
        <v>5116.0</v>
      </c>
    </row>
    <row r="561">
      <c r="A561" s="40">
        <f t="array" ref="A561">IFNA(index(PlayerValues!A:A,match(IFNA(vlookup(B561,'Special Names'!A:B,2,FALSE),B561),PlayerValues!E:E,0)),"N/A")</f>
        <v>14835</v>
      </c>
      <c r="B561" s="4" t="s">
        <v>392</v>
      </c>
      <c r="C561" s="4" t="s">
        <v>287</v>
      </c>
      <c r="D561" s="94">
        <v>5095.0</v>
      </c>
    </row>
    <row r="562">
      <c r="A562" s="40">
        <f t="array" ref="A562">IFNA(index(PlayerValues!A:A,match(IFNA(vlookup(B562,'Special Names'!A:B,2,FALSE),B562),PlayerValues!E:E,0)),"N/A")</f>
        <v>16222</v>
      </c>
      <c r="B562" s="4" t="s">
        <v>393</v>
      </c>
      <c r="C562" s="4" t="s">
        <v>298</v>
      </c>
      <c r="D562" s="94">
        <v>5638.0</v>
      </c>
    </row>
    <row r="563">
      <c r="A563" s="40">
        <f t="array" ref="A563">IFNA(index(PlayerValues!A:A,match(IFNA(vlookup(B563,'Special Names'!A:B,2,FALSE),B563),PlayerValues!E:E,0)),"N/A")</f>
        <v>12620</v>
      </c>
      <c r="B563" s="4" t="s">
        <v>394</v>
      </c>
      <c r="C563" s="4" t="s">
        <v>283</v>
      </c>
      <c r="D563" s="94">
        <v>5050.0</v>
      </c>
    </row>
    <row r="564">
      <c r="A564" s="40">
        <f t="array" ref="A564">IFNA(index(PlayerValues!A:A,match(IFNA(vlookup(B564,'Special Names'!A:B,2,FALSE),B564),PlayerValues!E:E,0)),"N/A")</f>
        <v>15710</v>
      </c>
      <c r="B564" s="4" t="s">
        <v>395</v>
      </c>
      <c r="C564" s="4" t="s">
        <v>278</v>
      </c>
      <c r="D564" s="94">
        <v>4953.0</v>
      </c>
    </row>
    <row r="565">
      <c r="A565" s="40">
        <f t="array" ref="A565">IFNA(index(PlayerValues!A:A,match(IFNA(vlookup(B565,'Special Names'!A:B,2,FALSE),B565),PlayerValues!E:E,0)),"N/A")</f>
        <v>17498</v>
      </c>
      <c r="B565" s="4" t="s">
        <v>396</v>
      </c>
      <c r="C565" s="4" t="s">
        <v>287</v>
      </c>
      <c r="D565" s="94">
        <v>4948.0</v>
      </c>
    </row>
    <row r="566">
      <c r="A566" s="40" t="str">
        <f t="array" ref="A566">IFNA(index(PlayerValues!A:A,match(IFNA(vlookup(B566,'Special Names'!A:B,2,FALSE),B566),PlayerValues!E:E,0)),"N/A")</f>
        <v>N/A</v>
      </c>
      <c r="B566" s="4" t="s">
        <v>94</v>
      </c>
      <c r="C566" s="4" t="s">
        <v>325</v>
      </c>
      <c r="D566" s="94">
        <v>4941.0</v>
      </c>
    </row>
    <row r="567">
      <c r="A567" s="40">
        <f t="array" ref="A567">IFNA(index(PlayerValues!A:A,match(IFNA(vlookup(B567,'Special Names'!A:B,2,FALSE),B567),PlayerValues!E:E,0)),"N/A")</f>
        <v>17043</v>
      </c>
      <c r="B567" s="4" t="s">
        <v>397</v>
      </c>
      <c r="C567" s="4" t="s">
        <v>278</v>
      </c>
      <c r="D567" s="94">
        <v>4930.0</v>
      </c>
    </row>
    <row r="568">
      <c r="A568" s="40">
        <f t="array" ref="A568">IFNA(index(PlayerValues!A:A,match(IFNA(vlookup(B568,'Special Names'!A:B,2,FALSE),B568),PlayerValues!E:E,0)),"N/A")</f>
        <v>16194</v>
      </c>
      <c r="B568" s="4" t="s">
        <v>398</v>
      </c>
      <c r="C568" s="4" t="s">
        <v>287</v>
      </c>
      <c r="D568" s="94">
        <v>4834.0</v>
      </c>
    </row>
    <row r="569">
      <c r="A569" s="40">
        <f t="array" ref="A569">IFNA(index(PlayerValues!A:A,match(IFNA(vlookup(B569,'Special Names'!A:B,2,FALSE),B569),PlayerValues!E:E,0)),"N/A")</f>
        <v>15756</v>
      </c>
      <c r="B569" s="4" t="s">
        <v>399</v>
      </c>
      <c r="C569" s="4" t="s">
        <v>287</v>
      </c>
      <c r="D569" s="94">
        <v>4829.0</v>
      </c>
    </row>
    <row r="570">
      <c r="A570" s="40">
        <f t="array" ref="A570">IFNA(index(PlayerValues!A:A,match(IFNA(vlookup(B570,'Special Names'!A:B,2,FALSE),B570),PlayerValues!E:E,0)),"N/A")</f>
        <v>17039</v>
      </c>
      <c r="B570" s="4" t="s">
        <v>400</v>
      </c>
      <c r="C570" s="4" t="s">
        <v>283</v>
      </c>
      <c r="D570" s="94">
        <v>4800.0</v>
      </c>
    </row>
    <row r="571">
      <c r="A571" s="40">
        <f t="array" ref="A571">IFNA(index(PlayerValues!A:A,match(IFNA(vlookup(B571,'Special Names'!A:B,2,FALSE),B571),PlayerValues!E:E,0)),"N/A")</f>
        <v>15256</v>
      </c>
      <c r="B571" s="4" t="s">
        <v>401</v>
      </c>
      <c r="C571" s="4" t="s">
        <v>278</v>
      </c>
      <c r="D571" s="94">
        <v>4792.0</v>
      </c>
    </row>
    <row r="572">
      <c r="A572" s="40">
        <f t="array" ref="A572">IFNA(index(PlayerValues!A:A,match(IFNA(vlookup(B572,'Special Names'!A:B,2,FALSE),B572),PlayerValues!E:E,0)),"N/A")</f>
        <v>17499</v>
      </c>
      <c r="B572" s="4" t="s">
        <v>402</v>
      </c>
      <c r="C572" s="4" t="s">
        <v>287</v>
      </c>
      <c r="D572" s="94">
        <v>4768.0</v>
      </c>
    </row>
    <row r="573">
      <c r="A573" s="40">
        <f t="array" ref="A573">IFNA(index(PlayerValues!A:A,match(IFNA(vlookup(B573,'Special Names'!A:B,2,FALSE),B573),PlayerValues!E:E,0)),"N/A")</f>
        <v>16614</v>
      </c>
      <c r="B573" s="4" t="s">
        <v>403</v>
      </c>
      <c r="C573" s="4" t="s">
        <v>287</v>
      </c>
      <c r="D573" s="94">
        <v>4744.0</v>
      </c>
    </row>
    <row r="574">
      <c r="A574" s="40" t="str">
        <f t="array" ref="A574">IFNA(index(PlayerValues!A:A,match(IFNA(vlookup(B574,'Special Names'!A:B,2,FALSE),B574),PlayerValues!E:E,0)),"N/A")</f>
        <v>N/A</v>
      </c>
      <c r="B574" s="4" t="s">
        <v>80</v>
      </c>
      <c r="C574" s="4" t="s">
        <v>325</v>
      </c>
      <c r="D574" s="94">
        <v>4733.0</v>
      </c>
    </row>
    <row r="575">
      <c r="A575" s="40">
        <f t="array" ref="A575">IFNA(index(PlayerValues!A:A,match(IFNA(vlookup(B575,'Special Names'!A:B,2,FALSE),B575),PlayerValues!E:E,0)),"N/A")</f>
        <v>17501</v>
      </c>
      <c r="B575" s="4" t="s">
        <v>404</v>
      </c>
      <c r="C575" s="4" t="s">
        <v>287</v>
      </c>
      <c r="D575" s="94">
        <v>4717.0</v>
      </c>
    </row>
    <row r="576">
      <c r="A576" s="40">
        <f t="array" ref="A576">IFNA(index(PlayerValues!A:A,match(IFNA(vlookup(B576,'Special Names'!A:B,2,FALSE),B576),PlayerValues!E:E,0)),"N/A")</f>
        <v>17103</v>
      </c>
      <c r="B576" s="4" t="s">
        <v>405</v>
      </c>
      <c r="C576" s="4" t="s">
        <v>298</v>
      </c>
      <c r="D576" s="94">
        <v>5259.0</v>
      </c>
    </row>
    <row r="577">
      <c r="A577" s="40">
        <f t="array" ref="A577">IFNA(index(PlayerValues!A:A,match(IFNA(vlookup(B577,'Special Names'!A:B,2,FALSE),B577),PlayerValues!E:E,0)),"N/A")</f>
        <v>17030</v>
      </c>
      <c r="B577" s="4" t="s">
        <v>406</v>
      </c>
      <c r="C577" s="4" t="s">
        <v>283</v>
      </c>
      <c r="D577" s="94">
        <v>4696.0</v>
      </c>
    </row>
    <row r="578">
      <c r="A578" s="40">
        <f t="array" ref="A578">IFNA(index(PlayerValues!A:A,match(IFNA(vlookup(B578,'Special Names'!A:B,2,FALSE),B578),PlayerValues!E:E,0)),"N/A")</f>
        <v>17045</v>
      </c>
      <c r="B578" s="4" t="s">
        <v>407</v>
      </c>
      <c r="C578" s="4" t="s">
        <v>278</v>
      </c>
      <c r="D578" s="94">
        <v>4653.0</v>
      </c>
    </row>
    <row r="579">
      <c r="A579" s="40">
        <f t="array" ref="A579">IFNA(index(PlayerValues!A:A,match(IFNA(vlookup(B579,'Special Names'!A:B,2,FALSE),B579),PlayerValues!E:E,0)),"N/A")</f>
        <v>16598</v>
      </c>
      <c r="B579" s="4" t="s">
        <v>408</v>
      </c>
      <c r="C579" s="4" t="s">
        <v>278</v>
      </c>
      <c r="D579" s="94">
        <v>4611.0</v>
      </c>
    </row>
    <row r="580">
      <c r="A580" s="40">
        <f t="array" ref="A580">IFNA(index(PlayerValues!A:A,match(IFNA(vlookup(B580,'Special Names'!A:B,2,FALSE),B580),PlayerValues!E:E,0)),"N/A")</f>
        <v>13590</v>
      </c>
      <c r="B580" s="4" t="s">
        <v>409</v>
      </c>
      <c r="C580" s="4" t="s">
        <v>283</v>
      </c>
      <c r="D580" s="94">
        <v>4588.0</v>
      </c>
    </row>
    <row r="581">
      <c r="A581" s="40" t="str">
        <f t="array" ref="A581">IFNA(index(PlayerValues!A:A,match(IFNA(vlookup(B581,'Special Names'!A:B,2,FALSE),B581),PlayerValues!E:E,0)),"N/A")</f>
        <v>N/A</v>
      </c>
      <c r="B581" s="4" t="s">
        <v>105</v>
      </c>
      <c r="C581" s="4" t="s">
        <v>325</v>
      </c>
      <c r="D581" s="94">
        <v>4587.0</v>
      </c>
    </row>
    <row r="582">
      <c r="A582" s="40">
        <f t="array" ref="A582">IFNA(index(PlayerValues!A:A,match(IFNA(vlookup(B582,'Special Names'!A:B,2,FALSE),B582),PlayerValues!E:E,0)),"N/A")</f>
        <v>12611</v>
      </c>
      <c r="B582" s="4" t="s">
        <v>410</v>
      </c>
      <c r="C582" s="4" t="s">
        <v>283</v>
      </c>
      <c r="D582" s="94">
        <v>4567.0</v>
      </c>
    </row>
    <row r="583">
      <c r="A583" s="40">
        <f t="array" ref="A583">IFNA(index(PlayerValues!A:A,match(IFNA(vlookup(B583,'Special Names'!A:B,2,FALSE),B583),PlayerValues!E:E,0)),"N/A")</f>
        <v>16618</v>
      </c>
      <c r="B583" s="4" t="s">
        <v>411</v>
      </c>
      <c r="C583" s="4" t="s">
        <v>287</v>
      </c>
      <c r="D583" s="94">
        <v>4563.0</v>
      </c>
    </row>
    <row r="584">
      <c r="A584" s="40">
        <f t="array" ref="A584">IFNA(index(PlayerValues!A:A,match(IFNA(vlookup(B584,'Special Names'!A:B,2,FALSE),B584),PlayerValues!E:E,0)),"N/A")</f>
        <v>16192</v>
      </c>
      <c r="B584" s="4" t="s">
        <v>412</v>
      </c>
      <c r="C584" s="4" t="s">
        <v>287</v>
      </c>
      <c r="D584" s="94">
        <v>4555.0</v>
      </c>
    </row>
    <row r="585">
      <c r="A585" s="40">
        <f t="array" ref="A585">IFNA(index(PlayerValues!A:A,match(IFNA(vlookup(B585,'Special Names'!A:B,2,FALSE),B585),PlayerValues!E:E,0)),"N/A")</f>
        <v>16214</v>
      </c>
      <c r="B585" s="4" t="s">
        <v>413</v>
      </c>
      <c r="C585" s="4" t="s">
        <v>298</v>
      </c>
      <c r="D585" s="94">
        <v>5080.0</v>
      </c>
    </row>
    <row r="586">
      <c r="A586" s="40">
        <f t="array" ref="A586">IFNA(index(PlayerValues!A:A,match(IFNA(vlookup(B586,'Special Names'!A:B,2,FALSE),B586),PlayerValues!E:E,0)),"N/A")</f>
        <v>16150</v>
      </c>
      <c r="B586" s="4" t="s">
        <v>414</v>
      </c>
      <c r="C586" s="4" t="s">
        <v>283</v>
      </c>
      <c r="D586" s="94">
        <v>4462.0</v>
      </c>
    </row>
    <row r="587">
      <c r="A587" s="40">
        <f t="array" ref="A587">IFNA(index(PlayerValues!A:A,match(IFNA(vlookup(B587,'Special Names'!A:B,2,FALSE),B587),PlayerValues!E:E,0)),"N/A")</f>
        <v>15253</v>
      </c>
      <c r="B587" s="4" t="s">
        <v>415</v>
      </c>
      <c r="C587" s="4" t="s">
        <v>278</v>
      </c>
      <c r="D587" s="94">
        <v>4449.0</v>
      </c>
    </row>
    <row r="588">
      <c r="A588" s="40">
        <f t="array" ref="A588">IFNA(index(PlayerValues!A:A,match(IFNA(vlookup(B588,'Special Names'!A:B,2,FALSE),B588),PlayerValues!E:E,0)),"N/A")</f>
        <v>15329</v>
      </c>
      <c r="B588" s="4" t="s">
        <v>416</v>
      </c>
      <c r="C588" s="4" t="s">
        <v>298</v>
      </c>
      <c r="D588" s="94">
        <v>4876.0</v>
      </c>
    </row>
    <row r="589">
      <c r="A589" s="40">
        <f t="array" ref="A589">IFNA(index(PlayerValues!A:A,match(IFNA(vlookup(B589,'Special Names'!A:B,2,FALSE),B589),PlayerValues!E:E,0)),"N/A")</f>
        <v>17052</v>
      </c>
      <c r="B589" s="4" t="s">
        <v>417</v>
      </c>
      <c r="C589" s="4" t="s">
        <v>278</v>
      </c>
      <c r="D589" s="94">
        <v>4296.0</v>
      </c>
    </row>
    <row r="590">
      <c r="A590" s="40">
        <f t="array" ref="A590">IFNA(index(PlayerValues!A:A,match(IFNA(vlookup(B590,'Special Names'!A:B,2,FALSE),B590),PlayerValues!E:E,0)),"N/A")</f>
        <v>13592</v>
      </c>
      <c r="B590" s="4" t="s">
        <v>418</v>
      </c>
      <c r="C590" s="4" t="s">
        <v>283</v>
      </c>
      <c r="D590" s="94">
        <v>4259.0</v>
      </c>
    </row>
    <row r="591">
      <c r="A591" s="40">
        <f t="array" ref="A591">IFNA(index(PlayerValues!A:A,match(IFNA(vlookup(B591,'Special Names'!A:B,2,FALSE),B591),PlayerValues!E:E,0)),"N/A")</f>
        <v>12626</v>
      </c>
      <c r="B591" s="4" t="s">
        <v>419</v>
      </c>
      <c r="C591" s="4" t="s">
        <v>278</v>
      </c>
      <c r="D591" s="94">
        <v>4232.0</v>
      </c>
    </row>
    <row r="592">
      <c r="A592" s="40" t="str">
        <f t="array" ref="A592">IFNA(index(PlayerValues!A:A,match(IFNA(vlookup(B592,'Special Names'!A:B,2,FALSE),B592),PlayerValues!E:E,0)),"N/A")</f>
        <v>N/A</v>
      </c>
      <c r="B592" s="4" t="s">
        <v>107</v>
      </c>
      <c r="C592" s="4" t="s">
        <v>325</v>
      </c>
      <c r="D592" s="94">
        <v>4175.0</v>
      </c>
    </row>
    <row r="593">
      <c r="A593" s="40" t="str">
        <f t="array" ref="A593">IFNA(index(PlayerValues!A:A,match(IFNA(vlookup(B593,'Special Names'!A:B,2,FALSE),B593),PlayerValues!E:E,0)),"N/A")</f>
        <v>N/A</v>
      </c>
      <c r="B593" s="4" t="s">
        <v>81</v>
      </c>
      <c r="C593" s="4" t="s">
        <v>325</v>
      </c>
      <c r="D593" s="94">
        <v>4024.0</v>
      </c>
    </row>
    <row r="594">
      <c r="A594" s="40">
        <f t="array" ref="A594">IFNA(index(PlayerValues!A:A,match(IFNA(vlookup(B594,'Special Names'!A:B,2,FALSE),B594),PlayerValues!E:E,0)),"N/A")</f>
        <v>14797</v>
      </c>
      <c r="B594" s="4" t="s">
        <v>420</v>
      </c>
      <c r="C594" s="4" t="s">
        <v>278</v>
      </c>
      <c r="D594" s="94">
        <v>4007.0</v>
      </c>
    </row>
    <row r="595">
      <c r="A595" s="40">
        <f t="array" ref="A595">IFNA(index(PlayerValues!A:A,match(IFNA(vlookup(B595,'Special Names'!A:B,2,FALSE),B595),PlayerValues!E:E,0)),"N/A")</f>
        <v>15789</v>
      </c>
      <c r="B595" s="4" t="s">
        <v>421</v>
      </c>
      <c r="C595" s="4" t="s">
        <v>287</v>
      </c>
      <c r="D595" s="94">
        <v>3953.0</v>
      </c>
    </row>
    <row r="596">
      <c r="A596" s="40">
        <f t="array" ref="A596">IFNA(index(PlayerValues!A:A,match(IFNA(vlookup(B596,'Special Names'!A:B,2,FALSE),B596),PlayerValues!E:E,0)),"N/A")</f>
        <v>17514</v>
      </c>
      <c r="B596" s="4" t="s">
        <v>422</v>
      </c>
      <c r="C596" s="4" t="s">
        <v>287</v>
      </c>
      <c r="D596" s="94">
        <v>3918.0</v>
      </c>
    </row>
    <row r="597">
      <c r="A597" s="40">
        <f t="array" ref="A597">IFNA(index(PlayerValues!A:A,match(IFNA(vlookup(B597,'Special Names'!A:B,2,FALSE),B597),PlayerValues!E:E,0)),"N/A")</f>
        <v>14056</v>
      </c>
      <c r="B597" s="4" t="s">
        <v>423</v>
      </c>
      <c r="C597" s="4" t="s">
        <v>283</v>
      </c>
      <c r="D597" s="94">
        <v>3852.0</v>
      </c>
    </row>
    <row r="598">
      <c r="A598" s="40">
        <f t="array" ref="A598">IFNA(index(PlayerValues!A:A,match(IFNA(vlookup(B598,'Special Names'!A:B,2,FALSE),B598),PlayerValues!E:E,0)),"N/A")</f>
        <v>13635</v>
      </c>
      <c r="B598" s="4" t="s">
        <v>424</v>
      </c>
      <c r="C598" s="4" t="s">
        <v>287</v>
      </c>
      <c r="D598" s="94">
        <v>3811.0</v>
      </c>
    </row>
    <row r="599">
      <c r="A599" s="40" t="str">
        <f t="array" ref="A599">IFNA(index(PlayerValues!A:A,match(IFNA(vlookup(B599,'Special Names'!A:B,2,FALSE),B599),PlayerValues!E:E,0)),"N/A")</f>
        <v>N/A</v>
      </c>
      <c r="B599" s="4" t="s">
        <v>95</v>
      </c>
      <c r="C599" s="4" t="s">
        <v>325</v>
      </c>
      <c r="D599" s="94">
        <v>3809.0</v>
      </c>
    </row>
    <row r="600">
      <c r="A600" s="40">
        <f t="array" ref="A600">IFNA(index(PlayerValues!A:A,match(IFNA(vlookup(B600,'Special Names'!A:B,2,FALSE),B600),PlayerValues!E:E,0)),"N/A")</f>
        <v>16186</v>
      </c>
      <c r="B600" s="4" t="s">
        <v>425</v>
      </c>
      <c r="C600" s="4" t="s">
        <v>287</v>
      </c>
      <c r="D600" s="94">
        <v>3788.0</v>
      </c>
    </row>
    <row r="601">
      <c r="A601" s="40">
        <f t="array" ref="A601">IFNA(index(PlayerValues!A:A,match(IFNA(vlookup(B601,'Special Names'!A:B,2,FALSE),B601),PlayerValues!E:E,0)),"N/A")</f>
        <v>16148</v>
      </c>
      <c r="B601" s="4" t="s">
        <v>426</v>
      </c>
      <c r="C601" s="4" t="s">
        <v>283</v>
      </c>
      <c r="D601" s="94">
        <v>3755.0</v>
      </c>
    </row>
    <row r="602">
      <c r="A602" s="40">
        <f t="array" ref="A602">IFNA(index(PlayerValues!A:A,match(IFNA(vlookup(B602,'Special Names'!A:B,2,FALSE),B602),PlayerValues!E:E,0)),"N/A")</f>
        <v>16597</v>
      </c>
      <c r="B602" s="4" t="s">
        <v>427</v>
      </c>
      <c r="C602" s="4" t="s">
        <v>278</v>
      </c>
      <c r="D602" s="94">
        <v>3753.0</v>
      </c>
    </row>
    <row r="603">
      <c r="A603" s="40">
        <f t="array" ref="A603">IFNA(index(PlayerValues!A:A,match(IFNA(vlookup(B603,'Special Names'!A:B,2,FALSE),B603),PlayerValues!E:E,0)),"N/A")</f>
        <v>9431</v>
      </c>
      <c r="B603" s="4" t="s">
        <v>428</v>
      </c>
      <c r="C603" s="4" t="s">
        <v>283</v>
      </c>
      <c r="D603" s="94">
        <v>3735.0</v>
      </c>
    </row>
    <row r="604">
      <c r="A604" s="40">
        <f t="array" ref="A604">IFNA(index(PlayerValues!A:A,match(IFNA(vlookup(B604,'Special Names'!A:B,2,FALSE),B604),PlayerValues!E:E,0)),"N/A")</f>
        <v>17075</v>
      </c>
      <c r="B604" s="4" t="s">
        <v>429</v>
      </c>
      <c r="C604" s="4" t="s">
        <v>287</v>
      </c>
      <c r="D604" s="94">
        <v>3729.0</v>
      </c>
    </row>
    <row r="605">
      <c r="A605" s="40">
        <f t="array" ref="A605">IFNA(index(PlayerValues!A:A,match(IFNA(vlookup(B605,'Special Names'!A:B,2,FALSE),B605),PlayerValues!E:E,0)),"N/A")</f>
        <v>17500</v>
      </c>
      <c r="B605" s="4" t="s">
        <v>430</v>
      </c>
      <c r="C605" s="4" t="s">
        <v>287</v>
      </c>
      <c r="D605" s="94">
        <v>3722.0</v>
      </c>
    </row>
    <row r="606">
      <c r="A606" s="40">
        <f t="array" ref="A606">IFNA(index(PlayerValues!A:A,match(IFNA(vlookup(B606,'Special Names'!A:B,2,FALSE),B606),PlayerValues!E:E,0)),"N/A")</f>
        <v>16206</v>
      </c>
      <c r="B606" s="4" t="s">
        <v>431</v>
      </c>
      <c r="C606" s="4" t="s">
        <v>287</v>
      </c>
      <c r="D606" s="94">
        <v>3720.0</v>
      </c>
    </row>
    <row r="607">
      <c r="A607" s="40">
        <f t="array" ref="A607">IFNA(index(PlayerValues!A:A,match(IFNA(vlookup(B607,'Special Names'!A:B,2,FALSE),B607),PlayerValues!E:E,0)),"N/A")</f>
        <v>15768</v>
      </c>
      <c r="B607" s="4" t="s">
        <v>432</v>
      </c>
      <c r="C607" s="4" t="s">
        <v>287</v>
      </c>
      <c r="D607" s="94">
        <v>3716.0</v>
      </c>
    </row>
    <row r="608">
      <c r="A608" s="40">
        <f t="array" ref="A608">IFNA(index(PlayerValues!A:A,match(IFNA(vlookup(B608,'Special Names'!A:B,2,FALSE),B608),PlayerValues!E:E,0)),"N/A")</f>
        <v>17463</v>
      </c>
      <c r="B608" s="4" t="s">
        <v>433</v>
      </c>
      <c r="C608" s="4" t="s">
        <v>283</v>
      </c>
      <c r="D608" s="94">
        <v>3706.0</v>
      </c>
    </row>
    <row r="609">
      <c r="A609" s="40">
        <f t="array" ref="A609">IFNA(index(PlayerValues!A:A,match(IFNA(vlookup(B609,'Special Names'!A:B,2,FALSE),B609),PlayerValues!E:E,0)),"N/A")</f>
        <v>15694</v>
      </c>
      <c r="B609" s="4" t="s">
        <v>434</v>
      </c>
      <c r="C609" s="4" t="s">
        <v>283</v>
      </c>
      <c r="D609" s="94">
        <v>3700.0</v>
      </c>
    </row>
    <row r="610">
      <c r="A610" s="40">
        <f t="array" ref="A610">IFNA(index(PlayerValues!A:A,match(IFNA(vlookup(B610,'Special Names'!A:B,2,FALSE),B610),PlayerValues!E:E,0)),"N/A")</f>
        <v>14059</v>
      </c>
      <c r="B610" s="4" t="s">
        <v>435</v>
      </c>
      <c r="C610" s="4" t="s">
        <v>283</v>
      </c>
      <c r="D610" s="94">
        <v>3689.0</v>
      </c>
    </row>
    <row r="611">
      <c r="A611" s="40">
        <f t="array" ref="A611">IFNA(index(PlayerValues!A:A,match(IFNA(vlookup(B611,'Special Names'!A:B,2,FALSE),B611),PlayerValues!E:E,0)),"N/A")</f>
        <v>17543</v>
      </c>
      <c r="B611" s="4" t="s">
        <v>436</v>
      </c>
      <c r="C611" s="4" t="s">
        <v>298</v>
      </c>
      <c r="D611" s="94">
        <v>4113.0</v>
      </c>
    </row>
    <row r="612">
      <c r="A612" s="40">
        <f t="array" ref="A612">IFNA(index(PlayerValues!A:A,match(IFNA(vlookup(B612,'Special Names'!A:B,2,FALSE),B612),PlayerValues!E:E,0)),"N/A")</f>
        <v>14109</v>
      </c>
      <c r="B612" s="4" t="s">
        <v>437</v>
      </c>
      <c r="C612" s="4" t="s">
        <v>287</v>
      </c>
      <c r="D612" s="94">
        <v>3557.0</v>
      </c>
    </row>
    <row r="613">
      <c r="A613" s="40">
        <f t="array" ref="A613">IFNA(index(PlayerValues!A:A,match(IFNA(vlookup(B613,'Special Names'!A:B,2,FALSE),B613),PlayerValues!E:E,0)),"N/A")</f>
        <v>11675</v>
      </c>
      <c r="B613" s="4" t="s">
        <v>438</v>
      </c>
      <c r="C613" s="4" t="s">
        <v>287</v>
      </c>
      <c r="D613" s="94">
        <v>3545.0</v>
      </c>
    </row>
    <row r="614">
      <c r="A614" s="40">
        <f t="array" ref="A614">IFNA(index(PlayerValues!A:A,match(IFNA(vlookup(B614,'Special Names'!A:B,2,FALSE),B614),PlayerValues!E:E,0)),"N/A")</f>
        <v>16188</v>
      </c>
      <c r="B614" s="4" t="s">
        <v>439</v>
      </c>
      <c r="C614" s="4" t="s">
        <v>287</v>
      </c>
      <c r="D614" s="94">
        <v>3544.0</v>
      </c>
    </row>
    <row r="615">
      <c r="A615" s="40">
        <f t="array" ref="A615">IFNA(index(PlayerValues!A:A,match(IFNA(vlookup(B615,'Special Names'!A:B,2,FALSE),B615),PlayerValues!E:E,0)),"N/A")</f>
        <v>14071</v>
      </c>
      <c r="B615" s="4" t="s">
        <v>440</v>
      </c>
      <c r="C615" s="4" t="s">
        <v>278</v>
      </c>
      <c r="D615" s="94">
        <v>3520.0</v>
      </c>
    </row>
    <row r="616">
      <c r="A616" s="40">
        <f t="array" ref="A616">IFNA(index(PlayerValues!A:A,match(IFNA(vlookup(B616,'Special Names'!A:B,2,FALSE),B616),PlayerValues!E:E,0)),"N/A")</f>
        <v>16187</v>
      </c>
      <c r="B616" s="4" t="s">
        <v>441</v>
      </c>
      <c r="C616" s="4" t="s">
        <v>287</v>
      </c>
      <c r="D616" s="94">
        <v>3497.0</v>
      </c>
    </row>
    <row r="617">
      <c r="A617" s="40">
        <f t="array" ref="A617">IFNA(index(PlayerValues!A:A,match(IFNA(vlookup(B617,'Special Names'!A:B,2,FALSE),B617),PlayerValues!E:E,0)),"N/A")</f>
        <v>16593</v>
      </c>
      <c r="B617" s="4" t="s">
        <v>442</v>
      </c>
      <c r="C617" s="4" t="s">
        <v>278</v>
      </c>
      <c r="D617" s="94">
        <v>3463.0</v>
      </c>
    </row>
    <row r="618">
      <c r="A618" s="40" t="str">
        <f t="array" ref="A618">IFNA(index(PlayerValues!A:A,match(IFNA(vlookup(B618,'Special Names'!A:B,2,FALSE),B618),PlayerValues!E:E,0)),"N/A")</f>
        <v>N/A</v>
      </c>
      <c r="B618" s="4" t="s">
        <v>96</v>
      </c>
      <c r="C618" s="4" t="s">
        <v>325</v>
      </c>
      <c r="D618" s="94">
        <v>3442.0</v>
      </c>
    </row>
    <row r="619">
      <c r="A619" s="40">
        <f t="array" ref="A619">IFNA(index(PlayerValues!A:A,match(IFNA(vlookup(B619,'Special Names'!A:B,2,FALSE),B619),PlayerValues!E:E,0)),"N/A")</f>
        <v>15798</v>
      </c>
      <c r="B619" s="4" t="s">
        <v>443</v>
      </c>
      <c r="C619" s="4" t="s">
        <v>298</v>
      </c>
      <c r="D619" s="94">
        <v>3894.0</v>
      </c>
    </row>
    <row r="620">
      <c r="A620" s="40" t="str">
        <f t="array" ref="A620">IFNA(index(PlayerValues!A:A,match(IFNA(vlookup(B620,'Special Names'!A:B,2,FALSE),B620),PlayerValues!E:E,0)),"N/A")</f>
        <v>N/A</v>
      </c>
      <c r="B620" s="4" t="s">
        <v>82</v>
      </c>
      <c r="C620" s="4" t="s">
        <v>325</v>
      </c>
      <c r="D620" s="94">
        <v>3387.0</v>
      </c>
    </row>
    <row r="621">
      <c r="A621" s="40">
        <f t="array" ref="A621">IFNA(index(PlayerValues!A:A,match(IFNA(vlookup(B621,'Special Names'!A:B,2,FALSE),B621),PlayerValues!E:E,0)),"N/A")</f>
        <v>14102</v>
      </c>
      <c r="B621" s="4" t="s">
        <v>444</v>
      </c>
      <c r="C621" s="4" t="s">
        <v>287</v>
      </c>
      <c r="D621" s="94">
        <v>3360.0</v>
      </c>
    </row>
    <row r="622">
      <c r="A622" s="40">
        <f t="array" ref="A622">IFNA(index(PlayerValues!A:A,match(IFNA(vlookup(B622,'Special Names'!A:B,2,FALSE),B622),PlayerValues!E:E,0)),"N/A")</f>
        <v>16184</v>
      </c>
      <c r="B622" s="4" t="s">
        <v>445</v>
      </c>
      <c r="C622" s="4" t="s">
        <v>287</v>
      </c>
      <c r="D622" s="94">
        <v>3349.0</v>
      </c>
    </row>
    <row r="623">
      <c r="A623" s="40">
        <f t="array" ref="A623">IFNA(index(PlayerValues!A:A,match(IFNA(vlookup(B623,'Special Names'!A:B,2,FALSE),B623),PlayerValues!E:E,0)),"N/A")</f>
        <v>17066</v>
      </c>
      <c r="B623" s="4" t="s">
        <v>446</v>
      </c>
      <c r="C623" s="4" t="s">
        <v>278</v>
      </c>
      <c r="D623" s="94">
        <v>3320.0</v>
      </c>
    </row>
    <row r="624">
      <c r="A624" s="40">
        <f t="array" ref="A624">IFNA(index(PlayerValues!A:A,match(IFNA(vlookup(B624,'Special Names'!A:B,2,FALSE),B624),PlayerValues!E:E,0)),"N/A")</f>
        <v>15742</v>
      </c>
      <c r="B624" s="4" t="s">
        <v>447</v>
      </c>
      <c r="C624" s="4" t="s">
        <v>278</v>
      </c>
      <c r="D624" s="94">
        <v>3319.0</v>
      </c>
    </row>
    <row r="625">
      <c r="A625" s="40">
        <f t="array" ref="A625">IFNA(index(PlayerValues!A:A,match(IFNA(vlookup(B625,'Special Names'!A:B,2,FALSE),B625),PlayerValues!E:E,0)),"N/A")</f>
        <v>13299</v>
      </c>
      <c r="B625" s="4" t="s">
        <v>448</v>
      </c>
      <c r="C625" s="4" t="s">
        <v>298</v>
      </c>
      <c r="D625" s="94">
        <v>3755.0</v>
      </c>
    </row>
    <row r="626">
      <c r="A626" s="40">
        <f t="array" ref="A626">IFNA(index(PlayerValues!A:A,match(IFNA(vlookup(B626,'Special Names'!A:B,2,FALSE),B626),PlayerValues!E:E,0)),"N/A")</f>
        <v>15757</v>
      </c>
      <c r="B626" s="4" t="s">
        <v>449</v>
      </c>
      <c r="C626" s="4" t="s">
        <v>287</v>
      </c>
      <c r="D626" s="94">
        <v>3309.0</v>
      </c>
    </row>
    <row r="627">
      <c r="A627" s="40">
        <f t="array" ref="A627">IFNA(index(PlayerValues!A:A,match(IFNA(vlookup(B627,'Special Names'!A:B,2,FALSE),B627),PlayerValues!E:E,0)),"N/A")</f>
        <v>17068</v>
      </c>
      <c r="B627" s="4" t="s">
        <v>450</v>
      </c>
      <c r="C627" s="4" t="s">
        <v>278</v>
      </c>
      <c r="D627" s="94">
        <v>3301.0</v>
      </c>
    </row>
    <row r="628">
      <c r="A628" s="40">
        <f t="array" ref="A628">IFNA(index(PlayerValues!A:A,match(IFNA(vlookup(B628,'Special Names'!A:B,2,FALSE),B628),PlayerValues!E:E,0)),"N/A")</f>
        <v>17502</v>
      </c>
      <c r="B628" s="4" t="s">
        <v>451</v>
      </c>
      <c r="C628" s="4" t="s">
        <v>287</v>
      </c>
      <c r="D628" s="94">
        <v>3298.0</v>
      </c>
    </row>
    <row r="629">
      <c r="A629" s="40">
        <f t="array" ref="A629">IFNA(index(PlayerValues!A:A,match(IFNA(vlookup(B629,'Special Names'!A:B,2,FALSE),B629),PlayerValues!E:E,0)),"N/A")</f>
        <v>17477</v>
      </c>
      <c r="B629" s="4" t="s">
        <v>452</v>
      </c>
      <c r="C629" s="4" t="s">
        <v>278</v>
      </c>
      <c r="D629" s="94">
        <v>3292.0</v>
      </c>
    </row>
    <row r="630">
      <c r="A630" s="40" t="str">
        <f t="array" ref="A630">IFNA(index(PlayerValues!A:A,match(IFNA(vlookup(B630,'Special Names'!A:B,2,FALSE),B630),PlayerValues!E:E,0)),"N/A")</f>
        <v>N/A</v>
      </c>
      <c r="B630" s="4" t="s">
        <v>108</v>
      </c>
      <c r="C630" s="4" t="s">
        <v>325</v>
      </c>
      <c r="D630" s="94">
        <v>3286.0</v>
      </c>
    </row>
    <row r="631">
      <c r="A631" s="40">
        <f t="array" ref="A631">IFNA(index(PlayerValues!A:A,match(IFNA(vlookup(B631,'Special Names'!A:B,2,FALSE),B631),PlayerValues!E:E,0)),"N/A")</f>
        <v>15259</v>
      </c>
      <c r="B631" s="4" t="s">
        <v>453</v>
      </c>
      <c r="C631" s="4" t="s">
        <v>278</v>
      </c>
      <c r="D631" s="94">
        <v>3278.0</v>
      </c>
    </row>
    <row r="632">
      <c r="A632" s="40">
        <f t="array" ref="A632">IFNA(index(PlayerValues!A:A,match(IFNA(vlookup(B632,'Special Names'!A:B,2,FALSE),B632),PlayerValues!E:E,0)),"N/A")</f>
        <v>17517</v>
      </c>
      <c r="B632" s="4" t="s">
        <v>454</v>
      </c>
      <c r="C632" s="4" t="s">
        <v>287</v>
      </c>
      <c r="D632" s="94">
        <v>3253.0</v>
      </c>
    </row>
    <row r="633">
      <c r="A633" s="40">
        <f t="array" ref="A633">IFNA(index(PlayerValues!A:A,match(IFNA(vlookup(B633,'Special Names'!A:B,2,FALSE),B633),PlayerValues!E:E,0)),"N/A")</f>
        <v>16809</v>
      </c>
      <c r="B633" s="4" t="s">
        <v>455</v>
      </c>
      <c r="C633" s="4" t="s">
        <v>287</v>
      </c>
      <c r="D633" s="94">
        <v>3252.0</v>
      </c>
    </row>
    <row r="634">
      <c r="A634" s="40">
        <f t="array" ref="A634">IFNA(index(PlayerValues!A:A,match(IFNA(vlookup(B634,'Special Names'!A:B,2,FALSE),B634),PlayerValues!E:E,0)),"N/A")</f>
        <v>14842</v>
      </c>
      <c r="B634" s="4" t="s">
        <v>456</v>
      </c>
      <c r="C634" s="4" t="s">
        <v>287</v>
      </c>
      <c r="D634" s="94">
        <v>3241.0</v>
      </c>
    </row>
    <row r="635">
      <c r="A635" s="40">
        <f t="array" ref="A635">IFNA(index(PlayerValues!A:A,match(IFNA(vlookup(B635,'Special Names'!A:B,2,FALSE),B635),PlayerValues!E:E,0)),"N/A")</f>
        <v>16169</v>
      </c>
      <c r="B635" s="4" t="s">
        <v>457</v>
      </c>
      <c r="C635" s="4" t="s">
        <v>278</v>
      </c>
      <c r="D635" s="94">
        <v>3231.0</v>
      </c>
    </row>
    <row r="636">
      <c r="A636" s="40">
        <f t="array" ref="A636">IFNA(index(PlayerValues!A:A,match(IFNA(vlookup(B636,'Special Names'!A:B,2,FALSE),B636),PlayerValues!E:E,0)),"N/A")</f>
        <v>16213</v>
      </c>
      <c r="B636" s="4" t="s">
        <v>458</v>
      </c>
      <c r="C636" s="4" t="s">
        <v>298</v>
      </c>
      <c r="D636" s="94">
        <v>3663.0</v>
      </c>
    </row>
    <row r="637">
      <c r="A637" s="40" t="str">
        <f t="array" ref="A637">IFNA(index(PlayerValues!A:A,match(IFNA(vlookup(B637,'Special Names'!A:B,2,FALSE),B637),PlayerValues!E:E,0)),"N/A")</f>
        <v>N/A</v>
      </c>
      <c r="B637" s="4" t="s">
        <v>97</v>
      </c>
      <c r="C637" s="4" t="s">
        <v>325</v>
      </c>
      <c r="D637" s="94">
        <v>3210.0</v>
      </c>
    </row>
    <row r="638">
      <c r="A638" s="40">
        <f t="array" ref="A638">IFNA(index(PlayerValues!A:A,match(IFNA(vlookup(B638,'Special Names'!A:B,2,FALSE),B638),PlayerValues!E:E,0)),"N/A")</f>
        <v>14823</v>
      </c>
      <c r="B638" s="4" t="s">
        <v>459</v>
      </c>
      <c r="C638" s="4" t="s">
        <v>278</v>
      </c>
      <c r="D638" s="94">
        <v>3195.0</v>
      </c>
    </row>
    <row r="639">
      <c r="A639" s="40">
        <f t="array" ref="A639">IFNA(index(PlayerValues!A:A,match(IFNA(vlookup(B639,'Special Names'!A:B,2,FALSE),B639),PlayerValues!E:E,0)),"N/A")</f>
        <v>17482</v>
      </c>
      <c r="B639" s="4" t="s">
        <v>460</v>
      </c>
      <c r="C639" s="4" t="s">
        <v>278</v>
      </c>
      <c r="D639" s="94">
        <v>3194.0</v>
      </c>
    </row>
    <row r="640">
      <c r="A640" s="40">
        <f t="array" ref="A640">IFNA(index(PlayerValues!A:A,match(IFNA(vlookup(B640,'Special Names'!A:B,2,FALSE),B640),PlayerValues!E:E,0)),"N/A")</f>
        <v>15779</v>
      </c>
      <c r="B640" s="4" t="s">
        <v>461</v>
      </c>
      <c r="C640" s="4" t="s">
        <v>287</v>
      </c>
      <c r="D640" s="94">
        <v>3191.0</v>
      </c>
    </row>
    <row r="641">
      <c r="A641" s="40">
        <f t="array" ref="A641">IFNA(index(PlayerValues!A:A,match(IFNA(vlookup(B641,'Special Names'!A:B,2,FALSE),B641),PlayerValues!E:E,0)),"N/A")</f>
        <v>17256</v>
      </c>
      <c r="B641" s="4" t="s">
        <v>462</v>
      </c>
      <c r="C641" s="4" t="s">
        <v>278</v>
      </c>
      <c r="D641" s="94">
        <v>3181.0</v>
      </c>
    </row>
    <row r="642">
      <c r="A642" s="40" t="str">
        <f t="array" ref="A642">IFNA(index(PlayerValues!A:A,match(IFNA(vlookup(B642,'Special Names'!A:B,2,FALSE),B642),PlayerValues!E:E,0)),"N/A")</f>
        <v>N/A</v>
      </c>
      <c r="B642" s="4" t="s">
        <v>84</v>
      </c>
      <c r="C642" s="4" t="s">
        <v>325</v>
      </c>
      <c r="D642" s="94">
        <v>3175.0</v>
      </c>
    </row>
    <row r="643">
      <c r="A643" s="40">
        <f t="array" ref="A643">IFNA(index(PlayerValues!A:A,match(IFNA(vlookup(B643,'Special Names'!A:B,2,FALSE),B643),PlayerValues!E:E,0)),"N/A")</f>
        <v>11671</v>
      </c>
      <c r="B643" s="4" t="s">
        <v>463</v>
      </c>
      <c r="C643" s="4" t="s">
        <v>287</v>
      </c>
      <c r="D643" s="94">
        <v>3149.0</v>
      </c>
    </row>
    <row r="644">
      <c r="A644" s="40">
        <f t="array" ref="A644">IFNA(index(PlayerValues!A:A,match(IFNA(vlookup(B644,'Special Names'!A:B,2,FALSE),B644),PlayerValues!E:E,0)),"N/A")</f>
        <v>14073</v>
      </c>
      <c r="B644" s="4" t="s">
        <v>464</v>
      </c>
      <c r="C644" s="4" t="s">
        <v>278</v>
      </c>
      <c r="D644" s="94">
        <v>3123.0</v>
      </c>
    </row>
    <row r="645">
      <c r="A645" s="40">
        <f t="array" ref="A645">IFNA(index(PlayerValues!A:A,match(IFNA(vlookup(B645,'Special Names'!A:B,2,FALSE),B645),PlayerValues!E:E,0)),"N/A")</f>
        <v>13630</v>
      </c>
      <c r="B645" s="4" t="s">
        <v>465</v>
      </c>
      <c r="C645" s="4" t="s">
        <v>287</v>
      </c>
      <c r="D645" s="94">
        <v>3120.0</v>
      </c>
    </row>
    <row r="646">
      <c r="A646" s="40" t="str">
        <f t="array" ref="A646">IFNA(index(PlayerValues!A:A,match(IFNA(vlookup(B646,'Special Names'!A:B,2,FALSE),B646),PlayerValues!E:E,0)),"N/A")</f>
        <v>N/A</v>
      </c>
      <c r="B646" s="4" t="s">
        <v>109</v>
      </c>
      <c r="C646" s="4" t="s">
        <v>325</v>
      </c>
      <c r="D646" s="94">
        <v>3079.0</v>
      </c>
    </row>
    <row r="647">
      <c r="A647" s="40">
        <f t="array" ref="A647">IFNA(index(PlayerValues!A:A,match(IFNA(vlookup(B647,'Special Names'!A:B,2,FALSE),B647),PlayerValues!E:E,0)),"N/A")</f>
        <v>15261</v>
      </c>
      <c r="B647" s="4" t="s">
        <v>466</v>
      </c>
      <c r="C647" s="4" t="s">
        <v>278</v>
      </c>
      <c r="D647" s="94">
        <v>3069.0</v>
      </c>
    </row>
    <row r="648">
      <c r="A648" s="40">
        <f t="array" ref="A648">IFNA(index(PlayerValues!A:A,match(IFNA(vlookup(B648,'Special Names'!A:B,2,FALSE),B648),PlayerValues!E:E,0)),"N/A")</f>
        <v>16620</v>
      </c>
      <c r="B648" s="4" t="s">
        <v>467</v>
      </c>
      <c r="C648" s="4" t="s">
        <v>287</v>
      </c>
      <c r="D648" s="94">
        <v>3061.0</v>
      </c>
    </row>
    <row r="649">
      <c r="A649" s="40">
        <f t="array" ref="A649">IFNA(index(PlayerValues!A:A,match(IFNA(vlookup(B649,'Special Names'!A:B,2,FALSE),B649),PlayerValues!E:E,0)),"N/A")</f>
        <v>15799</v>
      </c>
      <c r="B649" s="4" t="s">
        <v>468</v>
      </c>
      <c r="C649" s="4" t="s">
        <v>298</v>
      </c>
      <c r="D649" s="94">
        <v>3477.0</v>
      </c>
    </row>
    <row r="650">
      <c r="A650" s="40">
        <f t="array" ref="A650">IFNA(index(PlayerValues!A:A,match(IFNA(vlookup(B650,'Special Names'!A:B,2,FALSE),B650),PlayerValues!E:E,0)),"N/A")</f>
        <v>15972</v>
      </c>
      <c r="B650" s="4" t="s">
        <v>469</v>
      </c>
      <c r="C650" s="4" t="s">
        <v>278</v>
      </c>
      <c r="D650" s="94">
        <v>3037.0</v>
      </c>
    </row>
    <row r="651">
      <c r="A651" s="40">
        <f t="array" ref="A651">IFNA(index(PlayerValues!A:A,match(IFNA(vlookup(B651,'Special Names'!A:B,2,FALSE),B651),PlayerValues!E:E,0)),"N/A")</f>
        <v>17544</v>
      </c>
      <c r="B651" s="4" t="s">
        <v>470</v>
      </c>
      <c r="C651" s="4" t="s">
        <v>298</v>
      </c>
      <c r="D651" s="94">
        <v>3463.0</v>
      </c>
    </row>
    <row r="652">
      <c r="A652" s="40">
        <f t="array" ref="A652">IFNA(index(PlayerValues!A:A,match(IFNA(vlookup(B652,'Special Names'!A:B,2,FALSE),B652),PlayerValues!E:E,0)),"N/A")</f>
        <v>17506</v>
      </c>
      <c r="B652" s="4" t="s">
        <v>471</v>
      </c>
      <c r="C652" s="4" t="s">
        <v>287</v>
      </c>
      <c r="D652" s="94">
        <v>3033.0</v>
      </c>
    </row>
    <row r="653">
      <c r="A653" s="40">
        <f t="array" ref="A653">IFNA(index(PlayerValues!A:A,match(IFNA(vlookup(B653,'Special Names'!A:B,2,FALSE),B653),PlayerValues!E:E,0)),"N/A")</f>
        <v>14800</v>
      </c>
      <c r="B653" s="4" t="s">
        <v>472</v>
      </c>
      <c r="C653" s="4" t="s">
        <v>278</v>
      </c>
      <c r="D653" s="94">
        <v>3023.0</v>
      </c>
    </row>
    <row r="654">
      <c r="A654" s="40">
        <f t="array" ref="A654">IFNA(index(PlayerValues!A:A,match(IFNA(vlookup(B654,'Special Names'!A:B,2,FALSE),B654),PlayerValues!E:E,0)),"N/A")</f>
        <v>13163</v>
      </c>
      <c r="B654" s="4" t="s">
        <v>473</v>
      </c>
      <c r="C654" s="4" t="s">
        <v>287</v>
      </c>
      <c r="D654" s="94">
        <v>3022.0</v>
      </c>
    </row>
    <row r="655">
      <c r="A655" s="40">
        <f t="array" ref="A655">IFNA(index(PlayerValues!A:A,match(IFNA(vlookup(B655,'Special Names'!A:B,2,FALSE),B655),PlayerValues!E:E,0)),"N/A")</f>
        <v>17099</v>
      </c>
      <c r="B655" s="4" t="s">
        <v>474</v>
      </c>
      <c r="C655" s="4" t="s">
        <v>298</v>
      </c>
      <c r="D655" s="94">
        <v>3437.0</v>
      </c>
    </row>
    <row r="656">
      <c r="A656" s="40">
        <f t="array" ref="A656">IFNA(index(PlayerValues!A:A,match(IFNA(vlookup(B656,'Special Names'!A:B,2,FALSE),B656),PlayerValues!E:E,0)),"N/A")</f>
        <v>17074</v>
      </c>
      <c r="B656" s="4" t="s">
        <v>475</v>
      </c>
      <c r="C656" s="4" t="s">
        <v>287</v>
      </c>
      <c r="D656" s="94">
        <v>3003.0</v>
      </c>
    </row>
    <row r="657">
      <c r="A657" s="40">
        <f t="array" ref="A657">IFNA(index(PlayerValues!A:A,match(IFNA(vlookup(B657,'Special Names'!A:B,2,FALSE),B657),PlayerValues!E:E,0)),"N/A")</f>
        <v>16604</v>
      </c>
      <c r="B657" s="4" t="s">
        <v>476</v>
      </c>
      <c r="C657" s="4" t="s">
        <v>278</v>
      </c>
      <c r="D657" s="94">
        <v>2997.0</v>
      </c>
    </row>
    <row r="658">
      <c r="A658" s="40">
        <f t="array" ref="A658">IFNA(index(PlayerValues!A:A,match(IFNA(vlookup(B658,'Special Names'!A:B,2,FALSE),B658),PlayerValues!E:E,0)),"N/A")</f>
        <v>15255</v>
      </c>
      <c r="B658" s="4" t="s">
        <v>477</v>
      </c>
      <c r="C658" s="4" t="s">
        <v>278</v>
      </c>
      <c r="D658" s="94">
        <v>2965.0</v>
      </c>
    </row>
    <row r="659">
      <c r="A659" s="40">
        <f t="array" ref="A659">IFNA(index(PlayerValues!A:A,match(IFNA(vlookup(B659,'Special Names'!A:B,2,FALSE),B659),PlayerValues!E:E,0)),"N/A")</f>
        <v>17107</v>
      </c>
      <c r="B659" s="4" t="s">
        <v>478</v>
      </c>
      <c r="C659" s="4" t="s">
        <v>298</v>
      </c>
      <c r="D659" s="94">
        <v>3383.0</v>
      </c>
    </row>
    <row r="660">
      <c r="A660" s="40">
        <f t="array" ref="A660">IFNA(index(PlayerValues!A:A,match(IFNA(vlookup(B660,'Special Names'!A:B,2,FALSE),B660),PlayerValues!E:E,0)),"N/A")</f>
        <v>17083</v>
      </c>
      <c r="B660" s="4" t="s">
        <v>479</v>
      </c>
      <c r="C660" s="4" t="s">
        <v>287</v>
      </c>
      <c r="D660" s="94">
        <v>2927.0</v>
      </c>
    </row>
    <row r="661">
      <c r="A661" s="40">
        <f t="array" ref="A661">IFNA(index(PlayerValues!A:A,match(IFNA(vlookup(B661,'Special Names'!A:B,2,FALSE),B661),PlayerValues!E:E,0)),"N/A")</f>
        <v>17503</v>
      </c>
      <c r="B661" s="4" t="s">
        <v>480</v>
      </c>
      <c r="C661" s="4" t="s">
        <v>287</v>
      </c>
      <c r="D661" s="94">
        <v>2905.0</v>
      </c>
    </row>
    <row r="662">
      <c r="A662" s="40">
        <f t="array" ref="A662">IFNA(index(PlayerValues!A:A,match(IFNA(vlookup(B662,'Special Names'!A:B,2,FALSE),B662),PlayerValues!E:E,0)),"N/A")</f>
        <v>16269</v>
      </c>
      <c r="B662" s="4" t="s">
        <v>481</v>
      </c>
      <c r="C662" s="4" t="s">
        <v>298</v>
      </c>
      <c r="D662" s="94">
        <v>3323.0</v>
      </c>
    </row>
    <row r="663">
      <c r="A663" s="40" t="str">
        <f t="array" ref="A663">IFNA(index(PlayerValues!A:A,match(IFNA(vlookup(B663,'Special Names'!A:B,2,FALSE),B663),PlayerValues!E:E,0)),"N/A")</f>
        <v>N/A</v>
      </c>
      <c r="B663" s="4" t="s">
        <v>85</v>
      </c>
      <c r="C663" s="4" t="s">
        <v>325</v>
      </c>
      <c r="D663" s="94">
        <v>2893.0</v>
      </c>
    </row>
    <row r="664">
      <c r="A664" s="40">
        <f t="array" ref="A664">IFNA(index(PlayerValues!A:A,match(IFNA(vlookup(B664,'Special Names'!A:B,2,FALSE),B664),PlayerValues!E:E,0)),"N/A")</f>
        <v>17518</v>
      </c>
      <c r="B664" s="4" t="s">
        <v>482</v>
      </c>
      <c r="C664" s="4" t="s">
        <v>287</v>
      </c>
      <c r="D664" s="94">
        <v>2888.0</v>
      </c>
    </row>
    <row r="665">
      <c r="A665" s="40">
        <f t="array" ref="A665">IFNA(index(PlayerValues!A:A,match(IFNA(vlookup(B665,'Special Names'!A:B,2,FALSE),B665),PlayerValues!E:E,0)),"N/A")</f>
        <v>17512</v>
      </c>
      <c r="B665" s="4" t="s">
        <v>483</v>
      </c>
      <c r="C665" s="4" t="s">
        <v>287</v>
      </c>
      <c r="D665" s="94">
        <v>2871.0</v>
      </c>
    </row>
    <row r="666">
      <c r="A666" s="40">
        <f t="array" ref="A666">IFNA(index(PlayerValues!A:A,match(IFNA(vlookup(B666,'Special Names'!A:B,2,FALSE),B666),PlayerValues!E:E,0)),"N/A")</f>
        <v>17053</v>
      </c>
      <c r="B666" s="4" t="s">
        <v>484</v>
      </c>
      <c r="C666" s="4" t="s">
        <v>278</v>
      </c>
      <c r="D666" s="94">
        <v>2867.0</v>
      </c>
    </row>
    <row r="667">
      <c r="A667" s="40">
        <f t="array" ref="A667">IFNA(index(PlayerValues!A:A,match(IFNA(vlookup(B667,'Special Names'!A:B,2,FALSE),B667),PlayerValues!E:E,0)),"N/A")</f>
        <v>17511</v>
      </c>
      <c r="B667" s="4" t="s">
        <v>485</v>
      </c>
      <c r="C667" s="4" t="s">
        <v>287</v>
      </c>
      <c r="D667" s="94">
        <v>2831.0</v>
      </c>
    </row>
    <row r="668">
      <c r="A668" s="40">
        <f t="array" ref="A668">IFNA(index(PlayerValues!A:A,match(IFNA(vlookup(B668,'Special Names'!A:B,2,FALSE),B668),PlayerValues!E:E,0)),"N/A")</f>
        <v>14127</v>
      </c>
      <c r="B668" s="4" t="s">
        <v>486</v>
      </c>
      <c r="C668" s="4" t="s">
        <v>287</v>
      </c>
      <c r="D668" s="94">
        <v>2824.0</v>
      </c>
    </row>
    <row r="669">
      <c r="A669" s="40">
        <f t="array" ref="A669">IFNA(index(PlayerValues!A:A,match(IFNA(vlookup(B669,'Special Names'!A:B,2,FALSE),B669),PlayerValues!E:E,0)),"N/A")</f>
        <v>16193</v>
      </c>
      <c r="B669" s="4" t="s">
        <v>487</v>
      </c>
      <c r="C669" s="4" t="s">
        <v>287</v>
      </c>
      <c r="D669" s="94">
        <v>2810.0</v>
      </c>
    </row>
    <row r="670">
      <c r="A670" s="40">
        <f t="array" ref="A670">IFNA(index(PlayerValues!A:A,match(IFNA(vlookup(B670,'Special Names'!A:B,2,FALSE),B670),PlayerValues!E:E,0)),"N/A")</f>
        <v>15712</v>
      </c>
      <c r="B670" s="4" t="s">
        <v>488</v>
      </c>
      <c r="C670" s="4" t="s">
        <v>278</v>
      </c>
      <c r="D670" s="94">
        <v>2806.0</v>
      </c>
    </row>
    <row r="671">
      <c r="A671" s="40" t="str">
        <f t="array" ref="A671">IFNA(index(PlayerValues!A:A,match(IFNA(vlookup(B671,'Special Names'!A:B,2,FALSE),B671),PlayerValues!E:E,0)),"N/A")</f>
        <v>N/A</v>
      </c>
      <c r="B671" s="4" t="s">
        <v>110</v>
      </c>
      <c r="C671" s="4" t="s">
        <v>325</v>
      </c>
      <c r="D671" s="94">
        <v>2803.0</v>
      </c>
    </row>
    <row r="672">
      <c r="A672" s="40">
        <f t="array" ref="A672">IFNA(index(PlayerValues!A:A,match(IFNA(vlookup(B672,'Special Names'!A:B,2,FALSE),B672),PlayerValues!E:E,0)),"N/A")</f>
        <v>14085</v>
      </c>
      <c r="B672" s="4" t="s">
        <v>489</v>
      </c>
      <c r="C672" s="4" t="s">
        <v>278</v>
      </c>
      <c r="D672" s="94">
        <v>2792.0</v>
      </c>
    </row>
    <row r="673">
      <c r="A673" s="40">
        <f t="array" ref="A673">IFNA(index(PlayerValues!A:A,match(IFNA(vlookup(B673,'Special Names'!A:B,2,FALSE),B673),PlayerValues!E:E,0)),"N/A")</f>
        <v>16628</v>
      </c>
      <c r="B673" s="4" t="s">
        <v>490</v>
      </c>
      <c r="C673" s="4" t="s">
        <v>287</v>
      </c>
      <c r="D673" s="94">
        <v>2791.0</v>
      </c>
    </row>
    <row r="674">
      <c r="A674" s="40">
        <f t="array" ref="A674">IFNA(index(PlayerValues!A:A,match(IFNA(vlookup(B674,'Special Names'!A:B,2,FALSE),B674),PlayerValues!E:E,0)),"N/A")</f>
        <v>15761</v>
      </c>
      <c r="B674" s="4" t="s">
        <v>491</v>
      </c>
      <c r="C674" s="4" t="s">
        <v>287</v>
      </c>
      <c r="D674" s="94">
        <v>2776.0</v>
      </c>
    </row>
    <row r="675">
      <c r="A675" s="40">
        <f t="array" ref="A675">IFNA(index(PlayerValues!A:A,match(IFNA(vlookup(B675,'Special Names'!A:B,2,FALSE),B675),PlayerValues!E:E,0)),"N/A")</f>
        <v>17466</v>
      </c>
      <c r="B675" s="4" t="s">
        <v>492</v>
      </c>
      <c r="C675" s="4" t="s">
        <v>283</v>
      </c>
      <c r="D675" s="94">
        <v>2768.0</v>
      </c>
    </row>
    <row r="676">
      <c r="A676" s="40">
        <f t="array" ref="A676">IFNA(index(PlayerValues!A:A,match(IFNA(vlookup(B676,'Special Names'!A:B,2,FALSE),B676),PlayerValues!E:E,0)),"N/A")</f>
        <v>16583</v>
      </c>
      <c r="B676" s="4" t="s">
        <v>493</v>
      </c>
      <c r="C676" s="4" t="s">
        <v>283</v>
      </c>
      <c r="D676" s="94">
        <v>2767.0</v>
      </c>
    </row>
    <row r="677">
      <c r="A677" s="40">
        <f t="array" ref="A677">IFNA(index(PlayerValues!A:A,match(IFNA(vlookup(B677,'Special Names'!A:B,2,FALSE),B677),PlayerValues!E:E,0)),"N/A")</f>
        <v>17476</v>
      </c>
      <c r="B677" s="4" t="s">
        <v>494</v>
      </c>
      <c r="C677" s="4" t="s">
        <v>278</v>
      </c>
      <c r="D677" s="94">
        <v>2746.0</v>
      </c>
    </row>
    <row r="678">
      <c r="A678" s="40">
        <f t="array" ref="A678">IFNA(index(PlayerValues!A:A,match(IFNA(vlookup(B678,'Special Names'!A:B,2,FALSE),B678),PlayerValues!E:E,0)),"N/A")</f>
        <v>17507</v>
      </c>
      <c r="B678" s="4" t="s">
        <v>495</v>
      </c>
      <c r="C678" s="4" t="s">
        <v>287</v>
      </c>
      <c r="D678" s="94">
        <v>2728.0</v>
      </c>
    </row>
    <row r="679">
      <c r="A679" s="40">
        <f t="array" ref="A679">IFNA(index(PlayerValues!A:A,match(IFNA(vlookup(B679,'Special Names'!A:B,2,FALSE),B679),PlayerValues!E:E,0)),"N/A")</f>
        <v>17599</v>
      </c>
      <c r="B679" s="4" t="s">
        <v>496</v>
      </c>
      <c r="C679" s="4" t="s">
        <v>287</v>
      </c>
      <c r="D679" s="94">
        <v>2719.0</v>
      </c>
    </row>
    <row r="680">
      <c r="A680" s="40">
        <f t="array" ref="A680">IFNA(index(PlayerValues!A:A,match(IFNA(vlookup(B680,'Special Names'!A:B,2,FALSE),B680),PlayerValues!E:E,0)),"N/A")</f>
        <v>12186</v>
      </c>
      <c r="B680" s="4" t="s">
        <v>497</v>
      </c>
      <c r="C680" s="4" t="s">
        <v>287</v>
      </c>
      <c r="D680" s="94">
        <v>2676.0</v>
      </c>
    </row>
    <row r="681">
      <c r="A681" s="40">
        <f t="array" ref="A681">IFNA(index(PlayerValues!A:A,match(IFNA(vlookup(B681,'Special Names'!A:B,2,FALSE),B681),PlayerValues!E:E,0)),"N/A")</f>
        <v>17082</v>
      </c>
      <c r="B681" s="4" t="s">
        <v>498</v>
      </c>
      <c r="C681" s="4" t="s">
        <v>287</v>
      </c>
      <c r="D681" s="94">
        <v>2653.0</v>
      </c>
    </row>
    <row r="682">
      <c r="A682" s="40">
        <f t="array" ref="A682">IFNA(index(PlayerValues!A:A,match(IFNA(vlookup(B682,'Special Names'!A:B,2,FALSE),B682),PlayerValues!E:E,0)),"N/A")</f>
        <v>16080</v>
      </c>
      <c r="B682" s="4" t="s">
        <v>499</v>
      </c>
      <c r="C682" s="4" t="s">
        <v>287</v>
      </c>
      <c r="D682" s="94">
        <v>2647.0</v>
      </c>
    </row>
    <row r="683">
      <c r="A683" s="40">
        <f t="array" ref="A683">IFNA(index(PlayerValues!A:A,match(IFNA(vlookup(B683,'Special Names'!A:B,2,FALSE),B683),PlayerValues!E:E,0)),"N/A")</f>
        <v>16684</v>
      </c>
      <c r="B683" s="4" t="s">
        <v>500</v>
      </c>
      <c r="C683" s="4" t="s">
        <v>287</v>
      </c>
      <c r="D683" s="94">
        <v>2644.0</v>
      </c>
    </row>
    <row r="684">
      <c r="A684" s="40">
        <f t="array" ref="A684">IFNA(index(PlayerValues!A:A,match(IFNA(vlookup(B684,'Special Names'!A:B,2,FALSE),B684),PlayerValues!E:E,0)),"N/A")</f>
        <v>16596</v>
      </c>
      <c r="B684" s="4" t="s">
        <v>501</v>
      </c>
      <c r="C684" s="4" t="s">
        <v>278</v>
      </c>
      <c r="D684" s="94">
        <v>2640.0</v>
      </c>
    </row>
    <row r="685">
      <c r="A685" s="40">
        <f t="array" ref="A685">IFNA(index(PlayerValues!A:A,match(IFNA(vlookup(B685,'Special Names'!A:B,2,FALSE),B685),PlayerValues!E:E,0)),"N/A")</f>
        <v>16723</v>
      </c>
      <c r="B685" s="4" t="s">
        <v>502</v>
      </c>
      <c r="C685" s="4" t="s">
        <v>298</v>
      </c>
      <c r="D685" s="94">
        <v>3046.0</v>
      </c>
    </row>
    <row r="686">
      <c r="A686" s="40">
        <f t="array" ref="A686">IFNA(index(PlayerValues!A:A,match(IFNA(vlookup(B686,'Special Names'!A:B,2,FALSE),B686),PlayerValues!E:E,0)),"N/A")</f>
        <v>15889</v>
      </c>
      <c r="B686" s="4" t="s">
        <v>503</v>
      </c>
      <c r="C686" s="4" t="s">
        <v>298</v>
      </c>
      <c r="D686" s="94">
        <v>3046.0</v>
      </c>
    </row>
    <row r="687">
      <c r="A687" s="40">
        <f t="array" ref="A687">IFNA(index(PlayerValues!A:A,match(IFNA(vlookup(B687,'Special Names'!A:B,2,FALSE),B687),PlayerValues!E:E,0)),"N/A")</f>
        <v>15721</v>
      </c>
      <c r="B687" s="4" t="s">
        <v>504</v>
      </c>
      <c r="C687" s="4" t="s">
        <v>278</v>
      </c>
      <c r="D687" s="94">
        <v>2632.0</v>
      </c>
    </row>
    <row r="688">
      <c r="A688" s="40">
        <f t="array" ref="A688">IFNA(index(PlayerValues!A:A,match(IFNA(vlookup(B688,'Special Names'!A:B,2,FALSE),B688),PlayerValues!E:E,0)),"N/A")</f>
        <v>16174</v>
      </c>
      <c r="B688" s="4" t="s">
        <v>505</v>
      </c>
      <c r="C688" s="4" t="s">
        <v>278</v>
      </c>
      <c r="D688" s="94">
        <v>2624.0</v>
      </c>
    </row>
    <row r="689">
      <c r="A689" s="40">
        <f t="array" ref="A689">IFNA(index(PlayerValues!A:A,match(IFNA(vlookup(B689,'Special Names'!A:B,2,FALSE),B689),PlayerValues!E:E,0)),"N/A")</f>
        <v>13671</v>
      </c>
      <c r="B689" s="4" t="s">
        <v>506</v>
      </c>
      <c r="C689" s="4" t="s">
        <v>298</v>
      </c>
      <c r="D689" s="94">
        <v>3030.0</v>
      </c>
    </row>
    <row r="690">
      <c r="A690" s="40">
        <f t="array" ref="A690">IFNA(index(PlayerValues!A:A,match(IFNA(vlookup(B690,'Special Names'!A:B,2,FALSE),B690),PlayerValues!E:E,0)),"N/A")</f>
        <v>16178</v>
      </c>
      <c r="B690" s="4" t="s">
        <v>507</v>
      </c>
      <c r="C690" s="4" t="s">
        <v>278</v>
      </c>
      <c r="D690" s="94">
        <v>2615.0</v>
      </c>
    </row>
    <row r="691">
      <c r="A691" s="40">
        <f t="array" ref="A691">IFNA(index(PlayerValues!A:A,match(IFNA(vlookup(B691,'Special Names'!A:B,2,FALSE),B691),PlayerValues!E:E,0)),"N/A")</f>
        <v>17072</v>
      </c>
      <c r="B691" s="4" t="s">
        <v>508</v>
      </c>
      <c r="C691" s="4" t="s">
        <v>287</v>
      </c>
      <c r="D691" s="94">
        <v>2611.0</v>
      </c>
    </row>
    <row r="692">
      <c r="A692" s="40">
        <f t="array" ref="A692">IFNA(index(PlayerValues!A:A,match(IFNA(vlookup(B692,'Special Names'!A:B,2,FALSE),B692),PlayerValues!E:E,0)),"N/A")</f>
        <v>16195</v>
      </c>
      <c r="B692" s="4" t="s">
        <v>509</v>
      </c>
      <c r="C692" s="4" t="s">
        <v>287</v>
      </c>
      <c r="D692" s="94">
        <v>2597.0</v>
      </c>
    </row>
    <row r="693">
      <c r="A693" s="40">
        <f t="array" ref="A693">IFNA(index(PlayerValues!A:A,match(IFNA(vlookup(B693,'Special Names'!A:B,2,FALSE),B693),PlayerValues!E:E,0)),"N/A")</f>
        <v>17047</v>
      </c>
      <c r="B693" s="4" t="s">
        <v>510</v>
      </c>
      <c r="C693" s="4" t="s">
        <v>278</v>
      </c>
      <c r="D693" s="94">
        <v>2597.0</v>
      </c>
    </row>
    <row r="694">
      <c r="A694" s="40">
        <f t="array" ref="A694">IFNA(index(PlayerValues!A:A,match(IFNA(vlookup(B694,'Special Names'!A:B,2,FALSE),B694),PlayerValues!E:E,0)),"N/A")</f>
        <v>13674</v>
      </c>
      <c r="B694" s="4" t="s">
        <v>511</v>
      </c>
      <c r="C694" s="4" t="s">
        <v>298</v>
      </c>
      <c r="D694" s="94">
        <v>2996.0</v>
      </c>
    </row>
    <row r="695">
      <c r="A695" s="40" t="str">
        <f t="array" ref="A695">IFNA(index(PlayerValues!A:A,match(IFNA(vlookup(B695,'Special Names'!A:B,2,FALSE),B695),PlayerValues!E:E,0)),"N/A")</f>
        <v>N/A</v>
      </c>
      <c r="B695" s="4" t="s">
        <v>98</v>
      </c>
      <c r="C695" s="4" t="s">
        <v>325</v>
      </c>
      <c r="D695" s="94">
        <v>2580.0</v>
      </c>
    </row>
    <row r="696">
      <c r="A696" s="40">
        <f t="array" ref="A696">IFNA(index(PlayerValues!A:A,match(IFNA(vlookup(B696,'Special Names'!A:B,2,FALSE),B696),PlayerValues!E:E,0)),"N/A")</f>
        <v>16164</v>
      </c>
      <c r="B696" s="4" t="s">
        <v>512</v>
      </c>
      <c r="C696" s="4" t="s">
        <v>278</v>
      </c>
      <c r="D696" s="94">
        <v>2577.0</v>
      </c>
    </row>
    <row r="697">
      <c r="A697" s="40">
        <f t="array" ref="A697">IFNA(index(PlayerValues!A:A,match(IFNA(vlookup(B697,'Special Names'!A:B,2,FALSE),B697),PlayerValues!E:E,0)),"N/A")</f>
        <v>17474</v>
      </c>
      <c r="B697" s="4" t="s">
        <v>513</v>
      </c>
      <c r="C697" s="4" t="s">
        <v>278</v>
      </c>
      <c r="D697" s="94">
        <v>2573.0</v>
      </c>
    </row>
    <row r="698">
      <c r="A698" s="40">
        <f t="array" ref="A698">IFNA(index(PlayerValues!A:A,match(IFNA(vlookup(B698,'Special Names'!A:B,2,FALSE),B698),PlayerValues!E:E,0)),"N/A")</f>
        <v>17468</v>
      </c>
      <c r="B698" s="4" t="s">
        <v>514</v>
      </c>
      <c r="C698" s="4" t="s">
        <v>283</v>
      </c>
      <c r="D698" s="94">
        <v>2559.0</v>
      </c>
    </row>
    <row r="699">
      <c r="A699" s="40">
        <f t="array" ref="A699">IFNA(index(PlayerValues!A:A,match(IFNA(vlookup(B699,'Special Names'!A:B,2,FALSE),B699),PlayerValues!E:E,0)),"N/A")</f>
        <v>16626</v>
      </c>
      <c r="B699" s="4" t="s">
        <v>515</v>
      </c>
      <c r="C699" s="4" t="s">
        <v>287</v>
      </c>
      <c r="D699" s="94">
        <v>2555.0</v>
      </c>
    </row>
    <row r="700">
      <c r="A700" s="40">
        <f t="array" ref="A700">IFNA(index(PlayerValues!A:A,match(IFNA(vlookup(B700,'Special Names'!A:B,2,FALSE),B700),PlayerValues!E:E,0)),"N/A")</f>
        <v>16287</v>
      </c>
      <c r="B700" s="4" t="s">
        <v>516</v>
      </c>
      <c r="C700" s="4" t="s">
        <v>287</v>
      </c>
      <c r="D700" s="94">
        <v>2543.0</v>
      </c>
    </row>
    <row r="701">
      <c r="A701" s="40">
        <f t="array" ref="A701">IFNA(index(PlayerValues!A:A,match(IFNA(vlookup(B701,'Special Names'!A:B,2,FALSE),B701),PlayerValues!E:E,0)),"N/A")</f>
        <v>16622</v>
      </c>
      <c r="B701" s="4" t="s">
        <v>517</v>
      </c>
      <c r="C701" s="4" t="s">
        <v>287</v>
      </c>
      <c r="D701" s="94">
        <v>2539.0</v>
      </c>
    </row>
    <row r="702">
      <c r="A702" s="40">
        <f t="array" ref="A702">IFNA(index(PlayerValues!A:A,match(IFNA(vlookup(B702,'Special Names'!A:B,2,FALSE),B702),PlayerValues!E:E,0)),"N/A")</f>
        <v>17520</v>
      </c>
      <c r="B702" s="4" t="s">
        <v>518</v>
      </c>
      <c r="C702" s="4" t="s">
        <v>287</v>
      </c>
      <c r="D702" s="94">
        <v>2532.0</v>
      </c>
    </row>
    <row r="703">
      <c r="A703" s="40">
        <f t="array" ref="A703">IFNA(index(PlayerValues!A:A,match(IFNA(vlookup(B703,'Special Names'!A:B,2,FALSE),B703),PlayerValues!E:E,0)),"N/A")</f>
        <v>11244</v>
      </c>
      <c r="B703" s="4" t="s">
        <v>519</v>
      </c>
      <c r="C703" s="4" t="s">
        <v>298</v>
      </c>
      <c r="D703" s="94">
        <v>2930.0</v>
      </c>
    </row>
    <row r="704">
      <c r="A704" s="40">
        <f t="array" ref="A704">IFNA(index(PlayerValues!A:A,match(IFNA(vlookup(B704,'Special Names'!A:B,2,FALSE),B704),PlayerValues!E:E,0)),"N/A")</f>
        <v>16165</v>
      </c>
      <c r="B704" s="4" t="s">
        <v>520</v>
      </c>
      <c r="C704" s="4" t="s">
        <v>278</v>
      </c>
      <c r="D704" s="94">
        <v>2523.0</v>
      </c>
    </row>
    <row r="705">
      <c r="A705" s="40" t="str">
        <f t="array" ref="A705">IFNA(index(PlayerValues!A:A,match(IFNA(vlookup(B705,'Special Names'!A:B,2,FALSE),B705),PlayerValues!E:E,0)),"N/A")</f>
        <v>N/A</v>
      </c>
      <c r="B705" s="4" t="s">
        <v>99</v>
      </c>
      <c r="C705" s="4" t="s">
        <v>325</v>
      </c>
      <c r="D705" s="94">
        <v>2505.0</v>
      </c>
    </row>
    <row r="706">
      <c r="A706" s="40">
        <f t="array" ref="A706">IFNA(index(PlayerValues!A:A,match(IFNA(vlookup(B706,'Special Names'!A:B,2,FALSE),B706),PlayerValues!E:E,0)),"N/A")</f>
        <v>15786</v>
      </c>
      <c r="B706" s="4" t="s">
        <v>521</v>
      </c>
      <c r="C706" s="4" t="s">
        <v>287</v>
      </c>
      <c r="D706" s="94">
        <v>2499.0</v>
      </c>
    </row>
    <row r="707">
      <c r="A707" s="40">
        <f t="array" ref="A707">IFNA(index(PlayerValues!A:A,match(IFNA(vlookup(B707,'Special Names'!A:B,2,FALSE),B707),PlayerValues!E:E,0)),"N/A")</f>
        <v>17485</v>
      </c>
      <c r="B707" s="4" t="s">
        <v>522</v>
      </c>
      <c r="C707" s="4" t="s">
        <v>278</v>
      </c>
      <c r="D707" s="94">
        <v>2499.0</v>
      </c>
    </row>
    <row r="708">
      <c r="A708" s="40">
        <f t="array" ref="A708">IFNA(index(PlayerValues!A:A,match(IFNA(vlookup(B708,'Special Names'!A:B,2,FALSE),B708),PlayerValues!E:E,0)),"N/A")</f>
        <v>14861</v>
      </c>
      <c r="B708" s="4" t="s">
        <v>523</v>
      </c>
      <c r="C708" s="4" t="s">
        <v>298</v>
      </c>
      <c r="D708" s="94">
        <v>2901.0</v>
      </c>
    </row>
    <row r="709">
      <c r="A709" s="40">
        <f t="array" ref="A709">IFNA(index(PlayerValues!A:A,match(IFNA(vlookup(B709,'Special Names'!A:B,2,FALSE),B709),PlayerValues!E:E,0)),"N/A")</f>
        <v>17157</v>
      </c>
      <c r="B709" s="4" t="s">
        <v>524</v>
      </c>
      <c r="C709" s="4" t="s">
        <v>287</v>
      </c>
      <c r="D709" s="94">
        <v>2494.0</v>
      </c>
    </row>
    <row r="710">
      <c r="A710" s="40">
        <f t="array" ref="A710">IFNA(index(PlayerValues!A:A,match(IFNA(vlookup(B710,'Special Names'!A:B,2,FALSE),B710),PlayerValues!E:E,0)),"N/A")</f>
        <v>17105</v>
      </c>
      <c r="B710" s="4" t="s">
        <v>525</v>
      </c>
      <c r="C710" s="4" t="s">
        <v>298</v>
      </c>
      <c r="D710" s="94">
        <v>2892.0</v>
      </c>
    </row>
    <row r="711">
      <c r="A711" s="40">
        <f t="array" ref="A711">IFNA(index(PlayerValues!A:A,match(IFNA(vlookup(B711,'Special Names'!A:B,2,FALSE),B711),PlayerValues!E:E,0)),"N/A")</f>
        <v>17607</v>
      </c>
      <c r="B711" s="4" t="s">
        <v>526</v>
      </c>
      <c r="C711" s="4" t="s">
        <v>298</v>
      </c>
      <c r="D711" s="94">
        <v>2891.0</v>
      </c>
    </row>
    <row r="712">
      <c r="A712" s="40">
        <f t="array" ref="A712">IFNA(index(PlayerValues!A:A,match(IFNA(vlookup(B712,'Special Names'!A:B,2,FALSE),B712),PlayerValues!E:E,0)),"N/A")</f>
        <v>17478</v>
      </c>
      <c r="B712" s="4" t="s">
        <v>527</v>
      </c>
      <c r="C712" s="4" t="s">
        <v>278</v>
      </c>
      <c r="D712" s="94">
        <v>2486.0</v>
      </c>
    </row>
    <row r="713">
      <c r="A713" s="40">
        <f t="array" ref="A713">IFNA(index(PlayerValues!A:A,match(IFNA(vlookup(B713,'Special Names'!A:B,2,FALSE),B713),PlayerValues!E:E,0)),"N/A")</f>
        <v>17505</v>
      </c>
      <c r="B713" s="4" t="s">
        <v>528</v>
      </c>
      <c r="C713" s="4" t="s">
        <v>287</v>
      </c>
      <c r="D713" s="94">
        <v>2483.0</v>
      </c>
    </row>
    <row r="714">
      <c r="A714" s="40">
        <f t="array" ref="A714">IFNA(index(PlayerValues!A:A,match(IFNA(vlookup(B714,'Special Names'!A:B,2,FALSE),B714),PlayerValues!E:E,0)),"N/A")</f>
        <v>12616</v>
      </c>
      <c r="B714" s="4" t="s">
        <v>529</v>
      </c>
      <c r="C714" s="4" t="s">
        <v>283</v>
      </c>
      <c r="D714" s="94">
        <v>2477.0</v>
      </c>
    </row>
    <row r="715">
      <c r="A715" s="40">
        <f t="array" ref="A715">IFNA(index(PlayerValues!A:A,match(IFNA(vlookup(B715,'Special Names'!A:B,2,FALSE),B715),PlayerValues!E:E,0)),"N/A")</f>
        <v>16204</v>
      </c>
      <c r="B715" s="4" t="s">
        <v>530</v>
      </c>
      <c r="C715" s="4" t="s">
        <v>287</v>
      </c>
      <c r="D715" s="94">
        <v>2477.0</v>
      </c>
    </row>
    <row r="716">
      <c r="A716" s="40">
        <f t="array" ref="A716">IFNA(index(PlayerValues!A:A,match(IFNA(vlookup(B716,'Special Names'!A:B,2,FALSE),B716),PlayerValues!E:E,0)),"N/A")</f>
        <v>14138</v>
      </c>
      <c r="B716" s="4" t="s">
        <v>531</v>
      </c>
      <c r="C716" s="4" t="s">
        <v>298</v>
      </c>
      <c r="D716" s="94">
        <v>2863.0</v>
      </c>
    </row>
    <row r="717">
      <c r="A717" s="40">
        <f t="array" ref="A717">IFNA(index(PlayerValues!A:A,match(IFNA(vlookup(B717,'Special Names'!A:B,2,FALSE),B717),PlayerValues!E:E,0)),"N/A")</f>
        <v>17080</v>
      </c>
      <c r="B717" s="4" t="s">
        <v>532</v>
      </c>
      <c r="C717" s="4" t="s">
        <v>287</v>
      </c>
      <c r="D717" s="94">
        <v>2456.0</v>
      </c>
    </row>
    <row r="718">
      <c r="A718" s="40" t="str">
        <f t="array" ref="A718">IFNA(index(PlayerValues!A:A,match(IFNA(vlookup(B718,'Special Names'!A:B,2,FALSE),B718),PlayerValues!E:E,0)),"N/A")</f>
        <v>N/A</v>
      </c>
      <c r="B718" s="4" t="s">
        <v>86</v>
      </c>
      <c r="C718" s="4" t="s">
        <v>325</v>
      </c>
      <c r="D718" s="94">
        <v>2449.0</v>
      </c>
    </row>
    <row r="719">
      <c r="A719" s="40">
        <f t="array" ref="A719">IFNA(index(PlayerValues!A:A,match(IFNA(vlookup(B719,'Special Names'!A:B,2,FALSE),B719),PlayerValues!E:E,0)),"N/A")</f>
        <v>17098</v>
      </c>
      <c r="B719" s="4" t="s">
        <v>533</v>
      </c>
      <c r="C719" s="4" t="s">
        <v>287</v>
      </c>
      <c r="D719" s="94">
        <v>2409.0</v>
      </c>
    </row>
    <row r="720">
      <c r="A720" s="40">
        <f t="array" ref="A720">IFNA(index(PlayerValues!A:A,match(IFNA(vlookup(B720,'Special Names'!A:B,2,FALSE),B720),PlayerValues!E:E,0)),"N/A")</f>
        <v>17508</v>
      </c>
      <c r="B720" s="4" t="s">
        <v>534</v>
      </c>
      <c r="C720" s="4" t="s">
        <v>287</v>
      </c>
      <c r="D720" s="94">
        <v>2374.0</v>
      </c>
    </row>
    <row r="721">
      <c r="A721" s="40">
        <f t="array" ref="A721">IFNA(index(PlayerValues!A:A,match(IFNA(vlookup(B721,'Special Names'!A:B,2,FALSE),B721),PlayerValues!E:E,0)),"N/A")</f>
        <v>17031</v>
      </c>
      <c r="B721" s="4" t="s">
        <v>535</v>
      </c>
      <c r="C721" s="4" t="s">
        <v>283</v>
      </c>
      <c r="D721" s="94">
        <v>2363.0</v>
      </c>
    </row>
    <row r="722">
      <c r="A722" s="40" t="str">
        <f t="array" ref="A722">IFNA(index(PlayerValues!A:A,match(IFNA(vlookup(B722,'Special Names'!A:B,2,FALSE),B722),PlayerValues!E:E,0)),"N/A")</f>
        <v>N/A</v>
      </c>
      <c r="B722" s="4" t="s">
        <v>100</v>
      </c>
      <c r="C722" s="4" t="s">
        <v>325</v>
      </c>
      <c r="D722" s="94">
        <v>2361.0</v>
      </c>
    </row>
    <row r="723">
      <c r="A723" s="40">
        <f t="array" ref="A723">IFNA(index(PlayerValues!A:A,match(IFNA(vlookup(B723,'Special Names'!A:B,2,FALSE),B723),PlayerValues!E:E,0)),"N/A")</f>
        <v>14136</v>
      </c>
      <c r="B723" s="4" t="s">
        <v>536</v>
      </c>
      <c r="C723" s="4" t="s">
        <v>287</v>
      </c>
      <c r="D723" s="94">
        <v>2360.0</v>
      </c>
    </row>
    <row r="724">
      <c r="A724" s="40">
        <f t="array" ref="A724">IFNA(index(PlayerValues!A:A,match(IFNA(vlookup(B724,'Special Names'!A:B,2,FALSE),B724),PlayerValues!E:E,0)),"N/A")</f>
        <v>12676</v>
      </c>
      <c r="B724" s="4" t="s">
        <v>537</v>
      </c>
      <c r="C724" s="4" t="s">
        <v>298</v>
      </c>
      <c r="D724" s="94">
        <v>2755.0</v>
      </c>
    </row>
    <row r="725">
      <c r="A725" s="40">
        <f t="array" ref="A725">IFNA(index(PlayerValues!A:A,match(IFNA(vlookup(B725,'Special Names'!A:B,2,FALSE),B725),PlayerValues!E:E,0)),"N/A")</f>
        <v>16619</v>
      </c>
      <c r="B725" s="4" t="s">
        <v>538</v>
      </c>
      <c r="C725" s="4" t="s">
        <v>287</v>
      </c>
      <c r="D725" s="94">
        <v>2349.0</v>
      </c>
    </row>
    <row r="726">
      <c r="A726" s="40">
        <f t="array" ref="A726">IFNA(index(PlayerValues!A:A,match(IFNA(vlookup(B726,'Special Names'!A:B,2,FALSE),B726),PlayerValues!E:E,0)),"N/A")</f>
        <v>17048</v>
      </c>
      <c r="B726" s="4" t="s">
        <v>539</v>
      </c>
      <c r="C726" s="4" t="s">
        <v>278</v>
      </c>
      <c r="D726" s="94">
        <v>2348.0</v>
      </c>
    </row>
    <row r="727">
      <c r="A727" s="40">
        <f t="array" ref="A727">IFNA(index(PlayerValues!A:A,match(IFNA(vlookup(B727,'Special Names'!A:B,2,FALSE),B727),PlayerValues!E:E,0)),"N/A")</f>
        <v>17481</v>
      </c>
      <c r="B727" s="4" t="s">
        <v>540</v>
      </c>
      <c r="C727" s="4" t="s">
        <v>278</v>
      </c>
      <c r="D727" s="94">
        <v>2332.0</v>
      </c>
    </row>
    <row r="728">
      <c r="A728" s="40">
        <f t="array" ref="A728">IFNA(index(PlayerValues!A:A,match(IFNA(vlookup(B728,'Special Names'!A:B,2,FALSE),B728),PlayerValues!E:E,0)),"N/A")</f>
        <v>16617</v>
      </c>
      <c r="B728" s="4" t="s">
        <v>541</v>
      </c>
      <c r="C728" s="4" t="s">
        <v>287</v>
      </c>
      <c r="D728" s="94">
        <v>2327.0</v>
      </c>
    </row>
    <row r="729">
      <c r="A729" s="40">
        <f t="array" ref="A729">IFNA(index(PlayerValues!A:A,match(IFNA(vlookup(B729,'Special Names'!A:B,2,FALSE),B729),PlayerValues!E:E,0)),"N/A")</f>
        <v>17108</v>
      </c>
      <c r="B729" s="4" t="s">
        <v>542</v>
      </c>
      <c r="C729" s="4" t="s">
        <v>298</v>
      </c>
      <c r="D729" s="94">
        <v>2716.0</v>
      </c>
    </row>
    <row r="730">
      <c r="A730" s="40" t="str">
        <f t="array" ref="A730">IFNA(index(PlayerValues!A:A,match(IFNA(vlookup(B730,'Special Names'!A:B,2,FALSE),B730),PlayerValues!E:E,0)),"N/A")</f>
        <v>N/A</v>
      </c>
      <c r="B730" s="4" t="s">
        <v>87</v>
      </c>
      <c r="C730" s="4" t="s">
        <v>325</v>
      </c>
      <c r="D730" s="94">
        <v>2318.0</v>
      </c>
    </row>
    <row r="731">
      <c r="A731" s="40">
        <f t="array" ref="A731">IFNA(index(PlayerValues!A:A,match(IFNA(vlookup(B731,'Special Names'!A:B,2,FALSE),B731),PlayerValues!E:E,0)),"N/A")</f>
        <v>17078</v>
      </c>
      <c r="B731" s="4" t="s">
        <v>543</v>
      </c>
      <c r="C731" s="4" t="s">
        <v>287</v>
      </c>
      <c r="D731" s="94">
        <v>2318.0</v>
      </c>
    </row>
    <row r="732">
      <c r="A732" s="40" t="str">
        <f t="array" ref="A732">IFNA(index(PlayerValues!A:A,match(IFNA(vlookup(B732,'Special Names'!A:B,2,FALSE),B732),PlayerValues!E:E,0)),"N/A")</f>
        <v>N/A</v>
      </c>
      <c r="B732" s="4" t="s">
        <v>112</v>
      </c>
      <c r="C732" s="4" t="s">
        <v>325</v>
      </c>
      <c r="D732" s="94">
        <v>2311.0</v>
      </c>
    </row>
    <row r="733">
      <c r="A733" s="40">
        <f t="array" ref="A733">IFNA(index(PlayerValues!A:A,match(IFNA(vlookup(B733,'Special Names'!A:B,2,FALSE),B733),PlayerValues!E:E,0)),"N/A")</f>
        <v>13772</v>
      </c>
      <c r="B733" s="4" t="s">
        <v>544</v>
      </c>
      <c r="C733" s="4" t="s">
        <v>298</v>
      </c>
      <c r="D733" s="94">
        <v>2708.0</v>
      </c>
    </row>
    <row r="734">
      <c r="A734" s="40">
        <f t="array" ref="A734">IFNA(index(PlayerValues!A:A,match(IFNA(vlookup(B734,'Special Names'!A:B,2,FALSE),B734),PlayerValues!E:E,0)),"N/A")</f>
        <v>15716</v>
      </c>
      <c r="B734" s="4" t="s">
        <v>545</v>
      </c>
      <c r="C734" s="4" t="s">
        <v>278</v>
      </c>
      <c r="D734" s="94">
        <v>2282.0</v>
      </c>
    </row>
    <row r="735">
      <c r="A735" s="40">
        <f t="array" ref="A735">IFNA(index(PlayerValues!A:A,match(IFNA(vlookup(B735,'Special Names'!A:B,2,FALSE),B735),PlayerValues!E:E,0)),"N/A")</f>
        <v>15241</v>
      </c>
      <c r="B735" s="4" t="s">
        <v>546</v>
      </c>
      <c r="C735" s="4" t="s">
        <v>283</v>
      </c>
      <c r="D735" s="94">
        <v>2275.0</v>
      </c>
    </row>
    <row r="736">
      <c r="A736" s="40">
        <f t="array" ref="A736">IFNA(index(PlayerValues!A:A,match(IFNA(vlookup(B736,'Special Names'!A:B,2,FALSE),B736),PlayerValues!E:E,0)),"N/A")</f>
        <v>17073</v>
      </c>
      <c r="B736" s="4" t="s">
        <v>547</v>
      </c>
      <c r="C736" s="4" t="s">
        <v>287</v>
      </c>
      <c r="D736" s="94">
        <v>2273.0</v>
      </c>
    </row>
    <row r="737">
      <c r="A737" s="40">
        <f t="array" ref="A737">IFNA(index(PlayerValues!A:A,match(IFNA(vlookup(B737,'Special Names'!A:B,2,FALSE),B737),PlayerValues!E:E,0)),"N/A")</f>
        <v>17134</v>
      </c>
      <c r="B737" s="4" t="s">
        <v>548</v>
      </c>
      <c r="C737" s="4" t="s">
        <v>287</v>
      </c>
      <c r="D737" s="94">
        <v>2268.0</v>
      </c>
    </row>
    <row r="738">
      <c r="A738" s="40">
        <f t="array" ref="A738">IFNA(index(PlayerValues!A:A,match(IFNA(vlookup(B738,'Special Names'!A:B,2,FALSE),B738),PlayerValues!E:E,0)),"N/A")</f>
        <v>13319</v>
      </c>
      <c r="B738" s="4" t="s">
        <v>549</v>
      </c>
      <c r="C738" s="4" t="s">
        <v>278</v>
      </c>
      <c r="D738" s="94">
        <v>2263.0</v>
      </c>
    </row>
    <row r="739">
      <c r="A739" s="40">
        <f t="array" ref="A739">IFNA(index(PlayerValues!A:A,match(IFNA(vlookup(B739,'Special Names'!A:B,2,FALSE),B739),PlayerValues!E:E,0)),"N/A")</f>
        <v>17106</v>
      </c>
      <c r="B739" s="4" t="s">
        <v>550</v>
      </c>
      <c r="C739" s="4" t="s">
        <v>298</v>
      </c>
      <c r="D739" s="94">
        <v>2649.0</v>
      </c>
    </row>
    <row r="740">
      <c r="A740" s="40">
        <f t="array" ref="A740">IFNA(index(PlayerValues!A:A,match(IFNA(vlookup(B740,'Special Names'!A:B,2,FALSE),B740),PlayerValues!E:E,0)),"N/A")</f>
        <v>17509</v>
      </c>
      <c r="B740" s="4" t="s">
        <v>551</v>
      </c>
      <c r="C740" s="4" t="s">
        <v>287</v>
      </c>
      <c r="D740" s="94">
        <v>2251.0</v>
      </c>
    </row>
    <row r="741">
      <c r="A741" s="40">
        <f t="array" ref="A741">IFNA(index(PlayerValues!A:A,match(IFNA(vlookup(B741,'Special Names'!A:B,2,FALSE),B741),PlayerValues!E:E,0)),"N/A")</f>
        <v>17547</v>
      </c>
      <c r="B741" s="4" t="s">
        <v>552</v>
      </c>
      <c r="C741" s="4" t="s">
        <v>298</v>
      </c>
      <c r="D741" s="94">
        <v>2644.0</v>
      </c>
    </row>
    <row r="742">
      <c r="A742" s="40">
        <f t="array" ref="A742">IFNA(index(PlayerValues!A:A,match(IFNA(vlookup(B742,'Special Names'!A:B,2,FALSE),B742),PlayerValues!E:E,0)),"N/A")</f>
        <v>14833</v>
      </c>
      <c r="B742" s="4" t="s">
        <v>553</v>
      </c>
      <c r="C742" s="4" t="s">
        <v>287</v>
      </c>
      <c r="D742" s="94">
        <v>2236.0</v>
      </c>
    </row>
    <row r="743">
      <c r="A743" s="40">
        <f t="array" ref="A743">IFNA(index(PlayerValues!A:A,match(IFNA(vlookup(B743,'Special Names'!A:B,2,FALSE),B743),PlayerValues!E:E,0)),"N/A")</f>
        <v>14860</v>
      </c>
      <c r="B743" s="4" t="s">
        <v>554</v>
      </c>
      <c r="C743" s="4" t="s">
        <v>287</v>
      </c>
      <c r="D743" s="94">
        <v>2230.0</v>
      </c>
    </row>
    <row r="744">
      <c r="A744" s="40">
        <f t="array" ref="A744">IFNA(index(PlayerValues!A:A,match(IFNA(vlookup(B744,'Special Names'!A:B,2,FALSE),B744),PlayerValues!E:E,0)),"N/A")</f>
        <v>16747</v>
      </c>
      <c r="B744" s="4" t="s">
        <v>555</v>
      </c>
      <c r="C744" s="4" t="s">
        <v>278</v>
      </c>
      <c r="D744" s="94">
        <v>2199.0</v>
      </c>
    </row>
    <row r="745">
      <c r="A745" s="40">
        <f t="array" ref="A745">IFNA(index(PlayerValues!A:A,match(IFNA(vlookup(B745,'Special Names'!A:B,2,FALSE),B745),PlayerValues!E:E,0)),"N/A")</f>
        <v>15797</v>
      </c>
      <c r="B745" s="4" t="s">
        <v>556</v>
      </c>
      <c r="C745" s="4" t="s">
        <v>298</v>
      </c>
      <c r="D745" s="94">
        <v>2590.0</v>
      </c>
    </row>
    <row r="746">
      <c r="A746" s="40" t="str">
        <f t="array" ref="A746">IFNA(index(PlayerValues!A:A,match(IFNA(vlookup(B746,'Special Names'!A:B,2,FALSE),B746),PlayerValues!E:E,0)),"N/A")</f>
        <v>N/A</v>
      </c>
      <c r="B746" s="4" t="s">
        <v>557</v>
      </c>
      <c r="C746" s="4" t="s">
        <v>278</v>
      </c>
      <c r="D746" s="94">
        <v>2175.0</v>
      </c>
    </row>
    <row r="747">
      <c r="A747" s="40">
        <f t="array" ref="A747">IFNA(index(PlayerValues!A:A,match(IFNA(vlookup(B747,'Special Names'!A:B,2,FALSE),B747),PlayerValues!E:E,0)),"N/A")</f>
        <v>16757</v>
      </c>
      <c r="B747" s="4" t="s">
        <v>558</v>
      </c>
      <c r="C747" s="4" t="s">
        <v>278</v>
      </c>
      <c r="D747" s="94">
        <v>2168.0</v>
      </c>
    </row>
    <row r="748">
      <c r="A748" s="40" t="str">
        <f t="array" ref="A748">IFNA(index(PlayerValues!A:A,match(IFNA(vlookup(B748,'Special Names'!A:B,2,FALSE),B748),PlayerValues!E:E,0)),"N/A")</f>
        <v>N/A</v>
      </c>
      <c r="B748" s="4" t="s">
        <v>113</v>
      </c>
      <c r="C748" s="4" t="s">
        <v>325</v>
      </c>
      <c r="D748" s="94">
        <v>2166.0</v>
      </c>
    </row>
    <row r="749">
      <c r="A749" s="40">
        <f t="array" ref="A749">IFNA(index(PlayerValues!A:A,match(IFNA(vlookup(B749,'Special Names'!A:B,2,FALSE),B749),PlayerValues!E:E,0)),"N/A")</f>
        <v>11150</v>
      </c>
      <c r="B749" s="4" t="s">
        <v>559</v>
      </c>
      <c r="C749" s="4" t="s">
        <v>283</v>
      </c>
      <c r="D749" s="94">
        <v>2159.0</v>
      </c>
    </row>
    <row r="750">
      <c r="A750" s="40">
        <f t="array" ref="A750">IFNA(index(PlayerValues!A:A,match(IFNA(vlookup(B750,'Special Names'!A:B,2,FALSE),B750),PlayerValues!E:E,0)),"N/A")</f>
        <v>15331</v>
      </c>
      <c r="B750" s="4" t="s">
        <v>560</v>
      </c>
      <c r="C750" s="4" t="s">
        <v>298</v>
      </c>
      <c r="D750" s="94">
        <v>2536.0</v>
      </c>
    </row>
    <row r="751">
      <c r="A751" s="40">
        <f t="array" ref="A751">IFNA(index(PlayerValues!A:A,match(IFNA(vlookup(B751,'Special Names'!A:B,2,FALSE),B751),PlayerValues!E:E,0)),"N/A")</f>
        <v>17171</v>
      </c>
      <c r="B751" s="4" t="s">
        <v>561</v>
      </c>
      <c r="C751" s="4" t="s">
        <v>287</v>
      </c>
      <c r="D751" s="94">
        <v>2143.0</v>
      </c>
    </row>
    <row r="752">
      <c r="A752" s="40">
        <f t="array" ref="A752">IFNA(index(PlayerValues!A:A,match(IFNA(vlookup(B752,'Special Names'!A:B,2,FALSE),B752),PlayerValues!E:E,0)),"N/A")</f>
        <v>16610</v>
      </c>
      <c r="B752" s="4" t="s">
        <v>562</v>
      </c>
      <c r="C752" s="4" t="s">
        <v>278</v>
      </c>
      <c r="D752" s="94">
        <v>2140.0</v>
      </c>
    </row>
    <row r="753">
      <c r="A753" s="40">
        <f t="array" ref="A753">IFNA(index(PlayerValues!A:A,match(IFNA(vlookup(B753,'Special Names'!A:B,2,FALSE),B753),PlayerValues!E:E,0)),"N/A")</f>
        <v>13192</v>
      </c>
      <c r="B753" s="4" t="s">
        <v>563</v>
      </c>
      <c r="C753" s="4" t="s">
        <v>298</v>
      </c>
      <c r="D753" s="94">
        <v>2529.0</v>
      </c>
    </row>
    <row r="754">
      <c r="A754" s="40">
        <f t="array" ref="A754">IFNA(index(PlayerValues!A:A,match(IFNA(vlookup(B754,'Special Names'!A:B,2,FALSE),B754),PlayerValues!E:E,0)),"N/A")</f>
        <v>14778</v>
      </c>
      <c r="B754" s="4" t="s">
        <v>564</v>
      </c>
      <c r="C754" s="4" t="s">
        <v>283</v>
      </c>
      <c r="D754" s="94">
        <v>2139.0</v>
      </c>
    </row>
    <row r="755">
      <c r="A755" s="40">
        <f t="array" ref="A755">IFNA(index(PlayerValues!A:A,match(IFNA(vlookup(B755,'Special Names'!A:B,2,FALSE),B755),PlayerValues!E:E,0)),"N/A")</f>
        <v>17055</v>
      </c>
      <c r="B755" s="4" t="s">
        <v>565</v>
      </c>
      <c r="C755" s="4" t="s">
        <v>278</v>
      </c>
      <c r="D755" s="94">
        <v>2138.0</v>
      </c>
    </row>
    <row r="756">
      <c r="A756" s="40">
        <f t="array" ref="A756">IFNA(index(PlayerValues!A:A,match(IFNA(vlookup(B756,'Special Names'!A:B,2,FALSE),B756),PlayerValues!E:E,0)),"N/A")</f>
        <v>15802</v>
      </c>
      <c r="B756" s="4" t="s">
        <v>566</v>
      </c>
      <c r="C756" s="4" t="s">
        <v>298</v>
      </c>
      <c r="D756" s="94">
        <v>2529.0</v>
      </c>
    </row>
    <row r="757">
      <c r="A757" s="40" t="str">
        <f t="array" ref="A757">IFNA(index(PlayerValues!A:A,match(IFNA(vlookup(B757,'Special Names'!A:B,2,FALSE),B757),PlayerValues!E:E,0)),"N/A")</f>
        <v>N/A</v>
      </c>
      <c r="B757" s="4" t="s">
        <v>88</v>
      </c>
      <c r="C757" s="4" t="s">
        <v>325</v>
      </c>
      <c r="D757" s="94">
        <v>2133.0</v>
      </c>
    </row>
    <row r="758">
      <c r="A758" s="40">
        <f t="array" ref="A758">IFNA(index(PlayerValues!A:A,match(IFNA(vlookup(B758,'Special Names'!A:B,2,FALSE),B758),PlayerValues!E:E,0)),"N/A")</f>
        <v>16166</v>
      </c>
      <c r="B758" s="4" t="s">
        <v>567</v>
      </c>
      <c r="C758" s="4" t="s">
        <v>278</v>
      </c>
      <c r="D758" s="94">
        <v>2126.0</v>
      </c>
    </row>
    <row r="759">
      <c r="A759" s="40">
        <f t="array" ref="A759">IFNA(index(PlayerValues!A:A,match(IFNA(vlookup(B759,'Special Names'!A:B,2,FALSE),B759),PlayerValues!E:E,0)),"N/A")</f>
        <v>16212</v>
      </c>
      <c r="B759" s="4" t="s">
        <v>568</v>
      </c>
      <c r="C759" s="4" t="s">
        <v>298</v>
      </c>
      <c r="D759" s="94">
        <v>2509.0</v>
      </c>
    </row>
    <row r="760">
      <c r="A760" s="40">
        <f t="array" ref="A760">IFNA(index(PlayerValues!A:A,match(IFNA(vlookup(B760,'Special Names'!A:B,2,FALSE),B760),PlayerValues!E:E,0)),"N/A")</f>
        <v>16584</v>
      </c>
      <c r="B760" s="4" t="s">
        <v>569</v>
      </c>
      <c r="C760" s="4" t="s">
        <v>283</v>
      </c>
      <c r="D760" s="94">
        <v>2109.0</v>
      </c>
    </row>
    <row r="761">
      <c r="A761" s="40">
        <f t="array" ref="A761">IFNA(index(PlayerValues!A:A,match(IFNA(vlookup(B761,'Special Names'!A:B,2,FALSE),B761),PlayerValues!E:E,0)),"N/A")</f>
        <v>17033</v>
      </c>
      <c r="B761" s="4" t="s">
        <v>570</v>
      </c>
      <c r="C761" s="4" t="s">
        <v>283</v>
      </c>
      <c r="D761" s="94">
        <v>2104.0</v>
      </c>
    </row>
    <row r="762">
      <c r="A762" s="40">
        <f t="array" ref="A762">IFNA(index(PlayerValues!A:A,match(IFNA(vlookup(B762,'Special Names'!A:B,2,FALSE),B762),PlayerValues!E:E,0)),"N/A")</f>
        <v>17567</v>
      </c>
      <c r="B762" s="4" t="s">
        <v>571</v>
      </c>
      <c r="C762" s="4" t="s">
        <v>298</v>
      </c>
      <c r="D762" s="94">
        <v>2473.0</v>
      </c>
    </row>
    <row r="763">
      <c r="A763" s="40">
        <f t="array" ref="A763">IFNA(index(PlayerValues!A:A,match(IFNA(vlookup(B763,'Special Names'!A:B,2,FALSE),B763),PlayerValues!E:E,0)),"N/A")</f>
        <v>17079</v>
      </c>
      <c r="B763" s="4" t="s">
        <v>572</v>
      </c>
      <c r="C763" s="4" t="s">
        <v>287</v>
      </c>
      <c r="D763" s="94">
        <v>2081.0</v>
      </c>
    </row>
    <row r="764">
      <c r="A764" s="40" t="str">
        <f t="array" ref="A764">IFNA(index(PlayerValues!A:A,match(IFNA(vlookup(B764,'Special Names'!A:B,2,FALSE),B764),PlayerValues!E:E,0)),"N/A")</f>
        <v>N/A</v>
      </c>
      <c r="B764" s="4" t="s">
        <v>114</v>
      </c>
      <c r="C764" s="4" t="s">
        <v>325</v>
      </c>
      <c r="D764" s="94">
        <v>2075.0</v>
      </c>
    </row>
    <row r="765">
      <c r="A765" s="40">
        <f t="array" ref="A765">IFNA(index(PlayerValues!A:A,match(IFNA(vlookup(B765,'Special Names'!A:B,2,FALSE),B765),PlayerValues!E:E,0)),"N/A")</f>
        <v>17521</v>
      </c>
      <c r="B765" s="4" t="s">
        <v>573</v>
      </c>
      <c r="C765" s="4" t="s">
        <v>287</v>
      </c>
      <c r="D765" s="94">
        <v>2071.0</v>
      </c>
    </row>
    <row r="766">
      <c r="A766" s="40">
        <f t="array" ref="A766">IFNA(index(PlayerValues!A:A,match(IFNA(vlookup(B766,'Special Names'!A:B,2,FALSE),B766),PlayerValues!E:E,0)),"N/A")</f>
        <v>15749</v>
      </c>
      <c r="B766" s="4" t="s">
        <v>574</v>
      </c>
      <c r="C766" s="4" t="s">
        <v>278</v>
      </c>
      <c r="D766" s="94">
        <v>2068.0</v>
      </c>
    </row>
    <row r="767">
      <c r="A767" s="40">
        <f t="array" ref="A767">IFNA(index(PlayerValues!A:A,match(IFNA(vlookup(B767,'Special Names'!A:B,2,FALSE),B767),PlayerValues!E:E,0)),"N/A")</f>
        <v>17467</v>
      </c>
      <c r="B767" s="4" t="s">
        <v>575</v>
      </c>
      <c r="C767" s="4" t="s">
        <v>283</v>
      </c>
      <c r="D767" s="94">
        <v>2050.0</v>
      </c>
    </row>
    <row r="768">
      <c r="A768" s="40">
        <f t="array" ref="A768">IFNA(index(PlayerValues!A:A,match(IFNA(vlookup(B768,'Special Names'!A:B,2,FALSE),B768),PlayerValues!E:E,0)),"N/A")</f>
        <v>17652</v>
      </c>
      <c r="B768" s="4" t="s">
        <v>576</v>
      </c>
      <c r="C768" s="4" t="s">
        <v>278</v>
      </c>
      <c r="D768" s="94">
        <v>2048.0</v>
      </c>
    </row>
    <row r="769">
      <c r="A769" s="40">
        <f t="array" ref="A769">IFNA(index(PlayerValues!A:A,match(IFNA(vlookup(B769,'Special Names'!A:B,2,FALSE),B769),PlayerValues!E:E,0)),"N/A")</f>
        <v>16778</v>
      </c>
      <c r="B769" s="4" t="s">
        <v>577</v>
      </c>
      <c r="C769" s="4" t="s">
        <v>287</v>
      </c>
      <c r="D769" s="94">
        <v>2039.0</v>
      </c>
    </row>
    <row r="770">
      <c r="A770" s="40">
        <f t="array" ref="A770">IFNA(index(PlayerValues!A:A,match(IFNA(vlookup(B770,'Special Names'!A:B,2,FALSE),B770),PlayerValues!E:E,0)),"N/A")</f>
        <v>15293</v>
      </c>
      <c r="B770" s="4" t="s">
        <v>578</v>
      </c>
      <c r="C770" s="4" t="s">
        <v>287</v>
      </c>
      <c r="D770" s="94">
        <v>2029.0</v>
      </c>
    </row>
    <row r="771">
      <c r="A771" s="40">
        <f t="array" ref="A771">IFNA(index(PlayerValues!A:A,match(IFNA(vlookup(B771,'Special Names'!A:B,2,FALSE),B771),PlayerValues!E:E,0)),"N/A")</f>
        <v>17528</v>
      </c>
      <c r="B771" s="4" t="s">
        <v>579</v>
      </c>
      <c r="C771" s="4" t="s">
        <v>287</v>
      </c>
      <c r="D771" s="94">
        <v>2029.0</v>
      </c>
    </row>
    <row r="772">
      <c r="A772" s="40">
        <f t="array" ref="A772">IFNA(index(PlayerValues!A:A,match(IFNA(vlookup(B772,'Special Names'!A:B,2,FALSE),B772),PlayerValues!E:E,0)),"N/A")</f>
        <v>17061</v>
      </c>
      <c r="B772" s="4" t="s">
        <v>580</v>
      </c>
      <c r="C772" s="4" t="s">
        <v>278</v>
      </c>
      <c r="D772" s="94">
        <v>2028.0</v>
      </c>
    </row>
    <row r="773">
      <c r="A773" s="40">
        <f t="array" ref="A773">IFNA(index(PlayerValues!A:A,match(IFNA(vlookup(B773,'Special Names'!A:B,2,FALSE),B773),PlayerValues!E:E,0)),"N/A")</f>
        <v>17056</v>
      </c>
      <c r="B773" s="4" t="s">
        <v>581</v>
      </c>
      <c r="C773" s="4" t="s">
        <v>278</v>
      </c>
      <c r="D773" s="94">
        <v>2024.0</v>
      </c>
    </row>
    <row r="774">
      <c r="A774" s="40">
        <f t="array" ref="A774">IFNA(index(PlayerValues!A:A,match(IFNA(vlookup(B774,'Special Names'!A:B,2,FALSE),B774),PlayerValues!E:E,0)),"N/A")</f>
        <v>16189</v>
      </c>
      <c r="B774" s="4" t="s">
        <v>582</v>
      </c>
      <c r="C774" s="4" t="s">
        <v>287</v>
      </c>
      <c r="D774" s="94">
        <v>2022.0</v>
      </c>
    </row>
    <row r="775">
      <c r="A775" s="40">
        <f t="array" ref="A775">IFNA(index(PlayerValues!A:A,match(IFNA(vlookup(B775,'Special Names'!A:B,2,FALSE),B775),PlayerValues!E:E,0)),"N/A")</f>
        <v>16342</v>
      </c>
      <c r="B775" s="4" t="s">
        <v>583</v>
      </c>
      <c r="C775" s="4" t="s">
        <v>287</v>
      </c>
      <c r="D775" s="94">
        <v>2021.0</v>
      </c>
    </row>
    <row r="776">
      <c r="A776" s="40">
        <f t="array" ref="A776">IFNA(index(PlayerValues!A:A,match(IFNA(vlookup(B776,'Special Names'!A:B,2,FALSE),B776),PlayerValues!E:E,0)),"N/A")</f>
        <v>14871</v>
      </c>
      <c r="B776" s="4" t="s">
        <v>584</v>
      </c>
      <c r="C776" s="4" t="s">
        <v>298</v>
      </c>
      <c r="D776" s="94">
        <v>2380.0</v>
      </c>
    </row>
    <row r="777">
      <c r="A777" s="40">
        <f t="array" ref="A777">IFNA(index(PlayerValues!A:A,match(IFNA(vlookup(B777,'Special Names'!A:B,2,FALSE),B777),PlayerValues!E:E,0)),"N/A")</f>
        <v>17076</v>
      </c>
      <c r="B777" s="4" t="s">
        <v>585</v>
      </c>
      <c r="C777" s="4" t="s">
        <v>287</v>
      </c>
      <c r="D777" s="94">
        <v>1992.0</v>
      </c>
    </row>
    <row r="778">
      <c r="A778" s="40">
        <f t="array" ref="A778">IFNA(index(PlayerValues!A:A,match(IFNA(vlookup(B778,'Special Names'!A:B,2,FALSE),B778),PlayerValues!E:E,0)),"N/A")</f>
        <v>16649</v>
      </c>
      <c r="B778" s="4" t="s">
        <v>586</v>
      </c>
      <c r="C778" s="4" t="s">
        <v>298</v>
      </c>
      <c r="D778" s="94">
        <v>2376.0</v>
      </c>
    </row>
    <row r="779">
      <c r="A779" s="40">
        <f t="array" ref="A779">IFNA(index(PlayerValues!A:A,match(IFNA(vlookup(B779,'Special Names'!A:B,2,FALSE),B779),PlayerValues!E:E,0)),"N/A")</f>
        <v>16603</v>
      </c>
      <c r="B779" s="4" t="s">
        <v>587</v>
      </c>
      <c r="C779" s="4" t="s">
        <v>278</v>
      </c>
      <c r="D779" s="94">
        <v>1985.0</v>
      </c>
    </row>
    <row r="780">
      <c r="A780" s="40" t="str">
        <f t="array" ref="A780">IFNA(index(PlayerValues!A:A,match(IFNA(vlookup(B780,'Special Names'!A:B,2,FALSE),B780),PlayerValues!E:E,0)),"N/A")</f>
        <v>N/A</v>
      </c>
      <c r="B780" s="4" t="s">
        <v>101</v>
      </c>
      <c r="C780" s="4" t="s">
        <v>325</v>
      </c>
      <c r="D780" s="94">
        <v>1982.0</v>
      </c>
    </row>
    <row r="781">
      <c r="A781" s="40">
        <f t="array" ref="A781">IFNA(index(PlayerValues!A:A,match(IFNA(vlookup(B781,'Special Names'!A:B,2,FALSE),B781),PlayerValues!E:E,0)),"N/A")</f>
        <v>17184</v>
      </c>
      <c r="B781" s="4" t="s">
        <v>588</v>
      </c>
      <c r="C781" s="4" t="s">
        <v>287</v>
      </c>
      <c r="D781" s="94">
        <v>1972.0</v>
      </c>
    </row>
    <row r="782">
      <c r="A782" s="40">
        <f t="array" ref="A782">IFNA(index(PlayerValues!A:A,match(IFNA(vlookup(B782,'Special Names'!A:B,2,FALSE),B782),PlayerValues!E:E,0)),"N/A")</f>
        <v>16201</v>
      </c>
      <c r="B782" s="4" t="s">
        <v>589</v>
      </c>
      <c r="C782" s="4" t="s">
        <v>287</v>
      </c>
      <c r="D782" s="94">
        <v>1969.0</v>
      </c>
    </row>
    <row r="783">
      <c r="A783" s="40">
        <f t="array" ref="A783">IFNA(index(PlayerValues!A:A,match(IFNA(vlookup(B783,'Special Names'!A:B,2,FALSE),B783),PlayerValues!E:E,0)),"N/A")</f>
        <v>7836</v>
      </c>
      <c r="B783" s="4" t="s">
        <v>590</v>
      </c>
      <c r="C783" s="4" t="s">
        <v>283</v>
      </c>
      <c r="D783" s="94">
        <v>1951.0</v>
      </c>
    </row>
    <row r="784">
      <c r="A784" s="40">
        <f t="array" ref="A784">IFNA(index(PlayerValues!A:A,match(IFNA(vlookup(B784,'Special Names'!A:B,2,FALSE),B784),PlayerValues!E:E,0)),"N/A")</f>
        <v>14867</v>
      </c>
      <c r="B784" s="4" t="s">
        <v>591</v>
      </c>
      <c r="C784" s="4" t="s">
        <v>298</v>
      </c>
      <c r="D784" s="94">
        <v>2337.0</v>
      </c>
    </row>
    <row r="785">
      <c r="A785" s="40">
        <f t="array" ref="A785">IFNA(index(PlayerValues!A:A,match(IFNA(vlookup(B785,'Special Names'!A:B,2,FALSE),B785),PlayerValues!E:E,0)),"N/A")</f>
        <v>16036</v>
      </c>
      <c r="B785" s="4" t="s">
        <v>592</v>
      </c>
      <c r="C785" s="4" t="s">
        <v>298</v>
      </c>
      <c r="D785" s="94">
        <v>2330.0</v>
      </c>
    </row>
    <row r="786">
      <c r="A786" s="40">
        <f t="array" ref="A786">IFNA(index(PlayerValues!A:A,match(IFNA(vlookup(B786,'Special Names'!A:B,2,FALSE),B786),PlayerValues!E:E,0)),"N/A")</f>
        <v>17519</v>
      </c>
      <c r="B786" s="4" t="s">
        <v>593</v>
      </c>
      <c r="C786" s="4" t="s">
        <v>287</v>
      </c>
      <c r="D786" s="94">
        <v>1935.0</v>
      </c>
    </row>
    <row r="787">
      <c r="A787" s="40">
        <f t="array" ref="A787">IFNA(index(PlayerValues!A:A,match(IFNA(vlookup(B787,'Special Names'!A:B,2,FALSE),B787),PlayerValues!E:E,0)),"N/A")</f>
        <v>17548</v>
      </c>
      <c r="B787" s="4" t="s">
        <v>594</v>
      </c>
      <c r="C787" s="4" t="s">
        <v>298</v>
      </c>
      <c r="D787" s="94">
        <v>2314.0</v>
      </c>
    </row>
    <row r="788">
      <c r="A788" s="40">
        <f t="array" ref="A788">IFNA(index(PlayerValues!A:A,match(IFNA(vlookup(B788,'Special Names'!A:B,2,FALSE),B788),PlayerValues!E:E,0)),"N/A")</f>
        <v>16216</v>
      </c>
      <c r="B788" s="4" t="s">
        <v>595</v>
      </c>
      <c r="C788" s="4" t="s">
        <v>298</v>
      </c>
      <c r="D788" s="94">
        <v>2314.0</v>
      </c>
    </row>
    <row r="789">
      <c r="A789" s="40">
        <f t="array" ref="A789">IFNA(index(PlayerValues!A:A,match(IFNA(vlookup(B789,'Special Names'!A:B,2,FALSE),B789),PlayerValues!E:E,0)),"N/A")</f>
        <v>10700</v>
      </c>
      <c r="B789" s="4" t="s">
        <v>596</v>
      </c>
      <c r="C789" s="4" t="s">
        <v>283</v>
      </c>
      <c r="D789" s="94">
        <v>1926.0</v>
      </c>
    </row>
    <row r="790">
      <c r="A790" s="40">
        <f t="array" ref="A790">IFNA(index(PlayerValues!A:A,match(IFNA(vlookup(B790,'Special Names'!A:B,2,FALSE),B790),PlayerValues!E:E,0)),"N/A")</f>
        <v>16752</v>
      </c>
      <c r="B790" s="4" t="s">
        <v>597</v>
      </c>
      <c r="C790" s="4" t="s">
        <v>278</v>
      </c>
      <c r="D790" s="94">
        <v>1925.0</v>
      </c>
    </row>
    <row r="791">
      <c r="A791" s="40">
        <f t="array" ref="A791">IFNA(index(PlayerValues!A:A,match(IFNA(vlookup(B791,'Special Names'!A:B,2,FALSE),B791),PlayerValues!E:E,0)),"N/A")</f>
        <v>13132</v>
      </c>
      <c r="B791" s="4" t="s">
        <v>598</v>
      </c>
      <c r="C791" s="4" t="s">
        <v>278</v>
      </c>
      <c r="D791" s="94">
        <v>1920.0</v>
      </c>
    </row>
    <row r="792">
      <c r="A792" s="40">
        <f t="array" ref="A792">IFNA(index(PlayerValues!A:A,match(IFNA(vlookup(B792,'Special Names'!A:B,2,FALSE),B792),PlayerValues!E:E,0)),"N/A")</f>
        <v>16639</v>
      </c>
      <c r="B792" s="4" t="s">
        <v>599</v>
      </c>
      <c r="C792" s="4" t="s">
        <v>287</v>
      </c>
      <c r="D792" s="94">
        <v>1901.0</v>
      </c>
    </row>
    <row r="793">
      <c r="A793" s="40">
        <f t="array" ref="A793">IFNA(index(PlayerValues!A:A,match(IFNA(vlookup(B793,'Special Names'!A:B,2,FALSE),B793),PlayerValues!E:E,0)),"N/A")</f>
        <v>17087</v>
      </c>
      <c r="B793" s="4" t="s">
        <v>600</v>
      </c>
      <c r="C793" s="4" t="s">
        <v>287</v>
      </c>
      <c r="D793" s="94">
        <v>1894.0</v>
      </c>
    </row>
    <row r="794">
      <c r="A794" s="40">
        <f t="array" ref="A794">IFNA(index(PlayerValues!A:A,match(IFNA(vlookup(B794,'Special Names'!A:B,2,FALSE),B794),PlayerValues!E:E,0)),"N/A")</f>
        <v>16152</v>
      </c>
      <c r="B794" s="4" t="s">
        <v>601</v>
      </c>
      <c r="C794" s="4" t="s">
        <v>283</v>
      </c>
      <c r="D794" s="94">
        <v>1875.0</v>
      </c>
    </row>
    <row r="795">
      <c r="A795" s="40">
        <f t="array" ref="A795">IFNA(index(PlayerValues!A:A,match(IFNA(vlookup(B795,'Special Names'!A:B,2,FALSE),B795),PlayerValues!E:E,0)),"N/A")</f>
        <v>17046</v>
      </c>
      <c r="B795" s="4" t="s">
        <v>602</v>
      </c>
      <c r="C795" s="4" t="s">
        <v>278</v>
      </c>
      <c r="D795" s="94">
        <v>1868.0</v>
      </c>
    </row>
    <row r="796">
      <c r="A796" s="40">
        <f t="array" ref="A796">IFNA(index(PlayerValues!A:A,match(IFNA(vlookup(B796,'Special Names'!A:B,2,FALSE),B796),PlayerValues!E:E,0)),"N/A")</f>
        <v>17060</v>
      </c>
      <c r="B796" s="4" t="s">
        <v>603</v>
      </c>
      <c r="C796" s="4" t="s">
        <v>278</v>
      </c>
      <c r="D796" s="94">
        <v>1859.0</v>
      </c>
    </row>
    <row r="797">
      <c r="A797" s="40">
        <f t="array" ref="A797">IFNA(index(PlayerValues!A:A,match(IFNA(vlookup(B797,'Special Names'!A:B,2,FALSE),B797),PlayerValues!E:E,0)),"N/A")</f>
        <v>17069</v>
      </c>
      <c r="B797" s="4" t="s">
        <v>604</v>
      </c>
      <c r="C797" s="4" t="s">
        <v>278</v>
      </c>
      <c r="D797" s="94">
        <v>1848.0</v>
      </c>
    </row>
    <row r="798">
      <c r="A798" s="40">
        <f t="array" ref="A798">IFNA(index(PlayerValues!A:A,match(IFNA(vlookup(B798,'Special Names'!A:B,2,FALSE),B798),PlayerValues!E:E,0)),"N/A")</f>
        <v>16629</v>
      </c>
      <c r="B798" s="4" t="s">
        <v>605</v>
      </c>
      <c r="C798" s="4" t="s">
        <v>287</v>
      </c>
      <c r="D798" s="94">
        <v>1823.0</v>
      </c>
    </row>
    <row r="799">
      <c r="A799" s="40">
        <f t="array" ref="A799">IFNA(index(PlayerValues!A:A,match(IFNA(vlookup(B799,'Special Names'!A:B,2,FALSE),B799),PlayerValues!E:E,0)),"N/A")</f>
        <v>13113</v>
      </c>
      <c r="B799" s="4" t="s">
        <v>606</v>
      </c>
      <c r="C799" s="4" t="s">
        <v>283</v>
      </c>
      <c r="D799" s="94">
        <v>1822.0</v>
      </c>
    </row>
    <row r="800">
      <c r="A800" s="40">
        <f t="array" ref="A800">IFNA(index(PlayerValues!A:A,match(IFNA(vlookup(B800,'Special Names'!A:B,2,FALSE),B800),PlayerValues!E:E,0)),"N/A")</f>
        <v>16594</v>
      </c>
      <c r="B800" s="4" t="s">
        <v>607</v>
      </c>
      <c r="C800" s="4" t="s">
        <v>278</v>
      </c>
      <c r="D800" s="94">
        <v>1819.0</v>
      </c>
    </row>
    <row r="801">
      <c r="A801" s="40" t="str">
        <f t="array" ref="A801">IFNA(index(PlayerValues!A:A,match(IFNA(vlookup(B801,'Special Names'!A:B,2,FALSE),B801),PlayerValues!E:E,0)),"N/A")</f>
        <v>N/A</v>
      </c>
      <c r="B801" s="4" t="s">
        <v>102</v>
      </c>
      <c r="C801" s="4" t="s">
        <v>325</v>
      </c>
      <c r="D801" s="94">
        <v>1818.0</v>
      </c>
    </row>
    <row r="802">
      <c r="A802" s="40">
        <f t="array" ref="A802">IFNA(index(PlayerValues!A:A,match(IFNA(vlookup(B802,'Special Names'!A:B,2,FALSE),B802),PlayerValues!E:E,0)),"N/A")</f>
        <v>17529</v>
      </c>
      <c r="B802" s="4" t="s">
        <v>608</v>
      </c>
      <c r="C802" s="4" t="s">
        <v>287</v>
      </c>
      <c r="D802" s="94">
        <v>1815.0</v>
      </c>
    </row>
    <row r="803">
      <c r="A803" s="40">
        <f t="array" ref="A803">IFNA(index(PlayerValues!A:A,match(IFNA(vlookup(B803,'Special Names'!A:B,2,FALSE),B803),PlayerValues!E:E,0)),"N/A")</f>
        <v>16643</v>
      </c>
      <c r="B803" s="4" t="s">
        <v>609</v>
      </c>
      <c r="C803" s="4" t="s">
        <v>298</v>
      </c>
      <c r="D803" s="94">
        <v>2188.0</v>
      </c>
    </row>
    <row r="804">
      <c r="A804" s="40">
        <f t="array" ref="A804">IFNA(index(PlayerValues!A:A,match(IFNA(vlookup(B804,'Special Names'!A:B,2,FALSE),B804),PlayerValues!E:E,0)),"N/A")</f>
        <v>15787</v>
      </c>
      <c r="B804" s="4" t="s">
        <v>610</v>
      </c>
      <c r="C804" s="4" t="s">
        <v>287</v>
      </c>
      <c r="D804" s="94">
        <v>1803.0</v>
      </c>
    </row>
    <row r="805">
      <c r="A805" s="40">
        <f t="array" ref="A805">IFNA(index(PlayerValues!A:A,match(IFNA(vlookup(B805,'Special Names'!A:B,2,FALSE),B805),PlayerValues!E:E,0)),"N/A")</f>
        <v>14974</v>
      </c>
      <c r="B805" s="4" t="s">
        <v>611</v>
      </c>
      <c r="C805" s="4" t="s">
        <v>287</v>
      </c>
      <c r="D805" s="94">
        <v>1799.0</v>
      </c>
    </row>
    <row r="806">
      <c r="A806" s="40">
        <f t="array" ref="A806">IFNA(index(PlayerValues!A:A,match(IFNA(vlookup(B806,'Special Names'!A:B,2,FALSE),B806),PlayerValues!E:E,0)),"N/A")</f>
        <v>17086</v>
      </c>
      <c r="B806" s="4" t="s">
        <v>612</v>
      </c>
      <c r="C806" s="4" t="s">
        <v>287</v>
      </c>
      <c r="D806" s="94">
        <v>1797.0</v>
      </c>
    </row>
    <row r="807">
      <c r="A807" s="40">
        <f t="array" ref="A807">IFNA(index(PlayerValues!A:A,match(IFNA(vlookup(B807,'Special Names'!A:B,2,FALSE),B807),PlayerValues!E:E,0)),"N/A")</f>
        <v>15238</v>
      </c>
      <c r="B807" s="4" t="s">
        <v>613</v>
      </c>
      <c r="C807" s="4" t="s">
        <v>283</v>
      </c>
      <c r="D807" s="94">
        <v>1794.0</v>
      </c>
    </row>
    <row r="808">
      <c r="A808" s="40">
        <f t="array" ref="A808">IFNA(index(PlayerValues!A:A,match(IFNA(vlookup(B808,'Special Names'!A:B,2,FALSE),B808),PlayerValues!E:E,0)),"N/A")</f>
        <v>17706</v>
      </c>
      <c r="B808" s="4" t="s">
        <v>614</v>
      </c>
      <c r="C808" s="4" t="s">
        <v>287</v>
      </c>
      <c r="D808" s="94">
        <v>1783.0</v>
      </c>
    </row>
    <row r="809">
      <c r="A809" s="40">
        <f t="array" ref="A809">IFNA(index(PlayerValues!A:A,match(IFNA(vlookup(B809,'Special Names'!A:B,2,FALSE),B809),PlayerValues!E:E,0)),"N/A")</f>
        <v>17475</v>
      </c>
      <c r="B809" s="4" t="s">
        <v>615</v>
      </c>
      <c r="C809" s="4" t="s">
        <v>278</v>
      </c>
      <c r="D809" s="94">
        <v>1771.0</v>
      </c>
    </row>
    <row r="810">
      <c r="A810" s="40">
        <f t="array" ref="A810">IFNA(index(PlayerValues!A:A,match(IFNA(vlookup(B810,'Special Names'!A:B,2,FALSE),B810),PlayerValues!E:E,0)),"N/A")</f>
        <v>17541</v>
      </c>
      <c r="B810" s="4" t="s">
        <v>616</v>
      </c>
      <c r="C810" s="4" t="s">
        <v>287</v>
      </c>
      <c r="D810" s="94">
        <v>1771.0</v>
      </c>
    </row>
    <row r="811">
      <c r="A811" s="40" t="str">
        <f t="array" ref="A811">IFNA(index(PlayerValues!A:A,match(IFNA(vlookup(B811,'Special Names'!A:B,2,FALSE),B811),PlayerValues!E:E,0)),"N/A")</f>
        <v>N/A</v>
      </c>
      <c r="B811" s="4" t="s">
        <v>89</v>
      </c>
      <c r="C811" s="4" t="s">
        <v>325</v>
      </c>
      <c r="D811" s="94">
        <v>1747.0</v>
      </c>
    </row>
    <row r="812">
      <c r="A812" s="40">
        <f t="array" ref="A812">IFNA(index(PlayerValues!A:A,match(IFNA(vlookup(B812,'Special Names'!A:B,2,FALSE),B812),PlayerValues!E:E,0)),"N/A")</f>
        <v>17036</v>
      </c>
      <c r="B812" s="4" t="s">
        <v>617</v>
      </c>
      <c r="C812" s="4" t="s">
        <v>283</v>
      </c>
      <c r="D812" s="94">
        <v>1731.0</v>
      </c>
    </row>
    <row r="813">
      <c r="A813" s="40">
        <f t="array" ref="A813">IFNA(index(PlayerValues!A:A,match(IFNA(vlookup(B813,'Special Names'!A:B,2,FALSE),B813),PlayerValues!E:E,0)),"N/A")</f>
        <v>16171</v>
      </c>
      <c r="B813" s="4" t="s">
        <v>618</v>
      </c>
      <c r="C813" s="4" t="s">
        <v>278</v>
      </c>
      <c r="D813" s="94">
        <v>1727.0</v>
      </c>
    </row>
    <row r="814">
      <c r="A814" s="40">
        <f t="array" ref="A814">IFNA(index(PlayerValues!A:A,match(IFNA(vlookup(B814,'Special Names'!A:B,2,FALSE),B814),PlayerValues!E:E,0)),"N/A")</f>
        <v>13629</v>
      </c>
      <c r="B814" s="4" t="s">
        <v>619</v>
      </c>
      <c r="C814" s="4" t="s">
        <v>287</v>
      </c>
      <c r="D814" s="94">
        <v>1723.0</v>
      </c>
    </row>
    <row r="815">
      <c r="A815" s="40" t="str">
        <f t="array" ref="A815">IFNA(index(PlayerValues!A:A,match(IFNA(vlookup(B815,'Special Names'!A:B,2,FALSE),B815),PlayerValues!E:E,0)),"N/A")</f>
        <v>N/A</v>
      </c>
      <c r="B815" s="4" t="s">
        <v>103</v>
      </c>
      <c r="C815" s="4" t="s">
        <v>325</v>
      </c>
      <c r="D815" s="94">
        <v>1713.0</v>
      </c>
    </row>
    <row r="816">
      <c r="A816" s="40">
        <f t="array" ref="A816">IFNA(index(PlayerValues!A:A,match(IFNA(vlookup(B816,'Special Names'!A:B,2,FALSE),B816),PlayerValues!E:E,0)),"N/A")</f>
        <v>16432</v>
      </c>
      <c r="B816" s="4" t="s">
        <v>620</v>
      </c>
      <c r="C816" s="4" t="s">
        <v>278</v>
      </c>
      <c r="D816" s="94">
        <v>1709.0</v>
      </c>
    </row>
    <row r="817">
      <c r="A817" s="40">
        <f t="array" ref="A817">IFNA(index(PlayerValues!A:A,match(IFNA(vlookup(B817,'Special Names'!A:B,2,FALSE),B817),PlayerValues!E:E,0)),"N/A")</f>
        <v>16788</v>
      </c>
      <c r="B817" s="4" t="s">
        <v>621</v>
      </c>
      <c r="C817" s="4" t="s">
        <v>287</v>
      </c>
      <c r="D817" s="94">
        <v>1707.0</v>
      </c>
    </row>
    <row r="818">
      <c r="A818" s="40">
        <f t="array" ref="A818">IFNA(index(PlayerValues!A:A,match(IFNA(vlookup(B818,'Special Names'!A:B,2,FALSE),B818),PlayerValues!E:E,0)),"N/A")</f>
        <v>11222</v>
      </c>
      <c r="B818" s="4" t="s">
        <v>622</v>
      </c>
      <c r="C818" s="4" t="s">
        <v>287</v>
      </c>
      <c r="D818" s="94">
        <v>1702.0</v>
      </c>
    </row>
    <row r="819">
      <c r="A819" s="40" t="str">
        <f t="array" ref="A819">IFNA(index(PlayerValues!A:A,match(IFNA(vlookup(B819,'Special Names'!A:B,2,FALSE),B819),PlayerValues!E:E,0)),"N/A")</f>
        <v>N/A</v>
      </c>
      <c r="B819" s="4" t="s">
        <v>90</v>
      </c>
      <c r="C819" s="4" t="s">
        <v>325</v>
      </c>
      <c r="D819" s="94">
        <v>1699.0</v>
      </c>
    </row>
    <row r="820">
      <c r="A820" s="40">
        <f t="array" ref="A820">IFNA(index(PlayerValues!A:A,match(IFNA(vlookup(B820,'Special Names'!A:B,2,FALSE),B820),PlayerValues!E:E,0)),"N/A")</f>
        <v>16585</v>
      </c>
      <c r="B820" s="4" t="s">
        <v>623</v>
      </c>
      <c r="C820" s="4" t="s">
        <v>283</v>
      </c>
      <c r="D820" s="94">
        <v>1689.0</v>
      </c>
    </row>
    <row r="821">
      <c r="A821" s="40">
        <f t="array" ref="A821">IFNA(index(PlayerValues!A:A,match(IFNA(vlookup(B821,'Special Names'!A:B,2,FALSE),B821),PlayerValues!E:E,0)),"N/A")</f>
        <v>17049</v>
      </c>
      <c r="B821" s="4" t="s">
        <v>624</v>
      </c>
      <c r="C821" s="4" t="s">
        <v>278</v>
      </c>
      <c r="D821" s="94">
        <v>1688.0</v>
      </c>
    </row>
    <row r="822">
      <c r="A822" s="40">
        <f t="array" ref="A822">IFNA(index(PlayerValues!A:A,match(IFNA(vlookup(B822,'Special Names'!A:B,2,FALSE),B822),PlayerValues!E:E,0)),"N/A")</f>
        <v>13633</v>
      </c>
      <c r="B822" s="4" t="s">
        <v>625</v>
      </c>
      <c r="C822" s="4" t="s">
        <v>287</v>
      </c>
      <c r="D822" s="94">
        <v>1686.0</v>
      </c>
    </row>
    <row r="823">
      <c r="A823" s="40">
        <f t="array" ref="A823">IFNA(index(PlayerValues!A:A,match(IFNA(vlookup(B823,'Special Names'!A:B,2,FALSE),B823),PlayerValues!E:E,0)),"N/A")</f>
        <v>13189</v>
      </c>
      <c r="B823" s="4" t="s">
        <v>626</v>
      </c>
      <c r="C823" s="4" t="s">
        <v>298</v>
      </c>
      <c r="D823" s="94">
        <v>2050.0</v>
      </c>
    </row>
    <row r="824">
      <c r="A824" s="40">
        <f t="array" ref="A824">IFNA(index(PlayerValues!A:A,match(IFNA(vlookup(B824,'Special Names'!A:B,2,FALSE),B824),PlayerValues!E:E,0)),"N/A")</f>
        <v>15788</v>
      </c>
      <c r="B824" s="4" t="s">
        <v>627</v>
      </c>
      <c r="C824" s="4" t="s">
        <v>287</v>
      </c>
      <c r="D824" s="94">
        <v>1663.0</v>
      </c>
    </row>
    <row r="825">
      <c r="A825" s="40">
        <f t="array" ref="A825">IFNA(index(PlayerValues!A:A,match(IFNA(vlookup(B825,'Special Names'!A:B,2,FALSE),B825),PlayerValues!E:E,0)),"N/A")</f>
        <v>15755</v>
      </c>
      <c r="B825" s="4" t="s">
        <v>628</v>
      </c>
      <c r="C825" s="4" t="s">
        <v>287</v>
      </c>
      <c r="D825" s="94">
        <v>1660.0</v>
      </c>
    </row>
    <row r="826">
      <c r="A826" s="40">
        <f t="array" ref="A826">IFNA(index(PlayerValues!A:A,match(IFNA(vlookup(B826,'Special Names'!A:B,2,FALSE),B826),PlayerValues!E:E,0)),"N/A")</f>
        <v>16608</v>
      </c>
      <c r="B826" s="4" t="s">
        <v>629</v>
      </c>
      <c r="C826" s="4" t="s">
        <v>278</v>
      </c>
      <c r="D826" s="94">
        <v>1643.0</v>
      </c>
    </row>
    <row r="827">
      <c r="A827" s="40">
        <f t="array" ref="A827">IFNA(index(PlayerValues!A:A,match(IFNA(vlookup(B827,'Special Names'!A:B,2,FALSE),B827),PlayerValues!E:E,0)),"N/A")</f>
        <v>17685</v>
      </c>
      <c r="B827" s="4" t="s">
        <v>630</v>
      </c>
      <c r="C827" s="4" t="s">
        <v>278</v>
      </c>
      <c r="D827" s="94">
        <v>1633.0</v>
      </c>
    </row>
    <row r="828">
      <c r="A828" s="40">
        <f t="array" ref="A828">IFNA(index(PlayerValues!A:A,match(IFNA(vlookup(B828,'Special Names'!A:B,2,FALSE),B828),PlayerValues!E:E,0)),"N/A")</f>
        <v>17064</v>
      </c>
      <c r="B828" s="4" t="s">
        <v>631</v>
      </c>
      <c r="C828" s="4" t="s">
        <v>278</v>
      </c>
      <c r="D828" s="94">
        <v>1622.0</v>
      </c>
    </row>
    <row r="829">
      <c r="A829" s="40">
        <f t="array" ref="A829">IFNA(index(PlayerValues!A:A,match(IFNA(vlookup(B829,'Special Names'!A:B,2,FALSE),B829),PlayerValues!E:E,0)),"N/A")</f>
        <v>13164</v>
      </c>
      <c r="B829" s="4" t="s">
        <v>632</v>
      </c>
      <c r="C829" s="4" t="s">
        <v>287</v>
      </c>
      <c r="D829" s="94">
        <v>1617.0</v>
      </c>
    </row>
    <row r="830">
      <c r="A830" s="40">
        <f t="array" ref="A830">IFNA(index(PlayerValues!A:A,match(IFNA(vlookup(B830,'Special Names'!A:B,2,FALSE),B830),PlayerValues!E:E,0)),"N/A")</f>
        <v>15254</v>
      </c>
      <c r="B830" s="4" t="s">
        <v>633</v>
      </c>
      <c r="C830" s="4" t="s">
        <v>278</v>
      </c>
      <c r="D830" s="94">
        <v>1613.0</v>
      </c>
    </row>
    <row r="831">
      <c r="A831" s="40" t="str">
        <f t="array" ref="A831">IFNA(index(PlayerValues!A:A,match(IFNA(vlookup(B831,'Special Names'!A:B,2,FALSE),B831),PlayerValues!E:E,0)),"N/A")</f>
        <v>N/A</v>
      </c>
      <c r="B831" s="4" t="s">
        <v>115</v>
      </c>
      <c r="C831" s="4" t="s">
        <v>325</v>
      </c>
      <c r="D831" s="94">
        <v>1613.0</v>
      </c>
    </row>
    <row r="832">
      <c r="A832" s="40">
        <f t="array" ref="A832">IFNA(index(PlayerValues!A:A,match(IFNA(vlookup(B832,'Special Names'!A:B,2,FALSE),B832),PlayerValues!E:E,0)),"N/A")</f>
        <v>15738</v>
      </c>
      <c r="B832" s="4" t="s">
        <v>634</v>
      </c>
      <c r="C832" s="4" t="s">
        <v>278</v>
      </c>
      <c r="D832" s="94">
        <v>1609.0</v>
      </c>
    </row>
    <row r="833">
      <c r="A833" s="40">
        <f t="array" ref="A833">IFNA(index(PlayerValues!A:A,match(IFNA(vlookup(B833,'Special Names'!A:B,2,FALSE),B833),PlayerValues!E:E,0)),"N/A")</f>
        <v>14143</v>
      </c>
      <c r="B833" s="4" t="s">
        <v>635</v>
      </c>
      <c r="C833" s="4" t="s">
        <v>298</v>
      </c>
      <c r="D833" s="94">
        <v>1980.0</v>
      </c>
    </row>
    <row r="834">
      <c r="A834" s="40">
        <f t="array" ref="A834">IFNA(index(PlayerValues!A:A,match(IFNA(vlookup(B834,'Special Names'!A:B,2,FALSE),B834),PlayerValues!E:E,0)),"N/A")</f>
        <v>16207</v>
      </c>
      <c r="B834" s="4" t="s">
        <v>636</v>
      </c>
      <c r="C834" s="4" t="s">
        <v>287</v>
      </c>
      <c r="D834" s="94">
        <v>1596.0</v>
      </c>
    </row>
    <row r="835">
      <c r="A835" s="40">
        <f t="array" ref="A835">IFNA(index(PlayerValues!A:A,match(IFNA(vlookup(B835,'Special Names'!A:B,2,FALSE),B835),PlayerValues!E:E,0)),"N/A")</f>
        <v>16215</v>
      </c>
      <c r="B835" s="4" t="s">
        <v>637</v>
      </c>
      <c r="C835" s="4" t="s">
        <v>298</v>
      </c>
      <c r="D835" s="94">
        <v>1969.0</v>
      </c>
    </row>
    <row r="836">
      <c r="A836" s="40">
        <f t="array" ref="A836">IFNA(index(PlayerValues!A:A,match(IFNA(vlookup(B836,'Special Names'!A:B,2,FALSE),B836),PlayerValues!E:E,0)),"N/A")</f>
        <v>17096</v>
      </c>
      <c r="B836" s="4" t="s">
        <v>638</v>
      </c>
      <c r="C836" s="4" t="s">
        <v>287</v>
      </c>
      <c r="D836" s="94">
        <v>1591.0</v>
      </c>
    </row>
    <row r="837">
      <c r="A837" s="40">
        <f t="array" ref="A837">IFNA(index(PlayerValues!A:A,match(IFNA(vlookup(B837,'Special Names'!A:B,2,FALSE),B837),PlayerValues!E:E,0)),"N/A")</f>
        <v>14086</v>
      </c>
      <c r="B837" s="4" t="s">
        <v>639</v>
      </c>
      <c r="C837" s="4" t="s">
        <v>278</v>
      </c>
      <c r="D837" s="94">
        <v>1557.0</v>
      </c>
    </row>
    <row r="838">
      <c r="A838" s="40">
        <f t="array" ref="A838">IFNA(index(PlayerValues!A:A,match(IFNA(vlookup(B838,'Special Names'!A:B,2,FALSE),B838),PlayerValues!E:E,0)),"N/A")</f>
        <v>16644</v>
      </c>
      <c r="B838" s="4" t="s">
        <v>640</v>
      </c>
      <c r="C838" s="4" t="s">
        <v>298</v>
      </c>
      <c r="D838" s="94">
        <v>1915.0</v>
      </c>
    </row>
    <row r="839">
      <c r="A839" s="40">
        <f t="array" ref="A839">IFNA(index(PlayerValues!A:A,match(IFNA(vlookup(B839,'Special Names'!A:B,2,FALSE),B839),PlayerValues!E:E,0)),"N/A")</f>
        <v>17058</v>
      </c>
      <c r="B839" s="4" t="s">
        <v>641</v>
      </c>
      <c r="C839" s="4" t="s">
        <v>278</v>
      </c>
      <c r="D839" s="94">
        <v>1525.0</v>
      </c>
    </row>
    <row r="840">
      <c r="A840" s="40" t="str">
        <f t="array" ref="A840">IFNA(index(PlayerValues!A:A,match(IFNA(vlookup(B840,'Special Names'!A:B,2,FALSE),B840),PlayerValues!E:E,0)),"N/A")</f>
        <v>N/A</v>
      </c>
      <c r="B840" s="4" t="s">
        <v>116</v>
      </c>
      <c r="C840" s="4" t="s">
        <v>325</v>
      </c>
      <c r="D840" s="94">
        <v>1523.0</v>
      </c>
    </row>
    <row r="841">
      <c r="A841" s="40">
        <f t="array" ref="A841">IFNA(index(PlayerValues!A:A,match(IFNA(vlookup(B841,'Special Names'!A:B,2,FALSE),B841),PlayerValues!E:E,0)),"N/A")</f>
        <v>17657</v>
      </c>
      <c r="B841" s="4" t="s">
        <v>642</v>
      </c>
      <c r="C841" s="4" t="s">
        <v>283</v>
      </c>
      <c r="D841" s="94">
        <v>1523.0</v>
      </c>
    </row>
    <row r="842">
      <c r="A842" s="40">
        <f t="array" ref="A842">IFNA(index(PlayerValues!A:A,match(IFNA(vlookup(B842,'Special Names'!A:B,2,FALSE),B842),PlayerValues!E:E,0)),"N/A")</f>
        <v>17034</v>
      </c>
      <c r="B842" s="4" t="s">
        <v>643</v>
      </c>
      <c r="C842" s="4" t="s">
        <v>283</v>
      </c>
      <c r="D842" s="94">
        <v>1520.0</v>
      </c>
    </row>
    <row r="843">
      <c r="A843" s="40">
        <f t="array" ref="A843">IFNA(index(PlayerValues!A:A,match(IFNA(vlookup(B843,'Special Names'!A:B,2,FALSE),B843),PlayerValues!E:E,0)),"N/A")</f>
        <v>15319</v>
      </c>
      <c r="B843" s="4" t="s">
        <v>644</v>
      </c>
      <c r="C843" s="4" t="s">
        <v>287</v>
      </c>
      <c r="D843" s="94">
        <v>1519.0</v>
      </c>
    </row>
    <row r="844">
      <c r="A844" s="40" t="str">
        <f t="array" ref="A844">IFNA(index(PlayerValues!A:A,match(IFNA(vlookup(B844,'Special Names'!A:B,2,FALSE),B844),PlayerValues!E:E,0)),"N/A")</f>
        <v>N/A</v>
      </c>
      <c r="B844" s="4" t="s">
        <v>91</v>
      </c>
      <c r="C844" s="4" t="s">
        <v>325</v>
      </c>
      <c r="D844" s="94">
        <v>1514.0</v>
      </c>
    </row>
    <row r="845">
      <c r="A845" s="40">
        <f t="array" ref="A845">IFNA(index(PlayerValues!A:A,match(IFNA(vlookup(B845,'Special Names'!A:B,2,FALSE),B845),PlayerValues!E:E,0)),"N/A")</f>
        <v>16635</v>
      </c>
      <c r="B845" s="4" t="s">
        <v>645</v>
      </c>
      <c r="C845" s="4" t="s">
        <v>287</v>
      </c>
      <c r="D845" s="94">
        <v>1503.0</v>
      </c>
    </row>
    <row r="846">
      <c r="A846" s="40">
        <f t="array" ref="A846">IFNA(index(PlayerValues!A:A,match(IFNA(vlookup(B846,'Special Names'!A:B,2,FALSE),B846),PlayerValues!E:E,0)),"N/A")</f>
        <v>16387</v>
      </c>
      <c r="B846" s="4" t="s">
        <v>646</v>
      </c>
      <c r="C846" s="4" t="s">
        <v>278</v>
      </c>
      <c r="D846" s="94">
        <v>1500.0</v>
      </c>
    </row>
    <row r="847">
      <c r="A847" s="40">
        <f t="array" ref="A847">IFNA(index(PlayerValues!A:A,match(IFNA(vlookup(B847,'Special Names'!A:B,2,FALSE),B847),PlayerValues!E:E,0)),"N/A")</f>
        <v>15752</v>
      </c>
      <c r="B847" s="4" t="s">
        <v>647</v>
      </c>
      <c r="C847" s="4" t="s">
        <v>287</v>
      </c>
      <c r="D847" s="94">
        <v>1489.0</v>
      </c>
    </row>
    <row r="848">
      <c r="A848" s="40">
        <f t="array" ref="A848">IFNA(index(PlayerValues!A:A,match(IFNA(vlookup(B848,'Special Names'!A:B,2,FALSE),B848),PlayerValues!E:E,0)),"N/A")</f>
        <v>16601</v>
      </c>
      <c r="B848" s="4" t="s">
        <v>648</v>
      </c>
      <c r="C848" s="4" t="s">
        <v>278</v>
      </c>
      <c r="D848" s="94">
        <v>1476.0</v>
      </c>
    </row>
    <row r="849">
      <c r="A849" s="40">
        <f t="array" ref="A849">IFNA(index(PlayerValues!A:A,match(IFNA(vlookup(B849,'Special Names'!A:B,2,FALSE),B849),PlayerValues!E:E,0)),"N/A")</f>
        <v>17465</v>
      </c>
      <c r="B849" s="4" t="s">
        <v>649</v>
      </c>
      <c r="C849" s="4" t="s">
        <v>283</v>
      </c>
      <c r="D849" s="94">
        <v>1473.0</v>
      </c>
    </row>
    <row r="850">
      <c r="A850" s="40">
        <f t="array" ref="A850">IFNA(index(PlayerValues!A:A,match(IFNA(vlookup(B850,'Special Names'!A:B,2,FALSE),B850),PlayerValues!E:E,0)),"N/A")</f>
        <v>17035</v>
      </c>
      <c r="B850" s="4" t="s">
        <v>650</v>
      </c>
      <c r="C850" s="4" t="s">
        <v>283</v>
      </c>
      <c r="D850" s="94">
        <v>1462.0</v>
      </c>
    </row>
    <row r="851">
      <c r="A851" s="40">
        <f t="array" ref="A851">IFNA(index(PlayerValues!A:A,match(IFNA(vlookup(B851,'Special Names'!A:B,2,FALSE),B851),PlayerValues!E:E,0)),"N/A")</f>
        <v>16645</v>
      </c>
      <c r="B851" s="4" t="s">
        <v>651</v>
      </c>
      <c r="C851" s="4" t="s">
        <v>298</v>
      </c>
      <c r="D851" s="94">
        <v>1833.0</v>
      </c>
    </row>
    <row r="852">
      <c r="A852" s="40">
        <f t="array" ref="A852">IFNA(index(PlayerValues!A:A,match(IFNA(vlookup(B852,'Special Names'!A:B,2,FALSE),B852),PlayerValues!E:E,0)),"N/A")</f>
        <v>13146</v>
      </c>
      <c r="B852" s="4" t="s">
        <v>652</v>
      </c>
      <c r="C852" s="4" t="s">
        <v>278</v>
      </c>
      <c r="D852" s="94">
        <v>1460.0</v>
      </c>
    </row>
    <row r="853">
      <c r="A853" s="40">
        <f t="array" ref="A853">IFNA(index(PlayerValues!A:A,match(IFNA(vlookup(B853,'Special Names'!A:B,2,FALSE),B853),PlayerValues!E:E,0)),"N/A")</f>
        <v>17234</v>
      </c>
      <c r="B853" s="4" t="s">
        <v>653</v>
      </c>
      <c r="C853" s="4" t="s">
        <v>287</v>
      </c>
      <c r="D853" s="94">
        <v>1450.0</v>
      </c>
    </row>
    <row r="854">
      <c r="A854" s="40">
        <f t="array" ref="A854">IFNA(index(PlayerValues!A:A,match(IFNA(vlookup(B854,'Special Names'!A:B,2,FALSE),B854),PlayerValues!E:E,0)),"N/A")</f>
        <v>16175</v>
      </c>
      <c r="B854" s="4" t="s">
        <v>654</v>
      </c>
      <c r="C854" s="4" t="s">
        <v>278</v>
      </c>
      <c r="D854" s="94">
        <v>1447.0</v>
      </c>
    </row>
    <row r="855">
      <c r="A855" s="40">
        <f t="array" ref="A855">IFNA(index(PlayerValues!A:A,match(IFNA(vlookup(B855,'Special Names'!A:B,2,FALSE),B855),PlayerValues!E:E,0)),"N/A")</f>
        <v>15337</v>
      </c>
      <c r="B855" s="4" t="s">
        <v>655</v>
      </c>
      <c r="C855" s="4" t="s">
        <v>298</v>
      </c>
      <c r="D855" s="94">
        <v>1800.0</v>
      </c>
    </row>
    <row r="856">
      <c r="A856" s="40">
        <f t="array" ref="A856">IFNA(index(PlayerValues!A:A,match(IFNA(vlookup(B856,'Special Names'!A:B,2,FALSE),B856),PlayerValues!E:E,0)),"N/A")</f>
        <v>16633</v>
      </c>
      <c r="B856" s="4" t="s">
        <v>656</v>
      </c>
      <c r="C856" s="4" t="s">
        <v>287</v>
      </c>
      <c r="D856" s="94">
        <v>1430.0</v>
      </c>
    </row>
    <row r="857">
      <c r="A857" s="40">
        <f t="array" ref="A857">IFNA(index(PlayerValues!A:A,match(IFNA(vlookup(B857,'Special Names'!A:B,2,FALSE),B857),PlayerValues!E:E,0)),"N/A")</f>
        <v>15301</v>
      </c>
      <c r="B857" s="4" t="s">
        <v>657</v>
      </c>
      <c r="C857" s="4" t="s">
        <v>287</v>
      </c>
      <c r="D857" s="94">
        <v>1412.0</v>
      </c>
    </row>
    <row r="858">
      <c r="A858" s="40">
        <f t="array" ref="A858">IFNA(index(PlayerValues!A:A,match(IFNA(vlookup(B858,'Special Names'!A:B,2,FALSE),B858),PlayerValues!E:E,0)),"N/A")</f>
        <v>16586</v>
      </c>
      <c r="B858" s="4" t="s">
        <v>658</v>
      </c>
      <c r="C858" s="4" t="s">
        <v>283</v>
      </c>
      <c r="D858" s="94">
        <v>1401.0</v>
      </c>
    </row>
    <row r="859">
      <c r="A859" s="40">
        <f t="array" ref="A859">IFNA(index(PlayerValues!A:A,match(IFNA(vlookup(B859,'Special Names'!A:B,2,FALSE),B859),PlayerValues!E:E,0)),"N/A")</f>
        <v>17097</v>
      </c>
      <c r="B859" s="4" t="s">
        <v>659</v>
      </c>
      <c r="C859" s="4" t="s">
        <v>287</v>
      </c>
      <c r="D859" s="94">
        <v>1401.0</v>
      </c>
    </row>
    <row r="860">
      <c r="A860" s="40">
        <f t="array" ref="A860">IFNA(index(PlayerValues!A:A,match(IFNA(vlookup(B860,'Special Names'!A:B,2,FALSE),B860),PlayerValues!E:E,0)),"N/A")</f>
        <v>17743</v>
      </c>
      <c r="B860" s="4" t="s">
        <v>660</v>
      </c>
      <c r="C860" s="4" t="s">
        <v>283</v>
      </c>
      <c r="D860" s="94">
        <v>1398.0</v>
      </c>
    </row>
    <row r="861">
      <c r="A861" s="40">
        <f t="array" ref="A861">IFNA(index(PlayerValues!A:A,match(IFNA(vlookup(B861,'Special Names'!A:B,2,FALSE),B861),PlayerValues!E:E,0)),"N/A")</f>
        <v>17510</v>
      </c>
      <c r="B861" s="4" t="s">
        <v>661</v>
      </c>
      <c r="C861" s="4" t="s">
        <v>287</v>
      </c>
      <c r="D861" s="94">
        <v>1395.0</v>
      </c>
    </row>
    <row r="862">
      <c r="A862" s="40">
        <f t="array" ref="A862">IFNA(index(PlayerValues!A:A,match(IFNA(vlookup(B862,'Special Names'!A:B,2,FALSE),B862),PlayerValues!E:E,0)),"N/A")</f>
        <v>15759</v>
      </c>
      <c r="B862" s="4" t="s">
        <v>662</v>
      </c>
      <c r="C862" s="4" t="s">
        <v>287</v>
      </c>
      <c r="D862" s="94">
        <v>1389.0</v>
      </c>
    </row>
    <row r="863">
      <c r="A863" s="40">
        <f t="array" ref="A863">IFNA(index(PlayerValues!A:A,match(IFNA(vlookup(B863,'Special Names'!A:B,2,FALSE),B863),PlayerValues!E:E,0)),"N/A")</f>
        <v>14122</v>
      </c>
      <c r="B863" s="4" t="s">
        <v>663</v>
      </c>
      <c r="C863" s="4" t="s">
        <v>287</v>
      </c>
      <c r="D863" s="94">
        <v>1384.0</v>
      </c>
    </row>
    <row r="864">
      <c r="A864" s="40">
        <f t="array" ref="A864">IFNA(index(PlayerValues!A:A,match(IFNA(vlookup(B864,'Special Names'!A:B,2,FALSE),B864),PlayerValues!E:E,0)),"N/A")</f>
        <v>16595</v>
      </c>
      <c r="B864" s="4" t="s">
        <v>664</v>
      </c>
      <c r="C864" s="4" t="s">
        <v>278</v>
      </c>
      <c r="D864" s="94">
        <v>1383.0</v>
      </c>
    </row>
    <row r="865">
      <c r="A865" s="40">
        <f t="array" ref="A865">IFNA(index(PlayerValues!A:A,match(IFNA(vlookup(B865,'Special Names'!A:B,2,FALSE),B865),PlayerValues!E:E,0)),"N/A")</f>
        <v>17205</v>
      </c>
      <c r="B865" s="4" t="s">
        <v>665</v>
      </c>
      <c r="C865" s="4" t="s">
        <v>287</v>
      </c>
      <c r="D865" s="94">
        <v>1380.0</v>
      </c>
    </row>
    <row r="866">
      <c r="A866" s="40" t="str">
        <f t="array" ref="A866">IFNA(index(PlayerValues!A:A,match(IFNA(vlookup(B866,'Special Names'!A:B,2,FALSE),B866),PlayerValues!E:E,0)),"N/A")</f>
        <v>N/A</v>
      </c>
      <c r="B866" s="4" t="s">
        <v>117</v>
      </c>
      <c r="C866" s="4" t="s">
        <v>325</v>
      </c>
      <c r="D866" s="94">
        <v>1376.0</v>
      </c>
    </row>
    <row r="867">
      <c r="A867" s="40">
        <f t="array" ref="A867">IFNA(index(PlayerValues!A:A,match(IFNA(vlookup(B867,'Special Names'!A:B,2,FALSE),B867),PlayerValues!E:E,0)),"N/A")</f>
        <v>16191</v>
      </c>
      <c r="B867" s="4" t="s">
        <v>666</v>
      </c>
      <c r="C867" s="4" t="s">
        <v>287</v>
      </c>
      <c r="D867" s="94">
        <v>1355.0</v>
      </c>
    </row>
    <row r="868">
      <c r="A868" s="40">
        <f t="array" ref="A868">IFNA(index(PlayerValues!A:A,match(IFNA(vlookup(B868,'Special Names'!A:B,2,FALSE),B868),PlayerValues!E:E,0)),"N/A")</f>
        <v>13672</v>
      </c>
      <c r="B868" s="4" t="s">
        <v>667</v>
      </c>
      <c r="C868" s="4" t="s">
        <v>298</v>
      </c>
      <c r="D868" s="94">
        <v>1709.0</v>
      </c>
    </row>
    <row r="869">
      <c r="A869" s="40">
        <f t="array" ref="A869">IFNA(index(PlayerValues!A:A,match(IFNA(vlookup(B869,'Special Names'!A:B,2,FALSE),B869),PlayerValues!E:E,0)),"N/A")</f>
        <v>17353</v>
      </c>
      <c r="B869" s="4" t="s">
        <v>668</v>
      </c>
      <c r="C869" s="4" t="s">
        <v>287</v>
      </c>
      <c r="D869" s="94">
        <v>1341.0</v>
      </c>
    </row>
    <row r="870">
      <c r="A870" s="40">
        <f t="array" ref="A870">IFNA(index(PlayerValues!A:A,match(IFNA(vlookup(B870,'Special Names'!A:B,2,FALSE),B870),PlayerValues!E:E,0)),"N/A")</f>
        <v>15795</v>
      </c>
      <c r="B870" s="4" t="s">
        <v>669</v>
      </c>
      <c r="C870" s="4" t="s">
        <v>298</v>
      </c>
      <c r="D870" s="94">
        <v>1698.0</v>
      </c>
    </row>
    <row r="871">
      <c r="A871" s="40">
        <f t="array" ref="A871">IFNA(index(PlayerValues!A:A,match(IFNA(vlookup(B871,'Special Names'!A:B,2,FALSE),B871),PlayerValues!E:E,0)),"N/A")</f>
        <v>17054</v>
      </c>
      <c r="B871" s="4" t="s">
        <v>670</v>
      </c>
      <c r="C871" s="4" t="s">
        <v>278</v>
      </c>
      <c r="D871" s="94">
        <v>1323.0</v>
      </c>
    </row>
    <row r="872">
      <c r="A872" s="40">
        <f t="array" ref="A872">IFNA(index(PlayerValues!A:A,match(IFNA(vlookup(B872,'Special Names'!A:B,2,FALSE),B872),PlayerValues!E:E,0)),"N/A")</f>
        <v>17546</v>
      </c>
      <c r="B872" s="4" t="s">
        <v>671</v>
      </c>
      <c r="C872" s="4" t="s">
        <v>298</v>
      </c>
      <c r="D872" s="94">
        <v>1669.0</v>
      </c>
    </row>
    <row r="873">
      <c r="A873" s="40">
        <f t="array" ref="A873">IFNA(index(PlayerValues!A:A,match(IFNA(vlookup(B873,'Special Names'!A:B,2,FALSE),B873),PlayerValues!E:E,0)),"N/A")</f>
        <v>16621</v>
      </c>
      <c r="B873" s="4" t="s">
        <v>672</v>
      </c>
      <c r="C873" s="4" t="s">
        <v>287</v>
      </c>
      <c r="D873" s="94">
        <v>1294.0</v>
      </c>
    </row>
    <row r="874">
      <c r="A874" s="40">
        <f t="array" ref="A874">IFNA(index(PlayerValues!A:A,match(IFNA(vlookup(B874,'Special Names'!A:B,2,FALSE),B874),PlayerValues!E:E,0)),"N/A")</f>
        <v>14108</v>
      </c>
      <c r="B874" s="4" t="s">
        <v>673</v>
      </c>
      <c r="C874" s="4" t="s">
        <v>287</v>
      </c>
      <c r="D874" s="94">
        <v>1289.0</v>
      </c>
    </row>
    <row r="875">
      <c r="A875" s="40">
        <f t="array" ref="A875">IFNA(index(PlayerValues!A:A,match(IFNA(vlookup(B875,'Special Names'!A:B,2,FALSE),B875),PlayerValues!E:E,0)),"N/A")</f>
        <v>17593</v>
      </c>
      <c r="B875" s="4" t="s">
        <v>674</v>
      </c>
      <c r="C875" s="4" t="s">
        <v>298</v>
      </c>
      <c r="D875" s="94">
        <v>1654.0</v>
      </c>
    </row>
    <row r="876">
      <c r="A876" s="40">
        <f t="array" ref="A876">IFNA(index(PlayerValues!A:A,match(IFNA(vlookup(B876,'Special Names'!A:B,2,FALSE),B876),PlayerValues!E:E,0)),"N/A")</f>
        <v>14105</v>
      </c>
      <c r="B876" s="4" t="s">
        <v>675</v>
      </c>
      <c r="C876" s="4" t="s">
        <v>287</v>
      </c>
      <c r="D876" s="94">
        <v>1283.0</v>
      </c>
    </row>
    <row r="877">
      <c r="A877" s="40">
        <f t="array" ref="A877">IFNA(index(PlayerValues!A:A,match(IFNA(vlookup(B877,'Special Names'!A:B,2,FALSE),B877),PlayerValues!E:E,0)),"N/A")</f>
        <v>14137</v>
      </c>
      <c r="B877" s="4" t="s">
        <v>676</v>
      </c>
      <c r="C877" s="4" t="s">
        <v>298</v>
      </c>
      <c r="D877" s="94">
        <v>1639.0</v>
      </c>
    </row>
    <row r="878">
      <c r="A878" s="40">
        <f t="array" ref="A878">IFNA(index(PlayerValues!A:A,match(IFNA(vlookup(B878,'Special Names'!A:B,2,FALSE),B878),PlayerValues!E:E,0)),"N/A")</f>
        <v>17192</v>
      </c>
      <c r="B878" s="4" t="s">
        <v>677</v>
      </c>
      <c r="C878" s="4" t="s">
        <v>287</v>
      </c>
      <c r="D878" s="94">
        <v>1273.0</v>
      </c>
    </row>
    <row r="879">
      <c r="A879" s="40">
        <f t="array" ref="A879">IFNA(index(PlayerValues!A:A,match(IFNA(vlookup(B879,'Special Names'!A:B,2,FALSE),B879),PlayerValues!E:E,0)),"N/A")</f>
        <v>16183</v>
      </c>
      <c r="B879" s="4" t="s">
        <v>678</v>
      </c>
      <c r="C879" s="4" t="s">
        <v>287</v>
      </c>
      <c r="D879" s="94">
        <v>1268.0</v>
      </c>
    </row>
    <row r="880">
      <c r="A880" s="40">
        <f t="array" ref="A880">IFNA(index(PlayerValues!A:A,match(IFNA(vlookup(B880,'Special Names'!A:B,2,FALSE),B880),PlayerValues!E:E,0)),"N/A")</f>
        <v>17254</v>
      </c>
      <c r="B880" s="4" t="s">
        <v>679</v>
      </c>
      <c r="C880" s="4" t="s">
        <v>287</v>
      </c>
      <c r="D880" s="94">
        <v>1268.0</v>
      </c>
    </row>
    <row r="881">
      <c r="A881" s="40">
        <f t="array" ref="A881">IFNA(index(PlayerValues!A:A,match(IFNA(vlookup(B881,'Special Names'!A:B,2,FALSE),B881),PlayerValues!E:E,0)),"N/A")</f>
        <v>14095</v>
      </c>
      <c r="B881" s="4" t="s">
        <v>680</v>
      </c>
      <c r="C881" s="4" t="s">
        <v>278</v>
      </c>
      <c r="D881" s="94">
        <v>1267.0</v>
      </c>
    </row>
    <row r="882">
      <c r="A882" s="40">
        <f t="array" ref="A882">IFNA(index(PlayerValues!A:A,match(IFNA(vlookup(B882,'Special Names'!A:B,2,FALSE),B882),PlayerValues!E:E,0)),"N/A")</f>
        <v>15873</v>
      </c>
      <c r="B882" s="4" t="s">
        <v>681</v>
      </c>
      <c r="C882" s="4" t="s">
        <v>298</v>
      </c>
      <c r="D882" s="94">
        <v>1635.0</v>
      </c>
    </row>
    <row r="883">
      <c r="A883" s="40">
        <f t="array" ref="A883">IFNA(index(PlayerValues!A:A,match(IFNA(vlookup(B883,'Special Names'!A:B,2,FALSE),B883),PlayerValues!E:E,0)),"N/A")</f>
        <v>15292</v>
      </c>
      <c r="B883" s="4" t="s">
        <v>682</v>
      </c>
      <c r="C883" s="4" t="s">
        <v>287</v>
      </c>
      <c r="D883" s="94">
        <v>1261.0</v>
      </c>
    </row>
    <row r="884">
      <c r="A884" s="40">
        <f t="array" ref="A884">IFNA(index(PlayerValues!A:A,match(IFNA(vlookup(B884,'Special Names'!A:B,2,FALSE),B884),PlayerValues!E:E,0)),"N/A")</f>
        <v>16883</v>
      </c>
      <c r="B884" s="4" t="s">
        <v>683</v>
      </c>
      <c r="C884" s="4" t="s">
        <v>287</v>
      </c>
      <c r="D884" s="94">
        <v>1259.0</v>
      </c>
    </row>
    <row r="885">
      <c r="A885" s="40">
        <f t="array" ref="A885">IFNA(index(PlayerValues!A:A,match(IFNA(vlookup(B885,'Special Names'!A:B,2,FALSE),B885),PlayerValues!E:E,0)),"N/A")</f>
        <v>17627</v>
      </c>
      <c r="B885" s="4" t="s">
        <v>684</v>
      </c>
      <c r="C885" s="4" t="s">
        <v>298</v>
      </c>
      <c r="D885" s="94">
        <v>1618.0</v>
      </c>
    </row>
    <row r="886">
      <c r="A886" s="40">
        <f t="array" ref="A886">IFNA(index(PlayerValues!A:A,match(IFNA(vlookup(B886,'Special Names'!A:B,2,FALSE),B886),PlayerValues!E:E,0)),"N/A")</f>
        <v>17542</v>
      </c>
      <c r="B886" s="4" t="s">
        <v>685</v>
      </c>
      <c r="C886" s="4" t="s">
        <v>287</v>
      </c>
      <c r="D886" s="94">
        <v>1247.0</v>
      </c>
    </row>
    <row r="887">
      <c r="A887" s="40">
        <f t="array" ref="A887">IFNA(index(PlayerValues!A:A,match(IFNA(vlookup(B887,'Special Names'!A:B,2,FALSE),B887),PlayerValues!E:E,0)),"N/A")</f>
        <v>17063</v>
      </c>
      <c r="B887" s="4" t="s">
        <v>686</v>
      </c>
      <c r="C887" s="4" t="s">
        <v>278</v>
      </c>
      <c r="D887" s="94">
        <v>1245.0</v>
      </c>
    </row>
    <row r="888">
      <c r="A888" s="40">
        <f t="array" ref="A888">IFNA(index(PlayerValues!A:A,match(IFNA(vlookup(B888,'Special Names'!A:B,2,FALSE),B888),PlayerValues!E:E,0)),"N/A")</f>
        <v>16199</v>
      </c>
      <c r="B888" s="4" t="s">
        <v>687</v>
      </c>
      <c r="C888" s="4" t="s">
        <v>287</v>
      </c>
      <c r="D888" s="94">
        <v>1245.0</v>
      </c>
    </row>
    <row r="889">
      <c r="A889" s="40">
        <f t="array" ref="A889">IFNA(index(PlayerValues!A:A,match(IFNA(vlookup(B889,'Special Names'!A:B,2,FALSE),B889),PlayerValues!E:E,0)),"N/A")</f>
        <v>16688</v>
      </c>
      <c r="B889" s="4" t="s">
        <v>688</v>
      </c>
      <c r="C889" s="4" t="s">
        <v>278</v>
      </c>
      <c r="D889" s="94">
        <v>1241.0</v>
      </c>
    </row>
    <row r="890">
      <c r="A890" s="40">
        <f t="array" ref="A890">IFNA(index(PlayerValues!A:A,match(IFNA(vlookup(B890,'Special Names'!A:B,2,FALSE),B890),PlayerValues!E:E,0)),"N/A")</f>
        <v>16390</v>
      </c>
      <c r="B890" s="4" t="s">
        <v>689</v>
      </c>
      <c r="C890" s="4" t="s">
        <v>278</v>
      </c>
      <c r="D890" s="94">
        <v>1239.0</v>
      </c>
    </row>
    <row r="891">
      <c r="A891" s="40">
        <f t="array" ref="A891">IFNA(index(PlayerValues!A:A,match(IFNA(vlookup(B891,'Special Names'!A:B,2,FALSE),B891),PlayerValues!E:E,0)),"N/A")</f>
        <v>16385</v>
      </c>
      <c r="B891" s="4" t="s">
        <v>690</v>
      </c>
      <c r="C891" s="4" t="s">
        <v>278</v>
      </c>
      <c r="D891" s="94">
        <v>1233.0</v>
      </c>
    </row>
    <row r="892">
      <c r="A892" s="40">
        <f t="array" ref="A892">IFNA(index(PlayerValues!A:A,match(IFNA(vlookup(B892,'Special Names'!A:B,2,FALSE),B892),PlayerValues!E:E,0)),"N/A")</f>
        <v>16642</v>
      </c>
      <c r="B892" s="4" t="s">
        <v>691</v>
      </c>
      <c r="C892" s="4" t="s">
        <v>298</v>
      </c>
      <c r="D892" s="94">
        <v>1597.0</v>
      </c>
    </row>
    <row r="893">
      <c r="A893" s="40">
        <f t="array" ref="A893">IFNA(index(PlayerValues!A:A,match(IFNA(vlookup(B893,'Special Names'!A:B,2,FALSE),B893),PlayerValues!E:E,0)),"N/A")</f>
        <v>17487</v>
      </c>
      <c r="B893" s="4" t="s">
        <v>692</v>
      </c>
      <c r="C893" s="4" t="s">
        <v>278</v>
      </c>
      <c r="D893" s="94">
        <v>1220.0</v>
      </c>
    </row>
    <row r="894">
      <c r="A894" s="40">
        <f t="array" ref="A894">IFNA(index(PlayerValues!A:A,match(IFNA(vlookup(B894,'Special Names'!A:B,2,FALSE),B894),PlayerValues!E:E,0)),"N/A")</f>
        <v>17504</v>
      </c>
      <c r="B894" s="4" t="s">
        <v>693</v>
      </c>
      <c r="C894" s="4" t="s">
        <v>287</v>
      </c>
      <c r="D894" s="94">
        <v>1218.0</v>
      </c>
    </row>
    <row r="895">
      <c r="A895" s="40">
        <f t="array" ref="A895">IFNA(index(PlayerValues!A:A,match(IFNA(vlookup(B895,'Special Names'!A:B,2,FALSE),B895),PlayerValues!E:E,0)),"N/A")</f>
        <v>15777</v>
      </c>
      <c r="B895" s="4" t="s">
        <v>694</v>
      </c>
      <c r="C895" s="4" t="s">
        <v>287</v>
      </c>
      <c r="D895" s="94">
        <v>1216.0</v>
      </c>
    </row>
    <row r="896">
      <c r="A896" s="40">
        <f t="array" ref="A896">IFNA(index(PlayerValues!A:A,match(IFNA(vlookup(B896,'Special Names'!A:B,2,FALSE),B896),PlayerValues!E:E,0)),"N/A")</f>
        <v>17486</v>
      </c>
      <c r="B896" s="4" t="s">
        <v>695</v>
      </c>
      <c r="C896" s="4" t="s">
        <v>278</v>
      </c>
      <c r="D896" s="94">
        <v>1213.0</v>
      </c>
    </row>
    <row r="897">
      <c r="A897" s="40">
        <f t="array" ref="A897">IFNA(index(PlayerValues!A:A,match(IFNA(vlookup(B897,'Special Names'!A:B,2,FALSE),B897),PlayerValues!E:E,0)),"N/A")</f>
        <v>16384</v>
      </c>
      <c r="B897" s="4" t="s">
        <v>696</v>
      </c>
      <c r="C897" s="4" t="s">
        <v>283</v>
      </c>
      <c r="D897" s="94">
        <v>1210.0</v>
      </c>
    </row>
    <row r="898">
      <c r="A898" s="40">
        <f t="array" ref="A898">IFNA(index(PlayerValues!A:A,match(IFNA(vlookup(B898,'Special Names'!A:B,2,FALSE),B898),PlayerValues!E:E,0)),"N/A")</f>
        <v>12263</v>
      </c>
      <c r="B898" s="4" t="s">
        <v>697</v>
      </c>
      <c r="C898" s="4" t="s">
        <v>298</v>
      </c>
      <c r="D898" s="94">
        <v>1577.0</v>
      </c>
    </row>
    <row r="899">
      <c r="A899" s="40">
        <f t="array" ref="A899">IFNA(index(PlayerValues!A:A,match(IFNA(vlookup(B899,'Special Names'!A:B,2,FALSE),B899),PlayerValues!E:E,0)),"N/A")</f>
        <v>15332</v>
      </c>
      <c r="B899" s="4" t="s">
        <v>698</v>
      </c>
      <c r="C899" s="4" t="s">
        <v>298</v>
      </c>
      <c r="D899" s="94">
        <v>1575.0</v>
      </c>
    </row>
    <row r="900">
      <c r="A900" s="40">
        <f t="array" ref="A900">IFNA(index(PlayerValues!A:A,match(IFNA(vlookup(B900,'Special Names'!A:B,2,FALSE),B900),PlayerValues!E:E,0)),"N/A")</f>
        <v>16636</v>
      </c>
      <c r="B900" s="4" t="s">
        <v>699</v>
      </c>
      <c r="C900" s="4" t="s">
        <v>287</v>
      </c>
      <c r="D900" s="94">
        <v>1205.0</v>
      </c>
    </row>
    <row r="901">
      <c r="A901" s="40">
        <f t="array" ref="A901">IFNA(index(PlayerValues!A:A,match(IFNA(vlookup(B901,'Special Names'!A:B,2,FALSE),B901),PlayerValues!E:E,0)),"N/A")</f>
        <v>15288</v>
      </c>
      <c r="B901" s="4" t="s">
        <v>700</v>
      </c>
      <c r="C901" s="4" t="s">
        <v>287</v>
      </c>
      <c r="D901" s="94">
        <v>1197.0</v>
      </c>
    </row>
    <row r="902">
      <c r="A902" s="40">
        <f t="array" ref="A902">IFNA(index(PlayerValues!A:A,match(IFNA(vlookup(B902,'Special Names'!A:B,2,FALSE),B902),PlayerValues!E:E,0)),"N/A")</f>
        <v>17062</v>
      </c>
      <c r="B902" s="4" t="s">
        <v>701</v>
      </c>
      <c r="C902" s="4" t="s">
        <v>278</v>
      </c>
      <c r="D902" s="94">
        <v>1188.0</v>
      </c>
    </row>
    <row r="903">
      <c r="A903" s="40">
        <f t="array" ref="A903">IFNA(index(PlayerValues!A:A,match(IFNA(vlookup(B903,'Special Names'!A:B,2,FALSE),B903),PlayerValues!E:E,0)),"N/A")</f>
        <v>12140</v>
      </c>
      <c r="B903" s="4" t="s">
        <v>702</v>
      </c>
      <c r="C903" s="4" t="s">
        <v>283</v>
      </c>
      <c r="D903" s="94">
        <v>1182.0</v>
      </c>
    </row>
    <row r="904">
      <c r="A904" s="40">
        <f t="array" ref="A904">IFNA(index(PlayerValues!A:A,match(IFNA(vlookup(B904,'Special Names'!A:B,2,FALSE),B904),PlayerValues!E:E,0)),"N/A")</f>
        <v>12678</v>
      </c>
      <c r="B904" s="4" t="s">
        <v>703</v>
      </c>
      <c r="C904" s="4" t="s">
        <v>298</v>
      </c>
      <c r="D904" s="94">
        <v>1550.0</v>
      </c>
    </row>
    <row r="905">
      <c r="A905" s="40">
        <f t="array" ref="A905">IFNA(index(PlayerValues!A:A,match(IFNA(vlookup(B905,'Special Names'!A:B,2,FALSE),B905),PlayerValues!E:E,0)),"N/A")</f>
        <v>16792</v>
      </c>
      <c r="B905" s="4" t="s">
        <v>704</v>
      </c>
      <c r="C905" s="4" t="s">
        <v>287</v>
      </c>
      <c r="D905" s="94">
        <v>1167.0</v>
      </c>
    </row>
    <row r="906">
      <c r="A906" s="40">
        <f t="array" ref="A906">IFNA(index(PlayerValues!A:A,match(IFNA(vlookup(B906,'Special Names'!A:B,2,FALSE),B906),PlayerValues!E:E,0)),"N/A")</f>
        <v>14592</v>
      </c>
      <c r="B906" s="4" t="s">
        <v>705</v>
      </c>
      <c r="C906" s="4" t="s">
        <v>287</v>
      </c>
      <c r="D906" s="94">
        <v>1160.0</v>
      </c>
    </row>
    <row r="907">
      <c r="A907" s="40">
        <f t="array" ref="A907">IFNA(index(PlayerValues!A:A,match(IFNA(vlookup(B907,'Special Names'!A:B,2,FALSE),B907),PlayerValues!E:E,0)),"N/A")</f>
        <v>13418</v>
      </c>
      <c r="B907" s="4" t="s">
        <v>706</v>
      </c>
      <c r="C907" s="4" t="s">
        <v>287</v>
      </c>
      <c r="D907" s="94">
        <v>1154.0</v>
      </c>
    </row>
    <row r="908">
      <c r="A908" s="40">
        <f t="array" ref="A908">IFNA(index(PlayerValues!A:A,match(IFNA(vlookup(B908,'Special Names'!A:B,2,FALSE),B908),PlayerValues!E:E,0)),"N/A")</f>
        <v>17109</v>
      </c>
      <c r="B908" s="4" t="s">
        <v>707</v>
      </c>
      <c r="C908" s="4" t="s">
        <v>298</v>
      </c>
      <c r="D908" s="94">
        <v>1517.0</v>
      </c>
    </row>
    <row r="909">
      <c r="A909" s="40">
        <f t="array" ref="A909">IFNA(index(PlayerValues!A:A,match(IFNA(vlookup(B909,'Special Names'!A:B,2,FALSE),B909),PlayerValues!E:E,0)),"N/A")</f>
        <v>17057</v>
      </c>
      <c r="B909" s="4" t="s">
        <v>708</v>
      </c>
      <c r="C909" s="4" t="s">
        <v>278</v>
      </c>
      <c r="D909" s="94">
        <v>1144.0</v>
      </c>
    </row>
    <row r="910">
      <c r="A910" s="40">
        <f t="array" ref="A910">IFNA(index(PlayerValues!A:A,match(IFNA(vlookup(B910,'Special Names'!A:B,2,FALSE),B910),PlayerValues!E:E,0)),"N/A")</f>
        <v>16746</v>
      </c>
      <c r="B910" s="4" t="s">
        <v>709</v>
      </c>
      <c r="C910" s="4" t="s">
        <v>278</v>
      </c>
      <c r="D910" s="94">
        <v>1140.0</v>
      </c>
    </row>
    <row r="911">
      <c r="A911" s="40">
        <f t="array" ref="A911">IFNA(index(PlayerValues!A:A,match(IFNA(vlookup(B911,'Special Names'!A:B,2,FALSE),B911),PlayerValues!E:E,0)),"N/A")</f>
        <v>17644</v>
      </c>
      <c r="B911" s="4" t="s">
        <v>710</v>
      </c>
      <c r="C911" s="4" t="s">
        <v>298</v>
      </c>
      <c r="D911" s="94">
        <v>1501.0</v>
      </c>
    </row>
    <row r="912">
      <c r="A912" s="40">
        <f t="array" ref="A912">IFNA(index(PlayerValues!A:A,match(IFNA(vlookup(B912,'Special Names'!A:B,2,FALSE),B912),PlayerValues!E:E,0)),"N/A")</f>
        <v>16333</v>
      </c>
      <c r="B912" s="4" t="s">
        <v>711</v>
      </c>
      <c r="C912" s="4" t="s">
        <v>298</v>
      </c>
      <c r="D912" s="94">
        <v>1498.0</v>
      </c>
    </row>
    <row r="913">
      <c r="A913" s="40">
        <f t="array" ref="A913">IFNA(index(PlayerValues!A:A,match(IFNA(vlookup(B913,'Special Names'!A:B,2,FALSE),B913),PlayerValues!E:E,0)),"N/A")</f>
        <v>16640</v>
      </c>
      <c r="B913" s="4" t="s">
        <v>712</v>
      </c>
      <c r="C913" s="4" t="s">
        <v>287</v>
      </c>
      <c r="D913" s="94">
        <v>1127.0</v>
      </c>
    </row>
    <row r="914">
      <c r="A914" s="40">
        <f t="array" ref="A914">IFNA(index(PlayerValues!A:A,match(IFNA(vlookup(B914,'Special Names'!A:B,2,FALSE),B914),PlayerValues!E:E,0)),"N/A")</f>
        <v>17050</v>
      </c>
      <c r="B914" s="4" t="s">
        <v>713</v>
      </c>
      <c r="C914" s="4" t="s">
        <v>278</v>
      </c>
      <c r="D914" s="94">
        <v>1120.0</v>
      </c>
    </row>
    <row r="915">
      <c r="A915" s="40">
        <f t="array" ref="A915">IFNA(index(PlayerValues!A:A,match(IFNA(vlookup(B915,'Special Names'!A:B,2,FALSE),B915),PlayerValues!E:E,0)),"N/A")</f>
        <v>17077</v>
      </c>
      <c r="B915" s="4" t="s">
        <v>714</v>
      </c>
      <c r="C915" s="4" t="s">
        <v>287</v>
      </c>
      <c r="D915" s="94">
        <v>1117.0</v>
      </c>
    </row>
    <row r="916">
      <c r="A916" s="40">
        <f t="array" ref="A916">IFNA(index(PlayerValues!A:A,match(IFNA(vlookup(B916,'Special Names'!A:B,2,FALSE),B916),PlayerValues!E:E,0)),"N/A")</f>
        <v>15252</v>
      </c>
      <c r="B916" s="4" t="s">
        <v>715</v>
      </c>
      <c r="C916" s="4" t="s">
        <v>283</v>
      </c>
      <c r="D916" s="94">
        <v>1115.0</v>
      </c>
    </row>
    <row r="917">
      <c r="A917" s="40">
        <f t="array" ref="A917">IFNA(index(PlayerValues!A:A,match(IFNA(vlookup(B917,'Special Names'!A:B,2,FALSE),B917),PlayerValues!E:E,0)),"N/A")</f>
        <v>14080</v>
      </c>
      <c r="B917" s="4" t="s">
        <v>716</v>
      </c>
      <c r="C917" s="4" t="s">
        <v>278</v>
      </c>
      <c r="D917" s="94">
        <v>1110.0</v>
      </c>
    </row>
    <row r="918">
      <c r="A918" s="40">
        <f t="array" ref="A918">IFNA(index(PlayerValues!A:A,match(IFNA(vlookup(B918,'Special Names'!A:B,2,FALSE),B918),PlayerValues!E:E,0)),"N/A")</f>
        <v>14845</v>
      </c>
      <c r="B918" s="4" t="s">
        <v>717</v>
      </c>
      <c r="C918" s="4" t="s">
        <v>287</v>
      </c>
      <c r="D918" s="94">
        <v>1101.0</v>
      </c>
    </row>
    <row r="919">
      <c r="A919" s="40">
        <f t="array" ref="A919">IFNA(index(PlayerValues!A:A,match(IFNA(vlookup(B919,'Special Names'!A:B,2,FALSE),B919),PlayerValues!E:E,0)),"N/A")</f>
        <v>17269</v>
      </c>
      <c r="B919" s="4" t="s">
        <v>718</v>
      </c>
      <c r="C919" s="4" t="s">
        <v>287</v>
      </c>
      <c r="D919" s="94">
        <v>1093.0</v>
      </c>
    </row>
    <row r="920">
      <c r="A920" s="40">
        <f t="array" ref="A920">IFNA(index(PlayerValues!A:A,match(IFNA(vlookup(B920,'Special Names'!A:B,2,FALSE),B920),PlayerValues!E:E,0)),"N/A")</f>
        <v>17545</v>
      </c>
      <c r="B920" s="4" t="s">
        <v>719</v>
      </c>
      <c r="C920" s="4" t="s">
        <v>298</v>
      </c>
      <c r="D920" s="94">
        <v>1462.0</v>
      </c>
    </row>
    <row r="921">
      <c r="A921" s="40">
        <f t="array" ref="A921">IFNA(index(PlayerValues!A:A,match(IFNA(vlookup(B921,'Special Names'!A:B,2,FALSE),B921),PlayerValues!E:E,0)),"N/A")</f>
        <v>17549</v>
      </c>
      <c r="B921" s="4" t="s">
        <v>720</v>
      </c>
      <c r="C921" s="4" t="s">
        <v>298</v>
      </c>
      <c r="D921" s="94">
        <v>1455.0</v>
      </c>
    </row>
    <row r="922">
      <c r="A922" s="40">
        <f t="array" ref="A922">IFNA(index(PlayerValues!A:A,match(IFNA(vlookup(B922,'Special Names'!A:B,2,FALSE),B922),PlayerValues!E:E,0)),"N/A")</f>
        <v>14789</v>
      </c>
      <c r="B922" s="4" t="s">
        <v>721</v>
      </c>
      <c r="C922" s="4" t="s">
        <v>283</v>
      </c>
      <c r="D922" s="94">
        <v>1079.0</v>
      </c>
    </row>
    <row r="923">
      <c r="A923" s="40">
        <f t="array" ref="A923">IFNA(index(PlayerValues!A:A,match(IFNA(vlookup(B923,'Special Names'!A:B,2,FALSE),B923),PlayerValues!E:E,0)),"N/A")</f>
        <v>12801</v>
      </c>
      <c r="B923" s="4" t="s">
        <v>722</v>
      </c>
      <c r="C923" s="4" t="s">
        <v>287</v>
      </c>
      <c r="D923" s="94">
        <v>1072.0</v>
      </c>
    </row>
    <row r="924">
      <c r="A924" s="40">
        <f t="array" ref="A924">IFNA(index(PlayerValues!A:A,match(IFNA(vlookup(B924,'Special Names'!A:B,2,FALSE),B924),PlayerValues!E:E,0)),"N/A")</f>
        <v>15702</v>
      </c>
      <c r="B924" s="4" t="s">
        <v>723</v>
      </c>
      <c r="C924" s="4" t="s">
        <v>283</v>
      </c>
      <c r="D924" s="94">
        <v>1072.0</v>
      </c>
    </row>
    <row r="925">
      <c r="A925" s="40">
        <f t="array" ref="A925">IFNA(index(PlayerValues!A:A,match(IFNA(vlookup(B925,'Special Names'!A:B,2,FALSE),B925),PlayerValues!E:E,0)),"N/A")</f>
        <v>15758</v>
      </c>
      <c r="B925" s="4" t="s">
        <v>724</v>
      </c>
      <c r="C925" s="4" t="s">
        <v>287</v>
      </c>
      <c r="D925" s="94">
        <v>1071.0</v>
      </c>
    </row>
    <row r="926">
      <c r="A926" s="40">
        <f t="array" ref="A926">IFNA(index(PlayerValues!A:A,match(IFNA(vlookup(B926,'Special Names'!A:B,2,FALSE),B926),PlayerValues!E:E,0)),"N/A")</f>
        <v>16221</v>
      </c>
      <c r="B926" s="4" t="s">
        <v>725</v>
      </c>
      <c r="C926" s="4" t="s">
        <v>298</v>
      </c>
      <c r="D926" s="94">
        <v>1412.0</v>
      </c>
    </row>
    <row r="927">
      <c r="A927" s="40">
        <f t="array" ref="A927">IFNA(index(PlayerValues!A:A,match(IFNA(vlookup(B927,'Special Names'!A:B,2,FALSE),B927),PlayerValues!E:E,0)),"N/A")</f>
        <v>16197</v>
      </c>
      <c r="B927" s="4" t="s">
        <v>726</v>
      </c>
      <c r="C927" s="4" t="s">
        <v>287</v>
      </c>
      <c r="D927" s="94">
        <v>1038.0</v>
      </c>
    </row>
    <row r="928">
      <c r="A928" s="40">
        <f t="array" ref="A928">IFNA(index(PlayerValues!A:A,match(IFNA(vlookup(B928,'Special Names'!A:B,2,FALSE),B928),PlayerValues!E:E,0)),"N/A")</f>
        <v>17037</v>
      </c>
      <c r="B928" s="4" t="s">
        <v>727</v>
      </c>
      <c r="C928" s="4" t="s">
        <v>283</v>
      </c>
      <c r="D928" s="94">
        <v>1033.0</v>
      </c>
    </row>
    <row r="929">
      <c r="A929" s="40">
        <f t="array" ref="A929">IFNA(index(PlayerValues!A:A,match(IFNA(vlookup(B929,'Special Names'!A:B,2,FALSE),B929),PlayerValues!E:E,0)),"N/A")</f>
        <v>15109</v>
      </c>
      <c r="B929" s="4" t="s">
        <v>728</v>
      </c>
      <c r="C929" s="4" t="s">
        <v>287</v>
      </c>
      <c r="D929" s="94">
        <v>1023.0</v>
      </c>
    </row>
    <row r="930">
      <c r="A930" s="40">
        <f t="array" ref="A930">IFNA(index(PlayerValues!A:A,match(IFNA(vlookup(B930,'Special Names'!A:B,2,FALSE),B930),PlayerValues!E:E,0)),"N/A")</f>
        <v>15981</v>
      </c>
      <c r="B930" s="4" t="s">
        <v>729</v>
      </c>
      <c r="C930" s="4" t="s">
        <v>287</v>
      </c>
      <c r="D930" s="94">
        <v>1015.0</v>
      </c>
    </row>
    <row r="931">
      <c r="A931" s="40">
        <f t="array" ref="A931">IFNA(index(PlayerValues!A:A,match(IFNA(vlookup(B931,'Special Names'!A:B,2,FALSE),B931),PlayerValues!E:E,0)),"N/A")</f>
        <v>15727</v>
      </c>
      <c r="B931" s="4" t="s">
        <v>730</v>
      </c>
      <c r="C931" s="4" t="s">
        <v>278</v>
      </c>
      <c r="D931" s="94">
        <v>1013.0</v>
      </c>
    </row>
    <row r="932">
      <c r="A932" s="40">
        <f t="array" ref="A932">IFNA(index(PlayerValues!A:A,match(IFNA(vlookup(B932,'Special Names'!A:B,2,FALSE),B932),PlayerValues!E:E,0)),"N/A")</f>
        <v>14840</v>
      </c>
      <c r="B932" s="4" t="s">
        <v>731</v>
      </c>
      <c r="C932" s="4" t="s">
        <v>287</v>
      </c>
      <c r="D932" s="94">
        <v>1008.0</v>
      </c>
    </row>
    <row r="933">
      <c r="A933" s="40">
        <f t="array" ref="A933">IFNA(index(PlayerValues!A:A,match(IFNA(vlookup(B933,'Special Names'!A:B,2,FALSE),B933),PlayerValues!E:E,0)),"N/A")</f>
        <v>15713</v>
      </c>
      <c r="B933" s="4" t="s">
        <v>732</v>
      </c>
      <c r="C933" s="4" t="s">
        <v>278</v>
      </c>
      <c r="D933" s="94">
        <v>999.0</v>
      </c>
    </row>
    <row r="934">
      <c r="A934" s="40">
        <f t="array" ref="A934">IFNA(index(PlayerValues!A:A,match(IFNA(vlookup(B934,'Special Names'!A:B,2,FALSE),B934),PlayerValues!E:E,0)),"N/A")</f>
        <v>14849</v>
      </c>
      <c r="B934" s="4" t="s">
        <v>733</v>
      </c>
      <c r="C934" s="4" t="s">
        <v>287</v>
      </c>
      <c r="D934" s="94">
        <v>981.0</v>
      </c>
    </row>
    <row r="935">
      <c r="A935" s="40">
        <f t="array" ref="A935">IFNA(index(PlayerValues!A:A,match(IFNA(vlookup(B935,'Special Names'!A:B,2,FALSE),B935),PlayerValues!E:E,0)),"N/A")</f>
        <v>15730</v>
      </c>
      <c r="B935" s="4" t="s">
        <v>734</v>
      </c>
      <c r="C935" s="4" t="s">
        <v>278</v>
      </c>
      <c r="D935" s="94">
        <v>981.0</v>
      </c>
    </row>
    <row r="936">
      <c r="A936" s="40">
        <f t="array" ref="A936">IFNA(index(PlayerValues!A:A,match(IFNA(vlookup(B936,'Special Names'!A:B,2,FALSE),B936),PlayerValues!E:E,0)),"N/A")</f>
        <v>14067</v>
      </c>
      <c r="B936" s="4" t="s">
        <v>735</v>
      </c>
      <c r="C936" s="4" t="s">
        <v>283</v>
      </c>
      <c r="D936" s="94">
        <v>976.0</v>
      </c>
    </row>
    <row r="937">
      <c r="A937" s="40">
        <f t="array" ref="A937">IFNA(index(PlayerValues!A:A,match(IFNA(vlookup(B937,'Special Names'!A:B,2,FALSE),B937),PlayerValues!E:E,0)),"N/A")</f>
        <v>16637</v>
      </c>
      <c r="B937" s="4" t="s">
        <v>736</v>
      </c>
      <c r="C937" s="4" t="s">
        <v>287</v>
      </c>
      <c r="D937" s="94">
        <v>976.0</v>
      </c>
    </row>
    <row r="938">
      <c r="A938" s="40">
        <f t="array" ref="A938">IFNA(index(PlayerValues!A:A,match(IFNA(vlookup(B938,'Special Names'!A:B,2,FALSE),B938),PlayerValues!E:E,0)),"N/A")</f>
        <v>16599</v>
      </c>
      <c r="B938" s="4" t="s">
        <v>737</v>
      </c>
      <c r="C938" s="4" t="s">
        <v>278</v>
      </c>
      <c r="D938" s="94">
        <v>975.0</v>
      </c>
    </row>
    <row r="939">
      <c r="A939" s="40">
        <f t="array" ref="A939">IFNA(index(PlayerValues!A:A,match(IFNA(vlookup(B939,'Special Names'!A:B,2,FALSE),B939),PlayerValues!E:E,0)),"N/A")</f>
        <v>16168</v>
      </c>
      <c r="B939" s="4" t="s">
        <v>738</v>
      </c>
      <c r="C939" s="4" t="s">
        <v>278</v>
      </c>
      <c r="D939" s="94">
        <v>961.0</v>
      </c>
    </row>
    <row r="940">
      <c r="A940" s="40">
        <f t="array" ref="A940">IFNA(index(PlayerValues!A:A,match(IFNA(vlookup(B940,'Special Names'!A:B,2,FALSE),B940),PlayerValues!E:E,0)),"N/A")</f>
        <v>16219</v>
      </c>
      <c r="B940" s="4" t="s">
        <v>739</v>
      </c>
      <c r="C940" s="4" t="s">
        <v>298</v>
      </c>
      <c r="D940" s="94">
        <v>1326.0</v>
      </c>
    </row>
    <row r="941">
      <c r="A941" s="40">
        <f t="array" ref="A941">IFNA(index(PlayerValues!A:A,match(IFNA(vlookup(B941,'Special Names'!A:B,2,FALSE),B941),PlayerValues!E:E,0)),"N/A")</f>
        <v>16149</v>
      </c>
      <c r="B941" s="4" t="s">
        <v>740</v>
      </c>
      <c r="C941" s="4" t="s">
        <v>283</v>
      </c>
      <c r="D941" s="94">
        <v>958.0</v>
      </c>
    </row>
    <row r="942">
      <c r="A942" s="40">
        <f t="array" ref="A942">IFNA(index(PlayerValues!A:A,match(IFNA(vlookup(B942,'Special Names'!A:B,2,FALSE),B942),PlayerValues!E:E,0)),"N/A")</f>
        <v>15271</v>
      </c>
      <c r="B942" s="4" t="s">
        <v>741</v>
      </c>
      <c r="C942" s="4" t="s">
        <v>278</v>
      </c>
      <c r="D942" s="94">
        <v>956.0</v>
      </c>
    </row>
    <row r="943">
      <c r="A943" s="40">
        <f t="array" ref="A943">IFNA(index(PlayerValues!A:A,match(IFNA(vlookup(B943,'Special Names'!A:B,2,FALSE),B943),PlayerValues!E:E,0)),"N/A")</f>
        <v>16205</v>
      </c>
      <c r="B943" s="4" t="s">
        <v>742</v>
      </c>
      <c r="C943" s="4" t="s">
        <v>287</v>
      </c>
      <c r="D943" s="94">
        <v>953.0</v>
      </c>
    </row>
    <row r="944">
      <c r="A944" s="40">
        <f t="array" ref="A944">IFNA(index(PlayerValues!A:A,match(IFNA(vlookup(B944,'Special Names'!A:B,2,FALSE),B944),PlayerValues!E:E,0)),"N/A")</f>
        <v>16606</v>
      </c>
      <c r="B944" s="4" t="s">
        <v>743</v>
      </c>
      <c r="C944" s="4" t="s">
        <v>278</v>
      </c>
      <c r="D944" s="94">
        <v>952.0</v>
      </c>
    </row>
    <row r="945">
      <c r="A945" s="40">
        <f t="array" ref="A945">IFNA(index(PlayerValues!A:A,match(IFNA(vlookup(B945,'Special Names'!A:B,2,FALSE),B945),PlayerValues!E:E,0)),"N/A")</f>
        <v>12141</v>
      </c>
      <c r="B945" s="4" t="s">
        <v>744</v>
      </c>
      <c r="C945" s="4" t="s">
        <v>283</v>
      </c>
      <c r="D945" s="94">
        <v>949.0</v>
      </c>
    </row>
    <row r="946">
      <c r="A946" s="40">
        <f t="array" ref="A946">IFNA(index(PlayerValues!A:A,match(IFNA(vlookup(B946,'Special Names'!A:B,2,FALSE),B946),PlayerValues!E:E,0)),"N/A")</f>
        <v>15717</v>
      </c>
      <c r="B946" s="4" t="s">
        <v>745</v>
      </c>
      <c r="C946" s="4" t="s">
        <v>278</v>
      </c>
      <c r="D946" s="94">
        <v>948.0</v>
      </c>
    </row>
    <row r="947">
      <c r="A947" s="40">
        <f t="array" ref="A947">IFNA(index(PlayerValues!A:A,match(IFNA(vlookup(B947,'Special Names'!A:B,2,FALSE),B947),PlayerValues!E:E,0)),"N/A")</f>
        <v>13289</v>
      </c>
      <c r="B947" s="4" t="s">
        <v>746</v>
      </c>
      <c r="C947" s="4" t="s">
        <v>287</v>
      </c>
      <c r="D947" s="94">
        <v>947.0</v>
      </c>
    </row>
    <row r="948">
      <c r="A948" s="40">
        <f t="array" ref="A948">IFNA(index(PlayerValues!A:A,match(IFNA(vlookup(B948,'Special Names'!A:B,2,FALSE),B948),PlayerValues!E:E,0)),"N/A")</f>
        <v>17175</v>
      </c>
      <c r="B948" s="4" t="s">
        <v>747</v>
      </c>
      <c r="C948" s="4" t="s">
        <v>287</v>
      </c>
      <c r="D948" s="94">
        <v>919.0</v>
      </c>
    </row>
    <row r="949">
      <c r="A949" s="40">
        <f t="array" ref="A949">IFNA(index(PlayerValues!A:A,match(IFNA(vlookup(B949,'Special Names'!A:B,2,FALSE),B949),PlayerValues!E:E,0)),"N/A")</f>
        <v>16648</v>
      </c>
      <c r="B949" s="4" t="s">
        <v>748</v>
      </c>
      <c r="C949" s="4" t="s">
        <v>298</v>
      </c>
      <c r="D949" s="94">
        <v>1279.0</v>
      </c>
    </row>
    <row r="950">
      <c r="A950" s="40">
        <f t="array" ref="A950">IFNA(index(PlayerValues!A:A,match(IFNA(vlookup(B950,'Special Names'!A:B,2,FALSE),B950),PlayerValues!E:E,0)),"N/A")</f>
        <v>15330</v>
      </c>
      <c r="B950" s="4" t="s">
        <v>749</v>
      </c>
      <c r="C950" s="4" t="s">
        <v>298</v>
      </c>
      <c r="D950" s="94">
        <v>1274.0</v>
      </c>
    </row>
    <row r="951">
      <c r="A951" s="40">
        <f t="array" ref="A951">IFNA(index(PlayerValues!A:A,match(IFNA(vlookup(B951,'Special Names'!A:B,2,FALSE),B951),PlayerValues!E:E,0)),"N/A")</f>
        <v>15692</v>
      </c>
      <c r="B951" s="4" t="s">
        <v>750</v>
      </c>
      <c r="C951" s="4" t="s">
        <v>283</v>
      </c>
      <c r="D951" s="94">
        <v>903.0</v>
      </c>
    </row>
    <row r="952">
      <c r="A952" s="40">
        <f t="array" ref="A952">IFNA(index(PlayerValues!A:A,match(IFNA(vlookup(B952,'Special Names'!A:B,2,FALSE),B952),PlayerValues!E:E,0)),"N/A")</f>
        <v>15240</v>
      </c>
      <c r="B952" s="4" t="s">
        <v>751</v>
      </c>
      <c r="C952" s="4" t="s">
        <v>283</v>
      </c>
      <c r="D952" s="94">
        <v>901.0</v>
      </c>
    </row>
    <row r="953">
      <c r="A953" s="40">
        <f t="array" ref="A953">IFNA(index(PlayerValues!A:A,match(IFNA(vlookup(B953,'Special Names'!A:B,2,FALSE),B953),PlayerValues!E:E,0)),"N/A")</f>
        <v>16416</v>
      </c>
      <c r="B953" s="4" t="s">
        <v>752</v>
      </c>
      <c r="C953" s="4" t="s">
        <v>287</v>
      </c>
      <c r="D953" s="94">
        <v>899.0</v>
      </c>
    </row>
    <row r="954">
      <c r="A954" s="40">
        <f t="array" ref="A954">IFNA(index(PlayerValues!A:A,match(IFNA(vlookup(B954,'Special Names'!A:B,2,FALSE),B954),PlayerValues!E:E,0)),"N/A")</f>
        <v>15718</v>
      </c>
      <c r="B954" s="4" t="s">
        <v>753</v>
      </c>
      <c r="C954" s="4" t="s">
        <v>278</v>
      </c>
      <c r="D954" s="94">
        <v>889.0</v>
      </c>
    </row>
    <row r="955">
      <c r="A955" s="40">
        <f t="array" ref="A955">IFNA(index(PlayerValues!A:A,match(IFNA(vlookup(B955,'Special Names'!A:B,2,FALSE),B955),PlayerValues!E:E,0)),"N/A")</f>
        <v>16858</v>
      </c>
      <c r="B955" s="4" t="s">
        <v>754</v>
      </c>
      <c r="C955" s="4" t="s">
        <v>287</v>
      </c>
      <c r="D955" s="94">
        <v>885.0</v>
      </c>
    </row>
    <row r="956">
      <c r="A956" s="40">
        <f t="array" ref="A956">IFNA(index(PlayerValues!A:A,match(IFNA(vlookup(B956,'Special Names'!A:B,2,FALSE),B956),PlayerValues!E:E,0)),"N/A")</f>
        <v>15693</v>
      </c>
      <c r="B956" s="4" t="s">
        <v>755</v>
      </c>
      <c r="C956" s="4" t="s">
        <v>283</v>
      </c>
      <c r="D956" s="94">
        <v>883.0</v>
      </c>
    </row>
    <row r="957">
      <c r="A957" s="40">
        <f t="array" ref="A957">IFNA(index(PlayerValues!A:A,match(IFNA(vlookup(B957,'Special Names'!A:B,2,FALSE),B957),PlayerValues!E:E,0)),"N/A")</f>
        <v>17479</v>
      </c>
      <c r="B957" s="4" t="s">
        <v>756</v>
      </c>
      <c r="C957" s="4" t="s">
        <v>278</v>
      </c>
      <c r="D957" s="94">
        <v>881.0</v>
      </c>
    </row>
    <row r="958">
      <c r="A958" s="40">
        <f t="array" ref="A958">IFNA(index(PlayerValues!A:A,match(IFNA(vlookup(B958,'Special Names'!A:B,2,FALSE),B958),PlayerValues!E:E,0)),"N/A")</f>
        <v>15258</v>
      </c>
      <c r="B958" s="4" t="s">
        <v>757</v>
      </c>
      <c r="C958" s="4" t="s">
        <v>278</v>
      </c>
      <c r="D958" s="94">
        <v>873.0</v>
      </c>
    </row>
    <row r="959">
      <c r="A959" s="40">
        <f t="array" ref="A959">IFNA(index(PlayerValues!A:A,match(IFNA(vlookup(B959,'Special Names'!A:B,2,FALSE),B959),PlayerValues!E:E,0)),"N/A")</f>
        <v>16678</v>
      </c>
      <c r="B959" s="4" t="s">
        <v>758</v>
      </c>
      <c r="C959" s="4" t="s">
        <v>278</v>
      </c>
      <c r="D959" s="94">
        <v>864.0</v>
      </c>
    </row>
    <row r="960">
      <c r="A960" s="40">
        <f t="array" ref="A960">IFNA(index(PlayerValues!A:A,match(IFNA(vlookup(B960,'Special Names'!A:B,2,FALSE),B960),PlayerValues!E:E,0)),"N/A")</f>
        <v>15766</v>
      </c>
      <c r="B960" s="4" t="s">
        <v>759</v>
      </c>
      <c r="C960" s="4" t="s">
        <v>287</v>
      </c>
      <c r="D960" s="94">
        <v>862.0</v>
      </c>
    </row>
    <row r="961">
      <c r="A961" s="40">
        <f t="array" ref="A961">IFNA(index(PlayerValues!A:A,match(IFNA(vlookup(B961,'Special Names'!A:B,2,FALSE),B961),PlayerValues!E:E,0)),"N/A")</f>
        <v>17526</v>
      </c>
      <c r="B961" s="4" t="s">
        <v>760</v>
      </c>
      <c r="C961" s="4" t="s">
        <v>287</v>
      </c>
      <c r="D961" s="94">
        <v>839.0</v>
      </c>
    </row>
    <row r="962">
      <c r="A962" s="40">
        <f t="array" ref="A962">IFNA(index(PlayerValues!A:A,match(IFNA(vlookup(B962,'Special Names'!A:B,2,FALSE),B962),PlayerValues!E:E,0)),"N/A")</f>
        <v>9064</v>
      </c>
      <c r="B962" s="4" t="s">
        <v>761</v>
      </c>
      <c r="C962" s="4" t="s">
        <v>283</v>
      </c>
      <c r="D962" s="94">
        <v>827.0</v>
      </c>
    </row>
    <row r="963">
      <c r="A963" s="40">
        <f t="array" ref="A963">IFNA(index(PlayerValues!A:A,match(IFNA(vlookup(B963,'Special Names'!A:B,2,FALSE),B963),PlayerValues!E:E,0)),"N/A")</f>
        <v>16751</v>
      </c>
      <c r="B963" s="4" t="s">
        <v>762</v>
      </c>
      <c r="C963" s="4" t="s">
        <v>287</v>
      </c>
      <c r="D963" s="94">
        <v>822.0</v>
      </c>
    </row>
    <row r="964">
      <c r="A964" s="40">
        <f t="array" ref="A964">IFNA(index(PlayerValues!A:A,match(IFNA(vlookup(B964,'Special Names'!A:B,2,FALSE),B964),PlayerValues!E:E,0)),"N/A")</f>
        <v>15785</v>
      </c>
      <c r="B964" s="4" t="s">
        <v>763</v>
      </c>
      <c r="C964" s="4" t="s">
        <v>287</v>
      </c>
      <c r="D964" s="94">
        <v>821.0</v>
      </c>
    </row>
    <row r="965">
      <c r="A965" s="40">
        <f t="array" ref="A965">IFNA(index(PlayerValues!A:A,match(IFNA(vlookup(B965,'Special Names'!A:B,2,FALSE),B965),PlayerValues!E:E,0)),"N/A")</f>
        <v>13133</v>
      </c>
      <c r="B965" s="4" t="s">
        <v>764</v>
      </c>
      <c r="C965" s="4" t="s">
        <v>278</v>
      </c>
      <c r="D965" s="94">
        <v>820.0</v>
      </c>
    </row>
    <row r="966">
      <c r="A966" s="40">
        <f t="array" ref="A966">IFNA(index(PlayerValues!A:A,match(IFNA(vlookup(B966,'Special Names'!A:B,2,FALSE),B966),PlayerValues!E:E,0)),"N/A")</f>
        <v>14057</v>
      </c>
      <c r="B966" s="4" t="s">
        <v>765</v>
      </c>
      <c r="C966" s="4" t="s">
        <v>283</v>
      </c>
      <c r="D966" s="94">
        <v>813.0</v>
      </c>
    </row>
    <row r="967">
      <c r="A967" s="40">
        <f t="array" ref="A967">IFNA(index(PlayerValues!A:A,match(IFNA(vlookup(B967,'Special Names'!A:B,2,FALSE),B967),PlayerValues!E:E,0)),"N/A")</f>
        <v>15626</v>
      </c>
      <c r="B967" s="4" t="s">
        <v>766</v>
      </c>
      <c r="C967" s="4" t="s">
        <v>298</v>
      </c>
      <c r="D967" s="94">
        <v>1164.0</v>
      </c>
    </row>
    <row r="968">
      <c r="A968" s="40">
        <f t="array" ref="A968">IFNA(index(PlayerValues!A:A,match(IFNA(vlookup(B968,'Special Names'!A:B,2,FALSE),B968),PlayerValues!E:E,0)),"N/A")</f>
        <v>17654</v>
      </c>
      <c r="B968" s="4" t="s">
        <v>767</v>
      </c>
      <c r="C968" s="4" t="s">
        <v>283</v>
      </c>
      <c r="D968" s="94">
        <v>768.0</v>
      </c>
    </row>
    <row r="969">
      <c r="A969" s="40">
        <f t="array" ref="A969">IFNA(index(PlayerValues!A:A,match(IFNA(vlookup(B969,'Special Names'!A:B,2,FALSE),B969),PlayerValues!E:E,0)),"N/A")</f>
        <v>16393</v>
      </c>
      <c r="B969" s="4" t="s">
        <v>768</v>
      </c>
      <c r="C969" s="4" t="s">
        <v>287</v>
      </c>
      <c r="D969" s="94">
        <v>766.0</v>
      </c>
    </row>
    <row r="970">
      <c r="A970" s="40">
        <f t="array" ref="A970">IFNA(index(PlayerValues!A:A,match(IFNA(vlookup(B970,'Special Names'!A:B,2,FALSE),B970),PlayerValues!E:E,0)),"N/A")</f>
        <v>16451</v>
      </c>
      <c r="B970" s="4" t="s">
        <v>769</v>
      </c>
      <c r="C970" s="4" t="s">
        <v>287</v>
      </c>
      <c r="D970" s="94">
        <v>702.0</v>
      </c>
    </row>
    <row r="971">
      <c r="A971" s="40">
        <f t="array" ref="A971">IFNA(index(PlayerValues!A:A,match(IFNA(vlookup(B971,'Special Names'!A:B,2,FALSE),B971),PlayerValues!E:E,0)),"N/A")</f>
        <v>14805</v>
      </c>
      <c r="B971" s="4" t="s">
        <v>770</v>
      </c>
      <c r="C971" s="4" t="s">
        <v>278</v>
      </c>
      <c r="D971" s="94">
        <v>688.0</v>
      </c>
    </row>
    <row r="972">
      <c r="A972" s="40">
        <f t="array" ref="A972">IFNA(index(PlayerValues!A:A,match(IFNA(vlookup(B972,'Special Names'!A:B,2,FALSE),B972),PlayerValues!E:E,0)),"N/A")</f>
        <v>14118</v>
      </c>
      <c r="B972" s="4" t="s">
        <v>771</v>
      </c>
      <c r="C972" s="4" t="s">
        <v>287</v>
      </c>
      <c r="D972" s="94">
        <v>681.0</v>
      </c>
    </row>
    <row r="973">
      <c r="A973" s="40">
        <f t="array" ref="A973">IFNA(index(PlayerValues!A:A,match(IFNA(vlookup(B973,'Special Names'!A:B,2,FALSE),B973),PlayerValues!E:E,0)),"N/A")</f>
        <v>12785</v>
      </c>
      <c r="B973" s="4" t="s">
        <v>772</v>
      </c>
      <c r="C973" s="4" t="s">
        <v>287</v>
      </c>
      <c r="D973" s="94">
        <v>676.0</v>
      </c>
    </row>
    <row r="974">
      <c r="A974" s="40">
        <f t="array" ref="A974">IFNA(index(PlayerValues!A:A,match(IFNA(vlookup(B974,'Special Names'!A:B,2,FALSE),B974),PlayerValues!E:E,0)),"N/A")</f>
        <v>13193</v>
      </c>
      <c r="B974" s="4" t="s">
        <v>773</v>
      </c>
      <c r="C974" s="4" t="s">
        <v>298</v>
      </c>
      <c r="D974" s="94">
        <v>1018.0</v>
      </c>
    </row>
    <row r="975">
      <c r="A975" s="40">
        <f t="array" ref="A975">IFNA(index(PlayerValues!A:A,match(IFNA(vlookup(B975,'Special Names'!A:B,2,FALSE),B975),PlayerValues!E:E,0)),"N/A")</f>
        <v>17038</v>
      </c>
      <c r="B975" s="4" t="s">
        <v>774</v>
      </c>
      <c r="C975" s="4" t="s">
        <v>283</v>
      </c>
      <c r="D975" s="94">
        <v>653.0</v>
      </c>
    </row>
    <row r="976">
      <c r="A976" s="40">
        <f t="array" ref="A976">IFNA(index(PlayerValues!A:A,match(IFNA(vlookup(B976,'Special Names'!A:B,2,FALSE),B976),PlayerValues!E:E,0)),"N/A")</f>
        <v>15714</v>
      </c>
      <c r="B976" s="4" t="s">
        <v>775</v>
      </c>
      <c r="C976" s="4" t="s">
        <v>278</v>
      </c>
      <c r="D976" s="94">
        <v>608.0</v>
      </c>
    </row>
    <row r="977">
      <c r="A977" s="40">
        <f t="array" ref="A977">IFNA(index(PlayerValues!A:A,match(IFNA(vlookup(B977,'Special Names'!A:B,2,FALSE),B977),PlayerValues!E:E,0)),"N/A")</f>
        <v>16153</v>
      </c>
      <c r="B977" s="4" t="s">
        <v>776</v>
      </c>
      <c r="C977" s="4" t="s">
        <v>283</v>
      </c>
      <c r="D977" s="94">
        <v>590.0</v>
      </c>
    </row>
    <row r="978">
      <c r="A978" s="40">
        <f t="array" ref="A978">IFNA(index(PlayerValues!A:A,match(IFNA(vlookup(B978,'Special Names'!A:B,2,FALSE),B978),PlayerValues!E:E,0)),"N/A")</f>
        <v>17752</v>
      </c>
      <c r="B978" s="4" t="s">
        <v>777</v>
      </c>
      <c r="C978" s="4" t="s">
        <v>287</v>
      </c>
      <c r="D978" s="94">
        <v>586.0</v>
      </c>
    </row>
    <row r="979">
      <c r="A979" s="40">
        <f t="array" ref="A979">IFNA(index(PlayerValues!A:A,match(IFNA(vlookup(B979,'Special Names'!A:B,2,FALSE),B979),PlayerValues!E:E,0)),"N/A")</f>
        <v>16625</v>
      </c>
      <c r="B979" s="4" t="s">
        <v>778</v>
      </c>
      <c r="C979" s="4" t="s">
        <v>287</v>
      </c>
      <c r="D979" s="94">
        <v>580.0</v>
      </c>
    </row>
    <row r="980">
      <c r="A980" s="40">
        <f t="array" ref="A980">IFNA(index(PlayerValues!A:A,match(IFNA(vlookup(B980,'Special Names'!A:B,2,FALSE),B980),PlayerValues!E:E,0)),"N/A")</f>
        <v>11679</v>
      </c>
      <c r="B980" s="4" t="s">
        <v>779</v>
      </c>
      <c r="C980" s="4" t="s">
        <v>287</v>
      </c>
      <c r="D980" s="94">
        <v>521.0</v>
      </c>
    </row>
    <row r="981">
      <c r="A981" s="40">
        <f t="array" ref="A981">IFNA(index(PlayerValues!A:A,match(IFNA(vlookup(B981,'Special Names'!A:B,2,FALSE),B981),PlayerValues!E:E,0)),"N/A")</f>
        <v>15743</v>
      </c>
      <c r="B981" s="4" t="s">
        <v>780</v>
      </c>
      <c r="C981" s="4" t="s">
        <v>278</v>
      </c>
      <c r="D981" s="94">
        <v>521.0</v>
      </c>
    </row>
    <row r="982">
      <c r="A982" s="40">
        <f t="array" ref="A982">IFNA(index(PlayerValues!A:A,match(IFNA(vlookup(B982,'Special Names'!A:B,2,FALSE),B982),PlayerValues!E:E,0)),"N/A")</f>
        <v>16413</v>
      </c>
      <c r="B982" s="4" t="s">
        <v>781</v>
      </c>
      <c r="C982" s="4" t="s">
        <v>287</v>
      </c>
      <c r="D982" s="94">
        <v>516.0</v>
      </c>
    </row>
    <row r="983">
      <c r="A983" s="40">
        <f t="array" ref="A983">IFNA(index(PlayerValues!A:A,match(IFNA(vlookup(B983,'Special Names'!A:B,2,FALSE),B983),PlayerValues!E:E,0)),"N/A")</f>
        <v>16613</v>
      </c>
      <c r="B983" s="4" t="s">
        <v>782</v>
      </c>
      <c r="C983" s="4" t="s">
        <v>278</v>
      </c>
      <c r="D983" s="94">
        <v>507.0</v>
      </c>
    </row>
    <row r="984">
      <c r="A984" s="40">
        <f t="array" ref="A984">IFNA(index(PlayerValues!A:A,match(IFNA(vlookup(B984,'Special Names'!A:B,2,FALSE),B984),PlayerValues!E:E,0)),"N/A")</f>
        <v>16773</v>
      </c>
      <c r="B984" s="4" t="s">
        <v>783</v>
      </c>
      <c r="C984" s="4" t="s">
        <v>278</v>
      </c>
      <c r="D984" s="94">
        <v>502.0</v>
      </c>
    </row>
    <row r="985">
      <c r="A985" s="40">
        <f t="array" ref="A985">IFNA(index(PlayerValues!A:A,match(IFNA(vlookup(B985,'Special Names'!A:B,2,FALSE),B985),PlayerValues!E:E,0)),"N/A")</f>
        <v>17232</v>
      </c>
      <c r="B985" s="4" t="s">
        <v>784</v>
      </c>
      <c r="C985" s="4" t="s">
        <v>287</v>
      </c>
      <c r="D985" s="94">
        <v>501.0</v>
      </c>
    </row>
    <row r="986">
      <c r="A986" s="40">
        <f t="array" ref="A986">IFNA(index(PlayerValues!A:A,match(IFNA(vlookup(B986,'Special Names'!A:B,2,FALSE),B986),PlayerValues!E:E,0)),"N/A")</f>
        <v>14223</v>
      </c>
      <c r="B986" s="4" t="s">
        <v>785</v>
      </c>
      <c r="C986" s="4" t="s">
        <v>278</v>
      </c>
      <c r="D986" s="94">
        <v>499.0</v>
      </c>
    </row>
    <row r="987">
      <c r="A987" s="40">
        <f t="array" ref="A987">IFNA(index(PlayerValues!A:A,match(IFNA(vlookup(B987,'Special Names'!A:B,2,FALSE),B987),PlayerValues!E:E,0)),"N/A")</f>
        <v>13143</v>
      </c>
      <c r="B987" s="4" t="s">
        <v>786</v>
      </c>
      <c r="C987" s="4" t="s">
        <v>278</v>
      </c>
      <c r="D987" s="94">
        <v>487.0</v>
      </c>
    </row>
    <row r="988">
      <c r="A988" s="40">
        <f t="array" ref="A988">IFNA(index(PlayerValues!A:A,match(IFNA(vlookup(B988,'Special Names'!A:B,2,FALSE),B988),PlayerValues!E:E,0)),"N/A")</f>
        <v>16299</v>
      </c>
      <c r="B988" s="4" t="s">
        <v>787</v>
      </c>
      <c r="C988" s="4" t="s">
        <v>287</v>
      </c>
      <c r="D988" s="94">
        <v>486.0</v>
      </c>
    </row>
    <row r="989">
      <c r="A989" s="40">
        <f t="array" ref="A989">IFNA(index(PlayerValues!A:A,match(IFNA(vlookup(B989,'Special Names'!A:B,2,FALSE),B989),PlayerValues!E:E,0)),"N/A")</f>
        <v>14113</v>
      </c>
      <c r="B989" s="4" t="s">
        <v>788</v>
      </c>
      <c r="C989" s="4" t="s">
        <v>287</v>
      </c>
      <c r="D989" s="94">
        <v>483.0</v>
      </c>
    </row>
    <row r="990">
      <c r="A990" s="40">
        <f t="array" ref="A990">IFNA(index(PlayerValues!A:A,match(IFNA(vlookup(B990,'Special Names'!A:B,2,FALSE),B990),PlayerValues!E:E,0)),"N/A")</f>
        <v>14864</v>
      </c>
      <c r="B990" s="4" t="s">
        <v>789</v>
      </c>
      <c r="C990" s="4" t="s">
        <v>287</v>
      </c>
      <c r="D990" s="94">
        <v>483.0</v>
      </c>
    </row>
    <row r="991">
      <c r="A991" s="40">
        <f t="array" ref="A991">IFNA(index(PlayerValues!A:A,match(IFNA(vlookup(B991,'Special Names'!A:B,2,FALSE),B991),PlayerValues!E:E,0)),"N/A")</f>
        <v>14076</v>
      </c>
      <c r="B991" s="4" t="s">
        <v>790</v>
      </c>
      <c r="C991" s="4" t="s">
        <v>278</v>
      </c>
      <c r="D991" s="94">
        <v>480.0</v>
      </c>
    </row>
    <row r="992">
      <c r="A992" s="40">
        <f t="array" ref="A992">IFNA(index(PlayerValues!A:A,match(IFNA(vlookup(B992,'Special Names'!A:B,2,FALSE),B992),PlayerValues!E:E,0)),"N/A")</f>
        <v>15965</v>
      </c>
      <c r="B992" s="4" t="s">
        <v>791</v>
      </c>
      <c r="C992" s="4" t="s">
        <v>278</v>
      </c>
      <c r="D992" s="94">
        <v>478.0</v>
      </c>
    </row>
    <row r="993">
      <c r="A993" s="40">
        <f t="array" ref="A993">IFNA(index(PlayerValues!A:A,match(IFNA(vlookup(B993,'Special Names'!A:B,2,FALSE),B993),PlayerValues!E:E,0)),"N/A")</f>
        <v>15285</v>
      </c>
      <c r="B993" s="4" t="s">
        <v>792</v>
      </c>
      <c r="C993" s="4" t="s">
        <v>287</v>
      </c>
      <c r="D993" s="94">
        <v>476.0</v>
      </c>
    </row>
    <row r="994">
      <c r="A994" s="40">
        <f t="array" ref="A994">IFNA(index(PlayerValues!A:A,match(IFNA(vlookup(B994,'Special Names'!A:B,2,FALSE),B994),PlayerValues!E:E,0)),"N/A")</f>
        <v>17337</v>
      </c>
      <c r="B994" s="4" t="s">
        <v>793</v>
      </c>
      <c r="C994" s="4" t="s">
        <v>278</v>
      </c>
      <c r="D994" s="94">
        <v>475.0</v>
      </c>
    </row>
    <row r="995">
      <c r="A995" s="40">
        <f t="array" ref="A995">IFNA(index(PlayerValues!A:A,match(IFNA(vlookup(B995,'Special Names'!A:B,2,FALSE),B995),PlayerValues!E:E,0)),"N/A")</f>
        <v>15796</v>
      </c>
      <c r="B995" s="4" t="s">
        <v>794</v>
      </c>
      <c r="C995" s="4" t="s">
        <v>298</v>
      </c>
      <c r="D995" s="94">
        <v>819.0</v>
      </c>
    </row>
    <row r="996">
      <c r="A996" s="40">
        <f t="array" ref="A996">IFNA(index(PlayerValues!A:A,match(IFNA(vlookup(B996,'Special Names'!A:B,2,FALSE),B996),PlayerValues!E:E,0)),"N/A")</f>
        <v>15720</v>
      </c>
      <c r="B996" s="4" t="s">
        <v>795</v>
      </c>
      <c r="C996" s="4" t="s">
        <v>278</v>
      </c>
      <c r="D996" s="94">
        <v>469.0</v>
      </c>
    </row>
    <row r="997">
      <c r="A997" s="40">
        <f t="array" ref="A997">IFNA(index(PlayerValues!A:A,match(IFNA(vlookup(B997,'Special Names'!A:B,2,FALSE),B997),PlayerValues!E:E,0)),"N/A")</f>
        <v>16624</v>
      </c>
      <c r="B997" s="4" t="s">
        <v>796</v>
      </c>
      <c r="C997" s="4" t="s">
        <v>287</v>
      </c>
      <c r="D997" s="94">
        <v>469.0</v>
      </c>
    </row>
    <row r="998">
      <c r="A998" s="40">
        <f t="array" ref="A998">IFNA(index(PlayerValues!A:A,match(IFNA(vlookup(B998,'Special Names'!A:B,2,FALSE),B998),PlayerValues!E:E,0)),"N/A")</f>
        <v>17348</v>
      </c>
      <c r="B998" s="4" t="s">
        <v>797</v>
      </c>
      <c r="C998" s="4" t="s">
        <v>278</v>
      </c>
      <c r="D998" s="94">
        <v>467.0</v>
      </c>
    </row>
    <row r="999">
      <c r="A999" s="40">
        <f t="array" ref="A999">IFNA(index(PlayerValues!A:A,match(IFNA(vlookup(B999,'Special Names'!A:B,2,FALSE),B999),PlayerValues!E:E,0)),"N/A")</f>
        <v>15723</v>
      </c>
      <c r="B999" s="4" t="s">
        <v>798</v>
      </c>
      <c r="C999" s="4" t="s">
        <v>278</v>
      </c>
      <c r="D999" s="94">
        <v>463.0</v>
      </c>
    </row>
    <row r="1000">
      <c r="A1000" s="40">
        <f t="array" ref="A1000">IFNA(index(PlayerValues!A:A,match(IFNA(vlookup(B1000,'Special Names'!A:B,2,FALSE),B1000),PlayerValues!E:E,0)),"N/A")</f>
        <v>14858</v>
      </c>
      <c r="B1000" s="4" t="s">
        <v>799</v>
      </c>
      <c r="C1000" s="4" t="s">
        <v>287</v>
      </c>
      <c r="D1000" s="94">
        <v>462.0</v>
      </c>
    </row>
    <row r="1001">
      <c r="A1001" s="40">
        <f t="array" ref="A1001">IFNA(index(PlayerValues!A:A,match(IFNA(vlookup(B1001,'Special Names'!A:B,2,FALSE),B1001),PlayerValues!E:E,0)),"N/A")</f>
        <v>16161</v>
      </c>
      <c r="B1001" s="4" t="s">
        <v>277</v>
      </c>
      <c r="C1001" s="4" t="s">
        <v>278</v>
      </c>
      <c r="D1001" s="94">
        <v>9999.0</v>
      </c>
    </row>
    <row r="1002">
      <c r="A1002" s="40">
        <f t="array" ref="A1002">IFNA(index(PlayerValues!A:A,match(IFNA(vlookup(B1002,'Special Names'!A:B,2,FALSE),B1002),PlayerValues!E:E,0)),"N/A")</f>
        <v>16162</v>
      </c>
      <c r="B1002" s="4" t="s">
        <v>281</v>
      </c>
      <c r="C1002" s="4" t="s">
        <v>278</v>
      </c>
      <c r="D1002" s="94">
        <v>9999.0</v>
      </c>
    </row>
    <row r="1003">
      <c r="A1003" s="40">
        <f t="array" ref="A1003">IFNA(index(PlayerValues!A:A,match(IFNA(vlookup(B1003,'Special Names'!A:B,2,FALSE),B1003),PlayerValues!E:E,0)),"N/A")</f>
        <v>13589</v>
      </c>
      <c r="B1003" s="4" t="s">
        <v>282</v>
      </c>
      <c r="C1003" s="4" t="s">
        <v>283</v>
      </c>
      <c r="D1003" s="94">
        <v>9994.0</v>
      </c>
    </row>
    <row r="1004">
      <c r="A1004" s="40">
        <f t="array" ref="A1004">IFNA(index(PlayerValues!A:A,match(IFNA(vlookup(B1004,'Special Names'!A:B,2,FALSE),B1004),PlayerValues!E:E,0)),"N/A")</f>
        <v>15281</v>
      </c>
      <c r="B1004" s="4" t="s">
        <v>286</v>
      </c>
      <c r="C1004" s="4" t="s">
        <v>287</v>
      </c>
      <c r="D1004" s="94">
        <v>9978.0</v>
      </c>
    </row>
    <row r="1005">
      <c r="A1005" s="40">
        <f t="array" ref="A1005">IFNA(index(PlayerValues!A:A,match(IFNA(vlookup(B1005,'Special Names'!A:B,2,FALSE),B1005),PlayerValues!E:E,0)),"N/A")</f>
        <v>16185</v>
      </c>
      <c r="B1005" s="4" t="s">
        <v>290</v>
      </c>
      <c r="C1005" s="4" t="s">
        <v>287</v>
      </c>
      <c r="D1005" s="94">
        <v>9196.0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8898.0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8581.0</v>
      </c>
    </row>
    <row r="1008">
      <c r="A1008" s="40">
        <f t="array" ref="A1008">IFNA(index(PlayerValues!A:A,match(IFNA(vlookup(B1008,'Special Names'!A:B,2,FALSE),B1008),PlayerValues!E:E,0)),"N/A")</f>
        <v>16641</v>
      </c>
      <c r="B1008" s="4" t="s">
        <v>297</v>
      </c>
      <c r="C1008" s="4" t="s">
        <v>298</v>
      </c>
      <c r="D1008" s="94">
        <v>9140.0</v>
      </c>
    </row>
    <row r="1009">
      <c r="A1009" s="40">
        <f t="array" ref="A1009">IFNA(index(PlayerValues!A:A,match(IFNA(vlookup(B1009,'Special Names'!A:B,2,FALSE),B1009),PlayerValues!E:E,0)),"N/A")</f>
        <v>15287</v>
      </c>
      <c r="B1009" s="4" t="s">
        <v>299</v>
      </c>
      <c r="C1009" s="4" t="s">
        <v>287</v>
      </c>
      <c r="D1009" s="94">
        <v>8189.0</v>
      </c>
    </row>
    <row r="1010">
      <c r="A1010" s="40">
        <f t="array" ref="A1010">IFNA(index(PlayerValues!A:A,match(IFNA(vlookup(B1010,'Special Names'!A:B,2,FALSE),B1010),PlayerValues!E:E,0)),"N/A")</f>
        <v>16579</v>
      </c>
      <c r="B1010" s="4" t="s">
        <v>302</v>
      </c>
      <c r="C1010" s="4" t="s">
        <v>283</v>
      </c>
      <c r="D1010" s="94">
        <v>7817.0</v>
      </c>
    </row>
    <row r="1011">
      <c r="A1011" s="40">
        <f t="array" ref="A1011">IFNA(index(PlayerValues!A:A,match(IFNA(vlookup(B1011,'Special Names'!A:B,2,FALSE),B1011),PlayerValues!E:E,0)),"N/A")</f>
        <v>13593</v>
      </c>
      <c r="B1011" s="4" t="s">
        <v>305</v>
      </c>
      <c r="C1011" s="4" t="s">
        <v>283</v>
      </c>
      <c r="D1011" s="94">
        <v>7542.0</v>
      </c>
    </row>
    <row r="1012">
      <c r="A1012" s="40">
        <f t="array" ref="A1012">IFNA(index(PlayerValues!A:A,match(IFNA(vlookup(B1012,'Special Names'!A:B,2,FALSE),B1012),PlayerValues!E:E,0)),"N/A")</f>
        <v>14836</v>
      </c>
      <c r="B1012" s="4" t="s">
        <v>306</v>
      </c>
      <c r="C1012" s="4" t="s">
        <v>287</v>
      </c>
      <c r="D1012" s="94">
        <v>7390.0</v>
      </c>
    </row>
    <row r="1013">
      <c r="A1013" s="40">
        <f t="array" ref="A1013">IFNA(index(PlayerValues!A:A,match(IFNA(vlookup(B1013,'Special Names'!A:B,2,FALSE),B1013),PlayerValues!E:E,0)),"N/A")</f>
        <v>16615</v>
      </c>
      <c r="B1013" s="4" t="s">
        <v>309</v>
      </c>
      <c r="C1013" s="4" t="s">
        <v>287</v>
      </c>
      <c r="D1013" s="94">
        <v>7362.0</v>
      </c>
    </row>
    <row r="1014">
      <c r="A1014" s="40">
        <f t="array" ref="A1014">IFNA(index(PlayerValues!A:A,match(IFNA(vlookup(B1014,'Special Names'!A:B,2,FALSE),B1014),PlayerValues!E:E,0)),"N/A")</f>
        <v>17472</v>
      </c>
      <c r="B1014" s="4" t="s">
        <v>310</v>
      </c>
      <c r="C1014" s="4" t="s">
        <v>278</v>
      </c>
      <c r="D1014" s="94">
        <v>7334.0</v>
      </c>
    </row>
    <row r="1015">
      <c r="A1015" s="40">
        <f t="array" ref="A1015">IFNA(index(PlayerValues!A:A,match(IFNA(vlookup(B1015,'Special Names'!A:B,2,FALSE),B1015),PlayerValues!E:E,0)),"N/A")</f>
        <v>15794</v>
      </c>
      <c r="B1015" s="4" t="s">
        <v>313</v>
      </c>
      <c r="C1015" s="4" t="s">
        <v>298</v>
      </c>
      <c r="D1015" s="94">
        <v>8091.0</v>
      </c>
    </row>
    <row r="1016">
      <c r="A1016" s="40">
        <f t="array" ref="A1016">IFNA(index(PlayerValues!A:A,match(IFNA(vlookup(B1016,'Special Names'!A:B,2,FALSE),B1016),PlayerValues!E:E,0)),"N/A")</f>
        <v>17042</v>
      </c>
      <c r="B1016" s="4" t="s">
        <v>314</v>
      </c>
      <c r="C1016" s="4" t="s">
        <v>278</v>
      </c>
      <c r="D1016" s="94">
        <v>7295.0</v>
      </c>
    </row>
    <row r="1017">
      <c r="A1017" s="40">
        <f t="array" ref="A1017">IFNA(index(PlayerValues!A:A,match(IFNA(vlookup(B1017,'Special Names'!A:B,2,FALSE),B1017),PlayerValues!E:E,0)),"N/A")</f>
        <v>16581</v>
      </c>
      <c r="B1017" s="4" t="s">
        <v>315</v>
      </c>
      <c r="C1017" s="4" t="s">
        <v>283</v>
      </c>
      <c r="D1017" s="94">
        <v>7267.0</v>
      </c>
    </row>
    <row r="1018">
      <c r="A1018" s="40">
        <f t="array" ref="A1018">IFNA(index(PlayerValues!A:A,match(IFNA(vlookup(B1018,'Special Names'!A:B,2,FALSE),B1018),PlayerValues!E:E,0)),"N/A")</f>
        <v>14777</v>
      </c>
      <c r="B1018" s="4" t="s">
        <v>318</v>
      </c>
      <c r="C1018" s="4" t="s">
        <v>283</v>
      </c>
      <c r="D1018" s="94">
        <v>7236.0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7194.0</v>
      </c>
    </row>
    <row r="1020">
      <c r="A1020" s="40">
        <f t="array" ref="A1020">IFNA(index(PlayerValues!A:A,match(IFNA(vlookup(B1020,'Special Names'!A:B,2,FALSE),B1020),PlayerValues!E:E,0)),"N/A")</f>
        <v>17044</v>
      </c>
      <c r="B1020" s="4" t="s">
        <v>322</v>
      </c>
      <c r="C1020" s="4" t="s">
        <v>278</v>
      </c>
      <c r="D1020" s="94">
        <v>6966.0</v>
      </c>
    </row>
    <row r="1021">
      <c r="A1021" s="40">
        <f t="array" ref="A1021">IFNA(index(PlayerValues!A:A,match(IFNA(vlookup(B1021,'Special Names'!A:B,2,FALSE),B1021),PlayerValues!E:E,0)),"N/A")</f>
        <v>16167</v>
      </c>
      <c r="B1021" s="4" t="s">
        <v>323</v>
      </c>
      <c r="C1021" s="4" t="s">
        <v>278</v>
      </c>
      <c r="D1021" s="94">
        <v>6948.0</v>
      </c>
    </row>
    <row r="1022">
      <c r="A1022" s="40" t="str">
        <f t="array" ref="A1022">IFNA(index(PlayerValues!A:A,match(IFNA(vlookup(B1022,'Special Names'!A:B,2,FALSE),B1022),PlayerValues!E:E,0)),"N/A")</f>
        <v>N/A</v>
      </c>
      <c r="B1022" s="4" t="s">
        <v>92</v>
      </c>
      <c r="C1022" s="4" t="s">
        <v>325</v>
      </c>
      <c r="D1022" s="94">
        <v>6938.0</v>
      </c>
    </row>
    <row r="1023">
      <c r="A1023" s="40">
        <f t="array" ref="A1023">IFNA(index(PlayerValues!A:A,match(IFNA(vlookup(B1023,'Special Names'!A:B,2,FALSE),B1023),PlayerValues!E:E,0)),"N/A")</f>
        <v>14779</v>
      </c>
      <c r="B1023" s="4" t="s">
        <v>327</v>
      </c>
      <c r="C1023" s="4" t="s">
        <v>283</v>
      </c>
      <c r="D1023" s="94">
        <v>6936.0</v>
      </c>
    </row>
    <row r="1024">
      <c r="A1024" s="40">
        <f t="array" ref="A1024">IFNA(index(PlayerValues!A:A,match(IFNA(vlookup(B1024,'Special Names'!A:B,2,FALSE),B1024),PlayerValues!E:E,0)),"N/A")</f>
        <v>15751</v>
      </c>
      <c r="B1024" s="4" t="s">
        <v>328</v>
      </c>
      <c r="C1024" s="4" t="s">
        <v>287</v>
      </c>
      <c r="D1024" s="94">
        <v>6795.0</v>
      </c>
    </row>
    <row r="1025">
      <c r="A1025" s="40">
        <f t="array" ref="A1025">IFNA(index(PlayerValues!A:A,match(IFNA(vlookup(B1025,'Special Names'!A:B,2,FALSE),B1025),PlayerValues!E:E,0)),"N/A")</f>
        <v>15715</v>
      </c>
      <c r="B1025" s="4" t="s">
        <v>331</v>
      </c>
      <c r="C1025" s="4" t="s">
        <v>278</v>
      </c>
      <c r="D1025" s="94">
        <v>6521.0</v>
      </c>
    </row>
    <row r="1026">
      <c r="A1026" s="40">
        <f t="array" ref="A1026">IFNA(index(PlayerValues!A:A,match(IFNA(vlookup(B1026,'Special Names'!A:B,2,FALSE),B1026),PlayerValues!E:E,0)),"N/A")</f>
        <v>14802</v>
      </c>
      <c r="B1026" s="4" t="s">
        <v>332</v>
      </c>
      <c r="C1026" s="4" t="s">
        <v>278</v>
      </c>
      <c r="D1026" s="94">
        <v>6377.0</v>
      </c>
    </row>
    <row r="1027">
      <c r="A1027" s="40">
        <f t="array" ref="A1027">IFNA(index(PlayerValues!A:A,match(IFNA(vlookup(B1027,'Special Names'!A:B,2,FALSE),B1027),PlayerValues!E:E,0)),"N/A")</f>
        <v>17104</v>
      </c>
      <c r="B1027" s="4" t="s">
        <v>333</v>
      </c>
      <c r="C1027" s="4" t="s">
        <v>298</v>
      </c>
      <c r="D1027" s="94">
        <v>7040.0</v>
      </c>
    </row>
    <row r="1028">
      <c r="A1028" s="40">
        <f t="array" ref="A1028">IFNA(index(PlayerValues!A:A,match(IFNA(vlookup(B1028,'Special Names'!A:B,2,FALSE),B1028),PlayerValues!E:E,0)),"N/A")</f>
        <v>15237</v>
      </c>
      <c r="B1028" s="4" t="s">
        <v>336</v>
      </c>
      <c r="C1028" s="4" t="s">
        <v>283</v>
      </c>
      <c r="D1028" s="94">
        <v>6319.0</v>
      </c>
    </row>
    <row r="1029">
      <c r="A1029" s="40">
        <f t="array" ref="A1029">IFNA(index(PlayerValues!A:A,match(IFNA(vlookup(B1029,'Special Names'!A:B,2,FALSE),B1029),PlayerValues!E:E,0)),"N/A")</f>
        <v>15762</v>
      </c>
      <c r="B1029" s="4" t="s">
        <v>337</v>
      </c>
      <c r="C1029" s="4" t="s">
        <v>287</v>
      </c>
      <c r="D1029" s="94">
        <v>6253.0</v>
      </c>
    </row>
    <row r="1030">
      <c r="A1030" s="40">
        <f t="array" ref="A1030">IFNA(index(PlayerValues!A:A,match(IFNA(vlookup(B1030,'Special Names'!A:B,2,FALSE),B1030),PlayerValues!E:E,0)),"N/A")</f>
        <v>17081</v>
      </c>
      <c r="B1030" s="4" t="s">
        <v>340</v>
      </c>
      <c r="C1030" s="4" t="s">
        <v>287</v>
      </c>
      <c r="D1030" s="94">
        <v>6191.0</v>
      </c>
    </row>
    <row r="1031">
      <c r="A1031" s="40">
        <f t="array" ref="A1031">IFNA(index(PlayerValues!A:A,match(IFNA(vlookup(B1031,'Special Names'!A:B,2,FALSE),B1031),PlayerValues!E:E,0)),"N/A")</f>
        <v>17071</v>
      </c>
      <c r="B1031" s="4" t="s">
        <v>341</v>
      </c>
      <c r="C1031" s="4" t="s">
        <v>287</v>
      </c>
      <c r="D1031" s="94">
        <v>6187.0</v>
      </c>
    </row>
    <row r="1032">
      <c r="A1032" s="40">
        <f t="array" ref="A1032">IFNA(index(PlayerValues!A:A,match(IFNA(vlookup(B1032,'Special Names'!A:B,2,FALSE),B1032),PlayerValues!E:E,0)),"N/A")</f>
        <v>14783</v>
      </c>
      <c r="B1032" s="4" t="s">
        <v>342</v>
      </c>
      <c r="C1032" s="4" t="s">
        <v>283</v>
      </c>
      <c r="D1032" s="94">
        <v>6041.0</v>
      </c>
    </row>
    <row r="1033">
      <c r="A1033" s="40">
        <f t="array" ref="A1033">IFNA(index(PlayerValues!A:A,match(IFNA(vlookup(B1033,'Special Names'!A:B,2,FALSE),B1033),PlayerValues!E:E,0)),"N/A")</f>
        <v>16582</v>
      </c>
      <c r="B1033" s="4" t="s">
        <v>343</v>
      </c>
      <c r="C1033" s="4" t="s">
        <v>283</v>
      </c>
      <c r="D1033" s="94">
        <v>6025.0</v>
      </c>
    </row>
    <row r="1034">
      <c r="A1034" s="40">
        <f t="array" ref="A1034">IFNA(index(PlayerValues!A:A,match(IFNA(vlookup(B1034,'Special Names'!A:B,2,FALSE),B1034),PlayerValues!E:E,0)),"N/A")</f>
        <v>17102</v>
      </c>
      <c r="B1034" s="4" t="s">
        <v>344</v>
      </c>
      <c r="C1034" s="4" t="s">
        <v>298</v>
      </c>
      <c r="D1034" s="94">
        <v>6638.0</v>
      </c>
    </row>
    <row r="1035">
      <c r="A1035" s="40">
        <f t="array" ref="A1035">IFNA(index(PlayerValues!A:A,match(IFNA(vlookup(B1035,'Special Names'!A:B,2,FALSE),B1035),PlayerValues!E:E,0)),"N/A")</f>
        <v>13116</v>
      </c>
      <c r="B1035" s="4" t="s">
        <v>345</v>
      </c>
      <c r="C1035" s="4" t="s">
        <v>283</v>
      </c>
      <c r="D1035" s="94">
        <v>5960.0</v>
      </c>
    </row>
    <row r="1036">
      <c r="A1036" s="40">
        <f t="array" ref="A1036">IFNA(index(PlayerValues!A:A,match(IFNA(vlookup(B1036,'Special Names'!A:B,2,FALSE),B1036),PlayerValues!E:E,0)),"N/A")</f>
        <v>17032</v>
      </c>
      <c r="B1036" s="4" t="s">
        <v>348</v>
      </c>
      <c r="C1036" s="4" t="s">
        <v>283</v>
      </c>
      <c r="D1036" s="94">
        <v>5886.0</v>
      </c>
    </row>
    <row r="1037">
      <c r="A1037" s="40">
        <f t="array" ref="A1037">IFNA(index(PlayerValues!A:A,match(IFNA(vlookup(B1037,'Special Names'!A:B,2,FALSE),B1037),PlayerValues!E:E,0)),"N/A")</f>
        <v>15711</v>
      </c>
      <c r="B1037" s="4" t="s">
        <v>349</v>
      </c>
      <c r="C1037" s="4" t="s">
        <v>278</v>
      </c>
      <c r="D1037" s="94">
        <v>5750.0</v>
      </c>
    </row>
    <row r="1038">
      <c r="A1038" s="40">
        <f t="array" ref="A1038">IFNA(index(PlayerValues!A:A,match(IFNA(vlookup(B1038,'Special Names'!A:B,2,FALSE),B1038),PlayerValues!E:E,0)),"N/A")</f>
        <v>16181</v>
      </c>
      <c r="B1038" s="4" t="s">
        <v>350</v>
      </c>
      <c r="C1038" s="4" t="s">
        <v>278</v>
      </c>
      <c r="D1038" s="94">
        <v>5745.0</v>
      </c>
    </row>
    <row r="1039">
      <c r="A1039" s="40">
        <f t="array" ref="A1039">IFNA(index(PlayerValues!A:A,match(IFNA(vlookup(B1039,'Special Names'!A:B,2,FALSE),B1039),PlayerValues!E:E,0)),"N/A")</f>
        <v>16627</v>
      </c>
      <c r="B1039" s="4" t="s">
        <v>351</v>
      </c>
      <c r="C1039" s="4" t="s">
        <v>287</v>
      </c>
      <c r="D1039" s="94">
        <v>5742.0</v>
      </c>
    </row>
    <row r="1040">
      <c r="A1040" s="40">
        <f t="array" ref="A1040">IFNA(index(PlayerValues!A:A,match(IFNA(vlookup(B1040,'Special Names'!A:B,2,FALSE),B1040),PlayerValues!E:E,0)),"N/A")</f>
        <v>15754</v>
      </c>
      <c r="B1040" s="4" t="s">
        <v>354</v>
      </c>
      <c r="C1040" s="4" t="s">
        <v>287</v>
      </c>
      <c r="D1040" s="94">
        <v>5739.0</v>
      </c>
    </row>
    <row r="1041">
      <c r="A1041" s="40">
        <f t="array" ref="A1041">IFNA(index(PlayerValues!A:A,match(IFNA(vlookup(B1041,'Special Names'!A:B,2,FALSE),B1041),PlayerValues!E:E,0)),"N/A")</f>
        <v>15290</v>
      </c>
      <c r="B1041" s="4" t="s">
        <v>355</v>
      </c>
      <c r="C1041" s="4" t="s">
        <v>287</v>
      </c>
      <c r="D1041" s="94">
        <v>5732.0</v>
      </c>
    </row>
    <row r="1042">
      <c r="A1042" s="40">
        <f t="array" ref="A1042">IFNA(index(PlayerValues!A:A,match(IFNA(vlookup(B1042,'Special Names'!A:B,2,FALSE),B1042),PlayerValues!E:E,0)),"N/A")</f>
        <v>15698</v>
      </c>
      <c r="B1042" s="4" t="s">
        <v>358</v>
      </c>
      <c r="C1042" s="4" t="s">
        <v>283</v>
      </c>
      <c r="D1042" s="94">
        <v>5659.0</v>
      </c>
    </row>
    <row r="1043">
      <c r="A1043" s="40">
        <f t="array" ref="A1043">IFNA(index(PlayerValues!A:A,match(IFNA(vlookup(B1043,'Special Names'!A:B,2,FALSE),B1043),PlayerValues!E:E,0)),"N/A")</f>
        <v>15753</v>
      </c>
      <c r="B1043" s="4" t="s">
        <v>359</v>
      </c>
      <c r="C1043" s="4" t="s">
        <v>287</v>
      </c>
      <c r="D1043" s="94">
        <v>5652.0</v>
      </c>
    </row>
    <row r="1044">
      <c r="A1044" s="40" t="str">
        <f t="array" ref="A1044">IFNA(index(PlayerValues!A:A,match(IFNA(vlookup(B1044,'Special Names'!A:B,2,FALSE),B1044),PlayerValues!E:E,0)),"N/A")</f>
        <v>N/A</v>
      </c>
      <c r="B1044" s="4" t="s">
        <v>93</v>
      </c>
      <c r="C1044" s="4" t="s">
        <v>325</v>
      </c>
      <c r="D1044" s="94">
        <v>5600.0</v>
      </c>
    </row>
    <row r="1045">
      <c r="A1045" s="40">
        <f t="array" ref="A1045">IFNA(index(PlayerValues!A:A,match(IFNA(vlookup(B1045,'Special Names'!A:B,2,FALSE),B1045),PlayerValues!E:E,0)),"N/A")</f>
        <v>15282</v>
      </c>
      <c r="B1045" s="4" t="s">
        <v>364</v>
      </c>
      <c r="C1045" s="4" t="s">
        <v>287</v>
      </c>
      <c r="D1045" s="94">
        <v>5569.0</v>
      </c>
    </row>
    <row r="1046">
      <c r="A1046" s="40">
        <f t="array" ref="A1046">IFNA(index(PlayerValues!A:A,match(IFNA(vlookup(B1046,'Special Names'!A:B,2,FALSE),B1046),PlayerValues!E:E,0)),"N/A")</f>
        <v>17497</v>
      </c>
      <c r="B1046" s="4" t="s">
        <v>365</v>
      </c>
      <c r="C1046" s="4" t="s">
        <v>287</v>
      </c>
      <c r="D1046" s="94">
        <v>5568.0</v>
      </c>
    </row>
    <row r="1047">
      <c r="A1047" s="40" t="str">
        <f t="array" ref="A1047">IFNA(index(PlayerValues!A:A,match(IFNA(vlookup(B1047,'Special Names'!A:B,2,FALSE),B1047),PlayerValues!E:E,0)),"N/A")</f>
        <v>N/A</v>
      </c>
      <c r="B1047" s="4" t="s">
        <v>79</v>
      </c>
      <c r="C1047" s="4" t="s">
        <v>325</v>
      </c>
      <c r="D1047" s="94">
        <v>5527.0</v>
      </c>
    </row>
    <row r="1048">
      <c r="A1048" s="40">
        <f t="array" ref="A1048">IFNA(index(PlayerValues!A:A,match(IFNA(vlookup(B1048,'Special Names'!A:B,2,FALSE),B1048),PlayerValues!E:E,0)),"N/A")</f>
        <v>17070</v>
      </c>
      <c r="B1048" s="4" t="s">
        <v>370</v>
      </c>
      <c r="C1048" s="4" t="s">
        <v>287</v>
      </c>
      <c r="D1048" s="94">
        <v>5497.0</v>
      </c>
    </row>
    <row r="1049">
      <c r="A1049" s="40">
        <f t="array" ref="A1049">IFNA(index(PlayerValues!A:A,match(IFNA(vlookup(B1049,'Special Names'!A:B,2,FALSE),B1049),PlayerValues!E:E,0)),"N/A")</f>
        <v>16190</v>
      </c>
      <c r="B1049" s="4" t="s">
        <v>371</v>
      </c>
      <c r="C1049" s="4" t="s">
        <v>287</v>
      </c>
      <c r="D1049" s="94">
        <v>5339.0</v>
      </c>
    </row>
    <row r="1050">
      <c r="A1050" s="40">
        <f t="array" ref="A1050">IFNA(index(PlayerValues!A:A,match(IFNA(vlookup(B1050,'Special Names'!A:B,2,FALSE),B1050),PlayerValues!E:E,0)),"N/A")</f>
        <v>13130</v>
      </c>
      <c r="B1050" s="4" t="s">
        <v>374</v>
      </c>
      <c r="C1050" s="4" t="s">
        <v>278</v>
      </c>
      <c r="D1050" s="94">
        <v>5305.0</v>
      </c>
    </row>
    <row r="1051">
      <c r="A1051" s="40">
        <f t="array" ref="A1051">IFNA(index(PlayerValues!A:A,match(IFNA(vlookup(B1051,'Special Names'!A:B,2,FALSE),B1051),PlayerValues!E:E,0)),"N/A")</f>
        <v>17462</v>
      </c>
      <c r="B1051" s="4" t="s">
        <v>375</v>
      </c>
      <c r="C1051" s="4" t="s">
        <v>283</v>
      </c>
      <c r="D1051" s="94">
        <v>5303.0</v>
      </c>
    </row>
    <row r="1052">
      <c r="A1052" s="40">
        <f t="array" ref="A1052">IFNA(index(PlayerValues!A:A,match(IFNA(vlookup(B1052,'Special Names'!A:B,2,FALSE),B1052),PlayerValues!E:E,0)),"N/A")</f>
        <v>13604</v>
      </c>
      <c r="B1052" s="4" t="s">
        <v>378</v>
      </c>
      <c r="C1052" s="4" t="s">
        <v>278</v>
      </c>
      <c r="D1052" s="94">
        <v>5288.0</v>
      </c>
    </row>
    <row r="1053">
      <c r="A1053" s="40">
        <f t="array" ref="A1053">IFNA(index(PlayerValues!A:A,match(IFNA(vlookup(B1053,'Special Names'!A:B,2,FALSE),B1053),PlayerValues!E:E,0)),"N/A")</f>
        <v>14104</v>
      </c>
      <c r="B1053" s="4" t="s">
        <v>379</v>
      </c>
      <c r="C1053" s="4" t="s">
        <v>287</v>
      </c>
      <c r="D1053" s="94">
        <v>5287.0</v>
      </c>
    </row>
    <row r="1054">
      <c r="A1054" s="40">
        <f t="array" ref="A1054">IFNA(index(PlayerValues!A:A,match(IFNA(vlookup(B1054,'Special Names'!A:B,2,FALSE),B1054),PlayerValues!E:E,0)),"N/A")</f>
        <v>15708</v>
      </c>
      <c r="B1054" s="4" t="s">
        <v>382</v>
      </c>
      <c r="C1054" s="4" t="s">
        <v>278</v>
      </c>
      <c r="D1054" s="94">
        <v>5287.0</v>
      </c>
    </row>
    <row r="1055">
      <c r="A1055" s="40">
        <f t="array" ref="A1055">IFNA(index(PlayerValues!A:A,match(IFNA(vlookup(B1055,'Special Names'!A:B,2,FALSE),B1055),PlayerValues!E:E,0)),"N/A")</f>
        <v>14782</v>
      </c>
      <c r="B1055" s="4" t="s">
        <v>385</v>
      </c>
      <c r="C1055" s="4" t="s">
        <v>283</v>
      </c>
      <c r="D1055" s="94">
        <v>5284.0</v>
      </c>
    </row>
    <row r="1056">
      <c r="A1056" s="40" t="str">
        <f t="array" ref="A1056">IFNA(index(PlayerValues!A:A,match(IFNA(vlookup(B1056,'Special Names'!A:B,2,FALSE),B1056),PlayerValues!E:E,0)),"N/A")</f>
        <v>N/A</v>
      </c>
      <c r="B1056" s="4" t="s">
        <v>104</v>
      </c>
      <c r="C1056" s="4" t="s">
        <v>325</v>
      </c>
      <c r="D1056" s="94">
        <v>5247.0</v>
      </c>
    </row>
    <row r="1057">
      <c r="A1057" s="40">
        <f t="array" ref="A1057">IFNA(index(PlayerValues!A:A,match(IFNA(vlookup(B1057,'Special Names'!A:B,2,FALSE),B1057),PlayerValues!E:E,0)),"N/A")</f>
        <v>17051</v>
      </c>
      <c r="B1057" s="4" t="s">
        <v>386</v>
      </c>
      <c r="C1057" s="4" t="s">
        <v>278</v>
      </c>
      <c r="D1057" s="94">
        <v>5241.0</v>
      </c>
    </row>
    <row r="1058">
      <c r="A1058" s="40">
        <f t="array" ref="A1058">IFNA(index(PlayerValues!A:A,match(IFNA(vlookup(B1058,'Special Names'!A:B,2,FALSE),B1058),PlayerValues!E:E,0)),"N/A")</f>
        <v>16616</v>
      </c>
      <c r="B1058" s="4" t="s">
        <v>389</v>
      </c>
      <c r="C1058" s="4" t="s">
        <v>287</v>
      </c>
      <c r="D1058" s="94">
        <v>5222.0</v>
      </c>
    </row>
    <row r="1059">
      <c r="A1059" s="40">
        <f t="array" ref="A1059">IFNA(index(PlayerValues!A:A,match(IFNA(vlookup(B1059,'Special Names'!A:B,2,FALSE),B1059),PlayerValues!E:E,0)),"N/A")</f>
        <v>15284</v>
      </c>
      <c r="B1059" s="4" t="s">
        <v>390</v>
      </c>
      <c r="C1059" s="4" t="s">
        <v>287</v>
      </c>
      <c r="D1059" s="94">
        <v>5191.0</v>
      </c>
    </row>
    <row r="1060">
      <c r="A1060" s="40">
        <f t="array" ref="A1060">IFNA(index(PlayerValues!A:A,match(IFNA(vlookup(B1060,'Special Names'!A:B,2,FALSE),B1060),PlayerValues!E:E,0)),"N/A")</f>
        <v>17473</v>
      </c>
      <c r="B1060" s="4" t="s">
        <v>391</v>
      </c>
      <c r="C1060" s="4" t="s">
        <v>278</v>
      </c>
      <c r="D1060" s="94">
        <v>5116.0</v>
      </c>
    </row>
    <row r="1061">
      <c r="A1061" s="40">
        <f t="array" ref="A1061">IFNA(index(PlayerValues!A:A,match(IFNA(vlookup(B1061,'Special Names'!A:B,2,FALSE),B1061),PlayerValues!E:E,0)),"N/A")</f>
        <v>14835</v>
      </c>
      <c r="B1061" s="4" t="s">
        <v>392</v>
      </c>
      <c r="C1061" s="4" t="s">
        <v>287</v>
      </c>
      <c r="D1061" s="94">
        <v>5095.0</v>
      </c>
    </row>
    <row r="1062">
      <c r="A1062" s="40">
        <f t="array" ref="A1062">IFNA(index(PlayerValues!A:A,match(IFNA(vlookup(B1062,'Special Names'!A:B,2,FALSE),B1062),PlayerValues!E:E,0)),"N/A")</f>
        <v>16222</v>
      </c>
      <c r="B1062" s="4" t="s">
        <v>393</v>
      </c>
      <c r="C1062" s="4" t="s">
        <v>298</v>
      </c>
      <c r="D1062" s="94">
        <v>5638.0</v>
      </c>
    </row>
    <row r="1063">
      <c r="A1063" s="40">
        <f t="array" ref="A1063">IFNA(index(PlayerValues!A:A,match(IFNA(vlookup(B1063,'Special Names'!A:B,2,FALSE),B1063),PlayerValues!E:E,0)),"N/A")</f>
        <v>12620</v>
      </c>
      <c r="B1063" s="4" t="s">
        <v>394</v>
      </c>
      <c r="C1063" s="4" t="s">
        <v>283</v>
      </c>
      <c r="D1063" s="94">
        <v>5050.0</v>
      </c>
    </row>
    <row r="1064">
      <c r="A1064" s="40">
        <f t="array" ref="A1064">IFNA(index(PlayerValues!A:A,match(IFNA(vlookup(B1064,'Special Names'!A:B,2,FALSE),B1064),PlayerValues!E:E,0)),"N/A")</f>
        <v>15710</v>
      </c>
      <c r="B1064" s="4" t="s">
        <v>395</v>
      </c>
      <c r="C1064" s="4" t="s">
        <v>278</v>
      </c>
      <c r="D1064" s="94">
        <v>4953.0</v>
      </c>
    </row>
    <row r="1065">
      <c r="A1065" s="40">
        <f t="array" ref="A1065">IFNA(index(PlayerValues!A:A,match(IFNA(vlookup(B1065,'Special Names'!A:B,2,FALSE),B1065),PlayerValues!E:E,0)),"N/A")</f>
        <v>17498</v>
      </c>
      <c r="B1065" s="4" t="s">
        <v>396</v>
      </c>
      <c r="C1065" s="4" t="s">
        <v>287</v>
      </c>
      <c r="D1065" s="94">
        <v>4948.0</v>
      </c>
    </row>
    <row r="1066">
      <c r="A1066" s="40" t="str">
        <f t="array" ref="A1066">IFNA(index(PlayerValues!A:A,match(IFNA(vlookup(B1066,'Special Names'!A:B,2,FALSE),B1066),PlayerValues!E:E,0)),"N/A")</f>
        <v>N/A</v>
      </c>
      <c r="B1066" s="4" t="s">
        <v>94</v>
      </c>
      <c r="C1066" s="4" t="s">
        <v>325</v>
      </c>
      <c r="D1066" s="94">
        <v>4941.0</v>
      </c>
    </row>
    <row r="1067">
      <c r="A1067" s="40">
        <f t="array" ref="A1067">IFNA(index(PlayerValues!A:A,match(IFNA(vlookup(B1067,'Special Names'!A:B,2,FALSE),B1067),PlayerValues!E:E,0)),"N/A")</f>
        <v>17043</v>
      </c>
      <c r="B1067" s="4" t="s">
        <v>397</v>
      </c>
      <c r="C1067" s="4" t="s">
        <v>278</v>
      </c>
      <c r="D1067" s="94">
        <v>4930.0</v>
      </c>
    </row>
    <row r="1068">
      <c r="A1068" s="40">
        <f t="array" ref="A1068">IFNA(index(PlayerValues!A:A,match(IFNA(vlookup(B1068,'Special Names'!A:B,2,FALSE),B1068),PlayerValues!E:E,0)),"N/A")</f>
        <v>16194</v>
      </c>
      <c r="B1068" s="4" t="s">
        <v>398</v>
      </c>
      <c r="C1068" s="4" t="s">
        <v>287</v>
      </c>
      <c r="D1068" s="94">
        <v>4834.0</v>
      </c>
    </row>
    <row r="1069">
      <c r="A1069" s="40">
        <f t="array" ref="A1069">IFNA(index(PlayerValues!A:A,match(IFNA(vlookup(B1069,'Special Names'!A:B,2,FALSE),B1069),PlayerValues!E:E,0)),"N/A")</f>
        <v>15756</v>
      </c>
      <c r="B1069" s="4" t="s">
        <v>399</v>
      </c>
      <c r="C1069" s="4" t="s">
        <v>287</v>
      </c>
      <c r="D1069" s="94">
        <v>4829.0</v>
      </c>
    </row>
    <row r="1070">
      <c r="A1070" s="40">
        <f t="array" ref="A1070">IFNA(index(PlayerValues!A:A,match(IFNA(vlookup(B1070,'Special Names'!A:B,2,FALSE),B1070),PlayerValues!E:E,0)),"N/A")</f>
        <v>17039</v>
      </c>
      <c r="B1070" s="4" t="s">
        <v>400</v>
      </c>
      <c r="C1070" s="4" t="s">
        <v>283</v>
      </c>
      <c r="D1070" s="94">
        <v>4800.0</v>
      </c>
    </row>
    <row r="1071">
      <c r="A1071" s="40">
        <f t="array" ref="A1071">IFNA(index(PlayerValues!A:A,match(IFNA(vlookup(B1071,'Special Names'!A:B,2,FALSE),B1071),PlayerValues!E:E,0)),"N/A")</f>
        <v>15256</v>
      </c>
      <c r="B1071" s="4" t="s">
        <v>401</v>
      </c>
      <c r="C1071" s="4" t="s">
        <v>278</v>
      </c>
      <c r="D1071" s="94">
        <v>4792.0</v>
      </c>
    </row>
    <row r="1072">
      <c r="A1072" s="40">
        <f t="array" ref="A1072">IFNA(index(PlayerValues!A:A,match(IFNA(vlookup(B1072,'Special Names'!A:B,2,FALSE),B1072),PlayerValues!E:E,0)),"N/A")</f>
        <v>17499</v>
      </c>
      <c r="B1072" s="4" t="s">
        <v>402</v>
      </c>
      <c r="C1072" s="4" t="s">
        <v>287</v>
      </c>
      <c r="D1072" s="94">
        <v>4768.0</v>
      </c>
    </row>
    <row r="1073">
      <c r="A1073" s="40">
        <f t="array" ref="A1073">IFNA(index(PlayerValues!A:A,match(IFNA(vlookup(B1073,'Special Names'!A:B,2,FALSE),B1073),PlayerValues!E:E,0)),"N/A")</f>
        <v>16614</v>
      </c>
      <c r="B1073" s="4" t="s">
        <v>403</v>
      </c>
      <c r="C1073" s="4" t="s">
        <v>287</v>
      </c>
      <c r="D1073" s="94">
        <v>4744.0</v>
      </c>
    </row>
    <row r="1074">
      <c r="A1074" s="40" t="str">
        <f t="array" ref="A1074">IFNA(index(PlayerValues!A:A,match(IFNA(vlookup(B1074,'Special Names'!A:B,2,FALSE),B1074),PlayerValues!E:E,0)),"N/A")</f>
        <v>N/A</v>
      </c>
      <c r="B1074" s="4" t="s">
        <v>80</v>
      </c>
      <c r="C1074" s="4" t="s">
        <v>325</v>
      </c>
      <c r="D1074" s="94">
        <v>4733.0</v>
      </c>
    </row>
    <row r="1075">
      <c r="A1075" s="40">
        <f t="array" ref="A1075">IFNA(index(PlayerValues!A:A,match(IFNA(vlookup(B1075,'Special Names'!A:B,2,FALSE),B1075),PlayerValues!E:E,0)),"N/A")</f>
        <v>17501</v>
      </c>
      <c r="B1075" s="4" t="s">
        <v>404</v>
      </c>
      <c r="C1075" s="4" t="s">
        <v>287</v>
      </c>
      <c r="D1075" s="94">
        <v>4717.0</v>
      </c>
    </row>
    <row r="1076">
      <c r="A1076" s="40">
        <f t="array" ref="A1076">IFNA(index(PlayerValues!A:A,match(IFNA(vlookup(B1076,'Special Names'!A:B,2,FALSE),B1076),PlayerValues!E:E,0)),"N/A")</f>
        <v>17103</v>
      </c>
      <c r="B1076" s="4" t="s">
        <v>405</v>
      </c>
      <c r="C1076" s="4" t="s">
        <v>298</v>
      </c>
      <c r="D1076" s="94">
        <v>5259.0</v>
      </c>
    </row>
    <row r="1077">
      <c r="A1077" s="40">
        <f t="array" ref="A1077">IFNA(index(PlayerValues!A:A,match(IFNA(vlookup(B1077,'Special Names'!A:B,2,FALSE),B1077),PlayerValues!E:E,0)),"N/A")</f>
        <v>17030</v>
      </c>
      <c r="B1077" s="4" t="s">
        <v>406</v>
      </c>
      <c r="C1077" s="4" t="s">
        <v>283</v>
      </c>
      <c r="D1077" s="94">
        <v>4696.0</v>
      </c>
    </row>
    <row r="1078">
      <c r="A1078" s="40">
        <f t="array" ref="A1078">IFNA(index(PlayerValues!A:A,match(IFNA(vlookup(B1078,'Special Names'!A:B,2,FALSE),B1078),PlayerValues!E:E,0)),"N/A")</f>
        <v>17045</v>
      </c>
      <c r="B1078" s="4" t="s">
        <v>407</v>
      </c>
      <c r="C1078" s="4" t="s">
        <v>278</v>
      </c>
      <c r="D1078" s="94">
        <v>4653.0</v>
      </c>
    </row>
    <row r="1079">
      <c r="A1079" s="40">
        <f t="array" ref="A1079">IFNA(index(PlayerValues!A:A,match(IFNA(vlookup(B1079,'Special Names'!A:B,2,FALSE),B1079),PlayerValues!E:E,0)),"N/A")</f>
        <v>16598</v>
      </c>
      <c r="B1079" s="4" t="s">
        <v>408</v>
      </c>
      <c r="C1079" s="4" t="s">
        <v>278</v>
      </c>
      <c r="D1079" s="94">
        <v>4611.0</v>
      </c>
    </row>
    <row r="1080">
      <c r="A1080" s="40">
        <f t="array" ref="A1080">IFNA(index(PlayerValues!A:A,match(IFNA(vlookup(B1080,'Special Names'!A:B,2,FALSE),B1080),PlayerValues!E:E,0)),"N/A")</f>
        <v>13590</v>
      </c>
      <c r="B1080" s="4" t="s">
        <v>409</v>
      </c>
      <c r="C1080" s="4" t="s">
        <v>283</v>
      </c>
      <c r="D1080" s="94">
        <v>4588.0</v>
      </c>
    </row>
    <row r="1081">
      <c r="A1081" s="40" t="str">
        <f t="array" ref="A1081">IFNA(index(PlayerValues!A:A,match(IFNA(vlookup(B1081,'Special Names'!A:B,2,FALSE),B1081),PlayerValues!E:E,0)),"N/A")</f>
        <v>N/A</v>
      </c>
      <c r="B1081" s="4" t="s">
        <v>105</v>
      </c>
      <c r="C1081" s="4" t="s">
        <v>325</v>
      </c>
      <c r="D1081" s="94">
        <v>4587.0</v>
      </c>
    </row>
    <row r="1082">
      <c r="A1082" s="40">
        <f t="array" ref="A1082">IFNA(index(PlayerValues!A:A,match(IFNA(vlookup(B1082,'Special Names'!A:B,2,FALSE),B1082),PlayerValues!E:E,0)),"N/A")</f>
        <v>12611</v>
      </c>
      <c r="B1082" s="4" t="s">
        <v>410</v>
      </c>
      <c r="C1082" s="4" t="s">
        <v>283</v>
      </c>
      <c r="D1082" s="94">
        <v>4567.0</v>
      </c>
    </row>
    <row r="1083">
      <c r="A1083" s="40">
        <f t="array" ref="A1083">IFNA(index(PlayerValues!A:A,match(IFNA(vlookup(B1083,'Special Names'!A:B,2,FALSE),B1083),PlayerValues!E:E,0)),"N/A")</f>
        <v>16618</v>
      </c>
      <c r="B1083" s="4" t="s">
        <v>411</v>
      </c>
      <c r="C1083" s="4" t="s">
        <v>287</v>
      </c>
      <c r="D1083" s="94">
        <v>4563.0</v>
      </c>
    </row>
    <row r="1084">
      <c r="A1084" s="40">
        <f t="array" ref="A1084">IFNA(index(PlayerValues!A:A,match(IFNA(vlookup(B1084,'Special Names'!A:B,2,FALSE),B1084),PlayerValues!E:E,0)),"N/A")</f>
        <v>16192</v>
      </c>
      <c r="B1084" s="4" t="s">
        <v>412</v>
      </c>
      <c r="C1084" s="4" t="s">
        <v>287</v>
      </c>
      <c r="D1084" s="94">
        <v>4555.0</v>
      </c>
    </row>
    <row r="1085">
      <c r="A1085" s="40">
        <f t="array" ref="A1085">IFNA(index(PlayerValues!A:A,match(IFNA(vlookup(B1085,'Special Names'!A:B,2,FALSE),B1085),PlayerValues!E:E,0)),"N/A")</f>
        <v>16214</v>
      </c>
      <c r="B1085" s="4" t="s">
        <v>413</v>
      </c>
      <c r="C1085" s="4" t="s">
        <v>298</v>
      </c>
      <c r="D1085" s="94">
        <v>5080.0</v>
      </c>
    </row>
    <row r="1086">
      <c r="A1086" s="40">
        <f t="array" ref="A1086">IFNA(index(PlayerValues!A:A,match(IFNA(vlookup(B1086,'Special Names'!A:B,2,FALSE),B1086),PlayerValues!E:E,0)),"N/A")</f>
        <v>16150</v>
      </c>
      <c r="B1086" s="4" t="s">
        <v>414</v>
      </c>
      <c r="C1086" s="4" t="s">
        <v>283</v>
      </c>
      <c r="D1086" s="94">
        <v>4462.0</v>
      </c>
    </row>
    <row r="1087">
      <c r="A1087" s="40">
        <f t="array" ref="A1087">IFNA(index(PlayerValues!A:A,match(IFNA(vlookup(B1087,'Special Names'!A:B,2,FALSE),B1087),PlayerValues!E:E,0)),"N/A")</f>
        <v>15253</v>
      </c>
      <c r="B1087" s="4" t="s">
        <v>415</v>
      </c>
      <c r="C1087" s="4" t="s">
        <v>278</v>
      </c>
      <c r="D1087" s="94">
        <v>4449.0</v>
      </c>
    </row>
    <row r="1088">
      <c r="A1088" s="40">
        <f t="array" ref="A1088">IFNA(index(PlayerValues!A:A,match(IFNA(vlookup(B1088,'Special Names'!A:B,2,FALSE),B1088),PlayerValues!E:E,0)),"N/A")</f>
        <v>15329</v>
      </c>
      <c r="B1088" s="4" t="s">
        <v>416</v>
      </c>
      <c r="C1088" s="4" t="s">
        <v>298</v>
      </c>
      <c r="D1088" s="94">
        <v>4876.0</v>
      </c>
    </row>
    <row r="1089">
      <c r="A1089" s="40">
        <f t="array" ref="A1089">IFNA(index(PlayerValues!A:A,match(IFNA(vlookup(B1089,'Special Names'!A:B,2,FALSE),B1089),PlayerValues!E:E,0)),"N/A")</f>
        <v>17052</v>
      </c>
      <c r="B1089" s="4" t="s">
        <v>417</v>
      </c>
      <c r="C1089" s="4" t="s">
        <v>278</v>
      </c>
      <c r="D1089" s="94">
        <v>4296.0</v>
      </c>
    </row>
    <row r="1090">
      <c r="A1090" s="40">
        <f t="array" ref="A1090">IFNA(index(PlayerValues!A:A,match(IFNA(vlookup(B1090,'Special Names'!A:B,2,FALSE),B1090),PlayerValues!E:E,0)),"N/A")</f>
        <v>13592</v>
      </c>
      <c r="B1090" s="4" t="s">
        <v>418</v>
      </c>
      <c r="C1090" s="4" t="s">
        <v>283</v>
      </c>
      <c r="D1090" s="94">
        <v>4259.0</v>
      </c>
    </row>
    <row r="1091">
      <c r="A1091" s="40">
        <f t="array" ref="A1091">IFNA(index(PlayerValues!A:A,match(IFNA(vlookup(B1091,'Special Names'!A:B,2,FALSE),B1091),PlayerValues!E:E,0)),"N/A")</f>
        <v>12626</v>
      </c>
      <c r="B1091" s="4" t="s">
        <v>419</v>
      </c>
      <c r="C1091" s="4" t="s">
        <v>278</v>
      </c>
      <c r="D1091" s="94">
        <v>4232.0</v>
      </c>
    </row>
    <row r="1092">
      <c r="A1092" s="40" t="str">
        <f t="array" ref="A1092">IFNA(index(PlayerValues!A:A,match(IFNA(vlookup(B1092,'Special Names'!A:B,2,FALSE),B1092),PlayerValues!E:E,0)),"N/A")</f>
        <v>N/A</v>
      </c>
      <c r="B1092" s="4" t="s">
        <v>107</v>
      </c>
      <c r="C1092" s="4" t="s">
        <v>325</v>
      </c>
      <c r="D1092" s="94">
        <v>4175.0</v>
      </c>
    </row>
    <row r="1093">
      <c r="A1093" s="40" t="str">
        <f t="array" ref="A1093">IFNA(index(PlayerValues!A:A,match(IFNA(vlookup(B1093,'Special Names'!A:B,2,FALSE),B1093),PlayerValues!E:E,0)),"N/A")</f>
        <v>N/A</v>
      </c>
      <c r="B1093" s="4" t="s">
        <v>81</v>
      </c>
      <c r="C1093" s="4" t="s">
        <v>325</v>
      </c>
      <c r="D1093" s="94">
        <v>4024.0</v>
      </c>
    </row>
    <row r="1094">
      <c r="A1094" s="40">
        <f t="array" ref="A1094">IFNA(index(PlayerValues!A:A,match(IFNA(vlookup(B1094,'Special Names'!A:B,2,FALSE),B1094),PlayerValues!E:E,0)),"N/A")</f>
        <v>14797</v>
      </c>
      <c r="B1094" s="4" t="s">
        <v>420</v>
      </c>
      <c r="C1094" s="4" t="s">
        <v>278</v>
      </c>
      <c r="D1094" s="94">
        <v>4007.0</v>
      </c>
    </row>
    <row r="1095">
      <c r="A1095" s="40">
        <f t="array" ref="A1095">IFNA(index(PlayerValues!A:A,match(IFNA(vlookup(B1095,'Special Names'!A:B,2,FALSE),B1095),PlayerValues!E:E,0)),"N/A")</f>
        <v>15789</v>
      </c>
      <c r="B1095" s="4" t="s">
        <v>421</v>
      </c>
      <c r="C1095" s="4" t="s">
        <v>287</v>
      </c>
      <c r="D1095" s="94">
        <v>3953.0</v>
      </c>
    </row>
    <row r="1096">
      <c r="A1096" s="40">
        <f t="array" ref="A1096">IFNA(index(PlayerValues!A:A,match(IFNA(vlookup(B1096,'Special Names'!A:B,2,FALSE),B1096),PlayerValues!E:E,0)),"N/A")</f>
        <v>17514</v>
      </c>
      <c r="B1096" s="4" t="s">
        <v>422</v>
      </c>
      <c r="C1096" s="4" t="s">
        <v>287</v>
      </c>
      <c r="D1096" s="94">
        <v>3918.0</v>
      </c>
    </row>
    <row r="1097">
      <c r="A1097" s="40">
        <f t="array" ref="A1097">IFNA(index(PlayerValues!A:A,match(IFNA(vlookup(B1097,'Special Names'!A:B,2,FALSE),B1097),PlayerValues!E:E,0)),"N/A")</f>
        <v>14056</v>
      </c>
      <c r="B1097" s="4" t="s">
        <v>423</v>
      </c>
      <c r="C1097" s="4" t="s">
        <v>283</v>
      </c>
      <c r="D1097" s="94">
        <v>3852.0</v>
      </c>
    </row>
    <row r="1098">
      <c r="A1098" s="40">
        <f t="array" ref="A1098">IFNA(index(PlayerValues!A:A,match(IFNA(vlookup(B1098,'Special Names'!A:B,2,FALSE),B1098),PlayerValues!E:E,0)),"N/A")</f>
        <v>13635</v>
      </c>
      <c r="B1098" s="4" t="s">
        <v>424</v>
      </c>
      <c r="C1098" s="4" t="s">
        <v>287</v>
      </c>
      <c r="D1098" s="94">
        <v>3811.0</v>
      </c>
    </row>
    <row r="1099">
      <c r="A1099" s="40" t="str">
        <f t="array" ref="A1099">IFNA(index(PlayerValues!A:A,match(IFNA(vlookup(B1099,'Special Names'!A:B,2,FALSE),B1099),PlayerValues!E:E,0)),"N/A")</f>
        <v>N/A</v>
      </c>
      <c r="B1099" s="4" t="s">
        <v>95</v>
      </c>
      <c r="C1099" s="4" t="s">
        <v>325</v>
      </c>
      <c r="D1099" s="94">
        <v>3809.0</v>
      </c>
    </row>
    <row r="1100">
      <c r="A1100" s="40">
        <f t="array" ref="A1100">IFNA(index(PlayerValues!A:A,match(IFNA(vlookup(B1100,'Special Names'!A:B,2,FALSE),B1100),PlayerValues!E:E,0)),"N/A")</f>
        <v>16186</v>
      </c>
      <c r="B1100" s="4" t="s">
        <v>425</v>
      </c>
      <c r="C1100" s="4" t="s">
        <v>287</v>
      </c>
      <c r="D1100" s="94">
        <v>3788.0</v>
      </c>
    </row>
    <row r="1101">
      <c r="A1101" s="40">
        <f t="array" ref="A1101">IFNA(index(PlayerValues!A:A,match(IFNA(vlookup(B1101,'Special Names'!A:B,2,FALSE),B1101),PlayerValues!E:E,0)),"N/A")</f>
        <v>16148</v>
      </c>
      <c r="B1101" s="4" t="s">
        <v>426</v>
      </c>
      <c r="C1101" s="4" t="s">
        <v>283</v>
      </c>
      <c r="D1101" s="94">
        <v>3755.0</v>
      </c>
    </row>
    <row r="1102">
      <c r="A1102" s="40">
        <f t="array" ref="A1102">IFNA(index(PlayerValues!A:A,match(IFNA(vlookup(B1102,'Special Names'!A:B,2,FALSE),B1102),PlayerValues!E:E,0)),"N/A")</f>
        <v>16597</v>
      </c>
      <c r="B1102" s="4" t="s">
        <v>427</v>
      </c>
      <c r="C1102" s="4" t="s">
        <v>278</v>
      </c>
      <c r="D1102" s="94">
        <v>3753.0</v>
      </c>
    </row>
    <row r="1103">
      <c r="A1103" s="40">
        <f t="array" ref="A1103">IFNA(index(PlayerValues!A:A,match(IFNA(vlookup(B1103,'Special Names'!A:B,2,FALSE),B1103),PlayerValues!E:E,0)),"N/A")</f>
        <v>9431</v>
      </c>
      <c r="B1103" s="4" t="s">
        <v>428</v>
      </c>
      <c r="C1103" s="4" t="s">
        <v>283</v>
      </c>
      <c r="D1103" s="94">
        <v>3735.0</v>
      </c>
    </row>
    <row r="1104">
      <c r="A1104" s="40">
        <f t="array" ref="A1104">IFNA(index(PlayerValues!A:A,match(IFNA(vlookup(B1104,'Special Names'!A:B,2,FALSE),B1104),PlayerValues!E:E,0)),"N/A")</f>
        <v>17075</v>
      </c>
      <c r="B1104" s="4" t="s">
        <v>429</v>
      </c>
      <c r="C1104" s="4" t="s">
        <v>287</v>
      </c>
      <c r="D1104" s="94">
        <v>3729.0</v>
      </c>
    </row>
    <row r="1105">
      <c r="A1105" s="40">
        <f t="array" ref="A1105">IFNA(index(PlayerValues!A:A,match(IFNA(vlookup(B1105,'Special Names'!A:B,2,FALSE),B1105),PlayerValues!E:E,0)),"N/A")</f>
        <v>17500</v>
      </c>
      <c r="B1105" s="4" t="s">
        <v>430</v>
      </c>
      <c r="C1105" s="4" t="s">
        <v>287</v>
      </c>
      <c r="D1105" s="94">
        <v>3722.0</v>
      </c>
    </row>
    <row r="1106">
      <c r="A1106" s="40">
        <f t="array" ref="A1106">IFNA(index(PlayerValues!A:A,match(IFNA(vlookup(B1106,'Special Names'!A:B,2,FALSE),B1106),PlayerValues!E:E,0)),"N/A")</f>
        <v>16206</v>
      </c>
      <c r="B1106" s="4" t="s">
        <v>431</v>
      </c>
      <c r="C1106" s="4" t="s">
        <v>287</v>
      </c>
      <c r="D1106" s="94">
        <v>3720.0</v>
      </c>
    </row>
    <row r="1107">
      <c r="A1107" s="40">
        <f t="array" ref="A1107">IFNA(index(PlayerValues!A:A,match(IFNA(vlookup(B1107,'Special Names'!A:B,2,FALSE),B1107),PlayerValues!E:E,0)),"N/A")</f>
        <v>15768</v>
      </c>
      <c r="B1107" s="4" t="s">
        <v>432</v>
      </c>
      <c r="C1107" s="4" t="s">
        <v>287</v>
      </c>
      <c r="D1107" s="94">
        <v>3716.0</v>
      </c>
    </row>
    <row r="1108">
      <c r="A1108" s="40">
        <f t="array" ref="A1108">IFNA(index(PlayerValues!A:A,match(IFNA(vlookup(B1108,'Special Names'!A:B,2,FALSE),B1108),PlayerValues!E:E,0)),"N/A")</f>
        <v>17463</v>
      </c>
      <c r="B1108" s="4" t="s">
        <v>433</v>
      </c>
      <c r="C1108" s="4" t="s">
        <v>283</v>
      </c>
      <c r="D1108" s="94">
        <v>3706.0</v>
      </c>
    </row>
    <row r="1109">
      <c r="A1109" s="40">
        <f t="array" ref="A1109">IFNA(index(PlayerValues!A:A,match(IFNA(vlookup(B1109,'Special Names'!A:B,2,FALSE),B1109),PlayerValues!E:E,0)),"N/A")</f>
        <v>15694</v>
      </c>
      <c r="B1109" s="4" t="s">
        <v>434</v>
      </c>
      <c r="C1109" s="4" t="s">
        <v>283</v>
      </c>
      <c r="D1109" s="94">
        <v>3700.0</v>
      </c>
    </row>
    <row r="1110">
      <c r="A1110" s="40">
        <f t="array" ref="A1110">IFNA(index(PlayerValues!A:A,match(IFNA(vlookup(B1110,'Special Names'!A:B,2,FALSE),B1110),PlayerValues!E:E,0)),"N/A")</f>
        <v>14059</v>
      </c>
      <c r="B1110" s="4" t="s">
        <v>435</v>
      </c>
      <c r="C1110" s="4" t="s">
        <v>283</v>
      </c>
      <c r="D1110" s="94">
        <v>3689.0</v>
      </c>
    </row>
    <row r="1111">
      <c r="A1111" s="40">
        <f t="array" ref="A1111">IFNA(index(PlayerValues!A:A,match(IFNA(vlookup(B1111,'Special Names'!A:B,2,FALSE),B1111),PlayerValues!E:E,0)),"N/A")</f>
        <v>17543</v>
      </c>
      <c r="B1111" s="4" t="s">
        <v>436</v>
      </c>
      <c r="C1111" s="4" t="s">
        <v>298</v>
      </c>
      <c r="D1111" s="94">
        <v>4113.0</v>
      </c>
    </row>
    <row r="1112">
      <c r="A1112" s="40">
        <f t="array" ref="A1112">IFNA(index(PlayerValues!A:A,match(IFNA(vlookup(B1112,'Special Names'!A:B,2,FALSE),B1112),PlayerValues!E:E,0)),"N/A")</f>
        <v>14109</v>
      </c>
      <c r="B1112" s="4" t="s">
        <v>437</v>
      </c>
      <c r="C1112" s="4" t="s">
        <v>287</v>
      </c>
      <c r="D1112" s="94">
        <v>3557.0</v>
      </c>
    </row>
    <row r="1113">
      <c r="A1113" s="40">
        <f t="array" ref="A1113">IFNA(index(PlayerValues!A:A,match(IFNA(vlookup(B1113,'Special Names'!A:B,2,FALSE),B1113),PlayerValues!E:E,0)),"N/A")</f>
        <v>11675</v>
      </c>
      <c r="B1113" s="4" t="s">
        <v>438</v>
      </c>
      <c r="C1113" s="4" t="s">
        <v>287</v>
      </c>
      <c r="D1113" s="94">
        <v>3545.0</v>
      </c>
    </row>
    <row r="1114">
      <c r="A1114" s="40">
        <f t="array" ref="A1114">IFNA(index(PlayerValues!A:A,match(IFNA(vlookup(B1114,'Special Names'!A:B,2,FALSE),B1114),PlayerValues!E:E,0)),"N/A")</f>
        <v>16188</v>
      </c>
      <c r="B1114" s="4" t="s">
        <v>439</v>
      </c>
      <c r="C1114" s="4" t="s">
        <v>287</v>
      </c>
      <c r="D1114" s="94">
        <v>3544.0</v>
      </c>
    </row>
    <row r="1115">
      <c r="A1115" s="40">
        <f t="array" ref="A1115">IFNA(index(PlayerValues!A:A,match(IFNA(vlookup(B1115,'Special Names'!A:B,2,FALSE),B1115),PlayerValues!E:E,0)),"N/A")</f>
        <v>14071</v>
      </c>
      <c r="B1115" s="4" t="s">
        <v>440</v>
      </c>
      <c r="C1115" s="4" t="s">
        <v>278</v>
      </c>
      <c r="D1115" s="94">
        <v>3520.0</v>
      </c>
    </row>
    <row r="1116">
      <c r="A1116" s="40">
        <f t="array" ref="A1116">IFNA(index(PlayerValues!A:A,match(IFNA(vlookup(B1116,'Special Names'!A:B,2,FALSE),B1116),PlayerValues!E:E,0)),"N/A")</f>
        <v>16187</v>
      </c>
      <c r="B1116" s="4" t="s">
        <v>441</v>
      </c>
      <c r="C1116" s="4" t="s">
        <v>287</v>
      </c>
      <c r="D1116" s="94">
        <v>3497.0</v>
      </c>
    </row>
    <row r="1117">
      <c r="A1117" s="40">
        <f t="array" ref="A1117">IFNA(index(PlayerValues!A:A,match(IFNA(vlookup(B1117,'Special Names'!A:B,2,FALSE),B1117),PlayerValues!E:E,0)),"N/A")</f>
        <v>16593</v>
      </c>
      <c r="B1117" s="4" t="s">
        <v>442</v>
      </c>
      <c r="C1117" s="4" t="s">
        <v>278</v>
      </c>
      <c r="D1117" s="94">
        <v>3463.0</v>
      </c>
    </row>
    <row r="1118">
      <c r="A1118" s="40" t="str">
        <f t="array" ref="A1118">IFNA(index(PlayerValues!A:A,match(IFNA(vlookup(B1118,'Special Names'!A:B,2,FALSE),B1118),PlayerValues!E:E,0)),"N/A")</f>
        <v>N/A</v>
      </c>
      <c r="B1118" s="4" t="s">
        <v>96</v>
      </c>
      <c r="C1118" s="4" t="s">
        <v>325</v>
      </c>
      <c r="D1118" s="94">
        <v>3442.0</v>
      </c>
    </row>
    <row r="1119">
      <c r="A1119" s="40">
        <f t="array" ref="A1119">IFNA(index(PlayerValues!A:A,match(IFNA(vlookup(B1119,'Special Names'!A:B,2,FALSE),B1119),PlayerValues!E:E,0)),"N/A")</f>
        <v>15798</v>
      </c>
      <c r="B1119" s="4" t="s">
        <v>443</v>
      </c>
      <c r="C1119" s="4" t="s">
        <v>298</v>
      </c>
      <c r="D1119" s="94">
        <v>3894.0</v>
      </c>
    </row>
    <row r="1120">
      <c r="A1120" s="40" t="str">
        <f t="array" ref="A1120">IFNA(index(PlayerValues!A:A,match(IFNA(vlookup(B1120,'Special Names'!A:B,2,FALSE),B1120),PlayerValues!E:E,0)),"N/A")</f>
        <v>N/A</v>
      </c>
      <c r="B1120" s="4" t="s">
        <v>82</v>
      </c>
      <c r="C1120" s="4" t="s">
        <v>325</v>
      </c>
      <c r="D1120" s="94">
        <v>3387.0</v>
      </c>
    </row>
    <row r="1121">
      <c r="A1121" s="40">
        <f t="array" ref="A1121">IFNA(index(PlayerValues!A:A,match(IFNA(vlookup(B1121,'Special Names'!A:B,2,FALSE),B1121),PlayerValues!E:E,0)),"N/A")</f>
        <v>14102</v>
      </c>
      <c r="B1121" s="4" t="s">
        <v>444</v>
      </c>
      <c r="C1121" s="4" t="s">
        <v>287</v>
      </c>
      <c r="D1121" s="94">
        <v>3360.0</v>
      </c>
    </row>
    <row r="1122">
      <c r="A1122" s="40">
        <f t="array" ref="A1122">IFNA(index(PlayerValues!A:A,match(IFNA(vlookup(B1122,'Special Names'!A:B,2,FALSE),B1122),PlayerValues!E:E,0)),"N/A")</f>
        <v>16184</v>
      </c>
      <c r="B1122" s="4" t="s">
        <v>445</v>
      </c>
      <c r="C1122" s="4" t="s">
        <v>287</v>
      </c>
      <c r="D1122" s="94">
        <v>3349.0</v>
      </c>
    </row>
    <row r="1123">
      <c r="A1123" s="40">
        <f t="array" ref="A1123">IFNA(index(PlayerValues!A:A,match(IFNA(vlookup(B1123,'Special Names'!A:B,2,FALSE),B1123),PlayerValues!E:E,0)),"N/A")</f>
        <v>17066</v>
      </c>
      <c r="B1123" s="4" t="s">
        <v>446</v>
      </c>
      <c r="C1123" s="4" t="s">
        <v>278</v>
      </c>
      <c r="D1123" s="94">
        <v>3320.0</v>
      </c>
    </row>
    <row r="1124">
      <c r="A1124" s="40">
        <f t="array" ref="A1124">IFNA(index(PlayerValues!A:A,match(IFNA(vlookup(B1124,'Special Names'!A:B,2,FALSE),B1124),PlayerValues!E:E,0)),"N/A")</f>
        <v>15742</v>
      </c>
      <c r="B1124" s="4" t="s">
        <v>447</v>
      </c>
      <c r="C1124" s="4" t="s">
        <v>278</v>
      </c>
      <c r="D1124" s="94">
        <v>3319.0</v>
      </c>
    </row>
    <row r="1125">
      <c r="A1125" s="40">
        <f t="array" ref="A1125">IFNA(index(PlayerValues!A:A,match(IFNA(vlookup(B1125,'Special Names'!A:B,2,FALSE),B1125),PlayerValues!E:E,0)),"N/A")</f>
        <v>13299</v>
      </c>
      <c r="B1125" s="4" t="s">
        <v>448</v>
      </c>
      <c r="C1125" s="4" t="s">
        <v>298</v>
      </c>
      <c r="D1125" s="94">
        <v>3755.0</v>
      </c>
    </row>
    <row r="1126">
      <c r="A1126" s="40">
        <f t="array" ref="A1126">IFNA(index(PlayerValues!A:A,match(IFNA(vlookup(B1126,'Special Names'!A:B,2,FALSE),B1126),PlayerValues!E:E,0)),"N/A")</f>
        <v>15757</v>
      </c>
      <c r="B1126" s="4" t="s">
        <v>449</v>
      </c>
      <c r="C1126" s="4" t="s">
        <v>287</v>
      </c>
      <c r="D1126" s="94">
        <v>3309.0</v>
      </c>
    </row>
    <row r="1127">
      <c r="A1127" s="40">
        <f t="array" ref="A1127">IFNA(index(PlayerValues!A:A,match(IFNA(vlookup(B1127,'Special Names'!A:B,2,FALSE),B1127),PlayerValues!E:E,0)),"N/A")</f>
        <v>17068</v>
      </c>
      <c r="B1127" s="4" t="s">
        <v>450</v>
      </c>
      <c r="C1127" s="4" t="s">
        <v>278</v>
      </c>
      <c r="D1127" s="94">
        <v>3301.0</v>
      </c>
    </row>
    <row r="1128">
      <c r="A1128" s="40">
        <f t="array" ref="A1128">IFNA(index(PlayerValues!A:A,match(IFNA(vlookup(B1128,'Special Names'!A:B,2,FALSE),B1128),PlayerValues!E:E,0)),"N/A")</f>
        <v>17502</v>
      </c>
      <c r="B1128" s="4" t="s">
        <v>451</v>
      </c>
      <c r="C1128" s="4" t="s">
        <v>287</v>
      </c>
      <c r="D1128" s="94">
        <v>3298.0</v>
      </c>
    </row>
    <row r="1129">
      <c r="A1129" s="40">
        <f t="array" ref="A1129">IFNA(index(PlayerValues!A:A,match(IFNA(vlookup(B1129,'Special Names'!A:B,2,FALSE),B1129),PlayerValues!E:E,0)),"N/A")</f>
        <v>17477</v>
      </c>
      <c r="B1129" s="4" t="s">
        <v>452</v>
      </c>
      <c r="C1129" s="4" t="s">
        <v>278</v>
      </c>
      <c r="D1129" s="94">
        <v>3292.0</v>
      </c>
    </row>
    <row r="1130">
      <c r="A1130" s="40" t="str">
        <f t="array" ref="A1130">IFNA(index(PlayerValues!A:A,match(IFNA(vlookup(B1130,'Special Names'!A:B,2,FALSE),B1130),PlayerValues!E:E,0)),"N/A")</f>
        <v>N/A</v>
      </c>
      <c r="B1130" s="4" t="s">
        <v>108</v>
      </c>
      <c r="C1130" s="4" t="s">
        <v>325</v>
      </c>
      <c r="D1130" s="94">
        <v>3286.0</v>
      </c>
    </row>
    <row r="1131">
      <c r="A1131" s="40">
        <f t="array" ref="A1131">IFNA(index(PlayerValues!A:A,match(IFNA(vlookup(B1131,'Special Names'!A:B,2,FALSE),B1131),PlayerValues!E:E,0)),"N/A")</f>
        <v>15259</v>
      </c>
      <c r="B1131" s="4" t="s">
        <v>453</v>
      </c>
      <c r="C1131" s="4" t="s">
        <v>278</v>
      </c>
      <c r="D1131" s="94">
        <v>3278.0</v>
      </c>
    </row>
    <row r="1132">
      <c r="A1132" s="40">
        <f t="array" ref="A1132">IFNA(index(PlayerValues!A:A,match(IFNA(vlookup(B1132,'Special Names'!A:B,2,FALSE),B1132),PlayerValues!E:E,0)),"N/A")</f>
        <v>17517</v>
      </c>
      <c r="B1132" s="4" t="s">
        <v>454</v>
      </c>
      <c r="C1132" s="4" t="s">
        <v>287</v>
      </c>
      <c r="D1132" s="94">
        <v>3253.0</v>
      </c>
    </row>
    <row r="1133">
      <c r="A1133" s="40">
        <f t="array" ref="A1133">IFNA(index(PlayerValues!A:A,match(IFNA(vlookup(B1133,'Special Names'!A:B,2,FALSE),B1133),PlayerValues!E:E,0)),"N/A")</f>
        <v>16809</v>
      </c>
      <c r="B1133" s="4" t="s">
        <v>455</v>
      </c>
      <c r="C1133" s="4" t="s">
        <v>287</v>
      </c>
      <c r="D1133" s="94">
        <v>3252.0</v>
      </c>
    </row>
    <row r="1134">
      <c r="A1134" s="40">
        <f t="array" ref="A1134">IFNA(index(PlayerValues!A:A,match(IFNA(vlookup(B1134,'Special Names'!A:B,2,FALSE),B1134),PlayerValues!E:E,0)),"N/A")</f>
        <v>14842</v>
      </c>
      <c r="B1134" s="4" t="s">
        <v>456</v>
      </c>
      <c r="C1134" s="4" t="s">
        <v>287</v>
      </c>
      <c r="D1134" s="94">
        <v>3241.0</v>
      </c>
    </row>
    <row r="1135">
      <c r="A1135" s="40">
        <f t="array" ref="A1135">IFNA(index(PlayerValues!A:A,match(IFNA(vlookup(B1135,'Special Names'!A:B,2,FALSE),B1135),PlayerValues!E:E,0)),"N/A")</f>
        <v>16169</v>
      </c>
      <c r="B1135" s="4" t="s">
        <v>457</v>
      </c>
      <c r="C1135" s="4" t="s">
        <v>278</v>
      </c>
      <c r="D1135" s="94">
        <v>3231.0</v>
      </c>
    </row>
    <row r="1136">
      <c r="A1136" s="40">
        <f t="array" ref="A1136">IFNA(index(PlayerValues!A:A,match(IFNA(vlookup(B1136,'Special Names'!A:B,2,FALSE),B1136),PlayerValues!E:E,0)),"N/A")</f>
        <v>16213</v>
      </c>
      <c r="B1136" s="4" t="s">
        <v>458</v>
      </c>
      <c r="C1136" s="4" t="s">
        <v>298</v>
      </c>
      <c r="D1136" s="94">
        <v>3663.0</v>
      </c>
    </row>
    <row r="1137">
      <c r="A1137" s="40" t="str">
        <f t="array" ref="A1137">IFNA(index(PlayerValues!A:A,match(IFNA(vlookup(B1137,'Special Names'!A:B,2,FALSE),B1137),PlayerValues!E:E,0)),"N/A")</f>
        <v>N/A</v>
      </c>
      <c r="B1137" s="4" t="s">
        <v>97</v>
      </c>
      <c r="C1137" s="4" t="s">
        <v>325</v>
      </c>
      <c r="D1137" s="94">
        <v>3210.0</v>
      </c>
    </row>
    <row r="1138">
      <c r="A1138" s="40">
        <f t="array" ref="A1138">IFNA(index(PlayerValues!A:A,match(IFNA(vlookup(B1138,'Special Names'!A:B,2,FALSE),B1138),PlayerValues!E:E,0)),"N/A")</f>
        <v>14823</v>
      </c>
      <c r="B1138" s="4" t="s">
        <v>459</v>
      </c>
      <c r="C1138" s="4" t="s">
        <v>278</v>
      </c>
      <c r="D1138" s="94">
        <v>3195.0</v>
      </c>
    </row>
    <row r="1139">
      <c r="A1139" s="40">
        <f t="array" ref="A1139">IFNA(index(PlayerValues!A:A,match(IFNA(vlookup(B1139,'Special Names'!A:B,2,FALSE),B1139),PlayerValues!E:E,0)),"N/A")</f>
        <v>17482</v>
      </c>
      <c r="B1139" s="4" t="s">
        <v>460</v>
      </c>
      <c r="C1139" s="4" t="s">
        <v>278</v>
      </c>
      <c r="D1139" s="94">
        <v>3194.0</v>
      </c>
    </row>
    <row r="1140">
      <c r="A1140" s="40">
        <f t="array" ref="A1140">IFNA(index(PlayerValues!A:A,match(IFNA(vlookup(B1140,'Special Names'!A:B,2,FALSE),B1140),PlayerValues!E:E,0)),"N/A")</f>
        <v>15779</v>
      </c>
      <c r="B1140" s="4" t="s">
        <v>461</v>
      </c>
      <c r="C1140" s="4" t="s">
        <v>287</v>
      </c>
      <c r="D1140" s="94">
        <v>3191.0</v>
      </c>
    </row>
    <row r="1141">
      <c r="A1141" s="40">
        <f t="array" ref="A1141">IFNA(index(PlayerValues!A:A,match(IFNA(vlookup(B1141,'Special Names'!A:B,2,FALSE),B1141),PlayerValues!E:E,0)),"N/A")</f>
        <v>17256</v>
      </c>
      <c r="B1141" s="4" t="s">
        <v>462</v>
      </c>
      <c r="C1141" s="4" t="s">
        <v>278</v>
      </c>
      <c r="D1141" s="94">
        <v>3181.0</v>
      </c>
    </row>
    <row r="1142">
      <c r="A1142" s="40" t="str">
        <f t="array" ref="A1142">IFNA(index(PlayerValues!A:A,match(IFNA(vlookup(B1142,'Special Names'!A:B,2,FALSE),B1142),PlayerValues!E:E,0)),"N/A")</f>
        <v>N/A</v>
      </c>
      <c r="B1142" s="4" t="s">
        <v>84</v>
      </c>
      <c r="C1142" s="4" t="s">
        <v>325</v>
      </c>
      <c r="D1142" s="94">
        <v>3175.0</v>
      </c>
    </row>
    <row r="1143">
      <c r="A1143" s="40">
        <f t="array" ref="A1143">IFNA(index(PlayerValues!A:A,match(IFNA(vlookup(B1143,'Special Names'!A:B,2,FALSE),B1143),PlayerValues!E:E,0)),"N/A")</f>
        <v>11671</v>
      </c>
      <c r="B1143" s="4" t="s">
        <v>463</v>
      </c>
      <c r="C1143" s="4" t="s">
        <v>287</v>
      </c>
      <c r="D1143" s="94">
        <v>3149.0</v>
      </c>
    </row>
    <row r="1144">
      <c r="A1144" s="40">
        <f t="array" ref="A1144">IFNA(index(PlayerValues!A:A,match(IFNA(vlookup(B1144,'Special Names'!A:B,2,FALSE),B1144),PlayerValues!E:E,0)),"N/A")</f>
        <v>14073</v>
      </c>
      <c r="B1144" s="4" t="s">
        <v>464</v>
      </c>
      <c r="C1144" s="4" t="s">
        <v>278</v>
      </c>
      <c r="D1144" s="94">
        <v>3123.0</v>
      </c>
    </row>
    <row r="1145">
      <c r="A1145" s="40">
        <f t="array" ref="A1145">IFNA(index(PlayerValues!A:A,match(IFNA(vlookup(B1145,'Special Names'!A:B,2,FALSE),B1145),PlayerValues!E:E,0)),"N/A")</f>
        <v>13630</v>
      </c>
      <c r="B1145" s="4" t="s">
        <v>465</v>
      </c>
      <c r="C1145" s="4" t="s">
        <v>287</v>
      </c>
      <c r="D1145" s="94">
        <v>3120.0</v>
      </c>
    </row>
    <row r="1146">
      <c r="A1146" s="40" t="str">
        <f t="array" ref="A1146">IFNA(index(PlayerValues!A:A,match(IFNA(vlookup(B1146,'Special Names'!A:B,2,FALSE),B1146),PlayerValues!E:E,0)),"N/A")</f>
        <v>N/A</v>
      </c>
      <c r="B1146" s="4" t="s">
        <v>109</v>
      </c>
      <c r="C1146" s="4" t="s">
        <v>325</v>
      </c>
      <c r="D1146" s="94">
        <v>3079.0</v>
      </c>
    </row>
    <row r="1147">
      <c r="A1147" s="40">
        <f t="array" ref="A1147">IFNA(index(PlayerValues!A:A,match(IFNA(vlookup(B1147,'Special Names'!A:B,2,FALSE),B1147),PlayerValues!E:E,0)),"N/A")</f>
        <v>15261</v>
      </c>
      <c r="B1147" s="4" t="s">
        <v>466</v>
      </c>
      <c r="C1147" s="4" t="s">
        <v>278</v>
      </c>
      <c r="D1147" s="94">
        <v>3069.0</v>
      </c>
    </row>
    <row r="1148">
      <c r="A1148" s="40">
        <f t="array" ref="A1148">IFNA(index(PlayerValues!A:A,match(IFNA(vlookup(B1148,'Special Names'!A:B,2,FALSE),B1148),PlayerValues!E:E,0)),"N/A")</f>
        <v>16620</v>
      </c>
      <c r="B1148" s="4" t="s">
        <v>467</v>
      </c>
      <c r="C1148" s="4" t="s">
        <v>287</v>
      </c>
      <c r="D1148" s="94">
        <v>3061.0</v>
      </c>
    </row>
    <row r="1149">
      <c r="A1149" s="40">
        <f t="array" ref="A1149">IFNA(index(PlayerValues!A:A,match(IFNA(vlookup(B1149,'Special Names'!A:B,2,FALSE),B1149),PlayerValues!E:E,0)),"N/A")</f>
        <v>15799</v>
      </c>
      <c r="B1149" s="4" t="s">
        <v>468</v>
      </c>
      <c r="C1149" s="4" t="s">
        <v>298</v>
      </c>
      <c r="D1149" s="94">
        <v>3477.0</v>
      </c>
    </row>
    <row r="1150">
      <c r="A1150" s="40">
        <f t="array" ref="A1150">IFNA(index(PlayerValues!A:A,match(IFNA(vlookup(B1150,'Special Names'!A:B,2,FALSE),B1150),PlayerValues!E:E,0)),"N/A")</f>
        <v>15972</v>
      </c>
      <c r="B1150" s="4" t="s">
        <v>469</v>
      </c>
      <c r="C1150" s="4" t="s">
        <v>278</v>
      </c>
      <c r="D1150" s="94">
        <v>3037.0</v>
      </c>
    </row>
    <row r="1151">
      <c r="A1151" s="40">
        <f t="array" ref="A1151">IFNA(index(PlayerValues!A:A,match(IFNA(vlookup(B1151,'Special Names'!A:B,2,FALSE),B1151),PlayerValues!E:E,0)),"N/A")</f>
        <v>17544</v>
      </c>
      <c r="B1151" s="4" t="s">
        <v>470</v>
      </c>
      <c r="C1151" s="4" t="s">
        <v>298</v>
      </c>
      <c r="D1151" s="94">
        <v>3463.0</v>
      </c>
    </row>
    <row r="1152">
      <c r="A1152" s="40">
        <f t="array" ref="A1152">IFNA(index(PlayerValues!A:A,match(IFNA(vlookup(B1152,'Special Names'!A:B,2,FALSE),B1152),PlayerValues!E:E,0)),"N/A")</f>
        <v>17506</v>
      </c>
      <c r="B1152" s="4" t="s">
        <v>471</v>
      </c>
      <c r="C1152" s="4" t="s">
        <v>287</v>
      </c>
      <c r="D1152" s="94">
        <v>3033.0</v>
      </c>
    </row>
    <row r="1153">
      <c r="A1153" s="40">
        <f t="array" ref="A1153">IFNA(index(PlayerValues!A:A,match(IFNA(vlookup(B1153,'Special Names'!A:B,2,FALSE),B1153),PlayerValues!E:E,0)),"N/A")</f>
        <v>14800</v>
      </c>
      <c r="B1153" s="4" t="s">
        <v>472</v>
      </c>
      <c r="C1153" s="4" t="s">
        <v>278</v>
      </c>
      <c r="D1153" s="94">
        <v>3023.0</v>
      </c>
    </row>
    <row r="1154">
      <c r="A1154" s="40">
        <f t="array" ref="A1154">IFNA(index(PlayerValues!A:A,match(IFNA(vlookup(B1154,'Special Names'!A:B,2,FALSE),B1154),PlayerValues!E:E,0)),"N/A")</f>
        <v>13163</v>
      </c>
      <c r="B1154" s="4" t="s">
        <v>473</v>
      </c>
      <c r="C1154" s="4" t="s">
        <v>287</v>
      </c>
      <c r="D1154" s="94">
        <v>3022.0</v>
      </c>
    </row>
    <row r="1155">
      <c r="A1155" s="40">
        <f t="array" ref="A1155">IFNA(index(PlayerValues!A:A,match(IFNA(vlookup(B1155,'Special Names'!A:B,2,FALSE),B1155),PlayerValues!E:E,0)),"N/A")</f>
        <v>17099</v>
      </c>
      <c r="B1155" s="4" t="s">
        <v>474</v>
      </c>
      <c r="C1155" s="4" t="s">
        <v>298</v>
      </c>
      <c r="D1155" s="94">
        <v>3437.0</v>
      </c>
    </row>
    <row r="1156">
      <c r="A1156" s="40">
        <f t="array" ref="A1156">IFNA(index(PlayerValues!A:A,match(IFNA(vlookup(B1156,'Special Names'!A:B,2,FALSE),B1156),PlayerValues!E:E,0)),"N/A")</f>
        <v>17074</v>
      </c>
      <c r="B1156" s="4" t="s">
        <v>475</v>
      </c>
      <c r="C1156" s="4" t="s">
        <v>287</v>
      </c>
      <c r="D1156" s="94">
        <v>3003.0</v>
      </c>
    </row>
    <row r="1157">
      <c r="A1157" s="40">
        <f t="array" ref="A1157">IFNA(index(PlayerValues!A:A,match(IFNA(vlookup(B1157,'Special Names'!A:B,2,FALSE),B1157),PlayerValues!E:E,0)),"N/A")</f>
        <v>16604</v>
      </c>
      <c r="B1157" s="4" t="s">
        <v>476</v>
      </c>
      <c r="C1157" s="4" t="s">
        <v>278</v>
      </c>
      <c r="D1157" s="94">
        <v>2997.0</v>
      </c>
    </row>
    <row r="1158">
      <c r="A1158" s="40">
        <f t="array" ref="A1158">IFNA(index(PlayerValues!A:A,match(IFNA(vlookup(B1158,'Special Names'!A:B,2,FALSE),B1158),PlayerValues!E:E,0)),"N/A")</f>
        <v>15255</v>
      </c>
      <c r="B1158" s="4" t="s">
        <v>477</v>
      </c>
      <c r="C1158" s="4" t="s">
        <v>278</v>
      </c>
      <c r="D1158" s="94">
        <v>2965.0</v>
      </c>
    </row>
    <row r="1159">
      <c r="A1159" s="40">
        <f t="array" ref="A1159">IFNA(index(PlayerValues!A:A,match(IFNA(vlookup(B1159,'Special Names'!A:B,2,FALSE),B1159),PlayerValues!E:E,0)),"N/A")</f>
        <v>17107</v>
      </c>
      <c r="B1159" s="4" t="s">
        <v>478</v>
      </c>
      <c r="C1159" s="4" t="s">
        <v>298</v>
      </c>
      <c r="D1159" s="94">
        <v>3383.0</v>
      </c>
    </row>
    <row r="1160">
      <c r="A1160" s="40">
        <f t="array" ref="A1160">IFNA(index(PlayerValues!A:A,match(IFNA(vlookup(B1160,'Special Names'!A:B,2,FALSE),B1160),PlayerValues!E:E,0)),"N/A")</f>
        <v>17083</v>
      </c>
      <c r="B1160" s="4" t="s">
        <v>479</v>
      </c>
      <c r="C1160" s="4" t="s">
        <v>287</v>
      </c>
      <c r="D1160" s="94">
        <v>2927.0</v>
      </c>
    </row>
    <row r="1161">
      <c r="A1161" s="40">
        <f t="array" ref="A1161">IFNA(index(PlayerValues!A:A,match(IFNA(vlookup(B1161,'Special Names'!A:B,2,FALSE),B1161),PlayerValues!E:E,0)),"N/A")</f>
        <v>17503</v>
      </c>
      <c r="B1161" s="4" t="s">
        <v>480</v>
      </c>
      <c r="C1161" s="4" t="s">
        <v>287</v>
      </c>
      <c r="D1161" s="94">
        <v>2905.0</v>
      </c>
    </row>
    <row r="1162">
      <c r="A1162" s="40">
        <f t="array" ref="A1162">IFNA(index(PlayerValues!A:A,match(IFNA(vlookup(B1162,'Special Names'!A:B,2,FALSE),B1162),PlayerValues!E:E,0)),"N/A")</f>
        <v>16269</v>
      </c>
      <c r="B1162" s="4" t="s">
        <v>481</v>
      </c>
      <c r="C1162" s="4" t="s">
        <v>298</v>
      </c>
      <c r="D1162" s="94">
        <v>3323.0</v>
      </c>
    </row>
    <row r="1163">
      <c r="A1163" s="40" t="str">
        <f t="array" ref="A1163">IFNA(index(PlayerValues!A:A,match(IFNA(vlookup(B1163,'Special Names'!A:B,2,FALSE),B1163),PlayerValues!E:E,0)),"N/A")</f>
        <v>N/A</v>
      </c>
      <c r="B1163" s="4" t="s">
        <v>85</v>
      </c>
      <c r="C1163" s="4" t="s">
        <v>325</v>
      </c>
      <c r="D1163" s="94">
        <v>2893.0</v>
      </c>
    </row>
    <row r="1164">
      <c r="A1164" s="40">
        <f t="array" ref="A1164">IFNA(index(PlayerValues!A:A,match(IFNA(vlookup(B1164,'Special Names'!A:B,2,FALSE),B1164),PlayerValues!E:E,0)),"N/A")</f>
        <v>17518</v>
      </c>
      <c r="B1164" s="4" t="s">
        <v>482</v>
      </c>
      <c r="C1164" s="4" t="s">
        <v>287</v>
      </c>
      <c r="D1164" s="94">
        <v>2888.0</v>
      </c>
    </row>
    <row r="1165">
      <c r="A1165" s="40">
        <f t="array" ref="A1165">IFNA(index(PlayerValues!A:A,match(IFNA(vlookup(B1165,'Special Names'!A:B,2,FALSE),B1165),PlayerValues!E:E,0)),"N/A")</f>
        <v>17512</v>
      </c>
      <c r="B1165" s="4" t="s">
        <v>483</v>
      </c>
      <c r="C1165" s="4" t="s">
        <v>287</v>
      </c>
      <c r="D1165" s="94">
        <v>2871.0</v>
      </c>
    </row>
    <row r="1166">
      <c r="A1166" s="40">
        <f t="array" ref="A1166">IFNA(index(PlayerValues!A:A,match(IFNA(vlookup(B1166,'Special Names'!A:B,2,FALSE),B1166),PlayerValues!E:E,0)),"N/A")</f>
        <v>17053</v>
      </c>
      <c r="B1166" s="4" t="s">
        <v>484</v>
      </c>
      <c r="C1166" s="4" t="s">
        <v>278</v>
      </c>
      <c r="D1166" s="94">
        <v>2867.0</v>
      </c>
    </row>
    <row r="1167">
      <c r="A1167" s="40">
        <f t="array" ref="A1167">IFNA(index(PlayerValues!A:A,match(IFNA(vlookup(B1167,'Special Names'!A:B,2,FALSE),B1167),PlayerValues!E:E,0)),"N/A")</f>
        <v>17511</v>
      </c>
      <c r="B1167" s="4" t="s">
        <v>485</v>
      </c>
      <c r="C1167" s="4" t="s">
        <v>287</v>
      </c>
      <c r="D1167" s="94">
        <v>2831.0</v>
      </c>
    </row>
    <row r="1168">
      <c r="A1168" s="40">
        <f t="array" ref="A1168">IFNA(index(PlayerValues!A:A,match(IFNA(vlookup(B1168,'Special Names'!A:B,2,FALSE),B1168),PlayerValues!E:E,0)),"N/A")</f>
        <v>14127</v>
      </c>
      <c r="B1168" s="4" t="s">
        <v>486</v>
      </c>
      <c r="C1168" s="4" t="s">
        <v>287</v>
      </c>
      <c r="D1168" s="94">
        <v>2824.0</v>
      </c>
    </row>
    <row r="1169">
      <c r="A1169" s="40">
        <f t="array" ref="A1169">IFNA(index(PlayerValues!A:A,match(IFNA(vlookup(B1169,'Special Names'!A:B,2,FALSE),B1169),PlayerValues!E:E,0)),"N/A")</f>
        <v>16193</v>
      </c>
      <c r="B1169" s="4" t="s">
        <v>487</v>
      </c>
      <c r="C1169" s="4" t="s">
        <v>287</v>
      </c>
      <c r="D1169" s="94">
        <v>2810.0</v>
      </c>
    </row>
    <row r="1170">
      <c r="A1170" s="40">
        <f t="array" ref="A1170">IFNA(index(PlayerValues!A:A,match(IFNA(vlookup(B1170,'Special Names'!A:B,2,FALSE),B1170),PlayerValues!E:E,0)),"N/A")</f>
        <v>15712</v>
      </c>
      <c r="B1170" s="4" t="s">
        <v>488</v>
      </c>
      <c r="C1170" s="4" t="s">
        <v>278</v>
      </c>
      <c r="D1170" s="94">
        <v>2806.0</v>
      </c>
    </row>
    <row r="1171">
      <c r="A1171" s="40" t="str">
        <f t="array" ref="A1171">IFNA(index(PlayerValues!A:A,match(IFNA(vlookup(B1171,'Special Names'!A:B,2,FALSE),B1171),PlayerValues!E:E,0)),"N/A")</f>
        <v>N/A</v>
      </c>
      <c r="B1171" s="4" t="s">
        <v>110</v>
      </c>
      <c r="C1171" s="4" t="s">
        <v>325</v>
      </c>
      <c r="D1171" s="94">
        <v>2803.0</v>
      </c>
    </row>
    <row r="1172">
      <c r="A1172" s="40">
        <f t="array" ref="A1172">IFNA(index(PlayerValues!A:A,match(IFNA(vlookup(B1172,'Special Names'!A:B,2,FALSE),B1172),PlayerValues!E:E,0)),"N/A")</f>
        <v>14085</v>
      </c>
      <c r="B1172" s="4" t="s">
        <v>489</v>
      </c>
      <c r="C1172" s="4" t="s">
        <v>278</v>
      </c>
      <c r="D1172" s="94">
        <v>2792.0</v>
      </c>
    </row>
    <row r="1173">
      <c r="A1173" s="40">
        <f t="array" ref="A1173">IFNA(index(PlayerValues!A:A,match(IFNA(vlookup(B1173,'Special Names'!A:B,2,FALSE),B1173),PlayerValues!E:E,0)),"N/A")</f>
        <v>16628</v>
      </c>
      <c r="B1173" s="4" t="s">
        <v>490</v>
      </c>
      <c r="C1173" s="4" t="s">
        <v>287</v>
      </c>
      <c r="D1173" s="94">
        <v>2791.0</v>
      </c>
    </row>
    <row r="1174">
      <c r="A1174" s="40">
        <f t="array" ref="A1174">IFNA(index(PlayerValues!A:A,match(IFNA(vlookup(B1174,'Special Names'!A:B,2,FALSE),B1174),PlayerValues!E:E,0)),"N/A")</f>
        <v>15761</v>
      </c>
      <c r="B1174" s="4" t="s">
        <v>491</v>
      </c>
      <c r="C1174" s="4" t="s">
        <v>287</v>
      </c>
      <c r="D1174" s="94">
        <v>2776.0</v>
      </c>
    </row>
    <row r="1175">
      <c r="A1175" s="40">
        <f t="array" ref="A1175">IFNA(index(PlayerValues!A:A,match(IFNA(vlookup(B1175,'Special Names'!A:B,2,FALSE),B1175),PlayerValues!E:E,0)),"N/A")</f>
        <v>17466</v>
      </c>
      <c r="B1175" s="4" t="s">
        <v>492</v>
      </c>
      <c r="C1175" s="4" t="s">
        <v>283</v>
      </c>
      <c r="D1175" s="94">
        <v>2768.0</v>
      </c>
    </row>
    <row r="1176">
      <c r="A1176" s="40">
        <f t="array" ref="A1176">IFNA(index(PlayerValues!A:A,match(IFNA(vlookup(B1176,'Special Names'!A:B,2,FALSE),B1176),PlayerValues!E:E,0)),"N/A")</f>
        <v>16583</v>
      </c>
      <c r="B1176" s="4" t="s">
        <v>493</v>
      </c>
      <c r="C1176" s="4" t="s">
        <v>283</v>
      </c>
      <c r="D1176" s="94">
        <v>2767.0</v>
      </c>
    </row>
    <row r="1177">
      <c r="A1177" s="40">
        <f t="array" ref="A1177">IFNA(index(PlayerValues!A:A,match(IFNA(vlookup(B1177,'Special Names'!A:B,2,FALSE),B1177),PlayerValues!E:E,0)),"N/A")</f>
        <v>17476</v>
      </c>
      <c r="B1177" s="4" t="s">
        <v>494</v>
      </c>
      <c r="C1177" s="4" t="s">
        <v>278</v>
      </c>
      <c r="D1177" s="94">
        <v>2746.0</v>
      </c>
    </row>
    <row r="1178">
      <c r="A1178" s="40">
        <f t="array" ref="A1178">IFNA(index(PlayerValues!A:A,match(IFNA(vlookup(B1178,'Special Names'!A:B,2,FALSE),B1178),PlayerValues!E:E,0)),"N/A")</f>
        <v>17507</v>
      </c>
      <c r="B1178" s="4" t="s">
        <v>495</v>
      </c>
      <c r="C1178" s="4" t="s">
        <v>287</v>
      </c>
      <c r="D1178" s="94">
        <v>2728.0</v>
      </c>
    </row>
    <row r="1179">
      <c r="A1179" s="40">
        <f t="array" ref="A1179">IFNA(index(PlayerValues!A:A,match(IFNA(vlookup(B1179,'Special Names'!A:B,2,FALSE),B1179),PlayerValues!E:E,0)),"N/A")</f>
        <v>17599</v>
      </c>
      <c r="B1179" s="4" t="s">
        <v>496</v>
      </c>
      <c r="C1179" s="4" t="s">
        <v>287</v>
      </c>
      <c r="D1179" s="94">
        <v>2719.0</v>
      </c>
    </row>
    <row r="1180">
      <c r="A1180" s="40">
        <f t="array" ref="A1180">IFNA(index(PlayerValues!A:A,match(IFNA(vlookup(B1180,'Special Names'!A:B,2,FALSE),B1180),PlayerValues!E:E,0)),"N/A")</f>
        <v>12186</v>
      </c>
      <c r="B1180" s="4" t="s">
        <v>497</v>
      </c>
      <c r="C1180" s="4" t="s">
        <v>287</v>
      </c>
      <c r="D1180" s="94">
        <v>2676.0</v>
      </c>
    </row>
    <row r="1181">
      <c r="A1181" s="40">
        <f t="array" ref="A1181">IFNA(index(PlayerValues!A:A,match(IFNA(vlookup(B1181,'Special Names'!A:B,2,FALSE),B1181),PlayerValues!E:E,0)),"N/A")</f>
        <v>17082</v>
      </c>
      <c r="B1181" s="4" t="s">
        <v>498</v>
      </c>
      <c r="C1181" s="4" t="s">
        <v>287</v>
      </c>
      <c r="D1181" s="94">
        <v>2653.0</v>
      </c>
    </row>
    <row r="1182">
      <c r="A1182" s="40">
        <f t="array" ref="A1182">IFNA(index(PlayerValues!A:A,match(IFNA(vlookup(B1182,'Special Names'!A:B,2,FALSE),B1182),PlayerValues!E:E,0)),"N/A")</f>
        <v>16080</v>
      </c>
      <c r="B1182" s="4" t="s">
        <v>499</v>
      </c>
      <c r="C1182" s="4" t="s">
        <v>287</v>
      </c>
      <c r="D1182" s="94">
        <v>2647.0</v>
      </c>
    </row>
    <row r="1183">
      <c r="A1183" s="40">
        <f t="array" ref="A1183">IFNA(index(PlayerValues!A:A,match(IFNA(vlookup(B1183,'Special Names'!A:B,2,FALSE),B1183),PlayerValues!E:E,0)),"N/A")</f>
        <v>16684</v>
      </c>
      <c r="B1183" s="4" t="s">
        <v>500</v>
      </c>
      <c r="C1183" s="4" t="s">
        <v>287</v>
      </c>
      <c r="D1183" s="94">
        <v>2644.0</v>
      </c>
    </row>
    <row r="1184">
      <c r="A1184" s="40">
        <f t="array" ref="A1184">IFNA(index(PlayerValues!A:A,match(IFNA(vlookup(B1184,'Special Names'!A:B,2,FALSE),B1184),PlayerValues!E:E,0)),"N/A")</f>
        <v>16596</v>
      </c>
      <c r="B1184" s="4" t="s">
        <v>501</v>
      </c>
      <c r="C1184" s="4" t="s">
        <v>278</v>
      </c>
      <c r="D1184" s="94">
        <v>2640.0</v>
      </c>
    </row>
    <row r="1185">
      <c r="A1185" s="40">
        <f t="array" ref="A1185">IFNA(index(PlayerValues!A:A,match(IFNA(vlookup(B1185,'Special Names'!A:B,2,FALSE),B1185),PlayerValues!E:E,0)),"N/A")</f>
        <v>16723</v>
      </c>
      <c r="B1185" s="4" t="s">
        <v>502</v>
      </c>
      <c r="C1185" s="4" t="s">
        <v>298</v>
      </c>
      <c r="D1185" s="94">
        <v>3046.0</v>
      </c>
    </row>
    <row r="1186">
      <c r="A1186" s="40">
        <f t="array" ref="A1186">IFNA(index(PlayerValues!A:A,match(IFNA(vlookup(B1186,'Special Names'!A:B,2,FALSE),B1186),PlayerValues!E:E,0)),"N/A")</f>
        <v>15889</v>
      </c>
      <c r="B1186" s="4" t="s">
        <v>503</v>
      </c>
      <c r="C1186" s="4" t="s">
        <v>298</v>
      </c>
      <c r="D1186" s="94">
        <v>3046.0</v>
      </c>
    </row>
    <row r="1187">
      <c r="A1187" s="40">
        <f t="array" ref="A1187">IFNA(index(PlayerValues!A:A,match(IFNA(vlookup(B1187,'Special Names'!A:B,2,FALSE),B1187),PlayerValues!E:E,0)),"N/A")</f>
        <v>15721</v>
      </c>
      <c r="B1187" s="4" t="s">
        <v>504</v>
      </c>
      <c r="C1187" s="4" t="s">
        <v>278</v>
      </c>
      <c r="D1187" s="94">
        <v>2632.0</v>
      </c>
    </row>
    <row r="1188">
      <c r="A1188" s="40">
        <f t="array" ref="A1188">IFNA(index(PlayerValues!A:A,match(IFNA(vlookup(B1188,'Special Names'!A:B,2,FALSE),B1188),PlayerValues!E:E,0)),"N/A")</f>
        <v>16174</v>
      </c>
      <c r="B1188" s="4" t="s">
        <v>505</v>
      </c>
      <c r="C1188" s="4" t="s">
        <v>278</v>
      </c>
      <c r="D1188" s="94">
        <v>2624.0</v>
      </c>
    </row>
    <row r="1189">
      <c r="A1189" s="40">
        <f t="array" ref="A1189">IFNA(index(PlayerValues!A:A,match(IFNA(vlookup(B1189,'Special Names'!A:B,2,FALSE),B1189),PlayerValues!E:E,0)),"N/A")</f>
        <v>13671</v>
      </c>
      <c r="B1189" s="4" t="s">
        <v>506</v>
      </c>
      <c r="C1189" s="4" t="s">
        <v>298</v>
      </c>
      <c r="D1189" s="94">
        <v>3030.0</v>
      </c>
    </row>
    <row r="1190">
      <c r="A1190" s="40">
        <f t="array" ref="A1190">IFNA(index(PlayerValues!A:A,match(IFNA(vlookup(B1190,'Special Names'!A:B,2,FALSE),B1190),PlayerValues!E:E,0)),"N/A")</f>
        <v>16178</v>
      </c>
      <c r="B1190" s="4" t="s">
        <v>507</v>
      </c>
      <c r="C1190" s="4" t="s">
        <v>278</v>
      </c>
      <c r="D1190" s="94">
        <v>2615.0</v>
      </c>
    </row>
    <row r="1191">
      <c r="A1191" s="40">
        <f t="array" ref="A1191">IFNA(index(PlayerValues!A:A,match(IFNA(vlookup(B1191,'Special Names'!A:B,2,FALSE),B1191),PlayerValues!E:E,0)),"N/A")</f>
        <v>17072</v>
      </c>
      <c r="B1191" s="4" t="s">
        <v>508</v>
      </c>
      <c r="C1191" s="4" t="s">
        <v>287</v>
      </c>
      <c r="D1191" s="94">
        <v>2611.0</v>
      </c>
    </row>
    <row r="1192">
      <c r="A1192" s="40">
        <f t="array" ref="A1192">IFNA(index(PlayerValues!A:A,match(IFNA(vlookup(B1192,'Special Names'!A:B,2,FALSE),B1192),PlayerValues!E:E,0)),"N/A")</f>
        <v>16195</v>
      </c>
      <c r="B1192" s="4" t="s">
        <v>509</v>
      </c>
      <c r="C1192" s="4" t="s">
        <v>287</v>
      </c>
      <c r="D1192" s="94">
        <v>2597.0</v>
      </c>
    </row>
    <row r="1193">
      <c r="A1193" s="40">
        <f t="array" ref="A1193">IFNA(index(PlayerValues!A:A,match(IFNA(vlookup(B1193,'Special Names'!A:B,2,FALSE),B1193),PlayerValues!E:E,0)),"N/A")</f>
        <v>17047</v>
      </c>
      <c r="B1193" s="4" t="s">
        <v>510</v>
      </c>
      <c r="C1193" s="4" t="s">
        <v>278</v>
      </c>
      <c r="D1193" s="94">
        <v>2597.0</v>
      </c>
    </row>
    <row r="1194">
      <c r="A1194" s="40">
        <f t="array" ref="A1194">IFNA(index(PlayerValues!A:A,match(IFNA(vlookup(B1194,'Special Names'!A:B,2,FALSE),B1194),PlayerValues!E:E,0)),"N/A")</f>
        <v>13674</v>
      </c>
      <c r="B1194" s="4" t="s">
        <v>511</v>
      </c>
      <c r="C1194" s="4" t="s">
        <v>298</v>
      </c>
      <c r="D1194" s="94">
        <v>2996.0</v>
      </c>
    </row>
    <row r="1195">
      <c r="A1195" s="40" t="str">
        <f t="array" ref="A1195">IFNA(index(PlayerValues!A:A,match(IFNA(vlookup(B1195,'Special Names'!A:B,2,FALSE),B1195),PlayerValues!E:E,0)),"N/A")</f>
        <v>N/A</v>
      </c>
      <c r="B1195" s="4" t="s">
        <v>98</v>
      </c>
      <c r="C1195" s="4" t="s">
        <v>325</v>
      </c>
      <c r="D1195" s="94">
        <v>2580.0</v>
      </c>
    </row>
    <row r="1196">
      <c r="A1196" s="40">
        <f t="array" ref="A1196">IFNA(index(PlayerValues!A:A,match(IFNA(vlookup(B1196,'Special Names'!A:B,2,FALSE),B1196),PlayerValues!E:E,0)),"N/A")</f>
        <v>16164</v>
      </c>
      <c r="B1196" s="4" t="s">
        <v>512</v>
      </c>
      <c r="C1196" s="4" t="s">
        <v>278</v>
      </c>
      <c r="D1196" s="94">
        <v>2577.0</v>
      </c>
    </row>
    <row r="1197">
      <c r="A1197" s="40">
        <f t="array" ref="A1197">IFNA(index(PlayerValues!A:A,match(IFNA(vlookup(B1197,'Special Names'!A:B,2,FALSE),B1197),PlayerValues!E:E,0)),"N/A")</f>
        <v>17474</v>
      </c>
      <c r="B1197" s="4" t="s">
        <v>513</v>
      </c>
      <c r="C1197" s="4" t="s">
        <v>278</v>
      </c>
      <c r="D1197" s="94">
        <v>2573.0</v>
      </c>
    </row>
    <row r="1198">
      <c r="A1198" s="40">
        <f t="array" ref="A1198">IFNA(index(PlayerValues!A:A,match(IFNA(vlookup(B1198,'Special Names'!A:B,2,FALSE),B1198),PlayerValues!E:E,0)),"N/A")</f>
        <v>17468</v>
      </c>
      <c r="B1198" s="4" t="s">
        <v>514</v>
      </c>
      <c r="C1198" s="4" t="s">
        <v>283</v>
      </c>
      <c r="D1198" s="94">
        <v>2559.0</v>
      </c>
    </row>
    <row r="1199">
      <c r="A1199" s="40">
        <f t="array" ref="A1199">IFNA(index(PlayerValues!A:A,match(IFNA(vlookup(B1199,'Special Names'!A:B,2,FALSE),B1199),PlayerValues!E:E,0)),"N/A")</f>
        <v>16626</v>
      </c>
      <c r="B1199" s="4" t="s">
        <v>515</v>
      </c>
      <c r="C1199" s="4" t="s">
        <v>287</v>
      </c>
      <c r="D1199" s="94">
        <v>2555.0</v>
      </c>
    </row>
    <row r="1200">
      <c r="A1200" s="40">
        <f t="array" ref="A1200">IFNA(index(PlayerValues!A:A,match(IFNA(vlookup(B1200,'Special Names'!A:B,2,FALSE),B1200),PlayerValues!E:E,0)),"N/A")</f>
        <v>16287</v>
      </c>
      <c r="B1200" s="4" t="s">
        <v>516</v>
      </c>
      <c r="C1200" s="4" t="s">
        <v>287</v>
      </c>
      <c r="D1200" s="94">
        <v>2543.0</v>
      </c>
    </row>
    <row r="1201">
      <c r="A1201" s="40">
        <f t="array" ref="A1201">IFNA(index(PlayerValues!A:A,match(IFNA(vlookup(B1201,'Special Names'!A:B,2,FALSE),B1201),PlayerValues!E:E,0)),"N/A")</f>
        <v>16622</v>
      </c>
      <c r="B1201" s="4" t="s">
        <v>517</v>
      </c>
      <c r="C1201" s="4" t="s">
        <v>287</v>
      </c>
      <c r="D1201" s="94">
        <v>2539.0</v>
      </c>
    </row>
    <row r="1202">
      <c r="A1202" s="40">
        <f t="array" ref="A1202">IFNA(index(PlayerValues!A:A,match(IFNA(vlookup(B1202,'Special Names'!A:B,2,FALSE),B1202),PlayerValues!E:E,0)),"N/A")</f>
        <v>17520</v>
      </c>
      <c r="B1202" s="4" t="s">
        <v>518</v>
      </c>
      <c r="C1202" s="4" t="s">
        <v>287</v>
      </c>
      <c r="D1202" s="94">
        <v>2532.0</v>
      </c>
    </row>
    <row r="1203">
      <c r="A1203" s="40">
        <f t="array" ref="A1203">IFNA(index(PlayerValues!A:A,match(IFNA(vlookup(B1203,'Special Names'!A:B,2,FALSE),B1203),PlayerValues!E:E,0)),"N/A")</f>
        <v>11244</v>
      </c>
      <c r="B1203" s="4" t="s">
        <v>519</v>
      </c>
      <c r="C1203" s="4" t="s">
        <v>298</v>
      </c>
      <c r="D1203" s="94">
        <v>2930.0</v>
      </c>
    </row>
    <row r="1204">
      <c r="A1204" s="40">
        <f t="array" ref="A1204">IFNA(index(PlayerValues!A:A,match(IFNA(vlookup(B1204,'Special Names'!A:B,2,FALSE),B1204),PlayerValues!E:E,0)),"N/A")</f>
        <v>16165</v>
      </c>
      <c r="B1204" s="4" t="s">
        <v>520</v>
      </c>
      <c r="C1204" s="4" t="s">
        <v>278</v>
      </c>
      <c r="D1204" s="94">
        <v>2523.0</v>
      </c>
    </row>
    <row r="1205">
      <c r="A1205" s="40" t="str">
        <f t="array" ref="A1205">IFNA(index(PlayerValues!A:A,match(IFNA(vlookup(B1205,'Special Names'!A:B,2,FALSE),B1205),PlayerValues!E:E,0)),"N/A")</f>
        <v>N/A</v>
      </c>
      <c r="B1205" s="4" t="s">
        <v>99</v>
      </c>
      <c r="C1205" s="4" t="s">
        <v>325</v>
      </c>
      <c r="D1205" s="94">
        <v>2505.0</v>
      </c>
    </row>
    <row r="1206">
      <c r="A1206" s="40">
        <f t="array" ref="A1206">IFNA(index(PlayerValues!A:A,match(IFNA(vlookup(B1206,'Special Names'!A:B,2,FALSE),B1206),PlayerValues!E:E,0)),"N/A")</f>
        <v>15786</v>
      </c>
      <c r="B1206" s="4" t="s">
        <v>521</v>
      </c>
      <c r="C1206" s="4" t="s">
        <v>287</v>
      </c>
      <c r="D1206" s="94">
        <v>2499.0</v>
      </c>
    </row>
    <row r="1207">
      <c r="A1207" s="40">
        <f t="array" ref="A1207">IFNA(index(PlayerValues!A:A,match(IFNA(vlookup(B1207,'Special Names'!A:B,2,FALSE),B1207),PlayerValues!E:E,0)),"N/A")</f>
        <v>17485</v>
      </c>
      <c r="B1207" s="4" t="s">
        <v>522</v>
      </c>
      <c r="C1207" s="4" t="s">
        <v>278</v>
      </c>
      <c r="D1207" s="94">
        <v>2499.0</v>
      </c>
    </row>
    <row r="1208">
      <c r="A1208" s="40">
        <f t="array" ref="A1208">IFNA(index(PlayerValues!A:A,match(IFNA(vlookup(B1208,'Special Names'!A:B,2,FALSE),B1208),PlayerValues!E:E,0)),"N/A")</f>
        <v>14861</v>
      </c>
      <c r="B1208" s="4" t="s">
        <v>523</v>
      </c>
      <c r="C1208" s="4" t="s">
        <v>298</v>
      </c>
      <c r="D1208" s="94">
        <v>2901.0</v>
      </c>
    </row>
    <row r="1209">
      <c r="A1209" s="40">
        <f t="array" ref="A1209">IFNA(index(PlayerValues!A:A,match(IFNA(vlookup(B1209,'Special Names'!A:B,2,FALSE),B1209),PlayerValues!E:E,0)),"N/A")</f>
        <v>17157</v>
      </c>
      <c r="B1209" s="4" t="s">
        <v>524</v>
      </c>
      <c r="C1209" s="4" t="s">
        <v>287</v>
      </c>
      <c r="D1209" s="94">
        <v>2494.0</v>
      </c>
    </row>
    <row r="1210">
      <c r="A1210" s="40">
        <f t="array" ref="A1210">IFNA(index(PlayerValues!A:A,match(IFNA(vlookup(B1210,'Special Names'!A:B,2,FALSE),B1210),PlayerValues!E:E,0)),"N/A")</f>
        <v>17105</v>
      </c>
      <c r="B1210" s="4" t="s">
        <v>525</v>
      </c>
      <c r="C1210" s="4" t="s">
        <v>298</v>
      </c>
      <c r="D1210" s="94">
        <v>2892.0</v>
      </c>
    </row>
    <row r="1211">
      <c r="A1211" s="40">
        <f t="array" ref="A1211">IFNA(index(PlayerValues!A:A,match(IFNA(vlookup(B1211,'Special Names'!A:B,2,FALSE),B1211),PlayerValues!E:E,0)),"N/A")</f>
        <v>17607</v>
      </c>
      <c r="B1211" s="4" t="s">
        <v>526</v>
      </c>
      <c r="C1211" s="4" t="s">
        <v>298</v>
      </c>
      <c r="D1211" s="94">
        <v>2891.0</v>
      </c>
    </row>
    <row r="1212">
      <c r="A1212" s="40">
        <f t="array" ref="A1212">IFNA(index(PlayerValues!A:A,match(IFNA(vlookup(B1212,'Special Names'!A:B,2,FALSE),B1212),PlayerValues!E:E,0)),"N/A")</f>
        <v>17478</v>
      </c>
      <c r="B1212" s="4" t="s">
        <v>527</v>
      </c>
      <c r="C1212" s="4" t="s">
        <v>278</v>
      </c>
      <c r="D1212" s="94">
        <v>2486.0</v>
      </c>
    </row>
    <row r="1213">
      <c r="A1213" s="40">
        <f t="array" ref="A1213">IFNA(index(PlayerValues!A:A,match(IFNA(vlookup(B1213,'Special Names'!A:B,2,FALSE),B1213),PlayerValues!E:E,0)),"N/A")</f>
        <v>17505</v>
      </c>
      <c r="B1213" s="4" t="s">
        <v>528</v>
      </c>
      <c r="C1213" s="4" t="s">
        <v>287</v>
      </c>
      <c r="D1213" s="94">
        <v>2483.0</v>
      </c>
    </row>
    <row r="1214">
      <c r="A1214" s="40">
        <f t="array" ref="A1214">IFNA(index(PlayerValues!A:A,match(IFNA(vlookup(B1214,'Special Names'!A:B,2,FALSE),B1214),PlayerValues!E:E,0)),"N/A")</f>
        <v>12616</v>
      </c>
      <c r="B1214" s="4" t="s">
        <v>529</v>
      </c>
      <c r="C1214" s="4" t="s">
        <v>283</v>
      </c>
      <c r="D1214" s="94">
        <v>2477.0</v>
      </c>
    </row>
    <row r="1215">
      <c r="A1215" s="40">
        <f t="array" ref="A1215">IFNA(index(PlayerValues!A:A,match(IFNA(vlookup(B1215,'Special Names'!A:B,2,FALSE),B1215),PlayerValues!E:E,0)),"N/A")</f>
        <v>16204</v>
      </c>
      <c r="B1215" s="4" t="s">
        <v>530</v>
      </c>
      <c r="C1215" s="4" t="s">
        <v>287</v>
      </c>
      <c r="D1215" s="94">
        <v>2477.0</v>
      </c>
    </row>
    <row r="1216">
      <c r="A1216" s="40">
        <f t="array" ref="A1216">IFNA(index(PlayerValues!A:A,match(IFNA(vlookup(B1216,'Special Names'!A:B,2,FALSE),B1216),PlayerValues!E:E,0)),"N/A")</f>
        <v>14138</v>
      </c>
      <c r="B1216" s="4" t="s">
        <v>531</v>
      </c>
      <c r="C1216" s="4" t="s">
        <v>298</v>
      </c>
      <c r="D1216" s="94">
        <v>2863.0</v>
      </c>
    </row>
    <row r="1217">
      <c r="A1217" s="40">
        <f t="array" ref="A1217">IFNA(index(PlayerValues!A:A,match(IFNA(vlookup(B1217,'Special Names'!A:B,2,FALSE),B1217),PlayerValues!E:E,0)),"N/A")</f>
        <v>17080</v>
      </c>
      <c r="B1217" s="4" t="s">
        <v>532</v>
      </c>
      <c r="C1217" s="4" t="s">
        <v>287</v>
      </c>
      <c r="D1217" s="94">
        <v>2456.0</v>
      </c>
    </row>
    <row r="1218">
      <c r="A1218" s="40" t="str">
        <f t="array" ref="A1218">IFNA(index(PlayerValues!A:A,match(IFNA(vlookup(B1218,'Special Names'!A:B,2,FALSE),B1218),PlayerValues!E:E,0)),"N/A")</f>
        <v>N/A</v>
      </c>
      <c r="B1218" s="4" t="s">
        <v>86</v>
      </c>
      <c r="C1218" s="4" t="s">
        <v>325</v>
      </c>
      <c r="D1218" s="94">
        <v>2449.0</v>
      </c>
    </row>
    <row r="1219">
      <c r="A1219" s="40">
        <f t="array" ref="A1219">IFNA(index(PlayerValues!A:A,match(IFNA(vlookup(B1219,'Special Names'!A:B,2,FALSE),B1219),PlayerValues!E:E,0)),"N/A")</f>
        <v>17098</v>
      </c>
      <c r="B1219" s="4" t="s">
        <v>533</v>
      </c>
      <c r="C1219" s="4" t="s">
        <v>287</v>
      </c>
      <c r="D1219" s="94">
        <v>2409.0</v>
      </c>
    </row>
    <row r="1220">
      <c r="A1220" s="40">
        <f t="array" ref="A1220">IFNA(index(PlayerValues!A:A,match(IFNA(vlookup(B1220,'Special Names'!A:B,2,FALSE),B1220),PlayerValues!E:E,0)),"N/A")</f>
        <v>17508</v>
      </c>
      <c r="B1220" s="4" t="s">
        <v>534</v>
      </c>
      <c r="C1220" s="4" t="s">
        <v>287</v>
      </c>
      <c r="D1220" s="94">
        <v>2374.0</v>
      </c>
    </row>
    <row r="1221">
      <c r="A1221" s="40">
        <f t="array" ref="A1221">IFNA(index(PlayerValues!A:A,match(IFNA(vlookup(B1221,'Special Names'!A:B,2,FALSE),B1221),PlayerValues!E:E,0)),"N/A")</f>
        <v>17031</v>
      </c>
      <c r="B1221" s="4" t="s">
        <v>535</v>
      </c>
      <c r="C1221" s="4" t="s">
        <v>283</v>
      </c>
      <c r="D1221" s="94">
        <v>2363.0</v>
      </c>
    </row>
    <row r="1222">
      <c r="A1222" s="40" t="str">
        <f t="array" ref="A1222">IFNA(index(PlayerValues!A:A,match(IFNA(vlookup(B1222,'Special Names'!A:B,2,FALSE),B1222),PlayerValues!E:E,0)),"N/A")</f>
        <v>N/A</v>
      </c>
      <c r="B1222" s="4" t="s">
        <v>100</v>
      </c>
      <c r="C1222" s="4" t="s">
        <v>325</v>
      </c>
      <c r="D1222" s="94">
        <v>2361.0</v>
      </c>
    </row>
    <row r="1223">
      <c r="A1223" s="40">
        <f t="array" ref="A1223">IFNA(index(PlayerValues!A:A,match(IFNA(vlookup(B1223,'Special Names'!A:B,2,FALSE),B1223),PlayerValues!E:E,0)),"N/A")</f>
        <v>14136</v>
      </c>
      <c r="B1223" s="4" t="s">
        <v>536</v>
      </c>
      <c r="C1223" s="4" t="s">
        <v>287</v>
      </c>
      <c r="D1223" s="94">
        <v>2360.0</v>
      </c>
    </row>
    <row r="1224">
      <c r="A1224" s="40">
        <f t="array" ref="A1224">IFNA(index(PlayerValues!A:A,match(IFNA(vlookup(B1224,'Special Names'!A:B,2,FALSE),B1224),PlayerValues!E:E,0)),"N/A")</f>
        <v>12676</v>
      </c>
      <c r="B1224" s="4" t="s">
        <v>537</v>
      </c>
      <c r="C1224" s="4" t="s">
        <v>298</v>
      </c>
      <c r="D1224" s="94">
        <v>2755.0</v>
      </c>
    </row>
    <row r="1225">
      <c r="A1225" s="40">
        <f t="array" ref="A1225">IFNA(index(PlayerValues!A:A,match(IFNA(vlookup(B1225,'Special Names'!A:B,2,FALSE),B1225),PlayerValues!E:E,0)),"N/A")</f>
        <v>16619</v>
      </c>
      <c r="B1225" s="4" t="s">
        <v>538</v>
      </c>
      <c r="C1225" s="4" t="s">
        <v>287</v>
      </c>
      <c r="D1225" s="94">
        <v>2349.0</v>
      </c>
    </row>
    <row r="1226">
      <c r="A1226" s="40">
        <f t="array" ref="A1226">IFNA(index(PlayerValues!A:A,match(IFNA(vlookup(B1226,'Special Names'!A:B,2,FALSE),B1226),PlayerValues!E:E,0)),"N/A")</f>
        <v>17048</v>
      </c>
      <c r="B1226" s="4" t="s">
        <v>539</v>
      </c>
      <c r="C1226" s="4" t="s">
        <v>278</v>
      </c>
      <c r="D1226" s="94">
        <v>2348.0</v>
      </c>
    </row>
    <row r="1227">
      <c r="A1227" s="40">
        <f t="array" ref="A1227">IFNA(index(PlayerValues!A:A,match(IFNA(vlookup(B1227,'Special Names'!A:B,2,FALSE),B1227),PlayerValues!E:E,0)),"N/A")</f>
        <v>17481</v>
      </c>
      <c r="B1227" s="4" t="s">
        <v>540</v>
      </c>
      <c r="C1227" s="4" t="s">
        <v>278</v>
      </c>
      <c r="D1227" s="94">
        <v>2332.0</v>
      </c>
    </row>
    <row r="1228">
      <c r="A1228" s="40">
        <f t="array" ref="A1228">IFNA(index(PlayerValues!A:A,match(IFNA(vlookup(B1228,'Special Names'!A:B,2,FALSE),B1228),PlayerValues!E:E,0)),"N/A")</f>
        <v>16617</v>
      </c>
      <c r="B1228" s="4" t="s">
        <v>541</v>
      </c>
      <c r="C1228" s="4" t="s">
        <v>287</v>
      </c>
      <c r="D1228" s="94">
        <v>2327.0</v>
      </c>
    </row>
    <row r="1229">
      <c r="A1229" s="40">
        <f t="array" ref="A1229">IFNA(index(PlayerValues!A:A,match(IFNA(vlookup(B1229,'Special Names'!A:B,2,FALSE),B1229),PlayerValues!E:E,0)),"N/A")</f>
        <v>17108</v>
      </c>
      <c r="B1229" s="4" t="s">
        <v>542</v>
      </c>
      <c r="C1229" s="4" t="s">
        <v>298</v>
      </c>
      <c r="D1229" s="94">
        <v>2716.0</v>
      </c>
    </row>
    <row r="1230">
      <c r="A1230" s="40" t="str">
        <f t="array" ref="A1230">IFNA(index(PlayerValues!A:A,match(IFNA(vlookup(B1230,'Special Names'!A:B,2,FALSE),B1230),PlayerValues!E:E,0)),"N/A")</f>
        <v>N/A</v>
      </c>
      <c r="B1230" s="4" t="s">
        <v>87</v>
      </c>
      <c r="C1230" s="4" t="s">
        <v>325</v>
      </c>
      <c r="D1230" s="94">
        <v>2318.0</v>
      </c>
    </row>
    <row r="1231">
      <c r="A1231" s="40">
        <f t="array" ref="A1231">IFNA(index(PlayerValues!A:A,match(IFNA(vlookup(B1231,'Special Names'!A:B,2,FALSE),B1231),PlayerValues!E:E,0)),"N/A")</f>
        <v>17078</v>
      </c>
      <c r="B1231" s="4" t="s">
        <v>543</v>
      </c>
      <c r="C1231" s="4" t="s">
        <v>287</v>
      </c>
      <c r="D1231" s="94">
        <v>2318.0</v>
      </c>
    </row>
    <row r="1232">
      <c r="A1232" s="40" t="str">
        <f t="array" ref="A1232">IFNA(index(PlayerValues!A:A,match(IFNA(vlookup(B1232,'Special Names'!A:B,2,FALSE),B1232),PlayerValues!E:E,0)),"N/A")</f>
        <v>N/A</v>
      </c>
      <c r="B1232" s="4" t="s">
        <v>112</v>
      </c>
      <c r="C1232" s="4" t="s">
        <v>325</v>
      </c>
      <c r="D1232" s="94">
        <v>2311.0</v>
      </c>
    </row>
    <row r="1233">
      <c r="A1233" s="40">
        <f t="array" ref="A1233">IFNA(index(PlayerValues!A:A,match(IFNA(vlookup(B1233,'Special Names'!A:B,2,FALSE),B1233),PlayerValues!E:E,0)),"N/A")</f>
        <v>13772</v>
      </c>
      <c r="B1233" s="4" t="s">
        <v>544</v>
      </c>
      <c r="C1233" s="4" t="s">
        <v>298</v>
      </c>
      <c r="D1233" s="94">
        <v>2708.0</v>
      </c>
    </row>
    <row r="1234">
      <c r="A1234" s="40">
        <f t="array" ref="A1234">IFNA(index(PlayerValues!A:A,match(IFNA(vlookup(B1234,'Special Names'!A:B,2,FALSE),B1234),PlayerValues!E:E,0)),"N/A")</f>
        <v>15716</v>
      </c>
      <c r="B1234" s="4" t="s">
        <v>545</v>
      </c>
      <c r="C1234" s="4" t="s">
        <v>278</v>
      </c>
      <c r="D1234" s="94">
        <v>2282.0</v>
      </c>
    </row>
    <row r="1235">
      <c r="A1235" s="40">
        <f t="array" ref="A1235">IFNA(index(PlayerValues!A:A,match(IFNA(vlookup(B1235,'Special Names'!A:B,2,FALSE),B1235),PlayerValues!E:E,0)),"N/A")</f>
        <v>15241</v>
      </c>
      <c r="B1235" s="4" t="s">
        <v>546</v>
      </c>
      <c r="C1235" s="4" t="s">
        <v>283</v>
      </c>
      <c r="D1235" s="94">
        <v>2275.0</v>
      </c>
    </row>
    <row r="1236">
      <c r="A1236" s="40">
        <f t="array" ref="A1236">IFNA(index(PlayerValues!A:A,match(IFNA(vlookup(B1236,'Special Names'!A:B,2,FALSE),B1236),PlayerValues!E:E,0)),"N/A")</f>
        <v>17073</v>
      </c>
      <c r="B1236" s="4" t="s">
        <v>547</v>
      </c>
      <c r="C1236" s="4" t="s">
        <v>287</v>
      </c>
      <c r="D1236" s="94">
        <v>2273.0</v>
      </c>
    </row>
    <row r="1237">
      <c r="A1237" s="40">
        <f t="array" ref="A1237">IFNA(index(PlayerValues!A:A,match(IFNA(vlookup(B1237,'Special Names'!A:B,2,FALSE),B1237),PlayerValues!E:E,0)),"N/A")</f>
        <v>17134</v>
      </c>
      <c r="B1237" s="4" t="s">
        <v>548</v>
      </c>
      <c r="C1237" s="4" t="s">
        <v>287</v>
      </c>
      <c r="D1237" s="94">
        <v>2268.0</v>
      </c>
    </row>
    <row r="1238">
      <c r="A1238" s="40">
        <f t="array" ref="A1238">IFNA(index(PlayerValues!A:A,match(IFNA(vlookup(B1238,'Special Names'!A:B,2,FALSE),B1238),PlayerValues!E:E,0)),"N/A")</f>
        <v>13319</v>
      </c>
      <c r="B1238" s="4" t="s">
        <v>549</v>
      </c>
      <c r="C1238" s="4" t="s">
        <v>278</v>
      </c>
      <c r="D1238" s="94">
        <v>2263.0</v>
      </c>
    </row>
    <row r="1239">
      <c r="A1239" s="40">
        <f t="array" ref="A1239">IFNA(index(PlayerValues!A:A,match(IFNA(vlookup(B1239,'Special Names'!A:B,2,FALSE),B1239),PlayerValues!E:E,0)),"N/A")</f>
        <v>17106</v>
      </c>
      <c r="B1239" s="4" t="s">
        <v>550</v>
      </c>
      <c r="C1239" s="4" t="s">
        <v>298</v>
      </c>
      <c r="D1239" s="94">
        <v>2649.0</v>
      </c>
    </row>
    <row r="1240">
      <c r="A1240" s="40">
        <f t="array" ref="A1240">IFNA(index(PlayerValues!A:A,match(IFNA(vlookup(B1240,'Special Names'!A:B,2,FALSE),B1240),PlayerValues!E:E,0)),"N/A")</f>
        <v>17509</v>
      </c>
      <c r="B1240" s="4" t="s">
        <v>551</v>
      </c>
      <c r="C1240" s="4" t="s">
        <v>287</v>
      </c>
      <c r="D1240" s="94">
        <v>2251.0</v>
      </c>
    </row>
    <row r="1241">
      <c r="A1241" s="40">
        <f t="array" ref="A1241">IFNA(index(PlayerValues!A:A,match(IFNA(vlookup(B1241,'Special Names'!A:B,2,FALSE),B1241),PlayerValues!E:E,0)),"N/A")</f>
        <v>17547</v>
      </c>
      <c r="B1241" s="4" t="s">
        <v>552</v>
      </c>
      <c r="C1241" s="4" t="s">
        <v>298</v>
      </c>
      <c r="D1241" s="94">
        <v>2644.0</v>
      </c>
    </row>
    <row r="1242">
      <c r="A1242" s="40">
        <f t="array" ref="A1242">IFNA(index(PlayerValues!A:A,match(IFNA(vlookup(B1242,'Special Names'!A:B,2,FALSE),B1242),PlayerValues!E:E,0)),"N/A")</f>
        <v>14833</v>
      </c>
      <c r="B1242" s="4" t="s">
        <v>553</v>
      </c>
      <c r="C1242" s="4" t="s">
        <v>287</v>
      </c>
      <c r="D1242" s="94">
        <v>2236.0</v>
      </c>
    </row>
    <row r="1243">
      <c r="A1243" s="40">
        <f t="array" ref="A1243">IFNA(index(PlayerValues!A:A,match(IFNA(vlookup(B1243,'Special Names'!A:B,2,FALSE),B1243),PlayerValues!E:E,0)),"N/A")</f>
        <v>14860</v>
      </c>
      <c r="B1243" s="4" t="s">
        <v>554</v>
      </c>
      <c r="C1243" s="4" t="s">
        <v>287</v>
      </c>
      <c r="D1243" s="94">
        <v>2230.0</v>
      </c>
    </row>
    <row r="1244">
      <c r="A1244" s="40">
        <f t="array" ref="A1244">IFNA(index(PlayerValues!A:A,match(IFNA(vlookup(B1244,'Special Names'!A:B,2,FALSE),B1244),PlayerValues!E:E,0)),"N/A")</f>
        <v>16747</v>
      </c>
      <c r="B1244" s="4" t="s">
        <v>555</v>
      </c>
      <c r="C1244" s="4" t="s">
        <v>278</v>
      </c>
      <c r="D1244" s="94">
        <v>2199.0</v>
      </c>
    </row>
    <row r="1245">
      <c r="A1245" s="40">
        <f t="array" ref="A1245">IFNA(index(PlayerValues!A:A,match(IFNA(vlookup(B1245,'Special Names'!A:B,2,FALSE),B1245),PlayerValues!E:E,0)),"N/A")</f>
        <v>15797</v>
      </c>
      <c r="B1245" s="4" t="s">
        <v>556</v>
      </c>
      <c r="C1245" s="4" t="s">
        <v>298</v>
      </c>
      <c r="D1245" s="94">
        <v>2590.0</v>
      </c>
    </row>
    <row r="1246">
      <c r="A1246" s="40" t="str">
        <f t="array" ref="A1246">IFNA(index(PlayerValues!A:A,match(IFNA(vlookup(B1246,'Special Names'!A:B,2,FALSE),B1246),PlayerValues!E:E,0)),"N/A")</f>
        <v>N/A</v>
      </c>
      <c r="B1246" s="4" t="s">
        <v>557</v>
      </c>
      <c r="C1246" s="4" t="s">
        <v>278</v>
      </c>
      <c r="D1246" s="94">
        <v>2175.0</v>
      </c>
    </row>
    <row r="1247">
      <c r="A1247" s="40">
        <f t="array" ref="A1247">IFNA(index(PlayerValues!A:A,match(IFNA(vlookup(B1247,'Special Names'!A:B,2,FALSE),B1247),PlayerValues!E:E,0)),"N/A")</f>
        <v>16757</v>
      </c>
      <c r="B1247" s="4" t="s">
        <v>558</v>
      </c>
      <c r="C1247" s="4" t="s">
        <v>278</v>
      </c>
      <c r="D1247" s="94">
        <v>2168.0</v>
      </c>
    </row>
    <row r="1248">
      <c r="A1248" s="40" t="str">
        <f t="array" ref="A1248">IFNA(index(PlayerValues!A:A,match(IFNA(vlookup(B1248,'Special Names'!A:B,2,FALSE),B1248),PlayerValues!E:E,0)),"N/A")</f>
        <v>N/A</v>
      </c>
      <c r="B1248" s="4" t="s">
        <v>113</v>
      </c>
      <c r="C1248" s="4" t="s">
        <v>325</v>
      </c>
      <c r="D1248" s="94">
        <v>2166.0</v>
      </c>
    </row>
    <row r="1249">
      <c r="A1249" s="40">
        <f t="array" ref="A1249">IFNA(index(PlayerValues!A:A,match(IFNA(vlookup(B1249,'Special Names'!A:B,2,FALSE),B1249),PlayerValues!E:E,0)),"N/A")</f>
        <v>11150</v>
      </c>
      <c r="B1249" s="4" t="s">
        <v>559</v>
      </c>
      <c r="C1249" s="4" t="s">
        <v>283</v>
      </c>
      <c r="D1249" s="94">
        <v>2159.0</v>
      </c>
    </row>
    <row r="1250">
      <c r="A1250" s="40">
        <f t="array" ref="A1250">IFNA(index(PlayerValues!A:A,match(IFNA(vlookup(B1250,'Special Names'!A:B,2,FALSE),B1250),PlayerValues!E:E,0)),"N/A")</f>
        <v>15331</v>
      </c>
      <c r="B1250" s="4" t="s">
        <v>560</v>
      </c>
      <c r="C1250" s="4" t="s">
        <v>298</v>
      </c>
      <c r="D1250" s="94">
        <v>2536.0</v>
      </c>
    </row>
    <row r="1251">
      <c r="A1251" s="40">
        <f t="array" ref="A1251">IFNA(index(PlayerValues!A:A,match(IFNA(vlookup(B1251,'Special Names'!A:B,2,FALSE),B1251),PlayerValues!E:E,0)),"N/A")</f>
        <v>17171</v>
      </c>
      <c r="B1251" s="4" t="s">
        <v>561</v>
      </c>
      <c r="C1251" s="4" t="s">
        <v>287</v>
      </c>
      <c r="D1251" s="94">
        <v>2143.0</v>
      </c>
    </row>
    <row r="1252">
      <c r="A1252" s="40">
        <f t="array" ref="A1252">IFNA(index(PlayerValues!A:A,match(IFNA(vlookup(B1252,'Special Names'!A:B,2,FALSE),B1252),PlayerValues!E:E,0)),"N/A")</f>
        <v>16610</v>
      </c>
      <c r="B1252" s="4" t="s">
        <v>562</v>
      </c>
      <c r="C1252" s="4" t="s">
        <v>278</v>
      </c>
      <c r="D1252" s="94">
        <v>2140.0</v>
      </c>
    </row>
    <row r="1253">
      <c r="A1253" s="40">
        <f t="array" ref="A1253">IFNA(index(PlayerValues!A:A,match(IFNA(vlookup(B1253,'Special Names'!A:B,2,FALSE),B1253),PlayerValues!E:E,0)),"N/A")</f>
        <v>13192</v>
      </c>
      <c r="B1253" s="4" t="s">
        <v>563</v>
      </c>
      <c r="C1253" s="4" t="s">
        <v>298</v>
      </c>
      <c r="D1253" s="94">
        <v>2529.0</v>
      </c>
    </row>
    <row r="1254">
      <c r="A1254" s="40">
        <f t="array" ref="A1254">IFNA(index(PlayerValues!A:A,match(IFNA(vlookup(B1254,'Special Names'!A:B,2,FALSE),B1254),PlayerValues!E:E,0)),"N/A")</f>
        <v>14778</v>
      </c>
      <c r="B1254" s="4" t="s">
        <v>564</v>
      </c>
      <c r="C1254" s="4" t="s">
        <v>283</v>
      </c>
      <c r="D1254" s="94">
        <v>2139.0</v>
      </c>
    </row>
    <row r="1255">
      <c r="A1255" s="40">
        <f t="array" ref="A1255">IFNA(index(PlayerValues!A:A,match(IFNA(vlookup(B1255,'Special Names'!A:B,2,FALSE),B1255),PlayerValues!E:E,0)),"N/A")</f>
        <v>17055</v>
      </c>
      <c r="B1255" s="4" t="s">
        <v>565</v>
      </c>
      <c r="C1255" s="4" t="s">
        <v>278</v>
      </c>
      <c r="D1255" s="94">
        <v>2138.0</v>
      </c>
    </row>
    <row r="1256">
      <c r="A1256" s="40">
        <f t="array" ref="A1256">IFNA(index(PlayerValues!A:A,match(IFNA(vlookup(B1256,'Special Names'!A:B,2,FALSE),B1256),PlayerValues!E:E,0)),"N/A")</f>
        <v>15802</v>
      </c>
      <c r="B1256" s="4" t="s">
        <v>566</v>
      </c>
      <c r="C1256" s="4" t="s">
        <v>298</v>
      </c>
      <c r="D1256" s="94">
        <v>2529.0</v>
      </c>
    </row>
    <row r="1257">
      <c r="A1257" s="40" t="str">
        <f t="array" ref="A1257">IFNA(index(PlayerValues!A:A,match(IFNA(vlookup(B1257,'Special Names'!A:B,2,FALSE),B1257),PlayerValues!E:E,0)),"N/A")</f>
        <v>N/A</v>
      </c>
      <c r="B1257" s="4" t="s">
        <v>88</v>
      </c>
      <c r="C1257" s="4" t="s">
        <v>325</v>
      </c>
      <c r="D1257" s="94">
        <v>2133.0</v>
      </c>
    </row>
    <row r="1258">
      <c r="A1258" s="40">
        <f t="array" ref="A1258">IFNA(index(PlayerValues!A:A,match(IFNA(vlookup(B1258,'Special Names'!A:B,2,FALSE),B1258),PlayerValues!E:E,0)),"N/A")</f>
        <v>16166</v>
      </c>
      <c r="B1258" s="4" t="s">
        <v>567</v>
      </c>
      <c r="C1258" s="4" t="s">
        <v>278</v>
      </c>
      <c r="D1258" s="94">
        <v>2126.0</v>
      </c>
    </row>
    <row r="1259">
      <c r="A1259" s="40">
        <f t="array" ref="A1259">IFNA(index(PlayerValues!A:A,match(IFNA(vlookup(B1259,'Special Names'!A:B,2,FALSE),B1259),PlayerValues!E:E,0)),"N/A")</f>
        <v>16212</v>
      </c>
      <c r="B1259" s="4" t="s">
        <v>568</v>
      </c>
      <c r="C1259" s="4" t="s">
        <v>298</v>
      </c>
      <c r="D1259" s="94">
        <v>2509.0</v>
      </c>
    </row>
    <row r="1260">
      <c r="A1260" s="40">
        <f t="array" ref="A1260">IFNA(index(PlayerValues!A:A,match(IFNA(vlookup(B1260,'Special Names'!A:B,2,FALSE),B1260),PlayerValues!E:E,0)),"N/A")</f>
        <v>16584</v>
      </c>
      <c r="B1260" s="4" t="s">
        <v>569</v>
      </c>
      <c r="C1260" s="4" t="s">
        <v>283</v>
      </c>
      <c r="D1260" s="94">
        <v>2109.0</v>
      </c>
    </row>
    <row r="1261">
      <c r="A1261" s="40">
        <f t="array" ref="A1261">IFNA(index(PlayerValues!A:A,match(IFNA(vlookup(B1261,'Special Names'!A:B,2,FALSE),B1261),PlayerValues!E:E,0)),"N/A")</f>
        <v>17033</v>
      </c>
      <c r="B1261" s="4" t="s">
        <v>570</v>
      </c>
      <c r="C1261" s="4" t="s">
        <v>283</v>
      </c>
      <c r="D1261" s="94">
        <v>2104.0</v>
      </c>
    </row>
    <row r="1262">
      <c r="A1262" s="40">
        <f t="array" ref="A1262">IFNA(index(PlayerValues!A:A,match(IFNA(vlookup(B1262,'Special Names'!A:B,2,FALSE),B1262),PlayerValues!E:E,0)),"N/A")</f>
        <v>17567</v>
      </c>
      <c r="B1262" s="4" t="s">
        <v>571</v>
      </c>
      <c r="C1262" s="4" t="s">
        <v>298</v>
      </c>
      <c r="D1262" s="94">
        <v>2473.0</v>
      </c>
    </row>
    <row r="1263">
      <c r="A1263" s="40">
        <f t="array" ref="A1263">IFNA(index(PlayerValues!A:A,match(IFNA(vlookup(B1263,'Special Names'!A:B,2,FALSE),B1263),PlayerValues!E:E,0)),"N/A")</f>
        <v>17079</v>
      </c>
      <c r="B1263" s="4" t="s">
        <v>572</v>
      </c>
      <c r="C1263" s="4" t="s">
        <v>287</v>
      </c>
      <c r="D1263" s="94">
        <v>2081.0</v>
      </c>
    </row>
    <row r="1264">
      <c r="A1264" s="40" t="str">
        <f t="array" ref="A1264">IFNA(index(PlayerValues!A:A,match(IFNA(vlookup(B1264,'Special Names'!A:B,2,FALSE),B1264),PlayerValues!E:E,0)),"N/A")</f>
        <v>N/A</v>
      </c>
      <c r="B1264" s="4" t="s">
        <v>114</v>
      </c>
      <c r="C1264" s="4" t="s">
        <v>325</v>
      </c>
      <c r="D1264" s="94">
        <v>2075.0</v>
      </c>
    </row>
    <row r="1265">
      <c r="A1265" s="40">
        <f t="array" ref="A1265">IFNA(index(PlayerValues!A:A,match(IFNA(vlookup(B1265,'Special Names'!A:B,2,FALSE),B1265),PlayerValues!E:E,0)),"N/A")</f>
        <v>17521</v>
      </c>
      <c r="B1265" s="4" t="s">
        <v>573</v>
      </c>
      <c r="C1265" s="4" t="s">
        <v>287</v>
      </c>
      <c r="D1265" s="94">
        <v>2071.0</v>
      </c>
    </row>
    <row r="1266">
      <c r="A1266" s="40">
        <f t="array" ref="A1266">IFNA(index(PlayerValues!A:A,match(IFNA(vlookup(B1266,'Special Names'!A:B,2,FALSE),B1266),PlayerValues!E:E,0)),"N/A")</f>
        <v>15749</v>
      </c>
      <c r="B1266" s="4" t="s">
        <v>574</v>
      </c>
      <c r="C1266" s="4" t="s">
        <v>278</v>
      </c>
      <c r="D1266" s="94">
        <v>2068.0</v>
      </c>
    </row>
    <row r="1267">
      <c r="A1267" s="40">
        <f t="array" ref="A1267">IFNA(index(PlayerValues!A:A,match(IFNA(vlookup(B1267,'Special Names'!A:B,2,FALSE),B1267),PlayerValues!E:E,0)),"N/A")</f>
        <v>17467</v>
      </c>
      <c r="B1267" s="4" t="s">
        <v>575</v>
      </c>
      <c r="C1267" s="4" t="s">
        <v>283</v>
      </c>
      <c r="D1267" s="94">
        <v>2050.0</v>
      </c>
    </row>
    <row r="1268">
      <c r="A1268" s="40">
        <f t="array" ref="A1268">IFNA(index(PlayerValues!A:A,match(IFNA(vlookup(B1268,'Special Names'!A:B,2,FALSE),B1268),PlayerValues!E:E,0)),"N/A")</f>
        <v>17652</v>
      </c>
      <c r="B1268" s="4" t="s">
        <v>576</v>
      </c>
      <c r="C1268" s="4" t="s">
        <v>278</v>
      </c>
      <c r="D1268" s="94">
        <v>2048.0</v>
      </c>
    </row>
    <row r="1269">
      <c r="A1269" s="40">
        <f t="array" ref="A1269">IFNA(index(PlayerValues!A:A,match(IFNA(vlookup(B1269,'Special Names'!A:B,2,FALSE),B1269),PlayerValues!E:E,0)),"N/A")</f>
        <v>16778</v>
      </c>
      <c r="B1269" s="4" t="s">
        <v>577</v>
      </c>
      <c r="C1269" s="4" t="s">
        <v>287</v>
      </c>
      <c r="D1269" s="94">
        <v>2039.0</v>
      </c>
    </row>
    <row r="1270">
      <c r="A1270" s="40">
        <f t="array" ref="A1270">IFNA(index(PlayerValues!A:A,match(IFNA(vlookup(B1270,'Special Names'!A:B,2,FALSE),B1270),PlayerValues!E:E,0)),"N/A")</f>
        <v>15293</v>
      </c>
      <c r="B1270" s="4" t="s">
        <v>578</v>
      </c>
      <c r="C1270" s="4" t="s">
        <v>287</v>
      </c>
      <c r="D1270" s="94">
        <v>2029.0</v>
      </c>
    </row>
    <row r="1271">
      <c r="A1271" s="40">
        <f t="array" ref="A1271">IFNA(index(PlayerValues!A:A,match(IFNA(vlookup(B1271,'Special Names'!A:B,2,FALSE),B1271),PlayerValues!E:E,0)),"N/A")</f>
        <v>17528</v>
      </c>
      <c r="B1271" s="4" t="s">
        <v>579</v>
      </c>
      <c r="C1271" s="4" t="s">
        <v>287</v>
      </c>
      <c r="D1271" s="94">
        <v>2029.0</v>
      </c>
    </row>
    <row r="1272">
      <c r="A1272" s="40">
        <f t="array" ref="A1272">IFNA(index(PlayerValues!A:A,match(IFNA(vlookup(B1272,'Special Names'!A:B,2,FALSE),B1272),PlayerValues!E:E,0)),"N/A")</f>
        <v>17061</v>
      </c>
      <c r="B1272" s="4" t="s">
        <v>580</v>
      </c>
      <c r="C1272" s="4" t="s">
        <v>278</v>
      </c>
      <c r="D1272" s="94">
        <v>2028.0</v>
      </c>
    </row>
    <row r="1273">
      <c r="A1273" s="40">
        <f t="array" ref="A1273">IFNA(index(PlayerValues!A:A,match(IFNA(vlookup(B1273,'Special Names'!A:B,2,FALSE),B1273),PlayerValues!E:E,0)),"N/A")</f>
        <v>17056</v>
      </c>
      <c r="B1273" s="4" t="s">
        <v>581</v>
      </c>
      <c r="C1273" s="4" t="s">
        <v>278</v>
      </c>
      <c r="D1273" s="94">
        <v>2024.0</v>
      </c>
    </row>
    <row r="1274">
      <c r="A1274" s="40">
        <f t="array" ref="A1274">IFNA(index(PlayerValues!A:A,match(IFNA(vlookup(B1274,'Special Names'!A:B,2,FALSE),B1274),PlayerValues!E:E,0)),"N/A")</f>
        <v>16189</v>
      </c>
      <c r="B1274" s="4" t="s">
        <v>582</v>
      </c>
      <c r="C1274" s="4" t="s">
        <v>287</v>
      </c>
      <c r="D1274" s="94">
        <v>2022.0</v>
      </c>
    </row>
    <row r="1275">
      <c r="A1275" s="40">
        <f t="array" ref="A1275">IFNA(index(PlayerValues!A:A,match(IFNA(vlookup(B1275,'Special Names'!A:B,2,FALSE),B1275),PlayerValues!E:E,0)),"N/A")</f>
        <v>16342</v>
      </c>
      <c r="B1275" s="4" t="s">
        <v>583</v>
      </c>
      <c r="C1275" s="4" t="s">
        <v>287</v>
      </c>
      <c r="D1275" s="94">
        <v>2021.0</v>
      </c>
    </row>
    <row r="1276">
      <c r="A1276" s="40">
        <f t="array" ref="A1276">IFNA(index(PlayerValues!A:A,match(IFNA(vlookup(B1276,'Special Names'!A:B,2,FALSE),B1276),PlayerValues!E:E,0)),"N/A")</f>
        <v>14871</v>
      </c>
      <c r="B1276" s="4" t="s">
        <v>584</v>
      </c>
      <c r="C1276" s="4" t="s">
        <v>298</v>
      </c>
      <c r="D1276" s="94">
        <v>2380.0</v>
      </c>
    </row>
    <row r="1277">
      <c r="A1277" s="40">
        <f t="array" ref="A1277">IFNA(index(PlayerValues!A:A,match(IFNA(vlookup(B1277,'Special Names'!A:B,2,FALSE),B1277),PlayerValues!E:E,0)),"N/A")</f>
        <v>17076</v>
      </c>
      <c r="B1277" s="4" t="s">
        <v>585</v>
      </c>
      <c r="C1277" s="4" t="s">
        <v>287</v>
      </c>
      <c r="D1277" s="94">
        <v>1992.0</v>
      </c>
    </row>
    <row r="1278">
      <c r="A1278" s="40">
        <f t="array" ref="A1278">IFNA(index(PlayerValues!A:A,match(IFNA(vlookup(B1278,'Special Names'!A:B,2,FALSE),B1278),PlayerValues!E:E,0)),"N/A")</f>
        <v>16649</v>
      </c>
      <c r="B1278" s="4" t="s">
        <v>586</v>
      </c>
      <c r="C1278" s="4" t="s">
        <v>298</v>
      </c>
      <c r="D1278" s="94">
        <v>2376.0</v>
      </c>
    </row>
    <row r="1279">
      <c r="A1279" s="40">
        <f t="array" ref="A1279">IFNA(index(PlayerValues!A:A,match(IFNA(vlookup(B1279,'Special Names'!A:B,2,FALSE),B1279),PlayerValues!E:E,0)),"N/A")</f>
        <v>16603</v>
      </c>
      <c r="B1279" s="4" t="s">
        <v>587</v>
      </c>
      <c r="C1279" s="4" t="s">
        <v>278</v>
      </c>
      <c r="D1279" s="94">
        <v>1985.0</v>
      </c>
    </row>
    <row r="1280">
      <c r="A1280" s="40" t="str">
        <f t="array" ref="A1280">IFNA(index(PlayerValues!A:A,match(IFNA(vlookup(B1280,'Special Names'!A:B,2,FALSE),B1280),PlayerValues!E:E,0)),"N/A")</f>
        <v>N/A</v>
      </c>
      <c r="B1280" s="4" t="s">
        <v>101</v>
      </c>
      <c r="C1280" s="4" t="s">
        <v>325</v>
      </c>
      <c r="D1280" s="94">
        <v>1982.0</v>
      </c>
    </row>
    <row r="1281">
      <c r="A1281" s="40">
        <f t="array" ref="A1281">IFNA(index(PlayerValues!A:A,match(IFNA(vlookup(B1281,'Special Names'!A:B,2,FALSE),B1281),PlayerValues!E:E,0)),"N/A")</f>
        <v>17184</v>
      </c>
      <c r="B1281" s="4" t="s">
        <v>588</v>
      </c>
      <c r="C1281" s="4" t="s">
        <v>287</v>
      </c>
      <c r="D1281" s="94">
        <v>1972.0</v>
      </c>
    </row>
    <row r="1282">
      <c r="A1282" s="40">
        <f t="array" ref="A1282">IFNA(index(PlayerValues!A:A,match(IFNA(vlookup(B1282,'Special Names'!A:B,2,FALSE),B1282),PlayerValues!E:E,0)),"N/A")</f>
        <v>16201</v>
      </c>
      <c r="B1282" s="4" t="s">
        <v>589</v>
      </c>
      <c r="C1282" s="4" t="s">
        <v>287</v>
      </c>
      <c r="D1282" s="94">
        <v>1969.0</v>
      </c>
    </row>
    <row r="1283">
      <c r="A1283" s="40">
        <f t="array" ref="A1283">IFNA(index(PlayerValues!A:A,match(IFNA(vlookup(B1283,'Special Names'!A:B,2,FALSE),B1283),PlayerValues!E:E,0)),"N/A")</f>
        <v>7836</v>
      </c>
      <c r="B1283" s="4" t="s">
        <v>590</v>
      </c>
      <c r="C1283" s="4" t="s">
        <v>283</v>
      </c>
      <c r="D1283" s="94">
        <v>1951.0</v>
      </c>
    </row>
    <row r="1284">
      <c r="A1284" s="40">
        <f t="array" ref="A1284">IFNA(index(PlayerValues!A:A,match(IFNA(vlookup(B1284,'Special Names'!A:B,2,FALSE),B1284),PlayerValues!E:E,0)),"N/A")</f>
        <v>14867</v>
      </c>
      <c r="B1284" s="4" t="s">
        <v>591</v>
      </c>
      <c r="C1284" s="4" t="s">
        <v>298</v>
      </c>
      <c r="D1284" s="94">
        <v>2337.0</v>
      </c>
    </row>
    <row r="1285">
      <c r="A1285" s="40">
        <f t="array" ref="A1285">IFNA(index(PlayerValues!A:A,match(IFNA(vlookup(B1285,'Special Names'!A:B,2,FALSE),B1285),PlayerValues!E:E,0)),"N/A")</f>
        <v>16036</v>
      </c>
      <c r="B1285" s="4" t="s">
        <v>592</v>
      </c>
      <c r="C1285" s="4" t="s">
        <v>298</v>
      </c>
      <c r="D1285" s="94">
        <v>2330.0</v>
      </c>
    </row>
    <row r="1286">
      <c r="A1286" s="40">
        <f t="array" ref="A1286">IFNA(index(PlayerValues!A:A,match(IFNA(vlookup(B1286,'Special Names'!A:B,2,FALSE),B1286),PlayerValues!E:E,0)),"N/A")</f>
        <v>17519</v>
      </c>
      <c r="B1286" s="4" t="s">
        <v>593</v>
      </c>
      <c r="C1286" s="4" t="s">
        <v>287</v>
      </c>
      <c r="D1286" s="94">
        <v>1935.0</v>
      </c>
    </row>
    <row r="1287">
      <c r="A1287" s="40">
        <f t="array" ref="A1287">IFNA(index(PlayerValues!A:A,match(IFNA(vlookup(B1287,'Special Names'!A:B,2,FALSE),B1287),PlayerValues!E:E,0)),"N/A")</f>
        <v>17548</v>
      </c>
      <c r="B1287" s="4" t="s">
        <v>594</v>
      </c>
      <c r="C1287" s="4" t="s">
        <v>298</v>
      </c>
      <c r="D1287" s="94">
        <v>2314.0</v>
      </c>
    </row>
    <row r="1288">
      <c r="A1288" s="40">
        <f t="array" ref="A1288">IFNA(index(PlayerValues!A:A,match(IFNA(vlookup(B1288,'Special Names'!A:B,2,FALSE),B1288),PlayerValues!E:E,0)),"N/A")</f>
        <v>16216</v>
      </c>
      <c r="B1288" s="4" t="s">
        <v>595</v>
      </c>
      <c r="C1288" s="4" t="s">
        <v>298</v>
      </c>
      <c r="D1288" s="94">
        <v>2314.0</v>
      </c>
    </row>
    <row r="1289">
      <c r="A1289" s="40">
        <f t="array" ref="A1289">IFNA(index(PlayerValues!A:A,match(IFNA(vlookup(B1289,'Special Names'!A:B,2,FALSE),B1289),PlayerValues!E:E,0)),"N/A")</f>
        <v>10700</v>
      </c>
      <c r="B1289" s="4" t="s">
        <v>596</v>
      </c>
      <c r="C1289" s="4" t="s">
        <v>283</v>
      </c>
      <c r="D1289" s="94">
        <v>1926.0</v>
      </c>
    </row>
    <row r="1290">
      <c r="A1290" s="40">
        <f t="array" ref="A1290">IFNA(index(PlayerValues!A:A,match(IFNA(vlookup(B1290,'Special Names'!A:B,2,FALSE),B1290),PlayerValues!E:E,0)),"N/A")</f>
        <v>16752</v>
      </c>
      <c r="B1290" s="4" t="s">
        <v>597</v>
      </c>
      <c r="C1290" s="4" t="s">
        <v>278</v>
      </c>
      <c r="D1290" s="94">
        <v>1925.0</v>
      </c>
    </row>
    <row r="1291">
      <c r="A1291" s="40">
        <f t="array" ref="A1291">IFNA(index(PlayerValues!A:A,match(IFNA(vlookup(B1291,'Special Names'!A:B,2,FALSE),B1291),PlayerValues!E:E,0)),"N/A")</f>
        <v>13132</v>
      </c>
      <c r="B1291" s="4" t="s">
        <v>598</v>
      </c>
      <c r="C1291" s="4" t="s">
        <v>278</v>
      </c>
      <c r="D1291" s="94">
        <v>1920.0</v>
      </c>
    </row>
    <row r="1292">
      <c r="A1292" s="40">
        <f t="array" ref="A1292">IFNA(index(PlayerValues!A:A,match(IFNA(vlookup(B1292,'Special Names'!A:B,2,FALSE),B1292),PlayerValues!E:E,0)),"N/A")</f>
        <v>16639</v>
      </c>
      <c r="B1292" s="4" t="s">
        <v>599</v>
      </c>
      <c r="C1292" s="4" t="s">
        <v>287</v>
      </c>
      <c r="D1292" s="94">
        <v>1901.0</v>
      </c>
    </row>
    <row r="1293">
      <c r="A1293" s="40">
        <f t="array" ref="A1293">IFNA(index(PlayerValues!A:A,match(IFNA(vlookup(B1293,'Special Names'!A:B,2,FALSE),B1293),PlayerValues!E:E,0)),"N/A")</f>
        <v>17087</v>
      </c>
      <c r="B1293" s="4" t="s">
        <v>600</v>
      </c>
      <c r="C1293" s="4" t="s">
        <v>287</v>
      </c>
      <c r="D1293" s="94">
        <v>1894.0</v>
      </c>
    </row>
    <row r="1294">
      <c r="A1294" s="40">
        <f t="array" ref="A1294">IFNA(index(PlayerValues!A:A,match(IFNA(vlookup(B1294,'Special Names'!A:B,2,FALSE),B1294),PlayerValues!E:E,0)),"N/A")</f>
        <v>16152</v>
      </c>
      <c r="B1294" s="4" t="s">
        <v>601</v>
      </c>
      <c r="C1294" s="4" t="s">
        <v>283</v>
      </c>
      <c r="D1294" s="94">
        <v>1875.0</v>
      </c>
    </row>
    <row r="1295">
      <c r="A1295" s="40">
        <f t="array" ref="A1295">IFNA(index(PlayerValues!A:A,match(IFNA(vlookup(B1295,'Special Names'!A:B,2,FALSE),B1295),PlayerValues!E:E,0)),"N/A")</f>
        <v>17046</v>
      </c>
      <c r="B1295" s="4" t="s">
        <v>602</v>
      </c>
      <c r="C1295" s="4" t="s">
        <v>278</v>
      </c>
      <c r="D1295" s="94">
        <v>1868.0</v>
      </c>
    </row>
    <row r="1296">
      <c r="A1296" s="40">
        <f t="array" ref="A1296">IFNA(index(PlayerValues!A:A,match(IFNA(vlookup(B1296,'Special Names'!A:B,2,FALSE),B1296),PlayerValues!E:E,0)),"N/A")</f>
        <v>17060</v>
      </c>
      <c r="B1296" s="4" t="s">
        <v>603</v>
      </c>
      <c r="C1296" s="4" t="s">
        <v>278</v>
      </c>
      <c r="D1296" s="94">
        <v>1859.0</v>
      </c>
    </row>
    <row r="1297">
      <c r="A1297" s="40">
        <f t="array" ref="A1297">IFNA(index(PlayerValues!A:A,match(IFNA(vlookup(B1297,'Special Names'!A:B,2,FALSE),B1297),PlayerValues!E:E,0)),"N/A")</f>
        <v>17069</v>
      </c>
      <c r="B1297" s="4" t="s">
        <v>604</v>
      </c>
      <c r="C1297" s="4" t="s">
        <v>278</v>
      </c>
      <c r="D1297" s="94">
        <v>1848.0</v>
      </c>
    </row>
    <row r="1298">
      <c r="A1298" s="40">
        <f t="array" ref="A1298">IFNA(index(PlayerValues!A:A,match(IFNA(vlookup(B1298,'Special Names'!A:B,2,FALSE),B1298),PlayerValues!E:E,0)),"N/A")</f>
        <v>16629</v>
      </c>
      <c r="B1298" s="4" t="s">
        <v>605</v>
      </c>
      <c r="C1298" s="4" t="s">
        <v>287</v>
      </c>
      <c r="D1298" s="94">
        <v>1823.0</v>
      </c>
    </row>
    <row r="1299">
      <c r="A1299" s="40">
        <f t="array" ref="A1299">IFNA(index(PlayerValues!A:A,match(IFNA(vlookup(B1299,'Special Names'!A:B,2,FALSE),B1299),PlayerValues!E:E,0)),"N/A")</f>
        <v>13113</v>
      </c>
      <c r="B1299" s="4" t="s">
        <v>606</v>
      </c>
      <c r="C1299" s="4" t="s">
        <v>283</v>
      </c>
      <c r="D1299" s="94">
        <v>1822.0</v>
      </c>
    </row>
    <row r="1300">
      <c r="A1300" s="40">
        <f t="array" ref="A1300">IFNA(index(PlayerValues!A:A,match(IFNA(vlookup(B1300,'Special Names'!A:B,2,FALSE),B1300),PlayerValues!E:E,0)),"N/A")</f>
        <v>16594</v>
      </c>
      <c r="B1300" s="4" t="s">
        <v>607</v>
      </c>
      <c r="C1300" s="4" t="s">
        <v>278</v>
      </c>
      <c r="D1300" s="94">
        <v>1819.0</v>
      </c>
    </row>
    <row r="1301">
      <c r="A1301" s="40" t="str">
        <f t="array" ref="A1301">IFNA(index(PlayerValues!A:A,match(IFNA(vlookup(B1301,'Special Names'!A:B,2,FALSE),B1301),PlayerValues!E:E,0)),"N/A")</f>
        <v>N/A</v>
      </c>
      <c r="B1301" s="4" t="s">
        <v>102</v>
      </c>
      <c r="C1301" s="4" t="s">
        <v>325</v>
      </c>
      <c r="D1301" s="94">
        <v>1818.0</v>
      </c>
    </row>
    <row r="1302">
      <c r="A1302" s="40">
        <f t="array" ref="A1302">IFNA(index(PlayerValues!A:A,match(IFNA(vlookup(B1302,'Special Names'!A:B,2,FALSE),B1302),PlayerValues!E:E,0)),"N/A")</f>
        <v>17529</v>
      </c>
      <c r="B1302" s="4" t="s">
        <v>608</v>
      </c>
      <c r="C1302" s="4" t="s">
        <v>287</v>
      </c>
      <c r="D1302" s="94">
        <v>1815.0</v>
      </c>
    </row>
    <row r="1303">
      <c r="A1303" s="40">
        <f t="array" ref="A1303">IFNA(index(PlayerValues!A:A,match(IFNA(vlookup(B1303,'Special Names'!A:B,2,FALSE),B1303),PlayerValues!E:E,0)),"N/A")</f>
        <v>16643</v>
      </c>
      <c r="B1303" s="4" t="s">
        <v>609</v>
      </c>
      <c r="C1303" s="4" t="s">
        <v>298</v>
      </c>
      <c r="D1303" s="94">
        <v>2188.0</v>
      </c>
    </row>
    <row r="1304">
      <c r="A1304" s="40">
        <f t="array" ref="A1304">IFNA(index(PlayerValues!A:A,match(IFNA(vlookup(B1304,'Special Names'!A:B,2,FALSE),B1304),PlayerValues!E:E,0)),"N/A")</f>
        <v>15787</v>
      </c>
      <c r="B1304" s="4" t="s">
        <v>610</v>
      </c>
      <c r="C1304" s="4" t="s">
        <v>287</v>
      </c>
      <c r="D1304" s="94">
        <v>1803.0</v>
      </c>
    </row>
    <row r="1305">
      <c r="A1305" s="40">
        <f t="array" ref="A1305">IFNA(index(PlayerValues!A:A,match(IFNA(vlookup(B1305,'Special Names'!A:B,2,FALSE),B1305),PlayerValues!E:E,0)),"N/A")</f>
        <v>14974</v>
      </c>
      <c r="B1305" s="4" t="s">
        <v>611</v>
      </c>
      <c r="C1305" s="4" t="s">
        <v>287</v>
      </c>
      <c r="D1305" s="94">
        <v>1799.0</v>
      </c>
    </row>
    <row r="1306">
      <c r="A1306" s="40">
        <f t="array" ref="A1306">IFNA(index(PlayerValues!A:A,match(IFNA(vlookup(B1306,'Special Names'!A:B,2,FALSE),B1306),PlayerValues!E:E,0)),"N/A")</f>
        <v>17086</v>
      </c>
      <c r="B1306" s="4" t="s">
        <v>612</v>
      </c>
      <c r="C1306" s="4" t="s">
        <v>287</v>
      </c>
      <c r="D1306" s="94">
        <v>1797.0</v>
      </c>
    </row>
    <row r="1307">
      <c r="A1307" s="40">
        <f t="array" ref="A1307">IFNA(index(PlayerValues!A:A,match(IFNA(vlookup(B1307,'Special Names'!A:B,2,FALSE),B1307),PlayerValues!E:E,0)),"N/A")</f>
        <v>15238</v>
      </c>
      <c r="B1307" s="4" t="s">
        <v>613</v>
      </c>
      <c r="C1307" s="4" t="s">
        <v>283</v>
      </c>
      <c r="D1307" s="94">
        <v>1794.0</v>
      </c>
    </row>
    <row r="1308">
      <c r="A1308" s="40">
        <f t="array" ref="A1308">IFNA(index(PlayerValues!A:A,match(IFNA(vlookup(B1308,'Special Names'!A:B,2,FALSE),B1308),PlayerValues!E:E,0)),"N/A")</f>
        <v>17706</v>
      </c>
      <c r="B1308" s="4" t="s">
        <v>614</v>
      </c>
      <c r="C1308" s="4" t="s">
        <v>287</v>
      </c>
      <c r="D1308" s="94">
        <v>1783.0</v>
      </c>
    </row>
    <row r="1309">
      <c r="A1309" s="40">
        <f t="array" ref="A1309">IFNA(index(PlayerValues!A:A,match(IFNA(vlookup(B1309,'Special Names'!A:B,2,FALSE),B1309),PlayerValues!E:E,0)),"N/A")</f>
        <v>17475</v>
      </c>
      <c r="B1309" s="4" t="s">
        <v>615</v>
      </c>
      <c r="C1309" s="4" t="s">
        <v>278</v>
      </c>
      <c r="D1309" s="94">
        <v>1771.0</v>
      </c>
    </row>
    <row r="1310">
      <c r="A1310" s="40">
        <f t="array" ref="A1310">IFNA(index(PlayerValues!A:A,match(IFNA(vlookup(B1310,'Special Names'!A:B,2,FALSE),B1310),PlayerValues!E:E,0)),"N/A")</f>
        <v>17541</v>
      </c>
      <c r="B1310" s="4" t="s">
        <v>616</v>
      </c>
      <c r="C1310" s="4" t="s">
        <v>287</v>
      </c>
      <c r="D1310" s="94">
        <v>1771.0</v>
      </c>
    </row>
    <row r="1311">
      <c r="A1311" s="40" t="str">
        <f t="array" ref="A1311">IFNA(index(PlayerValues!A:A,match(IFNA(vlookup(B1311,'Special Names'!A:B,2,FALSE),B1311),PlayerValues!E:E,0)),"N/A")</f>
        <v>N/A</v>
      </c>
      <c r="B1311" s="4" t="s">
        <v>89</v>
      </c>
      <c r="C1311" s="4" t="s">
        <v>325</v>
      </c>
      <c r="D1311" s="94">
        <v>1747.0</v>
      </c>
    </row>
    <row r="1312">
      <c r="A1312" s="40">
        <f t="array" ref="A1312">IFNA(index(PlayerValues!A:A,match(IFNA(vlookup(B1312,'Special Names'!A:B,2,FALSE),B1312),PlayerValues!E:E,0)),"N/A")</f>
        <v>17036</v>
      </c>
      <c r="B1312" s="4" t="s">
        <v>617</v>
      </c>
      <c r="C1312" s="4" t="s">
        <v>283</v>
      </c>
      <c r="D1312" s="94">
        <v>1731.0</v>
      </c>
    </row>
    <row r="1313">
      <c r="A1313" s="40">
        <f t="array" ref="A1313">IFNA(index(PlayerValues!A:A,match(IFNA(vlookup(B1313,'Special Names'!A:B,2,FALSE),B1313),PlayerValues!E:E,0)),"N/A")</f>
        <v>16171</v>
      </c>
      <c r="B1313" s="4" t="s">
        <v>618</v>
      </c>
      <c r="C1313" s="4" t="s">
        <v>278</v>
      </c>
      <c r="D1313" s="94">
        <v>1727.0</v>
      </c>
    </row>
    <row r="1314">
      <c r="A1314" s="40">
        <f t="array" ref="A1314">IFNA(index(PlayerValues!A:A,match(IFNA(vlookup(B1314,'Special Names'!A:B,2,FALSE),B1314),PlayerValues!E:E,0)),"N/A")</f>
        <v>13629</v>
      </c>
      <c r="B1314" s="4" t="s">
        <v>619</v>
      </c>
      <c r="C1314" s="4" t="s">
        <v>287</v>
      </c>
      <c r="D1314" s="94">
        <v>1723.0</v>
      </c>
    </row>
    <row r="1315">
      <c r="A1315" s="40" t="str">
        <f t="array" ref="A1315">IFNA(index(PlayerValues!A:A,match(IFNA(vlookup(B1315,'Special Names'!A:B,2,FALSE),B1315),PlayerValues!E:E,0)),"N/A")</f>
        <v>N/A</v>
      </c>
      <c r="B1315" s="4" t="s">
        <v>103</v>
      </c>
      <c r="C1315" s="4" t="s">
        <v>325</v>
      </c>
      <c r="D1315" s="94">
        <v>1713.0</v>
      </c>
    </row>
    <row r="1316">
      <c r="A1316" s="40">
        <f t="array" ref="A1316">IFNA(index(PlayerValues!A:A,match(IFNA(vlookup(B1316,'Special Names'!A:B,2,FALSE),B1316),PlayerValues!E:E,0)),"N/A")</f>
        <v>16432</v>
      </c>
      <c r="B1316" s="4" t="s">
        <v>620</v>
      </c>
      <c r="C1316" s="4" t="s">
        <v>278</v>
      </c>
      <c r="D1316" s="94">
        <v>1709.0</v>
      </c>
    </row>
    <row r="1317">
      <c r="A1317" s="40">
        <f t="array" ref="A1317">IFNA(index(PlayerValues!A:A,match(IFNA(vlookup(B1317,'Special Names'!A:B,2,FALSE),B1317),PlayerValues!E:E,0)),"N/A")</f>
        <v>16788</v>
      </c>
      <c r="B1317" s="4" t="s">
        <v>621</v>
      </c>
      <c r="C1317" s="4" t="s">
        <v>287</v>
      </c>
      <c r="D1317" s="94">
        <v>1707.0</v>
      </c>
    </row>
    <row r="1318">
      <c r="A1318" s="40">
        <f t="array" ref="A1318">IFNA(index(PlayerValues!A:A,match(IFNA(vlookup(B1318,'Special Names'!A:B,2,FALSE),B1318),PlayerValues!E:E,0)),"N/A")</f>
        <v>11222</v>
      </c>
      <c r="B1318" s="4" t="s">
        <v>622</v>
      </c>
      <c r="C1318" s="4" t="s">
        <v>287</v>
      </c>
      <c r="D1318" s="94">
        <v>1702.0</v>
      </c>
    </row>
    <row r="1319">
      <c r="A1319" s="40" t="str">
        <f t="array" ref="A1319">IFNA(index(PlayerValues!A:A,match(IFNA(vlookup(B1319,'Special Names'!A:B,2,FALSE),B1319),PlayerValues!E:E,0)),"N/A")</f>
        <v>N/A</v>
      </c>
      <c r="B1319" s="4" t="s">
        <v>90</v>
      </c>
      <c r="C1319" s="4" t="s">
        <v>325</v>
      </c>
      <c r="D1319" s="94">
        <v>1699.0</v>
      </c>
    </row>
    <row r="1320">
      <c r="A1320" s="40">
        <f t="array" ref="A1320">IFNA(index(PlayerValues!A:A,match(IFNA(vlookup(B1320,'Special Names'!A:B,2,FALSE),B1320),PlayerValues!E:E,0)),"N/A")</f>
        <v>16585</v>
      </c>
      <c r="B1320" s="4" t="s">
        <v>623</v>
      </c>
      <c r="C1320" s="4" t="s">
        <v>283</v>
      </c>
      <c r="D1320" s="94">
        <v>1689.0</v>
      </c>
    </row>
    <row r="1321">
      <c r="A1321" s="40">
        <f t="array" ref="A1321">IFNA(index(PlayerValues!A:A,match(IFNA(vlookup(B1321,'Special Names'!A:B,2,FALSE),B1321),PlayerValues!E:E,0)),"N/A")</f>
        <v>17049</v>
      </c>
      <c r="B1321" s="4" t="s">
        <v>624</v>
      </c>
      <c r="C1321" s="4" t="s">
        <v>278</v>
      </c>
      <c r="D1321" s="94">
        <v>1688.0</v>
      </c>
    </row>
    <row r="1322">
      <c r="A1322" s="40">
        <f t="array" ref="A1322">IFNA(index(PlayerValues!A:A,match(IFNA(vlookup(B1322,'Special Names'!A:B,2,FALSE),B1322),PlayerValues!E:E,0)),"N/A")</f>
        <v>13633</v>
      </c>
      <c r="B1322" s="4" t="s">
        <v>625</v>
      </c>
      <c r="C1322" s="4" t="s">
        <v>287</v>
      </c>
      <c r="D1322" s="94">
        <v>1686.0</v>
      </c>
    </row>
    <row r="1323">
      <c r="A1323" s="40">
        <f t="array" ref="A1323">IFNA(index(PlayerValues!A:A,match(IFNA(vlookup(B1323,'Special Names'!A:B,2,FALSE),B1323),PlayerValues!E:E,0)),"N/A")</f>
        <v>13189</v>
      </c>
      <c r="B1323" s="4" t="s">
        <v>626</v>
      </c>
      <c r="C1323" s="4" t="s">
        <v>298</v>
      </c>
      <c r="D1323" s="94">
        <v>2050.0</v>
      </c>
    </row>
    <row r="1324">
      <c r="A1324" s="40">
        <f t="array" ref="A1324">IFNA(index(PlayerValues!A:A,match(IFNA(vlookup(B1324,'Special Names'!A:B,2,FALSE),B1324),PlayerValues!E:E,0)),"N/A")</f>
        <v>15788</v>
      </c>
      <c r="B1324" s="4" t="s">
        <v>627</v>
      </c>
      <c r="C1324" s="4" t="s">
        <v>287</v>
      </c>
      <c r="D1324" s="94">
        <v>1663.0</v>
      </c>
    </row>
    <row r="1325">
      <c r="A1325" s="40">
        <f t="array" ref="A1325">IFNA(index(PlayerValues!A:A,match(IFNA(vlookup(B1325,'Special Names'!A:B,2,FALSE),B1325),PlayerValues!E:E,0)),"N/A")</f>
        <v>15755</v>
      </c>
      <c r="B1325" s="4" t="s">
        <v>628</v>
      </c>
      <c r="C1325" s="4" t="s">
        <v>287</v>
      </c>
      <c r="D1325" s="94">
        <v>1660.0</v>
      </c>
    </row>
    <row r="1326">
      <c r="A1326" s="40">
        <f t="array" ref="A1326">IFNA(index(PlayerValues!A:A,match(IFNA(vlookup(B1326,'Special Names'!A:B,2,FALSE),B1326),PlayerValues!E:E,0)),"N/A")</f>
        <v>16608</v>
      </c>
      <c r="B1326" s="4" t="s">
        <v>629</v>
      </c>
      <c r="C1326" s="4" t="s">
        <v>278</v>
      </c>
      <c r="D1326" s="94">
        <v>1643.0</v>
      </c>
    </row>
    <row r="1327">
      <c r="A1327" s="40">
        <f t="array" ref="A1327">IFNA(index(PlayerValues!A:A,match(IFNA(vlookup(B1327,'Special Names'!A:B,2,FALSE),B1327),PlayerValues!E:E,0)),"N/A")</f>
        <v>17685</v>
      </c>
      <c r="B1327" s="4" t="s">
        <v>630</v>
      </c>
      <c r="C1327" s="4" t="s">
        <v>278</v>
      </c>
      <c r="D1327" s="94">
        <v>1633.0</v>
      </c>
    </row>
    <row r="1328">
      <c r="A1328" s="40">
        <f t="array" ref="A1328">IFNA(index(PlayerValues!A:A,match(IFNA(vlookup(B1328,'Special Names'!A:B,2,FALSE),B1328),PlayerValues!E:E,0)),"N/A")</f>
        <v>17064</v>
      </c>
      <c r="B1328" s="4" t="s">
        <v>631</v>
      </c>
      <c r="C1328" s="4" t="s">
        <v>278</v>
      </c>
      <c r="D1328" s="94">
        <v>1622.0</v>
      </c>
    </row>
    <row r="1329">
      <c r="A1329" s="40">
        <f t="array" ref="A1329">IFNA(index(PlayerValues!A:A,match(IFNA(vlookup(B1329,'Special Names'!A:B,2,FALSE),B1329),PlayerValues!E:E,0)),"N/A")</f>
        <v>13164</v>
      </c>
      <c r="B1329" s="4" t="s">
        <v>632</v>
      </c>
      <c r="C1329" s="4" t="s">
        <v>287</v>
      </c>
      <c r="D1329" s="94">
        <v>1617.0</v>
      </c>
    </row>
    <row r="1330">
      <c r="A1330" s="40">
        <f t="array" ref="A1330">IFNA(index(PlayerValues!A:A,match(IFNA(vlookup(B1330,'Special Names'!A:B,2,FALSE),B1330),PlayerValues!E:E,0)),"N/A")</f>
        <v>15254</v>
      </c>
      <c r="B1330" s="4" t="s">
        <v>633</v>
      </c>
      <c r="C1330" s="4" t="s">
        <v>278</v>
      </c>
      <c r="D1330" s="94">
        <v>1613.0</v>
      </c>
    </row>
    <row r="1331">
      <c r="A1331" s="40" t="str">
        <f t="array" ref="A1331">IFNA(index(PlayerValues!A:A,match(IFNA(vlookup(B1331,'Special Names'!A:B,2,FALSE),B1331),PlayerValues!E:E,0)),"N/A")</f>
        <v>N/A</v>
      </c>
      <c r="B1331" s="4" t="s">
        <v>115</v>
      </c>
      <c r="C1331" s="4" t="s">
        <v>325</v>
      </c>
      <c r="D1331" s="94">
        <v>1613.0</v>
      </c>
    </row>
    <row r="1332">
      <c r="A1332" s="40">
        <f t="array" ref="A1332">IFNA(index(PlayerValues!A:A,match(IFNA(vlookup(B1332,'Special Names'!A:B,2,FALSE),B1332),PlayerValues!E:E,0)),"N/A")</f>
        <v>15738</v>
      </c>
      <c r="B1332" s="4" t="s">
        <v>634</v>
      </c>
      <c r="C1332" s="4" t="s">
        <v>278</v>
      </c>
      <c r="D1332" s="94">
        <v>1609.0</v>
      </c>
    </row>
    <row r="1333">
      <c r="A1333" s="40">
        <f t="array" ref="A1333">IFNA(index(PlayerValues!A:A,match(IFNA(vlookup(B1333,'Special Names'!A:B,2,FALSE),B1333),PlayerValues!E:E,0)),"N/A")</f>
        <v>14143</v>
      </c>
      <c r="B1333" s="4" t="s">
        <v>635</v>
      </c>
      <c r="C1333" s="4" t="s">
        <v>298</v>
      </c>
      <c r="D1333" s="94">
        <v>1980.0</v>
      </c>
    </row>
    <row r="1334">
      <c r="A1334" s="40">
        <f t="array" ref="A1334">IFNA(index(PlayerValues!A:A,match(IFNA(vlookup(B1334,'Special Names'!A:B,2,FALSE),B1334),PlayerValues!E:E,0)),"N/A")</f>
        <v>16207</v>
      </c>
      <c r="B1334" s="4" t="s">
        <v>636</v>
      </c>
      <c r="C1334" s="4" t="s">
        <v>287</v>
      </c>
      <c r="D1334" s="94">
        <v>1596.0</v>
      </c>
    </row>
    <row r="1335">
      <c r="A1335" s="40">
        <f t="array" ref="A1335">IFNA(index(PlayerValues!A:A,match(IFNA(vlookup(B1335,'Special Names'!A:B,2,FALSE),B1335),PlayerValues!E:E,0)),"N/A")</f>
        <v>16215</v>
      </c>
      <c r="B1335" s="4" t="s">
        <v>637</v>
      </c>
      <c r="C1335" s="4" t="s">
        <v>298</v>
      </c>
      <c r="D1335" s="94">
        <v>1969.0</v>
      </c>
    </row>
    <row r="1336">
      <c r="A1336" s="40">
        <f t="array" ref="A1336">IFNA(index(PlayerValues!A:A,match(IFNA(vlookup(B1336,'Special Names'!A:B,2,FALSE),B1336),PlayerValues!E:E,0)),"N/A")</f>
        <v>17096</v>
      </c>
      <c r="B1336" s="4" t="s">
        <v>638</v>
      </c>
      <c r="C1336" s="4" t="s">
        <v>287</v>
      </c>
      <c r="D1336" s="94">
        <v>1591.0</v>
      </c>
    </row>
    <row r="1337">
      <c r="A1337" s="40">
        <f t="array" ref="A1337">IFNA(index(PlayerValues!A:A,match(IFNA(vlookup(B1337,'Special Names'!A:B,2,FALSE),B1337),PlayerValues!E:E,0)),"N/A")</f>
        <v>14086</v>
      </c>
      <c r="B1337" s="4" t="s">
        <v>639</v>
      </c>
      <c r="C1337" s="4" t="s">
        <v>278</v>
      </c>
      <c r="D1337" s="94">
        <v>1557.0</v>
      </c>
    </row>
    <row r="1338">
      <c r="A1338" s="40">
        <f t="array" ref="A1338">IFNA(index(PlayerValues!A:A,match(IFNA(vlookup(B1338,'Special Names'!A:B,2,FALSE),B1338),PlayerValues!E:E,0)),"N/A")</f>
        <v>16644</v>
      </c>
      <c r="B1338" s="4" t="s">
        <v>640</v>
      </c>
      <c r="C1338" s="4" t="s">
        <v>298</v>
      </c>
      <c r="D1338" s="94">
        <v>1915.0</v>
      </c>
    </row>
    <row r="1339">
      <c r="A1339" s="40">
        <f t="array" ref="A1339">IFNA(index(PlayerValues!A:A,match(IFNA(vlookup(B1339,'Special Names'!A:B,2,FALSE),B1339),PlayerValues!E:E,0)),"N/A")</f>
        <v>17058</v>
      </c>
      <c r="B1339" s="4" t="s">
        <v>641</v>
      </c>
      <c r="C1339" s="4" t="s">
        <v>278</v>
      </c>
      <c r="D1339" s="94">
        <v>1525.0</v>
      </c>
    </row>
    <row r="1340">
      <c r="A1340" s="40" t="str">
        <f t="array" ref="A1340">IFNA(index(PlayerValues!A:A,match(IFNA(vlookup(B1340,'Special Names'!A:B,2,FALSE),B1340),PlayerValues!E:E,0)),"N/A")</f>
        <v>N/A</v>
      </c>
      <c r="B1340" s="4" t="s">
        <v>116</v>
      </c>
      <c r="C1340" s="4" t="s">
        <v>325</v>
      </c>
      <c r="D1340" s="94">
        <v>1523.0</v>
      </c>
    </row>
    <row r="1341">
      <c r="A1341" s="40">
        <f t="array" ref="A1341">IFNA(index(PlayerValues!A:A,match(IFNA(vlookup(B1341,'Special Names'!A:B,2,FALSE),B1341),PlayerValues!E:E,0)),"N/A")</f>
        <v>17657</v>
      </c>
      <c r="B1341" s="4" t="s">
        <v>642</v>
      </c>
      <c r="C1341" s="4" t="s">
        <v>283</v>
      </c>
      <c r="D1341" s="94">
        <v>1523.0</v>
      </c>
    </row>
    <row r="1342">
      <c r="A1342" s="40">
        <f t="array" ref="A1342">IFNA(index(PlayerValues!A:A,match(IFNA(vlookup(B1342,'Special Names'!A:B,2,FALSE),B1342),PlayerValues!E:E,0)),"N/A")</f>
        <v>17034</v>
      </c>
      <c r="B1342" s="4" t="s">
        <v>643</v>
      </c>
      <c r="C1342" s="4" t="s">
        <v>283</v>
      </c>
      <c r="D1342" s="94">
        <v>1520.0</v>
      </c>
    </row>
    <row r="1343">
      <c r="A1343" s="40">
        <f t="array" ref="A1343">IFNA(index(PlayerValues!A:A,match(IFNA(vlookup(B1343,'Special Names'!A:B,2,FALSE),B1343),PlayerValues!E:E,0)),"N/A")</f>
        <v>15319</v>
      </c>
      <c r="B1343" s="4" t="s">
        <v>644</v>
      </c>
      <c r="C1343" s="4" t="s">
        <v>287</v>
      </c>
      <c r="D1343" s="94">
        <v>1519.0</v>
      </c>
    </row>
    <row r="1344">
      <c r="A1344" s="40" t="str">
        <f t="array" ref="A1344">IFNA(index(PlayerValues!A:A,match(IFNA(vlookup(B1344,'Special Names'!A:B,2,FALSE),B1344),PlayerValues!E:E,0)),"N/A")</f>
        <v>N/A</v>
      </c>
      <c r="B1344" s="4" t="s">
        <v>91</v>
      </c>
      <c r="C1344" s="4" t="s">
        <v>325</v>
      </c>
      <c r="D1344" s="94">
        <v>1514.0</v>
      </c>
    </row>
    <row r="1345">
      <c r="A1345" s="40">
        <f t="array" ref="A1345">IFNA(index(PlayerValues!A:A,match(IFNA(vlookup(B1345,'Special Names'!A:B,2,FALSE),B1345),PlayerValues!E:E,0)),"N/A")</f>
        <v>16635</v>
      </c>
      <c r="B1345" s="4" t="s">
        <v>645</v>
      </c>
      <c r="C1345" s="4" t="s">
        <v>287</v>
      </c>
      <c r="D1345" s="94">
        <v>1503.0</v>
      </c>
    </row>
    <row r="1346">
      <c r="A1346" s="40">
        <f t="array" ref="A1346">IFNA(index(PlayerValues!A:A,match(IFNA(vlookup(B1346,'Special Names'!A:B,2,FALSE),B1346),PlayerValues!E:E,0)),"N/A")</f>
        <v>16387</v>
      </c>
      <c r="B1346" s="4" t="s">
        <v>646</v>
      </c>
      <c r="C1346" s="4" t="s">
        <v>278</v>
      </c>
      <c r="D1346" s="94">
        <v>1500.0</v>
      </c>
    </row>
    <row r="1347">
      <c r="A1347" s="40">
        <f t="array" ref="A1347">IFNA(index(PlayerValues!A:A,match(IFNA(vlookup(B1347,'Special Names'!A:B,2,FALSE),B1347),PlayerValues!E:E,0)),"N/A")</f>
        <v>15752</v>
      </c>
      <c r="B1347" s="4" t="s">
        <v>647</v>
      </c>
      <c r="C1347" s="4" t="s">
        <v>287</v>
      </c>
      <c r="D1347" s="94">
        <v>1489.0</v>
      </c>
    </row>
    <row r="1348">
      <c r="A1348" s="40">
        <f t="array" ref="A1348">IFNA(index(PlayerValues!A:A,match(IFNA(vlookup(B1348,'Special Names'!A:B,2,FALSE),B1348),PlayerValues!E:E,0)),"N/A")</f>
        <v>16601</v>
      </c>
      <c r="B1348" s="4" t="s">
        <v>648</v>
      </c>
      <c r="C1348" s="4" t="s">
        <v>278</v>
      </c>
      <c r="D1348" s="94">
        <v>1476.0</v>
      </c>
    </row>
    <row r="1349">
      <c r="A1349" s="40">
        <f t="array" ref="A1349">IFNA(index(PlayerValues!A:A,match(IFNA(vlookup(B1349,'Special Names'!A:B,2,FALSE),B1349),PlayerValues!E:E,0)),"N/A")</f>
        <v>17465</v>
      </c>
      <c r="B1349" s="4" t="s">
        <v>649</v>
      </c>
      <c r="C1349" s="4" t="s">
        <v>283</v>
      </c>
      <c r="D1349" s="94">
        <v>1473.0</v>
      </c>
    </row>
    <row r="1350">
      <c r="A1350" s="40">
        <f t="array" ref="A1350">IFNA(index(PlayerValues!A:A,match(IFNA(vlookup(B1350,'Special Names'!A:B,2,FALSE),B1350),PlayerValues!E:E,0)),"N/A")</f>
        <v>17035</v>
      </c>
      <c r="B1350" s="4" t="s">
        <v>650</v>
      </c>
      <c r="C1350" s="4" t="s">
        <v>283</v>
      </c>
      <c r="D1350" s="94">
        <v>1462.0</v>
      </c>
    </row>
    <row r="1351">
      <c r="A1351" s="40">
        <f t="array" ref="A1351">IFNA(index(PlayerValues!A:A,match(IFNA(vlookup(B1351,'Special Names'!A:B,2,FALSE),B1351),PlayerValues!E:E,0)),"N/A")</f>
        <v>16645</v>
      </c>
      <c r="B1351" s="4" t="s">
        <v>651</v>
      </c>
      <c r="C1351" s="4" t="s">
        <v>298</v>
      </c>
      <c r="D1351" s="94">
        <v>1833.0</v>
      </c>
    </row>
    <row r="1352">
      <c r="A1352" s="40">
        <f t="array" ref="A1352">IFNA(index(PlayerValues!A:A,match(IFNA(vlookup(B1352,'Special Names'!A:B,2,FALSE),B1352),PlayerValues!E:E,0)),"N/A")</f>
        <v>13146</v>
      </c>
      <c r="B1352" s="4" t="s">
        <v>652</v>
      </c>
      <c r="C1352" s="4" t="s">
        <v>278</v>
      </c>
      <c r="D1352" s="94">
        <v>1460.0</v>
      </c>
    </row>
    <row r="1353">
      <c r="A1353" s="40">
        <f t="array" ref="A1353">IFNA(index(PlayerValues!A:A,match(IFNA(vlookup(B1353,'Special Names'!A:B,2,FALSE),B1353),PlayerValues!E:E,0)),"N/A")</f>
        <v>17234</v>
      </c>
      <c r="B1353" s="4" t="s">
        <v>653</v>
      </c>
      <c r="C1353" s="4" t="s">
        <v>287</v>
      </c>
      <c r="D1353" s="94">
        <v>1450.0</v>
      </c>
    </row>
    <row r="1354">
      <c r="A1354" s="40">
        <f t="array" ref="A1354">IFNA(index(PlayerValues!A:A,match(IFNA(vlookup(B1354,'Special Names'!A:B,2,FALSE),B1354),PlayerValues!E:E,0)),"N/A")</f>
        <v>16175</v>
      </c>
      <c r="B1354" s="4" t="s">
        <v>654</v>
      </c>
      <c r="C1354" s="4" t="s">
        <v>278</v>
      </c>
      <c r="D1354" s="94">
        <v>1447.0</v>
      </c>
    </row>
    <row r="1355">
      <c r="A1355" s="40">
        <f t="array" ref="A1355">IFNA(index(PlayerValues!A:A,match(IFNA(vlookup(B1355,'Special Names'!A:B,2,FALSE),B1355),PlayerValues!E:E,0)),"N/A")</f>
        <v>15337</v>
      </c>
      <c r="B1355" s="4" t="s">
        <v>655</v>
      </c>
      <c r="C1355" s="4" t="s">
        <v>298</v>
      </c>
      <c r="D1355" s="94">
        <v>1800.0</v>
      </c>
    </row>
    <row r="1356">
      <c r="A1356" s="40">
        <f t="array" ref="A1356">IFNA(index(PlayerValues!A:A,match(IFNA(vlookup(B1356,'Special Names'!A:B,2,FALSE),B1356),PlayerValues!E:E,0)),"N/A")</f>
        <v>16633</v>
      </c>
      <c r="B1356" s="4" t="s">
        <v>656</v>
      </c>
      <c r="C1356" s="4" t="s">
        <v>287</v>
      </c>
      <c r="D1356" s="94">
        <v>1430.0</v>
      </c>
    </row>
    <row r="1357">
      <c r="A1357" s="40">
        <f t="array" ref="A1357">IFNA(index(PlayerValues!A:A,match(IFNA(vlookup(B1357,'Special Names'!A:B,2,FALSE),B1357),PlayerValues!E:E,0)),"N/A")</f>
        <v>15301</v>
      </c>
      <c r="B1357" s="4" t="s">
        <v>657</v>
      </c>
      <c r="C1357" s="4" t="s">
        <v>287</v>
      </c>
      <c r="D1357" s="94">
        <v>1412.0</v>
      </c>
    </row>
    <row r="1358">
      <c r="A1358" s="40">
        <f t="array" ref="A1358">IFNA(index(PlayerValues!A:A,match(IFNA(vlookup(B1358,'Special Names'!A:B,2,FALSE),B1358),PlayerValues!E:E,0)),"N/A")</f>
        <v>16586</v>
      </c>
      <c r="B1358" s="4" t="s">
        <v>658</v>
      </c>
      <c r="C1358" s="4" t="s">
        <v>283</v>
      </c>
      <c r="D1358" s="94">
        <v>1401.0</v>
      </c>
    </row>
    <row r="1359">
      <c r="A1359" s="40">
        <f t="array" ref="A1359">IFNA(index(PlayerValues!A:A,match(IFNA(vlookup(B1359,'Special Names'!A:B,2,FALSE),B1359),PlayerValues!E:E,0)),"N/A")</f>
        <v>17097</v>
      </c>
      <c r="B1359" s="4" t="s">
        <v>659</v>
      </c>
      <c r="C1359" s="4" t="s">
        <v>287</v>
      </c>
      <c r="D1359" s="94">
        <v>1401.0</v>
      </c>
    </row>
    <row r="1360">
      <c r="A1360" s="40">
        <f t="array" ref="A1360">IFNA(index(PlayerValues!A:A,match(IFNA(vlookup(B1360,'Special Names'!A:B,2,FALSE),B1360),PlayerValues!E:E,0)),"N/A")</f>
        <v>17743</v>
      </c>
      <c r="B1360" s="4" t="s">
        <v>660</v>
      </c>
      <c r="C1360" s="4" t="s">
        <v>283</v>
      </c>
      <c r="D1360" s="94">
        <v>1398.0</v>
      </c>
    </row>
    <row r="1361">
      <c r="A1361" s="40">
        <f t="array" ref="A1361">IFNA(index(PlayerValues!A:A,match(IFNA(vlookup(B1361,'Special Names'!A:B,2,FALSE),B1361),PlayerValues!E:E,0)),"N/A")</f>
        <v>17510</v>
      </c>
      <c r="B1361" s="4" t="s">
        <v>661</v>
      </c>
      <c r="C1361" s="4" t="s">
        <v>287</v>
      </c>
      <c r="D1361" s="94">
        <v>1395.0</v>
      </c>
    </row>
    <row r="1362">
      <c r="A1362" s="40">
        <f t="array" ref="A1362">IFNA(index(PlayerValues!A:A,match(IFNA(vlookup(B1362,'Special Names'!A:B,2,FALSE),B1362),PlayerValues!E:E,0)),"N/A")</f>
        <v>15759</v>
      </c>
      <c r="B1362" s="4" t="s">
        <v>662</v>
      </c>
      <c r="C1362" s="4" t="s">
        <v>287</v>
      </c>
      <c r="D1362" s="94">
        <v>1389.0</v>
      </c>
    </row>
    <row r="1363">
      <c r="A1363" s="40">
        <f t="array" ref="A1363">IFNA(index(PlayerValues!A:A,match(IFNA(vlookup(B1363,'Special Names'!A:B,2,FALSE),B1363),PlayerValues!E:E,0)),"N/A")</f>
        <v>14122</v>
      </c>
      <c r="B1363" s="4" t="s">
        <v>663</v>
      </c>
      <c r="C1363" s="4" t="s">
        <v>287</v>
      </c>
      <c r="D1363" s="94">
        <v>1384.0</v>
      </c>
    </row>
    <row r="1364">
      <c r="A1364" s="40">
        <f t="array" ref="A1364">IFNA(index(PlayerValues!A:A,match(IFNA(vlookup(B1364,'Special Names'!A:B,2,FALSE),B1364),PlayerValues!E:E,0)),"N/A")</f>
        <v>16595</v>
      </c>
      <c r="B1364" s="4" t="s">
        <v>664</v>
      </c>
      <c r="C1364" s="4" t="s">
        <v>278</v>
      </c>
      <c r="D1364" s="94">
        <v>1383.0</v>
      </c>
    </row>
    <row r="1365">
      <c r="A1365" s="40">
        <f t="array" ref="A1365">IFNA(index(PlayerValues!A:A,match(IFNA(vlookup(B1365,'Special Names'!A:B,2,FALSE),B1365),PlayerValues!E:E,0)),"N/A")</f>
        <v>17205</v>
      </c>
      <c r="B1365" s="4" t="s">
        <v>665</v>
      </c>
      <c r="C1365" s="4" t="s">
        <v>287</v>
      </c>
      <c r="D1365" s="94">
        <v>1380.0</v>
      </c>
    </row>
    <row r="1366">
      <c r="A1366" s="40" t="str">
        <f t="array" ref="A1366">IFNA(index(PlayerValues!A:A,match(IFNA(vlookup(B1366,'Special Names'!A:B,2,FALSE),B1366),PlayerValues!E:E,0)),"N/A")</f>
        <v>N/A</v>
      </c>
      <c r="B1366" s="4" t="s">
        <v>117</v>
      </c>
      <c r="C1366" s="4" t="s">
        <v>325</v>
      </c>
      <c r="D1366" s="94">
        <v>1376.0</v>
      </c>
    </row>
    <row r="1367">
      <c r="A1367" s="40">
        <f t="array" ref="A1367">IFNA(index(PlayerValues!A:A,match(IFNA(vlookup(B1367,'Special Names'!A:B,2,FALSE),B1367),PlayerValues!E:E,0)),"N/A")</f>
        <v>16191</v>
      </c>
      <c r="B1367" s="4" t="s">
        <v>666</v>
      </c>
      <c r="C1367" s="4" t="s">
        <v>287</v>
      </c>
      <c r="D1367" s="94">
        <v>1355.0</v>
      </c>
    </row>
    <row r="1368">
      <c r="A1368" s="40">
        <f t="array" ref="A1368">IFNA(index(PlayerValues!A:A,match(IFNA(vlookup(B1368,'Special Names'!A:B,2,FALSE),B1368),PlayerValues!E:E,0)),"N/A")</f>
        <v>13672</v>
      </c>
      <c r="B1368" s="4" t="s">
        <v>667</v>
      </c>
      <c r="C1368" s="4" t="s">
        <v>298</v>
      </c>
      <c r="D1368" s="94">
        <v>1709.0</v>
      </c>
    </row>
    <row r="1369">
      <c r="A1369" s="40">
        <f t="array" ref="A1369">IFNA(index(PlayerValues!A:A,match(IFNA(vlookup(B1369,'Special Names'!A:B,2,FALSE),B1369),PlayerValues!E:E,0)),"N/A")</f>
        <v>17353</v>
      </c>
      <c r="B1369" s="4" t="s">
        <v>668</v>
      </c>
      <c r="C1369" s="4" t="s">
        <v>287</v>
      </c>
      <c r="D1369" s="94">
        <v>1341.0</v>
      </c>
    </row>
    <row r="1370">
      <c r="A1370" s="40">
        <f t="array" ref="A1370">IFNA(index(PlayerValues!A:A,match(IFNA(vlookup(B1370,'Special Names'!A:B,2,FALSE),B1370),PlayerValues!E:E,0)),"N/A")</f>
        <v>15795</v>
      </c>
      <c r="B1370" s="4" t="s">
        <v>669</v>
      </c>
      <c r="C1370" s="4" t="s">
        <v>298</v>
      </c>
      <c r="D1370" s="94">
        <v>1698.0</v>
      </c>
    </row>
    <row r="1371">
      <c r="A1371" s="40">
        <f t="array" ref="A1371">IFNA(index(PlayerValues!A:A,match(IFNA(vlookup(B1371,'Special Names'!A:B,2,FALSE),B1371),PlayerValues!E:E,0)),"N/A")</f>
        <v>17054</v>
      </c>
      <c r="B1371" s="4" t="s">
        <v>670</v>
      </c>
      <c r="C1371" s="4" t="s">
        <v>278</v>
      </c>
      <c r="D1371" s="94">
        <v>1323.0</v>
      </c>
    </row>
    <row r="1372">
      <c r="A1372" s="40">
        <f t="array" ref="A1372">IFNA(index(PlayerValues!A:A,match(IFNA(vlookup(B1372,'Special Names'!A:B,2,FALSE),B1372),PlayerValues!E:E,0)),"N/A")</f>
        <v>17546</v>
      </c>
      <c r="B1372" s="4" t="s">
        <v>671</v>
      </c>
      <c r="C1372" s="4" t="s">
        <v>298</v>
      </c>
      <c r="D1372" s="94">
        <v>1669.0</v>
      </c>
    </row>
    <row r="1373">
      <c r="A1373" s="40">
        <f t="array" ref="A1373">IFNA(index(PlayerValues!A:A,match(IFNA(vlookup(B1373,'Special Names'!A:B,2,FALSE),B1373),PlayerValues!E:E,0)),"N/A")</f>
        <v>16621</v>
      </c>
      <c r="B1373" s="4" t="s">
        <v>672</v>
      </c>
      <c r="C1373" s="4" t="s">
        <v>287</v>
      </c>
      <c r="D1373" s="94">
        <v>1294.0</v>
      </c>
    </row>
    <row r="1374">
      <c r="A1374" s="40">
        <f t="array" ref="A1374">IFNA(index(PlayerValues!A:A,match(IFNA(vlookup(B1374,'Special Names'!A:B,2,FALSE),B1374),PlayerValues!E:E,0)),"N/A")</f>
        <v>14108</v>
      </c>
      <c r="B1374" s="4" t="s">
        <v>673</v>
      </c>
      <c r="C1374" s="4" t="s">
        <v>287</v>
      </c>
      <c r="D1374" s="94">
        <v>1289.0</v>
      </c>
    </row>
    <row r="1375">
      <c r="A1375" s="40">
        <f t="array" ref="A1375">IFNA(index(PlayerValues!A:A,match(IFNA(vlookup(B1375,'Special Names'!A:B,2,FALSE),B1375),PlayerValues!E:E,0)),"N/A")</f>
        <v>17593</v>
      </c>
      <c r="B1375" s="4" t="s">
        <v>674</v>
      </c>
      <c r="C1375" s="4" t="s">
        <v>298</v>
      </c>
      <c r="D1375" s="94">
        <v>1654.0</v>
      </c>
    </row>
    <row r="1376">
      <c r="A1376" s="40">
        <f t="array" ref="A1376">IFNA(index(PlayerValues!A:A,match(IFNA(vlookup(B1376,'Special Names'!A:B,2,FALSE),B1376),PlayerValues!E:E,0)),"N/A")</f>
        <v>14105</v>
      </c>
      <c r="B1376" s="4" t="s">
        <v>675</v>
      </c>
      <c r="C1376" s="4" t="s">
        <v>287</v>
      </c>
      <c r="D1376" s="94">
        <v>1283.0</v>
      </c>
    </row>
    <row r="1377">
      <c r="A1377" s="40">
        <f t="array" ref="A1377">IFNA(index(PlayerValues!A:A,match(IFNA(vlookup(B1377,'Special Names'!A:B,2,FALSE),B1377),PlayerValues!E:E,0)),"N/A")</f>
        <v>14137</v>
      </c>
      <c r="B1377" s="4" t="s">
        <v>676</v>
      </c>
      <c r="C1377" s="4" t="s">
        <v>298</v>
      </c>
      <c r="D1377" s="94">
        <v>1639.0</v>
      </c>
    </row>
    <row r="1378">
      <c r="A1378" s="40">
        <f t="array" ref="A1378">IFNA(index(PlayerValues!A:A,match(IFNA(vlookup(B1378,'Special Names'!A:B,2,FALSE),B1378),PlayerValues!E:E,0)),"N/A")</f>
        <v>17192</v>
      </c>
      <c r="B1378" s="4" t="s">
        <v>677</v>
      </c>
      <c r="C1378" s="4" t="s">
        <v>287</v>
      </c>
      <c r="D1378" s="94">
        <v>1273.0</v>
      </c>
    </row>
    <row r="1379">
      <c r="A1379" s="40">
        <f t="array" ref="A1379">IFNA(index(PlayerValues!A:A,match(IFNA(vlookup(B1379,'Special Names'!A:B,2,FALSE),B1379),PlayerValues!E:E,0)),"N/A")</f>
        <v>16183</v>
      </c>
      <c r="B1379" s="4" t="s">
        <v>678</v>
      </c>
      <c r="C1379" s="4" t="s">
        <v>287</v>
      </c>
      <c r="D1379" s="94">
        <v>1268.0</v>
      </c>
    </row>
    <row r="1380">
      <c r="A1380" s="40">
        <f t="array" ref="A1380">IFNA(index(PlayerValues!A:A,match(IFNA(vlookup(B1380,'Special Names'!A:B,2,FALSE),B1380),PlayerValues!E:E,0)),"N/A")</f>
        <v>17254</v>
      </c>
      <c r="B1380" s="4" t="s">
        <v>679</v>
      </c>
      <c r="C1380" s="4" t="s">
        <v>287</v>
      </c>
      <c r="D1380" s="94">
        <v>1268.0</v>
      </c>
    </row>
    <row r="1381">
      <c r="A1381" s="40">
        <f t="array" ref="A1381">IFNA(index(PlayerValues!A:A,match(IFNA(vlookup(B1381,'Special Names'!A:B,2,FALSE),B1381),PlayerValues!E:E,0)),"N/A")</f>
        <v>14095</v>
      </c>
      <c r="B1381" s="4" t="s">
        <v>680</v>
      </c>
      <c r="C1381" s="4" t="s">
        <v>278</v>
      </c>
      <c r="D1381" s="94">
        <v>1267.0</v>
      </c>
    </row>
    <row r="1382">
      <c r="A1382" s="40">
        <f t="array" ref="A1382">IFNA(index(PlayerValues!A:A,match(IFNA(vlookup(B1382,'Special Names'!A:B,2,FALSE),B1382),PlayerValues!E:E,0)),"N/A")</f>
        <v>15873</v>
      </c>
      <c r="B1382" s="4" t="s">
        <v>681</v>
      </c>
      <c r="C1382" s="4" t="s">
        <v>298</v>
      </c>
      <c r="D1382" s="94">
        <v>1635.0</v>
      </c>
    </row>
    <row r="1383">
      <c r="A1383" s="40">
        <f t="array" ref="A1383">IFNA(index(PlayerValues!A:A,match(IFNA(vlookup(B1383,'Special Names'!A:B,2,FALSE),B1383),PlayerValues!E:E,0)),"N/A")</f>
        <v>15292</v>
      </c>
      <c r="B1383" s="4" t="s">
        <v>682</v>
      </c>
      <c r="C1383" s="4" t="s">
        <v>287</v>
      </c>
      <c r="D1383" s="94">
        <v>1261.0</v>
      </c>
    </row>
    <row r="1384">
      <c r="A1384" s="40">
        <f t="array" ref="A1384">IFNA(index(PlayerValues!A:A,match(IFNA(vlookup(B1384,'Special Names'!A:B,2,FALSE),B1384),PlayerValues!E:E,0)),"N/A")</f>
        <v>16883</v>
      </c>
      <c r="B1384" s="4" t="s">
        <v>683</v>
      </c>
      <c r="C1384" s="4" t="s">
        <v>287</v>
      </c>
      <c r="D1384" s="94">
        <v>1259.0</v>
      </c>
    </row>
    <row r="1385">
      <c r="A1385" s="40">
        <f t="array" ref="A1385">IFNA(index(PlayerValues!A:A,match(IFNA(vlookup(B1385,'Special Names'!A:B,2,FALSE),B1385),PlayerValues!E:E,0)),"N/A")</f>
        <v>17627</v>
      </c>
      <c r="B1385" s="4" t="s">
        <v>684</v>
      </c>
      <c r="C1385" s="4" t="s">
        <v>298</v>
      </c>
      <c r="D1385" s="94">
        <v>1618.0</v>
      </c>
    </row>
    <row r="1386">
      <c r="A1386" s="40">
        <f t="array" ref="A1386">IFNA(index(PlayerValues!A:A,match(IFNA(vlookup(B1386,'Special Names'!A:B,2,FALSE),B1386),PlayerValues!E:E,0)),"N/A")</f>
        <v>17542</v>
      </c>
      <c r="B1386" s="4" t="s">
        <v>685</v>
      </c>
      <c r="C1386" s="4" t="s">
        <v>287</v>
      </c>
      <c r="D1386" s="94">
        <v>1247.0</v>
      </c>
    </row>
    <row r="1387">
      <c r="A1387" s="40">
        <f t="array" ref="A1387">IFNA(index(PlayerValues!A:A,match(IFNA(vlookup(B1387,'Special Names'!A:B,2,FALSE),B1387),PlayerValues!E:E,0)),"N/A")</f>
        <v>17063</v>
      </c>
      <c r="B1387" s="4" t="s">
        <v>686</v>
      </c>
      <c r="C1387" s="4" t="s">
        <v>278</v>
      </c>
      <c r="D1387" s="94">
        <v>1245.0</v>
      </c>
    </row>
    <row r="1388">
      <c r="A1388" s="40">
        <f t="array" ref="A1388">IFNA(index(PlayerValues!A:A,match(IFNA(vlookup(B1388,'Special Names'!A:B,2,FALSE),B1388),PlayerValues!E:E,0)),"N/A")</f>
        <v>16199</v>
      </c>
      <c r="B1388" s="4" t="s">
        <v>687</v>
      </c>
      <c r="C1388" s="4" t="s">
        <v>287</v>
      </c>
      <c r="D1388" s="94">
        <v>1245.0</v>
      </c>
    </row>
    <row r="1389">
      <c r="A1389" s="40">
        <f t="array" ref="A1389">IFNA(index(PlayerValues!A:A,match(IFNA(vlookup(B1389,'Special Names'!A:B,2,FALSE),B1389),PlayerValues!E:E,0)),"N/A")</f>
        <v>16688</v>
      </c>
      <c r="B1389" s="4" t="s">
        <v>688</v>
      </c>
      <c r="C1389" s="4" t="s">
        <v>278</v>
      </c>
      <c r="D1389" s="94">
        <v>1241.0</v>
      </c>
    </row>
    <row r="1390">
      <c r="A1390" s="40">
        <f t="array" ref="A1390">IFNA(index(PlayerValues!A:A,match(IFNA(vlookup(B1390,'Special Names'!A:B,2,FALSE),B1390),PlayerValues!E:E,0)),"N/A")</f>
        <v>16390</v>
      </c>
      <c r="B1390" s="4" t="s">
        <v>689</v>
      </c>
      <c r="C1390" s="4" t="s">
        <v>278</v>
      </c>
      <c r="D1390" s="94">
        <v>1239.0</v>
      </c>
    </row>
    <row r="1391">
      <c r="A1391" s="40">
        <f t="array" ref="A1391">IFNA(index(PlayerValues!A:A,match(IFNA(vlookup(B1391,'Special Names'!A:B,2,FALSE),B1391),PlayerValues!E:E,0)),"N/A")</f>
        <v>16385</v>
      </c>
      <c r="B1391" s="4" t="s">
        <v>690</v>
      </c>
      <c r="C1391" s="4" t="s">
        <v>278</v>
      </c>
      <c r="D1391" s="94">
        <v>1233.0</v>
      </c>
    </row>
    <row r="1392">
      <c r="A1392" s="40">
        <f t="array" ref="A1392">IFNA(index(PlayerValues!A:A,match(IFNA(vlookup(B1392,'Special Names'!A:B,2,FALSE),B1392),PlayerValues!E:E,0)),"N/A")</f>
        <v>16642</v>
      </c>
      <c r="B1392" s="4" t="s">
        <v>691</v>
      </c>
      <c r="C1392" s="4" t="s">
        <v>298</v>
      </c>
      <c r="D1392" s="94">
        <v>1597.0</v>
      </c>
    </row>
    <row r="1393">
      <c r="A1393" s="40">
        <f t="array" ref="A1393">IFNA(index(PlayerValues!A:A,match(IFNA(vlookup(B1393,'Special Names'!A:B,2,FALSE),B1393),PlayerValues!E:E,0)),"N/A")</f>
        <v>17487</v>
      </c>
      <c r="B1393" s="4" t="s">
        <v>692</v>
      </c>
      <c r="C1393" s="4" t="s">
        <v>278</v>
      </c>
      <c r="D1393" s="94">
        <v>1220.0</v>
      </c>
    </row>
    <row r="1394">
      <c r="A1394" s="40">
        <f t="array" ref="A1394">IFNA(index(PlayerValues!A:A,match(IFNA(vlookup(B1394,'Special Names'!A:B,2,FALSE),B1394),PlayerValues!E:E,0)),"N/A")</f>
        <v>17504</v>
      </c>
      <c r="B1394" s="4" t="s">
        <v>693</v>
      </c>
      <c r="C1394" s="4" t="s">
        <v>287</v>
      </c>
      <c r="D1394" s="94">
        <v>1218.0</v>
      </c>
    </row>
    <row r="1395">
      <c r="A1395" s="40">
        <f t="array" ref="A1395">IFNA(index(PlayerValues!A:A,match(IFNA(vlookup(B1395,'Special Names'!A:B,2,FALSE),B1395),PlayerValues!E:E,0)),"N/A")</f>
        <v>15777</v>
      </c>
      <c r="B1395" s="4" t="s">
        <v>694</v>
      </c>
      <c r="C1395" s="4" t="s">
        <v>287</v>
      </c>
      <c r="D1395" s="94">
        <v>1216.0</v>
      </c>
    </row>
    <row r="1396">
      <c r="A1396" s="40">
        <f t="array" ref="A1396">IFNA(index(PlayerValues!A:A,match(IFNA(vlookup(B1396,'Special Names'!A:B,2,FALSE),B1396),PlayerValues!E:E,0)),"N/A")</f>
        <v>17486</v>
      </c>
      <c r="B1396" s="4" t="s">
        <v>695</v>
      </c>
      <c r="C1396" s="4" t="s">
        <v>278</v>
      </c>
      <c r="D1396" s="94">
        <v>1213.0</v>
      </c>
    </row>
    <row r="1397">
      <c r="A1397" s="40">
        <f t="array" ref="A1397">IFNA(index(PlayerValues!A:A,match(IFNA(vlookup(B1397,'Special Names'!A:B,2,FALSE),B1397),PlayerValues!E:E,0)),"N/A")</f>
        <v>16384</v>
      </c>
      <c r="B1397" s="4" t="s">
        <v>696</v>
      </c>
      <c r="C1397" s="4" t="s">
        <v>283</v>
      </c>
      <c r="D1397" s="94">
        <v>1210.0</v>
      </c>
    </row>
    <row r="1398">
      <c r="A1398" s="40">
        <f t="array" ref="A1398">IFNA(index(PlayerValues!A:A,match(IFNA(vlookup(B1398,'Special Names'!A:B,2,FALSE),B1398),PlayerValues!E:E,0)),"N/A")</f>
        <v>12263</v>
      </c>
      <c r="B1398" s="4" t="s">
        <v>697</v>
      </c>
      <c r="C1398" s="4" t="s">
        <v>298</v>
      </c>
      <c r="D1398" s="94">
        <v>1577.0</v>
      </c>
    </row>
    <row r="1399">
      <c r="A1399" s="40">
        <f t="array" ref="A1399">IFNA(index(PlayerValues!A:A,match(IFNA(vlookup(B1399,'Special Names'!A:B,2,FALSE),B1399),PlayerValues!E:E,0)),"N/A")</f>
        <v>15332</v>
      </c>
      <c r="B1399" s="4" t="s">
        <v>698</v>
      </c>
      <c r="C1399" s="4" t="s">
        <v>298</v>
      </c>
      <c r="D1399" s="94">
        <v>1575.0</v>
      </c>
    </row>
    <row r="1400">
      <c r="A1400" s="40">
        <f t="array" ref="A1400">IFNA(index(PlayerValues!A:A,match(IFNA(vlookup(B1400,'Special Names'!A:B,2,FALSE),B1400),PlayerValues!E:E,0)),"N/A")</f>
        <v>16636</v>
      </c>
      <c r="B1400" s="4" t="s">
        <v>699</v>
      </c>
      <c r="C1400" s="4" t="s">
        <v>287</v>
      </c>
      <c r="D1400" s="94">
        <v>1205.0</v>
      </c>
    </row>
    <row r="1401">
      <c r="A1401" s="40">
        <f t="array" ref="A1401">IFNA(index(PlayerValues!A:A,match(IFNA(vlookup(B1401,'Special Names'!A:B,2,FALSE),B1401),PlayerValues!E:E,0)),"N/A")</f>
        <v>15288</v>
      </c>
      <c r="B1401" s="4" t="s">
        <v>700</v>
      </c>
      <c r="C1401" s="4" t="s">
        <v>287</v>
      </c>
      <c r="D1401" s="94">
        <v>1197.0</v>
      </c>
    </row>
    <row r="1402">
      <c r="A1402" s="40">
        <f t="array" ref="A1402">IFNA(index(PlayerValues!A:A,match(IFNA(vlookup(B1402,'Special Names'!A:B,2,FALSE),B1402),PlayerValues!E:E,0)),"N/A")</f>
        <v>17062</v>
      </c>
      <c r="B1402" s="4" t="s">
        <v>701</v>
      </c>
      <c r="C1402" s="4" t="s">
        <v>278</v>
      </c>
      <c r="D1402" s="94">
        <v>1188.0</v>
      </c>
    </row>
    <row r="1403">
      <c r="A1403" s="40">
        <f t="array" ref="A1403">IFNA(index(PlayerValues!A:A,match(IFNA(vlookup(B1403,'Special Names'!A:B,2,FALSE),B1403),PlayerValues!E:E,0)),"N/A")</f>
        <v>12140</v>
      </c>
      <c r="B1403" s="4" t="s">
        <v>702</v>
      </c>
      <c r="C1403" s="4" t="s">
        <v>283</v>
      </c>
      <c r="D1403" s="94">
        <v>1182.0</v>
      </c>
    </row>
    <row r="1404">
      <c r="A1404" s="40">
        <f t="array" ref="A1404">IFNA(index(PlayerValues!A:A,match(IFNA(vlookup(B1404,'Special Names'!A:B,2,FALSE),B1404),PlayerValues!E:E,0)),"N/A")</f>
        <v>12678</v>
      </c>
      <c r="B1404" s="4" t="s">
        <v>703</v>
      </c>
      <c r="C1404" s="4" t="s">
        <v>298</v>
      </c>
      <c r="D1404" s="94">
        <v>1550.0</v>
      </c>
    </row>
    <row r="1405">
      <c r="A1405" s="40">
        <f t="array" ref="A1405">IFNA(index(PlayerValues!A:A,match(IFNA(vlookup(B1405,'Special Names'!A:B,2,FALSE),B1405),PlayerValues!E:E,0)),"N/A")</f>
        <v>16792</v>
      </c>
      <c r="B1405" s="4" t="s">
        <v>704</v>
      </c>
      <c r="C1405" s="4" t="s">
        <v>287</v>
      </c>
      <c r="D1405" s="94">
        <v>1167.0</v>
      </c>
    </row>
    <row r="1406">
      <c r="A1406" s="40">
        <f t="array" ref="A1406">IFNA(index(PlayerValues!A:A,match(IFNA(vlookup(B1406,'Special Names'!A:B,2,FALSE),B1406),PlayerValues!E:E,0)),"N/A")</f>
        <v>14592</v>
      </c>
      <c r="B1406" s="4" t="s">
        <v>705</v>
      </c>
      <c r="C1406" s="4" t="s">
        <v>287</v>
      </c>
      <c r="D1406" s="94">
        <v>1160.0</v>
      </c>
    </row>
    <row r="1407">
      <c r="A1407" s="40">
        <f t="array" ref="A1407">IFNA(index(PlayerValues!A:A,match(IFNA(vlookup(B1407,'Special Names'!A:B,2,FALSE),B1407),PlayerValues!E:E,0)),"N/A")</f>
        <v>13418</v>
      </c>
      <c r="B1407" s="4" t="s">
        <v>706</v>
      </c>
      <c r="C1407" s="4" t="s">
        <v>287</v>
      </c>
      <c r="D1407" s="94">
        <v>1154.0</v>
      </c>
    </row>
    <row r="1408">
      <c r="A1408" s="40">
        <f t="array" ref="A1408">IFNA(index(PlayerValues!A:A,match(IFNA(vlookup(B1408,'Special Names'!A:B,2,FALSE),B1408),PlayerValues!E:E,0)),"N/A")</f>
        <v>17109</v>
      </c>
      <c r="B1408" s="4" t="s">
        <v>707</v>
      </c>
      <c r="C1408" s="4" t="s">
        <v>298</v>
      </c>
      <c r="D1408" s="94">
        <v>1517.0</v>
      </c>
    </row>
    <row r="1409">
      <c r="A1409" s="40">
        <f t="array" ref="A1409">IFNA(index(PlayerValues!A:A,match(IFNA(vlookup(B1409,'Special Names'!A:B,2,FALSE),B1409),PlayerValues!E:E,0)),"N/A")</f>
        <v>17057</v>
      </c>
      <c r="B1409" s="4" t="s">
        <v>708</v>
      </c>
      <c r="C1409" s="4" t="s">
        <v>278</v>
      </c>
      <c r="D1409" s="94">
        <v>1144.0</v>
      </c>
    </row>
    <row r="1410">
      <c r="A1410" s="40">
        <f t="array" ref="A1410">IFNA(index(PlayerValues!A:A,match(IFNA(vlookup(B1410,'Special Names'!A:B,2,FALSE),B1410),PlayerValues!E:E,0)),"N/A")</f>
        <v>16746</v>
      </c>
      <c r="B1410" s="4" t="s">
        <v>709</v>
      </c>
      <c r="C1410" s="4" t="s">
        <v>278</v>
      </c>
      <c r="D1410" s="94">
        <v>1140.0</v>
      </c>
    </row>
    <row r="1411">
      <c r="A1411" s="40">
        <f t="array" ref="A1411">IFNA(index(PlayerValues!A:A,match(IFNA(vlookup(B1411,'Special Names'!A:B,2,FALSE),B1411),PlayerValues!E:E,0)),"N/A")</f>
        <v>17644</v>
      </c>
      <c r="B1411" s="4" t="s">
        <v>710</v>
      </c>
      <c r="C1411" s="4" t="s">
        <v>298</v>
      </c>
      <c r="D1411" s="94">
        <v>1501.0</v>
      </c>
    </row>
    <row r="1412">
      <c r="A1412" s="40">
        <f t="array" ref="A1412">IFNA(index(PlayerValues!A:A,match(IFNA(vlookup(B1412,'Special Names'!A:B,2,FALSE),B1412),PlayerValues!E:E,0)),"N/A")</f>
        <v>16333</v>
      </c>
      <c r="B1412" s="4" t="s">
        <v>711</v>
      </c>
      <c r="C1412" s="4" t="s">
        <v>298</v>
      </c>
      <c r="D1412" s="94">
        <v>1498.0</v>
      </c>
    </row>
    <row r="1413">
      <c r="A1413" s="40">
        <f t="array" ref="A1413">IFNA(index(PlayerValues!A:A,match(IFNA(vlookup(B1413,'Special Names'!A:B,2,FALSE),B1413),PlayerValues!E:E,0)),"N/A")</f>
        <v>16640</v>
      </c>
      <c r="B1413" s="4" t="s">
        <v>712</v>
      </c>
      <c r="C1413" s="4" t="s">
        <v>287</v>
      </c>
      <c r="D1413" s="94">
        <v>1127.0</v>
      </c>
    </row>
    <row r="1414">
      <c r="A1414" s="40">
        <f t="array" ref="A1414">IFNA(index(PlayerValues!A:A,match(IFNA(vlookup(B1414,'Special Names'!A:B,2,FALSE),B1414),PlayerValues!E:E,0)),"N/A")</f>
        <v>17050</v>
      </c>
      <c r="B1414" s="4" t="s">
        <v>713</v>
      </c>
      <c r="C1414" s="4" t="s">
        <v>278</v>
      </c>
      <c r="D1414" s="94">
        <v>1120.0</v>
      </c>
    </row>
    <row r="1415">
      <c r="A1415" s="40">
        <f t="array" ref="A1415">IFNA(index(PlayerValues!A:A,match(IFNA(vlookup(B1415,'Special Names'!A:B,2,FALSE),B1415),PlayerValues!E:E,0)),"N/A")</f>
        <v>17077</v>
      </c>
      <c r="B1415" s="4" t="s">
        <v>714</v>
      </c>
      <c r="C1415" s="4" t="s">
        <v>287</v>
      </c>
      <c r="D1415" s="94">
        <v>1117.0</v>
      </c>
    </row>
    <row r="1416">
      <c r="A1416" s="40">
        <f t="array" ref="A1416">IFNA(index(PlayerValues!A:A,match(IFNA(vlookup(B1416,'Special Names'!A:B,2,FALSE),B1416),PlayerValues!E:E,0)),"N/A")</f>
        <v>15252</v>
      </c>
      <c r="B1416" s="4" t="s">
        <v>715</v>
      </c>
      <c r="C1416" s="4" t="s">
        <v>283</v>
      </c>
      <c r="D1416" s="94">
        <v>1115.0</v>
      </c>
    </row>
    <row r="1417">
      <c r="A1417" s="40">
        <f t="array" ref="A1417">IFNA(index(PlayerValues!A:A,match(IFNA(vlookup(B1417,'Special Names'!A:B,2,FALSE),B1417),PlayerValues!E:E,0)),"N/A")</f>
        <v>14080</v>
      </c>
      <c r="B1417" s="4" t="s">
        <v>716</v>
      </c>
      <c r="C1417" s="4" t="s">
        <v>278</v>
      </c>
      <c r="D1417" s="94">
        <v>1110.0</v>
      </c>
    </row>
    <row r="1418">
      <c r="A1418" s="40">
        <f t="array" ref="A1418">IFNA(index(PlayerValues!A:A,match(IFNA(vlookup(B1418,'Special Names'!A:B,2,FALSE),B1418),PlayerValues!E:E,0)),"N/A")</f>
        <v>14845</v>
      </c>
      <c r="B1418" s="4" t="s">
        <v>717</v>
      </c>
      <c r="C1418" s="4" t="s">
        <v>287</v>
      </c>
      <c r="D1418" s="94">
        <v>1101.0</v>
      </c>
    </row>
    <row r="1419">
      <c r="A1419" s="40">
        <f t="array" ref="A1419">IFNA(index(PlayerValues!A:A,match(IFNA(vlookup(B1419,'Special Names'!A:B,2,FALSE),B1419),PlayerValues!E:E,0)),"N/A")</f>
        <v>17269</v>
      </c>
      <c r="B1419" s="4" t="s">
        <v>718</v>
      </c>
      <c r="C1419" s="4" t="s">
        <v>287</v>
      </c>
      <c r="D1419" s="94">
        <v>1093.0</v>
      </c>
    </row>
    <row r="1420">
      <c r="A1420" s="40">
        <f t="array" ref="A1420">IFNA(index(PlayerValues!A:A,match(IFNA(vlookup(B1420,'Special Names'!A:B,2,FALSE),B1420),PlayerValues!E:E,0)),"N/A")</f>
        <v>17545</v>
      </c>
      <c r="B1420" s="4" t="s">
        <v>719</v>
      </c>
      <c r="C1420" s="4" t="s">
        <v>298</v>
      </c>
      <c r="D1420" s="94">
        <v>1462.0</v>
      </c>
    </row>
    <row r="1421">
      <c r="A1421" s="40">
        <f t="array" ref="A1421">IFNA(index(PlayerValues!A:A,match(IFNA(vlookup(B1421,'Special Names'!A:B,2,FALSE),B1421),PlayerValues!E:E,0)),"N/A")</f>
        <v>17549</v>
      </c>
      <c r="B1421" s="4" t="s">
        <v>720</v>
      </c>
      <c r="C1421" s="4" t="s">
        <v>298</v>
      </c>
      <c r="D1421" s="94">
        <v>1455.0</v>
      </c>
    </row>
    <row r="1422">
      <c r="A1422" s="40">
        <f t="array" ref="A1422">IFNA(index(PlayerValues!A:A,match(IFNA(vlookup(B1422,'Special Names'!A:B,2,FALSE),B1422),PlayerValues!E:E,0)),"N/A")</f>
        <v>14789</v>
      </c>
      <c r="B1422" s="4" t="s">
        <v>721</v>
      </c>
      <c r="C1422" s="4" t="s">
        <v>283</v>
      </c>
      <c r="D1422" s="94">
        <v>1079.0</v>
      </c>
    </row>
    <row r="1423">
      <c r="A1423" s="40">
        <f t="array" ref="A1423">IFNA(index(PlayerValues!A:A,match(IFNA(vlookup(B1423,'Special Names'!A:B,2,FALSE),B1423),PlayerValues!E:E,0)),"N/A")</f>
        <v>12801</v>
      </c>
      <c r="B1423" s="4" t="s">
        <v>722</v>
      </c>
      <c r="C1423" s="4" t="s">
        <v>287</v>
      </c>
      <c r="D1423" s="94">
        <v>1072.0</v>
      </c>
    </row>
    <row r="1424">
      <c r="A1424" s="40">
        <f t="array" ref="A1424">IFNA(index(PlayerValues!A:A,match(IFNA(vlookup(B1424,'Special Names'!A:B,2,FALSE),B1424),PlayerValues!E:E,0)),"N/A")</f>
        <v>15702</v>
      </c>
      <c r="B1424" s="4" t="s">
        <v>723</v>
      </c>
      <c r="C1424" s="4" t="s">
        <v>283</v>
      </c>
      <c r="D1424" s="94">
        <v>1072.0</v>
      </c>
    </row>
    <row r="1425">
      <c r="A1425" s="40">
        <f t="array" ref="A1425">IFNA(index(PlayerValues!A:A,match(IFNA(vlookup(B1425,'Special Names'!A:B,2,FALSE),B1425),PlayerValues!E:E,0)),"N/A")</f>
        <v>15758</v>
      </c>
      <c r="B1425" s="4" t="s">
        <v>724</v>
      </c>
      <c r="C1425" s="4" t="s">
        <v>287</v>
      </c>
      <c r="D1425" s="94">
        <v>1071.0</v>
      </c>
    </row>
    <row r="1426">
      <c r="A1426" s="40">
        <f t="array" ref="A1426">IFNA(index(PlayerValues!A:A,match(IFNA(vlookup(B1426,'Special Names'!A:B,2,FALSE),B1426),PlayerValues!E:E,0)),"N/A")</f>
        <v>16221</v>
      </c>
      <c r="B1426" s="4" t="s">
        <v>725</v>
      </c>
      <c r="C1426" s="4" t="s">
        <v>298</v>
      </c>
      <c r="D1426" s="94">
        <v>1412.0</v>
      </c>
    </row>
    <row r="1427">
      <c r="A1427" s="40">
        <f t="array" ref="A1427">IFNA(index(PlayerValues!A:A,match(IFNA(vlookup(B1427,'Special Names'!A:B,2,FALSE),B1427),PlayerValues!E:E,0)),"N/A")</f>
        <v>16197</v>
      </c>
      <c r="B1427" s="4" t="s">
        <v>726</v>
      </c>
      <c r="C1427" s="4" t="s">
        <v>287</v>
      </c>
      <c r="D1427" s="94">
        <v>1038.0</v>
      </c>
    </row>
    <row r="1428">
      <c r="A1428" s="40">
        <f t="array" ref="A1428">IFNA(index(PlayerValues!A:A,match(IFNA(vlookup(B1428,'Special Names'!A:B,2,FALSE),B1428),PlayerValues!E:E,0)),"N/A")</f>
        <v>17037</v>
      </c>
      <c r="B1428" s="4" t="s">
        <v>727</v>
      </c>
      <c r="C1428" s="4" t="s">
        <v>283</v>
      </c>
      <c r="D1428" s="94">
        <v>1033.0</v>
      </c>
    </row>
    <row r="1429">
      <c r="A1429" s="40">
        <f t="array" ref="A1429">IFNA(index(PlayerValues!A:A,match(IFNA(vlookup(B1429,'Special Names'!A:B,2,FALSE),B1429),PlayerValues!E:E,0)),"N/A")</f>
        <v>15109</v>
      </c>
      <c r="B1429" s="4" t="s">
        <v>728</v>
      </c>
      <c r="C1429" s="4" t="s">
        <v>287</v>
      </c>
      <c r="D1429" s="94">
        <v>1023.0</v>
      </c>
    </row>
    <row r="1430">
      <c r="A1430" s="40">
        <f t="array" ref="A1430">IFNA(index(PlayerValues!A:A,match(IFNA(vlookup(B1430,'Special Names'!A:B,2,FALSE),B1430),PlayerValues!E:E,0)),"N/A")</f>
        <v>15981</v>
      </c>
      <c r="B1430" s="4" t="s">
        <v>729</v>
      </c>
      <c r="C1430" s="4" t="s">
        <v>287</v>
      </c>
      <c r="D1430" s="94">
        <v>1015.0</v>
      </c>
    </row>
    <row r="1431">
      <c r="A1431" s="40">
        <f t="array" ref="A1431">IFNA(index(PlayerValues!A:A,match(IFNA(vlookup(B1431,'Special Names'!A:B,2,FALSE),B1431),PlayerValues!E:E,0)),"N/A")</f>
        <v>15727</v>
      </c>
      <c r="B1431" s="4" t="s">
        <v>730</v>
      </c>
      <c r="C1431" s="4" t="s">
        <v>278</v>
      </c>
      <c r="D1431" s="94">
        <v>1013.0</v>
      </c>
    </row>
    <row r="1432">
      <c r="A1432" s="40">
        <f t="array" ref="A1432">IFNA(index(PlayerValues!A:A,match(IFNA(vlookup(B1432,'Special Names'!A:B,2,FALSE),B1432),PlayerValues!E:E,0)),"N/A")</f>
        <v>14840</v>
      </c>
      <c r="B1432" s="4" t="s">
        <v>731</v>
      </c>
      <c r="C1432" s="4" t="s">
        <v>287</v>
      </c>
      <c r="D1432" s="94">
        <v>1008.0</v>
      </c>
    </row>
    <row r="1433">
      <c r="A1433" s="40">
        <f t="array" ref="A1433">IFNA(index(PlayerValues!A:A,match(IFNA(vlookup(B1433,'Special Names'!A:B,2,FALSE),B1433),PlayerValues!E:E,0)),"N/A")</f>
        <v>15713</v>
      </c>
      <c r="B1433" s="4" t="s">
        <v>732</v>
      </c>
      <c r="C1433" s="4" t="s">
        <v>278</v>
      </c>
      <c r="D1433" s="94">
        <v>999.0</v>
      </c>
    </row>
    <row r="1434">
      <c r="A1434" s="40">
        <f t="array" ref="A1434">IFNA(index(PlayerValues!A:A,match(IFNA(vlookup(B1434,'Special Names'!A:B,2,FALSE),B1434),PlayerValues!E:E,0)),"N/A")</f>
        <v>14849</v>
      </c>
      <c r="B1434" s="4" t="s">
        <v>733</v>
      </c>
      <c r="C1434" s="4" t="s">
        <v>287</v>
      </c>
      <c r="D1434" s="94">
        <v>981.0</v>
      </c>
    </row>
    <row r="1435">
      <c r="A1435" s="40">
        <f t="array" ref="A1435">IFNA(index(PlayerValues!A:A,match(IFNA(vlookup(B1435,'Special Names'!A:B,2,FALSE),B1435),PlayerValues!E:E,0)),"N/A")</f>
        <v>15730</v>
      </c>
      <c r="B1435" s="4" t="s">
        <v>734</v>
      </c>
      <c r="C1435" s="4" t="s">
        <v>278</v>
      </c>
      <c r="D1435" s="94">
        <v>981.0</v>
      </c>
    </row>
    <row r="1436">
      <c r="A1436" s="40">
        <f t="array" ref="A1436">IFNA(index(PlayerValues!A:A,match(IFNA(vlookup(B1436,'Special Names'!A:B,2,FALSE),B1436),PlayerValues!E:E,0)),"N/A")</f>
        <v>14067</v>
      </c>
      <c r="B1436" s="4" t="s">
        <v>735</v>
      </c>
      <c r="C1436" s="4" t="s">
        <v>283</v>
      </c>
      <c r="D1436" s="94">
        <v>976.0</v>
      </c>
    </row>
    <row r="1437">
      <c r="A1437" s="40">
        <f t="array" ref="A1437">IFNA(index(PlayerValues!A:A,match(IFNA(vlookup(B1437,'Special Names'!A:B,2,FALSE),B1437),PlayerValues!E:E,0)),"N/A")</f>
        <v>16637</v>
      </c>
      <c r="B1437" s="4" t="s">
        <v>736</v>
      </c>
      <c r="C1437" s="4" t="s">
        <v>287</v>
      </c>
      <c r="D1437" s="94">
        <v>976.0</v>
      </c>
    </row>
    <row r="1438">
      <c r="A1438" s="40">
        <f t="array" ref="A1438">IFNA(index(PlayerValues!A:A,match(IFNA(vlookup(B1438,'Special Names'!A:B,2,FALSE),B1438),PlayerValues!E:E,0)),"N/A")</f>
        <v>16599</v>
      </c>
      <c r="B1438" s="4" t="s">
        <v>737</v>
      </c>
      <c r="C1438" s="4" t="s">
        <v>278</v>
      </c>
      <c r="D1438" s="94">
        <v>975.0</v>
      </c>
    </row>
    <row r="1439">
      <c r="A1439" s="40">
        <f t="array" ref="A1439">IFNA(index(PlayerValues!A:A,match(IFNA(vlookup(B1439,'Special Names'!A:B,2,FALSE),B1439),PlayerValues!E:E,0)),"N/A")</f>
        <v>16168</v>
      </c>
      <c r="B1439" s="4" t="s">
        <v>738</v>
      </c>
      <c r="C1439" s="4" t="s">
        <v>278</v>
      </c>
      <c r="D1439" s="94">
        <v>961.0</v>
      </c>
    </row>
    <row r="1440">
      <c r="A1440" s="40">
        <f t="array" ref="A1440">IFNA(index(PlayerValues!A:A,match(IFNA(vlookup(B1440,'Special Names'!A:B,2,FALSE),B1440),PlayerValues!E:E,0)),"N/A")</f>
        <v>16219</v>
      </c>
      <c r="B1440" s="4" t="s">
        <v>739</v>
      </c>
      <c r="C1440" s="4" t="s">
        <v>298</v>
      </c>
      <c r="D1440" s="94">
        <v>1326.0</v>
      </c>
    </row>
    <row r="1441">
      <c r="A1441" s="40">
        <f t="array" ref="A1441">IFNA(index(PlayerValues!A:A,match(IFNA(vlookup(B1441,'Special Names'!A:B,2,FALSE),B1441),PlayerValues!E:E,0)),"N/A")</f>
        <v>16149</v>
      </c>
      <c r="B1441" s="4" t="s">
        <v>740</v>
      </c>
      <c r="C1441" s="4" t="s">
        <v>283</v>
      </c>
      <c r="D1441" s="94">
        <v>958.0</v>
      </c>
    </row>
    <row r="1442">
      <c r="A1442" s="40">
        <f t="array" ref="A1442">IFNA(index(PlayerValues!A:A,match(IFNA(vlookup(B1442,'Special Names'!A:B,2,FALSE),B1442),PlayerValues!E:E,0)),"N/A")</f>
        <v>15271</v>
      </c>
      <c r="B1442" s="4" t="s">
        <v>741</v>
      </c>
      <c r="C1442" s="4" t="s">
        <v>278</v>
      </c>
      <c r="D1442" s="94">
        <v>956.0</v>
      </c>
    </row>
    <row r="1443">
      <c r="A1443" s="40">
        <f t="array" ref="A1443">IFNA(index(PlayerValues!A:A,match(IFNA(vlookup(B1443,'Special Names'!A:B,2,FALSE),B1443),PlayerValues!E:E,0)),"N/A")</f>
        <v>16205</v>
      </c>
      <c r="B1443" s="4" t="s">
        <v>742</v>
      </c>
      <c r="C1443" s="4" t="s">
        <v>287</v>
      </c>
      <c r="D1443" s="94">
        <v>953.0</v>
      </c>
    </row>
    <row r="1444">
      <c r="A1444" s="40">
        <f t="array" ref="A1444">IFNA(index(PlayerValues!A:A,match(IFNA(vlookup(B1444,'Special Names'!A:B,2,FALSE),B1444),PlayerValues!E:E,0)),"N/A")</f>
        <v>16606</v>
      </c>
      <c r="B1444" s="4" t="s">
        <v>743</v>
      </c>
      <c r="C1444" s="4" t="s">
        <v>278</v>
      </c>
      <c r="D1444" s="94">
        <v>952.0</v>
      </c>
    </row>
    <row r="1445">
      <c r="A1445" s="40">
        <f t="array" ref="A1445">IFNA(index(PlayerValues!A:A,match(IFNA(vlookup(B1445,'Special Names'!A:B,2,FALSE),B1445),PlayerValues!E:E,0)),"N/A")</f>
        <v>12141</v>
      </c>
      <c r="B1445" s="4" t="s">
        <v>744</v>
      </c>
      <c r="C1445" s="4" t="s">
        <v>283</v>
      </c>
      <c r="D1445" s="94">
        <v>949.0</v>
      </c>
    </row>
    <row r="1446">
      <c r="A1446" s="40">
        <f t="array" ref="A1446">IFNA(index(PlayerValues!A:A,match(IFNA(vlookup(B1446,'Special Names'!A:B,2,FALSE),B1446),PlayerValues!E:E,0)),"N/A")</f>
        <v>15717</v>
      </c>
      <c r="B1446" s="4" t="s">
        <v>745</v>
      </c>
      <c r="C1446" s="4" t="s">
        <v>278</v>
      </c>
      <c r="D1446" s="94">
        <v>948.0</v>
      </c>
    </row>
    <row r="1447">
      <c r="A1447" s="40">
        <f t="array" ref="A1447">IFNA(index(PlayerValues!A:A,match(IFNA(vlookup(B1447,'Special Names'!A:B,2,FALSE),B1447),PlayerValues!E:E,0)),"N/A")</f>
        <v>13289</v>
      </c>
      <c r="B1447" s="4" t="s">
        <v>746</v>
      </c>
      <c r="C1447" s="4" t="s">
        <v>287</v>
      </c>
      <c r="D1447" s="94">
        <v>947.0</v>
      </c>
    </row>
    <row r="1448">
      <c r="A1448" s="40">
        <f t="array" ref="A1448">IFNA(index(PlayerValues!A:A,match(IFNA(vlookup(B1448,'Special Names'!A:B,2,FALSE),B1448),PlayerValues!E:E,0)),"N/A")</f>
        <v>17175</v>
      </c>
      <c r="B1448" s="4" t="s">
        <v>747</v>
      </c>
      <c r="C1448" s="4" t="s">
        <v>287</v>
      </c>
      <c r="D1448" s="94">
        <v>919.0</v>
      </c>
    </row>
    <row r="1449">
      <c r="A1449" s="40">
        <f t="array" ref="A1449">IFNA(index(PlayerValues!A:A,match(IFNA(vlookup(B1449,'Special Names'!A:B,2,FALSE),B1449),PlayerValues!E:E,0)),"N/A")</f>
        <v>16648</v>
      </c>
      <c r="B1449" s="4" t="s">
        <v>748</v>
      </c>
      <c r="C1449" s="4" t="s">
        <v>298</v>
      </c>
      <c r="D1449" s="94">
        <v>1279.0</v>
      </c>
    </row>
    <row r="1450">
      <c r="A1450" s="40">
        <f t="array" ref="A1450">IFNA(index(PlayerValues!A:A,match(IFNA(vlookup(B1450,'Special Names'!A:B,2,FALSE),B1450),PlayerValues!E:E,0)),"N/A")</f>
        <v>15330</v>
      </c>
      <c r="B1450" s="4" t="s">
        <v>749</v>
      </c>
      <c r="C1450" s="4" t="s">
        <v>298</v>
      </c>
      <c r="D1450" s="94">
        <v>1274.0</v>
      </c>
    </row>
    <row r="1451">
      <c r="A1451" s="40">
        <f t="array" ref="A1451">IFNA(index(PlayerValues!A:A,match(IFNA(vlookup(B1451,'Special Names'!A:B,2,FALSE),B1451),PlayerValues!E:E,0)),"N/A")</f>
        <v>15692</v>
      </c>
      <c r="B1451" s="4" t="s">
        <v>750</v>
      </c>
      <c r="C1451" s="4" t="s">
        <v>283</v>
      </c>
      <c r="D1451" s="94">
        <v>903.0</v>
      </c>
    </row>
    <row r="1452">
      <c r="A1452" s="40">
        <f t="array" ref="A1452">IFNA(index(PlayerValues!A:A,match(IFNA(vlookup(B1452,'Special Names'!A:B,2,FALSE),B1452),PlayerValues!E:E,0)),"N/A")</f>
        <v>15240</v>
      </c>
      <c r="B1452" s="4" t="s">
        <v>751</v>
      </c>
      <c r="C1452" s="4" t="s">
        <v>283</v>
      </c>
      <c r="D1452" s="94">
        <v>901.0</v>
      </c>
    </row>
    <row r="1453">
      <c r="A1453" s="40">
        <f t="array" ref="A1453">IFNA(index(PlayerValues!A:A,match(IFNA(vlookup(B1453,'Special Names'!A:B,2,FALSE),B1453),PlayerValues!E:E,0)),"N/A")</f>
        <v>16416</v>
      </c>
      <c r="B1453" s="4" t="s">
        <v>752</v>
      </c>
      <c r="C1453" s="4" t="s">
        <v>287</v>
      </c>
      <c r="D1453" s="94">
        <v>899.0</v>
      </c>
    </row>
    <row r="1454">
      <c r="A1454" s="40">
        <f t="array" ref="A1454">IFNA(index(PlayerValues!A:A,match(IFNA(vlookup(B1454,'Special Names'!A:B,2,FALSE),B1454),PlayerValues!E:E,0)),"N/A")</f>
        <v>15718</v>
      </c>
      <c r="B1454" s="4" t="s">
        <v>753</v>
      </c>
      <c r="C1454" s="4" t="s">
        <v>278</v>
      </c>
      <c r="D1454" s="94">
        <v>889.0</v>
      </c>
    </row>
    <row r="1455">
      <c r="A1455" s="40">
        <f t="array" ref="A1455">IFNA(index(PlayerValues!A:A,match(IFNA(vlookup(B1455,'Special Names'!A:B,2,FALSE),B1455),PlayerValues!E:E,0)),"N/A")</f>
        <v>16858</v>
      </c>
      <c r="B1455" s="4" t="s">
        <v>754</v>
      </c>
      <c r="C1455" s="4" t="s">
        <v>287</v>
      </c>
      <c r="D1455" s="94">
        <v>885.0</v>
      </c>
    </row>
    <row r="1456">
      <c r="A1456" s="40">
        <f t="array" ref="A1456">IFNA(index(PlayerValues!A:A,match(IFNA(vlookup(B1456,'Special Names'!A:B,2,FALSE),B1456),PlayerValues!E:E,0)),"N/A")</f>
        <v>15693</v>
      </c>
      <c r="B1456" s="4" t="s">
        <v>755</v>
      </c>
      <c r="C1456" s="4" t="s">
        <v>283</v>
      </c>
      <c r="D1456" s="94">
        <v>883.0</v>
      </c>
    </row>
    <row r="1457">
      <c r="A1457" s="40">
        <f t="array" ref="A1457">IFNA(index(PlayerValues!A:A,match(IFNA(vlookup(B1457,'Special Names'!A:B,2,FALSE),B1457),PlayerValues!E:E,0)),"N/A")</f>
        <v>17479</v>
      </c>
      <c r="B1457" s="4" t="s">
        <v>756</v>
      </c>
      <c r="C1457" s="4" t="s">
        <v>278</v>
      </c>
      <c r="D1457" s="94">
        <v>881.0</v>
      </c>
    </row>
    <row r="1458">
      <c r="A1458" s="40">
        <f t="array" ref="A1458">IFNA(index(PlayerValues!A:A,match(IFNA(vlookup(B1458,'Special Names'!A:B,2,FALSE),B1458),PlayerValues!E:E,0)),"N/A")</f>
        <v>15258</v>
      </c>
      <c r="B1458" s="4" t="s">
        <v>757</v>
      </c>
      <c r="C1458" s="4" t="s">
        <v>278</v>
      </c>
      <c r="D1458" s="94">
        <v>873.0</v>
      </c>
    </row>
    <row r="1459">
      <c r="A1459" s="40">
        <f t="array" ref="A1459">IFNA(index(PlayerValues!A:A,match(IFNA(vlookup(B1459,'Special Names'!A:B,2,FALSE),B1459),PlayerValues!E:E,0)),"N/A")</f>
        <v>16678</v>
      </c>
      <c r="B1459" s="4" t="s">
        <v>758</v>
      </c>
      <c r="C1459" s="4" t="s">
        <v>278</v>
      </c>
      <c r="D1459" s="94">
        <v>864.0</v>
      </c>
    </row>
    <row r="1460">
      <c r="A1460" s="40">
        <f t="array" ref="A1460">IFNA(index(PlayerValues!A:A,match(IFNA(vlookup(B1460,'Special Names'!A:B,2,FALSE),B1460),PlayerValues!E:E,0)),"N/A")</f>
        <v>15766</v>
      </c>
      <c r="B1460" s="4" t="s">
        <v>759</v>
      </c>
      <c r="C1460" s="4" t="s">
        <v>287</v>
      </c>
      <c r="D1460" s="94">
        <v>862.0</v>
      </c>
    </row>
    <row r="1461">
      <c r="A1461" s="40">
        <f t="array" ref="A1461">IFNA(index(PlayerValues!A:A,match(IFNA(vlookup(B1461,'Special Names'!A:B,2,FALSE),B1461),PlayerValues!E:E,0)),"N/A")</f>
        <v>17526</v>
      </c>
      <c r="B1461" s="4" t="s">
        <v>760</v>
      </c>
      <c r="C1461" s="4" t="s">
        <v>287</v>
      </c>
      <c r="D1461" s="94">
        <v>839.0</v>
      </c>
    </row>
    <row r="1462">
      <c r="A1462" s="40">
        <f t="array" ref="A1462">IFNA(index(PlayerValues!A:A,match(IFNA(vlookup(B1462,'Special Names'!A:B,2,FALSE),B1462),PlayerValues!E:E,0)),"N/A")</f>
        <v>9064</v>
      </c>
      <c r="B1462" s="4" t="s">
        <v>761</v>
      </c>
      <c r="C1462" s="4" t="s">
        <v>283</v>
      </c>
      <c r="D1462" s="94">
        <v>827.0</v>
      </c>
    </row>
    <row r="1463">
      <c r="A1463" s="40">
        <f t="array" ref="A1463">IFNA(index(PlayerValues!A:A,match(IFNA(vlookup(B1463,'Special Names'!A:B,2,FALSE),B1463),PlayerValues!E:E,0)),"N/A")</f>
        <v>16751</v>
      </c>
      <c r="B1463" s="4" t="s">
        <v>762</v>
      </c>
      <c r="C1463" s="4" t="s">
        <v>287</v>
      </c>
      <c r="D1463" s="94">
        <v>822.0</v>
      </c>
    </row>
    <row r="1464">
      <c r="A1464" s="40">
        <f t="array" ref="A1464">IFNA(index(PlayerValues!A:A,match(IFNA(vlookup(B1464,'Special Names'!A:B,2,FALSE),B1464),PlayerValues!E:E,0)),"N/A")</f>
        <v>15785</v>
      </c>
      <c r="B1464" s="4" t="s">
        <v>763</v>
      </c>
      <c r="C1464" s="4" t="s">
        <v>287</v>
      </c>
      <c r="D1464" s="94">
        <v>821.0</v>
      </c>
    </row>
    <row r="1465">
      <c r="A1465" s="40">
        <f t="array" ref="A1465">IFNA(index(PlayerValues!A:A,match(IFNA(vlookup(B1465,'Special Names'!A:B,2,FALSE),B1465),PlayerValues!E:E,0)),"N/A")</f>
        <v>13133</v>
      </c>
      <c r="B1465" s="4" t="s">
        <v>764</v>
      </c>
      <c r="C1465" s="4" t="s">
        <v>278</v>
      </c>
      <c r="D1465" s="94">
        <v>820.0</v>
      </c>
    </row>
    <row r="1466">
      <c r="A1466" s="40">
        <f t="array" ref="A1466">IFNA(index(PlayerValues!A:A,match(IFNA(vlookup(B1466,'Special Names'!A:B,2,FALSE),B1466),PlayerValues!E:E,0)),"N/A")</f>
        <v>14057</v>
      </c>
      <c r="B1466" s="4" t="s">
        <v>765</v>
      </c>
      <c r="C1466" s="4" t="s">
        <v>283</v>
      </c>
      <c r="D1466" s="94">
        <v>813.0</v>
      </c>
    </row>
    <row r="1467">
      <c r="A1467" s="40">
        <f t="array" ref="A1467">IFNA(index(PlayerValues!A:A,match(IFNA(vlookup(B1467,'Special Names'!A:B,2,FALSE),B1467),PlayerValues!E:E,0)),"N/A")</f>
        <v>15626</v>
      </c>
      <c r="B1467" s="4" t="s">
        <v>766</v>
      </c>
      <c r="C1467" s="4" t="s">
        <v>298</v>
      </c>
      <c r="D1467" s="94">
        <v>1164.0</v>
      </c>
    </row>
    <row r="1468">
      <c r="A1468" s="40">
        <f t="array" ref="A1468">IFNA(index(PlayerValues!A:A,match(IFNA(vlookup(B1468,'Special Names'!A:B,2,FALSE),B1468),PlayerValues!E:E,0)),"N/A")</f>
        <v>17654</v>
      </c>
      <c r="B1468" s="4" t="s">
        <v>767</v>
      </c>
      <c r="C1468" s="4" t="s">
        <v>283</v>
      </c>
      <c r="D1468" s="94">
        <v>768.0</v>
      </c>
    </row>
    <row r="1469">
      <c r="A1469" s="40">
        <f t="array" ref="A1469">IFNA(index(PlayerValues!A:A,match(IFNA(vlookup(B1469,'Special Names'!A:B,2,FALSE),B1469),PlayerValues!E:E,0)),"N/A")</f>
        <v>16393</v>
      </c>
      <c r="B1469" s="4" t="s">
        <v>768</v>
      </c>
      <c r="C1469" s="4" t="s">
        <v>287</v>
      </c>
      <c r="D1469" s="94">
        <v>766.0</v>
      </c>
    </row>
    <row r="1470">
      <c r="A1470" s="40">
        <f t="array" ref="A1470">IFNA(index(PlayerValues!A:A,match(IFNA(vlookup(B1470,'Special Names'!A:B,2,FALSE),B1470),PlayerValues!E:E,0)),"N/A")</f>
        <v>16451</v>
      </c>
      <c r="B1470" s="4" t="s">
        <v>769</v>
      </c>
      <c r="C1470" s="4" t="s">
        <v>287</v>
      </c>
      <c r="D1470" s="94">
        <v>702.0</v>
      </c>
    </row>
    <row r="1471">
      <c r="A1471" s="40">
        <f t="array" ref="A1471">IFNA(index(PlayerValues!A:A,match(IFNA(vlookup(B1471,'Special Names'!A:B,2,FALSE),B1471),PlayerValues!E:E,0)),"N/A")</f>
        <v>14805</v>
      </c>
      <c r="B1471" s="4" t="s">
        <v>770</v>
      </c>
      <c r="C1471" s="4" t="s">
        <v>278</v>
      </c>
      <c r="D1471" s="94">
        <v>688.0</v>
      </c>
    </row>
    <row r="1472">
      <c r="A1472" s="40">
        <f t="array" ref="A1472">IFNA(index(PlayerValues!A:A,match(IFNA(vlookup(B1472,'Special Names'!A:B,2,FALSE),B1472),PlayerValues!E:E,0)),"N/A")</f>
        <v>14118</v>
      </c>
      <c r="B1472" s="4" t="s">
        <v>771</v>
      </c>
      <c r="C1472" s="4" t="s">
        <v>287</v>
      </c>
      <c r="D1472" s="94">
        <v>681.0</v>
      </c>
    </row>
    <row r="1473">
      <c r="A1473" s="40">
        <f t="array" ref="A1473">IFNA(index(PlayerValues!A:A,match(IFNA(vlookup(B1473,'Special Names'!A:B,2,FALSE),B1473),PlayerValues!E:E,0)),"N/A")</f>
        <v>12785</v>
      </c>
      <c r="B1473" s="4" t="s">
        <v>772</v>
      </c>
      <c r="C1473" s="4" t="s">
        <v>287</v>
      </c>
      <c r="D1473" s="94">
        <v>676.0</v>
      </c>
    </row>
    <row r="1474">
      <c r="A1474" s="40">
        <f t="array" ref="A1474">IFNA(index(PlayerValues!A:A,match(IFNA(vlookup(B1474,'Special Names'!A:B,2,FALSE),B1474),PlayerValues!E:E,0)),"N/A")</f>
        <v>13193</v>
      </c>
      <c r="B1474" s="4" t="s">
        <v>773</v>
      </c>
      <c r="C1474" s="4" t="s">
        <v>298</v>
      </c>
      <c r="D1474" s="94">
        <v>1018.0</v>
      </c>
    </row>
    <row r="1475">
      <c r="A1475" s="40">
        <f t="array" ref="A1475">IFNA(index(PlayerValues!A:A,match(IFNA(vlookup(B1475,'Special Names'!A:B,2,FALSE),B1475),PlayerValues!E:E,0)),"N/A")</f>
        <v>17038</v>
      </c>
      <c r="B1475" s="4" t="s">
        <v>774</v>
      </c>
      <c r="C1475" s="4" t="s">
        <v>283</v>
      </c>
      <c r="D1475" s="94">
        <v>653.0</v>
      </c>
    </row>
    <row r="1476">
      <c r="A1476" s="40">
        <f t="array" ref="A1476">IFNA(index(PlayerValues!A:A,match(IFNA(vlookup(B1476,'Special Names'!A:B,2,FALSE),B1476),PlayerValues!E:E,0)),"N/A")</f>
        <v>15714</v>
      </c>
      <c r="B1476" s="4" t="s">
        <v>775</v>
      </c>
      <c r="C1476" s="4" t="s">
        <v>278</v>
      </c>
      <c r="D1476" s="94">
        <v>608.0</v>
      </c>
    </row>
    <row r="1477">
      <c r="A1477" s="40">
        <f t="array" ref="A1477">IFNA(index(PlayerValues!A:A,match(IFNA(vlookup(B1477,'Special Names'!A:B,2,FALSE),B1477),PlayerValues!E:E,0)),"N/A")</f>
        <v>16153</v>
      </c>
      <c r="B1477" s="4" t="s">
        <v>776</v>
      </c>
      <c r="C1477" s="4" t="s">
        <v>283</v>
      </c>
      <c r="D1477" s="94">
        <v>590.0</v>
      </c>
    </row>
    <row r="1478">
      <c r="A1478" s="40">
        <f t="array" ref="A1478">IFNA(index(PlayerValues!A:A,match(IFNA(vlookup(B1478,'Special Names'!A:B,2,FALSE),B1478),PlayerValues!E:E,0)),"N/A")</f>
        <v>17752</v>
      </c>
      <c r="B1478" s="4" t="s">
        <v>777</v>
      </c>
      <c r="C1478" s="4" t="s">
        <v>287</v>
      </c>
      <c r="D1478" s="94">
        <v>586.0</v>
      </c>
    </row>
    <row r="1479">
      <c r="A1479" s="40">
        <f t="array" ref="A1479">IFNA(index(PlayerValues!A:A,match(IFNA(vlookup(B1479,'Special Names'!A:B,2,FALSE),B1479),PlayerValues!E:E,0)),"N/A")</f>
        <v>16625</v>
      </c>
      <c r="B1479" s="4" t="s">
        <v>778</v>
      </c>
      <c r="C1479" s="4" t="s">
        <v>287</v>
      </c>
      <c r="D1479" s="94">
        <v>580.0</v>
      </c>
    </row>
    <row r="1480">
      <c r="A1480" s="40">
        <f t="array" ref="A1480">IFNA(index(PlayerValues!A:A,match(IFNA(vlookup(B1480,'Special Names'!A:B,2,FALSE),B1480),PlayerValues!E:E,0)),"N/A")</f>
        <v>11679</v>
      </c>
      <c r="B1480" s="4" t="s">
        <v>779</v>
      </c>
      <c r="C1480" s="4" t="s">
        <v>287</v>
      </c>
      <c r="D1480" s="94">
        <v>521.0</v>
      </c>
    </row>
    <row r="1481">
      <c r="A1481" s="40">
        <f t="array" ref="A1481">IFNA(index(PlayerValues!A:A,match(IFNA(vlookup(B1481,'Special Names'!A:B,2,FALSE),B1481),PlayerValues!E:E,0)),"N/A")</f>
        <v>15743</v>
      </c>
      <c r="B1481" s="4" t="s">
        <v>780</v>
      </c>
      <c r="C1481" s="4" t="s">
        <v>278</v>
      </c>
      <c r="D1481" s="94">
        <v>521.0</v>
      </c>
    </row>
    <row r="1482">
      <c r="A1482" s="40">
        <f t="array" ref="A1482">IFNA(index(PlayerValues!A:A,match(IFNA(vlookup(B1482,'Special Names'!A:B,2,FALSE),B1482),PlayerValues!E:E,0)),"N/A")</f>
        <v>16413</v>
      </c>
      <c r="B1482" s="4" t="s">
        <v>781</v>
      </c>
      <c r="C1482" s="4" t="s">
        <v>287</v>
      </c>
      <c r="D1482" s="94">
        <v>516.0</v>
      </c>
    </row>
    <row r="1483">
      <c r="A1483" s="40">
        <f t="array" ref="A1483">IFNA(index(PlayerValues!A:A,match(IFNA(vlookup(B1483,'Special Names'!A:B,2,FALSE),B1483),PlayerValues!E:E,0)),"N/A")</f>
        <v>16613</v>
      </c>
      <c r="B1483" s="4" t="s">
        <v>782</v>
      </c>
      <c r="C1483" s="4" t="s">
        <v>278</v>
      </c>
      <c r="D1483" s="94">
        <v>507.0</v>
      </c>
    </row>
    <row r="1484">
      <c r="A1484" s="40">
        <f t="array" ref="A1484">IFNA(index(PlayerValues!A:A,match(IFNA(vlookup(B1484,'Special Names'!A:B,2,FALSE),B1484),PlayerValues!E:E,0)),"N/A")</f>
        <v>16773</v>
      </c>
      <c r="B1484" s="4" t="s">
        <v>783</v>
      </c>
      <c r="C1484" s="4" t="s">
        <v>278</v>
      </c>
      <c r="D1484" s="94">
        <v>502.0</v>
      </c>
    </row>
    <row r="1485">
      <c r="A1485" s="40">
        <f t="array" ref="A1485">IFNA(index(PlayerValues!A:A,match(IFNA(vlookup(B1485,'Special Names'!A:B,2,FALSE),B1485),PlayerValues!E:E,0)),"N/A")</f>
        <v>17232</v>
      </c>
      <c r="B1485" s="4" t="s">
        <v>784</v>
      </c>
      <c r="C1485" s="4" t="s">
        <v>287</v>
      </c>
      <c r="D1485" s="94">
        <v>501.0</v>
      </c>
    </row>
    <row r="1486">
      <c r="A1486" s="40">
        <f t="array" ref="A1486">IFNA(index(PlayerValues!A:A,match(IFNA(vlookup(B1486,'Special Names'!A:B,2,FALSE),B1486),PlayerValues!E:E,0)),"N/A")</f>
        <v>14223</v>
      </c>
      <c r="B1486" s="4" t="s">
        <v>785</v>
      </c>
      <c r="C1486" s="4" t="s">
        <v>278</v>
      </c>
      <c r="D1486" s="94">
        <v>499.0</v>
      </c>
    </row>
    <row r="1487">
      <c r="A1487" s="40">
        <f t="array" ref="A1487">IFNA(index(PlayerValues!A:A,match(IFNA(vlookup(B1487,'Special Names'!A:B,2,FALSE),B1487),PlayerValues!E:E,0)),"N/A")</f>
        <v>13143</v>
      </c>
      <c r="B1487" s="4" t="s">
        <v>786</v>
      </c>
      <c r="C1487" s="4" t="s">
        <v>278</v>
      </c>
      <c r="D1487" s="94">
        <v>487.0</v>
      </c>
    </row>
    <row r="1488">
      <c r="A1488" s="40">
        <f t="array" ref="A1488">IFNA(index(PlayerValues!A:A,match(IFNA(vlookup(B1488,'Special Names'!A:B,2,FALSE),B1488),PlayerValues!E:E,0)),"N/A")</f>
        <v>16299</v>
      </c>
      <c r="B1488" s="4" t="s">
        <v>787</v>
      </c>
      <c r="C1488" s="4" t="s">
        <v>287</v>
      </c>
      <c r="D1488" s="94">
        <v>486.0</v>
      </c>
    </row>
    <row r="1489">
      <c r="A1489" s="40">
        <f t="array" ref="A1489">IFNA(index(PlayerValues!A:A,match(IFNA(vlookup(B1489,'Special Names'!A:B,2,FALSE),B1489),PlayerValues!E:E,0)),"N/A")</f>
        <v>14113</v>
      </c>
      <c r="B1489" s="4" t="s">
        <v>788</v>
      </c>
      <c r="C1489" s="4" t="s">
        <v>287</v>
      </c>
      <c r="D1489" s="94">
        <v>483.0</v>
      </c>
    </row>
    <row r="1490">
      <c r="A1490" s="40">
        <f t="array" ref="A1490">IFNA(index(PlayerValues!A:A,match(IFNA(vlookup(B1490,'Special Names'!A:B,2,FALSE),B1490),PlayerValues!E:E,0)),"N/A")</f>
        <v>14864</v>
      </c>
      <c r="B1490" s="4" t="s">
        <v>789</v>
      </c>
      <c r="C1490" s="4" t="s">
        <v>287</v>
      </c>
      <c r="D1490" s="94">
        <v>483.0</v>
      </c>
    </row>
    <row r="1491">
      <c r="A1491" s="40">
        <f t="array" ref="A1491">IFNA(index(PlayerValues!A:A,match(IFNA(vlookup(B1491,'Special Names'!A:B,2,FALSE),B1491),PlayerValues!E:E,0)),"N/A")</f>
        <v>14076</v>
      </c>
      <c r="B1491" s="4" t="s">
        <v>790</v>
      </c>
      <c r="C1491" s="4" t="s">
        <v>278</v>
      </c>
      <c r="D1491" s="94">
        <v>480.0</v>
      </c>
    </row>
    <row r="1492">
      <c r="A1492" s="40">
        <f t="array" ref="A1492">IFNA(index(PlayerValues!A:A,match(IFNA(vlookup(B1492,'Special Names'!A:B,2,FALSE),B1492),PlayerValues!E:E,0)),"N/A")</f>
        <v>15965</v>
      </c>
      <c r="B1492" s="4" t="s">
        <v>791</v>
      </c>
      <c r="C1492" s="4" t="s">
        <v>278</v>
      </c>
      <c r="D1492" s="94">
        <v>478.0</v>
      </c>
    </row>
    <row r="1493">
      <c r="A1493" s="40">
        <f t="array" ref="A1493">IFNA(index(PlayerValues!A:A,match(IFNA(vlookup(B1493,'Special Names'!A:B,2,FALSE),B1493),PlayerValues!E:E,0)),"N/A")</f>
        <v>15285</v>
      </c>
      <c r="B1493" s="4" t="s">
        <v>792</v>
      </c>
      <c r="C1493" s="4" t="s">
        <v>287</v>
      </c>
      <c r="D1493" s="94">
        <v>476.0</v>
      </c>
    </row>
    <row r="1494">
      <c r="A1494" s="40">
        <f t="array" ref="A1494">IFNA(index(PlayerValues!A:A,match(IFNA(vlookup(B1494,'Special Names'!A:B,2,FALSE),B1494),PlayerValues!E:E,0)),"N/A")</f>
        <v>17337</v>
      </c>
      <c r="B1494" s="4" t="s">
        <v>793</v>
      </c>
      <c r="C1494" s="4" t="s">
        <v>278</v>
      </c>
      <c r="D1494" s="94">
        <v>475.0</v>
      </c>
    </row>
    <row r="1495">
      <c r="A1495" s="40">
        <f t="array" ref="A1495">IFNA(index(PlayerValues!A:A,match(IFNA(vlookup(B1495,'Special Names'!A:B,2,FALSE),B1495),PlayerValues!E:E,0)),"N/A")</f>
        <v>15796</v>
      </c>
      <c r="B1495" s="4" t="s">
        <v>794</v>
      </c>
      <c r="C1495" s="4" t="s">
        <v>298</v>
      </c>
      <c r="D1495" s="94">
        <v>819.0</v>
      </c>
    </row>
    <row r="1496">
      <c r="A1496" s="40">
        <f t="array" ref="A1496">IFNA(index(PlayerValues!A:A,match(IFNA(vlookup(B1496,'Special Names'!A:B,2,FALSE),B1496),PlayerValues!E:E,0)),"N/A")</f>
        <v>15720</v>
      </c>
      <c r="B1496" s="4" t="s">
        <v>795</v>
      </c>
      <c r="C1496" s="4" t="s">
        <v>278</v>
      </c>
      <c r="D1496" s="94">
        <v>469.0</v>
      </c>
    </row>
    <row r="1497">
      <c r="A1497" s="40">
        <f t="array" ref="A1497">IFNA(index(PlayerValues!A:A,match(IFNA(vlookup(B1497,'Special Names'!A:B,2,FALSE),B1497),PlayerValues!E:E,0)),"N/A")</f>
        <v>16624</v>
      </c>
      <c r="B1497" s="4" t="s">
        <v>796</v>
      </c>
      <c r="C1497" s="4" t="s">
        <v>287</v>
      </c>
      <c r="D1497" s="94">
        <v>469.0</v>
      </c>
    </row>
    <row r="1498">
      <c r="A1498" s="40">
        <f t="array" ref="A1498">IFNA(index(PlayerValues!A:A,match(IFNA(vlookup(B1498,'Special Names'!A:B,2,FALSE),B1498),PlayerValues!E:E,0)),"N/A")</f>
        <v>17348</v>
      </c>
      <c r="B1498" s="4" t="s">
        <v>797</v>
      </c>
      <c r="C1498" s="4" t="s">
        <v>278</v>
      </c>
      <c r="D1498" s="94">
        <v>467.0</v>
      </c>
    </row>
    <row r="1499">
      <c r="A1499" s="40">
        <f t="array" ref="A1499">IFNA(index(PlayerValues!A:A,match(IFNA(vlookup(B1499,'Special Names'!A:B,2,FALSE),B1499),PlayerValues!E:E,0)),"N/A")</f>
        <v>15723</v>
      </c>
      <c r="B1499" s="4" t="s">
        <v>798</v>
      </c>
      <c r="C1499" s="4" t="s">
        <v>278</v>
      </c>
      <c r="D1499" s="94">
        <v>463.0</v>
      </c>
    </row>
    <row r="1500">
      <c r="A1500" s="40">
        <f t="array" ref="A1500">IFNA(index(PlayerValues!A:A,match(IFNA(vlookup(B1500,'Special Names'!A:B,2,FALSE),B1500),PlayerValues!E:E,0)),"N/A")</f>
        <v>14858</v>
      </c>
      <c r="B1500" s="4" t="s">
        <v>799</v>
      </c>
      <c r="C1500" s="4" t="s">
        <v>287</v>
      </c>
      <c r="D1500" s="94">
        <v>462.0</v>
      </c>
    </row>
    <row r="1501">
      <c r="A1501" s="40">
        <f t="array" ref="A1501">IFNA(index(PlayerValues!A:A,match(IFNA(vlookup(B1501,'Special Names'!A:B,2,FALSE),B1501),PlayerValues!E:E,0)),"N/A")</f>
        <v>16161</v>
      </c>
      <c r="B1501" s="4" t="s">
        <v>277</v>
      </c>
      <c r="C1501" s="4" t="s">
        <v>278</v>
      </c>
      <c r="D1501" s="94">
        <v>9999.0</v>
      </c>
    </row>
    <row r="1502">
      <c r="A1502" s="40">
        <f t="array" ref="A1502">IFNA(index(PlayerValues!A:A,match(IFNA(vlookup(B1502,'Special Names'!A:B,2,FALSE),B1502),PlayerValues!E:E,0)),"N/A")</f>
        <v>16162</v>
      </c>
      <c r="B1502" s="4" t="s">
        <v>281</v>
      </c>
      <c r="C1502" s="4" t="s">
        <v>278</v>
      </c>
      <c r="D1502" s="94">
        <v>9999.0</v>
      </c>
    </row>
    <row r="1503">
      <c r="A1503" s="40">
        <f t="array" ref="A1503">IFNA(index(PlayerValues!A:A,match(IFNA(vlookup(B1503,'Special Names'!A:B,2,FALSE),B1503),PlayerValues!E:E,0)),"N/A")</f>
        <v>13589</v>
      </c>
      <c r="B1503" s="4" t="s">
        <v>282</v>
      </c>
      <c r="C1503" s="4" t="s">
        <v>283</v>
      </c>
      <c r="D1503" s="94">
        <v>9994.0</v>
      </c>
    </row>
    <row r="1504">
      <c r="A1504" s="40">
        <f t="array" ref="A1504">IFNA(index(PlayerValues!A:A,match(IFNA(vlookup(B1504,'Special Names'!A:B,2,FALSE),B1504),PlayerValues!E:E,0)),"N/A")</f>
        <v>15281</v>
      </c>
      <c r="B1504" s="4" t="s">
        <v>286</v>
      </c>
      <c r="C1504" s="4" t="s">
        <v>287</v>
      </c>
      <c r="D1504" s="94">
        <v>9978.0</v>
      </c>
    </row>
    <row r="1505">
      <c r="A1505" s="40">
        <f t="array" ref="A1505">IFNA(index(PlayerValues!A:A,match(IFNA(vlookup(B1505,'Special Names'!A:B,2,FALSE),B1505),PlayerValues!E:E,0)),"N/A")</f>
        <v>16185</v>
      </c>
      <c r="B1505" s="4" t="s">
        <v>290</v>
      </c>
      <c r="C1505" s="4" t="s">
        <v>287</v>
      </c>
      <c r="D1505" s="94">
        <v>9196.0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8898.0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8581.0</v>
      </c>
    </row>
    <row r="1508">
      <c r="A1508" s="40">
        <f t="array" ref="A1508">IFNA(index(PlayerValues!A:A,match(IFNA(vlookup(B1508,'Special Names'!A:B,2,FALSE),B1508),PlayerValues!E:E,0)),"N/A")</f>
        <v>16641</v>
      </c>
      <c r="B1508" s="4" t="s">
        <v>297</v>
      </c>
      <c r="C1508" s="4" t="s">
        <v>298</v>
      </c>
      <c r="D1508" s="94">
        <v>9140.0</v>
      </c>
    </row>
    <row r="1509">
      <c r="A1509" s="40">
        <f t="array" ref="A1509">IFNA(index(PlayerValues!A:A,match(IFNA(vlookup(B1509,'Special Names'!A:B,2,FALSE),B1509),PlayerValues!E:E,0)),"N/A")</f>
        <v>15287</v>
      </c>
      <c r="B1509" s="4" t="s">
        <v>299</v>
      </c>
      <c r="C1509" s="4" t="s">
        <v>287</v>
      </c>
      <c r="D1509" s="94">
        <v>8189.0</v>
      </c>
    </row>
    <row r="1510">
      <c r="A1510" s="40">
        <f t="array" ref="A1510">IFNA(index(PlayerValues!A:A,match(IFNA(vlookup(B1510,'Special Names'!A:B,2,FALSE),B1510),PlayerValues!E:E,0)),"N/A")</f>
        <v>16579</v>
      </c>
      <c r="B1510" s="4" t="s">
        <v>302</v>
      </c>
      <c r="C1510" s="4" t="s">
        <v>283</v>
      </c>
      <c r="D1510" s="94">
        <v>7817.0</v>
      </c>
    </row>
    <row r="1511">
      <c r="A1511" s="40">
        <f t="array" ref="A1511">IFNA(index(PlayerValues!A:A,match(IFNA(vlookup(B1511,'Special Names'!A:B,2,FALSE),B1511),PlayerValues!E:E,0)),"N/A")</f>
        <v>13593</v>
      </c>
      <c r="B1511" s="4" t="s">
        <v>305</v>
      </c>
      <c r="C1511" s="4" t="s">
        <v>283</v>
      </c>
      <c r="D1511" s="94">
        <v>7542.0</v>
      </c>
    </row>
    <row r="1512">
      <c r="A1512" s="40">
        <f t="array" ref="A1512">IFNA(index(PlayerValues!A:A,match(IFNA(vlookup(B1512,'Special Names'!A:B,2,FALSE),B1512),PlayerValues!E:E,0)),"N/A")</f>
        <v>14836</v>
      </c>
      <c r="B1512" s="4" t="s">
        <v>306</v>
      </c>
      <c r="C1512" s="4" t="s">
        <v>287</v>
      </c>
      <c r="D1512" s="94">
        <v>7390.0</v>
      </c>
    </row>
    <row r="1513">
      <c r="A1513" s="40">
        <f t="array" ref="A1513">IFNA(index(PlayerValues!A:A,match(IFNA(vlookup(B1513,'Special Names'!A:B,2,FALSE),B1513),PlayerValues!E:E,0)),"N/A")</f>
        <v>16615</v>
      </c>
      <c r="B1513" s="4" t="s">
        <v>309</v>
      </c>
      <c r="C1513" s="4" t="s">
        <v>287</v>
      </c>
      <c r="D1513" s="94">
        <v>7362.0</v>
      </c>
    </row>
    <row r="1514">
      <c r="A1514" s="40">
        <f t="array" ref="A1514">IFNA(index(PlayerValues!A:A,match(IFNA(vlookup(B1514,'Special Names'!A:B,2,FALSE),B1514),PlayerValues!E:E,0)),"N/A")</f>
        <v>17472</v>
      </c>
      <c r="B1514" s="4" t="s">
        <v>310</v>
      </c>
      <c r="C1514" s="4" t="s">
        <v>278</v>
      </c>
      <c r="D1514" s="94">
        <v>7334.0</v>
      </c>
    </row>
    <row r="1515">
      <c r="A1515" s="40">
        <f t="array" ref="A1515">IFNA(index(PlayerValues!A:A,match(IFNA(vlookup(B1515,'Special Names'!A:B,2,FALSE),B1515),PlayerValues!E:E,0)),"N/A")</f>
        <v>15794</v>
      </c>
      <c r="B1515" s="4" t="s">
        <v>313</v>
      </c>
      <c r="C1515" s="4" t="s">
        <v>298</v>
      </c>
      <c r="D1515" s="94">
        <v>8091.0</v>
      </c>
    </row>
    <row r="1516">
      <c r="A1516" s="40">
        <f t="array" ref="A1516">IFNA(index(PlayerValues!A:A,match(IFNA(vlookup(B1516,'Special Names'!A:B,2,FALSE),B1516),PlayerValues!E:E,0)),"N/A")</f>
        <v>17042</v>
      </c>
      <c r="B1516" s="4" t="s">
        <v>314</v>
      </c>
      <c r="C1516" s="4" t="s">
        <v>278</v>
      </c>
      <c r="D1516" s="94">
        <v>7295.0</v>
      </c>
    </row>
    <row r="1517">
      <c r="A1517" s="40">
        <f t="array" ref="A1517">IFNA(index(PlayerValues!A:A,match(IFNA(vlookup(B1517,'Special Names'!A:B,2,FALSE),B1517),PlayerValues!E:E,0)),"N/A")</f>
        <v>16581</v>
      </c>
      <c r="B1517" s="4" t="s">
        <v>315</v>
      </c>
      <c r="C1517" s="4" t="s">
        <v>283</v>
      </c>
      <c r="D1517" s="94">
        <v>7267.0</v>
      </c>
    </row>
    <row r="1518">
      <c r="A1518" s="40">
        <f t="array" ref="A1518">IFNA(index(PlayerValues!A:A,match(IFNA(vlookup(B1518,'Special Names'!A:B,2,FALSE),B1518),PlayerValues!E:E,0)),"N/A")</f>
        <v>14777</v>
      </c>
      <c r="B1518" s="4" t="s">
        <v>318</v>
      </c>
      <c r="C1518" s="4" t="s">
        <v>283</v>
      </c>
      <c r="D1518" s="94">
        <v>7236.0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7194.0</v>
      </c>
    </row>
    <row r="1520">
      <c r="A1520" s="40">
        <f t="array" ref="A1520">IFNA(index(PlayerValues!A:A,match(IFNA(vlookup(B1520,'Special Names'!A:B,2,FALSE),B1520),PlayerValues!E:E,0)),"N/A")</f>
        <v>17044</v>
      </c>
      <c r="B1520" s="4" t="s">
        <v>322</v>
      </c>
      <c r="C1520" s="4" t="s">
        <v>278</v>
      </c>
      <c r="D1520" s="94">
        <v>6966.0</v>
      </c>
    </row>
    <row r="1521">
      <c r="A1521" s="40">
        <f t="array" ref="A1521">IFNA(index(PlayerValues!A:A,match(IFNA(vlookup(B1521,'Special Names'!A:B,2,FALSE),B1521),PlayerValues!E:E,0)),"N/A")</f>
        <v>16167</v>
      </c>
      <c r="B1521" s="4" t="s">
        <v>323</v>
      </c>
      <c r="C1521" s="4" t="s">
        <v>278</v>
      </c>
      <c r="D1521" s="94">
        <v>6948.0</v>
      </c>
    </row>
    <row r="1522">
      <c r="A1522" s="40" t="str">
        <f t="array" ref="A1522">IFNA(index(PlayerValues!A:A,match(IFNA(vlookup(B1522,'Special Names'!A:B,2,FALSE),B1522),PlayerValues!E:E,0)),"N/A")</f>
        <v>N/A</v>
      </c>
      <c r="B1522" s="4" t="s">
        <v>92</v>
      </c>
      <c r="C1522" s="4" t="s">
        <v>325</v>
      </c>
      <c r="D1522" s="94">
        <v>6938.0</v>
      </c>
    </row>
    <row r="1523">
      <c r="A1523" s="40">
        <f t="array" ref="A1523">IFNA(index(PlayerValues!A:A,match(IFNA(vlookup(B1523,'Special Names'!A:B,2,FALSE),B1523),PlayerValues!E:E,0)),"N/A")</f>
        <v>14779</v>
      </c>
      <c r="B1523" s="4" t="s">
        <v>327</v>
      </c>
      <c r="C1523" s="4" t="s">
        <v>283</v>
      </c>
      <c r="D1523" s="94">
        <v>6936.0</v>
      </c>
    </row>
    <row r="1524">
      <c r="A1524" s="40">
        <f t="array" ref="A1524">IFNA(index(PlayerValues!A:A,match(IFNA(vlookup(B1524,'Special Names'!A:B,2,FALSE),B1524),PlayerValues!E:E,0)),"N/A")</f>
        <v>15751</v>
      </c>
      <c r="B1524" s="4" t="s">
        <v>328</v>
      </c>
      <c r="C1524" s="4" t="s">
        <v>287</v>
      </c>
      <c r="D1524" s="94">
        <v>6795.0</v>
      </c>
    </row>
    <row r="1525">
      <c r="A1525" s="40">
        <f t="array" ref="A1525">IFNA(index(PlayerValues!A:A,match(IFNA(vlookup(B1525,'Special Names'!A:B,2,FALSE),B1525),PlayerValues!E:E,0)),"N/A")</f>
        <v>15715</v>
      </c>
      <c r="B1525" s="4" t="s">
        <v>331</v>
      </c>
      <c r="C1525" s="4" t="s">
        <v>278</v>
      </c>
      <c r="D1525" s="94">
        <v>6521.0</v>
      </c>
    </row>
    <row r="1526">
      <c r="A1526" s="40">
        <f t="array" ref="A1526">IFNA(index(PlayerValues!A:A,match(IFNA(vlookup(B1526,'Special Names'!A:B,2,FALSE),B1526),PlayerValues!E:E,0)),"N/A")</f>
        <v>14802</v>
      </c>
      <c r="B1526" s="4" t="s">
        <v>332</v>
      </c>
      <c r="C1526" s="4" t="s">
        <v>278</v>
      </c>
      <c r="D1526" s="94">
        <v>6377.0</v>
      </c>
    </row>
    <row r="1527">
      <c r="A1527" s="40">
        <f t="array" ref="A1527">IFNA(index(PlayerValues!A:A,match(IFNA(vlookup(B1527,'Special Names'!A:B,2,FALSE),B1527),PlayerValues!E:E,0)),"N/A")</f>
        <v>17104</v>
      </c>
      <c r="B1527" s="4" t="s">
        <v>333</v>
      </c>
      <c r="C1527" s="4" t="s">
        <v>298</v>
      </c>
      <c r="D1527" s="94">
        <v>7040.0</v>
      </c>
    </row>
    <row r="1528">
      <c r="A1528" s="40">
        <f t="array" ref="A1528">IFNA(index(PlayerValues!A:A,match(IFNA(vlookup(B1528,'Special Names'!A:B,2,FALSE),B1528),PlayerValues!E:E,0)),"N/A")</f>
        <v>15237</v>
      </c>
      <c r="B1528" s="4" t="s">
        <v>336</v>
      </c>
      <c r="C1528" s="4" t="s">
        <v>283</v>
      </c>
      <c r="D1528" s="94">
        <v>6319.0</v>
      </c>
    </row>
    <row r="1529">
      <c r="A1529" s="40">
        <f t="array" ref="A1529">IFNA(index(PlayerValues!A:A,match(IFNA(vlookup(B1529,'Special Names'!A:B,2,FALSE),B1529),PlayerValues!E:E,0)),"N/A")</f>
        <v>15762</v>
      </c>
      <c r="B1529" s="4" t="s">
        <v>337</v>
      </c>
      <c r="C1529" s="4" t="s">
        <v>287</v>
      </c>
      <c r="D1529" s="94">
        <v>6253.0</v>
      </c>
    </row>
    <row r="1530">
      <c r="A1530" s="40">
        <f t="array" ref="A1530">IFNA(index(PlayerValues!A:A,match(IFNA(vlookup(B1530,'Special Names'!A:B,2,FALSE),B1530),PlayerValues!E:E,0)),"N/A")</f>
        <v>17081</v>
      </c>
      <c r="B1530" s="4" t="s">
        <v>340</v>
      </c>
      <c r="C1530" s="4" t="s">
        <v>287</v>
      </c>
      <c r="D1530" s="94">
        <v>6191.0</v>
      </c>
    </row>
    <row r="1531">
      <c r="A1531" s="40">
        <f t="array" ref="A1531">IFNA(index(PlayerValues!A:A,match(IFNA(vlookup(B1531,'Special Names'!A:B,2,FALSE),B1531),PlayerValues!E:E,0)),"N/A")</f>
        <v>17071</v>
      </c>
      <c r="B1531" s="4" t="s">
        <v>341</v>
      </c>
      <c r="C1531" s="4" t="s">
        <v>287</v>
      </c>
      <c r="D1531" s="94">
        <v>6187.0</v>
      </c>
    </row>
    <row r="1532">
      <c r="A1532" s="40">
        <f t="array" ref="A1532">IFNA(index(PlayerValues!A:A,match(IFNA(vlookup(B1532,'Special Names'!A:B,2,FALSE),B1532),PlayerValues!E:E,0)),"N/A")</f>
        <v>14783</v>
      </c>
      <c r="B1532" s="4" t="s">
        <v>342</v>
      </c>
      <c r="C1532" s="4" t="s">
        <v>283</v>
      </c>
      <c r="D1532" s="94">
        <v>6041.0</v>
      </c>
    </row>
    <row r="1533">
      <c r="A1533" s="40">
        <f t="array" ref="A1533">IFNA(index(PlayerValues!A:A,match(IFNA(vlookup(B1533,'Special Names'!A:B,2,FALSE),B1533),PlayerValues!E:E,0)),"N/A")</f>
        <v>16582</v>
      </c>
      <c r="B1533" s="4" t="s">
        <v>343</v>
      </c>
      <c r="C1533" s="4" t="s">
        <v>283</v>
      </c>
      <c r="D1533" s="94">
        <v>6025.0</v>
      </c>
    </row>
    <row r="1534">
      <c r="A1534" s="40">
        <f t="array" ref="A1534">IFNA(index(PlayerValues!A:A,match(IFNA(vlookup(B1534,'Special Names'!A:B,2,FALSE),B1534),PlayerValues!E:E,0)),"N/A")</f>
        <v>17102</v>
      </c>
      <c r="B1534" s="4" t="s">
        <v>344</v>
      </c>
      <c r="C1534" s="4" t="s">
        <v>298</v>
      </c>
      <c r="D1534" s="94">
        <v>6638.0</v>
      </c>
    </row>
    <row r="1535">
      <c r="A1535" s="40">
        <f t="array" ref="A1535">IFNA(index(PlayerValues!A:A,match(IFNA(vlookup(B1535,'Special Names'!A:B,2,FALSE),B1535),PlayerValues!E:E,0)),"N/A")</f>
        <v>13116</v>
      </c>
      <c r="B1535" s="4" t="s">
        <v>345</v>
      </c>
      <c r="C1535" s="4" t="s">
        <v>283</v>
      </c>
      <c r="D1535" s="94">
        <v>5960.0</v>
      </c>
    </row>
    <row r="1536">
      <c r="A1536" s="40">
        <f t="array" ref="A1536">IFNA(index(PlayerValues!A:A,match(IFNA(vlookup(B1536,'Special Names'!A:B,2,FALSE),B1536),PlayerValues!E:E,0)),"N/A")</f>
        <v>17032</v>
      </c>
      <c r="B1536" s="4" t="s">
        <v>348</v>
      </c>
      <c r="C1536" s="4" t="s">
        <v>283</v>
      </c>
      <c r="D1536" s="94">
        <v>5886.0</v>
      </c>
    </row>
    <row r="1537">
      <c r="A1537" s="40">
        <f t="array" ref="A1537">IFNA(index(PlayerValues!A:A,match(IFNA(vlookup(B1537,'Special Names'!A:B,2,FALSE),B1537),PlayerValues!E:E,0)),"N/A")</f>
        <v>15711</v>
      </c>
      <c r="B1537" s="4" t="s">
        <v>349</v>
      </c>
      <c r="C1537" s="4" t="s">
        <v>278</v>
      </c>
      <c r="D1537" s="94">
        <v>5750.0</v>
      </c>
    </row>
    <row r="1538">
      <c r="A1538" s="40">
        <f t="array" ref="A1538">IFNA(index(PlayerValues!A:A,match(IFNA(vlookup(B1538,'Special Names'!A:B,2,FALSE),B1538),PlayerValues!E:E,0)),"N/A")</f>
        <v>16181</v>
      </c>
      <c r="B1538" s="4" t="s">
        <v>350</v>
      </c>
      <c r="C1538" s="4" t="s">
        <v>278</v>
      </c>
      <c r="D1538" s="94">
        <v>5745.0</v>
      </c>
    </row>
    <row r="1539">
      <c r="A1539" s="40">
        <f t="array" ref="A1539">IFNA(index(PlayerValues!A:A,match(IFNA(vlookup(B1539,'Special Names'!A:B,2,FALSE),B1539),PlayerValues!E:E,0)),"N/A")</f>
        <v>16627</v>
      </c>
      <c r="B1539" s="4" t="s">
        <v>351</v>
      </c>
      <c r="C1539" s="4" t="s">
        <v>287</v>
      </c>
      <c r="D1539" s="94">
        <v>5742.0</v>
      </c>
    </row>
    <row r="1540">
      <c r="A1540" s="40">
        <f t="array" ref="A1540">IFNA(index(PlayerValues!A:A,match(IFNA(vlookup(B1540,'Special Names'!A:B,2,FALSE),B1540),PlayerValues!E:E,0)),"N/A")</f>
        <v>15754</v>
      </c>
      <c r="B1540" s="4" t="s">
        <v>354</v>
      </c>
      <c r="C1540" s="4" t="s">
        <v>287</v>
      </c>
      <c r="D1540" s="94">
        <v>5739.0</v>
      </c>
    </row>
    <row r="1541">
      <c r="A1541" s="40">
        <f t="array" ref="A1541">IFNA(index(PlayerValues!A:A,match(IFNA(vlookup(B1541,'Special Names'!A:B,2,FALSE),B1541),PlayerValues!E:E,0)),"N/A")</f>
        <v>15290</v>
      </c>
      <c r="B1541" s="4" t="s">
        <v>355</v>
      </c>
      <c r="C1541" s="4" t="s">
        <v>287</v>
      </c>
      <c r="D1541" s="94">
        <v>5732.0</v>
      </c>
    </row>
    <row r="1542">
      <c r="A1542" s="40">
        <f t="array" ref="A1542">IFNA(index(PlayerValues!A:A,match(IFNA(vlookup(B1542,'Special Names'!A:B,2,FALSE),B1542),PlayerValues!E:E,0)),"N/A")</f>
        <v>15698</v>
      </c>
      <c r="B1542" s="4" t="s">
        <v>358</v>
      </c>
      <c r="C1542" s="4" t="s">
        <v>283</v>
      </c>
      <c r="D1542" s="94">
        <v>5659.0</v>
      </c>
    </row>
    <row r="1543">
      <c r="A1543" s="40">
        <f t="array" ref="A1543">IFNA(index(PlayerValues!A:A,match(IFNA(vlookup(B1543,'Special Names'!A:B,2,FALSE),B1543),PlayerValues!E:E,0)),"N/A")</f>
        <v>15753</v>
      </c>
      <c r="B1543" s="4" t="s">
        <v>359</v>
      </c>
      <c r="C1543" s="4" t="s">
        <v>287</v>
      </c>
      <c r="D1543" s="94">
        <v>5652.0</v>
      </c>
    </row>
    <row r="1544">
      <c r="A1544" s="40" t="str">
        <f t="array" ref="A1544">IFNA(index(PlayerValues!A:A,match(IFNA(vlookup(B1544,'Special Names'!A:B,2,FALSE),B1544),PlayerValues!E:E,0)),"N/A")</f>
        <v>N/A</v>
      </c>
      <c r="B1544" s="4" t="s">
        <v>93</v>
      </c>
      <c r="C1544" s="4" t="s">
        <v>325</v>
      </c>
      <c r="D1544" s="94">
        <v>5600.0</v>
      </c>
    </row>
    <row r="1545">
      <c r="A1545" s="40">
        <f t="array" ref="A1545">IFNA(index(PlayerValues!A:A,match(IFNA(vlookup(B1545,'Special Names'!A:B,2,FALSE),B1545),PlayerValues!E:E,0)),"N/A")</f>
        <v>15282</v>
      </c>
      <c r="B1545" s="4" t="s">
        <v>364</v>
      </c>
      <c r="C1545" s="4" t="s">
        <v>287</v>
      </c>
      <c r="D1545" s="94">
        <v>5569.0</v>
      </c>
    </row>
    <row r="1546">
      <c r="A1546" s="40">
        <f t="array" ref="A1546">IFNA(index(PlayerValues!A:A,match(IFNA(vlookup(B1546,'Special Names'!A:B,2,FALSE),B1546),PlayerValues!E:E,0)),"N/A")</f>
        <v>17497</v>
      </c>
      <c r="B1546" s="4" t="s">
        <v>365</v>
      </c>
      <c r="C1546" s="4" t="s">
        <v>287</v>
      </c>
      <c r="D1546" s="94">
        <v>5568.0</v>
      </c>
    </row>
    <row r="1547">
      <c r="A1547" s="40" t="str">
        <f t="array" ref="A1547">IFNA(index(PlayerValues!A:A,match(IFNA(vlookup(B1547,'Special Names'!A:B,2,FALSE),B1547),PlayerValues!E:E,0)),"N/A")</f>
        <v>N/A</v>
      </c>
      <c r="B1547" s="4" t="s">
        <v>79</v>
      </c>
      <c r="C1547" s="4" t="s">
        <v>325</v>
      </c>
      <c r="D1547" s="94">
        <v>5527.0</v>
      </c>
    </row>
    <row r="1548">
      <c r="A1548" s="40">
        <f t="array" ref="A1548">IFNA(index(PlayerValues!A:A,match(IFNA(vlookup(B1548,'Special Names'!A:B,2,FALSE),B1548),PlayerValues!E:E,0)),"N/A")</f>
        <v>17070</v>
      </c>
      <c r="B1548" s="4" t="s">
        <v>370</v>
      </c>
      <c r="C1548" s="4" t="s">
        <v>287</v>
      </c>
      <c r="D1548" s="94">
        <v>5497.0</v>
      </c>
    </row>
    <row r="1549">
      <c r="A1549" s="40">
        <f t="array" ref="A1549">IFNA(index(PlayerValues!A:A,match(IFNA(vlookup(B1549,'Special Names'!A:B,2,FALSE),B1549),PlayerValues!E:E,0)),"N/A")</f>
        <v>16190</v>
      </c>
      <c r="B1549" s="4" t="s">
        <v>371</v>
      </c>
      <c r="C1549" s="4" t="s">
        <v>287</v>
      </c>
      <c r="D1549" s="94">
        <v>5339.0</v>
      </c>
    </row>
    <row r="1550">
      <c r="A1550" s="40">
        <f t="array" ref="A1550">IFNA(index(PlayerValues!A:A,match(IFNA(vlookup(B1550,'Special Names'!A:B,2,FALSE),B1550),PlayerValues!E:E,0)),"N/A")</f>
        <v>13130</v>
      </c>
      <c r="B1550" s="4" t="s">
        <v>374</v>
      </c>
      <c r="C1550" s="4" t="s">
        <v>278</v>
      </c>
      <c r="D1550" s="94">
        <v>5305.0</v>
      </c>
    </row>
    <row r="1551">
      <c r="A1551" s="40">
        <f t="array" ref="A1551">IFNA(index(PlayerValues!A:A,match(IFNA(vlookup(B1551,'Special Names'!A:B,2,FALSE),B1551),PlayerValues!E:E,0)),"N/A")</f>
        <v>17462</v>
      </c>
      <c r="B1551" s="4" t="s">
        <v>375</v>
      </c>
      <c r="C1551" s="4" t="s">
        <v>283</v>
      </c>
      <c r="D1551" s="94">
        <v>5303.0</v>
      </c>
    </row>
    <row r="1552">
      <c r="A1552" s="40">
        <f t="array" ref="A1552">IFNA(index(PlayerValues!A:A,match(IFNA(vlookup(B1552,'Special Names'!A:B,2,FALSE),B1552),PlayerValues!E:E,0)),"N/A")</f>
        <v>13604</v>
      </c>
      <c r="B1552" s="4" t="s">
        <v>378</v>
      </c>
      <c r="C1552" s="4" t="s">
        <v>278</v>
      </c>
      <c r="D1552" s="94">
        <v>5288.0</v>
      </c>
    </row>
    <row r="1553">
      <c r="A1553" s="40">
        <f t="array" ref="A1553">IFNA(index(PlayerValues!A:A,match(IFNA(vlookup(B1553,'Special Names'!A:B,2,FALSE),B1553),PlayerValues!E:E,0)),"N/A")</f>
        <v>14104</v>
      </c>
      <c r="B1553" s="4" t="s">
        <v>379</v>
      </c>
      <c r="C1553" s="4" t="s">
        <v>287</v>
      </c>
      <c r="D1553" s="94">
        <v>5287.0</v>
      </c>
    </row>
    <row r="1554">
      <c r="A1554" s="40">
        <f t="array" ref="A1554">IFNA(index(PlayerValues!A:A,match(IFNA(vlookup(B1554,'Special Names'!A:B,2,FALSE),B1554),PlayerValues!E:E,0)),"N/A")</f>
        <v>15708</v>
      </c>
      <c r="B1554" s="4" t="s">
        <v>382</v>
      </c>
      <c r="C1554" s="4" t="s">
        <v>278</v>
      </c>
      <c r="D1554" s="94">
        <v>5287.0</v>
      </c>
    </row>
    <row r="1555">
      <c r="A1555" s="40">
        <f t="array" ref="A1555">IFNA(index(PlayerValues!A:A,match(IFNA(vlookup(B1555,'Special Names'!A:B,2,FALSE),B1555),PlayerValues!E:E,0)),"N/A")</f>
        <v>14782</v>
      </c>
      <c r="B1555" s="4" t="s">
        <v>385</v>
      </c>
      <c r="C1555" s="4" t="s">
        <v>283</v>
      </c>
      <c r="D1555" s="94">
        <v>5284.0</v>
      </c>
    </row>
    <row r="1556">
      <c r="A1556" s="40" t="str">
        <f t="array" ref="A1556">IFNA(index(PlayerValues!A:A,match(IFNA(vlookup(B1556,'Special Names'!A:B,2,FALSE),B1556),PlayerValues!E:E,0)),"N/A")</f>
        <v>N/A</v>
      </c>
      <c r="B1556" s="4" t="s">
        <v>104</v>
      </c>
      <c r="C1556" s="4" t="s">
        <v>325</v>
      </c>
      <c r="D1556" s="94">
        <v>5247.0</v>
      </c>
    </row>
    <row r="1557">
      <c r="A1557" s="40">
        <f t="array" ref="A1557">IFNA(index(PlayerValues!A:A,match(IFNA(vlookup(B1557,'Special Names'!A:B,2,FALSE),B1557),PlayerValues!E:E,0)),"N/A")</f>
        <v>17051</v>
      </c>
      <c r="B1557" s="4" t="s">
        <v>386</v>
      </c>
      <c r="C1557" s="4" t="s">
        <v>278</v>
      </c>
      <c r="D1557" s="94">
        <v>5241.0</v>
      </c>
    </row>
    <row r="1558">
      <c r="A1558" s="40">
        <f t="array" ref="A1558">IFNA(index(PlayerValues!A:A,match(IFNA(vlookup(B1558,'Special Names'!A:B,2,FALSE),B1558),PlayerValues!E:E,0)),"N/A")</f>
        <v>16616</v>
      </c>
      <c r="B1558" s="4" t="s">
        <v>389</v>
      </c>
      <c r="C1558" s="4" t="s">
        <v>287</v>
      </c>
      <c r="D1558" s="94">
        <v>5222.0</v>
      </c>
    </row>
    <row r="1559">
      <c r="A1559" s="40">
        <f t="array" ref="A1559">IFNA(index(PlayerValues!A:A,match(IFNA(vlookup(B1559,'Special Names'!A:B,2,FALSE),B1559),PlayerValues!E:E,0)),"N/A")</f>
        <v>15284</v>
      </c>
      <c r="B1559" s="4" t="s">
        <v>390</v>
      </c>
      <c r="C1559" s="4" t="s">
        <v>287</v>
      </c>
      <c r="D1559" s="94">
        <v>5191.0</v>
      </c>
    </row>
    <row r="1560">
      <c r="A1560" s="40">
        <f t="array" ref="A1560">IFNA(index(PlayerValues!A:A,match(IFNA(vlookup(B1560,'Special Names'!A:B,2,FALSE),B1560),PlayerValues!E:E,0)),"N/A")</f>
        <v>17473</v>
      </c>
      <c r="B1560" s="4" t="s">
        <v>391</v>
      </c>
      <c r="C1560" s="4" t="s">
        <v>278</v>
      </c>
      <c r="D1560" s="94">
        <v>5116.0</v>
      </c>
    </row>
    <row r="1561">
      <c r="A1561" s="40">
        <f t="array" ref="A1561">IFNA(index(PlayerValues!A:A,match(IFNA(vlookup(B1561,'Special Names'!A:B,2,FALSE),B1561),PlayerValues!E:E,0)),"N/A")</f>
        <v>14835</v>
      </c>
      <c r="B1561" s="4" t="s">
        <v>392</v>
      </c>
      <c r="C1561" s="4" t="s">
        <v>287</v>
      </c>
      <c r="D1561" s="94">
        <v>5095.0</v>
      </c>
    </row>
    <row r="1562">
      <c r="A1562" s="40">
        <f t="array" ref="A1562">IFNA(index(PlayerValues!A:A,match(IFNA(vlookup(B1562,'Special Names'!A:B,2,FALSE),B1562),PlayerValues!E:E,0)),"N/A")</f>
        <v>16222</v>
      </c>
      <c r="B1562" s="4" t="s">
        <v>393</v>
      </c>
      <c r="C1562" s="4" t="s">
        <v>298</v>
      </c>
      <c r="D1562" s="94">
        <v>5638.0</v>
      </c>
    </row>
    <row r="1563">
      <c r="A1563" s="40">
        <f t="array" ref="A1563">IFNA(index(PlayerValues!A:A,match(IFNA(vlookup(B1563,'Special Names'!A:B,2,FALSE),B1563),PlayerValues!E:E,0)),"N/A")</f>
        <v>12620</v>
      </c>
      <c r="B1563" s="4" t="s">
        <v>394</v>
      </c>
      <c r="C1563" s="4" t="s">
        <v>283</v>
      </c>
      <c r="D1563" s="94">
        <v>5050.0</v>
      </c>
    </row>
    <row r="1564">
      <c r="A1564" s="40">
        <f t="array" ref="A1564">IFNA(index(PlayerValues!A:A,match(IFNA(vlookup(B1564,'Special Names'!A:B,2,FALSE),B1564),PlayerValues!E:E,0)),"N/A")</f>
        <v>15710</v>
      </c>
      <c r="B1564" s="4" t="s">
        <v>395</v>
      </c>
      <c r="C1564" s="4" t="s">
        <v>278</v>
      </c>
      <c r="D1564" s="94">
        <v>4953.0</v>
      </c>
    </row>
    <row r="1565">
      <c r="A1565" s="40">
        <f t="array" ref="A1565">IFNA(index(PlayerValues!A:A,match(IFNA(vlookup(B1565,'Special Names'!A:B,2,FALSE),B1565),PlayerValues!E:E,0)),"N/A")</f>
        <v>17498</v>
      </c>
      <c r="B1565" s="4" t="s">
        <v>396</v>
      </c>
      <c r="C1565" s="4" t="s">
        <v>287</v>
      </c>
      <c r="D1565" s="94">
        <v>4948.0</v>
      </c>
    </row>
    <row r="1566">
      <c r="A1566" s="40" t="str">
        <f t="array" ref="A1566">IFNA(index(PlayerValues!A:A,match(IFNA(vlookup(B1566,'Special Names'!A:B,2,FALSE),B1566),PlayerValues!E:E,0)),"N/A")</f>
        <v>N/A</v>
      </c>
      <c r="B1566" s="4" t="s">
        <v>94</v>
      </c>
      <c r="C1566" s="4" t="s">
        <v>325</v>
      </c>
      <c r="D1566" s="94">
        <v>4941.0</v>
      </c>
    </row>
    <row r="1567">
      <c r="A1567" s="40">
        <f t="array" ref="A1567">IFNA(index(PlayerValues!A:A,match(IFNA(vlookup(B1567,'Special Names'!A:B,2,FALSE),B1567),PlayerValues!E:E,0)),"N/A")</f>
        <v>17043</v>
      </c>
      <c r="B1567" s="4" t="s">
        <v>397</v>
      </c>
      <c r="C1567" s="4" t="s">
        <v>278</v>
      </c>
      <c r="D1567" s="94">
        <v>4930.0</v>
      </c>
    </row>
    <row r="1568">
      <c r="A1568" s="40">
        <f t="array" ref="A1568">IFNA(index(PlayerValues!A:A,match(IFNA(vlookup(B1568,'Special Names'!A:B,2,FALSE),B1568),PlayerValues!E:E,0)),"N/A")</f>
        <v>16194</v>
      </c>
      <c r="B1568" s="4" t="s">
        <v>398</v>
      </c>
      <c r="C1568" s="4" t="s">
        <v>287</v>
      </c>
      <c r="D1568" s="94">
        <v>4834.0</v>
      </c>
    </row>
    <row r="1569">
      <c r="A1569" s="40">
        <f t="array" ref="A1569">IFNA(index(PlayerValues!A:A,match(IFNA(vlookup(B1569,'Special Names'!A:B,2,FALSE),B1569),PlayerValues!E:E,0)),"N/A")</f>
        <v>15756</v>
      </c>
      <c r="B1569" s="4" t="s">
        <v>399</v>
      </c>
      <c r="C1569" s="4" t="s">
        <v>287</v>
      </c>
      <c r="D1569" s="94">
        <v>4829.0</v>
      </c>
    </row>
    <row r="1570">
      <c r="A1570" s="40">
        <f t="array" ref="A1570">IFNA(index(PlayerValues!A:A,match(IFNA(vlookup(B1570,'Special Names'!A:B,2,FALSE),B1570),PlayerValues!E:E,0)),"N/A")</f>
        <v>17039</v>
      </c>
      <c r="B1570" s="4" t="s">
        <v>400</v>
      </c>
      <c r="C1570" s="4" t="s">
        <v>283</v>
      </c>
      <c r="D1570" s="94">
        <v>4800.0</v>
      </c>
    </row>
    <row r="1571">
      <c r="A1571" s="40">
        <f t="array" ref="A1571">IFNA(index(PlayerValues!A:A,match(IFNA(vlookup(B1571,'Special Names'!A:B,2,FALSE),B1571),PlayerValues!E:E,0)),"N/A")</f>
        <v>15256</v>
      </c>
      <c r="B1571" s="4" t="s">
        <v>401</v>
      </c>
      <c r="C1571" s="4" t="s">
        <v>278</v>
      </c>
      <c r="D1571" s="94">
        <v>4792.0</v>
      </c>
    </row>
    <row r="1572">
      <c r="A1572" s="40">
        <f t="array" ref="A1572">IFNA(index(PlayerValues!A:A,match(IFNA(vlookup(B1572,'Special Names'!A:B,2,FALSE),B1572),PlayerValues!E:E,0)),"N/A")</f>
        <v>17499</v>
      </c>
      <c r="B1572" s="4" t="s">
        <v>402</v>
      </c>
      <c r="C1572" s="4" t="s">
        <v>287</v>
      </c>
      <c r="D1572" s="94">
        <v>4768.0</v>
      </c>
    </row>
    <row r="1573">
      <c r="A1573" s="40">
        <f t="array" ref="A1573">IFNA(index(PlayerValues!A:A,match(IFNA(vlookup(B1573,'Special Names'!A:B,2,FALSE),B1573),PlayerValues!E:E,0)),"N/A")</f>
        <v>16614</v>
      </c>
      <c r="B1573" s="4" t="s">
        <v>403</v>
      </c>
      <c r="C1573" s="4" t="s">
        <v>287</v>
      </c>
      <c r="D1573" s="94">
        <v>4744.0</v>
      </c>
    </row>
    <row r="1574">
      <c r="A1574" s="40" t="str">
        <f t="array" ref="A1574">IFNA(index(PlayerValues!A:A,match(IFNA(vlookup(B1574,'Special Names'!A:B,2,FALSE),B1574),PlayerValues!E:E,0)),"N/A")</f>
        <v>N/A</v>
      </c>
      <c r="B1574" s="4" t="s">
        <v>80</v>
      </c>
      <c r="C1574" s="4" t="s">
        <v>325</v>
      </c>
      <c r="D1574" s="94">
        <v>4733.0</v>
      </c>
    </row>
    <row r="1575">
      <c r="A1575" s="40">
        <f t="array" ref="A1575">IFNA(index(PlayerValues!A:A,match(IFNA(vlookup(B1575,'Special Names'!A:B,2,FALSE),B1575),PlayerValues!E:E,0)),"N/A")</f>
        <v>17501</v>
      </c>
      <c r="B1575" s="4" t="s">
        <v>404</v>
      </c>
      <c r="C1575" s="4" t="s">
        <v>287</v>
      </c>
      <c r="D1575" s="94">
        <v>4717.0</v>
      </c>
    </row>
    <row r="1576">
      <c r="A1576" s="40">
        <f t="array" ref="A1576">IFNA(index(PlayerValues!A:A,match(IFNA(vlookup(B1576,'Special Names'!A:B,2,FALSE),B1576),PlayerValues!E:E,0)),"N/A")</f>
        <v>17103</v>
      </c>
      <c r="B1576" s="4" t="s">
        <v>405</v>
      </c>
      <c r="C1576" s="4" t="s">
        <v>298</v>
      </c>
      <c r="D1576" s="94">
        <v>5259.0</v>
      </c>
    </row>
    <row r="1577">
      <c r="A1577" s="40">
        <f t="array" ref="A1577">IFNA(index(PlayerValues!A:A,match(IFNA(vlookup(B1577,'Special Names'!A:B,2,FALSE),B1577),PlayerValues!E:E,0)),"N/A")</f>
        <v>17030</v>
      </c>
      <c r="B1577" s="4" t="s">
        <v>406</v>
      </c>
      <c r="C1577" s="4" t="s">
        <v>283</v>
      </c>
      <c r="D1577" s="94">
        <v>4696.0</v>
      </c>
    </row>
    <row r="1578">
      <c r="A1578" s="40">
        <f t="array" ref="A1578">IFNA(index(PlayerValues!A:A,match(IFNA(vlookup(B1578,'Special Names'!A:B,2,FALSE),B1578),PlayerValues!E:E,0)),"N/A")</f>
        <v>17045</v>
      </c>
      <c r="B1578" s="4" t="s">
        <v>407</v>
      </c>
      <c r="C1578" s="4" t="s">
        <v>278</v>
      </c>
      <c r="D1578" s="94">
        <v>4653.0</v>
      </c>
    </row>
    <row r="1579">
      <c r="A1579" s="40">
        <f t="array" ref="A1579">IFNA(index(PlayerValues!A:A,match(IFNA(vlookup(B1579,'Special Names'!A:B,2,FALSE),B1579),PlayerValues!E:E,0)),"N/A")</f>
        <v>16598</v>
      </c>
      <c r="B1579" s="4" t="s">
        <v>408</v>
      </c>
      <c r="C1579" s="4" t="s">
        <v>278</v>
      </c>
      <c r="D1579" s="94">
        <v>4611.0</v>
      </c>
    </row>
    <row r="1580">
      <c r="A1580" s="40">
        <f t="array" ref="A1580">IFNA(index(PlayerValues!A:A,match(IFNA(vlookup(B1580,'Special Names'!A:B,2,FALSE),B1580),PlayerValues!E:E,0)),"N/A")</f>
        <v>13590</v>
      </c>
      <c r="B1580" s="4" t="s">
        <v>409</v>
      </c>
      <c r="C1580" s="4" t="s">
        <v>283</v>
      </c>
      <c r="D1580" s="94">
        <v>4588.0</v>
      </c>
    </row>
    <row r="1581">
      <c r="A1581" s="40" t="str">
        <f t="array" ref="A1581">IFNA(index(PlayerValues!A:A,match(IFNA(vlookup(B1581,'Special Names'!A:B,2,FALSE),B1581),PlayerValues!E:E,0)),"N/A")</f>
        <v>N/A</v>
      </c>
      <c r="B1581" s="4" t="s">
        <v>105</v>
      </c>
      <c r="C1581" s="4" t="s">
        <v>325</v>
      </c>
      <c r="D1581" s="94">
        <v>4587.0</v>
      </c>
    </row>
    <row r="1582">
      <c r="A1582" s="40">
        <f t="array" ref="A1582">IFNA(index(PlayerValues!A:A,match(IFNA(vlookup(B1582,'Special Names'!A:B,2,FALSE),B1582),PlayerValues!E:E,0)),"N/A")</f>
        <v>12611</v>
      </c>
      <c r="B1582" s="4" t="s">
        <v>410</v>
      </c>
      <c r="C1582" s="4" t="s">
        <v>283</v>
      </c>
      <c r="D1582" s="94">
        <v>4567.0</v>
      </c>
    </row>
    <row r="1583">
      <c r="A1583" s="40">
        <f t="array" ref="A1583">IFNA(index(PlayerValues!A:A,match(IFNA(vlookup(B1583,'Special Names'!A:B,2,FALSE),B1583),PlayerValues!E:E,0)),"N/A")</f>
        <v>16618</v>
      </c>
      <c r="B1583" s="4" t="s">
        <v>411</v>
      </c>
      <c r="C1583" s="4" t="s">
        <v>287</v>
      </c>
      <c r="D1583" s="94">
        <v>4563.0</v>
      </c>
    </row>
    <row r="1584">
      <c r="A1584" s="40">
        <f t="array" ref="A1584">IFNA(index(PlayerValues!A:A,match(IFNA(vlookup(B1584,'Special Names'!A:B,2,FALSE),B1584),PlayerValues!E:E,0)),"N/A")</f>
        <v>16192</v>
      </c>
      <c r="B1584" s="4" t="s">
        <v>412</v>
      </c>
      <c r="C1584" s="4" t="s">
        <v>287</v>
      </c>
      <c r="D1584" s="94">
        <v>4555.0</v>
      </c>
    </row>
    <row r="1585">
      <c r="A1585" s="40">
        <f t="array" ref="A1585">IFNA(index(PlayerValues!A:A,match(IFNA(vlookup(B1585,'Special Names'!A:B,2,FALSE),B1585),PlayerValues!E:E,0)),"N/A")</f>
        <v>16214</v>
      </c>
      <c r="B1585" s="4" t="s">
        <v>413</v>
      </c>
      <c r="C1585" s="4" t="s">
        <v>298</v>
      </c>
      <c r="D1585" s="94">
        <v>5080.0</v>
      </c>
    </row>
    <row r="1586">
      <c r="A1586" s="40">
        <f t="array" ref="A1586">IFNA(index(PlayerValues!A:A,match(IFNA(vlookup(B1586,'Special Names'!A:B,2,FALSE),B1586),PlayerValues!E:E,0)),"N/A")</f>
        <v>16150</v>
      </c>
      <c r="B1586" s="4" t="s">
        <v>414</v>
      </c>
      <c r="C1586" s="4" t="s">
        <v>283</v>
      </c>
      <c r="D1586" s="94">
        <v>4462.0</v>
      </c>
    </row>
    <row r="1587">
      <c r="A1587" s="40">
        <f t="array" ref="A1587">IFNA(index(PlayerValues!A:A,match(IFNA(vlookup(B1587,'Special Names'!A:B,2,FALSE),B1587),PlayerValues!E:E,0)),"N/A")</f>
        <v>15253</v>
      </c>
      <c r="B1587" s="4" t="s">
        <v>415</v>
      </c>
      <c r="C1587" s="4" t="s">
        <v>278</v>
      </c>
      <c r="D1587" s="94">
        <v>4449.0</v>
      </c>
    </row>
    <row r="1588">
      <c r="A1588" s="40">
        <f t="array" ref="A1588">IFNA(index(PlayerValues!A:A,match(IFNA(vlookup(B1588,'Special Names'!A:B,2,FALSE),B1588),PlayerValues!E:E,0)),"N/A")</f>
        <v>15329</v>
      </c>
      <c r="B1588" s="4" t="s">
        <v>416</v>
      </c>
      <c r="C1588" s="4" t="s">
        <v>298</v>
      </c>
      <c r="D1588" s="94">
        <v>4876.0</v>
      </c>
    </row>
    <row r="1589">
      <c r="A1589" s="40">
        <f t="array" ref="A1589">IFNA(index(PlayerValues!A:A,match(IFNA(vlookup(B1589,'Special Names'!A:B,2,FALSE),B1589),PlayerValues!E:E,0)),"N/A")</f>
        <v>17052</v>
      </c>
      <c r="B1589" s="4" t="s">
        <v>417</v>
      </c>
      <c r="C1589" s="4" t="s">
        <v>278</v>
      </c>
      <c r="D1589" s="94">
        <v>4296.0</v>
      </c>
    </row>
    <row r="1590">
      <c r="A1590" s="40">
        <f t="array" ref="A1590">IFNA(index(PlayerValues!A:A,match(IFNA(vlookup(B1590,'Special Names'!A:B,2,FALSE),B1590),PlayerValues!E:E,0)),"N/A")</f>
        <v>13592</v>
      </c>
      <c r="B1590" s="4" t="s">
        <v>418</v>
      </c>
      <c r="C1590" s="4" t="s">
        <v>283</v>
      </c>
      <c r="D1590" s="94">
        <v>4259.0</v>
      </c>
    </row>
    <row r="1591">
      <c r="A1591" s="40">
        <f t="array" ref="A1591">IFNA(index(PlayerValues!A:A,match(IFNA(vlookup(B1591,'Special Names'!A:B,2,FALSE),B1591),PlayerValues!E:E,0)),"N/A")</f>
        <v>12626</v>
      </c>
      <c r="B1591" s="4" t="s">
        <v>419</v>
      </c>
      <c r="C1591" s="4" t="s">
        <v>278</v>
      </c>
      <c r="D1591" s="94">
        <v>4232.0</v>
      </c>
    </row>
    <row r="1592">
      <c r="A1592" s="40" t="str">
        <f t="array" ref="A1592">IFNA(index(PlayerValues!A:A,match(IFNA(vlookup(B1592,'Special Names'!A:B,2,FALSE),B1592),PlayerValues!E:E,0)),"N/A")</f>
        <v>N/A</v>
      </c>
      <c r="B1592" s="4" t="s">
        <v>107</v>
      </c>
      <c r="C1592" s="4" t="s">
        <v>325</v>
      </c>
      <c r="D1592" s="94">
        <v>4175.0</v>
      </c>
    </row>
    <row r="1593">
      <c r="A1593" s="40" t="str">
        <f t="array" ref="A1593">IFNA(index(PlayerValues!A:A,match(IFNA(vlookup(B1593,'Special Names'!A:B,2,FALSE),B1593),PlayerValues!E:E,0)),"N/A")</f>
        <v>N/A</v>
      </c>
      <c r="B1593" s="4" t="s">
        <v>81</v>
      </c>
      <c r="C1593" s="4" t="s">
        <v>325</v>
      </c>
      <c r="D1593" s="94">
        <v>4024.0</v>
      </c>
    </row>
    <row r="1594">
      <c r="A1594" s="40">
        <f t="array" ref="A1594">IFNA(index(PlayerValues!A:A,match(IFNA(vlookup(B1594,'Special Names'!A:B,2,FALSE),B1594),PlayerValues!E:E,0)),"N/A")</f>
        <v>14797</v>
      </c>
      <c r="B1594" s="4" t="s">
        <v>420</v>
      </c>
      <c r="C1594" s="4" t="s">
        <v>278</v>
      </c>
      <c r="D1594" s="94">
        <v>4007.0</v>
      </c>
    </row>
    <row r="1595">
      <c r="A1595" s="40">
        <f t="array" ref="A1595">IFNA(index(PlayerValues!A:A,match(IFNA(vlookup(B1595,'Special Names'!A:B,2,FALSE),B1595),PlayerValues!E:E,0)),"N/A")</f>
        <v>15789</v>
      </c>
      <c r="B1595" s="4" t="s">
        <v>421</v>
      </c>
      <c r="C1595" s="4" t="s">
        <v>287</v>
      </c>
      <c r="D1595" s="94">
        <v>3953.0</v>
      </c>
    </row>
    <row r="1596">
      <c r="A1596" s="40">
        <f t="array" ref="A1596">IFNA(index(PlayerValues!A:A,match(IFNA(vlookup(B1596,'Special Names'!A:B,2,FALSE),B1596),PlayerValues!E:E,0)),"N/A")</f>
        <v>17514</v>
      </c>
      <c r="B1596" s="4" t="s">
        <v>422</v>
      </c>
      <c r="C1596" s="4" t="s">
        <v>287</v>
      </c>
      <c r="D1596" s="94">
        <v>3918.0</v>
      </c>
    </row>
    <row r="1597">
      <c r="A1597" s="40">
        <f t="array" ref="A1597">IFNA(index(PlayerValues!A:A,match(IFNA(vlookup(B1597,'Special Names'!A:B,2,FALSE),B1597),PlayerValues!E:E,0)),"N/A")</f>
        <v>14056</v>
      </c>
      <c r="B1597" s="4" t="s">
        <v>423</v>
      </c>
      <c r="C1597" s="4" t="s">
        <v>283</v>
      </c>
      <c r="D1597" s="94">
        <v>3852.0</v>
      </c>
    </row>
    <row r="1598">
      <c r="A1598" s="40">
        <f t="array" ref="A1598">IFNA(index(PlayerValues!A:A,match(IFNA(vlookup(B1598,'Special Names'!A:B,2,FALSE),B1598),PlayerValues!E:E,0)),"N/A")</f>
        <v>13635</v>
      </c>
      <c r="B1598" s="4" t="s">
        <v>424</v>
      </c>
      <c r="C1598" s="4" t="s">
        <v>287</v>
      </c>
      <c r="D1598" s="94">
        <v>3811.0</v>
      </c>
    </row>
    <row r="1599">
      <c r="A1599" s="40" t="str">
        <f t="array" ref="A1599">IFNA(index(PlayerValues!A:A,match(IFNA(vlookup(B1599,'Special Names'!A:B,2,FALSE),B1599),PlayerValues!E:E,0)),"N/A")</f>
        <v>N/A</v>
      </c>
      <c r="B1599" s="4" t="s">
        <v>95</v>
      </c>
      <c r="C1599" s="4" t="s">
        <v>325</v>
      </c>
      <c r="D1599" s="94">
        <v>3809.0</v>
      </c>
    </row>
    <row r="1600">
      <c r="A1600" s="40">
        <f t="array" ref="A1600">IFNA(index(PlayerValues!A:A,match(IFNA(vlookup(B1600,'Special Names'!A:B,2,FALSE),B1600),PlayerValues!E:E,0)),"N/A")</f>
        <v>16186</v>
      </c>
      <c r="B1600" s="4" t="s">
        <v>425</v>
      </c>
      <c r="C1600" s="4" t="s">
        <v>287</v>
      </c>
      <c r="D1600" s="94">
        <v>3788.0</v>
      </c>
    </row>
    <row r="1601">
      <c r="A1601" s="40">
        <f t="array" ref="A1601">IFNA(index(PlayerValues!A:A,match(IFNA(vlookup(B1601,'Special Names'!A:B,2,FALSE),B1601),PlayerValues!E:E,0)),"N/A")</f>
        <v>16148</v>
      </c>
      <c r="B1601" s="4" t="s">
        <v>426</v>
      </c>
      <c r="C1601" s="4" t="s">
        <v>283</v>
      </c>
      <c r="D1601" s="94">
        <v>3755.0</v>
      </c>
    </row>
    <row r="1602">
      <c r="A1602" s="40">
        <f t="array" ref="A1602">IFNA(index(PlayerValues!A:A,match(IFNA(vlookup(B1602,'Special Names'!A:B,2,FALSE),B1602),PlayerValues!E:E,0)),"N/A")</f>
        <v>16597</v>
      </c>
      <c r="B1602" s="4" t="s">
        <v>427</v>
      </c>
      <c r="C1602" s="4" t="s">
        <v>278</v>
      </c>
      <c r="D1602" s="94">
        <v>3753.0</v>
      </c>
    </row>
    <row r="1603">
      <c r="A1603" s="40">
        <f t="array" ref="A1603">IFNA(index(PlayerValues!A:A,match(IFNA(vlookup(B1603,'Special Names'!A:B,2,FALSE),B1603),PlayerValues!E:E,0)),"N/A")</f>
        <v>9431</v>
      </c>
      <c r="B1603" s="4" t="s">
        <v>428</v>
      </c>
      <c r="C1603" s="4" t="s">
        <v>283</v>
      </c>
      <c r="D1603" s="94">
        <v>3735.0</v>
      </c>
    </row>
    <row r="1604">
      <c r="A1604" s="40">
        <f t="array" ref="A1604">IFNA(index(PlayerValues!A:A,match(IFNA(vlookup(B1604,'Special Names'!A:B,2,FALSE),B1604),PlayerValues!E:E,0)),"N/A")</f>
        <v>17075</v>
      </c>
      <c r="B1604" s="4" t="s">
        <v>429</v>
      </c>
      <c r="C1604" s="4" t="s">
        <v>287</v>
      </c>
      <c r="D1604" s="94">
        <v>3729.0</v>
      </c>
    </row>
    <row r="1605">
      <c r="A1605" s="40">
        <f t="array" ref="A1605">IFNA(index(PlayerValues!A:A,match(IFNA(vlookup(B1605,'Special Names'!A:B,2,FALSE),B1605),PlayerValues!E:E,0)),"N/A")</f>
        <v>17500</v>
      </c>
      <c r="B1605" s="4" t="s">
        <v>430</v>
      </c>
      <c r="C1605" s="4" t="s">
        <v>287</v>
      </c>
      <c r="D1605" s="94">
        <v>3722.0</v>
      </c>
    </row>
    <row r="1606">
      <c r="A1606" s="40">
        <f t="array" ref="A1606">IFNA(index(PlayerValues!A:A,match(IFNA(vlookup(B1606,'Special Names'!A:B,2,FALSE),B1606),PlayerValues!E:E,0)),"N/A")</f>
        <v>16206</v>
      </c>
      <c r="B1606" s="4" t="s">
        <v>431</v>
      </c>
      <c r="C1606" s="4" t="s">
        <v>287</v>
      </c>
      <c r="D1606" s="94">
        <v>3720.0</v>
      </c>
    </row>
    <row r="1607">
      <c r="A1607" s="40">
        <f t="array" ref="A1607">IFNA(index(PlayerValues!A:A,match(IFNA(vlookup(B1607,'Special Names'!A:B,2,FALSE),B1607),PlayerValues!E:E,0)),"N/A")</f>
        <v>15768</v>
      </c>
      <c r="B1607" s="4" t="s">
        <v>432</v>
      </c>
      <c r="C1607" s="4" t="s">
        <v>287</v>
      </c>
      <c r="D1607" s="94">
        <v>3716.0</v>
      </c>
    </row>
    <row r="1608">
      <c r="A1608" s="40">
        <f t="array" ref="A1608">IFNA(index(PlayerValues!A:A,match(IFNA(vlookup(B1608,'Special Names'!A:B,2,FALSE),B1608),PlayerValues!E:E,0)),"N/A")</f>
        <v>17463</v>
      </c>
      <c r="B1608" s="4" t="s">
        <v>433</v>
      </c>
      <c r="C1608" s="4" t="s">
        <v>283</v>
      </c>
      <c r="D1608" s="94">
        <v>3706.0</v>
      </c>
    </row>
    <row r="1609">
      <c r="A1609" s="40">
        <f t="array" ref="A1609">IFNA(index(PlayerValues!A:A,match(IFNA(vlookup(B1609,'Special Names'!A:B,2,FALSE),B1609),PlayerValues!E:E,0)),"N/A")</f>
        <v>15694</v>
      </c>
      <c r="B1609" s="4" t="s">
        <v>434</v>
      </c>
      <c r="C1609" s="4" t="s">
        <v>283</v>
      </c>
      <c r="D1609" s="94">
        <v>3700.0</v>
      </c>
    </row>
    <row r="1610">
      <c r="A1610" s="40">
        <f t="array" ref="A1610">IFNA(index(PlayerValues!A:A,match(IFNA(vlookup(B1610,'Special Names'!A:B,2,FALSE),B1610),PlayerValues!E:E,0)),"N/A")</f>
        <v>14059</v>
      </c>
      <c r="B1610" s="4" t="s">
        <v>435</v>
      </c>
      <c r="C1610" s="4" t="s">
        <v>283</v>
      </c>
      <c r="D1610" s="94">
        <v>3689.0</v>
      </c>
    </row>
    <row r="1611">
      <c r="A1611" s="40">
        <f t="array" ref="A1611">IFNA(index(PlayerValues!A:A,match(IFNA(vlookup(B1611,'Special Names'!A:B,2,FALSE),B1611),PlayerValues!E:E,0)),"N/A")</f>
        <v>17543</v>
      </c>
      <c r="B1611" s="4" t="s">
        <v>436</v>
      </c>
      <c r="C1611" s="4" t="s">
        <v>298</v>
      </c>
      <c r="D1611" s="94">
        <v>4113.0</v>
      </c>
    </row>
    <row r="1612">
      <c r="A1612" s="40">
        <f t="array" ref="A1612">IFNA(index(PlayerValues!A:A,match(IFNA(vlookup(B1612,'Special Names'!A:B,2,FALSE),B1612),PlayerValues!E:E,0)),"N/A")</f>
        <v>14109</v>
      </c>
      <c r="B1612" s="4" t="s">
        <v>437</v>
      </c>
      <c r="C1612" s="4" t="s">
        <v>287</v>
      </c>
      <c r="D1612" s="94">
        <v>3557.0</v>
      </c>
    </row>
    <row r="1613">
      <c r="A1613" s="40">
        <f t="array" ref="A1613">IFNA(index(PlayerValues!A:A,match(IFNA(vlookup(B1613,'Special Names'!A:B,2,FALSE),B1613),PlayerValues!E:E,0)),"N/A")</f>
        <v>11675</v>
      </c>
      <c r="B1613" s="4" t="s">
        <v>438</v>
      </c>
      <c r="C1613" s="4" t="s">
        <v>287</v>
      </c>
      <c r="D1613" s="94">
        <v>3545.0</v>
      </c>
    </row>
    <row r="1614">
      <c r="A1614" s="40">
        <f t="array" ref="A1614">IFNA(index(PlayerValues!A:A,match(IFNA(vlookup(B1614,'Special Names'!A:B,2,FALSE),B1614),PlayerValues!E:E,0)),"N/A")</f>
        <v>16188</v>
      </c>
      <c r="B1614" s="4" t="s">
        <v>439</v>
      </c>
      <c r="C1614" s="4" t="s">
        <v>287</v>
      </c>
      <c r="D1614" s="94">
        <v>3544.0</v>
      </c>
    </row>
    <row r="1615">
      <c r="A1615" s="40">
        <f t="array" ref="A1615">IFNA(index(PlayerValues!A:A,match(IFNA(vlookup(B1615,'Special Names'!A:B,2,FALSE),B1615),PlayerValues!E:E,0)),"N/A")</f>
        <v>14071</v>
      </c>
      <c r="B1615" s="4" t="s">
        <v>440</v>
      </c>
      <c r="C1615" s="4" t="s">
        <v>278</v>
      </c>
      <c r="D1615" s="94">
        <v>3520.0</v>
      </c>
    </row>
    <row r="1616">
      <c r="A1616" s="40">
        <f t="array" ref="A1616">IFNA(index(PlayerValues!A:A,match(IFNA(vlookup(B1616,'Special Names'!A:B,2,FALSE),B1616),PlayerValues!E:E,0)),"N/A")</f>
        <v>16187</v>
      </c>
      <c r="B1616" s="4" t="s">
        <v>441</v>
      </c>
      <c r="C1616" s="4" t="s">
        <v>287</v>
      </c>
      <c r="D1616" s="94">
        <v>3497.0</v>
      </c>
    </row>
    <row r="1617">
      <c r="A1617" s="40">
        <f t="array" ref="A1617">IFNA(index(PlayerValues!A:A,match(IFNA(vlookup(B1617,'Special Names'!A:B,2,FALSE),B1617),PlayerValues!E:E,0)),"N/A")</f>
        <v>16593</v>
      </c>
      <c r="B1617" s="4" t="s">
        <v>442</v>
      </c>
      <c r="C1617" s="4" t="s">
        <v>278</v>
      </c>
      <c r="D1617" s="94">
        <v>3463.0</v>
      </c>
    </row>
    <row r="1618">
      <c r="A1618" s="40" t="str">
        <f t="array" ref="A1618">IFNA(index(PlayerValues!A:A,match(IFNA(vlookup(B1618,'Special Names'!A:B,2,FALSE),B1618),PlayerValues!E:E,0)),"N/A")</f>
        <v>N/A</v>
      </c>
      <c r="B1618" s="4" t="s">
        <v>96</v>
      </c>
      <c r="C1618" s="4" t="s">
        <v>325</v>
      </c>
      <c r="D1618" s="94">
        <v>3442.0</v>
      </c>
    </row>
    <row r="1619">
      <c r="A1619" s="40">
        <f t="array" ref="A1619">IFNA(index(PlayerValues!A:A,match(IFNA(vlookup(B1619,'Special Names'!A:B,2,FALSE),B1619),PlayerValues!E:E,0)),"N/A")</f>
        <v>15798</v>
      </c>
      <c r="B1619" s="4" t="s">
        <v>443</v>
      </c>
      <c r="C1619" s="4" t="s">
        <v>298</v>
      </c>
      <c r="D1619" s="94">
        <v>3894.0</v>
      </c>
    </row>
    <row r="1620">
      <c r="A1620" s="40" t="str">
        <f t="array" ref="A1620">IFNA(index(PlayerValues!A:A,match(IFNA(vlookup(B1620,'Special Names'!A:B,2,FALSE),B1620),PlayerValues!E:E,0)),"N/A")</f>
        <v>N/A</v>
      </c>
      <c r="B1620" s="4" t="s">
        <v>82</v>
      </c>
      <c r="C1620" s="4" t="s">
        <v>325</v>
      </c>
      <c r="D1620" s="94">
        <v>3387.0</v>
      </c>
    </row>
    <row r="1621">
      <c r="A1621" s="40">
        <f t="array" ref="A1621">IFNA(index(PlayerValues!A:A,match(IFNA(vlookup(B1621,'Special Names'!A:B,2,FALSE),B1621),PlayerValues!E:E,0)),"N/A")</f>
        <v>14102</v>
      </c>
      <c r="B1621" s="4" t="s">
        <v>444</v>
      </c>
      <c r="C1621" s="4" t="s">
        <v>287</v>
      </c>
      <c r="D1621" s="94">
        <v>3360.0</v>
      </c>
    </row>
    <row r="1622">
      <c r="A1622" s="40">
        <f t="array" ref="A1622">IFNA(index(PlayerValues!A:A,match(IFNA(vlookup(B1622,'Special Names'!A:B,2,FALSE),B1622),PlayerValues!E:E,0)),"N/A")</f>
        <v>16184</v>
      </c>
      <c r="B1622" s="4" t="s">
        <v>445</v>
      </c>
      <c r="C1622" s="4" t="s">
        <v>287</v>
      </c>
      <c r="D1622" s="94">
        <v>3349.0</v>
      </c>
    </row>
    <row r="1623">
      <c r="A1623" s="40">
        <f t="array" ref="A1623">IFNA(index(PlayerValues!A:A,match(IFNA(vlookup(B1623,'Special Names'!A:B,2,FALSE),B1623),PlayerValues!E:E,0)),"N/A")</f>
        <v>17066</v>
      </c>
      <c r="B1623" s="4" t="s">
        <v>446</v>
      </c>
      <c r="C1623" s="4" t="s">
        <v>278</v>
      </c>
      <c r="D1623" s="94">
        <v>3320.0</v>
      </c>
    </row>
    <row r="1624">
      <c r="A1624" s="40">
        <f t="array" ref="A1624">IFNA(index(PlayerValues!A:A,match(IFNA(vlookup(B1624,'Special Names'!A:B,2,FALSE),B1624),PlayerValues!E:E,0)),"N/A")</f>
        <v>15742</v>
      </c>
      <c r="B1624" s="4" t="s">
        <v>447</v>
      </c>
      <c r="C1624" s="4" t="s">
        <v>278</v>
      </c>
      <c r="D1624" s="94">
        <v>3319.0</v>
      </c>
    </row>
    <row r="1625">
      <c r="A1625" s="40">
        <f t="array" ref="A1625">IFNA(index(PlayerValues!A:A,match(IFNA(vlookup(B1625,'Special Names'!A:B,2,FALSE),B1625),PlayerValues!E:E,0)),"N/A")</f>
        <v>13299</v>
      </c>
      <c r="B1625" s="4" t="s">
        <v>448</v>
      </c>
      <c r="C1625" s="4" t="s">
        <v>298</v>
      </c>
      <c r="D1625" s="94">
        <v>3755.0</v>
      </c>
    </row>
    <row r="1626">
      <c r="A1626" s="40">
        <f t="array" ref="A1626">IFNA(index(PlayerValues!A:A,match(IFNA(vlookup(B1626,'Special Names'!A:B,2,FALSE),B1626),PlayerValues!E:E,0)),"N/A")</f>
        <v>15757</v>
      </c>
      <c r="B1626" s="4" t="s">
        <v>449</v>
      </c>
      <c r="C1626" s="4" t="s">
        <v>287</v>
      </c>
      <c r="D1626" s="94">
        <v>3309.0</v>
      </c>
    </row>
    <row r="1627">
      <c r="A1627" s="40">
        <f t="array" ref="A1627">IFNA(index(PlayerValues!A:A,match(IFNA(vlookup(B1627,'Special Names'!A:B,2,FALSE),B1627),PlayerValues!E:E,0)),"N/A")</f>
        <v>17068</v>
      </c>
      <c r="B1627" s="4" t="s">
        <v>450</v>
      </c>
      <c r="C1627" s="4" t="s">
        <v>278</v>
      </c>
      <c r="D1627" s="94">
        <v>3301.0</v>
      </c>
    </row>
    <row r="1628">
      <c r="A1628" s="40">
        <f t="array" ref="A1628">IFNA(index(PlayerValues!A:A,match(IFNA(vlookup(B1628,'Special Names'!A:B,2,FALSE),B1628),PlayerValues!E:E,0)),"N/A")</f>
        <v>17502</v>
      </c>
      <c r="B1628" s="4" t="s">
        <v>451</v>
      </c>
      <c r="C1628" s="4" t="s">
        <v>287</v>
      </c>
      <c r="D1628" s="94">
        <v>3298.0</v>
      </c>
    </row>
    <row r="1629">
      <c r="A1629" s="40">
        <f t="array" ref="A1629">IFNA(index(PlayerValues!A:A,match(IFNA(vlookup(B1629,'Special Names'!A:B,2,FALSE),B1629),PlayerValues!E:E,0)),"N/A")</f>
        <v>17477</v>
      </c>
      <c r="B1629" s="4" t="s">
        <v>452</v>
      </c>
      <c r="C1629" s="4" t="s">
        <v>278</v>
      </c>
      <c r="D1629" s="94">
        <v>3292.0</v>
      </c>
    </row>
    <row r="1630">
      <c r="A1630" s="40" t="str">
        <f t="array" ref="A1630">IFNA(index(PlayerValues!A:A,match(IFNA(vlookup(B1630,'Special Names'!A:B,2,FALSE),B1630),PlayerValues!E:E,0)),"N/A")</f>
        <v>N/A</v>
      </c>
      <c r="B1630" s="4" t="s">
        <v>108</v>
      </c>
      <c r="C1630" s="4" t="s">
        <v>325</v>
      </c>
      <c r="D1630" s="94">
        <v>3286.0</v>
      </c>
    </row>
    <row r="1631">
      <c r="A1631" s="40">
        <f t="array" ref="A1631">IFNA(index(PlayerValues!A:A,match(IFNA(vlookup(B1631,'Special Names'!A:B,2,FALSE),B1631),PlayerValues!E:E,0)),"N/A")</f>
        <v>15259</v>
      </c>
      <c r="B1631" s="4" t="s">
        <v>453</v>
      </c>
      <c r="C1631" s="4" t="s">
        <v>278</v>
      </c>
      <c r="D1631" s="94">
        <v>3278.0</v>
      </c>
    </row>
    <row r="1632">
      <c r="A1632" s="40">
        <f t="array" ref="A1632">IFNA(index(PlayerValues!A:A,match(IFNA(vlookup(B1632,'Special Names'!A:B,2,FALSE),B1632),PlayerValues!E:E,0)),"N/A")</f>
        <v>17517</v>
      </c>
      <c r="B1632" s="4" t="s">
        <v>454</v>
      </c>
      <c r="C1632" s="4" t="s">
        <v>287</v>
      </c>
      <c r="D1632" s="94">
        <v>3253.0</v>
      </c>
    </row>
    <row r="1633">
      <c r="A1633" s="40">
        <f t="array" ref="A1633">IFNA(index(PlayerValues!A:A,match(IFNA(vlookup(B1633,'Special Names'!A:B,2,FALSE),B1633),PlayerValues!E:E,0)),"N/A")</f>
        <v>16809</v>
      </c>
      <c r="B1633" s="4" t="s">
        <v>455</v>
      </c>
      <c r="C1633" s="4" t="s">
        <v>287</v>
      </c>
      <c r="D1633" s="94">
        <v>3252.0</v>
      </c>
    </row>
    <row r="1634">
      <c r="A1634" s="40">
        <f t="array" ref="A1634">IFNA(index(PlayerValues!A:A,match(IFNA(vlookup(B1634,'Special Names'!A:B,2,FALSE),B1634),PlayerValues!E:E,0)),"N/A")</f>
        <v>14842</v>
      </c>
      <c r="B1634" s="4" t="s">
        <v>456</v>
      </c>
      <c r="C1634" s="4" t="s">
        <v>287</v>
      </c>
      <c r="D1634" s="94">
        <v>3241.0</v>
      </c>
    </row>
    <row r="1635">
      <c r="A1635" s="40">
        <f t="array" ref="A1635">IFNA(index(PlayerValues!A:A,match(IFNA(vlookup(B1635,'Special Names'!A:B,2,FALSE),B1635),PlayerValues!E:E,0)),"N/A")</f>
        <v>16169</v>
      </c>
      <c r="B1635" s="4" t="s">
        <v>457</v>
      </c>
      <c r="C1635" s="4" t="s">
        <v>278</v>
      </c>
      <c r="D1635" s="94">
        <v>3231.0</v>
      </c>
    </row>
    <row r="1636">
      <c r="A1636" s="40">
        <f t="array" ref="A1636">IFNA(index(PlayerValues!A:A,match(IFNA(vlookup(B1636,'Special Names'!A:B,2,FALSE),B1636),PlayerValues!E:E,0)),"N/A")</f>
        <v>16213</v>
      </c>
      <c r="B1636" s="4" t="s">
        <v>458</v>
      </c>
      <c r="C1636" s="4" t="s">
        <v>298</v>
      </c>
      <c r="D1636" s="94">
        <v>3663.0</v>
      </c>
    </row>
    <row r="1637">
      <c r="A1637" s="40" t="str">
        <f t="array" ref="A1637">IFNA(index(PlayerValues!A:A,match(IFNA(vlookup(B1637,'Special Names'!A:B,2,FALSE),B1637),PlayerValues!E:E,0)),"N/A")</f>
        <v>N/A</v>
      </c>
      <c r="B1637" s="4" t="s">
        <v>97</v>
      </c>
      <c r="C1637" s="4" t="s">
        <v>325</v>
      </c>
      <c r="D1637" s="94">
        <v>3210.0</v>
      </c>
    </row>
    <row r="1638">
      <c r="A1638" s="40">
        <f t="array" ref="A1638">IFNA(index(PlayerValues!A:A,match(IFNA(vlookup(B1638,'Special Names'!A:B,2,FALSE),B1638),PlayerValues!E:E,0)),"N/A")</f>
        <v>14823</v>
      </c>
      <c r="B1638" s="4" t="s">
        <v>459</v>
      </c>
      <c r="C1638" s="4" t="s">
        <v>278</v>
      </c>
      <c r="D1638" s="94">
        <v>3195.0</v>
      </c>
    </row>
    <row r="1639">
      <c r="A1639" s="40">
        <f t="array" ref="A1639">IFNA(index(PlayerValues!A:A,match(IFNA(vlookup(B1639,'Special Names'!A:B,2,FALSE),B1639),PlayerValues!E:E,0)),"N/A")</f>
        <v>17482</v>
      </c>
      <c r="B1639" s="4" t="s">
        <v>460</v>
      </c>
      <c r="C1639" s="4" t="s">
        <v>278</v>
      </c>
      <c r="D1639" s="94">
        <v>3194.0</v>
      </c>
    </row>
    <row r="1640">
      <c r="A1640" s="40">
        <f t="array" ref="A1640">IFNA(index(PlayerValues!A:A,match(IFNA(vlookup(B1640,'Special Names'!A:B,2,FALSE),B1640),PlayerValues!E:E,0)),"N/A")</f>
        <v>15779</v>
      </c>
      <c r="B1640" s="4" t="s">
        <v>461</v>
      </c>
      <c r="C1640" s="4" t="s">
        <v>287</v>
      </c>
      <c r="D1640" s="94">
        <v>3191.0</v>
      </c>
    </row>
    <row r="1641">
      <c r="A1641" s="40">
        <f t="array" ref="A1641">IFNA(index(PlayerValues!A:A,match(IFNA(vlookup(B1641,'Special Names'!A:B,2,FALSE),B1641),PlayerValues!E:E,0)),"N/A")</f>
        <v>17256</v>
      </c>
      <c r="B1641" s="4" t="s">
        <v>462</v>
      </c>
      <c r="C1641" s="4" t="s">
        <v>278</v>
      </c>
      <c r="D1641" s="94">
        <v>3181.0</v>
      </c>
    </row>
    <row r="1642">
      <c r="A1642" s="40" t="str">
        <f t="array" ref="A1642">IFNA(index(PlayerValues!A:A,match(IFNA(vlookup(B1642,'Special Names'!A:B,2,FALSE),B1642),PlayerValues!E:E,0)),"N/A")</f>
        <v>N/A</v>
      </c>
      <c r="B1642" s="4" t="s">
        <v>84</v>
      </c>
      <c r="C1642" s="4" t="s">
        <v>325</v>
      </c>
      <c r="D1642" s="94">
        <v>3175.0</v>
      </c>
    </row>
    <row r="1643">
      <c r="A1643" s="40">
        <f t="array" ref="A1643">IFNA(index(PlayerValues!A:A,match(IFNA(vlookup(B1643,'Special Names'!A:B,2,FALSE),B1643),PlayerValues!E:E,0)),"N/A")</f>
        <v>11671</v>
      </c>
      <c r="B1643" s="4" t="s">
        <v>463</v>
      </c>
      <c r="C1643" s="4" t="s">
        <v>287</v>
      </c>
      <c r="D1643" s="94">
        <v>3149.0</v>
      </c>
    </row>
    <row r="1644">
      <c r="A1644" s="40">
        <f t="array" ref="A1644">IFNA(index(PlayerValues!A:A,match(IFNA(vlookup(B1644,'Special Names'!A:B,2,FALSE),B1644),PlayerValues!E:E,0)),"N/A")</f>
        <v>14073</v>
      </c>
      <c r="B1644" s="4" t="s">
        <v>464</v>
      </c>
      <c r="C1644" s="4" t="s">
        <v>278</v>
      </c>
      <c r="D1644" s="94">
        <v>3123.0</v>
      </c>
    </row>
    <row r="1645">
      <c r="A1645" s="40">
        <f t="array" ref="A1645">IFNA(index(PlayerValues!A:A,match(IFNA(vlookup(B1645,'Special Names'!A:B,2,FALSE),B1645),PlayerValues!E:E,0)),"N/A")</f>
        <v>13630</v>
      </c>
      <c r="B1645" s="4" t="s">
        <v>465</v>
      </c>
      <c r="C1645" s="4" t="s">
        <v>287</v>
      </c>
      <c r="D1645" s="94">
        <v>3120.0</v>
      </c>
    </row>
    <row r="1646">
      <c r="A1646" s="40" t="str">
        <f t="array" ref="A1646">IFNA(index(PlayerValues!A:A,match(IFNA(vlookup(B1646,'Special Names'!A:B,2,FALSE),B1646),PlayerValues!E:E,0)),"N/A")</f>
        <v>N/A</v>
      </c>
      <c r="B1646" s="4" t="s">
        <v>109</v>
      </c>
      <c r="C1646" s="4" t="s">
        <v>325</v>
      </c>
      <c r="D1646" s="94">
        <v>3079.0</v>
      </c>
    </row>
    <row r="1647">
      <c r="A1647" s="40">
        <f t="array" ref="A1647">IFNA(index(PlayerValues!A:A,match(IFNA(vlookup(B1647,'Special Names'!A:B,2,FALSE),B1647),PlayerValues!E:E,0)),"N/A")</f>
        <v>15261</v>
      </c>
      <c r="B1647" s="4" t="s">
        <v>466</v>
      </c>
      <c r="C1647" s="4" t="s">
        <v>278</v>
      </c>
      <c r="D1647" s="94">
        <v>3069.0</v>
      </c>
    </row>
    <row r="1648">
      <c r="A1648" s="40">
        <f t="array" ref="A1648">IFNA(index(PlayerValues!A:A,match(IFNA(vlookup(B1648,'Special Names'!A:B,2,FALSE),B1648),PlayerValues!E:E,0)),"N/A")</f>
        <v>16620</v>
      </c>
      <c r="B1648" s="4" t="s">
        <v>467</v>
      </c>
      <c r="C1648" s="4" t="s">
        <v>287</v>
      </c>
      <c r="D1648" s="94">
        <v>3061.0</v>
      </c>
    </row>
    <row r="1649">
      <c r="A1649" s="40">
        <f t="array" ref="A1649">IFNA(index(PlayerValues!A:A,match(IFNA(vlookup(B1649,'Special Names'!A:B,2,FALSE),B1649),PlayerValues!E:E,0)),"N/A")</f>
        <v>15799</v>
      </c>
      <c r="B1649" s="4" t="s">
        <v>468</v>
      </c>
      <c r="C1649" s="4" t="s">
        <v>298</v>
      </c>
      <c r="D1649" s="94">
        <v>3477.0</v>
      </c>
    </row>
    <row r="1650">
      <c r="A1650" s="40">
        <f t="array" ref="A1650">IFNA(index(PlayerValues!A:A,match(IFNA(vlookup(B1650,'Special Names'!A:B,2,FALSE),B1650),PlayerValues!E:E,0)),"N/A")</f>
        <v>15972</v>
      </c>
      <c r="B1650" s="4" t="s">
        <v>469</v>
      </c>
      <c r="C1650" s="4" t="s">
        <v>278</v>
      </c>
      <c r="D1650" s="94">
        <v>3037.0</v>
      </c>
    </row>
    <row r="1651">
      <c r="A1651" s="40">
        <f t="array" ref="A1651">IFNA(index(PlayerValues!A:A,match(IFNA(vlookup(B1651,'Special Names'!A:B,2,FALSE),B1651),PlayerValues!E:E,0)),"N/A")</f>
        <v>17544</v>
      </c>
      <c r="B1651" s="4" t="s">
        <v>470</v>
      </c>
      <c r="C1651" s="4" t="s">
        <v>298</v>
      </c>
      <c r="D1651" s="94">
        <v>3463.0</v>
      </c>
    </row>
    <row r="1652">
      <c r="A1652" s="40">
        <f t="array" ref="A1652">IFNA(index(PlayerValues!A:A,match(IFNA(vlookup(B1652,'Special Names'!A:B,2,FALSE),B1652),PlayerValues!E:E,0)),"N/A")</f>
        <v>17506</v>
      </c>
      <c r="B1652" s="4" t="s">
        <v>471</v>
      </c>
      <c r="C1652" s="4" t="s">
        <v>287</v>
      </c>
      <c r="D1652" s="94">
        <v>3033.0</v>
      </c>
    </row>
    <row r="1653">
      <c r="A1653" s="40">
        <f t="array" ref="A1653">IFNA(index(PlayerValues!A:A,match(IFNA(vlookup(B1653,'Special Names'!A:B,2,FALSE),B1653),PlayerValues!E:E,0)),"N/A")</f>
        <v>14800</v>
      </c>
      <c r="B1653" s="4" t="s">
        <v>472</v>
      </c>
      <c r="C1653" s="4" t="s">
        <v>278</v>
      </c>
      <c r="D1653" s="94">
        <v>3023.0</v>
      </c>
    </row>
    <row r="1654">
      <c r="A1654" s="40">
        <f t="array" ref="A1654">IFNA(index(PlayerValues!A:A,match(IFNA(vlookup(B1654,'Special Names'!A:B,2,FALSE),B1654),PlayerValues!E:E,0)),"N/A")</f>
        <v>13163</v>
      </c>
      <c r="B1654" s="4" t="s">
        <v>473</v>
      </c>
      <c r="C1654" s="4" t="s">
        <v>287</v>
      </c>
      <c r="D1654" s="94">
        <v>3022.0</v>
      </c>
    </row>
    <row r="1655">
      <c r="A1655" s="40">
        <f t="array" ref="A1655">IFNA(index(PlayerValues!A:A,match(IFNA(vlookup(B1655,'Special Names'!A:B,2,FALSE),B1655),PlayerValues!E:E,0)),"N/A")</f>
        <v>17099</v>
      </c>
      <c r="B1655" s="4" t="s">
        <v>474</v>
      </c>
      <c r="C1655" s="4" t="s">
        <v>298</v>
      </c>
      <c r="D1655" s="94">
        <v>3437.0</v>
      </c>
    </row>
    <row r="1656">
      <c r="A1656" s="40">
        <f t="array" ref="A1656">IFNA(index(PlayerValues!A:A,match(IFNA(vlookup(B1656,'Special Names'!A:B,2,FALSE),B1656),PlayerValues!E:E,0)),"N/A")</f>
        <v>17074</v>
      </c>
      <c r="B1656" s="4" t="s">
        <v>475</v>
      </c>
      <c r="C1656" s="4" t="s">
        <v>287</v>
      </c>
      <c r="D1656" s="94">
        <v>3003.0</v>
      </c>
    </row>
    <row r="1657">
      <c r="A1657" s="40">
        <f t="array" ref="A1657">IFNA(index(PlayerValues!A:A,match(IFNA(vlookup(B1657,'Special Names'!A:B,2,FALSE),B1657),PlayerValues!E:E,0)),"N/A")</f>
        <v>16604</v>
      </c>
      <c r="B1657" s="4" t="s">
        <v>476</v>
      </c>
      <c r="C1657" s="4" t="s">
        <v>278</v>
      </c>
      <c r="D1657" s="94">
        <v>2997.0</v>
      </c>
    </row>
    <row r="1658">
      <c r="A1658" s="40">
        <f t="array" ref="A1658">IFNA(index(PlayerValues!A:A,match(IFNA(vlookup(B1658,'Special Names'!A:B,2,FALSE),B1658),PlayerValues!E:E,0)),"N/A")</f>
        <v>15255</v>
      </c>
      <c r="B1658" s="4" t="s">
        <v>477</v>
      </c>
      <c r="C1658" s="4" t="s">
        <v>278</v>
      </c>
      <c r="D1658" s="94">
        <v>2965.0</v>
      </c>
    </row>
    <row r="1659">
      <c r="A1659" s="40">
        <f t="array" ref="A1659">IFNA(index(PlayerValues!A:A,match(IFNA(vlookup(B1659,'Special Names'!A:B,2,FALSE),B1659),PlayerValues!E:E,0)),"N/A")</f>
        <v>17107</v>
      </c>
      <c r="B1659" s="4" t="s">
        <v>478</v>
      </c>
      <c r="C1659" s="4" t="s">
        <v>298</v>
      </c>
      <c r="D1659" s="94">
        <v>3383.0</v>
      </c>
    </row>
    <row r="1660">
      <c r="A1660" s="40">
        <f t="array" ref="A1660">IFNA(index(PlayerValues!A:A,match(IFNA(vlookup(B1660,'Special Names'!A:B,2,FALSE),B1660),PlayerValues!E:E,0)),"N/A")</f>
        <v>17083</v>
      </c>
      <c r="B1660" s="4" t="s">
        <v>479</v>
      </c>
      <c r="C1660" s="4" t="s">
        <v>287</v>
      </c>
      <c r="D1660" s="94">
        <v>2927.0</v>
      </c>
    </row>
    <row r="1661">
      <c r="A1661" s="40">
        <f t="array" ref="A1661">IFNA(index(PlayerValues!A:A,match(IFNA(vlookup(B1661,'Special Names'!A:B,2,FALSE),B1661),PlayerValues!E:E,0)),"N/A")</f>
        <v>17503</v>
      </c>
      <c r="B1661" s="4" t="s">
        <v>480</v>
      </c>
      <c r="C1661" s="4" t="s">
        <v>287</v>
      </c>
      <c r="D1661" s="94">
        <v>2905.0</v>
      </c>
    </row>
    <row r="1662">
      <c r="A1662" s="40">
        <f t="array" ref="A1662">IFNA(index(PlayerValues!A:A,match(IFNA(vlookup(B1662,'Special Names'!A:B,2,FALSE),B1662),PlayerValues!E:E,0)),"N/A")</f>
        <v>16269</v>
      </c>
      <c r="B1662" s="4" t="s">
        <v>481</v>
      </c>
      <c r="C1662" s="4" t="s">
        <v>298</v>
      </c>
      <c r="D1662" s="94">
        <v>3323.0</v>
      </c>
    </row>
    <row r="1663">
      <c r="A1663" s="40" t="str">
        <f t="array" ref="A1663">IFNA(index(PlayerValues!A:A,match(IFNA(vlookup(B1663,'Special Names'!A:B,2,FALSE),B1663),PlayerValues!E:E,0)),"N/A")</f>
        <v>N/A</v>
      </c>
      <c r="B1663" s="4" t="s">
        <v>85</v>
      </c>
      <c r="C1663" s="4" t="s">
        <v>325</v>
      </c>
      <c r="D1663" s="94">
        <v>2893.0</v>
      </c>
    </row>
    <row r="1664">
      <c r="A1664" s="40">
        <f t="array" ref="A1664">IFNA(index(PlayerValues!A:A,match(IFNA(vlookup(B1664,'Special Names'!A:B,2,FALSE),B1664),PlayerValues!E:E,0)),"N/A")</f>
        <v>17518</v>
      </c>
      <c r="B1664" s="4" t="s">
        <v>482</v>
      </c>
      <c r="C1664" s="4" t="s">
        <v>287</v>
      </c>
      <c r="D1664" s="94">
        <v>2888.0</v>
      </c>
    </row>
    <row r="1665">
      <c r="A1665" s="40">
        <f t="array" ref="A1665">IFNA(index(PlayerValues!A:A,match(IFNA(vlookup(B1665,'Special Names'!A:B,2,FALSE),B1665),PlayerValues!E:E,0)),"N/A")</f>
        <v>17512</v>
      </c>
      <c r="B1665" s="4" t="s">
        <v>483</v>
      </c>
      <c r="C1665" s="4" t="s">
        <v>287</v>
      </c>
      <c r="D1665" s="94">
        <v>2871.0</v>
      </c>
    </row>
    <row r="1666">
      <c r="A1666" s="40">
        <f t="array" ref="A1666">IFNA(index(PlayerValues!A:A,match(IFNA(vlookup(B1666,'Special Names'!A:B,2,FALSE),B1666),PlayerValues!E:E,0)),"N/A")</f>
        <v>17053</v>
      </c>
      <c r="B1666" s="4" t="s">
        <v>484</v>
      </c>
      <c r="C1666" s="4" t="s">
        <v>278</v>
      </c>
      <c r="D1666" s="94">
        <v>2867.0</v>
      </c>
    </row>
    <row r="1667">
      <c r="A1667" s="40">
        <f t="array" ref="A1667">IFNA(index(PlayerValues!A:A,match(IFNA(vlookup(B1667,'Special Names'!A:B,2,FALSE),B1667),PlayerValues!E:E,0)),"N/A")</f>
        <v>17511</v>
      </c>
      <c r="B1667" s="4" t="s">
        <v>485</v>
      </c>
      <c r="C1667" s="4" t="s">
        <v>287</v>
      </c>
      <c r="D1667" s="94">
        <v>2831.0</v>
      </c>
    </row>
    <row r="1668">
      <c r="A1668" s="40">
        <f t="array" ref="A1668">IFNA(index(PlayerValues!A:A,match(IFNA(vlookup(B1668,'Special Names'!A:B,2,FALSE),B1668),PlayerValues!E:E,0)),"N/A")</f>
        <v>14127</v>
      </c>
      <c r="B1668" s="4" t="s">
        <v>486</v>
      </c>
      <c r="C1668" s="4" t="s">
        <v>287</v>
      </c>
      <c r="D1668" s="94">
        <v>2824.0</v>
      </c>
    </row>
    <row r="1669">
      <c r="A1669" s="40">
        <f t="array" ref="A1669">IFNA(index(PlayerValues!A:A,match(IFNA(vlookup(B1669,'Special Names'!A:B,2,FALSE),B1669),PlayerValues!E:E,0)),"N/A")</f>
        <v>16193</v>
      </c>
      <c r="B1669" s="4" t="s">
        <v>487</v>
      </c>
      <c r="C1669" s="4" t="s">
        <v>287</v>
      </c>
      <c r="D1669" s="94">
        <v>2810.0</v>
      </c>
    </row>
    <row r="1670">
      <c r="A1670" s="40">
        <f t="array" ref="A1670">IFNA(index(PlayerValues!A:A,match(IFNA(vlookup(B1670,'Special Names'!A:B,2,FALSE),B1670),PlayerValues!E:E,0)),"N/A")</f>
        <v>15712</v>
      </c>
      <c r="B1670" s="4" t="s">
        <v>488</v>
      </c>
      <c r="C1670" s="4" t="s">
        <v>278</v>
      </c>
      <c r="D1670" s="94">
        <v>2806.0</v>
      </c>
    </row>
    <row r="1671">
      <c r="A1671" s="40" t="str">
        <f t="array" ref="A1671">IFNA(index(PlayerValues!A:A,match(IFNA(vlookup(B1671,'Special Names'!A:B,2,FALSE),B1671),PlayerValues!E:E,0)),"N/A")</f>
        <v>N/A</v>
      </c>
      <c r="B1671" s="4" t="s">
        <v>110</v>
      </c>
      <c r="C1671" s="4" t="s">
        <v>325</v>
      </c>
      <c r="D1671" s="94">
        <v>2803.0</v>
      </c>
    </row>
    <row r="1672">
      <c r="A1672" s="40">
        <f t="array" ref="A1672">IFNA(index(PlayerValues!A:A,match(IFNA(vlookup(B1672,'Special Names'!A:B,2,FALSE),B1672),PlayerValues!E:E,0)),"N/A")</f>
        <v>14085</v>
      </c>
      <c r="B1672" s="4" t="s">
        <v>489</v>
      </c>
      <c r="C1672" s="4" t="s">
        <v>278</v>
      </c>
      <c r="D1672" s="94">
        <v>2792.0</v>
      </c>
    </row>
    <row r="1673">
      <c r="A1673" s="40">
        <f t="array" ref="A1673">IFNA(index(PlayerValues!A:A,match(IFNA(vlookup(B1673,'Special Names'!A:B,2,FALSE),B1673),PlayerValues!E:E,0)),"N/A")</f>
        <v>16628</v>
      </c>
      <c r="B1673" s="4" t="s">
        <v>490</v>
      </c>
      <c r="C1673" s="4" t="s">
        <v>287</v>
      </c>
      <c r="D1673" s="94">
        <v>2791.0</v>
      </c>
    </row>
    <row r="1674">
      <c r="A1674" s="40">
        <f t="array" ref="A1674">IFNA(index(PlayerValues!A:A,match(IFNA(vlookup(B1674,'Special Names'!A:B,2,FALSE),B1674),PlayerValues!E:E,0)),"N/A")</f>
        <v>15761</v>
      </c>
      <c r="B1674" s="4" t="s">
        <v>491</v>
      </c>
      <c r="C1674" s="4" t="s">
        <v>287</v>
      </c>
      <c r="D1674" s="94">
        <v>2776.0</v>
      </c>
    </row>
    <row r="1675">
      <c r="A1675" s="40">
        <f t="array" ref="A1675">IFNA(index(PlayerValues!A:A,match(IFNA(vlookup(B1675,'Special Names'!A:B,2,FALSE),B1675),PlayerValues!E:E,0)),"N/A")</f>
        <v>17466</v>
      </c>
      <c r="B1675" s="4" t="s">
        <v>492</v>
      </c>
      <c r="C1675" s="4" t="s">
        <v>283</v>
      </c>
      <c r="D1675" s="94">
        <v>2768.0</v>
      </c>
    </row>
    <row r="1676">
      <c r="A1676" s="40">
        <f t="array" ref="A1676">IFNA(index(PlayerValues!A:A,match(IFNA(vlookup(B1676,'Special Names'!A:B,2,FALSE),B1676),PlayerValues!E:E,0)),"N/A")</f>
        <v>16583</v>
      </c>
      <c r="B1676" s="4" t="s">
        <v>493</v>
      </c>
      <c r="C1676" s="4" t="s">
        <v>283</v>
      </c>
      <c r="D1676" s="94">
        <v>2767.0</v>
      </c>
    </row>
    <row r="1677">
      <c r="A1677" s="40">
        <f t="array" ref="A1677">IFNA(index(PlayerValues!A:A,match(IFNA(vlookup(B1677,'Special Names'!A:B,2,FALSE),B1677),PlayerValues!E:E,0)),"N/A")</f>
        <v>17476</v>
      </c>
      <c r="B1677" s="4" t="s">
        <v>494</v>
      </c>
      <c r="C1677" s="4" t="s">
        <v>278</v>
      </c>
      <c r="D1677" s="94">
        <v>2746.0</v>
      </c>
    </row>
    <row r="1678">
      <c r="A1678" s="40">
        <f t="array" ref="A1678">IFNA(index(PlayerValues!A:A,match(IFNA(vlookup(B1678,'Special Names'!A:B,2,FALSE),B1678),PlayerValues!E:E,0)),"N/A")</f>
        <v>17507</v>
      </c>
      <c r="B1678" s="4" t="s">
        <v>495</v>
      </c>
      <c r="C1678" s="4" t="s">
        <v>287</v>
      </c>
      <c r="D1678" s="94">
        <v>2728.0</v>
      </c>
    </row>
    <row r="1679">
      <c r="A1679" s="40">
        <f t="array" ref="A1679">IFNA(index(PlayerValues!A:A,match(IFNA(vlookup(B1679,'Special Names'!A:B,2,FALSE),B1679),PlayerValues!E:E,0)),"N/A")</f>
        <v>17599</v>
      </c>
      <c r="B1679" s="4" t="s">
        <v>496</v>
      </c>
      <c r="C1679" s="4" t="s">
        <v>287</v>
      </c>
      <c r="D1679" s="94">
        <v>2719.0</v>
      </c>
    </row>
    <row r="1680">
      <c r="A1680" s="40">
        <f t="array" ref="A1680">IFNA(index(PlayerValues!A:A,match(IFNA(vlookup(B1680,'Special Names'!A:B,2,FALSE),B1680),PlayerValues!E:E,0)),"N/A")</f>
        <v>12186</v>
      </c>
      <c r="B1680" s="4" t="s">
        <v>497</v>
      </c>
      <c r="C1680" s="4" t="s">
        <v>287</v>
      </c>
      <c r="D1680" s="94">
        <v>2676.0</v>
      </c>
    </row>
    <row r="1681">
      <c r="A1681" s="40">
        <f t="array" ref="A1681">IFNA(index(PlayerValues!A:A,match(IFNA(vlookup(B1681,'Special Names'!A:B,2,FALSE),B1681),PlayerValues!E:E,0)),"N/A")</f>
        <v>17082</v>
      </c>
      <c r="B1681" s="4" t="s">
        <v>498</v>
      </c>
      <c r="C1681" s="4" t="s">
        <v>287</v>
      </c>
      <c r="D1681" s="94">
        <v>2653.0</v>
      </c>
    </row>
    <row r="1682">
      <c r="A1682" s="40">
        <f t="array" ref="A1682">IFNA(index(PlayerValues!A:A,match(IFNA(vlookup(B1682,'Special Names'!A:B,2,FALSE),B1682),PlayerValues!E:E,0)),"N/A")</f>
        <v>16080</v>
      </c>
      <c r="B1682" s="4" t="s">
        <v>499</v>
      </c>
      <c r="C1682" s="4" t="s">
        <v>287</v>
      </c>
      <c r="D1682" s="94">
        <v>2647.0</v>
      </c>
    </row>
    <row r="1683">
      <c r="A1683" s="40">
        <f t="array" ref="A1683">IFNA(index(PlayerValues!A:A,match(IFNA(vlookup(B1683,'Special Names'!A:B,2,FALSE),B1683),PlayerValues!E:E,0)),"N/A")</f>
        <v>16684</v>
      </c>
      <c r="B1683" s="4" t="s">
        <v>500</v>
      </c>
      <c r="C1683" s="4" t="s">
        <v>287</v>
      </c>
      <c r="D1683" s="94">
        <v>2644.0</v>
      </c>
    </row>
    <row r="1684">
      <c r="A1684" s="40">
        <f t="array" ref="A1684">IFNA(index(PlayerValues!A:A,match(IFNA(vlookup(B1684,'Special Names'!A:B,2,FALSE),B1684),PlayerValues!E:E,0)),"N/A")</f>
        <v>16596</v>
      </c>
      <c r="B1684" s="4" t="s">
        <v>501</v>
      </c>
      <c r="C1684" s="4" t="s">
        <v>278</v>
      </c>
      <c r="D1684" s="94">
        <v>2640.0</v>
      </c>
    </row>
    <row r="1685">
      <c r="A1685" s="40">
        <f t="array" ref="A1685">IFNA(index(PlayerValues!A:A,match(IFNA(vlookup(B1685,'Special Names'!A:B,2,FALSE),B1685),PlayerValues!E:E,0)),"N/A")</f>
        <v>16723</v>
      </c>
      <c r="B1685" s="4" t="s">
        <v>502</v>
      </c>
      <c r="C1685" s="4" t="s">
        <v>298</v>
      </c>
      <c r="D1685" s="94">
        <v>3046.0</v>
      </c>
    </row>
    <row r="1686">
      <c r="A1686" s="40">
        <f t="array" ref="A1686">IFNA(index(PlayerValues!A:A,match(IFNA(vlookup(B1686,'Special Names'!A:B,2,FALSE),B1686),PlayerValues!E:E,0)),"N/A")</f>
        <v>15889</v>
      </c>
      <c r="B1686" s="4" t="s">
        <v>503</v>
      </c>
      <c r="C1686" s="4" t="s">
        <v>298</v>
      </c>
      <c r="D1686" s="94">
        <v>3046.0</v>
      </c>
    </row>
    <row r="1687">
      <c r="A1687" s="40">
        <f t="array" ref="A1687">IFNA(index(PlayerValues!A:A,match(IFNA(vlookup(B1687,'Special Names'!A:B,2,FALSE),B1687),PlayerValues!E:E,0)),"N/A")</f>
        <v>15721</v>
      </c>
      <c r="B1687" s="4" t="s">
        <v>504</v>
      </c>
      <c r="C1687" s="4" t="s">
        <v>278</v>
      </c>
      <c r="D1687" s="94">
        <v>2632.0</v>
      </c>
    </row>
    <row r="1688">
      <c r="A1688" s="40">
        <f t="array" ref="A1688">IFNA(index(PlayerValues!A:A,match(IFNA(vlookup(B1688,'Special Names'!A:B,2,FALSE),B1688),PlayerValues!E:E,0)),"N/A")</f>
        <v>16174</v>
      </c>
      <c r="B1688" s="4" t="s">
        <v>505</v>
      </c>
      <c r="C1688" s="4" t="s">
        <v>278</v>
      </c>
      <c r="D1688" s="94">
        <v>2624.0</v>
      </c>
    </row>
    <row r="1689">
      <c r="A1689" s="40">
        <f t="array" ref="A1689">IFNA(index(PlayerValues!A:A,match(IFNA(vlookup(B1689,'Special Names'!A:B,2,FALSE),B1689),PlayerValues!E:E,0)),"N/A")</f>
        <v>13671</v>
      </c>
      <c r="B1689" s="4" t="s">
        <v>506</v>
      </c>
      <c r="C1689" s="4" t="s">
        <v>298</v>
      </c>
      <c r="D1689" s="94">
        <v>3030.0</v>
      </c>
    </row>
    <row r="1690">
      <c r="A1690" s="40">
        <f t="array" ref="A1690">IFNA(index(PlayerValues!A:A,match(IFNA(vlookup(B1690,'Special Names'!A:B,2,FALSE),B1690),PlayerValues!E:E,0)),"N/A")</f>
        <v>16178</v>
      </c>
      <c r="B1690" s="4" t="s">
        <v>507</v>
      </c>
      <c r="C1690" s="4" t="s">
        <v>278</v>
      </c>
      <c r="D1690" s="94">
        <v>2615.0</v>
      </c>
    </row>
    <row r="1691">
      <c r="A1691" s="40">
        <f t="array" ref="A1691">IFNA(index(PlayerValues!A:A,match(IFNA(vlookup(B1691,'Special Names'!A:B,2,FALSE),B1691),PlayerValues!E:E,0)),"N/A")</f>
        <v>17072</v>
      </c>
      <c r="B1691" s="4" t="s">
        <v>508</v>
      </c>
      <c r="C1691" s="4" t="s">
        <v>287</v>
      </c>
      <c r="D1691" s="94">
        <v>2611.0</v>
      </c>
    </row>
    <row r="1692">
      <c r="A1692" s="40">
        <f t="array" ref="A1692">IFNA(index(PlayerValues!A:A,match(IFNA(vlookup(B1692,'Special Names'!A:B,2,FALSE),B1692),PlayerValues!E:E,0)),"N/A")</f>
        <v>16195</v>
      </c>
      <c r="B1692" s="4" t="s">
        <v>509</v>
      </c>
      <c r="C1692" s="4" t="s">
        <v>287</v>
      </c>
      <c r="D1692" s="94">
        <v>2597.0</v>
      </c>
    </row>
    <row r="1693">
      <c r="A1693" s="40">
        <f t="array" ref="A1693">IFNA(index(PlayerValues!A:A,match(IFNA(vlookup(B1693,'Special Names'!A:B,2,FALSE),B1693),PlayerValues!E:E,0)),"N/A")</f>
        <v>17047</v>
      </c>
      <c r="B1693" s="4" t="s">
        <v>510</v>
      </c>
      <c r="C1693" s="4" t="s">
        <v>278</v>
      </c>
      <c r="D1693" s="94">
        <v>2597.0</v>
      </c>
    </row>
    <row r="1694">
      <c r="A1694" s="40">
        <f t="array" ref="A1694">IFNA(index(PlayerValues!A:A,match(IFNA(vlookup(B1694,'Special Names'!A:B,2,FALSE),B1694),PlayerValues!E:E,0)),"N/A")</f>
        <v>13674</v>
      </c>
      <c r="B1694" s="4" t="s">
        <v>511</v>
      </c>
      <c r="C1694" s="4" t="s">
        <v>298</v>
      </c>
      <c r="D1694" s="94">
        <v>2996.0</v>
      </c>
    </row>
    <row r="1695">
      <c r="A1695" s="40" t="str">
        <f t="array" ref="A1695">IFNA(index(PlayerValues!A:A,match(IFNA(vlookup(B1695,'Special Names'!A:B,2,FALSE),B1695),PlayerValues!E:E,0)),"N/A")</f>
        <v>N/A</v>
      </c>
      <c r="B1695" s="4" t="s">
        <v>98</v>
      </c>
      <c r="C1695" s="4" t="s">
        <v>325</v>
      </c>
      <c r="D1695" s="94">
        <v>2580.0</v>
      </c>
    </row>
    <row r="1696">
      <c r="A1696" s="40">
        <f t="array" ref="A1696">IFNA(index(PlayerValues!A:A,match(IFNA(vlookup(B1696,'Special Names'!A:B,2,FALSE),B1696),PlayerValues!E:E,0)),"N/A")</f>
        <v>16164</v>
      </c>
      <c r="B1696" s="4" t="s">
        <v>512</v>
      </c>
      <c r="C1696" s="4" t="s">
        <v>278</v>
      </c>
      <c r="D1696" s="94">
        <v>2577.0</v>
      </c>
    </row>
    <row r="1697">
      <c r="A1697" s="40">
        <f t="array" ref="A1697">IFNA(index(PlayerValues!A:A,match(IFNA(vlookup(B1697,'Special Names'!A:B,2,FALSE),B1697),PlayerValues!E:E,0)),"N/A")</f>
        <v>17474</v>
      </c>
      <c r="B1697" s="4" t="s">
        <v>513</v>
      </c>
      <c r="C1697" s="4" t="s">
        <v>278</v>
      </c>
      <c r="D1697" s="94">
        <v>2573.0</v>
      </c>
    </row>
    <row r="1698">
      <c r="A1698" s="40">
        <f t="array" ref="A1698">IFNA(index(PlayerValues!A:A,match(IFNA(vlookup(B1698,'Special Names'!A:B,2,FALSE),B1698),PlayerValues!E:E,0)),"N/A")</f>
        <v>17468</v>
      </c>
      <c r="B1698" s="4" t="s">
        <v>514</v>
      </c>
      <c r="C1698" s="4" t="s">
        <v>283</v>
      </c>
      <c r="D1698" s="94">
        <v>2559.0</v>
      </c>
    </row>
    <row r="1699">
      <c r="A1699" s="40">
        <f t="array" ref="A1699">IFNA(index(PlayerValues!A:A,match(IFNA(vlookup(B1699,'Special Names'!A:B,2,FALSE),B1699),PlayerValues!E:E,0)),"N/A")</f>
        <v>16626</v>
      </c>
      <c r="B1699" s="4" t="s">
        <v>515</v>
      </c>
      <c r="C1699" s="4" t="s">
        <v>287</v>
      </c>
      <c r="D1699" s="94">
        <v>2555.0</v>
      </c>
    </row>
    <row r="1700">
      <c r="A1700" s="40">
        <f t="array" ref="A1700">IFNA(index(PlayerValues!A:A,match(IFNA(vlookup(B1700,'Special Names'!A:B,2,FALSE),B1700),PlayerValues!E:E,0)),"N/A")</f>
        <v>16287</v>
      </c>
      <c r="B1700" s="4" t="s">
        <v>516</v>
      </c>
      <c r="C1700" s="4" t="s">
        <v>287</v>
      </c>
      <c r="D1700" s="94">
        <v>2543.0</v>
      </c>
    </row>
    <row r="1701">
      <c r="A1701" s="40">
        <f t="array" ref="A1701">IFNA(index(PlayerValues!A:A,match(IFNA(vlookup(B1701,'Special Names'!A:B,2,FALSE),B1701),PlayerValues!E:E,0)),"N/A")</f>
        <v>16622</v>
      </c>
      <c r="B1701" s="4" t="s">
        <v>517</v>
      </c>
      <c r="C1701" s="4" t="s">
        <v>287</v>
      </c>
      <c r="D1701" s="94">
        <v>2539.0</v>
      </c>
    </row>
    <row r="1702">
      <c r="A1702" s="40">
        <f t="array" ref="A1702">IFNA(index(PlayerValues!A:A,match(IFNA(vlookup(B1702,'Special Names'!A:B,2,FALSE),B1702),PlayerValues!E:E,0)),"N/A")</f>
        <v>17520</v>
      </c>
      <c r="B1702" s="4" t="s">
        <v>518</v>
      </c>
      <c r="C1702" s="4" t="s">
        <v>287</v>
      </c>
      <c r="D1702" s="94">
        <v>2532.0</v>
      </c>
    </row>
    <row r="1703">
      <c r="A1703" s="40">
        <f t="array" ref="A1703">IFNA(index(PlayerValues!A:A,match(IFNA(vlookup(B1703,'Special Names'!A:B,2,FALSE),B1703),PlayerValues!E:E,0)),"N/A")</f>
        <v>11244</v>
      </c>
      <c r="B1703" s="4" t="s">
        <v>519</v>
      </c>
      <c r="C1703" s="4" t="s">
        <v>298</v>
      </c>
      <c r="D1703" s="94">
        <v>2930.0</v>
      </c>
    </row>
    <row r="1704">
      <c r="A1704" s="40">
        <f t="array" ref="A1704">IFNA(index(PlayerValues!A:A,match(IFNA(vlookup(B1704,'Special Names'!A:B,2,FALSE),B1704),PlayerValues!E:E,0)),"N/A")</f>
        <v>16165</v>
      </c>
      <c r="B1704" s="4" t="s">
        <v>520</v>
      </c>
      <c r="C1704" s="4" t="s">
        <v>278</v>
      </c>
      <c r="D1704" s="94">
        <v>2523.0</v>
      </c>
    </row>
    <row r="1705">
      <c r="A1705" s="40" t="str">
        <f t="array" ref="A1705">IFNA(index(PlayerValues!A:A,match(IFNA(vlookup(B1705,'Special Names'!A:B,2,FALSE),B1705),PlayerValues!E:E,0)),"N/A")</f>
        <v>N/A</v>
      </c>
      <c r="B1705" s="4" t="s">
        <v>99</v>
      </c>
      <c r="C1705" s="4" t="s">
        <v>325</v>
      </c>
      <c r="D1705" s="94">
        <v>2505.0</v>
      </c>
    </row>
    <row r="1706">
      <c r="A1706" s="40">
        <f t="array" ref="A1706">IFNA(index(PlayerValues!A:A,match(IFNA(vlookup(B1706,'Special Names'!A:B,2,FALSE),B1706),PlayerValues!E:E,0)),"N/A")</f>
        <v>15786</v>
      </c>
      <c r="B1706" s="4" t="s">
        <v>521</v>
      </c>
      <c r="C1706" s="4" t="s">
        <v>287</v>
      </c>
      <c r="D1706" s="94">
        <v>2499.0</v>
      </c>
    </row>
    <row r="1707">
      <c r="A1707" s="40">
        <f t="array" ref="A1707">IFNA(index(PlayerValues!A:A,match(IFNA(vlookup(B1707,'Special Names'!A:B,2,FALSE),B1707),PlayerValues!E:E,0)),"N/A")</f>
        <v>17485</v>
      </c>
      <c r="B1707" s="4" t="s">
        <v>522</v>
      </c>
      <c r="C1707" s="4" t="s">
        <v>278</v>
      </c>
      <c r="D1707" s="94">
        <v>2499.0</v>
      </c>
    </row>
    <row r="1708">
      <c r="A1708" s="40">
        <f t="array" ref="A1708">IFNA(index(PlayerValues!A:A,match(IFNA(vlookup(B1708,'Special Names'!A:B,2,FALSE),B1708),PlayerValues!E:E,0)),"N/A")</f>
        <v>14861</v>
      </c>
      <c r="B1708" s="4" t="s">
        <v>523</v>
      </c>
      <c r="C1708" s="4" t="s">
        <v>298</v>
      </c>
      <c r="D1708" s="94">
        <v>2901.0</v>
      </c>
    </row>
    <row r="1709">
      <c r="A1709" s="40">
        <f t="array" ref="A1709">IFNA(index(PlayerValues!A:A,match(IFNA(vlookup(B1709,'Special Names'!A:B,2,FALSE),B1709),PlayerValues!E:E,0)),"N/A")</f>
        <v>17157</v>
      </c>
      <c r="B1709" s="4" t="s">
        <v>524</v>
      </c>
      <c r="C1709" s="4" t="s">
        <v>287</v>
      </c>
      <c r="D1709" s="94">
        <v>2494.0</v>
      </c>
    </row>
    <row r="1710">
      <c r="A1710" s="40">
        <f t="array" ref="A1710">IFNA(index(PlayerValues!A:A,match(IFNA(vlookup(B1710,'Special Names'!A:B,2,FALSE),B1710),PlayerValues!E:E,0)),"N/A")</f>
        <v>17105</v>
      </c>
      <c r="B1710" s="4" t="s">
        <v>525</v>
      </c>
      <c r="C1710" s="4" t="s">
        <v>298</v>
      </c>
      <c r="D1710" s="94">
        <v>2892.0</v>
      </c>
    </row>
    <row r="1711">
      <c r="A1711" s="40">
        <f t="array" ref="A1711">IFNA(index(PlayerValues!A:A,match(IFNA(vlookup(B1711,'Special Names'!A:B,2,FALSE),B1711),PlayerValues!E:E,0)),"N/A")</f>
        <v>17607</v>
      </c>
      <c r="B1711" s="4" t="s">
        <v>526</v>
      </c>
      <c r="C1711" s="4" t="s">
        <v>298</v>
      </c>
      <c r="D1711" s="94">
        <v>2891.0</v>
      </c>
    </row>
    <row r="1712">
      <c r="A1712" s="40">
        <f t="array" ref="A1712">IFNA(index(PlayerValues!A:A,match(IFNA(vlookup(B1712,'Special Names'!A:B,2,FALSE),B1712),PlayerValues!E:E,0)),"N/A")</f>
        <v>17478</v>
      </c>
      <c r="B1712" s="4" t="s">
        <v>527</v>
      </c>
      <c r="C1712" s="4" t="s">
        <v>278</v>
      </c>
      <c r="D1712" s="94">
        <v>2486.0</v>
      </c>
    </row>
    <row r="1713">
      <c r="A1713" s="40">
        <f t="array" ref="A1713">IFNA(index(PlayerValues!A:A,match(IFNA(vlookup(B1713,'Special Names'!A:B,2,FALSE),B1713),PlayerValues!E:E,0)),"N/A")</f>
        <v>17505</v>
      </c>
      <c r="B1713" s="4" t="s">
        <v>528</v>
      </c>
      <c r="C1713" s="4" t="s">
        <v>287</v>
      </c>
      <c r="D1713" s="94">
        <v>2483.0</v>
      </c>
    </row>
    <row r="1714">
      <c r="A1714" s="40">
        <f t="array" ref="A1714">IFNA(index(PlayerValues!A:A,match(IFNA(vlookup(B1714,'Special Names'!A:B,2,FALSE),B1714),PlayerValues!E:E,0)),"N/A")</f>
        <v>12616</v>
      </c>
      <c r="B1714" s="4" t="s">
        <v>529</v>
      </c>
      <c r="C1714" s="4" t="s">
        <v>283</v>
      </c>
      <c r="D1714" s="94">
        <v>2477.0</v>
      </c>
    </row>
    <row r="1715">
      <c r="A1715" s="40">
        <f t="array" ref="A1715">IFNA(index(PlayerValues!A:A,match(IFNA(vlookup(B1715,'Special Names'!A:B,2,FALSE),B1715),PlayerValues!E:E,0)),"N/A")</f>
        <v>16204</v>
      </c>
      <c r="B1715" s="4" t="s">
        <v>530</v>
      </c>
      <c r="C1715" s="4" t="s">
        <v>287</v>
      </c>
      <c r="D1715" s="94">
        <v>2477.0</v>
      </c>
    </row>
    <row r="1716">
      <c r="A1716" s="40">
        <f t="array" ref="A1716">IFNA(index(PlayerValues!A:A,match(IFNA(vlookup(B1716,'Special Names'!A:B,2,FALSE),B1716),PlayerValues!E:E,0)),"N/A")</f>
        <v>14138</v>
      </c>
      <c r="B1716" s="4" t="s">
        <v>531</v>
      </c>
      <c r="C1716" s="4" t="s">
        <v>298</v>
      </c>
      <c r="D1716" s="94">
        <v>2863.0</v>
      </c>
    </row>
    <row r="1717">
      <c r="A1717" s="40">
        <f t="array" ref="A1717">IFNA(index(PlayerValues!A:A,match(IFNA(vlookup(B1717,'Special Names'!A:B,2,FALSE),B1717),PlayerValues!E:E,0)),"N/A")</f>
        <v>17080</v>
      </c>
      <c r="B1717" s="4" t="s">
        <v>532</v>
      </c>
      <c r="C1717" s="4" t="s">
        <v>287</v>
      </c>
      <c r="D1717" s="94">
        <v>2456.0</v>
      </c>
    </row>
    <row r="1718">
      <c r="A1718" s="40" t="str">
        <f t="array" ref="A1718">IFNA(index(PlayerValues!A:A,match(IFNA(vlookup(B1718,'Special Names'!A:B,2,FALSE),B1718),PlayerValues!E:E,0)),"N/A")</f>
        <v>N/A</v>
      </c>
      <c r="B1718" s="4" t="s">
        <v>86</v>
      </c>
      <c r="C1718" s="4" t="s">
        <v>325</v>
      </c>
      <c r="D1718" s="94">
        <v>2449.0</v>
      </c>
    </row>
    <row r="1719">
      <c r="A1719" s="40">
        <f t="array" ref="A1719">IFNA(index(PlayerValues!A:A,match(IFNA(vlookup(B1719,'Special Names'!A:B,2,FALSE),B1719),PlayerValues!E:E,0)),"N/A")</f>
        <v>17098</v>
      </c>
      <c r="B1719" s="4" t="s">
        <v>533</v>
      </c>
      <c r="C1719" s="4" t="s">
        <v>287</v>
      </c>
      <c r="D1719" s="94">
        <v>2409.0</v>
      </c>
    </row>
    <row r="1720">
      <c r="A1720" s="40">
        <f t="array" ref="A1720">IFNA(index(PlayerValues!A:A,match(IFNA(vlookup(B1720,'Special Names'!A:B,2,FALSE),B1720),PlayerValues!E:E,0)),"N/A")</f>
        <v>17508</v>
      </c>
      <c r="B1720" s="4" t="s">
        <v>534</v>
      </c>
      <c r="C1720" s="4" t="s">
        <v>287</v>
      </c>
      <c r="D1720" s="94">
        <v>2374.0</v>
      </c>
    </row>
    <row r="1721">
      <c r="A1721" s="40">
        <f t="array" ref="A1721">IFNA(index(PlayerValues!A:A,match(IFNA(vlookup(B1721,'Special Names'!A:B,2,FALSE),B1721),PlayerValues!E:E,0)),"N/A")</f>
        <v>17031</v>
      </c>
      <c r="B1721" s="4" t="s">
        <v>535</v>
      </c>
      <c r="C1721" s="4" t="s">
        <v>283</v>
      </c>
      <c r="D1721" s="94">
        <v>2363.0</v>
      </c>
    </row>
    <row r="1722">
      <c r="A1722" s="40" t="str">
        <f t="array" ref="A1722">IFNA(index(PlayerValues!A:A,match(IFNA(vlookup(B1722,'Special Names'!A:B,2,FALSE),B1722),PlayerValues!E:E,0)),"N/A")</f>
        <v>N/A</v>
      </c>
      <c r="B1722" s="4" t="s">
        <v>100</v>
      </c>
      <c r="C1722" s="4" t="s">
        <v>325</v>
      </c>
      <c r="D1722" s="94">
        <v>2361.0</v>
      </c>
    </row>
    <row r="1723">
      <c r="A1723" s="40">
        <f t="array" ref="A1723">IFNA(index(PlayerValues!A:A,match(IFNA(vlookup(B1723,'Special Names'!A:B,2,FALSE),B1723),PlayerValues!E:E,0)),"N/A")</f>
        <v>14136</v>
      </c>
      <c r="B1723" s="4" t="s">
        <v>536</v>
      </c>
      <c r="C1723" s="4" t="s">
        <v>287</v>
      </c>
      <c r="D1723" s="94">
        <v>2360.0</v>
      </c>
    </row>
    <row r="1724">
      <c r="A1724" s="40">
        <f t="array" ref="A1724">IFNA(index(PlayerValues!A:A,match(IFNA(vlookup(B1724,'Special Names'!A:B,2,FALSE),B1724),PlayerValues!E:E,0)),"N/A")</f>
        <v>12676</v>
      </c>
      <c r="B1724" s="4" t="s">
        <v>537</v>
      </c>
      <c r="C1724" s="4" t="s">
        <v>298</v>
      </c>
      <c r="D1724" s="94">
        <v>2755.0</v>
      </c>
    </row>
    <row r="1725">
      <c r="A1725" s="40">
        <f t="array" ref="A1725">IFNA(index(PlayerValues!A:A,match(IFNA(vlookup(B1725,'Special Names'!A:B,2,FALSE),B1725),PlayerValues!E:E,0)),"N/A")</f>
        <v>16619</v>
      </c>
      <c r="B1725" s="4" t="s">
        <v>538</v>
      </c>
      <c r="C1725" s="4" t="s">
        <v>287</v>
      </c>
      <c r="D1725" s="94">
        <v>2349.0</v>
      </c>
    </row>
    <row r="1726">
      <c r="A1726" s="40">
        <f t="array" ref="A1726">IFNA(index(PlayerValues!A:A,match(IFNA(vlookup(B1726,'Special Names'!A:B,2,FALSE),B1726),PlayerValues!E:E,0)),"N/A")</f>
        <v>17048</v>
      </c>
      <c r="B1726" s="4" t="s">
        <v>539</v>
      </c>
      <c r="C1726" s="4" t="s">
        <v>278</v>
      </c>
      <c r="D1726" s="94">
        <v>2348.0</v>
      </c>
    </row>
    <row r="1727">
      <c r="A1727" s="40">
        <f t="array" ref="A1727">IFNA(index(PlayerValues!A:A,match(IFNA(vlookup(B1727,'Special Names'!A:B,2,FALSE),B1727),PlayerValues!E:E,0)),"N/A")</f>
        <v>17481</v>
      </c>
      <c r="B1727" s="4" t="s">
        <v>540</v>
      </c>
      <c r="C1727" s="4" t="s">
        <v>278</v>
      </c>
      <c r="D1727" s="94">
        <v>2332.0</v>
      </c>
    </row>
    <row r="1728">
      <c r="A1728" s="40">
        <f t="array" ref="A1728">IFNA(index(PlayerValues!A:A,match(IFNA(vlookup(B1728,'Special Names'!A:B,2,FALSE),B1728),PlayerValues!E:E,0)),"N/A")</f>
        <v>16617</v>
      </c>
      <c r="B1728" s="4" t="s">
        <v>541</v>
      </c>
      <c r="C1728" s="4" t="s">
        <v>287</v>
      </c>
      <c r="D1728" s="94">
        <v>2327.0</v>
      </c>
    </row>
    <row r="1729">
      <c r="A1729" s="40">
        <f t="array" ref="A1729">IFNA(index(PlayerValues!A:A,match(IFNA(vlookup(B1729,'Special Names'!A:B,2,FALSE),B1729),PlayerValues!E:E,0)),"N/A")</f>
        <v>17108</v>
      </c>
      <c r="B1729" s="4" t="s">
        <v>542</v>
      </c>
      <c r="C1729" s="4" t="s">
        <v>298</v>
      </c>
      <c r="D1729" s="94">
        <v>2716.0</v>
      </c>
    </row>
    <row r="1730">
      <c r="A1730" s="40" t="str">
        <f t="array" ref="A1730">IFNA(index(PlayerValues!A:A,match(IFNA(vlookup(B1730,'Special Names'!A:B,2,FALSE),B1730),PlayerValues!E:E,0)),"N/A")</f>
        <v>N/A</v>
      </c>
      <c r="B1730" s="4" t="s">
        <v>87</v>
      </c>
      <c r="C1730" s="4" t="s">
        <v>325</v>
      </c>
      <c r="D1730" s="94">
        <v>2318.0</v>
      </c>
    </row>
    <row r="1731">
      <c r="A1731" s="40">
        <f t="array" ref="A1731">IFNA(index(PlayerValues!A:A,match(IFNA(vlookup(B1731,'Special Names'!A:B,2,FALSE),B1731),PlayerValues!E:E,0)),"N/A")</f>
        <v>17078</v>
      </c>
      <c r="B1731" s="4" t="s">
        <v>543</v>
      </c>
      <c r="C1731" s="4" t="s">
        <v>287</v>
      </c>
      <c r="D1731" s="94">
        <v>2318.0</v>
      </c>
    </row>
    <row r="1732">
      <c r="A1732" s="40" t="str">
        <f t="array" ref="A1732">IFNA(index(PlayerValues!A:A,match(IFNA(vlookup(B1732,'Special Names'!A:B,2,FALSE),B1732),PlayerValues!E:E,0)),"N/A")</f>
        <v>N/A</v>
      </c>
      <c r="B1732" s="4" t="s">
        <v>112</v>
      </c>
      <c r="C1732" s="4" t="s">
        <v>325</v>
      </c>
      <c r="D1732" s="94">
        <v>2311.0</v>
      </c>
    </row>
    <row r="1733">
      <c r="A1733" s="40">
        <f t="array" ref="A1733">IFNA(index(PlayerValues!A:A,match(IFNA(vlookup(B1733,'Special Names'!A:B,2,FALSE),B1733),PlayerValues!E:E,0)),"N/A")</f>
        <v>13772</v>
      </c>
      <c r="B1733" s="4" t="s">
        <v>544</v>
      </c>
      <c r="C1733" s="4" t="s">
        <v>298</v>
      </c>
      <c r="D1733" s="94">
        <v>2708.0</v>
      </c>
    </row>
    <row r="1734">
      <c r="A1734" s="40">
        <f t="array" ref="A1734">IFNA(index(PlayerValues!A:A,match(IFNA(vlookup(B1734,'Special Names'!A:B,2,FALSE),B1734),PlayerValues!E:E,0)),"N/A")</f>
        <v>15716</v>
      </c>
      <c r="B1734" s="4" t="s">
        <v>545</v>
      </c>
      <c r="C1734" s="4" t="s">
        <v>278</v>
      </c>
      <c r="D1734" s="94">
        <v>2282.0</v>
      </c>
    </row>
    <row r="1735">
      <c r="A1735" s="40">
        <f t="array" ref="A1735">IFNA(index(PlayerValues!A:A,match(IFNA(vlookup(B1735,'Special Names'!A:B,2,FALSE),B1735),PlayerValues!E:E,0)),"N/A")</f>
        <v>15241</v>
      </c>
      <c r="B1735" s="4" t="s">
        <v>546</v>
      </c>
      <c r="C1735" s="4" t="s">
        <v>283</v>
      </c>
      <c r="D1735" s="94">
        <v>2275.0</v>
      </c>
    </row>
    <row r="1736">
      <c r="A1736" s="40">
        <f t="array" ref="A1736">IFNA(index(PlayerValues!A:A,match(IFNA(vlookup(B1736,'Special Names'!A:B,2,FALSE),B1736),PlayerValues!E:E,0)),"N/A")</f>
        <v>17073</v>
      </c>
      <c r="B1736" s="4" t="s">
        <v>547</v>
      </c>
      <c r="C1736" s="4" t="s">
        <v>287</v>
      </c>
      <c r="D1736" s="94">
        <v>2273.0</v>
      </c>
    </row>
    <row r="1737">
      <c r="A1737" s="40">
        <f t="array" ref="A1737">IFNA(index(PlayerValues!A:A,match(IFNA(vlookup(B1737,'Special Names'!A:B,2,FALSE),B1737),PlayerValues!E:E,0)),"N/A")</f>
        <v>17134</v>
      </c>
      <c r="B1737" s="4" t="s">
        <v>548</v>
      </c>
      <c r="C1737" s="4" t="s">
        <v>287</v>
      </c>
      <c r="D1737" s="94">
        <v>2268.0</v>
      </c>
    </row>
    <row r="1738">
      <c r="A1738" s="40">
        <f t="array" ref="A1738">IFNA(index(PlayerValues!A:A,match(IFNA(vlookup(B1738,'Special Names'!A:B,2,FALSE),B1738),PlayerValues!E:E,0)),"N/A")</f>
        <v>13319</v>
      </c>
      <c r="B1738" s="4" t="s">
        <v>549</v>
      </c>
      <c r="C1738" s="4" t="s">
        <v>278</v>
      </c>
      <c r="D1738" s="94">
        <v>2263.0</v>
      </c>
    </row>
    <row r="1739">
      <c r="A1739" s="40">
        <f t="array" ref="A1739">IFNA(index(PlayerValues!A:A,match(IFNA(vlookup(B1739,'Special Names'!A:B,2,FALSE),B1739),PlayerValues!E:E,0)),"N/A")</f>
        <v>17106</v>
      </c>
      <c r="B1739" s="4" t="s">
        <v>550</v>
      </c>
      <c r="C1739" s="4" t="s">
        <v>298</v>
      </c>
      <c r="D1739" s="94">
        <v>2649.0</v>
      </c>
    </row>
    <row r="1740">
      <c r="A1740" s="40">
        <f t="array" ref="A1740">IFNA(index(PlayerValues!A:A,match(IFNA(vlookup(B1740,'Special Names'!A:B,2,FALSE),B1740),PlayerValues!E:E,0)),"N/A")</f>
        <v>17509</v>
      </c>
      <c r="B1740" s="4" t="s">
        <v>551</v>
      </c>
      <c r="C1740" s="4" t="s">
        <v>287</v>
      </c>
      <c r="D1740" s="94">
        <v>2251.0</v>
      </c>
    </row>
    <row r="1741">
      <c r="A1741" s="40">
        <f t="array" ref="A1741">IFNA(index(PlayerValues!A:A,match(IFNA(vlookup(B1741,'Special Names'!A:B,2,FALSE),B1741),PlayerValues!E:E,0)),"N/A")</f>
        <v>17547</v>
      </c>
      <c r="B1741" s="4" t="s">
        <v>552</v>
      </c>
      <c r="C1741" s="4" t="s">
        <v>298</v>
      </c>
      <c r="D1741" s="94">
        <v>2644.0</v>
      </c>
    </row>
    <row r="1742">
      <c r="A1742" s="40">
        <f t="array" ref="A1742">IFNA(index(PlayerValues!A:A,match(IFNA(vlookup(B1742,'Special Names'!A:B,2,FALSE),B1742),PlayerValues!E:E,0)),"N/A")</f>
        <v>14833</v>
      </c>
      <c r="B1742" s="4" t="s">
        <v>553</v>
      </c>
      <c r="C1742" s="4" t="s">
        <v>287</v>
      </c>
      <c r="D1742" s="94">
        <v>2236.0</v>
      </c>
    </row>
    <row r="1743">
      <c r="A1743" s="40">
        <f t="array" ref="A1743">IFNA(index(PlayerValues!A:A,match(IFNA(vlookup(B1743,'Special Names'!A:B,2,FALSE),B1743),PlayerValues!E:E,0)),"N/A")</f>
        <v>14860</v>
      </c>
      <c r="B1743" s="4" t="s">
        <v>554</v>
      </c>
      <c r="C1743" s="4" t="s">
        <v>287</v>
      </c>
      <c r="D1743" s="94">
        <v>2230.0</v>
      </c>
    </row>
    <row r="1744">
      <c r="A1744" s="40">
        <f t="array" ref="A1744">IFNA(index(PlayerValues!A:A,match(IFNA(vlookup(B1744,'Special Names'!A:B,2,FALSE),B1744),PlayerValues!E:E,0)),"N/A")</f>
        <v>16747</v>
      </c>
      <c r="B1744" s="4" t="s">
        <v>555</v>
      </c>
      <c r="C1744" s="4" t="s">
        <v>278</v>
      </c>
      <c r="D1744" s="94">
        <v>2199.0</v>
      </c>
    </row>
    <row r="1745">
      <c r="A1745" s="40">
        <f t="array" ref="A1745">IFNA(index(PlayerValues!A:A,match(IFNA(vlookup(B1745,'Special Names'!A:B,2,FALSE),B1745),PlayerValues!E:E,0)),"N/A")</f>
        <v>15797</v>
      </c>
      <c r="B1745" s="4" t="s">
        <v>556</v>
      </c>
      <c r="C1745" s="4" t="s">
        <v>298</v>
      </c>
      <c r="D1745" s="94">
        <v>2590.0</v>
      </c>
    </row>
    <row r="1746">
      <c r="A1746" s="40" t="str">
        <f t="array" ref="A1746">IFNA(index(PlayerValues!A:A,match(IFNA(vlookup(B1746,'Special Names'!A:B,2,FALSE),B1746),PlayerValues!E:E,0)),"N/A")</f>
        <v>N/A</v>
      </c>
      <c r="B1746" s="4" t="s">
        <v>557</v>
      </c>
      <c r="C1746" s="4" t="s">
        <v>278</v>
      </c>
      <c r="D1746" s="94">
        <v>2175.0</v>
      </c>
    </row>
    <row r="1747">
      <c r="A1747" s="40">
        <f t="array" ref="A1747">IFNA(index(PlayerValues!A:A,match(IFNA(vlookup(B1747,'Special Names'!A:B,2,FALSE),B1747),PlayerValues!E:E,0)),"N/A")</f>
        <v>16757</v>
      </c>
      <c r="B1747" s="4" t="s">
        <v>558</v>
      </c>
      <c r="C1747" s="4" t="s">
        <v>278</v>
      </c>
      <c r="D1747" s="94">
        <v>2168.0</v>
      </c>
    </row>
    <row r="1748">
      <c r="A1748" s="40" t="str">
        <f t="array" ref="A1748">IFNA(index(PlayerValues!A:A,match(IFNA(vlookup(B1748,'Special Names'!A:B,2,FALSE),B1748),PlayerValues!E:E,0)),"N/A")</f>
        <v>N/A</v>
      </c>
      <c r="B1748" s="4" t="s">
        <v>113</v>
      </c>
      <c r="C1748" s="4" t="s">
        <v>325</v>
      </c>
      <c r="D1748" s="94">
        <v>2166.0</v>
      </c>
    </row>
    <row r="1749">
      <c r="A1749" s="40">
        <f t="array" ref="A1749">IFNA(index(PlayerValues!A:A,match(IFNA(vlookup(B1749,'Special Names'!A:B,2,FALSE),B1749),PlayerValues!E:E,0)),"N/A")</f>
        <v>11150</v>
      </c>
      <c r="B1749" s="4" t="s">
        <v>559</v>
      </c>
      <c r="C1749" s="4" t="s">
        <v>283</v>
      </c>
      <c r="D1749" s="94">
        <v>2159.0</v>
      </c>
    </row>
    <row r="1750">
      <c r="A1750" s="40">
        <f t="array" ref="A1750">IFNA(index(PlayerValues!A:A,match(IFNA(vlookup(B1750,'Special Names'!A:B,2,FALSE),B1750),PlayerValues!E:E,0)),"N/A")</f>
        <v>15331</v>
      </c>
      <c r="B1750" s="4" t="s">
        <v>560</v>
      </c>
      <c r="C1750" s="4" t="s">
        <v>298</v>
      </c>
      <c r="D1750" s="94">
        <v>2536.0</v>
      </c>
    </row>
    <row r="1751">
      <c r="A1751" s="40">
        <f t="array" ref="A1751">IFNA(index(PlayerValues!A:A,match(IFNA(vlookup(B1751,'Special Names'!A:B,2,FALSE),B1751),PlayerValues!E:E,0)),"N/A")</f>
        <v>17171</v>
      </c>
      <c r="B1751" s="4" t="s">
        <v>561</v>
      </c>
      <c r="C1751" s="4" t="s">
        <v>287</v>
      </c>
      <c r="D1751" s="94">
        <v>2143.0</v>
      </c>
    </row>
    <row r="1752">
      <c r="A1752" s="40">
        <f t="array" ref="A1752">IFNA(index(PlayerValues!A:A,match(IFNA(vlookup(B1752,'Special Names'!A:B,2,FALSE),B1752),PlayerValues!E:E,0)),"N/A")</f>
        <v>16610</v>
      </c>
      <c r="B1752" s="4" t="s">
        <v>562</v>
      </c>
      <c r="C1752" s="4" t="s">
        <v>278</v>
      </c>
      <c r="D1752" s="94">
        <v>2140.0</v>
      </c>
    </row>
    <row r="1753">
      <c r="A1753" s="40">
        <f t="array" ref="A1753">IFNA(index(PlayerValues!A:A,match(IFNA(vlookup(B1753,'Special Names'!A:B,2,FALSE),B1753),PlayerValues!E:E,0)),"N/A")</f>
        <v>13192</v>
      </c>
      <c r="B1753" s="4" t="s">
        <v>563</v>
      </c>
      <c r="C1753" s="4" t="s">
        <v>298</v>
      </c>
      <c r="D1753" s="94">
        <v>2529.0</v>
      </c>
    </row>
    <row r="1754">
      <c r="A1754" s="40">
        <f t="array" ref="A1754">IFNA(index(PlayerValues!A:A,match(IFNA(vlookup(B1754,'Special Names'!A:B,2,FALSE),B1754),PlayerValues!E:E,0)),"N/A")</f>
        <v>14778</v>
      </c>
      <c r="B1754" s="4" t="s">
        <v>564</v>
      </c>
      <c r="C1754" s="4" t="s">
        <v>283</v>
      </c>
      <c r="D1754" s="94">
        <v>2139.0</v>
      </c>
    </row>
    <row r="1755">
      <c r="A1755" s="40">
        <f t="array" ref="A1755">IFNA(index(PlayerValues!A:A,match(IFNA(vlookup(B1755,'Special Names'!A:B,2,FALSE),B1755),PlayerValues!E:E,0)),"N/A")</f>
        <v>17055</v>
      </c>
      <c r="B1755" s="4" t="s">
        <v>565</v>
      </c>
      <c r="C1755" s="4" t="s">
        <v>278</v>
      </c>
      <c r="D1755" s="94">
        <v>2138.0</v>
      </c>
    </row>
    <row r="1756">
      <c r="A1756" s="40">
        <f t="array" ref="A1756">IFNA(index(PlayerValues!A:A,match(IFNA(vlookup(B1756,'Special Names'!A:B,2,FALSE),B1756),PlayerValues!E:E,0)),"N/A")</f>
        <v>15802</v>
      </c>
      <c r="B1756" s="4" t="s">
        <v>566</v>
      </c>
      <c r="C1756" s="4" t="s">
        <v>298</v>
      </c>
      <c r="D1756" s="94">
        <v>2529.0</v>
      </c>
    </row>
    <row r="1757">
      <c r="A1757" s="40" t="str">
        <f t="array" ref="A1757">IFNA(index(PlayerValues!A:A,match(IFNA(vlookup(B1757,'Special Names'!A:B,2,FALSE),B1757),PlayerValues!E:E,0)),"N/A")</f>
        <v>N/A</v>
      </c>
      <c r="B1757" s="4" t="s">
        <v>88</v>
      </c>
      <c r="C1757" s="4" t="s">
        <v>325</v>
      </c>
      <c r="D1757" s="94">
        <v>2133.0</v>
      </c>
    </row>
    <row r="1758">
      <c r="A1758" s="40">
        <f t="array" ref="A1758">IFNA(index(PlayerValues!A:A,match(IFNA(vlookup(B1758,'Special Names'!A:B,2,FALSE),B1758),PlayerValues!E:E,0)),"N/A")</f>
        <v>16166</v>
      </c>
      <c r="B1758" s="4" t="s">
        <v>567</v>
      </c>
      <c r="C1758" s="4" t="s">
        <v>278</v>
      </c>
      <c r="D1758" s="94">
        <v>2126.0</v>
      </c>
    </row>
    <row r="1759">
      <c r="A1759" s="40">
        <f t="array" ref="A1759">IFNA(index(PlayerValues!A:A,match(IFNA(vlookup(B1759,'Special Names'!A:B,2,FALSE),B1759),PlayerValues!E:E,0)),"N/A")</f>
        <v>16212</v>
      </c>
      <c r="B1759" s="4" t="s">
        <v>568</v>
      </c>
      <c r="C1759" s="4" t="s">
        <v>298</v>
      </c>
      <c r="D1759" s="94">
        <v>2509.0</v>
      </c>
    </row>
    <row r="1760">
      <c r="A1760" s="40">
        <f t="array" ref="A1760">IFNA(index(PlayerValues!A:A,match(IFNA(vlookup(B1760,'Special Names'!A:B,2,FALSE),B1760),PlayerValues!E:E,0)),"N/A")</f>
        <v>16584</v>
      </c>
      <c r="B1760" s="4" t="s">
        <v>569</v>
      </c>
      <c r="C1760" s="4" t="s">
        <v>283</v>
      </c>
      <c r="D1760" s="94">
        <v>2109.0</v>
      </c>
    </row>
    <row r="1761">
      <c r="A1761" s="40">
        <f t="array" ref="A1761">IFNA(index(PlayerValues!A:A,match(IFNA(vlookup(B1761,'Special Names'!A:B,2,FALSE),B1761),PlayerValues!E:E,0)),"N/A")</f>
        <v>17033</v>
      </c>
      <c r="B1761" s="4" t="s">
        <v>570</v>
      </c>
      <c r="C1761" s="4" t="s">
        <v>283</v>
      </c>
      <c r="D1761" s="94">
        <v>2104.0</v>
      </c>
    </row>
    <row r="1762">
      <c r="A1762" s="40">
        <f t="array" ref="A1762">IFNA(index(PlayerValues!A:A,match(IFNA(vlookup(B1762,'Special Names'!A:B,2,FALSE),B1762),PlayerValues!E:E,0)),"N/A")</f>
        <v>17567</v>
      </c>
      <c r="B1762" s="4" t="s">
        <v>571</v>
      </c>
      <c r="C1762" s="4" t="s">
        <v>298</v>
      </c>
      <c r="D1762" s="94">
        <v>2473.0</v>
      </c>
    </row>
    <row r="1763">
      <c r="A1763" s="40">
        <f t="array" ref="A1763">IFNA(index(PlayerValues!A:A,match(IFNA(vlookup(B1763,'Special Names'!A:B,2,FALSE),B1763),PlayerValues!E:E,0)),"N/A")</f>
        <v>17079</v>
      </c>
      <c r="B1763" s="4" t="s">
        <v>572</v>
      </c>
      <c r="C1763" s="4" t="s">
        <v>287</v>
      </c>
      <c r="D1763" s="94">
        <v>2081.0</v>
      </c>
    </row>
    <row r="1764">
      <c r="A1764" s="40" t="str">
        <f t="array" ref="A1764">IFNA(index(PlayerValues!A:A,match(IFNA(vlookup(B1764,'Special Names'!A:B,2,FALSE),B1764),PlayerValues!E:E,0)),"N/A")</f>
        <v>N/A</v>
      </c>
      <c r="B1764" s="4" t="s">
        <v>114</v>
      </c>
      <c r="C1764" s="4" t="s">
        <v>325</v>
      </c>
      <c r="D1764" s="94">
        <v>2075.0</v>
      </c>
    </row>
    <row r="1765">
      <c r="A1765" s="40">
        <f t="array" ref="A1765">IFNA(index(PlayerValues!A:A,match(IFNA(vlookup(B1765,'Special Names'!A:B,2,FALSE),B1765),PlayerValues!E:E,0)),"N/A")</f>
        <v>17521</v>
      </c>
      <c r="B1765" s="4" t="s">
        <v>573</v>
      </c>
      <c r="C1765" s="4" t="s">
        <v>287</v>
      </c>
      <c r="D1765" s="94">
        <v>2071.0</v>
      </c>
    </row>
    <row r="1766">
      <c r="A1766" s="40">
        <f t="array" ref="A1766">IFNA(index(PlayerValues!A:A,match(IFNA(vlookup(B1766,'Special Names'!A:B,2,FALSE),B1766),PlayerValues!E:E,0)),"N/A")</f>
        <v>15749</v>
      </c>
      <c r="B1766" s="4" t="s">
        <v>574</v>
      </c>
      <c r="C1766" s="4" t="s">
        <v>278</v>
      </c>
      <c r="D1766" s="94">
        <v>2068.0</v>
      </c>
    </row>
    <row r="1767">
      <c r="A1767" s="40">
        <f t="array" ref="A1767">IFNA(index(PlayerValues!A:A,match(IFNA(vlookup(B1767,'Special Names'!A:B,2,FALSE),B1767),PlayerValues!E:E,0)),"N/A")</f>
        <v>17467</v>
      </c>
      <c r="B1767" s="4" t="s">
        <v>575</v>
      </c>
      <c r="C1767" s="4" t="s">
        <v>283</v>
      </c>
      <c r="D1767" s="94">
        <v>2050.0</v>
      </c>
    </row>
    <row r="1768">
      <c r="A1768" s="40">
        <f t="array" ref="A1768">IFNA(index(PlayerValues!A:A,match(IFNA(vlookup(B1768,'Special Names'!A:B,2,FALSE),B1768),PlayerValues!E:E,0)),"N/A")</f>
        <v>17652</v>
      </c>
      <c r="B1768" s="4" t="s">
        <v>576</v>
      </c>
      <c r="C1768" s="4" t="s">
        <v>278</v>
      </c>
      <c r="D1768" s="94">
        <v>2048.0</v>
      </c>
    </row>
    <row r="1769">
      <c r="A1769" s="40">
        <f t="array" ref="A1769">IFNA(index(PlayerValues!A:A,match(IFNA(vlookup(B1769,'Special Names'!A:B,2,FALSE),B1769),PlayerValues!E:E,0)),"N/A")</f>
        <v>16778</v>
      </c>
      <c r="B1769" s="4" t="s">
        <v>577</v>
      </c>
      <c r="C1769" s="4" t="s">
        <v>287</v>
      </c>
      <c r="D1769" s="94">
        <v>2039.0</v>
      </c>
    </row>
    <row r="1770">
      <c r="A1770" s="40">
        <f t="array" ref="A1770">IFNA(index(PlayerValues!A:A,match(IFNA(vlookup(B1770,'Special Names'!A:B,2,FALSE),B1770),PlayerValues!E:E,0)),"N/A")</f>
        <v>15293</v>
      </c>
      <c r="B1770" s="4" t="s">
        <v>578</v>
      </c>
      <c r="C1770" s="4" t="s">
        <v>287</v>
      </c>
      <c r="D1770" s="94">
        <v>2029.0</v>
      </c>
    </row>
    <row r="1771">
      <c r="A1771" s="40">
        <f t="array" ref="A1771">IFNA(index(PlayerValues!A:A,match(IFNA(vlookup(B1771,'Special Names'!A:B,2,FALSE),B1771),PlayerValues!E:E,0)),"N/A")</f>
        <v>17528</v>
      </c>
      <c r="B1771" s="4" t="s">
        <v>579</v>
      </c>
      <c r="C1771" s="4" t="s">
        <v>287</v>
      </c>
      <c r="D1771" s="94">
        <v>2029.0</v>
      </c>
    </row>
    <row r="1772">
      <c r="A1772" s="40">
        <f t="array" ref="A1772">IFNA(index(PlayerValues!A:A,match(IFNA(vlookup(B1772,'Special Names'!A:B,2,FALSE),B1772),PlayerValues!E:E,0)),"N/A")</f>
        <v>17061</v>
      </c>
      <c r="B1772" s="4" t="s">
        <v>580</v>
      </c>
      <c r="C1772" s="4" t="s">
        <v>278</v>
      </c>
      <c r="D1772" s="94">
        <v>2028.0</v>
      </c>
    </row>
    <row r="1773">
      <c r="A1773" s="40">
        <f t="array" ref="A1773">IFNA(index(PlayerValues!A:A,match(IFNA(vlookup(B1773,'Special Names'!A:B,2,FALSE),B1773),PlayerValues!E:E,0)),"N/A")</f>
        <v>17056</v>
      </c>
      <c r="B1773" s="4" t="s">
        <v>581</v>
      </c>
      <c r="C1773" s="4" t="s">
        <v>278</v>
      </c>
      <c r="D1773" s="94">
        <v>2024.0</v>
      </c>
    </row>
    <row r="1774">
      <c r="A1774" s="40">
        <f t="array" ref="A1774">IFNA(index(PlayerValues!A:A,match(IFNA(vlookup(B1774,'Special Names'!A:B,2,FALSE),B1774),PlayerValues!E:E,0)),"N/A")</f>
        <v>16189</v>
      </c>
      <c r="B1774" s="4" t="s">
        <v>582</v>
      </c>
      <c r="C1774" s="4" t="s">
        <v>287</v>
      </c>
      <c r="D1774" s="94">
        <v>2022.0</v>
      </c>
    </row>
    <row r="1775">
      <c r="A1775" s="40">
        <f t="array" ref="A1775">IFNA(index(PlayerValues!A:A,match(IFNA(vlookup(B1775,'Special Names'!A:B,2,FALSE),B1775),PlayerValues!E:E,0)),"N/A")</f>
        <v>16342</v>
      </c>
      <c r="B1775" s="4" t="s">
        <v>583</v>
      </c>
      <c r="C1775" s="4" t="s">
        <v>287</v>
      </c>
      <c r="D1775" s="94">
        <v>2021.0</v>
      </c>
    </row>
    <row r="1776">
      <c r="A1776" s="40">
        <f t="array" ref="A1776">IFNA(index(PlayerValues!A:A,match(IFNA(vlookup(B1776,'Special Names'!A:B,2,FALSE),B1776),PlayerValues!E:E,0)),"N/A")</f>
        <v>14871</v>
      </c>
      <c r="B1776" s="4" t="s">
        <v>584</v>
      </c>
      <c r="C1776" s="4" t="s">
        <v>298</v>
      </c>
      <c r="D1776" s="94">
        <v>2380.0</v>
      </c>
    </row>
    <row r="1777">
      <c r="A1777" s="40">
        <f t="array" ref="A1777">IFNA(index(PlayerValues!A:A,match(IFNA(vlookup(B1777,'Special Names'!A:B,2,FALSE),B1777),PlayerValues!E:E,0)),"N/A")</f>
        <v>17076</v>
      </c>
      <c r="B1777" s="4" t="s">
        <v>585</v>
      </c>
      <c r="C1777" s="4" t="s">
        <v>287</v>
      </c>
      <c r="D1777" s="94">
        <v>1992.0</v>
      </c>
    </row>
    <row r="1778">
      <c r="A1778" s="40">
        <f t="array" ref="A1778">IFNA(index(PlayerValues!A:A,match(IFNA(vlookup(B1778,'Special Names'!A:B,2,FALSE),B1778),PlayerValues!E:E,0)),"N/A")</f>
        <v>16649</v>
      </c>
      <c r="B1778" s="4" t="s">
        <v>586</v>
      </c>
      <c r="C1778" s="4" t="s">
        <v>298</v>
      </c>
      <c r="D1778" s="94">
        <v>2376.0</v>
      </c>
    </row>
    <row r="1779">
      <c r="A1779" s="40">
        <f t="array" ref="A1779">IFNA(index(PlayerValues!A:A,match(IFNA(vlookup(B1779,'Special Names'!A:B,2,FALSE),B1779),PlayerValues!E:E,0)),"N/A")</f>
        <v>16603</v>
      </c>
      <c r="B1779" s="4" t="s">
        <v>587</v>
      </c>
      <c r="C1779" s="4" t="s">
        <v>278</v>
      </c>
      <c r="D1779" s="94">
        <v>1985.0</v>
      </c>
    </row>
    <row r="1780">
      <c r="A1780" s="40" t="str">
        <f t="array" ref="A1780">IFNA(index(PlayerValues!A:A,match(IFNA(vlookup(B1780,'Special Names'!A:B,2,FALSE),B1780),PlayerValues!E:E,0)),"N/A")</f>
        <v>N/A</v>
      </c>
      <c r="B1780" s="4" t="s">
        <v>101</v>
      </c>
      <c r="C1780" s="4" t="s">
        <v>325</v>
      </c>
      <c r="D1780" s="94">
        <v>1982.0</v>
      </c>
    </row>
    <row r="1781">
      <c r="A1781" s="40">
        <f t="array" ref="A1781">IFNA(index(PlayerValues!A:A,match(IFNA(vlookup(B1781,'Special Names'!A:B,2,FALSE),B1781),PlayerValues!E:E,0)),"N/A")</f>
        <v>17184</v>
      </c>
      <c r="B1781" s="4" t="s">
        <v>588</v>
      </c>
      <c r="C1781" s="4" t="s">
        <v>287</v>
      </c>
      <c r="D1781" s="94">
        <v>1972.0</v>
      </c>
    </row>
    <row r="1782">
      <c r="A1782" s="40">
        <f t="array" ref="A1782">IFNA(index(PlayerValues!A:A,match(IFNA(vlookup(B1782,'Special Names'!A:B,2,FALSE),B1782),PlayerValues!E:E,0)),"N/A")</f>
        <v>16201</v>
      </c>
      <c r="B1782" s="4" t="s">
        <v>589</v>
      </c>
      <c r="C1782" s="4" t="s">
        <v>287</v>
      </c>
      <c r="D1782" s="94">
        <v>1969.0</v>
      </c>
    </row>
    <row r="1783">
      <c r="A1783" s="40">
        <f t="array" ref="A1783">IFNA(index(PlayerValues!A:A,match(IFNA(vlookup(B1783,'Special Names'!A:B,2,FALSE),B1783),PlayerValues!E:E,0)),"N/A")</f>
        <v>7836</v>
      </c>
      <c r="B1783" s="4" t="s">
        <v>590</v>
      </c>
      <c r="C1783" s="4" t="s">
        <v>283</v>
      </c>
      <c r="D1783" s="94">
        <v>1951.0</v>
      </c>
    </row>
    <row r="1784">
      <c r="A1784" s="40">
        <f t="array" ref="A1784">IFNA(index(PlayerValues!A:A,match(IFNA(vlookup(B1784,'Special Names'!A:B,2,FALSE),B1784),PlayerValues!E:E,0)),"N/A")</f>
        <v>14867</v>
      </c>
      <c r="B1784" s="4" t="s">
        <v>591</v>
      </c>
      <c r="C1784" s="4" t="s">
        <v>298</v>
      </c>
      <c r="D1784" s="94">
        <v>2337.0</v>
      </c>
    </row>
    <row r="1785">
      <c r="A1785" s="40">
        <f t="array" ref="A1785">IFNA(index(PlayerValues!A:A,match(IFNA(vlookup(B1785,'Special Names'!A:B,2,FALSE),B1785),PlayerValues!E:E,0)),"N/A")</f>
        <v>16036</v>
      </c>
      <c r="B1785" s="4" t="s">
        <v>592</v>
      </c>
      <c r="C1785" s="4" t="s">
        <v>298</v>
      </c>
      <c r="D1785" s="94">
        <v>2330.0</v>
      </c>
    </row>
    <row r="1786">
      <c r="A1786" s="40">
        <f t="array" ref="A1786">IFNA(index(PlayerValues!A:A,match(IFNA(vlookup(B1786,'Special Names'!A:B,2,FALSE),B1786),PlayerValues!E:E,0)),"N/A")</f>
        <v>17519</v>
      </c>
      <c r="B1786" s="4" t="s">
        <v>593</v>
      </c>
      <c r="C1786" s="4" t="s">
        <v>287</v>
      </c>
      <c r="D1786" s="94">
        <v>1935.0</v>
      </c>
    </row>
    <row r="1787">
      <c r="A1787" s="40">
        <f t="array" ref="A1787">IFNA(index(PlayerValues!A:A,match(IFNA(vlookup(B1787,'Special Names'!A:B,2,FALSE),B1787),PlayerValues!E:E,0)),"N/A")</f>
        <v>17548</v>
      </c>
      <c r="B1787" s="4" t="s">
        <v>594</v>
      </c>
      <c r="C1787" s="4" t="s">
        <v>298</v>
      </c>
      <c r="D1787" s="94">
        <v>2314.0</v>
      </c>
    </row>
    <row r="1788">
      <c r="A1788" s="40">
        <f t="array" ref="A1788">IFNA(index(PlayerValues!A:A,match(IFNA(vlookup(B1788,'Special Names'!A:B,2,FALSE),B1788),PlayerValues!E:E,0)),"N/A")</f>
        <v>16216</v>
      </c>
      <c r="B1788" s="4" t="s">
        <v>595</v>
      </c>
      <c r="C1788" s="4" t="s">
        <v>298</v>
      </c>
      <c r="D1788" s="94">
        <v>2314.0</v>
      </c>
    </row>
    <row r="1789">
      <c r="A1789" s="40">
        <f t="array" ref="A1789">IFNA(index(PlayerValues!A:A,match(IFNA(vlookup(B1789,'Special Names'!A:B,2,FALSE),B1789),PlayerValues!E:E,0)),"N/A")</f>
        <v>10700</v>
      </c>
      <c r="B1789" s="4" t="s">
        <v>596</v>
      </c>
      <c r="C1789" s="4" t="s">
        <v>283</v>
      </c>
      <c r="D1789" s="94">
        <v>1926.0</v>
      </c>
    </row>
    <row r="1790">
      <c r="A1790" s="40">
        <f t="array" ref="A1790">IFNA(index(PlayerValues!A:A,match(IFNA(vlookup(B1790,'Special Names'!A:B,2,FALSE),B1790),PlayerValues!E:E,0)),"N/A")</f>
        <v>16752</v>
      </c>
      <c r="B1790" s="4" t="s">
        <v>597</v>
      </c>
      <c r="C1790" s="4" t="s">
        <v>278</v>
      </c>
      <c r="D1790" s="94">
        <v>1925.0</v>
      </c>
    </row>
    <row r="1791">
      <c r="A1791" s="40">
        <f t="array" ref="A1791">IFNA(index(PlayerValues!A:A,match(IFNA(vlookup(B1791,'Special Names'!A:B,2,FALSE),B1791),PlayerValues!E:E,0)),"N/A")</f>
        <v>13132</v>
      </c>
      <c r="B1791" s="4" t="s">
        <v>598</v>
      </c>
      <c r="C1791" s="4" t="s">
        <v>278</v>
      </c>
      <c r="D1791" s="94">
        <v>1920.0</v>
      </c>
    </row>
    <row r="1792">
      <c r="A1792" s="40">
        <f t="array" ref="A1792">IFNA(index(PlayerValues!A:A,match(IFNA(vlookup(B1792,'Special Names'!A:B,2,FALSE),B1792),PlayerValues!E:E,0)),"N/A")</f>
        <v>16639</v>
      </c>
      <c r="B1792" s="4" t="s">
        <v>599</v>
      </c>
      <c r="C1792" s="4" t="s">
        <v>287</v>
      </c>
      <c r="D1792" s="94">
        <v>1901.0</v>
      </c>
    </row>
    <row r="1793">
      <c r="A1793" s="40">
        <f t="array" ref="A1793">IFNA(index(PlayerValues!A:A,match(IFNA(vlookup(B1793,'Special Names'!A:B,2,FALSE),B1793),PlayerValues!E:E,0)),"N/A")</f>
        <v>17087</v>
      </c>
      <c r="B1793" s="4" t="s">
        <v>600</v>
      </c>
      <c r="C1793" s="4" t="s">
        <v>287</v>
      </c>
      <c r="D1793" s="94">
        <v>1894.0</v>
      </c>
    </row>
    <row r="1794">
      <c r="A1794" s="40">
        <f t="array" ref="A1794">IFNA(index(PlayerValues!A:A,match(IFNA(vlookup(B1794,'Special Names'!A:B,2,FALSE),B1794),PlayerValues!E:E,0)),"N/A")</f>
        <v>16152</v>
      </c>
      <c r="B1794" s="4" t="s">
        <v>601</v>
      </c>
      <c r="C1794" s="4" t="s">
        <v>283</v>
      </c>
      <c r="D1794" s="94">
        <v>1875.0</v>
      </c>
    </row>
    <row r="1795">
      <c r="A1795" s="40">
        <f t="array" ref="A1795">IFNA(index(PlayerValues!A:A,match(IFNA(vlookup(B1795,'Special Names'!A:B,2,FALSE),B1795),PlayerValues!E:E,0)),"N/A")</f>
        <v>17046</v>
      </c>
      <c r="B1795" s="4" t="s">
        <v>602</v>
      </c>
      <c r="C1795" s="4" t="s">
        <v>278</v>
      </c>
      <c r="D1795" s="94">
        <v>1868.0</v>
      </c>
    </row>
    <row r="1796">
      <c r="A1796" s="40">
        <f t="array" ref="A1796">IFNA(index(PlayerValues!A:A,match(IFNA(vlookup(B1796,'Special Names'!A:B,2,FALSE),B1796),PlayerValues!E:E,0)),"N/A")</f>
        <v>17060</v>
      </c>
      <c r="B1796" s="4" t="s">
        <v>603</v>
      </c>
      <c r="C1796" s="4" t="s">
        <v>278</v>
      </c>
      <c r="D1796" s="94">
        <v>1859.0</v>
      </c>
    </row>
    <row r="1797">
      <c r="A1797" s="40">
        <f t="array" ref="A1797">IFNA(index(PlayerValues!A:A,match(IFNA(vlookup(B1797,'Special Names'!A:B,2,FALSE),B1797),PlayerValues!E:E,0)),"N/A")</f>
        <v>17069</v>
      </c>
      <c r="B1797" s="4" t="s">
        <v>604</v>
      </c>
      <c r="C1797" s="4" t="s">
        <v>278</v>
      </c>
      <c r="D1797" s="94">
        <v>1848.0</v>
      </c>
    </row>
    <row r="1798">
      <c r="A1798" s="40">
        <f t="array" ref="A1798">IFNA(index(PlayerValues!A:A,match(IFNA(vlookup(B1798,'Special Names'!A:B,2,FALSE),B1798),PlayerValues!E:E,0)),"N/A")</f>
        <v>16629</v>
      </c>
      <c r="B1798" s="4" t="s">
        <v>605</v>
      </c>
      <c r="C1798" s="4" t="s">
        <v>287</v>
      </c>
      <c r="D1798" s="94">
        <v>1823.0</v>
      </c>
    </row>
    <row r="1799">
      <c r="A1799" s="40">
        <f t="array" ref="A1799">IFNA(index(PlayerValues!A:A,match(IFNA(vlookup(B1799,'Special Names'!A:B,2,FALSE),B1799),PlayerValues!E:E,0)),"N/A")</f>
        <v>13113</v>
      </c>
      <c r="B1799" s="4" t="s">
        <v>606</v>
      </c>
      <c r="C1799" s="4" t="s">
        <v>283</v>
      </c>
      <c r="D1799" s="94">
        <v>1822.0</v>
      </c>
    </row>
    <row r="1800">
      <c r="A1800" s="40">
        <f t="array" ref="A1800">IFNA(index(PlayerValues!A:A,match(IFNA(vlookup(B1800,'Special Names'!A:B,2,FALSE),B1800),PlayerValues!E:E,0)),"N/A")</f>
        <v>16594</v>
      </c>
      <c r="B1800" s="4" t="s">
        <v>607</v>
      </c>
      <c r="C1800" s="4" t="s">
        <v>278</v>
      </c>
      <c r="D1800" s="94">
        <v>1819.0</v>
      </c>
    </row>
    <row r="1801">
      <c r="A1801" s="40" t="str">
        <f t="array" ref="A1801">IFNA(index(PlayerValues!A:A,match(IFNA(vlookup(B1801,'Special Names'!A:B,2,FALSE),B1801),PlayerValues!E:E,0)),"N/A")</f>
        <v>N/A</v>
      </c>
      <c r="B1801" s="4" t="s">
        <v>102</v>
      </c>
      <c r="C1801" s="4" t="s">
        <v>325</v>
      </c>
      <c r="D1801" s="94">
        <v>1818.0</v>
      </c>
    </row>
    <row r="1802">
      <c r="A1802" s="40">
        <f t="array" ref="A1802">IFNA(index(PlayerValues!A:A,match(IFNA(vlookup(B1802,'Special Names'!A:B,2,FALSE),B1802),PlayerValues!E:E,0)),"N/A")</f>
        <v>17529</v>
      </c>
      <c r="B1802" s="4" t="s">
        <v>608</v>
      </c>
      <c r="C1802" s="4" t="s">
        <v>287</v>
      </c>
      <c r="D1802" s="94">
        <v>1815.0</v>
      </c>
    </row>
    <row r="1803">
      <c r="A1803" s="40">
        <f t="array" ref="A1803">IFNA(index(PlayerValues!A:A,match(IFNA(vlookup(B1803,'Special Names'!A:B,2,FALSE),B1803),PlayerValues!E:E,0)),"N/A")</f>
        <v>16643</v>
      </c>
      <c r="B1803" s="4" t="s">
        <v>609</v>
      </c>
      <c r="C1803" s="4" t="s">
        <v>298</v>
      </c>
      <c r="D1803" s="94">
        <v>2188.0</v>
      </c>
    </row>
    <row r="1804">
      <c r="A1804" s="40">
        <f t="array" ref="A1804">IFNA(index(PlayerValues!A:A,match(IFNA(vlookup(B1804,'Special Names'!A:B,2,FALSE),B1804),PlayerValues!E:E,0)),"N/A")</f>
        <v>15787</v>
      </c>
      <c r="B1804" s="4" t="s">
        <v>610</v>
      </c>
      <c r="C1804" s="4" t="s">
        <v>287</v>
      </c>
      <c r="D1804" s="94">
        <v>1803.0</v>
      </c>
    </row>
    <row r="1805">
      <c r="A1805" s="40">
        <f t="array" ref="A1805">IFNA(index(PlayerValues!A:A,match(IFNA(vlookup(B1805,'Special Names'!A:B,2,FALSE),B1805),PlayerValues!E:E,0)),"N/A")</f>
        <v>14974</v>
      </c>
      <c r="B1805" s="4" t="s">
        <v>611</v>
      </c>
      <c r="C1805" s="4" t="s">
        <v>287</v>
      </c>
      <c r="D1805" s="94">
        <v>1799.0</v>
      </c>
    </row>
    <row r="1806">
      <c r="A1806" s="40">
        <f t="array" ref="A1806">IFNA(index(PlayerValues!A:A,match(IFNA(vlookup(B1806,'Special Names'!A:B,2,FALSE),B1806),PlayerValues!E:E,0)),"N/A")</f>
        <v>17086</v>
      </c>
      <c r="B1806" s="4" t="s">
        <v>612</v>
      </c>
      <c r="C1806" s="4" t="s">
        <v>287</v>
      </c>
      <c r="D1806" s="94">
        <v>1797.0</v>
      </c>
    </row>
    <row r="1807">
      <c r="A1807" s="40">
        <f t="array" ref="A1807">IFNA(index(PlayerValues!A:A,match(IFNA(vlookup(B1807,'Special Names'!A:B,2,FALSE),B1807),PlayerValues!E:E,0)),"N/A")</f>
        <v>15238</v>
      </c>
      <c r="B1807" s="4" t="s">
        <v>613</v>
      </c>
      <c r="C1807" s="4" t="s">
        <v>283</v>
      </c>
      <c r="D1807" s="94">
        <v>1794.0</v>
      </c>
    </row>
    <row r="1808">
      <c r="A1808" s="40">
        <f t="array" ref="A1808">IFNA(index(PlayerValues!A:A,match(IFNA(vlookup(B1808,'Special Names'!A:B,2,FALSE),B1808),PlayerValues!E:E,0)),"N/A")</f>
        <v>17706</v>
      </c>
      <c r="B1808" s="4" t="s">
        <v>614</v>
      </c>
      <c r="C1808" s="4" t="s">
        <v>287</v>
      </c>
      <c r="D1808" s="94">
        <v>1783.0</v>
      </c>
    </row>
    <row r="1809">
      <c r="A1809" s="40">
        <f t="array" ref="A1809">IFNA(index(PlayerValues!A:A,match(IFNA(vlookup(B1809,'Special Names'!A:B,2,FALSE),B1809),PlayerValues!E:E,0)),"N/A")</f>
        <v>17475</v>
      </c>
      <c r="B1809" s="4" t="s">
        <v>615</v>
      </c>
      <c r="C1809" s="4" t="s">
        <v>278</v>
      </c>
      <c r="D1809" s="94">
        <v>1771.0</v>
      </c>
    </row>
    <row r="1810">
      <c r="A1810" s="40">
        <f t="array" ref="A1810">IFNA(index(PlayerValues!A:A,match(IFNA(vlookup(B1810,'Special Names'!A:B,2,FALSE),B1810),PlayerValues!E:E,0)),"N/A")</f>
        <v>17541</v>
      </c>
      <c r="B1810" s="4" t="s">
        <v>616</v>
      </c>
      <c r="C1810" s="4" t="s">
        <v>287</v>
      </c>
      <c r="D1810" s="94">
        <v>1771.0</v>
      </c>
    </row>
    <row r="1811">
      <c r="A1811" s="40" t="str">
        <f t="array" ref="A1811">IFNA(index(PlayerValues!A:A,match(IFNA(vlookup(B1811,'Special Names'!A:B,2,FALSE),B1811),PlayerValues!E:E,0)),"N/A")</f>
        <v>N/A</v>
      </c>
      <c r="B1811" s="4" t="s">
        <v>89</v>
      </c>
      <c r="C1811" s="4" t="s">
        <v>325</v>
      </c>
      <c r="D1811" s="94">
        <v>1747.0</v>
      </c>
    </row>
    <row r="1812">
      <c r="A1812" s="40">
        <f t="array" ref="A1812">IFNA(index(PlayerValues!A:A,match(IFNA(vlookup(B1812,'Special Names'!A:B,2,FALSE),B1812),PlayerValues!E:E,0)),"N/A")</f>
        <v>17036</v>
      </c>
      <c r="B1812" s="4" t="s">
        <v>617</v>
      </c>
      <c r="C1812" s="4" t="s">
        <v>283</v>
      </c>
      <c r="D1812" s="94">
        <v>1731.0</v>
      </c>
    </row>
    <row r="1813">
      <c r="A1813" s="40">
        <f t="array" ref="A1813">IFNA(index(PlayerValues!A:A,match(IFNA(vlookup(B1813,'Special Names'!A:B,2,FALSE),B1813),PlayerValues!E:E,0)),"N/A")</f>
        <v>16171</v>
      </c>
      <c r="B1813" s="4" t="s">
        <v>618</v>
      </c>
      <c r="C1813" s="4" t="s">
        <v>278</v>
      </c>
      <c r="D1813" s="94">
        <v>1727.0</v>
      </c>
    </row>
    <row r="1814">
      <c r="A1814" s="40">
        <f t="array" ref="A1814">IFNA(index(PlayerValues!A:A,match(IFNA(vlookup(B1814,'Special Names'!A:B,2,FALSE),B1814),PlayerValues!E:E,0)),"N/A")</f>
        <v>13629</v>
      </c>
      <c r="B1814" s="4" t="s">
        <v>619</v>
      </c>
      <c r="C1814" s="4" t="s">
        <v>287</v>
      </c>
      <c r="D1814" s="94">
        <v>1723.0</v>
      </c>
    </row>
    <row r="1815">
      <c r="A1815" s="40" t="str">
        <f t="array" ref="A1815">IFNA(index(PlayerValues!A:A,match(IFNA(vlookup(B1815,'Special Names'!A:B,2,FALSE),B1815),PlayerValues!E:E,0)),"N/A")</f>
        <v>N/A</v>
      </c>
      <c r="B1815" s="4" t="s">
        <v>103</v>
      </c>
      <c r="C1815" s="4" t="s">
        <v>325</v>
      </c>
      <c r="D1815" s="94">
        <v>1713.0</v>
      </c>
    </row>
    <row r="1816">
      <c r="A1816" s="40">
        <f t="array" ref="A1816">IFNA(index(PlayerValues!A:A,match(IFNA(vlookup(B1816,'Special Names'!A:B,2,FALSE),B1816),PlayerValues!E:E,0)),"N/A")</f>
        <v>16432</v>
      </c>
      <c r="B1816" s="4" t="s">
        <v>620</v>
      </c>
      <c r="C1816" s="4" t="s">
        <v>278</v>
      </c>
      <c r="D1816" s="94">
        <v>1709.0</v>
      </c>
    </row>
    <row r="1817">
      <c r="A1817" s="40">
        <f t="array" ref="A1817">IFNA(index(PlayerValues!A:A,match(IFNA(vlookup(B1817,'Special Names'!A:B,2,FALSE),B1817),PlayerValues!E:E,0)),"N/A")</f>
        <v>16788</v>
      </c>
      <c r="B1817" s="4" t="s">
        <v>621</v>
      </c>
      <c r="C1817" s="4" t="s">
        <v>287</v>
      </c>
      <c r="D1817" s="94">
        <v>1707.0</v>
      </c>
    </row>
    <row r="1818">
      <c r="A1818" s="40">
        <f t="array" ref="A1818">IFNA(index(PlayerValues!A:A,match(IFNA(vlookup(B1818,'Special Names'!A:B,2,FALSE),B1818),PlayerValues!E:E,0)),"N/A")</f>
        <v>11222</v>
      </c>
      <c r="B1818" s="4" t="s">
        <v>622</v>
      </c>
      <c r="C1818" s="4" t="s">
        <v>287</v>
      </c>
      <c r="D1818" s="94">
        <v>1702.0</v>
      </c>
    </row>
    <row r="1819">
      <c r="A1819" s="40" t="str">
        <f t="array" ref="A1819">IFNA(index(PlayerValues!A:A,match(IFNA(vlookup(B1819,'Special Names'!A:B,2,FALSE),B1819),PlayerValues!E:E,0)),"N/A")</f>
        <v>N/A</v>
      </c>
      <c r="B1819" s="4" t="s">
        <v>90</v>
      </c>
      <c r="C1819" s="4" t="s">
        <v>325</v>
      </c>
      <c r="D1819" s="94">
        <v>1699.0</v>
      </c>
    </row>
    <row r="1820">
      <c r="A1820" s="40">
        <f t="array" ref="A1820">IFNA(index(PlayerValues!A:A,match(IFNA(vlookup(B1820,'Special Names'!A:B,2,FALSE),B1820),PlayerValues!E:E,0)),"N/A")</f>
        <v>16585</v>
      </c>
      <c r="B1820" s="4" t="s">
        <v>623</v>
      </c>
      <c r="C1820" s="4" t="s">
        <v>283</v>
      </c>
      <c r="D1820" s="94">
        <v>1689.0</v>
      </c>
    </row>
    <row r="1821">
      <c r="A1821" s="40">
        <f t="array" ref="A1821">IFNA(index(PlayerValues!A:A,match(IFNA(vlookup(B1821,'Special Names'!A:B,2,FALSE),B1821),PlayerValues!E:E,0)),"N/A")</f>
        <v>17049</v>
      </c>
      <c r="B1821" s="4" t="s">
        <v>624</v>
      </c>
      <c r="C1821" s="4" t="s">
        <v>278</v>
      </c>
      <c r="D1821" s="94">
        <v>1688.0</v>
      </c>
    </row>
    <row r="1822">
      <c r="A1822" s="40">
        <f t="array" ref="A1822">IFNA(index(PlayerValues!A:A,match(IFNA(vlookup(B1822,'Special Names'!A:B,2,FALSE),B1822),PlayerValues!E:E,0)),"N/A")</f>
        <v>13633</v>
      </c>
      <c r="B1822" s="4" t="s">
        <v>625</v>
      </c>
      <c r="C1822" s="4" t="s">
        <v>287</v>
      </c>
      <c r="D1822" s="94">
        <v>1686.0</v>
      </c>
    </row>
    <row r="1823">
      <c r="A1823" s="40">
        <f t="array" ref="A1823">IFNA(index(PlayerValues!A:A,match(IFNA(vlookup(B1823,'Special Names'!A:B,2,FALSE),B1823),PlayerValues!E:E,0)),"N/A")</f>
        <v>13189</v>
      </c>
      <c r="B1823" s="4" t="s">
        <v>626</v>
      </c>
      <c r="C1823" s="4" t="s">
        <v>298</v>
      </c>
      <c r="D1823" s="94">
        <v>2050.0</v>
      </c>
    </row>
    <row r="1824">
      <c r="A1824" s="40">
        <f t="array" ref="A1824">IFNA(index(PlayerValues!A:A,match(IFNA(vlookup(B1824,'Special Names'!A:B,2,FALSE),B1824),PlayerValues!E:E,0)),"N/A")</f>
        <v>15788</v>
      </c>
      <c r="B1824" s="4" t="s">
        <v>627</v>
      </c>
      <c r="C1824" s="4" t="s">
        <v>287</v>
      </c>
      <c r="D1824" s="94">
        <v>1663.0</v>
      </c>
    </row>
    <row r="1825">
      <c r="A1825" s="40">
        <f t="array" ref="A1825">IFNA(index(PlayerValues!A:A,match(IFNA(vlookup(B1825,'Special Names'!A:B,2,FALSE),B1825),PlayerValues!E:E,0)),"N/A")</f>
        <v>15755</v>
      </c>
      <c r="B1825" s="4" t="s">
        <v>628</v>
      </c>
      <c r="C1825" s="4" t="s">
        <v>287</v>
      </c>
      <c r="D1825" s="94">
        <v>1660.0</v>
      </c>
    </row>
    <row r="1826">
      <c r="A1826" s="40">
        <f t="array" ref="A1826">IFNA(index(PlayerValues!A:A,match(IFNA(vlookup(B1826,'Special Names'!A:B,2,FALSE),B1826),PlayerValues!E:E,0)),"N/A")</f>
        <v>16608</v>
      </c>
      <c r="B1826" s="4" t="s">
        <v>629</v>
      </c>
      <c r="C1826" s="4" t="s">
        <v>278</v>
      </c>
      <c r="D1826" s="94">
        <v>1643.0</v>
      </c>
    </row>
    <row r="1827">
      <c r="A1827" s="40">
        <f t="array" ref="A1827">IFNA(index(PlayerValues!A:A,match(IFNA(vlookup(B1827,'Special Names'!A:B,2,FALSE),B1827),PlayerValues!E:E,0)),"N/A")</f>
        <v>17685</v>
      </c>
      <c r="B1827" s="4" t="s">
        <v>630</v>
      </c>
      <c r="C1827" s="4" t="s">
        <v>278</v>
      </c>
      <c r="D1827" s="94">
        <v>1633.0</v>
      </c>
    </row>
    <row r="1828">
      <c r="A1828" s="40">
        <f t="array" ref="A1828">IFNA(index(PlayerValues!A:A,match(IFNA(vlookup(B1828,'Special Names'!A:B,2,FALSE),B1828),PlayerValues!E:E,0)),"N/A")</f>
        <v>17064</v>
      </c>
      <c r="B1828" s="4" t="s">
        <v>631</v>
      </c>
      <c r="C1828" s="4" t="s">
        <v>278</v>
      </c>
      <c r="D1828" s="94">
        <v>1622.0</v>
      </c>
    </row>
    <row r="1829">
      <c r="A1829" s="40">
        <f t="array" ref="A1829">IFNA(index(PlayerValues!A:A,match(IFNA(vlookup(B1829,'Special Names'!A:B,2,FALSE),B1829),PlayerValues!E:E,0)),"N/A")</f>
        <v>13164</v>
      </c>
      <c r="B1829" s="4" t="s">
        <v>632</v>
      </c>
      <c r="C1829" s="4" t="s">
        <v>287</v>
      </c>
      <c r="D1829" s="94">
        <v>1617.0</v>
      </c>
    </row>
    <row r="1830">
      <c r="A1830" s="40">
        <f t="array" ref="A1830">IFNA(index(PlayerValues!A:A,match(IFNA(vlookup(B1830,'Special Names'!A:B,2,FALSE),B1830),PlayerValues!E:E,0)),"N/A")</f>
        <v>15254</v>
      </c>
      <c r="B1830" s="4" t="s">
        <v>633</v>
      </c>
      <c r="C1830" s="4" t="s">
        <v>278</v>
      </c>
      <c r="D1830" s="94">
        <v>1613.0</v>
      </c>
    </row>
    <row r="1831">
      <c r="A1831" s="40" t="str">
        <f t="array" ref="A1831">IFNA(index(PlayerValues!A:A,match(IFNA(vlookup(B1831,'Special Names'!A:B,2,FALSE),B1831),PlayerValues!E:E,0)),"N/A")</f>
        <v>N/A</v>
      </c>
      <c r="B1831" s="4" t="s">
        <v>115</v>
      </c>
      <c r="C1831" s="4" t="s">
        <v>325</v>
      </c>
      <c r="D1831" s="94">
        <v>1613.0</v>
      </c>
    </row>
    <row r="1832">
      <c r="A1832" s="40">
        <f t="array" ref="A1832">IFNA(index(PlayerValues!A:A,match(IFNA(vlookup(B1832,'Special Names'!A:B,2,FALSE),B1832),PlayerValues!E:E,0)),"N/A")</f>
        <v>15738</v>
      </c>
      <c r="B1832" s="4" t="s">
        <v>634</v>
      </c>
      <c r="C1832" s="4" t="s">
        <v>278</v>
      </c>
      <c r="D1832" s="94">
        <v>1609.0</v>
      </c>
    </row>
    <row r="1833">
      <c r="A1833" s="40">
        <f t="array" ref="A1833">IFNA(index(PlayerValues!A:A,match(IFNA(vlookup(B1833,'Special Names'!A:B,2,FALSE),B1833),PlayerValues!E:E,0)),"N/A")</f>
        <v>14143</v>
      </c>
      <c r="B1833" s="4" t="s">
        <v>635</v>
      </c>
      <c r="C1833" s="4" t="s">
        <v>298</v>
      </c>
      <c r="D1833" s="94">
        <v>1980.0</v>
      </c>
    </row>
    <row r="1834">
      <c r="A1834" s="40">
        <f t="array" ref="A1834">IFNA(index(PlayerValues!A:A,match(IFNA(vlookup(B1834,'Special Names'!A:B,2,FALSE),B1834),PlayerValues!E:E,0)),"N/A")</f>
        <v>16207</v>
      </c>
      <c r="B1834" s="4" t="s">
        <v>636</v>
      </c>
      <c r="C1834" s="4" t="s">
        <v>287</v>
      </c>
      <c r="D1834" s="94">
        <v>1596.0</v>
      </c>
    </row>
    <row r="1835">
      <c r="A1835" s="40">
        <f t="array" ref="A1835">IFNA(index(PlayerValues!A:A,match(IFNA(vlookup(B1835,'Special Names'!A:B,2,FALSE),B1835),PlayerValues!E:E,0)),"N/A")</f>
        <v>16215</v>
      </c>
      <c r="B1835" s="4" t="s">
        <v>637</v>
      </c>
      <c r="C1835" s="4" t="s">
        <v>298</v>
      </c>
      <c r="D1835" s="94">
        <v>1969.0</v>
      </c>
    </row>
    <row r="1836">
      <c r="A1836" s="40">
        <f t="array" ref="A1836">IFNA(index(PlayerValues!A:A,match(IFNA(vlookup(B1836,'Special Names'!A:B,2,FALSE),B1836),PlayerValues!E:E,0)),"N/A")</f>
        <v>17096</v>
      </c>
      <c r="B1836" s="4" t="s">
        <v>638</v>
      </c>
      <c r="C1836" s="4" t="s">
        <v>287</v>
      </c>
      <c r="D1836" s="94">
        <v>1591.0</v>
      </c>
    </row>
    <row r="1837">
      <c r="A1837" s="40">
        <f t="array" ref="A1837">IFNA(index(PlayerValues!A:A,match(IFNA(vlookup(B1837,'Special Names'!A:B,2,FALSE),B1837),PlayerValues!E:E,0)),"N/A")</f>
        <v>14086</v>
      </c>
      <c r="B1837" s="4" t="s">
        <v>639</v>
      </c>
      <c r="C1837" s="4" t="s">
        <v>278</v>
      </c>
      <c r="D1837" s="94">
        <v>1557.0</v>
      </c>
    </row>
    <row r="1838">
      <c r="A1838" s="40">
        <f t="array" ref="A1838">IFNA(index(PlayerValues!A:A,match(IFNA(vlookup(B1838,'Special Names'!A:B,2,FALSE),B1838),PlayerValues!E:E,0)),"N/A")</f>
        <v>16644</v>
      </c>
      <c r="B1838" s="4" t="s">
        <v>640</v>
      </c>
      <c r="C1838" s="4" t="s">
        <v>298</v>
      </c>
      <c r="D1838" s="94">
        <v>1915.0</v>
      </c>
    </row>
    <row r="1839">
      <c r="A1839" s="40">
        <f t="array" ref="A1839">IFNA(index(PlayerValues!A:A,match(IFNA(vlookup(B1839,'Special Names'!A:B,2,FALSE),B1839),PlayerValues!E:E,0)),"N/A")</f>
        <v>17058</v>
      </c>
      <c r="B1839" s="4" t="s">
        <v>641</v>
      </c>
      <c r="C1839" s="4" t="s">
        <v>278</v>
      </c>
      <c r="D1839" s="94">
        <v>1525.0</v>
      </c>
    </row>
    <row r="1840">
      <c r="A1840" s="40" t="str">
        <f t="array" ref="A1840">IFNA(index(PlayerValues!A:A,match(IFNA(vlookup(B1840,'Special Names'!A:B,2,FALSE),B1840),PlayerValues!E:E,0)),"N/A")</f>
        <v>N/A</v>
      </c>
      <c r="B1840" s="4" t="s">
        <v>116</v>
      </c>
      <c r="C1840" s="4" t="s">
        <v>325</v>
      </c>
      <c r="D1840" s="94">
        <v>1523.0</v>
      </c>
    </row>
    <row r="1841">
      <c r="A1841" s="40">
        <f t="array" ref="A1841">IFNA(index(PlayerValues!A:A,match(IFNA(vlookup(B1841,'Special Names'!A:B,2,FALSE),B1841),PlayerValues!E:E,0)),"N/A")</f>
        <v>17657</v>
      </c>
      <c r="B1841" s="4" t="s">
        <v>642</v>
      </c>
      <c r="C1841" s="4" t="s">
        <v>283</v>
      </c>
      <c r="D1841" s="94">
        <v>1523.0</v>
      </c>
    </row>
    <row r="1842">
      <c r="A1842" s="40">
        <f t="array" ref="A1842">IFNA(index(PlayerValues!A:A,match(IFNA(vlookup(B1842,'Special Names'!A:B,2,FALSE),B1842),PlayerValues!E:E,0)),"N/A")</f>
        <v>17034</v>
      </c>
      <c r="B1842" s="4" t="s">
        <v>643</v>
      </c>
      <c r="C1842" s="4" t="s">
        <v>283</v>
      </c>
      <c r="D1842" s="94">
        <v>1520.0</v>
      </c>
    </row>
    <row r="1843">
      <c r="A1843" s="40">
        <f t="array" ref="A1843">IFNA(index(PlayerValues!A:A,match(IFNA(vlookup(B1843,'Special Names'!A:B,2,FALSE),B1843),PlayerValues!E:E,0)),"N/A")</f>
        <v>15319</v>
      </c>
      <c r="B1843" s="4" t="s">
        <v>644</v>
      </c>
      <c r="C1843" s="4" t="s">
        <v>287</v>
      </c>
      <c r="D1843" s="94">
        <v>1519.0</v>
      </c>
    </row>
    <row r="1844">
      <c r="A1844" s="40" t="str">
        <f t="array" ref="A1844">IFNA(index(PlayerValues!A:A,match(IFNA(vlookup(B1844,'Special Names'!A:B,2,FALSE),B1844),PlayerValues!E:E,0)),"N/A")</f>
        <v>N/A</v>
      </c>
      <c r="B1844" s="4" t="s">
        <v>91</v>
      </c>
      <c r="C1844" s="4" t="s">
        <v>325</v>
      </c>
      <c r="D1844" s="94">
        <v>1514.0</v>
      </c>
    </row>
    <row r="1845">
      <c r="A1845" s="40">
        <f t="array" ref="A1845">IFNA(index(PlayerValues!A:A,match(IFNA(vlookup(B1845,'Special Names'!A:B,2,FALSE),B1845),PlayerValues!E:E,0)),"N/A")</f>
        <v>16635</v>
      </c>
      <c r="B1845" s="4" t="s">
        <v>645</v>
      </c>
      <c r="C1845" s="4" t="s">
        <v>287</v>
      </c>
      <c r="D1845" s="94">
        <v>1503.0</v>
      </c>
    </row>
    <row r="1846">
      <c r="A1846" s="40">
        <f t="array" ref="A1846">IFNA(index(PlayerValues!A:A,match(IFNA(vlookup(B1846,'Special Names'!A:B,2,FALSE),B1846),PlayerValues!E:E,0)),"N/A")</f>
        <v>16387</v>
      </c>
      <c r="B1846" s="4" t="s">
        <v>646</v>
      </c>
      <c r="C1846" s="4" t="s">
        <v>278</v>
      </c>
      <c r="D1846" s="94">
        <v>1500.0</v>
      </c>
    </row>
    <row r="1847">
      <c r="A1847" s="40">
        <f t="array" ref="A1847">IFNA(index(PlayerValues!A:A,match(IFNA(vlookup(B1847,'Special Names'!A:B,2,FALSE),B1847),PlayerValues!E:E,0)),"N/A")</f>
        <v>15752</v>
      </c>
      <c r="B1847" s="4" t="s">
        <v>647</v>
      </c>
      <c r="C1847" s="4" t="s">
        <v>287</v>
      </c>
      <c r="D1847" s="94">
        <v>1489.0</v>
      </c>
    </row>
    <row r="1848">
      <c r="A1848" s="40">
        <f t="array" ref="A1848">IFNA(index(PlayerValues!A:A,match(IFNA(vlookup(B1848,'Special Names'!A:B,2,FALSE),B1848),PlayerValues!E:E,0)),"N/A")</f>
        <v>16601</v>
      </c>
      <c r="B1848" s="4" t="s">
        <v>648</v>
      </c>
      <c r="C1848" s="4" t="s">
        <v>278</v>
      </c>
      <c r="D1848" s="94">
        <v>1476.0</v>
      </c>
    </row>
    <row r="1849">
      <c r="A1849" s="40">
        <f t="array" ref="A1849">IFNA(index(PlayerValues!A:A,match(IFNA(vlookup(B1849,'Special Names'!A:B,2,FALSE),B1849),PlayerValues!E:E,0)),"N/A")</f>
        <v>17465</v>
      </c>
      <c r="B1849" s="4" t="s">
        <v>649</v>
      </c>
      <c r="C1849" s="4" t="s">
        <v>283</v>
      </c>
      <c r="D1849" s="94">
        <v>1473.0</v>
      </c>
    </row>
    <row r="1850">
      <c r="A1850" s="40">
        <f t="array" ref="A1850">IFNA(index(PlayerValues!A:A,match(IFNA(vlookup(B1850,'Special Names'!A:B,2,FALSE),B1850),PlayerValues!E:E,0)),"N/A")</f>
        <v>17035</v>
      </c>
      <c r="B1850" s="4" t="s">
        <v>650</v>
      </c>
      <c r="C1850" s="4" t="s">
        <v>283</v>
      </c>
      <c r="D1850" s="94">
        <v>1462.0</v>
      </c>
    </row>
    <row r="1851">
      <c r="A1851" s="40">
        <f t="array" ref="A1851">IFNA(index(PlayerValues!A:A,match(IFNA(vlookup(B1851,'Special Names'!A:B,2,FALSE),B1851),PlayerValues!E:E,0)),"N/A")</f>
        <v>16645</v>
      </c>
      <c r="B1851" s="4" t="s">
        <v>651</v>
      </c>
      <c r="C1851" s="4" t="s">
        <v>298</v>
      </c>
      <c r="D1851" s="94">
        <v>1833.0</v>
      </c>
    </row>
    <row r="1852">
      <c r="A1852" s="40">
        <f t="array" ref="A1852">IFNA(index(PlayerValues!A:A,match(IFNA(vlookup(B1852,'Special Names'!A:B,2,FALSE),B1852),PlayerValues!E:E,0)),"N/A")</f>
        <v>13146</v>
      </c>
      <c r="B1852" s="4" t="s">
        <v>652</v>
      </c>
      <c r="C1852" s="4" t="s">
        <v>278</v>
      </c>
      <c r="D1852" s="94">
        <v>1460.0</v>
      </c>
    </row>
    <row r="1853">
      <c r="A1853" s="40">
        <f t="array" ref="A1853">IFNA(index(PlayerValues!A:A,match(IFNA(vlookup(B1853,'Special Names'!A:B,2,FALSE),B1853),PlayerValues!E:E,0)),"N/A")</f>
        <v>17234</v>
      </c>
      <c r="B1853" s="4" t="s">
        <v>653</v>
      </c>
      <c r="C1853" s="4" t="s">
        <v>287</v>
      </c>
      <c r="D1853" s="94">
        <v>1450.0</v>
      </c>
    </row>
    <row r="1854">
      <c r="A1854" s="40">
        <f t="array" ref="A1854">IFNA(index(PlayerValues!A:A,match(IFNA(vlookup(B1854,'Special Names'!A:B,2,FALSE),B1854),PlayerValues!E:E,0)),"N/A")</f>
        <v>16175</v>
      </c>
      <c r="B1854" s="4" t="s">
        <v>654</v>
      </c>
      <c r="C1854" s="4" t="s">
        <v>278</v>
      </c>
      <c r="D1854" s="94">
        <v>1447.0</v>
      </c>
    </row>
    <row r="1855">
      <c r="A1855" s="40">
        <f t="array" ref="A1855">IFNA(index(PlayerValues!A:A,match(IFNA(vlookup(B1855,'Special Names'!A:B,2,FALSE),B1855),PlayerValues!E:E,0)),"N/A")</f>
        <v>15337</v>
      </c>
      <c r="B1855" s="4" t="s">
        <v>655</v>
      </c>
      <c r="C1855" s="4" t="s">
        <v>298</v>
      </c>
      <c r="D1855" s="94">
        <v>1800.0</v>
      </c>
    </row>
    <row r="1856">
      <c r="A1856" s="40">
        <f t="array" ref="A1856">IFNA(index(PlayerValues!A:A,match(IFNA(vlookup(B1856,'Special Names'!A:B,2,FALSE),B1856),PlayerValues!E:E,0)),"N/A")</f>
        <v>16633</v>
      </c>
      <c r="B1856" s="4" t="s">
        <v>656</v>
      </c>
      <c r="C1856" s="4" t="s">
        <v>287</v>
      </c>
      <c r="D1856" s="94">
        <v>1430.0</v>
      </c>
    </row>
    <row r="1857">
      <c r="A1857" s="40">
        <f t="array" ref="A1857">IFNA(index(PlayerValues!A:A,match(IFNA(vlookup(B1857,'Special Names'!A:B,2,FALSE),B1857),PlayerValues!E:E,0)),"N/A")</f>
        <v>15301</v>
      </c>
      <c r="B1857" s="4" t="s">
        <v>657</v>
      </c>
      <c r="C1857" s="4" t="s">
        <v>287</v>
      </c>
      <c r="D1857" s="94">
        <v>1412.0</v>
      </c>
    </row>
    <row r="1858">
      <c r="A1858" s="40">
        <f t="array" ref="A1858">IFNA(index(PlayerValues!A:A,match(IFNA(vlookup(B1858,'Special Names'!A:B,2,FALSE),B1858),PlayerValues!E:E,0)),"N/A")</f>
        <v>16586</v>
      </c>
      <c r="B1858" s="4" t="s">
        <v>658</v>
      </c>
      <c r="C1858" s="4" t="s">
        <v>283</v>
      </c>
      <c r="D1858" s="94">
        <v>1401.0</v>
      </c>
    </row>
    <row r="1859">
      <c r="A1859" s="40">
        <f t="array" ref="A1859">IFNA(index(PlayerValues!A:A,match(IFNA(vlookup(B1859,'Special Names'!A:B,2,FALSE),B1859),PlayerValues!E:E,0)),"N/A")</f>
        <v>17097</v>
      </c>
      <c r="B1859" s="4" t="s">
        <v>659</v>
      </c>
      <c r="C1859" s="4" t="s">
        <v>287</v>
      </c>
      <c r="D1859" s="94">
        <v>1401.0</v>
      </c>
    </row>
    <row r="1860">
      <c r="A1860" s="40">
        <f t="array" ref="A1860">IFNA(index(PlayerValues!A:A,match(IFNA(vlookup(B1860,'Special Names'!A:B,2,FALSE),B1860),PlayerValues!E:E,0)),"N/A")</f>
        <v>17743</v>
      </c>
      <c r="B1860" s="4" t="s">
        <v>660</v>
      </c>
      <c r="C1860" s="4" t="s">
        <v>283</v>
      </c>
      <c r="D1860" s="94">
        <v>1398.0</v>
      </c>
    </row>
    <row r="1861">
      <c r="A1861" s="40">
        <f t="array" ref="A1861">IFNA(index(PlayerValues!A:A,match(IFNA(vlookup(B1861,'Special Names'!A:B,2,FALSE),B1861),PlayerValues!E:E,0)),"N/A")</f>
        <v>17510</v>
      </c>
      <c r="B1861" s="4" t="s">
        <v>661</v>
      </c>
      <c r="C1861" s="4" t="s">
        <v>287</v>
      </c>
      <c r="D1861" s="94">
        <v>1395.0</v>
      </c>
    </row>
    <row r="1862">
      <c r="A1862" s="40">
        <f t="array" ref="A1862">IFNA(index(PlayerValues!A:A,match(IFNA(vlookup(B1862,'Special Names'!A:B,2,FALSE),B1862),PlayerValues!E:E,0)),"N/A")</f>
        <v>15759</v>
      </c>
      <c r="B1862" s="4" t="s">
        <v>662</v>
      </c>
      <c r="C1862" s="4" t="s">
        <v>287</v>
      </c>
      <c r="D1862" s="94">
        <v>1389.0</v>
      </c>
    </row>
    <row r="1863">
      <c r="A1863" s="40">
        <f t="array" ref="A1863">IFNA(index(PlayerValues!A:A,match(IFNA(vlookup(B1863,'Special Names'!A:B,2,FALSE),B1863),PlayerValues!E:E,0)),"N/A")</f>
        <v>14122</v>
      </c>
      <c r="B1863" s="4" t="s">
        <v>663</v>
      </c>
      <c r="C1863" s="4" t="s">
        <v>287</v>
      </c>
      <c r="D1863" s="94">
        <v>1384.0</v>
      </c>
    </row>
    <row r="1864">
      <c r="A1864" s="40">
        <f t="array" ref="A1864">IFNA(index(PlayerValues!A:A,match(IFNA(vlookup(B1864,'Special Names'!A:B,2,FALSE),B1864),PlayerValues!E:E,0)),"N/A")</f>
        <v>16595</v>
      </c>
      <c r="B1864" s="4" t="s">
        <v>664</v>
      </c>
      <c r="C1864" s="4" t="s">
        <v>278</v>
      </c>
      <c r="D1864" s="94">
        <v>1383.0</v>
      </c>
    </row>
    <row r="1865">
      <c r="A1865" s="40">
        <f t="array" ref="A1865">IFNA(index(PlayerValues!A:A,match(IFNA(vlookup(B1865,'Special Names'!A:B,2,FALSE),B1865),PlayerValues!E:E,0)),"N/A")</f>
        <v>17205</v>
      </c>
      <c r="B1865" s="4" t="s">
        <v>665</v>
      </c>
      <c r="C1865" s="4" t="s">
        <v>287</v>
      </c>
      <c r="D1865" s="94">
        <v>1380.0</v>
      </c>
    </row>
    <row r="1866">
      <c r="A1866" s="40" t="str">
        <f t="array" ref="A1866">IFNA(index(PlayerValues!A:A,match(IFNA(vlookup(B1866,'Special Names'!A:B,2,FALSE),B1866),PlayerValues!E:E,0)),"N/A")</f>
        <v>N/A</v>
      </c>
      <c r="B1866" s="4" t="s">
        <v>117</v>
      </c>
      <c r="C1866" s="4" t="s">
        <v>325</v>
      </c>
      <c r="D1866" s="94">
        <v>1376.0</v>
      </c>
    </row>
    <row r="1867">
      <c r="A1867" s="40">
        <f t="array" ref="A1867">IFNA(index(PlayerValues!A:A,match(IFNA(vlookup(B1867,'Special Names'!A:B,2,FALSE),B1867),PlayerValues!E:E,0)),"N/A")</f>
        <v>16191</v>
      </c>
      <c r="B1867" s="4" t="s">
        <v>666</v>
      </c>
      <c r="C1867" s="4" t="s">
        <v>287</v>
      </c>
      <c r="D1867" s="94">
        <v>1355.0</v>
      </c>
    </row>
    <row r="1868">
      <c r="A1868" s="40">
        <f t="array" ref="A1868">IFNA(index(PlayerValues!A:A,match(IFNA(vlookup(B1868,'Special Names'!A:B,2,FALSE),B1868),PlayerValues!E:E,0)),"N/A")</f>
        <v>13672</v>
      </c>
      <c r="B1868" s="4" t="s">
        <v>667</v>
      </c>
      <c r="C1868" s="4" t="s">
        <v>298</v>
      </c>
      <c r="D1868" s="94">
        <v>1709.0</v>
      </c>
    </row>
    <row r="1869">
      <c r="A1869" s="40">
        <f t="array" ref="A1869">IFNA(index(PlayerValues!A:A,match(IFNA(vlookup(B1869,'Special Names'!A:B,2,FALSE),B1869),PlayerValues!E:E,0)),"N/A")</f>
        <v>17353</v>
      </c>
      <c r="B1869" s="4" t="s">
        <v>668</v>
      </c>
      <c r="C1869" s="4" t="s">
        <v>287</v>
      </c>
      <c r="D1869" s="94">
        <v>1341.0</v>
      </c>
    </row>
    <row r="1870">
      <c r="A1870" s="40">
        <f t="array" ref="A1870">IFNA(index(PlayerValues!A:A,match(IFNA(vlookup(B1870,'Special Names'!A:B,2,FALSE),B1870),PlayerValues!E:E,0)),"N/A")</f>
        <v>15795</v>
      </c>
      <c r="B1870" s="4" t="s">
        <v>669</v>
      </c>
      <c r="C1870" s="4" t="s">
        <v>298</v>
      </c>
      <c r="D1870" s="94">
        <v>1698.0</v>
      </c>
    </row>
    <row r="1871">
      <c r="A1871" s="40">
        <f t="array" ref="A1871">IFNA(index(PlayerValues!A:A,match(IFNA(vlookup(B1871,'Special Names'!A:B,2,FALSE),B1871),PlayerValues!E:E,0)),"N/A")</f>
        <v>17054</v>
      </c>
      <c r="B1871" s="4" t="s">
        <v>670</v>
      </c>
      <c r="C1871" s="4" t="s">
        <v>278</v>
      </c>
      <c r="D1871" s="94">
        <v>1323.0</v>
      </c>
    </row>
    <row r="1872">
      <c r="A1872" s="40">
        <f t="array" ref="A1872">IFNA(index(PlayerValues!A:A,match(IFNA(vlookup(B1872,'Special Names'!A:B,2,FALSE),B1872),PlayerValues!E:E,0)),"N/A")</f>
        <v>17546</v>
      </c>
      <c r="B1872" s="4" t="s">
        <v>671</v>
      </c>
      <c r="C1872" s="4" t="s">
        <v>298</v>
      </c>
      <c r="D1872" s="94">
        <v>1669.0</v>
      </c>
    </row>
    <row r="1873">
      <c r="A1873" s="40">
        <f t="array" ref="A1873">IFNA(index(PlayerValues!A:A,match(IFNA(vlookup(B1873,'Special Names'!A:B,2,FALSE),B1873),PlayerValues!E:E,0)),"N/A")</f>
        <v>16621</v>
      </c>
      <c r="B1873" s="4" t="s">
        <v>672</v>
      </c>
      <c r="C1873" s="4" t="s">
        <v>287</v>
      </c>
      <c r="D1873" s="94">
        <v>1294.0</v>
      </c>
    </row>
    <row r="1874">
      <c r="A1874" s="40">
        <f t="array" ref="A1874">IFNA(index(PlayerValues!A:A,match(IFNA(vlookup(B1874,'Special Names'!A:B,2,FALSE),B1874),PlayerValues!E:E,0)),"N/A")</f>
        <v>14108</v>
      </c>
      <c r="B1874" s="4" t="s">
        <v>673</v>
      </c>
      <c r="C1874" s="4" t="s">
        <v>287</v>
      </c>
      <c r="D1874" s="94">
        <v>1289.0</v>
      </c>
    </row>
    <row r="1875">
      <c r="A1875" s="40">
        <f t="array" ref="A1875">IFNA(index(PlayerValues!A:A,match(IFNA(vlookup(B1875,'Special Names'!A:B,2,FALSE),B1875),PlayerValues!E:E,0)),"N/A")</f>
        <v>17593</v>
      </c>
      <c r="B1875" s="4" t="s">
        <v>674</v>
      </c>
      <c r="C1875" s="4" t="s">
        <v>298</v>
      </c>
      <c r="D1875" s="94">
        <v>1654.0</v>
      </c>
    </row>
    <row r="1876">
      <c r="A1876" s="40">
        <f t="array" ref="A1876">IFNA(index(PlayerValues!A:A,match(IFNA(vlookup(B1876,'Special Names'!A:B,2,FALSE),B1876),PlayerValues!E:E,0)),"N/A")</f>
        <v>14105</v>
      </c>
      <c r="B1876" s="4" t="s">
        <v>675</v>
      </c>
      <c r="C1876" s="4" t="s">
        <v>287</v>
      </c>
      <c r="D1876" s="94">
        <v>1283.0</v>
      </c>
    </row>
    <row r="1877">
      <c r="A1877" s="40">
        <f t="array" ref="A1877">IFNA(index(PlayerValues!A:A,match(IFNA(vlookup(B1877,'Special Names'!A:B,2,FALSE),B1877),PlayerValues!E:E,0)),"N/A")</f>
        <v>14137</v>
      </c>
      <c r="B1877" s="4" t="s">
        <v>676</v>
      </c>
      <c r="C1877" s="4" t="s">
        <v>298</v>
      </c>
      <c r="D1877" s="94">
        <v>1639.0</v>
      </c>
    </row>
    <row r="1878">
      <c r="A1878" s="40">
        <f t="array" ref="A1878">IFNA(index(PlayerValues!A:A,match(IFNA(vlookup(B1878,'Special Names'!A:B,2,FALSE),B1878),PlayerValues!E:E,0)),"N/A")</f>
        <v>17192</v>
      </c>
      <c r="B1878" s="4" t="s">
        <v>677</v>
      </c>
      <c r="C1878" s="4" t="s">
        <v>287</v>
      </c>
      <c r="D1878" s="94">
        <v>1273.0</v>
      </c>
    </row>
    <row r="1879">
      <c r="A1879" s="40">
        <f t="array" ref="A1879">IFNA(index(PlayerValues!A:A,match(IFNA(vlookup(B1879,'Special Names'!A:B,2,FALSE),B1879),PlayerValues!E:E,0)),"N/A")</f>
        <v>16183</v>
      </c>
      <c r="B1879" s="4" t="s">
        <v>678</v>
      </c>
      <c r="C1879" s="4" t="s">
        <v>287</v>
      </c>
      <c r="D1879" s="94">
        <v>1268.0</v>
      </c>
    </row>
    <row r="1880">
      <c r="A1880" s="40">
        <f t="array" ref="A1880">IFNA(index(PlayerValues!A:A,match(IFNA(vlookup(B1880,'Special Names'!A:B,2,FALSE),B1880),PlayerValues!E:E,0)),"N/A")</f>
        <v>17254</v>
      </c>
      <c r="B1880" s="4" t="s">
        <v>679</v>
      </c>
      <c r="C1880" s="4" t="s">
        <v>287</v>
      </c>
      <c r="D1880" s="94">
        <v>1268.0</v>
      </c>
    </row>
    <row r="1881">
      <c r="A1881" s="40">
        <f t="array" ref="A1881">IFNA(index(PlayerValues!A:A,match(IFNA(vlookup(B1881,'Special Names'!A:B,2,FALSE),B1881),PlayerValues!E:E,0)),"N/A")</f>
        <v>14095</v>
      </c>
      <c r="B1881" s="4" t="s">
        <v>680</v>
      </c>
      <c r="C1881" s="4" t="s">
        <v>278</v>
      </c>
      <c r="D1881" s="94">
        <v>1267.0</v>
      </c>
    </row>
    <row r="1882">
      <c r="A1882" s="40">
        <f t="array" ref="A1882">IFNA(index(PlayerValues!A:A,match(IFNA(vlookup(B1882,'Special Names'!A:B,2,FALSE),B1882),PlayerValues!E:E,0)),"N/A")</f>
        <v>15873</v>
      </c>
      <c r="B1882" s="4" t="s">
        <v>681</v>
      </c>
      <c r="C1882" s="4" t="s">
        <v>298</v>
      </c>
      <c r="D1882" s="94">
        <v>1635.0</v>
      </c>
    </row>
    <row r="1883">
      <c r="A1883" s="40">
        <f t="array" ref="A1883">IFNA(index(PlayerValues!A:A,match(IFNA(vlookup(B1883,'Special Names'!A:B,2,FALSE),B1883),PlayerValues!E:E,0)),"N/A")</f>
        <v>15292</v>
      </c>
      <c r="B1883" s="4" t="s">
        <v>682</v>
      </c>
      <c r="C1883" s="4" t="s">
        <v>287</v>
      </c>
      <c r="D1883" s="94">
        <v>1261.0</v>
      </c>
    </row>
    <row r="1884">
      <c r="A1884" s="40">
        <f t="array" ref="A1884">IFNA(index(PlayerValues!A:A,match(IFNA(vlookup(B1884,'Special Names'!A:B,2,FALSE),B1884),PlayerValues!E:E,0)),"N/A")</f>
        <v>16883</v>
      </c>
      <c r="B1884" s="4" t="s">
        <v>683</v>
      </c>
      <c r="C1884" s="4" t="s">
        <v>287</v>
      </c>
      <c r="D1884" s="94">
        <v>1259.0</v>
      </c>
    </row>
    <row r="1885">
      <c r="A1885" s="40">
        <f t="array" ref="A1885">IFNA(index(PlayerValues!A:A,match(IFNA(vlookup(B1885,'Special Names'!A:B,2,FALSE),B1885),PlayerValues!E:E,0)),"N/A")</f>
        <v>17627</v>
      </c>
      <c r="B1885" s="4" t="s">
        <v>684</v>
      </c>
      <c r="C1885" s="4" t="s">
        <v>298</v>
      </c>
      <c r="D1885" s="94">
        <v>1618.0</v>
      </c>
    </row>
    <row r="1886">
      <c r="A1886" s="40">
        <f t="array" ref="A1886">IFNA(index(PlayerValues!A:A,match(IFNA(vlookup(B1886,'Special Names'!A:B,2,FALSE),B1886),PlayerValues!E:E,0)),"N/A")</f>
        <v>17542</v>
      </c>
      <c r="B1886" s="4" t="s">
        <v>685</v>
      </c>
      <c r="C1886" s="4" t="s">
        <v>287</v>
      </c>
      <c r="D1886" s="94">
        <v>1247.0</v>
      </c>
    </row>
    <row r="1887">
      <c r="A1887" s="40">
        <f t="array" ref="A1887">IFNA(index(PlayerValues!A:A,match(IFNA(vlookup(B1887,'Special Names'!A:B,2,FALSE),B1887),PlayerValues!E:E,0)),"N/A")</f>
        <v>17063</v>
      </c>
      <c r="B1887" s="4" t="s">
        <v>686</v>
      </c>
      <c r="C1887" s="4" t="s">
        <v>278</v>
      </c>
      <c r="D1887" s="94">
        <v>1245.0</v>
      </c>
    </row>
    <row r="1888">
      <c r="A1888" s="40">
        <f t="array" ref="A1888">IFNA(index(PlayerValues!A:A,match(IFNA(vlookup(B1888,'Special Names'!A:B,2,FALSE),B1888),PlayerValues!E:E,0)),"N/A")</f>
        <v>16199</v>
      </c>
      <c r="B1888" s="4" t="s">
        <v>687</v>
      </c>
      <c r="C1888" s="4" t="s">
        <v>287</v>
      </c>
      <c r="D1888" s="94">
        <v>1245.0</v>
      </c>
    </row>
    <row r="1889">
      <c r="A1889" s="40">
        <f t="array" ref="A1889">IFNA(index(PlayerValues!A:A,match(IFNA(vlookup(B1889,'Special Names'!A:B,2,FALSE),B1889),PlayerValues!E:E,0)),"N/A")</f>
        <v>16688</v>
      </c>
      <c r="B1889" s="4" t="s">
        <v>688</v>
      </c>
      <c r="C1889" s="4" t="s">
        <v>278</v>
      </c>
      <c r="D1889" s="94">
        <v>1241.0</v>
      </c>
    </row>
    <row r="1890">
      <c r="A1890" s="40">
        <f t="array" ref="A1890">IFNA(index(PlayerValues!A:A,match(IFNA(vlookup(B1890,'Special Names'!A:B,2,FALSE),B1890),PlayerValues!E:E,0)),"N/A")</f>
        <v>16390</v>
      </c>
      <c r="B1890" s="4" t="s">
        <v>689</v>
      </c>
      <c r="C1890" s="4" t="s">
        <v>278</v>
      </c>
      <c r="D1890" s="94">
        <v>1239.0</v>
      </c>
    </row>
    <row r="1891">
      <c r="A1891" s="40">
        <f t="array" ref="A1891">IFNA(index(PlayerValues!A:A,match(IFNA(vlookup(B1891,'Special Names'!A:B,2,FALSE),B1891),PlayerValues!E:E,0)),"N/A")</f>
        <v>16385</v>
      </c>
      <c r="B1891" s="4" t="s">
        <v>690</v>
      </c>
      <c r="C1891" s="4" t="s">
        <v>278</v>
      </c>
      <c r="D1891" s="94">
        <v>1233.0</v>
      </c>
    </row>
    <row r="1892">
      <c r="A1892" s="40">
        <f t="array" ref="A1892">IFNA(index(PlayerValues!A:A,match(IFNA(vlookup(B1892,'Special Names'!A:B,2,FALSE),B1892),PlayerValues!E:E,0)),"N/A")</f>
        <v>16642</v>
      </c>
      <c r="B1892" s="4" t="s">
        <v>691</v>
      </c>
      <c r="C1892" s="4" t="s">
        <v>298</v>
      </c>
      <c r="D1892" s="94">
        <v>1597.0</v>
      </c>
    </row>
    <row r="1893">
      <c r="A1893" s="40">
        <f t="array" ref="A1893">IFNA(index(PlayerValues!A:A,match(IFNA(vlookup(B1893,'Special Names'!A:B,2,FALSE),B1893),PlayerValues!E:E,0)),"N/A")</f>
        <v>17487</v>
      </c>
      <c r="B1893" s="4" t="s">
        <v>692</v>
      </c>
      <c r="C1893" s="4" t="s">
        <v>278</v>
      </c>
      <c r="D1893" s="94">
        <v>1220.0</v>
      </c>
    </row>
    <row r="1894">
      <c r="A1894" s="40">
        <f t="array" ref="A1894">IFNA(index(PlayerValues!A:A,match(IFNA(vlookup(B1894,'Special Names'!A:B,2,FALSE),B1894),PlayerValues!E:E,0)),"N/A")</f>
        <v>17504</v>
      </c>
      <c r="B1894" s="4" t="s">
        <v>693</v>
      </c>
      <c r="C1894" s="4" t="s">
        <v>287</v>
      </c>
      <c r="D1894" s="94">
        <v>1218.0</v>
      </c>
    </row>
    <row r="1895">
      <c r="A1895" s="40">
        <f t="array" ref="A1895">IFNA(index(PlayerValues!A:A,match(IFNA(vlookup(B1895,'Special Names'!A:B,2,FALSE),B1895),PlayerValues!E:E,0)),"N/A")</f>
        <v>15777</v>
      </c>
      <c r="B1895" s="4" t="s">
        <v>694</v>
      </c>
      <c r="C1895" s="4" t="s">
        <v>287</v>
      </c>
      <c r="D1895" s="94">
        <v>1216.0</v>
      </c>
    </row>
    <row r="1896">
      <c r="A1896" s="40">
        <f t="array" ref="A1896">IFNA(index(PlayerValues!A:A,match(IFNA(vlookup(B1896,'Special Names'!A:B,2,FALSE),B1896),PlayerValues!E:E,0)),"N/A")</f>
        <v>17486</v>
      </c>
      <c r="B1896" s="4" t="s">
        <v>695</v>
      </c>
      <c r="C1896" s="4" t="s">
        <v>278</v>
      </c>
      <c r="D1896" s="94">
        <v>1213.0</v>
      </c>
    </row>
    <row r="1897">
      <c r="A1897" s="40">
        <f t="array" ref="A1897">IFNA(index(PlayerValues!A:A,match(IFNA(vlookup(B1897,'Special Names'!A:B,2,FALSE),B1897),PlayerValues!E:E,0)),"N/A")</f>
        <v>16384</v>
      </c>
      <c r="B1897" s="4" t="s">
        <v>696</v>
      </c>
      <c r="C1897" s="4" t="s">
        <v>283</v>
      </c>
      <c r="D1897" s="94">
        <v>1210.0</v>
      </c>
    </row>
    <row r="1898">
      <c r="A1898" s="40">
        <f t="array" ref="A1898">IFNA(index(PlayerValues!A:A,match(IFNA(vlookup(B1898,'Special Names'!A:B,2,FALSE),B1898),PlayerValues!E:E,0)),"N/A")</f>
        <v>12263</v>
      </c>
      <c r="B1898" s="4" t="s">
        <v>697</v>
      </c>
      <c r="C1898" s="4" t="s">
        <v>298</v>
      </c>
      <c r="D1898" s="94">
        <v>1577.0</v>
      </c>
    </row>
    <row r="1899">
      <c r="A1899" s="40">
        <f t="array" ref="A1899">IFNA(index(PlayerValues!A:A,match(IFNA(vlookup(B1899,'Special Names'!A:B,2,FALSE),B1899),PlayerValues!E:E,0)),"N/A")</f>
        <v>15332</v>
      </c>
      <c r="B1899" s="4" t="s">
        <v>698</v>
      </c>
      <c r="C1899" s="4" t="s">
        <v>298</v>
      </c>
      <c r="D1899" s="94">
        <v>1575.0</v>
      </c>
    </row>
    <row r="1900">
      <c r="A1900" s="40">
        <f t="array" ref="A1900">IFNA(index(PlayerValues!A:A,match(IFNA(vlookup(B1900,'Special Names'!A:B,2,FALSE),B1900),PlayerValues!E:E,0)),"N/A")</f>
        <v>16636</v>
      </c>
      <c r="B1900" s="4" t="s">
        <v>699</v>
      </c>
      <c r="C1900" s="4" t="s">
        <v>287</v>
      </c>
      <c r="D1900" s="94">
        <v>1205.0</v>
      </c>
    </row>
    <row r="1901">
      <c r="A1901" s="40">
        <f t="array" ref="A1901">IFNA(index(PlayerValues!A:A,match(IFNA(vlookup(B1901,'Special Names'!A:B,2,FALSE),B1901),PlayerValues!E:E,0)),"N/A")</f>
        <v>15288</v>
      </c>
      <c r="B1901" s="4" t="s">
        <v>700</v>
      </c>
      <c r="C1901" s="4" t="s">
        <v>287</v>
      </c>
      <c r="D1901" s="94">
        <v>1197.0</v>
      </c>
    </row>
    <row r="1902">
      <c r="A1902" s="40">
        <f t="array" ref="A1902">IFNA(index(PlayerValues!A:A,match(IFNA(vlookup(B1902,'Special Names'!A:B,2,FALSE),B1902),PlayerValues!E:E,0)),"N/A")</f>
        <v>17062</v>
      </c>
      <c r="B1902" s="4" t="s">
        <v>701</v>
      </c>
      <c r="C1902" s="4" t="s">
        <v>278</v>
      </c>
      <c r="D1902" s="94">
        <v>1188.0</v>
      </c>
    </row>
    <row r="1903">
      <c r="A1903" s="40">
        <f t="array" ref="A1903">IFNA(index(PlayerValues!A:A,match(IFNA(vlookup(B1903,'Special Names'!A:B,2,FALSE),B1903),PlayerValues!E:E,0)),"N/A")</f>
        <v>12140</v>
      </c>
      <c r="B1903" s="4" t="s">
        <v>702</v>
      </c>
      <c r="C1903" s="4" t="s">
        <v>283</v>
      </c>
      <c r="D1903" s="94">
        <v>1182.0</v>
      </c>
    </row>
    <row r="1904">
      <c r="A1904" s="40">
        <f t="array" ref="A1904">IFNA(index(PlayerValues!A:A,match(IFNA(vlookup(B1904,'Special Names'!A:B,2,FALSE),B1904),PlayerValues!E:E,0)),"N/A")</f>
        <v>12678</v>
      </c>
      <c r="B1904" s="4" t="s">
        <v>703</v>
      </c>
      <c r="C1904" s="4" t="s">
        <v>298</v>
      </c>
      <c r="D1904" s="94">
        <v>1550.0</v>
      </c>
    </row>
    <row r="1905">
      <c r="A1905" s="40">
        <f t="array" ref="A1905">IFNA(index(PlayerValues!A:A,match(IFNA(vlookup(B1905,'Special Names'!A:B,2,FALSE),B1905),PlayerValues!E:E,0)),"N/A")</f>
        <v>16792</v>
      </c>
      <c r="B1905" s="4" t="s">
        <v>704</v>
      </c>
      <c r="C1905" s="4" t="s">
        <v>287</v>
      </c>
      <c r="D1905" s="94">
        <v>1167.0</v>
      </c>
    </row>
    <row r="1906">
      <c r="A1906" s="40">
        <f t="array" ref="A1906">IFNA(index(PlayerValues!A:A,match(IFNA(vlookup(B1906,'Special Names'!A:B,2,FALSE),B1906),PlayerValues!E:E,0)),"N/A")</f>
        <v>14592</v>
      </c>
      <c r="B1906" s="4" t="s">
        <v>705</v>
      </c>
      <c r="C1906" s="4" t="s">
        <v>287</v>
      </c>
      <c r="D1906" s="94">
        <v>1160.0</v>
      </c>
    </row>
    <row r="1907">
      <c r="A1907" s="40">
        <f t="array" ref="A1907">IFNA(index(PlayerValues!A:A,match(IFNA(vlookup(B1907,'Special Names'!A:B,2,FALSE),B1907),PlayerValues!E:E,0)),"N/A")</f>
        <v>13418</v>
      </c>
      <c r="B1907" s="4" t="s">
        <v>706</v>
      </c>
      <c r="C1907" s="4" t="s">
        <v>287</v>
      </c>
      <c r="D1907" s="94">
        <v>1154.0</v>
      </c>
    </row>
    <row r="1908">
      <c r="A1908" s="40">
        <f t="array" ref="A1908">IFNA(index(PlayerValues!A:A,match(IFNA(vlookup(B1908,'Special Names'!A:B,2,FALSE),B1908),PlayerValues!E:E,0)),"N/A")</f>
        <v>17109</v>
      </c>
      <c r="B1908" s="4" t="s">
        <v>707</v>
      </c>
      <c r="C1908" s="4" t="s">
        <v>298</v>
      </c>
      <c r="D1908" s="94">
        <v>1517.0</v>
      </c>
    </row>
    <row r="1909">
      <c r="A1909" s="40">
        <f t="array" ref="A1909">IFNA(index(PlayerValues!A:A,match(IFNA(vlookup(B1909,'Special Names'!A:B,2,FALSE),B1909),PlayerValues!E:E,0)),"N/A")</f>
        <v>17057</v>
      </c>
      <c r="B1909" s="4" t="s">
        <v>708</v>
      </c>
      <c r="C1909" s="4" t="s">
        <v>278</v>
      </c>
      <c r="D1909" s="94">
        <v>1144.0</v>
      </c>
    </row>
    <row r="1910">
      <c r="A1910" s="40">
        <f t="array" ref="A1910">IFNA(index(PlayerValues!A:A,match(IFNA(vlookup(B1910,'Special Names'!A:B,2,FALSE),B1910),PlayerValues!E:E,0)),"N/A")</f>
        <v>16746</v>
      </c>
      <c r="B1910" s="4" t="s">
        <v>709</v>
      </c>
      <c r="C1910" s="4" t="s">
        <v>278</v>
      </c>
      <c r="D1910" s="94">
        <v>1140.0</v>
      </c>
    </row>
    <row r="1911">
      <c r="A1911" s="40">
        <f t="array" ref="A1911">IFNA(index(PlayerValues!A:A,match(IFNA(vlookup(B1911,'Special Names'!A:B,2,FALSE),B1911),PlayerValues!E:E,0)),"N/A")</f>
        <v>17644</v>
      </c>
      <c r="B1911" s="4" t="s">
        <v>710</v>
      </c>
      <c r="C1911" s="4" t="s">
        <v>298</v>
      </c>
      <c r="D1911" s="94">
        <v>1501.0</v>
      </c>
    </row>
    <row r="1912">
      <c r="A1912" s="40">
        <f t="array" ref="A1912">IFNA(index(PlayerValues!A:A,match(IFNA(vlookup(B1912,'Special Names'!A:B,2,FALSE),B1912),PlayerValues!E:E,0)),"N/A")</f>
        <v>16333</v>
      </c>
      <c r="B1912" s="4" t="s">
        <v>711</v>
      </c>
      <c r="C1912" s="4" t="s">
        <v>298</v>
      </c>
      <c r="D1912" s="94">
        <v>1498.0</v>
      </c>
    </row>
    <row r="1913">
      <c r="A1913" s="40">
        <f t="array" ref="A1913">IFNA(index(PlayerValues!A:A,match(IFNA(vlookup(B1913,'Special Names'!A:B,2,FALSE),B1913),PlayerValues!E:E,0)),"N/A")</f>
        <v>16640</v>
      </c>
      <c r="B1913" s="4" t="s">
        <v>712</v>
      </c>
      <c r="C1913" s="4" t="s">
        <v>287</v>
      </c>
      <c r="D1913" s="94">
        <v>1127.0</v>
      </c>
    </row>
    <row r="1914">
      <c r="A1914" s="40">
        <f t="array" ref="A1914">IFNA(index(PlayerValues!A:A,match(IFNA(vlookup(B1914,'Special Names'!A:B,2,FALSE),B1914),PlayerValues!E:E,0)),"N/A")</f>
        <v>17050</v>
      </c>
      <c r="B1914" s="4" t="s">
        <v>713</v>
      </c>
      <c r="C1914" s="4" t="s">
        <v>278</v>
      </c>
      <c r="D1914" s="94">
        <v>1120.0</v>
      </c>
    </row>
    <row r="1915">
      <c r="A1915" s="40">
        <f t="array" ref="A1915">IFNA(index(PlayerValues!A:A,match(IFNA(vlookup(B1915,'Special Names'!A:B,2,FALSE),B1915),PlayerValues!E:E,0)),"N/A")</f>
        <v>17077</v>
      </c>
      <c r="B1915" s="4" t="s">
        <v>714</v>
      </c>
      <c r="C1915" s="4" t="s">
        <v>287</v>
      </c>
      <c r="D1915" s="94">
        <v>1117.0</v>
      </c>
    </row>
    <row r="1916">
      <c r="A1916" s="40">
        <f t="array" ref="A1916">IFNA(index(PlayerValues!A:A,match(IFNA(vlookup(B1916,'Special Names'!A:B,2,FALSE),B1916),PlayerValues!E:E,0)),"N/A")</f>
        <v>15252</v>
      </c>
      <c r="B1916" s="4" t="s">
        <v>715</v>
      </c>
      <c r="C1916" s="4" t="s">
        <v>283</v>
      </c>
      <c r="D1916" s="94">
        <v>1115.0</v>
      </c>
    </row>
    <row r="1917">
      <c r="A1917" s="40">
        <f t="array" ref="A1917">IFNA(index(PlayerValues!A:A,match(IFNA(vlookup(B1917,'Special Names'!A:B,2,FALSE),B1917),PlayerValues!E:E,0)),"N/A")</f>
        <v>14080</v>
      </c>
      <c r="B1917" s="4" t="s">
        <v>716</v>
      </c>
      <c r="C1917" s="4" t="s">
        <v>278</v>
      </c>
      <c r="D1917" s="94">
        <v>1110.0</v>
      </c>
    </row>
    <row r="1918">
      <c r="A1918" s="40">
        <f t="array" ref="A1918">IFNA(index(PlayerValues!A:A,match(IFNA(vlookup(B1918,'Special Names'!A:B,2,FALSE),B1918),PlayerValues!E:E,0)),"N/A")</f>
        <v>14845</v>
      </c>
      <c r="B1918" s="4" t="s">
        <v>717</v>
      </c>
      <c r="C1918" s="4" t="s">
        <v>287</v>
      </c>
      <c r="D1918" s="94">
        <v>1101.0</v>
      </c>
    </row>
    <row r="1919">
      <c r="A1919" s="40">
        <f t="array" ref="A1919">IFNA(index(PlayerValues!A:A,match(IFNA(vlookup(B1919,'Special Names'!A:B,2,FALSE),B1919),PlayerValues!E:E,0)),"N/A")</f>
        <v>17269</v>
      </c>
      <c r="B1919" s="4" t="s">
        <v>718</v>
      </c>
      <c r="C1919" s="4" t="s">
        <v>287</v>
      </c>
      <c r="D1919" s="94">
        <v>1093.0</v>
      </c>
    </row>
    <row r="1920">
      <c r="A1920" s="40">
        <f t="array" ref="A1920">IFNA(index(PlayerValues!A:A,match(IFNA(vlookup(B1920,'Special Names'!A:B,2,FALSE),B1920),PlayerValues!E:E,0)),"N/A")</f>
        <v>17545</v>
      </c>
      <c r="B1920" s="4" t="s">
        <v>719</v>
      </c>
      <c r="C1920" s="4" t="s">
        <v>298</v>
      </c>
      <c r="D1920" s="94">
        <v>1462.0</v>
      </c>
    </row>
    <row r="1921">
      <c r="A1921" s="40">
        <f t="array" ref="A1921">IFNA(index(PlayerValues!A:A,match(IFNA(vlookup(B1921,'Special Names'!A:B,2,FALSE),B1921),PlayerValues!E:E,0)),"N/A")</f>
        <v>17549</v>
      </c>
      <c r="B1921" s="4" t="s">
        <v>720</v>
      </c>
      <c r="C1921" s="4" t="s">
        <v>298</v>
      </c>
      <c r="D1921" s="94">
        <v>1455.0</v>
      </c>
    </row>
    <row r="1922">
      <c r="A1922" s="40">
        <f t="array" ref="A1922">IFNA(index(PlayerValues!A:A,match(IFNA(vlookup(B1922,'Special Names'!A:B,2,FALSE),B1922),PlayerValues!E:E,0)),"N/A")</f>
        <v>14789</v>
      </c>
      <c r="B1922" s="4" t="s">
        <v>721</v>
      </c>
      <c r="C1922" s="4" t="s">
        <v>283</v>
      </c>
      <c r="D1922" s="94">
        <v>1079.0</v>
      </c>
    </row>
    <row r="1923">
      <c r="A1923" s="40">
        <f t="array" ref="A1923">IFNA(index(PlayerValues!A:A,match(IFNA(vlookup(B1923,'Special Names'!A:B,2,FALSE),B1923),PlayerValues!E:E,0)),"N/A")</f>
        <v>12801</v>
      </c>
      <c r="B1923" s="4" t="s">
        <v>722</v>
      </c>
      <c r="C1923" s="4" t="s">
        <v>287</v>
      </c>
      <c r="D1923" s="94">
        <v>1072.0</v>
      </c>
    </row>
    <row r="1924">
      <c r="A1924" s="40">
        <f t="array" ref="A1924">IFNA(index(PlayerValues!A:A,match(IFNA(vlookup(B1924,'Special Names'!A:B,2,FALSE),B1924),PlayerValues!E:E,0)),"N/A")</f>
        <v>15702</v>
      </c>
      <c r="B1924" s="4" t="s">
        <v>723</v>
      </c>
      <c r="C1924" s="4" t="s">
        <v>283</v>
      </c>
      <c r="D1924" s="94">
        <v>1072.0</v>
      </c>
    </row>
    <row r="1925">
      <c r="A1925" s="40">
        <f t="array" ref="A1925">IFNA(index(PlayerValues!A:A,match(IFNA(vlookup(B1925,'Special Names'!A:B,2,FALSE),B1925),PlayerValues!E:E,0)),"N/A")</f>
        <v>15758</v>
      </c>
      <c r="B1925" s="4" t="s">
        <v>724</v>
      </c>
      <c r="C1925" s="4" t="s">
        <v>287</v>
      </c>
      <c r="D1925" s="94">
        <v>1071.0</v>
      </c>
    </row>
    <row r="1926">
      <c r="A1926" s="40">
        <f t="array" ref="A1926">IFNA(index(PlayerValues!A:A,match(IFNA(vlookup(B1926,'Special Names'!A:B,2,FALSE),B1926),PlayerValues!E:E,0)),"N/A")</f>
        <v>16221</v>
      </c>
      <c r="B1926" s="4" t="s">
        <v>725</v>
      </c>
      <c r="C1926" s="4" t="s">
        <v>298</v>
      </c>
      <c r="D1926" s="94">
        <v>1412.0</v>
      </c>
    </row>
    <row r="1927">
      <c r="A1927" s="40">
        <f t="array" ref="A1927">IFNA(index(PlayerValues!A:A,match(IFNA(vlookup(B1927,'Special Names'!A:B,2,FALSE),B1927),PlayerValues!E:E,0)),"N/A")</f>
        <v>16197</v>
      </c>
      <c r="B1927" s="4" t="s">
        <v>726</v>
      </c>
      <c r="C1927" s="4" t="s">
        <v>287</v>
      </c>
      <c r="D1927" s="94">
        <v>1038.0</v>
      </c>
    </row>
    <row r="1928">
      <c r="A1928" s="40">
        <f t="array" ref="A1928">IFNA(index(PlayerValues!A:A,match(IFNA(vlookup(B1928,'Special Names'!A:B,2,FALSE),B1928),PlayerValues!E:E,0)),"N/A")</f>
        <v>17037</v>
      </c>
      <c r="B1928" s="4" t="s">
        <v>727</v>
      </c>
      <c r="C1928" s="4" t="s">
        <v>283</v>
      </c>
      <c r="D1928" s="94">
        <v>1033.0</v>
      </c>
    </row>
    <row r="1929">
      <c r="A1929" s="40">
        <f t="array" ref="A1929">IFNA(index(PlayerValues!A:A,match(IFNA(vlookup(B1929,'Special Names'!A:B,2,FALSE),B1929),PlayerValues!E:E,0)),"N/A")</f>
        <v>15109</v>
      </c>
      <c r="B1929" s="4" t="s">
        <v>728</v>
      </c>
      <c r="C1929" s="4" t="s">
        <v>287</v>
      </c>
      <c r="D1929" s="94">
        <v>1023.0</v>
      </c>
    </row>
    <row r="1930">
      <c r="A1930" s="40">
        <f t="array" ref="A1930">IFNA(index(PlayerValues!A:A,match(IFNA(vlookup(B1930,'Special Names'!A:B,2,FALSE),B1930),PlayerValues!E:E,0)),"N/A")</f>
        <v>15981</v>
      </c>
      <c r="B1930" s="4" t="s">
        <v>729</v>
      </c>
      <c r="C1930" s="4" t="s">
        <v>287</v>
      </c>
      <c r="D1930" s="94">
        <v>1015.0</v>
      </c>
    </row>
    <row r="1931">
      <c r="A1931" s="40">
        <f t="array" ref="A1931">IFNA(index(PlayerValues!A:A,match(IFNA(vlookup(B1931,'Special Names'!A:B,2,FALSE),B1931),PlayerValues!E:E,0)),"N/A")</f>
        <v>15727</v>
      </c>
      <c r="B1931" s="4" t="s">
        <v>730</v>
      </c>
      <c r="C1931" s="4" t="s">
        <v>278</v>
      </c>
      <c r="D1931" s="94">
        <v>1013.0</v>
      </c>
    </row>
    <row r="1932">
      <c r="A1932" s="40">
        <f t="array" ref="A1932">IFNA(index(PlayerValues!A:A,match(IFNA(vlookup(B1932,'Special Names'!A:B,2,FALSE),B1932),PlayerValues!E:E,0)),"N/A")</f>
        <v>14840</v>
      </c>
      <c r="B1932" s="4" t="s">
        <v>731</v>
      </c>
      <c r="C1932" s="4" t="s">
        <v>287</v>
      </c>
      <c r="D1932" s="94">
        <v>1008.0</v>
      </c>
    </row>
    <row r="1933">
      <c r="A1933" s="40">
        <f t="array" ref="A1933">IFNA(index(PlayerValues!A:A,match(IFNA(vlookup(B1933,'Special Names'!A:B,2,FALSE),B1933),PlayerValues!E:E,0)),"N/A")</f>
        <v>15713</v>
      </c>
      <c r="B1933" s="4" t="s">
        <v>732</v>
      </c>
      <c r="C1933" s="4" t="s">
        <v>278</v>
      </c>
      <c r="D1933" s="94">
        <v>999.0</v>
      </c>
    </row>
    <row r="1934">
      <c r="A1934" s="40">
        <f t="array" ref="A1934">IFNA(index(PlayerValues!A:A,match(IFNA(vlookup(B1934,'Special Names'!A:B,2,FALSE),B1934),PlayerValues!E:E,0)),"N/A")</f>
        <v>14849</v>
      </c>
      <c r="B1934" s="4" t="s">
        <v>733</v>
      </c>
      <c r="C1934" s="4" t="s">
        <v>287</v>
      </c>
      <c r="D1934" s="94">
        <v>981.0</v>
      </c>
    </row>
    <row r="1935">
      <c r="A1935" s="40">
        <f t="array" ref="A1935">IFNA(index(PlayerValues!A:A,match(IFNA(vlookup(B1935,'Special Names'!A:B,2,FALSE),B1935),PlayerValues!E:E,0)),"N/A")</f>
        <v>15730</v>
      </c>
      <c r="B1935" s="4" t="s">
        <v>734</v>
      </c>
      <c r="C1935" s="4" t="s">
        <v>278</v>
      </c>
      <c r="D1935" s="94">
        <v>981.0</v>
      </c>
    </row>
    <row r="1936">
      <c r="A1936" s="40">
        <f t="array" ref="A1936">IFNA(index(PlayerValues!A:A,match(IFNA(vlookup(B1936,'Special Names'!A:B,2,FALSE),B1936),PlayerValues!E:E,0)),"N/A")</f>
        <v>14067</v>
      </c>
      <c r="B1936" s="4" t="s">
        <v>735</v>
      </c>
      <c r="C1936" s="4" t="s">
        <v>283</v>
      </c>
      <c r="D1936" s="94">
        <v>976.0</v>
      </c>
    </row>
    <row r="1937">
      <c r="A1937" s="40">
        <f t="array" ref="A1937">IFNA(index(PlayerValues!A:A,match(IFNA(vlookup(B1937,'Special Names'!A:B,2,FALSE),B1937),PlayerValues!E:E,0)),"N/A")</f>
        <v>16637</v>
      </c>
      <c r="B1937" s="4" t="s">
        <v>736</v>
      </c>
      <c r="C1937" s="4" t="s">
        <v>287</v>
      </c>
      <c r="D1937" s="94">
        <v>976.0</v>
      </c>
    </row>
    <row r="1938">
      <c r="A1938" s="40">
        <f t="array" ref="A1938">IFNA(index(PlayerValues!A:A,match(IFNA(vlookup(B1938,'Special Names'!A:B,2,FALSE),B1938),PlayerValues!E:E,0)),"N/A")</f>
        <v>16599</v>
      </c>
      <c r="B1938" s="4" t="s">
        <v>737</v>
      </c>
      <c r="C1938" s="4" t="s">
        <v>278</v>
      </c>
      <c r="D1938" s="94">
        <v>975.0</v>
      </c>
    </row>
    <row r="1939">
      <c r="A1939" s="40">
        <f t="array" ref="A1939">IFNA(index(PlayerValues!A:A,match(IFNA(vlookup(B1939,'Special Names'!A:B,2,FALSE),B1939),PlayerValues!E:E,0)),"N/A")</f>
        <v>16168</v>
      </c>
      <c r="B1939" s="4" t="s">
        <v>738</v>
      </c>
      <c r="C1939" s="4" t="s">
        <v>278</v>
      </c>
      <c r="D1939" s="94">
        <v>961.0</v>
      </c>
    </row>
    <row r="1940">
      <c r="A1940" s="40">
        <f t="array" ref="A1940">IFNA(index(PlayerValues!A:A,match(IFNA(vlookup(B1940,'Special Names'!A:B,2,FALSE),B1940),PlayerValues!E:E,0)),"N/A")</f>
        <v>16219</v>
      </c>
      <c r="B1940" s="4" t="s">
        <v>739</v>
      </c>
      <c r="C1940" s="4" t="s">
        <v>298</v>
      </c>
      <c r="D1940" s="94">
        <v>1326.0</v>
      </c>
    </row>
    <row r="1941">
      <c r="A1941" s="40">
        <f t="array" ref="A1941">IFNA(index(PlayerValues!A:A,match(IFNA(vlookup(B1941,'Special Names'!A:B,2,FALSE),B1941),PlayerValues!E:E,0)),"N/A")</f>
        <v>16149</v>
      </c>
      <c r="B1941" s="4" t="s">
        <v>740</v>
      </c>
      <c r="C1941" s="4" t="s">
        <v>283</v>
      </c>
      <c r="D1941" s="94">
        <v>958.0</v>
      </c>
    </row>
    <row r="1942">
      <c r="A1942" s="40">
        <f t="array" ref="A1942">IFNA(index(PlayerValues!A:A,match(IFNA(vlookup(B1942,'Special Names'!A:B,2,FALSE),B1942),PlayerValues!E:E,0)),"N/A")</f>
        <v>15271</v>
      </c>
      <c r="B1942" s="4" t="s">
        <v>741</v>
      </c>
      <c r="C1942" s="4" t="s">
        <v>278</v>
      </c>
      <c r="D1942" s="94">
        <v>956.0</v>
      </c>
    </row>
    <row r="1943">
      <c r="A1943" s="40">
        <f t="array" ref="A1943">IFNA(index(PlayerValues!A:A,match(IFNA(vlookup(B1943,'Special Names'!A:B,2,FALSE),B1943),PlayerValues!E:E,0)),"N/A")</f>
        <v>16205</v>
      </c>
      <c r="B1943" s="4" t="s">
        <v>742</v>
      </c>
      <c r="C1943" s="4" t="s">
        <v>287</v>
      </c>
      <c r="D1943" s="94">
        <v>953.0</v>
      </c>
    </row>
    <row r="1944">
      <c r="A1944" s="40">
        <f t="array" ref="A1944">IFNA(index(PlayerValues!A:A,match(IFNA(vlookup(B1944,'Special Names'!A:B,2,FALSE),B1944),PlayerValues!E:E,0)),"N/A")</f>
        <v>16606</v>
      </c>
      <c r="B1944" s="4" t="s">
        <v>743</v>
      </c>
      <c r="C1944" s="4" t="s">
        <v>278</v>
      </c>
      <c r="D1944" s="94">
        <v>952.0</v>
      </c>
    </row>
    <row r="1945">
      <c r="A1945" s="40">
        <f t="array" ref="A1945">IFNA(index(PlayerValues!A:A,match(IFNA(vlookup(B1945,'Special Names'!A:B,2,FALSE),B1945),PlayerValues!E:E,0)),"N/A")</f>
        <v>12141</v>
      </c>
      <c r="B1945" s="4" t="s">
        <v>744</v>
      </c>
      <c r="C1945" s="4" t="s">
        <v>283</v>
      </c>
      <c r="D1945" s="94">
        <v>949.0</v>
      </c>
    </row>
    <row r="1946">
      <c r="A1946" s="40">
        <f t="array" ref="A1946">IFNA(index(PlayerValues!A:A,match(IFNA(vlookup(B1946,'Special Names'!A:B,2,FALSE),B1946),PlayerValues!E:E,0)),"N/A")</f>
        <v>15717</v>
      </c>
      <c r="B1946" s="4" t="s">
        <v>745</v>
      </c>
      <c r="C1946" s="4" t="s">
        <v>278</v>
      </c>
      <c r="D1946" s="94">
        <v>948.0</v>
      </c>
    </row>
    <row r="1947">
      <c r="A1947" s="40">
        <f t="array" ref="A1947">IFNA(index(PlayerValues!A:A,match(IFNA(vlookup(B1947,'Special Names'!A:B,2,FALSE),B1947),PlayerValues!E:E,0)),"N/A")</f>
        <v>13289</v>
      </c>
      <c r="B1947" s="4" t="s">
        <v>746</v>
      </c>
      <c r="C1947" s="4" t="s">
        <v>287</v>
      </c>
      <c r="D1947" s="94">
        <v>947.0</v>
      </c>
    </row>
    <row r="1948">
      <c r="A1948" s="40">
        <f t="array" ref="A1948">IFNA(index(PlayerValues!A:A,match(IFNA(vlookup(B1948,'Special Names'!A:B,2,FALSE),B1948),PlayerValues!E:E,0)),"N/A")</f>
        <v>17175</v>
      </c>
      <c r="B1948" s="4" t="s">
        <v>747</v>
      </c>
      <c r="C1948" s="4" t="s">
        <v>287</v>
      </c>
      <c r="D1948" s="94">
        <v>919.0</v>
      </c>
    </row>
    <row r="1949">
      <c r="A1949" s="40">
        <f t="array" ref="A1949">IFNA(index(PlayerValues!A:A,match(IFNA(vlookup(B1949,'Special Names'!A:B,2,FALSE),B1949),PlayerValues!E:E,0)),"N/A")</f>
        <v>16648</v>
      </c>
      <c r="B1949" s="4" t="s">
        <v>748</v>
      </c>
      <c r="C1949" s="4" t="s">
        <v>298</v>
      </c>
      <c r="D1949" s="94">
        <v>1279.0</v>
      </c>
    </row>
    <row r="1950">
      <c r="A1950" s="40">
        <f t="array" ref="A1950">IFNA(index(PlayerValues!A:A,match(IFNA(vlookup(B1950,'Special Names'!A:B,2,FALSE),B1950),PlayerValues!E:E,0)),"N/A")</f>
        <v>15330</v>
      </c>
      <c r="B1950" s="4" t="s">
        <v>749</v>
      </c>
      <c r="C1950" s="4" t="s">
        <v>298</v>
      </c>
      <c r="D1950" s="94">
        <v>1274.0</v>
      </c>
    </row>
    <row r="1951">
      <c r="A1951" s="40">
        <f t="array" ref="A1951">IFNA(index(PlayerValues!A:A,match(IFNA(vlookup(B1951,'Special Names'!A:B,2,FALSE),B1951),PlayerValues!E:E,0)),"N/A")</f>
        <v>15692</v>
      </c>
      <c r="B1951" s="4" t="s">
        <v>750</v>
      </c>
      <c r="C1951" s="4" t="s">
        <v>283</v>
      </c>
      <c r="D1951" s="94">
        <v>903.0</v>
      </c>
    </row>
    <row r="1952">
      <c r="A1952" s="40">
        <f t="array" ref="A1952">IFNA(index(PlayerValues!A:A,match(IFNA(vlookup(B1952,'Special Names'!A:B,2,FALSE),B1952),PlayerValues!E:E,0)),"N/A")</f>
        <v>15240</v>
      </c>
      <c r="B1952" s="4" t="s">
        <v>751</v>
      </c>
      <c r="C1952" s="4" t="s">
        <v>283</v>
      </c>
      <c r="D1952" s="94">
        <v>901.0</v>
      </c>
    </row>
    <row r="1953">
      <c r="A1953" s="40">
        <f t="array" ref="A1953">IFNA(index(PlayerValues!A:A,match(IFNA(vlookup(B1953,'Special Names'!A:B,2,FALSE),B1953),PlayerValues!E:E,0)),"N/A")</f>
        <v>16416</v>
      </c>
      <c r="B1953" s="4" t="s">
        <v>752</v>
      </c>
      <c r="C1953" s="4" t="s">
        <v>287</v>
      </c>
      <c r="D1953" s="94">
        <v>899.0</v>
      </c>
    </row>
    <row r="1954">
      <c r="A1954" s="40">
        <f t="array" ref="A1954">IFNA(index(PlayerValues!A:A,match(IFNA(vlookup(B1954,'Special Names'!A:B,2,FALSE),B1954),PlayerValues!E:E,0)),"N/A")</f>
        <v>15718</v>
      </c>
      <c r="B1954" s="4" t="s">
        <v>753</v>
      </c>
      <c r="C1954" s="4" t="s">
        <v>278</v>
      </c>
      <c r="D1954" s="94">
        <v>889.0</v>
      </c>
    </row>
    <row r="1955">
      <c r="A1955" s="40">
        <f t="array" ref="A1955">IFNA(index(PlayerValues!A:A,match(IFNA(vlookup(B1955,'Special Names'!A:B,2,FALSE),B1955),PlayerValues!E:E,0)),"N/A")</f>
        <v>16858</v>
      </c>
      <c r="B1955" s="4" t="s">
        <v>754</v>
      </c>
      <c r="C1955" s="4" t="s">
        <v>287</v>
      </c>
      <c r="D1955" s="94">
        <v>885.0</v>
      </c>
    </row>
    <row r="1956">
      <c r="A1956" s="40">
        <f t="array" ref="A1956">IFNA(index(PlayerValues!A:A,match(IFNA(vlookup(B1956,'Special Names'!A:B,2,FALSE),B1956),PlayerValues!E:E,0)),"N/A")</f>
        <v>15693</v>
      </c>
      <c r="B1956" s="4" t="s">
        <v>755</v>
      </c>
      <c r="C1956" s="4" t="s">
        <v>283</v>
      </c>
      <c r="D1956" s="94">
        <v>883.0</v>
      </c>
    </row>
    <row r="1957">
      <c r="A1957" s="40">
        <f t="array" ref="A1957">IFNA(index(PlayerValues!A:A,match(IFNA(vlookup(B1957,'Special Names'!A:B,2,FALSE),B1957),PlayerValues!E:E,0)),"N/A")</f>
        <v>17479</v>
      </c>
      <c r="B1957" s="4" t="s">
        <v>756</v>
      </c>
      <c r="C1957" s="4" t="s">
        <v>278</v>
      </c>
      <c r="D1957" s="94">
        <v>881.0</v>
      </c>
    </row>
    <row r="1958">
      <c r="A1958" s="40">
        <f t="array" ref="A1958">IFNA(index(PlayerValues!A:A,match(IFNA(vlookup(B1958,'Special Names'!A:B,2,FALSE),B1958),PlayerValues!E:E,0)),"N/A")</f>
        <v>15258</v>
      </c>
      <c r="B1958" s="4" t="s">
        <v>757</v>
      </c>
      <c r="C1958" s="4" t="s">
        <v>278</v>
      </c>
      <c r="D1958" s="94">
        <v>873.0</v>
      </c>
    </row>
    <row r="1959">
      <c r="A1959" s="40">
        <f t="array" ref="A1959">IFNA(index(PlayerValues!A:A,match(IFNA(vlookup(B1959,'Special Names'!A:B,2,FALSE),B1959),PlayerValues!E:E,0)),"N/A")</f>
        <v>16678</v>
      </c>
      <c r="B1959" s="4" t="s">
        <v>758</v>
      </c>
      <c r="C1959" s="4" t="s">
        <v>278</v>
      </c>
      <c r="D1959" s="94">
        <v>864.0</v>
      </c>
    </row>
    <row r="1960">
      <c r="A1960" s="40">
        <f t="array" ref="A1960">IFNA(index(PlayerValues!A:A,match(IFNA(vlookup(B1960,'Special Names'!A:B,2,FALSE),B1960),PlayerValues!E:E,0)),"N/A")</f>
        <v>15766</v>
      </c>
      <c r="B1960" s="4" t="s">
        <v>759</v>
      </c>
      <c r="C1960" s="4" t="s">
        <v>287</v>
      </c>
      <c r="D1960" s="94">
        <v>862.0</v>
      </c>
    </row>
    <row r="1961">
      <c r="A1961" s="40">
        <f t="array" ref="A1961">IFNA(index(PlayerValues!A:A,match(IFNA(vlookup(B1961,'Special Names'!A:B,2,FALSE),B1961),PlayerValues!E:E,0)),"N/A")</f>
        <v>17526</v>
      </c>
      <c r="B1961" s="4" t="s">
        <v>760</v>
      </c>
      <c r="C1961" s="4" t="s">
        <v>287</v>
      </c>
      <c r="D1961" s="94">
        <v>839.0</v>
      </c>
    </row>
    <row r="1962">
      <c r="A1962" s="40">
        <f t="array" ref="A1962">IFNA(index(PlayerValues!A:A,match(IFNA(vlookup(B1962,'Special Names'!A:B,2,FALSE),B1962),PlayerValues!E:E,0)),"N/A")</f>
        <v>9064</v>
      </c>
      <c r="B1962" s="4" t="s">
        <v>761</v>
      </c>
      <c r="C1962" s="4" t="s">
        <v>283</v>
      </c>
      <c r="D1962" s="94">
        <v>827.0</v>
      </c>
    </row>
    <row r="1963">
      <c r="A1963" s="40">
        <f t="array" ref="A1963">IFNA(index(PlayerValues!A:A,match(IFNA(vlookup(B1963,'Special Names'!A:B,2,FALSE),B1963),PlayerValues!E:E,0)),"N/A")</f>
        <v>16751</v>
      </c>
      <c r="B1963" s="4" t="s">
        <v>762</v>
      </c>
      <c r="C1963" s="4" t="s">
        <v>287</v>
      </c>
      <c r="D1963" s="94">
        <v>822.0</v>
      </c>
    </row>
    <row r="1964">
      <c r="A1964" s="40">
        <f t="array" ref="A1964">IFNA(index(PlayerValues!A:A,match(IFNA(vlookup(B1964,'Special Names'!A:B,2,FALSE),B1964),PlayerValues!E:E,0)),"N/A")</f>
        <v>15785</v>
      </c>
      <c r="B1964" s="4" t="s">
        <v>763</v>
      </c>
      <c r="C1964" s="4" t="s">
        <v>287</v>
      </c>
      <c r="D1964" s="94">
        <v>821.0</v>
      </c>
    </row>
    <row r="1965">
      <c r="A1965" s="40">
        <f t="array" ref="A1965">IFNA(index(PlayerValues!A:A,match(IFNA(vlookup(B1965,'Special Names'!A:B,2,FALSE),B1965),PlayerValues!E:E,0)),"N/A")</f>
        <v>13133</v>
      </c>
      <c r="B1965" s="4" t="s">
        <v>764</v>
      </c>
      <c r="C1965" s="4" t="s">
        <v>278</v>
      </c>
      <c r="D1965" s="94">
        <v>820.0</v>
      </c>
    </row>
    <row r="1966">
      <c r="A1966" s="40">
        <f t="array" ref="A1966">IFNA(index(PlayerValues!A:A,match(IFNA(vlookup(B1966,'Special Names'!A:B,2,FALSE),B1966),PlayerValues!E:E,0)),"N/A")</f>
        <v>14057</v>
      </c>
      <c r="B1966" s="4" t="s">
        <v>765</v>
      </c>
      <c r="C1966" s="4" t="s">
        <v>283</v>
      </c>
      <c r="D1966" s="94">
        <v>813.0</v>
      </c>
    </row>
    <row r="1967">
      <c r="A1967" s="40">
        <f t="array" ref="A1967">IFNA(index(PlayerValues!A:A,match(IFNA(vlookup(B1967,'Special Names'!A:B,2,FALSE),B1967),PlayerValues!E:E,0)),"N/A")</f>
        <v>15626</v>
      </c>
      <c r="B1967" s="4" t="s">
        <v>766</v>
      </c>
      <c r="C1967" s="4" t="s">
        <v>298</v>
      </c>
      <c r="D1967" s="94">
        <v>1164.0</v>
      </c>
    </row>
    <row r="1968">
      <c r="A1968" s="40">
        <f t="array" ref="A1968">IFNA(index(PlayerValues!A:A,match(IFNA(vlookup(B1968,'Special Names'!A:B,2,FALSE),B1968),PlayerValues!E:E,0)),"N/A")</f>
        <v>17654</v>
      </c>
      <c r="B1968" s="4" t="s">
        <v>767</v>
      </c>
      <c r="C1968" s="4" t="s">
        <v>283</v>
      </c>
      <c r="D1968" s="94">
        <v>768.0</v>
      </c>
    </row>
    <row r="1969">
      <c r="A1969" s="40">
        <f t="array" ref="A1969">IFNA(index(PlayerValues!A:A,match(IFNA(vlookup(B1969,'Special Names'!A:B,2,FALSE),B1969),PlayerValues!E:E,0)),"N/A")</f>
        <v>16393</v>
      </c>
      <c r="B1969" s="4" t="s">
        <v>768</v>
      </c>
      <c r="C1969" s="4" t="s">
        <v>287</v>
      </c>
      <c r="D1969" s="94">
        <v>766.0</v>
      </c>
    </row>
    <row r="1970">
      <c r="A1970" s="40">
        <f t="array" ref="A1970">IFNA(index(PlayerValues!A:A,match(IFNA(vlookup(B1970,'Special Names'!A:B,2,FALSE),B1970),PlayerValues!E:E,0)),"N/A")</f>
        <v>16451</v>
      </c>
      <c r="B1970" s="4" t="s">
        <v>769</v>
      </c>
      <c r="C1970" s="4" t="s">
        <v>287</v>
      </c>
      <c r="D1970" s="94">
        <v>702.0</v>
      </c>
    </row>
    <row r="1971">
      <c r="A1971" s="40">
        <f t="array" ref="A1971">IFNA(index(PlayerValues!A:A,match(IFNA(vlookup(B1971,'Special Names'!A:B,2,FALSE),B1971),PlayerValues!E:E,0)),"N/A")</f>
        <v>14805</v>
      </c>
      <c r="B1971" s="4" t="s">
        <v>770</v>
      </c>
      <c r="C1971" s="4" t="s">
        <v>278</v>
      </c>
      <c r="D1971" s="94">
        <v>688.0</v>
      </c>
    </row>
    <row r="1972">
      <c r="A1972" s="40">
        <f t="array" ref="A1972">IFNA(index(PlayerValues!A:A,match(IFNA(vlookup(B1972,'Special Names'!A:B,2,FALSE),B1972),PlayerValues!E:E,0)),"N/A")</f>
        <v>14118</v>
      </c>
      <c r="B1972" s="4" t="s">
        <v>771</v>
      </c>
      <c r="C1972" s="4" t="s">
        <v>287</v>
      </c>
      <c r="D1972" s="94">
        <v>681.0</v>
      </c>
    </row>
    <row r="1973">
      <c r="A1973" s="40">
        <f t="array" ref="A1973">IFNA(index(PlayerValues!A:A,match(IFNA(vlookup(B1973,'Special Names'!A:B,2,FALSE),B1973),PlayerValues!E:E,0)),"N/A")</f>
        <v>12785</v>
      </c>
      <c r="B1973" s="4" t="s">
        <v>772</v>
      </c>
      <c r="C1973" s="4" t="s">
        <v>287</v>
      </c>
      <c r="D1973" s="94">
        <v>676.0</v>
      </c>
    </row>
    <row r="1974">
      <c r="A1974" s="40">
        <f t="array" ref="A1974">IFNA(index(PlayerValues!A:A,match(IFNA(vlookup(B1974,'Special Names'!A:B,2,FALSE),B1974),PlayerValues!E:E,0)),"N/A")</f>
        <v>13193</v>
      </c>
      <c r="B1974" s="4" t="s">
        <v>773</v>
      </c>
      <c r="C1974" s="4" t="s">
        <v>298</v>
      </c>
      <c r="D1974" s="94">
        <v>1018.0</v>
      </c>
    </row>
    <row r="1975">
      <c r="A1975" s="40">
        <f t="array" ref="A1975">IFNA(index(PlayerValues!A:A,match(IFNA(vlookup(B1975,'Special Names'!A:B,2,FALSE),B1975),PlayerValues!E:E,0)),"N/A")</f>
        <v>17038</v>
      </c>
      <c r="B1975" s="4" t="s">
        <v>774</v>
      </c>
      <c r="C1975" s="4" t="s">
        <v>283</v>
      </c>
      <c r="D1975" s="94">
        <v>653.0</v>
      </c>
    </row>
    <row r="1976">
      <c r="A1976" s="40">
        <f t="array" ref="A1976">IFNA(index(PlayerValues!A:A,match(IFNA(vlookup(B1976,'Special Names'!A:B,2,FALSE),B1976),PlayerValues!E:E,0)),"N/A")</f>
        <v>15714</v>
      </c>
      <c r="B1976" s="4" t="s">
        <v>775</v>
      </c>
      <c r="C1976" s="4" t="s">
        <v>278</v>
      </c>
      <c r="D1976" s="94">
        <v>608.0</v>
      </c>
    </row>
    <row r="1977">
      <c r="A1977" s="40">
        <f t="array" ref="A1977">IFNA(index(PlayerValues!A:A,match(IFNA(vlookup(B1977,'Special Names'!A:B,2,FALSE),B1977),PlayerValues!E:E,0)),"N/A")</f>
        <v>16153</v>
      </c>
      <c r="B1977" s="4" t="s">
        <v>776</v>
      </c>
      <c r="C1977" s="4" t="s">
        <v>283</v>
      </c>
      <c r="D1977" s="94">
        <v>590.0</v>
      </c>
    </row>
    <row r="1978">
      <c r="A1978" s="40">
        <f t="array" ref="A1978">IFNA(index(PlayerValues!A:A,match(IFNA(vlookup(B1978,'Special Names'!A:B,2,FALSE),B1978),PlayerValues!E:E,0)),"N/A")</f>
        <v>17752</v>
      </c>
      <c r="B1978" s="4" t="s">
        <v>777</v>
      </c>
      <c r="C1978" s="4" t="s">
        <v>287</v>
      </c>
      <c r="D1978" s="94">
        <v>586.0</v>
      </c>
    </row>
    <row r="1979">
      <c r="A1979" s="40">
        <f t="array" ref="A1979">IFNA(index(PlayerValues!A:A,match(IFNA(vlookup(B1979,'Special Names'!A:B,2,FALSE),B1979),PlayerValues!E:E,0)),"N/A")</f>
        <v>16625</v>
      </c>
      <c r="B1979" s="4" t="s">
        <v>778</v>
      </c>
      <c r="C1979" s="4" t="s">
        <v>287</v>
      </c>
      <c r="D1979" s="94">
        <v>580.0</v>
      </c>
    </row>
    <row r="1980">
      <c r="A1980" s="40">
        <f t="array" ref="A1980">IFNA(index(PlayerValues!A:A,match(IFNA(vlookup(B1980,'Special Names'!A:B,2,FALSE),B1980),PlayerValues!E:E,0)),"N/A")</f>
        <v>11679</v>
      </c>
      <c r="B1980" s="4" t="s">
        <v>779</v>
      </c>
      <c r="C1980" s="4" t="s">
        <v>287</v>
      </c>
      <c r="D1980" s="94">
        <v>521.0</v>
      </c>
    </row>
    <row r="1981">
      <c r="A1981" s="40">
        <f t="array" ref="A1981">IFNA(index(PlayerValues!A:A,match(IFNA(vlookup(B1981,'Special Names'!A:B,2,FALSE),B1981),PlayerValues!E:E,0)),"N/A")</f>
        <v>15743</v>
      </c>
      <c r="B1981" s="4" t="s">
        <v>780</v>
      </c>
      <c r="C1981" s="4" t="s">
        <v>278</v>
      </c>
      <c r="D1981" s="94">
        <v>521.0</v>
      </c>
    </row>
    <row r="1982">
      <c r="A1982" s="40">
        <f t="array" ref="A1982">IFNA(index(PlayerValues!A:A,match(IFNA(vlookup(B1982,'Special Names'!A:B,2,FALSE),B1982),PlayerValues!E:E,0)),"N/A")</f>
        <v>16413</v>
      </c>
      <c r="B1982" s="4" t="s">
        <v>781</v>
      </c>
      <c r="C1982" s="4" t="s">
        <v>287</v>
      </c>
      <c r="D1982" s="94">
        <v>516.0</v>
      </c>
    </row>
    <row r="1983">
      <c r="A1983" s="40">
        <f t="array" ref="A1983">IFNA(index(PlayerValues!A:A,match(IFNA(vlookup(B1983,'Special Names'!A:B,2,FALSE),B1983),PlayerValues!E:E,0)),"N/A")</f>
        <v>16613</v>
      </c>
      <c r="B1983" s="4" t="s">
        <v>782</v>
      </c>
      <c r="C1983" s="4" t="s">
        <v>278</v>
      </c>
      <c r="D1983" s="94">
        <v>507.0</v>
      </c>
    </row>
    <row r="1984">
      <c r="A1984" s="40">
        <f t="array" ref="A1984">IFNA(index(PlayerValues!A:A,match(IFNA(vlookup(B1984,'Special Names'!A:B,2,FALSE),B1984),PlayerValues!E:E,0)),"N/A")</f>
        <v>16773</v>
      </c>
      <c r="B1984" s="4" t="s">
        <v>783</v>
      </c>
      <c r="C1984" s="4" t="s">
        <v>278</v>
      </c>
      <c r="D1984" s="94">
        <v>502.0</v>
      </c>
    </row>
    <row r="1985">
      <c r="A1985" s="40">
        <f t="array" ref="A1985">IFNA(index(PlayerValues!A:A,match(IFNA(vlookup(B1985,'Special Names'!A:B,2,FALSE),B1985),PlayerValues!E:E,0)),"N/A")</f>
        <v>17232</v>
      </c>
      <c r="B1985" s="4" t="s">
        <v>784</v>
      </c>
      <c r="C1985" s="4" t="s">
        <v>287</v>
      </c>
      <c r="D1985" s="94">
        <v>501.0</v>
      </c>
    </row>
    <row r="1986">
      <c r="A1986" s="40">
        <f t="array" ref="A1986">IFNA(index(PlayerValues!A:A,match(IFNA(vlookup(B1986,'Special Names'!A:B,2,FALSE),B1986),PlayerValues!E:E,0)),"N/A")</f>
        <v>14223</v>
      </c>
      <c r="B1986" s="4" t="s">
        <v>785</v>
      </c>
      <c r="C1986" s="4" t="s">
        <v>278</v>
      </c>
      <c r="D1986" s="94">
        <v>499.0</v>
      </c>
    </row>
    <row r="1987">
      <c r="A1987" s="40">
        <f t="array" ref="A1987">IFNA(index(PlayerValues!A:A,match(IFNA(vlookup(B1987,'Special Names'!A:B,2,FALSE),B1987),PlayerValues!E:E,0)),"N/A")</f>
        <v>13143</v>
      </c>
      <c r="B1987" s="4" t="s">
        <v>786</v>
      </c>
      <c r="C1987" s="4" t="s">
        <v>278</v>
      </c>
      <c r="D1987" s="94">
        <v>487.0</v>
      </c>
    </row>
    <row r="1988">
      <c r="A1988" s="40">
        <f t="array" ref="A1988">IFNA(index(PlayerValues!A:A,match(IFNA(vlookup(B1988,'Special Names'!A:B,2,FALSE),B1988),PlayerValues!E:E,0)),"N/A")</f>
        <v>16299</v>
      </c>
      <c r="B1988" s="4" t="s">
        <v>787</v>
      </c>
      <c r="C1988" s="4" t="s">
        <v>287</v>
      </c>
      <c r="D1988" s="94">
        <v>486.0</v>
      </c>
    </row>
    <row r="1989">
      <c r="A1989" s="40">
        <f t="array" ref="A1989">IFNA(index(PlayerValues!A:A,match(IFNA(vlookup(B1989,'Special Names'!A:B,2,FALSE),B1989),PlayerValues!E:E,0)),"N/A")</f>
        <v>14113</v>
      </c>
      <c r="B1989" s="4" t="s">
        <v>788</v>
      </c>
      <c r="C1989" s="4" t="s">
        <v>287</v>
      </c>
      <c r="D1989" s="94">
        <v>483.0</v>
      </c>
    </row>
    <row r="1990">
      <c r="A1990" s="40">
        <f t="array" ref="A1990">IFNA(index(PlayerValues!A:A,match(IFNA(vlookup(B1990,'Special Names'!A:B,2,FALSE),B1990),PlayerValues!E:E,0)),"N/A")</f>
        <v>14864</v>
      </c>
      <c r="B1990" s="4" t="s">
        <v>789</v>
      </c>
      <c r="C1990" s="4" t="s">
        <v>287</v>
      </c>
      <c r="D1990" s="94">
        <v>483.0</v>
      </c>
    </row>
    <row r="1991">
      <c r="A1991" s="40">
        <f t="array" ref="A1991">IFNA(index(PlayerValues!A:A,match(IFNA(vlookup(B1991,'Special Names'!A:B,2,FALSE),B1991),PlayerValues!E:E,0)),"N/A")</f>
        <v>14076</v>
      </c>
      <c r="B1991" s="4" t="s">
        <v>790</v>
      </c>
      <c r="C1991" s="4" t="s">
        <v>278</v>
      </c>
      <c r="D1991" s="94">
        <v>480.0</v>
      </c>
    </row>
    <row r="1992">
      <c r="A1992" s="40">
        <f t="array" ref="A1992">IFNA(index(PlayerValues!A:A,match(IFNA(vlookup(B1992,'Special Names'!A:B,2,FALSE),B1992),PlayerValues!E:E,0)),"N/A")</f>
        <v>15965</v>
      </c>
      <c r="B1992" s="4" t="s">
        <v>791</v>
      </c>
      <c r="C1992" s="4" t="s">
        <v>278</v>
      </c>
      <c r="D1992" s="94">
        <v>478.0</v>
      </c>
    </row>
    <row r="1993">
      <c r="A1993" s="40">
        <f t="array" ref="A1993">IFNA(index(PlayerValues!A:A,match(IFNA(vlookup(B1993,'Special Names'!A:B,2,FALSE),B1993),PlayerValues!E:E,0)),"N/A")</f>
        <v>15285</v>
      </c>
      <c r="B1993" s="4" t="s">
        <v>792</v>
      </c>
      <c r="C1993" s="4" t="s">
        <v>287</v>
      </c>
      <c r="D1993" s="94">
        <v>476.0</v>
      </c>
    </row>
    <row r="1994">
      <c r="A1994" s="40">
        <f t="array" ref="A1994">IFNA(index(PlayerValues!A:A,match(IFNA(vlookup(B1994,'Special Names'!A:B,2,FALSE),B1994),PlayerValues!E:E,0)),"N/A")</f>
        <v>17337</v>
      </c>
      <c r="B1994" s="4" t="s">
        <v>793</v>
      </c>
      <c r="C1994" s="4" t="s">
        <v>278</v>
      </c>
      <c r="D1994" s="94">
        <v>475.0</v>
      </c>
    </row>
    <row r="1995">
      <c r="A1995" s="40">
        <f t="array" ref="A1995">IFNA(index(PlayerValues!A:A,match(IFNA(vlookup(B1995,'Special Names'!A:B,2,FALSE),B1995),PlayerValues!E:E,0)),"N/A")</f>
        <v>15796</v>
      </c>
      <c r="B1995" s="4" t="s">
        <v>794</v>
      </c>
      <c r="C1995" s="4" t="s">
        <v>298</v>
      </c>
      <c r="D1995" s="94">
        <v>819.0</v>
      </c>
    </row>
    <row r="1996">
      <c r="A1996" s="40">
        <f t="array" ref="A1996">IFNA(index(PlayerValues!A:A,match(IFNA(vlookup(B1996,'Special Names'!A:B,2,FALSE),B1996),PlayerValues!E:E,0)),"N/A")</f>
        <v>15720</v>
      </c>
      <c r="B1996" s="4" t="s">
        <v>795</v>
      </c>
      <c r="C1996" s="4" t="s">
        <v>278</v>
      </c>
      <c r="D1996" s="94">
        <v>469.0</v>
      </c>
    </row>
    <row r="1997">
      <c r="A1997" s="40">
        <f t="array" ref="A1997">IFNA(index(PlayerValues!A:A,match(IFNA(vlookup(B1997,'Special Names'!A:B,2,FALSE),B1997),PlayerValues!E:E,0)),"N/A")</f>
        <v>16624</v>
      </c>
      <c r="B1997" s="4" t="s">
        <v>796</v>
      </c>
      <c r="C1997" s="4" t="s">
        <v>287</v>
      </c>
      <c r="D1997" s="94">
        <v>469.0</v>
      </c>
    </row>
    <row r="1998">
      <c r="A1998" s="40">
        <f t="array" ref="A1998">IFNA(index(PlayerValues!A:A,match(IFNA(vlookup(B1998,'Special Names'!A:B,2,FALSE),B1998),PlayerValues!E:E,0)),"N/A")</f>
        <v>17348</v>
      </c>
      <c r="B1998" s="4" t="s">
        <v>797</v>
      </c>
      <c r="C1998" s="4" t="s">
        <v>278</v>
      </c>
      <c r="D1998" s="94">
        <v>467.0</v>
      </c>
    </row>
    <row r="1999">
      <c r="A1999" s="40">
        <f t="array" ref="A1999">IFNA(index(PlayerValues!A:A,match(IFNA(vlookup(B1999,'Special Names'!A:B,2,FALSE),B1999),PlayerValues!E:E,0)),"N/A")</f>
        <v>15723</v>
      </c>
      <c r="B1999" s="4" t="s">
        <v>798</v>
      </c>
      <c r="C1999" s="4" t="s">
        <v>278</v>
      </c>
      <c r="D1999" s="94">
        <v>463.0</v>
      </c>
    </row>
    <row r="2000">
      <c r="A2000" s="40">
        <f t="array" ref="A2000">IFNA(index(PlayerValues!A:A,match(IFNA(vlookup(B2000,'Special Names'!A:B,2,FALSE),B2000),PlayerValues!E:E,0)),"N/A")</f>
        <v>14858</v>
      </c>
      <c r="B2000" s="4" t="s">
        <v>799</v>
      </c>
      <c r="C2000" s="4" t="s">
        <v>287</v>
      </c>
      <c r="D2000" s="94">
        <v>462.0</v>
      </c>
    </row>
    <row r="2001">
      <c r="A2001" s="40">
        <f t="array" ref="A2001">IFNA(index(PlayerValues!A:A,match(IFNA(vlookup(B2001,'Special Names'!A:B,2,FALSE),B2001),PlayerValues!E:E,0)),"N/A")</f>
        <v>16161</v>
      </c>
      <c r="B2001" s="4" t="s">
        <v>277</v>
      </c>
      <c r="C2001" s="4" t="s">
        <v>278</v>
      </c>
      <c r="D2001" s="94">
        <v>9999.0</v>
      </c>
    </row>
    <row r="2002">
      <c r="A2002" s="40">
        <f t="array" ref="A2002">IFNA(index(PlayerValues!A:A,match(IFNA(vlookup(B2002,'Special Names'!A:B,2,FALSE),B2002),PlayerValues!E:E,0)),"N/A")</f>
        <v>16162</v>
      </c>
      <c r="B2002" s="4" t="s">
        <v>281</v>
      </c>
      <c r="C2002" s="4" t="s">
        <v>278</v>
      </c>
      <c r="D2002" s="94">
        <v>9999.0</v>
      </c>
    </row>
    <row r="2003">
      <c r="A2003" s="40">
        <f t="array" ref="A2003">IFNA(index(PlayerValues!A:A,match(IFNA(vlookup(B2003,'Special Names'!A:B,2,FALSE),B2003),PlayerValues!E:E,0)),"N/A")</f>
        <v>13589</v>
      </c>
      <c r="B2003" s="4" t="s">
        <v>282</v>
      </c>
      <c r="C2003" s="4" t="s">
        <v>283</v>
      </c>
      <c r="D2003" s="94">
        <v>9994.0</v>
      </c>
    </row>
    <row r="2004">
      <c r="A2004" s="40">
        <f t="array" ref="A2004">IFNA(index(PlayerValues!A:A,match(IFNA(vlookup(B2004,'Special Names'!A:B,2,FALSE),B2004),PlayerValues!E:E,0)),"N/A")</f>
        <v>15281</v>
      </c>
      <c r="B2004" s="4" t="s">
        <v>286</v>
      </c>
      <c r="C2004" s="4" t="s">
        <v>287</v>
      </c>
      <c r="D2004" s="94">
        <v>9978.0</v>
      </c>
    </row>
    <row r="2005">
      <c r="A2005" s="40">
        <f t="array" ref="A2005">IFNA(index(PlayerValues!A:A,match(IFNA(vlookup(B2005,'Special Names'!A:B,2,FALSE),B2005),PlayerValues!E:E,0)),"N/A")</f>
        <v>16185</v>
      </c>
      <c r="B2005" s="4" t="s">
        <v>290</v>
      </c>
      <c r="C2005" s="4" t="s">
        <v>287</v>
      </c>
      <c r="D2005" s="94">
        <v>9196.0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8898.0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8581.0</v>
      </c>
    </row>
    <row r="2008">
      <c r="A2008" s="40">
        <f t="array" ref="A2008">IFNA(index(PlayerValues!A:A,match(IFNA(vlookup(B2008,'Special Names'!A:B,2,FALSE),B2008),PlayerValues!E:E,0)),"N/A")</f>
        <v>16641</v>
      </c>
      <c r="B2008" s="4" t="s">
        <v>297</v>
      </c>
      <c r="C2008" s="4" t="s">
        <v>298</v>
      </c>
      <c r="D2008" s="94">
        <v>9140.0</v>
      </c>
    </row>
    <row r="2009">
      <c r="A2009" s="40">
        <f t="array" ref="A2009">IFNA(index(PlayerValues!A:A,match(IFNA(vlookup(B2009,'Special Names'!A:B,2,FALSE),B2009),PlayerValues!E:E,0)),"N/A")</f>
        <v>15287</v>
      </c>
      <c r="B2009" s="4" t="s">
        <v>299</v>
      </c>
      <c r="C2009" s="4" t="s">
        <v>287</v>
      </c>
      <c r="D2009" s="94">
        <v>8189.0</v>
      </c>
    </row>
    <row r="2010">
      <c r="A2010" s="40">
        <f t="array" ref="A2010">IFNA(index(PlayerValues!A:A,match(IFNA(vlookup(B2010,'Special Names'!A:B,2,FALSE),B2010),PlayerValues!E:E,0)),"N/A")</f>
        <v>16579</v>
      </c>
      <c r="B2010" s="4" t="s">
        <v>302</v>
      </c>
      <c r="C2010" s="4" t="s">
        <v>283</v>
      </c>
      <c r="D2010" s="94">
        <v>7817.0</v>
      </c>
    </row>
    <row r="2011">
      <c r="A2011" s="40">
        <f t="array" ref="A2011">IFNA(index(PlayerValues!A:A,match(IFNA(vlookup(B2011,'Special Names'!A:B,2,FALSE),B2011),PlayerValues!E:E,0)),"N/A")</f>
        <v>13593</v>
      </c>
      <c r="B2011" s="4" t="s">
        <v>305</v>
      </c>
      <c r="C2011" s="4" t="s">
        <v>283</v>
      </c>
      <c r="D2011" s="94">
        <v>7542.0</v>
      </c>
    </row>
    <row r="2012">
      <c r="A2012" s="40">
        <f t="array" ref="A2012">IFNA(index(PlayerValues!A:A,match(IFNA(vlookup(B2012,'Special Names'!A:B,2,FALSE),B2012),PlayerValues!E:E,0)),"N/A")</f>
        <v>14836</v>
      </c>
      <c r="B2012" s="4" t="s">
        <v>306</v>
      </c>
      <c r="C2012" s="4" t="s">
        <v>287</v>
      </c>
      <c r="D2012" s="94">
        <v>7390.0</v>
      </c>
    </row>
    <row r="2013">
      <c r="A2013" s="40">
        <f t="array" ref="A2013">IFNA(index(PlayerValues!A:A,match(IFNA(vlookup(B2013,'Special Names'!A:B,2,FALSE),B2013),PlayerValues!E:E,0)),"N/A")</f>
        <v>16615</v>
      </c>
      <c r="B2013" s="4" t="s">
        <v>309</v>
      </c>
      <c r="C2013" s="4" t="s">
        <v>287</v>
      </c>
      <c r="D2013" s="94">
        <v>7362.0</v>
      </c>
    </row>
    <row r="2014">
      <c r="A2014" s="40">
        <f t="array" ref="A2014">IFNA(index(PlayerValues!A:A,match(IFNA(vlookup(B2014,'Special Names'!A:B,2,FALSE),B2014),PlayerValues!E:E,0)),"N/A")</f>
        <v>17472</v>
      </c>
      <c r="B2014" s="4" t="s">
        <v>310</v>
      </c>
      <c r="C2014" s="4" t="s">
        <v>278</v>
      </c>
      <c r="D2014" s="94">
        <v>7334.0</v>
      </c>
    </row>
    <row r="2015">
      <c r="A2015" s="40">
        <f t="array" ref="A2015">IFNA(index(PlayerValues!A:A,match(IFNA(vlookup(B2015,'Special Names'!A:B,2,FALSE),B2015),PlayerValues!E:E,0)),"N/A")</f>
        <v>15794</v>
      </c>
      <c r="B2015" s="4" t="s">
        <v>313</v>
      </c>
      <c r="C2015" s="4" t="s">
        <v>298</v>
      </c>
      <c r="D2015" s="94">
        <v>8091.0</v>
      </c>
    </row>
    <row r="2016">
      <c r="A2016" s="40">
        <f t="array" ref="A2016">IFNA(index(PlayerValues!A:A,match(IFNA(vlookup(B2016,'Special Names'!A:B,2,FALSE),B2016),PlayerValues!E:E,0)),"N/A")</f>
        <v>17042</v>
      </c>
      <c r="B2016" s="4" t="s">
        <v>314</v>
      </c>
      <c r="C2016" s="4" t="s">
        <v>278</v>
      </c>
      <c r="D2016" s="94">
        <v>7295.0</v>
      </c>
    </row>
    <row r="2017">
      <c r="A2017" s="40">
        <f t="array" ref="A2017">IFNA(index(PlayerValues!A:A,match(IFNA(vlookup(B2017,'Special Names'!A:B,2,FALSE),B2017),PlayerValues!E:E,0)),"N/A")</f>
        <v>16581</v>
      </c>
      <c r="B2017" s="4" t="s">
        <v>315</v>
      </c>
      <c r="C2017" s="4" t="s">
        <v>283</v>
      </c>
      <c r="D2017" s="94">
        <v>7267.0</v>
      </c>
    </row>
    <row r="2018">
      <c r="A2018" s="40">
        <f t="array" ref="A2018">IFNA(index(PlayerValues!A:A,match(IFNA(vlookup(B2018,'Special Names'!A:B,2,FALSE),B2018),PlayerValues!E:E,0)),"N/A")</f>
        <v>14777</v>
      </c>
      <c r="B2018" s="4" t="s">
        <v>318</v>
      </c>
      <c r="C2018" s="4" t="s">
        <v>283</v>
      </c>
      <c r="D2018" s="94">
        <v>7236.0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7194.0</v>
      </c>
    </row>
    <row r="2020">
      <c r="A2020" s="40">
        <f t="array" ref="A2020">IFNA(index(PlayerValues!A:A,match(IFNA(vlookup(B2020,'Special Names'!A:B,2,FALSE),B2020),PlayerValues!E:E,0)),"N/A")</f>
        <v>17044</v>
      </c>
      <c r="B2020" s="4" t="s">
        <v>322</v>
      </c>
      <c r="C2020" s="4" t="s">
        <v>278</v>
      </c>
      <c r="D2020" s="94">
        <v>6966.0</v>
      </c>
    </row>
    <row r="2021">
      <c r="A2021" s="40">
        <f t="array" ref="A2021">IFNA(index(PlayerValues!A:A,match(IFNA(vlookup(B2021,'Special Names'!A:B,2,FALSE),B2021),PlayerValues!E:E,0)),"N/A")</f>
        <v>16167</v>
      </c>
      <c r="B2021" s="4" t="s">
        <v>323</v>
      </c>
      <c r="C2021" s="4" t="s">
        <v>278</v>
      </c>
      <c r="D2021" s="94">
        <v>6948.0</v>
      </c>
    </row>
    <row r="2022">
      <c r="A2022" s="40" t="str">
        <f t="array" ref="A2022">IFNA(index(PlayerValues!A:A,match(IFNA(vlookup(B2022,'Special Names'!A:B,2,FALSE),B2022),PlayerValues!E:E,0)),"N/A")</f>
        <v>N/A</v>
      </c>
      <c r="B2022" s="4" t="s">
        <v>92</v>
      </c>
      <c r="C2022" s="4" t="s">
        <v>325</v>
      </c>
      <c r="D2022" s="94">
        <v>6938.0</v>
      </c>
    </row>
    <row r="2023">
      <c r="A2023" s="40">
        <f t="array" ref="A2023">IFNA(index(PlayerValues!A:A,match(IFNA(vlookup(B2023,'Special Names'!A:B,2,FALSE),B2023),PlayerValues!E:E,0)),"N/A")</f>
        <v>14779</v>
      </c>
      <c r="B2023" s="4" t="s">
        <v>327</v>
      </c>
      <c r="C2023" s="4" t="s">
        <v>283</v>
      </c>
      <c r="D2023" s="94">
        <v>6936.0</v>
      </c>
    </row>
    <row r="2024">
      <c r="A2024" s="40">
        <f t="array" ref="A2024">IFNA(index(PlayerValues!A:A,match(IFNA(vlookup(B2024,'Special Names'!A:B,2,FALSE),B2024),PlayerValues!E:E,0)),"N/A")</f>
        <v>15751</v>
      </c>
      <c r="B2024" s="4" t="s">
        <v>328</v>
      </c>
      <c r="C2024" s="4" t="s">
        <v>287</v>
      </c>
      <c r="D2024" s="94">
        <v>6795.0</v>
      </c>
    </row>
    <row r="2025">
      <c r="A2025" s="40">
        <f t="array" ref="A2025">IFNA(index(PlayerValues!A:A,match(IFNA(vlookup(B2025,'Special Names'!A:B,2,FALSE),B2025),PlayerValues!E:E,0)),"N/A")</f>
        <v>15715</v>
      </c>
      <c r="B2025" s="4" t="s">
        <v>331</v>
      </c>
      <c r="C2025" s="4" t="s">
        <v>278</v>
      </c>
      <c r="D2025" s="94">
        <v>6521.0</v>
      </c>
    </row>
    <row r="2026">
      <c r="A2026" s="40">
        <f t="array" ref="A2026">IFNA(index(PlayerValues!A:A,match(IFNA(vlookup(B2026,'Special Names'!A:B,2,FALSE),B2026),PlayerValues!E:E,0)),"N/A")</f>
        <v>14802</v>
      </c>
      <c r="B2026" s="4" t="s">
        <v>332</v>
      </c>
      <c r="C2026" s="4" t="s">
        <v>278</v>
      </c>
      <c r="D2026" s="94">
        <v>6377.0</v>
      </c>
    </row>
    <row r="2027">
      <c r="A2027" s="40">
        <f t="array" ref="A2027">IFNA(index(PlayerValues!A:A,match(IFNA(vlookup(B2027,'Special Names'!A:B,2,FALSE),B2027),PlayerValues!E:E,0)),"N/A")</f>
        <v>17104</v>
      </c>
      <c r="B2027" s="4" t="s">
        <v>333</v>
      </c>
      <c r="C2027" s="4" t="s">
        <v>298</v>
      </c>
      <c r="D2027" s="94">
        <v>7040.0</v>
      </c>
    </row>
    <row r="2028">
      <c r="A2028" s="40">
        <f t="array" ref="A2028">IFNA(index(PlayerValues!A:A,match(IFNA(vlookup(B2028,'Special Names'!A:B,2,FALSE),B2028),PlayerValues!E:E,0)),"N/A")</f>
        <v>15237</v>
      </c>
      <c r="B2028" s="4" t="s">
        <v>336</v>
      </c>
      <c r="C2028" s="4" t="s">
        <v>283</v>
      </c>
      <c r="D2028" s="94">
        <v>6319.0</v>
      </c>
    </row>
    <row r="2029">
      <c r="A2029" s="40">
        <f t="array" ref="A2029">IFNA(index(PlayerValues!A:A,match(IFNA(vlookup(B2029,'Special Names'!A:B,2,FALSE),B2029),PlayerValues!E:E,0)),"N/A")</f>
        <v>15762</v>
      </c>
      <c r="B2029" s="4" t="s">
        <v>337</v>
      </c>
      <c r="C2029" s="4" t="s">
        <v>287</v>
      </c>
      <c r="D2029" s="94">
        <v>6253.0</v>
      </c>
    </row>
    <row r="2030">
      <c r="A2030" s="40">
        <f t="array" ref="A2030">IFNA(index(PlayerValues!A:A,match(IFNA(vlookup(B2030,'Special Names'!A:B,2,FALSE),B2030),PlayerValues!E:E,0)),"N/A")</f>
        <v>17081</v>
      </c>
      <c r="B2030" s="4" t="s">
        <v>340</v>
      </c>
      <c r="C2030" s="4" t="s">
        <v>287</v>
      </c>
      <c r="D2030" s="94">
        <v>6191.0</v>
      </c>
    </row>
    <row r="2031">
      <c r="A2031" s="40">
        <f t="array" ref="A2031">IFNA(index(PlayerValues!A:A,match(IFNA(vlookup(B2031,'Special Names'!A:B,2,FALSE),B2031),PlayerValues!E:E,0)),"N/A")</f>
        <v>17071</v>
      </c>
      <c r="B2031" s="4" t="s">
        <v>341</v>
      </c>
      <c r="C2031" s="4" t="s">
        <v>287</v>
      </c>
      <c r="D2031" s="94">
        <v>6187.0</v>
      </c>
    </row>
    <row r="2032">
      <c r="A2032" s="40">
        <f t="array" ref="A2032">IFNA(index(PlayerValues!A:A,match(IFNA(vlookup(B2032,'Special Names'!A:B,2,FALSE),B2032),PlayerValues!E:E,0)),"N/A")</f>
        <v>14783</v>
      </c>
      <c r="B2032" s="4" t="s">
        <v>342</v>
      </c>
      <c r="C2032" s="4" t="s">
        <v>283</v>
      </c>
      <c r="D2032" s="94">
        <v>6041.0</v>
      </c>
    </row>
    <row r="2033">
      <c r="A2033" s="40">
        <f t="array" ref="A2033">IFNA(index(PlayerValues!A:A,match(IFNA(vlookup(B2033,'Special Names'!A:B,2,FALSE),B2033),PlayerValues!E:E,0)),"N/A")</f>
        <v>16582</v>
      </c>
      <c r="B2033" s="4" t="s">
        <v>343</v>
      </c>
      <c r="C2033" s="4" t="s">
        <v>283</v>
      </c>
      <c r="D2033" s="94">
        <v>6025.0</v>
      </c>
    </row>
    <row r="2034">
      <c r="A2034" s="40">
        <f t="array" ref="A2034">IFNA(index(PlayerValues!A:A,match(IFNA(vlookup(B2034,'Special Names'!A:B,2,FALSE),B2034),PlayerValues!E:E,0)),"N/A")</f>
        <v>17102</v>
      </c>
      <c r="B2034" s="4" t="s">
        <v>344</v>
      </c>
      <c r="C2034" s="4" t="s">
        <v>298</v>
      </c>
      <c r="D2034" s="94">
        <v>6638.0</v>
      </c>
    </row>
    <row r="2035">
      <c r="A2035" s="40">
        <f t="array" ref="A2035">IFNA(index(PlayerValues!A:A,match(IFNA(vlookup(B2035,'Special Names'!A:B,2,FALSE),B2035),PlayerValues!E:E,0)),"N/A")</f>
        <v>13116</v>
      </c>
      <c r="B2035" s="4" t="s">
        <v>345</v>
      </c>
      <c r="C2035" s="4" t="s">
        <v>283</v>
      </c>
      <c r="D2035" s="94">
        <v>5960.0</v>
      </c>
    </row>
    <row r="2036">
      <c r="A2036" s="40">
        <f t="array" ref="A2036">IFNA(index(PlayerValues!A:A,match(IFNA(vlookup(B2036,'Special Names'!A:B,2,FALSE),B2036),PlayerValues!E:E,0)),"N/A")</f>
        <v>17032</v>
      </c>
      <c r="B2036" s="4" t="s">
        <v>348</v>
      </c>
      <c r="C2036" s="4" t="s">
        <v>283</v>
      </c>
      <c r="D2036" s="94">
        <v>5886.0</v>
      </c>
    </row>
    <row r="2037">
      <c r="A2037" s="40">
        <f t="array" ref="A2037">IFNA(index(PlayerValues!A:A,match(IFNA(vlookup(B2037,'Special Names'!A:B,2,FALSE),B2037),PlayerValues!E:E,0)),"N/A")</f>
        <v>15711</v>
      </c>
      <c r="B2037" s="4" t="s">
        <v>349</v>
      </c>
      <c r="C2037" s="4" t="s">
        <v>278</v>
      </c>
      <c r="D2037" s="94">
        <v>5750.0</v>
      </c>
    </row>
    <row r="2038">
      <c r="A2038" s="40">
        <f t="array" ref="A2038">IFNA(index(PlayerValues!A:A,match(IFNA(vlookup(B2038,'Special Names'!A:B,2,FALSE),B2038),PlayerValues!E:E,0)),"N/A")</f>
        <v>16181</v>
      </c>
      <c r="B2038" s="4" t="s">
        <v>350</v>
      </c>
      <c r="C2038" s="4" t="s">
        <v>278</v>
      </c>
      <c r="D2038" s="94">
        <v>5745.0</v>
      </c>
    </row>
    <row r="2039">
      <c r="A2039" s="40">
        <f t="array" ref="A2039">IFNA(index(PlayerValues!A:A,match(IFNA(vlookup(B2039,'Special Names'!A:B,2,FALSE),B2039),PlayerValues!E:E,0)),"N/A")</f>
        <v>16627</v>
      </c>
      <c r="B2039" s="4" t="s">
        <v>351</v>
      </c>
      <c r="C2039" s="4" t="s">
        <v>287</v>
      </c>
      <c r="D2039" s="94">
        <v>5742.0</v>
      </c>
    </row>
    <row r="2040">
      <c r="A2040" s="40">
        <f t="array" ref="A2040">IFNA(index(PlayerValues!A:A,match(IFNA(vlookup(B2040,'Special Names'!A:B,2,FALSE),B2040),PlayerValues!E:E,0)),"N/A")</f>
        <v>15754</v>
      </c>
      <c r="B2040" s="4" t="s">
        <v>354</v>
      </c>
      <c r="C2040" s="4" t="s">
        <v>287</v>
      </c>
      <c r="D2040" s="94">
        <v>5739.0</v>
      </c>
    </row>
    <row r="2041">
      <c r="A2041" s="40">
        <f t="array" ref="A2041">IFNA(index(PlayerValues!A:A,match(IFNA(vlookup(B2041,'Special Names'!A:B,2,FALSE),B2041),PlayerValues!E:E,0)),"N/A")</f>
        <v>15290</v>
      </c>
      <c r="B2041" s="4" t="s">
        <v>355</v>
      </c>
      <c r="C2041" s="4" t="s">
        <v>287</v>
      </c>
      <c r="D2041" s="94">
        <v>5732.0</v>
      </c>
    </row>
    <row r="2042">
      <c r="A2042" s="40">
        <f t="array" ref="A2042">IFNA(index(PlayerValues!A:A,match(IFNA(vlookup(B2042,'Special Names'!A:B,2,FALSE),B2042),PlayerValues!E:E,0)),"N/A")</f>
        <v>15698</v>
      </c>
      <c r="B2042" s="4" t="s">
        <v>358</v>
      </c>
      <c r="C2042" s="4" t="s">
        <v>283</v>
      </c>
      <c r="D2042" s="94">
        <v>5659.0</v>
      </c>
    </row>
    <row r="2043">
      <c r="A2043" s="40">
        <f t="array" ref="A2043">IFNA(index(PlayerValues!A:A,match(IFNA(vlookup(B2043,'Special Names'!A:B,2,FALSE),B2043),PlayerValues!E:E,0)),"N/A")</f>
        <v>15753</v>
      </c>
      <c r="B2043" s="4" t="s">
        <v>359</v>
      </c>
      <c r="C2043" s="4" t="s">
        <v>287</v>
      </c>
      <c r="D2043" s="94">
        <v>5652.0</v>
      </c>
    </row>
    <row r="2044">
      <c r="A2044" s="40" t="str">
        <f t="array" ref="A2044">IFNA(index(PlayerValues!A:A,match(IFNA(vlookup(B2044,'Special Names'!A:B,2,FALSE),B2044),PlayerValues!E:E,0)),"N/A")</f>
        <v>N/A</v>
      </c>
      <c r="B2044" s="4" t="s">
        <v>93</v>
      </c>
      <c r="C2044" s="4" t="s">
        <v>325</v>
      </c>
      <c r="D2044" s="94">
        <v>5600.0</v>
      </c>
    </row>
    <row r="2045">
      <c r="A2045" s="40">
        <f t="array" ref="A2045">IFNA(index(PlayerValues!A:A,match(IFNA(vlookup(B2045,'Special Names'!A:B,2,FALSE),B2045),PlayerValues!E:E,0)),"N/A")</f>
        <v>15282</v>
      </c>
      <c r="B2045" s="4" t="s">
        <v>364</v>
      </c>
      <c r="C2045" s="4" t="s">
        <v>287</v>
      </c>
      <c r="D2045" s="94">
        <v>5569.0</v>
      </c>
    </row>
    <row r="2046">
      <c r="A2046" s="40">
        <f t="array" ref="A2046">IFNA(index(PlayerValues!A:A,match(IFNA(vlookup(B2046,'Special Names'!A:B,2,FALSE),B2046),PlayerValues!E:E,0)),"N/A")</f>
        <v>17497</v>
      </c>
      <c r="B2046" s="4" t="s">
        <v>365</v>
      </c>
      <c r="C2046" s="4" t="s">
        <v>287</v>
      </c>
      <c r="D2046" s="94">
        <v>5568.0</v>
      </c>
    </row>
    <row r="2047">
      <c r="A2047" s="40" t="str">
        <f t="array" ref="A2047">IFNA(index(PlayerValues!A:A,match(IFNA(vlookup(B2047,'Special Names'!A:B,2,FALSE),B2047),PlayerValues!E:E,0)),"N/A")</f>
        <v>N/A</v>
      </c>
      <c r="B2047" s="4" t="s">
        <v>79</v>
      </c>
      <c r="C2047" s="4" t="s">
        <v>325</v>
      </c>
      <c r="D2047" s="94">
        <v>5527.0</v>
      </c>
    </row>
    <row r="2048">
      <c r="A2048" s="40">
        <f t="array" ref="A2048">IFNA(index(PlayerValues!A:A,match(IFNA(vlookup(B2048,'Special Names'!A:B,2,FALSE),B2048),PlayerValues!E:E,0)),"N/A")</f>
        <v>17070</v>
      </c>
      <c r="B2048" s="4" t="s">
        <v>370</v>
      </c>
      <c r="C2048" s="4" t="s">
        <v>287</v>
      </c>
      <c r="D2048" s="94">
        <v>5497.0</v>
      </c>
    </row>
    <row r="2049">
      <c r="A2049" s="40">
        <f t="array" ref="A2049">IFNA(index(PlayerValues!A:A,match(IFNA(vlookup(B2049,'Special Names'!A:B,2,FALSE),B2049),PlayerValues!E:E,0)),"N/A")</f>
        <v>16190</v>
      </c>
      <c r="B2049" s="4" t="s">
        <v>371</v>
      </c>
      <c r="C2049" s="4" t="s">
        <v>287</v>
      </c>
      <c r="D2049" s="94">
        <v>5339.0</v>
      </c>
    </row>
    <row r="2050">
      <c r="A2050" s="40">
        <f t="array" ref="A2050">IFNA(index(PlayerValues!A:A,match(IFNA(vlookup(B2050,'Special Names'!A:B,2,FALSE),B2050),PlayerValues!E:E,0)),"N/A")</f>
        <v>13130</v>
      </c>
      <c r="B2050" s="4" t="s">
        <v>374</v>
      </c>
      <c r="C2050" s="4" t="s">
        <v>278</v>
      </c>
      <c r="D2050" s="94">
        <v>5305.0</v>
      </c>
    </row>
    <row r="2051">
      <c r="A2051" s="40">
        <f t="array" ref="A2051">IFNA(index(PlayerValues!A:A,match(IFNA(vlookup(B2051,'Special Names'!A:B,2,FALSE),B2051),PlayerValues!E:E,0)),"N/A")</f>
        <v>17462</v>
      </c>
      <c r="B2051" s="4" t="s">
        <v>375</v>
      </c>
      <c r="C2051" s="4" t="s">
        <v>283</v>
      </c>
      <c r="D2051" s="94">
        <v>5303.0</v>
      </c>
    </row>
    <row r="2052">
      <c r="A2052" s="40">
        <f t="array" ref="A2052">IFNA(index(PlayerValues!A:A,match(IFNA(vlookup(B2052,'Special Names'!A:B,2,FALSE),B2052),PlayerValues!E:E,0)),"N/A")</f>
        <v>13604</v>
      </c>
      <c r="B2052" s="4" t="s">
        <v>378</v>
      </c>
      <c r="C2052" s="4" t="s">
        <v>278</v>
      </c>
      <c r="D2052" s="94">
        <v>5288.0</v>
      </c>
    </row>
    <row r="2053">
      <c r="A2053" s="40">
        <f t="array" ref="A2053">IFNA(index(PlayerValues!A:A,match(IFNA(vlookup(B2053,'Special Names'!A:B,2,FALSE),B2053),PlayerValues!E:E,0)),"N/A")</f>
        <v>14104</v>
      </c>
      <c r="B2053" s="4" t="s">
        <v>379</v>
      </c>
      <c r="C2053" s="4" t="s">
        <v>287</v>
      </c>
      <c r="D2053" s="94">
        <v>5287.0</v>
      </c>
    </row>
    <row r="2054">
      <c r="A2054" s="40">
        <f t="array" ref="A2054">IFNA(index(PlayerValues!A:A,match(IFNA(vlookup(B2054,'Special Names'!A:B,2,FALSE),B2054),PlayerValues!E:E,0)),"N/A")</f>
        <v>15708</v>
      </c>
      <c r="B2054" s="4" t="s">
        <v>382</v>
      </c>
      <c r="C2054" s="4" t="s">
        <v>278</v>
      </c>
      <c r="D2054" s="94">
        <v>5287.0</v>
      </c>
    </row>
    <row r="2055">
      <c r="A2055" s="40">
        <f t="array" ref="A2055">IFNA(index(PlayerValues!A:A,match(IFNA(vlookup(B2055,'Special Names'!A:B,2,FALSE),B2055),PlayerValues!E:E,0)),"N/A")</f>
        <v>14782</v>
      </c>
      <c r="B2055" s="4" t="s">
        <v>385</v>
      </c>
      <c r="C2055" s="4" t="s">
        <v>283</v>
      </c>
      <c r="D2055" s="94">
        <v>5284.0</v>
      </c>
    </row>
    <row r="2056">
      <c r="A2056" s="40" t="str">
        <f t="array" ref="A2056">IFNA(index(PlayerValues!A:A,match(IFNA(vlookup(B2056,'Special Names'!A:B,2,FALSE),B2056),PlayerValues!E:E,0)),"N/A")</f>
        <v>N/A</v>
      </c>
      <c r="B2056" s="4" t="s">
        <v>104</v>
      </c>
      <c r="C2056" s="4" t="s">
        <v>325</v>
      </c>
      <c r="D2056" s="94">
        <v>5247.0</v>
      </c>
    </row>
    <row r="2057">
      <c r="A2057" s="40">
        <f t="array" ref="A2057">IFNA(index(PlayerValues!A:A,match(IFNA(vlookup(B2057,'Special Names'!A:B,2,FALSE),B2057),PlayerValues!E:E,0)),"N/A")</f>
        <v>17051</v>
      </c>
      <c r="B2057" s="4" t="s">
        <v>386</v>
      </c>
      <c r="C2057" s="4" t="s">
        <v>278</v>
      </c>
      <c r="D2057" s="94">
        <v>5241.0</v>
      </c>
    </row>
    <row r="2058">
      <c r="A2058" s="40">
        <f t="array" ref="A2058">IFNA(index(PlayerValues!A:A,match(IFNA(vlookup(B2058,'Special Names'!A:B,2,FALSE),B2058),PlayerValues!E:E,0)),"N/A")</f>
        <v>16616</v>
      </c>
      <c r="B2058" s="4" t="s">
        <v>389</v>
      </c>
      <c r="C2058" s="4" t="s">
        <v>287</v>
      </c>
      <c r="D2058" s="94">
        <v>5222.0</v>
      </c>
    </row>
    <row r="2059">
      <c r="A2059" s="40">
        <f t="array" ref="A2059">IFNA(index(PlayerValues!A:A,match(IFNA(vlookup(B2059,'Special Names'!A:B,2,FALSE),B2059),PlayerValues!E:E,0)),"N/A")</f>
        <v>15284</v>
      </c>
      <c r="B2059" s="4" t="s">
        <v>390</v>
      </c>
      <c r="C2059" s="4" t="s">
        <v>287</v>
      </c>
      <c r="D2059" s="94">
        <v>5191.0</v>
      </c>
    </row>
    <row r="2060">
      <c r="A2060" s="40">
        <f t="array" ref="A2060">IFNA(index(PlayerValues!A:A,match(IFNA(vlookup(B2060,'Special Names'!A:B,2,FALSE),B2060),PlayerValues!E:E,0)),"N/A")</f>
        <v>17473</v>
      </c>
      <c r="B2060" s="4" t="s">
        <v>391</v>
      </c>
      <c r="C2060" s="4" t="s">
        <v>278</v>
      </c>
      <c r="D2060" s="94">
        <v>5116.0</v>
      </c>
    </row>
    <row r="2061">
      <c r="A2061" s="40">
        <f t="array" ref="A2061">IFNA(index(PlayerValues!A:A,match(IFNA(vlookup(B2061,'Special Names'!A:B,2,FALSE),B2061),PlayerValues!E:E,0)),"N/A")</f>
        <v>14835</v>
      </c>
      <c r="B2061" s="4" t="s">
        <v>392</v>
      </c>
      <c r="C2061" s="4" t="s">
        <v>287</v>
      </c>
      <c r="D2061" s="94">
        <v>5095.0</v>
      </c>
    </row>
    <row r="2062">
      <c r="A2062" s="40">
        <f t="array" ref="A2062">IFNA(index(PlayerValues!A:A,match(IFNA(vlookup(B2062,'Special Names'!A:B,2,FALSE),B2062),PlayerValues!E:E,0)),"N/A")</f>
        <v>16222</v>
      </c>
      <c r="B2062" s="4" t="s">
        <v>393</v>
      </c>
      <c r="C2062" s="4" t="s">
        <v>298</v>
      </c>
      <c r="D2062" s="94">
        <v>5638.0</v>
      </c>
    </row>
    <row r="2063">
      <c r="A2063" s="40">
        <f t="array" ref="A2063">IFNA(index(PlayerValues!A:A,match(IFNA(vlookup(B2063,'Special Names'!A:B,2,FALSE),B2063),PlayerValues!E:E,0)),"N/A")</f>
        <v>12620</v>
      </c>
      <c r="B2063" s="4" t="s">
        <v>394</v>
      </c>
      <c r="C2063" s="4" t="s">
        <v>283</v>
      </c>
      <c r="D2063" s="94">
        <v>5050.0</v>
      </c>
    </row>
    <row r="2064">
      <c r="A2064" s="40">
        <f t="array" ref="A2064">IFNA(index(PlayerValues!A:A,match(IFNA(vlookup(B2064,'Special Names'!A:B,2,FALSE),B2064),PlayerValues!E:E,0)),"N/A")</f>
        <v>15710</v>
      </c>
      <c r="B2064" s="4" t="s">
        <v>395</v>
      </c>
      <c r="C2064" s="4" t="s">
        <v>278</v>
      </c>
      <c r="D2064" s="94">
        <v>4953.0</v>
      </c>
    </row>
    <row r="2065">
      <c r="A2065" s="40">
        <f t="array" ref="A2065">IFNA(index(PlayerValues!A:A,match(IFNA(vlookup(B2065,'Special Names'!A:B,2,FALSE),B2065),PlayerValues!E:E,0)),"N/A")</f>
        <v>17498</v>
      </c>
      <c r="B2065" s="4" t="s">
        <v>396</v>
      </c>
      <c r="C2065" s="4" t="s">
        <v>287</v>
      </c>
      <c r="D2065" s="94">
        <v>4948.0</v>
      </c>
    </row>
    <row r="2066">
      <c r="A2066" s="40" t="str">
        <f t="array" ref="A2066">IFNA(index(PlayerValues!A:A,match(IFNA(vlookup(B2066,'Special Names'!A:B,2,FALSE),B2066),PlayerValues!E:E,0)),"N/A")</f>
        <v>N/A</v>
      </c>
      <c r="B2066" s="4" t="s">
        <v>94</v>
      </c>
      <c r="C2066" s="4" t="s">
        <v>325</v>
      </c>
      <c r="D2066" s="94">
        <v>4941.0</v>
      </c>
    </row>
    <row r="2067">
      <c r="A2067" s="40">
        <f t="array" ref="A2067">IFNA(index(PlayerValues!A:A,match(IFNA(vlookup(B2067,'Special Names'!A:B,2,FALSE),B2067),PlayerValues!E:E,0)),"N/A")</f>
        <v>17043</v>
      </c>
      <c r="B2067" s="4" t="s">
        <v>397</v>
      </c>
      <c r="C2067" s="4" t="s">
        <v>278</v>
      </c>
      <c r="D2067" s="94">
        <v>4930.0</v>
      </c>
    </row>
    <row r="2068">
      <c r="A2068" s="40">
        <f t="array" ref="A2068">IFNA(index(PlayerValues!A:A,match(IFNA(vlookup(B2068,'Special Names'!A:B,2,FALSE),B2068),PlayerValues!E:E,0)),"N/A")</f>
        <v>16194</v>
      </c>
      <c r="B2068" s="4" t="s">
        <v>398</v>
      </c>
      <c r="C2068" s="4" t="s">
        <v>287</v>
      </c>
      <c r="D2068" s="94">
        <v>4834.0</v>
      </c>
    </row>
    <row r="2069">
      <c r="A2069" s="40">
        <f t="array" ref="A2069">IFNA(index(PlayerValues!A:A,match(IFNA(vlookup(B2069,'Special Names'!A:B,2,FALSE),B2069),PlayerValues!E:E,0)),"N/A")</f>
        <v>15756</v>
      </c>
      <c r="B2069" s="4" t="s">
        <v>399</v>
      </c>
      <c r="C2069" s="4" t="s">
        <v>287</v>
      </c>
      <c r="D2069" s="94">
        <v>4829.0</v>
      </c>
    </row>
    <row r="2070">
      <c r="A2070" s="40">
        <f t="array" ref="A2070">IFNA(index(PlayerValues!A:A,match(IFNA(vlookup(B2070,'Special Names'!A:B,2,FALSE),B2070),PlayerValues!E:E,0)),"N/A")</f>
        <v>17039</v>
      </c>
      <c r="B2070" s="4" t="s">
        <v>400</v>
      </c>
      <c r="C2070" s="4" t="s">
        <v>283</v>
      </c>
      <c r="D2070" s="94">
        <v>4800.0</v>
      </c>
    </row>
    <row r="2071">
      <c r="A2071" s="40">
        <f t="array" ref="A2071">IFNA(index(PlayerValues!A:A,match(IFNA(vlookup(B2071,'Special Names'!A:B,2,FALSE),B2071),PlayerValues!E:E,0)),"N/A")</f>
        <v>15256</v>
      </c>
      <c r="B2071" s="4" t="s">
        <v>401</v>
      </c>
      <c r="C2071" s="4" t="s">
        <v>278</v>
      </c>
      <c r="D2071" s="94">
        <v>4792.0</v>
      </c>
    </row>
    <row r="2072">
      <c r="A2072" s="40">
        <f t="array" ref="A2072">IFNA(index(PlayerValues!A:A,match(IFNA(vlookup(B2072,'Special Names'!A:B,2,FALSE),B2072),PlayerValues!E:E,0)),"N/A")</f>
        <v>17499</v>
      </c>
      <c r="B2072" s="4" t="s">
        <v>402</v>
      </c>
      <c r="C2072" s="4" t="s">
        <v>287</v>
      </c>
      <c r="D2072" s="94">
        <v>4768.0</v>
      </c>
    </row>
    <row r="2073">
      <c r="A2073" s="40">
        <f t="array" ref="A2073">IFNA(index(PlayerValues!A:A,match(IFNA(vlookup(B2073,'Special Names'!A:B,2,FALSE),B2073),PlayerValues!E:E,0)),"N/A")</f>
        <v>16614</v>
      </c>
      <c r="B2073" s="4" t="s">
        <v>403</v>
      </c>
      <c r="C2073" s="4" t="s">
        <v>287</v>
      </c>
      <c r="D2073" s="94">
        <v>4744.0</v>
      </c>
    </row>
    <row r="2074">
      <c r="A2074" s="40" t="str">
        <f t="array" ref="A2074">IFNA(index(PlayerValues!A:A,match(IFNA(vlookup(B2074,'Special Names'!A:B,2,FALSE),B2074),PlayerValues!E:E,0)),"N/A")</f>
        <v>N/A</v>
      </c>
      <c r="B2074" s="4" t="s">
        <v>80</v>
      </c>
      <c r="C2074" s="4" t="s">
        <v>325</v>
      </c>
      <c r="D2074" s="94">
        <v>4733.0</v>
      </c>
    </row>
    <row r="2075">
      <c r="A2075" s="40">
        <f t="array" ref="A2075">IFNA(index(PlayerValues!A:A,match(IFNA(vlookup(B2075,'Special Names'!A:B,2,FALSE),B2075),PlayerValues!E:E,0)),"N/A")</f>
        <v>17501</v>
      </c>
      <c r="B2075" s="4" t="s">
        <v>404</v>
      </c>
      <c r="C2075" s="4" t="s">
        <v>287</v>
      </c>
      <c r="D2075" s="94">
        <v>4717.0</v>
      </c>
    </row>
    <row r="2076">
      <c r="A2076" s="40">
        <f t="array" ref="A2076">IFNA(index(PlayerValues!A:A,match(IFNA(vlookup(B2076,'Special Names'!A:B,2,FALSE),B2076),PlayerValues!E:E,0)),"N/A")</f>
        <v>17103</v>
      </c>
      <c r="B2076" s="4" t="s">
        <v>405</v>
      </c>
      <c r="C2076" s="4" t="s">
        <v>298</v>
      </c>
      <c r="D2076" s="94">
        <v>5259.0</v>
      </c>
    </row>
    <row r="2077">
      <c r="A2077" s="40">
        <f t="array" ref="A2077">IFNA(index(PlayerValues!A:A,match(IFNA(vlookup(B2077,'Special Names'!A:B,2,FALSE),B2077),PlayerValues!E:E,0)),"N/A")</f>
        <v>17030</v>
      </c>
      <c r="B2077" s="4" t="s">
        <v>406</v>
      </c>
      <c r="C2077" s="4" t="s">
        <v>283</v>
      </c>
      <c r="D2077" s="94">
        <v>4696.0</v>
      </c>
    </row>
    <row r="2078">
      <c r="A2078" s="40">
        <f t="array" ref="A2078">IFNA(index(PlayerValues!A:A,match(IFNA(vlookup(B2078,'Special Names'!A:B,2,FALSE),B2078),PlayerValues!E:E,0)),"N/A")</f>
        <v>17045</v>
      </c>
      <c r="B2078" s="4" t="s">
        <v>407</v>
      </c>
      <c r="C2078" s="4" t="s">
        <v>278</v>
      </c>
      <c r="D2078" s="94">
        <v>4653.0</v>
      </c>
    </row>
    <row r="2079">
      <c r="A2079" s="40">
        <f t="array" ref="A2079">IFNA(index(PlayerValues!A:A,match(IFNA(vlookup(B2079,'Special Names'!A:B,2,FALSE),B2079),PlayerValues!E:E,0)),"N/A")</f>
        <v>16598</v>
      </c>
      <c r="B2079" s="4" t="s">
        <v>408</v>
      </c>
      <c r="C2079" s="4" t="s">
        <v>278</v>
      </c>
      <c r="D2079" s="94">
        <v>4611.0</v>
      </c>
    </row>
    <row r="2080">
      <c r="A2080" s="40">
        <f t="array" ref="A2080">IFNA(index(PlayerValues!A:A,match(IFNA(vlookup(B2080,'Special Names'!A:B,2,FALSE),B2080),PlayerValues!E:E,0)),"N/A")</f>
        <v>13590</v>
      </c>
      <c r="B2080" s="4" t="s">
        <v>409</v>
      </c>
      <c r="C2080" s="4" t="s">
        <v>283</v>
      </c>
      <c r="D2080" s="94">
        <v>4588.0</v>
      </c>
    </row>
    <row r="2081">
      <c r="A2081" s="40" t="str">
        <f t="array" ref="A2081">IFNA(index(PlayerValues!A:A,match(IFNA(vlookup(B2081,'Special Names'!A:B,2,FALSE),B2081),PlayerValues!E:E,0)),"N/A")</f>
        <v>N/A</v>
      </c>
      <c r="B2081" s="4" t="s">
        <v>105</v>
      </c>
      <c r="C2081" s="4" t="s">
        <v>325</v>
      </c>
      <c r="D2081" s="94">
        <v>4587.0</v>
      </c>
    </row>
    <row r="2082">
      <c r="A2082" s="40">
        <f t="array" ref="A2082">IFNA(index(PlayerValues!A:A,match(IFNA(vlookup(B2082,'Special Names'!A:B,2,FALSE),B2082),PlayerValues!E:E,0)),"N/A")</f>
        <v>12611</v>
      </c>
      <c r="B2082" s="4" t="s">
        <v>410</v>
      </c>
      <c r="C2082" s="4" t="s">
        <v>283</v>
      </c>
      <c r="D2082" s="94">
        <v>4567.0</v>
      </c>
    </row>
    <row r="2083">
      <c r="A2083" s="40">
        <f t="array" ref="A2083">IFNA(index(PlayerValues!A:A,match(IFNA(vlookup(B2083,'Special Names'!A:B,2,FALSE),B2083),PlayerValues!E:E,0)),"N/A")</f>
        <v>16618</v>
      </c>
      <c r="B2083" s="4" t="s">
        <v>411</v>
      </c>
      <c r="C2083" s="4" t="s">
        <v>287</v>
      </c>
      <c r="D2083" s="94">
        <v>4563.0</v>
      </c>
    </row>
    <row r="2084">
      <c r="A2084" s="40">
        <f t="array" ref="A2084">IFNA(index(PlayerValues!A:A,match(IFNA(vlookup(B2084,'Special Names'!A:B,2,FALSE),B2084),PlayerValues!E:E,0)),"N/A")</f>
        <v>16192</v>
      </c>
      <c r="B2084" s="4" t="s">
        <v>412</v>
      </c>
      <c r="C2084" s="4" t="s">
        <v>287</v>
      </c>
      <c r="D2084" s="94">
        <v>4555.0</v>
      </c>
    </row>
    <row r="2085">
      <c r="A2085" s="40">
        <f t="array" ref="A2085">IFNA(index(PlayerValues!A:A,match(IFNA(vlookup(B2085,'Special Names'!A:B,2,FALSE),B2085),PlayerValues!E:E,0)),"N/A")</f>
        <v>16214</v>
      </c>
      <c r="B2085" s="4" t="s">
        <v>413</v>
      </c>
      <c r="C2085" s="4" t="s">
        <v>298</v>
      </c>
      <c r="D2085" s="94">
        <v>5080.0</v>
      </c>
    </row>
    <row r="2086">
      <c r="A2086" s="40">
        <f t="array" ref="A2086">IFNA(index(PlayerValues!A:A,match(IFNA(vlookup(B2086,'Special Names'!A:B,2,FALSE),B2086),PlayerValues!E:E,0)),"N/A")</f>
        <v>16150</v>
      </c>
      <c r="B2086" s="4" t="s">
        <v>414</v>
      </c>
      <c r="C2086" s="4" t="s">
        <v>283</v>
      </c>
      <c r="D2086" s="94">
        <v>4462.0</v>
      </c>
    </row>
    <row r="2087">
      <c r="A2087" s="40">
        <f t="array" ref="A2087">IFNA(index(PlayerValues!A:A,match(IFNA(vlookup(B2087,'Special Names'!A:B,2,FALSE),B2087),PlayerValues!E:E,0)),"N/A")</f>
        <v>15253</v>
      </c>
      <c r="B2087" s="4" t="s">
        <v>415</v>
      </c>
      <c r="C2087" s="4" t="s">
        <v>278</v>
      </c>
      <c r="D2087" s="94">
        <v>4449.0</v>
      </c>
    </row>
    <row r="2088">
      <c r="A2088" s="40">
        <f t="array" ref="A2088">IFNA(index(PlayerValues!A:A,match(IFNA(vlookup(B2088,'Special Names'!A:B,2,FALSE),B2088),PlayerValues!E:E,0)),"N/A")</f>
        <v>15329</v>
      </c>
      <c r="B2088" s="4" t="s">
        <v>416</v>
      </c>
      <c r="C2088" s="4" t="s">
        <v>298</v>
      </c>
      <c r="D2088" s="94">
        <v>4876.0</v>
      </c>
    </row>
    <row r="2089">
      <c r="A2089" s="40">
        <f t="array" ref="A2089">IFNA(index(PlayerValues!A:A,match(IFNA(vlookup(B2089,'Special Names'!A:B,2,FALSE),B2089),PlayerValues!E:E,0)),"N/A")</f>
        <v>17052</v>
      </c>
      <c r="B2089" s="4" t="s">
        <v>417</v>
      </c>
      <c r="C2089" s="4" t="s">
        <v>278</v>
      </c>
      <c r="D2089" s="94">
        <v>4296.0</v>
      </c>
    </row>
    <row r="2090">
      <c r="A2090" s="40">
        <f t="array" ref="A2090">IFNA(index(PlayerValues!A:A,match(IFNA(vlookup(B2090,'Special Names'!A:B,2,FALSE),B2090),PlayerValues!E:E,0)),"N/A")</f>
        <v>13592</v>
      </c>
      <c r="B2090" s="4" t="s">
        <v>418</v>
      </c>
      <c r="C2090" s="4" t="s">
        <v>283</v>
      </c>
      <c r="D2090" s="94">
        <v>4259.0</v>
      </c>
    </row>
    <row r="2091">
      <c r="A2091" s="40">
        <f t="array" ref="A2091">IFNA(index(PlayerValues!A:A,match(IFNA(vlookup(B2091,'Special Names'!A:B,2,FALSE),B2091),PlayerValues!E:E,0)),"N/A")</f>
        <v>12626</v>
      </c>
      <c r="B2091" s="4" t="s">
        <v>419</v>
      </c>
      <c r="C2091" s="4" t="s">
        <v>278</v>
      </c>
      <c r="D2091" s="94">
        <v>4232.0</v>
      </c>
    </row>
    <row r="2092">
      <c r="A2092" s="40" t="str">
        <f t="array" ref="A2092">IFNA(index(PlayerValues!A:A,match(IFNA(vlookup(B2092,'Special Names'!A:B,2,FALSE),B2092),PlayerValues!E:E,0)),"N/A")</f>
        <v>N/A</v>
      </c>
      <c r="B2092" s="4" t="s">
        <v>107</v>
      </c>
      <c r="C2092" s="4" t="s">
        <v>325</v>
      </c>
      <c r="D2092" s="94">
        <v>4175.0</v>
      </c>
    </row>
    <row r="2093">
      <c r="A2093" s="40" t="str">
        <f t="array" ref="A2093">IFNA(index(PlayerValues!A:A,match(IFNA(vlookup(B2093,'Special Names'!A:B,2,FALSE),B2093),PlayerValues!E:E,0)),"N/A")</f>
        <v>N/A</v>
      </c>
      <c r="B2093" s="4" t="s">
        <v>81</v>
      </c>
      <c r="C2093" s="4" t="s">
        <v>325</v>
      </c>
      <c r="D2093" s="94">
        <v>4024.0</v>
      </c>
    </row>
    <row r="2094">
      <c r="A2094" s="40">
        <f t="array" ref="A2094">IFNA(index(PlayerValues!A:A,match(IFNA(vlookup(B2094,'Special Names'!A:B,2,FALSE),B2094),PlayerValues!E:E,0)),"N/A")</f>
        <v>14797</v>
      </c>
      <c r="B2094" s="4" t="s">
        <v>420</v>
      </c>
      <c r="C2094" s="4" t="s">
        <v>278</v>
      </c>
      <c r="D2094" s="94">
        <v>4007.0</v>
      </c>
    </row>
    <row r="2095">
      <c r="A2095" s="40">
        <f t="array" ref="A2095">IFNA(index(PlayerValues!A:A,match(IFNA(vlookup(B2095,'Special Names'!A:B,2,FALSE),B2095),PlayerValues!E:E,0)),"N/A")</f>
        <v>15789</v>
      </c>
      <c r="B2095" s="4" t="s">
        <v>421</v>
      </c>
      <c r="C2095" s="4" t="s">
        <v>287</v>
      </c>
      <c r="D2095" s="94">
        <v>3953.0</v>
      </c>
    </row>
    <row r="2096">
      <c r="A2096" s="40">
        <f t="array" ref="A2096">IFNA(index(PlayerValues!A:A,match(IFNA(vlookup(B2096,'Special Names'!A:B,2,FALSE),B2096),PlayerValues!E:E,0)),"N/A")</f>
        <v>17514</v>
      </c>
      <c r="B2096" s="4" t="s">
        <v>422</v>
      </c>
      <c r="C2096" s="4" t="s">
        <v>287</v>
      </c>
      <c r="D2096" s="94">
        <v>3918.0</v>
      </c>
    </row>
    <row r="2097">
      <c r="A2097" s="40">
        <f t="array" ref="A2097">IFNA(index(PlayerValues!A:A,match(IFNA(vlookup(B2097,'Special Names'!A:B,2,FALSE),B2097),PlayerValues!E:E,0)),"N/A")</f>
        <v>14056</v>
      </c>
      <c r="B2097" s="4" t="s">
        <v>423</v>
      </c>
      <c r="C2097" s="4" t="s">
        <v>283</v>
      </c>
      <c r="D2097" s="94">
        <v>3852.0</v>
      </c>
    </row>
    <row r="2098">
      <c r="A2098" s="40">
        <f t="array" ref="A2098">IFNA(index(PlayerValues!A:A,match(IFNA(vlookup(B2098,'Special Names'!A:B,2,FALSE),B2098),PlayerValues!E:E,0)),"N/A")</f>
        <v>13635</v>
      </c>
      <c r="B2098" s="4" t="s">
        <v>424</v>
      </c>
      <c r="C2098" s="4" t="s">
        <v>287</v>
      </c>
      <c r="D2098" s="94">
        <v>3811.0</v>
      </c>
    </row>
    <row r="2099">
      <c r="A2099" s="40" t="str">
        <f t="array" ref="A2099">IFNA(index(PlayerValues!A:A,match(IFNA(vlookup(B2099,'Special Names'!A:B,2,FALSE),B2099),PlayerValues!E:E,0)),"N/A")</f>
        <v>N/A</v>
      </c>
      <c r="B2099" s="4" t="s">
        <v>95</v>
      </c>
      <c r="C2099" s="4" t="s">
        <v>325</v>
      </c>
      <c r="D2099" s="94">
        <v>3809.0</v>
      </c>
    </row>
    <row r="2100">
      <c r="A2100" s="40">
        <f t="array" ref="A2100">IFNA(index(PlayerValues!A:A,match(IFNA(vlookup(B2100,'Special Names'!A:B,2,FALSE),B2100),PlayerValues!E:E,0)),"N/A")</f>
        <v>16186</v>
      </c>
      <c r="B2100" s="4" t="s">
        <v>425</v>
      </c>
      <c r="C2100" s="4" t="s">
        <v>287</v>
      </c>
      <c r="D2100" s="94">
        <v>3788.0</v>
      </c>
    </row>
    <row r="2101">
      <c r="A2101" s="40">
        <f t="array" ref="A2101">IFNA(index(PlayerValues!A:A,match(IFNA(vlookup(B2101,'Special Names'!A:B,2,FALSE),B2101),PlayerValues!E:E,0)),"N/A")</f>
        <v>16148</v>
      </c>
      <c r="B2101" s="4" t="s">
        <v>426</v>
      </c>
      <c r="C2101" s="4" t="s">
        <v>283</v>
      </c>
      <c r="D2101" s="94">
        <v>3755.0</v>
      </c>
    </row>
    <row r="2102">
      <c r="A2102" s="40">
        <f t="array" ref="A2102">IFNA(index(PlayerValues!A:A,match(IFNA(vlookup(B2102,'Special Names'!A:B,2,FALSE),B2102),PlayerValues!E:E,0)),"N/A")</f>
        <v>16597</v>
      </c>
      <c r="B2102" s="4" t="s">
        <v>427</v>
      </c>
      <c r="C2102" s="4" t="s">
        <v>278</v>
      </c>
      <c r="D2102" s="94">
        <v>3753.0</v>
      </c>
    </row>
    <row r="2103">
      <c r="A2103" s="40">
        <f t="array" ref="A2103">IFNA(index(PlayerValues!A:A,match(IFNA(vlookup(B2103,'Special Names'!A:B,2,FALSE),B2103),PlayerValues!E:E,0)),"N/A")</f>
        <v>9431</v>
      </c>
      <c r="B2103" s="4" t="s">
        <v>428</v>
      </c>
      <c r="C2103" s="4" t="s">
        <v>283</v>
      </c>
      <c r="D2103" s="94">
        <v>3735.0</v>
      </c>
    </row>
    <row r="2104">
      <c r="A2104" s="40">
        <f t="array" ref="A2104">IFNA(index(PlayerValues!A:A,match(IFNA(vlookup(B2104,'Special Names'!A:B,2,FALSE),B2104),PlayerValues!E:E,0)),"N/A")</f>
        <v>17075</v>
      </c>
      <c r="B2104" s="4" t="s">
        <v>429</v>
      </c>
      <c r="C2104" s="4" t="s">
        <v>287</v>
      </c>
      <c r="D2104" s="94">
        <v>3729.0</v>
      </c>
    </row>
    <row r="2105">
      <c r="A2105" s="40">
        <f t="array" ref="A2105">IFNA(index(PlayerValues!A:A,match(IFNA(vlookup(B2105,'Special Names'!A:B,2,FALSE),B2105),PlayerValues!E:E,0)),"N/A")</f>
        <v>17500</v>
      </c>
      <c r="B2105" s="4" t="s">
        <v>430</v>
      </c>
      <c r="C2105" s="4" t="s">
        <v>287</v>
      </c>
      <c r="D2105" s="94">
        <v>3722.0</v>
      </c>
    </row>
    <row r="2106">
      <c r="A2106" s="40">
        <f t="array" ref="A2106">IFNA(index(PlayerValues!A:A,match(IFNA(vlookup(B2106,'Special Names'!A:B,2,FALSE),B2106),PlayerValues!E:E,0)),"N/A")</f>
        <v>16206</v>
      </c>
      <c r="B2106" s="4" t="s">
        <v>431</v>
      </c>
      <c r="C2106" s="4" t="s">
        <v>287</v>
      </c>
      <c r="D2106" s="94">
        <v>3720.0</v>
      </c>
    </row>
    <row r="2107">
      <c r="A2107" s="40">
        <f t="array" ref="A2107">IFNA(index(PlayerValues!A:A,match(IFNA(vlookup(B2107,'Special Names'!A:B,2,FALSE),B2107),PlayerValues!E:E,0)),"N/A")</f>
        <v>15768</v>
      </c>
      <c r="B2107" s="4" t="s">
        <v>432</v>
      </c>
      <c r="C2107" s="4" t="s">
        <v>287</v>
      </c>
      <c r="D2107" s="94">
        <v>3716.0</v>
      </c>
    </row>
    <row r="2108">
      <c r="A2108" s="40">
        <f t="array" ref="A2108">IFNA(index(PlayerValues!A:A,match(IFNA(vlookup(B2108,'Special Names'!A:B,2,FALSE),B2108),PlayerValues!E:E,0)),"N/A")</f>
        <v>17463</v>
      </c>
      <c r="B2108" s="4" t="s">
        <v>433</v>
      </c>
      <c r="C2108" s="4" t="s">
        <v>283</v>
      </c>
      <c r="D2108" s="94">
        <v>3706.0</v>
      </c>
    </row>
    <row r="2109">
      <c r="A2109" s="40">
        <f t="array" ref="A2109">IFNA(index(PlayerValues!A:A,match(IFNA(vlookup(B2109,'Special Names'!A:B,2,FALSE),B2109),PlayerValues!E:E,0)),"N/A")</f>
        <v>15694</v>
      </c>
      <c r="B2109" s="4" t="s">
        <v>434</v>
      </c>
      <c r="C2109" s="4" t="s">
        <v>283</v>
      </c>
      <c r="D2109" s="94">
        <v>3700.0</v>
      </c>
    </row>
    <row r="2110">
      <c r="A2110" s="40">
        <f t="array" ref="A2110">IFNA(index(PlayerValues!A:A,match(IFNA(vlookup(B2110,'Special Names'!A:B,2,FALSE),B2110),PlayerValues!E:E,0)),"N/A")</f>
        <v>14059</v>
      </c>
      <c r="B2110" s="4" t="s">
        <v>435</v>
      </c>
      <c r="C2110" s="4" t="s">
        <v>283</v>
      </c>
      <c r="D2110" s="94">
        <v>3689.0</v>
      </c>
    </row>
    <row r="2111">
      <c r="A2111" s="40">
        <f t="array" ref="A2111">IFNA(index(PlayerValues!A:A,match(IFNA(vlookup(B2111,'Special Names'!A:B,2,FALSE),B2111),PlayerValues!E:E,0)),"N/A")</f>
        <v>17543</v>
      </c>
      <c r="B2111" s="4" t="s">
        <v>436</v>
      </c>
      <c r="C2111" s="4" t="s">
        <v>298</v>
      </c>
      <c r="D2111" s="94">
        <v>4113.0</v>
      </c>
    </row>
    <row r="2112">
      <c r="A2112" s="40">
        <f t="array" ref="A2112">IFNA(index(PlayerValues!A:A,match(IFNA(vlookup(B2112,'Special Names'!A:B,2,FALSE),B2112),PlayerValues!E:E,0)),"N/A")</f>
        <v>14109</v>
      </c>
      <c r="B2112" s="4" t="s">
        <v>437</v>
      </c>
      <c r="C2112" s="4" t="s">
        <v>287</v>
      </c>
      <c r="D2112" s="94">
        <v>3557.0</v>
      </c>
    </row>
    <row r="2113">
      <c r="A2113" s="40">
        <f t="array" ref="A2113">IFNA(index(PlayerValues!A:A,match(IFNA(vlookup(B2113,'Special Names'!A:B,2,FALSE),B2113),PlayerValues!E:E,0)),"N/A")</f>
        <v>11675</v>
      </c>
      <c r="B2113" s="4" t="s">
        <v>438</v>
      </c>
      <c r="C2113" s="4" t="s">
        <v>287</v>
      </c>
      <c r="D2113" s="94">
        <v>3545.0</v>
      </c>
    </row>
    <row r="2114">
      <c r="A2114" s="40">
        <f t="array" ref="A2114">IFNA(index(PlayerValues!A:A,match(IFNA(vlookup(B2114,'Special Names'!A:B,2,FALSE),B2114),PlayerValues!E:E,0)),"N/A")</f>
        <v>16188</v>
      </c>
      <c r="B2114" s="4" t="s">
        <v>439</v>
      </c>
      <c r="C2114" s="4" t="s">
        <v>287</v>
      </c>
      <c r="D2114" s="94">
        <v>3544.0</v>
      </c>
    </row>
    <row r="2115">
      <c r="A2115" s="40">
        <f t="array" ref="A2115">IFNA(index(PlayerValues!A:A,match(IFNA(vlookup(B2115,'Special Names'!A:B,2,FALSE),B2115),PlayerValues!E:E,0)),"N/A")</f>
        <v>14071</v>
      </c>
      <c r="B2115" s="4" t="s">
        <v>440</v>
      </c>
      <c r="C2115" s="4" t="s">
        <v>278</v>
      </c>
      <c r="D2115" s="94">
        <v>3520.0</v>
      </c>
    </row>
    <row r="2116">
      <c r="A2116" s="40">
        <f t="array" ref="A2116">IFNA(index(PlayerValues!A:A,match(IFNA(vlookup(B2116,'Special Names'!A:B,2,FALSE),B2116),PlayerValues!E:E,0)),"N/A")</f>
        <v>16187</v>
      </c>
      <c r="B2116" s="4" t="s">
        <v>441</v>
      </c>
      <c r="C2116" s="4" t="s">
        <v>287</v>
      </c>
      <c r="D2116" s="94">
        <v>3497.0</v>
      </c>
    </row>
    <row r="2117">
      <c r="A2117" s="40">
        <f t="array" ref="A2117">IFNA(index(PlayerValues!A:A,match(IFNA(vlookup(B2117,'Special Names'!A:B,2,FALSE),B2117),PlayerValues!E:E,0)),"N/A")</f>
        <v>16593</v>
      </c>
      <c r="B2117" s="4" t="s">
        <v>442</v>
      </c>
      <c r="C2117" s="4" t="s">
        <v>278</v>
      </c>
      <c r="D2117" s="94">
        <v>3463.0</v>
      </c>
    </row>
    <row r="2118">
      <c r="A2118" s="40" t="str">
        <f t="array" ref="A2118">IFNA(index(PlayerValues!A:A,match(IFNA(vlookup(B2118,'Special Names'!A:B,2,FALSE),B2118),PlayerValues!E:E,0)),"N/A")</f>
        <v>N/A</v>
      </c>
      <c r="B2118" s="4" t="s">
        <v>96</v>
      </c>
      <c r="C2118" s="4" t="s">
        <v>325</v>
      </c>
      <c r="D2118" s="94">
        <v>3442.0</v>
      </c>
    </row>
    <row r="2119">
      <c r="A2119" s="40">
        <f t="array" ref="A2119">IFNA(index(PlayerValues!A:A,match(IFNA(vlookup(B2119,'Special Names'!A:B,2,FALSE),B2119),PlayerValues!E:E,0)),"N/A")</f>
        <v>15798</v>
      </c>
      <c r="B2119" s="4" t="s">
        <v>443</v>
      </c>
      <c r="C2119" s="4" t="s">
        <v>298</v>
      </c>
      <c r="D2119" s="94">
        <v>3894.0</v>
      </c>
    </row>
    <row r="2120">
      <c r="A2120" s="40" t="str">
        <f t="array" ref="A2120">IFNA(index(PlayerValues!A:A,match(IFNA(vlookup(B2120,'Special Names'!A:B,2,FALSE),B2120),PlayerValues!E:E,0)),"N/A")</f>
        <v>N/A</v>
      </c>
      <c r="B2120" s="4" t="s">
        <v>82</v>
      </c>
      <c r="C2120" s="4" t="s">
        <v>325</v>
      </c>
      <c r="D2120" s="94">
        <v>3387.0</v>
      </c>
    </row>
    <row r="2121">
      <c r="A2121" s="40">
        <f t="array" ref="A2121">IFNA(index(PlayerValues!A:A,match(IFNA(vlookup(B2121,'Special Names'!A:B,2,FALSE),B2121),PlayerValues!E:E,0)),"N/A")</f>
        <v>14102</v>
      </c>
      <c r="B2121" s="4" t="s">
        <v>444</v>
      </c>
      <c r="C2121" s="4" t="s">
        <v>287</v>
      </c>
      <c r="D2121" s="94">
        <v>3360.0</v>
      </c>
    </row>
    <row r="2122">
      <c r="A2122" s="40">
        <f t="array" ref="A2122">IFNA(index(PlayerValues!A:A,match(IFNA(vlookup(B2122,'Special Names'!A:B,2,FALSE),B2122),PlayerValues!E:E,0)),"N/A")</f>
        <v>16184</v>
      </c>
      <c r="B2122" s="4" t="s">
        <v>445</v>
      </c>
      <c r="C2122" s="4" t="s">
        <v>287</v>
      </c>
      <c r="D2122" s="94">
        <v>3349.0</v>
      </c>
    </row>
    <row r="2123">
      <c r="A2123" s="40">
        <f t="array" ref="A2123">IFNA(index(PlayerValues!A:A,match(IFNA(vlookup(B2123,'Special Names'!A:B,2,FALSE),B2123),PlayerValues!E:E,0)),"N/A")</f>
        <v>17066</v>
      </c>
      <c r="B2123" s="4" t="s">
        <v>446</v>
      </c>
      <c r="C2123" s="4" t="s">
        <v>278</v>
      </c>
      <c r="D2123" s="94">
        <v>3320.0</v>
      </c>
    </row>
    <row r="2124">
      <c r="A2124" s="40">
        <f t="array" ref="A2124">IFNA(index(PlayerValues!A:A,match(IFNA(vlookup(B2124,'Special Names'!A:B,2,FALSE),B2124),PlayerValues!E:E,0)),"N/A")</f>
        <v>15742</v>
      </c>
      <c r="B2124" s="4" t="s">
        <v>447</v>
      </c>
      <c r="C2124" s="4" t="s">
        <v>278</v>
      </c>
      <c r="D2124" s="94">
        <v>3319.0</v>
      </c>
    </row>
    <row r="2125">
      <c r="A2125" s="40">
        <f t="array" ref="A2125">IFNA(index(PlayerValues!A:A,match(IFNA(vlookup(B2125,'Special Names'!A:B,2,FALSE),B2125),PlayerValues!E:E,0)),"N/A")</f>
        <v>13299</v>
      </c>
      <c r="B2125" s="4" t="s">
        <v>448</v>
      </c>
      <c r="C2125" s="4" t="s">
        <v>298</v>
      </c>
      <c r="D2125" s="94">
        <v>3755.0</v>
      </c>
    </row>
    <row r="2126">
      <c r="A2126" s="40">
        <f t="array" ref="A2126">IFNA(index(PlayerValues!A:A,match(IFNA(vlookup(B2126,'Special Names'!A:B,2,FALSE),B2126),PlayerValues!E:E,0)),"N/A")</f>
        <v>15757</v>
      </c>
      <c r="B2126" s="4" t="s">
        <v>449</v>
      </c>
      <c r="C2126" s="4" t="s">
        <v>287</v>
      </c>
      <c r="D2126" s="94">
        <v>3309.0</v>
      </c>
    </row>
    <row r="2127">
      <c r="A2127" s="40">
        <f t="array" ref="A2127">IFNA(index(PlayerValues!A:A,match(IFNA(vlookup(B2127,'Special Names'!A:B,2,FALSE),B2127),PlayerValues!E:E,0)),"N/A")</f>
        <v>17068</v>
      </c>
      <c r="B2127" s="4" t="s">
        <v>450</v>
      </c>
      <c r="C2127" s="4" t="s">
        <v>278</v>
      </c>
      <c r="D2127" s="94">
        <v>3301.0</v>
      </c>
    </row>
    <row r="2128">
      <c r="A2128" s="40">
        <f t="array" ref="A2128">IFNA(index(PlayerValues!A:A,match(IFNA(vlookup(B2128,'Special Names'!A:B,2,FALSE),B2128),PlayerValues!E:E,0)),"N/A")</f>
        <v>17502</v>
      </c>
      <c r="B2128" s="4" t="s">
        <v>451</v>
      </c>
      <c r="C2128" s="4" t="s">
        <v>287</v>
      </c>
      <c r="D2128" s="94">
        <v>3298.0</v>
      </c>
    </row>
    <row r="2129">
      <c r="A2129" s="40">
        <f t="array" ref="A2129">IFNA(index(PlayerValues!A:A,match(IFNA(vlookup(B2129,'Special Names'!A:B,2,FALSE),B2129),PlayerValues!E:E,0)),"N/A")</f>
        <v>17477</v>
      </c>
      <c r="B2129" s="4" t="s">
        <v>452</v>
      </c>
      <c r="C2129" s="4" t="s">
        <v>278</v>
      </c>
      <c r="D2129" s="94">
        <v>3292.0</v>
      </c>
    </row>
    <row r="2130">
      <c r="A2130" s="40" t="str">
        <f t="array" ref="A2130">IFNA(index(PlayerValues!A:A,match(IFNA(vlookup(B2130,'Special Names'!A:B,2,FALSE),B2130),PlayerValues!E:E,0)),"N/A")</f>
        <v>N/A</v>
      </c>
      <c r="B2130" s="4" t="s">
        <v>108</v>
      </c>
      <c r="C2130" s="4" t="s">
        <v>325</v>
      </c>
      <c r="D2130" s="94">
        <v>3286.0</v>
      </c>
    </row>
    <row r="2131">
      <c r="A2131" s="40">
        <f t="array" ref="A2131">IFNA(index(PlayerValues!A:A,match(IFNA(vlookup(B2131,'Special Names'!A:B,2,FALSE),B2131),PlayerValues!E:E,0)),"N/A")</f>
        <v>15259</v>
      </c>
      <c r="B2131" s="4" t="s">
        <v>453</v>
      </c>
      <c r="C2131" s="4" t="s">
        <v>278</v>
      </c>
      <c r="D2131" s="94">
        <v>3278.0</v>
      </c>
    </row>
    <row r="2132">
      <c r="A2132" s="40">
        <f t="array" ref="A2132">IFNA(index(PlayerValues!A:A,match(IFNA(vlookup(B2132,'Special Names'!A:B,2,FALSE),B2132),PlayerValues!E:E,0)),"N/A")</f>
        <v>17517</v>
      </c>
      <c r="B2132" s="4" t="s">
        <v>454</v>
      </c>
      <c r="C2132" s="4" t="s">
        <v>287</v>
      </c>
      <c r="D2132" s="94">
        <v>3253.0</v>
      </c>
    </row>
    <row r="2133">
      <c r="A2133" s="40">
        <f t="array" ref="A2133">IFNA(index(PlayerValues!A:A,match(IFNA(vlookup(B2133,'Special Names'!A:B,2,FALSE),B2133),PlayerValues!E:E,0)),"N/A")</f>
        <v>16809</v>
      </c>
      <c r="B2133" s="4" t="s">
        <v>455</v>
      </c>
      <c r="C2133" s="4" t="s">
        <v>287</v>
      </c>
      <c r="D2133" s="94">
        <v>3252.0</v>
      </c>
    </row>
    <row r="2134">
      <c r="A2134" s="40">
        <f t="array" ref="A2134">IFNA(index(PlayerValues!A:A,match(IFNA(vlookup(B2134,'Special Names'!A:B,2,FALSE),B2134),PlayerValues!E:E,0)),"N/A")</f>
        <v>14842</v>
      </c>
      <c r="B2134" s="4" t="s">
        <v>456</v>
      </c>
      <c r="C2134" s="4" t="s">
        <v>287</v>
      </c>
      <c r="D2134" s="94">
        <v>3241.0</v>
      </c>
    </row>
    <row r="2135">
      <c r="A2135" s="40">
        <f t="array" ref="A2135">IFNA(index(PlayerValues!A:A,match(IFNA(vlookup(B2135,'Special Names'!A:B,2,FALSE),B2135),PlayerValues!E:E,0)),"N/A")</f>
        <v>16169</v>
      </c>
      <c r="B2135" s="4" t="s">
        <v>457</v>
      </c>
      <c r="C2135" s="4" t="s">
        <v>278</v>
      </c>
      <c r="D2135" s="94">
        <v>3231.0</v>
      </c>
    </row>
    <row r="2136">
      <c r="A2136" s="40">
        <f t="array" ref="A2136">IFNA(index(PlayerValues!A:A,match(IFNA(vlookup(B2136,'Special Names'!A:B,2,FALSE),B2136),PlayerValues!E:E,0)),"N/A")</f>
        <v>16213</v>
      </c>
      <c r="B2136" s="4" t="s">
        <v>458</v>
      </c>
      <c r="C2136" s="4" t="s">
        <v>298</v>
      </c>
      <c r="D2136" s="94">
        <v>3663.0</v>
      </c>
    </row>
    <row r="2137">
      <c r="A2137" s="40" t="str">
        <f t="array" ref="A2137">IFNA(index(PlayerValues!A:A,match(IFNA(vlookup(B2137,'Special Names'!A:B,2,FALSE),B2137),PlayerValues!E:E,0)),"N/A")</f>
        <v>N/A</v>
      </c>
      <c r="B2137" s="4" t="s">
        <v>97</v>
      </c>
      <c r="C2137" s="4" t="s">
        <v>325</v>
      </c>
      <c r="D2137" s="94">
        <v>3210.0</v>
      </c>
    </row>
    <row r="2138">
      <c r="A2138" s="40">
        <f t="array" ref="A2138">IFNA(index(PlayerValues!A:A,match(IFNA(vlookup(B2138,'Special Names'!A:B,2,FALSE),B2138),PlayerValues!E:E,0)),"N/A")</f>
        <v>14823</v>
      </c>
      <c r="B2138" s="4" t="s">
        <v>459</v>
      </c>
      <c r="C2138" s="4" t="s">
        <v>278</v>
      </c>
      <c r="D2138" s="94">
        <v>3195.0</v>
      </c>
    </row>
    <row r="2139">
      <c r="A2139" s="40">
        <f t="array" ref="A2139">IFNA(index(PlayerValues!A:A,match(IFNA(vlookup(B2139,'Special Names'!A:B,2,FALSE),B2139),PlayerValues!E:E,0)),"N/A")</f>
        <v>17482</v>
      </c>
      <c r="B2139" s="4" t="s">
        <v>460</v>
      </c>
      <c r="C2139" s="4" t="s">
        <v>278</v>
      </c>
      <c r="D2139" s="94">
        <v>3194.0</v>
      </c>
    </row>
    <row r="2140">
      <c r="A2140" s="40">
        <f t="array" ref="A2140">IFNA(index(PlayerValues!A:A,match(IFNA(vlookup(B2140,'Special Names'!A:B,2,FALSE),B2140),PlayerValues!E:E,0)),"N/A")</f>
        <v>15779</v>
      </c>
      <c r="B2140" s="4" t="s">
        <v>461</v>
      </c>
      <c r="C2140" s="4" t="s">
        <v>287</v>
      </c>
      <c r="D2140" s="94">
        <v>3191.0</v>
      </c>
    </row>
    <row r="2141">
      <c r="A2141" s="40">
        <f t="array" ref="A2141">IFNA(index(PlayerValues!A:A,match(IFNA(vlookup(B2141,'Special Names'!A:B,2,FALSE),B2141),PlayerValues!E:E,0)),"N/A")</f>
        <v>17256</v>
      </c>
      <c r="B2141" s="4" t="s">
        <v>462</v>
      </c>
      <c r="C2141" s="4" t="s">
        <v>278</v>
      </c>
      <c r="D2141" s="94">
        <v>3181.0</v>
      </c>
    </row>
    <row r="2142">
      <c r="A2142" s="40" t="str">
        <f t="array" ref="A2142">IFNA(index(PlayerValues!A:A,match(IFNA(vlookup(B2142,'Special Names'!A:B,2,FALSE),B2142),PlayerValues!E:E,0)),"N/A")</f>
        <v>N/A</v>
      </c>
      <c r="B2142" s="4" t="s">
        <v>84</v>
      </c>
      <c r="C2142" s="4" t="s">
        <v>325</v>
      </c>
      <c r="D2142" s="94">
        <v>3175.0</v>
      </c>
    </row>
    <row r="2143">
      <c r="A2143" s="40">
        <f t="array" ref="A2143">IFNA(index(PlayerValues!A:A,match(IFNA(vlookup(B2143,'Special Names'!A:B,2,FALSE),B2143),PlayerValues!E:E,0)),"N/A")</f>
        <v>11671</v>
      </c>
      <c r="B2143" s="4" t="s">
        <v>463</v>
      </c>
      <c r="C2143" s="4" t="s">
        <v>287</v>
      </c>
      <c r="D2143" s="94">
        <v>3149.0</v>
      </c>
    </row>
    <row r="2144">
      <c r="A2144" s="40">
        <f t="array" ref="A2144">IFNA(index(PlayerValues!A:A,match(IFNA(vlookup(B2144,'Special Names'!A:B,2,FALSE),B2144),PlayerValues!E:E,0)),"N/A")</f>
        <v>14073</v>
      </c>
      <c r="B2144" s="4" t="s">
        <v>464</v>
      </c>
      <c r="C2144" s="4" t="s">
        <v>278</v>
      </c>
      <c r="D2144" s="94">
        <v>3123.0</v>
      </c>
    </row>
    <row r="2145">
      <c r="A2145" s="40">
        <f t="array" ref="A2145">IFNA(index(PlayerValues!A:A,match(IFNA(vlookup(B2145,'Special Names'!A:B,2,FALSE),B2145),PlayerValues!E:E,0)),"N/A")</f>
        <v>13630</v>
      </c>
      <c r="B2145" s="4" t="s">
        <v>465</v>
      </c>
      <c r="C2145" s="4" t="s">
        <v>287</v>
      </c>
      <c r="D2145" s="94">
        <v>3120.0</v>
      </c>
    </row>
    <row r="2146">
      <c r="A2146" s="40" t="str">
        <f t="array" ref="A2146">IFNA(index(PlayerValues!A:A,match(IFNA(vlookup(B2146,'Special Names'!A:B,2,FALSE),B2146),PlayerValues!E:E,0)),"N/A")</f>
        <v>N/A</v>
      </c>
      <c r="B2146" s="4" t="s">
        <v>109</v>
      </c>
      <c r="C2146" s="4" t="s">
        <v>325</v>
      </c>
      <c r="D2146" s="94">
        <v>3079.0</v>
      </c>
    </row>
    <row r="2147">
      <c r="A2147" s="40">
        <f t="array" ref="A2147">IFNA(index(PlayerValues!A:A,match(IFNA(vlookup(B2147,'Special Names'!A:B,2,FALSE),B2147),PlayerValues!E:E,0)),"N/A")</f>
        <v>15261</v>
      </c>
      <c r="B2147" s="4" t="s">
        <v>466</v>
      </c>
      <c r="C2147" s="4" t="s">
        <v>278</v>
      </c>
      <c r="D2147" s="94">
        <v>3069.0</v>
      </c>
    </row>
    <row r="2148">
      <c r="A2148" s="40">
        <f t="array" ref="A2148">IFNA(index(PlayerValues!A:A,match(IFNA(vlookup(B2148,'Special Names'!A:B,2,FALSE),B2148),PlayerValues!E:E,0)),"N/A")</f>
        <v>16620</v>
      </c>
      <c r="B2148" s="4" t="s">
        <v>467</v>
      </c>
      <c r="C2148" s="4" t="s">
        <v>287</v>
      </c>
      <c r="D2148" s="94">
        <v>3061.0</v>
      </c>
    </row>
    <row r="2149">
      <c r="A2149" s="40">
        <f t="array" ref="A2149">IFNA(index(PlayerValues!A:A,match(IFNA(vlookup(B2149,'Special Names'!A:B,2,FALSE),B2149),PlayerValues!E:E,0)),"N/A")</f>
        <v>15799</v>
      </c>
      <c r="B2149" s="4" t="s">
        <v>468</v>
      </c>
      <c r="C2149" s="4" t="s">
        <v>298</v>
      </c>
      <c r="D2149" s="94">
        <v>3477.0</v>
      </c>
    </row>
    <row r="2150">
      <c r="A2150" s="40">
        <f t="array" ref="A2150">IFNA(index(PlayerValues!A:A,match(IFNA(vlookup(B2150,'Special Names'!A:B,2,FALSE),B2150),PlayerValues!E:E,0)),"N/A")</f>
        <v>15972</v>
      </c>
      <c r="B2150" s="4" t="s">
        <v>469</v>
      </c>
      <c r="C2150" s="4" t="s">
        <v>278</v>
      </c>
      <c r="D2150" s="94">
        <v>3037.0</v>
      </c>
    </row>
    <row r="2151">
      <c r="A2151" s="40">
        <f t="array" ref="A2151">IFNA(index(PlayerValues!A:A,match(IFNA(vlookup(B2151,'Special Names'!A:B,2,FALSE),B2151),PlayerValues!E:E,0)),"N/A")</f>
        <v>17544</v>
      </c>
      <c r="B2151" s="4" t="s">
        <v>470</v>
      </c>
      <c r="C2151" s="4" t="s">
        <v>298</v>
      </c>
      <c r="D2151" s="94">
        <v>3463.0</v>
      </c>
    </row>
    <row r="2152">
      <c r="A2152" s="40">
        <f t="array" ref="A2152">IFNA(index(PlayerValues!A:A,match(IFNA(vlookup(B2152,'Special Names'!A:B,2,FALSE),B2152),PlayerValues!E:E,0)),"N/A")</f>
        <v>17506</v>
      </c>
      <c r="B2152" s="4" t="s">
        <v>471</v>
      </c>
      <c r="C2152" s="4" t="s">
        <v>287</v>
      </c>
      <c r="D2152" s="94">
        <v>3033.0</v>
      </c>
    </row>
    <row r="2153">
      <c r="A2153" s="40">
        <f t="array" ref="A2153">IFNA(index(PlayerValues!A:A,match(IFNA(vlookup(B2153,'Special Names'!A:B,2,FALSE),B2153),PlayerValues!E:E,0)),"N/A")</f>
        <v>14800</v>
      </c>
      <c r="B2153" s="4" t="s">
        <v>472</v>
      </c>
      <c r="C2153" s="4" t="s">
        <v>278</v>
      </c>
      <c r="D2153" s="94">
        <v>3023.0</v>
      </c>
    </row>
    <row r="2154">
      <c r="A2154" s="40">
        <f t="array" ref="A2154">IFNA(index(PlayerValues!A:A,match(IFNA(vlookup(B2154,'Special Names'!A:B,2,FALSE),B2154),PlayerValues!E:E,0)),"N/A")</f>
        <v>13163</v>
      </c>
      <c r="B2154" s="4" t="s">
        <v>473</v>
      </c>
      <c r="C2154" s="4" t="s">
        <v>287</v>
      </c>
      <c r="D2154" s="94">
        <v>3022.0</v>
      </c>
    </row>
    <row r="2155">
      <c r="A2155" s="40">
        <f t="array" ref="A2155">IFNA(index(PlayerValues!A:A,match(IFNA(vlookup(B2155,'Special Names'!A:B,2,FALSE),B2155),PlayerValues!E:E,0)),"N/A")</f>
        <v>17099</v>
      </c>
      <c r="B2155" s="4" t="s">
        <v>474</v>
      </c>
      <c r="C2155" s="4" t="s">
        <v>298</v>
      </c>
      <c r="D2155" s="94">
        <v>3437.0</v>
      </c>
    </row>
    <row r="2156">
      <c r="A2156" s="40">
        <f t="array" ref="A2156">IFNA(index(PlayerValues!A:A,match(IFNA(vlookup(B2156,'Special Names'!A:B,2,FALSE),B2156),PlayerValues!E:E,0)),"N/A")</f>
        <v>17074</v>
      </c>
      <c r="B2156" s="4" t="s">
        <v>475</v>
      </c>
      <c r="C2156" s="4" t="s">
        <v>287</v>
      </c>
      <c r="D2156" s="94">
        <v>3003.0</v>
      </c>
    </row>
    <row r="2157">
      <c r="A2157" s="40">
        <f t="array" ref="A2157">IFNA(index(PlayerValues!A:A,match(IFNA(vlookup(B2157,'Special Names'!A:B,2,FALSE),B2157),PlayerValues!E:E,0)),"N/A")</f>
        <v>16604</v>
      </c>
      <c r="B2157" s="4" t="s">
        <v>476</v>
      </c>
      <c r="C2157" s="4" t="s">
        <v>278</v>
      </c>
      <c r="D2157" s="94">
        <v>2997.0</v>
      </c>
    </row>
    <row r="2158">
      <c r="A2158" s="40">
        <f t="array" ref="A2158">IFNA(index(PlayerValues!A:A,match(IFNA(vlookup(B2158,'Special Names'!A:B,2,FALSE),B2158),PlayerValues!E:E,0)),"N/A")</f>
        <v>15255</v>
      </c>
      <c r="B2158" s="4" t="s">
        <v>477</v>
      </c>
      <c r="C2158" s="4" t="s">
        <v>278</v>
      </c>
      <c r="D2158" s="94">
        <v>2965.0</v>
      </c>
    </row>
    <row r="2159">
      <c r="A2159" s="40">
        <f t="array" ref="A2159">IFNA(index(PlayerValues!A:A,match(IFNA(vlookup(B2159,'Special Names'!A:B,2,FALSE),B2159),PlayerValues!E:E,0)),"N/A")</f>
        <v>17107</v>
      </c>
      <c r="B2159" s="4" t="s">
        <v>478</v>
      </c>
      <c r="C2159" s="4" t="s">
        <v>298</v>
      </c>
      <c r="D2159" s="94">
        <v>3383.0</v>
      </c>
    </row>
    <row r="2160">
      <c r="A2160" s="40">
        <f t="array" ref="A2160">IFNA(index(PlayerValues!A:A,match(IFNA(vlookup(B2160,'Special Names'!A:B,2,FALSE),B2160),PlayerValues!E:E,0)),"N/A")</f>
        <v>17083</v>
      </c>
      <c r="B2160" s="4" t="s">
        <v>479</v>
      </c>
      <c r="C2160" s="4" t="s">
        <v>287</v>
      </c>
      <c r="D2160" s="94">
        <v>2927.0</v>
      </c>
    </row>
    <row r="2161">
      <c r="A2161" s="40">
        <f t="array" ref="A2161">IFNA(index(PlayerValues!A:A,match(IFNA(vlookup(B2161,'Special Names'!A:B,2,FALSE),B2161),PlayerValues!E:E,0)),"N/A")</f>
        <v>17503</v>
      </c>
      <c r="B2161" s="4" t="s">
        <v>480</v>
      </c>
      <c r="C2161" s="4" t="s">
        <v>287</v>
      </c>
      <c r="D2161" s="94">
        <v>2905.0</v>
      </c>
    </row>
    <row r="2162">
      <c r="A2162" s="40">
        <f t="array" ref="A2162">IFNA(index(PlayerValues!A:A,match(IFNA(vlookup(B2162,'Special Names'!A:B,2,FALSE),B2162),PlayerValues!E:E,0)),"N/A")</f>
        <v>16269</v>
      </c>
      <c r="B2162" s="4" t="s">
        <v>481</v>
      </c>
      <c r="C2162" s="4" t="s">
        <v>298</v>
      </c>
      <c r="D2162" s="94">
        <v>3323.0</v>
      </c>
    </row>
    <row r="2163">
      <c r="A2163" s="40" t="str">
        <f t="array" ref="A2163">IFNA(index(PlayerValues!A:A,match(IFNA(vlookup(B2163,'Special Names'!A:B,2,FALSE),B2163),PlayerValues!E:E,0)),"N/A")</f>
        <v>N/A</v>
      </c>
      <c r="B2163" s="4" t="s">
        <v>85</v>
      </c>
      <c r="C2163" s="4" t="s">
        <v>325</v>
      </c>
      <c r="D2163" s="94">
        <v>2893.0</v>
      </c>
    </row>
    <row r="2164">
      <c r="A2164" s="40">
        <f t="array" ref="A2164">IFNA(index(PlayerValues!A:A,match(IFNA(vlookup(B2164,'Special Names'!A:B,2,FALSE),B2164),PlayerValues!E:E,0)),"N/A")</f>
        <v>17518</v>
      </c>
      <c r="B2164" s="4" t="s">
        <v>482</v>
      </c>
      <c r="C2164" s="4" t="s">
        <v>287</v>
      </c>
      <c r="D2164" s="94">
        <v>2888.0</v>
      </c>
    </row>
    <row r="2165">
      <c r="A2165" s="40">
        <f t="array" ref="A2165">IFNA(index(PlayerValues!A:A,match(IFNA(vlookup(B2165,'Special Names'!A:B,2,FALSE),B2165),PlayerValues!E:E,0)),"N/A")</f>
        <v>17512</v>
      </c>
      <c r="B2165" s="4" t="s">
        <v>483</v>
      </c>
      <c r="C2165" s="4" t="s">
        <v>287</v>
      </c>
      <c r="D2165" s="94">
        <v>2871.0</v>
      </c>
    </row>
    <row r="2166">
      <c r="A2166" s="40">
        <f t="array" ref="A2166">IFNA(index(PlayerValues!A:A,match(IFNA(vlookup(B2166,'Special Names'!A:B,2,FALSE),B2166),PlayerValues!E:E,0)),"N/A")</f>
        <v>17053</v>
      </c>
      <c r="B2166" s="4" t="s">
        <v>484</v>
      </c>
      <c r="C2166" s="4" t="s">
        <v>278</v>
      </c>
      <c r="D2166" s="94">
        <v>2867.0</v>
      </c>
    </row>
    <row r="2167">
      <c r="A2167" s="40">
        <f t="array" ref="A2167">IFNA(index(PlayerValues!A:A,match(IFNA(vlookup(B2167,'Special Names'!A:B,2,FALSE),B2167),PlayerValues!E:E,0)),"N/A")</f>
        <v>17511</v>
      </c>
      <c r="B2167" s="4" t="s">
        <v>485</v>
      </c>
      <c r="C2167" s="4" t="s">
        <v>287</v>
      </c>
      <c r="D2167" s="94">
        <v>2831.0</v>
      </c>
    </row>
    <row r="2168">
      <c r="A2168" s="40">
        <f t="array" ref="A2168">IFNA(index(PlayerValues!A:A,match(IFNA(vlookup(B2168,'Special Names'!A:B,2,FALSE),B2168),PlayerValues!E:E,0)),"N/A")</f>
        <v>14127</v>
      </c>
      <c r="B2168" s="4" t="s">
        <v>486</v>
      </c>
      <c r="C2168" s="4" t="s">
        <v>287</v>
      </c>
      <c r="D2168" s="94">
        <v>2824.0</v>
      </c>
    </row>
    <row r="2169">
      <c r="A2169" s="40">
        <f t="array" ref="A2169">IFNA(index(PlayerValues!A:A,match(IFNA(vlookup(B2169,'Special Names'!A:B,2,FALSE),B2169),PlayerValues!E:E,0)),"N/A")</f>
        <v>16193</v>
      </c>
      <c r="B2169" s="4" t="s">
        <v>487</v>
      </c>
      <c r="C2169" s="4" t="s">
        <v>287</v>
      </c>
      <c r="D2169" s="94">
        <v>2810.0</v>
      </c>
    </row>
    <row r="2170">
      <c r="A2170" s="40">
        <f t="array" ref="A2170">IFNA(index(PlayerValues!A:A,match(IFNA(vlookup(B2170,'Special Names'!A:B,2,FALSE),B2170),PlayerValues!E:E,0)),"N/A")</f>
        <v>15712</v>
      </c>
      <c r="B2170" s="4" t="s">
        <v>488</v>
      </c>
      <c r="C2170" s="4" t="s">
        <v>278</v>
      </c>
      <c r="D2170" s="94">
        <v>2806.0</v>
      </c>
    </row>
    <row r="2171">
      <c r="A2171" s="40" t="str">
        <f t="array" ref="A2171">IFNA(index(PlayerValues!A:A,match(IFNA(vlookup(B2171,'Special Names'!A:B,2,FALSE),B2171),PlayerValues!E:E,0)),"N/A")</f>
        <v>N/A</v>
      </c>
      <c r="B2171" s="4" t="s">
        <v>110</v>
      </c>
      <c r="C2171" s="4" t="s">
        <v>325</v>
      </c>
      <c r="D2171" s="94">
        <v>2803.0</v>
      </c>
    </row>
    <row r="2172">
      <c r="A2172" s="40">
        <f t="array" ref="A2172">IFNA(index(PlayerValues!A:A,match(IFNA(vlookup(B2172,'Special Names'!A:B,2,FALSE),B2172),PlayerValues!E:E,0)),"N/A")</f>
        <v>14085</v>
      </c>
      <c r="B2172" s="4" t="s">
        <v>489</v>
      </c>
      <c r="C2172" s="4" t="s">
        <v>278</v>
      </c>
      <c r="D2172" s="94">
        <v>2792.0</v>
      </c>
    </row>
    <row r="2173">
      <c r="A2173" s="40">
        <f t="array" ref="A2173">IFNA(index(PlayerValues!A:A,match(IFNA(vlookup(B2173,'Special Names'!A:B,2,FALSE),B2173),PlayerValues!E:E,0)),"N/A")</f>
        <v>16628</v>
      </c>
      <c r="B2173" s="4" t="s">
        <v>490</v>
      </c>
      <c r="C2173" s="4" t="s">
        <v>287</v>
      </c>
      <c r="D2173" s="94">
        <v>2791.0</v>
      </c>
    </row>
    <row r="2174">
      <c r="A2174" s="40">
        <f t="array" ref="A2174">IFNA(index(PlayerValues!A:A,match(IFNA(vlookup(B2174,'Special Names'!A:B,2,FALSE),B2174),PlayerValues!E:E,0)),"N/A")</f>
        <v>15761</v>
      </c>
      <c r="B2174" s="4" t="s">
        <v>491</v>
      </c>
      <c r="C2174" s="4" t="s">
        <v>287</v>
      </c>
      <c r="D2174" s="94">
        <v>2776.0</v>
      </c>
    </row>
    <row r="2175">
      <c r="A2175" s="40">
        <f t="array" ref="A2175">IFNA(index(PlayerValues!A:A,match(IFNA(vlookup(B2175,'Special Names'!A:B,2,FALSE),B2175),PlayerValues!E:E,0)),"N/A")</f>
        <v>17466</v>
      </c>
      <c r="B2175" s="4" t="s">
        <v>492</v>
      </c>
      <c r="C2175" s="4" t="s">
        <v>283</v>
      </c>
      <c r="D2175" s="94">
        <v>2768.0</v>
      </c>
    </row>
    <row r="2176">
      <c r="A2176" s="40">
        <f t="array" ref="A2176">IFNA(index(PlayerValues!A:A,match(IFNA(vlookup(B2176,'Special Names'!A:B,2,FALSE),B2176),PlayerValues!E:E,0)),"N/A")</f>
        <v>16583</v>
      </c>
      <c r="B2176" s="4" t="s">
        <v>493</v>
      </c>
      <c r="C2176" s="4" t="s">
        <v>283</v>
      </c>
      <c r="D2176" s="94">
        <v>2767.0</v>
      </c>
    </row>
    <row r="2177">
      <c r="A2177" s="40">
        <f t="array" ref="A2177">IFNA(index(PlayerValues!A:A,match(IFNA(vlookup(B2177,'Special Names'!A:B,2,FALSE),B2177),PlayerValues!E:E,0)),"N/A")</f>
        <v>17476</v>
      </c>
      <c r="B2177" s="4" t="s">
        <v>494</v>
      </c>
      <c r="C2177" s="4" t="s">
        <v>278</v>
      </c>
      <c r="D2177" s="94">
        <v>2746.0</v>
      </c>
    </row>
    <row r="2178">
      <c r="A2178" s="40">
        <f t="array" ref="A2178">IFNA(index(PlayerValues!A:A,match(IFNA(vlookup(B2178,'Special Names'!A:B,2,FALSE),B2178),PlayerValues!E:E,0)),"N/A")</f>
        <v>17507</v>
      </c>
      <c r="B2178" s="4" t="s">
        <v>495</v>
      </c>
      <c r="C2178" s="4" t="s">
        <v>287</v>
      </c>
      <c r="D2178" s="94">
        <v>2728.0</v>
      </c>
    </row>
    <row r="2179">
      <c r="A2179" s="40">
        <f t="array" ref="A2179">IFNA(index(PlayerValues!A:A,match(IFNA(vlookup(B2179,'Special Names'!A:B,2,FALSE),B2179),PlayerValues!E:E,0)),"N/A")</f>
        <v>17599</v>
      </c>
      <c r="B2179" s="4" t="s">
        <v>496</v>
      </c>
      <c r="C2179" s="4" t="s">
        <v>287</v>
      </c>
      <c r="D2179" s="94">
        <v>2719.0</v>
      </c>
    </row>
    <row r="2180">
      <c r="A2180" s="40">
        <f t="array" ref="A2180">IFNA(index(PlayerValues!A:A,match(IFNA(vlookup(B2180,'Special Names'!A:B,2,FALSE),B2180),PlayerValues!E:E,0)),"N/A")</f>
        <v>12186</v>
      </c>
      <c r="B2180" s="4" t="s">
        <v>497</v>
      </c>
      <c r="C2180" s="4" t="s">
        <v>287</v>
      </c>
      <c r="D2180" s="94">
        <v>2676.0</v>
      </c>
    </row>
    <row r="2181">
      <c r="A2181" s="40">
        <f t="array" ref="A2181">IFNA(index(PlayerValues!A:A,match(IFNA(vlookup(B2181,'Special Names'!A:B,2,FALSE),B2181),PlayerValues!E:E,0)),"N/A")</f>
        <v>17082</v>
      </c>
      <c r="B2181" s="4" t="s">
        <v>498</v>
      </c>
      <c r="C2181" s="4" t="s">
        <v>287</v>
      </c>
      <c r="D2181" s="94">
        <v>2653.0</v>
      </c>
    </row>
    <row r="2182">
      <c r="A2182" s="40">
        <f t="array" ref="A2182">IFNA(index(PlayerValues!A:A,match(IFNA(vlookup(B2182,'Special Names'!A:B,2,FALSE),B2182),PlayerValues!E:E,0)),"N/A")</f>
        <v>16080</v>
      </c>
      <c r="B2182" s="4" t="s">
        <v>499</v>
      </c>
      <c r="C2182" s="4" t="s">
        <v>287</v>
      </c>
      <c r="D2182" s="94">
        <v>2647.0</v>
      </c>
    </row>
    <row r="2183">
      <c r="A2183" s="40">
        <f t="array" ref="A2183">IFNA(index(PlayerValues!A:A,match(IFNA(vlookup(B2183,'Special Names'!A:B,2,FALSE),B2183),PlayerValues!E:E,0)),"N/A")</f>
        <v>16684</v>
      </c>
      <c r="B2183" s="4" t="s">
        <v>500</v>
      </c>
      <c r="C2183" s="4" t="s">
        <v>287</v>
      </c>
      <c r="D2183" s="94">
        <v>2644.0</v>
      </c>
    </row>
    <row r="2184">
      <c r="A2184" s="40">
        <f t="array" ref="A2184">IFNA(index(PlayerValues!A:A,match(IFNA(vlookup(B2184,'Special Names'!A:B,2,FALSE),B2184),PlayerValues!E:E,0)),"N/A")</f>
        <v>16596</v>
      </c>
      <c r="B2184" s="4" t="s">
        <v>501</v>
      </c>
      <c r="C2184" s="4" t="s">
        <v>278</v>
      </c>
      <c r="D2184" s="94">
        <v>2640.0</v>
      </c>
    </row>
    <row r="2185">
      <c r="A2185" s="40">
        <f t="array" ref="A2185">IFNA(index(PlayerValues!A:A,match(IFNA(vlookup(B2185,'Special Names'!A:B,2,FALSE),B2185),PlayerValues!E:E,0)),"N/A")</f>
        <v>16723</v>
      </c>
      <c r="B2185" s="4" t="s">
        <v>502</v>
      </c>
      <c r="C2185" s="4" t="s">
        <v>298</v>
      </c>
      <c r="D2185" s="94">
        <v>3046.0</v>
      </c>
    </row>
    <row r="2186">
      <c r="A2186" s="40">
        <f t="array" ref="A2186">IFNA(index(PlayerValues!A:A,match(IFNA(vlookup(B2186,'Special Names'!A:B,2,FALSE),B2186),PlayerValues!E:E,0)),"N/A")</f>
        <v>15889</v>
      </c>
      <c r="B2186" s="4" t="s">
        <v>503</v>
      </c>
      <c r="C2186" s="4" t="s">
        <v>298</v>
      </c>
      <c r="D2186" s="94">
        <v>3046.0</v>
      </c>
    </row>
    <row r="2187">
      <c r="A2187" s="40">
        <f t="array" ref="A2187">IFNA(index(PlayerValues!A:A,match(IFNA(vlookup(B2187,'Special Names'!A:B,2,FALSE),B2187),PlayerValues!E:E,0)),"N/A")</f>
        <v>15721</v>
      </c>
      <c r="B2187" s="4" t="s">
        <v>504</v>
      </c>
      <c r="C2187" s="4" t="s">
        <v>278</v>
      </c>
      <c r="D2187" s="94">
        <v>2632.0</v>
      </c>
    </row>
    <row r="2188">
      <c r="A2188" s="40">
        <f t="array" ref="A2188">IFNA(index(PlayerValues!A:A,match(IFNA(vlookup(B2188,'Special Names'!A:B,2,FALSE),B2188),PlayerValues!E:E,0)),"N/A")</f>
        <v>16174</v>
      </c>
      <c r="B2188" s="4" t="s">
        <v>505</v>
      </c>
      <c r="C2188" s="4" t="s">
        <v>278</v>
      </c>
      <c r="D2188" s="94">
        <v>2624.0</v>
      </c>
    </row>
    <row r="2189">
      <c r="A2189" s="40">
        <f t="array" ref="A2189">IFNA(index(PlayerValues!A:A,match(IFNA(vlookup(B2189,'Special Names'!A:B,2,FALSE),B2189),PlayerValues!E:E,0)),"N/A")</f>
        <v>13671</v>
      </c>
      <c r="B2189" s="4" t="s">
        <v>506</v>
      </c>
      <c r="C2189" s="4" t="s">
        <v>298</v>
      </c>
      <c r="D2189" s="94">
        <v>3030.0</v>
      </c>
    </row>
    <row r="2190">
      <c r="A2190" s="40">
        <f t="array" ref="A2190">IFNA(index(PlayerValues!A:A,match(IFNA(vlookup(B2190,'Special Names'!A:B,2,FALSE),B2190),PlayerValues!E:E,0)),"N/A")</f>
        <v>16178</v>
      </c>
      <c r="B2190" s="4" t="s">
        <v>507</v>
      </c>
      <c r="C2190" s="4" t="s">
        <v>278</v>
      </c>
      <c r="D2190" s="94">
        <v>2615.0</v>
      </c>
    </row>
    <row r="2191">
      <c r="A2191" s="40">
        <f t="array" ref="A2191">IFNA(index(PlayerValues!A:A,match(IFNA(vlookup(B2191,'Special Names'!A:B,2,FALSE),B2191),PlayerValues!E:E,0)),"N/A")</f>
        <v>17072</v>
      </c>
      <c r="B2191" s="4" t="s">
        <v>508</v>
      </c>
      <c r="C2191" s="4" t="s">
        <v>287</v>
      </c>
      <c r="D2191" s="94">
        <v>2611.0</v>
      </c>
    </row>
    <row r="2192">
      <c r="A2192" s="40">
        <f t="array" ref="A2192">IFNA(index(PlayerValues!A:A,match(IFNA(vlookup(B2192,'Special Names'!A:B,2,FALSE),B2192),PlayerValues!E:E,0)),"N/A")</f>
        <v>16195</v>
      </c>
      <c r="B2192" s="4" t="s">
        <v>509</v>
      </c>
      <c r="C2192" s="4" t="s">
        <v>287</v>
      </c>
      <c r="D2192" s="94">
        <v>2597.0</v>
      </c>
    </row>
    <row r="2193">
      <c r="A2193" s="40">
        <f t="array" ref="A2193">IFNA(index(PlayerValues!A:A,match(IFNA(vlookup(B2193,'Special Names'!A:B,2,FALSE),B2193),PlayerValues!E:E,0)),"N/A")</f>
        <v>17047</v>
      </c>
      <c r="B2193" s="4" t="s">
        <v>510</v>
      </c>
      <c r="C2193" s="4" t="s">
        <v>278</v>
      </c>
      <c r="D2193" s="94">
        <v>2597.0</v>
      </c>
    </row>
    <row r="2194">
      <c r="A2194" s="40">
        <f t="array" ref="A2194">IFNA(index(PlayerValues!A:A,match(IFNA(vlookup(B2194,'Special Names'!A:B,2,FALSE),B2194),PlayerValues!E:E,0)),"N/A")</f>
        <v>13674</v>
      </c>
      <c r="B2194" s="4" t="s">
        <v>511</v>
      </c>
      <c r="C2194" s="4" t="s">
        <v>298</v>
      </c>
      <c r="D2194" s="94">
        <v>2996.0</v>
      </c>
    </row>
    <row r="2195">
      <c r="A2195" s="40" t="str">
        <f t="array" ref="A2195">IFNA(index(PlayerValues!A:A,match(IFNA(vlookup(B2195,'Special Names'!A:B,2,FALSE),B2195),PlayerValues!E:E,0)),"N/A")</f>
        <v>N/A</v>
      </c>
      <c r="B2195" s="4" t="s">
        <v>98</v>
      </c>
      <c r="C2195" s="4" t="s">
        <v>325</v>
      </c>
      <c r="D2195" s="94">
        <v>2580.0</v>
      </c>
    </row>
    <row r="2196">
      <c r="A2196" s="40">
        <f t="array" ref="A2196">IFNA(index(PlayerValues!A:A,match(IFNA(vlookup(B2196,'Special Names'!A:B,2,FALSE),B2196),PlayerValues!E:E,0)),"N/A")</f>
        <v>16164</v>
      </c>
      <c r="B2196" s="4" t="s">
        <v>512</v>
      </c>
      <c r="C2196" s="4" t="s">
        <v>278</v>
      </c>
      <c r="D2196" s="94">
        <v>2577.0</v>
      </c>
    </row>
    <row r="2197">
      <c r="A2197" s="40">
        <f t="array" ref="A2197">IFNA(index(PlayerValues!A:A,match(IFNA(vlookup(B2197,'Special Names'!A:B,2,FALSE),B2197),PlayerValues!E:E,0)),"N/A")</f>
        <v>17474</v>
      </c>
      <c r="B2197" s="4" t="s">
        <v>513</v>
      </c>
      <c r="C2197" s="4" t="s">
        <v>278</v>
      </c>
      <c r="D2197" s="94">
        <v>2573.0</v>
      </c>
    </row>
    <row r="2198">
      <c r="A2198" s="40">
        <f t="array" ref="A2198">IFNA(index(PlayerValues!A:A,match(IFNA(vlookup(B2198,'Special Names'!A:B,2,FALSE),B2198),PlayerValues!E:E,0)),"N/A")</f>
        <v>17468</v>
      </c>
      <c r="B2198" s="4" t="s">
        <v>514</v>
      </c>
      <c r="C2198" s="4" t="s">
        <v>283</v>
      </c>
      <c r="D2198" s="94">
        <v>2559.0</v>
      </c>
    </row>
    <row r="2199">
      <c r="A2199" s="40">
        <f t="array" ref="A2199">IFNA(index(PlayerValues!A:A,match(IFNA(vlookup(B2199,'Special Names'!A:B,2,FALSE),B2199),PlayerValues!E:E,0)),"N/A")</f>
        <v>16626</v>
      </c>
      <c r="B2199" s="4" t="s">
        <v>515</v>
      </c>
      <c r="C2199" s="4" t="s">
        <v>287</v>
      </c>
      <c r="D2199" s="94">
        <v>2555.0</v>
      </c>
    </row>
    <row r="2200">
      <c r="A2200" s="40">
        <f t="array" ref="A2200">IFNA(index(PlayerValues!A:A,match(IFNA(vlookup(B2200,'Special Names'!A:B,2,FALSE),B2200),PlayerValues!E:E,0)),"N/A")</f>
        <v>16287</v>
      </c>
      <c r="B2200" s="4" t="s">
        <v>516</v>
      </c>
      <c r="C2200" s="4" t="s">
        <v>287</v>
      </c>
      <c r="D2200" s="94">
        <v>2543.0</v>
      </c>
    </row>
    <row r="2201">
      <c r="A2201" s="40">
        <f t="array" ref="A2201">IFNA(index(PlayerValues!A:A,match(IFNA(vlookup(B2201,'Special Names'!A:B,2,FALSE),B2201),PlayerValues!E:E,0)),"N/A")</f>
        <v>16622</v>
      </c>
      <c r="B2201" s="4" t="s">
        <v>517</v>
      </c>
      <c r="C2201" s="4" t="s">
        <v>287</v>
      </c>
      <c r="D2201" s="94">
        <v>2539.0</v>
      </c>
    </row>
    <row r="2202">
      <c r="A2202" s="40">
        <f t="array" ref="A2202">IFNA(index(PlayerValues!A:A,match(IFNA(vlookup(B2202,'Special Names'!A:B,2,FALSE),B2202),PlayerValues!E:E,0)),"N/A")</f>
        <v>17520</v>
      </c>
      <c r="B2202" s="4" t="s">
        <v>518</v>
      </c>
      <c r="C2202" s="4" t="s">
        <v>287</v>
      </c>
      <c r="D2202" s="94">
        <v>2532.0</v>
      </c>
    </row>
    <row r="2203">
      <c r="A2203" s="40">
        <f t="array" ref="A2203">IFNA(index(PlayerValues!A:A,match(IFNA(vlookup(B2203,'Special Names'!A:B,2,FALSE),B2203),PlayerValues!E:E,0)),"N/A")</f>
        <v>11244</v>
      </c>
      <c r="B2203" s="4" t="s">
        <v>519</v>
      </c>
      <c r="C2203" s="4" t="s">
        <v>298</v>
      </c>
      <c r="D2203" s="94">
        <v>2930.0</v>
      </c>
    </row>
    <row r="2204">
      <c r="A2204" s="40">
        <f t="array" ref="A2204">IFNA(index(PlayerValues!A:A,match(IFNA(vlookup(B2204,'Special Names'!A:B,2,FALSE),B2204),PlayerValues!E:E,0)),"N/A")</f>
        <v>16165</v>
      </c>
      <c r="B2204" s="4" t="s">
        <v>520</v>
      </c>
      <c r="C2204" s="4" t="s">
        <v>278</v>
      </c>
      <c r="D2204" s="94">
        <v>2523.0</v>
      </c>
    </row>
    <row r="2205">
      <c r="A2205" s="40" t="str">
        <f t="array" ref="A2205">IFNA(index(PlayerValues!A:A,match(IFNA(vlookup(B2205,'Special Names'!A:B,2,FALSE),B2205),PlayerValues!E:E,0)),"N/A")</f>
        <v>N/A</v>
      </c>
      <c r="B2205" s="4" t="s">
        <v>99</v>
      </c>
      <c r="C2205" s="4" t="s">
        <v>325</v>
      </c>
      <c r="D2205" s="94">
        <v>2505.0</v>
      </c>
    </row>
    <row r="2206">
      <c r="A2206" s="40">
        <f t="array" ref="A2206">IFNA(index(PlayerValues!A:A,match(IFNA(vlookup(B2206,'Special Names'!A:B,2,FALSE),B2206),PlayerValues!E:E,0)),"N/A")</f>
        <v>15786</v>
      </c>
      <c r="B2206" s="4" t="s">
        <v>521</v>
      </c>
      <c r="C2206" s="4" t="s">
        <v>287</v>
      </c>
      <c r="D2206" s="94">
        <v>2499.0</v>
      </c>
    </row>
    <row r="2207">
      <c r="A2207" s="40">
        <f t="array" ref="A2207">IFNA(index(PlayerValues!A:A,match(IFNA(vlookup(B2207,'Special Names'!A:B,2,FALSE),B2207),PlayerValues!E:E,0)),"N/A")</f>
        <v>17485</v>
      </c>
      <c r="B2207" s="4" t="s">
        <v>522</v>
      </c>
      <c r="C2207" s="4" t="s">
        <v>278</v>
      </c>
      <c r="D2207" s="94">
        <v>2499.0</v>
      </c>
    </row>
    <row r="2208">
      <c r="A2208" s="40">
        <f t="array" ref="A2208">IFNA(index(PlayerValues!A:A,match(IFNA(vlookup(B2208,'Special Names'!A:B,2,FALSE),B2208),PlayerValues!E:E,0)),"N/A")</f>
        <v>14861</v>
      </c>
      <c r="B2208" s="4" t="s">
        <v>523</v>
      </c>
      <c r="C2208" s="4" t="s">
        <v>298</v>
      </c>
      <c r="D2208" s="94">
        <v>2901.0</v>
      </c>
    </row>
    <row r="2209">
      <c r="A2209" s="40">
        <f t="array" ref="A2209">IFNA(index(PlayerValues!A:A,match(IFNA(vlookup(B2209,'Special Names'!A:B,2,FALSE),B2209),PlayerValues!E:E,0)),"N/A")</f>
        <v>17157</v>
      </c>
      <c r="B2209" s="4" t="s">
        <v>524</v>
      </c>
      <c r="C2209" s="4" t="s">
        <v>287</v>
      </c>
      <c r="D2209" s="94">
        <v>2494.0</v>
      </c>
    </row>
    <row r="2210">
      <c r="A2210" s="40">
        <f t="array" ref="A2210">IFNA(index(PlayerValues!A:A,match(IFNA(vlookup(B2210,'Special Names'!A:B,2,FALSE),B2210),PlayerValues!E:E,0)),"N/A")</f>
        <v>17105</v>
      </c>
      <c r="B2210" s="4" t="s">
        <v>525</v>
      </c>
      <c r="C2210" s="4" t="s">
        <v>298</v>
      </c>
      <c r="D2210" s="94">
        <v>2892.0</v>
      </c>
    </row>
    <row r="2211">
      <c r="A2211" s="40">
        <f t="array" ref="A2211">IFNA(index(PlayerValues!A:A,match(IFNA(vlookup(B2211,'Special Names'!A:B,2,FALSE),B2211),PlayerValues!E:E,0)),"N/A")</f>
        <v>17607</v>
      </c>
      <c r="B2211" s="4" t="s">
        <v>526</v>
      </c>
      <c r="C2211" s="4" t="s">
        <v>298</v>
      </c>
      <c r="D2211" s="94">
        <v>2891.0</v>
      </c>
    </row>
    <row r="2212">
      <c r="A2212" s="40">
        <f t="array" ref="A2212">IFNA(index(PlayerValues!A:A,match(IFNA(vlookup(B2212,'Special Names'!A:B,2,FALSE),B2212),PlayerValues!E:E,0)),"N/A")</f>
        <v>17478</v>
      </c>
      <c r="B2212" s="4" t="s">
        <v>527</v>
      </c>
      <c r="C2212" s="4" t="s">
        <v>278</v>
      </c>
      <c r="D2212" s="94">
        <v>2486.0</v>
      </c>
    </row>
    <row r="2213">
      <c r="A2213" s="40">
        <f t="array" ref="A2213">IFNA(index(PlayerValues!A:A,match(IFNA(vlookup(B2213,'Special Names'!A:B,2,FALSE),B2213),PlayerValues!E:E,0)),"N/A")</f>
        <v>17505</v>
      </c>
      <c r="B2213" s="4" t="s">
        <v>528</v>
      </c>
      <c r="C2213" s="4" t="s">
        <v>287</v>
      </c>
      <c r="D2213" s="94">
        <v>2483.0</v>
      </c>
    </row>
    <row r="2214">
      <c r="A2214" s="40">
        <f t="array" ref="A2214">IFNA(index(PlayerValues!A:A,match(IFNA(vlookup(B2214,'Special Names'!A:B,2,FALSE),B2214),PlayerValues!E:E,0)),"N/A")</f>
        <v>12616</v>
      </c>
      <c r="B2214" s="4" t="s">
        <v>529</v>
      </c>
      <c r="C2214" s="4" t="s">
        <v>283</v>
      </c>
      <c r="D2214" s="94">
        <v>2477.0</v>
      </c>
    </row>
    <row r="2215">
      <c r="A2215" s="40">
        <f t="array" ref="A2215">IFNA(index(PlayerValues!A:A,match(IFNA(vlookup(B2215,'Special Names'!A:B,2,FALSE),B2215),PlayerValues!E:E,0)),"N/A")</f>
        <v>16204</v>
      </c>
      <c r="B2215" s="4" t="s">
        <v>530</v>
      </c>
      <c r="C2215" s="4" t="s">
        <v>287</v>
      </c>
      <c r="D2215" s="94">
        <v>2477.0</v>
      </c>
    </row>
    <row r="2216">
      <c r="A2216" s="40">
        <f t="array" ref="A2216">IFNA(index(PlayerValues!A:A,match(IFNA(vlookup(B2216,'Special Names'!A:B,2,FALSE),B2216),PlayerValues!E:E,0)),"N/A")</f>
        <v>14138</v>
      </c>
      <c r="B2216" s="4" t="s">
        <v>531</v>
      </c>
      <c r="C2216" s="4" t="s">
        <v>298</v>
      </c>
      <c r="D2216" s="94">
        <v>2863.0</v>
      </c>
    </row>
    <row r="2217">
      <c r="A2217" s="40">
        <f t="array" ref="A2217">IFNA(index(PlayerValues!A:A,match(IFNA(vlookup(B2217,'Special Names'!A:B,2,FALSE),B2217),PlayerValues!E:E,0)),"N/A")</f>
        <v>17080</v>
      </c>
      <c r="B2217" s="4" t="s">
        <v>532</v>
      </c>
      <c r="C2217" s="4" t="s">
        <v>287</v>
      </c>
      <c r="D2217" s="94">
        <v>2456.0</v>
      </c>
    </row>
    <row r="2218">
      <c r="A2218" s="40" t="str">
        <f t="array" ref="A2218">IFNA(index(PlayerValues!A:A,match(IFNA(vlookup(B2218,'Special Names'!A:B,2,FALSE),B2218),PlayerValues!E:E,0)),"N/A")</f>
        <v>N/A</v>
      </c>
      <c r="B2218" s="4" t="s">
        <v>86</v>
      </c>
      <c r="C2218" s="4" t="s">
        <v>325</v>
      </c>
      <c r="D2218" s="94">
        <v>2449.0</v>
      </c>
    </row>
    <row r="2219">
      <c r="A2219" s="40">
        <f t="array" ref="A2219">IFNA(index(PlayerValues!A:A,match(IFNA(vlookup(B2219,'Special Names'!A:B,2,FALSE),B2219),PlayerValues!E:E,0)),"N/A")</f>
        <v>17098</v>
      </c>
      <c r="B2219" s="4" t="s">
        <v>533</v>
      </c>
      <c r="C2219" s="4" t="s">
        <v>287</v>
      </c>
      <c r="D2219" s="94">
        <v>2409.0</v>
      </c>
    </row>
    <row r="2220">
      <c r="A2220" s="40">
        <f t="array" ref="A2220">IFNA(index(PlayerValues!A:A,match(IFNA(vlookup(B2220,'Special Names'!A:B,2,FALSE),B2220),PlayerValues!E:E,0)),"N/A")</f>
        <v>17508</v>
      </c>
      <c r="B2220" s="4" t="s">
        <v>534</v>
      </c>
      <c r="C2220" s="4" t="s">
        <v>287</v>
      </c>
      <c r="D2220" s="94">
        <v>2374.0</v>
      </c>
    </row>
    <row r="2221">
      <c r="A2221" s="40">
        <f t="array" ref="A2221">IFNA(index(PlayerValues!A:A,match(IFNA(vlookup(B2221,'Special Names'!A:B,2,FALSE),B2221),PlayerValues!E:E,0)),"N/A")</f>
        <v>17031</v>
      </c>
      <c r="B2221" s="4" t="s">
        <v>535</v>
      </c>
      <c r="C2221" s="4" t="s">
        <v>283</v>
      </c>
      <c r="D2221" s="94">
        <v>2363.0</v>
      </c>
    </row>
    <row r="2222">
      <c r="A2222" s="40" t="str">
        <f t="array" ref="A2222">IFNA(index(PlayerValues!A:A,match(IFNA(vlookup(B2222,'Special Names'!A:B,2,FALSE),B2222),PlayerValues!E:E,0)),"N/A")</f>
        <v>N/A</v>
      </c>
      <c r="B2222" s="4" t="s">
        <v>100</v>
      </c>
      <c r="C2222" s="4" t="s">
        <v>325</v>
      </c>
      <c r="D2222" s="94">
        <v>2361.0</v>
      </c>
    </row>
    <row r="2223">
      <c r="A2223" s="40">
        <f t="array" ref="A2223">IFNA(index(PlayerValues!A:A,match(IFNA(vlookup(B2223,'Special Names'!A:B,2,FALSE),B2223),PlayerValues!E:E,0)),"N/A")</f>
        <v>14136</v>
      </c>
      <c r="B2223" s="4" t="s">
        <v>536</v>
      </c>
      <c r="C2223" s="4" t="s">
        <v>287</v>
      </c>
      <c r="D2223" s="94">
        <v>2360.0</v>
      </c>
    </row>
    <row r="2224">
      <c r="A2224" s="40">
        <f t="array" ref="A2224">IFNA(index(PlayerValues!A:A,match(IFNA(vlookup(B2224,'Special Names'!A:B,2,FALSE),B2224),PlayerValues!E:E,0)),"N/A")</f>
        <v>12676</v>
      </c>
      <c r="B2224" s="4" t="s">
        <v>537</v>
      </c>
      <c r="C2224" s="4" t="s">
        <v>298</v>
      </c>
      <c r="D2224" s="94">
        <v>2755.0</v>
      </c>
    </row>
    <row r="2225">
      <c r="A2225" s="40">
        <f t="array" ref="A2225">IFNA(index(PlayerValues!A:A,match(IFNA(vlookup(B2225,'Special Names'!A:B,2,FALSE),B2225),PlayerValues!E:E,0)),"N/A")</f>
        <v>16619</v>
      </c>
      <c r="B2225" s="4" t="s">
        <v>538</v>
      </c>
      <c r="C2225" s="4" t="s">
        <v>287</v>
      </c>
      <c r="D2225" s="94">
        <v>2349.0</v>
      </c>
    </row>
    <row r="2226">
      <c r="A2226" s="40">
        <f t="array" ref="A2226">IFNA(index(PlayerValues!A:A,match(IFNA(vlookup(B2226,'Special Names'!A:B,2,FALSE),B2226),PlayerValues!E:E,0)),"N/A")</f>
        <v>17048</v>
      </c>
      <c r="B2226" s="4" t="s">
        <v>539</v>
      </c>
      <c r="C2226" s="4" t="s">
        <v>278</v>
      </c>
      <c r="D2226" s="94">
        <v>2348.0</v>
      </c>
    </row>
    <row r="2227">
      <c r="A2227" s="40">
        <f t="array" ref="A2227">IFNA(index(PlayerValues!A:A,match(IFNA(vlookup(B2227,'Special Names'!A:B,2,FALSE),B2227),PlayerValues!E:E,0)),"N/A")</f>
        <v>17481</v>
      </c>
      <c r="B2227" s="4" t="s">
        <v>540</v>
      </c>
      <c r="C2227" s="4" t="s">
        <v>278</v>
      </c>
      <c r="D2227" s="94">
        <v>2332.0</v>
      </c>
    </row>
    <row r="2228">
      <c r="A2228" s="40">
        <f t="array" ref="A2228">IFNA(index(PlayerValues!A:A,match(IFNA(vlookup(B2228,'Special Names'!A:B,2,FALSE),B2228),PlayerValues!E:E,0)),"N/A")</f>
        <v>16617</v>
      </c>
      <c r="B2228" s="4" t="s">
        <v>541</v>
      </c>
      <c r="C2228" s="4" t="s">
        <v>287</v>
      </c>
      <c r="D2228" s="94">
        <v>2327.0</v>
      </c>
    </row>
    <row r="2229">
      <c r="A2229" s="40">
        <f t="array" ref="A2229">IFNA(index(PlayerValues!A:A,match(IFNA(vlookup(B2229,'Special Names'!A:B,2,FALSE),B2229),PlayerValues!E:E,0)),"N/A")</f>
        <v>17108</v>
      </c>
      <c r="B2229" s="4" t="s">
        <v>542</v>
      </c>
      <c r="C2229" s="4" t="s">
        <v>298</v>
      </c>
      <c r="D2229" s="94">
        <v>2716.0</v>
      </c>
    </row>
    <row r="2230">
      <c r="A2230" s="40" t="str">
        <f t="array" ref="A2230">IFNA(index(PlayerValues!A:A,match(IFNA(vlookup(B2230,'Special Names'!A:B,2,FALSE),B2230),PlayerValues!E:E,0)),"N/A")</f>
        <v>N/A</v>
      </c>
      <c r="B2230" s="4" t="s">
        <v>87</v>
      </c>
      <c r="C2230" s="4" t="s">
        <v>325</v>
      </c>
      <c r="D2230" s="94">
        <v>2318.0</v>
      </c>
    </row>
    <row r="2231">
      <c r="A2231" s="40">
        <f t="array" ref="A2231">IFNA(index(PlayerValues!A:A,match(IFNA(vlookup(B2231,'Special Names'!A:B,2,FALSE),B2231),PlayerValues!E:E,0)),"N/A")</f>
        <v>17078</v>
      </c>
      <c r="B2231" s="4" t="s">
        <v>543</v>
      </c>
      <c r="C2231" s="4" t="s">
        <v>287</v>
      </c>
      <c r="D2231" s="94">
        <v>2318.0</v>
      </c>
    </row>
    <row r="2232">
      <c r="A2232" s="40" t="str">
        <f t="array" ref="A2232">IFNA(index(PlayerValues!A:A,match(IFNA(vlookup(B2232,'Special Names'!A:B,2,FALSE),B2232),PlayerValues!E:E,0)),"N/A")</f>
        <v>N/A</v>
      </c>
      <c r="B2232" s="4" t="s">
        <v>112</v>
      </c>
      <c r="C2232" s="4" t="s">
        <v>325</v>
      </c>
      <c r="D2232" s="94">
        <v>2311.0</v>
      </c>
    </row>
    <row r="2233">
      <c r="A2233" s="40">
        <f t="array" ref="A2233">IFNA(index(PlayerValues!A:A,match(IFNA(vlookup(B2233,'Special Names'!A:B,2,FALSE),B2233),PlayerValues!E:E,0)),"N/A")</f>
        <v>13772</v>
      </c>
      <c r="B2233" s="4" t="s">
        <v>544</v>
      </c>
      <c r="C2233" s="4" t="s">
        <v>298</v>
      </c>
      <c r="D2233" s="94">
        <v>2708.0</v>
      </c>
    </row>
    <row r="2234">
      <c r="A2234" s="40">
        <f t="array" ref="A2234">IFNA(index(PlayerValues!A:A,match(IFNA(vlookup(B2234,'Special Names'!A:B,2,FALSE),B2234),PlayerValues!E:E,0)),"N/A")</f>
        <v>15716</v>
      </c>
      <c r="B2234" s="4" t="s">
        <v>545</v>
      </c>
      <c r="C2234" s="4" t="s">
        <v>278</v>
      </c>
      <c r="D2234" s="94">
        <v>2282.0</v>
      </c>
    </row>
    <row r="2235">
      <c r="A2235" s="40">
        <f t="array" ref="A2235">IFNA(index(PlayerValues!A:A,match(IFNA(vlookup(B2235,'Special Names'!A:B,2,FALSE),B2235),PlayerValues!E:E,0)),"N/A")</f>
        <v>15241</v>
      </c>
      <c r="B2235" s="4" t="s">
        <v>546</v>
      </c>
      <c r="C2235" s="4" t="s">
        <v>283</v>
      </c>
      <c r="D2235" s="94">
        <v>2275.0</v>
      </c>
    </row>
    <row r="2236">
      <c r="A2236" s="40">
        <f t="array" ref="A2236">IFNA(index(PlayerValues!A:A,match(IFNA(vlookup(B2236,'Special Names'!A:B,2,FALSE),B2236),PlayerValues!E:E,0)),"N/A")</f>
        <v>17073</v>
      </c>
      <c r="B2236" s="4" t="s">
        <v>547</v>
      </c>
      <c r="C2236" s="4" t="s">
        <v>287</v>
      </c>
      <c r="D2236" s="94">
        <v>2273.0</v>
      </c>
    </row>
    <row r="2237">
      <c r="A2237" s="40">
        <f t="array" ref="A2237">IFNA(index(PlayerValues!A:A,match(IFNA(vlookup(B2237,'Special Names'!A:B,2,FALSE),B2237),PlayerValues!E:E,0)),"N/A")</f>
        <v>17134</v>
      </c>
      <c r="B2237" s="4" t="s">
        <v>548</v>
      </c>
      <c r="C2237" s="4" t="s">
        <v>287</v>
      </c>
      <c r="D2237" s="94">
        <v>2268.0</v>
      </c>
    </row>
    <row r="2238">
      <c r="A2238" s="40">
        <f t="array" ref="A2238">IFNA(index(PlayerValues!A:A,match(IFNA(vlookup(B2238,'Special Names'!A:B,2,FALSE),B2238),PlayerValues!E:E,0)),"N/A")</f>
        <v>13319</v>
      </c>
      <c r="B2238" s="4" t="s">
        <v>549</v>
      </c>
      <c r="C2238" s="4" t="s">
        <v>278</v>
      </c>
      <c r="D2238" s="94">
        <v>2263.0</v>
      </c>
    </row>
    <row r="2239">
      <c r="A2239" s="40">
        <f t="array" ref="A2239">IFNA(index(PlayerValues!A:A,match(IFNA(vlookup(B2239,'Special Names'!A:B,2,FALSE),B2239),PlayerValues!E:E,0)),"N/A")</f>
        <v>17106</v>
      </c>
      <c r="B2239" s="4" t="s">
        <v>550</v>
      </c>
      <c r="C2239" s="4" t="s">
        <v>298</v>
      </c>
      <c r="D2239" s="94">
        <v>2649.0</v>
      </c>
    </row>
    <row r="2240">
      <c r="A2240" s="40">
        <f t="array" ref="A2240">IFNA(index(PlayerValues!A:A,match(IFNA(vlookup(B2240,'Special Names'!A:B,2,FALSE),B2240),PlayerValues!E:E,0)),"N/A")</f>
        <v>17509</v>
      </c>
      <c r="B2240" s="4" t="s">
        <v>551</v>
      </c>
      <c r="C2240" s="4" t="s">
        <v>287</v>
      </c>
      <c r="D2240" s="94">
        <v>2251.0</v>
      </c>
    </row>
    <row r="2241">
      <c r="A2241" s="40">
        <f t="array" ref="A2241">IFNA(index(PlayerValues!A:A,match(IFNA(vlookup(B2241,'Special Names'!A:B,2,FALSE),B2241),PlayerValues!E:E,0)),"N/A")</f>
        <v>17547</v>
      </c>
      <c r="B2241" s="4" t="s">
        <v>552</v>
      </c>
      <c r="C2241" s="4" t="s">
        <v>298</v>
      </c>
      <c r="D2241" s="94">
        <v>2644.0</v>
      </c>
    </row>
    <row r="2242">
      <c r="A2242" s="40">
        <f t="array" ref="A2242">IFNA(index(PlayerValues!A:A,match(IFNA(vlookup(B2242,'Special Names'!A:B,2,FALSE),B2242),PlayerValues!E:E,0)),"N/A")</f>
        <v>14833</v>
      </c>
      <c r="B2242" s="4" t="s">
        <v>553</v>
      </c>
      <c r="C2242" s="4" t="s">
        <v>287</v>
      </c>
      <c r="D2242" s="94">
        <v>2236.0</v>
      </c>
    </row>
    <row r="2243">
      <c r="A2243" s="40">
        <f t="array" ref="A2243">IFNA(index(PlayerValues!A:A,match(IFNA(vlookup(B2243,'Special Names'!A:B,2,FALSE),B2243),PlayerValues!E:E,0)),"N/A")</f>
        <v>14860</v>
      </c>
      <c r="B2243" s="4" t="s">
        <v>554</v>
      </c>
      <c r="C2243" s="4" t="s">
        <v>287</v>
      </c>
      <c r="D2243" s="94">
        <v>2230.0</v>
      </c>
    </row>
    <row r="2244">
      <c r="A2244" s="40">
        <f t="array" ref="A2244">IFNA(index(PlayerValues!A:A,match(IFNA(vlookup(B2244,'Special Names'!A:B,2,FALSE),B2244),PlayerValues!E:E,0)),"N/A")</f>
        <v>16747</v>
      </c>
      <c r="B2244" s="4" t="s">
        <v>555</v>
      </c>
      <c r="C2244" s="4" t="s">
        <v>278</v>
      </c>
      <c r="D2244" s="94">
        <v>2199.0</v>
      </c>
    </row>
    <row r="2245">
      <c r="A2245" s="40">
        <f t="array" ref="A2245">IFNA(index(PlayerValues!A:A,match(IFNA(vlookup(B2245,'Special Names'!A:B,2,FALSE),B2245),PlayerValues!E:E,0)),"N/A")</f>
        <v>15797</v>
      </c>
      <c r="B2245" s="4" t="s">
        <v>556</v>
      </c>
      <c r="C2245" s="4" t="s">
        <v>298</v>
      </c>
      <c r="D2245" s="94">
        <v>2590.0</v>
      </c>
    </row>
    <row r="2246">
      <c r="A2246" s="40" t="str">
        <f t="array" ref="A2246">IFNA(index(PlayerValues!A:A,match(IFNA(vlookup(B2246,'Special Names'!A:B,2,FALSE),B2246),PlayerValues!E:E,0)),"N/A")</f>
        <v>N/A</v>
      </c>
      <c r="B2246" s="4" t="s">
        <v>557</v>
      </c>
      <c r="C2246" s="4" t="s">
        <v>278</v>
      </c>
      <c r="D2246" s="94">
        <v>2175.0</v>
      </c>
    </row>
    <row r="2247">
      <c r="A2247" s="40">
        <f t="array" ref="A2247">IFNA(index(PlayerValues!A:A,match(IFNA(vlookup(B2247,'Special Names'!A:B,2,FALSE),B2247),PlayerValues!E:E,0)),"N/A")</f>
        <v>16757</v>
      </c>
      <c r="B2247" s="4" t="s">
        <v>558</v>
      </c>
      <c r="C2247" s="4" t="s">
        <v>278</v>
      </c>
      <c r="D2247" s="94">
        <v>2168.0</v>
      </c>
    </row>
    <row r="2248">
      <c r="A2248" s="40" t="str">
        <f t="array" ref="A2248">IFNA(index(PlayerValues!A:A,match(IFNA(vlookup(B2248,'Special Names'!A:B,2,FALSE),B2248),PlayerValues!E:E,0)),"N/A")</f>
        <v>N/A</v>
      </c>
      <c r="B2248" s="4" t="s">
        <v>113</v>
      </c>
      <c r="C2248" s="4" t="s">
        <v>325</v>
      </c>
      <c r="D2248" s="94">
        <v>2166.0</v>
      </c>
    </row>
    <row r="2249">
      <c r="A2249" s="40">
        <f t="array" ref="A2249">IFNA(index(PlayerValues!A:A,match(IFNA(vlookup(B2249,'Special Names'!A:B,2,FALSE),B2249),PlayerValues!E:E,0)),"N/A")</f>
        <v>11150</v>
      </c>
      <c r="B2249" s="4" t="s">
        <v>559</v>
      </c>
      <c r="C2249" s="4" t="s">
        <v>283</v>
      </c>
      <c r="D2249" s="94">
        <v>2159.0</v>
      </c>
    </row>
    <row r="2250">
      <c r="A2250" s="40">
        <f t="array" ref="A2250">IFNA(index(PlayerValues!A:A,match(IFNA(vlookup(B2250,'Special Names'!A:B,2,FALSE),B2250),PlayerValues!E:E,0)),"N/A")</f>
        <v>15331</v>
      </c>
      <c r="B2250" s="4" t="s">
        <v>560</v>
      </c>
      <c r="C2250" s="4" t="s">
        <v>298</v>
      </c>
      <c r="D2250" s="94">
        <v>2536.0</v>
      </c>
    </row>
    <row r="2251">
      <c r="A2251" s="40">
        <f t="array" ref="A2251">IFNA(index(PlayerValues!A:A,match(IFNA(vlookup(B2251,'Special Names'!A:B,2,FALSE),B2251),PlayerValues!E:E,0)),"N/A")</f>
        <v>17171</v>
      </c>
      <c r="B2251" s="4" t="s">
        <v>561</v>
      </c>
      <c r="C2251" s="4" t="s">
        <v>287</v>
      </c>
      <c r="D2251" s="94">
        <v>2143.0</v>
      </c>
    </row>
    <row r="2252">
      <c r="A2252" s="40">
        <f t="array" ref="A2252">IFNA(index(PlayerValues!A:A,match(IFNA(vlookup(B2252,'Special Names'!A:B,2,FALSE),B2252),PlayerValues!E:E,0)),"N/A")</f>
        <v>16610</v>
      </c>
      <c r="B2252" s="4" t="s">
        <v>562</v>
      </c>
      <c r="C2252" s="4" t="s">
        <v>278</v>
      </c>
      <c r="D2252" s="94">
        <v>2140.0</v>
      </c>
    </row>
    <row r="2253">
      <c r="A2253" s="40">
        <f t="array" ref="A2253">IFNA(index(PlayerValues!A:A,match(IFNA(vlookup(B2253,'Special Names'!A:B,2,FALSE),B2253),PlayerValues!E:E,0)),"N/A")</f>
        <v>13192</v>
      </c>
      <c r="B2253" s="4" t="s">
        <v>563</v>
      </c>
      <c r="C2253" s="4" t="s">
        <v>298</v>
      </c>
      <c r="D2253" s="94">
        <v>2529.0</v>
      </c>
    </row>
    <row r="2254">
      <c r="A2254" s="40">
        <f t="array" ref="A2254">IFNA(index(PlayerValues!A:A,match(IFNA(vlookup(B2254,'Special Names'!A:B,2,FALSE),B2254),PlayerValues!E:E,0)),"N/A")</f>
        <v>14778</v>
      </c>
      <c r="B2254" s="4" t="s">
        <v>564</v>
      </c>
      <c r="C2254" s="4" t="s">
        <v>283</v>
      </c>
      <c r="D2254" s="94">
        <v>2139.0</v>
      </c>
    </row>
    <row r="2255">
      <c r="A2255" s="40">
        <f t="array" ref="A2255">IFNA(index(PlayerValues!A:A,match(IFNA(vlookup(B2255,'Special Names'!A:B,2,FALSE),B2255),PlayerValues!E:E,0)),"N/A")</f>
        <v>17055</v>
      </c>
      <c r="B2255" s="4" t="s">
        <v>565</v>
      </c>
      <c r="C2255" s="4" t="s">
        <v>278</v>
      </c>
      <c r="D2255" s="94">
        <v>2138.0</v>
      </c>
    </row>
    <row r="2256">
      <c r="A2256" s="40">
        <f t="array" ref="A2256">IFNA(index(PlayerValues!A:A,match(IFNA(vlookup(B2256,'Special Names'!A:B,2,FALSE),B2256),PlayerValues!E:E,0)),"N/A")</f>
        <v>15802</v>
      </c>
      <c r="B2256" s="4" t="s">
        <v>566</v>
      </c>
      <c r="C2256" s="4" t="s">
        <v>298</v>
      </c>
      <c r="D2256" s="94">
        <v>2529.0</v>
      </c>
    </row>
    <row r="2257">
      <c r="A2257" s="40" t="str">
        <f t="array" ref="A2257">IFNA(index(PlayerValues!A:A,match(IFNA(vlookup(B2257,'Special Names'!A:B,2,FALSE),B2257),PlayerValues!E:E,0)),"N/A")</f>
        <v>N/A</v>
      </c>
      <c r="B2257" s="4" t="s">
        <v>88</v>
      </c>
      <c r="C2257" s="4" t="s">
        <v>325</v>
      </c>
      <c r="D2257" s="94">
        <v>2133.0</v>
      </c>
    </row>
    <row r="2258">
      <c r="A2258" s="40">
        <f t="array" ref="A2258">IFNA(index(PlayerValues!A:A,match(IFNA(vlookup(B2258,'Special Names'!A:B,2,FALSE),B2258),PlayerValues!E:E,0)),"N/A")</f>
        <v>16166</v>
      </c>
      <c r="B2258" s="4" t="s">
        <v>567</v>
      </c>
      <c r="C2258" s="4" t="s">
        <v>278</v>
      </c>
      <c r="D2258" s="94">
        <v>2126.0</v>
      </c>
    </row>
    <row r="2259">
      <c r="A2259" s="40">
        <f t="array" ref="A2259">IFNA(index(PlayerValues!A:A,match(IFNA(vlookup(B2259,'Special Names'!A:B,2,FALSE),B2259),PlayerValues!E:E,0)),"N/A")</f>
        <v>16212</v>
      </c>
      <c r="B2259" s="4" t="s">
        <v>568</v>
      </c>
      <c r="C2259" s="4" t="s">
        <v>298</v>
      </c>
      <c r="D2259" s="94">
        <v>2509.0</v>
      </c>
    </row>
    <row r="2260">
      <c r="A2260" s="40">
        <f t="array" ref="A2260">IFNA(index(PlayerValues!A:A,match(IFNA(vlookup(B2260,'Special Names'!A:B,2,FALSE),B2260),PlayerValues!E:E,0)),"N/A")</f>
        <v>16584</v>
      </c>
      <c r="B2260" s="4" t="s">
        <v>569</v>
      </c>
      <c r="C2260" s="4" t="s">
        <v>283</v>
      </c>
      <c r="D2260" s="94">
        <v>2109.0</v>
      </c>
    </row>
    <row r="2261">
      <c r="A2261" s="40">
        <f t="array" ref="A2261">IFNA(index(PlayerValues!A:A,match(IFNA(vlookup(B2261,'Special Names'!A:B,2,FALSE),B2261),PlayerValues!E:E,0)),"N/A")</f>
        <v>17033</v>
      </c>
      <c r="B2261" s="4" t="s">
        <v>570</v>
      </c>
      <c r="C2261" s="4" t="s">
        <v>283</v>
      </c>
      <c r="D2261" s="94">
        <v>2104.0</v>
      </c>
    </row>
    <row r="2262">
      <c r="A2262" s="40">
        <f t="array" ref="A2262">IFNA(index(PlayerValues!A:A,match(IFNA(vlookup(B2262,'Special Names'!A:B,2,FALSE),B2262),PlayerValues!E:E,0)),"N/A")</f>
        <v>17567</v>
      </c>
      <c r="B2262" s="4" t="s">
        <v>571</v>
      </c>
      <c r="C2262" s="4" t="s">
        <v>298</v>
      </c>
      <c r="D2262" s="94">
        <v>2473.0</v>
      </c>
    </row>
    <row r="2263">
      <c r="A2263" s="40">
        <f t="array" ref="A2263">IFNA(index(PlayerValues!A:A,match(IFNA(vlookup(B2263,'Special Names'!A:B,2,FALSE),B2263),PlayerValues!E:E,0)),"N/A")</f>
        <v>17079</v>
      </c>
      <c r="B2263" s="4" t="s">
        <v>572</v>
      </c>
      <c r="C2263" s="4" t="s">
        <v>287</v>
      </c>
      <c r="D2263" s="94">
        <v>2081.0</v>
      </c>
    </row>
    <row r="2264">
      <c r="A2264" s="40" t="str">
        <f t="array" ref="A2264">IFNA(index(PlayerValues!A:A,match(IFNA(vlookup(B2264,'Special Names'!A:B,2,FALSE),B2264),PlayerValues!E:E,0)),"N/A")</f>
        <v>N/A</v>
      </c>
      <c r="B2264" s="4" t="s">
        <v>114</v>
      </c>
      <c r="C2264" s="4" t="s">
        <v>325</v>
      </c>
      <c r="D2264" s="94">
        <v>2075.0</v>
      </c>
    </row>
    <row r="2265">
      <c r="A2265" s="40">
        <f t="array" ref="A2265">IFNA(index(PlayerValues!A:A,match(IFNA(vlookup(B2265,'Special Names'!A:B,2,FALSE),B2265),PlayerValues!E:E,0)),"N/A")</f>
        <v>17521</v>
      </c>
      <c r="B2265" s="4" t="s">
        <v>573</v>
      </c>
      <c r="C2265" s="4" t="s">
        <v>287</v>
      </c>
      <c r="D2265" s="94">
        <v>2071.0</v>
      </c>
    </row>
    <row r="2266">
      <c r="A2266" s="40">
        <f t="array" ref="A2266">IFNA(index(PlayerValues!A:A,match(IFNA(vlookup(B2266,'Special Names'!A:B,2,FALSE),B2266),PlayerValues!E:E,0)),"N/A")</f>
        <v>15749</v>
      </c>
      <c r="B2266" s="4" t="s">
        <v>574</v>
      </c>
      <c r="C2266" s="4" t="s">
        <v>278</v>
      </c>
      <c r="D2266" s="94">
        <v>2068.0</v>
      </c>
    </row>
    <row r="2267">
      <c r="A2267" s="40">
        <f t="array" ref="A2267">IFNA(index(PlayerValues!A:A,match(IFNA(vlookup(B2267,'Special Names'!A:B,2,FALSE),B2267),PlayerValues!E:E,0)),"N/A")</f>
        <v>17467</v>
      </c>
      <c r="B2267" s="4" t="s">
        <v>575</v>
      </c>
      <c r="C2267" s="4" t="s">
        <v>283</v>
      </c>
      <c r="D2267" s="94">
        <v>2050.0</v>
      </c>
    </row>
    <row r="2268">
      <c r="A2268" s="40">
        <f t="array" ref="A2268">IFNA(index(PlayerValues!A:A,match(IFNA(vlookup(B2268,'Special Names'!A:B,2,FALSE),B2268),PlayerValues!E:E,0)),"N/A")</f>
        <v>17652</v>
      </c>
      <c r="B2268" s="4" t="s">
        <v>576</v>
      </c>
      <c r="C2268" s="4" t="s">
        <v>278</v>
      </c>
      <c r="D2268" s="94">
        <v>2048.0</v>
      </c>
    </row>
    <row r="2269">
      <c r="A2269" s="40">
        <f t="array" ref="A2269">IFNA(index(PlayerValues!A:A,match(IFNA(vlookup(B2269,'Special Names'!A:B,2,FALSE),B2269),PlayerValues!E:E,0)),"N/A")</f>
        <v>16778</v>
      </c>
      <c r="B2269" s="4" t="s">
        <v>577</v>
      </c>
      <c r="C2269" s="4" t="s">
        <v>287</v>
      </c>
      <c r="D2269" s="94">
        <v>2039.0</v>
      </c>
    </row>
    <row r="2270">
      <c r="A2270" s="40">
        <f t="array" ref="A2270">IFNA(index(PlayerValues!A:A,match(IFNA(vlookup(B2270,'Special Names'!A:B,2,FALSE),B2270),PlayerValues!E:E,0)),"N/A")</f>
        <v>15293</v>
      </c>
      <c r="B2270" s="4" t="s">
        <v>578</v>
      </c>
      <c r="C2270" s="4" t="s">
        <v>287</v>
      </c>
      <c r="D2270" s="94">
        <v>2029.0</v>
      </c>
    </row>
    <row r="2271">
      <c r="A2271" s="40">
        <f t="array" ref="A2271">IFNA(index(PlayerValues!A:A,match(IFNA(vlookup(B2271,'Special Names'!A:B,2,FALSE),B2271),PlayerValues!E:E,0)),"N/A")</f>
        <v>17528</v>
      </c>
      <c r="B2271" s="4" t="s">
        <v>579</v>
      </c>
      <c r="C2271" s="4" t="s">
        <v>287</v>
      </c>
      <c r="D2271" s="94">
        <v>2029.0</v>
      </c>
    </row>
    <row r="2272">
      <c r="A2272" s="40">
        <f t="array" ref="A2272">IFNA(index(PlayerValues!A:A,match(IFNA(vlookup(B2272,'Special Names'!A:B,2,FALSE),B2272),PlayerValues!E:E,0)),"N/A")</f>
        <v>17061</v>
      </c>
      <c r="B2272" s="4" t="s">
        <v>580</v>
      </c>
      <c r="C2272" s="4" t="s">
        <v>278</v>
      </c>
      <c r="D2272" s="94">
        <v>2028.0</v>
      </c>
    </row>
    <row r="2273">
      <c r="A2273" s="40">
        <f t="array" ref="A2273">IFNA(index(PlayerValues!A:A,match(IFNA(vlookup(B2273,'Special Names'!A:B,2,FALSE),B2273),PlayerValues!E:E,0)),"N/A")</f>
        <v>17056</v>
      </c>
      <c r="B2273" s="4" t="s">
        <v>581</v>
      </c>
      <c r="C2273" s="4" t="s">
        <v>278</v>
      </c>
      <c r="D2273" s="94">
        <v>2024.0</v>
      </c>
    </row>
    <row r="2274">
      <c r="A2274" s="40">
        <f t="array" ref="A2274">IFNA(index(PlayerValues!A:A,match(IFNA(vlookup(B2274,'Special Names'!A:B,2,FALSE),B2274),PlayerValues!E:E,0)),"N/A")</f>
        <v>16189</v>
      </c>
      <c r="B2274" s="4" t="s">
        <v>582</v>
      </c>
      <c r="C2274" s="4" t="s">
        <v>287</v>
      </c>
      <c r="D2274" s="94">
        <v>2022.0</v>
      </c>
    </row>
    <row r="2275">
      <c r="A2275" s="40">
        <f t="array" ref="A2275">IFNA(index(PlayerValues!A:A,match(IFNA(vlookup(B2275,'Special Names'!A:B,2,FALSE),B2275),PlayerValues!E:E,0)),"N/A")</f>
        <v>16342</v>
      </c>
      <c r="B2275" s="4" t="s">
        <v>583</v>
      </c>
      <c r="C2275" s="4" t="s">
        <v>287</v>
      </c>
      <c r="D2275" s="94">
        <v>2021.0</v>
      </c>
    </row>
    <row r="2276">
      <c r="A2276" s="40">
        <f t="array" ref="A2276">IFNA(index(PlayerValues!A:A,match(IFNA(vlookup(B2276,'Special Names'!A:B,2,FALSE),B2276),PlayerValues!E:E,0)),"N/A")</f>
        <v>14871</v>
      </c>
      <c r="B2276" s="4" t="s">
        <v>584</v>
      </c>
      <c r="C2276" s="4" t="s">
        <v>298</v>
      </c>
      <c r="D2276" s="94">
        <v>2380.0</v>
      </c>
    </row>
    <row r="2277">
      <c r="A2277" s="40">
        <f t="array" ref="A2277">IFNA(index(PlayerValues!A:A,match(IFNA(vlookup(B2277,'Special Names'!A:B,2,FALSE),B2277),PlayerValues!E:E,0)),"N/A")</f>
        <v>17076</v>
      </c>
      <c r="B2277" s="4" t="s">
        <v>585</v>
      </c>
      <c r="C2277" s="4" t="s">
        <v>287</v>
      </c>
      <c r="D2277" s="94">
        <v>1992.0</v>
      </c>
    </row>
    <row r="2278">
      <c r="A2278" s="40">
        <f t="array" ref="A2278">IFNA(index(PlayerValues!A:A,match(IFNA(vlookup(B2278,'Special Names'!A:B,2,FALSE),B2278),PlayerValues!E:E,0)),"N/A")</f>
        <v>16649</v>
      </c>
      <c r="B2278" s="4" t="s">
        <v>586</v>
      </c>
      <c r="C2278" s="4" t="s">
        <v>298</v>
      </c>
      <c r="D2278" s="94">
        <v>2376.0</v>
      </c>
    </row>
    <row r="2279">
      <c r="A2279" s="40">
        <f t="array" ref="A2279">IFNA(index(PlayerValues!A:A,match(IFNA(vlookup(B2279,'Special Names'!A:B,2,FALSE),B2279),PlayerValues!E:E,0)),"N/A")</f>
        <v>16603</v>
      </c>
      <c r="B2279" s="4" t="s">
        <v>587</v>
      </c>
      <c r="C2279" s="4" t="s">
        <v>278</v>
      </c>
      <c r="D2279" s="94">
        <v>1985.0</v>
      </c>
    </row>
    <row r="2280">
      <c r="A2280" s="40" t="str">
        <f t="array" ref="A2280">IFNA(index(PlayerValues!A:A,match(IFNA(vlookup(B2280,'Special Names'!A:B,2,FALSE),B2280),PlayerValues!E:E,0)),"N/A")</f>
        <v>N/A</v>
      </c>
      <c r="B2280" s="4" t="s">
        <v>101</v>
      </c>
      <c r="C2280" s="4" t="s">
        <v>325</v>
      </c>
      <c r="D2280" s="94">
        <v>1982.0</v>
      </c>
    </row>
    <row r="2281">
      <c r="A2281" s="40">
        <f t="array" ref="A2281">IFNA(index(PlayerValues!A:A,match(IFNA(vlookup(B2281,'Special Names'!A:B,2,FALSE),B2281),PlayerValues!E:E,0)),"N/A")</f>
        <v>17184</v>
      </c>
      <c r="B2281" s="4" t="s">
        <v>588</v>
      </c>
      <c r="C2281" s="4" t="s">
        <v>287</v>
      </c>
      <c r="D2281" s="94">
        <v>1972.0</v>
      </c>
    </row>
    <row r="2282">
      <c r="A2282" s="40">
        <f t="array" ref="A2282">IFNA(index(PlayerValues!A:A,match(IFNA(vlookup(B2282,'Special Names'!A:B,2,FALSE),B2282),PlayerValues!E:E,0)),"N/A")</f>
        <v>16201</v>
      </c>
      <c r="B2282" s="4" t="s">
        <v>589</v>
      </c>
      <c r="C2282" s="4" t="s">
        <v>287</v>
      </c>
      <c r="D2282" s="94">
        <v>1969.0</v>
      </c>
    </row>
    <row r="2283">
      <c r="A2283" s="40">
        <f t="array" ref="A2283">IFNA(index(PlayerValues!A:A,match(IFNA(vlookup(B2283,'Special Names'!A:B,2,FALSE),B2283),PlayerValues!E:E,0)),"N/A")</f>
        <v>7836</v>
      </c>
      <c r="B2283" s="4" t="s">
        <v>590</v>
      </c>
      <c r="C2283" s="4" t="s">
        <v>283</v>
      </c>
      <c r="D2283" s="94">
        <v>1951.0</v>
      </c>
    </row>
    <row r="2284">
      <c r="A2284" s="40">
        <f t="array" ref="A2284">IFNA(index(PlayerValues!A:A,match(IFNA(vlookup(B2284,'Special Names'!A:B,2,FALSE),B2284),PlayerValues!E:E,0)),"N/A")</f>
        <v>14867</v>
      </c>
      <c r="B2284" s="4" t="s">
        <v>591</v>
      </c>
      <c r="C2284" s="4" t="s">
        <v>298</v>
      </c>
      <c r="D2284" s="94">
        <v>2337.0</v>
      </c>
    </row>
    <row r="2285">
      <c r="A2285" s="40">
        <f t="array" ref="A2285">IFNA(index(PlayerValues!A:A,match(IFNA(vlookup(B2285,'Special Names'!A:B,2,FALSE),B2285),PlayerValues!E:E,0)),"N/A")</f>
        <v>16036</v>
      </c>
      <c r="B2285" s="4" t="s">
        <v>592</v>
      </c>
      <c r="C2285" s="4" t="s">
        <v>298</v>
      </c>
      <c r="D2285" s="94">
        <v>2330.0</v>
      </c>
    </row>
    <row r="2286">
      <c r="A2286" s="40">
        <f t="array" ref="A2286">IFNA(index(PlayerValues!A:A,match(IFNA(vlookup(B2286,'Special Names'!A:B,2,FALSE),B2286),PlayerValues!E:E,0)),"N/A")</f>
        <v>17519</v>
      </c>
      <c r="B2286" s="4" t="s">
        <v>593</v>
      </c>
      <c r="C2286" s="4" t="s">
        <v>287</v>
      </c>
      <c r="D2286" s="94">
        <v>1935.0</v>
      </c>
    </row>
    <row r="2287">
      <c r="A2287" s="40">
        <f t="array" ref="A2287">IFNA(index(PlayerValues!A:A,match(IFNA(vlookup(B2287,'Special Names'!A:B,2,FALSE),B2287),PlayerValues!E:E,0)),"N/A")</f>
        <v>17548</v>
      </c>
      <c r="B2287" s="4" t="s">
        <v>594</v>
      </c>
      <c r="C2287" s="4" t="s">
        <v>298</v>
      </c>
      <c r="D2287" s="94">
        <v>2314.0</v>
      </c>
    </row>
    <row r="2288">
      <c r="A2288" s="40">
        <f t="array" ref="A2288">IFNA(index(PlayerValues!A:A,match(IFNA(vlookup(B2288,'Special Names'!A:B,2,FALSE),B2288),PlayerValues!E:E,0)),"N/A")</f>
        <v>16216</v>
      </c>
      <c r="B2288" s="4" t="s">
        <v>595</v>
      </c>
      <c r="C2288" s="4" t="s">
        <v>298</v>
      </c>
      <c r="D2288" s="94">
        <v>2314.0</v>
      </c>
    </row>
    <row r="2289">
      <c r="A2289" s="40">
        <f t="array" ref="A2289">IFNA(index(PlayerValues!A:A,match(IFNA(vlookup(B2289,'Special Names'!A:B,2,FALSE),B2289),PlayerValues!E:E,0)),"N/A")</f>
        <v>10700</v>
      </c>
      <c r="B2289" s="4" t="s">
        <v>596</v>
      </c>
      <c r="C2289" s="4" t="s">
        <v>283</v>
      </c>
      <c r="D2289" s="94">
        <v>1926.0</v>
      </c>
    </row>
    <row r="2290">
      <c r="A2290" s="40">
        <f t="array" ref="A2290">IFNA(index(PlayerValues!A:A,match(IFNA(vlookup(B2290,'Special Names'!A:B,2,FALSE),B2290),PlayerValues!E:E,0)),"N/A")</f>
        <v>16752</v>
      </c>
      <c r="B2290" s="4" t="s">
        <v>597</v>
      </c>
      <c r="C2290" s="4" t="s">
        <v>278</v>
      </c>
      <c r="D2290" s="94">
        <v>1925.0</v>
      </c>
    </row>
    <row r="2291">
      <c r="A2291" s="40">
        <f t="array" ref="A2291">IFNA(index(PlayerValues!A:A,match(IFNA(vlookup(B2291,'Special Names'!A:B,2,FALSE),B2291),PlayerValues!E:E,0)),"N/A")</f>
        <v>13132</v>
      </c>
      <c r="B2291" s="4" t="s">
        <v>598</v>
      </c>
      <c r="C2291" s="4" t="s">
        <v>278</v>
      </c>
      <c r="D2291" s="94">
        <v>1920.0</v>
      </c>
    </row>
    <row r="2292">
      <c r="A2292" s="40">
        <f t="array" ref="A2292">IFNA(index(PlayerValues!A:A,match(IFNA(vlookup(B2292,'Special Names'!A:B,2,FALSE),B2292),PlayerValues!E:E,0)),"N/A")</f>
        <v>16639</v>
      </c>
      <c r="B2292" s="4" t="s">
        <v>599</v>
      </c>
      <c r="C2292" s="4" t="s">
        <v>287</v>
      </c>
      <c r="D2292" s="94">
        <v>1901.0</v>
      </c>
    </row>
    <row r="2293">
      <c r="A2293" s="40">
        <f t="array" ref="A2293">IFNA(index(PlayerValues!A:A,match(IFNA(vlookup(B2293,'Special Names'!A:B,2,FALSE),B2293),PlayerValues!E:E,0)),"N/A")</f>
        <v>17087</v>
      </c>
      <c r="B2293" s="4" t="s">
        <v>600</v>
      </c>
      <c r="C2293" s="4" t="s">
        <v>287</v>
      </c>
      <c r="D2293" s="94">
        <v>1894.0</v>
      </c>
    </row>
    <row r="2294">
      <c r="A2294" s="40">
        <f t="array" ref="A2294">IFNA(index(PlayerValues!A:A,match(IFNA(vlookup(B2294,'Special Names'!A:B,2,FALSE),B2294),PlayerValues!E:E,0)),"N/A")</f>
        <v>16152</v>
      </c>
      <c r="B2294" s="4" t="s">
        <v>601</v>
      </c>
      <c r="C2294" s="4" t="s">
        <v>283</v>
      </c>
      <c r="D2294" s="94">
        <v>1875.0</v>
      </c>
    </row>
    <row r="2295">
      <c r="A2295" s="40">
        <f t="array" ref="A2295">IFNA(index(PlayerValues!A:A,match(IFNA(vlookup(B2295,'Special Names'!A:B,2,FALSE),B2295),PlayerValues!E:E,0)),"N/A")</f>
        <v>17046</v>
      </c>
      <c r="B2295" s="4" t="s">
        <v>602</v>
      </c>
      <c r="C2295" s="4" t="s">
        <v>278</v>
      </c>
      <c r="D2295" s="94">
        <v>1868.0</v>
      </c>
    </row>
    <row r="2296">
      <c r="A2296" s="40">
        <f t="array" ref="A2296">IFNA(index(PlayerValues!A:A,match(IFNA(vlookup(B2296,'Special Names'!A:B,2,FALSE),B2296),PlayerValues!E:E,0)),"N/A")</f>
        <v>17060</v>
      </c>
      <c r="B2296" s="4" t="s">
        <v>603</v>
      </c>
      <c r="C2296" s="4" t="s">
        <v>278</v>
      </c>
      <c r="D2296" s="94">
        <v>1859.0</v>
      </c>
    </row>
    <row r="2297">
      <c r="A2297" s="40">
        <f t="array" ref="A2297">IFNA(index(PlayerValues!A:A,match(IFNA(vlookup(B2297,'Special Names'!A:B,2,FALSE),B2297),PlayerValues!E:E,0)),"N/A")</f>
        <v>17069</v>
      </c>
      <c r="B2297" s="4" t="s">
        <v>604</v>
      </c>
      <c r="C2297" s="4" t="s">
        <v>278</v>
      </c>
      <c r="D2297" s="94">
        <v>1848.0</v>
      </c>
    </row>
    <row r="2298">
      <c r="A2298" s="40">
        <f t="array" ref="A2298">IFNA(index(PlayerValues!A:A,match(IFNA(vlookup(B2298,'Special Names'!A:B,2,FALSE),B2298),PlayerValues!E:E,0)),"N/A")</f>
        <v>16629</v>
      </c>
      <c r="B2298" s="4" t="s">
        <v>605</v>
      </c>
      <c r="C2298" s="4" t="s">
        <v>287</v>
      </c>
      <c r="D2298" s="94">
        <v>1823.0</v>
      </c>
    </row>
    <row r="2299">
      <c r="A2299" s="40">
        <f t="array" ref="A2299">IFNA(index(PlayerValues!A:A,match(IFNA(vlookup(B2299,'Special Names'!A:B,2,FALSE),B2299),PlayerValues!E:E,0)),"N/A")</f>
        <v>13113</v>
      </c>
      <c r="B2299" s="4" t="s">
        <v>606</v>
      </c>
      <c r="C2299" s="4" t="s">
        <v>283</v>
      </c>
      <c r="D2299" s="94">
        <v>1822.0</v>
      </c>
    </row>
    <row r="2300">
      <c r="A2300" s="40">
        <f t="array" ref="A2300">IFNA(index(PlayerValues!A:A,match(IFNA(vlookup(B2300,'Special Names'!A:B,2,FALSE),B2300),PlayerValues!E:E,0)),"N/A")</f>
        <v>16594</v>
      </c>
      <c r="B2300" s="4" t="s">
        <v>607</v>
      </c>
      <c r="C2300" s="4" t="s">
        <v>278</v>
      </c>
      <c r="D2300" s="94">
        <v>1819.0</v>
      </c>
    </row>
    <row r="2301">
      <c r="A2301" s="40" t="str">
        <f t="array" ref="A2301">IFNA(index(PlayerValues!A:A,match(IFNA(vlookup(B2301,'Special Names'!A:B,2,FALSE),B2301),PlayerValues!E:E,0)),"N/A")</f>
        <v>N/A</v>
      </c>
      <c r="B2301" s="4" t="s">
        <v>102</v>
      </c>
      <c r="C2301" s="4" t="s">
        <v>325</v>
      </c>
      <c r="D2301" s="94">
        <v>1818.0</v>
      </c>
    </row>
    <row r="2302">
      <c r="A2302" s="40">
        <f t="array" ref="A2302">IFNA(index(PlayerValues!A:A,match(IFNA(vlookup(B2302,'Special Names'!A:B,2,FALSE),B2302),PlayerValues!E:E,0)),"N/A")</f>
        <v>17529</v>
      </c>
      <c r="B2302" s="4" t="s">
        <v>608</v>
      </c>
      <c r="C2302" s="4" t="s">
        <v>287</v>
      </c>
      <c r="D2302" s="94">
        <v>1815.0</v>
      </c>
    </row>
    <row r="2303">
      <c r="A2303" s="40">
        <f t="array" ref="A2303">IFNA(index(PlayerValues!A:A,match(IFNA(vlookup(B2303,'Special Names'!A:B,2,FALSE),B2303),PlayerValues!E:E,0)),"N/A")</f>
        <v>16643</v>
      </c>
      <c r="B2303" s="4" t="s">
        <v>609</v>
      </c>
      <c r="C2303" s="4" t="s">
        <v>298</v>
      </c>
      <c r="D2303" s="94">
        <v>2188.0</v>
      </c>
    </row>
    <row r="2304">
      <c r="A2304" s="40">
        <f t="array" ref="A2304">IFNA(index(PlayerValues!A:A,match(IFNA(vlookup(B2304,'Special Names'!A:B,2,FALSE),B2304),PlayerValues!E:E,0)),"N/A")</f>
        <v>15787</v>
      </c>
      <c r="B2304" s="4" t="s">
        <v>610</v>
      </c>
      <c r="C2304" s="4" t="s">
        <v>287</v>
      </c>
      <c r="D2304" s="94">
        <v>1803.0</v>
      </c>
    </row>
    <row r="2305">
      <c r="A2305" s="40">
        <f t="array" ref="A2305">IFNA(index(PlayerValues!A:A,match(IFNA(vlookup(B2305,'Special Names'!A:B,2,FALSE),B2305),PlayerValues!E:E,0)),"N/A")</f>
        <v>14974</v>
      </c>
      <c r="B2305" s="4" t="s">
        <v>611</v>
      </c>
      <c r="C2305" s="4" t="s">
        <v>287</v>
      </c>
      <c r="D2305" s="94">
        <v>1799.0</v>
      </c>
    </row>
    <row r="2306">
      <c r="A2306" s="40">
        <f t="array" ref="A2306">IFNA(index(PlayerValues!A:A,match(IFNA(vlookup(B2306,'Special Names'!A:B,2,FALSE),B2306),PlayerValues!E:E,0)),"N/A")</f>
        <v>17086</v>
      </c>
      <c r="B2306" s="4" t="s">
        <v>612</v>
      </c>
      <c r="C2306" s="4" t="s">
        <v>287</v>
      </c>
      <c r="D2306" s="94">
        <v>1797.0</v>
      </c>
    </row>
    <row r="2307">
      <c r="A2307" s="40">
        <f t="array" ref="A2307">IFNA(index(PlayerValues!A:A,match(IFNA(vlookup(B2307,'Special Names'!A:B,2,FALSE),B2307),PlayerValues!E:E,0)),"N/A")</f>
        <v>15238</v>
      </c>
      <c r="B2307" s="4" t="s">
        <v>613</v>
      </c>
      <c r="C2307" s="4" t="s">
        <v>283</v>
      </c>
      <c r="D2307" s="94">
        <v>1794.0</v>
      </c>
    </row>
    <row r="2308">
      <c r="A2308" s="40">
        <f t="array" ref="A2308">IFNA(index(PlayerValues!A:A,match(IFNA(vlookup(B2308,'Special Names'!A:B,2,FALSE),B2308),PlayerValues!E:E,0)),"N/A")</f>
        <v>17706</v>
      </c>
      <c r="B2308" s="4" t="s">
        <v>614</v>
      </c>
      <c r="C2308" s="4" t="s">
        <v>287</v>
      </c>
      <c r="D2308" s="94">
        <v>1783.0</v>
      </c>
    </row>
    <row r="2309">
      <c r="A2309" s="40">
        <f t="array" ref="A2309">IFNA(index(PlayerValues!A:A,match(IFNA(vlookup(B2309,'Special Names'!A:B,2,FALSE),B2309),PlayerValues!E:E,0)),"N/A")</f>
        <v>17475</v>
      </c>
      <c r="B2309" s="4" t="s">
        <v>615</v>
      </c>
      <c r="C2309" s="4" t="s">
        <v>278</v>
      </c>
      <c r="D2309" s="94">
        <v>1771.0</v>
      </c>
    </row>
    <row r="2310">
      <c r="A2310" s="40">
        <f t="array" ref="A2310">IFNA(index(PlayerValues!A:A,match(IFNA(vlookup(B2310,'Special Names'!A:B,2,FALSE),B2310),PlayerValues!E:E,0)),"N/A")</f>
        <v>17541</v>
      </c>
      <c r="B2310" s="4" t="s">
        <v>616</v>
      </c>
      <c r="C2310" s="4" t="s">
        <v>287</v>
      </c>
      <c r="D2310" s="94">
        <v>1771.0</v>
      </c>
    </row>
    <row r="2311">
      <c r="A2311" s="40" t="str">
        <f t="array" ref="A2311">IFNA(index(PlayerValues!A:A,match(IFNA(vlookup(B2311,'Special Names'!A:B,2,FALSE),B2311),PlayerValues!E:E,0)),"N/A")</f>
        <v>N/A</v>
      </c>
      <c r="B2311" s="4" t="s">
        <v>89</v>
      </c>
      <c r="C2311" s="4" t="s">
        <v>325</v>
      </c>
      <c r="D2311" s="94">
        <v>1747.0</v>
      </c>
    </row>
    <row r="2312">
      <c r="A2312" s="40">
        <f t="array" ref="A2312">IFNA(index(PlayerValues!A:A,match(IFNA(vlookup(B2312,'Special Names'!A:B,2,FALSE),B2312),PlayerValues!E:E,0)),"N/A")</f>
        <v>17036</v>
      </c>
      <c r="B2312" s="4" t="s">
        <v>617</v>
      </c>
      <c r="C2312" s="4" t="s">
        <v>283</v>
      </c>
      <c r="D2312" s="94">
        <v>1731.0</v>
      </c>
    </row>
    <row r="2313">
      <c r="A2313" s="40">
        <f t="array" ref="A2313">IFNA(index(PlayerValues!A:A,match(IFNA(vlookup(B2313,'Special Names'!A:B,2,FALSE),B2313),PlayerValues!E:E,0)),"N/A")</f>
        <v>16171</v>
      </c>
      <c r="B2313" s="4" t="s">
        <v>618</v>
      </c>
      <c r="C2313" s="4" t="s">
        <v>278</v>
      </c>
      <c r="D2313" s="94">
        <v>1727.0</v>
      </c>
    </row>
    <row r="2314">
      <c r="A2314" s="40">
        <f t="array" ref="A2314">IFNA(index(PlayerValues!A:A,match(IFNA(vlookup(B2314,'Special Names'!A:B,2,FALSE),B2314),PlayerValues!E:E,0)),"N/A")</f>
        <v>13629</v>
      </c>
      <c r="B2314" s="4" t="s">
        <v>619</v>
      </c>
      <c r="C2314" s="4" t="s">
        <v>287</v>
      </c>
      <c r="D2314" s="94">
        <v>1723.0</v>
      </c>
    </row>
    <row r="2315">
      <c r="A2315" s="40" t="str">
        <f t="array" ref="A2315">IFNA(index(PlayerValues!A:A,match(IFNA(vlookup(B2315,'Special Names'!A:B,2,FALSE),B2315),PlayerValues!E:E,0)),"N/A")</f>
        <v>N/A</v>
      </c>
      <c r="B2315" s="4" t="s">
        <v>103</v>
      </c>
      <c r="C2315" s="4" t="s">
        <v>325</v>
      </c>
      <c r="D2315" s="94">
        <v>1713.0</v>
      </c>
    </row>
    <row r="2316">
      <c r="A2316" s="40">
        <f t="array" ref="A2316">IFNA(index(PlayerValues!A:A,match(IFNA(vlookup(B2316,'Special Names'!A:B,2,FALSE),B2316),PlayerValues!E:E,0)),"N/A")</f>
        <v>16432</v>
      </c>
      <c r="B2316" s="4" t="s">
        <v>620</v>
      </c>
      <c r="C2316" s="4" t="s">
        <v>278</v>
      </c>
      <c r="D2316" s="94">
        <v>1709.0</v>
      </c>
    </row>
    <row r="2317">
      <c r="A2317" s="40">
        <f t="array" ref="A2317">IFNA(index(PlayerValues!A:A,match(IFNA(vlookup(B2317,'Special Names'!A:B,2,FALSE),B2317),PlayerValues!E:E,0)),"N/A")</f>
        <v>16788</v>
      </c>
      <c r="B2317" s="4" t="s">
        <v>621</v>
      </c>
      <c r="C2317" s="4" t="s">
        <v>287</v>
      </c>
      <c r="D2317" s="94">
        <v>1707.0</v>
      </c>
    </row>
    <row r="2318">
      <c r="A2318" s="40">
        <f t="array" ref="A2318">IFNA(index(PlayerValues!A:A,match(IFNA(vlookup(B2318,'Special Names'!A:B,2,FALSE),B2318),PlayerValues!E:E,0)),"N/A")</f>
        <v>11222</v>
      </c>
      <c r="B2318" s="4" t="s">
        <v>622</v>
      </c>
      <c r="C2318" s="4" t="s">
        <v>287</v>
      </c>
      <c r="D2318" s="94">
        <v>1702.0</v>
      </c>
    </row>
    <row r="2319">
      <c r="A2319" s="40" t="str">
        <f t="array" ref="A2319">IFNA(index(PlayerValues!A:A,match(IFNA(vlookup(B2319,'Special Names'!A:B,2,FALSE),B2319),PlayerValues!E:E,0)),"N/A")</f>
        <v>N/A</v>
      </c>
      <c r="B2319" s="4" t="s">
        <v>90</v>
      </c>
      <c r="C2319" s="4" t="s">
        <v>325</v>
      </c>
      <c r="D2319" s="94">
        <v>1699.0</v>
      </c>
    </row>
    <row r="2320">
      <c r="A2320" s="40">
        <f t="array" ref="A2320">IFNA(index(PlayerValues!A:A,match(IFNA(vlookup(B2320,'Special Names'!A:B,2,FALSE),B2320),PlayerValues!E:E,0)),"N/A")</f>
        <v>16585</v>
      </c>
      <c r="B2320" s="4" t="s">
        <v>623</v>
      </c>
      <c r="C2320" s="4" t="s">
        <v>283</v>
      </c>
      <c r="D2320" s="94">
        <v>1689.0</v>
      </c>
    </row>
    <row r="2321">
      <c r="A2321" s="40">
        <f t="array" ref="A2321">IFNA(index(PlayerValues!A:A,match(IFNA(vlookup(B2321,'Special Names'!A:B,2,FALSE),B2321),PlayerValues!E:E,0)),"N/A")</f>
        <v>17049</v>
      </c>
      <c r="B2321" s="4" t="s">
        <v>624</v>
      </c>
      <c r="C2321" s="4" t="s">
        <v>278</v>
      </c>
      <c r="D2321" s="94">
        <v>1688.0</v>
      </c>
    </row>
    <row r="2322">
      <c r="A2322" s="40">
        <f t="array" ref="A2322">IFNA(index(PlayerValues!A:A,match(IFNA(vlookup(B2322,'Special Names'!A:B,2,FALSE),B2322),PlayerValues!E:E,0)),"N/A")</f>
        <v>13633</v>
      </c>
      <c r="B2322" s="4" t="s">
        <v>625</v>
      </c>
      <c r="C2322" s="4" t="s">
        <v>287</v>
      </c>
      <c r="D2322" s="94">
        <v>1686.0</v>
      </c>
    </row>
    <row r="2323">
      <c r="A2323" s="40">
        <f t="array" ref="A2323">IFNA(index(PlayerValues!A:A,match(IFNA(vlookup(B2323,'Special Names'!A:B,2,FALSE),B2323),PlayerValues!E:E,0)),"N/A")</f>
        <v>13189</v>
      </c>
      <c r="B2323" s="4" t="s">
        <v>626</v>
      </c>
      <c r="C2323" s="4" t="s">
        <v>298</v>
      </c>
      <c r="D2323" s="94">
        <v>2050.0</v>
      </c>
    </row>
    <row r="2324">
      <c r="A2324" s="40">
        <f t="array" ref="A2324">IFNA(index(PlayerValues!A:A,match(IFNA(vlookup(B2324,'Special Names'!A:B,2,FALSE),B2324),PlayerValues!E:E,0)),"N/A")</f>
        <v>15788</v>
      </c>
      <c r="B2324" s="4" t="s">
        <v>627</v>
      </c>
      <c r="C2324" s="4" t="s">
        <v>287</v>
      </c>
      <c r="D2324" s="94">
        <v>1663.0</v>
      </c>
    </row>
    <row r="2325">
      <c r="A2325" s="40">
        <f t="array" ref="A2325">IFNA(index(PlayerValues!A:A,match(IFNA(vlookup(B2325,'Special Names'!A:B,2,FALSE),B2325),PlayerValues!E:E,0)),"N/A")</f>
        <v>15755</v>
      </c>
      <c r="B2325" s="4" t="s">
        <v>628</v>
      </c>
      <c r="C2325" s="4" t="s">
        <v>287</v>
      </c>
      <c r="D2325" s="94">
        <v>1660.0</v>
      </c>
    </row>
    <row r="2326">
      <c r="A2326" s="40">
        <f t="array" ref="A2326">IFNA(index(PlayerValues!A:A,match(IFNA(vlookup(B2326,'Special Names'!A:B,2,FALSE),B2326),PlayerValues!E:E,0)),"N/A")</f>
        <v>16608</v>
      </c>
      <c r="B2326" s="4" t="s">
        <v>629</v>
      </c>
      <c r="C2326" s="4" t="s">
        <v>278</v>
      </c>
      <c r="D2326" s="94">
        <v>1643.0</v>
      </c>
    </row>
    <row r="2327">
      <c r="A2327" s="40">
        <f t="array" ref="A2327">IFNA(index(PlayerValues!A:A,match(IFNA(vlookup(B2327,'Special Names'!A:B,2,FALSE),B2327),PlayerValues!E:E,0)),"N/A")</f>
        <v>17685</v>
      </c>
      <c r="B2327" s="4" t="s">
        <v>630</v>
      </c>
      <c r="C2327" s="4" t="s">
        <v>278</v>
      </c>
      <c r="D2327" s="94">
        <v>1633.0</v>
      </c>
    </row>
    <row r="2328">
      <c r="A2328" s="40">
        <f t="array" ref="A2328">IFNA(index(PlayerValues!A:A,match(IFNA(vlookup(B2328,'Special Names'!A:B,2,FALSE),B2328),PlayerValues!E:E,0)),"N/A")</f>
        <v>17064</v>
      </c>
      <c r="B2328" s="4" t="s">
        <v>631</v>
      </c>
      <c r="C2328" s="4" t="s">
        <v>278</v>
      </c>
      <c r="D2328" s="94">
        <v>1622.0</v>
      </c>
    </row>
    <row r="2329">
      <c r="A2329" s="40">
        <f t="array" ref="A2329">IFNA(index(PlayerValues!A:A,match(IFNA(vlookup(B2329,'Special Names'!A:B,2,FALSE),B2329),PlayerValues!E:E,0)),"N/A")</f>
        <v>13164</v>
      </c>
      <c r="B2329" s="4" t="s">
        <v>632</v>
      </c>
      <c r="C2329" s="4" t="s">
        <v>287</v>
      </c>
      <c r="D2329" s="94">
        <v>1617.0</v>
      </c>
    </row>
    <row r="2330">
      <c r="A2330" s="40">
        <f t="array" ref="A2330">IFNA(index(PlayerValues!A:A,match(IFNA(vlookup(B2330,'Special Names'!A:B,2,FALSE),B2330),PlayerValues!E:E,0)),"N/A")</f>
        <v>15254</v>
      </c>
      <c r="B2330" s="4" t="s">
        <v>633</v>
      </c>
      <c r="C2330" s="4" t="s">
        <v>278</v>
      </c>
      <c r="D2330" s="94">
        <v>1613.0</v>
      </c>
    </row>
    <row r="2331">
      <c r="A2331" s="40" t="str">
        <f t="array" ref="A2331">IFNA(index(PlayerValues!A:A,match(IFNA(vlookup(B2331,'Special Names'!A:B,2,FALSE),B2331),PlayerValues!E:E,0)),"N/A")</f>
        <v>N/A</v>
      </c>
      <c r="B2331" s="4" t="s">
        <v>115</v>
      </c>
      <c r="C2331" s="4" t="s">
        <v>325</v>
      </c>
      <c r="D2331" s="94">
        <v>1613.0</v>
      </c>
    </row>
    <row r="2332">
      <c r="A2332" s="40">
        <f t="array" ref="A2332">IFNA(index(PlayerValues!A:A,match(IFNA(vlookup(B2332,'Special Names'!A:B,2,FALSE),B2332),PlayerValues!E:E,0)),"N/A")</f>
        <v>15738</v>
      </c>
      <c r="B2332" s="4" t="s">
        <v>634</v>
      </c>
      <c r="C2332" s="4" t="s">
        <v>278</v>
      </c>
      <c r="D2332" s="94">
        <v>1609.0</v>
      </c>
    </row>
    <row r="2333">
      <c r="A2333" s="40">
        <f t="array" ref="A2333">IFNA(index(PlayerValues!A:A,match(IFNA(vlookup(B2333,'Special Names'!A:B,2,FALSE),B2333),PlayerValues!E:E,0)),"N/A")</f>
        <v>14143</v>
      </c>
      <c r="B2333" s="4" t="s">
        <v>635</v>
      </c>
      <c r="C2333" s="4" t="s">
        <v>298</v>
      </c>
      <c r="D2333" s="94">
        <v>1980.0</v>
      </c>
    </row>
    <row r="2334">
      <c r="A2334" s="40">
        <f t="array" ref="A2334">IFNA(index(PlayerValues!A:A,match(IFNA(vlookup(B2334,'Special Names'!A:B,2,FALSE),B2334),PlayerValues!E:E,0)),"N/A")</f>
        <v>16207</v>
      </c>
      <c r="B2334" s="4" t="s">
        <v>636</v>
      </c>
      <c r="C2334" s="4" t="s">
        <v>287</v>
      </c>
      <c r="D2334" s="94">
        <v>1596.0</v>
      </c>
    </row>
    <row r="2335">
      <c r="A2335" s="40">
        <f t="array" ref="A2335">IFNA(index(PlayerValues!A:A,match(IFNA(vlookup(B2335,'Special Names'!A:B,2,FALSE),B2335),PlayerValues!E:E,0)),"N/A")</f>
        <v>16215</v>
      </c>
      <c r="B2335" s="4" t="s">
        <v>637</v>
      </c>
      <c r="C2335" s="4" t="s">
        <v>298</v>
      </c>
      <c r="D2335" s="94">
        <v>1969.0</v>
      </c>
    </row>
    <row r="2336">
      <c r="A2336" s="40">
        <f t="array" ref="A2336">IFNA(index(PlayerValues!A:A,match(IFNA(vlookup(B2336,'Special Names'!A:B,2,FALSE),B2336),PlayerValues!E:E,0)),"N/A")</f>
        <v>17096</v>
      </c>
      <c r="B2336" s="4" t="s">
        <v>638</v>
      </c>
      <c r="C2336" s="4" t="s">
        <v>287</v>
      </c>
      <c r="D2336" s="94">
        <v>1591.0</v>
      </c>
    </row>
    <row r="2337">
      <c r="A2337" s="40">
        <f t="array" ref="A2337">IFNA(index(PlayerValues!A:A,match(IFNA(vlookup(B2337,'Special Names'!A:B,2,FALSE),B2337),PlayerValues!E:E,0)),"N/A")</f>
        <v>14086</v>
      </c>
      <c r="B2337" s="4" t="s">
        <v>639</v>
      </c>
      <c r="C2337" s="4" t="s">
        <v>278</v>
      </c>
      <c r="D2337" s="94">
        <v>1557.0</v>
      </c>
    </row>
    <row r="2338">
      <c r="A2338" s="40">
        <f t="array" ref="A2338">IFNA(index(PlayerValues!A:A,match(IFNA(vlookup(B2338,'Special Names'!A:B,2,FALSE),B2338),PlayerValues!E:E,0)),"N/A")</f>
        <v>16644</v>
      </c>
      <c r="B2338" s="4" t="s">
        <v>640</v>
      </c>
      <c r="C2338" s="4" t="s">
        <v>298</v>
      </c>
      <c r="D2338" s="94">
        <v>1915.0</v>
      </c>
    </row>
    <row r="2339">
      <c r="A2339" s="40">
        <f t="array" ref="A2339">IFNA(index(PlayerValues!A:A,match(IFNA(vlookup(B2339,'Special Names'!A:B,2,FALSE),B2339),PlayerValues!E:E,0)),"N/A")</f>
        <v>17058</v>
      </c>
      <c r="B2339" s="4" t="s">
        <v>641</v>
      </c>
      <c r="C2339" s="4" t="s">
        <v>278</v>
      </c>
      <c r="D2339" s="94">
        <v>1525.0</v>
      </c>
    </row>
    <row r="2340">
      <c r="A2340" s="40" t="str">
        <f t="array" ref="A2340">IFNA(index(PlayerValues!A:A,match(IFNA(vlookup(B2340,'Special Names'!A:B,2,FALSE),B2340),PlayerValues!E:E,0)),"N/A")</f>
        <v>N/A</v>
      </c>
      <c r="B2340" s="4" t="s">
        <v>116</v>
      </c>
      <c r="C2340" s="4" t="s">
        <v>325</v>
      </c>
      <c r="D2340" s="94">
        <v>1523.0</v>
      </c>
    </row>
    <row r="2341">
      <c r="A2341" s="40">
        <f t="array" ref="A2341">IFNA(index(PlayerValues!A:A,match(IFNA(vlookup(B2341,'Special Names'!A:B,2,FALSE),B2341),PlayerValues!E:E,0)),"N/A")</f>
        <v>17657</v>
      </c>
      <c r="B2341" s="4" t="s">
        <v>642</v>
      </c>
      <c r="C2341" s="4" t="s">
        <v>283</v>
      </c>
      <c r="D2341" s="94">
        <v>1523.0</v>
      </c>
    </row>
    <row r="2342">
      <c r="A2342" s="40">
        <f t="array" ref="A2342">IFNA(index(PlayerValues!A:A,match(IFNA(vlookup(B2342,'Special Names'!A:B,2,FALSE),B2342),PlayerValues!E:E,0)),"N/A")</f>
        <v>17034</v>
      </c>
      <c r="B2342" s="4" t="s">
        <v>643</v>
      </c>
      <c r="C2342" s="4" t="s">
        <v>283</v>
      </c>
      <c r="D2342" s="94">
        <v>1520.0</v>
      </c>
    </row>
    <row r="2343">
      <c r="A2343" s="40">
        <f t="array" ref="A2343">IFNA(index(PlayerValues!A:A,match(IFNA(vlookup(B2343,'Special Names'!A:B,2,FALSE),B2343),PlayerValues!E:E,0)),"N/A")</f>
        <v>15319</v>
      </c>
      <c r="B2343" s="4" t="s">
        <v>644</v>
      </c>
      <c r="C2343" s="4" t="s">
        <v>287</v>
      </c>
      <c r="D2343" s="94">
        <v>1519.0</v>
      </c>
    </row>
    <row r="2344">
      <c r="A2344" s="40" t="str">
        <f t="array" ref="A2344">IFNA(index(PlayerValues!A:A,match(IFNA(vlookup(B2344,'Special Names'!A:B,2,FALSE),B2344),PlayerValues!E:E,0)),"N/A")</f>
        <v>N/A</v>
      </c>
      <c r="B2344" s="4" t="s">
        <v>91</v>
      </c>
      <c r="C2344" s="4" t="s">
        <v>325</v>
      </c>
      <c r="D2344" s="94">
        <v>1514.0</v>
      </c>
    </row>
    <row r="2345">
      <c r="A2345" s="40">
        <f t="array" ref="A2345">IFNA(index(PlayerValues!A:A,match(IFNA(vlookup(B2345,'Special Names'!A:B,2,FALSE),B2345),PlayerValues!E:E,0)),"N/A")</f>
        <v>16635</v>
      </c>
      <c r="B2345" s="4" t="s">
        <v>645</v>
      </c>
      <c r="C2345" s="4" t="s">
        <v>287</v>
      </c>
      <c r="D2345" s="94">
        <v>1503.0</v>
      </c>
    </row>
    <row r="2346">
      <c r="A2346" s="40">
        <f t="array" ref="A2346">IFNA(index(PlayerValues!A:A,match(IFNA(vlookup(B2346,'Special Names'!A:B,2,FALSE),B2346),PlayerValues!E:E,0)),"N/A")</f>
        <v>16387</v>
      </c>
      <c r="B2346" s="4" t="s">
        <v>646</v>
      </c>
      <c r="C2346" s="4" t="s">
        <v>278</v>
      </c>
      <c r="D2346" s="94">
        <v>1500.0</v>
      </c>
    </row>
    <row r="2347">
      <c r="A2347" s="40">
        <f t="array" ref="A2347">IFNA(index(PlayerValues!A:A,match(IFNA(vlookup(B2347,'Special Names'!A:B,2,FALSE),B2347),PlayerValues!E:E,0)),"N/A")</f>
        <v>15752</v>
      </c>
      <c r="B2347" s="4" t="s">
        <v>647</v>
      </c>
      <c r="C2347" s="4" t="s">
        <v>287</v>
      </c>
      <c r="D2347" s="94">
        <v>1489.0</v>
      </c>
    </row>
    <row r="2348">
      <c r="A2348" s="40">
        <f t="array" ref="A2348">IFNA(index(PlayerValues!A:A,match(IFNA(vlookup(B2348,'Special Names'!A:B,2,FALSE),B2348),PlayerValues!E:E,0)),"N/A")</f>
        <v>16601</v>
      </c>
      <c r="B2348" s="4" t="s">
        <v>648</v>
      </c>
      <c r="C2348" s="4" t="s">
        <v>278</v>
      </c>
      <c r="D2348" s="94">
        <v>1476.0</v>
      </c>
    </row>
    <row r="2349">
      <c r="A2349" s="40">
        <f t="array" ref="A2349">IFNA(index(PlayerValues!A:A,match(IFNA(vlookup(B2349,'Special Names'!A:B,2,FALSE),B2349),PlayerValues!E:E,0)),"N/A")</f>
        <v>17465</v>
      </c>
      <c r="B2349" s="4" t="s">
        <v>649</v>
      </c>
      <c r="C2349" s="4" t="s">
        <v>283</v>
      </c>
      <c r="D2349" s="94">
        <v>1473.0</v>
      </c>
    </row>
    <row r="2350">
      <c r="A2350" s="40">
        <f t="array" ref="A2350">IFNA(index(PlayerValues!A:A,match(IFNA(vlookup(B2350,'Special Names'!A:B,2,FALSE),B2350),PlayerValues!E:E,0)),"N/A")</f>
        <v>17035</v>
      </c>
      <c r="B2350" s="4" t="s">
        <v>650</v>
      </c>
      <c r="C2350" s="4" t="s">
        <v>283</v>
      </c>
      <c r="D2350" s="94">
        <v>1462.0</v>
      </c>
    </row>
    <row r="2351">
      <c r="A2351" s="40">
        <f t="array" ref="A2351">IFNA(index(PlayerValues!A:A,match(IFNA(vlookup(B2351,'Special Names'!A:B,2,FALSE),B2351),PlayerValues!E:E,0)),"N/A")</f>
        <v>16645</v>
      </c>
      <c r="B2351" s="4" t="s">
        <v>651</v>
      </c>
      <c r="C2351" s="4" t="s">
        <v>298</v>
      </c>
      <c r="D2351" s="94">
        <v>1833.0</v>
      </c>
    </row>
    <row r="2352">
      <c r="A2352" s="40">
        <f t="array" ref="A2352">IFNA(index(PlayerValues!A:A,match(IFNA(vlookup(B2352,'Special Names'!A:B,2,FALSE),B2352),PlayerValues!E:E,0)),"N/A")</f>
        <v>13146</v>
      </c>
      <c r="B2352" s="4" t="s">
        <v>652</v>
      </c>
      <c r="C2352" s="4" t="s">
        <v>278</v>
      </c>
      <c r="D2352" s="94">
        <v>1460.0</v>
      </c>
    </row>
    <row r="2353">
      <c r="A2353" s="40">
        <f t="array" ref="A2353">IFNA(index(PlayerValues!A:A,match(IFNA(vlookup(B2353,'Special Names'!A:B,2,FALSE),B2353),PlayerValues!E:E,0)),"N/A")</f>
        <v>17234</v>
      </c>
      <c r="B2353" s="4" t="s">
        <v>653</v>
      </c>
      <c r="C2353" s="4" t="s">
        <v>287</v>
      </c>
      <c r="D2353" s="94">
        <v>1450.0</v>
      </c>
    </row>
    <row r="2354">
      <c r="A2354" s="40">
        <f t="array" ref="A2354">IFNA(index(PlayerValues!A:A,match(IFNA(vlookup(B2354,'Special Names'!A:B,2,FALSE),B2354),PlayerValues!E:E,0)),"N/A")</f>
        <v>16175</v>
      </c>
      <c r="B2354" s="4" t="s">
        <v>654</v>
      </c>
      <c r="C2354" s="4" t="s">
        <v>278</v>
      </c>
      <c r="D2354" s="94">
        <v>1447.0</v>
      </c>
    </row>
    <row r="2355">
      <c r="A2355" s="40">
        <f t="array" ref="A2355">IFNA(index(PlayerValues!A:A,match(IFNA(vlookup(B2355,'Special Names'!A:B,2,FALSE),B2355),PlayerValues!E:E,0)),"N/A")</f>
        <v>15337</v>
      </c>
      <c r="B2355" s="4" t="s">
        <v>655</v>
      </c>
      <c r="C2355" s="4" t="s">
        <v>298</v>
      </c>
      <c r="D2355" s="94">
        <v>1800.0</v>
      </c>
    </row>
    <row r="2356">
      <c r="A2356" s="40">
        <f t="array" ref="A2356">IFNA(index(PlayerValues!A:A,match(IFNA(vlookup(B2356,'Special Names'!A:B,2,FALSE),B2356),PlayerValues!E:E,0)),"N/A")</f>
        <v>16633</v>
      </c>
      <c r="B2356" s="4" t="s">
        <v>656</v>
      </c>
      <c r="C2356" s="4" t="s">
        <v>287</v>
      </c>
      <c r="D2356" s="94">
        <v>1430.0</v>
      </c>
    </row>
    <row r="2357">
      <c r="A2357" s="40">
        <f t="array" ref="A2357">IFNA(index(PlayerValues!A:A,match(IFNA(vlookup(B2357,'Special Names'!A:B,2,FALSE),B2357),PlayerValues!E:E,0)),"N/A")</f>
        <v>15301</v>
      </c>
      <c r="B2357" s="4" t="s">
        <v>657</v>
      </c>
      <c r="C2357" s="4" t="s">
        <v>287</v>
      </c>
      <c r="D2357" s="94">
        <v>1412.0</v>
      </c>
    </row>
    <row r="2358">
      <c r="A2358" s="40">
        <f t="array" ref="A2358">IFNA(index(PlayerValues!A:A,match(IFNA(vlookup(B2358,'Special Names'!A:B,2,FALSE),B2358),PlayerValues!E:E,0)),"N/A")</f>
        <v>16586</v>
      </c>
      <c r="B2358" s="4" t="s">
        <v>658</v>
      </c>
      <c r="C2358" s="4" t="s">
        <v>283</v>
      </c>
      <c r="D2358" s="94">
        <v>1401.0</v>
      </c>
    </row>
    <row r="2359">
      <c r="A2359" s="40">
        <f t="array" ref="A2359">IFNA(index(PlayerValues!A:A,match(IFNA(vlookup(B2359,'Special Names'!A:B,2,FALSE),B2359),PlayerValues!E:E,0)),"N/A")</f>
        <v>17097</v>
      </c>
      <c r="B2359" s="4" t="s">
        <v>659</v>
      </c>
      <c r="C2359" s="4" t="s">
        <v>287</v>
      </c>
      <c r="D2359" s="94">
        <v>1401.0</v>
      </c>
    </row>
    <row r="2360">
      <c r="A2360" s="40">
        <f t="array" ref="A2360">IFNA(index(PlayerValues!A:A,match(IFNA(vlookup(B2360,'Special Names'!A:B,2,FALSE),B2360),PlayerValues!E:E,0)),"N/A")</f>
        <v>17743</v>
      </c>
      <c r="B2360" s="4" t="s">
        <v>660</v>
      </c>
      <c r="C2360" s="4" t="s">
        <v>283</v>
      </c>
      <c r="D2360" s="94">
        <v>1398.0</v>
      </c>
    </row>
    <row r="2361">
      <c r="A2361" s="40">
        <f t="array" ref="A2361">IFNA(index(PlayerValues!A:A,match(IFNA(vlookup(B2361,'Special Names'!A:B,2,FALSE),B2361),PlayerValues!E:E,0)),"N/A")</f>
        <v>17510</v>
      </c>
      <c r="B2361" s="4" t="s">
        <v>661</v>
      </c>
      <c r="C2361" s="4" t="s">
        <v>287</v>
      </c>
      <c r="D2361" s="94">
        <v>1395.0</v>
      </c>
    </row>
    <row r="2362">
      <c r="A2362" s="40">
        <f t="array" ref="A2362">IFNA(index(PlayerValues!A:A,match(IFNA(vlookup(B2362,'Special Names'!A:B,2,FALSE),B2362),PlayerValues!E:E,0)),"N/A")</f>
        <v>15759</v>
      </c>
      <c r="B2362" s="4" t="s">
        <v>662</v>
      </c>
      <c r="C2362" s="4" t="s">
        <v>287</v>
      </c>
      <c r="D2362" s="94">
        <v>1389.0</v>
      </c>
    </row>
    <row r="2363">
      <c r="A2363" s="40">
        <f t="array" ref="A2363">IFNA(index(PlayerValues!A:A,match(IFNA(vlookup(B2363,'Special Names'!A:B,2,FALSE),B2363),PlayerValues!E:E,0)),"N/A")</f>
        <v>14122</v>
      </c>
      <c r="B2363" s="4" t="s">
        <v>663</v>
      </c>
      <c r="C2363" s="4" t="s">
        <v>287</v>
      </c>
      <c r="D2363" s="94">
        <v>1384.0</v>
      </c>
    </row>
    <row r="2364">
      <c r="A2364" s="40">
        <f t="array" ref="A2364">IFNA(index(PlayerValues!A:A,match(IFNA(vlookup(B2364,'Special Names'!A:B,2,FALSE),B2364),PlayerValues!E:E,0)),"N/A")</f>
        <v>16595</v>
      </c>
      <c r="B2364" s="4" t="s">
        <v>664</v>
      </c>
      <c r="C2364" s="4" t="s">
        <v>278</v>
      </c>
      <c r="D2364" s="94">
        <v>1383.0</v>
      </c>
    </row>
    <row r="2365">
      <c r="A2365" s="40">
        <f t="array" ref="A2365">IFNA(index(PlayerValues!A:A,match(IFNA(vlookup(B2365,'Special Names'!A:B,2,FALSE),B2365),PlayerValues!E:E,0)),"N/A")</f>
        <v>17205</v>
      </c>
      <c r="B2365" s="4" t="s">
        <v>665</v>
      </c>
      <c r="C2365" s="4" t="s">
        <v>287</v>
      </c>
      <c r="D2365" s="94">
        <v>1380.0</v>
      </c>
    </row>
    <row r="2366">
      <c r="A2366" s="40" t="str">
        <f t="array" ref="A2366">IFNA(index(PlayerValues!A:A,match(IFNA(vlookup(B2366,'Special Names'!A:B,2,FALSE),B2366),PlayerValues!E:E,0)),"N/A")</f>
        <v>N/A</v>
      </c>
      <c r="B2366" s="4" t="s">
        <v>117</v>
      </c>
      <c r="C2366" s="4" t="s">
        <v>325</v>
      </c>
      <c r="D2366" s="94">
        <v>1376.0</v>
      </c>
    </row>
    <row r="2367">
      <c r="A2367" s="40">
        <f t="array" ref="A2367">IFNA(index(PlayerValues!A:A,match(IFNA(vlookup(B2367,'Special Names'!A:B,2,FALSE),B2367),PlayerValues!E:E,0)),"N/A")</f>
        <v>16191</v>
      </c>
      <c r="B2367" s="4" t="s">
        <v>666</v>
      </c>
      <c r="C2367" s="4" t="s">
        <v>287</v>
      </c>
      <c r="D2367" s="94">
        <v>1355.0</v>
      </c>
    </row>
    <row r="2368">
      <c r="A2368" s="40">
        <f t="array" ref="A2368">IFNA(index(PlayerValues!A:A,match(IFNA(vlookup(B2368,'Special Names'!A:B,2,FALSE),B2368),PlayerValues!E:E,0)),"N/A")</f>
        <v>13672</v>
      </c>
      <c r="B2368" s="4" t="s">
        <v>667</v>
      </c>
      <c r="C2368" s="4" t="s">
        <v>298</v>
      </c>
      <c r="D2368" s="94">
        <v>1709.0</v>
      </c>
    </row>
    <row r="2369">
      <c r="A2369" s="40">
        <f t="array" ref="A2369">IFNA(index(PlayerValues!A:A,match(IFNA(vlookup(B2369,'Special Names'!A:B,2,FALSE),B2369),PlayerValues!E:E,0)),"N/A")</f>
        <v>17353</v>
      </c>
      <c r="B2369" s="4" t="s">
        <v>668</v>
      </c>
      <c r="C2369" s="4" t="s">
        <v>287</v>
      </c>
      <c r="D2369" s="94">
        <v>1341.0</v>
      </c>
    </row>
    <row r="2370">
      <c r="A2370" s="40">
        <f t="array" ref="A2370">IFNA(index(PlayerValues!A:A,match(IFNA(vlookup(B2370,'Special Names'!A:B,2,FALSE),B2370),PlayerValues!E:E,0)),"N/A")</f>
        <v>15795</v>
      </c>
      <c r="B2370" s="4" t="s">
        <v>669</v>
      </c>
      <c r="C2370" s="4" t="s">
        <v>298</v>
      </c>
      <c r="D2370" s="94">
        <v>1698.0</v>
      </c>
    </row>
    <row r="2371">
      <c r="A2371" s="40">
        <f t="array" ref="A2371">IFNA(index(PlayerValues!A:A,match(IFNA(vlookup(B2371,'Special Names'!A:B,2,FALSE),B2371),PlayerValues!E:E,0)),"N/A")</f>
        <v>17054</v>
      </c>
      <c r="B2371" s="4" t="s">
        <v>670</v>
      </c>
      <c r="C2371" s="4" t="s">
        <v>278</v>
      </c>
      <c r="D2371" s="94">
        <v>1323.0</v>
      </c>
    </row>
    <row r="2372">
      <c r="A2372" s="40">
        <f t="array" ref="A2372">IFNA(index(PlayerValues!A:A,match(IFNA(vlookup(B2372,'Special Names'!A:B,2,FALSE),B2372),PlayerValues!E:E,0)),"N/A")</f>
        <v>17546</v>
      </c>
      <c r="B2372" s="4" t="s">
        <v>671</v>
      </c>
      <c r="C2372" s="4" t="s">
        <v>298</v>
      </c>
      <c r="D2372" s="94">
        <v>1669.0</v>
      </c>
    </row>
    <row r="2373">
      <c r="A2373" s="40">
        <f t="array" ref="A2373">IFNA(index(PlayerValues!A:A,match(IFNA(vlookup(B2373,'Special Names'!A:B,2,FALSE),B2373),PlayerValues!E:E,0)),"N/A")</f>
        <v>16621</v>
      </c>
      <c r="B2373" s="4" t="s">
        <v>672</v>
      </c>
      <c r="C2373" s="4" t="s">
        <v>287</v>
      </c>
      <c r="D2373" s="94">
        <v>1294.0</v>
      </c>
    </row>
    <row r="2374">
      <c r="A2374" s="40">
        <f t="array" ref="A2374">IFNA(index(PlayerValues!A:A,match(IFNA(vlookup(B2374,'Special Names'!A:B,2,FALSE),B2374),PlayerValues!E:E,0)),"N/A")</f>
        <v>14108</v>
      </c>
      <c r="B2374" s="4" t="s">
        <v>673</v>
      </c>
      <c r="C2374" s="4" t="s">
        <v>287</v>
      </c>
      <c r="D2374" s="94">
        <v>1289.0</v>
      </c>
    </row>
    <row r="2375">
      <c r="A2375" s="40">
        <f t="array" ref="A2375">IFNA(index(PlayerValues!A:A,match(IFNA(vlookup(B2375,'Special Names'!A:B,2,FALSE),B2375),PlayerValues!E:E,0)),"N/A")</f>
        <v>17593</v>
      </c>
      <c r="B2375" s="4" t="s">
        <v>674</v>
      </c>
      <c r="C2375" s="4" t="s">
        <v>298</v>
      </c>
      <c r="D2375" s="94">
        <v>1654.0</v>
      </c>
    </row>
    <row r="2376">
      <c r="A2376" s="40">
        <f t="array" ref="A2376">IFNA(index(PlayerValues!A:A,match(IFNA(vlookup(B2376,'Special Names'!A:B,2,FALSE),B2376),PlayerValues!E:E,0)),"N/A")</f>
        <v>14105</v>
      </c>
      <c r="B2376" s="4" t="s">
        <v>675</v>
      </c>
      <c r="C2376" s="4" t="s">
        <v>287</v>
      </c>
      <c r="D2376" s="94">
        <v>1283.0</v>
      </c>
    </row>
    <row r="2377">
      <c r="A2377" s="40">
        <f t="array" ref="A2377">IFNA(index(PlayerValues!A:A,match(IFNA(vlookup(B2377,'Special Names'!A:B,2,FALSE),B2377),PlayerValues!E:E,0)),"N/A")</f>
        <v>14137</v>
      </c>
      <c r="B2377" s="4" t="s">
        <v>676</v>
      </c>
      <c r="C2377" s="4" t="s">
        <v>298</v>
      </c>
      <c r="D2377" s="94">
        <v>1639.0</v>
      </c>
    </row>
    <row r="2378">
      <c r="A2378" s="40">
        <f t="array" ref="A2378">IFNA(index(PlayerValues!A:A,match(IFNA(vlookup(B2378,'Special Names'!A:B,2,FALSE),B2378),PlayerValues!E:E,0)),"N/A")</f>
        <v>17192</v>
      </c>
      <c r="B2378" s="4" t="s">
        <v>677</v>
      </c>
      <c r="C2378" s="4" t="s">
        <v>287</v>
      </c>
      <c r="D2378" s="94">
        <v>1273.0</v>
      </c>
    </row>
    <row r="2379">
      <c r="A2379" s="40">
        <f t="array" ref="A2379">IFNA(index(PlayerValues!A:A,match(IFNA(vlookup(B2379,'Special Names'!A:B,2,FALSE),B2379),PlayerValues!E:E,0)),"N/A")</f>
        <v>16183</v>
      </c>
      <c r="B2379" s="4" t="s">
        <v>678</v>
      </c>
      <c r="C2379" s="4" t="s">
        <v>287</v>
      </c>
      <c r="D2379" s="94">
        <v>1268.0</v>
      </c>
    </row>
    <row r="2380">
      <c r="A2380" s="40">
        <f t="array" ref="A2380">IFNA(index(PlayerValues!A:A,match(IFNA(vlookup(B2380,'Special Names'!A:B,2,FALSE),B2380),PlayerValues!E:E,0)),"N/A")</f>
        <v>17254</v>
      </c>
      <c r="B2380" s="4" t="s">
        <v>679</v>
      </c>
      <c r="C2380" s="4" t="s">
        <v>287</v>
      </c>
      <c r="D2380" s="94">
        <v>1268.0</v>
      </c>
    </row>
    <row r="2381">
      <c r="A2381" s="40">
        <f t="array" ref="A2381">IFNA(index(PlayerValues!A:A,match(IFNA(vlookup(B2381,'Special Names'!A:B,2,FALSE),B2381),PlayerValues!E:E,0)),"N/A")</f>
        <v>14095</v>
      </c>
      <c r="B2381" s="4" t="s">
        <v>680</v>
      </c>
      <c r="C2381" s="4" t="s">
        <v>278</v>
      </c>
      <c r="D2381" s="94">
        <v>1267.0</v>
      </c>
    </row>
    <row r="2382">
      <c r="A2382" s="40">
        <f t="array" ref="A2382">IFNA(index(PlayerValues!A:A,match(IFNA(vlookup(B2382,'Special Names'!A:B,2,FALSE),B2382),PlayerValues!E:E,0)),"N/A")</f>
        <v>15873</v>
      </c>
      <c r="B2382" s="4" t="s">
        <v>681</v>
      </c>
      <c r="C2382" s="4" t="s">
        <v>298</v>
      </c>
      <c r="D2382" s="94">
        <v>1635.0</v>
      </c>
    </row>
    <row r="2383">
      <c r="A2383" s="40">
        <f t="array" ref="A2383">IFNA(index(PlayerValues!A:A,match(IFNA(vlookup(B2383,'Special Names'!A:B,2,FALSE),B2383),PlayerValues!E:E,0)),"N/A")</f>
        <v>15292</v>
      </c>
      <c r="B2383" s="4" t="s">
        <v>682</v>
      </c>
      <c r="C2383" s="4" t="s">
        <v>287</v>
      </c>
      <c r="D2383" s="94">
        <v>1261.0</v>
      </c>
    </row>
    <row r="2384">
      <c r="A2384" s="40">
        <f t="array" ref="A2384">IFNA(index(PlayerValues!A:A,match(IFNA(vlookup(B2384,'Special Names'!A:B,2,FALSE),B2384),PlayerValues!E:E,0)),"N/A")</f>
        <v>16883</v>
      </c>
      <c r="B2384" s="4" t="s">
        <v>683</v>
      </c>
      <c r="C2384" s="4" t="s">
        <v>287</v>
      </c>
      <c r="D2384" s="94">
        <v>1259.0</v>
      </c>
    </row>
    <row r="2385">
      <c r="A2385" s="40">
        <f t="array" ref="A2385">IFNA(index(PlayerValues!A:A,match(IFNA(vlookup(B2385,'Special Names'!A:B,2,FALSE),B2385),PlayerValues!E:E,0)),"N/A")</f>
        <v>17627</v>
      </c>
      <c r="B2385" s="4" t="s">
        <v>684</v>
      </c>
      <c r="C2385" s="4" t="s">
        <v>298</v>
      </c>
      <c r="D2385" s="94">
        <v>1618.0</v>
      </c>
    </row>
    <row r="2386">
      <c r="A2386" s="40">
        <f t="array" ref="A2386">IFNA(index(PlayerValues!A:A,match(IFNA(vlookup(B2386,'Special Names'!A:B,2,FALSE),B2386),PlayerValues!E:E,0)),"N/A")</f>
        <v>17542</v>
      </c>
      <c r="B2386" s="4" t="s">
        <v>685</v>
      </c>
      <c r="C2386" s="4" t="s">
        <v>287</v>
      </c>
      <c r="D2386" s="94">
        <v>1247.0</v>
      </c>
    </row>
    <row r="2387">
      <c r="A2387" s="40">
        <f t="array" ref="A2387">IFNA(index(PlayerValues!A:A,match(IFNA(vlookup(B2387,'Special Names'!A:B,2,FALSE),B2387),PlayerValues!E:E,0)),"N/A")</f>
        <v>17063</v>
      </c>
      <c r="B2387" s="4" t="s">
        <v>686</v>
      </c>
      <c r="C2387" s="4" t="s">
        <v>278</v>
      </c>
      <c r="D2387" s="94">
        <v>1245.0</v>
      </c>
    </row>
    <row r="2388">
      <c r="A2388" s="40">
        <f t="array" ref="A2388">IFNA(index(PlayerValues!A:A,match(IFNA(vlookup(B2388,'Special Names'!A:B,2,FALSE),B2388),PlayerValues!E:E,0)),"N/A")</f>
        <v>16199</v>
      </c>
      <c r="B2388" s="4" t="s">
        <v>687</v>
      </c>
      <c r="C2388" s="4" t="s">
        <v>287</v>
      </c>
      <c r="D2388" s="94">
        <v>1245.0</v>
      </c>
    </row>
    <row r="2389">
      <c r="A2389" s="40">
        <f t="array" ref="A2389">IFNA(index(PlayerValues!A:A,match(IFNA(vlookup(B2389,'Special Names'!A:B,2,FALSE),B2389),PlayerValues!E:E,0)),"N/A")</f>
        <v>16688</v>
      </c>
      <c r="B2389" s="4" t="s">
        <v>688</v>
      </c>
      <c r="C2389" s="4" t="s">
        <v>278</v>
      </c>
      <c r="D2389" s="94">
        <v>1241.0</v>
      </c>
    </row>
    <row r="2390">
      <c r="A2390" s="40">
        <f t="array" ref="A2390">IFNA(index(PlayerValues!A:A,match(IFNA(vlookup(B2390,'Special Names'!A:B,2,FALSE),B2390),PlayerValues!E:E,0)),"N/A")</f>
        <v>16390</v>
      </c>
      <c r="B2390" s="4" t="s">
        <v>689</v>
      </c>
      <c r="C2390" s="4" t="s">
        <v>278</v>
      </c>
      <c r="D2390" s="94">
        <v>1239.0</v>
      </c>
    </row>
    <row r="2391">
      <c r="A2391" s="40">
        <f t="array" ref="A2391">IFNA(index(PlayerValues!A:A,match(IFNA(vlookup(B2391,'Special Names'!A:B,2,FALSE),B2391),PlayerValues!E:E,0)),"N/A")</f>
        <v>16385</v>
      </c>
      <c r="B2391" s="4" t="s">
        <v>690</v>
      </c>
      <c r="C2391" s="4" t="s">
        <v>278</v>
      </c>
      <c r="D2391" s="94">
        <v>1233.0</v>
      </c>
    </row>
    <row r="2392">
      <c r="A2392" s="40">
        <f t="array" ref="A2392">IFNA(index(PlayerValues!A:A,match(IFNA(vlookup(B2392,'Special Names'!A:B,2,FALSE),B2392),PlayerValues!E:E,0)),"N/A")</f>
        <v>16642</v>
      </c>
      <c r="B2392" s="4" t="s">
        <v>691</v>
      </c>
      <c r="C2392" s="4" t="s">
        <v>298</v>
      </c>
      <c r="D2392" s="94">
        <v>1597.0</v>
      </c>
    </row>
    <row r="2393">
      <c r="A2393" s="40">
        <f t="array" ref="A2393">IFNA(index(PlayerValues!A:A,match(IFNA(vlookup(B2393,'Special Names'!A:B,2,FALSE),B2393),PlayerValues!E:E,0)),"N/A")</f>
        <v>17487</v>
      </c>
      <c r="B2393" s="4" t="s">
        <v>692</v>
      </c>
      <c r="C2393" s="4" t="s">
        <v>278</v>
      </c>
      <c r="D2393" s="94">
        <v>1220.0</v>
      </c>
    </row>
    <row r="2394">
      <c r="A2394" s="40">
        <f t="array" ref="A2394">IFNA(index(PlayerValues!A:A,match(IFNA(vlookup(B2394,'Special Names'!A:B,2,FALSE),B2394),PlayerValues!E:E,0)),"N/A")</f>
        <v>17504</v>
      </c>
      <c r="B2394" s="4" t="s">
        <v>693</v>
      </c>
      <c r="C2394" s="4" t="s">
        <v>287</v>
      </c>
      <c r="D2394" s="94">
        <v>1218.0</v>
      </c>
    </row>
    <row r="2395">
      <c r="A2395" s="40">
        <f t="array" ref="A2395">IFNA(index(PlayerValues!A:A,match(IFNA(vlookup(B2395,'Special Names'!A:B,2,FALSE),B2395),PlayerValues!E:E,0)),"N/A")</f>
        <v>15777</v>
      </c>
      <c r="B2395" s="4" t="s">
        <v>694</v>
      </c>
      <c r="C2395" s="4" t="s">
        <v>287</v>
      </c>
      <c r="D2395" s="94">
        <v>1216.0</v>
      </c>
    </row>
    <row r="2396">
      <c r="A2396" s="40">
        <f t="array" ref="A2396">IFNA(index(PlayerValues!A:A,match(IFNA(vlookup(B2396,'Special Names'!A:B,2,FALSE),B2396),PlayerValues!E:E,0)),"N/A")</f>
        <v>17486</v>
      </c>
      <c r="B2396" s="4" t="s">
        <v>695</v>
      </c>
      <c r="C2396" s="4" t="s">
        <v>278</v>
      </c>
      <c r="D2396" s="94">
        <v>1213.0</v>
      </c>
    </row>
    <row r="2397">
      <c r="A2397" s="40">
        <f t="array" ref="A2397">IFNA(index(PlayerValues!A:A,match(IFNA(vlookup(B2397,'Special Names'!A:B,2,FALSE),B2397),PlayerValues!E:E,0)),"N/A")</f>
        <v>16384</v>
      </c>
      <c r="B2397" s="4" t="s">
        <v>696</v>
      </c>
      <c r="C2397" s="4" t="s">
        <v>283</v>
      </c>
      <c r="D2397" s="94">
        <v>1210.0</v>
      </c>
    </row>
    <row r="2398">
      <c r="A2398" s="40">
        <f t="array" ref="A2398">IFNA(index(PlayerValues!A:A,match(IFNA(vlookup(B2398,'Special Names'!A:B,2,FALSE),B2398),PlayerValues!E:E,0)),"N/A")</f>
        <v>12263</v>
      </c>
      <c r="B2398" s="4" t="s">
        <v>697</v>
      </c>
      <c r="C2398" s="4" t="s">
        <v>298</v>
      </c>
      <c r="D2398" s="94">
        <v>1577.0</v>
      </c>
    </row>
    <row r="2399">
      <c r="A2399" s="40">
        <f t="array" ref="A2399">IFNA(index(PlayerValues!A:A,match(IFNA(vlookup(B2399,'Special Names'!A:B,2,FALSE),B2399),PlayerValues!E:E,0)),"N/A")</f>
        <v>15332</v>
      </c>
      <c r="B2399" s="4" t="s">
        <v>698</v>
      </c>
      <c r="C2399" s="4" t="s">
        <v>298</v>
      </c>
      <c r="D2399" s="94">
        <v>1575.0</v>
      </c>
    </row>
    <row r="2400">
      <c r="A2400" s="40">
        <f t="array" ref="A2400">IFNA(index(PlayerValues!A:A,match(IFNA(vlookup(B2400,'Special Names'!A:B,2,FALSE),B2400),PlayerValues!E:E,0)),"N/A")</f>
        <v>16636</v>
      </c>
      <c r="B2400" s="4" t="s">
        <v>699</v>
      </c>
      <c r="C2400" s="4" t="s">
        <v>287</v>
      </c>
      <c r="D2400" s="94">
        <v>1205.0</v>
      </c>
    </row>
    <row r="2401">
      <c r="A2401" s="40">
        <f t="array" ref="A2401">IFNA(index(PlayerValues!A:A,match(IFNA(vlookup(B2401,'Special Names'!A:B,2,FALSE),B2401),PlayerValues!E:E,0)),"N/A")</f>
        <v>15288</v>
      </c>
      <c r="B2401" s="4" t="s">
        <v>700</v>
      </c>
      <c r="C2401" s="4" t="s">
        <v>287</v>
      </c>
      <c r="D2401" s="94">
        <v>1197.0</v>
      </c>
    </row>
    <row r="2402">
      <c r="A2402" s="40">
        <f t="array" ref="A2402">IFNA(index(PlayerValues!A:A,match(IFNA(vlookup(B2402,'Special Names'!A:B,2,FALSE),B2402),PlayerValues!E:E,0)),"N/A")</f>
        <v>17062</v>
      </c>
      <c r="B2402" s="4" t="s">
        <v>701</v>
      </c>
      <c r="C2402" s="4" t="s">
        <v>278</v>
      </c>
      <c r="D2402" s="94">
        <v>1188.0</v>
      </c>
    </row>
    <row r="2403">
      <c r="A2403" s="40">
        <f t="array" ref="A2403">IFNA(index(PlayerValues!A:A,match(IFNA(vlookup(B2403,'Special Names'!A:B,2,FALSE),B2403),PlayerValues!E:E,0)),"N/A")</f>
        <v>12140</v>
      </c>
      <c r="B2403" s="4" t="s">
        <v>702</v>
      </c>
      <c r="C2403" s="4" t="s">
        <v>283</v>
      </c>
      <c r="D2403" s="94">
        <v>1182.0</v>
      </c>
    </row>
    <row r="2404">
      <c r="A2404" s="40">
        <f t="array" ref="A2404">IFNA(index(PlayerValues!A:A,match(IFNA(vlookup(B2404,'Special Names'!A:B,2,FALSE),B2404),PlayerValues!E:E,0)),"N/A")</f>
        <v>12678</v>
      </c>
      <c r="B2404" s="4" t="s">
        <v>703</v>
      </c>
      <c r="C2404" s="4" t="s">
        <v>298</v>
      </c>
      <c r="D2404" s="94">
        <v>1550.0</v>
      </c>
    </row>
    <row r="2405">
      <c r="A2405" s="40">
        <f t="array" ref="A2405">IFNA(index(PlayerValues!A:A,match(IFNA(vlookup(B2405,'Special Names'!A:B,2,FALSE),B2405),PlayerValues!E:E,0)),"N/A")</f>
        <v>16792</v>
      </c>
      <c r="B2405" s="4" t="s">
        <v>704</v>
      </c>
      <c r="C2405" s="4" t="s">
        <v>287</v>
      </c>
      <c r="D2405" s="94">
        <v>1167.0</v>
      </c>
    </row>
    <row r="2406">
      <c r="A2406" s="40">
        <f t="array" ref="A2406">IFNA(index(PlayerValues!A:A,match(IFNA(vlookup(B2406,'Special Names'!A:B,2,FALSE),B2406),PlayerValues!E:E,0)),"N/A")</f>
        <v>14592</v>
      </c>
      <c r="B2406" s="4" t="s">
        <v>705</v>
      </c>
      <c r="C2406" s="4" t="s">
        <v>287</v>
      </c>
      <c r="D2406" s="94">
        <v>1160.0</v>
      </c>
    </row>
    <row r="2407">
      <c r="A2407" s="40">
        <f t="array" ref="A2407">IFNA(index(PlayerValues!A:A,match(IFNA(vlookup(B2407,'Special Names'!A:B,2,FALSE),B2407),PlayerValues!E:E,0)),"N/A")</f>
        <v>13418</v>
      </c>
      <c r="B2407" s="4" t="s">
        <v>706</v>
      </c>
      <c r="C2407" s="4" t="s">
        <v>287</v>
      </c>
      <c r="D2407" s="94">
        <v>1154.0</v>
      </c>
    </row>
    <row r="2408">
      <c r="A2408" s="40">
        <f t="array" ref="A2408">IFNA(index(PlayerValues!A:A,match(IFNA(vlookup(B2408,'Special Names'!A:B,2,FALSE),B2408),PlayerValues!E:E,0)),"N/A")</f>
        <v>17109</v>
      </c>
      <c r="B2408" s="4" t="s">
        <v>707</v>
      </c>
      <c r="C2408" s="4" t="s">
        <v>298</v>
      </c>
      <c r="D2408" s="94">
        <v>1517.0</v>
      </c>
    </row>
    <row r="2409">
      <c r="A2409" s="40">
        <f t="array" ref="A2409">IFNA(index(PlayerValues!A:A,match(IFNA(vlookup(B2409,'Special Names'!A:B,2,FALSE),B2409),PlayerValues!E:E,0)),"N/A")</f>
        <v>17057</v>
      </c>
      <c r="B2409" s="4" t="s">
        <v>708</v>
      </c>
      <c r="C2409" s="4" t="s">
        <v>278</v>
      </c>
      <c r="D2409" s="94">
        <v>1144.0</v>
      </c>
    </row>
    <row r="2410">
      <c r="A2410" s="40">
        <f t="array" ref="A2410">IFNA(index(PlayerValues!A:A,match(IFNA(vlookup(B2410,'Special Names'!A:B,2,FALSE),B2410),PlayerValues!E:E,0)),"N/A")</f>
        <v>16746</v>
      </c>
      <c r="B2410" s="4" t="s">
        <v>709</v>
      </c>
      <c r="C2410" s="4" t="s">
        <v>278</v>
      </c>
      <c r="D2410" s="94">
        <v>1140.0</v>
      </c>
    </row>
    <row r="2411">
      <c r="A2411" s="40">
        <f t="array" ref="A2411">IFNA(index(PlayerValues!A:A,match(IFNA(vlookup(B2411,'Special Names'!A:B,2,FALSE),B2411),PlayerValues!E:E,0)),"N/A")</f>
        <v>17644</v>
      </c>
      <c r="B2411" s="4" t="s">
        <v>710</v>
      </c>
      <c r="C2411" s="4" t="s">
        <v>298</v>
      </c>
      <c r="D2411" s="94">
        <v>1501.0</v>
      </c>
    </row>
    <row r="2412">
      <c r="A2412" s="40">
        <f t="array" ref="A2412">IFNA(index(PlayerValues!A:A,match(IFNA(vlookup(B2412,'Special Names'!A:B,2,FALSE),B2412),PlayerValues!E:E,0)),"N/A")</f>
        <v>16333</v>
      </c>
      <c r="B2412" s="4" t="s">
        <v>711</v>
      </c>
      <c r="C2412" s="4" t="s">
        <v>298</v>
      </c>
      <c r="D2412" s="94">
        <v>1498.0</v>
      </c>
    </row>
    <row r="2413">
      <c r="A2413" s="40">
        <f t="array" ref="A2413">IFNA(index(PlayerValues!A:A,match(IFNA(vlookup(B2413,'Special Names'!A:B,2,FALSE),B2413),PlayerValues!E:E,0)),"N/A")</f>
        <v>16640</v>
      </c>
      <c r="B2413" s="4" t="s">
        <v>712</v>
      </c>
      <c r="C2413" s="4" t="s">
        <v>287</v>
      </c>
      <c r="D2413" s="94">
        <v>1127.0</v>
      </c>
    </row>
    <row r="2414">
      <c r="A2414" s="40">
        <f t="array" ref="A2414">IFNA(index(PlayerValues!A:A,match(IFNA(vlookup(B2414,'Special Names'!A:B,2,FALSE),B2414),PlayerValues!E:E,0)),"N/A")</f>
        <v>17050</v>
      </c>
      <c r="B2414" s="4" t="s">
        <v>713</v>
      </c>
      <c r="C2414" s="4" t="s">
        <v>278</v>
      </c>
      <c r="D2414" s="94">
        <v>1120.0</v>
      </c>
    </row>
    <row r="2415">
      <c r="A2415" s="40">
        <f t="array" ref="A2415">IFNA(index(PlayerValues!A:A,match(IFNA(vlookup(B2415,'Special Names'!A:B,2,FALSE),B2415),PlayerValues!E:E,0)),"N/A")</f>
        <v>17077</v>
      </c>
      <c r="B2415" s="4" t="s">
        <v>714</v>
      </c>
      <c r="C2415" s="4" t="s">
        <v>287</v>
      </c>
      <c r="D2415" s="94">
        <v>1117.0</v>
      </c>
    </row>
    <row r="2416">
      <c r="A2416" s="40">
        <f t="array" ref="A2416">IFNA(index(PlayerValues!A:A,match(IFNA(vlookup(B2416,'Special Names'!A:B,2,FALSE),B2416),PlayerValues!E:E,0)),"N/A")</f>
        <v>15252</v>
      </c>
      <c r="B2416" s="4" t="s">
        <v>715</v>
      </c>
      <c r="C2416" s="4" t="s">
        <v>283</v>
      </c>
      <c r="D2416" s="94">
        <v>1115.0</v>
      </c>
    </row>
    <row r="2417">
      <c r="A2417" s="40">
        <f t="array" ref="A2417">IFNA(index(PlayerValues!A:A,match(IFNA(vlookup(B2417,'Special Names'!A:B,2,FALSE),B2417),PlayerValues!E:E,0)),"N/A")</f>
        <v>14080</v>
      </c>
      <c r="B2417" s="4" t="s">
        <v>716</v>
      </c>
      <c r="C2417" s="4" t="s">
        <v>278</v>
      </c>
      <c r="D2417" s="94">
        <v>1110.0</v>
      </c>
    </row>
    <row r="2418">
      <c r="A2418" s="40">
        <f t="array" ref="A2418">IFNA(index(PlayerValues!A:A,match(IFNA(vlookup(B2418,'Special Names'!A:B,2,FALSE),B2418),PlayerValues!E:E,0)),"N/A")</f>
        <v>14845</v>
      </c>
      <c r="B2418" s="4" t="s">
        <v>717</v>
      </c>
      <c r="C2418" s="4" t="s">
        <v>287</v>
      </c>
      <c r="D2418" s="94">
        <v>1101.0</v>
      </c>
    </row>
    <row r="2419">
      <c r="A2419" s="40">
        <f t="array" ref="A2419">IFNA(index(PlayerValues!A:A,match(IFNA(vlookup(B2419,'Special Names'!A:B,2,FALSE),B2419),PlayerValues!E:E,0)),"N/A")</f>
        <v>17269</v>
      </c>
      <c r="B2419" s="4" t="s">
        <v>718</v>
      </c>
      <c r="C2419" s="4" t="s">
        <v>287</v>
      </c>
      <c r="D2419" s="94">
        <v>1093.0</v>
      </c>
    </row>
    <row r="2420">
      <c r="A2420" s="40">
        <f t="array" ref="A2420">IFNA(index(PlayerValues!A:A,match(IFNA(vlookup(B2420,'Special Names'!A:B,2,FALSE),B2420),PlayerValues!E:E,0)),"N/A")</f>
        <v>17545</v>
      </c>
      <c r="B2420" s="4" t="s">
        <v>719</v>
      </c>
      <c r="C2420" s="4" t="s">
        <v>298</v>
      </c>
      <c r="D2420" s="94">
        <v>1462.0</v>
      </c>
    </row>
    <row r="2421">
      <c r="A2421" s="40">
        <f t="array" ref="A2421">IFNA(index(PlayerValues!A:A,match(IFNA(vlookup(B2421,'Special Names'!A:B,2,FALSE),B2421),PlayerValues!E:E,0)),"N/A")</f>
        <v>17549</v>
      </c>
      <c r="B2421" s="4" t="s">
        <v>720</v>
      </c>
      <c r="C2421" s="4" t="s">
        <v>298</v>
      </c>
      <c r="D2421" s="94">
        <v>1455.0</v>
      </c>
    </row>
    <row r="2422">
      <c r="A2422" s="40">
        <f t="array" ref="A2422">IFNA(index(PlayerValues!A:A,match(IFNA(vlookup(B2422,'Special Names'!A:B,2,FALSE),B2422),PlayerValues!E:E,0)),"N/A")</f>
        <v>14789</v>
      </c>
      <c r="B2422" s="4" t="s">
        <v>721</v>
      </c>
      <c r="C2422" s="4" t="s">
        <v>283</v>
      </c>
      <c r="D2422" s="94">
        <v>1079.0</v>
      </c>
    </row>
    <row r="2423">
      <c r="A2423" s="40">
        <f t="array" ref="A2423">IFNA(index(PlayerValues!A:A,match(IFNA(vlookup(B2423,'Special Names'!A:B,2,FALSE),B2423),PlayerValues!E:E,0)),"N/A")</f>
        <v>12801</v>
      </c>
      <c r="B2423" s="4" t="s">
        <v>722</v>
      </c>
      <c r="C2423" s="4" t="s">
        <v>287</v>
      </c>
      <c r="D2423" s="94">
        <v>1072.0</v>
      </c>
    </row>
    <row r="2424">
      <c r="A2424" s="40">
        <f t="array" ref="A2424">IFNA(index(PlayerValues!A:A,match(IFNA(vlookup(B2424,'Special Names'!A:B,2,FALSE),B2424),PlayerValues!E:E,0)),"N/A")</f>
        <v>15702</v>
      </c>
      <c r="B2424" s="4" t="s">
        <v>723</v>
      </c>
      <c r="C2424" s="4" t="s">
        <v>283</v>
      </c>
      <c r="D2424" s="94">
        <v>1072.0</v>
      </c>
    </row>
    <row r="2425">
      <c r="A2425" s="40">
        <f t="array" ref="A2425">IFNA(index(PlayerValues!A:A,match(IFNA(vlookup(B2425,'Special Names'!A:B,2,FALSE),B2425),PlayerValues!E:E,0)),"N/A")</f>
        <v>15758</v>
      </c>
      <c r="B2425" s="4" t="s">
        <v>724</v>
      </c>
      <c r="C2425" s="4" t="s">
        <v>287</v>
      </c>
      <c r="D2425" s="94">
        <v>1071.0</v>
      </c>
    </row>
    <row r="2426">
      <c r="A2426" s="40">
        <f t="array" ref="A2426">IFNA(index(PlayerValues!A:A,match(IFNA(vlookup(B2426,'Special Names'!A:B,2,FALSE),B2426),PlayerValues!E:E,0)),"N/A")</f>
        <v>16221</v>
      </c>
      <c r="B2426" s="4" t="s">
        <v>725</v>
      </c>
      <c r="C2426" s="4" t="s">
        <v>298</v>
      </c>
      <c r="D2426" s="94">
        <v>1412.0</v>
      </c>
    </row>
    <row r="2427">
      <c r="A2427" s="40">
        <f t="array" ref="A2427">IFNA(index(PlayerValues!A:A,match(IFNA(vlookup(B2427,'Special Names'!A:B,2,FALSE),B2427),PlayerValues!E:E,0)),"N/A")</f>
        <v>16197</v>
      </c>
      <c r="B2427" s="4" t="s">
        <v>726</v>
      </c>
      <c r="C2427" s="4" t="s">
        <v>287</v>
      </c>
      <c r="D2427" s="94">
        <v>1038.0</v>
      </c>
    </row>
    <row r="2428">
      <c r="A2428" s="40">
        <f t="array" ref="A2428">IFNA(index(PlayerValues!A:A,match(IFNA(vlookup(B2428,'Special Names'!A:B,2,FALSE),B2428),PlayerValues!E:E,0)),"N/A")</f>
        <v>17037</v>
      </c>
      <c r="B2428" s="4" t="s">
        <v>727</v>
      </c>
      <c r="C2428" s="4" t="s">
        <v>283</v>
      </c>
      <c r="D2428" s="94">
        <v>1033.0</v>
      </c>
    </row>
    <row r="2429">
      <c r="A2429" s="40">
        <f t="array" ref="A2429">IFNA(index(PlayerValues!A:A,match(IFNA(vlookup(B2429,'Special Names'!A:B,2,FALSE),B2429),PlayerValues!E:E,0)),"N/A")</f>
        <v>15109</v>
      </c>
      <c r="B2429" s="4" t="s">
        <v>728</v>
      </c>
      <c r="C2429" s="4" t="s">
        <v>287</v>
      </c>
      <c r="D2429" s="94">
        <v>1023.0</v>
      </c>
    </row>
    <row r="2430">
      <c r="A2430" s="40">
        <f t="array" ref="A2430">IFNA(index(PlayerValues!A:A,match(IFNA(vlookup(B2430,'Special Names'!A:B,2,FALSE),B2430),PlayerValues!E:E,0)),"N/A")</f>
        <v>15981</v>
      </c>
      <c r="B2430" s="4" t="s">
        <v>729</v>
      </c>
      <c r="C2430" s="4" t="s">
        <v>287</v>
      </c>
      <c r="D2430" s="94">
        <v>1015.0</v>
      </c>
    </row>
    <row r="2431">
      <c r="A2431" s="40">
        <f t="array" ref="A2431">IFNA(index(PlayerValues!A:A,match(IFNA(vlookup(B2431,'Special Names'!A:B,2,FALSE),B2431),PlayerValues!E:E,0)),"N/A")</f>
        <v>15727</v>
      </c>
      <c r="B2431" s="4" t="s">
        <v>730</v>
      </c>
      <c r="C2431" s="4" t="s">
        <v>278</v>
      </c>
      <c r="D2431" s="94">
        <v>1013.0</v>
      </c>
    </row>
    <row r="2432">
      <c r="A2432" s="40">
        <f t="array" ref="A2432">IFNA(index(PlayerValues!A:A,match(IFNA(vlookup(B2432,'Special Names'!A:B,2,FALSE),B2432),PlayerValues!E:E,0)),"N/A")</f>
        <v>14840</v>
      </c>
      <c r="B2432" s="4" t="s">
        <v>731</v>
      </c>
      <c r="C2432" s="4" t="s">
        <v>287</v>
      </c>
      <c r="D2432" s="94">
        <v>1008.0</v>
      </c>
    </row>
    <row r="2433">
      <c r="A2433" s="40">
        <f t="array" ref="A2433">IFNA(index(PlayerValues!A:A,match(IFNA(vlookup(B2433,'Special Names'!A:B,2,FALSE),B2433),PlayerValues!E:E,0)),"N/A")</f>
        <v>15713</v>
      </c>
      <c r="B2433" s="4" t="s">
        <v>732</v>
      </c>
      <c r="C2433" s="4" t="s">
        <v>278</v>
      </c>
      <c r="D2433" s="94">
        <v>999.0</v>
      </c>
    </row>
    <row r="2434">
      <c r="A2434" s="40">
        <f t="array" ref="A2434">IFNA(index(PlayerValues!A:A,match(IFNA(vlookup(B2434,'Special Names'!A:B,2,FALSE),B2434),PlayerValues!E:E,0)),"N/A")</f>
        <v>14849</v>
      </c>
      <c r="B2434" s="4" t="s">
        <v>733</v>
      </c>
      <c r="C2434" s="4" t="s">
        <v>287</v>
      </c>
      <c r="D2434" s="94">
        <v>981.0</v>
      </c>
    </row>
    <row r="2435">
      <c r="A2435" s="40">
        <f t="array" ref="A2435">IFNA(index(PlayerValues!A:A,match(IFNA(vlookup(B2435,'Special Names'!A:B,2,FALSE),B2435),PlayerValues!E:E,0)),"N/A")</f>
        <v>15730</v>
      </c>
      <c r="B2435" s="4" t="s">
        <v>734</v>
      </c>
      <c r="C2435" s="4" t="s">
        <v>278</v>
      </c>
      <c r="D2435" s="94">
        <v>981.0</v>
      </c>
    </row>
    <row r="2436">
      <c r="A2436" s="40">
        <f t="array" ref="A2436">IFNA(index(PlayerValues!A:A,match(IFNA(vlookup(B2436,'Special Names'!A:B,2,FALSE),B2436),PlayerValues!E:E,0)),"N/A")</f>
        <v>14067</v>
      </c>
      <c r="B2436" s="4" t="s">
        <v>735</v>
      </c>
      <c r="C2436" s="4" t="s">
        <v>283</v>
      </c>
      <c r="D2436" s="94">
        <v>976.0</v>
      </c>
    </row>
    <row r="2437">
      <c r="A2437" s="40">
        <f t="array" ref="A2437">IFNA(index(PlayerValues!A:A,match(IFNA(vlookup(B2437,'Special Names'!A:B,2,FALSE),B2437),PlayerValues!E:E,0)),"N/A")</f>
        <v>16637</v>
      </c>
      <c r="B2437" s="4" t="s">
        <v>736</v>
      </c>
      <c r="C2437" s="4" t="s">
        <v>287</v>
      </c>
      <c r="D2437" s="94">
        <v>976.0</v>
      </c>
    </row>
    <row r="2438">
      <c r="A2438" s="40">
        <f t="array" ref="A2438">IFNA(index(PlayerValues!A:A,match(IFNA(vlookup(B2438,'Special Names'!A:B,2,FALSE),B2438),PlayerValues!E:E,0)),"N/A")</f>
        <v>16599</v>
      </c>
      <c r="B2438" s="4" t="s">
        <v>737</v>
      </c>
      <c r="C2438" s="4" t="s">
        <v>278</v>
      </c>
      <c r="D2438" s="94">
        <v>975.0</v>
      </c>
    </row>
    <row r="2439">
      <c r="A2439" s="40">
        <f t="array" ref="A2439">IFNA(index(PlayerValues!A:A,match(IFNA(vlookup(B2439,'Special Names'!A:B,2,FALSE),B2439),PlayerValues!E:E,0)),"N/A")</f>
        <v>16168</v>
      </c>
      <c r="B2439" s="4" t="s">
        <v>738</v>
      </c>
      <c r="C2439" s="4" t="s">
        <v>278</v>
      </c>
      <c r="D2439" s="94">
        <v>961.0</v>
      </c>
    </row>
    <row r="2440">
      <c r="A2440" s="40">
        <f t="array" ref="A2440">IFNA(index(PlayerValues!A:A,match(IFNA(vlookup(B2440,'Special Names'!A:B,2,FALSE),B2440),PlayerValues!E:E,0)),"N/A")</f>
        <v>16219</v>
      </c>
      <c r="B2440" s="4" t="s">
        <v>739</v>
      </c>
      <c r="C2440" s="4" t="s">
        <v>298</v>
      </c>
      <c r="D2440" s="94">
        <v>1326.0</v>
      </c>
    </row>
    <row r="2441">
      <c r="A2441" s="40">
        <f t="array" ref="A2441">IFNA(index(PlayerValues!A:A,match(IFNA(vlookup(B2441,'Special Names'!A:B,2,FALSE),B2441),PlayerValues!E:E,0)),"N/A")</f>
        <v>16149</v>
      </c>
      <c r="B2441" s="4" t="s">
        <v>740</v>
      </c>
      <c r="C2441" s="4" t="s">
        <v>283</v>
      </c>
      <c r="D2441" s="94">
        <v>958.0</v>
      </c>
    </row>
    <row r="2442">
      <c r="A2442" s="40">
        <f t="array" ref="A2442">IFNA(index(PlayerValues!A:A,match(IFNA(vlookup(B2442,'Special Names'!A:B,2,FALSE),B2442),PlayerValues!E:E,0)),"N/A")</f>
        <v>15271</v>
      </c>
      <c r="B2442" s="4" t="s">
        <v>741</v>
      </c>
      <c r="C2442" s="4" t="s">
        <v>278</v>
      </c>
      <c r="D2442" s="94">
        <v>956.0</v>
      </c>
    </row>
    <row r="2443">
      <c r="A2443" s="40">
        <f t="array" ref="A2443">IFNA(index(PlayerValues!A:A,match(IFNA(vlookup(B2443,'Special Names'!A:B,2,FALSE),B2443),PlayerValues!E:E,0)),"N/A")</f>
        <v>16205</v>
      </c>
      <c r="B2443" s="4" t="s">
        <v>742</v>
      </c>
      <c r="C2443" s="4" t="s">
        <v>287</v>
      </c>
      <c r="D2443" s="94">
        <v>953.0</v>
      </c>
    </row>
    <row r="2444">
      <c r="A2444" s="40">
        <f t="array" ref="A2444">IFNA(index(PlayerValues!A:A,match(IFNA(vlookup(B2444,'Special Names'!A:B,2,FALSE),B2444),PlayerValues!E:E,0)),"N/A")</f>
        <v>16606</v>
      </c>
      <c r="B2444" s="4" t="s">
        <v>743</v>
      </c>
      <c r="C2444" s="4" t="s">
        <v>278</v>
      </c>
      <c r="D2444" s="94">
        <v>952.0</v>
      </c>
    </row>
    <row r="2445">
      <c r="A2445" s="40">
        <f t="array" ref="A2445">IFNA(index(PlayerValues!A:A,match(IFNA(vlookup(B2445,'Special Names'!A:B,2,FALSE),B2445),PlayerValues!E:E,0)),"N/A")</f>
        <v>12141</v>
      </c>
      <c r="B2445" s="4" t="s">
        <v>744</v>
      </c>
      <c r="C2445" s="4" t="s">
        <v>283</v>
      </c>
      <c r="D2445" s="94">
        <v>949.0</v>
      </c>
    </row>
    <row r="2446">
      <c r="A2446" s="40">
        <f t="array" ref="A2446">IFNA(index(PlayerValues!A:A,match(IFNA(vlookup(B2446,'Special Names'!A:B,2,FALSE),B2446),PlayerValues!E:E,0)),"N/A")</f>
        <v>15717</v>
      </c>
      <c r="B2446" s="4" t="s">
        <v>745</v>
      </c>
      <c r="C2446" s="4" t="s">
        <v>278</v>
      </c>
      <c r="D2446" s="94">
        <v>948.0</v>
      </c>
    </row>
    <row r="2447">
      <c r="A2447" s="40">
        <f t="array" ref="A2447">IFNA(index(PlayerValues!A:A,match(IFNA(vlookup(B2447,'Special Names'!A:B,2,FALSE),B2447),PlayerValues!E:E,0)),"N/A")</f>
        <v>13289</v>
      </c>
      <c r="B2447" s="4" t="s">
        <v>746</v>
      </c>
      <c r="C2447" s="4" t="s">
        <v>287</v>
      </c>
      <c r="D2447" s="94">
        <v>947.0</v>
      </c>
    </row>
    <row r="2448">
      <c r="A2448" s="40">
        <f t="array" ref="A2448">IFNA(index(PlayerValues!A:A,match(IFNA(vlookup(B2448,'Special Names'!A:B,2,FALSE),B2448),PlayerValues!E:E,0)),"N/A")</f>
        <v>17175</v>
      </c>
      <c r="B2448" s="4" t="s">
        <v>747</v>
      </c>
      <c r="C2448" s="4" t="s">
        <v>287</v>
      </c>
      <c r="D2448" s="94">
        <v>919.0</v>
      </c>
    </row>
    <row r="2449">
      <c r="A2449" s="40">
        <f t="array" ref="A2449">IFNA(index(PlayerValues!A:A,match(IFNA(vlookup(B2449,'Special Names'!A:B,2,FALSE),B2449),PlayerValues!E:E,0)),"N/A")</f>
        <v>16648</v>
      </c>
      <c r="B2449" s="4" t="s">
        <v>748</v>
      </c>
      <c r="C2449" s="4" t="s">
        <v>298</v>
      </c>
      <c r="D2449" s="94">
        <v>1279.0</v>
      </c>
    </row>
    <row r="2450">
      <c r="A2450" s="40">
        <f t="array" ref="A2450">IFNA(index(PlayerValues!A:A,match(IFNA(vlookup(B2450,'Special Names'!A:B,2,FALSE),B2450),PlayerValues!E:E,0)),"N/A")</f>
        <v>15330</v>
      </c>
      <c r="B2450" s="4" t="s">
        <v>749</v>
      </c>
      <c r="C2450" s="4" t="s">
        <v>298</v>
      </c>
      <c r="D2450" s="94">
        <v>1274.0</v>
      </c>
    </row>
    <row r="2451">
      <c r="A2451" s="40">
        <f t="array" ref="A2451">IFNA(index(PlayerValues!A:A,match(IFNA(vlookup(B2451,'Special Names'!A:B,2,FALSE),B2451),PlayerValues!E:E,0)),"N/A")</f>
        <v>15692</v>
      </c>
      <c r="B2451" s="4" t="s">
        <v>750</v>
      </c>
      <c r="C2451" s="4" t="s">
        <v>283</v>
      </c>
      <c r="D2451" s="94">
        <v>903.0</v>
      </c>
    </row>
    <row r="2452">
      <c r="A2452" s="40">
        <f t="array" ref="A2452">IFNA(index(PlayerValues!A:A,match(IFNA(vlookup(B2452,'Special Names'!A:B,2,FALSE),B2452),PlayerValues!E:E,0)),"N/A")</f>
        <v>15240</v>
      </c>
      <c r="B2452" s="4" t="s">
        <v>751</v>
      </c>
      <c r="C2452" s="4" t="s">
        <v>283</v>
      </c>
      <c r="D2452" s="94">
        <v>901.0</v>
      </c>
    </row>
    <row r="2453">
      <c r="A2453" s="40">
        <f t="array" ref="A2453">IFNA(index(PlayerValues!A:A,match(IFNA(vlookup(B2453,'Special Names'!A:B,2,FALSE),B2453),PlayerValues!E:E,0)),"N/A")</f>
        <v>16416</v>
      </c>
      <c r="B2453" s="4" t="s">
        <v>752</v>
      </c>
      <c r="C2453" s="4" t="s">
        <v>287</v>
      </c>
      <c r="D2453" s="94">
        <v>899.0</v>
      </c>
    </row>
    <row r="2454">
      <c r="A2454" s="40">
        <f t="array" ref="A2454">IFNA(index(PlayerValues!A:A,match(IFNA(vlookup(B2454,'Special Names'!A:B,2,FALSE),B2454),PlayerValues!E:E,0)),"N/A")</f>
        <v>15718</v>
      </c>
      <c r="B2454" s="4" t="s">
        <v>753</v>
      </c>
      <c r="C2454" s="4" t="s">
        <v>278</v>
      </c>
      <c r="D2454" s="94">
        <v>889.0</v>
      </c>
    </row>
    <row r="2455">
      <c r="A2455" s="40">
        <f t="array" ref="A2455">IFNA(index(PlayerValues!A:A,match(IFNA(vlookup(B2455,'Special Names'!A:B,2,FALSE),B2455),PlayerValues!E:E,0)),"N/A")</f>
        <v>16858</v>
      </c>
      <c r="B2455" s="4" t="s">
        <v>754</v>
      </c>
      <c r="C2455" s="4" t="s">
        <v>287</v>
      </c>
      <c r="D2455" s="94">
        <v>885.0</v>
      </c>
    </row>
    <row r="2456">
      <c r="A2456" s="40">
        <f t="array" ref="A2456">IFNA(index(PlayerValues!A:A,match(IFNA(vlookup(B2456,'Special Names'!A:B,2,FALSE),B2456),PlayerValues!E:E,0)),"N/A")</f>
        <v>15693</v>
      </c>
      <c r="B2456" s="4" t="s">
        <v>755</v>
      </c>
      <c r="C2456" s="4" t="s">
        <v>283</v>
      </c>
      <c r="D2456" s="94">
        <v>883.0</v>
      </c>
    </row>
    <row r="2457">
      <c r="A2457" s="40">
        <f t="array" ref="A2457">IFNA(index(PlayerValues!A:A,match(IFNA(vlookup(B2457,'Special Names'!A:B,2,FALSE),B2457),PlayerValues!E:E,0)),"N/A")</f>
        <v>17479</v>
      </c>
      <c r="B2457" s="4" t="s">
        <v>756</v>
      </c>
      <c r="C2457" s="4" t="s">
        <v>278</v>
      </c>
      <c r="D2457" s="94">
        <v>881.0</v>
      </c>
    </row>
    <row r="2458">
      <c r="A2458" s="40">
        <f t="array" ref="A2458">IFNA(index(PlayerValues!A:A,match(IFNA(vlookup(B2458,'Special Names'!A:B,2,FALSE),B2458),PlayerValues!E:E,0)),"N/A")</f>
        <v>15258</v>
      </c>
      <c r="B2458" s="4" t="s">
        <v>757</v>
      </c>
      <c r="C2458" s="4" t="s">
        <v>278</v>
      </c>
      <c r="D2458" s="94">
        <v>873.0</v>
      </c>
    </row>
    <row r="2459">
      <c r="A2459" s="40">
        <f t="array" ref="A2459">IFNA(index(PlayerValues!A:A,match(IFNA(vlookup(B2459,'Special Names'!A:B,2,FALSE),B2459),PlayerValues!E:E,0)),"N/A")</f>
        <v>16678</v>
      </c>
      <c r="B2459" s="4" t="s">
        <v>758</v>
      </c>
      <c r="C2459" s="4" t="s">
        <v>278</v>
      </c>
      <c r="D2459" s="94">
        <v>864.0</v>
      </c>
    </row>
    <row r="2460">
      <c r="A2460" s="40">
        <f t="array" ref="A2460">IFNA(index(PlayerValues!A:A,match(IFNA(vlookup(B2460,'Special Names'!A:B,2,FALSE),B2460),PlayerValues!E:E,0)),"N/A")</f>
        <v>15766</v>
      </c>
      <c r="B2460" s="4" t="s">
        <v>759</v>
      </c>
      <c r="C2460" s="4" t="s">
        <v>287</v>
      </c>
      <c r="D2460" s="94">
        <v>862.0</v>
      </c>
    </row>
    <row r="2461">
      <c r="A2461" s="40">
        <f t="array" ref="A2461">IFNA(index(PlayerValues!A:A,match(IFNA(vlookup(B2461,'Special Names'!A:B,2,FALSE),B2461),PlayerValues!E:E,0)),"N/A")</f>
        <v>17526</v>
      </c>
      <c r="B2461" s="4" t="s">
        <v>760</v>
      </c>
      <c r="C2461" s="4" t="s">
        <v>287</v>
      </c>
      <c r="D2461" s="94">
        <v>839.0</v>
      </c>
    </row>
    <row r="2462">
      <c r="A2462" s="40">
        <f t="array" ref="A2462">IFNA(index(PlayerValues!A:A,match(IFNA(vlookup(B2462,'Special Names'!A:B,2,FALSE),B2462),PlayerValues!E:E,0)),"N/A")</f>
        <v>9064</v>
      </c>
      <c r="B2462" s="4" t="s">
        <v>761</v>
      </c>
      <c r="C2462" s="4" t="s">
        <v>283</v>
      </c>
      <c r="D2462" s="94">
        <v>827.0</v>
      </c>
    </row>
    <row r="2463">
      <c r="A2463" s="40">
        <f t="array" ref="A2463">IFNA(index(PlayerValues!A:A,match(IFNA(vlookup(B2463,'Special Names'!A:B,2,FALSE),B2463),PlayerValues!E:E,0)),"N/A")</f>
        <v>16751</v>
      </c>
      <c r="B2463" s="4" t="s">
        <v>762</v>
      </c>
      <c r="C2463" s="4" t="s">
        <v>287</v>
      </c>
      <c r="D2463" s="94">
        <v>822.0</v>
      </c>
    </row>
    <row r="2464">
      <c r="A2464" s="40">
        <f t="array" ref="A2464">IFNA(index(PlayerValues!A:A,match(IFNA(vlookup(B2464,'Special Names'!A:B,2,FALSE),B2464),PlayerValues!E:E,0)),"N/A")</f>
        <v>15785</v>
      </c>
      <c r="B2464" s="4" t="s">
        <v>763</v>
      </c>
      <c r="C2464" s="4" t="s">
        <v>287</v>
      </c>
      <c r="D2464" s="94">
        <v>821.0</v>
      </c>
    </row>
    <row r="2465">
      <c r="A2465" s="40">
        <f t="array" ref="A2465">IFNA(index(PlayerValues!A:A,match(IFNA(vlookup(B2465,'Special Names'!A:B,2,FALSE),B2465),PlayerValues!E:E,0)),"N/A")</f>
        <v>13133</v>
      </c>
      <c r="B2465" s="4" t="s">
        <v>764</v>
      </c>
      <c r="C2465" s="4" t="s">
        <v>278</v>
      </c>
      <c r="D2465" s="94">
        <v>820.0</v>
      </c>
    </row>
    <row r="2466">
      <c r="A2466" s="40">
        <f t="array" ref="A2466">IFNA(index(PlayerValues!A:A,match(IFNA(vlookup(B2466,'Special Names'!A:B,2,FALSE),B2466),PlayerValues!E:E,0)),"N/A")</f>
        <v>14057</v>
      </c>
      <c r="B2466" s="4" t="s">
        <v>765</v>
      </c>
      <c r="C2466" s="4" t="s">
        <v>283</v>
      </c>
      <c r="D2466" s="94">
        <v>813.0</v>
      </c>
    </row>
    <row r="2467">
      <c r="A2467" s="40">
        <f t="array" ref="A2467">IFNA(index(PlayerValues!A:A,match(IFNA(vlookup(B2467,'Special Names'!A:B,2,FALSE),B2467),PlayerValues!E:E,0)),"N/A")</f>
        <v>15626</v>
      </c>
      <c r="B2467" s="4" t="s">
        <v>766</v>
      </c>
      <c r="C2467" s="4" t="s">
        <v>298</v>
      </c>
      <c r="D2467" s="94">
        <v>1164.0</v>
      </c>
    </row>
    <row r="2468">
      <c r="A2468" s="40">
        <f t="array" ref="A2468">IFNA(index(PlayerValues!A:A,match(IFNA(vlookup(B2468,'Special Names'!A:B,2,FALSE),B2468),PlayerValues!E:E,0)),"N/A")</f>
        <v>17654</v>
      </c>
      <c r="B2468" s="4" t="s">
        <v>767</v>
      </c>
      <c r="C2468" s="4" t="s">
        <v>283</v>
      </c>
      <c r="D2468" s="94">
        <v>768.0</v>
      </c>
    </row>
    <row r="2469">
      <c r="A2469" s="40">
        <f t="array" ref="A2469">IFNA(index(PlayerValues!A:A,match(IFNA(vlookup(B2469,'Special Names'!A:B,2,FALSE),B2469),PlayerValues!E:E,0)),"N/A")</f>
        <v>16393</v>
      </c>
      <c r="B2469" s="4" t="s">
        <v>768</v>
      </c>
      <c r="C2469" s="4" t="s">
        <v>287</v>
      </c>
      <c r="D2469" s="94">
        <v>766.0</v>
      </c>
    </row>
    <row r="2470">
      <c r="A2470" s="40">
        <f t="array" ref="A2470">IFNA(index(PlayerValues!A:A,match(IFNA(vlookup(B2470,'Special Names'!A:B,2,FALSE),B2470),PlayerValues!E:E,0)),"N/A")</f>
        <v>16451</v>
      </c>
      <c r="B2470" s="4" t="s">
        <v>769</v>
      </c>
      <c r="C2470" s="4" t="s">
        <v>287</v>
      </c>
      <c r="D2470" s="94">
        <v>702.0</v>
      </c>
    </row>
    <row r="2471">
      <c r="A2471" s="40">
        <f t="array" ref="A2471">IFNA(index(PlayerValues!A:A,match(IFNA(vlookup(B2471,'Special Names'!A:B,2,FALSE),B2471),PlayerValues!E:E,0)),"N/A")</f>
        <v>14805</v>
      </c>
      <c r="B2471" s="4" t="s">
        <v>770</v>
      </c>
      <c r="C2471" s="4" t="s">
        <v>278</v>
      </c>
      <c r="D2471" s="94">
        <v>688.0</v>
      </c>
    </row>
    <row r="2472">
      <c r="A2472" s="40">
        <f t="array" ref="A2472">IFNA(index(PlayerValues!A:A,match(IFNA(vlookup(B2472,'Special Names'!A:B,2,FALSE),B2472),PlayerValues!E:E,0)),"N/A")</f>
        <v>14118</v>
      </c>
      <c r="B2472" s="4" t="s">
        <v>771</v>
      </c>
      <c r="C2472" s="4" t="s">
        <v>287</v>
      </c>
      <c r="D2472" s="94">
        <v>681.0</v>
      </c>
    </row>
    <row r="2473">
      <c r="A2473" s="40">
        <f t="array" ref="A2473">IFNA(index(PlayerValues!A:A,match(IFNA(vlookup(B2473,'Special Names'!A:B,2,FALSE),B2473),PlayerValues!E:E,0)),"N/A")</f>
        <v>12785</v>
      </c>
      <c r="B2473" s="4" t="s">
        <v>772</v>
      </c>
      <c r="C2473" s="4" t="s">
        <v>287</v>
      </c>
      <c r="D2473" s="94">
        <v>676.0</v>
      </c>
    </row>
    <row r="2474">
      <c r="A2474" s="40">
        <f t="array" ref="A2474">IFNA(index(PlayerValues!A:A,match(IFNA(vlookup(B2474,'Special Names'!A:B,2,FALSE),B2474),PlayerValues!E:E,0)),"N/A")</f>
        <v>13193</v>
      </c>
      <c r="B2474" s="4" t="s">
        <v>773</v>
      </c>
      <c r="C2474" s="4" t="s">
        <v>298</v>
      </c>
      <c r="D2474" s="94">
        <v>1018.0</v>
      </c>
    </row>
    <row r="2475">
      <c r="A2475" s="40">
        <f t="array" ref="A2475">IFNA(index(PlayerValues!A:A,match(IFNA(vlookup(B2475,'Special Names'!A:B,2,FALSE),B2475),PlayerValues!E:E,0)),"N/A")</f>
        <v>17038</v>
      </c>
      <c r="B2475" s="4" t="s">
        <v>774</v>
      </c>
      <c r="C2475" s="4" t="s">
        <v>283</v>
      </c>
      <c r="D2475" s="94">
        <v>653.0</v>
      </c>
    </row>
    <row r="2476">
      <c r="A2476" s="40">
        <f t="array" ref="A2476">IFNA(index(PlayerValues!A:A,match(IFNA(vlookup(B2476,'Special Names'!A:B,2,FALSE),B2476),PlayerValues!E:E,0)),"N/A")</f>
        <v>15714</v>
      </c>
      <c r="B2476" s="4" t="s">
        <v>775</v>
      </c>
      <c r="C2476" s="4" t="s">
        <v>278</v>
      </c>
      <c r="D2476" s="94">
        <v>608.0</v>
      </c>
    </row>
    <row r="2477">
      <c r="A2477" s="40">
        <f t="array" ref="A2477">IFNA(index(PlayerValues!A:A,match(IFNA(vlookup(B2477,'Special Names'!A:B,2,FALSE),B2477),PlayerValues!E:E,0)),"N/A")</f>
        <v>16153</v>
      </c>
      <c r="B2477" s="4" t="s">
        <v>776</v>
      </c>
      <c r="C2477" s="4" t="s">
        <v>283</v>
      </c>
      <c r="D2477" s="94">
        <v>590.0</v>
      </c>
    </row>
    <row r="2478">
      <c r="A2478" s="40">
        <f t="array" ref="A2478">IFNA(index(PlayerValues!A:A,match(IFNA(vlookup(B2478,'Special Names'!A:B,2,FALSE),B2478),PlayerValues!E:E,0)),"N/A")</f>
        <v>17752</v>
      </c>
      <c r="B2478" s="4" t="s">
        <v>777</v>
      </c>
      <c r="C2478" s="4" t="s">
        <v>287</v>
      </c>
      <c r="D2478" s="94">
        <v>586.0</v>
      </c>
    </row>
    <row r="2479">
      <c r="A2479" s="40">
        <f t="array" ref="A2479">IFNA(index(PlayerValues!A:A,match(IFNA(vlookup(B2479,'Special Names'!A:B,2,FALSE),B2479),PlayerValues!E:E,0)),"N/A")</f>
        <v>16625</v>
      </c>
      <c r="B2479" s="4" t="s">
        <v>778</v>
      </c>
      <c r="C2479" s="4" t="s">
        <v>287</v>
      </c>
      <c r="D2479" s="94">
        <v>580.0</v>
      </c>
    </row>
    <row r="2480">
      <c r="A2480" s="40">
        <f t="array" ref="A2480">IFNA(index(PlayerValues!A:A,match(IFNA(vlookup(B2480,'Special Names'!A:B,2,FALSE),B2480),PlayerValues!E:E,0)),"N/A")</f>
        <v>11679</v>
      </c>
      <c r="B2480" s="4" t="s">
        <v>779</v>
      </c>
      <c r="C2480" s="4" t="s">
        <v>287</v>
      </c>
      <c r="D2480" s="94">
        <v>521.0</v>
      </c>
    </row>
    <row r="2481">
      <c r="A2481" s="40">
        <f t="array" ref="A2481">IFNA(index(PlayerValues!A:A,match(IFNA(vlookup(B2481,'Special Names'!A:B,2,FALSE),B2481),PlayerValues!E:E,0)),"N/A")</f>
        <v>15743</v>
      </c>
      <c r="B2481" s="4" t="s">
        <v>780</v>
      </c>
      <c r="C2481" s="4" t="s">
        <v>278</v>
      </c>
      <c r="D2481" s="94">
        <v>521.0</v>
      </c>
    </row>
    <row r="2482">
      <c r="A2482" s="40">
        <f t="array" ref="A2482">IFNA(index(PlayerValues!A:A,match(IFNA(vlookup(B2482,'Special Names'!A:B,2,FALSE),B2482),PlayerValues!E:E,0)),"N/A")</f>
        <v>16413</v>
      </c>
      <c r="B2482" s="4" t="s">
        <v>781</v>
      </c>
      <c r="C2482" s="4" t="s">
        <v>287</v>
      </c>
      <c r="D2482" s="94">
        <v>516.0</v>
      </c>
    </row>
    <row r="2483">
      <c r="A2483" s="40">
        <f t="array" ref="A2483">IFNA(index(PlayerValues!A:A,match(IFNA(vlookup(B2483,'Special Names'!A:B,2,FALSE),B2483),PlayerValues!E:E,0)),"N/A")</f>
        <v>16613</v>
      </c>
      <c r="B2483" s="4" t="s">
        <v>782</v>
      </c>
      <c r="C2483" s="4" t="s">
        <v>278</v>
      </c>
      <c r="D2483" s="94">
        <v>507.0</v>
      </c>
    </row>
    <row r="2484">
      <c r="A2484" s="40">
        <f t="array" ref="A2484">IFNA(index(PlayerValues!A:A,match(IFNA(vlookup(B2484,'Special Names'!A:B,2,FALSE),B2484),PlayerValues!E:E,0)),"N/A")</f>
        <v>16773</v>
      </c>
      <c r="B2484" s="4" t="s">
        <v>783</v>
      </c>
      <c r="C2484" s="4" t="s">
        <v>278</v>
      </c>
      <c r="D2484" s="94">
        <v>502.0</v>
      </c>
    </row>
    <row r="2485">
      <c r="A2485" s="40">
        <f t="array" ref="A2485">IFNA(index(PlayerValues!A:A,match(IFNA(vlookup(B2485,'Special Names'!A:B,2,FALSE),B2485),PlayerValues!E:E,0)),"N/A")</f>
        <v>17232</v>
      </c>
      <c r="B2485" s="4" t="s">
        <v>784</v>
      </c>
      <c r="C2485" s="4" t="s">
        <v>287</v>
      </c>
      <c r="D2485" s="94">
        <v>501.0</v>
      </c>
    </row>
    <row r="2486">
      <c r="A2486" s="40">
        <f t="array" ref="A2486">IFNA(index(PlayerValues!A:A,match(IFNA(vlookup(B2486,'Special Names'!A:B,2,FALSE),B2486),PlayerValues!E:E,0)),"N/A")</f>
        <v>14223</v>
      </c>
      <c r="B2486" s="4" t="s">
        <v>785</v>
      </c>
      <c r="C2486" s="4" t="s">
        <v>278</v>
      </c>
      <c r="D2486" s="94">
        <v>499.0</v>
      </c>
    </row>
    <row r="2487">
      <c r="A2487" s="40">
        <f t="array" ref="A2487">IFNA(index(PlayerValues!A:A,match(IFNA(vlookup(B2487,'Special Names'!A:B,2,FALSE),B2487),PlayerValues!E:E,0)),"N/A")</f>
        <v>13143</v>
      </c>
      <c r="B2487" s="4" t="s">
        <v>786</v>
      </c>
      <c r="C2487" s="4" t="s">
        <v>278</v>
      </c>
      <c r="D2487" s="94">
        <v>487.0</v>
      </c>
    </row>
    <row r="2488">
      <c r="A2488" s="40">
        <f t="array" ref="A2488">IFNA(index(PlayerValues!A:A,match(IFNA(vlookup(B2488,'Special Names'!A:B,2,FALSE),B2488),PlayerValues!E:E,0)),"N/A")</f>
        <v>16299</v>
      </c>
      <c r="B2488" s="4" t="s">
        <v>787</v>
      </c>
      <c r="C2488" s="4" t="s">
        <v>287</v>
      </c>
      <c r="D2488" s="94">
        <v>486.0</v>
      </c>
    </row>
    <row r="2489">
      <c r="A2489" s="40">
        <f t="array" ref="A2489">IFNA(index(PlayerValues!A:A,match(IFNA(vlookup(B2489,'Special Names'!A:B,2,FALSE),B2489),PlayerValues!E:E,0)),"N/A")</f>
        <v>14113</v>
      </c>
      <c r="B2489" s="4" t="s">
        <v>788</v>
      </c>
      <c r="C2489" s="4" t="s">
        <v>287</v>
      </c>
      <c r="D2489" s="94">
        <v>483.0</v>
      </c>
    </row>
    <row r="2490">
      <c r="A2490" s="40">
        <f t="array" ref="A2490">IFNA(index(PlayerValues!A:A,match(IFNA(vlookup(B2490,'Special Names'!A:B,2,FALSE),B2490),PlayerValues!E:E,0)),"N/A")</f>
        <v>14864</v>
      </c>
      <c r="B2490" s="4" t="s">
        <v>789</v>
      </c>
      <c r="C2490" s="4" t="s">
        <v>287</v>
      </c>
      <c r="D2490" s="94">
        <v>483.0</v>
      </c>
    </row>
    <row r="2491">
      <c r="A2491" s="40">
        <f t="array" ref="A2491">IFNA(index(PlayerValues!A:A,match(IFNA(vlookup(B2491,'Special Names'!A:B,2,FALSE),B2491),PlayerValues!E:E,0)),"N/A")</f>
        <v>14076</v>
      </c>
      <c r="B2491" s="4" t="s">
        <v>790</v>
      </c>
      <c r="C2491" s="4" t="s">
        <v>278</v>
      </c>
      <c r="D2491" s="94">
        <v>480.0</v>
      </c>
    </row>
    <row r="2492">
      <c r="A2492" s="40">
        <f t="array" ref="A2492">IFNA(index(PlayerValues!A:A,match(IFNA(vlookup(B2492,'Special Names'!A:B,2,FALSE),B2492),PlayerValues!E:E,0)),"N/A")</f>
        <v>15965</v>
      </c>
      <c r="B2492" s="4" t="s">
        <v>791</v>
      </c>
      <c r="C2492" s="4" t="s">
        <v>278</v>
      </c>
      <c r="D2492" s="94">
        <v>478.0</v>
      </c>
    </row>
    <row r="2493">
      <c r="A2493" s="40">
        <f t="array" ref="A2493">IFNA(index(PlayerValues!A:A,match(IFNA(vlookup(B2493,'Special Names'!A:B,2,FALSE),B2493),PlayerValues!E:E,0)),"N/A")</f>
        <v>15285</v>
      </c>
      <c r="B2493" s="4" t="s">
        <v>792</v>
      </c>
      <c r="C2493" s="4" t="s">
        <v>287</v>
      </c>
      <c r="D2493" s="94">
        <v>476.0</v>
      </c>
    </row>
    <row r="2494">
      <c r="A2494" s="40">
        <f t="array" ref="A2494">IFNA(index(PlayerValues!A:A,match(IFNA(vlookup(B2494,'Special Names'!A:B,2,FALSE),B2494),PlayerValues!E:E,0)),"N/A")</f>
        <v>17337</v>
      </c>
      <c r="B2494" s="4" t="s">
        <v>793</v>
      </c>
      <c r="C2494" s="4" t="s">
        <v>278</v>
      </c>
      <c r="D2494" s="94">
        <v>475.0</v>
      </c>
    </row>
    <row r="2495">
      <c r="A2495" s="40">
        <f t="array" ref="A2495">IFNA(index(PlayerValues!A:A,match(IFNA(vlookup(B2495,'Special Names'!A:B,2,FALSE),B2495),PlayerValues!E:E,0)),"N/A")</f>
        <v>15796</v>
      </c>
      <c r="B2495" s="4" t="s">
        <v>794</v>
      </c>
      <c r="C2495" s="4" t="s">
        <v>298</v>
      </c>
      <c r="D2495" s="94">
        <v>819.0</v>
      </c>
    </row>
    <row r="2496">
      <c r="A2496" s="40">
        <f t="array" ref="A2496">IFNA(index(PlayerValues!A:A,match(IFNA(vlookup(B2496,'Special Names'!A:B,2,FALSE),B2496),PlayerValues!E:E,0)),"N/A")</f>
        <v>15720</v>
      </c>
      <c r="B2496" s="4" t="s">
        <v>795</v>
      </c>
      <c r="C2496" s="4" t="s">
        <v>278</v>
      </c>
      <c r="D2496" s="94">
        <v>469.0</v>
      </c>
    </row>
    <row r="2497">
      <c r="A2497" s="40">
        <f t="array" ref="A2497">IFNA(index(PlayerValues!A:A,match(IFNA(vlookup(B2497,'Special Names'!A:B,2,FALSE),B2497),PlayerValues!E:E,0)),"N/A")</f>
        <v>16624</v>
      </c>
      <c r="B2497" s="4" t="s">
        <v>796</v>
      </c>
      <c r="C2497" s="4" t="s">
        <v>287</v>
      </c>
      <c r="D2497" s="94">
        <v>469.0</v>
      </c>
    </row>
    <row r="2498">
      <c r="A2498" s="40">
        <f t="array" ref="A2498">IFNA(index(PlayerValues!A:A,match(IFNA(vlookup(B2498,'Special Names'!A:B,2,FALSE),B2498),PlayerValues!E:E,0)),"N/A")</f>
        <v>17348</v>
      </c>
      <c r="B2498" s="4" t="s">
        <v>797</v>
      </c>
      <c r="C2498" s="4" t="s">
        <v>278</v>
      </c>
      <c r="D2498" s="94">
        <v>467.0</v>
      </c>
    </row>
    <row r="2499">
      <c r="A2499" s="40">
        <f t="array" ref="A2499">IFNA(index(PlayerValues!A:A,match(IFNA(vlookup(B2499,'Special Names'!A:B,2,FALSE),B2499),PlayerValues!E:E,0)),"N/A")</f>
        <v>15723</v>
      </c>
      <c r="B2499" s="4" t="s">
        <v>798</v>
      </c>
      <c r="C2499" s="4" t="s">
        <v>278</v>
      </c>
      <c r="D2499" s="94">
        <v>463.0</v>
      </c>
    </row>
    <row r="2500">
      <c r="A2500" s="40">
        <f t="array" ref="A2500">IFNA(index(PlayerValues!A:A,match(IFNA(vlookup(B2500,'Special Names'!A:B,2,FALSE),B2500),PlayerValues!E:E,0)),"N/A")</f>
        <v>14858</v>
      </c>
      <c r="B2500" s="4" t="s">
        <v>799</v>
      </c>
      <c r="C2500" s="4" t="s">
        <v>287</v>
      </c>
      <c r="D2500" s="94">
        <v>462.0</v>
      </c>
    </row>
    <row r="2501">
      <c r="A2501" s="40">
        <f t="array" ref="A2501">IFNA(index(PlayerValues!A:A,match(IFNA(vlookup(B2501,'Special Names'!A:B,2,FALSE),B2501),PlayerValues!E:E,0)),"N/A")</f>
        <v>16161</v>
      </c>
      <c r="B2501" s="4" t="s">
        <v>277</v>
      </c>
      <c r="C2501" s="4" t="s">
        <v>278</v>
      </c>
      <c r="D2501" s="94">
        <v>9999.0</v>
      </c>
    </row>
    <row r="2502">
      <c r="A2502" s="40">
        <f t="array" ref="A2502">IFNA(index(PlayerValues!A:A,match(IFNA(vlookup(B2502,'Special Names'!A:B,2,FALSE),B2502),PlayerValues!E:E,0)),"N/A")</f>
        <v>16162</v>
      </c>
      <c r="B2502" s="4" t="s">
        <v>281</v>
      </c>
      <c r="C2502" s="4" t="s">
        <v>278</v>
      </c>
      <c r="D2502" s="94">
        <v>9999.0</v>
      </c>
    </row>
    <row r="2503">
      <c r="A2503" s="40">
        <f t="array" ref="A2503">IFNA(index(PlayerValues!A:A,match(IFNA(vlookup(B2503,'Special Names'!A:B,2,FALSE),B2503),PlayerValues!E:E,0)),"N/A")</f>
        <v>13589</v>
      </c>
      <c r="B2503" s="4" t="s">
        <v>282</v>
      </c>
      <c r="C2503" s="4" t="s">
        <v>283</v>
      </c>
      <c r="D2503" s="94">
        <v>9994.0</v>
      </c>
    </row>
    <row r="2504">
      <c r="A2504" s="40">
        <f t="array" ref="A2504">IFNA(index(PlayerValues!A:A,match(IFNA(vlookup(B2504,'Special Names'!A:B,2,FALSE),B2504),PlayerValues!E:E,0)),"N/A")</f>
        <v>15281</v>
      </c>
      <c r="B2504" s="4" t="s">
        <v>286</v>
      </c>
      <c r="C2504" s="4" t="s">
        <v>287</v>
      </c>
      <c r="D2504" s="94">
        <v>9978.0</v>
      </c>
    </row>
    <row r="2505">
      <c r="A2505" s="40">
        <f t="array" ref="A2505">IFNA(index(PlayerValues!A:A,match(IFNA(vlookup(B2505,'Special Names'!A:B,2,FALSE),B2505),PlayerValues!E:E,0)),"N/A")</f>
        <v>16185</v>
      </c>
      <c r="B2505" s="4" t="s">
        <v>290</v>
      </c>
      <c r="C2505" s="4" t="s">
        <v>287</v>
      </c>
      <c r="D2505" s="94">
        <v>9196.0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8898.0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8581.0</v>
      </c>
    </row>
    <row r="2508">
      <c r="A2508" s="40">
        <f t="array" ref="A2508">IFNA(index(PlayerValues!A:A,match(IFNA(vlookup(B2508,'Special Names'!A:B,2,FALSE),B2508),PlayerValues!E:E,0)),"N/A")</f>
        <v>16641</v>
      </c>
      <c r="B2508" s="4" t="s">
        <v>297</v>
      </c>
      <c r="C2508" s="4" t="s">
        <v>298</v>
      </c>
      <c r="D2508" s="94">
        <v>9140.0</v>
      </c>
    </row>
    <row r="2509">
      <c r="A2509" s="40">
        <f t="array" ref="A2509">IFNA(index(PlayerValues!A:A,match(IFNA(vlookup(B2509,'Special Names'!A:B,2,FALSE),B2509),PlayerValues!E:E,0)),"N/A")</f>
        <v>15287</v>
      </c>
      <c r="B2509" s="4" t="s">
        <v>299</v>
      </c>
      <c r="C2509" s="4" t="s">
        <v>287</v>
      </c>
      <c r="D2509" s="94">
        <v>8189.0</v>
      </c>
    </row>
    <row r="2510">
      <c r="A2510" s="40">
        <f t="array" ref="A2510">IFNA(index(PlayerValues!A:A,match(IFNA(vlookup(B2510,'Special Names'!A:B,2,FALSE),B2510),PlayerValues!E:E,0)),"N/A")</f>
        <v>16579</v>
      </c>
      <c r="B2510" s="4" t="s">
        <v>302</v>
      </c>
      <c r="C2510" s="4" t="s">
        <v>283</v>
      </c>
      <c r="D2510" s="94">
        <v>7817.0</v>
      </c>
    </row>
    <row r="2511">
      <c r="A2511" s="40">
        <f t="array" ref="A2511">IFNA(index(PlayerValues!A:A,match(IFNA(vlookup(B2511,'Special Names'!A:B,2,FALSE),B2511),PlayerValues!E:E,0)),"N/A")</f>
        <v>13593</v>
      </c>
      <c r="B2511" s="4" t="s">
        <v>305</v>
      </c>
      <c r="C2511" s="4" t="s">
        <v>283</v>
      </c>
      <c r="D2511" s="94">
        <v>7542.0</v>
      </c>
    </row>
    <row r="2512">
      <c r="A2512" s="40">
        <f t="array" ref="A2512">IFNA(index(PlayerValues!A:A,match(IFNA(vlookup(B2512,'Special Names'!A:B,2,FALSE),B2512),PlayerValues!E:E,0)),"N/A")</f>
        <v>14836</v>
      </c>
      <c r="B2512" s="4" t="s">
        <v>306</v>
      </c>
      <c r="C2512" s="4" t="s">
        <v>287</v>
      </c>
      <c r="D2512" s="94">
        <v>7390.0</v>
      </c>
    </row>
    <row r="2513">
      <c r="A2513" s="40">
        <f t="array" ref="A2513">IFNA(index(PlayerValues!A:A,match(IFNA(vlookup(B2513,'Special Names'!A:B,2,FALSE),B2513),PlayerValues!E:E,0)),"N/A")</f>
        <v>16615</v>
      </c>
      <c r="B2513" s="4" t="s">
        <v>309</v>
      </c>
      <c r="C2513" s="4" t="s">
        <v>287</v>
      </c>
      <c r="D2513" s="94">
        <v>7362.0</v>
      </c>
    </row>
    <row r="2514">
      <c r="A2514" s="40">
        <f t="array" ref="A2514">IFNA(index(PlayerValues!A:A,match(IFNA(vlookup(B2514,'Special Names'!A:B,2,FALSE),B2514),PlayerValues!E:E,0)),"N/A")</f>
        <v>17472</v>
      </c>
      <c r="B2514" s="4" t="s">
        <v>310</v>
      </c>
      <c r="C2514" s="4" t="s">
        <v>278</v>
      </c>
      <c r="D2514" s="94">
        <v>7334.0</v>
      </c>
    </row>
    <row r="2515">
      <c r="A2515" s="40">
        <f t="array" ref="A2515">IFNA(index(PlayerValues!A:A,match(IFNA(vlookup(B2515,'Special Names'!A:B,2,FALSE),B2515),PlayerValues!E:E,0)),"N/A")</f>
        <v>15794</v>
      </c>
      <c r="B2515" s="4" t="s">
        <v>313</v>
      </c>
      <c r="C2515" s="4" t="s">
        <v>298</v>
      </c>
      <c r="D2515" s="94">
        <v>8091.0</v>
      </c>
    </row>
    <row r="2516">
      <c r="A2516" s="40">
        <f t="array" ref="A2516">IFNA(index(PlayerValues!A:A,match(IFNA(vlookup(B2516,'Special Names'!A:B,2,FALSE),B2516),PlayerValues!E:E,0)),"N/A")</f>
        <v>17042</v>
      </c>
      <c r="B2516" s="4" t="s">
        <v>314</v>
      </c>
      <c r="C2516" s="4" t="s">
        <v>278</v>
      </c>
      <c r="D2516" s="94">
        <v>7295.0</v>
      </c>
    </row>
    <row r="2517">
      <c r="A2517" s="40">
        <f t="array" ref="A2517">IFNA(index(PlayerValues!A:A,match(IFNA(vlookup(B2517,'Special Names'!A:B,2,FALSE),B2517),PlayerValues!E:E,0)),"N/A")</f>
        <v>16581</v>
      </c>
      <c r="B2517" s="4" t="s">
        <v>315</v>
      </c>
      <c r="C2517" s="4" t="s">
        <v>283</v>
      </c>
      <c r="D2517" s="94">
        <v>7267.0</v>
      </c>
    </row>
    <row r="2518">
      <c r="A2518" s="40">
        <f t="array" ref="A2518">IFNA(index(PlayerValues!A:A,match(IFNA(vlookup(B2518,'Special Names'!A:B,2,FALSE),B2518),PlayerValues!E:E,0)),"N/A")</f>
        <v>14777</v>
      </c>
      <c r="B2518" s="4" t="s">
        <v>318</v>
      </c>
      <c r="C2518" s="4" t="s">
        <v>283</v>
      </c>
      <c r="D2518" s="94">
        <v>7236.0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7194.0</v>
      </c>
    </row>
    <row r="2520">
      <c r="A2520" s="40">
        <f t="array" ref="A2520">IFNA(index(PlayerValues!A:A,match(IFNA(vlookup(B2520,'Special Names'!A:B,2,FALSE),B2520),PlayerValues!E:E,0)),"N/A")</f>
        <v>17044</v>
      </c>
      <c r="B2520" s="4" t="s">
        <v>322</v>
      </c>
      <c r="C2520" s="4" t="s">
        <v>278</v>
      </c>
      <c r="D2520" s="94">
        <v>6966.0</v>
      </c>
    </row>
    <row r="2521">
      <c r="A2521" s="40">
        <f t="array" ref="A2521">IFNA(index(PlayerValues!A:A,match(IFNA(vlookup(B2521,'Special Names'!A:B,2,FALSE),B2521),PlayerValues!E:E,0)),"N/A")</f>
        <v>16167</v>
      </c>
      <c r="B2521" s="4" t="s">
        <v>323</v>
      </c>
      <c r="C2521" s="4" t="s">
        <v>278</v>
      </c>
      <c r="D2521" s="94">
        <v>6948.0</v>
      </c>
    </row>
    <row r="2522">
      <c r="A2522" s="40" t="str">
        <f t="array" ref="A2522">IFNA(index(PlayerValues!A:A,match(IFNA(vlookup(B2522,'Special Names'!A:B,2,FALSE),B2522),PlayerValues!E:E,0)),"N/A")</f>
        <v>N/A</v>
      </c>
      <c r="B2522" s="4" t="s">
        <v>92</v>
      </c>
      <c r="C2522" s="4" t="s">
        <v>325</v>
      </c>
      <c r="D2522" s="94">
        <v>6938.0</v>
      </c>
    </row>
    <row r="2523">
      <c r="A2523" s="40">
        <f t="array" ref="A2523">IFNA(index(PlayerValues!A:A,match(IFNA(vlookup(B2523,'Special Names'!A:B,2,FALSE),B2523),PlayerValues!E:E,0)),"N/A")</f>
        <v>14779</v>
      </c>
      <c r="B2523" s="4" t="s">
        <v>327</v>
      </c>
      <c r="C2523" s="4" t="s">
        <v>283</v>
      </c>
      <c r="D2523" s="94">
        <v>6936.0</v>
      </c>
    </row>
    <row r="2524">
      <c r="A2524" s="40">
        <f t="array" ref="A2524">IFNA(index(PlayerValues!A:A,match(IFNA(vlookup(B2524,'Special Names'!A:B,2,FALSE),B2524),PlayerValues!E:E,0)),"N/A")</f>
        <v>15751</v>
      </c>
      <c r="B2524" s="4" t="s">
        <v>328</v>
      </c>
      <c r="C2524" s="4" t="s">
        <v>287</v>
      </c>
      <c r="D2524" s="94">
        <v>6795.0</v>
      </c>
    </row>
    <row r="2525">
      <c r="A2525" s="40">
        <f t="array" ref="A2525">IFNA(index(PlayerValues!A:A,match(IFNA(vlookup(B2525,'Special Names'!A:B,2,FALSE),B2525),PlayerValues!E:E,0)),"N/A")</f>
        <v>15715</v>
      </c>
      <c r="B2525" s="4" t="s">
        <v>331</v>
      </c>
      <c r="C2525" s="4" t="s">
        <v>278</v>
      </c>
      <c r="D2525" s="94">
        <v>6521.0</v>
      </c>
    </row>
    <row r="2526">
      <c r="A2526" s="40">
        <f t="array" ref="A2526">IFNA(index(PlayerValues!A:A,match(IFNA(vlookup(B2526,'Special Names'!A:B,2,FALSE),B2526),PlayerValues!E:E,0)),"N/A")</f>
        <v>14802</v>
      </c>
      <c r="B2526" s="4" t="s">
        <v>332</v>
      </c>
      <c r="C2526" s="4" t="s">
        <v>278</v>
      </c>
      <c r="D2526" s="94">
        <v>6377.0</v>
      </c>
    </row>
    <row r="2527">
      <c r="A2527" s="40">
        <f t="array" ref="A2527">IFNA(index(PlayerValues!A:A,match(IFNA(vlookup(B2527,'Special Names'!A:B,2,FALSE),B2527),PlayerValues!E:E,0)),"N/A")</f>
        <v>17104</v>
      </c>
      <c r="B2527" s="4" t="s">
        <v>333</v>
      </c>
      <c r="C2527" s="4" t="s">
        <v>298</v>
      </c>
      <c r="D2527" s="94">
        <v>7040.0</v>
      </c>
    </row>
    <row r="2528">
      <c r="A2528" s="40">
        <f t="array" ref="A2528">IFNA(index(PlayerValues!A:A,match(IFNA(vlookup(B2528,'Special Names'!A:B,2,FALSE),B2528),PlayerValues!E:E,0)),"N/A")</f>
        <v>15237</v>
      </c>
      <c r="B2528" s="4" t="s">
        <v>336</v>
      </c>
      <c r="C2528" s="4" t="s">
        <v>283</v>
      </c>
      <c r="D2528" s="94">
        <v>6319.0</v>
      </c>
    </row>
    <row r="2529">
      <c r="A2529" s="40">
        <f t="array" ref="A2529">IFNA(index(PlayerValues!A:A,match(IFNA(vlookup(B2529,'Special Names'!A:B,2,FALSE),B2529),PlayerValues!E:E,0)),"N/A")</f>
        <v>15762</v>
      </c>
      <c r="B2529" s="4" t="s">
        <v>337</v>
      </c>
      <c r="C2529" s="4" t="s">
        <v>287</v>
      </c>
      <c r="D2529" s="94">
        <v>6253.0</v>
      </c>
    </row>
    <row r="2530">
      <c r="A2530" s="40">
        <f t="array" ref="A2530">IFNA(index(PlayerValues!A:A,match(IFNA(vlookup(B2530,'Special Names'!A:B,2,FALSE),B2530),PlayerValues!E:E,0)),"N/A")</f>
        <v>17081</v>
      </c>
      <c r="B2530" s="4" t="s">
        <v>340</v>
      </c>
      <c r="C2530" s="4" t="s">
        <v>287</v>
      </c>
      <c r="D2530" s="94">
        <v>6191.0</v>
      </c>
    </row>
    <row r="2531">
      <c r="A2531" s="40">
        <f t="array" ref="A2531">IFNA(index(PlayerValues!A:A,match(IFNA(vlookup(B2531,'Special Names'!A:B,2,FALSE),B2531),PlayerValues!E:E,0)),"N/A")</f>
        <v>17071</v>
      </c>
      <c r="B2531" s="4" t="s">
        <v>341</v>
      </c>
      <c r="C2531" s="4" t="s">
        <v>287</v>
      </c>
      <c r="D2531" s="94">
        <v>6187.0</v>
      </c>
    </row>
    <row r="2532">
      <c r="A2532" s="40">
        <f t="array" ref="A2532">IFNA(index(PlayerValues!A:A,match(IFNA(vlookup(B2532,'Special Names'!A:B,2,FALSE),B2532),PlayerValues!E:E,0)),"N/A")</f>
        <v>14783</v>
      </c>
      <c r="B2532" s="4" t="s">
        <v>342</v>
      </c>
      <c r="C2532" s="4" t="s">
        <v>283</v>
      </c>
      <c r="D2532" s="94">
        <v>6041.0</v>
      </c>
    </row>
    <row r="2533">
      <c r="A2533" s="40">
        <f t="array" ref="A2533">IFNA(index(PlayerValues!A:A,match(IFNA(vlookup(B2533,'Special Names'!A:B,2,FALSE),B2533),PlayerValues!E:E,0)),"N/A")</f>
        <v>16582</v>
      </c>
      <c r="B2533" s="4" t="s">
        <v>343</v>
      </c>
      <c r="C2533" s="4" t="s">
        <v>283</v>
      </c>
      <c r="D2533" s="94">
        <v>6025.0</v>
      </c>
    </row>
    <row r="2534">
      <c r="A2534" s="40">
        <f t="array" ref="A2534">IFNA(index(PlayerValues!A:A,match(IFNA(vlookup(B2534,'Special Names'!A:B,2,FALSE),B2534),PlayerValues!E:E,0)),"N/A")</f>
        <v>17102</v>
      </c>
      <c r="B2534" s="4" t="s">
        <v>344</v>
      </c>
      <c r="C2534" s="4" t="s">
        <v>298</v>
      </c>
      <c r="D2534" s="94">
        <v>6638.0</v>
      </c>
    </row>
    <row r="2535">
      <c r="A2535" s="40">
        <f t="array" ref="A2535">IFNA(index(PlayerValues!A:A,match(IFNA(vlookup(B2535,'Special Names'!A:B,2,FALSE),B2535),PlayerValues!E:E,0)),"N/A")</f>
        <v>13116</v>
      </c>
      <c r="B2535" s="4" t="s">
        <v>345</v>
      </c>
      <c r="C2535" s="4" t="s">
        <v>283</v>
      </c>
      <c r="D2535" s="94">
        <v>5960.0</v>
      </c>
    </row>
    <row r="2536">
      <c r="A2536" s="40">
        <f t="array" ref="A2536">IFNA(index(PlayerValues!A:A,match(IFNA(vlookup(B2536,'Special Names'!A:B,2,FALSE),B2536),PlayerValues!E:E,0)),"N/A")</f>
        <v>17032</v>
      </c>
      <c r="B2536" s="4" t="s">
        <v>348</v>
      </c>
      <c r="C2536" s="4" t="s">
        <v>283</v>
      </c>
      <c r="D2536" s="94">
        <v>5886.0</v>
      </c>
    </row>
    <row r="2537">
      <c r="A2537" s="40">
        <f t="array" ref="A2537">IFNA(index(PlayerValues!A:A,match(IFNA(vlookup(B2537,'Special Names'!A:B,2,FALSE),B2537),PlayerValues!E:E,0)),"N/A")</f>
        <v>15711</v>
      </c>
      <c r="B2537" s="4" t="s">
        <v>349</v>
      </c>
      <c r="C2537" s="4" t="s">
        <v>278</v>
      </c>
      <c r="D2537" s="94">
        <v>5750.0</v>
      </c>
    </row>
    <row r="2538">
      <c r="A2538" s="40">
        <f t="array" ref="A2538">IFNA(index(PlayerValues!A:A,match(IFNA(vlookup(B2538,'Special Names'!A:B,2,FALSE),B2538),PlayerValues!E:E,0)),"N/A")</f>
        <v>16181</v>
      </c>
      <c r="B2538" s="4" t="s">
        <v>350</v>
      </c>
      <c r="C2538" s="4" t="s">
        <v>278</v>
      </c>
      <c r="D2538" s="94">
        <v>5745.0</v>
      </c>
    </row>
    <row r="2539">
      <c r="A2539" s="40">
        <f t="array" ref="A2539">IFNA(index(PlayerValues!A:A,match(IFNA(vlookup(B2539,'Special Names'!A:B,2,FALSE),B2539),PlayerValues!E:E,0)),"N/A")</f>
        <v>16627</v>
      </c>
      <c r="B2539" s="4" t="s">
        <v>351</v>
      </c>
      <c r="C2539" s="4" t="s">
        <v>287</v>
      </c>
      <c r="D2539" s="94">
        <v>5742.0</v>
      </c>
    </row>
    <row r="2540">
      <c r="A2540" s="40">
        <f t="array" ref="A2540">IFNA(index(PlayerValues!A:A,match(IFNA(vlookup(B2540,'Special Names'!A:B,2,FALSE),B2540),PlayerValues!E:E,0)),"N/A")</f>
        <v>15754</v>
      </c>
      <c r="B2540" s="4" t="s">
        <v>354</v>
      </c>
      <c r="C2540" s="4" t="s">
        <v>287</v>
      </c>
      <c r="D2540" s="94">
        <v>5739.0</v>
      </c>
    </row>
    <row r="2541">
      <c r="A2541" s="40">
        <f t="array" ref="A2541">IFNA(index(PlayerValues!A:A,match(IFNA(vlookup(B2541,'Special Names'!A:B,2,FALSE),B2541),PlayerValues!E:E,0)),"N/A")</f>
        <v>15290</v>
      </c>
      <c r="B2541" s="4" t="s">
        <v>355</v>
      </c>
      <c r="C2541" s="4" t="s">
        <v>287</v>
      </c>
      <c r="D2541" s="94">
        <v>5732.0</v>
      </c>
    </row>
    <row r="2542">
      <c r="A2542" s="40">
        <f t="array" ref="A2542">IFNA(index(PlayerValues!A:A,match(IFNA(vlookup(B2542,'Special Names'!A:B,2,FALSE),B2542),PlayerValues!E:E,0)),"N/A")</f>
        <v>15698</v>
      </c>
      <c r="B2542" s="4" t="s">
        <v>358</v>
      </c>
      <c r="C2542" s="4" t="s">
        <v>283</v>
      </c>
      <c r="D2542" s="94">
        <v>5659.0</v>
      </c>
    </row>
    <row r="2543">
      <c r="A2543" s="40">
        <f t="array" ref="A2543">IFNA(index(PlayerValues!A:A,match(IFNA(vlookup(B2543,'Special Names'!A:B,2,FALSE),B2543),PlayerValues!E:E,0)),"N/A")</f>
        <v>15753</v>
      </c>
      <c r="B2543" s="4" t="s">
        <v>359</v>
      </c>
      <c r="C2543" s="4" t="s">
        <v>287</v>
      </c>
      <c r="D2543" s="94">
        <v>5652.0</v>
      </c>
    </row>
    <row r="2544">
      <c r="A2544" s="40" t="str">
        <f t="array" ref="A2544">IFNA(index(PlayerValues!A:A,match(IFNA(vlookup(B2544,'Special Names'!A:B,2,FALSE),B2544),PlayerValues!E:E,0)),"N/A")</f>
        <v>N/A</v>
      </c>
      <c r="B2544" s="4" t="s">
        <v>93</v>
      </c>
      <c r="C2544" s="4" t="s">
        <v>325</v>
      </c>
      <c r="D2544" s="94">
        <v>5600.0</v>
      </c>
    </row>
    <row r="2545">
      <c r="A2545" s="40">
        <f t="array" ref="A2545">IFNA(index(PlayerValues!A:A,match(IFNA(vlookup(B2545,'Special Names'!A:B,2,FALSE),B2545),PlayerValues!E:E,0)),"N/A")</f>
        <v>15282</v>
      </c>
      <c r="B2545" s="4" t="s">
        <v>364</v>
      </c>
      <c r="C2545" s="4" t="s">
        <v>287</v>
      </c>
      <c r="D2545" s="94">
        <v>5569.0</v>
      </c>
    </row>
    <row r="2546">
      <c r="A2546" s="40">
        <f t="array" ref="A2546">IFNA(index(PlayerValues!A:A,match(IFNA(vlookup(B2546,'Special Names'!A:B,2,FALSE),B2546),PlayerValues!E:E,0)),"N/A")</f>
        <v>17497</v>
      </c>
      <c r="B2546" s="4" t="s">
        <v>365</v>
      </c>
      <c r="C2546" s="4" t="s">
        <v>287</v>
      </c>
      <c r="D2546" s="94">
        <v>5568.0</v>
      </c>
    </row>
    <row r="2547">
      <c r="A2547" s="40" t="str">
        <f t="array" ref="A2547">IFNA(index(PlayerValues!A:A,match(IFNA(vlookup(B2547,'Special Names'!A:B,2,FALSE),B2547),PlayerValues!E:E,0)),"N/A")</f>
        <v>N/A</v>
      </c>
      <c r="B2547" s="4" t="s">
        <v>79</v>
      </c>
      <c r="C2547" s="4" t="s">
        <v>325</v>
      </c>
      <c r="D2547" s="94">
        <v>5527.0</v>
      </c>
    </row>
    <row r="2548">
      <c r="A2548" s="40">
        <f t="array" ref="A2548">IFNA(index(PlayerValues!A:A,match(IFNA(vlookup(B2548,'Special Names'!A:B,2,FALSE),B2548),PlayerValues!E:E,0)),"N/A")</f>
        <v>17070</v>
      </c>
      <c r="B2548" s="4" t="s">
        <v>370</v>
      </c>
      <c r="C2548" s="4" t="s">
        <v>287</v>
      </c>
      <c r="D2548" s="94">
        <v>5497.0</v>
      </c>
    </row>
    <row r="2549">
      <c r="A2549" s="40">
        <f t="array" ref="A2549">IFNA(index(PlayerValues!A:A,match(IFNA(vlookup(B2549,'Special Names'!A:B,2,FALSE),B2549),PlayerValues!E:E,0)),"N/A")</f>
        <v>16190</v>
      </c>
      <c r="B2549" s="4" t="s">
        <v>371</v>
      </c>
      <c r="C2549" s="4" t="s">
        <v>287</v>
      </c>
      <c r="D2549" s="94">
        <v>5339.0</v>
      </c>
    </row>
    <row r="2550">
      <c r="A2550" s="40">
        <f t="array" ref="A2550">IFNA(index(PlayerValues!A:A,match(IFNA(vlookup(B2550,'Special Names'!A:B,2,FALSE),B2550),PlayerValues!E:E,0)),"N/A")</f>
        <v>13130</v>
      </c>
      <c r="B2550" s="4" t="s">
        <v>374</v>
      </c>
      <c r="C2550" s="4" t="s">
        <v>278</v>
      </c>
      <c r="D2550" s="94">
        <v>5305.0</v>
      </c>
    </row>
    <row r="2551">
      <c r="A2551" s="40">
        <f t="array" ref="A2551">IFNA(index(PlayerValues!A:A,match(IFNA(vlookup(B2551,'Special Names'!A:B,2,FALSE),B2551),PlayerValues!E:E,0)),"N/A")</f>
        <v>17462</v>
      </c>
      <c r="B2551" s="4" t="s">
        <v>375</v>
      </c>
      <c r="C2551" s="4" t="s">
        <v>283</v>
      </c>
      <c r="D2551" s="94">
        <v>5303.0</v>
      </c>
    </row>
    <row r="2552">
      <c r="A2552" s="40">
        <f t="array" ref="A2552">IFNA(index(PlayerValues!A:A,match(IFNA(vlookup(B2552,'Special Names'!A:B,2,FALSE),B2552),PlayerValues!E:E,0)),"N/A")</f>
        <v>13604</v>
      </c>
      <c r="B2552" s="4" t="s">
        <v>378</v>
      </c>
      <c r="C2552" s="4" t="s">
        <v>278</v>
      </c>
      <c r="D2552" s="94">
        <v>5288.0</v>
      </c>
    </row>
    <row r="2553">
      <c r="A2553" s="40">
        <f t="array" ref="A2553">IFNA(index(PlayerValues!A:A,match(IFNA(vlookup(B2553,'Special Names'!A:B,2,FALSE),B2553),PlayerValues!E:E,0)),"N/A")</f>
        <v>14104</v>
      </c>
      <c r="B2553" s="4" t="s">
        <v>379</v>
      </c>
      <c r="C2553" s="4" t="s">
        <v>287</v>
      </c>
      <c r="D2553" s="94">
        <v>5287.0</v>
      </c>
    </row>
    <row r="2554">
      <c r="A2554" s="40">
        <f t="array" ref="A2554">IFNA(index(PlayerValues!A:A,match(IFNA(vlookup(B2554,'Special Names'!A:B,2,FALSE),B2554),PlayerValues!E:E,0)),"N/A")</f>
        <v>15708</v>
      </c>
      <c r="B2554" s="4" t="s">
        <v>382</v>
      </c>
      <c r="C2554" s="4" t="s">
        <v>278</v>
      </c>
      <c r="D2554" s="94">
        <v>5287.0</v>
      </c>
    </row>
    <row r="2555">
      <c r="A2555" s="40">
        <f t="array" ref="A2555">IFNA(index(PlayerValues!A:A,match(IFNA(vlookup(B2555,'Special Names'!A:B,2,FALSE),B2555),PlayerValues!E:E,0)),"N/A")</f>
        <v>14782</v>
      </c>
      <c r="B2555" s="4" t="s">
        <v>385</v>
      </c>
      <c r="C2555" s="4" t="s">
        <v>283</v>
      </c>
      <c r="D2555" s="94">
        <v>5284.0</v>
      </c>
    </row>
    <row r="2556">
      <c r="A2556" s="40" t="str">
        <f t="array" ref="A2556">IFNA(index(PlayerValues!A:A,match(IFNA(vlookup(B2556,'Special Names'!A:B,2,FALSE),B2556),PlayerValues!E:E,0)),"N/A")</f>
        <v>N/A</v>
      </c>
      <c r="B2556" s="4" t="s">
        <v>104</v>
      </c>
      <c r="C2556" s="4" t="s">
        <v>325</v>
      </c>
      <c r="D2556" s="94">
        <v>5247.0</v>
      </c>
    </row>
    <row r="2557">
      <c r="A2557" s="40">
        <f t="array" ref="A2557">IFNA(index(PlayerValues!A:A,match(IFNA(vlookup(B2557,'Special Names'!A:B,2,FALSE),B2557),PlayerValues!E:E,0)),"N/A")</f>
        <v>17051</v>
      </c>
      <c r="B2557" s="4" t="s">
        <v>386</v>
      </c>
      <c r="C2557" s="4" t="s">
        <v>278</v>
      </c>
      <c r="D2557" s="94">
        <v>5241.0</v>
      </c>
    </row>
    <row r="2558">
      <c r="A2558" s="40">
        <f t="array" ref="A2558">IFNA(index(PlayerValues!A:A,match(IFNA(vlookup(B2558,'Special Names'!A:B,2,FALSE),B2558),PlayerValues!E:E,0)),"N/A")</f>
        <v>16616</v>
      </c>
      <c r="B2558" s="4" t="s">
        <v>389</v>
      </c>
      <c r="C2558" s="4" t="s">
        <v>287</v>
      </c>
      <c r="D2558" s="94">
        <v>5222.0</v>
      </c>
    </row>
    <row r="2559">
      <c r="A2559" s="40">
        <f t="array" ref="A2559">IFNA(index(PlayerValues!A:A,match(IFNA(vlookup(B2559,'Special Names'!A:B,2,FALSE),B2559),PlayerValues!E:E,0)),"N/A")</f>
        <v>15284</v>
      </c>
      <c r="B2559" s="4" t="s">
        <v>390</v>
      </c>
      <c r="C2559" s="4" t="s">
        <v>287</v>
      </c>
      <c r="D2559" s="94">
        <v>5191.0</v>
      </c>
    </row>
    <row r="2560">
      <c r="A2560" s="40">
        <f t="array" ref="A2560">IFNA(index(PlayerValues!A:A,match(IFNA(vlookup(B2560,'Special Names'!A:B,2,FALSE),B2560),PlayerValues!E:E,0)),"N/A")</f>
        <v>17473</v>
      </c>
      <c r="B2560" s="4" t="s">
        <v>391</v>
      </c>
      <c r="C2560" s="4" t="s">
        <v>278</v>
      </c>
      <c r="D2560" s="94">
        <v>5116.0</v>
      </c>
    </row>
    <row r="2561">
      <c r="A2561" s="40">
        <f t="array" ref="A2561">IFNA(index(PlayerValues!A:A,match(IFNA(vlookup(B2561,'Special Names'!A:B,2,FALSE),B2561),PlayerValues!E:E,0)),"N/A")</f>
        <v>14835</v>
      </c>
      <c r="B2561" s="4" t="s">
        <v>392</v>
      </c>
      <c r="C2561" s="4" t="s">
        <v>287</v>
      </c>
      <c r="D2561" s="94">
        <v>5095.0</v>
      </c>
    </row>
    <row r="2562">
      <c r="A2562" s="40">
        <f t="array" ref="A2562">IFNA(index(PlayerValues!A:A,match(IFNA(vlookup(B2562,'Special Names'!A:B,2,FALSE),B2562),PlayerValues!E:E,0)),"N/A")</f>
        <v>16222</v>
      </c>
      <c r="B2562" s="4" t="s">
        <v>393</v>
      </c>
      <c r="C2562" s="4" t="s">
        <v>298</v>
      </c>
      <c r="D2562" s="94">
        <v>5638.0</v>
      </c>
    </row>
    <row r="2563">
      <c r="A2563" s="40">
        <f t="array" ref="A2563">IFNA(index(PlayerValues!A:A,match(IFNA(vlookup(B2563,'Special Names'!A:B,2,FALSE),B2563),PlayerValues!E:E,0)),"N/A")</f>
        <v>12620</v>
      </c>
      <c r="B2563" s="4" t="s">
        <v>394</v>
      </c>
      <c r="C2563" s="4" t="s">
        <v>283</v>
      </c>
      <c r="D2563" s="94">
        <v>5050.0</v>
      </c>
    </row>
    <row r="2564">
      <c r="A2564" s="40">
        <f t="array" ref="A2564">IFNA(index(PlayerValues!A:A,match(IFNA(vlookup(B2564,'Special Names'!A:B,2,FALSE),B2564),PlayerValues!E:E,0)),"N/A")</f>
        <v>15710</v>
      </c>
      <c r="B2564" s="4" t="s">
        <v>395</v>
      </c>
      <c r="C2564" s="4" t="s">
        <v>278</v>
      </c>
      <c r="D2564" s="94">
        <v>4953.0</v>
      </c>
    </row>
    <row r="2565">
      <c r="A2565" s="40">
        <f t="array" ref="A2565">IFNA(index(PlayerValues!A:A,match(IFNA(vlookup(B2565,'Special Names'!A:B,2,FALSE),B2565),PlayerValues!E:E,0)),"N/A")</f>
        <v>17498</v>
      </c>
      <c r="B2565" s="4" t="s">
        <v>396</v>
      </c>
      <c r="C2565" s="4" t="s">
        <v>287</v>
      </c>
      <c r="D2565" s="94">
        <v>4948.0</v>
      </c>
    </row>
    <row r="2566">
      <c r="A2566" s="40" t="str">
        <f t="array" ref="A2566">IFNA(index(PlayerValues!A:A,match(IFNA(vlookup(B2566,'Special Names'!A:B,2,FALSE),B2566),PlayerValues!E:E,0)),"N/A")</f>
        <v>N/A</v>
      </c>
      <c r="B2566" s="4" t="s">
        <v>94</v>
      </c>
      <c r="C2566" s="4" t="s">
        <v>325</v>
      </c>
      <c r="D2566" s="94">
        <v>4941.0</v>
      </c>
    </row>
    <row r="2567">
      <c r="A2567" s="40">
        <f t="array" ref="A2567">IFNA(index(PlayerValues!A:A,match(IFNA(vlookup(B2567,'Special Names'!A:B,2,FALSE),B2567),PlayerValues!E:E,0)),"N/A")</f>
        <v>17043</v>
      </c>
      <c r="B2567" s="4" t="s">
        <v>397</v>
      </c>
      <c r="C2567" s="4" t="s">
        <v>278</v>
      </c>
      <c r="D2567" s="94">
        <v>4930.0</v>
      </c>
    </row>
    <row r="2568">
      <c r="A2568" s="40">
        <f t="array" ref="A2568">IFNA(index(PlayerValues!A:A,match(IFNA(vlookup(B2568,'Special Names'!A:B,2,FALSE),B2568),PlayerValues!E:E,0)),"N/A")</f>
        <v>16194</v>
      </c>
      <c r="B2568" s="4" t="s">
        <v>398</v>
      </c>
      <c r="C2568" s="4" t="s">
        <v>287</v>
      </c>
      <c r="D2568" s="94">
        <v>4834.0</v>
      </c>
    </row>
    <row r="2569">
      <c r="A2569" s="40">
        <f t="array" ref="A2569">IFNA(index(PlayerValues!A:A,match(IFNA(vlookup(B2569,'Special Names'!A:B,2,FALSE),B2569),PlayerValues!E:E,0)),"N/A")</f>
        <v>15756</v>
      </c>
      <c r="B2569" s="4" t="s">
        <v>399</v>
      </c>
      <c r="C2569" s="4" t="s">
        <v>287</v>
      </c>
      <c r="D2569" s="94">
        <v>4829.0</v>
      </c>
    </row>
    <row r="2570">
      <c r="A2570" s="40">
        <f t="array" ref="A2570">IFNA(index(PlayerValues!A:A,match(IFNA(vlookup(B2570,'Special Names'!A:B,2,FALSE),B2570),PlayerValues!E:E,0)),"N/A")</f>
        <v>17039</v>
      </c>
      <c r="B2570" s="4" t="s">
        <v>400</v>
      </c>
      <c r="C2570" s="4" t="s">
        <v>283</v>
      </c>
      <c r="D2570" s="94">
        <v>4800.0</v>
      </c>
    </row>
    <row r="2571">
      <c r="A2571" s="40">
        <f t="array" ref="A2571">IFNA(index(PlayerValues!A:A,match(IFNA(vlookup(B2571,'Special Names'!A:B,2,FALSE),B2571),PlayerValues!E:E,0)),"N/A")</f>
        <v>15256</v>
      </c>
      <c r="B2571" s="4" t="s">
        <v>401</v>
      </c>
      <c r="C2571" s="4" t="s">
        <v>278</v>
      </c>
      <c r="D2571" s="94">
        <v>4792.0</v>
      </c>
    </row>
    <row r="2572">
      <c r="A2572" s="40">
        <f t="array" ref="A2572">IFNA(index(PlayerValues!A:A,match(IFNA(vlookup(B2572,'Special Names'!A:B,2,FALSE),B2572),PlayerValues!E:E,0)),"N/A")</f>
        <v>17499</v>
      </c>
      <c r="B2572" s="4" t="s">
        <v>402</v>
      </c>
      <c r="C2572" s="4" t="s">
        <v>287</v>
      </c>
      <c r="D2572" s="94">
        <v>4768.0</v>
      </c>
    </row>
    <row r="2573">
      <c r="A2573" s="40">
        <f t="array" ref="A2573">IFNA(index(PlayerValues!A:A,match(IFNA(vlookup(B2573,'Special Names'!A:B,2,FALSE),B2573),PlayerValues!E:E,0)),"N/A")</f>
        <v>16614</v>
      </c>
      <c r="B2573" s="4" t="s">
        <v>403</v>
      </c>
      <c r="C2573" s="4" t="s">
        <v>287</v>
      </c>
      <c r="D2573" s="94">
        <v>4744.0</v>
      </c>
    </row>
    <row r="2574">
      <c r="A2574" s="40" t="str">
        <f t="array" ref="A2574">IFNA(index(PlayerValues!A:A,match(IFNA(vlookup(B2574,'Special Names'!A:B,2,FALSE),B2574),PlayerValues!E:E,0)),"N/A")</f>
        <v>N/A</v>
      </c>
      <c r="B2574" s="4" t="s">
        <v>80</v>
      </c>
      <c r="C2574" s="4" t="s">
        <v>325</v>
      </c>
      <c r="D2574" s="94">
        <v>4733.0</v>
      </c>
    </row>
    <row r="2575">
      <c r="A2575" s="40">
        <f t="array" ref="A2575">IFNA(index(PlayerValues!A:A,match(IFNA(vlookup(B2575,'Special Names'!A:B,2,FALSE),B2575),PlayerValues!E:E,0)),"N/A")</f>
        <v>17501</v>
      </c>
      <c r="B2575" s="4" t="s">
        <v>404</v>
      </c>
      <c r="C2575" s="4" t="s">
        <v>287</v>
      </c>
      <c r="D2575" s="94">
        <v>4717.0</v>
      </c>
    </row>
    <row r="2576">
      <c r="A2576" s="40">
        <f t="array" ref="A2576">IFNA(index(PlayerValues!A:A,match(IFNA(vlookup(B2576,'Special Names'!A:B,2,FALSE),B2576),PlayerValues!E:E,0)),"N/A")</f>
        <v>17103</v>
      </c>
      <c r="B2576" s="4" t="s">
        <v>405</v>
      </c>
      <c r="C2576" s="4" t="s">
        <v>298</v>
      </c>
      <c r="D2576" s="94">
        <v>5259.0</v>
      </c>
    </row>
    <row r="2577">
      <c r="A2577" s="40">
        <f t="array" ref="A2577">IFNA(index(PlayerValues!A:A,match(IFNA(vlookup(B2577,'Special Names'!A:B,2,FALSE),B2577),PlayerValues!E:E,0)),"N/A")</f>
        <v>17030</v>
      </c>
      <c r="B2577" s="4" t="s">
        <v>406</v>
      </c>
      <c r="C2577" s="4" t="s">
        <v>283</v>
      </c>
      <c r="D2577" s="94">
        <v>4696.0</v>
      </c>
    </row>
    <row r="2578">
      <c r="A2578" s="40">
        <f t="array" ref="A2578">IFNA(index(PlayerValues!A:A,match(IFNA(vlookup(B2578,'Special Names'!A:B,2,FALSE),B2578),PlayerValues!E:E,0)),"N/A")</f>
        <v>17045</v>
      </c>
      <c r="B2578" s="4" t="s">
        <v>407</v>
      </c>
      <c r="C2578" s="4" t="s">
        <v>278</v>
      </c>
      <c r="D2578" s="94">
        <v>4653.0</v>
      </c>
    </row>
    <row r="2579">
      <c r="A2579" s="40">
        <f t="array" ref="A2579">IFNA(index(PlayerValues!A:A,match(IFNA(vlookup(B2579,'Special Names'!A:B,2,FALSE),B2579),PlayerValues!E:E,0)),"N/A")</f>
        <v>16598</v>
      </c>
      <c r="B2579" s="4" t="s">
        <v>408</v>
      </c>
      <c r="C2579" s="4" t="s">
        <v>278</v>
      </c>
      <c r="D2579" s="94">
        <v>4611.0</v>
      </c>
    </row>
    <row r="2580">
      <c r="A2580" s="40">
        <f t="array" ref="A2580">IFNA(index(PlayerValues!A:A,match(IFNA(vlookup(B2580,'Special Names'!A:B,2,FALSE),B2580),PlayerValues!E:E,0)),"N/A")</f>
        <v>13590</v>
      </c>
      <c r="B2580" s="4" t="s">
        <v>409</v>
      </c>
      <c r="C2580" s="4" t="s">
        <v>283</v>
      </c>
      <c r="D2580" s="94">
        <v>4588.0</v>
      </c>
    </row>
    <row r="2581">
      <c r="A2581" s="40" t="str">
        <f t="array" ref="A2581">IFNA(index(PlayerValues!A:A,match(IFNA(vlookup(B2581,'Special Names'!A:B,2,FALSE),B2581),PlayerValues!E:E,0)),"N/A")</f>
        <v>N/A</v>
      </c>
      <c r="B2581" s="4" t="s">
        <v>105</v>
      </c>
      <c r="C2581" s="4" t="s">
        <v>325</v>
      </c>
      <c r="D2581" s="94">
        <v>4587.0</v>
      </c>
    </row>
    <row r="2582">
      <c r="A2582" s="40">
        <f t="array" ref="A2582">IFNA(index(PlayerValues!A:A,match(IFNA(vlookup(B2582,'Special Names'!A:B,2,FALSE),B2582),PlayerValues!E:E,0)),"N/A")</f>
        <v>12611</v>
      </c>
      <c r="B2582" s="4" t="s">
        <v>410</v>
      </c>
      <c r="C2582" s="4" t="s">
        <v>283</v>
      </c>
      <c r="D2582" s="94">
        <v>4567.0</v>
      </c>
    </row>
    <row r="2583">
      <c r="A2583" s="40">
        <f t="array" ref="A2583">IFNA(index(PlayerValues!A:A,match(IFNA(vlookup(B2583,'Special Names'!A:B,2,FALSE),B2583),PlayerValues!E:E,0)),"N/A")</f>
        <v>16618</v>
      </c>
      <c r="B2583" s="4" t="s">
        <v>411</v>
      </c>
      <c r="C2583" s="4" t="s">
        <v>287</v>
      </c>
      <c r="D2583" s="94">
        <v>4563.0</v>
      </c>
    </row>
    <row r="2584">
      <c r="A2584" s="40">
        <f t="array" ref="A2584">IFNA(index(PlayerValues!A:A,match(IFNA(vlookup(B2584,'Special Names'!A:B,2,FALSE),B2584),PlayerValues!E:E,0)),"N/A")</f>
        <v>16192</v>
      </c>
      <c r="B2584" s="4" t="s">
        <v>412</v>
      </c>
      <c r="C2584" s="4" t="s">
        <v>287</v>
      </c>
      <c r="D2584" s="94">
        <v>4555.0</v>
      </c>
    </row>
    <row r="2585">
      <c r="A2585" s="40">
        <f t="array" ref="A2585">IFNA(index(PlayerValues!A:A,match(IFNA(vlookup(B2585,'Special Names'!A:B,2,FALSE),B2585),PlayerValues!E:E,0)),"N/A")</f>
        <v>16214</v>
      </c>
      <c r="B2585" s="4" t="s">
        <v>413</v>
      </c>
      <c r="C2585" s="4" t="s">
        <v>298</v>
      </c>
      <c r="D2585" s="94">
        <v>5080.0</v>
      </c>
    </row>
    <row r="2586">
      <c r="A2586" s="40">
        <f t="array" ref="A2586">IFNA(index(PlayerValues!A:A,match(IFNA(vlookup(B2586,'Special Names'!A:B,2,FALSE),B2586),PlayerValues!E:E,0)),"N/A")</f>
        <v>16150</v>
      </c>
      <c r="B2586" s="4" t="s">
        <v>414</v>
      </c>
      <c r="C2586" s="4" t="s">
        <v>283</v>
      </c>
      <c r="D2586" s="94">
        <v>4462.0</v>
      </c>
    </row>
    <row r="2587">
      <c r="A2587" s="40">
        <f t="array" ref="A2587">IFNA(index(PlayerValues!A:A,match(IFNA(vlookup(B2587,'Special Names'!A:B,2,FALSE),B2587),PlayerValues!E:E,0)),"N/A")</f>
        <v>15253</v>
      </c>
      <c r="B2587" s="4" t="s">
        <v>415</v>
      </c>
      <c r="C2587" s="4" t="s">
        <v>278</v>
      </c>
      <c r="D2587" s="94">
        <v>4449.0</v>
      </c>
    </row>
    <row r="2588">
      <c r="A2588" s="40">
        <f t="array" ref="A2588">IFNA(index(PlayerValues!A:A,match(IFNA(vlookup(B2588,'Special Names'!A:B,2,FALSE),B2588),PlayerValues!E:E,0)),"N/A")</f>
        <v>15329</v>
      </c>
      <c r="B2588" s="4" t="s">
        <v>416</v>
      </c>
      <c r="C2588" s="4" t="s">
        <v>298</v>
      </c>
      <c r="D2588" s="94">
        <v>4876.0</v>
      </c>
    </row>
    <row r="2589">
      <c r="A2589" s="40">
        <f t="array" ref="A2589">IFNA(index(PlayerValues!A:A,match(IFNA(vlookup(B2589,'Special Names'!A:B,2,FALSE),B2589),PlayerValues!E:E,0)),"N/A")</f>
        <v>17052</v>
      </c>
      <c r="B2589" s="4" t="s">
        <v>417</v>
      </c>
      <c r="C2589" s="4" t="s">
        <v>278</v>
      </c>
      <c r="D2589" s="94">
        <v>4296.0</v>
      </c>
    </row>
    <row r="2590">
      <c r="A2590" s="40">
        <f t="array" ref="A2590">IFNA(index(PlayerValues!A:A,match(IFNA(vlookup(B2590,'Special Names'!A:B,2,FALSE),B2590),PlayerValues!E:E,0)),"N/A")</f>
        <v>13592</v>
      </c>
      <c r="B2590" s="4" t="s">
        <v>418</v>
      </c>
      <c r="C2590" s="4" t="s">
        <v>283</v>
      </c>
      <c r="D2590" s="94">
        <v>4259.0</v>
      </c>
    </row>
    <row r="2591">
      <c r="A2591" s="40">
        <f t="array" ref="A2591">IFNA(index(PlayerValues!A:A,match(IFNA(vlookup(B2591,'Special Names'!A:B,2,FALSE),B2591),PlayerValues!E:E,0)),"N/A")</f>
        <v>12626</v>
      </c>
      <c r="B2591" s="4" t="s">
        <v>419</v>
      </c>
      <c r="C2591" s="4" t="s">
        <v>278</v>
      </c>
      <c r="D2591" s="94">
        <v>4232.0</v>
      </c>
    </row>
    <row r="2592">
      <c r="A2592" s="40" t="str">
        <f t="array" ref="A2592">IFNA(index(PlayerValues!A:A,match(IFNA(vlookup(B2592,'Special Names'!A:B,2,FALSE),B2592),PlayerValues!E:E,0)),"N/A")</f>
        <v>N/A</v>
      </c>
      <c r="B2592" s="4" t="s">
        <v>107</v>
      </c>
      <c r="C2592" s="4" t="s">
        <v>325</v>
      </c>
      <c r="D2592" s="94">
        <v>4175.0</v>
      </c>
    </row>
    <row r="2593">
      <c r="A2593" s="40" t="str">
        <f t="array" ref="A2593">IFNA(index(PlayerValues!A:A,match(IFNA(vlookup(B2593,'Special Names'!A:B,2,FALSE),B2593),PlayerValues!E:E,0)),"N/A")</f>
        <v>N/A</v>
      </c>
      <c r="B2593" s="4" t="s">
        <v>81</v>
      </c>
      <c r="C2593" s="4" t="s">
        <v>325</v>
      </c>
      <c r="D2593" s="94">
        <v>4024.0</v>
      </c>
    </row>
    <row r="2594">
      <c r="A2594" s="40">
        <f t="array" ref="A2594">IFNA(index(PlayerValues!A:A,match(IFNA(vlookup(B2594,'Special Names'!A:B,2,FALSE),B2594),PlayerValues!E:E,0)),"N/A")</f>
        <v>14797</v>
      </c>
      <c r="B2594" s="4" t="s">
        <v>420</v>
      </c>
      <c r="C2594" s="4" t="s">
        <v>278</v>
      </c>
      <c r="D2594" s="94">
        <v>4007.0</v>
      </c>
    </row>
    <row r="2595">
      <c r="A2595" s="40">
        <f t="array" ref="A2595">IFNA(index(PlayerValues!A:A,match(IFNA(vlookup(B2595,'Special Names'!A:B,2,FALSE),B2595),PlayerValues!E:E,0)),"N/A")</f>
        <v>15789</v>
      </c>
      <c r="B2595" s="4" t="s">
        <v>421</v>
      </c>
      <c r="C2595" s="4" t="s">
        <v>287</v>
      </c>
      <c r="D2595" s="94">
        <v>3953.0</v>
      </c>
    </row>
    <row r="2596">
      <c r="A2596" s="40">
        <f t="array" ref="A2596">IFNA(index(PlayerValues!A:A,match(IFNA(vlookup(B2596,'Special Names'!A:B,2,FALSE),B2596),PlayerValues!E:E,0)),"N/A")</f>
        <v>17514</v>
      </c>
      <c r="B2596" s="4" t="s">
        <v>422</v>
      </c>
      <c r="C2596" s="4" t="s">
        <v>287</v>
      </c>
      <c r="D2596" s="94">
        <v>3918.0</v>
      </c>
    </row>
    <row r="2597">
      <c r="A2597" s="40">
        <f t="array" ref="A2597">IFNA(index(PlayerValues!A:A,match(IFNA(vlookup(B2597,'Special Names'!A:B,2,FALSE),B2597),PlayerValues!E:E,0)),"N/A")</f>
        <v>14056</v>
      </c>
      <c r="B2597" s="4" t="s">
        <v>423</v>
      </c>
      <c r="C2597" s="4" t="s">
        <v>283</v>
      </c>
      <c r="D2597" s="94">
        <v>3852.0</v>
      </c>
    </row>
    <row r="2598">
      <c r="A2598" s="40">
        <f t="array" ref="A2598">IFNA(index(PlayerValues!A:A,match(IFNA(vlookup(B2598,'Special Names'!A:B,2,FALSE),B2598),PlayerValues!E:E,0)),"N/A")</f>
        <v>13635</v>
      </c>
      <c r="B2598" s="4" t="s">
        <v>424</v>
      </c>
      <c r="C2598" s="4" t="s">
        <v>287</v>
      </c>
      <c r="D2598" s="94">
        <v>3811.0</v>
      </c>
    </row>
    <row r="2599">
      <c r="A2599" s="40" t="str">
        <f t="array" ref="A2599">IFNA(index(PlayerValues!A:A,match(IFNA(vlookup(B2599,'Special Names'!A:B,2,FALSE),B2599),PlayerValues!E:E,0)),"N/A")</f>
        <v>N/A</v>
      </c>
      <c r="B2599" s="4" t="s">
        <v>95</v>
      </c>
      <c r="C2599" s="4" t="s">
        <v>325</v>
      </c>
      <c r="D2599" s="94">
        <v>3809.0</v>
      </c>
    </row>
    <row r="2600">
      <c r="A2600" s="40">
        <f t="array" ref="A2600">IFNA(index(PlayerValues!A:A,match(IFNA(vlookup(B2600,'Special Names'!A:B,2,FALSE),B2600),PlayerValues!E:E,0)),"N/A")</f>
        <v>16186</v>
      </c>
      <c r="B2600" s="4" t="s">
        <v>425</v>
      </c>
      <c r="C2600" s="4" t="s">
        <v>287</v>
      </c>
      <c r="D2600" s="94">
        <v>3788.0</v>
      </c>
    </row>
    <row r="2601">
      <c r="A2601" s="40">
        <f t="array" ref="A2601">IFNA(index(PlayerValues!A:A,match(IFNA(vlookup(B2601,'Special Names'!A:B,2,FALSE),B2601),PlayerValues!E:E,0)),"N/A")</f>
        <v>16148</v>
      </c>
      <c r="B2601" s="4" t="s">
        <v>426</v>
      </c>
      <c r="C2601" s="4" t="s">
        <v>283</v>
      </c>
      <c r="D2601" s="94">
        <v>3755.0</v>
      </c>
    </row>
    <row r="2602">
      <c r="A2602" s="40">
        <f t="array" ref="A2602">IFNA(index(PlayerValues!A:A,match(IFNA(vlookup(B2602,'Special Names'!A:B,2,FALSE),B2602),PlayerValues!E:E,0)),"N/A")</f>
        <v>16597</v>
      </c>
      <c r="B2602" s="4" t="s">
        <v>427</v>
      </c>
      <c r="C2602" s="4" t="s">
        <v>278</v>
      </c>
      <c r="D2602" s="94">
        <v>3753.0</v>
      </c>
    </row>
    <row r="2603">
      <c r="A2603" s="40">
        <f t="array" ref="A2603">IFNA(index(PlayerValues!A:A,match(IFNA(vlookup(B2603,'Special Names'!A:B,2,FALSE),B2603),PlayerValues!E:E,0)),"N/A")</f>
        <v>9431</v>
      </c>
      <c r="B2603" s="4" t="s">
        <v>428</v>
      </c>
      <c r="C2603" s="4" t="s">
        <v>283</v>
      </c>
      <c r="D2603" s="94">
        <v>3735.0</v>
      </c>
    </row>
    <row r="2604">
      <c r="A2604" s="40">
        <f t="array" ref="A2604">IFNA(index(PlayerValues!A:A,match(IFNA(vlookup(B2604,'Special Names'!A:B,2,FALSE),B2604),PlayerValues!E:E,0)),"N/A")</f>
        <v>17075</v>
      </c>
      <c r="B2604" s="4" t="s">
        <v>429</v>
      </c>
      <c r="C2604" s="4" t="s">
        <v>287</v>
      </c>
      <c r="D2604" s="94">
        <v>3729.0</v>
      </c>
    </row>
    <row r="2605">
      <c r="A2605" s="40">
        <f t="array" ref="A2605">IFNA(index(PlayerValues!A:A,match(IFNA(vlookup(B2605,'Special Names'!A:B,2,FALSE),B2605),PlayerValues!E:E,0)),"N/A")</f>
        <v>17500</v>
      </c>
      <c r="B2605" s="4" t="s">
        <v>430</v>
      </c>
      <c r="C2605" s="4" t="s">
        <v>287</v>
      </c>
      <c r="D2605" s="94">
        <v>3722.0</v>
      </c>
    </row>
    <row r="2606">
      <c r="A2606" s="40">
        <f t="array" ref="A2606">IFNA(index(PlayerValues!A:A,match(IFNA(vlookup(B2606,'Special Names'!A:B,2,FALSE),B2606),PlayerValues!E:E,0)),"N/A")</f>
        <v>16206</v>
      </c>
      <c r="B2606" s="4" t="s">
        <v>431</v>
      </c>
      <c r="C2606" s="4" t="s">
        <v>287</v>
      </c>
      <c r="D2606" s="94">
        <v>3720.0</v>
      </c>
    </row>
    <row r="2607">
      <c r="A2607" s="40">
        <f t="array" ref="A2607">IFNA(index(PlayerValues!A:A,match(IFNA(vlookup(B2607,'Special Names'!A:B,2,FALSE),B2607),PlayerValues!E:E,0)),"N/A")</f>
        <v>15768</v>
      </c>
      <c r="B2607" s="4" t="s">
        <v>432</v>
      </c>
      <c r="C2607" s="4" t="s">
        <v>287</v>
      </c>
      <c r="D2607" s="94">
        <v>3716.0</v>
      </c>
    </row>
    <row r="2608">
      <c r="A2608" s="40">
        <f t="array" ref="A2608">IFNA(index(PlayerValues!A:A,match(IFNA(vlookup(B2608,'Special Names'!A:B,2,FALSE),B2608),PlayerValues!E:E,0)),"N/A")</f>
        <v>17463</v>
      </c>
      <c r="B2608" s="4" t="s">
        <v>433</v>
      </c>
      <c r="C2608" s="4" t="s">
        <v>283</v>
      </c>
      <c r="D2608" s="94">
        <v>3706.0</v>
      </c>
    </row>
    <row r="2609">
      <c r="A2609" s="40">
        <f t="array" ref="A2609">IFNA(index(PlayerValues!A:A,match(IFNA(vlookup(B2609,'Special Names'!A:B,2,FALSE),B2609),PlayerValues!E:E,0)),"N/A")</f>
        <v>15694</v>
      </c>
      <c r="B2609" s="4" t="s">
        <v>434</v>
      </c>
      <c r="C2609" s="4" t="s">
        <v>283</v>
      </c>
      <c r="D2609" s="94">
        <v>3700.0</v>
      </c>
    </row>
    <row r="2610">
      <c r="A2610" s="40">
        <f t="array" ref="A2610">IFNA(index(PlayerValues!A:A,match(IFNA(vlookup(B2610,'Special Names'!A:B,2,FALSE),B2610),PlayerValues!E:E,0)),"N/A")</f>
        <v>14059</v>
      </c>
      <c r="B2610" s="4" t="s">
        <v>435</v>
      </c>
      <c r="C2610" s="4" t="s">
        <v>283</v>
      </c>
      <c r="D2610" s="94">
        <v>3689.0</v>
      </c>
    </row>
    <row r="2611">
      <c r="A2611" s="40">
        <f t="array" ref="A2611">IFNA(index(PlayerValues!A:A,match(IFNA(vlookup(B2611,'Special Names'!A:B,2,FALSE),B2611),PlayerValues!E:E,0)),"N/A")</f>
        <v>17543</v>
      </c>
      <c r="B2611" s="4" t="s">
        <v>436</v>
      </c>
      <c r="C2611" s="4" t="s">
        <v>298</v>
      </c>
      <c r="D2611" s="94">
        <v>4113.0</v>
      </c>
    </row>
    <row r="2612">
      <c r="A2612" s="40">
        <f t="array" ref="A2612">IFNA(index(PlayerValues!A:A,match(IFNA(vlookup(B2612,'Special Names'!A:B,2,FALSE),B2612),PlayerValues!E:E,0)),"N/A")</f>
        <v>14109</v>
      </c>
      <c r="B2612" s="4" t="s">
        <v>437</v>
      </c>
      <c r="C2612" s="4" t="s">
        <v>287</v>
      </c>
      <c r="D2612" s="94">
        <v>3557.0</v>
      </c>
    </row>
    <row r="2613">
      <c r="A2613" s="40">
        <f t="array" ref="A2613">IFNA(index(PlayerValues!A:A,match(IFNA(vlookup(B2613,'Special Names'!A:B,2,FALSE),B2613),PlayerValues!E:E,0)),"N/A")</f>
        <v>11675</v>
      </c>
      <c r="B2613" s="4" t="s">
        <v>438</v>
      </c>
      <c r="C2613" s="4" t="s">
        <v>287</v>
      </c>
      <c r="D2613" s="94">
        <v>3545.0</v>
      </c>
    </row>
    <row r="2614">
      <c r="A2614" s="40">
        <f t="array" ref="A2614">IFNA(index(PlayerValues!A:A,match(IFNA(vlookup(B2614,'Special Names'!A:B,2,FALSE),B2614),PlayerValues!E:E,0)),"N/A")</f>
        <v>16188</v>
      </c>
      <c r="B2614" s="4" t="s">
        <v>439</v>
      </c>
      <c r="C2614" s="4" t="s">
        <v>287</v>
      </c>
      <c r="D2614" s="94">
        <v>3544.0</v>
      </c>
    </row>
    <row r="2615">
      <c r="A2615" s="40">
        <f t="array" ref="A2615">IFNA(index(PlayerValues!A:A,match(IFNA(vlookup(B2615,'Special Names'!A:B,2,FALSE),B2615),PlayerValues!E:E,0)),"N/A")</f>
        <v>14071</v>
      </c>
      <c r="B2615" s="4" t="s">
        <v>440</v>
      </c>
      <c r="C2615" s="4" t="s">
        <v>278</v>
      </c>
      <c r="D2615" s="94">
        <v>3520.0</v>
      </c>
    </row>
    <row r="2616">
      <c r="A2616" s="40">
        <f t="array" ref="A2616">IFNA(index(PlayerValues!A:A,match(IFNA(vlookup(B2616,'Special Names'!A:B,2,FALSE),B2616),PlayerValues!E:E,0)),"N/A")</f>
        <v>16187</v>
      </c>
      <c r="B2616" s="4" t="s">
        <v>441</v>
      </c>
      <c r="C2616" s="4" t="s">
        <v>287</v>
      </c>
      <c r="D2616" s="94">
        <v>3497.0</v>
      </c>
    </row>
    <row r="2617">
      <c r="A2617" s="40">
        <f t="array" ref="A2617">IFNA(index(PlayerValues!A:A,match(IFNA(vlookup(B2617,'Special Names'!A:B,2,FALSE),B2617),PlayerValues!E:E,0)),"N/A")</f>
        <v>16593</v>
      </c>
      <c r="B2617" s="4" t="s">
        <v>442</v>
      </c>
      <c r="C2617" s="4" t="s">
        <v>278</v>
      </c>
      <c r="D2617" s="94">
        <v>3463.0</v>
      </c>
    </row>
    <row r="2618">
      <c r="A2618" s="40" t="str">
        <f t="array" ref="A2618">IFNA(index(PlayerValues!A:A,match(IFNA(vlookup(B2618,'Special Names'!A:B,2,FALSE),B2618),PlayerValues!E:E,0)),"N/A")</f>
        <v>N/A</v>
      </c>
      <c r="B2618" s="4" t="s">
        <v>96</v>
      </c>
      <c r="C2618" s="4" t="s">
        <v>325</v>
      </c>
      <c r="D2618" s="94">
        <v>3442.0</v>
      </c>
    </row>
    <row r="2619">
      <c r="A2619" s="40">
        <f t="array" ref="A2619">IFNA(index(PlayerValues!A:A,match(IFNA(vlookup(B2619,'Special Names'!A:B,2,FALSE),B2619),PlayerValues!E:E,0)),"N/A")</f>
        <v>15798</v>
      </c>
      <c r="B2619" s="4" t="s">
        <v>443</v>
      </c>
      <c r="C2619" s="4" t="s">
        <v>298</v>
      </c>
      <c r="D2619" s="94">
        <v>3894.0</v>
      </c>
    </row>
    <row r="2620">
      <c r="A2620" s="40" t="str">
        <f t="array" ref="A2620">IFNA(index(PlayerValues!A:A,match(IFNA(vlookup(B2620,'Special Names'!A:B,2,FALSE),B2620),PlayerValues!E:E,0)),"N/A")</f>
        <v>N/A</v>
      </c>
      <c r="B2620" s="4" t="s">
        <v>82</v>
      </c>
      <c r="C2620" s="4" t="s">
        <v>325</v>
      </c>
      <c r="D2620" s="94">
        <v>3387.0</v>
      </c>
    </row>
    <row r="2621">
      <c r="A2621" s="40">
        <f t="array" ref="A2621">IFNA(index(PlayerValues!A:A,match(IFNA(vlookup(B2621,'Special Names'!A:B,2,FALSE),B2621),PlayerValues!E:E,0)),"N/A")</f>
        <v>14102</v>
      </c>
      <c r="B2621" s="4" t="s">
        <v>444</v>
      </c>
      <c r="C2621" s="4" t="s">
        <v>287</v>
      </c>
      <c r="D2621" s="94">
        <v>3360.0</v>
      </c>
    </row>
    <row r="2622">
      <c r="A2622" s="40">
        <f t="array" ref="A2622">IFNA(index(PlayerValues!A:A,match(IFNA(vlookup(B2622,'Special Names'!A:B,2,FALSE),B2622),PlayerValues!E:E,0)),"N/A")</f>
        <v>16184</v>
      </c>
      <c r="B2622" s="4" t="s">
        <v>445</v>
      </c>
      <c r="C2622" s="4" t="s">
        <v>287</v>
      </c>
      <c r="D2622" s="94">
        <v>3349.0</v>
      </c>
    </row>
    <row r="2623">
      <c r="A2623" s="40">
        <f t="array" ref="A2623">IFNA(index(PlayerValues!A:A,match(IFNA(vlookup(B2623,'Special Names'!A:B,2,FALSE),B2623),PlayerValues!E:E,0)),"N/A")</f>
        <v>17066</v>
      </c>
      <c r="B2623" s="4" t="s">
        <v>446</v>
      </c>
      <c r="C2623" s="4" t="s">
        <v>278</v>
      </c>
      <c r="D2623" s="94">
        <v>3320.0</v>
      </c>
    </row>
    <row r="2624">
      <c r="A2624" s="40">
        <f t="array" ref="A2624">IFNA(index(PlayerValues!A:A,match(IFNA(vlookup(B2624,'Special Names'!A:B,2,FALSE),B2624),PlayerValues!E:E,0)),"N/A")</f>
        <v>15742</v>
      </c>
      <c r="B2624" s="4" t="s">
        <v>447</v>
      </c>
      <c r="C2624" s="4" t="s">
        <v>278</v>
      </c>
      <c r="D2624" s="94">
        <v>3319.0</v>
      </c>
    </row>
    <row r="2625">
      <c r="A2625" s="40">
        <f t="array" ref="A2625">IFNA(index(PlayerValues!A:A,match(IFNA(vlookup(B2625,'Special Names'!A:B,2,FALSE),B2625),PlayerValues!E:E,0)),"N/A")</f>
        <v>13299</v>
      </c>
      <c r="B2625" s="4" t="s">
        <v>448</v>
      </c>
      <c r="C2625" s="4" t="s">
        <v>298</v>
      </c>
      <c r="D2625" s="94">
        <v>3755.0</v>
      </c>
    </row>
    <row r="2626">
      <c r="A2626" s="40">
        <f t="array" ref="A2626">IFNA(index(PlayerValues!A:A,match(IFNA(vlookup(B2626,'Special Names'!A:B,2,FALSE),B2626),PlayerValues!E:E,0)),"N/A")</f>
        <v>15757</v>
      </c>
      <c r="B2626" s="4" t="s">
        <v>449</v>
      </c>
      <c r="C2626" s="4" t="s">
        <v>287</v>
      </c>
      <c r="D2626" s="94">
        <v>3309.0</v>
      </c>
    </row>
    <row r="2627">
      <c r="A2627" s="40">
        <f t="array" ref="A2627">IFNA(index(PlayerValues!A:A,match(IFNA(vlookup(B2627,'Special Names'!A:B,2,FALSE),B2627),PlayerValues!E:E,0)),"N/A")</f>
        <v>17068</v>
      </c>
      <c r="B2627" s="4" t="s">
        <v>450</v>
      </c>
      <c r="C2627" s="4" t="s">
        <v>278</v>
      </c>
      <c r="D2627" s="94">
        <v>3301.0</v>
      </c>
    </row>
    <row r="2628">
      <c r="A2628" s="40">
        <f t="array" ref="A2628">IFNA(index(PlayerValues!A:A,match(IFNA(vlookup(B2628,'Special Names'!A:B,2,FALSE),B2628),PlayerValues!E:E,0)),"N/A")</f>
        <v>17502</v>
      </c>
      <c r="B2628" s="4" t="s">
        <v>451</v>
      </c>
      <c r="C2628" s="4" t="s">
        <v>287</v>
      </c>
      <c r="D2628" s="94">
        <v>3298.0</v>
      </c>
    </row>
    <row r="2629">
      <c r="A2629" s="40">
        <f t="array" ref="A2629">IFNA(index(PlayerValues!A:A,match(IFNA(vlookup(B2629,'Special Names'!A:B,2,FALSE),B2629),PlayerValues!E:E,0)),"N/A")</f>
        <v>17477</v>
      </c>
      <c r="B2629" s="4" t="s">
        <v>452</v>
      </c>
      <c r="C2629" s="4" t="s">
        <v>278</v>
      </c>
      <c r="D2629" s="94">
        <v>3292.0</v>
      </c>
    </row>
    <row r="2630">
      <c r="A2630" s="40" t="str">
        <f t="array" ref="A2630">IFNA(index(PlayerValues!A:A,match(IFNA(vlookup(B2630,'Special Names'!A:B,2,FALSE),B2630),PlayerValues!E:E,0)),"N/A")</f>
        <v>N/A</v>
      </c>
      <c r="B2630" s="4" t="s">
        <v>108</v>
      </c>
      <c r="C2630" s="4" t="s">
        <v>325</v>
      </c>
      <c r="D2630" s="94">
        <v>3286.0</v>
      </c>
    </row>
    <row r="2631">
      <c r="A2631" s="40">
        <f t="array" ref="A2631">IFNA(index(PlayerValues!A:A,match(IFNA(vlookup(B2631,'Special Names'!A:B,2,FALSE),B2631),PlayerValues!E:E,0)),"N/A")</f>
        <v>15259</v>
      </c>
      <c r="B2631" s="4" t="s">
        <v>453</v>
      </c>
      <c r="C2631" s="4" t="s">
        <v>278</v>
      </c>
      <c r="D2631" s="94">
        <v>3278.0</v>
      </c>
    </row>
    <row r="2632">
      <c r="A2632" s="40">
        <f t="array" ref="A2632">IFNA(index(PlayerValues!A:A,match(IFNA(vlookup(B2632,'Special Names'!A:B,2,FALSE),B2632),PlayerValues!E:E,0)),"N/A")</f>
        <v>17517</v>
      </c>
      <c r="B2632" s="4" t="s">
        <v>454</v>
      </c>
      <c r="C2632" s="4" t="s">
        <v>287</v>
      </c>
      <c r="D2632" s="94">
        <v>3253.0</v>
      </c>
    </row>
    <row r="2633">
      <c r="A2633" s="40">
        <f t="array" ref="A2633">IFNA(index(PlayerValues!A:A,match(IFNA(vlookup(B2633,'Special Names'!A:B,2,FALSE),B2633),PlayerValues!E:E,0)),"N/A")</f>
        <v>16809</v>
      </c>
      <c r="B2633" s="4" t="s">
        <v>455</v>
      </c>
      <c r="C2633" s="4" t="s">
        <v>287</v>
      </c>
      <c r="D2633" s="94">
        <v>3252.0</v>
      </c>
    </row>
    <row r="2634">
      <c r="A2634" s="40">
        <f t="array" ref="A2634">IFNA(index(PlayerValues!A:A,match(IFNA(vlookup(B2634,'Special Names'!A:B,2,FALSE),B2634),PlayerValues!E:E,0)),"N/A")</f>
        <v>14842</v>
      </c>
      <c r="B2634" s="4" t="s">
        <v>456</v>
      </c>
      <c r="C2634" s="4" t="s">
        <v>287</v>
      </c>
      <c r="D2634" s="94">
        <v>3241.0</v>
      </c>
    </row>
    <row r="2635">
      <c r="A2635" s="40">
        <f t="array" ref="A2635">IFNA(index(PlayerValues!A:A,match(IFNA(vlookup(B2635,'Special Names'!A:B,2,FALSE),B2635),PlayerValues!E:E,0)),"N/A")</f>
        <v>16169</v>
      </c>
      <c r="B2635" s="4" t="s">
        <v>457</v>
      </c>
      <c r="C2635" s="4" t="s">
        <v>278</v>
      </c>
      <c r="D2635" s="94">
        <v>3231.0</v>
      </c>
    </row>
    <row r="2636">
      <c r="A2636" s="40">
        <f t="array" ref="A2636">IFNA(index(PlayerValues!A:A,match(IFNA(vlookup(B2636,'Special Names'!A:B,2,FALSE),B2636),PlayerValues!E:E,0)),"N/A")</f>
        <v>16213</v>
      </c>
      <c r="B2636" s="4" t="s">
        <v>458</v>
      </c>
      <c r="C2636" s="4" t="s">
        <v>298</v>
      </c>
      <c r="D2636" s="94">
        <v>3663.0</v>
      </c>
    </row>
    <row r="2637">
      <c r="A2637" s="40" t="str">
        <f t="array" ref="A2637">IFNA(index(PlayerValues!A:A,match(IFNA(vlookup(B2637,'Special Names'!A:B,2,FALSE),B2637),PlayerValues!E:E,0)),"N/A")</f>
        <v>N/A</v>
      </c>
      <c r="B2637" s="4" t="s">
        <v>97</v>
      </c>
      <c r="C2637" s="4" t="s">
        <v>325</v>
      </c>
      <c r="D2637" s="94">
        <v>3210.0</v>
      </c>
    </row>
    <row r="2638">
      <c r="A2638" s="40">
        <f t="array" ref="A2638">IFNA(index(PlayerValues!A:A,match(IFNA(vlookup(B2638,'Special Names'!A:B,2,FALSE),B2638),PlayerValues!E:E,0)),"N/A")</f>
        <v>14823</v>
      </c>
      <c r="B2638" s="4" t="s">
        <v>459</v>
      </c>
      <c r="C2638" s="4" t="s">
        <v>278</v>
      </c>
      <c r="D2638" s="94">
        <v>3195.0</v>
      </c>
    </row>
    <row r="2639">
      <c r="A2639" s="40">
        <f t="array" ref="A2639">IFNA(index(PlayerValues!A:A,match(IFNA(vlookup(B2639,'Special Names'!A:B,2,FALSE),B2639),PlayerValues!E:E,0)),"N/A")</f>
        <v>17482</v>
      </c>
      <c r="B2639" s="4" t="s">
        <v>460</v>
      </c>
      <c r="C2639" s="4" t="s">
        <v>278</v>
      </c>
      <c r="D2639" s="94">
        <v>3194.0</v>
      </c>
    </row>
    <row r="2640">
      <c r="A2640" s="40">
        <f t="array" ref="A2640">IFNA(index(PlayerValues!A:A,match(IFNA(vlookup(B2640,'Special Names'!A:B,2,FALSE),B2640),PlayerValues!E:E,0)),"N/A")</f>
        <v>15779</v>
      </c>
      <c r="B2640" s="4" t="s">
        <v>461</v>
      </c>
      <c r="C2640" s="4" t="s">
        <v>287</v>
      </c>
      <c r="D2640" s="94">
        <v>3191.0</v>
      </c>
    </row>
    <row r="2641">
      <c r="A2641" s="40">
        <f t="array" ref="A2641">IFNA(index(PlayerValues!A:A,match(IFNA(vlookup(B2641,'Special Names'!A:B,2,FALSE),B2641),PlayerValues!E:E,0)),"N/A")</f>
        <v>17256</v>
      </c>
      <c r="B2641" s="4" t="s">
        <v>462</v>
      </c>
      <c r="C2641" s="4" t="s">
        <v>278</v>
      </c>
      <c r="D2641" s="94">
        <v>3181.0</v>
      </c>
    </row>
    <row r="2642">
      <c r="A2642" s="40" t="str">
        <f t="array" ref="A2642">IFNA(index(PlayerValues!A:A,match(IFNA(vlookup(B2642,'Special Names'!A:B,2,FALSE),B2642),PlayerValues!E:E,0)),"N/A")</f>
        <v>N/A</v>
      </c>
      <c r="B2642" s="4" t="s">
        <v>84</v>
      </c>
      <c r="C2642" s="4" t="s">
        <v>325</v>
      </c>
      <c r="D2642" s="94">
        <v>3175.0</v>
      </c>
    </row>
    <row r="2643">
      <c r="A2643" s="40">
        <f t="array" ref="A2643">IFNA(index(PlayerValues!A:A,match(IFNA(vlookup(B2643,'Special Names'!A:B,2,FALSE),B2643),PlayerValues!E:E,0)),"N/A")</f>
        <v>11671</v>
      </c>
      <c r="B2643" s="4" t="s">
        <v>463</v>
      </c>
      <c r="C2643" s="4" t="s">
        <v>287</v>
      </c>
      <c r="D2643" s="94">
        <v>3149.0</v>
      </c>
    </row>
    <row r="2644">
      <c r="A2644" s="40">
        <f t="array" ref="A2644">IFNA(index(PlayerValues!A:A,match(IFNA(vlookup(B2644,'Special Names'!A:B,2,FALSE),B2644),PlayerValues!E:E,0)),"N/A")</f>
        <v>14073</v>
      </c>
      <c r="B2644" s="4" t="s">
        <v>464</v>
      </c>
      <c r="C2644" s="4" t="s">
        <v>278</v>
      </c>
      <c r="D2644" s="94">
        <v>3123.0</v>
      </c>
    </row>
    <row r="2645">
      <c r="A2645" s="40">
        <f t="array" ref="A2645">IFNA(index(PlayerValues!A:A,match(IFNA(vlookup(B2645,'Special Names'!A:B,2,FALSE),B2645),PlayerValues!E:E,0)),"N/A")</f>
        <v>13630</v>
      </c>
      <c r="B2645" s="4" t="s">
        <v>465</v>
      </c>
      <c r="C2645" s="4" t="s">
        <v>287</v>
      </c>
      <c r="D2645" s="94">
        <v>3120.0</v>
      </c>
    </row>
    <row r="2646">
      <c r="A2646" s="40" t="str">
        <f t="array" ref="A2646">IFNA(index(PlayerValues!A:A,match(IFNA(vlookup(B2646,'Special Names'!A:B,2,FALSE),B2646),PlayerValues!E:E,0)),"N/A")</f>
        <v>N/A</v>
      </c>
      <c r="B2646" s="4" t="s">
        <v>109</v>
      </c>
      <c r="C2646" s="4" t="s">
        <v>325</v>
      </c>
      <c r="D2646" s="94">
        <v>3079.0</v>
      </c>
    </row>
    <row r="2647">
      <c r="A2647" s="40">
        <f t="array" ref="A2647">IFNA(index(PlayerValues!A:A,match(IFNA(vlookup(B2647,'Special Names'!A:B,2,FALSE),B2647),PlayerValues!E:E,0)),"N/A")</f>
        <v>15261</v>
      </c>
      <c r="B2647" s="4" t="s">
        <v>466</v>
      </c>
      <c r="C2647" s="4" t="s">
        <v>278</v>
      </c>
      <c r="D2647" s="94">
        <v>3069.0</v>
      </c>
    </row>
    <row r="2648">
      <c r="A2648" s="40">
        <f t="array" ref="A2648">IFNA(index(PlayerValues!A:A,match(IFNA(vlookup(B2648,'Special Names'!A:B,2,FALSE),B2648),PlayerValues!E:E,0)),"N/A")</f>
        <v>16620</v>
      </c>
      <c r="B2648" s="4" t="s">
        <v>467</v>
      </c>
      <c r="C2648" s="4" t="s">
        <v>287</v>
      </c>
      <c r="D2648" s="94">
        <v>3061.0</v>
      </c>
    </row>
    <row r="2649">
      <c r="A2649" s="40">
        <f t="array" ref="A2649">IFNA(index(PlayerValues!A:A,match(IFNA(vlookup(B2649,'Special Names'!A:B,2,FALSE),B2649),PlayerValues!E:E,0)),"N/A")</f>
        <v>15799</v>
      </c>
      <c r="B2649" s="4" t="s">
        <v>468</v>
      </c>
      <c r="C2649" s="4" t="s">
        <v>298</v>
      </c>
      <c r="D2649" s="94">
        <v>3477.0</v>
      </c>
    </row>
    <row r="2650">
      <c r="A2650" s="40">
        <f t="array" ref="A2650">IFNA(index(PlayerValues!A:A,match(IFNA(vlookup(B2650,'Special Names'!A:B,2,FALSE),B2650),PlayerValues!E:E,0)),"N/A")</f>
        <v>15972</v>
      </c>
      <c r="B2650" s="4" t="s">
        <v>469</v>
      </c>
      <c r="C2650" s="4" t="s">
        <v>278</v>
      </c>
      <c r="D2650" s="94">
        <v>3037.0</v>
      </c>
    </row>
    <row r="2651">
      <c r="A2651" s="40">
        <f t="array" ref="A2651">IFNA(index(PlayerValues!A:A,match(IFNA(vlookup(B2651,'Special Names'!A:B,2,FALSE),B2651),PlayerValues!E:E,0)),"N/A")</f>
        <v>17544</v>
      </c>
      <c r="B2651" s="4" t="s">
        <v>470</v>
      </c>
      <c r="C2651" s="4" t="s">
        <v>298</v>
      </c>
      <c r="D2651" s="94">
        <v>3463.0</v>
      </c>
    </row>
    <row r="2652">
      <c r="A2652" s="40">
        <f t="array" ref="A2652">IFNA(index(PlayerValues!A:A,match(IFNA(vlookup(B2652,'Special Names'!A:B,2,FALSE),B2652),PlayerValues!E:E,0)),"N/A")</f>
        <v>17506</v>
      </c>
      <c r="B2652" s="4" t="s">
        <v>471</v>
      </c>
      <c r="C2652" s="4" t="s">
        <v>287</v>
      </c>
      <c r="D2652" s="94">
        <v>3033.0</v>
      </c>
    </row>
    <row r="2653">
      <c r="A2653" s="40">
        <f t="array" ref="A2653">IFNA(index(PlayerValues!A:A,match(IFNA(vlookup(B2653,'Special Names'!A:B,2,FALSE),B2653),PlayerValues!E:E,0)),"N/A")</f>
        <v>14800</v>
      </c>
      <c r="B2653" s="4" t="s">
        <v>472</v>
      </c>
      <c r="C2653" s="4" t="s">
        <v>278</v>
      </c>
      <c r="D2653" s="94">
        <v>3023.0</v>
      </c>
    </row>
    <row r="2654">
      <c r="A2654" s="40">
        <f t="array" ref="A2654">IFNA(index(PlayerValues!A:A,match(IFNA(vlookup(B2654,'Special Names'!A:B,2,FALSE),B2654),PlayerValues!E:E,0)),"N/A")</f>
        <v>13163</v>
      </c>
      <c r="B2654" s="4" t="s">
        <v>473</v>
      </c>
      <c r="C2654" s="4" t="s">
        <v>287</v>
      </c>
      <c r="D2654" s="94">
        <v>3022.0</v>
      </c>
    </row>
    <row r="2655">
      <c r="A2655" s="40">
        <f t="array" ref="A2655">IFNA(index(PlayerValues!A:A,match(IFNA(vlookup(B2655,'Special Names'!A:B,2,FALSE),B2655),PlayerValues!E:E,0)),"N/A")</f>
        <v>17099</v>
      </c>
      <c r="B2655" s="4" t="s">
        <v>474</v>
      </c>
      <c r="C2655" s="4" t="s">
        <v>298</v>
      </c>
      <c r="D2655" s="94">
        <v>3437.0</v>
      </c>
    </row>
    <row r="2656">
      <c r="A2656" s="40">
        <f t="array" ref="A2656">IFNA(index(PlayerValues!A:A,match(IFNA(vlookup(B2656,'Special Names'!A:B,2,FALSE),B2656),PlayerValues!E:E,0)),"N/A")</f>
        <v>17074</v>
      </c>
      <c r="B2656" s="4" t="s">
        <v>475</v>
      </c>
      <c r="C2656" s="4" t="s">
        <v>287</v>
      </c>
      <c r="D2656" s="94">
        <v>3003.0</v>
      </c>
    </row>
    <row r="2657">
      <c r="A2657" s="40">
        <f t="array" ref="A2657">IFNA(index(PlayerValues!A:A,match(IFNA(vlookup(B2657,'Special Names'!A:B,2,FALSE),B2657),PlayerValues!E:E,0)),"N/A")</f>
        <v>16604</v>
      </c>
      <c r="B2657" s="4" t="s">
        <v>476</v>
      </c>
      <c r="C2657" s="4" t="s">
        <v>278</v>
      </c>
      <c r="D2657" s="94">
        <v>2997.0</v>
      </c>
    </row>
    <row r="2658">
      <c r="A2658" s="40">
        <f t="array" ref="A2658">IFNA(index(PlayerValues!A:A,match(IFNA(vlookup(B2658,'Special Names'!A:B,2,FALSE),B2658),PlayerValues!E:E,0)),"N/A")</f>
        <v>15255</v>
      </c>
      <c r="B2658" s="4" t="s">
        <v>477</v>
      </c>
      <c r="C2658" s="4" t="s">
        <v>278</v>
      </c>
      <c r="D2658" s="94">
        <v>2965.0</v>
      </c>
    </row>
    <row r="2659">
      <c r="A2659" s="40">
        <f t="array" ref="A2659">IFNA(index(PlayerValues!A:A,match(IFNA(vlookup(B2659,'Special Names'!A:B,2,FALSE),B2659),PlayerValues!E:E,0)),"N/A")</f>
        <v>17107</v>
      </c>
      <c r="B2659" s="4" t="s">
        <v>478</v>
      </c>
      <c r="C2659" s="4" t="s">
        <v>298</v>
      </c>
      <c r="D2659" s="94">
        <v>3383.0</v>
      </c>
    </row>
    <row r="2660">
      <c r="A2660" s="40">
        <f t="array" ref="A2660">IFNA(index(PlayerValues!A:A,match(IFNA(vlookup(B2660,'Special Names'!A:B,2,FALSE),B2660),PlayerValues!E:E,0)),"N/A")</f>
        <v>17083</v>
      </c>
      <c r="B2660" s="4" t="s">
        <v>479</v>
      </c>
      <c r="C2660" s="4" t="s">
        <v>287</v>
      </c>
      <c r="D2660" s="94">
        <v>2927.0</v>
      </c>
    </row>
    <row r="2661">
      <c r="A2661" s="40">
        <f t="array" ref="A2661">IFNA(index(PlayerValues!A:A,match(IFNA(vlookup(B2661,'Special Names'!A:B,2,FALSE),B2661),PlayerValues!E:E,0)),"N/A")</f>
        <v>17503</v>
      </c>
      <c r="B2661" s="4" t="s">
        <v>480</v>
      </c>
      <c r="C2661" s="4" t="s">
        <v>287</v>
      </c>
      <c r="D2661" s="94">
        <v>2905.0</v>
      </c>
    </row>
    <row r="2662">
      <c r="A2662" s="40">
        <f t="array" ref="A2662">IFNA(index(PlayerValues!A:A,match(IFNA(vlookup(B2662,'Special Names'!A:B,2,FALSE),B2662),PlayerValues!E:E,0)),"N/A")</f>
        <v>16269</v>
      </c>
      <c r="B2662" s="4" t="s">
        <v>481</v>
      </c>
      <c r="C2662" s="4" t="s">
        <v>298</v>
      </c>
      <c r="D2662" s="94">
        <v>3323.0</v>
      </c>
    </row>
    <row r="2663">
      <c r="A2663" s="40" t="str">
        <f t="array" ref="A2663">IFNA(index(PlayerValues!A:A,match(IFNA(vlookup(B2663,'Special Names'!A:B,2,FALSE),B2663),PlayerValues!E:E,0)),"N/A")</f>
        <v>N/A</v>
      </c>
      <c r="B2663" s="4" t="s">
        <v>85</v>
      </c>
      <c r="C2663" s="4" t="s">
        <v>325</v>
      </c>
      <c r="D2663" s="94">
        <v>2893.0</v>
      </c>
    </row>
    <row r="2664">
      <c r="A2664" s="40">
        <f t="array" ref="A2664">IFNA(index(PlayerValues!A:A,match(IFNA(vlookup(B2664,'Special Names'!A:B,2,FALSE),B2664),PlayerValues!E:E,0)),"N/A")</f>
        <v>17518</v>
      </c>
      <c r="B2664" s="4" t="s">
        <v>482</v>
      </c>
      <c r="C2664" s="4" t="s">
        <v>287</v>
      </c>
      <c r="D2664" s="94">
        <v>2888.0</v>
      </c>
    </row>
    <row r="2665">
      <c r="A2665" s="40">
        <f t="array" ref="A2665">IFNA(index(PlayerValues!A:A,match(IFNA(vlookup(B2665,'Special Names'!A:B,2,FALSE),B2665),PlayerValues!E:E,0)),"N/A")</f>
        <v>17512</v>
      </c>
      <c r="B2665" s="4" t="s">
        <v>483</v>
      </c>
      <c r="C2665" s="4" t="s">
        <v>287</v>
      </c>
      <c r="D2665" s="94">
        <v>2871.0</v>
      </c>
    </row>
    <row r="2666">
      <c r="A2666" s="40">
        <f t="array" ref="A2666">IFNA(index(PlayerValues!A:A,match(IFNA(vlookup(B2666,'Special Names'!A:B,2,FALSE),B2666),PlayerValues!E:E,0)),"N/A")</f>
        <v>17053</v>
      </c>
      <c r="B2666" s="4" t="s">
        <v>484</v>
      </c>
      <c r="C2666" s="4" t="s">
        <v>278</v>
      </c>
      <c r="D2666" s="94">
        <v>2867.0</v>
      </c>
    </row>
    <row r="2667">
      <c r="A2667" s="40">
        <f t="array" ref="A2667">IFNA(index(PlayerValues!A:A,match(IFNA(vlookup(B2667,'Special Names'!A:B,2,FALSE),B2667),PlayerValues!E:E,0)),"N/A")</f>
        <v>17511</v>
      </c>
      <c r="B2667" s="4" t="s">
        <v>485</v>
      </c>
      <c r="C2667" s="4" t="s">
        <v>287</v>
      </c>
      <c r="D2667" s="94">
        <v>2831.0</v>
      </c>
    </row>
    <row r="2668">
      <c r="A2668" s="40">
        <f t="array" ref="A2668">IFNA(index(PlayerValues!A:A,match(IFNA(vlookup(B2668,'Special Names'!A:B,2,FALSE),B2668),PlayerValues!E:E,0)),"N/A")</f>
        <v>14127</v>
      </c>
      <c r="B2668" s="4" t="s">
        <v>486</v>
      </c>
      <c r="C2668" s="4" t="s">
        <v>287</v>
      </c>
      <c r="D2668" s="94">
        <v>2824.0</v>
      </c>
    </row>
    <row r="2669">
      <c r="A2669" s="40">
        <f t="array" ref="A2669">IFNA(index(PlayerValues!A:A,match(IFNA(vlookup(B2669,'Special Names'!A:B,2,FALSE),B2669),PlayerValues!E:E,0)),"N/A")</f>
        <v>16193</v>
      </c>
      <c r="B2669" s="4" t="s">
        <v>487</v>
      </c>
      <c r="C2669" s="4" t="s">
        <v>287</v>
      </c>
      <c r="D2669" s="94">
        <v>2810.0</v>
      </c>
    </row>
    <row r="2670">
      <c r="A2670" s="40">
        <f t="array" ref="A2670">IFNA(index(PlayerValues!A:A,match(IFNA(vlookup(B2670,'Special Names'!A:B,2,FALSE),B2670),PlayerValues!E:E,0)),"N/A")</f>
        <v>15712</v>
      </c>
      <c r="B2670" s="4" t="s">
        <v>488</v>
      </c>
      <c r="C2670" s="4" t="s">
        <v>278</v>
      </c>
      <c r="D2670" s="94">
        <v>2806.0</v>
      </c>
    </row>
    <row r="2671">
      <c r="A2671" s="40" t="str">
        <f t="array" ref="A2671">IFNA(index(PlayerValues!A:A,match(IFNA(vlookup(B2671,'Special Names'!A:B,2,FALSE),B2671),PlayerValues!E:E,0)),"N/A")</f>
        <v>N/A</v>
      </c>
      <c r="B2671" s="4" t="s">
        <v>110</v>
      </c>
      <c r="C2671" s="4" t="s">
        <v>325</v>
      </c>
      <c r="D2671" s="94">
        <v>2803.0</v>
      </c>
    </row>
    <row r="2672">
      <c r="A2672" s="40">
        <f t="array" ref="A2672">IFNA(index(PlayerValues!A:A,match(IFNA(vlookup(B2672,'Special Names'!A:B,2,FALSE),B2672),PlayerValues!E:E,0)),"N/A")</f>
        <v>14085</v>
      </c>
      <c r="B2672" s="4" t="s">
        <v>489</v>
      </c>
      <c r="C2672" s="4" t="s">
        <v>278</v>
      </c>
      <c r="D2672" s="94">
        <v>2792.0</v>
      </c>
    </row>
    <row r="2673">
      <c r="A2673" s="40">
        <f t="array" ref="A2673">IFNA(index(PlayerValues!A:A,match(IFNA(vlookup(B2673,'Special Names'!A:B,2,FALSE),B2673),PlayerValues!E:E,0)),"N/A")</f>
        <v>16628</v>
      </c>
      <c r="B2673" s="4" t="s">
        <v>490</v>
      </c>
      <c r="C2673" s="4" t="s">
        <v>287</v>
      </c>
      <c r="D2673" s="94">
        <v>2791.0</v>
      </c>
    </row>
    <row r="2674">
      <c r="A2674" s="40">
        <f t="array" ref="A2674">IFNA(index(PlayerValues!A:A,match(IFNA(vlookup(B2674,'Special Names'!A:B,2,FALSE),B2674),PlayerValues!E:E,0)),"N/A")</f>
        <v>15761</v>
      </c>
      <c r="B2674" s="4" t="s">
        <v>491</v>
      </c>
      <c r="C2674" s="4" t="s">
        <v>287</v>
      </c>
      <c r="D2674" s="94">
        <v>2776.0</v>
      </c>
    </row>
    <row r="2675">
      <c r="A2675" s="40">
        <f t="array" ref="A2675">IFNA(index(PlayerValues!A:A,match(IFNA(vlookup(B2675,'Special Names'!A:B,2,FALSE),B2675),PlayerValues!E:E,0)),"N/A")</f>
        <v>17466</v>
      </c>
      <c r="B2675" s="4" t="s">
        <v>492</v>
      </c>
      <c r="C2675" s="4" t="s">
        <v>283</v>
      </c>
      <c r="D2675" s="94">
        <v>2768.0</v>
      </c>
    </row>
    <row r="2676">
      <c r="A2676" s="40">
        <f t="array" ref="A2676">IFNA(index(PlayerValues!A:A,match(IFNA(vlookup(B2676,'Special Names'!A:B,2,FALSE),B2676),PlayerValues!E:E,0)),"N/A")</f>
        <v>16583</v>
      </c>
      <c r="B2676" s="4" t="s">
        <v>493</v>
      </c>
      <c r="C2676" s="4" t="s">
        <v>283</v>
      </c>
      <c r="D2676" s="94">
        <v>2767.0</v>
      </c>
    </row>
    <row r="2677">
      <c r="A2677" s="40">
        <f t="array" ref="A2677">IFNA(index(PlayerValues!A:A,match(IFNA(vlookup(B2677,'Special Names'!A:B,2,FALSE),B2677),PlayerValues!E:E,0)),"N/A")</f>
        <v>17476</v>
      </c>
      <c r="B2677" s="4" t="s">
        <v>494</v>
      </c>
      <c r="C2677" s="4" t="s">
        <v>278</v>
      </c>
      <c r="D2677" s="94">
        <v>2746.0</v>
      </c>
    </row>
    <row r="2678">
      <c r="A2678" s="40">
        <f t="array" ref="A2678">IFNA(index(PlayerValues!A:A,match(IFNA(vlookup(B2678,'Special Names'!A:B,2,FALSE),B2678),PlayerValues!E:E,0)),"N/A")</f>
        <v>17507</v>
      </c>
      <c r="B2678" s="4" t="s">
        <v>495</v>
      </c>
      <c r="C2678" s="4" t="s">
        <v>287</v>
      </c>
      <c r="D2678" s="94">
        <v>2728.0</v>
      </c>
    </row>
    <row r="2679">
      <c r="A2679" s="40">
        <f t="array" ref="A2679">IFNA(index(PlayerValues!A:A,match(IFNA(vlookup(B2679,'Special Names'!A:B,2,FALSE),B2679),PlayerValues!E:E,0)),"N/A")</f>
        <v>17599</v>
      </c>
      <c r="B2679" s="4" t="s">
        <v>496</v>
      </c>
      <c r="C2679" s="4" t="s">
        <v>287</v>
      </c>
      <c r="D2679" s="94">
        <v>2719.0</v>
      </c>
    </row>
    <row r="2680">
      <c r="A2680" s="40">
        <f t="array" ref="A2680">IFNA(index(PlayerValues!A:A,match(IFNA(vlookup(B2680,'Special Names'!A:B,2,FALSE),B2680),PlayerValues!E:E,0)),"N/A")</f>
        <v>12186</v>
      </c>
      <c r="B2680" s="4" t="s">
        <v>497</v>
      </c>
      <c r="C2680" s="4" t="s">
        <v>287</v>
      </c>
      <c r="D2680" s="94">
        <v>2676.0</v>
      </c>
    </row>
    <row r="2681">
      <c r="A2681" s="40">
        <f t="array" ref="A2681">IFNA(index(PlayerValues!A:A,match(IFNA(vlookup(B2681,'Special Names'!A:B,2,FALSE),B2681),PlayerValues!E:E,0)),"N/A")</f>
        <v>17082</v>
      </c>
      <c r="B2681" s="4" t="s">
        <v>498</v>
      </c>
      <c r="C2681" s="4" t="s">
        <v>287</v>
      </c>
      <c r="D2681" s="94">
        <v>2653.0</v>
      </c>
    </row>
    <row r="2682">
      <c r="A2682" s="40">
        <f t="array" ref="A2682">IFNA(index(PlayerValues!A:A,match(IFNA(vlookup(B2682,'Special Names'!A:B,2,FALSE),B2682),PlayerValues!E:E,0)),"N/A")</f>
        <v>16080</v>
      </c>
      <c r="B2682" s="4" t="s">
        <v>499</v>
      </c>
      <c r="C2682" s="4" t="s">
        <v>287</v>
      </c>
      <c r="D2682" s="94">
        <v>2647.0</v>
      </c>
    </row>
    <row r="2683">
      <c r="A2683" s="40">
        <f t="array" ref="A2683">IFNA(index(PlayerValues!A:A,match(IFNA(vlookup(B2683,'Special Names'!A:B,2,FALSE),B2683),PlayerValues!E:E,0)),"N/A")</f>
        <v>16684</v>
      </c>
      <c r="B2683" s="4" t="s">
        <v>500</v>
      </c>
      <c r="C2683" s="4" t="s">
        <v>287</v>
      </c>
      <c r="D2683" s="94">
        <v>2644.0</v>
      </c>
    </row>
    <row r="2684">
      <c r="A2684" s="40">
        <f t="array" ref="A2684">IFNA(index(PlayerValues!A:A,match(IFNA(vlookup(B2684,'Special Names'!A:B,2,FALSE),B2684),PlayerValues!E:E,0)),"N/A")</f>
        <v>16596</v>
      </c>
      <c r="B2684" s="4" t="s">
        <v>501</v>
      </c>
      <c r="C2684" s="4" t="s">
        <v>278</v>
      </c>
      <c r="D2684" s="94">
        <v>2640.0</v>
      </c>
    </row>
    <row r="2685">
      <c r="A2685" s="40">
        <f t="array" ref="A2685">IFNA(index(PlayerValues!A:A,match(IFNA(vlookup(B2685,'Special Names'!A:B,2,FALSE),B2685),PlayerValues!E:E,0)),"N/A")</f>
        <v>16723</v>
      </c>
      <c r="B2685" s="4" t="s">
        <v>502</v>
      </c>
      <c r="C2685" s="4" t="s">
        <v>298</v>
      </c>
      <c r="D2685" s="94">
        <v>3046.0</v>
      </c>
    </row>
    <row r="2686">
      <c r="A2686" s="40">
        <f t="array" ref="A2686">IFNA(index(PlayerValues!A:A,match(IFNA(vlookup(B2686,'Special Names'!A:B,2,FALSE),B2686),PlayerValues!E:E,0)),"N/A")</f>
        <v>15889</v>
      </c>
      <c r="B2686" s="4" t="s">
        <v>503</v>
      </c>
      <c r="C2686" s="4" t="s">
        <v>298</v>
      </c>
      <c r="D2686" s="94">
        <v>3046.0</v>
      </c>
    </row>
    <row r="2687">
      <c r="A2687" s="40">
        <f t="array" ref="A2687">IFNA(index(PlayerValues!A:A,match(IFNA(vlookup(B2687,'Special Names'!A:B,2,FALSE),B2687),PlayerValues!E:E,0)),"N/A")</f>
        <v>15721</v>
      </c>
      <c r="B2687" s="4" t="s">
        <v>504</v>
      </c>
      <c r="C2687" s="4" t="s">
        <v>278</v>
      </c>
      <c r="D2687" s="94">
        <v>2632.0</v>
      </c>
    </row>
    <row r="2688">
      <c r="A2688" s="40">
        <f t="array" ref="A2688">IFNA(index(PlayerValues!A:A,match(IFNA(vlookup(B2688,'Special Names'!A:B,2,FALSE),B2688),PlayerValues!E:E,0)),"N/A")</f>
        <v>16174</v>
      </c>
      <c r="B2688" s="4" t="s">
        <v>505</v>
      </c>
      <c r="C2688" s="4" t="s">
        <v>278</v>
      </c>
      <c r="D2688" s="94">
        <v>2624.0</v>
      </c>
    </row>
    <row r="2689">
      <c r="A2689" s="40">
        <f t="array" ref="A2689">IFNA(index(PlayerValues!A:A,match(IFNA(vlookup(B2689,'Special Names'!A:B,2,FALSE),B2689),PlayerValues!E:E,0)),"N/A")</f>
        <v>13671</v>
      </c>
      <c r="B2689" s="4" t="s">
        <v>506</v>
      </c>
      <c r="C2689" s="4" t="s">
        <v>298</v>
      </c>
      <c r="D2689" s="94">
        <v>3030.0</v>
      </c>
    </row>
    <row r="2690">
      <c r="A2690" s="40">
        <f t="array" ref="A2690">IFNA(index(PlayerValues!A:A,match(IFNA(vlookup(B2690,'Special Names'!A:B,2,FALSE),B2690),PlayerValues!E:E,0)),"N/A")</f>
        <v>16178</v>
      </c>
      <c r="B2690" s="4" t="s">
        <v>507</v>
      </c>
      <c r="C2690" s="4" t="s">
        <v>278</v>
      </c>
      <c r="D2690" s="94">
        <v>2615.0</v>
      </c>
    </row>
    <row r="2691">
      <c r="A2691" s="40">
        <f t="array" ref="A2691">IFNA(index(PlayerValues!A:A,match(IFNA(vlookup(B2691,'Special Names'!A:B,2,FALSE),B2691),PlayerValues!E:E,0)),"N/A")</f>
        <v>17072</v>
      </c>
      <c r="B2691" s="4" t="s">
        <v>508</v>
      </c>
      <c r="C2691" s="4" t="s">
        <v>287</v>
      </c>
      <c r="D2691" s="94">
        <v>2611.0</v>
      </c>
    </row>
    <row r="2692">
      <c r="A2692" s="40">
        <f t="array" ref="A2692">IFNA(index(PlayerValues!A:A,match(IFNA(vlookup(B2692,'Special Names'!A:B,2,FALSE),B2692),PlayerValues!E:E,0)),"N/A")</f>
        <v>16195</v>
      </c>
      <c r="B2692" s="4" t="s">
        <v>509</v>
      </c>
      <c r="C2692" s="4" t="s">
        <v>287</v>
      </c>
      <c r="D2692" s="94">
        <v>2597.0</v>
      </c>
    </row>
    <row r="2693">
      <c r="A2693" s="40">
        <f t="array" ref="A2693">IFNA(index(PlayerValues!A:A,match(IFNA(vlookup(B2693,'Special Names'!A:B,2,FALSE),B2693),PlayerValues!E:E,0)),"N/A")</f>
        <v>17047</v>
      </c>
      <c r="B2693" s="4" t="s">
        <v>510</v>
      </c>
      <c r="C2693" s="4" t="s">
        <v>278</v>
      </c>
      <c r="D2693" s="94">
        <v>2597.0</v>
      </c>
    </row>
    <row r="2694">
      <c r="A2694" s="40">
        <f t="array" ref="A2694">IFNA(index(PlayerValues!A:A,match(IFNA(vlookup(B2694,'Special Names'!A:B,2,FALSE),B2694),PlayerValues!E:E,0)),"N/A")</f>
        <v>13674</v>
      </c>
      <c r="B2694" s="4" t="s">
        <v>511</v>
      </c>
      <c r="C2694" s="4" t="s">
        <v>298</v>
      </c>
      <c r="D2694" s="94">
        <v>2996.0</v>
      </c>
    </row>
    <row r="2695">
      <c r="A2695" s="40" t="str">
        <f t="array" ref="A2695">IFNA(index(PlayerValues!A:A,match(IFNA(vlookup(B2695,'Special Names'!A:B,2,FALSE),B2695),PlayerValues!E:E,0)),"N/A")</f>
        <v>N/A</v>
      </c>
      <c r="B2695" s="4" t="s">
        <v>98</v>
      </c>
      <c r="C2695" s="4" t="s">
        <v>325</v>
      </c>
      <c r="D2695" s="94">
        <v>2580.0</v>
      </c>
    </row>
    <row r="2696">
      <c r="A2696" s="40">
        <f t="array" ref="A2696">IFNA(index(PlayerValues!A:A,match(IFNA(vlookup(B2696,'Special Names'!A:B,2,FALSE),B2696),PlayerValues!E:E,0)),"N/A")</f>
        <v>16164</v>
      </c>
      <c r="B2696" s="4" t="s">
        <v>512</v>
      </c>
      <c r="C2696" s="4" t="s">
        <v>278</v>
      </c>
      <c r="D2696" s="94">
        <v>2577.0</v>
      </c>
    </row>
    <row r="2697">
      <c r="A2697" s="40">
        <f t="array" ref="A2697">IFNA(index(PlayerValues!A:A,match(IFNA(vlookup(B2697,'Special Names'!A:B,2,FALSE),B2697),PlayerValues!E:E,0)),"N/A")</f>
        <v>17474</v>
      </c>
      <c r="B2697" s="4" t="s">
        <v>513</v>
      </c>
      <c r="C2697" s="4" t="s">
        <v>278</v>
      </c>
      <c r="D2697" s="94">
        <v>2573.0</v>
      </c>
    </row>
    <row r="2698">
      <c r="A2698" s="40">
        <f t="array" ref="A2698">IFNA(index(PlayerValues!A:A,match(IFNA(vlookup(B2698,'Special Names'!A:B,2,FALSE),B2698),PlayerValues!E:E,0)),"N/A")</f>
        <v>17468</v>
      </c>
      <c r="B2698" s="4" t="s">
        <v>514</v>
      </c>
      <c r="C2698" s="4" t="s">
        <v>283</v>
      </c>
      <c r="D2698" s="94">
        <v>2559.0</v>
      </c>
    </row>
    <row r="2699">
      <c r="A2699" s="40">
        <f t="array" ref="A2699">IFNA(index(PlayerValues!A:A,match(IFNA(vlookup(B2699,'Special Names'!A:B,2,FALSE),B2699),PlayerValues!E:E,0)),"N/A")</f>
        <v>16626</v>
      </c>
      <c r="B2699" s="4" t="s">
        <v>515</v>
      </c>
      <c r="C2699" s="4" t="s">
        <v>287</v>
      </c>
      <c r="D2699" s="94">
        <v>2555.0</v>
      </c>
    </row>
    <row r="2700">
      <c r="A2700" s="40">
        <f t="array" ref="A2700">IFNA(index(PlayerValues!A:A,match(IFNA(vlookup(B2700,'Special Names'!A:B,2,FALSE),B2700),PlayerValues!E:E,0)),"N/A")</f>
        <v>16287</v>
      </c>
      <c r="B2700" s="4" t="s">
        <v>516</v>
      </c>
      <c r="C2700" s="4" t="s">
        <v>287</v>
      </c>
      <c r="D2700" s="94">
        <v>2543.0</v>
      </c>
    </row>
    <row r="2701">
      <c r="A2701" s="40">
        <f t="array" ref="A2701">IFNA(index(PlayerValues!A:A,match(IFNA(vlookup(B2701,'Special Names'!A:B,2,FALSE),B2701),PlayerValues!E:E,0)),"N/A")</f>
        <v>16622</v>
      </c>
      <c r="B2701" s="4" t="s">
        <v>517</v>
      </c>
      <c r="C2701" s="4" t="s">
        <v>287</v>
      </c>
      <c r="D2701" s="94">
        <v>2539.0</v>
      </c>
    </row>
    <row r="2702">
      <c r="A2702" s="40">
        <f t="array" ref="A2702">IFNA(index(PlayerValues!A:A,match(IFNA(vlookup(B2702,'Special Names'!A:B,2,FALSE),B2702),PlayerValues!E:E,0)),"N/A")</f>
        <v>17520</v>
      </c>
      <c r="B2702" s="4" t="s">
        <v>518</v>
      </c>
      <c r="C2702" s="4" t="s">
        <v>287</v>
      </c>
      <c r="D2702" s="94">
        <v>2532.0</v>
      </c>
    </row>
    <row r="2703">
      <c r="A2703" s="40">
        <f t="array" ref="A2703">IFNA(index(PlayerValues!A:A,match(IFNA(vlookup(B2703,'Special Names'!A:B,2,FALSE),B2703),PlayerValues!E:E,0)),"N/A")</f>
        <v>11244</v>
      </c>
      <c r="B2703" s="4" t="s">
        <v>519</v>
      </c>
      <c r="C2703" s="4" t="s">
        <v>298</v>
      </c>
      <c r="D2703" s="94">
        <v>2930.0</v>
      </c>
    </row>
    <row r="2704">
      <c r="A2704" s="40">
        <f t="array" ref="A2704">IFNA(index(PlayerValues!A:A,match(IFNA(vlookup(B2704,'Special Names'!A:B,2,FALSE),B2704),PlayerValues!E:E,0)),"N/A")</f>
        <v>16165</v>
      </c>
      <c r="B2704" s="4" t="s">
        <v>520</v>
      </c>
      <c r="C2704" s="4" t="s">
        <v>278</v>
      </c>
      <c r="D2704" s="94">
        <v>2523.0</v>
      </c>
    </row>
    <row r="2705">
      <c r="A2705" s="40" t="str">
        <f t="array" ref="A2705">IFNA(index(PlayerValues!A:A,match(IFNA(vlookup(B2705,'Special Names'!A:B,2,FALSE),B2705),PlayerValues!E:E,0)),"N/A")</f>
        <v>N/A</v>
      </c>
      <c r="B2705" s="4" t="s">
        <v>99</v>
      </c>
      <c r="C2705" s="4" t="s">
        <v>325</v>
      </c>
      <c r="D2705" s="94">
        <v>2505.0</v>
      </c>
    </row>
    <row r="2706">
      <c r="A2706" s="40">
        <f t="array" ref="A2706">IFNA(index(PlayerValues!A:A,match(IFNA(vlookup(B2706,'Special Names'!A:B,2,FALSE),B2706),PlayerValues!E:E,0)),"N/A")</f>
        <v>15786</v>
      </c>
      <c r="B2706" s="4" t="s">
        <v>521</v>
      </c>
      <c r="C2706" s="4" t="s">
        <v>287</v>
      </c>
      <c r="D2706" s="94">
        <v>2499.0</v>
      </c>
    </row>
    <row r="2707">
      <c r="A2707" s="40">
        <f t="array" ref="A2707">IFNA(index(PlayerValues!A:A,match(IFNA(vlookup(B2707,'Special Names'!A:B,2,FALSE),B2707),PlayerValues!E:E,0)),"N/A")</f>
        <v>17485</v>
      </c>
      <c r="B2707" s="4" t="s">
        <v>522</v>
      </c>
      <c r="C2707" s="4" t="s">
        <v>278</v>
      </c>
      <c r="D2707" s="94">
        <v>2499.0</v>
      </c>
    </row>
    <row r="2708">
      <c r="A2708" s="40">
        <f t="array" ref="A2708">IFNA(index(PlayerValues!A:A,match(IFNA(vlookup(B2708,'Special Names'!A:B,2,FALSE),B2708),PlayerValues!E:E,0)),"N/A")</f>
        <v>14861</v>
      </c>
      <c r="B2708" s="4" t="s">
        <v>523</v>
      </c>
      <c r="C2708" s="4" t="s">
        <v>298</v>
      </c>
      <c r="D2708" s="94">
        <v>2901.0</v>
      </c>
    </row>
    <row r="2709">
      <c r="A2709" s="40">
        <f t="array" ref="A2709">IFNA(index(PlayerValues!A:A,match(IFNA(vlookup(B2709,'Special Names'!A:B,2,FALSE),B2709),PlayerValues!E:E,0)),"N/A")</f>
        <v>17157</v>
      </c>
      <c r="B2709" s="4" t="s">
        <v>524</v>
      </c>
      <c r="C2709" s="4" t="s">
        <v>287</v>
      </c>
      <c r="D2709" s="94">
        <v>2494.0</v>
      </c>
    </row>
    <row r="2710">
      <c r="A2710" s="40">
        <f t="array" ref="A2710">IFNA(index(PlayerValues!A:A,match(IFNA(vlookup(B2710,'Special Names'!A:B,2,FALSE),B2710),PlayerValues!E:E,0)),"N/A")</f>
        <v>17105</v>
      </c>
      <c r="B2710" s="4" t="s">
        <v>525</v>
      </c>
      <c r="C2710" s="4" t="s">
        <v>298</v>
      </c>
      <c r="D2710" s="94">
        <v>2892.0</v>
      </c>
    </row>
    <row r="2711">
      <c r="A2711" s="40">
        <f t="array" ref="A2711">IFNA(index(PlayerValues!A:A,match(IFNA(vlookup(B2711,'Special Names'!A:B,2,FALSE),B2711),PlayerValues!E:E,0)),"N/A")</f>
        <v>17607</v>
      </c>
      <c r="B2711" s="4" t="s">
        <v>526</v>
      </c>
      <c r="C2711" s="4" t="s">
        <v>298</v>
      </c>
      <c r="D2711" s="94">
        <v>2891.0</v>
      </c>
    </row>
    <row r="2712">
      <c r="A2712" s="40">
        <f t="array" ref="A2712">IFNA(index(PlayerValues!A:A,match(IFNA(vlookup(B2712,'Special Names'!A:B,2,FALSE),B2712),PlayerValues!E:E,0)),"N/A")</f>
        <v>17478</v>
      </c>
      <c r="B2712" s="4" t="s">
        <v>527</v>
      </c>
      <c r="C2712" s="4" t="s">
        <v>278</v>
      </c>
      <c r="D2712" s="94">
        <v>2486.0</v>
      </c>
    </row>
    <row r="2713">
      <c r="A2713" s="40">
        <f t="array" ref="A2713">IFNA(index(PlayerValues!A:A,match(IFNA(vlookup(B2713,'Special Names'!A:B,2,FALSE),B2713),PlayerValues!E:E,0)),"N/A")</f>
        <v>17505</v>
      </c>
      <c r="B2713" s="4" t="s">
        <v>528</v>
      </c>
      <c r="C2713" s="4" t="s">
        <v>287</v>
      </c>
      <c r="D2713" s="94">
        <v>2483.0</v>
      </c>
    </row>
    <row r="2714">
      <c r="A2714" s="40">
        <f t="array" ref="A2714">IFNA(index(PlayerValues!A:A,match(IFNA(vlookup(B2714,'Special Names'!A:B,2,FALSE),B2714),PlayerValues!E:E,0)),"N/A")</f>
        <v>12616</v>
      </c>
      <c r="B2714" s="4" t="s">
        <v>529</v>
      </c>
      <c r="C2714" s="4" t="s">
        <v>283</v>
      </c>
      <c r="D2714" s="94">
        <v>2477.0</v>
      </c>
    </row>
    <row r="2715">
      <c r="A2715" s="40">
        <f t="array" ref="A2715">IFNA(index(PlayerValues!A:A,match(IFNA(vlookup(B2715,'Special Names'!A:B,2,FALSE),B2715),PlayerValues!E:E,0)),"N/A")</f>
        <v>16204</v>
      </c>
      <c r="B2715" s="4" t="s">
        <v>530</v>
      </c>
      <c r="C2715" s="4" t="s">
        <v>287</v>
      </c>
      <c r="D2715" s="94">
        <v>2477.0</v>
      </c>
    </row>
    <row r="2716">
      <c r="A2716" s="40">
        <f t="array" ref="A2716">IFNA(index(PlayerValues!A:A,match(IFNA(vlookup(B2716,'Special Names'!A:B,2,FALSE),B2716),PlayerValues!E:E,0)),"N/A")</f>
        <v>14138</v>
      </c>
      <c r="B2716" s="4" t="s">
        <v>531</v>
      </c>
      <c r="C2716" s="4" t="s">
        <v>298</v>
      </c>
      <c r="D2716" s="94">
        <v>2863.0</v>
      </c>
    </row>
    <row r="2717">
      <c r="A2717" s="40">
        <f t="array" ref="A2717">IFNA(index(PlayerValues!A:A,match(IFNA(vlookup(B2717,'Special Names'!A:B,2,FALSE),B2717),PlayerValues!E:E,0)),"N/A")</f>
        <v>17080</v>
      </c>
      <c r="B2717" s="4" t="s">
        <v>532</v>
      </c>
      <c r="C2717" s="4" t="s">
        <v>287</v>
      </c>
      <c r="D2717" s="94">
        <v>2456.0</v>
      </c>
    </row>
    <row r="2718">
      <c r="A2718" s="40" t="str">
        <f t="array" ref="A2718">IFNA(index(PlayerValues!A:A,match(IFNA(vlookup(B2718,'Special Names'!A:B,2,FALSE),B2718),PlayerValues!E:E,0)),"N/A")</f>
        <v>N/A</v>
      </c>
      <c r="B2718" s="4" t="s">
        <v>86</v>
      </c>
      <c r="C2718" s="4" t="s">
        <v>325</v>
      </c>
      <c r="D2718" s="94">
        <v>2449.0</v>
      </c>
    </row>
    <row r="2719">
      <c r="A2719" s="40">
        <f t="array" ref="A2719">IFNA(index(PlayerValues!A:A,match(IFNA(vlookup(B2719,'Special Names'!A:B,2,FALSE),B2719),PlayerValues!E:E,0)),"N/A")</f>
        <v>17098</v>
      </c>
      <c r="B2719" s="4" t="s">
        <v>533</v>
      </c>
      <c r="C2719" s="4" t="s">
        <v>287</v>
      </c>
      <c r="D2719" s="94">
        <v>2409.0</v>
      </c>
    </row>
    <row r="2720">
      <c r="A2720" s="40">
        <f t="array" ref="A2720">IFNA(index(PlayerValues!A:A,match(IFNA(vlookup(B2720,'Special Names'!A:B,2,FALSE),B2720),PlayerValues!E:E,0)),"N/A")</f>
        <v>17508</v>
      </c>
      <c r="B2720" s="4" t="s">
        <v>534</v>
      </c>
      <c r="C2720" s="4" t="s">
        <v>287</v>
      </c>
      <c r="D2720" s="94">
        <v>2374.0</v>
      </c>
    </row>
    <row r="2721">
      <c r="A2721" s="40">
        <f t="array" ref="A2721">IFNA(index(PlayerValues!A:A,match(IFNA(vlookup(B2721,'Special Names'!A:B,2,FALSE),B2721),PlayerValues!E:E,0)),"N/A")</f>
        <v>17031</v>
      </c>
      <c r="B2721" s="4" t="s">
        <v>535</v>
      </c>
      <c r="C2721" s="4" t="s">
        <v>283</v>
      </c>
      <c r="D2721" s="94">
        <v>2363.0</v>
      </c>
    </row>
    <row r="2722">
      <c r="A2722" s="40" t="str">
        <f t="array" ref="A2722">IFNA(index(PlayerValues!A:A,match(IFNA(vlookup(B2722,'Special Names'!A:B,2,FALSE),B2722),PlayerValues!E:E,0)),"N/A")</f>
        <v>N/A</v>
      </c>
      <c r="B2722" s="4" t="s">
        <v>100</v>
      </c>
      <c r="C2722" s="4" t="s">
        <v>325</v>
      </c>
      <c r="D2722" s="94">
        <v>2361.0</v>
      </c>
    </row>
    <row r="2723">
      <c r="A2723" s="40">
        <f t="array" ref="A2723">IFNA(index(PlayerValues!A:A,match(IFNA(vlookup(B2723,'Special Names'!A:B,2,FALSE),B2723),PlayerValues!E:E,0)),"N/A")</f>
        <v>14136</v>
      </c>
      <c r="B2723" s="4" t="s">
        <v>536</v>
      </c>
      <c r="C2723" s="4" t="s">
        <v>287</v>
      </c>
      <c r="D2723" s="94">
        <v>2360.0</v>
      </c>
    </row>
    <row r="2724">
      <c r="A2724" s="40">
        <f t="array" ref="A2724">IFNA(index(PlayerValues!A:A,match(IFNA(vlookup(B2724,'Special Names'!A:B,2,FALSE),B2724),PlayerValues!E:E,0)),"N/A")</f>
        <v>12676</v>
      </c>
      <c r="B2724" s="4" t="s">
        <v>537</v>
      </c>
      <c r="C2724" s="4" t="s">
        <v>298</v>
      </c>
      <c r="D2724" s="94">
        <v>2755.0</v>
      </c>
    </row>
    <row r="2725">
      <c r="A2725" s="40">
        <f t="array" ref="A2725">IFNA(index(PlayerValues!A:A,match(IFNA(vlookup(B2725,'Special Names'!A:B,2,FALSE),B2725),PlayerValues!E:E,0)),"N/A")</f>
        <v>16619</v>
      </c>
      <c r="B2725" s="4" t="s">
        <v>538</v>
      </c>
      <c r="C2725" s="4" t="s">
        <v>287</v>
      </c>
      <c r="D2725" s="94">
        <v>2349.0</v>
      </c>
    </row>
    <row r="2726">
      <c r="A2726" s="40">
        <f t="array" ref="A2726">IFNA(index(PlayerValues!A:A,match(IFNA(vlookup(B2726,'Special Names'!A:B,2,FALSE),B2726),PlayerValues!E:E,0)),"N/A")</f>
        <v>17048</v>
      </c>
      <c r="B2726" s="4" t="s">
        <v>539</v>
      </c>
      <c r="C2726" s="4" t="s">
        <v>278</v>
      </c>
      <c r="D2726" s="94">
        <v>2348.0</v>
      </c>
    </row>
    <row r="2727">
      <c r="A2727" s="40">
        <f t="array" ref="A2727">IFNA(index(PlayerValues!A:A,match(IFNA(vlookup(B2727,'Special Names'!A:B,2,FALSE),B2727),PlayerValues!E:E,0)),"N/A")</f>
        <v>17481</v>
      </c>
      <c r="B2727" s="4" t="s">
        <v>540</v>
      </c>
      <c r="C2727" s="4" t="s">
        <v>278</v>
      </c>
      <c r="D2727" s="94">
        <v>2332.0</v>
      </c>
    </row>
    <row r="2728">
      <c r="A2728" s="40">
        <f t="array" ref="A2728">IFNA(index(PlayerValues!A:A,match(IFNA(vlookup(B2728,'Special Names'!A:B,2,FALSE),B2728),PlayerValues!E:E,0)),"N/A")</f>
        <v>16617</v>
      </c>
      <c r="B2728" s="4" t="s">
        <v>541</v>
      </c>
      <c r="C2728" s="4" t="s">
        <v>287</v>
      </c>
      <c r="D2728" s="94">
        <v>2327.0</v>
      </c>
    </row>
    <row r="2729">
      <c r="A2729" s="40">
        <f t="array" ref="A2729">IFNA(index(PlayerValues!A:A,match(IFNA(vlookup(B2729,'Special Names'!A:B,2,FALSE),B2729),PlayerValues!E:E,0)),"N/A")</f>
        <v>17108</v>
      </c>
      <c r="B2729" s="4" t="s">
        <v>542</v>
      </c>
      <c r="C2729" s="4" t="s">
        <v>298</v>
      </c>
      <c r="D2729" s="94">
        <v>2716.0</v>
      </c>
    </row>
    <row r="2730">
      <c r="A2730" s="40" t="str">
        <f t="array" ref="A2730">IFNA(index(PlayerValues!A:A,match(IFNA(vlookup(B2730,'Special Names'!A:B,2,FALSE),B2730),PlayerValues!E:E,0)),"N/A")</f>
        <v>N/A</v>
      </c>
      <c r="B2730" s="4" t="s">
        <v>87</v>
      </c>
      <c r="C2730" s="4" t="s">
        <v>325</v>
      </c>
      <c r="D2730" s="94">
        <v>2318.0</v>
      </c>
    </row>
    <row r="2731">
      <c r="A2731" s="40">
        <f t="array" ref="A2731">IFNA(index(PlayerValues!A:A,match(IFNA(vlookup(B2731,'Special Names'!A:B,2,FALSE),B2731),PlayerValues!E:E,0)),"N/A")</f>
        <v>17078</v>
      </c>
      <c r="B2731" s="4" t="s">
        <v>543</v>
      </c>
      <c r="C2731" s="4" t="s">
        <v>287</v>
      </c>
      <c r="D2731" s="94">
        <v>2318.0</v>
      </c>
    </row>
    <row r="2732">
      <c r="A2732" s="40" t="str">
        <f t="array" ref="A2732">IFNA(index(PlayerValues!A:A,match(IFNA(vlookup(B2732,'Special Names'!A:B,2,FALSE),B2732),PlayerValues!E:E,0)),"N/A")</f>
        <v>N/A</v>
      </c>
      <c r="B2732" s="4" t="s">
        <v>112</v>
      </c>
      <c r="C2732" s="4" t="s">
        <v>325</v>
      </c>
      <c r="D2732" s="94">
        <v>2311.0</v>
      </c>
    </row>
    <row r="2733">
      <c r="A2733" s="40">
        <f t="array" ref="A2733">IFNA(index(PlayerValues!A:A,match(IFNA(vlookup(B2733,'Special Names'!A:B,2,FALSE),B2733),PlayerValues!E:E,0)),"N/A")</f>
        <v>13772</v>
      </c>
      <c r="B2733" s="4" t="s">
        <v>544</v>
      </c>
      <c r="C2733" s="4" t="s">
        <v>298</v>
      </c>
      <c r="D2733" s="94">
        <v>2708.0</v>
      </c>
    </row>
    <row r="2734">
      <c r="A2734" s="40">
        <f t="array" ref="A2734">IFNA(index(PlayerValues!A:A,match(IFNA(vlookup(B2734,'Special Names'!A:B,2,FALSE),B2734),PlayerValues!E:E,0)),"N/A")</f>
        <v>15716</v>
      </c>
      <c r="B2734" s="4" t="s">
        <v>545</v>
      </c>
      <c r="C2734" s="4" t="s">
        <v>278</v>
      </c>
      <c r="D2734" s="94">
        <v>2282.0</v>
      </c>
    </row>
    <row r="2735">
      <c r="A2735" s="40">
        <f t="array" ref="A2735">IFNA(index(PlayerValues!A:A,match(IFNA(vlookup(B2735,'Special Names'!A:B,2,FALSE),B2735),PlayerValues!E:E,0)),"N/A")</f>
        <v>15241</v>
      </c>
      <c r="B2735" s="4" t="s">
        <v>546</v>
      </c>
      <c r="C2735" s="4" t="s">
        <v>283</v>
      </c>
      <c r="D2735" s="94">
        <v>2275.0</v>
      </c>
    </row>
    <row r="2736">
      <c r="A2736" s="40">
        <f t="array" ref="A2736">IFNA(index(PlayerValues!A:A,match(IFNA(vlookup(B2736,'Special Names'!A:B,2,FALSE),B2736),PlayerValues!E:E,0)),"N/A")</f>
        <v>17073</v>
      </c>
      <c r="B2736" s="4" t="s">
        <v>547</v>
      </c>
      <c r="C2736" s="4" t="s">
        <v>287</v>
      </c>
      <c r="D2736" s="94">
        <v>2273.0</v>
      </c>
    </row>
    <row r="2737">
      <c r="A2737" s="40">
        <f t="array" ref="A2737">IFNA(index(PlayerValues!A:A,match(IFNA(vlookup(B2737,'Special Names'!A:B,2,FALSE),B2737),PlayerValues!E:E,0)),"N/A")</f>
        <v>17134</v>
      </c>
      <c r="B2737" s="4" t="s">
        <v>548</v>
      </c>
      <c r="C2737" s="4" t="s">
        <v>287</v>
      </c>
      <c r="D2737" s="94">
        <v>2268.0</v>
      </c>
    </row>
    <row r="2738">
      <c r="A2738" s="40">
        <f t="array" ref="A2738">IFNA(index(PlayerValues!A:A,match(IFNA(vlookup(B2738,'Special Names'!A:B,2,FALSE),B2738),PlayerValues!E:E,0)),"N/A")</f>
        <v>13319</v>
      </c>
      <c r="B2738" s="4" t="s">
        <v>549</v>
      </c>
      <c r="C2738" s="4" t="s">
        <v>278</v>
      </c>
      <c r="D2738" s="94">
        <v>2263.0</v>
      </c>
    </row>
    <row r="2739">
      <c r="A2739" s="40">
        <f t="array" ref="A2739">IFNA(index(PlayerValues!A:A,match(IFNA(vlookup(B2739,'Special Names'!A:B,2,FALSE),B2739),PlayerValues!E:E,0)),"N/A")</f>
        <v>17106</v>
      </c>
      <c r="B2739" s="4" t="s">
        <v>550</v>
      </c>
      <c r="C2739" s="4" t="s">
        <v>298</v>
      </c>
      <c r="D2739" s="94">
        <v>2649.0</v>
      </c>
    </row>
    <row r="2740">
      <c r="A2740" s="40">
        <f t="array" ref="A2740">IFNA(index(PlayerValues!A:A,match(IFNA(vlookup(B2740,'Special Names'!A:B,2,FALSE),B2740),PlayerValues!E:E,0)),"N/A")</f>
        <v>17509</v>
      </c>
      <c r="B2740" s="4" t="s">
        <v>551</v>
      </c>
      <c r="C2740" s="4" t="s">
        <v>287</v>
      </c>
      <c r="D2740" s="94">
        <v>2251.0</v>
      </c>
    </row>
    <row r="2741">
      <c r="A2741" s="40">
        <f t="array" ref="A2741">IFNA(index(PlayerValues!A:A,match(IFNA(vlookup(B2741,'Special Names'!A:B,2,FALSE),B2741),PlayerValues!E:E,0)),"N/A")</f>
        <v>17547</v>
      </c>
      <c r="B2741" s="4" t="s">
        <v>552</v>
      </c>
      <c r="C2741" s="4" t="s">
        <v>298</v>
      </c>
      <c r="D2741" s="94">
        <v>2644.0</v>
      </c>
    </row>
    <row r="2742">
      <c r="A2742" s="40">
        <f t="array" ref="A2742">IFNA(index(PlayerValues!A:A,match(IFNA(vlookup(B2742,'Special Names'!A:B,2,FALSE),B2742),PlayerValues!E:E,0)),"N/A")</f>
        <v>14833</v>
      </c>
      <c r="B2742" s="4" t="s">
        <v>553</v>
      </c>
      <c r="C2742" s="4" t="s">
        <v>287</v>
      </c>
      <c r="D2742" s="94">
        <v>2236.0</v>
      </c>
    </row>
    <row r="2743">
      <c r="A2743" s="40">
        <f t="array" ref="A2743">IFNA(index(PlayerValues!A:A,match(IFNA(vlookup(B2743,'Special Names'!A:B,2,FALSE),B2743),PlayerValues!E:E,0)),"N/A")</f>
        <v>14860</v>
      </c>
      <c r="B2743" s="4" t="s">
        <v>554</v>
      </c>
      <c r="C2743" s="4" t="s">
        <v>287</v>
      </c>
      <c r="D2743" s="94">
        <v>2230.0</v>
      </c>
    </row>
    <row r="2744">
      <c r="A2744" s="40">
        <f t="array" ref="A2744">IFNA(index(PlayerValues!A:A,match(IFNA(vlookup(B2744,'Special Names'!A:B,2,FALSE),B2744),PlayerValues!E:E,0)),"N/A")</f>
        <v>16747</v>
      </c>
      <c r="B2744" s="4" t="s">
        <v>555</v>
      </c>
      <c r="C2744" s="4" t="s">
        <v>278</v>
      </c>
      <c r="D2744" s="94">
        <v>2199.0</v>
      </c>
    </row>
    <row r="2745">
      <c r="A2745" s="40">
        <f t="array" ref="A2745">IFNA(index(PlayerValues!A:A,match(IFNA(vlookup(B2745,'Special Names'!A:B,2,FALSE),B2745),PlayerValues!E:E,0)),"N/A")</f>
        <v>15797</v>
      </c>
      <c r="B2745" s="4" t="s">
        <v>556</v>
      </c>
      <c r="C2745" s="4" t="s">
        <v>298</v>
      </c>
      <c r="D2745" s="94">
        <v>2590.0</v>
      </c>
    </row>
    <row r="2746">
      <c r="A2746" s="40" t="str">
        <f t="array" ref="A2746">IFNA(index(PlayerValues!A:A,match(IFNA(vlookup(B2746,'Special Names'!A:B,2,FALSE),B2746),PlayerValues!E:E,0)),"N/A")</f>
        <v>N/A</v>
      </c>
      <c r="B2746" s="4" t="s">
        <v>557</v>
      </c>
      <c r="C2746" s="4" t="s">
        <v>278</v>
      </c>
      <c r="D2746" s="94">
        <v>2175.0</v>
      </c>
    </row>
    <row r="2747">
      <c r="A2747" s="40">
        <f t="array" ref="A2747">IFNA(index(PlayerValues!A:A,match(IFNA(vlookup(B2747,'Special Names'!A:B,2,FALSE),B2747),PlayerValues!E:E,0)),"N/A")</f>
        <v>16757</v>
      </c>
      <c r="B2747" s="4" t="s">
        <v>558</v>
      </c>
      <c r="C2747" s="4" t="s">
        <v>278</v>
      </c>
      <c r="D2747" s="94">
        <v>2168.0</v>
      </c>
    </row>
    <row r="2748">
      <c r="A2748" s="40" t="str">
        <f t="array" ref="A2748">IFNA(index(PlayerValues!A:A,match(IFNA(vlookup(B2748,'Special Names'!A:B,2,FALSE),B2748),PlayerValues!E:E,0)),"N/A")</f>
        <v>N/A</v>
      </c>
      <c r="B2748" s="4" t="s">
        <v>113</v>
      </c>
      <c r="C2748" s="4" t="s">
        <v>325</v>
      </c>
      <c r="D2748" s="94">
        <v>2166.0</v>
      </c>
    </row>
    <row r="2749">
      <c r="A2749" s="40">
        <f t="array" ref="A2749">IFNA(index(PlayerValues!A:A,match(IFNA(vlookup(B2749,'Special Names'!A:B,2,FALSE),B2749),PlayerValues!E:E,0)),"N/A")</f>
        <v>11150</v>
      </c>
      <c r="B2749" s="4" t="s">
        <v>559</v>
      </c>
      <c r="C2749" s="4" t="s">
        <v>283</v>
      </c>
      <c r="D2749" s="94">
        <v>2159.0</v>
      </c>
    </row>
    <row r="2750">
      <c r="A2750" s="40">
        <f t="array" ref="A2750">IFNA(index(PlayerValues!A:A,match(IFNA(vlookup(B2750,'Special Names'!A:B,2,FALSE),B2750),PlayerValues!E:E,0)),"N/A")</f>
        <v>15331</v>
      </c>
      <c r="B2750" s="4" t="s">
        <v>560</v>
      </c>
      <c r="C2750" s="4" t="s">
        <v>298</v>
      </c>
      <c r="D2750" s="94">
        <v>2536.0</v>
      </c>
    </row>
    <row r="2751">
      <c r="A2751" s="40">
        <f t="array" ref="A2751">IFNA(index(PlayerValues!A:A,match(IFNA(vlookup(B2751,'Special Names'!A:B,2,FALSE),B2751),PlayerValues!E:E,0)),"N/A")</f>
        <v>17171</v>
      </c>
      <c r="B2751" s="4" t="s">
        <v>561</v>
      </c>
      <c r="C2751" s="4" t="s">
        <v>287</v>
      </c>
      <c r="D2751" s="94">
        <v>2143.0</v>
      </c>
    </row>
    <row r="2752">
      <c r="A2752" s="40">
        <f t="array" ref="A2752">IFNA(index(PlayerValues!A:A,match(IFNA(vlookup(B2752,'Special Names'!A:B,2,FALSE),B2752),PlayerValues!E:E,0)),"N/A")</f>
        <v>16610</v>
      </c>
      <c r="B2752" s="4" t="s">
        <v>562</v>
      </c>
      <c r="C2752" s="4" t="s">
        <v>278</v>
      </c>
      <c r="D2752" s="94">
        <v>2140.0</v>
      </c>
    </row>
    <row r="2753">
      <c r="A2753" s="40">
        <f t="array" ref="A2753">IFNA(index(PlayerValues!A:A,match(IFNA(vlookup(B2753,'Special Names'!A:B,2,FALSE),B2753),PlayerValues!E:E,0)),"N/A")</f>
        <v>13192</v>
      </c>
      <c r="B2753" s="4" t="s">
        <v>563</v>
      </c>
      <c r="C2753" s="4" t="s">
        <v>298</v>
      </c>
      <c r="D2753" s="94">
        <v>2529.0</v>
      </c>
    </row>
    <row r="2754">
      <c r="A2754" s="40">
        <f t="array" ref="A2754">IFNA(index(PlayerValues!A:A,match(IFNA(vlookup(B2754,'Special Names'!A:B,2,FALSE),B2754),PlayerValues!E:E,0)),"N/A")</f>
        <v>14778</v>
      </c>
      <c r="B2754" s="4" t="s">
        <v>564</v>
      </c>
      <c r="C2754" s="4" t="s">
        <v>283</v>
      </c>
      <c r="D2754" s="94">
        <v>2139.0</v>
      </c>
    </row>
    <row r="2755">
      <c r="A2755" s="40">
        <f t="array" ref="A2755">IFNA(index(PlayerValues!A:A,match(IFNA(vlookup(B2755,'Special Names'!A:B,2,FALSE),B2755),PlayerValues!E:E,0)),"N/A")</f>
        <v>17055</v>
      </c>
      <c r="B2755" s="4" t="s">
        <v>565</v>
      </c>
      <c r="C2755" s="4" t="s">
        <v>278</v>
      </c>
      <c r="D2755" s="94">
        <v>2138.0</v>
      </c>
    </row>
    <row r="2756">
      <c r="A2756" s="40">
        <f t="array" ref="A2756">IFNA(index(PlayerValues!A:A,match(IFNA(vlookup(B2756,'Special Names'!A:B,2,FALSE),B2756),PlayerValues!E:E,0)),"N/A")</f>
        <v>15802</v>
      </c>
      <c r="B2756" s="4" t="s">
        <v>566</v>
      </c>
      <c r="C2756" s="4" t="s">
        <v>298</v>
      </c>
      <c r="D2756" s="94">
        <v>2529.0</v>
      </c>
    </row>
    <row r="2757">
      <c r="A2757" s="40" t="str">
        <f t="array" ref="A2757">IFNA(index(PlayerValues!A:A,match(IFNA(vlookup(B2757,'Special Names'!A:B,2,FALSE),B2757),PlayerValues!E:E,0)),"N/A")</f>
        <v>N/A</v>
      </c>
      <c r="B2757" s="4" t="s">
        <v>88</v>
      </c>
      <c r="C2757" s="4" t="s">
        <v>325</v>
      </c>
      <c r="D2757" s="94">
        <v>2133.0</v>
      </c>
    </row>
    <row r="2758">
      <c r="A2758" s="40">
        <f t="array" ref="A2758">IFNA(index(PlayerValues!A:A,match(IFNA(vlookup(B2758,'Special Names'!A:B,2,FALSE),B2758),PlayerValues!E:E,0)),"N/A")</f>
        <v>16166</v>
      </c>
      <c r="B2758" s="4" t="s">
        <v>567</v>
      </c>
      <c r="C2758" s="4" t="s">
        <v>278</v>
      </c>
      <c r="D2758" s="94">
        <v>2126.0</v>
      </c>
    </row>
    <row r="2759">
      <c r="A2759" s="40">
        <f t="array" ref="A2759">IFNA(index(PlayerValues!A:A,match(IFNA(vlookup(B2759,'Special Names'!A:B,2,FALSE),B2759),PlayerValues!E:E,0)),"N/A")</f>
        <v>16212</v>
      </c>
      <c r="B2759" s="4" t="s">
        <v>568</v>
      </c>
      <c r="C2759" s="4" t="s">
        <v>298</v>
      </c>
      <c r="D2759" s="94">
        <v>2509.0</v>
      </c>
    </row>
    <row r="2760">
      <c r="A2760" s="40">
        <f t="array" ref="A2760">IFNA(index(PlayerValues!A:A,match(IFNA(vlookup(B2760,'Special Names'!A:B,2,FALSE),B2760),PlayerValues!E:E,0)),"N/A")</f>
        <v>16584</v>
      </c>
      <c r="B2760" s="4" t="s">
        <v>569</v>
      </c>
      <c r="C2760" s="4" t="s">
        <v>283</v>
      </c>
      <c r="D2760" s="94">
        <v>2109.0</v>
      </c>
    </row>
    <row r="2761">
      <c r="A2761" s="40">
        <f t="array" ref="A2761">IFNA(index(PlayerValues!A:A,match(IFNA(vlookup(B2761,'Special Names'!A:B,2,FALSE),B2761),PlayerValues!E:E,0)),"N/A")</f>
        <v>17033</v>
      </c>
      <c r="B2761" s="4" t="s">
        <v>570</v>
      </c>
      <c r="C2761" s="4" t="s">
        <v>283</v>
      </c>
      <c r="D2761" s="94">
        <v>2104.0</v>
      </c>
    </row>
    <row r="2762">
      <c r="A2762" s="40">
        <f t="array" ref="A2762">IFNA(index(PlayerValues!A:A,match(IFNA(vlookup(B2762,'Special Names'!A:B,2,FALSE),B2762),PlayerValues!E:E,0)),"N/A")</f>
        <v>17567</v>
      </c>
      <c r="B2762" s="4" t="s">
        <v>571</v>
      </c>
      <c r="C2762" s="4" t="s">
        <v>298</v>
      </c>
      <c r="D2762" s="94">
        <v>2473.0</v>
      </c>
    </row>
    <row r="2763">
      <c r="A2763" s="40">
        <f t="array" ref="A2763">IFNA(index(PlayerValues!A:A,match(IFNA(vlookup(B2763,'Special Names'!A:B,2,FALSE),B2763),PlayerValues!E:E,0)),"N/A")</f>
        <v>17079</v>
      </c>
      <c r="B2763" s="4" t="s">
        <v>572</v>
      </c>
      <c r="C2763" s="4" t="s">
        <v>287</v>
      </c>
      <c r="D2763" s="94">
        <v>2081.0</v>
      </c>
    </row>
    <row r="2764">
      <c r="A2764" s="40" t="str">
        <f t="array" ref="A2764">IFNA(index(PlayerValues!A:A,match(IFNA(vlookup(B2764,'Special Names'!A:B,2,FALSE),B2764),PlayerValues!E:E,0)),"N/A")</f>
        <v>N/A</v>
      </c>
      <c r="B2764" s="4" t="s">
        <v>114</v>
      </c>
      <c r="C2764" s="4" t="s">
        <v>325</v>
      </c>
      <c r="D2764" s="94">
        <v>2075.0</v>
      </c>
    </row>
    <row r="2765">
      <c r="A2765" s="40">
        <f t="array" ref="A2765">IFNA(index(PlayerValues!A:A,match(IFNA(vlookup(B2765,'Special Names'!A:B,2,FALSE),B2765),PlayerValues!E:E,0)),"N/A")</f>
        <v>17521</v>
      </c>
      <c r="B2765" s="4" t="s">
        <v>573</v>
      </c>
      <c r="C2765" s="4" t="s">
        <v>287</v>
      </c>
      <c r="D2765" s="94">
        <v>2071.0</v>
      </c>
    </row>
    <row r="2766">
      <c r="A2766" s="40">
        <f t="array" ref="A2766">IFNA(index(PlayerValues!A:A,match(IFNA(vlookup(B2766,'Special Names'!A:B,2,FALSE),B2766),PlayerValues!E:E,0)),"N/A")</f>
        <v>15749</v>
      </c>
      <c r="B2766" s="4" t="s">
        <v>574</v>
      </c>
      <c r="C2766" s="4" t="s">
        <v>278</v>
      </c>
      <c r="D2766" s="94">
        <v>2068.0</v>
      </c>
    </row>
    <row r="2767">
      <c r="A2767" s="40">
        <f t="array" ref="A2767">IFNA(index(PlayerValues!A:A,match(IFNA(vlookup(B2767,'Special Names'!A:B,2,FALSE),B2767),PlayerValues!E:E,0)),"N/A")</f>
        <v>17467</v>
      </c>
      <c r="B2767" s="4" t="s">
        <v>575</v>
      </c>
      <c r="C2767" s="4" t="s">
        <v>283</v>
      </c>
      <c r="D2767" s="94">
        <v>2050.0</v>
      </c>
    </row>
    <row r="2768">
      <c r="A2768" s="40">
        <f t="array" ref="A2768">IFNA(index(PlayerValues!A:A,match(IFNA(vlookup(B2768,'Special Names'!A:B,2,FALSE),B2768),PlayerValues!E:E,0)),"N/A")</f>
        <v>17652</v>
      </c>
      <c r="B2768" s="4" t="s">
        <v>576</v>
      </c>
      <c r="C2768" s="4" t="s">
        <v>278</v>
      </c>
      <c r="D2768" s="94">
        <v>2048.0</v>
      </c>
    </row>
    <row r="2769">
      <c r="A2769" s="40">
        <f t="array" ref="A2769">IFNA(index(PlayerValues!A:A,match(IFNA(vlookup(B2769,'Special Names'!A:B,2,FALSE),B2769),PlayerValues!E:E,0)),"N/A")</f>
        <v>16778</v>
      </c>
      <c r="B2769" s="4" t="s">
        <v>577</v>
      </c>
      <c r="C2769" s="4" t="s">
        <v>287</v>
      </c>
      <c r="D2769" s="94">
        <v>2039.0</v>
      </c>
    </row>
    <row r="2770">
      <c r="A2770" s="40">
        <f t="array" ref="A2770">IFNA(index(PlayerValues!A:A,match(IFNA(vlookup(B2770,'Special Names'!A:B,2,FALSE),B2770),PlayerValues!E:E,0)),"N/A")</f>
        <v>15293</v>
      </c>
      <c r="B2770" s="4" t="s">
        <v>578</v>
      </c>
      <c r="C2770" s="4" t="s">
        <v>287</v>
      </c>
      <c r="D2770" s="94">
        <v>2029.0</v>
      </c>
    </row>
    <row r="2771">
      <c r="A2771" s="40">
        <f t="array" ref="A2771">IFNA(index(PlayerValues!A:A,match(IFNA(vlookup(B2771,'Special Names'!A:B,2,FALSE),B2771),PlayerValues!E:E,0)),"N/A")</f>
        <v>17528</v>
      </c>
      <c r="B2771" s="4" t="s">
        <v>579</v>
      </c>
      <c r="C2771" s="4" t="s">
        <v>287</v>
      </c>
      <c r="D2771" s="94">
        <v>2029.0</v>
      </c>
    </row>
    <row r="2772">
      <c r="A2772" s="40">
        <f t="array" ref="A2772">IFNA(index(PlayerValues!A:A,match(IFNA(vlookup(B2772,'Special Names'!A:B,2,FALSE),B2772),PlayerValues!E:E,0)),"N/A")</f>
        <v>17061</v>
      </c>
      <c r="B2772" s="4" t="s">
        <v>580</v>
      </c>
      <c r="C2772" s="4" t="s">
        <v>278</v>
      </c>
      <c r="D2772" s="94">
        <v>2028.0</v>
      </c>
    </row>
    <row r="2773">
      <c r="A2773" s="40">
        <f t="array" ref="A2773">IFNA(index(PlayerValues!A:A,match(IFNA(vlookup(B2773,'Special Names'!A:B,2,FALSE),B2773),PlayerValues!E:E,0)),"N/A")</f>
        <v>17056</v>
      </c>
      <c r="B2773" s="4" t="s">
        <v>581</v>
      </c>
      <c r="C2773" s="4" t="s">
        <v>278</v>
      </c>
      <c r="D2773" s="94">
        <v>2024.0</v>
      </c>
    </row>
    <row r="2774">
      <c r="A2774" s="40">
        <f t="array" ref="A2774">IFNA(index(PlayerValues!A:A,match(IFNA(vlookup(B2774,'Special Names'!A:B,2,FALSE),B2774),PlayerValues!E:E,0)),"N/A")</f>
        <v>16189</v>
      </c>
      <c r="B2774" s="4" t="s">
        <v>582</v>
      </c>
      <c r="C2774" s="4" t="s">
        <v>287</v>
      </c>
      <c r="D2774" s="94">
        <v>2022.0</v>
      </c>
    </row>
    <row r="2775">
      <c r="A2775" s="40">
        <f t="array" ref="A2775">IFNA(index(PlayerValues!A:A,match(IFNA(vlookup(B2775,'Special Names'!A:B,2,FALSE),B2775),PlayerValues!E:E,0)),"N/A")</f>
        <v>16342</v>
      </c>
      <c r="B2775" s="4" t="s">
        <v>583</v>
      </c>
      <c r="C2775" s="4" t="s">
        <v>287</v>
      </c>
      <c r="D2775" s="94">
        <v>2021.0</v>
      </c>
    </row>
    <row r="2776">
      <c r="A2776" s="40">
        <f t="array" ref="A2776">IFNA(index(PlayerValues!A:A,match(IFNA(vlookup(B2776,'Special Names'!A:B,2,FALSE),B2776),PlayerValues!E:E,0)),"N/A")</f>
        <v>14871</v>
      </c>
      <c r="B2776" s="4" t="s">
        <v>584</v>
      </c>
      <c r="C2776" s="4" t="s">
        <v>298</v>
      </c>
      <c r="D2776" s="94">
        <v>2380.0</v>
      </c>
    </row>
    <row r="2777">
      <c r="A2777" s="40">
        <f t="array" ref="A2777">IFNA(index(PlayerValues!A:A,match(IFNA(vlookup(B2777,'Special Names'!A:B,2,FALSE),B2777),PlayerValues!E:E,0)),"N/A")</f>
        <v>17076</v>
      </c>
      <c r="B2777" s="4" t="s">
        <v>585</v>
      </c>
      <c r="C2777" s="4" t="s">
        <v>287</v>
      </c>
      <c r="D2777" s="94">
        <v>1992.0</v>
      </c>
    </row>
    <row r="2778">
      <c r="A2778" s="40">
        <f t="array" ref="A2778">IFNA(index(PlayerValues!A:A,match(IFNA(vlookup(B2778,'Special Names'!A:B,2,FALSE),B2778),PlayerValues!E:E,0)),"N/A")</f>
        <v>16649</v>
      </c>
      <c r="B2778" s="4" t="s">
        <v>586</v>
      </c>
      <c r="C2778" s="4" t="s">
        <v>298</v>
      </c>
      <c r="D2778" s="94">
        <v>2376.0</v>
      </c>
    </row>
    <row r="2779">
      <c r="A2779" s="40">
        <f t="array" ref="A2779">IFNA(index(PlayerValues!A:A,match(IFNA(vlookup(B2779,'Special Names'!A:B,2,FALSE),B2779),PlayerValues!E:E,0)),"N/A")</f>
        <v>16603</v>
      </c>
      <c r="B2779" s="4" t="s">
        <v>587</v>
      </c>
      <c r="C2779" s="4" t="s">
        <v>278</v>
      </c>
      <c r="D2779" s="94">
        <v>1985.0</v>
      </c>
    </row>
    <row r="2780">
      <c r="A2780" s="40" t="str">
        <f t="array" ref="A2780">IFNA(index(PlayerValues!A:A,match(IFNA(vlookup(B2780,'Special Names'!A:B,2,FALSE),B2780),PlayerValues!E:E,0)),"N/A")</f>
        <v>N/A</v>
      </c>
      <c r="B2780" s="4" t="s">
        <v>101</v>
      </c>
      <c r="C2780" s="4" t="s">
        <v>325</v>
      </c>
      <c r="D2780" s="94">
        <v>1982.0</v>
      </c>
    </row>
    <row r="2781">
      <c r="A2781" s="40">
        <f t="array" ref="A2781">IFNA(index(PlayerValues!A:A,match(IFNA(vlookup(B2781,'Special Names'!A:B,2,FALSE),B2781),PlayerValues!E:E,0)),"N/A")</f>
        <v>17184</v>
      </c>
      <c r="B2781" s="4" t="s">
        <v>588</v>
      </c>
      <c r="C2781" s="4" t="s">
        <v>287</v>
      </c>
      <c r="D2781" s="94">
        <v>1972.0</v>
      </c>
    </row>
    <row r="2782">
      <c r="A2782" s="40">
        <f t="array" ref="A2782">IFNA(index(PlayerValues!A:A,match(IFNA(vlookup(B2782,'Special Names'!A:B,2,FALSE),B2782),PlayerValues!E:E,0)),"N/A")</f>
        <v>16201</v>
      </c>
      <c r="B2782" s="4" t="s">
        <v>589</v>
      </c>
      <c r="C2782" s="4" t="s">
        <v>287</v>
      </c>
      <c r="D2782" s="94">
        <v>1969.0</v>
      </c>
    </row>
    <row r="2783">
      <c r="A2783" s="40">
        <f t="array" ref="A2783">IFNA(index(PlayerValues!A:A,match(IFNA(vlookup(B2783,'Special Names'!A:B,2,FALSE),B2783),PlayerValues!E:E,0)),"N/A")</f>
        <v>7836</v>
      </c>
      <c r="B2783" s="4" t="s">
        <v>590</v>
      </c>
      <c r="C2783" s="4" t="s">
        <v>283</v>
      </c>
      <c r="D2783" s="94">
        <v>1951.0</v>
      </c>
    </row>
    <row r="2784">
      <c r="A2784" s="40">
        <f t="array" ref="A2784">IFNA(index(PlayerValues!A:A,match(IFNA(vlookup(B2784,'Special Names'!A:B,2,FALSE),B2784),PlayerValues!E:E,0)),"N/A")</f>
        <v>14867</v>
      </c>
      <c r="B2784" s="4" t="s">
        <v>591</v>
      </c>
      <c r="C2784" s="4" t="s">
        <v>298</v>
      </c>
      <c r="D2784" s="94">
        <v>2337.0</v>
      </c>
    </row>
    <row r="2785">
      <c r="A2785" s="40">
        <f t="array" ref="A2785">IFNA(index(PlayerValues!A:A,match(IFNA(vlookup(B2785,'Special Names'!A:B,2,FALSE),B2785),PlayerValues!E:E,0)),"N/A")</f>
        <v>16036</v>
      </c>
      <c r="B2785" s="4" t="s">
        <v>592</v>
      </c>
      <c r="C2785" s="4" t="s">
        <v>298</v>
      </c>
      <c r="D2785" s="94">
        <v>2330.0</v>
      </c>
    </row>
    <row r="2786">
      <c r="A2786" s="40">
        <f t="array" ref="A2786">IFNA(index(PlayerValues!A:A,match(IFNA(vlookup(B2786,'Special Names'!A:B,2,FALSE),B2786),PlayerValues!E:E,0)),"N/A")</f>
        <v>17519</v>
      </c>
      <c r="B2786" s="4" t="s">
        <v>593</v>
      </c>
      <c r="C2786" s="4" t="s">
        <v>287</v>
      </c>
      <c r="D2786" s="94">
        <v>1935.0</v>
      </c>
    </row>
    <row r="2787">
      <c r="A2787" s="40">
        <f t="array" ref="A2787">IFNA(index(PlayerValues!A:A,match(IFNA(vlookup(B2787,'Special Names'!A:B,2,FALSE),B2787),PlayerValues!E:E,0)),"N/A")</f>
        <v>17548</v>
      </c>
      <c r="B2787" s="4" t="s">
        <v>594</v>
      </c>
      <c r="C2787" s="4" t="s">
        <v>298</v>
      </c>
      <c r="D2787" s="94">
        <v>2314.0</v>
      </c>
    </row>
    <row r="2788">
      <c r="A2788" s="40">
        <f t="array" ref="A2788">IFNA(index(PlayerValues!A:A,match(IFNA(vlookup(B2788,'Special Names'!A:B,2,FALSE),B2788),PlayerValues!E:E,0)),"N/A")</f>
        <v>16216</v>
      </c>
      <c r="B2788" s="4" t="s">
        <v>595</v>
      </c>
      <c r="C2788" s="4" t="s">
        <v>298</v>
      </c>
      <c r="D2788" s="94">
        <v>2314.0</v>
      </c>
    </row>
    <row r="2789">
      <c r="A2789" s="40">
        <f t="array" ref="A2789">IFNA(index(PlayerValues!A:A,match(IFNA(vlookup(B2789,'Special Names'!A:B,2,FALSE),B2789),PlayerValues!E:E,0)),"N/A")</f>
        <v>10700</v>
      </c>
      <c r="B2789" s="4" t="s">
        <v>596</v>
      </c>
      <c r="C2789" s="4" t="s">
        <v>283</v>
      </c>
      <c r="D2789" s="94">
        <v>1926.0</v>
      </c>
    </row>
    <row r="2790">
      <c r="A2790" s="40">
        <f t="array" ref="A2790">IFNA(index(PlayerValues!A:A,match(IFNA(vlookup(B2790,'Special Names'!A:B,2,FALSE),B2790),PlayerValues!E:E,0)),"N/A")</f>
        <v>16752</v>
      </c>
      <c r="B2790" s="4" t="s">
        <v>597</v>
      </c>
      <c r="C2790" s="4" t="s">
        <v>278</v>
      </c>
      <c r="D2790" s="94">
        <v>1925.0</v>
      </c>
    </row>
    <row r="2791">
      <c r="A2791" s="40">
        <f t="array" ref="A2791">IFNA(index(PlayerValues!A:A,match(IFNA(vlookup(B2791,'Special Names'!A:B,2,FALSE),B2791),PlayerValues!E:E,0)),"N/A")</f>
        <v>13132</v>
      </c>
      <c r="B2791" s="4" t="s">
        <v>598</v>
      </c>
      <c r="C2791" s="4" t="s">
        <v>278</v>
      </c>
      <c r="D2791" s="94">
        <v>1920.0</v>
      </c>
    </row>
    <row r="2792">
      <c r="A2792" s="40">
        <f t="array" ref="A2792">IFNA(index(PlayerValues!A:A,match(IFNA(vlookup(B2792,'Special Names'!A:B,2,FALSE),B2792),PlayerValues!E:E,0)),"N/A")</f>
        <v>16639</v>
      </c>
      <c r="B2792" s="4" t="s">
        <v>599</v>
      </c>
      <c r="C2792" s="4" t="s">
        <v>287</v>
      </c>
      <c r="D2792" s="94">
        <v>1901.0</v>
      </c>
    </row>
    <row r="2793">
      <c r="A2793" s="40">
        <f t="array" ref="A2793">IFNA(index(PlayerValues!A:A,match(IFNA(vlookup(B2793,'Special Names'!A:B,2,FALSE),B2793),PlayerValues!E:E,0)),"N/A")</f>
        <v>17087</v>
      </c>
      <c r="B2793" s="4" t="s">
        <v>600</v>
      </c>
      <c r="C2793" s="4" t="s">
        <v>287</v>
      </c>
      <c r="D2793" s="94">
        <v>1894.0</v>
      </c>
    </row>
    <row r="2794">
      <c r="A2794" s="40">
        <f t="array" ref="A2794">IFNA(index(PlayerValues!A:A,match(IFNA(vlookup(B2794,'Special Names'!A:B,2,FALSE),B2794),PlayerValues!E:E,0)),"N/A")</f>
        <v>16152</v>
      </c>
      <c r="B2794" s="4" t="s">
        <v>601</v>
      </c>
      <c r="C2794" s="4" t="s">
        <v>283</v>
      </c>
      <c r="D2794" s="94">
        <v>1875.0</v>
      </c>
    </row>
    <row r="2795">
      <c r="A2795" s="40">
        <f t="array" ref="A2795">IFNA(index(PlayerValues!A:A,match(IFNA(vlookup(B2795,'Special Names'!A:B,2,FALSE),B2795),PlayerValues!E:E,0)),"N/A")</f>
        <v>17046</v>
      </c>
      <c r="B2795" s="4" t="s">
        <v>602</v>
      </c>
      <c r="C2795" s="4" t="s">
        <v>278</v>
      </c>
      <c r="D2795" s="94">
        <v>1868.0</v>
      </c>
    </row>
    <row r="2796">
      <c r="A2796" s="40">
        <f t="array" ref="A2796">IFNA(index(PlayerValues!A:A,match(IFNA(vlookup(B2796,'Special Names'!A:B,2,FALSE),B2796),PlayerValues!E:E,0)),"N/A")</f>
        <v>17060</v>
      </c>
      <c r="B2796" s="4" t="s">
        <v>603</v>
      </c>
      <c r="C2796" s="4" t="s">
        <v>278</v>
      </c>
      <c r="D2796" s="94">
        <v>1859.0</v>
      </c>
    </row>
    <row r="2797">
      <c r="A2797" s="40">
        <f t="array" ref="A2797">IFNA(index(PlayerValues!A:A,match(IFNA(vlookup(B2797,'Special Names'!A:B,2,FALSE),B2797),PlayerValues!E:E,0)),"N/A")</f>
        <v>17069</v>
      </c>
      <c r="B2797" s="4" t="s">
        <v>604</v>
      </c>
      <c r="C2797" s="4" t="s">
        <v>278</v>
      </c>
      <c r="D2797" s="94">
        <v>1848.0</v>
      </c>
    </row>
    <row r="2798">
      <c r="A2798" s="40">
        <f t="array" ref="A2798">IFNA(index(PlayerValues!A:A,match(IFNA(vlookup(B2798,'Special Names'!A:B,2,FALSE),B2798),PlayerValues!E:E,0)),"N/A")</f>
        <v>16629</v>
      </c>
      <c r="B2798" s="4" t="s">
        <v>605</v>
      </c>
      <c r="C2798" s="4" t="s">
        <v>287</v>
      </c>
      <c r="D2798" s="94">
        <v>1823.0</v>
      </c>
    </row>
    <row r="2799">
      <c r="A2799" s="40">
        <f t="array" ref="A2799">IFNA(index(PlayerValues!A:A,match(IFNA(vlookup(B2799,'Special Names'!A:B,2,FALSE),B2799),PlayerValues!E:E,0)),"N/A")</f>
        <v>13113</v>
      </c>
      <c r="B2799" s="4" t="s">
        <v>606</v>
      </c>
      <c r="C2799" s="4" t="s">
        <v>283</v>
      </c>
      <c r="D2799" s="94">
        <v>1822.0</v>
      </c>
    </row>
    <row r="2800">
      <c r="A2800" s="40">
        <f t="array" ref="A2800">IFNA(index(PlayerValues!A:A,match(IFNA(vlookup(B2800,'Special Names'!A:B,2,FALSE),B2800),PlayerValues!E:E,0)),"N/A")</f>
        <v>16594</v>
      </c>
      <c r="B2800" s="4" t="s">
        <v>607</v>
      </c>
      <c r="C2800" s="4" t="s">
        <v>278</v>
      </c>
      <c r="D2800" s="94">
        <v>1819.0</v>
      </c>
    </row>
    <row r="2801">
      <c r="A2801" s="40" t="str">
        <f t="array" ref="A2801">IFNA(index(PlayerValues!A:A,match(IFNA(vlookup(B2801,'Special Names'!A:B,2,FALSE),B2801),PlayerValues!E:E,0)),"N/A")</f>
        <v>N/A</v>
      </c>
      <c r="B2801" s="4" t="s">
        <v>102</v>
      </c>
      <c r="C2801" s="4" t="s">
        <v>325</v>
      </c>
      <c r="D2801" s="94">
        <v>1818.0</v>
      </c>
    </row>
    <row r="2802">
      <c r="A2802" s="40">
        <f t="array" ref="A2802">IFNA(index(PlayerValues!A:A,match(IFNA(vlookup(B2802,'Special Names'!A:B,2,FALSE),B2802),PlayerValues!E:E,0)),"N/A")</f>
        <v>17529</v>
      </c>
      <c r="B2802" s="4" t="s">
        <v>608</v>
      </c>
      <c r="C2802" s="4" t="s">
        <v>287</v>
      </c>
      <c r="D2802" s="94">
        <v>1815.0</v>
      </c>
    </row>
    <row r="2803">
      <c r="A2803" s="40">
        <f t="array" ref="A2803">IFNA(index(PlayerValues!A:A,match(IFNA(vlookup(B2803,'Special Names'!A:B,2,FALSE),B2803),PlayerValues!E:E,0)),"N/A")</f>
        <v>16643</v>
      </c>
      <c r="B2803" s="4" t="s">
        <v>609</v>
      </c>
      <c r="C2803" s="4" t="s">
        <v>298</v>
      </c>
      <c r="D2803" s="94">
        <v>2188.0</v>
      </c>
    </row>
    <row r="2804">
      <c r="A2804" s="40">
        <f t="array" ref="A2804">IFNA(index(PlayerValues!A:A,match(IFNA(vlookup(B2804,'Special Names'!A:B,2,FALSE),B2804),PlayerValues!E:E,0)),"N/A")</f>
        <v>15787</v>
      </c>
      <c r="B2804" s="4" t="s">
        <v>610</v>
      </c>
      <c r="C2804" s="4" t="s">
        <v>287</v>
      </c>
      <c r="D2804" s="94">
        <v>1803.0</v>
      </c>
    </row>
    <row r="2805">
      <c r="A2805" s="40">
        <f t="array" ref="A2805">IFNA(index(PlayerValues!A:A,match(IFNA(vlookup(B2805,'Special Names'!A:B,2,FALSE),B2805),PlayerValues!E:E,0)),"N/A")</f>
        <v>14974</v>
      </c>
      <c r="B2805" s="4" t="s">
        <v>611</v>
      </c>
      <c r="C2805" s="4" t="s">
        <v>287</v>
      </c>
      <c r="D2805" s="94">
        <v>1799.0</v>
      </c>
    </row>
    <row r="2806">
      <c r="A2806" s="40">
        <f t="array" ref="A2806">IFNA(index(PlayerValues!A:A,match(IFNA(vlookup(B2806,'Special Names'!A:B,2,FALSE),B2806),PlayerValues!E:E,0)),"N/A")</f>
        <v>17086</v>
      </c>
      <c r="B2806" s="4" t="s">
        <v>612</v>
      </c>
      <c r="C2806" s="4" t="s">
        <v>287</v>
      </c>
      <c r="D2806" s="94">
        <v>1797.0</v>
      </c>
    </row>
    <row r="2807">
      <c r="A2807" s="40">
        <f t="array" ref="A2807">IFNA(index(PlayerValues!A:A,match(IFNA(vlookup(B2807,'Special Names'!A:B,2,FALSE),B2807),PlayerValues!E:E,0)),"N/A")</f>
        <v>15238</v>
      </c>
      <c r="B2807" s="4" t="s">
        <v>613</v>
      </c>
      <c r="C2807" s="4" t="s">
        <v>283</v>
      </c>
      <c r="D2807" s="94">
        <v>1794.0</v>
      </c>
    </row>
    <row r="2808">
      <c r="A2808" s="40">
        <f t="array" ref="A2808">IFNA(index(PlayerValues!A:A,match(IFNA(vlookup(B2808,'Special Names'!A:B,2,FALSE),B2808),PlayerValues!E:E,0)),"N/A")</f>
        <v>17706</v>
      </c>
      <c r="B2808" s="4" t="s">
        <v>614</v>
      </c>
      <c r="C2808" s="4" t="s">
        <v>287</v>
      </c>
      <c r="D2808" s="94">
        <v>1783.0</v>
      </c>
    </row>
    <row r="2809">
      <c r="A2809" s="40">
        <f t="array" ref="A2809">IFNA(index(PlayerValues!A:A,match(IFNA(vlookup(B2809,'Special Names'!A:B,2,FALSE),B2809),PlayerValues!E:E,0)),"N/A")</f>
        <v>17475</v>
      </c>
      <c r="B2809" s="4" t="s">
        <v>615</v>
      </c>
      <c r="C2809" s="4" t="s">
        <v>278</v>
      </c>
      <c r="D2809" s="94">
        <v>1771.0</v>
      </c>
    </row>
    <row r="2810">
      <c r="A2810" s="40">
        <f t="array" ref="A2810">IFNA(index(PlayerValues!A:A,match(IFNA(vlookup(B2810,'Special Names'!A:B,2,FALSE),B2810),PlayerValues!E:E,0)),"N/A")</f>
        <v>17541</v>
      </c>
      <c r="B2810" s="4" t="s">
        <v>616</v>
      </c>
      <c r="C2810" s="4" t="s">
        <v>287</v>
      </c>
      <c r="D2810" s="94">
        <v>1771.0</v>
      </c>
    </row>
    <row r="2811">
      <c r="A2811" s="40" t="str">
        <f t="array" ref="A2811">IFNA(index(PlayerValues!A:A,match(IFNA(vlookup(B2811,'Special Names'!A:B,2,FALSE),B2811),PlayerValues!E:E,0)),"N/A")</f>
        <v>N/A</v>
      </c>
      <c r="B2811" s="4" t="s">
        <v>89</v>
      </c>
      <c r="C2811" s="4" t="s">
        <v>325</v>
      </c>
      <c r="D2811" s="94">
        <v>1747.0</v>
      </c>
    </row>
    <row r="2812">
      <c r="A2812" s="40">
        <f t="array" ref="A2812">IFNA(index(PlayerValues!A:A,match(IFNA(vlookup(B2812,'Special Names'!A:B,2,FALSE),B2812),PlayerValues!E:E,0)),"N/A")</f>
        <v>17036</v>
      </c>
      <c r="B2812" s="4" t="s">
        <v>617</v>
      </c>
      <c r="C2812" s="4" t="s">
        <v>283</v>
      </c>
      <c r="D2812" s="94">
        <v>1731.0</v>
      </c>
    </row>
    <row r="2813">
      <c r="A2813" s="40">
        <f t="array" ref="A2813">IFNA(index(PlayerValues!A:A,match(IFNA(vlookup(B2813,'Special Names'!A:B,2,FALSE),B2813),PlayerValues!E:E,0)),"N/A")</f>
        <v>16171</v>
      </c>
      <c r="B2813" s="4" t="s">
        <v>618</v>
      </c>
      <c r="C2813" s="4" t="s">
        <v>278</v>
      </c>
      <c r="D2813" s="94">
        <v>1727.0</v>
      </c>
    </row>
    <row r="2814">
      <c r="A2814" s="40">
        <f t="array" ref="A2814">IFNA(index(PlayerValues!A:A,match(IFNA(vlookup(B2814,'Special Names'!A:B,2,FALSE),B2814),PlayerValues!E:E,0)),"N/A")</f>
        <v>13629</v>
      </c>
      <c r="B2814" s="4" t="s">
        <v>619</v>
      </c>
      <c r="C2814" s="4" t="s">
        <v>287</v>
      </c>
      <c r="D2814" s="94">
        <v>1723.0</v>
      </c>
    </row>
    <row r="2815">
      <c r="A2815" s="40" t="str">
        <f t="array" ref="A2815">IFNA(index(PlayerValues!A:A,match(IFNA(vlookup(B2815,'Special Names'!A:B,2,FALSE),B2815),PlayerValues!E:E,0)),"N/A")</f>
        <v>N/A</v>
      </c>
      <c r="B2815" s="4" t="s">
        <v>103</v>
      </c>
      <c r="C2815" s="4" t="s">
        <v>325</v>
      </c>
      <c r="D2815" s="94">
        <v>1713.0</v>
      </c>
    </row>
    <row r="2816">
      <c r="A2816" s="40">
        <f t="array" ref="A2816">IFNA(index(PlayerValues!A:A,match(IFNA(vlookup(B2816,'Special Names'!A:B,2,FALSE),B2816),PlayerValues!E:E,0)),"N/A")</f>
        <v>16432</v>
      </c>
      <c r="B2816" s="4" t="s">
        <v>620</v>
      </c>
      <c r="C2816" s="4" t="s">
        <v>278</v>
      </c>
      <c r="D2816" s="94">
        <v>1709.0</v>
      </c>
    </row>
    <row r="2817">
      <c r="A2817" s="40">
        <f t="array" ref="A2817">IFNA(index(PlayerValues!A:A,match(IFNA(vlookup(B2817,'Special Names'!A:B,2,FALSE),B2817),PlayerValues!E:E,0)),"N/A")</f>
        <v>16788</v>
      </c>
      <c r="B2817" s="4" t="s">
        <v>621</v>
      </c>
      <c r="C2817" s="4" t="s">
        <v>287</v>
      </c>
      <c r="D2817" s="94">
        <v>1707.0</v>
      </c>
    </row>
    <row r="2818">
      <c r="A2818" s="40">
        <f t="array" ref="A2818">IFNA(index(PlayerValues!A:A,match(IFNA(vlookup(B2818,'Special Names'!A:B,2,FALSE),B2818),PlayerValues!E:E,0)),"N/A")</f>
        <v>11222</v>
      </c>
      <c r="B2818" s="4" t="s">
        <v>622</v>
      </c>
      <c r="C2818" s="4" t="s">
        <v>287</v>
      </c>
      <c r="D2818" s="94">
        <v>1702.0</v>
      </c>
    </row>
    <row r="2819">
      <c r="A2819" s="40" t="str">
        <f t="array" ref="A2819">IFNA(index(PlayerValues!A:A,match(IFNA(vlookup(B2819,'Special Names'!A:B,2,FALSE),B2819),PlayerValues!E:E,0)),"N/A")</f>
        <v>N/A</v>
      </c>
      <c r="B2819" s="4" t="s">
        <v>90</v>
      </c>
      <c r="C2819" s="4" t="s">
        <v>325</v>
      </c>
      <c r="D2819" s="94">
        <v>1699.0</v>
      </c>
    </row>
    <row r="2820">
      <c r="A2820" s="40">
        <f t="array" ref="A2820">IFNA(index(PlayerValues!A:A,match(IFNA(vlookup(B2820,'Special Names'!A:B,2,FALSE),B2820),PlayerValues!E:E,0)),"N/A")</f>
        <v>16585</v>
      </c>
      <c r="B2820" s="4" t="s">
        <v>623</v>
      </c>
      <c r="C2820" s="4" t="s">
        <v>283</v>
      </c>
      <c r="D2820" s="94">
        <v>1689.0</v>
      </c>
    </row>
    <row r="2821">
      <c r="A2821" s="40">
        <f t="array" ref="A2821">IFNA(index(PlayerValues!A:A,match(IFNA(vlookup(B2821,'Special Names'!A:B,2,FALSE),B2821),PlayerValues!E:E,0)),"N/A")</f>
        <v>17049</v>
      </c>
      <c r="B2821" s="4" t="s">
        <v>624</v>
      </c>
      <c r="C2821" s="4" t="s">
        <v>278</v>
      </c>
      <c r="D2821" s="94">
        <v>1688.0</v>
      </c>
    </row>
    <row r="2822">
      <c r="A2822" s="40">
        <f t="array" ref="A2822">IFNA(index(PlayerValues!A:A,match(IFNA(vlookup(B2822,'Special Names'!A:B,2,FALSE),B2822),PlayerValues!E:E,0)),"N/A")</f>
        <v>13633</v>
      </c>
      <c r="B2822" s="4" t="s">
        <v>625</v>
      </c>
      <c r="C2822" s="4" t="s">
        <v>287</v>
      </c>
      <c r="D2822" s="94">
        <v>1686.0</v>
      </c>
    </row>
    <row r="2823">
      <c r="A2823" s="40">
        <f t="array" ref="A2823">IFNA(index(PlayerValues!A:A,match(IFNA(vlookup(B2823,'Special Names'!A:B,2,FALSE),B2823),PlayerValues!E:E,0)),"N/A")</f>
        <v>13189</v>
      </c>
      <c r="B2823" s="4" t="s">
        <v>626</v>
      </c>
      <c r="C2823" s="4" t="s">
        <v>298</v>
      </c>
      <c r="D2823" s="94">
        <v>2050.0</v>
      </c>
    </row>
    <row r="2824">
      <c r="A2824" s="40">
        <f t="array" ref="A2824">IFNA(index(PlayerValues!A:A,match(IFNA(vlookup(B2824,'Special Names'!A:B,2,FALSE),B2824),PlayerValues!E:E,0)),"N/A")</f>
        <v>15788</v>
      </c>
      <c r="B2824" s="4" t="s">
        <v>627</v>
      </c>
      <c r="C2824" s="4" t="s">
        <v>287</v>
      </c>
      <c r="D2824" s="94">
        <v>1663.0</v>
      </c>
    </row>
    <row r="2825">
      <c r="A2825" s="40">
        <f t="array" ref="A2825">IFNA(index(PlayerValues!A:A,match(IFNA(vlookup(B2825,'Special Names'!A:B,2,FALSE),B2825),PlayerValues!E:E,0)),"N/A")</f>
        <v>15755</v>
      </c>
      <c r="B2825" s="4" t="s">
        <v>628</v>
      </c>
      <c r="C2825" s="4" t="s">
        <v>287</v>
      </c>
      <c r="D2825" s="94">
        <v>1660.0</v>
      </c>
    </row>
    <row r="2826">
      <c r="A2826" s="40">
        <f t="array" ref="A2826">IFNA(index(PlayerValues!A:A,match(IFNA(vlookup(B2826,'Special Names'!A:B,2,FALSE),B2826),PlayerValues!E:E,0)),"N/A")</f>
        <v>16608</v>
      </c>
      <c r="B2826" s="4" t="s">
        <v>629</v>
      </c>
      <c r="C2826" s="4" t="s">
        <v>278</v>
      </c>
      <c r="D2826" s="94">
        <v>1643.0</v>
      </c>
    </row>
    <row r="2827">
      <c r="A2827" s="40">
        <f t="array" ref="A2827">IFNA(index(PlayerValues!A:A,match(IFNA(vlookup(B2827,'Special Names'!A:B,2,FALSE),B2827),PlayerValues!E:E,0)),"N/A")</f>
        <v>17685</v>
      </c>
      <c r="B2827" s="4" t="s">
        <v>630</v>
      </c>
      <c r="C2827" s="4" t="s">
        <v>278</v>
      </c>
      <c r="D2827" s="94">
        <v>1633.0</v>
      </c>
    </row>
    <row r="2828">
      <c r="A2828" s="40">
        <f t="array" ref="A2828">IFNA(index(PlayerValues!A:A,match(IFNA(vlookup(B2828,'Special Names'!A:B,2,FALSE),B2828),PlayerValues!E:E,0)),"N/A")</f>
        <v>17064</v>
      </c>
      <c r="B2828" s="4" t="s">
        <v>631</v>
      </c>
      <c r="C2828" s="4" t="s">
        <v>278</v>
      </c>
      <c r="D2828" s="94">
        <v>1622.0</v>
      </c>
    </row>
    <row r="2829">
      <c r="A2829" s="40">
        <f t="array" ref="A2829">IFNA(index(PlayerValues!A:A,match(IFNA(vlookup(B2829,'Special Names'!A:B,2,FALSE),B2829),PlayerValues!E:E,0)),"N/A")</f>
        <v>13164</v>
      </c>
      <c r="B2829" s="4" t="s">
        <v>632</v>
      </c>
      <c r="C2829" s="4" t="s">
        <v>287</v>
      </c>
      <c r="D2829" s="94">
        <v>1617.0</v>
      </c>
    </row>
    <row r="2830">
      <c r="A2830" s="40">
        <f t="array" ref="A2830">IFNA(index(PlayerValues!A:A,match(IFNA(vlookup(B2830,'Special Names'!A:B,2,FALSE),B2830),PlayerValues!E:E,0)),"N/A")</f>
        <v>15254</v>
      </c>
      <c r="B2830" s="4" t="s">
        <v>633</v>
      </c>
      <c r="C2830" s="4" t="s">
        <v>278</v>
      </c>
      <c r="D2830" s="94">
        <v>1613.0</v>
      </c>
    </row>
    <row r="2831">
      <c r="A2831" s="40" t="str">
        <f t="array" ref="A2831">IFNA(index(PlayerValues!A:A,match(IFNA(vlookup(B2831,'Special Names'!A:B,2,FALSE),B2831),PlayerValues!E:E,0)),"N/A")</f>
        <v>N/A</v>
      </c>
      <c r="B2831" s="4" t="s">
        <v>115</v>
      </c>
      <c r="C2831" s="4" t="s">
        <v>325</v>
      </c>
      <c r="D2831" s="94">
        <v>1613.0</v>
      </c>
    </row>
    <row r="2832">
      <c r="A2832" s="40">
        <f t="array" ref="A2832">IFNA(index(PlayerValues!A:A,match(IFNA(vlookup(B2832,'Special Names'!A:B,2,FALSE),B2832),PlayerValues!E:E,0)),"N/A")</f>
        <v>15738</v>
      </c>
      <c r="B2832" s="4" t="s">
        <v>634</v>
      </c>
      <c r="C2832" s="4" t="s">
        <v>278</v>
      </c>
      <c r="D2832" s="94">
        <v>1609.0</v>
      </c>
    </row>
    <row r="2833">
      <c r="A2833" s="40">
        <f t="array" ref="A2833">IFNA(index(PlayerValues!A:A,match(IFNA(vlookup(B2833,'Special Names'!A:B,2,FALSE),B2833),PlayerValues!E:E,0)),"N/A")</f>
        <v>14143</v>
      </c>
      <c r="B2833" s="4" t="s">
        <v>635</v>
      </c>
      <c r="C2833" s="4" t="s">
        <v>298</v>
      </c>
      <c r="D2833" s="94">
        <v>1980.0</v>
      </c>
    </row>
    <row r="2834">
      <c r="A2834" s="40">
        <f t="array" ref="A2834">IFNA(index(PlayerValues!A:A,match(IFNA(vlookup(B2834,'Special Names'!A:B,2,FALSE),B2834),PlayerValues!E:E,0)),"N/A")</f>
        <v>16207</v>
      </c>
      <c r="B2834" s="4" t="s">
        <v>636</v>
      </c>
      <c r="C2834" s="4" t="s">
        <v>287</v>
      </c>
      <c r="D2834" s="94">
        <v>1596.0</v>
      </c>
    </row>
    <row r="2835">
      <c r="A2835" s="40">
        <f t="array" ref="A2835">IFNA(index(PlayerValues!A:A,match(IFNA(vlookup(B2835,'Special Names'!A:B,2,FALSE),B2835),PlayerValues!E:E,0)),"N/A")</f>
        <v>16215</v>
      </c>
      <c r="B2835" s="4" t="s">
        <v>637</v>
      </c>
      <c r="C2835" s="4" t="s">
        <v>298</v>
      </c>
      <c r="D2835" s="94">
        <v>1969.0</v>
      </c>
    </row>
    <row r="2836">
      <c r="A2836" s="40">
        <f t="array" ref="A2836">IFNA(index(PlayerValues!A:A,match(IFNA(vlookup(B2836,'Special Names'!A:B,2,FALSE),B2836),PlayerValues!E:E,0)),"N/A")</f>
        <v>17096</v>
      </c>
      <c r="B2836" s="4" t="s">
        <v>638</v>
      </c>
      <c r="C2836" s="4" t="s">
        <v>287</v>
      </c>
      <c r="D2836" s="94">
        <v>1591.0</v>
      </c>
    </row>
    <row r="2837">
      <c r="A2837" s="40">
        <f t="array" ref="A2837">IFNA(index(PlayerValues!A:A,match(IFNA(vlookup(B2837,'Special Names'!A:B,2,FALSE),B2837),PlayerValues!E:E,0)),"N/A")</f>
        <v>14086</v>
      </c>
      <c r="B2837" s="4" t="s">
        <v>639</v>
      </c>
      <c r="C2837" s="4" t="s">
        <v>278</v>
      </c>
      <c r="D2837" s="94">
        <v>1557.0</v>
      </c>
    </row>
    <row r="2838">
      <c r="A2838" s="40">
        <f t="array" ref="A2838">IFNA(index(PlayerValues!A:A,match(IFNA(vlookup(B2838,'Special Names'!A:B,2,FALSE),B2838),PlayerValues!E:E,0)),"N/A")</f>
        <v>16644</v>
      </c>
      <c r="B2838" s="4" t="s">
        <v>640</v>
      </c>
      <c r="C2838" s="4" t="s">
        <v>298</v>
      </c>
      <c r="D2838" s="94">
        <v>1915.0</v>
      </c>
    </row>
    <row r="2839">
      <c r="A2839" s="40">
        <f t="array" ref="A2839">IFNA(index(PlayerValues!A:A,match(IFNA(vlookup(B2839,'Special Names'!A:B,2,FALSE),B2839),PlayerValues!E:E,0)),"N/A")</f>
        <v>17058</v>
      </c>
      <c r="B2839" s="4" t="s">
        <v>641</v>
      </c>
      <c r="C2839" s="4" t="s">
        <v>278</v>
      </c>
      <c r="D2839" s="94">
        <v>1525.0</v>
      </c>
    </row>
    <row r="2840">
      <c r="A2840" s="40" t="str">
        <f t="array" ref="A2840">IFNA(index(PlayerValues!A:A,match(IFNA(vlookup(B2840,'Special Names'!A:B,2,FALSE),B2840),PlayerValues!E:E,0)),"N/A")</f>
        <v>N/A</v>
      </c>
      <c r="B2840" s="4" t="s">
        <v>116</v>
      </c>
      <c r="C2840" s="4" t="s">
        <v>325</v>
      </c>
      <c r="D2840" s="94">
        <v>1523.0</v>
      </c>
    </row>
    <row r="2841">
      <c r="A2841" s="40">
        <f t="array" ref="A2841">IFNA(index(PlayerValues!A:A,match(IFNA(vlookup(B2841,'Special Names'!A:B,2,FALSE),B2841),PlayerValues!E:E,0)),"N/A")</f>
        <v>17657</v>
      </c>
      <c r="B2841" s="4" t="s">
        <v>642</v>
      </c>
      <c r="C2841" s="4" t="s">
        <v>283</v>
      </c>
      <c r="D2841" s="94">
        <v>1523.0</v>
      </c>
    </row>
    <row r="2842">
      <c r="A2842" s="40">
        <f t="array" ref="A2842">IFNA(index(PlayerValues!A:A,match(IFNA(vlookup(B2842,'Special Names'!A:B,2,FALSE),B2842),PlayerValues!E:E,0)),"N/A")</f>
        <v>17034</v>
      </c>
      <c r="B2842" s="4" t="s">
        <v>643</v>
      </c>
      <c r="C2842" s="4" t="s">
        <v>283</v>
      </c>
      <c r="D2842" s="94">
        <v>1520.0</v>
      </c>
    </row>
    <row r="2843">
      <c r="A2843" s="40">
        <f t="array" ref="A2843">IFNA(index(PlayerValues!A:A,match(IFNA(vlookup(B2843,'Special Names'!A:B,2,FALSE),B2843),PlayerValues!E:E,0)),"N/A")</f>
        <v>15319</v>
      </c>
      <c r="B2843" s="4" t="s">
        <v>644</v>
      </c>
      <c r="C2843" s="4" t="s">
        <v>287</v>
      </c>
      <c r="D2843" s="94">
        <v>1519.0</v>
      </c>
    </row>
    <row r="2844">
      <c r="A2844" s="40" t="str">
        <f t="array" ref="A2844">IFNA(index(PlayerValues!A:A,match(IFNA(vlookup(B2844,'Special Names'!A:B,2,FALSE),B2844),PlayerValues!E:E,0)),"N/A")</f>
        <v>N/A</v>
      </c>
      <c r="B2844" s="4" t="s">
        <v>91</v>
      </c>
      <c r="C2844" s="4" t="s">
        <v>325</v>
      </c>
      <c r="D2844" s="94">
        <v>1514.0</v>
      </c>
    </row>
    <row r="2845">
      <c r="A2845" s="40">
        <f t="array" ref="A2845">IFNA(index(PlayerValues!A:A,match(IFNA(vlookup(B2845,'Special Names'!A:B,2,FALSE),B2845),PlayerValues!E:E,0)),"N/A")</f>
        <v>16635</v>
      </c>
      <c r="B2845" s="4" t="s">
        <v>645</v>
      </c>
      <c r="C2845" s="4" t="s">
        <v>287</v>
      </c>
      <c r="D2845" s="94">
        <v>1503.0</v>
      </c>
    </row>
    <row r="2846">
      <c r="A2846" s="40">
        <f t="array" ref="A2846">IFNA(index(PlayerValues!A:A,match(IFNA(vlookup(B2846,'Special Names'!A:B,2,FALSE),B2846),PlayerValues!E:E,0)),"N/A")</f>
        <v>16387</v>
      </c>
      <c r="B2846" s="4" t="s">
        <v>646</v>
      </c>
      <c r="C2846" s="4" t="s">
        <v>278</v>
      </c>
      <c r="D2846" s="94">
        <v>1500.0</v>
      </c>
    </row>
    <row r="2847">
      <c r="A2847" s="40">
        <f t="array" ref="A2847">IFNA(index(PlayerValues!A:A,match(IFNA(vlookup(B2847,'Special Names'!A:B,2,FALSE),B2847),PlayerValues!E:E,0)),"N/A")</f>
        <v>15752</v>
      </c>
      <c r="B2847" s="4" t="s">
        <v>647</v>
      </c>
      <c r="C2847" s="4" t="s">
        <v>287</v>
      </c>
      <c r="D2847" s="94">
        <v>1489.0</v>
      </c>
    </row>
    <row r="2848">
      <c r="A2848" s="40">
        <f t="array" ref="A2848">IFNA(index(PlayerValues!A:A,match(IFNA(vlookup(B2848,'Special Names'!A:B,2,FALSE),B2848),PlayerValues!E:E,0)),"N/A")</f>
        <v>16601</v>
      </c>
      <c r="B2848" s="4" t="s">
        <v>648</v>
      </c>
      <c r="C2848" s="4" t="s">
        <v>278</v>
      </c>
      <c r="D2848" s="94">
        <v>1476.0</v>
      </c>
    </row>
    <row r="2849">
      <c r="A2849" s="40">
        <f t="array" ref="A2849">IFNA(index(PlayerValues!A:A,match(IFNA(vlookup(B2849,'Special Names'!A:B,2,FALSE),B2849),PlayerValues!E:E,0)),"N/A")</f>
        <v>17465</v>
      </c>
      <c r="B2849" s="4" t="s">
        <v>649</v>
      </c>
      <c r="C2849" s="4" t="s">
        <v>283</v>
      </c>
      <c r="D2849" s="94">
        <v>1473.0</v>
      </c>
    </row>
    <row r="2850">
      <c r="A2850" s="40">
        <f t="array" ref="A2850">IFNA(index(PlayerValues!A:A,match(IFNA(vlookup(B2850,'Special Names'!A:B,2,FALSE),B2850),PlayerValues!E:E,0)),"N/A")</f>
        <v>17035</v>
      </c>
      <c r="B2850" s="4" t="s">
        <v>650</v>
      </c>
      <c r="C2850" s="4" t="s">
        <v>283</v>
      </c>
      <c r="D2850" s="94">
        <v>1462.0</v>
      </c>
    </row>
    <row r="2851">
      <c r="A2851" s="40">
        <f t="array" ref="A2851">IFNA(index(PlayerValues!A:A,match(IFNA(vlookup(B2851,'Special Names'!A:B,2,FALSE),B2851),PlayerValues!E:E,0)),"N/A")</f>
        <v>16645</v>
      </c>
      <c r="B2851" s="4" t="s">
        <v>651</v>
      </c>
      <c r="C2851" s="4" t="s">
        <v>298</v>
      </c>
      <c r="D2851" s="94">
        <v>1833.0</v>
      </c>
    </row>
    <row r="2852">
      <c r="A2852" s="40">
        <f t="array" ref="A2852">IFNA(index(PlayerValues!A:A,match(IFNA(vlookup(B2852,'Special Names'!A:B,2,FALSE),B2852),PlayerValues!E:E,0)),"N/A")</f>
        <v>13146</v>
      </c>
      <c r="B2852" s="4" t="s">
        <v>652</v>
      </c>
      <c r="C2852" s="4" t="s">
        <v>278</v>
      </c>
      <c r="D2852" s="94">
        <v>1460.0</v>
      </c>
    </row>
    <row r="2853">
      <c r="A2853" s="40">
        <f t="array" ref="A2853">IFNA(index(PlayerValues!A:A,match(IFNA(vlookup(B2853,'Special Names'!A:B,2,FALSE),B2853),PlayerValues!E:E,0)),"N/A")</f>
        <v>17234</v>
      </c>
      <c r="B2853" s="4" t="s">
        <v>653</v>
      </c>
      <c r="C2853" s="4" t="s">
        <v>287</v>
      </c>
      <c r="D2853" s="94">
        <v>1450.0</v>
      </c>
    </row>
    <row r="2854">
      <c r="A2854" s="40">
        <f t="array" ref="A2854">IFNA(index(PlayerValues!A:A,match(IFNA(vlookup(B2854,'Special Names'!A:B,2,FALSE),B2854),PlayerValues!E:E,0)),"N/A")</f>
        <v>16175</v>
      </c>
      <c r="B2854" s="4" t="s">
        <v>654</v>
      </c>
      <c r="C2854" s="4" t="s">
        <v>278</v>
      </c>
      <c r="D2854" s="94">
        <v>1447.0</v>
      </c>
    </row>
    <row r="2855">
      <c r="A2855" s="40">
        <f t="array" ref="A2855">IFNA(index(PlayerValues!A:A,match(IFNA(vlookup(B2855,'Special Names'!A:B,2,FALSE),B2855),PlayerValues!E:E,0)),"N/A")</f>
        <v>15337</v>
      </c>
      <c r="B2855" s="4" t="s">
        <v>655</v>
      </c>
      <c r="C2855" s="4" t="s">
        <v>298</v>
      </c>
      <c r="D2855" s="94">
        <v>1800.0</v>
      </c>
    </row>
    <row r="2856">
      <c r="A2856" s="40">
        <f t="array" ref="A2856">IFNA(index(PlayerValues!A:A,match(IFNA(vlookup(B2856,'Special Names'!A:B,2,FALSE),B2856),PlayerValues!E:E,0)),"N/A")</f>
        <v>16633</v>
      </c>
      <c r="B2856" s="4" t="s">
        <v>656</v>
      </c>
      <c r="C2856" s="4" t="s">
        <v>287</v>
      </c>
      <c r="D2856" s="94">
        <v>1430.0</v>
      </c>
    </row>
    <row r="2857">
      <c r="A2857" s="40">
        <f t="array" ref="A2857">IFNA(index(PlayerValues!A:A,match(IFNA(vlookup(B2857,'Special Names'!A:B,2,FALSE),B2857),PlayerValues!E:E,0)),"N/A")</f>
        <v>15301</v>
      </c>
      <c r="B2857" s="4" t="s">
        <v>657</v>
      </c>
      <c r="C2857" s="4" t="s">
        <v>287</v>
      </c>
      <c r="D2857" s="94">
        <v>1412.0</v>
      </c>
    </row>
    <row r="2858">
      <c r="A2858" s="40">
        <f t="array" ref="A2858">IFNA(index(PlayerValues!A:A,match(IFNA(vlookup(B2858,'Special Names'!A:B,2,FALSE),B2858),PlayerValues!E:E,0)),"N/A")</f>
        <v>16586</v>
      </c>
      <c r="B2858" s="4" t="s">
        <v>658</v>
      </c>
      <c r="C2858" s="4" t="s">
        <v>283</v>
      </c>
      <c r="D2858" s="94">
        <v>1401.0</v>
      </c>
    </row>
    <row r="2859">
      <c r="A2859" s="40">
        <f t="array" ref="A2859">IFNA(index(PlayerValues!A:A,match(IFNA(vlookup(B2859,'Special Names'!A:B,2,FALSE),B2859),PlayerValues!E:E,0)),"N/A")</f>
        <v>17097</v>
      </c>
      <c r="B2859" s="4" t="s">
        <v>659</v>
      </c>
      <c r="C2859" s="4" t="s">
        <v>287</v>
      </c>
      <c r="D2859" s="94">
        <v>1401.0</v>
      </c>
    </row>
    <row r="2860">
      <c r="A2860" s="40">
        <f t="array" ref="A2860">IFNA(index(PlayerValues!A:A,match(IFNA(vlookup(B2860,'Special Names'!A:B,2,FALSE),B2860),PlayerValues!E:E,0)),"N/A")</f>
        <v>17743</v>
      </c>
      <c r="B2860" s="4" t="s">
        <v>660</v>
      </c>
      <c r="C2860" s="4" t="s">
        <v>283</v>
      </c>
      <c r="D2860" s="94">
        <v>1398.0</v>
      </c>
    </row>
    <row r="2861">
      <c r="A2861" s="40">
        <f t="array" ref="A2861">IFNA(index(PlayerValues!A:A,match(IFNA(vlookup(B2861,'Special Names'!A:B,2,FALSE),B2861),PlayerValues!E:E,0)),"N/A")</f>
        <v>17510</v>
      </c>
      <c r="B2861" s="4" t="s">
        <v>661</v>
      </c>
      <c r="C2861" s="4" t="s">
        <v>287</v>
      </c>
      <c r="D2861" s="94">
        <v>1395.0</v>
      </c>
    </row>
    <row r="2862">
      <c r="A2862" s="40">
        <f t="array" ref="A2862">IFNA(index(PlayerValues!A:A,match(IFNA(vlookup(B2862,'Special Names'!A:B,2,FALSE),B2862),PlayerValues!E:E,0)),"N/A")</f>
        <v>15759</v>
      </c>
      <c r="B2862" s="4" t="s">
        <v>662</v>
      </c>
      <c r="C2862" s="4" t="s">
        <v>287</v>
      </c>
      <c r="D2862" s="94">
        <v>1389.0</v>
      </c>
    </row>
    <row r="2863">
      <c r="A2863" s="40">
        <f t="array" ref="A2863">IFNA(index(PlayerValues!A:A,match(IFNA(vlookup(B2863,'Special Names'!A:B,2,FALSE),B2863),PlayerValues!E:E,0)),"N/A")</f>
        <v>14122</v>
      </c>
      <c r="B2863" s="4" t="s">
        <v>663</v>
      </c>
      <c r="C2863" s="4" t="s">
        <v>287</v>
      </c>
      <c r="D2863" s="94">
        <v>1384.0</v>
      </c>
    </row>
    <row r="2864">
      <c r="A2864" s="40">
        <f t="array" ref="A2864">IFNA(index(PlayerValues!A:A,match(IFNA(vlookup(B2864,'Special Names'!A:B,2,FALSE),B2864),PlayerValues!E:E,0)),"N/A")</f>
        <v>16595</v>
      </c>
      <c r="B2864" s="4" t="s">
        <v>664</v>
      </c>
      <c r="C2864" s="4" t="s">
        <v>278</v>
      </c>
      <c r="D2864" s="94">
        <v>1383.0</v>
      </c>
    </row>
    <row r="2865">
      <c r="A2865" s="40">
        <f t="array" ref="A2865">IFNA(index(PlayerValues!A:A,match(IFNA(vlookup(B2865,'Special Names'!A:B,2,FALSE),B2865),PlayerValues!E:E,0)),"N/A")</f>
        <v>17205</v>
      </c>
      <c r="B2865" s="4" t="s">
        <v>665</v>
      </c>
      <c r="C2865" s="4" t="s">
        <v>287</v>
      </c>
      <c r="D2865" s="94">
        <v>1380.0</v>
      </c>
    </row>
    <row r="2866">
      <c r="A2866" s="40" t="str">
        <f t="array" ref="A2866">IFNA(index(PlayerValues!A:A,match(IFNA(vlookup(B2866,'Special Names'!A:B,2,FALSE),B2866),PlayerValues!E:E,0)),"N/A")</f>
        <v>N/A</v>
      </c>
      <c r="B2866" s="4" t="s">
        <v>117</v>
      </c>
      <c r="C2866" s="4" t="s">
        <v>325</v>
      </c>
      <c r="D2866" s="94">
        <v>1376.0</v>
      </c>
    </row>
    <row r="2867">
      <c r="A2867" s="40">
        <f t="array" ref="A2867">IFNA(index(PlayerValues!A:A,match(IFNA(vlookup(B2867,'Special Names'!A:B,2,FALSE),B2867),PlayerValues!E:E,0)),"N/A")</f>
        <v>16191</v>
      </c>
      <c r="B2867" s="4" t="s">
        <v>666</v>
      </c>
      <c r="C2867" s="4" t="s">
        <v>287</v>
      </c>
      <c r="D2867" s="94">
        <v>1355.0</v>
      </c>
    </row>
    <row r="2868">
      <c r="A2868" s="40">
        <f t="array" ref="A2868">IFNA(index(PlayerValues!A:A,match(IFNA(vlookup(B2868,'Special Names'!A:B,2,FALSE),B2868),PlayerValues!E:E,0)),"N/A")</f>
        <v>13672</v>
      </c>
      <c r="B2868" s="4" t="s">
        <v>667</v>
      </c>
      <c r="C2868" s="4" t="s">
        <v>298</v>
      </c>
      <c r="D2868" s="94">
        <v>1709.0</v>
      </c>
    </row>
    <row r="2869">
      <c r="A2869" s="40">
        <f t="array" ref="A2869">IFNA(index(PlayerValues!A:A,match(IFNA(vlookup(B2869,'Special Names'!A:B,2,FALSE),B2869),PlayerValues!E:E,0)),"N/A")</f>
        <v>17353</v>
      </c>
      <c r="B2869" s="4" t="s">
        <v>668</v>
      </c>
      <c r="C2869" s="4" t="s">
        <v>287</v>
      </c>
      <c r="D2869" s="94">
        <v>1341.0</v>
      </c>
    </row>
    <row r="2870">
      <c r="A2870" s="40">
        <f t="array" ref="A2870">IFNA(index(PlayerValues!A:A,match(IFNA(vlookup(B2870,'Special Names'!A:B,2,FALSE),B2870),PlayerValues!E:E,0)),"N/A")</f>
        <v>15795</v>
      </c>
      <c r="B2870" s="4" t="s">
        <v>669</v>
      </c>
      <c r="C2870" s="4" t="s">
        <v>298</v>
      </c>
      <c r="D2870" s="94">
        <v>1698.0</v>
      </c>
    </row>
    <row r="2871">
      <c r="A2871" s="40">
        <f t="array" ref="A2871">IFNA(index(PlayerValues!A:A,match(IFNA(vlookup(B2871,'Special Names'!A:B,2,FALSE),B2871),PlayerValues!E:E,0)),"N/A")</f>
        <v>17054</v>
      </c>
      <c r="B2871" s="4" t="s">
        <v>670</v>
      </c>
      <c r="C2871" s="4" t="s">
        <v>278</v>
      </c>
      <c r="D2871" s="94">
        <v>1323.0</v>
      </c>
    </row>
    <row r="2872">
      <c r="A2872" s="40">
        <f t="array" ref="A2872">IFNA(index(PlayerValues!A:A,match(IFNA(vlookup(B2872,'Special Names'!A:B,2,FALSE),B2872),PlayerValues!E:E,0)),"N/A")</f>
        <v>17546</v>
      </c>
      <c r="B2872" s="4" t="s">
        <v>671</v>
      </c>
      <c r="C2872" s="4" t="s">
        <v>298</v>
      </c>
      <c r="D2872" s="94">
        <v>1669.0</v>
      </c>
    </row>
    <row r="2873">
      <c r="A2873" s="40">
        <f t="array" ref="A2873">IFNA(index(PlayerValues!A:A,match(IFNA(vlookup(B2873,'Special Names'!A:B,2,FALSE),B2873),PlayerValues!E:E,0)),"N/A")</f>
        <v>16621</v>
      </c>
      <c r="B2873" s="4" t="s">
        <v>672</v>
      </c>
      <c r="C2873" s="4" t="s">
        <v>287</v>
      </c>
      <c r="D2873" s="94">
        <v>1294.0</v>
      </c>
    </row>
    <row r="2874">
      <c r="A2874" s="40">
        <f t="array" ref="A2874">IFNA(index(PlayerValues!A:A,match(IFNA(vlookup(B2874,'Special Names'!A:B,2,FALSE),B2874),PlayerValues!E:E,0)),"N/A")</f>
        <v>14108</v>
      </c>
      <c r="B2874" s="4" t="s">
        <v>673</v>
      </c>
      <c r="C2874" s="4" t="s">
        <v>287</v>
      </c>
      <c r="D2874" s="94">
        <v>1289.0</v>
      </c>
    </row>
    <row r="2875">
      <c r="A2875" s="40">
        <f t="array" ref="A2875">IFNA(index(PlayerValues!A:A,match(IFNA(vlookup(B2875,'Special Names'!A:B,2,FALSE),B2875),PlayerValues!E:E,0)),"N/A")</f>
        <v>17593</v>
      </c>
      <c r="B2875" s="4" t="s">
        <v>674</v>
      </c>
      <c r="C2875" s="4" t="s">
        <v>298</v>
      </c>
      <c r="D2875" s="94">
        <v>1654.0</v>
      </c>
    </row>
    <row r="2876">
      <c r="A2876" s="40">
        <f t="array" ref="A2876">IFNA(index(PlayerValues!A:A,match(IFNA(vlookup(B2876,'Special Names'!A:B,2,FALSE),B2876),PlayerValues!E:E,0)),"N/A")</f>
        <v>14105</v>
      </c>
      <c r="B2876" s="4" t="s">
        <v>675</v>
      </c>
      <c r="C2876" s="4" t="s">
        <v>287</v>
      </c>
      <c r="D2876" s="94">
        <v>1283.0</v>
      </c>
    </row>
    <row r="2877">
      <c r="A2877" s="40">
        <f t="array" ref="A2877">IFNA(index(PlayerValues!A:A,match(IFNA(vlookup(B2877,'Special Names'!A:B,2,FALSE),B2877),PlayerValues!E:E,0)),"N/A")</f>
        <v>14137</v>
      </c>
      <c r="B2877" s="4" t="s">
        <v>676</v>
      </c>
      <c r="C2877" s="4" t="s">
        <v>298</v>
      </c>
      <c r="D2877" s="94">
        <v>1639.0</v>
      </c>
    </row>
    <row r="2878">
      <c r="A2878" s="40">
        <f t="array" ref="A2878">IFNA(index(PlayerValues!A:A,match(IFNA(vlookup(B2878,'Special Names'!A:B,2,FALSE),B2878),PlayerValues!E:E,0)),"N/A")</f>
        <v>17192</v>
      </c>
      <c r="B2878" s="4" t="s">
        <v>677</v>
      </c>
      <c r="C2878" s="4" t="s">
        <v>287</v>
      </c>
      <c r="D2878" s="94">
        <v>1273.0</v>
      </c>
    </row>
    <row r="2879">
      <c r="A2879" s="40">
        <f t="array" ref="A2879">IFNA(index(PlayerValues!A:A,match(IFNA(vlookup(B2879,'Special Names'!A:B,2,FALSE),B2879),PlayerValues!E:E,0)),"N/A")</f>
        <v>16183</v>
      </c>
      <c r="B2879" s="4" t="s">
        <v>678</v>
      </c>
      <c r="C2879" s="4" t="s">
        <v>287</v>
      </c>
      <c r="D2879" s="94">
        <v>1268.0</v>
      </c>
    </row>
    <row r="2880">
      <c r="A2880" s="40">
        <f t="array" ref="A2880">IFNA(index(PlayerValues!A:A,match(IFNA(vlookup(B2880,'Special Names'!A:B,2,FALSE),B2880),PlayerValues!E:E,0)),"N/A")</f>
        <v>17254</v>
      </c>
      <c r="B2880" s="4" t="s">
        <v>679</v>
      </c>
      <c r="C2880" s="4" t="s">
        <v>287</v>
      </c>
      <c r="D2880" s="94">
        <v>1268.0</v>
      </c>
    </row>
    <row r="2881">
      <c r="A2881" s="40">
        <f t="array" ref="A2881">IFNA(index(PlayerValues!A:A,match(IFNA(vlookup(B2881,'Special Names'!A:B,2,FALSE),B2881),PlayerValues!E:E,0)),"N/A")</f>
        <v>14095</v>
      </c>
      <c r="B2881" s="4" t="s">
        <v>680</v>
      </c>
      <c r="C2881" s="4" t="s">
        <v>278</v>
      </c>
      <c r="D2881" s="94">
        <v>1267.0</v>
      </c>
    </row>
    <row r="2882">
      <c r="A2882" s="40">
        <f t="array" ref="A2882">IFNA(index(PlayerValues!A:A,match(IFNA(vlookup(B2882,'Special Names'!A:B,2,FALSE),B2882),PlayerValues!E:E,0)),"N/A")</f>
        <v>15873</v>
      </c>
      <c r="B2882" s="4" t="s">
        <v>681</v>
      </c>
      <c r="C2882" s="4" t="s">
        <v>298</v>
      </c>
      <c r="D2882" s="94">
        <v>1635.0</v>
      </c>
    </row>
    <row r="2883">
      <c r="A2883" s="40">
        <f t="array" ref="A2883">IFNA(index(PlayerValues!A:A,match(IFNA(vlookup(B2883,'Special Names'!A:B,2,FALSE),B2883),PlayerValues!E:E,0)),"N/A")</f>
        <v>15292</v>
      </c>
      <c r="B2883" s="4" t="s">
        <v>682</v>
      </c>
      <c r="C2883" s="4" t="s">
        <v>287</v>
      </c>
      <c r="D2883" s="94">
        <v>1261.0</v>
      </c>
    </row>
    <row r="2884">
      <c r="A2884" s="40">
        <f t="array" ref="A2884">IFNA(index(PlayerValues!A:A,match(IFNA(vlookup(B2884,'Special Names'!A:B,2,FALSE),B2884),PlayerValues!E:E,0)),"N/A")</f>
        <v>16883</v>
      </c>
      <c r="B2884" s="4" t="s">
        <v>683</v>
      </c>
      <c r="C2884" s="4" t="s">
        <v>287</v>
      </c>
      <c r="D2884" s="94">
        <v>1259.0</v>
      </c>
    </row>
    <row r="2885">
      <c r="A2885" s="40">
        <f t="array" ref="A2885">IFNA(index(PlayerValues!A:A,match(IFNA(vlookup(B2885,'Special Names'!A:B,2,FALSE),B2885),PlayerValues!E:E,0)),"N/A")</f>
        <v>17627</v>
      </c>
      <c r="B2885" s="4" t="s">
        <v>684</v>
      </c>
      <c r="C2885" s="4" t="s">
        <v>298</v>
      </c>
      <c r="D2885" s="94">
        <v>1618.0</v>
      </c>
    </row>
    <row r="2886">
      <c r="A2886" s="40">
        <f t="array" ref="A2886">IFNA(index(PlayerValues!A:A,match(IFNA(vlookup(B2886,'Special Names'!A:B,2,FALSE),B2886),PlayerValues!E:E,0)),"N/A")</f>
        <v>17542</v>
      </c>
      <c r="B2886" s="4" t="s">
        <v>685</v>
      </c>
      <c r="C2886" s="4" t="s">
        <v>287</v>
      </c>
      <c r="D2886" s="94">
        <v>1247.0</v>
      </c>
    </row>
    <row r="2887">
      <c r="A2887" s="40">
        <f t="array" ref="A2887">IFNA(index(PlayerValues!A:A,match(IFNA(vlookup(B2887,'Special Names'!A:B,2,FALSE),B2887),PlayerValues!E:E,0)),"N/A")</f>
        <v>17063</v>
      </c>
      <c r="B2887" s="4" t="s">
        <v>686</v>
      </c>
      <c r="C2887" s="4" t="s">
        <v>278</v>
      </c>
      <c r="D2887" s="94">
        <v>1245.0</v>
      </c>
    </row>
    <row r="2888">
      <c r="A2888" s="40">
        <f t="array" ref="A2888">IFNA(index(PlayerValues!A:A,match(IFNA(vlookup(B2888,'Special Names'!A:B,2,FALSE),B2888),PlayerValues!E:E,0)),"N/A")</f>
        <v>16199</v>
      </c>
      <c r="B2888" s="4" t="s">
        <v>687</v>
      </c>
      <c r="C2888" s="4" t="s">
        <v>287</v>
      </c>
      <c r="D2888" s="94">
        <v>1245.0</v>
      </c>
    </row>
    <row r="2889">
      <c r="A2889" s="40">
        <f t="array" ref="A2889">IFNA(index(PlayerValues!A:A,match(IFNA(vlookup(B2889,'Special Names'!A:B,2,FALSE),B2889),PlayerValues!E:E,0)),"N/A")</f>
        <v>16688</v>
      </c>
      <c r="B2889" s="4" t="s">
        <v>688</v>
      </c>
      <c r="C2889" s="4" t="s">
        <v>278</v>
      </c>
      <c r="D2889" s="94">
        <v>1241.0</v>
      </c>
    </row>
    <row r="2890">
      <c r="A2890" s="40">
        <f t="array" ref="A2890">IFNA(index(PlayerValues!A:A,match(IFNA(vlookup(B2890,'Special Names'!A:B,2,FALSE),B2890),PlayerValues!E:E,0)),"N/A")</f>
        <v>16390</v>
      </c>
      <c r="B2890" s="4" t="s">
        <v>689</v>
      </c>
      <c r="C2890" s="4" t="s">
        <v>278</v>
      </c>
      <c r="D2890" s="94">
        <v>1239.0</v>
      </c>
    </row>
    <row r="2891">
      <c r="A2891" s="40">
        <f t="array" ref="A2891">IFNA(index(PlayerValues!A:A,match(IFNA(vlookup(B2891,'Special Names'!A:B,2,FALSE),B2891),PlayerValues!E:E,0)),"N/A")</f>
        <v>16385</v>
      </c>
      <c r="B2891" s="4" t="s">
        <v>690</v>
      </c>
      <c r="C2891" s="4" t="s">
        <v>278</v>
      </c>
      <c r="D2891" s="94">
        <v>1233.0</v>
      </c>
    </row>
    <row r="2892">
      <c r="A2892" s="40">
        <f t="array" ref="A2892">IFNA(index(PlayerValues!A:A,match(IFNA(vlookup(B2892,'Special Names'!A:B,2,FALSE),B2892),PlayerValues!E:E,0)),"N/A")</f>
        <v>16642</v>
      </c>
      <c r="B2892" s="4" t="s">
        <v>691</v>
      </c>
      <c r="C2892" s="4" t="s">
        <v>298</v>
      </c>
      <c r="D2892" s="94">
        <v>1597.0</v>
      </c>
    </row>
    <row r="2893">
      <c r="A2893" s="40">
        <f t="array" ref="A2893">IFNA(index(PlayerValues!A:A,match(IFNA(vlookup(B2893,'Special Names'!A:B,2,FALSE),B2893),PlayerValues!E:E,0)),"N/A")</f>
        <v>17487</v>
      </c>
      <c r="B2893" s="4" t="s">
        <v>692</v>
      </c>
      <c r="C2893" s="4" t="s">
        <v>278</v>
      </c>
      <c r="D2893" s="94">
        <v>1220.0</v>
      </c>
    </row>
    <row r="2894">
      <c r="A2894" s="40">
        <f t="array" ref="A2894">IFNA(index(PlayerValues!A:A,match(IFNA(vlookup(B2894,'Special Names'!A:B,2,FALSE),B2894),PlayerValues!E:E,0)),"N/A")</f>
        <v>17504</v>
      </c>
      <c r="B2894" s="4" t="s">
        <v>693</v>
      </c>
      <c r="C2894" s="4" t="s">
        <v>287</v>
      </c>
      <c r="D2894" s="94">
        <v>1218.0</v>
      </c>
    </row>
    <row r="2895">
      <c r="A2895" s="40">
        <f t="array" ref="A2895">IFNA(index(PlayerValues!A:A,match(IFNA(vlookup(B2895,'Special Names'!A:B,2,FALSE),B2895),PlayerValues!E:E,0)),"N/A")</f>
        <v>15777</v>
      </c>
      <c r="B2895" s="4" t="s">
        <v>694</v>
      </c>
      <c r="C2895" s="4" t="s">
        <v>287</v>
      </c>
      <c r="D2895" s="94">
        <v>1216.0</v>
      </c>
    </row>
    <row r="2896">
      <c r="A2896" s="40">
        <f t="array" ref="A2896">IFNA(index(PlayerValues!A:A,match(IFNA(vlookup(B2896,'Special Names'!A:B,2,FALSE),B2896),PlayerValues!E:E,0)),"N/A")</f>
        <v>17486</v>
      </c>
      <c r="B2896" s="4" t="s">
        <v>695</v>
      </c>
      <c r="C2896" s="4" t="s">
        <v>278</v>
      </c>
      <c r="D2896" s="94">
        <v>1213.0</v>
      </c>
    </row>
    <row r="2897">
      <c r="A2897" s="40">
        <f t="array" ref="A2897">IFNA(index(PlayerValues!A:A,match(IFNA(vlookup(B2897,'Special Names'!A:B,2,FALSE),B2897),PlayerValues!E:E,0)),"N/A")</f>
        <v>16384</v>
      </c>
      <c r="B2897" s="4" t="s">
        <v>696</v>
      </c>
      <c r="C2897" s="4" t="s">
        <v>283</v>
      </c>
      <c r="D2897" s="94">
        <v>1210.0</v>
      </c>
    </row>
    <row r="2898">
      <c r="A2898" s="40">
        <f t="array" ref="A2898">IFNA(index(PlayerValues!A:A,match(IFNA(vlookup(B2898,'Special Names'!A:B,2,FALSE),B2898),PlayerValues!E:E,0)),"N/A")</f>
        <v>12263</v>
      </c>
      <c r="B2898" s="4" t="s">
        <v>697</v>
      </c>
      <c r="C2898" s="4" t="s">
        <v>298</v>
      </c>
      <c r="D2898" s="94">
        <v>1577.0</v>
      </c>
    </row>
    <row r="2899">
      <c r="A2899" s="40">
        <f t="array" ref="A2899">IFNA(index(PlayerValues!A:A,match(IFNA(vlookup(B2899,'Special Names'!A:B,2,FALSE),B2899),PlayerValues!E:E,0)),"N/A")</f>
        <v>15332</v>
      </c>
      <c r="B2899" s="4" t="s">
        <v>698</v>
      </c>
      <c r="C2899" s="4" t="s">
        <v>298</v>
      </c>
      <c r="D2899" s="94">
        <v>1575.0</v>
      </c>
    </row>
    <row r="2900">
      <c r="A2900" s="40">
        <f t="array" ref="A2900">IFNA(index(PlayerValues!A:A,match(IFNA(vlookup(B2900,'Special Names'!A:B,2,FALSE),B2900),PlayerValues!E:E,0)),"N/A")</f>
        <v>16636</v>
      </c>
      <c r="B2900" s="4" t="s">
        <v>699</v>
      </c>
      <c r="C2900" s="4" t="s">
        <v>287</v>
      </c>
      <c r="D2900" s="94">
        <v>1205.0</v>
      </c>
    </row>
    <row r="2901">
      <c r="A2901" s="40">
        <f t="array" ref="A2901">IFNA(index(PlayerValues!A:A,match(IFNA(vlookup(B2901,'Special Names'!A:B,2,FALSE),B2901),PlayerValues!E:E,0)),"N/A")</f>
        <v>15288</v>
      </c>
      <c r="B2901" s="4" t="s">
        <v>700</v>
      </c>
      <c r="C2901" s="4" t="s">
        <v>287</v>
      </c>
      <c r="D2901" s="94">
        <v>1197.0</v>
      </c>
    </row>
    <row r="2902">
      <c r="A2902" s="40">
        <f t="array" ref="A2902">IFNA(index(PlayerValues!A:A,match(IFNA(vlookup(B2902,'Special Names'!A:B,2,FALSE),B2902),PlayerValues!E:E,0)),"N/A")</f>
        <v>17062</v>
      </c>
      <c r="B2902" s="4" t="s">
        <v>701</v>
      </c>
      <c r="C2902" s="4" t="s">
        <v>278</v>
      </c>
      <c r="D2902" s="94">
        <v>1188.0</v>
      </c>
    </row>
    <row r="2903">
      <c r="A2903" s="40">
        <f t="array" ref="A2903">IFNA(index(PlayerValues!A:A,match(IFNA(vlookup(B2903,'Special Names'!A:B,2,FALSE),B2903),PlayerValues!E:E,0)),"N/A")</f>
        <v>12140</v>
      </c>
      <c r="B2903" s="4" t="s">
        <v>702</v>
      </c>
      <c r="C2903" s="4" t="s">
        <v>283</v>
      </c>
      <c r="D2903" s="94">
        <v>1182.0</v>
      </c>
    </row>
    <row r="2904">
      <c r="A2904" s="40">
        <f t="array" ref="A2904">IFNA(index(PlayerValues!A:A,match(IFNA(vlookup(B2904,'Special Names'!A:B,2,FALSE),B2904),PlayerValues!E:E,0)),"N/A")</f>
        <v>12678</v>
      </c>
      <c r="B2904" s="4" t="s">
        <v>703</v>
      </c>
      <c r="C2904" s="4" t="s">
        <v>298</v>
      </c>
      <c r="D2904" s="94">
        <v>1550.0</v>
      </c>
    </row>
    <row r="2905">
      <c r="A2905" s="40">
        <f t="array" ref="A2905">IFNA(index(PlayerValues!A:A,match(IFNA(vlookup(B2905,'Special Names'!A:B,2,FALSE),B2905),PlayerValues!E:E,0)),"N/A")</f>
        <v>16792</v>
      </c>
      <c r="B2905" s="4" t="s">
        <v>704</v>
      </c>
      <c r="C2905" s="4" t="s">
        <v>287</v>
      </c>
      <c r="D2905" s="94">
        <v>1167.0</v>
      </c>
    </row>
    <row r="2906">
      <c r="A2906" s="40">
        <f t="array" ref="A2906">IFNA(index(PlayerValues!A:A,match(IFNA(vlookup(B2906,'Special Names'!A:B,2,FALSE),B2906),PlayerValues!E:E,0)),"N/A")</f>
        <v>14592</v>
      </c>
      <c r="B2906" s="4" t="s">
        <v>705</v>
      </c>
      <c r="C2906" s="4" t="s">
        <v>287</v>
      </c>
      <c r="D2906" s="94">
        <v>1160.0</v>
      </c>
    </row>
    <row r="2907">
      <c r="A2907" s="40">
        <f t="array" ref="A2907">IFNA(index(PlayerValues!A:A,match(IFNA(vlookup(B2907,'Special Names'!A:B,2,FALSE),B2907),PlayerValues!E:E,0)),"N/A")</f>
        <v>13418</v>
      </c>
      <c r="B2907" s="4" t="s">
        <v>706</v>
      </c>
      <c r="C2907" s="4" t="s">
        <v>287</v>
      </c>
      <c r="D2907" s="94">
        <v>1154.0</v>
      </c>
    </row>
    <row r="2908">
      <c r="A2908" s="40">
        <f t="array" ref="A2908">IFNA(index(PlayerValues!A:A,match(IFNA(vlookup(B2908,'Special Names'!A:B,2,FALSE),B2908),PlayerValues!E:E,0)),"N/A")</f>
        <v>17109</v>
      </c>
      <c r="B2908" s="4" t="s">
        <v>707</v>
      </c>
      <c r="C2908" s="4" t="s">
        <v>298</v>
      </c>
      <c r="D2908" s="94">
        <v>1517.0</v>
      </c>
    </row>
    <row r="2909">
      <c r="A2909" s="40">
        <f t="array" ref="A2909">IFNA(index(PlayerValues!A:A,match(IFNA(vlookup(B2909,'Special Names'!A:B,2,FALSE),B2909),PlayerValues!E:E,0)),"N/A")</f>
        <v>17057</v>
      </c>
      <c r="B2909" s="4" t="s">
        <v>708</v>
      </c>
      <c r="C2909" s="4" t="s">
        <v>278</v>
      </c>
      <c r="D2909" s="94">
        <v>1144.0</v>
      </c>
    </row>
    <row r="2910">
      <c r="A2910" s="40">
        <f t="array" ref="A2910">IFNA(index(PlayerValues!A:A,match(IFNA(vlookup(B2910,'Special Names'!A:B,2,FALSE),B2910),PlayerValues!E:E,0)),"N/A")</f>
        <v>16746</v>
      </c>
      <c r="B2910" s="4" t="s">
        <v>709</v>
      </c>
      <c r="C2910" s="4" t="s">
        <v>278</v>
      </c>
      <c r="D2910" s="94">
        <v>1140.0</v>
      </c>
    </row>
    <row r="2911">
      <c r="A2911" s="40">
        <f t="array" ref="A2911">IFNA(index(PlayerValues!A:A,match(IFNA(vlookup(B2911,'Special Names'!A:B,2,FALSE),B2911),PlayerValues!E:E,0)),"N/A")</f>
        <v>17644</v>
      </c>
      <c r="B2911" s="4" t="s">
        <v>710</v>
      </c>
      <c r="C2911" s="4" t="s">
        <v>298</v>
      </c>
      <c r="D2911" s="94">
        <v>1501.0</v>
      </c>
    </row>
    <row r="2912">
      <c r="A2912" s="40">
        <f t="array" ref="A2912">IFNA(index(PlayerValues!A:A,match(IFNA(vlookup(B2912,'Special Names'!A:B,2,FALSE),B2912),PlayerValues!E:E,0)),"N/A")</f>
        <v>16333</v>
      </c>
      <c r="B2912" s="4" t="s">
        <v>711</v>
      </c>
      <c r="C2912" s="4" t="s">
        <v>298</v>
      </c>
      <c r="D2912" s="94">
        <v>1498.0</v>
      </c>
    </row>
    <row r="2913">
      <c r="A2913" s="40">
        <f t="array" ref="A2913">IFNA(index(PlayerValues!A:A,match(IFNA(vlookup(B2913,'Special Names'!A:B,2,FALSE),B2913),PlayerValues!E:E,0)),"N/A")</f>
        <v>16640</v>
      </c>
      <c r="B2913" s="4" t="s">
        <v>712</v>
      </c>
      <c r="C2913" s="4" t="s">
        <v>287</v>
      </c>
      <c r="D2913" s="94">
        <v>1127.0</v>
      </c>
    </row>
    <row r="2914">
      <c r="A2914" s="40">
        <f t="array" ref="A2914">IFNA(index(PlayerValues!A:A,match(IFNA(vlookup(B2914,'Special Names'!A:B,2,FALSE),B2914),PlayerValues!E:E,0)),"N/A")</f>
        <v>17050</v>
      </c>
      <c r="B2914" s="4" t="s">
        <v>713</v>
      </c>
      <c r="C2914" s="4" t="s">
        <v>278</v>
      </c>
      <c r="D2914" s="94">
        <v>1120.0</v>
      </c>
    </row>
    <row r="2915">
      <c r="A2915" s="40">
        <f t="array" ref="A2915">IFNA(index(PlayerValues!A:A,match(IFNA(vlookup(B2915,'Special Names'!A:B,2,FALSE),B2915),PlayerValues!E:E,0)),"N/A")</f>
        <v>17077</v>
      </c>
      <c r="B2915" s="4" t="s">
        <v>714</v>
      </c>
      <c r="C2915" s="4" t="s">
        <v>287</v>
      </c>
      <c r="D2915" s="94">
        <v>1117.0</v>
      </c>
    </row>
    <row r="2916">
      <c r="A2916" s="40">
        <f t="array" ref="A2916">IFNA(index(PlayerValues!A:A,match(IFNA(vlookup(B2916,'Special Names'!A:B,2,FALSE),B2916),PlayerValues!E:E,0)),"N/A")</f>
        <v>15252</v>
      </c>
      <c r="B2916" s="4" t="s">
        <v>715</v>
      </c>
      <c r="C2916" s="4" t="s">
        <v>283</v>
      </c>
      <c r="D2916" s="94">
        <v>1115.0</v>
      </c>
    </row>
    <row r="2917">
      <c r="A2917" s="40">
        <f t="array" ref="A2917">IFNA(index(PlayerValues!A:A,match(IFNA(vlookup(B2917,'Special Names'!A:B,2,FALSE),B2917),PlayerValues!E:E,0)),"N/A")</f>
        <v>14080</v>
      </c>
      <c r="B2917" s="4" t="s">
        <v>716</v>
      </c>
      <c r="C2917" s="4" t="s">
        <v>278</v>
      </c>
      <c r="D2917" s="94">
        <v>1110.0</v>
      </c>
    </row>
    <row r="2918">
      <c r="A2918" s="40">
        <f t="array" ref="A2918">IFNA(index(PlayerValues!A:A,match(IFNA(vlookup(B2918,'Special Names'!A:B,2,FALSE),B2918),PlayerValues!E:E,0)),"N/A")</f>
        <v>14845</v>
      </c>
      <c r="B2918" s="4" t="s">
        <v>717</v>
      </c>
      <c r="C2918" s="4" t="s">
        <v>287</v>
      </c>
      <c r="D2918" s="94">
        <v>1101.0</v>
      </c>
    </row>
    <row r="2919">
      <c r="A2919" s="40">
        <f t="array" ref="A2919">IFNA(index(PlayerValues!A:A,match(IFNA(vlookup(B2919,'Special Names'!A:B,2,FALSE),B2919),PlayerValues!E:E,0)),"N/A")</f>
        <v>17269</v>
      </c>
      <c r="B2919" s="4" t="s">
        <v>718</v>
      </c>
      <c r="C2919" s="4" t="s">
        <v>287</v>
      </c>
      <c r="D2919" s="94">
        <v>1093.0</v>
      </c>
    </row>
    <row r="2920">
      <c r="A2920" s="40">
        <f t="array" ref="A2920">IFNA(index(PlayerValues!A:A,match(IFNA(vlookup(B2920,'Special Names'!A:B,2,FALSE),B2920),PlayerValues!E:E,0)),"N/A")</f>
        <v>17545</v>
      </c>
      <c r="B2920" s="4" t="s">
        <v>719</v>
      </c>
      <c r="C2920" s="4" t="s">
        <v>298</v>
      </c>
      <c r="D2920" s="94">
        <v>1462.0</v>
      </c>
    </row>
    <row r="2921">
      <c r="A2921" s="40">
        <f t="array" ref="A2921">IFNA(index(PlayerValues!A:A,match(IFNA(vlookup(B2921,'Special Names'!A:B,2,FALSE),B2921),PlayerValues!E:E,0)),"N/A")</f>
        <v>17549</v>
      </c>
      <c r="B2921" s="4" t="s">
        <v>720</v>
      </c>
      <c r="C2921" s="4" t="s">
        <v>298</v>
      </c>
      <c r="D2921" s="94">
        <v>1455.0</v>
      </c>
    </row>
    <row r="2922">
      <c r="A2922" s="40">
        <f t="array" ref="A2922">IFNA(index(PlayerValues!A:A,match(IFNA(vlookup(B2922,'Special Names'!A:B,2,FALSE),B2922),PlayerValues!E:E,0)),"N/A")</f>
        <v>14789</v>
      </c>
      <c r="B2922" s="4" t="s">
        <v>721</v>
      </c>
      <c r="C2922" s="4" t="s">
        <v>283</v>
      </c>
      <c r="D2922" s="94">
        <v>1079.0</v>
      </c>
    </row>
    <row r="2923">
      <c r="A2923" s="40">
        <f t="array" ref="A2923">IFNA(index(PlayerValues!A:A,match(IFNA(vlookup(B2923,'Special Names'!A:B,2,FALSE),B2923),PlayerValues!E:E,0)),"N/A")</f>
        <v>12801</v>
      </c>
      <c r="B2923" s="4" t="s">
        <v>722</v>
      </c>
      <c r="C2923" s="4" t="s">
        <v>287</v>
      </c>
      <c r="D2923" s="94">
        <v>1072.0</v>
      </c>
    </row>
    <row r="2924">
      <c r="A2924" s="40">
        <f t="array" ref="A2924">IFNA(index(PlayerValues!A:A,match(IFNA(vlookup(B2924,'Special Names'!A:B,2,FALSE),B2924),PlayerValues!E:E,0)),"N/A")</f>
        <v>15702</v>
      </c>
      <c r="B2924" s="4" t="s">
        <v>723</v>
      </c>
      <c r="C2924" s="4" t="s">
        <v>283</v>
      </c>
      <c r="D2924" s="94">
        <v>1072.0</v>
      </c>
    </row>
    <row r="2925">
      <c r="A2925" s="40">
        <f t="array" ref="A2925">IFNA(index(PlayerValues!A:A,match(IFNA(vlookup(B2925,'Special Names'!A:B,2,FALSE),B2925),PlayerValues!E:E,0)),"N/A")</f>
        <v>15758</v>
      </c>
      <c r="B2925" s="4" t="s">
        <v>724</v>
      </c>
      <c r="C2925" s="4" t="s">
        <v>287</v>
      </c>
      <c r="D2925" s="94">
        <v>1071.0</v>
      </c>
    </row>
    <row r="2926">
      <c r="A2926" s="40">
        <f t="array" ref="A2926">IFNA(index(PlayerValues!A:A,match(IFNA(vlookup(B2926,'Special Names'!A:B,2,FALSE),B2926),PlayerValues!E:E,0)),"N/A")</f>
        <v>16221</v>
      </c>
      <c r="B2926" s="4" t="s">
        <v>725</v>
      </c>
      <c r="C2926" s="4" t="s">
        <v>298</v>
      </c>
      <c r="D2926" s="94">
        <v>1412.0</v>
      </c>
    </row>
    <row r="2927">
      <c r="A2927" s="40">
        <f t="array" ref="A2927">IFNA(index(PlayerValues!A:A,match(IFNA(vlookup(B2927,'Special Names'!A:B,2,FALSE),B2927),PlayerValues!E:E,0)),"N/A")</f>
        <v>16197</v>
      </c>
      <c r="B2927" s="4" t="s">
        <v>726</v>
      </c>
      <c r="C2927" s="4" t="s">
        <v>287</v>
      </c>
      <c r="D2927" s="94">
        <v>1038.0</v>
      </c>
    </row>
    <row r="2928">
      <c r="A2928" s="40">
        <f t="array" ref="A2928">IFNA(index(PlayerValues!A:A,match(IFNA(vlookup(B2928,'Special Names'!A:B,2,FALSE),B2928),PlayerValues!E:E,0)),"N/A")</f>
        <v>17037</v>
      </c>
      <c r="B2928" s="4" t="s">
        <v>727</v>
      </c>
      <c r="C2928" s="4" t="s">
        <v>283</v>
      </c>
      <c r="D2928" s="94">
        <v>1033.0</v>
      </c>
    </row>
    <row r="2929">
      <c r="A2929" s="40">
        <f t="array" ref="A2929">IFNA(index(PlayerValues!A:A,match(IFNA(vlookup(B2929,'Special Names'!A:B,2,FALSE),B2929),PlayerValues!E:E,0)),"N/A")</f>
        <v>15109</v>
      </c>
      <c r="B2929" s="4" t="s">
        <v>728</v>
      </c>
      <c r="C2929" s="4" t="s">
        <v>287</v>
      </c>
      <c r="D2929" s="94">
        <v>1023.0</v>
      </c>
    </row>
    <row r="2930">
      <c r="A2930" s="40">
        <f t="array" ref="A2930">IFNA(index(PlayerValues!A:A,match(IFNA(vlookup(B2930,'Special Names'!A:B,2,FALSE),B2930),PlayerValues!E:E,0)),"N/A")</f>
        <v>15981</v>
      </c>
      <c r="B2930" s="4" t="s">
        <v>729</v>
      </c>
      <c r="C2930" s="4" t="s">
        <v>287</v>
      </c>
      <c r="D2930" s="94">
        <v>1015.0</v>
      </c>
    </row>
    <row r="2931">
      <c r="A2931" s="40">
        <f t="array" ref="A2931">IFNA(index(PlayerValues!A:A,match(IFNA(vlookup(B2931,'Special Names'!A:B,2,FALSE),B2931),PlayerValues!E:E,0)),"N/A")</f>
        <v>15727</v>
      </c>
      <c r="B2931" s="4" t="s">
        <v>730</v>
      </c>
      <c r="C2931" s="4" t="s">
        <v>278</v>
      </c>
      <c r="D2931" s="94">
        <v>1013.0</v>
      </c>
    </row>
    <row r="2932">
      <c r="A2932" s="40">
        <f t="array" ref="A2932">IFNA(index(PlayerValues!A:A,match(IFNA(vlookup(B2932,'Special Names'!A:B,2,FALSE),B2932),PlayerValues!E:E,0)),"N/A")</f>
        <v>14840</v>
      </c>
      <c r="B2932" s="4" t="s">
        <v>731</v>
      </c>
      <c r="C2932" s="4" t="s">
        <v>287</v>
      </c>
      <c r="D2932" s="94">
        <v>1008.0</v>
      </c>
    </row>
    <row r="2933">
      <c r="A2933" s="40">
        <f t="array" ref="A2933">IFNA(index(PlayerValues!A:A,match(IFNA(vlookup(B2933,'Special Names'!A:B,2,FALSE),B2933),PlayerValues!E:E,0)),"N/A")</f>
        <v>15713</v>
      </c>
      <c r="B2933" s="4" t="s">
        <v>732</v>
      </c>
      <c r="C2933" s="4" t="s">
        <v>278</v>
      </c>
      <c r="D2933" s="94">
        <v>999.0</v>
      </c>
    </row>
    <row r="2934">
      <c r="A2934" s="40">
        <f t="array" ref="A2934">IFNA(index(PlayerValues!A:A,match(IFNA(vlookup(B2934,'Special Names'!A:B,2,FALSE),B2934),PlayerValues!E:E,0)),"N/A")</f>
        <v>14849</v>
      </c>
      <c r="B2934" s="4" t="s">
        <v>733</v>
      </c>
      <c r="C2934" s="4" t="s">
        <v>287</v>
      </c>
      <c r="D2934" s="94">
        <v>981.0</v>
      </c>
    </row>
    <row r="2935">
      <c r="A2935" s="40">
        <f t="array" ref="A2935">IFNA(index(PlayerValues!A:A,match(IFNA(vlookup(B2935,'Special Names'!A:B,2,FALSE),B2935),PlayerValues!E:E,0)),"N/A")</f>
        <v>15730</v>
      </c>
      <c r="B2935" s="4" t="s">
        <v>734</v>
      </c>
      <c r="C2935" s="4" t="s">
        <v>278</v>
      </c>
      <c r="D2935" s="94">
        <v>981.0</v>
      </c>
    </row>
    <row r="2936">
      <c r="A2936" s="40">
        <f t="array" ref="A2936">IFNA(index(PlayerValues!A:A,match(IFNA(vlookup(B2936,'Special Names'!A:B,2,FALSE),B2936),PlayerValues!E:E,0)),"N/A")</f>
        <v>14067</v>
      </c>
      <c r="B2936" s="4" t="s">
        <v>735</v>
      </c>
      <c r="C2936" s="4" t="s">
        <v>283</v>
      </c>
      <c r="D2936" s="94">
        <v>976.0</v>
      </c>
    </row>
    <row r="2937">
      <c r="A2937" s="40">
        <f t="array" ref="A2937">IFNA(index(PlayerValues!A:A,match(IFNA(vlookup(B2937,'Special Names'!A:B,2,FALSE),B2937),PlayerValues!E:E,0)),"N/A")</f>
        <v>16637</v>
      </c>
      <c r="B2937" s="4" t="s">
        <v>736</v>
      </c>
      <c r="C2937" s="4" t="s">
        <v>287</v>
      </c>
      <c r="D2937" s="94">
        <v>976.0</v>
      </c>
    </row>
    <row r="2938">
      <c r="A2938" s="40">
        <f t="array" ref="A2938">IFNA(index(PlayerValues!A:A,match(IFNA(vlookup(B2938,'Special Names'!A:B,2,FALSE),B2938),PlayerValues!E:E,0)),"N/A")</f>
        <v>16599</v>
      </c>
      <c r="B2938" s="4" t="s">
        <v>737</v>
      </c>
      <c r="C2938" s="4" t="s">
        <v>278</v>
      </c>
      <c r="D2938" s="94">
        <v>975.0</v>
      </c>
    </row>
    <row r="2939">
      <c r="A2939" s="40">
        <f t="array" ref="A2939">IFNA(index(PlayerValues!A:A,match(IFNA(vlookup(B2939,'Special Names'!A:B,2,FALSE),B2939),PlayerValues!E:E,0)),"N/A")</f>
        <v>16168</v>
      </c>
      <c r="B2939" s="4" t="s">
        <v>738</v>
      </c>
      <c r="C2939" s="4" t="s">
        <v>278</v>
      </c>
      <c r="D2939" s="94">
        <v>961.0</v>
      </c>
    </row>
    <row r="2940">
      <c r="A2940" s="40">
        <f t="array" ref="A2940">IFNA(index(PlayerValues!A:A,match(IFNA(vlookup(B2940,'Special Names'!A:B,2,FALSE),B2940),PlayerValues!E:E,0)),"N/A")</f>
        <v>16219</v>
      </c>
      <c r="B2940" s="4" t="s">
        <v>739</v>
      </c>
      <c r="C2940" s="4" t="s">
        <v>298</v>
      </c>
      <c r="D2940" s="94">
        <v>1326.0</v>
      </c>
    </row>
    <row r="2941">
      <c r="A2941" s="40">
        <f t="array" ref="A2941">IFNA(index(PlayerValues!A:A,match(IFNA(vlookup(B2941,'Special Names'!A:B,2,FALSE),B2941),PlayerValues!E:E,0)),"N/A")</f>
        <v>16149</v>
      </c>
      <c r="B2941" s="4" t="s">
        <v>740</v>
      </c>
      <c r="C2941" s="4" t="s">
        <v>283</v>
      </c>
      <c r="D2941" s="94">
        <v>958.0</v>
      </c>
    </row>
    <row r="2942">
      <c r="A2942" s="40">
        <f t="array" ref="A2942">IFNA(index(PlayerValues!A:A,match(IFNA(vlookup(B2942,'Special Names'!A:B,2,FALSE),B2942),PlayerValues!E:E,0)),"N/A")</f>
        <v>15271</v>
      </c>
      <c r="B2942" s="4" t="s">
        <v>741</v>
      </c>
      <c r="C2942" s="4" t="s">
        <v>278</v>
      </c>
      <c r="D2942" s="94">
        <v>956.0</v>
      </c>
    </row>
    <row r="2943">
      <c r="A2943" s="40">
        <f t="array" ref="A2943">IFNA(index(PlayerValues!A:A,match(IFNA(vlookup(B2943,'Special Names'!A:B,2,FALSE),B2943),PlayerValues!E:E,0)),"N/A")</f>
        <v>16205</v>
      </c>
      <c r="B2943" s="4" t="s">
        <v>742</v>
      </c>
      <c r="C2943" s="4" t="s">
        <v>287</v>
      </c>
      <c r="D2943" s="94">
        <v>953.0</v>
      </c>
    </row>
    <row r="2944">
      <c r="A2944" s="40">
        <f t="array" ref="A2944">IFNA(index(PlayerValues!A:A,match(IFNA(vlookup(B2944,'Special Names'!A:B,2,FALSE),B2944),PlayerValues!E:E,0)),"N/A")</f>
        <v>16606</v>
      </c>
      <c r="B2944" s="4" t="s">
        <v>743</v>
      </c>
      <c r="C2944" s="4" t="s">
        <v>278</v>
      </c>
      <c r="D2944" s="94">
        <v>952.0</v>
      </c>
    </row>
    <row r="2945">
      <c r="A2945" s="40">
        <f t="array" ref="A2945">IFNA(index(PlayerValues!A:A,match(IFNA(vlookup(B2945,'Special Names'!A:B,2,FALSE),B2945),PlayerValues!E:E,0)),"N/A")</f>
        <v>12141</v>
      </c>
      <c r="B2945" s="4" t="s">
        <v>744</v>
      </c>
      <c r="C2945" s="4" t="s">
        <v>283</v>
      </c>
      <c r="D2945" s="94">
        <v>949.0</v>
      </c>
    </row>
    <row r="2946">
      <c r="A2946" s="40">
        <f t="array" ref="A2946">IFNA(index(PlayerValues!A:A,match(IFNA(vlookup(B2946,'Special Names'!A:B,2,FALSE),B2946),PlayerValues!E:E,0)),"N/A")</f>
        <v>15717</v>
      </c>
      <c r="B2946" s="4" t="s">
        <v>745</v>
      </c>
      <c r="C2946" s="4" t="s">
        <v>278</v>
      </c>
      <c r="D2946" s="94">
        <v>948.0</v>
      </c>
    </row>
    <row r="2947">
      <c r="A2947" s="40">
        <f t="array" ref="A2947">IFNA(index(PlayerValues!A:A,match(IFNA(vlookup(B2947,'Special Names'!A:B,2,FALSE),B2947),PlayerValues!E:E,0)),"N/A")</f>
        <v>13289</v>
      </c>
      <c r="B2947" s="4" t="s">
        <v>746</v>
      </c>
      <c r="C2947" s="4" t="s">
        <v>287</v>
      </c>
      <c r="D2947" s="94">
        <v>947.0</v>
      </c>
    </row>
    <row r="2948">
      <c r="A2948" s="40">
        <f t="array" ref="A2948">IFNA(index(PlayerValues!A:A,match(IFNA(vlookup(B2948,'Special Names'!A:B,2,FALSE),B2948),PlayerValues!E:E,0)),"N/A")</f>
        <v>17175</v>
      </c>
      <c r="B2948" s="4" t="s">
        <v>747</v>
      </c>
      <c r="C2948" s="4" t="s">
        <v>287</v>
      </c>
      <c r="D2948" s="94">
        <v>919.0</v>
      </c>
    </row>
    <row r="2949">
      <c r="A2949" s="40">
        <f t="array" ref="A2949">IFNA(index(PlayerValues!A:A,match(IFNA(vlookup(B2949,'Special Names'!A:B,2,FALSE),B2949),PlayerValues!E:E,0)),"N/A")</f>
        <v>16648</v>
      </c>
      <c r="B2949" s="4" t="s">
        <v>748</v>
      </c>
      <c r="C2949" s="4" t="s">
        <v>298</v>
      </c>
      <c r="D2949" s="94">
        <v>1279.0</v>
      </c>
    </row>
    <row r="2950">
      <c r="A2950" s="40">
        <f t="array" ref="A2950">IFNA(index(PlayerValues!A:A,match(IFNA(vlookup(B2950,'Special Names'!A:B,2,FALSE),B2950),PlayerValues!E:E,0)),"N/A")</f>
        <v>15330</v>
      </c>
      <c r="B2950" s="4" t="s">
        <v>749</v>
      </c>
      <c r="C2950" s="4" t="s">
        <v>298</v>
      </c>
      <c r="D2950" s="94">
        <v>1274.0</v>
      </c>
    </row>
    <row r="2951">
      <c r="A2951" s="40">
        <f t="array" ref="A2951">IFNA(index(PlayerValues!A:A,match(IFNA(vlookup(B2951,'Special Names'!A:B,2,FALSE),B2951),PlayerValues!E:E,0)),"N/A")</f>
        <v>15692</v>
      </c>
      <c r="B2951" s="4" t="s">
        <v>750</v>
      </c>
      <c r="C2951" s="4" t="s">
        <v>283</v>
      </c>
      <c r="D2951" s="94">
        <v>903.0</v>
      </c>
    </row>
    <row r="2952">
      <c r="A2952" s="40">
        <f t="array" ref="A2952">IFNA(index(PlayerValues!A:A,match(IFNA(vlookup(B2952,'Special Names'!A:B,2,FALSE),B2952),PlayerValues!E:E,0)),"N/A")</f>
        <v>15240</v>
      </c>
      <c r="B2952" s="4" t="s">
        <v>751</v>
      </c>
      <c r="C2952" s="4" t="s">
        <v>283</v>
      </c>
      <c r="D2952" s="94">
        <v>901.0</v>
      </c>
    </row>
    <row r="2953">
      <c r="A2953" s="40">
        <f t="array" ref="A2953">IFNA(index(PlayerValues!A:A,match(IFNA(vlookup(B2953,'Special Names'!A:B,2,FALSE),B2953),PlayerValues!E:E,0)),"N/A")</f>
        <v>16416</v>
      </c>
      <c r="B2953" s="4" t="s">
        <v>752</v>
      </c>
      <c r="C2953" s="4" t="s">
        <v>287</v>
      </c>
      <c r="D2953" s="94">
        <v>899.0</v>
      </c>
    </row>
    <row r="2954">
      <c r="A2954" s="40">
        <f t="array" ref="A2954">IFNA(index(PlayerValues!A:A,match(IFNA(vlookup(B2954,'Special Names'!A:B,2,FALSE),B2954),PlayerValues!E:E,0)),"N/A")</f>
        <v>15718</v>
      </c>
      <c r="B2954" s="4" t="s">
        <v>753</v>
      </c>
      <c r="C2954" s="4" t="s">
        <v>278</v>
      </c>
      <c r="D2954" s="94">
        <v>889.0</v>
      </c>
    </row>
    <row r="2955">
      <c r="A2955" s="40">
        <f t="array" ref="A2955">IFNA(index(PlayerValues!A:A,match(IFNA(vlookup(B2955,'Special Names'!A:B,2,FALSE),B2955),PlayerValues!E:E,0)),"N/A")</f>
        <v>16858</v>
      </c>
      <c r="B2955" s="4" t="s">
        <v>754</v>
      </c>
      <c r="C2955" s="4" t="s">
        <v>287</v>
      </c>
      <c r="D2955" s="94">
        <v>885.0</v>
      </c>
    </row>
    <row r="2956">
      <c r="A2956" s="40">
        <f t="array" ref="A2956">IFNA(index(PlayerValues!A:A,match(IFNA(vlookup(B2956,'Special Names'!A:B,2,FALSE),B2956),PlayerValues!E:E,0)),"N/A")</f>
        <v>15693</v>
      </c>
      <c r="B2956" s="4" t="s">
        <v>755</v>
      </c>
      <c r="C2956" s="4" t="s">
        <v>283</v>
      </c>
      <c r="D2956" s="94">
        <v>883.0</v>
      </c>
    </row>
    <row r="2957">
      <c r="A2957" s="40">
        <f t="array" ref="A2957">IFNA(index(PlayerValues!A:A,match(IFNA(vlookup(B2957,'Special Names'!A:B,2,FALSE),B2957),PlayerValues!E:E,0)),"N/A")</f>
        <v>17479</v>
      </c>
      <c r="B2957" s="4" t="s">
        <v>756</v>
      </c>
      <c r="C2957" s="4" t="s">
        <v>278</v>
      </c>
      <c r="D2957" s="94">
        <v>881.0</v>
      </c>
    </row>
    <row r="2958">
      <c r="A2958" s="40">
        <f t="array" ref="A2958">IFNA(index(PlayerValues!A:A,match(IFNA(vlookup(B2958,'Special Names'!A:B,2,FALSE),B2958),PlayerValues!E:E,0)),"N/A")</f>
        <v>15258</v>
      </c>
      <c r="B2958" s="4" t="s">
        <v>757</v>
      </c>
      <c r="C2958" s="4" t="s">
        <v>278</v>
      </c>
      <c r="D2958" s="94">
        <v>873.0</v>
      </c>
    </row>
    <row r="2959">
      <c r="A2959" s="40">
        <f t="array" ref="A2959">IFNA(index(PlayerValues!A:A,match(IFNA(vlookup(B2959,'Special Names'!A:B,2,FALSE),B2959),PlayerValues!E:E,0)),"N/A")</f>
        <v>16678</v>
      </c>
      <c r="B2959" s="4" t="s">
        <v>758</v>
      </c>
      <c r="C2959" s="4" t="s">
        <v>278</v>
      </c>
      <c r="D2959" s="94">
        <v>864.0</v>
      </c>
    </row>
    <row r="2960">
      <c r="A2960" s="40">
        <f t="array" ref="A2960">IFNA(index(PlayerValues!A:A,match(IFNA(vlookup(B2960,'Special Names'!A:B,2,FALSE),B2960),PlayerValues!E:E,0)),"N/A")</f>
        <v>15766</v>
      </c>
      <c r="B2960" s="4" t="s">
        <v>759</v>
      </c>
      <c r="C2960" s="4" t="s">
        <v>287</v>
      </c>
      <c r="D2960" s="94">
        <v>862.0</v>
      </c>
    </row>
    <row r="2961">
      <c r="A2961" s="40">
        <f t="array" ref="A2961">IFNA(index(PlayerValues!A:A,match(IFNA(vlookup(B2961,'Special Names'!A:B,2,FALSE),B2961),PlayerValues!E:E,0)),"N/A")</f>
        <v>17526</v>
      </c>
      <c r="B2961" s="4" t="s">
        <v>760</v>
      </c>
      <c r="C2961" s="4" t="s">
        <v>287</v>
      </c>
      <c r="D2961" s="94">
        <v>839.0</v>
      </c>
    </row>
    <row r="2962">
      <c r="A2962" s="40">
        <f t="array" ref="A2962">IFNA(index(PlayerValues!A:A,match(IFNA(vlookup(B2962,'Special Names'!A:B,2,FALSE),B2962),PlayerValues!E:E,0)),"N/A")</f>
        <v>9064</v>
      </c>
      <c r="B2962" s="4" t="s">
        <v>761</v>
      </c>
      <c r="C2962" s="4" t="s">
        <v>283</v>
      </c>
      <c r="D2962" s="94">
        <v>827.0</v>
      </c>
    </row>
    <row r="2963">
      <c r="A2963" s="40">
        <f t="array" ref="A2963">IFNA(index(PlayerValues!A:A,match(IFNA(vlookup(B2963,'Special Names'!A:B,2,FALSE),B2963),PlayerValues!E:E,0)),"N/A")</f>
        <v>16751</v>
      </c>
      <c r="B2963" s="4" t="s">
        <v>762</v>
      </c>
      <c r="C2963" s="4" t="s">
        <v>287</v>
      </c>
      <c r="D2963" s="94">
        <v>822.0</v>
      </c>
    </row>
    <row r="2964">
      <c r="A2964" s="40">
        <f t="array" ref="A2964">IFNA(index(PlayerValues!A:A,match(IFNA(vlookup(B2964,'Special Names'!A:B,2,FALSE),B2964),PlayerValues!E:E,0)),"N/A")</f>
        <v>15785</v>
      </c>
      <c r="B2964" s="4" t="s">
        <v>763</v>
      </c>
      <c r="C2964" s="4" t="s">
        <v>287</v>
      </c>
      <c r="D2964" s="94">
        <v>821.0</v>
      </c>
    </row>
    <row r="2965">
      <c r="A2965" s="40">
        <f t="array" ref="A2965">IFNA(index(PlayerValues!A:A,match(IFNA(vlookup(B2965,'Special Names'!A:B,2,FALSE),B2965),PlayerValues!E:E,0)),"N/A")</f>
        <v>13133</v>
      </c>
      <c r="B2965" s="4" t="s">
        <v>764</v>
      </c>
      <c r="C2965" s="4" t="s">
        <v>278</v>
      </c>
      <c r="D2965" s="94">
        <v>820.0</v>
      </c>
    </row>
    <row r="2966">
      <c r="A2966" s="40">
        <f t="array" ref="A2966">IFNA(index(PlayerValues!A:A,match(IFNA(vlookup(B2966,'Special Names'!A:B,2,FALSE),B2966),PlayerValues!E:E,0)),"N/A")</f>
        <v>14057</v>
      </c>
      <c r="B2966" s="4" t="s">
        <v>765</v>
      </c>
      <c r="C2966" s="4" t="s">
        <v>283</v>
      </c>
      <c r="D2966" s="94">
        <v>813.0</v>
      </c>
    </row>
    <row r="2967">
      <c r="A2967" s="40">
        <f t="array" ref="A2967">IFNA(index(PlayerValues!A:A,match(IFNA(vlookup(B2967,'Special Names'!A:B,2,FALSE),B2967),PlayerValues!E:E,0)),"N/A")</f>
        <v>15626</v>
      </c>
      <c r="B2967" s="4" t="s">
        <v>766</v>
      </c>
      <c r="C2967" s="4" t="s">
        <v>298</v>
      </c>
      <c r="D2967" s="94">
        <v>1164.0</v>
      </c>
    </row>
    <row r="2968">
      <c r="A2968" s="40">
        <f t="array" ref="A2968">IFNA(index(PlayerValues!A:A,match(IFNA(vlookup(B2968,'Special Names'!A:B,2,FALSE),B2968),PlayerValues!E:E,0)),"N/A")</f>
        <v>17654</v>
      </c>
      <c r="B2968" s="4" t="s">
        <v>767</v>
      </c>
      <c r="C2968" s="4" t="s">
        <v>283</v>
      </c>
      <c r="D2968" s="94">
        <v>768.0</v>
      </c>
    </row>
    <row r="2969">
      <c r="A2969" s="40">
        <f t="array" ref="A2969">IFNA(index(PlayerValues!A:A,match(IFNA(vlookup(B2969,'Special Names'!A:B,2,FALSE),B2969),PlayerValues!E:E,0)),"N/A")</f>
        <v>16393</v>
      </c>
      <c r="B2969" s="4" t="s">
        <v>768</v>
      </c>
      <c r="C2969" s="4" t="s">
        <v>287</v>
      </c>
      <c r="D2969" s="94">
        <v>766.0</v>
      </c>
    </row>
    <row r="2970">
      <c r="A2970" s="40">
        <f t="array" ref="A2970">IFNA(index(PlayerValues!A:A,match(IFNA(vlookup(B2970,'Special Names'!A:B,2,FALSE),B2970),PlayerValues!E:E,0)),"N/A")</f>
        <v>16451</v>
      </c>
      <c r="B2970" s="4" t="s">
        <v>769</v>
      </c>
      <c r="C2970" s="4" t="s">
        <v>287</v>
      </c>
      <c r="D2970" s="94">
        <v>702.0</v>
      </c>
    </row>
    <row r="2971">
      <c r="A2971" s="40">
        <f t="array" ref="A2971">IFNA(index(PlayerValues!A:A,match(IFNA(vlookup(B2971,'Special Names'!A:B,2,FALSE),B2971),PlayerValues!E:E,0)),"N/A")</f>
        <v>14805</v>
      </c>
      <c r="B2971" s="4" t="s">
        <v>770</v>
      </c>
      <c r="C2971" s="4" t="s">
        <v>278</v>
      </c>
      <c r="D2971" s="94">
        <v>688.0</v>
      </c>
    </row>
    <row r="2972">
      <c r="A2972" s="40">
        <f t="array" ref="A2972">IFNA(index(PlayerValues!A:A,match(IFNA(vlookup(B2972,'Special Names'!A:B,2,FALSE),B2972),PlayerValues!E:E,0)),"N/A")</f>
        <v>14118</v>
      </c>
      <c r="B2972" s="4" t="s">
        <v>771</v>
      </c>
      <c r="C2972" s="4" t="s">
        <v>287</v>
      </c>
      <c r="D2972" s="94">
        <v>681.0</v>
      </c>
    </row>
    <row r="2973">
      <c r="A2973" s="40">
        <f t="array" ref="A2973">IFNA(index(PlayerValues!A:A,match(IFNA(vlookup(B2973,'Special Names'!A:B,2,FALSE),B2973),PlayerValues!E:E,0)),"N/A")</f>
        <v>12785</v>
      </c>
      <c r="B2973" s="4" t="s">
        <v>772</v>
      </c>
      <c r="C2973" s="4" t="s">
        <v>287</v>
      </c>
      <c r="D2973" s="94">
        <v>676.0</v>
      </c>
    </row>
    <row r="2974">
      <c r="A2974" s="40">
        <f t="array" ref="A2974">IFNA(index(PlayerValues!A:A,match(IFNA(vlookup(B2974,'Special Names'!A:B,2,FALSE),B2974),PlayerValues!E:E,0)),"N/A")</f>
        <v>13193</v>
      </c>
      <c r="B2974" s="4" t="s">
        <v>773</v>
      </c>
      <c r="C2974" s="4" t="s">
        <v>298</v>
      </c>
      <c r="D2974" s="94">
        <v>1018.0</v>
      </c>
    </row>
    <row r="2975">
      <c r="A2975" s="40">
        <f t="array" ref="A2975">IFNA(index(PlayerValues!A:A,match(IFNA(vlookup(B2975,'Special Names'!A:B,2,FALSE),B2975),PlayerValues!E:E,0)),"N/A")</f>
        <v>17038</v>
      </c>
      <c r="B2975" s="4" t="s">
        <v>774</v>
      </c>
      <c r="C2975" s="4" t="s">
        <v>283</v>
      </c>
      <c r="D2975" s="94">
        <v>653.0</v>
      </c>
    </row>
    <row r="2976">
      <c r="A2976" s="40">
        <f t="array" ref="A2976">IFNA(index(PlayerValues!A:A,match(IFNA(vlookup(B2976,'Special Names'!A:B,2,FALSE),B2976),PlayerValues!E:E,0)),"N/A")</f>
        <v>15714</v>
      </c>
      <c r="B2976" s="4" t="s">
        <v>775</v>
      </c>
      <c r="C2976" s="4" t="s">
        <v>278</v>
      </c>
      <c r="D2976" s="94">
        <v>608.0</v>
      </c>
    </row>
    <row r="2977">
      <c r="A2977" s="40">
        <f t="array" ref="A2977">IFNA(index(PlayerValues!A:A,match(IFNA(vlookup(B2977,'Special Names'!A:B,2,FALSE),B2977),PlayerValues!E:E,0)),"N/A")</f>
        <v>16153</v>
      </c>
      <c r="B2977" s="4" t="s">
        <v>776</v>
      </c>
      <c r="C2977" s="4" t="s">
        <v>283</v>
      </c>
      <c r="D2977" s="94">
        <v>590.0</v>
      </c>
    </row>
    <row r="2978">
      <c r="A2978" s="40">
        <f t="array" ref="A2978">IFNA(index(PlayerValues!A:A,match(IFNA(vlookup(B2978,'Special Names'!A:B,2,FALSE),B2978),PlayerValues!E:E,0)),"N/A")</f>
        <v>17752</v>
      </c>
      <c r="B2978" s="4" t="s">
        <v>777</v>
      </c>
      <c r="C2978" s="4" t="s">
        <v>287</v>
      </c>
      <c r="D2978" s="94">
        <v>586.0</v>
      </c>
    </row>
    <row r="2979">
      <c r="A2979" s="40">
        <f t="array" ref="A2979">IFNA(index(PlayerValues!A:A,match(IFNA(vlookup(B2979,'Special Names'!A:B,2,FALSE),B2979),PlayerValues!E:E,0)),"N/A")</f>
        <v>16625</v>
      </c>
      <c r="B2979" s="4" t="s">
        <v>778</v>
      </c>
      <c r="C2979" s="4" t="s">
        <v>287</v>
      </c>
      <c r="D2979" s="94">
        <v>580.0</v>
      </c>
    </row>
    <row r="2980">
      <c r="A2980" s="40">
        <f t="array" ref="A2980">IFNA(index(PlayerValues!A:A,match(IFNA(vlookup(B2980,'Special Names'!A:B,2,FALSE),B2980),PlayerValues!E:E,0)),"N/A")</f>
        <v>11679</v>
      </c>
      <c r="B2980" s="4" t="s">
        <v>779</v>
      </c>
      <c r="C2980" s="4" t="s">
        <v>287</v>
      </c>
      <c r="D2980" s="94">
        <v>521.0</v>
      </c>
    </row>
    <row r="2981">
      <c r="A2981" s="40">
        <f t="array" ref="A2981">IFNA(index(PlayerValues!A:A,match(IFNA(vlookup(B2981,'Special Names'!A:B,2,FALSE),B2981),PlayerValues!E:E,0)),"N/A")</f>
        <v>15743</v>
      </c>
      <c r="B2981" s="4" t="s">
        <v>780</v>
      </c>
      <c r="C2981" s="4" t="s">
        <v>278</v>
      </c>
      <c r="D2981" s="94">
        <v>521.0</v>
      </c>
    </row>
    <row r="2982">
      <c r="A2982" s="40">
        <f t="array" ref="A2982">IFNA(index(PlayerValues!A:A,match(IFNA(vlookup(B2982,'Special Names'!A:B,2,FALSE),B2982),PlayerValues!E:E,0)),"N/A")</f>
        <v>16413</v>
      </c>
      <c r="B2982" s="4" t="s">
        <v>781</v>
      </c>
      <c r="C2982" s="4" t="s">
        <v>287</v>
      </c>
      <c r="D2982" s="94">
        <v>516.0</v>
      </c>
    </row>
    <row r="2983">
      <c r="A2983" s="40">
        <f t="array" ref="A2983">IFNA(index(PlayerValues!A:A,match(IFNA(vlookup(B2983,'Special Names'!A:B,2,FALSE),B2983),PlayerValues!E:E,0)),"N/A")</f>
        <v>16613</v>
      </c>
      <c r="B2983" s="4" t="s">
        <v>782</v>
      </c>
      <c r="C2983" s="4" t="s">
        <v>278</v>
      </c>
      <c r="D2983" s="94">
        <v>507.0</v>
      </c>
    </row>
    <row r="2984">
      <c r="A2984" s="40">
        <f t="array" ref="A2984">IFNA(index(PlayerValues!A:A,match(IFNA(vlookup(B2984,'Special Names'!A:B,2,FALSE),B2984),PlayerValues!E:E,0)),"N/A")</f>
        <v>16773</v>
      </c>
      <c r="B2984" s="4" t="s">
        <v>783</v>
      </c>
      <c r="C2984" s="4" t="s">
        <v>278</v>
      </c>
      <c r="D2984" s="94">
        <v>502.0</v>
      </c>
    </row>
    <row r="2985">
      <c r="A2985" s="40">
        <f t="array" ref="A2985">IFNA(index(PlayerValues!A:A,match(IFNA(vlookup(B2985,'Special Names'!A:B,2,FALSE),B2985),PlayerValues!E:E,0)),"N/A")</f>
        <v>17232</v>
      </c>
      <c r="B2985" s="4" t="s">
        <v>784</v>
      </c>
      <c r="C2985" s="4" t="s">
        <v>287</v>
      </c>
      <c r="D2985" s="94">
        <v>501.0</v>
      </c>
    </row>
    <row r="2986">
      <c r="A2986" s="40">
        <f t="array" ref="A2986">IFNA(index(PlayerValues!A:A,match(IFNA(vlookup(B2986,'Special Names'!A:B,2,FALSE),B2986),PlayerValues!E:E,0)),"N/A")</f>
        <v>14223</v>
      </c>
      <c r="B2986" s="4" t="s">
        <v>785</v>
      </c>
      <c r="C2986" s="4" t="s">
        <v>278</v>
      </c>
      <c r="D2986" s="94">
        <v>499.0</v>
      </c>
    </row>
    <row r="2987">
      <c r="A2987" s="40">
        <f t="array" ref="A2987">IFNA(index(PlayerValues!A:A,match(IFNA(vlookup(B2987,'Special Names'!A:B,2,FALSE),B2987),PlayerValues!E:E,0)),"N/A")</f>
        <v>13143</v>
      </c>
      <c r="B2987" s="4" t="s">
        <v>786</v>
      </c>
      <c r="C2987" s="4" t="s">
        <v>278</v>
      </c>
      <c r="D2987" s="94">
        <v>487.0</v>
      </c>
    </row>
    <row r="2988">
      <c r="A2988" s="40">
        <f t="array" ref="A2988">IFNA(index(PlayerValues!A:A,match(IFNA(vlookup(B2988,'Special Names'!A:B,2,FALSE),B2988),PlayerValues!E:E,0)),"N/A")</f>
        <v>16299</v>
      </c>
      <c r="B2988" s="4" t="s">
        <v>787</v>
      </c>
      <c r="C2988" s="4" t="s">
        <v>287</v>
      </c>
      <c r="D2988" s="94">
        <v>486.0</v>
      </c>
    </row>
    <row r="2989">
      <c r="A2989" s="40">
        <f t="array" ref="A2989">IFNA(index(PlayerValues!A:A,match(IFNA(vlookup(B2989,'Special Names'!A:B,2,FALSE),B2989),PlayerValues!E:E,0)),"N/A")</f>
        <v>14113</v>
      </c>
      <c r="B2989" s="4" t="s">
        <v>788</v>
      </c>
      <c r="C2989" s="4" t="s">
        <v>287</v>
      </c>
      <c r="D2989" s="94">
        <v>483.0</v>
      </c>
    </row>
    <row r="2990">
      <c r="A2990" s="40">
        <f t="array" ref="A2990">IFNA(index(PlayerValues!A:A,match(IFNA(vlookup(B2990,'Special Names'!A:B,2,FALSE),B2990),PlayerValues!E:E,0)),"N/A")</f>
        <v>14864</v>
      </c>
      <c r="B2990" s="4" t="s">
        <v>789</v>
      </c>
      <c r="C2990" s="4" t="s">
        <v>287</v>
      </c>
      <c r="D2990" s="94">
        <v>483.0</v>
      </c>
    </row>
    <row r="2991">
      <c r="A2991" s="40">
        <f t="array" ref="A2991">IFNA(index(PlayerValues!A:A,match(IFNA(vlookup(B2991,'Special Names'!A:B,2,FALSE),B2991),PlayerValues!E:E,0)),"N/A")</f>
        <v>14076</v>
      </c>
      <c r="B2991" s="4" t="s">
        <v>790</v>
      </c>
      <c r="C2991" s="4" t="s">
        <v>278</v>
      </c>
      <c r="D2991" s="94">
        <v>480.0</v>
      </c>
    </row>
    <row r="2992">
      <c r="A2992" s="40">
        <f t="array" ref="A2992">IFNA(index(PlayerValues!A:A,match(IFNA(vlookup(B2992,'Special Names'!A:B,2,FALSE),B2992),PlayerValues!E:E,0)),"N/A")</f>
        <v>15965</v>
      </c>
      <c r="B2992" s="4" t="s">
        <v>791</v>
      </c>
      <c r="C2992" s="4" t="s">
        <v>278</v>
      </c>
      <c r="D2992" s="94">
        <v>478.0</v>
      </c>
    </row>
    <row r="2993">
      <c r="A2993" s="40">
        <f t="array" ref="A2993">IFNA(index(PlayerValues!A:A,match(IFNA(vlookup(B2993,'Special Names'!A:B,2,FALSE),B2993),PlayerValues!E:E,0)),"N/A")</f>
        <v>15285</v>
      </c>
      <c r="B2993" s="4" t="s">
        <v>792</v>
      </c>
      <c r="C2993" s="4" t="s">
        <v>287</v>
      </c>
      <c r="D2993" s="94">
        <v>476.0</v>
      </c>
    </row>
    <row r="2994">
      <c r="A2994" s="40">
        <f t="array" ref="A2994">IFNA(index(PlayerValues!A:A,match(IFNA(vlookup(B2994,'Special Names'!A:B,2,FALSE),B2994),PlayerValues!E:E,0)),"N/A")</f>
        <v>17337</v>
      </c>
      <c r="B2994" s="4" t="s">
        <v>793</v>
      </c>
      <c r="C2994" s="4" t="s">
        <v>278</v>
      </c>
      <c r="D2994" s="94">
        <v>475.0</v>
      </c>
    </row>
    <row r="2995">
      <c r="A2995" s="40">
        <f t="array" ref="A2995">IFNA(index(PlayerValues!A:A,match(IFNA(vlookup(B2995,'Special Names'!A:B,2,FALSE),B2995),PlayerValues!E:E,0)),"N/A")</f>
        <v>15796</v>
      </c>
      <c r="B2995" s="4" t="s">
        <v>794</v>
      </c>
      <c r="C2995" s="4" t="s">
        <v>298</v>
      </c>
      <c r="D2995" s="94">
        <v>819.0</v>
      </c>
    </row>
    <row r="2996">
      <c r="A2996" s="40">
        <f t="array" ref="A2996">IFNA(index(PlayerValues!A:A,match(IFNA(vlookup(B2996,'Special Names'!A:B,2,FALSE),B2996),PlayerValues!E:E,0)),"N/A")</f>
        <v>15720</v>
      </c>
      <c r="B2996" s="4" t="s">
        <v>795</v>
      </c>
      <c r="C2996" s="4" t="s">
        <v>278</v>
      </c>
      <c r="D2996" s="94">
        <v>469.0</v>
      </c>
    </row>
    <row r="2997">
      <c r="A2997" s="40">
        <f t="array" ref="A2997">IFNA(index(PlayerValues!A:A,match(IFNA(vlookup(B2997,'Special Names'!A:B,2,FALSE),B2997),PlayerValues!E:E,0)),"N/A")</f>
        <v>16624</v>
      </c>
      <c r="B2997" s="4" t="s">
        <v>796</v>
      </c>
      <c r="C2997" s="4" t="s">
        <v>287</v>
      </c>
      <c r="D2997" s="94">
        <v>469.0</v>
      </c>
    </row>
    <row r="2998">
      <c r="A2998" s="40">
        <f t="array" ref="A2998">IFNA(index(PlayerValues!A:A,match(IFNA(vlookup(B2998,'Special Names'!A:B,2,FALSE),B2998),PlayerValues!E:E,0)),"N/A")</f>
        <v>17348</v>
      </c>
      <c r="B2998" s="4" t="s">
        <v>797</v>
      </c>
      <c r="C2998" s="4" t="s">
        <v>278</v>
      </c>
      <c r="D2998" s="94">
        <v>467.0</v>
      </c>
    </row>
    <row r="2999">
      <c r="A2999" s="40">
        <f t="array" ref="A2999">IFNA(index(PlayerValues!A:A,match(IFNA(vlookup(B2999,'Special Names'!A:B,2,FALSE),B2999),PlayerValues!E:E,0)),"N/A")</f>
        <v>15723</v>
      </c>
      <c r="B2999" s="4" t="s">
        <v>798</v>
      </c>
      <c r="C2999" s="4" t="s">
        <v>278</v>
      </c>
      <c r="D2999" s="94">
        <v>463.0</v>
      </c>
    </row>
    <row r="3000">
      <c r="A3000" s="40">
        <f t="array" ref="A3000">IFNA(index(PlayerValues!A:A,match(IFNA(vlookup(B3000,'Special Names'!A:B,2,FALSE),B3000),PlayerValues!E:E,0)),"N/A")</f>
        <v>14858</v>
      </c>
      <c r="B3000" s="4" t="s">
        <v>799</v>
      </c>
      <c r="C3000" s="4" t="s">
        <v>287</v>
      </c>
      <c r="D3000" s="94">
        <v>462.0</v>
      </c>
    </row>
    <row r="3001">
      <c r="A3001" s="40">
        <f t="array" ref="A3001">IFNA(index(PlayerValues!A:A,match(IFNA(vlookup(B3001,'Special Names'!A:B,2,FALSE),B3001),PlayerValues!E:E,0)),"N/A")</f>
        <v>16161</v>
      </c>
      <c r="B3001" s="4" t="s">
        <v>277</v>
      </c>
      <c r="C3001" s="4" t="s">
        <v>278</v>
      </c>
      <c r="D3001" s="94">
        <v>9999.0</v>
      </c>
    </row>
    <row r="3002">
      <c r="A3002" s="40">
        <f t="array" ref="A3002">IFNA(index(PlayerValues!A:A,match(IFNA(vlookup(B3002,'Special Names'!A:B,2,FALSE),B3002),PlayerValues!E:E,0)),"N/A")</f>
        <v>16162</v>
      </c>
      <c r="B3002" s="4" t="s">
        <v>281</v>
      </c>
      <c r="C3002" s="4" t="s">
        <v>278</v>
      </c>
      <c r="D3002" s="94">
        <v>9999.0</v>
      </c>
    </row>
    <row r="3003">
      <c r="A3003" s="40">
        <f t="array" ref="A3003">IFNA(index(PlayerValues!A:A,match(IFNA(vlookup(B3003,'Special Names'!A:B,2,FALSE),B3003),PlayerValues!E:E,0)),"N/A")</f>
        <v>13589</v>
      </c>
      <c r="B3003" s="4" t="s">
        <v>282</v>
      </c>
      <c r="C3003" s="4" t="s">
        <v>283</v>
      </c>
      <c r="D3003" s="94">
        <v>9994.0</v>
      </c>
    </row>
    <row r="3004">
      <c r="A3004" s="40">
        <f t="array" ref="A3004">IFNA(index(PlayerValues!A:A,match(IFNA(vlookup(B3004,'Special Names'!A:B,2,FALSE),B3004),PlayerValues!E:E,0)),"N/A")</f>
        <v>15281</v>
      </c>
      <c r="B3004" s="4" t="s">
        <v>286</v>
      </c>
      <c r="C3004" s="4" t="s">
        <v>287</v>
      </c>
      <c r="D3004" s="94">
        <v>9978.0</v>
      </c>
    </row>
    <row r="3005">
      <c r="A3005" s="40">
        <f t="array" ref="A3005">IFNA(index(PlayerValues!A:A,match(IFNA(vlookup(B3005,'Special Names'!A:B,2,FALSE),B3005),PlayerValues!E:E,0)),"N/A")</f>
        <v>16185</v>
      </c>
      <c r="B3005" s="4" t="s">
        <v>290</v>
      </c>
      <c r="C3005" s="4" t="s">
        <v>287</v>
      </c>
      <c r="D3005" s="94">
        <v>9196.0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8898.0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8581.0</v>
      </c>
    </row>
    <row r="3008">
      <c r="A3008" s="40">
        <f t="array" ref="A3008">IFNA(index(PlayerValues!A:A,match(IFNA(vlookup(B3008,'Special Names'!A:B,2,FALSE),B3008),PlayerValues!E:E,0)),"N/A")</f>
        <v>16641</v>
      </c>
      <c r="B3008" s="4" t="s">
        <v>297</v>
      </c>
      <c r="C3008" s="4" t="s">
        <v>298</v>
      </c>
      <c r="D3008" s="94">
        <v>9140.0</v>
      </c>
    </row>
    <row r="3009">
      <c r="A3009" s="40">
        <f t="array" ref="A3009">IFNA(index(PlayerValues!A:A,match(IFNA(vlookup(B3009,'Special Names'!A:B,2,FALSE),B3009),PlayerValues!E:E,0)),"N/A")</f>
        <v>15287</v>
      </c>
      <c r="B3009" s="4" t="s">
        <v>299</v>
      </c>
      <c r="C3009" s="4" t="s">
        <v>287</v>
      </c>
      <c r="D3009" s="94">
        <v>8189.0</v>
      </c>
    </row>
    <row r="3010">
      <c r="A3010" s="40">
        <f t="array" ref="A3010">IFNA(index(PlayerValues!A:A,match(IFNA(vlookup(B3010,'Special Names'!A:B,2,FALSE),B3010),PlayerValues!E:E,0)),"N/A")</f>
        <v>16579</v>
      </c>
      <c r="B3010" s="4" t="s">
        <v>302</v>
      </c>
      <c r="C3010" s="4" t="s">
        <v>283</v>
      </c>
      <c r="D3010" s="94">
        <v>7817.0</v>
      </c>
    </row>
    <row r="3011">
      <c r="A3011" s="40">
        <f t="array" ref="A3011">IFNA(index(PlayerValues!A:A,match(IFNA(vlookup(B3011,'Special Names'!A:B,2,FALSE),B3011),PlayerValues!E:E,0)),"N/A")</f>
        <v>13593</v>
      </c>
      <c r="B3011" s="4" t="s">
        <v>305</v>
      </c>
      <c r="C3011" s="4" t="s">
        <v>283</v>
      </c>
      <c r="D3011" s="94">
        <v>7542.0</v>
      </c>
    </row>
    <row r="3012">
      <c r="A3012" s="40">
        <f t="array" ref="A3012">IFNA(index(PlayerValues!A:A,match(IFNA(vlookup(B3012,'Special Names'!A:B,2,FALSE),B3012),PlayerValues!E:E,0)),"N/A")</f>
        <v>14836</v>
      </c>
      <c r="B3012" s="4" t="s">
        <v>306</v>
      </c>
      <c r="C3012" s="4" t="s">
        <v>287</v>
      </c>
      <c r="D3012" s="94">
        <v>7390.0</v>
      </c>
    </row>
    <row r="3013">
      <c r="A3013" s="40">
        <f t="array" ref="A3013">IFNA(index(PlayerValues!A:A,match(IFNA(vlookup(B3013,'Special Names'!A:B,2,FALSE),B3013),PlayerValues!E:E,0)),"N/A")</f>
        <v>16615</v>
      </c>
      <c r="B3013" s="4" t="s">
        <v>309</v>
      </c>
      <c r="C3013" s="4" t="s">
        <v>287</v>
      </c>
      <c r="D3013" s="94">
        <v>7362.0</v>
      </c>
    </row>
    <row r="3014">
      <c r="A3014" s="40">
        <f t="array" ref="A3014">IFNA(index(PlayerValues!A:A,match(IFNA(vlookup(B3014,'Special Names'!A:B,2,FALSE),B3014),PlayerValues!E:E,0)),"N/A")</f>
        <v>17472</v>
      </c>
      <c r="B3014" s="4" t="s">
        <v>310</v>
      </c>
      <c r="C3014" s="4" t="s">
        <v>278</v>
      </c>
      <c r="D3014" s="94">
        <v>7334.0</v>
      </c>
    </row>
    <row r="3015">
      <c r="A3015" s="40">
        <f t="array" ref="A3015">IFNA(index(PlayerValues!A:A,match(IFNA(vlookup(B3015,'Special Names'!A:B,2,FALSE),B3015),PlayerValues!E:E,0)),"N/A")</f>
        <v>15794</v>
      </c>
      <c r="B3015" s="4" t="s">
        <v>313</v>
      </c>
      <c r="C3015" s="4" t="s">
        <v>298</v>
      </c>
      <c r="D3015" s="94">
        <v>8091.0</v>
      </c>
    </row>
    <row r="3016">
      <c r="A3016" s="40">
        <f t="array" ref="A3016">IFNA(index(PlayerValues!A:A,match(IFNA(vlookup(B3016,'Special Names'!A:B,2,FALSE),B3016),PlayerValues!E:E,0)),"N/A")</f>
        <v>17042</v>
      </c>
      <c r="B3016" s="4" t="s">
        <v>314</v>
      </c>
      <c r="C3016" s="4" t="s">
        <v>278</v>
      </c>
      <c r="D3016" s="94">
        <v>7295.0</v>
      </c>
    </row>
    <row r="3017">
      <c r="A3017" s="40">
        <f t="array" ref="A3017">IFNA(index(PlayerValues!A:A,match(IFNA(vlookup(B3017,'Special Names'!A:B,2,FALSE),B3017),PlayerValues!E:E,0)),"N/A")</f>
        <v>16581</v>
      </c>
      <c r="B3017" s="4" t="s">
        <v>315</v>
      </c>
      <c r="C3017" s="4" t="s">
        <v>283</v>
      </c>
      <c r="D3017" s="94">
        <v>7267.0</v>
      </c>
    </row>
    <row r="3018">
      <c r="A3018" s="40">
        <f t="array" ref="A3018">IFNA(index(PlayerValues!A:A,match(IFNA(vlookup(B3018,'Special Names'!A:B,2,FALSE),B3018),PlayerValues!E:E,0)),"N/A")</f>
        <v>14777</v>
      </c>
      <c r="B3018" s="4" t="s">
        <v>318</v>
      </c>
      <c r="C3018" s="4" t="s">
        <v>283</v>
      </c>
      <c r="D3018" s="94">
        <v>7236.0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7194.0</v>
      </c>
    </row>
    <row r="3020">
      <c r="A3020" s="40">
        <f t="array" ref="A3020">IFNA(index(PlayerValues!A:A,match(IFNA(vlookup(B3020,'Special Names'!A:B,2,FALSE),B3020),PlayerValues!E:E,0)),"N/A")</f>
        <v>17044</v>
      </c>
      <c r="B3020" s="4" t="s">
        <v>322</v>
      </c>
      <c r="C3020" s="4" t="s">
        <v>278</v>
      </c>
      <c r="D3020" s="94">
        <v>6966.0</v>
      </c>
    </row>
    <row r="3021">
      <c r="A3021" s="40">
        <f t="array" ref="A3021">IFNA(index(PlayerValues!A:A,match(IFNA(vlookup(B3021,'Special Names'!A:B,2,FALSE),B3021),PlayerValues!E:E,0)),"N/A")</f>
        <v>16167</v>
      </c>
      <c r="B3021" s="4" t="s">
        <v>323</v>
      </c>
      <c r="C3021" s="4" t="s">
        <v>278</v>
      </c>
      <c r="D3021" s="94">
        <v>6948.0</v>
      </c>
    </row>
    <row r="3022">
      <c r="A3022" s="40" t="str">
        <f t="array" ref="A3022">IFNA(index(PlayerValues!A:A,match(IFNA(vlookup(B3022,'Special Names'!A:B,2,FALSE),B3022),PlayerValues!E:E,0)),"N/A")</f>
        <v>N/A</v>
      </c>
      <c r="B3022" s="4" t="s">
        <v>92</v>
      </c>
      <c r="C3022" s="4" t="s">
        <v>325</v>
      </c>
      <c r="D3022" s="94">
        <v>6938.0</v>
      </c>
    </row>
    <row r="3023">
      <c r="A3023" s="40">
        <f t="array" ref="A3023">IFNA(index(PlayerValues!A:A,match(IFNA(vlookup(B3023,'Special Names'!A:B,2,FALSE),B3023),PlayerValues!E:E,0)),"N/A")</f>
        <v>14779</v>
      </c>
      <c r="B3023" s="4" t="s">
        <v>327</v>
      </c>
      <c r="C3023" s="4" t="s">
        <v>283</v>
      </c>
      <c r="D3023" s="94">
        <v>6936.0</v>
      </c>
    </row>
    <row r="3024">
      <c r="A3024" s="40">
        <f t="array" ref="A3024">IFNA(index(PlayerValues!A:A,match(IFNA(vlookup(B3024,'Special Names'!A:B,2,FALSE),B3024),PlayerValues!E:E,0)),"N/A")</f>
        <v>15751</v>
      </c>
      <c r="B3024" s="4" t="s">
        <v>328</v>
      </c>
      <c r="C3024" s="4" t="s">
        <v>287</v>
      </c>
      <c r="D3024" s="94">
        <v>6795.0</v>
      </c>
    </row>
    <row r="3025">
      <c r="A3025" s="40">
        <f t="array" ref="A3025">IFNA(index(PlayerValues!A:A,match(IFNA(vlookup(B3025,'Special Names'!A:B,2,FALSE),B3025),PlayerValues!E:E,0)),"N/A")</f>
        <v>15715</v>
      </c>
      <c r="B3025" s="4" t="s">
        <v>331</v>
      </c>
      <c r="C3025" s="4" t="s">
        <v>278</v>
      </c>
      <c r="D3025" s="94">
        <v>6521.0</v>
      </c>
    </row>
    <row r="3026">
      <c r="A3026" s="40">
        <f t="array" ref="A3026">IFNA(index(PlayerValues!A:A,match(IFNA(vlookup(B3026,'Special Names'!A:B,2,FALSE),B3026),PlayerValues!E:E,0)),"N/A")</f>
        <v>14802</v>
      </c>
      <c r="B3026" s="4" t="s">
        <v>332</v>
      </c>
      <c r="C3026" s="4" t="s">
        <v>278</v>
      </c>
      <c r="D3026" s="94">
        <v>6377.0</v>
      </c>
    </row>
    <row r="3027">
      <c r="A3027" s="40">
        <f t="array" ref="A3027">IFNA(index(PlayerValues!A:A,match(IFNA(vlookup(B3027,'Special Names'!A:B,2,FALSE),B3027),PlayerValues!E:E,0)),"N/A")</f>
        <v>17104</v>
      </c>
      <c r="B3027" s="4" t="s">
        <v>333</v>
      </c>
      <c r="C3027" s="4" t="s">
        <v>298</v>
      </c>
      <c r="D3027" s="94">
        <v>7040.0</v>
      </c>
    </row>
    <row r="3028">
      <c r="A3028" s="40">
        <f t="array" ref="A3028">IFNA(index(PlayerValues!A:A,match(IFNA(vlookup(B3028,'Special Names'!A:B,2,FALSE),B3028),PlayerValues!E:E,0)),"N/A")</f>
        <v>15237</v>
      </c>
      <c r="B3028" s="4" t="s">
        <v>336</v>
      </c>
      <c r="C3028" s="4" t="s">
        <v>283</v>
      </c>
      <c r="D3028" s="94">
        <v>6319.0</v>
      </c>
    </row>
    <row r="3029">
      <c r="A3029" s="40">
        <f t="array" ref="A3029">IFNA(index(PlayerValues!A:A,match(IFNA(vlookup(B3029,'Special Names'!A:B,2,FALSE),B3029),PlayerValues!E:E,0)),"N/A")</f>
        <v>15762</v>
      </c>
      <c r="B3029" s="4" t="s">
        <v>337</v>
      </c>
      <c r="C3029" s="4" t="s">
        <v>287</v>
      </c>
      <c r="D3029" s="94">
        <v>6253.0</v>
      </c>
    </row>
    <row r="3030">
      <c r="A3030" s="40">
        <f t="array" ref="A3030">IFNA(index(PlayerValues!A:A,match(IFNA(vlookup(B3030,'Special Names'!A:B,2,FALSE),B3030),PlayerValues!E:E,0)),"N/A")</f>
        <v>17081</v>
      </c>
      <c r="B3030" s="4" t="s">
        <v>340</v>
      </c>
      <c r="C3030" s="4" t="s">
        <v>287</v>
      </c>
      <c r="D3030" s="94">
        <v>6191.0</v>
      </c>
    </row>
    <row r="3031">
      <c r="A3031" s="40">
        <f t="array" ref="A3031">IFNA(index(PlayerValues!A:A,match(IFNA(vlookup(B3031,'Special Names'!A:B,2,FALSE),B3031),PlayerValues!E:E,0)),"N/A")</f>
        <v>17071</v>
      </c>
      <c r="B3031" s="4" t="s">
        <v>341</v>
      </c>
      <c r="C3031" s="4" t="s">
        <v>287</v>
      </c>
      <c r="D3031" s="94">
        <v>6187.0</v>
      </c>
    </row>
    <row r="3032">
      <c r="A3032" s="40">
        <f t="array" ref="A3032">IFNA(index(PlayerValues!A:A,match(IFNA(vlookup(B3032,'Special Names'!A:B,2,FALSE),B3032),PlayerValues!E:E,0)),"N/A")</f>
        <v>14783</v>
      </c>
      <c r="B3032" s="4" t="s">
        <v>342</v>
      </c>
      <c r="C3032" s="4" t="s">
        <v>283</v>
      </c>
      <c r="D3032" s="94">
        <v>6041.0</v>
      </c>
    </row>
    <row r="3033">
      <c r="A3033" s="40">
        <f t="array" ref="A3033">IFNA(index(PlayerValues!A:A,match(IFNA(vlookup(B3033,'Special Names'!A:B,2,FALSE),B3033),PlayerValues!E:E,0)),"N/A")</f>
        <v>16582</v>
      </c>
      <c r="B3033" s="4" t="s">
        <v>343</v>
      </c>
      <c r="C3033" s="4" t="s">
        <v>283</v>
      </c>
      <c r="D3033" s="94">
        <v>6025.0</v>
      </c>
    </row>
    <row r="3034">
      <c r="A3034" s="40">
        <f t="array" ref="A3034">IFNA(index(PlayerValues!A:A,match(IFNA(vlookup(B3034,'Special Names'!A:B,2,FALSE),B3034),PlayerValues!E:E,0)),"N/A")</f>
        <v>17102</v>
      </c>
      <c r="B3034" s="4" t="s">
        <v>344</v>
      </c>
      <c r="C3034" s="4" t="s">
        <v>298</v>
      </c>
      <c r="D3034" s="94">
        <v>6638.0</v>
      </c>
    </row>
    <row r="3035">
      <c r="A3035" s="40">
        <f t="array" ref="A3035">IFNA(index(PlayerValues!A:A,match(IFNA(vlookup(B3035,'Special Names'!A:B,2,FALSE),B3035),PlayerValues!E:E,0)),"N/A")</f>
        <v>13116</v>
      </c>
      <c r="B3035" s="4" t="s">
        <v>345</v>
      </c>
      <c r="C3035" s="4" t="s">
        <v>283</v>
      </c>
      <c r="D3035" s="94">
        <v>5960.0</v>
      </c>
    </row>
    <row r="3036">
      <c r="A3036" s="40">
        <f t="array" ref="A3036">IFNA(index(PlayerValues!A:A,match(IFNA(vlookup(B3036,'Special Names'!A:B,2,FALSE),B3036),PlayerValues!E:E,0)),"N/A")</f>
        <v>17032</v>
      </c>
      <c r="B3036" s="4" t="s">
        <v>348</v>
      </c>
      <c r="C3036" s="4" t="s">
        <v>283</v>
      </c>
      <c r="D3036" s="94">
        <v>5886.0</v>
      </c>
    </row>
    <row r="3037">
      <c r="A3037" s="40">
        <f t="array" ref="A3037">IFNA(index(PlayerValues!A:A,match(IFNA(vlookup(B3037,'Special Names'!A:B,2,FALSE),B3037),PlayerValues!E:E,0)),"N/A")</f>
        <v>15711</v>
      </c>
      <c r="B3037" s="4" t="s">
        <v>349</v>
      </c>
      <c r="C3037" s="4" t="s">
        <v>278</v>
      </c>
      <c r="D3037" s="94">
        <v>5750.0</v>
      </c>
    </row>
    <row r="3038">
      <c r="A3038" s="40">
        <f t="array" ref="A3038">IFNA(index(PlayerValues!A:A,match(IFNA(vlookup(B3038,'Special Names'!A:B,2,FALSE),B3038),PlayerValues!E:E,0)),"N/A")</f>
        <v>16181</v>
      </c>
      <c r="B3038" s="4" t="s">
        <v>350</v>
      </c>
      <c r="C3038" s="4" t="s">
        <v>278</v>
      </c>
      <c r="D3038" s="94">
        <v>5745.0</v>
      </c>
    </row>
    <row r="3039">
      <c r="A3039" s="40">
        <f t="array" ref="A3039">IFNA(index(PlayerValues!A:A,match(IFNA(vlookup(B3039,'Special Names'!A:B,2,FALSE),B3039),PlayerValues!E:E,0)),"N/A")</f>
        <v>16627</v>
      </c>
      <c r="B3039" s="4" t="s">
        <v>351</v>
      </c>
      <c r="C3039" s="4" t="s">
        <v>287</v>
      </c>
      <c r="D3039" s="94">
        <v>5742.0</v>
      </c>
    </row>
    <row r="3040">
      <c r="A3040" s="40">
        <f t="array" ref="A3040">IFNA(index(PlayerValues!A:A,match(IFNA(vlookup(B3040,'Special Names'!A:B,2,FALSE),B3040),PlayerValues!E:E,0)),"N/A")</f>
        <v>15754</v>
      </c>
      <c r="B3040" s="4" t="s">
        <v>354</v>
      </c>
      <c r="C3040" s="4" t="s">
        <v>287</v>
      </c>
      <c r="D3040" s="94">
        <v>5739.0</v>
      </c>
    </row>
    <row r="3041">
      <c r="A3041" s="40">
        <f t="array" ref="A3041">IFNA(index(PlayerValues!A:A,match(IFNA(vlookup(B3041,'Special Names'!A:B,2,FALSE),B3041),PlayerValues!E:E,0)),"N/A")</f>
        <v>15290</v>
      </c>
      <c r="B3041" s="4" t="s">
        <v>355</v>
      </c>
      <c r="C3041" s="4" t="s">
        <v>287</v>
      </c>
      <c r="D3041" s="94">
        <v>5732.0</v>
      </c>
    </row>
    <row r="3042">
      <c r="A3042" s="40">
        <f t="array" ref="A3042">IFNA(index(PlayerValues!A:A,match(IFNA(vlookup(B3042,'Special Names'!A:B,2,FALSE),B3042),PlayerValues!E:E,0)),"N/A")</f>
        <v>15698</v>
      </c>
      <c r="B3042" s="4" t="s">
        <v>358</v>
      </c>
      <c r="C3042" s="4" t="s">
        <v>283</v>
      </c>
      <c r="D3042" s="94">
        <v>5659.0</v>
      </c>
    </row>
    <row r="3043">
      <c r="A3043" s="40">
        <f t="array" ref="A3043">IFNA(index(PlayerValues!A:A,match(IFNA(vlookup(B3043,'Special Names'!A:B,2,FALSE),B3043),PlayerValues!E:E,0)),"N/A")</f>
        <v>15753</v>
      </c>
      <c r="B3043" s="4" t="s">
        <v>359</v>
      </c>
      <c r="C3043" s="4" t="s">
        <v>287</v>
      </c>
      <c r="D3043" s="94">
        <v>5652.0</v>
      </c>
    </row>
    <row r="3044">
      <c r="A3044" s="40" t="str">
        <f t="array" ref="A3044">IFNA(index(PlayerValues!A:A,match(IFNA(vlookup(B3044,'Special Names'!A:B,2,FALSE),B3044),PlayerValues!E:E,0)),"N/A")</f>
        <v>N/A</v>
      </c>
      <c r="B3044" s="4" t="s">
        <v>93</v>
      </c>
      <c r="C3044" s="4" t="s">
        <v>325</v>
      </c>
      <c r="D3044" s="94">
        <v>5600.0</v>
      </c>
    </row>
    <row r="3045">
      <c r="A3045" s="40">
        <f t="array" ref="A3045">IFNA(index(PlayerValues!A:A,match(IFNA(vlookup(B3045,'Special Names'!A:B,2,FALSE),B3045),PlayerValues!E:E,0)),"N/A")</f>
        <v>15282</v>
      </c>
      <c r="B3045" s="4" t="s">
        <v>364</v>
      </c>
      <c r="C3045" s="4" t="s">
        <v>287</v>
      </c>
      <c r="D3045" s="94">
        <v>5569.0</v>
      </c>
    </row>
    <row r="3046">
      <c r="A3046" s="40">
        <f t="array" ref="A3046">IFNA(index(PlayerValues!A:A,match(IFNA(vlookup(B3046,'Special Names'!A:B,2,FALSE),B3046),PlayerValues!E:E,0)),"N/A")</f>
        <v>17497</v>
      </c>
      <c r="B3046" s="4" t="s">
        <v>365</v>
      </c>
      <c r="C3046" s="4" t="s">
        <v>287</v>
      </c>
      <c r="D3046" s="94">
        <v>5568.0</v>
      </c>
    </row>
    <row r="3047">
      <c r="A3047" s="40" t="str">
        <f t="array" ref="A3047">IFNA(index(PlayerValues!A:A,match(IFNA(vlookup(B3047,'Special Names'!A:B,2,FALSE),B3047),PlayerValues!E:E,0)),"N/A")</f>
        <v>N/A</v>
      </c>
      <c r="B3047" s="4" t="s">
        <v>79</v>
      </c>
      <c r="C3047" s="4" t="s">
        <v>325</v>
      </c>
      <c r="D3047" s="94">
        <v>5527.0</v>
      </c>
    </row>
    <row r="3048">
      <c r="A3048" s="40">
        <f t="array" ref="A3048">IFNA(index(PlayerValues!A:A,match(IFNA(vlookup(B3048,'Special Names'!A:B,2,FALSE),B3048),PlayerValues!E:E,0)),"N/A")</f>
        <v>17070</v>
      </c>
      <c r="B3048" s="4" t="s">
        <v>370</v>
      </c>
      <c r="C3048" s="4" t="s">
        <v>287</v>
      </c>
      <c r="D3048" s="94">
        <v>5497.0</v>
      </c>
    </row>
    <row r="3049">
      <c r="A3049" s="40">
        <f t="array" ref="A3049">IFNA(index(PlayerValues!A:A,match(IFNA(vlookup(B3049,'Special Names'!A:B,2,FALSE),B3049),PlayerValues!E:E,0)),"N/A")</f>
        <v>16190</v>
      </c>
      <c r="B3049" s="4" t="s">
        <v>371</v>
      </c>
      <c r="C3049" s="4" t="s">
        <v>287</v>
      </c>
      <c r="D3049" s="94">
        <v>5339.0</v>
      </c>
    </row>
    <row r="3050">
      <c r="A3050" s="40">
        <f t="array" ref="A3050">IFNA(index(PlayerValues!A:A,match(IFNA(vlookup(B3050,'Special Names'!A:B,2,FALSE),B3050),PlayerValues!E:E,0)),"N/A")</f>
        <v>13130</v>
      </c>
      <c r="B3050" s="4" t="s">
        <v>374</v>
      </c>
      <c r="C3050" s="4" t="s">
        <v>278</v>
      </c>
      <c r="D3050" s="94">
        <v>5305.0</v>
      </c>
    </row>
    <row r="3051">
      <c r="A3051" s="40">
        <f t="array" ref="A3051">IFNA(index(PlayerValues!A:A,match(IFNA(vlookup(B3051,'Special Names'!A:B,2,FALSE),B3051),PlayerValues!E:E,0)),"N/A")</f>
        <v>17462</v>
      </c>
      <c r="B3051" s="4" t="s">
        <v>375</v>
      </c>
      <c r="C3051" s="4" t="s">
        <v>283</v>
      </c>
      <c r="D3051" s="94">
        <v>5303.0</v>
      </c>
    </row>
    <row r="3052">
      <c r="A3052" s="40">
        <f t="array" ref="A3052">IFNA(index(PlayerValues!A:A,match(IFNA(vlookup(B3052,'Special Names'!A:B,2,FALSE),B3052),PlayerValues!E:E,0)),"N/A")</f>
        <v>13604</v>
      </c>
      <c r="B3052" s="4" t="s">
        <v>378</v>
      </c>
      <c r="C3052" s="4" t="s">
        <v>278</v>
      </c>
      <c r="D3052" s="94">
        <v>5288.0</v>
      </c>
    </row>
    <row r="3053">
      <c r="A3053" s="40">
        <f t="array" ref="A3053">IFNA(index(PlayerValues!A:A,match(IFNA(vlookup(B3053,'Special Names'!A:B,2,FALSE),B3053),PlayerValues!E:E,0)),"N/A")</f>
        <v>14104</v>
      </c>
      <c r="B3053" s="4" t="s">
        <v>379</v>
      </c>
      <c r="C3053" s="4" t="s">
        <v>287</v>
      </c>
      <c r="D3053" s="94">
        <v>5287.0</v>
      </c>
    </row>
    <row r="3054">
      <c r="A3054" s="40">
        <f t="array" ref="A3054">IFNA(index(PlayerValues!A:A,match(IFNA(vlookup(B3054,'Special Names'!A:B,2,FALSE),B3054),PlayerValues!E:E,0)),"N/A")</f>
        <v>15708</v>
      </c>
      <c r="B3054" s="4" t="s">
        <v>382</v>
      </c>
      <c r="C3054" s="4" t="s">
        <v>278</v>
      </c>
      <c r="D3054" s="94">
        <v>5287.0</v>
      </c>
    </row>
    <row r="3055">
      <c r="A3055" s="40">
        <f t="array" ref="A3055">IFNA(index(PlayerValues!A:A,match(IFNA(vlookup(B3055,'Special Names'!A:B,2,FALSE),B3055),PlayerValues!E:E,0)),"N/A")</f>
        <v>14782</v>
      </c>
      <c r="B3055" s="4" t="s">
        <v>385</v>
      </c>
      <c r="C3055" s="4" t="s">
        <v>283</v>
      </c>
      <c r="D3055" s="94">
        <v>5284.0</v>
      </c>
    </row>
    <row r="3056">
      <c r="A3056" s="40" t="str">
        <f t="array" ref="A3056">IFNA(index(PlayerValues!A:A,match(IFNA(vlookup(B3056,'Special Names'!A:B,2,FALSE),B3056),PlayerValues!E:E,0)),"N/A")</f>
        <v>N/A</v>
      </c>
      <c r="B3056" s="4" t="s">
        <v>104</v>
      </c>
      <c r="C3056" s="4" t="s">
        <v>325</v>
      </c>
      <c r="D3056" s="94">
        <v>5247.0</v>
      </c>
    </row>
    <row r="3057">
      <c r="A3057" s="40">
        <f t="array" ref="A3057">IFNA(index(PlayerValues!A:A,match(IFNA(vlookup(B3057,'Special Names'!A:B,2,FALSE),B3057),PlayerValues!E:E,0)),"N/A")</f>
        <v>17051</v>
      </c>
      <c r="B3057" s="4" t="s">
        <v>386</v>
      </c>
      <c r="C3057" s="4" t="s">
        <v>278</v>
      </c>
      <c r="D3057" s="94">
        <v>5241.0</v>
      </c>
    </row>
    <row r="3058">
      <c r="A3058" s="40">
        <f t="array" ref="A3058">IFNA(index(PlayerValues!A:A,match(IFNA(vlookup(B3058,'Special Names'!A:B,2,FALSE),B3058),PlayerValues!E:E,0)),"N/A")</f>
        <v>16616</v>
      </c>
      <c r="B3058" s="4" t="s">
        <v>389</v>
      </c>
      <c r="C3058" s="4" t="s">
        <v>287</v>
      </c>
      <c r="D3058" s="94">
        <v>5222.0</v>
      </c>
    </row>
    <row r="3059">
      <c r="A3059" s="40">
        <f t="array" ref="A3059">IFNA(index(PlayerValues!A:A,match(IFNA(vlookup(B3059,'Special Names'!A:B,2,FALSE),B3059),PlayerValues!E:E,0)),"N/A")</f>
        <v>15284</v>
      </c>
      <c r="B3059" s="4" t="s">
        <v>390</v>
      </c>
      <c r="C3059" s="4" t="s">
        <v>287</v>
      </c>
      <c r="D3059" s="94">
        <v>5191.0</v>
      </c>
    </row>
    <row r="3060">
      <c r="A3060" s="40">
        <f t="array" ref="A3060">IFNA(index(PlayerValues!A:A,match(IFNA(vlookup(B3060,'Special Names'!A:B,2,FALSE),B3060),PlayerValues!E:E,0)),"N/A")</f>
        <v>17473</v>
      </c>
      <c r="B3060" s="4" t="s">
        <v>391</v>
      </c>
      <c r="C3060" s="4" t="s">
        <v>278</v>
      </c>
      <c r="D3060" s="94">
        <v>5116.0</v>
      </c>
    </row>
    <row r="3061">
      <c r="A3061" s="40">
        <f t="array" ref="A3061">IFNA(index(PlayerValues!A:A,match(IFNA(vlookup(B3061,'Special Names'!A:B,2,FALSE),B3061),PlayerValues!E:E,0)),"N/A")</f>
        <v>14835</v>
      </c>
      <c r="B3061" s="4" t="s">
        <v>392</v>
      </c>
      <c r="C3061" s="4" t="s">
        <v>287</v>
      </c>
      <c r="D3061" s="94">
        <v>5095.0</v>
      </c>
    </row>
    <row r="3062">
      <c r="A3062" s="40">
        <f t="array" ref="A3062">IFNA(index(PlayerValues!A:A,match(IFNA(vlookup(B3062,'Special Names'!A:B,2,FALSE),B3062),PlayerValues!E:E,0)),"N/A")</f>
        <v>16222</v>
      </c>
      <c r="B3062" s="4" t="s">
        <v>393</v>
      </c>
      <c r="C3062" s="4" t="s">
        <v>298</v>
      </c>
      <c r="D3062" s="94">
        <v>5638.0</v>
      </c>
    </row>
    <row r="3063">
      <c r="A3063" s="40">
        <f t="array" ref="A3063">IFNA(index(PlayerValues!A:A,match(IFNA(vlookup(B3063,'Special Names'!A:B,2,FALSE),B3063),PlayerValues!E:E,0)),"N/A")</f>
        <v>12620</v>
      </c>
      <c r="B3063" s="4" t="s">
        <v>394</v>
      </c>
      <c r="C3063" s="4" t="s">
        <v>283</v>
      </c>
      <c r="D3063" s="94">
        <v>5050.0</v>
      </c>
    </row>
    <row r="3064">
      <c r="A3064" s="40">
        <f t="array" ref="A3064">IFNA(index(PlayerValues!A:A,match(IFNA(vlookup(B3064,'Special Names'!A:B,2,FALSE),B3064),PlayerValues!E:E,0)),"N/A")</f>
        <v>15710</v>
      </c>
      <c r="B3064" s="4" t="s">
        <v>395</v>
      </c>
      <c r="C3064" s="4" t="s">
        <v>278</v>
      </c>
      <c r="D3064" s="94">
        <v>4953.0</v>
      </c>
    </row>
    <row r="3065">
      <c r="A3065" s="40">
        <f t="array" ref="A3065">IFNA(index(PlayerValues!A:A,match(IFNA(vlookup(B3065,'Special Names'!A:B,2,FALSE),B3065),PlayerValues!E:E,0)),"N/A")</f>
        <v>17498</v>
      </c>
      <c r="B3065" s="4" t="s">
        <v>396</v>
      </c>
      <c r="C3065" s="4" t="s">
        <v>287</v>
      </c>
      <c r="D3065" s="94">
        <v>4948.0</v>
      </c>
    </row>
    <row r="3066">
      <c r="A3066" s="40" t="str">
        <f t="array" ref="A3066">IFNA(index(PlayerValues!A:A,match(IFNA(vlookup(B3066,'Special Names'!A:B,2,FALSE),B3066),PlayerValues!E:E,0)),"N/A")</f>
        <v>N/A</v>
      </c>
      <c r="B3066" s="4" t="s">
        <v>94</v>
      </c>
      <c r="C3066" s="4" t="s">
        <v>325</v>
      </c>
      <c r="D3066" s="94">
        <v>4941.0</v>
      </c>
    </row>
    <row r="3067">
      <c r="A3067" s="40">
        <f t="array" ref="A3067">IFNA(index(PlayerValues!A:A,match(IFNA(vlookup(B3067,'Special Names'!A:B,2,FALSE),B3067),PlayerValues!E:E,0)),"N/A")</f>
        <v>17043</v>
      </c>
      <c r="B3067" s="4" t="s">
        <v>397</v>
      </c>
      <c r="C3067" s="4" t="s">
        <v>278</v>
      </c>
      <c r="D3067" s="94">
        <v>4930.0</v>
      </c>
    </row>
    <row r="3068">
      <c r="A3068" s="40">
        <f t="array" ref="A3068">IFNA(index(PlayerValues!A:A,match(IFNA(vlookup(B3068,'Special Names'!A:B,2,FALSE),B3068),PlayerValues!E:E,0)),"N/A")</f>
        <v>16194</v>
      </c>
      <c r="B3068" s="4" t="s">
        <v>398</v>
      </c>
      <c r="C3068" s="4" t="s">
        <v>287</v>
      </c>
      <c r="D3068" s="94">
        <v>4834.0</v>
      </c>
    </row>
    <row r="3069">
      <c r="A3069" s="40">
        <f t="array" ref="A3069">IFNA(index(PlayerValues!A:A,match(IFNA(vlookup(B3069,'Special Names'!A:B,2,FALSE),B3069),PlayerValues!E:E,0)),"N/A")</f>
        <v>15756</v>
      </c>
      <c r="B3069" s="4" t="s">
        <v>399</v>
      </c>
      <c r="C3069" s="4" t="s">
        <v>287</v>
      </c>
      <c r="D3069" s="94">
        <v>4829.0</v>
      </c>
    </row>
    <row r="3070">
      <c r="A3070" s="40">
        <f t="array" ref="A3070">IFNA(index(PlayerValues!A:A,match(IFNA(vlookup(B3070,'Special Names'!A:B,2,FALSE),B3070),PlayerValues!E:E,0)),"N/A")</f>
        <v>17039</v>
      </c>
      <c r="B3070" s="4" t="s">
        <v>400</v>
      </c>
      <c r="C3070" s="4" t="s">
        <v>283</v>
      </c>
      <c r="D3070" s="94">
        <v>4800.0</v>
      </c>
    </row>
    <row r="3071">
      <c r="A3071" s="40">
        <f t="array" ref="A3071">IFNA(index(PlayerValues!A:A,match(IFNA(vlookup(B3071,'Special Names'!A:B,2,FALSE),B3071),PlayerValues!E:E,0)),"N/A")</f>
        <v>15256</v>
      </c>
      <c r="B3071" s="4" t="s">
        <v>401</v>
      </c>
      <c r="C3071" s="4" t="s">
        <v>278</v>
      </c>
      <c r="D3071" s="94">
        <v>4792.0</v>
      </c>
    </row>
    <row r="3072">
      <c r="A3072" s="40">
        <f t="array" ref="A3072">IFNA(index(PlayerValues!A:A,match(IFNA(vlookup(B3072,'Special Names'!A:B,2,FALSE),B3072),PlayerValues!E:E,0)),"N/A")</f>
        <v>17499</v>
      </c>
      <c r="B3072" s="4" t="s">
        <v>402</v>
      </c>
      <c r="C3072" s="4" t="s">
        <v>287</v>
      </c>
      <c r="D3072" s="94">
        <v>4768.0</v>
      </c>
    </row>
    <row r="3073">
      <c r="A3073" s="40">
        <f t="array" ref="A3073">IFNA(index(PlayerValues!A:A,match(IFNA(vlookup(B3073,'Special Names'!A:B,2,FALSE),B3073),PlayerValues!E:E,0)),"N/A")</f>
        <v>16614</v>
      </c>
      <c r="B3073" s="4" t="s">
        <v>403</v>
      </c>
      <c r="C3073" s="4" t="s">
        <v>287</v>
      </c>
      <c r="D3073" s="94">
        <v>4744.0</v>
      </c>
    </row>
    <row r="3074">
      <c r="A3074" s="40" t="str">
        <f t="array" ref="A3074">IFNA(index(PlayerValues!A:A,match(IFNA(vlookup(B3074,'Special Names'!A:B,2,FALSE),B3074),PlayerValues!E:E,0)),"N/A")</f>
        <v>N/A</v>
      </c>
      <c r="B3074" s="4" t="s">
        <v>80</v>
      </c>
      <c r="C3074" s="4" t="s">
        <v>325</v>
      </c>
      <c r="D3074" s="94">
        <v>4733.0</v>
      </c>
    </row>
    <row r="3075">
      <c r="A3075" s="40">
        <f t="array" ref="A3075">IFNA(index(PlayerValues!A:A,match(IFNA(vlookup(B3075,'Special Names'!A:B,2,FALSE),B3075),PlayerValues!E:E,0)),"N/A")</f>
        <v>17501</v>
      </c>
      <c r="B3075" s="4" t="s">
        <v>404</v>
      </c>
      <c r="C3075" s="4" t="s">
        <v>287</v>
      </c>
      <c r="D3075" s="94">
        <v>4717.0</v>
      </c>
    </row>
    <row r="3076">
      <c r="A3076" s="40">
        <f t="array" ref="A3076">IFNA(index(PlayerValues!A:A,match(IFNA(vlookup(B3076,'Special Names'!A:B,2,FALSE),B3076),PlayerValues!E:E,0)),"N/A")</f>
        <v>17103</v>
      </c>
      <c r="B3076" s="4" t="s">
        <v>405</v>
      </c>
      <c r="C3076" s="4" t="s">
        <v>298</v>
      </c>
      <c r="D3076" s="94">
        <v>5259.0</v>
      </c>
    </row>
    <row r="3077">
      <c r="A3077" s="40">
        <f t="array" ref="A3077">IFNA(index(PlayerValues!A:A,match(IFNA(vlookup(B3077,'Special Names'!A:B,2,FALSE),B3077),PlayerValues!E:E,0)),"N/A")</f>
        <v>17030</v>
      </c>
      <c r="B3077" s="4" t="s">
        <v>406</v>
      </c>
      <c r="C3077" s="4" t="s">
        <v>283</v>
      </c>
      <c r="D3077" s="94">
        <v>4696.0</v>
      </c>
    </row>
    <row r="3078">
      <c r="A3078" s="40">
        <f t="array" ref="A3078">IFNA(index(PlayerValues!A:A,match(IFNA(vlookup(B3078,'Special Names'!A:B,2,FALSE),B3078),PlayerValues!E:E,0)),"N/A")</f>
        <v>17045</v>
      </c>
      <c r="B3078" s="4" t="s">
        <v>407</v>
      </c>
      <c r="C3078" s="4" t="s">
        <v>278</v>
      </c>
      <c r="D3078" s="94">
        <v>4653.0</v>
      </c>
    </row>
    <row r="3079">
      <c r="A3079" s="40">
        <f t="array" ref="A3079">IFNA(index(PlayerValues!A:A,match(IFNA(vlookup(B3079,'Special Names'!A:B,2,FALSE),B3079),PlayerValues!E:E,0)),"N/A")</f>
        <v>16598</v>
      </c>
      <c r="B3079" s="4" t="s">
        <v>408</v>
      </c>
      <c r="C3079" s="4" t="s">
        <v>278</v>
      </c>
      <c r="D3079" s="94">
        <v>4611.0</v>
      </c>
    </row>
    <row r="3080">
      <c r="A3080" s="40">
        <f t="array" ref="A3080">IFNA(index(PlayerValues!A:A,match(IFNA(vlookup(B3080,'Special Names'!A:B,2,FALSE),B3080),PlayerValues!E:E,0)),"N/A")</f>
        <v>13590</v>
      </c>
      <c r="B3080" s="4" t="s">
        <v>409</v>
      </c>
      <c r="C3080" s="4" t="s">
        <v>283</v>
      </c>
      <c r="D3080" s="94">
        <v>4588.0</v>
      </c>
    </row>
    <row r="3081">
      <c r="A3081" s="40" t="str">
        <f t="array" ref="A3081">IFNA(index(PlayerValues!A:A,match(IFNA(vlookup(B3081,'Special Names'!A:B,2,FALSE),B3081),PlayerValues!E:E,0)),"N/A")</f>
        <v>N/A</v>
      </c>
      <c r="B3081" s="4" t="s">
        <v>105</v>
      </c>
      <c r="C3081" s="4" t="s">
        <v>325</v>
      </c>
      <c r="D3081" s="94">
        <v>4587.0</v>
      </c>
    </row>
    <row r="3082">
      <c r="A3082" s="40">
        <f t="array" ref="A3082">IFNA(index(PlayerValues!A:A,match(IFNA(vlookup(B3082,'Special Names'!A:B,2,FALSE),B3082),PlayerValues!E:E,0)),"N/A")</f>
        <v>12611</v>
      </c>
      <c r="B3082" s="4" t="s">
        <v>410</v>
      </c>
      <c r="C3082" s="4" t="s">
        <v>283</v>
      </c>
      <c r="D3082" s="94">
        <v>4567.0</v>
      </c>
    </row>
    <row r="3083">
      <c r="A3083" s="40">
        <f t="array" ref="A3083">IFNA(index(PlayerValues!A:A,match(IFNA(vlookup(B3083,'Special Names'!A:B,2,FALSE),B3083),PlayerValues!E:E,0)),"N/A")</f>
        <v>16618</v>
      </c>
      <c r="B3083" s="4" t="s">
        <v>411</v>
      </c>
      <c r="C3083" s="4" t="s">
        <v>287</v>
      </c>
      <c r="D3083" s="94">
        <v>4563.0</v>
      </c>
    </row>
    <row r="3084">
      <c r="A3084" s="40">
        <f t="array" ref="A3084">IFNA(index(PlayerValues!A:A,match(IFNA(vlookup(B3084,'Special Names'!A:B,2,FALSE),B3084),PlayerValues!E:E,0)),"N/A")</f>
        <v>16192</v>
      </c>
      <c r="B3084" s="4" t="s">
        <v>412</v>
      </c>
      <c r="C3084" s="4" t="s">
        <v>287</v>
      </c>
      <c r="D3084" s="94">
        <v>4555.0</v>
      </c>
    </row>
    <row r="3085">
      <c r="A3085" s="40">
        <f t="array" ref="A3085">IFNA(index(PlayerValues!A:A,match(IFNA(vlookup(B3085,'Special Names'!A:B,2,FALSE),B3085),PlayerValues!E:E,0)),"N/A")</f>
        <v>16214</v>
      </c>
      <c r="B3085" s="4" t="s">
        <v>413</v>
      </c>
      <c r="C3085" s="4" t="s">
        <v>298</v>
      </c>
      <c r="D3085" s="94">
        <v>5080.0</v>
      </c>
    </row>
    <row r="3086">
      <c r="A3086" s="40">
        <f t="array" ref="A3086">IFNA(index(PlayerValues!A:A,match(IFNA(vlookup(B3086,'Special Names'!A:B,2,FALSE),B3086),PlayerValues!E:E,0)),"N/A")</f>
        <v>16150</v>
      </c>
      <c r="B3086" s="4" t="s">
        <v>414</v>
      </c>
      <c r="C3086" s="4" t="s">
        <v>283</v>
      </c>
      <c r="D3086" s="94">
        <v>4462.0</v>
      </c>
    </row>
    <row r="3087">
      <c r="A3087" s="40">
        <f t="array" ref="A3087">IFNA(index(PlayerValues!A:A,match(IFNA(vlookup(B3087,'Special Names'!A:B,2,FALSE),B3087),PlayerValues!E:E,0)),"N/A")</f>
        <v>15253</v>
      </c>
      <c r="B3087" s="4" t="s">
        <v>415</v>
      </c>
      <c r="C3087" s="4" t="s">
        <v>278</v>
      </c>
      <c r="D3087" s="94">
        <v>4449.0</v>
      </c>
    </row>
    <row r="3088">
      <c r="A3088" s="40">
        <f t="array" ref="A3088">IFNA(index(PlayerValues!A:A,match(IFNA(vlookup(B3088,'Special Names'!A:B,2,FALSE),B3088),PlayerValues!E:E,0)),"N/A")</f>
        <v>15329</v>
      </c>
      <c r="B3088" s="4" t="s">
        <v>416</v>
      </c>
      <c r="C3088" s="4" t="s">
        <v>298</v>
      </c>
      <c r="D3088" s="94">
        <v>4876.0</v>
      </c>
    </row>
    <row r="3089">
      <c r="A3089" s="40">
        <f t="array" ref="A3089">IFNA(index(PlayerValues!A:A,match(IFNA(vlookup(B3089,'Special Names'!A:B,2,FALSE),B3089),PlayerValues!E:E,0)),"N/A")</f>
        <v>17052</v>
      </c>
      <c r="B3089" s="4" t="s">
        <v>417</v>
      </c>
      <c r="C3089" s="4" t="s">
        <v>278</v>
      </c>
      <c r="D3089" s="94">
        <v>4296.0</v>
      </c>
    </row>
    <row r="3090">
      <c r="A3090" s="40">
        <f t="array" ref="A3090">IFNA(index(PlayerValues!A:A,match(IFNA(vlookup(B3090,'Special Names'!A:B,2,FALSE),B3090),PlayerValues!E:E,0)),"N/A")</f>
        <v>13592</v>
      </c>
      <c r="B3090" s="4" t="s">
        <v>418</v>
      </c>
      <c r="C3090" s="4" t="s">
        <v>283</v>
      </c>
      <c r="D3090" s="94">
        <v>4259.0</v>
      </c>
    </row>
    <row r="3091">
      <c r="A3091" s="40">
        <f t="array" ref="A3091">IFNA(index(PlayerValues!A:A,match(IFNA(vlookup(B3091,'Special Names'!A:B,2,FALSE),B3091),PlayerValues!E:E,0)),"N/A")</f>
        <v>12626</v>
      </c>
      <c r="B3091" s="4" t="s">
        <v>419</v>
      </c>
      <c r="C3091" s="4" t="s">
        <v>278</v>
      </c>
      <c r="D3091" s="94">
        <v>4232.0</v>
      </c>
    </row>
    <row r="3092">
      <c r="A3092" s="40" t="str">
        <f t="array" ref="A3092">IFNA(index(PlayerValues!A:A,match(IFNA(vlookup(B3092,'Special Names'!A:B,2,FALSE),B3092),PlayerValues!E:E,0)),"N/A")</f>
        <v>N/A</v>
      </c>
      <c r="B3092" s="4" t="s">
        <v>107</v>
      </c>
      <c r="C3092" s="4" t="s">
        <v>325</v>
      </c>
      <c r="D3092" s="94">
        <v>4175.0</v>
      </c>
    </row>
    <row r="3093">
      <c r="A3093" s="40" t="str">
        <f t="array" ref="A3093">IFNA(index(PlayerValues!A:A,match(IFNA(vlookup(B3093,'Special Names'!A:B,2,FALSE),B3093),PlayerValues!E:E,0)),"N/A")</f>
        <v>N/A</v>
      </c>
      <c r="B3093" s="4" t="s">
        <v>81</v>
      </c>
      <c r="C3093" s="4" t="s">
        <v>325</v>
      </c>
      <c r="D3093" s="94">
        <v>4024.0</v>
      </c>
    </row>
    <row r="3094">
      <c r="A3094" s="40">
        <f t="array" ref="A3094">IFNA(index(PlayerValues!A:A,match(IFNA(vlookup(B3094,'Special Names'!A:B,2,FALSE),B3094),PlayerValues!E:E,0)),"N/A")</f>
        <v>14797</v>
      </c>
      <c r="B3094" s="4" t="s">
        <v>420</v>
      </c>
      <c r="C3094" s="4" t="s">
        <v>278</v>
      </c>
      <c r="D3094" s="94">
        <v>4007.0</v>
      </c>
    </row>
    <row r="3095">
      <c r="A3095" s="40">
        <f t="array" ref="A3095">IFNA(index(PlayerValues!A:A,match(IFNA(vlookup(B3095,'Special Names'!A:B,2,FALSE),B3095),PlayerValues!E:E,0)),"N/A")</f>
        <v>15789</v>
      </c>
      <c r="B3095" s="4" t="s">
        <v>421</v>
      </c>
      <c r="C3095" s="4" t="s">
        <v>287</v>
      </c>
      <c r="D3095" s="94">
        <v>3953.0</v>
      </c>
    </row>
    <row r="3096">
      <c r="A3096" s="40">
        <f t="array" ref="A3096">IFNA(index(PlayerValues!A:A,match(IFNA(vlookup(B3096,'Special Names'!A:B,2,FALSE),B3096),PlayerValues!E:E,0)),"N/A")</f>
        <v>17514</v>
      </c>
      <c r="B3096" s="4" t="s">
        <v>422</v>
      </c>
      <c r="C3096" s="4" t="s">
        <v>287</v>
      </c>
      <c r="D3096" s="94">
        <v>3918.0</v>
      </c>
    </row>
    <row r="3097">
      <c r="A3097" s="40">
        <f t="array" ref="A3097">IFNA(index(PlayerValues!A:A,match(IFNA(vlookup(B3097,'Special Names'!A:B,2,FALSE),B3097),PlayerValues!E:E,0)),"N/A")</f>
        <v>14056</v>
      </c>
      <c r="B3097" s="4" t="s">
        <v>423</v>
      </c>
      <c r="C3097" s="4" t="s">
        <v>283</v>
      </c>
      <c r="D3097" s="94">
        <v>3852.0</v>
      </c>
    </row>
    <row r="3098">
      <c r="A3098" s="40">
        <f t="array" ref="A3098">IFNA(index(PlayerValues!A:A,match(IFNA(vlookup(B3098,'Special Names'!A:B,2,FALSE),B3098),PlayerValues!E:E,0)),"N/A")</f>
        <v>13635</v>
      </c>
      <c r="B3098" s="4" t="s">
        <v>424</v>
      </c>
      <c r="C3098" s="4" t="s">
        <v>287</v>
      </c>
      <c r="D3098" s="94">
        <v>3811.0</v>
      </c>
    </row>
    <row r="3099">
      <c r="A3099" s="40" t="str">
        <f t="array" ref="A3099">IFNA(index(PlayerValues!A:A,match(IFNA(vlookup(B3099,'Special Names'!A:B,2,FALSE),B3099),PlayerValues!E:E,0)),"N/A")</f>
        <v>N/A</v>
      </c>
      <c r="B3099" s="4" t="s">
        <v>95</v>
      </c>
      <c r="C3099" s="4" t="s">
        <v>325</v>
      </c>
      <c r="D3099" s="94">
        <v>3809.0</v>
      </c>
    </row>
    <row r="3100">
      <c r="A3100" s="40">
        <f t="array" ref="A3100">IFNA(index(PlayerValues!A:A,match(IFNA(vlookup(B3100,'Special Names'!A:B,2,FALSE),B3100),PlayerValues!E:E,0)),"N/A")</f>
        <v>16186</v>
      </c>
      <c r="B3100" s="4" t="s">
        <v>425</v>
      </c>
      <c r="C3100" s="4" t="s">
        <v>287</v>
      </c>
      <c r="D3100" s="94">
        <v>3788.0</v>
      </c>
    </row>
    <row r="3101">
      <c r="A3101" s="40">
        <f t="array" ref="A3101">IFNA(index(PlayerValues!A:A,match(IFNA(vlookup(B3101,'Special Names'!A:B,2,FALSE),B3101),PlayerValues!E:E,0)),"N/A")</f>
        <v>16148</v>
      </c>
      <c r="B3101" s="4" t="s">
        <v>426</v>
      </c>
      <c r="C3101" s="4" t="s">
        <v>283</v>
      </c>
      <c r="D3101" s="94">
        <v>3755.0</v>
      </c>
    </row>
    <row r="3102">
      <c r="A3102" s="40">
        <f t="array" ref="A3102">IFNA(index(PlayerValues!A:A,match(IFNA(vlookup(B3102,'Special Names'!A:B,2,FALSE),B3102),PlayerValues!E:E,0)),"N/A")</f>
        <v>16597</v>
      </c>
      <c r="B3102" s="4" t="s">
        <v>427</v>
      </c>
      <c r="C3102" s="4" t="s">
        <v>278</v>
      </c>
      <c r="D3102" s="94">
        <v>3753.0</v>
      </c>
    </row>
    <row r="3103">
      <c r="A3103" s="40">
        <f t="array" ref="A3103">IFNA(index(PlayerValues!A:A,match(IFNA(vlookup(B3103,'Special Names'!A:B,2,FALSE),B3103),PlayerValues!E:E,0)),"N/A")</f>
        <v>9431</v>
      </c>
      <c r="B3103" s="4" t="s">
        <v>428</v>
      </c>
      <c r="C3103" s="4" t="s">
        <v>283</v>
      </c>
      <c r="D3103" s="94">
        <v>3735.0</v>
      </c>
    </row>
    <row r="3104">
      <c r="A3104" s="40">
        <f t="array" ref="A3104">IFNA(index(PlayerValues!A:A,match(IFNA(vlookup(B3104,'Special Names'!A:B,2,FALSE),B3104),PlayerValues!E:E,0)),"N/A")</f>
        <v>17075</v>
      </c>
      <c r="B3104" s="4" t="s">
        <v>429</v>
      </c>
      <c r="C3104" s="4" t="s">
        <v>287</v>
      </c>
      <c r="D3104" s="94">
        <v>3729.0</v>
      </c>
    </row>
    <row r="3105">
      <c r="A3105" s="40">
        <f t="array" ref="A3105">IFNA(index(PlayerValues!A:A,match(IFNA(vlookup(B3105,'Special Names'!A:B,2,FALSE),B3105),PlayerValues!E:E,0)),"N/A")</f>
        <v>17500</v>
      </c>
      <c r="B3105" s="4" t="s">
        <v>430</v>
      </c>
      <c r="C3105" s="4" t="s">
        <v>287</v>
      </c>
      <c r="D3105" s="94">
        <v>3722.0</v>
      </c>
    </row>
    <row r="3106">
      <c r="A3106" s="40">
        <f t="array" ref="A3106">IFNA(index(PlayerValues!A:A,match(IFNA(vlookup(B3106,'Special Names'!A:B,2,FALSE),B3106),PlayerValues!E:E,0)),"N/A")</f>
        <v>16206</v>
      </c>
      <c r="B3106" s="4" t="s">
        <v>431</v>
      </c>
      <c r="C3106" s="4" t="s">
        <v>287</v>
      </c>
      <c r="D3106" s="94">
        <v>3720.0</v>
      </c>
    </row>
    <row r="3107">
      <c r="A3107" s="40">
        <f t="array" ref="A3107">IFNA(index(PlayerValues!A:A,match(IFNA(vlookup(B3107,'Special Names'!A:B,2,FALSE),B3107),PlayerValues!E:E,0)),"N/A")</f>
        <v>15768</v>
      </c>
      <c r="B3107" s="4" t="s">
        <v>432</v>
      </c>
      <c r="C3107" s="4" t="s">
        <v>287</v>
      </c>
      <c r="D3107" s="94">
        <v>3716.0</v>
      </c>
    </row>
    <row r="3108">
      <c r="A3108" s="40">
        <f t="array" ref="A3108">IFNA(index(PlayerValues!A:A,match(IFNA(vlookup(B3108,'Special Names'!A:B,2,FALSE),B3108),PlayerValues!E:E,0)),"N/A")</f>
        <v>17463</v>
      </c>
      <c r="B3108" s="4" t="s">
        <v>433</v>
      </c>
      <c r="C3108" s="4" t="s">
        <v>283</v>
      </c>
      <c r="D3108" s="94">
        <v>3706.0</v>
      </c>
    </row>
    <row r="3109">
      <c r="A3109" s="40">
        <f t="array" ref="A3109">IFNA(index(PlayerValues!A:A,match(IFNA(vlookup(B3109,'Special Names'!A:B,2,FALSE),B3109),PlayerValues!E:E,0)),"N/A")</f>
        <v>15694</v>
      </c>
      <c r="B3109" s="4" t="s">
        <v>434</v>
      </c>
      <c r="C3109" s="4" t="s">
        <v>283</v>
      </c>
      <c r="D3109" s="94">
        <v>3700.0</v>
      </c>
    </row>
    <row r="3110">
      <c r="A3110" s="40">
        <f t="array" ref="A3110">IFNA(index(PlayerValues!A:A,match(IFNA(vlookup(B3110,'Special Names'!A:B,2,FALSE),B3110),PlayerValues!E:E,0)),"N/A")</f>
        <v>14059</v>
      </c>
      <c r="B3110" s="4" t="s">
        <v>435</v>
      </c>
      <c r="C3110" s="4" t="s">
        <v>283</v>
      </c>
      <c r="D3110" s="94">
        <v>3689.0</v>
      </c>
    </row>
    <row r="3111">
      <c r="A3111" s="40">
        <f t="array" ref="A3111">IFNA(index(PlayerValues!A:A,match(IFNA(vlookup(B3111,'Special Names'!A:B,2,FALSE),B3111),PlayerValues!E:E,0)),"N/A")</f>
        <v>17543</v>
      </c>
      <c r="B3111" s="4" t="s">
        <v>436</v>
      </c>
      <c r="C3111" s="4" t="s">
        <v>298</v>
      </c>
      <c r="D3111" s="94">
        <v>4113.0</v>
      </c>
    </row>
    <row r="3112">
      <c r="A3112" s="40">
        <f t="array" ref="A3112">IFNA(index(PlayerValues!A:A,match(IFNA(vlookup(B3112,'Special Names'!A:B,2,FALSE),B3112),PlayerValues!E:E,0)),"N/A")</f>
        <v>14109</v>
      </c>
      <c r="B3112" s="4" t="s">
        <v>437</v>
      </c>
      <c r="C3112" s="4" t="s">
        <v>287</v>
      </c>
      <c r="D3112" s="94">
        <v>3557.0</v>
      </c>
    </row>
    <row r="3113">
      <c r="A3113" s="40">
        <f t="array" ref="A3113">IFNA(index(PlayerValues!A:A,match(IFNA(vlookup(B3113,'Special Names'!A:B,2,FALSE),B3113),PlayerValues!E:E,0)),"N/A")</f>
        <v>11675</v>
      </c>
      <c r="B3113" s="4" t="s">
        <v>438</v>
      </c>
      <c r="C3113" s="4" t="s">
        <v>287</v>
      </c>
      <c r="D3113" s="94">
        <v>3545.0</v>
      </c>
    </row>
    <row r="3114">
      <c r="A3114" s="40">
        <f t="array" ref="A3114">IFNA(index(PlayerValues!A:A,match(IFNA(vlookup(B3114,'Special Names'!A:B,2,FALSE),B3114),PlayerValues!E:E,0)),"N/A")</f>
        <v>16188</v>
      </c>
      <c r="B3114" s="4" t="s">
        <v>439</v>
      </c>
      <c r="C3114" s="4" t="s">
        <v>287</v>
      </c>
      <c r="D3114" s="94">
        <v>3544.0</v>
      </c>
    </row>
    <row r="3115">
      <c r="A3115" s="40">
        <f t="array" ref="A3115">IFNA(index(PlayerValues!A:A,match(IFNA(vlookup(B3115,'Special Names'!A:B,2,FALSE),B3115),PlayerValues!E:E,0)),"N/A")</f>
        <v>14071</v>
      </c>
      <c r="B3115" s="4" t="s">
        <v>440</v>
      </c>
      <c r="C3115" s="4" t="s">
        <v>278</v>
      </c>
      <c r="D3115" s="94">
        <v>3520.0</v>
      </c>
    </row>
    <row r="3116">
      <c r="A3116" s="40">
        <f t="array" ref="A3116">IFNA(index(PlayerValues!A:A,match(IFNA(vlookup(B3116,'Special Names'!A:B,2,FALSE),B3116),PlayerValues!E:E,0)),"N/A")</f>
        <v>16187</v>
      </c>
      <c r="B3116" s="4" t="s">
        <v>441</v>
      </c>
      <c r="C3116" s="4" t="s">
        <v>287</v>
      </c>
      <c r="D3116" s="94">
        <v>3497.0</v>
      </c>
    </row>
    <row r="3117">
      <c r="A3117" s="40">
        <f t="array" ref="A3117">IFNA(index(PlayerValues!A:A,match(IFNA(vlookup(B3117,'Special Names'!A:B,2,FALSE),B3117),PlayerValues!E:E,0)),"N/A")</f>
        <v>16593</v>
      </c>
      <c r="B3117" s="4" t="s">
        <v>442</v>
      </c>
      <c r="C3117" s="4" t="s">
        <v>278</v>
      </c>
      <c r="D3117" s="94">
        <v>3463.0</v>
      </c>
    </row>
    <row r="3118">
      <c r="A3118" s="40" t="str">
        <f t="array" ref="A3118">IFNA(index(PlayerValues!A:A,match(IFNA(vlookup(B3118,'Special Names'!A:B,2,FALSE),B3118),PlayerValues!E:E,0)),"N/A")</f>
        <v>N/A</v>
      </c>
      <c r="B3118" s="4" t="s">
        <v>96</v>
      </c>
      <c r="C3118" s="4" t="s">
        <v>325</v>
      </c>
      <c r="D3118" s="94">
        <v>3442.0</v>
      </c>
    </row>
    <row r="3119">
      <c r="A3119" s="40">
        <f t="array" ref="A3119">IFNA(index(PlayerValues!A:A,match(IFNA(vlookup(B3119,'Special Names'!A:B,2,FALSE),B3119),PlayerValues!E:E,0)),"N/A")</f>
        <v>15798</v>
      </c>
      <c r="B3119" s="4" t="s">
        <v>443</v>
      </c>
      <c r="C3119" s="4" t="s">
        <v>298</v>
      </c>
      <c r="D3119" s="94">
        <v>3894.0</v>
      </c>
    </row>
    <row r="3120">
      <c r="A3120" s="40" t="str">
        <f t="array" ref="A3120">IFNA(index(PlayerValues!A:A,match(IFNA(vlookup(B3120,'Special Names'!A:B,2,FALSE),B3120),PlayerValues!E:E,0)),"N/A")</f>
        <v>N/A</v>
      </c>
      <c r="B3120" s="4" t="s">
        <v>82</v>
      </c>
      <c r="C3120" s="4" t="s">
        <v>325</v>
      </c>
      <c r="D3120" s="94">
        <v>3387.0</v>
      </c>
    </row>
    <row r="3121">
      <c r="A3121" s="40">
        <f t="array" ref="A3121">IFNA(index(PlayerValues!A:A,match(IFNA(vlookup(B3121,'Special Names'!A:B,2,FALSE),B3121),PlayerValues!E:E,0)),"N/A")</f>
        <v>14102</v>
      </c>
      <c r="B3121" s="4" t="s">
        <v>444</v>
      </c>
      <c r="C3121" s="4" t="s">
        <v>287</v>
      </c>
      <c r="D3121" s="94">
        <v>3360.0</v>
      </c>
    </row>
    <row r="3122">
      <c r="A3122" s="40">
        <f t="array" ref="A3122">IFNA(index(PlayerValues!A:A,match(IFNA(vlookup(B3122,'Special Names'!A:B,2,FALSE),B3122),PlayerValues!E:E,0)),"N/A")</f>
        <v>16184</v>
      </c>
      <c r="B3122" s="4" t="s">
        <v>445</v>
      </c>
      <c r="C3122" s="4" t="s">
        <v>287</v>
      </c>
      <c r="D3122" s="94">
        <v>3349.0</v>
      </c>
    </row>
    <row r="3123">
      <c r="A3123" s="40">
        <f t="array" ref="A3123">IFNA(index(PlayerValues!A:A,match(IFNA(vlookup(B3123,'Special Names'!A:B,2,FALSE),B3123),PlayerValues!E:E,0)),"N/A")</f>
        <v>17066</v>
      </c>
      <c r="B3123" s="4" t="s">
        <v>446</v>
      </c>
      <c r="C3123" s="4" t="s">
        <v>278</v>
      </c>
      <c r="D3123" s="94">
        <v>3320.0</v>
      </c>
    </row>
    <row r="3124">
      <c r="A3124" s="40">
        <f t="array" ref="A3124">IFNA(index(PlayerValues!A:A,match(IFNA(vlookup(B3124,'Special Names'!A:B,2,FALSE),B3124),PlayerValues!E:E,0)),"N/A")</f>
        <v>15742</v>
      </c>
      <c r="B3124" s="4" t="s">
        <v>447</v>
      </c>
      <c r="C3124" s="4" t="s">
        <v>278</v>
      </c>
      <c r="D3124" s="94">
        <v>3319.0</v>
      </c>
    </row>
    <row r="3125">
      <c r="A3125" s="40">
        <f t="array" ref="A3125">IFNA(index(PlayerValues!A:A,match(IFNA(vlookup(B3125,'Special Names'!A:B,2,FALSE),B3125),PlayerValues!E:E,0)),"N/A")</f>
        <v>13299</v>
      </c>
      <c r="B3125" s="4" t="s">
        <v>448</v>
      </c>
      <c r="C3125" s="4" t="s">
        <v>298</v>
      </c>
      <c r="D3125" s="94">
        <v>3755.0</v>
      </c>
    </row>
    <row r="3126">
      <c r="A3126" s="40">
        <f t="array" ref="A3126">IFNA(index(PlayerValues!A:A,match(IFNA(vlookup(B3126,'Special Names'!A:B,2,FALSE),B3126),PlayerValues!E:E,0)),"N/A")</f>
        <v>15757</v>
      </c>
      <c r="B3126" s="4" t="s">
        <v>449</v>
      </c>
      <c r="C3126" s="4" t="s">
        <v>287</v>
      </c>
      <c r="D3126" s="94">
        <v>3309.0</v>
      </c>
    </row>
    <row r="3127">
      <c r="A3127" s="40">
        <f t="array" ref="A3127">IFNA(index(PlayerValues!A:A,match(IFNA(vlookup(B3127,'Special Names'!A:B,2,FALSE),B3127),PlayerValues!E:E,0)),"N/A")</f>
        <v>17068</v>
      </c>
      <c r="B3127" s="4" t="s">
        <v>450</v>
      </c>
      <c r="C3127" s="4" t="s">
        <v>278</v>
      </c>
      <c r="D3127" s="94">
        <v>3301.0</v>
      </c>
    </row>
    <row r="3128">
      <c r="A3128" s="40">
        <f t="array" ref="A3128">IFNA(index(PlayerValues!A:A,match(IFNA(vlookup(B3128,'Special Names'!A:B,2,FALSE),B3128),PlayerValues!E:E,0)),"N/A")</f>
        <v>17502</v>
      </c>
      <c r="B3128" s="4" t="s">
        <v>451</v>
      </c>
      <c r="C3128" s="4" t="s">
        <v>287</v>
      </c>
      <c r="D3128" s="94">
        <v>3298.0</v>
      </c>
    </row>
    <row r="3129">
      <c r="A3129" s="40">
        <f t="array" ref="A3129">IFNA(index(PlayerValues!A:A,match(IFNA(vlookup(B3129,'Special Names'!A:B,2,FALSE),B3129),PlayerValues!E:E,0)),"N/A")</f>
        <v>17477</v>
      </c>
      <c r="B3129" s="4" t="s">
        <v>452</v>
      </c>
      <c r="C3129" s="4" t="s">
        <v>278</v>
      </c>
      <c r="D3129" s="94">
        <v>3292.0</v>
      </c>
    </row>
    <row r="3130">
      <c r="A3130" s="40" t="str">
        <f t="array" ref="A3130">IFNA(index(PlayerValues!A:A,match(IFNA(vlookup(B3130,'Special Names'!A:B,2,FALSE),B3130),PlayerValues!E:E,0)),"N/A")</f>
        <v>N/A</v>
      </c>
      <c r="B3130" s="4" t="s">
        <v>108</v>
      </c>
      <c r="C3130" s="4" t="s">
        <v>325</v>
      </c>
      <c r="D3130" s="94">
        <v>3286.0</v>
      </c>
    </row>
    <row r="3131">
      <c r="A3131" s="40">
        <f t="array" ref="A3131">IFNA(index(PlayerValues!A:A,match(IFNA(vlookup(B3131,'Special Names'!A:B,2,FALSE),B3131),PlayerValues!E:E,0)),"N/A")</f>
        <v>15259</v>
      </c>
      <c r="B3131" s="4" t="s">
        <v>453</v>
      </c>
      <c r="C3131" s="4" t="s">
        <v>278</v>
      </c>
      <c r="D3131" s="94">
        <v>3278.0</v>
      </c>
    </row>
    <row r="3132">
      <c r="A3132" s="40">
        <f t="array" ref="A3132">IFNA(index(PlayerValues!A:A,match(IFNA(vlookup(B3132,'Special Names'!A:B,2,FALSE),B3132),PlayerValues!E:E,0)),"N/A")</f>
        <v>17517</v>
      </c>
      <c r="B3132" s="4" t="s">
        <v>454</v>
      </c>
      <c r="C3132" s="4" t="s">
        <v>287</v>
      </c>
      <c r="D3132" s="94">
        <v>3253.0</v>
      </c>
    </row>
    <row r="3133">
      <c r="A3133" s="40">
        <f t="array" ref="A3133">IFNA(index(PlayerValues!A:A,match(IFNA(vlookup(B3133,'Special Names'!A:B,2,FALSE),B3133),PlayerValues!E:E,0)),"N/A")</f>
        <v>16809</v>
      </c>
      <c r="B3133" s="4" t="s">
        <v>455</v>
      </c>
      <c r="C3133" s="4" t="s">
        <v>287</v>
      </c>
      <c r="D3133" s="94">
        <v>3252.0</v>
      </c>
    </row>
    <row r="3134">
      <c r="A3134" s="40">
        <f t="array" ref="A3134">IFNA(index(PlayerValues!A:A,match(IFNA(vlookup(B3134,'Special Names'!A:B,2,FALSE),B3134),PlayerValues!E:E,0)),"N/A")</f>
        <v>14842</v>
      </c>
      <c r="B3134" s="4" t="s">
        <v>456</v>
      </c>
      <c r="C3134" s="4" t="s">
        <v>287</v>
      </c>
      <c r="D3134" s="94">
        <v>3241.0</v>
      </c>
    </row>
    <row r="3135">
      <c r="A3135" s="40">
        <f t="array" ref="A3135">IFNA(index(PlayerValues!A:A,match(IFNA(vlookup(B3135,'Special Names'!A:B,2,FALSE),B3135),PlayerValues!E:E,0)),"N/A")</f>
        <v>16169</v>
      </c>
      <c r="B3135" s="4" t="s">
        <v>457</v>
      </c>
      <c r="C3135" s="4" t="s">
        <v>278</v>
      </c>
      <c r="D3135" s="94">
        <v>3231.0</v>
      </c>
    </row>
    <row r="3136">
      <c r="A3136" s="40">
        <f t="array" ref="A3136">IFNA(index(PlayerValues!A:A,match(IFNA(vlookup(B3136,'Special Names'!A:B,2,FALSE),B3136),PlayerValues!E:E,0)),"N/A")</f>
        <v>16213</v>
      </c>
      <c r="B3136" s="4" t="s">
        <v>458</v>
      </c>
      <c r="C3136" s="4" t="s">
        <v>298</v>
      </c>
      <c r="D3136" s="94">
        <v>3663.0</v>
      </c>
    </row>
    <row r="3137">
      <c r="A3137" s="40" t="str">
        <f t="array" ref="A3137">IFNA(index(PlayerValues!A:A,match(IFNA(vlookup(B3137,'Special Names'!A:B,2,FALSE),B3137),PlayerValues!E:E,0)),"N/A")</f>
        <v>N/A</v>
      </c>
      <c r="B3137" s="4" t="s">
        <v>97</v>
      </c>
      <c r="C3137" s="4" t="s">
        <v>325</v>
      </c>
      <c r="D3137" s="94">
        <v>3210.0</v>
      </c>
    </row>
    <row r="3138">
      <c r="A3138" s="40">
        <f t="array" ref="A3138">IFNA(index(PlayerValues!A:A,match(IFNA(vlookup(B3138,'Special Names'!A:B,2,FALSE),B3138),PlayerValues!E:E,0)),"N/A")</f>
        <v>14823</v>
      </c>
      <c r="B3138" s="4" t="s">
        <v>459</v>
      </c>
      <c r="C3138" s="4" t="s">
        <v>278</v>
      </c>
      <c r="D3138" s="94">
        <v>3195.0</v>
      </c>
    </row>
    <row r="3139">
      <c r="A3139" s="40">
        <f t="array" ref="A3139">IFNA(index(PlayerValues!A:A,match(IFNA(vlookup(B3139,'Special Names'!A:B,2,FALSE),B3139),PlayerValues!E:E,0)),"N/A")</f>
        <v>17482</v>
      </c>
      <c r="B3139" s="4" t="s">
        <v>460</v>
      </c>
      <c r="C3139" s="4" t="s">
        <v>278</v>
      </c>
      <c r="D3139" s="94">
        <v>3194.0</v>
      </c>
    </row>
    <row r="3140">
      <c r="A3140" s="40">
        <f t="array" ref="A3140">IFNA(index(PlayerValues!A:A,match(IFNA(vlookup(B3140,'Special Names'!A:B,2,FALSE),B3140),PlayerValues!E:E,0)),"N/A")</f>
        <v>15779</v>
      </c>
      <c r="B3140" s="4" t="s">
        <v>461</v>
      </c>
      <c r="C3140" s="4" t="s">
        <v>287</v>
      </c>
      <c r="D3140" s="94">
        <v>3191.0</v>
      </c>
    </row>
    <row r="3141">
      <c r="A3141" s="40">
        <f t="array" ref="A3141">IFNA(index(PlayerValues!A:A,match(IFNA(vlookup(B3141,'Special Names'!A:B,2,FALSE),B3141),PlayerValues!E:E,0)),"N/A")</f>
        <v>17256</v>
      </c>
      <c r="B3141" s="4" t="s">
        <v>462</v>
      </c>
      <c r="C3141" s="4" t="s">
        <v>278</v>
      </c>
      <c r="D3141" s="94">
        <v>3181.0</v>
      </c>
    </row>
    <row r="3142">
      <c r="A3142" s="40" t="str">
        <f t="array" ref="A3142">IFNA(index(PlayerValues!A:A,match(IFNA(vlookup(B3142,'Special Names'!A:B,2,FALSE),B3142),PlayerValues!E:E,0)),"N/A")</f>
        <v>N/A</v>
      </c>
      <c r="B3142" s="4" t="s">
        <v>84</v>
      </c>
      <c r="C3142" s="4" t="s">
        <v>325</v>
      </c>
      <c r="D3142" s="94">
        <v>3175.0</v>
      </c>
    </row>
    <row r="3143">
      <c r="A3143" s="40">
        <f t="array" ref="A3143">IFNA(index(PlayerValues!A:A,match(IFNA(vlookup(B3143,'Special Names'!A:B,2,FALSE),B3143),PlayerValues!E:E,0)),"N/A")</f>
        <v>11671</v>
      </c>
      <c r="B3143" s="4" t="s">
        <v>463</v>
      </c>
      <c r="C3143" s="4" t="s">
        <v>287</v>
      </c>
      <c r="D3143" s="94">
        <v>3149.0</v>
      </c>
    </row>
    <row r="3144">
      <c r="A3144" s="40">
        <f t="array" ref="A3144">IFNA(index(PlayerValues!A:A,match(IFNA(vlookup(B3144,'Special Names'!A:B,2,FALSE),B3144),PlayerValues!E:E,0)),"N/A")</f>
        <v>14073</v>
      </c>
      <c r="B3144" s="4" t="s">
        <v>464</v>
      </c>
      <c r="C3144" s="4" t="s">
        <v>278</v>
      </c>
      <c r="D3144" s="94">
        <v>3123.0</v>
      </c>
    </row>
    <row r="3145">
      <c r="A3145" s="40">
        <f t="array" ref="A3145">IFNA(index(PlayerValues!A:A,match(IFNA(vlookup(B3145,'Special Names'!A:B,2,FALSE),B3145),PlayerValues!E:E,0)),"N/A")</f>
        <v>13630</v>
      </c>
      <c r="B3145" s="4" t="s">
        <v>465</v>
      </c>
      <c r="C3145" s="4" t="s">
        <v>287</v>
      </c>
      <c r="D3145" s="94">
        <v>3120.0</v>
      </c>
    </row>
    <row r="3146">
      <c r="A3146" s="40" t="str">
        <f t="array" ref="A3146">IFNA(index(PlayerValues!A:A,match(IFNA(vlookup(B3146,'Special Names'!A:B,2,FALSE),B3146),PlayerValues!E:E,0)),"N/A")</f>
        <v>N/A</v>
      </c>
      <c r="B3146" s="4" t="s">
        <v>109</v>
      </c>
      <c r="C3146" s="4" t="s">
        <v>325</v>
      </c>
      <c r="D3146" s="94">
        <v>3079.0</v>
      </c>
    </row>
    <row r="3147">
      <c r="A3147" s="40">
        <f t="array" ref="A3147">IFNA(index(PlayerValues!A:A,match(IFNA(vlookup(B3147,'Special Names'!A:B,2,FALSE),B3147),PlayerValues!E:E,0)),"N/A")</f>
        <v>15261</v>
      </c>
      <c r="B3147" s="4" t="s">
        <v>466</v>
      </c>
      <c r="C3147" s="4" t="s">
        <v>278</v>
      </c>
      <c r="D3147" s="94">
        <v>3069.0</v>
      </c>
    </row>
    <row r="3148">
      <c r="A3148" s="40">
        <f t="array" ref="A3148">IFNA(index(PlayerValues!A:A,match(IFNA(vlookup(B3148,'Special Names'!A:B,2,FALSE),B3148),PlayerValues!E:E,0)),"N/A")</f>
        <v>16620</v>
      </c>
      <c r="B3148" s="4" t="s">
        <v>467</v>
      </c>
      <c r="C3148" s="4" t="s">
        <v>287</v>
      </c>
      <c r="D3148" s="94">
        <v>3061.0</v>
      </c>
    </row>
    <row r="3149">
      <c r="A3149" s="40">
        <f t="array" ref="A3149">IFNA(index(PlayerValues!A:A,match(IFNA(vlookup(B3149,'Special Names'!A:B,2,FALSE),B3149),PlayerValues!E:E,0)),"N/A")</f>
        <v>15799</v>
      </c>
      <c r="B3149" s="4" t="s">
        <v>468</v>
      </c>
      <c r="C3149" s="4" t="s">
        <v>298</v>
      </c>
      <c r="D3149" s="94">
        <v>3477.0</v>
      </c>
    </row>
    <row r="3150">
      <c r="A3150" s="40">
        <f t="array" ref="A3150">IFNA(index(PlayerValues!A:A,match(IFNA(vlookup(B3150,'Special Names'!A:B,2,FALSE),B3150),PlayerValues!E:E,0)),"N/A")</f>
        <v>15972</v>
      </c>
      <c r="B3150" s="4" t="s">
        <v>469</v>
      </c>
      <c r="C3150" s="4" t="s">
        <v>278</v>
      </c>
      <c r="D3150" s="94">
        <v>3037.0</v>
      </c>
    </row>
    <row r="3151">
      <c r="A3151" s="40">
        <f t="array" ref="A3151">IFNA(index(PlayerValues!A:A,match(IFNA(vlookup(B3151,'Special Names'!A:B,2,FALSE),B3151),PlayerValues!E:E,0)),"N/A")</f>
        <v>17544</v>
      </c>
      <c r="B3151" s="4" t="s">
        <v>470</v>
      </c>
      <c r="C3151" s="4" t="s">
        <v>298</v>
      </c>
      <c r="D3151" s="94">
        <v>3463.0</v>
      </c>
    </row>
    <row r="3152">
      <c r="A3152" s="40">
        <f t="array" ref="A3152">IFNA(index(PlayerValues!A:A,match(IFNA(vlookup(B3152,'Special Names'!A:B,2,FALSE),B3152),PlayerValues!E:E,0)),"N/A")</f>
        <v>17506</v>
      </c>
      <c r="B3152" s="4" t="s">
        <v>471</v>
      </c>
      <c r="C3152" s="4" t="s">
        <v>287</v>
      </c>
      <c r="D3152" s="94">
        <v>3033.0</v>
      </c>
    </row>
    <row r="3153">
      <c r="A3153" s="40">
        <f t="array" ref="A3153">IFNA(index(PlayerValues!A:A,match(IFNA(vlookup(B3153,'Special Names'!A:B,2,FALSE),B3153),PlayerValues!E:E,0)),"N/A")</f>
        <v>14800</v>
      </c>
      <c r="B3153" s="4" t="s">
        <v>472</v>
      </c>
      <c r="C3153" s="4" t="s">
        <v>278</v>
      </c>
      <c r="D3153" s="94">
        <v>3023.0</v>
      </c>
    </row>
    <row r="3154">
      <c r="A3154" s="40">
        <f t="array" ref="A3154">IFNA(index(PlayerValues!A:A,match(IFNA(vlookup(B3154,'Special Names'!A:B,2,FALSE),B3154),PlayerValues!E:E,0)),"N/A")</f>
        <v>13163</v>
      </c>
      <c r="B3154" s="4" t="s">
        <v>473</v>
      </c>
      <c r="C3154" s="4" t="s">
        <v>287</v>
      </c>
      <c r="D3154" s="94">
        <v>3022.0</v>
      </c>
    </row>
    <row r="3155">
      <c r="A3155" s="40">
        <f t="array" ref="A3155">IFNA(index(PlayerValues!A:A,match(IFNA(vlookup(B3155,'Special Names'!A:B,2,FALSE),B3155),PlayerValues!E:E,0)),"N/A")</f>
        <v>17099</v>
      </c>
      <c r="B3155" s="4" t="s">
        <v>474</v>
      </c>
      <c r="C3155" s="4" t="s">
        <v>298</v>
      </c>
      <c r="D3155" s="94">
        <v>3437.0</v>
      </c>
    </row>
    <row r="3156">
      <c r="A3156" s="40">
        <f t="array" ref="A3156">IFNA(index(PlayerValues!A:A,match(IFNA(vlookup(B3156,'Special Names'!A:B,2,FALSE),B3156),PlayerValues!E:E,0)),"N/A")</f>
        <v>17074</v>
      </c>
      <c r="B3156" s="4" t="s">
        <v>475</v>
      </c>
      <c r="C3156" s="4" t="s">
        <v>287</v>
      </c>
      <c r="D3156" s="94">
        <v>3003.0</v>
      </c>
    </row>
    <row r="3157">
      <c r="A3157" s="40">
        <f t="array" ref="A3157">IFNA(index(PlayerValues!A:A,match(IFNA(vlookup(B3157,'Special Names'!A:B,2,FALSE),B3157),PlayerValues!E:E,0)),"N/A")</f>
        <v>16604</v>
      </c>
      <c r="B3157" s="4" t="s">
        <v>476</v>
      </c>
      <c r="C3157" s="4" t="s">
        <v>278</v>
      </c>
      <c r="D3157" s="94">
        <v>2997.0</v>
      </c>
    </row>
    <row r="3158">
      <c r="A3158" s="40">
        <f t="array" ref="A3158">IFNA(index(PlayerValues!A:A,match(IFNA(vlookup(B3158,'Special Names'!A:B,2,FALSE),B3158),PlayerValues!E:E,0)),"N/A")</f>
        <v>15255</v>
      </c>
      <c r="B3158" s="4" t="s">
        <v>477</v>
      </c>
      <c r="C3158" s="4" t="s">
        <v>278</v>
      </c>
      <c r="D3158" s="94">
        <v>2965.0</v>
      </c>
    </row>
    <row r="3159">
      <c r="A3159" s="40">
        <f t="array" ref="A3159">IFNA(index(PlayerValues!A:A,match(IFNA(vlookup(B3159,'Special Names'!A:B,2,FALSE),B3159),PlayerValues!E:E,0)),"N/A")</f>
        <v>17107</v>
      </c>
      <c r="B3159" s="4" t="s">
        <v>478</v>
      </c>
      <c r="C3159" s="4" t="s">
        <v>298</v>
      </c>
      <c r="D3159" s="94">
        <v>3383.0</v>
      </c>
    </row>
    <row r="3160">
      <c r="A3160" s="40">
        <f t="array" ref="A3160">IFNA(index(PlayerValues!A:A,match(IFNA(vlookup(B3160,'Special Names'!A:B,2,FALSE),B3160),PlayerValues!E:E,0)),"N/A")</f>
        <v>17083</v>
      </c>
      <c r="B3160" s="4" t="s">
        <v>479</v>
      </c>
      <c r="C3160" s="4" t="s">
        <v>287</v>
      </c>
      <c r="D3160" s="94">
        <v>2927.0</v>
      </c>
    </row>
    <row r="3161">
      <c r="A3161" s="40">
        <f t="array" ref="A3161">IFNA(index(PlayerValues!A:A,match(IFNA(vlookup(B3161,'Special Names'!A:B,2,FALSE),B3161),PlayerValues!E:E,0)),"N/A")</f>
        <v>17503</v>
      </c>
      <c r="B3161" s="4" t="s">
        <v>480</v>
      </c>
      <c r="C3161" s="4" t="s">
        <v>287</v>
      </c>
      <c r="D3161" s="94">
        <v>2905.0</v>
      </c>
    </row>
    <row r="3162">
      <c r="A3162" s="40">
        <f t="array" ref="A3162">IFNA(index(PlayerValues!A:A,match(IFNA(vlookup(B3162,'Special Names'!A:B,2,FALSE),B3162),PlayerValues!E:E,0)),"N/A")</f>
        <v>16269</v>
      </c>
      <c r="B3162" s="4" t="s">
        <v>481</v>
      </c>
      <c r="C3162" s="4" t="s">
        <v>298</v>
      </c>
      <c r="D3162" s="94">
        <v>3323.0</v>
      </c>
    </row>
    <row r="3163">
      <c r="A3163" s="40" t="str">
        <f t="array" ref="A3163">IFNA(index(PlayerValues!A:A,match(IFNA(vlookup(B3163,'Special Names'!A:B,2,FALSE),B3163),PlayerValues!E:E,0)),"N/A")</f>
        <v>N/A</v>
      </c>
      <c r="B3163" s="4" t="s">
        <v>85</v>
      </c>
      <c r="C3163" s="4" t="s">
        <v>325</v>
      </c>
      <c r="D3163" s="94">
        <v>2893.0</v>
      </c>
    </row>
    <row r="3164">
      <c r="A3164" s="40">
        <f t="array" ref="A3164">IFNA(index(PlayerValues!A:A,match(IFNA(vlookup(B3164,'Special Names'!A:B,2,FALSE),B3164),PlayerValues!E:E,0)),"N/A")</f>
        <v>17518</v>
      </c>
      <c r="B3164" s="4" t="s">
        <v>482</v>
      </c>
      <c r="C3164" s="4" t="s">
        <v>287</v>
      </c>
      <c r="D3164" s="94">
        <v>2888.0</v>
      </c>
    </row>
    <row r="3165">
      <c r="A3165" s="40">
        <f t="array" ref="A3165">IFNA(index(PlayerValues!A:A,match(IFNA(vlookup(B3165,'Special Names'!A:B,2,FALSE),B3165),PlayerValues!E:E,0)),"N/A")</f>
        <v>17512</v>
      </c>
      <c r="B3165" s="4" t="s">
        <v>483</v>
      </c>
      <c r="C3165" s="4" t="s">
        <v>287</v>
      </c>
      <c r="D3165" s="94">
        <v>2871.0</v>
      </c>
    </row>
    <row r="3166">
      <c r="A3166" s="40">
        <f t="array" ref="A3166">IFNA(index(PlayerValues!A:A,match(IFNA(vlookup(B3166,'Special Names'!A:B,2,FALSE),B3166),PlayerValues!E:E,0)),"N/A")</f>
        <v>17053</v>
      </c>
      <c r="B3166" s="4" t="s">
        <v>484</v>
      </c>
      <c r="C3166" s="4" t="s">
        <v>278</v>
      </c>
      <c r="D3166" s="94">
        <v>2867.0</v>
      </c>
    </row>
    <row r="3167">
      <c r="A3167" s="40">
        <f t="array" ref="A3167">IFNA(index(PlayerValues!A:A,match(IFNA(vlookup(B3167,'Special Names'!A:B,2,FALSE),B3167),PlayerValues!E:E,0)),"N/A")</f>
        <v>17511</v>
      </c>
      <c r="B3167" s="4" t="s">
        <v>485</v>
      </c>
      <c r="C3167" s="4" t="s">
        <v>287</v>
      </c>
      <c r="D3167" s="94">
        <v>2831.0</v>
      </c>
    </row>
    <row r="3168">
      <c r="A3168" s="40">
        <f t="array" ref="A3168">IFNA(index(PlayerValues!A:A,match(IFNA(vlookup(B3168,'Special Names'!A:B,2,FALSE),B3168),PlayerValues!E:E,0)),"N/A")</f>
        <v>14127</v>
      </c>
      <c r="B3168" s="4" t="s">
        <v>486</v>
      </c>
      <c r="C3168" s="4" t="s">
        <v>287</v>
      </c>
      <c r="D3168" s="94">
        <v>2824.0</v>
      </c>
    </row>
    <row r="3169">
      <c r="A3169" s="40">
        <f t="array" ref="A3169">IFNA(index(PlayerValues!A:A,match(IFNA(vlookup(B3169,'Special Names'!A:B,2,FALSE),B3169),PlayerValues!E:E,0)),"N/A")</f>
        <v>16193</v>
      </c>
      <c r="B3169" s="4" t="s">
        <v>487</v>
      </c>
      <c r="C3169" s="4" t="s">
        <v>287</v>
      </c>
      <c r="D3169" s="94">
        <v>2810.0</v>
      </c>
    </row>
    <row r="3170">
      <c r="A3170" s="40">
        <f t="array" ref="A3170">IFNA(index(PlayerValues!A:A,match(IFNA(vlookup(B3170,'Special Names'!A:B,2,FALSE),B3170),PlayerValues!E:E,0)),"N/A")</f>
        <v>15712</v>
      </c>
      <c r="B3170" s="4" t="s">
        <v>488</v>
      </c>
      <c r="C3170" s="4" t="s">
        <v>278</v>
      </c>
      <c r="D3170" s="94">
        <v>2806.0</v>
      </c>
    </row>
    <row r="3171">
      <c r="A3171" s="40" t="str">
        <f t="array" ref="A3171">IFNA(index(PlayerValues!A:A,match(IFNA(vlookup(B3171,'Special Names'!A:B,2,FALSE),B3171),PlayerValues!E:E,0)),"N/A")</f>
        <v>N/A</v>
      </c>
      <c r="B3171" s="4" t="s">
        <v>110</v>
      </c>
      <c r="C3171" s="4" t="s">
        <v>325</v>
      </c>
      <c r="D3171" s="94">
        <v>2803.0</v>
      </c>
    </row>
    <row r="3172">
      <c r="A3172" s="40">
        <f t="array" ref="A3172">IFNA(index(PlayerValues!A:A,match(IFNA(vlookup(B3172,'Special Names'!A:B,2,FALSE),B3172),PlayerValues!E:E,0)),"N/A")</f>
        <v>14085</v>
      </c>
      <c r="B3172" s="4" t="s">
        <v>489</v>
      </c>
      <c r="C3172" s="4" t="s">
        <v>278</v>
      </c>
      <c r="D3172" s="94">
        <v>2792.0</v>
      </c>
    </row>
    <row r="3173">
      <c r="A3173" s="40">
        <f t="array" ref="A3173">IFNA(index(PlayerValues!A:A,match(IFNA(vlookup(B3173,'Special Names'!A:B,2,FALSE),B3173),PlayerValues!E:E,0)),"N/A")</f>
        <v>16628</v>
      </c>
      <c r="B3173" s="4" t="s">
        <v>490</v>
      </c>
      <c r="C3173" s="4" t="s">
        <v>287</v>
      </c>
      <c r="D3173" s="94">
        <v>2791.0</v>
      </c>
    </row>
    <row r="3174">
      <c r="A3174" s="40">
        <f t="array" ref="A3174">IFNA(index(PlayerValues!A:A,match(IFNA(vlookup(B3174,'Special Names'!A:B,2,FALSE),B3174),PlayerValues!E:E,0)),"N/A")</f>
        <v>15761</v>
      </c>
      <c r="B3174" s="4" t="s">
        <v>491</v>
      </c>
      <c r="C3174" s="4" t="s">
        <v>287</v>
      </c>
      <c r="D3174" s="94">
        <v>2776.0</v>
      </c>
    </row>
    <row r="3175">
      <c r="A3175" s="40">
        <f t="array" ref="A3175">IFNA(index(PlayerValues!A:A,match(IFNA(vlookup(B3175,'Special Names'!A:B,2,FALSE),B3175),PlayerValues!E:E,0)),"N/A")</f>
        <v>17466</v>
      </c>
      <c r="B3175" s="4" t="s">
        <v>492</v>
      </c>
      <c r="C3175" s="4" t="s">
        <v>283</v>
      </c>
      <c r="D3175" s="94">
        <v>2768.0</v>
      </c>
    </row>
    <row r="3176">
      <c r="A3176" s="40">
        <f t="array" ref="A3176">IFNA(index(PlayerValues!A:A,match(IFNA(vlookup(B3176,'Special Names'!A:B,2,FALSE),B3176),PlayerValues!E:E,0)),"N/A")</f>
        <v>16583</v>
      </c>
      <c r="B3176" s="4" t="s">
        <v>493</v>
      </c>
      <c r="C3176" s="4" t="s">
        <v>283</v>
      </c>
      <c r="D3176" s="94">
        <v>2767.0</v>
      </c>
    </row>
    <row r="3177">
      <c r="A3177" s="40">
        <f t="array" ref="A3177">IFNA(index(PlayerValues!A:A,match(IFNA(vlookup(B3177,'Special Names'!A:B,2,FALSE),B3177),PlayerValues!E:E,0)),"N/A")</f>
        <v>17476</v>
      </c>
      <c r="B3177" s="4" t="s">
        <v>494</v>
      </c>
      <c r="C3177" s="4" t="s">
        <v>278</v>
      </c>
      <c r="D3177" s="94">
        <v>2746.0</v>
      </c>
    </row>
    <row r="3178">
      <c r="A3178" s="40">
        <f t="array" ref="A3178">IFNA(index(PlayerValues!A:A,match(IFNA(vlookup(B3178,'Special Names'!A:B,2,FALSE),B3178),PlayerValues!E:E,0)),"N/A")</f>
        <v>17507</v>
      </c>
      <c r="B3178" s="4" t="s">
        <v>495</v>
      </c>
      <c r="C3178" s="4" t="s">
        <v>287</v>
      </c>
      <c r="D3178" s="94">
        <v>2728.0</v>
      </c>
    </row>
    <row r="3179">
      <c r="A3179" s="40">
        <f t="array" ref="A3179">IFNA(index(PlayerValues!A:A,match(IFNA(vlookup(B3179,'Special Names'!A:B,2,FALSE),B3179),PlayerValues!E:E,0)),"N/A")</f>
        <v>17599</v>
      </c>
      <c r="B3179" s="4" t="s">
        <v>496</v>
      </c>
      <c r="C3179" s="4" t="s">
        <v>287</v>
      </c>
      <c r="D3179" s="94">
        <v>2719.0</v>
      </c>
    </row>
    <row r="3180">
      <c r="A3180" s="40">
        <f t="array" ref="A3180">IFNA(index(PlayerValues!A:A,match(IFNA(vlookup(B3180,'Special Names'!A:B,2,FALSE),B3180),PlayerValues!E:E,0)),"N/A")</f>
        <v>12186</v>
      </c>
      <c r="B3180" s="4" t="s">
        <v>497</v>
      </c>
      <c r="C3180" s="4" t="s">
        <v>287</v>
      </c>
      <c r="D3180" s="94">
        <v>2676.0</v>
      </c>
    </row>
    <row r="3181">
      <c r="A3181" s="40">
        <f t="array" ref="A3181">IFNA(index(PlayerValues!A:A,match(IFNA(vlookup(B3181,'Special Names'!A:B,2,FALSE),B3181),PlayerValues!E:E,0)),"N/A")</f>
        <v>17082</v>
      </c>
      <c r="B3181" s="4" t="s">
        <v>498</v>
      </c>
      <c r="C3181" s="4" t="s">
        <v>287</v>
      </c>
      <c r="D3181" s="94">
        <v>2653.0</v>
      </c>
    </row>
    <row r="3182">
      <c r="A3182" s="40">
        <f t="array" ref="A3182">IFNA(index(PlayerValues!A:A,match(IFNA(vlookup(B3182,'Special Names'!A:B,2,FALSE),B3182),PlayerValues!E:E,0)),"N/A")</f>
        <v>16080</v>
      </c>
      <c r="B3182" s="4" t="s">
        <v>499</v>
      </c>
      <c r="C3182" s="4" t="s">
        <v>287</v>
      </c>
      <c r="D3182" s="94">
        <v>2647.0</v>
      </c>
    </row>
    <row r="3183">
      <c r="A3183" s="40">
        <f t="array" ref="A3183">IFNA(index(PlayerValues!A:A,match(IFNA(vlookup(B3183,'Special Names'!A:B,2,FALSE),B3183),PlayerValues!E:E,0)),"N/A")</f>
        <v>16684</v>
      </c>
      <c r="B3183" s="4" t="s">
        <v>500</v>
      </c>
      <c r="C3183" s="4" t="s">
        <v>287</v>
      </c>
      <c r="D3183" s="94">
        <v>2644.0</v>
      </c>
    </row>
    <row r="3184">
      <c r="A3184" s="40">
        <f t="array" ref="A3184">IFNA(index(PlayerValues!A:A,match(IFNA(vlookup(B3184,'Special Names'!A:B,2,FALSE),B3184),PlayerValues!E:E,0)),"N/A")</f>
        <v>16596</v>
      </c>
      <c r="B3184" s="4" t="s">
        <v>501</v>
      </c>
      <c r="C3184" s="4" t="s">
        <v>278</v>
      </c>
      <c r="D3184" s="94">
        <v>2640.0</v>
      </c>
    </row>
    <row r="3185">
      <c r="A3185" s="40">
        <f t="array" ref="A3185">IFNA(index(PlayerValues!A:A,match(IFNA(vlookup(B3185,'Special Names'!A:B,2,FALSE),B3185),PlayerValues!E:E,0)),"N/A")</f>
        <v>16723</v>
      </c>
      <c r="B3185" s="4" t="s">
        <v>502</v>
      </c>
      <c r="C3185" s="4" t="s">
        <v>298</v>
      </c>
      <c r="D3185" s="94">
        <v>3046.0</v>
      </c>
    </row>
    <row r="3186">
      <c r="A3186" s="40">
        <f t="array" ref="A3186">IFNA(index(PlayerValues!A:A,match(IFNA(vlookup(B3186,'Special Names'!A:B,2,FALSE),B3186),PlayerValues!E:E,0)),"N/A")</f>
        <v>15889</v>
      </c>
      <c r="B3186" s="4" t="s">
        <v>503</v>
      </c>
      <c r="C3186" s="4" t="s">
        <v>298</v>
      </c>
      <c r="D3186" s="94">
        <v>3046.0</v>
      </c>
    </row>
    <row r="3187">
      <c r="A3187" s="40">
        <f t="array" ref="A3187">IFNA(index(PlayerValues!A:A,match(IFNA(vlookup(B3187,'Special Names'!A:B,2,FALSE),B3187),PlayerValues!E:E,0)),"N/A")</f>
        <v>15721</v>
      </c>
      <c r="B3187" s="4" t="s">
        <v>504</v>
      </c>
      <c r="C3187" s="4" t="s">
        <v>278</v>
      </c>
      <c r="D3187" s="94">
        <v>2632.0</v>
      </c>
    </row>
    <row r="3188">
      <c r="A3188" s="40">
        <f t="array" ref="A3188">IFNA(index(PlayerValues!A:A,match(IFNA(vlookup(B3188,'Special Names'!A:B,2,FALSE),B3188),PlayerValues!E:E,0)),"N/A")</f>
        <v>16174</v>
      </c>
      <c r="B3188" s="4" t="s">
        <v>505</v>
      </c>
      <c r="C3188" s="4" t="s">
        <v>278</v>
      </c>
      <c r="D3188" s="94">
        <v>2624.0</v>
      </c>
    </row>
    <row r="3189">
      <c r="A3189" s="40">
        <f t="array" ref="A3189">IFNA(index(PlayerValues!A:A,match(IFNA(vlookup(B3189,'Special Names'!A:B,2,FALSE),B3189),PlayerValues!E:E,0)),"N/A")</f>
        <v>13671</v>
      </c>
      <c r="B3189" s="4" t="s">
        <v>506</v>
      </c>
      <c r="C3189" s="4" t="s">
        <v>298</v>
      </c>
      <c r="D3189" s="94">
        <v>3030.0</v>
      </c>
    </row>
    <row r="3190">
      <c r="A3190" s="40">
        <f t="array" ref="A3190">IFNA(index(PlayerValues!A:A,match(IFNA(vlookup(B3190,'Special Names'!A:B,2,FALSE),B3190),PlayerValues!E:E,0)),"N/A")</f>
        <v>16178</v>
      </c>
      <c r="B3190" s="4" t="s">
        <v>507</v>
      </c>
      <c r="C3190" s="4" t="s">
        <v>278</v>
      </c>
      <c r="D3190" s="94">
        <v>2615.0</v>
      </c>
    </row>
    <row r="3191">
      <c r="A3191" s="40">
        <f t="array" ref="A3191">IFNA(index(PlayerValues!A:A,match(IFNA(vlookup(B3191,'Special Names'!A:B,2,FALSE),B3191),PlayerValues!E:E,0)),"N/A")</f>
        <v>17072</v>
      </c>
      <c r="B3191" s="4" t="s">
        <v>508</v>
      </c>
      <c r="C3191" s="4" t="s">
        <v>287</v>
      </c>
      <c r="D3191" s="94">
        <v>2611.0</v>
      </c>
    </row>
    <row r="3192">
      <c r="A3192" s="40">
        <f t="array" ref="A3192">IFNA(index(PlayerValues!A:A,match(IFNA(vlookup(B3192,'Special Names'!A:B,2,FALSE),B3192),PlayerValues!E:E,0)),"N/A")</f>
        <v>16195</v>
      </c>
      <c r="B3192" s="4" t="s">
        <v>509</v>
      </c>
      <c r="C3192" s="4" t="s">
        <v>287</v>
      </c>
      <c r="D3192" s="94">
        <v>2597.0</v>
      </c>
    </row>
    <row r="3193">
      <c r="A3193" s="40">
        <f t="array" ref="A3193">IFNA(index(PlayerValues!A:A,match(IFNA(vlookup(B3193,'Special Names'!A:B,2,FALSE),B3193),PlayerValues!E:E,0)),"N/A")</f>
        <v>17047</v>
      </c>
      <c r="B3193" s="4" t="s">
        <v>510</v>
      </c>
      <c r="C3193" s="4" t="s">
        <v>278</v>
      </c>
      <c r="D3193" s="94">
        <v>2597.0</v>
      </c>
    </row>
    <row r="3194">
      <c r="A3194" s="40">
        <f t="array" ref="A3194">IFNA(index(PlayerValues!A:A,match(IFNA(vlookup(B3194,'Special Names'!A:B,2,FALSE),B3194),PlayerValues!E:E,0)),"N/A")</f>
        <v>13674</v>
      </c>
      <c r="B3194" s="4" t="s">
        <v>511</v>
      </c>
      <c r="C3194" s="4" t="s">
        <v>298</v>
      </c>
      <c r="D3194" s="94">
        <v>2996.0</v>
      </c>
    </row>
    <row r="3195">
      <c r="A3195" s="40" t="str">
        <f t="array" ref="A3195">IFNA(index(PlayerValues!A:A,match(IFNA(vlookup(B3195,'Special Names'!A:B,2,FALSE),B3195),PlayerValues!E:E,0)),"N/A")</f>
        <v>N/A</v>
      </c>
      <c r="B3195" s="4" t="s">
        <v>98</v>
      </c>
      <c r="C3195" s="4" t="s">
        <v>325</v>
      </c>
      <c r="D3195" s="94">
        <v>2580.0</v>
      </c>
    </row>
    <row r="3196">
      <c r="A3196" s="40">
        <f t="array" ref="A3196">IFNA(index(PlayerValues!A:A,match(IFNA(vlookup(B3196,'Special Names'!A:B,2,FALSE),B3196),PlayerValues!E:E,0)),"N/A")</f>
        <v>16164</v>
      </c>
      <c r="B3196" s="4" t="s">
        <v>512</v>
      </c>
      <c r="C3196" s="4" t="s">
        <v>278</v>
      </c>
      <c r="D3196" s="94">
        <v>2577.0</v>
      </c>
    </row>
    <row r="3197">
      <c r="A3197" s="40">
        <f t="array" ref="A3197">IFNA(index(PlayerValues!A:A,match(IFNA(vlookup(B3197,'Special Names'!A:B,2,FALSE),B3197),PlayerValues!E:E,0)),"N/A")</f>
        <v>17474</v>
      </c>
      <c r="B3197" s="4" t="s">
        <v>513</v>
      </c>
      <c r="C3197" s="4" t="s">
        <v>278</v>
      </c>
      <c r="D3197" s="94">
        <v>2573.0</v>
      </c>
    </row>
    <row r="3198">
      <c r="A3198" s="40">
        <f t="array" ref="A3198">IFNA(index(PlayerValues!A:A,match(IFNA(vlookup(B3198,'Special Names'!A:B,2,FALSE),B3198),PlayerValues!E:E,0)),"N/A")</f>
        <v>17468</v>
      </c>
      <c r="B3198" s="4" t="s">
        <v>514</v>
      </c>
      <c r="C3198" s="4" t="s">
        <v>283</v>
      </c>
      <c r="D3198" s="94">
        <v>2559.0</v>
      </c>
    </row>
    <row r="3199">
      <c r="A3199" s="40">
        <f t="array" ref="A3199">IFNA(index(PlayerValues!A:A,match(IFNA(vlookup(B3199,'Special Names'!A:B,2,FALSE),B3199),PlayerValues!E:E,0)),"N/A")</f>
        <v>16626</v>
      </c>
      <c r="B3199" s="4" t="s">
        <v>515</v>
      </c>
      <c r="C3199" s="4" t="s">
        <v>287</v>
      </c>
      <c r="D3199" s="94">
        <v>2555.0</v>
      </c>
    </row>
    <row r="3200">
      <c r="A3200" s="40">
        <f t="array" ref="A3200">IFNA(index(PlayerValues!A:A,match(IFNA(vlookup(B3200,'Special Names'!A:B,2,FALSE),B3200),PlayerValues!E:E,0)),"N/A")</f>
        <v>16287</v>
      </c>
      <c r="B3200" s="4" t="s">
        <v>516</v>
      </c>
      <c r="C3200" s="4" t="s">
        <v>287</v>
      </c>
      <c r="D3200" s="94">
        <v>2543.0</v>
      </c>
    </row>
    <row r="3201">
      <c r="A3201" s="40">
        <f t="array" ref="A3201">IFNA(index(PlayerValues!A:A,match(IFNA(vlookup(B3201,'Special Names'!A:B,2,FALSE),B3201),PlayerValues!E:E,0)),"N/A")</f>
        <v>16622</v>
      </c>
      <c r="B3201" s="4" t="s">
        <v>517</v>
      </c>
      <c r="C3201" s="4" t="s">
        <v>287</v>
      </c>
      <c r="D3201" s="94">
        <v>2539.0</v>
      </c>
    </row>
    <row r="3202">
      <c r="A3202" s="40">
        <f t="array" ref="A3202">IFNA(index(PlayerValues!A:A,match(IFNA(vlookup(B3202,'Special Names'!A:B,2,FALSE),B3202),PlayerValues!E:E,0)),"N/A")</f>
        <v>17520</v>
      </c>
      <c r="B3202" s="4" t="s">
        <v>518</v>
      </c>
      <c r="C3202" s="4" t="s">
        <v>287</v>
      </c>
      <c r="D3202" s="94">
        <v>2532.0</v>
      </c>
    </row>
    <row r="3203">
      <c r="A3203" s="40">
        <f t="array" ref="A3203">IFNA(index(PlayerValues!A:A,match(IFNA(vlookup(B3203,'Special Names'!A:B,2,FALSE),B3203),PlayerValues!E:E,0)),"N/A")</f>
        <v>11244</v>
      </c>
      <c r="B3203" s="4" t="s">
        <v>519</v>
      </c>
      <c r="C3203" s="4" t="s">
        <v>298</v>
      </c>
      <c r="D3203" s="94">
        <v>2930.0</v>
      </c>
    </row>
    <row r="3204">
      <c r="A3204" s="40">
        <f t="array" ref="A3204">IFNA(index(PlayerValues!A:A,match(IFNA(vlookup(B3204,'Special Names'!A:B,2,FALSE),B3204),PlayerValues!E:E,0)),"N/A")</f>
        <v>16165</v>
      </c>
      <c r="B3204" s="4" t="s">
        <v>520</v>
      </c>
      <c r="C3204" s="4" t="s">
        <v>278</v>
      </c>
      <c r="D3204" s="94">
        <v>2523.0</v>
      </c>
    </row>
    <row r="3205">
      <c r="A3205" s="40" t="str">
        <f t="array" ref="A3205">IFNA(index(PlayerValues!A:A,match(IFNA(vlookup(B3205,'Special Names'!A:B,2,FALSE),B3205),PlayerValues!E:E,0)),"N/A")</f>
        <v>N/A</v>
      </c>
      <c r="B3205" s="4" t="s">
        <v>99</v>
      </c>
      <c r="C3205" s="4" t="s">
        <v>325</v>
      </c>
      <c r="D3205" s="94">
        <v>2505.0</v>
      </c>
    </row>
    <row r="3206">
      <c r="A3206" s="40">
        <f t="array" ref="A3206">IFNA(index(PlayerValues!A:A,match(IFNA(vlookup(B3206,'Special Names'!A:B,2,FALSE),B3206),PlayerValues!E:E,0)),"N/A")</f>
        <v>15786</v>
      </c>
      <c r="B3206" s="4" t="s">
        <v>521</v>
      </c>
      <c r="C3206" s="4" t="s">
        <v>287</v>
      </c>
      <c r="D3206" s="94">
        <v>2499.0</v>
      </c>
    </row>
    <row r="3207">
      <c r="A3207" s="40">
        <f t="array" ref="A3207">IFNA(index(PlayerValues!A:A,match(IFNA(vlookup(B3207,'Special Names'!A:B,2,FALSE),B3207),PlayerValues!E:E,0)),"N/A")</f>
        <v>17485</v>
      </c>
      <c r="B3207" s="4" t="s">
        <v>522</v>
      </c>
      <c r="C3207" s="4" t="s">
        <v>278</v>
      </c>
      <c r="D3207" s="94">
        <v>2499.0</v>
      </c>
    </row>
    <row r="3208">
      <c r="A3208" s="40">
        <f t="array" ref="A3208">IFNA(index(PlayerValues!A:A,match(IFNA(vlookup(B3208,'Special Names'!A:B,2,FALSE),B3208),PlayerValues!E:E,0)),"N/A")</f>
        <v>14861</v>
      </c>
      <c r="B3208" s="4" t="s">
        <v>523</v>
      </c>
      <c r="C3208" s="4" t="s">
        <v>298</v>
      </c>
      <c r="D3208" s="94">
        <v>2901.0</v>
      </c>
    </row>
    <row r="3209">
      <c r="A3209" s="40">
        <f t="array" ref="A3209">IFNA(index(PlayerValues!A:A,match(IFNA(vlookup(B3209,'Special Names'!A:B,2,FALSE),B3209),PlayerValues!E:E,0)),"N/A")</f>
        <v>17157</v>
      </c>
      <c r="B3209" s="4" t="s">
        <v>524</v>
      </c>
      <c r="C3209" s="4" t="s">
        <v>287</v>
      </c>
      <c r="D3209" s="94">
        <v>2494.0</v>
      </c>
    </row>
    <row r="3210">
      <c r="A3210" s="40">
        <f t="array" ref="A3210">IFNA(index(PlayerValues!A:A,match(IFNA(vlookup(B3210,'Special Names'!A:B,2,FALSE),B3210),PlayerValues!E:E,0)),"N/A")</f>
        <v>17105</v>
      </c>
      <c r="B3210" s="4" t="s">
        <v>525</v>
      </c>
      <c r="C3210" s="4" t="s">
        <v>298</v>
      </c>
      <c r="D3210" s="94">
        <v>2892.0</v>
      </c>
    </row>
    <row r="3211">
      <c r="A3211" s="40">
        <f t="array" ref="A3211">IFNA(index(PlayerValues!A:A,match(IFNA(vlookup(B3211,'Special Names'!A:B,2,FALSE),B3211),PlayerValues!E:E,0)),"N/A")</f>
        <v>17607</v>
      </c>
      <c r="B3211" s="4" t="s">
        <v>526</v>
      </c>
      <c r="C3211" s="4" t="s">
        <v>298</v>
      </c>
      <c r="D3211" s="94">
        <v>2891.0</v>
      </c>
    </row>
    <row r="3212">
      <c r="A3212" s="40">
        <f t="array" ref="A3212">IFNA(index(PlayerValues!A:A,match(IFNA(vlookup(B3212,'Special Names'!A:B,2,FALSE),B3212),PlayerValues!E:E,0)),"N/A")</f>
        <v>17478</v>
      </c>
      <c r="B3212" s="4" t="s">
        <v>527</v>
      </c>
      <c r="C3212" s="4" t="s">
        <v>278</v>
      </c>
      <c r="D3212" s="94">
        <v>2486.0</v>
      </c>
    </row>
    <row r="3213">
      <c r="A3213" s="40">
        <f t="array" ref="A3213">IFNA(index(PlayerValues!A:A,match(IFNA(vlookup(B3213,'Special Names'!A:B,2,FALSE),B3213),PlayerValues!E:E,0)),"N/A")</f>
        <v>17505</v>
      </c>
      <c r="B3213" s="4" t="s">
        <v>528</v>
      </c>
      <c r="C3213" s="4" t="s">
        <v>287</v>
      </c>
      <c r="D3213" s="94">
        <v>2483.0</v>
      </c>
    </row>
    <row r="3214">
      <c r="A3214" s="40">
        <f t="array" ref="A3214">IFNA(index(PlayerValues!A:A,match(IFNA(vlookup(B3214,'Special Names'!A:B,2,FALSE),B3214),PlayerValues!E:E,0)),"N/A")</f>
        <v>12616</v>
      </c>
      <c r="B3214" s="4" t="s">
        <v>529</v>
      </c>
      <c r="C3214" s="4" t="s">
        <v>283</v>
      </c>
      <c r="D3214" s="94">
        <v>2477.0</v>
      </c>
    </row>
    <row r="3215">
      <c r="A3215" s="40">
        <f t="array" ref="A3215">IFNA(index(PlayerValues!A:A,match(IFNA(vlookup(B3215,'Special Names'!A:B,2,FALSE),B3215),PlayerValues!E:E,0)),"N/A")</f>
        <v>16204</v>
      </c>
      <c r="B3215" s="4" t="s">
        <v>530</v>
      </c>
      <c r="C3215" s="4" t="s">
        <v>287</v>
      </c>
      <c r="D3215" s="94">
        <v>2477.0</v>
      </c>
    </row>
    <row r="3216">
      <c r="A3216" s="40">
        <f t="array" ref="A3216">IFNA(index(PlayerValues!A:A,match(IFNA(vlookup(B3216,'Special Names'!A:B,2,FALSE),B3216),PlayerValues!E:E,0)),"N/A")</f>
        <v>14138</v>
      </c>
      <c r="B3216" s="4" t="s">
        <v>531</v>
      </c>
      <c r="C3216" s="4" t="s">
        <v>298</v>
      </c>
      <c r="D3216" s="94">
        <v>2863.0</v>
      </c>
    </row>
    <row r="3217">
      <c r="A3217" s="40">
        <f t="array" ref="A3217">IFNA(index(PlayerValues!A:A,match(IFNA(vlookup(B3217,'Special Names'!A:B,2,FALSE),B3217),PlayerValues!E:E,0)),"N/A")</f>
        <v>17080</v>
      </c>
      <c r="B3217" s="4" t="s">
        <v>532</v>
      </c>
      <c r="C3217" s="4" t="s">
        <v>287</v>
      </c>
      <c r="D3217" s="94">
        <v>2456.0</v>
      </c>
    </row>
    <row r="3218">
      <c r="A3218" s="40" t="str">
        <f t="array" ref="A3218">IFNA(index(PlayerValues!A:A,match(IFNA(vlookup(B3218,'Special Names'!A:B,2,FALSE),B3218),PlayerValues!E:E,0)),"N/A")</f>
        <v>N/A</v>
      </c>
      <c r="B3218" s="4" t="s">
        <v>86</v>
      </c>
      <c r="C3218" s="4" t="s">
        <v>325</v>
      </c>
      <c r="D3218" s="94">
        <v>2449.0</v>
      </c>
    </row>
    <row r="3219">
      <c r="A3219" s="40">
        <f t="array" ref="A3219">IFNA(index(PlayerValues!A:A,match(IFNA(vlookup(B3219,'Special Names'!A:B,2,FALSE),B3219),PlayerValues!E:E,0)),"N/A")</f>
        <v>17098</v>
      </c>
      <c r="B3219" s="4" t="s">
        <v>533</v>
      </c>
      <c r="C3219" s="4" t="s">
        <v>287</v>
      </c>
      <c r="D3219" s="94">
        <v>2409.0</v>
      </c>
    </row>
    <row r="3220">
      <c r="A3220" s="40">
        <f t="array" ref="A3220">IFNA(index(PlayerValues!A:A,match(IFNA(vlookup(B3220,'Special Names'!A:B,2,FALSE),B3220),PlayerValues!E:E,0)),"N/A")</f>
        <v>17508</v>
      </c>
      <c r="B3220" s="4" t="s">
        <v>534</v>
      </c>
      <c r="C3220" s="4" t="s">
        <v>287</v>
      </c>
      <c r="D3220" s="94">
        <v>2374.0</v>
      </c>
    </row>
    <row r="3221">
      <c r="A3221" s="40">
        <f t="array" ref="A3221">IFNA(index(PlayerValues!A:A,match(IFNA(vlookup(B3221,'Special Names'!A:B,2,FALSE),B3221),PlayerValues!E:E,0)),"N/A")</f>
        <v>17031</v>
      </c>
      <c r="B3221" s="4" t="s">
        <v>535</v>
      </c>
      <c r="C3221" s="4" t="s">
        <v>283</v>
      </c>
      <c r="D3221" s="94">
        <v>2363.0</v>
      </c>
    </row>
    <row r="3222">
      <c r="A3222" s="40" t="str">
        <f t="array" ref="A3222">IFNA(index(PlayerValues!A:A,match(IFNA(vlookup(B3222,'Special Names'!A:B,2,FALSE),B3222),PlayerValues!E:E,0)),"N/A")</f>
        <v>N/A</v>
      </c>
      <c r="B3222" s="4" t="s">
        <v>100</v>
      </c>
      <c r="C3222" s="4" t="s">
        <v>325</v>
      </c>
      <c r="D3222" s="94">
        <v>2361.0</v>
      </c>
    </row>
    <row r="3223">
      <c r="A3223" s="40">
        <f t="array" ref="A3223">IFNA(index(PlayerValues!A:A,match(IFNA(vlookup(B3223,'Special Names'!A:B,2,FALSE),B3223),PlayerValues!E:E,0)),"N/A")</f>
        <v>14136</v>
      </c>
      <c r="B3223" s="4" t="s">
        <v>536</v>
      </c>
      <c r="C3223" s="4" t="s">
        <v>287</v>
      </c>
      <c r="D3223" s="94">
        <v>2360.0</v>
      </c>
    </row>
    <row r="3224">
      <c r="A3224" s="40">
        <f t="array" ref="A3224">IFNA(index(PlayerValues!A:A,match(IFNA(vlookup(B3224,'Special Names'!A:B,2,FALSE),B3224),PlayerValues!E:E,0)),"N/A")</f>
        <v>12676</v>
      </c>
      <c r="B3224" s="4" t="s">
        <v>537</v>
      </c>
      <c r="C3224" s="4" t="s">
        <v>298</v>
      </c>
      <c r="D3224" s="94">
        <v>2755.0</v>
      </c>
    </row>
    <row r="3225">
      <c r="A3225" s="40">
        <f t="array" ref="A3225">IFNA(index(PlayerValues!A:A,match(IFNA(vlookup(B3225,'Special Names'!A:B,2,FALSE),B3225),PlayerValues!E:E,0)),"N/A")</f>
        <v>16619</v>
      </c>
      <c r="B3225" s="4" t="s">
        <v>538</v>
      </c>
      <c r="C3225" s="4" t="s">
        <v>287</v>
      </c>
      <c r="D3225" s="94">
        <v>2349.0</v>
      </c>
    </row>
    <row r="3226">
      <c r="A3226" s="40">
        <f t="array" ref="A3226">IFNA(index(PlayerValues!A:A,match(IFNA(vlookup(B3226,'Special Names'!A:B,2,FALSE),B3226),PlayerValues!E:E,0)),"N/A")</f>
        <v>17048</v>
      </c>
      <c r="B3226" s="4" t="s">
        <v>539</v>
      </c>
      <c r="C3226" s="4" t="s">
        <v>278</v>
      </c>
      <c r="D3226" s="94">
        <v>2348.0</v>
      </c>
    </row>
    <row r="3227">
      <c r="A3227" s="40">
        <f t="array" ref="A3227">IFNA(index(PlayerValues!A:A,match(IFNA(vlookup(B3227,'Special Names'!A:B,2,FALSE),B3227),PlayerValues!E:E,0)),"N/A")</f>
        <v>17481</v>
      </c>
      <c r="B3227" s="4" t="s">
        <v>540</v>
      </c>
      <c r="C3227" s="4" t="s">
        <v>278</v>
      </c>
      <c r="D3227" s="94">
        <v>2332.0</v>
      </c>
    </row>
    <row r="3228">
      <c r="A3228" s="40">
        <f t="array" ref="A3228">IFNA(index(PlayerValues!A:A,match(IFNA(vlookup(B3228,'Special Names'!A:B,2,FALSE),B3228),PlayerValues!E:E,0)),"N/A")</f>
        <v>16617</v>
      </c>
      <c r="B3228" s="4" t="s">
        <v>541</v>
      </c>
      <c r="C3228" s="4" t="s">
        <v>287</v>
      </c>
      <c r="D3228" s="94">
        <v>2327.0</v>
      </c>
    </row>
    <row r="3229">
      <c r="A3229" s="40">
        <f t="array" ref="A3229">IFNA(index(PlayerValues!A:A,match(IFNA(vlookup(B3229,'Special Names'!A:B,2,FALSE),B3229),PlayerValues!E:E,0)),"N/A")</f>
        <v>17108</v>
      </c>
      <c r="B3229" s="4" t="s">
        <v>542</v>
      </c>
      <c r="C3229" s="4" t="s">
        <v>298</v>
      </c>
      <c r="D3229" s="94">
        <v>2716.0</v>
      </c>
    </row>
    <row r="3230">
      <c r="A3230" s="40" t="str">
        <f t="array" ref="A3230">IFNA(index(PlayerValues!A:A,match(IFNA(vlookup(B3230,'Special Names'!A:B,2,FALSE),B3230),PlayerValues!E:E,0)),"N/A")</f>
        <v>N/A</v>
      </c>
      <c r="B3230" s="4" t="s">
        <v>87</v>
      </c>
      <c r="C3230" s="4" t="s">
        <v>325</v>
      </c>
      <c r="D3230" s="94">
        <v>2318.0</v>
      </c>
    </row>
    <row r="3231">
      <c r="A3231" s="40">
        <f t="array" ref="A3231">IFNA(index(PlayerValues!A:A,match(IFNA(vlookup(B3231,'Special Names'!A:B,2,FALSE),B3231),PlayerValues!E:E,0)),"N/A")</f>
        <v>17078</v>
      </c>
      <c r="B3231" s="4" t="s">
        <v>543</v>
      </c>
      <c r="C3231" s="4" t="s">
        <v>287</v>
      </c>
      <c r="D3231" s="94">
        <v>2318.0</v>
      </c>
    </row>
    <row r="3232">
      <c r="A3232" s="40" t="str">
        <f t="array" ref="A3232">IFNA(index(PlayerValues!A:A,match(IFNA(vlookup(B3232,'Special Names'!A:B,2,FALSE),B3232),PlayerValues!E:E,0)),"N/A")</f>
        <v>N/A</v>
      </c>
      <c r="B3232" s="4" t="s">
        <v>112</v>
      </c>
      <c r="C3232" s="4" t="s">
        <v>325</v>
      </c>
      <c r="D3232" s="94">
        <v>2311.0</v>
      </c>
    </row>
    <row r="3233">
      <c r="A3233" s="40">
        <f t="array" ref="A3233">IFNA(index(PlayerValues!A:A,match(IFNA(vlookup(B3233,'Special Names'!A:B,2,FALSE),B3233),PlayerValues!E:E,0)),"N/A")</f>
        <v>13772</v>
      </c>
      <c r="B3233" s="4" t="s">
        <v>544</v>
      </c>
      <c r="C3233" s="4" t="s">
        <v>298</v>
      </c>
      <c r="D3233" s="94">
        <v>2708.0</v>
      </c>
    </row>
    <row r="3234">
      <c r="A3234" s="40">
        <f t="array" ref="A3234">IFNA(index(PlayerValues!A:A,match(IFNA(vlookup(B3234,'Special Names'!A:B,2,FALSE),B3234),PlayerValues!E:E,0)),"N/A")</f>
        <v>15716</v>
      </c>
      <c r="B3234" s="4" t="s">
        <v>545</v>
      </c>
      <c r="C3234" s="4" t="s">
        <v>278</v>
      </c>
      <c r="D3234" s="94">
        <v>2282.0</v>
      </c>
    </row>
    <row r="3235">
      <c r="A3235" s="40">
        <f t="array" ref="A3235">IFNA(index(PlayerValues!A:A,match(IFNA(vlookup(B3235,'Special Names'!A:B,2,FALSE),B3235),PlayerValues!E:E,0)),"N/A")</f>
        <v>15241</v>
      </c>
      <c r="B3235" s="4" t="s">
        <v>546</v>
      </c>
      <c r="C3235" s="4" t="s">
        <v>283</v>
      </c>
      <c r="D3235" s="94">
        <v>2275.0</v>
      </c>
    </row>
    <row r="3236">
      <c r="A3236" s="40">
        <f t="array" ref="A3236">IFNA(index(PlayerValues!A:A,match(IFNA(vlookup(B3236,'Special Names'!A:B,2,FALSE),B3236),PlayerValues!E:E,0)),"N/A")</f>
        <v>17073</v>
      </c>
      <c r="B3236" s="4" t="s">
        <v>547</v>
      </c>
      <c r="C3236" s="4" t="s">
        <v>287</v>
      </c>
      <c r="D3236" s="94">
        <v>2273.0</v>
      </c>
    </row>
    <row r="3237">
      <c r="A3237" s="40">
        <f t="array" ref="A3237">IFNA(index(PlayerValues!A:A,match(IFNA(vlookup(B3237,'Special Names'!A:B,2,FALSE),B3237),PlayerValues!E:E,0)),"N/A")</f>
        <v>17134</v>
      </c>
      <c r="B3237" s="4" t="s">
        <v>548</v>
      </c>
      <c r="C3237" s="4" t="s">
        <v>287</v>
      </c>
      <c r="D3237" s="94">
        <v>2268.0</v>
      </c>
    </row>
    <row r="3238">
      <c r="A3238" s="40">
        <f t="array" ref="A3238">IFNA(index(PlayerValues!A:A,match(IFNA(vlookup(B3238,'Special Names'!A:B,2,FALSE),B3238),PlayerValues!E:E,0)),"N/A")</f>
        <v>13319</v>
      </c>
      <c r="B3238" s="4" t="s">
        <v>549</v>
      </c>
      <c r="C3238" s="4" t="s">
        <v>278</v>
      </c>
      <c r="D3238" s="94">
        <v>2263.0</v>
      </c>
    </row>
    <row r="3239">
      <c r="A3239" s="40">
        <f t="array" ref="A3239">IFNA(index(PlayerValues!A:A,match(IFNA(vlookup(B3239,'Special Names'!A:B,2,FALSE),B3239),PlayerValues!E:E,0)),"N/A")</f>
        <v>17106</v>
      </c>
      <c r="B3239" s="4" t="s">
        <v>550</v>
      </c>
      <c r="C3239" s="4" t="s">
        <v>298</v>
      </c>
      <c r="D3239" s="94">
        <v>2649.0</v>
      </c>
    </row>
    <row r="3240">
      <c r="A3240" s="40">
        <f t="array" ref="A3240">IFNA(index(PlayerValues!A:A,match(IFNA(vlookup(B3240,'Special Names'!A:B,2,FALSE),B3240),PlayerValues!E:E,0)),"N/A")</f>
        <v>17509</v>
      </c>
      <c r="B3240" s="4" t="s">
        <v>551</v>
      </c>
      <c r="C3240" s="4" t="s">
        <v>287</v>
      </c>
      <c r="D3240" s="94">
        <v>2251.0</v>
      </c>
    </row>
    <row r="3241">
      <c r="A3241" s="40">
        <f t="array" ref="A3241">IFNA(index(PlayerValues!A:A,match(IFNA(vlookup(B3241,'Special Names'!A:B,2,FALSE),B3241),PlayerValues!E:E,0)),"N/A")</f>
        <v>17547</v>
      </c>
      <c r="B3241" s="4" t="s">
        <v>552</v>
      </c>
      <c r="C3241" s="4" t="s">
        <v>298</v>
      </c>
      <c r="D3241" s="94">
        <v>2644.0</v>
      </c>
    </row>
    <row r="3242">
      <c r="A3242" s="40">
        <f t="array" ref="A3242">IFNA(index(PlayerValues!A:A,match(IFNA(vlookup(B3242,'Special Names'!A:B,2,FALSE),B3242),PlayerValues!E:E,0)),"N/A")</f>
        <v>14833</v>
      </c>
      <c r="B3242" s="4" t="s">
        <v>553</v>
      </c>
      <c r="C3242" s="4" t="s">
        <v>287</v>
      </c>
      <c r="D3242" s="94">
        <v>2236.0</v>
      </c>
    </row>
    <row r="3243">
      <c r="A3243" s="40">
        <f t="array" ref="A3243">IFNA(index(PlayerValues!A:A,match(IFNA(vlookup(B3243,'Special Names'!A:B,2,FALSE),B3243),PlayerValues!E:E,0)),"N/A")</f>
        <v>14860</v>
      </c>
      <c r="B3243" s="4" t="s">
        <v>554</v>
      </c>
      <c r="C3243" s="4" t="s">
        <v>287</v>
      </c>
      <c r="D3243" s="94">
        <v>2230.0</v>
      </c>
    </row>
    <row r="3244">
      <c r="A3244" s="40">
        <f t="array" ref="A3244">IFNA(index(PlayerValues!A:A,match(IFNA(vlookup(B3244,'Special Names'!A:B,2,FALSE),B3244),PlayerValues!E:E,0)),"N/A")</f>
        <v>16747</v>
      </c>
      <c r="B3244" s="4" t="s">
        <v>555</v>
      </c>
      <c r="C3244" s="4" t="s">
        <v>278</v>
      </c>
      <c r="D3244" s="94">
        <v>2199.0</v>
      </c>
    </row>
    <row r="3245">
      <c r="A3245" s="40">
        <f t="array" ref="A3245">IFNA(index(PlayerValues!A:A,match(IFNA(vlookup(B3245,'Special Names'!A:B,2,FALSE),B3245),PlayerValues!E:E,0)),"N/A")</f>
        <v>15797</v>
      </c>
      <c r="B3245" s="4" t="s">
        <v>556</v>
      </c>
      <c r="C3245" s="4" t="s">
        <v>298</v>
      </c>
      <c r="D3245" s="94">
        <v>2590.0</v>
      </c>
    </row>
    <row r="3246">
      <c r="A3246" s="40" t="str">
        <f t="array" ref="A3246">IFNA(index(PlayerValues!A:A,match(IFNA(vlookup(B3246,'Special Names'!A:B,2,FALSE),B3246),PlayerValues!E:E,0)),"N/A")</f>
        <v>N/A</v>
      </c>
      <c r="B3246" s="4" t="s">
        <v>557</v>
      </c>
      <c r="C3246" s="4" t="s">
        <v>278</v>
      </c>
      <c r="D3246" s="94">
        <v>2175.0</v>
      </c>
    </row>
    <row r="3247">
      <c r="A3247" s="40">
        <f t="array" ref="A3247">IFNA(index(PlayerValues!A:A,match(IFNA(vlookup(B3247,'Special Names'!A:B,2,FALSE),B3247),PlayerValues!E:E,0)),"N/A")</f>
        <v>16757</v>
      </c>
      <c r="B3247" s="4" t="s">
        <v>558</v>
      </c>
      <c r="C3247" s="4" t="s">
        <v>278</v>
      </c>
      <c r="D3247" s="94">
        <v>2168.0</v>
      </c>
    </row>
    <row r="3248">
      <c r="A3248" s="40" t="str">
        <f t="array" ref="A3248">IFNA(index(PlayerValues!A:A,match(IFNA(vlookup(B3248,'Special Names'!A:B,2,FALSE),B3248),PlayerValues!E:E,0)),"N/A")</f>
        <v>N/A</v>
      </c>
      <c r="B3248" s="4" t="s">
        <v>113</v>
      </c>
      <c r="C3248" s="4" t="s">
        <v>325</v>
      </c>
      <c r="D3248" s="94">
        <v>2166.0</v>
      </c>
    </row>
    <row r="3249">
      <c r="A3249" s="40">
        <f t="array" ref="A3249">IFNA(index(PlayerValues!A:A,match(IFNA(vlookup(B3249,'Special Names'!A:B,2,FALSE),B3249),PlayerValues!E:E,0)),"N/A")</f>
        <v>11150</v>
      </c>
      <c r="B3249" s="4" t="s">
        <v>559</v>
      </c>
      <c r="C3249" s="4" t="s">
        <v>283</v>
      </c>
      <c r="D3249" s="94">
        <v>2159.0</v>
      </c>
    </row>
    <row r="3250">
      <c r="A3250" s="40">
        <f t="array" ref="A3250">IFNA(index(PlayerValues!A:A,match(IFNA(vlookup(B3250,'Special Names'!A:B,2,FALSE),B3250),PlayerValues!E:E,0)),"N/A")</f>
        <v>15331</v>
      </c>
      <c r="B3250" s="4" t="s">
        <v>560</v>
      </c>
      <c r="C3250" s="4" t="s">
        <v>298</v>
      </c>
      <c r="D3250" s="94">
        <v>2536.0</v>
      </c>
    </row>
    <row r="3251">
      <c r="A3251" s="40">
        <f t="array" ref="A3251">IFNA(index(PlayerValues!A:A,match(IFNA(vlookup(B3251,'Special Names'!A:B,2,FALSE),B3251),PlayerValues!E:E,0)),"N/A")</f>
        <v>17171</v>
      </c>
      <c r="B3251" s="4" t="s">
        <v>561</v>
      </c>
      <c r="C3251" s="4" t="s">
        <v>287</v>
      </c>
      <c r="D3251" s="94">
        <v>2143.0</v>
      </c>
    </row>
    <row r="3252">
      <c r="A3252" s="40">
        <f t="array" ref="A3252">IFNA(index(PlayerValues!A:A,match(IFNA(vlookup(B3252,'Special Names'!A:B,2,FALSE),B3252),PlayerValues!E:E,0)),"N/A")</f>
        <v>16610</v>
      </c>
      <c r="B3252" s="4" t="s">
        <v>562</v>
      </c>
      <c r="C3252" s="4" t="s">
        <v>278</v>
      </c>
      <c r="D3252" s="94">
        <v>2140.0</v>
      </c>
    </row>
    <row r="3253">
      <c r="A3253" s="40">
        <f t="array" ref="A3253">IFNA(index(PlayerValues!A:A,match(IFNA(vlookup(B3253,'Special Names'!A:B,2,FALSE),B3253),PlayerValues!E:E,0)),"N/A")</f>
        <v>13192</v>
      </c>
      <c r="B3253" s="4" t="s">
        <v>563</v>
      </c>
      <c r="C3253" s="4" t="s">
        <v>298</v>
      </c>
      <c r="D3253" s="94">
        <v>2529.0</v>
      </c>
    </row>
    <row r="3254">
      <c r="A3254" s="40">
        <f t="array" ref="A3254">IFNA(index(PlayerValues!A:A,match(IFNA(vlookup(B3254,'Special Names'!A:B,2,FALSE),B3254),PlayerValues!E:E,0)),"N/A")</f>
        <v>14778</v>
      </c>
      <c r="B3254" s="4" t="s">
        <v>564</v>
      </c>
      <c r="C3254" s="4" t="s">
        <v>283</v>
      </c>
      <c r="D3254" s="94">
        <v>2139.0</v>
      </c>
    </row>
    <row r="3255">
      <c r="A3255" s="40">
        <f t="array" ref="A3255">IFNA(index(PlayerValues!A:A,match(IFNA(vlookup(B3255,'Special Names'!A:B,2,FALSE),B3255),PlayerValues!E:E,0)),"N/A")</f>
        <v>17055</v>
      </c>
      <c r="B3255" s="4" t="s">
        <v>565</v>
      </c>
      <c r="C3255" s="4" t="s">
        <v>278</v>
      </c>
      <c r="D3255" s="94">
        <v>2138.0</v>
      </c>
    </row>
    <row r="3256">
      <c r="A3256" s="40">
        <f t="array" ref="A3256">IFNA(index(PlayerValues!A:A,match(IFNA(vlookup(B3256,'Special Names'!A:B,2,FALSE),B3256),PlayerValues!E:E,0)),"N/A")</f>
        <v>15802</v>
      </c>
      <c r="B3256" s="4" t="s">
        <v>566</v>
      </c>
      <c r="C3256" s="4" t="s">
        <v>298</v>
      </c>
      <c r="D3256" s="94">
        <v>2529.0</v>
      </c>
    </row>
    <row r="3257">
      <c r="A3257" s="40" t="str">
        <f t="array" ref="A3257">IFNA(index(PlayerValues!A:A,match(IFNA(vlookup(B3257,'Special Names'!A:B,2,FALSE),B3257),PlayerValues!E:E,0)),"N/A")</f>
        <v>N/A</v>
      </c>
      <c r="B3257" s="4" t="s">
        <v>88</v>
      </c>
      <c r="C3257" s="4" t="s">
        <v>325</v>
      </c>
      <c r="D3257" s="94">
        <v>2133.0</v>
      </c>
    </row>
    <row r="3258">
      <c r="A3258" s="40">
        <f t="array" ref="A3258">IFNA(index(PlayerValues!A:A,match(IFNA(vlookup(B3258,'Special Names'!A:B,2,FALSE),B3258),PlayerValues!E:E,0)),"N/A")</f>
        <v>16166</v>
      </c>
      <c r="B3258" s="4" t="s">
        <v>567</v>
      </c>
      <c r="C3258" s="4" t="s">
        <v>278</v>
      </c>
      <c r="D3258" s="94">
        <v>2126.0</v>
      </c>
    </row>
    <row r="3259">
      <c r="A3259" s="40">
        <f t="array" ref="A3259">IFNA(index(PlayerValues!A:A,match(IFNA(vlookup(B3259,'Special Names'!A:B,2,FALSE),B3259),PlayerValues!E:E,0)),"N/A")</f>
        <v>16212</v>
      </c>
      <c r="B3259" s="4" t="s">
        <v>568</v>
      </c>
      <c r="C3259" s="4" t="s">
        <v>298</v>
      </c>
      <c r="D3259" s="94">
        <v>2509.0</v>
      </c>
    </row>
    <row r="3260">
      <c r="A3260" s="40">
        <f t="array" ref="A3260">IFNA(index(PlayerValues!A:A,match(IFNA(vlookup(B3260,'Special Names'!A:B,2,FALSE),B3260),PlayerValues!E:E,0)),"N/A")</f>
        <v>16584</v>
      </c>
      <c r="B3260" s="4" t="s">
        <v>569</v>
      </c>
      <c r="C3260" s="4" t="s">
        <v>283</v>
      </c>
      <c r="D3260" s="94">
        <v>2109.0</v>
      </c>
    </row>
    <row r="3261">
      <c r="A3261" s="40">
        <f t="array" ref="A3261">IFNA(index(PlayerValues!A:A,match(IFNA(vlookup(B3261,'Special Names'!A:B,2,FALSE),B3261),PlayerValues!E:E,0)),"N/A")</f>
        <v>17033</v>
      </c>
      <c r="B3261" s="4" t="s">
        <v>570</v>
      </c>
      <c r="C3261" s="4" t="s">
        <v>283</v>
      </c>
      <c r="D3261" s="94">
        <v>2104.0</v>
      </c>
    </row>
    <row r="3262">
      <c r="A3262" s="40">
        <f t="array" ref="A3262">IFNA(index(PlayerValues!A:A,match(IFNA(vlookup(B3262,'Special Names'!A:B,2,FALSE),B3262),PlayerValues!E:E,0)),"N/A")</f>
        <v>17567</v>
      </c>
      <c r="B3262" s="4" t="s">
        <v>571</v>
      </c>
      <c r="C3262" s="4" t="s">
        <v>298</v>
      </c>
      <c r="D3262" s="94">
        <v>2473.0</v>
      </c>
    </row>
    <row r="3263">
      <c r="A3263" s="40">
        <f t="array" ref="A3263">IFNA(index(PlayerValues!A:A,match(IFNA(vlookup(B3263,'Special Names'!A:B,2,FALSE),B3263),PlayerValues!E:E,0)),"N/A")</f>
        <v>17079</v>
      </c>
      <c r="B3263" s="4" t="s">
        <v>572</v>
      </c>
      <c r="C3263" s="4" t="s">
        <v>287</v>
      </c>
      <c r="D3263" s="94">
        <v>2081.0</v>
      </c>
    </row>
    <row r="3264">
      <c r="A3264" s="40" t="str">
        <f t="array" ref="A3264">IFNA(index(PlayerValues!A:A,match(IFNA(vlookup(B3264,'Special Names'!A:B,2,FALSE),B3264),PlayerValues!E:E,0)),"N/A")</f>
        <v>N/A</v>
      </c>
      <c r="B3264" s="4" t="s">
        <v>114</v>
      </c>
      <c r="C3264" s="4" t="s">
        <v>325</v>
      </c>
      <c r="D3264" s="94">
        <v>2075.0</v>
      </c>
    </row>
    <row r="3265">
      <c r="A3265" s="40">
        <f t="array" ref="A3265">IFNA(index(PlayerValues!A:A,match(IFNA(vlookup(B3265,'Special Names'!A:B,2,FALSE),B3265),PlayerValues!E:E,0)),"N/A")</f>
        <v>17521</v>
      </c>
      <c r="B3265" s="4" t="s">
        <v>573</v>
      </c>
      <c r="C3265" s="4" t="s">
        <v>287</v>
      </c>
      <c r="D3265" s="94">
        <v>2071.0</v>
      </c>
    </row>
    <row r="3266">
      <c r="A3266" s="40">
        <f t="array" ref="A3266">IFNA(index(PlayerValues!A:A,match(IFNA(vlookup(B3266,'Special Names'!A:B,2,FALSE),B3266),PlayerValues!E:E,0)),"N/A")</f>
        <v>15749</v>
      </c>
      <c r="B3266" s="4" t="s">
        <v>574</v>
      </c>
      <c r="C3266" s="4" t="s">
        <v>278</v>
      </c>
      <c r="D3266" s="94">
        <v>2068.0</v>
      </c>
    </row>
    <row r="3267">
      <c r="A3267" s="40">
        <f t="array" ref="A3267">IFNA(index(PlayerValues!A:A,match(IFNA(vlookup(B3267,'Special Names'!A:B,2,FALSE),B3267),PlayerValues!E:E,0)),"N/A")</f>
        <v>17467</v>
      </c>
      <c r="B3267" s="4" t="s">
        <v>575</v>
      </c>
      <c r="C3267" s="4" t="s">
        <v>283</v>
      </c>
      <c r="D3267" s="94">
        <v>2050.0</v>
      </c>
    </row>
    <row r="3268">
      <c r="A3268" s="40">
        <f t="array" ref="A3268">IFNA(index(PlayerValues!A:A,match(IFNA(vlookup(B3268,'Special Names'!A:B,2,FALSE),B3268),PlayerValues!E:E,0)),"N/A")</f>
        <v>17652</v>
      </c>
      <c r="B3268" s="4" t="s">
        <v>576</v>
      </c>
      <c r="C3268" s="4" t="s">
        <v>278</v>
      </c>
      <c r="D3268" s="94">
        <v>2048.0</v>
      </c>
    </row>
    <row r="3269">
      <c r="A3269" s="40">
        <f t="array" ref="A3269">IFNA(index(PlayerValues!A:A,match(IFNA(vlookup(B3269,'Special Names'!A:B,2,FALSE),B3269),PlayerValues!E:E,0)),"N/A")</f>
        <v>16778</v>
      </c>
      <c r="B3269" s="4" t="s">
        <v>577</v>
      </c>
      <c r="C3269" s="4" t="s">
        <v>287</v>
      </c>
      <c r="D3269" s="94">
        <v>2039.0</v>
      </c>
    </row>
    <row r="3270">
      <c r="A3270" s="40">
        <f t="array" ref="A3270">IFNA(index(PlayerValues!A:A,match(IFNA(vlookup(B3270,'Special Names'!A:B,2,FALSE),B3270),PlayerValues!E:E,0)),"N/A")</f>
        <v>15293</v>
      </c>
      <c r="B3270" s="4" t="s">
        <v>578</v>
      </c>
      <c r="C3270" s="4" t="s">
        <v>287</v>
      </c>
      <c r="D3270" s="94">
        <v>2029.0</v>
      </c>
    </row>
    <row r="3271">
      <c r="A3271" s="40">
        <f t="array" ref="A3271">IFNA(index(PlayerValues!A:A,match(IFNA(vlookup(B3271,'Special Names'!A:B,2,FALSE),B3271),PlayerValues!E:E,0)),"N/A")</f>
        <v>17528</v>
      </c>
      <c r="B3271" s="4" t="s">
        <v>579</v>
      </c>
      <c r="C3271" s="4" t="s">
        <v>287</v>
      </c>
      <c r="D3271" s="94">
        <v>2029.0</v>
      </c>
    </row>
    <row r="3272">
      <c r="A3272" s="40">
        <f t="array" ref="A3272">IFNA(index(PlayerValues!A:A,match(IFNA(vlookup(B3272,'Special Names'!A:B,2,FALSE),B3272),PlayerValues!E:E,0)),"N/A")</f>
        <v>17061</v>
      </c>
      <c r="B3272" s="4" t="s">
        <v>580</v>
      </c>
      <c r="C3272" s="4" t="s">
        <v>278</v>
      </c>
      <c r="D3272" s="94">
        <v>2028.0</v>
      </c>
    </row>
    <row r="3273">
      <c r="A3273" s="40">
        <f t="array" ref="A3273">IFNA(index(PlayerValues!A:A,match(IFNA(vlookup(B3273,'Special Names'!A:B,2,FALSE),B3273),PlayerValues!E:E,0)),"N/A")</f>
        <v>17056</v>
      </c>
      <c r="B3273" s="4" t="s">
        <v>581</v>
      </c>
      <c r="C3273" s="4" t="s">
        <v>278</v>
      </c>
      <c r="D3273" s="94">
        <v>2024.0</v>
      </c>
    </row>
    <row r="3274">
      <c r="A3274" s="40">
        <f t="array" ref="A3274">IFNA(index(PlayerValues!A:A,match(IFNA(vlookup(B3274,'Special Names'!A:B,2,FALSE),B3274),PlayerValues!E:E,0)),"N/A")</f>
        <v>16189</v>
      </c>
      <c r="B3274" s="4" t="s">
        <v>582</v>
      </c>
      <c r="C3274" s="4" t="s">
        <v>287</v>
      </c>
      <c r="D3274" s="94">
        <v>2022.0</v>
      </c>
    </row>
    <row r="3275">
      <c r="A3275" s="40">
        <f t="array" ref="A3275">IFNA(index(PlayerValues!A:A,match(IFNA(vlookup(B3275,'Special Names'!A:B,2,FALSE),B3275),PlayerValues!E:E,0)),"N/A")</f>
        <v>16342</v>
      </c>
      <c r="B3275" s="4" t="s">
        <v>583</v>
      </c>
      <c r="C3275" s="4" t="s">
        <v>287</v>
      </c>
      <c r="D3275" s="94">
        <v>2021.0</v>
      </c>
    </row>
    <row r="3276">
      <c r="A3276" s="40">
        <f t="array" ref="A3276">IFNA(index(PlayerValues!A:A,match(IFNA(vlookup(B3276,'Special Names'!A:B,2,FALSE),B3276),PlayerValues!E:E,0)),"N/A")</f>
        <v>14871</v>
      </c>
      <c r="B3276" s="4" t="s">
        <v>584</v>
      </c>
      <c r="C3276" s="4" t="s">
        <v>298</v>
      </c>
      <c r="D3276" s="94">
        <v>2380.0</v>
      </c>
    </row>
    <row r="3277">
      <c r="A3277" s="40">
        <f t="array" ref="A3277">IFNA(index(PlayerValues!A:A,match(IFNA(vlookup(B3277,'Special Names'!A:B,2,FALSE),B3277),PlayerValues!E:E,0)),"N/A")</f>
        <v>17076</v>
      </c>
      <c r="B3277" s="4" t="s">
        <v>585</v>
      </c>
      <c r="C3277" s="4" t="s">
        <v>287</v>
      </c>
      <c r="D3277" s="94">
        <v>1992.0</v>
      </c>
    </row>
    <row r="3278">
      <c r="A3278" s="40">
        <f t="array" ref="A3278">IFNA(index(PlayerValues!A:A,match(IFNA(vlookup(B3278,'Special Names'!A:B,2,FALSE),B3278),PlayerValues!E:E,0)),"N/A")</f>
        <v>16649</v>
      </c>
      <c r="B3278" s="4" t="s">
        <v>586</v>
      </c>
      <c r="C3278" s="4" t="s">
        <v>298</v>
      </c>
      <c r="D3278" s="94">
        <v>2376.0</v>
      </c>
    </row>
    <row r="3279">
      <c r="A3279" s="40">
        <f t="array" ref="A3279">IFNA(index(PlayerValues!A:A,match(IFNA(vlookup(B3279,'Special Names'!A:B,2,FALSE),B3279),PlayerValues!E:E,0)),"N/A")</f>
        <v>16603</v>
      </c>
      <c r="B3279" s="4" t="s">
        <v>587</v>
      </c>
      <c r="C3279" s="4" t="s">
        <v>278</v>
      </c>
      <c r="D3279" s="94">
        <v>1985.0</v>
      </c>
    </row>
    <row r="3280">
      <c r="A3280" s="40" t="str">
        <f t="array" ref="A3280">IFNA(index(PlayerValues!A:A,match(IFNA(vlookup(B3280,'Special Names'!A:B,2,FALSE),B3280),PlayerValues!E:E,0)),"N/A")</f>
        <v>N/A</v>
      </c>
      <c r="B3280" s="4" t="s">
        <v>101</v>
      </c>
      <c r="C3280" s="4" t="s">
        <v>325</v>
      </c>
      <c r="D3280" s="94">
        <v>1982.0</v>
      </c>
    </row>
    <row r="3281">
      <c r="A3281" s="40">
        <f t="array" ref="A3281">IFNA(index(PlayerValues!A:A,match(IFNA(vlookup(B3281,'Special Names'!A:B,2,FALSE),B3281),PlayerValues!E:E,0)),"N/A")</f>
        <v>17184</v>
      </c>
      <c r="B3281" s="4" t="s">
        <v>588</v>
      </c>
      <c r="C3281" s="4" t="s">
        <v>287</v>
      </c>
      <c r="D3281" s="94">
        <v>1972.0</v>
      </c>
    </row>
    <row r="3282">
      <c r="A3282" s="40">
        <f t="array" ref="A3282">IFNA(index(PlayerValues!A:A,match(IFNA(vlookup(B3282,'Special Names'!A:B,2,FALSE),B3282),PlayerValues!E:E,0)),"N/A")</f>
        <v>16201</v>
      </c>
      <c r="B3282" s="4" t="s">
        <v>589</v>
      </c>
      <c r="C3282" s="4" t="s">
        <v>287</v>
      </c>
      <c r="D3282" s="94">
        <v>1969.0</v>
      </c>
    </row>
    <row r="3283">
      <c r="A3283" s="40">
        <f t="array" ref="A3283">IFNA(index(PlayerValues!A:A,match(IFNA(vlookup(B3283,'Special Names'!A:B,2,FALSE),B3283),PlayerValues!E:E,0)),"N/A")</f>
        <v>7836</v>
      </c>
      <c r="B3283" s="4" t="s">
        <v>590</v>
      </c>
      <c r="C3283" s="4" t="s">
        <v>283</v>
      </c>
      <c r="D3283" s="94">
        <v>1951.0</v>
      </c>
    </row>
    <row r="3284">
      <c r="A3284" s="40">
        <f t="array" ref="A3284">IFNA(index(PlayerValues!A:A,match(IFNA(vlookup(B3284,'Special Names'!A:B,2,FALSE),B3284),PlayerValues!E:E,0)),"N/A")</f>
        <v>14867</v>
      </c>
      <c r="B3284" s="4" t="s">
        <v>591</v>
      </c>
      <c r="C3284" s="4" t="s">
        <v>298</v>
      </c>
      <c r="D3284" s="94">
        <v>2337.0</v>
      </c>
    </row>
    <row r="3285">
      <c r="A3285" s="40">
        <f t="array" ref="A3285">IFNA(index(PlayerValues!A:A,match(IFNA(vlookup(B3285,'Special Names'!A:B,2,FALSE),B3285),PlayerValues!E:E,0)),"N/A")</f>
        <v>16036</v>
      </c>
      <c r="B3285" s="4" t="s">
        <v>592</v>
      </c>
      <c r="C3285" s="4" t="s">
        <v>298</v>
      </c>
      <c r="D3285" s="94">
        <v>2330.0</v>
      </c>
    </row>
    <row r="3286">
      <c r="A3286" s="40">
        <f t="array" ref="A3286">IFNA(index(PlayerValues!A:A,match(IFNA(vlookup(B3286,'Special Names'!A:B,2,FALSE),B3286),PlayerValues!E:E,0)),"N/A")</f>
        <v>17519</v>
      </c>
      <c r="B3286" s="4" t="s">
        <v>593</v>
      </c>
      <c r="C3286" s="4" t="s">
        <v>287</v>
      </c>
      <c r="D3286" s="94">
        <v>1935.0</v>
      </c>
    </row>
    <row r="3287">
      <c r="A3287" s="40">
        <f t="array" ref="A3287">IFNA(index(PlayerValues!A:A,match(IFNA(vlookup(B3287,'Special Names'!A:B,2,FALSE),B3287),PlayerValues!E:E,0)),"N/A")</f>
        <v>17548</v>
      </c>
      <c r="B3287" s="4" t="s">
        <v>594</v>
      </c>
      <c r="C3287" s="4" t="s">
        <v>298</v>
      </c>
      <c r="D3287" s="94">
        <v>2314.0</v>
      </c>
    </row>
    <row r="3288">
      <c r="A3288" s="40">
        <f t="array" ref="A3288">IFNA(index(PlayerValues!A:A,match(IFNA(vlookup(B3288,'Special Names'!A:B,2,FALSE),B3288),PlayerValues!E:E,0)),"N/A")</f>
        <v>16216</v>
      </c>
      <c r="B3288" s="4" t="s">
        <v>595</v>
      </c>
      <c r="C3288" s="4" t="s">
        <v>298</v>
      </c>
      <c r="D3288" s="94">
        <v>2314.0</v>
      </c>
    </row>
    <row r="3289">
      <c r="A3289" s="40">
        <f t="array" ref="A3289">IFNA(index(PlayerValues!A:A,match(IFNA(vlookup(B3289,'Special Names'!A:B,2,FALSE),B3289),PlayerValues!E:E,0)),"N/A")</f>
        <v>10700</v>
      </c>
      <c r="B3289" s="4" t="s">
        <v>596</v>
      </c>
      <c r="C3289" s="4" t="s">
        <v>283</v>
      </c>
      <c r="D3289" s="94">
        <v>1926.0</v>
      </c>
    </row>
    <row r="3290">
      <c r="A3290" s="40">
        <f t="array" ref="A3290">IFNA(index(PlayerValues!A:A,match(IFNA(vlookup(B3290,'Special Names'!A:B,2,FALSE),B3290),PlayerValues!E:E,0)),"N/A")</f>
        <v>16752</v>
      </c>
      <c r="B3290" s="4" t="s">
        <v>597</v>
      </c>
      <c r="C3290" s="4" t="s">
        <v>278</v>
      </c>
      <c r="D3290" s="94">
        <v>1925.0</v>
      </c>
    </row>
    <row r="3291">
      <c r="A3291" s="40">
        <f t="array" ref="A3291">IFNA(index(PlayerValues!A:A,match(IFNA(vlookup(B3291,'Special Names'!A:B,2,FALSE),B3291),PlayerValues!E:E,0)),"N/A")</f>
        <v>13132</v>
      </c>
      <c r="B3291" s="4" t="s">
        <v>598</v>
      </c>
      <c r="C3291" s="4" t="s">
        <v>278</v>
      </c>
      <c r="D3291" s="94">
        <v>1920.0</v>
      </c>
    </row>
    <row r="3292">
      <c r="A3292" s="40">
        <f t="array" ref="A3292">IFNA(index(PlayerValues!A:A,match(IFNA(vlookup(B3292,'Special Names'!A:B,2,FALSE),B3292),PlayerValues!E:E,0)),"N/A")</f>
        <v>16639</v>
      </c>
      <c r="B3292" s="4" t="s">
        <v>599</v>
      </c>
      <c r="C3292" s="4" t="s">
        <v>287</v>
      </c>
      <c r="D3292" s="94">
        <v>1901.0</v>
      </c>
    </row>
    <row r="3293">
      <c r="A3293" s="40">
        <f t="array" ref="A3293">IFNA(index(PlayerValues!A:A,match(IFNA(vlookup(B3293,'Special Names'!A:B,2,FALSE),B3293),PlayerValues!E:E,0)),"N/A")</f>
        <v>17087</v>
      </c>
      <c r="B3293" s="4" t="s">
        <v>600</v>
      </c>
      <c r="C3293" s="4" t="s">
        <v>287</v>
      </c>
      <c r="D3293" s="94">
        <v>1894.0</v>
      </c>
    </row>
    <row r="3294">
      <c r="A3294" s="40">
        <f t="array" ref="A3294">IFNA(index(PlayerValues!A:A,match(IFNA(vlookup(B3294,'Special Names'!A:B,2,FALSE),B3294),PlayerValues!E:E,0)),"N/A")</f>
        <v>16152</v>
      </c>
      <c r="B3294" s="4" t="s">
        <v>601</v>
      </c>
      <c r="C3294" s="4" t="s">
        <v>283</v>
      </c>
      <c r="D3294" s="94">
        <v>1875.0</v>
      </c>
    </row>
    <row r="3295">
      <c r="A3295" s="40">
        <f t="array" ref="A3295">IFNA(index(PlayerValues!A:A,match(IFNA(vlookup(B3295,'Special Names'!A:B,2,FALSE),B3295),PlayerValues!E:E,0)),"N/A")</f>
        <v>17046</v>
      </c>
      <c r="B3295" s="4" t="s">
        <v>602</v>
      </c>
      <c r="C3295" s="4" t="s">
        <v>278</v>
      </c>
      <c r="D3295" s="94">
        <v>1868.0</v>
      </c>
    </row>
    <row r="3296">
      <c r="A3296" s="40">
        <f t="array" ref="A3296">IFNA(index(PlayerValues!A:A,match(IFNA(vlookup(B3296,'Special Names'!A:B,2,FALSE),B3296),PlayerValues!E:E,0)),"N/A")</f>
        <v>17060</v>
      </c>
      <c r="B3296" s="4" t="s">
        <v>603</v>
      </c>
      <c r="C3296" s="4" t="s">
        <v>278</v>
      </c>
      <c r="D3296" s="94">
        <v>1859.0</v>
      </c>
    </row>
    <row r="3297">
      <c r="A3297" s="40">
        <f t="array" ref="A3297">IFNA(index(PlayerValues!A:A,match(IFNA(vlookup(B3297,'Special Names'!A:B,2,FALSE),B3297),PlayerValues!E:E,0)),"N/A")</f>
        <v>17069</v>
      </c>
      <c r="B3297" s="4" t="s">
        <v>604</v>
      </c>
      <c r="C3297" s="4" t="s">
        <v>278</v>
      </c>
      <c r="D3297" s="94">
        <v>1848.0</v>
      </c>
    </row>
    <row r="3298">
      <c r="A3298" s="40">
        <f t="array" ref="A3298">IFNA(index(PlayerValues!A:A,match(IFNA(vlookup(B3298,'Special Names'!A:B,2,FALSE),B3298),PlayerValues!E:E,0)),"N/A")</f>
        <v>16629</v>
      </c>
      <c r="B3298" s="4" t="s">
        <v>605</v>
      </c>
      <c r="C3298" s="4" t="s">
        <v>287</v>
      </c>
      <c r="D3298" s="94">
        <v>1823.0</v>
      </c>
    </row>
    <row r="3299">
      <c r="A3299" s="40">
        <f t="array" ref="A3299">IFNA(index(PlayerValues!A:A,match(IFNA(vlookup(B3299,'Special Names'!A:B,2,FALSE),B3299),PlayerValues!E:E,0)),"N/A")</f>
        <v>13113</v>
      </c>
      <c r="B3299" s="4" t="s">
        <v>606</v>
      </c>
      <c r="C3299" s="4" t="s">
        <v>283</v>
      </c>
      <c r="D3299" s="94">
        <v>1822.0</v>
      </c>
    </row>
    <row r="3300">
      <c r="A3300" s="40">
        <f t="array" ref="A3300">IFNA(index(PlayerValues!A:A,match(IFNA(vlookup(B3300,'Special Names'!A:B,2,FALSE),B3300),PlayerValues!E:E,0)),"N/A")</f>
        <v>16594</v>
      </c>
      <c r="B3300" s="4" t="s">
        <v>607</v>
      </c>
      <c r="C3300" s="4" t="s">
        <v>278</v>
      </c>
      <c r="D3300" s="94">
        <v>1819.0</v>
      </c>
    </row>
    <row r="3301">
      <c r="A3301" s="40" t="str">
        <f t="array" ref="A3301">IFNA(index(PlayerValues!A:A,match(IFNA(vlookup(B3301,'Special Names'!A:B,2,FALSE),B3301),PlayerValues!E:E,0)),"N/A")</f>
        <v>N/A</v>
      </c>
      <c r="B3301" s="4" t="s">
        <v>102</v>
      </c>
      <c r="C3301" s="4" t="s">
        <v>325</v>
      </c>
      <c r="D3301" s="94">
        <v>1818.0</v>
      </c>
    </row>
    <row r="3302">
      <c r="A3302" s="40">
        <f t="array" ref="A3302">IFNA(index(PlayerValues!A:A,match(IFNA(vlookup(B3302,'Special Names'!A:B,2,FALSE),B3302),PlayerValues!E:E,0)),"N/A")</f>
        <v>17529</v>
      </c>
      <c r="B3302" s="4" t="s">
        <v>608</v>
      </c>
      <c r="C3302" s="4" t="s">
        <v>287</v>
      </c>
      <c r="D3302" s="94">
        <v>1815.0</v>
      </c>
    </row>
    <row r="3303">
      <c r="A3303" s="40">
        <f t="array" ref="A3303">IFNA(index(PlayerValues!A:A,match(IFNA(vlookup(B3303,'Special Names'!A:B,2,FALSE),B3303),PlayerValues!E:E,0)),"N/A")</f>
        <v>16643</v>
      </c>
      <c r="B3303" s="4" t="s">
        <v>609</v>
      </c>
      <c r="C3303" s="4" t="s">
        <v>298</v>
      </c>
      <c r="D3303" s="94">
        <v>2188.0</v>
      </c>
    </row>
    <row r="3304">
      <c r="A3304" s="40">
        <f t="array" ref="A3304">IFNA(index(PlayerValues!A:A,match(IFNA(vlookup(B3304,'Special Names'!A:B,2,FALSE),B3304),PlayerValues!E:E,0)),"N/A")</f>
        <v>15787</v>
      </c>
      <c r="B3304" s="4" t="s">
        <v>610</v>
      </c>
      <c r="C3304" s="4" t="s">
        <v>287</v>
      </c>
      <c r="D3304" s="94">
        <v>1803.0</v>
      </c>
    </row>
    <row r="3305">
      <c r="A3305" s="40">
        <f t="array" ref="A3305">IFNA(index(PlayerValues!A:A,match(IFNA(vlookup(B3305,'Special Names'!A:B,2,FALSE),B3305),PlayerValues!E:E,0)),"N/A")</f>
        <v>14974</v>
      </c>
      <c r="B3305" s="4" t="s">
        <v>611</v>
      </c>
      <c r="C3305" s="4" t="s">
        <v>287</v>
      </c>
      <c r="D3305" s="94">
        <v>1799.0</v>
      </c>
    </row>
    <row r="3306">
      <c r="A3306" s="40">
        <f t="array" ref="A3306">IFNA(index(PlayerValues!A:A,match(IFNA(vlookup(B3306,'Special Names'!A:B,2,FALSE),B3306),PlayerValues!E:E,0)),"N/A")</f>
        <v>17086</v>
      </c>
      <c r="B3306" s="4" t="s">
        <v>612</v>
      </c>
      <c r="C3306" s="4" t="s">
        <v>287</v>
      </c>
      <c r="D3306" s="94">
        <v>1797.0</v>
      </c>
    </row>
    <row r="3307">
      <c r="A3307" s="40">
        <f t="array" ref="A3307">IFNA(index(PlayerValues!A:A,match(IFNA(vlookup(B3307,'Special Names'!A:B,2,FALSE),B3307),PlayerValues!E:E,0)),"N/A")</f>
        <v>15238</v>
      </c>
      <c r="B3307" s="4" t="s">
        <v>613</v>
      </c>
      <c r="C3307" s="4" t="s">
        <v>283</v>
      </c>
      <c r="D3307" s="94">
        <v>1794.0</v>
      </c>
    </row>
    <row r="3308">
      <c r="A3308" s="40">
        <f t="array" ref="A3308">IFNA(index(PlayerValues!A:A,match(IFNA(vlookup(B3308,'Special Names'!A:B,2,FALSE),B3308),PlayerValues!E:E,0)),"N/A")</f>
        <v>17706</v>
      </c>
      <c r="B3308" s="4" t="s">
        <v>614</v>
      </c>
      <c r="C3308" s="4" t="s">
        <v>287</v>
      </c>
      <c r="D3308" s="94">
        <v>1783.0</v>
      </c>
    </row>
    <row r="3309">
      <c r="A3309" s="40">
        <f t="array" ref="A3309">IFNA(index(PlayerValues!A:A,match(IFNA(vlookup(B3309,'Special Names'!A:B,2,FALSE),B3309),PlayerValues!E:E,0)),"N/A")</f>
        <v>17475</v>
      </c>
      <c r="B3309" s="4" t="s">
        <v>615</v>
      </c>
      <c r="C3309" s="4" t="s">
        <v>278</v>
      </c>
      <c r="D3309" s="94">
        <v>1771.0</v>
      </c>
    </row>
    <row r="3310">
      <c r="A3310" s="40">
        <f t="array" ref="A3310">IFNA(index(PlayerValues!A:A,match(IFNA(vlookup(B3310,'Special Names'!A:B,2,FALSE),B3310),PlayerValues!E:E,0)),"N/A")</f>
        <v>17541</v>
      </c>
      <c r="B3310" s="4" t="s">
        <v>616</v>
      </c>
      <c r="C3310" s="4" t="s">
        <v>287</v>
      </c>
      <c r="D3310" s="94">
        <v>1771.0</v>
      </c>
    </row>
    <row r="3311">
      <c r="A3311" s="40" t="str">
        <f t="array" ref="A3311">IFNA(index(PlayerValues!A:A,match(IFNA(vlookup(B3311,'Special Names'!A:B,2,FALSE),B3311),PlayerValues!E:E,0)),"N/A")</f>
        <v>N/A</v>
      </c>
      <c r="B3311" s="4" t="s">
        <v>89</v>
      </c>
      <c r="C3311" s="4" t="s">
        <v>325</v>
      </c>
      <c r="D3311" s="94">
        <v>1747.0</v>
      </c>
    </row>
    <row r="3312">
      <c r="A3312" s="40">
        <f t="array" ref="A3312">IFNA(index(PlayerValues!A:A,match(IFNA(vlookup(B3312,'Special Names'!A:B,2,FALSE),B3312),PlayerValues!E:E,0)),"N/A")</f>
        <v>17036</v>
      </c>
      <c r="B3312" s="4" t="s">
        <v>617</v>
      </c>
      <c r="C3312" s="4" t="s">
        <v>283</v>
      </c>
      <c r="D3312" s="94">
        <v>1731.0</v>
      </c>
    </row>
    <row r="3313">
      <c r="A3313" s="40">
        <f t="array" ref="A3313">IFNA(index(PlayerValues!A:A,match(IFNA(vlookup(B3313,'Special Names'!A:B,2,FALSE),B3313),PlayerValues!E:E,0)),"N/A")</f>
        <v>16171</v>
      </c>
      <c r="B3313" s="4" t="s">
        <v>618</v>
      </c>
      <c r="C3313" s="4" t="s">
        <v>278</v>
      </c>
      <c r="D3313" s="94">
        <v>1727.0</v>
      </c>
    </row>
    <row r="3314">
      <c r="A3314" s="40">
        <f t="array" ref="A3314">IFNA(index(PlayerValues!A:A,match(IFNA(vlookup(B3314,'Special Names'!A:B,2,FALSE),B3314),PlayerValues!E:E,0)),"N/A")</f>
        <v>13629</v>
      </c>
      <c r="B3314" s="4" t="s">
        <v>619</v>
      </c>
      <c r="C3314" s="4" t="s">
        <v>287</v>
      </c>
      <c r="D3314" s="94">
        <v>1723.0</v>
      </c>
    </row>
    <row r="3315">
      <c r="A3315" s="40" t="str">
        <f t="array" ref="A3315">IFNA(index(PlayerValues!A:A,match(IFNA(vlookup(B3315,'Special Names'!A:B,2,FALSE),B3315),PlayerValues!E:E,0)),"N/A")</f>
        <v>N/A</v>
      </c>
      <c r="B3315" s="4" t="s">
        <v>103</v>
      </c>
      <c r="C3315" s="4" t="s">
        <v>325</v>
      </c>
      <c r="D3315" s="94">
        <v>1713.0</v>
      </c>
    </row>
    <row r="3316">
      <c r="A3316" s="40">
        <f t="array" ref="A3316">IFNA(index(PlayerValues!A:A,match(IFNA(vlookup(B3316,'Special Names'!A:B,2,FALSE),B3316),PlayerValues!E:E,0)),"N/A")</f>
        <v>16432</v>
      </c>
      <c r="B3316" s="4" t="s">
        <v>620</v>
      </c>
      <c r="C3316" s="4" t="s">
        <v>278</v>
      </c>
      <c r="D3316" s="94">
        <v>1709.0</v>
      </c>
    </row>
    <row r="3317">
      <c r="A3317" s="40">
        <f t="array" ref="A3317">IFNA(index(PlayerValues!A:A,match(IFNA(vlookup(B3317,'Special Names'!A:B,2,FALSE),B3317),PlayerValues!E:E,0)),"N/A")</f>
        <v>16788</v>
      </c>
      <c r="B3317" s="4" t="s">
        <v>621</v>
      </c>
      <c r="C3317" s="4" t="s">
        <v>287</v>
      </c>
      <c r="D3317" s="94">
        <v>1707.0</v>
      </c>
    </row>
    <row r="3318">
      <c r="A3318" s="40">
        <f t="array" ref="A3318">IFNA(index(PlayerValues!A:A,match(IFNA(vlookup(B3318,'Special Names'!A:B,2,FALSE),B3318),PlayerValues!E:E,0)),"N/A")</f>
        <v>11222</v>
      </c>
      <c r="B3318" s="4" t="s">
        <v>622</v>
      </c>
      <c r="C3318" s="4" t="s">
        <v>287</v>
      </c>
      <c r="D3318" s="94">
        <v>1702.0</v>
      </c>
    </row>
    <row r="3319">
      <c r="A3319" s="40" t="str">
        <f t="array" ref="A3319">IFNA(index(PlayerValues!A:A,match(IFNA(vlookup(B3319,'Special Names'!A:B,2,FALSE),B3319),PlayerValues!E:E,0)),"N/A")</f>
        <v>N/A</v>
      </c>
      <c r="B3319" s="4" t="s">
        <v>90</v>
      </c>
      <c r="C3319" s="4" t="s">
        <v>325</v>
      </c>
      <c r="D3319" s="94">
        <v>1699.0</v>
      </c>
    </row>
    <row r="3320">
      <c r="A3320" s="40">
        <f t="array" ref="A3320">IFNA(index(PlayerValues!A:A,match(IFNA(vlookup(B3320,'Special Names'!A:B,2,FALSE),B3320),PlayerValues!E:E,0)),"N/A")</f>
        <v>16585</v>
      </c>
      <c r="B3320" s="4" t="s">
        <v>623</v>
      </c>
      <c r="C3320" s="4" t="s">
        <v>283</v>
      </c>
      <c r="D3320" s="94">
        <v>1689.0</v>
      </c>
    </row>
    <row r="3321">
      <c r="A3321" s="40">
        <f t="array" ref="A3321">IFNA(index(PlayerValues!A:A,match(IFNA(vlookup(B3321,'Special Names'!A:B,2,FALSE),B3321),PlayerValues!E:E,0)),"N/A")</f>
        <v>17049</v>
      </c>
      <c r="B3321" s="4" t="s">
        <v>624</v>
      </c>
      <c r="C3321" s="4" t="s">
        <v>278</v>
      </c>
      <c r="D3321" s="94">
        <v>1688.0</v>
      </c>
    </row>
    <row r="3322">
      <c r="A3322" s="40">
        <f t="array" ref="A3322">IFNA(index(PlayerValues!A:A,match(IFNA(vlookup(B3322,'Special Names'!A:B,2,FALSE),B3322),PlayerValues!E:E,0)),"N/A")</f>
        <v>13633</v>
      </c>
      <c r="B3322" s="4" t="s">
        <v>625</v>
      </c>
      <c r="C3322" s="4" t="s">
        <v>287</v>
      </c>
      <c r="D3322" s="94">
        <v>1686.0</v>
      </c>
    </row>
    <row r="3323">
      <c r="A3323" s="40">
        <f t="array" ref="A3323">IFNA(index(PlayerValues!A:A,match(IFNA(vlookup(B3323,'Special Names'!A:B,2,FALSE),B3323),PlayerValues!E:E,0)),"N/A")</f>
        <v>13189</v>
      </c>
      <c r="B3323" s="4" t="s">
        <v>626</v>
      </c>
      <c r="C3323" s="4" t="s">
        <v>298</v>
      </c>
      <c r="D3323" s="94">
        <v>2050.0</v>
      </c>
    </row>
    <row r="3324">
      <c r="A3324" s="40">
        <f t="array" ref="A3324">IFNA(index(PlayerValues!A:A,match(IFNA(vlookup(B3324,'Special Names'!A:B,2,FALSE),B3324),PlayerValues!E:E,0)),"N/A")</f>
        <v>15788</v>
      </c>
      <c r="B3324" s="4" t="s">
        <v>627</v>
      </c>
      <c r="C3324" s="4" t="s">
        <v>287</v>
      </c>
      <c r="D3324" s="94">
        <v>1663.0</v>
      </c>
    </row>
    <row r="3325">
      <c r="A3325" s="40">
        <f t="array" ref="A3325">IFNA(index(PlayerValues!A:A,match(IFNA(vlookup(B3325,'Special Names'!A:B,2,FALSE),B3325),PlayerValues!E:E,0)),"N/A")</f>
        <v>15755</v>
      </c>
      <c r="B3325" s="4" t="s">
        <v>628</v>
      </c>
      <c r="C3325" s="4" t="s">
        <v>287</v>
      </c>
      <c r="D3325" s="94">
        <v>1660.0</v>
      </c>
    </row>
    <row r="3326">
      <c r="A3326" s="40">
        <f t="array" ref="A3326">IFNA(index(PlayerValues!A:A,match(IFNA(vlookup(B3326,'Special Names'!A:B,2,FALSE),B3326),PlayerValues!E:E,0)),"N/A")</f>
        <v>16608</v>
      </c>
      <c r="B3326" s="4" t="s">
        <v>629</v>
      </c>
      <c r="C3326" s="4" t="s">
        <v>278</v>
      </c>
      <c r="D3326" s="94">
        <v>1643.0</v>
      </c>
    </row>
    <row r="3327">
      <c r="A3327" s="40">
        <f t="array" ref="A3327">IFNA(index(PlayerValues!A:A,match(IFNA(vlookup(B3327,'Special Names'!A:B,2,FALSE),B3327),PlayerValues!E:E,0)),"N/A")</f>
        <v>17685</v>
      </c>
      <c r="B3327" s="4" t="s">
        <v>630</v>
      </c>
      <c r="C3327" s="4" t="s">
        <v>278</v>
      </c>
      <c r="D3327" s="94">
        <v>1633.0</v>
      </c>
    </row>
    <row r="3328">
      <c r="A3328" s="40">
        <f t="array" ref="A3328">IFNA(index(PlayerValues!A:A,match(IFNA(vlookup(B3328,'Special Names'!A:B,2,FALSE),B3328),PlayerValues!E:E,0)),"N/A")</f>
        <v>17064</v>
      </c>
      <c r="B3328" s="4" t="s">
        <v>631</v>
      </c>
      <c r="C3328" s="4" t="s">
        <v>278</v>
      </c>
      <c r="D3328" s="94">
        <v>1622.0</v>
      </c>
    </row>
    <row r="3329">
      <c r="A3329" s="40">
        <f t="array" ref="A3329">IFNA(index(PlayerValues!A:A,match(IFNA(vlookup(B3329,'Special Names'!A:B,2,FALSE),B3329),PlayerValues!E:E,0)),"N/A")</f>
        <v>13164</v>
      </c>
      <c r="B3329" s="4" t="s">
        <v>632</v>
      </c>
      <c r="C3329" s="4" t="s">
        <v>287</v>
      </c>
      <c r="D3329" s="94">
        <v>1617.0</v>
      </c>
    </row>
    <row r="3330">
      <c r="A3330" s="40">
        <f t="array" ref="A3330">IFNA(index(PlayerValues!A:A,match(IFNA(vlookup(B3330,'Special Names'!A:B,2,FALSE),B3330),PlayerValues!E:E,0)),"N/A")</f>
        <v>15254</v>
      </c>
      <c r="B3330" s="4" t="s">
        <v>633</v>
      </c>
      <c r="C3330" s="4" t="s">
        <v>278</v>
      </c>
      <c r="D3330" s="94">
        <v>1613.0</v>
      </c>
    </row>
    <row r="3331">
      <c r="A3331" s="40" t="str">
        <f t="array" ref="A3331">IFNA(index(PlayerValues!A:A,match(IFNA(vlookup(B3331,'Special Names'!A:B,2,FALSE),B3331),PlayerValues!E:E,0)),"N/A")</f>
        <v>N/A</v>
      </c>
      <c r="B3331" s="4" t="s">
        <v>115</v>
      </c>
      <c r="C3331" s="4" t="s">
        <v>325</v>
      </c>
      <c r="D3331" s="94">
        <v>1613.0</v>
      </c>
    </row>
    <row r="3332">
      <c r="A3332" s="40">
        <f t="array" ref="A3332">IFNA(index(PlayerValues!A:A,match(IFNA(vlookup(B3332,'Special Names'!A:B,2,FALSE),B3332),PlayerValues!E:E,0)),"N/A")</f>
        <v>15738</v>
      </c>
      <c r="B3332" s="4" t="s">
        <v>634</v>
      </c>
      <c r="C3332" s="4" t="s">
        <v>278</v>
      </c>
      <c r="D3332" s="94">
        <v>1609.0</v>
      </c>
    </row>
    <row r="3333">
      <c r="A3333" s="40">
        <f t="array" ref="A3333">IFNA(index(PlayerValues!A:A,match(IFNA(vlookup(B3333,'Special Names'!A:B,2,FALSE),B3333),PlayerValues!E:E,0)),"N/A")</f>
        <v>14143</v>
      </c>
      <c r="B3333" s="4" t="s">
        <v>635</v>
      </c>
      <c r="C3333" s="4" t="s">
        <v>298</v>
      </c>
      <c r="D3333" s="94">
        <v>1980.0</v>
      </c>
    </row>
    <row r="3334">
      <c r="A3334" s="40">
        <f t="array" ref="A3334">IFNA(index(PlayerValues!A:A,match(IFNA(vlookup(B3334,'Special Names'!A:B,2,FALSE),B3334),PlayerValues!E:E,0)),"N/A")</f>
        <v>16207</v>
      </c>
      <c r="B3334" s="4" t="s">
        <v>636</v>
      </c>
      <c r="C3334" s="4" t="s">
        <v>287</v>
      </c>
      <c r="D3334" s="94">
        <v>1596.0</v>
      </c>
    </row>
    <row r="3335">
      <c r="A3335" s="40">
        <f t="array" ref="A3335">IFNA(index(PlayerValues!A:A,match(IFNA(vlookup(B3335,'Special Names'!A:B,2,FALSE),B3335),PlayerValues!E:E,0)),"N/A")</f>
        <v>16215</v>
      </c>
      <c r="B3335" s="4" t="s">
        <v>637</v>
      </c>
      <c r="C3335" s="4" t="s">
        <v>298</v>
      </c>
      <c r="D3335" s="94">
        <v>1969.0</v>
      </c>
    </row>
    <row r="3336">
      <c r="A3336" s="40">
        <f t="array" ref="A3336">IFNA(index(PlayerValues!A:A,match(IFNA(vlookup(B3336,'Special Names'!A:B,2,FALSE),B3336),PlayerValues!E:E,0)),"N/A")</f>
        <v>17096</v>
      </c>
      <c r="B3336" s="4" t="s">
        <v>638</v>
      </c>
      <c r="C3336" s="4" t="s">
        <v>287</v>
      </c>
      <c r="D3336" s="94">
        <v>1591.0</v>
      </c>
    </row>
    <row r="3337">
      <c r="A3337" s="40">
        <f t="array" ref="A3337">IFNA(index(PlayerValues!A:A,match(IFNA(vlookup(B3337,'Special Names'!A:B,2,FALSE),B3337),PlayerValues!E:E,0)),"N/A")</f>
        <v>14086</v>
      </c>
      <c r="B3337" s="4" t="s">
        <v>639</v>
      </c>
      <c r="C3337" s="4" t="s">
        <v>278</v>
      </c>
      <c r="D3337" s="94">
        <v>1557.0</v>
      </c>
    </row>
    <row r="3338">
      <c r="A3338" s="40">
        <f t="array" ref="A3338">IFNA(index(PlayerValues!A:A,match(IFNA(vlookup(B3338,'Special Names'!A:B,2,FALSE),B3338),PlayerValues!E:E,0)),"N/A")</f>
        <v>16644</v>
      </c>
      <c r="B3338" s="4" t="s">
        <v>640</v>
      </c>
      <c r="C3338" s="4" t="s">
        <v>298</v>
      </c>
      <c r="D3338" s="94">
        <v>1915.0</v>
      </c>
    </row>
    <row r="3339">
      <c r="A3339" s="40">
        <f t="array" ref="A3339">IFNA(index(PlayerValues!A:A,match(IFNA(vlookup(B3339,'Special Names'!A:B,2,FALSE),B3339),PlayerValues!E:E,0)),"N/A")</f>
        <v>17058</v>
      </c>
      <c r="B3339" s="4" t="s">
        <v>641</v>
      </c>
      <c r="C3339" s="4" t="s">
        <v>278</v>
      </c>
      <c r="D3339" s="94">
        <v>1525.0</v>
      </c>
    </row>
    <row r="3340">
      <c r="A3340" s="40" t="str">
        <f t="array" ref="A3340">IFNA(index(PlayerValues!A:A,match(IFNA(vlookup(B3340,'Special Names'!A:B,2,FALSE),B3340),PlayerValues!E:E,0)),"N/A")</f>
        <v>N/A</v>
      </c>
      <c r="B3340" s="4" t="s">
        <v>116</v>
      </c>
      <c r="C3340" s="4" t="s">
        <v>325</v>
      </c>
      <c r="D3340" s="94">
        <v>1523.0</v>
      </c>
    </row>
    <row r="3341">
      <c r="A3341" s="40">
        <f t="array" ref="A3341">IFNA(index(PlayerValues!A:A,match(IFNA(vlookup(B3341,'Special Names'!A:B,2,FALSE),B3341),PlayerValues!E:E,0)),"N/A")</f>
        <v>17657</v>
      </c>
      <c r="B3341" s="4" t="s">
        <v>642</v>
      </c>
      <c r="C3341" s="4" t="s">
        <v>283</v>
      </c>
      <c r="D3341" s="94">
        <v>1523.0</v>
      </c>
    </row>
    <row r="3342">
      <c r="A3342" s="40">
        <f t="array" ref="A3342">IFNA(index(PlayerValues!A:A,match(IFNA(vlookup(B3342,'Special Names'!A:B,2,FALSE),B3342),PlayerValues!E:E,0)),"N/A")</f>
        <v>17034</v>
      </c>
      <c r="B3342" s="4" t="s">
        <v>643</v>
      </c>
      <c r="C3342" s="4" t="s">
        <v>283</v>
      </c>
      <c r="D3342" s="94">
        <v>1520.0</v>
      </c>
    </row>
    <row r="3343">
      <c r="A3343" s="40">
        <f t="array" ref="A3343">IFNA(index(PlayerValues!A:A,match(IFNA(vlookup(B3343,'Special Names'!A:B,2,FALSE),B3343),PlayerValues!E:E,0)),"N/A")</f>
        <v>15319</v>
      </c>
      <c r="B3343" s="4" t="s">
        <v>644</v>
      </c>
      <c r="C3343" s="4" t="s">
        <v>287</v>
      </c>
      <c r="D3343" s="94">
        <v>1519.0</v>
      </c>
    </row>
    <row r="3344">
      <c r="A3344" s="40" t="str">
        <f t="array" ref="A3344">IFNA(index(PlayerValues!A:A,match(IFNA(vlookup(B3344,'Special Names'!A:B,2,FALSE),B3344),PlayerValues!E:E,0)),"N/A")</f>
        <v>N/A</v>
      </c>
      <c r="B3344" s="4" t="s">
        <v>91</v>
      </c>
      <c r="C3344" s="4" t="s">
        <v>325</v>
      </c>
      <c r="D3344" s="94">
        <v>1514.0</v>
      </c>
    </row>
    <row r="3345">
      <c r="A3345" s="40">
        <f t="array" ref="A3345">IFNA(index(PlayerValues!A:A,match(IFNA(vlookup(B3345,'Special Names'!A:B,2,FALSE),B3345),PlayerValues!E:E,0)),"N/A")</f>
        <v>16635</v>
      </c>
      <c r="B3345" s="4" t="s">
        <v>645</v>
      </c>
      <c r="C3345" s="4" t="s">
        <v>287</v>
      </c>
      <c r="D3345" s="94">
        <v>1503.0</v>
      </c>
    </row>
    <row r="3346">
      <c r="A3346" s="40">
        <f t="array" ref="A3346">IFNA(index(PlayerValues!A:A,match(IFNA(vlookup(B3346,'Special Names'!A:B,2,FALSE),B3346),PlayerValues!E:E,0)),"N/A")</f>
        <v>16387</v>
      </c>
      <c r="B3346" s="4" t="s">
        <v>646</v>
      </c>
      <c r="C3346" s="4" t="s">
        <v>278</v>
      </c>
      <c r="D3346" s="94">
        <v>1500.0</v>
      </c>
    </row>
    <row r="3347">
      <c r="A3347" s="40">
        <f t="array" ref="A3347">IFNA(index(PlayerValues!A:A,match(IFNA(vlookup(B3347,'Special Names'!A:B,2,FALSE),B3347),PlayerValues!E:E,0)),"N/A")</f>
        <v>15752</v>
      </c>
      <c r="B3347" s="4" t="s">
        <v>647</v>
      </c>
      <c r="C3347" s="4" t="s">
        <v>287</v>
      </c>
      <c r="D3347" s="94">
        <v>1489.0</v>
      </c>
    </row>
    <row r="3348">
      <c r="A3348" s="40">
        <f t="array" ref="A3348">IFNA(index(PlayerValues!A:A,match(IFNA(vlookup(B3348,'Special Names'!A:B,2,FALSE),B3348),PlayerValues!E:E,0)),"N/A")</f>
        <v>16601</v>
      </c>
      <c r="B3348" s="4" t="s">
        <v>648</v>
      </c>
      <c r="C3348" s="4" t="s">
        <v>278</v>
      </c>
      <c r="D3348" s="94">
        <v>1476.0</v>
      </c>
    </row>
    <row r="3349">
      <c r="A3349" s="40">
        <f t="array" ref="A3349">IFNA(index(PlayerValues!A:A,match(IFNA(vlookup(B3349,'Special Names'!A:B,2,FALSE),B3349),PlayerValues!E:E,0)),"N/A")</f>
        <v>17465</v>
      </c>
      <c r="B3349" s="4" t="s">
        <v>649</v>
      </c>
      <c r="C3349" s="4" t="s">
        <v>283</v>
      </c>
      <c r="D3349" s="94">
        <v>1473.0</v>
      </c>
    </row>
    <row r="3350">
      <c r="A3350" s="40">
        <f t="array" ref="A3350">IFNA(index(PlayerValues!A:A,match(IFNA(vlookup(B3350,'Special Names'!A:B,2,FALSE),B3350),PlayerValues!E:E,0)),"N/A")</f>
        <v>17035</v>
      </c>
      <c r="B3350" s="4" t="s">
        <v>650</v>
      </c>
      <c r="C3350" s="4" t="s">
        <v>283</v>
      </c>
      <c r="D3350" s="94">
        <v>1462.0</v>
      </c>
    </row>
    <row r="3351">
      <c r="A3351" s="40">
        <f t="array" ref="A3351">IFNA(index(PlayerValues!A:A,match(IFNA(vlookup(B3351,'Special Names'!A:B,2,FALSE),B3351),PlayerValues!E:E,0)),"N/A")</f>
        <v>16645</v>
      </c>
      <c r="B3351" s="4" t="s">
        <v>651</v>
      </c>
      <c r="C3351" s="4" t="s">
        <v>298</v>
      </c>
      <c r="D3351" s="94">
        <v>1833.0</v>
      </c>
    </row>
    <row r="3352">
      <c r="A3352" s="40">
        <f t="array" ref="A3352">IFNA(index(PlayerValues!A:A,match(IFNA(vlookup(B3352,'Special Names'!A:B,2,FALSE),B3352),PlayerValues!E:E,0)),"N/A")</f>
        <v>13146</v>
      </c>
      <c r="B3352" s="4" t="s">
        <v>652</v>
      </c>
      <c r="C3352" s="4" t="s">
        <v>278</v>
      </c>
      <c r="D3352" s="94">
        <v>1460.0</v>
      </c>
    </row>
    <row r="3353">
      <c r="A3353" s="40">
        <f t="array" ref="A3353">IFNA(index(PlayerValues!A:A,match(IFNA(vlookup(B3353,'Special Names'!A:B,2,FALSE),B3353),PlayerValues!E:E,0)),"N/A")</f>
        <v>17234</v>
      </c>
      <c r="B3353" s="4" t="s">
        <v>653</v>
      </c>
      <c r="C3353" s="4" t="s">
        <v>287</v>
      </c>
      <c r="D3353" s="94">
        <v>1450.0</v>
      </c>
    </row>
    <row r="3354">
      <c r="A3354" s="40">
        <f t="array" ref="A3354">IFNA(index(PlayerValues!A:A,match(IFNA(vlookup(B3354,'Special Names'!A:B,2,FALSE),B3354),PlayerValues!E:E,0)),"N/A")</f>
        <v>16175</v>
      </c>
      <c r="B3354" s="4" t="s">
        <v>654</v>
      </c>
      <c r="C3354" s="4" t="s">
        <v>278</v>
      </c>
      <c r="D3354" s="94">
        <v>1447.0</v>
      </c>
    </row>
    <row r="3355">
      <c r="A3355" s="40">
        <f t="array" ref="A3355">IFNA(index(PlayerValues!A:A,match(IFNA(vlookup(B3355,'Special Names'!A:B,2,FALSE),B3355),PlayerValues!E:E,0)),"N/A")</f>
        <v>15337</v>
      </c>
      <c r="B3355" s="4" t="s">
        <v>655</v>
      </c>
      <c r="C3355" s="4" t="s">
        <v>298</v>
      </c>
      <c r="D3355" s="94">
        <v>1800.0</v>
      </c>
    </row>
    <row r="3356">
      <c r="A3356" s="40">
        <f t="array" ref="A3356">IFNA(index(PlayerValues!A:A,match(IFNA(vlookup(B3356,'Special Names'!A:B,2,FALSE),B3356),PlayerValues!E:E,0)),"N/A")</f>
        <v>16633</v>
      </c>
      <c r="B3356" s="4" t="s">
        <v>656</v>
      </c>
      <c r="C3356" s="4" t="s">
        <v>287</v>
      </c>
      <c r="D3356" s="94">
        <v>1430.0</v>
      </c>
    </row>
    <row r="3357">
      <c r="A3357" s="40">
        <f t="array" ref="A3357">IFNA(index(PlayerValues!A:A,match(IFNA(vlookup(B3357,'Special Names'!A:B,2,FALSE),B3357),PlayerValues!E:E,0)),"N/A")</f>
        <v>15301</v>
      </c>
      <c r="B3357" s="4" t="s">
        <v>657</v>
      </c>
      <c r="C3357" s="4" t="s">
        <v>287</v>
      </c>
      <c r="D3357" s="94">
        <v>1412.0</v>
      </c>
    </row>
    <row r="3358">
      <c r="A3358" s="40">
        <f t="array" ref="A3358">IFNA(index(PlayerValues!A:A,match(IFNA(vlookup(B3358,'Special Names'!A:B,2,FALSE),B3358),PlayerValues!E:E,0)),"N/A")</f>
        <v>16586</v>
      </c>
      <c r="B3358" s="4" t="s">
        <v>658</v>
      </c>
      <c r="C3358" s="4" t="s">
        <v>283</v>
      </c>
      <c r="D3358" s="94">
        <v>1401.0</v>
      </c>
    </row>
    <row r="3359">
      <c r="A3359" s="40">
        <f t="array" ref="A3359">IFNA(index(PlayerValues!A:A,match(IFNA(vlookup(B3359,'Special Names'!A:B,2,FALSE),B3359),PlayerValues!E:E,0)),"N/A")</f>
        <v>17097</v>
      </c>
      <c r="B3359" s="4" t="s">
        <v>659</v>
      </c>
      <c r="C3359" s="4" t="s">
        <v>287</v>
      </c>
      <c r="D3359" s="94">
        <v>1401.0</v>
      </c>
    </row>
    <row r="3360">
      <c r="A3360" s="40">
        <f t="array" ref="A3360">IFNA(index(PlayerValues!A:A,match(IFNA(vlookup(B3360,'Special Names'!A:B,2,FALSE),B3360),PlayerValues!E:E,0)),"N/A")</f>
        <v>17743</v>
      </c>
      <c r="B3360" s="4" t="s">
        <v>660</v>
      </c>
      <c r="C3360" s="4" t="s">
        <v>283</v>
      </c>
      <c r="D3360" s="94">
        <v>1398.0</v>
      </c>
    </row>
    <row r="3361">
      <c r="A3361" s="40">
        <f t="array" ref="A3361">IFNA(index(PlayerValues!A:A,match(IFNA(vlookup(B3361,'Special Names'!A:B,2,FALSE),B3361),PlayerValues!E:E,0)),"N/A")</f>
        <v>17510</v>
      </c>
      <c r="B3361" s="4" t="s">
        <v>661</v>
      </c>
      <c r="C3361" s="4" t="s">
        <v>287</v>
      </c>
      <c r="D3361" s="94">
        <v>1395.0</v>
      </c>
    </row>
    <row r="3362">
      <c r="A3362" s="40">
        <f t="array" ref="A3362">IFNA(index(PlayerValues!A:A,match(IFNA(vlookup(B3362,'Special Names'!A:B,2,FALSE),B3362),PlayerValues!E:E,0)),"N/A")</f>
        <v>15759</v>
      </c>
      <c r="B3362" s="4" t="s">
        <v>662</v>
      </c>
      <c r="C3362" s="4" t="s">
        <v>287</v>
      </c>
      <c r="D3362" s="94">
        <v>1389.0</v>
      </c>
    </row>
    <row r="3363">
      <c r="A3363" s="40">
        <f t="array" ref="A3363">IFNA(index(PlayerValues!A:A,match(IFNA(vlookup(B3363,'Special Names'!A:B,2,FALSE),B3363),PlayerValues!E:E,0)),"N/A")</f>
        <v>14122</v>
      </c>
      <c r="B3363" s="4" t="s">
        <v>663</v>
      </c>
      <c r="C3363" s="4" t="s">
        <v>287</v>
      </c>
      <c r="D3363" s="94">
        <v>1384.0</v>
      </c>
    </row>
    <row r="3364">
      <c r="A3364" s="40">
        <f t="array" ref="A3364">IFNA(index(PlayerValues!A:A,match(IFNA(vlookup(B3364,'Special Names'!A:B,2,FALSE),B3364),PlayerValues!E:E,0)),"N/A")</f>
        <v>16595</v>
      </c>
      <c r="B3364" s="4" t="s">
        <v>664</v>
      </c>
      <c r="C3364" s="4" t="s">
        <v>278</v>
      </c>
      <c r="D3364" s="94">
        <v>1383.0</v>
      </c>
    </row>
    <row r="3365">
      <c r="A3365" s="40">
        <f t="array" ref="A3365">IFNA(index(PlayerValues!A:A,match(IFNA(vlookup(B3365,'Special Names'!A:B,2,FALSE),B3365),PlayerValues!E:E,0)),"N/A")</f>
        <v>17205</v>
      </c>
      <c r="B3365" s="4" t="s">
        <v>665</v>
      </c>
      <c r="C3365" s="4" t="s">
        <v>287</v>
      </c>
      <c r="D3365" s="94">
        <v>1380.0</v>
      </c>
    </row>
    <row r="3366">
      <c r="A3366" s="40" t="str">
        <f t="array" ref="A3366">IFNA(index(PlayerValues!A:A,match(IFNA(vlookup(B3366,'Special Names'!A:B,2,FALSE),B3366),PlayerValues!E:E,0)),"N/A")</f>
        <v>N/A</v>
      </c>
      <c r="B3366" s="4" t="s">
        <v>117</v>
      </c>
      <c r="C3366" s="4" t="s">
        <v>325</v>
      </c>
      <c r="D3366" s="94">
        <v>1376.0</v>
      </c>
    </row>
    <row r="3367">
      <c r="A3367" s="40">
        <f t="array" ref="A3367">IFNA(index(PlayerValues!A:A,match(IFNA(vlookup(B3367,'Special Names'!A:B,2,FALSE),B3367),PlayerValues!E:E,0)),"N/A")</f>
        <v>16191</v>
      </c>
      <c r="B3367" s="4" t="s">
        <v>666</v>
      </c>
      <c r="C3367" s="4" t="s">
        <v>287</v>
      </c>
      <c r="D3367" s="94">
        <v>1355.0</v>
      </c>
    </row>
    <row r="3368">
      <c r="A3368" s="40">
        <f t="array" ref="A3368">IFNA(index(PlayerValues!A:A,match(IFNA(vlookup(B3368,'Special Names'!A:B,2,FALSE),B3368),PlayerValues!E:E,0)),"N/A")</f>
        <v>13672</v>
      </c>
      <c r="B3368" s="4" t="s">
        <v>667</v>
      </c>
      <c r="C3368" s="4" t="s">
        <v>298</v>
      </c>
      <c r="D3368" s="94">
        <v>1709.0</v>
      </c>
    </row>
    <row r="3369">
      <c r="A3369" s="40">
        <f t="array" ref="A3369">IFNA(index(PlayerValues!A:A,match(IFNA(vlookup(B3369,'Special Names'!A:B,2,FALSE),B3369),PlayerValues!E:E,0)),"N/A")</f>
        <v>17353</v>
      </c>
      <c r="B3369" s="4" t="s">
        <v>668</v>
      </c>
      <c r="C3369" s="4" t="s">
        <v>287</v>
      </c>
      <c r="D3369" s="94">
        <v>1341.0</v>
      </c>
    </row>
    <row r="3370">
      <c r="A3370" s="40">
        <f t="array" ref="A3370">IFNA(index(PlayerValues!A:A,match(IFNA(vlookup(B3370,'Special Names'!A:B,2,FALSE),B3370),PlayerValues!E:E,0)),"N/A")</f>
        <v>15795</v>
      </c>
      <c r="B3370" s="4" t="s">
        <v>669</v>
      </c>
      <c r="C3370" s="4" t="s">
        <v>298</v>
      </c>
      <c r="D3370" s="94">
        <v>1698.0</v>
      </c>
    </row>
    <row r="3371">
      <c r="A3371" s="40">
        <f t="array" ref="A3371">IFNA(index(PlayerValues!A:A,match(IFNA(vlookup(B3371,'Special Names'!A:B,2,FALSE),B3371),PlayerValues!E:E,0)),"N/A")</f>
        <v>17054</v>
      </c>
      <c r="B3371" s="4" t="s">
        <v>670</v>
      </c>
      <c r="C3371" s="4" t="s">
        <v>278</v>
      </c>
      <c r="D3371" s="94">
        <v>1323.0</v>
      </c>
    </row>
    <row r="3372">
      <c r="A3372" s="40">
        <f t="array" ref="A3372">IFNA(index(PlayerValues!A:A,match(IFNA(vlookup(B3372,'Special Names'!A:B,2,FALSE),B3372),PlayerValues!E:E,0)),"N/A")</f>
        <v>17546</v>
      </c>
      <c r="B3372" s="4" t="s">
        <v>671</v>
      </c>
      <c r="C3372" s="4" t="s">
        <v>298</v>
      </c>
      <c r="D3372" s="94">
        <v>1669.0</v>
      </c>
    </row>
    <row r="3373">
      <c r="A3373" s="40">
        <f t="array" ref="A3373">IFNA(index(PlayerValues!A:A,match(IFNA(vlookup(B3373,'Special Names'!A:B,2,FALSE),B3373),PlayerValues!E:E,0)),"N/A")</f>
        <v>16621</v>
      </c>
      <c r="B3373" s="4" t="s">
        <v>672</v>
      </c>
      <c r="C3373" s="4" t="s">
        <v>287</v>
      </c>
      <c r="D3373" s="94">
        <v>1294.0</v>
      </c>
    </row>
    <row r="3374">
      <c r="A3374" s="40">
        <f t="array" ref="A3374">IFNA(index(PlayerValues!A:A,match(IFNA(vlookup(B3374,'Special Names'!A:B,2,FALSE),B3374),PlayerValues!E:E,0)),"N/A")</f>
        <v>14108</v>
      </c>
      <c r="B3374" s="4" t="s">
        <v>673</v>
      </c>
      <c r="C3374" s="4" t="s">
        <v>287</v>
      </c>
      <c r="D3374" s="94">
        <v>1289.0</v>
      </c>
    </row>
    <row r="3375">
      <c r="A3375" s="40">
        <f t="array" ref="A3375">IFNA(index(PlayerValues!A:A,match(IFNA(vlookup(B3375,'Special Names'!A:B,2,FALSE),B3375),PlayerValues!E:E,0)),"N/A")</f>
        <v>17593</v>
      </c>
      <c r="B3375" s="4" t="s">
        <v>674</v>
      </c>
      <c r="C3375" s="4" t="s">
        <v>298</v>
      </c>
      <c r="D3375" s="94">
        <v>1654.0</v>
      </c>
    </row>
    <row r="3376">
      <c r="A3376" s="40">
        <f t="array" ref="A3376">IFNA(index(PlayerValues!A:A,match(IFNA(vlookup(B3376,'Special Names'!A:B,2,FALSE),B3376),PlayerValues!E:E,0)),"N/A")</f>
        <v>14105</v>
      </c>
      <c r="B3376" s="4" t="s">
        <v>675</v>
      </c>
      <c r="C3376" s="4" t="s">
        <v>287</v>
      </c>
      <c r="D3376" s="94">
        <v>1283.0</v>
      </c>
    </row>
    <row r="3377">
      <c r="A3377" s="40">
        <f t="array" ref="A3377">IFNA(index(PlayerValues!A:A,match(IFNA(vlookup(B3377,'Special Names'!A:B,2,FALSE),B3377),PlayerValues!E:E,0)),"N/A")</f>
        <v>14137</v>
      </c>
      <c r="B3377" s="4" t="s">
        <v>676</v>
      </c>
      <c r="C3377" s="4" t="s">
        <v>298</v>
      </c>
      <c r="D3377" s="94">
        <v>1639.0</v>
      </c>
    </row>
    <row r="3378">
      <c r="A3378" s="40">
        <f t="array" ref="A3378">IFNA(index(PlayerValues!A:A,match(IFNA(vlookup(B3378,'Special Names'!A:B,2,FALSE),B3378),PlayerValues!E:E,0)),"N/A")</f>
        <v>17192</v>
      </c>
      <c r="B3378" s="4" t="s">
        <v>677</v>
      </c>
      <c r="C3378" s="4" t="s">
        <v>287</v>
      </c>
      <c r="D3378" s="94">
        <v>1273.0</v>
      </c>
    </row>
    <row r="3379">
      <c r="A3379" s="40">
        <f t="array" ref="A3379">IFNA(index(PlayerValues!A:A,match(IFNA(vlookup(B3379,'Special Names'!A:B,2,FALSE),B3379),PlayerValues!E:E,0)),"N/A")</f>
        <v>16183</v>
      </c>
      <c r="B3379" s="4" t="s">
        <v>678</v>
      </c>
      <c r="C3379" s="4" t="s">
        <v>287</v>
      </c>
      <c r="D3379" s="94">
        <v>1268.0</v>
      </c>
    </row>
    <row r="3380">
      <c r="A3380" s="40">
        <f t="array" ref="A3380">IFNA(index(PlayerValues!A:A,match(IFNA(vlookup(B3380,'Special Names'!A:B,2,FALSE),B3380),PlayerValues!E:E,0)),"N/A")</f>
        <v>17254</v>
      </c>
      <c r="B3380" s="4" t="s">
        <v>679</v>
      </c>
      <c r="C3380" s="4" t="s">
        <v>287</v>
      </c>
      <c r="D3380" s="94">
        <v>1268.0</v>
      </c>
    </row>
    <row r="3381">
      <c r="A3381" s="40">
        <f t="array" ref="A3381">IFNA(index(PlayerValues!A:A,match(IFNA(vlookup(B3381,'Special Names'!A:B,2,FALSE),B3381),PlayerValues!E:E,0)),"N/A")</f>
        <v>14095</v>
      </c>
      <c r="B3381" s="4" t="s">
        <v>680</v>
      </c>
      <c r="C3381" s="4" t="s">
        <v>278</v>
      </c>
      <c r="D3381" s="94">
        <v>1267.0</v>
      </c>
    </row>
    <row r="3382">
      <c r="A3382" s="40">
        <f t="array" ref="A3382">IFNA(index(PlayerValues!A:A,match(IFNA(vlookup(B3382,'Special Names'!A:B,2,FALSE),B3382),PlayerValues!E:E,0)),"N/A")</f>
        <v>15873</v>
      </c>
      <c r="B3382" s="4" t="s">
        <v>681</v>
      </c>
      <c r="C3382" s="4" t="s">
        <v>298</v>
      </c>
      <c r="D3382" s="94">
        <v>1635.0</v>
      </c>
    </row>
    <row r="3383">
      <c r="A3383" s="40">
        <f t="array" ref="A3383">IFNA(index(PlayerValues!A:A,match(IFNA(vlookup(B3383,'Special Names'!A:B,2,FALSE),B3383),PlayerValues!E:E,0)),"N/A")</f>
        <v>15292</v>
      </c>
      <c r="B3383" s="4" t="s">
        <v>682</v>
      </c>
      <c r="C3383" s="4" t="s">
        <v>287</v>
      </c>
      <c r="D3383" s="94">
        <v>1261.0</v>
      </c>
    </row>
    <row r="3384">
      <c r="A3384" s="40">
        <f t="array" ref="A3384">IFNA(index(PlayerValues!A:A,match(IFNA(vlookup(B3384,'Special Names'!A:B,2,FALSE),B3384),PlayerValues!E:E,0)),"N/A")</f>
        <v>16883</v>
      </c>
      <c r="B3384" s="4" t="s">
        <v>683</v>
      </c>
      <c r="C3384" s="4" t="s">
        <v>287</v>
      </c>
      <c r="D3384" s="94">
        <v>1259.0</v>
      </c>
    </row>
    <row r="3385">
      <c r="A3385" s="40">
        <f t="array" ref="A3385">IFNA(index(PlayerValues!A:A,match(IFNA(vlookup(B3385,'Special Names'!A:B,2,FALSE),B3385),PlayerValues!E:E,0)),"N/A")</f>
        <v>17627</v>
      </c>
      <c r="B3385" s="4" t="s">
        <v>684</v>
      </c>
      <c r="C3385" s="4" t="s">
        <v>298</v>
      </c>
      <c r="D3385" s="94">
        <v>1618.0</v>
      </c>
    </row>
    <row r="3386">
      <c r="A3386" s="40">
        <f t="array" ref="A3386">IFNA(index(PlayerValues!A:A,match(IFNA(vlookup(B3386,'Special Names'!A:B,2,FALSE),B3386),PlayerValues!E:E,0)),"N/A")</f>
        <v>17542</v>
      </c>
      <c r="B3386" s="4" t="s">
        <v>685</v>
      </c>
      <c r="C3386" s="4" t="s">
        <v>287</v>
      </c>
      <c r="D3386" s="94">
        <v>1247.0</v>
      </c>
    </row>
    <row r="3387">
      <c r="A3387" s="40">
        <f t="array" ref="A3387">IFNA(index(PlayerValues!A:A,match(IFNA(vlookup(B3387,'Special Names'!A:B,2,FALSE),B3387),PlayerValues!E:E,0)),"N/A")</f>
        <v>17063</v>
      </c>
      <c r="B3387" s="4" t="s">
        <v>686</v>
      </c>
      <c r="C3387" s="4" t="s">
        <v>278</v>
      </c>
      <c r="D3387" s="94">
        <v>1245.0</v>
      </c>
    </row>
    <row r="3388">
      <c r="A3388" s="40">
        <f t="array" ref="A3388">IFNA(index(PlayerValues!A:A,match(IFNA(vlookup(B3388,'Special Names'!A:B,2,FALSE),B3388),PlayerValues!E:E,0)),"N/A")</f>
        <v>16199</v>
      </c>
      <c r="B3388" s="4" t="s">
        <v>687</v>
      </c>
      <c r="C3388" s="4" t="s">
        <v>287</v>
      </c>
      <c r="D3388" s="94">
        <v>1245.0</v>
      </c>
    </row>
    <row r="3389">
      <c r="A3389" s="40">
        <f t="array" ref="A3389">IFNA(index(PlayerValues!A:A,match(IFNA(vlookup(B3389,'Special Names'!A:B,2,FALSE),B3389),PlayerValues!E:E,0)),"N/A")</f>
        <v>16688</v>
      </c>
      <c r="B3389" s="4" t="s">
        <v>688</v>
      </c>
      <c r="C3389" s="4" t="s">
        <v>278</v>
      </c>
      <c r="D3389" s="94">
        <v>1241.0</v>
      </c>
    </row>
    <row r="3390">
      <c r="A3390" s="40">
        <f t="array" ref="A3390">IFNA(index(PlayerValues!A:A,match(IFNA(vlookup(B3390,'Special Names'!A:B,2,FALSE),B3390),PlayerValues!E:E,0)),"N/A")</f>
        <v>16390</v>
      </c>
      <c r="B3390" s="4" t="s">
        <v>689</v>
      </c>
      <c r="C3390" s="4" t="s">
        <v>278</v>
      </c>
      <c r="D3390" s="94">
        <v>1239.0</v>
      </c>
    </row>
    <row r="3391">
      <c r="A3391" s="40">
        <f t="array" ref="A3391">IFNA(index(PlayerValues!A:A,match(IFNA(vlookup(B3391,'Special Names'!A:B,2,FALSE),B3391),PlayerValues!E:E,0)),"N/A")</f>
        <v>16385</v>
      </c>
      <c r="B3391" s="4" t="s">
        <v>690</v>
      </c>
      <c r="C3391" s="4" t="s">
        <v>278</v>
      </c>
      <c r="D3391" s="94">
        <v>1233.0</v>
      </c>
    </row>
    <row r="3392">
      <c r="A3392" s="40">
        <f t="array" ref="A3392">IFNA(index(PlayerValues!A:A,match(IFNA(vlookup(B3392,'Special Names'!A:B,2,FALSE),B3392),PlayerValues!E:E,0)),"N/A")</f>
        <v>16642</v>
      </c>
      <c r="B3392" s="4" t="s">
        <v>691</v>
      </c>
      <c r="C3392" s="4" t="s">
        <v>298</v>
      </c>
      <c r="D3392" s="94">
        <v>1597.0</v>
      </c>
    </row>
    <row r="3393">
      <c r="A3393" s="40">
        <f t="array" ref="A3393">IFNA(index(PlayerValues!A:A,match(IFNA(vlookup(B3393,'Special Names'!A:B,2,FALSE),B3393),PlayerValues!E:E,0)),"N/A")</f>
        <v>17487</v>
      </c>
      <c r="B3393" s="4" t="s">
        <v>692</v>
      </c>
      <c r="C3393" s="4" t="s">
        <v>278</v>
      </c>
      <c r="D3393" s="94">
        <v>1220.0</v>
      </c>
    </row>
    <row r="3394">
      <c r="A3394" s="40">
        <f t="array" ref="A3394">IFNA(index(PlayerValues!A:A,match(IFNA(vlookup(B3394,'Special Names'!A:B,2,FALSE),B3394),PlayerValues!E:E,0)),"N/A")</f>
        <v>17504</v>
      </c>
      <c r="B3394" s="4" t="s">
        <v>693</v>
      </c>
      <c r="C3394" s="4" t="s">
        <v>287</v>
      </c>
      <c r="D3394" s="94">
        <v>1218.0</v>
      </c>
    </row>
    <row r="3395">
      <c r="A3395" s="40">
        <f t="array" ref="A3395">IFNA(index(PlayerValues!A:A,match(IFNA(vlookup(B3395,'Special Names'!A:B,2,FALSE),B3395),PlayerValues!E:E,0)),"N/A")</f>
        <v>15777</v>
      </c>
      <c r="B3395" s="4" t="s">
        <v>694</v>
      </c>
      <c r="C3395" s="4" t="s">
        <v>287</v>
      </c>
      <c r="D3395" s="94">
        <v>1216.0</v>
      </c>
    </row>
    <row r="3396">
      <c r="A3396" s="40">
        <f t="array" ref="A3396">IFNA(index(PlayerValues!A:A,match(IFNA(vlookup(B3396,'Special Names'!A:B,2,FALSE),B3396),PlayerValues!E:E,0)),"N/A")</f>
        <v>17486</v>
      </c>
      <c r="B3396" s="4" t="s">
        <v>695</v>
      </c>
      <c r="C3396" s="4" t="s">
        <v>278</v>
      </c>
      <c r="D3396" s="94">
        <v>1213.0</v>
      </c>
    </row>
    <row r="3397">
      <c r="A3397" s="40">
        <f t="array" ref="A3397">IFNA(index(PlayerValues!A:A,match(IFNA(vlookup(B3397,'Special Names'!A:B,2,FALSE),B3397),PlayerValues!E:E,0)),"N/A")</f>
        <v>16384</v>
      </c>
      <c r="B3397" s="4" t="s">
        <v>696</v>
      </c>
      <c r="C3397" s="4" t="s">
        <v>283</v>
      </c>
      <c r="D3397" s="94">
        <v>1210.0</v>
      </c>
    </row>
    <row r="3398">
      <c r="A3398" s="40">
        <f t="array" ref="A3398">IFNA(index(PlayerValues!A:A,match(IFNA(vlookup(B3398,'Special Names'!A:B,2,FALSE),B3398),PlayerValues!E:E,0)),"N/A")</f>
        <v>12263</v>
      </c>
      <c r="B3398" s="4" t="s">
        <v>697</v>
      </c>
      <c r="C3398" s="4" t="s">
        <v>298</v>
      </c>
      <c r="D3398" s="94">
        <v>1577.0</v>
      </c>
    </row>
    <row r="3399">
      <c r="A3399" s="40">
        <f t="array" ref="A3399">IFNA(index(PlayerValues!A:A,match(IFNA(vlookup(B3399,'Special Names'!A:B,2,FALSE),B3399),PlayerValues!E:E,0)),"N/A")</f>
        <v>15332</v>
      </c>
      <c r="B3399" s="4" t="s">
        <v>698</v>
      </c>
      <c r="C3399" s="4" t="s">
        <v>298</v>
      </c>
      <c r="D3399" s="94">
        <v>1575.0</v>
      </c>
    </row>
    <row r="3400">
      <c r="A3400" s="40">
        <f t="array" ref="A3400">IFNA(index(PlayerValues!A:A,match(IFNA(vlookup(B3400,'Special Names'!A:B,2,FALSE),B3400),PlayerValues!E:E,0)),"N/A")</f>
        <v>16636</v>
      </c>
      <c r="B3400" s="4" t="s">
        <v>699</v>
      </c>
      <c r="C3400" s="4" t="s">
        <v>287</v>
      </c>
      <c r="D3400" s="94">
        <v>1205.0</v>
      </c>
    </row>
    <row r="3401">
      <c r="A3401" s="40">
        <f t="array" ref="A3401">IFNA(index(PlayerValues!A:A,match(IFNA(vlookup(B3401,'Special Names'!A:B,2,FALSE),B3401),PlayerValues!E:E,0)),"N/A")</f>
        <v>15288</v>
      </c>
      <c r="B3401" s="4" t="s">
        <v>700</v>
      </c>
      <c r="C3401" s="4" t="s">
        <v>287</v>
      </c>
      <c r="D3401" s="94">
        <v>1197.0</v>
      </c>
    </row>
    <row r="3402">
      <c r="A3402" s="40">
        <f t="array" ref="A3402">IFNA(index(PlayerValues!A:A,match(IFNA(vlookup(B3402,'Special Names'!A:B,2,FALSE),B3402),PlayerValues!E:E,0)),"N/A")</f>
        <v>17062</v>
      </c>
      <c r="B3402" s="4" t="s">
        <v>701</v>
      </c>
      <c r="C3402" s="4" t="s">
        <v>278</v>
      </c>
      <c r="D3402" s="94">
        <v>1188.0</v>
      </c>
    </row>
    <row r="3403">
      <c r="A3403" s="40">
        <f t="array" ref="A3403">IFNA(index(PlayerValues!A:A,match(IFNA(vlookup(B3403,'Special Names'!A:B,2,FALSE),B3403),PlayerValues!E:E,0)),"N/A")</f>
        <v>12140</v>
      </c>
      <c r="B3403" s="4" t="s">
        <v>702</v>
      </c>
      <c r="C3403" s="4" t="s">
        <v>283</v>
      </c>
      <c r="D3403" s="94">
        <v>1182.0</v>
      </c>
    </row>
    <row r="3404">
      <c r="A3404" s="40">
        <f t="array" ref="A3404">IFNA(index(PlayerValues!A:A,match(IFNA(vlookup(B3404,'Special Names'!A:B,2,FALSE),B3404),PlayerValues!E:E,0)),"N/A")</f>
        <v>12678</v>
      </c>
      <c r="B3404" s="4" t="s">
        <v>703</v>
      </c>
      <c r="C3404" s="4" t="s">
        <v>298</v>
      </c>
      <c r="D3404" s="94">
        <v>1550.0</v>
      </c>
    </row>
    <row r="3405">
      <c r="A3405" s="40">
        <f t="array" ref="A3405">IFNA(index(PlayerValues!A:A,match(IFNA(vlookup(B3405,'Special Names'!A:B,2,FALSE),B3405),PlayerValues!E:E,0)),"N/A")</f>
        <v>16792</v>
      </c>
      <c r="B3405" s="4" t="s">
        <v>704</v>
      </c>
      <c r="C3405" s="4" t="s">
        <v>287</v>
      </c>
      <c r="D3405" s="94">
        <v>1167.0</v>
      </c>
    </row>
    <row r="3406">
      <c r="A3406" s="40">
        <f t="array" ref="A3406">IFNA(index(PlayerValues!A:A,match(IFNA(vlookup(B3406,'Special Names'!A:B,2,FALSE),B3406),PlayerValues!E:E,0)),"N/A")</f>
        <v>14592</v>
      </c>
      <c r="B3406" s="4" t="s">
        <v>705</v>
      </c>
      <c r="C3406" s="4" t="s">
        <v>287</v>
      </c>
      <c r="D3406" s="94">
        <v>1160.0</v>
      </c>
    </row>
    <row r="3407">
      <c r="A3407" s="40">
        <f t="array" ref="A3407">IFNA(index(PlayerValues!A:A,match(IFNA(vlookup(B3407,'Special Names'!A:B,2,FALSE),B3407),PlayerValues!E:E,0)),"N/A")</f>
        <v>13418</v>
      </c>
      <c r="B3407" s="4" t="s">
        <v>706</v>
      </c>
      <c r="C3407" s="4" t="s">
        <v>287</v>
      </c>
      <c r="D3407" s="94">
        <v>1154.0</v>
      </c>
    </row>
    <row r="3408">
      <c r="A3408" s="40">
        <f t="array" ref="A3408">IFNA(index(PlayerValues!A:A,match(IFNA(vlookup(B3408,'Special Names'!A:B,2,FALSE),B3408),PlayerValues!E:E,0)),"N/A")</f>
        <v>17109</v>
      </c>
      <c r="B3408" s="4" t="s">
        <v>707</v>
      </c>
      <c r="C3408" s="4" t="s">
        <v>298</v>
      </c>
      <c r="D3408" s="94">
        <v>1517.0</v>
      </c>
    </row>
    <row r="3409">
      <c r="A3409" s="40">
        <f t="array" ref="A3409">IFNA(index(PlayerValues!A:A,match(IFNA(vlookup(B3409,'Special Names'!A:B,2,FALSE),B3409),PlayerValues!E:E,0)),"N/A")</f>
        <v>17057</v>
      </c>
      <c r="B3409" s="4" t="s">
        <v>708</v>
      </c>
      <c r="C3409" s="4" t="s">
        <v>278</v>
      </c>
      <c r="D3409" s="94">
        <v>1144.0</v>
      </c>
    </row>
    <row r="3410">
      <c r="A3410" s="40">
        <f t="array" ref="A3410">IFNA(index(PlayerValues!A:A,match(IFNA(vlookup(B3410,'Special Names'!A:B,2,FALSE),B3410),PlayerValues!E:E,0)),"N/A")</f>
        <v>16746</v>
      </c>
      <c r="B3410" s="4" t="s">
        <v>709</v>
      </c>
      <c r="C3410" s="4" t="s">
        <v>278</v>
      </c>
      <c r="D3410" s="94">
        <v>1140.0</v>
      </c>
    </row>
    <row r="3411">
      <c r="A3411" s="40">
        <f t="array" ref="A3411">IFNA(index(PlayerValues!A:A,match(IFNA(vlookup(B3411,'Special Names'!A:B,2,FALSE),B3411),PlayerValues!E:E,0)),"N/A")</f>
        <v>17644</v>
      </c>
      <c r="B3411" s="4" t="s">
        <v>710</v>
      </c>
      <c r="C3411" s="4" t="s">
        <v>298</v>
      </c>
      <c r="D3411" s="94">
        <v>1501.0</v>
      </c>
    </row>
    <row r="3412">
      <c r="A3412" s="40">
        <f t="array" ref="A3412">IFNA(index(PlayerValues!A:A,match(IFNA(vlookup(B3412,'Special Names'!A:B,2,FALSE),B3412),PlayerValues!E:E,0)),"N/A")</f>
        <v>16333</v>
      </c>
      <c r="B3412" s="4" t="s">
        <v>711</v>
      </c>
      <c r="C3412" s="4" t="s">
        <v>298</v>
      </c>
      <c r="D3412" s="94">
        <v>1498.0</v>
      </c>
    </row>
    <row r="3413">
      <c r="A3413" s="40">
        <f t="array" ref="A3413">IFNA(index(PlayerValues!A:A,match(IFNA(vlookup(B3413,'Special Names'!A:B,2,FALSE),B3413),PlayerValues!E:E,0)),"N/A")</f>
        <v>16640</v>
      </c>
      <c r="B3413" s="4" t="s">
        <v>712</v>
      </c>
      <c r="C3413" s="4" t="s">
        <v>287</v>
      </c>
      <c r="D3413" s="94">
        <v>1127.0</v>
      </c>
    </row>
    <row r="3414">
      <c r="A3414" s="40">
        <f t="array" ref="A3414">IFNA(index(PlayerValues!A:A,match(IFNA(vlookup(B3414,'Special Names'!A:B,2,FALSE),B3414),PlayerValues!E:E,0)),"N/A")</f>
        <v>17050</v>
      </c>
      <c r="B3414" s="4" t="s">
        <v>713</v>
      </c>
      <c r="C3414" s="4" t="s">
        <v>278</v>
      </c>
      <c r="D3414" s="94">
        <v>1120.0</v>
      </c>
    </row>
    <row r="3415">
      <c r="A3415" s="40">
        <f t="array" ref="A3415">IFNA(index(PlayerValues!A:A,match(IFNA(vlookup(B3415,'Special Names'!A:B,2,FALSE),B3415),PlayerValues!E:E,0)),"N/A")</f>
        <v>17077</v>
      </c>
      <c r="B3415" s="4" t="s">
        <v>714</v>
      </c>
      <c r="C3415" s="4" t="s">
        <v>287</v>
      </c>
      <c r="D3415" s="94">
        <v>1117.0</v>
      </c>
    </row>
    <row r="3416">
      <c r="A3416" s="40">
        <f t="array" ref="A3416">IFNA(index(PlayerValues!A:A,match(IFNA(vlookup(B3416,'Special Names'!A:B,2,FALSE),B3416),PlayerValues!E:E,0)),"N/A")</f>
        <v>15252</v>
      </c>
      <c r="B3416" s="4" t="s">
        <v>715</v>
      </c>
      <c r="C3416" s="4" t="s">
        <v>283</v>
      </c>
      <c r="D3416" s="94">
        <v>1115.0</v>
      </c>
    </row>
    <row r="3417">
      <c r="A3417" s="40">
        <f t="array" ref="A3417">IFNA(index(PlayerValues!A:A,match(IFNA(vlookup(B3417,'Special Names'!A:B,2,FALSE),B3417),PlayerValues!E:E,0)),"N/A")</f>
        <v>14080</v>
      </c>
      <c r="B3417" s="4" t="s">
        <v>716</v>
      </c>
      <c r="C3417" s="4" t="s">
        <v>278</v>
      </c>
      <c r="D3417" s="94">
        <v>1110.0</v>
      </c>
    </row>
    <row r="3418">
      <c r="A3418" s="40">
        <f t="array" ref="A3418">IFNA(index(PlayerValues!A:A,match(IFNA(vlookup(B3418,'Special Names'!A:B,2,FALSE),B3418),PlayerValues!E:E,0)),"N/A")</f>
        <v>14845</v>
      </c>
      <c r="B3418" s="4" t="s">
        <v>717</v>
      </c>
      <c r="C3418" s="4" t="s">
        <v>287</v>
      </c>
      <c r="D3418" s="94">
        <v>1101.0</v>
      </c>
    </row>
    <row r="3419">
      <c r="A3419" s="40">
        <f t="array" ref="A3419">IFNA(index(PlayerValues!A:A,match(IFNA(vlookup(B3419,'Special Names'!A:B,2,FALSE),B3419),PlayerValues!E:E,0)),"N/A")</f>
        <v>17269</v>
      </c>
      <c r="B3419" s="4" t="s">
        <v>718</v>
      </c>
      <c r="C3419" s="4" t="s">
        <v>287</v>
      </c>
      <c r="D3419" s="94">
        <v>1093.0</v>
      </c>
    </row>
    <row r="3420">
      <c r="A3420" s="40">
        <f t="array" ref="A3420">IFNA(index(PlayerValues!A:A,match(IFNA(vlookup(B3420,'Special Names'!A:B,2,FALSE),B3420),PlayerValues!E:E,0)),"N/A")</f>
        <v>17545</v>
      </c>
      <c r="B3420" s="4" t="s">
        <v>719</v>
      </c>
      <c r="C3420" s="4" t="s">
        <v>298</v>
      </c>
      <c r="D3420" s="94">
        <v>1462.0</v>
      </c>
    </row>
    <row r="3421">
      <c r="A3421" s="40">
        <f t="array" ref="A3421">IFNA(index(PlayerValues!A:A,match(IFNA(vlookup(B3421,'Special Names'!A:B,2,FALSE),B3421),PlayerValues!E:E,0)),"N/A")</f>
        <v>17549</v>
      </c>
      <c r="B3421" s="4" t="s">
        <v>720</v>
      </c>
      <c r="C3421" s="4" t="s">
        <v>298</v>
      </c>
      <c r="D3421" s="94">
        <v>1455.0</v>
      </c>
    </row>
    <row r="3422">
      <c r="A3422" s="40">
        <f t="array" ref="A3422">IFNA(index(PlayerValues!A:A,match(IFNA(vlookup(B3422,'Special Names'!A:B,2,FALSE),B3422),PlayerValues!E:E,0)),"N/A")</f>
        <v>14789</v>
      </c>
      <c r="B3422" s="4" t="s">
        <v>721</v>
      </c>
      <c r="C3422" s="4" t="s">
        <v>283</v>
      </c>
      <c r="D3422" s="94">
        <v>1079.0</v>
      </c>
    </row>
    <row r="3423">
      <c r="A3423" s="40">
        <f t="array" ref="A3423">IFNA(index(PlayerValues!A:A,match(IFNA(vlookup(B3423,'Special Names'!A:B,2,FALSE),B3423),PlayerValues!E:E,0)),"N/A")</f>
        <v>12801</v>
      </c>
      <c r="B3423" s="4" t="s">
        <v>722</v>
      </c>
      <c r="C3423" s="4" t="s">
        <v>287</v>
      </c>
      <c r="D3423" s="94">
        <v>1072.0</v>
      </c>
    </row>
    <row r="3424">
      <c r="A3424" s="40">
        <f t="array" ref="A3424">IFNA(index(PlayerValues!A:A,match(IFNA(vlookup(B3424,'Special Names'!A:B,2,FALSE),B3424),PlayerValues!E:E,0)),"N/A")</f>
        <v>15702</v>
      </c>
      <c r="B3424" s="4" t="s">
        <v>723</v>
      </c>
      <c r="C3424" s="4" t="s">
        <v>283</v>
      </c>
      <c r="D3424" s="94">
        <v>1072.0</v>
      </c>
    </row>
    <row r="3425">
      <c r="A3425" s="40">
        <f t="array" ref="A3425">IFNA(index(PlayerValues!A:A,match(IFNA(vlookup(B3425,'Special Names'!A:B,2,FALSE),B3425),PlayerValues!E:E,0)),"N/A")</f>
        <v>15758</v>
      </c>
      <c r="B3425" s="4" t="s">
        <v>724</v>
      </c>
      <c r="C3425" s="4" t="s">
        <v>287</v>
      </c>
      <c r="D3425" s="94">
        <v>1071.0</v>
      </c>
    </row>
    <row r="3426">
      <c r="A3426" s="40">
        <f t="array" ref="A3426">IFNA(index(PlayerValues!A:A,match(IFNA(vlookup(B3426,'Special Names'!A:B,2,FALSE),B3426),PlayerValues!E:E,0)),"N/A")</f>
        <v>16221</v>
      </c>
      <c r="B3426" s="4" t="s">
        <v>725</v>
      </c>
      <c r="C3426" s="4" t="s">
        <v>298</v>
      </c>
      <c r="D3426" s="94">
        <v>1412.0</v>
      </c>
    </row>
    <row r="3427">
      <c r="A3427" s="40">
        <f t="array" ref="A3427">IFNA(index(PlayerValues!A:A,match(IFNA(vlookup(B3427,'Special Names'!A:B,2,FALSE),B3427),PlayerValues!E:E,0)),"N/A")</f>
        <v>16197</v>
      </c>
      <c r="B3427" s="4" t="s">
        <v>726</v>
      </c>
      <c r="C3427" s="4" t="s">
        <v>287</v>
      </c>
      <c r="D3427" s="94">
        <v>1038.0</v>
      </c>
    </row>
    <row r="3428">
      <c r="A3428" s="40">
        <f t="array" ref="A3428">IFNA(index(PlayerValues!A:A,match(IFNA(vlookup(B3428,'Special Names'!A:B,2,FALSE),B3428),PlayerValues!E:E,0)),"N/A")</f>
        <v>17037</v>
      </c>
      <c r="B3428" s="4" t="s">
        <v>727</v>
      </c>
      <c r="C3428" s="4" t="s">
        <v>283</v>
      </c>
      <c r="D3428" s="94">
        <v>1033.0</v>
      </c>
    </row>
    <row r="3429">
      <c r="A3429" s="40">
        <f t="array" ref="A3429">IFNA(index(PlayerValues!A:A,match(IFNA(vlookup(B3429,'Special Names'!A:B,2,FALSE),B3429),PlayerValues!E:E,0)),"N/A")</f>
        <v>15109</v>
      </c>
      <c r="B3429" s="4" t="s">
        <v>728</v>
      </c>
      <c r="C3429" s="4" t="s">
        <v>287</v>
      </c>
      <c r="D3429" s="94">
        <v>1023.0</v>
      </c>
    </row>
    <row r="3430">
      <c r="A3430" s="40">
        <f t="array" ref="A3430">IFNA(index(PlayerValues!A:A,match(IFNA(vlookup(B3430,'Special Names'!A:B,2,FALSE),B3430),PlayerValues!E:E,0)),"N/A")</f>
        <v>15981</v>
      </c>
      <c r="B3430" s="4" t="s">
        <v>729</v>
      </c>
      <c r="C3430" s="4" t="s">
        <v>287</v>
      </c>
      <c r="D3430" s="94">
        <v>1015.0</v>
      </c>
    </row>
    <row r="3431">
      <c r="A3431" s="40">
        <f t="array" ref="A3431">IFNA(index(PlayerValues!A:A,match(IFNA(vlookup(B3431,'Special Names'!A:B,2,FALSE),B3431),PlayerValues!E:E,0)),"N/A")</f>
        <v>15727</v>
      </c>
      <c r="B3431" s="4" t="s">
        <v>730</v>
      </c>
      <c r="C3431" s="4" t="s">
        <v>278</v>
      </c>
      <c r="D3431" s="94">
        <v>1013.0</v>
      </c>
    </row>
    <row r="3432">
      <c r="A3432" s="40">
        <f t="array" ref="A3432">IFNA(index(PlayerValues!A:A,match(IFNA(vlookup(B3432,'Special Names'!A:B,2,FALSE),B3432),PlayerValues!E:E,0)),"N/A")</f>
        <v>14840</v>
      </c>
      <c r="B3432" s="4" t="s">
        <v>731</v>
      </c>
      <c r="C3432" s="4" t="s">
        <v>287</v>
      </c>
      <c r="D3432" s="94">
        <v>1008.0</v>
      </c>
    </row>
    <row r="3433">
      <c r="A3433" s="40">
        <f t="array" ref="A3433">IFNA(index(PlayerValues!A:A,match(IFNA(vlookup(B3433,'Special Names'!A:B,2,FALSE),B3433),PlayerValues!E:E,0)),"N/A")</f>
        <v>15713</v>
      </c>
      <c r="B3433" s="4" t="s">
        <v>732</v>
      </c>
      <c r="C3433" s="4" t="s">
        <v>278</v>
      </c>
      <c r="D3433" s="94">
        <v>999.0</v>
      </c>
    </row>
    <row r="3434">
      <c r="A3434" s="40">
        <f t="array" ref="A3434">IFNA(index(PlayerValues!A:A,match(IFNA(vlookup(B3434,'Special Names'!A:B,2,FALSE),B3434),PlayerValues!E:E,0)),"N/A")</f>
        <v>14849</v>
      </c>
      <c r="B3434" s="4" t="s">
        <v>733</v>
      </c>
      <c r="C3434" s="4" t="s">
        <v>287</v>
      </c>
      <c r="D3434" s="94">
        <v>981.0</v>
      </c>
    </row>
    <row r="3435">
      <c r="A3435" s="40">
        <f t="array" ref="A3435">IFNA(index(PlayerValues!A:A,match(IFNA(vlookup(B3435,'Special Names'!A:B,2,FALSE),B3435),PlayerValues!E:E,0)),"N/A")</f>
        <v>15730</v>
      </c>
      <c r="B3435" s="4" t="s">
        <v>734</v>
      </c>
      <c r="C3435" s="4" t="s">
        <v>278</v>
      </c>
      <c r="D3435" s="94">
        <v>981.0</v>
      </c>
    </row>
    <row r="3436">
      <c r="A3436" s="40">
        <f t="array" ref="A3436">IFNA(index(PlayerValues!A:A,match(IFNA(vlookup(B3436,'Special Names'!A:B,2,FALSE),B3436),PlayerValues!E:E,0)),"N/A")</f>
        <v>14067</v>
      </c>
      <c r="B3436" s="4" t="s">
        <v>735</v>
      </c>
      <c r="C3436" s="4" t="s">
        <v>283</v>
      </c>
      <c r="D3436" s="94">
        <v>976.0</v>
      </c>
    </row>
    <row r="3437">
      <c r="A3437" s="40">
        <f t="array" ref="A3437">IFNA(index(PlayerValues!A:A,match(IFNA(vlookup(B3437,'Special Names'!A:B,2,FALSE),B3437),PlayerValues!E:E,0)),"N/A")</f>
        <v>16637</v>
      </c>
      <c r="B3437" s="4" t="s">
        <v>736</v>
      </c>
      <c r="C3437" s="4" t="s">
        <v>287</v>
      </c>
      <c r="D3437" s="94">
        <v>976.0</v>
      </c>
    </row>
    <row r="3438">
      <c r="A3438" s="40">
        <f t="array" ref="A3438">IFNA(index(PlayerValues!A:A,match(IFNA(vlookup(B3438,'Special Names'!A:B,2,FALSE),B3438),PlayerValues!E:E,0)),"N/A")</f>
        <v>16599</v>
      </c>
      <c r="B3438" s="4" t="s">
        <v>737</v>
      </c>
      <c r="C3438" s="4" t="s">
        <v>278</v>
      </c>
      <c r="D3438" s="94">
        <v>975.0</v>
      </c>
    </row>
    <row r="3439">
      <c r="A3439" s="40">
        <f t="array" ref="A3439">IFNA(index(PlayerValues!A:A,match(IFNA(vlookup(B3439,'Special Names'!A:B,2,FALSE),B3439),PlayerValues!E:E,0)),"N/A")</f>
        <v>16168</v>
      </c>
      <c r="B3439" s="4" t="s">
        <v>738</v>
      </c>
      <c r="C3439" s="4" t="s">
        <v>278</v>
      </c>
      <c r="D3439" s="94">
        <v>961.0</v>
      </c>
    </row>
    <row r="3440">
      <c r="A3440" s="40">
        <f t="array" ref="A3440">IFNA(index(PlayerValues!A:A,match(IFNA(vlookup(B3440,'Special Names'!A:B,2,FALSE),B3440),PlayerValues!E:E,0)),"N/A")</f>
        <v>16219</v>
      </c>
      <c r="B3440" s="4" t="s">
        <v>739</v>
      </c>
      <c r="C3440" s="4" t="s">
        <v>298</v>
      </c>
      <c r="D3440" s="94">
        <v>1326.0</v>
      </c>
    </row>
    <row r="3441">
      <c r="A3441" s="40">
        <f t="array" ref="A3441">IFNA(index(PlayerValues!A:A,match(IFNA(vlookup(B3441,'Special Names'!A:B,2,FALSE),B3441),PlayerValues!E:E,0)),"N/A")</f>
        <v>16149</v>
      </c>
      <c r="B3441" s="4" t="s">
        <v>740</v>
      </c>
      <c r="C3441" s="4" t="s">
        <v>283</v>
      </c>
      <c r="D3441" s="94">
        <v>958.0</v>
      </c>
    </row>
    <row r="3442">
      <c r="A3442" s="40">
        <f t="array" ref="A3442">IFNA(index(PlayerValues!A:A,match(IFNA(vlookup(B3442,'Special Names'!A:B,2,FALSE),B3442),PlayerValues!E:E,0)),"N/A")</f>
        <v>15271</v>
      </c>
      <c r="B3442" s="4" t="s">
        <v>741</v>
      </c>
      <c r="C3442" s="4" t="s">
        <v>278</v>
      </c>
      <c r="D3442" s="94">
        <v>956.0</v>
      </c>
    </row>
    <row r="3443">
      <c r="A3443" s="40">
        <f t="array" ref="A3443">IFNA(index(PlayerValues!A:A,match(IFNA(vlookup(B3443,'Special Names'!A:B,2,FALSE),B3443),PlayerValues!E:E,0)),"N/A")</f>
        <v>16205</v>
      </c>
      <c r="B3443" s="4" t="s">
        <v>742</v>
      </c>
      <c r="C3443" s="4" t="s">
        <v>287</v>
      </c>
      <c r="D3443" s="94">
        <v>953.0</v>
      </c>
    </row>
    <row r="3444">
      <c r="A3444" s="40">
        <f t="array" ref="A3444">IFNA(index(PlayerValues!A:A,match(IFNA(vlookup(B3444,'Special Names'!A:B,2,FALSE),B3444),PlayerValues!E:E,0)),"N/A")</f>
        <v>16606</v>
      </c>
      <c r="B3444" s="4" t="s">
        <v>743</v>
      </c>
      <c r="C3444" s="4" t="s">
        <v>278</v>
      </c>
      <c r="D3444" s="94">
        <v>952.0</v>
      </c>
    </row>
    <row r="3445">
      <c r="A3445" s="40">
        <f t="array" ref="A3445">IFNA(index(PlayerValues!A:A,match(IFNA(vlookup(B3445,'Special Names'!A:B,2,FALSE),B3445),PlayerValues!E:E,0)),"N/A")</f>
        <v>12141</v>
      </c>
      <c r="B3445" s="4" t="s">
        <v>744</v>
      </c>
      <c r="C3445" s="4" t="s">
        <v>283</v>
      </c>
      <c r="D3445" s="94">
        <v>949.0</v>
      </c>
    </row>
    <row r="3446">
      <c r="A3446" s="40">
        <f t="array" ref="A3446">IFNA(index(PlayerValues!A:A,match(IFNA(vlookup(B3446,'Special Names'!A:B,2,FALSE),B3446),PlayerValues!E:E,0)),"N/A")</f>
        <v>15717</v>
      </c>
      <c r="B3446" s="4" t="s">
        <v>745</v>
      </c>
      <c r="C3446" s="4" t="s">
        <v>278</v>
      </c>
      <c r="D3446" s="94">
        <v>948.0</v>
      </c>
    </row>
    <row r="3447">
      <c r="A3447" s="40">
        <f t="array" ref="A3447">IFNA(index(PlayerValues!A:A,match(IFNA(vlookup(B3447,'Special Names'!A:B,2,FALSE),B3447),PlayerValues!E:E,0)),"N/A")</f>
        <v>13289</v>
      </c>
      <c r="B3447" s="4" t="s">
        <v>746</v>
      </c>
      <c r="C3447" s="4" t="s">
        <v>287</v>
      </c>
      <c r="D3447" s="94">
        <v>947.0</v>
      </c>
    </row>
    <row r="3448">
      <c r="A3448" s="40">
        <f t="array" ref="A3448">IFNA(index(PlayerValues!A:A,match(IFNA(vlookup(B3448,'Special Names'!A:B,2,FALSE),B3448),PlayerValues!E:E,0)),"N/A")</f>
        <v>17175</v>
      </c>
      <c r="B3448" s="4" t="s">
        <v>747</v>
      </c>
      <c r="C3448" s="4" t="s">
        <v>287</v>
      </c>
      <c r="D3448" s="94">
        <v>919.0</v>
      </c>
    </row>
    <row r="3449">
      <c r="A3449" s="40">
        <f t="array" ref="A3449">IFNA(index(PlayerValues!A:A,match(IFNA(vlookup(B3449,'Special Names'!A:B,2,FALSE),B3449),PlayerValues!E:E,0)),"N/A")</f>
        <v>16648</v>
      </c>
      <c r="B3449" s="4" t="s">
        <v>748</v>
      </c>
      <c r="C3449" s="4" t="s">
        <v>298</v>
      </c>
      <c r="D3449" s="94">
        <v>1279.0</v>
      </c>
    </row>
    <row r="3450">
      <c r="A3450" s="40">
        <f t="array" ref="A3450">IFNA(index(PlayerValues!A:A,match(IFNA(vlookup(B3450,'Special Names'!A:B,2,FALSE),B3450),PlayerValues!E:E,0)),"N/A")</f>
        <v>15330</v>
      </c>
      <c r="B3450" s="4" t="s">
        <v>749</v>
      </c>
      <c r="C3450" s="4" t="s">
        <v>298</v>
      </c>
      <c r="D3450" s="94">
        <v>1274.0</v>
      </c>
    </row>
    <row r="3451">
      <c r="A3451" s="40">
        <f t="array" ref="A3451">IFNA(index(PlayerValues!A:A,match(IFNA(vlookup(B3451,'Special Names'!A:B,2,FALSE),B3451),PlayerValues!E:E,0)),"N/A")</f>
        <v>15692</v>
      </c>
      <c r="B3451" s="4" t="s">
        <v>750</v>
      </c>
      <c r="C3451" s="4" t="s">
        <v>283</v>
      </c>
      <c r="D3451" s="94">
        <v>903.0</v>
      </c>
    </row>
    <row r="3452">
      <c r="A3452" s="40">
        <f t="array" ref="A3452">IFNA(index(PlayerValues!A:A,match(IFNA(vlookup(B3452,'Special Names'!A:B,2,FALSE),B3452),PlayerValues!E:E,0)),"N/A")</f>
        <v>15240</v>
      </c>
      <c r="B3452" s="4" t="s">
        <v>751</v>
      </c>
      <c r="C3452" s="4" t="s">
        <v>283</v>
      </c>
      <c r="D3452" s="94">
        <v>901.0</v>
      </c>
    </row>
    <row r="3453">
      <c r="A3453" s="40">
        <f t="array" ref="A3453">IFNA(index(PlayerValues!A:A,match(IFNA(vlookup(B3453,'Special Names'!A:B,2,FALSE),B3453),PlayerValues!E:E,0)),"N/A")</f>
        <v>16416</v>
      </c>
      <c r="B3453" s="4" t="s">
        <v>752</v>
      </c>
      <c r="C3453" s="4" t="s">
        <v>287</v>
      </c>
      <c r="D3453" s="94">
        <v>899.0</v>
      </c>
    </row>
    <row r="3454">
      <c r="A3454" s="40">
        <f t="array" ref="A3454">IFNA(index(PlayerValues!A:A,match(IFNA(vlookup(B3454,'Special Names'!A:B,2,FALSE),B3454),PlayerValues!E:E,0)),"N/A")</f>
        <v>15718</v>
      </c>
      <c r="B3454" s="4" t="s">
        <v>753</v>
      </c>
      <c r="C3454" s="4" t="s">
        <v>278</v>
      </c>
      <c r="D3454" s="94">
        <v>889.0</v>
      </c>
    </row>
    <row r="3455">
      <c r="A3455" s="40">
        <f t="array" ref="A3455">IFNA(index(PlayerValues!A:A,match(IFNA(vlookup(B3455,'Special Names'!A:B,2,FALSE),B3455),PlayerValues!E:E,0)),"N/A")</f>
        <v>16858</v>
      </c>
      <c r="B3455" s="4" t="s">
        <v>754</v>
      </c>
      <c r="C3455" s="4" t="s">
        <v>287</v>
      </c>
      <c r="D3455" s="94">
        <v>885.0</v>
      </c>
    </row>
    <row r="3456">
      <c r="A3456" s="40">
        <f t="array" ref="A3456">IFNA(index(PlayerValues!A:A,match(IFNA(vlookup(B3456,'Special Names'!A:B,2,FALSE),B3456),PlayerValues!E:E,0)),"N/A")</f>
        <v>15693</v>
      </c>
      <c r="B3456" s="4" t="s">
        <v>755</v>
      </c>
      <c r="C3456" s="4" t="s">
        <v>283</v>
      </c>
      <c r="D3456" s="94">
        <v>883.0</v>
      </c>
    </row>
    <row r="3457">
      <c r="A3457" s="40">
        <f t="array" ref="A3457">IFNA(index(PlayerValues!A:A,match(IFNA(vlookup(B3457,'Special Names'!A:B,2,FALSE),B3457),PlayerValues!E:E,0)),"N/A")</f>
        <v>17479</v>
      </c>
      <c r="B3457" s="4" t="s">
        <v>756</v>
      </c>
      <c r="C3457" s="4" t="s">
        <v>278</v>
      </c>
      <c r="D3457" s="94">
        <v>881.0</v>
      </c>
    </row>
    <row r="3458">
      <c r="A3458" s="40">
        <f t="array" ref="A3458">IFNA(index(PlayerValues!A:A,match(IFNA(vlookup(B3458,'Special Names'!A:B,2,FALSE),B3458),PlayerValues!E:E,0)),"N/A")</f>
        <v>15258</v>
      </c>
      <c r="B3458" s="4" t="s">
        <v>757</v>
      </c>
      <c r="C3458" s="4" t="s">
        <v>278</v>
      </c>
      <c r="D3458" s="94">
        <v>873.0</v>
      </c>
    </row>
    <row r="3459">
      <c r="A3459" s="40">
        <f t="array" ref="A3459">IFNA(index(PlayerValues!A:A,match(IFNA(vlookup(B3459,'Special Names'!A:B,2,FALSE),B3459),PlayerValues!E:E,0)),"N/A")</f>
        <v>16678</v>
      </c>
      <c r="B3459" s="4" t="s">
        <v>758</v>
      </c>
      <c r="C3459" s="4" t="s">
        <v>278</v>
      </c>
      <c r="D3459" s="94">
        <v>864.0</v>
      </c>
    </row>
    <row r="3460">
      <c r="A3460" s="40">
        <f t="array" ref="A3460">IFNA(index(PlayerValues!A:A,match(IFNA(vlookup(B3460,'Special Names'!A:B,2,FALSE),B3460),PlayerValues!E:E,0)),"N/A")</f>
        <v>15766</v>
      </c>
      <c r="B3460" s="4" t="s">
        <v>759</v>
      </c>
      <c r="C3460" s="4" t="s">
        <v>287</v>
      </c>
      <c r="D3460" s="94">
        <v>862.0</v>
      </c>
    </row>
    <row r="3461">
      <c r="A3461" s="40">
        <f t="array" ref="A3461">IFNA(index(PlayerValues!A:A,match(IFNA(vlookup(B3461,'Special Names'!A:B,2,FALSE),B3461),PlayerValues!E:E,0)),"N/A")</f>
        <v>17526</v>
      </c>
      <c r="B3461" s="4" t="s">
        <v>760</v>
      </c>
      <c r="C3461" s="4" t="s">
        <v>287</v>
      </c>
      <c r="D3461" s="94">
        <v>839.0</v>
      </c>
    </row>
    <row r="3462">
      <c r="A3462" s="40">
        <f t="array" ref="A3462">IFNA(index(PlayerValues!A:A,match(IFNA(vlookup(B3462,'Special Names'!A:B,2,FALSE),B3462),PlayerValues!E:E,0)),"N/A")</f>
        <v>9064</v>
      </c>
      <c r="B3462" s="4" t="s">
        <v>761</v>
      </c>
      <c r="C3462" s="4" t="s">
        <v>283</v>
      </c>
      <c r="D3462" s="94">
        <v>827.0</v>
      </c>
    </row>
    <row r="3463">
      <c r="A3463" s="40">
        <f t="array" ref="A3463">IFNA(index(PlayerValues!A:A,match(IFNA(vlookup(B3463,'Special Names'!A:B,2,FALSE),B3463),PlayerValues!E:E,0)),"N/A")</f>
        <v>16751</v>
      </c>
      <c r="B3463" s="4" t="s">
        <v>762</v>
      </c>
      <c r="C3463" s="4" t="s">
        <v>287</v>
      </c>
      <c r="D3463" s="94">
        <v>822.0</v>
      </c>
    </row>
    <row r="3464">
      <c r="A3464" s="40">
        <f t="array" ref="A3464">IFNA(index(PlayerValues!A:A,match(IFNA(vlookup(B3464,'Special Names'!A:B,2,FALSE),B3464),PlayerValues!E:E,0)),"N/A")</f>
        <v>15785</v>
      </c>
      <c r="B3464" s="4" t="s">
        <v>763</v>
      </c>
      <c r="C3464" s="4" t="s">
        <v>287</v>
      </c>
      <c r="D3464" s="94">
        <v>821.0</v>
      </c>
    </row>
    <row r="3465">
      <c r="A3465" s="40">
        <f t="array" ref="A3465">IFNA(index(PlayerValues!A:A,match(IFNA(vlookup(B3465,'Special Names'!A:B,2,FALSE),B3465),PlayerValues!E:E,0)),"N/A")</f>
        <v>13133</v>
      </c>
      <c r="B3465" s="4" t="s">
        <v>764</v>
      </c>
      <c r="C3465" s="4" t="s">
        <v>278</v>
      </c>
      <c r="D3465" s="94">
        <v>820.0</v>
      </c>
    </row>
    <row r="3466">
      <c r="A3466" s="40">
        <f t="array" ref="A3466">IFNA(index(PlayerValues!A:A,match(IFNA(vlookup(B3466,'Special Names'!A:B,2,FALSE),B3466),PlayerValues!E:E,0)),"N/A")</f>
        <v>14057</v>
      </c>
      <c r="B3466" s="4" t="s">
        <v>765</v>
      </c>
      <c r="C3466" s="4" t="s">
        <v>283</v>
      </c>
      <c r="D3466" s="94">
        <v>813.0</v>
      </c>
    </row>
    <row r="3467">
      <c r="A3467" s="40">
        <f t="array" ref="A3467">IFNA(index(PlayerValues!A:A,match(IFNA(vlookup(B3467,'Special Names'!A:B,2,FALSE),B3467),PlayerValues!E:E,0)),"N/A")</f>
        <v>15626</v>
      </c>
      <c r="B3467" s="4" t="s">
        <v>766</v>
      </c>
      <c r="C3467" s="4" t="s">
        <v>298</v>
      </c>
      <c r="D3467" s="94">
        <v>1164.0</v>
      </c>
    </row>
    <row r="3468">
      <c r="A3468" s="40">
        <f t="array" ref="A3468">IFNA(index(PlayerValues!A:A,match(IFNA(vlookup(B3468,'Special Names'!A:B,2,FALSE),B3468),PlayerValues!E:E,0)),"N/A")</f>
        <v>17654</v>
      </c>
      <c r="B3468" s="4" t="s">
        <v>767</v>
      </c>
      <c r="C3468" s="4" t="s">
        <v>283</v>
      </c>
      <c r="D3468" s="94">
        <v>768.0</v>
      </c>
    </row>
    <row r="3469">
      <c r="A3469" s="40">
        <f t="array" ref="A3469">IFNA(index(PlayerValues!A:A,match(IFNA(vlookup(B3469,'Special Names'!A:B,2,FALSE),B3469),PlayerValues!E:E,0)),"N/A")</f>
        <v>16393</v>
      </c>
      <c r="B3469" s="4" t="s">
        <v>768</v>
      </c>
      <c r="C3469" s="4" t="s">
        <v>287</v>
      </c>
      <c r="D3469" s="94">
        <v>766.0</v>
      </c>
    </row>
    <row r="3470">
      <c r="A3470" s="40">
        <f t="array" ref="A3470">IFNA(index(PlayerValues!A:A,match(IFNA(vlookup(B3470,'Special Names'!A:B,2,FALSE),B3470),PlayerValues!E:E,0)),"N/A")</f>
        <v>16451</v>
      </c>
      <c r="B3470" s="4" t="s">
        <v>769</v>
      </c>
      <c r="C3470" s="4" t="s">
        <v>287</v>
      </c>
      <c r="D3470" s="94">
        <v>702.0</v>
      </c>
    </row>
    <row r="3471">
      <c r="A3471" s="40">
        <f t="array" ref="A3471">IFNA(index(PlayerValues!A:A,match(IFNA(vlookup(B3471,'Special Names'!A:B,2,FALSE),B3471),PlayerValues!E:E,0)),"N/A")</f>
        <v>14805</v>
      </c>
      <c r="B3471" s="4" t="s">
        <v>770</v>
      </c>
      <c r="C3471" s="4" t="s">
        <v>278</v>
      </c>
      <c r="D3471" s="94">
        <v>688.0</v>
      </c>
    </row>
    <row r="3472">
      <c r="A3472" s="40">
        <f t="array" ref="A3472">IFNA(index(PlayerValues!A:A,match(IFNA(vlookup(B3472,'Special Names'!A:B,2,FALSE),B3472),PlayerValues!E:E,0)),"N/A")</f>
        <v>14118</v>
      </c>
      <c r="B3472" s="4" t="s">
        <v>771</v>
      </c>
      <c r="C3472" s="4" t="s">
        <v>287</v>
      </c>
      <c r="D3472" s="94">
        <v>681.0</v>
      </c>
    </row>
    <row r="3473">
      <c r="A3473" s="40">
        <f t="array" ref="A3473">IFNA(index(PlayerValues!A:A,match(IFNA(vlookup(B3473,'Special Names'!A:B,2,FALSE),B3473),PlayerValues!E:E,0)),"N/A")</f>
        <v>12785</v>
      </c>
      <c r="B3473" s="4" t="s">
        <v>772</v>
      </c>
      <c r="C3473" s="4" t="s">
        <v>287</v>
      </c>
      <c r="D3473" s="94">
        <v>676.0</v>
      </c>
    </row>
    <row r="3474">
      <c r="A3474" s="40">
        <f t="array" ref="A3474">IFNA(index(PlayerValues!A:A,match(IFNA(vlookup(B3474,'Special Names'!A:B,2,FALSE),B3474),PlayerValues!E:E,0)),"N/A")</f>
        <v>13193</v>
      </c>
      <c r="B3474" s="4" t="s">
        <v>773</v>
      </c>
      <c r="C3474" s="4" t="s">
        <v>298</v>
      </c>
      <c r="D3474" s="94">
        <v>1018.0</v>
      </c>
    </row>
    <row r="3475">
      <c r="A3475" s="40">
        <f t="array" ref="A3475">IFNA(index(PlayerValues!A:A,match(IFNA(vlookup(B3475,'Special Names'!A:B,2,FALSE),B3475),PlayerValues!E:E,0)),"N/A")</f>
        <v>17038</v>
      </c>
      <c r="B3475" s="4" t="s">
        <v>774</v>
      </c>
      <c r="C3475" s="4" t="s">
        <v>283</v>
      </c>
      <c r="D3475" s="94">
        <v>653.0</v>
      </c>
    </row>
    <row r="3476">
      <c r="A3476" s="40">
        <f t="array" ref="A3476">IFNA(index(PlayerValues!A:A,match(IFNA(vlookup(B3476,'Special Names'!A:B,2,FALSE),B3476),PlayerValues!E:E,0)),"N/A")</f>
        <v>15714</v>
      </c>
      <c r="B3476" s="4" t="s">
        <v>775</v>
      </c>
      <c r="C3476" s="4" t="s">
        <v>278</v>
      </c>
      <c r="D3476" s="94">
        <v>608.0</v>
      </c>
    </row>
    <row r="3477">
      <c r="A3477" s="40">
        <f t="array" ref="A3477">IFNA(index(PlayerValues!A:A,match(IFNA(vlookup(B3477,'Special Names'!A:B,2,FALSE),B3477),PlayerValues!E:E,0)),"N/A")</f>
        <v>16153</v>
      </c>
      <c r="B3477" s="4" t="s">
        <v>776</v>
      </c>
      <c r="C3477" s="4" t="s">
        <v>283</v>
      </c>
      <c r="D3477" s="94">
        <v>590.0</v>
      </c>
    </row>
    <row r="3478">
      <c r="A3478" s="40">
        <f t="array" ref="A3478">IFNA(index(PlayerValues!A:A,match(IFNA(vlookup(B3478,'Special Names'!A:B,2,FALSE),B3478),PlayerValues!E:E,0)),"N/A")</f>
        <v>17752</v>
      </c>
      <c r="B3478" s="4" t="s">
        <v>777</v>
      </c>
      <c r="C3478" s="4" t="s">
        <v>287</v>
      </c>
      <c r="D3478" s="94">
        <v>586.0</v>
      </c>
    </row>
    <row r="3479">
      <c r="A3479" s="40">
        <f t="array" ref="A3479">IFNA(index(PlayerValues!A:A,match(IFNA(vlookup(B3479,'Special Names'!A:B,2,FALSE),B3479),PlayerValues!E:E,0)),"N/A")</f>
        <v>16625</v>
      </c>
      <c r="B3479" s="4" t="s">
        <v>778</v>
      </c>
      <c r="C3479" s="4" t="s">
        <v>287</v>
      </c>
      <c r="D3479" s="94">
        <v>580.0</v>
      </c>
    </row>
    <row r="3480">
      <c r="A3480" s="40">
        <f t="array" ref="A3480">IFNA(index(PlayerValues!A:A,match(IFNA(vlookup(B3480,'Special Names'!A:B,2,FALSE),B3480),PlayerValues!E:E,0)),"N/A")</f>
        <v>11679</v>
      </c>
      <c r="B3480" s="4" t="s">
        <v>779</v>
      </c>
      <c r="C3480" s="4" t="s">
        <v>287</v>
      </c>
      <c r="D3480" s="94">
        <v>521.0</v>
      </c>
    </row>
    <row r="3481">
      <c r="A3481" s="40">
        <f t="array" ref="A3481">IFNA(index(PlayerValues!A:A,match(IFNA(vlookup(B3481,'Special Names'!A:B,2,FALSE),B3481),PlayerValues!E:E,0)),"N/A")</f>
        <v>15743</v>
      </c>
      <c r="B3481" s="4" t="s">
        <v>780</v>
      </c>
      <c r="C3481" s="4" t="s">
        <v>278</v>
      </c>
      <c r="D3481" s="94">
        <v>521.0</v>
      </c>
    </row>
    <row r="3482">
      <c r="A3482" s="40">
        <f t="array" ref="A3482">IFNA(index(PlayerValues!A:A,match(IFNA(vlookup(B3482,'Special Names'!A:B,2,FALSE),B3482),PlayerValues!E:E,0)),"N/A")</f>
        <v>16413</v>
      </c>
      <c r="B3482" s="4" t="s">
        <v>781</v>
      </c>
      <c r="C3482" s="4" t="s">
        <v>287</v>
      </c>
      <c r="D3482" s="94">
        <v>516.0</v>
      </c>
    </row>
    <row r="3483">
      <c r="A3483" s="40">
        <f t="array" ref="A3483">IFNA(index(PlayerValues!A:A,match(IFNA(vlookup(B3483,'Special Names'!A:B,2,FALSE),B3483),PlayerValues!E:E,0)),"N/A")</f>
        <v>16613</v>
      </c>
      <c r="B3483" s="4" t="s">
        <v>782</v>
      </c>
      <c r="C3483" s="4" t="s">
        <v>278</v>
      </c>
      <c r="D3483" s="94">
        <v>507.0</v>
      </c>
    </row>
    <row r="3484">
      <c r="A3484" s="40">
        <f t="array" ref="A3484">IFNA(index(PlayerValues!A:A,match(IFNA(vlookup(B3484,'Special Names'!A:B,2,FALSE),B3484),PlayerValues!E:E,0)),"N/A")</f>
        <v>16773</v>
      </c>
      <c r="B3484" s="4" t="s">
        <v>783</v>
      </c>
      <c r="C3484" s="4" t="s">
        <v>278</v>
      </c>
      <c r="D3484" s="94">
        <v>502.0</v>
      </c>
    </row>
    <row r="3485">
      <c r="A3485" s="40">
        <f t="array" ref="A3485">IFNA(index(PlayerValues!A:A,match(IFNA(vlookup(B3485,'Special Names'!A:B,2,FALSE),B3485),PlayerValues!E:E,0)),"N/A")</f>
        <v>17232</v>
      </c>
      <c r="B3485" s="4" t="s">
        <v>784</v>
      </c>
      <c r="C3485" s="4" t="s">
        <v>287</v>
      </c>
      <c r="D3485" s="94">
        <v>501.0</v>
      </c>
    </row>
    <row r="3486">
      <c r="A3486" s="40">
        <f t="array" ref="A3486">IFNA(index(PlayerValues!A:A,match(IFNA(vlookup(B3486,'Special Names'!A:B,2,FALSE),B3486),PlayerValues!E:E,0)),"N/A")</f>
        <v>14223</v>
      </c>
      <c r="B3486" s="4" t="s">
        <v>785</v>
      </c>
      <c r="C3486" s="4" t="s">
        <v>278</v>
      </c>
      <c r="D3486" s="94">
        <v>499.0</v>
      </c>
    </row>
    <row r="3487">
      <c r="A3487" s="40">
        <f t="array" ref="A3487">IFNA(index(PlayerValues!A:A,match(IFNA(vlookup(B3487,'Special Names'!A:B,2,FALSE),B3487),PlayerValues!E:E,0)),"N/A")</f>
        <v>13143</v>
      </c>
      <c r="B3487" s="4" t="s">
        <v>786</v>
      </c>
      <c r="C3487" s="4" t="s">
        <v>278</v>
      </c>
      <c r="D3487" s="94">
        <v>487.0</v>
      </c>
    </row>
    <row r="3488">
      <c r="A3488" s="40">
        <f t="array" ref="A3488">IFNA(index(PlayerValues!A:A,match(IFNA(vlookup(B3488,'Special Names'!A:B,2,FALSE),B3488),PlayerValues!E:E,0)),"N/A")</f>
        <v>16299</v>
      </c>
      <c r="B3488" s="4" t="s">
        <v>787</v>
      </c>
      <c r="C3488" s="4" t="s">
        <v>287</v>
      </c>
      <c r="D3488" s="94">
        <v>486.0</v>
      </c>
    </row>
    <row r="3489">
      <c r="A3489" s="40">
        <f t="array" ref="A3489">IFNA(index(PlayerValues!A:A,match(IFNA(vlookup(B3489,'Special Names'!A:B,2,FALSE),B3489),PlayerValues!E:E,0)),"N/A")</f>
        <v>14113</v>
      </c>
      <c r="B3489" s="4" t="s">
        <v>788</v>
      </c>
      <c r="C3489" s="4" t="s">
        <v>287</v>
      </c>
      <c r="D3489" s="94">
        <v>483.0</v>
      </c>
    </row>
    <row r="3490">
      <c r="A3490" s="40">
        <f t="array" ref="A3490">IFNA(index(PlayerValues!A:A,match(IFNA(vlookup(B3490,'Special Names'!A:B,2,FALSE),B3490),PlayerValues!E:E,0)),"N/A")</f>
        <v>14864</v>
      </c>
      <c r="B3490" s="4" t="s">
        <v>789</v>
      </c>
      <c r="C3490" s="4" t="s">
        <v>287</v>
      </c>
      <c r="D3490" s="94">
        <v>483.0</v>
      </c>
    </row>
    <row r="3491">
      <c r="A3491" s="40">
        <f t="array" ref="A3491">IFNA(index(PlayerValues!A:A,match(IFNA(vlookup(B3491,'Special Names'!A:B,2,FALSE),B3491),PlayerValues!E:E,0)),"N/A")</f>
        <v>14076</v>
      </c>
      <c r="B3491" s="4" t="s">
        <v>790</v>
      </c>
      <c r="C3491" s="4" t="s">
        <v>278</v>
      </c>
      <c r="D3491" s="94">
        <v>480.0</v>
      </c>
    </row>
    <row r="3492">
      <c r="A3492" s="40">
        <f t="array" ref="A3492">IFNA(index(PlayerValues!A:A,match(IFNA(vlookup(B3492,'Special Names'!A:B,2,FALSE),B3492),PlayerValues!E:E,0)),"N/A")</f>
        <v>15965</v>
      </c>
      <c r="B3492" s="4" t="s">
        <v>791</v>
      </c>
      <c r="C3492" s="4" t="s">
        <v>278</v>
      </c>
      <c r="D3492" s="94">
        <v>478.0</v>
      </c>
    </row>
    <row r="3493">
      <c r="A3493" s="40">
        <f t="array" ref="A3493">IFNA(index(PlayerValues!A:A,match(IFNA(vlookup(B3493,'Special Names'!A:B,2,FALSE),B3493),PlayerValues!E:E,0)),"N/A")</f>
        <v>15285</v>
      </c>
      <c r="B3493" s="4" t="s">
        <v>792</v>
      </c>
      <c r="C3493" s="4" t="s">
        <v>287</v>
      </c>
      <c r="D3493" s="94">
        <v>476.0</v>
      </c>
    </row>
    <row r="3494">
      <c r="A3494" s="40">
        <f t="array" ref="A3494">IFNA(index(PlayerValues!A:A,match(IFNA(vlookup(B3494,'Special Names'!A:B,2,FALSE),B3494),PlayerValues!E:E,0)),"N/A")</f>
        <v>17337</v>
      </c>
      <c r="B3494" s="4" t="s">
        <v>793</v>
      </c>
      <c r="C3494" s="4" t="s">
        <v>278</v>
      </c>
      <c r="D3494" s="94">
        <v>475.0</v>
      </c>
    </row>
    <row r="3495">
      <c r="A3495" s="40">
        <f t="array" ref="A3495">IFNA(index(PlayerValues!A:A,match(IFNA(vlookup(B3495,'Special Names'!A:B,2,FALSE),B3495),PlayerValues!E:E,0)),"N/A")</f>
        <v>15796</v>
      </c>
      <c r="B3495" s="4" t="s">
        <v>794</v>
      </c>
      <c r="C3495" s="4" t="s">
        <v>298</v>
      </c>
      <c r="D3495" s="94">
        <v>819.0</v>
      </c>
    </row>
    <row r="3496">
      <c r="A3496" s="40">
        <f t="array" ref="A3496">IFNA(index(PlayerValues!A:A,match(IFNA(vlookup(B3496,'Special Names'!A:B,2,FALSE),B3496),PlayerValues!E:E,0)),"N/A")</f>
        <v>15720</v>
      </c>
      <c r="B3496" s="4" t="s">
        <v>795</v>
      </c>
      <c r="C3496" s="4" t="s">
        <v>278</v>
      </c>
      <c r="D3496" s="94">
        <v>469.0</v>
      </c>
    </row>
    <row r="3497">
      <c r="A3497" s="40">
        <f t="array" ref="A3497">IFNA(index(PlayerValues!A:A,match(IFNA(vlookup(B3497,'Special Names'!A:B,2,FALSE),B3497),PlayerValues!E:E,0)),"N/A")</f>
        <v>16624</v>
      </c>
      <c r="B3497" s="4" t="s">
        <v>796</v>
      </c>
      <c r="C3497" s="4" t="s">
        <v>287</v>
      </c>
      <c r="D3497" s="94">
        <v>469.0</v>
      </c>
    </row>
    <row r="3498">
      <c r="A3498" s="40">
        <f t="array" ref="A3498">IFNA(index(PlayerValues!A:A,match(IFNA(vlookup(B3498,'Special Names'!A:B,2,FALSE),B3498),PlayerValues!E:E,0)),"N/A")</f>
        <v>17348</v>
      </c>
      <c r="B3498" s="4" t="s">
        <v>797</v>
      </c>
      <c r="C3498" s="4" t="s">
        <v>278</v>
      </c>
      <c r="D3498" s="94">
        <v>467.0</v>
      </c>
    </row>
    <row r="3499">
      <c r="A3499" s="40">
        <f t="array" ref="A3499">IFNA(index(PlayerValues!A:A,match(IFNA(vlookup(B3499,'Special Names'!A:B,2,FALSE),B3499),PlayerValues!E:E,0)),"N/A")</f>
        <v>15723</v>
      </c>
      <c r="B3499" s="4" t="s">
        <v>798</v>
      </c>
      <c r="C3499" s="4" t="s">
        <v>278</v>
      </c>
      <c r="D3499" s="94">
        <v>463.0</v>
      </c>
    </row>
    <row r="3500">
      <c r="A3500" s="40">
        <f t="array" ref="A3500">IFNA(index(PlayerValues!A:A,match(IFNA(vlookup(B3500,'Special Names'!A:B,2,FALSE),B3500),PlayerValues!E:E,0)),"N/A")</f>
        <v>14858</v>
      </c>
      <c r="B3500" s="4" t="s">
        <v>799</v>
      </c>
      <c r="C3500" s="4" t="s">
        <v>287</v>
      </c>
      <c r="D3500" s="94">
        <v>462.0</v>
      </c>
    </row>
    <row r="3501">
      <c r="A3501" s="40">
        <f t="array" ref="A3501">IFNA(index(PlayerValues!A:A,match(IFNA(vlookup(B3501,'Special Names'!A:B,2,FALSE),B3501),PlayerValues!E:E,0)),"N/A")</f>
        <v>16161</v>
      </c>
      <c r="B3501" s="4" t="s">
        <v>277</v>
      </c>
      <c r="C3501" s="4" t="s">
        <v>278</v>
      </c>
      <c r="D3501" s="94">
        <v>9999.0</v>
      </c>
    </row>
    <row r="3502">
      <c r="A3502" s="40">
        <f t="array" ref="A3502">IFNA(index(PlayerValues!A:A,match(IFNA(vlookup(B3502,'Special Names'!A:B,2,FALSE),B3502),PlayerValues!E:E,0)),"N/A")</f>
        <v>16162</v>
      </c>
      <c r="B3502" s="4" t="s">
        <v>281</v>
      </c>
      <c r="C3502" s="4" t="s">
        <v>278</v>
      </c>
      <c r="D3502" s="94">
        <v>9999.0</v>
      </c>
    </row>
    <row r="3503">
      <c r="A3503" s="40">
        <f t="array" ref="A3503">IFNA(index(PlayerValues!A:A,match(IFNA(vlookup(B3503,'Special Names'!A:B,2,FALSE),B3503),PlayerValues!E:E,0)),"N/A")</f>
        <v>13589</v>
      </c>
      <c r="B3503" s="4" t="s">
        <v>282</v>
      </c>
      <c r="C3503" s="4" t="s">
        <v>283</v>
      </c>
      <c r="D3503" s="94">
        <v>9994.0</v>
      </c>
    </row>
    <row r="3504">
      <c r="A3504" s="40">
        <f t="array" ref="A3504">IFNA(index(PlayerValues!A:A,match(IFNA(vlookup(B3504,'Special Names'!A:B,2,FALSE),B3504),PlayerValues!E:E,0)),"N/A")</f>
        <v>15281</v>
      </c>
      <c r="B3504" s="4" t="s">
        <v>286</v>
      </c>
      <c r="C3504" s="4" t="s">
        <v>287</v>
      </c>
      <c r="D3504" s="94">
        <v>9978.0</v>
      </c>
    </row>
    <row r="3505">
      <c r="A3505" s="40">
        <f t="array" ref="A3505">IFNA(index(PlayerValues!A:A,match(IFNA(vlookup(B3505,'Special Names'!A:B,2,FALSE),B3505),PlayerValues!E:E,0)),"N/A")</f>
        <v>16185</v>
      </c>
      <c r="B3505" s="4" t="s">
        <v>290</v>
      </c>
      <c r="C3505" s="4" t="s">
        <v>287</v>
      </c>
      <c r="D3505" s="94">
        <v>9196.0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8898.0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8581.0</v>
      </c>
    </row>
    <row r="3508">
      <c r="A3508" s="40">
        <f t="array" ref="A3508">IFNA(index(PlayerValues!A:A,match(IFNA(vlookup(B3508,'Special Names'!A:B,2,FALSE),B3508),PlayerValues!E:E,0)),"N/A")</f>
        <v>16641</v>
      </c>
      <c r="B3508" s="4" t="s">
        <v>297</v>
      </c>
      <c r="C3508" s="4" t="s">
        <v>298</v>
      </c>
      <c r="D3508" s="94">
        <v>9140.0</v>
      </c>
    </row>
    <row r="3509">
      <c r="A3509" s="40">
        <f t="array" ref="A3509">IFNA(index(PlayerValues!A:A,match(IFNA(vlookup(B3509,'Special Names'!A:B,2,FALSE),B3509),PlayerValues!E:E,0)),"N/A")</f>
        <v>15287</v>
      </c>
      <c r="B3509" s="4" t="s">
        <v>299</v>
      </c>
      <c r="C3509" s="4" t="s">
        <v>287</v>
      </c>
      <c r="D3509" s="94">
        <v>8189.0</v>
      </c>
    </row>
    <row r="3510">
      <c r="A3510" s="40">
        <f t="array" ref="A3510">IFNA(index(PlayerValues!A:A,match(IFNA(vlookup(B3510,'Special Names'!A:B,2,FALSE),B3510),PlayerValues!E:E,0)),"N/A")</f>
        <v>16579</v>
      </c>
      <c r="B3510" s="4" t="s">
        <v>302</v>
      </c>
      <c r="C3510" s="4" t="s">
        <v>283</v>
      </c>
      <c r="D3510" s="94">
        <v>7817.0</v>
      </c>
    </row>
    <row r="3511">
      <c r="A3511" s="40">
        <f t="array" ref="A3511">IFNA(index(PlayerValues!A:A,match(IFNA(vlookup(B3511,'Special Names'!A:B,2,FALSE),B3511),PlayerValues!E:E,0)),"N/A")</f>
        <v>13593</v>
      </c>
      <c r="B3511" s="4" t="s">
        <v>305</v>
      </c>
      <c r="C3511" s="4" t="s">
        <v>283</v>
      </c>
      <c r="D3511" s="94">
        <v>7542.0</v>
      </c>
    </row>
    <row r="3512">
      <c r="A3512" s="40">
        <f t="array" ref="A3512">IFNA(index(PlayerValues!A:A,match(IFNA(vlookup(B3512,'Special Names'!A:B,2,FALSE),B3512),PlayerValues!E:E,0)),"N/A")</f>
        <v>14836</v>
      </c>
      <c r="B3512" s="4" t="s">
        <v>306</v>
      </c>
      <c r="C3512" s="4" t="s">
        <v>287</v>
      </c>
      <c r="D3512" s="94">
        <v>7390.0</v>
      </c>
    </row>
    <row r="3513">
      <c r="A3513" s="40">
        <f t="array" ref="A3513">IFNA(index(PlayerValues!A:A,match(IFNA(vlookup(B3513,'Special Names'!A:B,2,FALSE),B3513),PlayerValues!E:E,0)),"N/A")</f>
        <v>16615</v>
      </c>
      <c r="B3513" s="4" t="s">
        <v>309</v>
      </c>
      <c r="C3513" s="4" t="s">
        <v>287</v>
      </c>
      <c r="D3513" s="94">
        <v>7362.0</v>
      </c>
    </row>
    <row r="3514">
      <c r="A3514" s="40">
        <f t="array" ref="A3514">IFNA(index(PlayerValues!A:A,match(IFNA(vlookup(B3514,'Special Names'!A:B,2,FALSE),B3514),PlayerValues!E:E,0)),"N/A")</f>
        <v>17472</v>
      </c>
      <c r="B3514" s="4" t="s">
        <v>310</v>
      </c>
      <c r="C3514" s="4" t="s">
        <v>278</v>
      </c>
      <c r="D3514" s="94">
        <v>7334.0</v>
      </c>
    </row>
    <row r="3515">
      <c r="A3515" s="40">
        <f t="array" ref="A3515">IFNA(index(PlayerValues!A:A,match(IFNA(vlookup(B3515,'Special Names'!A:B,2,FALSE),B3515),PlayerValues!E:E,0)),"N/A")</f>
        <v>15794</v>
      </c>
      <c r="B3515" s="4" t="s">
        <v>313</v>
      </c>
      <c r="C3515" s="4" t="s">
        <v>298</v>
      </c>
      <c r="D3515" s="94">
        <v>8091.0</v>
      </c>
    </row>
    <row r="3516">
      <c r="A3516" s="40">
        <f t="array" ref="A3516">IFNA(index(PlayerValues!A:A,match(IFNA(vlookup(B3516,'Special Names'!A:B,2,FALSE),B3516),PlayerValues!E:E,0)),"N/A")</f>
        <v>17042</v>
      </c>
      <c r="B3516" s="4" t="s">
        <v>314</v>
      </c>
      <c r="C3516" s="4" t="s">
        <v>278</v>
      </c>
      <c r="D3516" s="94">
        <v>7295.0</v>
      </c>
    </row>
    <row r="3517">
      <c r="A3517" s="40">
        <f t="array" ref="A3517">IFNA(index(PlayerValues!A:A,match(IFNA(vlookup(B3517,'Special Names'!A:B,2,FALSE),B3517),PlayerValues!E:E,0)),"N/A")</f>
        <v>16581</v>
      </c>
      <c r="B3517" s="4" t="s">
        <v>315</v>
      </c>
      <c r="C3517" s="4" t="s">
        <v>283</v>
      </c>
      <c r="D3517" s="94">
        <v>7267.0</v>
      </c>
    </row>
    <row r="3518">
      <c r="A3518" s="40">
        <f t="array" ref="A3518">IFNA(index(PlayerValues!A:A,match(IFNA(vlookup(B3518,'Special Names'!A:B,2,FALSE),B3518),PlayerValues!E:E,0)),"N/A")</f>
        <v>14777</v>
      </c>
      <c r="B3518" s="4" t="s">
        <v>318</v>
      </c>
      <c r="C3518" s="4" t="s">
        <v>283</v>
      </c>
      <c r="D3518" s="94">
        <v>7236.0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7194.0</v>
      </c>
    </row>
    <row r="3520">
      <c r="A3520" s="40">
        <f t="array" ref="A3520">IFNA(index(PlayerValues!A:A,match(IFNA(vlookup(B3520,'Special Names'!A:B,2,FALSE),B3520),PlayerValues!E:E,0)),"N/A")</f>
        <v>17044</v>
      </c>
      <c r="B3520" s="4" t="s">
        <v>322</v>
      </c>
      <c r="C3520" s="4" t="s">
        <v>278</v>
      </c>
      <c r="D3520" s="94">
        <v>6966.0</v>
      </c>
    </row>
    <row r="3521">
      <c r="A3521" s="40">
        <f t="array" ref="A3521">IFNA(index(PlayerValues!A:A,match(IFNA(vlookup(B3521,'Special Names'!A:B,2,FALSE),B3521),PlayerValues!E:E,0)),"N/A")</f>
        <v>16167</v>
      </c>
      <c r="B3521" s="4" t="s">
        <v>323</v>
      </c>
      <c r="C3521" s="4" t="s">
        <v>278</v>
      </c>
      <c r="D3521" s="94">
        <v>6948.0</v>
      </c>
    </row>
    <row r="3522">
      <c r="A3522" s="40" t="str">
        <f t="array" ref="A3522">IFNA(index(PlayerValues!A:A,match(IFNA(vlookup(B3522,'Special Names'!A:B,2,FALSE),B3522),PlayerValues!E:E,0)),"N/A")</f>
        <v>N/A</v>
      </c>
      <c r="B3522" s="4" t="s">
        <v>92</v>
      </c>
      <c r="C3522" s="4" t="s">
        <v>325</v>
      </c>
      <c r="D3522" s="94">
        <v>6938.0</v>
      </c>
    </row>
    <row r="3523">
      <c r="A3523" s="40">
        <f t="array" ref="A3523">IFNA(index(PlayerValues!A:A,match(IFNA(vlookup(B3523,'Special Names'!A:B,2,FALSE),B3523),PlayerValues!E:E,0)),"N/A")</f>
        <v>14779</v>
      </c>
      <c r="B3523" s="4" t="s">
        <v>327</v>
      </c>
      <c r="C3523" s="4" t="s">
        <v>283</v>
      </c>
      <c r="D3523" s="94">
        <v>6936.0</v>
      </c>
    </row>
    <row r="3524">
      <c r="A3524" s="40">
        <f t="array" ref="A3524">IFNA(index(PlayerValues!A:A,match(IFNA(vlookup(B3524,'Special Names'!A:B,2,FALSE),B3524),PlayerValues!E:E,0)),"N/A")</f>
        <v>15751</v>
      </c>
      <c r="B3524" s="4" t="s">
        <v>328</v>
      </c>
      <c r="C3524" s="4" t="s">
        <v>287</v>
      </c>
      <c r="D3524" s="94">
        <v>6795.0</v>
      </c>
    </row>
    <row r="3525">
      <c r="A3525" s="40">
        <f t="array" ref="A3525">IFNA(index(PlayerValues!A:A,match(IFNA(vlookup(B3525,'Special Names'!A:B,2,FALSE),B3525),PlayerValues!E:E,0)),"N/A")</f>
        <v>15715</v>
      </c>
      <c r="B3525" s="4" t="s">
        <v>331</v>
      </c>
      <c r="C3525" s="4" t="s">
        <v>278</v>
      </c>
      <c r="D3525" s="94">
        <v>6521.0</v>
      </c>
    </row>
    <row r="3526">
      <c r="A3526" s="40">
        <f t="array" ref="A3526">IFNA(index(PlayerValues!A:A,match(IFNA(vlookup(B3526,'Special Names'!A:B,2,FALSE),B3526),PlayerValues!E:E,0)),"N/A")</f>
        <v>14802</v>
      </c>
      <c r="B3526" s="4" t="s">
        <v>332</v>
      </c>
      <c r="C3526" s="4" t="s">
        <v>278</v>
      </c>
      <c r="D3526" s="94">
        <v>6377.0</v>
      </c>
    </row>
    <row r="3527">
      <c r="A3527" s="40">
        <f t="array" ref="A3527">IFNA(index(PlayerValues!A:A,match(IFNA(vlookup(B3527,'Special Names'!A:B,2,FALSE),B3527),PlayerValues!E:E,0)),"N/A")</f>
        <v>17104</v>
      </c>
      <c r="B3527" s="4" t="s">
        <v>333</v>
      </c>
      <c r="C3527" s="4" t="s">
        <v>298</v>
      </c>
      <c r="D3527" s="94">
        <v>7040.0</v>
      </c>
    </row>
    <row r="3528">
      <c r="A3528" s="40">
        <f t="array" ref="A3528">IFNA(index(PlayerValues!A:A,match(IFNA(vlookup(B3528,'Special Names'!A:B,2,FALSE),B3528),PlayerValues!E:E,0)),"N/A")</f>
        <v>15237</v>
      </c>
      <c r="B3528" s="4" t="s">
        <v>336</v>
      </c>
      <c r="C3528" s="4" t="s">
        <v>283</v>
      </c>
      <c r="D3528" s="94">
        <v>6319.0</v>
      </c>
    </row>
    <row r="3529">
      <c r="A3529" s="40">
        <f t="array" ref="A3529">IFNA(index(PlayerValues!A:A,match(IFNA(vlookup(B3529,'Special Names'!A:B,2,FALSE),B3529),PlayerValues!E:E,0)),"N/A")</f>
        <v>15762</v>
      </c>
      <c r="B3529" s="4" t="s">
        <v>337</v>
      </c>
      <c r="C3529" s="4" t="s">
        <v>287</v>
      </c>
      <c r="D3529" s="94">
        <v>6253.0</v>
      </c>
    </row>
    <row r="3530">
      <c r="A3530" s="40">
        <f t="array" ref="A3530">IFNA(index(PlayerValues!A:A,match(IFNA(vlookup(B3530,'Special Names'!A:B,2,FALSE),B3530),PlayerValues!E:E,0)),"N/A")</f>
        <v>17081</v>
      </c>
      <c r="B3530" s="4" t="s">
        <v>340</v>
      </c>
      <c r="C3530" s="4" t="s">
        <v>287</v>
      </c>
      <c r="D3530" s="94">
        <v>6191.0</v>
      </c>
    </row>
    <row r="3531">
      <c r="A3531" s="40">
        <f t="array" ref="A3531">IFNA(index(PlayerValues!A:A,match(IFNA(vlookup(B3531,'Special Names'!A:B,2,FALSE),B3531),PlayerValues!E:E,0)),"N/A")</f>
        <v>17071</v>
      </c>
      <c r="B3531" s="4" t="s">
        <v>341</v>
      </c>
      <c r="C3531" s="4" t="s">
        <v>287</v>
      </c>
      <c r="D3531" s="94">
        <v>6187.0</v>
      </c>
    </row>
    <row r="3532">
      <c r="A3532" s="40">
        <f t="array" ref="A3532">IFNA(index(PlayerValues!A:A,match(IFNA(vlookup(B3532,'Special Names'!A:B,2,FALSE),B3532),PlayerValues!E:E,0)),"N/A")</f>
        <v>14783</v>
      </c>
      <c r="B3532" s="4" t="s">
        <v>342</v>
      </c>
      <c r="C3532" s="4" t="s">
        <v>283</v>
      </c>
      <c r="D3532" s="94">
        <v>6041.0</v>
      </c>
    </row>
    <row r="3533">
      <c r="A3533" s="40">
        <f t="array" ref="A3533">IFNA(index(PlayerValues!A:A,match(IFNA(vlookup(B3533,'Special Names'!A:B,2,FALSE),B3533),PlayerValues!E:E,0)),"N/A")</f>
        <v>16582</v>
      </c>
      <c r="B3533" s="4" t="s">
        <v>343</v>
      </c>
      <c r="C3533" s="4" t="s">
        <v>283</v>
      </c>
      <c r="D3533" s="94">
        <v>6025.0</v>
      </c>
    </row>
    <row r="3534">
      <c r="A3534" s="40">
        <f t="array" ref="A3534">IFNA(index(PlayerValues!A:A,match(IFNA(vlookup(B3534,'Special Names'!A:B,2,FALSE),B3534),PlayerValues!E:E,0)),"N/A")</f>
        <v>17102</v>
      </c>
      <c r="B3534" s="4" t="s">
        <v>344</v>
      </c>
      <c r="C3534" s="4" t="s">
        <v>298</v>
      </c>
      <c r="D3534" s="94">
        <v>6638.0</v>
      </c>
    </row>
    <row r="3535">
      <c r="A3535" s="40">
        <f t="array" ref="A3535">IFNA(index(PlayerValues!A:A,match(IFNA(vlookup(B3535,'Special Names'!A:B,2,FALSE),B3535),PlayerValues!E:E,0)),"N/A")</f>
        <v>13116</v>
      </c>
      <c r="B3535" s="4" t="s">
        <v>345</v>
      </c>
      <c r="C3535" s="4" t="s">
        <v>283</v>
      </c>
      <c r="D3535" s="94">
        <v>5960.0</v>
      </c>
    </row>
    <row r="3536">
      <c r="A3536" s="40">
        <f t="array" ref="A3536">IFNA(index(PlayerValues!A:A,match(IFNA(vlookup(B3536,'Special Names'!A:B,2,FALSE),B3536),PlayerValues!E:E,0)),"N/A")</f>
        <v>17032</v>
      </c>
      <c r="B3536" s="4" t="s">
        <v>348</v>
      </c>
      <c r="C3536" s="4" t="s">
        <v>283</v>
      </c>
      <c r="D3536" s="94">
        <v>5886.0</v>
      </c>
    </row>
    <row r="3537">
      <c r="A3537" s="40">
        <f t="array" ref="A3537">IFNA(index(PlayerValues!A:A,match(IFNA(vlookup(B3537,'Special Names'!A:B,2,FALSE),B3537),PlayerValues!E:E,0)),"N/A")</f>
        <v>15711</v>
      </c>
      <c r="B3537" s="4" t="s">
        <v>349</v>
      </c>
      <c r="C3537" s="4" t="s">
        <v>278</v>
      </c>
      <c r="D3537" s="94">
        <v>5750.0</v>
      </c>
    </row>
    <row r="3538">
      <c r="A3538" s="40">
        <f t="array" ref="A3538">IFNA(index(PlayerValues!A:A,match(IFNA(vlookup(B3538,'Special Names'!A:B,2,FALSE),B3538),PlayerValues!E:E,0)),"N/A")</f>
        <v>16181</v>
      </c>
      <c r="B3538" s="4" t="s">
        <v>350</v>
      </c>
      <c r="C3538" s="4" t="s">
        <v>278</v>
      </c>
      <c r="D3538" s="94">
        <v>5745.0</v>
      </c>
    </row>
    <row r="3539">
      <c r="A3539" s="40">
        <f t="array" ref="A3539">IFNA(index(PlayerValues!A:A,match(IFNA(vlookup(B3539,'Special Names'!A:B,2,FALSE),B3539),PlayerValues!E:E,0)),"N/A")</f>
        <v>16627</v>
      </c>
      <c r="B3539" s="4" t="s">
        <v>351</v>
      </c>
      <c r="C3539" s="4" t="s">
        <v>287</v>
      </c>
      <c r="D3539" s="94">
        <v>5742.0</v>
      </c>
    </row>
    <row r="3540">
      <c r="A3540" s="40">
        <f t="array" ref="A3540">IFNA(index(PlayerValues!A:A,match(IFNA(vlookup(B3540,'Special Names'!A:B,2,FALSE),B3540),PlayerValues!E:E,0)),"N/A")</f>
        <v>15754</v>
      </c>
      <c r="B3540" s="4" t="s">
        <v>354</v>
      </c>
      <c r="C3540" s="4" t="s">
        <v>287</v>
      </c>
      <c r="D3540" s="94">
        <v>5739.0</v>
      </c>
    </row>
    <row r="3541">
      <c r="A3541" s="40">
        <f t="array" ref="A3541">IFNA(index(PlayerValues!A:A,match(IFNA(vlookup(B3541,'Special Names'!A:B,2,FALSE),B3541),PlayerValues!E:E,0)),"N/A")</f>
        <v>15290</v>
      </c>
      <c r="B3541" s="4" t="s">
        <v>355</v>
      </c>
      <c r="C3541" s="4" t="s">
        <v>287</v>
      </c>
      <c r="D3541" s="94">
        <v>5732.0</v>
      </c>
    </row>
    <row r="3542">
      <c r="A3542" s="40">
        <f t="array" ref="A3542">IFNA(index(PlayerValues!A:A,match(IFNA(vlookup(B3542,'Special Names'!A:B,2,FALSE),B3542),PlayerValues!E:E,0)),"N/A")</f>
        <v>15698</v>
      </c>
      <c r="B3542" s="4" t="s">
        <v>358</v>
      </c>
      <c r="C3542" s="4" t="s">
        <v>283</v>
      </c>
      <c r="D3542" s="94">
        <v>5659.0</v>
      </c>
    </row>
    <row r="3543">
      <c r="A3543" s="40">
        <f t="array" ref="A3543">IFNA(index(PlayerValues!A:A,match(IFNA(vlookup(B3543,'Special Names'!A:B,2,FALSE),B3543),PlayerValues!E:E,0)),"N/A")</f>
        <v>15753</v>
      </c>
      <c r="B3543" s="4" t="s">
        <v>359</v>
      </c>
      <c r="C3543" s="4" t="s">
        <v>287</v>
      </c>
      <c r="D3543" s="94">
        <v>5652.0</v>
      </c>
    </row>
    <row r="3544">
      <c r="A3544" s="40" t="str">
        <f t="array" ref="A3544">IFNA(index(PlayerValues!A:A,match(IFNA(vlookup(B3544,'Special Names'!A:B,2,FALSE),B3544),PlayerValues!E:E,0)),"N/A")</f>
        <v>N/A</v>
      </c>
      <c r="B3544" s="4" t="s">
        <v>93</v>
      </c>
      <c r="C3544" s="4" t="s">
        <v>325</v>
      </c>
      <c r="D3544" s="94">
        <v>5600.0</v>
      </c>
    </row>
    <row r="3545">
      <c r="A3545" s="40">
        <f t="array" ref="A3545">IFNA(index(PlayerValues!A:A,match(IFNA(vlookup(B3545,'Special Names'!A:B,2,FALSE),B3545),PlayerValues!E:E,0)),"N/A")</f>
        <v>15282</v>
      </c>
      <c r="B3545" s="4" t="s">
        <v>364</v>
      </c>
      <c r="C3545" s="4" t="s">
        <v>287</v>
      </c>
      <c r="D3545" s="94">
        <v>5569.0</v>
      </c>
    </row>
    <row r="3546">
      <c r="A3546" s="40">
        <f t="array" ref="A3546">IFNA(index(PlayerValues!A:A,match(IFNA(vlookup(B3546,'Special Names'!A:B,2,FALSE),B3546),PlayerValues!E:E,0)),"N/A")</f>
        <v>17497</v>
      </c>
      <c r="B3546" s="4" t="s">
        <v>365</v>
      </c>
      <c r="C3546" s="4" t="s">
        <v>287</v>
      </c>
      <c r="D3546" s="94">
        <v>5568.0</v>
      </c>
    </row>
    <row r="3547">
      <c r="A3547" s="40" t="str">
        <f t="array" ref="A3547">IFNA(index(PlayerValues!A:A,match(IFNA(vlookup(B3547,'Special Names'!A:B,2,FALSE),B3547),PlayerValues!E:E,0)),"N/A")</f>
        <v>N/A</v>
      </c>
      <c r="B3547" s="4" t="s">
        <v>79</v>
      </c>
      <c r="C3547" s="4" t="s">
        <v>325</v>
      </c>
      <c r="D3547" s="94">
        <v>5527.0</v>
      </c>
    </row>
    <row r="3548">
      <c r="A3548" s="40">
        <f t="array" ref="A3548">IFNA(index(PlayerValues!A:A,match(IFNA(vlookup(B3548,'Special Names'!A:B,2,FALSE),B3548),PlayerValues!E:E,0)),"N/A")</f>
        <v>17070</v>
      </c>
      <c r="B3548" s="4" t="s">
        <v>370</v>
      </c>
      <c r="C3548" s="4" t="s">
        <v>287</v>
      </c>
      <c r="D3548" s="94">
        <v>5497.0</v>
      </c>
    </row>
    <row r="3549">
      <c r="A3549" s="40">
        <f t="array" ref="A3549">IFNA(index(PlayerValues!A:A,match(IFNA(vlookup(B3549,'Special Names'!A:B,2,FALSE),B3549),PlayerValues!E:E,0)),"N/A")</f>
        <v>16190</v>
      </c>
      <c r="B3549" s="4" t="s">
        <v>371</v>
      </c>
      <c r="C3549" s="4" t="s">
        <v>287</v>
      </c>
      <c r="D3549" s="94">
        <v>5339.0</v>
      </c>
    </row>
    <row r="3550">
      <c r="A3550" s="40">
        <f t="array" ref="A3550">IFNA(index(PlayerValues!A:A,match(IFNA(vlookup(B3550,'Special Names'!A:B,2,FALSE),B3550),PlayerValues!E:E,0)),"N/A")</f>
        <v>13130</v>
      </c>
      <c r="B3550" s="4" t="s">
        <v>374</v>
      </c>
      <c r="C3550" s="4" t="s">
        <v>278</v>
      </c>
      <c r="D3550" s="94">
        <v>5305.0</v>
      </c>
    </row>
    <row r="3551">
      <c r="A3551" s="40">
        <f t="array" ref="A3551">IFNA(index(PlayerValues!A:A,match(IFNA(vlookup(B3551,'Special Names'!A:B,2,FALSE),B3551),PlayerValues!E:E,0)),"N/A")</f>
        <v>17462</v>
      </c>
      <c r="B3551" s="4" t="s">
        <v>375</v>
      </c>
      <c r="C3551" s="4" t="s">
        <v>283</v>
      </c>
      <c r="D3551" s="94">
        <v>5303.0</v>
      </c>
    </row>
    <row r="3552">
      <c r="A3552" s="40">
        <f t="array" ref="A3552">IFNA(index(PlayerValues!A:A,match(IFNA(vlookup(B3552,'Special Names'!A:B,2,FALSE),B3552),PlayerValues!E:E,0)),"N/A")</f>
        <v>13604</v>
      </c>
      <c r="B3552" s="4" t="s">
        <v>378</v>
      </c>
      <c r="C3552" s="4" t="s">
        <v>278</v>
      </c>
      <c r="D3552" s="94">
        <v>5288.0</v>
      </c>
    </row>
    <row r="3553">
      <c r="A3553" s="40">
        <f t="array" ref="A3553">IFNA(index(PlayerValues!A:A,match(IFNA(vlookup(B3553,'Special Names'!A:B,2,FALSE),B3553),PlayerValues!E:E,0)),"N/A")</f>
        <v>14104</v>
      </c>
      <c r="B3553" s="4" t="s">
        <v>379</v>
      </c>
      <c r="C3553" s="4" t="s">
        <v>287</v>
      </c>
      <c r="D3553" s="94">
        <v>5287.0</v>
      </c>
    </row>
    <row r="3554">
      <c r="A3554" s="40">
        <f t="array" ref="A3554">IFNA(index(PlayerValues!A:A,match(IFNA(vlookup(B3554,'Special Names'!A:B,2,FALSE),B3554),PlayerValues!E:E,0)),"N/A")</f>
        <v>15708</v>
      </c>
      <c r="B3554" s="4" t="s">
        <v>382</v>
      </c>
      <c r="C3554" s="4" t="s">
        <v>278</v>
      </c>
      <c r="D3554" s="94">
        <v>5287.0</v>
      </c>
    </row>
    <row r="3555">
      <c r="A3555" s="40">
        <f t="array" ref="A3555">IFNA(index(PlayerValues!A:A,match(IFNA(vlookup(B3555,'Special Names'!A:B,2,FALSE),B3555),PlayerValues!E:E,0)),"N/A")</f>
        <v>14782</v>
      </c>
      <c r="B3555" s="4" t="s">
        <v>385</v>
      </c>
      <c r="C3555" s="4" t="s">
        <v>283</v>
      </c>
      <c r="D3555" s="94">
        <v>5284.0</v>
      </c>
    </row>
    <row r="3556">
      <c r="A3556" s="40" t="str">
        <f t="array" ref="A3556">IFNA(index(PlayerValues!A:A,match(IFNA(vlookup(B3556,'Special Names'!A:B,2,FALSE),B3556),PlayerValues!E:E,0)),"N/A")</f>
        <v>N/A</v>
      </c>
      <c r="B3556" s="4" t="s">
        <v>104</v>
      </c>
      <c r="C3556" s="4" t="s">
        <v>325</v>
      </c>
      <c r="D3556" s="94">
        <v>5247.0</v>
      </c>
    </row>
    <row r="3557">
      <c r="A3557" s="40">
        <f t="array" ref="A3557">IFNA(index(PlayerValues!A:A,match(IFNA(vlookup(B3557,'Special Names'!A:B,2,FALSE),B3557),PlayerValues!E:E,0)),"N/A")</f>
        <v>17051</v>
      </c>
      <c r="B3557" s="4" t="s">
        <v>386</v>
      </c>
      <c r="C3557" s="4" t="s">
        <v>278</v>
      </c>
      <c r="D3557" s="94">
        <v>5241.0</v>
      </c>
    </row>
    <row r="3558">
      <c r="A3558" s="40">
        <f t="array" ref="A3558">IFNA(index(PlayerValues!A:A,match(IFNA(vlookup(B3558,'Special Names'!A:B,2,FALSE),B3558),PlayerValues!E:E,0)),"N/A")</f>
        <v>16616</v>
      </c>
      <c r="B3558" s="4" t="s">
        <v>389</v>
      </c>
      <c r="C3558" s="4" t="s">
        <v>287</v>
      </c>
      <c r="D3558" s="94">
        <v>5222.0</v>
      </c>
    </row>
    <row r="3559">
      <c r="A3559" s="40">
        <f t="array" ref="A3559">IFNA(index(PlayerValues!A:A,match(IFNA(vlookup(B3559,'Special Names'!A:B,2,FALSE),B3559),PlayerValues!E:E,0)),"N/A")</f>
        <v>15284</v>
      </c>
      <c r="B3559" s="4" t="s">
        <v>390</v>
      </c>
      <c r="C3559" s="4" t="s">
        <v>287</v>
      </c>
      <c r="D3559" s="94">
        <v>5191.0</v>
      </c>
    </row>
    <row r="3560">
      <c r="A3560" s="40">
        <f t="array" ref="A3560">IFNA(index(PlayerValues!A:A,match(IFNA(vlookup(B3560,'Special Names'!A:B,2,FALSE),B3560),PlayerValues!E:E,0)),"N/A")</f>
        <v>17473</v>
      </c>
      <c r="B3560" s="4" t="s">
        <v>391</v>
      </c>
      <c r="C3560" s="4" t="s">
        <v>278</v>
      </c>
      <c r="D3560" s="94">
        <v>5116.0</v>
      </c>
    </row>
    <row r="3561">
      <c r="A3561" s="40">
        <f t="array" ref="A3561">IFNA(index(PlayerValues!A:A,match(IFNA(vlookup(B3561,'Special Names'!A:B,2,FALSE),B3561),PlayerValues!E:E,0)),"N/A")</f>
        <v>14835</v>
      </c>
      <c r="B3561" s="4" t="s">
        <v>392</v>
      </c>
      <c r="C3561" s="4" t="s">
        <v>287</v>
      </c>
      <c r="D3561" s="94">
        <v>5095.0</v>
      </c>
    </row>
    <row r="3562">
      <c r="A3562" s="40">
        <f t="array" ref="A3562">IFNA(index(PlayerValues!A:A,match(IFNA(vlookup(B3562,'Special Names'!A:B,2,FALSE),B3562),PlayerValues!E:E,0)),"N/A")</f>
        <v>16222</v>
      </c>
      <c r="B3562" s="4" t="s">
        <v>393</v>
      </c>
      <c r="C3562" s="4" t="s">
        <v>298</v>
      </c>
      <c r="D3562" s="94">
        <v>5638.0</v>
      </c>
    </row>
    <row r="3563">
      <c r="A3563" s="40">
        <f t="array" ref="A3563">IFNA(index(PlayerValues!A:A,match(IFNA(vlookup(B3563,'Special Names'!A:B,2,FALSE),B3563),PlayerValues!E:E,0)),"N/A")</f>
        <v>12620</v>
      </c>
      <c r="B3563" s="4" t="s">
        <v>394</v>
      </c>
      <c r="C3563" s="4" t="s">
        <v>283</v>
      </c>
      <c r="D3563" s="94">
        <v>5050.0</v>
      </c>
    </row>
    <row r="3564">
      <c r="A3564" s="40">
        <f t="array" ref="A3564">IFNA(index(PlayerValues!A:A,match(IFNA(vlookup(B3564,'Special Names'!A:B,2,FALSE),B3564),PlayerValues!E:E,0)),"N/A")</f>
        <v>15710</v>
      </c>
      <c r="B3564" s="4" t="s">
        <v>395</v>
      </c>
      <c r="C3564" s="4" t="s">
        <v>278</v>
      </c>
      <c r="D3564" s="94">
        <v>4953.0</v>
      </c>
    </row>
    <row r="3565">
      <c r="A3565" s="40">
        <f t="array" ref="A3565">IFNA(index(PlayerValues!A:A,match(IFNA(vlookup(B3565,'Special Names'!A:B,2,FALSE),B3565),PlayerValues!E:E,0)),"N/A")</f>
        <v>17498</v>
      </c>
      <c r="B3565" s="4" t="s">
        <v>396</v>
      </c>
      <c r="C3565" s="4" t="s">
        <v>287</v>
      </c>
      <c r="D3565" s="94">
        <v>4948.0</v>
      </c>
    </row>
    <row r="3566">
      <c r="A3566" s="40" t="str">
        <f t="array" ref="A3566">IFNA(index(PlayerValues!A:A,match(IFNA(vlookup(B3566,'Special Names'!A:B,2,FALSE),B3566),PlayerValues!E:E,0)),"N/A")</f>
        <v>N/A</v>
      </c>
      <c r="B3566" s="4" t="s">
        <v>94</v>
      </c>
      <c r="C3566" s="4" t="s">
        <v>325</v>
      </c>
      <c r="D3566" s="94">
        <v>4941.0</v>
      </c>
    </row>
    <row r="3567">
      <c r="A3567" s="40">
        <f t="array" ref="A3567">IFNA(index(PlayerValues!A:A,match(IFNA(vlookup(B3567,'Special Names'!A:B,2,FALSE),B3567),PlayerValues!E:E,0)),"N/A")</f>
        <v>17043</v>
      </c>
      <c r="B3567" s="4" t="s">
        <v>397</v>
      </c>
      <c r="C3567" s="4" t="s">
        <v>278</v>
      </c>
      <c r="D3567" s="94">
        <v>4930.0</v>
      </c>
    </row>
    <row r="3568">
      <c r="A3568" s="40">
        <f t="array" ref="A3568">IFNA(index(PlayerValues!A:A,match(IFNA(vlookup(B3568,'Special Names'!A:B,2,FALSE),B3568),PlayerValues!E:E,0)),"N/A")</f>
        <v>16194</v>
      </c>
      <c r="B3568" s="4" t="s">
        <v>398</v>
      </c>
      <c r="C3568" s="4" t="s">
        <v>287</v>
      </c>
      <c r="D3568" s="94">
        <v>4834.0</v>
      </c>
    </row>
    <row r="3569">
      <c r="A3569" s="40">
        <f t="array" ref="A3569">IFNA(index(PlayerValues!A:A,match(IFNA(vlookup(B3569,'Special Names'!A:B,2,FALSE),B3569),PlayerValues!E:E,0)),"N/A")</f>
        <v>15756</v>
      </c>
      <c r="B3569" s="4" t="s">
        <v>399</v>
      </c>
      <c r="C3569" s="4" t="s">
        <v>287</v>
      </c>
      <c r="D3569" s="94">
        <v>4829.0</v>
      </c>
    </row>
    <row r="3570">
      <c r="A3570" s="40">
        <f t="array" ref="A3570">IFNA(index(PlayerValues!A:A,match(IFNA(vlookup(B3570,'Special Names'!A:B,2,FALSE),B3570),PlayerValues!E:E,0)),"N/A")</f>
        <v>17039</v>
      </c>
      <c r="B3570" s="4" t="s">
        <v>400</v>
      </c>
      <c r="C3570" s="4" t="s">
        <v>283</v>
      </c>
      <c r="D3570" s="94">
        <v>4800.0</v>
      </c>
    </row>
    <row r="3571">
      <c r="A3571" s="40">
        <f t="array" ref="A3571">IFNA(index(PlayerValues!A:A,match(IFNA(vlookup(B3571,'Special Names'!A:B,2,FALSE),B3571),PlayerValues!E:E,0)),"N/A")</f>
        <v>15256</v>
      </c>
      <c r="B3571" s="4" t="s">
        <v>401</v>
      </c>
      <c r="C3571" s="4" t="s">
        <v>278</v>
      </c>
      <c r="D3571" s="94">
        <v>4792.0</v>
      </c>
    </row>
    <row r="3572">
      <c r="A3572" s="40">
        <f t="array" ref="A3572">IFNA(index(PlayerValues!A:A,match(IFNA(vlookup(B3572,'Special Names'!A:B,2,FALSE),B3572),PlayerValues!E:E,0)),"N/A")</f>
        <v>17499</v>
      </c>
      <c r="B3572" s="4" t="s">
        <v>402</v>
      </c>
      <c r="C3572" s="4" t="s">
        <v>287</v>
      </c>
      <c r="D3572" s="94">
        <v>4768.0</v>
      </c>
    </row>
    <row r="3573">
      <c r="A3573" s="40">
        <f t="array" ref="A3573">IFNA(index(PlayerValues!A:A,match(IFNA(vlookup(B3573,'Special Names'!A:B,2,FALSE),B3573),PlayerValues!E:E,0)),"N/A")</f>
        <v>16614</v>
      </c>
      <c r="B3573" s="4" t="s">
        <v>403</v>
      </c>
      <c r="C3573" s="4" t="s">
        <v>287</v>
      </c>
      <c r="D3573" s="94">
        <v>4744.0</v>
      </c>
    </row>
    <row r="3574">
      <c r="A3574" s="40" t="str">
        <f t="array" ref="A3574">IFNA(index(PlayerValues!A:A,match(IFNA(vlookup(B3574,'Special Names'!A:B,2,FALSE),B3574),PlayerValues!E:E,0)),"N/A")</f>
        <v>N/A</v>
      </c>
      <c r="B3574" s="4" t="s">
        <v>80</v>
      </c>
      <c r="C3574" s="4" t="s">
        <v>325</v>
      </c>
      <c r="D3574" s="94">
        <v>4733.0</v>
      </c>
    </row>
    <row r="3575">
      <c r="A3575" s="40">
        <f t="array" ref="A3575">IFNA(index(PlayerValues!A:A,match(IFNA(vlookup(B3575,'Special Names'!A:B,2,FALSE),B3575),PlayerValues!E:E,0)),"N/A")</f>
        <v>17501</v>
      </c>
      <c r="B3575" s="4" t="s">
        <v>404</v>
      </c>
      <c r="C3575" s="4" t="s">
        <v>287</v>
      </c>
      <c r="D3575" s="94">
        <v>4717.0</v>
      </c>
    </row>
    <row r="3576">
      <c r="A3576" s="40">
        <f t="array" ref="A3576">IFNA(index(PlayerValues!A:A,match(IFNA(vlookup(B3576,'Special Names'!A:B,2,FALSE),B3576),PlayerValues!E:E,0)),"N/A")</f>
        <v>17103</v>
      </c>
      <c r="B3576" s="4" t="s">
        <v>405</v>
      </c>
      <c r="C3576" s="4" t="s">
        <v>298</v>
      </c>
      <c r="D3576" s="94">
        <v>5259.0</v>
      </c>
    </row>
    <row r="3577">
      <c r="A3577" s="40">
        <f t="array" ref="A3577">IFNA(index(PlayerValues!A:A,match(IFNA(vlookup(B3577,'Special Names'!A:B,2,FALSE),B3577),PlayerValues!E:E,0)),"N/A")</f>
        <v>17030</v>
      </c>
      <c r="B3577" s="4" t="s">
        <v>406</v>
      </c>
      <c r="C3577" s="4" t="s">
        <v>283</v>
      </c>
      <c r="D3577" s="94">
        <v>4696.0</v>
      </c>
    </row>
    <row r="3578">
      <c r="A3578" s="40">
        <f t="array" ref="A3578">IFNA(index(PlayerValues!A:A,match(IFNA(vlookup(B3578,'Special Names'!A:B,2,FALSE),B3578),PlayerValues!E:E,0)),"N/A")</f>
        <v>17045</v>
      </c>
      <c r="B3578" s="4" t="s">
        <v>407</v>
      </c>
      <c r="C3578" s="4" t="s">
        <v>278</v>
      </c>
      <c r="D3578" s="94">
        <v>4653.0</v>
      </c>
    </row>
    <row r="3579">
      <c r="A3579" s="40">
        <f t="array" ref="A3579">IFNA(index(PlayerValues!A:A,match(IFNA(vlookup(B3579,'Special Names'!A:B,2,FALSE),B3579),PlayerValues!E:E,0)),"N/A")</f>
        <v>16598</v>
      </c>
      <c r="B3579" s="4" t="s">
        <v>408</v>
      </c>
      <c r="C3579" s="4" t="s">
        <v>278</v>
      </c>
      <c r="D3579" s="94">
        <v>4611.0</v>
      </c>
    </row>
    <row r="3580">
      <c r="A3580" s="40">
        <f t="array" ref="A3580">IFNA(index(PlayerValues!A:A,match(IFNA(vlookup(B3580,'Special Names'!A:B,2,FALSE),B3580),PlayerValues!E:E,0)),"N/A")</f>
        <v>13590</v>
      </c>
      <c r="B3580" s="4" t="s">
        <v>409</v>
      </c>
      <c r="C3580" s="4" t="s">
        <v>283</v>
      </c>
      <c r="D3580" s="94">
        <v>4588.0</v>
      </c>
    </row>
    <row r="3581">
      <c r="A3581" s="40" t="str">
        <f t="array" ref="A3581">IFNA(index(PlayerValues!A:A,match(IFNA(vlookup(B3581,'Special Names'!A:B,2,FALSE),B3581),PlayerValues!E:E,0)),"N/A")</f>
        <v>N/A</v>
      </c>
      <c r="B3581" s="4" t="s">
        <v>105</v>
      </c>
      <c r="C3581" s="4" t="s">
        <v>325</v>
      </c>
      <c r="D3581" s="94">
        <v>4587.0</v>
      </c>
    </row>
    <row r="3582">
      <c r="A3582" s="40">
        <f t="array" ref="A3582">IFNA(index(PlayerValues!A:A,match(IFNA(vlookup(B3582,'Special Names'!A:B,2,FALSE),B3582),PlayerValues!E:E,0)),"N/A")</f>
        <v>12611</v>
      </c>
      <c r="B3582" s="4" t="s">
        <v>410</v>
      </c>
      <c r="C3582" s="4" t="s">
        <v>283</v>
      </c>
      <c r="D3582" s="94">
        <v>4567.0</v>
      </c>
    </row>
    <row r="3583">
      <c r="A3583" s="40">
        <f t="array" ref="A3583">IFNA(index(PlayerValues!A:A,match(IFNA(vlookup(B3583,'Special Names'!A:B,2,FALSE),B3583),PlayerValues!E:E,0)),"N/A")</f>
        <v>16618</v>
      </c>
      <c r="B3583" s="4" t="s">
        <v>411</v>
      </c>
      <c r="C3583" s="4" t="s">
        <v>287</v>
      </c>
      <c r="D3583" s="94">
        <v>4563.0</v>
      </c>
    </row>
    <row r="3584">
      <c r="A3584" s="40">
        <f t="array" ref="A3584">IFNA(index(PlayerValues!A:A,match(IFNA(vlookup(B3584,'Special Names'!A:B,2,FALSE),B3584),PlayerValues!E:E,0)),"N/A")</f>
        <v>16192</v>
      </c>
      <c r="B3584" s="4" t="s">
        <v>412</v>
      </c>
      <c r="C3584" s="4" t="s">
        <v>287</v>
      </c>
      <c r="D3584" s="94">
        <v>4555.0</v>
      </c>
    </row>
    <row r="3585">
      <c r="A3585" s="40">
        <f t="array" ref="A3585">IFNA(index(PlayerValues!A:A,match(IFNA(vlookup(B3585,'Special Names'!A:B,2,FALSE),B3585),PlayerValues!E:E,0)),"N/A")</f>
        <v>16214</v>
      </c>
      <c r="B3585" s="4" t="s">
        <v>413</v>
      </c>
      <c r="C3585" s="4" t="s">
        <v>298</v>
      </c>
      <c r="D3585" s="94">
        <v>5080.0</v>
      </c>
    </row>
    <row r="3586">
      <c r="A3586" s="40">
        <f t="array" ref="A3586">IFNA(index(PlayerValues!A:A,match(IFNA(vlookup(B3586,'Special Names'!A:B,2,FALSE),B3586),PlayerValues!E:E,0)),"N/A")</f>
        <v>16150</v>
      </c>
      <c r="B3586" s="4" t="s">
        <v>414</v>
      </c>
      <c r="C3586" s="4" t="s">
        <v>283</v>
      </c>
      <c r="D3586" s="94">
        <v>4462.0</v>
      </c>
    </row>
    <row r="3587">
      <c r="A3587" s="40">
        <f t="array" ref="A3587">IFNA(index(PlayerValues!A:A,match(IFNA(vlookup(B3587,'Special Names'!A:B,2,FALSE),B3587),PlayerValues!E:E,0)),"N/A")</f>
        <v>15253</v>
      </c>
      <c r="B3587" s="4" t="s">
        <v>415</v>
      </c>
      <c r="C3587" s="4" t="s">
        <v>278</v>
      </c>
      <c r="D3587" s="94">
        <v>4449.0</v>
      </c>
    </row>
    <row r="3588">
      <c r="A3588" s="40">
        <f t="array" ref="A3588">IFNA(index(PlayerValues!A:A,match(IFNA(vlookup(B3588,'Special Names'!A:B,2,FALSE),B3588),PlayerValues!E:E,0)),"N/A")</f>
        <v>15329</v>
      </c>
      <c r="B3588" s="4" t="s">
        <v>416</v>
      </c>
      <c r="C3588" s="4" t="s">
        <v>298</v>
      </c>
      <c r="D3588" s="94">
        <v>4876.0</v>
      </c>
    </row>
    <row r="3589">
      <c r="A3589" s="40">
        <f t="array" ref="A3589">IFNA(index(PlayerValues!A:A,match(IFNA(vlookup(B3589,'Special Names'!A:B,2,FALSE),B3589),PlayerValues!E:E,0)),"N/A")</f>
        <v>17052</v>
      </c>
      <c r="B3589" s="4" t="s">
        <v>417</v>
      </c>
      <c r="C3589" s="4" t="s">
        <v>278</v>
      </c>
      <c r="D3589" s="94">
        <v>4296.0</v>
      </c>
    </row>
    <row r="3590">
      <c r="A3590" s="40">
        <f t="array" ref="A3590">IFNA(index(PlayerValues!A:A,match(IFNA(vlookup(B3590,'Special Names'!A:B,2,FALSE),B3590),PlayerValues!E:E,0)),"N/A")</f>
        <v>13592</v>
      </c>
      <c r="B3590" s="4" t="s">
        <v>418</v>
      </c>
      <c r="C3590" s="4" t="s">
        <v>283</v>
      </c>
      <c r="D3590" s="94">
        <v>4259.0</v>
      </c>
    </row>
    <row r="3591">
      <c r="A3591" s="40">
        <f t="array" ref="A3591">IFNA(index(PlayerValues!A:A,match(IFNA(vlookup(B3591,'Special Names'!A:B,2,FALSE),B3591),PlayerValues!E:E,0)),"N/A")</f>
        <v>12626</v>
      </c>
      <c r="B3591" s="4" t="s">
        <v>419</v>
      </c>
      <c r="C3591" s="4" t="s">
        <v>278</v>
      </c>
      <c r="D3591" s="94">
        <v>4232.0</v>
      </c>
    </row>
    <row r="3592">
      <c r="A3592" s="40" t="str">
        <f t="array" ref="A3592">IFNA(index(PlayerValues!A:A,match(IFNA(vlookup(B3592,'Special Names'!A:B,2,FALSE),B3592),PlayerValues!E:E,0)),"N/A")</f>
        <v>N/A</v>
      </c>
      <c r="B3592" s="4" t="s">
        <v>107</v>
      </c>
      <c r="C3592" s="4" t="s">
        <v>325</v>
      </c>
      <c r="D3592" s="94">
        <v>4175.0</v>
      </c>
    </row>
    <row r="3593">
      <c r="A3593" s="40" t="str">
        <f t="array" ref="A3593">IFNA(index(PlayerValues!A:A,match(IFNA(vlookup(B3593,'Special Names'!A:B,2,FALSE),B3593),PlayerValues!E:E,0)),"N/A")</f>
        <v>N/A</v>
      </c>
      <c r="B3593" s="4" t="s">
        <v>81</v>
      </c>
      <c r="C3593" s="4" t="s">
        <v>325</v>
      </c>
      <c r="D3593" s="94">
        <v>4024.0</v>
      </c>
    </row>
    <row r="3594">
      <c r="A3594" s="40">
        <f t="array" ref="A3594">IFNA(index(PlayerValues!A:A,match(IFNA(vlookup(B3594,'Special Names'!A:B,2,FALSE),B3594),PlayerValues!E:E,0)),"N/A")</f>
        <v>14797</v>
      </c>
      <c r="B3594" s="4" t="s">
        <v>420</v>
      </c>
      <c r="C3594" s="4" t="s">
        <v>278</v>
      </c>
      <c r="D3594" s="94">
        <v>4007.0</v>
      </c>
    </row>
    <row r="3595">
      <c r="A3595" s="40">
        <f t="array" ref="A3595">IFNA(index(PlayerValues!A:A,match(IFNA(vlookup(B3595,'Special Names'!A:B,2,FALSE),B3595),PlayerValues!E:E,0)),"N/A")</f>
        <v>15789</v>
      </c>
      <c r="B3595" s="4" t="s">
        <v>421</v>
      </c>
      <c r="C3595" s="4" t="s">
        <v>287</v>
      </c>
      <c r="D3595" s="94">
        <v>3953.0</v>
      </c>
    </row>
    <row r="3596">
      <c r="A3596" s="40">
        <f t="array" ref="A3596">IFNA(index(PlayerValues!A:A,match(IFNA(vlookup(B3596,'Special Names'!A:B,2,FALSE),B3596),PlayerValues!E:E,0)),"N/A")</f>
        <v>17514</v>
      </c>
      <c r="B3596" s="4" t="s">
        <v>422</v>
      </c>
      <c r="C3596" s="4" t="s">
        <v>287</v>
      </c>
      <c r="D3596" s="94">
        <v>3918.0</v>
      </c>
    </row>
    <row r="3597">
      <c r="A3597" s="40">
        <f t="array" ref="A3597">IFNA(index(PlayerValues!A:A,match(IFNA(vlookup(B3597,'Special Names'!A:B,2,FALSE),B3597),PlayerValues!E:E,0)),"N/A")</f>
        <v>14056</v>
      </c>
      <c r="B3597" s="4" t="s">
        <v>423</v>
      </c>
      <c r="C3597" s="4" t="s">
        <v>283</v>
      </c>
      <c r="D3597" s="94">
        <v>3852.0</v>
      </c>
    </row>
    <row r="3598">
      <c r="A3598" s="40">
        <f t="array" ref="A3598">IFNA(index(PlayerValues!A:A,match(IFNA(vlookup(B3598,'Special Names'!A:B,2,FALSE),B3598),PlayerValues!E:E,0)),"N/A")</f>
        <v>13635</v>
      </c>
      <c r="B3598" s="4" t="s">
        <v>424</v>
      </c>
      <c r="C3598" s="4" t="s">
        <v>287</v>
      </c>
      <c r="D3598" s="94">
        <v>3811.0</v>
      </c>
    </row>
    <row r="3599">
      <c r="A3599" s="40" t="str">
        <f t="array" ref="A3599">IFNA(index(PlayerValues!A:A,match(IFNA(vlookup(B3599,'Special Names'!A:B,2,FALSE),B3599),PlayerValues!E:E,0)),"N/A")</f>
        <v>N/A</v>
      </c>
      <c r="B3599" s="4" t="s">
        <v>95</v>
      </c>
      <c r="C3599" s="4" t="s">
        <v>325</v>
      </c>
      <c r="D3599" s="94">
        <v>3809.0</v>
      </c>
    </row>
    <row r="3600">
      <c r="A3600" s="40">
        <f t="array" ref="A3600">IFNA(index(PlayerValues!A:A,match(IFNA(vlookup(B3600,'Special Names'!A:B,2,FALSE),B3600),PlayerValues!E:E,0)),"N/A")</f>
        <v>16186</v>
      </c>
      <c r="B3600" s="4" t="s">
        <v>425</v>
      </c>
      <c r="C3600" s="4" t="s">
        <v>287</v>
      </c>
      <c r="D3600" s="94">
        <v>3788.0</v>
      </c>
    </row>
    <row r="3601">
      <c r="A3601" s="40">
        <f t="array" ref="A3601">IFNA(index(PlayerValues!A:A,match(IFNA(vlookup(B3601,'Special Names'!A:B,2,FALSE),B3601),PlayerValues!E:E,0)),"N/A")</f>
        <v>16148</v>
      </c>
      <c r="B3601" s="4" t="s">
        <v>426</v>
      </c>
      <c r="C3601" s="4" t="s">
        <v>283</v>
      </c>
      <c r="D3601" s="94">
        <v>3755.0</v>
      </c>
    </row>
    <row r="3602">
      <c r="A3602" s="40">
        <f t="array" ref="A3602">IFNA(index(PlayerValues!A:A,match(IFNA(vlookup(B3602,'Special Names'!A:B,2,FALSE),B3602),PlayerValues!E:E,0)),"N/A")</f>
        <v>16597</v>
      </c>
      <c r="B3602" s="4" t="s">
        <v>427</v>
      </c>
      <c r="C3602" s="4" t="s">
        <v>278</v>
      </c>
      <c r="D3602" s="94">
        <v>3753.0</v>
      </c>
    </row>
    <row r="3603">
      <c r="A3603" s="40">
        <f t="array" ref="A3603">IFNA(index(PlayerValues!A:A,match(IFNA(vlookup(B3603,'Special Names'!A:B,2,FALSE),B3603),PlayerValues!E:E,0)),"N/A")</f>
        <v>9431</v>
      </c>
      <c r="B3603" s="4" t="s">
        <v>428</v>
      </c>
      <c r="C3603" s="4" t="s">
        <v>283</v>
      </c>
      <c r="D3603" s="94">
        <v>3735.0</v>
      </c>
    </row>
    <row r="3604">
      <c r="A3604" s="40">
        <f t="array" ref="A3604">IFNA(index(PlayerValues!A:A,match(IFNA(vlookup(B3604,'Special Names'!A:B,2,FALSE),B3604),PlayerValues!E:E,0)),"N/A")</f>
        <v>17075</v>
      </c>
      <c r="B3604" s="4" t="s">
        <v>429</v>
      </c>
      <c r="C3604" s="4" t="s">
        <v>287</v>
      </c>
      <c r="D3604" s="94">
        <v>3729.0</v>
      </c>
    </row>
    <row r="3605">
      <c r="A3605" s="40">
        <f t="array" ref="A3605">IFNA(index(PlayerValues!A:A,match(IFNA(vlookup(B3605,'Special Names'!A:B,2,FALSE),B3605),PlayerValues!E:E,0)),"N/A")</f>
        <v>17500</v>
      </c>
      <c r="B3605" s="4" t="s">
        <v>430</v>
      </c>
      <c r="C3605" s="4" t="s">
        <v>287</v>
      </c>
      <c r="D3605" s="94">
        <v>3722.0</v>
      </c>
    </row>
    <row r="3606">
      <c r="A3606" s="40">
        <f t="array" ref="A3606">IFNA(index(PlayerValues!A:A,match(IFNA(vlookup(B3606,'Special Names'!A:B,2,FALSE),B3606),PlayerValues!E:E,0)),"N/A")</f>
        <v>16206</v>
      </c>
      <c r="B3606" s="4" t="s">
        <v>431</v>
      </c>
      <c r="C3606" s="4" t="s">
        <v>287</v>
      </c>
      <c r="D3606" s="94">
        <v>3720.0</v>
      </c>
    </row>
    <row r="3607">
      <c r="A3607" s="40">
        <f t="array" ref="A3607">IFNA(index(PlayerValues!A:A,match(IFNA(vlookup(B3607,'Special Names'!A:B,2,FALSE),B3607),PlayerValues!E:E,0)),"N/A")</f>
        <v>15768</v>
      </c>
      <c r="B3607" s="4" t="s">
        <v>432</v>
      </c>
      <c r="C3607" s="4" t="s">
        <v>287</v>
      </c>
      <c r="D3607" s="94">
        <v>3716.0</v>
      </c>
    </row>
    <row r="3608">
      <c r="A3608" s="40">
        <f t="array" ref="A3608">IFNA(index(PlayerValues!A:A,match(IFNA(vlookup(B3608,'Special Names'!A:B,2,FALSE),B3608),PlayerValues!E:E,0)),"N/A")</f>
        <v>17463</v>
      </c>
      <c r="B3608" s="4" t="s">
        <v>433</v>
      </c>
      <c r="C3608" s="4" t="s">
        <v>283</v>
      </c>
      <c r="D3608" s="94">
        <v>3706.0</v>
      </c>
    </row>
    <row r="3609">
      <c r="A3609" s="40">
        <f t="array" ref="A3609">IFNA(index(PlayerValues!A:A,match(IFNA(vlookup(B3609,'Special Names'!A:B,2,FALSE),B3609),PlayerValues!E:E,0)),"N/A")</f>
        <v>15694</v>
      </c>
      <c r="B3609" s="4" t="s">
        <v>434</v>
      </c>
      <c r="C3609" s="4" t="s">
        <v>283</v>
      </c>
      <c r="D3609" s="94">
        <v>3700.0</v>
      </c>
    </row>
    <row r="3610">
      <c r="A3610" s="40">
        <f t="array" ref="A3610">IFNA(index(PlayerValues!A:A,match(IFNA(vlookup(B3610,'Special Names'!A:B,2,FALSE),B3610),PlayerValues!E:E,0)),"N/A")</f>
        <v>14059</v>
      </c>
      <c r="B3610" s="4" t="s">
        <v>435</v>
      </c>
      <c r="C3610" s="4" t="s">
        <v>283</v>
      </c>
      <c r="D3610" s="94">
        <v>3689.0</v>
      </c>
    </row>
    <row r="3611">
      <c r="A3611" s="40">
        <f t="array" ref="A3611">IFNA(index(PlayerValues!A:A,match(IFNA(vlookup(B3611,'Special Names'!A:B,2,FALSE),B3611),PlayerValues!E:E,0)),"N/A")</f>
        <v>17543</v>
      </c>
      <c r="B3611" s="4" t="s">
        <v>436</v>
      </c>
      <c r="C3611" s="4" t="s">
        <v>298</v>
      </c>
      <c r="D3611" s="94">
        <v>4113.0</v>
      </c>
    </row>
    <row r="3612">
      <c r="A3612" s="40">
        <f t="array" ref="A3612">IFNA(index(PlayerValues!A:A,match(IFNA(vlookup(B3612,'Special Names'!A:B,2,FALSE),B3612),PlayerValues!E:E,0)),"N/A")</f>
        <v>14109</v>
      </c>
      <c r="B3612" s="4" t="s">
        <v>437</v>
      </c>
      <c r="C3612" s="4" t="s">
        <v>287</v>
      </c>
      <c r="D3612" s="94">
        <v>3557.0</v>
      </c>
    </row>
    <row r="3613">
      <c r="A3613" s="40">
        <f t="array" ref="A3613">IFNA(index(PlayerValues!A:A,match(IFNA(vlookup(B3613,'Special Names'!A:B,2,FALSE),B3613),PlayerValues!E:E,0)),"N/A")</f>
        <v>11675</v>
      </c>
      <c r="B3613" s="4" t="s">
        <v>438</v>
      </c>
      <c r="C3613" s="4" t="s">
        <v>287</v>
      </c>
      <c r="D3613" s="94">
        <v>3545.0</v>
      </c>
    </row>
    <row r="3614">
      <c r="A3614" s="40">
        <f t="array" ref="A3614">IFNA(index(PlayerValues!A:A,match(IFNA(vlookup(B3614,'Special Names'!A:B,2,FALSE),B3614),PlayerValues!E:E,0)),"N/A")</f>
        <v>16188</v>
      </c>
      <c r="B3614" s="4" t="s">
        <v>439</v>
      </c>
      <c r="C3614" s="4" t="s">
        <v>287</v>
      </c>
      <c r="D3614" s="94">
        <v>3544.0</v>
      </c>
    </row>
    <row r="3615">
      <c r="A3615" s="40">
        <f t="array" ref="A3615">IFNA(index(PlayerValues!A:A,match(IFNA(vlookup(B3615,'Special Names'!A:B,2,FALSE),B3615),PlayerValues!E:E,0)),"N/A")</f>
        <v>14071</v>
      </c>
      <c r="B3615" s="4" t="s">
        <v>440</v>
      </c>
      <c r="C3615" s="4" t="s">
        <v>278</v>
      </c>
      <c r="D3615" s="94">
        <v>3520.0</v>
      </c>
    </row>
    <row r="3616">
      <c r="A3616" s="40">
        <f t="array" ref="A3616">IFNA(index(PlayerValues!A:A,match(IFNA(vlookup(B3616,'Special Names'!A:B,2,FALSE),B3616),PlayerValues!E:E,0)),"N/A")</f>
        <v>16187</v>
      </c>
      <c r="B3616" s="4" t="s">
        <v>441</v>
      </c>
      <c r="C3616" s="4" t="s">
        <v>287</v>
      </c>
      <c r="D3616" s="94">
        <v>3497.0</v>
      </c>
    </row>
    <row r="3617">
      <c r="A3617" s="40">
        <f t="array" ref="A3617">IFNA(index(PlayerValues!A:A,match(IFNA(vlookup(B3617,'Special Names'!A:B,2,FALSE),B3617),PlayerValues!E:E,0)),"N/A")</f>
        <v>16593</v>
      </c>
      <c r="B3617" s="4" t="s">
        <v>442</v>
      </c>
      <c r="C3617" s="4" t="s">
        <v>278</v>
      </c>
      <c r="D3617" s="94">
        <v>3463.0</v>
      </c>
    </row>
    <row r="3618">
      <c r="A3618" s="40" t="str">
        <f t="array" ref="A3618">IFNA(index(PlayerValues!A:A,match(IFNA(vlookup(B3618,'Special Names'!A:B,2,FALSE),B3618),PlayerValues!E:E,0)),"N/A")</f>
        <v>N/A</v>
      </c>
      <c r="B3618" s="4" t="s">
        <v>96</v>
      </c>
      <c r="C3618" s="4" t="s">
        <v>325</v>
      </c>
      <c r="D3618" s="94">
        <v>3442.0</v>
      </c>
    </row>
    <row r="3619">
      <c r="A3619" s="40">
        <f t="array" ref="A3619">IFNA(index(PlayerValues!A:A,match(IFNA(vlookup(B3619,'Special Names'!A:B,2,FALSE),B3619),PlayerValues!E:E,0)),"N/A")</f>
        <v>15798</v>
      </c>
      <c r="B3619" s="4" t="s">
        <v>443</v>
      </c>
      <c r="C3619" s="4" t="s">
        <v>298</v>
      </c>
      <c r="D3619" s="94">
        <v>3894.0</v>
      </c>
    </row>
    <row r="3620">
      <c r="A3620" s="40" t="str">
        <f t="array" ref="A3620">IFNA(index(PlayerValues!A:A,match(IFNA(vlookup(B3620,'Special Names'!A:B,2,FALSE),B3620),PlayerValues!E:E,0)),"N/A")</f>
        <v>N/A</v>
      </c>
      <c r="B3620" s="4" t="s">
        <v>82</v>
      </c>
      <c r="C3620" s="4" t="s">
        <v>325</v>
      </c>
      <c r="D3620" s="94">
        <v>3387.0</v>
      </c>
    </row>
    <row r="3621">
      <c r="A3621" s="40">
        <f t="array" ref="A3621">IFNA(index(PlayerValues!A:A,match(IFNA(vlookup(B3621,'Special Names'!A:B,2,FALSE),B3621),PlayerValues!E:E,0)),"N/A")</f>
        <v>14102</v>
      </c>
      <c r="B3621" s="4" t="s">
        <v>444</v>
      </c>
      <c r="C3621" s="4" t="s">
        <v>287</v>
      </c>
      <c r="D3621" s="94">
        <v>3360.0</v>
      </c>
    </row>
    <row r="3622">
      <c r="A3622" s="40">
        <f t="array" ref="A3622">IFNA(index(PlayerValues!A:A,match(IFNA(vlookup(B3622,'Special Names'!A:B,2,FALSE),B3622),PlayerValues!E:E,0)),"N/A")</f>
        <v>16184</v>
      </c>
      <c r="B3622" s="4" t="s">
        <v>445</v>
      </c>
      <c r="C3622" s="4" t="s">
        <v>287</v>
      </c>
      <c r="D3622" s="94">
        <v>3349.0</v>
      </c>
    </row>
    <row r="3623">
      <c r="A3623" s="40">
        <f t="array" ref="A3623">IFNA(index(PlayerValues!A:A,match(IFNA(vlookup(B3623,'Special Names'!A:B,2,FALSE),B3623),PlayerValues!E:E,0)),"N/A")</f>
        <v>17066</v>
      </c>
      <c r="B3623" s="4" t="s">
        <v>446</v>
      </c>
      <c r="C3623" s="4" t="s">
        <v>278</v>
      </c>
      <c r="D3623" s="94">
        <v>3320.0</v>
      </c>
    </row>
    <row r="3624">
      <c r="A3624" s="40">
        <f t="array" ref="A3624">IFNA(index(PlayerValues!A:A,match(IFNA(vlookup(B3624,'Special Names'!A:B,2,FALSE),B3624),PlayerValues!E:E,0)),"N/A")</f>
        <v>15742</v>
      </c>
      <c r="B3624" s="4" t="s">
        <v>447</v>
      </c>
      <c r="C3624" s="4" t="s">
        <v>278</v>
      </c>
      <c r="D3624" s="94">
        <v>3319.0</v>
      </c>
    </row>
    <row r="3625">
      <c r="A3625" s="40">
        <f t="array" ref="A3625">IFNA(index(PlayerValues!A:A,match(IFNA(vlookup(B3625,'Special Names'!A:B,2,FALSE),B3625),PlayerValues!E:E,0)),"N/A")</f>
        <v>13299</v>
      </c>
      <c r="B3625" s="4" t="s">
        <v>448</v>
      </c>
      <c r="C3625" s="4" t="s">
        <v>298</v>
      </c>
      <c r="D3625" s="94">
        <v>3755.0</v>
      </c>
    </row>
    <row r="3626">
      <c r="A3626" s="40">
        <f t="array" ref="A3626">IFNA(index(PlayerValues!A:A,match(IFNA(vlookup(B3626,'Special Names'!A:B,2,FALSE),B3626),PlayerValues!E:E,0)),"N/A")</f>
        <v>15757</v>
      </c>
      <c r="B3626" s="4" t="s">
        <v>449</v>
      </c>
      <c r="C3626" s="4" t="s">
        <v>287</v>
      </c>
      <c r="D3626" s="94">
        <v>3309.0</v>
      </c>
    </row>
    <row r="3627">
      <c r="A3627" s="40">
        <f t="array" ref="A3627">IFNA(index(PlayerValues!A:A,match(IFNA(vlookup(B3627,'Special Names'!A:B,2,FALSE),B3627),PlayerValues!E:E,0)),"N/A")</f>
        <v>17068</v>
      </c>
      <c r="B3627" s="4" t="s">
        <v>450</v>
      </c>
      <c r="C3627" s="4" t="s">
        <v>278</v>
      </c>
      <c r="D3627" s="94">
        <v>3301.0</v>
      </c>
    </row>
    <row r="3628">
      <c r="A3628" s="40">
        <f t="array" ref="A3628">IFNA(index(PlayerValues!A:A,match(IFNA(vlookup(B3628,'Special Names'!A:B,2,FALSE),B3628),PlayerValues!E:E,0)),"N/A")</f>
        <v>17502</v>
      </c>
      <c r="B3628" s="4" t="s">
        <v>451</v>
      </c>
      <c r="C3628" s="4" t="s">
        <v>287</v>
      </c>
      <c r="D3628" s="94">
        <v>3298.0</v>
      </c>
    </row>
    <row r="3629">
      <c r="A3629" s="40">
        <f t="array" ref="A3629">IFNA(index(PlayerValues!A:A,match(IFNA(vlookup(B3629,'Special Names'!A:B,2,FALSE),B3629),PlayerValues!E:E,0)),"N/A")</f>
        <v>17477</v>
      </c>
      <c r="B3629" s="4" t="s">
        <v>452</v>
      </c>
      <c r="C3629" s="4" t="s">
        <v>278</v>
      </c>
      <c r="D3629" s="94">
        <v>3292.0</v>
      </c>
    </row>
    <row r="3630">
      <c r="A3630" s="40" t="str">
        <f t="array" ref="A3630">IFNA(index(PlayerValues!A:A,match(IFNA(vlookup(B3630,'Special Names'!A:B,2,FALSE),B3630),PlayerValues!E:E,0)),"N/A")</f>
        <v>N/A</v>
      </c>
      <c r="B3630" s="4" t="s">
        <v>108</v>
      </c>
      <c r="C3630" s="4" t="s">
        <v>325</v>
      </c>
      <c r="D3630" s="94">
        <v>3286.0</v>
      </c>
    </row>
    <row r="3631">
      <c r="A3631" s="40">
        <f t="array" ref="A3631">IFNA(index(PlayerValues!A:A,match(IFNA(vlookup(B3631,'Special Names'!A:B,2,FALSE),B3631),PlayerValues!E:E,0)),"N/A")</f>
        <v>15259</v>
      </c>
      <c r="B3631" s="4" t="s">
        <v>453</v>
      </c>
      <c r="C3631" s="4" t="s">
        <v>278</v>
      </c>
      <c r="D3631" s="94">
        <v>3278.0</v>
      </c>
    </row>
    <row r="3632">
      <c r="A3632" s="40">
        <f t="array" ref="A3632">IFNA(index(PlayerValues!A:A,match(IFNA(vlookup(B3632,'Special Names'!A:B,2,FALSE),B3632),PlayerValues!E:E,0)),"N/A")</f>
        <v>17517</v>
      </c>
      <c r="B3632" s="4" t="s">
        <v>454</v>
      </c>
      <c r="C3632" s="4" t="s">
        <v>287</v>
      </c>
      <c r="D3632" s="94">
        <v>3253.0</v>
      </c>
    </row>
    <row r="3633">
      <c r="A3633" s="40">
        <f t="array" ref="A3633">IFNA(index(PlayerValues!A:A,match(IFNA(vlookup(B3633,'Special Names'!A:B,2,FALSE),B3633),PlayerValues!E:E,0)),"N/A")</f>
        <v>16809</v>
      </c>
      <c r="B3633" s="4" t="s">
        <v>455</v>
      </c>
      <c r="C3633" s="4" t="s">
        <v>287</v>
      </c>
      <c r="D3633" s="94">
        <v>3252.0</v>
      </c>
    </row>
    <row r="3634">
      <c r="A3634" s="40">
        <f t="array" ref="A3634">IFNA(index(PlayerValues!A:A,match(IFNA(vlookup(B3634,'Special Names'!A:B,2,FALSE),B3634),PlayerValues!E:E,0)),"N/A")</f>
        <v>14842</v>
      </c>
      <c r="B3634" s="4" t="s">
        <v>456</v>
      </c>
      <c r="C3634" s="4" t="s">
        <v>287</v>
      </c>
      <c r="D3634" s="94">
        <v>3241.0</v>
      </c>
    </row>
    <row r="3635">
      <c r="A3635" s="40">
        <f t="array" ref="A3635">IFNA(index(PlayerValues!A:A,match(IFNA(vlookup(B3635,'Special Names'!A:B,2,FALSE),B3635),PlayerValues!E:E,0)),"N/A")</f>
        <v>16169</v>
      </c>
      <c r="B3635" s="4" t="s">
        <v>457</v>
      </c>
      <c r="C3635" s="4" t="s">
        <v>278</v>
      </c>
      <c r="D3635" s="94">
        <v>3231.0</v>
      </c>
    </row>
    <row r="3636">
      <c r="A3636" s="40">
        <f t="array" ref="A3636">IFNA(index(PlayerValues!A:A,match(IFNA(vlookup(B3636,'Special Names'!A:B,2,FALSE),B3636),PlayerValues!E:E,0)),"N/A")</f>
        <v>16213</v>
      </c>
      <c r="B3636" s="4" t="s">
        <v>458</v>
      </c>
      <c r="C3636" s="4" t="s">
        <v>298</v>
      </c>
      <c r="D3636" s="94">
        <v>3663.0</v>
      </c>
    </row>
    <row r="3637">
      <c r="A3637" s="40" t="str">
        <f t="array" ref="A3637">IFNA(index(PlayerValues!A:A,match(IFNA(vlookup(B3637,'Special Names'!A:B,2,FALSE),B3637),PlayerValues!E:E,0)),"N/A")</f>
        <v>N/A</v>
      </c>
      <c r="B3637" s="4" t="s">
        <v>97</v>
      </c>
      <c r="C3637" s="4" t="s">
        <v>325</v>
      </c>
      <c r="D3637" s="94">
        <v>3210.0</v>
      </c>
    </row>
    <row r="3638">
      <c r="A3638" s="40">
        <f t="array" ref="A3638">IFNA(index(PlayerValues!A:A,match(IFNA(vlookup(B3638,'Special Names'!A:B,2,FALSE),B3638),PlayerValues!E:E,0)),"N/A")</f>
        <v>14823</v>
      </c>
      <c r="B3638" s="4" t="s">
        <v>459</v>
      </c>
      <c r="C3638" s="4" t="s">
        <v>278</v>
      </c>
      <c r="D3638" s="94">
        <v>3195.0</v>
      </c>
    </row>
    <row r="3639">
      <c r="A3639" s="40">
        <f t="array" ref="A3639">IFNA(index(PlayerValues!A:A,match(IFNA(vlookup(B3639,'Special Names'!A:B,2,FALSE),B3639),PlayerValues!E:E,0)),"N/A")</f>
        <v>17482</v>
      </c>
      <c r="B3639" s="4" t="s">
        <v>460</v>
      </c>
      <c r="C3639" s="4" t="s">
        <v>278</v>
      </c>
      <c r="D3639" s="94">
        <v>3194.0</v>
      </c>
    </row>
    <row r="3640">
      <c r="A3640" s="40">
        <f t="array" ref="A3640">IFNA(index(PlayerValues!A:A,match(IFNA(vlookup(B3640,'Special Names'!A:B,2,FALSE),B3640),PlayerValues!E:E,0)),"N/A")</f>
        <v>15779</v>
      </c>
      <c r="B3640" s="4" t="s">
        <v>461</v>
      </c>
      <c r="C3640" s="4" t="s">
        <v>287</v>
      </c>
      <c r="D3640" s="94">
        <v>3191.0</v>
      </c>
    </row>
    <row r="3641">
      <c r="A3641" s="40">
        <f t="array" ref="A3641">IFNA(index(PlayerValues!A:A,match(IFNA(vlookup(B3641,'Special Names'!A:B,2,FALSE),B3641),PlayerValues!E:E,0)),"N/A")</f>
        <v>17256</v>
      </c>
      <c r="B3641" s="4" t="s">
        <v>462</v>
      </c>
      <c r="C3641" s="4" t="s">
        <v>278</v>
      </c>
      <c r="D3641" s="94">
        <v>3181.0</v>
      </c>
    </row>
    <row r="3642">
      <c r="A3642" s="40" t="str">
        <f t="array" ref="A3642">IFNA(index(PlayerValues!A:A,match(IFNA(vlookup(B3642,'Special Names'!A:B,2,FALSE),B3642),PlayerValues!E:E,0)),"N/A")</f>
        <v>N/A</v>
      </c>
      <c r="B3642" s="4" t="s">
        <v>84</v>
      </c>
      <c r="C3642" s="4" t="s">
        <v>325</v>
      </c>
      <c r="D3642" s="94">
        <v>3175.0</v>
      </c>
    </row>
    <row r="3643">
      <c r="A3643" s="40">
        <f t="array" ref="A3643">IFNA(index(PlayerValues!A:A,match(IFNA(vlookup(B3643,'Special Names'!A:B,2,FALSE),B3643),PlayerValues!E:E,0)),"N/A")</f>
        <v>11671</v>
      </c>
      <c r="B3643" s="4" t="s">
        <v>463</v>
      </c>
      <c r="C3643" s="4" t="s">
        <v>287</v>
      </c>
      <c r="D3643" s="94">
        <v>3149.0</v>
      </c>
    </row>
    <row r="3644">
      <c r="A3644" s="40">
        <f t="array" ref="A3644">IFNA(index(PlayerValues!A:A,match(IFNA(vlookup(B3644,'Special Names'!A:B,2,FALSE),B3644),PlayerValues!E:E,0)),"N/A")</f>
        <v>14073</v>
      </c>
      <c r="B3644" s="4" t="s">
        <v>464</v>
      </c>
      <c r="C3644" s="4" t="s">
        <v>278</v>
      </c>
      <c r="D3644" s="94">
        <v>3123.0</v>
      </c>
    </row>
    <row r="3645">
      <c r="A3645" s="40">
        <f t="array" ref="A3645">IFNA(index(PlayerValues!A:A,match(IFNA(vlookup(B3645,'Special Names'!A:B,2,FALSE),B3645),PlayerValues!E:E,0)),"N/A")</f>
        <v>13630</v>
      </c>
      <c r="B3645" s="4" t="s">
        <v>465</v>
      </c>
      <c r="C3645" s="4" t="s">
        <v>287</v>
      </c>
      <c r="D3645" s="94">
        <v>3120.0</v>
      </c>
    </row>
    <row r="3646">
      <c r="A3646" s="40" t="str">
        <f t="array" ref="A3646">IFNA(index(PlayerValues!A:A,match(IFNA(vlookup(B3646,'Special Names'!A:B,2,FALSE),B3646),PlayerValues!E:E,0)),"N/A")</f>
        <v>N/A</v>
      </c>
      <c r="B3646" s="4" t="s">
        <v>109</v>
      </c>
      <c r="C3646" s="4" t="s">
        <v>325</v>
      </c>
      <c r="D3646" s="94">
        <v>3079.0</v>
      </c>
    </row>
    <row r="3647">
      <c r="A3647" s="40">
        <f t="array" ref="A3647">IFNA(index(PlayerValues!A:A,match(IFNA(vlookup(B3647,'Special Names'!A:B,2,FALSE),B3647),PlayerValues!E:E,0)),"N/A")</f>
        <v>15261</v>
      </c>
      <c r="B3647" s="4" t="s">
        <v>466</v>
      </c>
      <c r="C3647" s="4" t="s">
        <v>278</v>
      </c>
      <c r="D3647" s="94">
        <v>3069.0</v>
      </c>
    </row>
    <row r="3648">
      <c r="A3648" s="40">
        <f t="array" ref="A3648">IFNA(index(PlayerValues!A:A,match(IFNA(vlookup(B3648,'Special Names'!A:B,2,FALSE),B3648),PlayerValues!E:E,0)),"N/A")</f>
        <v>16620</v>
      </c>
      <c r="B3648" s="4" t="s">
        <v>467</v>
      </c>
      <c r="C3648" s="4" t="s">
        <v>287</v>
      </c>
      <c r="D3648" s="94">
        <v>3061.0</v>
      </c>
    </row>
    <row r="3649">
      <c r="A3649" s="40">
        <f t="array" ref="A3649">IFNA(index(PlayerValues!A:A,match(IFNA(vlookup(B3649,'Special Names'!A:B,2,FALSE),B3649),PlayerValues!E:E,0)),"N/A")</f>
        <v>15799</v>
      </c>
      <c r="B3649" s="4" t="s">
        <v>468</v>
      </c>
      <c r="C3649" s="4" t="s">
        <v>298</v>
      </c>
      <c r="D3649" s="94">
        <v>3477.0</v>
      </c>
    </row>
    <row r="3650">
      <c r="A3650" s="40">
        <f t="array" ref="A3650">IFNA(index(PlayerValues!A:A,match(IFNA(vlookup(B3650,'Special Names'!A:B,2,FALSE),B3650),PlayerValues!E:E,0)),"N/A")</f>
        <v>15972</v>
      </c>
      <c r="B3650" s="4" t="s">
        <v>469</v>
      </c>
      <c r="C3650" s="4" t="s">
        <v>278</v>
      </c>
      <c r="D3650" s="94">
        <v>3037.0</v>
      </c>
    </row>
    <row r="3651">
      <c r="A3651" s="40">
        <f t="array" ref="A3651">IFNA(index(PlayerValues!A:A,match(IFNA(vlookup(B3651,'Special Names'!A:B,2,FALSE),B3651),PlayerValues!E:E,0)),"N/A")</f>
        <v>17544</v>
      </c>
      <c r="B3651" s="4" t="s">
        <v>470</v>
      </c>
      <c r="C3651" s="4" t="s">
        <v>298</v>
      </c>
      <c r="D3651" s="94">
        <v>3463.0</v>
      </c>
    </row>
    <row r="3652">
      <c r="A3652" s="40">
        <f t="array" ref="A3652">IFNA(index(PlayerValues!A:A,match(IFNA(vlookup(B3652,'Special Names'!A:B,2,FALSE),B3652),PlayerValues!E:E,0)),"N/A")</f>
        <v>17506</v>
      </c>
      <c r="B3652" s="4" t="s">
        <v>471</v>
      </c>
      <c r="C3652" s="4" t="s">
        <v>287</v>
      </c>
      <c r="D3652" s="94">
        <v>3033.0</v>
      </c>
    </row>
    <row r="3653">
      <c r="A3653" s="40">
        <f t="array" ref="A3653">IFNA(index(PlayerValues!A:A,match(IFNA(vlookup(B3653,'Special Names'!A:B,2,FALSE),B3653),PlayerValues!E:E,0)),"N/A")</f>
        <v>14800</v>
      </c>
      <c r="B3653" s="4" t="s">
        <v>472</v>
      </c>
      <c r="C3653" s="4" t="s">
        <v>278</v>
      </c>
      <c r="D3653" s="94">
        <v>3023.0</v>
      </c>
    </row>
    <row r="3654">
      <c r="A3654" s="40">
        <f t="array" ref="A3654">IFNA(index(PlayerValues!A:A,match(IFNA(vlookup(B3654,'Special Names'!A:B,2,FALSE),B3654),PlayerValues!E:E,0)),"N/A")</f>
        <v>13163</v>
      </c>
      <c r="B3654" s="4" t="s">
        <v>473</v>
      </c>
      <c r="C3654" s="4" t="s">
        <v>287</v>
      </c>
      <c r="D3654" s="94">
        <v>3022.0</v>
      </c>
    </row>
    <row r="3655">
      <c r="A3655" s="40">
        <f t="array" ref="A3655">IFNA(index(PlayerValues!A:A,match(IFNA(vlookup(B3655,'Special Names'!A:B,2,FALSE),B3655),PlayerValues!E:E,0)),"N/A")</f>
        <v>17099</v>
      </c>
      <c r="B3655" s="4" t="s">
        <v>474</v>
      </c>
      <c r="C3655" s="4" t="s">
        <v>298</v>
      </c>
      <c r="D3655" s="94">
        <v>3437.0</v>
      </c>
    </row>
    <row r="3656">
      <c r="A3656" s="40">
        <f t="array" ref="A3656">IFNA(index(PlayerValues!A:A,match(IFNA(vlookup(B3656,'Special Names'!A:B,2,FALSE),B3656),PlayerValues!E:E,0)),"N/A")</f>
        <v>17074</v>
      </c>
      <c r="B3656" s="4" t="s">
        <v>475</v>
      </c>
      <c r="C3656" s="4" t="s">
        <v>287</v>
      </c>
      <c r="D3656" s="94">
        <v>3003.0</v>
      </c>
    </row>
    <row r="3657">
      <c r="A3657" s="40">
        <f t="array" ref="A3657">IFNA(index(PlayerValues!A:A,match(IFNA(vlookup(B3657,'Special Names'!A:B,2,FALSE),B3657),PlayerValues!E:E,0)),"N/A")</f>
        <v>16604</v>
      </c>
      <c r="B3657" s="4" t="s">
        <v>476</v>
      </c>
      <c r="C3657" s="4" t="s">
        <v>278</v>
      </c>
      <c r="D3657" s="94">
        <v>2997.0</v>
      </c>
    </row>
    <row r="3658">
      <c r="A3658" s="40">
        <f t="array" ref="A3658">IFNA(index(PlayerValues!A:A,match(IFNA(vlookup(B3658,'Special Names'!A:B,2,FALSE),B3658),PlayerValues!E:E,0)),"N/A")</f>
        <v>15255</v>
      </c>
      <c r="B3658" s="4" t="s">
        <v>477</v>
      </c>
      <c r="C3658" s="4" t="s">
        <v>278</v>
      </c>
      <c r="D3658" s="94">
        <v>2965.0</v>
      </c>
    </row>
    <row r="3659">
      <c r="A3659" s="40">
        <f t="array" ref="A3659">IFNA(index(PlayerValues!A:A,match(IFNA(vlookup(B3659,'Special Names'!A:B,2,FALSE),B3659),PlayerValues!E:E,0)),"N/A")</f>
        <v>17107</v>
      </c>
      <c r="B3659" s="4" t="s">
        <v>478</v>
      </c>
      <c r="C3659" s="4" t="s">
        <v>298</v>
      </c>
      <c r="D3659" s="94">
        <v>3383.0</v>
      </c>
    </row>
    <row r="3660">
      <c r="A3660" s="40">
        <f t="array" ref="A3660">IFNA(index(PlayerValues!A:A,match(IFNA(vlookup(B3660,'Special Names'!A:B,2,FALSE),B3660),PlayerValues!E:E,0)),"N/A")</f>
        <v>17083</v>
      </c>
      <c r="B3660" s="4" t="s">
        <v>479</v>
      </c>
      <c r="C3660" s="4" t="s">
        <v>287</v>
      </c>
      <c r="D3660" s="94">
        <v>2927.0</v>
      </c>
    </row>
    <row r="3661">
      <c r="A3661" s="40">
        <f t="array" ref="A3661">IFNA(index(PlayerValues!A:A,match(IFNA(vlookup(B3661,'Special Names'!A:B,2,FALSE),B3661),PlayerValues!E:E,0)),"N/A")</f>
        <v>17503</v>
      </c>
      <c r="B3661" s="4" t="s">
        <v>480</v>
      </c>
      <c r="C3661" s="4" t="s">
        <v>287</v>
      </c>
      <c r="D3661" s="94">
        <v>2905.0</v>
      </c>
    </row>
    <row r="3662">
      <c r="A3662" s="40">
        <f t="array" ref="A3662">IFNA(index(PlayerValues!A:A,match(IFNA(vlookup(B3662,'Special Names'!A:B,2,FALSE),B3662),PlayerValues!E:E,0)),"N/A")</f>
        <v>16269</v>
      </c>
      <c r="B3662" s="4" t="s">
        <v>481</v>
      </c>
      <c r="C3662" s="4" t="s">
        <v>298</v>
      </c>
      <c r="D3662" s="94">
        <v>3323.0</v>
      </c>
    </row>
    <row r="3663">
      <c r="A3663" s="40" t="str">
        <f t="array" ref="A3663">IFNA(index(PlayerValues!A:A,match(IFNA(vlookup(B3663,'Special Names'!A:B,2,FALSE),B3663),PlayerValues!E:E,0)),"N/A")</f>
        <v>N/A</v>
      </c>
      <c r="B3663" s="4" t="s">
        <v>85</v>
      </c>
      <c r="C3663" s="4" t="s">
        <v>325</v>
      </c>
      <c r="D3663" s="94">
        <v>2893.0</v>
      </c>
    </row>
    <row r="3664">
      <c r="A3664" s="40">
        <f t="array" ref="A3664">IFNA(index(PlayerValues!A:A,match(IFNA(vlookup(B3664,'Special Names'!A:B,2,FALSE),B3664),PlayerValues!E:E,0)),"N/A")</f>
        <v>17518</v>
      </c>
      <c r="B3664" s="4" t="s">
        <v>482</v>
      </c>
      <c r="C3664" s="4" t="s">
        <v>287</v>
      </c>
      <c r="D3664" s="94">
        <v>2888.0</v>
      </c>
    </row>
    <row r="3665">
      <c r="A3665" s="40">
        <f t="array" ref="A3665">IFNA(index(PlayerValues!A:A,match(IFNA(vlookup(B3665,'Special Names'!A:B,2,FALSE),B3665),PlayerValues!E:E,0)),"N/A")</f>
        <v>17512</v>
      </c>
      <c r="B3665" s="4" t="s">
        <v>483</v>
      </c>
      <c r="C3665" s="4" t="s">
        <v>287</v>
      </c>
      <c r="D3665" s="94">
        <v>2871.0</v>
      </c>
    </row>
    <row r="3666">
      <c r="A3666" s="40">
        <f t="array" ref="A3666">IFNA(index(PlayerValues!A:A,match(IFNA(vlookup(B3666,'Special Names'!A:B,2,FALSE),B3666),PlayerValues!E:E,0)),"N/A")</f>
        <v>17053</v>
      </c>
      <c r="B3666" s="4" t="s">
        <v>484</v>
      </c>
      <c r="C3666" s="4" t="s">
        <v>278</v>
      </c>
      <c r="D3666" s="94">
        <v>2867.0</v>
      </c>
    </row>
    <row r="3667">
      <c r="A3667" s="40">
        <f t="array" ref="A3667">IFNA(index(PlayerValues!A:A,match(IFNA(vlookup(B3667,'Special Names'!A:B,2,FALSE),B3667),PlayerValues!E:E,0)),"N/A")</f>
        <v>17511</v>
      </c>
      <c r="B3667" s="4" t="s">
        <v>485</v>
      </c>
      <c r="C3667" s="4" t="s">
        <v>287</v>
      </c>
      <c r="D3667" s="94">
        <v>2831.0</v>
      </c>
    </row>
    <row r="3668">
      <c r="A3668" s="40">
        <f t="array" ref="A3668">IFNA(index(PlayerValues!A:A,match(IFNA(vlookup(B3668,'Special Names'!A:B,2,FALSE),B3668),PlayerValues!E:E,0)),"N/A")</f>
        <v>14127</v>
      </c>
      <c r="B3668" s="4" t="s">
        <v>486</v>
      </c>
      <c r="C3668" s="4" t="s">
        <v>287</v>
      </c>
      <c r="D3668" s="94">
        <v>2824.0</v>
      </c>
    </row>
    <row r="3669">
      <c r="A3669" s="40">
        <f t="array" ref="A3669">IFNA(index(PlayerValues!A:A,match(IFNA(vlookup(B3669,'Special Names'!A:B,2,FALSE),B3669),PlayerValues!E:E,0)),"N/A")</f>
        <v>16193</v>
      </c>
      <c r="B3669" s="4" t="s">
        <v>487</v>
      </c>
      <c r="C3669" s="4" t="s">
        <v>287</v>
      </c>
      <c r="D3669" s="94">
        <v>2810.0</v>
      </c>
    </row>
    <row r="3670">
      <c r="A3670" s="40">
        <f t="array" ref="A3670">IFNA(index(PlayerValues!A:A,match(IFNA(vlookup(B3670,'Special Names'!A:B,2,FALSE),B3670),PlayerValues!E:E,0)),"N/A")</f>
        <v>15712</v>
      </c>
      <c r="B3670" s="4" t="s">
        <v>488</v>
      </c>
      <c r="C3670" s="4" t="s">
        <v>278</v>
      </c>
      <c r="D3670" s="94">
        <v>2806.0</v>
      </c>
    </row>
    <row r="3671">
      <c r="A3671" s="40" t="str">
        <f t="array" ref="A3671">IFNA(index(PlayerValues!A:A,match(IFNA(vlookup(B3671,'Special Names'!A:B,2,FALSE),B3671),PlayerValues!E:E,0)),"N/A")</f>
        <v>N/A</v>
      </c>
      <c r="B3671" s="4" t="s">
        <v>110</v>
      </c>
      <c r="C3671" s="4" t="s">
        <v>325</v>
      </c>
      <c r="D3671" s="94">
        <v>2803.0</v>
      </c>
    </row>
    <row r="3672">
      <c r="A3672" s="40">
        <f t="array" ref="A3672">IFNA(index(PlayerValues!A:A,match(IFNA(vlookup(B3672,'Special Names'!A:B,2,FALSE),B3672),PlayerValues!E:E,0)),"N/A")</f>
        <v>14085</v>
      </c>
      <c r="B3672" s="4" t="s">
        <v>489</v>
      </c>
      <c r="C3672" s="4" t="s">
        <v>278</v>
      </c>
      <c r="D3672" s="94">
        <v>2792.0</v>
      </c>
    </row>
    <row r="3673">
      <c r="A3673" s="40">
        <f t="array" ref="A3673">IFNA(index(PlayerValues!A:A,match(IFNA(vlookup(B3673,'Special Names'!A:B,2,FALSE),B3673),PlayerValues!E:E,0)),"N/A")</f>
        <v>16628</v>
      </c>
      <c r="B3673" s="4" t="s">
        <v>490</v>
      </c>
      <c r="C3673" s="4" t="s">
        <v>287</v>
      </c>
      <c r="D3673" s="94">
        <v>2791.0</v>
      </c>
    </row>
    <row r="3674">
      <c r="A3674" s="40">
        <f t="array" ref="A3674">IFNA(index(PlayerValues!A:A,match(IFNA(vlookup(B3674,'Special Names'!A:B,2,FALSE),B3674),PlayerValues!E:E,0)),"N/A")</f>
        <v>15761</v>
      </c>
      <c r="B3674" s="4" t="s">
        <v>491</v>
      </c>
      <c r="C3674" s="4" t="s">
        <v>287</v>
      </c>
      <c r="D3674" s="94">
        <v>2776.0</v>
      </c>
    </row>
    <row r="3675">
      <c r="A3675" s="40">
        <f t="array" ref="A3675">IFNA(index(PlayerValues!A:A,match(IFNA(vlookup(B3675,'Special Names'!A:B,2,FALSE),B3675),PlayerValues!E:E,0)),"N/A")</f>
        <v>17466</v>
      </c>
      <c r="B3675" s="4" t="s">
        <v>492</v>
      </c>
      <c r="C3675" s="4" t="s">
        <v>283</v>
      </c>
      <c r="D3675" s="94">
        <v>2768.0</v>
      </c>
    </row>
    <row r="3676">
      <c r="A3676" s="40">
        <f t="array" ref="A3676">IFNA(index(PlayerValues!A:A,match(IFNA(vlookup(B3676,'Special Names'!A:B,2,FALSE),B3676),PlayerValues!E:E,0)),"N/A")</f>
        <v>16583</v>
      </c>
      <c r="B3676" s="4" t="s">
        <v>493</v>
      </c>
      <c r="C3676" s="4" t="s">
        <v>283</v>
      </c>
      <c r="D3676" s="94">
        <v>2767.0</v>
      </c>
    </row>
    <row r="3677">
      <c r="A3677" s="40">
        <f t="array" ref="A3677">IFNA(index(PlayerValues!A:A,match(IFNA(vlookup(B3677,'Special Names'!A:B,2,FALSE),B3677),PlayerValues!E:E,0)),"N/A")</f>
        <v>17476</v>
      </c>
      <c r="B3677" s="4" t="s">
        <v>494</v>
      </c>
      <c r="C3677" s="4" t="s">
        <v>278</v>
      </c>
      <c r="D3677" s="94">
        <v>2746.0</v>
      </c>
    </row>
    <row r="3678">
      <c r="A3678" s="40">
        <f t="array" ref="A3678">IFNA(index(PlayerValues!A:A,match(IFNA(vlookup(B3678,'Special Names'!A:B,2,FALSE),B3678),PlayerValues!E:E,0)),"N/A")</f>
        <v>17507</v>
      </c>
      <c r="B3678" s="4" t="s">
        <v>495</v>
      </c>
      <c r="C3678" s="4" t="s">
        <v>287</v>
      </c>
      <c r="D3678" s="94">
        <v>2728.0</v>
      </c>
    </row>
    <row r="3679">
      <c r="A3679" s="40">
        <f t="array" ref="A3679">IFNA(index(PlayerValues!A:A,match(IFNA(vlookup(B3679,'Special Names'!A:B,2,FALSE),B3679),PlayerValues!E:E,0)),"N/A")</f>
        <v>17599</v>
      </c>
      <c r="B3679" s="4" t="s">
        <v>496</v>
      </c>
      <c r="C3679" s="4" t="s">
        <v>287</v>
      </c>
      <c r="D3679" s="94">
        <v>2719.0</v>
      </c>
    </row>
    <row r="3680">
      <c r="A3680" s="40">
        <f t="array" ref="A3680">IFNA(index(PlayerValues!A:A,match(IFNA(vlookup(B3680,'Special Names'!A:B,2,FALSE),B3680),PlayerValues!E:E,0)),"N/A")</f>
        <v>12186</v>
      </c>
      <c r="B3680" s="4" t="s">
        <v>497</v>
      </c>
      <c r="C3680" s="4" t="s">
        <v>287</v>
      </c>
      <c r="D3680" s="94">
        <v>2676.0</v>
      </c>
    </row>
    <row r="3681">
      <c r="A3681" s="40">
        <f t="array" ref="A3681">IFNA(index(PlayerValues!A:A,match(IFNA(vlookup(B3681,'Special Names'!A:B,2,FALSE),B3681),PlayerValues!E:E,0)),"N/A")</f>
        <v>17082</v>
      </c>
      <c r="B3681" s="4" t="s">
        <v>498</v>
      </c>
      <c r="C3681" s="4" t="s">
        <v>287</v>
      </c>
      <c r="D3681" s="94">
        <v>2653.0</v>
      </c>
    </row>
    <row r="3682">
      <c r="A3682" s="40">
        <f t="array" ref="A3682">IFNA(index(PlayerValues!A:A,match(IFNA(vlookup(B3682,'Special Names'!A:B,2,FALSE),B3682),PlayerValues!E:E,0)),"N/A")</f>
        <v>16080</v>
      </c>
      <c r="B3682" s="4" t="s">
        <v>499</v>
      </c>
      <c r="C3682" s="4" t="s">
        <v>287</v>
      </c>
      <c r="D3682" s="94">
        <v>2647.0</v>
      </c>
    </row>
    <row r="3683">
      <c r="A3683" s="40">
        <f t="array" ref="A3683">IFNA(index(PlayerValues!A:A,match(IFNA(vlookup(B3683,'Special Names'!A:B,2,FALSE),B3683),PlayerValues!E:E,0)),"N/A")</f>
        <v>16684</v>
      </c>
      <c r="B3683" s="4" t="s">
        <v>500</v>
      </c>
      <c r="C3683" s="4" t="s">
        <v>287</v>
      </c>
      <c r="D3683" s="94">
        <v>2644.0</v>
      </c>
    </row>
    <row r="3684">
      <c r="A3684" s="40">
        <f t="array" ref="A3684">IFNA(index(PlayerValues!A:A,match(IFNA(vlookup(B3684,'Special Names'!A:B,2,FALSE),B3684),PlayerValues!E:E,0)),"N/A")</f>
        <v>16596</v>
      </c>
      <c r="B3684" s="4" t="s">
        <v>501</v>
      </c>
      <c r="C3684" s="4" t="s">
        <v>278</v>
      </c>
      <c r="D3684" s="94">
        <v>2640.0</v>
      </c>
    </row>
    <row r="3685">
      <c r="A3685" s="40">
        <f t="array" ref="A3685">IFNA(index(PlayerValues!A:A,match(IFNA(vlookup(B3685,'Special Names'!A:B,2,FALSE),B3685),PlayerValues!E:E,0)),"N/A")</f>
        <v>16723</v>
      </c>
      <c r="B3685" s="4" t="s">
        <v>502</v>
      </c>
      <c r="C3685" s="4" t="s">
        <v>298</v>
      </c>
      <c r="D3685" s="94">
        <v>3046.0</v>
      </c>
    </row>
    <row r="3686">
      <c r="A3686" s="40">
        <f t="array" ref="A3686">IFNA(index(PlayerValues!A:A,match(IFNA(vlookup(B3686,'Special Names'!A:B,2,FALSE),B3686),PlayerValues!E:E,0)),"N/A")</f>
        <v>15889</v>
      </c>
      <c r="B3686" s="4" t="s">
        <v>503</v>
      </c>
      <c r="C3686" s="4" t="s">
        <v>298</v>
      </c>
      <c r="D3686" s="94">
        <v>3046.0</v>
      </c>
    </row>
    <row r="3687">
      <c r="A3687" s="40">
        <f t="array" ref="A3687">IFNA(index(PlayerValues!A:A,match(IFNA(vlookup(B3687,'Special Names'!A:B,2,FALSE),B3687),PlayerValues!E:E,0)),"N/A")</f>
        <v>15721</v>
      </c>
      <c r="B3687" s="4" t="s">
        <v>504</v>
      </c>
      <c r="C3687" s="4" t="s">
        <v>278</v>
      </c>
      <c r="D3687" s="94">
        <v>2632.0</v>
      </c>
    </row>
    <row r="3688">
      <c r="A3688" s="40">
        <f t="array" ref="A3688">IFNA(index(PlayerValues!A:A,match(IFNA(vlookup(B3688,'Special Names'!A:B,2,FALSE),B3688),PlayerValues!E:E,0)),"N/A")</f>
        <v>16174</v>
      </c>
      <c r="B3688" s="4" t="s">
        <v>505</v>
      </c>
      <c r="C3688" s="4" t="s">
        <v>278</v>
      </c>
      <c r="D3688" s="94">
        <v>2624.0</v>
      </c>
    </row>
    <row r="3689">
      <c r="A3689" s="40">
        <f t="array" ref="A3689">IFNA(index(PlayerValues!A:A,match(IFNA(vlookup(B3689,'Special Names'!A:B,2,FALSE),B3689),PlayerValues!E:E,0)),"N/A")</f>
        <v>13671</v>
      </c>
      <c r="B3689" s="4" t="s">
        <v>506</v>
      </c>
      <c r="C3689" s="4" t="s">
        <v>298</v>
      </c>
      <c r="D3689" s="94">
        <v>3030.0</v>
      </c>
    </row>
    <row r="3690">
      <c r="A3690" s="40">
        <f t="array" ref="A3690">IFNA(index(PlayerValues!A:A,match(IFNA(vlookup(B3690,'Special Names'!A:B,2,FALSE),B3690),PlayerValues!E:E,0)),"N/A")</f>
        <v>16178</v>
      </c>
      <c r="B3690" s="4" t="s">
        <v>507</v>
      </c>
      <c r="C3690" s="4" t="s">
        <v>278</v>
      </c>
      <c r="D3690" s="94">
        <v>2615.0</v>
      </c>
    </row>
    <row r="3691">
      <c r="A3691" s="40">
        <f t="array" ref="A3691">IFNA(index(PlayerValues!A:A,match(IFNA(vlookup(B3691,'Special Names'!A:B,2,FALSE),B3691),PlayerValues!E:E,0)),"N/A")</f>
        <v>17072</v>
      </c>
      <c r="B3691" s="4" t="s">
        <v>508</v>
      </c>
      <c r="C3691" s="4" t="s">
        <v>287</v>
      </c>
      <c r="D3691" s="94">
        <v>2611.0</v>
      </c>
    </row>
    <row r="3692">
      <c r="A3692" s="40">
        <f t="array" ref="A3692">IFNA(index(PlayerValues!A:A,match(IFNA(vlookup(B3692,'Special Names'!A:B,2,FALSE),B3692),PlayerValues!E:E,0)),"N/A")</f>
        <v>16195</v>
      </c>
      <c r="B3692" s="4" t="s">
        <v>509</v>
      </c>
      <c r="C3692" s="4" t="s">
        <v>287</v>
      </c>
      <c r="D3692" s="94">
        <v>2597.0</v>
      </c>
    </row>
    <row r="3693">
      <c r="A3693" s="40">
        <f t="array" ref="A3693">IFNA(index(PlayerValues!A:A,match(IFNA(vlookup(B3693,'Special Names'!A:B,2,FALSE),B3693),PlayerValues!E:E,0)),"N/A")</f>
        <v>17047</v>
      </c>
      <c r="B3693" s="4" t="s">
        <v>510</v>
      </c>
      <c r="C3693" s="4" t="s">
        <v>278</v>
      </c>
      <c r="D3693" s="94">
        <v>2597.0</v>
      </c>
    </row>
    <row r="3694">
      <c r="A3694" s="40">
        <f t="array" ref="A3694">IFNA(index(PlayerValues!A:A,match(IFNA(vlookup(B3694,'Special Names'!A:B,2,FALSE),B3694),PlayerValues!E:E,0)),"N/A")</f>
        <v>13674</v>
      </c>
      <c r="B3694" s="4" t="s">
        <v>511</v>
      </c>
      <c r="C3694" s="4" t="s">
        <v>298</v>
      </c>
      <c r="D3694" s="94">
        <v>2996.0</v>
      </c>
    </row>
    <row r="3695">
      <c r="A3695" s="40" t="str">
        <f t="array" ref="A3695">IFNA(index(PlayerValues!A:A,match(IFNA(vlookup(B3695,'Special Names'!A:B,2,FALSE),B3695),PlayerValues!E:E,0)),"N/A")</f>
        <v>N/A</v>
      </c>
      <c r="B3695" s="4" t="s">
        <v>98</v>
      </c>
      <c r="C3695" s="4" t="s">
        <v>325</v>
      </c>
      <c r="D3695" s="94">
        <v>2580.0</v>
      </c>
    </row>
    <row r="3696">
      <c r="A3696" s="40">
        <f t="array" ref="A3696">IFNA(index(PlayerValues!A:A,match(IFNA(vlookup(B3696,'Special Names'!A:B,2,FALSE),B3696),PlayerValues!E:E,0)),"N/A")</f>
        <v>16164</v>
      </c>
      <c r="B3696" s="4" t="s">
        <v>512</v>
      </c>
      <c r="C3696" s="4" t="s">
        <v>278</v>
      </c>
      <c r="D3696" s="94">
        <v>2577.0</v>
      </c>
    </row>
    <row r="3697">
      <c r="A3697" s="40">
        <f t="array" ref="A3697">IFNA(index(PlayerValues!A:A,match(IFNA(vlookup(B3697,'Special Names'!A:B,2,FALSE),B3697),PlayerValues!E:E,0)),"N/A")</f>
        <v>17474</v>
      </c>
      <c r="B3697" s="4" t="s">
        <v>513</v>
      </c>
      <c r="C3697" s="4" t="s">
        <v>278</v>
      </c>
      <c r="D3697" s="94">
        <v>2573.0</v>
      </c>
    </row>
    <row r="3698">
      <c r="A3698" s="40">
        <f t="array" ref="A3698">IFNA(index(PlayerValues!A:A,match(IFNA(vlookup(B3698,'Special Names'!A:B,2,FALSE),B3698),PlayerValues!E:E,0)),"N/A")</f>
        <v>17468</v>
      </c>
      <c r="B3698" s="4" t="s">
        <v>514</v>
      </c>
      <c r="C3698" s="4" t="s">
        <v>283</v>
      </c>
      <c r="D3698" s="94">
        <v>2559.0</v>
      </c>
    </row>
    <row r="3699">
      <c r="A3699" s="40">
        <f t="array" ref="A3699">IFNA(index(PlayerValues!A:A,match(IFNA(vlookup(B3699,'Special Names'!A:B,2,FALSE),B3699),PlayerValues!E:E,0)),"N/A")</f>
        <v>16626</v>
      </c>
      <c r="B3699" s="4" t="s">
        <v>515</v>
      </c>
      <c r="C3699" s="4" t="s">
        <v>287</v>
      </c>
      <c r="D3699" s="94">
        <v>2555.0</v>
      </c>
    </row>
    <row r="3700">
      <c r="A3700" s="40">
        <f t="array" ref="A3700">IFNA(index(PlayerValues!A:A,match(IFNA(vlookup(B3700,'Special Names'!A:B,2,FALSE),B3700),PlayerValues!E:E,0)),"N/A")</f>
        <v>16287</v>
      </c>
      <c r="B3700" s="4" t="s">
        <v>516</v>
      </c>
      <c r="C3700" s="4" t="s">
        <v>287</v>
      </c>
      <c r="D3700" s="94">
        <v>2543.0</v>
      </c>
    </row>
    <row r="3701">
      <c r="A3701" s="40">
        <f t="array" ref="A3701">IFNA(index(PlayerValues!A:A,match(IFNA(vlookup(B3701,'Special Names'!A:B,2,FALSE),B3701),PlayerValues!E:E,0)),"N/A")</f>
        <v>16622</v>
      </c>
      <c r="B3701" s="4" t="s">
        <v>517</v>
      </c>
      <c r="C3701" s="4" t="s">
        <v>287</v>
      </c>
      <c r="D3701" s="94">
        <v>2539.0</v>
      </c>
    </row>
    <row r="3702">
      <c r="A3702" s="40">
        <f t="array" ref="A3702">IFNA(index(PlayerValues!A:A,match(IFNA(vlookup(B3702,'Special Names'!A:B,2,FALSE),B3702),PlayerValues!E:E,0)),"N/A")</f>
        <v>17520</v>
      </c>
      <c r="B3702" s="4" t="s">
        <v>518</v>
      </c>
      <c r="C3702" s="4" t="s">
        <v>287</v>
      </c>
      <c r="D3702" s="94">
        <v>2532.0</v>
      </c>
    </row>
    <row r="3703">
      <c r="A3703" s="40">
        <f t="array" ref="A3703">IFNA(index(PlayerValues!A:A,match(IFNA(vlookup(B3703,'Special Names'!A:B,2,FALSE),B3703),PlayerValues!E:E,0)),"N/A")</f>
        <v>11244</v>
      </c>
      <c r="B3703" s="4" t="s">
        <v>519</v>
      </c>
      <c r="C3703" s="4" t="s">
        <v>298</v>
      </c>
      <c r="D3703" s="94">
        <v>2930.0</v>
      </c>
    </row>
    <row r="3704">
      <c r="A3704" s="40">
        <f t="array" ref="A3704">IFNA(index(PlayerValues!A:A,match(IFNA(vlookup(B3704,'Special Names'!A:B,2,FALSE),B3704),PlayerValues!E:E,0)),"N/A")</f>
        <v>16165</v>
      </c>
      <c r="B3704" s="4" t="s">
        <v>520</v>
      </c>
      <c r="C3704" s="4" t="s">
        <v>278</v>
      </c>
      <c r="D3704" s="94">
        <v>2523.0</v>
      </c>
    </row>
    <row r="3705">
      <c r="A3705" s="40" t="str">
        <f t="array" ref="A3705">IFNA(index(PlayerValues!A:A,match(IFNA(vlookup(B3705,'Special Names'!A:B,2,FALSE),B3705),PlayerValues!E:E,0)),"N/A")</f>
        <v>N/A</v>
      </c>
      <c r="B3705" s="4" t="s">
        <v>99</v>
      </c>
      <c r="C3705" s="4" t="s">
        <v>325</v>
      </c>
      <c r="D3705" s="94">
        <v>2505.0</v>
      </c>
    </row>
    <row r="3706">
      <c r="A3706" s="40">
        <f t="array" ref="A3706">IFNA(index(PlayerValues!A:A,match(IFNA(vlookup(B3706,'Special Names'!A:B,2,FALSE),B3706),PlayerValues!E:E,0)),"N/A")</f>
        <v>15786</v>
      </c>
      <c r="B3706" s="4" t="s">
        <v>521</v>
      </c>
      <c r="C3706" s="4" t="s">
        <v>287</v>
      </c>
      <c r="D3706" s="94">
        <v>2499.0</v>
      </c>
    </row>
    <row r="3707">
      <c r="A3707" s="40">
        <f t="array" ref="A3707">IFNA(index(PlayerValues!A:A,match(IFNA(vlookup(B3707,'Special Names'!A:B,2,FALSE),B3707),PlayerValues!E:E,0)),"N/A")</f>
        <v>17485</v>
      </c>
      <c r="B3707" s="4" t="s">
        <v>522</v>
      </c>
      <c r="C3707" s="4" t="s">
        <v>278</v>
      </c>
      <c r="D3707" s="94">
        <v>2499.0</v>
      </c>
    </row>
    <row r="3708">
      <c r="A3708" s="40">
        <f t="array" ref="A3708">IFNA(index(PlayerValues!A:A,match(IFNA(vlookup(B3708,'Special Names'!A:B,2,FALSE),B3708),PlayerValues!E:E,0)),"N/A")</f>
        <v>14861</v>
      </c>
      <c r="B3708" s="4" t="s">
        <v>523</v>
      </c>
      <c r="C3708" s="4" t="s">
        <v>298</v>
      </c>
      <c r="D3708" s="94">
        <v>2901.0</v>
      </c>
    </row>
    <row r="3709">
      <c r="A3709" s="40">
        <f t="array" ref="A3709">IFNA(index(PlayerValues!A:A,match(IFNA(vlookup(B3709,'Special Names'!A:B,2,FALSE),B3709),PlayerValues!E:E,0)),"N/A")</f>
        <v>17157</v>
      </c>
      <c r="B3709" s="4" t="s">
        <v>524</v>
      </c>
      <c r="C3709" s="4" t="s">
        <v>287</v>
      </c>
      <c r="D3709" s="94">
        <v>2494.0</v>
      </c>
    </row>
    <row r="3710">
      <c r="A3710" s="40">
        <f t="array" ref="A3710">IFNA(index(PlayerValues!A:A,match(IFNA(vlookup(B3710,'Special Names'!A:B,2,FALSE),B3710),PlayerValues!E:E,0)),"N/A")</f>
        <v>17105</v>
      </c>
      <c r="B3710" s="4" t="s">
        <v>525</v>
      </c>
      <c r="C3710" s="4" t="s">
        <v>298</v>
      </c>
      <c r="D3710" s="94">
        <v>2892.0</v>
      </c>
    </row>
    <row r="3711">
      <c r="A3711" s="40">
        <f t="array" ref="A3711">IFNA(index(PlayerValues!A:A,match(IFNA(vlookup(B3711,'Special Names'!A:B,2,FALSE),B3711),PlayerValues!E:E,0)),"N/A")</f>
        <v>17607</v>
      </c>
      <c r="B3711" s="4" t="s">
        <v>526</v>
      </c>
      <c r="C3711" s="4" t="s">
        <v>298</v>
      </c>
      <c r="D3711" s="94">
        <v>2891.0</v>
      </c>
    </row>
    <row r="3712">
      <c r="A3712" s="40">
        <f t="array" ref="A3712">IFNA(index(PlayerValues!A:A,match(IFNA(vlookup(B3712,'Special Names'!A:B,2,FALSE),B3712),PlayerValues!E:E,0)),"N/A")</f>
        <v>17478</v>
      </c>
      <c r="B3712" s="4" t="s">
        <v>527</v>
      </c>
      <c r="C3712" s="4" t="s">
        <v>278</v>
      </c>
      <c r="D3712" s="94">
        <v>2486.0</v>
      </c>
    </row>
    <row r="3713">
      <c r="A3713" s="40">
        <f t="array" ref="A3713">IFNA(index(PlayerValues!A:A,match(IFNA(vlookup(B3713,'Special Names'!A:B,2,FALSE),B3713),PlayerValues!E:E,0)),"N/A")</f>
        <v>17505</v>
      </c>
      <c r="B3713" s="4" t="s">
        <v>528</v>
      </c>
      <c r="C3713" s="4" t="s">
        <v>287</v>
      </c>
      <c r="D3713" s="94">
        <v>2483.0</v>
      </c>
    </row>
    <row r="3714">
      <c r="A3714" s="40">
        <f t="array" ref="A3714">IFNA(index(PlayerValues!A:A,match(IFNA(vlookup(B3714,'Special Names'!A:B,2,FALSE),B3714),PlayerValues!E:E,0)),"N/A")</f>
        <v>12616</v>
      </c>
      <c r="B3714" s="4" t="s">
        <v>529</v>
      </c>
      <c r="C3714" s="4" t="s">
        <v>283</v>
      </c>
      <c r="D3714" s="94">
        <v>2477.0</v>
      </c>
    </row>
    <row r="3715">
      <c r="A3715" s="40">
        <f t="array" ref="A3715">IFNA(index(PlayerValues!A:A,match(IFNA(vlookup(B3715,'Special Names'!A:B,2,FALSE),B3715),PlayerValues!E:E,0)),"N/A")</f>
        <v>16204</v>
      </c>
      <c r="B3715" s="4" t="s">
        <v>530</v>
      </c>
      <c r="C3715" s="4" t="s">
        <v>287</v>
      </c>
      <c r="D3715" s="94">
        <v>2477.0</v>
      </c>
    </row>
    <row r="3716">
      <c r="A3716" s="40">
        <f t="array" ref="A3716">IFNA(index(PlayerValues!A:A,match(IFNA(vlookup(B3716,'Special Names'!A:B,2,FALSE),B3716),PlayerValues!E:E,0)),"N/A")</f>
        <v>14138</v>
      </c>
      <c r="B3716" s="4" t="s">
        <v>531</v>
      </c>
      <c r="C3716" s="4" t="s">
        <v>298</v>
      </c>
      <c r="D3716" s="94">
        <v>2863.0</v>
      </c>
    </row>
    <row r="3717">
      <c r="A3717" s="40">
        <f t="array" ref="A3717">IFNA(index(PlayerValues!A:A,match(IFNA(vlookup(B3717,'Special Names'!A:B,2,FALSE),B3717),PlayerValues!E:E,0)),"N/A")</f>
        <v>17080</v>
      </c>
      <c r="B3717" s="4" t="s">
        <v>532</v>
      </c>
      <c r="C3717" s="4" t="s">
        <v>287</v>
      </c>
      <c r="D3717" s="94">
        <v>2456.0</v>
      </c>
    </row>
    <row r="3718">
      <c r="A3718" s="40" t="str">
        <f t="array" ref="A3718">IFNA(index(PlayerValues!A:A,match(IFNA(vlookup(B3718,'Special Names'!A:B,2,FALSE),B3718),PlayerValues!E:E,0)),"N/A")</f>
        <v>N/A</v>
      </c>
      <c r="B3718" s="4" t="s">
        <v>86</v>
      </c>
      <c r="C3718" s="4" t="s">
        <v>325</v>
      </c>
      <c r="D3718" s="94">
        <v>2449.0</v>
      </c>
    </row>
    <row r="3719">
      <c r="A3719" s="40">
        <f t="array" ref="A3719">IFNA(index(PlayerValues!A:A,match(IFNA(vlookup(B3719,'Special Names'!A:B,2,FALSE),B3719),PlayerValues!E:E,0)),"N/A")</f>
        <v>17098</v>
      </c>
      <c r="B3719" s="4" t="s">
        <v>533</v>
      </c>
      <c r="C3719" s="4" t="s">
        <v>287</v>
      </c>
      <c r="D3719" s="94">
        <v>2409.0</v>
      </c>
    </row>
    <row r="3720">
      <c r="A3720" s="40">
        <f t="array" ref="A3720">IFNA(index(PlayerValues!A:A,match(IFNA(vlookup(B3720,'Special Names'!A:B,2,FALSE),B3720),PlayerValues!E:E,0)),"N/A")</f>
        <v>17508</v>
      </c>
      <c r="B3720" s="4" t="s">
        <v>534</v>
      </c>
      <c r="C3720" s="4" t="s">
        <v>287</v>
      </c>
      <c r="D3720" s="94">
        <v>2374.0</v>
      </c>
    </row>
    <row r="3721">
      <c r="A3721" s="40">
        <f t="array" ref="A3721">IFNA(index(PlayerValues!A:A,match(IFNA(vlookup(B3721,'Special Names'!A:B,2,FALSE),B3721),PlayerValues!E:E,0)),"N/A")</f>
        <v>17031</v>
      </c>
      <c r="B3721" s="4" t="s">
        <v>535</v>
      </c>
      <c r="C3721" s="4" t="s">
        <v>283</v>
      </c>
      <c r="D3721" s="94">
        <v>2363.0</v>
      </c>
    </row>
    <row r="3722">
      <c r="A3722" s="40" t="str">
        <f t="array" ref="A3722">IFNA(index(PlayerValues!A:A,match(IFNA(vlookup(B3722,'Special Names'!A:B,2,FALSE),B3722),PlayerValues!E:E,0)),"N/A")</f>
        <v>N/A</v>
      </c>
      <c r="B3722" s="4" t="s">
        <v>100</v>
      </c>
      <c r="C3722" s="4" t="s">
        <v>325</v>
      </c>
      <c r="D3722" s="94">
        <v>2361.0</v>
      </c>
    </row>
    <row r="3723">
      <c r="A3723" s="40">
        <f t="array" ref="A3723">IFNA(index(PlayerValues!A:A,match(IFNA(vlookup(B3723,'Special Names'!A:B,2,FALSE),B3723),PlayerValues!E:E,0)),"N/A")</f>
        <v>14136</v>
      </c>
      <c r="B3723" s="4" t="s">
        <v>536</v>
      </c>
      <c r="C3723" s="4" t="s">
        <v>287</v>
      </c>
      <c r="D3723" s="94">
        <v>2360.0</v>
      </c>
    </row>
    <row r="3724">
      <c r="A3724" s="40">
        <f t="array" ref="A3724">IFNA(index(PlayerValues!A:A,match(IFNA(vlookup(B3724,'Special Names'!A:B,2,FALSE),B3724),PlayerValues!E:E,0)),"N/A")</f>
        <v>12676</v>
      </c>
      <c r="B3724" s="4" t="s">
        <v>537</v>
      </c>
      <c r="C3724" s="4" t="s">
        <v>298</v>
      </c>
      <c r="D3724" s="94">
        <v>2755.0</v>
      </c>
    </row>
    <row r="3725">
      <c r="A3725" s="40">
        <f t="array" ref="A3725">IFNA(index(PlayerValues!A:A,match(IFNA(vlookup(B3725,'Special Names'!A:B,2,FALSE),B3725),PlayerValues!E:E,0)),"N/A")</f>
        <v>16619</v>
      </c>
      <c r="B3725" s="4" t="s">
        <v>538</v>
      </c>
      <c r="C3725" s="4" t="s">
        <v>287</v>
      </c>
      <c r="D3725" s="94">
        <v>2349.0</v>
      </c>
    </row>
    <row r="3726">
      <c r="A3726" s="40">
        <f t="array" ref="A3726">IFNA(index(PlayerValues!A:A,match(IFNA(vlookup(B3726,'Special Names'!A:B,2,FALSE),B3726),PlayerValues!E:E,0)),"N/A")</f>
        <v>17048</v>
      </c>
      <c r="B3726" s="4" t="s">
        <v>539</v>
      </c>
      <c r="C3726" s="4" t="s">
        <v>278</v>
      </c>
      <c r="D3726" s="94">
        <v>2348.0</v>
      </c>
    </row>
    <row r="3727">
      <c r="A3727" s="40">
        <f t="array" ref="A3727">IFNA(index(PlayerValues!A:A,match(IFNA(vlookup(B3727,'Special Names'!A:B,2,FALSE),B3727),PlayerValues!E:E,0)),"N/A")</f>
        <v>17481</v>
      </c>
      <c r="B3727" s="4" t="s">
        <v>540</v>
      </c>
      <c r="C3727" s="4" t="s">
        <v>278</v>
      </c>
      <c r="D3727" s="94">
        <v>2332.0</v>
      </c>
    </row>
    <row r="3728">
      <c r="A3728" s="40">
        <f t="array" ref="A3728">IFNA(index(PlayerValues!A:A,match(IFNA(vlookup(B3728,'Special Names'!A:B,2,FALSE),B3728),PlayerValues!E:E,0)),"N/A")</f>
        <v>16617</v>
      </c>
      <c r="B3728" s="4" t="s">
        <v>541</v>
      </c>
      <c r="C3728" s="4" t="s">
        <v>287</v>
      </c>
      <c r="D3728" s="94">
        <v>2327.0</v>
      </c>
    </row>
    <row r="3729">
      <c r="A3729" s="40">
        <f t="array" ref="A3729">IFNA(index(PlayerValues!A:A,match(IFNA(vlookup(B3729,'Special Names'!A:B,2,FALSE),B3729),PlayerValues!E:E,0)),"N/A")</f>
        <v>17108</v>
      </c>
      <c r="B3729" s="4" t="s">
        <v>542</v>
      </c>
      <c r="C3729" s="4" t="s">
        <v>298</v>
      </c>
      <c r="D3729" s="94">
        <v>2716.0</v>
      </c>
    </row>
    <row r="3730">
      <c r="A3730" s="40" t="str">
        <f t="array" ref="A3730">IFNA(index(PlayerValues!A:A,match(IFNA(vlookup(B3730,'Special Names'!A:B,2,FALSE),B3730),PlayerValues!E:E,0)),"N/A")</f>
        <v>N/A</v>
      </c>
      <c r="B3730" s="4" t="s">
        <v>87</v>
      </c>
      <c r="C3730" s="4" t="s">
        <v>325</v>
      </c>
      <c r="D3730" s="94">
        <v>2318.0</v>
      </c>
    </row>
    <row r="3731">
      <c r="A3731" s="40">
        <f t="array" ref="A3731">IFNA(index(PlayerValues!A:A,match(IFNA(vlookup(B3731,'Special Names'!A:B,2,FALSE),B3731),PlayerValues!E:E,0)),"N/A")</f>
        <v>17078</v>
      </c>
      <c r="B3731" s="4" t="s">
        <v>543</v>
      </c>
      <c r="C3731" s="4" t="s">
        <v>287</v>
      </c>
      <c r="D3731" s="94">
        <v>2318.0</v>
      </c>
    </row>
    <row r="3732">
      <c r="A3732" s="40" t="str">
        <f t="array" ref="A3732">IFNA(index(PlayerValues!A:A,match(IFNA(vlookup(B3732,'Special Names'!A:B,2,FALSE),B3732),PlayerValues!E:E,0)),"N/A")</f>
        <v>N/A</v>
      </c>
      <c r="B3732" s="4" t="s">
        <v>112</v>
      </c>
      <c r="C3732" s="4" t="s">
        <v>325</v>
      </c>
      <c r="D3732" s="94">
        <v>2311.0</v>
      </c>
    </row>
    <row r="3733">
      <c r="A3733" s="40">
        <f t="array" ref="A3733">IFNA(index(PlayerValues!A:A,match(IFNA(vlookup(B3733,'Special Names'!A:B,2,FALSE),B3733),PlayerValues!E:E,0)),"N/A")</f>
        <v>13772</v>
      </c>
      <c r="B3733" s="4" t="s">
        <v>544</v>
      </c>
      <c r="C3733" s="4" t="s">
        <v>298</v>
      </c>
      <c r="D3733" s="94">
        <v>2708.0</v>
      </c>
    </row>
    <row r="3734">
      <c r="A3734" s="40">
        <f t="array" ref="A3734">IFNA(index(PlayerValues!A:A,match(IFNA(vlookup(B3734,'Special Names'!A:B,2,FALSE),B3734),PlayerValues!E:E,0)),"N/A")</f>
        <v>15716</v>
      </c>
      <c r="B3734" s="4" t="s">
        <v>545</v>
      </c>
      <c r="C3734" s="4" t="s">
        <v>278</v>
      </c>
      <c r="D3734" s="94">
        <v>2282.0</v>
      </c>
    </row>
    <row r="3735">
      <c r="A3735" s="40">
        <f t="array" ref="A3735">IFNA(index(PlayerValues!A:A,match(IFNA(vlookup(B3735,'Special Names'!A:B,2,FALSE),B3735),PlayerValues!E:E,0)),"N/A")</f>
        <v>15241</v>
      </c>
      <c r="B3735" s="4" t="s">
        <v>546</v>
      </c>
      <c r="C3735" s="4" t="s">
        <v>283</v>
      </c>
      <c r="D3735" s="94">
        <v>2275.0</v>
      </c>
    </row>
    <row r="3736">
      <c r="A3736" s="40">
        <f t="array" ref="A3736">IFNA(index(PlayerValues!A:A,match(IFNA(vlookup(B3736,'Special Names'!A:B,2,FALSE),B3736),PlayerValues!E:E,0)),"N/A")</f>
        <v>17073</v>
      </c>
      <c r="B3736" s="4" t="s">
        <v>547</v>
      </c>
      <c r="C3736" s="4" t="s">
        <v>287</v>
      </c>
      <c r="D3736" s="94">
        <v>2273.0</v>
      </c>
    </row>
    <row r="3737">
      <c r="A3737" s="40">
        <f t="array" ref="A3737">IFNA(index(PlayerValues!A:A,match(IFNA(vlookup(B3737,'Special Names'!A:B,2,FALSE),B3737),PlayerValues!E:E,0)),"N/A")</f>
        <v>17134</v>
      </c>
      <c r="B3737" s="4" t="s">
        <v>548</v>
      </c>
      <c r="C3737" s="4" t="s">
        <v>287</v>
      </c>
      <c r="D3737" s="94">
        <v>2268.0</v>
      </c>
    </row>
    <row r="3738">
      <c r="A3738" s="40">
        <f t="array" ref="A3738">IFNA(index(PlayerValues!A:A,match(IFNA(vlookup(B3738,'Special Names'!A:B,2,FALSE),B3738),PlayerValues!E:E,0)),"N/A")</f>
        <v>13319</v>
      </c>
      <c r="B3738" s="4" t="s">
        <v>549</v>
      </c>
      <c r="C3738" s="4" t="s">
        <v>278</v>
      </c>
      <c r="D3738" s="94">
        <v>2263.0</v>
      </c>
    </row>
    <row r="3739">
      <c r="A3739" s="40">
        <f t="array" ref="A3739">IFNA(index(PlayerValues!A:A,match(IFNA(vlookup(B3739,'Special Names'!A:B,2,FALSE),B3739),PlayerValues!E:E,0)),"N/A")</f>
        <v>17106</v>
      </c>
      <c r="B3739" s="4" t="s">
        <v>550</v>
      </c>
      <c r="C3739" s="4" t="s">
        <v>298</v>
      </c>
      <c r="D3739" s="94">
        <v>2649.0</v>
      </c>
    </row>
    <row r="3740">
      <c r="A3740" s="40">
        <f t="array" ref="A3740">IFNA(index(PlayerValues!A:A,match(IFNA(vlookup(B3740,'Special Names'!A:B,2,FALSE),B3740),PlayerValues!E:E,0)),"N/A")</f>
        <v>17509</v>
      </c>
      <c r="B3740" s="4" t="s">
        <v>551</v>
      </c>
      <c r="C3740" s="4" t="s">
        <v>287</v>
      </c>
      <c r="D3740" s="94">
        <v>2251.0</v>
      </c>
    </row>
    <row r="3741">
      <c r="A3741" s="40">
        <f t="array" ref="A3741">IFNA(index(PlayerValues!A:A,match(IFNA(vlookup(B3741,'Special Names'!A:B,2,FALSE),B3741),PlayerValues!E:E,0)),"N/A")</f>
        <v>17547</v>
      </c>
      <c r="B3741" s="4" t="s">
        <v>552</v>
      </c>
      <c r="C3741" s="4" t="s">
        <v>298</v>
      </c>
      <c r="D3741" s="94">
        <v>2644.0</v>
      </c>
    </row>
    <row r="3742">
      <c r="A3742" s="40">
        <f t="array" ref="A3742">IFNA(index(PlayerValues!A:A,match(IFNA(vlookup(B3742,'Special Names'!A:B,2,FALSE),B3742),PlayerValues!E:E,0)),"N/A")</f>
        <v>14833</v>
      </c>
      <c r="B3742" s="4" t="s">
        <v>553</v>
      </c>
      <c r="C3742" s="4" t="s">
        <v>287</v>
      </c>
      <c r="D3742" s="94">
        <v>2236.0</v>
      </c>
    </row>
    <row r="3743">
      <c r="A3743" s="40">
        <f t="array" ref="A3743">IFNA(index(PlayerValues!A:A,match(IFNA(vlookup(B3743,'Special Names'!A:B,2,FALSE),B3743),PlayerValues!E:E,0)),"N/A")</f>
        <v>14860</v>
      </c>
      <c r="B3743" s="4" t="s">
        <v>554</v>
      </c>
      <c r="C3743" s="4" t="s">
        <v>287</v>
      </c>
      <c r="D3743" s="94">
        <v>2230.0</v>
      </c>
    </row>
    <row r="3744">
      <c r="A3744" s="40">
        <f t="array" ref="A3744">IFNA(index(PlayerValues!A:A,match(IFNA(vlookup(B3744,'Special Names'!A:B,2,FALSE),B3744),PlayerValues!E:E,0)),"N/A")</f>
        <v>16747</v>
      </c>
      <c r="B3744" s="4" t="s">
        <v>555</v>
      </c>
      <c r="C3744" s="4" t="s">
        <v>278</v>
      </c>
      <c r="D3744" s="94">
        <v>2199.0</v>
      </c>
    </row>
    <row r="3745">
      <c r="A3745" s="40">
        <f t="array" ref="A3745">IFNA(index(PlayerValues!A:A,match(IFNA(vlookup(B3745,'Special Names'!A:B,2,FALSE),B3745),PlayerValues!E:E,0)),"N/A")</f>
        <v>15797</v>
      </c>
      <c r="B3745" s="4" t="s">
        <v>556</v>
      </c>
      <c r="C3745" s="4" t="s">
        <v>298</v>
      </c>
      <c r="D3745" s="94">
        <v>2590.0</v>
      </c>
    </row>
    <row r="3746">
      <c r="A3746" s="40" t="str">
        <f t="array" ref="A3746">IFNA(index(PlayerValues!A:A,match(IFNA(vlookup(B3746,'Special Names'!A:B,2,FALSE),B3746),PlayerValues!E:E,0)),"N/A")</f>
        <v>N/A</v>
      </c>
      <c r="B3746" s="4" t="s">
        <v>557</v>
      </c>
      <c r="C3746" s="4" t="s">
        <v>278</v>
      </c>
      <c r="D3746" s="94">
        <v>2175.0</v>
      </c>
    </row>
    <row r="3747">
      <c r="A3747" s="40">
        <f t="array" ref="A3747">IFNA(index(PlayerValues!A:A,match(IFNA(vlookup(B3747,'Special Names'!A:B,2,FALSE),B3747),PlayerValues!E:E,0)),"N/A")</f>
        <v>16757</v>
      </c>
      <c r="B3747" s="4" t="s">
        <v>558</v>
      </c>
      <c r="C3747" s="4" t="s">
        <v>278</v>
      </c>
      <c r="D3747" s="94">
        <v>2168.0</v>
      </c>
    </row>
    <row r="3748">
      <c r="A3748" s="40" t="str">
        <f t="array" ref="A3748">IFNA(index(PlayerValues!A:A,match(IFNA(vlookup(B3748,'Special Names'!A:B,2,FALSE),B3748),PlayerValues!E:E,0)),"N/A")</f>
        <v>N/A</v>
      </c>
      <c r="B3748" s="4" t="s">
        <v>113</v>
      </c>
      <c r="C3748" s="4" t="s">
        <v>325</v>
      </c>
      <c r="D3748" s="94">
        <v>2166.0</v>
      </c>
    </row>
    <row r="3749">
      <c r="A3749" s="40">
        <f t="array" ref="A3749">IFNA(index(PlayerValues!A:A,match(IFNA(vlookup(B3749,'Special Names'!A:B,2,FALSE),B3749),PlayerValues!E:E,0)),"N/A")</f>
        <v>11150</v>
      </c>
      <c r="B3749" s="4" t="s">
        <v>559</v>
      </c>
      <c r="C3749" s="4" t="s">
        <v>283</v>
      </c>
      <c r="D3749" s="94">
        <v>2159.0</v>
      </c>
    </row>
    <row r="3750">
      <c r="A3750" s="40">
        <f t="array" ref="A3750">IFNA(index(PlayerValues!A:A,match(IFNA(vlookup(B3750,'Special Names'!A:B,2,FALSE),B3750),PlayerValues!E:E,0)),"N/A")</f>
        <v>15331</v>
      </c>
      <c r="B3750" s="4" t="s">
        <v>560</v>
      </c>
      <c r="C3750" s="4" t="s">
        <v>298</v>
      </c>
      <c r="D3750" s="94">
        <v>2536.0</v>
      </c>
    </row>
    <row r="3751">
      <c r="A3751" s="40">
        <f t="array" ref="A3751">IFNA(index(PlayerValues!A:A,match(IFNA(vlookup(B3751,'Special Names'!A:B,2,FALSE),B3751),PlayerValues!E:E,0)),"N/A")</f>
        <v>17171</v>
      </c>
      <c r="B3751" s="4" t="s">
        <v>561</v>
      </c>
      <c r="C3751" s="4" t="s">
        <v>287</v>
      </c>
      <c r="D3751" s="94">
        <v>2143.0</v>
      </c>
    </row>
    <row r="3752">
      <c r="A3752" s="40">
        <f t="array" ref="A3752">IFNA(index(PlayerValues!A:A,match(IFNA(vlookup(B3752,'Special Names'!A:B,2,FALSE),B3752),PlayerValues!E:E,0)),"N/A")</f>
        <v>16610</v>
      </c>
      <c r="B3752" s="4" t="s">
        <v>562</v>
      </c>
      <c r="C3752" s="4" t="s">
        <v>278</v>
      </c>
      <c r="D3752" s="94">
        <v>2140.0</v>
      </c>
    </row>
    <row r="3753">
      <c r="A3753" s="40">
        <f t="array" ref="A3753">IFNA(index(PlayerValues!A:A,match(IFNA(vlookup(B3753,'Special Names'!A:B,2,FALSE),B3753),PlayerValues!E:E,0)),"N/A")</f>
        <v>13192</v>
      </c>
      <c r="B3753" s="4" t="s">
        <v>563</v>
      </c>
      <c r="C3753" s="4" t="s">
        <v>298</v>
      </c>
      <c r="D3753" s="94">
        <v>2529.0</v>
      </c>
    </row>
    <row r="3754">
      <c r="A3754" s="40">
        <f t="array" ref="A3754">IFNA(index(PlayerValues!A:A,match(IFNA(vlookup(B3754,'Special Names'!A:B,2,FALSE),B3754),PlayerValues!E:E,0)),"N/A")</f>
        <v>14778</v>
      </c>
      <c r="B3754" s="4" t="s">
        <v>564</v>
      </c>
      <c r="C3754" s="4" t="s">
        <v>283</v>
      </c>
      <c r="D3754" s="94">
        <v>2139.0</v>
      </c>
    </row>
    <row r="3755">
      <c r="A3755" s="40">
        <f t="array" ref="A3755">IFNA(index(PlayerValues!A:A,match(IFNA(vlookup(B3755,'Special Names'!A:B,2,FALSE),B3755),PlayerValues!E:E,0)),"N/A")</f>
        <v>17055</v>
      </c>
      <c r="B3755" s="4" t="s">
        <v>565</v>
      </c>
      <c r="C3755" s="4" t="s">
        <v>278</v>
      </c>
      <c r="D3755" s="94">
        <v>2138.0</v>
      </c>
    </row>
    <row r="3756">
      <c r="A3756" s="40">
        <f t="array" ref="A3756">IFNA(index(PlayerValues!A:A,match(IFNA(vlookup(B3756,'Special Names'!A:B,2,FALSE),B3756),PlayerValues!E:E,0)),"N/A")</f>
        <v>15802</v>
      </c>
      <c r="B3756" s="4" t="s">
        <v>566</v>
      </c>
      <c r="C3756" s="4" t="s">
        <v>298</v>
      </c>
      <c r="D3756" s="94">
        <v>2529.0</v>
      </c>
    </row>
    <row r="3757">
      <c r="A3757" s="40" t="str">
        <f t="array" ref="A3757">IFNA(index(PlayerValues!A:A,match(IFNA(vlookup(B3757,'Special Names'!A:B,2,FALSE),B3757),PlayerValues!E:E,0)),"N/A")</f>
        <v>N/A</v>
      </c>
      <c r="B3757" s="4" t="s">
        <v>88</v>
      </c>
      <c r="C3757" s="4" t="s">
        <v>325</v>
      </c>
      <c r="D3757" s="94">
        <v>2133.0</v>
      </c>
    </row>
    <row r="3758">
      <c r="A3758" s="40">
        <f t="array" ref="A3758">IFNA(index(PlayerValues!A:A,match(IFNA(vlookup(B3758,'Special Names'!A:B,2,FALSE),B3758),PlayerValues!E:E,0)),"N/A")</f>
        <v>16166</v>
      </c>
      <c r="B3758" s="4" t="s">
        <v>567</v>
      </c>
      <c r="C3758" s="4" t="s">
        <v>278</v>
      </c>
      <c r="D3758" s="94">
        <v>2126.0</v>
      </c>
    </row>
    <row r="3759">
      <c r="A3759" s="40">
        <f t="array" ref="A3759">IFNA(index(PlayerValues!A:A,match(IFNA(vlookup(B3759,'Special Names'!A:B,2,FALSE),B3759),PlayerValues!E:E,0)),"N/A")</f>
        <v>16212</v>
      </c>
      <c r="B3759" s="4" t="s">
        <v>568</v>
      </c>
      <c r="C3759" s="4" t="s">
        <v>298</v>
      </c>
      <c r="D3759" s="94">
        <v>2509.0</v>
      </c>
    </row>
    <row r="3760">
      <c r="A3760" s="40">
        <f t="array" ref="A3760">IFNA(index(PlayerValues!A:A,match(IFNA(vlookup(B3760,'Special Names'!A:B,2,FALSE),B3760),PlayerValues!E:E,0)),"N/A")</f>
        <v>16584</v>
      </c>
      <c r="B3760" s="4" t="s">
        <v>569</v>
      </c>
      <c r="C3760" s="4" t="s">
        <v>283</v>
      </c>
      <c r="D3760" s="94">
        <v>2109.0</v>
      </c>
    </row>
    <row r="3761">
      <c r="A3761" s="40">
        <f t="array" ref="A3761">IFNA(index(PlayerValues!A:A,match(IFNA(vlookup(B3761,'Special Names'!A:B,2,FALSE),B3761),PlayerValues!E:E,0)),"N/A")</f>
        <v>17033</v>
      </c>
      <c r="B3761" s="4" t="s">
        <v>570</v>
      </c>
      <c r="C3761" s="4" t="s">
        <v>283</v>
      </c>
      <c r="D3761" s="94">
        <v>2104.0</v>
      </c>
    </row>
    <row r="3762">
      <c r="A3762" s="40">
        <f t="array" ref="A3762">IFNA(index(PlayerValues!A:A,match(IFNA(vlookup(B3762,'Special Names'!A:B,2,FALSE),B3762),PlayerValues!E:E,0)),"N/A")</f>
        <v>17567</v>
      </c>
      <c r="B3762" s="4" t="s">
        <v>571</v>
      </c>
      <c r="C3762" s="4" t="s">
        <v>298</v>
      </c>
      <c r="D3762" s="94">
        <v>2473.0</v>
      </c>
    </row>
    <row r="3763">
      <c r="A3763" s="40">
        <f t="array" ref="A3763">IFNA(index(PlayerValues!A:A,match(IFNA(vlookup(B3763,'Special Names'!A:B,2,FALSE),B3763),PlayerValues!E:E,0)),"N/A")</f>
        <v>17079</v>
      </c>
      <c r="B3763" s="4" t="s">
        <v>572</v>
      </c>
      <c r="C3763" s="4" t="s">
        <v>287</v>
      </c>
      <c r="D3763" s="94">
        <v>2081.0</v>
      </c>
    </row>
    <row r="3764">
      <c r="A3764" s="40" t="str">
        <f t="array" ref="A3764">IFNA(index(PlayerValues!A:A,match(IFNA(vlookup(B3764,'Special Names'!A:B,2,FALSE),B3764),PlayerValues!E:E,0)),"N/A")</f>
        <v>N/A</v>
      </c>
      <c r="B3764" s="4" t="s">
        <v>114</v>
      </c>
      <c r="C3764" s="4" t="s">
        <v>325</v>
      </c>
      <c r="D3764" s="94">
        <v>2075.0</v>
      </c>
    </row>
    <row r="3765">
      <c r="A3765" s="40">
        <f t="array" ref="A3765">IFNA(index(PlayerValues!A:A,match(IFNA(vlookup(B3765,'Special Names'!A:B,2,FALSE),B3765),PlayerValues!E:E,0)),"N/A")</f>
        <v>17521</v>
      </c>
      <c r="B3765" s="4" t="s">
        <v>573</v>
      </c>
      <c r="C3765" s="4" t="s">
        <v>287</v>
      </c>
      <c r="D3765" s="94">
        <v>2071.0</v>
      </c>
    </row>
    <row r="3766">
      <c r="A3766" s="40">
        <f t="array" ref="A3766">IFNA(index(PlayerValues!A:A,match(IFNA(vlookup(B3766,'Special Names'!A:B,2,FALSE),B3766),PlayerValues!E:E,0)),"N/A")</f>
        <v>15749</v>
      </c>
      <c r="B3766" s="4" t="s">
        <v>574</v>
      </c>
      <c r="C3766" s="4" t="s">
        <v>278</v>
      </c>
      <c r="D3766" s="94">
        <v>2068.0</v>
      </c>
    </row>
    <row r="3767">
      <c r="A3767" s="40">
        <f t="array" ref="A3767">IFNA(index(PlayerValues!A:A,match(IFNA(vlookup(B3767,'Special Names'!A:B,2,FALSE),B3767),PlayerValues!E:E,0)),"N/A")</f>
        <v>17467</v>
      </c>
      <c r="B3767" s="4" t="s">
        <v>575</v>
      </c>
      <c r="C3767" s="4" t="s">
        <v>283</v>
      </c>
      <c r="D3767" s="94">
        <v>2050.0</v>
      </c>
    </row>
    <row r="3768">
      <c r="A3768" s="40">
        <f t="array" ref="A3768">IFNA(index(PlayerValues!A:A,match(IFNA(vlookup(B3768,'Special Names'!A:B,2,FALSE),B3768),PlayerValues!E:E,0)),"N/A")</f>
        <v>17652</v>
      </c>
      <c r="B3768" s="4" t="s">
        <v>576</v>
      </c>
      <c r="C3768" s="4" t="s">
        <v>278</v>
      </c>
      <c r="D3768" s="94">
        <v>2048.0</v>
      </c>
    </row>
    <row r="3769">
      <c r="A3769" s="40">
        <f t="array" ref="A3769">IFNA(index(PlayerValues!A:A,match(IFNA(vlookup(B3769,'Special Names'!A:B,2,FALSE),B3769),PlayerValues!E:E,0)),"N/A")</f>
        <v>16778</v>
      </c>
      <c r="B3769" s="4" t="s">
        <v>577</v>
      </c>
      <c r="C3769" s="4" t="s">
        <v>287</v>
      </c>
      <c r="D3769" s="94">
        <v>2039.0</v>
      </c>
    </row>
    <row r="3770">
      <c r="A3770" s="40">
        <f t="array" ref="A3770">IFNA(index(PlayerValues!A:A,match(IFNA(vlookup(B3770,'Special Names'!A:B,2,FALSE),B3770),PlayerValues!E:E,0)),"N/A")</f>
        <v>15293</v>
      </c>
      <c r="B3770" s="4" t="s">
        <v>578</v>
      </c>
      <c r="C3770" s="4" t="s">
        <v>287</v>
      </c>
      <c r="D3770" s="94">
        <v>2029.0</v>
      </c>
    </row>
    <row r="3771">
      <c r="A3771" s="40">
        <f t="array" ref="A3771">IFNA(index(PlayerValues!A:A,match(IFNA(vlookup(B3771,'Special Names'!A:B,2,FALSE),B3771),PlayerValues!E:E,0)),"N/A")</f>
        <v>17528</v>
      </c>
      <c r="B3771" s="4" t="s">
        <v>579</v>
      </c>
      <c r="C3771" s="4" t="s">
        <v>287</v>
      </c>
      <c r="D3771" s="94">
        <v>2029.0</v>
      </c>
    </row>
    <row r="3772">
      <c r="A3772" s="40">
        <f t="array" ref="A3772">IFNA(index(PlayerValues!A:A,match(IFNA(vlookup(B3772,'Special Names'!A:B,2,FALSE),B3772),PlayerValues!E:E,0)),"N/A")</f>
        <v>17061</v>
      </c>
      <c r="B3772" s="4" t="s">
        <v>580</v>
      </c>
      <c r="C3772" s="4" t="s">
        <v>278</v>
      </c>
      <c r="D3772" s="94">
        <v>2028.0</v>
      </c>
    </row>
    <row r="3773">
      <c r="A3773" s="40">
        <f t="array" ref="A3773">IFNA(index(PlayerValues!A:A,match(IFNA(vlookup(B3773,'Special Names'!A:B,2,FALSE),B3773),PlayerValues!E:E,0)),"N/A")</f>
        <v>17056</v>
      </c>
      <c r="B3773" s="4" t="s">
        <v>581</v>
      </c>
      <c r="C3773" s="4" t="s">
        <v>278</v>
      </c>
      <c r="D3773" s="94">
        <v>2024.0</v>
      </c>
    </row>
    <row r="3774">
      <c r="A3774" s="40">
        <f t="array" ref="A3774">IFNA(index(PlayerValues!A:A,match(IFNA(vlookup(B3774,'Special Names'!A:B,2,FALSE),B3774),PlayerValues!E:E,0)),"N/A")</f>
        <v>16189</v>
      </c>
      <c r="B3774" s="4" t="s">
        <v>582</v>
      </c>
      <c r="C3774" s="4" t="s">
        <v>287</v>
      </c>
      <c r="D3774" s="94">
        <v>2022.0</v>
      </c>
    </row>
    <row r="3775">
      <c r="A3775" s="40">
        <f t="array" ref="A3775">IFNA(index(PlayerValues!A:A,match(IFNA(vlookup(B3775,'Special Names'!A:B,2,FALSE),B3775),PlayerValues!E:E,0)),"N/A")</f>
        <v>16342</v>
      </c>
      <c r="B3775" s="4" t="s">
        <v>583</v>
      </c>
      <c r="C3775" s="4" t="s">
        <v>287</v>
      </c>
      <c r="D3775" s="94">
        <v>2021.0</v>
      </c>
    </row>
    <row r="3776">
      <c r="A3776" s="40">
        <f t="array" ref="A3776">IFNA(index(PlayerValues!A:A,match(IFNA(vlookup(B3776,'Special Names'!A:B,2,FALSE),B3776),PlayerValues!E:E,0)),"N/A")</f>
        <v>14871</v>
      </c>
      <c r="B3776" s="4" t="s">
        <v>584</v>
      </c>
      <c r="C3776" s="4" t="s">
        <v>298</v>
      </c>
      <c r="D3776" s="94">
        <v>2380.0</v>
      </c>
    </row>
    <row r="3777">
      <c r="A3777" s="40">
        <f t="array" ref="A3777">IFNA(index(PlayerValues!A:A,match(IFNA(vlookup(B3777,'Special Names'!A:B,2,FALSE),B3777),PlayerValues!E:E,0)),"N/A")</f>
        <v>17076</v>
      </c>
      <c r="B3777" s="4" t="s">
        <v>585</v>
      </c>
      <c r="C3777" s="4" t="s">
        <v>287</v>
      </c>
      <c r="D3777" s="94">
        <v>1992.0</v>
      </c>
    </row>
    <row r="3778">
      <c r="A3778" s="40">
        <f t="array" ref="A3778">IFNA(index(PlayerValues!A:A,match(IFNA(vlookup(B3778,'Special Names'!A:B,2,FALSE),B3778),PlayerValues!E:E,0)),"N/A")</f>
        <v>16649</v>
      </c>
      <c r="B3778" s="4" t="s">
        <v>586</v>
      </c>
      <c r="C3778" s="4" t="s">
        <v>298</v>
      </c>
      <c r="D3778" s="94">
        <v>2376.0</v>
      </c>
    </row>
    <row r="3779">
      <c r="A3779" s="40">
        <f t="array" ref="A3779">IFNA(index(PlayerValues!A:A,match(IFNA(vlookup(B3779,'Special Names'!A:B,2,FALSE),B3779),PlayerValues!E:E,0)),"N/A")</f>
        <v>16603</v>
      </c>
      <c r="B3779" s="4" t="s">
        <v>587</v>
      </c>
      <c r="C3779" s="4" t="s">
        <v>278</v>
      </c>
      <c r="D3779" s="94">
        <v>1985.0</v>
      </c>
    </row>
    <row r="3780">
      <c r="A3780" s="40" t="str">
        <f t="array" ref="A3780">IFNA(index(PlayerValues!A:A,match(IFNA(vlookup(B3780,'Special Names'!A:B,2,FALSE),B3780),PlayerValues!E:E,0)),"N/A")</f>
        <v>N/A</v>
      </c>
      <c r="B3780" s="4" t="s">
        <v>101</v>
      </c>
      <c r="C3780" s="4" t="s">
        <v>325</v>
      </c>
      <c r="D3780" s="94">
        <v>1982.0</v>
      </c>
    </row>
    <row r="3781">
      <c r="A3781" s="40">
        <f t="array" ref="A3781">IFNA(index(PlayerValues!A:A,match(IFNA(vlookup(B3781,'Special Names'!A:B,2,FALSE),B3781),PlayerValues!E:E,0)),"N/A")</f>
        <v>17184</v>
      </c>
      <c r="B3781" s="4" t="s">
        <v>588</v>
      </c>
      <c r="C3781" s="4" t="s">
        <v>287</v>
      </c>
      <c r="D3781" s="94">
        <v>1972.0</v>
      </c>
    </row>
    <row r="3782">
      <c r="A3782" s="40">
        <f t="array" ref="A3782">IFNA(index(PlayerValues!A:A,match(IFNA(vlookup(B3782,'Special Names'!A:B,2,FALSE),B3782),PlayerValues!E:E,0)),"N/A")</f>
        <v>16201</v>
      </c>
      <c r="B3782" s="4" t="s">
        <v>589</v>
      </c>
      <c r="C3782" s="4" t="s">
        <v>287</v>
      </c>
      <c r="D3782" s="94">
        <v>1969.0</v>
      </c>
    </row>
    <row r="3783">
      <c r="A3783" s="40">
        <f t="array" ref="A3783">IFNA(index(PlayerValues!A:A,match(IFNA(vlookup(B3783,'Special Names'!A:B,2,FALSE),B3783),PlayerValues!E:E,0)),"N/A")</f>
        <v>7836</v>
      </c>
      <c r="B3783" s="4" t="s">
        <v>590</v>
      </c>
      <c r="C3783" s="4" t="s">
        <v>283</v>
      </c>
      <c r="D3783" s="94">
        <v>1951.0</v>
      </c>
    </row>
    <row r="3784">
      <c r="A3784" s="40">
        <f t="array" ref="A3784">IFNA(index(PlayerValues!A:A,match(IFNA(vlookup(B3784,'Special Names'!A:B,2,FALSE),B3784),PlayerValues!E:E,0)),"N/A")</f>
        <v>14867</v>
      </c>
      <c r="B3784" s="4" t="s">
        <v>591</v>
      </c>
      <c r="C3784" s="4" t="s">
        <v>298</v>
      </c>
      <c r="D3784" s="94">
        <v>2337.0</v>
      </c>
    </row>
    <row r="3785">
      <c r="A3785" s="40">
        <f t="array" ref="A3785">IFNA(index(PlayerValues!A:A,match(IFNA(vlookup(B3785,'Special Names'!A:B,2,FALSE),B3785),PlayerValues!E:E,0)),"N/A")</f>
        <v>16036</v>
      </c>
      <c r="B3785" s="4" t="s">
        <v>592</v>
      </c>
      <c r="C3785" s="4" t="s">
        <v>298</v>
      </c>
      <c r="D3785" s="94">
        <v>2330.0</v>
      </c>
    </row>
    <row r="3786">
      <c r="A3786" s="40">
        <f t="array" ref="A3786">IFNA(index(PlayerValues!A:A,match(IFNA(vlookup(B3786,'Special Names'!A:B,2,FALSE),B3786),PlayerValues!E:E,0)),"N/A")</f>
        <v>17519</v>
      </c>
      <c r="B3786" s="4" t="s">
        <v>593</v>
      </c>
      <c r="C3786" s="4" t="s">
        <v>287</v>
      </c>
      <c r="D3786" s="94">
        <v>1935.0</v>
      </c>
    </row>
    <row r="3787">
      <c r="A3787" s="40">
        <f t="array" ref="A3787">IFNA(index(PlayerValues!A:A,match(IFNA(vlookup(B3787,'Special Names'!A:B,2,FALSE),B3787),PlayerValues!E:E,0)),"N/A")</f>
        <v>17548</v>
      </c>
      <c r="B3787" s="4" t="s">
        <v>594</v>
      </c>
      <c r="C3787" s="4" t="s">
        <v>298</v>
      </c>
      <c r="D3787" s="94">
        <v>2314.0</v>
      </c>
    </row>
    <row r="3788">
      <c r="A3788" s="40">
        <f t="array" ref="A3788">IFNA(index(PlayerValues!A:A,match(IFNA(vlookup(B3788,'Special Names'!A:B,2,FALSE),B3788),PlayerValues!E:E,0)),"N/A")</f>
        <v>16216</v>
      </c>
      <c r="B3788" s="4" t="s">
        <v>595</v>
      </c>
      <c r="C3788" s="4" t="s">
        <v>298</v>
      </c>
      <c r="D3788" s="94">
        <v>2314.0</v>
      </c>
    </row>
    <row r="3789">
      <c r="A3789" s="40">
        <f t="array" ref="A3789">IFNA(index(PlayerValues!A:A,match(IFNA(vlookup(B3789,'Special Names'!A:B,2,FALSE),B3789),PlayerValues!E:E,0)),"N/A")</f>
        <v>10700</v>
      </c>
      <c r="B3789" s="4" t="s">
        <v>596</v>
      </c>
      <c r="C3789" s="4" t="s">
        <v>283</v>
      </c>
      <c r="D3789" s="94">
        <v>1926.0</v>
      </c>
    </row>
    <row r="3790">
      <c r="A3790" s="40">
        <f t="array" ref="A3790">IFNA(index(PlayerValues!A:A,match(IFNA(vlookup(B3790,'Special Names'!A:B,2,FALSE),B3790),PlayerValues!E:E,0)),"N/A")</f>
        <v>16752</v>
      </c>
      <c r="B3790" s="4" t="s">
        <v>597</v>
      </c>
      <c r="C3790" s="4" t="s">
        <v>278</v>
      </c>
      <c r="D3790" s="94">
        <v>1925.0</v>
      </c>
    </row>
    <row r="3791">
      <c r="A3791" s="40">
        <f t="array" ref="A3791">IFNA(index(PlayerValues!A:A,match(IFNA(vlookup(B3791,'Special Names'!A:B,2,FALSE),B3791),PlayerValues!E:E,0)),"N/A")</f>
        <v>13132</v>
      </c>
      <c r="B3791" s="4" t="s">
        <v>598</v>
      </c>
      <c r="C3791" s="4" t="s">
        <v>278</v>
      </c>
      <c r="D3791" s="94">
        <v>1920.0</v>
      </c>
    </row>
    <row r="3792">
      <c r="A3792" s="40">
        <f t="array" ref="A3792">IFNA(index(PlayerValues!A:A,match(IFNA(vlookup(B3792,'Special Names'!A:B,2,FALSE),B3792),PlayerValues!E:E,0)),"N/A")</f>
        <v>16639</v>
      </c>
      <c r="B3792" s="4" t="s">
        <v>599</v>
      </c>
      <c r="C3792" s="4" t="s">
        <v>287</v>
      </c>
      <c r="D3792" s="94">
        <v>1901.0</v>
      </c>
    </row>
    <row r="3793">
      <c r="A3793" s="40">
        <f t="array" ref="A3793">IFNA(index(PlayerValues!A:A,match(IFNA(vlookup(B3793,'Special Names'!A:B,2,FALSE),B3793),PlayerValues!E:E,0)),"N/A")</f>
        <v>17087</v>
      </c>
      <c r="B3793" s="4" t="s">
        <v>600</v>
      </c>
      <c r="C3793" s="4" t="s">
        <v>287</v>
      </c>
      <c r="D3793" s="94">
        <v>1894.0</v>
      </c>
    </row>
    <row r="3794">
      <c r="A3794" s="40">
        <f t="array" ref="A3794">IFNA(index(PlayerValues!A:A,match(IFNA(vlookup(B3794,'Special Names'!A:B,2,FALSE),B3794),PlayerValues!E:E,0)),"N/A")</f>
        <v>16152</v>
      </c>
      <c r="B3794" s="4" t="s">
        <v>601</v>
      </c>
      <c r="C3794" s="4" t="s">
        <v>283</v>
      </c>
      <c r="D3794" s="94">
        <v>1875.0</v>
      </c>
    </row>
    <row r="3795">
      <c r="A3795" s="40">
        <f t="array" ref="A3795">IFNA(index(PlayerValues!A:A,match(IFNA(vlookup(B3795,'Special Names'!A:B,2,FALSE),B3795),PlayerValues!E:E,0)),"N/A")</f>
        <v>17046</v>
      </c>
      <c r="B3795" s="4" t="s">
        <v>602</v>
      </c>
      <c r="C3795" s="4" t="s">
        <v>278</v>
      </c>
      <c r="D3795" s="94">
        <v>1868.0</v>
      </c>
    </row>
    <row r="3796">
      <c r="A3796" s="40">
        <f t="array" ref="A3796">IFNA(index(PlayerValues!A:A,match(IFNA(vlookup(B3796,'Special Names'!A:B,2,FALSE),B3796),PlayerValues!E:E,0)),"N/A")</f>
        <v>17060</v>
      </c>
      <c r="B3796" s="4" t="s">
        <v>603</v>
      </c>
      <c r="C3796" s="4" t="s">
        <v>278</v>
      </c>
      <c r="D3796" s="94">
        <v>1859.0</v>
      </c>
    </row>
    <row r="3797">
      <c r="A3797" s="40">
        <f t="array" ref="A3797">IFNA(index(PlayerValues!A:A,match(IFNA(vlookup(B3797,'Special Names'!A:B,2,FALSE),B3797),PlayerValues!E:E,0)),"N/A")</f>
        <v>17069</v>
      </c>
      <c r="B3797" s="4" t="s">
        <v>604</v>
      </c>
      <c r="C3797" s="4" t="s">
        <v>278</v>
      </c>
      <c r="D3797" s="94">
        <v>1848.0</v>
      </c>
    </row>
    <row r="3798">
      <c r="A3798" s="40">
        <f t="array" ref="A3798">IFNA(index(PlayerValues!A:A,match(IFNA(vlookup(B3798,'Special Names'!A:B,2,FALSE),B3798),PlayerValues!E:E,0)),"N/A")</f>
        <v>16629</v>
      </c>
      <c r="B3798" s="4" t="s">
        <v>605</v>
      </c>
      <c r="C3798" s="4" t="s">
        <v>287</v>
      </c>
      <c r="D3798" s="94">
        <v>1823.0</v>
      </c>
    </row>
    <row r="3799">
      <c r="A3799" s="40">
        <f t="array" ref="A3799">IFNA(index(PlayerValues!A:A,match(IFNA(vlookup(B3799,'Special Names'!A:B,2,FALSE),B3799),PlayerValues!E:E,0)),"N/A")</f>
        <v>13113</v>
      </c>
      <c r="B3799" s="4" t="s">
        <v>606</v>
      </c>
      <c r="C3799" s="4" t="s">
        <v>283</v>
      </c>
      <c r="D3799" s="94">
        <v>1822.0</v>
      </c>
    </row>
    <row r="3800">
      <c r="A3800" s="40">
        <f t="array" ref="A3800">IFNA(index(PlayerValues!A:A,match(IFNA(vlookup(B3800,'Special Names'!A:B,2,FALSE),B3800),PlayerValues!E:E,0)),"N/A")</f>
        <v>16594</v>
      </c>
      <c r="B3800" s="4" t="s">
        <v>607</v>
      </c>
      <c r="C3800" s="4" t="s">
        <v>278</v>
      </c>
      <c r="D3800" s="94">
        <v>1819.0</v>
      </c>
    </row>
    <row r="3801">
      <c r="A3801" s="40" t="str">
        <f t="array" ref="A3801">IFNA(index(PlayerValues!A:A,match(IFNA(vlookup(B3801,'Special Names'!A:B,2,FALSE),B3801),PlayerValues!E:E,0)),"N/A")</f>
        <v>N/A</v>
      </c>
      <c r="B3801" s="4" t="s">
        <v>102</v>
      </c>
      <c r="C3801" s="4" t="s">
        <v>325</v>
      </c>
      <c r="D3801" s="94">
        <v>1818.0</v>
      </c>
    </row>
    <row r="3802">
      <c r="A3802" s="40">
        <f t="array" ref="A3802">IFNA(index(PlayerValues!A:A,match(IFNA(vlookup(B3802,'Special Names'!A:B,2,FALSE),B3802),PlayerValues!E:E,0)),"N/A")</f>
        <v>17529</v>
      </c>
      <c r="B3802" s="4" t="s">
        <v>608</v>
      </c>
      <c r="C3802" s="4" t="s">
        <v>287</v>
      </c>
      <c r="D3802" s="94">
        <v>1815.0</v>
      </c>
    </row>
    <row r="3803">
      <c r="A3803" s="40">
        <f t="array" ref="A3803">IFNA(index(PlayerValues!A:A,match(IFNA(vlookup(B3803,'Special Names'!A:B,2,FALSE),B3803),PlayerValues!E:E,0)),"N/A")</f>
        <v>16643</v>
      </c>
      <c r="B3803" s="4" t="s">
        <v>609</v>
      </c>
      <c r="C3803" s="4" t="s">
        <v>298</v>
      </c>
      <c r="D3803" s="94">
        <v>2188.0</v>
      </c>
    </row>
    <row r="3804">
      <c r="A3804" s="40">
        <f t="array" ref="A3804">IFNA(index(PlayerValues!A:A,match(IFNA(vlookup(B3804,'Special Names'!A:B,2,FALSE),B3804),PlayerValues!E:E,0)),"N/A")</f>
        <v>15787</v>
      </c>
      <c r="B3804" s="4" t="s">
        <v>610</v>
      </c>
      <c r="C3804" s="4" t="s">
        <v>287</v>
      </c>
      <c r="D3804" s="94">
        <v>1803.0</v>
      </c>
    </row>
    <row r="3805">
      <c r="A3805" s="40">
        <f t="array" ref="A3805">IFNA(index(PlayerValues!A:A,match(IFNA(vlookup(B3805,'Special Names'!A:B,2,FALSE),B3805),PlayerValues!E:E,0)),"N/A")</f>
        <v>14974</v>
      </c>
      <c r="B3805" s="4" t="s">
        <v>611</v>
      </c>
      <c r="C3805" s="4" t="s">
        <v>287</v>
      </c>
      <c r="D3805" s="94">
        <v>1799.0</v>
      </c>
    </row>
    <row r="3806">
      <c r="A3806" s="40">
        <f t="array" ref="A3806">IFNA(index(PlayerValues!A:A,match(IFNA(vlookup(B3806,'Special Names'!A:B,2,FALSE),B3806),PlayerValues!E:E,0)),"N/A")</f>
        <v>17086</v>
      </c>
      <c r="B3806" s="4" t="s">
        <v>612</v>
      </c>
      <c r="C3806" s="4" t="s">
        <v>287</v>
      </c>
      <c r="D3806" s="94">
        <v>1797.0</v>
      </c>
    </row>
    <row r="3807">
      <c r="A3807" s="40">
        <f t="array" ref="A3807">IFNA(index(PlayerValues!A:A,match(IFNA(vlookup(B3807,'Special Names'!A:B,2,FALSE),B3807),PlayerValues!E:E,0)),"N/A")</f>
        <v>15238</v>
      </c>
      <c r="B3807" s="4" t="s">
        <v>613</v>
      </c>
      <c r="C3807" s="4" t="s">
        <v>283</v>
      </c>
      <c r="D3807" s="94">
        <v>1794.0</v>
      </c>
    </row>
    <row r="3808">
      <c r="A3808" s="40">
        <f t="array" ref="A3808">IFNA(index(PlayerValues!A:A,match(IFNA(vlookup(B3808,'Special Names'!A:B,2,FALSE),B3808),PlayerValues!E:E,0)),"N/A")</f>
        <v>17706</v>
      </c>
      <c r="B3808" s="4" t="s">
        <v>614</v>
      </c>
      <c r="C3808" s="4" t="s">
        <v>287</v>
      </c>
      <c r="D3808" s="94">
        <v>1783.0</v>
      </c>
    </row>
    <row r="3809">
      <c r="A3809" s="40">
        <f t="array" ref="A3809">IFNA(index(PlayerValues!A:A,match(IFNA(vlookup(B3809,'Special Names'!A:B,2,FALSE),B3809),PlayerValues!E:E,0)),"N/A")</f>
        <v>17475</v>
      </c>
      <c r="B3809" s="4" t="s">
        <v>615</v>
      </c>
      <c r="C3809" s="4" t="s">
        <v>278</v>
      </c>
      <c r="D3809" s="94">
        <v>1771.0</v>
      </c>
    </row>
    <row r="3810">
      <c r="A3810" s="40">
        <f t="array" ref="A3810">IFNA(index(PlayerValues!A:A,match(IFNA(vlookup(B3810,'Special Names'!A:B,2,FALSE),B3810),PlayerValues!E:E,0)),"N/A")</f>
        <v>17541</v>
      </c>
      <c r="B3810" s="4" t="s">
        <v>616</v>
      </c>
      <c r="C3810" s="4" t="s">
        <v>287</v>
      </c>
      <c r="D3810" s="94">
        <v>1771.0</v>
      </c>
    </row>
    <row r="3811">
      <c r="A3811" s="40" t="str">
        <f t="array" ref="A3811">IFNA(index(PlayerValues!A:A,match(IFNA(vlookup(B3811,'Special Names'!A:B,2,FALSE),B3811),PlayerValues!E:E,0)),"N/A")</f>
        <v>N/A</v>
      </c>
      <c r="B3811" s="4" t="s">
        <v>89</v>
      </c>
      <c r="C3811" s="4" t="s">
        <v>325</v>
      </c>
      <c r="D3811" s="94">
        <v>1747.0</v>
      </c>
    </row>
    <row r="3812">
      <c r="A3812" s="40">
        <f t="array" ref="A3812">IFNA(index(PlayerValues!A:A,match(IFNA(vlookup(B3812,'Special Names'!A:B,2,FALSE),B3812),PlayerValues!E:E,0)),"N/A")</f>
        <v>17036</v>
      </c>
      <c r="B3812" s="4" t="s">
        <v>617</v>
      </c>
      <c r="C3812" s="4" t="s">
        <v>283</v>
      </c>
      <c r="D3812" s="94">
        <v>1731.0</v>
      </c>
    </row>
    <row r="3813">
      <c r="A3813" s="40">
        <f t="array" ref="A3813">IFNA(index(PlayerValues!A:A,match(IFNA(vlookup(B3813,'Special Names'!A:B,2,FALSE),B3813),PlayerValues!E:E,0)),"N/A")</f>
        <v>16171</v>
      </c>
      <c r="B3813" s="4" t="s">
        <v>618</v>
      </c>
      <c r="C3813" s="4" t="s">
        <v>278</v>
      </c>
      <c r="D3813" s="94">
        <v>1727.0</v>
      </c>
    </row>
    <row r="3814">
      <c r="A3814" s="40">
        <f t="array" ref="A3814">IFNA(index(PlayerValues!A:A,match(IFNA(vlookup(B3814,'Special Names'!A:B,2,FALSE),B3814),PlayerValues!E:E,0)),"N/A")</f>
        <v>13629</v>
      </c>
      <c r="B3814" s="4" t="s">
        <v>619</v>
      </c>
      <c r="C3814" s="4" t="s">
        <v>287</v>
      </c>
      <c r="D3814" s="94">
        <v>1723.0</v>
      </c>
    </row>
    <row r="3815">
      <c r="A3815" s="40" t="str">
        <f t="array" ref="A3815">IFNA(index(PlayerValues!A:A,match(IFNA(vlookup(B3815,'Special Names'!A:B,2,FALSE),B3815),PlayerValues!E:E,0)),"N/A")</f>
        <v>N/A</v>
      </c>
      <c r="B3815" s="4" t="s">
        <v>103</v>
      </c>
      <c r="C3815" s="4" t="s">
        <v>325</v>
      </c>
      <c r="D3815" s="94">
        <v>1713.0</v>
      </c>
    </row>
    <row r="3816">
      <c r="A3816" s="40">
        <f t="array" ref="A3816">IFNA(index(PlayerValues!A:A,match(IFNA(vlookup(B3816,'Special Names'!A:B,2,FALSE),B3816),PlayerValues!E:E,0)),"N/A")</f>
        <v>16432</v>
      </c>
      <c r="B3816" s="4" t="s">
        <v>620</v>
      </c>
      <c r="C3816" s="4" t="s">
        <v>278</v>
      </c>
      <c r="D3816" s="94">
        <v>1709.0</v>
      </c>
    </row>
    <row r="3817">
      <c r="A3817" s="40">
        <f t="array" ref="A3817">IFNA(index(PlayerValues!A:A,match(IFNA(vlookup(B3817,'Special Names'!A:B,2,FALSE),B3817),PlayerValues!E:E,0)),"N/A")</f>
        <v>16788</v>
      </c>
      <c r="B3817" s="4" t="s">
        <v>621</v>
      </c>
      <c r="C3817" s="4" t="s">
        <v>287</v>
      </c>
      <c r="D3817" s="94">
        <v>1707.0</v>
      </c>
    </row>
    <row r="3818">
      <c r="A3818" s="40">
        <f t="array" ref="A3818">IFNA(index(PlayerValues!A:A,match(IFNA(vlookup(B3818,'Special Names'!A:B,2,FALSE),B3818),PlayerValues!E:E,0)),"N/A")</f>
        <v>11222</v>
      </c>
      <c r="B3818" s="4" t="s">
        <v>622</v>
      </c>
      <c r="C3818" s="4" t="s">
        <v>287</v>
      </c>
      <c r="D3818" s="94">
        <v>1702.0</v>
      </c>
    </row>
    <row r="3819">
      <c r="A3819" s="40" t="str">
        <f t="array" ref="A3819">IFNA(index(PlayerValues!A:A,match(IFNA(vlookup(B3819,'Special Names'!A:B,2,FALSE),B3819),PlayerValues!E:E,0)),"N/A")</f>
        <v>N/A</v>
      </c>
      <c r="B3819" s="4" t="s">
        <v>90</v>
      </c>
      <c r="C3819" s="4" t="s">
        <v>325</v>
      </c>
      <c r="D3819" s="94">
        <v>1699.0</v>
      </c>
    </row>
    <row r="3820">
      <c r="A3820" s="40">
        <f t="array" ref="A3820">IFNA(index(PlayerValues!A:A,match(IFNA(vlookup(B3820,'Special Names'!A:B,2,FALSE),B3820),PlayerValues!E:E,0)),"N/A")</f>
        <v>16585</v>
      </c>
      <c r="B3820" s="4" t="s">
        <v>623</v>
      </c>
      <c r="C3820" s="4" t="s">
        <v>283</v>
      </c>
      <c r="D3820" s="94">
        <v>1689.0</v>
      </c>
    </row>
    <row r="3821">
      <c r="A3821" s="40">
        <f t="array" ref="A3821">IFNA(index(PlayerValues!A:A,match(IFNA(vlookup(B3821,'Special Names'!A:B,2,FALSE),B3821),PlayerValues!E:E,0)),"N/A")</f>
        <v>17049</v>
      </c>
      <c r="B3821" s="4" t="s">
        <v>624</v>
      </c>
      <c r="C3821" s="4" t="s">
        <v>278</v>
      </c>
      <c r="D3821" s="94">
        <v>1688.0</v>
      </c>
    </row>
    <row r="3822">
      <c r="A3822" s="40">
        <f t="array" ref="A3822">IFNA(index(PlayerValues!A:A,match(IFNA(vlookup(B3822,'Special Names'!A:B,2,FALSE),B3822),PlayerValues!E:E,0)),"N/A")</f>
        <v>13633</v>
      </c>
      <c r="B3822" s="4" t="s">
        <v>625</v>
      </c>
      <c r="C3822" s="4" t="s">
        <v>287</v>
      </c>
      <c r="D3822" s="94">
        <v>1686.0</v>
      </c>
    </row>
    <row r="3823">
      <c r="A3823" s="40">
        <f t="array" ref="A3823">IFNA(index(PlayerValues!A:A,match(IFNA(vlookup(B3823,'Special Names'!A:B,2,FALSE),B3823),PlayerValues!E:E,0)),"N/A")</f>
        <v>13189</v>
      </c>
      <c r="B3823" s="4" t="s">
        <v>626</v>
      </c>
      <c r="C3823" s="4" t="s">
        <v>298</v>
      </c>
      <c r="D3823" s="94">
        <v>2050.0</v>
      </c>
    </row>
    <row r="3824">
      <c r="A3824" s="40">
        <f t="array" ref="A3824">IFNA(index(PlayerValues!A:A,match(IFNA(vlookup(B3824,'Special Names'!A:B,2,FALSE),B3824),PlayerValues!E:E,0)),"N/A")</f>
        <v>15788</v>
      </c>
      <c r="B3824" s="4" t="s">
        <v>627</v>
      </c>
      <c r="C3824" s="4" t="s">
        <v>287</v>
      </c>
      <c r="D3824" s="94">
        <v>1663.0</v>
      </c>
    </row>
    <row r="3825">
      <c r="A3825" s="40">
        <f t="array" ref="A3825">IFNA(index(PlayerValues!A:A,match(IFNA(vlookup(B3825,'Special Names'!A:B,2,FALSE),B3825),PlayerValues!E:E,0)),"N/A")</f>
        <v>15755</v>
      </c>
      <c r="B3825" s="4" t="s">
        <v>628</v>
      </c>
      <c r="C3825" s="4" t="s">
        <v>287</v>
      </c>
      <c r="D3825" s="94">
        <v>1660.0</v>
      </c>
    </row>
    <row r="3826">
      <c r="A3826" s="40">
        <f t="array" ref="A3826">IFNA(index(PlayerValues!A:A,match(IFNA(vlookup(B3826,'Special Names'!A:B,2,FALSE),B3826),PlayerValues!E:E,0)),"N/A")</f>
        <v>16608</v>
      </c>
      <c r="B3826" s="4" t="s">
        <v>629</v>
      </c>
      <c r="C3826" s="4" t="s">
        <v>278</v>
      </c>
      <c r="D3826" s="94">
        <v>1643.0</v>
      </c>
    </row>
    <row r="3827">
      <c r="A3827" s="40">
        <f t="array" ref="A3827">IFNA(index(PlayerValues!A:A,match(IFNA(vlookup(B3827,'Special Names'!A:B,2,FALSE),B3827),PlayerValues!E:E,0)),"N/A")</f>
        <v>17685</v>
      </c>
      <c r="B3827" s="4" t="s">
        <v>630</v>
      </c>
      <c r="C3827" s="4" t="s">
        <v>278</v>
      </c>
      <c r="D3827" s="94">
        <v>1633.0</v>
      </c>
    </row>
    <row r="3828">
      <c r="A3828" s="40">
        <f t="array" ref="A3828">IFNA(index(PlayerValues!A:A,match(IFNA(vlookup(B3828,'Special Names'!A:B,2,FALSE),B3828),PlayerValues!E:E,0)),"N/A")</f>
        <v>17064</v>
      </c>
      <c r="B3828" s="4" t="s">
        <v>631</v>
      </c>
      <c r="C3828" s="4" t="s">
        <v>278</v>
      </c>
      <c r="D3828" s="94">
        <v>1622.0</v>
      </c>
    </row>
    <row r="3829">
      <c r="A3829" s="40">
        <f t="array" ref="A3829">IFNA(index(PlayerValues!A:A,match(IFNA(vlookup(B3829,'Special Names'!A:B,2,FALSE),B3829),PlayerValues!E:E,0)),"N/A")</f>
        <v>13164</v>
      </c>
      <c r="B3829" s="4" t="s">
        <v>632</v>
      </c>
      <c r="C3829" s="4" t="s">
        <v>287</v>
      </c>
      <c r="D3829" s="94">
        <v>1617.0</v>
      </c>
    </row>
    <row r="3830">
      <c r="A3830" s="40">
        <f t="array" ref="A3830">IFNA(index(PlayerValues!A:A,match(IFNA(vlookup(B3830,'Special Names'!A:B,2,FALSE),B3830),PlayerValues!E:E,0)),"N/A")</f>
        <v>15254</v>
      </c>
      <c r="B3830" s="4" t="s">
        <v>633</v>
      </c>
      <c r="C3830" s="4" t="s">
        <v>278</v>
      </c>
      <c r="D3830" s="94">
        <v>1613.0</v>
      </c>
    </row>
    <row r="3831">
      <c r="A3831" s="40" t="str">
        <f t="array" ref="A3831">IFNA(index(PlayerValues!A:A,match(IFNA(vlookup(B3831,'Special Names'!A:B,2,FALSE),B3831),PlayerValues!E:E,0)),"N/A")</f>
        <v>N/A</v>
      </c>
      <c r="B3831" s="4" t="s">
        <v>115</v>
      </c>
      <c r="C3831" s="4" t="s">
        <v>325</v>
      </c>
      <c r="D3831" s="94">
        <v>1613.0</v>
      </c>
    </row>
    <row r="3832">
      <c r="A3832" s="40">
        <f t="array" ref="A3832">IFNA(index(PlayerValues!A:A,match(IFNA(vlookup(B3832,'Special Names'!A:B,2,FALSE),B3832),PlayerValues!E:E,0)),"N/A")</f>
        <v>15738</v>
      </c>
      <c r="B3832" s="4" t="s">
        <v>634</v>
      </c>
      <c r="C3832" s="4" t="s">
        <v>278</v>
      </c>
      <c r="D3832" s="94">
        <v>1609.0</v>
      </c>
    </row>
    <row r="3833">
      <c r="A3833" s="40">
        <f t="array" ref="A3833">IFNA(index(PlayerValues!A:A,match(IFNA(vlookup(B3833,'Special Names'!A:B,2,FALSE),B3833),PlayerValues!E:E,0)),"N/A")</f>
        <v>14143</v>
      </c>
      <c r="B3833" s="4" t="s">
        <v>635</v>
      </c>
      <c r="C3833" s="4" t="s">
        <v>298</v>
      </c>
      <c r="D3833" s="94">
        <v>1980.0</v>
      </c>
    </row>
    <row r="3834">
      <c r="A3834" s="40">
        <f t="array" ref="A3834">IFNA(index(PlayerValues!A:A,match(IFNA(vlookup(B3834,'Special Names'!A:B,2,FALSE),B3834),PlayerValues!E:E,0)),"N/A")</f>
        <v>16207</v>
      </c>
      <c r="B3834" s="4" t="s">
        <v>636</v>
      </c>
      <c r="C3834" s="4" t="s">
        <v>287</v>
      </c>
      <c r="D3834" s="94">
        <v>1596.0</v>
      </c>
    </row>
    <row r="3835">
      <c r="A3835" s="40">
        <f t="array" ref="A3835">IFNA(index(PlayerValues!A:A,match(IFNA(vlookup(B3835,'Special Names'!A:B,2,FALSE),B3835),PlayerValues!E:E,0)),"N/A")</f>
        <v>16215</v>
      </c>
      <c r="B3835" s="4" t="s">
        <v>637</v>
      </c>
      <c r="C3835" s="4" t="s">
        <v>298</v>
      </c>
      <c r="D3835" s="94">
        <v>1969.0</v>
      </c>
    </row>
    <row r="3836">
      <c r="A3836" s="40">
        <f t="array" ref="A3836">IFNA(index(PlayerValues!A:A,match(IFNA(vlookup(B3836,'Special Names'!A:B,2,FALSE),B3836),PlayerValues!E:E,0)),"N/A")</f>
        <v>17096</v>
      </c>
      <c r="B3836" s="4" t="s">
        <v>638</v>
      </c>
      <c r="C3836" s="4" t="s">
        <v>287</v>
      </c>
      <c r="D3836" s="94">
        <v>1591.0</v>
      </c>
    </row>
    <row r="3837">
      <c r="A3837" s="40">
        <f t="array" ref="A3837">IFNA(index(PlayerValues!A:A,match(IFNA(vlookup(B3837,'Special Names'!A:B,2,FALSE),B3837),PlayerValues!E:E,0)),"N/A")</f>
        <v>14086</v>
      </c>
      <c r="B3837" s="4" t="s">
        <v>639</v>
      </c>
      <c r="C3837" s="4" t="s">
        <v>278</v>
      </c>
      <c r="D3837" s="94">
        <v>1557.0</v>
      </c>
    </row>
    <row r="3838">
      <c r="A3838" s="40">
        <f t="array" ref="A3838">IFNA(index(PlayerValues!A:A,match(IFNA(vlookup(B3838,'Special Names'!A:B,2,FALSE),B3838),PlayerValues!E:E,0)),"N/A")</f>
        <v>16644</v>
      </c>
      <c r="B3838" s="4" t="s">
        <v>640</v>
      </c>
      <c r="C3838" s="4" t="s">
        <v>298</v>
      </c>
      <c r="D3838" s="94">
        <v>1915.0</v>
      </c>
    </row>
    <row r="3839">
      <c r="A3839" s="40">
        <f t="array" ref="A3839">IFNA(index(PlayerValues!A:A,match(IFNA(vlookup(B3839,'Special Names'!A:B,2,FALSE),B3839),PlayerValues!E:E,0)),"N/A")</f>
        <v>17058</v>
      </c>
      <c r="B3839" s="4" t="s">
        <v>641</v>
      </c>
      <c r="C3839" s="4" t="s">
        <v>278</v>
      </c>
      <c r="D3839" s="94">
        <v>1525.0</v>
      </c>
    </row>
    <row r="3840">
      <c r="A3840" s="40" t="str">
        <f t="array" ref="A3840">IFNA(index(PlayerValues!A:A,match(IFNA(vlookup(B3840,'Special Names'!A:B,2,FALSE),B3840),PlayerValues!E:E,0)),"N/A")</f>
        <v>N/A</v>
      </c>
      <c r="B3840" s="4" t="s">
        <v>116</v>
      </c>
      <c r="C3840" s="4" t="s">
        <v>325</v>
      </c>
      <c r="D3840" s="94">
        <v>1523.0</v>
      </c>
    </row>
    <row r="3841">
      <c r="A3841" s="40">
        <f t="array" ref="A3841">IFNA(index(PlayerValues!A:A,match(IFNA(vlookup(B3841,'Special Names'!A:B,2,FALSE),B3841),PlayerValues!E:E,0)),"N/A")</f>
        <v>17657</v>
      </c>
      <c r="B3841" s="4" t="s">
        <v>642</v>
      </c>
      <c r="C3841" s="4" t="s">
        <v>283</v>
      </c>
      <c r="D3841" s="94">
        <v>1523.0</v>
      </c>
    </row>
    <row r="3842">
      <c r="A3842" s="40">
        <f t="array" ref="A3842">IFNA(index(PlayerValues!A:A,match(IFNA(vlookup(B3842,'Special Names'!A:B,2,FALSE),B3842),PlayerValues!E:E,0)),"N/A")</f>
        <v>17034</v>
      </c>
      <c r="B3842" s="4" t="s">
        <v>643</v>
      </c>
      <c r="C3842" s="4" t="s">
        <v>283</v>
      </c>
      <c r="D3842" s="94">
        <v>1520.0</v>
      </c>
    </row>
    <row r="3843">
      <c r="A3843" s="40">
        <f t="array" ref="A3843">IFNA(index(PlayerValues!A:A,match(IFNA(vlookup(B3843,'Special Names'!A:B,2,FALSE),B3843),PlayerValues!E:E,0)),"N/A")</f>
        <v>15319</v>
      </c>
      <c r="B3843" s="4" t="s">
        <v>644</v>
      </c>
      <c r="C3843" s="4" t="s">
        <v>287</v>
      </c>
      <c r="D3843" s="94">
        <v>1519.0</v>
      </c>
    </row>
    <row r="3844">
      <c r="A3844" s="40" t="str">
        <f t="array" ref="A3844">IFNA(index(PlayerValues!A:A,match(IFNA(vlookup(B3844,'Special Names'!A:B,2,FALSE),B3844),PlayerValues!E:E,0)),"N/A")</f>
        <v>N/A</v>
      </c>
      <c r="B3844" s="4" t="s">
        <v>91</v>
      </c>
      <c r="C3844" s="4" t="s">
        <v>325</v>
      </c>
      <c r="D3844" s="94">
        <v>1514.0</v>
      </c>
    </row>
    <row r="3845">
      <c r="A3845" s="40">
        <f t="array" ref="A3845">IFNA(index(PlayerValues!A:A,match(IFNA(vlookup(B3845,'Special Names'!A:B,2,FALSE),B3845),PlayerValues!E:E,0)),"N/A")</f>
        <v>16635</v>
      </c>
      <c r="B3845" s="4" t="s">
        <v>645</v>
      </c>
      <c r="C3845" s="4" t="s">
        <v>287</v>
      </c>
      <c r="D3845" s="94">
        <v>1503.0</v>
      </c>
    </row>
    <row r="3846">
      <c r="A3846" s="40">
        <f t="array" ref="A3846">IFNA(index(PlayerValues!A:A,match(IFNA(vlookup(B3846,'Special Names'!A:B,2,FALSE),B3846),PlayerValues!E:E,0)),"N/A")</f>
        <v>16387</v>
      </c>
      <c r="B3846" s="4" t="s">
        <v>646</v>
      </c>
      <c r="C3846" s="4" t="s">
        <v>278</v>
      </c>
      <c r="D3846" s="94">
        <v>1500.0</v>
      </c>
    </row>
    <row r="3847">
      <c r="A3847" s="40">
        <f t="array" ref="A3847">IFNA(index(PlayerValues!A:A,match(IFNA(vlookup(B3847,'Special Names'!A:B,2,FALSE),B3847),PlayerValues!E:E,0)),"N/A")</f>
        <v>15752</v>
      </c>
      <c r="B3847" s="4" t="s">
        <v>647</v>
      </c>
      <c r="C3847" s="4" t="s">
        <v>287</v>
      </c>
      <c r="D3847" s="94">
        <v>1489.0</v>
      </c>
    </row>
    <row r="3848">
      <c r="A3848" s="40">
        <f t="array" ref="A3848">IFNA(index(PlayerValues!A:A,match(IFNA(vlookup(B3848,'Special Names'!A:B,2,FALSE),B3848),PlayerValues!E:E,0)),"N/A")</f>
        <v>16601</v>
      </c>
      <c r="B3848" s="4" t="s">
        <v>648</v>
      </c>
      <c r="C3848" s="4" t="s">
        <v>278</v>
      </c>
      <c r="D3848" s="94">
        <v>1476.0</v>
      </c>
    </row>
    <row r="3849">
      <c r="A3849" s="40">
        <f t="array" ref="A3849">IFNA(index(PlayerValues!A:A,match(IFNA(vlookup(B3849,'Special Names'!A:B,2,FALSE),B3849),PlayerValues!E:E,0)),"N/A")</f>
        <v>17465</v>
      </c>
      <c r="B3849" s="4" t="s">
        <v>649</v>
      </c>
      <c r="C3849" s="4" t="s">
        <v>283</v>
      </c>
      <c r="D3849" s="94">
        <v>1473.0</v>
      </c>
    </row>
    <row r="3850">
      <c r="A3850" s="40">
        <f t="array" ref="A3850">IFNA(index(PlayerValues!A:A,match(IFNA(vlookup(B3850,'Special Names'!A:B,2,FALSE),B3850),PlayerValues!E:E,0)),"N/A")</f>
        <v>17035</v>
      </c>
      <c r="B3850" s="4" t="s">
        <v>650</v>
      </c>
      <c r="C3850" s="4" t="s">
        <v>283</v>
      </c>
      <c r="D3850" s="94">
        <v>1462.0</v>
      </c>
    </row>
    <row r="3851">
      <c r="A3851" s="40">
        <f t="array" ref="A3851">IFNA(index(PlayerValues!A:A,match(IFNA(vlookup(B3851,'Special Names'!A:B,2,FALSE),B3851),PlayerValues!E:E,0)),"N/A")</f>
        <v>16645</v>
      </c>
      <c r="B3851" s="4" t="s">
        <v>651</v>
      </c>
      <c r="C3851" s="4" t="s">
        <v>298</v>
      </c>
      <c r="D3851" s="94">
        <v>1833.0</v>
      </c>
    </row>
    <row r="3852">
      <c r="A3852" s="40">
        <f t="array" ref="A3852">IFNA(index(PlayerValues!A:A,match(IFNA(vlookup(B3852,'Special Names'!A:B,2,FALSE),B3852),PlayerValues!E:E,0)),"N/A")</f>
        <v>13146</v>
      </c>
      <c r="B3852" s="4" t="s">
        <v>652</v>
      </c>
      <c r="C3852" s="4" t="s">
        <v>278</v>
      </c>
      <c r="D3852" s="94">
        <v>1460.0</v>
      </c>
    </row>
    <row r="3853">
      <c r="A3853" s="40">
        <f t="array" ref="A3853">IFNA(index(PlayerValues!A:A,match(IFNA(vlookup(B3853,'Special Names'!A:B,2,FALSE),B3853),PlayerValues!E:E,0)),"N/A")</f>
        <v>17234</v>
      </c>
      <c r="B3853" s="4" t="s">
        <v>653</v>
      </c>
      <c r="C3853" s="4" t="s">
        <v>287</v>
      </c>
      <c r="D3853" s="94">
        <v>1450.0</v>
      </c>
    </row>
    <row r="3854">
      <c r="A3854" s="40">
        <f t="array" ref="A3854">IFNA(index(PlayerValues!A:A,match(IFNA(vlookup(B3854,'Special Names'!A:B,2,FALSE),B3854),PlayerValues!E:E,0)),"N/A")</f>
        <v>16175</v>
      </c>
      <c r="B3854" s="4" t="s">
        <v>654</v>
      </c>
      <c r="C3854" s="4" t="s">
        <v>278</v>
      </c>
      <c r="D3854" s="94">
        <v>1447.0</v>
      </c>
    </row>
    <row r="3855">
      <c r="A3855" s="40">
        <f t="array" ref="A3855">IFNA(index(PlayerValues!A:A,match(IFNA(vlookup(B3855,'Special Names'!A:B,2,FALSE),B3855),PlayerValues!E:E,0)),"N/A")</f>
        <v>15337</v>
      </c>
      <c r="B3855" s="4" t="s">
        <v>655</v>
      </c>
      <c r="C3855" s="4" t="s">
        <v>298</v>
      </c>
      <c r="D3855" s="94">
        <v>1800.0</v>
      </c>
    </row>
    <row r="3856">
      <c r="A3856" s="40">
        <f t="array" ref="A3856">IFNA(index(PlayerValues!A:A,match(IFNA(vlookup(B3856,'Special Names'!A:B,2,FALSE),B3856),PlayerValues!E:E,0)),"N/A")</f>
        <v>16633</v>
      </c>
      <c r="B3856" s="4" t="s">
        <v>656</v>
      </c>
      <c r="C3856" s="4" t="s">
        <v>287</v>
      </c>
      <c r="D3856" s="94">
        <v>1430.0</v>
      </c>
    </row>
    <row r="3857">
      <c r="A3857" s="40">
        <f t="array" ref="A3857">IFNA(index(PlayerValues!A:A,match(IFNA(vlookup(B3857,'Special Names'!A:B,2,FALSE),B3857),PlayerValues!E:E,0)),"N/A")</f>
        <v>15301</v>
      </c>
      <c r="B3857" s="4" t="s">
        <v>657</v>
      </c>
      <c r="C3857" s="4" t="s">
        <v>287</v>
      </c>
      <c r="D3857" s="94">
        <v>1412.0</v>
      </c>
    </row>
    <row r="3858">
      <c r="A3858" s="40">
        <f t="array" ref="A3858">IFNA(index(PlayerValues!A:A,match(IFNA(vlookup(B3858,'Special Names'!A:B,2,FALSE),B3858),PlayerValues!E:E,0)),"N/A")</f>
        <v>16586</v>
      </c>
      <c r="B3858" s="4" t="s">
        <v>658</v>
      </c>
      <c r="C3858" s="4" t="s">
        <v>283</v>
      </c>
      <c r="D3858" s="94">
        <v>1401.0</v>
      </c>
    </row>
    <row r="3859">
      <c r="A3859" s="40">
        <f t="array" ref="A3859">IFNA(index(PlayerValues!A:A,match(IFNA(vlookup(B3859,'Special Names'!A:B,2,FALSE),B3859),PlayerValues!E:E,0)),"N/A")</f>
        <v>17097</v>
      </c>
      <c r="B3859" s="4" t="s">
        <v>659</v>
      </c>
      <c r="C3859" s="4" t="s">
        <v>287</v>
      </c>
      <c r="D3859" s="94">
        <v>1401.0</v>
      </c>
    </row>
    <row r="3860">
      <c r="A3860" s="40">
        <f t="array" ref="A3860">IFNA(index(PlayerValues!A:A,match(IFNA(vlookup(B3860,'Special Names'!A:B,2,FALSE),B3860),PlayerValues!E:E,0)),"N/A")</f>
        <v>17743</v>
      </c>
      <c r="B3860" s="4" t="s">
        <v>660</v>
      </c>
      <c r="C3860" s="4" t="s">
        <v>283</v>
      </c>
      <c r="D3860" s="94">
        <v>1398.0</v>
      </c>
    </row>
    <row r="3861">
      <c r="A3861" s="40">
        <f t="array" ref="A3861">IFNA(index(PlayerValues!A:A,match(IFNA(vlookup(B3861,'Special Names'!A:B,2,FALSE),B3861),PlayerValues!E:E,0)),"N/A")</f>
        <v>17510</v>
      </c>
      <c r="B3861" s="4" t="s">
        <v>661</v>
      </c>
      <c r="C3861" s="4" t="s">
        <v>287</v>
      </c>
      <c r="D3861" s="94">
        <v>1395.0</v>
      </c>
    </row>
    <row r="3862">
      <c r="A3862" s="40">
        <f t="array" ref="A3862">IFNA(index(PlayerValues!A:A,match(IFNA(vlookup(B3862,'Special Names'!A:B,2,FALSE),B3862),PlayerValues!E:E,0)),"N/A")</f>
        <v>15759</v>
      </c>
      <c r="B3862" s="4" t="s">
        <v>662</v>
      </c>
      <c r="C3862" s="4" t="s">
        <v>287</v>
      </c>
      <c r="D3862" s="94">
        <v>1389.0</v>
      </c>
    </row>
    <row r="3863">
      <c r="A3863" s="40">
        <f t="array" ref="A3863">IFNA(index(PlayerValues!A:A,match(IFNA(vlookup(B3863,'Special Names'!A:B,2,FALSE),B3863),PlayerValues!E:E,0)),"N/A")</f>
        <v>14122</v>
      </c>
      <c r="B3863" s="4" t="s">
        <v>663</v>
      </c>
      <c r="C3863" s="4" t="s">
        <v>287</v>
      </c>
      <c r="D3863" s="94">
        <v>1384.0</v>
      </c>
    </row>
    <row r="3864">
      <c r="A3864" s="40">
        <f t="array" ref="A3864">IFNA(index(PlayerValues!A:A,match(IFNA(vlookup(B3864,'Special Names'!A:B,2,FALSE),B3864),PlayerValues!E:E,0)),"N/A")</f>
        <v>16595</v>
      </c>
      <c r="B3864" s="4" t="s">
        <v>664</v>
      </c>
      <c r="C3864" s="4" t="s">
        <v>278</v>
      </c>
      <c r="D3864" s="94">
        <v>1383.0</v>
      </c>
    </row>
    <row r="3865">
      <c r="A3865" s="40">
        <f t="array" ref="A3865">IFNA(index(PlayerValues!A:A,match(IFNA(vlookup(B3865,'Special Names'!A:B,2,FALSE),B3865),PlayerValues!E:E,0)),"N/A")</f>
        <v>17205</v>
      </c>
      <c r="B3865" s="4" t="s">
        <v>665</v>
      </c>
      <c r="C3865" s="4" t="s">
        <v>287</v>
      </c>
      <c r="D3865" s="94">
        <v>1380.0</v>
      </c>
    </row>
    <row r="3866">
      <c r="A3866" s="40" t="str">
        <f t="array" ref="A3866">IFNA(index(PlayerValues!A:A,match(IFNA(vlookup(B3866,'Special Names'!A:B,2,FALSE),B3866),PlayerValues!E:E,0)),"N/A")</f>
        <v>N/A</v>
      </c>
      <c r="B3866" s="4" t="s">
        <v>117</v>
      </c>
      <c r="C3866" s="4" t="s">
        <v>325</v>
      </c>
      <c r="D3866" s="94">
        <v>1376.0</v>
      </c>
    </row>
    <row r="3867">
      <c r="A3867" s="40">
        <f t="array" ref="A3867">IFNA(index(PlayerValues!A:A,match(IFNA(vlookup(B3867,'Special Names'!A:B,2,FALSE),B3867),PlayerValues!E:E,0)),"N/A")</f>
        <v>16191</v>
      </c>
      <c r="B3867" s="4" t="s">
        <v>666</v>
      </c>
      <c r="C3867" s="4" t="s">
        <v>287</v>
      </c>
      <c r="D3867" s="94">
        <v>1355.0</v>
      </c>
    </row>
    <row r="3868">
      <c r="A3868" s="40">
        <f t="array" ref="A3868">IFNA(index(PlayerValues!A:A,match(IFNA(vlookup(B3868,'Special Names'!A:B,2,FALSE),B3868),PlayerValues!E:E,0)),"N/A")</f>
        <v>13672</v>
      </c>
      <c r="B3868" s="4" t="s">
        <v>667</v>
      </c>
      <c r="C3868" s="4" t="s">
        <v>298</v>
      </c>
      <c r="D3868" s="94">
        <v>1709.0</v>
      </c>
    </row>
    <row r="3869">
      <c r="A3869" s="40">
        <f t="array" ref="A3869">IFNA(index(PlayerValues!A:A,match(IFNA(vlookup(B3869,'Special Names'!A:B,2,FALSE),B3869),PlayerValues!E:E,0)),"N/A")</f>
        <v>17353</v>
      </c>
      <c r="B3869" s="4" t="s">
        <v>668</v>
      </c>
      <c r="C3869" s="4" t="s">
        <v>287</v>
      </c>
      <c r="D3869" s="94">
        <v>1341.0</v>
      </c>
    </row>
    <row r="3870">
      <c r="A3870" s="40">
        <f t="array" ref="A3870">IFNA(index(PlayerValues!A:A,match(IFNA(vlookup(B3870,'Special Names'!A:B,2,FALSE),B3870),PlayerValues!E:E,0)),"N/A")</f>
        <v>15795</v>
      </c>
      <c r="B3870" s="4" t="s">
        <v>669</v>
      </c>
      <c r="C3870" s="4" t="s">
        <v>298</v>
      </c>
      <c r="D3870" s="94">
        <v>1698.0</v>
      </c>
    </row>
    <row r="3871">
      <c r="A3871" s="40">
        <f t="array" ref="A3871">IFNA(index(PlayerValues!A:A,match(IFNA(vlookup(B3871,'Special Names'!A:B,2,FALSE),B3871),PlayerValues!E:E,0)),"N/A")</f>
        <v>17054</v>
      </c>
      <c r="B3871" s="4" t="s">
        <v>670</v>
      </c>
      <c r="C3871" s="4" t="s">
        <v>278</v>
      </c>
      <c r="D3871" s="94">
        <v>1323.0</v>
      </c>
    </row>
    <row r="3872">
      <c r="A3872" s="40">
        <f t="array" ref="A3872">IFNA(index(PlayerValues!A:A,match(IFNA(vlookup(B3872,'Special Names'!A:B,2,FALSE),B3872),PlayerValues!E:E,0)),"N/A")</f>
        <v>17546</v>
      </c>
      <c r="B3872" s="4" t="s">
        <v>671</v>
      </c>
      <c r="C3872" s="4" t="s">
        <v>298</v>
      </c>
      <c r="D3872" s="94">
        <v>1669.0</v>
      </c>
    </row>
    <row r="3873">
      <c r="A3873" s="40">
        <f t="array" ref="A3873">IFNA(index(PlayerValues!A:A,match(IFNA(vlookup(B3873,'Special Names'!A:B,2,FALSE),B3873),PlayerValues!E:E,0)),"N/A")</f>
        <v>16621</v>
      </c>
      <c r="B3873" s="4" t="s">
        <v>672</v>
      </c>
      <c r="C3873" s="4" t="s">
        <v>287</v>
      </c>
      <c r="D3873" s="94">
        <v>1294.0</v>
      </c>
    </row>
    <row r="3874">
      <c r="A3874" s="40">
        <f t="array" ref="A3874">IFNA(index(PlayerValues!A:A,match(IFNA(vlookup(B3874,'Special Names'!A:B,2,FALSE),B3874),PlayerValues!E:E,0)),"N/A")</f>
        <v>14108</v>
      </c>
      <c r="B3874" s="4" t="s">
        <v>673</v>
      </c>
      <c r="C3874" s="4" t="s">
        <v>287</v>
      </c>
      <c r="D3874" s="94">
        <v>1289.0</v>
      </c>
    </row>
    <row r="3875">
      <c r="A3875" s="40">
        <f t="array" ref="A3875">IFNA(index(PlayerValues!A:A,match(IFNA(vlookup(B3875,'Special Names'!A:B,2,FALSE),B3875),PlayerValues!E:E,0)),"N/A")</f>
        <v>17593</v>
      </c>
      <c r="B3875" s="4" t="s">
        <v>674</v>
      </c>
      <c r="C3875" s="4" t="s">
        <v>298</v>
      </c>
      <c r="D3875" s="94">
        <v>1654.0</v>
      </c>
    </row>
    <row r="3876">
      <c r="A3876" s="40">
        <f t="array" ref="A3876">IFNA(index(PlayerValues!A:A,match(IFNA(vlookup(B3876,'Special Names'!A:B,2,FALSE),B3876),PlayerValues!E:E,0)),"N/A")</f>
        <v>14105</v>
      </c>
      <c r="B3876" s="4" t="s">
        <v>675</v>
      </c>
      <c r="C3876" s="4" t="s">
        <v>287</v>
      </c>
      <c r="D3876" s="94">
        <v>1283.0</v>
      </c>
    </row>
    <row r="3877">
      <c r="A3877" s="40">
        <f t="array" ref="A3877">IFNA(index(PlayerValues!A:A,match(IFNA(vlookup(B3877,'Special Names'!A:B,2,FALSE),B3877),PlayerValues!E:E,0)),"N/A")</f>
        <v>14137</v>
      </c>
      <c r="B3877" s="4" t="s">
        <v>676</v>
      </c>
      <c r="C3877" s="4" t="s">
        <v>298</v>
      </c>
      <c r="D3877" s="94">
        <v>1639.0</v>
      </c>
    </row>
    <row r="3878">
      <c r="A3878" s="40">
        <f t="array" ref="A3878">IFNA(index(PlayerValues!A:A,match(IFNA(vlookup(B3878,'Special Names'!A:B,2,FALSE),B3878),PlayerValues!E:E,0)),"N/A")</f>
        <v>17192</v>
      </c>
      <c r="B3878" s="4" t="s">
        <v>677</v>
      </c>
      <c r="C3878" s="4" t="s">
        <v>287</v>
      </c>
      <c r="D3878" s="94">
        <v>1273.0</v>
      </c>
    </row>
    <row r="3879">
      <c r="A3879" s="40">
        <f t="array" ref="A3879">IFNA(index(PlayerValues!A:A,match(IFNA(vlookup(B3879,'Special Names'!A:B,2,FALSE),B3879),PlayerValues!E:E,0)),"N/A")</f>
        <v>16183</v>
      </c>
      <c r="B3879" s="4" t="s">
        <v>678</v>
      </c>
      <c r="C3879" s="4" t="s">
        <v>287</v>
      </c>
      <c r="D3879" s="94">
        <v>1268.0</v>
      </c>
    </row>
    <row r="3880">
      <c r="A3880" s="40">
        <f t="array" ref="A3880">IFNA(index(PlayerValues!A:A,match(IFNA(vlookup(B3880,'Special Names'!A:B,2,FALSE),B3880),PlayerValues!E:E,0)),"N/A")</f>
        <v>17254</v>
      </c>
      <c r="B3880" s="4" t="s">
        <v>679</v>
      </c>
      <c r="C3880" s="4" t="s">
        <v>287</v>
      </c>
      <c r="D3880" s="94">
        <v>1268.0</v>
      </c>
    </row>
    <row r="3881">
      <c r="A3881" s="40">
        <f t="array" ref="A3881">IFNA(index(PlayerValues!A:A,match(IFNA(vlookup(B3881,'Special Names'!A:B,2,FALSE),B3881),PlayerValues!E:E,0)),"N/A")</f>
        <v>14095</v>
      </c>
      <c r="B3881" s="4" t="s">
        <v>680</v>
      </c>
      <c r="C3881" s="4" t="s">
        <v>278</v>
      </c>
      <c r="D3881" s="94">
        <v>1267.0</v>
      </c>
    </row>
    <row r="3882">
      <c r="A3882" s="40">
        <f t="array" ref="A3882">IFNA(index(PlayerValues!A:A,match(IFNA(vlookup(B3882,'Special Names'!A:B,2,FALSE),B3882),PlayerValues!E:E,0)),"N/A")</f>
        <v>15873</v>
      </c>
      <c r="B3882" s="4" t="s">
        <v>681</v>
      </c>
      <c r="C3882" s="4" t="s">
        <v>298</v>
      </c>
      <c r="D3882" s="94">
        <v>1635.0</v>
      </c>
    </row>
    <row r="3883">
      <c r="A3883" s="40">
        <f t="array" ref="A3883">IFNA(index(PlayerValues!A:A,match(IFNA(vlookup(B3883,'Special Names'!A:B,2,FALSE),B3883),PlayerValues!E:E,0)),"N/A")</f>
        <v>15292</v>
      </c>
      <c r="B3883" s="4" t="s">
        <v>682</v>
      </c>
      <c r="C3883" s="4" t="s">
        <v>287</v>
      </c>
      <c r="D3883" s="94">
        <v>1261.0</v>
      </c>
    </row>
    <row r="3884">
      <c r="A3884" s="40">
        <f t="array" ref="A3884">IFNA(index(PlayerValues!A:A,match(IFNA(vlookup(B3884,'Special Names'!A:B,2,FALSE),B3884),PlayerValues!E:E,0)),"N/A")</f>
        <v>16883</v>
      </c>
      <c r="B3884" s="4" t="s">
        <v>683</v>
      </c>
      <c r="C3884" s="4" t="s">
        <v>287</v>
      </c>
      <c r="D3884" s="94">
        <v>1259.0</v>
      </c>
    </row>
    <row r="3885">
      <c r="A3885" s="40">
        <f t="array" ref="A3885">IFNA(index(PlayerValues!A:A,match(IFNA(vlookup(B3885,'Special Names'!A:B,2,FALSE),B3885),PlayerValues!E:E,0)),"N/A")</f>
        <v>17627</v>
      </c>
      <c r="B3885" s="4" t="s">
        <v>684</v>
      </c>
      <c r="C3885" s="4" t="s">
        <v>298</v>
      </c>
      <c r="D3885" s="94">
        <v>1618.0</v>
      </c>
    </row>
    <row r="3886">
      <c r="A3886" s="40">
        <f t="array" ref="A3886">IFNA(index(PlayerValues!A:A,match(IFNA(vlookup(B3886,'Special Names'!A:B,2,FALSE),B3886),PlayerValues!E:E,0)),"N/A")</f>
        <v>17542</v>
      </c>
      <c r="B3886" s="4" t="s">
        <v>685</v>
      </c>
      <c r="C3886" s="4" t="s">
        <v>287</v>
      </c>
      <c r="D3886" s="94">
        <v>1247.0</v>
      </c>
    </row>
    <row r="3887">
      <c r="A3887" s="40">
        <f t="array" ref="A3887">IFNA(index(PlayerValues!A:A,match(IFNA(vlookup(B3887,'Special Names'!A:B,2,FALSE),B3887),PlayerValues!E:E,0)),"N/A")</f>
        <v>17063</v>
      </c>
      <c r="B3887" s="4" t="s">
        <v>686</v>
      </c>
      <c r="C3887" s="4" t="s">
        <v>278</v>
      </c>
      <c r="D3887" s="94">
        <v>1245.0</v>
      </c>
    </row>
    <row r="3888">
      <c r="A3888" s="40">
        <f t="array" ref="A3888">IFNA(index(PlayerValues!A:A,match(IFNA(vlookup(B3888,'Special Names'!A:B,2,FALSE),B3888),PlayerValues!E:E,0)),"N/A")</f>
        <v>16199</v>
      </c>
      <c r="B3888" s="4" t="s">
        <v>687</v>
      </c>
      <c r="C3888" s="4" t="s">
        <v>287</v>
      </c>
      <c r="D3888" s="94">
        <v>1245.0</v>
      </c>
    </row>
    <row r="3889">
      <c r="A3889" s="40">
        <f t="array" ref="A3889">IFNA(index(PlayerValues!A:A,match(IFNA(vlookup(B3889,'Special Names'!A:B,2,FALSE),B3889),PlayerValues!E:E,0)),"N/A")</f>
        <v>16688</v>
      </c>
      <c r="B3889" s="4" t="s">
        <v>688</v>
      </c>
      <c r="C3889" s="4" t="s">
        <v>278</v>
      </c>
      <c r="D3889" s="94">
        <v>1241.0</v>
      </c>
    </row>
    <row r="3890">
      <c r="A3890" s="40">
        <f t="array" ref="A3890">IFNA(index(PlayerValues!A:A,match(IFNA(vlookup(B3890,'Special Names'!A:B,2,FALSE),B3890),PlayerValues!E:E,0)),"N/A")</f>
        <v>16390</v>
      </c>
      <c r="B3890" s="4" t="s">
        <v>689</v>
      </c>
      <c r="C3890" s="4" t="s">
        <v>278</v>
      </c>
      <c r="D3890" s="94">
        <v>1239.0</v>
      </c>
    </row>
    <row r="3891">
      <c r="A3891" s="40">
        <f t="array" ref="A3891">IFNA(index(PlayerValues!A:A,match(IFNA(vlookup(B3891,'Special Names'!A:B,2,FALSE),B3891),PlayerValues!E:E,0)),"N/A")</f>
        <v>16385</v>
      </c>
      <c r="B3891" s="4" t="s">
        <v>690</v>
      </c>
      <c r="C3891" s="4" t="s">
        <v>278</v>
      </c>
      <c r="D3891" s="94">
        <v>1233.0</v>
      </c>
    </row>
    <row r="3892">
      <c r="A3892" s="40">
        <f t="array" ref="A3892">IFNA(index(PlayerValues!A:A,match(IFNA(vlookup(B3892,'Special Names'!A:B,2,FALSE),B3892),PlayerValues!E:E,0)),"N/A")</f>
        <v>16642</v>
      </c>
      <c r="B3892" s="4" t="s">
        <v>691</v>
      </c>
      <c r="C3892" s="4" t="s">
        <v>298</v>
      </c>
      <c r="D3892" s="94">
        <v>1597.0</v>
      </c>
    </row>
    <row r="3893">
      <c r="A3893" s="40">
        <f t="array" ref="A3893">IFNA(index(PlayerValues!A:A,match(IFNA(vlookup(B3893,'Special Names'!A:B,2,FALSE),B3893),PlayerValues!E:E,0)),"N/A")</f>
        <v>17487</v>
      </c>
      <c r="B3893" s="4" t="s">
        <v>692</v>
      </c>
      <c r="C3893" s="4" t="s">
        <v>278</v>
      </c>
      <c r="D3893" s="94">
        <v>1220.0</v>
      </c>
    </row>
    <row r="3894">
      <c r="A3894" s="40">
        <f t="array" ref="A3894">IFNA(index(PlayerValues!A:A,match(IFNA(vlookup(B3894,'Special Names'!A:B,2,FALSE),B3894),PlayerValues!E:E,0)),"N/A")</f>
        <v>17504</v>
      </c>
      <c r="B3894" s="4" t="s">
        <v>693</v>
      </c>
      <c r="C3894" s="4" t="s">
        <v>287</v>
      </c>
      <c r="D3894" s="94">
        <v>1218.0</v>
      </c>
    </row>
    <row r="3895">
      <c r="A3895" s="40">
        <f t="array" ref="A3895">IFNA(index(PlayerValues!A:A,match(IFNA(vlookup(B3895,'Special Names'!A:B,2,FALSE),B3895),PlayerValues!E:E,0)),"N/A")</f>
        <v>15777</v>
      </c>
      <c r="B3895" s="4" t="s">
        <v>694</v>
      </c>
      <c r="C3895" s="4" t="s">
        <v>287</v>
      </c>
      <c r="D3895" s="94">
        <v>1216.0</v>
      </c>
    </row>
    <row r="3896">
      <c r="A3896" s="40">
        <f t="array" ref="A3896">IFNA(index(PlayerValues!A:A,match(IFNA(vlookup(B3896,'Special Names'!A:B,2,FALSE),B3896),PlayerValues!E:E,0)),"N/A")</f>
        <v>17486</v>
      </c>
      <c r="B3896" s="4" t="s">
        <v>695</v>
      </c>
      <c r="C3896" s="4" t="s">
        <v>278</v>
      </c>
      <c r="D3896" s="94">
        <v>1213.0</v>
      </c>
    </row>
    <row r="3897">
      <c r="A3897" s="40">
        <f t="array" ref="A3897">IFNA(index(PlayerValues!A:A,match(IFNA(vlookup(B3897,'Special Names'!A:B,2,FALSE),B3897),PlayerValues!E:E,0)),"N/A")</f>
        <v>16384</v>
      </c>
      <c r="B3897" s="4" t="s">
        <v>696</v>
      </c>
      <c r="C3897" s="4" t="s">
        <v>283</v>
      </c>
      <c r="D3897" s="94">
        <v>1210.0</v>
      </c>
    </row>
    <row r="3898">
      <c r="A3898" s="40">
        <f t="array" ref="A3898">IFNA(index(PlayerValues!A:A,match(IFNA(vlookup(B3898,'Special Names'!A:B,2,FALSE),B3898),PlayerValues!E:E,0)),"N/A")</f>
        <v>12263</v>
      </c>
      <c r="B3898" s="4" t="s">
        <v>697</v>
      </c>
      <c r="C3898" s="4" t="s">
        <v>298</v>
      </c>
      <c r="D3898" s="94">
        <v>1577.0</v>
      </c>
    </row>
    <row r="3899">
      <c r="A3899" s="40">
        <f t="array" ref="A3899">IFNA(index(PlayerValues!A:A,match(IFNA(vlookup(B3899,'Special Names'!A:B,2,FALSE),B3899),PlayerValues!E:E,0)),"N/A")</f>
        <v>15332</v>
      </c>
      <c r="B3899" s="4" t="s">
        <v>698</v>
      </c>
      <c r="C3899" s="4" t="s">
        <v>298</v>
      </c>
      <c r="D3899" s="94">
        <v>1575.0</v>
      </c>
    </row>
    <row r="3900">
      <c r="A3900" s="40">
        <f t="array" ref="A3900">IFNA(index(PlayerValues!A:A,match(IFNA(vlookup(B3900,'Special Names'!A:B,2,FALSE),B3900),PlayerValues!E:E,0)),"N/A")</f>
        <v>16636</v>
      </c>
      <c r="B3900" s="4" t="s">
        <v>699</v>
      </c>
      <c r="C3900" s="4" t="s">
        <v>287</v>
      </c>
      <c r="D3900" s="94">
        <v>1205.0</v>
      </c>
    </row>
    <row r="3901">
      <c r="A3901" s="40">
        <f t="array" ref="A3901">IFNA(index(PlayerValues!A:A,match(IFNA(vlookup(B3901,'Special Names'!A:B,2,FALSE),B3901),PlayerValues!E:E,0)),"N/A")</f>
        <v>15288</v>
      </c>
      <c r="B3901" s="4" t="s">
        <v>700</v>
      </c>
      <c r="C3901" s="4" t="s">
        <v>287</v>
      </c>
      <c r="D3901" s="94">
        <v>1197.0</v>
      </c>
    </row>
    <row r="3902">
      <c r="A3902" s="40">
        <f t="array" ref="A3902">IFNA(index(PlayerValues!A:A,match(IFNA(vlookup(B3902,'Special Names'!A:B,2,FALSE),B3902),PlayerValues!E:E,0)),"N/A")</f>
        <v>17062</v>
      </c>
      <c r="B3902" s="4" t="s">
        <v>701</v>
      </c>
      <c r="C3902" s="4" t="s">
        <v>278</v>
      </c>
      <c r="D3902" s="94">
        <v>1188.0</v>
      </c>
    </row>
    <row r="3903">
      <c r="A3903" s="40">
        <f t="array" ref="A3903">IFNA(index(PlayerValues!A:A,match(IFNA(vlookup(B3903,'Special Names'!A:B,2,FALSE),B3903),PlayerValues!E:E,0)),"N/A")</f>
        <v>12140</v>
      </c>
      <c r="B3903" s="4" t="s">
        <v>702</v>
      </c>
      <c r="C3903" s="4" t="s">
        <v>283</v>
      </c>
      <c r="D3903" s="94">
        <v>1182.0</v>
      </c>
    </row>
    <row r="3904">
      <c r="A3904" s="40">
        <f t="array" ref="A3904">IFNA(index(PlayerValues!A:A,match(IFNA(vlookup(B3904,'Special Names'!A:B,2,FALSE),B3904),PlayerValues!E:E,0)),"N/A")</f>
        <v>12678</v>
      </c>
      <c r="B3904" s="4" t="s">
        <v>703</v>
      </c>
      <c r="C3904" s="4" t="s">
        <v>298</v>
      </c>
      <c r="D3904" s="94">
        <v>1550.0</v>
      </c>
    </row>
    <row r="3905">
      <c r="A3905" s="40">
        <f t="array" ref="A3905">IFNA(index(PlayerValues!A:A,match(IFNA(vlookup(B3905,'Special Names'!A:B,2,FALSE),B3905),PlayerValues!E:E,0)),"N/A")</f>
        <v>16792</v>
      </c>
      <c r="B3905" s="4" t="s">
        <v>704</v>
      </c>
      <c r="C3905" s="4" t="s">
        <v>287</v>
      </c>
      <c r="D3905" s="94">
        <v>1167.0</v>
      </c>
    </row>
    <row r="3906">
      <c r="A3906" s="40">
        <f t="array" ref="A3906">IFNA(index(PlayerValues!A:A,match(IFNA(vlookup(B3906,'Special Names'!A:B,2,FALSE),B3906),PlayerValues!E:E,0)),"N/A")</f>
        <v>14592</v>
      </c>
      <c r="B3906" s="4" t="s">
        <v>705</v>
      </c>
      <c r="C3906" s="4" t="s">
        <v>287</v>
      </c>
      <c r="D3906" s="94">
        <v>1160.0</v>
      </c>
    </row>
    <row r="3907">
      <c r="A3907" s="40">
        <f t="array" ref="A3907">IFNA(index(PlayerValues!A:A,match(IFNA(vlookup(B3907,'Special Names'!A:B,2,FALSE),B3907),PlayerValues!E:E,0)),"N/A")</f>
        <v>13418</v>
      </c>
      <c r="B3907" s="4" t="s">
        <v>706</v>
      </c>
      <c r="C3907" s="4" t="s">
        <v>287</v>
      </c>
      <c r="D3907" s="94">
        <v>1154.0</v>
      </c>
    </row>
    <row r="3908">
      <c r="A3908" s="40">
        <f t="array" ref="A3908">IFNA(index(PlayerValues!A:A,match(IFNA(vlookup(B3908,'Special Names'!A:B,2,FALSE),B3908),PlayerValues!E:E,0)),"N/A")</f>
        <v>17109</v>
      </c>
      <c r="B3908" s="4" t="s">
        <v>707</v>
      </c>
      <c r="C3908" s="4" t="s">
        <v>298</v>
      </c>
      <c r="D3908" s="94">
        <v>1517.0</v>
      </c>
    </row>
    <row r="3909">
      <c r="A3909" s="40">
        <f t="array" ref="A3909">IFNA(index(PlayerValues!A:A,match(IFNA(vlookup(B3909,'Special Names'!A:B,2,FALSE),B3909),PlayerValues!E:E,0)),"N/A")</f>
        <v>17057</v>
      </c>
      <c r="B3909" s="4" t="s">
        <v>708</v>
      </c>
      <c r="C3909" s="4" t="s">
        <v>278</v>
      </c>
      <c r="D3909" s="94">
        <v>1144.0</v>
      </c>
    </row>
    <row r="3910">
      <c r="A3910" s="40">
        <f t="array" ref="A3910">IFNA(index(PlayerValues!A:A,match(IFNA(vlookup(B3910,'Special Names'!A:B,2,FALSE),B3910),PlayerValues!E:E,0)),"N/A")</f>
        <v>16746</v>
      </c>
      <c r="B3910" s="4" t="s">
        <v>709</v>
      </c>
      <c r="C3910" s="4" t="s">
        <v>278</v>
      </c>
      <c r="D3910" s="94">
        <v>1140.0</v>
      </c>
    </row>
    <row r="3911">
      <c r="A3911" s="40">
        <f t="array" ref="A3911">IFNA(index(PlayerValues!A:A,match(IFNA(vlookup(B3911,'Special Names'!A:B,2,FALSE),B3911),PlayerValues!E:E,0)),"N/A")</f>
        <v>17644</v>
      </c>
      <c r="B3911" s="4" t="s">
        <v>710</v>
      </c>
      <c r="C3911" s="4" t="s">
        <v>298</v>
      </c>
      <c r="D3911" s="94">
        <v>1501.0</v>
      </c>
    </row>
    <row r="3912">
      <c r="A3912" s="40">
        <f t="array" ref="A3912">IFNA(index(PlayerValues!A:A,match(IFNA(vlookup(B3912,'Special Names'!A:B,2,FALSE),B3912),PlayerValues!E:E,0)),"N/A")</f>
        <v>16333</v>
      </c>
      <c r="B3912" s="4" t="s">
        <v>711</v>
      </c>
      <c r="C3912" s="4" t="s">
        <v>298</v>
      </c>
      <c r="D3912" s="94">
        <v>1498.0</v>
      </c>
    </row>
    <row r="3913">
      <c r="A3913" s="40">
        <f t="array" ref="A3913">IFNA(index(PlayerValues!A:A,match(IFNA(vlookup(B3913,'Special Names'!A:B,2,FALSE),B3913),PlayerValues!E:E,0)),"N/A")</f>
        <v>16640</v>
      </c>
      <c r="B3913" s="4" t="s">
        <v>712</v>
      </c>
      <c r="C3913" s="4" t="s">
        <v>287</v>
      </c>
      <c r="D3913" s="94">
        <v>1127.0</v>
      </c>
    </row>
    <row r="3914">
      <c r="A3914" s="40">
        <f t="array" ref="A3914">IFNA(index(PlayerValues!A:A,match(IFNA(vlookup(B3914,'Special Names'!A:B,2,FALSE),B3914),PlayerValues!E:E,0)),"N/A")</f>
        <v>17050</v>
      </c>
      <c r="B3914" s="4" t="s">
        <v>713</v>
      </c>
      <c r="C3914" s="4" t="s">
        <v>278</v>
      </c>
      <c r="D3914" s="94">
        <v>1120.0</v>
      </c>
    </row>
    <row r="3915">
      <c r="A3915" s="40">
        <f t="array" ref="A3915">IFNA(index(PlayerValues!A:A,match(IFNA(vlookup(B3915,'Special Names'!A:B,2,FALSE),B3915),PlayerValues!E:E,0)),"N/A")</f>
        <v>17077</v>
      </c>
      <c r="B3915" s="4" t="s">
        <v>714</v>
      </c>
      <c r="C3915" s="4" t="s">
        <v>287</v>
      </c>
      <c r="D3915" s="94">
        <v>1117.0</v>
      </c>
    </row>
    <row r="3916">
      <c r="A3916" s="40">
        <f t="array" ref="A3916">IFNA(index(PlayerValues!A:A,match(IFNA(vlookup(B3916,'Special Names'!A:B,2,FALSE),B3916),PlayerValues!E:E,0)),"N/A")</f>
        <v>15252</v>
      </c>
      <c r="B3916" s="4" t="s">
        <v>715</v>
      </c>
      <c r="C3916" s="4" t="s">
        <v>283</v>
      </c>
      <c r="D3916" s="94">
        <v>1115.0</v>
      </c>
    </row>
    <row r="3917">
      <c r="A3917" s="40">
        <f t="array" ref="A3917">IFNA(index(PlayerValues!A:A,match(IFNA(vlookup(B3917,'Special Names'!A:B,2,FALSE),B3917),PlayerValues!E:E,0)),"N/A")</f>
        <v>14080</v>
      </c>
      <c r="B3917" s="4" t="s">
        <v>716</v>
      </c>
      <c r="C3917" s="4" t="s">
        <v>278</v>
      </c>
      <c r="D3917" s="94">
        <v>1110.0</v>
      </c>
    </row>
    <row r="3918">
      <c r="A3918" s="40">
        <f t="array" ref="A3918">IFNA(index(PlayerValues!A:A,match(IFNA(vlookup(B3918,'Special Names'!A:B,2,FALSE),B3918),PlayerValues!E:E,0)),"N/A")</f>
        <v>14845</v>
      </c>
      <c r="B3918" s="4" t="s">
        <v>717</v>
      </c>
      <c r="C3918" s="4" t="s">
        <v>287</v>
      </c>
      <c r="D3918" s="94">
        <v>1101.0</v>
      </c>
    </row>
    <row r="3919">
      <c r="A3919" s="40">
        <f t="array" ref="A3919">IFNA(index(PlayerValues!A:A,match(IFNA(vlookup(B3919,'Special Names'!A:B,2,FALSE),B3919),PlayerValues!E:E,0)),"N/A")</f>
        <v>17269</v>
      </c>
      <c r="B3919" s="4" t="s">
        <v>718</v>
      </c>
      <c r="C3919" s="4" t="s">
        <v>287</v>
      </c>
      <c r="D3919" s="94">
        <v>1093.0</v>
      </c>
    </row>
    <row r="3920">
      <c r="A3920" s="40">
        <f t="array" ref="A3920">IFNA(index(PlayerValues!A:A,match(IFNA(vlookup(B3920,'Special Names'!A:B,2,FALSE),B3920),PlayerValues!E:E,0)),"N/A")</f>
        <v>17545</v>
      </c>
      <c r="B3920" s="4" t="s">
        <v>719</v>
      </c>
      <c r="C3920" s="4" t="s">
        <v>298</v>
      </c>
      <c r="D3920" s="94">
        <v>1462.0</v>
      </c>
    </row>
    <row r="3921">
      <c r="A3921" s="40">
        <f t="array" ref="A3921">IFNA(index(PlayerValues!A:A,match(IFNA(vlookup(B3921,'Special Names'!A:B,2,FALSE),B3921),PlayerValues!E:E,0)),"N/A")</f>
        <v>17549</v>
      </c>
      <c r="B3921" s="4" t="s">
        <v>720</v>
      </c>
      <c r="C3921" s="4" t="s">
        <v>298</v>
      </c>
      <c r="D3921" s="94">
        <v>1455.0</v>
      </c>
    </row>
    <row r="3922">
      <c r="A3922" s="40">
        <f t="array" ref="A3922">IFNA(index(PlayerValues!A:A,match(IFNA(vlookup(B3922,'Special Names'!A:B,2,FALSE),B3922),PlayerValues!E:E,0)),"N/A")</f>
        <v>14789</v>
      </c>
      <c r="B3922" s="4" t="s">
        <v>721</v>
      </c>
      <c r="C3922" s="4" t="s">
        <v>283</v>
      </c>
      <c r="D3922" s="94">
        <v>1079.0</v>
      </c>
    </row>
    <row r="3923">
      <c r="A3923" s="40">
        <f t="array" ref="A3923">IFNA(index(PlayerValues!A:A,match(IFNA(vlookup(B3923,'Special Names'!A:B,2,FALSE),B3923),PlayerValues!E:E,0)),"N/A")</f>
        <v>12801</v>
      </c>
      <c r="B3923" s="4" t="s">
        <v>722</v>
      </c>
      <c r="C3923" s="4" t="s">
        <v>287</v>
      </c>
      <c r="D3923" s="94">
        <v>1072.0</v>
      </c>
    </row>
    <row r="3924">
      <c r="A3924" s="40">
        <f t="array" ref="A3924">IFNA(index(PlayerValues!A:A,match(IFNA(vlookup(B3924,'Special Names'!A:B,2,FALSE),B3924),PlayerValues!E:E,0)),"N/A")</f>
        <v>15702</v>
      </c>
      <c r="B3924" s="4" t="s">
        <v>723</v>
      </c>
      <c r="C3924" s="4" t="s">
        <v>283</v>
      </c>
      <c r="D3924" s="94">
        <v>1072.0</v>
      </c>
    </row>
    <row r="3925">
      <c r="A3925" s="40">
        <f t="array" ref="A3925">IFNA(index(PlayerValues!A:A,match(IFNA(vlookup(B3925,'Special Names'!A:B,2,FALSE),B3925),PlayerValues!E:E,0)),"N/A")</f>
        <v>15758</v>
      </c>
      <c r="B3925" s="4" t="s">
        <v>724</v>
      </c>
      <c r="C3925" s="4" t="s">
        <v>287</v>
      </c>
      <c r="D3925" s="94">
        <v>1071.0</v>
      </c>
    </row>
    <row r="3926">
      <c r="A3926" s="40">
        <f t="array" ref="A3926">IFNA(index(PlayerValues!A:A,match(IFNA(vlookup(B3926,'Special Names'!A:B,2,FALSE),B3926),PlayerValues!E:E,0)),"N/A")</f>
        <v>16221</v>
      </c>
      <c r="B3926" s="4" t="s">
        <v>725</v>
      </c>
      <c r="C3926" s="4" t="s">
        <v>298</v>
      </c>
      <c r="D3926" s="94">
        <v>1412.0</v>
      </c>
    </row>
    <row r="3927">
      <c r="A3927" s="40">
        <f t="array" ref="A3927">IFNA(index(PlayerValues!A:A,match(IFNA(vlookup(B3927,'Special Names'!A:B,2,FALSE),B3927),PlayerValues!E:E,0)),"N/A")</f>
        <v>16197</v>
      </c>
      <c r="B3927" s="4" t="s">
        <v>726</v>
      </c>
      <c r="C3927" s="4" t="s">
        <v>287</v>
      </c>
      <c r="D3927" s="94">
        <v>1038.0</v>
      </c>
    </row>
    <row r="3928">
      <c r="A3928" s="40">
        <f t="array" ref="A3928">IFNA(index(PlayerValues!A:A,match(IFNA(vlookup(B3928,'Special Names'!A:B,2,FALSE),B3928),PlayerValues!E:E,0)),"N/A")</f>
        <v>17037</v>
      </c>
      <c r="B3928" s="4" t="s">
        <v>727</v>
      </c>
      <c r="C3928" s="4" t="s">
        <v>283</v>
      </c>
      <c r="D3928" s="94">
        <v>1033.0</v>
      </c>
    </row>
    <row r="3929">
      <c r="A3929" s="40">
        <f t="array" ref="A3929">IFNA(index(PlayerValues!A:A,match(IFNA(vlookup(B3929,'Special Names'!A:B,2,FALSE),B3929),PlayerValues!E:E,0)),"N/A")</f>
        <v>15109</v>
      </c>
      <c r="B3929" s="4" t="s">
        <v>728</v>
      </c>
      <c r="C3929" s="4" t="s">
        <v>287</v>
      </c>
      <c r="D3929" s="94">
        <v>1023.0</v>
      </c>
    </row>
    <row r="3930">
      <c r="A3930" s="40">
        <f t="array" ref="A3930">IFNA(index(PlayerValues!A:A,match(IFNA(vlookup(B3930,'Special Names'!A:B,2,FALSE),B3930),PlayerValues!E:E,0)),"N/A")</f>
        <v>15981</v>
      </c>
      <c r="B3930" s="4" t="s">
        <v>729</v>
      </c>
      <c r="C3930" s="4" t="s">
        <v>287</v>
      </c>
      <c r="D3930" s="94">
        <v>1015.0</v>
      </c>
    </row>
    <row r="3931">
      <c r="A3931" s="40">
        <f t="array" ref="A3931">IFNA(index(PlayerValues!A:A,match(IFNA(vlookup(B3931,'Special Names'!A:B,2,FALSE),B3931),PlayerValues!E:E,0)),"N/A")</f>
        <v>15727</v>
      </c>
      <c r="B3931" s="4" t="s">
        <v>730</v>
      </c>
      <c r="C3931" s="4" t="s">
        <v>278</v>
      </c>
      <c r="D3931" s="94">
        <v>1013.0</v>
      </c>
    </row>
    <row r="3932">
      <c r="A3932" s="40">
        <f t="array" ref="A3932">IFNA(index(PlayerValues!A:A,match(IFNA(vlookup(B3932,'Special Names'!A:B,2,FALSE),B3932),PlayerValues!E:E,0)),"N/A")</f>
        <v>14840</v>
      </c>
      <c r="B3932" s="4" t="s">
        <v>731</v>
      </c>
      <c r="C3932" s="4" t="s">
        <v>287</v>
      </c>
      <c r="D3932" s="94">
        <v>1008.0</v>
      </c>
    </row>
    <row r="3933">
      <c r="A3933" s="40">
        <f t="array" ref="A3933">IFNA(index(PlayerValues!A:A,match(IFNA(vlookup(B3933,'Special Names'!A:B,2,FALSE),B3933),PlayerValues!E:E,0)),"N/A")</f>
        <v>15713</v>
      </c>
      <c r="B3933" s="4" t="s">
        <v>732</v>
      </c>
      <c r="C3933" s="4" t="s">
        <v>278</v>
      </c>
      <c r="D3933" s="94">
        <v>999.0</v>
      </c>
    </row>
    <row r="3934">
      <c r="A3934" s="40">
        <f t="array" ref="A3934">IFNA(index(PlayerValues!A:A,match(IFNA(vlookup(B3934,'Special Names'!A:B,2,FALSE),B3934),PlayerValues!E:E,0)),"N/A")</f>
        <v>14849</v>
      </c>
      <c r="B3934" s="4" t="s">
        <v>733</v>
      </c>
      <c r="C3934" s="4" t="s">
        <v>287</v>
      </c>
      <c r="D3934" s="94">
        <v>981.0</v>
      </c>
    </row>
    <row r="3935">
      <c r="A3935" s="40">
        <f t="array" ref="A3935">IFNA(index(PlayerValues!A:A,match(IFNA(vlookup(B3935,'Special Names'!A:B,2,FALSE),B3935),PlayerValues!E:E,0)),"N/A")</f>
        <v>15730</v>
      </c>
      <c r="B3935" s="4" t="s">
        <v>734</v>
      </c>
      <c r="C3935" s="4" t="s">
        <v>278</v>
      </c>
      <c r="D3935" s="94">
        <v>981.0</v>
      </c>
    </row>
    <row r="3936">
      <c r="A3936" s="40">
        <f t="array" ref="A3936">IFNA(index(PlayerValues!A:A,match(IFNA(vlookup(B3936,'Special Names'!A:B,2,FALSE),B3936),PlayerValues!E:E,0)),"N/A")</f>
        <v>14067</v>
      </c>
      <c r="B3936" s="4" t="s">
        <v>735</v>
      </c>
      <c r="C3936" s="4" t="s">
        <v>283</v>
      </c>
      <c r="D3936" s="94">
        <v>976.0</v>
      </c>
    </row>
    <row r="3937">
      <c r="A3937" s="40">
        <f t="array" ref="A3937">IFNA(index(PlayerValues!A:A,match(IFNA(vlookup(B3937,'Special Names'!A:B,2,FALSE),B3937),PlayerValues!E:E,0)),"N/A")</f>
        <v>16637</v>
      </c>
      <c r="B3937" s="4" t="s">
        <v>736</v>
      </c>
      <c r="C3937" s="4" t="s">
        <v>287</v>
      </c>
      <c r="D3937" s="94">
        <v>976.0</v>
      </c>
    </row>
    <row r="3938">
      <c r="A3938" s="40">
        <f t="array" ref="A3938">IFNA(index(PlayerValues!A:A,match(IFNA(vlookup(B3938,'Special Names'!A:B,2,FALSE),B3938),PlayerValues!E:E,0)),"N/A")</f>
        <v>16599</v>
      </c>
      <c r="B3938" s="4" t="s">
        <v>737</v>
      </c>
      <c r="C3938" s="4" t="s">
        <v>278</v>
      </c>
      <c r="D3938" s="94">
        <v>975.0</v>
      </c>
    </row>
    <row r="3939">
      <c r="A3939" s="40">
        <f t="array" ref="A3939">IFNA(index(PlayerValues!A:A,match(IFNA(vlookup(B3939,'Special Names'!A:B,2,FALSE),B3939),PlayerValues!E:E,0)),"N/A")</f>
        <v>16168</v>
      </c>
      <c r="B3939" s="4" t="s">
        <v>738</v>
      </c>
      <c r="C3939" s="4" t="s">
        <v>278</v>
      </c>
      <c r="D3939" s="94">
        <v>961.0</v>
      </c>
    </row>
    <row r="3940">
      <c r="A3940" s="40">
        <f t="array" ref="A3940">IFNA(index(PlayerValues!A:A,match(IFNA(vlookup(B3940,'Special Names'!A:B,2,FALSE),B3940),PlayerValues!E:E,0)),"N/A")</f>
        <v>16219</v>
      </c>
      <c r="B3940" s="4" t="s">
        <v>739</v>
      </c>
      <c r="C3940" s="4" t="s">
        <v>298</v>
      </c>
      <c r="D3940" s="94">
        <v>1326.0</v>
      </c>
    </row>
    <row r="3941">
      <c r="A3941" s="40">
        <f t="array" ref="A3941">IFNA(index(PlayerValues!A:A,match(IFNA(vlookup(B3941,'Special Names'!A:B,2,FALSE),B3941),PlayerValues!E:E,0)),"N/A")</f>
        <v>16149</v>
      </c>
      <c r="B3941" s="4" t="s">
        <v>740</v>
      </c>
      <c r="C3941" s="4" t="s">
        <v>283</v>
      </c>
      <c r="D3941" s="94">
        <v>958.0</v>
      </c>
    </row>
    <row r="3942">
      <c r="A3942" s="40">
        <f t="array" ref="A3942">IFNA(index(PlayerValues!A:A,match(IFNA(vlookup(B3942,'Special Names'!A:B,2,FALSE),B3942),PlayerValues!E:E,0)),"N/A")</f>
        <v>15271</v>
      </c>
      <c r="B3942" s="4" t="s">
        <v>741</v>
      </c>
      <c r="C3942" s="4" t="s">
        <v>278</v>
      </c>
      <c r="D3942" s="94">
        <v>956.0</v>
      </c>
    </row>
    <row r="3943">
      <c r="A3943" s="40">
        <f t="array" ref="A3943">IFNA(index(PlayerValues!A:A,match(IFNA(vlookup(B3943,'Special Names'!A:B,2,FALSE),B3943),PlayerValues!E:E,0)),"N/A")</f>
        <v>16205</v>
      </c>
      <c r="B3943" s="4" t="s">
        <v>742</v>
      </c>
      <c r="C3943" s="4" t="s">
        <v>287</v>
      </c>
      <c r="D3943" s="94">
        <v>953.0</v>
      </c>
    </row>
    <row r="3944">
      <c r="A3944" s="40">
        <f t="array" ref="A3944">IFNA(index(PlayerValues!A:A,match(IFNA(vlookup(B3944,'Special Names'!A:B,2,FALSE),B3944),PlayerValues!E:E,0)),"N/A")</f>
        <v>16606</v>
      </c>
      <c r="B3944" s="4" t="s">
        <v>743</v>
      </c>
      <c r="C3944" s="4" t="s">
        <v>278</v>
      </c>
      <c r="D3944" s="94">
        <v>952.0</v>
      </c>
    </row>
    <row r="3945">
      <c r="A3945" s="40">
        <f t="array" ref="A3945">IFNA(index(PlayerValues!A:A,match(IFNA(vlookup(B3945,'Special Names'!A:B,2,FALSE),B3945),PlayerValues!E:E,0)),"N/A")</f>
        <v>12141</v>
      </c>
      <c r="B3945" s="4" t="s">
        <v>744</v>
      </c>
      <c r="C3945" s="4" t="s">
        <v>283</v>
      </c>
      <c r="D3945" s="94">
        <v>949.0</v>
      </c>
    </row>
    <row r="3946">
      <c r="A3946" s="40">
        <f t="array" ref="A3946">IFNA(index(PlayerValues!A:A,match(IFNA(vlookup(B3946,'Special Names'!A:B,2,FALSE),B3946),PlayerValues!E:E,0)),"N/A")</f>
        <v>15717</v>
      </c>
      <c r="B3946" s="4" t="s">
        <v>745</v>
      </c>
      <c r="C3946" s="4" t="s">
        <v>278</v>
      </c>
      <c r="D3946" s="94">
        <v>948.0</v>
      </c>
    </row>
    <row r="3947">
      <c r="A3947" s="40">
        <f t="array" ref="A3947">IFNA(index(PlayerValues!A:A,match(IFNA(vlookup(B3947,'Special Names'!A:B,2,FALSE),B3947),PlayerValues!E:E,0)),"N/A")</f>
        <v>13289</v>
      </c>
      <c r="B3947" s="4" t="s">
        <v>746</v>
      </c>
      <c r="C3947" s="4" t="s">
        <v>287</v>
      </c>
      <c r="D3947" s="94">
        <v>947.0</v>
      </c>
    </row>
    <row r="3948">
      <c r="A3948" s="40">
        <f t="array" ref="A3948">IFNA(index(PlayerValues!A:A,match(IFNA(vlookup(B3948,'Special Names'!A:B,2,FALSE),B3948),PlayerValues!E:E,0)),"N/A")</f>
        <v>17175</v>
      </c>
      <c r="B3948" s="4" t="s">
        <v>747</v>
      </c>
      <c r="C3948" s="4" t="s">
        <v>287</v>
      </c>
      <c r="D3948" s="94">
        <v>919.0</v>
      </c>
    </row>
    <row r="3949">
      <c r="A3949" s="40">
        <f t="array" ref="A3949">IFNA(index(PlayerValues!A:A,match(IFNA(vlookup(B3949,'Special Names'!A:B,2,FALSE),B3949),PlayerValues!E:E,0)),"N/A")</f>
        <v>16648</v>
      </c>
      <c r="B3949" s="4" t="s">
        <v>748</v>
      </c>
      <c r="C3949" s="4" t="s">
        <v>298</v>
      </c>
      <c r="D3949" s="94">
        <v>1279.0</v>
      </c>
    </row>
    <row r="3950">
      <c r="A3950" s="40">
        <f t="array" ref="A3950">IFNA(index(PlayerValues!A:A,match(IFNA(vlookup(B3950,'Special Names'!A:B,2,FALSE),B3950),PlayerValues!E:E,0)),"N/A")</f>
        <v>15330</v>
      </c>
      <c r="B3950" s="4" t="s">
        <v>749</v>
      </c>
      <c r="C3950" s="4" t="s">
        <v>298</v>
      </c>
      <c r="D3950" s="94">
        <v>1274.0</v>
      </c>
    </row>
    <row r="3951">
      <c r="A3951" s="40">
        <f t="array" ref="A3951">IFNA(index(PlayerValues!A:A,match(IFNA(vlookup(B3951,'Special Names'!A:B,2,FALSE),B3951),PlayerValues!E:E,0)),"N/A")</f>
        <v>15692</v>
      </c>
      <c r="B3951" s="4" t="s">
        <v>750</v>
      </c>
      <c r="C3951" s="4" t="s">
        <v>283</v>
      </c>
      <c r="D3951" s="94">
        <v>903.0</v>
      </c>
    </row>
    <row r="3952">
      <c r="A3952" s="40">
        <f t="array" ref="A3952">IFNA(index(PlayerValues!A:A,match(IFNA(vlookup(B3952,'Special Names'!A:B,2,FALSE),B3952),PlayerValues!E:E,0)),"N/A")</f>
        <v>15240</v>
      </c>
      <c r="B3952" s="4" t="s">
        <v>751</v>
      </c>
      <c r="C3952" s="4" t="s">
        <v>283</v>
      </c>
      <c r="D3952" s="94">
        <v>901.0</v>
      </c>
    </row>
    <row r="3953">
      <c r="A3953" s="40">
        <f t="array" ref="A3953">IFNA(index(PlayerValues!A:A,match(IFNA(vlookup(B3953,'Special Names'!A:B,2,FALSE),B3953),PlayerValues!E:E,0)),"N/A")</f>
        <v>16416</v>
      </c>
      <c r="B3953" s="4" t="s">
        <v>752</v>
      </c>
      <c r="C3953" s="4" t="s">
        <v>287</v>
      </c>
      <c r="D3953" s="94">
        <v>899.0</v>
      </c>
    </row>
    <row r="3954">
      <c r="A3954" s="40">
        <f t="array" ref="A3954">IFNA(index(PlayerValues!A:A,match(IFNA(vlookup(B3954,'Special Names'!A:B,2,FALSE),B3954),PlayerValues!E:E,0)),"N/A")</f>
        <v>15718</v>
      </c>
      <c r="B3954" s="4" t="s">
        <v>753</v>
      </c>
      <c r="C3954" s="4" t="s">
        <v>278</v>
      </c>
      <c r="D3954" s="94">
        <v>889.0</v>
      </c>
    </row>
    <row r="3955">
      <c r="A3955" s="40">
        <f t="array" ref="A3955">IFNA(index(PlayerValues!A:A,match(IFNA(vlookup(B3955,'Special Names'!A:B,2,FALSE),B3955),PlayerValues!E:E,0)),"N/A")</f>
        <v>16858</v>
      </c>
      <c r="B3955" s="4" t="s">
        <v>754</v>
      </c>
      <c r="C3955" s="4" t="s">
        <v>287</v>
      </c>
      <c r="D3955" s="94">
        <v>885.0</v>
      </c>
    </row>
    <row r="3956">
      <c r="A3956" s="40">
        <f t="array" ref="A3956">IFNA(index(PlayerValues!A:A,match(IFNA(vlookup(B3956,'Special Names'!A:B,2,FALSE),B3956),PlayerValues!E:E,0)),"N/A")</f>
        <v>15693</v>
      </c>
      <c r="B3956" s="4" t="s">
        <v>755</v>
      </c>
      <c r="C3956" s="4" t="s">
        <v>283</v>
      </c>
      <c r="D3956" s="94">
        <v>883.0</v>
      </c>
    </row>
    <row r="3957">
      <c r="A3957" s="40">
        <f t="array" ref="A3957">IFNA(index(PlayerValues!A:A,match(IFNA(vlookup(B3957,'Special Names'!A:B,2,FALSE),B3957),PlayerValues!E:E,0)),"N/A")</f>
        <v>17479</v>
      </c>
      <c r="B3957" s="4" t="s">
        <v>756</v>
      </c>
      <c r="C3957" s="4" t="s">
        <v>278</v>
      </c>
      <c r="D3957" s="94">
        <v>881.0</v>
      </c>
    </row>
    <row r="3958">
      <c r="A3958" s="40">
        <f t="array" ref="A3958">IFNA(index(PlayerValues!A:A,match(IFNA(vlookup(B3958,'Special Names'!A:B,2,FALSE),B3958),PlayerValues!E:E,0)),"N/A")</f>
        <v>15258</v>
      </c>
      <c r="B3958" s="4" t="s">
        <v>757</v>
      </c>
      <c r="C3958" s="4" t="s">
        <v>278</v>
      </c>
      <c r="D3958" s="94">
        <v>873.0</v>
      </c>
    </row>
    <row r="3959">
      <c r="A3959" s="40">
        <f t="array" ref="A3959">IFNA(index(PlayerValues!A:A,match(IFNA(vlookup(B3959,'Special Names'!A:B,2,FALSE),B3959),PlayerValues!E:E,0)),"N/A")</f>
        <v>16678</v>
      </c>
      <c r="B3959" s="4" t="s">
        <v>758</v>
      </c>
      <c r="C3959" s="4" t="s">
        <v>278</v>
      </c>
      <c r="D3959" s="94">
        <v>864.0</v>
      </c>
    </row>
    <row r="3960">
      <c r="A3960" s="40">
        <f t="array" ref="A3960">IFNA(index(PlayerValues!A:A,match(IFNA(vlookup(B3960,'Special Names'!A:B,2,FALSE),B3960),PlayerValues!E:E,0)),"N/A")</f>
        <v>15766</v>
      </c>
      <c r="B3960" s="4" t="s">
        <v>759</v>
      </c>
      <c r="C3960" s="4" t="s">
        <v>287</v>
      </c>
      <c r="D3960" s="94">
        <v>862.0</v>
      </c>
    </row>
    <row r="3961">
      <c r="A3961" s="40">
        <f t="array" ref="A3961">IFNA(index(PlayerValues!A:A,match(IFNA(vlookup(B3961,'Special Names'!A:B,2,FALSE),B3961),PlayerValues!E:E,0)),"N/A")</f>
        <v>17526</v>
      </c>
      <c r="B3961" s="4" t="s">
        <v>760</v>
      </c>
      <c r="C3961" s="4" t="s">
        <v>287</v>
      </c>
      <c r="D3961" s="94">
        <v>839.0</v>
      </c>
    </row>
    <row r="3962">
      <c r="A3962" s="40">
        <f t="array" ref="A3962">IFNA(index(PlayerValues!A:A,match(IFNA(vlookup(B3962,'Special Names'!A:B,2,FALSE),B3962),PlayerValues!E:E,0)),"N/A")</f>
        <v>9064</v>
      </c>
      <c r="B3962" s="4" t="s">
        <v>761</v>
      </c>
      <c r="C3962" s="4" t="s">
        <v>283</v>
      </c>
      <c r="D3962" s="94">
        <v>827.0</v>
      </c>
    </row>
    <row r="3963">
      <c r="A3963" s="40">
        <f t="array" ref="A3963">IFNA(index(PlayerValues!A:A,match(IFNA(vlookup(B3963,'Special Names'!A:B,2,FALSE),B3963),PlayerValues!E:E,0)),"N/A")</f>
        <v>16751</v>
      </c>
      <c r="B3963" s="4" t="s">
        <v>762</v>
      </c>
      <c r="C3963" s="4" t="s">
        <v>287</v>
      </c>
      <c r="D3963" s="94">
        <v>822.0</v>
      </c>
    </row>
    <row r="3964">
      <c r="A3964" s="40">
        <f t="array" ref="A3964">IFNA(index(PlayerValues!A:A,match(IFNA(vlookup(B3964,'Special Names'!A:B,2,FALSE),B3964),PlayerValues!E:E,0)),"N/A")</f>
        <v>15785</v>
      </c>
      <c r="B3964" s="4" t="s">
        <v>763</v>
      </c>
      <c r="C3964" s="4" t="s">
        <v>287</v>
      </c>
      <c r="D3964" s="94">
        <v>821.0</v>
      </c>
    </row>
    <row r="3965">
      <c r="A3965" s="40">
        <f t="array" ref="A3965">IFNA(index(PlayerValues!A:A,match(IFNA(vlookup(B3965,'Special Names'!A:B,2,FALSE),B3965),PlayerValues!E:E,0)),"N/A")</f>
        <v>13133</v>
      </c>
      <c r="B3965" s="4" t="s">
        <v>764</v>
      </c>
      <c r="C3965" s="4" t="s">
        <v>278</v>
      </c>
      <c r="D3965" s="94">
        <v>820.0</v>
      </c>
    </row>
    <row r="3966">
      <c r="A3966" s="40">
        <f t="array" ref="A3966">IFNA(index(PlayerValues!A:A,match(IFNA(vlookup(B3966,'Special Names'!A:B,2,FALSE),B3966),PlayerValues!E:E,0)),"N/A")</f>
        <v>14057</v>
      </c>
      <c r="B3966" s="4" t="s">
        <v>765</v>
      </c>
      <c r="C3966" s="4" t="s">
        <v>283</v>
      </c>
      <c r="D3966" s="94">
        <v>813.0</v>
      </c>
    </row>
    <row r="3967">
      <c r="A3967" s="40">
        <f t="array" ref="A3967">IFNA(index(PlayerValues!A:A,match(IFNA(vlookup(B3967,'Special Names'!A:B,2,FALSE),B3967),PlayerValues!E:E,0)),"N/A")</f>
        <v>15626</v>
      </c>
      <c r="B3967" s="4" t="s">
        <v>766</v>
      </c>
      <c r="C3967" s="4" t="s">
        <v>298</v>
      </c>
      <c r="D3967" s="94">
        <v>1164.0</v>
      </c>
    </row>
    <row r="3968">
      <c r="A3968" s="40">
        <f t="array" ref="A3968">IFNA(index(PlayerValues!A:A,match(IFNA(vlookup(B3968,'Special Names'!A:B,2,FALSE),B3968),PlayerValues!E:E,0)),"N/A")</f>
        <v>17654</v>
      </c>
      <c r="B3968" s="4" t="s">
        <v>767</v>
      </c>
      <c r="C3968" s="4" t="s">
        <v>283</v>
      </c>
      <c r="D3968" s="94">
        <v>768.0</v>
      </c>
    </row>
    <row r="3969">
      <c r="A3969" s="40">
        <f t="array" ref="A3969">IFNA(index(PlayerValues!A:A,match(IFNA(vlookup(B3969,'Special Names'!A:B,2,FALSE),B3969),PlayerValues!E:E,0)),"N/A")</f>
        <v>16393</v>
      </c>
      <c r="B3969" s="4" t="s">
        <v>768</v>
      </c>
      <c r="C3969" s="4" t="s">
        <v>287</v>
      </c>
      <c r="D3969" s="94">
        <v>766.0</v>
      </c>
    </row>
    <row r="3970">
      <c r="A3970" s="40">
        <f t="array" ref="A3970">IFNA(index(PlayerValues!A:A,match(IFNA(vlookup(B3970,'Special Names'!A:B,2,FALSE),B3970),PlayerValues!E:E,0)),"N/A")</f>
        <v>16451</v>
      </c>
      <c r="B3970" s="4" t="s">
        <v>769</v>
      </c>
      <c r="C3970" s="4" t="s">
        <v>287</v>
      </c>
      <c r="D3970" s="94">
        <v>702.0</v>
      </c>
    </row>
    <row r="3971">
      <c r="A3971" s="40">
        <f t="array" ref="A3971">IFNA(index(PlayerValues!A:A,match(IFNA(vlookup(B3971,'Special Names'!A:B,2,FALSE),B3971),PlayerValues!E:E,0)),"N/A")</f>
        <v>14805</v>
      </c>
      <c r="B3971" s="4" t="s">
        <v>770</v>
      </c>
      <c r="C3971" s="4" t="s">
        <v>278</v>
      </c>
      <c r="D3971" s="94">
        <v>688.0</v>
      </c>
    </row>
    <row r="3972">
      <c r="A3972" s="40">
        <f t="array" ref="A3972">IFNA(index(PlayerValues!A:A,match(IFNA(vlookup(B3972,'Special Names'!A:B,2,FALSE),B3972),PlayerValues!E:E,0)),"N/A")</f>
        <v>14118</v>
      </c>
      <c r="B3972" s="4" t="s">
        <v>771</v>
      </c>
      <c r="C3972" s="4" t="s">
        <v>287</v>
      </c>
      <c r="D3972" s="94">
        <v>681.0</v>
      </c>
    </row>
    <row r="3973">
      <c r="A3973" s="40">
        <f t="array" ref="A3973">IFNA(index(PlayerValues!A:A,match(IFNA(vlookup(B3973,'Special Names'!A:B,2,FALSE),B3973),PlayerValues!E:E,0)),"N/A")</f>
        <v>12785</v>
      </c>
      <c r="B3973" s="4" t="s">
        <v>772</v>
      </c>
      <c r="C3973" s="4" t="s">
        <v>287</v>
      </c>
      <c r="D3973" s="94">
        <v>676.0</v>
      </c>
    </row>
    <row r="3974">
      <c r="A3974" s="40">
        <f t="array" ref="A3974">IFNA(index(PlayerValues!A:A,match(IFNA(vlookup(B3974,'Special Names'!A:B,2,FALSE),B3974),PlayerValues!E:E,0)),"N/A")</f>
        <v>13193</v>
      </c>
      <c r="B3974" s="4" t="s">
        <v>773</v>
      </c>
      <c r="C3974" s="4" t="s">
        <v>298</v>
      </c>
      <c r="D3974" s="94">
        <v>1018.0</v>
      </c>
    </row>
    <row r="3975">
      <c r="A3975" s="40">
        <f t="array" ref="A3975">IFNA(index(PlayerValues!A:A,match(IFNA(vlookup(B3975,'Special Names'!A:B,2,FALSE),B3975),PlayerValues!E:E,0)),"N/A")</f>
        <v>17038</v>
      </c>
      <c r="B3975" s="4" t="s">
        <v>774</v>
      </c>
      <c r="C3975" s="4" t="s">
        <v>283</v>
      </c>
      <c r="D3975" s="94">
        <v>653.0</v>
      </c>
    </row>
    <row r="3976">
      <c r="A3976" s="40">
        <f t="array" ref="A3976">IFNA(index(PlayerValues!A:A,match(IFNA(vlookup(B3976,'Special Names'!A:B,2,FALSE),B3976),PlayerValues!E:E,0)),"N/A")</f>
        <v>15714</v>
      </c>
      <c r="B3976" s="4" t="s">
        <v>775</v>
      </c>
      <c r="C3976" s="4" t="s">
        <v>278</v>
      </c>
      <c r="D3976" s="94">
        <v>608.0</v>
      </c>
    </row>
    <row r="3977">
      <c r="A3977" s="40">
        <f t="array" ref="A3977">IFNA(index(PlayerValues!A:A,match(IFNA(vlookup(B3977,'Special Names'!A:B,2,FALSE),B3977),PlayerValues!E:E,0)),"N/A")</f>
        <v>16153</v>
      </c>
      <c r="B3977" s="4" t="s">
        <v>776</v>
      </c>
      <c r="C3977" s="4" t="s">
        <v>283</v>
      </c>
      <c r="D3977" s="94">
        <v>590.0</v>
      </c>
    </row>
    <row r="3978">
      <c r="A3978" s="40">
        <f t="array" ref="A3978">IFNA(index(PlayerValues!A:A,match(IFNA(vlookup(B3978,'Special Names'!A:B,2,FALSE),B3978),PlayerValues!E:E,0)),"N/A")</f>
        <v>17752</v>
      </c>
      <c r="B3978" s="4" t="s">
        <v>777</v>
      </c>
      <c r="C3978" s="4" t="s">
        <v>287</v>
      </c>
      <c r="D3978" s="94">
        <v>586.0</v>
      </c>
    </row>
    <row r="3979">
      <c r="A3979" s="40">
        <f t="array" ref="A3979">IFNA(index(PlayerValues!A:A,match(IFNA(vlookup(B3979,'Special Names'!A:B,2,FALSE),B3979),PlayerValues!E:E,0)),"N/A")</f>
        <v>16625</v>
      </c>
      <c r="B3979" s="4" t="s">
        <v>778</v>
      </c>
      <c r="C3979" s="4" t="s">
        <v>287</v>
      </c>
      <c r="D3979" s="94">
        <v>580.0</v>
      </c>
    </row>
    <row r="3980">
      <c r="A3980" s="40">
        <f t="array" ref="A3980">IFNA(index(PlayerValues!A:A,match(IFNA(vlookup(B3980,'Special Names'!A:B,2,FALSE),B3980),PlayerValues!E:E,0)),"N/A")</f>
        <v>11679</v>
      </c>
      <c r="B3980" s="4" t="s">
        <v>779</v>
      </c>
      <c r="C3980" s="4" t="s">
        <v>287</v>
      </c>
      <c r="D3980" s="94">
        <v>521.0</v>
      </c>
    </row>
    <row r="3981">
      <c r="A3981" s="40">
        <f t="array" ref="A3981">IFNA(index(PlayerValues!A:A,match(IFNA(vlookup(B3981,'Special Names'!A:B,2,FALSE),B3981),PlayerValues!E:E,0)),"N/A")</f>
        <v>15743</v>
      </c>
      <c r="B3981" s="4" t="s">
        <v>780</v>
      </c>
      <c r="C3981" s="4" t="s">
        <v>278</v>
      </c>
      <c r="D3981" s="94">
        <v>521.0</v>
      </c>
    </row>
    <row r="3982">
      <c r="A3982" s="40">
        <f t="array" ref="A3982">IFNA(index(PlayerValues!A:A,match(IFNA(vlookup(B3982,'Special Names'!A:B,2,FALSE),B3982),PlayerValues!E:E,0)),"N/A")</f>
        <v>16413</v>
      </c>
      <c r="B3982" s="4" t="s">
        <v>781</v>
      </c>
      <c r="C3982" s="4" t="s">
        <v>287</v>
      </c>
      <c r="D3982" s="94">
        <v>516.0</v>
      </c>
    </row>
    <row r="3983">
      <c r="A3983" s="40">
        <f t="array" ref="A3983">IFNA(index(PlayerValues!A:A,match(IFNA(vlookup(B3983,'Special Names'!A:B,2,FALSE),B3983),PlayerValues!E:E,0)),"N/A")</f>
        <v>16613</v>
      </c>
      <c r="B3983" s="4" t="s">
        <v>782</v>
      </c>
      <c r="C3983" s="4" t="s">
        <v>278</v>
      </c>
      <c r="D3983" s="94">
        <v>507.0</v>
      </c>
    </row>
    <row r="3984">
      <c r="A3984" s="40">
        <f t="array" ref="A3984">IFNA(index(PlayerValues!A:A,match(IFNA(vlookup(B3984,'Special Names'!A:B,2,FALSE),B3984),PlayerValues!E:E,0)),"N/A")</f>
        <v>16773</v>
      </c>
      <c r="B3984" s="4" t="s">
        <v>783</v>
      </c>
      <c r="C3984" s="4" t="s">
        <v>278</v>
      </c>
      <c r="D3984" s="94">
        <v>502.0</v>
      </c>
    </row>
    <row r="3985">
      <c r="A3985" s="40">
        <f t="array" ref="A3985">IFNA(index(PlayerValues!A:A,match(IFNA(vlookup(B3985,'Special Names'!A:B,2,FALSE),B3985),PlayerValues!E:E,0)),"N/A")</f>
        <v>17232</v>
      </c>
      <c r="B3985" s="4" t="s">
        <v>784</v>
      </c>
      <c r="C3985" s="4" t="s">
        <v>287</v>
      </c>
      <c r="D3985" s="94">
        <v>501.0</v>
      </c>
    </row>
    <row r="3986">
      <c r="A3986" s="40">
        <f t="array" ref="A3986">IFNA(index(PlayerValues!A:A,match(IFNA(vlookup(B3986,'Special Names'!A:B,2,FALSE),B3986),PlayerValues!E:E,0)),"N/A")</f>
        <v>14223</v>
      </c>
      <c r="B3986" s="4" t="s">
        <v>785</v>
      </c>
      <c r="C3986" s="4" t="s">
        <v>278</v>
      </c>
      <c r="D3986" s="94">
        <v>499.0</v>
      </c>
    </row>
    <row r="3987">
      <c r="A3987" s="40">
        <f t="array" ref="A3987">IFNA(index(PlayerValues!A:A,match(IFNA(vlookup(B3987,'Special Names'!A:B,2,FALSE),B3987),PlayerValues!E:E,0)),"N/A")</f>
        <v>13143</v>
      </c>
      <c r="B3987" s="4" t="s">
        <v>786</v>
      </c>
      <c r="C3987" s="4" t="s">
        <v>278</v>
      </c>
      <c r="D3987" s="94">
        <v>487.0</v>
      </c>
    </row>
    <row r="3988">
      <c r="A3988" s="40">
        <f t="array" ref="A3988">IFNA(index(PlayerValues!A:A,match(IFNA(vlookup(B3988,'Special Names'!A:B,2,FALSE),B3988),PlayerValues!E:E,0)),"N/A")</f>
        <v>16299</v>
      </c>
      <c r="B3988" s="4" t="s">
        <v>787</v>
      </c>
      <c r="C3988" s="4" t="s">
        <v>287</v>
      </c>
      <c r="D3988" s="94">
        <v>486.0</v>
      </c>
    </row>
    <row r="3989">
      <c r="A3989" s="40">
        <f t="array" ref="A3989">IFNA(index(PlayerValues!A:A,match(IFNA(vlookup(B3989,'Special Names'!A:B,2,FALSE),B3989),PlayerValues!E:E,0)),"N/A")</f>
        <v>14113</v>
      </c>
      <c r="B3989" s="4" t="s">
        <v>788</v>
      </c>
      <c r="C3989" s="4" t="s">
        <v>287</v>
      </c>
      <c r="D3989" s="94">
        <v>483.0</v>
      </c>
    </row>
    <row r="3990">
      <c r="A3990" s="40">
        <f t="array" ref="A3990">IFNA(index(PlayerValues!A:A,match(IFNA(vlookup(B3990,'Special Names'!A:B,2,FALSE),B3990),PlayerValues!E:E,0)),"N/A")</f>
        <v>14864</v>
      </c>
      <c r="B3990" s="4" t="s">
        <v>789</v>
      </c>
      <c r="C3990" s="4" t="s">
        <v>287</v>
      </c>
      <c r="D3990" s="94">
        <v>483.0</v>
      </c>
    </row>
    <row r="3991">
      <c r="A3991" s="40">
        <f t="array" ref="A3991">IFNA(index(PlayerValues!A:A,match(IFNA(vlookup(B3991,'Special Names'!A:B,2,FALSE),B3991),PlayerValues!E:E,0)),"N/A")</f>
        <v>14076</v>
      </c>
      <c r="B3991" s="4" t="s">
        <v>790</v>
      </c>
      <c r="C3991" s="4" t="s">
        <v>278</v>
      </c>
      <c r="D3991" s="94">
        <v>480.0</v>
      </c>
    </row>
    <row r="3992">
      <c r="A3992" s="40">
        <f t="array" ref="A3992">IFNA(index(PlayerValues!A:A,match(IFNA(vlookup(B3992,'Special Names'!A:B,2,FALSE),B3992),PlayerValues!E:E,0)),"N/A")</f>
        <v>15965</v>
      </c>
      <c r="B3992" s="4" t="s">
        <v>791</v>
      </c>
      <c r="C3992" s="4" t="s">
        <v>278</v>
      </c>
      <c r="D3992" s="94">
        <v>478.0</v>
      </c>
    </row>
    <row r="3993">
      <c r="A3993" s="40">
        <f t="array" ref="A3993">IFNA(index(PlayerValues!A:A,match(IFNA(vlookup(B3993,'Special Names'!A:B,2,FALSE),B3993),PlayerValues!E:E,0)),"N/A")</f>
        <v>15285</v>
      </c>
      <c r="B3993" s="4" t="s">
        <v>792</v>
      </c>
      <c r="C3993" s="4" t="s">
        <v>287</v>
      </c>
      <c r="D3993" s="94">
        <v>476.0</v>
      </c>
    </row>
    <row r="3994">
      <c r="A3994" s="40">
        <f t="array" ref="A3994">IFNA(index(PlayerValues!A:A,match(IFNA(vlookup(B3994,'Special Names'!A:B,2,FALSE),B3994),PlayerValues!E:E,0)),"N/A")</f>
        <v>17337</v>
      </c>
      <c r="B3994" s="4" t="s">
        <v>793</v>
      </c>
      <c r="C3994" s="4" t="s">
        <v>278</v>
      </c>
      <c r="D3994" s="94">
        <v>475.0</v>
      </c>
    </row>
    <row r="3995">
      <c r="A3995" s="40">
        <f t="array" ref="A3995">IFNA(index(PlayerValues!A:A,match(IFNA(vlookup(B3995,'Special Names'!A:B,2,FALSE),B3995),PlayerValues!E:E,0)),"N/A")</f>
        <v>15796</v>
      </c>
      <c r="B3995" s="4" t="s">
        <v>794</v>
      </c>
      <c r="C3995" s="4" t="s">
        <v>298</v>
      </c>
      <c r="D3995" s="94">
        <v>819.0</v>
      </c>
    </row>
    <row r="3996">
      <c r="A3996" s="40">
        <f t="array" ref="A3996">IFNA(index(PlayerValues!A:A,match(IFNA(vlookup(B3996,'Special Names'!A:B,2,FALSE),B3996),PlayerValues!E:E,0)),"N/A")</f>
        <v>15720</v>
      </c>
      <c r="B3996" s="4" t="s">
        <v>795</v>
      </c>
      <c r="C3996" s="4" t="s">
        <v>278</v>
      </c>
      <c r="D3996" s="94">
        <v>469.0</v>
      </c>
    </row>
    <row r="3997">
      <c r="A3997" s="40">
        <f t="array" ref="A3997">IFNA(index(PlayerValues!A:A,match(IFNA(vlookup(B3997,'Special Names'!A:B,2,FALSE),B3997),PlayerValues!E:E,0)),"N/A")</f>
        <v>16624</v>
      </c>
      <c r="B3997" s="4" t="s">
        <v>796</v>
      </c>
      <c r="C3997" s="4" t="s">
        <v>287</v>
      </c>
      <c r="D3997" s="94">
        <v>469.0</v>
      </c>
    </row>
    <row r="3998">
      <c r="A3998" s="40">
        <f t="array" ref="A3998">IFNA(index(PlayerValues!A:A,match(IFNA(vlookup(B3998,'Special Names'!A:B,2,FALSE),B3998),PlayerValues!E:E,0)),"N/A")</f>
        <v>17348</v>
      </c>
      <c r="B3998" s="4" t="s">
        <v>797</v>
      </c>
      <c r="C3998" s="4" t="s">
        <v>278</v>
      </c>
      <c r="D3998" s="94">
        <v>467.0</v>
      </c>
    </row>
    <row r="3999">
      <c r="A3999" s="40">
        <f t="array" ref="A3999">IFNA(index(PlayerValues!A:A,match(IFNA(vlookup(B3999,'Special Names'!A:B,2,FALSE),B3999),PlayerValues!E:E,0)),"N/A")</f>
        <v>15723</v>
      </c>
      <c r="B3999" s="4" t="s">
        <v>798</v>
      </c>
      <c r="C3999" s="4" t="s">
        <v>278</v>
      </c>
      <c r="D3999" s="94">
        <v>463.0</v>
      </c>
    </row>
    <row r="4000">
      <c r="A4000" s="40">
        <f t="array" ref="A4000">IFNA(index(PlayerValues!A:A,match(IFNA(vlookup(B4000,'Special Names'!A:B,2,FALSE),B4000),PlayerValues!E:E,0)),"N/A")</f>
        <v>14858</v>
      </c>
      <c r="B4000" s="4" t="s">
        <v>799</v>
      </c>
      <c r="C4000" s="4" t="s">
        <v>287</v>
      </c>
      <c r="D4000" s="94">
        <v>462.0</v>
      </c>
    </row>
    <row r="4001">
      <c r="A4001" s="40">
        <f t="array" ref="A4001">IFNA(index(PlayerValues!A:A,match(IFNA(vlookup(B4001,'Special Names'!A:B,2,FALSE),B4001),PlayerValues!E:E,0)),"N/A")</f>
        <v>16161</v>
      </c>
      <c r="B4001" s="4" t="s">
        <v>277</v>
      </c>
      <c r="C4001" s="4" t="s">
        <v>278</v>
      </c>
      <c r="D4001" s="94">
        <v>9999.0</v>
      </c>
    </row>
    <row r="4002">
      <c r="A4002" s="40">
        <f t="array" ref="A4002">IFNA(index(PlayerValues!A:A,match(IFNA(vlookup(B4002,'Special Names'!A:B,2,FALSE),B4002),PlayerValues!E:E,0)),"N/A")</f>
        <v>16162</v>
      </c>
      <c r="B4002" s="4" t="s">
        <v>281</v>
      </c>
      <c r="C4002" s="4" t="s">
        <v>278</v>
      </c>
      <c r="D4002" s="94">
        <v>9999.0</v>
      </c>
    </row>
    <row r="4003">
      <c r="A4003" s="40">
        <f t="array" ref="A4003">IFNA(index(PlayerValues!A:A,match(IFNA(vlookup(B4003,'Special Names'!A:B,2,FALSE),B4003),PlayerValues!E:E,0)),"N/A")</f>
        <v>13589</v>
      </c>
      <c r="B4003" s="4" t="s">
        <v>282</v>
      </c>
      <c r="C4003" s="4" t="s">
        <v>283</v>
      </c>
      <c r="D4003" s="94">
        <v>9991.0</v>
      </c>
    </row>
    <row r="4004">
      <c r="A4004" s="40">
        <f t="array" ref="A4004">IFNA(index(PlayerValues!A:A,match(IFNA(vlookup(B4004,'Special Names'!A:B,2,FALSE),B4004),PlayerValues!E:E,0)),"N/A")</f>
        <v>15281</v>
      </c>
      <c r="B4004" s="4" t="s">
        <v>286</v>
      </c>
      <c r="C4004" s="4" t="s">
        <v>287</v>
      </c>
      <c r="D4004" s="94">
        <v>9978.0</v>
      </c>
    </row>
    <row r="4005">
      <c r="A4005" s="40">
        <f t="array" ref="A4005">IFNA(index(PlayerValues!A:A,match(IFNA(vlookup(B4005,'Special Names'!A:B,2,FALSE),B4005),PlayerValues!E:E,0)),"N/A")</f>
        <v>16185</v>
      </c>
      <c r="B4005" s="4" t="s">
        <v>290</v>
      </c>
      <c r="C4005" s="4" t="s">
        <v>287</v>
      </c>
      <c r="D4005" s="94">
        <v>9196.0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8898.0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8581.0</v>
      </c>
    </row>
    <row r="4008">
      <c r="A4008" s="40">
        <f t="array" ref="A4008">IFNA(index(PlayerValues!A:A,match(IFNA(vlookup(B4008,'Special Names'!A:B,2,FALSE),B4008),PlayerValues!E:E,0)),"N/A")</f>
        <v>16641</v>
      </c>
      <c r="B4008" s="4" t="s">
        <v>297</v>
      </c>
      <c r="C4008" s="4" t="s">
        <v>298</v>
      </c>
      <c r="D4008" s="94">
        <v>9140.0</v>
      </c>
    </row>
    <row r="4009">
      <c r="A4009" s="40">
        <f t="array" ref="A4009">IFNA(index(PlayerValues!A:A,match(IFNA(vlookup(B4009,'Special Names'!A:B,2,FALSE),B4009),PlayerValues!E:E,0)),"N/A")</f>
        <v>15287</v>
      </c>
      <c r="B4009" s="4" t="s">
        <v>299</v>
      </c>
      <c r="C4009" s="4" t="s">
        <v>287</v>
      </c>
      <c r="D4009" s="94">
        <v>8189.0</v>
      </c>
    </row>
    <row r="4010">
      <c r="A4010" s="40">
        <f t="array" ref="A4010">IFNA(index(PlayerValues!A:A,match(IFNA(vlookup(B4010,'Special Names'!A:B,2,FALSE),B4010),PlayerValues!E:E,0)),"N/A")</f>
        <v>16579</v>
      </c>
      <c r="B4010" s="4" t="s">
        <v>302</v>
      </c>
      <c r="C4010" s="4" t="s">
        <v>283</v>
      </c>
      <c r="D4010" s="94">
        <v>7817.0</v>
      </c>
    </row>
    <row r="4011">
      <c r="A4011" s="40">
        <f t="array" ref="A4011">IFNA(index(PlayerValues!A:A,match(IFNA(vlookup(B4011,'Special Names'!A:B,2,FALSE),B4011),PlayerValues!E:E,0)),"N/A")</f>
        <v>13593</v>
      </c>
      <c r="B4011" s="4" t="s">
        <v>305</v>
      </c>
      <c r="C4011" s="4" t="s">
        <v>283</v>
      </c>
      <c r="D4011" s="94">
        <v>7542.0</v>
      </c>
    </row>
    <row r="4012">
      <c r="A4012" s="40">
        <f t="array" ref="A4012">IFNA(index(PlayerValues!A:A,match(IFNA(vlookup(B4012,'Special Names'!A:B,2,FALSE),B4012),PlayerValues!E:E,0)),"N/A")</f>
        <v>14836</v>
      </c>
      <c r="B4012" s="4" t="s">
        <v>306</v>
      </c>
      <c r="C4012" s="4" t="s">
        <v>287</v>
      </c>
      <c r="D4012" s="94">
        <v>7390.0</v>
      </c>
    </row>
    <row r="4013">
      <c r="A4013" s="40">
        <f t="array" ref="A4013">IFNA(index(PlayerValues!A:A,match(IFNA(vlookup(B4013,'Special Names'!A:B,2,FALSE),B4013),PlayerValues!E:E,0)),"N/A")</f>
        <v>16615</v>
      </c>
      <c r="B4013" s="4" t="s">
        <v>309</v>
      </c>
      <c r="C4013" s="4" t="s">
        <v>287</v>
      </c>
      <c r="D4013" s="94">
        <v>7362.0</v>
      </c>
    </row>
    <row r="4014">
      <c r="A4014" s="40">
        <f t="array" ref="A4014">IFNA(index(PlayerValues!A:A,match(IFNA(vlookup(B4014,'Special Names'!A:B,2,FALSE),B4014),PlayerValues!E:E,0)),"N/A")</f>
        <v>17472</v>
      </c>
      <c r="B4014" s="4" t="s">
        <v>310</v>
      </c>
      <c r="C4014" s="4" t="s">
        <v>278</v>
      </c>
      <c r="D4014" s="94">
        <v>7334.0</v>
      </c>
    </row>
    <row r="4015">
      <c r="A4015" s="40">
        <f t="array" ref="A4015">IFNA(index(PlayerValues!A:A,match(IFNA(vlookup(B4015,'Special Names'!A:B,2,FALSE),B4015),PlayerValues!E:E,0)),"N/A")</f>
        <v>15794</v>
      </c>
      <c r="B4015" s="4" t="s">
        <v>313</v>
      </c>
      <c r="C4015" s="4" t="s">
        <v>298</v>
      </c>
      <c r="D4015" s="94">
        <v>8091.0</v>
      </c>
    </row>
    <row r="4016">
      <c r="A4016" s="40">
        <f t="array" ref="A4016">IFNA(index(PlayerValues!A:A,match(IFNA(vlookup(B4016,'Special Names'!A:B,2,FALSE),B4016),PlayerValues!E:E,0)),"N/A")</f>
        <v>17042</v>
      </c>
      <c r="B4016" s="4" t="s">
        <v>314</v>
      </c>
      <c r="C4016" s="4" t="s">
        <v>278</v>
      </c>
      <c r="D4016" s="94">
        <v>7295.0</v>
      </c>
    </row>
    <row r="4017">
      <c r="A4017" s="40">
        <f t="array" ref="A4017">IFNA(index(PlayerValues!A:A,match(IFNA(vlookup(B4017,'Special Names'!A:B,2,FALSE),B4017),PlayerValues!E:E,0)),"N/A")</f>
        <v>16581</v>
      </c>
      <c r="B4017" s="4" t="s">
        <v>315</v>
      </c>
      <c r="C4017" s="4" t="s">
        <v>283</v>
      </c>
      <c r="D4017" s="94">
        <v>7267.0</v>
      </c>
    </row>
    <row r="4018">
      <c r="A4018" s="40">
        <f t="array" ref="A4018">IFNA(index(PlayerValues!A:A,match(IFNA(vlookup(B4018,'Special Names'!A:B,2,FALSE),B4018),PlayerValues!E:E,0)),"N/A")</f>
        <v>14777</v>
      </c>
      <c r="B4018" s="4" t="s">
        <v>318</v>
      </c>
      <c r="C4018" s="4" t="s">
        <v>283</v>
      </c>
      <c r="D4018" s="94">
        <v>7236.0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7194.0</v>
      </c>
    </row>
    <row r="4020">
      <c r="A4020" s="40">
        <f t="array" ref="A4020">IFNA(index(PlayerValues!A:A,match(IFNA(vlookup(B4020,'Special Names'!A:B,2,FALSE),B4020),PlayerValues!E:E,0)),"N/A")</f>
        <v>17044</v>
      </c>
      <c r="B4020" s="4" t="s">
        <v>322</v>
      </c>
      <c r="C4020" s="4" t="s">
        <v>278</v>
      </c>
      <c r="D4020" s="94">
        <v>6966.0</v>
      </c>
    </row>
    <row r="4021">
      <c r="A4021" s="40">
        <f t="array" ref="A4021">IFNA(index(PlayerValues!A:A,match(IFNA(vlookup(B4021,'Special Names'!A:B,2,FALSE),B4021),PlayerValues!E:E,0)),"N/A")</f>
        <v>16167</v>
      </c>
      <c r="B4021" s="4" t="s">
        <v>323</v>
      </c>
      <c r="C4021" s="4" t="s">
        <v>278</v>
      </c>
      <c r="D4021" s="94">
        <v>6948.0</v>
      </c>
    </row>
    <row r="4022">
      <c r="A4022" s="40" t="str">
        <f t="array" ref="A4022">IFNA(index(PlayerValues!A:A,match(IFNA(vlookup(B4022,'Special Names'!A:B,2,FALSE),B4022),PlayerValues!E:E,0)),"N/A")</f>
        <v>N/A</v>
      </c>
      <c r="B4022" s="4" t="s">
        <v>92</v>
      </c>
      <c r="C4022" s="4" t="s">
        <v>325</v>
      </c>
      <c r="D4022" s="94">
        <v>6938.0</v>
      </c>
    </row>
    <row r="4023">
      <c r="A4023" s="40">
        <f t="array" ref="A4023">IFNA(index(PlayerValues!A:A,match(IFNA(vlookup(B4023,'Special Names'!A:B,2,FALSE),B4023),PlayerValues!E:E,0)),"N/A")</f>
        <v>14779</v>
      </c>
      <c r="B4023" s="4" t="s">
        <v>327</v>
      </c>
      <c r="C4023" s="4" t="s">
        <v>283</v>
      </c>
      <c r="D4023" s="94">
        <v>6936.0</v>
      </c>
    </row>
    <row r="4024">
      <c r="A4024" s="40">
        <f t="array" ref="A4024">IFNA(index(PlayerValues!A:A,match(IFNA(vlookup(B4024,'Special Names'!A:B,2,FALSE),B4024),PlayerValues!E:E,0)),"N/A")</f>
        <v>15751</v>
      </c>
      <c r="B4024" s="4" t="s">
        <v>328</v>
      </c>
      <c r="C4024" s="4" t="s">
        <v>287</v>
      </c>
      <c r="D4024" s="94">
        <v>6795.0</v>
      </c>
    </row>
    <row r="4025">
      <c r="A4025" s="40">
        <f t="array" ref="A4025">IFNA(index(PlayerValues!A:A,match(IFNA(vlookup(B4025,'Special Names'!A:B,2,FALSE),B4025),PlayerValues!E:E,0)),"N/A")</f>
        <v>15715</v>
      </c>
      <c r="B4025" s="4" t="s">
        <v>331</v>
      </c>
      <c r="C4025" s="4" t="s">
        <v>278</v>
      </c>
      <c r="D4025" s="94">
        <v>6521.0</v>
      </c>
    </row>
    <row r="4026">
      <c r="A4026" s="40">
        <f t="array" ref="A4026">IFNA(index(PlayerValues!A:A,match(IFNA(vlookup(B4026,'Special Names'!A:B,2,FALSE),B4026),PlayerValues!E:E,0)),"N/A")</f>
        <v>14802</v>
      </c>
      <c r="B4026" s="4" t="s">
        <v>332</v>
      </c>
      <c r="C4026" s="4" t="s">
        <v>278</v>
      </c>
      <c r="D4026" s="94">
        <v>6377.0</v>
      </c>
    </row>
    <row r="4027">
      <c r="A4027" s="40">
        <f t="array" ref="A4027">IFNA(index(PlayerValues!A:A,match(IFNA(vlookup(B4027,'Special Names'!A:B,2,FALSE),B4027),PlayerValues!E:E,0)),"N/A")</f>
        <v>17104</v>
      </c>
      <c r="B4027" s="4" t="s">
        <v>333</v>
      </c>
      <c r="C4027" s="4" t="s">
        <v>298</v>
      </c>
      <c r="D4027" s="94">
        <v>7040.0</v>
      </c>
    </row>
    <row r="4028">
      <c r="A4028" s="40">
        <f t="array" ref="A4028">IFNA(index(PlayerValues!A:A,match(IFNA(vlookup(B4028,'Special Names'!A:B,2,FALSE),B4028),PlayerValues!E:E,0)),"N/A")</f>
        <v>15237</v>
      </c>
      <c r="B4028" s="4" t="s">
        <v>336</v>
      </c>
      <c r="C4028" s="4" t="s">
        <v>283</v>
      </c>
      <c r="D4028" s="94">
        <v>6319.0</v>
      </c>
    </row>
    <row r="4029">
      <c r="A4029" s="40">
        <f t="array" ref="A4029">IFNA(index(PlayerValues!A:A,match(IFNA(vlookup(B4029,'Special Names'!A:B,2,FALSE),B4029),PlayerValues!E:E,0)),"N/A")</f>
        <v>15762</v>
      </c>
      <c r="B4029" s="4" t="s">
        <v>337</v>
      </c>
      <c r="C4029" s="4" t="s">
        <v>287</v>
      </c>
      <c r="D4029" s="94">
        <v>6253.0</v>
      </c>
    </row>
    <row r="4030">
      <c r="A4030" s="40">
        <f t="array" ref="A4030">IFNA(index(PlayerValues!A:A,match(IFNA(vlookup(B4030,'Special Names'!A:B,2,FALSE),B4030),PlayerValues!E:E,0)),"N/A")</f>
        <v>17081</v>
      </c>
      <c r="B4030" s="4" t="s">
        <v>340</v>
      </c>
      <c r="C4030" s="4" t="s">
        <v>287</v>
      </c>
      <c r="D4030" s="94">
        <v>6191.0</v>
      </c>
    </row>
    <row r="4031">
      <c r="A4031" s="40">
        <f t="array" ref="A4031">IFNA(index(PlayerValues!A:A,match(IFNA(vlookup(B4031,'Special Names'!A:B,2,FALSE),B4031),PlayerValues!E:E,0)),"N/A")</f>
        <v>17071</v>
      </c>
      <c r="B4031" s="4" t="s">
        <v>341</v>
      </c>
      <c r="C4031" s="4" t="s">
        <v>287</v>
      </c>
      <c r="D4031" s="94">
        <v>6187.0</v>
      </c>
    </row>
    <row r="4032">
      <c r="A4032" s="40">
        <f t="array" ref="A4032">IFNA(index(PlayerValues!A:A,match(IFNA(vlookup(B4032,'Special Names'!A:B,2,FALSE),B4032),PlayerValues!E:E,0)),"N/A")</f>
        <v>14783</v>
      </c>
      <c r="B4032" s="4" t="s">
        <v>342</v>
      </c>
      <c r="C4032" s="4" t="s">
        <v>283</v>
      </c>
      <c r="D4032" s="94">
        <v>6041.0</v>
      </c>
    </row>
    <row r="4033">
      <c r="A4033" s="40">
        <f t="array" ref="A4033">IFNA(index(PlayerValues!A:A,match(IFNA(vlookup(B4033,'Special Names'!A:B,2,FALSE),B4033),PlayerValues!E:E,0)),"N/A")</f>
        <v>16582</v>
      </c>
      <c r="B4033" s="4" t="s">
        <v>343</v>
      </c>
      <c r="C4033" s="4" t="s">
        <v>283</v>
      </c>
      <c r="D4033" s="94">
        <v>6025.0</v>
      </c>
    </row>
    <row r="4034">
      <c r="A4034" s="40">
        <f t="array" ref="A4034">IFNA(index(PlayerValues!A:A,match(IFNA(vlookup(B4034,'Special Names'!A:B,2,FALSE),B4034),PlayerValues!E:E,0)),"N/A")</f>
        <v>17102</v>
      </c>
      <c r="B4034" s="4" t="s">
        <v>344</v>
      </c>
      <c r="C4034" s="4" t="s">
        <v>298</v>
      </c>
      <c r="D4034" s="94">
        <v>6638.0</v>
      </c>
    </row>
    <row r="4035">
      <c r="A4035" s="40">
        <f t="array" ref="A4035">IFNA(index(PlayerValues!A:A,match(IFNA(vlookup(B4035,'Special Names'!A:B,2,FALSE),B4035),PlayerValues!E:E,0)),"N/A")</f>
        <v>13116</v>
      </c>
      <c r="B4035" s="4" t="s">
        <v>345</v>
      </c>
      <c r="C4035" s="4" t="s">
        <v>283</v>
      </c>
      <c r="D4035" s="94">
        <v>5960.0</v>
      </c>
    </row>
    <row r="4036">
      <c r="A4036" s="40">
        <f t="array" ref="A4036">IFNA(index(PlayerValues!A:A,match(IFNA(vlookup(B4036,'Special Names'!A:B,2,FALSE),B4036),PlayerValues!E:E,0)),"N/A")</f>
        <v>17032</v>
      </c>
      <c r="B4036" s="4" t="s">
        <v>348</v>
      </c>
      <c r="C4036" s="4" t="s">
        <v>283</v>
      </c>
      <c r="D4036" s="94">
        <v>5886.0</v>
      </c>
    </row>
    <row r="4037">
      <c r="A4037" s="40">
        <f t="array" ref="A4037">IFNA(index(PlayerValues!A:A,match(IFNA(vlookup(B4037,'Special Names'!A:B,2,FALSE),B4037),PlayerValues!E:E,0)),"N/A")</f>
        <v>15711</v>
      </c>
      <c r="B4037" s="4" t="s">
        <v>349</v>
      </c>
      <c r="C4037" s="4" t="s">
        <v>278</v>
      </c>
      <c r="D4037" s="94">
        <v>5750.0</v>
      </c>
    </row>
    <row r="4038">
      <c r="A4038" s="40">
        <f t="array" ref="A4038">IFNA(index(PlayerValues!A:A,match(IFNA(vlookup(B4038,'Special Names'!A:B,2,FALSE),B4038),PlayerValues!E:E,0)),"N/A")</f>
        <v>16181</v>
      </c>
      <c r="B4038" s="4" t="s">
        <v>350</v>
      </c>
      <c r="C4038" s="4" t="s">
        <v>278</v>
      </c>
      <c r="D4038" s="94">
        <v>5745.0</v>
      </c>
    </row>
    <row r="4039">
      <c r="A4039" s="40">
        <f t="array" ref="A4039">IFNA(index(PlayerValues!A:A,match(IFNA(vlookup(B4039,'Special Names'!A:B,2,FALSE),B4039),PlayerValues!E:E,0)),"N/A")</f>
        <v>16627</v>
      </c>
      <c r="B4039" s="4" t="s">
        <v>351</v>
      </c>
      <c r="C4039" s="4" t="s">
        <v>287</v>
      </c>
      <c r="D4039" s="94">
        <v>5742.0</v>
      </c>
    </row>
    <row r="4040">
      <c r="A4040" s="40">
        <f t="array" ref="A4040">IFNA(index(PlayerValues!A:A,match(IFNA(vlookup(B4040,'Special Names'!A:B,2,FALSE),B4040),PlayerValues!E:E,0)),"N/A")</f>
        <v>15754</v>
      </c>
      <c r="B4040" s="4" t="s">
        <v>354</v>
      </c>
      <c r="C4040" s="4" t="s">
        <v>287</v>
      </c>
      <c r="D4040" s="94">
        <v>5739.0</v>
      </c>
    </row>
    <row r="4041">
      <c r="A4041" s="40">
        <f t="array" ref="A4041">IFNA(index(PlayerValues!A:A,match(IFNA(vlookup(B4041,'Special Names'!A:B,2,FALSE),B4041),PlayerValues!E:E,0)),"N/A")</f>
        <v>15290</v>
      </c>
      <c r="B4041" s="4" t="s">
        <v>355</v>
      </c>
      <c r="C4041" s="4" t="s">
        <v>287</v>
      </c>
      <c r="D4041" s="94">
        <v>5732.0</v>
      </c>
    </row>
    <row r="4042">
      <c r="A4042" s="40">
        <f t="array" ref="A4042">IFNA(index(PlayerValues!A:A,match(IFNA(vlookup(B4042,'Special Names'!A:B,2,FALSE),B4042),PlayerValues!E:E,0)),"N/A")</f>
        <v>15698</v>
      </c>
      <c r="B4042" s="4" t="s">
        <v>358</v>
      </c>
      <c r="C4042" s="4" t="s">
        <v>283</v>
      </c>
      <c r="D4042" s="94">
        <v>5659.0</v>
      </c>
    </row>
    <row r="4043">
      <c r="A4043" s="40">
        <f t="array" ref="A4043">IFNA(index(PlayerValues!A:A,match(IFNA(vlookup(B4043,'Special Names'!A:B,2,FALSE),B4043),PlayerValues!E:E,0)),"N/A")</f>
        <v>15753</v>
      </c>
      <c r="B4043" s="4" t="s">
        <v>359</v>
      </c>
      <c r="C4043" s="4" t="s">
        <v>287</v>
      </c>
      <c r="D4043" s="94">
        <v>5652.0</v>
      </c>
    </row>
    <row r="4044">
      <c r="A4044" s="40" t="str">
        <f t="array" ref="A4044">IFNA(index(PlayerValues!A:A,match(IFNA(vlookup(B4044,'Special Names'!A:B,2,FALSE),B4044),PlayerValues!E:E,0)),"N/A")</f>
        <v>N/A</v>
      </c>
      <c r="B4044" s="4" t="s">
        <v>93</v>
      </c>
      <c r="C4044" s="4" t="s">
        <v>325</v>
      </c>
      <c r="D4044" s="94">
        <v>5600.0</v>
      </c>
    </row>
    <row r="4045">
      <c r="A4045" s="40">
        <f t="array" ref="A4045">IFNA(index(PlayerValues!A:A,match(IFNA(vlookup(B4045,'Special Names'!A:B,2,FALSE),B4045),PlayerValues!E:E,0)),"N/A")</f>
        <v>15282</v>
      </c>
      <c r="B4045" s="4" t="s">
        <v>364</v>
      </c>
      <c r="C4045" s="4" t="s">
        <v>287</v>
      </c>
      <c r="D4045" s="94">
        <v>5569.0</v>
      </c>
    </row>
    <row r="4046">
      <c r="A4046" s="40">
        <f t="array" ref="A4046">IFNA(index(PlayerValues!A:A,match(IFNA(vlookup(B4046,'Special Names'!A:B,2,FALSE),B4046),PlayerValues!E:E,0)),"N/A")</f>
        <v>17497</v>
      </c>
      <c r="B4046" s="4" t="s">
        <v>365</v>
      </c>
      <c r="C4046" s="4" t="s">
        <v>287</v>
      </c>
      <c r="D4046" s="94">
        <v>5568.0</v>
      </c>
    </row>
    <row r="4047">
      <c r="A4047" s="40" t="str">
        <f t="array" ref="A4047">IFNA(index(PlayerValues!A:A,match(IFNA(vlookup(B4047,'Special Names'!A:B,2,FALSE),B4047),PlayerValues!E:E,0)),"N/A")</f>
        <v>N/A</v>
      </c>
      <c r="B4047" s="4" t="s">
        <v>79</v>
      </c>
      <c r="C4047" s="4" t="s">
        <v>325</v>
      </c>
      <c r="D4047" s="94">
        <v>5527.0</v>
      </c>
    </row>
    <row r="4048">
      <c r="A4048" s="40">
        <f t="array" ref="A4048">IFNA(index(PlayerValues!A:A,match(IFNA(vlookup(B4048,'Special Names'!A:B,2,FALSE),B4048),PlayerValues!E:E,0)),"N/A")</f>
        <v>17070</v>
      </c>
      <c r="B4048" s="4" t="s">
        <v>370</v>
      </c>
      <c r="C4048" s="4" t="s">
        <v>287</v>
      </c>
      <c r="D4048" s="94">
        <v>5497.0</v>
      </c>
    </row>
    <row r="4049">
      <c r="A4049" s="40">
        <f t="array" ref="A4049">IFNA(index(PlayerValues!A:A,match(IFNA(vlookup(B4049,'Special Names'!A:B,2,FALSE),B4049),PlayerValues!E:E,0)),"N/A")</f>
        <v>16190</v>
      </c>
      <c r="B4049" s="4" t="s">
        <v>371</v>
      </c>
      <c r="C4049" s="4" t="s">
        <v>287</v>
      </c>
      <c r="D4049" s="94">
        <v>5339.0</v>
      </c>
    </row>
    <row r="4050">
      <c r="A4050" s="40">
        <f t="array" ref="A4050">IFNA(index(PlayerValues!A:A,match(IFNA(vlookup(B4050,'Special Names'!A:B,2,FALSE),B4050),PlayerValues!E:E,0)),"N/A")</f>
        <v>13130</v>
      </c>
      <c r="B4050" s="4" t="s">
        <v>374</v>
      </c>
      <c r="C4050" s="4" t="s">
        <v>278</v>
      </c>
      <c r="D4050" s="94">
        <v>5305.0</v>
      </c>
    </row>
    <row r="4051">
      <c r="A4051" s="40">
        <f t="array" ref="A4051">IFNA(index(PlayerValues!A:A,match(IFNA(vlookup(B4051,'Special Names'!A:B,2,FALSE),B4051),PlayerValues!E:E,0)),"N/A")</f>
        <v>17462</v>
      </c>
      <c r="B4051" s="4" t="s">
        <v>375</v>
      </c>
      <c r="C4051" s="4" t="s">
        <v>283</v>
      </c>
      <c r="D4051" s="94">
        <v>5303.0</v>
      </c>
    </row>
    <row r="4052">
      <c r="A4052" s="40">
        <f t="array" ref="A4052">IFNA(index(PlayerValues!A:A,match(IFNA(vlookup(B4052,'Special Names'!A:B,2,FALSE),B4052),PlayerValues!E:E,0)),"N/A")</f>
        <v>13604</v>
      </c>
      <c r="B4052" s="4" t="s">
        <v>378</v>
      </c>
      <c r="C4052" s="4" t="s">
        <v>278</v>
      </c>
      <c r="D4052" s="94">
        <v>5288.0</v>
      </c>
    </row>
    <row r="4053">
      <c r="A4053" s="40">
        <f t="array" ref="A4053">IFNA(index(PlayerValues!A:A,match(IFNA(vlookup(B4053,'Special Names'!A:B,2,FALSE),B4053),PlayerValues!E:E,0)),"N/A")</f>
        <v>14104</v>
      </c>
      <c r="B4053" s="4" t="s">
        <v>379</v>
      </c>
      <c r="C4053" s="4" t="s">
        <v>287</v>
      </c>
      <c r="D4053" s="94">
        <v>5287.0</v>
      </c>
    </row>
    <row r="4054">
      <c r="A4054" s="40">
        <f t="array" ref="A4054">IFNA(index(PlayerValues!A:A,match(IFNA(vlookup(B4054,'Special Names'!A:B,2,FALSE),B4054),PlayerValues!E:E,0)),"N/A")</f>
        <v>15708</v>
      </c>
      <c r="B4054" s="4" t="s">
        <v>382</v>
      </c>
      <c r="C4054" s="4" t="s">
        <v>278</v>
      </c>
      <c r="D4054" s="94">
        <v>5287.0</v>
      </c>
    </row>
    <row r="4055">
      <c r="A4055" s="40">
        <f t="array" ref="A4055">IFNA(index(PlayerValues!A:A,match(IFNA(vlookup(B4055,'Special Names'!A:B,2,FALSE),B4055),PlayerValues!E:E,0)),"N/A")</f>
        <v>14782</v>
      </c>
      <c r="B4055" s="4" t="s">
        <v>385</v>
      </c>
      <c r="C4055" s="4" t="s">
        <v>283</v>
      </c>
      <c r="D4055" s="94">
        <v>5284.0</v>
      </c>
    </row>
    <row r="4056">
      <c r="A4056" s="40" t="str">
        <f t="array" ref="A4056">IFNA(index(PlayerValues!A:A,match(IFNA(vlookup(B4056,'Special Names'!A:B,2,FALSE),B4056),PlayerValues!E:E,0)),"N/A")</f>
        <v>N/A</v>
      </c>
      <c r="B4056" s="4" t="s">
        <v>104</v>
      </c>
      <c r="C4056" s="4" t="s">
        <v>325</v>
      </c>
      <c r="D4056" s="94">
        <v>5247.0</v>
      </c>
    </row>
    <row r="4057">
      <c r="A4057" s="40">
        <f t="array" ref="A4057">IFNA(index(PlayerValues!A:A,match(IFNA(vlookup(B4057,'Special Names'!A:B,2,FALSE),B4057),PlayerValues!E:E,0)),"N/A")</f>
        <v>17051</v>
      </c>
      <c r="B4057" s="4" t="s">
        <v>386</v>
      </c>
      <c r="C4057" s="4" t="s">
        <v>278</v>
      </c>
      <c r="D4057" s="94">
        <v>5241.0</v>
      </c>
    </row>
    <row r="4058">
      <c r="A4058" s="40">
        <f t="array" ref="A4058">IFNA(index(PlayerValues!A:A,match(IFNA(vlookup(B4058,'Special Names'!A:B,2,FALSE),B4058),PlayerValues!E:E,0)),"N/A")</f>
        <v>16616</v>
      </c>
      <c r="B4058" s="4" t="s">
        <v>389</v>
      </c>
      <c r="C4058" s="4" t="s">
        <v>287</v>
      </c>
      <c r="D4058" s="94">
        <v>5222.0</v>
      </c>
    </row>
    <row r="4059">
      <c r="A4059" s="40">
        <f t="array" ref="A4059">IFNA(index(PlayerValues!A:A,match(IFNA(vlookup(B4059,'Special Names'!A:B,2,FALSE),B4059),PlayerValues!E:E,0)),"N/A")</f>
        <v>15284</v>
      </c>
      <c r="B4059" s="4" t="s">
        <v>390</v>
      </c>
      <c r="C4059" s="4" t="s">
        <v>287</v>
      </c>
      <c r="D4059" s="94">
        <v>5191.0</v>
      </c>
    </row>
    <row r="4060">
      <c r="A4060" s="40">
        <f t="array" ref="A4060">IFNA(index(PlayerValues!A:A,match(IFNA(vlookup(B4060,'Special Names'!A:B,2,FALSE),B4060),PlayerValues!E:E,0)),"N/A")</f>
        <v>17473</v>
      </c>
      <c r="B4060" s="4" t="s">
        <v>391</v>
      </c>
      <c r="C4060" s="4" t="s">
        <v>278</v>
      </c>
      <c r="D4060" s="94">
        <v>5116.0</v>
      </c>
    </row>
    <row r="4061">
      <c r="A4061" s="40">
        <f t="array" ref="A4061">IFNA(index(PlayerValues!A:A,match(IFNA(vlookup(B4061,'Special Names'!A:B,2,FALSE),B4061),PlayerValues!E:E,0)),"N/A")</f>
        <v>14835</v>
      </c>
      <c r="B4061" s="4" t="s">
        <v>392</v>
      </c>
      <c r="C4061" s="4" t="s">
        <v>287</v>
      </c>
      <c r="D4061" s="94">
        <v>5095.0</v>
      </c>
    </row>
    <row r="4062">
      <c r="A4062" s="40">
        <f t="array" ref="A4062">IFNA(index(PlayerValues!A:A,match(IFNA(vlookup(B4062,'Special Names'!A:B,2,FALSE),B4062),PlayerValues!E:E,0)),"N/A")</f>
        <v>16222</v>
      </c>
      <c r="B4062" s="4" t="s">
        <v>393</v>
      </c>
      <c r="C4062" s="4" t="s">
        <v>298</v>
      </c>
      <c r="D4062" s="94">
        <v>5638.0</v>
      </c>
    </row>
    <row r="4063">
      <c r="A4063" s="40">
        <f t="array" ref="A4063">IFNA(index(PlayerValues!A:A,match(IFNA(vlookup(B4063,'Special Names'!A:B,2,FALSE),B4063),PlayerValues!E:E,0)),"N/A")</f>
        <v>12620</v>
      </c>
      <c r="B4063" s="4" t="s">
        <v>394</v>
      </c>
      <c r="C4063" s="4" t="s">
        <v>283</v>
      </c>
      <c r="D4063" s="94">
        <v>5050.0</v>
      </c>
    </row>
    <row r="4064">
      <c r="A4064" s="40">
        <f t="array" ref="A4064">IFNA(index(PlayerValues!A:A,match(IFNA(vlookup(B4064,'Special Names'!A:B,2,FALSE),B4064),PlayerValues!E:E,0)),"N/A")</f>
        <v>15710</v>
      </c>
      <c r="B4064" s="4" t="s">
        <v>395</v>
      </c>
      <c r="C4064" s="4" t="s">
        <v>278</v>
      </c>
      <c r="D4064" s="94">
        <v>4953.0</v>
      </c>
    </row>
    <row r="4065">
      <c r="A4065" s="40">
        <f t="array" ref="A4065">IFNA(index(PlayerValues!A:A,match(IFNA(vlookup(B4065,'Special Names'!A:B,2,FALSE),B4065),PlayerValues!E:E,0)),"N/A")</f>
        <v>17498</v>
      </c>
      <c r="B4065" s="4" t="s">
        <v>396</v>
      </c>
      <c r="C4065" s="4" t="s">
        <v>287</v>
      </c>
      <c r="D4065" s="94">
        <v>4948.0</v>
      </c>
    </row>
    <row r="4066">
      <c r="A4066" s="40" t="str">
        <f t="array" ref="A4066">IFNA(index(PlayerValues!A:A,match(IFNA(vlookup(B4066,'Special Names'!A:B,2,FALSE),B4066),PlayerValues!E:E,0)),"N/A")</f>
        <v>N/A</v>
      </c>
      <c r="B4066" s="4" t="s">
        <v>94</v>
      </c>
      <c r="C4066" s="4" t="s">
        <v>325</v>
      </c>
      <c r="D4066" s="94">
        <v>4941.0</v>
      </c>
    </row>
    <row r="4067">
      <c r="A4067" s="40">
        <f t="array" ref="A4067">IFNA(index(PlayerValues!A:A,match(IFNA(vlookup(B4067,'Special Names'!A:B,2,FALSE),B4067),PlayerValues!E:E,0)),"N/A")</f>
        <v>17043</v>
      </c>
      <c r="B4067" s="4" t="s">
        <v>397</v>
      </c>
      <c r="C4067" s="4" t="s">
        <v>278</v>
      </c>
      <c r="D4067" s="94">
        <v>4930.0</v>
      </c>
    </row>
    <row r="4068">
      <c r="A4068" s="40">
        <f t="array" ref="A4068">IFNA(index(PlayerValues!A:A,match(IFNA(vlookup(B4068,'Special Names'!A:B,2,FALSE),B4068),PlayerValues!E:E,0)),"N/A")</f>
        <v>16194</v>
      </c>
      <c r="B4068" s="4" t="s">
        <v>398</v>
      </c>
      <c r="C4068" s="4" t="s">
        <v>287</v>
      </c>
      <c r="D4068" s="94">
        <v>4834.0</v>
      </c>
    </row>
    <row r="4069">
      <c r="A4069" s="40">
        <f t="array" ref="A4069">IFNA(index(PlayerValues!A:A,match(IFNA(vlookup(B4069,'Special Names'!A:B,2,FALSE),B4069),PlayerValues!E:E,0)),"N/A")</f>
        <v>15756</v>
      </c>
      <c r="B4069" s="4" t="s">
        <v>399</v>
      </c>
      <c r="C4069" s="4" t="s">
        <v>287</v>
      </c>
      <c r="D4069" s="94">
        <v>4829.0</v>
      </c>
    </row>
    <row r="4070">
      <c r="A4070" s="40">
        <f t="array" ref="A4070">IFNA(index(PlayerValues!A:A,match(IFNA(vlookup(B4070,'Special Names'!A:B,2,FALSE),B4070),PlayerValues!E:E,0)),"N/A")</f>
        <v>17039</v>
      </c>
      <c r="B4070" s="4" t="s">
        <v>400</v>
      </c>
      <c r="C4070" s="4" t="s">
        <v>283</v>
      </c>
      <c r="D4070" s="94">
        <v>4800.0</v>
      </c>
    </row>
    <row r="4071">
      <c r="A4071" s="40">
        <f t="array" ref="A4071">IFNA(index(PlayerValues!A:A,match(IFNA(vlookup(B4071,'Special Names'!A:B,2,FALSE),B4071),PlayerValues!E:E,0)),"N/A")</f>
        <v>15256</v>
      </c>
      <c r="B4071" s="4" t="s">
        <v>401</v>
      </c>
      <c r="C4071" s="4" t="s">
        <v>278</v>
      </c>
      <c r="D4071" s="94">
        <v>4792.0</v>
      </c>
    </row>
    <row r="4072">
      <c r="A4072" s="40">
        <f t="array" ref="A4072">IFNA(index(PlayerValues!A:A,match(IFNA(vlookup(B4072,'Special Names'!A:B,2,FALSE),B4072),PlayerValues!E:E,0)),"N/A")</f>
        <v>17499</v>
      </c>
      <c r="B4072" s="4" t="s">
        <v>402</v>
      </c>
      <c r="C4072" s="4" t="s">
        <v>287</v>
      </c>
      <c r="D4072" s="94">
        <v>4768.0</v>
      </c>
    </row>
    <row r="4073">
      <c r="A4073" s="40">
        <f t="array" ref="A4073">IFNA(index(PlayerValues!A:A,match(IFNA(vlookup(B4073,'Special Names'!A:B,2,FALSE),B4073),PlayerValues!E:E,0)),"N/A")</f>
        <v>16614</v>
      </c>
      <c r="B4073" s="4" t="s">
        <v>403</v>
      </c>
      <c r="C4073" s="4" t="s">
        <v>287</v>
      </c>
      <c r="D4073" s="94">
        <v>4744.0</v>
      </c>
    </row>
    <row r="4074">
      <c r="A4074" s="40" t="str">
        <f t="array" ref="A4074">IFNA(index(PlayerValues!A:A,match(IFNA(vlookup(B4074,'Special Names'!A:B,2,FALSE),B4074),PlayerValues!E:E,0)),"N/A")</f>
        <v>N/A</v>
      </c>
      <c r="B4074" s="4" t="s">
        <v>80</v>
      </c>
      <c r="C4074" s="4" t="s">
        <v>325</v>
      </c>
      <c r="D4074" s="94">
        <v>4733.0</v>
      </c>
    </row>
    <row r="4075">
      <c r="A4075" s="40">
        <f t="array" ref="A4075">IFNA(index(PlayerValues!A:A,match(IFNA(vlookup(B4075,'Special Names'!A:B,2,FALSE),B4075),PlayerValues!E:E,0)),"N/A")</f>
        <v>17501</v>
      </c>
      <c r="B4075" s="4" t="s">
        <v>404</v>
      </c>
      <c r="C4075" s="4" t="s">
        <v>287</v>
      </c>
      <c r="D4075" s="94">
        <v>4717.0</v>
      </c>
    </row>
    <row r="4076">
      <c r="A4076" s="40">
        <f t="array" ref="A4076">IFNA(index(PlayerValues!A:A,match(IFNA(vlookup(B4076,'Special Names'!A:B,2,FALSE),B4076),PlayerValues!E:E,0)),"N/A")</f>
        <v>17103</v>
      </c>
      <c r="B4076" s="4" t="s">
        <v>405</v>
      </c>
      <c r="C4076" s="4" t="s">
        <v>298</v>
      </c>
      <c r="D4076" s="94">
        <v>5259.0</v>
      </c>
    </row>
    <row r="4077">
      <c r="A4077" s="40">
        <f t="array" ref="A4077">IFNA(index(PlayerValues!A:A,match(IFNA(vlookup(B4077,'Special Names'!A:B,2,FALSE),B4077),PlayerValues!E:E,0)),"N/A")</f>
        <v>17030</v>
      </c>
      <c r="B4077" s="4" t="s">
        <v>406</v>
      </c>
      <c r="C4077" s="4" t="s">
        <v>283</v>
      </c>
      <c r="D4077" s="94">
        <v>4696.0</v>
      </c>
    </row>
    <row r="4078">
      <c r="A4078" s="40">
        <f t="array" ref="A4078">IFNA(index(PlayerValues!A:A,match(IFNA(vlookup(B4078,'Special Names'!A:B,2,FALSE),B4078),PlayerValues!E:E,0)),"N/A")</f>
        <v>17045</v>
      </c>
      <c r="B4078" s="4" t="s">
        <v>407</v>
      </c>
      <c r="C4078" s="4" t="s">
        <v>278</v>
      </c>
      <c r="D4078" s="94">
        <v>4653.0</v>
      </c>
    </row>
    <row r="4079">
      <c r="A4079" s="40">
        <f t="array" ref="A4079">IFNA(index(PlayerValues!A:A,match(IFNA(vlookup(B4079,'Special Names'!A:B,2,FALSE),B4079),PlayerValues!E:E,0)),"N/A")</f>
        <v>16598</v>
      </c>
      <c r="B4079" s="4" t="s">
        <v>408</v>
      </c>
      <c r="C4079" s="4" t="s">
        <v>278</v>
      </c>
      <c r="D4079" s="94">
        <v>4611.0</v>
      </c>
    </row>
    <row r="4080">
      <c r="A4080" s="40">
        <f t="array" ref="A4080">IFNA(index(PlayerValues!A:A,match(IFNA(vlookup(B4080,'Special Names'!A:B,2,FALSE),B4080),PlayerValues!E:E,0)),"N/A")</f>
        <v>13590</v>
      </c>
      <c r="B4080" s="4" t="s">
        <v>409</v>
      </c>
      <c r="C4080" s="4" t="s">
        <v>283</v>
      </c>
      <c r="D4080" s="94">
        <v>4588.0</v>
      </c>
    </row>
    <row r="4081">
      <c r="A4081" s="40" t="str">
        <f t="array" ref="A4081">IFNA(index(PlayerValues!A:A,match(IFNA(vlookup(B4081,'Special Names'!A:B,2,FALSE),B4081),PlayerValues!E:E,0)),"N/A")</f>
        <v>N/A</v>
      </c>
      <c r="B4081" s="4" t="s">
        <v>105</v>
      </c>
      <c r="C4081" s="4" t="s">
        <v>325</v>
      </c>
      <c r="D4081" s="94">
        <v>4587.0</v>
      </c>
    </row>
    <row r="4082">
      <c r="A4082" s="40">
        <f t="array" ref="A4082">IFNA(index(PlayerValues!A:A,match(IFNA(vlookup(B4082,'Special Names'!A:B,2,FALSE),B4082),PlayerValues!E:E,0)),"N/A")</f>
        <v>12611</v>
      </c>
      <c r="B4082" s="4" t="s">
        <v>410</v>
      </c>
      <c r="C4082" s="4" t="s">
        <v>283</v>
      </c>
      <c r="D4082" s="94">
        <v>4567.0</v>
      </c>
    </row>
    <row r="4083">
      <c r="A4083" s="40">
        <f t="array" ref="A4083">IFNA(index(PlayerValues!A:A,match(IFNA(vlookup(B4083,'Special Names'!A:B,2,FALSE),B4083),PlayerValues!E:E,0)),"N/A")</f>
        <v>16618</v>
      </c>
      <c r="B4083" s="4" t="s">
        <v>411</v>
      </c>
      <c r="C4083" s="4" t="s">
        <v>287</v>
      </c>
      <c r="D4083" s="94">
        <v>4563.0</v>
      </c>
    </row>
    <row r="4084">
      <c r="A4084" s="40">
        <f t="array" ref="A4084">IFNA(index(PlayerValues!A:A,match(IFNA(vlookup(B4084,'Special Names'!A:B,2,FALSE),B4084),PlayerValues!E:E,0)),"N/A")</f>
        <v>16192</v>
      </c>
      <c r="B4084" s="4" t="s">
        <v>412</v>
      </c>
      <c r="C4084" s="4" t="s">
        <v>287</v>
      </c>
      <c r="D4084" s="94">
        <v>4555.0</v>
      </c>
    </row>
    <row r="4085">
      <c r="A4085" s="40">
        <f t="array" ref="A4085">IFNA(index(PlayerValues!A:A,match(IFNA(vlookup(B4085,'Special Names'!A:B,2,FALSE),B4085),PlayerValues!E:E,0)),"N/A")</f>
        <v>16214</v>
      </c>
      <c r="B4085" s="4" t="s">
        <v>413</v>
      </c>
      <c r="C4085" s="4" t="s">
        <v>298</v>
      </c>
      <c r="D4085" s="94">
        <v>5080.0</v>
      </c>
    </row>
    <row r="4086">
      <c r="A4086" s="40">
        <f t="array" ref="A4086">IFNA(index(PlayerValues!A:A,match(IFNA(vlookup(B4086,'Special Names'!A:B,2,FALSE),B4086),PlayerValues!E:E,0)),"N/A")</f>
        <v>16150</v>
      </c>
      <c r="B4086" s="4" t="s">
        <v>414</v>
      </c>
      <c r="C4086" s="4" t="s">
        <v>283</v>
      </c>
      <c r="D4086" s="94">
        <v>4462.0</v>
      </c>
    </row>
    <row r="4087">
      <c r="A4087" s="40">
        <f t="array" ref="A4087">IFNA(index(PlayerValues!A:A,match(IFNA(vlookup(B4087,'Special Names'!A:B,2,FALSE),B4087),PlayerValues!E:E,0)),"N/A")</f>
        <v>15253</v>
      </c>
      <c r="B4087" s="4" t="s">
        <v>415</v>
      </c>
      <c r="C4087" s="4" t="s">
        <v>278</v>
      </c>
      <c r="D4087" s="94">
        <v>4449.0</v>
      </c>
    </row>
    <row r="4088">
      <c r="A4088" s="40">
        <f t="array" ref="A4088">IFNA(index(PlayerValues!A:A,match(IFNA(vlookup(B4088,'Special Names'!A:B,2,FALSE),B4088),PlayerValues!E:E,0)),"N/A")</f>
        <v>15329</v>
      </c>
      <c r="B4088" s="4" t="s">
        <v>416</v>
      </c>
      <c r="C4088" s="4" t="s">
        <v>298</v>
      </c>
      <c r="D4088" s="94">
        <v>4876.0</v>
      </c>
    </row>
    <row r="4089">
      <c r="A4089" s="40">
        <f t="array" ref="A4089">IFNA(index(PlayerValues!A:A,match(IFNA(vlookup(B4089,'Special Names'!A:B,2,FALSE),B4089),PlayerValues!E:E,0)),"N/A")</f>
        <v>17052</v>
      </c>
      <c r="B4089" s="4" t="s">
        <v>417</v>
      </c>
      <c r="C4089" s="4" t="s">
        <v>278</v>
      </c>
      <c r="D4089" s="94">
        <v>4296.0</v>
      </c>
    </row>
    <row r="4090">
      <c r="A4090" s="40">
        <f t="array" ref="A4090">IFNA(index(PlayerValues!A:A,match(IFNA(vlookup(B4090,'Special Names'!A:B,2,FALSE),B4090),PlayerValues!E:E,0)),"N/A")</f>
        <v>13592</v>
      </c>
      <c r="B4090" s="4" t="s">
        <v>418</v>
      </c>
      <c r="C4090" s="4" t="s">
        <v>283</v>
      </c>
      <c r="D4090" s="94">
        <v>4259.0</v>
      </c>
    </row>
    <row r="4091">
      <c r="A4091" s="40">
        <f t="array" ref="A4091">IFNA(index(PlayerValues!A:A,match(IFNA(vlookup(B4091,'Special Names'!A:B,2,FALSE),B4091),PlayerValues!E:E,0)),"N/A")</f>
        <v>12626</v>
      </c>
      <c r="B4091" s="4" t="s">
        <v>419</v>
      </c>
      <c r="C4091" s="4" t="s">
        <v>278</v>
      </c>
      <c r="D4091" s="94">
        <v>4232.0</v>
      </c>
    </row>
    <row r="4092">
      <c r="A4092" s="40" t="str">
        <f t="array" ref="A4092">IFNA(index(PlayerValues!A:A,match(IFNA(vlookup(B4092,'Special Names'!A:B,2,FALSE),B4092),PlayerValues!E:E,0)),"N/A")</f>
        <v>N/A</v>
      </c>
      <c r="B4092" s="4" t="s">
        <v>107</v>
      </c>
      <c r="C4092" s="4" t="s">
        <v>325</v>
      </c>
      <c r="D4092" s="94">
        <v>4175.0</v>
      </c>
    </row>
    <row r="4093">
      <c r="A4093" s="40" t="str">
        <f t="array" ref="A4093">IFNA(index(PlayerValues!A:A,match(IFNA(vlookup(B4093,'Special Names'!A:B,2,FALSE),B4093),PlayerValues!E:E,0)),"N/A")</f>
        <v>N/A</v>
      </c>
      <c r="B4093" s="4" t="s">
        <v>81</v>
      </c>
      <c r="C4093" s="4" t="s">
        <v>325</v>
      </c>
      <c r="D4093" s="94">
        <v>4024.0</v>
      </c>
    </row>
    <row r="4094">
      <c r="A4094" s="40">
        <f t="array" ref="A4094">IFNA(index(PlayerValues!A:A,match(IFNA(vlookup(B4094,'Special Names'!A:B,2,FALSE),B4094),PlayerValues!E:E,0)),"N/A")</f>
        <v>14797</v>
      </c>
      <c r="B4094" s="4" t="s">
        <v>420</v>
      </c>
      <c r="C4094" s="4" t="s">
        <v>278</v>
      </c>
      <c r="D4094" s="94">
        <v>4007.0</v>
      </c>
    </row>
    <row r="4095">
      <c r="A4095" s="40">
        <f t="array" ref="A4095">IFNA(index(PlayerValues!A:A,match(IFNA(vlookup(B4095,'Special Names'!A:B,2,FALSE),B4095),PlayerValues!E:E,0)),"N/A")</f>
        <v>15789</v>
      </c>
      <c r="B4095" s="4" t="s">
        <v>421</v>
      </c>
      <c r="C4095" s="4" t="s">
        <v>287</v>
      </c>
      <c r="D4095" s="94">
        <v>3953.0</v>
      </c>
    </row>
    <row r="4096">
      <c r="A4096" s="40">
        <f t="array" ref="A4096">IFNA(index(PlayerValues!A:A,match(IFNA(vlookup(B4096,'Special Names'!A:B,2,FALSE),B4096),PlayerValues!E:E,0)),"N/A")</f>
        <v>17514</v>
      </c>
      <c r="B4096" s="4" t="s">
        <v>422</v>
      </c>
      <c r="C4096" s="4" t="s">
        <v>287</v>
      </c>
      <c r="D4096" s="94">
        <v>3918.0</v>
      </c>
    </row>
    <row r="4097">
      <c r="A4097" s="40">
        <f t="array" ref="A4097">IFNA(index(PlayerValues!A:A,match(IFNA(vlookup(B4097,'Special Names'!A:B,2,FALSE),B4097),PlayerValues!E:E,0)),"N/A")</f>
        <v>14056</v>
      </c>
      <c r="B4097" s="4" t="s">
        <v>423</v>
      </c>
      <c r="C4097" s="4" t="s">
        <v>283</v>
      </c>
      <c r="D4097" s="94">
        <v>3852.0</v>
      </c>
    </row>
    <row r="4098">
      <c r="A4098" s="40">
        <f t="array" ref="A4098">IFNA(index(PlayerValues!A:A,match(IFNA(vlookup(B4098,'Special Names'!A:B,2,FALSE),B4098),PlayerValues!E:E,0)),"N/A")</f>
        <v>13635</v>
      </c>
      <c r="B4098" s="4" t="s">
        <v>424</v>
      </c>
      <c r="C4098" s="4" t="s">
        <v>287</v>
      </c>
      <c r="D4098" s="94">
        <v>3811.0</v>
      </c>
    </row>
    <row r="4099">
      <c r="A4099" s="40" t="str">
        <f t="array" ref="A4099">IFNA(index(PlayerValues!A:A,match(IFNA(vlookup(B4099,'Special Names'!A:B,2,FALSE),B4099),PlayerValues!E:E,0)),"N/A")</f>
        <v>N/A</v>
      </c>
      <c r="B4099" s="4" t="s">
        <v>95</v>
      </c>
      <c r="C4099" s="4" t="s">
        <v>325</v>
      </c>
      <c r="D4099" s="94">
        <v>3809.0</v>
      </c>
    </row>
    <row r="4100">
      <c r="A4100" s="40">
        <f t="array" ref="A4100">IFNA(index(PlayerValues!A:A,match(IFNA(vlookup(B4100,'Special Names'!A:B,2,FALSE),B4100),PlayerValues!E:E,0)),"N/A")</f>
        <v>16186</v>
      </c>
      <c r="B4100" s="4" t="s">
        <v>425</v>
      </c>
      <c r="C4100" s="4" t="s">
        <v>287</v>
      </c>
      <c r="D4100" s="94">
        <v>3788.0</v>
      </c>
    </row>
    <row r="4101">
      <c r="A4101" s="40">
        <f t="array" ref="A4101">IFNA(index(PlayerValues!A:A,match(IFNA(vlookup(B4101,'Special Names'!A:B,2,FALSE),B4101),PlayerValues!E:E,0)),"N/A")</f>
        <v>16148</v>
      </c>
      <c r="B4101" s="4" t="s">
        <v>426</v>
      </c>
      <c r="C4101" s="4" t="s">
        <v>283</v>
      </c>
      <c r="D4101" s="94">
        <v>3755.0</v>
      </c>
    </row>
    <row r="4102">
      <c r="A4102" s="40">
        <f t="array" ref="A4102">IFNA(index(PlayerValues!A:A,match(IFNA(vlookup(B4102,'Special Names'!A:B,2,FALSE),B4102),PlayerValues!E:E,0)),"N/A")</f>
        <v>16597</v>
      </c>
      <c r="B4102" s="4" t="s">
        <v>427</v>
      </c>
      <c r="C4102" s="4" t="s">
        <v>278</v>
      </c>
      <c r="D4102" s="94">
        <v>3753.0</v>
      </c>
    </row>
    <row r="4103">
      <c r="A4103" s="40">
        <f t="array" ref="A4103">IFNA(index(PlayerValues!A:A,match(IFNA(vlookup(B4103,'Special Names'!A:B,2,FALSE),B4103),PlayerValues!E:E,0)),"N/A")</f>
        <v>9431</v>
      </c>
      <c r="B4103" s="4" t="s">
        <v>428</v>
      </c>
      <c r="C4103" s="4" t="s">
        <v>283</v>
      </c>
      <c r="D4103" s="94">
        <v>3735.0</v>
      </c>
    </row>
    <row r="4104">
      <c r="A4104" s="40">
        <f t="array" ref="A4104">IFNA(index(PlayerValues!A:A,match(IFNA(vlookup(B4104,'Special Names'!A:B,2,FALSE),B4104),PlayerValues!E:E,0)),"N/A")</f>
        <v>17075</v>
      </c>
      <c r="B4104" s="4" t="s">
        <v>429</v>
      </c>
      <c r="C4104" s="4" t="s">
        <v>287</v>
      </c>
      <c r="D4104" s="94">
        <v>3729.0</v>
      </c>
    </row>
    <row r="4105">
      <c r="A4105" s="40">
        <f t="array" ref="A4105">IFNA(index(PlayerValues!A:A,match(IFNA(vlookup(B4105,'Special Names'!A:B,2,FALSE),B4105),PlayerValues!E:E,0)),"N/A")</f>
        <v>17500</v>
      </c>
      <c r="B4105" s="4" t="s">
        <v>430</v>
      </c>
      <c r="C4105" s="4" t="s">
        <v>287</v>
      </c>
      <c r="D4105" s="94">
        <v>3722.0</v>
      </c>
    </row>
    <row r="4106">
      <c r="A4106" s="40">
        <f t="array" ref="A4106">IFNA(index(PlayerValues!A:A,match(IFNA(vlookup(B4106,'Special Names'!A:B,2,FALSE),B4106),PlayerValues!E:E,0)),"N/A")</f>
        <v>16206</v>
      </c>
      <c r="B4106" s="4" t="s">
        <v>431</v>
      </c>
      <c r="C4106" s="4" t="s">
        <v>287</v>
      </c>
      <c r="D4106" s="94">
        <v>3720.0</v>
      </c>
    </row>
    <row r="4107">
      <c r="A4107" s="40">
        <f t="array" ref="A4107">IFNA(index(PlayerValues!A:A,match(IFNA(vlookup(B4107,'Special Names'!A:B,2,FALSE),B4107),PlayerValues!E:E,0)),"N/A")</f>
        <v>15768</v>
      </c>
      <c r="B4107" s="4" t="s">
        <v>432</v>
      </c>
      <c r="C4107" s="4" t="s">
        <v>287</v>
      </c>
      <c r="D4107" s="94">
        <v>3716.0</v>
      </c>
    </row>
    <row r="4108">
      <c r="A4108" s="40">
        <f t="array" ref="A4108">IFNA(index(PlayerValues!A:A,match(IFNA(vlookup(B4108,'Special Names'!A:B,2,FALSE),B4108),PlayerValues!E:E,0)),"N/A")</f>
        <v>17463</v>
      </c>
      <c r="B4108" s="4" t="s">
        <v>433</v>
      </c>
      <c r="C4108" s="4" t="s">
        <v>283</v>
      </c>
      <c r="D4108" s="94">
        <v>3706.0</v>
      </c>
    </row>
    <row r="4109">
      <c r="A4109" s="40">
        <f t="array" ref="A4109">IFNA(index(PlayerValues!A:A,match(IFNA(vlookup(B4109,'Special Names'!A:B,2,FALSE),B4109),PlayerValues!E:E,0)),"N/A")</f>
        <v>15694</v>
      </c>
      <c r="B4109" s="4" t="s">
        <v>434</v>
      </c>
      <c r="C4109" s="4" t="s">
        <v>283</v>
      </c>
      <c r="D4109" s="94">
        <v>3700.0</v>
      </c>
    </row>
    <row r="4110">
      <c r="A4110" s="40">
        <f t="array" ref="A4110">IFNA(index(PlayerValues!A:A,match(IFNA(vlookup(B4110,'Special Names'!A:B,2,FALSE),B4110),PlayerValues!E:E,0)),"N/A")</f>
        <v>14059</v>
      </c>
      <c r="B4110" s="4" t="s">
        <v>435</v>
      </c>
      <c r="C4110" s="4" t="s">
        <v>283</v>
      </c>
      <c r="D4110" s="94">
        <v>3689.0</v>
      </c>
    </row>
    <row r="4111">
      <c r="A4111" s="40">
        <f t="array" ref="A4111">IFNA(index(PlayerValues!A:A,match(IFNA(vlookup(B4111,'Special Names'!A:B,2,FALSE),B4111),PlayerValues!E:E,0)),"N/A")</f>
        <v>17543</v>
      </c>
      <c r="B4111" s="4" t="s">
        <v>436</v>
      </c>
      <c r="C4111" s="4" t="s">
        <v>298</v>
      </c>
      <c r="D4111" s="94">
        <v>4113.0</v>
      </c>
    </row>
    <row r="4112">
      <c r="A4112" s="40">
        <f t="array" ref="A4112">IFNA(index(PlayerValues!A:A,match(IFNA(vlookup(B4112,'Special Names'!A:B,2,FALSE),B4112),PlayerValues!E:E,0)),"N/A")</f>
        <v>14109</v>
      </c>
      <c r="B4112" s="4" t="s">
        <v>437</v>
      </c>
      <c r="C4112" s="4" t="s">
        <v>287</v>
      </c>
      <c r="D4112" s="94">
        <v>3557.0</v>
      </c>
    </row>
    <row r="4113">
      <c r="A4113" s="40">
        <f t="array" ref="A4113">IFNA(index(PlayerValues!A:A,match(IFNA(vlookup(B4113,'Special Names'!A:B,2,FALSE),B4113),PlayerValues!E:E,0)),"N/A")</f>
        <v>11675</v>
      </c>
      <c r="B4113" s="4" t="s">
        <v>438</v>
      </c>
      <c r="C4113" s="4" t="s">
        <v>287</v>
      </c>
      <c r="D4113" s="94">
        <v>3545.0</v>
      </c>
    </row>
    <row r="4114">
      <c r="A4114" s="40">
        <f t="array" ref="A4114">IFNA(index(PlayerValues!A:A,match(IFNA(vlookup(B4114,'Special Names'!A:B,2,FALSE),B4114),PlayerValues!E:E,0)),"N/A")</f>
        <v>16188</v>
      </c>
      <c r="B4114" s="4" t="s">
        <v>439</v>
      </c>
      <c r="C4114" s="4" t="s">
        <v>287</v>
      </c>
      <c r="D4114" s="94">
        <v>3544.0</v>
      </c>
    </row>
    <row r="4115">
      <c r="A4115" s="40">
        <f t="array" ref="A4115">IFNA(index(PlayerValues!A:A,match(IFNA(vlookup(B4115,'Special Names'!A:B,2,FALSE),B4115),PlayerValues!E:E,0)),"N/A")</f>
        <v>14071</v>
      </c>
      <c r="B4115" s="4" t="s">
        <v>440</v>
      </c>
      <c r="C4115" s="4" t="s">
        <v>278</v>
      </c>
      <c r="D4115" s="94">
        <v>3520.0</v>
      </c>
    </row>
    <row r="4116">
      <c r="A4116" s="40">
        <f t="array" ref="A4116">IFNA(index(PlayerValues!A:A,match(IFNA(vlookup(B4116,'Special Names'!A:B,2,FALSE),B4116),PlayerValues!E:E,0)),"N/A")</f>
        <v>16187</v>
      </c>
      <c r="B4116" s="4" t="s">
        <v>441</v>
      </c>
      <c r="C4116" s="4" t="s">
        <v>287</v>
      </c>
      <c r="D4116" s="94">
        <v>3497.0</v>
      </c>
    </row>
    <row r="4117">
      <c r="A4117" s="40">
        <f t="array" ref="A4117">IFNA(index(PlayerValues!A:A,match(IFNA(vlookup(B4117,'Special Names'!A:B,2,FALSE),B4117),PlayerValues!E:E,0)),"N/A")</f>
        <v>16593</v>
      </c>
      <c r="B4117" s="4" t="s">
        <v>442</v>
      </c>
      <c r="C4117" s="4" t="s">
        <v>278</v>
      </c>
      <c r="D4117" s="94">
        <v>3463.0</v>
      </c>
    </row>
    <row r="4118">
      <c r="A4118" s="40" t="str">
        <f t="array" ref="A4118">IFNA(index(PlayerValues!A:A,match(IFNA(vlookup(B4118,'Special Names'!A:B,2,FALSE),B4118),PlayerValues!E:E,0)),"N/A")</f>
        <v>N/A</v>
      </c>
      <c r="B4118" s="4" t="s">
        <v>96</v>
      </c>
      <c r="C4118" s="4" t="s">
        <v>325</v>
      </c>
      <c r="D4118" s="94">
        <v>3442.0</v>
      </c>
    </row>
    <row r="4119">
      <c r="A4119" s="40">
        <f t="array" ref="A4119">IFNA(index(PlayerValues!A:A,match(IFNA(vlookup(B4119,'Special Names'!A:B,2,FALSE),B4119),PlayerValues!E:E,0)),"N/A")</f>
        <v>15798</v>
      </c>
      <c r="B4119" s="4" t="s">
        <v>443</v>
      </c>
      <c r="C4119" s="4" t="s">
        <v>298</v>
      </c>
      <c r="D4119" s="94">
        <v>3894.0</v>
      </c>
    </row>
    <row r="4120">
      <c r="A4120" s="40" t="str">
        <f t="array" ref="A4120">IFNA(index(PlayerValues!A:A,match(IFNA(vlookup(B4120,'Special Names'!A:B,2,FALSE),B4120),PlayerValues!E:E,0)),"N/A")</f>
        <v>N/A</v>
      </c>
      <c r="B4120" s="4" t="s">
        <v>82</v>
      </c>
      <c r="C4120" s="4" t="s">
        <v>325</v>
      </c>
      <c r="D4120" s="94">
        <v>3387.0</v>
      </c>
    </row>
    <row r="4121">
      <c r="A4121" s="40">
        <f t="array" ref="A4121">IFNA(index(PlayerValues!A:A,match(IFNA(vlookup(B4121,'Special Names'!A:B,2,FALSE),B4121),PlayerValues!E:E,0)),"N/A")</f>
        <v>14102</v>
      </c>
      <c r="B4121" s="4" t="s">
        <v>444</v>
      </c>
      <c r="C4121" s="4" t="s">
        <v>287</v>
      </c>
      <c r="D4121" s="94">
        <v>3360.0</v>
      </c>
    </row>
    <row r="4122">
      <c r="A4122" s="40">
        <f t="array" ref="A4122">IFNA(index(PlayerValues!A:A,match(IFNA(vlookup(B4122,'Special Names'!A:B,2,FALSE),B4122),PlayerValues!E:E,0)),"N/A")</f>
        <v>16184</v>
      </c>
      <c r="B4122" s="4" t="s">
        <v>445</v>
      </c>
      <c r="C4122" s="4" t="s">
        <v>287</v>
      </c>
      <c r="D4122" s="94">
        <v>3349.0</v>
      </c>
    </row>
    <row r="4123">
      <c r="A4123" s="40">
        <f t="array" ref="A4123">IFNA(index(PlayerValues!A:A,match(IFNA(vlookup(B4123,'Special Names'!A:B,2,FALSE),B4123),PlayerValues!E:E,0)),"N/A")</f>
        <v>17066</v>
      </c>
      <c r="B4123" s="4" t="s">
        <v>446</v>
      </c>
      <c r="C4123" s="4" t="s">
        <v>278</v>
      </c>
      <c r="D4123" s="94">
        <v>3320.0</v>
      </c>
    </row>
    <row r="4124">
      <c r="A4124" s="40">
        <f t="array" ref="A4124">IFNA(index(PlayerValues!A:A,match(IFNA(vlookup(B4124,'Special Names'!A:B,2,FALSE),B4124),PlayerValues!E:E,0)),"N/A")</f>
        <v>15742</v>
      </c>
      <c r="B4124" s="4" t="s">
        <v>447</v>
      </c>
      <c r="C4124" s="4" t="s">
        <v>278</v>
      </c>
      <c r="D4124" s="94">
        <v>3319.0</v>
      </c>
    </row>
    <row r="4125">
      <c r="A4125" s="40">
        <f t="array" ref="A4125">IFNA(index(PlayerValues!A:A,match(IFNA(vlookup(B4125,'Special Names'!A:B,2,FALSE),B4125),PlayerValues!E:E,0)),"N/A")</f>
        <v>13299</v>
      </c>
      <c r="B4125" s="4" t="s">
        <v>448</v>
      </c>
      <c r="C4125" s="4" t="s">
        <v>298</v>
      </c>
      <c r="D4125" s="94">
        <v>3755.0</v>
      </c>
    </row>
    <row r="4126">
      <c r="A4126" s="40">
        <f t="array" ref="A4126">IFNA(index(PlayerValues!A:A,match(IFNA(vlookup(B4126,'Special Names'!A:B,2,FALSE),B4126),PlayerValues!E:E,0)),"N/A")</f>
        <v>15757</v>
      </c>
      <c r="B4126" s="4" t="s">
        <v>449</v>
      </c>
      <c r="C4126" s="4" t="s">
        <v>287</v>
      </c>
      <c r="D4126" s="94">
        <v>3309.0</v>
      </c>
    </row>
    <row r="4127">
      <c r="A4127" s="40">
        <f t="array" ref="A4127">IFNA(index(PlayerValues!A:A,match(IFNA(vlookup(B4127,'Special Names'!A:B,2,FALSE),B4127),PlayerValues!E:E,0)),"N/A")</f>
        <v>17068</v>
      </c>
      <c r="B4127" s="4" t="s">
        <v>450</v>
      </c>
      <c r="C4127" s="4" t="s">
        <v>278</v>
      </c>
      <c r="D4127" s="94">
        <v>3301.0</v>
      </c>
    </row>
    <row r="4128">
      <c r="A4128" s="40">
        <f t="array" ref="A4128">IFNA(index(PlayerValues!A:A,match(IFNA(vlookup(B4128,'Special Names'!A:B,2,FALSE),B4128),PlayerValues!E:E,0)),"N/A")</f>
        <v>17502</v>
      </c>
      <c r="B4128" s="4" t="s">
        <v>451</v>
      </c>
      <c r="C4128" s="4" t="s">
        <v>287</v>
      </c>
      <c r="D4128" s="94">
        <v>3298.0</v>
      </c>
    </row>
    <row r="4129">
      <c r="A4129" s="40">
        <f t="array" ref="A4129">IFNA(index(PlayerValues!A:A,match(IFNA(vlookup(B4129,'Special Names'!A:B,2,FALSE),B4129),PlayerValues!E:E,0)),"N/A")</f>
        <v>17477</v>
      </c>
      <c r="B4129" s="4" t="s">
        <v>452</v>
      </c>
      <c r="C4129" s="4" t="s">
        <v>278</v>
      </c>
      <c r="D4129" s="94">
        <v>3292.0</v>
      </c>
    </row>
    <row r="4130">
      <c r="A4130" s="40" t="str">
        <f t="array" ref="A4130">IFNA(index(PlayerValues!A:A,match(IFNA(vlookup(B4130,'Special Names'!A:B,2,FALSE),B4130),PlayerValues!E:E,0)),"N/A")</f>
        <v>N/A</v>
      </c>
      <c r="B4130" s="4" t="s">
        <v>108</v>
      </c>
      <c r="C4130" s="4" t="s">
        <v>325</v>
      </c>
      <c r="D4130" s="94">
        <v>3286.0</v>
      </c>
    </row>
    <row r="4131">
      <c r="A4131" s="40">
        <f t="array" ref="A4131">IFNA(index(PlayerValues!A:A,match(IFNA(vlookup(B4131,'Special Names'!A:B,2,FALSE),B4131),PlayerValues!E:E,0)),"N/A")</f>
        <v>15259</v>
      </c>
      <c r="B4131" s="4" t="s">
        <v>453</v>
      </c>
      <c r="C4131" s="4" t="s">
        <v>278</v>
      </c>
      <c r="D4131" s="94">
        <v>3278.0</v>
      </c>
    </row>
    <row r="4132">
      <c r="A4132" s="40">
        <f t="array" ref="A4132">IFNA(index(PlayerValues!A:A,match(IFNA(vlookup(B4132,'Special Names'!A:B,2,FALSE),B4132),PlayerValues!E:E,0)),"N/A")</f>
        <v>17517</v>
      </c>
      <c r="B4132" s="4" t="s">
        <v>454</v>
      </c>
      <c r="C4132" s="4" t="s">
        <v>287</v>
      </c>
      <c r="D4132" s="94">
        <v>3253.0</v>
      </c>
    </row>
    <row r="4133">
      <c r="A4133" s="40">
        <f t="array" ref="A4133">IFNA(index(PlayerValues!A:A,match(IFNA(vlookup(B4133,'Special Names'!A:B,2,FALSE),B4133),PlayerValues!E:E,0)),"N/A")</f>
        <v>16809</v>
      </c>
      <c r="B4133" s="4" t="s">
        <v>455</v>
      </c>
      <c r="C4133" s="4" t="s">
        <v>287</v>
      </c>
      <c r="D4133" s="94">
        <v>3252.0</v>
      </c>
    </row>
    <row r="4134">
      <c r="A4134" s="40">
        <f t="array" ref="A4134">IFNA(index(PlayerValues!A:A,match(IFNA(vlookup(B4134,'Special Names'!A:B,2,FALSE),B4134),PlayerValues!E:E,0)),"N/A")</f>
        <v>14842</v>
      </c>
      <c r="B4134" s="4" t="s">
        <v>456</v>
      </c>
      <c r="C4134" s="4" t="s">
        <v>287</v>
      </c>
      <c r="D4134" s="94">
        <v>3241.0</v>
      </c>
    </row>
    <row r="4135">
      <c r="A4135" s="40">
        <f t="array" ref="A4135">IFNA(index(PlayerValues!A:A,match(IFNA(vlookup(B4135,'Special Names'!A:B,2,FALSE),B4135),PlayerValues!E:E,0)),"N/A")</f>
        <v>16169</v>
      </c>
      <c r="B4135" s="4" t="s">
        <v>457</v>
      </c>
      <c r="C4135" s="4" t="s">
        <v>278</v>
      </c>
      <c r="D4135" s="94">
        <v>3231.0</v>
      </c>
    </row>
    <row r="4136">
      <c r="A4136" s="40">
        <f t="array" ref="A4136">IFNA(index(PlayerValues!A:A,match(IFNA(vlookup(B4136,'Special Names'!A:B,2,FALSE),B4136),PlayerValues!E:E,0)),"N/A")</f>
        <v>16213</v>
      </c>
      <c r="B4136" s="4" t="s">
        <v>458</v>
      </c>
      <c r="C4136" s="4" t="s">
        <v>298</v>
      </c>
      <c r="D4136" s="94">
        <v>3663.0</v>
      </c>
    </row>
    <row r="4137">
      <c r="A4137" s="40" t="str">
        <f t="array" ref="A4137">IFNA(index(PlayerValues!A:A,match(IFNA(vlookup(B4137,'Special Names'!A:B,2,FALSE),B4137),PlayerValues!E:E,0)),"N/A")</f>
        <v>N/A</v>
      </c>
      <c r="B4137" s="4" t="s">
        <v>97</v>
      </c>
      <c r="C4137" s="4" t="s">
        <v>325</v>
      </c>
      <c r="D4137" s="94">
        <v>3210.0</v>
      </c>
    </row>
    <row r="4138">
      <c r="A4138" s="40">
        <f t="array" ref="A4138">IFNA(index(PlayerValues!A:A,match(IFNA(vlookup(B4138,'Special Names'!A:B,2,FALSE),B4138),PlayerValues!E:E,0)),"N/A")</f>
        <v>14823</v>
      </c>
      <c r="B4138" s="4" t="s">
        <v>459</v>
      </c>
      <c r="C4138" s="4" t="s">
        <v>278</v>
      </c>
      <c r="D4138" s="94">
        <v>3195.0</v>
      </c>
    </row>
    <row r="4139">
      <c r="A4139" s="40">
        <f t="array" ref="A4139">IFNA(index(PlayerValues!A:A,match(IFNA(vlookup(B4139,'Special Names'!A:B,2,FALSE),B4139),PlayerValues!E:E,0)),"N/A")</f>
        <v>17482</v>
      </c>
      <c r="B4139" s="4" t="s">
        <v>460</v>
      </c>
      <c r="C4139" s="4" t="s">
        <v>278</v>
      </c>
      <c r="D4139" s="94">
        <v>3194.0</v>
      </c>
    </row>
    <row r="4140">
      <c r="A4140" s="40">
        <f t="array" ref="A4140">IFNA(index(PlayerValues!A:A,match(IFNA(vlookup(B4140,'Special Names'!A:B,2,FALSE),B4140),PlayerValues!E:E,0)),"N/A")</f>
        <v>15779</v>
      </c>
      <c r="B4140" s="4" t="s">
        <v>461</v>
      </c>
      <c r="C4140" s="4" t="s">
        <v>287</v>
      </c>
      <c r="D4140" s="94">
        <v>3191.0</v>
      </c>
    </row>
    <row r="4141">
      <c r="A4141" s="40">
        <f t="array" ref="A4141">IFNA(index(PlayerValues!A:A,match(IFNA(vlookup(B4141,'Special Names'!A:B,2,FALSE),B4141),PlayerValues!E:E,0)),"N/A")</f>
        <v>17256</v>
      </c>
      <c r="B4141" s="4" t="s">
        <v>462</v>
      </c>
      <c r="C4141" s="4" t="s">
        <v>278</v>
      </c>
      <c r="D4141" s="94">
        <v>3181.0</v>
      </c>
    </row>
    <row r="4142">
      <c r="A4142" s="40" t="str">
        <f t="array" ref="A4142">IFNA(index(PlayerValues!A:A,match(IFNA(vlookup(B4142,'Special Names'!A:B,2,FALSE),B4142),PlayerValues!E:E,0)),"N/A")</f>
        <v>N/A</v>
      </c>
      <c r="B4142" s="4" t="s">
        <v>84</v>
      </c>
      <c r="C4142" s="4" t="s">
        <v>325</v>
      </c>
      <c r="D4142" s="94">
        <v>3175.0</v>
      </c>
    </row>
    <row r="4143">
      <c r="A4143" s="40">
        <f t="array" ref="A4143">IFNA(index(PlayerValues!A:A,match(IFNA(vlookup(B4143,'Special Names'!A:B,2,FALSE),B4143),PlayerValues!E:E,0)),"N/A")</f>
        <v>11671</v>
      </c>
      <c r="B4143" s="4" t="s">
        <v>463</v>
      </c>
      <c r="C4143" s="4" t="s">
        <v>287</v>
      </c>
      <c r="D4143" s="94">
        <v>3149.0</v>
      </c>
    </row>
    <row r="4144">
      <c r="A4144" s="40">
        <f t="array" ref="A4144">IFNA(index(PlayerValues!A:A,match(IFNA(vlookup(B4144,'Special Names'!A:B,2,FALSE),B4144),PlayerValues!E:E,0)),"N/A")</f>
        <v>14073</v>
      </c>
      <c r="B4144" s="4" t="s">
        <v>464</v>
      </c>
      <c r="C4144" s="4" t="s">
        <v>278</v>
      </c>
      <c r="D4144" s="94">
        <v>3123.0</v>
      </c>
    </row>
    <row r="4145">
      <c r="A4145" s="40">
        <f t="array" ref="A4145">IFNA(index(PlayerValues!A:A,match(IFNA(vlookup(B4145,'Special Names'!A:B,2,FALSE),B4145),PlayerValues!E:E,0)),"N/A")</f>
        <v>13630</v>
      </c>
      <c r="B4145" s="4" t="s">
        <v>465</v>
      </c>
      <c r="C4145" s="4" t="s">
        <v>287</v>
      </c>
      <c r="D4145" s="94">
        <v>3120.0</v>
      </c>
    </row>
    <row r="4146">
      <c r="A4146" s="40" t="str">
        <f t="array" ref="A4146">IFNA(index(PlayerValues!A:A,match(IFNA(vlookup(B4146,'Special Names'!A:B,2,FALSE),B4146),PlayerValues!E:E,0)),"N/A")</f>
        <v>N/A</v>
      </c>
      <c r="B4146" s="4" t="s">
        <v>109</v>
      </c>
      <c r="C4146" s="4" t="s">
        <v>325</v>
      </c>
      <c r="D4146" s="94">
        <v>3079.0</v>
      </c>
    </row>
    <row r="4147">
      <c r="A4147" s="40">
        <f t="array" ref="A4147">IFNA(index(PlayerValues!A:A,match(IFNA(vlookup(B4147,'Special Names'!A:B,2,FALSE),B4147),PlayerValues!E:E,0)),"N/A")</f>
        <v>15261</v>
      </c>
      <c r="B4147" s="4" t="s">
        <v>466</v>
      </c>
      <c r="C4147" s="4" t="s">
        <v>278</v>
      </c>
      <c r="D4147" s="94">
        <v>3069.0</v>
      </c>
    </row>
    <row r="4148">
      <c r="A4148" s="40">
        <f t="array" ref="A4148">IFNA(index(PlayerValues!A:A,match(IFNA(vlookup(B4148,'Special Names'!A:B,2,FALSE),B4148),PlayerValues!E:E,0)),"N/A")</f>
        <v>16620</v>
      </c>
      <c r="B4148" s="4" t="s">
        <v>467</v>
      </c>
      <c r="C4148" s="4" t="s">
        <v>287</v>
      </c>
      <c r="D4148" s="94">
        <v>3061.0</v>
      </c>
    </row>
    <row r="4149">
      <c r="A4149" s="40">
        <f t="array" ref="A4149">IFNA(index(PlayerValues!A:A,match(IFNA(vlookup(B4149,'Special Names'!A:B,2,FALSE),B4149),PlayerValues!E:E,0)),"N/A")</f>
        <v>15799</v>
      </c>
      <c r="B4149" s="4" t="s">
        <v>468</v>
      </c>
      <c r="C4149" s="4" t="s">
        <v>298</v>
      </c>
      <c r="D4149" s="94">
        <v>3477.0</v>
      </c>
    </row>
    <row r="4150">
      <c r="A4150" s="40">
        <f t="array" ref="A4150">IFNA(index(PlayerValues!A:A,match(IFNA(vlookup(B4150,'Special Names'!A:B,2,FALSE),B4150),PlayerValues!E:E,0)),"N/A")</f>
        <v>15972</v>
      </c>
      <c r="B4150" s="4" t="s">
        <v>469</v>
      </c>
      <c r="C4150" s="4" t="s">
        <v>278</v>
      </c>
      <c r="D4150" s="94">
        <v>3037.0</v>
      </c>
    </row>
    <row r="4151">
      <c r="A4151" s="40">
        <f t="array" ref="A4151">IFNA(index(PlayerValues!A:A,match(IFNA(vlookup(B4151,'Special Names'!A:B,2,FALSE),B4151),PlayerValues!E:E,0)),"N/A")</f>
        <v>17544</v>
      </c>
      <c r="B4151" s="4" t="s">
        <v>470</v>
      </c>
      <c r="C4151" s="4" t="s">
        <v>298</v>
      </c>
      <c r="D4151" s="94">
        <v>3463.0</v>
      </c>
    </row>
    <row r="4152">
      <c r="A4152" s="40">
        <f t="array" ref="A4152">IFNA(index(PlayerValues!A:A,match(IFNA(vlookup(B4152,'Special Names'!A:B,2,FALSE),B4152),PlayerValues!E:E,0)),"N/A")</f>
        <v>17506</v>
      </c>
      <c r="B4152" s="4" t="s">
        <v>471</v>
      </c>
      <c r="C4152" s="4" t="s">
        <v>287</v>
      </c>
      <c r="D4152" s="94">
        <v>3033.0</v>
      </c>
    </row>
    <row r="4153">
      <c r="A4153" s="40">
        <f t="array" ref="A4153">IFNA(index(PlayerValues!A:A,match(IFNA(vlookup(B4153,'Special Names'!A:B,2,FALSE),B4153),PlayerValues!E:E,0)),"N/A")</f>
        <v>14800</v>
      </c>
      <c r="B4153" s="4" t="s">
        <v>472</v>
      </c>
      <c r="C4153" s="4" t="s">
        <v>278</v>
      </c>
      <c r="D4153" s="94">
        <v>3023.0</v>
      </c>
    </row>
    <row r="4154">
      <c r="A4154" s="40">
        <f t="array" ref="A4154">IFNA(index(PlayerValues!A:A,match(IFNA(vlookup(B4154,'Special Names'!A:B,2,FALSE),B4154),PlayerValues!E:E,0)),"N/A")</f>
        <v>13163</v>
      </c>
      <c r="B4154" s="4" t="s">
        <v>473</v>
      </c>
      <c r="C4154" s="4" t="s">
        <v>287</v>
      </c>
      <c r="D4154" s="94">
        <v>3022.0</v>
      </c>
    </row>
    <row r="4155">
      <c r="A4155" s="40">
        <f t="array" ref="A4155">IFNA(index(PlayerValues!A:A,match(IFNA(vlookup(B4155,'Special Names'!A:B,2,FALSE),B4155),PlayerValues!E:E,0)),"N/A")</f>
        <v>17099</v>
      </c>
      <c r="B4155" s="4" t="s">
        <v>474</v>
      </c>
      <c r="C4155" s="4" t="s">
        <v>298</v>
      </c>
      <c r="D4155" s="94">
        <v>3437.0</v>
      </c>
    </row>
    <row r="4156">
      <c r="A4156" s="40">
        <f t="array" ref="A4156">IFNA(index(PlayerValues!A:A,match(IFNA(vlookup(B4156,'Special Names'!A:B,2,FALSE),B4156),PlayerValues!E:E,0)),"N/A")</f>
        <v>17074</v>
      </c>
      <c r="B4156" s="4" t="s">
        <v>475</v>
      </c>
      <c r="C4156" s="4" t="s">
        <v>287</v>
      </c>
      <c r="D4156" s="94">
        <v>3003.0</v>
      </c>
    </row>
    <row r="4157">
      <c r="A4157" s="40">
        <f t="array" ref="A4157">IFNA(index(PlayerValues!A:A,match(IFNA(vlookup(B4157,'Special Names'!A:B,2,FALSE),B4157),PlayerValues!E:E,0)),"N/A")</f>
        <v>16604</v>
      </c>
      <c r="B4157" s="4" t="s">
        <v>476</v>
      </c>
      <c r="C4157" s="4" t="s">
        <v>278</v>
      </c>
      <c r="D4157" s="94">
        <v>2997.0</v>
      </c>
    </row>
    <row r="4158">
      <c r="A4158" s="40">
        <f t="array" ref="A4158">IFNA(index(PlayerValues!A:A,match(IFNA(vlookup(B4158,'Special Names'!A:B,2,FALSE),B4158),PlayerValues!E:E,0)),"N/A")</f>
        <v>15255</v>
      </c>
      <c r="B4158" s="4" t="s">
        <v>477</v>
      </c>
      <c r="C4158" s="4" t="s">
        <v>278</v>
      </c>
      <c r="D4158" s="94">
        <v>2965.0</v>
      </c>
    </row>
    <row r="4159">
      <c r="A4159" s="40">
        <f t="array" ref="A4159">IFNA(index(PlayerValues!A:A,match(IFNA(vlookup(B4159,'Special Names'!A:B,2,FALSE),B4159),PlayerValues!E:E,0)),"N/A")</f>
        <v>17107</v>
      </c>
      <c r="B4159" s="4" t="s">
        <v>478</v>
      </c>
      <c r="C4159" s="4" t="s">
        <v>298</v>
      </c>
      <c r="D4159" s="94">
        <v>3383.0</v>
      </c>
    </row>
    <row r="4160">
      <c r="A4160" s="40">
        <f t="array" ref="A4160">IFNA(index(PlayerValues!A:A,match(IFNA(vlookup(B4160,'Special Names'!A:B,2,FALSE),B4160),PlayerValues!E:E,0)),"N/A")</f>
        <v>17083</v>
      </c>
      <c r="B4160" s="4" t="s">
        <v>479</v>
      </c>
      <c r="C4160" s="4" t="s">
        <v>287</v>
      </c>
      <c r="D4160" s="94">
        <v>2927.0</v>
      </c>
    </row>
    <row r="4161">
      <c r="A4161" s="40">
        <f t="array" ref="A4161">IFNA(index(PlayerValues!A:A,match(IFNA(vlookup(B4161,'Special Names'!A:B,2,FALSE),B4161),PlayerValues!E:E,0)),"N/A")</f>
        <v>17503</v>
      </c>
      <c r="B4161" s="4" t="s">
        <v>480</v>
      </c>
      <c r="C4161" s="4" t="s">
        <v>287</v>
      </c>
      <c r="D4161" s="94">
        <v>2905.0</v>
      </c>
    </row>
    <row r="4162">
      <c r="A4162" s="40">
        <f t="array" ref="A4162">IFNA(index(PlayerValues!A:A,match(IFNA(vlookup(B4162,'Special Names'!A:B,2,FALSE),B4162),PlayerValues!E:E,0)),"N/A")</f>
        <v>16269</v>
      </c>
      <c r="B4162" s="4" t="s">
        <v>481</v>
      </c>
      <c r="C4162" s="4" t="s">
        <v>298</v>
      </c>
      <c r="D4162" s="94">
        <v>3323.0</v>
      </c>
    </row>
    <row r="4163">
      <c r="A4163" s="40" t="str">
        <f t="array" ref="A4163">IFNA(index(PlayerValues!A:A,match(IFNA(vlookup(B4163,'Special Names'!A:B,2,FALSE),B4163),PlayerValues!E:E,0)),"N/A")</f>
        <v>N/A</v>
      </c>
      <c r="B4163" s="4" t="s">
        <v>85</v>
      </c>
      <c r="C4163" s="4" t="s">
        <v>325</v>
      </c>
      <c r="D4163" s="94">
        <v>2893.0</v>
      </c>
    </row>
    <row r="4164">
      <c r="A4164" s="40">
        <f t="array" ref="A4164">IFNA(index(PlayerValues!A:A,match(IFNA(vlookup(B4164,'Special Names'!A:B,2,FALSE),B4164),PlayerValues!E:E,0)),"N/A")</f>
        <v>17518</v>
      </c>
      <c r="B4164" s="4" t="s">
        <v>482</v>
      </c>
      <c r="C4164" s="4" t="s">
        <v>287</v>
      </c>
      <c r="D4164" s="94">
        <v>2888.0</v>
      </c>
    </row>
    <row r="4165">
      <c r="A4165" s="40">
        <f t="array" ref="A4165">IFNA(index(PlayerValues!A:A,match(IFNA(vlookup(B4165,'Special Names'!A:B,2,FALSE),B4165),PlayerValues!E:E,0)),"N/A")</f>
        <v>17512</v>
      </c>
      <c r="B4165" s="4" t="s">
        <v>483</v>
      </c>
      <c r="C4165" s="4" t="s">
        <v>287</v>
      </c>
      <c r="D4165" s="94">
        <v>2871.0</v>
      </c>
    </row>
    <row r="4166">
      <c r="A4166" s="40">
        <f t="array" ref="A4166">IFNA(index(PlayerValues!A:A,match(IFNA(vlookup(B4166,'Special Names'!A:B,2,FALSE),B4166),PlayerValues!E:E,0)),"N/A")</f>
        <v>17053</v>
      </c>
      <c r="B4166" s="4" t="s">
        <v>484</v>
      </c>
      <c r="C4166" s="4" t="s">
        <v>278</v>
      </c>
      <c r="D4166" s="94">
        <v>2867.0</v>
      </c>
    </row>
    <row r="4167">
      <c r="A4167" s="40">
        <f t="array" ref="A4167">IFNA(index(PlayerValues!A:A,match(IFNA(vlookup(B4167,'Special Names'!A:B,2,FALSE),B4167),PlayerValues!E:E,0)),"N/A")</f>
        <v>17511</v>
      </c>
      <c r="B4167" s="4" t="s">
        <v>485</v>
      </c>
      <c r="C4167" s="4" t="s">
        <v>287</v>
      </c>
      <c r="D4167" s="94">
        <v>2831.0</v>
      </c>
    </row>
    <row r="4168">
      <c r="A4168" s="40">
        <f t="array" ref="A4168">IFNA(index(PlayerValues!A:A,match(IFNA(vlookup(B4168,'Special Names'!A:B,2,FALSE),B4168),PlayerValues!E:E,0)),"N/A")</f>
        <v>14127</v>
      </c>
      <c r="B4168" s="4" t="s">
        <v>486</v>
      </c>
      <c r="C4168" s="4" t="s">
        <v>287</v>
      </c>
      <c r="D4168" s="94">
        <v>2824.0</v>
      </c>
    </row>
    <row r="4169">
      <c r="A4169" s="40">
        <f t="array" ref="A4169">IFNA(index(PlayerValues!A:A,match(IFNA(vlookup(B4169,'Special Names'!A:B,2,FALSE),B4169),PlayerValues!E:E,0)),"N/A")</f>
        <v>16193</v>
      </c>
      <c r="B4169" s="4" t="s">
        <v>487</v>
      </c>
      <c r="C4169" s="4" t="s">
        <v>287</v>
      </c>
      <c r="D4169" s="94">
        <v>2810.0</v>
      </c>
    </row>
    <row r="4170">
      <c r="A4170" s="40">
        <f t="array" ref="A4170">IFNA(index(PlayerValues!A:A,match(IFNA(vlookup(B4170,'Special Names'!A:B,2,FALSE),B4170),PlayerValues!E:E,0)),"N/A")</f>
        <v>15712</v>
      </c>
      <c r="B4170" s="4" t="s">
        <v>488</v>
      </c>
      <c r="C4170" s="4" t="s">
        <v>278</v>
      </c>
      <c r="D4170" s="94">
        <v>2806.0</v>
      </c>
    </row>
    <row r="4171">
      <c r="A4171" s="40" t="str">
        <f t="array" ref="A4171">IFNA(index(PlayerValues!A:A,match(IFNA(vlookup(B4171,'Special Names'!A:B,2,FALSE),B4171),PlayerValues!E:E,0)),"N/A")</f>
        <v>N/A</v>
      </c>
      <c r="B4171" s="4" t="s">
        <v>110</v>
      </c>
      <c r="C4171" s="4" t="s">
        <v>325</v>
      </c>
      <c r="D4171" s="94">
        <v>2803.0</v>
      </c>
    </row>
    <row r="4172">
      <c r="A4172" s="40">
        <f t="array" ref="A4172">IFNA(index(PlayerValues!A:A,match(IFNA(vlookup(B4172,'Special Names'!A:B,2,FALSE),B4172),PlayerValues!E:E,0)),"N/A")</f>
        <v>14085</v>
      </c>
      <c r="B4172" s="4" t="s">
        <v>489</v>
      </c>
      <c r="C4172" s="4" t="s">
        <v>278</v>
      </c>
      <c r="D4172" s="94">
        <v>2792.0</v>
      </c>
    </row>
    <row r="4173">
      <c r="A4173" s="40">
        <f t="array" ref="A4173">IFNA(index(PlayerValues!A:A,match(IFNA(vlookup(B4173,'Special Names'!A:B,2,FALSE),B4173),PlayerValues!E:E,0)),"N/A")</f>
        <v>16628</v>
      </c>
      <c r="B4173" s="4" t="s">
        <v>490</v>
      </c>
      <c r="C4173" s="4" t="s">
        <v>287</v>
      </c>
      <c r="D4173" s="94">
        <v>2791.0</v>
      </c>
    </row>
    <row r="4174">
      <c r="A4174" s="40">
        <f t="array" ref="A4174">IFNA(index(PlayerValues!A:A,match(IFNA(vlookup(B4174,'Special Names'!A:B,2,FALSE),B4174),PlayerValues!E:E,0)),"N/A")</f>
        <v>15761</v>
      </c>
      <c r="B4174" s="4" t="s">
        <v>491</v>
      </c>
      <c r="C4174" s="4" t="s">
        <v>287</v>
      </c>
      <c r="D4174" s="94">
        <v>2776.0</v>
      </c>
    </row>
    <row r="4175">
      <c r="A4175" s="40">
        <f t="array" ref="A4175">IFNA(index(PlayerValues!A:A,match(IFNA(vlookup(B4175,'Special Names'!A:B,2,FALSE),B4175),PlayerValues!E:E,0)),"N/A")</f>
        <v>17466</v>
      </c>
      <c r="B4175" s="4" t="s">
        <v>492</v>
      </c>
      <c r="C4175" s="4" t="s">
        <v>283</v>
      </c>
      <c r="D4175" s="94">
        <v>2768.0</v>
      </c>
    </row>
    <row r="4176">
      <c r="A4176" s="40">
        <f t="array" ref="A4176">IFNA(index(PlayerValues!A:A,match(IFNA(vlookup(B4176,'Special Names'!A:B,2,FALSE),B4176),PlayerValues!E:E,0)),"N/A")</f>
        <v>16583</v>
      </c>
      <c r="B4176" s="4" t="s">
        <v>493</v>
      </c>
      <c r="C4176" s="4" t="s">
        <v>283</v>
      </c>
      <c r="D4176" s="94">
        <v>2767.0</v>
      </c>
    </row>
    <row r="4177">
      <c r="A4177" s="40">
        <f t="array" ref="A4177">IFNA(index(PlayerValues!A:A,match(IFNA(vlookup(B4177,'Special Names'!A:B,2,FALSE),B4177),PlayerValues!E:E,0)),"N/A")</f>
        <v>17476</v>
      </c>
      <c r="B4177" s="4" t="s">
        <v>494</v>
      </c>
      <c r="C4177" s="4" t="s">
        <v>278</v>
      </c>
      <c r="D4177" s="94">
        <v>2746.0</v>
      </c>
    </row>
    <row r="4178">
      <c r="A4178" s="40">
        <f t="array" ref="A4178">IFNA(index(PlayerValues!A:A,match(IFNA(vlookup(B4178,'Special Names'!A:B,2,FALSE),B4178),PlayerValues!E:E,0)),"N/A")</f>
        <v>17507</v>
      </c>
      <c r="B4178" s="4" t="s">
        <v>495</v>
      </c>
      <c r="C4178" s="4" t="s">
        <v>287</v>
      </c>
      <c r="D4178" s="94">
        <v>2728.0</v>
      </c>
    </row>
    <row r="4179">
      <c r="A4179" s="40">
        <f t="array" ref="A4179">IFNA(index(PlayerValues!A:A,match(IFNA(vlookup(B4179,'Special Names'!A:B,2,FALSE),B4179),PlayerValues!E:E,0)),"N/A")</f>
        <v>17599</v>
      </c>
      <c r="B4179" s="4" t="s">
        <v>496</v>
      </c>
      <c r="C4179" s="4" t="s">
        <v>287</v>
      </c>
      <c r="D4179" s="94">
        <v>2719.0</v>
      </c>
    </row>
    <row r="4180">
      <c r="A4180" s="40">
        <f t="array" ref="A4180">IFNA(index(PlayerValues!A:A,match(IFNA(vlookup(B4180,'Special Names'!A:B,2,FALSE),B4180),PlayerValues!E:E,0)),"N/A")</f>
        <v>12186</v>
      </c>
      <c r="B4180" s="4" t="s">
        <v>497</v>
      </c>
      <c r="C4180" s="4" t="s">
        <v>287</v>
      </c>
      <c r="D4180" s="94">
        <v>2676.0</v>
      </c>
    </row>
    <row r="4181">
      <c r="A4181" s="40">
        <f t="array" ref="A4181">IFNA(index(PlayerValues!A:A,match(IFNA(vlookup(B4181,'Special Names'!A:B,2,FALSE),B4181),PlayerValues!E:E,0)),"N/A")</f>
        <v>17082</v>
      </c>
      <c r="B4181" s="4" t="s">
        <v>498</v>
      </c>
      <c r="C4181" s="4" t="s">
        <v>287</v>
      </c>
      <c r="D4181" s="94">
        <v>2653.0</v>
      </c>
    </row>
    <row r="4182">
      <c r="A4182" s="40">
        <f t="array" ref="A4182">IFNA(index(PlayerValues!A:A,match(IFNA(vlookup(B4182,'Special Names'!A:B,2,FALSE),B4182),PlayerValues!E:E,0)),"N/A")</f>
        <v>16080</v>
      </c>
      <c r="B4182" s="4" t="s">
        <v>499</v>
      </c>
      <c r="C4182" s="4" t="s">
        <v>287</v>
      </c>
      <c r="D4182" s="94">
        <v>2647.0</v>
      </c>
    </row>
    <row r="4183">
      <c r="A4183" s="40">
        <f t="array" ref="A4183">IFNA(index(PlayerValues!A:A,match(IFNA(vlookup(B4183,'Special Names'!A:B,2,FALSE),B4183),PlayerValues!E:E,0)),"N/A")</f>
        <v>16684</v>
      </c>
      <c r="B4183" s="4" t="s">
        <v>500</v>
      </c>
      <c r="C4183" s="4" t="s">
        <v>287</v>
      </c>
      <c r="D4183" s="94">
        <v>2644.0</v>
      </c>
    </row>
    <row r="4184">
      <c r="A4184" s="40">
        <f t="array" ref="A4184">IFNA(index(PlayerValues!A:A,match(IFNA(vlookup(B4184,'Special Names'!A:B,2,FALSE),B4184),PlayerValues!E:E,0)),"N/A")</f>
        <v>16596</v>
      </c>
      <c r="B4184" s="4" t="s">
        <v>501</v>
      </c>
      <c r="C4184" s="4" t="s">
        <v>278</v>
      </c>
      <c r="D4184" s="94">
        <v>2640.0</v>
      </c>
    </row>
    <row r="4185">
      <c r="A4185" s="40">
        <f t="array" ref="A4185">IFNA(index(PlayerValues!A:A,match(IFNA(vlookup(B4185,'Special Names'!A:B,2,FALSE),B4185),PlayerValues!E:E,0)),"N/A")</f>
        <v>16723</v>
      </c>
      <c r="B4185" s="4" t="s">
        <v>502</v>
      </c>
      <c r="C4185" s="4" t="s">
        <v>298</v>
      </c>
      <c r="D4185" s="94">
        <v>3046.0</v>
      </c>
    </row>
    <row r="4186">
      <c r="A4186" s="40">
        <f t="array" ref="A4186">IFNA(index(PlayerValues!A:A,match(IFNA(vlookup(B4186,'Special Names'!A:B,2,FALSE),B4186),PlayerValues!E:E,0)),"N/A")</f>
        <v>15889</v>
      </c>
      <c r="B4186" s="4" t="s">
        <v>503</v>
      </c>
      <c r="C4186" s="4" t="s">
        <v>298</v>
      </c>
      <c r="D4186" s="94">
        <v>3046.0</v>
      </c>
    </row>
    <row r="4187">
      <c r="A4187" s="40">
        <f t="array" ref="A4187">IFNA(index(PlayerValues!A:A,match(IFNA(vlookup(B4187,'Special Names'!A:B,2,FALSE),B4187),PlayerValues!E:E,0)),"N/A")</f>
        <v>15721</v>
      </c>
      <c r="B4187" s="4" t="s">
        <v>504</v>
      </c>
      <c r="C4187" s="4" t="s">
        <v>278</v>
      </c>
      <c r="D4187" s="94">
        <v>2632.0</v>
      </c>
    </row>
    <row r="4188">
      <c r="A4188" s="40">
        <f t="array" ref="A4188">IFNA(index(PlayerValues!A:A,match(IFNA(vlookup(B4188,'Special Names'!A:B,2,FALSE),B4188),PlayerValues!E:E,0)),"N/A")</f>
        <v>16174</v>
      </c>
      <c r="B4188" s="4" t="s">
        <v>505</v>
      </c>
      <c r="C4188" s="4" t="s">
        <v>278</v>
      </c>
      <c r="D4188" s="94">
        <v>2624.0</v>
      </c>
    </row>
    <row r="4189">
      <c r="A4189" s="40">
        <f t="array" ref="A4189">IFNA(index(PlayerValues!A:A,match(IFNA(vlookup(B4189,'Special Names'!A:B,2,FALSE),B4189),PlayerValues!E:E,0)),"N/A")</f>
        <v>13671</v>
      </c>
      <c r="B4189" s="4" t="s">
        <v>506</v>
      </c>
      <c r="C4189" s="4" t="s">
        <v>298</v>
      </c>
      <c r="D4189" s="94">
        <v>3030.0</v>
      </c>
    </row>
    <row r="4190">
      <c r="A4190" s="40">
        <f t="array" ref="A4190">IFNA(index(PlayerValues!A:A,match(IFNA(vlookup(B4190,'Special Names'!A:B,2,FALSE),B4190),PlayerValues!E:E,0)),"N/A")</f>
        <v>16178</v>
      </c>
      <c r="B4190" s="4" t="s">
        <v>507</v>
      </c>
      <c r="C4190" s="4" t="s">
        <v>278</v>
      </c>
      <c r="D4190" s="94">
        <v>2615.0</v>
      </c>
    </row>
    <row r="4191">
      <c r="A4191" s="40">
        <f t="array" ref="A4191">IFNA(index(PlayerValues!A:A,match(IFNA(vlookup(B4191,'Special Names'!A:B,2,FALSE),B4191),PlayerValues!E:E,0)),"N/A")</f>
        <v>17072</v>
      </c>
      <c r="B4191" s="4" t="s">
        <v>508</v>
      </c>
      <c r="C4191" s="4" t="s">
        <v>287</v>
      </c>
      <c r="D4191" s="94">
        <v>2611.0</v>
      </c>
    </row>
    <row r="4192">
      <c r="A4192" s="40">
        <f t="array" ref="A4192">IFNA(index(PlayerValues!A:A,match(IFNA(vlookup(B4192,'Special Names'!A:B,2,FALSE),B4192),PlayerValues!E:E,0)),"N/A")</f>
        <v>16195</v>
      </c>
      <c r="B4192" s="4" t="s">
        <v>509</v>
      </c>
      <c r="C4192" s="4" t="s">
        <v>287</v>
      </c>
      <c r="D4192" s="94">
        <v>2597.0</v>
      </c>
    </row>
    <row r="4193">
      <c r="A4193" s="40">
        <f t="array" ref="A4193">IFNA(index(PlayerValues!A:A,match(IFNA(vlookup(B4193,'Special Names'!A:B,2,FALSE),B4193),PlayerValues!E:E,0)),"N/A")</f>
        <v>17047</v>
      </c>
      <c r="B4193" s="4" t="s">
        <v>510</v>
      </c>
      <c r="C4193" s="4" t="s">
        <v>278</v>
      </c>
      <c r="D4193" s="94">
        <v>2597.0</v>
      </c>
    </row>
    <row r="4194">
      <c r="A4194" s="40">
        <f t="array" ref="A4194">IFNA(index(PlayerValues!A:A,match(IFNA(vlookup(B4194,'Special Names'!A:B,2,FALSE),B4194),PlayerValues!E:E,0)),"N/A")</f>
        <v>13674</v>
      </c>
      <c r="B4194" s="4" t="s">
        <v>511</v>
      </c>
      <c r="C4194" s="4" t="s">
        <v>298</v>
      </c>
      <c r="D4194" s="94">
        <v>2996.0</v>
      </c>
    </row>
    <row r="4195">
      <c r="A4195" s="40" t="str">
        <f t="array" ref="A4195">IFNA(index(PlayerValues!A:A,match(IFNA(vlookup(B4195,'Special Names'!A:B,2,FALSE),B4195),PlayerValues!E:E,0)),"N/A")</f>
        <v>N/A</v>
      </c>
      <c r="B4195" s="4" t="s">
        <v>98</v>
      </c>
      <c r="C4195" s="4" t="s">
        <v>325</v>
      </c>
      <c r="D4195" s="94">
        <v>2580.0</v>
      </c>
    </row>
    <row r="4196">
      <c r="A4196" s="40">
        <f t="array" ref="A4196">IFNA(index(PlayerValues!A:A,match(IFNA(vlookup(B4196,'Special Names'!A:B,2,FALSE),B4196),PlayerValues!E:E,0)),"N/A")</f>
        <v>16164</v>
      </c>
      <c r="B4196" s="4" t="s">
        <v>512</v>
      </c>
      <c r="C4196" s="4" t="s">
        <v>278</v>
      </c>
      <c r="D4196" s="94">
        <v>2577.0</v>
      </c>
    </row>
    <row r="4197">
      <c r="A4197" s="40">
        <f t="array" ref="A4197">IFNA(index(PlayerValues!A:A,match(IFNA(vlookup(B4197,'Special Names'!A:B,2,FALSE),B4197),PlayerValues!E:E,0)),"N/A")</f>
        <v>17474</v>
      </c>
      <c r="B4197" s="4" t="s">
        <v>513</v>
      </c>
      <c r="C4197" s="4" t="s">
        <v>278</v>
      </c>
      <c r="D4197" s="94">
        <v>2573.0</v>
      </c>
    </row>
    <row r="4198">
      <c r="A4198" s="40">
        <f t="array" ref="A4198">IFNA(index(PlayerValues!A:A,match(IFNA(vlookup(B4198,'Special Names'!A:B,2,FALSE),B4198),PlayerValues!E:E,0)),"N/A")</f>
        <v>17468</v>
      </c>
      <c r="B4198" s="4" t="s">
        <v>514</v>
      </c>
      <c r="C4198" s="4" t="s">
        <v>283</v>
      </c>
      <c r="D4198" s="94">
        <v>2559.0</v>
      </c>
    </row>
    <row r="4199">
      <c r="A4199" s="40">
        <f t="array" ref="A4199">IFNA(index(PlayerValues!A:A,match(IFNA(vlookup(B4199,'Special Names'!A:B,2,FALSE),B4199),PlayerValues!E:E,0)),"N/A")</f>
        <v>16626</v>
      </c>
      <c r="B4199" s="4" t="s">
        <v>515</v>
      </c>
      <c r="C4199" s="4" t="s">
        <v>287</v>
      </c>
      <c r="D4199" s="94">
        <v>2555.0</v>
      </c>
    </row>
    <row r="4200">
      <c r="A4200" s="40">
        <f t="array" ref="A4200">IFNA(index(PlayerValues!A:A,match(IFNA(vlookup(B4200,'Special Names'!A:B,2,FALSE),B4200),PlayerValues!E:E,0)),"N/A")</f>
        <v>16287</v>
      </c>
      <c r="B4200" s="4" t="s">
        <v>516</v>
      </c>
      <c r="C4200" s="4" t="s">
        <v>287</v>
      </c>
      <c r="D4200" s="94">
        <v>2543.0</v>
      </c>
    </row>
    <row r="4201">
      <c r="A4201" s="40">
        <f t="array" ref="A4201">IFNA(index(PlayerValues!A:A,match(IFNA(vlookup(B4201,'Special Names'!A:B,2,FALSE),B4201),PlayerValues!E:E,0)),"N/A")</f>
        <v>16622</v>
      </c>
      <c r="B4201" s="4" t="s">
        <v>517</v>
      </c>
      <c r="C4201" s="4" t="s">
        <v>287</v>
      </c>
      <c r="D4201" s="94">
        <v>2539.0</v>
      </c>
    </row>
    <row r="4202">
      <c r="A4202" s="40">
        <f t="array" ref="A4202">IFNA(index(PlayerValues!A:A,match(IFNA(vlookup(B4202,'Special Names'!A:B,2,FALSE),B4202),PlayerValues!E:E,0)),"N/A")</f>
        <v>17520</v>
      </c>
      <c r="B4202" s="4" t="s">
        <v>518</v>
      </c>
      <c r="C4202" s="4" t="s">
        <v>287</v>
      </c>
      <c r="D4202" s="94">
        <v>2532.0</v>
      </c>
    </row>
    <row r="4203">
      <c r="A4203" s="40">
        <f t="array" ref="A4203">IFNA(index(PlayerValues!A:A,match(IFNA(vlookup(B4203,'Special Names'!A:B,2,FALSE),B4203),PlayerValues!E:E,0)),"N/A")</f>
        <v>11244</v>
      </c>
      <c r="B4203" s="4" t="s">
        <v>519</v>
      </c>
      <c r="C4203" s="4" t="s">
        <v>298</v>
      </c>
      <c r="D4203" s="94">
        <v>2930.0</v>
      </c>
    </row>
    <row r="4204">
      <c r="A4204" s="40">
        <f t="array" ref="A4204">IFNA(index(PlayerValues!A:A,match(IFNA(vlookup(B4204,'Special Names'!A:B,2,FALSE),B4204),PlayerValues!E:E,0)),"N/A")</f>
        <v>16165</v>
      </c>
      <c r="B4204" s="4" t="s">
        <v>520</v>
      </c>
      <c r="C4204" s="4" t="s">
        <v>278</v>
      </c>
      <c r="D4204" s="94">
        <v>2523.0</v>
      </c>
    </row>
    <row r="4205">
      <c r="A4205" s="40" t="str">
        <f t="array" ref="A4205">IFNA(index(PlayerValues!A:A,match(IFNA(vlookup(B4205,'Special Names'!A:B,2,FALSE),B4205),PlayerValues!E:E,0)),"N/A")</f>
        <v>N/A</v>
      </c>
      <c r="B4205" s="4" t="s">
        <v>99</v>
      </c>
      <c r="C4205" s="4" t="s">
        <v>325</v>
      </c>
      <c r="D4205" s="94">
        <v>2505.0</v>
      </c>
    </row>
    <row r="4206">
      <c r="A4206" s="40">
        <f t="array" ref="A4206">IFNA(index(PlayerValues!A:A,match(IFNA(vlookup(B4206,'Special Names'!A:B,2,FALSE),B4206),PlayerValues!E:E,0)),"N/A")</f>
        <v>15786</v>
      </c>
      <c r="B4206" s="4" t="s">
        <v>521</v>
      </c>
      <c r="C4206" s="4" t="s">
        <v>287</v>
      </c>
      <c r="D4206" s="94">
        <v>2499.0</v>
      </c>
    </row>
    <row r="4207">
      <c r="A4207" s="40">
        <f t="array" ref="A4207">IFNA(index(PlayerValues!A:A,match(IFNA(vlookup(B4207,'Special Names'!A:B,2,FALSE),B4207),PlayerValues!E:E,0)),"N/A")</f>
        <v>17485</v>
      </c>
      <c r="B4207" s="4" t="s">
        <v>522</v>
      </c>
      <c r="C4207" s="4" t="s">
        <v>278</v>
      </c>
      <c r="D4207" s="94">
        <v>2499.0</v>
      </c>
    </row>
    <row r="4208">
      <c r="A4208" s="40">
        <f t="array" ref="A4208">IFNA(index(PlayerValues!A:A,match(IFNA(vlookup(B4208,'Special Names'!A:B,2,FALSE),B4208),PlayerValues!E:E,0)),"N/A")</f>
        <v>14861</v>
      </c>
      <c r="B4208" s="4" t="s">
        <v>523</v>
      </c>
      <c r="C4208" s="4" t="s">
        <v>298</v>
      </c>
      <c r="D4208" s="94">
        <v>2901.0</v>
      </c>
    </row>
    <row r="4209">
      <c r="A4209" s="40">
        <f t="array" ref="A4209">IFNA(index(PlayerValues!A:A,match(IFNA(vlookup(B4209,'Special Names'!A:B,2,FALSE),B4209),PlayerValues!E:E,0)),"N/A")</f>
        <v>17157</v>
      </c>
      <c r="B4209" s="4" t="s">
        <v>524</v>
      </c>
      <c r="C4209" s="4" t="s">
        <v>287</v>
      </c>
      <c r="D4209" s="94">
        <v>2494.0</v>
      </c>
    </row>
    <row r="4210">
      <c r="A4210" s="40">
        <f t="array" ref="A4210">IFNA(index(PlayerValues!A:A,match(IFNA(vlookup(B4210,'Special Names'!A:B,2,FALSE),B4210),PlayerValues!E:E,0)),"N/A")</f>
        <v>17105</v>
      </c>
      <c r="B4210" s="4" t="s">
        <v>525</v>
      </c>
      <c r="C4210" s="4" t="s">
        <v>298</v>
      </c>
      <c r="D4210" s="94">
        <v>2892.0</v>
      </c>
    </row>
    <row r="4211">
      <c r="A4211" s="40">
        <f t="array" ref="A4211">IFNA(index(PlayerValues!A:A,match(IFNA(vlookup(B4211,'Special Names'!A:B,2,FALSE),B4211),PlayerValues!E:E,0)),"N/A")</f>
        <v>17607</v>
      </c>
      <c r="B4211" s="4" t="s">
        <v>526</v>
      </c>
      <c r="C4211" s="4" t="s">
        <v>298</v>
      </c>
      <c r="D4211" s="94">
        <v>2891.0</v>
      </c>
    </row>
    <row r="4212">
      <c r="A4212" s="40">
        <f t="array" ref="A4212">IFNA(index(PlayerValues!A:A,match(IFNA(vlookup(B4212,'Special Names'!A:B,2,FALSE),B4212),PlayerValues!E:E,0)),"N/A")</f>
        <v>17478</v>
      </c>
      <c r="B4212" s="4" t="s">
        <v>527</v>
      </c>
      <c r="C4212" s="4" t="s">
        <v>278</v>
      </c>
      <c r="D4212" s="94">
        <v>2486.0</v>
      </c>
    </row>
    <row r="4213">
      <c r="A4213" s="40">
        <f t="array" ref="A4213">IFNA(index(PlayerValues!A:A,match(IFNA(vlookup(B4213,'Special Names'!A:B,2,FALSE),B4213),PlayerValues!E:E,0)),"N/A")</f>
        <v>17505</v>
      </c>
      <c r="B4213" s="4" t="s">
        <v>528</v>
      </c>
      <c r="C4213" s="4" t="s">
        <v>287</v>
      </c>
      <c r="D4213" s="94">
        <v>2483.0</v>
      </c>
    </row>
    <row r="4214">
      <c r="A4214" s="40">
        <f t="array" ref="A4214">IFNA(index(PlayerValues!A:A,match(IFNA(vlookup(B4214,'Special Names'!A:B,2,FALSE),B4214),PlayerValues!E:E,0)),"N/A")</f>
        <v>12616</v>
      </c>
      <c r="B4214" s="4" t="s">
        <v>529</v>
      </c>
      <c r="C4214" s="4" t="s">
        <v>283</v>
      </c>
      <c r="D4214" s="94">
        <v>2477.0</v>
      </c>
    </row>
    <row r="4215">
      <c r="A4215" s="40">
        <f t="array" ref="A4215">IFNA(index(PlayerValues!A:A,match(IFNA(vlookup(B4215,'Special Names'!A:B,2,FALSE),B4215),PlayerValues!E:E,0)),"N/A")</f>
        <v>16204</v>
      </c>
      <c r="B4215" s="4" t="s">
        <v>530</v>
      </c>
      <c r="C4215" s="4" t="s">
        <v>287</v>
      </c>
      <c r="D4215" s="94">
        <v>2477.0</v>
      </c>
    </row>
    <row r="4216">
      <c r="A4216" s="40">
        <f t="array" ref="A4216">IFNA(index(PlayerValues!A:A,match(IFNA(vlookup(B4216,'Special Names'!A:B,2,FALSE),B4216),PlayerValues!E:E,0)),"N/A")</f>
        <v>14138</v>
      </c>
      <c r="B4216" s="4" t="s">
        <v>531</v>
      </c>
      <c r="C4216" s="4" t="s">
        <v>298</v>
      </c>
      <c r="D4216" s="94">
        <v>2863.0</v>
      </c>
    </row>
    <row r="4217">
      <c r="A4217" s="40">
        <f t="array" ref="A4217">IFNA(index(PlayerValues!A:A,match(IFNA(vlookup(B4217,'Special Names'!A:B,2,FALSE),B4217),PlayerValues!E:E,0)),"N/A")</f>
        <v>17080</v>
      </c>
      <c r="B4217" s="4" t="s">
        <v>532</v>
      </c>
      <c r="C4217" s="4" t="s">
        <v>287</v>
      </c>
      <c r="D4217" s="94">
        <v>2456.0</v>
      </c>
    </row>
    <row r="4218">
      <c r="A4218" s="40" t="str">
        <f t="array" ref="A4218">IFNA(index(PlayerValues!A:A,match(IFNA(vlookup(B4218,'Special Names'!A:B,2,FALSE),B4218),PlayerValues!E:E,0)),"N/A")</f>
        <v>N/A</v>
      </c>
      <c r="B4218" s="4" t="s">
        <v>86</v>
      </c>
      <c r="C4218" s="4" t="s">
        <v>325</v>
      </c>
      <c r="D4218" s="94">
        <v>2449.0</v>
      </c>
    </row>
    <row r="4219">
      <c r="A4219" s="40">
        <f t="array" ref="A4219">IFNA(index(PlayerValues!A:A,match(IFNA(vlookup(B4219,'Special Names'!A:B,2,FALSE),B4219),PlayerValues!E:E,0)),"N/A")</f>
        <v>17098</v>
      </c>
      <c r="B4219" s="4" t="s">
        <v>533</v>
      </c>
      <c r="C4219" s="4" t="s">
        <v>287</v>
      </c>
      <c r="D4219" s="94">
        <v>2409.0</v>
      </c>
    </row>
    <row r="4220">
      <c r="A4220" s="40">
        <f t="array" ref="A4220">IFNA(index(PlayerValues!A:A,match(IFNA(vlookup(B4220,'Special Names'!A:B,2,FALSE),B4220),PlayerValues!E:E,0)),"N/A")</f>
        <v>17508</v>
      </c>
      <c r="B4220" s="4" t="s">
        <v>534</v>
      </c>
      <c r="C4220" s="4" t="s">
        <v>287</v>
      </c>
      <c r="D4220" s="94">
        <v>2374.0</v>
      </c>
    </row>
    <row r="4221">
      <c r="A4221" s="40">
        <f t="array" ref="A4221">IFNA(index(PlayerValues!A:A,match(IFNA(vlookup(B4221,'Special Names'!A:B,2,FALSE),B4221),PlayerValues!E:E,0)),"N/A")</f>
        <v>17031</v>
      </c>
      <c r="B4221" s="4" t="s">
        <v>535</v>
      </c>
      <c r="C4221" s="4" t="s">
        <v>283</v>
      </c>
      <c r="D4221" s="94">
        <v>2363.0</v>
      </c>
    </row>
    <row r="4222">
      <c r="A4222" s="40" t="str">
        <f t="array" ref="A4222">IFNA(index(PlayerValues!A:A,match(IFNA(vlookup(B4222,'Special Names'!A:B,2,FALSE),B4222),PlayerValues!E:E,0)),"N/A")</f>
        <v>N/A</v>
      </c>
      <c r="B4222" s="4" t="s">
        <v>100</v>
      </c>
      <c r="C4222" s="4" t="s">
        <v>325</v>
      </c>
      <c r="D4222" s="94">
        <v>2361.0</v>
      </c>
    </row>
    <row r="4223">
      <c r="A4223" s="40">
        <f t="array" ref="A4223">IFNA(index(PlayerValues!A:A,match(IFNA(vlookup(B4223,'Special Names'!A:B,2,FALSE),B4223),PlayerValues!E:E,0)),"N/A")</f>
        <v>14136</v>
      </c>
      <c r="B4223" s="4" t="s">
        <v>536</v>
      </c>
      <c r="C4223" s="4" t="s">
        <v>287</v>
      </c>
      <c r="D4223" s="94">
        <v>2360.0</v>
      </c>
    </row>
    <row r="4224">
      <c r="A4224" s="40">
        <f t="array" ref="A4224">IFNA(index(PlayerValues!A:A,match(IFNA(vlookup(B4224,'Special Names'!A:B,2,FALSE),B4224),PlayerValues!E:E,0)),"N/A")</f>
        <v>12676</v>
      </c>
      <c r="B4224" s="4" t="s">
        <v>537</v>
      </c>
      <c r="C4224" s="4" t="s">
        <v>298</v>
      </c>
      <c r="D4224" s="94">
        <v>2755.0</v>
      </c>
    </row>
    <row r="4225">
      <c r="A4225" s="40">
        <f t="array" ref="A4225">IFNA(index(PlayerValues!A:A,match(IFNA(vlookup(B4225,'Special Names'!A:B,2,FALSE),B4225),PlayerValues!E:E,0)),"N/A")</f>
        <v>16619</v>
      </c>
      <c r="B4225" s="4" t="s">
        <v>538</v>
      </c>
      <c r="C4225" s="4" t="s">
        <v>287</v>
      </c>
      <c r="D4225" s="94">
        <v>2349.0</v>
      </c>
    </row>
    <row r="4226">
      <c r="A4226" s="40">
        <f t="array" ref="A4226">IFNA(index(PlayerValues!A:A,match(IFNA(vlookup(B4226,'Special Names'!A:B,2,FALSE),B4226),PlayerValues!E:E,0)),"N/A")</f>
        <v>17048</v>
      </c>
      <c r="B4226" s="4" t="s">
        <v>539</v>
      </c>
      <c r="C4226" s="4" t="s">
        <v>278</v>
      </c>
      <c r="D4226" s="94">
        <v>2348.0</v>
      </c>
    </row>
    <row r="4227">
      <c r="A4227" s="40">
        <f t="array" ref="A4227">IFNA(index(PlayerValues!A:A,match(IFNA(vlookup(B4227,'Special Names'!A:B,2,FALSE),B4227),PlayerValues!E:E,0)),"N/A")</f>
        <v>17481</v>
      </c>
      <c r="B4227" s="4" t="s">
        <v>540</v>
      </c>
      <c r="C4227" s="4" t="s">
        <v>278</v>
      </c>
      <c r="D4227" s="94">
        <v>2332.0</v>
      </c>
    </row>
    <row r="4228">
      <c r="A4228" s="40">
        <f t="array" ref="A4228">IFNA(index(PlayerValues!A:A,match(IFNA(vlookup(B4228,'Special Names'!A:B,2,FALSE),B4228),PlayerValues!E:E,0)),"N/A")</f>
        <v>16617</v>
      </c>
      <c r="B4228" s="4" t="s">
        <v>541</v>
      </c>
      <c r="C4228" s="4" t="s">
        <v>287</v>
      </c>
      <c r="D4228" s="94">
        <v>2327.0</v>
      </c>
    </row>
    <row r="4229">
      <c r="A4229" s="40">
        <f t="array" ref="A4229">IFNA(index(PlayerValues!A:A,match(IFNA(vlookup(B4229,'Special Names'!A:B,2,FALSE),B4229),PlayerValues!E:E,0)),"N/A")</f>
        <v>17108</v>
      </c>
      <c r="B4229" s="4" t="s">
        <v>542</v>
      </c>
      <c r="C4229" s="4" t="s">
        <v>298</v>
      </c>
      <c r="D4229" s="94">
        <v>2716.0</v>
      </c>
    </row>
    <row r="4230">
      <c r="A4230" s="40" t="str">
        <f t="array" ref="A4230">IFNA(index(PlayerValues!A:A,match(IFNA(vlookup(B4230,'Special Names'!A:B,2,FALSE),B4230),PlayerValues!E:E,0)),"N/A")</f>
        <v>N/A</v>
      </c>
      <c r="B4230" s="4" t="s">
        <v>87</v>
      </c>
      <c r="C4230" s="4" t="s">
        <v>325</v>
      </c>
      <c r="D4230" s="94">
        <v>2318.0</v>
      </c>
    </row>
    <row r="4231">
      <c r="A4231" s="40">
        <f t="array" ref="A4231">IFNA(index(PlayerValues!A:A,match(IFNA(vlookup(B4231,'Special Names'!A:B,2,FALSE),B4231),PlayerValues!E:E,0)),"N/A")</f>
        <v>17078</v>
      </c>
      <c r="B4231" s="4" t="s">
        <v>543</v>
      </c>
      <c r="C4231" s="4" t="s">
        <v>287</v>
      </c>
      <c r="D4231" s="94">
        <v>2318.0</v>
      </c>
    </row>
    <row r="4232">
      <c r="A4232" s="40" t="str">
        <f t="array" ref="A4232">IFNA(index(PlayerValues!A:A,match(IFNA(vlookup(B4232,'Special Names'!A:B,2,FALSE),B4232),PlayerValues!E:E,0)),"N/A")</f>
        <v>N/A</v>
      </c>
      <c r="B4232" s="4" t="s">
        <v>112</v>
      </c>
      <c r="C4232" s="4" t="s">
        <v>325</v>
      </c>
      <c r="D4232" s="94">
        <v>2311.0</v>
      </c>
    </row>
    <row r="4233">
      <c r="A4233" s="40">
        <f t="array" ref="A4233">IFNA(index(PlayerValues!A:A,match(IFNA(vlookup(B4233,'Special Names'!A:B,2,FALSE),B4233),PlayerValues!E:E,0)),"N/A")</f>
        <v>13772</v>
      </c>
      <c r="B4233" s="4" t="s">
        <v>544</v>
      </c>
      <c r="C4233" s="4" t="s">
        <v>298</v>
      </c>
      <c r="D4233" s="94">
        <v>2708.0</v>
      </c>
    </row>
    <row r="4234">
      <c r="A4234" s="40">
        <f t="array" ref="A4234">IFNA(index(PlayerValues!A:A,match(IFNA(vlookup(B4234,'Special Names'!A:B,2,FALSE),B4234),PlayerValues!E:E,0)),"N/A")</f>
        <v>15716</v>
      </c>
      <c r="B4234" s="4" t="s">
        <v>545</v>
      </c>
      <c r="C4234" s="4" t="s">
        <v>278</v>
      </c>
      <c r="D4234" s="94">
        <v>2282.0</v>
      </c>
    </row>
    <row r="4235">
      <c r="A4235" s="40">
        <f t="array" ref="A4235">IFNA(index(PlayerValues!A:A,match(IFNA(vlookup(B4235,'Special Names'!A:B,2,FALSE),B4235),PlayerValues!E:E,0)),"N/A")</f>
        <v>15241</v>
      </c>
      <c r="B4235" s="4" t="s">
        <v>546</v>
      </c>
      <c r="C4235" s="4" t="s">
        <v>283</v>
      </c>
      <c r="D4235" s="94">
        <v>2275.0</v>
      </c>
    </row>
    <row r="4236">
      <c r="A4236" s="40">
        <f t="array" ref="A4236">IFNA(index(PlayerValues!A:A,match(IFNA(vlookup(B4236,'Special Names'!A:B,2,FALSE),B4236),PlayerValues!E:E,0)),"N/A")</f>
        <v>17073</v>
      </c>
      <c r="B4236" s="4" t="s">
        <v>547</v>
      </c>
      <c r="C4236" s="4" t="s">
        <v>287</v>
      </c>
      <c r="D4236" s="94">
        <v>2273.0</v>
      </c>
    </row>
    <row r="4237">
      <c r="A4237" s="40">
        <f t="array" ref="A4237">IFNA(index(PlayerValues!A:A,match(IFNA(vlookup(B4237,'Special Names'!A:B,2,FALSE),B4237),PlayerValues!E:E,0)),"N/A")</f>
        <v>17134</v>
      </c>
      <c r="B4237" s="4" t="s">
        <v>548</v>
      </c>
      <c r="C4237" s="4" t="s">
        <v>287</v>
      </c>
      <c r="D4237" s="94">
        <v>2268.0</v>
      </c>
    </row>
    <row r="4238">
      <c r="A4238" s="40">
        <f t="array" ref="A4238">IFNA(index(PlayerValues!A:A,match(IFNA(vlookup(B4238,'Special Names'!A:B,2,FALSE),B4238),PlayerValues!E:E,0)),"N/A")</f>
        <v>13319</v>
      </c>
      <c r="B4238" s="4" t="s">
        <v>549</v>
      </c>
      <c r="C4238" s="4" t="s">
        <v>278</v>
      </c>
      <c r="D4238" s="94">
        <v>2263.0</v>
      </c>
    </row>
    <row r="4239">
      <c r="A4239" s="40">
        <f t="array" ref="A4239">IFNA(index(PlayerValues!A:A,match(IFNA(vlookup(B4239,'Special Names'!A:B,2,FALSE),B4239),PlayerValues!E:E,0)),"N/A")</f>
        <v>17106</v>
      </c>
      <c r="B4239" s="4" t="s">
        <v>550</v>
      </c>
      <c r="C4239" s="4" t="s">
        <v>298</v>
      </c>
      <c r="D4239" s="94">
        <v>2649.0</v>
      </c>
    </row>
    <row r="4240">
      <c r="A4240" s="40">
        <f t="array" ref="A4240">IFNA(index(PlayerValues!A:A,match(IFNA(vlookup(B4240,'Special Names'!A:B,2,FALSE),B4240),PlayerValues!E:E,0)),"N/A")</f>
        <v>17509</v>
      </c>
      <c r="B4240" s="4" t="s">
        <v>551</v>
      </c>
      <c r="C4240" s="4" t="s">
        <v>287</v>
      </c>
      <c r="D4240" s="94">
        <v>2251.0</v>
      </c>
    </row>
    <row r="4241">
      <c r="A4241" s="40">
        <f t="array" ref="A4241">IFNA(index(PlayerValues!A:A,match(IFNA(vlookup(B4241,'Special Names'!A:B,2,FALSE),B4241),PlayerValues!E:E,0)),"N/A")</f>
        <v>17547</v>
      </c>
      <c r="B4241" s="4" t="s">
        <v>552</v>
      </c>
      <c r="C4241" s="4" t="s">
        <v>298</v>
      </c>
      <c r="D4241" s="94">
        <v>2644.0</v>
      </c>
    </row>
    <row r="4242">
      <c r="A4242" s="40">
        <f t="array" ref="A4242">IFNA(index(PlayerValues!A:A,match(IFNA(vlookup(B4242,'Special Names'!A:B,2,FALSE),B4242),PlayerValues!E:E,0)),"N/A")</f>
        <v>14833</v>
      </c>
      <c r="B4242" s="4" t="s">
        <v>553</v>
      </c>
      <c r="C4242" s="4" t="s">
        <v>287</v>
      </c>
      <c r="D4242" s="94">
        <v>2236.0</v>
      </c>
    </row>
    <row r="4243">
      <c r="A4243" s="40">
        <f t="array" ref="A4243">IFNA(index(PlayerValues!A:A,match(IFNA(vlookup(B4243,'Special Names'!A:B,2,FALSE),B4243),PlayerValues!E:E,0)),"N/A")</f>
        <v>14860</v>
      </c>
      <c r="B4243" s="4" t="s">
        <v>554</v>
      </c>
      <c r="C4243" s="4" t="s">
        <v>287</v>
      </c>
      <c r="D4243" s="94">
        <v>2230.0</v>
      </c>
    </row>
    <row r="4244">
      <c r="A4244" s="40">
        <f t="array" ref="A4244">IFNA(index(PlayerValues!A:A,match(IFNA(vlookup(B4244,'Special Names'!A:B,2,FALSE),B4244),PlayerValues!E:E,0)),"N/A")</f>
        <v>16747</v>
      </c>
      <c r="B4244" s="4" t="s">
        <v>555</v>
      </c>
      <c r="C4244" s="4" t="s">
        <v>278</v>
      </c>
      <c r="D4244" s="94">
        <v>2199.0</v>
      </c>
    </row>
    <row r="4245">
      <c r="A4245" s="40">
        <f t="array" ref="A4245">IFNA(index(PlayerValues!A:A,match(IFNA(vlookup(B4245,'Special Names'!A:B,2,FALSE),B4245),PlayerValues!E:E,0)),"N/A")</f>
        <v>15797</v>
      </c>
      <c r="B4245" s="4" t="s">
        <v>556</v>
      </c>
      <c r="C4245" s="4" t="s">
        <v>298</v>
      </c>
      <c r="D4245" s="94">
        <v>2590.0</v>
      </c>
    </row>
    <row r="4246">
      <c r="A4246" s="40" t="str">
        <f t="array" ref="A4246">IFNA(index(PlayerValues!A:A,match(IFNA(vlookup(B4246,'Special Names'!A:B,2,FALSE),B4246),PlayerValues!E:E,0)),"N/A")</f>
        <v>N/A</v>
      </c>
      <c r="B4246" s="4" t="s">
        <v>557</v>
      </c>
      <c r="C4246" s="4" t="s">
        <v>278</v>
      </c>
      <c r="D4246" s="94">
        <v>2175.0</v>
      </c>
    </row>
    <row r="4247">
      <c r="A4247" s="40">
        <f t="array" ref="A4247">IFNA(index(PlayerValues!A:A,match(IFNA(vlookup(B4247,'Special Names'!A:B,2,FALSE),B4247),PlayerValues!E:E,0)),"N/A")</f>
        <v>16757</v>
      </c>
      <c r="B4247" s="4" t="s">
        <v>558</v>
      </c>
      <c r="C4247" s="4" t="s">
        <v>278</v>
      </c>
      <c r="D4247" s="94">
        <v>2168.0</v>
      </c>
    </row>
    <row r="4248">
      <c r="A4248" s="40" t="str">
        <f t="array" ref="A4248">IFNA(index(PlayerValues!A:A,match(IFNA(vlookup(B4248,'Special Names'!A:B,2,FALSE),B4248),PlayerValues!E:E,0)),"N/A")</f>
        <v>N/A</v>
      </c>
      <c r="B4248" s="4" t="s">
        <v>113</v>
      </c>
      <c r="C4248" s="4" t="s">
        <v>325</v>
      </c>
      <c r="D4248" s="94">
        <v>2166.0</v>
      </c>
    </row>
    <row r="4249">
      <c r="A4249" s="40">
        <f t="array" ref="A4249">IFNA(index(PlayerValues!A:A,match(IFNA(vlookup(B4249,'Special Names'!A:B,2,FALSE),B4249),PlayerValues!E:E,0)),"N/A")</f>
        <v>11150</v>
      </c>
      <c r="B4249" s="4" t="s">
        <v>559</v>
      </c>
      <c r="C4249" s="4" t="s">
        <v>283</v>
      </c>
      <c r="D4249" s="94">
        <v>2159.0</v>
      </c>
    </row>
    <row r="4250">
      <c r="A4250" s="40">
        <f t="array" ref="A4250">IFNA(index(PlayerValues!A:A,match(IFNA(vlookup(B4250,'Special Names'!A:B,2,FALSE),B4250),PlayerValues!E:E,0)),"N/A")</f>
        <v>15331</v>
      </c>
      <c r="B4250" s="4" t="s">
        <v>560</v>
      </c>
      <c r="C4250" s="4" t="s">
        <v>298</v>
      </c>
      <c r="D4250" s="94">
        <v>2536.0</v>
      </c>
    </row>
    <row r="4251">
      <c r="A4251" s="40">
        <f t="array" ref="A4251">IFNA(index(PlayerValues!A:A,match(IFNA(vlookup(B4251,'Special Names'!A:B,2,FALSE),B4251),PlayerValues!E:E,0)),"N/A")</f>
        <v>17171</v>
      </c>
      <c r="B4251" s="4" t="s">
        <v>561</v>
      </c>
      <c r="C4251" s="4" t="s">
        <v>287</v>
      </c>
      <c r="D4251" s="94">
        <v>2143.0</v>
      </c>
    </row>
    <row r="4252">
      <c r="A4252" s="40">
        <f t="array" ref="A4252">IFNA(index(PlayerValues!A:A,match(IFNA(vlookup(B4252,'Special Names'!A:B,2,FALSE),B4252),PlayerValues!E:E,0)),"N/A")</f>
        <v>16610</v>
      </c>
      <c r="B4252" s="4" t="s">
        <v>562</v>
      </c>
      <c r="C4252" s="4" t="s">
        <v>278</v>
      </c>
      <c r="D4252" s="94">
        <v>2140.0</v>
      </c>
    </row>
    <row r="4253">
      <c r="A4253" s="40">
        <f t="array" ref="A4253">IFNA(index(PlayerValues!A:A,match(IFNA(vlookup(B4253,'Special Names'!A:B,2,FALSE),B4253),PlayerValues!E:E,0)),"N/A")</f>
        <v>13192</v>
      </c>
      <c r="B4253" s="4" t="s">
        <v>563</v>
      </c>
      <c r="C4253" s="4" t="s">
        <v>298</v>
      </c>
      <c r="D4253" s="94">
        <v>2529.0</v>
      </c>
    </row>
    <row r="4254">
      <c r="A4254" s="40">
        <f t="array" ref="A4254">IFNA(index(PlayerValues!A:A,match(IFNA(vlookup(B4254,'Special Names'!A:B,2,FALSE),B4254),PlayerValues!E:E,0)),"N/A")</f>
        <v>14778</v>
      </c>
      <c r="B4254" s="4" t="s">
        <v>564</v>
      </c>
      <c r="C4254" s="4" t="s">
        <v>283</v>
      </c>
      <c r="D4254" s="94">
        <v>2139.0</v>
      </c>
    </row>
    <row r="4255">
      <c r="A4255" s="40">
        <f t="array" ref="A4255">IFNA(index(PlayerValues!A:A,match(IFNA(vlookup(B4255,'Special Names'!A:B,2,FALSE),B4255),PlayerValues!E:E,0)),"N/A")</f>
        <v>17055</v>
      </c>
      <c r="B4255" s="4" t="s">
        <v>565</v>
      </c>
      <c r="C4255" s="4" t="s">
        <v>278</v>
      </c>
      <c r="D4255" s="94">
        <v>2138.0</v>
      </c>
    </row>
    <row r="4256">
      <c r="A4256" s="40">
        <f t="array" ref="A4256">IFNA(index(PlayerValues!A:A,match(IFNA(vlookup(B4256,'Special Names'!A:B,2,FALSE),B4256),PlayerValues!E:E,0)),"N/A")</f>
        <v>15802</v>
      </c>
      <c r="B4256" s="4" t="s">
        <v>566</v>
      </c>
      <c r="C4256" s="4" t="s">
        <v>298</v>
      </c>
      <c r="D4256" s="94">
        <v>2529.0</v>
      </c>
    </row>
    <row r="4257">
      <c r="A4257" s="40" t="str">
        <f t="array" ref="A4257">IFNA(index(PlayerValues!A:A,match(IFNA(vlookup(B4257,'Special Names'!A:B,2,FALSE),B4257),PlayerValues!E:E,0)),"N/A")</f>
        <v>N/A</v>
      </c>
      <c r="B4257" s="4" t="s">
        <v>88</v>
      </c>
      <c r="C4257" s="4" t="s">
        <v>325</v>
      </c>
      <c r="D4257" s="94">
        <v>2133.0</v>
      </c>
    </row>
    <row r="4258">
      <c r="A4258" s="40">
        <f t="array" ref="A4258">IFNA(index(PlayerValues!A:A,match(IFNA(vlookup(B4258,'Special Names'!A:B,2,FALSE),B4258),PlayerValues!E:E,0)),"N/A")</f>
        <v>16166</v>
      </c>
      <c r="B4258" s="4" t="s">
        <v>567</v>
      </c>
      <c r="C4258" s="4" t="s">
        <v>278</v>
      </c>
      <c r="D4258" s="94">
        <v>2126.0</v>
      </c>
    </row>
    <row r="4259">
      <c r="A4259" s="40">
        <f t="array" ref="A4259">IFNA(index(PlayerValues!A:A,match(IFNA(vlookup(B4259,'Special Names'!A:B,2,FALSE),B4259),PlayerValues!E:E,0)),"N/A")</f>
        <v>16212</v>
      </c>
      <c r="B4259" s="4" t="s">
        <v>568</v>
      </c>
      <c r="C4259" s="4" t="s">
        <v>298</v>
      </c>
      <c r="D4259" s="94">
        <v>2509.0</v>
      </c>
    </row>
    <row r="4260">
      <c r="A4260" s="40">
        <f t="array" ref="A4260">IFNA(index(PlayerValues!A:A,match(IFNA(vlookup(B4260,'Special Names'!A:B,2,FALSE),B4260),PlayerValues!E:E,0)),"N/A")</f>
        <v>16584</v>
      </c>
      <c r="B4260" s="4" t="s">
        <v>569</v>
      </c>
      <c r="C4260" s="4" t="s">
        <v>283</v>
      </c>
      <c r="D4260" s="94">
        <v>2109.0</v>
      </c>
    </row>
    <row r="4261">
      <c r="A4261" s="40">
        <f t="array" ref="A4261">IFNA(index(PlayerValues!A:A,match(IFNA(vlookup(B4261,'Special Names'!A:B,2,FALSE),B4261),PlayerValues!E:E,0)),"N/A")</f>
        <v>17033</v>
      </c>
      <c r="B4261" s="4" t="s">
        <v>570</v>
      </c>
      <c r="C4261" s="4" t="s">
        <v>283</v>
      </c>
      <c r="D4261" s="94">
        <v>2104.0</v>
      </c>
    </row>
    <row r="4262">
      <c r="A4262" s="40">
        <f t="array" ref="A4262">IFNA(index(PlayerValues!A:A,match(IFNA(vlookup(B4262,'Special Names'!A:B,2,FALSE),B4262),PlayerValues!E:E,0)),"N/A")</f>
        <v>17567</v>
      </c>
      <c r="B4262" s="4" t="s">
        <v>571</v>
      </c>
      <c r="C4262" s="4" t="s">
        <v>298</v>
      </c>
      <c r="D4262" s="94">
        <v>2473.0</v>
      </c>
    </row>
    <row r="4263">
      <c r="A4263" s="40">
        <f t="array" ref="A4263">IFNA(index(PlayerValues!A:A,match(IFNA(vlookup(B4263,'Special Names'!A:B,2,FALSE),B4263),PlayerValues!E:E,0)),"N/A")</f>
        <v>17079</v>
      </c>
      <c r="B4263" s="4" t="s">
        <v>572</v>
      </c>
      <c r="C4263" s="4" t="s">
        <v>287</v>
      </c>
      <c r="D4263" s="94">
        <v>2081.0</v>
      </c>
    </row>
    <row r="4264">
      <c r="A4264" s="40" t="str">
        <f t="array" ref="A4264">IFNA(index(PlayerValues!A:A,match(IFNA(vlookup(B4264,'Special Names'!A:B,2,FALSE),B4264),PlayerValues!E:E,0)),"N/A")</f>
        <v>N/A</v>
      </c>
      <c r="B4264" s="4" t="s">
        <v>114</v>
      </c>
      <c r="C4264" s="4" t="s">
        <v>325</v>
      </c>
      <c r="D4264" s="94">
        <v>2075.0</v>
      </c>
    </row>
    <row r="4265">
      <c r="A4265" s="40">
        <f t="array" ref="A4265">IFNA(index(PlayerValues!A:A,match(IFNA(vlookup(B4265,'Special Names'!A:B,2,FALSE),B4265),PlayerValues!E:E,0)),"N/A")</f>
        <v>17521</v>
      </c>
      <c r="B4265" s="4" t="s">
        <v>573</v>
      </c>
      <c r="C4265" s="4" t="s">
        <v>287</v>
      </c>
      <c r="D4265" s="94">
        <v>2071.0</v>
      </c>
    </row>
    <row r="4266">
      <c r="A4266" s="40">
        <f t="array" ref="A4266">IFNA(index(PlayerValues!A:A,match(IFNA(vlookup(B4266,'Special Names'!A:B,2,FALSE),B4266),PlayerValues!E:E,0)),"N/A")</f>
        <v>15749</v>
      </c>
      <c r="B4266" s="4" t="s">
        <v>574</v>
      </c>
      <c r="C4266" s="4" t="s">
        <v>278</v>
      </c>
      <c r="D4266" s="94">
        <v>2068.0</v>
      </c>
    </row>
    <row r="4267">
      <c r="A4267" s="40">
        <f t="array" ref="A4267">IFNA(index(PlayerValues!A:A,match(IFNA(vlookup(B4267,'Special Names'!A:B,2,FALSE),B4267),PlayerValues!E:E,0)),"N/A")</f>
        <v>17467</v>
      </c>
      <c r="B4267" s="4" t="s">
        <v>575</v>
      </c>
      <c r="C4267" s="4" t="s">
        <v>283</v>
      </c>
      <c r="D4267" s="94">
        <v>2050.0</v>
      </c>
    </row>
    <row r="4268">
      <c r="A4268" s="40">
        <f t="array" ref="A4268">IFNA(index(PlayerValues!A:A,match(IFNA(vlookup(B4268,'Special Names'!A:B,2,FALSE),B4268),PlayerValues!E:E,0)),"N/A")</f>
        <v>17652</v>
      </c>
      <c r="B4268" s="4" t="s">
        <v>576</v>
      </c>
      <c r="C4268" s="4" t="s">
        <v>278</v>
      </c>
      <c r="D4268" s="94">
        <v>2048.0</v>
      </c>
    </row>
    <row r="4269">
      <c r="A4269" s="40">
        <f t="array" ref="A4269">IFNA(index(PlayerValues!A:A,match(IFNA(vlookup(B4269,'Special Names'!A:B,2,FALSE),B4269),PlayerValues!E:E,0)),"N/A")</f>
        <v>16778</v>
      </c>
      <c r="B4269" s="4" t="s">
        <v>577</v>
      </c>
      <c r="C4269" s="4" t="s">
        <v>287</v>
      </c>
      <c r="D4269" s="94">
        <v>2039.0</v>
      </c>
    </row>
    <row r="4270">
      <c r="A4270" s="40">
        <f t="array" ref="A4270">IFNA(index(PlayerValues!A:A,match(IFNA(vlookup(B4270,'Special Names'!A:B,2,FALSE),B4270),PlayerValues!E:E,0)),"N/A")</f>
        <v>15293</v>
      </c>
      <c r="B4270" s="4" t="s">
        <v>578</v>
      </c>
      <c r="C4270" s="4" t="s">
        <v>287</v>
      </c>
      <c r="D4270" s="94">
        <v>2029.0</v>
      </c>
    </row>
    <row r="4271">
      <c r="A4271" s="40">
        <f t="array" ref="A4271">IFNA(index(PlayerValues!A:A,match(IFNA(vlookup(B4271,'Special Names'!A:B,2,FALSE),B4271),PlayerValues!E:E,0)),"N/A")</f>
        <v>17528</v>
      </c>
      <c r="B4271" s="4" t="s">
        <v>579</v>
      </c>
      <c r="C4271" s="4" t="s">
        <v>287</v>
      </c>
      <c r="D4271" s="94">
        <v>2029.0</v>
      </c>
    </row>
    <row r="4272">
      <c r="A4272" s="40">
        <f t="array" ref="A4272">IFNA(index(PlayerValues!A:A,match(IFNA(vlookup(B4272,'Special Names'!A:B,2,FALSE),B4272),PlayerValues!E:E,0)),"N/A")</f>
        <v>17061</v>
      </c>
      <c r="B4272" s="4" t="s">
        <v>580</v>
      </c>
      <c r="C4272" s="4" t="s">
        <v>278</v>
      </c>
      <c r="D4272" s="94">
        <v>2028.0</v>
      </c>
    </row>
    <row r="4273">
      <c r="A4273" s="40">
        <f t="array" ref="A4273">IFNA(index(PlayerValues!A:A,match(IFNA(vlookup(B4273,'Special Names'!A:B,2,FALSE),B4273),PlayerValues!E:E,0)),"N/A")</f>
        <v>17056</v>
      </c>
      <c r="B4273" s="4" t="s">
        <v>581</v>
      </c>
      <c r="C4273" s="4" t="s">
        <v>278</v>
      </c>
      <c r="D4273" s="94">
        <v>2024.0</v>
      </c>
    </row>
    <row r="4274">
      <c r="A4274" s="40">
        <f t="array" ref="A4274">IFNA(index(PlayerValues!A:A,match(IFNA(vlookup(B4274,'Special Names'!A:B,2,FALSE),B4274),PlayerValues!E:E,0)),"N/A")</f>
        <v>16189</v>
      </c>
      <c r="B4274" s="4" t="s">
        <v>582</v>
      </c>
      <c r="C4274" s="4" t="s">
        <v>287</v>
      </c>
      <c r="D4274" s="94">
        <v>2022.0</v>
      </c>
    </row>
    <row r="4275">
      <c r="A4275" s="40">
        <f t="array" ref="A4275">IFNA(index(PlayerValues!A:A,match(IFNA(vlookup(B4275,'Special Names'!A:B,2,FALSE),B4275),PlayerValues!E:E,0)),"N/A")</f>
        <v>16342</v>
      </c>
      <c r="B4275" s="4" t="s">
        <v>583</v>
      </c>
      <c r="C4275" s="4" t="s">
        <v>287</v>
      </c>
      <c r="D4275" s="94">
        <v>2021.0</v>
      </c>
    </row>
    <row r="4276">
      <c r="A4276" s="40">
        <f t="array" ref="A4276">IFNA(index(PlayerValues!A:A,match(IFNA(vlookup(B4276,'Special Names'!A:B,2,FALSE),B4276),PlayerValues!E:E,0)),"N/A")</f>
        <v>14871</v>
      </c>
      <c r="B4276" s="4" t="s">
        <v>584</v>
      </c>
      <c r="C4276" s="4" t="s">
        <v>298</v>
      </c>
      <c r="D4276" s="94">
        <v>2380.0</v>
      </c>
    </row>
    <row r="4277">
      <c r="A4277" s="40">
        <f t="array" ref="A4277">IFNA(index(PlayerValues!A:A,match(IFNA(vlookup(B4277,'Special Names'!A:B,2,FALSE),B4277),PlayerValues!E:E,0)),"N/A")</f>
        <v>17076</v>
      </c>
      <c r="B4277" s="4" t="s">
        <v>585</v>
      </c>
      <c r="C4277" s="4" t="s">
        <v>287</v>
      </c>
      <c r="D4277" s="94">
        <v>1992.0</v>
      </c>
    </row>
    <row r="4278">
      <c r="A4278" s="40">
        <f t="array" ref="A4278">IFNA(index(PlayerValues!A:A,match(IFNA(vlookup(B4278,'Special Names'!A:B,2,FALSE),B4278),PlayerValues!E:E,0)),"N/A")</f>
        <v>16649</v>
      </c>
      <c r="B4278" s="4" t="s">
        <v>586</v>
      </c>
      <c r="C4278" s="4" t="s">
        <v>298</v>
      </c>
      <c r="D4278" s="94">
        <v>2376.0</v>
      </c>
    </row>
    <row r="4279">
      <c r="A4279" s="40">
        <f t="array" ref="A4279">IFNA(index(PlayerValues!A:A,match(IFNA(vlookup(B4279,'Special Names'!A:B,2,FALSE),B4279),PlayerValues!E:E,0)),"N/A")</f>
        <v>16603</v>
      </c>
      <c r="B4279" s="4" t="s">
        <v>587</v>
      </c>
      <c r="C4279" s="4" t="s">
        <v>278</v>
      </c>
      <c r="D4279" s="94">
        <v>1985.0</v>
      </c>
    </row>
    <row r="4280">
      <c r="A4280" s="40" t="str">
        <f t="array" ref="A4280">IFNA(index(PlayerValues!A:A,match(IFNA(vlookup(B4280,'Special Names'!A:B,2,FALSE),B4280),PlayerValues!E:E,0)),"N/A")</f>
        <v>N/A</v>
      </c>
      <c r="B4280" s="4" t="s">
        <v>101</v>
      </c>
      <c r="C4280" s="4" t="s">
        <v>325</v>
      </c>
      <c r="D4280" s="94">
        <v>1982.0</v>
      </c>
    </row>
    <row r="4281">
      <c r="A4281" s="40">
        <f t="array" ref="A4281">IFNA(index(PlayerValues!A:A,match(IFNA(vlookup(B4281,'Special Names'!A:B,2,FALSE),B4281),PlayerValues!E:E,0)),"N/A")</f>
        <v>17184</v>
      </c>
      <c r="B4281" s="4" t="s">
        <v>588</v>
      </c>
      <c r="C4281" s="4" t="s">
        <v>287</v>
      </c>
      <c r="D4281" s="94">
        <v>1972.0</v>
      </c>
    </row>
    <row r="4282">
      <c r="A4282" s="40">
        <f t="array" ref="A4282">IFNA(index(PlayerValues!A:A,match(IFNA(vlookup(B4282,'Special Names'!A:B,2,FALSE),B4282),PlayerValues!E:E,0)),"N/A")</f>
        <v>16201</v>
      </c>
      <c r="B4282" s="4" t="s">
        <v>589</v>
      </c>
      <c r="C4282" s="4" t="s">
        <v>287</v>
      </c>
      <c r="D4282" s="94">
        <v>1969.0</v>
      </c>
    </row>
    <row r="4283">
      <c r="A4283" s="40">
        <f t="array" ref="A4283">IFNA(index(PlayerValues!A:A,match(IFNA(vlookup(B4283,'Special Names'!A:B,2,FALSE),B4283),PlayerValues!E:E,0)),"N/A")</f>
        <v>7836</v>
      </c>
      <c r="B4283" s="4" t="s">
        <v>590</v>
      </c>
      <c r="C4283" s="4" t="s">
        <v>283</v>
      </c>
      <c r="D4283" s="94">
        <v>1951.0</v>
      </c>
    </row>
    <row r="4284">
      <c r="A4284" s="40">
        <f t="array" ref="A4284">IFNA(index(PlayerValues!A:A,match(IFNA(vlookup(B4284,'Special Names'!A:B,2,FALSE),B4284),PlayerValues!E:E,0)),"N/A")</f>
        <v>14867</v>
      </c>
      <c r="B4284" s="4" t="s">
        <v>591</v>
      </c>
      <c r="C4284" s="4" t="s">
        <v>298</v>
      </c>
      <c r="D4284" s="94">
        <v>2337.0</v>
      </c>
    </row>
    <row r="4285">
      <c r="A4285" s="40">
        <f t="array" ref="A4285">IFNA(index(PlayerValues!A:A,match(IFNA(vlookup(B4285,'Special Names'!A:B,2,FALSE),B4285),PlayerValues!E:E,0)),"N/A")</f>
        <v>16036</v>
      </c>
      <c r="B4285" s="4" t="s">
        <v>592</v>
      </c>
      <c r="C4285" s="4" t="s">
        <v>298</v>
      </c>
      <c r="D4285" s="94">
        <v>2330.0</v>
      </c>
    </row>
    <row r="4286">
      <c r="A4286" s="40">
        <f t="array" ref="A4286">IFNA(index(PlayerValues!A:A,match(IFNA(vlookup(B4286,'Special Names'!A:B,2,FALSE),B4286),PlayerValues!E:E,0)),"N/A")</f>
        <v>17519</v>
      </c>
      <c r="B4286" s="4" t="s">
        <v>593</v>
      </c>
      <c r="C4286" s="4" t="s">
        <v>287</v>
      </c>
      <c r="D4286" s="94">
        <v>1935.0</v>
      </c>
    </row>
    <row r="4287">
      <c r="A4287" s="40">
        <f t="array" ref="A4287">IFNA(index(PlayerValues!A:A,match(IFNA(vlookup(B4287,'Special Names'!A:B,2,FALSE),B4287),PlayerValues!E:E,0)),"N/A")</f>
        <v>17548</v>
      </c>
      <c r="B4287" s="4" t="s">
        <v>594</v>
      </c>
      <c r="C4287" s="4" t="s">
        <v>298</v>
      </c>
      <c r="D4287" s="94">
        <v>2314.0</v>
      </c>
    </row>
    <row r="4288">
      <c r="A4288" s="40">
        <f t="array" ref="A4288">IFNA(index(PlayerValues!A:A,match(IFNA(vlookup(B4288,'Special Names'!A:B,2,FALSE),B4288),PlayerValues!E:E,0)),"N/A")</f>
        <v>16216</v>
      </c>
      <c r="B4288" s="4" t="s">
        <v>595</v>
      </c>
      <c r="C4288" s="4" t="s">
        <v>298</v>
      </c>
      <c r="D4288" s="94">
        <v>2314.0</v>
      </c>
    </row>
    <row r="4289">
      <c r="A4289" s="40">
        <f t="array" ref="A4289">IFNA(index(PlayerValues!A:A,match(IFNA(vlookup(B4289,'Special Names'!A:B,2,FALSE),B4289),PlayerValues!E:E,0)),"N/A")</f>
        <v>10700</v>
      </c>
      <c r="B4289" s="4" t="s">
        <v>596</v>
      </c>
      <c r="C4289" s="4" t="s">
        <v>283</v>
      </c>
      <c r="D4289" s="94">
        <v>1926.0</v>
      </c>
    </row>
    <row r="4290">
      <c r="A4290" s="40">
        <f t="array" ref="A4290">IFNA(index(PlayerValues!A:A,match(IFNA(vlookup(B4290,'Special Names'!A:B,2,FALSE),B4290),PlayerValues!E:E,0)),"N/A")</f>
        <v>16752</v>
      </c>
      <c r="B4290" s="4" t="s">
        <v>597</v>
      </c>
      <c r="C4290" s="4" t="s">
        <v>278</v>
      </c>
      <c r="D4290" s="94">
        <v>1925.0</v>
      </c>
    </row>
    <row r="4291">
      <c r="A4291" s="40">
        <f t="array" ref="A4291">IFNA(index(PlayerValues!A:A,match(IFNA(vlookup(B4291,'Special Names'!A:B,2,FALSE),B4291),PlayerValues!E:E,0)),"N/A")</f>
        <v>13132</v>
      </c>
      <c r="B4291" s="4" t="s">
        <v>598</v>
      </c>
      <c r="C4291" s="4" t="s">
        <v>278</v>
      </c>
      <c r="D4291" s="94">
        <v>1920.0</v>
      </c>
    </row>
    <row r="4292">
      <c r="A4292" s="40">
        <f t="array" ref="A4292">IFNA(index(PlayerValues!A:A,match(IFNA(vlookup(B4292,'Special Names'!A:B,2,FALSE),B4292),PlayerValues!E:E,0)),"N/A")</f>
        <v>16639</v>
      </c>
      <c r="B4292" s="4" t="s">
        <v>599</v>
      </c>
      <c r="C4292" s="4" t="s">
        <v>287</v>
      </c>
      <c r="D4292" s="94">
        <v>1901.0</v>
      </c>
    </row>
    <row r="4293">
      <c r="A4293" s="40">
        <f t="array" ref="A4293">IFNA(index(PlayerValues!A:A,match(IFNA(vlookup(B4293,'Special Names'!A:B,2,FALSE),B4293),PlayerValues!E:E,0)),"N/A")</f>
        <v>17087</v>
      </c>
      <c r="B4293" s="4" t="s">
        <v>600</v>
      </c>
      <c r="C4293" s="4" t="s">
        <v>287</v>
      </c>
      <c r="D4293" s="94">
        <v>1894.0</v>
      </c>
    </row>
    <row r="4294">
      <c r="A4294" s="40">
        <f t="array" ref="A4294">IFNA(index(PlayerValues!A:A,match(IFNA(vlookup(B4294,'Special Names'!A:B,2,FALSE),B4294),PlayerValues!E:E,0)),"N/A")</f>
        <v>16152</v>
      </c>
      <c r="B4294" s="4" t="s">
        <v>601</v>
      </c>
      <c r="C4294" s="4" t="s">
        <v>283</v>
      </c>
      <c r="D4294" s="94">
        <v>1875.0</v>
      </c>
    </row>
    <row r="4295">
      <c r="A4295" s="40">
        <f t="array" ref="A4295">IFNA(index(PlayerValues!A:A,match(IFNA(vlookup(B4295,'Special Names'!A:B,2,FALSE),B4295),PlayerValues!E:E,0)),"N/A")</f>
        <v>17046</v>
      </c>
      <c r="B4295" s="4" t="s">
        <v>602</v>
      </c>
      <c r="C4295" s="4" t="s">
        <v>278</v>
      </c>
      <c r="D4295" s="94">
        <v>1868.0</v>
      </c>
    </row>
    <row r="4296">
      <c r="A4296" s="40">
        <f t="array" ref="A4296">IFNA(index(PlayerValues!A:A,match(IFNA(vlookup(B4296,'Special Names'!A:B,2,FALSE),B4296),PlayerValues!E:E,0)),"N/A")</f>
        <v>17060</v>
      </c>
      <c r="B4296" s="4" t="s">
        <v>603</v>
      </c>
      <c r="C4296" s="4" t="s">
        <v>278</v>
      </c>
      <c r="D4296" s="94">
        <v>1859.0</v>
      </c>
    </row>
    <row r="4297">
      <c r="A4297" s="40">
        <f t="array" ref="A4297">IFNA(index(PlayerValues!A:A,match(IFNA(vlookup(B4297,'Special Names'!A:B,2,FALSE),B4297),PlayerValues!E:E,0)),"N/A")</f>
        <v>17069</v>
      </c>
      <c r="B4297" s="4" t="s">
        <v>604</v>
      </c>
      <c r="C4297" s="4" t="s">
        <v>278</v>
      </c>
      <c r="D4297" s="94">
        <v>1848.0</v>
      </c>
    </row>
    <row r="4298">
      <c r="A4298" s="40">
        <f t="array" ref="A4298">IFNA(index(PlayerValues!A:A,match(IFNA(vlookup(B4298,'Special Names'!A:B,2,FALSE),B4298),PlayerValues!E:E,0)),"N/A")</f>
        <v>16629</v>
      </c>
      <c r="B4298" s="4" t="s">
        <v>605</v>
      </c>
      <c r="C4298" s="4" t="s">
        <v>287</v>
      </c>
      <c r="D4298" s="94">
        <v>1823.0</v>
      </c>
    </row>
    <row r="4299">
      <c r="A4299" s="40">
        <f t="array" ref="A4299">IFNA(index(PlayerValues!A:A,match(IFNA(vlookup(B4299,'Special Names'!A:B,2,FALSE),B4299),PlayerValues!E:E,0)),"N/A")</f>
        <v>13113</v>
      </c>
      <c r="B4299" s="4" t="s">
        <v>606</v>
      </c>
      <c r="C4299" s="4" t="s">
        <v>283</v>
      </c>
      <c r="D4299" s="94">
        <v>1822.0</v>
      </c>
    </row>
    <row r="4300">
      <c r="A4300" s="40">
        <f t="array" ref="A4300">IFNA(index(PlayerValues!A:A,match(IFNA(vlookup(B4300,'Special Names'!A:B,2,FALSE),B4300),PlayerValues!E:E,0)),"N/A")</f>
        <v>16594</v>
      </c>
      <c r="B4300" s="4" t="s">
        <v>607</v>
      </c>
      <c r="C4300" s="4" t="s">
        <v>278</v>
      </c>
      <c r="D4300" s="94">
        <v>1819.0</v>
      </c>
    </row>
    <row r="4301">
      <c r="A4301" s="40" t="str">
        <f t="array" ref="A4301">IFNA(index(PlayerValues!A:A,match(IFNA(vlookup(B4301,'Special Names'!A:B,2,FALSE),B4301),PlayerValues!E:E,0)),"N/A")</f>
        <v>N/A</v>
      </c>
      <c r="B4301" s="4" t="s">
        <v>102</v>
      </c>
      <c r="C4301" s="4" t="s">
        <v>325</v>
      </c>
      <c r="D4301" s="94">
        <v>1818.0</v>
      </c>
    </row>
    <row r="4302">
      <c r="A4302" s="40">
        <f t="array" ref="A4302">IFNA(index(PlayerValues!A:A,match(IFNA(vlookup(B4302,'Special Names'!A:B,2,FALSE),B4302),PlayerValues!E:E,0)),"N/A")</f>
        <v>17529</v>
      </c>
      <c r="B4302" s="4" t="s">
        <v>608</v>
      </c>
      <c r="C4302" s="4" t="s">
        <v>287</v>
      </c>
      <c r="D4302" s="94">
        <v>1815.0</v>
      </c>
    </row>
    <row r="4303">
      <c r="A4303" s="40">
        <f t="array" ref="A4303">IFNA(index(PlayerValues!A:A,match(IFNA(vlookup(B4303,'Special Names'!A:B,2,FALSE),B4303),PlayerValues!E:E,0)),"N/A")</f>
        <v>16643</v>
      </c>
      <c r="B4303" s="4" t="s">
        <v>609</v>
      </c>
      <c r="C4303" s="4" t="s">
        <v>298</v>
      </c>
      <c r="D4303" s="94">
        <v>2188.0</v>
      </c>
    </row>
    <row r="4304">
      <c r="A4304" s="40">
        <f t="array" ref="A4304">IFNA(index(PlayerValues!A:A,match(IFNA(vlookup(B4304,'Special Names'!A:B,2,FALSE),B4304),PlayerValues!E:E,0)),"N/A")</f>
        <v>15787</v>
      </c>
      <c r="B4304" s="4" t="s">
        <v>610</v>
      </c>
      <c r="C4304" s="4" t="s">
        <v>287</v>
      </c>
      <c r="D4304" s="94">
        <v>1803.0</v>
      </c>
    </row>
    <row r="4305">
      <c r="A4305" s="40">
        <f t="array" ref="A4305">IFNA(index(PlayerValues!A:A,match(IFNA(vlookup(B4305,'Special Names'!A:B,2,FALSE),B4305),PlayerValues!E:E,0)),"N/A")</f>
        <v>14974</v>
      </c>
      <c r="B4305" s="4" t="s">
        <v>611</v>
      </c>
      <c r="C4305" s="4" t="s">
        <v>287</v>
      </c>
      <c r="D4305" s="94">
        <v>1799.0</v>
      </c>
    </row>
    <row r="4306">
      <c r="A4306" s="40">
        <f t="array" ref="A4306">IFNA(index(PlayerValues!A:A,match(IFNA(vlookup(B4306,'Special Names'!A:B,2,FALSE),B4306),PlayerValues!E:E,0)),"N/A")</f>
        <v>17086</v>
      </c>
      <c r="B4306" s="4" t="s">
        <v>612</v>
      </c>
      <c r="C4306" s="4" t="s">
        <v>287</v>
      </c>
      <c r="D4306" s="94">
        <v>1797.0</v>
      </c>
    </row>
    <row r="4307">
      <c r="A4307" s="40">
        <f t="array" ref="A4307">IFNA(index(PlayerValues!A:A,match(IFNA(vlookup(B4307,'Special Names'!A:B,2,FALSE),B4307),PlayerValues!E:E,0)),"N/A")</f>
        <v>15238</v>
      </c>
      <c r="B4307" s="4" t="s">
        <v>613</v>
      </c>
      <c r="C4307" s="4" t="s">
        <v>283</v>
      </c>
      <c r="D4307" s="94">
        <v>1794.0</v>
      </c>
    </row>
    <row r="4308">
      <c r="A4308" s="40">
        <f t="array" ref="A4308">IFNA(index(PlayerValues!A:A,match(IFNA(vlookup(B4308,'Special Names'!A:B,2,FALSE),B4308),PlayerValues!E:E,0)),"N/A")</f>
        <v>17706</v>
      </c>
      <c r="B4308" s="4" t="s">
        <v>614</v>
      </c>
      <c r="C4308" s="4" t="s">
        <v>287</v>
      </c>
      <c r="D4308" s="94">
        <v>1783.0</v>
      </c>
    </row>
    <row r="4309">
      <c r="A4309" s="40">
        <f t="array" ref="A4309">IFNA(index(PlayerValues!A:A,match(IFNA(vlookup(B4309,'Special Names'!A:B,2,FALSE),B4309),PlayerValues!E:E,0)),"N/A")</f>
        <v>17475</v>
      </c>
      <c r="B4309" s="4" t="s">
        <v>615</v>
      </c>
      <c r="C4309" s="4" t="s">
        <v>278</v>
      </c>
      <c r="D4309" s="94">
        <v>1771.0</v>
      </c>
    </row>
    <row r="4310">
      <c r="A4310" s="40">
        <f t="array" ref="A4310">IFNA(index(PlayerValues!A:A,match(IFNA(vlookup(B4310,'Special Names'!A:B,2,FALSE),B4310),PlayerValues!E:E,0)),"N/A")</f>
        <v>17541</v>
      </c>
      <c r="B4310" s="4" t="s">
        <v>616</v>
      </c>
      <c r="C4310" s="4" t="s">
        <v>287</v>
      </c>
      <c r="D4310" s="94">
        <v>1771.0</v>
      </c>
    </row>
    <row r="4311">
      <c r="A4311" s="40" t="str">
        <f t="array" ref="A4311">IFNA(index(PlayerValues!A:A,match(IFNA(vlookup(B4311,'Special Names'!A:B,2,FALSE),B4311),PlayerValues!E:E,0)),"N/A")</f>
        <v>N/A</v>
      </c>
      <c r="B4311" s="4" t="s">
        <v>89</v>
      </c>
      <c r="C4311" s="4" t="s">
        <v>325</v>
      </c>
      <c r="D4311" s="94">
        <v>1747.0</v>
      </c>
    </row>
    <row r="4312">
      <c r="A4312" s="40">
        <f t="array" ref="A4312">IFNA(index(PlayerValues!A:A,match(IFNA(vlookup(B4312,'Special Names'!A:B,2,FALSE),B4312),PlayerValues!E:E,0)),"N/A")</f>
        <v>17036</v>
      </c>
      <c r="B4312" s="4" t="s">
        <v>617</v>
      </c>
      <c r="C4312" s="4" t="s">
        <v>283</v>
      </c>
      <c r="D4312" s="94">
        <v>1731.0</v>
      </c>
    </row>
    <row r="4313">
      <c r="A4313" s="40">
        <f t="array" ref="A4313">IFNA(index(PlayerValues!A:A,match(IFNA(vlookup(B4313,'Special Names'!A:B,2,FALSE),B4313),PlayerValues!E:E,0)),"N/A")</f>
        <v>16171</v>
      </c>
      <c r="B4313" s="4" t="s">
        <v>618</v>
      </c>
      <c r="C4313" s="4" t="s">
        <v>278</v>
      </c>
      <c r="D4313" s="94">
        <v>1727.0</v>
      </c>
    </row>
    <row r="4314">
      <c r="A4314" s="40">
        <f t="array" ref="A4314">IFNA(index(PlayerValues!A:A,match(IFNA(vlookup(B4314,'Special Names'!A:B,2,FALSE),B4314),PlayerValues!E:E,0)),"N/A")</f>
        <v>13629</v>
      </c>
      <c r="B4314" s="4" t="s">
        <v>619</v>
      </c>
      <c r="C4314" s="4" t="s">
        <v>287</v>
      </c>
      <c r="D4314" s="94">
        <v>1723.0</v>
      </c>
    </row>
    <row r="4315">
      <c r="A4315" s="40" t="str">
        <f t="array" ref="A4315">IFNA(index(PlayerValues!A:A,match(IFNA(vlookup(B4315,'Special Names'!A:B,2,FALSE),B4315),PlayerValues!E:E,0)),"N/A")</f>
        <v>N/A</v>
      </c>
      <c r="B4315" s="4" t="s">
        <v>103</v>
      </c>
      <c r="C4315" s="4" t="s">
        <v>325</v>
      </c>
      <c r="D4315" s="94">
        <v>1713.0</v>
      </c>
    </row>
    <row r="4316">
      <c r="A4316" s="40">
        <f t="array" ref="A4316">IFNA(index(PlayerValues!A:A,match(IFNA(vlookup(B4316,'Special Names'!A:B,2,FALSE),B4316),PlayerValues!E:E,0)),"N/A")</f>
        <v>16432</v>
      </c>
      <c r="B4316" s="4" t="s">
        <v>620</v>
      </c>
      <c r="C4316" s="4" t="s">
        <v>278</v>
      </c>
      <c r="D4316" s="94">
        <v>1709.0</v>
      </c>
    </row>
    <row r="4317">
      <c r="A4317" s="40">
        <f t="array" ref="A4317">IFNA(index(PlayerValues!A:A,match(IFNA(vlookup(B4317,'Special Names'!A:B,2,FALSE),B4317),PlayerValues!E:E,0)),"N/A")</f>
        <v>16788</v>
      </c>
      <c r="B4317" s="4" t="s">
        <v>621</v>
      </c>
      <c r="C4317" s="4" t="s">
        <v>287</v>
      </c>
      <c r="D4317" s="94">
        <v>1707.0</v>
      </c>
    </row>
    <row r="4318">
      <c r="A4318" s="40">
        <f t="array" ref="A4318">IFNA(index(PlayerValues!A:A,match(IFNA(vlookup(B4318,'Special Names'!A:B,2,FALSE),B4318),PlayerValues!E:E,0)),"N/A")</f>
        <v>11222</v>
      </c>
      <c r="B4318" s="4" t="s">
        <v>622</v>
      </c>
      <c r="C4318" s="4" t="s">
        <v>287</v>
      </c>
      <c r="D4318" s="94">
        <v>1702.0</v>
      </c>
    </row>
    <row r="4319">
      <c r="A4319" s="40" t="str">
        <f t="array" ref="A4319">IFNA(index(PlayerValues!A:A,match(IFNA(vlookup(B4319,'Special Names'!A:B,2,FALSE),B4319),PlayerValues!E:E,0)),"N/A")</f>
        <v>N/A</v>
      </c>
      <c r="B4319" s="4" t="s">
        <v>90</v>
      </c>
      <c r="C4319" s="4" t="s">
        <v>325</v>
      </c>
      <c r="D4319" s="94">
        <v>1699.0</v>
      </c>
    </row>
    <row r="4320">
      <c r="A4320" s="40">
        <f t="array" ref="A4320">IFNA(index(PlayerValues!A:A,match(IFNA(vlookup(B4320,'Special Names'!A:B,2,FALSE),B4320),PlayerValues!E:E,0)),"N/A")</f>
        <v>16585</v>
      </c>
      <c r="B4320" s="4" t="s">
        <v>623</v>
      </c>
      <c r="C4320" s="4" t="s">
        <v>283</v>
      </c>
      <c r="D4320" s="94">
        <v>1689.0</v>
      </c>
    </row>
    <row r="4321">
      <c r="A4321" s="40">
        <f t="array" ref="A4321">IFNA(index(PlayerValues!A:A,match(IFNA(vlookup(B4321,'Special Names'!A:B,2,FALSE),B4321),PlayerValues!E:E,0)),"N/A")</f>
        <v>17049</v>
      </c>
      <c r="B4321" s="4" t="s">
        <v>624</v>
      </c>
      <c r="C4321" s="4" t="s">
        <v>278</v>
      </c>
      <c r="D4321" s="94">
        <v>1688.0</v>
      </c>
    </row>
    <row r="4322">
      <c r="A4322" s="40">
        <f t="array" ref="A4322">IFNA(index(PlayerValues!A:A,match(IFNA(vlookup(B4322,'Special Names'!A:B,2,FALSE),B4322),PlayerValues!E:E,0)),"N/A")</f>
        <v>13633</v>
      </c>
      <c r="B4322" s="4" t="s">
        <v>625</v>
      </c>
      <c r="C4322" s="4" t="s">
        <v>287</v>
      </c>
      <c r="D4322" s="94">
        <v>1686.0</v>
      </c>
    </row>
    <row r="4323">
      <c r="A4323" s="40">
        <f t="array" ref="A4323">IFNA(index(PlayerValues!A:A,match(IFNA(vlookup(B4323,'Special Names'!A:B,2,FALSE),B4323),PlayerValues!E:E,0)),"N/A")</f>
        <v>13189</v>
      </c>
      <c r="B4323" s="4" t="s">
        <v>626</v>
      </c>
      <c r="C4323" s="4" t="s">
        <v>298</v>
      </c>
      <c r="D4323" s="94">
        <v>2050.0</v>
      </c>
    </row>
    <row r="4324">
      <c r="A4324" s="40">
        <f t="array" ref="A4324">IFNA(index(PlayerValues!A:A,match(IFNA(vlookup(B4324,'Special Names'!A:B,2,FALSE),B4324),PlayerValues!E:E,0)),"N/A")</f>
        <v>15788</v>
      </c>
      <c r="B4324" s="4" t="s">
        <v>627</v>
      </c>
      <c r="C4324" s="4" t="s">
        <v>287</v>
      </c>
      <c r="D4324" s="94">
        <v>1663.0</v>
      </c>
    </row>
    <row r="4325">
      <c r="A4325" s="40">
        <f t="array" ref="A4325">IFNA(index(PlayerValues!A:A,match(IFNA(vlookup(B4325,'Special Names'!A:B,2,FALSE),B4325),PlayerValues!E:E,0)),"N/A")</f>
        <v>15755</v>
      </c>
      <c r="B4325" s="4" t="s">
        <v>628</v>
      </c>
      <c r="C4325" s="4" t="s">
        <v>287</v>
      </c>
      <c r="D4325" s="94">
        <v>1660.0</v>
      </c>
    </row>
    <row r="4326">
      <c r="A4326" s="40">
        <f t="array" ref="A4326">IFNA(index(PlayerValues!A:A,match(IFNA(vlookup(B4326,'Special Names'!A:B,2,FALSE),B4326),PlayerValues!E:E,0)),"N/A")</f>
        <v>16608</v>
      </c>
      <c r="B4326" s="4" t="s">
        <v>629</v>
      </c>
      <c r="C4326" s="4" t="s">
        <v>278</v>
      </c>
      <c r="D4326" s="94">
        <v>1643.0</v>
      </c>
    </row>
    <row r="4327">
      <c r="A4327" s="40">
        <f t="array" ref="A4327">IFNA(index(PlayerValues!A:A,match(IFNA(vlookup(B4327,'Special Names'!A:B,2,FALSE),B4327),PlayerValues!E:E,0)),"N/A")</f>
        <v>17685</v>
      </c>
      <c r="B4327" s="4" t="s">
        <v>630</v>
      </c>
      <c r="C4327" s="4" t="s">
        <v>278</v>
      </c>
      <c r="D4327" s="94">
        <v>1633.0</v>
      </c>
    </row>
    <row r="4328">
      <c r="A4328" s="40">
        <f t="array" ref="A4328">IFNA(index(PlayerValues!A:A,match(IFNA(vlookup(B4328,'Special Names'!A:B,2,FALSE),B4328),PlayerValues!E:E,0)),"N/A")</f>
        <v>17064</v>
      </c>
      <c r="B4328" s="4" t="s">
        <v>631</v>
      </c>
      <c r="C4328" s="4" t="s">
        <v>278</v>
      </c>
      <c r="D4328" s="94">
        <v>1622.0</v>
      </c>
    </row>
    <row r="4329">
      <c r="A4329" s="40">
        <f t="array" ref="A4329">IFNA(index(PlayerValues!A:A,match(IFNA(vlookup(B4329,'Special Names'!A:B,2,FALSE),B4329),PlayerValues!E:E,0)),"N/A")</f>
        <v>13164</v>
      </c>
      <c r="B4329" s="4" t="s">
        <v>632</v>
      </c>
      <c r="C4329" s="4" t="s">
        <v>287</v>
      </c>
      <c r="D4329" s="94">
        <v>1617.0</v>
      </c>
    </row>
    <row r="4330">
      <c r="A4330" s="40">
        <f t="array" ref="A4330">IFNA(index(PlayerValues!A:A,match(IFNA(vlookup(B4330,'Special Names'!A:B,2,FALSE),B4330),PlayerValues!E:E,0)),"N/A")</f>
        <v>15254</v>
      </c>
      <c r="B4330" s="4" t="s">
        <v>633</v>
      </c>
      <c r="C4330" s="4" t="s">
        <v>278</v>
      </c>
      <c r="D4330" s="94">
        <v>1613.0</v>
      </c>
    </row>
    <row r="4331">
      <c r="A4331" s="40" t="str">
        <f t="array" ref="A4331">IFNA(index(PlayerValues!A:A,match(IFNA(vlookup(B4331,'Special Names'!A:B,2,FALSE),B4331),PlayerValues!E:E,0)),"N/A")</f>
        <v>N/A</v>
      </c>
      <c r="B4331" s="4" t="s">
        <v>115</v>
      </c>
      <c r="C4331" s="4" t="s">
        <v>325</v>
      </c>
      <c r="D4331" s="94">
        <v>1613.0</v>
      </c>
    </row>
    <row r="4332">
      <c r="A4332" s="40">
        <f t="array" ref="A4332">IFNA(index(PlayerValues!A:A,match(IFNA(vlookup(B4332,'Special Names'!A:B,2,FALSE),B4332),PlayerValues!E:E,0)),"N/A")</f>
        <v>15738</v>
      </c>
      <c r="B4332" s="4" t="s">
        <v>634</v>
      </c>
      <c r="C4332" s="4" t="s">
        <v>278</v>
      </c>
      <c r="D4332" s="94">
        <v>1609.0</v>
      </c>
    </row>
    <row r="4333">
      <c r="A4333" s="40">
        <f t="array" ref="A4333">IFNA(index(PlayerValues!A:A,match(IFNA(vlookup(B4333,'Special Names'!A:B,2,FALSE),B4333),PlayerValues!E:E,0)),"N/A")</f>
        <v>14143</v>
      </c>
      <c r="B4333" s="4" t="s">
        <v>635</v>
      </c>
      <c r="C4333" s="4" t="s">
        <v>298</v>
      </c>
      <c r="D4333" s="94">
        <v>1980.0</v>
      </c>
    </row>
    <row r="4334">
      <c r="A4334" s="40">
        <f t="array" ref="A4334">IFNA(index(PlayerValues!A:A,match(IFNA(vlookup(B4334,'Special Names'!A:B,2,FALSE),B4334),PlayerValues!E:E,0)),"N/A")</f>
        <v>16207</v>
      </c>
      <c r="B4334" s="4" t="s">
        <v>636</v>
      </c>
      <c r="C4334" s="4" t="s">
        <v>287</v>
      </c>
      <c r="D4334" s="94">
        <v>1596.0</v>
      </c>
    </row>
    <row r="4335">
      <c r="A4335" s="40">
        <f t="array" ref="A4335">IFNA(index(PlayerValues!A:A,match(IFNA(vlookup(B4335,'Special Names'!A:B,2,FALSE),B4335),PlayerValues!E:E,0)),"N/A")</f>
        <v>16215</v>
      </c>
      <c r="B4335" s="4" t="s">
        <v>637</v>
      </c>
      <c r="C4335" s="4" t="s">
        <v>298</v>
      </c>
      <c r="D4335" s="94">
        <v>1969.0</v>
      </c>
    </row>
    <row r="4336">
      <c r="A4336" s="40">
        <f t="array" ref="A4336">IFNA(index(PlayerValues!A:A,match(IFNA(vlookup(B4336,'Special Names'!A:B,2,FALSE),B4336),PlayerValues!E:E,0)),"N/A")</f>
        <v>17096</v>
      </c>
      <c r="B4336" s="4" t="s">
        <v>638</v>
      </c>
      <c r="C4336" s="4" t="s">
        <v>287</v>
      </c>
      <c r="D4336" s="94">
        <v>1591.0</v>
      </c>
    </row>
    <row r="4337">
      <c r="A4337" s="40">
        <f t="array" ref="A4337">IFNA(index(PlayerValues!A:A,match(IFNA(vlookup(B4337,'Special Names'!A:B,2,FALSE),B4337),PlayerValues!E:E,0)),"N/A")</f>
        <v>14086</v>
      </c>
      <c r="B4337" s="4" t="s">
        <v>639</v>
      </c>
      <c r="C4337" s="4" t="s">
        <v>278</v>
      </c>
      <c r="D4337" s="94">
        <v>1557.0</v>
      </c>
    </row>
    <row r="4338">
      <c r="A4338" s="40">
        <f t="array" ref="A4338">IFNA(index(PlayerValues!A:A,match(IFNA(vlookup(B4338,'Special Names'!A:B,2,FALSE),B4338),PlayerValues!E:E,0)),"N/A")</f>
        <v>16644</v>
      </c>
      <c r="B4338" s="4" t="s">
        <v>640</v>
      </c>
      <c r="C4338" s="4" t="s">
        <v>298</v>
      </c>
      <c r="D4338" s="94">
        <v>1915.0</v>
      </c>
    </row>
    <row r="4339">
      <c r="A4339" s="40">
        <f t="array" ref="A4339">IFNA(index(PlayerValues!A:A,match(IFNA(vlookup(B4339,'Special Names'!A:B,2,FALSE),B4339),PlayerValues!E:E,0)),"N/A")</f>
        <v>17058</v>
      </c>
      <c r="B4339" s="4" t="s">
        <v>641</v>
      </c>
      <c r="C4339" s="4" t="s">
        <v>278</v>
      </c>
      <c r="D4339" s="94">
        <v>1525.0</v>
      </c>
    </row>
    <row r="4340">
      <c r="A4340" s="40" t="str">
        <f t="array" ref="A4340">IFNA(index(PlayerValues!A:A,match(IFNA(vlookup(B4340,'Special Names'!A:B,2,FALSE),B4340),PlayerValues!E:E,0)),"N/A")</f>
        <v>N/A</v>
      </c>
      <c r="B4340" s="4" t="s">
        <v>116</v>
      </c>
      <c r="C4340" s="4" t="s">
        <v>325</v>
      </c>
      <c r="D4340" s="94">
        <v>1523.0</v>
      </c>
    </row>
    <row r="4341">
      <c r="A4341" s="40">
        <f t="array" ref="A4341">IFNA(index(PlayerValues!A:A,match(IFNA(vlookup(B4341,'Special Names'!A:B,2,FALSE),B4341),PlayerValues!E:E,0)),"N/A")</f>
        <v>17657</v>
      </c>
      <c r="B4341" s="4" t="s">
        <v>642</v>
      </c>
      <c r="C4341" s="4" t="s">
        <v>283</v>
      </c>
      <c r="D4341" s="94">
        <v>1523.0</v>
      </c>
    </row>
    <row r="4342">
      <c r="A4342" s="40">
        <f t="array" ref="A4342">IFNA(index(PlayerValues!A:A,match(IFNA(vlookup(B4342,'Special Names'!A:B,2,FALSE),B4342),PlayerValues!E:E,0)),"N/A")</f>
        <v>17034</v>
      </c>
      <c r="B4342" s="4" t="s">
        <v>643</v>
      </c>
      <c r="C4342" s="4" t="s">
        <v>283</v>
      </c>
      <c r="D4342" s="94">
        <v>1520.0</v>
      </c>
    </row>
    <row r="4343">
      <c r="A4343" s="40">
        <f t="array" ref="A4343">IFNA(index(PlayerValues!A:A,match(IFNA(vlookup(B4343,'Special Names'!A:B,2,FALSE),B4343),PlayerValues!E:E,0)),"N/A")</f>
        <v>15319</v>
      </c>
      <c r="B4343" s="4" t="s">
        <v>644</v>
      </c>
      <c r="C4343" s="4" t="s">
        <v>287</v>
      </c>
      <c r="D4343" s="94">
        <v>1519.0</v>
      </c>
    </row>
    <row r="4344">
      <c r="A4344" s="40" t="str">
        <f t="array" ref="A4344">IFNA(index(PlayerValues!A:A,match(IFNA(vlookup(B4344,'Special Names'!A:B,2,FALSE),B4344),PlayerValues!E:E,0)),"N/A")</f>
        <v>N/A</v>
      </c>
      <c r="B4344" s="4" t="s">
        <v>91</v>
      </c>
      <c r="C4344" s="4" t="s">
        <v>325</v>
      </c>
      <c r="D4344" s="94">
        <v>1514.0</v>
      </c>
    </row>
    <row r="4345">
      <c r="A4345" s="40">
        <f t="array" ref="A4345">IFNA(index(PlayerValues!A:A,match(IFNA(vlookup(B4345,'Special Names'!A:B,2,FALSE),B4345),PlayerValues!E:E,0)),"N/A")</f>
        <v>16635</v>
      </c>
      <c r="B4345" s="4" t="s">
        <v>645</v>
      </c>
      <c r="C4345" s="4" t="s">
        <v>287</v>
      </c>
      <c r="D4345" s="94">
        <v>1503.0</v>
      </c>
    </row>
    <row r="4346">
      <c r="A4346" s="40">
        <f t="array" ref="A4346">IFNA(index(PlayerValues!A:A,match(IFNA(vlookup(B4346,'Special Names'!A:B,2,FALSE),B4346),PlayerValues!E:E,0)),"N/A")</f>
        <v>16387</v>
      </c>
      <c r="B4346" s="4" t="s">
        <v>646</v>
      </c>
      <c r="C4346" s="4" t="s">
        <v>278</v>
      </c>
      <c r="D4346" s="94">
        <v>1500.0</v>
      </c>
    </row>
    <row r="4347">
      <c r="A4347" s="40">
        <f t="array" ref="A4347">IFNA(index(PlayerValues!A:A,match(IFNA(vlookup(B4347,'Special Names'!A:B,2,FALSE),B4347),PlayerValues!E:E,0)),"N/A")</f>
        <v>15752</v>
      </c>
      <c r="B4347" s="4" t="s">
        <v>647</v>
      </c>
      <c r="C4347" s="4" t="s">
        <v>287</v>
      </c>
      <c r="D4347" s="94">
        <v>1489.0</v>
      </c>
    </row>
    <row r="4348">
      <c r="A4348" s="40">
        <f t="array" ref="A4348">IFNA(index(PlayerValues!A:A,match(IFNA(vlookup(B4348,'Special Names'!A:B,2,FALSE),B4348),PlayerValues!E:E,0)),"N/A")</f>
        <v>16601</v>
      </c>
      <c r="B4348" s="4" t="s">
        <v>648</v>
      </c>
      <c r="C4348" s="4" t="s">
        <v>278</v>
      </c>
      <c r="D4348" s="94">
        <v>1476.0</v>
      </c>
    </row>
    <row r="4349">
      <c r="A4349" s="40">
        <f t="array" ref="A4349">IFNA(index(PlayerValues!A:A,match(IFNA(vlookup(B4349,'Special Names'!A:B,2,FALSE),B4349),PlayerValues!E:E,0)),"N/A")</f>
        <v>17465</v>
      </c>
      <c r="B4349" s="4" t="s">
        <v>649</v>
      </c>
      <c r="C4349" s="4" t="s">
        <v>283</v>
      </c>
      <c r="D4349" s="94">
        <v>1473.0</v>
      </c>
    </row>
    <row r="4350">
      <c r="A4350" s="40">
        <f t="array" ref="A4350">IFNA(index(PlayerValues!A:A,match(IFNA(vlookup(B4350,'Special Names'!A:B,2,FALSE),B4350),PlayerValues!E:E,0)),"N/A")</f>
        <v>17035</v>
      </c>
      <c r="B4350" s="4" t="s">
        <v>650</v>
      </c>
      <c r="C4350" s="4" t="s">
        <v>283</v>
      </c>
      <c r="D4350" s="94">
        <v>1462.0</v>
      </c>
    </row>
    <row r="4351">
      <c r="A4351" s="40">
        <f t="array" ref="A4351">IFNA(index(PlayerValues!A:A,match(IFNA(vlookup(B4351,'Special Names'!A:B,2,FALSE),B4351),PlayerValues!E:E,0)),"N/A")</f>
        <v>16645</v>
      </c>
      <c r="B4351" s="4" t="s">
        <v>651</v>
      </c>
      <c r="C4351" s="4" t="s">
        <v>298</v>
      </c>
      <c r="D4351" s="94">
        <v>1833.0</v>
      </c>
    </row>
    <row r="4352">
      <c r="A4352" s="40">
        <f t="array" ref="A4352">IFNA(index(PlayerValues!A:A,match(IFNA(vlookup(B4352,'Special Names'!A:B,2,FALSE),B4352),PlayerValues!E:E,0)),"N/A")</f>
        <v>13146</v>
      </c>
      <c r="B4352" s="4" t="s">
        <v>652</v>
      </c>
      <c r="C4352" s="4" t="s">
        <v>278</v>
      </c>
      <c r="D4352" s="94">
        <v>1460.0</v>
      </c>
    </row>
    <row r="4353">
      <c r="A4353" s="40">
        <f t="array" ref="A4353">IFNA(index(PlayerValues!A:A,match(IFNA(vlookup(B4353,'Special Names'!A:B,2,FALSE),B4353),PlayerValues!E:E,0)),"N/A")</f>
        <v>17234</v>
      </c>
      <c r="B4353" s="4" t="s">
        <v>653</v>
      </c>
      <c r="C4353" s="4" t="s">
        <v>287</v>
      </c>
      <c r="D4353" s="94">
        <v>1450.0</v>
      </c>
    </row>
    <row r="4354">
      <c r="A4354" s="40">
        <f t="array" ref="A4354">IFNA(index(PlayerValues!A:A,match(IFNA(vlookup(B4354,'Special Names'!A:B,2,FALSE),B4354),PlayerValues!E:E,0)),"N/A")</f>
        <v>16175</v>
      </c>
      <c r="B4354" s="4" t="s">
        <v>654</v>
      </c>
      <c r="C4354" s="4" t="s">
        <v>278</v>
      </c>
      <c r="D4354" s="94">
        <v>1447.0</v>
      </c>
    </row>
    <row r="4355">
      <c r="A4355" s="40">
        <f t="array" ref="A4355">IFNA(index(PlayerValues!A:A,match(IFNA(vlookup(B4355,'Special Names'!A:B,2,FALSE),B4355),PlayerValues!E:E,0)),"N/A")</f>
        <v>15337</v>
      </c>
      <c r="B4355" s="4" t="s">
        <v>655</v>
      </c>
      <c r="C4355" s="4" t="s">
        <v>298</v>
      </c>
      <c r="D4355" s="94">
        <v>1800.0</v>
      </c>
    </row>
    <row r="4356">
      <c r="A4356" s="40">
        <f t="array" ref="A4356">IFNA(index(PlayerValues!A:A,match(IFNA(vlookup(B4356,'Special Names'!A:B,2,FALSE),B4356),PlayerValues!E:E,0)),"N/A")</f>
        <v>16633</v>
      </c>
      <c r="B4356" s="4" t="s">
        <v>656</v>
      </c>
      <c r="C4356" s="4" t="s">
        <v>287</v>
      </c>
      <c r="D4356" s="94">
        <v>1430.0</v>
      </c>
    </row>
    <row r="4357">
      <c r="A4357" s="40">
        <f t="array" ref="A4357">IFNA(index(PlayerValues!A:A,match(IFNA(vlookup(B4357,'Special Names'!A:B,2,FALSE),B4357),PlayerValues!E:E,0)),"N/A")</f>
        <v>15301</v>
      </c>
      <c r="B4357" s="4" t="s">
        <v>657</v>
      </c>
      <c r="C4357" s="4" t="s">
        <v>287</v>
      </c>
      <c r="D4357" s="94">
        <v>1412.0</v>
      </c>
    </row>
    <row r="4358">
      <c r="A4358" s="40">
        <f t="array" ref="A4358">IFNA(index(PlayerValues!A:A,match(IFNA(vlookup(B4358,'Special Names'!A:B,2,FALSE),B4358),PlayerValues!E:E,0)),"N/A")</f>
        <v>16586</v>
      </c>
      <c r="B4358" s="4" t="s">
        <v>658</v>
      </c>
      <c r="C4358" s="4" t="s">
        <v>283</v>
      </c>
      <c r="D4358" s="94">
        <v>1401.0</v>
      </c>
    </row>
    <row r="4359">
      <c r="A4359" s="40">
        <f t="array" ref="A4359">IFNA(index(PlayerValues!A:A,match(IFNA(vlookup(B4359,'Special Names'!A:B,2,FALSE),B4359),PlayerValues!E:E,0)),"N/A")</f>
        <v>17097</v>
      </c>
      <c r="B4359" s="4" t="s">
        <v>659</v>
      </c>
      <c r="C4359" s="4" t="s">
        <v>287</v>
      </c>
      <c r="D4359" s="94">
        <v>1401.0</v>
      </c>
    </row>
    <row r="4360">
      <c r="A4360" s="40">
        <f t="array" ref="A4360">IFNA(index(PlayerValues!A:A,match(IFNA(vlookup(B4360,'Special Names'!A:B,2,FALSE),B4360),PlayerValues!E:E,0)),"N/A")</f>
        <v>17743</v>
      </c>
      <c r="B4360" s="4" t="s">
        <v>660</v>
      </c>
      <c r="C4360" s="4" t="s">
        <v>283</v>
      </c>
      <c r="D4360" s="94">
        <v>1398.0</v>
      </c>
    </row>
    <row r="4361">
      <c r="A4361" s="40">
        <f t="array" ref="A4361">IFNA(index(PlayerValues!A:A,match(IFNA(vlookup(B4361,'Special Names'!A:B,2,FALSE),B4361),PlayerValues!E:E,0)),"N/A")</f>
        <v>17510</v>
      </c>
      <c r="B4361" s="4" t="s">
        <v>661</v>
      </c>
      <c r="C4361" s="4" t="s">
        <v>287</v>
      </c>
      <c r="D4361" s="94">
        <v>1395.0</v>
      </c>
    </row>
    <row r="4362">
      <c r="A4362" s="40">
        <f t="array" ref="A4362">IFNA(index(PlayerValues!A:A,match(IFNA(vlookup(B4362,'Special Names'!A:B,2,FALSE),B4362),PlayerValues!E:E,0)),"N/A")</f>
        <v>15759</v>
      </c>
      <c r="B4362" s="4" t="s">
        <v>662</v>
      </c>
      <c r="C4362" s="4" t="s">
        <v>287</v>
      </c>
      <c r="D4362" s="94">
        <v>1389.0</v>
      </c>
    </row>
    <row r="4363">
      <c r="A4363" s="40">
        <f t="array" ref="A4363">IFNA(index(PlayerValues!A:A,match(IFNA(vlookup(B4363,'Special Names'!A:B,2,FALSE),B4363),PlayerValues!E:E,0)),"N/A")</f>
        <v>14122</v>
      </c>
      <c r="B4363" s="4" t="s">
        <v>663</v>
      </c>
      <c r="C4363" s="4" t="s">
        <v>287</v>
      </c>
      <c r="D4363" s="94">
        <v>1384.0</v>
      </c>
    </row>
    <row r="4364">
      <c r="A4364" s="40">
        <f t="array" ref="A4364">IFNA(index(PlayerValues!A:A,match(IFNA(vlookup(B4364,'Special Names'!A:B,2,FALSE),B4364),PlayerValues!E:E,0)),"N/A")</f>
        <v>16595</v>
      </c>
      <c r="B4364" s="4" t="s">
        <v>664</v>
      </c>
      <c r="C4364" s="4" t="s">
        <v>278</v>
      </c>
      <c r="D4364" s="94">
        <v>1383.0</v>
      </c>
    </row>
    <row r="4365">
      <c r="A4365" s="40">
        <f t="array" ref="A4365">IFNA(index(PlayerValues!A:A,match(IFNA(vlookup(B4365,'Special Names'!A:B,2,FALSE),B4365),PlayerValues!E:E,0)),"N/A")</f>
        <v>17205</v>
      </c>
      <c r="B4365" s="4" t="s">
        <v>665</v>
      </c>
      <c r="C4365" s="4" t="s">
        <v>287</v>
      </c>
      <c r="D4365" s="94">
        <v>1380.0</v>
      </c>
    </row>
    <row r="4366">
      <c r="A4366" s="40" t="str">
        <f t="array" ref="A4366">IFNA(index(PlayerValues!A:A,match(IFNA(vlookup(B4366,'Special Names'!A:B,2,FALSE),B4366),PlayerValues!E:E,0)),"N/A")</f>
        <v>N/A</v>
      </c>
      <c r="B4366" s="4" t="s">
        <v>117</v>
      </c>
      <c r="C4366" s="4" t="s">
        <v>325</v>
      </c>
      <c r="D4366" s="94">
        <v>1376.0</v>
      </c>
    </row>
    <row r="4367">
      <c r="A4367" s="40">
        <f t="array" ref="A4367">IFNA(index(PlayerValues!A:A,match(IFNA(vlookup(B4367,'Special Names'!A:B,2,FALSE),B4367),PlayerValues!E:E,0)),"N/A")</f>
        <v>16191</v>
      </c>
      <c r="B4367" s="4" t="s">
        <v>666</v>
      </c>
      <c r="C4367" s="4" t="s">
        <v>287</v>
      </c>
      <c r="D4367" s="94">
        <v>1355.0</v>
      </c>
    </row>
    <row r="4368">
      <c r="A4368" s="40">
        <f t="array" ref="A4368">IFNA(index(PlayerValues!A:A,match(IFNA(vlookup(B4368,'Special Names'!A:B,2,FALSE),B4368),PlayerValues!E:E,0)),"N/A")</f>
        <v>13672</v>
      </c>
      <c r="B4368" s="4" t="s">
        <v>667</v>
      </c>
      <c r="C4368" s="4" t="s">
        <v>298</v>
      </c>
      <c r="D4368" s="94">
        <v>1709.0</v>
      </c>
    </row>
    <row r="4369">
      <c r="A4369" s="40">
        <f t="array" ref="A4369">IFNA(index(PlayerValues!A:A,match(IFNA(vlookup(B4369,'Special Names'!A:B,2,FALSE),B4369),PlayerValues!E:E,0)),"N/A")</f>
        <v>17353</v>
      </c>
      <c r="B4369" s="4" t="s">
        <v>668</v>
      </c>
      <c r="C4369" s="4" t="s">
        <v>287</v>
      </c>
      <c r="D4369" s="94">
        <v>1341.0</v>
      </c>
    </row>
    <row r="4370">
      <c r="A4370" s="40">
        <f t="array" ref="A4370">IFNA(index(PlayerValues!A:A,match(IFNA(vlookup(B4370,'Special Names'!A:B,2,FALSE),B4370),PlayerValues!E:E,0)),"N/A")</f>
        <v>15795</v>
      </c>
      <c r="B4370" s="4" t="s">
        <v>669</v>
      </c>
      <c r="C4370" s="4" t="s">
        <v>298</v>
      </c>
      <c r="D4370" s="94">
        <v>1698.0</v>
      </c>
    </row>
    <row r="4371">
      <c r="A4371" s="40">
        <f t="array" ref="A4371">IFNA(index(PlayerValues!A:A,match(IFNA(vlookup(B4371,'Special Names'!A:B,2,FALSE),B4371),PlayerValues!E:E,0)),"N/A")</f>
        <v>17054</v>
      </c>
      <c r="B4371" s="4" t="s">
        <v>670</v>
      </c>
      <c r="C4371" s="4" t="s">
        <v>278</v>
      </c>
      <c r="D4371" s="94">
        <v>1323.0</v>
      </c>
    </row>
    <row r="4372">
      <c r="A4372" s="40">
        <f t="array" ref="A4372">IFNA(index(PlayerValues!A:A,match(IFNA(vlookup(B4372,'Special Names'!A:B,2,FALSE),B4372),PlayerValues!E:E,0)),"N/A")</f>
        <v>17546</v>
      </c>
      <c r="B4372" s="4" t="s">
        <v>671</v>
      </c>
      <c r="C4372" s="4" t="s">
        <v>298</v>
      </c>
      <c r="D4372" s="94">
        <v>1669.0</v>
      </c>
    </row>
    <row r="4373">
      <c r="A4373" s="40">
        <f t="array" ref="A4373">IFNA(index(PlayerValues!A:A,match(IFNA(vlookup(B4373,'Special Names'!A:B,2,FALSE),B4373),PlayerValues!E:E,0)),"N/A")</f>
        <v>16621</v>
      </c>
      <c r="B4373" s="4" t="s">
        <v>672</v>
      </c>
      <c r="C4373" s="4" t="s">
        <v>287</v>
      </c>
      <c r="D4373" s="94">
        <v>1294.0</v>
      </c>
    </row>
    <row r="4374">
      <c r="A4374" s="40">
        <f t="array" ref="A4374">IFNA(index(PlayerValues!A:A,match(IFNA(vlookup(B4374,'Special Names'!A:B,2,FALSE),B4374),PlayerValues!E:E,0)),"N/A")</f>
        <v>14108</v>
      </c>
      <c r="B4374" s="4" t="s">
        <v>673</v>
      </c>
      <c r="C4374" s="4" t="s">
        <v>287</v>
      </c>
      <c r="D4374" s="94">
        <v>1289.0</v>
      </c>
    </row>
    <row r="4375">
      <c r="A4375" s="40">
        <f t="array" ref="A4375">IFNA(index(PlayerValues!A:A,match(IFNA(vlookup(B4375,'Special Names'!A:B,2,FALSE),B4375),PlayerValues!E:E,0)),"N/A")</f>
        <v>17593</v>
      </c>
      <c r="B4375" s="4" t="s">
        <v>674</v>
      </c>
      <c r="C4375" s="4" t="s">
        <v>298</v>
      </c>
      <c r="D4375" s="94">
        <v>1654.0</v>
      </c>
    </row>
    <row r="4376">
      <c r="A4376" s="40">
        <f t="array" ref="A4376">IFNA(index(PlayerValues!A:A,match(IFNA(vlookup(B4376,'Special Names'!A:B,2,FALSE),B4376),PlayerValues!E:E,0)),"N/A")</f>
        <v>14105</v>
      </c>
      <c r="B4376" s="4" t="s">
        <v>675</v>
      </c>
      <c r="C4376" s="4" t="s">
        <v>287</v>
      </c>
      <c r="D4376" s="94">
        <v>1283.0</v>
      </c>
    </row>
    <row r="4377">
      <c r="A4377" s="40">
        <f t="array" ref="A4377">IFNA(index(PlayerValues!A:A,match(IFNA(vlookup(B4377,'Special Names'!A:B,2,FALSE),B4377),PlayerValues!E:E,0)),"N/A")</f>
        <v>14137</v>
      </c>
      <c r="B4377" s="4" t="s">
        <v>676</v>
      </c>
      <c r="C4377" s="4" t="s">
        <v>298</v>
      </c>
      <c r="D4377" s="94">
        <v>1639.0</v>
      </c>
    </row>
    <row r="4378">
      <c r="A4378" s="40">
        <f t="array" ref="A4378">IFNA(index(PlayerValues!A:A,match(IFNA(vlookup(B4378,'Special Names'!A:B,2,FALSE),B4378),PlayerValues!E:E,0)),"N/A")</f>
        <v>17192</v>
      </c>
      <c r="B4378" s="4" t="s">
        <v>677</v>
      </c>
      <c r="C4378" s="4" t="s">
        <v>287</v>
      </c>
      <c r="D4378" s="94">
        <v>1273.0</v>
      </c>
    </row>
    <row r="4379">
      <c r="A4379" s="40">
        <f t="array" ref="A4379">IFNA(index(PlayerValues!A:A,match(IFNA(vlookup(B4379,'Special Names'!A:B,2,FALSE),B4379),PlayerValues!E:E,0)),"N/A")</f>
        <v>16183</v>
      </c>
      <c r="B4379" s="4" t="s">
        <v>678</v>
      </c>
      <c r="C4379" s="4" t="s">
        <v>287</v>
      </c>
      <c r="D4379" s="94">
        <v>1268.0</v>
      </c>
    </row>
    <row r="4380">
      <c r="A4380" s="40">
        <f t="array" ref="A4380">IFNA(index(PlayerValues!A:A,match(IFNA(vlookup(B4380,'Special Names'!A:B,2,FALSE),B4380),PlayerValues!E:E,0)),"N/A")</f>
        <v>17254</v>
      </c>
      <c r="B4380" s="4" t="s">
        <v>679</v>
      </c>
      <c r="C4380" s="4" t="s">
        <v>287</v>
      </c>
      <c r="D4380" s="94">
        <v>1268.0</v>
      </c>
    </row>
    <row r="4381">
      <c r="A4381" s="40">
        <f t="array" ref="A4381">IFNA(index(PlayerValues!A:A,match(IFNA(vlookup(B4381,'Special Names'!A:B,2,FALSE),B4381),PlayerValues!E:E,0)),"N/A")</f>
        <v>14095</v>
      </c>
      <c r="B4381" s="4" t="s">
        <v>680</v>
      </c>
      <c r="C4381" s="4" t="s">
        <v>278</v>
      </c>
      <c r="D4381" s="94">
        <v>1267.0</v>
      </c>
    </row>
    <row r="4382">
      <c r="A4382" s="40">
        <f t="array" ref="A4382">IFNA(index(PlayerValues!A:A,match(IFNA(vlookup(B4382,'Special Names'!A:B,2,FALSE),B4382),PlayerValues!E:E,0)),"N/A")</f>
        <v>15873</v>
      </c>
      <c r="B4382" s="4" t="s">
        <v>681</v>
      </c>
      <c r="C4382" s="4" t="s">
        <v>298</v>
      </c>
      <c r="D4382" s="94">
        <v>1635.0</v>
      </c>
    </row>
    <row r="4383">
      <c r="A4383" s="40">
        <f t="array" ref="A4383">IFNA(index(PlayerValues!A:A,match(IFNA(vlookup(B4383,'Special Names'!A:B,2,FALSE),B4383),PlayerValues!E:E,0)),"N/A")</f>
        <v>15292</v>
      </c>
      <c r="B4383" s="4" t="s">
        <v>682</v>
      </c>
      <c r="C4383" s="4" t="s">
        <v>287</v>
      </c>
      <c r="D4383" s="94">
        <v>1261.0</v>
      </c>
    </row>
    <row r="4384">
      <c r="A4384" s="40">
        <f t="array" ref="A4384">IFNA(index(PlayerValues!A:A,match(IFNA(vlookup(B4384,'Special Names'!A:B,2,FALSE),B4384),PlayerValues!E:E,0)),"N/A")</f>
        <v>16883</v>
      </c>
      <c r="B4384" s="4" t="s">
        <v>683</v>
      </c>
      <c r="C4384" s="4" t="s">
        <v>287</v>
      </c>
      <c r="D4384" s="94">
        <v>1259.0</v>
      </c>
    </row>
    <row r="4385">
      <c r="A4385" s="40">
        <f t="array" ref="A4385">IFNA(index(PlayerValues!A:A,match(IFNA(vlookup(B4385,'Special Names'!A:B,2,FALSE),B4385),PlayerValues!E:E,0)),"N/A")</f>
        <v>17627</v>
      </c>
      <c r="B4385" s="4" t="s">
        <v>684</v>
      </c>
      <c r="C4385" s="4" t="s">
        <v>298</v>
      </c>
      <c r="D4385" s="94">
        <v>1618.0</v>
      </c>
    </row>
    <row r="4386">
      <c r="A4386" s="40">
        <f t="array" ref="A4386">IFNA(index(PlayerValues!A:A,match(IFNA(vlookup(B4386,'Special Names'!A:B,2,FALSE),B4386),PlayerValues!E:E,0)),"N/A")</f>
        <v>17542</v>
      </c>
      <c r="B4386" s="4" t="s">
        <v>685</v>
      </c>
      <c r="C4386" s="4" t="s">
        <v>287</v>
      </c>
      <c r="D4386" s="94">
        <v>1247.0</v>
      </c>
    </row>
    <row r="4387">
      <c r="A4387" s="40">
        <f t="array" ref="A4387">IFNA(index(PlayerValues!A:A,match(IFNA(vlookup(B4387,'Special Names'!A:B,2,FALSE),B4387),PlayerValues!E:E,0)),"N/A")</f>
        <v>17063</v>
      </c>
      <c r="B4387" s="4" t="s">
        <v>686</v>
      </c>
      <c r="C4387" s="4" t="s">
        <v>278</v>
      </c>
      <c r="D4387" s="94">
        <v>1245.0</v>
      </c>
    </row>
    <row r="4388">
      <c r="A4388" s="40">
        <f t="array" ref="A4388">IFNA(index(PlayerValues!A:A,match(IFNA(vlookup(B4388,'Special Names'!A:B,2,FALSE),B4388),PlayerValues!E:E,0)),"N/A")</f>
        <v>16199</v>
      </c>
      <c r="B4388" s="4" t="s">
        <v>687</v>
      </c>
      <c r="C4388" s="4" t="s">
        <v>287</v>
      </c>
      <c r="D4388" s="94">
        <v>1245.0</v>
      </c>
    </row>
    <row r="4389">
      <c r="A4389" s="40">
        <f t="array" ref="A4389">IFNA(index(PlayerValues!A:A,match(IFNA(vlookup(B4389,'Special Names'!A:B,2,FALSE),B4389),PlayerValues!E:E,0)),"N/A")</f>
        <v>16688</v>
      </c>
      <c r="B4389" s="4" t="s">
        <v>688</v>
      </c>
      <c r="C4389" s="4" t="s">
        <v>278</v>
      </c>
      <c r="D4389" s="94">
        <v>1241.0</v>
      </c>
    </row>
    <row r="4390">
      <c r="A4390" s="40">
        <f t="array" ref="A4390">IFNA(index(PlayerValues!A:A,match(IFNA(vlookup(B4390,'Special Names'!A:B,2,FALSE),B4390),PlayerValues!E:E,0)),"N/A")</f>
        <v>16390</v>
      </c>
      <c r="B4390" s="4" t="s">
        <v>689</v>
      </c>
      <c r="C4390" s="4" t="s">
        <v>278</v>
      </c>
      <c r="D4390" s="94">
        <v>1239.0</v>
      </c>
    </row>
    <row r="4391">
      <c r="A4391" s="40">
        <f t="array" ref="A4391">IFNA(index(PlayerValues!A:A,match(IFNA(vlookup(B4391,'Special Names'!A:B,2,FALSE),B4391),PlayerValues!E:E,0)),"N/A")</f>
        <v>16385</v>
      </c>
      <c r="B4391" s="4" t="s">
        <v>690</v>
      </c>
      <c r="C4391" s="4" t="s">
        <v>278</v>
      </c>
      <c r="D4391" s="94">
        <v>1233.0</v>
      </c>
    </row>
    <row r="4392">
      <c r="A4392" s="40">
        <f t="array" ref="A4392">IFNA(index(PlayerValues!A:A,match(IFNA(vlookup(B4392,'Special Names'!A:B,2,FALSE),B4392),PlayerValues!E:E,0)),"N/A")</f>
        <v>16642</v>
      </c>
      <c r="B4392" s="4" t="s">
        <v>691</v>
      </c>
      <c r="C4392" s="4" t="s">
        <v>298</v>
      </c>
      <c r="D4392" s="94">
        <v>1597.0</v>
      </c>
    </row>
    <row r="4393">
      <c r="A4393" s="40">
        <f t="array" ref="A4393">IFNA(index(PlayerValues!A:A,match(IFNA(vlookup(B4393,'Special Names'!A:B,2,FALSE),B4393),PlayerValues!E:E,0)),"N/A")</f>
        <v>17487</v>
      </c>
      <c r="B4393" s="4" t="s">
        <v>692</v>
      </c>
      <c r="C4393" s="4" t="s">
        <v>278</v>
      </c>
      <c r="D4393" s="94">
        <v>1220.0</v>
      </c>
    </row>
    <row r="4394">
      <c r="A4394" s="40">
        <f t="array" ref="A4394">IFNA(index(PlayerValues!A:A,match(IFNA(vlookup(B4394,'Special Names'!A:B,2,FALSE),B4394),PlayerValues!E:E,0)),"N/A")</f>
        <v>17504</v>
      </c>
      <c r="B4394" s="4" t="s">
        <v>693</v>
      </c>
      <c r="C4394" s="4" t="s">
        <v>287</v>
      </c>
      <c r="D4394" s="94">
        <v>1218.0</v>
      </c>
    </row>
    <row r="4395">
      <c r="A4395" s="40">
        <f t="array" ref="A4395">IFNA(index(PlayerValues!A:A,match(IFNA(vlookup(B4395,'Special Names'!A:B,2,FALSE),B4395),PlayerValues!E:E,0)),"N/A")</f>
        <v>15777</v>
      </c>
      <c r="B4395" s="4" t="s">
        <v>694</v>
      </c>
      <c r="C4395" s="4" t="s">
        <v>287</v>
      </c>
      <c r="D4395" s="94">
        <v>1216.0</v>
      </c>
    </row>
    <row r="4396">
      <c r="A4396" s="40">
        <f t="array" ref="A4396">IFNA(index(PlayerValues!A:A,match(IFNA(vlookup(B4396,'Special Names'!A:B,2,FALSE),B4396),PlayerValues!E:E,0)),"N/A")</f>
        <v>17486</v>
      </c>
      <c r="B4396" s="4" t="s">
        <v>695</v>
      </c>
      <c r="C4396" s="4" t="s">
        <v>278</v>
      </c>
      <c r="D4396" s="94">
        <v>1213.0</v>
      </c>
    </row>
    <row r="4397">
      <c r="A4397" s="40">
        <f t="array" ref="A4397">IFNA(index(PlayerValues!A:A,match(IFNA(vlookup(B4397,'Special Names'!A:B,2,FALSE),B4397),PlayerValues!E:E,0)),"N/A")</f>
        <v>16384</v>
      </c>
      <c r="B4397" s="4" t="s">
        <v>696</v>
      </c>
      <c r="C4397" s="4" t="s">
        <v>283</v>
      </c>
      <c r="D4397" s="94">
        <v>1210.0</v>
      </c>
    </row>
    <row r="4398">
      <c r="A4398" s="40">
        <f t="array" ref="A4398">IFNA(index(PlayerValues!A:A,match(IFNA(vlookup(B4398,'Special Names'!A:B,2,FALSE),B4398),PlayerValues!E:E,0)),"N/A")</f>
        <v>12263</v>
      </c>
      <c r="B4398" s="4" t="s">
        <v>697</v>
      </c>
      <c r="C4398" s="4" t="s">
        <v>298</v>
      </c>
      <c r="D4398" s="94">
        <v>1577.0</v>
      </c>
    </row>
    <row r="4399">
      <c r="A4399" s="40">
        <f t="array" ref="A4399">IFNA(index(PlayerValues!A:A,match(IFNA(vlookup(B4399,'Special Names'!A:B,2,FALSE),B4399),PlayerValues!E:E,0)),"N/A")</f>
        <v>15332</v>
      </c>
      <c r="B4399" s="4" t="s">
        <v>698</v>
      </c>
      <c r="C4399" s="4" t="s">
        <v>298</v>
      </c>
      <c r="D4399" s="94">
        <v>1575.0</v>
      </c>
    </row>
    <row r="4400">
      <c r="A4400" s="40">
        <f t="array" ref="A4400">IFNA(index(PlayerValues!A:A,match(IFNA(vlookup(B4400,'Special Names'!A:B,2,FALSE),B4400),PlayerValues!E:E,0)),"N/A")</f>
        <v>16636</v>
      </c>
      <c r="B4400" s="4" t="s">
        <v>699</v>
      </c>
      <c r="C4400" s="4" t="s">
        <v>287</v>
      </c>
      <c r="D4400" s="94">
        <v>1205.0</v>
      </c>
    </row>
    <row r="4401">
      <c r="A4401" s="40">
        <f t="array" ref="A4401">IFNA(index(PlayerValues!A:A,match(IFNA(vlookup(B4401,'Special Names'!A:B,2,FALSE),B4401),PlayerValues!E:E,0)),"N/A")</f>
        <v>15288</v>
      </c>
      <c r="B4401" s="4" t="s">
        <v>700</v>
      </c>
      <c r="C4401" s="4" t="s">
        <v>287</v>
      </c>
      <c r="D4401" s="94">
        <v>1197.0</v>
      </c>
    </row>
    <row r="4402">
      <c r="A4402" s="40">
        <f t="array" ref="A4402">IFNA(index(PlayerValues!A:A,match(IFNA(vlookup(B4402,'Special Names'!A:B,2,FALSE),B4402),PlayerValues!E:E,0)),"N/A")</f>
        <v>17062</v>
      </c>
      <c r="B4402" s="4" t="s">
        <v>701</v>
      </c>
      <c r="C4402" s="4" t="s">
        <v>278</v>
      </c>
      <c r="D4402" s="94">
        <v>1188.0</v>
      </c>
    </row>
    <row r="4403">
      <c r="A4403" s="40">
        <f t="array" ref="A4403">IFNA(index(PlayerValues!A:A,match(IFNA(vlookup(B4403,'Special Names'!A:B,2,FALSE),B4403),PlayerValues!E:E,0)),"N/A")</f>
        <v>12140</v>
      </c>
      <c r="B4403" s="4" t="s">
        <v>702</v>
      </c>
      <c r="C4403" s="4" t="s">
        <v>283</v>
      </c>
      <c r="D4403" s="94">
        <v>1182.0</v>
      </c>
    </row>
    <row r="4404">
      <c r="A4404" s="40">
        <f t="array" ref="A4404">IFNA(index(PlayerValues!A:A,match(IFNA(vlookup(B4404,'Special Names'!A:B,2,FALSE),B4404),PlayerValues!E:E,0)),"N/A")</f>
        <v>12678</v>
      </c>
      <c r="B4404" s="4" t="s">
        <v>703</v>
      </c>
      <c r="C4404" s="4" t="s">
        <v>298</v>
      </c>
      <c r="D4404" s="94">
        <v>1550.0</v>
      </c>
    </row>
    <row r="4405">
      <c r="A4405" s="40">
        <f t="array" ref="A4405">IFNA(index(PlayerValues!A:A,match(IFNA(vlookup(B4405,'Special Names'!A:B,2,FALSE),B4405),PlayerValues!E:E,0)),"N/A")</f>
        <v>16792</v>
      </c>
      <c r="B4405" s="4" t="s">
        <v>704</v>
      </c>
      <c r="C4405" s="4" t="s">
        <v>287</v>
      </c>
      <c r="D4405" s="94">
        <v>1167.0</v>
      </c>
    </row>
    <row r="4406">
      <c r="A4406" s="40">
        <f t="array" ref="A4406">IFNA(index(PlayerValues!A:A,match(IFNA(vlookup(B4406,'Special Names'!A:B,2,FALSE),B4406),PlayerValues!E:E,0)),"N/A")</f>
        <v>14592</v>
      </c>
      <c r="B4406" s="4" t="s">
        <v>705</v>
      </c>
      <c r="C4406" s="4" t="s">
        <v>287</v>
      </c>
      <c r="D4406" s="94">
        <v>1160.0</v>
      </c>
    </row>
    <row r="4407">
      <c r="A4407" s="40">
        <f t="array" ref="A4407">IFNA(index(PlayerValues!A:A,match(IFNA(vlookup(B4407,'Special Names'!A:B,2,FALSE),B4407),PlayerValues!E:E,0)),"N/A")</f>
        <v>13418</v>
      </c>
      <c r="B4407" s="4" t="s">
        <v>706</v>
      </c>
      <c r="C4407" s="4" t="s">
        <v>287</v>
      </c>
      <c r="D4407" s="94">
        <v>1154.0</v>
      </c>
    </row>
    <row r="4408">
      <c r="A4408" s="40">
        <f t="array" ref="A4408">IFNA(index(PlayerValues!A:A,match(IFNA(vlookup(B4408,'Special Names'!A:B,2,FALSE),B4408),PlayerValues!E:E,0)),"N/A")</f>
        <v>17109</v>
      </c>
      <c r="B4408" s="4" t="s">
        <v>707</v>
      </c>
      <c r="C4408" s="4" t="s">
        <v>298</v>
      </c>
      <c r="D4408" s="94">
        <v>1517.0</v>
      </c>
    </row>
    <row r="4409">
      <c r="A4409" s="40">
        <f t="array" ref="A4409">IFNA(index(PlayerValues!A:A,match(IFNA(vlookup(B4409,'Special Names'!A:B,2,FALSE),B4409),PlayerValues!E:E,0)),"N/A")</f>
        <v>17057</v>
      </c>
      <c r="B4409" s="4" t="s">
        <v>708</v>
      </c>
      <c r="C4409" s="4" t="s">
        <v>278</v>
      </c>
      <c r="D4409" s="94">
        <v>1144.0</v>
      </c>
    </row>
    <row r="4410">
      <c r="A4410" s="40">
        <f t="array" ref="A4410">IFNA(index(PlayerValues!A:A,match(IFNA(vlookup(B4410,'Special Names'!A:B,2,FALSE),B4410),PlayerValues!E:E,0)),"N/A")</f>
        <v>16746</v>
      </c>
      <c r="B4410" s="4" t="s">
        <v>709</v>
      </c>
      <c r="C4410" s="4" t="s">
        <v>278</v>
      </c>
      <c r="D4410" s="94">
        <v>1140.0</v>
      </c>
    </row>
    <row r="4411">
      <c r="A4411" s="40">
        <f t="array" ref="A4411">IFNA(index(PlayerValues!A:A,match(IFNA(vlookup(B4411,'Special Names'!A:B,2,FALSE),B4411),PlayerValues!E:E,0)),"N/A")</f>
        <v>17644</v>
      </c>
      <c r="B4411" s="4" t="s">
        <v>710</v>
      </c>
      <c r="C4411" s="4" t="s">
        <v>298</v>
      </c>
      <c r="D4411" s="94">
        <v>1501.0</v>
      </c>
    </row>
    <row r="4412">
      <c r="A4412" s="40">
        <f t="array" ref="A4412">IFNA(index(PlayerValues!A:A,match(IFNA(vlookup(B4412,'Special Names'!A:B,2,FALSE),B4412),PlayerValues!E:E,0)),"N/A")</f>
        <v>16333</v>
      </c>
      <c r="B4412" s="4" t="s">
        <v>711</v>
      </c>
      <c r="C4412" s="4" t="s">
        <v>298</v>
      </c>
      <c r="D4412" s="94">
        <v>1498.0</v>
      </c>
    </row>
    <row r="4413">
      <c r="A4413" s="40">
        <f t="array" ref="A4413">IFNA(index(PlayerValues!A:A,match(IFNA(vlookup(B4413,'Special Names'!A:B,2,FALSE),B4413),PlayerValues!E:E,0)),"N/A")</f>
        <v>16640</v>
      </c>
      <c r="B4413" s="4" t="s">
        <v>712</v>
      </c>
      <c r="C4413" s="4" t="s">
        <v>287</v>
      </c>
      <c r="D4413" s="94">
        <v>1127.0</v>
      </c>
    </row>
    <row r="4414">
      <c r="A4414" s="40">
        <f t="array" ref="A4414">IFNA(index(PlayerValues!A:A,match(IFNA(vlookup(B4414,'Special Names'!A:B,2,FALSE),B4414),PlayerValues!E:E,0)),"N/A")</f>
        <v>17050</v>
      </c>
      <c r="B4414" s="4" t="s">
        <v>713</v>
      </c>
      <c r="C4414" s="4" t="s">
        <v>278</v>
      </c>
      <c r="D4414" s="94">
        <v>1120.0</v>
      </c>
    </row>
    <row r="4415">
      <c r="A4415" s="40">
        <f t="array" ref="A4415">IFNA(index(PlayerValues!A:A,match(IFNA(vlookup(B4415,'Special Names'!A:B,2,FALSE),B4415),PlayerValues!E:E,0)),"N/A")</f>
        <v>17077</v>
      </c>
      <c r="B4415" s="4" t="s">
        <v>714</v>
      </c>
      <c r="C4415" s="4" t="s">
        <v>287</v>
      </c>
      <c r="D4415" s="94">
        <v>1117.0</v>
      </c>
    </row>
    <row r="4416">
      <c r="A4416" s="40">
        <f t="array" ref="A4416">IFNA(index(PlayerValues!A:A,match(IFNA(vlookup(B4416,'Special Names'!A:B,2,FALSE),B4416),PlayerValues!E:E,0)),"N/A")</f>
        <v>15252</v>
      </c>
      <c r="B4416" s="4" t="s">
        <v>715</v>
      </c>
      <c r="C4416" s="4" t="s">
        <v>283</v>
      </c>
      <c r="D4416" s="94">
        <v>1115.0</v>
      </c>
    </row>
    <row r="4417">
      <c r="A4417" s="40">
        <f t="array" ref="A4417">IFNA(index(PlayerValues!A:A,match(IFNA(vlookup(B4417,'Special Names'!A:B,2,FALSE),B4417),PlayerValues!E:E,0)),"N/A")</f>
        <v>14080</v>
      </c>
      <c r="B4417" s="4" t="s">
        <v>716</v>
      </c>
      <c r="C4417" s="4" t="s">
        <v>278</v>
      </c>
      <c r="D4417" s="94">
        <v>1110.0</v>
      </c>
    </row>
    <row r="4418">
      <c r="A4418" s="40">
        <f t="array" ref="A4418">IFNA(index(PlayerValues!A:A,match(IFNA(vlookup(B4418,'Special Names'!A:B,2,FALSE),B4418),PlayerValues!E:E,0)),"N/A")</f>
        <v>14845</v>
      </c>
      <c r="B4418" s="4" t="s">
        <v>717</v>
      </c>
      <c r="C4418" s="4" t="s">
        <v>287</v>
      </c>
      <c r="D4418" s="94">
        <v>1101.0</v>
      </c>
    </row>
    <row r="4419">
      <c r="A4419" s="40">
        <f t="array" ref="A4419">IFNA(index(PlayerValues!A:A,match(IFNA(vlookup(B4419,'Special Names'!A:B,2,FALSE),B4419),PlayerValues!E:E,0)),"N/A")</f>
        <v>17269</v>
      </c>
      <c r="B4419" s="4" t="s">
        <v>718</v>
      </c>
      <c r="C4419" s="4" t="s">
        <v>287</v>
      </c>
      <c r="D4419" s="94">
        <v>1093.0</v>
      </c>
    </row>
    <row r="4420">
      <c r="A4420" s="40">
        <f t="array" ref="A4420">IFNA(index(PlayerValues!A:A,match(IFNA(vlookup(B4420,'Special Names'!A:B,2,FALSE),B4420),PlayerValues!E:E,0)),"N/A")</f>
        <v>17545</v>
      </c>
      <c r="B4420" s="4" t="s">
        <v>719</v>
      </c>
      <c r="C4420" s="4" t="s">
        <v>298</v>
      </c>
      <c r="D4420" s="94">
        <v>1462.0</v>
      </c>
    </row>
    <row r="4421">
      <c r="A4421" s="40">
        <f t="array" ref="A4421">IFNA(index(PlayerValues!A:A,match(IFNA(vlookup(B4421,'Special Names'!A:B,2,FALSE),B4421),PlayerValues!E:E,0)),"N/A")</f>
        <v>17549</v>
      </c>
      <c r="B4421" s="4" t="s">
        <v>720</v>
      </c>
      <c r="C4421" s="4" t="s">
        <v>298</v>
      </c>
      <c r="D4421" s="94">
        <v>1455.0</v>
      </c>
    </row>
    <row r="4422">
      <c r="A4422" s="40">
        <f t="array" ref="A4422">IFNA(index(PlayerValues!A:A,match(IFNA(vlookup(B4422,'Special Names'!A:B,2,FALSE),B4422),PlayerValues!E:E,0)),"N/A")</f>
        <v>14789</v>
      </c>
      <c r="B4422" s="4" t="s">
        <v>721</v>
      </c>
      <c r="C4422" s="4" t="s">
        <v>283</v>
      </c>
      <c r="D4422" s="94">
        <v>1079.0</v>
      </c>
    </row>
    <row r="4423">
      <c r="A4423" s="40">
        <f t="array" ref="A4423">IFNA(index(PlayerValues!A:A,match(IFNA(vlookup(B4423,'Special Names'!A:B,2,FALSE),B4423),PlayerValues!E:E,0)),"N/A")</f>
        <v>12801</v>
      </c>
      <c r="B4423" s="4" t="s">
        <v>722</v>
      </c>
      <c r="C4423" s="4" t="s">
        <v>287</v>
      </c>
      <c r="D4423" s="94">
        <v>1072.0</v>
      </c>
    </row>
    <row r="4424">
      <c r="A4424" s="40">
        <f t="array" ref="A4424">IFNA(index(PlayerValues!A:A,match(IFNA(vlookup(B4424,'Special Names'!A:B,2,FALSE),B4424),PlayerValues!E:E,0)),"N/A")</f>
        <v>15702</v>
      </c>
      <c r="B4424" s="4" t="s">
        <v>723</v>
      </c>
      <c r="C4424" s="4" t="s">
        <v>283</v>
      </c>
      <c r="D4424" s="94">
        <v>1072.0</v>
      </c>
    </row>
    <row r="4425">
      <c r="A4425" s="40">
        <f t="array" ref="A4425">IFNA(index(PlayerValues!A:A,match(IFNA(vlookup(B4425,'Special Names'!A:B,2,FALSE),B4425),PlayerValues!E:E,0)),"N/A")</f>
        <v>15758</v>
      </c>
      <c r="B4425" s="4" t="s">
        <v>724</v>
      </c>
      <c r="C4425" s="4" t="s">
        <v>287</v>
      </c>
      <c r="D4425" s="94">
        <v>1071.0</v>
      </c>
    </row>
    <row r="4426">
      <c r="A4426" s="40">
        <f t="array" ref="A4426">IFNA(index(PlayerValues!A:A,match(IFNA(vlookup(B4426,'Special Names'!A:B,2,FALSE),B4426),PlayerValues!E:E,0)),"N/A")</f>
        <v>16221</v>
      </c>
      <c r="B4426" s="4" t="s">
        <v>725</v>
      </c>
      <c r="C4426" s="4" t="s">
        <v>298</v>
      </c>
      <c r="D4426" s="94">
        <v>1412.0</v>
      </c>
    </row>
    <row r="4427">
      <c r="A4427" s="40">
        <f t="array" ref="A4427">IFNA(index(PlayerValues!A:A,match(IFNA(vlookup(B4427,'Special Names'!A:B,2,FALSE),B4427),PlayerValues!E:E,0)),"N/A")</f>
        <v>16197</v>
      </c>
      <c r="B4427" s="4" t="s">
        <v>726</v>
      </c>
      <c r="C4427" s="4" t="s">
        <v>287</v>
      </c>
      <c r="D4427" s="94">
        <v>1038.0</v>
      </c>
    </row>
    <row r="4428">
      <c r="A4428" s="40">
        <f t="array" ref="A4428">IFNA(index(PlayerValues!A:A,match(IFNA(vlookup(B4428,'Special Names'!A:B,2,FALSE),B4428),PlayerValues!E:E,0)),"N/A")</f>
        <v>17037</v>
      </c>
      <c r="B4428" s="4" t="s">
        <v>727</v>
      </c>
      <c r="C4428" s="4" t="s">
        <v>283</v>
      </c>
      <c r="D4428" s="94">
        <v>1033.0</v>
      </c>
    </row>
    <row r="4429">
      <c r="A4429" s="40">
        <f t="array" ref="A4429">IFNA(index(PlayerValues!A:A,match(IFNA(vlookup(B4429,'Special Names'!A:B,2,FALSE),B4429),PlayerValues!E:E,0)),"N/A")</f>
        <v>15109</v>
      </c>
      <c r="B4429" s="4" t="s">
        <v>728</v>
      </c>
      <c r="C4429" s="4" t="s">
        <v>287</v>
      </c>
      <c r="D4429" s="94">
        <v>1023.0</v>
      </c>
    </row>
    <row r="4430">
      <c r="A4430" s="40">
        <f t="array" ref="A4430">IFNA(index(PlayerValues!A:A,match(IFNA(vlookup(B4430,'Special Names'!A:B,2,FALSE),B4430),PlayerValues!E:E,0)),"N/A")</f>
        <v>15981</v>
      </c>
      <c r="B4430" s="4" t="s">
        <v>729</v>
      </c>
      <c r="C4430" s="4" t="s">
        <v>287</v>
      </c>
      <c r="D4430" s="94">
        <v>1015.0</v>
      </c>
    </row>
    <row r="4431">
      <c r="A4431" s="40">
        <f t="array" ref="A4431">IFNA(index(PlayerValues!A:A,match(IFNA(vlookup(B4431,'Special Names'!A:B,2,FALSE),B4431),PlayerValues!E:E,0)),"N/A")</f>
        <v>15727</v>
      </c>
      <c r="B4431" s="4" t="s">
        <v>730</v>
      </c>
      <c r="C4431" s="4" t="s">
        <v>278</v>
      </c>
      <c r="D4431" s="94">
        <v>1013.0</v>
      </c>
    </row>
    <row r="4432">
      <c r="A4432" s="40">
        <f t="array" ref="A4432">IFNA(index(PlayerValues!A:A,match(IFNA(vlookup(B4432,'Special Names'!A:B,2,FALSE),B4432),PlayerValues!E:E,0)),"N/A")</f>
        <v>14840</v>
      </c>
      <c r="B4432" s="4" t="s">
        <v>731</v>
      </c>
      <c r="C4432" s="4" t="s">
        <v>287</v>
      </c>
      <c r="D4432" s="94">
        <v>1008.0</v>
      </c>
    </row>
    <row r="4433">
      <c r="A4433" s="40">
        <f t="array" ref="A4433">IFNA(index(PlayerValues!A:A,match(IFNA(vlookup(B4433,'Special Names'!A:B,2,FALSE),B4433),PlayerValues!E:E,0)),"N/A")</f>
        <v>15713</v>
      </c>
      <c r="B4433" s="4" t="s">
        <v>732</v>
      </c>
      <c r="C4433" s="4" t="s">
        <v>278</v>
      </c>
      <c r="D4433" s="94">
        <v>999.0</v>
      </c>
    </row>
    <row r="4434">
      <c r="A4434" s="40">
        <f t="array" ref="A4434">IFNA(index(PlayerValues!A:A,match(IFNA(vlookup(B4434,'Special Names'!A:B,2,FALSE),B4434),PlayerValues!E:E,0)),"N/A")</f>
        <v>14849</v>
      </c>
      <c r="B4434" s="4" t="s">
        <v>733</v>
      </c>
      <c r="C4434" s="4" t="s">
        <v>287</v>
      </c>
      <c r="D4434" s="94">
        <v>981.0</v>
      </c>
    </row>
    <row r="4435">
      <c r="A4435" s="40">
        <f t="array" ref="A4435">IFNA(index(PlayerValues!A:A,match(IFNA(vlookup(B4435,'Special Names'!A:B,2,FALSE),B4435),PlayerValues!E:E,0)),"N/A")</f>
        <v>15730</v>
      </c>
      <c r="B4435" s="4" t="s">
        <v>734</v>
      </c>
      <c r="C4435" s="4" t="s">
        <v>278</v>
      </c>
      <c r="D4435" s="94">
        <v>981.0</v>
      </c>
    </row>
    <row r="4436">
      <c r="A4436" s="40">
        <f t="array" ref="A4436">IFNA(index(PlayerValues!A:A,match(IFNA(vlookup(B4436,'Special Names'!A:B,2,FALSE),B4436),PlayerValues!E:E,0)),"N/A")</f>
        <v>14067</v>
      </c>
      <c r="B4436" s="4" t="s">
        <v>735</v>
      </c>
      <c r="C4436" s="4" t="s">
        <v>283</v>
      </c>
      <c r="D4436" s="94">
        <v>976.0</v>
      </c>
    </row>
    <row r="4437">
      <c r="A4437" s="40">
        <f t="array" ref="A4437">IFNA(index(PlayerValues!A:A,match(IFNA(vlookup(B4437,'Special Names'!A:B,2,FALSE),B4437),PlayerValues!E:E,0)),"N/A")</f>
        <v>16637</v>
      </c>
      <c r="B4437" s="4" t="s">
        <v>736</v>
      </c>
      <c r="C4437" s="4" t="s">
        <v>287</v>
      </c>
      <c r="D4437" s="94">
        <v>976.0</v>
      </c>
    </row>
    <row r="4438">
      <c r="A4438" s="40">
        <f t="array" ref="A4438">IFNA(index(PlayerValues!A:A,match(IFNA(vlookup(B4438,'Special Names'!A:B,2,FALSE),B4438),PlayerValues!E:E,0)),"N/A")</f>
        <v>16599</v>
      </c>
      <c r="B4438" s="4" t="s">
        <v>737</v>
      </c>
      <c r="C4438" s="4" t="s">
        <v>278</v>
      </c>
      <c r="D4438" s="94">
        <v>975.0</v>
      </c>
    </row>
    <row r="4439">
      <c r="A4439" s="40">
        <f t="array" ref="A4439">IFNA(index(PlayerValues!A:A,match(IFNA(vlookup(B4439,'Special Names'!A:B,2,FALSE),B4439),PlayerValues!E:E,0)),"N/A")</f>
        <v>16168</v>
      </c>
      <c r="B4439" s="4" t="s">
        <v>738</v>
      </c>
      <c r="C4439" s="4" t="s">
        <v>278</v>
      </c>
      <c r="D4439" s="94">
        <v>961.0</v>
      </c>
    </row>
    <row r="4440">
      <c r="A4440" s="40">
        <f t="array" ref="A4440">IFNA(index(PlayerValues!A:A,match(IFNA(vlookup(B4440,'Special Names'!A:B,2,FALSE),B4440),PlayerValues!E:E,0)),"N/A")</f>
        <v>16219</v>
      </c>
      <c r="B4440" s="4" t="s">
        <v>739</v>
      </c>
      <c r="C4440" s="4" t="s">
        <v>298</v>
      </c>
      <c r="D4440" s="94">
        <v>1326.0</v>
      </c>
    </row>
    <row r="4441">
      <c r="A4441" s="40">
        <f t="array" ref="A4441">IFNA(index(PlayerValues!A:A,match(IFNA(vlookup(B4441,'Special Names'!A:B,2,FALSE),B4441),PlayerValues!E:E,0)),"N/A")</f>
        <v>16149</v>
      </c>
      <c r="B4441" s="4" t="s">
        <v>740</v>
      </c>
      <c r="C4441" s="4" t="s">
        <v>283</v>
      </c>
      <c r="D4441" s="94">
        <v>958.0</v>
      </c>
    </row>
    <row r="4442">
      <c r="A4442" s="40">
        <f t="array" ref="A4442">IFNA(index(PlayerValues!A:A,match(IFNA(vlookup(B4442,'Special Names'!A:B,2,FALSE),B4442),PlayerValues!E:E,0)),"N/A")</f>
        <v>15271</v>
      </c>
      <c r="B4442" s="4" t="s">
        <v>741</v>
      </c>
      <c r="C4442" s="4" t="s">
        <v>278</v>
      </c>
      <c r="D4442" s="94">
        <v>956.0</v>
      </c>
    </row>
    <row r="4443">
      <c r="A4443" s="40">
        <f t="array" ref="A4443">IFNA(index(PlayerValues!A:A,match(IFNA(vlookup(B4443,'Special Names'!A:B,2,FALSE),B4443),PlayerValues!E:E,0)),"N/A")</f>
        <v>16205</v>
      </c>
      <c r="B4443" s="4" t="s">
        <v>742</v>
      </c>
      <c r="C4443" s="4" t="s">
        <v>287</v>
      </c>
      <c r="D4443" s="94">
        <v>953.0</v>
      </c>
    </row>
    <row r="4444">
      <c r="A4444" s="40">
        <f t="array" ref="A4444">IFNA(index(PlayerValues!A:A,match(IFNA(vlookup(B4444,'Special Names'!A:B,2,FALSE),B4444),PlayerValues!E:E,0)),"N/A")</f>
        <v>16606</v>
      </c>
      <c r="B4444" s="4" t="s">
        <v>743</v>
      </c>
      <c r="C4444" s="4" t="s">
        <v>278</v>
      </c>
      <c r="D4444" s="94">
        <v>952.0</v>
      </c>
    </row>
    <row r="4445">
      <c r="A4445" s="40">
        <f t="array" ref="A4445">IFNA(index(PlayerValues!A:A,match(IFNA(vlookup(B4445,'Special Names'!A:B,2,FALSE),B4445),PlayerValues!E:E,0)),"N/A")</f>
        <v>12141</v>
      </c>
      <c r="B4445" s="4" t="s">
        <v>744</v>
      </c>
      <c r="C4445" s="4" t="s">
        <v>283</v>
      </c>
      <c r="D4445" s="94">
        <v>949.0</v>
      </c>
    </row>
    <row r="4446">
      <c r="A4446" s="40">
        <f t="array" ref="A4446">IFNA(index(PlayerValues!A:A,match(IFNA(vlookup(B4446,'Special Names'!A:B,2,FALSE),B4446),PlayerValues!E:E,0)),"N/A")</f>
        <v>15717</v>
      </c>
      <c r="B4446" s="4" t="s">
        <v>745</v>
      </c>
      <c r="C4446" s="4" t="s">
        <v>278</v>
      </c>
      <c r="D4446" s="94">
        <v>948.0</v>
      </c>
    </row>
    <row r="4447">
      <c r="A4447" s="40">
        <f t="array" ref="A4447">IFNA(index(PlayerValues!A:A,match(IFNA(vlookup(B4447,'Special Names'!A:B,2,FALSE),B4447),PlayerValues!E:E,0)),"N/A")</f>
        <v>13289</v>
      </c>
      <c r="B4447" s="4" t="s">
        <v>746</v>
      </c>
      <c r="C4447" s="4" t="s">
        <v>287</v>
      </c>
      <c r="D4447" s="94">
        <v>947.0</v>
      </c>
    </row>
    <row r="4448">
      <c r="A4448" s="40">
        <f t="array" ref="A4448">IFNA(index(PlayerValues!A:A,match(IFNA(vlookup(B4448,'Special Names'!A:B,2,FALSE),B4448),PlayerValues!E:E,0)),"N/A")</f>
        <v>17175</v>
      </c>
      <c r="B4448" s="4" t="s">
        <v>747</v>
      </c>
      <c r="C4448" s="4" t="s">
        <v>287</v>
      </c>
      <c r="D4448" s="94">
        <v>919.0</v>
      </c>
    </row>
    <row r="4449">
      <c r="A4449" s="40">
        <f t="array" ref="A4449">IFNA(index(PlayerValues!A:A,match(IFNA(vlookup(B4449,'Special Names'!A:B,2,FALSE),B4449),PlayerValues!E:E,0)),"N/A")</f>
        <v>16648</v>
      </c>
      <c r="B4449" s="4" t="s">
        <v>748</v>
      </c>
      <c r="C4449" s="4" t="s">
        <v>298</v>
      </c>
      <c r="D4449" s="94">
        <v>1279.0</v>
      </c>
    </row>
    <row r="4450">
      <c r="A4450" s="40">
        <f t="array" ref="A4450">IFNA(index(PlayerValues!A:A,match(IFNA(vlookup(B4450,'Special Names'!A:B,2,FALSE),B4450),PlayerValues!E:E,0)),"N/A")</f>
        <v>15330</v>
      </c>
      <c r="B4450" s="4" t="s">
        <v>749</v>
      </c>
      <c r="C4450" s="4" t="s">
        <v>298</v>
      </c>
      <c r="D4450" s="94">
        <v>1274.0</v>
      </c>
    </row>
    <row r="4451">
      <c r="A4451" s="40">
        <f t="array" ref="A4451">IFNA(index(PlayerValues!A:A,match(IFNA(vlookup(B4451,'Special Names'!A:B,2,FALSE),B4451),PlayerValues!E:E,0)),"N/A")</f>
        <v>15692</v>
      </c>
      <c r="B4451" s="4" t="s">
        <v>750</v>
      </c>
      <c r="C4451" s="4" t="s">
        <v>283</v>
      </c>
      <c r="D4451" s="94">
        <v>903.0</v>
      </c>
    </row>
    <row r="4452">
      <c r="A4452" s="40">
        <f t="array" ref="A4452">IFNA(index(PlayerValues!A:A,match(IFNA(vlookup(B4452,'Special Names'!A:B,2,FALSE),B4452),PlayerValues!E:E,0)),"N/A")</f>
        <v>15240</v>
      </c>
      <c r="B4452" s="4" t="s">
        <v>751</v>
      </c>
      <c r="C4452" s="4" t="s">
        <v>283</v>
      </c>
      <c r="D4452" s="94">
        <v>901.0</v>
      </c>
    </row>
    <row r="4453">
      <c r="A4453" s="40">
        <f t="array" ref="A4453">IFNA(index(PlayerValues!A:A,match(IFNA(vlookup(B4453,'Special Names'!A:B,2,FALSE),B4453),PlayerValues!E:E,0)),"N/A")</f>
        <v>16416</v>
      </c>
      <c r="B4453" s="4" t="s">
        <v>752</v>
      </c>
      <c r="C4453" s="4" t="s">
        <v>287</v>
      </c>
      <c r="D4453" s="94">
        <v>899.0</v>
      </c>
    </row>
    <row r="4454">
      <c r="A4454" s="40">
        <f t="array" ref="A4454">IFNA(index(PlayerValues!A:A,match(IFNA(vlookup(B4454,'Special Names'!A:B,2,FALSE),B4454),PlayerValues!E:E,0)),"N/A")</f>
        <v>15718</v>
      </c>
      <c r="B4454" s="4" t="s">
        <v>753</v>
      </c>
      <c r="C4454" s="4" t="s">
        <v>278</v>
      </c>
      <c r="D4454" s="94">
        <v>889.0</v>
      </c>
    </row>
    <row r="4455">
      <c r="A4455" s="40">
        <f t="array" ref="A4455">IFNA(index(PlayerValues!A:A,match(IFNA(vlookup(B4455,'Special Names'!A:B,2,FALSE),B4455),PlayerValues!E:E,0)),"N/A")</f>
        <v>16858</v>
      </c>
      <c r="B4455" s="4" t="s">
        <v>754</v>
      </c>
      <c r="C4455" s="4" t="s">
        <v>287</v>
      </c>
      <c r="D4455" s="94">
        <v>885.0</v>
      </c>
    </row>
    <row r="4456">
      <c r="A4456" s="40">
        <f t="array" ref="A4456">IFNA(index(PlayerValues!A:A,match(IFNA(vlookup(B4456,'Special Names'!A:B,2,FALSE),B4456),PlayerValues!E:E,0)),"N/A")</f>
        <v>15693</v>
      </c>
      <c r="B4456" s="4" t="s">
        <v>755</v>
      </c>
      <c r="C4456" s="4" t="s">
        <v>283</v>
      </c>
      <c r="D4456" s="94">
        <v>883.0</v>
      </c>
    </row>
    <row r="4457">
      <c r="A4457" s="40">
        <f t="array" ref="A4457">IFNA(index(PlayerValues!A:A,match(IFNA(vlookup(B4457,'Special Names'!A:B,2,FALSE),B4457),PlayerValues!E:E,0)),"N/A")</f>
        <v>17479</v>
      </c>
      <c r="B4457" s="4" t="s">
        <v>756</v>
      </c>
      <c r="C4457" s="4" t="s">
        <v>278</v>
      </c>
      <c r="D4457" s="94">
        <v>881.0</v>
      </c>
    </row>
    <row r="4458">
      <c r="A4458" s="40">
        <f t="array" ref="A4458">IFNA(index(PlayerValues!A:A,match(IFNA(vlookup(B4458,'Special Names'!A:B,2,FALSE),B4458),PlayerValues!E:E,0)),"N/A")</f>
        <v>15258</v>
      </c>
      <c r="B4458" s="4" t="s">
        <v>757</v>
      </c>
      <c r="C4458" s="4" t="s">
        <v>278</v>
      </c>
      <c r="D4458" s="94">
        <v>873.0</v>
      </c>
    </row>
    <row r="4459">
      <c r="A4459" s="40">
        <f t="array" ref="A4459">IFNA(index(PlayerValues!A:A,match(IFNA(vlookup(B4459,'Special Names'!A:B,2,FALSE),B4459),PlayerValues!E:E,0)),"N/A")</f>
        <v>16678</v>
      </c>
      <c r="B4459" s="4" t="s">
        <v>758</v>
      </c>
      <c r="C4459" s="4" t="s">
        <v>278</v>
      </c>
      <c r="D4459" s="94">
        <v>864.0</v>
      </c>
    </row>
    <row r="4460">
      <c r="A4460" s="40">
        <f t="array" ref="A4460">IFNA(index(PlayerValues!A:A,match(IFNA(vlookup(B4460,'Special Names'!A:B,2,FALSE),B4460),PlayerValues!E:E,0)),"N/A")</f>
        <v>15766</v>
      </c>
      <c r="B4460" s="4" t="s">
        <v>759</v>
      </c>
      <c r="C4460" s="4" t="s">
        <v>287</v>
      </c>
      <c r="D4460" s="94">
        <v>862.0</v>
      </c>
    </row>
    <row r="4461">
      <c r="A4461" s="40">
        <f t="array" ref="A4461">IFNA(index(PlayerValues!A:A,match(IFNA(vlookup(B4461,'Special Names'!A:B,2,FALSE),B4461),PlayerValues!E:E,0)),"N/A")</f>
        <v>17526</v>
      </c>
      <c r="B4461" s="4" t="s">
        <v>760</v>
      </c>
      <c r="C4461" s="4" t="s">
        <v>287</v>
      </c>
      <c r="D4461" s="94">
        <v>839.0</v>
      </c>
    </row>
    <row r="4462">
      <c r="A4462" s="40">
        <f t="array" ref="A4462">IFNA(index(PlayerValues!A:A,match(IFNA(vlookup(B4462,'Special Names'!A:B,2,FALSE),B4462),PlayerValues!E:E,0)),"N/A")</f>
        <v>9064</v>
      </c>
      <c r="B4462" s="4" t="s">
        <v>761</v>
      </c>
      <c r="C4462" s="4" t="s">
        <v>283</v>
      </c>
      <c r="D4462" s="94">
        <v>827.0</v>
      </c>
    </row>
    <row r="4463">
      <c r="A4463" s="40">
        <f t="array" ref="A4463">IFNA(index(PlayerValues!A:A,match(IFNA(vlookup(B4463,'Special Names'!A:B,2,FALSE),B4463),PlayerValues!E:E,0)),"N/A")</f>
        <v>16751</v>
      </c>
      <c r="B4463" s="4" t="s">
        <v>762</v>
      </c>
      <c r="C4463" s="4" t="s">
        <v>287</v>
      </c>
      <c r="D4463" s="94">
        <v>822.0</v>
      </c>
    </row>
    <row r="4464">
      <c r="A4464" s="40">
        <f t="array" ref="A4464">IFNA(index(PlayerValues!A:A,match(IFNA(vlookup(B4464,'Special Names'!A:B,2,FALSE),B4464),PlayerValues!E:E,0)),"N/A")</f>
        <v>15785</v>
      </c>
      <c r="B4464" s="4" t="s">
        <v>763</v>
      </c>
      <c r="C4464" s="4" t="s">
        <v>287</v>
      </c>
      <c r="D4464" s="94">
        <v>821.0</v>
      </c>
    </row>
    <row r="4465">
      <c r="A4465" s="40">
        <f t="array" ref="A4465">IFNA(index(PlayerValues!A:A,match(IFNA(vlookup(B4465,'Special Names'!A:B,2,FALSE),B4465),PlayerValues!E:E,0)),"N/A")</f>
        <v>13133</v>
      </c>
      <c r="B4465" s="4" t="s">
        <v>764</v>
      </c>
      <c r="C4465" s="4" t="s">
        <v>278</v>
      </c>
      <c r="D4465" s="94">
        <v>820.0</v>
      </c>
    </row>
    <row r="4466">
      <c r="A4466" s="40">
        <f t="array" ref="A4466">IFNA(index(PlayerValues!A:A,match(IFNA(vlookup(B4466,'Special Names'!A:B,2,FALSE),B4466),PlayerValues!E:E,0)),"N/A")</f>
        <v>14057</v>
      </c>
      <c r="B4466" s="4" t="s">
        <v>765</v>
      </c>
      <c r="C4466" s="4" t="s">
        <v>283</v>
      </c>
      <c r="D4466" s="94">
        <v>813.0</v>
      </c>
    </row>
    <row r="4467">
      <c r="A4467" s="40">
        <f t="array" ref="A4467">IFNA(index(PlayerValues!A:A,match(IFNA(vlookup(B4467,'Special Names'!A:B,2,FALSE),B4467),PlayerValues!E:E,0)),"N/A")</f>
        <v>15626</v>
      </c>
      <c r="B4467" s="4" t="s">
        <v>766</v>
      </c>
      <c r="C4467" s="4" t="s">
        <v>298</v>
      </c>
      <c r="D4467" s="94">
        <v>1164.0</v>
      </c>
    </row>
    <row r="4468">
      <c r="A4468" s="40">
        <f t="array" ref="A4468">IFNA(index(PlayerValues!A:A,match(IFNA(vlookup(B4468,'Special Names'!A:B,2,FALSE),B4468),PlayerValues!E:E,0)),"N/A")</f>
        <v>17654</v>
      </c>
      <c r="B4468" s="4" t="s">
        <v>767</v>
      </c>
      <c r="C4468" s="4" t="s">
        <v>283</v>
      </c>
      <c r="D4468" s="94">
        <v>768.0</v>
      </c>
    </row>
    <row r="4469">
      <c r="A4469" s="40">
        <f t="array" ref="A4469">IFNA(index(PlayerValues!A:A,match(IFNA(vlookup(B4469,'Special Names'!A:B,2,FALSE),B4469),PlayerValues!E:E,0)),"N/A")</f>
        <v>16393</v>
      </c>
      <c r="B4469" s="4" t="s">
        <v>768</v>
      </c>
      <c r="C4469" s="4" t="s">
        <v>287</v>
      </c>
      <c r="D4469" s="94">
        <v>766.0</v>
      </c>
    </row>
    <row r="4470">
      <c r="A4470" s="40">
        <f t="array" ref="A4470">IFNA(index(PlayerValues!A:A,match(IFNA(vlookup(B4470,'Special Names'!A:B,2,FALSE),B4470),PlayerValues!E:E,0)),"N/A")</f>
        <v>16451</v>
      </c>
      <c r="B4470" s="4" t="s">
        <v>769</v>
      </c>
      <c r="C4470" s="4" t="s">
        <v>287</v>
      </c>
      <c r="D4470" s="94">
        <v>702.0</v>
      </c>
    </row>
    <row r="4471">
      <c r="A4471" s="40">
        <f t="array" ref="A4471">IFNA(index(PlayerValues!A:A,match(IFNA(vlookup(B4471,'Special Names'!A:B,2,FALSE),B4471),PlayerValues!E:E,0)),"N/A")</f>
        <v>14805</v>
      </c>
      <c r="B4471" s="4" t="s">
        <v>770</v>
      </c>
      <c r="C4471" s="4" t="s">
        <v>278</v>
      </c>
      <c r="D4471" s="94">
        <v>688.0</v>
      </c>
    </row>
    <row r="4472">
      <c r="A4472" s="40">
        <f t="array" ref="A4472">IFNA(index(PlayerValues!A:A,match(IFNA(vlookup(B4472,'Special Names'!A:B,2,FALSE),B4472),PlayerValues!E:E,0)),"N/A")</f>
        <v>14118</v>
      </c>
      <c r="B4472" s="4" t="s">
        <v>771</v>
      </c>
      <c r="C4472" s="4" t="s">
        <v>287</v>
      </c>
      <c r="D4472" s="94">
        <v>681.0</v>
      </c>
    </row>
    <row r="4473">
      <c r="A4473" s="40">
        <f t="array" ref="A4473">IFNA(index(PlayerValues!A:A,match(IFNA(vlookup(B4473,'Special Names'!A:B,2,FALSE),B4473),PlayerValues!E:E,0)),"N/A")</f>
        <v>12785</v>
      </c>
      <c r="B4473" s="4" t="s">
        <v>772</v>
      </c>
      <c r="C4473" s="4" t="s">
        <v>287</v>
      </c>
      <c r="D4473" s="94">
        <v>676.0</v>
      </c>
    </row>
    <row r="4474">
      <c r="A4474" s="40">
        <f t="array" ref="A4474">IFNA(index(PlayerValues!A:A,match(IFNA(vlookup(B4474,'Special Names'!A:B,2,FALSE),B4474),PlayerValues!E:E,0)),"N/A")</f>
        <v>13193</v>
      </c>
      <c r="B4474" s="4" t="s">
        <v>773</v>
      </c>
      <c r="C4474" s="4" t="s">
        <v>298</v>
      </c>
      <c r="D4474" s="94">
        <v>1018.0</v>
      </c>
    </row>
    <row r="4475">
      <c r="A4475" s="40">
        <f t="array" ref="A4475">IFNA(index(PlayerValues!A:A,match(IFNA(vlookup(B4475,'Special Names'!A:B,2,FALSE),B4475),PlayerValues!E:E,0)),"N/A")</f>
        <v>17038</v>
      </c>
      <c r="B4475" s="4" t="s">
        <v>774</v>
      </c>
      <c r="C4475" s="4" t="s">
        <v>283</v>
      </c>
      <c r="D4475" s="94">
        <v>653.0</v>
      </c>
    </row>
    <row r="4476">
      <c r="A4476" s="40">
        <f t="array" ref="A4476">IFNA(index(PlayerValues!A:A,match(IFNA(vlookup(B4476,'Special Names'!A:B,2,FALSE),B4476),PlayerValues!E:E,0)),"N/A")</f>
        <v>15714</v>
      </c>
      <c r="B4476" s="4" t="s">
        <v>775</v>
      </c>
      <c r="C4476" s="4" t="s">
        <v>278</v>
      </c>
      <c r="D4476" s="94">
        <v>608.0</v>
      </c>
    </row>
    <row r="4477">
      <c r="A4477" s="40">
        <f t="array" ref="A4477">IFNA(index(PlayerValues!A:A,match(IFNA(vlookup(B4477,'Special Names'!A:B,2,FALSE),B4477),PlayerValues!E:E,0)),"N/A")</f>
        <v>16153</v>
      </c>
      <c r="B4477" s="4" t="s">
        <v>776</v>
      </c>
      <c r="C4477" s="4" t="s">
        <v>283</v>
      </c>
      <c r="D4477" s="94">
        <v>590.0</v>
      </c>
    </row>
    <row r="4478">
      <c r="A4478" s="40">
        <f t="array" ref="A4478">IFNA(index(PlayerValues!A:A,match(IFNA(vlookup(B4478,'Special Names'!A:B,2,FALSE),B4478),PlayerValues!E:E,0)),"N/A")</f>
        <v>17752</v>
      </c>
      <c r="B4478" s="4" t="s">
        <v>777</v>
      </c>
      <c r="C4478" s="4" t="s">
        <v>287</v>
      </c>
      <c r="D4478" s="94">
        <v>586.0</v>
      </c>
    </row>
    <row r="4479">
      <c r="A4479" s="40">
        <f t="array" ref="A4479">IFNA(index(PlayerValues!A:A,match(IFNA(vlookup(B4479,'Special Names'!A:B,2,FALSE),B4479),PlayerValues!E:E,0)),"N/A")</f>
        <v>16625</v>
      </c>
      <c r="B4479" s="4" t="s">
        <v>778</v>
      </c>
      <c r="C4479" s="4" t="s">
        <v>287</v>
      </c>
      <c r="D4479" s="94">
        <v>580.0</v>
      </c>
    </row>
    <row r="4480">
      <c r="A4480" s="40">
        <f t="array" ref="A4480">IFNA(index(PlayerValues!A:A,match(IFNA(vlookup(B4480,'Special Names'!A:B,2,FALSE),B4480),PlayerValues!E:E,0)),"N/A")</f>
        <v>11679</v>
      </c>
      <c r="B4480" s="4" t="s">
        <v>779</v>
      </c>
      <c r="C4480" s="4" t="s">
        <v>287</v>
      </c>
      <c r="D4480" s="94">
        <v>521.0</v>
      </c>
    </row>
    <row r="4481">
      <c r="A4481" s="40">
        <f t="array" ref="A4481">IFNA(index(PlayerValues!A:A,match(IFNA(vlookup(B4481,'Special Names'!A:B,2,FALSE),B4481),PlayerValues!E:E,0)),"N/A")</f>
        <v>15743</v>
      </c>
      <c r="B4481" s="4" t="s">
        <v>780</v>
      </c>
      <c r="C4481" s="4" t="s">
        <v>278</v>
      </c>
      <c r="D4481" s="94">
        <v>521.0</v>
      </c>
    </row>
    <row r="4482">
      <c r="A4482" s="40">
        <f t="array" ref="A4482">IFNA(index(PlayerValues!A:A,match(IFNA(vlookup(B4482,'Special Names'!A:B,2,FALSE),B4482),PlayerValues!E:E,0)),"N/A")</f>
        <v>16413</v>
      </c>
      <c r="B4482" s="4" t="s">
        <v>781</v>
      </c>
      <c r="C4482" s="4" t="s">
        <v>287</v>
      </c>
      <c r="D4482" s="94">
        <v>516.0</v>
      </c>
    </row>
    <row r="4483">
      <c r="A4483" s="40">
        <f t="array" ref="A4483">IFNA(index(PlayerValues!A:A,match(IFNA(vlookup(B4483,'Special Names'!A:B,2,FALSE),B4483),PlayerValues!E:E,0)),"N/A")</f>
        <v>16613</v>
      </c>
      <c r="B4483" s="4" t="s">
        <v>782</v>
      </c>
      <c r="C4483" s="4" t="s">
        <v>278</v>
      </c>
      <c r="D4483" s="94">
        <v>507.0</v>
      </c>
    </row>
    <row r="4484">
      <c r="A4484" s="40">
        <f t="array" ref="A4484">IFNA(index(PlayerValues!A:A,match(IFNA(vlookup(B4484,'Special Names'!A:B,2,FALSE),B4484),PlayerValues!E:E,0)),"N/A")</f>
        <v>16773</v>
      </c>
      <c r="B4484" s="4" t="s">
        <v>783</v>
      </c>
      <c r="C4484" s="4" t="s">
        <v>278</v>
      </c>
      <c r="D4484" s="94">
        <v>502.0</v>
      </c>
    </row>
    <row r="4485">
      <c r="A4485" s="40">
        <f t="array" ref="A4485">IFNA(index(PlayerValues!A:A,match(IFNA(vlookup(B4485,'Special Names'!A:B,2,FALSE),B4485),PlayerValues!E:E,0)),"N/A")</f>
        <v>17232</v>
      </c>
      <c r="B4485" s="4" t="s">
        <v>784</v>
      </c>
      <c r="C4485" s="4" t="s">
        <v>287</v>
      </c>
      <c r="D4485" s="94">
        <v>501.0</v>
      </c>
    </row>
    <row r="4486">
      <c r="A4486" s="40">
        <f t="array" ref="A4486">IFNA(index(PlayerValues!A:A,match(IFNA(vlookup(B4486,'Special Names'!A:B,2,FALSE),B4486),PlayerValues!E:E,0)),"N/A")</f>
        <v>14223</v>
      </c>
      <c r="B4486" s="4" t="s">
        <v>785</v>
      </c>
      <c r="C4486" s="4" t="s">
        <v>278</v>
      </c>
      <c r="D4486" s="94">
        <v>499.0</v>
      </c>
    </row>
    <row r="4487">
      <c r="A4487" s="40">
        <f t="array" ref="A4487">IFNA(index(PlayerValues!A:A,match(IFNA(vlookup(B4487,'Special Names'!A:B,2,FALSE),B4487),PlayerValues!E:E,0)),"N/A")</f>
        <v>13143</v>
      </c>
      <c r="B4487" s="4" t="s">
        <v>786</v>
      </c>
      <c r="C4487" s="4" t="s">
        <v>278</v>
      </c>
      <c r="D4487" s="94">
        <v>487.0</v>
      </c>
    </row>
    <row r="4488">
      <c r="A4488" s="40">
        <f t="array" ref="A4488">IFNA(index(PlayerValues!A:A,match(IFNA(vlookup(B4488,'Special Names'!A:B,2,FALSE),B4488),PlayerValues!E:E,0)),"N/A")</f>
        <v>16299</v>
      </c>
      <c r="B4488" s="4" t="s">
        <v>787</v>
      </c>
      <c r="C4488" s="4" t="s">
        <v>287</v>
      </c>
      <c r="D4488" s="94">
        <v>486.0</v>
      </c>
    </row>
    <row r="4489">
      <c r="A4489" s="40">
        <f t="array" ref="A4489">IFNA(index(PlayerValues!A:A,match(IFNA(vlookup(B4489,'Special Names'!A:B,2,FALSE),B4489),PlayerValues!E:E,0)),"N/A")</f>
        <v>14113</v>
      </c>
      <c r="B4489" s="4" t="s">
        <v>788</v>
      </c>
      <c r="C4489" s="4" t="s">
        <v>287</v>
      </c>
      <c r="D4489" s="94">
        <v>483.0</v>
      </c>
    </row>
    <row r="4490">
      <c r="A4490" s="40">
        <f t="array" ref="A4490">IFNA(index(PlayerValues!A:A,match(IFNA(vlookup(B4490,'Special Names'!A:B,2,FALSE),B4490),PlayerValues!E:E,0)),"N/A")</f>
        <v>14864</v>
      </c>
      <c r="B4490" s="4" t="s">
        <v>789</v>
      </c>
      <c r="C4490" s="4" t="s">
        <v>287</v>
      </c>
      <c r="D4490" s="94">
        <v>483.0</v>
      </c>
    </row>
    <row r="4491">
      <c r="A4491" s="40">
        <f t="array" ref="A4491">IFNA(index(PlayerValues!A:A,match(IFNA(vlookup(B4491,'Special Names'!A:B,2,FALSE),B4491),PlayerValues!E:E,0)),"N/A")</f>
        <v>14076</v>
      </c>
      <c r="B4491" s="4" t="s">
        <v>790</v>
      </c>
      <c r="C4491" s="4" t="s">
        <v>278</v>
      </c>
      <c r="D4491" s="94">
        <v>480.0</v>
      </c>
    </row>
    <row r="4492">
      <c r="A4492" s="40">
        <f t="array" ref="A4492">IFNA(index(PlayerValues!A:A,match(IFNA(vlookup(B4492,'Special Names'!A:B,2,FALSE),B4492),PlayerValues!E:E,0)),"N/A")</f>
        <v>15965</v>
      </c>
      <c r="B4492" s="4" t="s">
        <v>791</v>
      </c>
      <c r="C4492" s="4" t="s">
        <v>278</v>
      </c>
      <c r="D4492" s="94">
        <v>478.0</v>
      </c>
    </row>
    <row r="4493">
      <c r="A4493" s="40">
        <f t="array" ref="A4493">IFNA(index(PlayerValues!A:A,match(IFNA(vlookup(B4493,'Special Names'!A:B,2,FALSE),B4493),PlayerValues!E:E,0)),"N/A")</f>
        <v>15285</v>
      </c>
      <c r="B4493" s="4" t="s">
        <v>792</v>
      </c>
      <c r="C4493" s="4" t="s">
        <v>287</v>
      </c>
      <c r="D4493" s="94">
        <v>476.0</v>
      </c>
    </row>
    <row r="4494">
      <c r="A4494" s="40">
        <f t="array" ref="A4494">IFNA(index(PlayerValues!A:A,match(IFNA(vlookup(B4494,'Special Names'!A:B,2,FALSE),B4494),PlayerValues!E:E,0)),"N/A")</f>
        <v>17337</v>
      </c>
      <c r="B4494" s="4" t="s">
        <v>793</v>
      </c>
      <c r="C4494" s="4" t="s">
        <v>278</v>
      </c>
      <c r="D4494" s="94">
        <v>475.0</v>
      </c>
    </row>
    <row r="4495">
      <c r="A4495" s="40">
        <f t="array" ref="A4495">IFNA(index(PlayerValues!A:A,match(IFNA(vlookup(B4495,'Special Names'!A:B,2,FALSE),B4495),PlayerValues!E:E,0)),"N/A")</f>
        <v>15796</v>
      </c>
      <c r="B4495" s="4" t="s">
        <v>794</v>
      </c>
      <c r="C4495" s="4" t="s">
        <v>298</v>
      </c>
      <c r="D4495" s="94">
        <v>819.0</v>
      </c>
    </row>
    <row r="4496">
      <c r="A4496" s="40">
        <f t="array" ref="A4496">IFNA(index(PlayerValues!A:A,match(IFNA(vlookup(B4496,'Special Names'!A:B,2,FALSE),B4496),PlayerValues!E:E,0)),"N/A")</f>
        <v>15720</v>
      </c>
      <c r="B4496" s="4" t="s">
        <v>795</v>
      </c>
      <c r="C4496" s="4" t="s">
        <v>278</v>
      </c>
      <c r="D4496" s="94">
        <v>469.0</v>
      </c>
    </row>
    <row r="4497">
      <c r="A4497" s="40">
        <f t="array" ref="A4497">IFNA(index(PlayerValues!A:A,match(IFNA(vlookup(B4497,'Special Names'!A:B,2,FALSE),B4497),PlayerValues!E:E,0)),"N/A")</f>
        <v>16624</v>
      </c>
      <c r="B4497" s="4" t="s">
        <v>796</v>
      </c>
      <c r="C4497" s="4" t="s">
        <v>287</v>
      </c>
      <c r="D4497" s="94">
        <v>469.0</v>
      </c>
    </row>
    <row r="4498">
      <c r="A4498" s="40">
        <f t="array" ref="A4498">IFNA(index(PlayerValues!A:A,match(IFNA(vlookup(B4498,'Special Names'!A:B,2,FALSE),B4498),PlayerValues!E:E,0)),"N/A")</f>
        <v>17348</v>
      </c>
      <c r="B4498" s="4" t="s">
        <v>797</v>
      </c>
      <c r="C4498" s="4" t="s">
        <v>278</v>
      </c>
      <c r="D4498" s="94">
        <v>467.0</v>
      </c>
    </row>
    <row r="4499">
      <c r="A4499" s="40">
        <f t="array" ref="A4499">IFNA(index(PlayerValues!A:A,match(IFNA(vlookup(B4499,'Special Names'!A:B,2,FALSE),B4499),PlayerValues!E:E,0)),"N/A")</f>
        <v>15723</v>
      </c>
      <c r="B4499" s="4" t="s">
        <v>798</v>
      </c>
      <c r="C4499" s="4" t="s">
        <v>278</v>
      </c>
      <c r="D4499" s="94">
        <v>463.0</v>
      </c>
    </row>
    <row r="4500">
      <c r="A4500" s="40">
        <f t="array" ref="A4500">IFNA(index(PlayerValues!A:A,match(IFNA(vlookup(B4500,'Special Names'!A:B,2,FALSE),B4500),PlayerValues!E:E,0)),"N/A")</f>
        <v>14858</v>
      </c>
      <c r="B4500" s="4" t="s">
        <v>799</v>
      </c>
      <c r="C4500" s="4" t="s">
        <v>287</v>
      </c>
      <c r="D4500" s="94">
        <v>462.0</v>
      </c>
    </row>
    <row r="4501">
      <c r="A4501" s="40">
        <f t="array" ref="A4501">IFNA(index(PlayerValues!A:A,match(IFNA(vlookup(B4501,'Special Names'!A:B,2,FALSE),B4501),PlayerValues!E:E,0)),"N/A")</f>
        <v>16161</v>
      </c>
      <c r="B4501" s="4" t="s">
        <v>277</v>
      </c>
      <c r="C4501" s="4" t="s">
        <v>278</v>
      </c>
      <c r="D4501" s="94">
        <v>9999.0</v>
      </c>
    </row>
    <row r="4502">
      <c r="A4502" s="40">
        <f t="array" ref="A4502">IFNA(index(PlayerValues!A:A,match(IFNA(vlookup(B4502,'Special Names'!A:B,2,FALSE),B4502),PlayerValues!E:E,0)),"N/A")</f>
        <v>16162</v>
      </c>
      <c r="B4502" s="4" t="s">
        <v>281</v>
      </c>
      <c r="C4502" s="4" t="s">
        <v>278</v>
      </c>
      <c r="D4502" s="94">
        <v>9999.0</v>
      </c>
    </row>
    <row r="4503">
      <c r="A4503" s="40">
        <f t="array" ref="A4503">IFNA(index(PlayerValues!A:A,match(IFNA(vlookup(B4503,'Special Names'!A:B,2,FALSE),B4503),PlayerValues!E:E,0)),"N/A")</f>
        <v>13589</v>
      </c>
      <c r="B4503" s="4" t="s">
        <v>282</v>
      </c>
      <c r="C4503" s="4" t="s">
        <v>283</v>
      </c>
      <c r="D4503" s="94">
        <v>9991.0</v>
      </c>
    </row>
    <row r="4504">
      <c r="A4504" s="40">
        <f t="array" ref="A4504">IFNA(index(PlayerValues!A:A,match(IFNA(vlookup(B4504,'Special Names'!A:B,2,FALSE),B4504),PlayerValues!E:E,0)),"N/A")</f>
        <v>15281</v>
      </c>
      <c r="B4504" s="4" t="s">
        <v>286</v>
      </c>
      <c r="C4504" s="4" t="s">
        <v>287</v>
      </c>
      <c r="D4504" s="94">
        <v>9978.0</v>
      </c>
    </row>
    <row r="4505">
      <c r="A4505" s="40">
        <f t="array" ref="A4505">IFNA(index(PlayerValues!A:A,match(IFNA(vlookup(B4505,'Special Names'!A:B,2,FALSE),B4505),PlayerValues!E:E,0)),"N/A")</f>
        <v>16185</v>
      </c>
      <c r="B4505" s="4" t="s">
        <v>290</v>
      </c>
      <c r="C4505" s="4" t="s">
        <v>287</v>
      </c>
      <c r="D4505" s="94">
        <v>9196.0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8898.0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8581.0</v>
      </c>
    </row>
    <row r="4508">
      <c r="A4508" s="40">
        <f t="array" ref="A4508">IFNA(index(PlayerValues!A:A,match(IFNA(vlookup(B4508,'Special Names'!A:B,2,FALSE),B4508),PlayerValues!E:E,0)),"N/A")</f>
        <v>16641</v>
      </c>
      <c r="B4508" s="4" t="s">
        <v>297</v>
      </c>
      <c r="C4508" s="4" t="s">
        <v>298</v>
      </c>
      <c r="D4508" s="94">
        <v>9140.0</v>
      </c>
    </row>
    <row r="4509">
      <c r="A4509" s="40">
        <f t="array" ref="A4509">IFNA(index(PlayerValues!A:A,match(IFNA(vlookup(B4509,'Special Names'!A:B,2,FALSE),B4509),PlayerValues!E:E,0)),"N/A")</f>
        <v>15287</v>
      </c>
      <c r="B4509" s="4" t="s">
        <v>299</v>
      </c>
      <c r="C4509" s="4" t="s">
        <v>287</v>
      </c>
      <c r="D4509" s="94">
        <v>8189.0</v>
      </c>
    </row>
    <row r="4510">
      <c r="A4510" s="40">
        <f t="array" ref="A4510">IFNA(index(PlayerValues!A:A,match(IFNA(vlookup(B4510,'Special Names'!A:B,2,FALSE),B4510),PlayerValues!E:E,0)),"N/A")</f>
        <v>16579</v>
      </c>
      <c r="B4510" s="4" t="s">
        <v>302</v>
      </c>
      <c r="C4510" s="4" t="s">
        <v>283</v>
      </c>
      <c r="D4510" s="94">
        <v>7817.0</v>
      </c>
    </row>
    <row r="4511">
      <c r="A4511" s="40">
        <f t="array" ref="A4511">IFNA(index(PlayerValues!A:A,match(IFNA(vlookup(B4511,'Special Names'!A:B,2,FALSE),B4511),PlayerValues!E:E,0)),"N/A")</f>
        <v>13593</v>
      </c>
      <c r="B4511" s="4" t="s">
        <v>305</v>
      </c>
      <c r="C4511" s="4" t="s">
        <v>283</v>
      </c>
      <c r="D4511" s="94">
        <v>7542.0</v>
      </c>
    </row>
    <row r="4512">
      <c r="A4512" s="40">
        <f t="array" ref="A4512">IFNA(index(PlayerValues!A:A,match(IFNA(vlookup(B4512,'Special Names'!A:B,2,FALSE),B4512),PlayerValues!E:E,0)),"N/A")</f>
        <v>14836</v>
      </c>
      <c r="B4512" s="4" t="s">
        <v>306</v>
      </c>
      <c r="C4512" s="4" t="s">
        <v>287</v>
      </c>
      <c r="D4512" s="94">
        <v>7390.0</v>
      </c>
    </row>
    <row r="4513">
      <c r="A4513" s="40">
        <f t="array" ref="A4513">IFNA(index(PlayerValues!A:A,match(IFNA(vlookup(B4513,'Special Names'!A:B,2,FALSE),B4513),PlayerValues!E:E,0)),"N/A")</f>
        <v>16615</v>
      </c>
      <c r="B4513" s="4" t="s">
        <v>309</v>
      </c>
      <c r="C4513" s="4" t="s">
        <v>287</v>
      </c>
      <c r="D4513" s="94">
        <v>7362.0</v>
      </c>
    </row>
    <row r="4514">
      <c r="A4514" s="40">
        <f t="array" ref="A4514">IFNA(index(PlayerValues!A:A,match(IFNA(vlookup(B4514,'Special Names'!A:B,2,FALSE),B4514),PlayerValues!E:E,0)),"N/A")</f>
        <v>17472</v>
      </c>
      <c r="B4514" s="4" t="s">
        <v>310</v>
      </c>
      <c r="C4514" s="4" t="s">
        <v>278</v>
      </c>
      <c r="D4514" s="94">
        <v>7334.0</v>
      </c>
    </row>
    <row r="4515">
      <c r="A4515" s="40">
        <f t="array" ref="A4515">IFNA(index(PlayerValues!A:A,match(IFNA(vlookup(B4515,'Special Names'!A:B,2,FALSE),B4515),PlayerValues!E:E,0)),"N/A")</f>
        <v>15794</v>
      </c>
      <c r="B4515" s="4" t="s">
        <v>313</v>
      </c>
      <c r="C4515" s="4" t="s">
        <v>298</v>
      </c>
      <c r="D4515" s="94">
        <v>8091.0</v>
      </c>
    </row>
    <row r="4516">
      <c r="A4516" s="40">
        <f t="array" ref="A4516">IFNA(index(PlayerValues!A:A,match(IFNA(vlookup(B4516,'Special Names'!A:B,2,FALSE),B4516),PlayerValues!E:E,0)),"N/A")</f>
        <v>17042</v>
      </c>
      <c r="B4516" s="4" t="s">
        <v>314</v>
      </c>
      <c r="C4516" s="4" t="s">
        <v>278</v>
      </c>
      <c r="D4516" s="94">
        <v>7295.0</v>
      </c>
    </row>
    <row r="4517">
      <c r="A4517" s="40">
        <f t="array" ref="A4517">IFNA(index(PlayerValues!A:A,match(IFNA(vlookup(B4517,'Special Names'!A:B,2,FALSE),B4517),PlayerValues!E:E,0)),"N/A")</f>
        <v>16581</v>
      </c>
      <c r="B4517" s="4" t="s">
        <v>315</v>
      </c>
      <c r="C4517" s="4" t="s">
        <v>283</v>
      </c>
      <c r="D4517" s="94">
        <v>7267.0</v>
      </c>
    </row>
    <row r="4518">
      <c r="A4518" s="40">
        <f t="array" ref="A4518">IFNA(index(PlayerValues!A:A,match(IFNA(vlookup(B4518,'Special Names'!A:B,2,FALSE),B4518),PlayerValues!E:E,0)),"N/A")</f>
        <v>14777</v>
      </c>
      <c r="B4518" s="4" t="s">
        <v>318</v>
      </c>
      <c r="C4518" s="4" t="s">
        <v>283</v>
      </c>
      <c r="D4518" s="94">
        <v>7236.0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7194.0</v>
      </c>
    </row>
    <row r="4520">
      <c r="A4520" s="40">
        <f t="array" ref="A4520">IFNA(index(PlayerValues!A:A,match(IFNA(vlookup(B4520,'Special Names'!A:B,2,FALSE),B4520),PlayerValues!E:E,0)),"N/A")</f>
        <v>17044</v>
      </c>
      <c r="B4520" s="4" t="s">
        <v>322</v>
      </c>
      <c r="C4520" s="4" t="s">
        <v>278</v>
      </c>
      <c r="D4520" s="94">
        <v>6966.0</v>
      </c>
    </row>
    <row r="4521">
      <c r="A4521" s="40">
        <f t="array" ref="A4521">IFNA(index(PlayerValues!A:A,match(IFNA(vlookup(B4521,'Special Names'!A:B,2,FALSE),B4521),PlayerValues!E:E,0)),"N/A")</f>
        <v>16167</v>
      </c>
      <c r="B4521" s="4" t="s">
        <v>323</v>
      </c>
      <c r="C4521" s="4" t="s">
        <v>278</v>
      </c>
      <c r="D4521" s="94">
        <v>6948.0</v>
      </c>
    </row>
    <row r="4522">
      <c r="A4522" s="40" t="str">
        <f t="array" ref="A4522">IFNA(index(PlayerValues!A:A,match(IFNA(vlookup(B4522,'Special Names'!A:B,2,FALSE),B4522),PlayerValues!E:E,0)),"N/A")</f>
        <v>N/A</v>
      </c>
      <c r="B4522" s="4" t="s">
        <v>92</v>
      </c>
      <c r="C4522" s="4" t="s">
        <v>325</v>
      </c>
      <c r="D4522" s="94">
        <v>6938.0</v>
      </c>
    </row>
    <row r="4523">
      <c r="A4523" s="40">
        <f t="array" ref="A4523">IFNA(index(PlayerValues!A:A,match(IFNA(vlookup(B4523,'Special Names'!A:B,2,FALSE),B4523),PlayerValues!E:E,0)),"N/A")</f>
        <v>14779</v>
      </c>
      <c r="B4523" s="4" t="s">
        <v>327</v>
      </c>
      <c r="C4523" s="4" t="s">
        <v>283</v>
      </c>
      <c r="D4523" s="94">
        <v>6936.0</v>
      </c>
    </row>
    <row r="4524">
      <c r="A4524" s="40">
        <f t="array" ref="A4524">IFNA(index(PlayerValues!A:A,match(IFNA(vlookup(B4524,'Special Names'!A:B,2,FALSE),B4524),PlayerValues!E:E,0)),"N/A")</f>
        <v>15751</v>
      </c>
      <c r="B4524" s="4" t="s">
        <v>328</v>
      </c>
      <c r="C4524" s="4" t="s">
        <v>287</v>
      </c>
      <c r="D4524" s="94">
        <v>6795.0</v>
      </c>
    </row>
    <row r="4525">
      <c r="A4525" s="40">
        <f t="array" ref="A4525">IFNA(index(PlayerValues!A:A,match(IFNA(vlookup(B4525,'Special Names'!A:B,2,FALSE),B4525),PlayerValues!E:E,0)),"N/A")</f>
        <v>15715</v>
      </c>
      <c r="B4525" s="4" t="s">
        <v>331</v>
      </c>
      <c r="C4525" s="4" t="s">
        <v>278</v>
      </c>
      <c r="D4525" s="94">
        <v>6521.0</v>
      </c>
    </row>
    <row r="4526">
      <c r="A4526" s="40">
        <f t="array" ref="A4526">IFNA(index(PlayerValues!A:A,match(IFNA(vlookup(B4526,'Special Names'!A:B,2,FALSE),B4526),PlayerValues!E:E,0)),"N/A")</f>
        <v>14802</v>
      </c>
      <c r="B4526" s="4" t="s">
        <v>332</v>
      </c>
      <c r="C4526" s="4" t="s">
        <v>278</v>
      </c>
      <c r="D4526" s="94">
        <v>6377.0</v>
      </c>
    </row>
    <row r="4527">
      <c r="A4527" s="40">
        <f t="array" ref="A4527">IFNA(index(PlayerValues!A:A,match(IFNA(vlookup(B4527,'Special Names'!A:B,2,FALSE),B4527),PlayerValues!E:E,0)),"N/A")</f>
        <v>17104</v>
      </c>
      <c r="B4527" s="4" t="s">
        <v>333</v>
      </c>
      <c r="C4527" s="4" t="s">
        <v>298</v>
      </c>
      <c r="D4527" s="94">
        <v>7040.0</v>
      </c>
    </row>
    <row r="4528">
      <c r="A4528" s="40">
        <f t="array" ref="A4528">IFNA(index(PlayerValues!A:A,match(IFNA(vlookup(B4528,'Special Names'!A:B,2,FALSE),B4528),PlayerValues!E:E,0)),"N/A")</f>
        <v>15237</v>
      </c>
      <c r="B4528" s="4" t="s">
        <v>336</v>
      </c>
      <c r="C4528" s="4" t="s">
        <v>283</v>
      </c>
      <c r="D4528" s="94">
        <v>6319.0</v>
      </c>
    </row>
    <row r="4529">
      <c r="A4529" s="40">
        <f t="array" ref="A4529">IFNA(index(PlayerValues!A:A,match(IFNA(vlookup(B4529,'Special Names'!A:B,2,FALSE),B4529),PlayerValues!E:E,0)),"N/A")</f>
        <v>15762</v>
      </c>
      <c r="B4529" s="4" t="s">
        <v>337</v>
      </c>
      <c r="C4529" s="4" t="s">
        <v>287</v>
      </c>
      <c r="D4529" s="94">
        <v>6253.0</v>
      </c>
    </row>
    <row r="4530">
      <c r="A4530" s="40">
        <f t="array" ref="A4530">IFNA(index(PlayerValues!A:A,match(IFNA(vlookup(B4530,'Special Names'!A:B,2,FALSE),B4530),PlayerValues!E:E,0)),"N/A")</f>
        <v>17081</v>
      </c>
      <c r="B4530" s="4" t="s">
        <v>340</v>
      </c>
      <c r="C4530" s="4" t="s">
        <v>287</v>
      </c>
      <c r="D4530" s="94">
        <v>6191.0</v>
      </c>
    </row>
    <row r="4531">
      <c r="A4531" s="40">
        <f t="array" ref="A4531">IFNA(index(PlayerValues!A:A,match(IFNA(vlookup(B4531,'Special Names'!A:B,2,FALSE),B4531),PlayerValues!E:E,0)),"N/A")</f>
        <v>17071</v>
      </c>
      <c r="B4531" s="4" t="s">
        <v>341</v>
      </c>
      <c r="C4531" s="4" t="s">
        <v>287</v>
      </c>
      <c r="D4531" s="94">
        <v>6187.0</v>
      </c>
    </row>
    <row r="4532">
      <c r="A4532" s="40">
        <f t="array" ref="A4532">IFNA(index(PlayerValues!A:A,match(IFNA(vlookup(B4532,'Special Names'!A:B,2,FALSE),B4532),PlayerValues!E:E,0)),"N/A")</f>
        <v>14783</v>
      </c>
      <c r="B4532" s="4" t="s">
        <v>342</v>
      </c>
      <c r="C4532" s="4" t="s">
        <v>283</v>
      </c>
      <c r="D4532" s="94">
        <v>6041.0</v>
      </c>
    </row>
    <row r="4533">
      <c r="A4533" s="40">
        <f t="array" ref="A4533">IFNA(index(PlayerValues!A:A,match(IFNA(vlookup(B4533,'Special Names'!A:B,2,FALSE),B4533),PlayerValues!E:E,0)),"N/A")</f>
        <v>16582</v>
      </c>
      <c r="B4533" s="4" t="s">
        <v>343</v>
      </c>
      <c r="C4533" s="4" t="s">
        <v>283</v>
      </c>
      <c r="D4533" s="94">
        <v>6025.0</v>
      </c>
    </row>
    <row r="4534">
      <c r="A4534" s="40">
        <f t="array" ref="A4534">IFNA(index(PlayerValues!A:A,match(IFNA(vlookup(B4534,'Special Names'!A:B,2,FALSE),B4534),PlayerValues!E:E,0)),"N/A")</f>
        <v>17102</v>
      </c>
      <c r="B4534" s="4" t="s">
        <v>344</v>
      </c>
      <c r="C4534" s="4" t="s">
        <v>298</v>
      </c>
      <c r="D4534" s="94">
        <v>6638.0</v>
      </c>
    </row>
    <row r="4535">
      <c r="A4535" s="40">
        <f t="array" ref="A4535">IFNA(index(PlayerValues!A:A,match(IFNA(vlookup(B4535,'Special Names'!A:B,2,FALSE),B4535),PlayerValues!E:E,0)),"N/A")</f>
        <v>13116</v>
      </c>
      <c r="B4535" s="4" t="s">
        <v>345</v>
      </c>
      <c r="C4535" s="4" t="s">
        <v>283</v>
      </c>
      <c r="D4535" s="94">
        <v>5960.0</v>
      </c>
    </row>
    <row r="4536">
      <c r="A4536" s="40">
        <f t="array" ref="A4536">IFNA(index(PlayerValues!A:A,match(IFNA(vlookup(B4536,'Special Names'!A:B,2,FALSE),B4536),PlayerValues!E:E,0)),"N/A")</f>
        <v>17032</v>
      </c>
      <c r="B4536" s="4" t="s">
        <v>348</v>
      </c>
      <c r="C4536" s="4" t="s">
        <v>283</v>
      </c>
      <c r="D4536" s="94">
        <v>5886.0</v>
      </c>
    </row>
    <row r="4537">
      <c r="A4537" s="40">
        <f t="array" ref="A4537">IFNA(index(PlayerValues!A:A,match(IFNA(vlookup(B4537,'Special Names'!A:B,2,FALSE),B4537),PlayerValues!E:E,0)),"N/A")</f>
        <v>15711</v>
      </c>
      <c r="B4537" s="4" t="s">
        <v>349</v>
      </c>
      <c r="C4537" s="4" t="s">
        <v>278</v>
      </c>
      <c r="D4537" s="94">
        <v>5750.0</v>
      </c>
    </row>
    <row r="4538">
      <c r="A4538" s="40">
        <f t="array" ref="A4538">IFNA(index(PlayerValues!A:A,match(IFNA(vlookup(B4538,'Special Names'!A:B,2,FALSE),B4538),PlayerValues!E:E,0)),"N/A")</f>
        <v>16181</v>
      </c>
      <c r="B4538" s="4" t="s">
        <v>350</v>
      </c>
      <c r="C4538" s="4" t="s">
        <v>278</v>
      </c>
      <c r="D4538" s="94">
        <v>5745.0</v>
      </c>
    </row>
    <row r="4539">
      <c r="A4539" s="40">
        <f t="array" ref="A4539">IFNA(index(PlayerValues!A:A,match(IFNA(vlookup(B4539,'Special Names'!A:B,2,FALSE),B4539),PlayerValues!E:E,0)),"N/A")</f>
        <v>16627</v>
      </c>
      <c r="B4539" s="4" t="s">
        <v>351</v>
      </c>
      <c r="C4539" s="4" t="s">
        <v>287</v>
      </c>
      <c r="D4539" s="94">
        <v>5742.0</v>
      </c>
    </row>
    <row r="4540">
      <c r="A4540" s="40">
        <f t="array" ref="A4540">IFNA(index(PlayerValues!A:A,match(IFNA(vlookup(B4540,'Special Names'!A:B,2,FALSE),B4540),PlayerValues!E:E,0)),"N/A")</f>
        <v>15754</v>
      </c>
      <c r="B4540" s="4" t="s">
        <v>354</v>
      </c>
      <c r="C4540" s="4" t="s">
        <v>287</v>
      </c>
      <c r="D4540" s="94">
        <v>5739.0</v>
      </c>
    </row>
    <row r="4541">
      <c r="A4541" s="40">
        <f t="array" ref="A4541">IFNA(index(PlayerValues!A:A,match(IFNA(vlookup(B4541,'Special Names'!A:B,2,FALSE),B4541),PlayerValues!E:E,0)),"N/A")</f>
        <v>15290</v>
      </c>
      <c r="B4541" s="4" t="s">
        <v>355</v>
      </c>
      <c r="C4541" s="4" t="s">
        <v>287</v>
      </c>
      <c r="D4541" s="94">
        <v>5732.0</v>
      </c>
    </row>
    <row r="4542">
      <c r="A4542" s="40">
        <f t="array" ref="A4542">IFNA(index(PlayerValues!A:A,match(IFNA(vlookup(B4542,'Special Names'!A:B,2,FALSE),B4542),PlayerValues!E:E,0)),"N/A")</f>
        <v>15698</v>
      </c>
      <c r="B4542" s="4" t="s">
        <v>358</v>
      </c>
      <c r="C4542" s="4" t="s">
        <v>283</v>
      </c>
      <c r="D4542" s="94">
        <v>5659.0</v>
      </c>
    </row>
    <row r="4543">
      <c r="A4543" s="40">
        <f t="array" ref="A4543">IFNA(index(PlayerValues!A:A,match(IFNA(vlookup(B4543,'Special Names'!A:B,2,FALSE),B4543),PlayerValues!E:E,0)),"N/A")</f>
        <v>15753</v>
      </c>
      <c r="B4543" s="4" t="s">
        <v>359</v>
      </c>
      <c r="C4543" s="4" t="s">
        <v>287</v>
      </c>
      <c r="D4543" s="94">
        <v>5652.0</v>
      </c>
    </row>
    <row r="4544">
      <c r="A4544" s="40" t="str">
        <f t="array" ref="A4544">IFNA(index(PlayerValues!A:A,match(IFNA(vlookup(B4544,'Special Names'!A:B,2,FALSE),B4544),PlayerValues!E:E,0)),"N/A")</f>
        <v>N/A</v>
      </c>
      <c r="B4544" s="4" t="s">
        <v>93</v>
      </c>
      <c r="C4544" s="4" t="s">
        <v>325</v>
      </c>
      <c r="D4544" s="94">
        <v>5600.0</v>
      </c>
    </row>
    <row r="4545">
      <c r="A4545" s="40">
        <f t="array" ref="A4545">IFNA(index(PlayerValues!A:A,match(IFNA(vlookup(B4545,'Special Names'!A:B,2,FALSE),B4545),PlayerValues!E:E,0)),"N/A")</f>
        <v>15282</v>
      </c>
      <c r="B4545" s="4" t="s">
        <v>364</v>
      </c>
      <c r="C4545" s="4" t="s">
        <v>287</v>
      </c>
      <c r="D4545" s="94">
        <v>5569.0</v>
      </c>
    </row>
    <row r="4546">
      <c r="A4546" s="40">
        <f t="array" ref="A4546">IFNA(index(PlayerValues!A:A,match(IFNA(vlookup(B4546,'Special Names'!A:B,2,FALSE),B4546),PlayerValues!E:E,0)),"N/A")</f>
        <v>17497</v>
      </c>
      <c r="B4546" s="4" t="s">
        <v>365</v>
      </c>
      <c r="C4546" s="4" t="s">
        <v>287</v>
      </c>
      <c r="D4546" s="94">
        <v>5568.0</v>
      </c>
    </row>
    <row r="4547">
      <c r="A4547" s="40" t="str">
        <f t="array" ref="A4547">IFNA(index(PlayerValues!A:A,match(IFNA(vlookup(B4547,'Special Names'!A:B,2,FALSE),B4547),PlayerValues!E:E,0)),"N/A")</f>
        <v>N/A</v>
      </c>
      <c r="B4547" s="4" t="s">
        <v>79</v>
      </c>
      <c r="C4547" s="4" t="s">
        <v>325</v>
      </c>
      <c r="D4547" s="94">
        <v>5527.0</v>
      </c>
    </row>
    <row r="4548">
      <c r="A4548" s="40">
        <f t="array" ref="A4548">IFNA(index(PlayerValues!A:A,match(IFNA(vlookup(B4548,'Special Names'!A:B,2,FALSE),B4548),PlayerValues!E:E,0)),"N/A")</f>
        <v>17070</v>
      </c>
      <c r="B4548" s="4" t="s">
        <v>370</v>
      </c>
      <c r="C4548" s="4" t="s">
        <v>287</v>
      </c>
      <c r="D4548" s="94">
        <v>5497.0</v>
      </c>
    </row>
    <row r="4549">
      <c r="A4549" s="40">
        <f t="array" ref="A4549">IFNA(index(PlayerValues!A:A,match(IFNA(vlookup(B4549,'Special Names'!A:B,2,FALSE),B4549),PlayerValues!E:E,0)),"N/A")</f>
        <v>16190</v>
      </c>
      <c r="B4549" s="4" t="s">
        <v>371</v>
      </c>
      <c r="C4549" s="4" t="s">
        <v>287</v>
      </c>
      <c r="D4549" s="94">
        <v>5339.0</v>
      </c>
    </row>
    <row r="4550">
      <c r="A4550" s="40">
        <f t="array" ref="A4550">IFNA(index(PlayerValues!A:A,match(IFNA(vlookup(B4550,'Special Names'!A:B,2,FALSE),B4550),PlayerValues!E:E,0)),"N/A")</f>
        <v>13130</v>
      </c>
      <c r="B4550" s="4" t="s">
        <v>374</v>
      </c>
      <c r="C4550" s="4" t="s">
        <v>278</v>
      </c>
      <c r="D4550" s="94">
        <v>5305.0</v>
      </c>
    </row>
    <row r="4551">
      <c r="A4551" s="40">
        <f t="array" ref="A4551">IFNA(index(PlayerValues!A:A,match(IFNA(vlookup(B4551,'Special Names'!A:B,2,FALSE),B4551),PlayerValues!E:E,0)),"N/A")</f>
        <v>17462</v>
      </c>
      <c r="B4551" s="4" t="s">
        <v>375</v>
      </c>
      <c r="C4551" s="4" t="s">
        <v>283</v>
      </c>
      <c r="D4551" s="94">
        <v>5303.0</v>
      </c>
    </row>
    <row r="4552">
      <c r="A4552" s="40">
        <f t="array" ref="A4552">IFNA(index(PlayerValues!A:A,match(IFNA(vlookup(B4552,'Special Names'!A:B,2,FALSE),B4552),PlayerValues!E:E,0)),"N/A")</f>
        <v>13604</v>
      </c>
      <c r="B4552" s="4" t="s">
        <v>378</v>
      </c>
      <c r="C4552" s="4" t="s">
        <v>278</v>
      </c>
      <c r="D4552" s="94">
        <v>5288.0</v>
      </c>
    </row>
    <row r="4553">
      <c r="A4553" s="40">
        <f t="array" ref="A4553">IFNA(index(PlayerValues!A:A,match(IFNA(vlookup(B4553,'Special Names'!A:B,2,FALSE),B4553),PlayerValues!E:E,0)),"N/A")</f>
        <v>14104</v>
      </c>
      <c r="B4553" s="4" t="s">
        <v>379</v>
      </c>
      <c r="C4553" s="4" t="s">
        <v>287</v>
      </c>
      <c r="D4553" s="94">
        <v>5287.0</v>
      </c>
    </row>
    <row r="4554">
      <c r="A4554" s="40">
        <f t="array" ref="A4554">IFNA(index(PlayerValues!A:A,match(IFNA(vlookup(B4554,'Special Names'!A:B,2,FALSE),B4554),PlayerValues!E:E,0)),"N/A")</f>
        <v>15708</v>
      </c>
      <c r="B4554" s="4" t="s">
        <v>382</v>
      </c>
      <c r="C4554" s="4" t="s">
        <v>278</v>
      </c>
      <c r="D4554" s="94">
        <v>5287.0</v>
      </c>
    </row>
    <row r="4555">
      <c r="A4555" s="40">
        <f t="array" ref="A4555">IFNA(index(PlayerValues!A:A,match(IFNA(vlookup(B4555,'Special Names'!A:B,2,FALSE),B4555),PlayerValues!E:E,0)),"N/A")</f>
        <v>14782</v>
      </c>
      <c r="B4555" s="4" t="s">
        <v>385</v>
      </c>
      <c r="C4555" s="4" t="s">
        <v>283</v>
      </c>
      <c r="D4555" s="94">
        <v>5284.0</v>
      </c>
    </row>
    <row r="4556">
      <c r="A4556" s="40" t="str">
        <f t="array" ref="A4556">IFNA(index(PlayerValues!A:A,match(IFNA(vlookup(B4556,'Special Names'!A:B,2,FALSE),B4556),PlayerValues!E:E,0)),"N/A")</f>
        <v>N/A</v>
      </c>
      <c r="B4556" s="4" t="s">
        <v>104</v>
      </c>
      <c r="C4556" s="4" t="s">
        <v>325</v>
      </c>
      <c r="D4556" s="94">
        <v>5247.0</v>
      </c>
    </row>
    <row r="4557">
      <c r="A4557" s="40">
        <f t="array" ref="A4557">IFNA(index(PlayerValues!A:A,match(IFNA(vlookup(B4557,'Special Names'!A:B,2,FALSE),B4557),PlayerValues!E:E,0)),"N/A")</f>
        <v>17051</v>
      </c>
      <c r="B4557" s="4" t="s">
        <v>386</v>
      </c>
      <c r="C4557" s="4" t="s">
        <v>278</v>
      </c>
      <c r="D4557" s="94">
        <v>5241.0</v>
      </c>
    </row>
    <row r="4558">
      <c r="A4558" s="40">
        <f t="array" ref="A4558">IFNA(index(PlayerValues!A:A,match(IFNA(vlookup(B4558,'Special Names'!A:B,2,FALSE),B4558),PlayerValues!E:E,0)),"N/A")</f>
        <v>16616</v>
      </c>
      <c r="B4558" s="4" t="s">
        <v>389</v>
      </c>
      <c r="C4558" s="4" t="s">
        <v>287</v>
      </c>
      <c r="D4558" s="94">
        <v>5222.0</v>
      </c>
    </row>
    <row r="4559">
      <c r="A4559" s="40">
        <f t="array" ref="A4559">IFNA(index(PlayerValues!A:A,match(IFNA(vlookup(B4559,'Special Names'!A:B,2,FALSE),B4559),PlayerValues!E:E,0)),"N/A")</f>
        <v>15284</v>
      </c>
      <c r="B4559" s="4" t="s">
        <v>390</v>
      </c>
      <c r="C4559" s="4" t="s">
        <v>287</v>
      </c>
      <c r="D4559" s="94">
        <v>5191.0</v>
      </c>
    </row>
    <row r="4560">
      <c r="A4560" s="40">
        <f t="array" ref="A4560">IFNA(index(PlayerValues!A:A,match(IFNA(vlookup(B4560,'Special Names'!A:B,2,FALSE),B4560),PlayerValues!E:E,0)),"N/A")</f>
        <v>17473</v>
      </c>
      <c r="B4560" s="4" t="s">
        <v>391</v>
      </c>
      <c r="C4560" s="4" t="s">
        <v>278</v>
      </c>
      <c r="D4560" s="94">
        <v>5116.0</v>
      </c>
    </row>
    <row r="4561">
      <c r="A4561" s="40">
        <f t="array" ref="A4561">IFNA(index(PlayerValues!A:A,match(IFNA(vlookup(B4561,'Special Names'!A:B,2,FALSE),B4561),PlayerValues!E:E,0)),"N/A")</f>
        <v>14835</v>
      </c>
      <c r="B4561" s="4" t="s">
        <v>392</v>
      </c>
      <c r="C4561" s="4" t="s">
        <v>287</v>
      </c>
      <c r="D4561" s="94">
        <v>5095.0</v>
      </c>
    </row>
    <row r="4562">
      <c r="A4562" s="40">
        <f t="array" ref="A4562">IFNA(index(PlayerValues!A:A,match(IFNA(vlookup(B4562,'Special Names'!A:B,2,FALSE),B4562),PlayerValues!E:E,0)),"N/A")</f>
        <v>16222</v>
      </c>
      <c r="B4562" s="4" t="s">
        <v>393</v>
      </c>
      <c r="C4562" s="4" t="s">
        <v>298</v>
      </c>
      <c r="D4562" s="94">
        <v>5638.0</v>
      </c>
    </row>
    <row r="4563">
      <c r="A4563" s="40">
        <f t="array" ref="A4563">IFNA(index(PlayerValues!A:A,match(IFNA(vlookup(B4563,'Special Names'!A:B,2,FALSE),B4563),PlayerValues!E:E,0)),"N/A")</f>
        <v>12620</v>
      </c>
      <c r="B4563" s="4" t="s">
        <v>394</v>
      </c>
      <c r="C4563" s="4" t="s">
        <v>283</v>
      </c>
      <c r="D4563" s="94">
        <v>5050.0</v>
      </c>
    </row>
    <row r="4564">
      <c r="A4564" s="40">
        <f t="array" ref="A4564">IFNA(index(PlayerValues!A:A,match(IFNA(vlookup(B4564,'Special Names'!A:B,2,FALSE),B4564),PlayerValues!E:E,0)),"N/A")</f>
        <v>15710</v>
      </c>
      <c r="B4564" s="4" t="s">
        <v>395</v>
      </c>
      <c r="C4564" s="4" t="s">
        <v>278</v>
      </c>
      <c r="D4564" s="94">
        <v>4953.0</v>
      </c>
    </row>
    <row r="4565">
      <c r="A4565" s="40">
        <f t="array" ref="A4565">IFNA(index(PlayerValues!A:A,match(IFNA(vlookup(B4565,'Special Names'!A:B,2,FALSE),B4565),PlayerValues!E:E,0)),"N/A")</f>
        <v>17498</v>
      </c>
      <c r="B4565" s="4" t="s">
        <v>396</v>
      </c>
      <c r="C4565" s="4" t="s">
        <v>287</v>
      </c>
      <c r="D4565" s="94">
        <v>4948.0</v>
      </c>
    </row>
    <row r="4566">
      <c r="A4566" s="40" t="str">
        <f t="array" ref="A4566">IFNA(index(PlayerValues!A:A,match(IFNA(vlookup(B4566,'Special Names'!A:B,2,FALSE),B4566),PlayerValues!E:E,0)),"N/A")</f>
        <v>N/A</v>
      </c>
      <c r="B4566" s="4" t="s">
        <v>94</v>
      </c>
      <c r="C4566" s="4" t="s">
        <v>325</v>
      </c>
      <c r="D4566" s="94">
        <v>4941.0</v>
      </c>
    </row>
    <row r="4567">
      <c r="A4567" s="40">
        <f t="array" ref="A4567">IFNA(index(PlayerValues!A:A,match(IFNA(vlookup(B4567,'Special Names'!A:B,2,FALSE),B4567),PlayerValues!E:E,0)),"N/A")</f>
        <v>17043</v>
      </c>
      <c r="B4567" s="4" t="s">
        <v>397</v>
      </c>
      <c r="C4567" s="4" t="s">
        <v>278</v>
      </c>
      <c r="D4567" s="94">
        <v>4930.0</v>
      </c>
    </row>
    <row r="4568">
      <c r="A4568" s="40">
        <f t="array" ref="A4568">IFNA(index(PlayerValues!A:A,match(IFNA(vlookup(B4568,'Special Names'!A:B,2,FALSE),B4568),PlayerValues!E:E,0)),"N/A")</f>
        <v>16194</v>
      </c>
      <c r="B4568" s="4" t="s">
        <v>398</v>
      </c>
      <c r="C4568" s="4" t="s">
        <v>287</v>
      </c>
      <c r="D4568" s="94">
        <v>4834.0</v>
      </c>
    </row>
    <row r="4569">
      <c r="A4569" s="40">
        <f t="array" ref="A4569">IFNA(index(PlayerValues!A:A,match(IFNA(vlookup(B4569,'Special Names'!A:B,2,FALSE),B4569),PlayerValues!E:E,0)),"N/A")</f>
        <v>15756</v>
      </c>
      <c r="B4569" s="4" t="s">
        <v>399</v>
      </c>
      <c r="C4569" s="4" t="s">
        <v>287</v>
      </c>
      <c r="D4569" s="94">
        <v>4829.0</v>
      </c>
    </row>
    <row r="4570">
      <c r="A4570" s="40">
        <f t="array" ref="A4570">IFNA(index(PlayerValues!A:A,match(IFNA(vlookup(B4570,'Special Names'!A:B,2,FALSE),B4570),PlayerValues!E:E,0)),"N/A")</f>
        <v>17039</v>
      </c>
      <c r="B4570" s="4" t="s">
        <v>400</v>
      </c>
      <c r="C4570" s="4" t="s">
        <v>283</v>
      </c>
      <c r="D4570" s="94">
        <v>4800.0</v>
      </c>
    </row>
    <row r="4571">
      <c r="A4571" s="40">
        <f t="array" ref="A4571">IFNA(index(PlayerValues!A:A,match(IFNA(vlookup(B4571,'Special Names'!A:B,2,FALSE),B4571),PlayerValues!E:E,0)),"N/A")</f>
        <v>15256</v>
      </c>
      <c r="B4571" s="4" t="s">
        <v>401</v>
      </c>
      <c r="C4571" s="4" t="s">
        <v>278</v>
      </c>
      <c r="D4571" s="94">
        <v>4792.0</v>
      </c>
    </row>
    <row r="4572">
      <c r="A4572" s="40">
        <f t="array" ref="A4572">IFNA(index(PlayerValues!A:A,match(IFNA(vlookup(B4572,'Special Names'!A:B,2,FALSE),B4572),PlayerValues!E:E,0)),"N/A")</f>
        <v>17499</v>
      </c>
      <c r="B4572" s="4" t="s">
        <v>402</v>
      </c>
      <c r="C4572" s="4" t="s">
        <v>287</v>
      </c>
      <c r="D4572" s="94">
        <v>4768.0</v>
      </c>
    </row>
    <row r="4573">
      <c r="A4573" s="40">
        <f t="array" ref="A4573">IFNA(index(PlayerValues!A:A,match(IFNA(vlookup(B4573,'Special Names'!A:B,2,FALSE),B4573),PlayerValues!E:E,0)),"N/A")</f>
        <v>16614</v>
      </c>
      <c r="B4573" s="4" t="s">
        <v>403</v>
      </c>
      <c r="C4573" s="4" t="s">
        <v>287</v>
      </c>
      <c r="D4573" s="94">
        <v>4744.0</v>
      </c>
    </row>
    <row r="4574">
      <c r="A4574" s="40" t="str">
        <f t="array" ref="A4574">IFNA(index(PlayerValues!A:A,match(IFNA(vlookup(B4574,'Special Names'!A:B,2,FALSE),B4574),PlayerValues!E:E,0)),"N/A")</f>
        <v>N/A</v>
      </c>
      <c r="B4574" s="4" t="s">
        <v>80</v>
      </c>
      <c r="C4574" s="4" t="s">
        <v>325</v>
      </c>
      <c r="D4574" s="94">
        <v>4733.0</v>
      </c>
    </row>
    <row r="4575">
      <c r="A4575" s="40">
        <f t="array" ref="A4575">IFNA(index(PlayerValues!A:A,match(IFNA(vlookup(B4575,'Special Names'!A:B,2,FALSE),B4575),PlayerValues!E:E,0)),"N/A")</f>
        <v>17501</v>
      </c>
      <c r="B4575" s="4" t="s">
        <v>404</v>
      </c>
      <c r="C4575" s="4" t="s">
        <v>287</v>
      </c>
      <c r="D4575" s="94">
        <v>4717.0</v>
      </c>
    </row>
    <row r="4576">
      <c r="A4576" s="40">
        <f t="array" ref="A4576">IFNA(index(PlayerValues!A:A,match(IFNA(vlookup(B4576,'Special Names'!A:B,2,FALSE),B4576),PlayerValues!E:E,0)),"N/A")</f>
        <v>17103</v>
      </c>
      <c r="B4576" s="4" t="s">
        <v>405</v>
      </c>
      <c r="C4576" s="4" t="s">
        <v>298</v>
      </c>
      <c r="D4576" s="94">
        <v>5259.0</v>
      </c>
    </row>
    <row r="4577">
      <c r="A4577" s="40">
        <f t="array" ref="A4577">IFNA(index(PlayerValues!A:A,match(IFNA(vlookup(B4577,'Special Names'!A:B,2,FALSE),B4577),PlayerValues!E:E,0)),"N/A")</f>
        <v>17030</v>
      </c>
      <c r="B4577" s="4" t="s">
        <v>406</v>
      </c>
      <c r="C4577" s="4" t="s">
        <v>283</v>
      </c>
      <c r="D4577" s="94">
        <v>4696.0</v>
      </c>
    </row>
    <row r="4578">
      <c r="A4578" s="40">
        <f t="array" ref="A4578">IFNA(index(PlayerValues!A:A,match(IFNA(vlookup(B4578,'Special Names'!A:B,2,FALSE),B4578),PlayerValues!E:E,0)),"N/A")</f>
        <v>17045</v>
      </c>
      <c r="B4578" s="4" t="s">
        <v>407</v>
      </c>
      <c r="C4578" s="4" t="s">
        <v>278</v>
      </c>
      <c r="D4578" s="94">
        <v>4653.0</v>
      </c>
    </row>
    <row r="4579">
      <c r="A4579" s="40">
        <f t="array" ref="A4579">IFNA(index(PlayerValues!A:A,match(IFNA(vlookup(B4579,'Special Names'!A:B,2,FALSE),B4579),PlayerValues!E:E,0)),"N/A")</f>
        <v>16598</v>
      </c>
      <c r="B4579" s="4" t="s">
        <v>408</v>
      </c>
      <c r="C4579" s="4" t="s">
        <v>278</v>
      </c>
      <c r="D4579" s="94">
        <v>4611.0</v>
      </c>
    </row>
    <row r="4580">
      <c r="A4580" s="40">
        <f t="array" ref="A4580">IFNA(index(PlayerValues!A:A,match(IFNA(vlookup(B4580,'Special Names'!A:B,2,FALSE),B4580),PlayerValues!E:E,0)),"N/A")</f>
        <v>13590</v>
      </c>
      <c r="B4580" s="4" t="s">
        <v>409</v>
      </c>
      <c r="C4580" s="4" t="s">
        <v>283</v>
      </c>
      <c r="D4580" s="94">
        <v>4588.0</v>
      </c>
    </row>
    <row r="4581">
      <c r="A4581" s="40" t="str">
        <f t="array" ref="A4581">IFNA(index(PlayerValues!A:A,match(IFNA(vlookup(B4581,'Special Names'!A:B,2,FALSE),B4581),PlayerValues!E:E,0)),"N/A")</f>
        <v>N/A</v>
      </c>
      <c r="B4581" s="4" t="s">
        <v>105</v>
      </c>
      <c r="C4581" s="4" t="s">
        <v>325</v>
      </c>
      <c r="D4581" s="94">
        <v>4587.0</v>
      </c>
    </row>
    <row r="4582">
      <c r="A4582" s="40">
        <f t="array" ref="A4582">IFNA(index(PlayerValues!A:A,match(IFNA(vlookup(B4582,'Special Names'!A:B,2,FALSE),B4582),PlayerValues!E:E,0)),"N/A")</f>
        <v>12611</v>
      </c>
      <c r="B4582" s="4" t="s">
        <v>410</v>
      </c>
      <c r="C4582" s="4" t="s">
        <v>283</v>
      </c>
      <c r="D4582" s="94">
        <v>4567.0</v>
      </c>
    </row>
    <row r="4583">
      <c r="A4583" s="40">
        <f t="array" ref="A4583">IFNA(index(PlayerValues!A:A,match(IFNA(vlookup(B4583,'Special Names'!A:B,2,FALSE),B4583),PlayerValues!E:E,0)),"N/A")</f>
        <v>16618</v>
      </c>
      <c r="B4583" s="4" t="s">
        <v>411</v>
      </c>
      <c r="C4583" s="4" t="s">
        <v>287</v>
      </c>
      <c r="D4583" s="94">
        <v>4563.0</v>
      </c>
    </row>
    <row r="4584">
      <c r="A4584" s="40">
        <f t="array" ref="A4584">IFNA(index(PlayerValues!A:A,match(IFNA(vlookup(B4584,'Special Names'!A:B,2,FALSE),B4584),PlayerValues!E:E,0)),"N/A")</f>
        <v>16192</v>
      </c>
      <c r="B4584" s="4" t="s">
        <v>412</v>
      </c>
      <c r="C4584" s="4" t="s">
        <v>287</v>
      </c>
      <c r="D4584" s="94">
        <v>4555.0</v>
      </c>
    </row>
    <row r="4585">
      <c r="A4585" s="40">
        <f t="array" ref="A4585">IFNA(index(PlayerValues!A:A,match(IFNA(vlookup(B4585,'Special Names'!A:B,2,FALSE),B4585),PlayerValues!E:E,0)),"N/A")</f>
        <v>16214</v>
      </c>
      <c r="B4585" s="4" t="s">
        <v>413</v>
      </c>
      <c r="C4585" s="4" t="s">
        <v>298</v>
      </c>
      <c r="D4585" s="94">
        <v>5080.0</v>
      </c>
    </row>
    <row r="4586">
      <c r="A4586" s="40">
        <f t="array" ref="A4586">IFNA(index(PlayerValues!A:A,match(IFNA(vlookup(B4586,'Special Names'!A:B,2,FALSE),B4586),PlayerValues!E:E,0)),"N/A")</f>
        <v>16150</v>
      </c>
      <c r="B4586" s="4" t="s">
        <v>414</v>
      </c>
      <c r="C4586" s="4" t="s">
        <v>283</v>
      </c>
      <c r="D4586" s="94">
        <v>4462.0</v>
      </c>
    </row>
    <row r="4587">
      <c r="A4587" s="40">
        <f t="array" ref="A4587">IFNA(index(PlayerValues!A:A,match(IFNA(vlookup(B4587,'Special Names'!A:B,2,FALSE),B4587),PlayerValues!E:E,0)),"N/A")</f>
        <v>15253</v>
      </c>
      <c r="B4587" s="4" t="s">
        <v>415</v>
      </c>
      <c r="C4587" s="4" t="s">
        <v>278</v>
      </c>
      <c r="D4587" s="94">
        <v>4449.0</v>
      </c>
    </row>
    <row r="4588">
      <c r="A4588" s="40">
        <f t="array" ref="A4588">IFNA(index(PlayerValues!A:A,match(IFNA(vlookup(B4588,'Special Names'!A:B,2,FALSE),B4588),PlayerValues!E:E,0)),"N/A")</f>
        <v>15329</v>
      </c>
      <c r="B4588" s="4" t="s">
        <v>416</v>
      </c>
      <c r="C4588" s="4" t="s">
        <v>298</v>
      </c>
      <c r="D4588" s="94">
        <v>4876.0</v>
      </c>
    </row>
    <row r="4589">
      <c r="A4589" s="40">
        <f t="array" ref="A4589">IFNA(index(PlayerValues!A:A,match(IFNA(vlookup(B4589,'Special Names'!A:B,2,FALSE),B4589),PlayerValues!E:E,0)),"N/A")</f>
        <v>17052</v>
      </c>
      <c r="B4589" s="4" t="s">
        <v>417</v>
      </c>
      <c r="C4589" s="4" t="s">
        <v>278</v>
      </c>
      <c r="D4589" s="94">
        <v>4296.0</v>
      </c>
    </row>
    <row r="4590">
      <c r="A4590" s="40">
        <f t="array" ref="A4590">IFNA(index(PlayerValues!A:A,match(IFNA(vlookup(B4590,'Special Names'!A:B,2,FALSE),B4590),PlayerValues!E:E,0)),"N/A")</f>
        <v>13592</v>
      </c>
      <c r="B4590" s="4" t="s">
        <v>418</v>
      </c>
      <c r="C4590" s="4" t="s">
        <v>283</v>
      </c>
      <c r="D4590" s="94">
        <v>4259.0</v>
      </c>
    </row>
    <row r="4591">
      <c r="A4591" s="40">
        <f t="array" ref="A4591">IFNA(index(PlayerValues!A:A,match(IFNA(vlookup(B4591,'Special Names'!A:B,2,FALSE),B4591),PlayerValues!E:E,0)),"N/A")</f>
        <v>12626</v>
      </c>
      <c r="B4591" s="4" t="s">
        <v>419</v>
      </c>
      <c r="C4591" s="4" t="s">
        <v>278</v>
      </c>
      <c r="D4591" s="94">
        <v>4232.0</v>
      </c>
    </row>
    <row r="4592">
      <c r="A4592" s="40" t="str">
        <f t="array" ref="A4592">IFNA(index(PlayerValues!A:A,match(IFNA(vlookup(B4592,'Special Names'!A:B,2,FALSE),B4592),PlayerValues!E:E,0)),"N/A")</f>
        <v>N/A</v>
      </c>
      <c r="B4592" s="4" t="s">
        <v>107</v>
      </c>
      <c r="C4592" s="4" t="s">
        <v>325</v>
      </c>
      <c r="D4592" s="94">
        <v>4175.0</v>
      </c>
    </row>
    <row r="4593">
      <c r="A4593" s="40" t="str">
        <f t="array" ref="A4593">IFNA(index(PlayerValues!A:A,match(IFNA(vlookup(B4593,'Special Names'!A:B,2,FALSE),B4593),PlayerValues!E:E,0)),"N/A")</f>
        <v>N/A</v>
      </c>
      <c r="B4593" s="4" t="s">
        <v>81</v>
      </c>
      <c r="C4593" s="4" t="s">
        <v>325</v>
      </c>
      <c r="D4593" s="94">
        <v>4024.0</v>
      </c>
    </row>
    <row r="4594">
      <c r="A4594" s="40">
        <f t="array" ref="A4594">IFNA(index(PlayerValues!A:A,match(IFNA(vlookup(B4594,'Special Names'!A:B,2,FALSE),B4594),PlayerValues!E:E,0)),"N/A")</f>
        <v>14797</v>
      </c>
      <c r="B4594" s="4" t="s">
        <v>420</v>
      </c>
      <c r="C4594" s="4" t="s">
        <v>278</v>
      </c>
      <c r="D4594" s="94">
        <v>4007.0</v>
      </c>
    </row>
    <row r="4595">
      <c r="A4595" s="40">
        <f t="array" ref="A4595">IFNA(index(PlayerValues!A:A,match(IFNA(vlookup(B4595,'Special Names'!A:B,2,FALSE),B4595),PlayerValues!E:E,0)),"N/A")</f>
        <v>15789</v>
      </c>
      <c r="B4595" s="4" t="s">
        <v>421</v>
      </c>
      <c r="C4595" s="4" t="s">
        <v>287</v>
      </c>
      <c r="D4595" s="94">
        <v>3953.0</v>
      </c>
    </row>
    <row r="4596">
      <c r="A4596" s="40">
        <f t="array" ref="A4596">IFNA(index(PlayerValues!A:A,match(IFNA(vlookup(B4596,'Special Names'!A:B,2,FALSE),B4596),PlayerValues!E:E,0)),"N/A")</f>
        <v>17514</v>
      </c>
      <c r="B4596" s="4" t="s">
        <v>422</v>
      </c>
      <c r="C4596" s="4" t="s">
        <v>287</v>
      </c>
      <c r="D4596" s="94">
        <v>3918.0</v>
      </c>
    </row>
    <row r="4597">
      <c r="A4597" s="40">
        <f t="array" ref="A4597">IFNA(index(PlayerValues!A:A,match(IFNA(vlookup(B4597,'Special Names'!A:B,2,FALSE),B4597),PlayerValues!E:E,0)),"N/A")</f>
        <v>14056</v>
      </c>
      <c r="B4597" s="4" t="s">
        <v>423</v>
      </c>
      <c r="C4597" s="4" t="s">
        <v>283</v>
      </c>
      <c r="D4597" s="94">
        <v>3852.0</v>
      </c>
    </row>
    <row r="4598">
      <c r="A4598" s="40">
        <f t="array" ref="A4598">IFNA(index(PlayerValues!A:A,match(IFNA(vlookup(B4598,'Special Names'!A:B,2,FALSE),B4598),PlayerValues!E:E,0)),"N/A")</f>
        <v>13635</v>
      </c>
      <c r="B4598" s="4" t="s">
        <v>424</v>
      </c>
      <c r="C4598" s="4" t="s">
        <v>287</v>
      </c>
      <c r="D4598" s="94">
        <v>3811.0</v>
      </c>
    </row>
    <row r="4599">
      <c r="A4599" s="40" t="str">
        <f t="array" ref="A4599">IFNA(index(PlayerValues!A:A,match(IFNA(vlookup(B4599,'Special Names'!A:B,2,FALSE),B4599),PlayerValues!E:E,0)),"N/A")</f>
        <v>N/A</v>
      </c>
      <c r="B4599" s="4" t="s">
        <v>95</v>
      </c>
      <c r="C4599" s="4" t="s">
        <v>325</v>
      </c>
      <c r="D4599" s="94">
        <v>3809.0</v>
      </c>
    </row>
    <row r="4600">
      <c r="A4600" s="40">
        <f t="array" ref="A4600">IFNA(index(PlayerValues!A:A,match(IFNA(vlookup(B4600,'Special Names'!A:B,2,FALSE),B4600),PlayerValues!E:E,0)),"N/A")</f>
        <v>16186</v>
      </c>
      <c r="B4600" s="4" t="s">
        <v>425</v>
      </c>
      <c r="C4600" s="4" t="s">
        <v>287</v>
      </c>
      <c r="D4600" s="94">
        <v>3788.0</v>
      </c>
    </row>
    <row r="4601">
      <c r="A4601" s="40">
        <f t="array" ref="A4601">IFNA(index(PlayerValues!A:A,match(IFNA(vlookup(B4601,'Special Names'!A:B,2,FALSE),B4601),PlayerValues!E:E,0)),"N/A")</f>
        <v>16148</v>
      </c>
      <c r="B4601" s="4" t="s">
        <v>426</v>
      </c>
      <c r="C4601" s="4" t="s">
        <v>283</v>
      </c>
      <c r="D4601" s="94">
        <v>3755.0</v>
      </c>
    </row>
    <row r="4602">
      <c r="A4602" s="40">
        <f t="array" ref="A4602">IFNA(index(PlayerValues!A:A,match(IFNA(vlookup(B4602,'Special Names'!A:B,2,FALSE),B4602),PlayerValues!E:E,0)),"N/A")</f>
        <v>16597</v>
      </c>
      <c r="B4602" s="4" t="s">
        <v>427</v>
      </c>
      <c r="C4602" s="4" t="s">
        <v>278</v>
      </c>
      <c r="D4602" s="94">
        <v>3753.0</v>
      </c>
    </row>
    <row r="4603">
      <c r="A4603" s="40">
        <f t="array" ref="A4603">IFNA(index(PlayerValues!A:A,match(IFNA(vlookup(B4603,'Special Names'!A:B,2,FALSE),B4603),PlayerValues!E:E,0)),"N/A")</f>
        <v>9431</v>
      </c>
      <c r="B4603" s="4" t="s">
        <v>428</v>
      </c>
      <c r="C4603" s="4" t="s">
        <v>283</v>
      </c>
      <c r="D4603" s="94">
        <v>3735.0</v>
      </c>
    </row>
    <row r="4604">
      <c r="A4604" s="40">
        <f t="array" ref="A4604">IFNA(index(PlayerValues!A:A,match(IFNA(vlookup(B4604,'Special Names'!A:B,2,FALSE),B4604),PlayerValues!E:E,0)),"N/A")</f>
        <v>17075</v>
      </c>
      <c r="B4604" s="4" t="s">
        <v>429</v>
      </c>
      <c r="C4604" s="4" t="s">
        <v>287</v>
      </c>
      <c r="D4604" s="94">
        <v>3729.0</v>
      </c>
    </row>
    <row r="4605">
      <c r="A4605" s="40">
        <f t="array" ref="A4605">IFNA(index(PlayerValues!A:A,match(IFNA(vlookup(B4605,'Special Names'!A:B,2,FALSE),B4605),PlayerValues!E:E,0)),"N/A")</f>
        <v>17500</v>
      </c>
      <c r="B4605" s="4" t="s">
        <v>430</v>
      </c>
      <c r="C4605" s="4" t="s">
        <v>287</v>
      </c>
      <c r="D4605" s="94">
        <v>3722.0</v>
      </c>
    </row>
    <row r="4606">
      <c r="A4606" s="40">
        <f t="array" ref="A4606">IFNA(index(PlayerValues!A:A,match(IFNA(vlookup(B4606,'Special Names'!A:B,2,FALSE),B4606),PlayerValues!E:E,0)),"N/A")</f>
        <v>16206</v>
      </c>
      <c r="B4606" s="4" t="s">
        <v>431</v>
      </c>
      <c r="C4606" s="4" t="s">
        <v>287</v>
      </c>
      <c r="D4606" s="94">
        <v>3720.0</v>
      </c>
    </row>
    <row r="4607">
      <c r="A4607" s="40">
        <f t="array" ref="A4607">IFNA(index(PlayerValues!A:A,match(IFNA(vlookup(B4607,'Special Names'!A:B,2,FALSE),B4607),PlayerValues!E:E,0)),"N/A")</f>
        <v>15768</v>
      </c>
      <c r="B4607" s="4" t="s">
        <v>432</v>
      </c>
      <c r="C4607" s="4" t="s">
        <v>287</v>
      </c>
      <c r="D4607" s="94">
        <v>3716.0</v>
      </c>
    </row>
    <row r="4608">
      <c r="A4608" s="40">
        <f t="array" ref="A4608">IFNA(index(PlayerValues!A:A,match(IFNA(vlookup(B4608,'Special Names'!A:B,2,FALSE),B4608),PlayerValues!E:E,0)),"N/A")</f>
        <v>17463</v>
      </c>
      <c r="B4608" s="4" t="s">
        <v>433</v>
      </c>
      <c r="C4608" s="4" t="s">
        <v>283</v>
      </c>
      <c r="D4608" s="94">
        <v>3706.0</v>
      </c>
    </row>
    <row r="4609">
      <c r="A4609" s="40">
        <f t="array" ref="A4609">IFNA(index(PlayerValues!A:A,match(IFNA(vlookup(B4609,'Special Names'!A:B,2,FALSE),B4609),PlayerValues!E:E,0)),"N/A")</f>
        <v>15694</v>
      </c>
      <c r="B4609" s="4" t="s">
        <v>434</v>
      </c>
      <c r="C4609" s="4" t="s">
        <v>283</v>
      </c>
      <c r="D4609" s="94">
        <v>3700.0</v>
      </c>
    </row>
    <row r="4610">
      <c r="A4610" s="40">
        <f t="array" ref="A4610">IFNA(index(PlayerValues!A:A,match(IFNA(vlookup(B4610,'Special Names'!A:B,2,FALSE),B4610),PlayerValues!E:E,0)),"N/A")</f>
        <v>14059</v>
      </c>
      <c r="B4610" s="4" t="s">
        <v>435</v>
      </c>
      <c r="C4610" s="4" t="s">
        <v>283</v>
      </c>
      <c r="D4610" s="94">
        <v>3689.0</v>
      </c>
    </row>
    <row r="4611">
      <c r="A4611" s="40">
        <f t="array" ref="A4611">IFNA(index(PlayerValues!A:A,match(IFNA(vlookup(B4611,'Special Names'!A:B,2,FALSE),B4611),PlayerValues!E:E,0)),"N/A")</f>
        <v>17543</v>
      </c>
      <c r="B4611" s="4" t="s">
        <v>436</v>
      </c>
      <c r="C4611" s="4" t="s">
        <v>298</v>
      </c>
      <c r="D4611" s="94">
        <v>4113.0</v>
      </c>
    </row>
    <row r="4612">
      <c r="A4612" s="40">
        <f t="array" ref="A4612">IFNA(index(PlayerValues!A:A,match(IFNA(vlookup(B4612,'Special Names'!A:B,2,FALSE),B4612),PlayerValues!E:E,0)),"N/A")</f>
        <v>14109</v>
      </c>
      <c r="B4612" s="4" t="s">
        <v>437</v>
      </c>
      <c r="C4612" s="4" t="s">
        <v>287</v>
      </c>
      <c r="D4612" s="94">
        <v>3557.0</v>
      </c>
    </row>
    <row r="4613">
      <c r="A4613" s="40">
        <f t="array" ref="A4613">IFNA(index(PlayerValues!A:A,match(IFNA(vlookup(B4613,'Special Names'!A:B,2,FALSE),B4613),PlayerValues!E:E,0)),"N/A")</f>
        <v>11675</v>
      </c>
      <c r="B4613" s="4" t="s">
        <v>438</v>
      </c>
      <c r="C4613" s="4" t="s">
        <v>287</v>
      </c>
      <c r="D4613" s="94">
        <v>3545.0</v>
      </c>
    </row>
    <row r="4614">
      <c r="A4614" s="40">
        <f t="array" ref="A4614">IFNA(index(PlayerValues!A:A,match(IFNA(vlookup(B4614,'Special Names'!A:B,2,FALSE),B4614),PlayerValues!E:E,0)),"N/A")</f>
        <v>16188</v>
      </c>
      <c r="B4614" s="4" t="s">
        <v>439</v>
      </c>
      <c r="C4614" s="4" t="s">
        <v>287</v>
      </c>
      <c r="D4614" s="94">
        <v>3544.0</v>
      </c>
    </row>
    <row r="4615">
      <c r="A4615" s="40">
        <f t="array" ref="A4615">IFNA(index(PlayerValues!A:A,match(IFNA(vlookup(B4615,'Special Names'!A:B,2,FALSE),B4615),PlayerValues!E:E,0)),"N/A")</f>
        <v>14071</v>
      </c>
      <c r="B4615" s="4" t="s">
        <v>440</v>
      </c>
      <c r="C4615" s="4" t="s">
        <v>278</v>
      </c>
      <c r="D4615" s="94">
        <v>3520.0</v>
      </c>
    </row>
    <row r="4616">
      <c r="A4616" s="40">
        <f t="array" ref="A4616">IFNA(index(PlayerValues!A:A,match(IFNA(vlookup(B4616,'Special Names'!A:B,2,FALSE),B4616),PlayerValues!E:E,0)),"N/A")</f>
        <v>16187</v>
      </c>
      <c r="B4616" s="4" t="s">
        <v>441</v>
      </c>
      <c r="C4616" s="4" t="s">
        <v>287</v>
      </c>
      <c r="D4616" s="94">
        <v>3497.0</v>
      </c>
    </row>
    <row r="4617">
      <c r="A4617" s="40">
        <f t="array" ref="A4617">IFNA(index(PlayerValues!A:A,match(IFNA(vlookup(B4617,'Special Names'!A:B,2,FALSE),B4617),PlayerValues!E:E,0)),"N/A")</f>
        <v>16593</v>
      </c>
      <c r="B4617" s="4" t="s">
        <v>442</v>
      </c>
      <c r="C4617" s="4" t="s">
        <v>278</v>
      </c>
      <c r="D4617" s="94">
        <v>3463.0</v>
      </c>
    </row>
    <row r="4618">
      <c r="A4618" s="40" t="str">
        <f t="array" ref="A4618">IFNA(index(PlayerValues!A:A,match(IFNA(vlookup(B4618,'Special Names'!A:B,2,FALSE),B4618),PlayerValues!E:E,0)),"N/A")</f>
        <v>N/A</v>
      </c>
      <c r="B4618" s="4" t="s">
        <v>96</v>
      </c>
      <c r="C4618" s="4" t="s">
        <v>325</v>
      </c>
      <c r="D4618" s="94">
        <v>3442.0</v>
      </c>
    </row>
    <row r="4619">
      <c r="A4619" s="40">
        <f t="array" ref="A4619">IFNA(index(PlayerValues!A:A,match(IFNA(vlookup(B4619,'Special Names'!A:B,2,FALSE),B4619),PlayerValues!E:E,0)),"N/A")</f>
        <v>15798</v>
      </c>
      <c r="B4619" s="4" t="s">
        <v>443</v>
      </c>
      <c r="C4619" s="4" t="s">
        <v>298</v>
      </c>
      <c r="D4619" s="94">
        <v>3894.0</v>
      </c>
    </row>
    <row r="4620">
      <c r="A4620" s="40" t="str">
        <f t="array" ref="A4620">IFNA(index(PlayerValues!A:A,match(IFNA(vlookup(B4620,'Special Names'!A:B,2,FALSE),B4620),PlayerValues!E:E,0)),"N/A")</f>
        <v>N/A</v>
      </c>
      <c r="B4620" s="4" t="s">
        <v>82</v>
      </c>
      <c r="C4620" s="4" t="s">
        <v>325</v>
      </c>
      <c r="D4620" s="94">
        <v>3387.0</v>
      </c>
    </row>
    <row r="4621">
      <c r="A4621" s="40">
        <f t="array" ref="A4621">IFNA(index(PlayerValues!A:A,match(IFNA(vlookup(B4621,'Special Names'!A:B,2,FALSE),B4621),PlayerValues!E:E,0)),"N/A")</f>
        <v>14102</v>
      </c>
      <c r="B4621" s="4" t="s">
        <v>444</v>
      </c>
      <c r="C4621" s="4" t="s">
        <v>287</v>
      </c>
      <c r="D4621" s="94">
        <v>3360.0</v>
      </c>
    </row>
    <row r="4622">
      <c r="A4622" s="40">
        <f t="array" ref="A4622">IFNA(index(PlayerValues!A:A,match(IFNA(vlookup(B4622,'Special Names'!A:B,2,FALSE),B4622),PlayerValues!E:E,0)),"N/A")</f>
        <v>16184</v>
      </c>
      <c r="B4622" s="4" t="s">
        <v>445</v>
      </c>
      <c r="C4622" s="4" t="s">
        <v>287</v>
      </c>
      <c r="D4622" s="94">
        <v>3349.0</v>
      </c>
    </row>
    <row r="4623">
      <c r="A4623" s="40">
        <f t="array" ref="A4623">IFNA(index(PlayerValues!A:A,match(IFNA(vlookup(B4623,'Special Names'!A:B,2,FALSE),B4623),PlayerValues!E:E,0)),"N/A")</f>
        <v>17066</v>
      </c>
      <c r="B4623" s="4" t="s">
        <v>446</v>
      </c>
      <c r="C4623" s="4" t="s">
        <v>278</v>
      </c>
      <c r="D4623" s="94">
        <v>3320.0</v>
      </c>
    </row>
    <row r="4624">
      <c r="A4624" s="40">
        <f t="array" ref="A4624">IFNA(index(PlayerValues!A:A,match(IFNA(vlookup(B4624,'Special Names'!A:B,2,FALSE),B4624),PlayerValues!E:E,0)),"N/A")</f>
        <v>15742</v>
      </c>
      <c r="B4624" s="4" t="s">
        <v>447</v>
      </c>
      <c r="C4624" s="4" t="s">
        <v>278</v>
      </c>
      <c r="D4624" s="94">
        <v>3319.0</v>
      </c>
    </row>
    <row r="4625">
      <c r="A4625" s="40">
        <f t="array" ref="A4625">IFNA(index(PlayerValues!A:A,match(IFNA(vlookup(B4625,'Special Names'!A:B,2,FALSE),B4625),PlayerValues!E:E,0)),"N/A")</f>
        <v>13299</v>
      </c>
      <c r="B4625" s="4" t="s">
        <v>448</v>
      </c>
      <c r="C4625" s="4" t="s">
        <v>298</v>
      </c>
      <c r="D4625" s="94">
        <v>3755.0</v>
      </c>
    </row>
    <row r="4626">
      <c r="A4626" s="40">
        <f t="array" ref="A4626">IFNA(index(PlayerValues!A:A,match(IFNA(vlookup(B4626,'Special Names'!A:B,2,FALSE),B4626),PlayerValues!E:E,0)),"N/A")</f>
        <v>15757</v>
      </c>
      <c r="B4626" s="4" t="s">
        <v>449</v>
      </c>
      <c r="C4626" s="4" t="s">
        <v>287</v>
      </c>
      <c r="D4626" s="94">
        <v>3309.0</v>
      </c>
    </row>
    <row r="4627">
      <c r="A4627" s="40">
        <f t="array" ref="A4627">IFNA(index(PlayerValues!A:A,match(IFNA(vlookup(B4627,'Special Names'!A:B,2,FALSE),B4627),PlayerValues!E:E,0)),"N/A")</f>
        <v>17068</v>
      </c>
      <c r="B4627" s="4" t="s">
        <v>450</v>
      </c>
      <c r="C4627" s="4" t="s">
        <v>278</v>
      </c>
      <c r="D4627" s="94">
        <v>3301.0</v>
      </c>
    </row>
    <row r="4628">
      <c r="A4628" s="40">
        <f t="array" ref="A4628">IFNA(index(PlayerValues!A:A,match(IFNA(vlookup(B4628,'Special Names'!A:B,2,FALSE),B4628),PlayerValues!E:E,0)),"N/A")</f>
        <v>17502</v>
      </c>
      <c r="B4628" s="4" t="s">
        <v>451</v>
      </c>
      <c r="C4628" s="4" t="s">
        <v>287</v>
      </c>
      <c r="D4628" s="94">
        <v>3298.0</v>
      </c>
    </row>
    <row r="4629">
      <c r="A4629" s="40">
        <f t="array" ref="A4629">IFNA(index(PlayerValues!A:A,match(IFNA(vlookup(B4629,'Special Names'!A:B,2,FALSE),B4629),PlayerValues!E:E,0)),"N/A")</f>
        <v>17477</v>
      </c>
      <c r="B4629" s="4" t="s">
        <v>452</v>
      </c>
      <c r="C4629" s="4" t="s">
        <v>278</v>
      </c>
      <c r="D4629" s="94">
        <v>3292.0</v>
      </c>
    </row>
    <row r="4630">
      <c r="A4630" s="40" t="str">
        <f t="array" ref="A4630">IFNA(index(PlayerValues!A:A,match(IFNA(vlookup(B4630,'Special Names'!A:B,2,FALSE),B4630),PlayerValues!E:E,0)),"N/A")</f>
        <v>N/A</v>
      </c>
      <c r="B4630" s="4" t="s">
        <v>108</v>
      </c>
      <c r="C4630" s="4" t="s">
        <v>325</v>
      </c>
      <c r="D4630" s="94">
        <v>3286.0</v>
      </c>
    </row>
    <row r="4631">
      <c r="A4631" s="40">
        <f t="array" ref="A4631">IFNA(index(PlayerValues!A:A,match(IFNA(vlookup(B4631,'Special Names'!A:B,2,FALSE),B4631),PlayerValues!E:E,0)),"N/A")</f>
        <v>15259</v>
      </c>
      <c r="B4631" s="4" t="s">
        <v>453</v>
      </c>
      <c r="C4631" s="4" t="s">
        <v>278</v>
      </c>
      <c r="D4631" s="94">
        <v>3278.0</v>
      </c>
    </row>
    <row r="4632">
      <c r="A4632" s="40">
        <f t="array" ref="A4632">IFNA(index(PlayerValues!A:A,match(IFNA(vlookup(B4632,'Special Names'!A:B,2,FALSE),B4632),PlayerValues!E:E,0)),"N/A")</f>
        <v>17517</v>
      </c>
      <c r="B4632" s="4" t="s">
        <v>454</v>
      </c>
      <c r="C4632" s="4" t="s">
        <v>287</v>
      </c>
      <c r="D4632" s="94">
        <v>3253.0</v>
      </c>
    </row>
    <row r="4633">
      <c r="A4633" s="40">
        <f t="array" ref="A4633">IFNA(index(PlayerValues!A:A,match(IFNA(vlookup(B4633,'Special Names'!A:B,2,FALSE),B4633),PlayerValues!E:E,0)),"N/A")</f>
        <v>16809</v>
      </c>
      <c r="B4633" s="4" t="s">
        <v>455</v>
      </c>
      <c r="C4633" s="4" t="s">
        <v>287</v>
      </c>
      <c r="D4633" s="94">
        <v>3252.0</v>
      </c>
    </row>
    <row r="4634">
      <c r="A4634" s="40">
        <f t="array" ref="A4634">IFNA(index(PlayerValues!A:A,match(IFNA(vlookup(B4634,'Special Names'!A:B,2,FALSE),B4634),PlayerValues!E:E,0)),"N/A")</f>
        <v>14842</v>
      </c>
      <c r="B4634" s="4" t="s">
        <v>456</v>
      </c>
      <c r="C4634" s="4" t="s">
        <v>287</v>
      </c>
      <c r="D4634" s="94">
        <v>3241.0</v>
      </c>
    </row>
    <row r="4635">
      <c r="A4635" s="40">
        <f t="array" ref="A4635">IFNA(index(PlayerValues!A:A,match(IFNA(vlookup(B4635,'Special Names'!A:B,2,FALSE),B4635),PlayerValues!E:E,0)),"N/A")</f>
        <v>16169</v>
      </c>
      <c r="B4635" s="4" t="s">
        <v>457</v>
      </c>
      <c r="C4635" s="4" t="s">
        <v>278</v>
      </c>
      <c r="D4635" s="94">
        <v>3231.0</v>
      </c>
    </row>
    <row r="4636">
      <c r="A4636" s="40">
        <f t="array" ref="A4636">IFNA(index(PlayerValues!A:A,match(IFNA(vlookup(B4636,'Special Names'!A:B,2,FALSE),B4636),PlayerValues!E:E,0)),"N/A")</f>
        <v>16213</v>
      </c>
      <c r="B4636" s="4" t="s">
        <v>458</v>
      </c>
      <c r="C4636" s="4" t="s">
        <v>298</v>
      </c>
      <c r="D4636" s="94">
        <v>3663.0</v>
      </c>
    </row>
    <row r="4637">
      <c r="A4637" s="40" t="str">
        <f t="array" ref="A4637">IFNA(index(PlayerValues!A:A,match(IFNA(vlookup(B4637,'Special Names'!A:B,2,FALSE),B4637),PlayerValues!E:E,0)),"N/A")</f>
        <v>N/A</v>
      </c>
      <c r="B4637" s="4" t="s">
        <v>97</v>
      </c>
      <c r="C4637" s="4" t="s">
        <v>325</v>
      </c>
      <c r="D4637" s="94">
        <v>3210.0</v>
      </c>
    </row>
    <row r="4638">
      <c r="A4638" s="40">
        <f t="array" ref="A4638">IFNA(index(PlayerValues!A:A,match(IFNA(vlookup(B4638,'Special Names'!A:B,2,FALSE),B4638),PlayerValues!E:E,0)),"N/A")</f>
        <v>14823</v>
      </c>
      <c r="B4638" s="4" t="s">
        <v>459</v>
      </c>
      <c r="C4638" s="4" t="s">
        <v>278</v>
      </c>
      <c r="D4638" s="94">
        <v>3195.0</v>
      </c>
    </row>
    <row r="4639">
      <c r="A4639" s="40">
        <f t="array" ref="A4639">IFNA(index(PlayerValues!A:A,match(IFNA(vlookup(B4639,'Special Names'!A:B,2,FALSE),B4639),PlayerValues!E:E,0)),"N/A")</f>
        <v>17482</v>
      </c>
      <c r="B4639" s="4" t="s">
        <v>460</v>
      </c>
      <c r="C4639" s="4" t="s">
        <v>278</v>
      </c>
      <c r="D4639" s="94">
        <v>3194.0</v>
      </c>
    </row>
    <row r="4640">
      <c r="A4640" s="40">
        <f t="array" ref="A4640">IFNA(index(PlayerValues!A:A,match(IFNA(vlookup(B4640,'Special Names'!A:B,2,FALSE),B4640),PlayerValues!E:E,0)),"N/A")</f>
        <v>15779</v>
      </c>
      <c r="B4640" s="4" t="s">
        <v>461</v>
      </c>
      <c r="C4640" s="4" t="s">
        <v>287</v>
      </c>
      <c r="D4640" s="94">
        <v>3191.0</v>
      </c>
    </row>
    <row r="4641">
      <c r="A4641" s="40">
        <f t="array" ref="A4641">IFNA(index(PlayerValues!A:A,match(IFNA(vlookup(B4641,'Special Names'!A:B,2,FALSE),B4641),PlayerValues!E:E,0)),"N/A")</f>
        <v>17256</v>
      </c>
      <c r="B4641" s="4" t="s">
        <v>462</v>
      </c>
      <c r="C4641" s="4" t="s">
        <v>278</v>
      </c>
      <c r="D4641" s="94">
        <v>3181.0</v>
      </c>
    </row>
    <row r="4642">
      <c r="A4642" s="40" t="str">
        <f t="array" ref="A4642">IFNA(index(PlayerValues!A:A,match(IFNA(vlookup(B4642,'Special Names'!A:B,2,FALSE),B4642),PlayerValues!E:E,0)),"N/A")</f>
        <v>N/A</v>
      </c>
      <c r="B4642" s="4" t="s">
        <v>84</v>
      </c>
      <c r="C4642" s="4" t="s">
        <v>325</v>
      </c>
      <c r="D4642" s="94">
        <v>3175.0</v>
      </c>
    </row>
    <row r="4643">
      <c r="A4643" s="40">
        <f t="array" ref="A4643">IFNA(index(PlayerValues!A:A,match(IFNA(vlookup(B4643,'Special Names'!A:B,2,FALSE),B4643),PlayerValues!E:E,0)),"N/A")</f>
        <v>11671</v>
      </c>
      <c r="B4643" s="4" t="s">
        <v>463</v>
      </c>
      <c r="C4643" s="4" t="s">
        <v>287</v>
      </c>
      <c r="D4643" s="94">
        <v>3149.0</v>
      </c>
    </row>
    <row r="4644">
      <c r="A4644" s="40">
        <f t="array" ref="A4644">IFNA(index(PlayerValues!A:A,match(IFNA(vlookup(B4644,'Special Names'!A:B,2,FALSE),B4644),PlayerValues!E:E,0)),"N/A")</f>
        <v>14073</v>
      </c>
      <c r="B4644" s="4" t="s">
        <v>464</v>
      </c>
      <c r="C4644" s="4" t="s">
        <v>278</v>
      </c>
      <c r="D4644" s="94">
        <v>3123.0</v>
      </c>
    </row>
    <row r="4645">
      <c r="A4645" s="40">
        <f t="array" ref="A4645">IFNA(index(PlayerValues!A:A,match(IFNA(vlookup(B4645,'Special Names'!A:B,2,FALSE),B4645),PlayerValues!E:E,0)),"N/A")</f>
        <v>13630</v>
      </c>
      <c r="B4645" s="4" t="s">
        <v>465</v>
      </c>
      <c r="C4645" s="4" t="s">
        <v>287</v>
      </c>
      <c r="D4645" s="94">
        <v>3120.0</v>
      </c>
    </row>
    <row r="4646">
      <c r="A4646" s="40" t="str">
        <f t="array" ref="A4646">IFNA(index(PlayerValues!A:A,match(IFNA(vlookup(B4646,'Special Names'!A:B,2,FALSE),B4646),PlayerValues!E:E,0)),"N/A")</f>
        <v>N/A</v>
      </c>
      <c r="B4646" s="4" t="s">
        <v>109</v>
      </c>
      <c r="C4646" s="4" t="s">
        <v>325</v>
      </c>
      <c r="D4646" s="94">
        <v>3079.0</v>
      </c>
    </row>
    <row r="4647">
      <c r="A4647" s="40">
        <f t="array" ref="A4647">IFNA(index(PlayerValues!A:A,match(IFNA(vlookup(B4647,'Special Names'!A:B,2,FALSE),B4647),PlayerValues!E:E,0)),"N/A")</f>
        <v>15261</v>
      </c>
      <c r="B4647" s="4" t="s">
        <v>466</v>
      </c>
      <c r="C4647" s="4" t="s">
        <v>278</v>
      </c>
      <c r="D4647" s="94">
        <v>3069.0</v>
      </c>
    </row>
    <row r="4648">
      <c r="A4648" s="40">
        <f t="array" ref="A4648">IFNA(index(PlayerValues!A:A,match(IFNA(vlookup(B4648,'Special Names'!A:B,2,FALSE),B4648),PlayerValues!E:E,0)),"N/A")</f>
        <v>16620</v>
      </c>
      <c r="B4648" s="4" t="s">
        <v>467</v>
      </c>
      <c r="C4648" s="4" t="s">
        <v>287</v>
      </c>
      <c r="D4648" s="94">
        <v>3061.0</v>
      </c>
    </row>
    <row r="4649">
      <c r="A4649" s="40">
        <f t="array" ref="A4649">IFNA(index(PlayerValues!A:A,match(IFNA(vlookup(B4649,'Special Names'!A:B,2,FALSE),B4649),PlayerValues!E:E,0)),"N/A")</f>
        <v>15799</v>
      </c>
      <c r="B4649" s="4" t="s">
        <v>468</v>
      </c>
      <c r="C4649" s="4" t="s">
        <v>298</v>
      </c>
      <c r="D4649" s="94">
        <v>3477.0</v>
      </c>
    </row>
    <row r="4650">
      <c r="A4650" s="40">
        <f t="array" ref="A4650">IFNA(index(PlayerValues!A:A,match(IFNA(vlookup(B4650,'Special Names'!A:B,2,FALSE),B4650),PlayerValues!E:E,0)),"N/A")</f>
        <v>15972</v>
      </c>
      <c r="B4650" s="4" t="s">
        <v>469</v>
      </c>
      <c r="C4650" s="4" t="s">
        <v>278</v>
      </c>
      <c r="D4650" s="94">
        <v>3037.0</v>
      </c>
    </row>
    <row r="4651">
      <c r="A4651" s="40">
        <f t="array" ref="A4651">IFNA(index(PlayerValues!A:A,match(IFNA(vlookup(B4651,'Special Names'!A:B,2,FALSE),B4651),PlayerValues!E:E,0)),"N/A")</f>
        <v>17544</v>
      </c>
      <c r="B4651" s="4" t="s">
        <v>470</v>
      </c>
      <c r="C4651" s="4" t="s">
        <v>298</v>
      </c>
      <c r="D4651" s="94">
        <v>3463.0</v>
      </c>
    </row>
    <row r="4652">
      <c r="A4652" s="40">
        <f t="array" ref="A4652">IFNA(index(PlayerValues!A:A,match(IFNA(vlookup(B4652,'Special Names'!A:B,2,FALSE),B4652),PlayerValues!E:E,0)),"N/A")</f>
        <v>17506</v>
      </c>
      <c r="B4652" s="4" t="s">
        <v>471</v>
      </c>
      <c r="C4652" s="4" t="s">
        <v>287</v>
      </c>
      <c r="D4652" s="94">
        <v>3033.0</v>
      </c>
    </row>
    <row r="4653">
      <c r="A4653" s="40">
        <f t="array" ref="A4653">IFNA(index(PlayerValues!A:A,match(IFNA(vlookup(B4653,'Special Names'!A:B,2,FALSE),B4653),PlayerValues!E:E,0)),"N/A")</f>
        <v>14800</v>
      </c>
      <c r="B4653" s="4" t="s">
        <v>472</v>
      </c>
      <c r="C4653" s="4" t="s">
        <v>278</v>
      </c>
      <c r="D4653" s="94">
        <v>3023.0</v>
      </c>
    </row>
    <row r="4654">
      <c r="A4654" s="40">
        <f t="array" ref="A4654">IFNA(index(PlayerValues!A:A,match(IFNA(vlookup(B4654,'Special Names'!A:B,2,FALSE),B4654),PlayerValues!E:E,0)),"N/A")</f>
        <v>13163</v>
      </c>
      <c r="B4654" s="4" t="s">
        <v>473</v>
      </c>
      <c r="C4654" s="4" t="s">
        <v>287</v>
      </c>
      <c r="D4654" s="94">
        <v>3022.0</v>
      </c>
    </row>
    <row r="4655">
      <c r="A4655" s="40">
        <f t="array" ref="A4655">IFNA(index(PlayerValues!A:A,match(IFNA(vlookup(B4655,'Special Names'!A:B,2,FALSE),B4655),PlayerValues!E:E,0)),"N/A")</f>
        <v>17099</v>
      </c>
      <c r="B4655" s="4" t="s">
        <v>474</v>
      </c>
      <c r="C4655" s="4" t="s">
        <v>298</v>
      </c>
      <c r="D4655" s="94">
        <v>3437.0</v>
      </c>
    </row>
    <row r="4656">
      <c r="A4656" s="40">
        <f t="array" ref="A4656">IFNA(index(PlayerValues!A:A,match(IFNA(vlookup(B4656,'Special Names'!A:B,2,FALSE),B4656),PlayerValues!E:E,0)),"N/A")</f>
        <v>17074</v>
      </c>
      <c r="B4656" s="4" t="s">
        <v>475</v>
      </c>
      <c r="C4656" s="4" t="s">
        <v>287</v>
      </c>
      <c r="D4656" s="94">
        <v>3003.0</v>
      </c>
    </row>
    <row r="4657">
      <c r="A4657" s="40">
        <f t="array" ref="A4657">IFNA(index(PlayerValues!A:A,match(IFNA(vlookup(B4657,'Special Names'!A:B,2,FALSE),B4657),PlayerValues!E:E,0)),"N/A")</f>
        <v>16604</v>
      </c>
      <c r="B4657" s="4" t="s">
        <v>476</v>
      </c>
      <c r="C4657" s="4" t="s">
        <v>278</v>
      </c>
      <c r="D4657" s="94">
        <v>2997.0</v>
      </c>
    </row>
    <row r="4658">
      <c r="A4658" s="40">
        <f t="array" ref="A4658">IFNA(index(PlayerValues!A:A,match(IFNA(vlookup(B4658,'Special Names'!A:B,2,FALSE),B4658),PlayerValues!E:E,0)),"N/A")</f>
        <v>15255</v>
      </c>
      <c r="B4658" s="4" t="s">
        <v>477</v>
      </c>
      <c r="C4658" s="4" t="s">
        <v>278</v>
      </c>
      <c r="D4658" s="94">
        <v>2965.0</v>
      </c>
    </row>
    <row r="4659">
      <c r="A4659" s="40">
        <f t="array" ref="A4659">IFNA(index(PlayerValues!A:A,match(IFNA(vlookup(B4659,'Special Names'!A:B,2,FALSE),B4659),PlayerValues!E:E,0)),"N/A")</f>
        <v>17107</v>
      </c>
      <c r="B4659" s="4" t="s">
        <v>478</v>
      </c>
      <c r="C4659" s="4" t="s">
        <v>298</v>
      </c>
      <c r="D4659" s="94">
        <v>3383.0</v>
      </c>
    </row>
    <row r="4660">
      <c r="A4660" s="40">
        <f t="array" ref="A4660">IFNA(index(PlayerValues!A:A,match(IFNA(vlookup(B4660,'Special Names'!A:B,2,FALSE),B4660),PlayerValues!E:E,0)),"N/A")</f>
        <v>17083</v>
      </c>
      <c r="B4660" s="4" t="s">
        <v>479</v>
      </c>
      <c r="C4660" s="4" t="s">
        <v>287</v>
      </c>
      <c r="D4660" s="94">
        <v>2927.0</v>
      </c>
    </row>
    <row r="4661">
      <c r="A4661" s="40">
        <f t="array" ref="A4661">IFNA(index(PlayerValues!A:A,match(IFNA(vlookup(B4661,'Special Names'!A:B,2,FALSE),B4661),PlayerValues!E:E,0)),"N/A")</f>
        <v>17503</v>
      </c>
      <c r="B4661" s="4" t="s">
        <v>480</v>
      </c>
      <c r="C4661" s="4" t="s">
        <v>287</v>
      </c>
      <c r="D4661" s="94">
        <v>2905.0</v>
      </c>
    </row>
    <row r="4662">
      <c r="A4662" s="40">
        <f t="array" ref="A4662">IFNA(index(PlayerValues!A:A,match(IFNA(vlookup(B4662,'Special Names'!A:B,2,FALSE),B4662),PlayerValues!E:E,0)),"N/A")</f>
        <v>16269</v>
      </c>
      <c r="B4662" s="4" t="s">
        <v>481</v>
      </c>
      <c r="C4662" s="4" t="s">
        <v>298</v>
      </c>
      <c r="D4662" s="94">
        <v>3323.0</v>
      </c>
    </row>
    <row r="4663">
      <c r="A4663" s="40" t="str">
        <f t="array" ref="A4663">IFNA(index(PlayerValues!A:A,match(IFNA(vlookup(B4663,'Special Names'!A:B,2,FALSE),B4663),PlayerValues!E:E,0)),"N/A")</f>
        <v>N/A</v>
      </c>
      <c r="B4663" s="4" t="s">
        <v>85</v>
      </c>
      <c r="C4663" s="4" t="s">
        <v>325</v>
      </c>
      <c r="D4663" s="94">
        <v>2893.0</v>
      </c>
    </row>
    <row r="4664">
      <c r="A4664" s="40">
        <f t="array" ref="A4664">IFNA(index(PlayerValues!A:A,match(IFNA(vlookup(B4664,'Special Names'!A:B,2,FALSE),B4664),PlayerValues!E:E,0)),"N/A")</f>
        <v>17518</v>
      </c>
      <c r="B4664" s="4" t="s">
        <v>482</v>
      </c>
      <c r="C4664" s="4" t="s">
        <v>287</v>
      </c>
      <c r="D4664" s="94">
        <v>2888.0</v>
      </c>
    </row>
    <row r="4665">
      <c r="A4665" s="40">
        <f t="array" ref="A4665">IFNA(index(PlayerValues!A:A,match(IFNA(vlookup(B4665,'Special Names'!A:B,2,FALSE),B4665),PlayerValues!E:E,0)),"N/A")</f>
        <v>17512</v>
      </c>
      <c r="B4665" s="4" t="s">
        <v>483</v>
      </c>
      <c r="C4665" s="4" t="s">
        <v>287</v>
      </c>
      <c r="D4665" s="94">
        <v>2871.0</v>
      </c>
    </row>
    <row r="4666">
      <c r="A4666" s="40">
        <f t="array" ref="A4666">IFNA(index(PlayerValues!A:A,match(IFNA(vlookup(B4666,'Special Names'!A:B,2,FALSE),B4666),PlayerValues!E:E,0)),"N/A")</f>
        <v>17053</v>
      </c>
      <c r="B4666" s="4" t="s">
        <v>484</v>
      </c>
      <c r="C4666" s="4" t="s">
        <v>278</v>
      </c>
      <c r="D4666" s="94">
        <v>2867.0</v>
      </c>
    </row>
    <row r="4667">
      <c r="A4667" s="40">
        <f t="array" ref="A4667">IFNA(index(PlayerValues!A:A,match(IFNA(vlookup(B4667,'Special Names'!A:B,2,FALSE),B4667),PlayerValues!E:E,0)),"N/A")</f>
        <v>17511</v>
      </c>
      <c r="B4667" s="4" t="s">
        <v>485</v>
      </c>
      <c r="C4667" s="4" t="s">
        <v>287</v>
      </c>
      <c r="D4667" s="94">
        <v>2831.0</v>
      </c>
    </row>
    <row r="4668">
      <c r="A4668" s="40">
        <f t="array" ref="A4668">IFNA(index(PlayerValues!A:A,match(IFNA(vlookup(B4668,'Special Names'!A:B,2,FALSE),B4668),PlayerValues!E:E,0)),"N/A")</f>
        <v>14127</v>
      </c>
      <c r="B4668" s="4" t="s">
        <v>486</v>
      </c>
      <c r="C4668" s="4" t="s">
        <v>287</v>
      </c>
      <c r="D4668" s="94">
        <v>2824.0</v>
      </c>
    </row>
    <row r="4669">
      <c r="A4669" s="40">
        <f t="array" ref="A4669">IFNA(index(PlayerValues!A:A,match(IFNA(vlookup(B4669,'Special Names'!A:B,2,FALSE),B4669),PlayerValues!E:E,0)),"N/A")</f>
        <v>16193</v>
      </c>
      <c r="B4669" s="4" t="s">
        <v>487</v>
      </c>
      <c r="C4669" s="4" t="s">
        <v>287</v>
      </c>
      <c r="D4669" s="94">
        <v>2810.0</v>
      </c>
    </row>
    <row r="4670">
      <c r="A4670" s="40">
        <f t="array" ref="A4670">IFNA(index(PlayerValues!A:A,match(IFNA(vlookup(B4670,'Special Names'!A:B,2,FALSE),B4670),PlayerValues!E:E,0)),"N/A")</f>
        <v>15712</v>
      </c>
      <c r="B4670" s="4" t="s">
        <v>488</v>
      </c>
      <c r="C4670" s="4" t="s">
        <v>278</v>
      </c>
      <c r="D4670" s="94">
        <v>2806.0</v>
      </c>
    </row>
    <row r="4671">
      <c r="A4671" s="40" t="str">
        <f t="array" ref="A4671">IFNA(index(PlayerValues!A:A,match(IFNA(vlookup(B4671,'Special Names'!A:B,2,FALSE),B4671),PlayerValues!E:E,0)),"N/A")</f>
        <v>N/A</v>
      </c>
      <c r="B4671" s="4" t="s">
        <v>110</v>
      </c>
      <c r="C4671" s="4" t="s">
        <v>325</v>
      </c>
      <c r="D4671" s="94">
        <v>2803.0</v>
      </c>
    </row>
    <row r="4672">
      <c r="A4672" s="40">
        <f t="array" ref="A4672">IFNA(index(PlayerValues!A:A,match(IFNA(vlookup(B4672,'Special Names'!A:B,2,FALSE),B4672),PlayerValues!E:E,0)),"N/A")</f>
        <v>14085</v>
      </c>
      <c r="B4672" s="4" t="s">
        <v>489</v>
      </c>
      <c r="C4672" s="4" t="s">
        <v>278</v>
      </c>
      <c r="D4672" s="94">
        <v>2792.0</v>
      </c>
    </row>
    <row r="4673">
      <c r="A4673" s="40">
        <f t="array" ref="A4673">IFNA(index(PlayerValues!A:A,match(IFNA(vlookup(B4673,'Special Names'!A:B,2,FALSE),B4673),PlayerValues!E:E,0)),"N/A")</f>
        <v>16628</v>
      </c>
      <c r="B4673" s="4" t="s">
        <v>490</v>
      </c>
      <c r="C4673" s="4" t="s">
        <v>287</v>
      </c>
      <c r="D4673" s="94">
        <v>2791.0</v>
      </c>
    </row>
    <row r="4674">
      <c r="A4674" s="40">
        <f t="array" ref="A4674">IFNA(index(PlayerValues!A:A,match(IFNA(vlookup(B4674,'Special Names'!A:B,2,FALSE),B4674),PlayerValues!E:E,0)),"N/A")</f>
        <v>15761</v>
      </c>
      <c r="B4674" s="4" t="s">
        <v>491</v>
      </c>
      <c r="C4674" s="4" t="s">
        <v>287</v>
      </c>
      <c r="D4674" s="94">
        <v>2776.0</v>
      </c>
    </row>
    <row r="4675">
      <c r="A4675" s="40">
        <f t="array" ref="A4675">IFNA(index(PlayerValues!A:A,match(IFNA(vlookup(B4675,'Special Names'!A:B,2,FALSE),B4675),PlayerValues!E:E,0)),"N/A")</f>
        <v>17466</v>
      </c>
      <c r="B4675" s="4" t="s">
        <v>492</v>
      </c>
      <c r="C4675" s="4" t="s">
        <v>283</v>
      </c>
      <c r="D4675" s="94">
        <v>2768.0</v>
      </c>
    </row>
    <row r="4676">
      <c r="A4676" s="40">
        <f t="array" ref="A4676">IFNA(index(PlayerValues!A:A,match(IFNA(vlookup(B4676,'Special Names'!A:B,2,FALSE),B4676),PlayerValues!E:E,0)),"N/A")</f>
        <v>16583</v>
      </c>
      <c r="B4676" s="4" t="s">
        <v>493</v>
      </c>
      <c r="C4676" s="4" t="s">
        <v>283</v>
      </c>
      <c r="D4676" s="94">
        <v>2767.0</v>
      </c>
    </row>
    <row r="4677">
      <c r="A4677" s="40">
        <f t="array" ref="A4677">IFNA(index(PlayerValues!A:A,match(IFNA(vlookup(B4677,'Special Names'!A:B,2,FALSE),B4677),PlayerValues!E:E,0)),"N/A")</f>
        <v>17476</v>
      </c>
      <c r="B4677" s="4" t="s">
        <v>494</v>
      </c>
      <c r="C4677" s="4" t="s">
        <v>278</v>
      </c>
      <c r="D4677" s="94">
        <v>2746.0</v>
      </c>
    </row>
    <row r="4678">
      <c r="A4678" s="40">
        <f t="array" ref="A4678">IFNA(index(PlayerValues!A:A,match(IFNA(vlookup(B4678,'Special Names'!A:B,2,FALSE),B4678),PlayerValues!E:E,0)),"N/A")</f>
        <v>17507</v>
      </c>
      <c r="B4678" s="4" t="s">
        <v>495</v>
      </c>
      <c r="C4678" s="4" t="s">
        <v>287</v>
      </c>
      <c r="D4678" s="94">
        <v>2728.0</v>
      </c>
    </row>
    <row r="4679">
      <c r="A4679" s="40">
        <f t="array" ref="A4679">IFNA(index(PlayerValues!A:A,match(IFNA(vlookup(B4679,'Special Names'!A:B,2,FALSE),B4679),PlayerValues!E:E,0)),"N/A")</f>
        <v>17599</v>
      </c>
      <c r="B4679" s="4" t="s">
        <v>496</v>
      </c>
      <c r="C4679" s="4" t="s">
        <v>287</v>
      </c>
      <c r="D4679" s="94">
        <v>2719.0</v>
      </c>
    </row>
    <row r="4680">
      <c r="A4680" s="40">
        <f t="array" ref="A4680">IFNA(index(PlayerValues!A:A,match(IFNA(vlookup(B4680,'Special Names'!A:B,2,FALSE),B4680),PlayerValues!E:E,0)),"N/A")</f>
        <v>12186</v>
      </c>
      <c r="B4680" s="4" t="s">
        <v>497</v>
      </c>
      <c r="C4680" s="4" t="s">
        <v>287</v>
      </c>
      <c r="D4680" s="94">
        <v>2676.0</v>
      </c>
    </row>
    <row r="4681">
      <c r="A4681" s="40">
        <f t="array" ref="A4681">IFNA(index(PlayerValues!A:A,match(IFNA(vlookup(B4681,'Special Names'!A:B,2,FALSE),B4681),PlayerValues!E:E,0)),"N/A")</f>
        <v>17082</v>
      </c>
      <c r="B4681" s="4" t="s">
        <v>498</v>
      </c>
      <c r="C4681" s="4" t="s">
        <v>287</v>
      </c>
      <c r="D4681" s="94">
        <v>2653.0</v>
      </c>
    </row>
    <row r="4682">
      <c r="A4682" s="40">
        <f t="array" ref="A4682">IFNA(index(PlayerValues!A:A,match(IFNA(vlookup(B4682,'Special Names'!A:B,2,FALSE),B4682),PlayerValues!E:E,0)),"N/A")</f>
        <v>16080</v>
      </c>
      <c r="B4682" s="4" t="s">
        <v>499</v>
      </c>
      <c r="C4682" s="4" t="s">
        <v>287</v>
      </c>
      <c r="D4682" s="94">
        <v>2647.0</v>
      </c>
    </row>
    <row r="4683">
      <c r="A4683" s="40">
        <f t="array" ref="A4683">IFNA(index(PlayerValues!A:A,match(IFNA(vlookup(B4683,'Special Names'!A:B,2,FALSE),B4683),PlayerValues!E:E,0)),"N/A")</f>
        <v>16684</v>
      </c>
      <c r="B4683" s="4" t="s">
        <v>500</v>
      </c>
      <c r="C4683" s="4" t="s">
        <v>287</v>
      </c>
      <c r="D4683" s="94">
        <v>2644.0</v>
      </c>
    </row>
    <row r="4684">
      <c r="A4684" s="40">
        <f t="array" ref="A4684">IFNA(index(PlayerValues!A:A,match(IFNA(vlookup(B4684,'Special Names'!A:B,2,FALSE),B4684),PlayerValues!E:E,0)),"N/A")</f>
        <v>16596</v>
      </c>
      <c r="B4684" s="4" t="s">
        <v>501</v>
      </c>
      <c r="C4684" s="4" t="s">
        <v>278</v>
      </c>
      <c r="D4684" s="94">
        <v>2640.0</v>
      </c>
    </row>
    <row r="4685">
      <c r="A4685" s="40">
        <f t="array" ref="A4685">IFNA(index(PlayerValues!A:A,match(IFNA(vlookup(B4685,'Special Names'!A:B,2,FALSE),B4685),PlayerValues!E:E,0)),"N/A")</f>
        <v>16723</v>
      </c>
      <c r="B4685" s="4" t="s">
        <v>502</v>
      </c>
      <c r="C4685" s="4" t="s">
        <v>298</v>
      </c>
      <c r="D4685" s="94">
        <v>3046.0</v>
      </c>
    </row>
    <row r="4686">
      <c r="A4686" s="40">
        <f t="array" ref="A4686">IFNA(index(PlayerValues!A:A,match(IFNA(vlookup(B4686,'Special Names'!A:B,2,FALSE),B4686),PlayerValues!E:E,0)),"N/A")</f>
        <v>15889</v>
      </c>
      <c r="B4686" s="4" t="s">
        <v>503</v>
      </c>
      <c r="C4686" s="4" t="s">
        <v>298</v>
      </c>
      <c r="D4686" s="94">
        <v>3046.0</v>
      </c>
    </row>
    <row r="4687">
      <c r="A4687" s="40">
        <f t="array" ref="A4687">IFNA(index(PlayerValues!A:A,match(IFNA(vlookup(B4687,'Special Names'!A:B,2,FALSE),B4687),PlayerValues!E:E,0)),"N/A")</f>
        <v>15721</v>
      </c>
      <c r="B4687" s="4" t="s">
        <v>504</v>
      </c>
      <c r="C4687" s="4" t="s">
        <v>278</v>
      </c>
      <c r="D4687" s="94">
        <v>2632.0</v>
      </c>
    </row>
    <row r="4688">
      <c r="A4688" s="40">
        <f t="array" ref="A4688">IFNA(index(PlayerValues!A:A,match(IFNA(vlookup(B4688,'Special Names'!A:B,2,FALSE),B4688),PlayerValues!E:E,0)),"N/A")</f>
        <v>16174</v>
      </c>
      <c r="B4688" s="4" t="s">
        <v>505</v>
      </c>
      <c r="C4688" s="4" t="s">
        <v>278</v>
      </c>
      <c r="D4688" s="94">
        <v>2624.0</v>
      </c>
    </row>
    <row r="4689">
      <c r="A4689" s="40">
        <f t="array" ref="A4689">IFNA(index(PlayerValues!A:A,match(IFNA(vlookup(B4689,'Special Names'!A:B,2,FALSE),B4689),PlayerValues!E:E,0)),"N/A")</f>
        <v>13671</v>
      </c>
      <c r="B4689" s="4" t="s">
        <v>506</v>
      </c>
      <c r="C4689" s="4" t="s">
        <v>298</v>
      </c>
      <c r="D4689" s="94">
        <v>3030.0</v>
      </c>
    </row>
    <row r="4690">
      <c r="A4690" s="40">
        <f t="array" ref="A4690">IFNA(index(PlayerValues!A:A,match(IFNA(vlookup(B4690,'Special Names'!A:B,2,FALSE),B4690),PlayerValues!E:E,0)),"N/A")</f>
        <v>16178</v>
      </c>
      <c r="B4690" s="4" t="s">
        <v>507</v>
      </c>
      <c r="C4690" s="4" t="s">
        <v>278</v>
      </c>
      <c r="D4690" s="94">
        <v>2615.0</v>
      </c>
    </row>
    <row r="4691">
      <c r="A4691" s="40">
        <f t="array" ref="A4691">IFNA(index(PlayerValues!A:A,match(IFNA(vlookup(B4691,'Special Names'!A:B,2,FALSE),B4691),PlayerValues!E:E,0)),"N/A")</f>
        <v>17072</v>
      </c>
      <c r="B4691" s="4" t="s">
        <v>508</v>
      </c>
      <c r="C4691" s="4" t="s">
        <v>287</v>
      </c>
      <c r="D4691" s="94">
        <v>2611.0</v>
      </c>
    </row>
    <row r="4692">
      <c r="A4692" s="40">
        <f t="array" ref="A4692">IFNA(index(PlayerValues!A:A,match(IFNA(vlookup(B4692,'Special Names'!A:B,2,FALSE),B4692),PlayerValues!E:E,0)),"N/A")</f>
        <v>16195</v>
      </c>
      <c r="B4692" s="4" t="s">
        <v>509</v>
      </c>
      <c r="C4692" s="4" t="s">
        <v>287</v>
      </c>
      <c r="D4692" s="94">
        <v>2597.0</v>
      </c>
    </row>
    <row r="4693">
      <c r="A4693" s="40">
        <f t="array" ref="A4693">IFNA(index(PlayerValues!A:A,match(IFNA(vlookup(B4693,'Special Names'!A:B,2,FALSE),B4693),PlayerValues!E:E,0)),"N/A")</f>
        <v>17047</v>
      </c>
      <c r="B4693" s="4" t="s">
        <v>510</v>
      </c>
      <c r="C4693" s="4" t="s">
        <v>278</v>
      </c>
      <c r="D4693" s="94">
        <v>2597.0</v>
      </c>
    </row>
    <row r="4694">
      <c r="A4694" s="40">
        <f t="array" ref="A4694">IFNA(index(PlayerValues!A:A,match(IFNA(vlookup(B4694,'Special Names'!A:B,2,FALSE),B4694),PlayerValues!E:E,0)),"N/A")</f>
        <v>13674</v>
      </c>
      <c r="B4694" s="4" t="s">
        <v>511</v>
      </c>
      <c r="C4694" s="4" t="s">
        <v>298</v>
      </c>
      <c r="D4694" s="94">
        <v>2996.0</v>
      </c>
    </row>
    <row r="4695">
      <c r="A4695" s="40" t="str">
        <f t="array" ref="A4695">IFNA(index(PlayerValues!A:A,match(IFNA(vlookup(B4695,'Special Names'!A:B,2,FALSE),B4695),PlayerValues!E:E,0)),"N/A")</f>
        <v>N/A</v>
      </c>
      <c r="B4695" s="4" t="s">
        <v>98</v>
      </c>
      <c r="C4695" s="4" t="s">
        <v>325</v>
      </c>
      <c r="D4695" s="94">
        <v>2580.0</v>
      </c>
    </row>
    <row r="4696">
      <c r="A4696" s="40">
        <f t="array" ref="A4696">IFNA(index(PlayerValues!A:A,match(IFNA(vlookup(B4696,'Special Names'!A:B,2,FALSE),B4696),PlayerValues!E:E,0)),"N/A")</f>
        <v>16164</v>
      </c>
      <c r="B4696" s="4" t="s">
        <v>512</v>
      </c>
      <c r="C4696" s="4" t="s">
        <v>278</v>
      </c>
      <c r="D4696" s="94">
        <v>2577.0</v>
      </c>
    </row>
    <row r="4697">
      <c r="A4697" s="40">
        <f t="array" ref="A4697">IFNA(index(PlayerValues!A:A,match(IFNA(vlookup(B4697,'Special Names'!A:B,2,FALSE),B4697),PlayerValues!E:E,0)),"N/A")</f>
        <v>17474</v>
      </c>
      <c r="B4697" s="4" t="s">
        <v>513</v>
      </c>
      <c r="C4697" s="4" t="s">
        <v>278</v>
      </c>
      <c r="D4697" s="94">
        <v>2573.0</v>
      </c>
    </row>
    <row r="4698">
      <c r="A4698" s="40">
        <f t="array" ref="A4698">IFNA(index(PlayerValues!A:A,match(IFNA(vlookup(B4698,'Special Names'!A:B,2,FALSE),B4698),PlayerValues!E:E,0)),"N/A")</f>
        <v>17468</v>
      </c>
      <c r="B4698" s="4" t="s">
        <v>514</v>
      </c>
      <c r="C4698" s="4" t="s">
        <v>283</v>
      </c>
      <c r="D4698" s="94">
        <v>2559.0</v>
      </c>
    </row>
    <row r="4699">
      <c r="A4699" s="40">
        <f t="array" ref="A4699">IFNA(index(PlayerValues!A:A,match(IFNA(vlookup(B4699,'Special Names'!A:B,2,FALSE),B4699),PlayerValues!E:E,0)),"N/A")</f>
        <v>16626</v>
      </c>
      <c r="B4699" s="4" t="s">
        <v>515</v>
      </c>
      <c r="C4699" s="4" t="s">
        <v>287</v>
      </c>
      <c r="D4699" s="94">
        <v>2555.0</v>
      </c>
    </row>
    <row r="4700">
      <c r="A4700" s="40">
        <f t="array" ref="A4700">IFNA(index(PlayerValues!A:A,match(IFNA(vlookup(B4700,'Special Names'!A:B,2,FALSE),B4700),PlayerValues!E:E,0)),"N/A")</f>
        <v>16287</v>
      </c>
      <c r="B4700" s="4" t="s">
        <v>516</v>
      </c>
      <c r="C4700" s="4" t="s">
        <v>287</v>
      </c>
      <c r="D4700" s="94">
        <v>2543.0</v>
      </c>
    </row>
    <row r="4701">
      <c r="A4701" s="40">
        <f t="array" ref="A4701">IFNA(index(PlayerValues!A:A,match(IFNA(vlookup(B4701,'Special Names'!A:B,2,FALSE),B4701),PlayerValues!E:E,0)),"N/A")</f>
        <v>16622</v>
      </c>
      <c r="B4701" s="4" t="s">
        <v>517</v>
      </c>
      <c r="C4701" s="4" t="s">
        <v>287</v>
      </c>
      <c r="D4701" s="94">
        <v>2539.0</v>
      </c>
    </row>
    <row r="4702">
      <c r="A4702" s="40">
        <f t="array" ref="A4702">IFNA(index(PlayerValues!A:A,match(IFNA(vlookup(B4702,'Special Names'!A:B,2,FALSE),B4702),PlayerValues!E:E,0)),"N/A")</f>
        <v>17520</v>
      </c>
      <c r="B4702" s="4" t="s">
        <v>518</v>
      </c>
      <c r="C4702" s="4" t="s">
        <v>287</v>
      </c>
      <c r="D4702" s="94">
        <v>2532.0</v>
      </c>
    </row>
    <row r="4703">
      <c r="A4703" s="40">
        <f t="array" ref="A4703">IFNA(index(PlayerValues!A:A,match(IFNA(vlookup(B4703,'Special Names'!A:B,2,FALSE),B4703),PlayerValues!E:E,0)),"N/A")</f>
        <v>11244</v>
      </c>
      <c r="B4703" s="4" t="s">
        <v>519</v>
      </c>
      <c r="C4703" s="4" t="s">
        <v>298</v>
      </c>
      <c r="D4703" s="94">
        <v>2930.0</v>
      </c>
    </row>
    <row r="4704">
      <c r="A4704" s="40">
        <f t="array" ref="A4704">IFNA(index(PlayerValues!A:A,match(IFNA(vlookup(B4704,'Special Names'!A:B,2,FALSE),B4704),PlayerValues!E:E,0)),"N/A")</f>
        <v>16165</v>
      </c>
      <c r="B4704" s="4" t="s">
        <v>520</v>
      </c>
      <c r="C4704" s="4" t="s">
        <v>278</v>
      </c>
      <c r="D4704" s="94">
        <v>2523.0</v>
      </c>
    </row>
    <row r="4705">
      <c r="A4705" s="40" t="str">
        <f t="array" ref="A4705">IFNA(index(PlayerValues!A:A,match(IFNA(vlookup(B4705,'Special Names'!A:B,2,FALSE),B4705),PlayerValues!E:E,0)),"N/A")</f>
        <v>N/A</v>
      </c>
      <c r="B4705" s="4" t="s">
        <v>99</v>
      </c>
      <c r="C4705" s="4" t="s">
        <v>325</v>
      </c>
      <c r="D4705" s="94">
        <v>2505.0</v>
      </c>
    </row>
    <row r="4706">
      <c r="A4706" s="40">
        <f t="array" ref="A4706">IFNA(index(PlayerValues!A:A,match(IFNA(vlookup(B4706,'Special Names'!A:B,2,FALSE),B4706),PlayerValues!E:E,0)),"N/A")</f>
        <v>15786</v>
      </c>
      <c r="B4706" s="4" t="s">
        <v>521</v>
      </c>
      <c r="C4706" s="4" t="s">
        <v>287</v>
      </c>
      <c r="D4706" s="94">
        <v>2499.0</v>
      </c>
    </row>
    <row r="4707">
      <c r="A4707" s="40">
        <f t="array" ref="A4707">IFNA(index(PlayerValues!A:A,match(IFNA(vlookup(B4707,'Special Names'!A:B,2,FALSE),B4707),PlayerValues!E:E,0)),"N/A")</f>
        <v>17485</v>
      </c>
      <c r="B4707" s="4" t="s">
        <v>522</v>
      </c>
      <c r="C4707" s="4" t="s">
        <v>278</v>
      </c>
      <c r="D4707" s="94">
        <v>2499.0</v>
      </c>
    </row>
    <row r="4708">
      <c r="A4708" s="40">
        <f t="array" ref="A4708">IFNA(index(PlayerValues!A:A,match(IFNA(vlookup(B4708,'Special Names'!A:B,2,FALSE),B4708),PlayerValues!E:E,0)),"N/A")</f>
        <v>14861</v>
      </c>
      <c r="B4708" s="4" t="s">
        <v>523</v>
      </c>
      <c r="C4708" s="4" t="s">
        <v>298</v>
      </c>
      <c r="D4708" s="94">
        <v>2901.0</v>
      </c>
    </row>
    <row r="4709">
      <c r="A4709" s="40">
        <f t="array" ref="A4709">IFNA(index(PlayerValues!A:A,match(IFNA(vlookup(B4709,'Special Names'!A:B,2,FALSE),B4709),PlayerValues!E:E,0)),"N/A")</f>
        <v>17157</v>
      </c>
      <c r="B4709" s="4" t="s">
        <v>524</v>
      </c>
      <c r="C4709" s="4" t="s">
        <v>287</v>
      </c>
      <c r="D4709" s="94">
        <v>2494.0</v>
      </c>
    </row>
    <row r="4710">
      <c r="A4710" s="40">
        <f t="array" ref="A4710">IFNA(index(PlayerValues!A:A,match(IFNA(vlookup(B4710,'Special Names'!A:B,2,FALSE),B4710),PlayerValues!E:E,0)),"N/A")</f>
        <v>17105</v>
      </c>
      <c r="B4710" s="4" t="s">
        <v>525</v>
      </c>
      <c r="C4710" s="4" t="s">
        <v>298</v>
      </c>
      <c r="D4710" s="94">
        <v>2892.0</v>
      </c>
    </row>
    <row r="4711">
      <c r="A4711" s="40">
        <f t="array" ref="A4711">IFNA(index(PlayerValues!A:A,match(IFNA(vlookup(B4711,'Special Names'!A:B,2,FALSE),B4711),PlayerValues!E:E,0)),"N/A")</f>
        <v>17607</v>
      </c>
      <c r="B4711" s="4" t="s">
        <v>526</v>
      </c>
      <c r="C4711" s="4" t="s">
        <v>298</v>
      </c>
      <c r="D4711" s="94">
        <v>2891.0</v>
      </c>
    </row>
    <row r="4712">
      <c r="A4712" s="40">
        <f t="array" ref="A4712">IFNA(index(PlayerValues!A:A,match(IFNA(vlookup(B4712,'Special Names'!A:B,2,FALSE),B4712),PlayerValues!E:E,0)),"N/A")</f>
        <v>17478</v>
      </c>
      <c r="B4712" s="4" t="s">
        <v>527</v>
      </c>
      <c r="C4712" s="4" t="s">
        <v>278</v>
      </c>
      <c r="D4712" s="94">
        <v>2486.0</v>
      </c>
    </row>
    <row r="4713">
      <c r="A4713" s="40">
        <f t="array" ref="A4713">IFNA(index(PlayerValues!A:A,match(IFNA(vlookup(B4713,'Special Names'!A:B,2,FALSE),B4713),PlayerValues!E:E,0)),"N/A")</f>
        <v>17505</v>
      </c>
      <c r="B4713" s="4" t="s">
        <v>528</v>
      </c>
      <c r="C4713" s="4" t="s">
        <v>287</v>
      </c>
      <c r="D4713" s="94">
        <v>2483.0</v>
      </c>
    </row>
    <row r="4714">
      <c r="A4714" s="40">
        <f t="array" ref="A4714">IFNA(index(PlayerValues!A:A,match(IFNA(vlookup(B4714,'Special Names'!A:B,2,FALSE),B4714),PlayerValues!E:E,0)),"N/A")</f>
        <v>12616</v>
      </c>
      <c r="B4714" s="4" t="s">
        <v>529</v>
      </c>
      <c r="C4714" s="4" t="s">
        <v>283</v>
      </c>
      <c r="D4714" s="94">
        <v>2477.0</v>
      </c>
    </row>
    <row r="4715">
      <c r="A4715" s="40">
        <f t="array" ref="A4715">IFNA(index(PlayerValues!A:A,match(IFNA(vlookup(B4715,'Special Names'!A:B,2,FALSE),B4715),PlayerValues!E:E,0)),"N/A")</f>
        <v>16204</v>
      </c>
      <c r="B4715" s="4" t="s">
        <v>530</v>
      </c>
      <c r="C4715" s="4" t="s">
        <v>287</v>
      </c>
      <c r="D4715" s="94">
        <v>2477.0</v>
      </c>
    </row>
    <row r="4716">
      <c r="A4716" s="40">
        <f t="array" ref="A4716">IFNA(index(PlayerValues!A:A,match(IFNA(vlookup(B4716,'Special Names'!A:B,2,FALSE),B4716),PlayerValues!E:E,0)),"N/A")</f>
        <v>14138</v>
      </c>
      <c r="B4716" s="4" t="s">
        <v>531</v>
      </c>
      <c r="C4716" s="4" t="s">
        <v>298</v>
      </c>
      <c r="D4716" s="94">
        <v>2863.0</v>
      </c>
    </row>
    <row r="4717">
      <c r="A4717" s="40">
        <f t="array" ref="A4717">IFNA(index(PlayerValues!A:A,match(IFNA(vlookup(B4717,'Special Names'!A:B,2,FALSE),B4717),PlayerValues!E:E,0)),"N/A")</f>
        <v>17080</v>
      </c>
      <c r="B4717" s="4" t="s">
        <v>532</v>
      </c>
      <c r="C4717" s="4" t="s">
        <v>287</v>
      </c>
      <c r="D4717" s="94">
        <v>2456.0</v>
      </c>
    </row>
    <row r="4718">
      <c r="A4718" s="40" t="str">
        <f t="array" ref="A4718">IFNA(index(PlayerValues!A:A,match(IFNA(vlookup(B4718,'Special Names'!A:B,2,FALSE),B4718),PlayerValues!E:E,0)),"N/A")</f>
        <v>N/A</v>
      </c>
      <c r="B4718" s="4" t="s">
        <v>86</v>
      </c>
      <c r="C4718" s="4" t="s">
        <v>325</v>
      </c>
      <c r="D4718" s="94">
        <v>2449.0</v>
      </c>
    </row>
    <row r="4719">
      <c r="A4719" s="40">
        <f t="array" ref="A4719">IFNA(index(PlayerValues!A:A,match(IFNA(vlookup(B4719,'Special Names'!A:B,2,FALSE),B4719),PlayerValues!E:E,0)),"N/A")</f>
        <v>17098</v>
      </c>
      <c r="B4719" s="4" t="s">
        <v>533</v>
      </c>
      <c r="C4719" s="4" t="s">
        <v>287</v>
      </c>
      <c r="D4719" s="94">
        <v>2409.0</v>
      </c>
    </row>
    <row r="4720">
      <c r="A4720" s="40">
        <f t="array" ref="A4720">IFNA(index(PlayerValues!A:A,match(IFNA(vlookup(B4720,'Special Names'!A:B,2,FALSE),B4720),PlayerValues!E:E,0)),"N/A")</f>
        <v>17508</v>
      </c>
      <c r="B4720" s="4" t="s">
        <v>534</v>
      </c>
      <c r="C4720" s="4" t="s">
        <v>287</v>
      </c>
      <c r="D4720" s="94">
        <v>2374.0</v>
      </c>
    </row>
    <row r="4721">
      <c r="A4721" s="40">
        <f t="array" ref="A4721">IFNA(index(PlayerValues!A:A,match(IFNA(vlookup(B4721,'Special Names'!A:B,2,FALSE),B4721),PlayerValues!E:E,0)),"N/A")</f>
        <v>17031</v>
      </c>
      <c r="B4721" s="4" t="s">
        <v>535</v>
      </c>
      <c r="C4721" s="4" t="s">
        <v>283</v>
      </c>
      <c r="D4721" s="94">
        <v>2363.0</v>
      </c>
    </row>
    <row r="4722">
      <c r="A4722" s="40" t="str">
        <f t="array" ref="A4722">IFNA(index(PlayerValues!A:A,match(IFNA(vlookup(B4722,'Special Names'!A:B,2,FALSE),B4722),PlayerValues!E:E,0)),"N/A")</f>
        <v>N/A</v>
      </c>
      <c r="B4722" s="4" t="s">
        <v>100</v>
      </c>
      <c r="C4722" s="4" t="s">
        <v>325</v>
      </c>
      <c r="D4722" s="94">
        <v>2361.0</v>
      </c>
    </row>
    <row r="4723">
      <c r="A4723" s="40">
        <f t="array" ref="A4723">IFNA(index(PlayerValues!A:A,match(IFNA(vlookup(B4723,'Special Names'!A:B,2,FALSE),B4723),PlayerValues!E:E,0)),"N/A")</f>
        <v>14136</v>
      </c>
      <c r="B4723" s="4" t="s">
        <v>536</v>
      </c>
      <c r="C4723" s="4" t="s">
        <v>287</v>
      </c>
      <c r="D4723" s="94">
        <v>2360.0</v>
      </c>
    </row>
    <row r="4724">
      <c r="A4724" s="40">
        <f t="array" ref="A4724">IFNA(index(PlayerValues!A:A,match(IFNA(vlookup(B4724,'Special Names'!A:B,2,FALSE),B4724),PlayerValues!E:E,0)),"N/A")</f>
        <v>12676</v>
      </c>
      <c r="B4724" s="4" t="s">
        <v>537</v>
      </c>
      <c r="C4724" s="4" t="s">
        <v>298</v>
      </c>
      <c r="D4724" s="94">
        <v>2755.0</v>
      </c>
    </row>
    <row r="4725">
      <c r="A4725" s="40">
        <f t="array" ref="A4725">IFNA(index(PlayerValues!A:A,match(IFNA(vlookup(B4725,'Special Names'!A:B,2,FALSE),B4725),PlayerValues!E:E,0)),"N/A")</f>
        <v>16619</v>
      </c>
      <c r="B4725" s="4" t="s">
        <v>538</v>
      </c>
      <c r="C4725" s="4" t="s">
        <v>287</v>
      </c>
      <c r="D4725" s="94">
        <v>2349.0</v>
      </c>
    </row>
    <row r="4726">
      <c r="A4726" s="40">
        <f t="array" ref="A4726">IFNA(index(PlayerValues!A:A,match(IFNA(vlookup(B4726,'Special Names'!A:B,2,FALSE),B4726),PlayerValues!E:E,0)),"N/A")</f>
        <v>17048</v>
      </c>
      <c r="B4726" s="4" t="s">
        <v>539</v>
      </c>
      <c r="C4726" s="4" t="s">
        <v>278</v>
      </c>
      <c r="D4726" s="94">
        <v>2348.0</v>
      </c>
    </row>
    <row r="4727">
      <c r="A4727" s="40">
        <f t="array" ref="A4727">IFNA(index(PlayerValues!A:A,match(IFNA(vlookup(B4727,'Special Names'!A:B,2,FALSE),B4727),PlayerValues!E:E,0)),"N/A")</f>
        <v>17481</v>
      </c>
      <c r="B4727" s="4" t="s">
        <v>540</v>
      </c>
      <c r="C4727" s="4" t="s">
        <v>278</v>
      </c>
      <c r="D4727" s="94">
        <v>2332.0</v>
      </c>
    </row>
    <row r="4728">
      <c r="A4728" s="40">
        <f t="array" ref="A4728">IFNA(index(PlayerValues!A:A,match(IFNA(vlookup(B4728,'Special Names'!A:B,2,FALSE),B4728),PlayerValues!E:E,0)),"N/A")</f>
        <v>16617</v>
      </c>
      <c r="B4728" s="4" t="s">
        <v>541</v>
      </c>
      <c r="C4728" s="4" t="s">
        <v>287</v>
      </c>
      <c r="D4728" s="94">
        <v>2327.0</v>
      </c>
    </row>
    <row r="4729">
      <c r="A4729" s="40">
        <f t="array" ref="A4729">IFNA(index(PlayerValues!A:A,match(IFNA(vlookup(B4729,'Special Names'!A:B,2,FALSE),B4729),PlayerValues!E:E,0)),"N/A")</f>
        <v>17108</v>
      </c>
      <c r="B4729" s="4" t="s">
        <v>542</v>
      </c>
      <c r="C4729" s="4" t="s">
        <v>298</v>
      </c>
      <c r="D4729" s="94">
        <v>2716.0</v>
      </c>
    </row>
    <row r="4730">
      <c r="A4730" s="40" t="str">
        <f t="array" ref="A4730">IFNA(index(PlayerValues!A:A,match(IFNA(vlookup(B4730,'Special Names'!A:B,2,FALSE),B4730),PlayerValues!E:E,0)),"N/A")</f>
        <v>N/A</v>
      </c>
      <c r="B4730" s="4" t="s">
        <v>87</v>
      </c>
      <c r="C4730" s="4" t="s">
        <v>325</v>
      </c>
      <c r="D4730" s="94">
        <v>2318.0</v>
      </c>
    </row>
    <row r="4731">
      <c r="A4731" s="40">
        <f t="array" ref="A4731">IFNA(index(PlayerValues!A:A,match(IFNA(vlookup(B4731,'Special Names'!A:B,2,FALSE),B4731),PlayerValues!E:E,0)),"N/A")</f>
        <v>17078</v>
      </c>
      <c r="B4731" s="4" t="s">
        <v>543</v>
      </c>
      <c r="C4731" s="4" t="s">
        <v>287</v>
      </c>
      <c r="D4731" s="94">
        <v>2318.0</v>
      </c>
    </row>
    <row r="4732">
      <c r="A4732" s="40" t="str">
        <f t="array" ref="A4732">IFNA(index(PlayerValues!A:A,match(IFNA(vlookup(B4732,'Special Names'!A:B,2,FALSE),B4732),PlayerValues!E:E,0)),"N/A")</f>
        <v>N/A</v>
      </c>
      <c r="B4732" s="4" t="s">
        <v>112</v>
      </c>
      <c r="C4732" s="4" t="s">
        <v>325</v>
      </c>
      <c r="D4732" s="94">
        <v>2311.0</v>
      </c>
    </row>
    <row r="4733">
      <c r="A4733" s="40">
        <f t="array" ref="A4733">IFNA(index(PlayerValues!A:A,match(IFNA(vlookup(B4733,'Special Names'!A:B,2,FALSE),B4733),PlayerValues!E:E,0)),"N/A")</f>
        <v>13772</v>
      </c>
      <c r="B4733" s="4" t="s">
        <v>544</v>
      </c>
      <c r="C4733" s="4" t="s">
        <v>298</v>
      </c>
      <c r="D4733" s="94">
        <v>2708.0</v>
      </c>
    </row>
    <row r="4734">
      <c r="A4734" s="40">
        <f t="array" ref="A4734">IFNA(index(PlayerValues!A:A,match(IFNA(vlookup(B4734,'Special Names'!A:B,2,FALSE),B4734),PlayerValues!E:E,0)),"N/A")</f>
        <v>15716</v>
      </c>
      <c r="B4734" s="4" t="s">
        <v>545</v>
      </c>
      <c r="C4734" s="4" t="s">
        <v>278</v>
      </c>
      <c r="D4734" s="94">
        <v>2282.0</v>
      </c>
    </row>
    <row r="4735">
      <c r="A4735" s="40">
        <f t="array" ref="A4735">IFNA(index(PlayerValues!A:A,match(IFNA(vlookup(B4735,'Special Names'!A:B,2,FALSE),B4735),PlayerValues!E:E,0)),"N/A")</f>
        <v>15241</v>
      </c>
      <c r="B4735" s="4" t="s">
        <v>546</v>
      </c>
      <c r="C4735" s="4" t="s">
        <v>283</v>
      </c>
      <c r="D4735" s="94">
        <v>2275.0</v>
      </c>
    </row>
    <row r="4736">
      <c r="A4736" s="40">
        <f t="array" ref="A4736">IFNA(index(PlayerValues!A:A,match(IFNA(vlookup(B4736,'Special Names'!A:B,2,FALSE),B4736),PlayerValues!E:E,0)),"N/A")</f>
        <v>17073</v>
      </c>
      <c r="B4736" s="4" t="s">
        <v>547</v>
      </c>
      <c r="C4736" s="4" t="s">
        <v>287</v>
      </c>
      <c r="D4736" s="94">
        <v>2273.0</v>
      </c>
    </row>
    <row r="4737">
      <c r="A4737" s="40">
        <f t="array" ref="A4737">IFNA(index(PlayerValues!A:A,match(IFNA(vlookup(B4737,'Special Names'!A:B,2,FALSE),B4737),PlayerValues!E:E,0)),"N/A")</f>
        <v>17134</v>
      </c>
      <c r="B4737" s="4" t="s">
        <v>548</v>
      </c>
      <c r="C4737" s="4" t="s">
        <v>287</v>
      </c>
      <c r="D4737" s="94">
        <v>2268.0</v>
      </c>
    </row>
    <row r="4738">
      <c r="A4738" s="40">
        <f t="array" ref="A4738">IFNA(index(PlayerValues!A:A,match(IFNA(vlookup(B4738,'Special Names'!A:B,2,FALSE),B4738),PlayerValues!E:E,0)),"N/A")</f>
        <v>13319</v>
      </c>
      <c r="B4738" s="4" t="s">
        <v>549</v>
      </c>
      <c r="C4738" s="4" t="s">
        <v>278</v>
      </c>
      <c r="D4738" s="94">
        <v>2263.0</v>
      </c>
    </row>
    <row r="4739">
      <c r="A4739" s="40">
        <f t="array" ref="A4739">IFNA(index(PlayerValues!A:A,match(IFNA(vlookup(B4739,'Special Names'!A:B,2,FALSE),B4739),PlayerValues!E:E,0)),"N/A")</f>
        <v>17106</v>
      </c>
      <c r="B4739" s="4" t="s">
        <v>550</v>
      </c>
      <c r="C4739" s="4" t="s">
        <v>298</v>
      </c>
      <c r="D4739" s="94">
        <v>2649.0</v>
      </c>
    </row>
    <row r="4740">
      <c r="A4740" s="40">
        <f t="array" ref="A4740">IFNA(index(PlayerValues!A:A,match(IFNA(vlookup(B4740,'Special Names'!A:B,2,FALSE),B4740),PlayerValues!E:E,0)),"N/A")</f>
        <v>17509</v>
      </c>
      <c r="B4740" s="4" t="s">
        <v>551</v>
      </c>
      <c r="C4740" s="4" t="s">
        <v>287</v>
      </c>
      <c r="D4740" s="94">
        <v>2251.0</v>
      </c>
    </row>
    <row r="4741">
      <c r="A4741" s="40">
        <f t="array" ref="A4741">IFNA(index(PlayerValues!A:A,match(IFNA(vlookup(B4741,'Special Names'!A:B,2,FALSE),B4741),PlayerValues!E:E,0)),"N/A")</f>
        <v>17547</v>
      </c>
      <c r="B4741" s="4" t="s">
        <v>552</v>
      </c>
      <c r="C4741" s="4" t="s">
        <v>298</v>
      </c>
      <c r="D4741" s="94">
        <v>2644.0</v>
      </c>
    </row>
    <row r="4742">
      <c r="A4742" s="40">
        <f t="array" ref="A4742">IFNA(index(PlayerValues!A:A,match(IFNA(vlookup(B4742,'Special Names'!A:B,2,FALSE),B4742),PlayerValues!E:E,0)),"N/A")</f>
        <v>14833</v>
      </c>
      <c r="B4742" s="4" t="s">
        <v>553</v>
      </c>
      <c r="C4742" s="4" t="s">
        <v>287</v>
      </c>
      <c r="D4742" s="94">
        <v>2236.0</v>
      </c>
    </row>
    <row r="4743">
      <c r="A4743" s="40">
        <f t="array" ref="A4743">IFNA(index(PlayerValues!A:A,match(IFNA(vlookup(B4743,'Special Names'!A:B,2,FALSE),B4743),PlayerValues!E:E,0)),"N/A")</f>
        <v>14860</v>
      </c>
      <c r="B4743" s="4" t="s">
        <v>554</v>
      </c>
      <c r="C4743" s="4" t="s">
        <v>287</v>
      </c>
      <c r="D4743" s="94">
        <v>2230.0</v>
      </c>
    </row>
    <row r="4744">
      <c r="A4744" s="40">
        <f t="array" ref="A4744">IFNA(index(PlayerValues!A:A,match(IFNA(vlookup(B4744,'Special Names'!A:B,2,FALSE),B4744),PlayerValues!E:E,0)),"N/A")</f>
        <v>16747</v>
      </c>
      <c r="B4744" s="4" t="s">
        <v>555</v>
      </c>
      <c r="C4744" s="4" t="s">
        <v>278</v>
      </c>
      <c r="D4744" s="94">
        <v>2199.0</v>
      </c>
    </row>
    <row r="4745">
      <c r="A4745" s="40">
        <f t="array" ref="A4745">IFNA(index(PlayerValues!A:A,match(IFNA(vlookup(B4745,'Special Names'!A:B,2,FALSE),B4745),PlayerValues!E:E,0)),"N/A")</f>
        <v>15797</v>
      </c>
      <c r="B4745" s="4" t="s">
        <v>556</v>
      </c>
      <c r="C4745" s="4" t="s">
        <v>298</v>
      </c>
      <c r="D4745" s="94">
        <v>2590.0</v>
      </c>
    </row>
    <row r="4746">
      <c r="A4746" s="40" t="str">
        <f t="array" ref="A4746">IFNA(index(PlayerValues!A:A,match(IFNA(vlookup(B4746,'Special Names'!A:B,2,FALSE),B4746),PlayerValues!E:E,0)),"N/A")</f>
        <v>N/A</v>
      </c>
      <c r="B4746" s="4" t="s">
        <v>557</v>
      </c>
      <c r="C4746" s="4" t="s">
        <v>278</v>
      </c>
      <c r="D4746" s="94">
        <v>2175.0</v>
      </c>
    </row>
    <row r="4747">
      <c r="A4747" s="40">
        <f t="array" ref="A4747">IFNA(index(PlayerValues!A:A,match(IFNA(vlookup(B4747,'Special Names'!A:B,2,FALSE),B4747),PlayerValues!E:E,0)),"N/A")</f>
        <v>16757</v>
      </c>
      <c r="B4747" s="4" t="s">
        <v>558</v>
      </c>
      <c r="C4747" s="4" t="s">
        <v>278</v>
      </c>
      <c r="D4747" s="94">
        <v>2168.0</v>
      </c>
    </row>
    <row r="4748">
      <c r="A4748" s="40" t="str">
        <f t="array" ref="A4748">IFNA(index(PlayerValues!A:A,match(IFNA(vlookup(B4748,'Special Names'!A:B,2,FALSE),B4748),PlayerValues!E:E,0)),"N/A")</f>
        <v>N/A</v>
      </c>
      <c r="B4748" s="4" t="s">
        <v>113</v>
      </c>
      <c r="C4748" s="4" t="s">
        <v>325</v>
      </c>
      <c r="D4748" s="94">
        <v>2166.0</v>
      </c>
    </row>
    <row r="4749">
      <c r="A4749" s="40">
        <f t="array" ref="A4749">IFNA(index(PlayerValues!A:A,match(IFNA(vlookup(B4749,'Special Names'!A:B,2,FALSE),B4749),PlayerValues!E:E,0)),"N/A")</f>
        <v>11150</v>
      </c>
      <c r="B4749" s="4" t="s">
        <v>559</v>
      </c>
      <c r="C4749" s="4" t="s">
        <v>283</v>
      </c>
      <c r="D4749" s="94">
        <v>2159.0</v>
      </c>
    </row>
    <row r="4750">
      <c r="A4750" s="40">
        <f t="array" ref="A4750">IFNA(index(PlayerValues!A:A,match(IFNA(vlookup(B4750,'Special Names'!A:B,2,FALSE),B4750),PlayerValues!E:E,0)),"N/A")</f>
        <v>15331</v>
      </c>
      <c r="B4750" s="4" t="s">
        <v>560</v>
      </c>
      <c r="C4750" s="4" t="s">
        <v>298</v>
      </c>
      <c r="D4750" s="94">
        <v>2536.0</v>
      </c>
    </row>
    <row r="4751">
      <c r="A4751" s="40">
        <f t="array" ref="A4751">IFNA(index(PlayerValues!A:A,match(IFNA(vlookup(B4751,'Special Names'!A:B,2,FALSE),B4751),PlayerValues!E:E,0)),"N/A")</f>
        <v>17171</v>
      </c>
      <c r="B4751" s="4" t="s">
        <v>561</v>
      </c>
      <c r="C4751" s="4" t="s">
        <v>287</v>
      </c>
      <c r="D4751" s="94">
        <v>2143.0</v>
      </c>
    </row>
    <row r="4752">
      <c r="A4752" s="40">
        <f t="array" ref="A4752">IFNA(index(PlayerValues!A:A,match(IFNA(vlookup(B4752,'Special Names'!A:B,2,FALSE),B4752),PlayerValues!E:E,0)),"N/A")</f>
        <v>16610</v>
      </c>
      <c r="B4752" s="4" t="s">
        <v>562</v>
      </c>
      <c r="C4752" s="4" t="s">
        <v>278</v>
      </c>
      <c r="D4752" s="94">
        <v>2140.0</v>
      </c>
    </row>
    <row r="4753">
      <c r="A4753" s="40">
        <f t="array" ref="A4753">IFNA(index(PlayerValues!A:A,match(IFNA(vlookup(B4753,'Special Names'!A:B,2,FALSE),B4753),PlayerValues!E:E,0)),"N/A")</f>
        <v>13192</v>
      </c>
      <c r="B4753" s="4" t="s">
        <v>563</v>
      </c>
      <c r="C4753" s="4" t="s">
        <v>298</v>
      </c>
      <c r="D4753" s="94">
        <v>2529.0</v>
      </c>
    </row>
    <row r="4754">
      <c r="A4754" s="40">
        <f t="array" ref="A4754">IFNA(index(PlayerValues!A:A,match(IFNA(vlookup(B4754,'Special Names'!A:B,2,FALSE),B4754),PlayerValues!E:E,0)),"N/A")</f>
        <v>14778</v>
      </c>
      <c r="B4754" s="4" t="s">
        <v>564</v>
      </c>
      <c r="C4754" s="4" t="s">
        <v>283</v>
      </c>
      <c r="D4754" s="94">
        <v>2139.0</v>
      </c>
    </row>
    <row r="4755">
      <c r="A4755" s="40">
        <f t="array" ref="A4755">IFNA(index(PlayerValues!A:A,match(IFNA(vlookup(B4755,'Special Names'!A:B,2,FALSE),B4755),PlayerValues!E:E,0)),"N/A")</f>
        <v>17055</v>
      </c>
      <c r="B4755" s="4" t="s">
        <v>565</v>
      </c>
      <c r="C4755" s="4" t="s">
        <v>278</v>
      </c>
      <c r="D4755" s="94">
        <v>2138.0</v>
      </c>
    </row>
    <row r="4756">
      <c r="A4756" s="40">
        <f t="array" ref="A4756">IFNA(index(PlayerValues!A:A,match(IFNA(vlookup(B4756,'Special Names'!A:B,2,FALSE),B4756),PlayerValues!E:E,0)),"N/A")</f>
        <v>15802</v>
      </c>
      <c r="B4756" s="4" t="s">
        <v>566</v>
      </c>
      <c r="C4756" s="4" t="s">
        <v>298</v>
      </c>
      <c r="D4756" s="94">
        <v>2529.0</v>
      </c>
    </row>
    <row r="4757">
      <c r="A4757" s="40" t="str">
        <f t="array" ref="A4757">IFNA(index(PlayerValues!A:A,match(IFNA(vlookup(B4757,'Special Names'!A:B,2,FALSE),B4757),PlayerValues!E:E,0)),"N/A")</f>
        <v>N/A</v>
      </c>
      <c r="B4757" s="4" t="s">
        <v>88</v>
      </c>
      <c r="C4757" s="4" t="s">
        <v>325</v>
      </c>
      <c r="D4757" s="94">
        <v>2133.0</v>
      </c>
    </row>
    <row r="4758">
      <c r="A4758" s="40">
        <f t="array" ref="A4758">IFNA(index(PlayerValues!A:A,match(IFNA(vlookup(B4758,'Special Names'!A:B,2,FALSE),B4758),PlayerValues!E:E,0)),"N/A")</f>
        <v>16166</v>
      </c>
      <c r="B4758" s="4" t="s">
        <v>567</v>
      </c>
      <c r="C4758" s="4" t="s">
        <v>278</v>
      </c>
      <c r="D4758" s="94">
        <v>2126.0</v>
      </c>
    </row>
    <row r="4759">
      <c r="A4759" s="40">
        <f t="array" ref="A4759">IFNA(index(PlayerValues!A:A,match(IFNA(vlookup(B4759,'Special Names'!A:B,2,FALSE),B4759),PlayerValues!E:E,0)),"N/A")</f>
        <v>16212</v>
      </c>
      <c r="B4759" s="4" t="s">
        <v>568</v>
      </c>
      <c r="C4759" s="4" t="s">
        <v>298</v>
      </c>
      <c r="D4759" s="94">
        <v>2509.0</v>
      </c>
    </row>
    <row r="4760">
      <c r="A4760" s="40">
        <f t="array" ref="A4760">IFNA(index(PlayerValues!A:A,match(IFNA(vlookup(B4760,'Special Names'!A:B,2,FALSE),B4760),PlayerValues!E:E,0)),"N/A")</f>
        <v>16584</v>
      </c>
      <c r="B4760" s="4" t="s">
        <v>569</v>
      </c>
      <c r="C4760" s="4" t="s">
        <v>283</v>
      </c>
      <c r="D4760" s="94">
        <v>2109.0</v>
      </c>
    </row>
    <row r="4761">
      <c r="A4761" s="40">
        <f t="array" ref="A4761">IFNA(index(PlayerValues!A:A,match(IFNA(vlookup(B4761,'Special Names'!A:B,2,FALSE),B4761),PlayerValues!E:E,0)),"N/A")</f>
        <v>17033</v>
      </c>
      <c r="B4761" s="4" t="s">
        <v>570</v>
      </c>
      <c r="C4761" s="4" t="s">
        <v>283</v>
      </c>
      <c r="D4761" s="94">
        <v>2104.0</v>
      </c>
    </row>
    <row r="4762">
      <c r="A4762" s="40">
        <f t="array" ref="A4762">IFNA(index(PlayerValues!A:A,match(IFNA(vlookup(B4762,'Special Names'!A:B,2,FALSE),B4762),PlayerValues!E:E,0)),"N/A")</f>
        <v>17567</v>
      </c>
      <c r="B4762" s="4" t="s">
        <v>571</v>
      </c>
      <c r="C4762" s="4" t="s">
        <v>298</v>
      </c>
      <c r="D4762" s="94">
        <v>2473.0</v>
      </c>
    </row>
    <row r="4763">
      <c r="A4763" s="40">
        <f t="array" ref="A4763">IFNA(index(PlayerValues!A:A,match(IFNA(vlookup(B4763,'Special Names'!A:B,2,FALSE),B4763),PlayerValues!E:E,0)),"N/A")</f>
        <v>17079</v>
      </c>
      <c r="B4763" s="4" t="s">
        <v>572</v>
      </c>
      <c r="C4763" s="4" t="s">
        <v>287</v>
      </c>
      <c r="D4763" s="94">
        <v>2081.0</v>
      </c>
    </row>
    <row r="4764">
      <c r="A4764" s="40" t="str">
        <f t="array" ref="A4764">IFNA(index(PlayerValues!A:A,match(IFNA(vlookup(B4764,'Special Names'!A:B,2,FALSE),B4764),PlayerValues!E:E,0)),"N/A")</f>
        <v>N/A</v>
      </c>
      <c r="B4764" s="4" t="s">
        <v>114</v>
      </c>
      <c r="C4764" s="4" t="s">
        <v>325</v>
      </c>
      <c r="D4764" s="94">
        <v>2075.0</v>
      </c>
    </row>
    <row r="4765">
      <c r="A4765" s="40">
        <f t="array" ref="A4765">IFNA(index(PlayerValues!A:A,match(IFNA(vlookup(B4765,'Special Names'!A:B,2,FALSE),B4765),PlayerValues!E:E,0)),"N/A")</f>
        <v>17521</v>
      </c>
      <c r="B4765" s="4" t="s">
        <v>573</v>
      </c>
      <c r="C4765" s="4" t="s">
        <v>287</v>
      </c>
      <c r="D4765" s="94">
        <v>2071.0</v>
      </c>
    </row>
    <row r="4766">
      <c r="A4766" s="40">
        <f t="array" ref="A4766">IFNA(index(PlayerValues!A:A,match(IFNA(vlookup(B4766,'Special Names'!A:B,2,FALSE),B4766),PlayerValues!E:E,0)),"N/A")</f>
        <v>15749</v>
      </c>
      <c r="B4766" s="4" t="s">
        <v>574</v>
      </c>
      <c r="C4766" s="4" t="s">
        <v>278</v>
      </c>
      <c r="D4766" s="94">
        <v>2068.0</v>
      </c>
    </row>
    <row r="4767">
      <c r="A4767" s="40">
        <f t="array" ref="A4767">IFNA(index(PlayerValues!A:A,match(IFNA(vlookup(B4767,'Special Names'!A:B,2,FALSE),B4767),PlayerValues!E:E,0)),"N/A")</f>
        <v>17467</v>
      </c>
      <c r="B4767" s="4" t="s">
        <v>575</v>
      </c>
      <c r="C4767" s="4" t="s">
        <v>283</v>
      </c>
      <c r="D4767" s="94">
        <v>2050.0</v>
      </c>
    </row>
    <row r="4768">
      <c r="A4768" s="40">
        <f t="array" ref="A4768">IFNA(index(PlayerValues!A:A,match(IFNA(vlookup(B4768,'Special Names'!A:B,2,FALSE),B4768),PlayerValues!E:E,0)),"N/A")</f>
        <v>17652</v>
      </c>
      <c r="B4768" s="4" t="s">
        <v>576</v>
      </c>
      <c r="C4768" s="4" t="s">
        <v>278</v>
      </c>
      <c r="D4768" s="94">
        <v>2048.0</v>
      </c>
    </row>
    <row r="4769">
      <c r="A4769" s="40">
        <f t="array" ref="A4769">IFNA(index(PlayerValues!A:A,match(IFNA(vlookup(B4769,'Special Names'!A:B,2,FALSE),B4769),PlayerValues!E:E,0)),"N/A")</f>
        <v>16778</v>
      </c>
      <c r="B4769" s="4" t="s">
        <v>577</v>
      </c>
      <c r="C4769" s="4" t="s">
        <v>287</v>
      </c>
      <c r="D4769" s="94">
        <v>2039.0</v>
      </c>
    </row>
    <row r="4770">
      <c r="A4770" s="40">
        <f t="array" ref="A4770">IFNA(index(PlayerValues!A:A,match(IFNA(vlookup(B4770,'Special Names'!A:B,2,FALSE),B4770),PlayerValues!E:E,0)),"N/A")</f>
        <v>15293</v>
      </c>
      <c r="B4770" s="4" t="s">
        <v>578</v>
      </c>
      <c r="C4770" s="4" t="s">
        <v>287</v>
      </c>
      <c r="D4770" s="94">
        <v>2029.0</v>
      </c>
    </row>
    <row r="4771">
      <c r="A4771" s="40">
        <f t="array" ref="A4771">IFNA(index(PlayerValues!A:A,match(IFNA(vlookup(B4771,'Special Names'!A:B,2,FALSE),B4771),PlayerValues!E:E,0)),"N/A")</f>
        <v>17528</v>
      </c>
      <c r="B4771" s="4" t="s">
        <v>579</v>
      </c>
      <c r="C4771" s="4" t="s">
        <v>287</v>
      </c>
      <c r="D4771" s="94">
        <v>2029.0</v>
      </c>
    </row>
    <row r="4772">
      <c r="A4772" s="40">
        <f t="array" ref="A4772">IFNA(index(PlayerValues!A:A,match(IFNA(vlookup(B4772,'Special Names'!A:B,2,FALSE),B4772),PlayerValues!E:E,0)),"N/A")</f>
        <v>17061</v>
      </c>
      <c r="B4772" s="4" t="s">
        <v>580</v>
      </c>
      <c r="C4772" s="4" t="s">
        <v>278</v>
      </c>
      <c r="D4772" s="94">
        <v>2028.0</v>
      </c>
    </row>
    <row r="4773">
      <c r="A4773" s="40">
        <f t="array" ref="A4773">IFNA(index(PlayerValues!A:A,match(IFNA(vlookup(B4773,'Special Names'!A:B,2,FALSE),B4773),PlayerValues!E:E,0)),"N/A")</f>
        <v>17056</v>
      </c>
      <c r="B4773" s="4" t="s">
        <v>581</v>
      </c>
      <c r="C4773" s="4" t="s">
        <v>278</v>
      </c>
      <c r="D4773" s="94">
        <v>2024.0</v>
      </c>
    </row>
    <row r="4774">
      <c r="A4774" s="40">
        <f t="array" ref="A4774">IFNA(index(PlayerValues!A:A,match(IFNA(vlookup(B4774,'Special Names'!A:B,2,FALSE),B4774),PlayerValues!E:E,0)),"N/A")</f>
        <v>16189</v>
      </c>
      <c r="B4774" s="4" t="s">
        <v>582</v>
      </c>
      <c r="C4774" s="4" t="s">
        <v>287</v>
      </c>
      <c r="D4774" s="94">
        <v>2022.0</v>
      </c>
    </row>
    <row r="4775">
      <c r="A4775" s="40">
        <f t="array" ref="A4775">IFNA(index(PlayerValues!A:A,match(IFNA(vlookup(B4775,'Special Names'!A:B,2,FALSE),B4775),PlayerValues!E:E,0)),"N/A")</f>
        <v>16342</v>
      </c>
      <c r="B4775" s="4" t="s">
        <v>583</v>
      </c>
      <c r="C4775" s="4" t="s">
        <v>287</v>
      </c>
      <c r="D4775" s="94">
        <v>2021.0</v>
      </c>
    </row>
    <row r="4776">
      <c r="A4776" s="40">
        <f t="array" ref="A4776">IFNA(index(PlayerValues!A:A,match(IFNA(vlookup(B4776,'Special Names'!A:B,2,FALSE),B4776),PlayerValues!E:E,0)),"N/A")</f>
        <v>14871</v>
      </c>
      <c r="B4776" s="4" t="s">
        <v>584</v>
      </c>
      <c r="C4776" s="4" t="s">
        <v>298</v>
      </c>
      <c r="D4776" s="94">
        <v>2380.0</v>
      </c>
    </row>
    <row r="4777">
      <c r="A4777" s="40">
        <f t="array" ref="A4777">IFNA(index(PlayerValues!A:A,match(IFNA(vlookup(B4777,'Special Names'!A:B,2,FALSE),B4777),PlayerValues!E:E,0)),"N/A")</f>
        <v>17076</v>
      </c>
      <c r="B4777" s="4" t="s">
        <v>585</v>
      </c>
      <c r="C4777" s="4" t="s">
        <v>287</v>
      </c>
      <c r="D4777" s="94">
        <v>1992.0</v>
      </c>
    </row>
    <row r="4778">
      <c r="A4778" s="40">
        <f t="array" ref="A4778">IFNA(index(PlayerValues!A:A,match(IFNA(vlookup(B4778,'Special Names'!A:B,2,FALSE),B4778),PlayerValues!E:E,0)),"N/A")</f>
        <v>16649</v>
      </c>
      <c r="B4778" s="4" t="s">
        <v>586</v>
      </c>
      <c r="C4778" s="4" t="s">
        <v>298</v>
      </c>
      <c r="D4778" s="94">
        <v>2376.0</v>
      </c>
    </row>
    <row r="4779">
      <c r="A4779" s="40">
        <f t="array" ref="A4779">IFNA(index(PlayerValues!A:A,match(IFNA(vlookup(B4779,'Special Names'!A:B,2,FALSE),B4779),PlayerValues!E:E,0)),"N/A")</f>
        <v>16603</v>
      </c>
      <c r="B4779" s="4" t="s">
        <v>587</v>
      </c>
      <c r="C4779" s="4" t="s">
        <v>278</v>
      </c>
      <c r="D4779" s="94">
        <v>1985.0</v>
      </c>
    </row>
    <row r="4780">
      <c r="A4780" s="40" t="str">
        <f t="array" ref="A4780">IFNA(index(PlayerValues!A:A,match(IFNA(vlookup(B4780,'Special Names'!A:B,2,FALSE),B4780),PlayerValues!E:E,0)),"N/A")</f>
        <v>N/A</v>
      </c>
      <c r="B4780" s="4" t="s">
        <v>101</v>
      </c>
      <c r="C4780" s="4" t="s">
        <v>325</v>
      </c>
      <c r="D4780" s="94">
        <v>1982.0</v>
      </c>
    </row>
    <row r="4781">
      <c r="A4781" s="40">
        <f t="array" ref="A4781">IFNA(index(PlayerValues!A:A,match(IFNA(vlookup(B4781,'Special Names'!A:B,2,FALSE),B4781),PlayerValues!E:E,0)),"N/A")</f>
        <v>17184</v>
      </c>
      <c r="B4781" s="4" t="s">
        <v>588</v>
      </c>
      <c r="C4781" s="4" t="s">
        <v>287</v>
      </c>
      <c r="D4781" s="94">
        <v>1972.0</v>
      </c>
    </row>
    <row r="4782">
      <c r="A4782" s="40">
        <f t="array" ref="A4782">IFNA(index(PlayerValues!A:A,match(IFNA(vlookup(B4782,'Special Names'!A:B,2,FALSE),B4782),PlayerValues!E:E,0)),"N/A")</f>
        <v>16201</v>
      </c>
      <c r="B4782" s="4" t="s">
        <v>589</v>
      </c>
      <c r="C4782" s="4" t="s">
        <v>287</v>
      </c>
      <c r="D4782" s="94">
        <v>1969.0</v>
      </c>
    </row>
    <row r="4783">
      <c r="A4783" s="40">
        <f t="array" ref="A4783">IFNA(index(PlayerValues!A:A,match(IFNA(vlookup(B4783,'Special Names'!A:B,2,FALSE),B4783),PlayerValues!E:E,0)),"N/A")</f>
        <v>7836</v>
      </c>
      <c r="B4783" s="4" t="s">
        <v>590</v>
      </c>
      <c r="C4783" s="4" t="s">
        <v>283</v>
      </c>
      <c r="D4783" s="94">
        <v>1951.0</v>
      </c>
    </row>
    <row r="4784">
      <c r="A4784" s="40">
        <f t="array" ref="A4784">IFNA(index(PlayerValues!A:A,match(IFNA(vlookup(B4784,'Special Names'!A:B,2,FALSE),B4784),PlayerValues!E:E,0)),"N/A")</f>
        <v>14867</v>
      </c>
      <c r="B4784" s="4" t="s">
        <v>591</v>
      </c>
      <c r="C4784" s="4" t="s">
        <v>298</v>
      </c>
      <c r="D4784" s="94">
        <v>2337.0</v>
      </c>
    </row>
    <row r="4785">
      <c r="A4785" s="40">
        <f t="array" ref="A4785">IFNA(index(PlayerValues!A:A,match(IFNA(vlookup(B4785,'Special Names'!A:B,2,FALSE),B4785),PlayerValues!E:E,0)),"N/A")</f>
        <v>16036</v>
      </c>
      <c r="B4785" s="4" t="s">
        <v>592</v>
      </c>
      <c r="C4785" s="4" t="s">
        <v>298</v>
      </c>
      <c r="D4785" s="94">
        <v>2330.0</v>
      </c>
    </row>
    <row r="4786">
      <c r="A4786" s="40">
        <f t="array" ref="A4786">IFNA(index(PlayerValues!A:A,match(IFNA(vlookup(B4786,'Special Names'!A:B,2,FALSE),B4786),PlayerValues!E:E,0)),"N/A")</f>
        <v>17519</v>
      </c>
      <c r="B4786" s="4" t="s">
        <v>593</v>
      </c>
      <c r="C4786" s="4" t="s">
        <v>287</v>
      </c>
      <c r="D4786" s="94">
        <v>1935.0</v>
      </c>
    </row>
    <row r="4787">
      <c r="A4787" s="40">
        <f t="array" ref="A4787">IFNA(index(PlayerValues!A:A,match(IFNA(vlookup(B4787,'Special Names'!A:B,2,FALSE),B4787),PlayerValues!E:E,0)),"N/A")</f>
        <v>17548</v>
      </c>
      <c r="B4787" s="4" t="s">
        <v>594</v>
      </c>
      <c r="C4787" s="4" t="s">
        <v>298</v>
      </c>
      <c r="D4787" s="94">
        <v>2314.0</v>
      </c>
    </row>
    <row r="4788">
      <c r="A4788" s="40">
        <f t="array" ref="A4788">IFNA(index(PlayerValues!A:A,match(IFNA(vlookup(B4788,'Special Names'!A:B,2,FALSE),B4788),PlayerValues!E:E,0)),"N/A")</f>
        <v>16216</v>
      </c>
      <c r="B4788" s="4" t="s">
        <v>595</v>
      </c>
      <c r="C4788" s="4" t="s">
        <v>298</v>
      </c>
      <c r="D4788" s="94">
        <v>2314.0</v>
      </c>
    </row>
    <row r="4789">
      <c r="A4789" s="40">
        <f t="array" ref="A4789">IFNA(index(PlayerValues!A:A,match(IFNA(vlookup(B4789,'Special Names'!A:B,2,FALSE),B4789),PlayerValues!E:E,0)),"N/A")</f>
        <v>10700</v>
      </c>
      <c r="B4789" s="4" t="s">
        <v>596</v>
      </c>
      <c r="C4789" s="4" t="s">
        <v>283</v>
      </c>
      <c r="D4789" s="94">
        <v>1926.0</v>
      </c>
    </row>
    <row r="4790">
      <c r="A4790" s="40">
        <f t="array" ref="A4790">IFNA(index(PlayerValues!A:A,match(IFNA(vlookup(B4790,'Special Names'!A:B,2,FALSE),B4790),PlayerValues!E:E,0)),"N/A")</f>
        <v>16752</v>
      </c>
      <c r="B4790" s="4" t="s">
        <v>597</v>
      </c>
      <c r="C4790" s="4" t="s">
        <v>278</v>
      </c>
      <c r="D4790" s="94">
        <v>1925.0</v>
      </c>
    </row>
    <row r="4791">
      <c r="A4791" s="40">
        <f t="array" ref="A4791">IFNA(index(PlayerValues!A:A,match(IFNA(vlookup(B4791,'Special Names'!A:B,2,FALSE),B4791),PlayerValues!E:E,0)),"N/A")</f>
        <v>13132</v>
      </c>
      <c r="B4791" s="4" t="s">
        <v>598</v>
      </c>
      <c r="C4791" s="4" t="s">
        <v>278</v>
      </c>
      <c r="D4791" s="94">
        <v>1920.0</v>
      </c>
    </row>
    <row r="4792">
      <c r="A4792" s="40">
        <f t="array" ref="A4792">IFNA(index(PlayerValues!A:A,match(IFNA(vlookup(B4792,'Special Names'!A:B,2,FALSE),B4792),PlayerValues!E:E,0)),"N/A")</f>
        <v>16639</v>
      </c>
      <c r="B4792" s="4" t="s">
        <v>599</v>
      </c>
      <c r="C4792" s="4" t="s">
        <v>287</v>
      </c>
      <c r="D4792" s="94">
        <v>1901.0</v>
      </c>
    </row>
    <row r="4793">
      <c r="A4793" s="40">
        <f t="array" ref="A4793">IFNA(index(PlayerValues!A:A,match(IFNA(vlookup(B4793,'Special Names'!A:B,2,FALSE),B4793),PlayerValues!E:E,0)),"N/A")</f>
        <v>17087</v>
      </c>
      <c r="B4793" s="4" t="s">
        <v>600</v>
      </c>
      <c r="C4793" s="4" t="s">
        <v>287</v>
      </c>
      <c r="D4793" s="94">
        <v>1894.0</v>
      </c>
    </row>
    <row r="4794">
      <c r="A4794" s="40">
        <f t="array" ref="A4794">IFNA(index(PlayerValues!A:A,match(IFNA(vlookup(B4794,'Special Names'!A:B,2,FALSE),B4794),PlayerValues!E:E,0)),"N/A")</f>
        <v>16152</v>
      </c>
      <c r="B4794" s="4" t="s">
        <v>601</v>
      </c>
      <c r="C4794" s="4" t="s">
        <v>283</v>
      </c>
      <c r="D4794" s="94">
        <v>1875.0</v>
      </c>
    </row>
    <row r="4795">
      <c r="A4795" s="40">
        <f t="array" ref="A4795">IFNA(index(PlayerValues!A:A,match(IFNA(vlookup(B4795,'Special Names'!A:B,2,FALSE),B4795),PlayerValues!E:E,0)),"N/A")</f>
        <v>17046</v>
      </c>
      <c r="B4795" s="4" t="s">
        <v>602</v>
      </c>
      <c r="C4795" s="4" t="s">
        <v>278</v>
      </c>
      <c r="D4795" s="94">
        <v>1868.0</v>
      </c>
    </row>
    <row r="4796">
      <c r="A4796" s="40">
        <f t="array" ref="A4796">IFNA(index(PlayerValues!A:A,match(IFNA(vlookup(B4796,'Special Names'!A:B,2,FALSE),B4796),PlayerValues!E:E,0)),"N/A")</f>
        <v>17060</v>
      </c>
      <c r="B4796" s="4" t="s">
        <v>603</v>
      </c>
      <c r="C4796" s="4" t="s">
        <v>278</v>
      </c>
      <c r="D4796" s="94">
        <v>1859.0</v>
      </c>
    </row>
    <row r="4797">
      <c r="A4797" s="40">
        <f t="array" ref="A4797">IFNA(index(PlayerValues!A:A,match(IFNA(vlookup(B4797,'Special Names'!A:B,2,FALSE),B4797),PlayerValues!E:E,0)),"N/A")</f>
        <v>17069</v>
      </c>
      <c r="B4797" s="4" t="s">
        <v>604</v>
      </c>
      <c r="C4797" s="4" t="s">
        <v>278</v>
      </c>
      <c r="D4797" s="94">
        <v>1848.0</v>
      </c>
    </row>
    <row r="4798">
      <c r="A4798" s="40">
        <f t="array" ref="A4798">IFNA(index(PlayerValues!A:A,match(IFNA(vlookup(B4798,'Special Names'!A:B,2,FALSE),B4798),PlayerValues!E:E,0)),"N/A")</f>
        <v>16629</v>
      </c>
      <c r="B4798" s="4" t="s">
        <v>605</v>
      </c>
      <c r="C4798" s="4" t="s">
        <v>287</v>
      </c>
      <c r="D4798" s="94">
        <v>1823.0</v>
      </c>
    </row>
    <row r="4799">
      <c r="A4799" s="40">
        <f t="array" ref="A4799">IFNA(index(PlayerValues!A:A,match(IFNA(vlookup(B4799,'Special Names'!A:B,2,FALSE),B4799),PlayerValues!E:E,0)),"N/A")</f>
        <v>13113</v>
      </c>
      <c r="B4799" s="4" t="s">
        <v>606</v>
      </c>
      <c r="C4799" s="4" t="s">
        <v>283</v>
      </c>
      <c r="D4799" s="94">
        <v>1822.0</v>
      </c>
    </row>
    <row r="4800">
      <c r="A4800" s="40">
        <f t="array" ref="A4800">IFNA(index(PlayerValues!A:A,match(IFNA(vlookup(B4800,'Special Names'!A:B,2,FALSE),B4800),PlayerValues!E:E,0)),"N/A")</f>
        <v>16594</v>
      </c>
      <c r="B4800" s="4" t="s">
        <v>607</v>
      </c>
      <c r="C4800" s="4" t="s">
        <v>278</v>
      </c>
      <c r="D4800" s="94">
        <v>1819.0</v>
      </c>
    </row>
    <row r="4801">
      <c r="A4801" s="40" t="str">
        <f t="array" ref="A4801">IFNA(index(PlayerValues!A:A,match(IFNA(vlookup(B4801,'Special Names'!A:B,2,FALSE),B4801),PlayerValues!E:E,0)),"N/A")</f>
        <v>N/A</v>
      </c>
      <c r="B4801" s="4" t="s">
        <v>102</v>
      </c>
      <c r="C4801" s="4" t="s">
        <v>325</v>
      </c>
      <c r="D4801" s="94">
        <v>1818.0</v>
      </c>
    </row>
    <row r="4802">
      <c r="A4802" s="40">
        <f t="array" ref="A4802">IFNA(index(PlayerValues!A:A,match(IFNA(vlookup(B4802,'Special Names'!A:B,2,FALSE),B4802),PlayerValues!E:E,0)),"N/A")</f>
        <v>17529</v>
      </c>
      <c r="B4802" s="4" t="s">
        <v>608</v>
      </c>
      <c r="C4802" s="4" t="s">
        <v>287</v>
      </c>
      <c r="D4802" s="94">
        <v>1815.0</v>
      </c>
    </row>
    <row r="4803">
      <c r="A4803" s="40">
        <f t="array" ref="A4803">IFNA(index(PlayerValues!A:A,match(IFNA(vlookup(B4803,'Special Names'!A:B,2,FALSE),B4803),PlayerValues!E:E,0)),"N/A")</f>
        <v>16643</v>
      </c>
      <c r="B4803" s="4" t="s">
        <v>609</v>
      </c>
      <c r="C4803" s="4" t="s">
        <v>298</v>
      </c>
      <c r="D4803" s="94">
        <v>2188.0</v>
      </c>
    </row>
    <row r="4804">
      <c r="A4804" s="40">
        <f t="array" ref="A4804">IFNA(index(PlayerValues!A:A,match(IFNA(vlookup(B4804,'Special Names'!A:B,2,FALSE),B4804),PlayerValues!E:E,0)),"N/A")</f>
        <v>15787</v>
      </c>
      <c r="B4804" s="4" t="s">
        <v>610</v>
      </c>
      <c r="C4804" s="4" t="s">
        <v>287</v>
      </c>
      <c r="D4804" s="94">
        <v>1803.0</v>
      </c>
    </row>
    <row r="4805">
      <c r="A4805" s="40">
        <f t="array" ref="A4805">IFNA(index(PlayerValues!A:A,match(IFNA(vlookup(B4805,'Special Names'!A:B,2,FALSE),B4805),PlayerValues!E:E,0)),"N/A")</f>
        <v>14974</v>
      </c>
      <c r="B4805" s="4" t="s">
        <v>611</v>
      </c>
      <c r="C4805" s="4" t="s">
        <v>287</v>
      </c>
      <c r="D4805" s="94">
        <v>1799.0</v>
      </c>
    </row>
    <row r="4806">
      <c r="A4806" s="40">
        <f t="array" ref="A4806">IFNA(index(PlayerValues!A:A,match(IFNA(vlookup(B4806,'Special Names'!A:B,2,FALSE),B4806),PlayerValues!E:E,0)),"N/A")</f>
        <v>17086</v>
      </c>
      <c r="B4806" s="4" t="s">
        <v>612</v>
      </c>
      <c r="C4806" s="4" t="s">
        <v>287</v>
      </c>
      <c r="D4806" s="94">
        <v>1797.0</v>
      </c>
    </row>
    <row r="4807">
      <c r="A4807" s="40">
        <f t="array" ref="A4807">IFNA(index(PlayerValues!A:A,match(IFNA(vlookup(B4807,'Special Names'!A:B,2,FALSE),B4807),PlayerValues!E:E,0)),"N/A")</f>
        <v>15238</v>
      </c>
      <c r="B4807" s="4" t="s">
        <v>613</v>
      </c>
      <c r="C4807" s="4" t="s">
        <v>283</v>
      </c>
      <c r="D4807" s="94">
        <v>1794.0</v>
      </c>
    </row>
    <row r="4808">
      <c r="A4808" s="40">
        <f t="array" ref="A4808">IFNA(index(PlayerValues!A:A,match(IFNA(vlookup(B4808,'Special Names'!A:B,2,FALSE),B4808),PlayerValues!E:E,0)),"N/A")</f>
        <v>17706</v>
      </c>
      <c r="B4808" s="4" t="s">
        <v>614</v>
      </c>
      <c r="C4808" s="4" t="s">
        <v>287</v>
      </c>
      <c r="D4808" s="94">
        <v>1783.0</v>
      </c>
    </row>
    <row r="4809">
      <c r="A4809" s="40">
        <f t="array" ref="A4809">IFNA(index(PlayerValues!A:A,match(IFNA(vlookup(B4809,'Special Names'!A:B,2,FALSE),B4809),PlayerValues!E:E,0)),"N/A")</f>
        <v>17475</v>
      </c>
      <c r="B4809" s="4" t="s">
        <v>615</v>
      </c>
      <c r="C4809" s="4" t="s">
        <v>278</v>
      </c>
      <c r="D4809" s="94">
        <v>1771.0</v>
      </c>
    </row>
    <row r="4810">
      <c r="A4810" s="40">
        <f t="array" ref="A4810">IFNA(index(PlayerValues!A:A,match(IFNA(vlookup(B4810,'Special Names'!A:B,2,FALSE),B4810),PlayerValues!E:E,0)),"N/A")</f>
        <v>17541</v>
      </c>
      <c r="B4810" s="4" t="s">
        <v>616</v>
      </c>
      <c r="C4810" s="4" t="s">
        <v>287</v>
      </c>
      <c r="D4810" s="94">
        <v>1771.0</v>
      </c>
    </row>
    <row r="4811">
      <c r="A4811" s="40" t="str">
        <f t="array" ref="A4811">IFNA(index(PlayerValues!A:A,match(IFNA(vlookup(B4811,'Special Names'!A:B,2,FALSE),B4811),PlayerValues!E:E,0)),"N/A")</f>
        <v>N/A</v>
      </c>
      <c r="B4811" s="4" t="s">
        <v>89</v>
      </c>
      <c r="C4811" s="4" t="s">
        <v>325</v>
      </c>
      <c r="D4811" s="94">
        <v>1747.0</v>
      </c>
    </row>
    <row r="4812">
      <c r="A4812" s="40">
        <f t="array" ref="A4812">IFNA(index(PlayerValues!A:A,match(IFNA(vlookup(B4812,'Special Names'!A:B,2,FALSE),B4812),PlayerValues!E:E,0)),"N/A")</f>
        <v>17036</v>
      </c>
      <c r="B4812" s="4" t="s">
        <v>617</v>
      </c>
      <c r="C4812" s="4" t="s">
        <v>283</v>
      </c>
      <c r="D4812" s="94">
        <v>1731.0</v>
      </c>
    </row>
    <row r="4813">
      <c r="A4813" s="40">
        <f t="array" ref="A4813">IFNA(index(PlayerValues!A:A,match(IFNA(vlookup(B4813,'Special Names'!A:B,2,FALSE),B4813),PlayerValues!E:E,0)),"N/A")</f>
        <v>16171</v>
      </c>
      <c r="B4813" s="4" t="s">
        <v>618</v>
      </c>
      <c r="C4813" s="4" t="s">
        <v>278</v>
      </c>
      <c r="D4813" s="94">
        <v>1727.0</v>
      </c>
    </row>
    <row r="4814">
      <c r="A4814" s="40">
        <f t="array" ref="A4814">IFNA(index(PlayerValues!A:A,match(IFNA(vlookup(B4814,'Special Names'!A:B,2,FALSE),B4814),PlayerValues!E:E,0)),"N/A")</f>
        <v>13629</v>
      </c>
      <c r="B4814" s="4" t="s">
        <v>619</v>
      </c>
      <c r="C4814" s="4" t="s">
        <v>287</v>
      </c>
      <c r="D4814" s="94">
        <v>1723.0</v>
      </c>
    </row>
    <row r="4815">
      <c r="A4815" s="40" t="str">
        <f t="array" ref="A4815">IFNA(index(PlayerValues!A:A,match(IFNA(vlookup(B4815,'Special Names'!A:B,2,FALSE),B4815),PlayerValues!E:E,0)),"N/A")</f>
        <v>N/A</v>
      </c>
      <c r="B4815" s="4" t="s">
        <v>103</v>
      </c>
      <c r="C4815" s="4" t="s">
        <v>325</v>
      </c>
      <c r="D4815" s="94">
        <v>1713.0</v>
      </c>
    </row>
    <row r="4816">
      <c r="A4816" s="40">
        <f t="array" ref="A4816">IFNA(index(PlayerValues!A:A,match(IFNA(vlookup(B4816,'Special Names'!A:B,2,FALSE),B4816),PlayerValues!E:E,0)),"N/A")</f>
        <v>16432</v>
      </c>
      <c r="B4816" s="4" t="s">
        <v>620</v>
      </c>
      <c r="C4816" s="4" t="s">
        <v>278</v>
      </c>
      <c r="D4816" s="94">
        <v>1709.0</v>
      </c>
    </row>
    <row r="4817">
      <c r="A4817" s="40">
        <f t="array" ref="A4817">IFNA(index(PlayerValues!A:A,match(IFNA(vlookup(B4817,'Special Names'!A:B,2,FALSE),B4817),PlayerValues!E:E,0)),"N/A")</f>
        <v>16788</v>
      </c>
      <c r="B4817" s="4" t="s">
        <v>621</v>
      </c>
      <c r="C4817" s="4" t="s">
        <v>287</v>
      </c>
      <c r="D4817" s="94">
        <v>1707.0</v>
      </c>
    </row>
    <row r="4818">
      <c r="A4818" s="40">
        <f t="array" ref="A4818">IFNA(index(PlayerValues!A:A,match(IFNA(vlookup(B4818,'Special Names'!A:B,2,FALSE),B4818),PlayerValues!E:E,0)),"N/A")</f>
        <v>11222</v>
      </c>
      <c r="B4818" s="4" t="s">
        <v>622</v>
      </c>
      <c r="C4818" s="4" t="s">
        <v>287</v>
      </c>
      <c r="D4818" s="94">
        <v>1702.0</v>
      </c>
    </row>
    <row r="4819">
      <c r="A4819" s="40" t="str">
        <f t="array" ref="A4819">IFNA(index(PlayerValues!A:A,match(IFNA(vlookup(B4819,'Special Names'!A:B,2,FALSE),B4819),PlayerValues!E:E,0)),"N/A")</f>
        <v>N/A</v>
      </c>
      <c r="B4819" s="4" t="s">
        <v>90</v>
      </c>
      <c r="C4819" s="4" t="s">
        <v>325</v>
      </c>
      <c r="D4819" s="94">
        <v>1699.0</v>
      </c>
    </row>
    <row r="4820">
      <c r="A4820" s="40">
        <f t="array" ref="A4820">IFNA(index(PlayerValues!A:A,match(IFNA(vlookup(B4820,'Special Names'!A:B,2,FALSE),B4820),PlayerValues!E:E,0)),"N/A")</f>
        <v>16585</v>
      </c>
      <c r="B4820" s="4" t="s">
        <v>623</v>
      </c>
      <c r="C4820" s="4" t="s">
        <v>283</v>
      </c>
      <c r="D4820" s="94">
        <v>1689.0</v>
      </c>
    </row>
    <row r="4821">
      <c r="A4821" s="40">
        <f t="array" ref="A4821">IFNA(index(PlayerValues!A:A,match(IFNA(vlookup(B4821,'Special Names'!A:B,2,FALSE),B4821),PlayerValues!E:E,0)),"N/A")</f>
        <v>17049</v>
      </c>
      <c r="B4821" s="4" t="s">
        <v>624</v>
      </c>
      <c r="C4821" s="4" t="s">
        <v>278</v>
      </c>
      <c r="D4821" s="94">
        <v>1688.0</v>
      </c>
    </row>
    <row r="4822">
      <c r="A4822" s="40">
        <f t="array" ref="A4822">IFNA(index(PlayerValues!A:A,match(IFNA(vlookup(B4822,'Special Names'!A:B,2,FALSE),B4822),PlayerValues!E:E,0)),"N/A")</f>
        <v>13633</v>
      </c>
      <c r="B4822" s="4" t="s">
        <v>625</v>
      </c>
      <c r="C4822" s="4" t="s">
        <v>287</v>
      </c>
      <c r="D4822" s="94">
        <v>1686.0</v>
      </c>
    </row>
    <row r="4823">
      <c r="A4823" s="40">
        <f t="array" ref="A4823">IFNA(index(PlayerValues!A:A,match(IFNA(vlookup(B4823,'Special Names'!A:B,2,FALSE),B4823),PlayerValues!E:E,0)),"N/A")</f>
        <v>13189</v>
      </c>
      <c r="B4823" s="4" t="s">
        <v>626</v>
      </c>
      <c r="C4823" s="4" t="s">
        <v>298</v>
      </c>
      <c r="D4823" s="94">
        <v>2050.0</v>
      </c>
    </row>
    <row r="4824">
      <c r="A4824" s="40">
        <f t="array" ref="A4824">IFNA(index(PlayerValues!A:A,match(IFNA(vlookup(B4824,'Special Names'!A:B,2,FALSE),B4824),PlayerValues!E:E,0)),"N/A")</f>
        <v>15788</v>
      </c>
      <c r="B4824" s="4" t="s">
        <v>627</v>
      </c>
      <c r="C4824" s="4" t="s">
        <v>287</v>
      </c>
      <c r="D4824" s="94">
        <v>1663.0</v>
      </c>
    </row>
    <row r="4825">
      <c r="A4825" s="40">
        <f t="array" ref="A4825">IFNA(index(PlayerValues!A:A,match(IFNA(vlookup(B4825,'Special Names'!A:B,2,FALSE),B4825),PlayerValues!E:E,0)),"N/A")</f>
        <v>15755</v>
      </c>
      <c r="B4825" s="4" t="s">
        <v>628</v>
      </c>
      <c r="C4825" s="4" t="s">
        <v>287</v>
      </c>
      <c r="D4825" s="94">
        <v>1660.0</v>
      </c>
    </row>
    <row r="4826">
      <c r="A4826" s="40">
        <f t="array" ref="A4826">IFNA(index(PlayerValues!A:A,match(IFNA(vlookup(B4826,'Special Names'!A:B,2,FALSE),B4826),PlayerValues!E:E,0)),"N/A")</f>
        <v>16608</v>
      </c>
      <c r="B4826" s="4" t="s">
        <v>629</v>
      </c>
      <c r="C4826" s="4" t="s">
        <v>278</v>
      </c>
      <c r="D4826" s="94">
        <v>1643.0</v>
      </c>
    </row>
    <row r="4827">
      <c r="A4827" s="40">
        <f t="array" ref="A4827">IFNA(index(PlayerValues!A:A,match(IFNA(vlookup(B4827,'Special Names'!A:B,2,FALSE),B4827),PlayerValues!E:E,0)),"N/A")</f>
        <v>17685</v>
      </c>
      <c r="B4827" s="4" t="s">
        <v>630</v>
      </c>
      <c r="C4827" s="4" t="s">
        <v>278</v>
      </c>
      <c r="D4827" s="94">
        <v>1633.0</v>
      </c>
    </row>
    <row r="4828">
      <c r="A4828" s="40">
        <f t="array" ref="A4828">IFNA(index(PlayerValues!A:A,match(IFNA(vlookup(B4828,'Special Names'!A:B,2,FALSE),B4828),PlayerValues!E:E,0)),"N/A")</f>
        <v>17064</v>
      </c>
      <c r="B4828" s="4" t="s">
        <v>631</v>
      </c>
      <c r="C4828" s="4" t="s">
        <v>278</v>
      </c>
      <c r="D4828" s="94">
        <v>1622.0</v>
      </c>
    </row>
    <row r="4829">
      <c r="A4829" s="40">
        <f t="array" ref="A4829">IFNA(index(PlayerValues!A:A,match(IFNA(vlookup(B4829,'Special Names'!A:B,2,FALSE),B4829),PlayerValues!E:E,0)),"N/A")</f>
        <v>13164</v>
      </c>
      <c r="B4829" s="4" t="s">
        <v>632</v>
      </c>
      <c r="C4829" s="4" t="s">
        <v>287</v>
      </c>
      <c r="D4829" s="94">
        <v>1617.0</v>
      </c>
    </row>
    <row r="4830">
      <c r="A4830" s="40">
        <f t="array" ref="A4830">IFNA(index(PlayerValues!A:A,match(IFNA(vlookup(B4830,'Special Names'!A:B,2,FALSE),B4830),PlayerValues!E:E,0)),"N/A")</f>
        <v>15254</v>
      </c>
      <c r="B4830" s="4" t="s">
        <v>633</v>
      </c>
      <c r="C4830" s="4" t="s">
        <v>278</v>
      </c>
      <c r="D4830" s="94">
        <v>1613.0</v>
      </c>
    </row>
    <row r="4831">
      <c r="A4831" s="40" t="str">
        <f t="array" ref="A4831">IFNA(index(PlayerValues!A:A,match(IFNA(vlookup(B4831,'Special Names'!A:B,2,FALSE),B4831),PlayerValues!E:E,0)),"N/A")</f>
        <v>N/A</v>
      </c>
      <c r="B4831" s="4" t="s">
        <v>115</v>
      </c>
      <c r="C4831" s="4" t="s">
        <v>325</v>
      </c>
      <c r="D4831" s="94">
        <v>1613.0</v>
      </c>
    </row>
    <row r="4832">
      <c r="A4832" s="40">
        <f t="array" ref="A4832">IFNA(index(PlayerValues!A:A,match(IFNA(vlookup(B4832,'Special Names'!A:B,2,FALSE),B4832),PlayerValues!E:E,0)),"N/A")</f>
        <v>15738</v>
      </c>
      <c r="B4832" s="4" t="s">
        <v>634</v>
      </c>
      <c r="C4832" s="4" t="s">
        <v>278</v>
      </c>
      <c r="D4832" s="94">
        <v>1609.0</v>
      </c>
    </row>
    <row r="4833">
      <c r="A4833" s="40">
        <f t="array" ref="A4833">IFNA(index(PlayerValues!A:A,match(IFNA(vlookup(B4833,'Special Names'!A:B,2,FALSE),B4833),PlayerValues!E:E,0)),"N/A")</f>
        <v>14143</v>
      </c>
      <c r="B4833" s="4" t="s">
        <v>635</v>
      </c>
      <c r="C4833" s="4" t="s">
        <v>298</v>
      </c>
      <c r="D4833" s="94">
        <v>1980.0</v>
      </c>
    </row>
    <row r="4834">
      <c r="A4834" s="40">
        <f t="array" ref="A4834">IFNA(index(PlayerValues!A:A,match(IFNA(vlookup(B4834,'Special Names'!A:B,2,FALSE),B4834),PlayerValues!E:E,0)),"N/A")</f>
        <v>16207</v>
      </c>
      <c r="B4834" s="4" t="s">
        <v>636</v>
      </c>
      <c r="C4834" s="4" t="s">
        <v>287</v>
      </c>
      <c r="D4834" s="94">
        <v>1596.0</v>
      </c>
    </row>
    <row r="4835">
      <c r="A4835" s="40">
        <f t="array" ref="A4835">IFNA(index(PlayerValues!A:A,match(IFNA(vlookup(B4835,'Special Names'!A:B,2,FALSE),B4835),PlayerValues!E:E,0)),"N/A")</f>
        <v>16215</v>
      </c>
      <c r="B4835" s="4" t="s">
        <v>637</v>
      </c>
      <c r="C4835" s="4" t="s">
        <v>298</v>
      </c>
      <c r="D4835" s="94">
        <v>1969.0</v>
      </c>
    </row>
    <row r="4836">
      <c r="A4836" s="40">
        <f t="array" ref="A4836">IFNA(index(PlayerValues!A:A,match(IFNA(vlookup(B4836,'Special Names'!A:B,2,FALSE),B4836),PlayerValues!E:E,0)),"N/A")</f>
        <v>17096</v>
      </c>
      <c r="B4836" s="4" t="s">
        <v>638</v>
      </c>
      <c r="C4836" s="4" t="s">
        <v>287</v>
      </c>
      <c r="D4836" s="94">
        <v>1591.0</v>
      </c>
    </row>
    <row r="4837">
      <c r="A4837" s="40">
        <f t="array" ref="A4837">IFNA(index(PlayerValues!A:A,match(IFNA(vlookup(B4837,'Special Names'!A:B,2,FALSE),B4837),PlayerValues!E:E,0)),"N/A")</f>
        <v>14086</v>
      </c>
      <c r="B4837" s="4" t="s">
        <v>639</v>
      </c>
      <c r="C4837" s="4" t="s">
        <v>278</v>
      </c>
      <c r="D4837" s="94">
        <v>1557.0</v>
      </c>
    </row>
    <row r="4838">
      <c r="A4838" s="40">
        <f t="array" ref="A4838">IFNA(index(PlayerValues!A:A,match(IFNA(vlookup(B4838,'Special Names'!A:B,2,FALSE),B4838),PlayerValues!E:E,0)),"N/A")</f>
        <v>16644</v>
      </c>
      <c r="B4838" s="4" t="s">
        <v>640</v>
      </c>
      <c r="C4838" s="4" t="s">
        <v>298</v>
      </c>
      <c r="D4838" s="94">
        <v>1915.0</v>
      </c>
    </row>
    <row r="4839">
      <c r="A4839" s="40">
        <f t="array" ref="A4839">IFNA(index(PlayerValues!A:A,match(IFNA(vlookup(B4839,'Special Names'!A:B,2,FALSE),B4839),PlayerValues!E:E,0)),"N/A")</f>
        <v>17058</v>
      </c>
      <c r="B4839" s="4" t="s">
        <v>641</v>
      </c>
      <c r="C4839" s="4" t="s">
        <v>278</v>
      </c>
      <c r="D4839" s="94">
        <v>1525.0</v>
      </c>
    </row>
    <row r="4840">
      <c r="A4840" s="40" t="str">
        <f t="array" ref="A4840">IFNA(index(PlayerValues!A:A,match(IFNA(vlookup(B4840,'Special Names'!A:B,2,FALSE),B4840),PlayerValues!E:E,0)),"N/A")</f>
        <v>N/A</v>
      </c>
      <c r="B4840" s="4" t="s">
        <v>116</v>
      </c>
      <c r="C4840" s="4" t="s">
        <v>325</v>
      </c>
      <c r="D4840" s="94">
        <v>1523.0</v>
      </c>
    </row>
    <row r="4841">
      <c r="A4841" s="40">
        <f t="array" ref="A4841">IFNA(index(PlayerValues!A:A,match(IFNA(vlookup(B4841,'Special Names'!A:B,2,FALSE),B4841),PlayerValues!E:E,0)),"N/A")</f>
        <v>17657</v>
      </c>
      <c r="B4841" s="4" t="s">
        <v>642</v>
      </c>
      <c r="C4841" s="4" t="s">
        <v>283</v>
      </c>
      <c r="D4841" s="94">
        <v>1523.0</v>
      </c>
    </row>
    <row r="4842">
      <c r="A4842" s="40">
        <f t="array" ref="A4842">IFNA(index(PlayerValues!A:A,match(IFNA(vlookup(B4842,'Special Names'!A:B,2,FALSE),B4842),PlayerValues!E:E,0)),"N/A")</f>
        <v>17034</v>
      </c>
      <c r="B4842" s="4" t="s">
        <v>643</v>
      </c>
      <c r="C4842" s="4" t="s">
        <v>283</v>
      </c>
      <c r="D4842" s="94">
        <v>1520.0</v>
      </c>
    </row>
    <row r="4843">
      <c r="A4843" s="40">
        <f t="array" ref="A4843">IFNA(index(PlayerValues!A:A,match(IFNA(vlookup(B4843,'Special Names'!A:B,2,FALSE),B4843),PlayerValues!E:E,0)),"N/A")</f>
        <v>15319</v>
      </c>
      <c r="B4843" s="4" t="s">
        <v>644</v>
      </c>
      <c r="C4843" s="4" t="s">
        <v>287</v>
      </c>
      <c r="D4843" s="94">
        <v>1519.0</v>
      </c>
    </row>
    <row r="4844">
      <c r="A4844" s="40" t="str">
        <f t="array" ref="A4844">IFNA(index(PlayerValues!A:A,match(IFNA(vlookup(B4844,'Special Names'!A:B,2,FALSE),B4844),PlayerValues!E:E,0)),"N/A")</f>
        <v>N/A</v>
      </c>
      <c r="B4844" s="4" t="s">
        <v>91</v>
      </c>
      <c r="C4844" s="4" t="s">
        <v>325</v>
      </c>
      <c r="D4844" s="94">
        <v>1514.0</v>
      </c>
    </row>
    <row r="4845">
      <c r="A4845" s="40">
        <f t="array" ref="A4845">IFNA(index(PlayerValues!A:A,match(IFNA(vlookup(B4845,'Special Names'!A:B,2,FALSE),B4845),PlayerValues!E:E,0)),"N/A")</f>
        <v>16635</v>
      </c>
      <c r="B4845" s="4" t="s">
        <v>645</v>
      </c>
      <c r="C4845" s="4" t="s">
        <v>287</v>
      </c>
      <c r="D4845" s="94">
        <v>1503.0</v>
      </c>
    </row>
    <row r="4846">
      <c r="A4846" s="40">
        <f t="array" ref="A4846">IFNA(index(PlayerValues!A:A,match(IFNA(vlookup(B4846,'Special Names'!A:B,2,FALSE),B4846),PlayerValues!E:E,0)),"N/A")</f>
        <v>16387</v>
      </c>
      <c r="B4846" s="4" t="s">
        <v>646</v>
      </c>
      <c r="C4846" s="4" t="s">
        <v>278</v>
      </c>
      <c r="D4846" s="94">
        <v>1500.0</v>
      </c>
    </row>
    <row r="4847">
      <c r="A4847" s="40">
        <f t="array" ref="A4847">IFNA(index(PlayerValues!A:A,match(IFNA(vlookup(B4847,'Special Names'!A:B,2,FALSE),B4847),PlayerValues!E:E,0)),"N/A")</f>
        <v>15752</v>
      </c>
      <c r="B4847" s="4" t="s">
        <v>647</v>
      </c>
      <c r="C4847" s="4" t="s">
        <v>287</v>
      </c>
      <c r="D4847" s="94">
        <v>1489.0</v>
      </c>
    </row>
    <row r="4848">
      <c r="A4848" s="40">
        <f t="array" ref="A4848">IFNA(index(PlayerValues!A:A,match(IFNA(vlookup(B4848,'Special Names'!A:B,2,FALSE),B4848),PlayerValues!E:E,0)),"N/A")</f>
        <v>16601</v>
      </c>
      <c r="B4848" s="4" t="s">
        <v>648</v>
      </c>
      <c r="C4848" s="4" t="s">
        <v>278</v>
      </c>
      <c r="D4848" s="94">
        <v>1476.0</v>
      </c>
    </row>
    <row r="4849">
      <c r="A4849" s="40">
        <f t="array" ref="A4849">IFNA(index(PlayerValues!A:A,match(IFNA(vlookup(B4849,'Special Names'!A:B,2,FALSE),B4849),PlayerValues!E:E,0)),"N/A")</f>
        <v>17465</v>
      </c>
      <c r="B4849" s="4" t="s">
        <v>649</v>
      </c>
      <c r="C4849" s="4" t="s">
        <v>283</v>
      </c>
      <c r="D4849" s="94">
        <v>1473.0</v>
      </c>
    </row>
    <row r="4850">
      <c r="A4850" s="40">
        <f t="array" ref="A4850">IFNA(index(PlayerValues!A:A,match(IFNA(vlookup(B4850,'Special Names'!A:B,2,FALSE),B4850),PlayerValues!E:E,0)),"N/A")</f>
        <v>17035</v>
      </c>
      <c r="B4850" s="4" t="s">
        <v>650</v>
      </c>
      <c r="C4850" s="4" t="s">
        <v>283</v>
      </c>
      <c r="D4850" s="94">
        <v>1462.0</v>
      </c>
    </row>
    <row r="4851">
      <c r="A4851" s="40">
        <f t="array" ref="A4851">IFNA(index(PlayerValues!A:A,match(IFNA(vlookup(B4851,'Special Names'!A:B,2,FALSE),B4851),PlayerValues!E:E,0)),"N/A")</f>
        <v>16645</v>
      </c>
      <c r="B4851" s="4" t="s">
        <v>651</v>
      </c>
      <c r="C4851" s="4" t="s">
        <v>298</v>
      </c>
      <c r="D4851" s="94">
        <v>1833.0</v>
      </c>
    </row>
    <row r="4852">
      <c r="A4852" s="40">
        <f t="array" ref="A4852">IFNA(index(PlayerValues!A:A,match(IFNA(vlookup(B4852,'Special Names'!A:B,2,FALSE),B4852),PlayerValues!E:E,0)),"N/A")</f>
        <v>13146</v>
      </c>
      <c r="B4852" s="4" t="s">
        <v>652</v>
      </c>
      <c r="C4852" s="4" t="s">
        <v>278</v>
      </c>
      <c r="D4852" s="94">
        <v>1460.0</v>
      </c>
    </row>
    <row r="4853">
      <c r="A4853" s="40">
        <f t="array" ref="A4853">IFNA(index(PlayerValues!A:A,match(IFNA(vlookup(B4853,'Special Names'!A:B,2,FALSE),B4853),PlayerValues!E:E,0)),"N/A")</f>
        <v>17234</v>
      </c>
      <c r="B4853" s="4" t="s">
        <v>653</v>
      </c>
      <c r="C4853" s="4" t="s">
        <v>287</v>
      </c>
      <c r="D4853" s="94">
        <v>1450.0</v>
      </c>
    </row>
    <row r="4854">
      <c r="A4854" s="40">
        <f t="array" ref="A4854">IFNA(index(PlayerValues!A:A,match(IFNA(vlookup(B4854,'Special Names'!A:B,2,FALSE),B4854),PlayerValues!E:E,0)),"N/A")</f>
        <v>16175</v>
      </c>
      <c r="B4854" s="4" t="s">
        <v>654</v>
      </c>
      <c r="C4854" s="4" t="s">
        <v>278</v>
      </c>
      <c r="D4854" s="94">
        <v>1447.0</v>
      </c>
    </row>
    <row r="4855">
      <c r="A4855" s="40">
        <f t="array" ref="A4855">IFNA(index(PlayerValues!A:A,match(IFNA(vlookup(B4855,'Special Names'!A:B,2,FALSE),B4855),PlayerValues!E:E,0)),"N/A")</f>
        <v>15337</v>
      </c>
      <c r="B4855" s="4" t="s">
        <v>655</v>
      </c>
      <c r="C4855" s="4" t="s">
        <v>298</v>
      </c>
      <c r="D4855" s="94">
        <v>1800.0</v>
      </c>
    </row>
    <row r="4856">
      <c r="A4856" s="40">
        <f t="array" ref="A4856">IFNA(index(PlayerValues!A:A,match(IFNA(vlookup(B4856,'Special Names'!A:B,2,FALSE),B4856),PlayerValues!E:E,0)),"N/A")</f>
        <v>16633</v>
      </c>
      <c r="B4856" s="4" t="s">
        <v>656</v>
      </c>
      <c r="C4856" s="4" t="s">
        <v>287</v>
      </c>
      <c r="D4856" s="94">
        <v>1430.0</v>
      </c>
    </row>
    <row r="4857">
      <c r="A4857" s="40">
        <f t="array" ref="A4857">IFNA(index(PlayerValues!A:A,match(IFNA(vlookup(B4857,'Special Names'!A:B,2,FALSE),B4857),PlayerValues!E:E,0)),"N/A")</f>
        <v>15301</v>
      </c>
      <c r="B4857" s="4" t="s">
        <v>657</v>
      </c>
      <c r="C4857" s="4" t="s">
        <v>287</v>
      </c>
      <c r="D4857" s="94">
        <v>1412.0</v>
      </c>
    </row>
    <row r="4858">
      <c r="A4858" s="40">
        <f t="array" ref="A4858">IFNA(index(PlayerValues!A:A,match(IFNA(vlookup(B4858,'Special Names'!A:B,2,FALSE),B4858),PlayerValues!E:E,0)),"N/A")</f>
        <v>16586</v>
      </c>
      <c r="B4858" s="4" t="s">
        <v>658</v>
      </c>
      <c r="C4858" s="4" t="s">
        <v>283</v>
      </c>
      <c r="D4858" s="94">
        <v>1401.0</v>
      </c>
    </row>
    <row r="4859">
      <c r="A4859" s="40">
        <f t="array" ref="A4859">IFNA(index(PlayerValues!A:A,match(IFNA(vlookup(B4859,'Special Names'!A:B,2,FALSE),B4859),PlayerValues!E:E,0)),"N/A")</f>
        <v>17097</v>
      </c>
      <c r="B4859" s="4" t="s">
        <v>659</v>
      </c>
      <c r="C4859" s="4" t="s">
        <v>287</v>
      </c>
      <c r="D4859" s="94">
        <v>1401.0</v>
      </c>
    </row>
    <row r="4860">
      <c r="A4860" s="40">
        <f t="array" ref="A4860">IFNA(index(PlayerValues!A:A,match(IFNA(vlookup(B4860,'Special Names'!A:B,2,FALSE),B4860),PlayerValues!E:E,0)),"N/A")</f>
        <v>17743</v>
      </c>
      <c r="B4860" s="4" t="s">
        <v>660</v>
      </c>
      <c r="C4860" s="4" t="s">
        <v>283</v>
      </c>
      <c r="D4860" s="94">
        <v>1398.0</v>
      </c>
    </row>
    <row r="4861">
      <c r="A4861" s="40">
        <f t="array" ref="A4861">IFNA(index(PlayerValues!A:A,match(IFNA(vlookup(B4861,'Special Names'!A:B,2,FALSE),B4861),PlayerValues!E:E,0)),"N/A")</f>
        <v>17510</v>
      </c>
      <c r="B4861" s="4" t="s">
        <v>661</v>
      </c>
      <c r="C4861" s="4" t="s">
        <v>287</v>
      </c>
      <c r="D4861" s="94">
        <v>1395.0</v>
      </c>
    </row>
    <row r="4862">
      <c r="A4862" s="40">
        <f t="array" ref="A4862">IFNA(index(PlayerValues!A:A,match(IFNA(vlookup(B4862,'Special Names'!A:B,2,FALSE),B4862),PlayerValues!E:E,0)),"N/A")</f>
        <v>15759</v>
      </c>
      <c r="B4862" s="4" t="s">
        <v>662</v>
      </c>
      <c r="C4862" s="4" t="s">
        <v>287</v>
      </c>
      <c r="D4862" s="94">
        <v>1389.0</v>
      </c>
    </row>
    <row r="4863">
      <c r="A4863" s="40">
        <f t="array" ref="A4863">IFNA(index(PlayerValues!A:A,match(IFNA(vlookup(B4863,'Special Names'!A:B,2,FALSE),B4863),PlayerValues!E:E,0)),"N/A")</f>
        <v>14122</v>
      </c>
      <c r="B4863" s="4" t="s">
        <v>663</v>
      </c>
      <c r="C4863" s="4" t="s">
        <v>287</v>
      </c>
      <c r="D4863" s="94">
        <v>1384.0</v>
      </c>
    </row>
    <row r="4864">
      <c r="A4864" s="40">
        <f t="array" ref="A4864">IFNA(index(PlayerValues!A:A,match(IFNA(vlookup(B4864,'Special Names'!A:B,2,FALSE),B4864),PlayerValues!E:E,0)),"N/A")</f>
        <v>16595</v>
      </c>
      <c r="B4864" s="4" t="s">
        <v>664</v>
      </c>
      <c r="C4864" s="4" t="s">
        <v>278</v>
      </c>
      <c r="D4864" s="94">
        <v>1383.0</v>
      </c>
    </row>
    <row r="4865">
      <c r="A4865" s="40">
        <f t="array" ref="A4865">IFNA(index(PlayerValues!A:A,match(IFNA(vlookup(B4865,'Special Names'!A:B,2,FALSE),B4865),PlayerValues!E:E,0)),"N/A")</f>
        <v>17205</v>
      </c>
      <c r="B4865" s="4" t="s">
        <v>665</v>
      </c>
      <c r="C4865" s="4" t="s">
        <v>287</v>
      </c>
      <c r="D4865" s="94">
        <v>1380.0</v>
      </c>
    </row>
    <row r="4866">
      <c r="A4866" s="40" t="str">
        <f t="array" ref="A4866">IFNA(index(PlayerValues!A:A,match(IFNA(vlookup(B4866,'Special Names'!A:B,2,FALSE),B4866),PlayerValues!E:E,0)),"N/A")</f>
        <v>N/A</v>
      </c>
      <c r="B4866" s="4" t="s">
        <v>117</v>
      </c>
      <c r="C4866" s="4" t="s">
        <v>325</v>
      </c>
      <c r="D4866" s="94">
        <v>1376.0</v>
      </c>
    </row>
    <row r="4867">
      <c r="A4867" s="40">
        <f t="array" ref="A4867">IFNA(index(PlayerValues!A:A,match(IFNA(vlookup(B4867,'Special Names'!A:B,2,FALSE),B4867),PlayerValues!E:E,0)),"N/A")</f>
        <v>16191</v>
      </c>
      <c r="B4867" s="4" t="s">
        <v>666</v>
      </c>
      <c r="C4867" s="4" t="s">
        <v>287</v>
      </c>
      <c r="D4867" s="94">
        <v>1355.0</v>
      </c>
    </row>
    <row r="4868">
      <c r="A4868" s="40">
        <f t="array" ref="A4868">IFNA(index(PlayerValues!A:A,match(IFNA(vlookup(B4868,'Special Names'!A:B,2,FALSE),B4868),PlayerValues!E:E,0)),"N/A")</f>
        <v>13672</v>
      </c>
      <c r="B4868" s="4" t="s">
        <v>667</v>
      </c>
      <c r="C4868" s="4" t="s">
        <v>298</v>
      </c>
      <c r="D4868" s="94">
        <v>1709.0</v>
      </c>
    </row>
    <row r="4869">
      <c r="A4869" s="40">
        <f t="array" ref="A4869">IFNA(index(PlayerValues!A:A,match(IFNA(vlookup(B4869,'Special Names'!A:B,2,FALSE),B4869),PlayerValues!E:E,0)),"N/A")</f>
        <v>17353</v>
      </c>
      <c r="B4869" s="4" t="s">
        <v>668</v>
      </c>
      <c r="C4869" s="4" t="s">
        <v>287</v>
      </c>
      <c r="D4869" s="94">
        <v>1341.0</v>
      </c>
    </row>
    <row r="4870">
      <c r="A4870" s="40">
        <f t="array" ref="A4870">IFNA(index(PlayerValues!A:A,match(IFNA(vlookup(B4870,'Special Names'!A:B,2,FALSE),B4870),PlayerValues!E:E,0)),"N/A")</f>
        <v>15795</v>
      </c>
      <c r="B4870" s="4" t="s">
        <v>669</v>
      </c>
      <c r="C4870" s="4" t="s">
        <v>298</v>
      </c>
      <c r="D4870" s="94">
        <v>1698.0</v>
      </c>
    </row>
    <row r="4871">
      <c r="A4871" s="40">
        <f t="array" ref="A4871">IFNA(index(PlayerValues!A:A,match(IFNA(vlookup(B4871,'Special Names'!A:B,2,FALSE),B4871),PlayerValues!E:E,0)),"N/A")</f>
        <v>17054</v>
      </c>
      <c r="B4871" s="4" t="s">
        <v>670</v>
      </c>
      <c r="C4871" s="4" t="s">
        <v>278</v>
      </c>
      <c r="D4871" s="94">
        <v>1323.0</v>
      </c>
    </row>
    <row r="4872">
      <c r="A4872" s="40">
        <f t="array" ref="A4872">IFNA(index(PlayerValues!A:A,match(IFNA(vlookup(B4872,'Special Names'!A:B,2,FALSE),B4872),PlayerValues!E:E,0)),"N/A")</f>
        <v>17546</v>
      </c>
      <c r="B4872" s="4" t="s">
        <v>671</v>
      </c>
      <c r="C4872" s="4" t="s">
        <v>298</v>
      </c>
      <c r="D4872" s="94">
        <v>1669.0</v>
      </c>
    </row>
    <row r="4873">
      <c r="A4873" s="40">
        <f t="array" ref="A4873">IFNA(index(PlayerValues!A:A,match(IFNA(vlookup(B4873,'Special Names'!A:B,2,FALSE),B4873),PlayerValues!E:E,0)),"N/A")</f>
        <v>16621</v>
      </c>
      <c r="B4873" s="4" t="s">
        <v>672</v>
      </c>
      <c r="C4873" s="4" t="s">
        <v>287</v>
      </c>
      <c r="D4873" s="94">
        <v>1294.0</v>
      </c>
    </row>
    <row r="4874">
      <c r="A4874" s="40">
        <f t="array" ref="A4874">IFNA(index(PlayerValues!A:A,match(IFNA(vlookup(B4874,'Special Names'!A:B,2,FALSE),B4874),PlayerValues!E:E,0)),"N/A")</f>
        <v>14108</v>
      </c>
      <c r="B4874" s="4" t="s">
        <v>673</v>
      </c>
      <c r="C4874" s="4" t="s">
        <v>287</v>
      </c>
      <c r="D4874" s="94">
        <v>1289.0</v>
      </c>
    </row>
    <row r="4875">
      <c r="A4875" s="40">
        <f t="array" ref="A4875">IFNA(index(PlayerValues!A:A,match(IFNA(vlookup(B4875,'Special Names'!A:B,2,FALSE),B4875),PlayerValues!E:E,0)),"N/A")</f>
        <v>17593</v>
      </c>
      <c r="B4875" s="4" t="s">
        <v>674</v>
      </c>
      <c r="C4875" s="4" t="s">
        <v>298</v>
      </c>
      <c r="D4875" s="94">
        <v>1654.0</v>
      </c>
    </row>
    <row r="4876">
      <c r="A4876" s="40">
        <f t="array" ref="A4876">IFNA(index(PlayerValues!A:A,match(IFNA(vlookup(B4876,'Special Names'!A:B,2,FALSE),B4876),PlayerValues!E:E,0)),"N/A")</f>
        <v>14105</v>
      </c>
      <c r="B4876" s="4" t="s">
        <v>675</v>
      </c>
      <c r="C4876" s="4" t="s">
        <v>287</v>
      </c>
      <c r="D4876" s="94">
        <v>1283.0</v>
      </c>
    </row>
    <row r="4877">
      <c r="A4877" s="40">
        <f t="array" ref="A4877">IFNA(index(PlayerValues!A:A,match(IFNA(vlookup(B4877,'Special Names'!A:B,2,FALSE),B4877),PlayerValues!E:E,0)),"N/A")</f>
        <v>14137</v>
      </c>
      <c r="B4877" s="4" t="s">
        <v>676</v>
      </c>
      <c r="C4877" s="4" t="s">
        <v>298</v>
      </c>
      <c r="D4877" s="94">
        <v>1639.0</v>
      </c>
    </row>
    <row r="4878">
      <c r="A4878" s="40">
        <f t="array" ref="A4878">IFNA(index(PlayerValues!A:A,match(IFNA(vlookup(B4878,'Special Names'!A:B,2,FALSE),B4878),PlayerValues!E:E,0)),"N/A")</f>
        <v>17192</v>
      </c>
      <c r="B4878" s="4" t="s">
        <v>677</v>
      </c>
      <c r="C4878" s="4" t="s">
        <v>287</v>
      </c>
      <c r="D4878" s="94">
        <v>1273.0</v>
      </c>
    </row>
    <row r="4879">
      <c r="A4879" s="40">
        <f t="array" ref="A4879">IFNA(index(PlayerValues!A:A,match(IFNA(vlookup(B4879,'Special Names'!A:B,2,FALSE),B4879),PlayerValues!E:E,0)),"N/A")</f>
        <v>16183</v>
      </c>
      <c r="B4879" s="4" t="s">
        <v>678</v>
      </c>
      <c r="C4879" s="4" t="s">
        <v>287</v>
      </c>
      <c r="D4879" s="94">
        <v>1268.0</v>
      </c>
    </row>
    <row r="4880">
      <c r="A4880" s="40">
        <f t="array" ref="A4880">IFNA(index(PlayerValues!A:A,match(IFNA(vlookup(B4880,'Special Names'!A:B,2,FALSE),B4880),PlayerValues!E:E,0)),"N/A")</f>
        <v>17254</v>
      </c>
      <c r="B4880" s="4" t="s">
        <v>679</v>
      </c>
      <c r="C4880" s="4" t="s">
        <v>287</v>
      </c>
      <c r="D4880" s="94">
        <v>1268.0</v>
      </c>
    </row>
    <row r="4881">
      <c r="A4881" s="40">
        <f t="array" ref="A4881">IFNA(index(PlayerValues!A:A,match(IFNA(vlookup(B4881,'Special Names'!A:B,2,FALSE),B4881),PlayerValues!E:E,0)),"N/A")</f>
        <v>14095</v>
      </c>
      <c r="B4881" s="4" t="s">
        <v>680</v>
      </c>
      <c r="C4881" s="4" t="s">
        <v>278</v>
      </c>
      <c r="D4881" s="94">
        <v>1267.0</v>
      </c>
    </row>
    <row r="4882">
      <c r="A4882" s="40">
        <f t="array" ref="A4882">IFNA(index(PlayerValues!A:A,match(IFNA(vlookup(B4882,'Special Names'!A:B,2,FALSE),B4882),PlayerValues!E:E,0)),"N/A")</f>
        <v>15873</v>
      </c>
      <c r="B4882" s="4" t="s">
        <v>681</v>
      </c>
      <c r="C4882" s="4" t="s">
        <v>298</v>
      </c>
      <c r="D4882" s="94">
        <v>1635.0</v>
      </c>
    </row>
    <row r="4883">
      <c r="A4883" s="40">
        <f t="array" ref="A4883">IFNA(index(PlayerValues!A:A,match(IFNA(vlookup(B4883,'Special Names'!A:B,2,FALSE),B4883),PlayerValues!E:E,0)),"N/A")</f>
        <v>15292</v>
      </c>
      <c r="B4883" s="4" t="s">
        <v>682</v>
      </c>
      <c r="C4883" s="4" t="s">
        <v>287</v>
      </c>
      <c r="D4883" s="94">
        <v>1261.0</v>
      </c>
    </row>
    <row r="4884">
      <c r="A4884" s="40">
        <f t="array" ref="A4884">IFNA(index(PlayerValues!A:A,match(IFNA(vlookup(B4884,'Special Names'!A:B,2,FALSE),B4884),PlayerValues!E:E,0)),"N/A")</f>
        <v>16883</v>
      </c>
      <c r="B4884" s="4" t="s">
        <v>683</v>
      </c>
      <c r="C4884" s="4" t="s">
        <v>287</v>
      </c>
      <c r="D4884" s="94">
        <v>1259.0</v>
      </c>
    </row>
    <row r="4885">
      <c r="A4885" s="40">
        <f t="array" ref="A4885">IFNA(index(PlayerValues!A:A,match(IFNA(vlookup(B4885,'Special Names'!A:B,2,FALSE),B4885),PlayerValues!E:E,0)),"N/A")</f>
        <v>17627</v>
      </c>
      <c r="B4885" s="4" t="s">
        <v>684</v>
      </c>
      <c r="C4885" s="4" t="s">
        <v>298</v>
      </c>
      <c r="D4885" s="94">
        <v>1618.0</v>
      </c>
    </row>
    <row r="4886">
      <c r="A4886" s="40">
        <f t="array" ref="A4886">IFNA(index(PlayerValues!A:A,match(IFNA(vlookup(B4886,'Special Names'!A:B,2,FALSE),B4886),PlayerValues!E:E,0)),"N/A")</f>
        <v>17542</v>
      </c>
      <c r="B4886" s="4" t="s">
        <v>685</v>
      </c>
      <c r="C4886" s="4" t="s">
        <v>287</v>
      </c>
      <c r="D4886" s="94">
        <v>1247.0</v>
      </c>
    </row>
    <row r="4887">
      <c r="A4887" s="40">
        <f t="array" ref="A4887">IFNA(index(PlayerValues!A:A,match(IFNA(vlookup(B4887,'Special Names'!A:B,2,FALSE),B4887),PlayerValues!E:E,0)),"N/A")</f>
        <v>17063</v>
      </c>
      <c r="B4887" s="4" t="s">
        <v>686</v>
      </c>
      <c r="C4887" s="4" t="s">
        <v>278</v>
      </c>
      <c r="D4887" s="94">
        <v>1245.0</v>
      </c>
    </row>
    <row r="4888">
      <c r="A4888" s="40">
        <f t="array" ref="A4888">IFNA(index(PlayerValues!A:A,match(IFNA(vlookup(B4888,'Special Names'!A:B,2,FALSE),B4888),PlayerValues!E:E,0)),"N/A")</f>
        <v>16199</v>
      </c>
      <c r="B4888" s="4" t="s">
        <v>687</v>
      </c>
      <c r="C4888" s="4" t="s">
        <v>287</v>
      </c>
      <c r="D4888" s="94">
        <v>1245.0</v>
      </c>
    </row>
    <row r="4889">
      <c r="A4889" s="40">
        <f t="array" ref="A4889">IFNA(index(PlayerValues!A:A,match(IFNA(vlookup(B4889,'Special Names'!A:B,2,FALSE),B4889),PlayerValues!E:E,0)),"N/A")</f>
        <v>16688</v>
      </c>
      <c r="B4889" s="4" t="s">
        <v>688</v>
      </c>
      <c r="C4889" s="4" t="s">
        <v>278</v>
      </c>
      <c r="D4889" s="94">
        <v>1241.0</v>
      </c>
    </row>
    <row r="4890">
      <c r="A4890" s="40">
        <f t="array" ref="A4890">IFNA(index(PlayerValues!A:A,match(IFNA(vlookup(B4890,'Special Names'!A:B,2,FALSE),B4890),PlayerValues!E:E,0)),"N/A")</f>
        <v>16390</v>
      </c>
      <c r="B4890" s="4" t="s">
        <v>689</v>
      </c>
      <c r="C4890" s="4" t="s">
        <v>278</v>
      </c>
      <c r="D4890" s="94">
        <v>1239.0</v>
      </c>
    </row>
    <row r="4891">
      <c r="A4891" s="40">
        <f t="array" ref="A4891">IFNA(index(PlayerValues!A:A,match(IFNA(vlookup(B4891,'Special Names'!A:B,2,FALSE),B4891),PlayerValues!E:E,0)),"N/A")</f>
        <v>16385</v>
      </c>
      <c r="B4891" s="4" t="s">
        <v>690</v>
      </c>
      <c r="C4891" s="4" t="s">
        <v>278</v>
      </c>
      <c r="D4891" s="94">
        <v>1233.0</v>
      </c>
    </row>
    <row r="4892">
      <c r="A4892" s="40">
        <f t="array" ref="A4892">IFNA(index(PlayerValues!A:A,match(IFNA(vlookup(B4892,'Special Names'!A:B,2,FALSE),B4892),PlayerValues!E:E,0)),"N/A")</f>
        <v>16642</v>
      </c>
      <c r="B4892" s="4" t="s">
        <v>691</v>
      </c>
      <c r="C4892" s="4" t="s">
        <v>298</v>
      </c>
      <c r="D4892" s="94">
        <v>1597.0</v>
      </c>
    </row>
    <row r="4893">
      <c r="A4893" s="40">
        <f t="array" ref="A4893">IFNA(index(PlayerValues!A:A,match(IFNA(vlookup(B4893,'Special Names'!A:B,2,FALSE),B4893),PlayerValues!E:E,0)),"N/A")</f>
        <v>17487</v>
      </c>
      <c r="B4893" s="4" t="s">
        <v>692</v>
      </c>
      <c r="C4893" s="4" t="s">
        <v>278</v>
      </c>
      <c r="D4893" s="94">
        <v>1220.0</v>
      </c>
    </row>
    <row r="4894">
      <c r="A4894" s="40">
        <f t="array" ref="A4894">IFNA(index(PlayerValues!A:A,match(IFNA(vlookup(B4894,'Special Names'!A:B,2,FALSE),B4894),PlayerValues!E:E,0)),"N/A")</f>
        <v>17504</v>
      </c>
      <c r="B4894" s="4" t="s">
        <v>693</v>
      </c>
      <c r="C4894" s="4" t="s">
        <v>287</v>
      </c>
      <c r="D4894" s="94">
        <v>1218.0</v>
      </c>
    </row>
    <row r="4895">
      <c r="A4895" s="40">
        <f t="array" ref="A4895">IFNA(index(PlayerValues!A:A,match(IFNA(vlookup(B4895,'Special Names'!A:B,2,FALSE),B4895),PlayerValues!E:E,0)),"N/A")</f>
        <v>15777</v>
      </c>
      <c r="B4895" s="4" t="s">
        <v>694</v>
      </c>
      <c r="C4895" s="4" t="s">
        <v>287</v>
      </c>
      <c r="D4895" s="94">
        <v>1216.0</v>
      </c>
    </row>
    <row r="4896">
      <c r="A4896" s="40">
        <f t="array" ref="A4896">IFNA(index(PlayerValues!A:A,match(IFNA(vlookup(B4896,'Special Names'!A:B,2,FALSE),B4896),PlayerValues!E:E,0)),"N/A")</f>
        <v>17486</v>
      </c>
      <c r="B4896" s="4" t="s">
        <v>695</v>
      </c>
      <c r="C4896" s="4" t="s">
        <v>278</v>
      </c>
      <c r="D4896" s="94">
        <v>1213.0</v>
      </c>
    </row>
    <row r="4897">
      <c r="A4897" s="40">
        <f t="array" ref="A4897">IFNA(index(PlayerValues!A:A,match(IFNA(vlookup(B4897,'Special Names'!A:B,2,FALSE),B4897),PlayerValues!E:E,0)),"N/A")</f>
        <v>16384</v>
      </c>
      <c r="B4897" s="4" t="s">
        <v>696</v>
      </c>
      <c r="C4897" s="4" t="s">
        <v>283</v>
      </c>
      <c r="D4897" s="94">
        <v>1210.0</v>
      </c>
    </row>
    <row r="4898">
      <c r="A4898" s="40">
        <f t="array" ref="A4898">IFNA(index(PlayerValues!A:A,match(IFNA(vlookup(B4898,'Special Names'!A:B,2,FALSE),B4898),PlayerValues!E:E,0)),"N/A")</f>
        <v>12263</v>
      </c>
      <c r="B4898" s="4" t="s">
        <v>697</v>
      </c>
      <c r="C4898" s="4" t="s">
        <v>298</v>
      </c>
      <c r="D4898" s="94">
        <v>1577.0</v>
      </c>
    </row>
    <row r="4899">
      <c r="A4899" s="40">
        <f t="array" ref="A4899">IFNA(index(PlayerValues!A:A,match(IFNA(vlookup(B4899,'Special Names'!A:B,2,FALSE),B4899),PlayerValues!E:E,0)),"N/A")</f>
        <v>15332</v>
      </c>
      <c r="B4899" s="4" t="s">
        <v>698</v>
      </c>
      <c r="C4899" s="4" t="s">
        <v>298</v>
      </c>
      <c r="D4899" s="94">
        <v>1575.0</v>
      </c>
    </row>
    <row r="4900">
      <c r="A4900" s="40">
        <f t="array" ref="A4900">IFNA(index(PlayerValues!A:A,match(IFNA(vlookup(B4900,'Special Names'!A:B,2,FALSE),B4900),PlayerValues!E:E,0)),"N/A")</f>
        <v>16636</v>
      </c>
      <c r="B4900" s="4" t="s">
        <v>699</v>
      </c>
      <c r="C4900" s="4" t="s">
        <v>287</v>
      </c>
      <c r="D4900" s="94">
        <v>1205.0</v>
      </c>
    </row>
    <row r="4901">
      <c r="A4901" s="40">
        <f t="array" ref="A4901">IFNA(index(PlayerValues!A:A,match(IFNA(vlookup(B4901,'Special Names'!A:B,2,FALSE),B4901),PlayerValues!E:E,0)),"N/A")</f>
        <v>15288</v>
      </c>
      <c r="B4901" s="4" t="s">
        <v>700</v>
      </c>
      <c r="C4901" s="4" t="s">
        <v>287</v>
      </c>
      <c r="D4901" s="94">
        <v>1197.0</v>
      </c>
    </row>
    <row r="4902">
      <c r="A4902" s="40">
        <f t="array" ref="A4902">IFNA(index(PlayerValues!A:A,match(IFNA(vlookup(B4902,'Special Names'!A:B,2,FALSE),B4902),PlayerValues!E:E,0)),"N/A")</f>
        <v>17062</v>
      </c>
      <c r="B4902" s="4" t="s">
        <v>701</v>
      </c>
      <c r="C4902" s="4" t="s">
        <v>278</v>
      </c>
      <c r="D4902" s="94">
        <v>1188.0</v>
      </c>
    </row>
    <row r="4903">
      <c r="A4903" s="40">
        <f t="array" ref="A4903">IFNA(index(PlayerValues!A:A,match(IFNA(vlookup(B4903,'Special Names'!A:B,2,FALSE),B4903),PlayerValues!E:E,0)),"N/A")</f>
        <v>12140</v>
      </c>
      <c r="B4903" s="4" t="s">
        <v>702</v>
      </c>
      <c r="C4903" s="4" t="s">
        <v>283</v>
      </c>
      <c r="D4903" s="94">
        <v>1182.0</v>
      </c>
    </row>
    <row r="4904">
      <c r="A4904" s="40">
        <f t="array" ref="A4904">IFNA(index(PlayerValues!A:A,match(IFNA(vlookup(B4904,'Special Names'!A:B,2,FALSE),B4904),PlayerValues!E:E,0)),"N/A")</f>
        <v>12678</v>
      </c>
      <c r="B4904" s="4" t="s">
        <v>703</v>
      </c>
      <c r="C4904" s="4" t="s">
        <v>298</v>
      </c>
      <c r="D4904" s="94">
        <v>1550.0</v>
      </c>
    </row>
    <row r="4905">
      <c r="A4905" s="40">
        <f t="array" ref="A4905">IFNA(index(PlayerValues!A:A,match(IFNA(vlookup(B4905,'Special Names'!A:B,2,FALSE),B4905),PlayerValues!E:E,0)),"N/A")</f>
        <v>16792</v>
      </c>
      <c r="B4905" s="4" t="s">
        <v>704</v>
      </c>
      <c r="C4905" s="4" t="s">
        <v>287</v>
      </c>
      <c r="D4905" s="94">
        <v>1167.0</v>
      </c>
    </row>
    <row r="4906">
      <c r="A4906" s="40">
        <f t="array" ref="A4906">IFNA(index(PlayerValues!A:A,match(IFNA(vlookup(B4906,'Special Names'!A:B,2,FALSE),B4906),PlayerValues!E:E,0)),"N/A")</f>
        <v>14592</v>
      </c>
      <c r="B4906" s="4" t="s">
        <v>705</v>
      </c>
      <c r="C4906" s="4" t="s">
        <v>287</v>
      </c>
      <c r="D4906" s="94">
        <v>1160.0</v>
      </c>
    </row>
    <row r="4907">
      <c r="A4907" s="40">
        <f t="array" ref="A4907">IFNA(index(PlayerValues!A:A,match(IFNA(vlookup(B4907,'Special Names'!A:B,2,FALSE),B4907),PlayerValues!E:E,0)),"N/A")</f>
        <v>13418</v>
      </c>
      <c r="B4907" s="4" t="s">
        <v>706</v>
      </c>
      <c r="C4907" s="4" t="s">
        <v>287</v>
      </c>
      <c r="D4907" s="94">
        <v>1154.0</v>
      </c>
    </row>
    <row r="4908">
      <c r="A4908" s="40">
        <f t="array" ref="A4908">IFNA(index(PlayerValues!A:A,match(IFNA(vlookup(B4908,'Special Names'!A:B,2,FALSE),B4908),PlayerValues!E:E,0)),"N/A")</f>
        <v>17109</v>
      </c>
      <c r="B4908" s="4" t="s">
        <v>707</v>
      </c>
      <c r="C4908" s="4" t="s">
        <v>298</v>
      </c>
      <c r="D4908" s="94">
        <v>1517.0</v>
      </c>
    </row>
    <row r="4909">
      <c r="A4909" s="40">
        <f t="array" ref="A4909">IFNA(index(PlayerValues!A:A,match(IFNA(vlookup(B4909,'Special Names'!A:B,2,FALSE),B4909),PlayerValues!E:E,0)),"N/A")</f>
        <v>17057</v>
      </c>
      <c r="B4909" s="4" t="s">
        <v>708</v>
      </c>
      <c r="C4909" s="4" t="s">
        <v>278</v>
      </c>
      <c r="D4909" s="94">
        <v>1144.0</v>
      </c>
    </row>
    <row r="4910">
      <c r="A4910" s="40">
        <f t="array" ref="A4910">IFNA(index(PlayerValues!A:A,match(IFNA(vlookup(B4910,'Special Names'!A:B,2,FALSE),B4910),PlayerValues!E:E,0)),"N/A")</f>
        <v>16746</v>
      </c>
      <c r="B4910" s="4" t="s">
        <v>709</v>
      </c>
      <c r="C4910" s="4" t="s">
        <v>278</v>
      </c>
      <c r="D4910" s="94">
        <v>1140.0</v>
      </c>
    </row>
    <row r="4911">
      <c r="A4911" s="40">
        <f t="array" ref="A4911">IFNA(index(PlayerValues!A:A,match(IFNA(vlookup(B4911,'Special Names'!A:B,2,FALSE),B4911),PlayerValues!E:E,0)),"N/A")</f>
        <v>17644</v>
      </c>
      <c r="B4911" s="4" t="s">
        <v>710</v>
      </c>
      <c r="C4911" s="4" t="s">
        <v>298</v>
      </c>
      <c r="D4911" s="94">
        <v>1501.0</v>
      </c>
    </row>
    <row r="4912">
      <c r="A4912" s="40">
        <f t="array" ref="A4912">IFNA(index(PlayerValues!A:A,match(IFNA(vlookup(B4912,'Special Names'!A:B,2,FALSE),B4912),PlayerValues!E:E,0)),"N/A")</f>
        <v>16333</v>
      </c>
      <c r="B4912" s="4" t="s">
        <v>711</v>
      </c>
      <c r="C4912" s="4" t="s">
        <v>298</v>
      </c>
      <c r="D4912" s="94">
        <v>1498.0</v>
      </c>
    </row>
    <row r="4913">
      <c r="A4913" s="40">
        <f t="array" ref="A4913">IFNA(index(PlayerValues!A:A,match(IFNA(vlookup(B4913,'Special Names'!A:B,2,FALSE),B4913),PlayerValues!E:E,0)),"N/A")</f>
        <v>16640</v>
      </c>
      <c r="B4913" s="4" t="s">
        <v>712</v>
      </c>
      <c r="C4913" s="4" t="s">
        <v>287</v>
      </c>
      <c r="D4913" s="94">
        <v>1127.0</v>
      </c>
    </row>
    <row r="4914">
      <c r="A4914" s="40">
        <f t="array" ref="A4914">IFNA(index(PlayerValues!A:A,match(IFNA(vlookup(B4914,'Special Names'!A:B,2,FALSE),B4914),PlayerValues!E:E,0)),"N/A")</f>
        <v>17050</v>
      </c>
      <c r="B4914" s="4" t="s">
        <v>713</v>
      </c>
      <c r="C4914" s="4" t="s">
        <v>278</v>
      </c>
      <c r="D4914" s="94">
        <v>1120.0</v>
      </c>
    </row>
    <row r="4915">
      <c r="A4915" s="40">
        <f t="array" ref="A4915">IFNA(index(PlayerValues!A:A,match(IFNA(vlookup(B4915,'Special Names'!A:B,2,FALSE),B4915),PlayerValues!E:E,0)),"N/A")</f>
        <v>17077</v>
      </c>
      <c r="B4915" s="4" t="s">
        <v>714</v>
      </c>
      <c r="C4915" s="4" t="s">
        <v>287</v>
      </c>
      <c r="D4915" s="94">
        <v>1117.0</v>
      </c>
    </row>
    <row r="4916">
      <c r="A4916" s="40">
        <f t="array" ref="A4916">IFNA(index(PlayerValues!A:A,match(IFNA(vlookup(B4916,'Special Names'!A:B,2,FALSE),B4916),PlayerValues!E:E,0)),"N/A")</f>
        <v>15252</v>
      </c>
      <c r="B4916" s="4" t="s">
        <v>715</v>
      </c>
      <c r="C4916" s="4" t="s">
        <v>283</v>
      </c>
      <c r="D4916" s="94">
        <v>1115.0</v>
      </c>
    </row>
    <row r="4917">
      <c r="A4917" s="40">
        <f t="array" ref="A4917">IFNA(index(PlayerValues!A:A,match(IFNA(vlookup(B4917,'Special Names'!A:B,2,FALSE),B4917),PlayerValues!E:E,0)),"N/A")</f>
        <v>14080</v>
      </c>
      <c r="B4917" s="4" t="s">
        <v>716</v>
      </c>
      <c r="C4917" s="4" t="s">
        <v>278</v>
      </c>
      <c r="D4917" s="94">
        <v>1110.0</v>
      </c>
    </row>
    <row r="4918">
      <c r="A4918" s="40">
        <f t="array" ref="A4918">IFNA(index(PlayerValues!A:A,match(IFNA(vlookup(B4918,'Special Names'!A:B,2,FALSE),B4918),PlayerValues!E:E,0)),"N/A")</f>
        <v>14845</v>
      </c>
      <c r="B4918" s="4" t="s">
        <v>717</v>
      </c>
      <c r="C4918" s="4" t="s">
        <v>287</v>
      </c>
      <c r="D4918" s="94">
        <v>1101.0</v>
      </c>
    </row>
    <row r="4919">
      <c r="A4919" s="40">
        <f t="array" ref="A4919">IFNA(index(PlayerValues!A:A,match(IFNA(vlookup(B4919,'Special Names'!A:B,2,FALSE),B4919),PlayerValues!E:E,0)),"N/A")</f>
        <v>17269</v>
      </c>
      <c r="B4919" s="4" t="s">
        <v>718</v>
      </c>
      <c r="C4919" s="4" t="s">
        <v>287</v>
      </c>
      <c r="D4919" s="94">
        <v>1093.0</v>
      </c>
    </row>
    <row r="4920">
      <c r="A4920" s="40">
        <f t="array" ref="A4920">IFNA(index(PlayerValues!A:A,match(IFNA(vlookup(B4920,'Special Names'!A:B,2,FALSE),B4920),PlayerValues!E:E,0)),"N/A")</f>
        <v>17545</v>
      </c>
      <c r="B4920" s="4" t="s">
        <v>719</v>
      </c>
      <c r="C4920" s="4" t="s">
        <v>298</v>
      </c>
      <c r="D4920" s="94">
        <v>1462.0</v>
      </c>
    </row>
    <row r="4921">
      <c r="A4921" s="40">
        <f t="array" ref="A4921">IFNA(index(PlayerValues!A:A,match(IFNA(vlookup(B4921,'Special Names'!A:B,2,FALSE),B4921),PlayerValues!E:E,0)),"N/A")</f>
        <v>17549</v>
      </c>
      <c r="B4921" s="4" t="s">
        <v>720</v>
      </c>
      <c r="C4921" s="4" t="s">
        <v>298</v>
      </c>
      <c r="D4921" s="94">
        <v>1455.0</v>
      </c>
    </row>
    <row r="4922">
      <c r="A4922" s="40">
        <f t="array" ref="A4922">IFNA(index(PlayerValues!A:A,match(IFNA(vlookup(B4922,'Special Names'!A:B,2,FALSE),B4922),PlayerValues!E:E,0)),"N/A")</f>
        <v>14789</v>
      </c>
      <c r="B4922" s="4" t="s">
        <v>721</v>
      </c>
      <c r="C4922" s="4" t="s">
        <v>283</v>
      </c>
      <c r="D4922" s="94">
        <v>1079.0</v>
      </c>
    </row>
    <row r="4923">
      <c r="A4923" s="40">
        <f t="array" ref="A4923">IFNA(index(PlayerValues!A:A,match(IFNA(vlookup(B4923,'Special Names'!A:B,2,FALSE),B4923),PlayerValues!E:E,0)),"N/A")</f>
        <v>12801</v>
      </c>
      <c r="B4923" s="4" t="s">
        <v>722</v>
      </c>
      <c r="C4923" s="4" t="s">
        <v>287</v>
      </c>
      <c r="D4923" s="94">
        <v>1072.0</v>
      </c>
    </row>
    <row r="4924">
      <c r="A4924" s="40">
        <f t="array" ref="A4924">IFNA(index(PlayerValues!A:A,match(IFNA(vlookup(B4924,'Special Names'!A:B,2,FALSE),B4924),PlayerValues!E:E,0)),"N/A")</f>
        <v>15702</v>
      </c>
      <c r="B4924" s="4" t="s">
        <v>723</v>
      </c>
      <c r="C4924" s="4" t="s">
        <v>283</v>
      </c>
      <c r="D4924" s="94">
        <v>1072.0</v>
      </c>
    </row>
    <row r="4925">
      <c r="A4925" s="40">
        <f t="array" ref="A4925">IFNA(index(PlayerValues!A:A,match(IFNA(vlookup(B4925,'Special Names'!A:B,2,FALSE),B4925),PlayerValues!E:E,0)),"N/A")</f>
        <v>15758</v>
      </c>
      <c r="B4925" s="4" t="s">
        <v>724</v>
      </c>
      <c r="C4925" s="4" t="s">
        <v>287</v>
      </c>
      <c r="D4925" s="94">
        <v>1071.0</v>
      </c>
    </row>
    <row r="4926">
      <c r="A4926" s="40">
        <f t="array" ref="A4926">IFNA(index(PlayerValues!A:A,match(IFNA(vlookup(B4926,'Special Names'!A:B,2,FALSE),B4926),PlayerValues!E:E,0)),"N/A")</f>
        <v>16221</v>
      </c>
      <c r="B4926" s="4" t="s">
        <v>725</v>
      </c>
      <c r="C4926" s="4" t="s">
        <v>298</v>
      </c>
      <c r="D4926" s="94">
        <v>1412.0</v>
      </c>
    </row>
    <row r="4927">
      <c r="A4927" s="40">
        <f t="array" ref="A4927">IFNA(index(PlayerValues!A:A,match(IFNA(vlookup(B4927,'Special Names'!A:B,2,FALSE),B4927),PlayerValues!E:E,0)),"N/A")</f>
        <v>16197</v>
      </c>
      <c r="B4927" s="4" t="s">
        <v>726</v>
      </c>
      <c r="C4927" s="4" t="s">
        <v>287</v>
      </c>
      <c r="D4927" s="94">
        <v>1038.0</v>
      </c>
    </row>
    <row r="4928">
      <c r="A4928" s="40">
        <f t="array" ref="A4928">IFNA(index(PlayerValues!A:A,match(IFNA(vlookup(B4928,'Special Names'!A:B,2,FALSE),B4928),PlayerValues!E:E,0)),"N/A")</f>
        <v>17037</v>
      </c>
      <c r="B4928" s="4" t="s">
        <v>727</v>
      </c>
      <c r="C4928" s="4" t="s">
        <v>283</v>
      </c>
      <c r="D4928" s="94">
        <v>1033.0</v>
      </c>
    </row>
    <row r="4929">
      <c r="A4929" s="40">
        <f t="array" ref="A4929">IFNA(index(PlayerValues!A:A,match(IFNA(vlookup(B4929,'Special Names'!A:B,2,FALSE),B4929),PlayerValues!E:E,0)),"N/A")</f>
        <v>15109</v>
      </c>
      <c r="B4929" s="4" t="s">
        <v>728</v>
      </c>
      <c r="C4929" s="4" t="s">
        <v>287</v>
      </c>
      <c r="D4929" s="94">
        <v>1023.0</v>
      </c>
    </row>
    <row r="4930">
      <c r="A4930" s="40">
        <f t="array" ref="A4930">IFNA(index(PlayerValues!A:A,match(IFNA(vlookup(B4930,'Special Names'!A:B,2,FALSE),B4930),PlayerValues!E:E,0)),"N/A")</f>
        <v>15981</v>
      </c>
      <c r="B4930" s="4" t="s">
        <v>729</v>
      </c>
      <c r="C4930" s="4" t="s">
        <v>287</v>
      </c>
      <c r="D4930" s="94">
        <v>1015.0</v>
      </c>
    </row>
    <row r="4931">
      <c r="A4931" s="40">
        <f t="array" ref="A4931">IFNA(index(PlayerValues!A:A,match(IFNA(vlookup(B4931,'Special Names'!A:B,2,FALSE),B4931),PlayerValues!E:E,0)),"N/A")</f>
        <v>15727</v>
      </c>
      <c r="B4931" s="4" t="s">
        <v>730</v>
      </c>
      <c r="C4931" s="4" t="s">
        <v>278</v>
      </c>
      <c r="D4931" s="94">
        <v>1013.0</v>
      </c>
    </row>
    <row r="4932">
      <c r="A4932" s="40">
        <f t="array" ref="A4932">IFNA(index(PlayerValues!A:A,match(IFNA(vlookup(B4932,'Special Names'!A:B,2,FALSE),B4932),PlayerValues!E:E,0)),"N/A")</f>
        <v>14840</v>
      </c>
      <c r="B4932" s="4" t="s">
        <v>731</v>
      </c>
      <c r="C4932" s="4" t="s">
        <v>287</v>
      </c>
      <c r="D4932" s="94">
        <v>1008.0</v>
      </c>
    </row>
    <row r="4933">
      <c r="A4933" s="40">
        <f t="array" ref="A4933">IFNA(index(PlayerValues!A:A,match(IFNA(vlookup(B4933,'Special Names'!A:B,2,FALSE),B4933),PlayerValues!E:E,0)),"N/A")</f>
        <v>15713</v>
      </c>
      <c r="B4933" s="4" t="s">
        <v>732</v>
      </c>
      <c r="C4933" s="4" t="s">
        <v>278</v>
      </c>
      <c r="D4933" s="94">
        <v>999.0</v>
      </c>
    </row>
    <row r="4934">
      <c r="A4934" s="40">
        <f t="array" ref="A4934">IFNA(index(PlayerValues!A:A,match(IFNA(vlookup(B4934,'Special Names'!A:B,2,FALSE),B4934),PlayerValues!E:E,0)),"N/A")</f>
        <v>14849</v>
      </c>
      <c r="B4934" s="4" t="s">
        <v>733</v>
      </c>
      <c r="C4934" s="4" t="s">
        <v>287</v>
      </c>
      <c r="D4934" s="94">
        <v>981.0</v>
      </c>
    </row>
    <row r="4935">
      <c r="A4935" s="40">
        <f t="array" ref="A4935">IFNA(index(PlayerValues!A:A,match(IFNA(vlookup(B4935,'Special Names'!A:B,2,FALSE),B4935),PlayerValues!E:E,0)),"N/A")</f>
        <v>15730</v>
      </c>
      <c r="B4935" s="4" t="s">
        <v>734</v>
      </c>
      <c r="C4935" s="4" t="s">
        <v>278</v>
      </c>
      <c r="D4935" s="94">
        <v>981.0</v>
      </c>
    </row>
    <row r="4936">
      <c r="A4936" s="40">
        <f t="array" ref="A4936">IFNA(index(PlayerValues!A:A,match(IFNA(vlookup(B4936,'Special Names'!A:B,2,FALSE),B4936),PlayerValues!E:E,0)),"N/A")</f>
        <v>14067</v>
      </c>
      <c r="B4936" s="4" t="s">
        <v>735</v>
      </c>
      <c r="C4936" s="4" t="s">
        <v>283</v>
      </c>
      <c r="D4936" s="94">
        <v>976.0</v>
      </c>
    </row>
    <row r="4937">
      <c r="A4937" s="40">
        <f t="array" ref="A4937">IFNA(index(PlayerValues!A:A,match(IFNA(vlookup(B4937,'Special Names'!A:B,2,FALSE),B4937),PlayerValues!E:E,0)),"N/A")</f>
        <v>16637</v>
      </c>
      <c r="B4937" s="4" t="s">
        <v>736</v>
      </c>
      <c r="C4937" s="4" t="s">
        <v>287</v>
      </c>
      <c r="D4937" s="94">
        <v>976.0</v>
      </c>
    </row>
    <row r="4938">
      <c r="A4938" s="40">
        <f t="array" ref="A4938">IFNA(index(PlayerValues!A:A,match(IFNA(vlookup(B4938,'Special Names'!A:B,2,FALSE),B4938),PlayerValues!E:E,0)),"N/A")</f>
        <v>16599</v>
      </c>
      <c r="B4938" s="4" t="s">
        <v>737</v>
      </c>
      <c r="C4938" s="4" t="s">
        <v>278</v>
      </c>
      <c r="D4938" s="94">
        <v>975.0</v>
      </c>
    </row>
    <row r="4939">
      <c r="A4939" s="40">
        <f t="array" ref="A4939">IFNA(index(PlayerValues!A:A,match(IFNA(vlookup(B4939,'Special Names'!A:B,2,FALSE),B4939),PlayerValues!E:E,0)),"N/A")</f>
        <v>16168</v>
      </c>
      <c r="B4939" s="4" t="s">
        <v>738</v>
      </c>
      <c r="C4939" s="4" t="s">
        <v>278</v>
      </c>
      <c r="D4939" s="94">
        <v>961.0</v>
      </c>
    </row>
    <row r="4940">
      <c r="A4940" s="40">
        <f t="array" ref="A4940">IFNA(index(PlayerValues!A:A,match(IFNA(vlookup(B4940,'Special Names'!A:B,2,FALSE),B4940),PlayerValues!E:E,0)),"N/A")</f>
        <v>16219</v>
      </c>
      <c r="B4940" s="4" t="s">
        <v>739</v>
      </c>
      <c r="C4940" s="4" t="s">
        <v>298</v>
      </c>
      <c r="D4940" s="94">
        <v>1326.0</v>
      </c>
    </row>
    <row r="4941">
      <c r="A4941" s="40">
        <f t="array" ref="A4941">IFNA(index(PlayerValues!A:A,match(IFNA(vlookup(B4941,'Special Names'!A:B,2,FALSE),B4941),PlayerValues!E:E,0)),"N/A")</f>
        <v>16149</v>
      </c>
      <c r="B4941" s="4" t="s">
        <v>740</v>
      </c>
      <c r="C4941" s="4" t="s">
        <v>283</v>
      </c>
      <c r="D4941" s="94">
        <v>958.0</v>
      </c>
    </row>
    <row r="4942">
      <c r="A4942" s="40">
        <f t="array" ref="A4942">IFNA(index(PlayerValues!A:A,match(IFNA(vlookup(B4942,'Special Names'!A:B,2,FALSE),B4942),PlayerValues!E:E,0)),"N/A")</f>
        <v>15271</v>
      </c>
      <c r="B4942" s="4" t="s">
        <v>741</v>
      </c>
      <c r="C4942" s="4" t="s">
        <v>278</v>
      </c>
      <c r="D4942" s="94">
        <v>956.0</v>
      </c>
    </row>
    <row r="4943">
      <c r="A4943" s="40">
        <f t="array" ref="A4943">IFNA(index(PlayerValues!A:A,match(IFNA(vlookup(B4943,'Special Names'!A:B,2,FALSE),B4943),PlayerValues!E:E,0)),"N/A")</f>
        <v>16205</v>
      </c>
      <c r="B4943" s="4" t="s">
        <v>742</v>
      </c>
      <c r="C4943" s="4" t="s">
        <v>287</v>
      </c>
      <c r="D4943" s="94">
        <v>953.0</v>
      </c>
    </row>
    <row r="4944">
      <c r="A4944" s="40">
        <f t="array" ref="A4944">IFNA(index(PlayerValues!A:A,match(IFNA(vlookup(B4944,'Special Names'!A:B,2,FALSE),B4944),PlayerValues!E:E,0)),"N/A")</f>
        <v>16606</v>
      </c>
      <c r="B4944" s="4" t="s">
        <v>743</v>
      </c>
      <c r="C4944" s="4" t="s">
        <v>278</v>
      </c>
      <c r="D4944" s="94">
        <v>952.0</v>
      </c>
    </row>
    <row r="4945">
      <c r="A4945" s="40">
        <f t="array" ref="A4945">IFNA(index(PlayerValues!A:A,match(IFNA(vlookup(B4945,'Special Names'!A:B,2,FALSE),B4945),PlayerValues!E:E,0)),"N/A")</f>
        <v>12141</v>
      </c>
      <c r="B4945" s="4" t="s">
        <v>744</v>
      </c>
      <c r="C4945" s="4" t="s">
        <v>283</v>
      </c>
      <c r="D4945" s="94">
        <v>949.0</v>
      </c>
    </row>
    <row r="4946">
      <c r="A4946" s="40">
        <f t="array" ref="A4946">IFNA(index(PlayerValues!A:A,match(IFNA(vlookup(B4946,'Special Names'!A:B,2,FALSE),B4946),PlayerValues!E:E,0)),"N/A")</f>
        <v>15717</v>
      </c>
      <c r="B4946" s="4" t="s">
        <v>745</v>
      </c>
      <c r="C4946" s="4" t="s">
        <v>278</v>
      </c>
      <c r="D4946" s="94">
        <v>948.0</v>
      </c>
    </row>
    <row r="4947">
      <c r="A4947" s="40">
        <f t="array" ref="A4947">IFNA(index(PlayerValues!A:A,match(IFNA(vlookup(B4947,'Special Names'!A:B,2,FALSE),B4947),PlayerValues!E:E,0)),"N/A")</f>
        <v>13289</v>
      </c>
      <c r="B4947" s="4" t="s">
        <v>746</v>
      </c>
      <c r="C4947" s="4" t="s">
        <v>287</v>
      </c>
      <c r="D4947" s="94">
        <v>947.0</v>
      </c>
    </row>
    <row r="4948">
      <c r="A4948" s="40">
        <f t="array" ref="A4948">IFNA(index(PlayerValues!A:A,match(IFNA(vlookup(B4948,'Special Names'!A:B,2,FALSE),B4948),PlayerValues!E:E,0)),"N/A")</f>
        <v>17175</v>
      </c>
      <c r="B4948" s="4" t="s">
        <v>747</v>
      </c>
      <c r="C4948" s="4" t="s">
        <v>287</v>
      </c>
      <c r="D4948" s="94">
        <v>919.0</v>
      </c>
    </row>
    <row r="4949">
      <c r="A4949" s="40">
        <f t="array" ref="A4949">IFNA(index(PlayerValues!A:A,match(IFNA(vlookup(B4949,'Special Names'!A:B,2,FALSE),B4949),PlayerValues!E:E,0)),"N/A")</f>
        <v>16648</v>
      </c>
      <c r="B4949" s="4" t="s">
        <v>748</v>
      </c>
      <c r="C4949" s="4" t="s">
        <v>298</v>
      </c>
      <c r="D4949" s="94">
        <v>1279.0</v>
      </c>
    </row>
    <row r="4950">
      <c r="A4950" s="40">
        <f t="array" ref="A4950">IFNA(index(PlayerValues!A:A,match(IFNA(vlookup(B4950,'Special Names'!A:B,2,FALSE),B4950),PlayerValues!E:E,0)),"N/A")</f>
        <v>15330</v>
      </c>
      <c r="B4950" s="4" t="s">
        <v>749</v>
      </c>
      <c r="C4950" s="4" t="s">
        <v>298</v>
      </c>
      <c r="D4950" s="94">
        <v>1274.0</v>
      </c>
    </row>
    <row r="4951">
      <c r="A4951" s="40">
        <f t="array" ref="A4951">IFNA(index(PlayerValues!A:A,match(IFNA(vlookup(B4951,'Special Names'!A:B,2,FALSE),B4951),PlayerValues!E:E,0)),"N/A")</f>
        <v>15692</v>
      </c>
      <c r="B4951" s="4" t="s">
        <v>750</v>
      </c>
      <c r="C4951" s="4" t="s">
        <v>283</v>
      </c>
      <c r="D4951" s="94">
        <v>903.0</v>
      </c>
    </row>
    <row r="4952">
      <c r="A4952" s="40">
        <f t="array" ref="A4952">IFNA(index(PlayerValues!A:A,match(IFNA(vlookup(B4952,'Special Names'!A:B,2,FALSE),B4952),PlayerValues!E:E,0)),"N/A")</f>
        <v>15240</v>
      </c>
      <c r="B4952" s="4" t="s">
        <v>751</v>
      </c>
      <c r="C4952" s="4" t="s">
        <v>283</v>
      </c>
      <c r="D4952" s="94">
        <v>901.0</v>
      </c>
    </row>
    <row r="4953">
      <c r="A4953" s="40">
        <f t="array" ref="A4953">IFNA(index(PlayerValues!A:A,match(IFNA(vlookup(B4953,'Special Names'!A:B,2,FALSE),B4953),PlayerValues!E:E,0)),"N/A")</f>
        <v>16416</v>
      </c>
      <c r="B4953" s="4" t="s">
        <v>752</v>
      </c>
      <c r="C4953" s="4" t="s">
        <v>287</v>
      </c>
      <c r="D4953" s="94">
        <v>899.0</v>
      </c>
    </row>
    <row r="4954">
      <c r="A4954" s="40">
        <f t="array" ref="A4954">IFNA(index(PlayerValues!A:A,match(IFNA(vlookup(B4954,'Special Names'!A:B,2,FALSE),B4954),PlayerValues!E:E,0)),"N/A")</f>
        <v>15718</v>
      </c>
      <c r="B4954" s="4" t="s">
        <v>753</v>
      </c>
      <c r="C4954" s="4" t="s">
        <v>278</v>
      </c>
      <c r="D4954" s="94">
        <v>889.0</v>
      </c>
    </row>
    <row r="4955">
      <c r="A4955" s="40">
        <f t="array" ref="A4955">IFNA(index(PlayerValues!A:A,match(IFNA(vlookup(B4955,'Special Names'!A:B,2,FALSE),B4955),PlayerValues!E:E,0)),"N/A")</f>
        <v>16858</v>
      </c>
      <c r="B4955" s="4" t="s">
        <v>754</v>
      </c>
      <c r="C4955" s="4" t="s">
        <v>287</v>
      </c>
      <c r="D4955" s="94">
        <v>885.0</v>
      </c>
    </row>
    <row r="4956">
      <c r="A4956" s="40">
        <f t="array" ref="A4956">IFNA(index(PlayerValues!A:A,match(IFNA(vlookup(B4956,'Special Names'!A:B,2,FALSE),B4956),PlayerValues!E:E,0)),"N/A")</f>
        <v>15693</v>
      </c>
      <c r="B4956" s="4" t="s">
        <v>755</v>
      </c>
      <c r="C4956" s="4" t="s">
        <v>283</v>
      </c>
      <c r="D4956" s="94">
        <v>883.0</v>
      </c>
    </row>
    <row r="4957">
      <c r="A4957" s="40">
        <f t="array" ref="A4957">IFNA(index(PlayerValues!A:A,match(IFNA(vlookup(B4957,'Special Names'!A:B,2,FALSE),B4957),PlayerValues!E:E,0)),"N/A")</f>
        <v>17479</v>
      </c>
      <c r="B4957" s="4" t="s">
        <v>756</v>
      </c>
      <c r="C4957" s="4" t="s">
        <v>278</v>
      </c>
      <c r="D4957" s="94">
        <v>881.0</v>
      </c>
    </row>
    <row r="4958">
      <c r="A4958" s="40">
        <f t="array" ref="A4958">IFNA(index(PlayerValues!A:A,match(IFNA(vlookup(B4958,'Special Names'!A:B,2,FALSE),B4958),PlayerValues!E:E,0)),"N/A")</f>
        <v>15258</v>
      </c>
      <c r="B4958" s="4" t="s">
        <v>757</v>
      </c>
      <c r="C4958" s="4" t="s">
        <v>278</v>
      </c>
      <c r="D4958" s="94">
        <v>873.0</v>
      </c>
    </row>
    <row r="4959">
      <c r="A4959" s="40">
        <f t="array" ref="A4959">IFNA(index(PlayerValues!A:A,match(IFNA(vlookup(B4959,'Special Names'!A:B,2,FALSE),B4959),PlayerValues!E:E,0)),"N/A")</f>
        <v>16678</v>
      </c>
      <c r="B4959" s="4" t="s">
        <v>758</v>
      </c>
      <c r="C4959" s="4" t="s">
        <v>278</v>
      </c>
      <c r="D4959" s="94">
        <v>864.0</v>
      </c>
    </row>
    <row r="4960">
      <c r="A4960" s="40">
        <f t="array" ref="A4960">IFNA(index(PlayerValues!A:A,match(IFNA(vlookup(B4960,'Special Names'!A:B,2,FALSE),B4960),PlayerValues!E:E,0)),"N/A")</f>
        <v>15766</v>
      </c>
      <c r="B4960" s="4" t="s">
        <v>759</v>
      </c>
      <c r="C4960" s="4" t="s">
        <v>287</v>
      </c>
      <c r="D4960" s="94">
        <v>862.0</v>
      </c>
    </row>
    <row r="4961">
      <c r="A4961" s="40">
        <f t="array" ref="A4961">IFNA(index(PlayerValues!A:A,match(IFNA(vlookup(B4961,'Special Names'!A:B,2,FALSE),B4961),PlayerValues!E:E,0)),"N/A")</f>
        <v>17526</v>
      </c>
      <c r="B4961" s="4" t="s">
        <v>760</v>
      </c>
      <c r="C4961" s="4" t="s">
        <v>287</v>
      </c>
      <c r="D4961" s="94">
        <v>839.0</v>
      </c>
    </row>
    <row r="4962">
      <c r="A4962" s="40">
        <f t="array" ref="A4962">IFNA(index(PlayerValues!A:A,match(IFNA(vlookup(B4962,'Special Names'!A:B,2,FALSE),B4962),PlayerValues!E:E,0)),"N/A")</f>
        <v>9064</v>
      </c>
      <c r="B4962" s="4" t="s">
        <v>761</v>
      </c>
      <c r="C4962" s="4" t="s">
        <v>283</v>
      </c>
      <c r="D4962" s="94">
        <v>827.0</v>
      </c>
    </row>
    <row r="4963">
      <c r="A4963" s="40">
        <f t="array" ref="A4963">IFNA(index(PlayerValues!A:A,match(IFNA(vlookup(B4963,'Special Names'!A:B,2,FALSE),B4963),PlayerValues!E:E,0)),"N/A")</f>
        <v>16751</v>
      </c>
      <c r="B4963" s="4" t="s">
        <v>762</v>
      </c>
      <c r="C4963" s="4" t="s">
        <v>287</v>
      </c>
      <c r="D4963" s="94">
        <v>822.0</v>
      </c>
    </row>
    <row r="4964">
      <c r="A4964" s="40">
        <f t="array" ref="A4964">IFNA(index(PlayerValues!A:A,match(IFNA(vlookup(B4964,'Special Names'!A:B,2,FALSE),B4964),PlayerValues!E:E,0)),"N/A")</f>
        <v>15785</v>
      </c>
      <c r="B4964" s="4" t="s">
        <v>763</v>
      </c>
      <c r="C4964" s="4" t="s">
        <v>287</v>
      </c>
      <c r="D4964" s="94">
        <v>821.0</v>
      </c>
    </row>
    <row r="4965">
      <c r="A4965" s="40">
        <f t="array" ref="A4965">IFNA(index(PlayerValues!A:A,match(IFNA(vlookup(B4965,'Special Names'!A:B,2,FALSE),B4965),PlayerValues!E:E,0)),"N/A")</f>
        <v>13133</v>
      </c>
      <c r="B4965" s="4" t="s">
        <v>764</v>
      </c>
      <c r="C4965" s="4" t="s">
        <v>278</v>
      </c>
      <c r="D4965" s="94">
        <v>820.0</v>
      </c>
    </row>
    <row r="4966">
      <c r="A4966" s="40">
        <f t="array" ref="A4966">IFNA(index(PlayerValues!A:A,match(IFNA(vlookup(B4966,'Special Names'!A:B,2,FALSE),B4966),PlayerValues!E:E,0)),"N/A")</f>
        <v>14057</v>
      </c>
      <c r="B4966" s="4" t="s">
        <v>765</v>
      </c>
      <c r="C4966" s="4" t="s">
        <v>283</v>
      </c>
      <c r="D4966" s="94">
        <v>813.0</v>
      </c>
    </row>
    <row r="4967">
      <c r="A4967" s="40">
        <f t="array" ref="A4967">IFNA(index(PlayerValues!A:A,match(IFNA(vlookup(B4967,'Special Names'!A:B,2,FALSE),B4967),PlayerValues!E:E,0)),"N/A")</f>
        <v>15626</v>
      </c>
      <c r="B4967" s="4" t="s">
        <v>766</v>
      </c>
      <c r="C4967" s="4" t="s">
        <v>298</v>
      </c>
      <c r="D4967" s="94">
        <v>1164.0</v>
      </c>
    </row>
    <row r="4968">
      <c r="A4968" s="40">
        <f t="array" ref="A4968">IFNA(index(PlayerValues!A:A,match(IFNA(vlookup(B4968,'Special Names'!A:B,2,FALSE),B4968),PlayerValues!E:E,0)),"N/A")</f>
        <v>17654</v>
      </c>
      <c r="B4968" s="4" t="s">
        <v>767</v>
      </c>
      <c r="C4968" s="4" t="s">
        <v>283</v>
      </c>
      <c r="D4968" s="94">
        <v>768.0</v>
      </c>
    </row>
    <row r="4969">
      <c r="A4969" s="40">
        <f t="array" ref="A4969">IFNA(index(PlayerValues!A:A,match(IFNA(vlookup(B4969,'Special Names'!A:B,2,FALSE),B4969),PlayerValues!E:E,0)),"N/A")</f>
        <v>16393</v>
      </c>
      <c r="B4969" s="4" t="s">
        <v>768</v>
      </c>
      <c r="C4969" s="4" t="s">
        <v>287</v>
      </c>
      <c r="D4969" s="94">
        <v>766.0</v>
      </c>
    </row>
    <row r="4970">
      <c r="A4970" s="40">
        <f t="array" ref="A4970">IFNA(index(PlayerValues!A:A,match(IFNA(vlookup(B4970,'Special Names'!A:B,2,FALSE),B4970),PlayerValues!E:E,0)),"N/A")</f>
        <v>16451</v>
      </c>
      <c r="B4970" s="4" t="s">
        <v>769</v>
      </c>
      <c r="C4970" s="4" t="s">
        <v>287</v>
      </c>
      <c r="D4970" s="94">
        <v>702.0</v>
      </c>
    </row>
    <row r="4971">
      <c r="A4971" s="40">
        <f t="array" ref="A4971">IFNA(index(PlayerValues!A:A,match(IFNA(vlookup(B4971,'Special Names'!A:B,2,FALSE),B4971),PlayerValues!E:E,0)),"N/A")</f>
        <v>14805</v>
      </c>
      <c r="B4971" s="4" t="s">
        <v>770</v>
      </c>
      <c r="C4971" s="4" t="s">
        <v>278</v>
      </c>
      <c r="D4971" s="94">
        <v>688.0</v>
      </c>
    </row>
    <row r="4972">
      <c r="A4972" s="40">
        <f t="array" ref="A4972">IFNA(index(PlayerValues!A:A,match(IFNA(vlookup(B4972,'Special Names'!A:B,2,FALSE),B4972),PlayerValues!E:E,0)),"N/A")</f>
        <v>14118</v>
      </c>
      <c r="B4972" s="4" t="s">
        <v>771</v>
      </c>
      <c r="C4972" s="4" t="s">
        <v>287</v>
      </c>
      <c r="D4972" s="94">
        <v>681.0</v>
      </c>
    </row>
    <row r="4973">
      <c r="A4973" s="40">
        <f t="array" ref="A4973">IFNA(index(PlayerValues!A:A,match(IFNA(vlookup(B4973,'Special Names'!A:B,2,FALSE),B4973),PlayerValues!E:E,0)),"N/A")</f>
        <v>12785</v>
      </c>
      <c r="B4973" s="4" t="s">
        <v>772</v>
      </c>
      <c r="C4973" s="4" t="s">
        <v>287</v>
      </c>
      <c r="D4973" s="94">
        <v>676.0</v>
      </c>
    </row>
    <row r="4974">
      <c r="A4974" s="40">
        <f t="array" ref="A4974">IFNA(index(PlayerValues!A:A,match(IFNA(vlookup(B4974,'Special Names'!A:B,2,FALSE),B4974),PlayerValues!E:E,0)),"N/A")</f>
        <v>13193</v>
      </c>
      <c r="B4974" s="4" t="s">
        <v>773</v>
      </c>
      <c r="C4974" s="4" t="s">
        <v>298</v>
      </c>
      <c r="D4974" s="94">
        <v>1018.0</v>
      </c>
    </row>
    <row r="4975">
      <c r="A4975" s="40">
        <f t="array" ref="A4975">IFNA(index(PlayerValues!A:A,match(IFNA(vlookup(B4975,'Special Names'!A:B,2,FALSE),B4975),PlayerValues!E:E,0)),"N/A")</f>
        <v>17038</v>
      </c>
      <c r="B4975" s="4" t="s">
        <v>774</v>
      </c>
      <c r="C4975" s="4" t="s">
        <v>283</v>
      </c>
      <c r="D4975" s="94">
        <v>653.0</v>
      </c>
    </row>
    <row r="4976">
      <c r="A4976" s="40">
        <f t="array" ref="A4976">IFNA(index(PlayerValues!A:A,match(IFNA(vlookup(B4976,'Special Names'!A:B,2,FALSE),B4976),PlayerValues!E:E,0)),"N/A")</f>
        <v>15714</v>
      </c>
      <c r="B4976" s="4" t="s">
        <v>775</v>
      </c>
      <c r="C4976" s="4" t="s">
        <v>278</v>
      </c>
      <c r="D4976" s="94">
        <v>608.0</v>
      </c>
    </row>
    <row r="4977">
      <c r="A4977" s="40">
        <f t="array" ref="A4977">IFNA(index(PlayerValues!A:A,match(IFNA(vlookup(B4977,'Special Names'!A:B,2,FALSE),B4977),PlayerValues!E:E,0)),"N/A")</f>
        <v>16153</v>
      </c>
      <c r="B4977" s="4" t="s">
        <v>776</v>
      </c>
      <c r="C4977" s="4" t="s">
        <v>283</v>
      </c>
      <c r="D4977" s="94">
        <v>590.0</v>
      </c>
    </row>
    <row r="4978">
      <c r="A4978" s="40">
        <f t="array" ref="A4978">IFNA(index(PlayerValues!A:A,match(IFNA(vlookup(B4978,'Special Names'!A:B,2,FALSE),B4978),PlayerValues!E:E,0)),"N/A")</f>
        <v>17752</v>
      </c>
      <c r="B4978" s="4" t="s">
        <v>777</v>
      </c>
      <c r="C4978" s="4" t="s">
        <v>287</v>
      </c>
      <c r="D4978" s="94">
        <v>586.0</v>
      </c>
    </row>
    <row r="4979">
      <c r="A4979" s="40">
        <f t="array" ref="A4979">IFNA(index(PlayerValues!A:A,match(IFNA(vlookup(B4979,'Special Names'!A:B,2,FALSE),B4979),PlayerValues!E:E,0)),"N/A")</f>
        <v>16625</v>
      </c>
      <c r="B4979" s="4" t="s">
        <v>778</v>
      </c>
      <c r="C4979" s="4" t="s">
        <v>287</v>
      </c>
      <c r="D4979" s="94">
        <v>580.0</v>
      </c>
    </row>
    <row r="4980">
      <c r="A4980" s="40">
        <f t="array" ref="A4980">IFNA(index(PlayerValues!A:A,match(IFNA(vlookup(B4980,'Special Names'!A:B,2,FALSE),B4980),PlayerValues!E:E,0)),"N/A")</f>
        <v>11679</v>
      </c>
      <c r="B4980" s="4" t="s">
        <v>779</v>
      </c>
      <c r="C4980" s="4" t="s">
        <v>287</v>
      </c>
      <c r="D4980" s="94">
        <v>521.0</v>
      </c>
    </row>
    <row r="4981">
      <c r="A4981" s="40">
        <f t="array" ref="A4981">IFNA(index(PlayerValues!A:A,match(IFNA(vlookup(B4981,'Special Names'!A:B,2,FALSE),B4981),PlayerValues!E:E,0)),"N/A")</f>
        <v>15743</v>
      </c>
      <c r="B4981" s="4" t="s">
        <v>780</v>
      </c>
      <c r="C4981" s="4" t="s">
        <v>278</v>
      </c>
      <c r="D4981" s="94">
        <v>521.0</v>
      </c>
    </row>
    <row r="4982">
      <c r="A4982" s="40">
        <f t="array" ref="A4982">IFNA(index(PlayerValues!A:A,match(IFNA(vlookup(B4982,'Special Names'!A:B,2,FALSE),B4982),PlayerValues!E:E,0)),"N/A")</f>
        <v>16413</v>
      </c>
      <c r="B4982" s="4" t="s">
        <v>781</v>
      </c>
      <c r="C4982" s="4" t="s">
        <v>287</v>
      </c>
      <c r="D4982" s="94">
        <v>516.0</v>
      </c>
    </row>
    <row r="4983">
      <c r="A4983" s="40">
        <f t="array" ref="A4983">IFNA(index(PlayerValues!A:A,match(IFNA(vlookup(B4983,'Special Names'!A:B,2,FALSE),B4983),PlayerValues!E:E,0)),"N/A")</f>
        <v>16613</v>
      </c>
      <c r="B4983" s="4" t="s">
        <v>782</v>
      </c>
      <c r="C4983" s="4" t="s">
        <v>278</v>
      </c>
      <c r="D4983" s="94">
        <v>507.0</v>
      </c>
    </row>
    <row r="4984">
      <c r="A4984" s="40">
        <f t="array" ref="A4984">IFNA(index(PlayerValues!A:A,match(IFNA(vlookup(B4984,'Special Names'!A:B,2,FALSE),B4984),PlayerValues!E:E,0)),"N/A")</f>
        <v>16773</v>
      </c>
      <c r="B4984" s="4" t="s">
        <v>783</v>
      </c>
      <c r="C4984" s="4" t="s">
        <v>278</v>
      </c>
      <c r="D4984" s="94">
        <v>502.0</v>
      </c>
    </row>
    <row r="4985">
      <c r="A4985" s="40">
        <f t="array" ref="A4985">IFNA(index(PlayerValues!A:A,match(IFNA(vlookup(B4985,'Special Names'!A:B,2,FALSE),B4985),PlayerValues!E:E,0)),"N/A")</f>
        <v>17232</v>
      </c>
      <c r="B4985" s="4" t="s">
        <v>784</v>
      </c>
      <c r="C4985" s="4" t="s">
        <v>287</v>
      </c>
      <c r="D4985" s="94">
        <v>501.0</v>
      </c>
    </row>
    <row r="4986">
      <c r="A4986" s="40">
        <f t="array" ref="A4986">IFNA(index(PlayerValues!A:A,match(IFNA(vlookup(B4986,'Special Names'!A:B,2,FALSE),B4986),PlayerValues!E:E,0)),"N/A")</f>
        <v>14223</v>
      </c>
      <c r="B4986" s="4" t="s">
        <v>785</v>
      </c>
      <c r="C4986" s="4" t="s">
        <v>278</v>
      </c>
      <c r="D4986" s="94">
        <v>499.0</v>
      </c>
    </row>
    <row r="4987">
      <c r="A4987" s="40">
        <f t="array" ref="A4987">IFNA(index(PlayerValues!A:A,match(IFNA(vlookup(B4987,'Special Names'!A:B,2,FALSE),B4987),PlayerValues!E:E,0)),"N/A")</f>
        <v>13143</v>
      </c>
      <c r="B4987" s="4" t="s">
        <v>786</v>
      </c>
      <c r="C4987" s="4" t="s">
        <v>278</v>
      </c>
      <c r="D4987" s="94">
        <v>487.0</v>
      </c>
    </row>
    <row r="4988">
      <c r="A4988" s="40">
        <f t="array" ref="A4988">IFNA(index(PlayerValues!A:A,match(IFNA(vlookup(B4988,'Special Names'!A:B,2,FALSE),B4988),PlayerValues!E:E,0)),"N/A")</f>
        <v>16299</v>
      </c>
      <c r="B4988" s="4" t="s">
        <v>787</v>
      </c>
      <c r="C4988" s="4" t="s">
        <v>287</v>
      </c>
      <c r="D4988" s="94">
        <v>486.0</v>
      </c>
    </row>
    <row r="4989">
      <c r="A4989" s="40">
        <f t="array" ref="A4989">IFNA(index(PlayerValues!A:A,match(IFNA(vlookup(B4989,'Special Names'!A:B,2,FALSE),B4989),PlayerValues!E:E,0)),"N/A")</f>
        <v>14113</v>
      </c>
      <c r="B4989" s="4" t="s">
        <v>788</v>
      </c>
      <c r="C4989" s="4" t="s">
        <v>287</v>
      </c>
      <c r="D4989" s="94">
        <v>483.0</v>
      </c>
    </row>
    <row r="4990">
      <c r="A4990" s="40">
        <f t="array" ref="A4990">IFNA(index(PlayerValues!A:A,match(IFNA(vlookup(B4990,'Special Names'!A:B,2,FALSE),B4990),PlayerValues!E:E,0)),"N/A")</f>
        <v>14864</v>
      </c>
      <c r="B4990" s="4" t="s">
        <v>789</v>
      </c>
      <c r="C4990" s="4" t="s">
        <v>287</v>
      </c>
      <c r="D4990" s="94">
        <v>483.0</v>
      </c>
    </row>
    <row r="4991">
      <c r="A4991" s="40">
        <f t="array" ref="A4991">IFNA(index(PlayerValues!A:A,match(IFNA(vlookup(B4991,'Special Names'!A:B,2,FALSE),B4991),PlayerValues!E:E,0)),"N/A")</f>
        <v>14076</v>
      </c>
      <c r="B4991" s="4" t="s">
        <v>790</v>
      </c>
      <c r="C4991" s="4" t="s">
        <v>278</v>
      </c>
      <c r="D4991" s="94">
        <v>480.0</v>
      </c>
    </row>
    <row r="4992">
      <c r="A4992" s="40">
        <f t="array" ref="A4992">IFNA(index(PlayerValues!A:A,match(IFNA(vlookup(B4992,'Special Names'!A:B,2,FALSE),B4992),PlayerValues!E:E,0)),"N/A")</f>
        <v>15965</v>
      </c>
      <c r="B4992" s="4" t="s">
        <v>791</v>
      </c>
      <c r="C4992" s="4" t="s">
        <v>278</v>
      </c>
      <c r="D4992" s="94">
        <v>478.0</v>
      </c>
    </row>
    <row r="4993">
      <c r="A4993" s="40">
        <f t="array" ref="A4993">IFNA(index(PlayerValues!A:A,match(IFNA(vlookup(B4993,'Special Names'!A:B,2,FALSE),B4993),PlayerValues!E:E,0)),"N/A")</f>
        <v>15285</v>
      </c>
      <c r="B4993" s="4" t="s">
        <v>792</v>
      </c>
      <c r="C4993" s="4" t="s">
        <v>287</v>
      </c>
      <c r="D4993" s="94">
        <v>476.0</v>
      </c>
    </row>
    <row r="4994">
      <c r="A4994" s="40">
        <f t="array" ref="A4994">IFNA(index(PlayerValues!A:A,match(IFNA(vlookup(B4994,'Special Names'!A:B,2,FALSE),B4994),PlayerValues!E:E,0)),"N/A")</f>
        <v>17337</v>
      </c>
      <c r="B4994" s="4" t="s">
        <v>793</v>
      </c>
      <c r="C4994" s="4" t="s">
        <v>278</v>
      </c>
      <c r="D4994" s="94">
        <v>475.0</v>
      </c>
    </row>
    <row r="4995">
      <c r="A4995" s="40">
        <f t="array" ref="A4995">IFNA(index(PlayerValues!A:A,match(IFNA(vlookup(B4995,'Special Names'!A:B,2,FALSE),B4995),PlayerValues!E:E,0)),"N/A")</f>
        <v>15796</v>
      </c>
      <c r="B4995" s="4" t="s">
        <v>794</v>
      </c>
      <c r="C4995" s="4" t="s">
        <v>298</v>
      </c>
      <c r="D4995" s="94">
        <v>819.0</v>
      </c>
    </row>
    <row r="4996">
      <c r="A4996" s="40">
        <f t="array" ref="A4996">IFNA(index(PlayerValues!A:A,match(IFNA(vlookup(B4996,'Special Names'!A:B,2,FALSE),B4996),PlayerValues!E:E,0)),"N/A")</f>
        <v>15720</v>
      </c>
      <c r="B4996" s="4" t="s">
        <v>795</v>
      </c>
      <c r="C4996" s="4" t="s">
        <v>278</v>
      </c>
      <c r="D4996" s="94">
        <v>469.0</v>
      </c>
    </row>
    <row r="4997">
      <c r="A4997" s="40">
        <f t="array" ref="A4997">IFNA(index(PlayerValues!A:A,match(IFNA(vlookup(B4997,'Special Names'!A:B,2,FALSE),B4997),PlayerValues!E:E,0)),"N/A")</f>
        <v>16624</v>
      </c>
      <c r="B4997" s="4" t="s">
        <v>796</v>
      </c>
      <c r="C4997" s="4" t="s">
        <v>287</v>
      </c>
      <c r="D4997" s="94">
        <v>469.0</v>
      </c>
    </row>
    <row r="4998">
      <c r="A4998" s="40">
        <f t="array" ref="A4998">IFNA(index(PlayerValues!A:A,match(IFNA(vlookup(B4998,'Special Names'!A:B,2,FALSE),B4998),PlayerValues!E:E,0)),"N/A")</f>
        <v>17348</v>
      </c>
      <c r="B4998" s="4" t="s">
        <v>797</v>
      </c>
      <c r="C4998" s="4" t="s">
        <v>278</v>
      </c>
      <c r="D4998" s="94">
        <v>467.0</v>
      </c>
    </row>
    <row r="4999">
      <c r="A4999" s="40">
        <f t="array" ref="A4999">IFNA(index(PlayerValues!A:A,match(IFNA(vlookup(B4999,'Special Names'!A:B,2,FALSE),B4999),PlayerValues!E:E,0)),"N/A")</f>
        <v>15723</v>
      </c>
      <c r="B4999" s="4" t="s">
        <v>798</v>
      </c>
      <c r="C4999" s="4" t="s">
        <v>278</v>
      </c>
      <c r="D4999" s="94">
        <v>463.0</v>
      </c>
    </row>
    <row r="5000">
      <c r="A5000" s="40">
        <f t="array" ref="A5000">IFNA(index(PlayerValues!A:A,match(IFNA(vlookup(B5000,'Special Names'!A:B,2,FALSE),B5000),PlayerValues!E:E,0)),"N/A")</f>
        <v>14858</v>
      </c>
      <c r="B5000" s="4" t="s">
        <v>799</v>
      </c>
      <c r="C5000" s="4" t="s">
        <v>287</v>
      </c>
      <c r="D5000" s="94">
        <v>462.0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16162</v>
      </c>
      <c r="B1" s="4" t="s">
        <v>281</v>
      </c>
      <c r="C1" s="4" t="s">
        <v>278</v>
      </c>
      <c r="D1" s="94">
        <v>9999.0</v>
      </c>
    </row>
    <row r="2">
      <c r="A2" s="40">
        <f t="array" ref="A2">IFNA(index(PlayerValues!A:A,match(IFNA(vlookup(B2,'Special Names'!A:B,2,FALSE),B2),PlayerValues!E:E,0)),"N/A")</f>
        <v>13589</v>
      </c>
      <c r="B2" s="4" t="s">
        <v>282</v>
      </c>
      <c r="C2" s="4" t="s">
        <v>283</v>
      </c>
      <c r="D2" s="94">
        <v>9995.0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9992.0</v>
      </c>
    </row>
    <row r="4">
      <c r="A4" s="40">
        <f t="array" ref="A4">IFNA(index(PlayerValues!A:A,match(IFNA(vlookup(B4,'Special Names'!A:B,2,FALSE),B4),PlayerValues!E:E,0)),"N/A")</f>
        <v>16161</v>
      </c>
      <c r="B4" s="4" t="s">
        <v>277</v>
      </c>
      <c r="C4" s="4" t="s">
        <v>278</v>
      </c>
      <c r="D4" s="94">
        <v>9990.0</v>
      </c>
    </row>
    <row r="5">
      <c r="A5" s="40">
        <f t="array" ref="A5">IFNA(index(PlayerValues!A:A,match(IFNA(vlookup(B5,'Special Names'!A:B,2,FALSE),B5),PlayerValues!E:E,0)),"N/A")</f>
        <v>16185</v>
      </c>
      <c r="B5" s="4" t="s">
        <v>290</v>
      </c>
      <c r="C5" s="4" t="s">
        <v>287</v>
      </c>
      <c r="D5" s="94">
        <v>9313.0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9252.0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8785.0</v>
      </c>
    </row>
    <row r="8">
      <c r="A8" s="40">
        <f t="array" ref="A8">IFNA(index(PlayerValues!A:A,match(IFNA(vlookup(B8,'Special Names'!A:B,2,FALSE),B8),PlayerValues!E:E,0)),"N/A")</f>
        <v>16641</v>
      </c>
      <c r="B8" s="4" t="s">
        <v>297</v>
      </c>
      <c r="C8" s="4" t="s">
        <v>298</v>
      </c>
      <c r="D8" s="94">
        <v>8999.0</v>
      </c>
    </row>
    <row r="9">
      <c r="A9" s="40">
        <f t="array" ref="A9">IFNA(index(PlayerValues!A:A,match(IFNA(vlookup(B9,'Special Names'!A:B,2,FALSE),B9),PlayerValues!E:E,0)),"N/A")</f>
        <v>15287</v>
      </c>
      <c r="B9" s="4" t="s">
        <v>299</v>
      </c>
      <c r="C9" s="4" t="s">
        <v>287</v>
      </c>
      <c r="D9" s="94">
        <v>7867.0</v>
      </c>
    </row>
    <row r="10">
      <c r="A10" s="40">
        <f t="array" ref="A10">IFNA(index(PlayerValues!A:A,match(IFNA(vlookup(B10,'Special Names'!A:B,2,FALSE),B10),PlayerValues!E:E,0)),"N/A")</f>
        <v>16579</v>
      </c>
      <c r="B10" s="4" t="s">
        <v>302</v>
      </c>
      <c r="C10" s="4" t="s">
        <v>283</v>
      </c>
      <c r="D10" s="94">
        <v>7834.0</v>
      </c>
    </row>
    <row r="11">
      <c r="A11" s="40">
        <f t="array" ref="A11">IFNA(index(PlayerValues!A:A,match(IFNA(vlookup(B11,'Special Names'!A:B,2,FALSE),B11),PlayerValues!E:E,0)),"N/A")</f>
        <v>17042</v>
      </c>
      <c r="B11" s="4" t="s">
        <v>314</v>
      </c>
      <c r="C11" s="4" t="s">
        <v>278</v>
      </c>
      <c r="D11" s="94">
        <v>7647.0</v>
      </c>
    </row>
    <row r="12">
      <c r="A12" s="40">
        <f t="array" ref="A12">IFNA(index(PlayerValues!A:A,match(IFNA(vlookup(B12,'Special Names'!A:B,2,FALSE),B12),PlayerValues!E:E,0)),"N/A")</f>
        <v>13593</v>
      </c>
      <c r="B12" s="4" t="s">
        <v>305</v>
      </c>
      <c r="C12" s="4" t="s">
        <v>283</v>
      </c>
      <c r="D12" s="94">
        <v>7630.0</v>
      </c>
    </row>
    <row r="13">
      <c r="A13" s="40">
        <f t="array" ref="A13">IFNA(index(PlayerValues!A:A,match(IFNA(vlookup(B13,'Special Names'!A:B,2,FALSE),B13),PlayerValues!E:E,0)),"N/A")</f>
        <v>16581</v>
      </c>
      <c r="B13" s="4" t="s">
        <v>315</v>
      </c>
      <c r="C13" s="4" t="s">
        <v>283</v>
      </c>
      <c r="D13" s="94">
        <v>7629.0</v>
      </c>
    </row>
    <row r="14">
      <c r="A14" s="40">
        <f t="array" ref="A14">IFNA(index(PlayerValues!A:A,match(IFNA(vlookup(B14,'Special Names'!A:B,2,FALSE),B14),PlayerValues!E:E,0)),"N/A")</f>
        <v>14836</v>
      </c>
      <c r="B14" s="4" t="s">
        <v>306</v>
      </c>
      <c r="C14" s="4" t="s">
        <v>287</v>
      </c>
      <c r="D14" s="94">
        <v>7614.0</v>
      </c>
    </row>
    <row r="15">
      <c r="A15" s="40">
        <f t="array" ref="A15">IFNA(index(PlayerValues!A:A,match(IFNA(vlookup(B15,'Special Names'!A:B,2,FALSE),B15),PlayerValues!E:E,0)),"N/A")</f>
        <v>17472</v>
      </c>
      <c r="B15" s="4" t="s">
        <v>310</v>
      </c>
      <c r="C15" s="4" t="s">
        <v>278</v>
      </c>
      <c r="D15" s="94">
        <v>7468.0</v>
      </c>
    </row>
    <row r="16">
      <c r="A16" s="40">
        <f t="array" ref="A16">IFNA(index(PlayerValues!A:A,match(IFNA(vlookup(B16,'Special Names'!A:B,2,FALSE),B16),PlayerValues!E:E,0)),"N/A")</f>
        <v>14777</v>
      </c>
      <c r="B16" s="4" t="s">
        <v>318</v>
      </c>
      <c r="C16" s="4" t="s">
        <v>283</v>
      </c>
      <c r="D16" s="94">
        <v>7426.0</v>
      </c>
    </row>
    <row r="17">
      <c r="A17" s="40">
        <f t="array" ref="A17">IFNA(index(PlayerValues!A:A,match(IFNA(vlookup(B17,'Special Names'!A:B,2,FALSE),B17),PlayerValues!E:E,0)),"N/A")</f>
        <v>15794</v>
      </c>
      <c r="B17" s="4" t="s">
        <v>313</v>
      </c>
      <c r="C17" s="4" t="s">
        <v>298</v>
      </c>
      <c r="D17" s="94">
        <v>8169.0</v>
      </c>
    </row>
    <row r="18">
      <c r="A18" s="40">
        <f t="array" ref="A18">IFNA(index(PlayerValues!A:A,match(IFNA(vlookup(B18,'Special Names'!A:B,2,FALSE),B18),PlayerValues!E:E,0)),"N/A")</f>
        <v>16615</v>
      </c>
      <c r="B18" s="4" t="s">
        <v>309</v>
      </c>
      <c r="C18" s="4" t="s">
        <v>287</v>
      </c>
      <c r="D18" s="94">
        <v>7230.0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7133.0</v>
      </c>
    </row>
    <row r="20">
      <c r="A20" s="40" t="str">
        <f t="array" ref="A20">IFNA(index(PlayerValues!A:A,match(IFNA(vlookup(B20,'Special Names'!A:B,2,FALSE),B20),PlayerValues!E:E,0)),"N/A")</f>
        <v>N/A</v>
      </c>
      <c r="B20" s="4" t="s">
        <v>92</v>
      </c>
      <c r="C20" s="4" t="s">
        <v>325</v>
      </c>
      <c r="D20" s="94">
        <v>7108.0</v>
      </c>
    </row>
    <row r="21">
      <c r="A21" s="40">
        <f t="array" ref="A21">IFNA(index(PlayerValues!A:A,match(IFNA(vlookup(B21,'Special Names'!A:B,2,FALSE),B21),PlayerValues!E:E,0)),"N/A")</f>
        <v>14779</v>
      </c>
      <c r="B21" s="4" t="s">
        <v>327</v>
      </c>
      <c r="C21" s="4" t="s">
        <v>283</v>
      </c>
      <c r="D21" s="94">
        <v>7041.0</v>
      </c>
    </row>
    <row r="22">
      <c r="A22" s="40">
        <f t="array" ref="A22">IFNA(index(PlayerValues!A:A,match(IFNA(vlookup(B22,'Special Names'!A:B,2,FALSE),B22),PlayerValues!E:E,0)),"N/A")</f>
        <v>15751</v>
      </c>
      <c r="B22" s="4" t="s">
        <v>328</v>
      </c>
      <c r="C22" s="4" t="s">
        <v>287</v>
      </c>
      <c r="D22" s="94">
        <v>7005.0</v>
      </c>
    </row>
    <row r="23">
      <c r="A23" s="40">
        <f t="array" ref="A23">IFNA(index(PlayerValues!A:A,match(IFNA(vlookup(B23,'Special Names'!A:B,2,FALSE),B23),PlayerValues!E:E,0)),"N/A")</f>
        <v>17044</v>
      </c>
      <c r="B23" s="4" t="s">
        <v>322</v>
      </c>
      <c r="C23" s="4" t="s">
        <v>278</v>
      </c>
      <c r="D23" s="94">
        <v>6992.0</v>
      </c>
    </row>
    <row r="24">
      <c r="A24" s="40">
        <f t="array" ref="A24">IFNA(index(PlayerValues!A:A,match(IFNA(vlookup(B24,'Special Names'!A:B,2,FALSE),B24),PlayerValues!E:E,0)),"N/A")</f>
        <v>16167</v>
      </c>
      <c r="B24" s="4" t="s">
        <v>323</v>
      </c>
      <c r="C24" s="4" t="s">
        <v>278</v>
      </c>
      <c r="D24" s="94">
        <v>6823.0</v>
      </c>
    </row>
    <row r="25">
      <c r="A25" s="40">
        <f t="array" ref="A25">IFNA(index(PlayerValues!A:A,match(IFNA(vlookup(B25,'Special Names'!A:B,2,FALSE),B25),PlayerValues!E:E,0)),"N/A")</f>
        <v>17071</v>
      </c>
      <c r="B25" s="4" t="s">
        <v>341</v>
      </c>
      <c r="C25" s="4" t="s">
        <v>287</v>
      </c>
      <c r="D25" s="94">
        <v>6391.0</v>
      </c>
    </row>
    <row r="26">
      <c r="A26" s="40">
        <f t="array" ref="A26">IFNA(index(PlayerValues!A:A,match(IFNA(vlookup(B26,'Special Names'!A:B,2,FALSE),B26),PlayerValues!E:E,0)),"N/A")</f>
        <v>17104</v>
      </c>
      <c r="B26" s="4" t="s">
        <v>333</v>
      </c>
      <c r="C26" s="4" t="s">
        <v>298</v>
      </c>
      <c r="D26" s="94">
        <v>7062.0</v>
      </c>
    </row>
    <row r="27">
      <c r="A27" s="40">
        <f t="array" ref="A27">IFNA(index(PlayerValues!A:A,match(IFNA(vlookup(B27,'Special Names'!A:B,2,FALSE),B27),PlayerValues!E:E,0)),"N/A")</f>
        <v>13116</v>
      </c>
      <c r="B27" s="4" t="s">
        <v>345</v>
      </c>
      <c r="C27" s="4" t="s">
        <v>283</v>
      </c>
      <c r="D27" s="94">
        <v>6349.0</v>
      </c>
    </row>
    <row r="28">
      <c r="A28" s="40">
        <f t="array" ref="A28">IFNA(index(PlayerValues!A:A,match(IFNA(vlookup(B28,'Special Names'!A:B,2,FALSE),B28),PlayerValues!E:E,0)),"N/A")</f>
        <v>17081</v>
      </c>
      <c r="B28" s="4" t="s">
        <v>340</v>
      </c>
      <c r="C28" s="4" t="s">
        <v>287</v>
      </c>
      <c r="D28" s="94">
        <v>6345.0</v>
      </c>
    </row>
    <row r="29">
      <c r="A29" s="40">
        <f t="array" ref="A29">IFNA(index(PlayerValues!A:A,match(IFNA(vlookup(B29,'Special Names'!A:B,2,FALSE),B29),PlayerValues!E:E,0)),"N/A")</f>
        <v>15237</v>
      </c>
      <c r="B29" s="4" t="s">
        <v>336</v>
      </c>
      <c r="C29" s="4" t="s">
        <v>283</v>
      </c>
      <c r="D29" s="94">
        <v>6305.0</v>
      </c>
    </row>
    <row r="30">
      <c r="A30" s="40">
        <f t="array" ref="A30">IFNA(index(PlayerValues!A:A,match(IFNA(vlookup(B30,'Special Names'!A:B,2,FALSE),B30),PlayerValues!E:E,0)),"N/A")</f>
        <v>17032</v>
      </c>
      <c r="B30" s="4" t="s">
        <v>348</v>
      </c>
      <c r="C30" s="4" t="s">
        <v>283</v>
      </c>
      <c r="D30" s="94">
        <v>6293.0</v>
      </c>
    </row>
    <row r="31">
      <c r="A31" s="40">
        <f t="array" ref="A31">IFNA(index(PlayerValues!A:A,match(IFNA(vlookup(B31,'Special Names'!A:B,2,FALSE),B31),PlayerValues!E:E,0)),"N/A")</f>
        <v>14802</v>
      </c>
      <c r="B31" s="4" t="s">
        <v>332</v>
      </c>
      <c r="C31" s="4" t="s">
        <v>278</v>
      </c>
      <c r="D31" s="94">
        <v>6153.0</v>
      </c>
    </row>
    <row r="32">
      <c r="A32" s="40">
        <f t="array" ref="A32">IFNA(index(PlayerValues!A:A,match(IFNA(vlookup(B32,'Special Names'!A:B,2,FALSE),B32),PlayerValues!E:E,0)),"N/A")</f>
        <v>14783</v>
      </c>
      <c r="B32" s="4" t="s">
        <v>342</v>
      </c>
      <c r="C32" s="4" t="s">
        <v>283</v>
      </c>
      <c r="D32" s="94">
        <v>6148.0</v>
      </c>
    </row>
    <row r="33">
      <c r="A33" s="40">
        <f t="array" ref="A33">IFNA(index(PlayerValues!A:A,match(IFNA(vlookup(B33,'Special Names'!A:B,2,FALSE),B33),PlayerValues!E:E,0)),"N/A")</f>
        <v>15762</v>
      </c>
      <c r="B33" s="4" t="s">
        <v>337</v>
      </c>
      <c r="C33" s="4" t="s">
        <v>287</v>
      </c>
      <c r="D33" s="94">
        <v>6122.0</v>
      </c>
    </row>
    <row r="34">
      <c r="A34" s="40">
        <f t="array" ref="A34">IFNA(index(PlayerValues!A:A,match(IFNA(vlookup(B34,'Special Names'!A:B,2,FALSE),B34),PlayerValues!E:E,0)),"N/A")</f>
        <v>15715</v>
      </c>
      <c r="B34" s="4" t="s">
        <v>331</v>
      </c>
      <c r="C34" s="4" t="s">
        <v>278</v>
      </c>
      <c r="D34" s="94">
        <v>6101.0</v>
      </c>
    </row>
    <row r="35">
      <c r="A35" s="40">
        <f t="array" ref="A35">IFNA(index(PlayerValues!A:A,match(IFNA(vlookup(B35,'Special Names'!A:B,2,FALSE),B35),PlayerValues!E:E,0)),"N/A")</f>
        <v>16582</v>
      </c>
      <c r="B35" s="4" t="s">
        <v>343</v>
      </c>
      <c r="C35" s="4" t="s">
        <v>283</v>
      </c>
      <c r="D35" s="94">
        <v>5982.0</v>
      </c>
    </row>
    <row r="36">
      <c r="A36" s="40">
        <f t="array" ref="A36">IFNA(index(PlayerValues!A:A,match(IFNA(vlookup(B36,'Special Names'!A:B,2,FALSE),B36),PlayerValues!E:E,0)),"N/A")</f>
        <v>17497</v>
      </c>
      <c r="B36" s="4" t="s">
        <v>365</v>
      </c>
      <c r="C36" s="4" t="s">
        <v>287</v>
      </c>
      <c r="D36" s="94">
        <v>5908.0</v>
      </c>
    </row>
    <row r="37">
      <c r="A37" s="40">
        <f t="array" ref="A37">IFNA(index(PlayerValues!A:A,match(IFNA(vlookup(B37,'Special Names'!A:B,2,FALSE),B37),PlayerValues!E:E,0)),"N/A")</f>
        <v>17102</v>
      </c>
      <c r="B37" s="4" t="s">
        <v>344</v>
      </c>
      <c r="C37" s="4" t="s">
        <v>298</v>
      </c>
      <c r="D37" s="94">
        <v>6534.0</v>
      </c>
    </row>
    <row r="38">
      <c r="A38" s="40">
        <f t="array" ref="A38">IFNA(index(PlayerValues!A:A,match(IFNA(vlookup(B38,'Special Names'!A:B,2,FALSE),B38),PlayerValues!E:E,0)),"N/A")</f>
        <v>15698</v>
      </c>
      <c r="B38" s="4" t="s">
        <v>358</v>
      </c>
      <c r="C38" s="4" t="s">
        <v>283</v>
      </c>
      <c r="D38" s="94">
        <v>5818.0</v>
      </c>
    </row>
    <row r="39">
      <c r="A39" s="40" t="str">
        <f t="array" ref="A39">IFNA(index(PlayerValues!A:A,match(IFNA(vlookup(B39,'Special Names'!A:B,2,FALSE),B39),PlayerValues!E:E,0)),"N/A")</f>
        <v>N/A</v>
      </c>
      <c r="B39" s="4" t="s">
        <v>93</v>
      </c>
      <c r="C39" s="4" t="s">
        <v>325</v>
      </c>
      <c r="D39" s="94">
        <v>5655.0</v>
      </c>
    </row>
    <row r="40">
      <c r="A40" s="40">
        <f t="array" ref="A40">IFNA(index(PlayerValues!A:A,match(IFNA(vlookup(B40,'Special Names'!A:B,2,FALSE),B40),PlayerValues!E:E,0)),"N/A")</f>
        <v>15711</v>
      </c>
      <c r="B40" s="4" t="s">
        <v>349</v>
      </c>
      <c r="C40" s="4" t="s">
        <v>278</v>
      </c>
      <c r="D40" s="94">
        <v>5601.0</v>
      </c>
    </row>
    <row r="41">
      <c r="A41" s="40" t="str">
        <f t="array" ref="A41">IFNA(index(PlayerValues!A:A,match(IFNA(vlookup(B41,'Special Names'!A:B,2,FALSE),B41),PlayerValues!E:E,0)),"N/A")</f>
        <v>N/A</v>
      </c>
      <c r="B41" s="4" t="s">
        <v>79</v>
      </c>
      <c r="C41" s="4" t="s">
        <v>325</v>
      </c>
      <c r="D41" s="94">
        <v>5595.0</v>
      </c>
    </row>
    <row r="42">
      <c r="A42" s="40">
        <f t="array" ref="A42">IFNA(index(PlayerValues!A:A,match(IFNA(vlookup(B42,'Special Names'!A:B,2,FALSE),B42),PlayerValues!E:E,0)),"N/A")</f>
        <v>16627</v>
      </c>
      <c r="B42" s="4" t="s">
        <v>351</v>
      </c>
      <c r="C42" s="4" t="s">
        <v>287</v>
      </c>
      <c r="D42" s="94">
        <v>5586.0</v>
      </c>
    </row>
    <row r="43">
      <c r="A43" s="40">
        <f t="array" ref="A43">IFNA(index(PlayerValues!A:A,match(IFNA(vlookup(B43,'Special Names'!A:B,2,FALSE),B43),PlayerValues!E:E,0)),"N/A")</f>
        <v>15290</v>
      </c>
      <c r="B43" s="4" t="s">
        <v>355</v>
      </c>
      <c r="C43" s="4" t="s">
        <v>287</v>
      </c>
      <c r="D43" s="94">
        <v>5576.0</v>
      </c>
    </row>
    <row r="44">
      <c r="A44" s="40">
        <f t="array" ref="A44">IFNA(index(PlayerValues!A:A,match(IFNA(vlookup(B44,'Special Names'!A:B,2,FALSE),B44),PlayerValues!E:E,0)),"N/A")</f>
        <v>15753</v>
      </c>
      <c r="B44" s="4" t="s">
        <v>359</v>
      </c>
      <c r="C44" s="4" t="s">
        <v>287</v>
      </c>
      <c r="D44" s="94">
        <v>5560.0</v>
      </c>
    </row>
    <row r="45">
      <c r="A45" s="40">
        <f t="array" ref="A45">IFNA(index(PlayerValues!A:A,match(IFNA(vlookup(B45,'Special Names'!A:B,2,FALSE),B45),PlayerValues!E:E,0)),"N/A")</f>
        <v>17051</v>
      </c>
      <c r="B45" s="4" t="s">
        <v>386</v>
      </c>
      <c r="C45" s="4" t="s">
        <v>278</v>
      </c>
      <c r="D45" s="94">
        <v>5538.0</v>
      </c>
    </row>
    <row r="46">
      <c r="A46" s="40">
        <f t="array" ref="A46">IFNA(index(PlayerValues!A:A,match(IFNA(vlookup(B46,'Special Names'!A:B,2,FALSE),B46),PlayerValues!E:E,0)),"N/A")</f>
        <v>17070</v>
      </c>
      <c r="B46" s="4" t="s">
        <v>370</v>
      </c>
      <c r="C46" s="4" t="s">
        <v>287</v>
      </c>
      <c r="D46" s="94">
        <v>5525.0</v>
      </c>
    </row>
    <row r="47">
      <c r="A47" s="40">
        <f t="array" ref="A47">IFNA(index(PlayerValues!A:A,match(IFNA(vlookup(B47,'Special Names'!A:B,2,FALSE),B47),PlayerValues!E:E,0)),"N/A")</f>
        <v>15754</v>
      </c>
      <c r="B47" s="4" t="s">
        <v>354</v>
      </c>
      <c r="C47" s="4" t="s">
        <v>287</v>
      </c>
      <c r="D47" s="94">
        <v>5471.0</v>
      </c>
    </row>
    <row r="48">
      <c r="A48" s="40">
        <f t="array" ref="A48">IFNA(index(PlayerValues!A:A,match(IFNA(vlookup(B48,'Special Names'!A:B,2,FALSE),B48),PlayerValues!E:E,0)),"N/A")</f>
        <v>14782</v>
      </c>
      <c r="B48" s="4" t="s">
        <v>385</v>
      </c>
      <c r="C48" s="4" t="s">
        <v>283</v>
      </c>
      <c r="D48" s="94">
        <v>5452.0</v>
      </c>
    </row>
    <row r="49">
      <c r="A49" s="40">
        <f t="array" ref="A49">IFNA(index(PlayerValues!A:A,match(IFNA(vlookup(B49,'Special Names'!A:B,2,FALSE),B49),PlayerValues!E:E,0)),"N/A")</f>
        <v>15282</v>
      </c>
      <c r="B49" s="4" t="s">
        <v>364</v>
      </c>
      <c r="C49" s="4" t="s">
        <v>287</v>
      </c>
      <c r="D49" s="94">
        <v>5442.0</v>
      </c>
    </row>
    <row r="50">
      <c r="A50" s="40">
        <f t="array" ref="A50">IFNA(index(PlayerValues!A:A,match(IFNA(vlookup(B50,'Special Names'!A:B,2,FALSE),B50),PlayerValues!E:E,0)),"N/A")</f>
        <v>17462</v>
      </c>
      <c r="B50" s="4" t="s">
        <v>375</v>
      </c>
      <c r="C50" s="4" t="s">
        <v>283</v>
      </c>
      <c r="D50" s="94">
        <v>5430.0</v>
      </c>
    </row>
    <row r="51">
      <c r="A51" s="40">
        <f t="array" ref="A51">IFNA(index(PlayerValues!A:A,match(IFNA(vlookup(B51,'Special Names'!A:B,2,FALSE),B51),PlayerValues!E:E,0)),"N/A")</f>
        <v>17498</v>
      </c>
      <c r="B51" s="4" t="s">
        <v>396</v>
      </c>
      <c r="C51" s="4" t="s">
        <v>287</v>
      </c>
      <c r="D51" s="94">
        <v>5365.0</v>
      </c>
    </row>
    <row r="52">
      <c r="A52" s="40">
        <f t="array" ref="A52">IFNA(index(PlayerValues!A:A,match(IFNA(vlookup(B52,'Special Names'!A:B,2,FALSE),B52),PlayerValues!E:E,0)),"N/A")</f>
        <v>17043</v>
      </c>
      <c r="B52" s="4" t="s">
        <v>397</v>
      </c>
      <c r="C52" s="4" t="s">
        <v>278</v>
      </c>
      <c r="D52" s="94">
        <v>5350.0</v>
      </c>
    </row>
    <row r="53">
      <c r="A53" s="40">
        <f t="array" ref="A53">IFNA(index(PlayerValues!A:A,match(IFNA(vlookup(B53,'Special Names'!A:B,2,FALSE),B53),PlayerValues!E:E,0)),"N/A")</f>
        <v>15708</v>
      </c>
      <c r="B53" s="4" t="s">
        <v>382</v>
      </c>
      <c r="C53" s="4" t="s">
        <v>278</v>
      </c>
      <c r="D53" s="94">
        <v>5285.0</v>
      </c>
    </row>
    <row r="54">
      <c r="A54" s="40">
        <f t="array" ref="A54">IFNA(index(PlayerValues!A:A,match(IFNA(vlookup(B54,'Special Names'!A:B,2,FALSE),B54),PlayerValues!E:E,0)),"N/A")</f>
        <v>16181</v>
      </c>
      <c r="B54" s="4" t="s">
        <v>350</v>
      </c>
      <c r="C54" s="4" t="s">
        <v>278</v>
      </c>
      <c r="D54" s="94">
        <v>5270.0</v>
      </c>
    </row>
    <row r="55">
      <c r="A55" s="40">
        <f t="array" ref="A55">IFNA(index(PlayerValues!A:A,match(IFNA(vlookup(B55,'Special Names'!A:B,2,FALSE),B55),PlayerValues!E:E,0)),"N/A")</f>
        <v>17030</v>
      </c>
      <c r="B55" s="4" t="s">
        <v>406</v>
      </c>
      <c r="C55" s="4" t="s">
        <v>283</v>
      </c>
      <c r="D55" s="94">
        <v>5266.0</v>
      </c>
    </row>
    <row r="56">
      <c r="A56" s="40">
        <f t="array" ref="A56">IFNA(index(PlayerValues!A:A,match(IFNA(vlookup(B56,'Special Names'!A:B,2,FALSE),B56),PlayerValues!E:E,0)),"N/A")</f>
        <v>13130</v>
      </c>
      <c r="B56" s="4" t="s">
        <v>374</v>
      </c>
      <c r="C56" s="4" t="s">
        <v>278</v>
      </c>
      <c r="D56" s="94">
        <v>5250.0</v>
      </c>
    </row>
    <row r="57">
      <c r="A57" s="40">
        <f t="array" ref="A57">IFNA(index(PlayerValues!A:A,match(IFNA(vlookup(B57,'Special Names'!A:B,2,FALSE),B57),PlayerValues!E:E,0)),"N/A")</f>
        <v>16616</v>
      </c>
      <c r="B57" s="4" t="s">
        <v>389</v>
      </c>
      <c r="C57" s="4" t="s">
        <v>287</v>
      </c>
      <c r="D57" s="94">
        <v>5247.0</v>
      </c>
    </row>
    <row r="58">
      <c r="A58" s="40" t="str">
        <f t="array" ref="A58">IFNA(index(PlayerValues!A:A,match(IFNA(vlookup(B58,'Special Names'!A:B,2,FALSE),B58),PlayerValues!E:E,0)),"N/A")</f>
        <v>N/A</v>
      </c>
      <c r="B58" s="4" t="s">
        <v>104</v>
      </c>
      <c r="C58" s="4" t="s">
        <v>325</v>
      </c>
      <c r="D58" s="94">
        <v>5185.0</v>
      </c>
    </row>
    <row r="59">
      <c r="A59" s="40">
        <f t="array" ref="A59">IFNA(index(PlayerValues!A:A,match(IFNA(vlookup(B59,'Special Names'!A:B,2,FALSE),B59),PlayerValues!E:E,0)),"N/A")</f>
        <v>13604</v>
      </c>
      <c r="B59" s="4" t="s">
        <v>378</v>
      </c>
      <c r="C59" s="4" t="s">
        <v>278</v>
      </c>
      <c r="D59" s="94">
        <v>5079.0</v>
      </c>
    </row>
    <row r="60">
      <c r="A60" s="40">
        <f t="array" ref="A60">IFNA(index(PlayerValues!A:A,match(IFNA(vlookup(B60,'Special Names'!A:B,2,FALSE),B60),PlayerValues!E:E,0)),"N/A")</f>
        <v>14104</v>
      </c>
      <c r="B60" s="4" t="s">
        <v>379</v>
      </c>
      <c r="C60" s="4" t="s">
        <v>287</v>
      </c>
      <c r="D60" s="94">
        <v>5032.0</v>
      </c>
    </row>
    <row r="61">
      <c r="A61" s="40">
        <f t="array" ref="A61">IFNA(index(PlayerValues!A:A,match(IFNA(vlookup(B61,'Special Names'!A:B,2,FALSE),B61),PlayerValues!E:E,0)),"N/A")</f>
        <v>17499</v>
      </c>
      <c r="B61" s="4" t="s">
        <v>402</v>
      </c>
      <c r="C61" s="4" t="s">
        <v>287</v>
      </c>
      <c r="D61" s="94">
        <v>5007.0</v>
      </c>
    </row>
    <row r="62">
      <c r="A62" s="40">
        <f t="array" ref="A62">IFNA(index(PlayerValues!A:A,match(IFNA(vlookup(B62,'Special Names'!A:B,2,FALSE),B62),PlayerValues!E:E,0)),"N/A")</f>
        <v>16190</v>
      </c>
      <c r="B62" s="4" t="s">
        <v>371</v>
      </c>
      <c r="C62" s="4" t="s">
        <v>287</v>
      </c>
      <c r="D62" s="94">
        <v>4985.0</v>
      </c>
    </row>
    <row r="63">
      <c r="A63" s="40">
        <f t="array" ref="A63">IFNA(index(PlayerValues!A:A,match(IFNA(vlookup(B63,'Special Names'!A:B,2,FALSE),B63),PlayerValues!E:E,0)),"N/A")</f>
        <v>16194</v>
      </c>
      <c r="B63" s="4" t="s">
        <v>398</v>
      </c>
      <c r="C63" s="4" t="s">
        <v>287</v>
      </c>
      <c r="D63" s="94">
        <v>4982.0</v>
      </c>
    </row>
    <row r="64">
      <c r="A64" s="40">
        <f t="array" ref="A64">IFNA(index(PlayerValues!A:A,match(IFNA(vlookup(B64,'Special Names'!A:B,2,FALSE),B64),PlayerValues!E:E,0)),"N/A")</f>
        <v>14835</v>
      </c>
      <c r="B64" s="4" t="s">
        <v>392</v>
      </c>
      <c r="C64" s="4" t="s">
        <v>287</v>
      </c>
      <c r="D64" s="94">
        <v>4969.0</v>
      </c>
    </row>
    <row r="65">
      <c r="A65" s="40">
        <f t="array" ref="A65">IFNA(index(PlayerValues!A:A,match(IFNA(vlookup(B65,'Special Names'!A:B,2,FALSE),B65),PlayerValues!E:E,0)),"N/A")</f>
        <v>16222</v>
      </c>
      <c r="B65" s="4" t="s">
        <v>393</v>
      </c>
      <c r="C65" s="4" t="s">
        <v>298</v>
      </c>
      <c r="D65" s="94">
        <v>5547.0</v>
      </c>
    </row>
    <row r="66">
      <c r="A66" s="40">
        <f t="array" ref="A66">IFNA(index(PlayerValues!A:A,match(IFNA(vlookup(B66,'Special Names'!A:B,2,FALSE),B66),PlayerValues!E:E,0)),"N/A")</f>
        <v>15710</v>
      </c>
      <c r="B66" s="4" t="s">
        <v>395</v>
      </c>
      <c r="C66" s="4" t="s">
        <v>278</v>
      </c>
      <c r="D66" s="94">
        <v>4958.0</v>
      </c>
    </row>
    <row r="67">
      <c r="A67" s="40">
        <f t="array" ref="A67">IFNA(index(PlayerValues!A:A,match(IFNA(vlookup(B67,'Special Names'!A:B,2,FALSE),B67),PlayerValues!E:E,0)),"N/A")</f>
        <v>12620</v>
      </c>
      <c r="B67" s="4" t="s">
        <v>394</v>
      </c>
      <c r="C67" s="4" t="s">
        <v>283</v>
      </c>
      <c r="D67" s="94">
        <v>4922.0</v>
      </c>
    </row>
    <row r="68">
      <c r="A68" s="40">
        <f t="array" ref="A68">IFNA(index(PlayerValues!A:A,match(IFNA(vlookup(B68,'Special Names'!A:B,2,FALSE),B68),PlayerValues!E:E,0)),"N/A")</f>
        <v>15284</v>
      </c>
      <c r="B68" s="4" t="s">
        <v>390</v>
      </c>
      <c r="C68" s="4" t="s">
        <v>287</v>
      </c>
      <c r="D68" s="94">
        <v>4896.0</v>
      </c>
    </row>
    <row r="69">
      <c r="A69" s="40">
        <f t="array" ref="A69">IFNA(index(PlayerValues!A:A,match(IFNA(vlookup(B69,'Special Names'!A:B,2,FALSE),B69),PlayerValues!E:E,0)),"N/A")</f>
        <v>16614</v>
      </c>
      <c r="B69" s="4" t="s">
        <v>403</v>
      </c>
      <c r="C69" s="4" t="s">
        <v>287</v>
      </c>
      <c r="D69" s="94">
        <v>4848.0</v>
      </c>
    </row>
    <row r="70">
      <c r="A70" s="40" t="str">
        <f t="array" ref="A70">IFNA(index(PlayerValues!A:A,match(IFNA(vlookup(B70,'Special Names'!A:B,2,FALSE),B70),PlayerValues!E:E,0)),"N/A")</f>
        <v>N/A</v>
      </c>
      <c r="B70" s="4" t="s">
        <v>94</v>
      </c>
      <c r="C70" s="4" t="s">
        <v>325</v>
      </c>
      <c r="D70" s="94">
        <v>4847.0</v>
      </c>
    </row>
    <row r="71">
      <c r="A71" s="40">
        <f t="array" ref="A71">IFNA(index(PlayerValues!A:A,match(IFNA(vlookup(B71,'Special Names'!A:B,2,FALSE),B71),PlayerValues!E:E,0)),"N/A")</f>
        <v>17039</v>
      </c>
      <c r="B71" s="4" t="s">
        <v>400</v>
      </c>
      <c r="C71" s="4" t="s">
        <v>283</v>
      </c>
      <c r="D71" s="94">
        <v>4837.0</v>
      </c>
    </row>
    <row r="72">
      <c r="A72" s="40">
        <f t="array" ref="A72">IFNA(index(PlayerValues!A:A,match(IFNA(vlookup(B72,'Special Names'!A:B,2,FALSE),B72),PlayerValues!E:E,0)),"N/A")</f>
        <v>16618</v>
      </c>
      <c r="B72" s="4" t="s">
        <v>411</v>
      </c>
      <c r="C72" s="4" t="s">
        <v>287</v>
      </c>
      <c r="D72" s="94">
        <v>4823.0</v>
      </c>
    </row>
    <row r="73">
      <c r="A73" s="40">
        <f t="array" ref="A73">IFNA(index(PlayerValues!A:A,match(IFNA(vlookup(B73,'Special Names'!A:B,2,FALSE),B73),PlayerValues!E:E,0)),"N/A")</f>
        <v>17473</v>
      </c>
      <c r="B73" s="4" t="s">
        <v>391</v>
      </c>
      <c r="C73" s="4" t="s">
        <v>278</v>
      </c>
      <c r="D73" s="94">
        <v>4791.0</v>
      </c>
    </row>
    <row r="74">
      <c r="A74" s="40">
        <f t="array" ref="A74">IFNA(index(PlayerValues!A:A,match(IFNA(vlookup(B74,'Special Names'!A:B,2,FALSE),B74),PlayerValues!E:E,0)),"N/A")</f>
        <v>15756</v>
      </c>
      <c r="B74" s="4" t="s">
        <v>399</v>
      </c>
      <c r="C74" s="4" t="s">
        <v>287</v>
      </c>
      <c r="D74" s="94">
        <v>4775.0</v>
      </c>
    </row>
    <row r="75">
      <c r="A75" s="40">
        <f t="array" ref="A75">IFNA(index(PlayerValues!A:A,match(IFNA(vlookup(B75,'Special Names'!A:B,2,FALSE),B75),PlayerValues!E:E,0)),"N/A")</f>
        <v>17045</v>
      </c>
      <c r="B75" s="4" t="s">
        <v>407</v>
      </c>
      <c r="C75" s="4" t="s">
        <v>278</v>
      </c>
      <c r="D75" s="94">
        <v>4771.0</v>
      </c>
    </row>
    <row r="76">
      <c r="A76" s="40">
        <f t="array" ref="A76">IFNA(index(PlayerValues!A:A,match(IFNA(vlookup(B76,'Special Names'!A:B,2,FALSE),B76),PlayerValues!E:E,0)),"N/A")</f>
        <v>17103</v>
      </c>
      <c r="B76" s="4" t="s">
        <v>405</v>
      </c>
      <c r="C76" s="4" t="s">
        <v>298</v>
      </c>
      <c r="D76" s="94">
        <v>5304.0</v>
      </c>
    </row>
    <row r="77">
      <c r="A77" s="40">
        <f t="array" ref="A77">IFNA(index(PlayerValues!A:A,match(IFNA(vlookup(B77,'Special Names'!A:B,2,FALSE),B77),PlayerValues!E:E,0)),"N/A")</f>
        <v>16598</v>
      </c>
      <c r="B77" s="4" t="s">
        <v>408</v>
      </c>
      <c r="C77" s="4" t="s">
        <v>278</v>
      </c>
      <c r="D77" s="94">
        <v>4695.0</v>
      </c>
    </row>
    <row r="78">
      <c r="A78" s="40">
        <f t="array" ref="A78">IFNA(index(PlayerValues!A:A,match(IFNA(vlookup(B78,'Special Names'!A:B,2,FALSE),B78),PlayerValues!E:E,0)),"N/A")</f>
        <v>12611</v>
      </c>
      <c r="B78" s="4" t="s">
        <v>410</v>
      </c>
      <c r="C78" s="4" t="s">
        <v>283</v>
      </c>
      <c r="D78" s="94">
        <v>4678.0</v>
      </c>
    </row>
    <row r="79">
      <c r="A79" s="40" t="str">
        <f t="array" ref="A79">IFNA(index(PlayerValues!A:A,match(IFNA(vlookup(B79,'Special Names'!A:B,2,FALSE),B79),PlayerValues!E:E,0)),"N/A")</f>
        <v>N/A</v>
      </c>
      <c r="B79" s="4" t="s">
        <v>80</v>
      </c>
      <c r="C79" s="4" t="s">
        <v>325</v>
      </c>
      <c r="D79" s="94">
        <v>4665.0</v>
      </c>
    </row>
    <row r="80">
      <c r="A80" s="40">
        <f t="array" ref="A80">IFNA(index(PlayerValues!A:A,match(IFNA(vlookup(B80,'Special Names'!A:B,2,FALSE),B80),PlayerValues!E:E,0)),"N/A")</f>
        <v>13590</v>
      </c>
      <c r="B80" s="4" t="s">
        <v>409</v>
      </c>
      <c r="C80" s="4" t="s">
        <v>283</v>
      </c>
      <c r="D80" s="94">
        <v>4648.0</v>
      </c>
    </row>
    <row r="81">
      <c r="A81" s="40">
        <f t="array" ref="A81">IFNA(index(PlayerValues!A:A,match(IFNA(vlookup(B81,'Special Names'!A:B,2,FALSE),B81),PlayerValues!E:E,0)),"N/A")</f>
        <v>16150</v>
      </c>
      <c r="B81" s="4" t="s">
        <v>414</v>
      </c>
      <c r="C81" s="4" t="s">
        <v>283</v>
      </c>
      <c r="D81" s="94">
        <v>4641.0</v>
      </c>
    </row>
    <row r="82">
      <c r="A82" s="40">
        <f t="array" ref="A82">IFNA(index(PlayerValues!A:A,match(IFNA(vlookup(B82,'Special Names'!A:B,2,FALSE),B82),PlayerValues!E:E,0)),"N/A")</f>
        <v>16214</v>
      </c>
      <c r="B82" s="4" t="s">
        <v>413</v>
      </c>
      <c r="C82" s="4" t="s">
        <v>298</v>
      </c>
      <c r="D82" s="94">
        <v>5172.0</v>
      </c>
    </row>
    <row r="83">
      <c r="A83" s="40">
        <f t="array" ref="A83">IFNA(index(PlayerValues!A:A,match(IFNA(vlookup(B83,'Special Names'!A:B,2,FALSE),B83),PlayerValues!E:E,0)),"N/A")</f>
        <v>15256</v>
      </c>
      <c r="B83" s="4" t="s">
        <v>401</v>
      </c>
      <c r="C83" s="4" t="s">
        <v>278</v>
      </c>
      <c r="D83" s="94">
        <v>4599.0</v>
      </c>
    </row>
    <row r="84">
      <c r="A84" s="40" t="str">
        <f t="array" ref="A84">IFNA(index(PlayerValues!A:A,match(IFNA(vlookup(B84,'Special Names'!A:B,2,FALSE),B84),PlayerValues!E:E,0)),"N/A")</f>
        <v>N/A</v>
      </c>
      <c r="B84" s="4" t="s">
        <v>105</v>
      </c>
      <c r="C84" s="4" t="s">
        <v>325</v>
      </c>
      <c r="D84" s="94">
        <v>4572.0</v>
      </c>
    </row>
    <row r="85">
      <c r="A85" s="40">
        <f t="array" ref="A85">IFNA(index(PlayerValues!A:A,match(IFNA(vlookup(B85,'Special Names'!A:B,2,FALSE),B85),PlayerValues!E:E,0)),"N/A")</f>
        <v>15329</v>
      </c>
      <c r="B85" s="4" t="s">
        <v>416</v>
      </c>
      <c r="C85" s="4" t="s">
        <v>298</v>
      </c>
      <c r="D85" s="94">
        <v>4976.0</v>
      </c>
    </row>
    <row r="86">
      <c r="A86" s="40">
        <f t="array" ref="A86">IFNA(index(PlayerValues!A:A,match(IFNA(vlookup(B86,'Special Names'!A:B,2,FALSE),B86),PlayerValues!E:E,0)),"N/A")</f>
        <v>13592</v>
      </c>
      <c r="B86" s="4" t="s">
        <v>418</v>
      </c>
      <c r="C86" s="4" t="s">
        <v>283</v>
      </c>
      <c r="D86" s="94">
        <v>4394.0</v>
      </c>
    </row>
    <row r="87">
      <c r="A87" s="40">
        <f t="array" ref="A87">IFNA(index(PlayerValues!A:A,match(IFNA(vlookup(B87,'Special Names'!A:B,2,FALSE),B87),PlayerValues!E:E,0)),"N/A")</f>
        <v>15253</v>
      </c>
      <c r="B87" s="4" t="s">
        <v>415</v>
      </c>
      <c r="C87" s="4" t="s">
        <v>278</v>
      </c>
      <c r="D87" s="94">
        <v>4373.0</v>
      </c>
    </row>
    <row r="88">
      <c r="A88" s="40">
        <f t="array" ref="A88">IFNA(index(PlayerValues!A:A,match(IFNA(vlookup(B88,'Special Names'!A:B,2,FALSE),B88),PlayerValues!E:E,0)),"N/A")</f>
        <v>17501</v>
      </c>
      <c r="B88" s="4" t="s">
        <v>404</v>
      </c>
      <c r="C88" s="4" t="s">
        <v>287</v>
      </c>
      <c r="D88" s="94">
        <v>4348.0</v>
      </c>
    </row>
    <row r="89">
      <c r="A89" s="40">
        <f t="array" ref="A89">IFNA(index(PlayerValues!A:A,match(IFNA(vlookup(B89,'Special Names'!A:B,2,FALSE),B89),PlayerValues!E:E,0)),"N/A")</f>
        <v>12626</v>
      </c>
      <c r="B89" s="4" t="s">
        <v>419</v>
      </c>
      <c r="C89" s="4" t="s">
        <v>278</v>
      </c>
      <c r="D89" s="94">
        <v>4205.0</v>
      </c>
    </row>
    <row r="90">
      <c r="A90" s="40">
        <f t="array" ref="A90">IFNA(index(PlayerValues!A:A,match(IFNA(vlookup(B90,'Special Names'!A:B,2,FALSE),B90),PlayerValues!E:E,0)),"N/A")</f>
        <v>17052</v>
      </c>
      <c r="B90" s="4" t="s">
        <v>417</v>
      </c>
      <c r="C90" s="4" t="s">
        <v>278</v>
      </c>
      <c r="D90" s="94">
        <v>4198.0</v>
      </c>
    </row>
    <row r="91">
      <c r="A91" s="40">
        <f t="array" ref="A91">IFNA(index(PlayerValues!A:A,match(IFNA(vlookup(B91,'Special Names'!A:B,2,FALSE),B91),PlayerValues!E:E,0)),"N/A")</f>
        <v>14073</v>
      </c>
      <c r="B91" s="4" t="s">
        <v>464</v>
      </c>
      <c r="C91" s="4" t="s">
        <v>278</v>
      </c>
      <c r="D91" s="94">
        <v>4090.0</v>
      </c>
    </row>
    <row r="92">
      <c r="A92" s="40">
        <f t="array" ref="A92">IFNA(index(PlayerValues!A:A,match(IFNA(vlookup(B92,'Special Names'!A:B,2,FALSE),B92),PlayerValues!E:E,0)),"N/A")</f>
        <v>17543</v>
      </c>
      <c r="B92" s="4" t="s">
        <v>436</v>
      </c>
      <c r="C92" s="4" t="s">
        <v>298</v>
      </c>
      <c r="D92" s="94">
        <v>4522.0</v>
      </c>
    </row>
    <row r="93">
      <c r="A93" s="40">
        <f t="array" ref="A93">IFNA(index(PlayerValues!A:A,match(IFNA(vlookup(B93,'Special Names'!A:B,2,FALSE),B93),PlayerValues!E:E,0)),"N/A")</f>
        <v>14056</v>
      </c>
      <c r="B93" s="4" t="s">
        <v>423</v>
      </c>
      <c r="C93" s="4" t="s">
        <v>283</v>
      </c>
      <c r="D93" s="94">
        <v>3987.0</v>
      </c>
    </row>
    <row r="94">
      <c r="A94" s="40" t="str">
        <f t="array" ref="A94">IFNA(index(PlayerValues!A:A,match(IFNA(vlookup(B94,'Special Names'!A:B,2,FALSE),B94),PlayerValues!E:E,0)),"N/A")</f>
        <v>N/A</v>
      </c>
      <c r="B94" s="4" t="s">
        <v>81</v>
      </c>
      <c r="C94" s="4" t="s">
        <v>325</v>
      </c>
      <c r="D94" s="94">
        <v>3962.0</v>
      </c>
    </row>
    <row r="95">
      <c r="A95" s="40">
        <f t="array" ref="A95">IFNA(index(PlayerValues!A:A,match(IFNA(vlookup(B95,'Special Names'!A:B,2,FALSE),B95),PlayerValues!E:E,0)),"N/A")</f>
        <v>15789</v>
      </c>
      <c r="B95" s="4" t="s">
        <v>421</v>
      </c>
      <c r="C95" s="4" t="s">
        <v>287</v>
      </c>
      <c r="D95" s="94">
        <v>3950.0</v>
      </c>
    </row>
    <row r="96">
      <c r="A96" s="40">
        <f t="array" ref="A96">IFNA(index(PlayerValues!A:A,match(IFNA(vlookup(B96,'Special Names'!A:B,2,FALSE),B96),PlayerValues!E:E,0)),"N/A")</f>
        <v>16148</v>
      </c>
      <c r="B96" s="4" t="s">
        <v>426</v>
      </c>
      <c r="C96" s="4" t="s">
        <v>283</v>
      </c>
      <c r="D96" s="94">
        <v>3939.0</v>
      </c>
    </row>
    <row r="97">
      <c r="A97" s="40" t="str">
        <f t="array" ref="A97">IFNA(index(PlayerValues!A:A,match(IFNA(vlookup(B97,'Special Names'!A:B,2,FALSE),B97),PlayerValues!E:E,0)),"N/A")</f>
        <v>N/A</v>
      </c>
      <c r="B97" s="4" t="s">
        <v>107</v>
      </c>
      <c r="C97" s="4" t="s">
        <v>325</v>
      </c>
      <c r="D97" s="94">
        <v>3933.0</v>
      </c>
    </row>
    <row r="98">
      <c r="A98" s="40">
        <f t="array" ref="A98">IFNA(index(PlayerValues!A:A,match(IFNA(vlookup(B98,'Special Names'!A:B,2,FALSE),B98),PlayerValues!E:E,0)),"N/A")</f>
        <v>15768</v>
      </c>
      <c r="B98" s="4" t="s">
        <v>432</v>
      </c>
      <c r="C98" s="4" t="s">
        <v>287</v>
      </c>
      <c r="D98" s="94">
        <v>3926.0</v>
      </c>
    </row>
    <row r="99">
      <c r="A99" s="40">
        <f t="array" ref="A99">IFNA(index(PlayerValues!A:A,match(IFNA(vlookup(B99,'Special Names'!A:B,2,FALSE),B99),PlayerValues!E:E,0)),"N/A")</f>
        <v>16186</v>
      </c>
      <c r="B99" s="4" t="s">
        <v>425</v>
      </c>
      <c r="C99" s="4" t="s">
        <v>287</v>
      </c>
      <c r="D99" s="94">
        <v>3921.0</v>
      </c>
    </row>
    <row r="100">
      <c r="A100" s="40">
        <f t="array" ref="A100">IFNA(index(PlayerValues!A:A,match(IFNA(vlookup(B100,'Special Names'!A:B,2,FALSE),B100),PlayerValues!E:E,0)),"N/A")</f>
        <v>14059</v>
      </c>
      <c r="B100" s="4" t="s">
        <v>435</v>
      </c>
      <c r="C100" s="4" t="s">
        <v>283</v>
      </c>
      <c r="D100" s="94">
        <v>3919.0</v>
      </c>
    </row>
    <row r="101">
      <c r="A101" s="40">
        <f t="array" ref="A101">IFNA(index(PlayerValues!A:A,match(IFNA(vlookup(B101,'Special Names'!A:B,2,FALSE),B101),PlayerValues!E:E,0)),"N/A")</f>
        <v>9431</v>
      </c>
      <c r="B101" s="4" t="s">
        <v>428</v>
      </c>
      <c r="C101" s="4" t="s">
        <v>283</v>
      </c>
      <c r="D101" s="94">
        <v>3878.0</v>
      </c>
    </row>
    <row r="102">
      <c r="A102" s="40" t="str">
        <f t="array" ref="A102">IFNA(index(PlayerValues!A:A,match(IFNA(vlookup(B102,'Special Names'!A:B,2,FALSE),B102),PlayerValues!E:E,0)),"N/A")</f>
        <v>N/A</v>
      </c>
      <c r="B102" s="4" t="s">
        <v>95</v>
      </c>
      <c r="C102" s="4" t="s">
        <v>325</v>
      </c>
      <c r="D102" s="94">
        <v>3830.0</v>
      </c>
    </row>
    <row r="103">
      <c r="A103" s="40">
        <f t="array" ref="A103">IFNA(index(PlayerValues!A:A,match(IFNA(vlookup(B103,'Special Names'!A:B,2,FALSE),B103),PlayerValues!E:E,0)),"N/A")</f>
        <v>15694</v>
      </c>
      <c r="B103" s="4" t="s">
        <v>434</v>
      </c>
      <c r="C103" s="4" t="s">
        <v>283</v>
      </c>
      <c r="D103" s="94">
        <v>3791.0</v>
      </c>
    </row>
    <row r="104">
      <c r="A104" s="40">
        <f t="array" ref="A104">IFNA(index(PlayerValues!A:A,match(IFNA(vlookup(B104,'Special Names'!A:B,2,FALSE),B104),PlayerValues!E:E,0)),"N/A")</f>
        <v>16206</v>
      </c>
      <c r="B104" s="4" t="s">
        <v>431</v>
      </c>
      <c r="C104" s="4" t="s">
        <v>287</v>
      </c>
      <c r="D104" s="94">
        <v>3731.0</v>
      </c>
    </row>
    <row r="105">
      <c r="A105" s="40">
        <f t="array" ref="A105">IFNA(index(PlayerValues!A:A,match(IFNA(vlookup(B105,'Special Names'!A:B,2,FALSE),B105),PlayerValues!E:E,0)),"N/A")</f>
        <v>14797</v>
      </c>
      <c r="B105" s="4" t="s">
        <v>420</v>
      </c>
      <c r="C105" s="4" t="s">
        <v>278</v>
      </c>
      <c r="D105" s="94">
        <v>3729.0</v>
      </c>
    </row>
    <row r="106">
      <c r="A106" s="40">
        <f t="array" ref="A106">IFNA(index(PlayerValues!A:A,match(IFNA(vlookup(B106,'Special Names'!A:B,2,FALSE),B106),PlayerValues!E:E,0)),"N/A")</f>
        <v>16192</v>
      </c>
      <c r="B106" s="4" t="s">
        <v>412</v>
      </c>
      <c r="C106" s="4" t="s">
        <v>287</v>
      </c>
      <c r="D106" s="94">
        <v>3677.0</v>
      </c>
    </row>
    <row r="107">
      <c r="A107" s="40">
        <f t="array" ref="A107">IFNA(index(PlayerValues!A:A,match(IFNA(vlookup(B107,'Special Names'!A:B,2,FALSE),B107),PlayerValues!E:E,0)),"N/A")</f>
        <v>16187</v>
      </c>
      <c r="B107" s="4" t="s">
        <v>441</v>
      </c>
      <c r="C107" s="4" t="s">
        <v>287</v>
      </c>
      <c r="D107" s="94">
        <v>3591.0</v>
      </c>
    </row>
    <row r="108">
      <c r="A108" s="40">
        <f t="array" ref="A108">IFNA(index(PlayerValues!A:A,match(IFNA(vlookup(B108,'Special Names'!A:B,2,FALSE),B108),PlayerValues!E:E,0)),"N/A")</f>
        <v>16188</v>
      </c>
      <c r="B108" s="4" t="s">
        <v>439</v>
      </c>
      <c r="C108" s="4" t="s">
        <v>287</v>
      </c>
      <c r="D108" s="94">
        <v>3543.0</v>
      </c>
    </row>
    <row r="109">
      <c r="A109" s="40">
        <f t="array" ref="A109">IFNA(index(PlayerValues!A:A,match(IFNA(vlookup(B109,'Special Names'!A:B,2,FALSE),B109),PlayerValues!E:E,0)),"N/A")</f>
        <v>13635</v>
      </c>
      <c r="B109" s="4" t="s">
        <v>424</v>
      </c>
      <c r="C109" s="4" t="s">
        <v>287</v>
      </c>
      <c r="D109" s="94">
        <v>3530.0</v>
      </c>
    </row>
    <row r="110">
      <c r="A110" s="40">
        <f t="array" ref="A110">IFNA(index(PlayerValues!A:A,match(IFNA(vlookup(B110,'Special Names'!A:B,2,FALSE),B110),PlayerValues!E:E,0)),"N/A")</f>
        <v>17075</v>
      </c>
      <c r="B110" s="4" t="s">
        <v>429</v>
      </c>
      <c r="C110" s="4" t="s">
        <v>287</v>
      </c>
      <c r="D110" s="94">
        <v>3529.0</v>
      </c>
    </row>
    <row r="111">
      <c r="A111" s="40">
        <f t="array" ref="A111">IFNA(index(PlayerValues!A:A,match(IFNA(vlookup(B111,'Special Names'!A:B,2,FALSE),B111),PlayerValues!E:E,0)),"N/A")</f>
        <v>17502</v>
      </c>
      <c r="B111" s="4" t="s">
        <v>451</v>
      </c>
      <c r="C111" s="4" t="s">
        <v>287</v>
      </c>
      <c r="D111" s="94">
        <v>3524.0</v>
      </c>
    </row>
    <row r="112">
      <c r="A112" s="40">
        <f t="array" ref="A112">IFNA(index(PlayerValues!A:A,match(IFNA(vlookup(B112,'Special Names'!A:B,2,FALSE),B112),PlayerValues!E:E,0)),"N/A")</f>
        <v>16597</v>
      </c>
      <c r="B112" s="4" t="s">
        <v>427</v>
      </c>
      <c r="C112" s="4" t="s">
        <v>278</v>
      </c>
      <c r="D112" s="94">
        <v>3521.0</v>
      </c>
    </row>
    <row r="113">
      <c r="A113" s="40">
        <f t="array" ref="A113">IFNA(index(PlayerValues!A:A,match(IFNA(vlookup(B113,'Special Names'!A:B,2,FALSE),B113),PlayerValues!E:E,0)),"N/A")</f>
        <v>17066</v>
      </c>
      <c r="B113" s="4" t="s">
        <v>446</v>
      </c>
      <c r="C113" s="4" t="s">
        <v>278</v>
      </c>
      <c r="D113" s="94">
        <v>3512.0</v>
      </c>
    </row>
    <row r="114">
      <c r="A114" s="40">
        <f t="array" ref="A114">IFNA(index(PlayerValues!A:A,match(IFNA(vlookup(B114,'Special Names'!A:B,2,FALSE),B114),PlayerValues!E:E,0)),"N/A")</f>
        <v>14109</v>
      </c>
      <c r="B114" s="4" t="s">
        <v>437</v>
      </c>
      <c r="C114" s="4" t="s">
        <v>287</v>
      </c>
      <c r="D114" s="94">
        <v>3503.0</v>
      </c>
    </row>
    <row r="115">
      <c r="A115" s="40">
        <f t="array" ref="A115">IFNA(index(PlayerValues!A:A,match(IFNA(vlookup(B115,'Special Names'!A:B,2,FALSE),B115),PlayerValues!E:E,0)),"N/A")</f>
        <v>17099</v>
      </c>
      <c r="B115" s="4" t="s">
        <v>474</v>
      </c>
      <c r="C115" s="4" t="s">
        <v>298</v>
      </c>
      <c r="D115" s="94">
        <v>3940.0</v>
      </c>
    </row>
    <row r="116">
      <c r="A116" s="40">
        <f t="array" ref="A116">IFNA(index(PlayerValues!A:A,match(IFNA(vlookup(B116,'Special Names'!A:B,2,FALSE),B116),PlayerValues!E:E,0)),"N/A")</f>
        <v>17463</v>
      </c>
      <c r="B116" s="4" t="s">
        <v>433</v>
      </c>
      <c r="C116" s="4" t="s">
        <v>283</v>
      </c>
      <c r="D116" s="94">
        <v>3483.0</v>
      </c>
    </row>
    <row r="117">
      <c r="A117" s="40">
        <f t="array" ref="A117">IFNA(index(PlayerValues!A:A,match(IFNA(vlookup(B117,'Special Names'!A:B,2,FALSE),B117),PlayerValues!E:E,0)),"N/A")</f>
        <v>14071</v>
      </c>
      <c r="B117" s="4" t="s">
        <v>440</v>
      </c>
      <c r="C117" s="4" t="s">
        <v>278</v>
      </c>
      <c r="D117" s="94">
        <v>3465.0</v>
      </c>
    </row>
    <row r="118">
      <c r="A118" s="40">
        <f t="array" ref="A118">IFNA(index(PlayerValues!A:A,match(IFNA(vlookup(B118,'Special Names'!A:B,2,FALSE),B118),PlayerValues!E:E,0)),"N/A")</f>
        <v>11675</v>
      </c>
      <c r="B118" s="4" t="s">
        <v>438</v>
      </c>
      <c r="C118" s="4" t="s">
        <v>287</v>
      </c>
      <c r="D118" s="94">
        <v>3451.0</v>
      </c>
    </row>
    <row r="119">
      <c r="A119" s="40">
        <f t="array" ref="A119">IFNA(index(PlayerValues!A:A,match(IFNA(vlookup(B119,'Special Names'!A:B,2,FALSE),B119),PlayerValues!E:E,0)),"N/A")</f>
        <v>16593</v>
      </c>
      <c r="B119" s="4" t="s">
        <v>442</v>
      </c>
      <c r="C119" s="4" t="s">
        <v>278</v>
      </c>
      <c r="D119" s="94">
        <v>3441.0</v>
      </c>
    </row>
    <row r="120">
      <c r="A120" s="40">
        <f t="array" ref="A120">IFNA(index(PlayerValues!A:A,match(IFNA(vlookup(B120,'Special Names'!A:B,2,FALSE),B120),PlayerValues!E:E,0)),"N/A")</f>
        <v>14102</v>
      </c>
      <c r="B120" s="4" t="s">
        <v>444</v>
      </c>
      <c r="C120" s="4" t="s">
        <v>287</v>
      </c>
      <c r="D120" s="94">
        <v>3436.0</v>
      </c>
    </row>
    <row r="121">
      <c r="A121" s="40">
        <f t="array" ref="A121">IFNA(index(PlayerValues!A:A,match(IFNA(vlookup(B121,'Special Names'!A:B,2,FALSE),B121),PlayerValues!E:E,0)),"N/A")</f>
        <v>17544</v>
      </c>
      <c r="B121" s="4" t="s">
        <v>470</v>
      </c>
      <c r="C121" s="4" t="s">
        <v>298</v>
      </c>
      <c r="D121" s="94">
        <v>3864.0</v>
      </c>
    </row>
    <row r="122">
      <c r="A122" s="40">
        <f t="array" ref="A122">IFNA(index(PlayerValues!A:A,match(IFNA(vlookup(B122,'Special Names'!A:B,2,FALSE),B122),PlayerValues!E:E,0)),"N/A")</f>
        <v>15757</v>
      </c>
      <c r="B122" s="4" t="s">
        <v>449</v>
      </c>
      <c r="C122" s="4" t="s">
        <v>287</v>
      </c>
      <c r="D122" s="94">
        <v>3399.0</v>
      </c>
    </row>
    <row r="123">
      <c r="A123" s="40">
        <f t="array" ref="A123">IFNA(index(PlayerValues!A:A,match(IFNA(vlookup(B123,'Special Names'!A:B,2,FALSE),B123),PlayerValues!E:E,0)),"N/A")</f>
        <v>15798</v>
      </c>
      <c r="B123" s="4" t="s">
        <v>443</v>
      </c>
      <c r="C123" s="4" t="s">
        <v>298</v>
      </c>
      <c r="D123" s="94">
        <v>3845.0</v>
      </c>
    </row>
    <row r="124">
      <c r="A124" s="40">
        <f t="array" ref="A124">IFNA(index(PlayerValues!A:A,match(IFNA(vlookup(B124,'Special Names'!A:B,2,FALSE),B124),PlayerValues!E:E,0)),"N/A")</f>
        <v>17068</v>
      </c>
      <c r="B124" s="4" t="s">
        <v>450</v>
      </c>
      <c r="C124" s="4" t="s">
        <v>278</v>
      </c>
      <c r="D124" s="94">
        <v>3392.0</v>
      </c>
    </row>
    <row r="125">
      <c r="A125" s="40">
        <f t="array" ref="A125">IFNA(index(PlayerValues!A:A,match(IFNA(vlookup(B125,'Special Names'!A:B,2,FALSE),B125),PlayerValues!E:E,0)),"N/A")</f>
        <v>16622</v>
      </c>
      <c r="B125" s="4" t="s">
        <v>517</v>
      </c>
      <c r="C125" s="4" t="s">
        <v>287</v>
      </c>
      <c r="D125" s="94">
        <v>3385.0</v>
      </c>
    </row>
    <row r="126">
      <c r="A126" s="40" t="str">
        <f t="array" ref="A126">IFNA(index(PlayerValues!A:A,match(IFNA(vlookup(B126,'Special Names'!A:B,2,FALSE),B126),PlayerValues!E:E,0)),"N/A")</f>
        <v>N/A</v>
      </c>
      <c r="B126" s="4" t="s">
        <v>96</v>
      </c>
      <c r="C126" s="4" t="s">
        <v>325</v>
      </c>
      <c r="D126" s="94">
        <v>3384.0</v>
      </c>
    </row>
    <row r="127">
      <c r="A127" s="40">
        <f t="array" ref="A127">IFNA(index(PlayerValues!A:A,match(IFNA(vlookup(B127,'Special Names'!A:B,2,FALSE),B127),PlayerValues!E:E,0)),"N/A")</f>
        <v>14842</v>
      </c>
      <c r="B127" s="4" t="s">
        <v>456</v>
      </c>
      <c r="C127" s="4" t="s">
        <v>287</v>
      </c>
      <c r="D127" s="94">
        <v>3379.0</v>
      </c>
    </row>
    <row r="128">
      <c r="A128" s="40">
        <f t="array" ref="A128">IFNA(index(PlayerValues!A:A,match(IFNA(vlookup(B128,'Special Names'!A:B,2,FALSE),B128),PlayerValues!E:E,0)),"N/A")</f>
        <v>16169</v>
      </c>
      <c r="B128" s="4" t="s">
        <v>457</v>
      </c>
      <c r="C128" s="4" t="s">
        <v>278</v>
      </c>
      <c r="D128" s="94">
        <v>3371.0</v>
      </c>
    </row>
    <row r="129">
      <c r="A129" s="40">
        <f t="array" ref="A129">IFNA(index(PlayerValues!A:A,match(IFNA(vlookup(B129,'Special Names'!A:B,2,FALSE),B129),PlayerValues!E:E,0)),"N/A")</f>
        <v>13299</v>
      </c>
      <c r="B129" s="4" t="s">
        <v>448</v>
      </c>
      <c r="C129" s="4" t="s">
        <v>298</v>
      </c>
      <c r="D129" s="94">
        <v>3822.0</v>
      </c>
    </row>
    <row r="130">
      <c r="A130" s="40">
        <f t="array" ref="A130">IFNA(index(PlayerValues!A:A,match(IFNA(vlookup(B130,'Special Names'!A:B,2,FALSE),B130),PlayerValues!E:E,0)),"N/A")</f>
        <v>17074</v>
      </c>
      <c r="B130" s="4" t="s">
        <v>475</v>
      </c>
      <c r="C130" s="4" t="s">
        <v>287</v>
      </c>
      <c r="D130" s="94">
        <v>3369.0</v>
      </c>
    </row>
    <row r="131">
      <c r="A131" s="40">
        <f t="array" ref="A131">IFNA(index(PlayerValues!A:A,match(IFNA(vlookup(B131,'Special Names'!A:B,2,FALSE),B131),PlayerValues!E:E,0)),"N/A")</f>
        <v>16184</v>
      </c>
      <c r="B131" s="4" t="s">
        <v>445</v>
      </c>
      <c r="C131" s="4" t="s">
        <v>287</v>
      </c>
      <c r="D131" s="94">
        <v>3365.0</v>
      </c>
    </row>
    <row r="132">
      <c r="A132" s="40">
        <f t="array" ref="A132">IFNA(index(PlayerValues!A:A,match(IFNA(vlookup(B132,'Special Names'!A:B,2,FALSE),B132),PlayerValues!E:E,0)),"N/A")</f>
        <v>17083</v>
      </c>
      <c r="B132" s="4" t="s">
        <v>479</v>
      </c>
      <c r="C132" s="4" t="s">
        <v>287</v>
      </c>
      <c r="D132" s="94">
        <v>3365.0</v>
      </c>
    </row>
    <row r="133">
      <c r="A133" s="40">
        <f t="array" ref="A133">IFNA(index(PlayerValues!A:A,match(IFNA(vlookup(B133,'Special Names'!A:B,2,FALSE),B133),PlayerValues!E:E,0)),"N/A")</f>
        <v>17500</v>
      </c>
      <c r="B133" s="4" t="s">
        <v>430</v>
      </c>
      <c r="C133" s="4" t="s">
        <v>287</v>
      </c>
      <c r="D133" s="94">
        <v>3357.0</v>
      </c>
    </row>
    <row r="134">
      <c r="A134" s="40">
        <f t="array" ref="A134">IFNA(index(PlayerValues!A:A,match(IFNA(vlookup(B134,'Special Names'!A:B,2,FALSE),B134),PlayerValues!E:E,0)),"N/A")</f>
        <v>11671</v>
      </c>
      <c r="B134" s="4" t="s">
        <v>463</v>
      </c>
      <c r="C134" s="4" t="s">
        <v>287</v>
      </c>
      <c r="D134" s="94">
        <v>3322.0</v>
      </c>
    </row>
    <row r="135">
      <c r="A135" s="40">
        <f t="array" ref="A135">IFNA(index(PlayerValues!A:A,match(IFNA(vlookup(B135,'Special Names'!A:B,2,FALSE),B135),PlayerValues!E:E,0)),"N/A")</f>
        <v>15742</v>
      </c>
      <c r="B135" s="4" t="s">
        <v>447</v>
      </c>
      <c r="C135" s="4" t="s">
        <v>278</v>
      </c>
      <c r="D135" s="94">
        <v>3320.0</v>
      </c>
    </row>
    <row r="136">
      <c r="A136" s="40">
        <f t="array" ref="A136">IFNA(index(PlayerValues!A:A,match(IFNA(vlookup(B136,'Special Names'!A:B,2,FALSE),B136),PlayerValues!E:E,0)),"N/A")</f>
        <v>16620</v>
      </c>
      <c r="B136" s="4" t="s">
        <v>467</v>
      </c>
      <c r="C136" s="4" t="s">
        <v>287</v>
      </c>
      <c r="D136" s="94">
        <v>3312.0</v>
      </c>
    </row>
    <row r="137">
      <c r="A137" s="40" t="str">
        <f t="array" ref="A137">IFNA(index(PlayerValues!A:A,match(IFNA(vlookup(B137,'Special Names'!A:B,2,FALSE),B137),PlayerValues!E:E,0)),"N/A")</f>
        <v>N/A</v>
      </c>
      <c r="B137" s="4" t="s">
        <v>82</v>
      </c>
      <c r="C137" s="4" t="s">
        <v>325</v>
      </c>
      <c r="D137" s="94">
        <v>3310.0</v>
      </c>
    </row>
    <row r="138">
      <c r="A138" s="40">
        <f t="array" ref="A138">IFNA(index(PlayerValues!A:A,match(IFNA(vlookup(B138,'Special Names'!A:B,2,FALSE),B138),PlayerValues!E:E,0)),"N/A")</f>
        <v>16213</v>
      </c>
      <c r="B138" s="4" t="s">
        <v>458</v>
      </c>
      <c r="C138" s="4" t="s">
        <v>298</v>
      </c>
      <c r="D138" s="94">
        <v>3632.0</v>
      </c>
    </row>
    <row r="139">
      <c r="A139" s="40">
        <f t="array" ref="A139">IFNA(index(PlayerValues!A:A,match(IFNA(vlookup(B139,'Special Names'!A:B,2,FALSE),B139),PlayerValues!E:E,0)),"N/A")</f>
        <v>15799</v>
      </c>
      <c r="B139" s="4" t="s">
        <v>468</v>
      </c>
      <c r="C139" s="4" t="s">
        <v>298</v>
      </c>
      <c r="D139" s="94">
        <v>3627.0</v>
      </c>
    </row>
    <row r="140">
      <c r="A140" s="40">
        <f t="array" ref="A140">IFNA(index(PlayerValues!A:A,match(IFNA(vlookup(B140,'Special Names'!A:B,2,FALSE),B140),PlayerValues!E:E,0)),"N/A")</f>
        <v>17477</v>
      </c>
      <c r="B140" s="4" t="s">
        <v>452</v>
      </c>
      <c r="C140" s="4" t="s">
        <v>278</v>
      </c>
      <c r="D140" s="94">
        <v>3186.0</v>
      </c>
    </row>
    <row r="141">
      <c r="A141" s="40" t="str">
        <f t="array" ref="A141">IFNA(index(PlayerValues!A:A,match(IFNA(vlookup(B141,'Special Names'!A:B,2,FALSE),B141),PlayerValues!E:E,0)),"N/A")</f>
        <v>N/A</v>
      </c>
      <c r="B141" s="4" t="s">
        <v>108</v>
      </c>
      <c r="C141" s="4" t="s">
        <v>325</v>
      </c>
      <c r="D141" s="94">
        <v>3181.0</v>
      </c>
    </row>
    <row r="142">
      <c r="A142" s="40">
        <f t="array" ref="A142">IFNA(index(PlayerValues!A:A,match(IFNA(vlookup(B142,'Special Names'!A:B,2,FALSE),B142),PlayerValues!E:E,0)),"N/A")</f>
        <v>15261</v>
      </c>
      <c r="B142" s="4" t="s">
        <v>466</v>
      </c>
      <c r="C142" s="4" t="s">
        <v>278</v>
      </c>
      <c r="D142" s="94">
        <v>3176.0</v>
      </c>
    </row>
    <row r="143">
      <c r="A143" s="40">
        <f t="array" ref="A143">IFNA(index(PlayerValues!A:A,match(IFNA(vlookup(B143,'Special Names'!A:B,2,FALSE),B143),PlayerValues!E:E,0)),"N/A")</f>
        <v>16809</v>
      </c>
      <c r="B143" s="4" t="s">
        <v>455</v>
      </c>
      <c r="C143" s="4" t="s">
        <v>287</v>
      </c>
      <c r="D143" s="94">
        <v>3158.0</v>
      </c>
    </row>
    <row r="144">
      <c r="A144" s="40" t="str">
        <f t="array" ref="A144">IFNA(index(PlayerValues!A:A,match(IFNA(vlookup(B144,'Special Names'!A:B,2,FALSE),B144),PlayerValues!E:E,0)),"N/A")</f>
        <v>N/A</v>
      </c>
      <c r="B144" s="4" t="s">
        <v>97</v>
      </c>
      <c r="C144" s="4" t="s">
        <v>325</v>
      </c>
      <c r="D144" s="94">
        <v>3132.0</v>
      </c>
    </row>
    <row r="145">
      <c r="A145" s="40">
        <f t="array" ref="A145">IFNA(index(PlayerValues!A:A,match(IFNA(vlookup(B145,'Special Names'!A:B,2,FALSE),B145),PlayerValues!E:E,0)),"N/A")</f>
        <v>16269</v>
      </c>
      <c r="B145" s="4" t="s">
        <v>481</v>
      </c>
      <c r="C145" s="4" t="s">
        <v>298</v>
      </c>
      <c r="D145" s="94">
        <v>3536.0</v>
      </c>
    </row>
    <row r="146">
      <c r="A146" s="40">
        <f t="array" ref="A146">IFNA(index(PlayerValues!A:A,match(IFNA(vlookup(B146,'Special Names'!A:B,2,FALSE),B146),PlayerValues!E:E,0)),"N/A")</f>
        <v>14823</v>
      </c>
      <c r="B146" s="4" t="s">
        <v>459</v>
      </c>
      <c r="C146" s="4" t="s">
        <v>278</v>
      </c>
      <c r="D146" s="94">
        <v>3090.0</v>
      </c>
    </row>
    <row r="147">
      <c r="A147" s="40">
        <f t="array" ref="A147">IFNA(index(PlayerValues!A:A,match(IFNA(vlookup(B147,'Special Names'!A:B,2,FALSE),B147),PlayerValues!E:E,0)),"N/A")</f>
        <v>17514</v>
      </c>
      <c r="B147" s="4" t="s">
        <v>422</v>
      </c>
      <c r="C147" s="4" t="s">
        <v>287</v>
      </c>
      <c r="D147" s="94">
        <v>3075.0</v>
      </c>
    </row>
    <row r="148">
      <c r="A148" s="40">
        <f t="array" ref="A148">IFNA(index(PlayerValues!A:A,match(IFNA(vlookup(B148,'Special Names'!A:B,2,FALSE),B148),PlayerValues!E:E,0)),"N/A")</f>
        <v>13630</v>
      </c>
      <c r="B148" s="4" t="s">
        <v>465</v>
      </c>
      <c r="C148" s="4" t="s">
        <v>287</v>
      </c>
      <c r="D148" s="94">
        <v>3058.0</v>
      </c>
    </row>
    <row r="149">
      <c r="A149" s="40">
        <f t="array" ref="A149">IFNA(index(PlayerValues!A:A,match(IFNA(vlookup(B149,'Special Names'!A:B,2,FALSE),B149),PlayerValues!E:E,0)),"N/A")</f>
        <v>15259</v>
      </c>
      <c r="B149" s="4" t="s">
        <v>453</v>
      </c>
      <c r="C149" s="4" t="s">
        <v>278</v>
      </c>
      <c r="D149" s="94">
        <v>3050.0</v>
      </c>
    </row>
    <row r="150">
      <c r="A150" s="40">
        <f t="array" ref="A150">IFNA(index(PlayerValues!A:A,match(IFNA(vlookup(B150,'Special Names'!A:B,2,FALSE),B150),PlayerValues!E:E,0)),"N/A")</f>
        <v>15779</v>
      </c>
      <c r="B150" s="4" t="s">
        <v>461</v>
      </c>
      <c r="C150" s="4" t="s">
        <v>287</v>
      </c>
      <c r="D150" s="94">
        <v>3033.0</v>
      </c>
    </row>
    <row r="151">
      <c r="A151" s="40">
        <f t="array" ref="A151">IFNA(index(PlayerValues!A:A,match(IFNA(vlookup(B151,'Special Names'!A:B,2,FALSE),B151),PlayerValues!E:E,0)),"N/A")</f>
        <v>17512</v>
      </c>
      <c r="B151" s="4" t="s">
        <v>483</v>
      </c>
      <c r="C151" s="4" t="s">
        <v>287</v>
      </c>
      <c r="D151" s="94">
        <v>3028.0</v>
      </c>
    </row>
    <row r="152">
      <c r="A152" s="40">
        <f t="array" ref="A152">IFNA(index(PlayerValues!A:A,match(IFNA(vlookup(B152,'Special Names'!A:B,2,FALSE),B152),PlayerValues!E:E,0)),"N/A")</f>
        <v>16628</v>
      </c>
      <c r="B152" s="4" t="s">
        <v>490</v>
      </c>
      <c r="C152" s="4" t="s">
        <v>287</v>
      </c>
      <c r="D152" s="94">
        <v>3026.0</v>
      </c>
    </row>
    <row r="153">
      <c r="A153" s="40" t="str">
        <f t="array" ref="A153">IFNA(index(PlayerValues!A:A,match(IFNA(vlookup(B153,'Special Names'!A:B,2,FALSE),B153),PlayerValues!E:E,0)),"N/A")</f>
        <v>N/A</v>
      </c>
      <c r="B153" s="4" t="s">
        <v>84</v>
      </c>
      <c r="C153" s="4" t="s">
        <v>325</v>
      </c>
      <c r="D153" s="94">
        <v>3020.0</v>
      </c>
    </row>
    <row r="154">
      <c r="A154" s="40">
        <f t="array" ref="A154">IFNA(index(PlayerValues!A:A,match(IFNA(vlookup(B154,'Special Names'!A:B,2,FALSE),B154),PlayerValues!E:E,0)),"N/A")</f>
        <v>17506</v>
      </c>
      <c r="B154" s="4" t="s">
        <v>471</v>
      </c>
      <c r="C154" s="4" t="s">
        <v>287</v>
      </c>
      <c r="D154" s="94">
        <v>3019.0</v>
      </c>
    </row>
    <row r="155">
      <c r="A155" s="40">
        <f t="array" ref="A155">IFNA(index(PlayerValues!A:A,match(IFNA(vlookup(B155,'Special Names'!A:B,2,FALSE),B155),PlayerValues!E:E,0)),"N/A")</f>
        <v>17256</v>
      </c>
      <c r="B155" s="4" t="s">
        <v>462</v>
      </c>
      <c r="C155" s="4" t="s">
        <v>278</v>
      </c>
      <c r="D155" s="94">
        <v>3015.0</v>
      </c>
    </row>
    <row r="156">
      <c r="A156" s="40">
        <f t="array" ref="A156">IFNA(index(PlayerValues!A:A,match(IFNA(vlookup(B156,'Special Names'!A:B,2,FALSE),B156),PlayerValues!E:E,0)),"N/A")</f>
        <v>14800</v>
      </c>
      <c r="B156" s="4" t="s">
        <v>472</v>
      </c>
      <c r="C156" s="4" t="s">
        <v>278</v>
      </c>
      <c r="D156" s="94">
        <v>2996.0</v>
      </c>
    </row>
    <row r="157">
      <c r="A157" s="40">
        <f t="array" ref="A157">IFNA(index(PlayerValues!A:A,match(IFNA(vlookup(B157,'Special Names'!A:B,2,FALSE),B157),PlayerValues!E:E,0)),"N/A")</f>
        <v>15255</v>
      </c>
      <c r="B157" s="4" t="s">
        <v>477</v>
      </c>
      <c r="C157" s="4" t="s">
        <v>278</v>
      </c>
      <c r="D157" s="94">
        <v>2991.0</v>
      </c>
    </row>
    <row r="158">
      <c r="A158" s="40">
        <f t="array" ref="A158">IFNA(index(PlayerValues!A:A,match(IFNA(vlookup(B158,'Special Names'!A:B,2,FALSE),B158),PlayerValues!E:E,0)),"N/A")</f>
        <v>14127</v>
      </c>
      <c r="B158" s="4" t="s">
        <v>486</v>
      </c>
      <c r="C158" s="4" t="s">
        <v>287</v>
      </c>
      <c r="D158" s="94">
        <v>2965.0</v>
      </c>
    </row>
    <row r="159">
      <c r="A159" s="40">
        <f t="array" ref="A159">IFNA(index(PlayerValues!A:A,match(IFNA(vlookup(B159,'Special Names'!A:B,2,FALSE),B159),PlayerValues!E:E,0)),"N/A")</f>
        <v>13163</v>
      </c>
      <c r="B159" s="4" t="s">
        <v>473</v>
      </c>
      <c r="C159" s="4" t="s">
        <v>287</v>
      </c>
      <c r="D159" s="94">
        <v>2958.0</v>
      </c>
    </row>
    <row r="160">
      <c r="A160" s="40" t="str">
        <f t="array" ref="A160">IFNA(index(PlayerValues!A:A,match(IFNA(vlookup(B160,'Special Names'!A:B,2,FALSE),B160),PlayerValues!E:E,0)),"N/A")</f>
        <v>N/A</v>
      </c>
      <c r="B160" s="4" t="s">
        <v>109</v>
      </c>
      <c r="C160" s="4" t="s">
        <v>325</v>
      </c>
      <c r="D160" s="94">
        <v>2938.0</v>
      </c>
    </row>
    <row r="161">
      <c r="A161" s="40">
        <f t="array" ref="A161">IFNA(index(PlayerValues!A:A,match(IFNA(vlookup(B161,'Special Names'!A:B,2,FALSE),B161),PlayerValues!E:E,0)),"N/A")</f>
        <v>17503</v>
      </c>
      <c r="B161" s="4" t="s">
        <v>480</v>
      </c>
      <c r="C161" s="4" t="s">
        <v>287</v>
      </c>
      <c r="D161" s="94">
        <v>2933.0</v>
      </c>
    </row>
    <row r="162">
      <c r="A162" s="40">
        <f t="array" ref="A162">IFNA(index(PlayerValues!A:A,match(IFNA(vlookup(B162,'Special Names'!A:B,2,FALSE),B162),PlayerValues!E:E,0)),"N/A")</f>
        <v>17476</v>
      </c>
      <c r="B162" s="4" t="s">
        <v>494</v>
      </c>
      <c r="C162" s="4" t="s">
        <v>278</v>
      </c>
      <c r="D162" s="94">
        <v>2879.0</v>
      </c>
    </row>
    <row r="163">
      <c r="A163" s="40">
        <f t="array" ref="A163">IFNA(index(PlayerValues!A:A,match(IFNA(vlookup(B163,'Special Names'!A:B,2,FALSE),B163),PlayerValues!E:E,0)),"N/A")</f>
        <v>15761</v>
      </c>
      <c r="B163" s="4" t="s">
        <v>491</v>
      </c>
      <c r="C163" s="4" t="s">
        <v>287</v>
      </c>
      <c r="D163" s="94">
        <v>2862.0</v>
      </c>
    </row>
    <row r="164">
      <c r="A164" s="40">
        <f t="array" ref="A164">IFNA(index(PlayerValues!A:A,match(IFNA(vlookup(B164,'Special Names'!A:B,2,FALSE),B164),PlayerValues!E:E,0)),"N/A")</f>
        <v>14085</v>
      </c>
      <c r="B164" s="4" t="s">
        <v>489</v>
      </c>
      <c r="C164" s="4" t="s">
        <v>278</v>
      </c>
      <c r="D164" s="94">
        <v>2841.0</v>
      </c>
    </row>
    <row r="165">
      <c r="A165" s="40">
        <f t="array" ref="A165">IFNA(index(PlayerValues!A:A,match(IFNA(vlookup(B165,'Special Names'!A:B,2,FALSE),B165),PlayerValues!E:E,0)),"N/A")</f>
        <v>16080</v>
      </c>
      <c r="B165" s="4" t="s">
        <v>499</v>
      </c>
      <c r="C165" s="4" t="s">
        <v>287</v>
      </c>
      <c r="D165" s="94">
        <v>2819.0</v>
      </c>
    </row>
    <row r="166">
      <c r="A166" s="40">
        <f t="array" ref="A166">IFNA(index(PlayerValues!A:A,match(IFNA(vlookup(B166,'Special Names'!A:B,2,FALSE),B166),PlayerValues!E:E,0)),"N/A")</f>
        <v>15889</v>
      </c>
      <c r="B166" s="4" t="s">
        <v>503</v>
      </c>
      <c r="C166" s="4" t="s">
        <v>298</v>
      </c>
      <c r="D166" s="94">
        <v>3220.0</v>
      </c>
    </row>
    <row r="167">
      <c r="A167" s="40">
        <f t="array" ref="A167">IFNA(index(PlayerValues!A:A,match(IFNA(vlookup(B167,'Special Names'!A:B,2,FALSE),B167),PlayerValues!E:E,0)),"N/A")</f>
        <v>16583</v>
      </c>
      <c r="B167" s="4" t="s">
        <v>493</v>
      </c>
      <c r="C167" s="4" t="s">
        <v>283</v>
      </c>
      <c r="D167" s="94">
        <v>2798.0</v>
      </c>
    </row>
    <row r="168">
      <c r="A168" s="40" t="str">
        <f t="array" ref="A168">IFNA(index(PlayerValues!A:A,match(IFNA(vlookup(B168,'Special Names'!A:B,2,FALSE),B168),PlayerValues!E:E,0)),"N/A")</f>
        <v>N/A</v>
      </c>
      <c r="B168" s="4" t="s">
        <v>85</v>
      </c>
      <c r="C168" s="4" t="s">
        <v>325</v>
      </c>
      <c r="D168" s="94">
        <v>2797.0</v>
      </c>
    </row>
    <row r="169">
      <c r="A169" s="40" t="str">
        <f t="array" ref="A169">IFNA(index(PlayerValues!A:A,match(IFNA(vlookup(B169,'Special Names'!A:B,2,FALSE),B169),PlayerValues!E:E,0)),"N/A")</f>
        <v>N/A</v>
      </c>
      <c r="B169" s="4" t="s">
        <v>110</v>
      </c>
      <c r="C169" s="4" t="s">
        <v>325</v>
      </c>
      <c r="D169" s="94">
        <v>2779.0</v>
      </c>
    </row>
    <row r="170">
      <c r="A170" s="40">
        <f t="array" ref="A170">IFNA(index(PlayerValues!A:A,match(IFNA(vlookup(B170,'Special Names'!A:B,2,FALSE),B170),PlayerValues!E:E,0)),"N/A")</f>
        <v>16723</v>
      </c>
      <c r="B170" s="4" t="s">
        <v>502</v>
      </c>
      <c r="C170" s="4" t="s">
        <v>298</v>
      </c>
      <c r="D170" s="94">
        <v>3188.0</v>
      </c>
    </row>
    <row r="171">
      <c r="A171" s="40">
        <f t="array" ref="A171">IFNA(index(PlayerValues!A:A,match(IFNA(vlookup(B171,'Special Names'!A:B,2,FALSE),B171),PlayerValues!E:E,0)),"N/A")</f>
        <v>17047</v>
      </c>
      <c r="B171" s="4" t="s">
        <v>510</v>
      </c>
      <c r="C171" s="4" t="s">
        <v>278</v>
      </c>
      <c r="D171" s="94">
        <v>2767.0</v>
      </c>
    </row>
    <row r="172">
      <c r="A172" s="40">
        <f t="array" ref="A172">IFNA(index(PlayerValues!A:A,match(IFNA(vlookup(B172,'Special Names'!A:B,2,FALSE),B172),PlayerValues!E:E,0)),"N/A")</f>
        <v>17107</v>
      </c>
      <c r="B172" s="4" t="s">
        <v>478</v>
      </c>
      <c r="C172" s="4" t="s">
        <v>298</v>
      </c>
      <c r="D172" s="94">
        <v>3164.0</v>
      </c>
    </row>
    <row r="173">
      <c r="A173" s="40">
        <f t="array" ref="A173">IFNA(index(PlayerValues!A:A,match(IFNA(vlookup(B173,'Special Names'!A:B,2,FALSE),B173),PlayerValues!E:E,0)),"N/A")</f>
        <v>13671</v>
      </c>
      <c r="B173" s="4" t="s">
        <v>506</v>
      </c>
      <c r="C173" s="4" t="s">
        <v>298</v>
      </c>
      <c r="D173" s="94">
        <v>3164.0</v>
      </c>
    </row>
    <row r="174">
      <c r="A174" s="40">
        <f t="array" ref="A174">IFNA(index(PlayerValues!A:A,match(IFNA(vlookup(B174,'Special Names'!A:B,2,FALSE),B174),PlayerValues!E:E,0)),"N/A")</f>
        <v>15721</v>
      </c>
      <c r="B174" s="4" t="s">
        <v>504</v>
      </c>
      <c r="C174" s="4" t="s">
        <v>278</v>
      </c>
      <c r="D174" s="94">
        <v>2745.0</v>
      </c>
    </row>
    <row r="175">
      <c r="A175" s="40">
        <f t="array" ref="A175">IFNA(index(PlayerValues!A:A,match(IFNA(vlookup(B175,'Special Names'!A:B,2,FALSE),B175),PlayerValues!E:E,0)),"N/A")</f>
        <v>17053</v>
      </c>
      <c r="B175" s="4" t="s">
        <v>484</v>
      </c>
      <c r="C175" s="4" t="s">
        <v>278</v>
      </c>
      <c r="D175" s="94">
        <v>2735.0</v>
      </c>
    </row>
    <row r="176">
      <c r="A176" s="40">
        <f t="array" ref="A176">IFNA(index(PlayerValues!A:A,match(IFNA(vlookup(B176,'Special Names'!A:B,2,FALSE),B176),PlayerValues!E:E,0)),"N/A")</f>
        <v>17157</v>
      </c>
      <c r="B176" s="4" t="s">
        <v>524</v>
      </c>
      <c r="C176" s="4" t="s">
        <v>287</v>
      </c>
      <c r="D176" s="94">
        <v>2728.0</v>
      </c>
    </row>
    <row r="177">
      <c r="A177" s="40">
        <f t="array" ref="A177">IFNA(index(PlayerValues!A:A,match(IFNA(vlookup(B177,'Special Names'!A:B,2,FALSE),B177),PlayerValues!E:E,0)),"N/A")</f>
        <v>15972</v>
      </c>
      <c r="B177" s="4" t="s">
        <v>469</v>
      </c>
      <c r="C177" s="4" t="s">
        <v>278</v>
      </c>
      <c r="D177" s="94">
        <v>2714.0</v>
      </c>
    </row>
    <row r="178">
      <c r="A178" s="40">
        <f t="array" ref="A178">IFNA(index(PlayerValues!A:A,match(IFNA(vlookup(B178,'Special Names'!A:B,2,FALSE),B178),PlayerValues!E:E,0)),"N/A")</f>
        <v>14138</v>
      </c>
      <c r="B178" s="4" t="s">
        <v>531</v>
      </c>
      <c r="C178" s="4" t="s">
        <v>298</v>
      </c>
      <c r="D178" s="94">
        <v>3112.0</v>
      </c>
    </row>
    <row r="179">
      <c r="A179" s="40">
        <f t="array" ref="A179">IFNA(index(PlayerValues!A:A,match(IFNA(vlookup(B179,'Special Names'!A:B,2,FALSE),B179),PlayerValues!E:E,0)),"N/A")</f>
        <v>15712</v>
      </c>
      <c r="B179" s="4" t="s">
        <v>488</v>
      </c>
      <c r="C179" s="4" t="s">
        <v>278</v>
      </c>
      <c r="D179" s="94">
        <v>2689.0</v>
      </c>
    </row>
    <row r="180">
      <c r="A180" s="40">
        <f t="array" ref="A180">IFNA(index(PlayerValues!A:A,match(IFNA(vlookup(B180,'Special Names'!A:B,2,FALSE),B180),PlayerValues!E:E,0)),"N/A")</f>
        <v>17505</v>
      </c>
      <c r="B180" s="4" t="s">
        <v>528</v>
      </c>
      <c r="C180" s="4" t="s">
        <v>287</v>
      </c>
      <c r="D180" s="94">
        <v>2686.0</v>
      </c>
    </row>
    <row r="181">
      <c r="A181" s="40">
        <f t="array" ref="A181">IFNA(index(PlayerValues!A:A,match(IFNA(vlookup(B181,'Special Names'!A:B,2,FALSE),B181),PlayerValues!E:E,0)),"N/A")</f>
        <v>17507</v>
      </c>
      <c r="B181" s="4" t="s">
        <v>495</v>
      </c>
      <c r="C181" s="4" t="s">
        <v>287</v>
      </c>
      <c r="D181" s="94">
        <v>2684.0</v>
      </c>
    </row>
    <row r="182">
      <c r="A182" s="40">
        <f t="array" ref="A182">IFNA(index(PlayerValues!A:A,match(IFNA(vlookup(B182,'Special Names'!A:B,2,FALSE),B182),PlayerValues!E:E,0)),"N/A")</f>
        <v>17031</v>
      </c>
      <c r="B182" s="4" t="s">
        <v>535</v>
      </c>
      <c r="C182" s="4" t="s">
        <v>283</v>
      </c>
      <c r="D182" s="94">
        <v>2678.0</v>
      </c>
    </row>
    <row r="183">
      <c r="A183" s="40">
        <f t="array" ref="A183">IFNA(index(PlayerValues!A:A,match(IFNA(vlookup(B183,'Special Names'!A:B,2,FALSE),B183),PlayerValues!E:E,0)),"N/A")</f>
        <v>17072</v>
      </c>
      <c r="B183" s="4" t="s">
        <v>508</v>
      </c>
      <c r="C183" s="4" t="s">
        <v>287</v>
      </c>
      <c r="D183" s="94">
        <v>2678.0</v>
      </c>
    </row>
    <row r="184">
      <c r="A184" s="40">
        <f t="array" ref="A184">IFNA(index(PlayerValues!A:A,match(IFNA(vlookup(B184,'Special Names'!A:B,2,FALSE),B184),PlayerValues!E:E,0)),"N/A")</f>
        <v>15241</v>
      </c>
      <c r="B184" s="4" t="s">
        <v>546</v>
      </c>
      <c r="C184" s="4" t="s">
        <v>283</v>
      </c>
      <c r="D184" s="94">
        <v>2671.0</v>
      </c>
    </row>
    <row r="185">
      <c r="A185" s="40">
        <f t="array" ref="A185">IFNA(index(PlayerValues!A:A,match(IFNA(vlookup(B185,'Special Names'!A:B,2,FALSE),B185),PlayerValues!E:E,0)),"N/A")</f>
        <v>14778</v>
      </c>
      <c r="B185" s="4" t="s">
        <v>564</v>
      </c>
      <c r="C185" s="4" t="s">
        <v>283</v>
      </c>
      <c r="D185" s="94">
        <v>2664.0</v>
      </c>
    </row>
    <row r="186">
      <c r="A186" s="40">
        <f t="array" ref="A186">IFNA(index(PlayerValues!A:A,match(IFNA(vlookup(B186,'Special Names'!A:B,2,FALSE),B186),PlayerValues!E:E,0)),"N/A")</f>
        <v>13674</v>
      </c>
      <c r="B186" s="4" t="s">
        <v>511</v>
      </c>
      <c r="C186" s="4" t="s">
        <v>298</v>
      </c>
      <c r="D186" s="94">
        <v>3072.0</v>
      </c>
    </row>
    <row r="187">
      <c r="A187" s="40">
        <f t="array" ref="A187">IFNA(index(PlayerValues!A:A,match(IFNA(vlookup(B187,'Special Names'!A:B,2,FALSE),B187),PlayerValues!E:E,0)),"N/A")</f>
        <v>16626</v>
      </c>
      <c r="B187" s="4" t="s">
        <v>515</v>
      </c>
      <c r="C187" s="4" t="s">
        <v>287</v>
      </c>
      <c r="D187" s="94">
        <v>2647.0</v>
      </c>
    </row>
    <row r="188">
      <c r="A188" s="40">
        <f t="array" ref="A188">IFNA(index(PlayerValues!A:A,match(IFNA(vlookup(B188,'Special Names'!A:B,2,FALSE),B188),PlayerValues!E:E,0)),"N/A")</f>
        <v>17080</v>
      </c>
      <c r="B188" s="4" t="s">
        <v>532</v>
      </c>
      <c r="C188" s="4" t="s">
        <v>287</v>
      </c>
      <c r="D188" s="94">
        <v>2644.0</v>
      </c>
    </row>
    <row r="189">
      <c r="A189" s="40">
        <f t="array" ref="A189">IFNA(index(PlayerValues!A:A,match(IFNA(vlookup(B189,'Special Names'!A:B,2,FALSE),B189),PlayerValues!E:E,0)),"N/A")</f>
        <v>17105</v>
      </c>
      <c r="B189" s="4" t="s">
        <v>525</v>
      </c>
      <c r="C189" s="4" t="s">
        <v>298</v>
      </c>
      <c r="D189" s="94">
        <v>3053.0</v>
      </c>
    </row>
    <row r="190">
      <c r="A190" s="40">
        <f t="array" ref="A190">IFNA(index(PlayerValues!A:A,match(IFNA(vlookup(B190,'Special Names'!A:B,2,FALSE),B190),PlayerValues!E:E,0)),"N/A")</f>
        <v>16174</v>
      </c>
      <c r="B190" s="4" t="s">
        <v>505</v>
      </c>
      <c r="C190" s="4" t="s">
        <v>278</v>
      </c>
      <c r="D190" s="94">
        <v>2640.0</v>
      </c>
    </row>
    <row r="191">
      <c r="A191" s="40">
        <f t="array" ref="A191">IFNA(index(PlayerValues!A:A,match(IFNA(vlookup(B191,'Special Names'!A:B,2,FALSE),B191),PlayerValues!E:E,0)),"N/A")</f>
        <v>16584</v>
      </c>
      <c r="B191" s="4" t="s">
        <v>569</v>
      </c>
      <c r="C191" s="4" t="s">
        <v>283</v>
      </c>
      <c r="D191" s="94">
        <v>2633.0</v>
      </c>
    </row>
    <row r="192">
      <c r="A192" s="40">
        <f t="array" ref="A192">IFNA(index(PlayerValues!A:A,match(IFNA(vlookup(B192,'Special Names'!A:B,2,FALSE),B192),PlayerValues!E:E,0)),"N/A")</f>
        <v>11244</v>
      </c>
      <c r="B192" s="4" t="s">
        <v>519</v>
      </c>
      <c r="C192" s="4" t="s">
        <v>298</v>
      </c>
      <c r="D192" s="94">
        <v>3040.0</v>
      </c>
    </row>
    <row r="193">
      <c r="A193" s="40">
        <f t="array" ref="A193">IFNA(index(PlayerValues!A:A,match(IFNA(vlookup(B193,'Special Names'!A:B,2,FALSE),B193),PlayerValues!E:E,0)),"N/A")</f>
        <v>17520</v>
      </c>
      <c r="B193" s="4" t="s">
        <v>518</v>
      </c>
      <c r="C193" s="4" t="s">
        <v>287</v>
      </c>
      <c r="D193" s="94">
        <v>2616.0</v>
      </c>
    </row>
    <row r="194">
      <c r="A194" s="40">
        <f t="array" ref="A194">IFNA(index(PlayerValues!A:A,match(IFNA(vlookup(B194,'Special Names'!A:B,2,FALSE),B194),PlayerValues!E:E,0)),"N/A")</f>
        <v>16596</v>
      </c>
      <c r="B194" s="4" t="s">
        <v>501</v>
      </c>
      <c r="C194" s="4" t="s">
        <v>278</v>
      </c>
      <c r="D194" s="94">
        <v>2612.0</v>
      </c>
    </row>
    <row r="195">
      <c r="A195" s="40">
        <f t="array" ref="A195">IFNA(index(PlayerValues!A:A,match(IFNA(vlookup(B195,'Special Names'!A:B,2,FALSE),B195),PlayerValues!E:E,0)),"N/A")</f>
        <v>16747</v>
      </c>
      <c r="B195" s="4" t="s">
        <v>555</v>
      </c>
      <c r="C195" s="4" t="s">
        <v>278</v>
      </c>
      <c r="D195" s="94">
        <v>2611.0</v>
      </c>
    </row>
    <row r="196">
      <c r="A196" s="40">
        <f t="array" ref="A196">IFNA(index(PlayerValues!A:A,match(IFNA(vlookup(B196,'Special Names'!A:B,2,FALSE),B196),PlayerValues!E:E,0)),"N/A")</f>
        <v>17098</v>
      </c>
      <c r="B196" s="4" t="s">
        <v>533</v>
      </c>
      <c r="C196" s="4" t="s">
        <v>287</v>
      </c>
      <c r="D196" s="94">
        <v>2611.0</v>
      </c>
    </row>
    <row r="197">
      <c r="A197" s="40">
        <f t="array" ref="A197">IFNA(index(PlayerValues!A:A,match(IFNA(vlookup(B197,'Special Names'!A:B,2,FALSE),B197),PlayerValues!E:E,0)),"N/A")</f>
        <v>17511</v>
      </c>
      <c r="B197" s="4" t="s">
        <v>485</v>
      </c>
      <c r="C197" s="4" t="s">
        <v>287</v>
      </c>
      <c r="D197" s="94">
        <v>2601.0</v>
      </c>
    </row>
    <row r="198">
      <c r="A198" s="40">
        <f t="array" ref="A198">IFNA(index(PlayerValues!A:A,match(IFNA(vlookup(B198,'Special Names'!A:B,2,FALSE),B198),PlayerValues!E:E,0)),"N/A")</f>
        <v>16164</v>
      </c>
      <c r="B198" s="4" t="s">
        <v>512</v>
      </c>
      <c r="C198" s="4" t="s">
        <v>278</v>
      </c>
      <c r="D198" s="94">
        <v>2598.0</v>
      </c>
    </row>
    <row r="199">
      <c r="A199" s="40">
        <f t="array" ref="A199">IFNA(index(PlayerValues!A:A,match(IFNA(vlookup(B199,'Special Names'!A:B,2,FALSE),B199),PlayerValues!E:E,0)),"N/A")</f>
        <v>17466</v>
      </c>
      <c r="B199" s="4" t="s">
        <v>492</v>
      </c>
      <c r="C199" s="4" t="s">
        <v>283</v>
      </c>
      <c r="D199" s="94">
        <v>2596.0</v>
      </c>
    </row>
    <row r="200">
      <c r="A200" s="40">
        <f t="array" ref="A200">IFNA(index(PlayerValues!A:A,match(IFNA(vlookup(B200,'Special Names'!A:B,2,FALSE),B200),PlayerValues!E:E,0)),"N/A")</f>
        <v>16178</v>
      </c>
      <c r="B200" s="4" t="s">
        <v>507</v>
      </c>
      <c r="C200" s="4" t="s">
        <v>278</v>
      </c>
      <c r="D200" s="94">
        <v>2590.0</v>
      </c>
    </row>
    <row r="201">
      <c r="A201" s="40">
        <f t="array" ref="A201">IFNA(index(PlayerValues!A:A,match(IFNA(vlookup(B201,'Special Names'!A:B,2,FALSE),B201),PlayerValues!E:E,0)),"N/A")</f>
        <v>12616</v>
      </c>
      <c r="B201" s="4" t="s">
        <v>529</v>
      </c>
      <c r="C201" s="4" t="s">
        <v>283</v>
      </c>
      <c r="D201" s="94">
        <v>2578.0</v>
      </c>
    </row>
    <row r="202">
      <c r="A202" s="40">
        <f t="array" ref="A202">IFNA(index(PlayerValues!A:A,match(IFNA(vlookup(B202,'Special Names'!A:B,2,FALSE),B202),PlayerValues!E:E,0)),"N/A")</f>
        <v>16204</v>
      </c>
      <c r="B202" s="4" t="s">
        <v>530</v>
      </c>
      <c r="C202" s="4" t="s">
        <v>287</v>
      </c>
      <c r="D202" s="94">
        <v>2578.0</v>
      </c>
    </row>
    <row r="203">
      <c r="A203" s="40" t="str">
        <f t="array" ref="A203">IFNA(index(PlayerValues!A:A,match(IFNA(vlookup(B203,'Special Names'!A:B,2,FALSE),B203),PlayerValues!E:E,0)),"N/A")</f>
        <v>N/A</v>
      </c>
      <c r="B203" s="4" t="s">
        <v>98</v>
      </c>
      <c r="C203" s="4" t="s">
        <v>325</v>
      </c>
      <c r="D203" s="94">
        <v>2575.0</v>
      </c>
    </row>
    <row r="204">
      <c r="A204" s="40">
        <f t="array" ref="A204">IFNA(index(PlayerValues!A:A,match(IFNA(vlookup(B204,'Special Names'!A:B,2,FALSE),B204),PlayerValues!E:E,0)),"N/A")</f>
        <v>15786</v>
      </c>
      <c r="B204" s="4" t="s">
        <v>521</v>
      </c>
      <c r="C204" s="4" t="s">
        <v>287</v>
      </c>
      <c r="D204" s="94">
        <v>2571.0</v>
      </c>
    </row>
    <row r="205">
      <c r="A205" s="40">
        <f t="array" ref="A205">IFNA(index(PlayerValues!A:A,match(IFNA(vlookup(B205,'Special Names'!A:B,2,FALSE),B205),PlayerValues!E:E,0)),"N/A")</f>
        <v>16287</v>
      </c>
      <c r="B205" s="4" t="s">
        <v>516</v>
      </c>
      <c r="C205" s="4" t="s">
        <v>287</v>
      </c>
      <c r="D205" s="94">
        <v>2563.0</v>
      </c>
    </row>
    <row r="206">
      <c r="A206" s="40">
        <f t="array" ref="A206">IFNA(index(PlayerValues!A:A,match(IFNA(vlookup(B206,'Special Names'!A:B,2,FALSE),B206),PlayerValues!E:E,0)),"N/A")</f>
        <v>16684</v>
      </c>
      <c r="B206" s="4" t="s">
        <v>500</v>
      </c>
      <c r="C206" s="4" t="s">
        <v>287</v>
      </c>
      <c r="D206" s="94">
        <v>2563.0</v>
      </c>
    </row>
    <row r="207">
      <c r="A207" s="40">
        <f t="array" ref="A207">IFNA(index(PlayerValues!A:A,match(IFNA(vlookup(B207,'Special Names'!A:B,2,FALSE),B207),PlayerValues!E:E,0)),"N/A")</f>
        <v>16165</v>
      </c>
      <c r="B207" s="4" t="s">
        <v>520</v>
      </c>
      <c r="C207" s="4" t="s">
        <v>278</v>
      </c>
      <c r="D207" s="94">
        <v>2557.0</v>
      </c>
    </row>
    <row r="208">
      <c r="A208" s="40">
        <f t="array" ref="A208">IFNA(index(PlayerValues!A:A,match(IFNA(vlookup(B208,'Special Names'!A:B,2,FALSE),B208),PlayerValues!E:E,0)),"N/A")</f>
        <v>16193</v>
      </c>
      <c r="B208" s="4" t="s">
        <v>487</v>
      </c>
      <c r="C208" s="4" t="s">
        <v>287</v>
      </c>
      <c r="D208" s="94">
        <v>2549.0</v>
      </c>
    </row>
    <row r="209">
      <c r="A209" s="40">
        <f t="array" ref="A209">IFNA(index(PlayerValues!A:A,match(IFNA(vlookup(B209,'Special Names'!A:B,2,FALSE),B209),PlayerValues!E:E,0)),"N/A")</f>
        <v>16619</v>
      </c>
      <c r="B209" s="4" t="s">
        <v>538</v>
      </c>
      <c r="C209" s="4" t="s">
        <v>287</v>
      </c>
      <c r="D209" s="94">
        <v>2527.0</v>
      </c>
    </row>
    <row r="210">
      <c r="A210" s="40">
        <f t="array" ref="A210">IFNA(index(PlayerValues!A:A,match(IFNA(vlookup(B210,'Special Names'!A:B,2,FALSE),B210),PlayerValues!E:E,0)),"N/A")</f>
        <v>14833</v>
      </c>
      <c r="B210" s="4" t="s">
        <v>553</v>
      </c>
      <c r="C210" s="4" t="s">
        <v>287</v>
      </c>
      <c r="D210" s="94">
        <v>2511.0</v>
      </c>
    </row>
    <row r="211">
      <c r="A211" s="40">
        <f t="array" ref="A211">IFNA(index(PlayerValues!A:A,match(IFNA(vlookup(B211,'Special Names'!A:B,2,FALSE),B211),PlayerValues!E:E,0)),"N/A")</f>
        <v>17108</v>
      </c>
      <c r="B211" s="4" t="s">
        <v>542</v>
      </c>
      <c r="C211" s="4" t="s">
        <v>298</v>
      </c>
      <c r="D211" s="94">
        <v>2916.0</v>
      </c>
    </row>
    <row r="212">
      <c r="A212" s="40" t="str">
        <f t="array" ref="A212">IFNA(index(PlayerValues!A:A,match(IFNA(vlookup(B212,'Special Names'!A:B,2,FALSE),B212),PlayerValues!E:E,0)),"N/A")</f>
        <v>N/A</v>
      </c>
      <c r="B212" s="4" t="s">
        <v>99</v>
      </c>
      <c r="C212" s="4" t="s">
        <v>325</v>
      </c>
      <c r="D212" s="94">
        <v>2499.0</v>
      </c>
    </row>
    <row r="213">
      <c r="A213" s="40">
        <f t="array" ref="A213">IFNA(index(PlayerValues!A:A,match(IFNA(vlookup(B213,'Special Names'!A:B,2,FALSE),B213),PlayerValues!E:E,0)),"N/A")</f>
        <v>17478</v>
      </c>
      <c r="B213" s="4" t="s">
        <v>527</v>
      </c>
      <c r="C213" s="4" t="s">
        <v>278</v>
      </c>
      <c r="D213" s="94">
        <v>2496.0</v>
      </c>
    </row>
    <row r="214">
      <c r="A214" s="40">
        <f t="array" ref="A214">IFNA(index(PlayerValues!A:A,match(IFNA(vlookup(B214,'Special Names'!A:B,2,FALSE),B214),PlayerValues!E:E,0)),"N/A")</f>
        <v>17073</v>
      </c>
      <c r="B214" s="4" t="s">
        <v>547</v>
      </c>
      <c r="C214" s="4" t="s">
        <v>287</v>
      </c>
      <c r="D214" s="94">
        <v>2474.0</v>
      </c>
    </row>
    <row r="215">
      <c r="A215" s="40">
        <f t="array" ref="A215">IFNA(index(PlayerValues!A:A,match(IFNA(vlookup(B215,'Special Names'!A:B,2,FALSE),B215),PlayerValues!E:E,0)),"N/A")</f>
        <v>17082</v>
      </c>
      <c r="B215" s="4" t="s">
        <v>498</v>
      </c>
      <c r="C215" s="4" t="s">
        <v>287</v>
      </c>
      <c r="D215" s="94">
        <v>2471.0</v>
      </c>
    </row>
    <row r="216">
      <c r="A216" s="40">
        <f t="array" ref="A216">IFNA(index(PlayerValues!A:A,match(IFNA(vlookup(B216,'Special Names'!A:B,2,FALSE),B216),PlayerValues!E:E,0)),"N/A")</f>
        <v>17474</v>
      </c>
      <c r="B216" s="4" t="s">
        <v>513</v>
      </c>
      <c r="C216" s="4" t="s">
        <v>278</v>
      </c>
      <c r="D216" s="94">
        <v>2469.0</v>
      </c>
    </row>
    <row r="217">
      <c r="A217" s="40">
        <f t="array" ref="A217">IFNA(index(PlayerValues!A:A,match(IFNA(vlookup(B217,'Special Names'!A:B,2,FALSE),B217),PlayerValues!E:E,0)),"N/A")</f>
        <v>17517</v>
      </c>
      <c r="B217" s="4" t="s">
        <v>454</v>
      </c>
      <c r="C217" s="4" t="s">
        <v>287</v>
      </c>
      <c r="D217" s="94">
        <v>2445.0</v>
      </c>
    </row>
    <row r="218">
      <c r="A218" s="40">
        <f t="array" ref="A218">IFNA(index(PlayerValues!A:A,match(IFNA(vlookup(B218,'Special Names'!A:B,2,FALSE),B218),PlayerValues!E:E,0)),"N/A")</f>
        <v>14860</v>
      </c>
      <c r="B218" s="4" t="s">
        <v>554</v>
      </c>
      <c r="C218" s="4" t="s">
        <v>287</v>
      </c>
      <c r="D218" s="94">
        <v>2440.0</v>
      </c>
    </row>
    <row r="219">
      <c r="A219" s="40">
        <f t="array" ref="A219">IFNA(index(PlayerValues!A:A,match(IFNA(vlookup(B219,'Special Names'!A:B,2,FALSE),B219),PlayerValues!E:E,0)),"N/A")</f>
        <v>16195</v>
      </c>
      <c r="B219" s="4" t="s">
        <v>509</v>
      </c>
      <c r="C219" s="4" t="s">
        <v>287</v>
      </c>
      <c r="D219" s="94">
        <v>2435.0</v>
      </c>
    </row>
    <row r="220">
      <c r="A220" s="40">
        <f t="array" ref="A220">IFNA(index(PlayerValues!A:A,match(IFNA(vlookup(B220,'Special Names'!A:B,2,FALSE),B220),PlayerValues!E:E,0)),"N/A")</f>
        <v>17508</v>
      </c>
      <c r="B220" s="4" t="s">
        <v>534</v>
      </c>
      <c r="C220" s="4" t="s">
        <v>287</v>
      </c>
      <c r="D220" s="94">
        <v>2428.0</v>
      </c>
    </row>
    <row r="221">
      <c r="A221" s="40">
        <f t="array" ref="A221">IFNA(index(PlayerValues!A:A,match(IFNA(vlookup(B221,'Special Names'!A:B,2,FALSE),B221),PlayerValues!E:E,0)),"N/A")</f>
        <v>17509</v>
      </c>
      <c r="B221" s="4" t="s">
        <v>551</v>
      </c>
      <c r="C221" s="4" t="s">
        <v>287</v>
      </c>
      <c r="D221" s="94">
        <v>2413.0</v>
      </c>
    </row>
    <row r="222">
      <c r="A222" s="40">
        <f t="array" ref="A222">IFNA(index(PlayerValues!A:A,match(IFNA(vlookup(B222,'Special Names'!A:B,2,FALSE),B222),PlayerValues!E:E,0)),"N/A")</f>
        <v>17078</v>
      </c>
      <c r="B222" s="4" t="s">
        <v>543</v>
      </c>
      <c r="C222" s="4" t="s">
        <v>287</v>
      </c>
      <c r="D222" s="94">
        <v>2394.0</v>
      </c>
    </row>
    <row r="223">
      <c r="A223" s="40">
        <f t="array" ref="A223">IFNA(index(PlayerValues!A:A,match(IFNA(vlookup(B223,'Special Names'!A:B,2,FALSE),B223),PlayerValues!E:E,0)),"N/A")</f>
        <v>15716</v>
      </c>
      <c r="B223" s="4" t="s">
        <v>545</v>
      </c>
      <c r="C223" s="4" t="s">
        <v>278</v>
      </c>
      <c r="D223" s="94">
        <v>2385.0</v>
      </c>
    </row>
    <row r="224">
      <c r="A224" s="40">
        <f t="array" ref="A224">IFNA(index(PlayerValues!A:A,match(IFNA(vlookup(B224,'Special Names'!A:B,2,FALSE),B224),PlayerValues!E:E,0)),"N/A")</f>
        <v>16617</v>
      </c>
      <c r="B224" s="4" t="s">
        <v>541</v>
      </c>
      <c r="C224" s="4" t="s">
        <v>287</v>
      </c>
      <c r="D224" s="94">
        <v>2380.0</v>
      </c>
    </row>
    <row r="225">
      <c r="A225" s="40">
        <f t="array" ref="A225">IFNA(index(PlayerValues!A:A,match(IFNA(vlookup(B225,'Special Names'!A:B,2,FALSE),B225),PlayerValues!E:E,0)),"N/A")</f>
        <v>12676</v>
      </c>
      <c r="B225" s="4" t="s">
        <v>537</v>
      </c>
      <c r="C225" s="4" t="s">
        <v>298</v>
      </c>
      <c r="D225" s="94">
        <v>2762.0</v>
      </c>
    </row>
    <row r="226">
      <c r="A226" s="40" t="str">
        <f t="array" ref="A226">IFNA(index(PlayerValues!A:A,match(IFNA(vlookup(B226,'Special Names'!A:B,2,FALSE),B226),PlayerValues!E:E,0)),"N/A")</f>
        <v>N/A</v>
      </c>
      <c r="B226" s="4" t="s">
        <v>86</v>
      </c>
      <c r="C226" s="4" t="s">
        <v>325</v>
      </c>
      <c r="D226" s="94">
        <v>2359.0</v>
      </c>
    </row>
    <row r="227">
      <c r="A227" s="40">
        <f t="array" ref="A227">IFNA(index(PlayerValues!A:A,match(IFNA(vlookup(B227,'Special Names'!A:B,2,FALSE),B227),PlayerValues!E:E,0)),"N/A")</f>
        <v>13319</v>
      </c>
      <c r="B227" s="4" t="s">
        <v>549</v>
      </c>
      <c r="C227" s="4" t="s">
        <v>278</v>
      </c>
      <c r="D227" s="94">
        <v>2356.0</v>
      </c>
    </row>
    <row r="228">
      <c r="A228" s="40">
        <f t="array" ref="A228">IFNA(index(PlayerValues!A:A,match(IFNA(vlookup(B228,'Special Names'!A:B,2,FALSE),B228),PlayerValues!E:E,0)),"N/A")</f>
        <v>17106</v>
      </c>
      <c r="B228" s="4" t="s">
        <v>550</v>
      </c>
      <c r="C228" s="4" t="s">
        <v>298</v>
      </c>
      <c r="D228" s="94">
        <v>2726.0</v>
      </c>
    </row>
    <row r="229">
      <c r="A229" s="40">
        <f t="array" ref="A229">IFNA(index(PlayerValues!A:A,match(IFNA(vlookup(B229,'Special Names'!A:B,2,FALSE),B229),PlayerValues!E:E,0)),"N/A")</f>
        <v>14861</v>
      </c>
      <c r="B229" s="4" t="s">
        <v>523</v>
      </c>
      <c r="C229" s="4" t="s">
        <v>298</v>
      </c>
      <c r="D229" s="94">
        <v>2715.0</v>
      </c>
    </row>
    <row r="230">
      <c r="A230" s="40">
        <f t="array" ref="A230">IFNA(index(PlayerValues!A:A,match(IFNA(vlookup(B230,'Special Names'!A:B,2,FALSE),B230),PlayerValues!E:E,0)),"N/A")</f>
        <v>15331</v>
      </c>
      <c r="B230" s="4" t="s">
        <v>560</v>
      </c>
      <c r="C230" s="4" t="s">
        <v>298</v>
      </c>
      <c r="D230" s="94">
        <v>2700.0</v>
      </c>
    </row>
    <row r="231">
      <c r="A231" s="40">
        <f t="array" ref="A231">IFNA(index(PlayerValues!A:A,match(IFNA(vlookup(B231,'Special Names'!A:B,2,FALSE),B231),PlayerValues!E:E,0)),"N/A")</f>
        <v>15802</v>
      </c>
      <c r="B231" s="4" t="s">
        <v>566</v>
      </c>
      <c r="C231" s="4" t="s">
        <v>298</v>
      </c>
      <c r="D231" s="94">
        <v>2697.0</v>
      </c>
    </row>
    <row r="232">
      <c r="A232" s="40" t="str">
        <f t="array" ref="A232">IFNA(index(PlayerValues!A:A,match(IFNA(vlookup(B232,'Special Names'!A:B,2,FALSE),B232),PlayerValues!E:E,0)),"N/A")</f>
        <v>N/A</v>
      </c>
      <c r="B232" s="4" t="s">
        <v>100</v>
      </c>
      <c r="C232" s="4" t="s">
        <v>325</v>
      </c>
      <c r="D232" s="94">
        <v>2300.0</v>
      </c>
    </row>
    <row r="233">
      <c r="A233" s="40">
        <f t="array" ref="A233">IFNA(index(PlayerValues!A:A,match(IFNA(vlookup(B233,'Special Names'!A:B,2,FALSE),B233),PlayerValues!E:E,0)),"N/A")</f>
        <v>15797</v>
      </c>
      <c r="B233" s="4" t="s">
        <v>556</v>
      </c>
      <c r="C233" s="4" t="s">
        <v>298</v>
      </c>
      <c r="D233" s="94">
        <v>2695.0</v>
      </c>
    </row>
    <row r="234">
      <c r="A234" s="40">
        <f t="array" ref="A234">IFNA(index(PlayerValues!A:A,match(IFNA(vlookup(B234,'Special Names'!A:B,2,FALSE),B234),PlayerValues!E:E,0)),"N/A")</f>
        <v>17547</v>
      </c>
      <c r="B234" s="4" t="s">
        <v>552</v>
      </c>
      <c r="C234" s="4" t="s">
        <v>298</v>
      </c>
      <c r="D234" s="94">
        <v>2680.0</v>
      </c>
    </row>
    <row r="235">
      <c r="A235" s="40">
        <f t="array" ref="A235">IFNA(index(PlayerValues!A:A,match(IFNA(vlookup(B235,'Special Names'!A:B,2,FALSE),B235),PlayerValues!E:E,0)),"N/A")</f>
        <v>17055</v>
      </c>
      <c r="B235" s="4" t="s">
        <v>565</v>
      </c>
      <c r="C235" s="4" t="s">
        <v>278</v>
      </c>
      <c r="D235" s="94">
        <v>2283.0</v>
      </c>
    </row>
    <row r="236">
      <c r="A236" s="40">
        <f t="array" ref="A236">IFNA(index(PlayerValues!A:A,match(IFNA(vlookup(B236,'Special Names'!A:B,2,FALSE),B236),PlayerValues!E:E,0)),"N/A")</f>
        <v>17171</v>
      </c>
      <c r="B236" s="4" t="s">
        <v>561</v>
      </c>
      <c r="C236" s="4" t="s">
        <v>287</v>
      </c>
      <c r="D236" s="94">
        <v>2279.0</v>
      </c>
    </row>
    <row r="237">
      <c r="A237" s="40">
        <f t="array" ref="A237">IFNA(index(PlayerValues!A:A,match(IFNA(vlookup(B237,'Special Names'!A:B,2,FALSE),B237),PlayerValues!E:E,0)),"N/A")</f>
        <v>16166</v>
      </c>
      <c r="B237" s="4" t="s">
        <v>567</v>
      </c>
      <c r="C237" s="4" t="s">
        <v>278</v>
      </c>
      <c r="D237" s="94">
        <v>2278.0</v>
      </c>
    </row>
    <row r="238">
      <c r="A238" s="40">
        <f t="array" ref="A238">IFNA(index(PlayerValues!A:A,match(IFNA(vlookup(B238,'Special Names'!A:B,2,FALSE),B238),PlayerValues!E:E,0)),"N/A")</f>
        <v>17482</v>
      </c>
      <c r="B238" s="4" t="s">
        <v>460</v>
      </c>
      <c r="C238" s="4" t="s">
        <v>278</v>
      </c>
      <c r="D238" s="94">
        <v>2276.0</v>
      </c>
    </row>
    <row r="239">
      <c r="A239" s="40">
        <f t="array" ref="A239">IFNA(index(PlayerValues!A:A,match(IFNA(vlookup(B239,'Special Names'!A:B,2,FALSE),B239),PlayerValues!E:E,0)),"N/A")</f>
        <v>17048</v>
      </c>
      <c r="B239" s="4" t="s">
        <v>539</v>
      </c>
      <c r="C239" s="4" t="s">
        <v>278</v>
      </c>
      <c r="D239" s="94">
        <v>2269.0</v>
      </c>
    </row>
    <row r="240">
      <c r="A240" s="40" t="str">
        <f t="array" ref="A240">IFNA(index(PlayerValues!A:A,match(IFNA(vlookup(B240,'Special Names'!A:B,2,FALSE),B240),PlayerValues!E:E,0)),"N/A")</f>
        <v>N/A</v>
      </c>
      <c r="B240" s="4" t="s">
        <v>557</v>
      </c>
      <c r="C240" s="4" t="s">
        <v>278</v>
      </c>
      <c r="D240" s="94">
        <v>2244.0</v>
      </c>
    </row>
    <row r="241">
      <c r="A241" s="40" t="str">
        <f t="array" ref="A241">IFNA(index(PlayerValues!A:A,match(IFNA(vlookup(B241,'Special Names'!A:B,2,FALSE),B241),PlayerValues!E:E,0)),"N/A")</f>
        <v>N/A</v>
      </c>
      <c r="B241" s="4" t="s">
        <v>112</v>
      </c>
      <c r="C241" s="4" t="s">
        <v>325</v>
      </c>
      <c r="D241" s="94">
        <v>2238.0</v>
      </c>
    </row>
    <row r="242">
      <c r="A242" s="40" t="str">
        <f t="array" ref="A242">IFNA(index(PlayerValues!A:A,match(IFNA(vlookup(B242,'Special Names'!A:B,2,FALSE),B242),PlayerValues!E:E,0)),"N/A")</f>
        <v>N/A</v>
      </c>
      <c r="B242" s="4" t="s">
        <v>87</v>
      </c>
      <c r="C242" s="4" t="s">
        <v>325</v>
      </c>
      <c r="D242" s="94">
        <v>2234.0</v>
      </c>
    </row>
    <row r="243">
      <c r="A243" s="40">
        <f t="array" ref="A243">IFNA(index(PlayerValues!A:A,match(IFNA(vlookup(B243,'Special Names'!A:B,2,FALSE),B243),PlayerValues!E:E,0)),"N/A")</f>
        <v>16757</v>
      </c>
      <c r="B243" s="4" t="s">
        <v>558</v>
      </c>
      <c r="C243" s="4" t="s">
        <v>278</v>
      </c>
      <c r="D243" s="94">
        <v>2215.0</v>
      </c>
    </row>
    <row r="244">
      <c r="A244" s="40">
        <f t="array" ref="A244">IFNA(index(PlayerValues!A:A,match(IFNA(vlookup(B244,'Special Names'!A:B,2,FALSE),B244),PlayerValues!E:E,0)),"N/A")</f>
        <v>13192</v>
      </c>
      <c r="B244" s="4" t="s">
        <v>563</v>
      </c>
      <c r="C244" s="4" t="s">
        <v>298</v>
      </c>
      <c r="D244" s="94">
        <v>2595.0</v>
      </c>
    </row>
    <row r="245">
      <c r="A245" s="40">
        <f t="array" ref="A245">IFNA(index(PlayerValues!A:A,match(IFNA(vlookup(B245,'Special Names'!A:B,2,FALSE),B245),PlayerValues!E:E,0)),"N/A")</f>
        <v>16610</v>
      </c>
      <c r="B245" s="4" t="s">
        <v>562</v>
      </c>
      <c r="C245" s="4" t="s">
        <v>278</v>
      </c>
      <c r="D245" s="94">
        <v>2203.0</v>
      </c>
    </row>
    <row r="246">
      <c r="A246" s="40">
        <f t="array" ref="A246">IFNA(index(PlayerValues!A:A,match(IFNA(vlookup(B246,'Special Names'!A:B,2,FALSE),B246),PlayerValues!E:E,0)),"N/A")</f>
        <v>11150</v>
      </c>
      <c r="B246" s="4" t="s">
        <v>559</v>
      </c>
      <c r="C246" s="4" t="s">
        <v>283</v>
      </c>
      <c r="D246" s="94">
        <v>2201.0</v>
      </c>
    </row>
    <row r="247">
      <c r="A247" s="40">
        <f t="array" ref="A247">IFNA(index(PlayerValues!A:A,match(IFNA(vlookup(B247,'Special Names'!A:B,2,FALSE),B247),PlayerValues!E:E,0)),"N/A")</f>
        <v>15749</v>
      </c>
      <c r="B247" s="4" t="s">
        <v>574</v>
      </c>
      <c r="C247" s="4" t="s">
        <v>278</v>
      </c>
      <c r="D247" s="94">
        <v>2197.0</v>
      </c>
    </row>
    <row r="248">
      <c r="A248" s="40">
        <f t="array" ref="A248">IFNA(index(PlayerValues!A:A,match(IFNA(vlookup(B248,'Special Names'!A:B,2,FALSE),B248),PlayerValues!E:E,0)),"N/A")</f>
        <v>17033</v>
      </c>
      <c r="B248" s="4" t="s">
        <v>570</v>
      </c>
      <c r="C248" s="4" t="s">
        <v>283</v>
      </c>
      <c r="D248" s="94">
        <v>2191.0</v>
      </c>
    </row>
    <row r="249">
      <c r="A249" s="40">
        <f t="array" ref="A249">IFNA(index(PlayerValues!A:A,match(IFNA(vlookup(B249,'Special Names'!A:B,2,FALSE),B249),PlayerValues!E:E,0)),"N/A")</f>
        <v>17607</v>
      </c>
      <c r="B249" s="4" t="s">
        <v>526</v>
      </c>
      <c r="C249" s="4" t="s">
        <v>298</v>
      </c>
      <c r="D249" s="94">
        <v>2576.0</v>
      </c>
    </row>
    <row r="250">
      <c r="A250" s="40">
        <f t="array" ref="A250">IFNA(index(PlayerValues!A:A,match(IFNA(vlookup(B250,'Special Names'!A:B,2,FALSE),B250),PlayerValues!E:E,0)),"N/A")</f>
        <v>13772</v>
      </c>
      <c r="B250" s="4" t="s">
        <v>544</v>
      </c>
      <c r="C250" s="4" t="s">
        <v>298</v>
      </c>
      <c r="D250" s="94">
        <v>2569.0</v>
      </c>
    </row>
    <row r="251">
      <c r="A251" s="40">
        <f t="array" ref="A251">IFNA(index(PlayerValues!A:A,match(IFNA(vlookup(B251,'Special Names'!A:B,2,FALSE),B251),PlayerValues!E:E,0)),"N/A")</f>
        <v>17481</v>
      </c>
      <c r="B251" s="4" t="s">
        <v>540</v>
      </c>
      <c r="C251" s="4" t="s">
        <v>278</v>
      </c>
      <c r="D251" s="94">
        <v>2176.0</v>
      </c>
    </row>
    <row r="252">
      <c r="A252" s="40">
        <f t="array" ref="A252">IFNA(index(PlayerValues!A:A,match(IFNA(vlookup(B252,'Special Names'!A:B,2,FALSE),B252),PlayerValues!E:E,0)),"N/A")</f>
        <v>16152</v>
      </c>
      <c r="B252" s="4" t="s">
        <v>601</v>
      </c>
      <c r="C252" s="4" t="s">
        <v>283</v>
      </c>
      <c r="D252" s="94">
        <v>2173.0</v>
      </c>
    </row>
    <row r="253">
      <c r="A253" s="40">
        <f t="array" ref="A253">IFNA(index(PlayerValues!A:A,match(IFNA(vlookup(B253,'Special Names'!A:B,2,FALSE),B253),PlayerValues!E:E,0)),"N/A")</f>
        <v>17134</v>
      </c>
      <c r="B253" s="4" t="s">
        <v>548</v>
      </c>
      <c r="C253" s="4" t="s">
        <v>287</v>
      </c>
      <c r="D253" s="94">
        <v>2163.0</v>
      </c>
    </row>
    <row r="254">
      <c r="A254" s="40">
        <f t="array" ref="A254">IFNA(index(PlayerValues!A:A,match(IFNA(vlookup(B254,'Special Names'!A:B,2,FALSE),B254),PlayerValues!E:E,0)),"N/A")</f>
        <v>17567</v>
      </c>
      <c r="B254" s="4" t="s">
        <v>571</v>
      </c>
      <c r="C254" s="4" t="s">
        <v>298</v>
      </c>
      <c r="D254" s="94">
        <v>2542.0</v>
      </c>
    </row>
    <row r="255">
      <c r="A255" s="40">
        <f t="array" ref="A255">IFNA(index(PlayerValues!A:A,match(IFNA(vlookup(B255,'Special Names'!A:B,2,FALSE),B255),PlayerValues!E:E,0)),"N/A")</f>
        <v>16604</v>
      </c>
      <c r="B255" s="4" t="s">
        <v>476</v>
      </c>
      <c r="C255" s="4" t="s">
        <v>278</v>
      </c>
      <c r="D255" s="94">
        <v>2140.0</v>
      </c>
    </row>
    <row r="256">
      <c r="A256" s="40">
        <f t="array" ref="A256">IFNA(index(PlayerValues!A:A,match(IFNA(vlookup(B256,'Special Names'!A:B,2,FALSE),B256),PlayerValues!E:E,0)),"N/A")</f>
        <v>12186</v>
      </c>
      <c r="B256" s="4" t="s">
        <v>497</v>
      </c>
      <c r="C256" s="4" t="s">
        <v>287</v>
      </c>
      <c r="D256" s="94">
        <v>2139.0</v>
      </c>
    </row>
    <row r="257">
      <c r="A257" s="40">
        <f t="array" ref="A257">IFNA(index(PlayerValues!A:A,match(IFNA(vlookup(B257,'Special Names'!A:B,2,FALSE),B257),PlayerValues!E:E,0)),"N/A")</f>
        <v>16212</v>
      </c>
      <c r="B257" s="4" t="s">
        <v>568</v>
      </c>
      <c r="C257" s="4" t="s">
        <v>298</v>
      </c>
      <c r="D257" s="94">
        <v>2522.0</v>
      </c>
    </row>
    <row r="258">
      <c r="A258" s="40">
        <f t="array" ref="A258">IFNA(index(PlayerValues!A:A,match(IFNA(vlookup(B258,'Special Names'!A:B,2,FALSE),B258),PlayerValues!E:E,0)),"N/A")</f>
        <v>17069</v>
      </c>
      <c r="B258" s="4" t="s">
        <v>604</v>
      </c>
      <c r="C258" s="4" t="s">
        <v>278</v>
      </c>
      <c r="D258" s="94">
        <v>2128.0</v>
      </c>
    </row>
    <row r="259">
      <c r="A259" s="40">
        <f t="array" ref="A259">IFNA(index(PlayerValues!A:A,match(IFNA(vlookup(B259,'Special Names'!A:B,2,FALSE),B259),PlayerValues!E:E,0)),"N/A")</f>
        <v>16649</v>
      </c>
      <c r="B259" s="4" t="s">
        <v>586</v>
      </c>
      <c r="C259" s="4" t="s">
        <v>298</v>
      </c>
      <c r="D259" s="94">
        <v>2506.0</v>
      </c>
    </row>
    <row r="260">
      <c r="A260" s="40" t="str">
        <f t="array" ref="A260">IFNA(index(PlayerValues!A:A,match(IFNA(vlookup(B260,'Special Names'!A:B,2,FALSE),B260),PlayerValues!E:E,0)),"N/A")</f>
        <v>N/A</v>
      </c>
      <c r="B260" s="4" t="s">
        <v>113</v>
      </c>
      <c r="C260" s="4" t="s">
        <v>325</v>
      </c>
      <c r="D260" s="94">
        <v>2115.0</v>
      </c>
    </row>
    <row r="261">
      <c r="A261" s="40">
        <f t="array" ref="A261">IFNA(index(PlayerValues!A:A,match(IFNA(vlookup(B261,'Special Names'!A:B,2,FALSE),B261),PlayerValues!E:E,0)),"N/A")</f>
        <v>16594</v>
      </c>
      <c r="B261" s="4" t="s">
        <v>607</v>
      </c>
      <c r="C261" s="4" t="s">
        <v>278</v>
      </c>
      <c r="D261" s="94">
        <v>2110.0</v>
      </c>
    </row>
    <row r="262">
      <c r="A262" s="40">
        <f t="array" ref="A262">IFNA(index(PlayerValues!A:A,match(IFNA(vlookup(B262,'Special Names'!A:B,2,FALSE),B262),PlayerValues!E:E,0)),"N/A")</f>
        <v>17485</v>
      </c>
      <c r="B262" s="4" t="s">
        <v>522</v>
      </c>
      <c r="C262" s="4" t="s">
        <v>278</v>
      </c>
      <c r="D262" s="94">
        <v>2086.0</v>
      </c>
    </row>
    <row r="263">
      <c r="A263" s="40">
        <f t="array" ref="A263">IFNA(index(PlayerValues!A:A,match(IFNA(vlookup(B263,'Special Names'!A:B,2,FALSE),B263),PlayerValues!E:E,0)),"N/A")</f>
        <v>17079</v>
      </c>
      <c r="B263" s="4" t="s">
        <v>572</v>
      </c>
      <c r="C263" s="4" t="s">
        <v>287</v>
      </c>
      <c r="D263" s="94">
        <v>2081.0</v>
      </c>
    </row>
    <row r="264">
      <c r="A264" s="40">
        <f t="array" ref="A264">IFNA(index(PlayerValues!A:A,match(IFNA(vlookup(B264,'Special Names'!A:B,2,FALSE),B264),PlayerValues!E:E,0)),"N/A")</f>
        <v>16036</v>
      </c>
      <c r="B264" s="4" t="s">
        <v>592</v>
      </c>
      <c r="C264" s="4" t="s">
        <v>298</v>
      </c>
      <c r="D264" s="94">
        <v>2469.0</v>
      </c>
    </row>
    <row r="265">
      <c r="A265" s="40">
        <f t="array" ref="A265">IFNA(index(PlayerValues!A:A,match(IFNA(vlookup(B265,'Special Names'!A:B,2,FALSE),B265),PlayerValues!E:E,0)),"N/A")</f>
        <v>17599</v>
      </c>
      <c r="B265" s="4" t="s">
        <v>496</v>
      </c>
      <c r="C265" s="4" t="s">
        <v>287</v>
      </c>
      <c r="D265" s="94">
        <v>2061.0</v>
      </c>
    </row>
    <row r="266">
      <c r="A266" s="40">
        <f t="array" ref="A266">IFNA(index(PlayerValues!A:A,match(IFNA(vlookup(B266,'Special Names'!A:B,2,FALSE),B266),PlayerValues!E:E,0)),"N/A")</f>
        <v>17061</v>
      </c>
      <c r="B266" s="4" t="s">
        <v>580</v>
      </c>
      <c r="C266" s="4" t="s">
        <v>278</v>
      </c>
      <c r="D266" s="94">
        <v>2057.0</v>
      </c>
    </row>
    <row r="267">
      <c r="A267" s="40">
        <f t="array" ref="A267">IFNA(index(PlayerValues!A:A,match(IFNA(vlookup(B267,'Special Names'!A:B,2,FALSE),B267),PlayerValues!E:E,0)),"N/A")</f>
        <v>17076</v>
      </c>
      <c r="B267" s="4" t="s">
        <v>585</v>
      </c>
      <c r="C267" s="4" t="s">
        <v>287</v>
      </c>
      <c r="D267" s="94">
        <v>2054.0</v>
      </c>
    </row>
    <row r="268">
      <c r="A268" s="40">
        <f t="array" ref="A268">IFNA(index(PlayerValues!A:A,match(IFNA(vlookup(B268,'Special Names'!A:B,2,FALSE),B268),PlayerValues!E:E,0)),"N/A")</f>
        <v>17528</v>
      </c>
      <c r="B268" s="4" t="s">
        <v>579</v>
      </c>
      <c r="C268" s="4" t="s">
        <v>287</v>
      </c>
      <c r="D268" s="94">
        <v>2052.0</v>
      </c>
    </row>
    <row r="269">
      <c r="A269" s="40">
        <f t="array" ref="A269">IFNA(index(PlayerValues!A:A,match(IFNA(vlookup(B269,'Special Names'!A:B,2,FALSE),B269),PlayerValues!E:E,0)),"N/A")</f>
        <v>16189</v>
      </c>
      <c r="B269" s="4" t="s">
        <v>582</v>
      </c>
      <c r="C269" s="4" t="s">
        <v>287</v>
      </c>
      <c r="D269" s="94">
        <v>2050.0</v>
      </c>
    </row>
    <row r="270">
      <c r="A270" s="40">
        <f t="array" ref="A270">IFNA(index(PlayerValues!A:A,match(IFNA(vlookup(B270,'Special Names'!A:B,2,FALSE),B270),PlayerValues!E:E,0)),"N/A")</f>
        <v>17060</v>
      </c>
      <c r="B270" s="4" t="s">
        <v>603</v>
      </c>
      <c r="C270" s="4" t="s">
        <v>278</v>
      </c>
      <c r="D270" s="94">
        <v>2049.0</v>
      </c>
    </row>
    <row r="271">
      <c r="A271" s="40" t="str">
        <f t="array" ref="A271">IFNA(index(PlayerValues!A:A,match(IFNA(vlookup(B271,'Special Names'!A:B,2,FALSE),B271),PlayerValues!E:E,0)),"N/A")</f>
        <v>N/A</v>
      </c>
      <c r="B271" s="4" t="s">
        <v>88</v>
      </c>
      <c r="C271" s="4" t="s">
        <v>325</v>
      </c>
      <c r="D271" s="94">
        <v>2038.0</v>
      </c>
    </row>
    <row r="272">
      <c r="A272" s="40">
        <f t="array" ref="A272">IFNA(index(PlayerValues!A:A,match(IFNA(vlookup(B272,'Special Names'!A:B,2,FALSE),B272),PlayerValues!E:E,0)),"N/A")</f>
        <v>13132</v>
      </c>
      <c r="B272" s="4" t="s">
        <v>598</v>
      </c>
      <c r="C272" s="4" t="s">
        <v>278</v>
      </c>
      <c r="D272" s="94">
        <v>2037.0</v>
      </c>
    </row>
    <row r="273">
      <c r="A273" s="40">
        <f t="array" ref="A273">IFNA(index(PlayerValues!A:A,match(IFNA(vlookup(B273,'Special Names'!A:B,2,FALSE),B273),PlayerValues!E:E,0)),"N/A")</f>
        <v>17468</v>
      </c>
      <c r="B273" s="4" t="s">
        <v>514</v>
      </c>
      <c r="C273" s="4" t="s">
        <v>283</v>
      </c>
      <c r="D273" s="94">
        <v>2014.0</v>
      </c>
    </row>
    <row r="274">
      <c r="A274" s="40">
        <f t="array" ref="A274">IFNA(index(PlayerValues!A:A,match(IFNA(vlookup(B274,'Special Names'!A:B,2,FALSE),B274),PlayerValues!E:E,0)),"N/A")</f>
        <v>13113</v>
      </c>
      <c r="B274" s="4" t="s">
        <v>606</v>
      </c>
      <c r="C274" s="4" t="s">
        <v>283</v>
      </c>
      <c r="D274" s="94">
        <v>2009.0</v>
      </c>
    </row>
    <row r="275">
      <c r="A275" s="40">
        <f t="array" ref="A275">IFNA(index(PlayerValues!A:A,match(IFNA(vlookup(B275,'Special Names'!A:B,2,FALSE),B275),PlayerValues!E:E,0)),"N/A")</f>
        <v>15238</v>
      </c>
      <c r="B275" s="4" t="s">
        <v>613</v>
      </c>
      <c r="C275" s="4" t="s">
        <v>283</v>
      </c>
      <c r="D275" s="94">
        <v>1999.0</v>
      </c>
    </row>
    <row r="276">
      <c r="A276" s="40">
        <f t="array" ref="A276">IFNA(index(PlayerValues!A:A,match(IFNA(vlookup(B276,'Special Names'!A:B,2,FALSE),B276),PlayerValues!E:E,0)),"N/A")</f>
        <v>16778</v>
      </c>
      <c r="B276" s="4" t="s">
        <v>577</v>
      </c>
      <c r="C276" s="4" t="s">
        <v>287</v>
      </c>
      <c r="D276" s="94">
        <v>1998.0</v>
      </c>
    </row>
    <row r="277">
      <c r="A277" s="40">
        <f t="array" ref="A277">IFNA(index(PlayerValues!A:A,match(IFNA(vlookup(B277,'Special Names'!A:B,2,FALSE),B277),PlayerValues!E:E,0)),"N/A")</f>
        <v>15293</v>
      </c>
      <c r="B277" s="4" t="s">
        <v>578</v>
      </c>
      <c r="C277" s="4" t="s">
        <v>287</v>
      </c>
      <c r="D277" s="94">
        <v>1997.0</v>
      </c>
    </row>
    <row r="278">
      <c r="A278" s="40">
        <f t="array" ref="A278">IFNA(index(PlayerValues!A:A,match(IFNA(vlookup(B278,'Special Names'!A:B,2,FALSE),B278),PlayerValues!E:E,0)),"N/A")</f>
        <v>14974</v>
      </c>
      <c r="B278" s="4" t="s">
        <v>611</v>
      </c>
      <c r="C278" s="4" t="s">
        <v>287</v>
      </c>
      <c r="D278" s="94">
        <v>1988.0</v>
      </c>
    </row>
    <row r="279">
      <c r="A279" s="40" t="str">
        <f t="array" ref="A279">IFNA(index(PlayerValues!A:A,match(IFNA(vlookup(B279,'Special Names'!A:B,2,FALSE),B279),PlayerValues!E:E,0)),"N/A")</f>
        <v>N/A</v>
      </c>
      <c r="B279" s="4" t="s">
        <v>114</v>
      </c>
      <c r="C279" s="4" t="s">
        <v>325</v>
      </c>
      <c r="D279" s="94">
        <v>1984.0</v>
      </c>
    </row>
    <row r="280">
      <c r="A280" s="40">
        <f t="array" ref="A280">IFNA(index(PlayerValues!A:A,match(IFNA(vlookup(B280,'Special Names'!A:B,2,FALSE),B280),PlayerValues!E:E,0)),"N/A")</f>
        <v>14867</v>
      </c>
      <c r="B280" s="4" t="s">
        <v>591</v>
      </c>
      <c r="C280" s="4" t="s">
        <v>298</v>
      </c>
      <c r="D280" s="94">
        <v>2365.0</v>
      </c>
    </row>
    <row r="281">
      <c r="A281" s="40">
        <f t="array" ref="A281">IFNA(index(PlayerValues!A:A,match(IFNA(vlookup(B281,'Special Names'!A:B,2,FALSE),B281),PlayerValues!E:E,0)),"N/A")</f>
        <v>16643</v>
      </c>
      <c r="B281" s="4" t="s">
        <v>609</v>
      </c>
      <c r="C281" s="4" t="s">
        <v>298</v>
      </c>
      <c r="D281" s="94">
        <v>2358.0</v>
      </c>
    </row>
    <row r="282">
      <c r="A282" s="40">
        <f t="array" ref="A282">IFNA(index(PlayerValues!A:A,match(IFNA(vlookup(B282,'Special Names'!A:B,2,FALSE),B282),PlayerValues!E:E,0)),"N/A")</f>
        <v>17056</v>
      </c>
      <c r="B282" s="4" t="s">
        <v>581</v>
      </c>
      <c r="C282" s="4" t="s">
        <v>278</v>
      </c>
      <c r="D282" s="94">
        <v>1944.0</v>
      </c>
    </row>
    <row r="283">
      <c r="A283" s="40">
        <f t="array" ref="A283">IFNA(index(PlayerValues!A:A,match(IFNA(vlookup(B283,'Special Names'!A:B,2,FALSE),B283),PlayerValues!E:E,0)),"N/A")</f>
        <v>17467</v>
      </c>
      <c r="B283" s="4" t="s">
        <v>575</v>
      </c>
      <c r="C283" s="4" t="s">
        <v>283</v>
      </c>
      <c r="D283" s="94">
        <v>1937.0</v>
      </c>
    </row>
    <row r="284">
      <c r="A284" s="40">
        <f t="array" ref="A284">IFNA(index(PlayerValues!A:A,match(IFNA(vlookup(B284,'Special Names'!A:B,2,FALSE),B284),PlayerValues!E:E,0)),"N/A")</f>
        <v>14871</v>
      </c>
      <c r="B284" s="4" t="s">
        <v>584</v>
      </c>
      <c r="C284" s="4" t="s">
        <v>298</v>
      </c>
      <c r="D284" s="94">
        <v>2322.0</v>
      </c>
    </row>
    <row r="285">
      <c r="A285" s="40">
        <f t="array" ref="A285">IFNA(index(PlayerValues!A:A,match(IFNA(vlookup(B285,'Special Names'!A:B,2,FALSE),B285),PlayerValues!E:E,0)),"N/A")</f>
        <v>17184</v>
      </c>
      <c r="B285" s="4" t="s">
        <v>588</v>
      </c>
      <c r="C285" s="4" t="s">
        <v>287</v>
      </c>
      <c r="D285" s="94">
        <v>1935.0</v>
      </c>
    </row>
    <row r="286">
      <c r="A286" s="40">
        <f t="array" ref="A286">IFNA(index(PlayerValues!A:A,match(IFNA(vlookup(B286,'Special Names'!A:B,2,FALSE),B286),PlayerValues!E:E,0)),"N/A")</f>
        <v>7836</v>
      </c>
      <c r="B286" s="4" t="s">
        <v>590</v>
      </c>
      <c r="C286" s="4" t="s">
        <v>283</v>
      </c>
      <c r="D286" s="94">
        <v>1929.0</v>
      </c>
    </row>
    <row r="287">
      <c r="A287" s="40">
        <f t="array" ref="A287">IFNA(index(PlayerValues!A:A,match(IFNA(vlookup(B287,'Special Names'!A:B,2,FALSE),B287),PlayerValues!E:E,0)),"N/A")</f>
        <v>16603</v>
      </c>
      <c r="B287" s="4" t="s">
        <v>587</v>
      </c>
      <c r="C287" s="4" t="s">
        <v>278</v>
      </c>
      <c r="D287" s="94">
        <v>1927.0</v>
      </c>
    </row>
    <row r="288">
      <c r="A288" s="40">
        <f t="array" ref="A288">IFNA(index(PlayerValues!A:A,match(IFNA(vlookup(B288,'Special Names'!A:B,2,FALSE),B288),PlayerValues!E:E,0)),"N/A")</f>
        <v>17046</v>
      </c>
      <c r="B288" s="4" t="s">
        <v>602</v>
      </c>
      <c r="C288" s="4" t="s">
        <v>278</v>
      </c>
      <c r="D288" s="94">
        <v>1926.0</v>
      </c>
    </row>
    <row r="289">
      <c r="A289" s="40">
        <f t="array" ref="A289">IFNA(index(PlayerValues!A:A,match(IFNA(vlookup(B289,'Special Names'!A:B,2,FALSE),B289),PlayerValues!E:E,0)),"N/A")</f>
        <v>17087</v>
      </c>
      <c r="B289" s="4" t="s">
        <v>600</v>
      </c>
      <c r="C289" s="4" t="s">
        <v>287</v>
      </c>
      <c r="D289" s="94">
        <v>1919.0</v>
      </c>
    </row>
    <row r="290">
      <c r="A290" s="40">
        <f t="array" ref="A290">IFNA(index(PlayerValues!A:A,match(IFNA(vlookup(B290,'Special Names'!A:B,2,FALSE),B290),PlayerValues!E:E,0)),"N/A")</f>
        <v>16432</v>
      </c>
      <c r="B290" s="4" t="s">
        <v>620</v>
      </c>
      <c r="C290" s="4" t="s">
        <v>278</v>
      </c>
      <c r="D290" s="94">
        <v>1906.0</v>
      </c>
    </row>
    <row r="291">
      <c r="A291" s="40">
        <f t="array" ref="A291">IFNA(index(PlayerValues!A:A,match(IFNA(vlookup(B291,'Special Names'!A:B,2,FALSE),B291),PlayerValues!E:E,0)),"N/A")</f>
        <v>16216</v>
      </c>
      <c r="B291" s="4" t="s">
        <v>595</v>
      </c>
      <c r="C291" s="4" t="s">
        <v>298</v>
      </c>
      <c r="D291" s="94">
        <v>2284.0</v>
      </c>
    </row>
    <row r="292">
      <c r="A292" s="40">
        <f t="array" ref="A292">IFNA(index(PlayerValues!A:A,match(IFNA(vlookup(B292,'Special Names'!A:B,2,FALSE),B292),PlayerValues!E:E,0)),"N/A")</f>
        <v>16342</v>
      </c>
      <c r="B292" s="4" t="s">
        <v>583</v>
      </c>
      <c r="C292" s="4" t="s">
        <v>287</v>
      </c>
      <c r="D292" s="94">
        <v>1883.0</v>
      </c>
    </row>
    <row r="293">
      <c r="A293" s="40">
        <f t="array" ref="A293">IFNA(index(PlayerValues!A:A,match(IFNA(vlookup(B293,'Special Names'!A:B,2,FALSE),B293),PlayerValues!E:E,0)),"N/A")</f>
        <v>16639</v>
      </c>
      <c r="B293" s="4" t="s">
        <v>599</v>
      </c>
      <c r="C293" s="4" t="s">
        <v>287</v>
      </c>
      <c r="D293" s="94">
        <v>1873.0</v>
      </c>
    </row>
    <row r="294">
      <c r="A294" s="40">
        <f t="array" ref="A294">IFNA(index(PlayerValues!A:A,match(IFNA(vlookup(B294,'Special Names'!A:B,2,FALSE),B294),PlayerValues!E:E,0)),"N/A")</f>
        <v>16752</v>
      </c>
      <c r="B294" s="4" t="s">
        <v>597</v>
      </c>
      <c r="C294" s="4" t="s">
        <v>278</v>
      </c>
      <c r="D294" s="94">
        <v>1873.0</v>
      </c>
    </row>
    <row r="295">
      <c r="A295" s="40">
        <f t="array" ref="A295">IFNA(index(PlayerValues!A:A,match(IFNA(vlookup(B295,'Special Names'!A:B,2,FALSE),B295),PlayerValues!E:E,0)),"N/A")</f>
        <v>14136</v>
      </c>
      <c r="B295" s="4" t="s">
        <v>536</v>
      </c>
      <c r="C295" s="4" t="s">
        <v>287</v>
      </c>
      <c r="D295" s="94">
        <v>1852.0</v>
      </c>
    </row>
    <row r="296">
      <c r="A296" s="40">
        <f t="array" ref="A296">IFNA(index(PlayerValues!A:A,match(IFNA(vlookup(B296,'Special Names'!A:B,2,FALSE),B296),PlayerValues!E:E,0)),"N/A")</f>
        <v>17548</v>
      </c>
      <c r="B296" s="4" t="s">
        <v>594</v>
      </c>
      <c r="C296" s="4" t="s">
        <v>298</v>
      </c>
      <c r="D296" s="94">
        <v>2235.0</v>
      </c>
    </row>
    <row r="297">
      <c r="A297" s="40">
        <f t="array" ref="A297">IFNA(index(PlayerValues!A:A,match(IFNA(vlookup(B297,'Special Names'!A:B,2,FALSE),B297),PlayerValues!E:E,0)),"N/A")</f>
        <v>10700</v>
      </c>
      <c r="B297" s="4" t="s">
        <v>596</v>
      </c>
      <c r="C297" s="4" t="s">
        <v>283</v>
      </c>
      <c r="D297" s="94">
        <v>1848.0</v>
      </c>
    </row>
    <row r="298">
      <c r="A298" s="40">
        <f t="array" ref="A298">IFNA(index(PlayerValues!A:A,match(IFNA(vlookup(B298,'Special Names'!A:B,2,FALSE),B298),PlayerValues!E:E,0)),"N/A")</f>
        <v>13633</v>
      </c>
      <c r="B298" s="4" t="s">
        <v>625</v>
      </c>
      <c r="C298" s="4" t="s">
        <v>287</v>
      </c>
      <c r="D298" s="94">
        <v>1845.0</v>
      </c>
    </row>
    <row r="299">
      <c r="A299" s="40">
        <f t="array" ref="A299">IFNA(index(PlayerValues!A:A,match(IFNA(vlookup(B299,'Special Names'!A:B,2,FALSE),B299),PlayerValues!E:E,0)),"N/A")</f>
        <v>17086</v>
      </c>
      <c r="B299" s="4" t="s">
        <v>612</v>
      </c>
      <c r="C299" s="4" t="s">
        <v>287</v>
      </c>
      <c r="D299" s="94">
        <v>1840.0</v>
      </c>
    </row>
    <row r="300">
      <c r="A300" s="40">
        <f t="array" ref="A300">IFNA(index(PlayerValues!A:A,match(IFNA(vlookup(B300,'Special Names'!A:B,2,FALSE),B300),PlayerValues!E:E,0)),"N/A")</f>
        <v>15788</v>
      </c>
      <c r="B300" s="4" t="s">
        <v>627</v>
      </c>
      <c r="C300" s="4" t="s">
        <v>287</v>
      </c>
      <c r="D300" s="94">
        <v>1835.0</v>
      </c>
    </row>
    <row r="301">
      <c r="A301" s="40" t="str">
        <f t="array" ref="A301">IFNA(index(PlayerValues!A:A,match(IFNA(vlookup(B301,'Special Names'!A:B,2,FALSE),B301),PlayerValues!E:E,0)),"N/A")</f>
        <v>N/A</v>
      </c>
      <c r="B301" s="4" t="s">
        <v>101</v>
      </c>
      <c r="C301" s="4" t="s">
        <v>325</v>
      </c>
      <c r="D301" s="94">
        <v>1830.0</v>
      </c>
    </row>
    <row r="302">
      <c r="A302" s="40">
        <f t="array" ref="A302">IFNA(index(PlayerValues!A:A,match(IFNA(vlookup(B302,'Special Names'!A:B,2,FALSE),B302),PlayerValues!E:E,0)),"N/A")</f>
        <v>13629</v>
      </c>
      <c r="B302" s="4" t="s">
        <v>619</v>
      </c>
      <c r="C302" s="4" t="s">
        <v>287</v>
      </c>
      <c r="D302" s="94">
        <v>1826.0</v>
      </c>
    </row>
    <row r="303">
      <c r="A303" s="40">
        <f t="array" ref="A303">IFNA(index(PlayerValues!A:A,match(IFNA(vlookup(B303,'Special Names'!A:B,2,FALSE),B303),PlayerValues!E:E,0)),"N/A")</f>
        <v>17036</v>
      </c>
      <c r="B303" s="4" t="s">
        <v>617</v>
      </c>
      <c r="C303" s="4" t="s">
        <v>283</v>
      </c>
      <c r="D303" s="94">
        <v>1825.0</v>
      </c>
    </row>
    <row r="304">
      <c r="A304" s="40">
        <f t="array" ref="A304">IFNA(index(PlayerValues!A:A,match(IFNA(vlookup(B304,'Special Names'!A:B,2,FALSE),B304),PlayerValues!E:E,0)),"N/A")</f>
        <v>16644</v>
      </c>
      <c r="B304" s="4" t="s">
        <v>640</v>
      </c>
      <c r="C304" s="4" t="s">
        <v>298</v>
      </c>
      <c r="D304" s="94">
        <v>2150.0</v>
      </c>
    </row>
    <row r="305">
      <c r="A305" s="40">
        <f t="array" ref="A305">IFNA(index(PlayerValues!A:A,match(IFNA(vlookup(B305,'Special Names'!A:B,2,FALSE),B305),PlayerValues!E:E,0)),"N/A")</f>
        <v>17519</v>
      </c>
      <c r="B305" s="4" t="s">
        <v>593</v>
      </c>
      <c r="C305" s="4" t="s">
        <v>287</v>
      </c>
      <c r="D305" s="94">
        <v>1766.0</v>
      </c>
    </row>
    <row r="306">
      <c r="A306" s="40">
        <f t="array" ref="A306">IFNA(index(PlayerValues!A:A,match(IFNA(vlookup(B306,'Special Names'!A:B,2,FALSE),B306),PlayerValues!E:E,0)),"N/A")</f>
        <v>13189</v>
      </c>
      <c r="B306" s="4" t="s">
        <v>626</v>
      </c>
      <c r="C306" s="4" t="s">
        <v>298</v>
      </c>
      <c r="D306" s="94">
        <v>2143.0</v>
      </c>
    </row>
    <row r="307">
      <c r="A307" s="40" t="str">
        <f t="array" ref="A307">IFNA(index(PlayerValues!A:A,match(IFNA(vlookup(B307,'Special Names'!A:B,2,FALSE),B307),PlayerValues!E:E,0)),"N/A")</f>
        <v>N/A</v>
      </c>
      <c r="B307" s="4" t="s">
        <v>89</v>
      </c>
      <c r="C307" s="4" t="s">
        <v>325</v>
      </c>
      <c r="D307" s="94">
        <v>1761.0</v>
      </c>
    </row>
    <row r="308">
      <c r="A308" s="40">
        <f t="array" ref="A308">IFNA(index(PlayerValues!A:A,match(IFNA(vlookup(B308,'Special Names'!A:B,2,FALSE),B308),PlayerValues!E:E,0)),"N/A")</f>
        <v>16215</v>
      </c>
      <c r="B308" s="4" t="s">
        <v>637</v>
      </c>
      <c r="C308" s="4" t="s">
        <v>298</v>
      </c>
      <c r="D308" s="94">
        <v>2130.0</v>
      </c>
    </row>
    <row r="309">
      <c r="A309" s="40">
        <f t="array" ref="A309">IFNA(index(PlayerValues!A:A,match(IFNA(vlookup(B309,'Special Names'!A:B,2,FALSE),B309),PlayerValues!E:E,0)),"N/A")</f>
        <v>16191</v>
      </c>
      <c r="B309" s="4" t="s">
        <v>666</v>
      </c>
      <c r="C309" s="4" t="s">
        <v>287</v>
      </c>
      <c r="D309" s="94">
        <v>1748.0</v>
      </c>
    </row>
    <row r="310">
      <c r="A310" s="40">
        <f t="array" ref="A310">IFNA(index(PlayerValues!A:A,match(IFNA(vlookup(B310,'Special Names'!A:B,2,FALSE),B310),PlayerValues!E:E,0)),"N/A")</f>
        <v>13146</v>
      </c>
      <c r="B310" s="4" t="s">
        <v>652</v>
      </c>
      <c r="C310" s="4" t="s">
        <v>278</v>
      </c>
      <c r="D310" s="94">
        <v>1747.0</v>
      </c>
    </row>
    <row r="311">
      <c r="A311" s="40" t="str">
        <f t="array" ref="A311">IFNA(index(PlayerValues!A:A,match(IFNA(vlookup(B311,'Special Names'!A:B,2,FALSE),B311),PlayerValues!E:E,0)),"N/A")</f>
        <v>N/A</v>
      </c>
      <c r="B311" s="4" t="s">
        <v>102</v>
      </c>
      <c r="C311" s="4" t="s">
        <v>325</v>
      </c>
      <c r="D311" s="94">
        <v>1745.0</v>
      </c>
    </row>
    <row r="312">
      <c r="A312" s="40">
        <f t="array" ref="A312">IFNA(index(PlayerValues!A:A,match(IFNA(vlookup(B312,'Special Names'!A:B,2,FALSE),B312),PlayerValues!E:E,0)),"N/A")</f>
        <v>17685</v>
      </c>
      <c r="B312" s="4" t="s">
        <v>630</v>
      </c>
      <c r="C312" s="4" t="s">
        <v>278</v>
      </c>
      <c r="D312" s="94">
        <v>1736.0</v>
      </c>
    </row>
    <row r="313">
      <c r="A313" s="40">
        <f t="array" ref="A313">IFNA(index(PlayerValues!A:A,match(IFNA(vlookup(B313,'Special Names'!A:B,2,FALSE),B313),PlayerValues!E:E,0)),"N/A")</f>
        <v>17034</v>
      </c>
      <c r="B313" s="4" t="s">
        <v>643</v>
      </c>
      <c r="C313" s="4" t="s">
        <v>283</v>
      </c>
      <c r="D313" s="94">
        <v>1722.0</v>
      </c>
    </row>
    <row r="314">
      <c r="A314" s="40">
        <f t="array" ref="A314">IFNA(index(PlayerValues!A:A,match(IFNA(vlookup(B314,'Special Names'!A:B,2,FALSE),B314),PlayerValues!E:E,0)),"N/A")</f>
        <v>13164</v>
      </c>
      <c r="B314" s="4" t="s">
        <v>632</v>
      </c>
      <c r="C314" s="4" t="s">
        <v>287</v>
      </c>
      <c r="D314" s="94">
        <v>1718.0</v>
      </c>
    </row>
    <row r="315">
      <c r="A315" s="40">
        <f t="array" ref="A315">IFNA(index(PlayerValues!A:A,match(IFNA(vlookup(B315,'Special Names'!A:B,2,FALSE),B315),PlayerValues!E:E,0)),"N/A")</f>
        <v>15787</v>
      </c>
      <c r="B315" s="4" t="s">
        <v>610</v>
      </c>
      <c r="C315" s="4" t="s">
        <v>287</v>
      </c>
      <c r="D315" s="94">
        <v>1713.0</v>
      </c>
    </row>
    <row r="316">
      <c r="A316" s="40">
        <f t="array" ref="A316">IFNA(index(PlayerValues!A:A,match(IFNA(vlookup(B316,'Special Names'!A:B,2,FALSE),B316),PlayerValues!E:E,0)),"N/A")</f>
        <v>17049</v>
      </c>
      <c r="B316" s="4" t="s">
        <v>624</v>
      </c>
      <c r="C316" s="4" t="s">
        <v>278</v>
      </c>
      <c r="D316" s="94">
        <v>1708.0</v>
      </c>
    </row>
    <row r="317">
      <c r="A317" s="40">
        <f t="array" ref="A317">IFNA(index(PlayerValues!A:A,match(IFNA(vlookup(B317,'Special Names'!A:B,2,FALSE),B317),PlayerValues!E:E,0)),"N/A")</f>
        <v>17529</v>
      </c>
      <c r="B317" s="4" t="s">
        <v>608</v>
      </c>
      <c r="C317" s="4" t="s">
        <v>287</v>
      </c>
      <c r="D317" s="94">
        <v>1691.0</v>
      </c>
    </row>
    <row r="318">
      <c r="A318" s="40">
        <f t="array" ref="A318">IFNA(index(PlayerValues!A:A,match(IFNA(vlookup(B318,'Special Names'!A:B,2,FALSE),B318),PlayerValues!E:E,0)),"N/A")</f>
        <v>14143</v>
      </c>
      <c r="B318" s="4" t="s">
        <v>635</v>
      </c>
      <c r="C318" s="4" t="s">
        <v>298</v>
      </c>
      <c r="D318" s="94">
        <v>2068.0</v>
      </c>
    </row>
    <row r="319">
      <c r="A319" s="40">
        <f t="array" ref="A319">IFNA(index(PlayerValues!A:A,match(IFNA(vlookup(B319,'Special Names'!A:B,2,FALSE),B319),PlayerValues!E:E,0)),"N/A")</f>
        <v>16171</v>
      </c>
      <c r="B319" s="4" t="s">
        <v>618</v>
      </c>
      <c r="C319" s="4" t="s">
        <v>278</v>
      </c>
      <c r="D319" s="94">
        <v>1683.0</v>
      </c>
    </row>
    <row r="320">
      <c r="A320" s="40">
        <f t="array" ref="A320">IFNA(index(PlayerValues!A:A,match(IFNA(vlookup(B320,'Special Names'!A:B,2,FALSE),B320),PlayerValues!E:E,0)),"N/A")</f>
        <v>17058</v>
      </c>
      <c r="B320" s="4" t="s">
        <v>641</v>
      </c>
      <c r="C320" s="4" t="s">
        <v>278</v>
      </c>
      <c r="D320" s="94">
        <v>1681.0</v>
      </c>
    </row>
    <row r="321">
      <c r="A321" s="40">
        <f t="array" ref="A321">IFNA(index(PlayerValues!A:A,match(IFNA(vlookup(B321,'Special Names'!A:B,2,FALSE),B321),PlayerValues!E:E,0)),"N/A")</f>
        <v>15752</v>
      </c>
      <c r="B321" s="4" t="s">
        <v>647</v>
      </c>
      <c r="C321" s="4" t="s">
        <v>287</v>
      </c>
      <c r="D321" s="94">
        <v>1665.0</v>
      </c>
    </row>
    <row r="322">
      <c r="A322" s="40">
        <f t="array" ref="A322">IFNA(index(PlayerValues!A:A,match(IFNA(vlookup(B322,'Special Names'!A:B,2,FALSE),B322),PlayerValues!E:E,0)),"N/A")</f>
        <v>15755</v>
      </c>
      <c r="B322" s="4" t="s">
        <v>628</v>
      </c>
      <c r="C322" s="4" t="s">
        <v>287</v>
      </c>
      <c r="D322" s="94">
        <v>1661.0</v>
      </c>
    </row>
    <row r="323">
      <c r="A323" s="40" t="str">
        <f t="array" ref="A323">IFNA(index(PlayerValues!A:A,match(IFNA(vlookup(B323,'Special Names'!A:B,2,FALSE),B323),PlayerValues!E:E,0)),"N/A")</f>
        <v>N/A</v>
      </c>
      <c r="B323" s="4" t="s">
        <v>115</v>
      </c>
      <c r="C323" s="4" t="s">
        <v>325</v>
      </c>
      <c r="D323" s="94">
        <v>1649.0</v>
      </c>
    </row>
    <row r="324">
      <c r="A324" s="40">
        <f t="array" ref="A324">IFNA(index(PlayerValues!A:A,match(IFNA(vlookup(B324,'Special Names'!A:B,2,FALSE),B324),PlayerValues!E:E,0)),"N/A")</f>
        <v>16207</v>
      </c>
      <c r="B324" s="4" t="s">
        <v>636</v>
      </c>
      <c r="C324" s="4" t="s">
        <v>287</v>
      </c>
      <c r="D324" s="94">
        <v>1645.0</v>
      </c>
    </row>
    <row r="325">
      <c r="A325" s="40" t="str">
        <f t="array" ref="A325">IFNA(index(PlayerValues!A:A,match(IFNA(vlookup(B325,'Special Names'!A:B,2,FALSE),B325),PlayerValues!E:E,0)),"N/A")</f>
        <v>N/A</v>
      </c>
      <c r="B325" s="4" t="s">
        <v>103</v>
      </c>
      <c r="C325" s="4" t="s">
        <v>325</v>
      </c>
      <c r="D325" s="94">
        <v>1645.0</v>
      </c>
    </row>
    <row r="326">
      <c r="A326" s="40">
        <f t="array" ref="A326">IFNA(index(PlayerValues!A:A,match(IFNA(vlookup(B326,'Special Names'!A:B,2,FALSE),B326),PlayerValues!E:E,0)),"N/A")</f>
        <v>17521</v>
      </c>
      <c r="B326" s="4" t="s">
        <v>573</v>
      </c>
      <c r="C326" s="4" t="s">
        <v>287</v>
      </c>
      <c r="D326" s="94">
        <v>1642.0</v>
      </c>
    </row>
    <row r="327">
      <c r="A327" s="40">
        <f t="array" ref="A327">IFNA(index(PlayerValues!A:A,match(IFNA(vlookup(B327,'Special Names'!A:B,2,FALSE),B327),PlayerValues!E:E,0)),"N/A")</f>
        <v>16608</v>
      </c>
      <c r="B327" s="4" t="s">
        <v>629</v>
      </c>
      <c r="C327" s="4" t="s">
        <v>278</v>
      </c>
      <c r="D327" s="94">
        <v>1640.0</v>
      </c>
    </row>
    <row r="328">
      <c r="A328" s="40">
        <f t="array" ref="A328">IFNA(index(PlayerValues!A:A,match(IFNA(vlookup(B328,'Special Names'!A:B,2,FALSE),B328),PlayerValues!E:E,0)),"N/A")</f>
        <v>17096</v>
      </c>
      <c r="B328" s="4" t="s">
        <v>638</v>
      </c>
      <c r="C328" s="4" t="s">
        <v>287</v>
      </c>
      <c r="D328" s="94">
        <v>1628.0</v>
      </c>
    </row>
    <row r="329">
      <c r="A329" s="40">
        <f t="array" ref="A329">IFNA(index(PlayerValues!A:A,match(IFNA(vlookup(B329,'Special Names'!A:B,2,FALSE),B329),PlayerValues!E:E,0)),"N/A")</f>
        <v>16201</v>
      </c>
      <c r="B329" s="4" t="s">
        <v>589</v>
      </c>
      <c r="C329" s="4" t="s">
        <v>287</v>
      </c>
      <c r="D329" s="94">
        <v>1610.0</v>
      </c>
    </row>
    <row r="330">
      <c r="A330" s="40">
        <f t="array" ref="A330">IFNA(index(PlayerValues!A:A,match(IFNA(vlookup(B330,'Special Names'!A:B,2,FALSE),B330),PlayerValues!E:E,0)),"N/A")</f>
        <v>16585</v>
      </c>
      <c r="B330" s="4" t="s">
        <v>623</v>
      </c>
      <c r="C330" s="4" t="s">
        <v>283</v>
      </c>
      <c r="D330" s="94">
        <v>1597.0</v>
      </c>
    </row>
    <row r="331">
      <c r="A331" s="40" t="str">
        <f t="array" ref="A331">IFNA(index(PlayerValues!A:A,match(IFNA(vlookup(B331,'Special Names'!A:B,2,FALSE),B331),PlayerValues!E:E,0)),"N/A")</f>
        <v>N/A</v>
      </c>
      <c r="B331" s="4" t="s">
        <v>90</v>
      </c>
      <c r="C331" s="4" t="s">
        <v>325</v>
      </c>
      <c r="D331" s="94">
        <v>1593.0</v>
      </c>
    </row>
    <row r="332">
      <c r="A332" s="40">
        <f t="array" ref="A332">IFNA(index(PlayerValues!A:A,match(IFNA(vlookup(B332,'Special Names'!A:B,2,FALSE),B332),PlayerValues!E:E,0)),"N/A")</f>
        <v>16635</v>
      </c>
      <c r="B332" s="4" t="s">
        <v>645</v>
      </c>
      <c r="C332" s="4" t="s">
        <v>287</v>
      </c>
      <c r="D332" s="94">
        <v>1592.0</v>
      </c>
    </row>
    <row r="333">
      <c r="A333" s="40">
        <f t="array" ref="A333">IFNA(index(PlayerValues!A:A,match(IFNA(vlookup(B333,'Special Names'!A:B,2,FALSE),B333),PlayerValues!E:E,0)),"N/A")</f>
        <v>17035</v>
      </c>
      <c r="B333" s="4" t="s">
        <v>650</v>
      </c>
      <c r="C333" s="4" t="s">
        <v>283</v>
      </c>
      <c r="D333" s="94">
        <v>1592.0</v>
      </c>
    </row>
    <row r="334">
      <c r="A334" s="40">
        <f t="array" ref="A334">IFNA(index(PlayerValues!A:A,match(IFNA(vlookup(B334,'Special Names'!A:B,2,FALSE),B334),PlayerValues!E:E,0)),"N/A")</f>
        <v>14122</v>
      </c>
      <c r="B334" s="4" t="s">
        <v>663</v>
      </c>
      <c r="C334" s="4" t="s">
        <v>287</v>
      </c>
      <c r="D334" s="94">
        <v>1585.0</v>
      </c>
    </row>
    <row r="335">
      <c r="A335" s="40">
        <f t="array" ref="A335">IFNA(index(PlayerValues!A:A,match(IFNA(vlookup(B335,'Special Names'!A:B,2,FALSE),B335),PlayerValues!E:E,0)),"N/A")</f>
        <v>16629</v>
      </c>
      <c r="B335" s="4" t="s">
        <v>605</v>
      </c>
      <c r="C335" s="4" t="s">
        <v>287</v>
      </c>
      <c r="D335" s="94">
        <v>1585.0</v>
      </c>
    </row>
    <row r="336">
      <c r="A336" s="40">
        <f t="array" ref="A336">IFNA(index(PlayerValues!A:A,match(IFNA(vlookup(B336,'Special Names'!A:B,2,FALSE),B336),PlayerValues!E:E,0)),"N/A")</f>
        <v>17064</v>
      </c>
      <c r="B336" s="4" t="s">
        <v>631</v>
      </c>
      <c r="C336" s="4" t="s">
        <v>278</v>
      </c>
      <c r="D336" s="94">
        <v>1576.0</v>
      </c>
    </row>
    <row r="337">
      <c r="A337" s="40">
        <f t="array" ref="A337">IFNA(index(PlayerValues!A:A,match(IFNA(vlookup(B337,'Special Names'!A:B,2,FALSE),B337),PlayerValues!E:E,0)),"N/A")</f>
        <v>14840</v>
      </c>
      <c r="B337" s="4" t="s">
        <v>731</v>
      </c>
      <c r="C337" s="4" t="s">
        <v>287</v>
      </c>
      <c r="D337" s="94">
        <v>1571.0</v>
      </c>
    </row>
    <row r="338">
      <c r="A338" s="40">
        <f t="array" ref="A338">IFNA(index(PlayerValues!A:A,match(IFNA(vlookup(B338,'Special Names'!A:B,2,FALSE),B338),PlayerValues!E:E,0)),"N/A")</f>
        <v>15337</v>
      </c>
      <c r="B338" s="4" t="s">
        <v>655</v>
      </c>
      <c r="C338" s="4" t="s">
        <v>298</v>
      </c>
      <c r="D338" s="94">
        <v>1927.0</v>
      </c>
    </row>
    <row r="339">
      <c r="A339" s="40">
        <f t="array" ref="A339">IFNA(index(PlayerValues!A:A,match(IFNA(vlookup(B339,'Special Names'!A:B,2,FALSE),B339),PlayerValues!E:E,0)),"N/A")</f>
        <v>12801</v>
      </c>
      <c r="B339" s="4" t="s">
        <v>722</v>
      </c>
      <c r="C339" s="4" t="s">
        <v>287</v>
      </c>
      <c r="D339" s="94">
        <v>1539.0</v>
      </c>
    </row>
    <row r="340">
      <c r="A340" s="40" t="str">
        <f t="array" ref="A340">IFNA(index(PlayerValues!A:A,match(IFNA(vlookup(B340,'Special Names'!A:B,2,FALSE),B340),PlayerValues!E:E,0)),"N/A")</f>
        <v>N/A</v>
      </c>
      <c r="B340" s="4" t="s">
        <v>91</v>
      </c>
      <c r="C340" s="4" t="s">
        <v>325</v>
      </c>
      <c r="D340" s="94">
        <v>1533.0</v>
      </c>
    </row>
    <row r="341">
      <c r="A341" s="40" t="str">
        <f t="array" ref="A341">IFNA(index(PlayerValues!A:A,match(IFNA(vlookup(B341,'Special Names'!A:B,2,FALSE),B341),PlayerValues!E:E,0)),"N/A")</f>
        <v>N/A</v>
      </c>
      <c r="B341" s="4" t="s">
        <v>116</v>
      </c>
      <c r="C341" s="4" t="s">
        <v>325</v>
      </c>
      <c r="D341" s="94">
        <v>1523.0</v>
      </c>
    </row>
    <row r="342">
      <c r="A342" s="40">
        <f t="array" ref="A342">IFNA(index(PlayerValues!A:A,match(IFNA(vlookup(B342,'Special Names'!A:B,2,FALSE),B342),PlayerValues!E:E,0)),"N/A")</f>
        <v>15319</v>
      </c>
      <c r="B342" s="4" t="s">
        <v>644</v>
      </c>
      <c r="C342" s="4" t="s">
        <v>287</v>
      </c>
      <c r="D342" s="94">
        <v>1520.0</v>
      </c>
    </row>
    <row r="343">
      <c r="A343" s="40">
        <f t="array" ref="A343">IFNA(index(PlayerValues!A:A,match(IFNA(vlookup(B343,'Special Names'!A:B,2,FALSE),B343),PlayerValues!E:E,0)),"N/A")</f>
        <v>16595</v>
      </c>
      <c r="B343" s="4" t="s">
        <v>664</v>
      </c>
      <c r="C343" s="4" t="s">
        <v>278</v>
      </c>
      <c r="D343" s="94">
        <v>1515.0</v>
      </c>
    </row>
    <row r="344">
      <c r="A344" s="40">
        <f t="array" ref="A344">IFNA(index(PlayerValues!A:A,match(IFNA(vlookup(B344,'Special Names'!A:B,2,FALSE),B344),PlayerValues!E:E,0)),"N/A")</f>
        <v>16601</v>
      </c>
      <c r="B344" s="4" t="s">
        <v>648</v>
      </c>
      <c r="C344" s="4" t="s">
        <v>278</v>
      </c>
      <c r="D344" s="94">
        <v>1513.0</v>
      </c>
    </row>
    <row r="345">
      <c r="A345" s="40">
        <f t="array" ref="A345">IFNA(index(PlayerValues!A:A,match(IFNA(vlookup(B345,'Special Names'!A:B,2,FALSE),B345),PlayerValues!E:E,0)),"N/A")</f>
        <v>17465</v>
      </c>
      <c r="B345" s="4" t="s">
        <v>649</v>
      </c>
      <c r="C345" s="4" t="s">
        <v>283</v>
      </c>
      <c r="D345" s="94">
        <v>1500.0</v>
      </c>
    </row>
    <row r="346">
      <c r="A346" s="40">
        <f t="array" ref="A346">IFNA(index(PlayerValues!A:A,match(IFNA(vlookup(B346,'Special Names'!A:B,2,FALSE),B346),PlayerValues!E:E,0)),"N/A")</f>
        <v>13672</v>
      </c>
      <c r="B346" s="4" t="s">
        <v>667</v>
      </c>
      <c r="C346" s="4" t="s">
        <v>298</v>
      </c>
      <c r="D346" s="94">
        <v>1871.0</v>
      </c>
    </row>
    <row r="347">
      <c r="A347" s="40">
        <f t="array" ref="A347">IFNA(index(PlayerValues!A:A,match(IFNA(vlookup(B347,'Special Names'!A:B,2,FALSE),B347),PlayerValues!E:E,0)),"N/A")</f>
        <v>15301</v>
      </c>
      <c r="B347" s="4" t="s">
        <v>657</v>
      </c>
      <c r="C347" s="4" t="s">
        <v>287</v>
      </c>
      <c r="D347" s="94">
        <v>1495.0</v>
      </c>
    </row>
    <row r="348">
      <c r="A348" s="40">
        <f t="array" ref="A348">IFNA(index(PlayerValues!A:A,match(IFNA(vlookup(B348,'Special Names'!A:B,2,FALSE),B348),PlayerValues!E:E,0)),"N/A")</f>
        <v>16387</v>
      </c>
      <c r="B348" s="4" t="s">
        <v>646</v>
      </c>
      <c r="C348" s="4" t="s">
        <v>278</v>
      </c>
      <c r="D348" s="94">
        <v>1494.0</v>
      </c>
    </row>
    <row r="349">
      <c r="A349" s="40">
        <f t="array" ref="A349">IFNA(index(PlayerValues!A:A,match(IFNA(vlookup(B349,'Special Names'!A:B,2,FALSE),B349),PlayerValues!E:E,0)),"N/A")</f>
        <v>15738</v>
      </c>
      <c r="B349" s="4" t="s">
        <v>634</v>
      </c>
      <c r="C349" s="4" t="s">
        <v>278</v>
      </c>
      <c r="D349" s="94">
        <v>1485.0</v>
      </c>
    </row>
    <row r="350">
      <c r="A350" s="40">
        <f t="array" ref="A350">IFNA(index(PlayerValues!A:A,match(IFNA(vlookup(B350,'Special Names'!A:B,2,FALSE),B350),PlayerValues!E:E,0)),"N/A")</f>
        <v>17652</v>
      </c>
      <c r="B350" s="4" t="s">
        <v>576</v>
      </c>
      <c r="C350" s="4" t="s">
        <v>278</v>
      </c>
      <c r="D350" s="94">
        <v>1479.0</v>
      </c>
    </row>
    <row r="351">
      <c r="A351" s="40">
        <f t="array" ref="A351">IFNA(index(PlayerValues!A:A,match(IFNA(vlookup(B351,'Special Names'!A:B,2,FALSE),B351),PlayerValues!E:E,0)),"N/A")</f>
        <v>17234</v>
      </c>
      <c r="B351" s="4" t="s">
        <v>653</v>
      </c>
      <c r="C351" s="4" t="s">
        <v>287</v>
      </c>
      <c r="D351" s="94">
        <v>1463.0</v>
      </c>
    </row>
    <row r="352">
      <c r="A352" s="40">
        <f t="array" ref="A352">IFNA(index(PlayerValues!A:A,match(IFNA(vlookup(B352,'Special Names'!A:B,2,FALSE),B352),PlayerValues!E:E,0)),"N/A")</f>
        <v>16586</v>
      </c>
      <c r="B352" s="4" t="s">
        <v>658</v>
      </c>
      <c r="C352" s="4" t="s">
        <v>283</v>
      </c>
      <c r="D352" s="94">
        <v>1461.0</v>
      </c>
    </row>
    <row r="353">
      <c r="A353" s="40">
        <f t="array" ref="A353">IFNA(index(PlayerValues!A:A,match(IFNA(vlookup(B353,'Special Names'!A:B,2,FALSE),B353),PlayerValues!E:E,0)),"N/A")</f>
        <v>14086</v>
      </c>
      <c r="B353" s="4" t="s">
        <v>639</v>
      </c>
      <c r="C353" s="4" t="s">
        <v>278</v>
      </c>
      <c r="D353" s="94">
        <v>1459.0</v>
      </c>
    </row>
    <row r="354">
      <c r="A354" s="40">
        <f t="array" ref="A354">IFNA(index(PlayerValues!A:A,match(IFNA(vlookup(B354,'Special Names'!A:B,2,FALSE),B354),PlayerValues!E:E,0)),"N/A")</f>
        <v>14105</v>
      </c>
      <c r="B354" s="4" t="s">
        <v>675</v>
      </c>
      <c r="C354" s="4" t="s">
        <v>287</v>
      </c>
      <c r="D354" s="94">
        <v>1442.0</v>
      </c>
    </row>
    <row r="355">
      <c r="A355" s="40">
        <f t="array" ref="A355">IFNA(index(PlayerValues!A:A,match(IFNA(vlookup(B355,'Special Names'!A:B,2,FALSE),B355),PlayerValues!E:E,0)),"N/A")</f>
        <v>17205</v>
      </c>
      <c r="B355" s="4" t="s">
        <v>665</v>
      </c>
      <c r="C355" s="4" t="s">
        <v>287</v>
      </c>
      <c r="D355" s="94">
        <v>1440.0</v>
      </c>
    </row>
    <row r="356">
      <c r="A356" s="40">
        <f t="array" ref="A356">IFNA(index(PlayerValues!A:A,match(IFNA(vlookup(B356,'Special Names'!A:B,2,FALSE),B356),PlayerValues!E:E,0)),"N/A")</f>
        <v>16688</v>
      </c>
      <c r="B356" s="4" t="s">
        <v>688</v>
      </c>
      <c r="C356" s="4" t="s">
        <v>278</v>
      </c>
      <c r="D356" s="94">
        <v>1427.0</v>
      </c>
    </row>
    <row r="357">
      <c r="A357" s="40">
        <f t="array" ref="A357">IFNA(index(PlayerValues!A:A,match(IFNA(vlookup(B357,'Special Names'!A:B,2,FALSE),B357),PlayerValues!E:E,0)),"N/A")</f>
        <v>15713</v>
      </c>
      <c r="B357" s="4" t="s">
        <v>732</v>
      </c>
      <c r="C357" s="4" t="s">
        <v>278</v>
      </c>
      <c r="D357" s="94">
        <v>1421.0</v>
      </c>
    </row>
    <row r="358">
      <c r="A358" s="40">
        <f t="array" ref="A358">IFNA(index(PlayerValues!A:A,match(IFNA(vlookup(B358,'Special Names'!A:B,2,FALSE),B358),PlayerValues!E:E,0)),"N/A")</f>
        <v>16621</v>
      </c>
      <c r="B358" s="4" t="s">
        <v>672</v>
      </c>
      <c r="C358" s="4" t="s">
        <v>287</v>
      </c>
      <c r="D358" s="94">
        <v>1410.0</v>
      </c>
    </row>
    <row r="359">
      <c r="A359" s="40">
        <f t="array" ref="A359">IFNA(index(PlayerValues!A:A,match(IFNA(vlookup(B359,'Special Names'!A:B,2,FALSE),B359),PlayerValues!E:E,0)),"N/A")</f>
        <v>14137</v>
      </c>
      <c r="B359" s="4" t="s">
        <v>676</v>
      </c>
      <c r="C359" s="4" t="s">
        <v>298</v>
      </c>
      <c r="D359" s="94">
        <v>1778.0</v>
      </c>
    </row>
    <row r="360">
      <c r="A360" s="40">
        <f t="array" ref="A360">IFNA(index(PlayerValues!A:A,match(IFNA(vlookup(B360,'Special Names'!A:B,2,FALSE),B360),PlayerValues!E:E,0)),"N/A")</f>
        <v>15759</v>
      </c>
      <c r="B360" s="4" t="s">
        <v>662</v>
      </c>
      <c r="C360" s="4" t="s">
        <v>287</v>
      </c>
      <c r="D360" s="94">
        <v>1406.0</v>
      </c>
    </row>
    <row r="361">
      <c r="A361" s="40">
        <f t="array" ref="A361">IFNA(index(PlayerValues!A:A,match(IFNA(vlookup(B361,'Special Names'!A:B,2,FALSE),B361),PlayerValues!E:E,0)),"N/A")</f>
        <v>16633</v>
      </c>
      <c r="B361" s="4" t="s">
        <v>656</v>
      </c>
      <c r="C361" s="4" t="s">
        <v>287</v>
      </c>
      <c r="D361" s="94">
        <v>1402.0</v>
      </c>
    </row>
    <row r="362">
      <c r="A362" s="40">
        <f t="array" ref="A362">IFNA(index(PlayerValues!A:A,match(IFNA(vlookup(B362,'Special Names'!A:B,2,FALSE),B362),PlayerValues!E:E,0)),"N/A")</f>
        <v>16788</v>
      </c>
      <c r="B362" s="4" t="s">
        <v>621</v>
      </c>
      <c r="C362" s="4" t="s">
        <v>287</v>
      </c>
      <c r="D362" s="94">
        <v>1400.0</v>
      </c>
    </row>
    <row r="363">
      <c r="A363" s="40">
        <f t="array" ref="A363">IFNA(index(PlayerValues!A:A,match(IFNA(vlookup(B363,'Special Names'!A:B,2,FALSE),B363),PlayerValues!E:E,0)),"N/A")</f>
        <v>15292</v>
      </c>
      <c r="B363" s="4" t="s">
        <v>682</v>
      </c>
      <c r="C363" s="4" t="s">
        <v>287</v>
      </c>
      <c r="D363" s="94">
        <v>1396.0</v>
      </c>
    </row>
    <row r="364">
      <c r="A364" s="40">
        <f t="array" ref="A364">IFNA(index(PlayerValues!A:A,match(IFNA(vlookup(B364,'Special Names'!A:B,2,FALSE),B364),PlayerValues!E:E,0)),"N/A")</f>
        <v>16631</v>
      </c>
      <c r="B364" s="4" t="s">
        <v>800</v>
      </c>
      <c r="C364" s="4" t="s">
        <v>287</v>
      </c>
      <c r="D364" s="94">
        <v>1393.0</v>
      </c>
    </row>
    <row r="365">
      <c r="A365" s="40">
        <f t="array" ref="A365">IFNA(index(PlayerValues!A:A,match(IFNA(vlookup(B365,'Special Names'!A:B,2,FALSE),B365),PlayerValues!E:E,0)),"N/A")</f>
        <v>15873</v>
      </c>
      <c r="B365" s="4" t="s">
        <v>681</v>
      </c>
      <c r="C365" s="4" t="s">
        <v>298</v>
      </c>
      <c r="D365" s="94">
        <v>1755.0</v>
      </c>
    </row>
    <row r="366">
      <c r="A366" s="40">
        <f t="array" ref="A366">IFNA(index(PlayerValues!A:A,match(IFNA(vlookup(B366,'Special Names'!A:B,2,FALSE),B366),PlayerValues!E:E,0)),"N/A")</f>
        <v>16175</v>
      </c>
      <c r="B366" s="4" t="s">
        <v>654</v>
      </c>
      <c r="C366" s="4" t="s">
        <v>278</v>
      </c>
      <c r="D366" s="94">
        <v>1377.0</v>
      </c>
    </row>
    <row r="367">
      <c r="A367" s="40">
        <f t="array" ref="A367">IFNA(index(PlayerValues!A:A,match(IFNA(vlookup(B367,'Special Names'!A:B,2,FALSE),B367),PlayerValues!E:E,0)),"N/A")</f>
        <v>16645</v>
      </c>
      <c r="B367" s="4" t="s">
        <v>651</v>
      </c>
      <c r="C367" s="4" t="s">
        <v>298</v>
      </c>
      <c r="D367" s="94">
        <v>1736.0</v>
      </c>
    </row>
    <row r="368">
      <c r="A368" s="40">
        <f t="array" ref="A368">IFNA(index(PlayerValues!A:A,match(IFNA(vlookup(B368,'Special Names'!A:B,2,FALSE),B368),PlayerValues!E:E,0)),"N/A")</f>
        <v>15777</v>
      </c>
      <c r="B368" s="4" t="s">
        <v>694</v>
      </c>
      <c r="C368" s="4" t="s">
        <v>287</v>
      </c>
      <c r="D368" s="94">
        <v>1352.0</v>
      </c>
    </row>
    <row r="369">
      <c r="A369" s="40">
        <f t="array" ref="A369">IFNA(index(PlayerValues!A:A,match(IFNA(vlookup(B369,'Special Names'!A:B,2,FALSE),B369),PlayerValues!E:E,0)),"N/A")</f>
        <v>16642</v>
      </c>
      <c r="B369" s="4" t="s">
        <v>691</v>
      </c>
      <c r="C369" s="4" t="s">
        <v>298</v>
      </c>
      <c r="D369" s="94">
        <v>1715.0</v>
      </c>
    </row>
    <row r="370">
      <c r="A370" s="40">
        <f t="array" ref="A370">IFNA(index(PlayerValues!A:A,match(IFNA(vlookup(B370,'Special Names'!A:B,2,FALSE),B370),PlayerValues!E:E,0)),"N/A")</f>
        <v>16390</v>
      </c>
      <c r="B370" s="4" t="s">
        <v>689</v>
      </c>
      <c r="C370" s="4" t="s">
        <v>278</v>
      </c>
      <c r="D370" s="94">
        <v>1330.0</v>
      </c>
    </row>
    <row r="371">
      <c r="A371" s="40">
        <f t="array" ref="A371">IFNA(index(PlayerValues!A:A,match(IFNA(vlookup(B371,'Special Names'!A:B,2,FALSE),B371),PlayerValues!E:E,0)),"N/A")</f>
        <v>17054</v>
      </c>
      <c r="B371" s="4" t="s">
        <v>670</v>
      </c>
      <c r="C371" s="4" t="s">
        <v>278</v>
      </c>
      <c r="D371" s="94">
        <v>1323.0</v>
      </c>
    </row>
    <row r="372">
      <c r="A372" s="40" t="str">
        <f t="array" ref="A372">IFNA(index(PlayerValues!A:A,match(IFNA(vlookup(B372,'Special Names'!A:B,2,FALSE),B372),PlayerValues!E:E,0)),"N/A")</f>
        <v>N/A</v>
      </c>
      <c r="B372" s="4" t="s">
        <v>117</v>
      </c>
      <c r="C372" s="4" t="s">
        <v>325</v>
      </c>
      <c r="D372" s="94">
        <v>1317.0</v>
      </c>
    </row>
    <row r="373">
      <c r="A373" s="40">
        <f t="array" ref="A373">IFNA(index(PlayerValues!A:A,match(IFNA(vlookup(B373,'Special Names'!A:B,2,FALSE),B373),PlayerValues!E:E,0)),"N/A")</f>
        <v>16792</v>
      </c>
      <c r="B373" s="4" t="s">
        <v>704</v>
      </c>
      <c r="C373" s="4" t="s">
        <v>287</v>
      </c>
      <c r="D373" s="94">
        <v>1310.0</v>
      </c>
    </row>
    <row r="374">
      <c r="A374" s="40">
        <f t="array" ref="A374">IFNA(index(PlayerValues!A:A,match(IFNA(vlookup(B374,'Special Names'!A:B,2,FALSE),B374),PlayerValues!E:E,0)),"N/A")</f>
        <v>17254</v>
      </c>
      <c r="B374" s="4" t="s">
        <v>679</v>
      </c>
      <c r="C374" s="4" t="s">
        <v>287</v>
      </c>
      <c r="D374" s="94">
        <v>1303.0</v>
      </c>
    </row>
    <row r="375">
      <c r="A375" s="40">
        <f t="array" ref="A375">IFNA(index(PlayerValues!A:A,match(IFNA(vlookup(B375,'Special Names'!A:B,2,FALSE),B375),PlayerValues!E:E,0)),"N/A")</f>
        <v>16746</v>
      </c>
      <c r="B375" s="4" t="s">
        <v>709</v>
      </c>
      <c r="C375" s="4" t="s">
        <v>278</v>
      </c>
      <c r="D375" s="94">
        <v>1301.0</v>
      </c>
    </row>
    <row r="376">
      <c r="A376" s="40">
        <f t="array" ref="A376">IFNA(index(PlayerValues!A:A,match(IFNA(vlookup(B376,'Special Names'!A:B,2,FALSE),B376),PlayerValues!E:E,0)),"N/A")</f>
        <v>17063</v>
      </c>
      <c r="B376" s="4" t="s">
        <v>686</v>
      </c>
      <c r="C376" s="4" t="s">
        <v>278</v>
      </c>
      <c r="D376" s="94">
        <v>1298.0</v>
      </c>
    </row>
    <row r="377">
      <c r="A377" s="40">
        <f t="array" ref="A377">IFNA(index(PlayerValues!A:A,match(IFNA(vlookup(B377,'Special Names'!A:B,2,FALSE),B377),PlayerValues!E:E,0)),"N/A")</f>
        <v>17475</v>
      </c>
      <c r="B377" s="4" t="s">
        <v>615</v>
      </c>
      <c r="C377" s="4" t="s">
        <v>278</v>
      </c>
      <c r="D377" s="94">
        <v>1297.0</v>
      </c>
    </row>
    <row r="378">
      <c r="A378" s="40">
        <f t="array" ref="A378">IFNA(index(PlayerValues!A:A,match(IFNA(vlookup(B378,'Special Names'!A:B,2,FALSE),B378),PlayerValues!E:E,0)),"N/A")</f>
        <v>12678</v>
      </c>
      <c r="B378" s="4" t="s">
        <v>703</v>
      </c>
      <c r="C378" s="4" t="s">
        <v>298</v>
      </c>
      <c r="D378" s="94">
        <v>1665.0</v>
      </c>
    </row>
    <row r="379">
      <c r="A379" s="40">
        <f t="array" ref="A379">IFNA(index(PlayerValues!A:A,match(IFNA(vlookup(B379,'Special Names'!A:B,2,FALSE),B379),PlayerValues!E:E,0)),"N/A")</f>
        <v>17097</v>
      </c>
      <c r="B379" s="4" t="s">
        <v>659</v>
      </c>
      <c r="C379" s="4" t="s">
        <v>287</v>
      </c>
      <c r="D379" s="94">
        <v>1294.0</v>
      </c>
    </row>
    <row r="380">
      <c r="A380" s="40">
        <f t="array" ref="A380">IFNA(index(PlayerValues!A:A,match(IFNA(vlookup(B380,'Special Names'!A:B,2,FALSE),B380),PlayerValues!E:E,0)),"N/A")</f>
        <v>14095</v>
      </c>
      <c r="B380" s="4" t="s">
        <v>680</v>
      </c>
      <c r="C380" s="4" t="s">
        <v>278</v>
      </c>
      <c r="D380" s="94">
        <v>1282.0</v>
      </c>
    </row>
    <row r="381">
      <c r="A381" s="40">
        <f t="array" ref="A381">IFNA(index(PlayerValues!A:A,match(IFNA(vlookup(B381,'Special Names'!A:B,2,FALSE),B381),PlayerValues!E:E,0)),"N/A")</f>
        <v>16183</v>
      </c>
      <c r="B381" s="4" t="s">
        <v>678</v>
      </c>
      <c r="C381" s="4" t="s">
        <v>287</v>
      </c>
      <c r="D381" s="94">
        <v>1276.0</v>
      </c>
    </row>
    <row r="382">
      <c r="A382" s="40">
        <f t="array" ref="A382">IFNA(index(PlayerValues!A:A,match(IFNA(vlookup(B382,'Special Names'!A:B,2,FALSE),B382),PlayerValues!E:E,0)),"N/A")</f>
        <v>16384</v>
      </c>
      <c r="B382" s="4" t="s">
        <v>696</v>
      </c>
      <c r="C382" s="4" t="s">
        <v>283</v>
      </c>
      <c r="D382" s="94">
        <v>1269.0</v>
      </c>
    </row>
    <row r="383">
      <c r="A383" s="40">
        <f t="array" ref="A383">IFNA(index(PlayerValues!A:A,match(IFNA(vlookup(B383,'Special Names'!A:B,2,FALSE),B383),PlayerValues!E:E,0)),"N/A")</f>
        <v>16636</v>
      </c>
      <c r="B383" s="4" t="s">
        <v>699</v>
      </c>
      <c r="C383" s="4" t="s">
        <v>287</v>
      </c>
      <c r="D383" s="94">
        <v>1269.0</v>
      </c>
    </row>
    <row r="384">
      <c r="A384" s="40">
        <f t="array" ref="A384">IFNA(index(PlayerValues!A:A,match(IFNA(vlookup(B384,'Special Names'!A:B,2,FALSE),B384),PlayerValues!E:E,0)),"N/A")</f>
        <v>12140</v>
      </c>
      <c r="B384" s="4" t="s">
        <v>702</v>
      </c>
      <c r="C384" s="4" t="s">
        <v>283</v>
      </c>
      <c r="D384" s="94">
        <v>1258.0</v>
      </c>
    </row>
    <row r="385">
      <c r="A385" s="40">
        <f t="array" ref="A385">IFNA(index(PlayerValues!A:A,match(IFNA(vlookup(B385,'Special Names'!A:B,2,FALSE),B385),PlayerValues!E:E,0)),"N/A")</f>
        <v>17657</v>
      </c>
      <c r="B385" s="4" t="s">
        <v>642</v>
      </c>
      <c r="C385" s="4" t="s">
        <v>283</v>
      </c>
      <c r="D385" s="94">
        <v>1256.0</v>
      </c>
    </row>
    <row r="386">
      <c r="A386" s="40">
        <f t="array" ref="A386">IFNA(index(PlayerValues!A:A,match(IFNA(vlookup(B386,'Special Names'!A:B,2,FALSE),B386),PlayerValues!E:E,0)),"N/A")</f>
        <v>14592</v>
      </c>
      <c r="B386" s="4" t="s">
        <v>705</v>
      </c>
      <c r="C386" s="4" t="s">
        <v>287</v>
      </c>
      <c r="D386" s="94">
        <v>1255.0</v>
      </c>
    </row>
    <row r="387">
      <c r="A387" s="40">
        <f t="array" ref="A387">IFNA(index(PlayerValues!A:A,match(IFNA(vlookup(B387,'Special Names'!A:B,2,FALSE),B387),PlayerValues!E:E,0)),"N/A")</f>
        <v>15332</v>
      </c>
      <c r="B387" s="4" t="s">
        <v>698</v>
      </c>
      <c r="C387" s="4" t="s">
        <v>298</v>
      </c>
      <c r="D387" s="94">
        <v>1616.0</v>
      </c>
    </row>
    <row r="388">
      <c r="A388" s="40">
        <f t="array" ref="A388">IFNA(index(PlayerValues!A:A,match(IFNA(vlookup(B388,'Special Names'!A:B,2,FALSE),B388),PlayerValues!E:E,0)),"N/A")</f>
        <v>17510</v>
      </c>
      <c r="B388" s="4" t="s">
        <v>661</v>
      </c>
      <c r="C388" s="4" t="s">
        <v>287</v>
      </c>
      <c r="D388" s="94">
        <v>1245.0</v>
      </c>
    </row>
    <row r="389">
      <c r="A389" s="40">
        <f t="array" ref="A389">IFNA(index(PlayerValues!A:A,match(IFNA(vlookup(B389,'Special Names'!A:B,2,FALSE),B389),PlayerValues!E:E,0)),"N/A")</f>
        <v>17037</v>
      </c>
      <c r="B389" s="4" t="s">
        <v>727</v>
      </c>
      <c r="C389" s="4" t="s">
        <v>283</v>
      </c>
      <c r="D389" s="94">
        <v>1239.0</v>
      </c>
    </row>
    <row r="390">
      <c r="A390" s="40">
        <f t="array" ref="A390">IFNA(index(PlayerValues!A:A,match(IFNA(vlookup(B390,'Special Names'!A:B,2,FALSE),B390),PlayerValues!E:E,0)),"N/A")</f>
        <v>16883</v>
      </c>
      <c r="B390" s="4" t="s">
        <v>683</v>
      </c>
      <c r="C390" s="4" t="s">
        <v>287</v>
      </c>
      <c r="D390" s="94">
        <v>1224.0</v>
      </c>
    </row>
    <row r="391">
      <c r="A391" s="40">
        <f t="array" ref="A391">IFNA(index(PlayerValues!A:A,match(IFNA(vlookup(B391,'Special Names'!A:B,2,FALSE),B391),PlayerValues!E:E,0)),"N/A")</f>
        <v>15702</v>
      </c>
      <c r="B391" s="4" t="s">
        <v>723</v>
      </c>
      <c r="C391" s="4" t="s">
        <v>283</v>
      </c>
      <c r="D391" s="94">
        <v>1222.0</v>
      </c>
    </row>
    <row r="392">
      <c r="A392" s="40">
        <f t="array" ref="A392">IFNA(index(PlayerValues!A:A,match(IFNA(vlookup(B392,'Special Names'!A:B,2,FALSE),B392),PlayerValues!E:E,0)),"N/A")</f>
        <v>16385</v>
      </c>
      <c r="B392" s="4" t="s">
        <v>690</v>
      </c>
      <c r="C392" s="4" t="s">
        <v>278</v>
      </c>
      <c r="D392" s="94">
        <v>1213.0</v>
      </c>
    </row>
    <row r="393">
      <c r="A393" s="40">
        <f t="array" ref="A393">IFNA(index(PlayerValues!A:A,match(IFNA(vlookup(B393,'Special Names'!A:B,2,FALSE),B393),PlayerValues!E:E,0)),"N/A")</f>
        <v>16199</v>
      </c>
      <c r="B393" s="4" t="s">
        <v>687</v>
      </c>
      <c r="C393" s="4" t="s">
        <v>287</v>
      </c>
      <c r="D393" s="94">
        <v>1208.0</v>
      </c>
    </row>
    <row r="394">
      <c r="A394" s="40">
        <f t="array" ref="A394">IFNA(index(PlayerValues!A:A,match(IFNA(vlookup(B394,'Special Names'!A:B,2,FALSE),B394),PlayerValues!E:E,0)),"N/A")</f>
        <v>17062</v>
      </c>
      <c r="B394" s="4" t="s">
        <v>701</v>
      </c>
      <c r="C394" s="4" t="s">
        <v>278</v>
      </c>
      <c r="D394" s="94">
        <v>1207.0</v>
      </c>
    </row>
    <row r="395">
      <c r="A395" s="40">
        <f t="array" ref="A395">IFNA(index(PlayerValues!A:A,match(IFNA(vlookup(B395,'Special Names'!A:B,2,FALSE),B395),PlayerValues!E:E,0)),"N/A")</f>
        <v>17192</v>
      </c>
      <c r="B395" s="4" t="s">
        <v>677</v>
      </c>
      <c r="C395" s="4" t="s">
        <v>287</v>
      </c>
      <c r="D395" s="94">
        <v>1207.0</v>
      </c>
    </row>
    <row r="396">
      <c r="A396" s="40">
        <f t="array" ref="A396">IFNA(index(PlayerValues!A:A,match(IFNA(vlookup(B396,'Special Names'!A:B,2,FALSE),B396),PlayerValues!E:E,0)),"N/A")</f>
        <v>14080</v>
      </c>
      <c r="B396" s="4" t="s">
        <v>716</v>
      </c>
      <c r="C396" s="4" t="s">
        <v>278</v>
      </c>
      <c r="D396" s="94">
        <v>1202.0</v>
      </c>
    </row>
    <row r="397">
      <c r="A397" s="40">
        <f t="array" ref="A397">IFNA(index(PlayerValues!A:A,match(IFNA(vlookup(B397,'Special Names'!A:B,2,FALSE),B397),PlayerValues!E:E,0)),"N/A")</f>
        <v>13418</v>
      </c>
      <c r="B397" s="4" t="s">
        <v>706</v>
      </c>
      <c r="C397" s="4" t="s">
        <v>287</v>
      </c>
      <c r="D397" s="94">
        <v>1201.0</v>
      </c>
    </row>
    <row r="398">
      <c r="A398" s="40">
        <f t="array" ref="A398">IFNA(index(PlayerValues!A:A,match(IFNA(vlookup(B398,'Special Names'!A:B,2,FALSE),B398),PlayerValues!E:E,0)),"N/A")</f>
        <v>17518</v>
      </c>
      <c r="B398" s="4" t="s">
        <v>482</v>
      </c>
      <c r="C398" s="4" t="s">
        <v>287</v>
      </c>
      <c r="D398" s="94">
        <v>1186.0</v>
      </c>
    </row>
    <row r="399">
      <c r="A399" s="40">
        <f t="array" ref="A399">IFNA(index(PlayerValues!A:A,match(IFNA(vlookup(B399,'Special Names'!A:B,2,FALSE),B399),PlayerValues!E:E,0)),"N/A")</f>
        <v>14067</v>
      </c>
      <c r="B399" s="4" t="s">
        <v>735</v>
      </c>
      <c r="C399" s="4" t="s">
        <v>283</v>
      </c>
      <c r="D399" s="94">
        <v>1173.0</v>
      </c>
    </row>
    <row r="400">
      <c r="A400" s="40">
        <f t="array" ref="A400">IFNA(index(PlayerValues!A:A,match(IFNA(vlookup(B400,'Special Names'!A:B,2,FALSE),B400),PlayerValues!E:E,0)),"N/A")</f>
        <v>17077</v>
      </c>
      <c r="B400" s="4" t="s">
        <v>714</v>
      </c>
      <c r="C400" s="4" t="s">
        <v>287</v>
      </c>
      <c r="D400" s="94">
        <v>1173.0</v>
      </c>
    </row>
    <row r="401">
      <c r="A401" s="40">
        <f t="array" ref="A401">IFNA(index(PlayerValues!A:A,match(IFNA(vlookup(B401,'Special Names'!A:B,2,FALSE),B401),PlayerValues!E:E,0)),"N/A")</f>
        <v>17546</v>
      </c>
      <c r="B401" s="4" t="s">
        <v>671</v>
      </c>
      <c r="C401" s="4" t="s">
        <v>298</v>
      </c>
      <c r="D401" s="94">
        <v>1541.0</v>
      </c>
    </row>
    <row r="402">
      <c r="A402" s="40">
        <f t="array" ref="A402">IFNA(index(PlayerValues!A:A,match(IFNA(vlookup(B402,'Special Names'!A:B,2,FALSE),B402),PlayerValues!E:E,0)),"N/A")</f>
        <v>17109</v>
      </c>
      <c r="B402" s="4" t="s">
        <v>707</v>
      </c>
      <c r="C402" s="4" t="s">
        <v>298</v>
      </c>
      <c r="D402" s="94">
        <v>1539.0</v>
      </c>
    </row>
    <row r="403">
      <c r="A403" s="40">
        <f t="array" ref="A403">IFNA(index(PlayerValues!A:A,match(IFNA(vlookup(B403,'Special Names'!A:B,2,FALSE),B403),PlayerValues!E:E,0)),"N/A")</f>
        <v>11222</v>
      </c>
      <c r="B403" s="4" t="s">
        <v>622</v>
      </c>
      <c r="C403" s="4" t="s">
        <v>287</v>
      </c>
      <c r="D403" s="94">
        <v>1166.0</v>
      </c>
    </row>
    <row r="404">
      <c r="A404" s="40">
        <f t="array" ref="A404">IFNA(index(PlayerValues!A:A,match(IFNA(vlookup(B404,'Special Names'!A:B,2,FALSE),B404),PlayerValues!E:E,0)),"N/A")</f>
        <v>15252</v>
      </c>
      <c r="B404" s="4" t="s">
        <v>715</v>
      </c>
      <c r="C404" s="4" t="s">
        <v>283</v>
      </c>
      <c r="D404" s="94">
        <v>1166.0</v>
      </c>
    </row>
    <row r="405">
      <c r="A405" s="40">
        <f t="array" ref="A405">IFNA(index(PlayerValues!A:A,match(IFNA(vlookup(B405,'Special Names'!A:B,2,FALSE),B405),PlayerValues!E:E,0)),"N/A")</f>
        <v>15254</v>
      </c>
      <c r="B405" s="4" t="s">
        <v>633</v>
      </c>
      <c r="C405" s="4" t="s">
        <v>278</v>
      </c>
      <c r="D405" s="94">
        <v>1164.0</v>
      </c>
    </row>
    <row r="406">
      <c r="A406" s="40">
        <f t="array" ref="A406">IFNA(index(PlayerValues!A:A,match(IFNA(vlookup(B406,'Special Names'!A:B,2,FALSE),B406),PlayerValues!E:E,0)),"N/A")</f>
        <v>17269</v>
      </c>
      <c r="B406" s="4" t="s">
        <v>718</v>
      </c>
      <c r="C406" s="4" t="s">
        <v>287</v>
      </c>
      <c r="D406" s="94">
        <v>1163.0</v>
      </c>
    </row>
    <row r="407">
      <c r="A407" s="40">
        <f t="array" ref="A407">IFNA(index(PlayerValues!A:A,match(IFNA(vlookup(B407,'Special Names'!A:B,2,FALSE),B407),PlayerValues!E:E,0)),"N/A")</f>
        <v>16333</v>
      </c>
      <c r="B407" s="4" t="s">
        <v>711</v>
      </c>
      <c r="C407" s="4" t="s">
        <v>298</v>
      </c>
      <c r="D407" s="94">
        <v>1530.0</v>
      </c>
    </row>
    <row r="408">
      <c r="A408" s="40">
        <f t="array" ref="A408">IFNA(index(PlayerValues!A:A,match(IFNA(vlookup(B408,'Special Names'!A:B,2,FALSE),B408),PlayerValues!E:E,0)),"N/A")</f>
        <v>14108</v>
      </c>
      <c r="B408" s="4" t="s">
        <v>673</v>
      </c>
      <c r="C408" s="4" t="s">
        <v>287</v>
      </c>
      <c r="D408" s="94">
        <v>1156.0</v>
      </c>
    </row>
    <row r="409">
      <c r="A409" s="40">
        <f t="array" ref="A409">IFNA(index(PlayerValues!A:A,match(IFNA(vlookup(B409,'Special Names'!A:B,2,FALSE),B409),PlayerValues!E:E,0)),"N/A")</f>
        <v>14789</v>
      </c>
      <c r="B409" s="4" t="s">
        <v>721</v>
      </c>
      <c r="C409" s="4" t="s">
        <v>283</v>
      </c>
      <c r="D409" s="94">
        <v>1151.0</v>
      </c>
    </row>
    <row r="410">
      <c r="A410" s="40">
        <f t="array" ref="A410">IFNA(index(PlayerValues!A:A,match(IFNA(vlookup(B410,'Special Names'!A:B,2,FALSE),B410),PlayerValues!E:E,0)),"N/A")</f>
        <v>15288</v>
      </c>
      <c r="B410" s="4" t="s">
        <v>700</v>
      </c>
      <c r="C410" s="4" t="s">
        <v>287</v>
      </c>
      <c r="D410" s="94">
        <v>1149.0</v>
      </c>
    </row>
    <row r="411">
      <c r="A411" s="40">
        <f t="array" ref="A411">IFNA(index(PlayerValues!A:A,match(IFNA(vlookup(B411,'Special Names'!A:B,2,FALSE),B411),PlayerValues!E:E,0)),"N/A")</f>
        <v>17057</v>
      </c>
      <c r="B411" s="4" t="s">
        <v>708</v>
      </c>
      <c r="C411" s="4" t="s">
        <v>278</v>
      </c>
      <c r="D411" s="94">
        <v>1147.0</v>
      </c>
    </row>
    <row r="412">
      <c r="A412" s="40">
        <f t="array" ref="A412">IFNA(index(PlayerValues!A:A,match(IFNA(vlookup(B412,'Special Names'!A:B,2,FALSE),B412),PlayerValues!E:E,0)),"N/A")</f>
        <v>16221</v>
      </c>
      <c r="B412" s="4" t="s">
        <v>725</v>
      </c>
      <c r="C412" s="4" t="s">
        <v>298</v>
      </c>
      <c r="D412" s="94">
        <v>1516.0</v>
      </c>
    </row>
    <row r="413">
      <c r="A413" s="40">
        <f t="array" ref="A413">IFNA(index(PlayerValues!A:A,match(IFNA(vlookup(B413,'Special Names'!A:B,2,FALSE),B413),PlayerValues!E:E,0)),"N/A")</f>
        <v>17050</v>
      </c>
      <c r="B413" s="4" t="s">
        <v>713</v>
      </c>
      <c r="C413" s="4" t="s">
        <v>278</v>
      </c>
      <c r="D413" s="94">
        <v>1133.0</v>
      </c>
    </row>
    <row r="414">
      <c r="A414" s="40">
        <f t="array" ref="A414">IFNA(index(PlayerValues!A:A,match(IFNA(vlookup(B414,'Special Names'!A:B,2,FALSE),B414),PlayerValues!E:E,0)),"N/A")</f>
        <v>16640</v>
      </c>
      <c r="B414" s="4" t="s">
        <v>712</v>
      </c>
      <c r="C414" s="4" t="s">
        <v>287</v>
      </c>
      <c r="D414" s="94">
        <v>1127.0</v>
      </c>
    </row>
    <row r="415">
      <c r="A415" s="40">
        <f t="array" ref="A415">IFNA(index(PlayerValues!A:A,match(IFNA(vlookup(B415,'Special Names'!A:B,2,FALSE),B415),PlayerValues!E:E,0)),"N/A")</f>
        <v>15981</v>
      </c>
      <c r="B415" s="4" t="s">
        <v>729</v>
      </c>
      <c r="C415" s="4" t="s">
        <v>287</v>
      </c>
      <c r="D415" s="94">
        <v>1112.0</v>
      </c>
    </row>
    <row r="416">
      <c r="A416" s="40">
        <f t="array" ref="A416">IFNA(index(PlayerValues!A:A,match(IFNA(vlookup(B416,'Special Names'!A:B,2,FALSE),B416),PlayerValues!E:E,0)),"N/A")</f>
        <v>15795</v>
      </c>
      <c r="B416" s="4" t="s">
        <v>669</v>
      </c>
      <c r="C416" s="4" t="s">
        <v>298</v>
      </c>
      <c r="D416" s="94">
        <v>1467.0</v>
      </c>
    </row>
    <row r="417">
      <c r="A417" s="40">
        <f t="array" ref="A417">IFNA(index(PlayerValues!A:A,match(IFNA(vlookup(B417,'Special Names'!A:B,2,FALSE),B417),PlayerValues!E:E,0)),"N/A")</f>
        <v>17504</v>
      </c>
      <c r="B417" s="4" t="s">
        <v>693</v>
      </c>
      <c r="C417" s="4" t="s">
        <v>287</v>
      </c>
      <c r="D417" s="94">
        <v>1088.0</v>
      </c>
    </row>
    <row r="418">
      <c r="A418" s="40">
        <f t="array" ref="A418">IFNA(index(PlayerValues!A:A,match(IFNA(vlookup(B418,'Special Names'!A:B,2,FALSE),B418),PlayerValues!E:E,0)),"N/A")</f>
        <v>12141</v>
      </c>
      <c r="B418" s="4" t="s">
        <v>744</v>
      </c>
      <c r="C418" s="4" t="s">
        <v>283</v>
      </c>
      <c r="D418" s="94">
        <v>1083.0</v>
      </c>
    </row>
    <row r="419">
      <c r="A419" s="40">
        <f t="array" ref="A419">IFNA(index(PlayerValues!A:A,match(IFNA(vlookup(B419,'Special Names'!A:B,2,FALSE),B419),PlayerValues!E:E,0)),"N/A")</f>
        <v>16149</v>
      </c>
      <c r="B419" s="4" t="s">
        <v>740</v>
      </c>
      <c r="C419" s="4" t="s">
        <v>283</v>
      </c>
      <c r="D419" s="94">
        <v>1071.0</v>
      </c>
    </row>
    <row r="420">
      <c r="A420" s="40">
        <f t="array" ref="A420">IFNA(index(PlayerValues!A:A,match(IFNA(vlookup(B420,'Special Names'!A:B,2,FALSE),B420),PlayerValues!E:E,0)),"N/A")</f>
        <v>13289</v>
      </c>
      <c r="B420" s="4" t="s">
        <v>746</v>
      </c>
      <c r="C420" s="4" t="s">
        <v>287</v>
      </c>
      <c r="D420" s="94">
        <v>1064.0</v>
      </c>
    </row>
    <row r="421">
      <c r="A421" s="40">
        <f t="array" ref="A421">IFNA(index(PlayerValues!A:A,match(IFNA(vlookup(B421,'Special Names'!A:B,2,FALSE),B421),PlayerValues!E:E,0)),"N/A")</f>
        <v>16197</v>
      </c>
      <c r="B421" s="4" t="s">
        <v>726</v>
      </c>
      <c r="C421" s="4" t="s">
        <v>287</v>
      </c>
      <c r="D421" s="94">
        <v>1064.0</v>
      </c>
    </row>
    <row r="422">
      <c r="A422" s="40">
        <f t="array" ref="A422">IFNA(index(PlayerValues!A:A,match(IFNA(vlookup(B422,'Special Names'!A:B,2,FALSE),B422),PlayerValues!E:E,0)),"N/A")</f>
        <v>14845</v>
      </c>
      <c r="B422" s="4" t="s">
        <v>717</v>
      </c>
      <c r="C422" s="4" t="s">
        <v>287</v>
      </c>
      <c r="D422" s="94">
        <v>1061.0</v>
      </c>
    </row>
    <row r="423">
      <c r="A423" s="40">
        <f t="array" ref="A423">IFNA(index(PlayerValues!A:A,match(IFNA(vlookup(B423,'Special Names'!A:B,2,FALSE),B423),PlayerValues!E:E,0)),"N/A")</f>
        <v>15240</v>
      </c>
      <c r="B423" s="4" t="s">
        <v>751</v>
      </c>
      <c r="C423" s="4" t="s">
        <v>283</v>
      </c>
      <c r="D423" s="94">
        <v>1056.0</v>
      </c>
    </row>
    <row r="424">
      <c r="A424" s="40">
        <f t="array" ref="A424">IFNA(index(PlayerValues!A:A,match(IFNA(vlookup(B424,'Special Names'!A:B,2,FALSE),B424),PlayerValues!E:E,0)),"N/A")</f>
        <v>15109</v>
      </c>
      <c r="B424" s="4" t="s">
        <v>728</v>
      </c>
      <c r="C424" s="4" t="s">
        <v>287</v>
      </c>
      <c r="D424" s="94">
        <v>1033.0</v>
      </c>
    </row>
    <row r="425">
      <c r="A425" s="40">
        <f t="array" ref="A425">IFNA(index(PlayerValues!A:A,match(IFNA(vlookup(B425,'Special Names'!A:B,2,FALSE),B425),PlayerValues!E:E,0)),"N/A")</f>
        <v>14849</v>
      </c>
      <c r="B425" s="4" t="s">
        <v>733</v>
      </c>
      <c r="C425" s="4" t="s">
        <v>287</v>
      </c>
      <c r="D425" s="94">
        <v>1032.0</v>
      </c>
    </row>
    <row r="426">
      <c r="A426" s="40">
        <f t="array" ref="A426">IFNA(index(PlayerValues!A:A,match(IFNA(vlookup(B426,'Special Names'!A:B,2,FALSE),B426),PlayerValues!E:E,0)),"N/A")</f>
        <v>15727</v>
      </c>
      <c r="B426" s="4" t="s">
        <v>730</v>
      </c>
      <c r="C426" s="4" t="s">
        <v>278</v>
      </c>
      <c r="D426" s="94">
        <v>1026.0</v>
      </c>
    </row>
    <row r="427">
      <c r="A427" s="40">
        <f t="array" ref="A427">IFNA(index(PlayerValues!A:A,match(IFNA(vlookup(B427,'Special Names'!A:B,2,FALSE),B427),PlayerValues!E:E,0)),"N/A")</f>
        <v>15730</v>
      </c>
      <c r="B427" s="4" t="s">
        <v>734</v>
      </c>
      <c r="C427" s="4" t="s">
        <v>278</v>
      </c>
      <c r="D427" s="94">
        <v>1026.0</v>
      </c>
    </row>
    <row r="428">
      <c r="A428" s="40">
        <f t="array" ref="A428">IFNA(index(PlayerValues!A:A,match(IFNA(vlookup(B428,'Special Names'!A:B,2,FALSE),B428),PlayerValues!E:E,0)),"N/A")</f>
        <v>15717</v>
      </c>
      <c r="B428" s="4" t="s">
        <v>745</v>
      </c>
      <c r="C428" s="4" t="s">
        <v>278</v>
      </c>
      <c r="D428" s="94">
        <v>1026.0</v>
      </c>
    </row>
    <row r="429">
      <c r="A429" s="40">
        <f t="array" ref="A429">IFNA(index(PlayerValues!A:A,match(IFNA(vlookup(B429,'Special Names'!A:B,2,FALSE),B429),PlayerValues!E:E,0)),"N/A")</f>
        <v>9064</v>
      </c>
      <c r="B429" s="4" t="s">
        <v>761</v>
      </c>
      <c r="C429" s="4" t="s">
        <v>283</v>
      </c>
      <c r="D429" s="94">
        <v>1025.0</v>
      </c>
    </row>
    <row r="430">
      <c r="A430" s="40">
        <f t="array" ref="A430">IFNA(index(PlayerValues!A:A,match(IFNA(vlookup(B430,'Special Names'!A:B,2,FALSE),B430),PlayerValues!E:E,0)),"N/A")</f>
        <v>16168</v>
      </c>
      <c r="B430" s="4" t="s">
        <v>738</v>
      </c>
      <c r="C430" s="4" t="s">
        <v>278</v>
      </c>
      <c r="D430" s="94">
        <v>1021.0</v>
      </c>
    </row>
    <row r="431">
      <c r="A431" s="40">
        <f t="array" ref="A431">IFNA(index(PlayerValues!A:A,match(IFNA(vlookup(B431,'Special Names'!A:B,2,FALSE),B431),PlayerValues!E:E,0)),"N/A")</f>
        <v>15330</v>
      </c>
      <c r="B431" s="4" t="s">
        <v>749</v>
      </c>
      <c r="C431" s="4" t="s">
        <v>298</v>
      </c>
      <c r="D431" s="94">
        <v>1381.0</v>
      </c>
    </row>
    <row r="432">
      <c r="A432" s="40">
        <f t="array" ref="A432">IFNA(index(PlayerValues!A:A,match(IFNA(vlookup(B432,'Special Names'!A:B,2,FALSE),B432),PlayerValues!E:E,0)),"N/A")</f>
        <v>15693</v>
      </c>
      <c r="B432" s="4" t="s">
        <v>755</v>
      </c>
      <c r="C432" s="4" t="s">
        <v>283</v>
      </c>
      <c r="D432" s="94">
        <v>1010.0</v>
      </c>
    </row>
    <row r="433">
      <c r="A433" s="40">
        <f t="array" ref="A433">IFNA(index(PlayerValues!A:A,match(IFNA(vlookup(B433,'Special Names'!A:B,2,FALSE),B433),PlayerValues!E:E,0)),"N/A")</f>
        <v>16637</v>
      </c>
      <c r="B433" s="4" t="s">
        <v>736</v>
      </c>
      <c r="C433" s="4" t="s">
        <v>287</v>
      </c>
      <c r="D433" s="94">
        <v>1007.0</v>
      </c>
    </row>
    <row r="434">
      <c r="A434" s="40">
        <f t="array" ref="A434">IFNA(index(PlayerValues!A:A,match(IFNA(vlookup(B434,'Special Names'!A:B,2,FALSE),B434),PlayerValues!E:E,0)),"N/A")</f>
        <v>16451</v>
      </c>
      <c r="B434" s="4" t="s">
        <v>769</v>
      </c>
      <c r="C434" s="4" t="s">
        <v>287</v>
      </c>
      <c r="D434" s="94">
        <v>1005.0</v>
      </c>
    </row>
    <row r="435">
      <c r="A435" s="40">
        <f t="array" ref="A435">IFNA(index(PlayerValues!A:A,match(IFNA(vlookup(B435,'Special Names'!A:B,2,FALSE),B435),PlayerValues!E:E,0)),"N/A")</f>
        <v>15758</v>
      </c>
      <c r="B435" s="4" t="s">
        <v>724</v>
      </c>
      <c r="C435" s="4" t="s">
        <v>287</v>
      </c>
      <c r="D435" s="94">
        <v>998.0</v>
      </c>
    </row>
    <row r="436">
      <c r="A436" s="40">
        <f t="array" ref="A436">IFNA(index(PlayerValues!A:A,match(IFNA(vlookup(B436,'Special Names'!A:B,2,FALSE),B436),PlayerValues!E:E,0)),"N/A")</f>
        <v>16205</v>
      </c>
      <c r="B436" s="4" t="s">
        <v>742</v>
      </c>
      <c r="C436" s="4" t="s">
        <v>287</v>
      </c>
      <c r="D436" s="94">
        <v>997.0</v>
      </c>
    </row>
    <row r="437">
      <c r="A437" s="40">
        <f t="array" ref="A437">IFNA(index(PlayerValues!A:A,match(IFNA(vlookup(B437,'Special Names'!A:B,2,FALSE),B437),PlayerValues!E:E,0)),"N/A")</f>
        <v>15692</v>
      </c>
      <c r="B437" s="4" t="s">
        <v>750</v>
      </c>
      <c r="C437" s="4" t="s">
        <v>283</v>
      </c>
      <c r="D437" s="94">
        <v>996.0</v>
      </c>
    </row>
    <row r="438">
      <c r="A438" s="40">
        <f t="array" ref="A438">IFNA(index(PlayerValues!A:A,match(IFNA(vlookup(B438,'Special Names'!A:B,2,FALSE),B438),PlayerValues!E:E,0)),"N/A")</f>
        <v>15718</v>
      </c>
      <c r="B438" s="4" t="s">
        <v>753</v>
      </c>
      <c r="C438" s="4" t="s">
        <v>278</v>
      </c>
      <c r="D438" s="94">
        <v>990.0</v>
      </c>
    </row>
    <row r="439">
      <c r="A439" s="40">
        <f t="array" ref="A439">IFNA(index(PlayerValues!A:A,match(IFNA(vlookup(B439,'Special Names'!A:B,2,FALSE),B439),PlayerValues!E:E,0)),"N/A")</f>
        <v>16393</v>
      </c>
      <c r="B439" s="4" t="s">
        <v>768</v>
      </c>
      <c r="C439" s="4" t="s">
        <v>287</v>
      </c>
      <c r="D439" s="94">
        <v>983.0</v>
      </c>
    </row>
    <row r="440">
      <c r="A440" s="40">
        <f t="array" ref="A440">IFNA(index(PlayerValues!A:A,match(IFNA(vlookup(B440,'Special Names'!A:B,2,FALSE),B440),PlayerValues!E:E,0)),"N/A")</f>
        <v>16170</v>
      </c>
      <c r="B440" s="4" t="s">
        <v>801</v>
      </c>
      <c r="C440" s="4" t="s">
        <v>278</v>
      </c>
      <c r="D440" s="94">
        <v>980.0</v>
      </c>
    </row>
    <row r="441">
      <c r="A441" s="40">
        <f t="array" ref="A441">IFNA(index(PlayerValues!A:A,match(IFNA(vlookup(B441,'Special Names'!A:B,2,FALSE),B441),PlayerValues!E:E,0)),"N/A")</f>
        <v>16648</v>
      </c>
      <c r="B441" s="4" t="s">
        <v>748</v>
      </c>
      <c r="C441" s="4" t="s">
        <v>298</v>
      </c>
      <c r="D441" s="94">
        <v>1340.0</v>
      </c>
    </row>
    <row r="442">
      <c r="A442" s="40">
        <f t="array" ref="A442">IFNA(index(PlayerValues!A:A,match(IFNA(vlookup(B442,'Special Names'!A:B,2,FALSE),B442),PlayerValues!E:E,0)),"N/A")</f>
        <v>15258</v>
      </c>
      <c r="B442" s="4" t="s">
        <v>757</v>
      </c>
      <c r="C442" s="4" t="s">
        <v>278</v>
      </c>
      <c r="D442" s="94">
        <v>967.0</v>
      </c>
    </row>
    <row r="443">
      <c r="A443" s="40">
        <f t="array" ref="A443">IFNA(index(PlayerValues!A:A,match(IFNA(vlookup(B443,'Special Names'!A:B,2,FALSE),B443),PlayerValues!E:E,0)),"N/A")</f>
        <v>17487</v>
      </c>
      <c r="B443" s="4" t="s">
        <v>692</v>
      </c>
      <c r="C443" s="4" t="s">
        <v>278</v>
      </c>
      <c r="D443" s="94">
        <v>967.0</v>
      </c>
    </row>
    <row r="444">
      <c r="A444" s="40">
        <f t="array" ref="A444">IFNA(index(PlayerValues!A:A,match(IFNA(vlookup(B444,'Special Names'!A:B,2,FALSE),B444),PlayerValues!E:E,0)),"N/A")</f>
        <v>15239</v>
      </c>
      <c r="B444" s="4" t="s">
        <v>802</v>
      </c>
      <c r="C444" s="4" t="s">
        <v>283</v>
      </c>
      <c r="D444" s="94">
        <v>948.0</v>
      </c>
    </row>
    <row r="445">
      <c r="A445" s="40">
        <f t="array" ref="A445">IFNA(index(PlayerValues!A:A,match(IFNA(vlookup(B445,'Special Names'!A:B,2,FALSE),B445),PlayerValues!E:E,0)),"N/A")</f>
        <v>16606</v>
      </c>
      <c r="B445" s="4" t="s">
        <v>743</v>
      </c>
      <c r="C445" s="4" t="s">
        <v>278</v>
      </c>
      <c r="D445" s="94">
        <v>939.0</v>
      </c>
    </row>
    <row r="446">
      <c r="A446" s="40">
        <f t="array" ref="A446">IFNA(index(PlayerValues!A:A,match(IFNA(vlookup(B446,'Special Names'!A:B,2,FALSE),B446),PlayerValues!E:E,0)),"N/A")</f>
        <v>17549</v>
      </c>
      <c r="B446" s="4" t="s">
        <v>720</v>
      </c>
      <c r="C446" s="4" t="s">
        <v>298</v>
      </c>
      <c r="D446" s="94">
        <v>1303.0</v>
      </c>
    </row>
    <row r="447">
      <c r="A447" s="40">
        <f t="array" ref="A447">IFNA(index(PlayerValues!A:A,match(IFNA(vlookup(B447,'Special Names'!A:B,2,FALSE),B447),PlayerValues!E:E,0)),"N/A")</f>
        <v>16219</v>
      </c>
      <c r="B447" s="4" t="s">
        <v>739</v>
      </c>
      <c r="C447" s="4" t="s">
        <v>298</v>
      </c>
      <c r="D447" s="94">
        <v>1300.0</v>
      </c>
    </row>
    <row r="448">
      <c r="A448" s="40">
        <f t="array" ref="A448">IFNA(index(PlayerValues!A:A,match(IFNA(vlookup(B448,'Special Names'!A:B,2,FALSE),B448),PlayerValues!E:E,0)),"N/A")</f>
        <v>16416</v>
      </c>
      <c r="B448" s="4" t="s">
        <v>752</v>
      </c>
      <c r="C448" s="4" t="s">
        <v>287</v>
      </c>
      <c r="D448" s="94">
        <v>929.0</v>
      </c>
    </row>
    <row r="449">
      <c r="A449" s="40">
        <f t="array" ref="A449">IFNA(index(PlayerValues!A:A,match(IFNA(vlookup(B449,'Special Names'!A:B,2,FALSE),B449),PlayerValues!E:E,0)),"N/A")</f>
        <v>16678</v>
      </c>
      <c r="B449" s="4" t="s">
        <v>758</v>
      </c>
      <c r="C449" s="4" t="s">
        <v>278</v>
      </c>
      <c r="D449" s="94">
        <v>921.0</v>
      </c>
    </row>
    <row r="450">
      <c r="A450" s="40">
        <f t="array" ref="A450">IFNA(index(PlayerValues!A:A,match(IFNA(vlookup(B450,'Special Names'!A:B,2,FALSE),B450),PlayerValues!E:E,0)),"N/A")</f>
        <v>16599</v>
      </c>
      <c r="B450" s="4" t="s">
        <v>737</v>
      </c>
      <c r="C450" s="4" t="s">
        <v>278</v>
      </c>
      <c r="D450" s="94">
        <v>919.0</v>
      </c>
    </row>
    <row r="451">
      <c r="A451" s="40">
        <f t="array" ref="A451">IFNA(index(PlayerValues!A:A,match(IFNA(vlookup(B451,'Special Names'!A:B,2,FALSE),B451),PlayerValues!E:E,0)),"N/A")</f>
        <v>16858</v>
      </c>
      <c r="B451" s="4" t="s">
        <v>754</v>
      </c>
      <c r="C451" s="4" t="s">
        <v>287</v>
      </c>
      <c r="D451" s="94">
        <v>916.0</v>
      </c>
    </row>
    <row r="452">
      <c r="A452" s="40">
        <f t="array" ref="A452">IFNA(index(PlayerValues!A:A,match(IFNA(vlookup(B452,'Special Names'!A:B,2,FALSE),B452),PlayerValues!E:E,0)),"N/A")</f>
        <v>17479</v>
      </c>
      <c r="B452" s="4" t="s">
        <v>756</v>
      </c>
      <c r="C452" s="4" t="s">
        <v>278</v>
      </c>
      <c r="D452" s="94">
        <v>908.0</v>
      </c>
    </row>
    <row r="453">
      <c r="A453" s="40">
        <f t="array" ref="A453">IFNA(index(PlayerValues!A:A,match(IFNA(vlookup(B453,'Special Names'!A:B,2,FALSE),B453),PlayerValues!E:E,0)),"N/A")</f>
        <v>15626</v>
      </c>
      <c r="B453" s="4" t="s">
        <v>766</v>
      </c>
      <c r="C453" s="4" t="s">
        <v>298</v>
      </c>
      <c r="D453" s="94">
        <v>1272.0</v>
      </c>
    </row>
    <row r="454">
      <c r="A454" s="40">
        <f t="array" ref="A454">IFNA(index(PlayerValues!A:A,match(IFNA(vlookup(B454,'Special Names'!A:B,2,FALSE),B454),PlayerValues!E:E,0)),"N/A")</f>
        <v>15785</v>
      </c>
      <c r="B454" s="4" t="s">
        <v>763</v>
      </c>
      <c r="C454" s="4" t="s">
        <v>287</v>
      </c>
      <c r="D454" s="94">
        <v>898.0</v>
      </c>
    </row>
    <row r="455">
      <c r="A455" s="40">
        <f t="array" ref="A455">IFNA(index(PlayerValues!A:A,match(IFNA(vlookup(B455,'Special Names'!A:B,2,FALSE),B455),PlayerValues!E:E,0)),"N/A")</f>
        <v>15720</v>
      </c>
      <c r="B455" s="4" t="s">
        <v>795</v>
      </c>
      <c r="C455" s="4" t="s">
        <v>278</v>
      </c>
      <c r="D455" s="94">
        <v>897.0</v>
      </c>
    </row>
    <row r="456">
      <c r="A456" s="40">
        <f t="array" ref="A456">IFNA(index(PlayerValues!A:A,match(IFNA(vlookup(B456,'Special Names'!A:B,2,FALSE),B456),PlayerValues!E:E,0)),"N/A")</f>
        <v>16623</v>
      </c>
      <c r="B456" s="4" t="s">
        <v>803</v>
      </c>
      <c r="C456" s="4" t="s">
        <v>287</v>
      </c>
      <c r="D456" s="94">
        <v>894.0</v>
      </c>
    </row>
    <row r="457">
      <c r="A457" s="40">
        <f t="array" ref="A457">IFNA(index(PlayerValues!A:A,match(IFNA(vlookup(B457,'Special Names'!A:B,2,FALSE),B457),PlayerValues!E:E,0)),"N/A")</f>
        <v>15766</v>
      </c>
      <c r="B457" s="4" t="s">
        <v>759</v>
      </c>
      <c r="C457" s="4" t="s">
        <v>287</v>
      </c>
      <c r="D457" s="94">
        <v>889.0</v>
      </c>
    </row>
    <row r="458">
      <c r="A458" s="40">
        <f t="array" ref="A458">IFNA(index(PlayerValues!A:A,match(IFNA(vlookup(B458,'Special Names'!A:B,2,FALSE),B458),PlayerValues!E:E,0)),"N/A")</f>
        <v>17175</v>
      </c>
      <c r="B458" s="4" t="s">
        <v>747</v>
      </c>
      <c r="C458" s="4" t="s">
        <v>287</v>
      </c>
      <c r="D458" s="94">
        <v>880.0</v>
      </c>
    </row>
    <row r="459">
      <c r="A459" s="40">
        <f t="array" ref="A459">IFNA(index(PlayerValues!A:A,match(IFNA(vlookup(B459,'Special Names'!A:B,2,FALSE),B459),PlayerValues!E:E,0)),"N/A")</f>
        <v>13193</v>
      </c>
      <c r="B459" s="4" t="s">
        <v>773</v>
      </c>
      <c r="C459" s="4" t="s">
        <v>298</v>
      </c>
      <c r="D459" s="94">
        <v>1235.0</v>
      </c>
    </row>
    <row r="460">
      <c r="A460" s="40">
        <f t="array" ref="A460">IFNA(index(PlayerValues!A:A,match(IFNA(vlookup(B460,'Special Names'!A:B,2,FALSE),B460),PlayerValues!E:E,0)),"N/A")</f>
        <v>17654</v>
      </c>
      <c r="B460" s="4" t="s">
        <v>767</v>
      </c>
      <c r="C460" s="4" t="s">
        <v>283</v>
      </c>
      <c r="D460" s="94">
        <v>860.0</v>
      </c>
    </row>
    <row r="461">
      <c r="A461" s="40">
        <f t="array" ref="A461">IFNA(index(PlayerValues!A:A,match(IFNA(vlookup(B461,'Special Names'!A:B,2,FALSE),B461),PlayerValues!E:E,0)),"N/A")</f>
        <v>14057</v>
      </c>
      <c r="B461" s="4" t="s">
        <v>765</v>
      </c>
      <c r="C461" s="4" t="s">
        <v>283</v>
      </c>
      <c r="D461" s="94">
        <v>856.0</v>
      </c>
    </row>
    <row r="462">
      <c r="A462" s="40">
        <f t="array" ref="A462">IFNA(index(PlayerValues!A:A,match(IFNA(vlookup(B462,'Special Names'!A:B,2,FALSE),B462),PlayerValues!E:E,0)),"N/A")</f>
        <v>17541</v>
      </c>
      <c r="B462" s="4" t="s">
        <v>616</v>
      </c>
      <c r="C462" s="4" t="s">
        <v>287</v>
      </c>
      <c r="D462" s="94">
        <v>856.0</v>
      </c>
    </row>
    <row r="463">
      <c r="A463" s="40">
        <f t="array" ref="A463">IFNA(index(PlayerValues!A:A,match(IFNA(vlookup(B463,'Special Names'!A:B,2,FALSE),B463),PlayerValues!E:E,0)),"N/A")</f>
        <v>14118</v>
      </c>
      <c r="B463" s="4" t="s">
        <v>771</v>
      </c>
      <c r="C463" s="4" t="s">
        <v>287</v>
      </c>
      <c r="D463" s="94">
        <v>854.0</v>
      </c>
    </row>
    <row r="464">
      <c r="A464" s="40">
        <f t="array" ref="A464">IFNA(index(PlayerValues!A:A,match(IFNA(vlookup(B464,'Special Names'!A:B,2,FALSE),B464),PlayerValues!E:E,0)),"N/A")</f>
        <v>16624</v>
      </c>
      <c r="B464" s="4" t="s">
        <v>796</v>
      </c>
      <c r="C464" s="4" t="s">
        <v>287</v>
      </c>
      <c r="D464" s="94">
        <v>848.0</v>
      </c>
    </row>
    <row r="465">
      <c r="A465" s="40">
        <f t="array" ref="A465">IFNA(index(PlayerValues!A:A,match(IFNA(vlookup(B465,'Special Names'!A:B,2,FALSE),B465),PlayerValues!E:E,0)),"N/A")</f>
        <v>17486</v>
      </c>
      <c r="B465" s="4" t="s">
        <v>695</v>
      </c>
      <c r="C465" s="4" t="s">
        <v>278</v>
      </c>
      <c r="D465" s="94">
        <v>843.0</v>
      </c>
    </row>
    <row r="466">
      <c r="A466" s="40">
        <f t="array" ref="A466">IFNA(index(PlayerValues!A:A,match(IFNA(vlookup(B466,'Special Names'!A:B,2,FALSE),B466),PlayerValues!E:E,0)),"N/A")</f>
        <v>17627</v>
      </c>
      <c r="B466" s="4" t="s">
        <v>684</v>
      </c>
      <c r="C466" s="4" t="s">
        <v>298</v>
      </c>
      <c r="D466" s="94">
        <v>1209.0</v>
      </c>
    </row>
    <row r="467">
      <c r="A467" s="40">
        <f t="array" ref="A467">IFNA(index(PlayerValues!A:A,match(IFNA(vlookup(B467,'Special Names'!A:B,2,FALSE),B467),PlayerValues!E:E,0)),"N/A")</f>
        <v>12785</v>
      </c>
      <c r="B467" s="4" t="s">
        <v>772</v>
      </c>
      <c r="C467" s="4" t="s">
        <v>287</v>
      </c>
      <c r="D467" s="94">
        <v>816.0</v>
      </c>
    </row>
    <row r="468">
      <c r="A468" s="40">
        <f t="array" ref="A468">IFNA(index(PlayerValues!A:A,match(IFNA(vlookup(B468,'Special Names'!A:B,2,FALSE),B468),PlayerValues!E:E,0)),"N/A")</f>
        <v>16773</v>
      </c>
      <c r="B468" s="4" t="s">
        <v>783</v>
      </c>
      <c r="C468" s="4" t="s">
        <v>278</v>
      </c>
      <c r="D468" s="94">
        <v>813.0</v>
      </c>
    </row>
    <row r="469">
      <c r="A469" s="40">
        <f t="array" ref="A469">IFNA(index(PlayerValues!A:A,match(IFNA(vlookup(B469,'Special Names'!A:B,2,FALSE),B469),PlayerValues!E:E,0)),"N/A")</f>
        <v>14223</v>
      </c>
      <c r="B469" s="4" t="s">
        <v>785</v>
      </c>
      <c r="C469" s="4" t="s">
        <v>278</v>
      </c>
      <c r="D469" s="94">
        <v>806.0</v>
      </c>
    </row>
    <row r="470">
      <c r="A470" s="40">
        <f t="array" ref="A470">IFNA(index(PlayerValues!A:A,match(IFNA(vlookup(B470,'Special Names'!A:B,2,FALSE),B470),PlayerValues!E:E,0)),"N/A")</f>
        <v>13133</v>
      </c>
      <c r="B470" s="4" t="s">
        <v>764</v>
      </c>
      <c r="C470" s="4" t="s">
        <v>278</v>
      </c>
      <c r="D470" s="94">
        <v>783.0</v>
      </c>
    </row>
    <row r="471">
      <c r="A471" s="40">
        <f t="array" ref="A471">IFNA(index(PlayerValues!A:A,match(IFNA(vlookup(B471,'Special Names'!A:B,2,FALSE),B471),PlayerValues!E:E,0)),"N/A")</f>
        <v>16751</v>
      </c>
      <c r="B471" s="4" t="s">
        <v>762</v>
      </c>
      <c r="C471" s="4" t="s">
        <v>287</v>
      </c>
      <c r="D471" s="94">
        <v>732.0</v>
      </c>
    </row>
    <row r="472">
      <c r="A472" s="40">
        <f t="array" ref="A472">IFNA(index(PlayerValues!A:A,match(IFNA(vlookup(B472,'Special Names'!A:B,2,FALSE),B472),PlayerValues!E:E,0)),"N/A")</f>
        <v>16625</v>
      </c>
      <c r="B472" s="4" t="s">
        <v>778</v>
      </c>
      <c r="C472" s="4" t="s">
        <v>287</v>
      </c>
      <c r="D472" s="94">
        <v>729.0</v>
      </c>
    </row>
    <row r="473">
      <c r="A473" s="40">
        <f t="array" ref="A473">IFNA(index(PlayerValues!A:A,match(IFNA(vlookup(B473,'Special Names'!A:B,2,FALSE),B473),PlayerValues!E:E,0)),"N/A")</f>
        <v>15263</v>
      </c>
      <c r="B473" s="4" t="s">
        <v>804</v>
      </c>
      <c r="C473" s="4" t="s">
        <v>278</v>
      </c>
      <c r="D473" s="94">
        <v>712.0</v>
      </c>
    </row>
    <row r="474">
      <c r="A474" s="40">
        <f t="array" ref="A474">IFNA(index(PlayerValues!A:A,match(IFNA(vlookup(B474,'Special Names'!A:B,2,FALSE),B474),PlayerValues!E:E,0)),"N/A")</f>
        <v>17337</v>
      </c>
      <c r="B474" s="4" t="s">
        <v>793</v>
      </c>
      <c r="C474" s="4" t="s">
        <v>278</v>
      </c>
      <c r="D474" s="94">
        <v>703.0</v>
      </c>
    </row>
    <row r="475">
      <c r="A475" s="40">
        <f t="array" ref="A475">IFNA(index(PlayerValues!A:A,match(IFNA(vlookup(B475,'Special Names'!A:B,2,FALSE),B475),PlayerValues!E:E,0)),"N/A")</f>
        <v>17545</v>
      </c>
      <c r="B475" s="4" t="s">
        <v>719</v>
      </c>
      <c r="C475" s="4" t="s">
        <v>298</v>
      </c>
      <c r="D475" s="94">
        <v>1052.0</v>
      </c>
    </row>
    <row r="476">
      <c r="A476" s="40">
        <f t="array" ref="A476">IFNA(index(PlayerValues!A:A,match(IFNA(vlookup(B476,'Special Names'!A:B,2,FALSE),B476),PlayerValues!E:E,0)),"N/A")</f>
        <v>15723</v>
      </c>
      <c r="B476" s="4" t="s">
        <v>798</v>
      </c>
      <c r="C476" s="4" t="s">
        <v>278</v>
      </c>
      <c r="D476" s="94">
        <v>636.0</v>
      </c>
    </row>
    <row r="477">
      <c r="A477" s="40">
        <f t="array" ref="A477">IFNA(index(PlayerValues!A:A,match(IFNA(vlookup(B477,'Special Names'!A:B,2,FALSE),B477),PlayerValues!E:E,0)),"N/A")</f>
        <v>16299</v>
      </c>
      <c r="B477" s="4" t="s">
        <v>787</v>
      </c>
      <c r="C477" s="4" t="s">
        <v>287</v>
      </c>
      <c r="D477" s="94">
        <v>633.0</v>
      </c>
    </row>
    <row r="478">
      <c r="A478" s="40">
        <f t="array" ref="A478">IFNA(index(PlayerValues!A:A,match(IFNA(vlookup(B478,'Special Names'!A:B,2,FALSE),B478),PlayerValues!E:E,0)),"N/A")</f>
        <v>16686</v>
      </c>
      <c r="B478" s="4" t="s">
        <v>805</v>
      </c>
      <c r="C478" s="4" t="s">
        <v>287</v>
      </c>
      <c r="D478" s="94">
        <v>622.0</v>
      </c>
    </row>
    <row r="479">
      <c r="A479" s="40">
        <f t="array" ref="A479">IFNA(index(PlayerValues!A:A,match(IFNA(vlookup(B479,'Special Names'!A:B,2,FALSE),B479),PlayerValues!E:E,0)),"N/A")</f>
        <v>13143</v>
      </c>
      <c r="B479" s="4" t="s">
        <v>786</v>
      </c>
      <c r="C479" s="4" t="s">
        <v>278</v>
      </c>
      <c r="D479" s="94">
        <v>621.0</v>
      </c>
    </row>
    <row r="480">
      <c r="A480" s="40">
        <f t="array" ref="A480">IFNA(index(PlayerValues!A:A,match(IFNA(vlookup(B480,'Special Names'!A:B,2,FALSE),B480),PlayerValues!E:E,0)),"N/A")</f>
        <v>16957</v>
      </c>
      <c r="B480" s="4" t="s">
        <v>806</v>
      </c>
      <c r="C480" s="4" t="s">
        <v>278</v>
      </c>
      <c r="D480" s="94">
        <v>616.0</v>
      </c>
    </row>
    <row r="481">
      <c r="A481" s="40">
        <f t="array" ref="A481">IFNA(index(PlayerValues!A:A,match(IFNA(vlookup(B481,'Special Names'!A:B,2,FALSE),B481),PlayerValues!E:E,0)),"N/A")</f>
        <v>16413</v>
      </c>
      <c r="B481" s="4" t="s">
        <v>781</v>
      </c>
      <c r="C481" s="4" t="s">
        <v>287</v>
      </c>
      <c r="D481" s="94">
        <v>599.0</v>
      </c>
    </row>
    <row r="482">
      <c r="A482" s="40">
        <f t="array" ref="A482">IFNA(index(PlayerValues!A:A,match(IFNA(vlookup(B482,'Special Names'!A:B,2,FALSE),B482),PlayerValues!E:E,0)),"N/A")</f>
        <v>14864</v>
      </c>
      <c r="B482" s="4" t="s">
        <v>789</v>
      </c>
      <c r="C482" s="4" t="s">
        <v>287</v>
      </c>
      <c r="D482" s="94">
        <v>593.0</v>
      </c>
    </row>
    <row r="483">
      <c r="A483" s="40">
        <f t="array" ref="A483">IFNA(index(PlayerValues!A:A,match(IFNA(vlookup(B483,'Special Names'!A:B,2,FALSE),B483),PlayerValues!E:E,0)),"N/A")</f>
        <v>17038</v>
      </c>
      <c r="B483" s="4" t="s">
        <v>774</v>
      </c>
      <c r="C483" s="4" t="s">
        <v>283</v>
      </c>
      <c r="D483" s="94">
        <v>576.0</v>
      </c>
    </row>
    <row r="484">
      <c r="A484" s="40">
        <f t="array" ref="A484">IFNA(index(PlayerValues!A:A,match(IFNA(vlookup(B484,'Special Names'!A:B,2,FALSE),B484),PlayerValues!E:E,0)),"N/A")</f>
        <v>17232</v>
      </c>
      <c r="B484" s="4" t="s">
        <v>784</v>
      </c>
      <c r="C484" s="4" t="s">
        <v>287</v>
      </c>
      <c r="D484" s="94">
        <v>574.0</v>
      </c>
    </row>
    <row r="485">
      <c r="A485" s="40">
        <f t="array" ref="A485">IFNA(index(PlayerValues!A:A,match(IFNA(vlookup(B485,'Special Names'!A:B,2,FALSE),B485),PlayerValues!E:E,0)),"N/A")</f>
        <v>17542</v>
      </c>
      <c r="B485" s="4" t="s">
        <v>685</v>
      </c>
      <c r="C485" s="4" t="s">
        <v>287</v>
      </c>
      <c r="D485" s="94">
        <v>558.0</v>
      </c>
    </row>
    <row r="486">
      <c r="A486" s="40">
        <f t="array" ref="A486">IFNA(index(PlayerValues!A:A,match(IFNA(vlookup(B486,'Special Names'!A:B,2,FALSE),B486),PlayerValues!E:E,0)),"N/A")</f>
        <v>14805</v>
      </c>
      <c r="B486" s="4" t="s">
        <v>770</v>
      </c>
      <c r="C486" s="4" t="s">
        <v>278</v>
      </c>
      <c r="D486" s="94">
        <v>552.0</v>
      </c>
    </row>
    <row r="487">
      <c r="A487" s="40">
        <f t="array" ref="A487">IFNA(index(PlayerValues!A:A,match(IFNA(vlookup(B487,'Special Names'!A:B,2,FALSE),B487),PlayerValues!E:E,0)),"N/A")</f>
        <v>16613</v>
      </c>
      <c r="B487" s="4" t="s">
        <v>782</v>
      </c>
      <c r="C487" s="4" t="s">
        <v>278</v>
      </c>
      <c r="D487" s="94">
        <v>536.0</v>
      </c>
    </row>
    <row r="488">
      <c r="A488" s="40">
        <f t="array" ref="A488">IFNA(index(PlayerValues!A:A,match(IFNA(vlookup(B488,'Special Names'!A:B,2,FALSE),B488),PlayerValues!E:E,0)),"N/A")</f>
        <v>15796</v>
      </c>
      <c r="B488" s="4" t="s">
        <v>794</v>
      </c>
      <c r="C488" s="4" t="s">
        <v>298</v>
      </c>
      <c r="D488" s="94">
        <v>877.0</v>
      </c>
    </row>
    <row r="489">
      <c r="A489" s="40">
        <f t="array" ref="A489">IFNA(index(PlayerValues!A:A,match(IFNA(vlookup(B489,'Special Names'!A:B,2,FALSE),B489),PlayerValues!E:E,0)),"N/A")</f>
        <v>13176</v>
      </c>
      <c r="B489" s="4" t="s">
        <v>807</v>
      </c>
      <c r="C489" s="4" t="s">
        <v>287</v>
      </c>
      <c r="D489" s="94">
        <v>506.0</v>
      </c>
    </row>
    <row r="490">
      <c r="A490" s="40">
        <f t="array" ref="A490">IFNA(index(PlayerValues!A:A,match(IFNA(vlookup(B490,'Special Names'!A:B,2,FALSE),B490),PlayerValues!E:E,0)),"N/A")</f>
        <v>15271</v>
      </c>
      <c r="B490" s="4" t="s">
        <v>741</v>
      </c>
      <c r="C490" s="4" t="s">
        <v>278</v>
      </c>
      <c r="D490" s="94">
        <v>501.0</v>
      </c>
    </row>
    <row r="491">
      <c r="A491" s="40">
        <f t="array" ref="A491">IFNA(index(PlayerValues!A:A,match(IFNA(vlookup(B491,'Special Names'!A:B,2,FALSE),B491),PlayerValues!E:E,0)),"N/A")</f>
        <v>17348</v>
      </c>
      <c r="B491" s="4" t="s">
        <v>797</v>
      </c>
      <c r="C491" s="4" t="s">
        <v>278</v>
      </c>
      <c r="D491" s="94">
        <v>501.0</v>
      </c>
    </row>
    <row r="492">
      <c r="A492" s="40">
        <f t="array" ref="A492">IFNA(index(PlayerValues!A:A,match(IFNA(vlookup(B492,'Special Names'!A:B,2,FALSE),B492),PlayerValues!E:E,0)),"N/A")</f>
        <v>14858</v>
      </c>
      <c r="B492" s="4" t="s">
        <v>799</v>
      </c>
      <c r="C492" s="4" t="s">
        <v>287</v>
      </c>
      <c r="D492" s="94">
        <v>497.0</v>
      </c>
    </row>
    <row r="493">
      <c r="A493" s="40">
        <f t="array" ref="A493">IFNA(index(PlayerValues!A:A,match(IFNA(vlookup(B493,'Special Names'!A:B,2,FALSE),B493),PlayerValues!E:E,0)),"N/A")</f>
        <v>13641</v>
      </c>
      <c r="B493" s="4" t="s">
        <v>808</v>
      </c>
      <c r="C493" s="4" t="s">
        <v>287</v>
      </c>
      <c r="D493" s="94">
        <v>496.0</v>
      </c>
    </row>
    <row r="494">
      <c r="A494" s="40">
        <f t="array" ref="A494">IFNA(index(PlayerValues!A:A,match(IFNA(vlookup(B494,'Special Names'!A:B,2,FALSE),B494),PlayerValues!E:E,0)),"N/A")</f>
        <v>14209</v>
      </c>
      <c r="B494" s="4" t="s">
        <v>809</v>
      </c>
      <c r="C494" s="4" t="s">
        <v>298</v>
      </c>
      <c r="D494" s="94">
        <v>836.0</v>
      </c>
    </row>
    <row r="495">
      <c r="A495" s="40">
        <f t="array" ref="A495">IFNA(index(PlayerValues!A:A,match(IFNA(vlookup(B495,'Special Names'!A:B,2,FALSE),B495),PlayerValues!E:E,0)),"N/A")</f>
        <v>17243</v>
      </c>
      <c r="B495" s="4" t="s">
        <v>810</v>
      </c>
      <c r="C495" s="4" t="s">
        <v>298</v>
      </c>
      <c r="D495" s="94">
        <v>832.0</v>
      </c>
    </row>
    <row r="496">
      <c r="A496" s="40">
        <f t="array" ref="A496">IFNA(index(PlayerValues!A:A,match(IFNA(vlookup(B496,'Special Names'!A:B,2,FALSE),B496),PlayerValues!E:E,0)),"N/A")</f>
        <v>14113</v>
      </c>
      <c r="B496" s="4" t="s">
        <v>788</v>
      </c>
      <c r="C496" s="4" t="s">
        <v>287</v>
      </c>
      <c r="D496" s="94">
        <v>484.0</v>
      </c>
    </row>
    <row r="497">
      <c r="A497" s="40">
        <f t="array" ref="A497">IFNA(index(PlayerValues!A:A,match(IFNA(vlookup(B497,'Special Names'!A:B,2,FALSE),B497),PlayerValues!E:E,0)),"N/A")</f>
        <v>10413</v>
      </c>
      <c r="B497" s="4" t="s">
        <v>811</v>
      </c>
      <c r="C497" s="4" t="s">
        <v>283</v>
      </c>
      <c r="D497" s="94">
        <v>482.0</v>
      </c>
    </row>
    <row r="498">
      <c r="A498" s="40">
        <f t="array" ref="A498">IFNA(index(PlayerValues!A:A,match(IFNA(vlookup(B498,'Special Names'!A:B,2,FALSE),B498),PlayerValues!E:E,0)),"N/A")</f>
        <v>16176</v>
      </c>
      <c r="B498" s="4" t="s">
        <v>812</v>
      </c>
      <c r="C498" s="4" t="s">
        <v>278</v>
      </c>
      <c r="D498" s="94">
        <v>482.0</v>
      </c>
    </row>
    <row r="499">
      <c r="A499" s="40">
        <f t="array" ref="A499">IFNA(index(PlayerValues!A:A,match(IFNA(vlookup(B499,'Special Names'!A:B,2,FALSE),B499),PlayerValues!E:E,0)),"N/A")</f>
        <v>14358</v>
      </c>
      <c r="B499" s="4" t="s">
        <v>813</v>
      </c>
      <c r="C499" s="4" t="s">
        <v>283</v>
      </c>
      <c r="D499" s="94">
        <v>479.0</v>
      </c>
    </row>
    <row r="500">
      <c r="A500" s="40">
        <f t="array" ref="A500">IFNA(index(PlayerValues!A:A,match(IFNA(vlookup(B500,'Special Names'!A:B,2,FALSE),B500),PlayerValues!E:E,0)),"N/A")</f>
        <v>17709</v>
      </c>
      <c r="B500" s="4" t="s">
        <v>814</v>
      </c>
      <c r="C500" s="4" t="s">
        <v>278</v>
      </c>
      <c r="D500" s="94">
        <v>9.0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9999.0</v>
      </c>
    </row>
    <row r="502">
      <c r="A502" s="40">
        <f t="array" ref="A502">IFNA(index(PlayerValues!A:A,match(IFNA(vlookup(B502,'Special Names'!A:B,2,FALSE),B502),PlayerValues!E:E,0)),"N/A")</f>
        <v>16162</v>
      </c>
      <c r="B502" s="4" t="s">
        <v>281</v>
      </c>
      <c r="C502" s="4" t="s">
        <v>278</v>
      </c>
      <c r="D502" s="94">
        <v>9999.0</v>
      </c>
    </row>
    <row r="503">
      <c r="A503" s="40">
        <f t="array" ref="A503">IFNA(index(PlayerValues!A:A,match(IFNA(vlookup(B503,'Special Names'!A:B,2,FALSE),B503),PlayerValues!E:E,0)),"N/A")</f>
        <v>16161</v>
      </c>
      <c r="B503" s="4" t="s">
        <v>277</v>
      </c>
      <c r="C503" s="4" t="s">
        <v>278</v>
      </c>
      <c r="D503" s="94">
        <v>9990.0</v>
      </c>
    </row>
    <row r="504">
      <c r="A504" s="40">
        <f t="array" ref="A504">IFNA(index(PlayerValues!A:A,match(IFNA(vlookup(B504,'Special Names'!A:B,2,FALSE),B504),PlayerValues!E:E,0)),"N/A")</f>
        <v>15281</v>
      </c>
      <c r="B504" s="4" t="s">
        <v>286</v>
      </c>
      <c r="C504" s="4" t="s">
        <v>287</v>
      </c>
      <c r="D504" s="94">
        <v>9989.0</v>
      </c>
    </row>
    <row r="505">
      <c r="A505" s="40">
        <f t="array" ref="A505">IFNA(index(PlayerValues!A:A,match(IFNA(vlookup(B505,'Special Names'!A:B,2,FALSE),B505),PlayerValues!E:E,0)),"N/A")</f>
        <v>16185</v>
      </c>
      <c r="B505" s="4" t="s">
        <v>290</v>
      </c>
      <c r="C505" s="4" t="s">
        <v>287</v>
      </c>
      <c r="D505" s="94">
        <v>9313.0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9252.0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8785.0</v>
      </c>
    </row>
    <row r="508">
      <c r="A508" s="40">
        <f t="array" ref="A508">IFNA(index(PlayerValues!A:A,match(IFNA(vlookup(B508,'Special Names'!A:B,2,FALSE),B508),PlayerValues!E:E,0)),"N/A")</f>
        <v>16641</v>
      </c>
      <c r="B508" s="4" t="s">
        <v>297</v>
      </c>
      <c r="C508" s="4" t="s">
        <v>298</v>
      </c>
      <c r="D508" s="94">
        <v>8999.0</v>
      </c>
    </row>
    <row r="509">
      <c r="A509" s="40">
        <f t="array" ref="A509">IFNA(index(PlayerValues!A:A,match(IFNA(vlookup(B509,'Special Names'!A:B,2,FALSE),B509),PlayerValues!E:E,0)),"N/A")</f>
        <v>15287</v>
      </c>
      <c r="B509" s="4" t="s">
        <v>299</v>
      </c>
      <c r="C509" s="4" t="s">
        <v>287</v>
      </c>
      <c r="D509" s="94">
        <v>7867.0</v>
      </c>
    </row>
    <row r="510">
      <c r="A510" s="40">
        <f t="array" ref="A510">IFNA(index(PlayerValues!A:A,match(IFNA(vlookup(B510,'Special Names'!A:B,2,FALSE),B510),PlayerValues!E:E,0)),"N/A")</f>
        <v>16579</v>
      </c>
      <c r="B510" s="4" t="s">
        <v>302</v>
      </c>
      <c r="C510" s="4" t="s">
        <v>283</v>
      </c>
      <c r="D510" s="94">
        <v>7834.0</v>
      </c>
    </row>
    <row r="511">
      <c r="A511" s="40">
        <f t="array" ref="A511">IFNA(index(PlayerValues!A:A,match(IFNA(vlookup(B511,'Special Names'!A:B,2,FALSE),B511),PlayerValues!E:E,0)),"N/A")</f>
        <v>17042</v>
      </c>
      <c r="B511" s="4" t="s">
        <v>314</v>
      </c>
      <c r="C511" s="4" t="s">
        <v>278</v>
      </c>
      <c r="D511" s="94">
        <v>7647.0</v>
      </c>
    </row>
    <row r="512">
      <c r="A512" s="40">
        <f t="array" ref="A512">IFNA(index(PlayerValues!A:A,match(IFNA(vlookup(B512,'Special Names'!A:B,2,FALSE),B512),PlayerValues!E:E,0)),"N/A")</f>
        <v>13593</v>
      </c>
      <c r="B512" s="4" t="s">
        <v>305</v>
      </c>
      <c r="C512" s="4" t="s">
        <v>283</v>
      </c>
      <c r="D512" s="94">
        <v>7630.0</v>
      </c>
    </row>
    <row r="513">
      <c r="A513" s="40">
        <f t="array" ref="A513">IFNA(index(PlayerValues!A:A,match(IFNA(vlookup(B513,'Special Names'!A:B,2,FALSE),B513),PlayerValues!E:E,0)),"N/A")</f>
        <v>16581</v>
      </c>
      <c r="B513" s="4" t="s">
        <v>315</v>
      </c>
      <c r="C513" s="4" t="s">
        <v>283</v>
      </c>
      <c r="D513" s="94">
        <v>7629.0</v>
      </c>
    </row>
    <row r="514">
      <c r="A514" s="40">
        <f t="array" ref="A514">IFNA(index(PlayerValues!A:A,match(IFNA(vlookup(B514,'Special Names'!A:B,2,FALSE),B514),PlayerValues!E:E,0)),"N/A")</f>
        <v>14836</v>
      </c>
      <c r="B514" s="4" t="s">
        <v>306</v>
      </c>
      <c r="C514" s="4" t="s">
        <v>287</v>
      </c>
      <c r="D514" s="94">
        <v>7614.0</v>
      </c>
    </row>
    <row r="515">
      <c r="A515" s="40">
        <f t="array" ref="A515">IFNA(index(PlayerValues!A:A,match(IFNA(vlookup(B515,'Special Names'!A:B,2,FALSE),B515),PlayerValues!E:E,0)),"N/A")</f>
        <v>17472</v>
      </c>
      <c r="B515" s="4" t="s">
        <v>310</v>
      </c>
      <c r="C515" s="4" t="s">
        <v>278</v>
      </c>
      <c r="D515" s="94">
        <v>7468.0</v>
      </c>
    </row>
    <row r="516">
      <c r="A516" s="40">
        <f t="array" ref="A516">IFNA(index(PlayerValues!A:A,match(IFNA(vlookup(B516,'Special Names'!A:B,2,FALSE),B516),PlayerValues!E:E,0)),"N/A")</f>
        <v>14777</v>
      </c>
      <c r="B516" s="4" t="s">
        <v>318</v>
      </c>
      <c r="C516" s="4" t="s">
        <v>283</v>
      </c>
      <c r="D516" s="94">
        <v>7426.0</v>
      </c>
    </row>
    <row r="517">
      <c r="A517" s="40">
        <f t="array" ref="A517">IFNA(index(PlayerValues!A:A,match(IFNA(vlookup(B517,'Special Names'!A:B,2,FALSE),B517),PlayerValues!E:E,0)),"N/A")</f>
        <v>15794</v>
      </c>
      <c r="B517" s="4" t="s">
        <v>313</v>
      </c>
      <c r="C517" s="4" t="s">
        <v>298</v>
      </c>
      <c r="D517" s="94">
        <v>8169.0</v>
      </c>
    </row>
    <row r="518">
      <c r="A518" s="40">
        <f t="array" ref="A518">IFNA(index(PlayerValues!A:A,match(IFNA(vlookup(B518,'Special Names'!A:B,2,FALSE),B518),PlayerValues!E:E,0)),"N/A")</f>
        <v>16615</v>
      </c>
      <c r="B518" s="4" t="s">
        <v>309</v>
      </c>
      <c r="C518" s="4" t="s">
        <v>287</v>
      </c>
      <c r="D518" s="94">
        <v>7230.0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7133.0</v>
      </c>
    </row>
    <row r="520">
      <c r="A520" s="40" t="str">
        <f t="array" ref="A520">IFNA(index(PlayerValues!A:A,match(IFNA(vlookup(B520,'Special Names'!A:B,2,FALSE),B520),PlayerValues!E:E,0)),"N/A")</f>
        <v>N/A</v>
      </c>
      <c r="B520" s="4" t="s">
        <v>92</v>
      </c>
      <c r="C520" s="4" t="s">
        <v>325</v>
      </c>
      <c r="D520" s="94">
        <v>7108.0</v>
      </c>
    </row>
    <row r="521">
      <c r="A521" s="40">
        <f t="array" ref="A521">IFNA(index(PlayerValues!A:A,match(IFNA(vlookup(B521,'Special Names'!A:B,2,FALSE),B521),PlayerValues!E:E,0)),"N/A")</f>
        <v>14779</v>
      </c>
      <c r="B521" s="4" t="s">
        <v>327</v>
      </c>
      <c r="C521" s="4" t="s">
        <v>283</v>
      </c>
      <c r="D521" s="94">
        <v>7041.0</v>
      </c>
    </row>
    <row r="522">
      <c r="A522" s="40">
        <f t="array" ref="A522">IFNA(index(PlayerValues!A:A,match(IFNA(vlookup(B522,'Special Names'!A:B,2,FALSE),B522),PlayerValues!E:E,0)),"N/A")</f>
        <v>15751</v>
      </c>
      <c r="B522" s="4" t="s">
        <v>328</v>
      </c>
      <c r="C522" s="4" t="s">
        <v>287</v>
      </c>
      <c r="D522" s="94">
        <v>7005.0</v>
      </c>
    </row>
    <row r="523">
      <c r="A523" s="40">
        <f t="array" ref="A523">IFNA(index(PlayerValues!A:A,match(IFNA(vlookup(B523,'Special Names'!A:B,2,FALSE),B523),PlayerValues!E:E,0)),"N/A")</f>
        <v>17044</v>
      </c>
      <c r="B523" s="4" t="s">
        <v>322</v>
      </c>
      <c r="C523" s="4" t="s">
        <v>278</v>
      </c>
      <c r="D523" s="94">
        <v>6992.0</v>
      </c>
    </row>
    <row r="524">
      <c r="A524" s="40">
        <f t="array" ref="A524">IFNA(index(PlayerValues!A:A,match(IFNA(vlookup(B524,'Special Names'!A:B,2,FALSE),B524),PlayerValues!E:E,0)),"N/A")</f>
        <v>16167</v>
      </c>
      <c r="B524" s="4" t="s">
        <v>323</v>
      </c>
      <c r="C524" s="4" t="s">
        <v>278</v>
      </c>
      <c r="D524" s="94">
        <v>6823.0</v>
      </c>
    </row>
    <row r="525">
      <c r="A525" s="40">
        <f t="array" ref="A525">IFNA(index(PlayerValues!A:A,match(IFNA(vlookup(B525,'Special Names'!A:B,2,FALSE),B525),PlayerValues!E:E,0)),"N/A")</f>
        <v>17071</v>
      </c>
      <c r="B525" s="4" t="s">
        <v>341</v>
      </c>
      <c r="C525" s="4" t="s">
        <v>287</v>
      </c>
      <c r="D525" s="94">
        <v>6391.0</v>
      </c>
    </row>
    <row r="526">
      <c r="A526" s="40">
        <f t="array" ref="A526">IFNA(index(PlayerValues!A:A,match(IFNA(vlookup(B526,'Special Names'!A:B,2,FALSE),B526),PlayerValues!E:E,0)),"N/A")</f>
        <v>17104</v>
      </c>
      <c r="B526" s="4" t="s">
        <v>333</v>
      </c>
      <c r="C526" s="4" t="s">
        <v>298</v>
      </c>
      <c r="D526" s="94">
        <v>7062.0</v>
      </c>
    </row>
    <row r="527">
      <c r="A527" s="40">
        <f t="array" ref="A527">IFNA(index(PlayerValues!A:A,match(IFNA(vlookup(B527,'Special Names'!A:B,2,FALSE),B527),PlayerValues!E:E,0)),"N/A")</f>
        <v>13116</v>
      </c>
      <c r="B527" s="4" t="s">
        <v>345</v>
      </c>
      <c r="C527" s="4" t="s">
        <v>283</v>
      </c>
      <c r="D527" s="94">
        <v>6349.0</v>
      </c>
    </row>
    <row r="528">
      <c r="A528" s="40">
        <f t="array" ref="A528">IFNA(index(PlayerValues!A:A,match(IFNA(vlookup(B528,'Special Names'!A:B,2,FALSE),B528),PlayerValues!E:E,0)),"N/A")</f>
        <v>17081</v>
      </c>
      <c r="B528" s="4" t="s">
        <v>340</v>
      </c>
      <c r="C528" s="4" t="s">
        <v>287</v>
      </c>
      <c r="D528" s="94">
        <v>6345.0</v>
      </c>
    </row>
    <row r="529">
      <c r="A529" s="40">
        <f t="array" ref="A529">IFNA(index(PlayerValues!A:A,match(IFNA(vlookup(B529,'Special Names'!A:B,2,FALSE),B529),PlayerValues!E:E,0)),"N/A")</f>
        <v>15237</v>
      </c>
      <c r="B529" s="4" t="s">
        <v>336</v>
      </c>
      <c r="C529" s="4" t="s">
        <v>283</v>
      </c>
      <c r="D529" s="94">
        <v>6305.0</v>
      </c>
    </row>
    <row r="530">
      <c r="A530" s="40">
        <f t="array" ref="A530">IFNA(index(PlayerValues!A:A,match(IFNA(vlookup(B530,'Special Names'!A:B,2,FALSE),B530),PlayerValues!E:E,0)),"N/A")</f>
        <v>17032</v>
      </c>
      <c r="B530" s="4" t="s">
        <v>348</v>
      </c>
      <c r="C530" s="4" t="s">
        <v>283</v>
      </c>
      <c r="D530" s="94">
        <v>6293.0</v>
      </c>
    </row>
    <row r="531">
      <c r="A531" s="40">
        <f t="array" ref="A531">IFNA(index(PlayerValues!A:A,match(IFNA(vlookup(B531,'Special Names'!A:B,2,FALSE),B531),PlayerValues!E:E,0)),"N/A")</f>
        <v>14802</v>
      </c>
      <c r="B531" s="4" t="s">
        <v>332</v>
      </c>
      <c r="C531" s="4" t="s">
        <v>278</v>
      </c>
      <c r="D531" s="94">
        <v>6153.0</v>
      </c>
    </row>
    <row r="532">
      <c r="A532" s="40">
        <f t="array" ref="A532">IFNA(index(PlayerValues!A:A,match(IFNA(vlookup(B532,'Special Names'!A:B,2,FALSE),B532),PlayerValues!E:E,0)),"N/A")</f>
        <v>14783</v>
      </c>
      <c r="B532" s="4" t="s">
        <v>342</v>
      </c>
      <c r="C532" s="4" t="s">
        <v>283</v>
      </c>
      <c r="D532" s="94">
        <v>6148.0</v>
      </c>
    </row>
    <row r="533">
      <c r="A533" s="40">
        <f t="array" ref="A533">IFNA(index(PlayerValues!A:A,match(IFNA(vlookup(B533,'Special Names'!A:B,2,FALSE),B533),PlayerValues!E:E,0)),"N/A")</f>
        <v>15762</v>
      </c>
      <c r="B533" s="4" t="s">
        <v>337</v>
      </c>
      <c r="C533" s="4" t="s">
        <v>287</v>
      </c>
      <c r="D533" s="94">
        <v>6122.0</v>
      </c>
    </row>
    <row r="534">
      <c r="A534" s="40">
        <f t="array" ref="A534">IFNA(index(PlayerValues!A:A,match(IFNA(vlookup(B534,'Special Names'!A:B,2,FALSE),B534),PlayerValues!E:E,0)),"N/A")</f>
        <v>15715</v>
      </c>
      <c r="B534" s="4" t="s">
        <v>331</v>
      </c>
      <c r="C534" s="4" t="s">
        <v>278</v>
      </c>
      <c r="D534" s="94">
        <v>6101.0</v>
      </c>
    </row>
    <row r="535">
      <c r="A535" s="40">
        <f t="array" ref="A535">IFNA(index(PlayerValues!A:A,match(IFNA(vlookup(B535,'Special Names'!A:B,2,FALSE),B535),PlayerValues!E:E,0)),"N/A")</f>
        <v>16582</v>
      </c>
      <c r="B535" s="4" t="s">
        <v>343</v>
      </c>
      <c r="C535" s="4" t="s">
        <v>283</v>
      </c>
      <c r="D535" s="94">
        <v>5982.0</v>
      </c>
    </row>
    <row r="536">
      <c r="A536" s="40">
        <f t="array" ref="A536">IFNA(index(PlayerValues!A:A,match(IFNA(vlookup(B536,'Special Names'!A:B,2,FALSE),B536),PlayerValues!E:E,0)),"N/A")</f>
        <v>17497</v>
      </c>
      <c r="B536" s="4" t="s">
        <v>365</v>
      </c>
      <c r="C536" s="4" t="s">
        <v>287</v>
      </c>
      <c r="D536" s="94">
        <v>5908.0</v>
      </c>
    </row>
    <row r="537">
      <c r="A537" s="40">
        <f t="array" ref="A537">IFNA(index(PlayerValues!A:A,match(IFNA(vlookup(B537,'Special Names'!A:B,2,FALSE),B537),PlayerValues!E:E,0)),"N/A")</f>
        <v>17102</v>
      </c>
      <c r="B537" s="4" t="s">
        <v>344</v>
      </c>
      <c r="C537" s="4" t="s">
        <v>298</v>
      </c>
      <c r="D537" s="94">
        <v>6534.0</v>
      </c>
    </row>
    <row r="538">
      <c r="A538" s="40">
        <f t="array" ref="A538">IFNA(index(PlayerValues!A:A,match(IFNA(vlookup(B538,'Special Names'!A:B,2,FALSE),B538),PlayerValues!E:E,0)),"N/A")</f>
        <v>15698</v>
      </c>
      <c r="B538" s="4" t="s">
        <v>358</v>
      </c>
      <c r="C538" s="4" t="s">
        <v>283</v>
      </c>
      <c r="D538" s="94">
        <v>5818.0</v>
      </c>
    </row>
    <row r="539">
      <c r="A539" s="40" t="str">
        <f t="array" ref="A539">IFNA(index(PlayerValues!A:A,match(IFNA(vlookup(B539,'Special Names'!A:B,2,FALSE),B539),PlayerValues!E:E,0)),"N/A")</f>
        <v>N/A</v>
      </c>
      <c r="B539" s="4" t="s">
        <v>93</v>
      </c>
      <c r="C539" s="4" t="s">
        <v>325</v>
      </c>
      <c r="D539" s="94">
        <v>5655.0</v>
      </c>
    </row>
    <row r="540">
      <c r="A540" s="40">
        <f t="array" ref="A540">IFNA(index(PlayerValues!A:A,match(IFNA(vlookup(B540,'Special Names'!A:B,2,FALSE),B540),PlayerValues!E:E,0)),"N/A")</f>
        <v>15711</v>
      </c>
      <c r="B540" s="4" t="s">
        <v>349</v>
      </c>
      <c r="C540" s="4" t="s">
        <v>278</v>
      </c>
      <c r="D540" s="94">
        <v>5601.0</v>
      </c>
    </row>
    <row r="541">
      <c r="A541" s="40" t="str">
        <f t="array" ref="A541">IFNA(index(PlayerValues!A:A,match(IFNA(vlookup(B541,'Special Names'!A:B,2,FALSE),B541),PlayerValues!E:E,0)),"N/A")</f>
        <v>N/A</v>
      </c>
      <c r="B541" s="4" t="s">
        <v>79</v>
      </c>
      <c r="C541" s="4" t="s">
        <v>325</v>
      </c>
      <c r="D541" s="94">
        <v>5595.0</v>
      </c>
    </row>
    <row r="542">
      <c r="A542" s="40">
        <f t="array" ref="A542">IFNA(index(PlayerValues!A:A,match(IFNA(vlookup(B542,'Special Names'!A:B,2,FALSE),B542),PlayerValues!E:E,0)),"N/A")</f>
        <v>16627</v>
      </c>
      <c r="B542" s="4" t="s">
        <v>351</v>
      </c>
      <c r="C542" s="4" t="s">
        <v>287</v>
      </c>
      <c r="D542" s="94">
        <v>5586.0</v>
      </c>
    </row>
    <row r="543">
      <c r="A543" s="40">
        <f t="array" ref="A543">IFNA(index(PlayerValues!A:A,match(IFNA(vlookup(B543,'Special Names'!A:B,2,FALSE),B543),PlayerValues!E:E,0)),"N/A")</f>
        <v>15290</v>
      </c>
      <c r="B543" s="4" t="s">
        <v>355</v>
      </c>
      <c r="C543" s="4" t="s">
        <v>287</v>
      </c>
      <c r="D543" s="94">
        <v>5576.0</v>
      </c>
    </row>
    <row r="544">
      <c r="A544" s="40">
        <f t="array" ref="A544">IFNA(index(PlayerValues!A:A,match(IFNA(vlookup(B544,'Special Names'!A:B,2,FALSE),B544),PlayerValues!E:E,0)),"N/A")</f>
        <v>15753</v>
      </c>
      <c r="B544" s="4" t="s">
        <v>359</v>
      </c>
      <c r="C544" s="4" t="s">
        <v>287</v>
      </c>
      <c r="D544" s="94">
        <v>5560.0</v>
      </c>
    </row>
    <row r="545">
      <c r="A545" s="40">
        <f t="array" ref="A545">IFNA(index(PlayerValues!A:A,match(IFNA(vlookup(B545,'Special Names'!A:B,2,FALSE),B545),PlayerValues!E:E,0)),"N/A")</f>
        <v>17051</v>
      </c>
      <c r="B545" s="4" t="s">
        <v>386</v>
      </c>
      <c r="C545" s="4" t="s">
        <v>278</v>
      </c>
      <c r="D545" s="94">
        <v>5538.0</v>
      </c>
    </row>
    <row r="546">
      <c r="A546" s="40">
        <f t="array" ref="A546">IFNA(index(PlayerValues!A:A,match(IFNA(vlookup(B546,'Special Names'!A:B,2,FALSE),B546),PlayerValues!E:E,0)),"N/A")</f>
        <v>17070</v>
      </c>
      <c r="B546" s="4" t="s">
        <v>370</v>
      </c>
      <c r="C546" s="4" t="s">
        <v>287</v>
      </c>
      <c r="D546" s="94">
        <v>5525.0</v>
      </c>
    </row>
    <row r="547">
      <c r="A547" s="40">
        <f t="array" ref="A547">IFNA(index(PlayerValues!A:A,match(IFNA(vlookup(B547,'Special Names'!A:B,2,FALSE),B547),PlayerValues!E:E,0)),"N/A")</f>
        <v>15754</v>
      </c>
      <c r="B547" s="4" t="s">
        <v>354</v>
      </c>
      <c r="C547" s="4" t="s">
        <v>287</v>
      </c>
      <c r="D547" s="94">
        <v>5471.0</v>
      </c>
    </row>
    <row r="548">
      <c r="A548" s="40">
        <f t="array" ref="A548">IFNA(index(PlayerValues!A:A,match(IFNA(vlookup(B548,'Special Names'!A:B,2,FALSE),B548),PlayerValues!E:E,0)),"N/A")</f>
        <v>14782</v>
      </c>
      <c r="B548" s="4" t="s">
        <v>385</v>
      </c>
      <c r="C548" s="4" t="s">
        <v>283</v>
      </c>
      <c r="D548" s="94">
        <v>5452.0</v>
      </c>
    </row>
    <row r="549">
      <c r="A549" s="40">
        <f t="array" ref="A549">IFNA(index(PlayerValues!A:A,match(IFNA(vlookup(B549,'Special Names'!A:B,2,FALSE),B549),PlayerValues!E:E,0)),"N/A")</f>
        <v>15282</v>
      </c>
      <c r="B549" s="4" t="s">
        <v>364</v>
      </c>
      <c r="C549" s="4" t="s">
        <v>287</v>
      </c>
      <c r="D549" s="94">
        <v>5442.0</v>
      </c>
    </row>
    <row r="550">
      <c r="A550" s="40">
        <f t="array" ref="A550">IFNA(index(PlayerValues!A:A,match(IFNA(vlookup(B550,'Special Names'!A:B,2,FALSE),B550),PlayerValues!E:E,0)),"N/A")</f>
        <v>17462</v>
      </c>
      <c r="B550" s="4" t="s">
        <v>375</v>
      </c>
      <c r="C550" s="4" t="s">
        <v>283</v>
      </c>
      <c r="D550" s="94">
        <v>5430.0</v>
      </c>
    </row>
    <row r="551">
      <c r="A551" s="40">
        <f t="array" ref="A551">IFNA(index(PlayerValues!A:A,match(IFNA(vlookup(B551,'Special Names'!A:B,2,FALSE),B551),PlayerValues!E:E,0)),"N/A")</f>
        <v>17498</v>
      </c>
      <c r="B551" s="4" t="s">
        <v>396</v>
      </c>
      <c r="C551" s="4" t="s">
        <v>287</v>
      </c>
      <c r="D551" s="94">
        <v>5365.0</v>
      </c>
    </row>
    <row r="552">
      <c r="A552" s="40">
        <f t="array" ref="A552">IFNA(index(PlayerValues!A:A,match(IFNA(vlookup(B552,'Special Names'!A:B,2,FALSE),B552),PlayerValues!E:E,0)),"N/A")</f>
        <v>17043</v>
      </c>
      <c r="B552" s="4" t="s">
        <v>397</v>
      </c>
      <c r="C552" s="4" t="s">
        <v>278</v>
      </c>
      <c r="D552" s="94">
        <v>5350.0</v>
      </c>
    </row>
    <row r="553">
      <c r="A553" s="40">
        <f t="array" ref="A553">IFNA(index(PlayerValues!A:A,match(IFNA(vlookup(B553,'Special Names'!A:B,2,FALSE),B553),PlayerValues!E:E,0)),"N/A")</f>
        <v>15708</v>
      </c>
      <c r="B553" s="4" t="s">
        <v>382</v>
      </c>
      <c r="C553" s="4" t="s">
        <v>278</v>
      </c>
      <c r="D553" s="94">
        <v>5285.0</v>
      </c>
    </row>
    <row r="554">
      <c r="A554" s="40">
        <f t="array" ref="A554">IFNA(index(PlayerValues!A:A,match(IFNA(vlookup(B554,'Special Names'!A:B,2,FALSE),B554),PlayerValues!E:E,0)),"N/A")</f>
        <v>16181</v>
      </c>
      <c r="B554" s="4" t="s">
        <v>350</v>
      </c>
      <c r="C554" s="4" t="s">
        <v>278</v>
      </c>
      <c r="D554" s="94">
        <v>5270.0</v>
      </c>
    </row>
    <row r="555">
      <c r="A555" s="40">
        <f t="array" ref="A555">IFNA(index(PlayerValues!A:A,match(IFNA(vlookup(B555,'Special Names'!A:B,2,FALSE),B555),PlayerValues!E:E,0)),"N/A")</f>
        <v>17030</v>
      </c>
      <c r="B555" s="4" t="s">
        <v>406</v>
      </c>
      <c r="C555" s="4" t="s">
        <v>283</v>
      </c>
      <c r="D555" s="94">
        <v>5266.0</v>
      </c>
    </row>
    <row r="556">
      <c r="A556" s="40">
        <f t="array" ref="A556">IFNA(index(PlayerValues!A:A,match(IFNA(vlookup(B556,'Special Names'!A:B,2,FALSE),B556),PlayerValues!E:E,0)),"N/A")</f>
        <v>13130</v>
      </c>
      <c r="B556" s="4" t="s">
        <v>374</v>
      </c>
      <c r="C556" s="4" t="s">
        <v>278</v>
      </c>
      <c r="D556" s="94">
        <v>5250.0</v>
      </c>
    </row>
    <row r="557">
      <c r="A557" s="40">
        <f t="array" ref="A557">IFNA(index(PlayerValues!A:A,match(IFNA(vlookup(B557,'Special Names'!A:B,2,FALSE),B557),PlayerValues!E:E,0)),"N/A")</f>
        <v>16616</v>
      </c>
      <c r="B557" s="4" t="s">
        <v>389</v>
      </c>
      <c r="C557" s="4" t="s">
        <v>287</v>
      </c>
      <c r="D557" s="94">
        <v>5247.0</v>
      </c>
    </row>
    <row r="558">
      <c r="A558" s="40" t="str">
        <f t="array" ref="A558">IFNA(index(PlayerValues!A:A,match(IFNA(vlookup(B558,'Special Names'!A:B,2,FALSE),B558),PlayerValues!E:E,0)),"N/A")</f>
        <v>N/A</v>
      </c>
      <c r="B558" s="4" t="s">
        <v>104</v>
      </c>
      <c r="C558" s="4" t="s">
        <v>325</v>
      </c>
      <c r="D558" s="94">
        <v>5185.0</v>
      </c>
    </row>
    <row r="559">
      <c r="A559" s="40">
        <f t="array" ref="A559">IFNA(index(PlayerValues!A:A,match(IFNA(vlookup(B559,'Special Names'!A:B,2,FALSE),B559),PlayerValues!E:E,0)),"N/A")</f>
        <v>13604</v>
      </c>
      <c r="B559" s="4" t="s">
        <v>378</v>
      </c>
      <c r="C559" s="4" t="s">
        <v>278</v>
      </c>
      <c r="D559" s="94">
        <v>5079.0</v>
      </c>
    </row>
    <row r="560">
      <c r="A560" s="40">
        <f t="array" ref="A560">IFNA(index(PlayerValues!A:A,match(IFNA(vlookup(B560,'Special Names'!A:B,2,FALSE),B560),PlayerValues!E:E,0)),"N/A")</f>
        <v>14104</v>
      </c>
      <c r="B560" s="4" t="s">
        <v>379</v>
      </c>
      <c r="C560" s="4" t="s">
        <v>287</v>
      </c>
      <c r="D560" s="94">
        <v>5032.0</v>
      </c>
    </row>
    <row r="561">
      <c r="A561" s="40">
        <f t="array" ref="A561">IFNA(index(PlayerValues!A:A,match(IFNA(vlookup(B561,'Special Names'!A:B,2,FALSE),B561),PlayerValues!E:E,0)),"N/A")</f>
        <v>17499</v>
      </c>
      <c r="B561" s="4" t="s">
        <v>402</v>
      </c>
      <c r="C561" s="4" t="s">
        <v>287</v>
      </c>
      <c r="D561" s="94">
        <v>5007.0</v>
      </c>
    </row>
    <row r="562">
      <c r="A562" s="40">
        <f t="array" ref="A562">IFNA(index(PlayerValues!A:A,match(IFNA(vlookup(B562,'Special Names'!A:B,2,FALSE),B562),PlayerValues!E:E,0)),"N/A")</f>
        <v>16190</v>
      </c>
      <c r="B562" s="4" t="s">
        <v>371</v>
      </c>
      <c r="C562" s="4" t="s">
        <v>287</v>
      </c>
      <c r="D562" s="94">
        <v>4985.0</v>
      </c>
    </row>
    <row r="563">
      <c r="A563" s="40">
        <f t="array" ref="A563">IFNA(index(PlayerValues!A:A,match(IFNA(vlookup(B563,'Special Names'!A:B,2,FALSE),B563),PlayerValues!E:E,0)),"N/A")</f>
        <v>16194</v>
      </c>
      <c r="B563" s="4" t="s">
        <v>398</v>
      </c>
      <c r="C563" s="4" t="s">
        <v>287</v>
      </c>
      <c r="D563" s="94">
        <v>4982.0</v>
      </c>
    </row>
    <row r="564">
      <c r="A564" s="40">
        <f t="array" ref="A564">IFNA(index(PlayerValues!A:A,match(IFNA(vlookup(B564,'Special Names'!A:B,2,FALSE),B564),PlayerValues!E:E,0)),"N/A")</f>
        <v>14835</v>
      </c>
      <c r="B564" s="4" t="s">
        <v>392</v>
      </c>
      <c r="C564" s="4" t="s">
        <v>287</v>
      </c>
      <c r="D564" s="94">
        <v>4969.0</v>
      </c>
    </row>
    <row r="565">
      <c r="A565" s="40">
        <f t="array" ref="A565">IFNA(index(PlayerValues!A:A,match(IFNA(vlookup(B565,'Special Names'!A:B,2,FALSE),B565),PlayerValues!E:E,0)),"N/A")</f>
        <v>16222</v>
      </c>
      <c r="B565" s="4" t="s">
        <v>393</v>
      </c>
      <c r="C565" s="4" t="s">
        <v>298</v>
      </c>
      <c r="D565" s="94">
        <v>5547.0</v>
      </c>
    </row>
    <row r="566">
      <c r="A566" s="40">
        <f t="array" ref="A566">IFNA(index(PlayerValues!A:A,match(IFNA(vlookup(B566,'Special Names'!A:B,2,FALSE),B566),PlayerValues!E:E,0)),"N/A")</f>
        <v>15710</v>
      </c>
      <c r="B566" s="4" t="s">
        <v>395</v>
      </c>
      <c r="C566" s="4" t="s">
        <v>278</v>
      </c>
      <c r="D566" s="94">
        <v>4958.0</v>
      </c>
    </row>
    <row r="567">
      <c r="A567" s="40">
        <f t="array" ref="A567">IFNA(index(PlayerValues!A:A,match(IFNA(vlookup(B567,'Special Names'!A:B,2,FALSE),B567),PlayerValues!E:E,0)),"N/A")</f>
        <v>12620</v>
      </c>
      <c r="B567" s="4" t="s">
        <v>394</v>
      </c>
      <c r="C567" s="4" t="s">
        <v>283</v>
      </c>
      <c r="D567" s="94">
        <v>4922.0</v>
      </c>
    </row>
    <row r="568">
      <c r="A568" s="40">
        <f t="array" ref="A568">IFNA(index(PlayerValues!A:A,match(IFNA(vlookup(B568,'Special Names'!A:B,2,FALSE),B568),PlayerValues!E:E,0)),"N/A")</f>
        <v>15284</v>
      </c>
      <c r="B568" s="4" t="s">
        <v>390</v>
      </c>
      <c r="C568" s="4" t="s">
        <v>287</v>
      </c>
      <c r="D568" s="94">
        <v>4896.0</v>
      </c>
    </row>
    <row r="569">
      <c r="A569" s="40">
        <f t="array" ref="A569">IFNA(index(PlayerValues!A:A,match(IFNA(vlookup(B569,'Special Names'!A:B,2,FALSE),B569),PlayerValues!E:E,0)),"N/A")</f>
        <v>16614</v>
      </c>
      <c r="B569" s="4" t="s">
        <v>403</v>
      </c>
      <c r="C569" s="4" t="s">
        <v>287</v>
      </c>
      <c r="D569" s="94">
        <v>4848.0</v>
      </c>
    </row>
    <row r="570">
      <c r="A570" s="40" t="str">
        <f t="array" ref="A570">IFNA(index(PlayerValues!A:A,match(IFNA(vlookup(B570,'Special Names'!A:B,2,FALSE),B570),PlayerValues!E:E,0)),"N/A")</f>
        <v>N/A</v>
      </c>
      <c r="B570" s="4" t="s">
        <v>94</v>
      </c>
      <c r="C570" s="4" t="s">
        <v>325</v>
      </c>
      <c r="D570" s="94">
        <v>4847.0</v>
      </c>
    </row>
    <row r="571">
      <c r="A571" s="40">
        <f t="array" ref="A571">IFNA(index(PlayerValues!A:A,match(IFNA(vlookup(B571,'Special Names'!A:B,2,FALSE),B571),PlayerValues!E:E,0)),"N/A")</f>
        <v>17039</v>
      </c>
      <c r="B571" s="4" t="s">
        <v>400</v>
      </c>
      <c r="C571" s="4" t="s">
        <v>283</v>
      </c>
      <c r="D571" s="94">
        <v>4837.0</v>
      </c>
    </row>
    <row r="572">
      <c r="A572" s="40">
        <f t="array" ref="A572">IFNA(index(PlayerValues!A:A,match(IFNA(vlookup(B572,'Special Names'!A:B,2,FALSE),B572),PlayerValues!E:E,0)),"N/A")</f>
        <v>16618</v>
      </c>
      <c r="B572" s="4" t="s">
        <v>411</v>
      </c>
      <c r="C572" s="4" t="s">
        <v>287</v>
      </c>
      <c r="D572" s="94">
        <v>4823.0</v>
      </c>
    </row>
    <row r="573">
      <c r="A573" s="40">
        <f t="array" ref="A573">IFNA(index(PlayerValues!A:A,match(IFNA(vlookup(B573,'Special Names'!A:B,2,FALSE),B573),PlayerValues!E:E,0)),"N/A")</f>
        <v>17473</v>
      </c>
      <c r="B573" s="4" t="s">
        <v>391</v>
      </c>
      <c r="C573" s="4" t="s">
        <v>278</v>
      </c>
      <c r="D573" s="94">
        <v>4791.0</v>
      </c>
    </row>
    <row r="574">
      <c r="A574" s="40">
        <f t="array" ref="A574">IFNA(index(PlayerValues!A:A,match(IFNA(vlookup(B574,'Special Names'!A:B,2,FALSE),B574),PlayerValues!E:E,0)),"N/A")</f>
        <v>15756</v>
      </c>
      <c r="B574" s="4" t="s">
        <v>399</v>
      </c>
      <c r="C574" s="4" t="s">
        <v>287</v>
      </c>
      <c r="D574" s="94">
        <v>4775.0</v>
      </c>
    </row>
    <row r="575">
      <c r="A575" s="40">
        <f t="array" ref="A575">IFNA(index(PlayerValues!A:A,match(IFNA(vlookup(B575,'Special Names'!A:B,2,FALSE),B575),PlayerValues!E:E,0)),"N/A")</f>
        <v>17045</v>
      </c>
      <c r="B575" s="4" t="s">
        <v>407</v>
      </c>
      <c r="C575" s="4" t="s">
        <v>278</v>
      </c>
      <c r="D575" s="94">
        <v>4771.0</v>
      </c>
    </row>
    <row r="576">
      <c r="A576" s="40">
        <f t="array" ref="A576">IFNA(index(PlayerValues!A:A,match(IFNA(vlookup(B576,'Special Names'!A:B,2,FALSE),B576),PlayerValues!E:E,0)),"N/A")</f>
        <v>17103</v>
      </c>
      <c r="B576" s="4" t="s">
        <v>405</v>
      </c>
      <c r="C576" s="4" t="s">
        <v>298</v>
      </c>
      <c r="D576" s="94">
        <v>5304.0</v>
      </c>
    </row>
    <row r="577">
      <c r="A577" s="40">
        <f t="array" ref="A577">IFNA(index(PlayerValues!A:A,match(IFNA(vlookup(B577,'Special Names'!A:B,2,FALSE),B577),PlayerValues!E:E,0)),"N/A")</f>
        <v>16598</v>
      </c>
      <c r="B577" s="4" t="s">
        <v>408</v>
      </c>
      <c r="C577" s="4" t="s">
        <v>278</v>
      </c>
      <c r="D577" s="94">
        <v>4695.0</v>
      </c>
    </row>
    <row r="578">
      <c r="A578" s="40">
        <f t="array" ref="A578">IFNA(index(PlayerValues!A:A,match(IFNA(vlookup(B578,'Special Names'!A:B,2,FALSE),B578),PlayerValues!E:E,0)),"N/A")</f>
        <v>12611</v>
      </c>
      <c r="B578" s="4" t="s">
        <v>410</v>
      </c>
      <c r="C578" s="4" t="s">
        <v>283</v>
      </c>
      <c r="D578" s="94">
        <v>4678.0</v>
      </c>
    </row>
    <row r="579">
      <c r="A579" s="40" t="str">
        <f t="array" ref="A579">IFNA(index(PlayerValues!A:A,match(IFNA(vlookup(B579,'Special Names'!A:B,2,FALSE),B579),PlayerValues!E:E,0)),"N/A")</f>
        <v>N/A</v>
      </c>
      <c r="B579" s="4" t="s">
        <v>80</v>
      </c>
      <c r="C579" s="4" t="s">
        <v>325</v>
      </c>
      <c r="D579" s="94">
        <v>4665.0</v>
      </c>
    </row>
    <row r="580">
      <c r="A580" s="40">
        <f t="array" ref="A580">IFNA(index(PlayerValues!A:A,match(IFNA(vlookup(B580,'Special Names'!A:B,2,FALSE),B580),PlayerValues!E:E,0)),"N/A")</f>
        <v>13590</v>
      </c>
      <c r="B580" s="4" t="s">
        <v>409</v>
      </c>
      <c r="C580" s="4" t="s">
        <v>283</v>
      </c>
      <c r="D580" s="94">
        <v>4648.0</v>
      </c>
    </row>
    <row r="581">
      <c r="A581" s="40">
        <f t="array" ref="A581">IFNA(index(PlayerValues!A:A,match(IFNA(vlookup(B581,'Special Names'!A:B,2,FALSE),B581),PlayerValues!E:E,0)),"N/A")</f>
        <v>16150</v>
      </c>
      <c r="B581" s="4" t="s">
        <v>414</v>
      </c>
      <c r="C581" s="4" t="s">
        <v>283</v>
      </c>
      <c r="D581" s="94">
        <v>4641.0</v>
      </c>
    </row>
    <row r="582">
      <c r="A582" s="40">
        <f t="array" ref="A582">IFNA(index(PlayerValues!A:A,match(IFNA(vlookup(B582,'Special Names'!A:B,2,FALSE),B582),PlayerValues!E:E,0)),"N/A")</f>
        <v>16214</v>
      </c>
      <c r="B582" s="4" t="s">
        <v>413</v>
      </c>
      <c r="C582" s="4" t="s">
        <v>298</v>
      </c>
      <c r="D582" s="94">
        <v>5170.0</v>
      </c>
    </row>
    <row r="583">
      <c r="A583" s="40">
        <f t="array" ref="A583">IFNA(index(PlayerValues!A:A,match(IFNA(vlookup(B583,'Special Names'!A:B,2,FALSE),B583),PlayerValues!E:E,0)),"N/A")</f>
        <v>15256</v>
      </c>
      <c r="B583" s="4" t="s">
        <v>401</v>
      </c>
      <c r="C583" s="4" t="s">
        <v>278</v>
      </c>
      <c r="D583" s="94">
        <v>4599.0</v>
      </c>
    </row>
    <row r="584">
      <c r="A584" s="40" t="str">
        <f t="array" ref="A584">IFNA(index(PlayerValues!A:A,match(IFNA(vlookup(B584,'Special Names'!A:B,2,FALSE),B584),PlayerValues!E:E,0)),"N/A")</f>
        <v>N/A</v>
      </c>
      <c r="B584" s="4" t="s">
        <v>105</v>
      </c>
      <c r="C584" s="4" t="s">
        <v>325</v>
      </c>
      <c r="D584" s="94">
        <v>4572.0</v>
      </c>
    </row>
    <row r="585">
      <c r="A585" s="40">
        <f t="array" ref="A585">IFNA(index(PlayerValues!A:A,match(IFNA(vlookup(B585,'Special Names'!A:B,2,FALSE),B585),PlayerValues!E:E,0)),"N/A")</f>
        <v>15329</v>
      </c>
      <c r="B585" s="4" t="s">
        <v>416</v>
      </c>
      <c r="C585" s="4" t="s">
        <v>298</v>
      </c>
      <c r="D585" s="94">
        <v>4976.0</v>
      </c>
    </row>
    <row r="586">
      <c r="A586" s="40">
        <f t="array" ref="A586">IFNA(index(PlayerValues!A:A,match(IFNA(vlookup(B586,'Special Names'!A:B,2,FALSE),B586),PlayerValues!E:E,0)),"N/A")</f>
        <v>13592</v>
      </c>
      <c r="B586" s="4" t="s">
        <v>418</v>
      </c>
      <c r="C586" s="4" t="s">
        <v>283</v>
      </c>
      <c r="D586" s="94">
        <v>4394.0</v>
      </c>
    </row>
    <row r="587">
      <c r="A587" s="40">
        <f t="array" ref="A587">IFNA(index(PlayerValues!A:A,match(IFNA(vlookup(B587,'Special Names'!A:B,2,FALSE),B587),PlayerValues!E:E,0)),"N/A")</f>
        <v>15253</v>
      </c>
      <c r="B587" s="4" t="s">
        <v>415</v>
      </c>
      <c r="C587" s="4" t="s">
        <v>278</v>
      </c>
      <c r="D587" s="94">
        <v>4373.0</v>
      </c>
    </row>
    <row r="588">
      <c r="A588" s="40">
        <f t="array" ref="A588">IFNA(index(PlayerValues!A:A,match(IFNA(vlookup(B588,'Special Names'!A:B,2,FALSE),B588),PlayerValues!E:E,0)),"N/A")</f>
        <v>17501</v>
      </c>
      <c r="B588" s="4" t="s">
        <v>404</v>
      </c>
      <c r="C588" s="4" t="s">
        <v>287</v>
      </c>
      <c r="D588" s="94">
        <v>4348.0</v>
      </c>
    </row>
    <row r="589">
      <c r="A589" s="40">
        <f t="array" ref="A589">IFNA(index(PlayerValues!A:A,match(IFNA(vlookup(B589,'Special Names'!A:B,2,FALSE),B589),PlayerValues!E:E,0)),"N/A")</f>
        <v>12626</v>
      </c>
      <c r="B589" s="4" t="s">
        <v>419</v>
      </c>
      <c r="C589" s="4" t="s">
        <v>278</v>
      </c>
      <c r="D589" s="94">
        <v>4205.0</v>
      </c>
    </row>
    <row r="590">
      <c r="A590" s="40">
        <f t="array" ref="A590">IFNA(index(PlayerValues!A:A,match(IFNA(vlookup(B590,'Special Names'!A:B,2,FALSE),B590),PlayerValues!E:E,0)),"N/A")</f>
        <v>17052</v>
      </c>
      <c r="B590" s="4" t="s">
        <v>417</v>
      </c>
      <c r="C590" s="4" t="s">
        <v>278</v>
      </c>
      <c r="D590" s="94">
        <v>4198.0</v>
      </c>
    </row>
    <row r="591">
      <c r="A591" s="40">
        <f t="array" ref="A591">IFNA(index(PlayerValues!A:A,match(IFNA(vlookup(B591,'Special Names'!A:B,2,FALSE),B591),PlayerValues!E:E,0)),"N/A")</f>
        <v>14073</v>
      </c>
      <c r="B591" s="4" t="s">
        <v>464</v>
      </c>
      <c r="C591" s="4" t="s">
        <v>278</v>
      </c>
      <c r="D591" s="94">
        <v>4090.0</v>
      </c>
    </row>
    <row r="592">
      <c r="A592" s="40">
        <f t="array" ref="A592">IFNA(index(PlayerValues!A:A,match(IFNA(vlookup(B592,'Special Names'!A:B,2,FALSE),B592),PlayerValues!E:E,0)),"N/A")</f>
        <v>17543</v>
      </c>
      <c r="B592" s="4" t="s">
        <v>436</v>
      </c>
      <c r="C592" s="4" t="s">
        <v>298</v>
      </c>
      <c r="D592" s="94">
        <v>4522.0</v>
      </c>
    </row>
    <row r="593">
      <c r="A593" s="40">
        <f t="array" ref="A593">IFNA(index(PlayerValues!A:A,match(IFNA(vlookup(B593,'Special Names'!A:B,2,FALSE),B593),PlayerValues!E:E,0)),"N/A")</f>
        <v>14056</v>
      </c>
      <c r="B593" s="4" t="s">
        <v>423</v>
      </c>
      <c r="C593" s="4" t="s">
        <v>283</v>
      </c>
      <c r="D593" s="94">
        <v>3987.0</v>
      </c>
    </row>
    <row r="594">
      <c r="A594" s="40" t="str">
        <f t="array" ref="A594">IFNA(index(PlayerValues!A:A,match(IFNA(vlookup(B594,'Special Names'!A:B,2,FALSE),B594),PlayerValues!E:E,0)),"N/A")</f>
        <v>N/A</v>
      </c>
      <c r="B594" s="4" t="s">
        <v>81</v>
      </c>
      <c r="C594" s="4" t="s">
        <v>325</v>
      </c>
      <c r="D594" s="94">
        <v>3962.0</v>
      </c>
    </row>
    <row r="595">
      <c r="A595" s="40">
        <f t="array" ref="A595">IFNA(index(PlayerValues!A:A,match(IFNA(vlookup(B595,'Special Names'!A:B,2,FALSE),B595),PlayerValues!E:E,0)),"N/A")</f>
        <v>15789</v>
      </c>
      <c r="B595" s="4" t="s">
        <v>421</v>
      </c>
      <c r="C595" s="4" t="s">
        <v>287</v>
      </c>
      <c r="D595" s="94">
        <v>3950.0</v>
      </c>
    </row>
    <row r="596">
      <c r="A596" s="40">
        <f t="array" ref="A596">IFNA(index(PlayerValues!A:A,match(IFNA(vlookup(B596,'Special Names'!A:B,2,FALSE),B596),PlayerValues!E:E,0)),"N/A")</f>
        <v>16148</v>
      </c>
      <c r="B596" s="4" t="s">
        <v>426</v>
      </c>
      <c r="C596" s="4" t="s">
        <v>283</v>
      </c>
      <c r="D596" s="94">
        <v>3939.0</v>
      </c>
    </row>
    <row r="597">
      <c r="A597" s="40" t="str">
        <f t="array" ref="A597">IFNA(index(PlayerValues!A:A,match(IFNA(vlookup(B597,'Special Names'!A:B,2,FALSE),B597),PlayerValues!E:E,0)),"N/A")</f>
        <v>N/A</v>
      </c>
      <c r="B597" s="4" t="s">
        <v>107</v>
      </c>
      <c r="C597" s="4" t="s">
        <v>325</v>
      </c>
      <c r="D597" s="94">
        <v>3933.0</v>
      </c>
    </row>
    <row r="598">
      <c r="A598" s="40">
        <f t="array" ref="A598">IFNA(index(PlayerValues!A:A,match(IFNA(vlookup(B598,'Special Names'!A:B,2,FALSE),B598),PlayerValues!E:E,0)),"N/A")</f>
        <v>15768</v>
      </c>
      <c r="B598" s="4" t="s">
        <v>432</v>
      </c>
      <c r="C598" s="4" t="s">
        <v>287</v>
      </c>
      <c r="D598" s="94">
        <v>3926.0</v>
      </c>
    </row>
    <row r="599">
      <c r="A599" s="40">
        <f t="array" ref="A599">IFNA(index(PlayerValues!A:A,match(IFNA(vlookup(B599,'Special Names'!A:B,2,FALSE),B599),PlayerValues!E:E,0)),"N/A")</f>
        <v>16186</v>
      </c>
      <c r="B599" s="4" t="s">
        <v>425</v>
      </c>
      <c r="C599" s="4" t="s">
        <v>287</v>
      </c>
      <c r="D599" s="94">
        <v>3921.0</v>
      </c>
    </row>
    <row r="600">
      <c r="A600" s="40">
        <f t="array" ref="A600">IFNA(index(PlayerValues!A:A,match(IFNA(vlookup(B600,'Special Names'!A:B,2,FALSE),B600),PlayerValues!E:E,0)),"N/A")</f>
        <v>14059</v>
      </c>
      <c r="B600" s="4" t="s">
        <v>435</v>
      </c>
      <c r="C600" s="4" t="s">
        <v>283</v>
      </c>
      <c r="D600" s="94">
        <v>3919.0</v>
      </c>
    </row>
    <row r="601">
      <c r="A601" s="40">
        <f t="array" ref="A601">IFNA(index(PlayerValues!A:A,match(IFNA(vlookup(B601,'Special Names'!A:B,2,FALSE),B601),PlayerValues!E:E,0)),"N/A")</f>
        <v>9431</v>
      </c>
      <c r="B601" s="4" t="s">
        <v>428</v>
      </c>
      <c r="C601" s="4" t="s">
        <v>283</v>
      </c>
      <c r="D601" s="94">
        <v>3878.0</v>
      </c>
    </row>
    <row r="602">
      <c r="A602" s="40" t="str">
        <f t="array" ref="A602">IFNA(index(PlayerValues!A:A,match(IFNA(vlookup(B602,'Special Names'!A:B,2,FALSE),B602),PlayerValues!E:E,0)),"N/A")</f>
        <v>N/A</v>
      </c>
      <c r="B602" s="4" t="s">
        <v>95</v>
      </c>
      <c r="C602" s="4" t="s">
        <v>325</v>
      </c>
      <c r="D602" s="94">
        <v>3830.0</v>
      </c>
    </row>
    <row r="603">
      <c r="A603" s="40">
        <f t="array" ref="A603">IFNA(index(PlayerValues!A:A,match(IFNA(vlookup(B603,'Special Names'!A:B,2,FALSE),B603),PlayerValues!E:E,0)),"N/A")</f>
        <v>15694</v>
      </c>
      <c r="B603" s="4" t="s">
        <v>434</v>
      </c>
      <c r="C603" s="4" t="s">
        <v>283</v>
      </c>
      <c r="D603" s="94">
        <v>3791.0</v>
      </c>
    </row>
    <row r="604">
      <c r="A604" s="40">
        <f t="array" ref="A604">IFNA(index(PlayerValues!A:A,match(IFNA(vlookup(B604,'Special Names'!A:B,2,FALSE),B604),PlayerValues!E:E,0)),"N/A")</f>
        <v>16206</v>
      </c>
      <c r="B604" s="4" t="s">
        <v>431</v>
      </c>
      <c r="C604" s="4" t="s">
        <v>287</v>
      </c>
      <c r="D604" s="94">
        <v>3731.0</v>
      </c>
    </row>
    <row r="605">
      <c r="A605" s="40">
        <f t="array" ref="A605">IFNA(index(PlayerValues!A:A,match(IFNA(vlookup(B605,'Special Names'!A:B,2,FALSE),B605),PlayerValues!E:E,0)),"N/A")</f>
        <v>14797</v>
      </c>
      <c r="B605" s="4" t="s">
        <v>420</v>
      </c>
      <c r="C605" s="4" t="s">
        <v>278</v>
      </c>
      <c r="D605" s="94">
        <v>3729.0</v>
      </c>
    </row>
    <row r="606">
      <c r="A606" s="40">
        <f t="array" ref="A606">IFNA(index(PlayerValues!A:A,match(IFNA(vlookup(B606,'Special Names'!A:B,2,FALSE),B606),PlayerValues!E:E,0)),"N/A")</f>
        <v>16192</v>
      </c>
      <c r="B606" s="4" t="s">
        <v>412</v>
      </c>
      <c r="C606" s="4" t="s">
        <v>287</v>
      </c>
      <c r="D606" s="94">
        <v>3677.0</v>
      </c>
    </row>
    <row r="607">
      <c r="A607" s="40">
        <f t="array" ref="A607">IFNA(index(PlayerValues!A:A,match(IFNA(vlookup(B607,'Special Names'!A:B,2,FALSE),B607),PlayerValues!E:E,0)),"N/A")</f>
        <v>16187</v>
      </c>
      <c r="B607" s="4" t="s">
        <v>441</v>
      </c>
      <c r="C607" s="4" t="s">
        <v>287</v>
      </c>
      <c r="D607" s="94">
        <v>3591.0</v>
      </c>
    </row>
    <row r="608">
      <c r="A608" s="40">
        <f t="array" ref="A608">IFNA(index(PlayerValues!A:A,match(IFNA(vlookup(B608,'Special Names'!A:B,2,FALSE),B608),PlayerValues!E:E,0)),"N/A")</f>
        <v>16188</v>
      </c>
      <c r="B608" s="4" t="s">
        <v>439</v>
      </c>
      <c r="C608" s="4" t="s">
        <v>287</v>
      </c>
      <c r="D608" s="94">
        <v>3543.0</v>
      </c>
    </row>
    <row r="609">
      <c r="A609" s="40">
        <f t="array" ref="A609">IFNA(index(PlayerValues!A:A,match(IFNA(vlookup(B609,'Special Names'!A:B,2,FALSE),B609),PlayerValues!E:E,0)),"N/A")</f>
        <v>13635</v>
      </c>
      <c r="B609" s="4" t="s">
        <v>424</v>
      </c>
      <c r="C609" s="4" t="s">
        <v>287</v>
      </c>
      <c r="D609" s="94">
        <v>3530.0</v>
      </c>
    </row>
    <row r="610">
      <c r="A610" s="40">
        <f t="array" ref="A610">IFNA(index(PlayerValues!A:A,match(IFNA(vlookup(B610,'Special Names'!A:B,2,FALSE),B610),PlayerValues!E:E,0)),"N/A")</f>
        <v>17075</v>
      </c>
      <c r="B610" s="4" t="s">
        <v>429</v>
      </c>
      <c r="C610" s="4" t="s">
        <v>287</v>
      </c>
      <c r="D610" s="94">
        <v>3529.0</v>
      </c>
    </row>
    <row r="611">
      <c r="A611" s="40">
        <f t="array" ref="A611">IFNA(index(PlayerValues!A:A,match(IFNA(vlookup(B611,'Special Names'!A:B,2,FALSE),B611),PlayerValues!E:E,0)),"N/A")</f>
        <v>17502</v>
      </c>
      <c r="B611" s="4" t="s">
        <v>451</v>
      </c>
      <c r="C611" s="4" t="s">
        <v>287</v>
      </c>
      <c r="D611" s="94">
        <v>3524.0</v>
      </c>
    </row>
    <row r="612">
      <c r="A612" s="40">
        <f t="array" ref="A612">IFNA(index(PlayerValues!A:A,match(IFNA(vlookup(B612,'Special Names'!A:B,2,FALSE),B612),PlayerValues!E:E,0)),"N/A")</f>
        <v>16597</v>
      </c>
      <c r="B612" s="4" t="s">
        <v>427</v>
      </c>
      <c r="C612" s="4" t="s">
        <v>278</v>
      </c>
      <c r="D612" s="94">
        <v>3521.0</v>
      </c>
    </row>
    <row r="613">
      <c r="A613" s="40">
        <f t="array" ref="A613">IFNA(index(PlayerValues!A:A,match(IFNA(vlookup(B613,'Special Names'!A:B,2,FALSE),B613),PlayerValues!E:E,0)),"N/A")</f>
        <v>17066</v>
      </c>
      <c r="B613" s="4" t="s">
        <v>446</v>
      </c>
      <c r="C613" s="4" t="s">
        <v>278</v>
      </c>
      <c r="D613" s="94">
        <v>3512.0</v>
      </c>
    </row>
    <row r="614">
      <c r="A614" s="40">
        <f t="array" ref="A614">IFNA(index(PlayerValues!A:A,match(IFNA(vlookup(B614,'Special Names'!A:B,2,FALSE),B614),PlayerValues!E:E,0)),"N/A")</f>
        <v>14109</v>
      </c>
      <c r="B614" s="4" t="s">
        <v>437</v>
      </c>
      <c r="C614" s="4" t="s">
        <v>287</v>
      </c>
      <c r="D614" s="94">
        <v>3503.0</v>
      </c>
    </row>
    <row r="615">
      <c r="A615" s="40">
        <f t="array" ref="A615">IFNA(index(PlayerValues!A:A,match(IFNA(vlookup(B615,'Special Names'!A:B,2,FALSE),B615),PlayerValues!E:E,0)),"N/A")</f>
        <v>17099</v>
      </c>
      <c r="B615" s="4" t="s">
        <v>474</v>
      </c>
      <c r="C615" s="4" t="s">
        <v>298</v>
      </c>
      <c r="D615" s="94">
        <v>3939.0</v>
      </c>
    </row>
    <row r="616">
      <c r="A616" s="40">
        <f t="array" ref="A616">IFNA(index(PlayerValues!A:A,match(IFNA(vlookup(B616,'Special Names'!A:B,2,FALSE),B616),PlayerValues!E:E,0)),"N/A")</f>
        <v>17463</v>
      </c>
      <c r="B616" s="4" t="s">
        <v>433</v>
      </c>
      <c r="C616" s="4" t="s">
        <v>283</v>
      </c>
      <c r="D616" s="94">
        <v>3483.0</v>
      </c>
    </row>
    <row r="617">
      <c r="A617" s="40">
        <f t="array" ref="A617">IFNA(index(PlayerValues!A:A,match(IFNA(vlookup(B617,'Special Names'!A:B,2,FALSE),B617),PlayerValues!E:E,0)),"N/A")</f>
        <v>14071</v>
      </c>
      <c r="B617" s="4" t="s">
        <v>440</v>
      </c>
      <c r="C617" s="4" t="s">
        <v>278</v>
      </c>
      <c r="D617" s="94">
        <v>3465.0</v>
      </c>
    </row>
    <row r="618">
      <c r="A618" s="40">
        <f t="array" ref="A618">IFNA(index(PlayerValues!A:A,match(IFNA(vlookup(B618,'Special Names'!A:B,2,FALSE),B618),PlayerValues!E:E,0)),"N/A")</f>
        <v>11675</v>
      </c>
      <c r="B618" s="4" t="s">
        <v>438</v>
      </c>
      <c r="C618" s="4" t="s">
        <v>287</v>
      </c>
      <c r="D618" s="94">
        <v>3451.0</v>
      </c>
    </row>
    <row r="619">
      <c r="A619" s="40">
        <f t="array" ref="A619">IFNA(index(PlayerValues!A:A,match(IFNA(vlookup(B619,'Special Names'!A:B,2,FALSE),B619),PlayerValues!E:E,0)),"N/A")</f>
        <v>16593</v>
      </c>
      <c r="B619" s="4" t="s">
        <v>442</v>
      </c>
      <c r="C619" s="4" t="s">
        <v>278</v>
      </c>
      <c r="D619" s="94">
        <v>3441.0</v>
      </c>
    </row>
    <row r="620">
      <c r="A620" s="40">
        <f t="array" ref="A620">IFNA(index(PlayerValues!A:A,match(IFNA(vlookup(B620,'Special Names'!A:B,2,FALSE),B620),PlayerValues!E:E,0)),"N/A")</f>
        <v>14102</v>
      </c>
      <c r="B620" s="4" t="s">
        <v>444</v>
      </c>
      <c r="C620" s="4" t="s">
        <v>287</v>
      </c>
      <c r="D620" s="94">
        <v>3436.0</v>
      </c>
    </row>
    <row r="621">
      <c r="A621" s="40">
        <f t="array" ref="A621">IFNA(index(PlayerValues!A:A,match(IFNA(vlookup(B621,'Special Names'!A:B,2,FALSE),B621),PlayerValues!E:E,0)),"N/A")</f>
        <v>17544</v>
      </c>
      <c r="B621" s="4" t="s">
        <v>470</v>
      </c>
      <c r="C621" s="4" t="s">
        <v>298</v>
      </c>
      <c r="D621" s="94">
        <v>3864.0</v>
      </c>
    </row>
    <row r="622">
      <c r="A622" s="40">
        <f t="array" ref="A622">IFNA(index(PlayerValues!A:A,match(IFNA(vlookup(B622,'Special Names'!A:B,2,FALSE),B622),PlayerValues!E:E,0)),"N/A")</f>
        <v>15757</v>
      </c>
      <c r="B622" s="4" t="s">
        <v>449</v>
      </c>
      <c r="C622" s="4" t="s">
        <v>287</v>
      </c>
      <c r="D622" s="94">
        <v>3399.0</v>
      </c>
    </row>
    <row r="623">
      <c r="A623" s="40">
        <f t="array" ref="A623">IFNA(index(PlayerValues!A:A,match(IFNA(vlookup(B623,'Special Names'!A:B,2,FALSE),B623),PlayerValues!E:E,0)),"N/A")</f>
        <v>15798</v>
      </c>
      <c r="B623" s="4" t="s">
        <v>443</v>
      </c>
      <c r="C623" s="4" t="s">
        <v>298</v>
      </c>
      <c r="D623" s="94">
        <v>3845.0</v>
      </c>
    </row>
    <row r="624">
      <c r="A624" s="40">
        <f t="array" ref="A624">IFNA(index(PlayerValues!A:A,match(IFNA(vlookup(B624,'Special Names'!A:B,2,FALSE),B624),PlayerValues!E:E,0)),"N/A")</f>
        <v>17068</v>
      </c>
      <c r="B624" s="4" t="s">
        <v>450</v>
      </c>
      <c r="C624" s="4" t="s">
        <v>278</v>
      </c>
      <c r="D624" s="94">
        <v>3392.0</v>
      </c>
    </row>
    <row r="625">
      <c r="A625" s="40">
        <f t="array" ref="A625">IFNA(index(PlayerValues!A:A,match(IFNA(vlookup(B625,'Special Names'!A:B,2,FALSE),B625),PlayerValues!E:E,0)),"N/A")</f>
        <v>16622</v>
      </c>
      <c r="B625" s="4" t="s">
        <v>517</v>
      </c>
      <c r="C625" s="4" t="s">
        <v>287</v>
      </c>
      <c r="D625" s="94">
        <v>3385.0</v>
      </c>
    </row>
    <row r="626">
      <c r="A626" s="40" t="str">
        <f t="array" ref="A626">IFNA(index(PlayerValues!A:A,match(IFNA(vlookup(B626,'Special Names'!A:B,2,FALSE),B626),PlayerValues!E:E,0)),"N/A")</f>
        <v>N/A</v>
      </c>
      <c r="B626" s="4" t="s">
        <v>96</v>
      </c>
      <c r="C626" s="4" t="s">
        <v>325</v>
      </c>
      <c r="D626" s="94">
        <v>3384.0</v>
      </c>
    </row>
    <row r="627">
      <c r="A627" s="40">
        <f t="array" ref="A627">IFNA(index(PlayerValues!A:A,match(IFNA(vlookup(B627,'Special Names'!A:B,2,FALSE),B627),PlayerValues!E:E,0)),"N/A")</f>
        <v>14842</v>
      </c>
      <c r="B627" s="4" t="s">
        <v>456</v>
      </c>
      <c r="C627" s="4" t="s">
        <v>287</v>
      </c>
      <c r="D627" s="94">
        <v>3379.0</v>
      </c>
    </row>
    <row r="628">
      <c r="A628" s="40">
        <f t="array" ref="A628">IFNA(index(PlayerValues!A:A,match(IFNA(vlookup(B628,'Special Names'!A:B,2,FALSE),B628),PlayerValues!E:E,0)),"N/A")</f>
        <v>16169</v>
      </c>
      <c r="B628" s="4" t="s">
        <v>457</v>
      </c>
      <c r="C628" s="4" t="s">
        <v>278</v>
      </c>
      <c r="D628" s="94">
        <v>3371.0</v>
      </c>
    </row>
    <row r="629">
      <c r="A629" s="40">
        <f t="array" ref="A629">IFNA(index(PlayerValues!A:A,match(IFNA(vlookup(B629,'Special Names'!A:B,2,FALSE),B629),PlayerValues!E:E,0)),"N/A")</f>
        <v>13299</v>
      </c>
      <c r="B629" s="4" t="s">
        <v>448</v>
      </c>
      <c r="C629" s="4" t="s">
        <v>298</v>
      </c>
      <c r="D629" s="94">
        <v>3822.0</v>
      </c>
    </row>
    <row r="630">
      <c r="A630" s="40">
        <f t="array" ref="A630">IFNA(index(PlayerValues!A:A,match(IFNA(vlookup(B630,'Special Names'!A:B,2,FALSE),B630),PlayerValues!E:E,0)),"N/A")</f>
        <v>17074</v>
      </c>
      <c r="B630" s="4" t="s">
        <v>475</v>
      </c>
      <c r="C630" s="4" t="s">
        <v>287</v>
      </c>
      <c r="D630" s="94">
        <v>3369.0</v>
      </c>
    </row>
    <row r="631">
      <c r="A631" s="40">
        <f t="array" ref="A631">IFNA(index(PlayerValues!A:A,match(IFNA(vlookup(B631,'Special Names'!A:B,2,FALSE),B631),PlayerValues!E:E,0)),"N/A")</f>
        <v>16184</v>
      </c>
      <c r="B631" s="4" t="s">
        <v>445</v>
      </c>
      <c r="C631" s="4" t="s">
        <v>287</v>
      </c>
      <c r="D631" s="94">
        <v>3365.0</v>
      </c>
    </row>
    <row r="632">
      <c r="A632" s="40">
        <f t="array" ref="A632">IFNA(index(PlayerValues!A:A,match(IFNA(vlookup(B632,'Special Names'!A:B,2,FALSE),B632),PlayerValues!E:E,0)),"N/A")</f>
        <v>17083</v>
      </c>
      <c r="B632" s="4" t="s">
        <v>479</v>
      </c>
      <c r="C632" s="4" t="s">
        <v>287</v>
      </c>
      <c r="D632" s="94">
        <v>3365.0</v>
      </c>
    </row>
    <row r="633">
      <c r="A633" s="40">
        <f t="array" ref="A633">IFNA(index(PlayerValues!A:A,match(IFNA(vlookup(B633,'Special Names'!A:B,2,FALSE),B633),PlayerValues!E:E,0)),"N/A")</f>
        <v>17500</v>
      </c>
      <c r="B633" s="4" t="s">
        <v>430</v>
      </c>
      <c r="C633" s="4" t="s">
        <v>287</v>
      </c>
      <c r="D633" s="94">
        <v>3357.0</v>
      </c>
    </row>
    <row r="634">
      <c r="A634" s="40">
        <f t="array" ref="A634">IFNA(index(PlayerValues!A:A,match(IFNA(vlookup(B634,'Special Names'!A:B,2,FALSE),B634),PlayerValues!E:E,0)),"N/A")</f>
        <v>11671</v>
      </c>
      <c r="B634" s="4" t="s">
        <v>463</v>
      </c>
      <c r="C634" s="4" t="s">
        <v>287</v>
      </c>
      <c r="D634" s="94">
        <v>3322.0</v>
      </c>
    </row>
    <row r="635">
      <c r="A635" s="40">
        <f t="array" ref="A635">IFNA(index(PlayerValues!A:A,match(IFNA(vlookup(B635,'Special Names'!A:B,2,FALSE),B635),PlayerValues!E:E,0)),"N/A")</f>
        <v>15742</v>
      </c>
      <c r="B635" s="4" t="s">
        <v>447</v>
      </c>
      <c r="C635" s="4" t="s">
        <v>278</v>
      </c>
      <c r="D635" s="94">
        <v>3320.0</v>
      </c>
    </row>
    <row r="636">
      <c r="A636" s="40">
        <f t="array" ref="A636">IFNA(index(PlayerValues!A:A,match(IFNA(vlookup(B636,'Special Names'!A:B,2,FALSE),B636),PlayerValues!E:E,0)),"N/A")</f>
        <v>16620</v>
      </c>
      <c r="B636" s="4" t="s">
        <v>467</v>
      </c>
      <c r="C636" s="4" t="s">
        <v>287</v>
      </c>
      <c r="D636" s="94">
        <v>3312.0</v>
      </c>
    </row>
    <row r="637">
      <c r="A637" s="40" t="str">
        <f t="array" ref="A637">IFNA(index(PlayerValues!A:A,match(IFNA(vlookup(B637,'Special Names'!A:B,2,FALSE),B637),PlayerValues!E:E,0)),"N/A")</f>
        <v>N/A</v>
      </c>
      <c r="B637" s="4" t="s">
        <v>82</v>
      </c>
      <c r="C637" s="4" t="s">
        <v>325</v>
      </c>
      <c r="D637" s="94">
        <v>3310.0</v>
      </c>
    </row>
    <row r="638">
      <c r="A638" s="40">
        <f t="array" ref="A638">IFNA(index(PlayerValues!A:A,match(IFNA(vlookup(B638,'Special Names'!A:B,2,FALSE),B638),PlayerValues!E:E,0)),"N/A")</f>
        <v>16213</v>
      </c>
      <c r="B638" s="4" t="s">
        <v>458</v>
      </c>
      <c r="C638" s="4" t="s">
        <v>298</v>
      </c>
      <c r="D638" s="94">
        <v>3636.0</v>
      </c>
    </row>
    <row r="639">
      <c r="A639" s="40">
        <f t="array" ref="A639">IFNA(index(PlayerValues!A:A,match(IFNA(vlookup(B639,'Special Names'!A:B,2,FALSE),B639),PlayerValues!E:E,0)),"N/A")</f>
        <v>15799</v>
      </c>
      <c r="B639" s="4" t="s">
        <v>468</v>
      </c>
      <c r="C639" s="4" t="s">
        <v>298</v>
      </c>
      <c r="D639" s="94">
        <v>3627.0</v>
      </c>
    </row>
    <row r="640">
      <c r="A640" s="40">
        <f t="array" ref="A640">IFNA(index(PlayerValues!A:A,match(IFNA(vlookup(B640,'Special Names'!A:B,2,FALSE),B640),PlayerValues!E:E,0)),"N/A")</f>
        <v>17477</v>
      </c>
      <c r="B640" s="4" t="s">
        <v>452</v>
      </c>
      <c r="C640" s="4" t="s">
        <v>278</v>
      </c>
      <c r="D640" s="94">
        <v>3186.0</v>
      </c>
    </row>
    <row r="641">
      <c r="A641" s="40" t="str">
        <f t="array" ref="A641">IFNA(index(PlayerValues!A:A,match(IFNA(vlookup(B641,'Special Names'!A:B,2,FALSE),B641),PlayerValues!E:E,0)),"N/A")</f>
        <v>N/A</v>
      </c>
      <c r="B641" s="4" t="s">
        <v>108</v>
      </c>
      <c r="C641" s="4" t="s">
        <v>325</v>
      </c>
      <c r="D641" s="94">
        <v>3181.0</v>
      </c>
    </row>
    <row r="642">
      <c r="A642" s="40">
        <f t="array" ref="A642">IFNA(index(PlayerValues!A:A,match(IFNA(vlookup(B642,'Special Names'!A:B,2,FALSE),B642),PlayerValues!E:E,0)),"N/A")</f>
        <v>15261</v>
      </c>
      <c r="B642" s="4" t="s">
        <v>466</v>
      </c>
      <c r="C642" s="4" t="s">
        <v>278</v>
      </c>
      <c r="D642" s="94">
        <v>3176.0</v>
      </c>
    </row>
    <row r="643">
      <c r="A643" s="40">
        <f t="array" ref="A643">IFNA(index(PlayerValues!A:A,match(IFNA(vlookup(B643,'Special Names'!A:B,2,FALSE),B643),PlayerValues!E:E,0)),"N/A")</f>
        <v>16809</v>
      </c>
      <c r="B643" s="4" t="s">
        <v>455</v>
      </c>
      <c r="C643" s="4" t="s">
        <v>287</v>
      </c>
      <c r="D643" s="94">
        <v>3158.0</v>
      </c>
    </row>
    <row r="644">
      <c r="A644" s="40" t="str">
        <f t="array" ref="A644">IFNA(index(PlayerValues!A:A,match(IFNA(vlookup(B644,'Special Names'!A:B,2,FALSE),B644),PlayerValues!E:E,0)),"N/A")</f>
        <v>N/A</v>
      </c>
      <c r="B644" s="4" t="s">
        <v>97</v>
      </c>
      <c r="C644" s="4" t="s">
        <v>325</v>
      </c>
      <c r="D644" s="94">
        <v>3132.0</v>
      </c>
    </row>
    <row r="645">
      <c r="A645" s="40">
        <f t="array" ref="A645">IFNA(index(PlayerValues!A:A,match(IFNA(vlookup(B645,'Special Names'!A:B,2,FALSE),B645),PlayerValues!E:E,0)),"N/A")</f>
        <v>16269</v>
      </c>
      <c r="B645" s="4" t="s">
        <v>481</v>
      </c>
      <c r="C645" s="4" t="s">
        <v>298</v>
      </c>
      <c r="D645" s="94">
        <v>3536.0</v>
      </c>
    </row>
    <row r="646">
      <c r="A646" s="40">
        <f t="array" ref="A646">IFNA(index(PlayerValues!A:A,match(IFNA(vlookup(B646,'Special Names'!A:B,2,FALSE),B646),PlayerValues!E:E,0)),"N/A")</f>
        <v>14823</v>
      </c>
      <c r="B646" s="4" t="s">
        <v>459</v>
      </c>
      <c r="C646" s="4" t="s">
        <v>278</v>
      </c>
      <c r="D646" s="94">
        <v>3090.0</v>
      </c>
    </row>
    <row r="647">
      <c r="A647" s="40">
        <f t="array" ref="A647">IFNA(index(PlayerValues!A:A,match(IFNA(vlookup(B647,'Special Names'!A:B,2,FALSE),B647),PlayerValues!E:E,0)),"N/A")</f>
        <v>17514</v>
      </c>
      <c r="B647" s="4" t="s">
        <v>422</v>
      </c>
      <c r="C647" s="4" t="s">
        <v>287</v>
      </c>
      <c r="D647" s="94">
        <v>3075.0</v>
      </c>
    </row>
    <row r="648">
      <c r="A648" s="40">
        <f t="array" ref="A648">IFNA(index(PlayerValues!A:A,match(IFNA(vlookup(B648,'Special Names'!A:B,2,FALSE),B648),PlayerValues!E:E,0)),"N/A")</f>
        <v>13630</v>
      </c>
      <c r="B648" s="4" t="s">
        <v>465</v>
      </c>
      <c r="C648" s="4" t="s">
        <v>287</v>
      </c>
      <c r="D648" s="94">
        <v>3058.0</v>
      </c>
    </row>
    <row r="649">
      <c r="A649" s="40">
        <f t="array" ref="A649">IFNA(index(PlayerValues!A:A,match(IFNA(vlookup(B649,'Special Names'!A:B,2,FALSE),B649),PlayerValues!E:E,0)),"N/A")</f>
        <v>15259</v>
      </c>
      <c r="B649" s="4" t="s">
        <v>453</v>
      </c>
      <c r="C649" s="4" t="s">
        <v>278</v>
      </c>
      <c r="D649" s="94">
        <v>3050.0</v>
      </c>
    </row>
    <row r="650">
      <c r="A650" s="40">
        <f t="array" ref="A650">IFNA(index(PlayerValues!A:A,match(IFNA(vlookup(B650,'Special Names'!A:B,2,FALSE),B650),PlayerValues!E:E,0)),"N/A")</f>
        <v>15779</v>
      </c>
      <c r="B650" s="4" t="s">
        <v>461</v>
      </c>
      <c r="C650" s="4" t="s">
        <v>287</v>
      </c>
      <c r="D650" s="94">
        <v>3033.0</v>
      </c>
    </row>
    <row r="651">
      <c r="A651" s="40">
        <f t="array" ref="A651">IFNA(index(PlayerValues!A:A,match(IFNA(vlookup(B651,'Special Names'!A:B,2,FALSE),B651),PlayerValues!E:E,0)),"N/A")</f>
        <v>17512</v>
      </c>
      <c r="B651" s="4" t="s">
        <v>483</v>
      </c>
      <c r="C651" s="4" t="s">
        <v>287</v>
      </c>
      <c r="D651" s="94">
        <v>3028.0</v>
      </c>
    </row>
    <row r="652">
      <c r="A652" s="40">
        <f t="array" ref="A652">IFNA(index(PlayerValues!A:A,match(IFNA(vlookup(B652,'Special Names'!A:B,2,FALSE),B652),PlayerValues!E:E,0)),"N/A")</f>
        <v>16628</v>
      </c>
      <c r="B652" s="4" t="s">
        <v>490</v>
      </c>
      <c r="C652" s="4" t="s">
        <v>287</v>
      </c>
      <c r="D652" s="94">
        <v>3026.0</v>
      </c>
    </row>
    <row r="653">
      <c r="A653" s="40" t="str">
        <f t="array" ref="A653">IFNA(index(PlayerValues!A:A,match(IFNA(vlookup(B653,'Special Names'!A:B,2,FALSE),B653),PlayerValues!E:E,0)),"N/A")</f>
        <v>N/A</v>
      </c>
      <c r="B653" s="4" t="s">
        <v>84</v>
      </c>
      <c r="C653" s="4" t="s">
        <v>325</v>
      </c>
      <c r="D653" s="94">
        <v>3020.0</v>
      </c>
    </row>
    <row r="654">
      <c r="A654" s="40">
        <f t="array" ref="A654">IFNA(index(PlayerValues!A:A,match(IFNA(vlookup(B654,'Special Names'!A:B,2,FALSE),B654),PlayerValues!E:E,0)),"N/A")</f>
        <v>17506</v>
      </c>
      <c r="B654" s="4" t="s">
        <v>471</v>
      </c>
      <c r="C654" s="4" t="s">
        <v>287</v>
      </c>
      <c r="D654" s="94">
        <v>3019.0</v>
      </c>
    </row>
    <row r="655">
      <c r="A655" s="40">
        <f t="array" ref="A655">IFNA(index(PlayerValues!A:A,match(IFNA(vlookup(B655,'Special Names'!A:B,2,FALSE),B655),PlayerValues!E:E,0)),"N/A")</f>
        <v>17256</v>
      </c>
      <c r="B655" s="4" t="s">
        <v>462</v>
      </c>
      <c r="C655" s="4" t="s">
        <v>278</v>
      </c>
      <c r="D655" s="94">
        <v>3015.0</v>
      </c>
    </row>
    <row r="656">
      <c r="A656" s="40">
        <f t="array" ref="A656">IFNA(index(PlayerValues!A:A,match(IFNA(vlookup(B656,'Special Names'!A:B,2,FALSE),B656),PlayerValues!E:E,0)),"N/A")</f>
        <v>14800</v>
      </c>
      <c r="B656" s="4" t="s">
        <v>472</v>
      </c>
      <c r="C656" s="4" t="s">
        <v>278</v>
      </c>
      <c r="D656" s="94">
        <v>2996.0</v>
      </c>
    </row>
    <row r="657">
      <c r="A657" s="40">
        <f t="array" ref="A657">IFNA(index(PlayerValues!A:A,match(IFNA(vlookup(B657,'Special Names'!A:B,2,FALSE),B657),PlayerValues!E:E,0)),"N/A")</f>
        <v>15255</v>
      </c>
      <c r="B657" s="4" t="s">
        <v>477</v>
      </c>
      <c r="C657" s="4" t="s">
        <v>278</v>
      </c>
      <c r="D657" s="94">
        <v>2991.0</v>
      </c>
    </row>
    <row r="658">
      <c r="A658" s="40">
        <f t="array" ref="A658">IFNA(index(PlayerValues!A:A,match(IFNA(vlookup(B658,'Special Names'!A:B,2,FALSE),B658),PlayerValues!E:E,0)),"N/A")</f>
        <v>14127</v>
      </c>
      <c r="B658" s="4" t="s">
        <v>486</v>
      </c>
      <c r="C658" s="4" t="s">
        <v>287</v>
      </c>
      <c r="D658" s="94">
        <v>2965.0</v>
      </c>
    </row>
    <row r="659">
      <c r="A659" s="40">
        <f t="array" ref="A659">IFNA(index(PlayerValues!A:A,match(IFNA(vlookup(B659,'Special Names'!A:B,2,FALSE),B659),PlayerValues!E:E,0)),"N/A")</f>
        <v>13163</v>
      </c>
      <c r="B659" s="4" t="s">
        <v>473</v>
      </c>
      <c r="C659" s="4" t="s">
        <v>287</v>
      </c>
      <c r="D659" s="94">
        <v>2958.0</v>
      </c>
    </row>
    <row r="660">
      <c r="A660" s="40" t="str">
        <f t="array" ref="A660">IFNA(index(PlayerValues!A:A,match(IFNA(vlookup(B660,'Special Names'!A:B,2,FALSE),B660),PlayerValues!E:E,0)),"N/A")</f>
        <v>N/A</v>
      </c>
      <c r="B660" s="4" t="s">
        <v>109</v>
      </c>
      <c r="C660" s="4" t="s">
        <v>325</v>
      </c>
      <c r="D660" s="94">
        <v>2938.0</v>
      </c>
    </row>
    <row r="661">
      <c r="A661" s="40">
        <f t="array" ref="A661">IFNA(index(PlayerValues!A:A,match(IFNA(vlookup(B661,'Special Names'!A:B,2,FALSE),B661),PlayerValues!E:E,0)),"N/A")</f>
        <v>17503</v>
      </c>
      <c r="B661" s="4" t="s">
        <v>480</v>
      </c>
      <c r="C661" s="4" t="s">
        <v>287</v>
      </c>
      <c r="D661" s="94">
        <v>2933.0</v>
      </c>
    </row>
    <row r="662">
      <c r="A662" s="40">
        <f t="array" ref="A662">IFNA(index(PlayerValues!A:A,match(IFNA(vlookup(B662,'Special Names'!A:B,2,FALSE),B662),PlayerValues!E:E,0)),"N/A")</f>
        <v>17476</v>
      </c>
      <c r="B662" s="4" t="s">
        <v>494</v>
      </c>
      <c r="C662" s="4" t="s">
        <v>278</v>
      </c>
      <c r="D662" s="94">
        <v>2879.0</v>
      </c>
    </row>
    <row r="663">
      <c r="A663" s="40">
        <f t="array" ref="A663">IFNA(index(PlayerValues!A:A,match(IFNA(vlookup(B663,'Special Names'!A:B,2,FALSE),B663),PlayerValues!E:E,0)),"N/A")</f>
        <v>15761</v>
      </c>
      <c r="B663" s="4" t="s">
        <v>491</v>
      </c>
      <c r="C663" s="4" t="s">
        <v>287</v>
      </c>
      <c r="D663" s="94">
        <v>2862.0</v>
      </c>
    </row>
    <row r="664">
      <c r="A664" s="40">
        <f t="array" ref="A664">IFNA(index(PlayerValues!A:A,match(IFNA(vlookup(B664,'Special Names'!A:B,2,FALSE),B664),PlayerValues!E:E,0)),"N/A")</f>
        <v>14085</v>
      </c>
      <c r="B664" s="4" t="s">
        <v>489</v>
      </c>
      <c r="C664" s="4" t="s">
        <v>278</v>
      </c>
      <c r="D664" s="94">
        <v>2841.0</v>
      </c>
    </row>
    <row r="665">
      <c r="A665" s="40">
        <f t="array" ref="A665">IFNA(index(PlayerValues!A:A,match(IFNA(vlookup(B665,'Special Names'!A:B,2,FALSE),B665),PlayerValues!E:E,0)),"N/A")</f>
        <v>16080</v>
      </c>
      <c r="B665" s="4" t="s">
        <v>499</v>
      </c>
      <c r="C665" s="4" t="s">
        <v>287</v>
      </c>
      <c r="D665" s="94">
        <v>2819.0</v>
      </c>
    </row>
    <row r="666">
      <c r="A666" s="40">
        <f t="array" ref="A666">IFNA(index(PlayerValues!A:A,match(IFNA(vlookup(B666,'Special Names'!A:B,2,FALSE),B666),PlayerValues!E:E,0)),"N/A")</f>
        <v>15889</v>
      </c>
      <c r="B666" s="4" t="s">
        <v>503</v>
      </c>
      <c r="C666" s="4" t="s">
        <v>298</v>
      </c>
      <c r="D666" s="94">
        <v>3220.0</v>
      </c>
    </row>
    <row r="667">
      <c r="A667" s="40">
        <f t="array" ref="A667">IFNA(index(PlayerValues!A:A,match(IFNA(vlookup(B667,'Special Names'!A:B,2,FALSE),B667),PlayerValues!E:E,0)),"N/A")</f>
        <v>16583</v>
      </c>
      <c r="B667" s="4" t="s">
        <v>493</v>
      </c>
      <c r="C667" s="4" t="s">
        <v>283</v>
      </c>
      <c r="D667" s="94">
        <v>2798.0</v>
      </c>
    </row>
    <row r="668">
      <c r="A668" s="40" t="str">
        <f t="array" ref="A668">IFNA(index(PlayerValues!A:A,match(IFNA(vlookup(B668,'Special Names'!A:B,2,FALSE),B668),PlayerValues!E:E,0)),"N/A")</f>
        <v>N/A</v>
      </c>
      <c r="B668" s="4" t="s">
        <v>85</v>
      </c>
      <c r="C668" s="4" t="s">
        <v>325</v>
      </c>
      <c r="D668" s="94">
        <v>2797.0</v>
      </c>
    </row>
    <row r="669">
      <c r="A669" s="40" t="str">
        <f t="array" ref="A669">IFNA(index(PlayerValues!A:A,match(IFNA(vlookup(B669,'Special Names'!A:B,2,FALSE),B669),PlayerValues!E:E,0)),"N/A")</f>
        <v>N/A</v>
      </c>
      <c r="B669" s="4" t="s">
        <v>110</v>
      </c>
      <c r="C669" s="4" t="s">
        <v>325</v>
      </c>
      <c r="D669" s="94">
        <v>2779.0</v>
      </c>
    </row>
    <row r="670">
      <c r="A670" s="40">
        <f t="array" ref="A670">IFNA(index(PlayerValues!A:A,match(IFNA(vlookup(B670,'Special Names'!A:B,2,FALSE),B670),PlayerValues!E:E,0)),"N/A")</f>
        <v>16723</v>
      </c>
      <c r="B670" s="4" t="s">
        <v>502</v>
      </c>
      <c r="C670" s="4" t="s">
        <v>298</v>
      </c>
      <c r="D670" s="94">
        <v>3188.0</v>
      </c>
    </row>
    <row r="671">
      <c r="A671" s="40">
        <f t="array" ref="A671">IFNA(index(PlayerValues!A:A,match(IFNA(vlookup(B671,'Special Names'!A:B,2,FALSE),B671),PlayerValues!E:E,0)),"N/A")</f>
        <v>17047</v>
      </c>
      <c r="B671" s="4" t="s">
        <v>510</v>
      </c>
      <c r="C671" s="4" t="s">
        <v>278</v>
      </c>
      <c r="D671" s="94">
        <v>2767.0</v>
      </c>
    </row>
    <row r="672">
      <c r="A672" s="40">
        <f t="array" ref="A672">IFNA(index(PlayerValues!A:A,match(IFNA(vlookup(B672,'Special Names'!A:B,2,FALSE),B672),PlayerValues!E:E,0)),"N/A")</f>
        <v>17107</v>
      </c>
      <c r="B672" s="4" t="s">
        <v>478</v>
      </c>
      <c r="C672" s="4" t="s">
        <v>298</v>
      </c>
      <c r="D672" s="94">
        <v>3164.0</v>
      </c>
    </row>
    <row r="673">
      <c r="A673" s="40">
        <f t="array" ref="A673">IFNA(index(PlayerValues!A:A,match(IFNA(vlookup(B673,'Special Names'!A:B,2,FALSE),B673),PlayerValues!E:E,0)),"N/A")</f>
        <v>13671</v>
      </c>
      <c r="B673" s="4" t="s">
        <v>506</v>
      </c>
      <c r="C673" s="4" t="s">
        <v>298</v>
      </c>
      <c r="D673" s="94">
        <v>3164.0</v>
      </c>
    </row>
    <row r="674">
      <c r="A674" s="40">
        <f t="array" ref="A674">IFNA(index(PlayerValues!A:A,match(IFNA(vlookup(B674,'Special Names'!A:B,2,FALSE),B674),PlayerValues!E:E,0)),"N/A")</f>
        <v>15721</v>
      </c>
      <c r="B674" s="4" t="s">
        <v>504</v>
      </c>
      <c r="C674" s="4" t="s">
        <v>278</v>
      </c>
      <c r="D674" s="94">
        <v>2745.0</v>
      </c>
    </row>
    <row r="675">
      <c r="A675" s="40">
        <f t="array" ref="A675">IFNA(index(PlayerValues!A:A,match(IFNA(vlookup(B675,'Special Names'!A:B,2,FALSE),B675),PlayerValues!E:E,0)),"N/A")</f>
        <v>17053</v>
      </c>
      <c r="B675" s="4" t="s">
        <v>484</v>
      </c>
      <c r="C675" s="4" t="s">
        <v>278</v>
      </c>
      <c r="D675" s="94">
        <v>2735.0</v>
      </c>
    </row>
    <row r="676">
      <c r="A676" s="40">
        <f t="array" ref="A676">IFNA(index(PlayerValues!A:A,match(IFNA(vlookup(B676,'Special Names'!A:B,2,FALSE),B676),PlayerValues!E:E,0)),"N/A")</f>
        <v>17157</v>
      </c>
      <c r="B676" s="4" t="s">
        <v>524</v>
      </c>
      <c r="C676" s="4" t="s">
        <v>287</v>
      </c>
      <c r="D676" s="94">
        <v>2728.0</v>
      </c>
    </row>
    <row r="677">
      <c r="A677" s="40">
        <f t="array" ref="A677">IFNA(index(PlayerValues!A:A,match(IFNA(vlookup(B677,'Special Names'!A:B,2,FALSE),B677),PlayerValues!E:E,0)),"N/A")</f>
        <v>15972</v>
      </c>
      <c r="B677" s="4" t="s">
        <v>469</v>
      </c>
      <c r="C677" s="4" t="s">
        <v>278</v>
      </c>
      <c r="D677" s="94">
        <v>2714.0</v>
      </c>
    </row>
    <row r="678">
      <c r="A678" s="40">
        <f t="array" ref="A678">IFNA(index(PlayerValues!A:A,match(IFNA(vlookup(B678,'Special Names'!A:B,2,FALSE),B678),PlayerValues!E:E,0)),"N/A")</f>
        <v>14138</v>
      </c>
      <c r="B678" s="4" t="s">
        <v>531</v>
      </c>
      <c r="C678" s="4" t="s">
        <v>298</v>
      </c>
      <c r="D678" s="94">
        <v>3112.0</v>
      </c>
    </row>
    <row r="679">
      <c r="A679" s="40">
        <f t="array" ref="A679">IFNA(index(PlayerValues!A:A,match(IFNA(vlookup(B679,'Special Names'!A:B,2,FALSE),B679),PlayerValues!E:E,0)),"N/A")</f>
        <v>15712</v>
      </c>
      <c r="B679" s="4" t="s">
        <v>488</v>
      </c>
      <c r="C679" s="4" t="s">
        <v>278</v>
      </c>
      <c r="D679" s="94">
        <v>2689.0</v>
      </c>
    </row>
    <row r="680">
      <c r="A680" s="40">
        <f t="array" ref="A680">IFNA(index(PlayerValues!A:A,match(IFNA(vlookup(B680,'Special Names'!A:B,2,FALSE),B680),PlayerValues!E:E,0)),"N/A")</f>
        <v>17505</v>
      </c>
      <c r="B680" s="4" t="s">
        <v>528</v>
      </c>
      <c r="C680" s="4" t="s">
        <v>287</v>
      </c>
      <c r="D680" s="94">
        <v>2686.0</v>
      </c>
    </row>
    <row r="681">
      <c r="A681" s="40">
        <f t="array" ref="A681">IFNA(index(PlayerValues!A:A,match(IFNA(vlookup(B681,'Special Names'!A:B,2,FALSE),B681),PlayerValues!E:E,0)),"N/A")</f>
        <v>17507</v>
      </c>
      <c r="B681" s="4" t="s">
        <v>495</v>
      </c>
      <c r="C681" s="4" t="s">
        <v>287</v>
      </c>
      <c r="D681" s="94">
        <v>2684.0</v>
      </c>
    </row>
    <row r="682">
      <c r="A682" s="40">
        <f t="array" ref="A682">IFNA(index(PlayerValues!A:A,match(IFNA(vlookup(B682,'Special Names'!A:B,2,FALSE),B682),PlayerValues!E:E,0)),"N/A")</f>
        <v>17031</v>
      </c>
      <c r="B682" s="4" t="s">
        <v>535</v>
      </c>
      <c r="C682" s="4" t="s">
        <v>283</v>
      </c>
      <c r="D682" s="94">
        <v>2678.0</v>
      </c>
    </row>
    <row r="683">
      <c r="A683" s="40">
        <f t="array" ref="A683">IFNA(index(PlayerValues!A:A,match(IFNA(vlookup(B683,'Special Names'!A:B,2,FALSE),B683),PlayerValues!E:E,0)),"N/A")</f>
        <v>17072</v>
      </c>
      <c r="B683" s="4" t="s">
        <v>508</v>
      </c>
      <c r="C683" s="4" t="s">
        <v>287</v>
      </c>
      <c r="D683" s="94">
        <v>2678.0</v>
      </c>
    </row>
    <row r="684">
      <c r="A684" s="40">
        <f t="array" ref="A684">IFNA(index(PlayerValues!A:A,match(IFNA(vlookup(B684,'Special Names'!A:B,2,FALSE),B684),PlayerValues!E:E,0)),"N/A")</f>
        <v>15241</v>
      </c>
      <c r="B684" s="4" t="s">
        <v>546</v>
      </c>
      <c r="C684" s="4" t="s">
        <v>283</v>
      </c>
      <c r="D684" s="94">
        <v>2671.0</v>
      </c>
    </row>
    <row r="685">
      <c r="A685" s="40">
        <f t="array" ref="A685">IFNA(index(PlayerValues!A:A,match(IFNA(vlookup(B685,'Special Names'!A:B,2,FALSE),B685),PlayerValues!E:E,0)),"N/A")</f>
        <v>14778</v>
      </c>
      <c r="B685" s="4" t="s">
        <v>564</v>
      </c>
      <c r="C685" s="4" t="s">
        <v>283</v>
      </c>
      <c r="D685" s="94">
        <v>2664.0</v>
      </c>
    </row>
    <row r="686">
      <c r="A686" s="40">
        <f t="array" ref="A686">IFNA(index(PlayerValues!A:A,match(IFNA(vlookup(B686,'Special Names'!A:B,2,FALSE),B686),PlayerValues!E:E,0)),"N/A")</f>
        <v>13674</v>
      </c>
      <c r="B686" s="4" t="s">
        <v>511</v>
      </c>
      <c r="C686" s="4" t="s">
        <v>298</v>
      </c>
      <c r="D686" s="94">
        <v>3072.0</v>
      </c>
    </row>
    <row r="687">
      <c r="A687" s="40">
        <f t="array" ref="A687">IFNA(index(PlayerValues!A:A,match(IFNA(vlookup(B687,'Special Names'!A:B,2,FALSE),B687),PlayerValues!E:E,0)),"N/A")</f>
        <v>16626</v>
      </c>
      <c r="B687" s="4" t="s">
        <v>515</v>
      </c>
      <c r="C687" s="4" t="s">
        <v>287</v>
      </c>
      <c r="D687" s="94">
        <v>2647.0</v>
      </c>
    </row>
    <row r="688">
      <c r="A688" s="40">
        <f t="array" ref="A688">IFNA(index(PlayerValues!A:A,match(IFNA(vlookup(B688,'Special Names'!A:B,2,FALSE),B688),PlayerValues!E:E,0)),"N/A")</f>
        <v>17080</v>
      </c>
      <c r="B688" s="4" t="s">
        <v>532</v>
      </c>
      <c r="C688" s="4" t="s">
        <v>287</v>
      </c>
      <c r="D688" s="94">
        <v>2644.0</v>
      </c>
    </row>
    <row r="689">
      <c r="A689" s="40">
        <f t="array" ref="A689">IFNA(index(PlayerValues!A:A,match(IFNA(vlookup(B689,'Special Names'!A:B,2,FALSE),B689),PlayerValues!E:E,0)),"N/A")</f>
        <v>17105</v>
      </c>
      <c r="B689" s="4" t="s">
        <v>525</v>
      </c>
      <c r="C689" s="4" t="s">
        <v>298</v>
      </c>
      <c r="D689" s="94">
        <v>3053.0</v>
      </c>
    </row>
    <row r="690">
      <c r="A690" s="40">
        <f t="array" ref="A690">IFNA(index(PlayerValues!A:A,match(IFNA(vlookup(B690,'Special Names'!A:B,2,FALSE),B690),PlayerValues!E:E,0)),"N/A")</f>
        <v>16174</v>
      </c>
      <c r="B690" s="4" t="s">
        <v>505</v>
      </c>
      <c r="C690" s="4" t="s">
        <v>278</v>
      </c>
      <c r="D690" s="94">
        <v>2640.0</v>
      </c>
    </row>
    <row r="691">
      <c r="A691" s="40">
        <f t="array" ref="A691">IFNA(index(PlayerValues!A:A,match(IFNA(vlookup(B691,'Special Names'!A:B,2,FALSE),B691),PlayerValues!E:E,0)),"N/A")</f>
        <v>16584</v>
      </c>
      <c r="B691" s="4" t="s">
        <v>569</v>
      </c>
      <c r="C691" s="4" t="s">
        <v>283</v>
      </c>
      <c r="D691" s="94">
        <v>2633.0</v>
      </c>
    </row>
    <row r="692">
      <c r="A692" s="40">
        <f t="array" ref="A692">IFNA(index(PlayerValues!A:A,match(IFNA(vlookup(B692,'Special Names'!A:B,2,FALSE),B692),PlayerValues!E:E,0)),"N/A")</f>
        <v>11244</v>
      </c>
      <c r="B692" s="4" t="s">
        <v>519</v>
      </c>
      <c r="C692" s="4" t="s">
        <v>298</v>
      </c>
      <c r="D692" s="94">
        <v>3040.0</v>
      </c>
    </row>
    <row r="693">
      <c r="A693" s="40">
        <f t="array" ref="A693">IFNA(index(PlayerValues!A:A,match(IFNA(vlookup(B693,'Special Names'!A:B,2,FALSE),B693),PlayerValues!E:E,0)),"N/A")</f>
        <v>17520</v>
      </c>
      <c r="B693" s="4" t="s">
        <v>518</v>
      </c>
      <c r="C693" s="4" t="s">
        <v>287</v>
      </c>
      <c r="D693" s="94">
        <v>2616.0</v>
      </c>
    </row>
    <row r="694">
      <c r="A694" s="40">
        <f t="array" ref="A694">IFNA(index(PlayerValues!A:A,match(IFNA(vlookup(B694,'Special Names'!A:B,2,FALSE),B694),PlayerValues!E:E,0)),"N/A")</f>
        <v>16596</v>
      </c>
      <c r="B694" s="4" t="s">
        <v>501</v>
      </c>
      <c r="C694" s="4" t="s">
        <v>278</v>
      </c>
      <c r="D694" s="94">
        <v>2612.0</v>
      </c>
    </row>
    <row r="695">
      <c r="A695" s="40">
        <f t="array" ref="A695">IFNA(index(PlayerValues!A:A,match(IFNA(vlookup(B695,'Special Names'!A:B,2,FALSE),B695),PlayerValues!E:E,0)),"N/A")</f>
        <v>16747</v>
      </c>
      <c r="B695" s="4" t="s">
        <v>555</v>
      </c>
      <c r="C695" s="4" t="s">
        <v>278</v>
      </c>
      <c r="D695" s="94">
        <v>2611.0</v>
      </c>
    </row>
    <row r="696">
      <c r="A696" s="40">
        <f t="array" ref="A696">IFNA(index(PlayerValues!A:A,match(IFNA(vlookup(B696,'Special Names'!A:B,2,FALSE),B696),PlayerValues!E:E,0)),"N/A")</f>
        <v>17098</v>
      </c>
      <c r="B696" s="4" t="s">
        <v>533</v>
      </c>
      <c r="C696" s="4" t="s">
        <v>287</v>
      </c>
      <c r="D696" s="94">
        <v>2611.0</v>
      </c>
    </row>
    <row r="697">
      <c r="A697" s="40">
        <f t="array" ref="A697">IFNA(index(PlayerValues!A:A,match(IFNA(vlookup(B697,'Special Names'!A:B,2,FALSE),B697),PlayerValues!E:E,0)),"N/A")</f>
        <v>17511</v>
      </c>
      <c r="B697" s="4" t="s">
        <v>485</v>
      </c>
      <c r="C697" s="4" t="s">
        <v>287</v>
      </c>
      <c r="D697" s="94">
        <v>2601.0</v>
      </c>
    </row>
    <row r="698">
      <c r="A698" s="40">
        <f t="array" ref="A698">IFNA(index(PlayerValues!A:A,match(IFNA(vlookup(B698,'Special Names'!A:B,2,FALSE),B698),PlayerValues!E:E,0)),"N/A")</f>
        <v>16164</v>
      </c>
      <c r="B698" s="4" t="s">
        <v>512</v>
      </c>
      <c r="C698" s="4" t="s">
        <v>278</v>
      </c>
      <c r="D698" s="94">
        <v>2598.0</v>
      </c>
    </row>
    <row r="699">
      <c r="A699" s="40">
        <f t="array" ref="A699">IFNA(index(PlayerValues!A:A,match(IFNA(vlookup(B699,'Special Names'!A:B,2,FALSE),B699),PlayerValues!E:E,0)),"N/A")</f>
        <v>17466</v>
      </c>
      <c r="B699" s="4" t="s">
        <v>492</v>
      </c>
      <c r="C699" s="4" t="s">
        <v>283</v>
      </c>
      <c r="D699" s="94">
        <v>2596.0</v>
      </c>
    </row>
    <row r="700">
      <c r="A700" s="40">
        <f t="array" ref="A700">IFNA(index(PlayerValues!A:A,match(IFNA(vlookup(B700,'Special Names'!A:B,2,FALSE),B700),PlayerValues!E:E,0)),"N/A")</f>
        <v>16178</v>
      </c>
      <c r="B700" s="4" t="s">
        <v>507</v>
      </c>
      <c r="C700" s="4" t="s">
        <v>278</v>
      </c>
      <c r="D700" s="94">
        <v>2590.0</v>
      </c>
    </row>
    <row r="701">
      <c r="A701" s="40">
        <f t="array" ref="A701">IFNA(index(PlayerValues!A:A,match(IFNA(vlookup(B701,'Special Names'!A:B,2,FALSE),B701),PlayerValues!E:E,0)),"N/A")</f>
        <v>12616</v>
      </c>
      <c r="B701" s="4" t="s">
        <v>529</v>
      </c>
      <c r="C701" s="4" t="s">
        <v>283</v>
      </c>
      <c r="D701" s="94">
        <v>2578.0</v>
      </c>
    </row>
    <row r="702">
      <c r="A702" s="40">
        <f t="array" ref="A702">IFNA(index(PlayerValues!A:A,match(IFNA(vlookup(B702,'Special Names'!A:B,2,FALSE),B702),PlayerValues!E:E,0)),"N/A")</f>
        <v>16204</v>
      </c>
      <c r="B702" s="4" t="s">
        <v>530</v>
      </c>
      <c r="C702" s="4" t="s">
        <v>287</v>
      </c>
      <c r="D702" s="94">
        <v>2578.0</v>
      </c>
    </row>
    <row r="703">
      <c r="A703" s="40" t="str">
        <f t="array" ref="A703">IFNA(index(PlayerValues!A:A,match(IFNA(vlookup(B703,'Special Names'!A:B,2,FALSE),B703),PlayerValues!E:E,0)),"N/A")</f>
        <v>N/A</v>
      </c>
      <c r="B703" s="4" t="s">
        <v>98</v>
      </c>
      <c r="C703" s="4" t="s">
        <v>325</v>
      </c>
      <c r="D703" s="94">
        <v>2575.0</v>
      </c>
    </row>
    <row r="704">
      <c r="A704" s="40">
        <f t="array" ref="A704">IFNA(index(PlayerValues!A:A,match(IFNA(vlookup(B704,'Special Names'!A:B,2,FALSE),B704),PlayerValues!E:E,0)),"N/A")</f>
        <v>15786</v>
      </c>
      <c r="B704" s="4" t="s">
        <v>521</v>
      </c>
      <c r="C704" s="4" t="s">
        <v>287</v>
      </c>
      <c r="D704" s="94">
        <v>2571.0</v>
      </c>
    </row>
    <row r="705">
      <c r="A705" s="40">
        <f t="array" ref="A705">IFNA(index(PlayerValues!A:A,match(IFNA(vlookup(B705,'Special Names'!A:B,2,FALSE),B705),PlayerValues!E:E,0)),"N/A")</f>
        <v>16287</v>
      </c>
      <c r="B705" s="4" t="s">
        <v>516</v>
      </c>
      <c r="C705" s="4" t="s">
        <v>287</v>
      </c>
      <c r="D705" s="94">
        <v>2563.0</v>
      </c>
    </row>
    <row r="706">
      <c r="A706" s="40">
        <f t="array" ref="A706">IFNA(index(PlayerValues!A:A,match(IFNA(vlookup(B706,'Special Names'!A:B,2,FALSE),B706),PlayerValues!E:E,0)),"N/A")</f>
        <v>16684</v>
      </c>
      <c r="B706" s="4" t="s">
        <v>500</v>
      </c>
      <c r="C706" s="4" t="s">
        <v>287</v>
      </c>
      <c r="D706" s="94">
        <v>2563.0</v>
      </c>
    </row>
    <row r="707">
      <c r="A707" s="40">
        <f t="array" ref="A707">IFNA(index(PlayerValues!A:A,match(IFNA(vlookup(B707,'Special Names'!A:B,2,FALSE),B707),PlayerValues!E:E,0)),"N/A")</f>
        <v>16165</v>
      </c>
      <c r="B707" s="4" t="s">
        <v>520</v>
      </c>
      <c r="C707" s="4" t="s">
        <v>278</v>
      </c>
      <c r="D707" s="94">
        <v>2557.0</v>
      </c>
    </row>
    <row r="708">
      <c r="A708" s="40">
        <f t="array" ref="A708">IFNA(index(PlayerValues!A:A,match(IFNA(vlookup(B708,'Special Names'!A:B,2,FALSE),B708),PlayerValues!E:E,0)),"N/A")</f>
        <v>16193</v>
      </c>
      <c r="B708" s="4" t="s">
        <v>487</v>
      </c>
      <c r="C708" s="4" t="s">
        <v>287</v>
      </c>
      <c r="D708" s="94">
        <v>2549.0</v>
      </c>
    </row>
    <row r="709">
      <c r="A709" s="40">
        <f t="array" ref="A709">IFNA(index(PlayerValues!A:A,match(IFNA(vlookup(B709,'Special Names'!A:B,2,FALSE),B709),PlayerValues!E:E,0)),"N/A")</f>
        <v>16619</v>
      </c>
      <c r="B709" s="4" t="s">
        <v>538</v>
      </c>
      <c r="C709" s="4" t="s">
        <v>287</v>
      </c>
      <c r="D709" s="94">
        <v>2527.0</v>
      </c>
    </row>
    <row r="710">
      <c r="A710" s="40">
        <f t="array" ref="A710">IFNA(index(PlayerValues!A:A,match(IFNA(vlookup(B710,'Special Names'!A:B,2,FALSE),B710),PlayerValues!E:E,0)),"N/A")</f>
        <v>14833</v>
      </c>
      <c r="B710" s="4" t="s">
        <v>553</v>
      </c>
      <c r="C710" s="4" t="s">
        <v>287</v>
      </c>
      <c r="D710" s="94">
        <v>2511.0</v>
      </c>
    </row>
    <row r="711">
      <c r="A711" s="40">
        <f t="array" ref="A711">IFNA(index(PlayerValues!A:A,match(IFNA(vlookup(B711,'Special Names'!A:B,2,FALSE),B711),PlayerValues!E:E,0)),"N/A")</f>
        <v>17108</v>
      </c>
      <c r="B711" s="4" t="s">
        <v>542</v>
      </c>
      <c r="C711" s="4" t="s">
        <v>298</v>
      </c>
      <c r="D711" s="94">
        <v>2916.0</v>
      </c>
    </row>
    <row r="712">
      <c r="A712" s="40" t="str">
        <f t="array" ref="A712">IFNA(index(PlayerValues!A:A,match(IFNA(vlookup(B712,'Special Names'!A:B,2,FALSE),B712),PlayerValues!E:E,0)),"N/A")</f>
        <v>N/A</v>
      </c>
      <c r="B712" s="4" t="s">
        <v>99</v>
      </c>
      <c r="C712" s="4" t="s">
        <v>325</v>
      </c>
      <c r="D712" s="94">
        <v>2499.0</v>
      </c>
    </row>
    <row r="713">
      <c r="A713" s="40">
        <f t="array" ref="A713">IFNA(index(PlayerValues!A:A,match(IFNA(vlookup(B713,'Special Names'!A:B,2,FALSE),B713),PlayerValues!E:E,0)),"N/A")</f>
        <v>17478</v>
      </c>
      <c r="B713" s="4" t="s">
        <v>527</v>
      </c>
      <c r="C713" s="4" t="s">
        <v>278</v>
      </c>
      <c r="D713" s="94">
        <v>2496.0</v>
      </c>
    </row>
    <row r="714">
      <c r="A714" s="40">
        <f t="array" ref="A714">IFNA(index(PlayerValues!A:A,match(IFNA(vlookup(B714,'Special Names'!A:B,2,FALSE),B714),PlayerValues!E:E,0)),"N/A")</f>
        <v>17073</v>
      </c>
      <c r="B714" s="4" t="s">
        <v>547</v>
      </c>
      <c r="C714" s="4" t="s">
        <v>287</v>
      </c>
      <c r="D714" s="94">
        <v>2474.0</v>
      </c>
    </row>
    <row r="715">
      <c r="A715" s="40">
        <f t="array" ref="A715">IFNA(index(PlayerValues!A:A,match(IFNA(vlookup(B715,'Special Names'!A:B,2,FALSE),B715),PlayerValues!E:E,0)),"N/A")</f>
        <v>17082</v>
      </c>
      <c r="B715" s="4" t="s">
        <v>498</v>
      </c>
      <c r="C715" s="4" t="s">
        <v>287</v>
      </c>
      <c r="D715" s="94">
        <v>2471.0</v>
      </c>
    </row>
    <row r="716">
      <c r="A716" s="40">
        <f t="array" ref="A716">IFNA(index(PlayerValues!A:A,match(IFNA(vlookup(B716,'Special Names'!A:B,2,FALSE),B716),PlayerValues!E:E,0)),"N/A")</f>
        <v>17474</v>
      </c>
      <c r="B716" s="4" t="s">
        <v>513</v>
      </c>
      <c r="C716" s="4" t="s">
        <v>278</v>
      </c>
      <c r="D716" s="94">
        <v>2469.0</v>
      </c>
    </row>
    <row r="717">
      <c r="A717" s="40">
        <f t="array" ref="A717">IFNA(index(PlayerValues!A:A,match(IFNA(vlookup(B717,'Special Names'!A:B,2,FALSE),B717),PlayerValues!E:E,0)),"N/A")</f>
        <v>17517</v>
      </c>
      <c r="B717" s="4" t="s">
        <v>454</v>
      </c>
      <c r="C717" s="4" t="s">
        <v>287</v>
      </c>
      <c r="D717" s="94">
        <v>2445.0</v>
      </c>
    </row>
    <row r="718">
      <c r="A718" s="40">
        <f t="array" ref="A718">IFNA(index(PlayerValues!A:A,match(IFNA(vlookup(B718,'Special Names'!A:B,2,FALSE),B718),PlayerValues!E:E,0)),"N/A")</f>
        <v>14860</v>
      </c>
      <c r="B718" s="4" t="s">
        <v>554</v>
      </c>
      <c r="C718" s="4" t="s">
        <v>287</v>
      </c>
      <c r="D718" s="94">
        <v>2440.0</v>
      </c>
    </row>
    <row r="719">
      <c r="A719" s="40">
        <f t="array" ref="A719">IFNA(index(PlayerValues!A:A,match(IFNA(vlookup(B719,'Special Names'!A:B,2,FALSE),B719),PlayerValues!E:E,0)),"N/A")</f>
        <v>16195</v>
      </c>
      <c r="B719" s="4" t="s">
        <v>509</v>
      </c>
      <c r="C719" s="4" t="s">
        <v>287</v>
      </c>
      <c r="D719" s="94">
        <v>2435.0</v>
      </c>
    </row>
    <row r="720">
      <c r="A720" s="40">
        <f t="array" ref="A720">IFNA(index(PlayerValues!A:A,match(IFNA(vlookup(B720,'Special Names'!A:B,2,FALSE),B720),PlayerValues!E:E,0)),"N/A")</f>
        <v>17508</v>
      </c>
      <c r="B720" s="4" t="s">
        <v>534</v>
      </c>
      <c r="C720" s="4" t="s">
        <v>287</v>
      </c>
      <c r="D720" s="94">
        <v>2428.0</v>
      </c>
    </row>
    <row r="721">
      <c r="A721" s="40">
        <f t="array" ref="A721">IFNA(index(PlayerValues!A:A,match(IFNA(vlookup(B721,'Special Names'!A:B,2,FALSE),B721),PlayerValues!E:E,0)),"N/A")</f>
        <v>17509</v>
      </c>
      <c r="B721" s="4" t="s">
        <v>551</v>
      </c>
      <c r="C721" s="4" t="s">
        <v>287</v>
      </c>
      <c r="D721" s="94">
        <v>2413.0</v>
      </c>
    </row>
    <row r="722">
      <c r="A722" s="40">
        <f t="array" ref="A722">IFNA(index(PlayerValues!A:A,match(IFNA(vlookup(B722,'Special Names'!A:B,2,FALSE),B722),PlayerValues!E:E,0)),"N/A")</f>
        <v>17078</v>
      </c>
      <c r="B722" s="4" t="s">
        <v>543</v>
      </c>
      <c r="C722" s="4" t="s">
        <v>287</v>
      </c>
      <c r="D722" s="94">
        <v>2394.0</v>
      </c>
    </row>
    <row r="723">
      <c r="A723" s="40">
        <f t="array" ref="A723">IFNA(index(PlayerValues!A:A,match(IFNA(vlookup(B723,'Special Names'!A:B,2,FALSE),B723),PlayerValues!E:E,0)),"N/A")</f>
        <v>15716</v>
      </c>
      <c r="B723" s="4" t="s">
        <v>545</v>
      </c>
      <c r="C723" s="4" t="s">
        <v>278</v>
      </c>
      <c r="D723" s="94">
        <v>2385.0</v>
      </c>
    </row>
    <row r="724">
      <c r="A724" s="40">
        <f t="array" ref="A724">IFNA(index(PlayerValues!A:A,match(IFNA(vlookup(B724,'Special Names'!A:B,2,FALSE),B724),PlayerValues!E:E,0)),"N/A")</f>
        <v>16617</v>
      </c>
      <c r="B724" s="4" t="s">
        <v>541</v>
      </c>
      <c r="C724" s="4" t="s">
        <v>287</v>
      </c>
      <c r="D724" s="94">
        <v>2380.0</v>
      </c>
    </row>
    <row r="725">
      <c r="A725" s="40">
        <f t="array" ref="A725">IFNA(index(PlayerValues!A:A,match(IFNA(vlookup(B725,'Special Names'!A:B,2,FALSE),B725),PlayerValues!E:E,0)),"N/A")</f>
        <v>12676</v>
      </c>
      <c r="B725" s="4" t="s">
        <v>537</v>
      </c>
      <c r="C725" s="4" t="s">
        <v>298</v>
      </c>
      <c r="D725" s="94">
        <v>2762.0</v>
      </c>
    </row>
    <row r="726">
      <c r="A726" s="40" t="str">
        <f t="array" ref="A726">IFNA(index(PlayerValues!A:A,match(IFNA(vlookup(B726,'Special Names'!A:B,2,FALSE),B726),PlayerValues!E:E,0)),"N/A")</f>
        <v>N/A</v>
      </c>
      <c r="B726" s="4" t="s">
        <v>86</v>
      </c>
      <c r="C726" s="4" t="s">
        <v>325</v>
      </c>
      <c r="D726" s="94">
        <v>2359.0</v>
      </c>
    </row>
    <row r="727">
      <c r="A727" s="40">
        <f t="array" ref="A727">IFNA(index(PlayerValues!A:A,match(IFNA(vlookup(B727,'Special Names'!A:B,2,FALSE),B727),PlayerValues!E:E,0)),"N/A")</f>
        <v>13319</v>
      </c>
      <c r="B727" s="4" t="s">
        <v>549</v>
      </c>
      <c r="C727" s="4" t="s">
        <v>278</v>
      </c>
      <c r="D727" s="94">
        <v>2356.0</v>
      </c>
    </row>
    <row r="728">
      <c r="A728" s="40">
        <f t="array" ref="A728">IFNA(index(PlayerValues!A:A,match(IFNA(vlookup(B728,'Special Names'!A:B,2,FALSE),B728),PlayerValues!E:E,0)),"N/A")</f>
        <v>17106</v>
      </c>
      <c r="B728" s="4" t="s">
        <v>550</v>
      </c>
      <c r="C728" s="4" t="s">
        <v>298</v>
      </c>
      <c r="D728" s="94">
        <v>2726.0</v>
      </c>
    </row>
    <row r="729">
      <c r="A729" s="40">
        <f t="array" ref="A729">IFNA(index(PlayerValues!A:A,match(IFNA(vlookup(B729,'Special Names'!A:B,2,FALSE),B729),PlayerValues!E:E,0)),"N/A")</f>
        <v>14861</v>
      </c>
      <c r="B729" s="4" t="s">
        <v>523</v>
      </c>
      <c r="C729" s="4" t="s">
        <v>298</v>
      </c>
      <c r="D729" s="94">
        <v>2715.0</v>
      </c>
    </row>
    <row r="730">
      <c r="A730" s="40">
        <f t="array" ref="A730">IFNA(index(PlayerValues!A:A,match(IFNA(vlookup(B730,'Special Names'!A:B,2,FALSE),B730),PlayerValues!E:E,0)),"N/A")</f>
        <v>15331</v>
      </c>
      <c r="B730" s="4" t="s">
        <v>560</v>
      </c>
      <c r="C730" s="4" t="s">
        <v>298</v>
      </c>
      <c r="D730" s="94">
        <v>2700.0</v>
      </c>
    </row>
    <row r="731">
      <c r="A731" s="40">
        <f t="array" ref="A731">IFNA(index(PlayerValues!A:A,match(IFNA(vlookup(B731,'Special Names'!A:B,2,FALSE),B731),PlayerValues!E:E,0)),"N/A")</f>
        <v>15802</v>
      </c>
      <c r="B731" s="4" t="s">
        <v>566</v>
      </c>
      <c r="C731" s="4" t="s">
        <v>298</v>
      </c>
      <c r="D731" s="94">
        <v>2697.0</v>
      </c>
    </row>
    <row r="732">
      <c r="A732" s="40" t="str">
        <f t="array" ref="A732">IFNA(index(PlayerValues!A:A,match(IFNA(vlookup(B732,'Special Names'!A:B,2,FALSE),B732),PlayerValues!E:E,0)),"N/A")</f>
        <v>N/A</v>
      </c>
      <c r="B732" s="4" t="s">
        <v>100</v>
      </c>
      <c r="C732" s="4" t="s">
        <v>325</v>
      </c>
      <c r="D732" s="94">
        <v>2300.0</v>
      </c>
    </row>
    <row r="733">
      <c r="A733" s="40">
        <f t="array" ref="A733">IFNA(index(PlayerValues!A:A,match(IFNA(vlookup(B733,'Special Names'!A:B,2,FALSE),B733),PlayerValues!E:E,0)),"N/A")</f>
        <v>15797</v>
      </c>
      <c r="B733" s="4" t="s">
        <v>556</v>
      </c>
      <c r="C733" s="4" t="s">
        <v>298</v>
      </c>
      <c r="D733" s="94">
        <v>2695.0</v>
      </c>
    </row>
    <row r="734">
      <c r="A734" s="40">
        <f t="array" ref="A734">IFNA(index(PlayerValues!A:A,match(IFNA(vlookup(B734,'Special Names'!A:B,2,FALSE),B734),PlayerValues!E:E,0)),"N/A")</f>
        <v>17547</v>
      </c>
      <c r="B734" s="4" t="s">
        <v>552</v>
      </c>
      <c r="C734" s="4" t="s">
        <v>298</v>
      </c>
      <c r="D734" s="94">
        <v>2680.0</v>
      </c>
    </row>
    <row r="735">
      <c r="A735" s="40">
        <f t="array" ref="A735">IFNA(index(PlayerValues!A:A,match(IFNA(vlookup(B735,'Special Names'!A:B,2,FALSE),B735),PlayerValues!E:E,0)),"N/A")</f>
        <v>17055</v>
      </c>
      <c r="B735" s="4" t="s">
        <v>565</v>
      </c>
      <c r="C735" s="4" t="s">
        <v>278</v>
      </c>
      <c r="D735" s="94">
        <v>2283.0</v>
      </c>
    </row>
    <row r="736">
      <c r="A736" s="40">
        <f t="array" ref="A736">IFNA(index(PlayerValues!A:A,match(IFNA(vlookup(B736,'Special Names'!A:B,2,FALSE),B736),PlayerValues!E:E,0)),"N/A")</f>
        <v>17171</v>
      </c>
      <c r="B736" s="4" t="s">
        <v>561</v>
      </c>
      <c r="C736" s="4" t="s">
        <v>287</v>
      </c>
      <c r="D736" s="94">
        <v>2279.0</v>
      </c>
    </row>
    <row r="737">
      <c r="A737" s="40">
        <f t="array" ref="A737">IFNA(index(PlayerValues!A:A,match(IFNA(vlookup(B737,'Special Names'!A:B,2,FALSE),B737),PlayerValues!E:E,0)),"N/A")</f>
        <v>16166</v>
      </c>
      <c r="B737" s="4" t="s">
        <v>567</v>
      </c>
      <c r="C737" s="4" t="s">
        <v>278</v>
      </c>
      <c r="D737" s="94">
        <v>2278.0</v>
      </c>
    </row>
    <row r="738">
      <c r="A738" s="40">
        <f t="array" ref="A738">IFNA(index(PlayerValues!A:A,match(IFNA(vlookup(B738,'Special Names'!A:B,2,FALSE),B738),PlayerValues!E:E,0)),"N/A")</f>
        <v>17482</v>
      </c>
      <c r="B738" s="4" t="s">
        <v>460</v>
      </c>
      <c r="C738" s="4" t="s">
        <v>278</v>
      </c>
      <c r="D738" s="94">
        <v>2276.0</v>
      </c>
    </row>
    <row r="739">
      <c r="A739" s="40">
        <f t="array" ref="A739">IFNA(index(PlayerValues!A:A,match(IFNA(vlookup(B739,'Special Names'!A:B,2,FALSE),B739),PlayerValues!E:E,0)),"N/A")</f>
        <v>17048</v>
      </c>
      <c r="B739" s="4" t="s">
        <v>539</v>
      </c>
      <c r="C739" s="4" t="s">
        <v>278</v>
      </c>
      <c r="D739" s="94">
        <v>2269.0</v>
      </c>
    </row>
    <row r="740">
      <c r="A740" s="40" t="str">
        <f t="array" ref="A740">IFNA(index(PlayerValues!A:A,match(IFNA(vlookup(B740,'Special Names'!A:B,2,FALSE),B740),PlayerValues!E:E,0)),"N/A")</f>
        <v>N/A</v>
      </c>
      <c r="B740" s="4" t="s">
        <v>557</v>
      </c>
      <c r="C740" s="4" t="s">
        <v>278</v>
      </c>
      <c r="D740" s="94">
        <v>2244.0</v>
      </c>
    </row>
    <row r="741">
      <c r="A741" s="40" t="str">
        <f t="array" ref="A741">IFNA(index(PlayerValues!A:A,match(IFNA(vlookup(B741,'Special Names'!A:B,2,FALSE),B741),PlayerValues!E:E,0)),"N/A")</f>
        <v>N/A</v>
      </c>
      <c r="B741" s="4" t="s">
        <v>112</v>
      </c>
      <c r="C741" s="4" t="s">
        <v>325</v>
      </c>
      <c r="D741" s="94">
        <v>2238.0</v>
      </c>
    </row>
    <row r="742">
      <c r="A742" s="40" t="str">
        <f t="array" ref="A742">IFNA(index(PlayerValues!A:A,match(IFNA(vlookup(B742,'Special Names'!A:B,2,FALSE),B742),PlayerValues!E:E,0)),"N/A")</f>
        <v>N/A</v>
      </c>
      <c r="B742" s="4" t="s">
        <v>87</v>
      </c>
      <c r="C742" s="4" t="s">
        <v>325</v>
      </c>
      <c r="D742" s="94">
        <v>2234.0</v>
      </c>
    </row>
    <row r="743">
      <c r="A743" s="40">
        <f t="array" ref="A743">IFNA(index(PlayerValues!A:A,match(IFNA(vlookup(B743,'Special Names'!A:B,2,FALSE),B743),PlayerValues!E:E,0)),"N/A")</f>
        <v>16757</v>
      </c>
      <c r="B743" s="4" t="s">
        <v>558</v>
      </c>
      <c r="C743" s="4" t="s">
        <v>278</v>
      </c>
      <c r="D743" s="94">
        <v>2215.0</v>
      </c>
    </row>
    <row r="744">
      <c r="A744" s="40">
        <f t="array" ref="A744">IFNA(index(PlayerValues!A:A,match(IFNA(vlookup(B744,'Special Names'!A:B,2,FALSE),B744),PlayerValues!E:E,0)),"N/A")</f>
        <v>13192</v>
      </c>
      <c r="B744" s="4" t="s">
        <v>563</v>
      </c>
      <c r="C744" s="4" t="s">
        <v>298</v>
      </c>
      <c r="D744" s="94">
        <v>2595.0</v>
      </c>
    </row>
    <row r="745">
      <c r="A745" s="40">
        <f t="array" ref="A745">IFNA(index(PlayerValues!A:A,match(IFNA(vlookup(B745,'Special Names'!A:B,2,FALSE),B745),PlayerValues!E:E,0)),"N/A")</f>
        <v>16610</v>
      </c>
      <c r="B745" s="4" t="s">
        <v>562</v>
      </c>
      <c r="C745" s="4" t="s">
        <v>278</v>
      </c>
      <c r="D745" s="94">
        <v>2203.0</v>
      </c>
    </row>
    <row r="746">
      <c r="A746" s="40">
        <f t="array" ref="A746">IFNA(index(PlayerValues!A:A,match(IFNA(vlookup(B746,'Special Names'!A:B,2,FALSE),B746),PlayerValues!E:E,0)),"N/A")</f>
        <v>11150</v>
      </c>
      <c r="B746" s="4" t="s">
        <v>559</v>
      </c>
      <c r="C746" s="4" t="s">
        <v>283</v>
      </c>
      <c r="D746" s="94">
        <v>2201.0</v>
      </c>
    </row>
    <row r="747">
      <c r="A747" s="40">
        <f t="array" ref="A747">IFNA(index(PlayerValues!A:A,match(IFNA(vlookup(B747,'Special Names'!A:B,2,FALSE),B747),PlayerValues!E:E,0)),"N/A")</f>
        <v>15749</v>
      </c>
      <c r="B747" s="4" t="s">
        <v>574</v>
      </c>
      <c r="C747" s="4" t="s">
        <v>278</v>
      </c>
      <c r="D747" s="94">
        <v>2197.0</v>
      </c>
    </row>
    <row r="748">
      <c r="A748" s="40">
        <f t="array" ref="A748">IFNA(index(PlayerValues!A:A,match(IFNA(vlookup(B748,'Special Names'!A:B,2,FALSE),B748),PlayerValues!E:E,0)),"N/A")</f>
        <v>17033</v>
      </c>
      <c r="B748" s="4" t="s">
        <v>570</v>
      </c>
      <c r="C748" s="4" t="s">
        <v>283</v>
      </c>
      <c r="D748" s="94">
        <v>2191.0</v>
      </c>
    </row>
    <row r="749">
      <c r="A749" s="40">
        <f t="array" ref="A749">IFNA(index(PlayerValues!A:A,match(IFNA(vlookup(B749,'Special Names'!A:B,2,FALSE),B749),PlayerValues!E:E,0)),"N/A")</f>
        <v>17607</v>
      </c>
      <c r="B749" s="4" t="s">
        <v>526</v>
      </c>
      <c r="C749" s="4" t="s">
        <v>298</v>
      </c>
      <c r="D749" s="94">
        <v>2576.0</v>
      </c>
    </row>
    <row r="750">
      <c r="A750" s="40">
        <f t="array" ref="A750">IFNA(index(PlayerValues!A:A,match(IFNA(vlookup(B750,'Special Names'!A:B,2,FALSE),B750),PlayerValues!E:E,0)),"N/A")</f>
        <v>13772</v>
      </c>
      <c r="B750" s="4" t="s">
        <v>544</v>
      </c>
      <c r="C750" s="4" t="s">
        <v>298</v>
      </c>
      <c r="D750" s="94">
        <v>2569.0</v>
      </c>
    </row>
    <row r="751">
      <c r="A751" s="40">
        <f t="array" ref="A751">IFNA(index(PlayerValues!A:A,match(IFNA(vlookup(B751,'Special Names'!A:B,2,FALSE),B751),PlayerValues!E:E,0)),"N/A")</f>
        <v>17481</v>
      </c>
      <c r="B751" s="4" t="s">
        <v>540</v>
      </c>
      <c r="C751" s="4" t="s">
        <v>278</v>
      </c>
      <c r="D751" s="94">
        <v>2176.0</v>
      </c>
    </row>
    <row r="752">
      <c r="A752" s="40">
        <f t="array" ref="A752">IFNA(index(PlayerValues!A:A,match(IFNA(vlookup(B752,'Special Names'!A:B,2,FALSE),B752),PlayerValues!E:E,0)),"N/A")</f>
        <v>16152</v>
      </c>
      <c r="B752" s="4" t="s">
        <v>601</v>
      </c>
      <c r="C752" s="4" t="s">
        <v>283</v>
      </c>
      <c r="D752" s="94">
        <v>2173.0</v>
      </c>
    </row>
    <row r="753">
      <c r="A753" s="40">
        <f t="array" ref="A753">IFNA(index(PlayerValues!A:A,match(IFNA(vlookup(B753,'Special Names'!A:B,2,FALSE),B753),PlayerValues!E:E,0)),"N/A")</f>
        <v>17134</v>
      </c>
      <c r="B753" s="4" t="s">
        <v>548</v>
      </c>
      <c r="C753" s="4" t="s">
        <v>287</v>
      </c>
      <c r="D753" s="94">
        <v>2163.0</v>
      </c>
    </row>
    <row r="754">
      <c r="A754" s="40">
        <f t="array" ref="A754">IFNA(index(PlayerValues!A:A,match(IFNA(vlookup(B754,'Special Names'!A:B,2,FALSE),B754),PlayerValues!E:E,0)),"N/A")</f>
        <v>17567</v>
      </c>
      <c r="B754" s="4" t="s">
        <v>571</v>
      </c>
      <c r="C754" s="4" t="s">
        <v>298</v>
      </c>
      <c r="D754" s="94">
        <v>2542.0</v>
      </c>
    </row>
    <row r="755">
      <c r="A755" s="40">
        <f t="array" ref="A755">IFNA(index(PlayerValues!A:A,match(IFNA(vlookup(B755,'Special Names'!A:B,2,FALSE),B755),PlayerValues!E:E,0)),"N/A")</f>
        <v>16604</v>
      </c>
      <c r="B755" s="4" t="s">
        <v>476</v>
      </c>
      <c r="C755" s="4" t="s">
        <v>278</v>
      </c>
      <c r="D755" s="94">
        <v>2140.0</v>
      </c>
    </row>
    <row r="756">
      <c r="A756" s="40">
        <f t="array" ref="A756">IFNA(index(PlayerValues!A:A,match(IFNA(vlookup(B756,'Special Names'!A:B,2,FALSE),B756),PlayerValues!E:E,0)),"N/A")</f>
        <v>12186</v>
      </c>
      <c r="B756" s="4" t="s">
        <v>497</v>
      </c>
      <c r="C756" s="4" t="s">
        <v>287</v>
      </c>
      <c r="D756" s="94">
        <v>2139.0</v>
      </c>
    </row>
    <row r="757">
      <c r="A757" s="40">
        <f t="array" ref="A757">IFNA(index(PlayerValues!A:A,match(IFNA(vlookup(B757,'Special Names'!A:B,2,FALSE),B757),PlayerValues!E:E,0)),"N/A")</f>
        <v>16212</v>
      </c>
      <c r="B757" s="4" t="s">
        <v>568</v>
      </c>
      <c r="C757" s="4" t="s">
        <v>298</v>
      </c>
      <c r="D757" s="94">
        <v>2522.0</v>
      </c>
    </row>
    <row r="758">
      <c r="A758" s="40">
        <f t="array" ref="A758">IFNA(index(PlayerValues!A:A,match(IFNA(vlookup(B758,'Special Names'!A:B,2,FALSE),B758),PlayerValues!E:E,0)),"N/A")</f>
        <v>17069</v>
      </c>
      <c r="B758" s="4" t="s">
        <v>604</v>
      </c>
      <c r="C758" s="4" t="s">
        <v>278</v>
      </c>
      <c r="D758" s="94">
        <v>2128.0</v>
      </c>
    </row>
    <row r="759">
      <c r="A759" s="40">
        <f t="array" ref="A759">IFNA(index(PlayerValues!A:A,match(IFNA(vlookup(B759,'Special Names'!A:B,2,FALSE),B759),PlayerValues!E:E,0)),"N/A")</f>
        <v>16649</v>
      </c>
      <c r="B759" s="4" t="s">
        <v>586</v>
      </c>
      <c r="C759" s="4" t="s">
        <v>298</v>
      </c>
      <c r="D759" s="94">
        <v>2506.0</v>
      </c>
    </row>
    <row r="760">
      <c r="A760" s="40" t="str">
        <f t="array" ref="A760">IFNA(index(PlayerValues!A:A,match(IFNA(vlookup(B760,'Special Names'!A:B,2,FALSE),B760),PlayerValues!E:E,0)),"N/A")</f>
        <v>N/A</v>
      </c>
      <c r="B760" s="4" t="s">
        <v>113</v>
      </c>
      <c r="C760" s="4" t="s">
        <v>325</v>
      </c>
      <c r="D760" s="94">
        <v>2115.0</v>
      </c>
    </row>
    <row r="761">
      <c r="A761" s="40">
        <f t="array" ref="A761">IFNA(index(PlayerValues!A:A,match(IFNA(vlookup(B761,'Special Names'!A:B,2,FALSE),B761),PlayerValues!E:E,0)),"N/A")</f>
        <v>16594</v>
      </c>
      <c r="B761" s="4" t="s">
        <v>607</v>
      </c>
      <c r="C761" s="4" t="s">
        <v>278</v>
      </c>
      <c r="D761" s="94">
        <v>2110.0</v>
      </c>
    </row>
    <row r="762">
      <c r="A762" s="40">
        <f t="array" ref="A762">IFNA(index(PlayerValues!A:A,match(IFNA(vlookup(B762,'Special Names'!A:B,2,FALSE),B762),PlayerValues!E:E,0)),"N/A")</f>
        <v>17485</v>
      </c>
      <c r="B762" s="4" t="s">
        <v>522</v>
      </c>
      <c r="C762" s="4" t="s">
        <v>278</v>
      </c>
      <c r="D762" s="94">
        <v>2086.0</v>
      </c>
    </row>
    <row r="763">
      <c r="A763" s="40">
        <f t="array" ref="A763">IFNA(index(PlayerValues!A:A,match(IFNA(vlookup(B763,'Special Names'!A:B,2,FALSE),B763),PlayerValues!E:E,0)),"N/A")</f>
        <v>17079</v>
      </c>
      <c r="B763" s="4" t="s">
        <v>572</v>
      </c>
      <c r="C763" s="4" t="s">
        <v>287</v>
      </c>
      <c r="D763" s="94">
        <v>2081.0</v>
      </c>
    </row>
    <row r="764">
      <c r="A764" s="40">
        <f t="array" ref="A764">IFNA(index(PlayerValues!A:A,match(IFNA(vlookup(B764,'Special Names'!A:B,2,FALSE),B764),PlayerValues!E:E,0)),"N/A")</f>
        <v>16036</v>
      </c>
      <c r="B764" s="4" t="s">
        <v>592</v>
      </c>
      <c r="C764" s="4" t="s">
        <v>298</v>
      </c>
      <c r="D764" s="94">
        <v>2469.0</v>
      </c>
    </row>
    <row r="765">
      <c r="A765" s="40">
        <f t="array" ref="A765">IFNA(index(PlayerValues!A:A,match(IFNA(vlookup(B765,'Special Names'!A:B,2,FALSE),B765),PlayerValues!E:E,0)),"N/A")</f>
        <v>17599</v>
      </c>
      <c r="B765" s="4" t="s">
        <v>496</v>
      </c>
      <c r="C765" s="4" t="s">
        <v>287</v>
      </c>
      <c r="D765" s="94">
        <v>2061.0</v>
      </c>
    </row>
    <row r="766">
      <c r="A766" s="40">
        <f t="array" ref="A766">IFNA(index(PlayerValues!A:A,match(IFNA(vlookup(B766,'Special Names'!A:B,2,FALSE),B766),PlayerValues!E:E,0)),"N/A")</f>
        <v>17061</v>
      </c>
      <c r="B766" s="4" t="s">
        <v>580</v>
      </c>
      <c r="C766" s="4" t="s">
        <v>278</v>
      </c>
      <c r="D766" s="94">
        <v>2057.0</v>
      </c>
    </row>
    <row r="767">
      <c r="A767" s="40">
        <f t="array" ref="A767">IFNA(index(PlayerValues!A:A,match(IFNA(vlookup(B767,'Special Names'!A:B,2,FALSE),B767),PlayerValues!E:E,0)),"N/A")</f>
        <v>17076</v>
      </c>
      <c r="B767" s="4" t="s">
        <v>585</v>
      </c>
      <c r="C767" s="4" t="s">
        <v>287</v>
      </c>
      <c r="D767" s="94">
        <v>2054.0</v>
      </c>
    </row>
    <row r="768">
      <c r="A768" s="40">
        <f t="array" ref="A768">IFNA(index(PlayerValues!A:A,match(IFNA(vlookup(B768,'Special Names'!A:B,2,FALSE),B768),PlayerValues!E:E,0)),"N/A")</f>
        <v>17528</v>
      </c>
      <c r="B768" s="4" t="s">
        <v>579</v>
      </c>
      <c r="C768" s="4" t="s">
        <v>287</v>
      </c>
      <c r="D768" s="94">
        <v>2052.0</v>
      </c>
    </row>
    <row r="769">
      <c r="A769" s="40">
        <f t="array" ref="A769">IFNA(index(PlayerValues!A:A,match(IFNA(vlookup(B769,'Special Names'!A:B,2,FALSE),B769),PlayerValues!E:E,0)),"N/A")</f>
        <v>16189</v>
      </c>
      <c r="B769" s="4" t="s">
        <v>582</v>
      </c>
      <c r="C769" s="4" t="s">
        <v>287</v>
      </c>
      <c r="D769" s="94">
        <v>2050.0</v>
      </c>
    </row>
    <row r="770">
      <c r="A770" s="40">
        <f t="array" ref="A770">IFNA(index(PlayerValues!A:A,match(IFNA(vlookup(B770,'Special Names'!A:B,2,FALSE),B770),PlayerValues!E:E,0)),"N/A")</f>
        <v>17060</v>
      </c>
      <c r="B770" s="4" t="s">
        <v>603</v>
      </c>
      <c r="C770" s="4" t="s">
        <v>278</v>
      </c>
      <c r="D770" s="94">
        <v>2049.0</v>
      </c>
    </row>
    <row r="771">
      <c r="A771" s="40" t="str">
        <f t="array" ref="A771">IFNA(index(PlayerValues!A:A,match(IFNA(vlookup(B771,'Special Names'!A:B,2,FALSE),B771),PlayerValues!E:E,0)),"N/A")</f>
        <v>N/A</v>
      </c>
      <c r="B771" s="4" t="s">
        <v>88</v>
      </c>
      <c r="C771" s="4" t="s">
        <v>325</v>
      </c>
      <c r="D771" s="94">
        <v>2038.0</v>
      </c>
    </row>
    <row r="772">
      <c r="A772" s="40">
        <f t="array" ref="A772">IFNA(index(PlayerValues!A:A,match(IFNA(vlookup(B772,'Special Names'!A:B,2,FALSE),B772),PlayerValues!E:E,0)),"N/A")</f>
        <v>13132</v>
      </c>
      <c r="B772" s="4" t="s">
        <v>598</v>
      </c>
      <c r="C772" s="4" t="s">
        <v>278</v>
      </c>
      <c r="D772" s="94">
        <v>2037.0</v>
      </c>
    </row>
    <row r="773">
      <c r="A773" s="40">
        <f t="array" ref="A773">IFNA(index(PlayerValues!A:A,match(IFNA(vlookup(B773,'Special Names'!A:B,2,FALSE),B773),PlayerValues!E:E,0)),"N/A")</f>
        <v>17468</v>
      </c>
      <c r="B773" s="4" t="s">
        <v>514</v>
      </c>
      <c r="C773" s="4" t="s">
        <v>283</v>
      </c>
      <c r="D773" s="94">
        <v>2014.0</v>
      </c>
    </row>
    <row r="774">
      <c r="A774" s="40">
        <f t="array" ref="A774">IFNA(index(PlayerValues!A:A,match(IFNA(vlookup(B774,'Special Names'!A:B,2,FALSE),B774),PlayerValues!E:E,0)),"N/A")</f>
        <v>13113</v>
      </c>
      <c r="B774" s="4" t="s">
        <v>606</v>
      </c>
      <c r="C774" s="4" t="s">
        <v>283</v>
      </c>
      <c r="D774" s="94">
        <v>2009.0</v>
      </c>
    </row>
    <row r="775">
      <c r="A775" s="40">
        <f t="array" ref="A775">IFNA(index(PlayerValues!A:A,match(IFNA(vlookup(B775,'Special Names'!A:B,2,FALSE),B775),PlayerValues!E:E,0)),"N/A")</f>
        <v>15238</v>
      </c>
      <c r="B775" s="4" t="s">
        <v>613</v>
      </c>
      <c r="C775" s="4" t="s">
        <v>283</v>
      </c>
      <c r="D775" s="94">
        <v>1999.0</v>
      </c>
    </row>
    <row r="776">
      <c r="A776" s="40">
        <f t="array" ref="A776">IFNA(index(PlayerValues!A:A,match(IFNA(vlookup(B776,'Special Names'!A:B,2,FALSE),B776),PlayerValues!E:E,0)),"N/A")</f>
        <v>16778</v>
      </c>
      <c r="B776" s="4" t="s">
        <v>577</v>
      </c>
      <c r="C776" s="4" t="s">
        <v>287</v>
      </c>
      <c r="D776" s="94">
        <v>1998.0</v>
      </c>
    </row>
    <row r="777">
      <c r="A777" s="40">
        <f t="array" ref="A777">IFNA(index(PlayerValues!A:A,match(IFNA(vlookup(B777,'Special Names'!A:B,2,FALSE),B777),PlayerValues!E:E,0)),"N/A")</f>
        <v>15293</v>
      </c>
      <c r="B777" s="4" t="s">
        <v>578</v>
      </c>
      <c r="C777" s="4" t="s">
        <v>287</v>
      </c>
      <c r="D777" s="94">
        <v>1997.0</v>
      </c>
    </row>
    <row r="778">
      <c r="A778" s="40">
        <f t="array" ref="A778">IFNA(index(PlayerValues!A:A,match(IFNA(vlookup(B778,'Special Names'!A:B,2,FALSE),B778),PlayerValues!E:E,0)),"N/A")</f>
        <v>14974</v>
      </c>
      <c r="B778" s="4" t="s">
        <v>611</v>
      </c>
      <c r="C778" s="4" t="s">
        <v>287</v>
      </c>
      <c r="D778" s="94">
        <v>1988.0</v>
      </c>
    </row>
    <row r="779">
      <c r="A779" s="40" t="str">
        <f t="array" ref="A779">IFNA(index(PlayerValues!A:A,match(IFNA(vlookup(B779,'Special Names'!A:B,2,FALSE),B779),PlayerValues!E:E,0)),"N/A")</f>
        <v>N/A</v>
      </c>
      <c r="B779" s="4" t="s">
        <v>114</v>
      </c>
      <c r="C779" s="4" t="s">
        <v>325</v>
      </c>
      <c r="D779" s="94">
        <v>1984.0</v>
      </c>
    </row>
    <row r="780">
      <c r="A780" s="40">
        <f t="array" ref="A780">IFNA(index(PlayerValues!A:A,match(IFNA(vlookup(B780,'Special Names'!A:B,2,FALSE),B780),PlayerValues!E:E,0)),"N/A")</f>
        <v>14867</v>
      </c>
      <c r="B780" s="4" t="s">
        <v>591</v>
      </c>
      <c r="C780" s="4" t="s">
        <v>298</v>
      </c>
      <c r="D780" s="94">
        <v>2365.0</v>
      </c>
    </row>
    <row r="781">
      <c r="A781" s="40">
        <f t="array" ref="A781">IFNA(index(PlayerValues!A:A,match(IFNA(vlookup(B781,'Special Names'!A:B,2,FALSE),B781),PlayerValues!E:E,0)),"N/A")</f>
        <v>16643</v>
      </c>
      <c r="B781" s="4" t="s">
        <v>609</v>
      </c>
      <c r="C781" s="4" t="s">
        <v>298</v>
      </c>
      <c r="D781" s="94">
        <v>2358.0</v>
      </c>
    </row>
    <row r="782">
      <c r="A782" s="40">
        <f t="array" ref="A782">IFNA(index(PlayerValues!A:A,match(IFNA(vlookup(B782,'Special Names'!A:B,2,FALSE),B782),PlayerValues!E:E,0)),"N/A")</f>
        <v>17056</v>
      </c>
      <c r="B782" s="4" t="s">
        <v>581</v>
      </c>
      <c r="C782" s="4" t="s">
        <v>278</v>
      </c>
      <c r="D782" s="94">
        <v>1944.0</v>
      </c>
    </row>
    <row r="783">
      <c r="A783" s="40">
        <f t="array" ref="A783">IFNA(index(PlayerValues!A:A,match(IFNA(vlookup(B783,'Special Names'!A:B,2,FALSE),B783),PlayerValues!E:E,0)),"N/A")</f>
        <v>17467</v>
      </c>
      <c r="B783" s="4" t="s">
        <v>575</v>
      </c>
      <c r="C783" s="4" t="s">
        <v>283</v>
      </c>
      <c r="D783" s="94">
        <v>1937.0</v>
      </c>
    </row>
    <row r="784">
      <c r="A784" s="40">
        <f t="array" ref="A784">IFNA(index(PlayerValues!A:A,match(IFNA(vlookup(B784,'Special Names'!A:B,2,FALSE),B784),PlayerValues!E:E,0)),"N/A")</f>
        <v>14871</v>
      </c>
      <c r="B784" s="4" t="s">
        <v>584</v>
      </c>
      <c r="C784" s="4" t="s">
        <v>298</v>
      </c>
      <c r="D784" s="94">
        <v>2322.0</v>
      </c>
    </row>
    <row r="785">
      <c r="A785" s="40">
        <f t="array" ref="A785">IFNA(index(PlayerValues!A:A,match(IFNA(vlookup(B785,'Special Names'!A:B,2,FALSE),B785),PlayerValues!E:E,0)),"N/A")</f>
        <v>17184</v>
      </c>
      <c r="B785" s="4" t="s">
        <v>588</v>
      </c>
      <c r="C785" s="4" t="s">
        <v>287</v>
      </c>
      <c r="D785" s="94">
        <v>1935.0</v>
      </c>
    </row>
    <row r="786">
      <c r="A786" s="40">
        <f t="array" ref="A786">IFNA(index(PlayerValues!A:A,match(IFNA(vlookup(B786,'Special Names'!A:B,2,FALSE),B786),PlayerValues!E:E,0)),"N/A")</f>
        <v>7836</v>
      </c>
      <c r="B786" s="4" t="s">
        <v>590</v>
      </c>
      <c r="C786" s="4" t="s">
        <v>283</v>
      </c>
      <c r="D786" s="94">
        <v>1929.0</v>
      </c>
    </row>
    <row r="787">
      <c r="A787" s="40">
        <f t="array" ref="A787">IFNA(index(PlayerValues!A:A,match(IFNA(vlookup(B787,'Special Names'!A:B,2,FALSE),B787),PlayerValues!E:E,0)),"N/A")</f>
        <v>16603</v>
      </c>
      <c r="B787" s="4" t="s">
        <v>587</v>
      </c>
      <c r="C787" s="4" t="s">
        <v>278</v>
      </c>
      <c r="D787" s="94">
        <v>1927.0</v>
      </c>
    </row>
    <row r="788">
      <c r="A788" s="40">
        <f t="array" ref="A788">IFNA(index(PlayerValues!A:A,match(IFNA(vlookup(B788,'Special Names'!A:B,2,FALSE),B788),PlayerValues!E:E,0)),"N/A")</f>
        <v>17046</v>
      </c>
      <c r="B788" s="4" t="s">
        <v>602</v>
      </c>
      <c r="C788" s="4" t="s">
        <v>278</v>
      </c>
      <c r="D788" s="94">
        <v>1926.0</v>
      </c>
    </row>
    <row r="789">
      <c r="A789" s="40">
        <f t="array" ref="A789">IFNA(index(PlayerValues!A:A,match(IFNA(vlookup(B789,'Special Names'!A:B,2,FALSE),B789),PlayerValues!E:E,0)),"N/A")</f>
        <v>17087</v>
      </c>
      <c r="B789" s="4" t="s">
        <v>600</v>
      </c>
      <c r="C789" s="4" t="s">
        <v>287</v>
      </c>
      <c r="D789" s="94">
        <v>1919.0</v>
      </c>
    </row>
    <row r="790">
      <c r="A790" s="40">
        <f t="array" ref="A790">IFNA(index(PlayerValues!A:A,match(IFNA(vlookup(B790,'Special Names'!A:B,2,FALSE),B790),PlayerValues!E:E,0)),"N/A")</f>
        <v>16432</v>
      </c>
      <c r="B790" s="4" t="s">
        <v>620</v>
      </c>
      <c r="C790" s="4" t="s">
        <v>278</v>
      </c>
      <c r="D790" s="94">
        <v>1906.0</v>
      </c>
    </row>
    <row r="791">
      <c r="A791" s="40">
        <f t="array" ref="A791">IFNA(index(PlayerValues!A:A,match(IFNA(vlookup(B791,'Special Names'!A:B,2,FALSE),B791),PlayerValues!E:E,0)),"N/A")</f>
        <v>16216</v>
      </c>
      <c r="B791" s="4" t="s">
        <v>595</v>
      </c>
      <c r="C791" s="4" t="s">
        <v>298</v>
      </c>
      <c r="D791" s="94">
        <v>2284.0</v>
      </c>
    </row>
    <row r="792">
      <c r="A792" s="40">
        <f t="array" ref="A792">IFNA(index(PlayerValues!A:A,match(IFNA(vlookup(B792,'Special Names'!A:B,2,FALSE),B792),PlayerValues!E:E,0)),"N/A")</f>
        <v>16342</v>
      </c>
      <c r="B792" s="4" t="s">
        <v>583</v>
      </c>
      <c r="C792" s="4" t="s">
        <v>287</v>
      </c>
      <c r="D792" s="94">
        <v>1883.0</v>
      </c>
    </row>
    <row r="793">
      <c r="A793" s="40">
        <f t="array" ref="A793">IFNA(index(PlayerValues!A:A,match(IFNA(vlookup(B793,'Special Names'!A:B,2,FALSE),B793),PlayerValues!E:E,0)),"N/A")</f>
        <v>16639</v>
      </c>
      <c r="B793" s="4" t="s">
        <v>599</v>
      </c>
      <c r="C793" s="4" t="s">
        <v>287</v>
      </c>
      <c r="D793" s="94">
        <v>1873.0</v>
      </c>
    </row>
    <row r="794">
      <c r="A794" s="40">
        <f t="array" ref="A794">IFNA(index(PlayerValues!A:A,match(IFNA(vlookup(B794,'Special Names'!A:B,2,FALSE),B794),PlayerValues!E:E,0)),"N/A")</f>
        <v>16752</v>
      </c>
      <c r="B794" s="4" t="s">
        <v>597</v>
      </c>
      <c r="C794" s="4" t="s">
        <v>278</v>
      </c>
      <c r="D794" s="94">
        <v>1873.0</v>
      </c>
    </row>
    <row r="795">
      <c r="A795" s="40">
        <f t="array" ref="A795">IFNA(index(PlayerValues!A:A,match(IFNA(vlookup(B795,'Special Names'!A:B,2,FALSE),B795),PlayerValues!E:E,0)),"N/A")</f>
        <v>14136</v>
      </c>
      <c r="B795" s="4" t="s">
        <v>536</v>
      </c>
      <c r="C795" s="4" t="s">
        <v>287</v>
      </c>
      <c r="D795" s="94">
        <v>1852.0</v>
      </c>
    </row>
    <row r="796">
      <c r="A796" s="40">
        <f t="array" ref="A796">IFNA(index(PlayerValues!A:A,match(IFNA(vlookup(B796,'Special Names'!A:B,2,FALSE),B796),PlayerValues!E:E,0)),"N/A")</f>
        <v>17548</v>
      </c>
      <c r="B796" s="4" t="s">
        <v>594</v>
      </c>
      <c r="C796" s="4" t="s">
        <v>298</v>
      </c>
      <c r="D796" s="94">
        <v>2235.0</v>
      </c>
    </row>
    <row r="797">
      <c r="A797" s="40">
        <f t="array" ref="A797">IFNA(index(PlayerValues!A:A,match(IFNA(vlookup(B797,'Special Names'!A:B,2,FALSE),B797),PlayerValues!E:E,0)),"N/A")</f>
        <v>10700</v>
      </c>
      <c r="B797" s="4" t="s">
        <v>596</v>
      </c>
      <c r="C797" s="4" t="s">
        <v>283</v>
      </c>
      <c r="D797" s="94">
        <v>1848.0</v>
      </c>
    </row>
    <row r="798">
      <c r="A798" s="40">
        <f t="array" ref="A798">IFNA(index(PlayerValues!A:A,match(IFNA(vlookup(B798,'Special Names'!A:B,2,FALSE),B798),PlayerValues!E:E,0)),"N/A")</f>
        <v>13633</v>
      </c>
      <c r="B798" s="4" t="s">
        <v>625</v>
      </c>
      <c r="C798" s="4" t="s">
        <v>287</v>
      </c>
      <c r="D798" s="94">
        <v>1845.0</v>
      </c>
    </row>
    <row r="799">
      <c r="A799" s="40">
        <f t="array" ref="A799">IFNA(index(PlayerValues!A:A,match(IFNA(vlookup(B799,'Special Names'!A:B,2,FALSE),B799),PlayerValues!E:E,0)),"N/A")</f>
        <v>17086</v>
      </c>
      <c r="B799" s="4" t="s">
        <v>612</v>
      </c>
      <c r="C799" s="4" t="s">
        <v>287</v>
      </c>
      <c r="D799" s="94">
        <v>1840.0</v>
      </c>
    </row>
    <row r="800">
      <c r="A800" s="40">
        <f t="array" ref="A800">IFNA(index(PlayerValues!A:A,match(IFNA(vlookup(B800,'Special Names'!A:B,2,FALSE),B800),PlayerValues!E:E,0)),"N/A")</f>
        <v>15788</v>
      </c>
      <c r="B800" s="4" t="s">
        <v>627</v>
      </c>
      <c r="C800" s="4" t="s">
        <v>287</v>
      </c>
      <c r="D800" s="94">
        <v>1835.0</v>
      </c>
    </row>
    <row r="801">
      <c r="A801" s="40" t="str">
        <f t="array" ref="A801">IFNA(index(PlayerValues!A:A,match(IFNA(vlookup(B801,'Special Names'!A:B,2,FALSE),B801),PlayerValues!E:E,0)),"N/A")</f>
        <v>N/A</v>
      </c>
      <c r="B801" s="4" t="s">
        <v>101</v>
      </c>
      <c r="C801" s="4" t="s">
        <v>325</v>
      </c>
      <c r="D801" s="94">
        <v>1830.0</v>
      </c>
    </row>
    <row r="802">
      <c r="A802" s="40">
        <f t="array" ref="A802">IFNA(index(PlayerValues!A:A,match(IFNA(vlookup(B802,'Special Names'!A:B,2,FALSE),B802),PlayerValues!E:E,0)),"N/A")</f>
        <v>13629</v>
      </c>
      <c r="B802" s="4" t="s">
        <v>619</v>
      </c>
      <c r="C802" s="4" t="s">
        <v>287</v>
      </c>
      <c r="D802" s="94">
        <v>1826.0</v>
      </c>
    </row>
    <row r="803">
      <c r="A803" s="40">
        <f t="array" ref="A803">IFNA(index(PlayerValues!A:A,match(IFNA(vlookup(B803,'Special Names'!A:B,2,FALSE),B803),PlayerValues!E:E,0)),"N/A")</f>
        <v>17036</v>
      </c>
      <c r="B803" s="4" t="s">
        <v>617</v>
      </c>
      <c r="C803" s="4" t="s">
        <v>283</v>
      </c>
      <c r="D803" s="94">
        <v>1825.0</v>
      </c>
    </row>
    <row r="804">
      <c r="A804" s="40">
        <f t="array" ref="A804">IFNA(index(PlayerValues!A:A,match(IFNA(vlookup(B804,'Special Names'!A:B,2,FALSE),B804),PlayerValues!E:E,0)),"N/A")</f>
        <v>16644</v>
      </c>
      <c r="B804" s="4" t="s">
        <v>640</v>
      </c>
      <c r="C804" s="4" t="s">
        <v>298</v>
      </c>
      <c r="D804" s="94">
        <v>2150.0</v>
      </c>
    </row>
    <row r="805">
      <c r="A805" s="40">
        <f t="array" ref="A805">IFNA(index(PlayerValues!A:A,match(IFNA(vlookup(B805,'Special Names'!A:B,2,FALSE),B805),PlayerValues!E:E,0)),"N/A")</f>
        <v>17519</v>
      </c>
      <c r="B805" s="4" t="s">
        <v>593</v>
      </c>
      <c r="C805" s="4" t="s">
        <v>287</v>
      </c>
      <c r="D805" s="94">
        <v>1766.0</v>
      </c>
    </row>
    <row r="806">
      <c r="A806" s="40">
        <f t="array" ref="A806">IFNA(index(PlayerValues!A:A,match(IFNA(vlookup(B806,'Special Names'!A:B,2,FALSE),B806),PlayerValues!E:E,0)),"N/A")</f>
        <v>13189</v>
      </c>
      <c r="B806" s="4" t="s">
        <v>626</v>
      </c>
      <c r="C806" s="4" t="s">
        <v>298</v>
      </c>
      <c r="D806" s="94">
        <v>2143.0</v>
      </c>
    </row>
    <row r="807">
      <c r="A807" s="40" t="str">
        <f t="array" ref="A807">IFNA(index(PlayerValues!A:A,match(IFNA(vlookup(B807,'Special Names'!A:B,2,FALSE),B807),PlayerValues!E:E,0)),"N/A")</f>
        <v>N/A</v>
      </c>
      <c r="B807" s="4" t="s">
        <v>89</v>
      </c>
      <c r="C807" s="4" t="s">
        <v>325</v>
      </c>
      <c r="D807" s="94">
        <v>1761.0</v>
      </c>
    </row>
    <row r="808">
      <c r="A808" s="40">
        <f t="array" ref="A808">IFNA(index(PlayerValues!A:A,match(IFNA(vlookup(B808,'Special Names'!A:B,2,FALSE),B808),PlayerValues!E:E,0)),"N/A")</f>
        <v>16215</v>
      </c>
      <c r="B808" s="4" t="s">
        <v>637</v>
      </c>
      <c r="C808" s="4" t="s">
        <v>298</v>
      </c>
      <c r="D808" s="94">
        <v>2130.0</v>
      </c>
    </row>
    <row r="809">
      <c r="A809" s="40">
        <f t="array" ref="A809">IFNA(index(PlayerValues!A:A,match(IFNA(vlookup(B809,'Special Names'!A:B,2,FALSE),B809),PlayerValues!E:E,0)),"N/A")</f>
        <v>16191</v>
      </c>
      <c r="B809" s="4" t="s">
        <v>666</v>
      </c>
      <c r="C809" s="4" t="s">
        <v>287</v>
      </c>
      <c r="D809" s="94">
        <v>1748.0</v>
      </c>
    </row>
    <row r="810">
      <c r="A810" s="40">
        <f t="array" ref="A810">IFNA(index(PlayerValues!A:A,match(IFNA(vlookup(B810,'Special Names'!A:B,2,FALSE),B810),PlayerValues!E:E,0)),"N/A")</f>
        <v>13146</v>
      </c>
      <c r="B810" s="4" t="s">
        <v>652</v>
      </c>
      <c r="C810" s="4" t="s">
        <v>278</v>
      </c>
      <c r="D810" s="94">
        <v>1747.0</v>
      </c>
    </row>
    <row r="811">
      <c r="A811" s="40" t="str">
        <f t="array" ref="A811">IFNA(index(PlayerValues!A:A,match(IFNA(vlookup(B811,'Special Names'!A:B,2,FALSE),B811),PlayerValues!E:E,0)),"N/A")</f>
        <v>N/A</v>
      </c>
      <c r="B811" s="4" t="s">
        <v>102</v>
      </c>
      <c r="C811" s="4" t="s">
        <v>325</v>
      </c>
      <c r="D811" s="94">
        <v>1745.0</v>
      </c>
    </row>
    <row r="812">
      <c r="A812" s="40">
        <f t="array" ref="A812">IFNA(index(PlayerValues!A:A,match(IFNA(vlookup(B812,'Special Names'!A:B,2,FALSE),B812),PlayerValues!E:E,0)),"N/A")</f>
        <v>17685</v>
      </c>
      <c r="B812" s="4" t="s">
        <v>630</v>
      </c>
      <c r="C812" s="4" t="s">
        <v>278</v>
      </c>
      <c r="D812" s="94">
        <v>1736.0</v>
      </c>
    </row>
    <row r="813">
      <c r="A813" s="40">
        <f t="array" ref="A813">IFNA(index(PlayerValues!A:A,match(IFNA(vlookup(B813,'Special Names'!A:B,2,FALSE),B813),PlayerValues!E:E,0)),"N/A")</f>
        <v>17034</v>
      </c>
      <c r="B813" s="4" t="s">
        <v>643</v>
      </c>
      <c r="C813" s="4" t="s">
        <v>283</v>
      </c>
      <c r="D813" s="94">
        <v>1722.0</v>
      </c>
    </row>
    <row r="814">
      <c r="A814" s="40">
        <f t="array" ref="A814">IFNA(index(PlayerValues!A:A,match(IFNA(vlookup(B814,'Special Names'!A:B,2,FALSE),B814),PlayerValues!E:E,0)),"N/A")</f>
        <v>13164</v>
      </c>
      <c r="B814" s="4" t="s">
        <v>632</v>
      </c>
      <c r="C814" s="4" t="s">
        <v>287</v>
      </c>
      <c r="D814" s="94">
        <v>1718.0</v>
      </c>
    </row>
    <row r="815">
      <c r="A815" s="40">
        <f t="array" ref="A815">IFNA(index(PlayerValues!A:A,match(IFNA(vlookup(B815,'Special Names'!A:B,2,FALSE),B815),PlayerValues!E:E,0)),"N/A")</f>
        <v>15787</v>
      </c>
      <c r="B815" s="4" t="s">
        <v>610</v>
      </c>
      <c r="C815" s="4" t="s">
        <v>287</v>
      </c>
      <c r="D815" s="94">
        <v>1713.0</v>
      </c>
    </row>
    <row r="816">
      <c r="A816" s="40">
        <f t="array" ref="A816">IFNA(index(PlayerValues!A:A,match(IFNA(vlookup(B816,'Special Names'!A:B,2,FALSE),B816),PlayerValues!E:E,0)),"N/A")</f>
        <v>17049</v>
      </c>
      <c r="B816" s="4" t="s">
        <v>624</v>
      </c>
      <c r="C816" s="4" t="s">
        <v>278</v>
      </c>
      <c r="D816" s="94">
        <v>1708.0</v>
      </c>
    </row>
    <row r="817">
      <c r="A817" s="40">
        <f t="array" ref="A817">IFNA(index(PlayerValues!A:A,match(IFNA(vlookup(B817,'Special Names'!A:B,2,FALSE),B817),PlayerValues!E:E,0)),"N/A")</f>
        <v>17529</v>
      </c>
      <c r="B817" s="4" t="s">
        <v>608</v>
      </c>
      <c r="C817" s="4" t="s">
        <v>287</v>
      </c>
      <c r="D817" s="94">
        <v>1691.0</v>
      </c>
    </row>
    <row r="818">
      <c r="A818" s="40">
        <f t="array" ref="A818">IFNA(index(PlayerValues!A:A,match(IFNA(vlookup(B818,'Special Names'!A:B,2,FALSE),B818),PlayerValues!E:E,0)),"N/A")</f>
        <v>14143</v>
      </c>
      <c r="B818" s="4" t="s">
        <v>635</v>
      </c>
      <c r="C818" s="4" t="s">
        <v>298</v>
      </c>
      <c r="D818" s="94">
        <v>2068.0</v>
      </c>
    </row>
    <row r="819">
      <c r="A819" s="40">
        <f t="array" ref="A819">IFNA(index(PlayerValues!A:A,match(IFNA(vlookup(B819,'Special Names'!A:B,2,FALSE),B819),PlayerValues!E:E,0)),"N/A")</f>
        <v>16171</v>
      </c>
      <c r="B819" s="4" t="s">
        <v>618</v>
      </c>
      <c r="C819" s="4" t="s">
        <v>278</v>
      </c>
      <c r="D819" s="94">
        <v>1683.0</v>
      </c>
    </row>
    <row r="820">
      <c r="A820" s="40">
        <f t="array" ref="A820">IFNA(index(PlayerValues!A:A,match(IFNA(vlookup(B820,'Special Names'!A:B,2,FALSE),B820),PlayerValues!E:E,0)),"N/A")</f>
        <v>17058</v>
      </c>
      <c r="B820" s="4" t="s">
        <v>641</v>
      </c>
      <c r="C820" s="4" t="s">
        <v>278</v>
      </c>
      <c r="D820" s="94">
        <v>1681.0</v>
      </c>
    </row>
    <row r="821">
      <c r="A821" s="40">
        <f t="array" ref="A821">IFNA(index(PlayerValues!A:A,match(IFNA(vlookup(B821,'Special Names'!A:B,2,FALSE),B821),PlayerValues!E:E,0)),"N/A")</f>
        <v>15752</v>
      </c>
      <c r="B821" s="4" t="s">
        <v>647</v>
      </c>
      <c r="C821" s="4" t="s">
        <v>287</v>
      </c>
      <c r="D821" s="94">
        <v>1665.0</v>
      </c>
    </row>
    <row r="822">
      <c r="A822" s="40">
        <f t="array" ref="A822">IFNA(index(PlayerValues!A:A,match(IFNA(vlookup(B822,'Special Names'!A:B,2,FALSE),B822),PlayerValues!E:E,0)),"N/A")</f>
        <v>15755</v>
      </c>
      <c r="B822" s="4" t="s">
        <v>628</v>
      </c>
      <c r="C822" s="4" t="s">
        <v>287</v>
      </c>
      <c r="D822" s="94">
        <v>1661.0</v>
      </c>
    </row>
    <row r="823">
      <c r="A823" s="40" t="str">
        <f t="array" ref="A823">IFNA(index(PlayerValues!A:A,match(IFNA(vlookup(B823,'Special Names'!A:B,2,FALSE),B823),PlayerValues!E:E,0)),"N/A")</f>
        <v>N/A</v>
      </c>
      <c r="B823" s="4" t="s">
        <v>115</v>
      </c>
      <c r="C823" s="4" t="s">
        <v>325</v>
      </c>
      <c r="D823" s="94">
        <v>1649.0</v>
      </c>
    </row>
    <row r="824">
      <c r="A824" s="40">
        <f t="array" ref="A824">IFNA(index(PlayerValues!A:A,match(IFNA(vlookup(B824,'Special Names'!A:B,2,FALSE),B824),PlayerValues!E:E,0)),"N/A")</f>
        <v>16207</v>
      </c>
      <c r="B824" s="4" t="s">
        <v>636</v>
      </c>
      <c r="C824" s="4" t="s">
        <v>287</v>
      </c>
      <c r="D824" s="94">
        <v>1645.0</v>
      </c>
    </row>
    <row r="825">
      <c r="A825" s="40" t="str">
        <f t="array" ref="A825">IFNA(index(PlayerValues!A:A,match(IFNA(vlookup(B825,'Special Names'!A:B,2,FALSE),B825),PlayerValues!E:E,0)),"N/A")</f>
        <v>N/A</v>
      </c>
      <c r="B825" s="4" t="s">
        <v>103</v>
      </c>
      <c r="C825" s="4" t="s">
        <v>325</v>
      </c>
      <c r="D825" s="94">
        <v>1645.0</v>
      </c>
    </row>
    <row r="826">
      <c r="A826" s="40">
        <f t="array" ref="A826">IFNA(index(PlayerValues!A:A,match(IFNA(vlookup(B826,'Special Names'!A:B,2,FALSE),B826),PlayerValues!E:E,0)),"N/A")</f>
        <v>17521</v>
      </c>
      <c r="B826" s="4" t="s">
        <v>573</v>
      </c>
      <c r="C826" s="4" t="s">
        <v>287</v>
      </c>
      <c r="D826" s="94">
        <v>1642.0</v>
      </c>
    </row>
    <row r="827">
      <c r="A827" s="40">
        <f t="array" ref="A827">IFNA(index(PlayerValues!A:A,match(IFNA(vlookup(B827,'Special Names'!A:B,2,FALSE),B827),PlayerValues!E:E,0)),"N/A")</f>
        <v>16608</v>
      </c>
      <c r="B827" s="4" t="s">
        <v>629</v>
      </c>
      <c r="C827" s="4" t="s">
        <v>278</v>
      </c>
      <c r="D827" s="94">
        <v>1640.0</v>
      </c>
    </row>
    <row r="828">
      <c r="A828" s="40">
        <f t="array" ref="A828">IFNA(index(PlayerValues!A:A,match(IFNA(vlookup(B828,'Special Names'!A:B,2,FALSE),B828),PlayerValues!E:E,0)),"N/A")</f>
        <v>17096</v>
      </c>
      <c r="B828" s="4" t="s">
        <v>638</v>
      </c>
      <c r="C828" s="4" t="s">
        <v>287</v>
      </c>
      <c r="D828" s="94">
        <v>1628.0</v>
      </c>
    </row>
    <row r="829">
      <c r="A829" s="40">
        <f t="array" ref="A829">IFNA(index(PlayerValues!A:A,match(IFNA(vlookup(B829,'Special Names'!A:B,2,FALSE),B829),PlayerValues!E:E,0)),"N/A")</f>
        <v>16201</v>
      </c>
      <c r="B829" s="4" t="s">
        <v>589</v>
      </c>
      <c r="C829" s="4" t="s">
        <v>287</v>
      </c>
      <c r="D829" s="94">
        <v>1610.0</v>
      </c>
    </row>
    <row r="830">
      <c r="A830" s="40">
        <f t="array" ref="A830">IFNA(index(PlayerValues!A:A,match(IFNA(vlookup(B830,'Special Names'!A:B,2,FALSE),B830),PlayerValues!E:E,0)),"N/A")</f>
        <v>16585</v>
      </c>
      <c r="B830" s="4" t="s">
        <v>623</v>
      </c>
      <c r="C830" s="4" t="s">
        <v>283</v>
      </c>
      <c r="D830" s="94">
        <v>1597.0</v>
      </c>
    </row>
    <row r="831">
      <c r="A831" s="40" t="str">
        <f t="array" ref="A831">IFNA(index(PlayerValues!A:A,match(IFNA(vlookup(B831,'Special Names'!A:B,2,FALSE),B831),PlayerValues!E:E,0)),"N/A")</f>
        <v>N/A</v>
      </c>
      <c r="B831" s="4" t="s">
        <v>90</v>
      </c>
      <c r="C831" s="4" t="s">
        <v>325</v>
      </c>
      <c r="D831" s="94">
        <v>1593.0</v>
      </c>
    </row>
    <row r="832">
      <c r="A832" s="40">
        <f t="array" ref="A832">IFNA(index(PlayerValues!A:A,match(IFNA(vlookup(B832,'Special Names'!A:B,2,FALSE),B832),PlayerValues!E:E,0)),"N/A")</f>
        <v>16635</v>
      </c>
      <c r="B832" s="4" t="s">
        <v>645</v>
      </c>
      <c r="C832" s="4" t="s">
        <v>287</v>
      </c>
      <c r="D832" s="94">
        <v>1592.0</v>
      </c>
    </row>
    <row r="833">
      <c r="A833" s="40">
        <f t="array" ref="A833">IFNA(index(PlayerValues!A:A,match(IFNA(vlookup(B833,'Special Names'!A:B,2,FALSE),B833),PlayerValues!E:E,0)),"N/A")</f>
        <v>17035</v>
      </c>
      <c r="B833" s="4" t="s">
        <v>650</v>
      </c>
      <c r="C833" s="4" t="s">
        <v>283</v>
      </c>
      <c r="D833" s="94">
        <v>1592.0</v>
      </c>
    </row>
    <row r="834">
      <c r="A834" s="40">
        <f t="array" ref="A834">IFNA(index(PlayerValues!A:A,match(IFNA(vlookup(B834,'Special Names'!A:B,2,FALSE),B834),PlayerValues!E:E,0)),"N/A")</f>
        <v>14122</v>
      </c>
      <c r="B834" s="4" t="s">
        <v>663</v>
      </c>
      <c r="C834" s="4" t="s">
        <v>287</v>
      </c>
      <c r="D834" s="94">
        <v>1585.0</v>
      </c>
    </row>
    <row r="835">
      <c r="A835" s="40">
        <f t="array" ref="A835">IFNA(index(PlayerValues!A:A,match(IFNA(vlookup(B835,'Special Names'!A:B,2,FALSE),B835),PlayerValues!E:E,0)),"N/A")</f>
        <v>16629</v>
      </c>
      <c r="B835" s="4" t="s">
        <v>605</v>
      </c>
      <c r="C835" s="4" t="s">
        <v>287</v>
      </c>
      <c r="D835" s="94">
        <v>1585.0</v>
      </c>
    </row>
    <row r="836">
      <c r="A836" s="40">
        <f t="array" ref="A836">IFNA(index(PlayerValues!A:A,match(IFNA(vlookup(B836,'Special Names'!A:B,2,FALSE),B836),PlayerValues!E:E,0)),"N/A")</f>
        <v>17064</v>
      </c>
      <c r="B836" s="4" t="s">
        <v>631</v>
      </c>
      <c r="C836" s="4" t="s">
        <v>278</v>
      </c>
      <c r="D836" s="94">
        <v>1576.0</v>
      </c>
    </row>
    <row r="837">
      <c r="A837" s="40">
        <f t="array" ref="A837">IFNA(index(PlayerValues!A:A,match(IFNA(vlookup(B837,'Special Names'!A:B,2,FALSE),B837),PlayerValues!E:E,0)),"N/A")</f>
        <v>14840</v>
      </c>
      <c r="B837" s="4" t="s">
        <v>731</v>
      </c>
      <c r="C837" s="4" t="s">
        <v>287</v>
      </c>
      <c r="D837" s="94">
        <v>1571.0</v>
      </c>
    </row>
    <row r="838">
      <c r="A838" s="40">
        <f t="array" ref="A838">IFNA(index(PlayerValues!A:A,match(IFNA(vlookup(B838,'Special Names'!A:B,2,FALSE),B838),PlayerValues!E:E,0)),"N/A")</f>
        <v>15337</v>
      </c>
      <c r="B838" s="4" t="s">
        <v>655</v>
      </c>
      <c r="C838" s="4" t="s">
        <v>298</v>
      </c>
      <c r="D838" s="94">
        <v>1927.0</v>
      </c>
    </row>
    <row r="839">
      <c r="A839" s="40">
        <f t="array" ref="A839">IFNA(index(PlayerValues!A:A,match(IFNA(vlookup(B839,'Special Names'!A:B,2,FALSE),B839),PlayerValues!E:E,0)),"N/A")</f>
        <v>12801</v>
      </c>
      <c r="B839" s="4" t="s">
        <v>722</v>
      </c>
      <c r="C839" s="4" t="s">
        <v>287</v>
      </c>
      <c r="D839" s="94">
        <v>1539.0</v>
      </c>
    </row>
    <row r="840">
      <c r="A840" s="40" t="str">
        <f t="array" ref="A840">IFNA(index(PlayerValues!A:A,match(IFNA(vlookup(B840,'Special Names'!A:B,2,FALSE),B840),PlayerValues!E:E,0)),"N/A")</f>
        <v>N/A</v>
      </c>
      <c r="B840" s="4" t="s">
        <v>91</v>
      </c>
      <c r="C840" s="4" t="s">
        <v>325</v>
      </c>
      <c r="D840" s="94">
        <v>1533.0</v>
      </c>
    </row>
    <row r="841">
      <c r="A841" s="40" t="str">
        <f t="array" ref="A841">IFNA(index(PlayerValues!A:A,match(IFNA(vlookup(B841,'Special Names'!A:B,2,FALSE),B841),PlayerValues!E:E,0)),"N/A")</f>
        <v>N/A</v>
      </c>
      <c r="B841" s="4" t="s">
        <v>116</v>
      </c>
      <c r="C841" s="4" t="s">
        <v>325</v>
      </c>
      <c r="D841" s="94">
        <v>1523.0</v>
      </c>
    </row>
    <row r="842">
      <c r="A842" s="40">
        <f t="array" ref="A842">IFNA(index(PlayerValues!A:A,match(IFNA(vlookup(B842,'Special Names'!A:B,2,FALSE),B842),PlayerValues!E:E,0)),"N/A")</f>
        <v>15319</v>
      </c>
      <c r="B842" s="4" t="s">
        <v>644</v>
      </c>
      <c r="C842" s="4" t="s">
        <v>287</v>
      </c>
      <c r="D842" s="94">
        <v>1520.0</v>
      </c>
    </row>
    <row r="843">
      <c r="A843" s="40">
        <f t="array" ref="A843">IFNA(index(PlayerValues!A:A,match(IFNA(vlookup(B843,'Special Names'!A:B,2,FALSE),B843),PlayerValues!E:E,0)),"N/A")</f>
        <v>16595</v>
      </c>
      <c r="B843" s="4" t="s">
        <v>664</v>
      </c>
      <c r="C843" s="4" t="s">
        <v>278</v>
      </c>
      <c r="D843" s="94">
        <v>1515.0</v>
      </c>
    </row>
    <row r="844">
      <c r="A844" s="40">
        <f t="array" ref="A844">IFNA(index(PlayerValues!A:A,match(IFNA(vlookup(B844,'Special Names'!A:B,2,FALSE),B844),PlayerValues!E:E,0)),"N/A")</f>
        <v>16601</v>
      </c>
      <c r="B844" s="4" t="s">
        <v>648</v>
      </c>
      <c r="C844" s="4" t="s">
        <v>278</v>
      </c>
      <c r="D844" s="94">
        <v>1513.0</v>
      </c>
    </row>
    <row r="845">
      <c r="A845" s="40">
        <f t="array" ref="A845">IFNA(index(PlayerValues!A:A,match(IFNA(vlookup(B845,'Special Names'!A:B,2,FALSE),B845),PlayerValues!E:E,0)),"N/A")</f>
        <v>17465</v>
      </c>
      <c r="B845" s="4" t="s">
        <v>649</v>
      </c>
      <c r="C845" s="4" t="s">
        <v>283</v>
      </c>
      <c r="D845" s="94">
        <v>1500.0</v>
      </c>
    </row>
    <row r="846">
      <c r="A846" s="40">
        <f t="array" ref="A846">IFNA(index(PlayerValues!A:A,match(IFNA(vlookup(B846,'Special Names'!A:B,2,FALSE),B846),PlayerValues!E:E,0)),"N/A")</f>
        <v>13672</v>
      </c>
      <c r="B846" s="4" t="s">
        <v>667</v>
      </c>
      <c r="C846" s="4" t="s">
        <v>298</v>
      </c>
      <c r="D846" s="94">
        <v>1871.0</v>
      </c>
    </row>
    <row r="847">
      <c r="A847" s="40">
        <f t="array" ref="A847">IFNA(index(PlayerValues!A:A,match(IFNA(vlookup(B847,'Special Names'!A:B,2,FALSE),B847),PlayerValues!E:E,0)),"N/A")</f>
        <v>15301</v>
      </c>
      <c r="B847" s="4" t="s">
        <v>657</v>
      </c>
      <c r="C847" s="4" t="s">
        <v>287</v>
      </c>
      <c r="D847" s="94">
        <v>1495.0</v>
      </c>
    </row>
    <row r="848">
      <c r="A848" s="40">
        <f t="array" ref="A848">IFNA(index(PlayerValues!A:A,match(IFNA(vlookup(B848,'Special Names'!A:B,2,FALSE),B848),PlayerValues!E:E,0)),"N/A")</f>
        <v>16387</v>
      </c>
      <c r="B848" s="4" t="s">
        <v>646</v>
      </c>
      <c r="C848" s="4" t="s">
        <v>278</v>
      </c>
      <c r="D848" s="94">
        <v>1494.0</v>
      </c>
    </row>
    <row r="849">
      <c r="A849" s="40">
        <f t="array" ref="A849">IFNA(index(PlayerValues!A:A,match(IFNA(vlookup(B849,'Special Names'!A:B,2,FALSE),B849),PlayerValues!E:E,0)),"N/A")</f>
        <v>15738</v>
      </c>
      <c r="B849" s="4" t="s">
        <v>634</v>
      </c>
      <c r="C849" s="4" t="s">
        <v>278</v>
      </c>
      <c r="D849" s="94">
        <v>1485.0</v>
      </c>
    </row>
    <row r="850">
      <c r="A850" s="40">
        <f t="array" ref="A850">IFNA(index(PlayerValues!A:A,match(IFNA(vlookup(B850,'Special Names'!A:B,2,FALSE),B850),PlayerValues!E:E,0)),"N/A")</f>
        <v>17652</v>
      </c>
      <c r="B850" s="4" t="s">
        <v>576</v>
      </c>
      <c r="C850" s="4" t="s">
        <v>278</v>
      </c>
      <c r="D850" s="94">
        <v>1479.0</v>
      </c>
    </row>
    <row r="851">
      <c r="A851" s="40">
        <f t="array" ref="A851">IFNA(index(PlayerValues!A:A,match(IFNA(vlookup(B851,'Special Names'!A:B,2,FALSE),B851),PlayerValues!E:E,0)),"N/A")</f>
        <v>17234</v>
      </c>
      <c r="B851" s="4" t="s">
        <v>653</v>
      </c>
      <c r="C851" s="4" t="s">
        <v>287</v>
      </c>
      <c r="D851" s="94">
        <v>1463.0</v>
      </c>
    </row>
    <row r="852">
      <c r="A852" s="40">
        <f t="array" ref="A852">IFNA(index(PlayerValues!A:A,match(IFNA(vlookup(B852,'Special Names'!A:B,2,FALSE),B852),PlayerValues!E:E,0)),"N/A")</f>
        <v>16586</v>
      </c>
      <c r="B852" s="4" t="s">
        <v>658</v>
      </c>
      <c r="C852" s="4" t="s">
        <v>283</v>
      </c>
      <c r="D852" s="94">
        <v>1461.0</v>
      </c>
    </row>
    <row r="853">
      <c r="A853" s="40">
        <f t="array" ref="A853">IFNA(index(PlayerValues!A:A,match(IFNA(vlookup(B853,'Special Names'!A:B,2,FALSE),B853),PlayerValues!E:E,0)),"N/A")</f>
        <v>14086</v>
      </c>
      <c r="B853" s="4" t="s">
        <v>639</v>
      </c>
      <c r="C853" s="4" t="s">
        <v>278</v>
      </c>
      <c r="D853" s="94">
        <v>1459.0</v>
      </c>
    </row>
    <row r="854">
      <c r="A854" s="40">
        <f t="array" ref="A854">IFNA(index(PlayerValues!A:A,match(IFNA(vlookup(B854,'Special Names'!A:B,2,FALSE),B854),PlayerValues!E:E,0)),"N/A")</f>
        <v>14105</v>
      </c>
      <c r="B854" s="4" t="s">
        <v>675</v>
      </c>
      <c r="C854" s="4" t="s">
        <v>287</v>
      </c>
      <c r="D854" s="94">
        <v>1442.0</v>
      </c>
    </row>
    <row r="855">
      <c r="A855" s="40">
        <f t="array" ref="A855">IFNA(index(PlayerValues!A:A,match(IFNA(vlookup(B855,'Special Names'!A:B,2,FALSE),B855),PlayerValues!E:E,0)),"N/A")</f>
        <v>17205</v>
      </c>
      <c r="B855" s="4" t="s">
        <v>665</v>
      </c>
      <c r="C855" s="4" t="s">
        <v>287</v>
      </c>
      <c r="D855" s="94">
        <v>1440.0</v>
      </c>
    </row>
    <row r="856">
      <c r="A856" s="40">
        <f t="array" ref="A856">IFNA(index(PlayerValues!A:A,match(IFNA(vlookup(B856,'Special Names'!A:B,2,FALSE),B856),PlayerValues!E:E,0)),"N/A")</f>
        <v>16688</v>
      </c>
      <c r="B856" s="4" t="s">
        <v>688</v>
      </c>
      <c r="C856" s="4" t="s">
        <v>278</v>
      </c>
      <c r="D856" s="94">
        <v>1427.0</v>
      </c>
    </row>
    <row r="857">
      <c r="A857" s="40">
        <f t="array" ref="A857">IFNA(index(PlayerValues!A:A,match(IFNA(vlookup(B857,'Special Names'!A:B,2,FALSE),B857),PlayerValues!E:E,0)),"N/A")</f>
        <v>15713</v>
      </c>
      <c r="B857" s="4" t="s">
        <v>732</v>
      </c>
      <c r="C857" s="4" t="s">
        <v>278</v>
      </c>
      <c r="D857" s="94">
        <v>1421.0</v>
      </c>
    </row>
    <row r="858">
      <c r="A858" s="40">
        <f t="array" ref="A858">IFNA(index(PlayerValues!A:A,match(IFNA(vlookup(B858,'Special Names'!A:B,2,FALSE),B858),PlayerValues!E:E,0)),"N/A")</f>
        <v>16621</v>
      </c>
      <c r="B858" s="4" t="s">
        <v>672</v>
      </c>
      <c r="C858" s="4" t="s">
        <v>287</v>
      </c>
      <c r="D858" s="94">
        <v>1410.0</v>
      </c>
    </row>
    <row r="859">
      <c r="A859" s="40">
        <f t="array" ref="A859">IFNA(index(PlayerValues!A:A,match(IFNA(vlookup(B859,'Special Names'!A:B,2,FALSE),B859),PlayerValues!E:E,0)),"N/A")</f>
        <v>14137</v>
      </c>
      <c r="B859" s="4" t="s">
        <v>676</v>
      </c>
      <c r="C859" s="4" t="s">
        <v>298</v>
      </c>
      <c r="D859" s="94">
        <v>1778.0</v>
      </c>
    </row>
    <row r="860">
      <c r="A860" s="40">
        <f t="array" ref="A860">IFNA(index(PlayerValues!A:A,match(IFNA(vlookup(B860,'Special Names'!A:B,2,FALSE),B860),PlayerValues!E:E,0)),"N/A")</f>
        <v>15759</v>
      </c>
      <c r="B860" s="4" t="s">
        <v>662</v>
      </c>
      <c r="C860" s="4" t="s">
        <v>287</v>
      </c>
      <c r="D860" s="94">
        <v>1406.0</v>
      </c>
    </row>
    <row r="861">
      <c r="A861" s="40">
        <f t="array" ref="A861">IFNA(index(PlayerValues!A:A,match(IFNA(vlookup(B861,'Special Names'!A:B,2,FALSE),B861),PlayerValues!E:E,0)),"N/A")</f>
        <v>16633</v>
      </c>
      <c r="B861" s="4" t="s">
        <v>656</v>
      </c>
      <c r="C861" s="4" t="s">
        <v>287</v>
      </c>
      <c r="D861" s="94">
        <v>1402.0</v>
      </c>
    </row>
    <row r="862">
      <c r="A862" s="40">
        <f t="array" ref="A862">IFNA(index(PlayerValues!A:A,match(IFNA(vlookup(B862,'Special Names'!A:B,2,FALSE),B862),PlayerValues!E:E,0)),"N/A")</f>
        <v>16788</v>
      </c>
      <c r="B862" s="4" t="s">
        <v>621</v>
      </c>
      <c r="C862" s="4" t="s">
        <v>287</v>
      </c>
      <c r="D862" s="94">
        <v>1400.0</v>
      </c>
    </row>
    <row r="863">
      <c r="A863" s="40">
        <f t="array" ref="A863">IFNA(index(PlayerValues!A:A,match(IFNA(vlookup(B863,'Special Names'!A:B,2,FALSE),B863),PlayerValues!E:E,0)),"N/A")</f>
        <v>15292</v>
      </c>
      <c r="B863" s="4" t="s">
        <v>682</v>
      </c>
      <c r="C863" s="4" t="s">
        <v>287</v>
      </c>
      <c r="D863" s="94">
        <v>1396.0</v>
      </c>
    </row>
    <row r="864">
      <c r="A864" s="40">
        <f t="array" ref="A864">IFNA(index(PlayerValues!A:A,match(IFNA(vlookup(B864,'Special Names'!A:B,2,FALSE),B864),PlayerValues!E:E,0)),"N/A")</f>
        <v>16631</v>
      </c>
      <c r="B864" s="4" t="s">
        <v>800</v>
      </c>
      <c r="C864" s="4" t="s">
        <v>287</v>
      </c>
      <c r="D864" s="94">
        <v>1393.0</v>
      </c>
    </row>
    <row r="865">
      <c r="A865" s="40">
        <f t="array" ref="A865">IFNA(index(PlayerValues!A:A,match(IFNA(vlookup(B865,'Special Names'!A:B,2,FALSE),B865),PlayerValues!E:E,0)),"N/A")</f>
        <v>15873</v>
      </c>
      <c r="B865" s="4" t="s">
        <v>681</v>
      </c>
      <c r="C865" s="4" t="s">
        <v>298</v>
      </c>
      <c r="D865" s="94">
        <v>1755.0</v>
      </c>
    </row>
    <row r="866">
      <c r="A866" s="40">
        <f t="array" ref="A866">IFNA(index(PlayerValues!A:A,match(IFNA(vlookup(B866,'Special Names'!A:B,2,FALSE),B866),PlayerValues!E:E,0)),"N/A")</f>
        <v>16175</v>
      </c>
      <c r="B866" s="4" t="s">
        <v>654</v>
      </c>
      <c r="C866" s="4" t="s">
        <v>278</v>
      </c>
      <c r="D866" s="94">
        <v>1377.0</v>
      </c>
    </row>
    <row r="867">
      <c r="A867" s="40">
        <f t="array" ref="A867">IFNA(index(PlayerValues!A:A,match(IFNA(vlookup(B867,'Special Names'!A:B,2,FALSE),B867),PlayerValues!E:E,0)),"N/A")</f>
        <v>16645</v>
      </c>
      <c r="B867" s="4" t="s">
        <v>651</v>
      </c>
      <c r="C867" s="4" t="s">
        <v>298</v>
      </c>
      <c r="D867" s="94">
        <v>1736.0</v>
      </c>
    </row>
    <row r="868">
      <c r="A868" s="40">
        <f t="array" ref="A868">IFNA(index(PlayerValues!A:A,match(IFNA(vlookup(B868,'Special Names'!A:B,2,FALSE),B868),PlayerValues!E:E,0)),"N/A")</f>
        <v>15777</v>
      </c>
      <c r="B868" s="4" t="s">
        <v>694</v>
      </c>
      <c r="C868" s="4" t="s">
        <v>287</v>
      </c>
      <c r="D868" s="94">
        <v>1352.0</v>
      </c>
    </row>
    <row r="869">
      <c r="A869" s="40">
        <f t="array" ref="A869">IFNA(index(PlayerValues!A:A,match(IFNA(vlookup(B869,'Special Names'!A:B,2,FALSE),B869),PlayerValues!E:E,0)),"N/A")</f>
        <v>16642</v>
      </c>
      <c r="B869" s="4" t="s">
        <v>691</v>
      </c>
      <c r="C869" s="4" t="s">
        <v>298</v>
      </c>
      <c r="D869" s="94">
        <v>1715.0</v>
      </c>
    </row>
    <row r="870">
      <c r="A870" s="40">
        <f t="array" ref="A870">IFNA(index(PlayerValues!A:A,match(IFNA(vlookup(B870,'Special Names'!A:B,2,FALSE),B870),PlayerValues!E:E,0)),"N/A")</f>
        <v>16390</v>
      </c>
      <c r="B870" s="4" t="s">
        <v>689</v>
      </c>
      <c r="C870" s="4" t="s">
        <v>278</v>
      </c>
      <c r="D870" s="94">
        <v>1330.0</v>
      </c>
    </row>
    <row r="871">
      <c r="A871" s="40">
        <f t="array" ref="A871">IFNA(index(PlayerValues!A:A,match(IFNA(vlookup(B871,'Special Names'!A:B,2,FALSE),B871),PlayerValues!E:E,0)),"N/A")</f>
        <v>17054</v>
      </c>
      <c r="B871" s="4" t="s">
        <v>670</v>
      </c>
      <c r="C871" s="4" t="s">
        <v>278</v>
      </c>
      <c r="D871" s="94">
        <v>1323.0</v>
      </c>
    </row>
    <row r="872">
      <c r="A872" s="40" t="str">
        <f t="array" ref="A872">IFNA(index(PlayerValues!A:A,match(IFNA(vlookup(B872,'Special Names'!A:B,2,FALSE),B872),PlayerValues!E:E,0)),"N/A")</f>
        <v>N/A</v>
      </c>
      <c r="B872" s="4" t="s">
        <v>117</v>
      </c>
      <c r="C872" s="4" t="s">
        <v>325</v>
      </c>
      <c r="D872" s="94">
        <v>1317.0</v>
      </c>
    </row>
    <row r="873">
      <c r="A873" s="40">
        <f t="array" ref="A873">IFNA(index(PlayerValues!A:A,match(IFNA(vlookup(B873,'Special Names'!A:B,2,FALSE),B873),PlayerValues!E:E,0)),"N/A")</f>
        <v>16792</v>
      </c>
      <c r="B873" s="4" t="s">
        <v>704</v>
      </c>
      <c r="C873" s="4" t="s">
        <v>287</v>
      </c>
      <c r="D873" s="94">
        <v>1310.0</v>
      </c>
    </row>
    <row r="874">
      <c r="A874" s="40">
        <f t="array" ref="A874">IFNA(index(PlayerValues!A:A,match(IFNA(vlookup(B874,'Special Names'!A:B,2,FALSE),B874),PlayerValues!E:E,0)),"N/A")</f>
        <v>17254</v>
      </c>
      <c r="B874" s="4" t="s">
        <v>679</v>
      </c>
      <c r="C874" s="4" t="s">
        <v>287</v>
      </c>
      <c r="D874" s="94">
        <v>1303.0</v>
      </c>
    </row>
    <row r="875">
      <c r="A875" s="40">
        <f t="array" ref="A875">IFNA(index(PlayerValues!A:A,match(IFNA(vlookup(B875,'Special Names'!A:B,2,FALSE),B875),PlayerValues!E:E,0)),"N/A")</f>
        <v>16746</v>
      </c>
      <c r="B875" s="4" t="s">
        <v>709</v>
      </c>
      <c r="C875" s="4" t="s">
        <v>278</v>
      </c>
      <c r="D875" s="94">
        <v>1301.0</v>
      </c>
    </row>
    <row r="876">
      <c r="A876" s="40">
        <f t="array" ref="A876">IFNA(index(PlayerValues!A:A,match(IFNA(vlookup(B876,'Special Names'!A:B,2,FALSE),B876),PlayerValues!E:E,0)),"N/A")</f>
        <v>17063</v>
      </c>
      <c r="B876" s="4" t="s">
        <v>686</v>
      </c>
      <c r="C876" s="4" t="s">
        <v>278</v>
      </c>
      <c r="D876" s="94">
        <v>1298.0</v>
      </c>
    </row>
    <row r="877">
      <c r="A877" s="40">
        <f t="array" ref="A877">IFNA(index(PlayerValues!A:A,match(IFNA(vlookup(B877,'Special Names'!A:B,2,FALSE),B877),PlayerValues!E:E,0)),"N/A")</f>
        <v>17475</v>
      </c>
      <c r="B877" s="4" t="s">
        <v>615</v>
      </c>
      <c r="C877" s="4" t="s">
        <v>278</v>
      </c>
      <c r="D877" s="94">
        <v>1297.0</v>
      </c>
    </row>
    <row r="878">
      <c r="A878" s="40">
        <f t="array" ref="A878">IFNA(index(PlayerValues!A:A,match(IFNA(vlookup(B878,'Special Names'!A:B,2,FALSE),B878),PlayerValues!E:E,0)),"N/A")</f>
        <v>12678</v>
      </c>
      <c r="B878" s="4" t="s">
        <v>703</v>
      </c>
      <c r="C878" s="4" t="s">
        <v>298</v>
      </c>
      <c r="D878" s="94">
        <v>1665.0</v>
      </c>
    </row>
    <row r="879">
      <c r="A879" s="40">
        <f t="array" ref="A879">IFNA(index(PlayerValues!A:A,match(IFNA(vlookup(B879,'Special Names'!A:B,2,FALSE),B879),PlayerValues!E:E,0)),"N/A")</f>
        <v>17097</v>
      </c>
      <c r="B879" s="4" t="s">
        <v>659</v>
      </c>
      <c r="C879" s="4" t="s">
        <v>287</v>
      </c>
      <c r="D879" s="94">
        <v>1294.0</v>
      </c>
    </row>
    <row r="880">
      <c r="A880" s="40">
        <f t="array" ref="A880">IFNA(index(PlayerValues!A:A,match(IFNA(vlookup(B880,'Special Names'!A:B,2,FALSE),B880),PlayerValues!E:E,0)),"N/A")</f>
        <v>14095</v>
      </c>
      <c r="B880" s="4" t="s">
        <v>680</v>
      </c>
      <c r="C880" s="4" t="s">
        <v>278</v>
      </c>
      <c r="D880" s="94">
        <v>1282.0</v>
      </c>
    </row>
    <row r="881">
      <c r="A881" s="40">
        <f t="array" ref="A881">IFNA(index(PlayerValues!A:A,match(IFNA(vlookup(B881,'Special Names'!A:B,2,FALSE),B881),PlayerValues!E:E,0)),"N/A")</f>
        <v>16183</v>
      </c>
      <c r="B881" s="4" t="s">
        <v>678</v>
      </c>
      <c r="C881" s="4" t="s">
        <v>287</v>
      </c>
      <c r="D881" s="94">
        <v>1276.0</v>
      </c>
    </row>
    <row r="882">
      <c r="A882" s="40">
        <f t="array" ref="A882">IFNA(index(PlayerValues!A:A,match(IFNA(vlookup(B882,'Special Names'!A:B,2,FALSE),B882),PlayerValues!E:E,0)),"N/A")</f>
        <v>16636</v>
      </c>
      <c r="B882" s="4" t="s">
        <v>699</v>
      </c>
      <c r="C882" s="4" t="s">
        <v>287</v>
      </c>
      <c r="D882" s="94">
        <v>1272.0</v>
      </c>
    </row>
    <row r="883">
      <c r="A883" s="40">
        <f t="array" ref="A883">IFNA(index(PlayerValues!A:A,match(IFNA(vlookup(B883,'Special Names'!A:B,2,FALSE),B883),PlayerValues!E:E,0)),"N/A")</f>
        <v>16384</v>
      </c>
      <c r="B883" s="4" t="s">
        <v>696</v>
      </c>
      <c r="C883" s="4" t="s">
        <v>283</v>
      </c>
      <c r="D883" s="94">
        <v>1269.0</v>
      </c>
    </row>
    <row r="884">
      <c r="A884" s="40">
        <f t="array" ref="A884">IFNA(index(PlayerValues!A:A,match(IFNA(vlookup(B884,'Special Names'!A:B,2,FALSE),B884),PlayerValues!E:E,0)),"N/A")</f>
        <v>12140</v>
      </c>
      <c r="B884" s="4" t="s">
        <v>702</v>
      </c>
      <c r="C884" s="4" t="s">
        <v>283</v>
      </c>
      <c r="D884" s="94">
        <v>1258.0</v>
      </c>
    </row>
    <row r="885">
      <c r="A885" s="40">
        <f t="array" ref="A885">IFNA(index(PlayerValues!A:A,match(IFNA(vlookup(B885,'Special Names'!A:B,2,FALSE),B885),PlayerValues!E:E,0)),"N/A")</f>
        <v>17657</v>
      </c>
      <c r="B885" s="4" t="s">
        <v>642</v>
      </c>
      <c r="C885" s="4" t="s">
        <v>283</v>
      </c>
      <c r="D885" s="94">
        <v>1256.0</v>
      </c>
    </row>
    <row r="886">
      <c r="A886" s="40">
        <f t="array" ref="A886">IFNA(index(PlayerValues!A:A,match(IFNA(vlookup(B886,'Special Names'!A:B,2,FALSE),B886),PlayerValues!E:E,0)),"N/A")</f>
        <v>14592</v>
      </c>
      <c r="B886" s="4" t="s">
        <v>705</v>
      </c>
      <c r="C886" s="4" t="s">
        <v>287</v>
      </c>
      <c r="D886" s="94">
        <v>1255.0</v>
      </c>
    </row>
    <row r="887">
      <c r="A887" s="40">
        <f t="array" ref="A887">IFNA(index(PlayerValues!A:A,match(IFNA(vlookup(B887,'Special Names'!A:B,2,FALSE),B887),PlayerValues!E:E,0)),"N/A")</f>
        <v>15332</v>
      </c>
      <c r="B887" s="4" t="s">
        <v>698</v>
      </c>
      <c r="C887" s="4" t="s">
        <v>298</v>
      </c>
      <c r="D887" s="94">
        <v>1613.0</v>
      </c>
    </row>
    <row r="888">
      <c r="A888" s="40">
        <f t="array" ref="A888">IFNA(index(PlayerValues!A:A,match(IFNA(vlookup(B888,'Special Names'!A:B,2,FALSE),B888),PlayerValues!E:E,0)),"N/A")</f>
        <v>17510</v>
      </c>
      <c r="B888" s="4" t="s">
        <v>661</v>
      </c>
      <c r="C888" s="4" t="s">
        <v>287</v>
      </c>
      <c r="D888" s="94">
        <v>1245.0</v>
      </c>
    </row>
    <row r="889">
      <c r="A889" s="40">
        <f t="array" ref="A889">IFNA(index(PlayerValues!A:A,match(IFNA(vlookup(B889,'Special Names'!A:B,2,FALSE),B889),PlayerValues!E:E,0)),"N/A")</f>
        <v>17037</v>
      </c>
      <c r="B889" s="4" t="s">
        <v>727</v>
      </c>
      <c r="C889" s="4" t="s">
        <v>283</v>
      </c>
      <c r="D889" s="94">
        <v>1239.0</v>
      </c>
    </row>
    <row r="890">
      <c r="A890" s="40">
        <f t="array" ref="A890">IFNA(index(PlayerValues!A:A,match(IFNA(vlookup(B890,'Special Names'!A:B,2,FALSE),B890),PlayerValues!E:E,0)),"N/A")</f>
        <v>16883</v>
      </c>
      <c r="B890" s="4" t="s">
        <v>683</v>
      </c>
      <c r="C890" s="4" t="s">
        <v>287</v>
      </c>
      <c r="D890" s="94">
        <v>1224.0</v>
      </c>
    </row>
    <row r="891">
      <c r="A891" s="40">
        <f t="array" ref="A891">IFNA(index(PlayerValues!A:A,match(IFNA(vlookup(B891,'Special Names'!A:B,2,FALSE),B891),PlayerValues!E:E,0)),"N/A")</f>
        <v>15702</v>
      </c>
      <c r="B891" s="4" t="s">
        <v>723</v>
      </c>
      <c r="C891" s="4" t="s">
        <v>283</v>
      </c>
      <c r="D891" s="94">
        <v>1222.0</v>
      </c>
    </row>
    <row r="892">
      <c r="A892" s="40">
        <f t="array" ref="A892">IFNA(index(PlayerValues!A:A,match(IFNA(vlookup(B892,'Special Names'!A:B,2,FALSE),B892),PlayerValues!E:E,0)),"N/A")</f>
        <v>16385</v>
      </c>
      <c r="B892" s="4" t="s">
        <v>690</v>
      </c>
      <c r="C892" s="4" t="s">
        <v>278</v>
      </c>
      <c r="D892" s="94">
        <v>1213.0</v>
      </c>
    </row>
    <row r="893">
      <c r="A893" s="40">
        <f t="array" ref="A893">IFNA(index(PlayerValues!A:A,match(IFNA(vlookup(B893,'Special Names'!A:B,2,FALSE),B893),PlayerValues!E:E,0)),"N/A")</f>
        <v>16199</v>
      </c>
      <c r="B893" s="4" t="s">
        <v>687</v>
      </c>
      <c r="C893" s="4" t="s">
        <v>287</v>
      </c>
      <c r="D893" s="94">
        <v>1208.0</v>
      </c>
    </row>
    <row r="894">
      <c r="A894" s="40">
        <f t="array" ref="A894">IFNA(index(PlayerValues!A:A,match(IFNA(vlookup(B894,'Special Names'!A:B,2,FALSE),B894),PlayerValues!E:E,0)),"N/A")</f>
        <v>17062</v>
      </c>
      <c r="B894" s="4" t="s">
        <v>701</v>
      </c>
      <c r="C894" s="4" t="s">
        <v>278</v>
      </c>
      <c r="D894" s="94">
        <v>1207.0</v>
      </c>
    </row>
    <row r="895">
      <c r="A895" s="40">
        <f t="array" ref="A895">IFNA(index(PlayerValues!A:A,match(IFNA(vlookup(B895,'Special Names'!A:B,2,FALSE),B895),PlayerValues!E:E,0)),"N/A")</f>
        <v>17192</v>
      </c>
      <c r="B895" s="4" t="s">
        <v>677</v>
      </c>
      <c r="C895" s="4" t="s">
        <v>287</v>
      </c>
      <c r="D895" s="94">
        <v>1207.0</v>
      </c>
    </row>
    <row r="896">
      <c r="A896" s="40">
        <f t="array" ref="A896">IFNA(index(PlayerValues!A:A,match(IFNA(vlookup(B896,'Special Names'!A:B,2,FALSE),B896),PlayerValues!E:E,0)),"N/A")</f>
        <v>14080</v>
      </c>
      <c r="B896" s="4" t="s">
        <v>716</v>
      </c>
      <c r="C896" s="4" t="s">
        <v>278</v>
      </c>
      <c r="D896" s="94">
        <v>1202.0</v>
      </c>
    </row>
    <row r="897">
      <c r="A897" s="40">
        <f t="array" ref="A897">IFNA(index(PlayerValues!A:A,match(IFNA(vlookup(B897,'Special Names'!A:B,2,FALSE),B897),PlayerValues!E:E,0)),"N/A")</f>
        <v>13418</v>
      </c>
      <c r="B897" s="4" t="s">
        <v>706</v>
      </c>
      <c r="C897" s="4" t="s">
        <v>287</v>
      </c>
      <c r="D897" s="94">
        <v>1201.0</v>
      </c>
    </row>
    <row r="898">
      <c r="A898" s="40">
        <f t="array" ref="A898">IFNA(index(PlayerValues!A:A,match(IFNA(vlookup(B898,'Special Names'!A:B,2,FALSE),B898),PlayerValues!E:E,0)),"N/A")</f>
        <v>17518</v>
      </c>
      <c r="B898" s="4" t="s">
        <v>482</v>
      </c>
      <c r="C898" s="4" t="s">
        <v>287</v>
      </c>
      <c r="D898" s="94">
        <v>1186.0</v>
      </c>
    </row>
    <row r="899">
      <c r="A899" s="40">
        <f t="array" ref="A899">IFNA(index(PlayerValues!A:A,match(IFNA(vlookup(B899,'Special Names'!A:B,2,FALSE),B899),PlayerValues!E:E,0)),"N/A")</f>
        <v>14067</v>
      </c>
      <c r="B899" s="4" t="s">
        <v>735</v>
      </c>
      <c r="C899" s="4" t="s">
        <v>283</v>
      </c>
      <c r="D899" s="94">
        <v>1173.0</v>
      </c>
    </row>
    <row r="900">
      <c r="A900" s="40">
        <f t="array" ref="A900">IFNA(index(PlayerValues!A:A,match(IFNA(vlookup(B900,'Special Names'!A:B,2,FALSE),B900),PlayerValues!E:E,0)),"N/A")</f>
        <v>17077</v>
      </c>
      <c r="B900" s="4" t="s">
        <v>714</v>
      </c>
      <c r="C900" s="4" t="s">
        <v>287</v>
      </c>
      <c r="D900" s="94">
        <v>1173.0</v>
      </c>
    </row>
    <row r="901">
      <c r="A901" s="40">
        <f t="array" ref="A901">IFNA(index(PlayerValues!A:A,match(IFNA(vlookup(B901,'Special Names'!A:B,2,FALSE),B901),PlayerValues!E:E,0)),"N/A")</f>
        <v>17546</v>
      </c>
      <c r="B901" s="4" t="s">
        <v>671</v>
      </c>
      <c r="C901" s="4" t="s">
        <v>298</v>
      </c>
      <c r="D901" s="94">
        <v>1541.0</v>
      </c>
    </row>
    <row r="902">
      <c r="A902" s="40">
        <f t="array" ref="A902">IFNA(index(PlayerValues!A:A,match(IFNA(vlookup(B902,'Special Names'!A:B,2,FALSE),B902),PlayerValues!E:E,0)),"N/A")</f>
        <v>17109</v>
      </c>
      <c r="B902" s="4" t="s">
        <v>707</v>
      </c>
      <c r="C902" s="4" t="s">
        <v>298</v>
      </c>
      <c r="D902" s="94">
        <v>1539.0</v>
      </c>
    </row>
    <row r="903">
      <c r="A903" s="40">
        <f t="array" ref="A903">IFNA(index(PlayerValues!A:A,match(IFNA(vlookup(B903,'Special Names'!A:B,2,FALSE),B903),PlayerValues!E:E,0)),"N/A")</f>
        <v>11222</v>
      </c>
      <c r="B903" s="4" t="s">
        <v>622</v>
      </c>
      <c r="C903" s="4" t="s">
        <v>287</v>
      </c>
      <c r="D903" s="94">
        <v>1166.0</v>
      </c>
    </row>
    <row r="904">
      <c r="A904" s="40">
        <f t="array" ref="A904">IFNA(index(PlayerValues!A:A,match(IFNA(vlookup(B904,'Special Names'!A:B,2,FALSE),B904),PlayerValues!E:E,0)),"N/A")</f>
        <v>15252</v>
      </c>
      <c r="B904" s="4" t="s">
        <v>715</v>
      </c>
      <c r="C904" s="4" t="s">
        <v>283</v>
      </c>
      <c r="D904" s="94">
        <v>1166.0</v>
      </c>
    </row>
    <row r="905">
      <c r="A905" s="40">
        <f t="array" ref="A905">IFNA(index(PlayerValues!A:A,match(IFNA(vlookup(B905,'Special Names'!A:B,2,FALSE),B905),PlayerValues!E:E,0)),"N/A")</f>
        <v>15254</v>
      </c>
      <c r="B905" s="4" t="s">
        <v>633</v>
      </c>
      <c r="C905" s="4" t="s">
        <v>278</v>
      </c>
      <c r="D905" s="94">
        <v>1164.0</v>
      </c>
    </row>
    <row r="906">
      <c r="A906" s="40">
        <f t="array" ref="A906">IFNA(index(PlayerValues!A:A,match(IFNA(vlookup(B906,'Special Names'!A:B,2,FALSE),B906),PlayerValues!E:E,0)),"N/A")</f>
        <v>17269</v>
      </c>
      <c r="B906" s="4" t="s">
        <v>718</v>
      </c>
      <c r="C906" s="4" t="s">
        <v>287</v>
      </c>
      <c r="D906" s="94">
        <v>1163.0</v>
      </c>
    </row>
    <row r="907">
      <c r="A907" s="40">
        <f t="array" ref="A907">IFNA(index(PlayerValues!A:A,match(IFNA(vlookup(B907,'Special Names'!A:B,2,FALSE),B907),PlayerValues!E:E,0)),"N/A")</f>
        <v>16333</v>
      </c>
      <c r="B907" s="4" t="s">
        <v>711</v>
      </c>
      <c r="C907" s="4" t="s">
        <v>298</v>
      </c>
      <c r="D907" s="94">
        <v>1530.0</v>
      </c>
    </row>
    <row r="908">
      <c r="A908" s="40">
        <f t="array" ref="A908">IFNA(index(PlayerValues!A:A,match(IFNA(vlookup(B908,'Special Names'!A:B,2,FALSE),B908),PlayerValues!E:E,0)),"N/A")</f>
        <v>14108</v>
      </c>
      <c r="B908" s="4" t="s">
        <v>673</v>
      </c>
      <c r="C908" s="4" t="s">
        <v>287</v>
      </c>
      <c r="D908" s="94">
        <v>1156.0</v>
      </c>
    </row>
    <row r="909">
      <c r="A909" s="40">
        <f t="array" ref="A909">IFNA(index(PlayerValues!A:A,match(IFNA(vlookup(B909,'Special Names'!A:B,2,FALSE),B909),PlayerValues!E:E,0)),"N/A")</f>
        <v>14789</v>
      </c>
      <c r="B909" s="4" t="s">
        <v>721</v>
      </c>
      <c r="C909" s="4" t="s">
        <v>283</v>
      </c>
      <c r="D909" s="94">
        <v>1151.0</v>
      </c>
    </row>
    <row r="910">
      <c r="A910" s="40">
        <f t="array" ref="A910">IFNA(index(PlayerValues!A:A,match(IFNA(vlookup(B910,'Special Names'!A:B,2,FALSE),B910),PlayerValues!E:E,0)),"N/A")</f>
        <v>15288</v>
      </c>
      <c r="B910" s="4" t="s">
        <v>700</v>
      </c>
      <c r="C910" s="4" t="s">
        <v>287</v>
      </c>
      <c r="D910" s="94">
        <v>1149.0</v>
      </c>
    </row>
    <row r="911">
      <c r="A911" s="40">
        <f t="array" ref="A911">IFNA(index(PlayerValues!A:A,match(IFNA(vlookup(B911,'Special Names'!A:B,2,FALSE),B911),PlayerValues!E:E,0)),"N/A")</f>
        <v>17057</v>
      </c>
      <c r="B911" s="4" t="s">
        <v>708</v>
      </c>
      <c r="C911" s="4" t="s">
        <v>278</v>
      </c>
      <c r="D911" s="94">
        <v>1147.0</v>
      </c>
    </row>
    <row r="912">
      <c r="A912" s="40">
        <f t="array" ref="A912">IFNA(index(PlayerValues!A:A,match(IFNA(vlookup(B912,'Special Names'!A:B,2,FALSE),B912),PlayerValues!E:E,0)),"N/A")</f>
        <v>16221</v>
      </c>
      <c r="B912" s="4" t="s">
        <v>725</v>
      </c>
      <c r="C912" s="4" t="s">
        <v>298</v>
      </c>
      <c r="D912" s="94">
        <v>1516.0</v>
      </c>
    </row>
    <row r="913">
      <c r="A913" s="40">
        <f t="array" ref="A913">IFNA(index(PlayerValues!A:A,match(IFNA(vlookup(B913,'Special Names'!A:B,2,FALSE),B913),PlayerValues!E:E,0)),"N/A")</f>
        <v>17050</v>
      </c>
      <c r="B913" s="4" t="s">
        <v>713</v>
      </c>
      <c r="C913" s="4" t="s">
        <v>278</v>
      </c>
      <c r="D913" s="94">
        <v>1133.0</v>
      </c>
    </row>
    <row r="914">
      <c r="A914" s="40">
        <f t="array" ref="A914">IFNA(index(PlayerValues!A:A,match(IFNA(vlookup(B914,'Special Names'!A:B,2,FALSE),B914),PlayerValues!E:E,0)),"N/A")</f>
        <v>16640</v>
      </c>
      <c r="B914" s="4" t="s">
        <v>712</v>
      </c>
      <c r="C914" s="4" t="s">
        <v>287</v>
      </c>
      <c r="D914" s="94">
        <v>1127.0</v>
      </c>
    </row>
    <row r="915">
      <c r="A915" s="40">
        <f t="array" ref="A915">IFNA(index(PlayerValues!A:A,match(IFNA(vlookup(B915,'Special Names'!A:B,2,FALSE),B915),PlayerValues!E:E,0)),"N/A")</f>
        <v>15981</v>
      </c>
      <c r="B915" s="4" t="s">
        <v>729</v>
      </c>
      <c r="C915" s="4" t="s">
        <v>287</v>
      </c>
      <c r="D915" s="94">
        <v>1112.0</v>
      </c>
    </row>
    <row r="916">
      <c r="A916" s="40">
        <f t="array" ref="A916">IFNA(index(PlayerValues!A:A,match(IFNA(vlookup(B916,'Special Names'!A:B,2,FALSE),B916),PlayerValues!E:E,0)),"N/A")</f>
        <v>15795</v>
      </c>
      <c r="B916" s="4" t="s">
        <v>669</v>
      </c>
      <c r="C916" s="4" t="s">
        <v>298</v>
      </c>
      <c r="D916" s="94">
        <v>1467.0</v>
      </c>
    </row>
    <row r="917">
      <c r="A917" s="40">
        <f t="array" ref="A917">IFNA(index(PlayerValues!A:A,match(IFNA(vlookup(B917,'Special Names'!A:B,2,FALSE),B917),PlayerValues!E:E,0)),"N/A")</f>
        <v>17504</v>
      </c>
      <c r="B917" s="4" t="s">
        <v>693</v>
      </c>
      <c r="C917" s="4" t="s">
        <v>287</v>
      </c>
      <c r="D917" s="94">
        <v>1088.0</v>
      </c>
    </row>
    <row r="918">
      <c r="A918" s="40">
        <f t="array" ref="A918">IFNA(index(PlayerValues!A:A,match(IFNA(vlookup(B918,'Special Names'!A:B,2,FALSE),B918),PlayerValues!E:E,0)),"N/A")</f>
        <v>12141</v>
      </c>
      <c r="B918" s="4" t="s">
        <v>744</v>
      </c>
      <c r="C918" s="4" t="s">
        <v>283</v>
      </c>
      <c r="D918" s="94">
        <v>1083.0</v>
      </c>
    </row>
    <row r="919">
      <c r="A919" s="40">
        <f t="array" ref="A919">IFNA(index(PlayerValues!A:A,match(IFNA(vlookup(B919,'Special Names'!A:B,2,FALSE),B919),PlayerValues!E:E,0)),"N/A")</f>
        <v>16149</v>
      </c>
      <c r="B919" s="4" t="s">
        <v>740</v>
      </c>
      <c r="C919" s="4" t="s">
        <v>283</v>
      </c>
      <c r="D919" s="94">
        <v>1071.0</v>
      </c>
    </row>
    <row r="920">
      <c r="A920" s="40">
        <f t="array" ref="A920">IFNA(index(PlayerValues!A:A,match(IFNA(vlookup(B920,'Special Names'!A:B,2,FALSE),B920),PlayerValues!E:E,0)),"N/A")</f>
        <v>13289</v>
      </c>
      <c r="B920" s="4" t="s">
        <v>746</v>
      </c>
      <c r="C920" s="4" t="s">
        <v>287</v>
      </c>
      <c r="D920" s="94">
        <v>1064.0</v>
      </c>
    </row>
    <row r="921">
      <c r="A921" s="40">
        <f t="array" ref="A921">IFNA(index(PlayerValues!A:A,match(IFNA(vlookup(B921,'Special Names'!A:B,2,FALSE),B921),PlayerValues!E:E,0)),"N/A")</f>
        <v>16197</v>
      </c>
      <c r="B921" s="4" t="s">
        <v>726</v>
      </c>
      <c r="C921" s="4" t="s">
        <v>287</v>
      </c>
      <c r="D921" s="94">
        <v>1064.0</v>
      </c>
    </row>
    <row r="922">
      <c r="A922" s="40">
        <f t="array" ref="A922">IFNA(index(PlayerValues!A:A,match(IFNA(vlookup(B922,'Special Names'!A:B,2,FALSE),B922),PlayerValues!E:E,0)),"N/A")</f>
        <v>14845</v>
      </c>
      <c r="B922" s="4" t="s">
        <v>717</v>
      </c>
      <c r="C922" s="4" t="s">
        <v>287</v>
      </c>
      <c r="D922" s="94">
        <v>1061.0</v>
      </c>
    </row>
    <row r="923">
      <c r="A923" s="40">
        <f t="array" ref="A923">IFNA(index(PlayerValues!A:A,match(IFNA(vlookup(B923,'Special Names'!A:B,2,FALSE),B923),PlayerValues!E:E,0)),"N/A")</f>
        <v>15240</v>
      </c>
      <c r="B923" s="4" t="s">
        <v>751</v>
      </c>
      <c r="C923" s="4" t="s">
        <v>283</v>
      </c>
      <c r="D923" s="94">
        <v>1056.0</v>
      </c>
    </row>
    <row r="924">
      <c r="A924" s="40">
        <f t="array" ref="A924">IFNA(index(PlayerValues!A:A,match(IFNA(vlookup(B924,'Special Names'!A:B,2,FALSE),B924),PlayerValues!E:E,0)),"N/A")</f>
        <v>15109</v>
      </c>
      <c r="B924" s="4" t="s">
        <v>728</v>
      </c>
      <c r="C924" s="4" t="s">
        <v>287</v>
      </c>
      <c r="D924" s="94">
        <v>1033.0</v>
      </c>
    </row>
    <row r="925">
      <c r="A925" s="40">
        <f t="array" ref="A925">IFNA(index(PlayerValues!A:A,match(IFNA(vlookup(B925,'Special Names'!A:B,2,FALSE),B925),PlayerValues!E:E,0)),"N/A")</f>
        <v>14849</v>
      </c>
      <c r="B925" s="4" t="s">
        <v>733</v>
      </c>
      <c r="C925" s="4" t="s">
        <v>287</v>
      </c>
      <c r="D925" s="94">
        <v>1032.0</v>
      </c>
    </row>
    <row r="926">
      <c r="A926" s="40">
        <f t="array" ref="A926">IFNA(index(PlayerValues!A:A,match(IFNA(vlookup(B926,'Special Names'!A:B,2,FALSE),B926),PlayerValues!E:E,0)),"N/A")</f>
        <v>15727</v>
      </c>
      <c r="B926" s="4" t="s">
        <v>730</v>
      </c>
      <c r="C926" s="4" t="s">
        <v>278</v>
      </c>
      <c r="D926" s="94">
        <v>1026.0</v>
      </c>
    </row>
    <row r="927">
      <c r="A927" s="40">
        <f t="array" ref="A927">IFNA(index(PlayerValues!A:A,match(IFNA(vlookup(B927,'Special Names'!A:B,2,FALSE),B927),PlayerValues!E:E,0)),"N/A")</f>
        <v>15730</v>
      </c>
      <c r="B927" s="4" t="s">
        <v>734</v>
      </c>
      <c r="C927" s="4" t="s">
        <v>278</v>
      </c>
      <c r="D927" s="94">
        <v>1026.0</v>
      </c>
    </row>
    <row r="928">
      <c r="A928" s="40">
        <f t="array" ref="A928">IFNA(index(PlayerValues!A:A,match(IFNA(vlookup(B928,'Special Names'!A:B,2,FALSE),B928),PlayerValues!E:E,0)),"N/A")</f>
        <v>15717</v>
      </c>
      <c r="B928" s="4" t="s">
        <v>745</v>
      </c>
      <c r="C928" s="4" t="s">
        <v>278</v>
      </c>
      <c r="D928" s="94">
        <v>1026.0</v>
      </c>
    </row>
    <row r="929">
      <c r="A929" s="40">
        <f t="array" ref="A929">IFNA(index(PlayerValues!A:A,match(IFNA(vlookup(B929,'Special Names'!A:B,2,FALSE),B929),PlayerValues!E:E,0)),"N/A")</f>
        <v>9064</v>
      </c>
      <c r="B929" s="4" t="s">
        <v>761</v>
      </c>
      <c r="C929" s="4" t="s">
        <v>283</v>
      </c>
      <c r="D929" s="94">
        <v>1025.0</v>
      </c>
    </row>
    <row r="930">
      <c r="A930" s="40">
        <f t="array" ref="A930">IFNA(index(PlayerValues!A:A,match(IFNA(vlookup(B930,'Special Names'!A:B,2,FALSE),B930),PlayerValues!E:E,0)),"N/A")</f>
        <v>16168</v>
      </c>
      <c r="B930" s="4" t="s">
        <v>738</v>
      </c>
      <c r="C930" s="4" t="s">
        <v>278</v>
      </c>
      <c r="D930" s="94">
        <v>1021.0</v>
      </c>
    </row>
    <row r="931">
      <c r="A931" s="40">
        <f t="array" ref="A931">IFNA(index(PlayerValues!A:A,match(IFNA(vlookup(B931,'Special Names'!A:B,2,FALSE),B931),PlayerValues!E:E,0)),"N/A")</f>
        <v>15330</v>
      </c>
      <c r="B931" s="4" t="s">
        <v>749</v>
      </c>
      <c r="C931" s="4" t="s">
        <v>298</v>
      </c>
      <c r="D931" s="94">
        <v>1381.0</v>
      </c>
    </row>
    <row r="932">
      <c r="A932" s="40">
        <f t="array" ref="A932">IFNA(index(PlayerValues!A:A,match(IFNA(vlookup(B932,'Special Names'!A:B,2,FALSE),B932),PlayerValues!E:E,0)),"N/A")</f>
        <v>15693</v>
      </c>
      <c r="B932" s="4" t="s">
        <v>755</v>
      </c>
      <c r="C932" s="4" t="s">
        <v>283</v>
      </c>
      <c r="D932" s="94">
        <v>1010.0</v>
      </c>
    </row>
    <row r="933">
      <c r="A933" s="40">
        <f t="array" ref="A933">IFNA(index(PlayerValues!A:A,match(IFNA(vlookup(B933,'Special Names'!A:B,2,FALSE),B933),PlayerValues!E:E,0)),"N/A")</f>
        <v>16637</v>
      </c>
      <c r="B933" s="4" t="s">
        <v>736</v>
      </c>
      <c r="C933" s="4" t="s">
        <v>287</v>
      </c>
      <c r="D933" s="94">
        <v>1007.0</v>
      </c>
    </row>
    <row r="934">
      <c r="A934" s="40">
        <f t="array" ref="A934">IFNA(index(PlayerValues!A:A,match(IFNA(vlookup(B934,'Special Names'!A:B,2,FALSE),B934),PlayerValues!E:E,0)),"N/A")</f>
        <v>16451</v>
      </c>
      <c r="B934" s="4" t="s">
        <v>769</v>
      </c>
      <c r="C934" s="4" t="s">
        <v>287</v>
      </c>
      <c r="D934" s="94">
        <v>1005.0</v>
      </c>
    </row>
    <row r="935">
      <c r="A935" s="40">
        <f t="array" ref="A935">IFNA(index(PlayerValues!A:A,match(IFNA(vlookup(B935,'Special Names'!A:B,2,FALSE),B935),PlayerValues!E:E,0)),"N/A")</f>
        <v>15758</v>
      </c>
      <c r="B935" s="4" t="s">
        <v>724</v>
      </c>
      <c r="C935" s="4" t="s">
        <v>287</v>
      </c>
      <c r="D935" s="94">
        <v>998.0</v>
      </c>
    </row>
    <row r="936">
      <c r="A936" s="40">
        <f t="array" ref="A936">IFNA(index(PlayerValues!A:A,match(IFNA(vlookup(B936,'Special Names'!A:B,2,FALSE),B936),PlayerValues!E:E,0)),"N/A")</f>
        <v>16205</v>
      </c>
      <c r="B936" s="4" t="s">
        <v>742</v>
      </c>
      <c r="C936" s="4" t="s">
        <v>287</v>
      </c>
      <c r="D936" s="94">
        <v>997.0</v>
      </c>
    </row>
    <row r="937">
      <c r="A937" s="40">
        <f t="array" ref="A937">IFNA(index(PlayerValues!A:A,match(IFNA(vlookup(B937,'Special Names'!A:B,2,FALSE),B937),PlayerValues!E:E,0)),"N/A")</f>
        <v>15692</v>
      </c>
      <c r="B937" s="4" t="s">
        <v>750</v>
      </c>
      <c r="C937" s="4" t="s">
        <v>283</v>
      </c>
      <c r="D937" s="94">
        <v>996.0</v>
      </c>
    </row>
    <row r="938">
      <c r="A938" s="40">
        <f t="array" ref="A938">IFNA(index(PlayerValues!A:A,match(IFNA(vlookup(B938,'Special Names'!A:B,2,FALSE),B938),PlayerValues!E:E,0)),"N/A")</f>
        <v>15718</v>
      </c>
      <c r="B938" s="4" t="s">
        <v>753</v>
      </c>
      <c r="C938" s="4" t="s">
        <v>278</v>
      </c>
      <c r="D938" s="94">
        <v>990.0</v>
      </c>
    </row>
    <row r="939">
      <c r="A939" s="40">
        <f t="array" ref="A939">IFNA(index(PlayerValues!A:A,match(IFNA(vlookup(B939,'Special Names'!A:B,2,FALSE),B939),PlayerValues!E:E,0)),"N/A")</f>
        <v>16393</v>
      </c>
      <c r="B939" s="4" t="s">
        <v>768</v>
      </c>
      <c r="C939" s="4" t="s">
        <v>287</v>
      </c>
      <c r="D939" s="94">
        <v>983.0</v>
      </c>
    </row>
    <row r="940">
      <c r="A940" s="40">
        <f t="array" ref="A940">IFNA(index(PlayerValues!A:A,match(IFNA(vlookup(B940,'Special Names'!A:B,2,FALSE),B940),PlayerValues!E:E,0)),"N/A")</f>
        <v>16170</v>
      </c>
      <c r="B940" s="4" t="s">
        <v>801</v>
      </c>
      <c r="C940" s="4" t="s">
        <v>278</v>
      </c>
      <c r="D940" s="94">
        <v>980.0</v>
      </c>
    </row>
    <row r="941">
      <c r="A941" s="40">
        <f t="array" ref="A941">IFNA(index(PlayerValues!A:A,match(IFNA(vlookup(B941,'Special Names'!A:B,2,FALSE),B941),PlayerValues!E:E,0)),"N/A")</f>
        <v>16648</v>
      </c>
      <c r="B941" s="4" t="s">
        <v>748</v>
      </c>
      <c r="C941" s="4" t="s">
        <v>298</v>
      </c>
      <c r="D941" s="94">
        <v>1340.0</v>
      </c>
    </row>
    <row r="942">
      <c r="A942" s="40">
        <f t="array" ref="A942">IFNA(index(PlayerValues!A:A,match(IFNA(vlookup(B942,'Special Names'!A:B,2,FALSE),B942),PlayerValues!E:E,0)),"N/A")</f>
        <v>15258</v>
      </c>
      <c r="B942" s="4" t="s">
        <v>757</v>
      </c>
      <c r="C942" s="4" t="s">
        <v>278</v>
      </c>
      <c r="D942" s="94">
        <v>967.0</v>
      </c>
    </row>
    <row r="943">
      <c r="A943" s="40">
        <f t="array" ref="A943">IFNA(index(PlayerValues!A:A,match(IFNA(vlookup(B943,'Special Names'!A:B,2,FALSE),B943),PlayerValues!E:E,0)),"N/A")</f>
        <v>17487</v>
      </c>
      <c r="B943" s="4" t="s">
        <v>692</v>
      </c>
      <c r="C943" s="4" t="s">
        <v>278</v>
      </c>
      <c r="D943" s="94">
        <v>967.0</v>
      </c>
    </row>
    <row r="944">
      <c r="A944" s="40">
        <f t="array" ref="A944">IFNA(index(PlayerValues!A:A,match(IFNA(vlookup(B944,'Special Names'!A:B,2,FALSE),B944),PlayerValues!E:E,0)),"N/A")</f>
        <v>15239</v>
      </c>
      <c r="B944" s="4" t="s">
        <v>802</v>
      </c>
      <c r="C944" s="4" t="s">
        <v>283</v>
      </c>
      <c r="D944" s="94">
        <v>948.0</v>
      </c>
    </row>
    <row r="945">
      <c r="A945" s="40">
        <f t="array" ref="A945">IFNA(index(PlayerValues!A:A,match(IFNA(vlookup(B945,'Special Names'!A:B,2,FALSE),B945),PlayerValues!E:E,0)),"N/A")</f>
        <v>16606</v>
      </c>
      <c r="B945" s="4" t="s">
        <v>743</v>
      </c>
      <c r="C945" s="4" t="s">
        <v>278</v>
      </c>
      <c r="D945" s="94">
        <v>939.0</v>
      </c>
    </row>
    <row r="946">
      <c r="A946" s="40">
        <f t="array" ref="A946">IFNA(index(PlayerValues!A:A,match(IFNA(vlookup(B946,'Special Names'!A:B,2,FALSE),B946),PlayerValues!E:E,0)),"N/A")</f>
        <v>17549</v>
      </c>
      <c r="B946" s="4" t="s">
        <v>720</v>
      </c>
      <c r="C946" s="4" t="s">
        <v>298</v>
      </c>
      <c r="D946" s="94">
        <v>1303.0</v>
      </c>
    </row>
    <row r="947">
      <c r="A947" s="40">
        <f t="array" ref="A947">IFNA(index(PlayerValues!A:A,match(IFNA(vlookup(B947,'Special Names'!A:B,2,FALSE),B947),PlayerValues!E:E,0)),"N/A")</f>
        <v>16219</v>
      </c>
      <c r="B947" s="4" t="s">
        <v>739</v>
      </c>
      <c r="C947" s="4" t="s">
        <v>298</v>
      </c>
      <c r="D947" s="94">
        <v>1300.0</v>
      </c>
    </row>
    <row r="948">
      <c r="A948" s="40">
        <f t="array" ref="A948">IFNA(index(PlayerValues!A:A,match(IFNA(vlookup(B948,'Special Names'!A:B,2,FALSE),B948),PlayerValues!E:E,0)),"N/A")</f>
        <v>16416</v>
      </c>
      <c r="B948" s="4" t="s">
        <v>752</v>
      </c>
      <c r="C948" s="4" t="s">
        <v>287</v>
      </c>
      <c r="D948" s="94">
        <v>929.0</v>
      </c>
    </row>
    <row r="949">
      <c r="A949" s="40">
        <f t="array" ref="A949">IFNA(index(PlayerValues!A:A,match(IFNA(vlookup(B949,'Special Names'!A:B,2,FALSE),B949),PlayerValues!E:E,0)),"N/A")</f>
        <v>16678</v>
      </c>
      <c r="B949" s="4" t="s">
        <v>758</v>
      </c>
      <c r="C949" s="4" t="s">
        <v>278</v>
      </c>
      <c r="D949" s="94">
        <v>921.0</v>
      </c>
    </row>
    <row r="950">
      <c r="A950" s="40">
        <f t="array" ref="A950">IFNA(index(PlayerValues!A:A,match(IFNA(vlookup(B950,'Special Names'!A:B,2,FALSE),B950),PlayerValues!E:E,0)),"N/A")</f>
        <v>16599</v>
      </c>
      <c r="B950" s="4" t="s">
        <v>737</v>
      </c>
      <c r="C950" s="4" t="s">
        <v>278</v>
      </c>
      <c r="D950" s="94">
        <v>919.0</v>
      </c>
    </row>
    <row r="951">
      <c r="A951" s="40">
        <f t="array" ref="A951">IFNA(index(PlayerValues!A:A,match(IFNA(vlookup(B951,'Special Names'!A:B,2,FALSE),B951),PlayerValues!E:E,0)),"N/A")</f>
        <v>16858</v>
      </c>
      <c r="B951" s="4" t="s">
        <v>754</v>
      </c>
      <c r="C951" s="4" t="s">
        <v>287</v>
      </c>
      <c r="D951" s="94">
        <v>916.0</v>
      </c>
    </row>
    <row r="952">
      <c r="A952" s="40">
        <f t="array" ref="A952">IFNA(index(PlayerValues!A:A,match(IFNA(vlookup(B952,'Special Names'!A:B,2,FALSE),B952),PlayerValues!E:E,0)),"N/A")</f>
        <v>17479</v>
      </c>
      <c r="B952" s="4" t="s">
        <v>756</v>
      </c>
      <c r="C952" s="4" t="s">
        <v>278</v>
      </c>
      <c r="D952" s="94">
        <v>908.0</v>
      </c>
    </row>
    <row r="953">
      <c r="A953" s="40">
        <f t="array" ref="A953">IFNA(index(PlayerValues!A:A,match(IFNA(vlookup(B953,'Special Names'!A:B,2,FALSE),B953),PlayerValues!E:E,0)),"N/A")</f>
        <v>15626</v>
      </c>
      <c r="B953" s="4" t="s">
        <v>766</v>
      </c>
      <c r="C953" s="4" t="s">
        <v>298</v>
      </c>
      <c r="D953" s="94">
        <v>1272.0</v>
      </c>
    </row>
    <row r="954">
      <c r="A954" s="40">
        <f t="array" ref="A954">IFNA(index(PlayerValues!A:A,match(IFNA(vlookup(B954,'Special Names'!A:B,2,FALSE),B954),PlayerValues!E:E,0)),"N/A")</f>
        <v>15785</v>
      </c>
      <c r="B954" s="4" t="s">
        <v>763</v>
      </c>
      <c r="C954" s="4" t="s">
        <v>287</v>
      </c>
      <c r="D954" s="94">
        <v>898.0</v>
      </c>
    </row>
    <row r="955">
      <c r="A955" s="40">
        <f t="array" ref="A955">IFNA(index(PlayerValues!A:A,match(IFNA(vlookup(B955,'Special Names'!A:B,2,FALSE),B955),PlayerValues!E:E,0)),"N/A")</f>
        <v>15720</v>
      </c>
      <c r="B955" s="4" t="s">
        <v>795</v>
      </c>
      <c r="C955" s="4" t="s">
        <v>278</v>
      </c>
      <c r="D955" s="94">
        <v>897.0</v>
      </c>
    </row>
    <row r="956">
      <c r="A956" s="40">
        <f t="array" ref="A956">IFNA(index(PlayerValues!A:A,match(IFNA(vlookup(B956,'Special Names'!A:B,2,FALSE),B956),PlayerValues!E:E,0)),"N/A")</f>
        <v>16623</v>
      </c>
      <c r="B956" s="4" t="s">
        <v>803</v>
      </c>
      <c r="C956" s="4" t="s">
        <v>287</v>
      </c>
      <c r="D956" s="94">
        <v>894.0</v>
      </c>
    </row>
    <row r="957">
      <c r="A957" s="40">
        <f t="array" ref="A957">IFNA(index(PlayerValues!A:A,match(IFNA(vlookup(B957,'Special Names'!A:B,2,FALSE),B957),PlayerValues!E:E,0)),"N/A")</f>
        <v>15766</v>
      </c>
      <c r="B957" s="4" t="s">
        <v>759</v>
      </c>
      <c r="C957" s="4" t="s">
        <v>287</v>
      </c>
      <c r="D957" s="94">
        <v>889.0</v>
      </c>
    </row>
    <row r="958">
      <c r="A958" s="40">
        <f t="array" ref="A958">IFNA(index(PlayerValues!A:A,match(IFNA(vlookup(B958,'Special Names'!A:B,2,FALSE),B958),PlayerValues!E:E,0)),"N/A")</f>
        <v>17175</v>
      </c>
      <c r="B958" s="4" t="s">
        <v>747</v>
      </c>
      <c r="C958" s="4" t="s">
        <v>287</v>
      </c>
      <c r="D958" s="94">
        <v>880.0</v>
      </c>
    </row>
    <row r="959">
      <c r="A959" s="40">
        <f t="array" ref="A959">IFNA(index(PlayerValues!A:A,match(IFNA(vlookup(B959,'Special Names'!A:B,2,FALSE),B959),PlayerValues!E:E,0)),"N/A")</f>
        <v>13193</v>
      </c>
      <c r="B959" s="4" t="s">
        <v>773</v>
      </c>
      <c r="C959" s="4" t="s">
        <v>298</v>
      </c>
      <c r="D959" s="94">
        <v>1235.0</v>
      </c>
    </row>
    <row r="960">
      <c r="A960" s="40">
        <f t="array" ref="A960">IFNA(index(PlayerValues!A:A,match(IFNA(vlookup(B960,'Special Names'!A:B,2,FALSE),B960),PlayerValues!E:E,0)),"N/A")</f>
        <v>17654</v>
      </c>
      <c r="B960" s="4" t="s">
        <v>767</v>
      </c>
      <c r="C960" s="4" t="s">
        <v>283</v>
      </c>
      <c r="D960" s="94">
        <v>860.0</v>
      </c>
    </row>
    <row r="961">
      <c r="A961" s="40">
        <f t="array" ref="A961">IFNA(index(PlayerValues!A:A,match(IFNA(vlookup(B961,'Special Names'!A:B,2,FALSE),B961),PlayerValues!E:E,0)),"N/A")</f>
        <v>14057</v>
      </c>
      <c r="B961" s="4" t="s">
        <v>765</v>
      </c>
      <c r="C961" s="4" t="s">
        <v>283</v>
      </c>
      <c r="D961" s="94">
        <v>856.0</v>
      </c>
    </row>
    <row r="962">
      <c r="A962" s="40">
        <f t="array" ref="A962">IFNA(index(PlayerValues!A:A,match(IFNA(vlookup(B962,'Special Names'!A:B,2,FALSE),B962),PlayerValues!E:E,0)),"N/A")</f>
        <v>17541</v>
      </c>
      <c r="B962" s="4" t="s">
        <v>616</v>
      </c>
      <c r="C962" s="4" t="s">
        <v>287</v>
      </c>
      <c r="D962" s="94">
        <v>856.0</v>
      </c>
    </row>
    <row r="963">
      <c r="A963" s="40">
        <f t="array" ref="A963">IFNA(index(PlayerValues!A:A,match(IFNA(vlookup(B963,'Special Names'!A:B,2,FALSE),B963),PlayerValues!E:E,0)),"N/A")</f>
        <v>14118</v>
      </c>
      <c r="B963" s="4" t="s">
        <v>771</v>
      </c>
      <c r="C963" s="4" t="s">
        <v>287</v>
      </c>
      <c r="D963" s="94">
        <v>854.0</v>
      </c>
    </row>
    <row r="964">
      <c r="A964" s="40">
        <f t="array" ref="A964">IFNA(index(PlayerValues!A:A,match(IFNA(vlookup(B964,'Special Names'!A:B,2,FALSE),B964),PlayerValues!E:E,0)),"N/A")</f>
        <v>16624</v>
      </c>
      <c r="B964" s="4" t="s">
        <v>796</v>
      </c>
      <c r="C964" s="4" t="s">
        <v>287</v>
      </c>
      <c r="D964" s="94">
        <v>848.0</v>
      </c>
    </row>
    <row r="965">
      <c r="A965" s="40">
        <f t="array" ref="A965">IFNA(index(PlayerValues!A:A,match(IFNA(vlookup(B965,'Special Names'!A:B,2,FALSE),B965),PlayerValues!E:E,0)),"N/A")</f>
        <v>17486</v>
      </c>
      <c r="B965" s="4" t="s">
        <v>695</v>
      </c>
      <c r="C965" s="4" t="s">
        <v>278</v>
      </c>
      <c r="D965" s="94">
        <v>843.0</v>
      </c>
    </row>
    <row r="966">
      <c r="A966" s="40">
        <f t="array" ref="A966">IFNA(index(PlayerValues!A:A,match(IFNA(vlookup(B966,'Special Names'!A:B,2,FALSE),B966),PlayerValues!E:E,0)),"N/A")</f>
        <v>17627</v>
      </c>
      <c r="B966" s="4" t="s">
        <v>684</v>
      </c>
      <c r="C966" s="4" t="s">
        <v>298</v>
      </c>
      <c r="D966" s="94">
        <v>1209.0</v>
      </c>
    </row>
    <row r="967">
      <c r="A967" s="40">
        <f t="array" ref="A967">IFNA(index(PlayerValues!A:A,match(IFNA(vlookup(B967,'Special Names'!A:B,2,FALSE),B967),PlayerValues!E:E,0)),"N/A")</f>
        <v>12785</v>
      </c>
      <c r="B967" s="4" t="s">
        <v>772</v>
      </c>
      <c r="C967" s="4" t="s">
        <v>287</v>
      </c>
      <c r="D967" s="94">
        <v>816.0</v>
      </c>
    </row>
    <row r="968">
      <c r="A968" s="40">
        <f t="array" ref="A968">IFNA(index(PlayerValues!A:A,match(IFNA(vlookup(B968,'Special Names'!A:B,2,FALSE),B968),PlayerValues!E:E,0)),"N/A")</f>
        <v>16773</v>
      </c>
      <c r="B968" s="4" t="s">
        <v>783</v>
      </c>
      <c r="C968" s="4" t="s">
        <v>278</v>
      </c>
      <c r="D968" s="94">
        <v>813.0</v>
      </c>
    </row>
    <row r="969">
      <c r="A969" s="40">
        <f t="array" ref="A969">IFNA(index(PlayerValues!A:A,match(IFNA(vlookup(B969,'Special Names'!A:B,2,FALSE),B969),PlayerValues!E:E,0)),"N/A")</f>
        <v>14223</v>
      </c>
      <c r="B969" s="4" t="s">
        <v>785</v>
      </c>
      <c r="C969" s="4" t="s">
        <v>278</v>
      </c>
      <c r="D969" s="94">
        <v>806.0</v>
      </c>
    </row>
    <row r="970">
      <c r="A970" s="40">
        <f t="array" ref="A970">IFNA(index(PlayerValues!A:A,match(IFNA(vlookup(B970,'Special Names'!A:B,2,FALSE),B970),PlayerValues!E:E,0)),"N/A")</f>
        <v>13133</v>
      </c>
      <c r="B970" s="4" t="s">
        <v>764</v>
      </c>
      <c r="C970" s="4" t="s">
        <v>278</v>
      </c>
      <c r="D970" s="94">
        <v>783.0</v>
      </c>
    </row>
    <row r="971">
      <c r="A971" s="40">
        <f t="array" ref="A971">IFNA(index(PlayerValues!A:A,match(IFNA(vlookup(B971,'Special Names'!A:B,2,FALSE),B971),PlayerValues!E:E,0)),"N/A")</f>
        <v>16751</v>
      </c>
      <c r="B971" s="4" t="s">
        <v>762</v>
      </c>
      <c r="C971" s="4" t="s">
        <v>287</v>
      </c>
      <c r="D971" s="94">
        <v>732.0</v>
      </c>
    </row>
    <row r="972">
      <c r="A972" s="40">
        <f t="array" ref="A972">IFNA(index(PlayerValues!A:A,match(IFNA(vlookup(B972,'Special Names'!A:B,2,FALSE),B972),PlayerValues!E:E,0)),"N/A")</f>
        <v>16625</v>
      </c>
      <c r="B972" s="4" t="s">
        <v>778</v>
      </c>
      <c r="C972" s="4" t="s">
        <v>287</v>
      </c>
      <c r="D972" s="94">
        <v>729.0</v>
      </c>
    </row>
    <row r="973">
      <c r="A973" s="40">
        <f t="array" ref="A973">IFNA(index(PlayerValues!A:A,match(IFNA(vlookup(B973,'Special Names'!A:B,2,FALSE),B973),PlayerValues!E:E,0)),"N/A")</f>
        <v>15263</v>
      </c>
      <c r="B973" s="4" t="s">
        <v>804</v>
      </c>
      <c r="C973" s="4" t="s">
        <v>278</v>
      </c>
      <c r="D973" s="94">
        <v>712.0</v>
      </c>
    </row>
    <row r="974">
      <c r="A974" s="40">
        <f t="array" ref="A974">IFNA(index(PlayerValues!A:A,match(IFNA(vlookup(B974,'Special Names'!A:B,2,FALSE),B974),PlayerValues!E:E,0)),"N/A")</f>
        <v>17337</v>
      </c>
      <c r="B974" s="4" t="s">
        <v>793</v>
      </c>
      <c r="C974" s="4" t="s">
        <v>278</v>
      </c>
      <c r="D974" s="94">
        <v>703.0</v>
      </c>
    </row>
    <row r="975">
      <c r="A975" s="40">
        <f t="array" ref="A975">IFNA(index(PlayerValues!A:A,match(IFNA(vlookup(B975,'Special Names'!A:B,2,FALSE),B975),PlayerValues!E:E,0)),"N/A")</f>
        <v>17545</v>
      </c>
      <c r="B975" s="4" t="s">
        <v>719</v>
      </c>
      <c r="C975" s="4" t="s">
        <v>298</v>
      </c>
      <c r="D975" s="94">
        <v>1052.0</v>
      </c>
    </row>
    <row r="976">
      <c r="A976" s="40">
        <f t="array" ref="A976">IFNA(index(PlayerValues!A:A,match(IFNA(vlookup(B976,'Special Names'!A:B,2,FALSE),B976),PlayerValues!E:E,0)),"N/A")</f>
        <v>15723</v>
      </c>
      <c r="B976" s="4" t="s">
        <v>798</v>
      </c>
      <c r="C976" s="4" t="s">
        <v>278</v>
      </c>
      <c r="D976" s="94">
        <v>636.0</v>
      </c>
    </row>
    <row r="977">
      <c r="A977" s="40">
        <f t="array" ref="A977">IFNA(index(PlayerValues!A:A,match(IFNA(vlookup(B977,'Special Names'!A:B,2,FALSE),B977),PlayerValues!E:E,0)),"N/A")</f>
        <v>16299</v>
      </c>
      <c r="B977" s="4" t="s">
        <v>787</v>
      </c>
      <c r="C977" s="4" t="s">
        <v>287</v>
      </c>
      <c r="D977" s="94">
        <v>633.0</v>
      </c>
    </row>
    <row r="978">
      <c r="A978" s="40">
        <f t="array" ref="A978">IFNA(index(PlayerValues!A:A,match(IFNA(vlookup(B978,'Special Names'!A:B,2,FALSE),B978),PlayerValues!E:E,0)),"N/A")</f>
        <v>16686</v>
      </c>
      <c r="B978" s="4" t="s">
        <v>805</v>
      </c>
      <c r="C978" s="4" t="s">
        <v>287</v>
      </c>
      <c r="D978" s="94">
        <v>622.0</v>
      </c>
    </row>
    <row r="979">
      <c r="A979" s="40">
        <f t="array" ref="A979">IFNA(index(PlayerValues!A:A,match(IFNA(vlookup(B979,'Special Names'!A:B,2,FALSE),B979),PlayerValues!E:E,0)),"N/A")</f>
        <v>13143</v>
      </c>
      <c r="B979" s="4" t="s">
        <v>786</v>
      </c>
      <c r="C979" s="4" t="s">
        <v>278</v>
      </c>
      <c r="D979" s="94">
        <v>621.0</v>
      </c>
    </row>
    <row r="980">
      <c r="A980" s="40">
        <f t="array" ref="A980">IFNA(index(PlayerValues!A:A,match(IFNA(vlookup(B980,'Special Names'!A:B,2,FALSE),B980),PlayerValues!E:E,0)),"N/A")</f>
        <v>16957</v>
      </c>
      <c r="B980" s="4" t="s">
        <v>806</v>
      </c>
      <c r="C980" s="4" t="s">
        <v>278</v>
      </c>
      <c r="D980" s="94">
        <v>616.0</v>
      </c>
    </row>
    <row r="981">
      <c r="A981" s="40">
        <f t="array" ref="A981">IFNA(index(PlayerValues!A:A,match(IFNA(vlookup(B981,'Special Names'!A:B,2,FALSE),B981),PlayerValues!E:E,0)),"N/A")</f>
        <v>16413</v>
      </c>
      <c r="B981" s="4" t="s">
        <v>781</v>
      </c>
      <c r="C981" s="4" t="s">
        <v>287</v>
      </c>
      <c r="D981" s="94">
        <v>599.0</v>
      </c>
    </row>
    <row r="982">
      <c r="A982" s="40">
        <f t="array" ref="A982">IFNA(index(PlayerValues!A:A,match(IFNA(vlookup(B982,'Special Names'!A:B,2,FALSE),B982),PlayerValues!E:E,0)),"N/A")</f>
        <v>14864</v>
      </c>
      <c r="B982" s="4" t="s">
        <v>789</v>
      </c>
      <c r="C982" s="4" t="s">
        <v>287</v>
      </c>
      <c r="D982" s="94">
        <v>593.0</v>
      </c>
    </row>
    <row r="983">
      <c r="A983" s="40">
        <f t="array" ref="A983">IFNA(index(PlayerValues!A:A,match(IFNA(vlookup(B983,'Special Names'!A:B,2,FALSE),B983),PlayerValues!E:E,0)),"N/A")</f>
        <v>17038</v>
      </c>
      <c r="B983" s="4" t="s">
        <v>774</v>
      </c>
      <c r="C983" s="4" t="s">
        <v>283</v>
      </c>
      <c r="D983" s="94">
        <v>576.0</v>
      </c>
    </row>
    <row r="984">
      <c r="A984" s="40">
        <f t="array" ref="A984">IFNA(index(PlayerValues!A:A,match(IFNA(vlookup(B984,'Special Names'!A:B,2,FALSE),B984),PlayerValues!E:E,0)),"N/A")</f>
        <v>17232</v>
      </c>
      <c r="B984" s="4" t="s">
        <v>784</v>
      </c>
      <c r="C984" s="4" t="s">
        <v>287</v>
      </c>
      <c r="D984" s="94">
        <v>574.0</v>
      </c>
    </row>
    <row r="985">
      <c r="A985" s="40">
        <f t="array" ref="A985">IFNA(index(PlayerValues!A:A,match(IFNA(vlookup(B985,'Special Names'!A:B,2,FALSE),B985),PlayerValues!E:E,0)),"N/A")</f>
        <v>17542</v>
      </c>
      <c r="B985" s="4" t="s">
        <v>685</v>
      </c>
      <c r="C985" s="4" t="s">
        <v>287</v>
      </c>
      <c r="D985" s="94">
        <v>558.0</v>
      </c>
    </row>
    <row r="986">
      <c r="A986" s="40">
        <f t="array" ref="A986">IFNA(index(PlayerValues!A:A,match(IFNA(vlookup(B986,'Special Names'!A:B,2,FALSE),B986),PlayerValues!E:E,0)),"N/A")</f>
        <v>14805</v>
      </c>
      <c r="B986" s="4" t="s">
        <v>770</v>
      </c>
      <c r="C986" s="4" t="s">
        <v>278</v>
      </c>
      <c r="D986" s="94">
        <v>552.0</v>
      </c>
    </row>
    <row r="987">
      <c r="A987" s="40">
        <f t="array" ref="A987">IFNA(index(PlayerValues!A:A,match(IFNA(vlookup(B987,'Special Names'!A:B,2,FALSE),B987),PlayerValues!E:E,0)),"N/A")</f>
        <v>16613</v>
      </c>
      <c r="B987" s="4" t="s">
        <v>782</v>
      </c>
      <c r="C987" s="4" t="s">
        <v>278</v>
      </c>
      <c r="D987" s="94">
        <v>536.0</v>
      </c>
    </row>
    <row r="988">
      <c r="A988" s="40">
        <f t="array" ref="A988">IFNA(index(PlayerValues!A:A,match(IFNA(vlookup(B988,'Special Names'!A:B,2,FALSE),B988),PlayerValues!E:E,0)),"N/A")</f>
        <v>15796</v>
      </c>
      <c r="B988" s="4" t="s">
        <v>794</v>
      </c>
      <c r="C988" s="4" t="s">
        <v>298</v>
      </c>
      <c r="D988" s="94">
        <v>877.0</v>
      </c>
    </row>
    <row r="989">
      <c r="A989" s="40">
        <f t="array" ref="A989">IFNA(index(PlayerValues!A:A,match(IFNA(vlookup(B989,'Special Names'!A:B,2,FALSE),B989),PlayerValues!E:E,0)),"N/A")</f>
        <v>13176</v>
      </c>
      <c r="B989" s="4" t="s">
        <v>807</v>
      </c>
      <c r="C989" s="4" t="s">
        <v>287</v>
      </c>
      <c r="D989" s="94">
        <v>506.0</v>
      </c>
    </row>
    <row r="990">
      <c r="A990" s="40">
        <f t="array" ref="A990">IFNA(index(PlayerValues!A:A,match(IFNA(vlookup(B990,'Special Names'!A:B,2,FALSE),B990),PlayerValues!E:E,0)),"N/A")</f>
        <v>15271</v>
      </c>
      <c r="B990" s="4" t="s">
        <v>741</v>
      </c>
      <c r="C990" s="4" t="s">
        <v>278</v>
      </c>
      <c r="D990" s="94">
        <v>501.0</v>
      </c>
    </row>
    <row r="991">
      <c r="A991" s="40">
        <f t="array" ref="A991">IFNA(index(PlayerValues!A:A,match(IFNA(vlookup(B991,'Special Names'!A:B,2,FALSE),B991),PlayerValues!E:E,0)),"N/A")</f>
        <v>17348</v>
      </c>
      <c r="B991" s="4" t="s">
        <v>797</v>
      </c>
      <c r="C991" s="4" t="s">
        <v>278</v>
      </c>
      <c r="D991" s="94">
        <v>501.0</v>
      </c>
    </row>
    <row r="992">
      <c r="A992" s="40">
        <f t="array" ref="A992">IFNA(index(PlayerValues!A:A,match(IFNA(vlookup(B992,'Special Names'!A:B,2,FALSE),B992),PlayerValues!E:E,0)),"N/A")</f>
        <v>14858</v>
      </c>
      <c r="B992" s="4" t="s">
        <v>799</v>
      </c>
      <c r="C992" s="4" t="s">
        <v>287</v>
      </c>
      <c r="D992" s="94">
        <v>497.0</v>
      </c>
    </row>
    <row r="993">
      <c r="A993" s="40">
        <f t="array" ref="A993">IFNA(index(PlayerValues!A:A,match(IFNA(vlookup(B993,'Special Names'!A:B,2,FALSE),B993),PlayerValues!E:E,0)),"N/A")</f>
        <v>13641</v>
      </c>
      <c r="B993" s="4" t="s">
        <v>808</v>
      </c>
      <c r="C993" s="4" t="s">
        <v>287</v>
      </c>
      <c r="D993" s="94">
        <v>496.0</v>
      </c>
    </row>
    <row r="994">
      <c r="A994" s="40">
        <f t="array" ref="A994">IFNA(index(PlayerValues!A:A,match(IFNA(vlookup(B994,'Special Names'!A:B,2,FALSE),B994),PlayerValues!E:E,0)),"N/A")</f>
        <v>14209</v>
      </c>
      <c r="B994" s="4" t="s">
        <v>809</v>
      </c>
      <c r="C994" s="4" t="s">
        <v>298</v>
      </c>
      <c r="D994" s="94">
        <v>836.0</v>
      </c>
    </row>
    <row r="995">
      <c r="A995" s="40">
        <f t="array" ref="A995">IFNA(index(PlayerValues!A:A,match(IFNA(vlookup(B995,'Special Names'!A:B,2,FALSE),B995),PlayerValues!E:E,0)),"N/A")</f>
        <v>17243</v>
      </c>
      <c r="B995" s="4" t="s">
        <v>810</v>
      </c>
      <c r="C995" s="4" t="s">
        <v>298</v>
      </c>
      <c r="D995" s="94">
        <v>832.0</v>
      </c>
    </row>
    <row r="996">
      <c r="A996" s="40">
        <f t="array" ref="A996">IFNA(index(PlayerValues!A:A,match(IFNA(vlookup(B996,'Special Names'!A:B,2,FALSE),B996),PlayerValues!E:E,0)),"N/A")</f>
        <v>14113</v>
      </c>
      <c r="B996" s="4" t="s">
        <v>788</v>
      </c>
      <c r="C996" s="4" t="s">
        <v>287</v>
      </c>
      <c r="D996" s="94">
        <v>484.0</v>
      </c>
    </row>
    <row r="997">
      <c r="A997" s="40">
        <f t="array" ref="A997">IFNA(index(PlayerValues!A:A,match(IFNA(vlookup(B997,'Special Names'!A:B,2,FALSE),B997),PlayerValues!E:E,0)),"N/A")</f>
        <v>10413</v>
      </c>
      <c r="B997" s="4" t="s">
        <v>811</v>
      </c>
      <c r="C997" s="4" t="s">
        <v>283</v>
      </c>
      <c r="D997" s="94">
        <v>482.0</v>
      </c>
    </row>
    <row r="998">
      <c r="A998" s="40">
        <f t="array" ref="A998">IFNA(index(PlayerValues!A:A,match(IFNA(vlookup(B998,'Special Names'!A:B,2,FALSE),B998),PlayerValues!E:E,0)),"N/A")</f>
        <v>16176</v>
      </c>
      <c r="B998" s="4" t="s">
        <v>812</v>
      </c>
      <c r="C998" s="4" t="s">
        <v>278</v>
      </c>
      <c r="D998" s="94">
        <v>482.0</v>
      </c>
    </row>
    <row r="999">
      <c r="A999" s="40">
        <f t="array" ref="A999">IFNA(index(PlayerValues!A:A,match(IFNA(vlookup(B999,'Special Names'!A:B,2,FALSE),B999),PlayerValues!E:E,0)),"N/A")</f>
        <v>14358</v>
      </c>
      <c r="B999" s="4" t="s">
        <v>813</v>
      </c>
      <c r="C999" s="4" t="s">
        <v>283</v>
      </c>
      <c r="D999" s="94">
        <v>479.0</v>
      </c>
    </row>
    <row r="1000">
      <c r="A1000" s="40">
        <f t="array" ref="A1000">IFNA(index(PlayerValues!A:A,match(IFNA(vlookup(B1000,'Special Names'!A:B,2,FALSE),B1000),PlayerValues!E:E,0)),"N/A")</f>
        <v>17709</v>
      </c>
      <c r="B1000" s="4" t="s">
        <v>814</v>
      </c>
      <c r="C1000" s="4" t="s">
        <v>278</v>
      </c>
      <c r="D1000" s="94">
        <v>9.0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9999.0</v>
      </c>
    </row>
    <row r="1002">
      <c r="A1002" s="40">
        <f t="array" ref="A1002">IFNA(index(PlayerValues!A:A,match(IFNA(vlookup(B1002,'Special Names'!A:B,2,FALSE),B1002),PlayerValues!E:E,0)),"N/A")</f>
        <v>16162</v>
      </c>
      <c r="B1002" s="4" t="s">
        <v>281</v>
      </c>
      <c r="C1002" s="4" t="s">
        <v>278</v>
      </c>
      <c r="D1002" s="94">
        <v>9999.0</v>
      </c>
    </row>
    <row r="1003">
      <c r="A1003" s="40">
        <f t="array" ref="A1003">IFNA(index(PlayerValues!A:A,match(IFNA(vlookup(B1003,'Special Names'!A:B,2,FALSE),B1003),PlayerValues!E:E,0)),"N/A")</f>
        <v>16161</v>
      </c>
      <c r="B1003" s="4" t="s">
        <v>277</v>
      </c>
      <c r="C1003" s="4" t="s">
        <v>278</v>
      </c>
      <c r="D1003" s="94">
        <v>9990.0</v>
      </c>
    </row>
    <row r="1004">
      <c r="A1004" s="40">
        <f t="array" ref="A1004">IFNA(index(PlayerValues!A:A,match(IFNA(vlookup(B1004,'Special Names'!A:B,2,FALSE),B1004),PlayerValues!E:E,0)),"N/A")</f>
        <v>15281</v>
      </c>
      <c r="B1004" s="4" t="s">
        <v>286</v>
      </c>
      <c r="C1004" s="4" t="s">
        <v>287</v>
      </c>
      <c r="D1004" s="94">
        <v>9989.0</v>
      </c>
    </row>
    <row r="1005">
      <c r="A1005" s="40">
        <f t="array" ref="A1005">IFNA(index(PlayerValues!A:A,match(IFNA(vlookup(B1005,'Special Names'!A:B,2,FALSE),B1005),PlayerValues!E:E,0)),"N/A")</f>
        <v>16185</v>
      </c>
      <c r="B1005" s="4" t="s">
        <v>290</v>
      </c>
      <c r="C1005" s="4" t="s">
        <v>287</v>
      </c>
      <c r="D1005" s="94">
        <v>9313.0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9252.0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8785.0</v>
      </c>
    </row>
    <row r="1008">
      <c r="A1008" s="40">
        <f t="array" ref="A1008">IFNA(index(PlayerValues!A:A,match(IFNA(vlookup(B1008,'Special Names'!A:B,2,FALSE),B1008),PlayerValues!E:E,0)),"N/A")</f>
        <v>16641</v>
      </c>
      <c r="B1008" s="4" t="s">
        <v>297</v>
      </c>
      <c r="C1008" s="4" t="s">
        <v>298</v>
      </c>
      <c r="D1008" s="94">
        <v>8999.0</v>
      </c>
    </row>
    <row r="1009">
      <c r="A1009" s="40">
        <f t="array" ref="A1009">IFNA(index(PlayerValues!A:A,match(IFNA(vlookup(B1009,'Special Names'!A:B,2,FALSE),B1009),PlayerValues!E:E,0)),"N/A")</f>
        <v>15287</v>
      </c>
      <c r="B1009" s="4" t="s">
        <v>299</v>
      </c>
      <c r="C1009" s="4" t="s">
        <v>287</v>
      </c>
      <c r="D1009" s="94">
        <v>7867.0</v>
      </c>
    </row>
    <row r="1010">
      <c r="A1010" s="40">
        <f t="array" ref="A1010">IFNA(index(PlayerValues!A:A,match(IFNA(vlookup(B1010,'Special Names'!A:B,2,FALSE),B1010),PlayerValues!E:E,0)),"N/A")</f>
        <v>16579</v>
      </c>
      <c r="B1010" s="4" t="s">
        <v>302</v>
      </c>
      <c r="C1010" s="4" t="s">
        <v>283</v>
      </c>
      <c r="D1010" s="94">
        <v>7834.0</v>
      </c>
    </row>
    <row r="1011">
      <c r="A1011" s="40">
        <f t="array" ref="A1011">IFNA(index(PlayerValues!A:A,match(IFNA(vlookup(B1011,'Special Names'!A:B,2,FALSE),B1011),PlayerValues!E:E,0)),"N/A")</f>
        <v>17042</v>
      </c>
      <c r="B1011" s="4" t="s">
        <v>314</v>
      </c>
      <c r="C1011" s="4" t="s">
        <v>278</v>
      </c>
      <c r="D1011" s="94">
        <v>7647.0</v>
      </c>
    </row>
    <row r="1012">
      <c r="A1012" s="40">
        <f t="array" ref="A1012">IFNA(index(PlayerValues!A:A,match(IFNA(vlookup(B1012,'Special Names'!A:B,2,FALSE),B1012),PlayerValues!E:E,0)),"N/A")</f>
        <v>13593</v>
      </c>
      <c r="B1012" s="4" t="s">
        <v>305</v>
      </c>
      <c r="C1012" s="4" t="s">
        <v>283</v>
      </c>
      <c r="D1012" s="94">
        <v>7630.0</v>
      </c>
    </row>
    <row r="1013">
      <c r="A1013" s="40">
        <f t="array" ref="A1013">IFNA(index(PlayerValues!A:A,match(IFNA(vlookup(B1013,'Special Names'!A:B,2,FALSE),B1013),PlayerValues!E:E,0)),"N/A")</f>
        <v>16581</v>
      </c>
      <c r="B1013" s="4" t="s">
        <v>315</v>
      </c>
      <c r="C1013" s="4" t="s">
        <v>283</v>
      </c>
      <c r="D1013" s="94">
        <v>7629.0</v>
      </c>
    </row>
    <row r="1014">
      <c r="A1014" s="40">
        <f t="array" ref="A1014">IFNA(index(PlayerValues!A:A,match(IFNA(vlookup(B1014,'Special Names'!A:B,2,FALSE),B1014),PlayerValues!E:E,0)),"N/A")</f>
        <v>14836</v>
      </c>
      <c r="B1014" s="4" t="s">
        <v>306</v>
      </c>
      <c r="C1014" s="4" t="s">
        <v>287</v>
      </c>
      <c r="D1014" s="94">
        <v>7614.0</v>
      </c>
    </row>
    <row r="1015">
      <c r="A1015" s="40">
        <f t="array" ref="A1015">IFNA(index(PlayerValues!A:A,match(IFNA(vlookup(B1015,'Special Names'!A:B,2,FALSE),B1015),PlayerValues!E:E,0)),"N/A")</f>
        <v>17472</v>
      </c>
      <c r="B1015" s="4" t="s">
        <v>310</v>
      </c>
      <c r="C1015" s="4" t="s">
        <v>278</v>
      </c>
      <c r="D1015" s="94">
        <v>7468.0</v>
      </c>
    </row>
    <row r="1016">
      <c r="A1016" s="40">
        <f t="array" ref="A1016">IFNA(index(PlayerValues!A:A,match(IFNA(vlookup(B1016,'Special Names'!A:B,2,FALSE),B1016),PlayerValues!E:E,0)),"N/A")</f>
        <v>14777</v>
      </c>
      <c r="B1016" s="4" t="s">
        <v>318</v>
      </c>
      <c r="C1016" s="4" t="s">
        <v>283</v>
      </c>
      <c r="D1016" s="94">
        <v>7426.0</v>
      </c>
    </row>
    <row r="1017">
      <c r="A1017" s="40">
        <f t="array" ref="A1017">IFNA(index(PlayerValues!A:A,match(IFNA(vlookup(B1017,'Special Names'!A:B,2,FALSE),B1017),PlayerValues!E:E,0)),"N/A")</f>
        <v>15794</v>
      </c>
      <c r="B1017" s="4" t="s">
        <v>313</v>
      </c>
      <c r="C1017" s="4" t="s">
        <v>298</v>
      </c>
      <c r="D1017" s="94">
        <v>8169.0</v>
      </c>
    </row>
    <row r="1018">
      <c r="A1018" s="40">
        <f t="array" ref="A1018">IFNA(index(PlayerValues!A:A,match(IFNA(vlookup(B1018,'Special Names'!A:B,2,FALSE),B1018),PlayerValues!E:E,0)),"N/A")</f>
        <v>16615</v>
      </c>
      <c r="B1018" s="4" t="s">
        <v>309</v>
      </c>
      <c r="C1018" s="4" t="s">
        <v>287</v>
      </c>
      <c r="D1018" s="94">
        <v>7230.0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7133.0</v>
      </c>
    </row>
    <row r="1020">
      <c r="A1020" s="40" t="str">
        <f t="array" ref="A1020">IFNA(index(PlayerValues!A:A,match(IFNA(vlookup(B1020,'Special Names'!A:B,2,FALSE),B1020),PlayerValues!E:E,0)),"N/A")</f>
        <v>N/A</v>
      </c>
      <c r="B1020" s="4" t="s">
        <v>92</v>
      </c>
      <c r="C1020" s="4" t="s">
        <v>325</v>
      </c>
      <c r="D1020" s="94">
        <v>7108.0</v>
      </c>
    </row>
    <row r="1021">
      <c r="A1021" s="40">
        <f t="array" ref="A1021">IFNA(index(PlayerValues!A:A,match(IFNA(vlookup(B1021,'Special Names'!A:B,2,FALSE),B1021),PlayerValues!E:E,0)),"N/A")</f>
        <v>14779</v>
      </c>
      <c r="B1021" s="4" t="s">
        <v>327</v>
      </c>
      <c r="C1021" s="4" t="s">
        <v>283</v>
      </c>
      <c r="D1021" s="94">
        <v>7041.0</v>
      </c>
    </row>
    <row r="1022">
      <c r="A1022" s="40">
        <f t="array" ref="A1022">IFNA(index(PlayerValues!A:A,match(IFNA(vlookup(B1022,'Special Names'!A:B,2,FALSE),B1022),PlayerValues!E:E,0)),"N/A")</f>
        <v>15751</v>
      </c>
      <c r="B1022" s="4" t="s">
        <v>328</v>
      </c>
      <c r="C1022" s="4" t="s">
        <v>287</v>
      </c>
      <c r="D1022" s="94">
        <v>7005.0</v>
      </c>
    </row>
    <row r="1023">
      <c r="A1023" s="40">
        <f t="array" ref="A1023">IFNA(index(PlayerValues!A:A,match(IFNA(vlookup(B1023,'Special Names'!A:B,2,FALSE),B1023),PlayerValues!E:E,0)),"N/A")</f>
        <v>17044</v>
      </c>
      <c r="B1023" s="4" t="s">
        <v>322</v>
      </c>
      <c r="C1023" s="4" t="s">
        <v>278</v>
      </c>
      <c r="D1023" s="94">
        <v>6992.0</v>
      </c>
    </row>
    <row r="1024">
      <c r="A1024" s="40">
        <f t="array" ref="A1024">IFNA(index(PlayerValues!A:A,match(IFNA(vlookup(B1024,'Special Names'!A:B,2,FALSE),B1024),PlayerValues!E:E,0)),"N/A")</f>
        <v>16167</v>
      </c>
      <c r="B1024" s="4" t="s">
        <v>323</v>
      </c>
      <c r="C1024" s="4" t="s">
        <v>278</v>
      </c>
      <c r="D1024" s="94">
        <v>6823.0</v>
      </c>
    </row>
    <row r="1025">
      <c r="A1025" s="40">
        <f t="array" ref="A1025">IFNA(index(PlayerValues!A:A,match(IFNA(vlookup(B1025,'Special Names'!A:B,2,FALSE),B1025),PlayerValues!E:E,0)),"N/A")</f>
        <v>17071</v>
      </c>
      <c r="B1025" s="4" t="s">
        <v>341</v>
      </c>
      <c r="C1025" s="4" t="s">
        <v>287</v>
      </c>
      <c r="D1025" s="94">
        <v>6391.0</v>
      </c>
    </row>
    <row r="1026">
      <c r="A1026" s="40">
        <f t="array" ref="A1026">IFNA(index(PlayerValues!A:A,match(IFNA(vlookup(B1026,'Special Names'!A:B,2,FALSE),B1026),PlayerValues!E:E,0)),"N/A")</f>
        <v>17104</v>
      </c>
      <c r="B1026" s="4" t="s">
        <v>333</v>
      </c>
      <c r="C1026" s="4" t="s">
        <v>298</v>
      </c>
      <c r="D1026" s="94">
        <v>7062.0</v>
      </c>
    </row>
    <row r="1027">
      <c r="A1027" s="40">
        <f t="array" ref="A1027">IFNA(index(PlayerValues!A:A,match(IFNA(vlookup(B1027,'Special Names'!A:B,2,FALSE),B1027),PlayerValues!E:E,0)),"N/A")</f>
        <v>13116</v>
      </c>
      <c r="B1027" s="4" t="s">
        <v>345</v>
      </c>
      <c r="C1027" s="4" t="s">
        <v>283</v>
      </c>
      <c r="D1027" s="94">
        <v>6349.0</v>
      </c>
    </row>
    <row r="1028">
      <c r="A1028" s="40">
        <f t="array" ref="A1028">IFNA(index(PlayerValues!A:A,match(IFNA(vlookup(B1028,'Special Names'!A:B,2,FALSE),B1028),PlayerValues!E:E,0)),"N/A")</f>
        <v>17081</v>
      </c>
      <c r="B1028" s="4" t="s">
        <v>340</v>
      </c>
      <c r="C1028" s="4" t="s">
        <v>287</v>
      </c>
      <c r="D1028" s="94">
        <v>6345.0</v>
      </c>
    </row>
    <row r="1029">
      <c r="A1029" s="40">
        <f t="array" ref="A1029">IFNA(index(PlayerValues!A:A,match(IFNA(vlookup(B1029,'Special Names'!A:B,2,FALSE),B1029),PlayerValues!E:E,0)),"N/A")</f>
        <v>15237</v>
      </c>
      <c r="B1029" s="4" t="s">
        <v>336</v>
      </c>
      <c r="C1029" s="4" t="s">
        <v>283</v>
      </c>
      <c r="D1029" s="94">
        <v>6305.0</v>
      </c>
    </row>
    <row r="1030">
      <c r="A1030" s="40">
        <f t="array" ref="A1030">IFNA(index(PlayerValues!A:A,match(IFNA(vlookup(B1030,'Special Names'!A:B,2,FALSE),B1030),PlayerValues!E:E,0)),"N/A")</f>
        <v>17032</v>
      </c>
      <c r="B1030" s="4" t="s">
        <v>348</v>
      </c>
      <c r="C1030" s="4" t="s">
        <v>283</v>
      </c>
      <c r="D1030" s="94">
        <v>6293.0</v>
      </c>
    </row>
    <row r="1031">
      <c r="A1031" s="40">
        <f t="array" ref="A1031">IFNA(index(PlayerValues!A:A,match(IFNA(vlookup(B1031,'Special Names'!A:B,2,FALSE),B1031),PlayerValues!E:E,0)),"N/A")</f>
        <v>14802</v>
      </c>
      <c r="B1031" s="4" t="s">
        <v>332</v>
      </c>
      <c r="C1031" s="4" t="s">
        <v>278</v>
      </c>
      <c r="D1031" s="94">
        <v>6153.0</v>
      </c>
    </row>
    <row r="1032">
      <c r="A1032" s="40">
        <f t="array" ref="A1032">IFNA(index(PlayerValues!A:A,match(IFNA(vlookup(B1032,'Special Names'!A:B,2,FALSE),B1032),PlayerValues!E:E,0)),"N/A")</f>
        <v>14783</v>
      </c>
      <c r="B1032" s="4" t="s">
        <v>342</v>
      </c>
      <c r="C1032" s="4" t="s">
        <v>283</v>
      </c>
      <c r="D1032" s="94">
        <v>6148.0</v>
      </c>
    </row>
    <row r="1033">
      <c r="A1033" s="40">
        <f t="array" ref="A1033">IFNA(index(PlayerValues!A:A,match(IFNA(vlookup(B1033,'Special Names'!A:B,2,FALSE),B1033),PlayerValues!E:E,0)),"N/A")</f>
        <v>15762</v>
      </c>
      <c r="B1033" s="4" t="s">
        <v>337</v>
      </c>
      <c r="C1033" s="4" t="s">
        <v>287</v>
      </c>
      <c r="D1033" s="94">
        <v>6122.0</v>
      </c>
    </row>
    <row r="1034">
      <c r="A1034" s="40">
        <f t="array" ref="A1034">IFNA(index(PlayerValues!A:A,match(IFNA(vlookup(B1034,'Special Names'!A:B,2,FALSE),B1034),PlayerValues!E:E,0)),"N/A")</f>
        <v>15715</v>
      </c>
      <c r="B1034" s="4" t="s">
        <v>331</v>
      </c>
      <c r="C1034" s="4" t="s">
        <v>278</v>
      </c>
      <c r="D1034" s="94">
        <v>6101.0</v>
      </c>
    </row>
    <row r="1035">
      <c r="A1035" s="40">
        <f t="array" ref="A1035">IFNA(index(PlayerValues!A:A,match(IFNA(vlookup(B1035,'Special Names'!A:B,2,FALSE),B1035),PlayerValues!E:E,0)),"N/A")</f>
        <v>16582</v>
      </c>
      <c r="B1035" s="4" t="s">
        <v>343</v>
      </c>
      <c r="C1035" s="4" t="s">
        <v>283</v>
      </c>
      <c r="D1035" s="94">
        <v>5982.0</v>
      </c>
    </row>
    <row r="1036">
      <c r="A1036" s="40">
        <f t="array" ref="A1036">IFNA(index(PlayerValues!A:A,match(IFNA(vlookup(B1036,'Special Names'!A:B,2,FALSE),B1036),PlayerValues!E:E,0)),"N/A")</f>
        <v>17497</v>
      </c>
      <c r="B1036" s="4" t="s">
        <v>365</v>
      </c>
      <c r="C1036" s="4" t="s">
        <v>287</v>
      </c>
      <c r="D1036" s="94">
        <v>5908.0</v>
      </c>
    </row>
    <row r="1037">
      <c r="A1037" s="40">
        <f t="array" ref="A1037">IFNA(index(PlayerValues!A:A,match(IFNA(vlookup(B1037,'Special Names'!A:B,2,FALSE),B1037),PlayerValues!E:E,0)),"N/A")</f>
        <v>17102</v>
      </c>
      <c r="B1037" s="4" t="s">
        <v>344</v>
      </c>
      <c r="C1037" s="4" t="s">
        <v>298</v>
      </c>
      <c r="D1037" s="94">
        <v>6534.0</v>
      </c>
    </row>
    <row r="1038">
      <c r="A1038" s="40">
        <f t="array" ref="A1038">IFNA(index(PlayerValues!A:A,match(IFNA(vlookup(B1038,'Special Names'!A:B,2,FALSE),B1038),PlayerValues!E:E,0)),"N/A")</f>
        <v>15698</v>
      </c>
      <c r="B1038" s="4" t="s">
        <v>358</v>
      </c>
      <c r="C1038" s="4" t="s">
        <v>283</v>
      </c>
      <c r="D1038" s="94">
        <v>5818.0</v>
      </c>
    </row>
    <row r="1039">
      <c r="A1039" s="40" t="str">
        <f t="array" ref="A1039">IFNA(index(PlayerValues!A:A,match(IFNA(vlookup(B1039,'Special Names'!A:B,2,FALSE),B1039),PlayerValues!E:E,0)),"N/A")</f>
        <v>N/A</v>
      </c>
      <c r="B1039" s="4" t="s">
        <v>93</v>
      </c>
      <c r="C1039" s="4" t="s">
        <v>325</v>
      </c>
      <c r="D1039" s="94">
        <v>5655.0</v>
      </c>
    </row>
    <row r="1040">
      <c r="A1040" s="40">
        <f t="array" ref="A1040">IFNA(index(PlayerValues!A:A,match(IFNA(vlookup(B1040,'Special Names'!A:B,2,FALSE),B1040),PlayerValues!E:E,0)),"N/A")</f>
        <v>15711</v>
      </c>
      <c r="B1040" s="4" t="s">
        <v>349</v>
      </c>
      <c r="C1040" s="4" t="s">
        <v>278</v>
      </c>
      <c r="D1040" s="94">
        <v>5601.0</v>
      </c>
    </row>
    <row r="1041">
      <c r="A1041" s="40" t="str">
        <f t="array" ref="A1041">IFNA(index(PlayerValues!A:A,match(IFNA(vlookup(B1041,'Special Names'!A:B,2,FALSE),B1041),PlayerValues!E:E,0)),"N/A")</f>
        <v>N/A</v>
      </c>
      <c r="B1041" s="4" t="s">
        <v>79</v>
      </c>
      <c r="C1041" s="4" t="s">
        <v>325</v>
      </c>
      <c r="D1041" s="94">
        <v>5595.0</v>
      </c>
    </row>
    <row r="1042">
      <c r="A1042" s="40">
        <f t="array" ref="A1042">IFNA(index(PlayerValues!A:A,match(IFNA(vlookup(B1042,'Special Names'!A:B,2,FALSE),B1042),PlayerValues!E:E,0)),"N/A")</f>
        <v>16627</v>
      </c>
      <c r="B1042" s="4" t="s">
        <v>351</v>
      </c>
      <c r="C1042" s="4" t="s">
        <v>287</v>
      </c>
      <c r="D1042" s="94">
        <v>5586.0</v>
      </c>
    </row>
    <row r="1043">
      <c r="A1043" s="40">
        <f t="array" ref="A1043">IFNA(index(PlayerValues!A:A,match(IFNA(vlookup(B1043,'Special Names'!A:B,2,FALSE),B1043),PlayerValues!E:E,0)),"N/A")</f>
        <v>15290</v>
      </c>
      <c r="B1043" s="4" t="s">
        <v>355</v>
      </c>
      <c r="C1043" s="4" t="s">
        <v>287</v>
      </c>
      <c r="D1043" s="94">
        <v>5576.0</v>
      </c>
    </row>
    <row r="1044">
      <c r="A1044" s="40">
        <f t="array" ref="A1044">IFNA(index(PlayerValues!A:A,match(IFNA(vlookup(B1044,'Special Names'!A:B,2,FALSE),B1044),PlayerValues!E:E,0)),"N/A")</f>
        <v>15753</v>
      </c>
      <c r="B1044" s="4" t="s">
        <v>359</v>
      </c>
      <c r="C1044" s="4" t="s">
        <v>287</v>
      </c>
      <c r="D1044" s="94">
        <v>5560.0</v>
      </c>
    </row>
    <row r="1045">
      <c r="A1045" s="40">
        <f t="array" ref="A1045">IFNA(index(PlayerValues!A:A,match(IFNA(vlookup(B1045,'Special Names'!A:B,2,FALSE),B1045),PlayerValues!E:E,0)),"N/A")</f>
        <v>17051</v>
      </c>
      <c r="B1045" s="4" t="s">
        <v>386</v>
      </c>
      <c r="C1045" s="4" t="s">
        <v>278</v>
      </c>
      <c r="D1045" s="94">
        <v>5538.0</v>
      </c>
    </row>
    <row r="1046">
      <c r="A1046" s="40">
        <f t="array" ref="A1046">IFNA(index(PlayerValues!A:A,match(IFNA(vlookup(B1046,'Special Names'!A:B,2,FALSE),B1046),PlayerValues!E:E,0)),"N/A")</f>
        <v>17070</v>
      </c>
      <c r="B1046" s="4" t="s">
        <v>370</v>
      </c>
      <c r="C1046" s="4" t="s">
        <v>287</v>
      </c>
      <c r="D1046" s="94">
        <v>5525.0</v>
      </c>
    </row>
    <row r="1047">
      <c r="A1047" s="40">
        <f t="array" ref="A1047">IFNA(index(PlayerValues!A:A,match(IFNA(vlookup(B1047,'Special Names'!A:B,2,FALSE),B1047),PlayerValues!E:E,0)),"N/A")</f>
        <v>15754</v>
      </c>
      <c r="B1047" s="4" t="s">
        <v>354</v>
      </c>
      <c r="C1047" s="4" t="s">
        <v>287</v>
      </c>
      <c r="D1047" s="94">
        <v>5471.0</v>
      </c>
    </row>
    <row r="1048">
      <c r="A1048" s="40">
        <f t="array" ref="A1048">IFNA(index(PlayerValues!A:A,match(IFNA(vlookup(B1048,'Special Names'!A:B,2,FALSE),B1048),PlayerValues!E:E,0)),"N/A")</f>
        <v>14782</v>
      </c>
      <c r="B1048" s="4" t="s">
        <v>385</v>
      </c>
      <c r="C1048" s="4" t="s">
        <v>283</v>
      </c>
      <c r="D1048" s="94">
        <v>5452.0</v>
      </c>
    </row>
    <row r="1049">
      <c r="A1049" s="40">
        <f t="array" ref="A1049">IFNA(index(PlayerValues!A:A,match(IFNA(vlookup(B1049,'Special Names'!A:B,2,FALSE),B1049),PlayerValues!E:E,0)),"N/A")</f>
        <v>15282</v>
      </c>
      <c r="B1049" s="4" t="s">
        <v>364</v>
      </c>
      <c r="C1049" s="4" t="s">
        <v>287</v>
      </c>
      <c r="D1049" s="94">
        <v>5442.0</v>
      </c>
    </row>
    <row r="1050">
      <c r="A1050" s="40">
        <f t="array" ref="A1050">IFNA(index(PlayerValues!A:A,match(IFNA(vlookup(B1050,'Special Names'!A:B,2,FALSE),B1050),PlayerValues!E:E,0)),"N/A")</f>
        <v>17462</v>
      </c>
      <c r="B1050" s="4" t="s">
        <v>375</v>
      </c>
      <c r="C1050" s="4" t="s">
        <v>283</v>
      </c>
      <c r="D1050" s="94">
        <v>5430.0</v>
      </c>
    </row>
    <row r="1051">
      <c r="A1051" s="40">
        <f t="array" ref="A1051">IFNA(index(PlayerValues!A:A,match(IFNA(vlookup(B1051,'Special Names'!A:B,2,FALSE),B1051),PlayerValues!E:E,0)),"N/A")</f>
        <v>17498</v>
      </c>
      <c r="B1051" s="4" t="s">
        <v>396</v>
      </c>
      <c r="C1051" s="4" t="s">
        <v>287</v>
      </c>
      <c r="D1051" s="94">
        <v>5365.0</v>
      </c>
    </row>
    <row r="1052">
      <c r="A1052" s="40">
        <f t="array" ref="A1052">IFNA(index(PlayerValues!A:A,match(IFNA(vlookup(B1052,'Special Names'!A:B,2,FALSE),B1052),PlayerValues!E:E,0)),"N/A")</f>
        <v>17043</v>
      </c>
      <c r="B1052" s="4" t="s">
        <v>397</v>
      </c>
      <c r="C1052" s="4" t="s">
        <v>278</v>
      </c>
      <c r="D1052" s="94">
        <v>5350.0</v>
      </c>
    </row>
    <row r="1053">
      <c r="A1053" s="40">
        <f t="array" ref="A1053">IFNA(index(PlayerValues!A:A,match(IFNA(vlookup(B1053,'Special Names'!A:B,2,FALSE),B1053),PlayerValues!E:E,0)),"N/A")</f>
        <v>15708</v>
      </c>
      <c r="B1053" s="4" t="s">
        <v>382</v>
      </c>
      <c r="C1053" s="4" t="s">
        <v>278</v>
      </c>
      <c r="D1053" s="94">
        <v>5285.0</v>
      </c>
    </row>
    <row r="1054">
      <c r="A1054" s="40">
        <f t="array" ref="A1054">IFNA(index(PlayerValues!A:A,match(IFNA(vlookup(B1054,'Special Names'!A:B,2,FALSE),B1054),PlayerValues!E:E,0)),"N/A")</f>
        <v>16181</v>
      </c>
      <c r="B1054" s="4" t="s">
        <v>350</v>
      </c>
      <c r="C1054" s="4" t="s">
        <v>278</v>
      </c>
      <c r="D1054" s="94">
        <v>5270.0</v>
      </c>
    </row>
    <row r="1055">
      <c r="A1055" s="40">
        <f t="array" ref="A1055">IFNA(index(PlayerValues!A:A,match(IFNA(vlookup(B1055,'Special Names'!A:B,2,FALSE),B1055),PlayerValues!E:E,0)),"N/A")</f>
        <v>17030</v>
      </c>
      <c r="B1055" s="4" t="s">
        <v>406</v>
      </c>
      <c r="C1055" s="4" t="s">
        <v>283</v>
      </c>
      <c r="D1055" s="94">
        <v>5266.0</v>
      </c>
    </row>
    <row r="1056">
      <c r="A1056" s="40">
        <f t="array" ref="A1056">IFNA(index(PlayerValues!A:A,match(IFNA(vlookup(B1056,'Special Names'!A:B,2,FALSE),B1056),PlayerValues!E:E,0)),"N/A")</f>
        <v>13130</v>
      </c>
      <c r="B1056" s="4" t="s">
        <v>374</v>
      </c>
      <c r="C1056" s="4" t="s">
        <v>278</v>
      </c>
      <c r="D1056" s="94">
        <v>5250.0</v>
      </c>
    </row>
    <row r="1057">
      <c r="A1057" s="40">
        <f t="array" ref="A1057">IFNA(index(PlayerValues!A:A,match(IFNA(vlookup(B1057,'Special Names'!A:B,2,FALSE),B1057),PlayerValues!E:E,0)),"N/A")</f>
        <v>16616</v>
      </c>
      <c r="B1057" s="4" t="s">
        <v>389</v>
      </c>
      <c r="C1057" s="4" t="s">
        <v>287</v>
      </c>
      <c r="D1057" s="94">
        <v>5247.0</v>
      </c>
    </row>
    <row r="1058">
      <c r="A1058" s="40" t="str">
        <f t="array" ref="A1058">IFNA(index(PlayerValues!A:A,match(IFNA(vlookup(B1058,'Special Names'!A:B,2,FALSE),B1058),PlayerValues!E:E,0)),"N/A")</f>
        <v>N/A</v>
      </c>
      <c r="B1058" s="4" t="s">
        <v>104</v>
      </c>
      <c r="C1058" s="4" t="s">
        <v>325</v>
      </c>
      <c r="D1058" s="94">
        <v>5185.0</v>
      </c>
    </row>
    <row r="1059">
      <c r="A1059" s="40">
        <f t="array" ref="A1059">IFNA(index(PlayerValues!A:A,match(IFNA(vlookup(B1059,'Special Names'!A:B,2,FALSE),B1059),PlayerValues!E:E,0)),"N/A")</f>
        <v>13604</v>
      </c>
      <c r="B1059" s="4" t="s">
        <v>378</v>
      </c>
      <c r="C1059" s="4" t="s">
        <v>278</v>
      </c>
      <c r="D1059" s="94">
        <v>5079.0</v>
      </c>
    </row>
    <row r="1060">
      <c r="A1060" s="40">
        <f t="array" ref="A1060">IFNA(index(PlayerValues!A:A,match(IFNA(vlookup(B1060,'Special Names'!A:B,2,FALSE),B1060),PlayerValues!E:E,0)),"N/A")</f>
        <v>14104</v>
      </c>
      <c r="B1060" s="4" t="s">
        <v>379</v>
      </c>
      <c r="C1060" s="4" t="s">
        <v>287</v>
      </c>
      <c r="D1060" s="94">
        <v>5032.0</v>
      </c>
    </row>
    <row r="1061">
      <c r="A1061" s="40">
        <f t="array" ref="A1061">IFNA(index(PlayerValues!A:A,match(IFNA(vlookup(B1061,'Special Names'!A:B,2,FALSE),B1061),PlayerValues!E:E,0)),"N/A")</f>
        <v>17499</v>
      </c>
      <c r="B1061" s="4" t="s">
        <v>402</v>
      </c>
      <c r="C1061" s="4" t="s">
        <v>287</v>
      </c>
      <c r="D1061" s="94">
        <v>5007.0</v>
      </c>
    </row>
    <row r="1062">
      <c r="A1062" s="40">
        <f t="array" ref="A1062">IFNA(index(PlayerValues!A:A,match(IFNA(vlookup(B1062,'Special Names'!A:B,2,FALSE),B1062),PlayerValues!E:E,0)),"N/A")</f>
        <v>16190</v>
      </c>
      <c r="B1062" s="4" t="s">
        <v>371</v>
      </c>
      <c r="C1062" s="4" t="s">
        <v>287</v>
      </c>
      <c r="D1062" s="94">
        <v>4985.0</v>
      </c>
    </row>
    <row r="1063">
      <c r="A1063" s="40">
        <f t="array" ref="A1063">IFNA(index(PlayerValues!A:A,match(IFNA(vlookup(B1063,'Special Names'!A:B,2,FALSE),B1063),PlayerValues!E:E,0)),"N/A")</f>
        <v>16194</v>
      </c>
      <c r="B1063" s="4" t="s">
        <v>398</v>
      </c>
      <c r="C1063" s="4" t="s">
        <v>287</v>
      </c>
      <c r="D1063" s="94">
        <v>4982.0</v>
      </c>
    </row>
    <row r="1064">
      <c r="A1064" s="40">
        <f t="array" ref="A1064">IFNA(index(PlayerValues!A:A,match(IFNA(vlookup(B1064,'Special Names'!A:B,2,FALSE),B1064),PlayerValues!E:E,0)),"N/A")</f>
        <v>14835</v>
      </c>
      <c r="B1064" s="4" t="s">
        <v>392</v>
      </c>
      <c r="C1064" s="4" t="s">
        <v>287</v>
      </c>
      <c r="D1064" s="94">
        <v>4969.0</v>
      </c>
    </row>
    <row r="1065">
      <c r="A1065" s="40">
        <f t="array" ref="A1065">IFNA(index(PlayerValues!A:A,match(IFNA(vlookup(B1065,'Special Names'!A:B,2,FALSE),B1065),PlayerValues!E:E,0)),"N/A")</f>
        <v>16222</v>
      </c>
      <c r="B1065" s="4" t="s">
        <v>393</v>
      </c>
      <c r="C1065" s="4" t="s">
        <v>298</v>
      </c>
      <c r="D1065" s="94">
        <v>5547.0</v>
      </c>
    </row>
    <row r="1066">
      <c r="A1066" s="40">
        <f t="array" ref="A1066">IFNA(index(PlayerValues!A:A,match(IFNA(vlookup(B1066,'Special Names'!A:B,2,FALSE),B1066),PlayerValues!E:E,0)),"N/A")</f>
        <v>15710</v>
      </c>
      <c r="B1066" s="4" t="s">
        <v>395</v>
      </c>
      <c r="C1066" s="4" t="s">
        <v>278</v>
      </c>
      <c r="D1066" s="94">
        <v>4958.0</v>
      </c>
    </row>
    <row r="1067">
      <c r="A1067" s="40">
        <f t="array" ref="A1067">IFNA(index(PlayerValues!A:A,match(IFNA(vlookup(B1067,'Special Names'!A:B,2,FALSE),B1067),PlayerValues!E:E,0)),"N/A")</f>
        <v>12620</v>
      </c>
      <c r="B1067" s="4" t="s">
        <v>394</v>
      </c>
      <c r="C1067" s="4" t="s">
        <v>283</v>
      </c>
      <c r="D1067" s="94">
        <v>4922.0</v>
      </c>
    </row>
    <row r="1068">
      <c r="A1068" s="40">
        <f t="array" ref="A1068">IFNA(index(PlayerValues!A:A,match(IFNA(vlookup(B1068,'Special Names'!A:B,2,FALSE),B1068),PlayerValues!E:E,0)),"N/A")</f>
        <v>15284</v>
      </c>
      <c r="B1068" s="4" t="s">
        <v>390</v>
      </c>
      <c r="C1068" s="4" t="s">
        <v>287</v>
      </c>
      <c r="D1068" s="94">
        <v>4896.0</v>
      </c>
    </row>
    <row r="1069">
      <c r="A1069" s="40">
        <f t="array" ref="A1069">IFNA(index(PlayerValues!A:A,match(IFNA(vlookup(B1069,'Special Names'!A:B,2,FALSE),B1069),PlayerValues!E:E,0)),"N/A")</f>
        <v>16614</v>
      </c>
      <c r="B1069" s="4" t="s">
        <v>403</v>
      </c>
      <c r="C1069" s="4" t="s">
        <v>287</v>
      </c>
      <c r="D1069" s="94">
        <v>4848.0</v>
      </c>
    </row>
    <row r="1070">
      <c r="A1070" s="40" t="str">
        <f t="array" ref="A1070">IFNA(index(PlayerValues!A:A,match(IFNA(vlookup(B1070,'Special Names'!A:B,2,FALSE),B1070),PlayerValues!E:E,0)),"N/A")</f>
        <v>N/A</v>
      </c>
      <c r="B1070" s="4" t="s">
        <v>94</v>
      </c>
      <c r="C1070" s="4" t="s">
        <v>325</v>
      </c>
      <c r="D1070" s="94">
        <v>4847.0</v>
      </c>
    </row>
    <row r="1071">
      <c r="A1071" s="40">
        <f t="array" ref="A1071">IFNA(index(PlayerValues!A:A,match(IFNA(vlookup(B1071,'Special Names'!A:B,2,FALSE),B1071),PlayerValues!E:E,0)),"N/A")</f>
        <v>17039</v>
      </c>
      <c r="B1071" s="4" t="s">
        <v>400</v>
      </c>
      <c r="C1071" s="4" t="s">
        <v>283</v>
      </c>
      <c r="D1071" s="94">
        <v>4837.0</v>
      </c>
    </row>
    <row r="1072">
      <c r="A1072" s="40">
        <f t="array" ref="A1072">IFNA(index(PlayerValues!A:A,match(IFNA(vlookup(B1072,'Special Names'!A:B,2,FALSE),B1072),PlayerValues!E:E,0)),"N/A")</f>
        <v>16618</v>
      </c>
      <c r="B1072" s="4" t="s">
        <v>411</v>
      </c>
      <c r="C1072" s="4" t="s">
        <v>287</v>
      </c>
      <c r="D1072" s="94">
        <v>4823.0</v>
      </c>
    </row>
    <row r="1073">
      <c r="A1073" s="40">
        <f t="array" ref="A1073">IFNA(index(PlayerValues!A:A,match(IFNA(vlookup(B1073,'Special Names'!A:B,2,FALSE),B1073),PlayerValues!E:E,0)),"N/A")</f>
        <v>17473</v>
      </c>
      <c r="B1073" s="4" t="s">
        <v>391</v>
      </c>
      <c r="C1073" s="4" t="s">
        <v>278</v>
      </c>
      <c r="D1073" s="94">
        <v>4791.0</v>
      </c>
    </row>
    <row r="1074">
      <c r="A1074" s="40">
        <f t="array" ref="A1074">IFNA(index(PlayerValues!A:A,match(IFNA(vlookup(B1074,'Special Names'!A:B,2,FALSE),B1074),PlayerValues!E:E,0)),"N/A")</f>
        <v>15756</v>
      </c>
      <c r="B1074" s="4" t="s">
        <v>399</v>
      </c>
      <c r="C1074" s="4" t="s">
        <v>287</v>
      </c>
      <c r="D1074" s="94">
        <v>4775.0</v>
      </c>
    </row>
    <row r="1075">
      <c r="A1075" s="40">
        <f t="array" ref="A1075">IFNA(index(PlayerValues!A:A,match(IFNA(vlookup(B1075,'Special Names'!A:B,2,FALSE),B1075),PlayerValues!E:E,0)),"N/A")</f>
        <v>17045</v>
      </c>
      <c r="B1075" s="4" t="s">
        <v>407</v>
      </c>
      <c r="C1075" s="4" t="s">
        <v>278</v>
      </c>
      <c r="D1075" s="94">
        <v>4771.0</v>
      </c>
    </row>
    <row r="1076">
      <c r="A1076" s="40">
        <f t="array" ref="A1076">IFNA(index(PlayerValues!A:A,match(IFNA(vlookup(B1076,'Special Names'!A:B,2,FALSE),B1076),PlayerValues!E:E,0)),"N/A")</f>
        <v>17103</v>
      </c>
      <c r="B1076" s="4" t="s">
        <v>405</v>
      </c>
      <c r="C1076" s="4" t="s">
        <v>298</v>
      </c>
      <c r="D1076" s="94">
        <v>5304.0</v>
      </c>
    </row>
    <row r="1077">
      <c r="A1077" s="40">
        <f t="array" ref="A1077">IFNA(index(PlayerValues!A:A,match(IFNA(vlookup(B1077,'Special Names'!A:B,2,FALSE),B1077),PlayerValues!E:E,0)),"N/A")</f>
        <v>16598</v>
      </c>
      <c r="B1077" s="4" t="s">
        <v>408</v>
      </c>
      <c r="C1077" s="4" t="s">
        <v>278</v>
      </c>
      <c r="D1077" s="94">
        <v>4695.0</v>
      </c>
    </row>
    <row r="1078">
      <c r="A1078" s="40">
        <f t="array" ref="A1078">IFNA(index(PlayerValues!A:A,match(IFNA(vlookup(B1078,'Special Names'!A:B,2,FALSE),B1078),PlayerValues!E:E,0)),"N/A")</f>
        <v>12611</v>
      </c>
      <c r="B1078" s="4" t="s">
        <v>410</v>
      </c>
      <c r="C1078" s="4" t="s">
        <v>283</v>
      </c>
      <c r="D1078" s="94">
        <v>4678.0</v>
      </c>
    </row>
    <row r="1079">
      <c r="A1079" s="40" t="str">
        <f t="array" ref="A1079">IFNA(index(PlayerValues!A:A,match(IFNA(vlookup(B1079,'Special Names'!A:B,2,FALSE),B1079),PlayerValues!E:E,0)),"N/A")</f>
        <v>N/A</v>
      </c>
      <c r="B1079" s="4" t="s">
        <v>80</v>
      </c>
      <c r="C1079" s="4" t="s">
        <v>325</v>
      </c>
      <c r="D1079" s="94">
        <v>4665.0</v>
      </c>
    </row>
    <row r="1080">
      <c r="A1080" s="40">
        <f t="array" ref="A1080">IFNA(index(PlayerValues!A:A,match(IFNA(vlookup(B1080,'Special Names'!A:B,2,FALSE),B1080),PlayerValues!E:E,0)),"N/A")</f>
        <v>13590</v>
      </c>
      <c r="B1080" s="4" t="s">
        <v>409</v>
      </c>
      <c r="C1080" s="4" t="s">
        <v>283</v>
      </c>
      <c r="D1080" s="94">
        <v>4648.0</v>
      </c>
    </row>
    <row r="1081">
      <c r="A1081" s="40">
        <f t="array" ref="A1081">IFNA(index(PlayerValues!A:A,match(IFNA(vlookup(B1081,'Special Names'!A:B,2,FALSE),B1081),PlayerValues!E:E,0)),"N/A")</f>
        <v>16150</v>
      </c>
      <c r="B1081" s="4" t="s">
        <v>414</v>
      </c>
      <c r="C1081" s="4" t="s">
        <v>283</v>
      </c>
      <c r="D1081" s="94">
        <v>4641.0</v>
      </c>
    </row>
    <row r="1082">
      <c r="A1082" s="40">
        <f t="array" ref="A1082">IFNA(index(PlayerValues!A:A,match(IFNA(vlookup(B1082,'Special Names'!A:B,2,FALSE),B1082),PlayerValues!E:E,0)),"N/A")</f>
        <v>16214</v>
      </c>
      <c r="B1082" s="4" t="s">
        <v>413</v>
      </c>
      <c r="C1082" s="4" t="s">
        <v>298</v>
      </c>
      <c r="D1082" s="94">
        <v>5170.0</v>
      </c>
    </row>
    <row r="1083">
      <c r="A1083" s="40">
        <f t="array" ref="A1083">IFNA(index(PlayerValues!A:A,match(IFNA(vlookup(B1083,'Special Names'!A:B,2,FALSE),B1083),PlayerValues!E:E,0)),"N/A")</f>
        <v>15256</v>
      </c>
      <c r="B1083" s="4" t="s">
        <v>401</v>
      </c>
      <c r="C1083" s="4" t="s">
        <v>278</v>
      </c>
      <c r="D1083" s="94">
        <v>4599.0</v>
      </c>
    </row>
    <row r="1084">
      <c r="A1084" s="40" t="str">
        <f t="array" ref="A1084">IFNA(index(PlayerValues!A:A,match(IFNA(vlookup(B1084,'Special Names'!A:B,2,FALSE),B1084),PlayerValues!E:E,0)),"N/A")</f>
        <v>N/A</v>
      </c>
      <c r="B1084" s="4" t="s">
        <v>105</v>
      </c>
      <c r="C1084" s="4" t="s">
        <v>325</v>
      </c>
      <c r="D1084" s="94">
        <v>4572.0</v>
      </c>
    </row>
    <row r="1085">
      <c r="A1085" s="40">
        <f t="array" ref="A1085">IFNA(index(PlayerValues!A:A,match(IFNA(vlookup(B1085,'Special Names'!A:B,2,FALSE),B1085),PlayerValues!E:E,0)),"N/A")</f>
        <v>15329</v>
      </c>
      <c r="B1085" s="4" t="s">
        <v>416</v>
      </c>
      <c r="C1085" s="4" t="s">
        <v>298</v>
      </c>
      <c r="D1085" s="94">
        <v>4976.0</v>
      </c>
    </row>
    <row r="1086">
      <c r="A1086" s="40">
        <f t="array" ref="A1086">IFNA(index(PlayerValues!A:A,match(IFNA(vlookup(B1086,'Special Names'!A:B,2,FALSE),B1086),PlayerValues!E:E,0)),"N/A")</f>
        <v>13592</v>
      </c>
      <c r="B1086" s="4" t="s">
        <v>418</v>
      </c>
      <c r="C1086" s="4" t="s">
        <v>283</v>
      </c>
      <c r="D1086" s="94">
        <v>4394.0</v>
      </c>
    </row>
    <row r="1087">
      <c r="A1087" s="40">
        <f t="array" ref="A1087">IFNA(index(PlayerValues!A:A,match(IFNA(vlookup(B1087,'Special Names'!A:B,2,FALSE),B1087),PlayerValues!E:E,0)),"N/A")</f>
        <v>15253</v>
      </c>
      <c r="B1087" s="4" t="s">
        <v>415</v>
      </c>
      <c r="C1087" s="4" t="s">
        <v>278</v>
      </c>
      <c r="D1087" s="94">
        <v>4373.0</v>
      </c>
    </row>
    <row r="1088">
      <c r="A1088" s="40">
        <f t="array" ref="A1088">IFNA(index(PlayerValues!A:A,match(IFNA(vlookup(B1088,'Special Names'!A:B,2,FALSE),B1088),PlayerValues!E:E,0)),"N/A")</f>
        <v>17501</v>
      </c>
      <c r="B1088" s="4" t="s">
        <v>404</v>
      </c>
      <c r="C1088" s="4" t="s">
        <v>287</v>
      </c>
      <c r="D1088" s="94">
        <v>4348.0</v>
      </c>
    </row>
    <row r="1089">
      <c r="A1089" s="40">
        <f t="array" ref="A1089">IFNA(index(PlayerValues!A:A,match(IFNA(vlookup(B1089,'Special Names'!A:B,2,FALSE),B1089),PlayerValues!E:E,0)),"N/A")</f>
        <v>12626</v>
      </c>
      <c r="B1089" s="4" t="s">
        <v>419</v>
      </c>
      <c r="C1089" s="4" t="s">
        <v>278</v>
      </c>
      <c r="D1089" s="94">
        <v>4205.0</v>
      </c>
    </row>
    <row r="1090">
      <c r="A1090" s="40">
        <f t="array" ref="A1090">IFNA(index(PlayerValues!A:A,match(IFNA(vlookup(B1090,'Special Names'!A:B,2,FALSE),B1090),PlayerValues!E:E,0)),"N/A")</f>
        <v>17052</v>
      </c>
      <c r="B1090" s="4" t="s">
        <v>417</v>
      </c>
      <c r="C1090" s="4" t="s">
        <v>278</v>
      </c>
      <c r="D1090" s="94">
        <v>4198.0</v>
      </c>
    </row>
    <row r="1091">
      <c r="A1091" s="40">
        <f t="array" ref="A1091">IFNA(index(PlayerValues!A:A,match(IFNA(vlookup(B1091,'Special Names'!A:B,2,FALSE),B1091),PlayerValues!E:E,0)),"N/A")</f>
        <v>14073</v>
      </c>
      <c r="B1091" s="4" t="s">
        <v>464</v>
      </c>
      <c r="C1091" s="4" t="s">
        <v>278</v>
      </c>
      <c r="D1091" s="94">
        <v>4090.0</v>
      </c>
    </row>
    <row r="1092">
      <c r="A1092" s="40">
        <f t="array" ref="A1092">IFNA(index(PlayerValues!A:A,match(IFNA(vlookup(B1092,'Special Names'!A:B,2,FALSE),B1092),PlayerValues!E:E,0)),"N/A")</f>
        <v>17543</v>
      </c>
      <c r="B1092" s="4" t="s">
        <v>436</v>
      </c>
      <c r="C1092" s="4" t="s">
        <v>298</v>
      </c>
      <c r="D1092" s="94">
        <v>4522.0</v>
      </c>
    </row>
    <row r="1093">
      <c r="A1093" s="40">
        <f t="array" ref="A1093">IFNA(index(PlayerValues!A:A,match(IFNA(vlookup(B1093,'Special Names'!A:B,2,FALSE),B1093),PlayerValues!E:E,0)),"N/A")</f>
        <v>14056</v>
      </c>
      <c r="B1093" s="4" t="s">
        <v>423</v>
      </c>
      <c r="C1093" s="4" t="s">
        <v>283</v>
      </c>
      <c r="D1093" s="94">
        <v>3987.0</v>
      </c>
    </row>
    <row r="1094">
      <c r="A1094" s="40" t="str">
        <f t="array" ref="A1094">IFNA(index(PlayerValues!A:A,match(IFNA(vlookup(B1094,'Special Names'!A:B,2,FALSE),B1094),PlayerValues!E:E,0)),"N/A")</f>
        <v>N/A</v>
      </c>
      <c r="B1094" s="4" t="s">
        <v>81</v>
      </c>
      <c r="C1094" s="4" t="s">
        <v>325</v>
      </c>
      <c r="D1094" s="94">
        <v>3962.0</v>
      </c>
    </row>
    <row r="1095">
      <c r="A1095" s="40">
        <f t="array" ref="A1095">IFNA(index(PlayerValues!A:A,match(IFNA(vlookup(B1095,'Special Names'!A:B,2,FALSE),B1095),PlayerValues!E:E,0)),"N/A")</f>
        <v>15789</v>
      </c>
      <c r="B1095" s="4" t="s">
        <v>421</v>
      </c>
      <c r="C1095" s="4" t="s">
        <v>287</v>
      </c>
      <c r="D1095" s="94">
        <v>3950.0</v>
      </c>
    </row>
    <row r="1096">
      <c r="A1096" s="40">
        <f t="array" ref="A1096">IFNA(index(PlayerValues!A:A,match(IFNA(vlookup(B1096,'Special Names'!A:B,2,FALSE),B1096),PlayerValues!E:E,0)),"N/A")</f>
        <v>16148</v>
      </c>
      <c r="B1096" s="4" t="s">
        <v>426</v>
      </c>
      <c r="C1096" s="4" t="s">
        <v>283</v>
      </c>
      <c r="D1096" s="94">
        <v>3939.0</v>
      </c>
    </row>
    <row r="1097">
      <c r="A1097" s="40" t="str">
        <f t="array" ref="A1097">IFNA(index(PlayerValues!A:A,match(IFNA(vlookup(B1097,'Special Names'!A:B,2,FALSE),B1097),PlayerValues!E:E,0)),"N/A")</f>
        <v>N/A</v>
      </c>
      <c r="B1097" s="4" t="s">
        <v>107</v>
      </c>
      <c r="C1097" s="4" t="s">
        <v>325</v>
      </c>
      <c r="D1097" s="94">
        <v>3933.0</v>
      </c>
    </row>
    <row r="1098">
      <c r="A1098" s="40">
        <f t="array" ref="A1098">IFNA(index(PlayerValues!A:A,match(IFNA(vlookup(B1098,'Special Names'!A:B,2,FALSE),B1098),PlayerValues!E:E,0)),"N/A")</f>
        <v>15768</v>
      </c>
      <c r="B1098" s="4" t="s">
        <v>432</v>
      </c>
      <c r="C1098" s="4" t="s">
        <v>287</v>
      </c>
      <c r="D1098" s="94">
        <v>3926.0</v>
      </c>
    </row>
    <row r="1099">
      <c r="A1099" s="40">
        <f t="array" ref="A1099">IFNA(index(PlayerValues!A:A,match(IFNA(vlookup(B1099,'Special Names'!A:B,2,FALSE),B1099),PlayerValues!E:E,0)),"N/A")</f>
        <v>16186</v>
      </c>
      <c r="B1099" s="4" t="s">
        <v>425</v>
      </c>
      <c r="C1099" s="4" t="s">
        <v>287</v>
      </c>
      <c r="D1099" s="94">
        <v>3921.0</v>
      </c>
    </row>
    <row r="1100">
      <c r="A1100" s="40">
        <f t="array" ref="A1100">IFNA(index(PlayerValues!A:A,match(IFNA(vlookup(B1100,'Special Names'!A:B,2,FALSE),B1100),PlayerValues!E:E,0)),"N/A")</f>
        <v>14059</v>
      </c>
      <c r="B1100" s="4" t="s">
        <v>435</v>
      </c>
      <c r="C1100" s="4" t="s">
        <v>283</v>
      </c>
      <c r="D1100" s="94">
        <v>3919.0</v>
      </c>
    </row>
    <row r="1101">
      <c r="A1101" s="40">
        <f t="array" ref="A1101">IFNA(index(PlayerValues!A:A,match(IFNA(vlookup(B1101,'Special Names'!A:B,2,FALSE),B1101),PlayerValues!E:E,0)),"N/A")</f>
        <v>9431</v>
      </c>
      <c r="B1101" s="4" t="s">
        <v>428</v>
      </c>
      <c r="C1101" s="4" t="s">
        <v>283</v>
      </c>
      <c r="D1101" s="94">
        <v>3878.0</v>
      </c>
    </row>
    <row r="1102">
      <c r="A1102" s="40" t="str">
        <f t="array" ref="A1102">IFNA(index(PlayerValues!A:A,match(IFNA(vlookup(B1102,'Special Names'!A:B,2,FALSE),B1102),PlayerValues!E:E,0)),"N/A")</f>
        <v>N/A</v>
      </c>
      <c r="B1102" s="4" t="s">
        <v>95</v>
      </c>
      <c r="C1102" s="4" t="s">
        <v>325</v>
      </c>
      <c r="D1102" s="94">
        <v>3830.0</v>
      </c>
    </row>
    <row r="1103">
      <c r="A1103" s="40">
        <f t="array" ref="A1103">IFNA(index(PlayerValues!A:A,match(IFNA(vlookup(B1103,'Special Names'!A:B,2,FALSE),B1103),PlayerValues!E:E,0)),"N/A")</f>
        <v>15694</v>
      </c>
      <c r="B1103" s="4" t="s">
        <v>434</v>
      </c>
      <c r="C1103" s="4" t="s">
        <v>283</v>
      </c>
      <c r="D1103" s="94">
        <v>3791.0</v>
      </c>
    </row>
    <row r="1104">
      <c r="A1104" s="40">
        <f t="array" ref="A1104">IFNA(index(PlayerValues!A:A,match(IFNA(vlookup(B1104,'Special Names'!A:B,2,FALSE),B1104),PlayerValues!E:E,0)),"N/A")</f>
        <v>16206</v>
      </c>
      <c r="B1104" s="4" t="s">
        <v>431</v>
      </c>
      <c r="C1104" s="4" t="s">
        <v>287</v>
      </c>
      <c r="D1104" s="94">
        <v>3731.0</v>
      </c>
    </row>
    <row r="1105">
      <c r="A1105" s="40">
        <f t="array" ref="A1105">IFNA(index(PlayerValues!A:A,match(IFNA(vlookup(B1105,'Special Names'!A:B,2,FALSE),B1105),PlayerValues!E:E,0)),"N/A")</f>
        <v>14797</v>
      </c>
      <c r="B1105" s="4" t="s">
        <v>420</v>
      </c>
      <c r="C1105" s="4" t="s">
        <v>278</v>
      </c>
      <c r="D1105" s="94">
        <v>3729.0</v>
      </c>
    </row>
    <row r="1106">
      <c r="A1106" s="40">
        <f t="array" ref="A1106">IFNA(index(PlayerValues!A:A,match(IFNA(vlookup(B1106,'Special Names'!A:B,2,FALSE),B1106),PlayerValues!E:E,0)),"N/A")</f>
        <v>16192</v>
      </c>
      <c r="B1106" s="4" t="s">
        <v>412</v>
      </c>
      <c r="C1106" s="4" t="s">
        <v>287</v>
      </c>
      <c r="D1106" s="94">
        <v>3677.0</v>
      </c>
    </row>
    <row r="1107">
      <c r="A1107" s="40">
        <f t="array" ref="A1107">IFNA(index(PlayerValues!A:A,match(IFNA(vlookup(B1107,'Special Names'!A:B,2,FALSE),B1107),PlayerValues!E:E,0)),"N/A")</f>
        <v>16187</v>
      </c>
      <c r="B1107" s="4" t="s">
        <v>441</v>
      </c>
      <c r="C1107" s="4" t="s">
        <v>287</v>
      </c>
      <c r="D1107" s="94">
        <v>3591.0</v>
      </c>
    </row>
    <row r="1108">
      <c r="A1108" s="40">
        <f t="array" ref="A1108">IFNA(index(PlayerValues!A:A,match(IFNA(vlookup(B1108,'Special Names'!A:B,2,FALSE),B1108),PlayerValues!E:E,0)),"N/A")</f>
        <v>16188</v>
      </c>
      <c r="B1108" s="4" t="s">
        <v>439</v>
      </c>
      <c r="C1108" s="4" t="s">
        <v>287</v>
      </c>
      <c r="D1108" s="94">
        <v>3543.0</v>
      </c>
    </row>
    <row r="1109">
      <c r="A1109" s="40">
        <f t="array" ref="A1109">IFNA(index(PlayerValues!A:A,match(IFNA(vlookup(B1109,'Special Names'!A:B,2,FALSE),B1109),PlayerValues!E:E,0)),"N/A")</f>
        <v>13635</v>
      </c>
      <c r="B1109" s="4" t="s">
        <v>424</v>
      </c>
      <c r="C1109" s="4" t="s">
        <v>287</v>
      </c>
      <c r="D1109" s="94">
        <v>3530.0</v>
      </c>
    </row>
    <row r="1110">
      <c r="A1110" s="40">
        <f t="array" ref="A1110">IFNA(index(PlayerValues!A:A,match(IFNA(vlookup(B1110,'Special Names'!A:B,2,FALSE),B1110),PlayerValues!E:E,0)),"N/A")</f>
        <v>17075</v>
      </c>
      <c r="B1110" s="4" t="s">
        <v>429</v>
      </c>
      <c r="C1110" s="4" t="s">
        <v>287</v>
      </c>
      <c r="D1110" s="94">
        <v>3529.0</v>
      </c>
    </row>
    <row r="1111">
      <c r="A1111" s="40">
        <f t="array" ref="A1111">IFNA(index(PlayerValues!A:A,match(IFNA(vlookup(B1111,'Special Names'!A:B,2,FALSE),B1111),PlayerValues!E:E,0)),"N/A")</f>
        <v>17502</v>
      </c>
      <c r="B1111" s="4" t="s">
        <v>451</v>
      </c>
      <c r="C1111" s="4" t="s">
        <v>287</v>
      </c>
      <c r="D1111" s="94">
        <v>3524.0</v>
      </c>
    </row>
    <row r="1112">
      <c r="A1112" s="40">
        <f t="array" ref="A1112">IFNA(index(PlayerValues!A:A,match(IFNA(vlookup(B1112,'Special Names'!A:B,2,FALSE),B1112),PlayerValues!E:E,0)),"N/A")</f>
        <v>16597</v>
      </c>
      <c r="B1112" s="4" t="s">
        <v>427</v>
      </c>
      <c r="C1112" s="4" t="s">
        <v>278</v>
      </c>
      <c r="D1112" s="94">
        <v>3521.0</v>
      </c>
    </row>
    <row r="1113">
      <c r="A1113" s="40">
        <f t="array" ref="A1113">IFNA(index(PlayerValues!A:A,match(IFNA(vlookup(B1113,'Special Names'!A:B,2,FALSE),B1113),PlayerValues!E:E,0)),"N/A")</f>
        <v>17066</v>
      </c>
      <c r="B1113" s="4" t="s">
        <v>446</v>
      </c>
      <c r="C1113" s="4" t="s">
        <v>278</v>
      </c>
      <c r="D1113" s="94">
        <v>3512.0</v>
      </c>
    </row>
    <row r="1114">
      <c r="A1114" s="40">
        <f t="array" ref="A1114">IFNA(index(PlayerValues!A:A,match(IFNA(vlookup(B1114,'Special Names'!A:B,2,FALSE),B1114),PlayerValues!E:E,0)),"N/A")</f>
        <v>14109</v>
      </c>
      <c r="B1114" s="4" t="s">
        <v>437</v>
      </c>
      <c r="C1114" s="4" t="s">
        <v>287</v>
      </c>
      <c r="D1114" s="94">
        <v>3503.0</v>
      </c>
    </row>
    <row r="1115">
      <c r="A1115" s="40">
        <f t="array" ref="A1115">IFNA(index(PlayerValues!A:A,match(IFNA(vlookup(B1115,'Special Names'!A:B,2,FALSE),B1115),PlayerValues!E:E,0)),"N/A")</f>
        <v>17099</v>
      </c>
      <c r="B1115" s="4" t="s">
        <v>474</v>
      </c>
      <c r="C1115" s="4" t="s">
        <v>298</v>
      </c>
      <c r="D1115" s="94">
        <v>3939.0</v>
      </c>
    </row>
    <row r="1116">
      <c r="A1116" s="40">
        <f t="array" ref="A1116">IFNA(index(PlayerValues!A:A,match(IFNA(vlookup(B1116,'Special Names'!A:B,2,FALSE),B1116),PlayerValues!E:E,0)),"N/A")</f>
        <v>17463</v>
      </c>
      <c r="B1116" s="4" t="s">
        <v>433</v>
      </c>
      <c r="C1116" s="4" t="s">
        <v>283</v>
      </c>
      <c r="D1116" s="94">
        <v>3483.0</v>
      </c>
    </row>
    <row r="1117">
      <c r="A1117" s="40">
        <f t="array" ref="A1117">IFNA(index(PlayerValues!A:A,match(IFNA(vlookup(B1117,'Special Names'!A:B,2,FALSE),B1117),PlayerValues!E:E,0)),"N/A")</f>
        <v>14071</v>
      </c>
      <c r="B1117" s="4" t="s">
        <v>440</v>
      </c>
      <c r="C1117" s="4" t="s">
        <v>278</v>
      </c>
      <c r="D1117" s="94">
        <v>3465.0</v>
      </c>
    </row>
    <row r="1118">
      <c r="A1118" s="40">
        <f t="array" ref="A1118">IFNA(index(PlayerValues!A:A,match(IFNA(vlookup(B1118,'Special Names'!A:B,2,FALSE),B1118),PlayerValues!E:E,0)),"N/A")</f>
        <v>11675</v>
      </c>
      <c r="B1118" s="4" t="s">
        <v>438</v>
      </c>
      <c r="C1118" s="4" t="s">
        <v>287</v>
      </c>
      <c r="D1118" s="94">
        <v>3451.0</v>
      </c>
    </row>
    <row r="1119">
      <c r="A1119" s="40">
        <f t="array" ref="A1119">IFNA(index(PlayerValues!A:A,match(IFNA(vlookup(B1119,'Special Names'!A:B,2,FALSE),B1119),PlayerValues!E:E,0)),"N/A")</f>
        <v>16593</v>
      </c>
      <c r="B1119" s="4" t="s">
        <v>442</v>
      </c>
      <c r="C1119" s="4" t="s">
        <v>278</v>
      </c>
      <c r="D1119" s="94">
        <v>3441.0</v>
      </c>
    </row>
    <row r="1120">
      <c r="A1120" s="40">
        <f t="array" ref="A1120">IFNA(index(PlayerValues!A:A,match(IFNA(vlookup(B1120,'Special Names'!A:B,2,FALSE),B1120),PlayerValues!E:E,0)),"N/A")</f>
        <v>14102</v>
      </c>
      <c r="B1120" s="4" t="s">
        <v>444</v>
      </c>
      <c r="C1120" s="4" t="s">
        <v>287</v>
      </c>
      <c r="D1120" s="94">
        <v>3436.0</v>
      </c>
    </row>
    <row r="1121">
      <c r="A1121" s="40">
        <f t="array" ref="A1121">IFNA(index(PlayerValues!A:A,match(IFNA(vlookup(B1121,'Special Names'!A:B,2,FALSE),B1121),PlayerValues!E:E,0)),"N/A")</f>
        <v>17544</v>
      </c>
      <c r="B1121" s="4" t="s">
        <v>470</v>
      </c>
      <c r="C1121" s="4" t="s">
        <v>298</v>
      </c>
      <c r="D1121" s="94">
        <v>3864.0</v>
      </c>
    </row>
    <row r="1122">
      <c r="A1122" s="40">
        <f t="array" ref="A1122">IFNA(index(PlayerValues!A:A,match(IFNA(vlookup(B1122,'Special Names'!A:B,2,FALSE),B1122),PlayerValues!E:E,0)),"N/A")</f>
        <v>15757</v>
      </c>
      <c r="B1122" s="4" t="s">
        <v>449</v>
      </c>
      <c r="C1122" s="4" t="s">
        <v>287</v>
      </c>
      <c r="D1122" s="94">
        <v>3399.0</v>
      </c>
    </row>
    <row r="1123">
      <c r="A1123" s="40">
        <f t="array" ref="A1123">IFNA(index(PlayerValues!A:A,match(IFNA(vlookup(B1123,'Special Names'!A:B,2,FALSE),B1123),PlayerValues!E:E,0)),"N/A")</f>
        <v>15798</v>
      </c>
      <c r="B1123" s="4" t="s">
        <v>443</v>
      </c>
      <c r="C1123" s="4" t="s">
        <v>298</v>
      </c>
      <c r="D1123" s="94">
        <v>3845.0</v>
      </c>
    </row>
    <row r="1124">
      <c r="A1124" s="40">
        <f t="array" ref="A1124">IFNA(index(PlayerValues!A:A,match(IFNA(vlookup(B1124,'Special Names'!A:B,2,FALSE),B1124),PlayerValues!E:E,0)),"N/A")</f>
        <v>17068</v>
      </c>
      <c r="B1124" s="4" t="s">
        <v>450</v>
      </c>
      <c r="C1124" s="4" t="s">
        <v>278</v>
      </c>
      <c r="D1124" s="94">
        <v>3392.0</v>
      </c>
    </row>
    <row r="1125">
      <c r="A1125" s="40">
        <f t="array" ref="A1125">IFNA(index(PlayerValues!A:A,match(IFNA(vlookup(B1125,'Special Names'!A:B,2,FALSE),B1125),PlayerValues!E:E,0)),"N/A")</f>
        <v>16622</v>
      </c>
      <c r="B1125" s="4" t="s">
        <v>517</v>
      </c>
      <c r="C1125" s="4" t="s">
        <v>287</v>
      </c>
      <c r="D1125" s="94">
        <v>3385.0</v>
      </c>
    </row>
    <row r="1126">
      <c r="A1126" s="40" t="str">
        <f t="array" ref="A1126">IFNA(index(PlayerValues!A:A,match(IFNA(vlookup(B1126,'Special Names'!A:B,2,FALSE),B1126),PlayerValues!E:E,0)),"N/A")</f>
        <v>N/A</v>
      </c>
      <c r="B1126" s="4" t="s">
        <v>96</v>
      </c>
      <c r="C1126" s="4" t="s">
        <v>325</v>
      </c>
      <c r="D1126" s="94">
        <v>3384.0</v>
      </c>
    </row>
    <row r="1127">
      <c r="A1127" s="40">
        <f t="array" ref="A1127">IFNA(index(PlayerValues!A:A,match(IFNA(vlookup(B1127,'Special Names'!A:B,2,FALSE),B1127),PlayerValues!E:E,0)),"N/A")</f>
        <v>14842</v>
      </c>
      <c r="B1127" s="4" t="s">
        <v>456</v>
      </c>
      <c r="C1127" s="4" t="s">
        <v>287</v>
      </c>
      <c r="D1127" s="94">
        <v>3379.0</v>
      </c>
    </row>
    <row r="1128">
      <c r="A1128" s="40">
        <f t="array" ref="A1128">IFNA(index(PlayerValues!A:A,match(IFNA(vlookup(B1128,'Special Names'!A:B,2,FALSE),B1128),PlayerValues!E:E,0)),"N/A")</f>
        <v>16169</v>
      </c>
      <c r="B1128" s="4" t="s">
        <v>457</v>
      </c>
      <c r="C1128" s="4" t="s">
        <v>278</v>
      </c>
      <c r="D1128" s="94">
        <v>3371.0</v>
      </c>
    </row>
    <row r="1129">
      <c r="A1129" s="40">
        <f t="array" ref="A1129">IFNA(index(PlayerValues!A:A,match(IFNA(vlookup(B1129,'Special Names'!A:B,2,FALSE),B1129),PlayerValues!E:E,0)),"N/A")</f>
        <v>13299</v>
      </c>
      <c r="B1129" s="4" t="s">
        <v>448</v>
      </c>
      <c r="C1129" s="4" t="s">
        <v>298</v>
      </c>
      <c r="D1129" s="94">
        <v>3822.0</v>
      </c>
    </row>
    <row r="1130">
      <c r="A1130" s="40">
        <f t="array" ref="A1130">IFNA(index(PlayerValues!A:A,match(IFNA(vlookup(B1130,'Special Names'!A:B,2,FALSE),B1130),PlayerValues!E:E,0)),"N/A")</f>
        <v>17074</v>
      </c>
      <c r="B1130" s="4" t="s">
        <v>475</v>
      </c>
      <c r="C1130" s="4" t="s">
        <v>287</v>
      </c>
      <c r="D1130" s="94">
        <v>3369.0</v>
      </c>
    </row>
    <row r="1131">
      <c r="A1131" s="40">
        <f t="array" ref="A1131">IFNA(index(PlayerValues!A:A,match(IFNA(vlookup(B1131,'Special Names'!A:B,2,FALSE),B1131),PlayerValues!E:E,0)),"N/A")</f>
        <v>16184</v>
      </c>
      <c r="B1131" s="4" t="s">
        <v>445</v>
      </c>
      <c r="C1131" s="4" t="s">
        <v>287</v>
      </c>
      <c r="D1131" s="94">
        <v>3365.0</v>
      </c>
    </row>
    <row r="1132">
      <c r="A1132" s="40">
        <f t="array" ref="A1132">IFNA(index(PlayerValues!A:A,match(IFNA(vlookup(B1132,'Special Names'!A:B,2,FALSE),B1132),PlayerValues!E:E,0)),"N/A")</f>
        <v>17083</v>
      </c>
      <c r="B1132" s="4" t="s">
        <v>479</v>
      </c>
      <c r="C1132" s="4" t="s">
        <v>287</v>
      </c>
      <c r="D1132" s="94">
        <v>3365.0</v>
      </c>
    </row>
    <row r="1133">
      <c r="A1133" s="40">
        <f t="array" ref="A1133">IFNA(index(PlayerValues!A:A,match(IFNA(vlookup(B1133,'Special Names'!A:B,2,FALSE),B1133),PlayerValues!E:E,0)),"N/A")</f>
        <v>17500</v>
      </c>
      <c r="B1133" s="4" t="s">
        <v>430</v>
      </c>
      <c r="C1133" s="4" t="s">
        <v>287</v>
      </c>
      <c r="D1133" s="94">
        <v>3357.0</v>
      </c>
    </row>
    <row r="1134">
      <c r="A1134" s="40">
        <f t="array" ref="A1134">IFNA(index(PlayerValues!A:A,match(IFNA(vlookup(B1134,'Special Names'!A:B,2,FALSE),B1134),PlayerValues!E:E,0)),"N/A")</f>
        <v>11671</v>
      </c>
      <c r="B1134" s="4" t="s">
        <v>463</v>
      </c>
      <c r="C1134" s="4" t="s">
        <v>287</v>
      </c>
      <c r="D1134" s="94">
        <v>3322.0</v>
      </c>
    </row>
    <row r="1135">
      <c r="A1135" s="40">
        <f t="array" ref="A1135">IFNA(index(PlayerValues!A:A,match(IFNA(vlookup(B1135,'Special Names'!A:B,2,FALSE),B1135),PlayerValues!E:E,0)),"N/A")</f>
        <v>15742</v>
      </c>
      <c r="B1135" s="4" t="s">
        <v>447</v>
      </c>
      <c r="C1135" s="4" t="s">
        <v>278</v>
      </c>
      <c r="D1135" s="94">
        <v>3320.0</v>
      </c>
    </row>
    <row r="1136">
      <c r="A1136" s="40">
        <f t="array" ref="A1136">IFNA(index(PlayerValues!A:A,match(IFNA(vlookup(B1136,'Special Names'!A:B,2,FALSE),B1136),PlayerValues!E:E,0)),"N/A")</f>
        <v>16620</v>
      </c>
      <c r="B1136" s="4" t="s">
        <v>467</v>
      </c>
      <c r="C1136" s="4" t="s">
        <v>287</v>
      </c>
      <c r="D1136" s="94">
        <v>3312.0</v>
      </c>
    </row>
    <row r="1137">
      <c r="A1137" s="40" t="str">
        <f t="array" ref="A1137">IFNA(index(PlayerValues!A:A,match(IFNA(vlookup(B1137,'Special Names'!A:B,2,FALSE),B1137),PlayerValues!E:E,0)),"N/A")</f>
        <v>N/A</v>
      </c>
      <c r="B1137" s="4" t="s">
        <v>82</v>
      </c>
      <c r="C1137" s="4" t="s">
        <v>325</v>
      </c>
      <c r="D1137" s="94">
        <v>3310.0</v>
      </c>
    </row>
    <row r="1138">
      <c r="A1138" s="40">
        <f t="array" ref="A1138">IFNA(index(PlayerValues!A:A,match(IFNA(vlookup(B1138,'Special Names'!A:B,2,FALSE),B1138),PlayerValues!E:E,0)),"N/A")</f>
        <v>16213</v>
      </c>
      <c r="B1138" s="4" t="s">
        <v>458</v>
      </c>
      <c r="C1138" s="4" t="s">
        <v>298</v>
      </c>
      <c r="D1138" s="94">
        <v>3636.0</v>
      </c>
    </row>
    <row r="1139">
      <c r="A1139" s="40">
        <f t="array" ref="A1139">IFNA(index(PlayerValues!A:A,match(IFNA(vlookup(B1139,'Special Names'!A:B,2,FALSE),B1139),PlayerValues!E:E,0)),"N/A")</f>
        <v>15799</v>
      </c>
      <c r="B1139" s="4" t="s">
        <v>468</v>
      </c>
      <c r="C1139" s="4" t="s">
        <v>298</v>
      </c>
      <c r="D1139" s="94">
        <v>3627.0</v>
      </c>
    </row>
    <row r="1140">
      <c r="A1140" s="40">
        <f t="array" ref="A1140">IFNA(index(PlayerValues!A:A,match(IFNA(vlookup(B1140,'Special Names'!A:B,2,FALSE),B1140),PlayerValues!E:E,0)),"N/A")</f>
        <v>17477</v>
      </c>
      <c r="B1140" s="4" t="s">
        <v>452</v>
      </c>
      <c r="C1140" s="4" t="s">
        <v>278</v>
      </c>
      <c r="D1140" s="94">
        <v>3186.0</v>
      </c>
    </row>
    <row r="1141">
      <c r="A1141" s="40" t="str">
        <f t="array" ref="A1141">IFNA(index(PlayerValues!A:A,match(IFNA(vlookup(B1141,'Special Names'!A:B,2,FALSE),B1141),PlayerValues!E:E,0)),"N/A")</f>
        <v>N/A</v>
      </c>
      <c r="B1141" s="4" t="s">
        <v>108</v>
      </c>
      <c r="C1141" s="4" t="s">
        <v>325</v>
      </c>
      <c r="D1141" s="94">
        <v>3181.0</v>
      </c>
    </row>
    <row r="1142">
      <c r="A1142" s="40">
        <f t="array" ref="A1142">IFNA(index(PlayerValues!A:A,match(IFNA(vlookup(B1142,'Special Names'!A:B,2,FALSE),B1142),PlayerValues!E:E,0)),"N/A")</f>
        <v>15261</v>
      </c>
      <c r="B1142" s="4" t="s">
        <v>466</v>
      </c>
      <c r="C1142" s="4" t="s">
        <v>278</v>
      </c>
      <c r="D1142" s="94">
        <v>3176.0</v>
      </c>
    </row>
    <row r="1143">
      <c r="A1143" s="40">
        <f t="array" ref="A1143">IFNA(index(PlayerValues!A:A,match(IFNA(vlookup(B1143,'Special Names'!A:B,2,FALSE),B1143),PlayerValues!E:E,0)),"N/A")</f>
        <v>16809</v>
      </c>
      <c r="B1143" s="4" t="s">
        <v>455</v>
      </c>
      <c r="C1143" s="4" t="s">
        <v>287</v>
      </c>
      <c r="D1143" s="94">
        <v>3158.0</v>
      </c>
    </row>
    <row r="1144">
      <c r="A1144" s="40" t="str">
        <f t="array" ref="A1144">IFNA(index(PlayerValues!A:A,match(IFNA(vlookup(B1144,'Special Names'!A:B,2,FALSE),B1144),PlayerValues!E:E,0)),"N/A")</f>
        <v>N/A</v>
      </c>
      <c r="B1144" s="4" t="s">
        <v>97</v>
      </c>
      <c r="C1144" s="4" t="s">
        <v>325</v>
      </c>
      <c r="D1144" s="94">
        <v>3132.0</v>
      </c>
    </row>
    <row r="1145">
      <c r="A1145" s="40">
        <f t="array" ref="A1145">IFNA(index(PlayerValues!A:A,match(IFNA(vlookup(B1145,'Special Names'!A:B,2,FALSE),B1145),PlayerValues!E:E,0)),"N/A")</f>
        <v>16269</v>
      </c>
      <c r="B1145" s="4" t="s">
        <v>481</v>
      </c>
      <c r="C1145" s="4" t="s">
        <v>298</v>
      </c>
      <c r="D1145" s="94">
        <v>3536.0</v>
      </c>
    </row>
    <row r="1146">
      <c r="A1146" s="40">
        <f t="array" ref="A1146">IFNA(index(PlayerValues!A:A,match(IFNA(vlookup(B1146,'Special Names'!A:B,2,FALSE),B1146),PlayerValues!E:E,0)),"N/A")</f>
        <v>14823</v>
      </c>
      <c r="B1146" s="4" t="s">
        <v>459</v>
      </c>
      <c r="C1146" s="4" t="s">
        <v>278</v>
      </c>
      <c r="D1146" s="94">
        <v>3090.0</v>
      </c>
    </row>
    <row r="1147">
      <c r="A1147" s="40">
        <f t="array" ref="A1147">IFNA(index(PlayerValues!A:A,match(IFNA(vlookup(B1147,'Special Names'!A:B,2,FALSE),B1147),PlayerValues!E:E,0)),"N/A")</f>
        <v>17514</v>
      </c>
      <c r="B1147" s="4" t="s">
        <v>422</v>
      </c>
      <c r="C1147" s="4" t="s">
        <v>287</v>
      </c>
      <c r="D1147" s="94">
        <v>3075.0</v>
      </c>
    </row>
    <row r="1148">
      <c r="A1148" s="40">
        <f t="array" ref="A1148">IFNA(index(PlayerValues!A:A,match(IFNA(vlookup(B1148,'Special Names'!A:B,2,FALSE),B1148),PlayerValues!E:E,0)),"N/A")</f>
        <v>13630</v>
      </c>
      <c r="B1148" s="4" t="s">
        <v>465</v>
      </c>
      <c r="C1148" s="4" t="s">
        <v>287</v>
      </c>
      <c r="D1148" s="94">
        <v>3058.0</v>
      </c>
    </row>
    <row r="1149">
      <c r="A1149" s="40">
        <f t="array" ref="A1149">IFNA(index(PlayerValues!A:A,match(IFNA(vlookup(B1149,'Special Names'!A:B,2,FALSE),B1149),PlayerValues!E:E,0)),"N/A")</f>
        <v>15259</v>
      </c>
      <c r="B1149" s="4" t="s">
        <v>453</v>
      </c>
      <c r="C1149" s="4" t="s">
        <v>278</v>
      </c>
      <c r="D1149" s="94">
        <v>3050.0</v>
      </c>
    </row>
    <row r="1150">
      <c r="A1150" s="40">
        <f t="array" ref="A1150">IFNA(index(PlayerValues!A:A,match(IFNA(vlookup(B1150,'Special Names'!A:B,2,FALSE),B1150),PlayerValues!E:E,0)),"N/A")</f>
        <v>15779</v>
      </c>
      <c r="B1150" s="4" t="s">
        <v>461</v>
      </c>
      <c r="C1150" s="4" t="s">
        <v>287</v>
      </c>
      <c r="D1150" s="94">
        <v>3033.0</v>
      </c>
    </row>
    <row r="1151">
      <c r="A1151" s="40">
        <f t="array" ref="A1151">IFNA(index(PlayerValues!A:A,match(IFNA(vlookup(B1151,'Special Names'!A:B,2,FALSE),B1151),PlayerValues!E:E,0)),"N/A")</f>
        <v>17512</v>
      </c>
      <c r="B1151" s="4" t="s">
        <v>483</v>
      </c>
      <c r="C1151" s="4" t="s">
        <v>287</v>
      </c>
      <c r="D1151" s="94">
        <v>3028.0</v>
      </c>
    </row>
    <row r="1152">
      <c r="A1152" s="40">
        <f t="array" ref="A1152">IFNA(index(PlayerValues!A:A,match(IFNA(vlookup(B1152,'Special Names'!A:B,2,FALSE),B1152),PlayerValues!E:E,0)),"N/A")</f>
        <v>16628</v>
      </c>
      <c r="B1152" s="4" t="s">
        <v>490</v>
      </c>
      <c r="C1152" s="4" t="s">
        <v>287</v>
      </c>
      <c r="D1152" s="94">
        <v>3026.0</v>
      </c>
    </row>
    <row r="1153">
      <c r="A1153" s="40" t="str">
        <f t="array" ref="A1153">IFNA(index(PlayerValues!A:A,match(IFNA(vlookup(B1153,'Special Names'!A:B,2,FALSE),B1153),PlayerValues!E:E,0)),"N/A")</f>
        <v>N/A</v>
      </c>
      <c r="B1153" s="4" t="s">
        <v>84</v>
      </c>
      <c r="C1153" s="4" t="s">
        <v>325</v>
      </c>
      <c r="D1153" s="94">
        <v>3020.0</v>
      </c>
    </row>
    <row r="1154">
      <c r="A1154" s="40">
        <f t="array" ref="A1154">IFNA(index(PlayerValues!A:A,match(IFNA(vlookup(B1154,'Special Names'!A:B,2,FALSE),B1154),PlayerValues!E:E,0)),"N/A")</f>
        <v>17506</v>
      </c>
      <c r="B1154" s="4" t="s">
        <v>471</v>
      </c>
      <c r="C1154" s="4" t="s">
        <v>287</v>
      </c>
      <c r="D1154" s="94">
        <v>3019.0</v>
      </c>
    </row>
    <row r="1155">
      <c r="A1155" s="40">
        <f t="array" ref="A1155">IFNA(index(PlayerValues!A:A,match(IFNA(vlookup(B1155,'Special Names'!A:B,2,FALSE),B1155),PlayerValues!E:E,0)),"N/A")</f>
        <v>17256</v>
      </c>
      <c r="B1155" s="4" t="s">
        <v>462</v>
      </c>
      <c r="C1155" s="4" t="s">
        <v>278</v>
      </c>
      <c r="D1155" s="94">
        <v>3015.0</v>
      </c>
    </row>
    <row r="1156">
      <c r="A1156" s="40">
        <f t="array" ref="A1156">IFNA(index(PlayerValues!A:A,match(IFNA(vlookup(B1156,'Special Names'!A:B,2,FALSE),B1156),PlayerValues!E:E,0)),"N/A")</f>
        <v>14800</v>
      </c>
      <c r="B1156" s="4" t="s">
        <v>472</v>
      </c>
      <c r="C1156" s="4" t="s">
        <v>278</v>
      </c>
      <c r="D1156" s="94">
        <v>2996.0</v>
      </c>
    </row>
    <row r="1157">
      <c r="A1157" s="40">
        <f t="array" ref="A1157">IFNA(index(PlayerValues!A:A,match(IFNA(vlookup(B1157,'Special Names'!A:B,2,FALSE),B1157),PlayerValues!E:E,0)),"N/A")</f>
        <v>15255</v>
      </c>
      <c r="B1157" s="4" t="s">
        <v>477</v>
      </c>
      <c r="C1157" s="4" t="s">
        <v>278</v>
      </c>
      <c r="D1157" s="94">
        <v>2991.0</v>
      </c>
    </row>
    <row r="1158">
      <c r="A1158" s="40">
        <f t="array" ref="A1158">IFNA(index(PlayerValues!A:A,match(IFNA(vlookup(B1158,'Special Names'!A:B,2,FALSE),B1158),PlayerValues!E:E,0)),"N/A")</f>
        <v>14127</v>
      </c>
      <c r="B1158" s="4" t="s">
        <v>486</v>
      </c>
      <c r="C1158" s="4" t="s">
        <v>287</v>
      </c>
      <c r="D1158" s="94">
        <v>2965.0</v>
      </c>
    </row>
    <row r="1159">
      <c r="A1159" s="40">
        <f t="array" ref="A1159">IFNA(index(PlayerValues!A:A,match(IFNA(vlookup(B1159,'Special Names'!A:B,2,FALSE),B1159),PlayerValues!E:E,0)),"N/A")</f>
        <v>13163</v>
      </c>
      <c r="B1159" s="4" t="s">
        <v>473</v>
      </c>
      <c r="C1159" s="4" t="s">
        <v>287</v>
      </c>
      <c r="D1159" s="94">
        <v>2958.0</v>
      </c>
    </row>
    <row r="1160">
      <c r="A1160" s="40" t="str">
        <f t="array" ref="A1160">IFNA(index(PlayerValues!A:A,match(IFNA(vlookup(B1160,'Special Names'!A:B,2,FALSE),B1160),PlayerValues!E:E,0)),"N/A")</f>
        <v>N/A</v>
      </c>
      <c r="B1160" s="4" t="s">
        <v>109</v>
      </c>
      <c r="C1160" s="4" t="s">
        <v>325</v>
      </c>
      <c r="D1160" s="94">
        <v>2938.0</v>
      </c>
    </row>
    <row r="1161">
      <c r="A1161" s="40">
        <f t="array" ref="A1161">IFNA(index(PlayerValues!A:A,match(IFNA(vlookup(B1161,'Special Names'!A:B,2,FALSE),B1161),PlayerValues!E:E,0)),"N/A")</f>
        <v>17503</v>
      </c>
      <c r="B1161" s="4" t="s">
        <v>480</v>
      </c>
      <c r="C1161" s="4" t="s">
        <v>287</v>
      </c>
      <c r="D1161" s="94">
        <v>2933.0</v>
      </c>
    </row>
    <row r="1162">
      <c r="A1162" s="40">
        <f t="array" ref="A1162">IFNA(index(PlayerValues!A:A,match(IFNA(vlookup(B1162,'Special Names'!A:B,2,FALSE),B1162),PlayerValues!E:E,0)),"N/A")</f>
        <v>17476</v>
      </c>
      <c r="B1162" s="4" t="s">
        <v>494</v>
      </c>
      <c r="C1162" s="4" t="s">
        <v>278</v>
      </c>
      <c r="D1162" s="94">
        <v>2879.0</v>
      </c>
    </row>
    <row r="1163">
      <c r="A1163" s="40">
        <f t="array" ref="A1163">IFNA(index(PlayerValues!A:A,match(IFNA(vlookup(B1163,'Special Names'!A:B,2,FALSE),B1163),PlayerValues!E:E,0)),"N/A")</f>
        <v>15761</v>
      </c>
      <c r="B1163" s="4" t="s">
        <v>491</v>
      </c>
      <c r="C1163" s="4" t="s">
        <v>287</v>
      </c>
      <c r="D1163" s="94">
        <v>2862.0</v>
      </c>
    </row>
    <row r="1164">
      <c r="A1164" s="40">
        <f t="array" ref="A1164">IFNA(index(PlayerValues!A:A,match(IFNA(vlookup(B1164,'Special Names'!A:B,2,FALSE),B1164),PlayerValues!E:E,0)),"N/A")</f>
        <v>14085</v>
      </c>
      <c r="B1164" s="4" t="s">
        <v>489</v>
      </c>
      <c r="C1164" s="4" t="s">
        <v>278</v>
      </c>
      <c r="D1164" s="94">
        <v>2841.0</v>
      </c>
    </row>
    <row r="1165">
      <c r="A1165" s="40">
        <f t="array" ref="A1165">IFNA(index(PlayerValues!A:A,match(IFNA(vlookup(B1165,'Special Names'!A:B,2,FALSE),B1165),PlayerValues!E:E,0)),"N/A")</f>
        <v>16080</v>
      </c>
      <c r="B1165" s="4" t="s">
        <v>499</v>
      </c>
      <c r="C1165" s="4" t="s">
        <v>287</v>
      </c>
      <c r="D1165" s="94">
        <v>2819.0</v>
      </c>
    </row>
    <row r="1166">
      <c r="A1166" s="40">
        <f t="array" ref="A1166">IFNA(index(PlayerValues!A:A,match(IFNA(vlookup(B1166,'Special Names'!A:B,2,FALSE),B1166),PlayerValues!E:E,0)),"N/A")</f>
        <v>15889</v>
      </c>
      <c r="B1166" s="4" t="s">
        <v>503</v>
      </c>
      <c r="C1166" s="4" t="s">
        <v>298</v>
      </c>
      <c r="D1166" s="94">
        <v>3220.0</v>
      </c>
    </row>
    <row r="1167">
      <c r="A1167" s="40">
        <f t="array" ref="A1167">IFNA(index(PlayerValues!A:A,match(IFNA(vlookup(B1167,'Special Names'!A:B,2,FALSE),B1167),PlayerValues!E:E,0)),"N/A")</f>
        <v>16583</v>
      </c>
      <c r="B1167" s="4" t="s">
        <v>493</v>
      </c>
      <c r="C1167" s="4" t="s">
        <v>283</v>
      </c>
      <c r="D1167" s="94">
        <v>2798.0</v>
      </c>
    </row>
    <row r="1168">
      <c r="A1168" s="40" t="str">
        <f t="array" ref="A1168">IFNA(index(PlayerValues!A:A,match(IFNA(vlookup(B1168,'Special Names'!A:B,2,FALSE),B1168),PlayerValues!E:E,0)),"N/A")</f>
        <v>N/A</v>
      </c>
      <c r="B1168" s="4" t="s">
        <v>85</v>
      </c>
      <c r="C1168" s="4" t="s">
        <v>325</v>
      </c>
      <c r="D1168" s="94">
        <v>2797.0</v>
      </c>
    </row>
    <row r="1169">
      <c r="A1169" s="40" t="str">
        <f t="array" ref="A1169">IFNA(index(PlayerValues!A:A,match(IFNA(vlookup(B1169,'Special Names'!A:B,2,FALSE),B1169),PlayerValues!E:E,0)),"N/A")</f>
        <v>N/A</v>
      </c>
      <c r="B1169" s="4" t="s">
        <v>110</v>
      </c>
      <c r="C1169" s="4" t="s">
        <v>325</v>
      </c>
      <c r="D1169" s="94">
        <v>2779.0</v>
      </c>
    </row>
    <row r="1170">
      <c r="A1170" s="40">
        <f t="array" ref="A1170">IFNA(index(PlayerValues!A:A,match(IFNA(vlookup(B1170,'Special Names'!A:B,2,FALSE),B1170),PlayerValues!E:E,0)),"N/A")</f>
        <v>16723</v>
      </c>
      <c r="B1170" s="4" t="s">
        <v>502</v>
      </c>
      <c r="C1170" s="4" t="s">
        <v>298</v>
      </c>
      <c r="D1170" s="94">
        <v>3188.0</v>
      </c>
    </row>
    <row r="1171">
      <c r="A1171" s="40">
        <f t="array" ref="A1171">IFNA(index(PlayerValues!A:A,match(IFNA(vlookup(B1171,'Special Names'!A:B,2,FALSE),B1171),PlayerValues!E:E,0)),"N/A")</f>
        <v>17047</v>
      </c>
      <c r="B1171" s="4" t="s">
        <v>510</v>
      </c>
      <c r="C1171" s="4" t="s">
        <v>278</v>
      </c>
      <c r="D1171" s="94">
        <v>2767.0</v>
      </c>
    </row>
    <row r="1172">
      <c r="A1172" s="40">
        <f t="array" ref="A1172">IFNA(index(PlayerValues!A:A,match(IFNA(vlookup(B1172,'Special Names'!A:B,2,FALSE),B1172),PlayerValues!E:E,0)),"N/A")</f>
        <v>17107</v>
      </c>
      <c r="B1172" s="4" t="s">
        <v>478</v>
      </c>
      <c r="C1172" s="4" t="s">
        <v>298</v>
      </c>
      <c r="D1172" s="94">
        <v>3164.0</v>
      </c>
    </row>
    <row r="1173">
      <c r="A1173" s="40">
        <f t="array" ref="A1173">IFNA(index(PlayerValues!A:A,match(IFNA(vlookup(B1173,'Special Names'!A:B,2,FALSE),B1173),PlayerValues!E:E,0)),"N/A")</f>
        <v>13671</v>
      </c>
      <c r="B1173" s="4" t="s">
        <v>506</v>
      </c>
      <c r="C1173" s="4" t="s">
        <v>298</v>
      </c>
      <c r="D1173" s="94">
        <v>3164.0</v>
      </c>
    </row>
    <row r="1174">
      <c r="A1174" s="40">
        <f t="array" ref="A1174">IFNA(index(PlayerValues!A:A,match(IFNA(vlookup(B1174,'Special Names'!A:B,2,FALSE),B1174),PlayerValues!E:E,0)),"N/A")</f>
        <v>15721</v>
      </c>
      <c r="B1174" s="4" t="s">
        <v>504</v>
      </c>
      <c r="C1174" s="4" t="s">
        <v>278</v>
      </c>
      <c r="D1174" s="94">
        <v>2745.0</v>
      </c>
    </row>
    <row r="1175">
      <c r="A1175" s="40">
        <f t="array" ref="A1175">IFNA(index(PlayerValues!A:A,match(IFNA(vlookup(B1175,'Special Names'!A:B,2,FALSE),B1175),PlayerValues!E:E,0)),"N/A")</f>
        <v>17053</v>
      </c>
      <c r="B1175" s="4" t="s">
        <v>484</v>
      </c>
      <c r="C1175" s="4" t="s">
        <v>278</v>
      </c>
      <c r="D1175" s="94">
        <v>2735.0</v>
      </c>
    </row>
    <row r="1176">
      <c r="A1176" s="40">
        <f t="array" ref="A1176">IFNA(index(PlayerValues!A:A,match(IFNA(vlookup(B1176,'Special Names'!A:B,2,FALSE),B1176),PlayerValues!E:E,0)),"N/A")</f>
        <v>17157</v>
      </c>
      <c r="B1176" s="4" t="s">
        <v>524</v>
      </c>
      <c r="C1176" s="4" t="s">
        <v>287</v>
      </c>
      <c r="D1176" s="94">
        <v>2728.0</v>
      </c>
    </row>
    <row r="1177">
      <c r="A1177" s="40">
        <f t="array" ref="A1177">IFNA(index(PlayerValues!A:A,match(IFNA(vlookup(B1177,'Special Names'!A:B,2,FALSE),B1177),PlayerValues!E:E,0)),"N/A")</f>
        <v>15972</v>
      </c>
      <c r="B1177" s="4" t="s">
        <v>469</v>
      </c>
      <c r="C1177" s="4" t="s">
        <v>278</v>
      </c>
      <c r="D1177" s="94">
        <v>2714.0</v>
      </c>
    </row>
    <row r="1178">
      <c r="A1178" s="40">
        <f t="array" ref="A1178">IFNA(index(PlayerValues!A:A,match(IFNA(vlookup(B1178,'Special Names'!A:B,2,FALSE),B1178),PlayerValues!E:E,0)),"N/A")</f>
        <v>14138</v>
      </c>
      <c r="B1178" s="4" t="s">
        <v>531</v>
      </c>
      <c r="C1178" s="4" t="s">
        <v>298</v>
      </c>
      <c r="D1178" s="94">
        <v>3112.0</v>
      </c>
    </row>
    <row r="1179">
      <c r="A1179" s="40">
        <f t="array" ref="A1179">IFNA(index(PlayerValues!A:A,match(IFNA(vlookup(B1179,'Special Names'!A:B,2,FALSE),B1179),PlayerValues!E:E,0)),"N/A")</f>
        <v>15712</v>
      </c>
      <c r="B1179" s="4" t="s">
        <v>488</v>
      </c>
      <c r="C1179" s="4" t="s">
        <v>278</v>
      </c>
      <c r="D1179" s="94">
        <v>2689.0</v>
      </c>
    </row>
    <row r="1180">
      <c r="A1180" s="40">
        <f t="array" ref="A1180">IFNA(index(PlayerValues!A:A,match(IFNA(vlookup(B1180,'Special Names'!A:B,2,FALSE),B1180),PlayerValues!E:E,0)),"N/A")</f>
        <v>17505</v>
      </c>
      <c r="B1180" s="4" t="s">
        <v>528</v>
      </c>
      <c r="C1180" s="4" t="s">
        <v>287</v>
      </c>
      <c r="D1180" s="94">
        <v>2686.0</v>
      </c>
    </row>
    <row r="1181">
      <c r="A1181" s="40">
        <f t="array" ref="A1181">IFNA(index(PlayerValues!A:A,match(IFNA(vlookup(B1181,'Special Names'!A:B,2,FALSE),B1181),PlayerValues!E:E,0)),"N/A")</f>
        <v>17507</v>
      </c>
      <c r="B1181" s="4" t="s">
        <v>495</v>
      </c>
      <c r="C1181" s="4" t="s">
        <v>287</v>
      </c>
      <c r="D1181" s="94">
        <v>2684.0</v>
      </c>
    </row>
    <row r="1182">
      <c r="A1182" s="40">
        <f t="array" ref="A1182">IFNA(index(PlayerValues!A:A,match(IFNA(vlookup(B1182,'Special Names'!A:B,2,FALSE),B1182),PlayerValues!E:E,0)),"N/A")</f>
        <v>17031</v>
      </c>
      <c r="B1182" s="4" t="s">
        <v>535</v>
      </c>
      <c r="C1182" s="4" t="s">
        <v>283</v>
      </c>
      <c r="D1182" s="94">
        <v>2678.0</v>
      </c>
    </row>
    <row r="1183">
      <c r="A1183" s="40">
        <f t="array" ref="A1183">IFNA(index(PlayerValues!A:A,match(IFNA(vlookup(B1183,'Special Names'!A:B,2,FALSE),B1183),PlayerValues!E:E,0)),"N/A")</f>
        <v>17072</v>
      </c>
      <c r="B1183" s="4" t="s">
        <v>508</v>
      </c>
      <c r="C1183" s="4" t="s">
        <v>287</v>
      </c>
      <c r="D1183" s="94">
        <v>2678.0</v>
      </c>
    </row>
    <row r="1184">
      <c r="A1184" s="40">
        <f t="array" ref="A1184">IFNA(index(PlayerValues!A:A,match(IFNA(vlookup(B1184,'Special Names'!A:B,2,FALSE),B1184),PlayerValues!E:E,0)),"N/A")</f>
        <v>15241</v>
      </c>
      <c r="B1184" s="4" t="s">
        <v>546</v>
      </c>
      <c r="C1184" s="4" t="s">
        <v>283</v>
      </c>
      <c r="D1184" s="94">
        <v>2671.0</v>
      </c>
    </row>
    <row r="1185">
      <c r="A1185" s="40">
        <f t="array" ref="A1185">IFNA(index(PlayerValues!A:A,match(IFNA(vlookup(B1185,'Special Names'!A:B,2,FALSE),B1185),PlayerValues!E:E,0)),"N/A")</f>
        <v>14778</v>
      </c>
      <c r="B1185" s="4" t="s">
        <v>564</v>
      </c>
      <c r="C1185" s="4" t="s">
        <v>283</v>
      </c>
      <c r="D1185" s="94">
        <v>2664.0</v>
      </c>
    </row>
    <row r="1186">
      <c r="A1186" s="40">
        <f t="array" ref="A1186">IFNA(index(PlayerValues!A:A,match(IFNA(vlookup(B1186,'Special Names'!A:B,2,FALSE),B1186),PlayerValues!E:E,0)),"N/A")</f>
        <v>13674</v>
      </c>
      <c r="B1186" s="4" t="s">
        <v>511</v>
      </c>
      <c r="C1186" s="4" t="s">
        <v>298</v>
      </c>
      <c r="D1186" s="94">
        <v>3072.0</v>
      </c>
    </row>
    <row r="1187">
      <c r="A1187" s="40">
        <f t="array" ref="A1187">IFNA(index(PlayerValues!A:A,match(IFNA(vlookup(B1187,'Special Names'!A:B,2,FALSE),B1187),PlayerValues!E:E,0)),"N/A")</f>
        <v>16626</v>
      </c>
      <c r="B1187" s="4" t="s">
        <v>515</v>
      </c>
      <c r="C1187" s="4" t="s">
        <v>287</v>
      </c>
      <c r="D1187" s="94">
        <v>2647.0</v>
      </c>
    </row>
    <row r="1188">
      <c r="A1188" s="40">
        <f t="array" ref="A1188">IFNA(index(PlayerValues!A:A,match(IFNA(vlookup(B1188,'Special Names'!A:B,2,FALSE),B1188),PlayerValues!E:E,0)),"N/A")</f>
        <v>17080</v>
      </c>
      <c r="B1188" s="4" t="s">
        <v>532</v>
      </c>
      <c r="C1188" s="4" t="s">
        <v>287</v>
      </c>
      <c r="D1188" s="94">
        <v>2644.0</v>
      </c>
    </row>
    <row r="1189">
      <c r="A1189" s="40">
        <f t="array" ref="A1189">IFNA(index(PlayerValues!A:A,match(IFNA(vlookup(B1189,'Special Names'!A:B,2,FALSE),B1189),PlayerValues!E:E,0)),"N/A")</f>
        <v>17105</v>
      </c>
      <c r="B1189" s="4" t="s">
        <v>525</v>
      </c>
      <c r="C1189" s="4" t="s">
        <v>298</v>
      </c>
      <c r="D1189" s="94">
        <v>3053.0</v>
      </c>
    </row>
    <row r="1190">
      <c r="A1190" s="40">
        <f t="array" ref="A1190">IFNA(index(PlayerValues!A:A,match(IFNA(vlookup(B1190,'Special Names'!A:B,2,FALSE),B1190),PlayerValues!E:E,0)),"N/A")</f>
        <v>16174</v>
      </c>
      <c r="B1190" s="4" t="s">
        <v>505</v>
      </c>
      <c r="C1190" s="4" t="s">
        <v>278</v>
      </c>
      <c r="D1190" s="94">
        <v>2640.0</v>
      </c>
    </row>
    <row r="1191">
      <c r="A1191" s="40">
        <f t="array" ref="A1191">IFNA(index(PlayerValues!A:A,match(IFNA(vlookup(B1191,'Special Names'!A:B,2,FALSE),B1191),PlayerValues!E:E,0)),"N/A")</f>
        <v>16584</v>
      </c>
      <c r="B1191" s="4" t="s">
        <v>569</v>
      </c>
      <c r="C1191" s="4" t="s">
        <v>283</v>
      </c>
      <c r="D1191" s="94">
        <v>2633.0</v>
      </c>
    </row>
    <row r="1192">
      <c r="A1192" s="40">
        <f t="array" ref="A1192">IFNA(index(PlayerValues!A:A,match(IFNA(vlookup(B1192,'Special Names'!A:B,2,FALSE),B1192),PlayerValues!E:E,0)),"N/A")</f>
        <v>11244</v>
      </c>
      <c r="B1192" s="4" t="s">
        <v>519</v>
      </c>
      <c r="C1192" s="4" t="s">
        <v>298</v>
      </c>
      <c r="D1192" s="94">
        <v>3040.0</v>
      </c>
    </row>
    <row r="1193">
      <c r="A1193" s="40">
        <f t="array" ref="A1193">IFNA(index(PlayerValues!A:A,match(IFNA(vlookup(B1193,'Special Names'!A:B,2,FALSE),B1193),PlayerValues!E:E,0)),"N/A")</f>
        <v>17520</v>
      </c>
      <c r="B1193" s="4" t="s">
        <v>518</v>
      </c>
      <c r="C1193" s="4" t="s">
        <v>287</v>
      </c>
      <c r="D1193" s="94">
        <v>2616.0</v>
      </c>
    </row>
    <row r="1194">
      <c r="A1194" s="40">
        <f t="array" ref="A1194">IFNA(index(PlayerValues!A:A,match(IFNA(vlookup(B1194,'Special Names'!A:B,2,FALSE),B1194),PlayerValues!E:E,0)),"N/A")</f>
        <v>16596</v>
      </c>
      <c r="B1194" s="4" t="s">
        <v>501</v>
      </c>
      <c r="C1194" s="4" t="s">
        <v>278</v>
      </c>
      <c r="D1194" s="94">
        <v>2612.0</v>
      </c>
    </row>
    <row r="1195">
      <c r="A1195" s="40">
        <f t="array" ref="A1195">IFNA(index(PlayerValues!A:A,match(IFNA(vlookup(B1195,'Special Names'!A:B,2,FALSE),B1195),PlayerValues!E:E,0)),"N/A")</f>
        <v>16747</v>
      </c>
      <c r="B1195" s="4" t="s">
        <v>555</v>
      </c>
      <c r="C1195" s="4" t="s">
        <v>278</v>
      </c>
      <c r="D1195" s="94">
        <v>2611.0</v>
      </c>
    </row>
    <row r="1196">
      <c r="A1196" s="40">
        <f t="array" ref="A1196">IFNA(index(PlayerValues!A:A,match(IFNA(vlookup(B1196,'Special Names'!A:B,2,FALSE),B1196),PlayerValues!E:E,0)),"N/A")</f>
        <v>17098</v>
      </c>
      <c r="B1196" s="4" t="s">
        <v>533</v>
      </c>
      <c r="C1196" s="4" t="s">
        <v>287</v>
      </c>
      <c r="D1196" s="94">
        <v>2611.0</v>
      </c>
    </row>
    <row r="1197">
      <c r="A1197" s="40">
        <f t="array" ref="A1197">IFNA(index(PlayerValues!A:A,match(IFNA(vlookup(B1197,'Special Names'!A:B,2,FALSE),B1197),PlayerValues!E:E,0)),"N/A")</f>
        <v>17511</v>
      </c>
      <c r="B1197" s="4" t="s">
        <v>485</v>
      </c>
      <c r="C1197" s="4" t="s">
        <v>287</v>
      </c>
      <c r="D1197" s="94">
        <v>2601.0</v>
      </c>
    </row>
    <row r="1198">
      <c r="A1198" s="40">
        <f t="array" ref="A1198">IFNA(index(PlayerValues!A:A,match(IFNA(vlookup(B1198,'Special Names'!A:B,2,FALSE),B1198),PlayerValues!E:E,0)),"N/A")</f>
        <v>16164</v>
      </c>
      <c r="B1198" s="4" t="s">
        <v>512</v>
      </c>
      <c r="C1198" s="4" t="s">
        <v>278</v>
      </c>
      <c r="D1198" s="94">
        <v>2598.0</v>
      </c>
    </row>
    <row r="1199">
      <c r="A1199" s="40">
        <f t="array" ref="A1199">IFNA(index(PlayerValues!A:A,match(IFNA(vlookup(B1199,'Special Names'!A:B,2,FALSE),B1199),PlayerValues!E:E,0)),"N/A")</f>
        <v>17466</v>
      </c>
      <c r="B1199" s="4" t="s">
        <v>492</v>
      </c>
      <c r="C1199" s="4" t="s">
        <v>283</v>
      </c>
      <c r="D1199" s="94">
        <v>2596.0</v>
      </c>
    </row>
    <row r="1200">
      <c r="A1200" s="40">
        <f t="array" ref="A1200">IFNA(index(PlayerValues!A:A,match(IFNA(vlookup(B1200,'Special Names'!A:B,2,FALSE),B1200),PlayerValues!E:E,0)),"N/A")</f>
        <v>16178</v>
      </c>
      <c r="B1200" s="4" t="s">
        <v>507</v>
      </c>
      <c r="C1200" s="4" t="s">
        <v>278</v>
      </c>
      <c r="D1200" s="94">
        <v>2590.0</v>
      </c>
    </row>
    <row r="1201">
      <c r="A1201" s="40">
        <f t="array" ref="A1201">IFNA(index(PlayerValues!A:A,match(IFNA(vlookup(B1201,'Special Names'!A:B,2,FALSE),B1201),PlayerValues!E:E,0)),"N/A")</f>
        <v>12616</v>
      </c>
      <c r="B1201" s="4" t="s">
        <v>529</v>
      </c>
      <c r="C1201" s="4" t="s">
        <v>283</v>
      </c>
      <c r="D1201" s="94">
        <v>2578.0</v>
      </c>
    </row>
    <row r="1202">
      <c r="A1202" s="40">
        <f t="array" ref="A1202">IFNA(index(PlayerValues!A:A,match(IFNA(vlookup(B1202,'Special Names'!A:B,2,FALSE),B1202),PlayerValues!E:E,0)),"N/A")</f>
        <v>16204</v>
      </c>
      <c r="B1202" s="4" t="s">
        <v>530</v>
      </c>
      <c r="C1202" s="4" t="s">
        <v>287</v>
      </c>
      <c r="D1202" s="94">
        <v>2578.0</v>
      </c>
    </row>
    <row r="1203">
      <c r="A1203" s="40" t="str">
        <f t="array" ref="A1203">IFNA(index(PlayerValues!A:A,match(IFNA(vlookup(B1203,'Special Names'!A:B,2,FALSE),B1203),PlayerValues!E:E,0)),"N/A")</f>
        <v>N/A</v>
      </c>
      <c r="B1203" s="4" t="s">
        <v>98</v>
      </c>
      <c r="C1203" s="4" t="s">
        <v>325</v>
      </c>
      <c r="D1203" s="94">
        <v>2575.0</v>
      </c>
    </row>
    <row r="1204">
      <c r="A1204" s="40">
        <f t="array" ref="A1204">IFNA(index(PlayerValues!A:A,match(IFNA(vlookup(B1204,'Special Names'!A:B,2,FALSE),B1204),PlayerValues!E:E,0)),"N/A")</f>
        <v>15786</v>
      </c>
      <c r="B1204" s="4" t="s">
        <v>521</v>
      </c>
      <c r="C1204" s="4" t="s">
        <v>287</v>
      </c>
      <c r="D1204" s="94">
        <v>2571.0</v>
      </c>
    </row>
    <row r="1205">
      <c r="A1205" s="40">
        <f t="array" ref="A1205">IFNA(index(PlayerValues!A:A,match(IFNA(vlookup(B1205,'Special Names'!A:B,2,FALSE),B1205),PlayerValues!E:E,0)),"N/A")</f>
        <v>16287</v>
      </c>
      <c r="B1205" s="4" t="s">
        <v>516</v>
      </c>
      <c r="C1205" s="4" t="s">
        <v>287</v>
      </c>
      <c r="D1205" s="94">
        <v>2563.0</v>
      </c>
    </row>
    <row r="1206">
      <c r="A1206" s="40">
        <f t="array" ref="A1206">IFNA(index(PlayerValues!A:A,match(IFNA(vlookup(B1206,'Special Names'!A:B,2,FALSE),B1206),PlayerValues!E:E,0)),"N/A")</f>
        <v>16684</v>
      </c>
      <c r="B1206" s="4" t="s">
        <v>500</v>
      </c>
      <c r="C1206" s="4" t="s">
        <v>287</v>
      </c>
      <c r="D1206" s="94">
        <v>2563.0</v>
      </c>
    </row>
    <row r="1207">
      <c r="A1207" s="40">
        <f t="array" ref="A1207">IFNA(index(PlayerValues!A:A,match(IFNA(vlookup(B1207,'Special Names'!A:B,2,FALSE),B1207),PlayerValues!E:E,0)),"N/A")</f>
        <v>16165</v>
      </c>
      <c r="B1207" s="4" t="s">
        <v>520</v>
      </c>
      <c r="C1207" s="4" t="s">
        <v>278</v>
      </c>
      <c r="D1207" s="94">
        <v>2557.0</v>
      </c>
    </row>
    <row r="1208">
      <c r="A1208" s="40">
        <f t="array" ref="A1208">IFNA(index(PlayerValues!A:A,match(IFNA(vlookup(B1208,'Special Names'!A:B,2,FALSE),B1208),PlayerValues!E:E,0)),"N/A")</f>
        <v>16193</v>
      </c>
      <c r="B1208" s="4" t="s">
        <v>487</v>
      </c>
      <c r="C1208" s="4" t="s">
        <v>287</v>
      </c>
      <c r="D1208" s="94">
        <v>2549.0</v>
      </c>
    </row>
    <row r="1209">
      <c r="A1209" s="40">
        <f t="array" ref="A1209">IFNA(index(PlayerValues!A:A,match(IFNA(vlookup(B1209,'Special Names'!A:B,2,FALSE),B1209),PlayerValues!E:E,0)),"N/A")</f>
        <v>16619</v>
      </c>
      <c r="B1209" s="4" t="s">
        <v>538</v>
      </c>
      <c r="C1209" s="4" t="s">
        <v>287</v>
      </c>
      <c r="D1209" s="94">
        <v>2527.0</v>
      </c>
    </row>
    <row r="1210">
      <c r="A1210" s="40">
        <f t="array" ref="A1210">IFNA(index(PlayerValues!A:A,match(IFNA(vlookup(B1210,'Special Names'!A:B,2,FALSE),B1210),PlayerValues!E:E,0)),"N/A")</f>
        <v>14833</v>
      </c>
      <c r="B1210" s="4" t="s">
        <v>553</v>
      </c>
      <c r="C1210" s="4" t="s">
        <v>287</v>
      </c>
      <c r="D1210" s="94">
        <v>2511.0</v>
      </c>
    </row>
    <row r="1211">
      <c r="A1211" s="40">
        <f t="array" ref="A1211">IFNA(index(PlayerValues!A:A,match(IFNA(vlookup(B1211,'Special Names'!A:B,2,FALSE),B1211),PlayerValues!E:E,0)),"N/A")</f>
        <v>17108</v>
      </c>
      <c r="B1211" s="4" t="s">
        <v>542</v>
      </c>
      <c r="C1211" s="4" t="s">
        <v>298</v>
      </c>
      <c r="D1211" s="94">
        <v>2916.0</v>
      </c>
    </row>
    <row r="1212">
      <c r="A1212" s="40" t="str">
        <f t="array" ref="A1212">IFNA(index(PlayerValues!A:A,match(IFNA(vlookup(B1212,'Special Names'!A:B,2,FALSE),B1212),PlayerValues!E:E,0)),"N/A")</f>
        <v>N/A</v>
      </c>
      <c r="B1212" s="4" t="s">
        <v>99</v>
      </c>
      <c r="C1212" s="4" t="s">
        <v>325</v>
      </c>
      <c r="D1212" s="94">
        <v>2499.0</v>
      </c>
    </row>
    <row r="1213">
      <c r="A1213" s="40">
        <f t="array" ref="A1213">IFNA(index(PlayerValues!A:A,match(IFNA(vlookup(B1213,'Special Names'!A:B,2,FALSE),B1213),PlayerValues!E:E,0)),"N/A")</f>
        <v>17478</v>
      </c>
      <c r="B1213" s="4" t="s">
        <v>527</v>
      </c>
      <c r="C1213" s="4" t="s">
        <v>278</v>
      </c>
      <c r="D1213" s="94">
        <v>2496.0</v>
      </c>
    </row>
    <row r="1214">
      <c r="A1214" s="40">
        <f t="array" ref="A1214">IFNA(index(PlayerValues!A:A,match(IFNA(vlookup(B1214,'Special Names'!A:B,2,FALSE),B1214),PlayerValues!E:E,0)),"N/A")</f>
        <v>17073</v>
      </c>
      <c r="B1214" s="4" t="s">
        <v>547</v>
      </c>
      <c r="C1214" s="4" t="s">
        <v>287</v>
      </c>
      <c r="D1214" s="94">
        <v>2474.0</v>
      </c>
    </row>
    <row r="1215">
      <c r="A1215" s="40">
        <f t="array" ref="A1215">IFNA(index(PlayerValues!A:A,match(IFNA(vlookup(B1215,'Special Names'!A:B,2,FALSE),B1215),PlayerValues!E:E,0)),"N/A")</f>
        <v>17082</v>
      </c>
      <c r="B1215" s="4" t="s">
        <v>498</v>
      </c>
      <c r="C1215" s="4" t="s">
        <v>287</v>
      </c>
      <c r="D1215" s="94">
        <v>2471.0</v>
      </c>
    </row>
    <row r="1216">
      <c r="A1216" s="40">
        <f t="array" ref="A1216">IFNA(index(PlayerValues!A:A,match(IFNA(vlookup(B1216,'Special Names'!A:B,2,FALSE),B1216),PlayerValues!E:E,0)),"N/A")</f>
        <v>17474</v>
      </c>
      <c r="B1216" s="4" t="s">
        <v>513</v>
      </c>
      <c r="C1216" s="4" t="s">
        <v>278</v>
      </c>
      <c r="D1216" s="94">
        <v>2469.0</v>
      </c>
    </row>
    <row r="1217">
      <c r="A1217" s="40">
        <f t="array" ref="A1217">IFNA(index(PlayerValues!A:A,match(IFNA(vlookup(B1217,'Special Names'!A:B,2,FALSE),B1217),PlayerValues!E:E,0)),"N/A")</f>
        <v>17517</v>
      </c>
      <c r="B1217" s="4" t="s">
        <v>454</v>
      </c>
      <c r="C1217" s="4" t="s">
        <v>287</v>
      </c>
      <c r="D1217" s="94">
        <v>2445.0</v>
      </c>
    </row>
    <row r="1218">
      <c r="A1218" s="40">
        <f t="array" ref="A1218">IFNA(index(PlayerValues!A:A,match(IFNA(vlookup(B1218,'Special Names'!A:B,2,FALSE),B1218),PlayerValues!E:E,0)),"N/A")</f>
        <v>14860</v>
      </c>
      <c r="B1218" s="4" t="s">
        <v>554</v>
      </c>
      <c r="C1218" s="4" t="s">
        <v>287</v>
      </c>
      <c r="D1218" s="94">
        <v>2440.0</v>
      </c>
    </row>
    <row r="1219">
      <c r="A1219" s="40">
        <f t="array" ref="A1219">IFNA(index(PlayerValues!A:A,match(IFNA(vlookup(B1219,'Special Names'!A:B,2,FALSE),B1219),PlayerValues!E:E,0)),"N/A")</f>
        <v>16195</v>
      </c>
      <c r="B1219" s="4" t="s">
        <v>509</v>
      </c>
      <c r="C1219" s="4" t="s">
        <v>287</v>
      </c>
      <c r="D1219" s="94">
        <v>2435.0</v>
      </c>
    </row>
    <row r="1220">
      <c r="A1220" s="40">
        <f t="array" ref="A1220">IFNA(index(PlayerValues!A:A,match(IFNA(vlookup(B1220,'Special Names'!A:B,2,FALSE),B1220),PlayerValues!E:E,0)),"N/A")</f>
        <v>17508</v>
      </c>
      <c r="B1220" s="4" t="s">
        <v>534</v>
      </c>
      <c r="C1220" s="4" t="s">
        <v>287</v>
      </c>
      <c r="D1220" s="94">
        <v>2428.0</v>
      </c>
    </row>
    <row r="1221">
      <c r="A1221" s="40">
        <f t="array" ref="A1221">IFNA(index(PlayerValues!A:A,match(IFNA(vlookup(B1221,'Special Names'!A:B,2,FALSE),B1221),PlayerValues!E:E,0)),"N/A")</f>
        <v>17509</v>
      </c>
      <c r="B1221" s="4" t="s">
        <v>551</v>
      </c>
      <c r="C1221" s="4" t="s">
        <v>287</v>
      </c>
      <c r="D1221" s="94">
        <v>2413.0</v>
      </c>
    </row>
    <row r="1222">
      <c r="A1222" s="40">
        <f t="array" ref="A1222">IFNA(index(PlayerValues!A:A,match(IFNA(vlookup(B1222,'Special Names'!A:B,2,FALSE),B1222),PlayerValues!E:E,0)),"N/A")</f>
        <v>17078</v>
      </c>
      <c r="B1222" s="4" t="s">
        <v>543</v>
      </c>
      <c r="C1222" s="4" t="s">
        <v>287</v>
      </c>
      <c r="D1222" s="94">
        <v>2394.0</v>
      </c>
    </row>
    <row r="1223">
      <c r="A1223" s="40">
        <f t="array" ref="A1223">IFNA(index(PlayerValues!A:A,match(IFNA(vlookup(B1223,'Special Names'!A:B,2,FALSE),B1223),PlayerValues!E:E,0)),"N/A")</f>
        <v>15716</v>
      </c>
      <c r="B1223" s="4" t="s">
        <v>545</v>
      </c>
      <c r="C1223" s="4" t="s">
        <v>278</v>
      </c>
      <c r="D1223" s="94">
        <v>2385.0</v>
      </c>
    </row>
    <row r="1224">
      <c r="A1224" s="40">
        <f t="array" ref="A1224">IFNA(index(PlayerValues!A:A,match(IFNA(vlookup(B1224,'Special Names'!A:B,2,FALSE),B1224),PlayerValues!E:E,0)),"N/A")</f>
        <v>16617</v>
      </c>
      <c r="B1224" s="4" t="s">
        <v>541</v>
      </c>
      <c r="C1224" s="4" t="s">
        <v>287</v>
      </c>
      <c r="D1224" s="94">
        <v>2380.0</v>
      </c>
    </row>
    <row r="1225">
      <c r="A1225" s="40">
        <f t="array" ref="A1225">IFNA(index(PlayerValues!A:A,match(IFNA(vlookup(B1225,'Special Names'!A:B,2,FALSE),B1225),PlayerValues!E:E,0)),"N/A")</f>
        <v>12676</v>
      </c>
      <c r="B1225" s="4" t="s">
        <v>537</v>
      </c>
      <c r="C1225" s="4" t="s">
        <v>298</v>
      </c>
      <c r="D1225" s="94">
        <v>2762.0</v>
      </c>
    </row>
    <row r="1226">
      <c r="A1226" s="40" t="str">
        <f t="array" ref="A1226">IFNA(index(PlayerValues!A:A,match(IFNA(vlookup(B1226,'Special Names'!A:B,2,FALSE),B1226),PlayerValues!E:E,0)),"N/A")</f>
        <v>N/A</v>
      </c>
      <c r="B1226" s="4" t="s">
        <v>86</v>
      </c>
      <c r="C1226" s="4" t="s">
        <v>325</v>
      </c>
      <c r="D1226" s="94">
        <v>2359.0</v>
      </c>
    </row>
    <row r="1227">
      <c r="A1227" s="40">
        <f t="array" ref="A1227">IFNA(index(PlayerValues!A:A,match(IFNA(vlookup(B1227,'Special Names'!A:B,2,FALSE),B1227),PlayerValues!E:E,0)),"N/A")</f>
        <v>13319</v>
      </c>
      <c r="B1227" s="4" t="s">
        <v>549</v>
      </c>
      <c r="C1227" s="4" t="s">
        <v>278</v>
      </c>
      <c r="D1227" s="94">
        <v>2356.0</v>
      </c>
    </row>
    <row r="1228">
      <c r="A1228" s="40">
        <f t="array" ref="A1228">IFNA(index(PlayerValues!A:A,match(IFNA(vlookup(B1228,'Special Names'!A:B,2,FALSE),B1228),PlayerValues!E:E,0)),"N/A")</f>
        <v>17106</v>
      </c>
      <c r="B1228" s="4" t="s">
        <v>550</v>
      </c>
      <c r="C1228" s="4" t="s">
        <v>298</v>
      </c>
      <c r="D1228" s="94">
        <v>2726.0</v>
      </c>
    </row>
    <row r="1229">
      <c r="A1229" s="40">
        <f t="array" ref="A1229">IFNA(index(PlayerValues!A:A,match(IFNA(vlookup(B1229,'Special Names'!A:B,2,FALSE),B1229),PlayerValues!E:E,0)),"N/A")</f>
        <v>14861</v>
      </c>
      <c r="B1229" s="4" t="s">
        <v>523</v>
      </c>
      <c r="C1229" s="4" t="s">
        <v>298</v>
      </c>
      <c r="D1229" s="94">
        <v>2715.0</v>
      </c>
    </row>
    <row r="1230">
      <c r="A1230" s="40">
        <f t="array" ref="A1230">IFNA(index(PlayerValues!A:A,match(IFNA(vlookup(B1230,'Special Names'!A:B,2,FALSE),B1230),PlayerValues!E:E,0)),"N/A")</f>
        <v>15331</v>
      </c>
      <c r="B1230" s="4" t="s">
        <v>560</v>
      </c>
      <c r="C1230" s="4" t="s">
        <v>298</v>
      </c>
      <c r="D1230" s="94">
        <v>2700.0</v>
      </c>
    </row>
    <row r="1231">
      <c r="A1231" s="40">
        <f t="array" ref="A1231">IFNA(index(PlayerValues!A:A,match(IFNA(vlookup(B1231,'Special Names'!A:B,2,FALSE),B1231),PlayerValues!E:E,0)),"N/A")</f>
        <v>15802</v>
      </c>
      <c r="B1231" s="4" t="s">
        <v>566</v>
      </c>
      <c r="C1231" s="4" t="s">
        <v>298</v>
      </c>
      <c r="D1231" s="94">
        <v>2697.0</v>
      </c>
    </row>
    <row r="1232">
      <c r="A1232" s="40" t="str">
        <f t="array" ref="A1232">IFNA(index(PlayerValues!A:A,match(IFNA(vlookup(B1232,'Special Names'!A:B,2,FALSE),B1232),PlayerValues!E:E,0)),"N/A")</f>
        <v>N/A</v>
      </c>
      <c r="B1232" s="4" t="s">
        <v>100</v>
      </c>
      <c r="C1232" s="4" t="s">
        <v>325</v>
      </c>
      <c r="D1232" s="94">
        <v>2300.0</v>
      </c>
    </row>
    <row r="1233">
      <c r="A1233" s="40">
        <f t="array" ref="A1233">IFNA(index(PlayerValues!A:A,match(IFNA(vlookup(B1233,'Special Names'!A:B,2,FALSE),B1233),PlayerValues!E:E,0)),"N/A")</f>
        <v>15797</v>
      </c>
      <c r="B1233" s="4" t="s">
        <v>556</v>
      </c>
      <c r="C1233" s="4" t="s">
        <v>298</v>
      </c>
      <c r="D1233" s="94">
        <v>2695.0</v>
      </c>
    </row>
    <row r="1234">
      <c r="A1234" s="40">
        <f t="array" ref="A1234">IFNA(index(PlayerValues!A:A,match(IFNA(vlookup(B1234,'Special Names'!A:B,2,FALSE),B1234),PlayerValues!E:E,0)),"N/A")</f>
        <v>17547</v>
      </c>
      <c r="B1234" s="4" t="s">
        <v>552</v>
      </c>
      <c r="C1234" s="4" t="s">
        <v>298</v>
      </c>
      <c r="D1234" s="94">
        <v>2680.0</v>
      </c>
    </row>
    <row r="1235">
      <c r="A1235" s="40">
        <f t="array" ref="A1235">IFNA(index(PlayerValues!A:A,match(IFNA(vlookup(B1235,'Special Names'!A:B,2,FALSE),B1235),PlayerValues!E:E,0)),"N/A")</f>
        <v>17055</v>
      </c>
      <c r="B1235" s="4" t="s">
        <v>565</v>
      </c>
      <c r="C1235" s="4" t="s">
        <v>278</v>
      </c>
      <c r="D1235" s="94">
        <v>2283.0</v>
      </c>
    </row>
    <row r="1236">
      <c r="A1236" s="40">
        <f t="array" ref="A1236">IFNA(index(PlayerValues!A:A,match(IFNA(vlookup(B1236,'Special Names'!A:B,2,FALSE),B1236),PlayerValues!E:E,0)),"N/A")</f>
        <v>17171</v>
      </c>
      <c r="B1236" s="4" t="s">
        <v>561</v>
      </c>
      <c r="C1236" s="4" t="s">
        <v>287</v>
      </c>
      <c r="D1236" s="94">
        <v>2279.0</v>
      </c>
    </row>
    <row r="1237">
      <c r="A1237" s="40">
        <f t="array" ref="A1237">IFNA(index(PlayerValues!A:A,match(IFNA(vlookup(B1237,'Special Names'!A:B,2,FALSE),B1237),PlayerValues!E:E,0)),"N/A")</f>
        <v>16166</v>
      </c>
      <c r="B1237" s="4" t="s">
        <v>567</v>
      </c>
      <c r="C1237" s="4" t="s">
        <v>278</v>
      </c>
      <c r="D1237" s="94">
        <v>2278.0</v>
      </c>
    </row>
    <row r="1238">
      <c r="A1238" s="40">
        <f t="array" ref="A1238">IFNA(index(PlayerValues!A:A,match(IFNA(vlookup(B1238,'Special Names'!A:B,2,FALSE),B1238),PlayerValues!E:E,0)),"N/A")</f>
        <v>17482</v>
      </c>
      <c r="B1238" s="4" t="s">
        <v>460</v>
      </c>
      <c r="C1238" s="4" t="s">
        <v>278</v>
      </c>
      <c r="D1238" s="94">
        <v>2276.0</v>
      </c>
    </row>
    <row r="1239">
      <c r="A1239" s="40">
        <f t="array" ref="A1239">IFNA(index(PlayerValues!A:A,match(IFNA(vlookup(B1239,'Special Names'!A:B,2,FALSE),B1239),PlayerValues!E:E,0)),"N/A")</f>
        <v>17048</v>
      </c>
      <c r="B1239" s="4" t="s">
        <v>539</v>
      </c>
      <c r="C1239" s="4" t="s">
        <v>278</v>
      </c>
      <c r="D1239" s="94">
        <v>2269.0</v>
      </c>
    </row>
    <row r="1240">
      <c r="A1240" s="40" t="str">
        <f t="array" ref="A1240">IFNA(index(PlayerValues!A:A,match(IFNA(vlookup(B1240,'Special Names'!A:B,2,FALSE),B1240),PlayerValues!E:E,0)),"N/A")</f>
        <v>N/A</v>
      </c>
      <c r="B1240" s="4" t="s">
        <v>557</v>
      </c>
      <c r="C1240" s="4" t="s">
        <v>278</v>
      </c>
      <c r="D1240" s="94">
        <v>2244.0</v>
      </c>
    </row>
    <row r="1241">
      <c r="A1241" s="40" t="str">
        <f t="array" ref="A1241">IFNA(index(PlayerValues!A:A,match(IFNA(vlookup(B1241,'Special Names'!A:B,2,FALSE),B1241),PlayerValues!E:E,0)),"N/A")</f>
        <v>N/A</v>
      </c>
      <c r="B1241" s="4" t="s">
        <v>112</v>
      </c>
      <c r="C1241" s="4" t="s">
        <v>325</v>
      </c>
      <c r="D1241" s="94">
        <v>2238.0</v>
      </c>
    </row>
    <row r="1242">
      <c r="A1242" s="40" t="str">
        <f t="array" ref="A1242">IFNA(index(PlayerValues!A:A,match(IFNA(vlookup(B1242,'Special Names'!A:B,2,FALSE),B1242),PlayerValues!E:E,0)),"N/A")</f>
        <v>N/A</v>
      </c>
      <c r="B1242" s="4" t="s">
        <v>87</v>
      </c>
      <c r="C1242" s="4" t="s">
        <v>325</v>
      </c>
      <c r="D1242" s="94">
        <v>2234.0</v>
      </c>
    </row>
    <row r="1243">
      <c r="A1243" s="40">
        <f t="array" ref="A1243">IFNA(index(PlayerValues!A:A,match(IFNA(vlookup(B1243,'Special Names'!A:B,2,FALSE),B1243),PlayerValues!E:E,0)),"N/A")</f>
        <v>16757</v>
      </c>
      <c r="B1243" s="4" t="s">
        <v>558</v>
      </c>
      <c r="C1243" s="4" t="s">
        <v>278</v>
      </c>
      <c r="D1243" s="94">
        <v>2215.0</v>
      </c>
    </row>
    <row r="1244">
      <c r="A1244" s="40">
        <f t="array" ref="A1244">IFNA(index(PlayerValues!A:A,match(IFNA(vlookup(B1244,'Special Names'!A:B,2,FALSE),B1244),PlayerValues!E:E,0)),"N/A")</f>
        <v>13192</v>
      </c>
      <c r="B1244" s="4" t="s">
        <v>563</v>
      </c>
      <c r="C1244" s="4" t="s">
        <v>298</v>
      </c>
      <c r="D1244" s="94">
        <v>2595.0</v>
      </c>
    </row>
    <row r="1245">
      <c r="A1245" s="40">
        <f t="array" ref="A1245">IFNA(index(PlayerValues!A:A,match(IFNA(vlookup(B1245,'Special Names'!A:B,2,FALSE),B1245),PlayerValues!E:E,0)),"N/A")</f>
        <v>16610</v>
      </c>
      <c r="B1245" s="4" t="s">
        <v>562</v>
      </c>
      <c r="C1245" s="4" t="s">
        <v>278</v>
      </c>
      <c r="D1245" s="94">
        <v>2203.0</v>
      </c>
    </row>
    <row r="1246">
      <c r="A1246" s="40">
        <f t="array" ref="A1246">IFNA(index(PlayerValues!A:A,match(IFNA(vlookup(B1246,'Special Names'!A:B,2,FALSE),B1246),PlayerValues!E:E,0)),"N/A")</f>
        <v>11150</v>
      </c>
      <c r="B1246" s="4" t="s">
        <v>559</v>
      </c>
      <c r="C1246" s="4" t="s">
        <v>283</v>
      </c>
      <c r="D1246" s="94">
        <v>2201.0</v>
      </c>
    </row>
    <row r="1247">
      <c r="A1247" s="40">
        <f t="array" ref="A1247">IFNA(index(PlayerValues!A:A,match(IFNA(vlookup(B1247,'Special Names'!A:B,2,FALSE),B1247),PlayerValues!E:E,0)),"N/A")</f>
        <v>15749</v>
      </c>
      <c r="B1247" s="4" t="s">
        <v>574</v>
      </c>
      <c r="C1247" s="4" t="s">
        <v>278</v>
      </c>
      <c r="D1247" s="94">
        <v>2197.0</v>
      </c>
    </row>
    <row r="1248">
      <c r="A1248" s="40">
        <f t="array" ref="A1248">IFNA(index(PlayerValues!A:A,match(IFNA(vlookup(B1248,'Special Names'!A:B,2,FALSE),B1248),PlayerValues!E:E,0)),"N/A")</f>
        <v>17033</v>
      </c>
      <c r="B1248" s="4" t="s">
        <v>570</v>
      </c>
      <c r="C1248" s="4" t="s">
        <v>283</v>
      </c>
      <c r="D1248" s="94">
        <v>2191.0</v>
      </c>
    </row>
    <row r="1249">
      <c r="A1249" s="40">
        <f t="array" ref="A1249">IFNA(index(PlayerValues!A:A,match(IFNA(vlookup(B1249,'Special Names'!A:B,2,FALSE),B1249),PlayerValues!E:E,0)),"N/A")</f>
        <v>17607</v>
      </c>
      <c r="B1249" s="4" t="s">
        <v>526</v>
      </c>
      <c r="C1249" s="4" t="s">
        <v>298</v>
      </c>
      <c r="D1249" s="94">
        <v>2576.0</v>
      </c>
    </row>
    <row r="1250">
      <c r="A1250" s="40">
        <f t="array" ref="A1250">IFNA(index(PlayerValues!A:A,match(IFNA(vlookup(B1250,'Special Names'!A:B,2,FALSE),B1250),PlayerValues!E:E,0)),"N/A")</f>
        <v>13772</v>
      </c>
      <c r="B1250" s="4" t="s">
        <v>544</v>
      </c>
      <c r="C1250" s="4" t="s">
        <v>298</v>
      </c>
      <c r="D1250" s="94">
        <v>2569.0</v>
      </c>
    </row>
    <row r="1251">
      <c r="A1251" s="40">
        <f t="array" ref="A1251">IFNA(index(PlayerValues!A:A,match(IFNA(vlookup(B1251,'Special Names'!A:B,2,FALSE),B1251),PlayerValues!E:E,0)),"N/A")</f>
        <v>17481</v>
      </c>
      <c r="B1251" s="4" t="s">
        <v>540</v>
      </c>
      <c r="C1251" s="4" t="s">
        <v>278</v>
      </c>
      <c r="D1251" s="94">
        <v>2176.0</v>
      </c>
    </row>
    <row r="1252">
      <c r="A1252" s="40">
        <f t="array" ref="A1252">IFNA(index(PlayerValues!A:A,match(IFNA(vlookup(B1252,'Special Names'!A:B,2,FALSE),B1252),PlayerValues!E:E,0)),"N/A")</f>
        <v>16152</v>
      </c>
      <c r="B1252" s="4" t="s">
        <v>601</v>
      </c>
      <c r="C1252" s="4" t="s">
        <v>283</v>
      </c>
      <c r="D1252" s="94">
        <v>2173.0</v>
      </c>
    </row>
    <row r="1253">
      <c r="A1253" s="40">
        <f t="array" ref="A1253">IFNA(index(PlayerValues!A:A,match(IFNA(vlookup(B1253,'Special Names'!A:B,2,FALSE),B1253),PlayerValues!E:E,0)),"N/A")</f>
        <v>17134</v>
      </c>
      <c r="B1253" s="4" t="s">
        <v>548</v>
      </c>
      <c r="C1253" s="4" t="s">
        <v>287</v>
      </c>
      <c r="D1253" s="94">
        <v>2163.0</v>
      </c>
    </row>
    <row r="1254">
      <c r="A1254" s="40">
        <f t="array" ref="A1254">IFNA(index(PlayerValues!A:A,match(IFNA(vlookup(B1254,'Special Names'!A:B,2,FALSE),B1254),PlayerValues!E:E,0)),"N/A")</f>
        <v>17567</v>
      </c>
      <c r="B1254" s="4" t="s">
        <v>571</v>
      </c>
      <c r="C1254" s="4" t="s">
        <v>298</v>
      </c>
      <c r="D1254" s="94">
        <v>2542.0</v>
      </c>
    </row>
    <row r="1255">
      <c r="A1255" s="40">
        <f t="array" ref="A1255">IFNA(index(PlayerValues!A:A,match(IFNA(vlookup(B1255,'Special Names'!A:B,2,FALSE),B1255),PlayerValues!E:E,0)),"N/A")</f>
        <v>16604</v>
      </c>
      <c r="B1255" s="4" t="s">
        <v>476</v>
      </c>
      <c r="C1255" s="4" t="s">
        <v>278</v>
      </c>
      <c r="D1255" s="94">
        <v>2140.0</v>
      </c>
    </row>
    <row r="1256">
      <c r="A1256" s="40">
        <f t="array" ref="A1256">IFNA(index(PlayerValues!A:A,match(IFNA(vlookup(B1256,'Special Names'!A:B,2,FALSE),B1256),PlayerValues!E:E,0)),"N/A")</f>
        <v>12186</v>
      </c>
      <c r="B1256" s="4" t="s">
        <v>497</v>
      </c>
      <c r="C1256" s="4" t="s">
        <v>287</v>
      </c>
      <c r="D1256" s="94">
        <v>2139.0</v>
      </c>
    </row>
    <row r="1257">
      <c r="A1257" s="40">
        <f t="array" ref="A1257">IFNA(index(PlayerValues!A:A,match(IFNA(vlookup(B1257,'Special Names'!A:B,2,FALSE),B1257),PlayerValues!E:E,0)),"N/A")</f>
        <v>16212</v>
      </c>
      <c r="B1257" s="4" t="s">
        <v>568</v>
      </c>
      <c r="C1257" s="4" t="s">
        <v>298</v>
      </c>
      <c r="D1257" s="94">
        <v>2522.0</v>
      </c>
    </row>
    <row r="1258">
      <c r="A1258" s="40">
        <f t="array" ref="A1258">IFNA(index(PlayerValues!A:A,match(IFNA(vlookup(B1258,'Special Names'!A:B,2,FALSE),B1258),PlayerValues!E:E,0)),"N/A")</f>
        <v>17069</v>
      </c>
      <c r="B1258" s="4" t="s">
        <v>604</v>
      </c>
      <c r="C1258" s="4" t="s">
        <v>278</v>
      </c>
      <c r="D1258" s="94">
        <v>2128.0</v>
      </c>
    </row>
    <row r="1259">
      <c r="A1259" s="40">
        <f t="array" ref="A1259">IFNA(index(PlayerValues!A:A,match(IFNA(vlookup(B1259,'Special Names'!A:B,2,FALSE),B1259),PlayerValues!E:E,0)),"N/A")</f>
        <v>16649</v>
      </c>
      <c r="B1259" s="4" t="s">
        <v>586</v>
      </c>
      <c r="C1259" s="4" t="s">
        <v>298</v>
      </c>
      <c r="D1259" s="94">
        <v>2506.0</v>
      </c>
    </row>
    <row r="1260">
      <c r="A1260" s="40" t="str">
        <f t="array" ref="A1260">IFNA(index(PlayerValues!A:A,match(IFNA(vlookup(B1260,'Special Names'!A:B,2,FALSE),B1260),PlayerValues!E:E,0)),"N/A")</f>
        <v>N/A</v>
      </c>
      <c r="B1260" s="4" t="s">
        <v>113</v>
      </c>
      <c r="C1260" s="4" t="s">
        <v>325</v>
      </c>
      <c r="D1260" s="94">
        <v>2115.0</v>
      </c>
    </row>
    <row r="1261">
      <c r="A1261" s="40">
        <f t="array" ref="A1261">IFNA(index(PlayerValues!A:A,match(IFNA(vlookup(B1261,'Special Names'!A:B,2,FALSE),B1261),PlayerValues!E:E,0)),"N/A")</f>
        <v>16594</v>
      </c>
      <c r="B1261" s="4" t="s">
        <v>607</v>
      </c>
      <c r="C1261" s="4" t="s">
        <v>278</v>
      </c>
      <c r="D1261" s="94">
        <v>2110.0</v>
      </c>
    </row>
    <row r="1262">
      <c r="A1262" s="40">
        <f t="array" ref="A1262">IFNA(index(PlayerValues!A:A,match(IFNA(vlookup(B1262,'Special Names'!A:B,2,FALSE),B1262),PlayerValues!E:E,0)),"N/A")</f>
        <v>17485</v>
      </c>
      <c r="B1262" s="4" t="s">
        <v>522</v>
      </c>
      <c r="C1262" s="4" t="s">
        <v>278</v>
      </c>
      <c r="D1262" s="94">
        <v>2086.0</v>
      </c>
    </row>
    <row r="1263">
      <c r="A1263" s="40">
        <f t="array" ref="A1263">IFNA(index(PlayerValues!A:A,match(IFNA(vlookup(B1263,'Special Names'!A:B,2,FALSE),B1263),PlayerValues!E:E,0)),"N/A")</f>
        <v>17079</v>
      </c>
      <c r="B1263" s="4" t="s">
        <v>572</v>
      </c>
      <c r="C1263" s="4" t="s">
        <v>287</v>
      </c>
      <c r="D1263" s="94">
        <v>2081.0</v>
      </c>
    </row>
    <row r="1264">
      <c r="A1264" s="40">
        <f t="array" ref="A1264">IFNA(index(PlayerValues!A:A,match(IFNA(vlookup(B1264,'Special Names'!A:B,2,FALSE),B1264),PlayerValues!E:E,0)),"N/A")</f>
        <v>16036</v>
      </c>
      <c r="B1264" s="4" t="s">
        <v>592</v>
      </c>
      <c r="C1264" s="4" t="s">
        <v>298</v>
      </c>
      <c r="D1264" s="94">
        <v>2469.0</v>
      </c>
    </row>
    <row r="1265">
      <c r="A1265" s="40">
        <f t="array" ref="A1265">IFNA(index(PlayerValues!A:A,match(IFNA(vlookup(B1265,'Special Names'!A:B,2,FALSE),B1265),PlayerValues!E:E,0)),"N/A")</f>
        <v>17599</v>
      </c>
      <c r="B1265" s="4" t="s">
        <v>496</v>
      </c>
      <c r="C1265" s="4" t="s">
        <v>287</v>
      </c>
      <c r="D1265" s="94">
        <v>2061.0</v>
      </c>
    </row>
    <row r="1266">
      <c r="A1266" s="40">
        <f t="array" ref="A1266">IFNA(index(PlayerValues!A:A,match(IFNA(vlookup(B1266,'Special Names'!A:B,2,FALSE),B1266),PlayerValues!E:E,0)),"N/A")</f>
        <v>17061</v>
      </c>
      <c r="B1266" s="4" t="s">
        <v>580</v>
      </c>
      <c r="C1266" s="4" t="s">
        <v>278</v>
      </c>
      <c r="D1266" s="94">
        <v>2057.0</v>
      </c>
    </row>
    <row r="1267">
      <c r="A1267" s="40">
        <f t="array" ref="A1267">IFNA(index(PlayerValues!A:A,match(IFNA(vlookup(B1267,'Special Names'!A:B,2,FALSE),B1267),PlayerValues!E:E,0)),"N/A")</f>
        <v>17076</v>
      </c>
      <c r="B1267" s="4" t="s">
        <v>585</v>
      </c>
      <c r="C1267" s="4" t="s">
        <v>287</v>
      </c>
      <c r="D1267" s="94">
        <v>2054.0</v>
      </c>
    </row>
    <row r="1268">
      <c r="A1268" s="40">
        <f t="array" ref="A1268">IFNA(index(PlayerValues!A:A,match(IFNA(vlookup(B1268,'Special Names'!A:B,2,FALSE),B1268),PlayerValues!E:E,0)),"N/A")</f>
        <v>17528</v>
      </c>
      <c r="B1268" s="4" t="s">
        <v>579</v>
      </c>
      <c r="C1268" s="4" t="s">
        <v>287</v>
      </c>
      <c r="D1268" s="94">
        <v>2052.0</v>
      </c>
    </row>
    <row r="1269">
      <c r="A1269" s="40">
        <f t="array" ref="A1269">IFNA(index(PlayerValues!A:A,match(IFNA(vlookup(B1269,'Special Names'!A:B,2,FALSE),B1269),PlayerValues!E:E,0)),"N/A")</f>
        <v>16189</v>
      </c>
      <c r="B1269" s="4" t="s">
        <v>582</v>
      </c>
      <c r="C1269" s="4" t="s">
        <v>287</v>
      </c>
      <c r="D1269" s="94">
        <v>2050.0</v>
      </c>
    </row>
    <row r="1270">
      <c r="A1270" s="40">
        <f t="array" ref="A1270">IFNA(index(PlayerValues!A:A,match(IFNA(vlookup(B1270,'Special Names'!A:B,2,FALSE),B1270),PlayerValues!E:E,0)),"N/A")</f>
        <v>17060</v>
      </c>
      <c r="B1270" s="4" t="s">
        <v>603</v>
      </c>
      <c r="C1270" s="4" t="s">
        <v>278</v>
      </c>
      <c r="D1270" s="94">
        <v>2049.0</v>
      </c>
    </row>
    <row r="1271">
      <c r="A1271" s="40" t="str">
        <f t="array" ref="A1271">IFNA(index(PlayerValues!A:A,match(IFNA(vlookup(B1271,'Special Names'!A:B,2,FALSE),B1271),PlayerValues!E:E,0)),"N/A")</f>
        <v>N/A</v>
      </c>
      <c r="B1271" s="4" t="s">
        <v>88</v>
      </c>
      <c r="C1271" s="4" t="s">
        <v>325</v>
      </c>
      <c r="D1271" s="94">
        <v>2038.0</v>
      </c>
    </row>
    <row r="1272">
      <c r="A1272" s="40">
        <f t="array" ref="A1272">IFNA(index(PlayerValues!A:A,match(IFNA(vlookup(B1272,'Special Names'!A:B,2,FALSE),B1272),PlayerValues!E:E,0)),"N/A")</f>
        <v>13132</v>
      </c>
      <c r="B1272" s="4" t="s">
        <v>598</v>
      </c>
      <c r="C1272" s="4" t="s">
        <v>278</v>
      </c>
      <c r="D1272" s="94">
        <v>2037.0</v>
      </c>
    </row>
    <row r="1273">
      <c r="A1273" s="40">
        <f t="array" ref="A1273">IFNA(index(PlayerValues!A:A,match(IFNA(vlookup(B1273,'Special Names'!A:B,2,FALSE),B1273),PlayerValues!E:E,0)),"N/A")</f>
        <v>17468</v>
      </c>
      <c r="B1273" s="4" t="s">
        <v>514</v>
      </c>
      <c r="C1273" s="4" t="s">
        <v>283</v>
      </c>
      <c r="D1273" s="94">
        <v>2014.0</v>
      </c>
    </row>
    <row r="1274">
      <c r="A1274" s="40">
        <f t="array" ref="A1274">IFNA(index(PlayerValues!A:A,match(IFNA(vlookup(B1274,'Special Names'!A:B,2,FALSE),B1274),PlayerValues!E:E,0)),"N/A")</f>
        <v>13113</v>
      </c>
      <c r="B1274" s="4" t="s">
        <v>606</v>
      </c>
      <c r="C1274" s="4" t="s">
        <v>283</v>
      </c>
      <c r="D1274" s="94">
        <v>2009.0</v>
      </c>
    </row>
    <row r="1275">
      <c r="A1275" s="40">
        <f t="array" ref="A1275">IFNA(index(PlayerValues!A:A,match(IFNA(vlookup(B1275,'Special Names'!A:B,2,FALSE),B1275),PlayerValues!E:E,0)),"N/A")</f>
        <v>15238</v>
      </c>
      <c r="B1275" s="4" t="s">
        <v>613</v>
      </c>
      <c r="C1275" s="4" t="s">
        <v>283</v>
      </c>
      <c r="D1275" s="94">
        <v>1999.0</v>
      </c>
    </row>
    <row r="1276">
      <c r="A1276" s="40">
        <f t="array" ref="A1276">IFNA(index(PlayerValues!A:A,match(IFNA(vlookup(B1276,'Special Names'!A:B,2,FALSE),B1276),PlayerValues!E:E,0)),"N/A")</f>
        <v>16778</v>
      </c>
      <c r="B1276" s="4" t="s">
        <v>577</v>
      </c>
      <c r="C1276" s="4" t="s">
        <v>287</v>
      </c>
      <c r="D1276" s="94">
        <v>1998.0</v>
      </c>
    </row>
    <row r="1277">
      <c r="A1277" s="40">
        <f t="array" ref="A1277">IFNA(index(PlayerValues!A:A,match(IFNA(vlookup(B1277,'Special Names'!A:B,2,FALSE),B1277),PlayerValues!E:E,0)),"N/A")</f>
        <v>15293</v>
      </c>
      <c r="B1277" s="4" t="s">
        <v>578</v>
      </c>
      <c r="C1277" s="4" t="s">
        <v>287</v>
      </c>
      <c r="D1277" s="94">
        <v>1997.0</v>
      </c>
    </row>
    <row r="1278">
      <c r="A1278" s="40">
        <f t="array" ref="A1278">IFNA(index(PlayerValues!A:A,match(IFNA(vlookup(B1278,'Special Names'!A:B,2,FALSE),B1278),PlayerValues!E:E,0)),"N/A")</f>
        <v>14974</v>
      </c>
      <c r="B1278" s="4" t="s">
        <v>611</v>
      </c>
      <c r="C1278" s="4" t="s">
        <v>287</v>
      </c>
      <c r="D1278" s="94">
        <v>1988.0</v>
      </c>
    </row>
    <row r="1279">
      <c r="A1279" s="40" t="str">
        <f t="array" ref="A1279">IFNA(index(PlayerValues!A:A,match(IFNA(vlookup(B1279,'Special Names'!A:B,2,FALSE),B1279),PlayerValues!E:E,0)),"N/A")</f>
        <v>N/A</v>
      </c>
      <c r="B1279" s="4" t="s">
        <v>114</v>
      </c>
      <c r="C1279" s="4" t="s">
        <v>325</v>
      </c>
      <c r="D1279" s="94">
        <v>1984.0</v>
      </c>
    </row>
    <row r="1280">
      <c r="A1280" s="40">
        <f t="array" ref="A1280">IFNA(index(PlayerValues!A:A,match(IFNA(vlookup(B1280,'Special Names'!A:B,2,FALSE),B1280),PlayerValues!E:E,0)),"N/A")</f>
        <v>14867</v>
      </c>
      <c r="B1280" s="4" t="s">
        <v>591</v>
      </c>
      <c r="C1280" s="4" t="s">
        <v>298</v>
      </c>
      <c r="D1280" s="94">
        <v>2365.0</v>
      </c>
    </row>
    <row r="1281">
      <c r="A1281" s="40">
        <f t="array" ref="A1281">IFNA(index(PlayerValues!A:A,match(IFNA(vlookup(B1281,'Special Names'!A:B,2,FALSE),B1281),PlayerValues!E:E,0)),"N/A")</f>
        <v>16643</v>
      </c>
      <c r="B1281" s="4" t="s">
        <v>609</v>
      </c>
      <c r="C1281" s="4" t="s">
        <v>298</v>
      </c>
      <c r="D1281" s="94">
        <v>2358.0</v>
      </c>
    </row>
    <row r="1282">
      <c r="A1282" s="40">
        <f t="array" ref="A1282">IFNA(index(PlayerValues!A:A,match(IFNA(vlookup(B1282,'Special Names'!A:B,2,FALSE),B1282),PlayerValues!E:E,0)),"N/A")</f>
        <v>17056</v>
      </c>
      <c r="B1282" s="4" t="s">
        <v>581</v>
      </c>
      <c r="C1282" s="4" t="s">
        <v>278</v>
      </c>
      <c r="D1282" s="94">
        <v>1944.0</v>
      </c>
    </row>
    <row r="1283">
      <c r="A1283" s="40">
        <f t="array" ref="A1283">IFNA(index(PlayerValues!A:A,match(IFNA(vlookup(B1283,'Special Names'!A:B,2,FALSE),B1283),PlayerValues!E:E,0)),"N/A")</f>
        <v>17467</v>
      </c>
      <c r="B1283" s="4" t="s">
        <v>575</v>
      </c>
      <c r="C1283" s="4" t="s">
        <v>283</v>
      </c>
      <c r="D1283" s="94">
        <v>1937.0</v>
      </c>
    </row>
    <row r="1284">
      <c r="A1284" s="40">
        <f t="array" ref="A1284">IFNA(index(PlayerValues!A:A,match(IFNA(vlookup(B1284,'Special Names'!A:B,2,FALSE),B1284),PlayerValues!E:E,0)),"N/A")</f>
        <v>14871</v>
      </c>
      <c r="B1284" s="4" t="s">
        <v>584</v>
      </c>
      <c r="C1284" s="4" t="s">
        <v>298</v>
      </c>
      <c r="D1284" s="94">
        <v>2322.0</v>
      </c>
    </row>
    <row r="1285">
      <c r="A1285" s="40">
        <f t="array" ref="A1285">IFNA(index(PlayerValues!A:A,match(IFNA(vlookup(B1285,'Special Names'!A:B,2,FALSE),B1285),PlayerValues!E:E,0)),"N/A")</f>
        <v>17184</v>
      </c>
      <c r="B1285" s="4" t="s">
        <v>588</v>
      </c>
      <c r="C1285" s="4" t="s">
        <v>287</v>
      </c>
      <c r="D1285" s="94">
        <v>1935.0</v>
      </c>
    </row>
    <row r="1286">
      <c r="A1286" s="40">
        <f t="array" ref="A1286">IFNA(index(PlayerValues!A:A,match(IFNA(vlookup(B1286,'Special Names'!A:B,2,FALSE),B1286),PlayerValues!E:E,0)),"N/A")</f>
        <v>7836</v>
      </c>
      <c r="B1286" s="4" t="s">
        <v>590</v>
      </c>
      <c r="C1286" s="4" t="s">
        <v>283</v>
      </c>
      <c r="D1286" s="94">
        <v>1929.0</v>
      </c>
    </row>
    <row r="1287">
      <c r="A1287" s="40">
        <f t="array" ref="A1287">IFNA(index(PlayerValues!A:A,match(IFNA(vlookup(B1287,'Special Names'!A:B,2,FALSE),B1287),PlayerValues!E:E,0)),"N/A")</f>
        <v>16603</v>
      </c>
      <c r="B1287" s="4" t="s">
        <v>587</v>
      </c>
      <c r="C1287" s="4" t="s">
        <v>278</v>
      </c>
      <c r="D1287" s="94">
        <v>1927.0</v>
      </c>
    </row>
    <row r="1288">
      <c r="A1288" s="40">
        <f t="array" ref="A1288">IFNA(index(PlayerValues!A:A,match(IFNA(vlookup(B1288,'Special Names'!A:B,2,FALSE),B1288),PlayerValues!E:E,0)),"N/A")</f>
        <v>17046</v>
      </c>
      <c r="B1288" s="4" t="s">
        <v>602</v>
      </c>
      <c r="C1288" s="4" t="s">
        <v>278</v>
      </c>
      <c r="D1288" s="94">
        <v>1926.0</v>
      </c>
    </row>
    <row r="1289">
      <c r="A1289" s="40">
        <f t="array" ref="A1289">IFNA(index(PlayerValues!A:A,match(IFNA(vlookup(B1289,'Special Names'!A:B,2,FALSE),B1289),PlayerValues!E:E,0)),"N/A")</f>
        <v>17087</v>
      </c>
      <c r="B1289" s="4" t="s">
        <v>600</v>
      </c>
      <c r="C1289" s="4" t="s">
        <v>287</v>
      </c>
      <c r="D1289" s="94">
        <v>1919.0</v>
      </c>
    </row>
    <row r="1290">
      <c r="A1290" s="40">
        <f t="array" ref="A1290">IFNA(index(PlayerValues!A:A,match(IFNA(vlookup(B1290,'Special Names'!A:B,2,FALSE),B1290),PlayerValues!E:E,0)),"N/A")</f>
        <v>16432</v>
      </c>
      <c r="B1290" s="4" t="s">
        <v>620</v>
      </c>
      <c r="C1290" s="4" t="s">
        <v>278</v>
      </c>
      <c r="D1290" s="94">
        <v>1906.0</v>
      </c>
    </row>
    <row r="1291">
      <c r="A1291" s="40">
        <f t="array" ref="A1291">IFNA(index(PlayerValues!A:A,match(IFNA(vlookup(B1291,'Special Names'!A:B,2,FALSE),B1291),PlayerValues!E:E,0)),"N/A")</f>
        <v>16216</v>
      </c>
      <c r="B1291" s="4" t="s">
        <v>595</v>
      </c>
      <c r="C1291" s="4" t="s">
        <v>298</v>
      </c>
      <c r="D1291" s="94">
        <v>2284.0</v>
      </c>
    </row>
    <row r="1292">
      <c r="A1292" s="40">
        <f t="array" ref="A1292">IFNA(index(PlayerValues!A:A,match(IFNA(vlookup(B1292,'Special Names'!A:B,2,FALSE),B1292),PlayerValues!E:E,0)),"N/A")</f>
        <v>16342</v>
      </c>
      <c r="B1292" s="4" t="s">
        <v>583</v>
      </c>
      <c r="C1292" s="4" t="s">
        <v>287</v>
      </c>
      <c r="D1292" s="94">
        <v>1883.0</v>
      </c>
    </row>
    <row r="1293">
      <c r="A1293" s="40">
        <f t="array" ref="A1293">IFNA(index(PlayerValues!A:A,match(IFNA(vlookup(B1293,'Special Names'!A:B,2,FALSE),B1293),PlayerValues!E:E,0)),"N/A")</f>
        <v>16639</v>
      </c>
      <c r="B1293" s="4" t="s">
        <v>599</v>
      </c>
      <c r="C1293" s="4" t="s">
        <v>287</v>
      </c>
      <c r="D1293" s="94">
        <v>1873.0</v>
      </c>
    </row>
    <row r="1294">
      <c r="A1294" s="40">
        <f t="array" ref="A1294">IFNA(index(PlayerValues!A:A,match(IFNA(vlookup(B1294,'Special Names'!A:B,2,FALSE),B1294),PlayerValues!E:E,0)),"N/A")</f>
        <v>16752</v>
      </c>
      <c r="B1294" s="4" t="s">
        <v>597</v>
      </c>
      <c r="C1294" s="4" t="s">
        <v>278</v>
      </c>
      <c r="D1294" s="94">
        <v>1873.0</v>
      </c>
    </row>
    <row r="1295">
      <c r="A1295" s="40">
        <f t="array" ref="A1295">IFNA(index(PlayerValues!A:A,match(IFNA(vlookup(B1295,'Special Names'!A:B,2,FALSE),B1295),PlayerValues!E:E,0)),"N/A")</f>
        <v>14136</v>
      </c>
      <c r="B1295" s="4" t="s">
        <v>536</v>
      </c>
      <c r="C1295" s="4" t="s">
        <v>287</v>
      </c>
      <c r="D1295" s="94">
        <v>1852.0</v>
      </c>
    </row>
    <row r="1296">
      <c r="A1296" s="40">
        <f t="array" ref="A1296">IFNA(index(PlayerValues!A:A,match(IFNA(vlookup(B1296,'Special Names'!A:B,2,FALSE),B1296),PlayerValues!E:E,0)),"N/A")</f>
        <v>17548</v>
      </c>
      <c r="B1296" s="4" t="s">
        <v>594</v>
      </c>
      <c r="C1296" s="4" t="s">
        <v>298</v>
      </c>
      <c r="D1296" s="94">
        <v>2235.0</v>
      </c>
    </row>
    <row r="1297">
      <c r="A1297" s="40">
        <f t="array" ref="A1297">IFNA(index(PlayerValues!A:A,match(IFNA(vlookup(B1297,'Special Names'!A:B,2,FALSE),B1297),PlayerValues!E:E,0)),"N/A")</f>
        <v>10700</v>
      </c>
      <c r="B1297" s="4" t="s">
        <v>596</v>
      </c>
      <c r="C1297" s="4" t="s">
        <v>283</v>
      </c>
      <c r="D1297" s="94">
        <v>1848.0</v>
      </c>
    </row>
    <row r="1298">
      <c r="A1298" s="40">
        <f t="array" ref="A1298">IFNA(index(PlayerValues!A:A,match(IFNA(vlookup(B1298,'Special Names'!A:B,2,FALSE),B1298),PlayerValues!E:E,0)),"N/A")</f>
        <v>13633</v>
      </c>
      <c r="B1298" s="4" t="s">
        <v>625</v>
      </c>
      <c r="C1298" s="4" t="s">
        <v>287</v>
      </c>
      <c r="D1298" s="94">
        <v>1845.0</v>
      </c>
    </row>
    <row r="1299">
      <c r="A1299" s="40">
        <f t="array" ref="A1299">IFNA(index(PlayerValues!A:A,match(IFNA(vlookup(B1299,'Special Names'!A:B,2,FALSE),B1299),PlayerValues!E:E,0)),"N/A")</f>
        <v>17086</v>
      </c>
      <c r="B1299" s="4" t="s">
        <v>612</v>
      </c>
      <c r="C1299" s="4" t="s">
        <v>287</v>
      </c>
      <c r="D1299" s="94">
        <v>1840.0</v>
      </c>
    </row>
    <row r="1300">
      <c r="A1300" s="40">
        <f t="array" ref="A1300">IFNA(index(PlayerValues!A:A,match(IFNA(vlookup(B1300,'Special Names'!A:B,2,FALSE),B1300),PlayerValues!E:E,0)),"N/A")</f>
        <v>15788</v>
      </c>
      <c r="B1300" s="4" t="s">
        <v>627</v>
      </c>
      <c r="C1300" s="4" t="s">
        <v>287</v>
      </c>
      <c r="D1300" s="94">
        <v>1835.0</v>
      </c>
    </row>
    <row r="1301">
      <c r="A1301" s="40" t="str">
        <f t="array" ref="A1301">IFNA(index(PlayerValues!A:A,match(IFNA(vlookup(B1301,'Special Names'!A:B,2,FALSE),B1301),PlayerValues!E:E,0)),"N/A")</f>
        <v>N/A</v>
      </c>
      <c r="B1301" s="4" t="s">
        <v>101</v>
      </c>
      <c r="C1301" s="4" t="s">
        <v>325</v>
      </c>
      <c r="D1301" s="94">
        <v>1830.0</v>
      </c>
    </row>
    <row r="1302">
      <c r="A1302" s="40">
        <f t="array" ref="A1302">IFNA(index(PlayerValues!A:A,match(IFNA(vlookup(B1302,'Special Names'!A:B,2,FALSE),B1302),PlayerValues!E:E,0)),"N/A")</f>
        <v>13629</v>
      </c>
      <c r="B1302" s="4" t="s">
        <v>619</v>
      </c>
      <c r="C1302" s="4" t="s">
        <v>287</v>
      </c>
      <c r="D1302" s="94">
        <v>1826.0</v>
      </c>
    </row>
    <row r="1303">
      <c r="A1303" s="40">
        <f t="array" ref="A1303">IFNA(index(PlayerValues!A:A,match(IFNA(vlookup(B1303,'Special Names'!A:B,2,FALSE),B1303),PlayerValues!E:E,0)),"N/A")</f>
        <v>17036</v>
      </c>
      <c r="B1303" s="4" t="s">
        <v>617</v>
      </c>
      <c r="C1303" s="4" t="s">
        <v>283</v>
      </c>
      <c r="D1303" s="94">
        <v>1825.0</v>
      </c>
    </row>
    <row r="1304">
      <c r="A1304" s="40">
        <f t="array" ref="A1304">IFNA(index(PlayerValues!A:A,match(IFNA(vlookup(B1304,'Special Names'!A:B,2,FALSE),B1304),PlayerValues!E:E,0)),"N/A")</f>
        <v>16644</v>
      </c>
      <c r="B1304" s="4" t="s">
        <v>640</v>
      </c>
      <c r="C1304" s="4" t="s">
        <v>298</v>
      </c>
      <c r="D1304" s="94">
        <v>2150.0</v>
      </c>
    </row>
    <row r="1305">
      <c r="A1305" s="40">
        <f t="array" ref="A1305">IFNA(index(PlayerValues!A:A,match(IFNA(vlookup(B1305,'Special Names'!A:B,2,FALSE),B1305),PlayerValues!E:E,0)),"N/A")</f>
        <v>17519</v>
      </c>
      <c r="B1305" s="4" t="s">
        <v>593</v>
      </c>
      <c r="C1305" s="4" t="s">
        <v>287</v>
      </c>
      <c r="D1305" s="94">
        <v>1766.0</v>
      </c>
    </row>
    <row r="1306">
      <c r="A1306" s="40">
        <f t="array" ref="A1306">IFNA(index(PlayerValues!A:A,match(IFNA(vlookup(B1306,'Special Names'!A:B,2,FALSE),B1306),PlayerValues!E:E,0)),"N/A")</f>
        <v>13189</v>
      </c>
      <c r="B1306" s="4" t="s">
        <v>626</v>
      </c>
      <c r="C1306" s="4" t="s">
        <v>298</v>
      </c>
      <c r="D1306" s="94">
        <v>2143.0</v>
      </c>
    </row>
    <row r="1307">
      <c r="A1307" s="40" t="str">
        <f t="array" ref="A1307">IFNA(index(PlayerValues!A:A,match(IFNA(vlookup(B1307,'Special Names'!A:B,2,FALSE),B1307),PlayerValues!E:E,0)),"N/A")</f>
        <v>N/A</v>
      </c>
      <c r="B1307" s="4" t="s">
        <v>89</v>
      </c>
      <c r="C1307" s="4" t="s">
        <v>325</v>
      </c>
      <c r="D1307" s="94">
        <v>1761.0</v>
      </c>
    </row>
    <row r="1308">
      <c r="A1308" s="40">
        <f t="array" ref="A1308">IFNA(index(PlayerValues!A:A,match(IFNA(vlookup(B1308,'Special Names'!A:B,2,FALSE),B1308),PlayerValues!E:E,0)),"N/A")</f>
        <v>16215</v>
      </c>
      <c r="B1308" s="4" t="s">
        <v>637</v>
      </c>
      <c r="C1308" s="4" t="s">
        <v>298</v>
      </c>
      <c r="D1308" s="94">
        <v>2130.0</v>
      </c>
    </row>
    <row r="1309">
      <c r="A1309" s="40">
        <f t="array" ref="A1309">IFNA(index(PlayerValues!A:A,match(IFNA(vlookup(B1309,'Special Names'!A:B,2,FALSE),B1309),PlayerValues!E:E,0)),"N/A")</f>
        <v>16191</v>
      </c>
      <c r="B1309" s="4" t="s">
        <v>666</v>
      </c>
      <c r="C1309" s="4" t="s">
        <v>287</v>
      </c>
      <c r="D1309" s="94">
        <v>1748.0</v>
      </c>
    </row>
    <row r="1310">
      <c r="A1310" s="40">
        <f t="array" ref="A1310">IFNA(index(PlayerValues!A:A,match(IFNA(vlookup(B1310,'Special Names'!A:B,2,FALSE),B1310),PlayerValues!E:E,0)),"N/A")</f>
        <v>13146</v>
      </c>
      <c r="B1310" s="4" t="s">
        <v>652</v>
      </c>
      <c r="C1310" s="4" t="s">
        <v>278</v>
      </c>
      <c r="D1310" s="94">
        <v>1747.0</v>
      </c>
    </row>
    <row r="1311">
      <c r="A1311" s="40" t="str">
        <f t="array" ref="A1311">IFNA(index(PlayerValues!A:A,match(IFNA(vlookup(B1311,'Special Names'!A:B,2,FALSE),B1311),PlayerValues!E:E,0)),"N/A")</f>
        <v>N/A</v>
      </c>
      <c r="B1311" s="4" t="s">
        <v>102</v>
      </c>
      <c r="C1311" s="4" t="s">
        <v>325</v>
      </c>
      <c r="D1311" s="94">
        <v>1745.0</v>
      </c>
    </row>
    <row r="1312">
      <c r="A1312" s="40">
        <f t="array" ref="A1312">IFNA(index(PlayerValues!A:A,match(IFNA(vlookup(B1312,'Special Names'!A:B,2,FALSE),B1312),PlayerValues!E:E,0)),"N/A")</f>
        <v>17685</v>
      </c>
      <c r="B1312" s="4" t="s">
        <v>630</v>
      </c>
      <c r="C1312" s="4" t="s">
        <v>278</v>
      </c>
      <c r="D1312" s="94">
        <v>1736.0</v>
      </c>
    </row>
    <row r="1313">
      <c r="A1313" s="40">
        <f t="array" ref="A1313">IFNA(index(PlayerValues!A:A,match(IFNA(vlookup(B1313,'Special Names'!A:B,2,FALSE),B1313),PlayerValues!E:E,0)),"N/A")</f>
        <v>17034</v>
      </c>
      <c r="B1313" s="4" t="s">
        <v>643</v>
      </c>
      <c r="C1313" s="4" t="s">
        <v>283</v>
      </c>
      <c r="D1313" s="94">
        <v>1722.0</v>
      </c>
    </row>
    <row r="1314">
      <c r="A1314" s="40">
        <f t="array" ref="A1314">IFNA(index(PlayerValues!A:A,match(IFNA(vlookup(B1314,'Special Names'!A:B,2,FALSE),B1314),PlayerValues!E:E,0)),"N/A")</f>
        <v>13164</v>
      </c>
      <c r="B1314" s="4" t="s">
        <v>632</v>
      </c>
      <c r="C1314" s="4" t="s">
        <v>287</v>
      </c>
      <c r="D1314" s="94">
        <v>1718.0</v>
      </c>
    </row>
    <row r="1315">
      <c r="A1315" s="40">
        <f t="array" ref="A1315">IFNA(index(PlayerValues!A:A,match(IFNA(vlookup(B1315,'Special Names'!A:B,2,FALSE),B1315),PlayerValues!E:E,0)),"N/A")</f>
        <v>15787</v>
      </c>
      <c r="B1315" s="4" t="s">
        <v>610</v>
      </c>
      <c r="C1315" s="4" t="s">
        <v>287</v>
      </c>
      <c r="D1315" s="94">
        <v>1713.0</v>
      </c>
    </row>
    <row r="1316">
      <c r="A1316" s="40">
        <f t="array" ref="A1316">IFNA(index(PlayerValues!A:A,match(IFNA(vlookup(B1316,'Special Names'!A:B,2,FALSE),B1316),PlayerValues!E:E,0)),"N/A")</f>
        <v>17049</v>
      </c>
      <c r="B1316" s="4" t="s">
        <v>624</v>
      </c>
      <c r="C1316" s="4" t="s">
        <v>278</v>
      </c>
      <c r="D1316" s="94">
        <v>1708.0</v>
      </c>
    </row>
    <row r="1317">
      <c r="A1317" s="40">
        <f t="array" ref="A1317">IFNA(index(PlayerValues!A:A,match(IFNA(vlookup(B1317,'Special Names'!A:B,2,FALSE),B1317),PlayerValues!E:E,0)),"N/A")</f>
        <v>17529</v>
      </c>
      <c r="B1317" s="4" t="s">
        <v>608</v>
      </c>
      <c r="C1317" s="4" t="s">
        <v>287</v>
      </c>
      <c r="D1317" s="94">
        <v>1691.0</v>
      </c>
    </row>
    <row r="1318">
      <c r="A1318" s="40">
        <f t="array" ref="A1318">IFNA(index(PlayerValues!A:A,match(IFNA(vlookup(B1318,'Special Names'!A:B,2,FALSE),B1318),PlayerValues!E:E,0)),"N/A")</f>
        <v>14143</v>
      </c>
      <c r="B1318" s="4" t="s">
        <v>635</v>
      </c>
      <c r="C1318" s="4" t="s">
        <v>298</v>
      </c>
      <c r="D1318" s="94">
        <v>2068.0</v>
      </c>
    </row>
    <row r="1319">
      <c r="A1319" s="40">
        <f t="array" ref="A1319">IFNA(index(PlayerValues!A:A,match(IFNA(vlookup(B1319,'Special Names'!A:B,2,FALSE),B1319),PlayerValues!E:E,0)),"N/A")</f>
        <v>16171</v>
      </c>
      <c r="B1319" s="4" t="s">
        <v>618</v>
      </c>
      <c r="C1319" s="4" t="s">
        <v>278</v>
      </c>
      <c r="D1319" s="94">
        <v>1683.0</v>
      </c>
    </row>
    <row r="1320">
      <c r="A1320" s="40">
        <f t="array" ref="A1320">IFNA(index(PlayerValues!A:A,match(IFNA(vlookup(B1320,'Special Names'!A:B,2,FALSE),B1320),PlayerValues!E:E,0)),"N/A")</f>
        <v>17058</v>
      </c>
      <c r="B1320" s="4" t="s">
        <v>641</v>
      </c>
      <c r="C1320" s="4" t="s">
        <v>278</v>
      </c>
      <c r="D1320" s="94">
        <v>1681.0</v>
      </c>
    </row>
    <row r="1321">
      <c r="A1321" s="40">
        <f t="array" ref="A1321">IFNA(index(PlayerValues!A:A,match(IFNA(vlookup(B1321,'Special Names'!A:B,2,FALSE),B1321),PlayerValues!E:E,0)),"N/A")</f>
        <v>15752</v>
      </c>
      <c r="B1321" s="4" t="s">
        <v>647</v>
      </c>
      <c r="C1321" s="4" t="s">
        <v>287</v>
      </c>
      <c r="D1321" s="94">
        <v>1665.0</v>
      </c>
    </row>
    <row r="1322">
      <c r="A1322" s="40">
        <f t="array" ref="A1322">IFNA(index(PlayerValues!A:A,match(IFNA(vlookup(B1322,'Special Names'!A:B,2,FALSE),B1322),PlayerValues!E:E,0)),"N/A")</f>
        <v>15755</v>
      </c>
      <c r="B1322" s="4" t="s">
        <v>628</v>
      </c>
      <c r="C1322" s="4" t="s">
        <v>287</v>
      </c>
      <c r="D1322" s="94">
        <v>1661.0</v>
      </c>
    </row>
    <row r="1323">
      <c r="A1323" s="40" t="str">
        <f t="array" ref="A1323">IFNA(index(PlayerValues!A:A,match(IFNA(vlookup(B1323,'Special Names'!A:B,2,FALSE),B1323),PlayerValues!E:E,0)),"N/A")</f>
        <v>N/A</v>
      </c>
      <c r="B1323" s="4" t="s">
        <v>115</v>
      </c>
      <c r="C1323" s="4" t="s">
        <v>325</v>
      </c>
      <c r="D1323" s="94">
        <v>1649.0</v>
      </c>
    </row>
    <row r="1324">
      <c r="A1324" s="40">
        <f t="array" ref="A1324">IFNA(index(PlayerValues!A:A,match(IFNA(vlookup(B1324,'Special Names'!A:B,2,FALSE),B1324),PlayerValues!E:E,0)),"N/A")</f>
        <v>16207</v>
      </c>
      <c r="B1324" s="4" t="s">
        <v>636</v>
      </c>
      <c r="C1324" s="4" t="s">
        <v>287</v>
      </c>
      <c r="D1324" s="94">
        <v>1645.0</v>
      </c>
    </row>
    <row r="1325">
      <c r="A1325" s="40" t="str">
        <f t="array" ref="A1325">IFNA(index(PlayerValues!A:A,match(IFNA(vlookup(B1325,'Special Names'!A:B,2,FALSE),B1325),PlayerValues!E:E,0)),"N/A")</f>
        <v>N/A</v>
      </c>
      <c r="B1325" s="4" t="s">
        <v>103</v>
      </c>
      <c r="C1325" s="4" t="s">
        <v>325</v>
      </c>
      <c r="D1325" s="94">
        <v>1645.0</v>
      </c>
    </row>
    <row r="1326">
      <c r="A1326" s="40">
        <f t="array" ref="A1326">IFNA(index(PlayerValues!A:A,match(IFNA(vlookup(B1326,'Special Names'!A:B,2,FALSE),B1326),PlayerValues!E:E,0)),"N/A")</f>
        <v>17521</v>
      </c>
      <c r="B1326" s="4" t="s">
        <v>573</v>
      </c>
      <c r="C1326" s="4" t="s">
        <v>287</v>
      </c>
      <c r="D1326" s="94">
        <v>1642.0</v>
      </c>
    </row>
    <row r="1327">
      <c r="A1327" s="40">
        <f t="array" ref="A1327">IFNA(index(PlayerValues!A:A,match(IFNA(vlookup(B1327,'Special Names'!A:B,2,FALSE),B1327),PlayerValues!E:E,0)),"N/A")</f>
        <v>16608</v>
      </c>
      <c r="B1327" s="4" t="s">
        <v>629</v>
      </c>
      <c r="C1327" s="4" t="s">
        <v>278</v>
      </c>
      <c r="D1327" s="94">
        <v>1640.0</v>
      </c>
    </row>
    <row r="1328">
      <c r="A1328" s="40">
        <f t="array" ref="A1328">IFNA(index(PlayerValues!A:A,match(IFNA(vlookup(B1328,'Special Names'!A:B,2,FALSE),B1328),PlayerValues!E:E,0)),"N/A")</f>
        <v>17096</v>
      </c>
      <c r="B1328" s="4" t="s">
        <v>638</v>
      </c>
      <c r="C1328" s="4" t="s">
        <v>287</v>
      </c>
      <c r="D1328" s="94">
        <v>1628.0</v>
      </c>
    </row>
    <row r="1329">
      <c r="A1329" s="40">
        <f t="array" ref="A1329">IFNA(index(PlayerValues!A:A,match(IFNA(vlookup(B1329,'Special Names'!A:B,2,FALSE),B1329),PlayerValues!E:E,0)),"N/A")</f>
        <v>16201</v>
      </c>
      <c r="B1329" s="4" t="s">
        <v>589</v>
      </c>
      <c r="C1329" s="4" t="s">
        <v>287</v>
      </c>
      <c r="D1329" s="94">
        <v>1610.0</v>
      </c>
    </row>
    <row r="1330">
      <c r="A1330" s="40">
        <f t="array" ref="A1330">IFNA(index(PlayerValues!A:A,match(IFNA(vlookup(B1330,'Special Names'!A:B,2,FALSE),B1330),PlayerValues!E:E,0)),"N/A")</f>
        <v>16585</v>
      </c>
      <c r="B1330" s="4" t="s">
        <v>623</v>
      </c>
      <c r="C1330" s="4" t="s">
        <v>283</v>
      </c>
      <c r="D1330" s="94">
        <v>1597.0</v>
      </c>
    </row>
    <row r="1331">
      <c r="A1331" s="40" t="str">
        <f t="array" ref="A1331">IFNA(index(PlayerValues!A:A,match(IFNA(vlookup(B1331,'Special Names'!A:B,2,FALSE),B1331),PlayerValues!E:E,0)),"N/A")</f>
        <v>N/A</v>
      </c>
      <c r="B1331" s="4" t="s">
        <v>90</v>
      </c>
      <c r="C1331" s="4" t="s">
        <v>325</v>
      </c>
      <c r="D1331" s="94">
        <v>1593.0</v>
      </c>
    </row>
    <row r="1332">
      <c r="A1332" s="40">
        <f t="array" ref="A1332">IFNA(index(PlayerValues!A:A,match(IFNA(vlookup(B1332,'Special Names'!A:B,2,FALSE),B1332),PlayerValues!E:E,0)),"N/A")</f>
        <v>16635</v>
      </c>
      <c r="B1332" s="4" t="s">
        <v>645</v>
      </c>
      <c r="C1332" s="4" t="s">
        <v>287</v>
      </c>
      <c r="D1332" s="94">
        <v>1592.0</v>
      </c>
    </row>
    <row r="1333">
      <c r="A1333" s="40">
        <f t="array" ref="A1333">IFNA(index(PlayerValues!A:A,match(IFNA(vlookup(B1333,'Special Names'!A:B,2,FALSE),B1333),PlayerValues!E:E,0)),"N/A")</f>
        <v>17035</v>
      </c>
      <c r="B1333" s="4" t="s">
        <v>650</v>
      </c>
      <c r="C1333" s="4" t="s">
        <v>283</v>
      </c>
      <c r="D1333" s="94">
        <v>1592.0</v>
      </c>
    </row>
    <row r="1334">
      <c r="A1334" s="40">
        <f t="array" ref="A1334">IFNA(index(PlayerValues!A:A,match(IFNA(vlookup(B1334,'Special Names'!A:B,2,FALSE),B1334),PlayerValues!E:E,0)),"N/A")</f>
        <v>14122</v>
      </c>
      <c r="B1334" s="4" t="s">
        <v>663</v>
      </c>
      <c r="C1334" s="4" t="s">
        <v>287</v>
      </c>
      <c r="D1334" s="94">
        <v>1585.0</v>
      </c>
    </row>
    <row r="1335">
      <c r="A1335" s="40">
        <f t="array" ref="A1335">IFNA(index(PlayerValues!A:A,match(IFNA(vlookup(B1335,'Special Names'!A:B,2,FALSE),B1335),PlayerValues!E:E,0)),"N/A")</f>
        <v>16629</v>
      </c>
      <c r="B1335" s="4" t="s">
        <v>605</v>
      </c>
      <c r="C1335" s="4" t="s">
        <v>287</v>
      </c>
      <c r="D1335" s="94">
        <v>1585.0</v>
      </c>
    </row>
    <row r="1336">
      <c r="A1336" s="40">
        <f t="array" ref="A1336">IFNA(index(PlayerValues!A:A,match(IFNA(vlookup(B1336,'Special Names'!A:B,2,FALSE),B1336),PlayerValues!E:E,0)),"N/A")</f>
        <v>17064</v>
      </c>
      <c r="B1336" s="4" t="s">
        <v>631</v>
      </c>
      <c r="C1336" s="4" t="s">
        <v>278</v>
      </c>
      <c r="D1336" s="94">
        <v>1576.0</v>
      </c>
    </row>
    <row r="1337">
      <c r="A1337" s="40">
        <f t="array" ref="A1337">IFNA(index(PlayerValues!A:A,match(IFNA(vlookup(B1337,'Special Names'!A:B,2,FALSE),B1337),PlayerValues!E:E,0)),"N/A")</f>
        <v>14840</v>
      </c>
      <c r="B1337" s="4" t="s">
        <v>731</v>
      </c>
      <c r="C1337" s="4" t="s">
        <v>287</v>
      </c>
      <c r="D1337" s="94">
        <v>1571.0</v>
      </c>
    </row>
    <row r="1338">
      <c r="A1338" s="40">
        <f t="array" ref="A1338">IFNA(index(PlayerValues!A:A,match(IFNA(vlookup(B1338,'Special Names'!A:B,2,FALSE),B1338),PlayerValues!E:E,0)),"N/A")</f>
        <v>15337</v>
      </c>
      <c r="B1338" s="4" t="s">
        <v>655</v>
      </c>
      <c r="C1338" s="4" t="s">
        <v>298</v>
      </c>
      <c r="D1338" s="94">
        <v>1927.0</v>
      </c>
    </row>
    <row r="1339">
      <c r="A1339" s="40">
        <f t="array" ref="A1339">IFNA(index(PlayerValues!A:A,match(IFNA(vlookup(B1339,'Special Names'!A:B,2,FALSE),B1339),PlayerValues!E:E,0)),"N/A")</f>
        <v>12801</v>
      </c>
      <c r="B1339" s="4" t="s">
        <v>722</v>
      </c>
      <c r="C1339" s="4" t="s">
        <v>287</v>
      </c>
      <c r="D1339" s="94">
        <v>1539.0</v>
      </c>
    </row>
    <row r="1340">
      <c r="A1340" s="40" t="str">
        <f t="array" ref="A1340">IFNA(index(PlayerValues!A:A,match(IFNA(vlookup(B1340,'Special Names'!A:B,2,FALSE),B1340),PlayerValues!E:E,0)),"N/A")</f>
        <v>N/A</v>
      </c>
      <c r="B1340" s="4" t="s">
        <v>91</v>
      </c>
      <c r="C1340" s="4" t="s">
        <v>325</v>
      </c>
      <c r="D1340" s="94">
        <v>1533.0</v>
      </c>
    </row>
    <row r="1341">
      <c r="A1341" s="40" t="str">
        <f t="array" ref="A1341">IFNA(index(PlayerValues!A:A,match(IFNA(vlookup(B1341,'Special Names'!A:B,2,FALSE),B1341),PlayerValues!E:E,0)),"N/A")</f>
        <v>N/A</v>
      </c>
      <c r="B1341" s="4" t="s">
        <v>116</v>
      </c>
      <c r="C1341" s="4" t="s">
        <v>325</v>
      </c>
      <c r="D1341" s="94">
        <v>1523.0</v>
      </c>
    </row>
    <row r="1342">
      <c r="A1342" s="40">
        <f t="array" ref="A1342">IFNA(index(PlayerValues!A:A,match(IFNA(vlookup(B1342,'Special Names'!A:B,2,FALSE),B1342),PlayerValues!E:E,0)),"N/A")</f>
        <v>15319</v>
      </c>
      <c r="B1342" s="4" t="s">
        <v>644</v>
      </c>
      <c r="C1342" s="4" t="s">
        <v>287</v>
      </c>
      <c r="D1342" s="94">
        <v>1520.0</v>
      </c>
    </row>
    <row r="1343">
      <c r="A1343" s="40">
        <f t="array" ref="A1343">IFNA(index(PlayerValues!A:A,match(IFNA(vlookup(B1343,'Special Names'!A:B,2,FALSE),B1343),PlayerValues!E:E,0)),"N/A")</f>
        <v>16595</v>
      </c>
      <c r="B1343" s="4" t="s">
        <v>664</v>
      </c>
      <c r="C1343" s="4" t="s">
        <v>278</v>
      </c>
      <c r="D1343" s="94">
        <v>1515.0</v>
      </c>
    </row>
    <row r="1344">
      <c r="A1344" s="40">
        <f t="array" ref="A1344">IFNA(index(PlayerValues!A:A,match(IFNA(vlookup(B1344,'Special Names'!A:B,2,FALSE),B1344),PlayerValues!E:E,0)),"N/A")</f>
        <v>16601</v>
      </c>
      <c r="B1344" s="4" t="s">
        <v>648</v>
      </c>
      <c r="C1344" s="4" t="s">
        <v>278</v>
      </c>
      <c r="D1344" s="94">
        <v>1513.0</v>
      </c>
    </row>
    <row r="1345">
      <c r="A1345" s="40">
        <f t="array" ref="A1345">IFNA(index(PlayerValues!A:A,match(IFNA(vlookup(B1345,'Special Names'!A:B,2,FALSE),B1345),PlayerValues!E:E,0)),"N/A")</f>
        <v>17465</v>
      </c>
      <c r="B1345" s="4" t="s">
        <v>649</v>
      </c>
      <c r="C1345" s="4" t="s">
        <v>283</v>
      </c>
      <c r="D1345" s="94">
        <v>1500.0</v>
      </c>
    </row>
    <row r="1346">
      <c r="A1346" s="40">
        <f t="array" ref="A1346">IFNA(index(PlayerValues!A:A,match(IFNA(vlookup(B1346,'Special Names'!A:B,2,FALSE),B1346),PlayerValues!E:E,0)),"N/A")</f>
        <v>13672</v>
      </c>
      <c r="B1346" s="4" t="s">
        <v>667</v>
      </c>
      <c r="C1346" s="4" t="s">
        <v>298</v>
      </c>
      <c r="D1346" s="94">
        <v>1871.0</v>
      </c>
    </row>
    <row r="1347">
      <c r="A1347" s="40">
        <f t="array" ref="A1347">IFNA(index(PlayerValues!A:A,match(IFNA(vlookup(B1347,'Special Names'!A:B,2,FALSE),B1347),PlayerValues!E:E,0)),"N/A")</f>
        <v>15301</v>
      </c>
      <c r="B1347" s="4" t="s">
        <v>657</v>
      </c>
      <c r="C1347" s="4" t="s">
        <v>287</v>
      </c>
      <c r="D1347" s="94">
        <v>1495.0</v>
      </c>
    </row>
    <row r="1348">
      <c r="A1348" s="40">
        <f t="array" ref="A1348">IFNA(index(PlayerValues!A:A,match(IFNA(vlookup(B1348,'Special Names'!A:B,2,FALSE),B1348),PlayerValues!E:E,0)),"N/A")</f>
        <v>16387</v>
      </c>
      <c r="B1348" s="4" t="s">
        <v>646</v>
      </c>
      <c r="C1348" s="4" t="s">
        <v>278</v>
      </c>
      <c r="D1348" s="94">
        <v>1494.0</v>
      </c>
    </row>
    <row r="1349">
      <c r="A1349" s="40">
        <f t="array" ref="A1349">IFNA(index(PlayerValues!A:A,match(IFNA(vlookup(B1349,'Special Names'!A:B,2,FALSE),B1349),PlayerValues!E:E,0)),"N/A")</f>
        <v>15738</v>
      </c>
      <c r="B1349" s="4" t="s">
        <v>634</v>
      </c>
      <c r="C1349" s="4" t="s">
        <v>278</v>
      </c>
      <c r="D1349" s="94">
        <v>1485.0</v>
      </c>
    </row>
    <row r="1350">
      <c r="A1350" s="40">
        <f t="array" ref="A1350">IFNA(index(PlayerValues!A:A,match(IFNA(vlookup(B1350,'Special Names'!A:B,2,FALSE),B1350),PlayerValues!E:E,0)),"N/A")</f>
        <v>17652</v>
      </c>
      <c r="B1350" s="4" t="s">
        <v>576</v>
      </c>
      <c r="C1350" s="4" t="s">
        <v>278</v>
      </c>
      <c r="D1350" s="94">
        <v>1479.0</v>
      </c>
    </row>
    <row r="1351">
      <c r="A1351" s="40">
        <f t="array" ref="A1351">IFNA(index(PlayerValues!A:A,match(IFNA(vlookup(B1351,'Special Names'!A:B,2,FALSE),B1351),PlayerValues!E:E,0)),"N/A")</f>
        <v>17234</v>
      </c>
      <c r="B1351" s="4" t="s">
        <v>653</v>
      </c>
      <c r="C1351" s="4" t="s">
        <v>287</v>
      </c>
      <c r="D1351" s="94">
        <v>1463.0</v>
      </c>
    </row>
    <row r="1352">
      <c r="A1352" s="40">
        <f t="array" ref="A1352">IFNA(index(PlayerValues!A:A,match(IFNA(vlookup(B1352,'Special Names'!A:B,2,FALSE),B1352),PlayerValues!E:E,0)),"N/A")</f>
        <v>16586</v>
      </c>
      <c r="B1352" s="4" t="s">
        <v>658</v>
      </c>
      <c r="C1352" s="4" t="s">
        <v>283</v>
      </c>
      <c r="D1352" s="94">
        <v>1461.0</v>
      </c>
    </row>
    <row r="1353">
      <c r="A1353" s="40">
        <f t="array" ref="A1353">IFNA(index(PlayerValues!A:A,match(IFNA(vlookup(B1353,'Special Names'!A:B,2,FALSE),B1353),PlayerValues!E:E,0)),"N/A")</f>
        <v>14086</v>
      </c>
      <c r="B1353" s="4" t="s">
        <v>639</v>
      </c>
      <c r="C1353" s="4" t="s">
        <v>278</v>
      </c>
      <c r="D1353" s="94">
        <v>1459.0</v>
      </c>
    </row>
    <row r="1354">
      <c r="A1354" s="40">
        <f t="array" ref="A1354">IFNA(index(PlayerValues!A:A,match(IFNA(vlookup(B1354,'Special Names'!A:B,2,FALSE),B1354),PlayerValues!E:E,0)),"N/A")</f>
        <v>14105</v>
      </c>
      <c r="B1354" s="4" t="s">
        <v>675</v>
      </c>
      <c r="C1354" s="4" t="s">
        <v>287</v>
      </c>
      <c r="D1354" s="94">
        <v>1442.0</v>
      </c>
    </row>
    <row r="1355">
      <c r="A1355" s="40">
        <f t="array" ref="A1355">IFNA(index(PlayerValues!A:A,match(IFNA(vlookup(B1355,'Special Names'!A:B,2,FALSE),B1355),PlayerValues!E:E,0)),"N/A")</f>
        <v>17205</v>
      </c>
      <c r="B1355" s="4" t="s">
        <v>665</v>
      </c>
      <c r="C1355" s="4" t="s">
        <v>287</v>
      </c>
      <c r="D1355" s="94">
        <v>1440.0</v>
      </c>
    </row>
    <row r="1356">
      <c r="A1356" s="40">
        <f t="array" ref="A1356">IFNA(index(PlayerValues!A:A,match(IFNA(vlookup(B1356,'Special Names'!A:B,2,FALSE),B1356),PlayerValues!E:E,0)),"N/A")</f>
        <v>16688</v>
      </c>
      <c r="B1356" s="4" t="s">
        <v>688</v>
      </c>
      <c r="C1356" s="4" t="s">
        <v>278</v>
      </c>
      <c r="D1356" s="94">
        <v>1427.0</v>
      </c>
    </row>
    <row r="1357">
      <c r="A1357" s="40">
        <f t="array" ref="A1357">IFNA(index(PlayerValues!A:A,match(IFNA(vlookup(B1357,'Special Names'!A:B,2,FALSE),B1357),PlayerValues!E:E,0)),"N/A")</f>
        <v>15713</v>
      </c>
      <c r="B1357" s="4" t="s">
        <v>732</v>
      </c>
      <c r="C1357" s="4" t="s">
        <v>278</v>
      </c>
      <c r="D1357" s="94">
        <v>1421.0</v>
      </c>
    </row>
    <row r="1358">
      <c r="A1358" s="40">
        <f t="array" ref="A1358">IFNA(index(PlayerValues!A:A,match(IFNA(vlookup(B1358,'Special Names'!A:B,2,FALSE),B1358),PlayerValues!E:E,0)),"N/A")</f>
        <v>16621</v>
      </c>
      <c r="B1358" s="4" t="s">
        <v>672</v>
      </c>
      <c r="C1358" s="4" t="s">
        <v>287</v>
      </c>
      <c r="D1358" s="94">
        <v>1410.0</v>
      </c>
    </row>
    <row r="1359">
      <c r="A1359" s="40">
        <f t="array" ref="A1359">IFNA(index(PlayerValues!A:A,match(IFNA(vlookup(B1359,'Special Names'!A:B,2,FALSE),B1359),PlayerValues!E:E,0)),"N/A")</f>
        <v>14137</v>
      </c>
      <c r="B1359" s="4" t="s">
        <v>676</v>
      </c>
      <c r="C1359" s="4" t="s">
        <v>298</v>
      </c>
      <c r="D1359" s="94">
        <v>1778.0</v>
      </c>
    </row>
    <row r="1360">
      <c r="A1360" s="40">
        <f t="array" ref="A1360">IFNA(index(PlayerValues!A:A,match(IFNA(vlookup(B1360,'Special Names'!A:B,2,FALSE),B1360),PlayerValues!E:E,0)),"N/A")</f>
        <v>15759</v>
      </c>
      <c r="B1360" s="4" t="s">
        <v>662</v>
      </c>
      <c r="C1360" s="4" t="s">
        <v>287</v>
      </c>
      <c r="D1360" s="94">
        <v>1406.0</v>
      </c>
    </row>
    <row r="1361">
      <c r="A1361" s="40">
        <f t="array" ref="A1361">IFNA(index(PlayerValues!A:A,match(IFNA(vlookup(B1361,'Special Names'!A:B,2,FALSE),B1361),PlayerValues!E:E,0)),"N/A")</f>
        <v>16633</v>
      </c>
      <c r="B1361" s="4" t="s">
        <v>656</v>
      </c>
      <c r="C1361" s="4" t="s">
        <v>287</v>
      </c>
      <c r="D1361" s="94">
        <v>1402.0</v>
      </c>
    </row>
    <row r="1362">
      <c r="A1362" s="40">
        <f t="array" ref="A1362">IFNA(index(PlayerValues!A:A,match(IFNA(vlookup(B1362,'Special Names'!A:B,2,FALSE),B1362),PlayerValues!E:E,0)),"N/A")</f>
        <v>16788</v>
      </c>
      <c r="B1362" s="4" t="s">
        <v>621</v>
      </c>
      <c r="C1362" s="4" t="s">
        <v>287</v>
      </c>
      <c r="D1362" s="94">
        <v>1400.0</v>
      </c>
    </row>
    <row r="1363">
      <c r="A1363" s="40">
        <f t="array" ref="A1363">IFNA(index(PlayerValues!A:A,match(IFNA(vlookup(B1363,'Special Names'!A:B,2,FALSE),B1363),PlayerValues!E:E,0)),"N/A")</f>
        <v>15292</v>
      </c>
      <c r="B1363" s="4" t="s">
        <v>682</v>
      </c>
      <c r="C1363" s="4" t="s">
        <v>287</v>
      </c>
      <c r="D1363" s="94">
        <v>1396.0</v>
      </c>
    </row>
    <row r="1364">
      <c r="A1364" s="40">
        <f t="array" ref="A1364">IFNA(index(PlayerValues!A:A,match(IFNA(vlookup(B1364,'Special Names'!A:B,2,FALSE),B1364),PlayerValues!E:E,0)),"N/A")</f>
        <v>16631</v>
      </c>
      <c r="B1364" s="4" t="s">
        <v>800</v>
      </c>
      <c r="C1364" s="4" t="s">
        <v>287</v>
      </c>
      <c r="D1364" s="94">
        <v>1393.0</v>
      </c>
    </row>
    <row r="1365">
      <c r="A1365" s="40">
        <f t="array" ref="A1365">IFNA(index(PlayerValues!A:A,match(IFNA(vlookup(B1365,'Special Names'!A:B,2,FALSE),B1365),PlayerValues!E:E,0)),"N/A")</f>
        <v>15873</v>
      </c>
      <c r="B1365" s="4" t="s">
        <v>681</v>
      </c>
      <c r="C1365" s="4" t="s">
        <v>298</v>
      </c>
      <c r="D1365" s="94">
        <v>1755.0</v>
      </c>
    </row>
    <row r="1366">
      <c r="A1366" s="40">
        <f t="array" ref="A1366">IFNA(index(PlayerValues!A:A,match(IFNA(vlookup(B1366,'Special Names'!A:B,2,FALSE),B1366),PlayerValues!E:E,0)),"N/A")</f>
        <v>16175</v>
      </c>
      <c r="B1366" s="4" t="s">
        <v>654</v>
      </c>
      <c r="C1366" s="4" t="s">
        <v>278</v>
      </c>
      <c r="D1366" s="94">
        <v>1377.0</v>
      </c>
    </row>
    <row r="1367">
      <c r="A1367" s="40">
        <f t="array" ref="A1367">IFNA(index(PlayerValues!A:A,match(IFNA(vlookup(B1367,'Special Names'!A:B,2,FALSE),B1367),PlayerValues!E:E,0)),"N/A")</f>
        <v>16645</v>
      </c>
      <c r="B1367" s="4" t="s">
        <v>651</v>
      </c>
      <c r="C1367" s="4" t="s">
        <v>298</v>
      </c>
      <c r="D1367" s="94">
        <v>1736.0</v>
      </c>
    </row>
    <row r="1368">
      <c r="A1368" s="40">
        <f t="array" ref="A1368">IFNA(index(PlayerValues!A:A,match(IFNA(vlookup(B1368,'Special Names'!A:B,2,FALSE),B1368),PlayerValues!E:E,0)),"N/A")</f>
        <v>15777</v>
      </c>
      <c r="B1368" s="4" t="s">
        <v>694</v>
      </c>
      <c r="C1368" s="4" t="s">
        <v>287</v>
      </c>
      <c r="D1368" s="94">
        <v>1352.0</v>
      </c>
    </row>
    <row r="1369">
      <c r="A1369" s="40">
        <f t="array" ref="A1369">IFNA(index(PlayerValues!A:A,match(IFNA(vlookup(B1369,'Special Names'!A:B,2,FALSE),B1369),PlayerValues!E:E,0)),"N/A")</f>
        <v>16642</v>
      </c>
      <c r="B1369" s="4" t="s">
        <v>691</v>
      </c>
      <c r="C1369" s="4" t="s">
        <v>298</v>
      </c>
      <c r="D1369" s="94">
        <v>1715.0</v>
      </c>
    </row>
    <row r="1370">
      <c r="A1370" s="40">
        <f t="array" ref="A1370">IFNA(index(PlayerValues!A:A,match(IFNA(vlookup(B1370,'Special Names'!A:B,2,FALSE),B1370),PlayerValues!E:E,0)),"N/A")</f>
        <v>16390</v>
      </c>
      <c r="B1370" s="4" t="s">
        <v>689</v>
      </c>
      <c r="C1370" s="4" t="s">
        <v>278</v>
      </c>
      <c r="D1370" s="94">
        <v>1330.0</v>
      </c>
    </row>
    <row r="1371">
      <c r="A1371" s="40">
        <f t="array" ref="A1371">IFNA(index(PlayerValues!A:A,match(IFNA(vlookup(B1371,'Special Names'!A:B,2,FALSE),B1371),PlayerValues!E:E,0)),"N/A")</f>
        <v>17054</v>
      </c>
      <c r="B1371" s="4" t="s">
        <v>670</v>
      </c>
      <c r="C1371" s="4" t="s">
        <v>278</v>
      </c>
      <c r="D1371" s="94">
        <v>1323.0</v>
      </c>
    </row>
    <row r="1372">
      <c r="A1372" s="40" t="str">
        <f t="array" ref="A1372">IFNA(index(PlayerValues!A:A,match(IFNA(vlookup(B1372,'Special Names'!A:B,2,FALSE),B1372),PlayerValues!E:E,0)),"N/A")</f>
        <v>N/A</v>
      </c>
      <c r="B1372" s="4" t="s">
        <v>117</v>
      </c>
      <c r="C1372" s="4" t="s">
        <v>325</v>
      </c>
      <c r="D1372" s="94">
        <v>1317.0</v>
      </c>
    </row>
    <row r="1373">
      <c r="A1373" s="40">
        <f t="array" ref="A1373">IFNA(index(PlayerValues!A:A,match(IFNA(vlookup(B1373,'Special Names'!A:B,2,FALSE),B1373),PlayerValues!E:E,0)),"N/A")</f>
        <v>16792</v>
      </c>
      <c r="B1373" s="4" t="s">
        <v>704</v>
      </c>
      <c r="C1373" s="4" t="s">
        <v>287</v>
      </c>
      <c r="D1373" s="94">
        <v>1310.0</v>
      </c>
    </row>
    <row r="1374">
      <c r="A1374" s="40">
        <f t="array" ref="A1374">IFNA(index(PlayerValues!A:A,match(IFNA(vlookup(B1374,'Special Names'!A:B,2,FALSE),B1374),PlayerValues!E:E,0)),"N/A")</f>
        <v>17254</v>
      </c>
      <c r="B1374" s="4" t="s">
        <v>679</v>
      </c>
      <c r="C1374" s="4" t="s">
        <v>287</v>
      </c>
      <c r="D1374" s="94">
        <v>1303.0</v>
      </c>
    </row>
    <row r="1375">
      <c r="A1375" s="40">
        <f t="array" ref="A1375">IFNA(index(PlayerValues!A:A,match(IFNA(vlookup(B1375,'Special Names'!A:B,2,FALSE),B1375),PlayerValues!E:E,0)),"N/A")</f>
        <v>16746</v>
      </c>
      <c r="B1375" s="4" t="s">
        <v>709</v>
      </c>
      <c r="C1375" s="4" t="s">
        <v>278</v>
      </c>
      <c r="D1375" s="94">
        <v>1301.0</v>
      </c>
    </row>
    <row r="1376">
      <c r="A1376" s="40">
        <f t="array" ref="A1376">IFNA(index(PlayerValues!A:A,match(IFNA(vlookup(B1376,'Special Names'!A:B,2,FALSE),B1376),PlayerValues!E:E,0)),"N/A")</f>
        <v>17063</v>
      </c>
      <c r="B1376" s="4" t="s">
        <v>686</v>
      </c>
      <c r="C1376" s="4" t="s">
        <v>278</v>
      </c>
      <c r="D1376" s="94">
        <v>1298.0</v>
      </c>
    </row>
    <row r="1377">
      <c r="A1377" s="40">
        <f t="array" ref="A1377">IFNA(index(PlayerValues!A:A,match(IFNA(vlookup(B1377,'Special Names'!A:B,2,FALSE),B1377),PlayerValues!E:E,0)),"N/A")</f>
        <v>17475</v>
      </c>
      <c r="B1377" s="4" t="s">
        <v>615</v>
      </c>
      <c r="C1377" s="4" t="s">
        <v>278</v>
      </c>
      <c r="D1377" s="94">
        <v>1297.0</v>
      </c>
    </row>
    <row r="1378">
      <c r="A1378" s="40">
        <f t="array" ref="A1378">IFNA(index(PlayerValues!A:A,match(IFNA(vlookup(B1378,'Special Names'!A:B,2,FALSE),B1378),PlayerValues!E:E,0)),"N/A")</f>
        <v>12678</v>
      </c>
      <c r="B1378" s="4" t="s">
        <v>703</v>
      </c>
      <c r="C1378" s="4" t="s">
        <v>298</v>
      </c>
      <c r="D1378" s="94">
        <v>1665.0</v>
      </c>
    </row>
    <row r="1379">
      <c r="A1379" s="40">
        <f t="array" ref="A1379">IFNA(index(PlayerValues!A:A,match(IFNA(vlookup(B1379,'Special Names'!A:B,2,FALSE),B1379),PlayerValues!E:E,0)),"N/A")</f>
        <v>17097</v>
      </c>
      <c r="B1379" s="4" t="s">
        <v>659</v>
      </c>
      <c r="C1379" s="4" t="s">
        <v>287</v>
      </c>
      <c r="D1379" s="94">
        <v>1294.0</v>
      </c>
    </row>
    <row r="1380">
      <c r="A1380" s="40">
        <f t="array" ref="A1380">IFNA(index(PlayerValues!A:A,match(IFNA(vlookup(B1380,'Special Names'!A:B,2,FALSE),B1380),PlayerValues!E:E,0)),"N/A")</f>
        <v>14095</v>
      </c>
      <c r="B1380" s="4" t="s">
        <v>680</v>
      </c>
      <c r="C1380" s="4" t="s">
        <v>278</v>
      </c>
      <c r="D1380" s="94">
        <v>1282.0</v>
      </c>
    </row>
    <row r="1381">
      <c r="A1381" s="40">
        <f t="array" ref="A1381">IFNA(index(PlayerValues!A:A,match(IFNA(vlookup(B1381,'Special Names'!A:B,2,FALSE),B1381),PlayerValues!E:E,0)),"N/A")</f>
        <v>16183</v>
      </c>
      <c r="B1381" s="4" t="s">
        <v>678</v>
      </c>
      <c r="C1381" s="4" t="s">
        <v>287</v>
      </c>
      <c r="D1381" s="94">
        <v>1276.0</v>
      </c>
    </row>
    <row r="1382">
      <c r="A1382" s="40">
        <f t="array" ref="A1382">IFNA(index(PlayerValues!A:A,match(IFNA(vlookup(B1382,'Special Names'!A:B,2,FALSE),B1382),PlayerValues!E:E,0)),"N/A")</f>
        <v>16636</v>
      </c>
      <c r="B1382" s="4" t="s">
        <v>699</v>
      </c>
      <c r="C1382" s="4" t="s">
        <v>287</v>
      </c>
      <c r="D1382" s="94">
        <v>1272.0</v>
      </c>
    </row>
    <row r="1383">
      <c r="A1383" s="40">
        <f t="array" ref="A1383">IFNA(index(PlayerValues!A:A,match(IFNA(vlookup(B1383,'Special Names'!A:B,2,FALSE),B1383),PlayerValues!E:E,0)),"N/A")</f>
        <v>16384</v>
      </c>
      <c r="B1383" s="4" t="s">
        <v>696</v>
      </c>
      <c r="C1383" s="4" t="s">
        <v>283</v>
      </c>
      <c r="D1383" s="94">
        <v>1269.0</v>
      </c>
    </row>
    <row r="1384">
      <c r="A1384" s="40">
        <f t="array" ref="A1384">IFNA(index(PlayerValues!A:A,match(IFNA(vlookup(B1384,'Special Names'!A:B,2,FALSE),B1384),PlayerValues!E:E,0)),"N/A")</f>
        <v>12140</v>
      </c>
      <c r="B1384" s="4" t="s">
        <v>702</v>
      </c>
      <c r="C1384" s="4" t="s">
        <v>283</v>
      </c>
      <c r="D1384" s="94">
        <v>1258.0</v>
      </c>
    </row>
    <row r="1385">
      <c r="A1385" s="40">
        <f t="array" ref="A1385">IFNA(index(PlayerValues!A:A,match(IFNA(vlookup(B1385,'Special Names'!A:B,2,FALSE),B1385),PlayerValues!E:E,0)),"N/A")</f>
        <v>17657</v>
      </c>
      <c r="B1385" s="4" t="s">
        <v>642</v>
      </c>
      <c r="C1385" s="4" t="s">
        <v>283</v>
      </c>
      <c r="D1385" s="94">
        <v>1256.0</v>
      </c>
    </row>
    <row r="1386">
      <c r="A1386" s="40">
        <f t="array" ref="A1386">IFNA(index(PlayerValues!A:A,match(IFNA(vlookup(B1386,'Special Names'!A:B,2,FALSE),B1386),PlayerValues!E:E,0)),"N/A")</f>
        <v>14592</v>
      </c>
      <c r="B1386" s="4" t="s">
        <v>705</v>
      </c>
      <c r="C1386" s="4" t="s">
        <v>287</v>
      </c>
      <c r="D1386" s="94">
        <v>1255.0</v>
      </c>
    </row>
    <row r="1387">
      <c r="A1387" s="40">
        <f t="array" ref="A1387">IFNA(index(PlayerValues!A:A,match(IFNA(vlookup(B1387,'Special Names'!A:B,2,FALSE),B1387),PlayerValues!E:E,0)),"N/A")</f>
        <v>15332</v>
      </c>
      <c r="B1387" s="4" t="s">
        <v>698</v>
      </c>
      <c r="C1387" s="4" t="s">
        <v>298</v>
      </c>
      <c r="D1387" s="94">
        <v>1613.0</v>
      </c>
    </row>
    <row r="1388">
      <c r="A1388" s="40">
        <f t="array" ref="A1388">IFNA(index(PlayerValues!A:A,match(IFNA(vlookup(B1388,'Special Names'!A:B,2,FALSE),B1388),PlayerValues!E:E,0)),"N/A")</f>
        <v>17510</v>
      </c>
      <c r="B1388" s="4" t="s">
        <v>661</v>
      </c>
      <c r="C1388" s="4" t="s">
        <v>287</v>
      </c>
      <c r="D1388" s="94">
        <v>1245.0</v>
      </c>
    </row>
    <row r="1389">
      <c r="A1389" s="40">
        <f t="array" ref="A1389">IFNA(index(PlayerValues!A:A,match(IFNA(vlookup(B1389,'Special Names'!A:B,2,FALSE),B1389),PlayerValues!E:E,0)),"N/A")</f>
        <v>17037</v>
      </c>
      <c r="B1389" s="4" t="s">
        <v>727</v>
      </c>
      <c r="C1389" s="4" t="s">
        <v>283</v>
      </c>
      <c r="D1389" s="94">
        <v>1239.0</v>
      </c>
    </row>
    <row r="1390">
      <c r="A1390" s="40">
        <f t="array" ref="A1390">IFNA(index(PlayerValues!A:A,match(IFNA(vlookup(B1390,'Special Names'!A:B,2,FALSE),B1390),PlayerValues!E:E,0)),"N/A")</f>
        <v>16883</v>
      </c>
      <c r="B1390" s="4" t="s">
        <v>683</v>
      </c>
      <c r="C1390" s="4" t="s">
        <v>287</v>
      </c>
      <c r="D1390" s="94">
        <v>1224.0</v>
      </c>
    </row>
    <row r="1391">
      <c r="A1391" s="40">
        <f t="array" ref="A1391">IFNA(index(PlayerValues!A:A,match(IFNA(vlookup(B1391,'Special Names'!A:B,2,FALSE),B1391),PlayerValues!E:E,0)),"N/A")</f>
        <v>15702</v>
      </c>
      <c r="B1391" s="4" t="s">
        <v>723</v>
      </c>
      <c r="C1391" s="4" t="s">
        <v>283</v>
      </c>
      <c r="D1391" s="94">
        <v>1222.0</v>
      </c>
    </row>
    <row r="1392">
      <c r="A1392" s="40">
        <f t="array" ref="A1392">IFNA(index(PlayerValues!A:A,match(IFNA(vlookup(B1392,'Special Names'!A:B,2,FALSE),B1392),PlayerValues!E:E,0)),"N/A")</f>
        <v>16385</v>
      </c>
      <c r="B1392" s="4" t="s">
        <v>690</v>
      </c>
      <c r="C1392" s="4" t="s">
        <v>278</v>
      </c>
      <c r="D1392" s="94">
        <v>1213.0</v>
      </c>
    </row>
    <row r="1393">
      <c r="A1393" s="40">
        <f t="array" ref="A1393">IFNA(index(PlayerValues!A:A,match(IFNA(vlookup(B1393,'Special Names'!A:B,2,FALSE),B1393),PlayerValues!E:E,0)),"N/A")</f>
        <v>16199</v>
      </c>
      <c r="B1393" s="4" t="s">
        <v>687</v>
      </c>
      <c r="C1393" s="4" t="s">
        <v>287</v>
      </c>
      <c r="D1393" s="94">
        <v>1208.0</v>
      </c>
    </row>
    <row r="1394">
      <c r="A1394" s="40">
        <f t="array" ref="A1394">IFNA(index(PlayerValues!A:A,match(IFNA(vlookup(B1394,'Special Names'!A:B,2,FALSE),B1394),PlayerValues!E:E,0)),"N/A")</f>
        <v>17062</v>
      </c>
      <c r="B1394" s="4" t="s">
        <v>701</v>
      </c>
      <c r="C1394" s="4" t="s">
        <v>278</v>
      </c>
      <c r="D1394" s="94">
        <v>1207.0</v>
      </c>
    </row>
    <row r="1395">
      <c r="A1395" s="40">
        <f t="array" ref="A1395">IFNA(index(PlayerValues!A:A,match(IFNA(vlookup(B1395,'Special Names'!A:B,2,FALSE),B1395),PlayerValues!E:E,0)),"N/A")</f>
        <v>17192</v>
      </c>
      <c r="B1395" s="4" t="s">
        <v>677</v>
      </c>
      <c r="C1395" s="4" t="s">
        <v>287</v>
      </c>
      <c r="D1395" s="94">
        <v>1207.0</v>
      </c>
    </row>
    <row r="1396">
      <c r="A1396" s="40">
        <f t="array" ref="A1396">IFNA(index(PlayerValues!A:A,match(IFNA(vlookup(B1396,'Special Names'!A:B,2,FALSE),B1396),PlayerValues!E:E,0)),"N/A")</f>
        <v>14080</v>
      </c>
      <c r="B1396" s="4" t="s">
        <v>716</v>
      </c>
      <c r="C1396" s="4" t="s">
        <v>278</v>
      </c>
      <c r="D1396" s="94">
        <v>1202.0</v>
      </c>
    </row>
    <row r="1397">
      <c r="A1397" s="40">
        <f t="array" ref="A1397">IFNA(index(PlayerValues!A:A,match(IFNA(vlookup(B1397,'Special Names'!A:B,2,FALSE),B1397),PlayerValues!E:E,0)),"N/A")</f>
        <v>13418</v>
      </c>
      <c r="B1397" s="4" t="s">
        <v>706</v>
      </c>
      <c r="C1397" s="4" t="s">
        <v>287</v>
      </c>
      <c r="D1397" s="94">
        <v>1201.0</v>
      </c>
    </row>
    <row r="1398">
      <c r="A1398" s="40">
        <f t="array" ref="A1398">IFNA(index(PlayerValues!A:A,match(IFNA(vlookup(B1398,'Special Names'!A:B,2,FALSE),B1398),PlayerValues!E:E,0)),"N/A")</f>
        <v>17518</v>
      </c>
      <c r="B1398" s="4" t="s">
        <v>482</v>
      </c>
      <c r="C1398" s="4" t="s">
        <v>287</v>
      </c>
      <c r="D1398" s="94">
        <v>1186.0</v>
      </c>
    </row>
    <row r="1399">
      <c r="A1399" s="40">
        <f t="array" ref="A1399">IFNA(index(PlayerValues!A:A,match(IFNA(vlookup(B1399,'Special Names'!A:B,2,FALSE),B1399),PlayerValues!E:E,0)),"N/A")</f>
        <v>14067</v>
      </c>
      <c r="B1399" s="4" t="s">
        <v>735</v>
      </c>
      <c r="C1399" s="4" t="s">
        <v>283</v>
      </c>
      <c r="D1399" s="94">
        <v>1173.0</v>
      </c>
    </row>
    <row r="1400">
      <c r="A1400" s="40">
        <f t="array" ref="A1400">IFNA(index(PlayerValues!A:A,match(IFNA(vlookup(B1400,'Special Names'!A:B,2,FALSE),B1400),PlayerValues!E:E,0)),"N/A")</f>
        <v>17077</v>
      </c>
      <c r="B1400" s="4" t="s">
        <v>714</v>
      </c>
      <c r="C1400" s="4" t="s">
        <v>287</v>
      </c>
      <c r="D1400" s="94">
        <v>1173.0</v>
      </c>
    </row>
    <row r="1401">
      <c r="A1401" s="40">
        <f t="array" ref="A1401">IFNA(index(PlayerValues!A:A,match(IFNA(vlookup(B1401,'Special Names'!A:B,2,FALSE),B1401),PlayerValues!E:E,0)),"N/A")</f>
        <v>17546</v>
      </c>
      <c r="B1401" s="4" t="s">
        <v>671</v>
      </c>
      <c r="C1401" s="4" t="s">
        <v>298</v>
      </c>
      <c r="D1401" s="94">
        <v>1541.0</v>
      </c>
    </row>
    <row r="1402">
      <c r="A1402" s="40">
        <f t="array" ref="A1402">IFNA(index(PlayerValues!A:A,match(IFNA(vlookup(B1402,'Special Names'!A:B,2,FALSE),B1402),PlayerValues!E:E,0)),"N/A")</f>
        <v>17109</v>
      </c>
      <c r="B1402" s="4" t="s">
        <v>707</v>
      </c>
      <c r="C1402" s="4" t="s">
        <v>298</v>
      </c>
      <c r="D1402" s="94">
        <v>1539.0</v>
      </c>
    </row>
    <row r="1403">
      <c r="A1403" s="40">
        <f t="array" ref="A1403">IFNA(index(PlayerValues!A:A,match(IFNA(vlookup(B1403,'Special Names'!A:B,2,FALSE),B1403),PlayerValues!E:E,0)),"N/A")</f>
        <v>11222</v>
      </c>
      <c r="B1403" s="4" t="s">
        <v>622</v>
      </c>
      <c r="C1403" s="4" t="s">
        <v>287</v>
      </c>
      <c r="D1403" s="94">
        <v>1166.0</v>
      </c>
    </row>
    <row r="1404">
      <c r="A1404" s="40">
        <f t="array" ref="A1404">IFNA(index(PlayerValues!A:A,match(IFNA(vlookup(B1404,'Special Names'!A:B,2,FALSE),B1404),PlayerValues!E:E,0)),"N/A")</f>
        <v>15252</v>
      </c>
      <c r="B1404" s="4" t="s">
        <v>715</v>
      </c>
      <c r="C1404" s="4" t="s">
        <v>283</v>
      </c>
      <c r="D1404" s="94">
        <v>1166.0</v>
      </c>
    </row>
    <row r="1405">
      <c r="A1405" s="40">
        <f t="array" ref="A1405">IFNA(index(PlayerValues!A:A,match(IFNA(vlookup(B1405,'Special Names'!A:B,2,FALSE),B1405),PlayerValues!E:E,0)),"N/A")</f>
        <v>15254</v>
      </c>
      <c r="B1405" s="4" t="s">
        <v>633</v>
      </c>
      <c r="C1405" s="4" t="s">
        <v>278</v>
      </c>
      <c r="D1405" s="94">
        <v>1164.0</v>
      </c>
    </row>
    <row r="1406">
      <c r="A1406" s="40">
        <f t="array" ref="A1406">IFNA(index(PlayerValues!A:A,match(IFNA(vlookup(B1406,'Special Names'!A:B,2,FALSE),B1406),PlayerValues!E:E,0)),"N/A")</f>
        <v>17269</v>
      </c>
      <c r="B1406" s="4" t="s">
        <v>718</v>
      </c>
      <c r="C1406" s="4" t="s">
        <v>287</v>
      </c>
      <c r="D1406" s="94">
        <v>1163.0</v>
      </c>
    </row>
    <row r="1407">
      <c r="A1407" s="40">
        <f t="array" ref="A1407">IFNA(index(PlayerValues!A:A,match(IFNA(vlookup(B1407,'Special Names'!A:B,2,FALSE),B1407),PlayerValues!E:E,0)),"N/A")</f>
        <v>16333</v>
      </c>
      <c r="B1407" s="4" t="s">
        <v>711</v>
      </c>
      <c r="C1407" s="4" t="s">
        <v>298</v>
      </c>
      <c r="D1407" s="94">
        <v>1530.0</v>
      </c>
    </row>
    <row r="1408">
      <c r="A1408" s="40">
        <f t="array" ref="A1408">IFNA(index(PlayerValues!A:A,match(IFNA(vlookup(B1408,'Special Names'!A:B,2,FALSE),B1408),PlayerValues!E:E,0)),"N/A")</f>
        <v>14108</v>
      </c>
      <c r="B1408" s="4" t="s">
        <v>673</v>
      </c>
      <c r="C1408" s="4" t="s">
        <v>287</v>
      </c>
      <c r="D1408" s="94">
        <v>1156.0</v>
      </c>
    </row>
    <row r="1409">
      <c r="A1409" s="40">
        <f t="array" ref="A1409">IFNA(index(PlayerValues!A:A,match(IFNA(vlookup(B1409,'Special Names'!A:B,2,FALSE),B1409),PlayerValues!E:E,0)),"N/A")</f>
        <v>14789</v>
      </c>
      <c r="B1409" s="4" t="s">
        <v>721</v>
      </c>
      <c r="C1409" s="4" t="s">
        <v>283</v>
      </c>
      <c r="D1409" s="94">
        <v>1151.0</v>
      </c>
    </row>
    <row r="1410">
      <c r="A1410" s="40">
        <f t="array" ref="A1410">IFNA(index(PlayerValues!A:A,match(IFNA(vlookup(B1410,'Special Names'!A:B,2,FALSE),B1410),PlayerValues!E:E,0)),"N/A")</f>
        <v>15288</v>
      </c>
      <c r="B1410" s="4" t="s">
        <v>700</v>
      </c>
      <c r="C1410" s="4" t="s">
        <v>287</v>
      </c>
      <c r="D1410" s="94">
        <v>1149.0</v>
      </c>
    </row>
    <row r="1411">
      <c r="A1411" s="40">
        <f t="array" ref="A1411">IFNA(index(PlayerValues!A:A,match(IFNA(vlookup(B1411,'Special Names'!A:B,2,FALSE),B1411),PlayerValues!E:E,0)),"N/A")</f>
        <v>17057</v>
      </c>
      <c r="B1411" s="4" t="s">
        <v>708</v>
      </c>
      <c r="C1411" s="4" t="s">
        <v>278</v>
      </c>
      <c r="D1411" s="94">
        <v>1147.0</v>
      </c>
    </row>
    <row r="1412">
      <c r="A1412" s="40">
        <f t="array" ref="A1412">IFNA(index(PlayerValues!A:A,match(IFNA(vlookup(B1412,'Special Names'!A:B,2,FALSE),B1412),PlayerValues!E:E,0)),"N/A")</f>
        <v>16221</v>
      </c>
      <c r="B1412" s="4" t="s">
        <v>725</v>
      </c>
      <c r="C1412" s="4" t="s">
        <v>298</v>
      </c>
      <c r="D1412" s="94">
        <v>1516.0</v>
      </c>
    </row>
    <row r="1413">
      <c r="A1413" s="40">
        <f t="array" ref="A1413">IFNA(index(PlayerValues!A:A,match(IFNA(vlookup(B1413,'Special Names'!A:B,2,FALSE),B1413),PlayerValues!E:E,0)),"N/A")</f>
        <v>17050</v>
      </c>
      <c r="B1413" s="4" t="s">
        <v>713</v>
      </c>
      <c r="C1413" s="4" t="s">
        <v>278</v>
      </c>
      <c r="D1413" s="94">
        <v>1133.0</v>
      </c>
    </row>
    <row r="1414">
      <c r="A1414" s="40">
        <f t="array" ref="A1414">IFNA(index(PlayerValues!A:A,match(IFNA(vlookup(B1414,'Special Names'!A:B,2,FALSE),B1414),PlayerValues!E:E,0)),"N/A")</f>
        <v>16640</v>
      </c>
      <c r="B1414" s="4" t="s">
        <v>712</v>
      </c>
      <c r="C1414" s="4" t="s">
        <v>287</v>
      </c>
      <c r="D1414" s="94">
        <v>1127.0</v>
      </c>
    </row>
    <row r="1415">
      <c r="A1415" s="40">
        <f t="array" ref="A1415">IFNA(index(PlayerValues!A:A,match(IFNA(vlookup(B1415,'Special Names'!A:B,2,FALSE),B1415),PlayerValues!E:E,0)),"N/A")</f>
        <v>15981</v>
      </c>
      <c r="B1415" s="4" t="s">
        <v>729</v>
      </c>
      <c r="C1415" s="4" t="s">
        <v>287</v>
      </c>
      <c r="D1415" s="94">
        <v>1112.0</v>
      </c>
    </row>
    <row r="1416">
      <c r="A1416" s="40">
        <f t="array" ref="A1416">IFNA(index(PlayerValues!A:A,match(IFNA(vlookup(B1416,'Special Names'!A:B,2,FALSE),B1416),PlayerValues!E:E,0)),"N/A")</f>
        <v>15795</v>
      </c>
      <c r="B1416" s="4" t="s">
        <v>669</v>
      </c>
      <c r="C1416" s="4" t="s">
        <v>298</v>
      </c>
      <c r="D1416" s="94">
        <v>1467.0</v>
      </c>
    </row>
    <row r="1417">
      <c r="A1417" s="40">
        <f t="array" ref="A1417">IFNA(index(PlayerValues!A:A,match(IFNA(vlookup(B1417,'Special Names'!A:B,2,FALSE),B1417),PlayerValues!E:E,0)),"N/A")</f>
        <v>17504</v>
      </c>
      <c r="B1417" s="4" t="s">
        <v>693</v>
      </c>
      <c r="C1417" s="4" t="s">
        <v>287</v>
      </c>
      <c r="D1417" s="94">
        <v>1088.0</v>
      </c>
    </row>
    <row r="1418">
      <c r="A1418" s="40">
        <f t="array" ref="A1418">IFNA(index(PlayerValues!A:A,match(IFNA(vlookup(B1418,'Special Names'!A:B,2,FALSE),B1418),PlayerValues!E:E,0)),"N/A")</f>
        <v>12141</v>
      </c>
      <c r="B1418" s="4" t="s">
        <v>744</v>
      </c>
      <c r="C1418" s="4" t="s">
        <v>283</v>
      </c>
      <c r="D1418" s="94">
        <v>1083.0</v>
      </c>
    </row>
    <row r="1419">
      <c r="A1419" s="40">
        <f t="array" ref="A1419">IFNA(index(PlayerValues!A:A,match(IFNA(vlookup(B1419,'Special Names'!A:B,2,FALSE),B1419),PlayerValues!E:E,0)),"N/A")</f>
        <v>16149</v>
      </c>
      <c r="B1419" s="4" t="s">
        <v>740</v>
      </c>
      <c r="C1419" s="4" t="s">
        <v>283</v>
      </c>
      <c r="D1419" s="94">
        <v>1071.0</v>
      </c>
    </row>
    <row r="1420">
      <c r="A1420" s="40">
        <f t="array" ref="A1420">IFNA(index(PlayerValues!A:A,match(IFNA(vlookup(B1420,'Special Names'!A:B,2,FALSE),B1420),PlayerValues!E:E,0)),"N/A")</f>
        <v>13289</v>
      </c>
      <c r="B1420" s="4" t="s">
        <v>746</v>
      </c>
      <c r="C1420" s="4" t="s">
        <v>287</v>
      </c>
      <c r="D1420" s="94">
        <v>1064.0</v>
      </c>
    </row>
    <row r="1421">
      <c r="A1421" s="40">
        <f t="array" ref="A1421">IFNA(index(PlayerValues!A:A,match(IFNA(vlookup(B1421,'Special Names'!A:B,2,FALSE),B1421),PlayerValues!E:E,0)),"N/A")</f>
        <v>16197</v>
      </c>
      <c r="B1421" s="4" t="s">
        <v>726</v>
      </c>
      <c r="C1421" s="4" t="s">
        <v>287</v>
      </c>
      <c r="D1421" s="94">
        <v>1064.0</v>
      </c>
    </row>
    <row r="1422">
      <c r="A1422" s="40">
        <f t="array" ref="A1422">IFNA(index(PlayerValues!A:A,match(IFNA(vlookup(B1422,'Special Names'!A:B,2,FALSE),B1422),PlayerValues!E:E,0)),"N/A")</f>
        <v>14845</v>
      </c>
      <c r="B1422" s="4" t="s">
        <v>717</v>
      </c>
      <c r="C1422" s="4" t="s">
        <v>287</v>
      </c>
      <c r="D1422" s="94">
        <v>1061.0</v>
      </c>
    </row>
    <row r="1423">
      <c r="A1423" s="40">
        <f t="array" ref="A1423">IFNA(index(PlayerValues!A:A,match(IFNA(vlookup(B1423,'Special Names'!A:B,2,FALSE),B1423),PlayerValues!E:E,0)),"N/A")</f>
        <v>15240</v>
      </c>
      <c r="B1423" s="4" t="s">
        <v>751</v>
      </c>
      <c r="C1423" s="4" t="s">
        <v>283</v>
      </c>
      <c r="D1423" s="94">
        <v>1056.0</v>
      </c>
    </row>
    <row r="1424">
      <c r="A1424" s="40">
        <f t="array" ref="A1424">IFNA(index(PlayerValues!A:A,match(IFNA(vlookup(B1424,'Special Names'!A:B,2,FALSE),B1424),PlayerValues!E:E,0)),"N/A")</f>
        <v>15109</v>
      </c>
      <c r="B1424" s="4" t="s">
        <v>728</v>
      </c>
      <c r="C1424" s="4" t="s">
        <v>287</v>
      </c>
      <c r="D1424" s="94">
        <v>1033.0</v>
      </c>
    </row>
    <row r="1425">
      <c r="A1425" s="40">
        <f t="array" ref="A1425">IFNA(index(PlayerValues!A:A,match(IFNA(vlookup(B1425,'Special Names'!A:B,2,FALSE),B1425),PlayerValues!E:E,0)),"N/A")</f>
        <v>14849</v>
      </c>
      <c r="B1425" s="4" t="s">
        <v>733</v>
      </c>
      <c r="C1425" s="4" t="s">
        <v>287</v>
      </c>
      <c r="D1425" s="94">
        <v>1032.0</v>
      </c>
    </row>
    <row r="1426">
      <c r="A1426" s="40">
        <f t="array" ref="A1426">IFNA(index(PlayerValues!A:A,match(IFNA(vlookup(B1426,'Special Names'!A:B,2,FALSE),B1426),PlayerValues!E:E,0)),"N/A")</f>
        <v>15727</v>
      </c>
      <c r="B1426" s="4" t="s">
        <v>730</v>
      </c>
      <c r="C1426" s="4" t="s">
        <v>278</v>
      </c>
      <c r="D1426" s="94">
        <v>1026.0</v>
      </c>
    </row>
    <row r="1427">
      <c r="A1427" s="40">
        <f t="array" ref="A1427">IFNA(index(PlayerValues!A:A,match(IFNA(vlookup(B1427,'Special Names'!A:B,2,FALSE),B1427),PlayerValues!E:E,0)),"N/A")</f>
        <v>15730</v>
      </c>
      <c r="B1427" s="4" t="s">
        <v>734</v>
      </c>
      <c r="C1427" s="4" t="s">
        <v>278</v>
      </c>
      <c r="D1427" s="94">
        <v>1026.0</v>
      </c>
    </row>
    <row r="1428">
      <c r="A1428" s="40">
        <f t="array" ref="A1428">IFNA(index(PlayerValues!A:A,match(IFNA(vlookup(B1428,'Special Names'!A:B,2,FALSE),B1428),PlayerValues!E:E,0)),"N/A")</f>
        <v>15717</v>
      </c>
      <c r="B1428" s="4" t="s">
        <v>745</v>
      </c>
      <c r="C1428" s="4" t="s">
        <v>278</v>
      </c>
      <c r="D1428" s="94">
        <v>1026.0</v>
      </c>
    </row>
    <row r="1429">
      <c r="A1429" s="40">
        <f t="array" ref="A1429">IFNA(index(PlayerValues!A:A,match(IFNA(vlookup(B1429,'Special Names'!A:B,2,FALSE),B1429),PlayerValues!E:E,0)),"N/A")</f>
        <v>9064</v>
      </c>
      <c r="B1429" s="4" t="s">
        <v>761</v>
      </c>
      <c r="C1429" s="4" t="s">
        <v>283</v>
      </c>
      <c r="D1429" s="94">
        <v>1025.0</v>
      </c>
    </row>
    <row r="1430">
      <c r="A1430" s="40">
        <f t="array" ref="A1430">IFNA(index(PlayerValues!A:A,match(IFNA(vlookup(B1430,'Special Names'!A:B,2,FALSE),B1430),PlayerValues!E:E,0)),"N/A")</f>
        <v>16168</v>
      </c>
      <c r="B1430" s="4" t="s">
        <v>738</v>
      </c>
      <c r="C1430" s="4" t="s">
        <v>278</v>
      </c>
      <c r="D1430" s="94">
        <v>1021.0</v>
      </c>
    </row>
    <row r="1431">
      <c r="A1431" s="40">
        <f t="array" ref="A1431">IFNA(index(PlayerValues!A:A,match(IFNA(vlookup(B1431,'Special Names'!A:B,2,FALSE),B1431),PlayerValues!E:E,0)),"N/A")</f>
        <v>15330</v>
      </c>
      <c r="B1431" s="4" t="s">
        <v>749</v>
      </c>
      <c r="C1431" s="4" t="s">
        <v>298</v>
      </c>
      <c r="D1431" s="94">
        <v>1381.0</v>
      </c>
    </row>
    <row r="1432">
      <c r="A1432" s="40">
        <f t="array" ref="A1432">IFNA(index(PlayerValues!A:A,match(IFNA(vlookup(B1432,'Special Names'!A:B,2,FALSE),B1432),PlayerValues!E:E,0)),"N/A")</f>
        <v>15693</v>
      </c>
      <c r="B1432" s="4" t="s">
        <v>755</v>
      </c>
      <c r="C1432" s="4" t="s">
        <v>283</v>
      </c>
      <c r="D1432" s="94">
        <v>1010.0</v>
      </c>
    </row>
    <row r="1433">
      <c r="A1433" s="40">
        <f t="array" ref="A1433">IFNA(index(PlayerValues!A:A,match(IFNA(vlookup(B1433,'Special Names'!A:B,2,FALSE),B1433),PlayerValues!E:E,0)),"N/A")</f>
        <v>16637</v>
      </c>
      <c r="B1433" s="4" t="s">
        <v>736</v>
      </c>
      <c r="C1433" s="4" t="s">
        <v>287</v>
      </c>
      <c r="D1433" s="94">
        <v>1007.0</v>
      </c>
    </row>
    <row r="1434">
      <c r="A1434" s="40">
        <f t="array" ref="A1434">IFNA(index(PlayerValues!A:A,match(IFNA(vlookup(B1434,'Special Names'!A:B,2,FALSE),B1434),PlayerValues!E:E,0)),"N/A")</f>
        <v>16451</v>
      </c>
      <c r="B1434" s="4" t="s">
        <v>769</v>
      </c>
      <c r="C1434" s="4" t="s">
        <v>287</v>
      </c>
      <c r="D1434" s="94">
        <v>1005.0</v>
      </c>
    </row>
    <row r="1435">
      <c r="A1435" s="40">
        <f t="array" ref="A1435">IFNA(index(PlayerValues!A:A,match(IFNA(vlookup(B1435,'Special Names'!A:B,2,FALSE),B1435),PlayerValues!E:E,0)),"N/A")</f>
        <v>15758</v>
      </c>
      <c r="B1435" s="4" t="s">
        <v>724</v>
      </c>
      <c r="C1435" s="4" t="s">
        <v>287</v>
      </c>
      <c r="D1435" s="94">
        <v>998.0</v>
      </c>
    </row>
    <row r="1436">
      <c r="A1436" s="40">
        <f t="array" ref="A1436">IFNA(index(PlayerValues!A:A,match(IFNA(vlookup(B1436,'Special Names'!A:B,2,FALSE),B1436),PlayerValues!E:E,0)),"N/A")</f>
        <v>16205</v>
      </c>
      <c r="B1436" s="4" t="s">
        <v>742</v>
      </c>
      <c r="C1436" s="4" t="s">
        <v>287</v>
      </c>
      <c r="D1436" s="94">
        <v>997.0</v>
      </c>
    </row>
    <row r="1437">
      <c r="A1437" s="40">
        <f t="array" ref="A1437">IFNA(index(PlayerValues!A:A,match(IFNA(vlookup(B1437,'Special Names'!A:B,2,FALSE),B1437),PlayerValues!E:E,0)),"N/A")</f>
        <v>15692</v>
      </c>
      <c r="B1437" s="4" t="s">
        <v>750</v>
      </c>
      <c r="C1437" s="4" t="s">
        <v>283</v>
      </c>
      <c r="D1437" s="94">
        <v>996.0</v>
      </c>
    </row>
    <row r="1438">
      <c r="A1438" s="40">
        <f t="array" ref="A1438">IFNA(index(PlayerValues!A:A,match(IFNA(vlookup(B1438,'Special Names'!A:B,2,FALSE),B1438),PlayerValues!E:E,0)),"N/A")</f>
        <v>15718</v>
      </c>
      <c r="B1438" s="4" t="s">
        <v>753</v>
      </c>
      <c r="C1438" s="4" t="s">
        <v>278</v>
      </c>
      <c r="D1438" s="94">
        <v>990.0</v>
      </c>
    </row>
    <row r="1439">
      <c r="A1439" s="40">
        <f t="array" ref="A1439">IFNA(index(PlayerValues!A:A,match(IFNA(vlookup(B1439,'Special Names'!A:B,2,FALSE),B1439),PlayerValues!E:E,0)),"N/A")</f>
        <v>16393</v>
      </c>
      <c r="B1439" s="4" t="s">
        <v>768</v>
      </c>
      <c r="C1439" s="4" t="s">
        <v>287</v>
      </c>
      <c r="D1439" s="94">
        <v>983.0</v>
      </c>
    </row>
    <row r="1440">
      <c r="A1440" s="40">
        <f t="array" ref="A1440">IFNA(index(PlayerValues!A:A,match(IFNA(vlookup(B1440,'Special Names'!A:B,2,FALSE),B1440),PlayerValues!E:E,0)),"N/A")</f>
        <v>16170</v>
      </c>
      <c r="B1440" s="4" t="s">
        <v>801</v>
      </c>
      <c r="C1440" s="4" t="s">
        <v>278</v>
      </c>
      <c r="D1440" s="94">
        <v>980.0</v>
      </c>
    </row>
    <row r="1441">
      <c r="A1441" s="40">
        <f t="array" ref="A1441">IFNA(index(PlayerValues!A:A,match(IFNA(vlookup(B1441,'Special Names'!A:B,2,FALSE),B1441),PlayerValues!E:E,0)),"N/A")</f>
        <v>16648</v>
      </c>
      <c r="B1441" s="4" t="s">
        <v>748</v>
      </c>
      <c r="C1441" s="4" t="s">
        <v>298</v>
      </c>
      <c r="D1441" s="94">
        <v>1340.0</v>
      </c>
    </row>
    <row r="1442">
      <c r="A1442" s="40">
        <f t="array" ref="A1442">IFNA(index(PlayerValues!A:A,match(IFNA(vlookup(B1442,'Special Names'!A:B,2,FALSE),B1442),PlayerValues!E:E,0)),"N/A")</f>
        <v>15258</v>
      </c>
      <c r="B1442" s="4" t="s">
        <v>757</v>
      </c>
      <c r="C1442" s="4" t="s">
        <v>278</v>
      </c>
      <c r="D1442" s="94">
        <v>967.0</v>
      </c>
    </row>
    <row r="1443">
      <c r="A1443" s="40">
        <f t="array" ref="A1443">IFNA(index(PlayerValues!A:A,match(IFNA(vlookup(B1443,'Special Names'!A:B,2,FALSE),B1443),PlayerValues!E:E,0)),"N/A")</f>
        <v>17487</v>
      </c>
      <c r="B1443" s="4" t="s">
        <v>692</v>
      </c>
      <c r="C1443" s="4" t="s">
        <v>278</v>
      </c>
      <c r="D1443" s="94">
        <v>967.0</v>
      </c>
    </row>
    <row r="1444">
      <c r="A1444" s="40">
        <f t="array" ref="A1444">IFNA(index(PlayerValues!A:A,match(IFNA(vlookup(B1444,'Special Names'!A:B,2,FALSE),B1444),PlayerValues!E:E,0)),"N/A")</f>
        <v>15239</v>
      </c>
      <c r="B1444" s="4" t="s">
        <v>802</v>
      </c>
      <c r="C1444" s="4" t="s">
        <v>283</v>
      </c>
      <c r="D1444" s="94">
        <v>948.0</v>
      </c>
    </row>
    <row r="1445">
      <c r="A1445" s="40">
        <f t="array" ref="A1445">IFNA(index(PlayerValues!A:A,match(IFNA(vlookup(B1445,'Special Names'!A:B,2,FALSE),B1445),PlayerValues!E:E,0)),"N/A")</f>
        <v>16606</v>
      </c>
      <c r="B1445" s="4" t="s">
        <v>743</v>
      </c>
      <c r="C1445" s="4" t="s">
        <v>278</v>
      </c>
      <c r="D1445" s="94">
        <v>939.0</v>
      </c>
    </row>
    <row r="1446">
      <c r="A1446" s="40">
        <f t="array" ref="A1446">IFNA(index(PlayerValues!A:A,match(IFNA(vlookup(B1446,'Special Names'!A:B,2,FALSE),B1446),PlayerValues!E:E,0)),"N/A")</f>
        <v>17549</v>
      </c>
      <c r="B1446" s="4" t="s">
        <v>720</v>
      </c>
      <c r="C1446" s="4" t="s">
        <v>298</v>
      </c>
      <c r="D1446" s="94">
        <v>1303.0</v>
      </c>
    </row>
    <row r="1447">
      <c r="A1447" s="40">
        <f t="array" ref="A1447">IFNA(index(PlayerValues!A:A,match(IFNA(vlookup(B1447,'Special Names'!A:B,2,FALSE),B1447),PlayerValues!E:E,0)),"N/A")</f>
        <v>16219</v>
      </c>
      <c r="B1447" s="4" t="s">
        <v>739</v>
      </c>
      <c r="C1447" s="4" t="s">
        <v>298</v>
      </c>
      <c r="D1447" s="94">
        <v>1300.0</v>
      </c>
    </row>
    <row r="1448">
      <c r="A1448" s="40">
        <f t="array" ref="A1448">IFNA(index(PlayerValues!A:A,match(IFNA(vlookup(B1448,'Special Names'!A:B,2,FALSE),B1448),PlayerValues!E:E,0)),"N/A")</f>
        <v>16416</v>
      </c>
      <c r="B1448" s="4" t="s">
        <v>752</v>
      </c>
      <c r="C1448" s="4" t="s">
        <v>287</v>
      </c>
      <c r="D1448" s="94">
        <v>929.0</v>
      </c>
    </row>
    <row r="1449">
      <c r="A1449" s="40">
        <f t="array" ref="A1449">IFNA(index(PlayerValues!A:A,match(IFNA(vlookup(B1449,'Special Names'!A:B,2,FALSE),B1449),PlayerValues!E:E,0)),"N/A")</f>
        <v>16678</v>
      </c>
      <c r="B1449" s="4" t="s">
        <v>758</v>
      </c>
      <c r="C1449" s="4" t="s">
        <v>278</v>
      </c>
      <c r="D1449" s="94">
        <v>921.0</v>
      </c>
    </row>
    <row r="1450">
      <c r="A1450" s="40">
        <f t="array" ref="A1450">IFNA(index(PlayerValues!A:A,match(IFNA(vlookup(B1450,'Special Names'!A:B,2,FALSE),B1450),PlayerValues!E:E,0)),"N/A")</f>
        <v>16599</v>
      </c>
      <c r="B1450" s="4" t="s">
        <v>737</v>
      </c>
      <c r="C1450" s="4" t="s">
        <v>278</v>
      </c>
      <c r="D1450" s="94">
        <v>919.0</v>
      </c>
    </row>
    <row r="1451">
      <c r="A1451" s="40">
        <f t="array" ref="A1451">IFNA(index(PlayerValues!A:A,match(IFNA(vlookup(B1451,'Special Names'!A:B,2,FALSE),B1451),PlayerValues!E:E,0)),"N/A")</f>
        <v>16858</v>
      </c>
      <c r="B1451" s="4" t="s">
        <v>754</v>
      </c>
      <c r="C1451" s="4" t="s">
        <v>287</v>
      </c>
      <c r="D1451" s="94">
        <v>916.0</v>
      </c>
    </row>
    <row r="1452">
      <c r="A1452" s="40">
        <f t="array" ref="A1452">IFNA(index(PlayerValues!A:A,match(IFNA(vlookup(B1452,'Special Names'!A:B,2,FALSE),B1452),PlayerValues!E:E,0)),"N/A")</f>
        <v>17479</v>
      </c>
      <c r="B1452" s="4" t="s">
        <v>756</v>
      </c>
      <c r="C1452" s="4" t="s">
        <v>278</v>
      </c>
      <c r="D1452" s="94">
        <v>908.0</v>
      </c>
    </row>
    <row r="1453">
      <c r="A1453" s="40">
        <f t="array" ref="A1453">IFNA(index(PlayerValues!A:A,match(IFNA(vlookup(B1453,'Special Names'!A:B,2,FALSE),B1453),PlayerValues!E:E,0)),"N/A")</f>
        <v>15626</v>
      </c>
      <c r="B1453" s="4" t="s">
        <v>766</v>
      </c>
      <c r="C1453" s="4" t="s">
        <v>298</v>
      </c>
      <c r="D1453" s="94">
        <v>1272.0</v>
      </c>
    </row>
    <row r="1454">
      <c r="A1454" s="40">
        <f t="array" ref="A1454">IFNA(index(PlayerValues!A:A,match(IFNA(vlookup(B1454,'Special Names'!A:B,2,FALSE),B1454),PlayerValues!E:E,0)),"N/A")</f>
        <v>15785</v>
      </c>
      <c r="B1454" s="4" t="s">
        <v>763</v>
      </c>
      <c r="C1454" s="4" t="s">
        <v>287</v>
      </c>
      <c r="D1454" s="94">
        <v>898.0</v>
      </c>
    </row>
    <row r="1455">
      <c r="A1455" s="40">
        <f t="array" ref="A1455">IFNA(index(PlayerValues!A:A,match(IFNA(vlookup(B1455,'Special Names'!A:B,2,FALSE),B1455),PlayerValues!E:E,0)),"N/A")</f>
        <v>15720</v>
      </c>
      <c r="B1455" s="4" t="s">
        <v>795</v>
      </c>
      <c r="C1455" s="4" t="s">
        <v>278</v>
      </c>
      <c r="D1455" s="94">
        <v>897.0</v>
      </c>
    </row>
    <row r="1456">
      <c r="A1456" s="40">
        <f t="array" ref="A1456">IFNA(index(PlayerValues!A:A,match(IFNA(vlookup(B1456,'Special Names'!A:B,2,FALSE),B1456),PlayerValues!E:E,0)),"N/A")</f>
        <v>16623</v>
      </c>
      <c r="B1456" s="4" t="s">
        <v>803</v>
      </c>
      <c r="C1456" s="4" t="s">
        <v>287</v>
      </c>
      <c r="D1456" s="94">
        <v>894.0</v>
      </c>
    </row>
    <row r="1457">
      <c r="A1457" s="40">
        <f t="array" ref="A1457">IFNA(index(PlayerValues!A:A,match(IFNA(vlookup(B1457,'Special Names'!A:B,2,FALSE),B1457),PlayerValues!E:E,0)),"N/A")</f>
        <v>15766</v>
      </c>
      <c r="B1457" s="4" t="s">
        <v>759</v>
      </c>
      <c r="C1457" s="4" t="s">
        <v>287</v>
      </c>
      <c r="D1457" s="94">
        <v>889.0</v>
      </c>
    </row>
    <row r="1458">
      <c r="A1458" s="40">
        <f t="array" ref="A1458">IFNA(index(PlayerValues!A:A,match(IFNA(vlookup(B1458,'Special Names'!A:B,2,FALSE),B1458),PlayerValues!E:E,0)),"N/A")</f>
        <v>17175</v>
      </c>
      <c r="B1458" s="4" t="s">
        <v>747</v>
      </c>
      <c r="C1458" s="4" t="s">
        <v>287</v>
      </c>
      <c r="D1458" s="94">
        <v>880.0</v>
      </c>
    </row>
    <row r="1459">
      <c r="A1459" s="40">
        <f t="array" ref="A1459">IFNA(index(PlayerValues!A:A,match(IFNA(vlookup(B1459,'Special Names'!A:B,2,FALSE),B1459),PlayerValues!E:E,0)),"N/A")</f>
        <v>13193</v>
      </c>
      <c r="B1459" s="4" t="s">
        <v>773</v>
      </c>
      <c r="C1459" s="4" t="s">
        <v>298</v>
      </c>
      <c r="D1459" s="94">
        <v>1235.0</v>
      </c>
    </row>
    <row r="1460">
      <c r="A1460" s="40">
        <f t="array" ref="A1460">IFNA(index(PlayerValues!A:A,match(IFNA(vlookup(B1460,'Special Names'!A:B,2,FALSE),B1460),PlayerValues!E:E,0)),"N/A")</f>
        <v>17654</v>
      </c>
      <c r="B1460" s="4" t="s">
        <v>767</v>
      </c>
      <c r="C1460" s="4" t="s">
        <v>283</v>
      </c>
      <c r="D1460" s="94">
        <v>860.0</v>
      </c>
    </row>
    <row r="1461">
      <c r="A1461" s="40">
        <f t="array" ref="A1461">IFNA(index(PlayerValues!A:A,match(IFNA(vlookup(B1461,'Special Names'!A:B,2,FALSE),B1461),PlayerValues!E:E,0)),"N/A")</f>
        <v>14057</v>
      </c>
      <c r="B1461" s="4" t="s">
        <v>765</v>
      </c>
      <c r="C1461" s="4" t="s">
        <v>283</v>
      </c>
      <c r="D1461" s="94">
        <v>856.0</v>
      </c>
    </row>
    <row r="1462">
      <c r="A1462" s="40">
        <f t="array" ref="A1462">IFNA(index(PlayerValues!A:A,match(IFNA(vlookup(B1462,'Special Names'!A:B,2,FALSE),B1462),PlayerValues!E:E,0)),"N/A")</f>
        <v>17541</v>
      </c>
      <c r="B1462" s="4" t="s">
        <v>616</v>
      </c>
      <c r="C1462" s="4" t="s">
        <v>287</v>
      </c>
      <c r="D1462" s="94">
        <v>856.0</v>
      </c>
    </row>
    <row r="1463">
      <c r="A1463" s="40">
        <f t="array" ref="A1463">IFNA(index(PlayerValues!A:A,match(IFNA(vlookup(B1463,'Special Names'!A:B,2,FALSE),B1463),PlayerValues!E:E,0)),"N/A")</f>
        <v>14118</v>
      </c>
      <c r="B1463" s="4" t="s">
        <v>771</v>
      </c>
      <c r="C1463" s="4" t="s">
        <v>287</v>
      </c>
      <c r="D1463" s="94">
        <v>854.0</v>
      </c>
    </row>
    <row r="1464">
      <c r="A1464" s="40">
        <f t="array" ref="A1464">IFNA(index(PlayerValues!A:A,match(IFNA(vlookup(B1464,'Special Names'!A:B,2,FALSE),B1464),PlayerValues!E:E,0)),"N/A")</f>
        <v>16624</v>
      </c>
      <c r="B1464" s="4" t="s">
        <v>796</v>
      </c>
      <c r="C1464" s="4" t="s">
        <v>287</v>
      </c>
      <c r="D1464" s="94">
        <v>848.0</v>
      </c>
    </row>
    <row r="1465">
      <c r="A1465" s="40">
        <f t="array" ref="A1465">IFNA(index(PlayerValues!A:A,match(IFNA(vlookup(B1465,'Special Names'!A:B,2,FALSE),B1465),PlayerValues!E:E,0)),"N/A")</f>
        <v>17486</v>
      </c>
      <c r="B1465" s="4" t="s">
        <v>695</v>
      </c>
      <c r="C1465" s="4" t="s">
        <v>278</v>
      </c>
      <c r="D1465" s="94">
        <v>843.0</v>
      </c>
    </row>
    <row r="1466">
      <c r="A1466" s="40">
        <f t="array" ref="A1466">IFNA(index(PlayerValues!A:A,match(IFNA(vlookup(B1466,'Special Names'!A:B,2,FALSE),B1466),PlayerValues!E:E,0)),"N/A")</f>
        <v>17627</v>
      </c>
      <c r="B1466" s="4" t="s">
        <v>684</v>
      </c>
      <c r="C1466" s="4" t="s">
        <v>298</v>
      </c>
      <c r="D1466" s="94">
        <v>1209.0</v>
      </c>
    </row>
    <row r="1467">
      <c r="A1467" s="40">
        <f t="array" ref="A1467">IFNA(index(PlayerValues!A:A,match(IFNA(vlookup(B1467,'Special Names'!A:B,2,FALSE),B1467),PlayerValues!E:E,0)),"N/A")</f>
        <v>12785</v>
      </c>
      <c r="B1467" s="4" t="s">
        <v>772</v>
      </c>
      <c r="C1467" s="4" t="s">
        <v>287</v>
      </c>
      <c r="D1467" s="94">
        <v>816.0</v>
      </c>
    </row>
    <row r="1468">
      <c r="A1468" s="40">
        <f t="array" ref="A1468">IFNA(index(PlayerValues!A:A,match(IFNA(vlookup(B1468,'Special Names'!A:B,2,FALSE),B1468),PlayerValues!E:E,0)),"N/A")</f>
        <v>16773</v>
      </c>
      <c r="B1468" s="4" t="s">
        <v>783</v>
      </c>
      <c r="C1468" s="4" t="s">
        <v>278</v>
      </c>
      <c r="D1468" s="94">
        <v>813.0</v>
      </c>
    </row>
    <row r="1469">
      <c r="A1469" s="40">
        <f t="array" ref="A1469">IFNA(index(PlayerValues!A:A,match(IFNA(vlookup(B1469,'Special Names'!A:B,2,FALSE),B1469),PlayerValues!E:E,0)),"N/A")</f>
        <v>14223</v>
      </c>
      <c r="B1469" s="4" t="s">
        <v>785</v>
      </c>
      <c r="C1469" s="4" t="s">
        <v>278</v>
      </c>
      <c r="D1469" s="94">
        <v>806.0</v>
      </c>
    </row>
    <row r="1470">
      <c r="A1470" s="40">
        <f t="array" ref="A1470">IFNA(index(PlayerValues!A:A,match(IFNA(vlookup(B1470,'Special Names'!A:B,2,FALSE),B1470),PlayerValues!E:E,0)),"N/A")</f>
        <v>13133</v>
      </c>
      <c r="B1470" s="4" t="s">
        <v>764</v>
      </c>
      <c r="C1470" s="4" t="s">
        <v>278</v>
      </c>
      <c r="D1470" s="94">
        <v>783.0</v>
      </c>
    </row>
    <row r="1471">
      <c r="A1471" s="40">
        <f t="array" ref="A1471">IFNA(index(PlayerValues!A:A,match(IFNA(vlookup(B1471,'Special Names'!A:B,2,FALSE),B1471),PlayerValues!E:E,0)),"N/A")</f>
        <v>16751</v>
      </c>
      <c r="B1471" s="4" t="s">
        <v>762</v>
      </c>
      <c r="C1471" s="4" t="s">
        <v>287</v>
      </c>
      <c r="D1471" s="94">
        <v>732.0</v>
      </c>
    </row>
    <row r="1472">
      <c r="A1472" s="40">
        <f t="array" ref="A1472">IFNA(index(PlayerValues!A:A,match(IFNA(vlookup(B1472,'Special Names'!A:B,2,FALSE),B1472),PlayerValues!E:E,0)),"N/A")</f>
        <v>16625</v>
      </c>
      <c r="B1472" s="4" t="s">
        <v>778</v>
      </c>
      <c r="C1472" s="4" t="s">
        <v>287</v>
      </c>
      <c r="D1472" s="94">
        <v>729.0</v>
      </c>
    </row>
    <row r="1473">
      <c r="A1473" s="40">
        <f t="array" ref="A1473">IFNA(index(PlayerValues!A:A,match(IFNA(vlookup(B1473,'Special Names'!A:B,2,FALSE),B1473),PlayerValues!E:E,0)),"N/A")</f>
        <v>15263</v>
      </c>
      <c r="B1473" s="4" t="s">
        <v>804</v>
      </c>
      <c r="C1473" s="4" t="s">
        <v>278</v>
      </c>
      <c r="D1473" s="94">
        <v>712.0</v>
      </c>
    </row>
    <row r="1474">
      <c r="A1474" s="40">
        <f t="array" ref="A1474">IFNA(index(PlayerValues!A:A,match(IFNA(vlookup(B1474,'Special Names'!A:B,2,FALSE),B1474),PlayerValues!E:E,0)),"N/A")</f>
        <v>17337</v>
      </c>
      <c r="B1474" s="4" t="s">
        <v>793</v>
      </c>
      <c r="C1474" s="4" t="s">
        <v>278</v>
      </c>
      <c r="D1474" s="94">
        <v>703.0</v>
      </c>
    </row>
    <row r="1475">
      <c r="A1475" s="40">
        <f t="array" ref="A1475">IFNA(index(PlayerValues!A:A,match(IFNA(vlookup(B1475,'Special Names'!A:B,2,FALSE),B1475),PlayerValues!E:E,0)),"N/A")</f>
        <v>17545</v>
      </c>
      <c r="B1475" s="4" t="s">
        <v>719</v>
      </c>
      <c r="C1475" s="4" t="s">
        <v>298</v>
      </c>
      <c r="D1475" s="94">
        <v>1052.0</v>
      </c>
    </row>
    <row r="1476">
      <c r="A1476" s="40">
        <f t="array" ref="A1476">IFNA(index(PlayerValues!A:A,match(IFNA(vlookup(B1476,'Special Names'!A:B,2,FALSE),B1476),PlayerValues!E:E,0)),"N/A")</f>
        <v>15723</v>
      </c>
      <c r="B1476" s="4" t="s">
        <v>798</v>
      </c>
      <c r="C1476" s="4" t="s">
        <v>278</v>
      </c>
      <c r="D1476" s="94">
        <v>636.0</v>
      </c>
    </row>
    <row r="1477">
      <c r="A1477" s="40">
        <f t="array" ref="A1477">IFNA(index(PlayerValues!A:A,match(IFNA(vlookup(B1477,'Special Names'!A:B,2,FALSE),B1477),PlayerValues!E:E,0)),"N/A")</f>
        <v>16299</v>
      </c>
      <c r="B1477" s="4" t="s">
        <v>787</v>
      </c>
      <c r="C1477" s="4" t="s">
        <v>287</v>
      </c>
      <c r="D1477" s="94">
        <v>633.0</v>
      </c>
    </row>
    <row r="1478">
      <c r="A1478" s="40">
        <f t="array" ref="A1478">IFNA(index(PlayerValues!A:A,match(IFNA(vlookup(B1478,'Special Names'!A:B,2,FALSE),B1478),PlayerValues!E:E,0)),"N/A")</f>
        <v>16686</v>
      </c>
      <c r="B1478" s="4" t="s">
        <v>805</v>
      </c>
      <c r="C1478" s="4" t="s">
        <v>287</v>
      </c>
      <c r="D1478" s="94">
        <v>622.0</v>
      </c>
    </row>
    <row r="1479">
      <c r="A1479" s="40">
        <f t="array" ref="A1479">IFNA(index(PlayerValues!A:A,match(IFNA(vlookup(B1479,'Special Names'!A:B,2,FALSE),B1479),PlayerValues!E:E,0)),"N/A")</f>
        <v>13143</v>
      </c>
      <c r="B1479" s="4" t="s">
        <v>786</v>
      </c>
      <c r="C1479" s="4" t="s">
        <v>278</v>
      </c>
      <c r="D1479" s="94">
        <v>621.0</v>
      </c>
    </row>
    <row r="1480">
      <c r="A1480" s="40">
        <f t="array" ref="A1480">IFNA(index(PlayerValues!A:A,match(IFNA(vlookup(B1480,'Special Names'!A:B,2,FALSE),B1480),PlayerValues!E:E,0)),"N/A")</f>
        <v>16957</v>
      </c>
      <c r="B1480" s="4" t="s">
        <v>806</v>
      </c>
      <c r="C1480" s="4" t="s">
        <v>278</v>
      </c>
      <c r="D1480" s="94">
        <v>616.0</v>
      </c>
    </row>
    <row r="1481">
      <c r="A1481" s="40">
        <f t="array" ref="A1481">IFNA(index(PlayerValues!A:A,match(IFNA(vlookup(B1481,'Special Names'!A:B,2,FALSE),B1481),PlayerValues!E:E,0)),"N/A")</f>
        <v>16413</v>
      </c>
      <c r="B1481" s="4" t="s">
        <v>781</v>
      </c>
      <c r="C1481" s="4" t="s">
        <v>287</v>
      </c>
      <c r="D1481" s="94">
        <v>599.0</v>
      </c>
    </row>
    <row r="1482">
      <c r="A1482" s="40">
        <f t="array" ref="A1482">IFNA(index(PlayerValues!A:A,match(IFNA(vlookup(B1482,'Special Names'!A:B,2,FALSE),B1482),PlayerValues!E:E,0)),"N/A")</f>
        <v>14864</v>
      </c>
      <c r="B1482" s="4" t="s">
        <v>789</v>
      </c>
      <c r="C1482" s="4" t="s">
        <v>287</v>
      </c>
      <c r="D1482" s="94">
        <v>593.0</v>
      </c>
    </row>
    <row r="1483">
      <c r="A1483" s="40">
        <f t="array" ref="A1483">IFNA(index(PlayerValues!A:A,match(IFNA(vlookup(B1483,'Special Names'!A:B,2,FALSE),B1483),PlayerValues!E:E,0)),"N/A")</f>
        <v>17038</v>
      </c>
      <c r="B1483" s="4" t="s">
        <v>774</v>
      </c>
      <c r="C1483" s="4" t="s">
        <v>283</v>
      </c>
      <c r="D1483" s="94">
        <v>576.0</v>
      </c>
    </row>
    <row r="1484">
      <c r="A1484" s="40">
        <f t="array" ref="A1484">IFNA(index(PlayerValues!A:A,match(IFNA(vlookup(B1484,'Special Names'!A:B,2,FALSE),B1484),PlayerValues!E:E,0)),"N/A")</f>
        <v>17232</v>
      </c>
      <c r="B1484" s="4" t="s">
        <v>784</v>
      </c>
      <c r="C1484" s="4" t="s">
        <v>287</v>
      </c>
      <c r="D1484" s="94">
        <v>574.0</v>
      </c>
    </row>
    <row r="1485">
      <c r="A1485" s="40">
        <f t="array" ref="A1485">IFNA(index(PlayerValues!A:A,match(IFNA(vlookup(B1485,'Special Names'!A:B,2,FALSE),B1485),PlayerValues!E:E,0)),"N/A")</f>
        <v>17542</v>
      </c>
      <c r="B1485" s="4" t="s">
        <v>685</v>
      </c>
      <c r="C1485" s="4" t="s">
        <v>287</v>
      </c>
      <c r="D1485" s="94">
        <v>558.0</v>
      </c>
    </row>
    <row r="1486">
      <c r="A1486" s="40">
        <f t="array" ref="A1486">IFNA(index(PlayerValues!A:A,match(IFNA(vlookup(B1486,'Special Names'!A:B,2,FALSE),B1486),PlayerValues!E:E,0)),"N/A")</f>
        <v>14805</v>
      </c>
      <c r="B1486" s="4" t="s">
        <v>770</v>
      </c>
      <c r="C1486" s="4" t="s">
        <v>278</v>
      </c>
      <c r="D1486" s="94">
        <v>552.0</v>
      </c>
    </row>
    <row r="1487">
      <c r="A1487" s="40">
        <f t="array" ref="A1487">IFNA(index(PlayerValues!A:A,match(IFNA(vlookup(B1487,'Special Names'!A:B,2,FALSE),B1487),PlayerValues!E:E,0)),"N/A")</f>
        <v>16613</v>
      </c>
      <c r="B1487" s="4" t="s">
        <v>782</v>
      </c>
      <c r="C1487" s="4" t="s">
        <v>278</v>
      </c>
      <c r="D1487" s="94">
        <v>536.0</v>
      </c>
    </row>
    <row r="1488">
      <c r="A1488" s="40">
        <f t="array" ref="A1488">IFNA(index(PlayerValues!A:A,match(IFNA(vlookup(B1488,'Special Names'!A:B,2,FALSE),B1488),PlayerValues!E:E,0)),"N/A")</f>
        <v>15796</v>
      </c>
      <c r="B1488" s="4" t="s">
        <v>794</v>
      </c>
      <c r="C1488" s="4" t="s">
        <v>298</v>
      </c>
      <c r="D1488" s="94">
        <v>877.0</v>
      </c>
    </row>
    <row r="1489">
      <c r="A1489" s="40">
        <f t="array" ref="A1489">IFNA(index(PlayerValues!A:A,match(IFNA(vlookup(B1489,'Special Names'!A:B,2,FALSE),B1489),PlayerValues!E:E,0)),"N/A")</f>
        <v>13176</v>
      </c>
      <c r="B1489" s="4" t="s">
        <v>807</v>
      </c>
      <c r="C1489" s="4" t="s">
        <v>287</v>
      </c>
      <c r="D1489" s="94">
        <v>506.0</v>
      </c>
    </row>
    <row r="1490">
      <c r="A1490" s="40">
        <f t="array" ref="A1490">IFNA(index(PlayerValues!A:A,match(IFNA(vlookup(B1490,'Special Names'!A:B,2,FALSE),B1490),PlayerValues!E:E,0)),"N/A")</f>
        <v>15271</v>
      </c>
      <c r="B1490" s="4" t="s">
        <v>741</v>
      </c>
      <c r="C1490" s="4" t="s">
        <v>278</v>
      </c>
      <c r="D1490" s="94">
        <v>501.0</v>
      </c>
    </row>
    <row r="1491">
      <c r="A1491" s="40">
        <f t="array" ref="A1491">IFNA(index(PlayerValues!A:A,match(IFNA(vlookup(B1491,'Special Names'!A:B,2,FALSE),B1491),PlayerValues!E:E,0)),"N/A")</f>
        <v>17348</v>
      </c>
      <c r="B1491" s="4" t="s">
        <v>797</v>
      </c>
      <c r="C1491" s="4" t="s">
        <v>278</v>
      </c>
      <c r="D1491" s="94">
        <v>501.0</v>
      </c>
    </row>
    <row r="1492">
      <c r="A1492" s="40">
        <f t="array" ref="A1492">IFNA(index(PlayerValues!A:A,match(IFNA(vlookup(B1492,'Special Names'!A:B,2,FALSE),B1492),PlayerValues!E:E,0)),"N/A")</f>
        <v>14858</v>
      </c>
      <c r="B1492" s="4" t="s">
        <v>799</v>
      </c>
      <c r="C1492" s="4" t="s">
        <v>287</v>
      </c>
      <c r="D1492" s="94">
        <v>497.0</v>
      </c>
    </row>
    <row r="1493">
      <c r="A1493" s="40">
        <f t="array" ref="A1493">IFNA(index(PlayerValues!A:A,match(IFNA(vlookup(B1493,'Special Names'!A:B,2,FALSE),B1493),PlayerValues!E:E,0)),"N/A")</f>
        <v>13641</v>
      </c>
      <c r="B1493" s="4" t="s">
        <v>808</v>
      </c>
      <c r="C1493" s="4" t="s">
        <v>287</v>
      </c>
      <c r="D1493" s="94">
        <v>496.0</v>
      </c>
    </row>
    <row r="1494">
      <c r="A1494" s="40">
        <f t="array" ref="A1494">IFNA(index(PlayerValues!A:A,match(IFNA(vlookup(B1494,'Special Names'!A:B,2,FALSE),B1494),PlayerValues!E:E,0)),"N/A")</f>
        <v>14209</v>
      </c>
      <c r="B1494" s="4" t="s">
        <v>809</v>
      </c>
      <c r="C1494" s="4" t="s">
        <v>298</v>
      </c>
      <c r="D1494" s="94">
        <v>836.0</v>
      </c>
    </row>
    <row r="1495">
      <c r="A1495" s="40">
        <f t="array" ref="A1495">IFNA(index(PlayerValues!A:A,match(IFNA(vlookup(B1495,'Special Names'!A:B,2,FALSE),B1495),PlayerValues!E:E,0)),"N/A")</f>
        <v>17243</v>
      </c>
      <c r="B1495" s="4" t="s">
        <v>810</v>
      </c>
      <c r="C1495" s="4" t="s">
        <v>298</v>
      </c>
      <c r="D1495" s="94">
        <v>832.0</v>
      </c>
    </row>
    <row r="1496">
      <c r="A1496" s="40">
        <f t="array" ref="A1496">IFNA(index(PlayerValues!A:A,match(IFNA(vlookup(B1496,'Special Names'!A:B,2,FALSE),B1496),PlayerValues!E:E,0)),"N/A")</f>
        <v>14113</v>
      </c>
      <c r="B1496" s="4" t="s">
        <v>788</v>
      </c>
      <c r="C1496" s="4" t="s">
        <v>287</v>
      </c>
      <c r="D1496" s="94">
        <v>484.0</v>
      </c>
    </row>
    <row r="1497">
      <c r="A1497" s="40">
        <f t="array" ref="A1497">IFNA(index(PlayerValues!A:A,match(IFNA(vlookup(B1497,'Special Names'!A:B,2,FALSE),B1497),PlayerValues!E:E,0)),"N/A")</f>
        <v>10413</v>
      </c>
      <c r="B1497" s="4" t="s">
        <v>811</v>
      </c>
      <c r="C1497" s="4" t="s">
        <v>283</v>
      </c>
      <c r="D1497" s="94">
        <v>482.0</v>
      </c>
    </row>
    <row r="1498">
      <c r="A1498" s="40">
        <f t="array" ref="A1498">IFNA(index(PlayerValues!A:A,match(IFNA(vlookup(B1498,'Special Names'!A:B,2,FALSE),B1498),PlayerValues!E:E,0)),"N/A")</f>
        <v>16176</v>
      </c>
      <c r="B1498" s="4" t="s">
        <v>812</v>
      </c>
      <c r="C1498" s="4" t="s">
        <v>278</v>
      </c>
      <c r="D1498" s="94">
        <v>482.0</v>
      </c>
    </row>
    <row r="1499">
      <c r="A1499" s="40">
        <f t="array" ref="A1499">IFNA(index(PlayerValues!A:A,match(IFNA(vlookup(B1499,'Special Names'!A:B,2,FALSE),B1499),PlayerValues!E:E,0)),"N/A")</f>
        <v>14358</v>
      </c>
      <c r="B1499" s="4" t="s">
        <v>813</v>
      </c>
      <c r="C1499" s="4" t="s">
        <v>283</v>
      </c>
      <c r="D1499" s="94">
        <v>479.0</v>
      </c>
    </row>
    <row r="1500">
      <c r="A1500" s="40">
        <f t="array" ref="A1500">IFNA(index(PlayerValues!A:A,match(IFNA(vlookup(B1500,'Special Names'!A:B,2,FALSE),B1500),PlayerValues!E:E,0)),"N/A")</f>
        <v>17709</v>
      </c>
      <c r="B1500" s="4" t="s">
        <v>814</v>
      </c>
      <c r="C1500" s="4" t="s">
        <v>278</v>
      </c>
      <c r="D1500" s="94">
        <v>9.0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9999.0</v>
      </c>
    </row>
    <row r="1502">
      <c r="A1502" s="40">
        <f t="array" ref="A1502">IFNA(index(PlayerValues!A:A,match(IFNA(vlookup(B1502,'Special Names'!A:B,2,FALSE),B1502),PlayerValues!E:E,0)),"N/A")</f>
        <v>16162</v>
      </c>
      <c r="B1502" s="4" t="s">
        <v>281</v>
      </c>
      <c r="C1502" s="4" t="s">
        <v>278</v>
      </c>
      <c r="D1502" s="94">
        <v>9999.0</v>
      </c>
    </row>
    <row r="1503">
      <c r="A1503" s="40">
        <f t="array" ref="A1503">IFNA(index(PlayerValues!A:A,match(IFNA(vlookup(B1503,'Special Names'!A:B,2,FALSE),B1503),PlayerValues!E:E,0)),"N/A")</f>
        <v>16161</v>
      </c>
      <c r="B1503" s="4" t="s">
        <v>277</v>
      </c>
      <c r="C1503" s="4" t="s">
        <v>278</v>
      </c>
      <c r="D1503" s="94">
        <v>9990.0</v>
      </c>
    </row>
    <row r="1504">
      <c r="A1504" s="40">
        <f t="array" ref="A1504">IFNA(index(PlayerValues!A:A,match(IFNA(vlookup(B1504,'Special Names'!A:B,2,FALSE),B1504),PlayerValues!E:E,0)),"N/A")</f>
        <v>15281</v>
      </c>
      <c r="B1504" s="4" t="s">
        <v>286</v>
      </c>
      <c r="C1504" s="4" t="s">
        <v>287</v>
      </c>
      <c r="D1504" s="94">
        <v>9989.0</v>
      </c>
    </row>
    <row r="1505">
      <c r="A1505" s="40">
        <f t="array" ref="A1505">IFNA(index(PlayerValues!A:A,match(IFNA(vlookup(B1505,'Special Names'!A:B,2,FALSE),B1505),PlayerValues!E:E,0)),"N/A")</f>
        <v>16185</v>
      </c>
      <c r="B1505" s="4" t="s">
        <v>290</v>
      </c>
      <c r="C1505" s="4" t="s">
        <v>287</v>
      </c>
      <c r="D1505" s="94">
        <v>9313.0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9252.0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8785.0</v>
      </c>
    </row>
    <row r="1508">
      <c r="A1508" s="40">
        <f t="array" ref="A1508">IFNA(index(PlayerValues!A:A,match(IFNA(vlookup(B1508,'Special Names'!A:B,2,FALSE),B1508),PlayerValues!E:E,0)),"N/A")</f>
        <v>16641</v>
      </c>
      <c r="B1508" s="4" t="s">
        <v>297</v>
      </c>
      <c r="C1508" s="4" t="s">
        <v>298</v>
      </c>
      <c r="D1508" s="94">
        <v>8999.0</v>
      </c>
    </row>
    <row r="1509">
      <c r="A1509" s="40">
        <f t="array" ref="A1509">IFNA(index(PlayerValues!A:A,match(IFNA(vlookup(B1509,'Special Names'!A:B,2,FALSE),B1509),PlayerValues!E:E,0)),"N/A")</f>
        <v>15287</v>
      </c>
      <c r="B1509" s="4" t="s">
        <v>299</v>
      </c>
      <c r="C1509" s="4" t="s">
        <v>287</v>
      </c>
      <c r="D1509" s="94">
        <v>7867.0</v>
      </c>
    </row>
    <row r="1510">
      <c r="A1510" s="40">
        <f t="array" ref="A1510">IFNA(index(PlayerValues!A:A,match(IFNA(vlookup(B1510,'Special Names'!A:B,2,FALSE),B1510),PlayerValues!E:E,0)),"N/A")</f>
        <v>16579</v>
      </c>
      <c r="B1510" s="4" t="s">
        <v>302</v>
      </c>
      <c r="C1510" s="4" t="s">
        <v>283</v>
      </c>
      <c r="D1510" s="94">
        <v>7834.0</v>
      </c>
    </row>
    <row r="1511">
      <c r="A1511" s="40">
        <f t="array" ref="A1511">IFNA(index(PlayerValues!A:A,match(IFNA(vlookup(B1511,'Special Names'!A:B,2,FALSE),B1511),PlayerValues!E:E,0)),"N/A")</f>
        <v>17042</v>
      </c>
      <c r="B1511" s="4" t="s">
        <v>314</v>
      </c>
      <c r="C1511" s="4" t="s">
        <v>278</v>
      </c>
      <c r="D1511" s="94">
        <v>7647.0</v>
      </c>
    </row>
    <row r="1512">
      <c r="A1512" s="40">
        <f t="array" ref="A1512">IFNA(index(PlayerValues!A:A,match(IFNA(vlookup(B1512,'Special Names'!A:B,2,FALSE),B1512),PlayerValues!E:E,0)),"N/A")</f>
        <v>13593</v>
      </c>
      <c r="B1512" s="4" t="s">
        <v>305</v>
      </c>
      <c r="C1512" s="4" t="s">
        <v>283</v>
      </c>
      <c r="D1512" s="94">
        <v>7630.0</v>
      </c>
    </row>
    <row r="1513">
      <c r="A1513" s="40">
        <f t="array" ref="A1513">IFNA(index(PlayerValues!A:A,match(IFNA(vlookup(B1513,'Special Names'!A:B,2,FALSE),B1513),PlayerValues!E:E,0)),"N/A")</f>
        <v>16581</v>
      </c>
      <c r="B1513" s="4" t="s">
        <v>315</v>
      </c>
      <c r="C1513" s="4" t="s">
        <v>283</v>
      </c>
      <c r="D1513" s="94">
        <v>7629.0</v>
      </c>
    </row>
    <row r="1514">
      <c r="A1514" s="40">
        <f t="array" ref="A1514">IFNA(index(PlayerValues!A:A,match(IFNA(vlookup(B1514,'Special Names'!A:B,2,FALSE),B1514),PlayerValues!E:E,0)),"N/A")</f>
        <v>14836</v>
      </c>
      <c r="B1514" s="4" t="s">
        <v>306</v>
      </c>
      <c r="C1514" s="4" t="s">
        <v>287</v>
      </c>
      <c r="D1514" s="94">
        <v>7614.0</v>
      </c>
    </row>
    <row r="1515">
      <c r="A1515" s="40">
        <f t="array" ref="A1515">IFNA(index(PlayerValues!A:A,match(IFNA(vlookup(B1515,'Special Names'!A:B,2,FALSE),B1515),PlayerValues!E:E,0)),"N/A")</f>
        <v>17472</v>
      </c>
      <c r="B1515" s="4" t="s">
        <v>310</v>
      </c>
      <c r="C1515" s="4" t="s">
        <v>278</v>
      </c>
      <c r="D1515" s="94">
        <v>7468.0</v>
      </c>
    </row>
    <row r="1516">
      <c r="A1516" s="40">
        <f t="array" ref="A1516">IFNA(index(PlayerValues!A:A,match(IFNA(vlookup(B1516,'Special Names'!A:B,2,FALSE),B1516),PlayerValues!E:E,0)),"N/A")</f>
        <v>14777</v>
      </c>
      <c r="B1516" s="4" t="s">
        <v>318</v>
      </c>
      <c r="C1516" s="4" t="s">
        <v>283</v>
      </c>
      <c r="D1516" s="94">
        <v>7426.0</v>
      </c>
    </row>
    <row r="1517">
      <c r="A1517" s="40">
        <f t="array" ref="A1517">IFNA(index(PlayerValues!A:A,match(IFNA(vlookup(B1517,'Special Names'!A:B,2,FALSE),B1517),PlayerValues!E:E,0)),"N/A")</f>
        <v>15794</v>
      </c>
      <c r="B1517" s="4" t="s">
        <v>313</v>
      </c>
      <c r="C1517" s="4" t="s">
        <v>298</v>
      </c>
      <c r="D1517" s="94">
        <v>8169.0</v>
      </c>
    </row>
    <row r="1518">
      <c r="A1518" s="40">
        <f t="array" ref="A1518">IFNA(index(PlayerValues!A:A,match(IFNA(vlookup(B1518,'Special Names'!A:B,2,FALSE),B1518),PlayerValues!E:E,0)),"N/A")</f>
        <v>16615</v>
      </c>
      <c r="B1518" s="4" t="s">
        <v>309</v>
      </c>
      <c r="C1518" s="4" t="s">
        <v>287</v>
      </c>
      <c r="D1518" s="94">
        <v>7230.0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7133.0</v>
      </c>
    </row>
    <row r="1520">
      <c r="A1520" s="40" t="str">
        <f t="array" ref="A1520">IFNA(index(PlayerValues!A:A,match(IFNA(vlookup(B1520,'Special Names'!A:B,2,FALSE),B1520),PlayerValues!E:E,0)),"N/A")</f>
        <v>N/A</v>
      </c>
      <c r="B1520" s="4" t="s">
        <v>92</v>
      </c>
      <c r="C1520" s="4" t="s">
        <v>325</v>
      </c>
      <c r="D1520" s="94">
        <v>7108.0</v>
      </c>
    </row>
    <row r="1521">
      <c r="A1521" s="40">
        <f t="array" ref="A1521">IFNA(index(PlayerValues!A:A,match(IFNA(vlookup(B1521,'Special Names'!A:B,2,FALSE),B1521),PlayerValues!E:E,0)),"N/A")</f>
        <v>14779</v>
      </c>
      <c r="B1521" s="4" t="s">
        <v>327</v>
      </c>
      <c r="C1521" s="4" t="s">
        <v>283</v>
      </c>
      <c r="D1521" s="94">
        <v>7041.0</v>
      </c>
    </row>
    <row r="1522">
      <c r="A1522" s="40">
        <f t="array" ref="A1522">IFNA(index(PlayerValues!A:A,match(IFNA(vlookup(B1522,'Special Names'!A:B,2,FALSE),B1522),PlayerValues!E:E,0)),"N/A")</f>
        <v>15751</v>
      </c>
      <c r="B1522" s="4" t="s">
        <v>328</v>
      </c>
      <c r="C1522" s="4" t="s">
        <v>287</v>
      </c>
      <c r="D1522" s="94">
        <v>7005.0</v>
      </c>
    </row>
    <row r="1523">
      <c r="A1523" s="40">
        <f t="array" ref="A1523">IFNA(index(PlayerValues!A:A,match(IFNA(vlookup(B1523,'Special Names'!A:B,2,FALSE),B1523),PlayerValues!E:E,0)),"N/A")</f>
        <v>17044</v>
      </c>
      <c r="B1523" s="4" t="s">
        <v>322</v>
      </c>
      <c r="C1523" s="4" t="s">
        <v>278</v>
      </c>
      <c r="D1523" s="94">
        <v>6992.0</v>
      </c>
    </row>
    <row r="1524">
      <c r="A1524" s="40">
        <f t="array" ref="A1524">IFNA(index(PlayerValues!A:A,match(IFNA(vlookup(B1524,'Special Names'!A:B,2,FALSE),B1524),PlayerValues!E:E,0)),"N/A")</f>
        <v>16167</v>
      </c>
      <c r="B1524" s="4" t="s">
        <v>323</v>
      </c>
      <c r="C1524" s="4" t="s">
        <v>278</v>
      </c>
      <c r="D1524" s="94">
        <v>6823.0</v>
      </c>
    </row>
    <row r="1525">
      <c r="A1525" s="40">
        <f t="array" ref="A1525">IFNA(index(PlayerValues!A:A,match(IFNA(vlookup(B1525,'Special Names'!A:B,2,FALSE),B1525),PlayerValues!E:E,0)),"N/A")</f>
        <v>17071</v>
      </c>
      <c r="B1525" s="4" t="s">
        <v>341</v>
      </c>
      <c r="C1525" s="4" t="s">
        <v>287</v>
      </c>
      <c r="D1525" s="94">
        <v>6391.0</v>
      </c>
    </row>
    <row r="1526">
      <c r="A1526" s="40">
        <f t="array" ref="A1526">IFNA(index(PlayerValues!A:A,match(IFNA(vlookup(B1526,'Special Names'!A:B,2,FALSE),B1526),PlayerValues!E:E,0)),"N/A")</f>
        <v>17104</v>
      </c>
      <c r="B1526" s="4" t="s">
        <v>333</v>
      </c>
      <c r="C1526" s="4" t="s">
        <v>298</v>
      </c>
      <c r="D1526" s="94">
        <v>7062.0</v>
      </c>
    </row>
    <row r="1527">
      <c r="A1527" s="40">
        <f t="array" ref="A1527">IFNA(index(PlayerValues!A:A,match(IFNA(vlookup(B1527,'Special Names'!A:B,2,FALSE),B1527),PlayerValues!E:E,0)),"N/A")</f>
        <v>13116</v>
      </c>
      <c r="B1527" s="4" t="s">
        <v>345</v>
      </c>
      <c r="C1527" s="4" t="s">
        <v>283</v>
      </c>
      <c r="D1527" s="94">
        <v>6349.0</v>
      </c>
    </row>
    <row r="1528">
      <c r="A1528" s="40">
        <f t="array" ref="A1528">IFNA(index(PlayerValues!A:A,match(IFNA(vlookup(B1528,'Special Names'!A:B,2,FALSE),B1528),PlayerValues!E:E,0)),"N/A")</f>
        <v>17081</v>
      </c>
      <c r="B1528" s="4" t="s">
        <v>340</v>
      </c>
      <c r="C1528" s="4" t="s">
        <v>287</v>
      </c>
      <c r="D1528" s="94">
        <v>6345.0</v>
      </c>
    </row>
    <row r="1529">
      <c r="A1529" s="40">
        <f t="array" ref="A1529">IFNA(index(PlayerValues!A:A,match(IFNA(vlookup(B1529,'Special Names'!A:B,2,FALSE),B1529),PlayerValues!E:E,0)),"N/A")</f>
        <v>15237</v>
      </c>
      <c r="B1529" s="4" t="s">
        <v>336</v>
      </c>
      <c r="C1529" s="4" t="s">
        <v>283</v>
      </c>
      <c r="D1529" s="94">
        <v>6305.0</v>
      </c>
    </row>
    <row r="1530">
      <c r="A1530" s="40">
        <f t="array" ref="A1530">IFNA(index(PlayerValues!A:A,match(IFNA(vlookup(B1530,'Special Names'!A:B,2,FALSE),B1530),PlayerValues!E:E,0)),"N/A")</f>
        <v>17032</v>
      </c>
      <c r="B1530" s="4" t="s">
        <v>348</v>
      </c>
      <c r="C1530" s="4" t="s">
        <v>283</v>
      </c>
      <c r="D1530" s="94">
        <v>6293.0</v>
      </c>
    </row>
    <row r="1531">
      <c r="A1531" s="40">
        <f t="array" ref="A1531">IFNA(index(PlayerValues!A:A,match(IFNA(vlookup(B1531,'Special Names'!A:B,2,FALSE),B1531),PlayerValues!E:E,0)),"N/A")</f>
        <v>14802</v>
      </c>
      <c r="B1531" s="4" t="s">
        <v>332</v>
      </c>
      <c r="C1531" s="4" t="s">
        <v>278</v>
      </c>
      <c r="D1531" s="94">
        <v>6153.0</v>
      </c>
    </row>
    <row r="1532">
      <c r="A1532" s="40">
        <f t="array" ref="A1532">IFNA(index(PlayerValues!A:A,match(IFNA(vlookup(B1532,'Special Names'!A:B,2,FALSE),B1532),PlayerValues!E:E,0)),"N/A")</f>
        <v>14783</v>
      </c>
      <c r="B1532" s="4" t="s">
        <v>342</v>
      </c>
      <c r="C1532" s="4" t="s">
        <v>283</v>
      </c>
      <c r="D1532" s="94">
        <v>6148.0</v>
      </c>
    </row>
    <row r="1533">
      <c r="A1533" s="40">
        <f t="array" ref="A1533">IFNA(index(PlayerValues!A:A,match(IFNA(vlookup(B1533,'Special Names'!A:B,2,FALSE),B1533),PlayerValues!E:E,0)),"N/A")</f>
        <v>15762</v>
      </c>
      <c r="B1533" s="4" t="s">
        <v>337</v>
      </c>
      <c r="C1533" s="4" t="s">
        <v>287</v>
      </c>
      <c r="D1533" s="94">
        <v>6122.0</v>
      </c>
    </row>
    <row r="1534">
      <c r="A1534" s="40">
        <f t="array" ref="A1534">IFNA(index(PlayerValues!A:A,match(IFNA(vlookup(B1534,'Special Names'!A:B,2,FALSE),B1534),PlayerValues!E:E,0)),"N/A")</f>
        <v>15715</v>
      </c>
      <c r="B1534" s="4" t="s">
        <v>331</v>
      </c>
      <c r="C1534" s="4" t="s">
        <v>278</v>
      </c>
      <c r="D1534" s="94">
        <v>6101.0</v>
      </c>
    </row>
    <row r="1535">
      <c r="A1535" s="40">
        <f t="array" ref="A1535">IFNA(index(PlayerValues!A:A,match(IFNA(vlookup(B1535,'Special Names'!A:B,2,FALSE),B1535),PlayerValues!E:E,0)),"N/A")</f>
        <v>16582</v>
      </c>
      <c r="B1535" s="4" t="s">
        <v>343</v>
      </c>
      <c r="C1535" s="4" t="s">
        <v>283</v>
      </c>
      <c r="D1535" s="94">
        <v>5982.0</v>
      </c>
    </row>
    <row r="1536">
      <c r="A1536" s="40">
        <f t="array" ref="A1536">IFNA(index(PlayerValues!A:A,match(IFNA(vlookup(B1536,'Special Names'!A:B,2,FALSE),B1536),PlayerValues!E:E,0)),"N/A")</f>
        <v>17497</v>
      </c>
      <c r="B1536" s="4" t="s">
        <v>365</v>
      </c>
      <c r="C1536" s="4" t="s">
        <v>287</v>
      </c>
      <c r="D1536" s="94">
        <v>5908.0</v>
      </c>
    </row>
    <row r="1537">
      <c r="A1537" s="40">
        <f t="array" ref="A1537">IFNA(index(PlayerValues!A:A,match(IFNA(vlookup(B1537,'Special Names'!A:B,2,FALSE),B1537),PlayerValues!E:E,0)),"N/A")</f>
        <v>17102</v>
      </c>
      <c r="B1537" s="4" t="s">
        <v>344</v>
      </c>
      <c r="C1537" s="4" t="s">
        <v>298</v>
      </c>
      <c r="D1537" s="94">
        <v>6534.0</v>
      </c>
    </row>
    <row r="1538">
      <c r="A1538" s="40">
        <f t="array" ref="A1538">IFNA(index(PlayerValues!A:A,match(IFNA(vlookup(B1538,'Special Names'!A:B,2,FALSE),B1538),PlayerValues!E:E,0)),"N/A")</f>
        <v>15698</v>
      </c>
      <c r="B1538" s="4" t="s">
        <v>358</v>
      </c>
      <c r="C1538" s="4" t="s">
        <v>283</v>
      </c>
      <c r="D1538" s="94">
        <v>5818.0</v>
      </c>
    </row>
    <row r="1539">
      <c r="A1539" s="40" t="str">
        <f t="array" ref="A1539">IFNA(index(PlayerValues!A:A,match(IFNA(vlookup(B1539,'Special Names'!A:B,2,FALSE),B1539),PlayerValues!E:E,0)),"N/A")</f>
        <v>N/A</v>
      </c>
      <c r="B1539" s="4" t="s">
        <v>93</v>
      </c>
      <c r="C1539" s="4" t="s">
        <v>325</v>
      </c>
      <c r="D1539" s="94">
        <v>5655.0</v>
      </c>
    </row>
    <row r="1540">
      <c r="A1540" s="40">
        <f t="array" ref="A1540">IFNA(index(PlayerValues!A:A,match(IFNA(vlookup(B1540,'Special Names'!A:B,2,FALSE),B1540),PlayerValues!E:E,0)),"N/A")</f>
        <v>15711</v>
      </c>
      <c r="B1540" s="4" t="s">
        <v>349</v>
      </c>
      <c r="C1540" s="4" t="s">
        <v>278</v>
      </c>
      <c r="D1540" s="94">
        <v>5601.0</v>
      </c>
    </row>
    <row r="1541">
      <c r="A1541" s="40" t="str">
        <f t="array" ref="A1541">IFNA(index(PlayerValues!A:A,match(IFNA(vlookup(B1541,'Special Names'!A:B,2,FALSE),B1541),PlayerValues!E:E,0)),"N/A")</f>
        <v>N/A</v>
      </c>
      <c r="B1541" s="4" t="s">
        <v>79</v>
      </c>
      <c r="C1541" s="4" t="s">
        <v>325</v>
      </c>
      <c r="D1541" s="94">
        <v>5595.0</v>
      </c>
    </row>
    <row r="1542">
      <c r="A1542" s="40">
        <f t="array" ref="A1542">IFNA(index(PlayerValues!A:A,match(IFNA(vlookup(B1542,'Special Names'!A:B,2,FALSE),B1542),PlayerValues!E:E,0)),"N/A")</f>
        <v>16627</v>
      </c>
      <c r="B1542" s="4" t="s">
        <v>351</v>
      </c>
      <c r="C1542" s="4" t="s">
        <v>287</v>
      </c>
      <c r="D1542" s="94">
        <v>5586.0</v>
      </c>
    </row>
    <row r="1543">
      <c r="A1543" s="40">
        <f t="array" ref="A1543">IFNA(index(PlayerValues!A:A,match(IFNA(vlookup(B1543,'Special Names'!A:B,2,FALSE),B1543),PlayerValues!E:E,0)),"N/A")</f>
        <v>15290</v>
      </c>
      <c r="B1543" s="4" t="s">
        <v>355</v>
      </c>
      <c r="C1543" s="4" t="s">
        <v>287</v>
      </c>
      <c r="D1543" s="94">
        <v>5576.0</v>
      </c>
    </row>
    <row r="1544">
      <c r="A1544" s="40">
        <f t="array" ref="A1544">IFNA(index(PlayerValues!A:A,match(IFNA(vlookup(B1544,'Special Names'!A:B,2,FALSE),B1544),PlayerValues!E:E,0)),"N/A")</f>
        <v>15753</v>
      </c>
      <c r="B1544" s="4" t="s">
        <v>359</v>
      </c>
      <c r="C1544" s="4" t="s">
        <v>287</v>
      </c>
      <c r="D1544" s="94">
        <v>5560.0</v>
      </c>
    </row>
    <row r="1545">
      <c r="A1545" s="40">
        <f t="array" ref="A1545">IFNA(index(PlayerValues!A:A,match(IFNA(vlookup(B1545,'Special Names'!A:B,2,FALSE),B1545),PlayerValues!E:E,0)),"N/A")</f>
        <v>17051</v>
      </c>
      <c r="B1545" s="4" t="s">
        <v>386</v>
      </c>
      <c r="C1545" s="4" t="s">
        <v>278</v>
      </c>
      <c r="D1545" s="94">
        <v>5538.0</v>
      </c>
    </row>
    <row r="1546">
      <c r="A1546" s="40">
        <f t="array" ref="A1546">IFNA(index(PlayerValues!A:A,match(IFNA(vlookup(B1546,'Special Names'!A:B,2,FALSE),B1546),PlayerValues!E:E,0)),"N/A")</f>
        <v>17070</v>
      </c>
      <c r="B1546" s="4" t="s">
        <v>370</v>
      </c>
      <c r="C1546" s="4" t="s">
        <v>287</v>
      </c>
      <c r="D1546" s="94">
        <v>5525.0</v>
      </c>
    </row>
    <row r="1547">
      <c r="A1547" s="40">
        <f t="array" ref="A1547">IFNA(index(PlayerValues!A:A,match(IFNA(vlookup(B1547,'Special Names'!A:B,2,FALSE),B1547),PlayerValues!E:E,0)),"N/A")</f>
        <v>15754</v>
      </c>
      <c r="B1547" s="4" t="s">
        <v>354</v>
      </c>
      <c r="C1547" s="4" t="s">
        <v>287</v>
      </c>
      <c r="D1547" s="94">
        <v>5471.0</v>
      </c>
    </row>
    <row r="1548">
      <c r="A1548" s="40">
        <f t="array" ref="A1548">IFNA(index(PlayerValues!A:A,match(IFNA(vlookup(B1548,'Special Names'!A:B,2,FALSE),B1548),PlayerValues!E:E,0)),"N/A")</f>
        <v>14782</v>
      </c>
      <c r="B1548" s="4" t="s">
        <v>385</v>
      </c>
      <c r="C1548" s="4" t="s">
        <v>283</v>
      </c>
      <c r="D1548" s="94">
        <v>5452.0</v>
      </c>
    </row>
    <row r="1549">
      <c r="A1549" s="40">
        <f t="array" ref="A1549">IFNA(index(PlayerValues!A:A,match(IFNA(vlookup(B1549,'Special Names'!A:B,2,FALSE),B1549),PlayerValues!E:E,0)),"N/A")</f>
        <v>15282</v>
      </c>
      <c r="B1549" s="4" t="s">
        <v>364</v>
      </c>
      <c r="C1549" s="4" t="s">
        <v>287</v>
      </c>
      <c r="D1549" s="94">
        <v>5442.0</v>
      </c>
    </row>
    <row r="1550">
      <c r="A1550" s="40">
        <f t="array" ref="A1550">IFNA(index(PlayerValues!A:A,match(IFNA(vlookup(B1550,'Special Names'!A:B,2,FALSE),B1550),PlayerValues!E:E,0)),"N/A")</f>
        <v>17462</v>
      </c>
      <c r="B1550" s="4" t="s">
        <v>375</v>
      </c>
      <c r="C1550" s="4" t="s">
        <v>283</v>
      </c>
      <c r="D1550" s="94">
        <v>5430.0</v>
      </c>
    </row>
    <row r="1551">
      <c r="A1551" s="40">
        <f t="array" ref="A1551">IFNA(index(PlayerValues!A:A,match(IFNA(vlookup(B1551,'Special Names'!A:B,2,FALSE),B1551),PlayerValues!E:E,0)),"N/A")</f>
        <v>17498</v>
      </c>
      <c r="B1551" s="4" t="s">
        <v>396</v>
      </c>
      <c r="C1551" s="4" t="s">
        <v>287</v>
      </c>
      <c r="D1551" s="94">
        <v>5365.0</v>
      </c>
    </row>
    <row r="1552">
      <c r="A1552" s="40">
        <f t="array" ref="A1552">IFNA(index(PlayerValues!A:A,match(IFNA(vlookup(B1552,'Special Names'!A:B,2,FALSE),B1552),PlayerValues!E:E,0)),"N/A")</f>
        <v>17043</v>
      </c>
      <c r="B1552" s="4" t="s">
        <v>397</v>
      </c>
      <c r="C1552" s="4" t="s">
        <v>278</v>
      </c>
      <c r="D1552" s="94">
        <v>5350.0</v>
      </c>
    </row>
    <row r="1553">
      <c r="A1553" s="40">
        <f t="array" ref="A1553">IFNA(index(PlayerValues!A:A,match(IFNA(vlookup(B1553,'Special Names'!A:B,2,FALSE),B1553),PlayerValues!E:E,0)),"N/A")</f>
        <v>15708</v>
      </c>
      <c r="B1553" s="4" t="s">
        <v>382</v>
      </c>
      <c r="C1553" s="4" t="s">
        <v>278</v>
      </c>
      <c r="D1553" s="94">
        <v>5285.0</v>
      </c>
    </row>
    <row r="1554">
      <c r="A1554" s="40">
        <f t="array" ref="A1554">IFNA(index(PlayerValues!A:A,match(IFNA(vlookup(B1554,'Special Names'!A:B,2,FALSE),B1554),PlayerValues!E:E,0)),"N/A")</f>
        <v>16181</v>
      </c>
      <c r="B1554" s="4" t="s">
        <v>350</v>
      </c>
      <c r="C1554" s="4" t="s">
        <v>278</v>
      </c>
      <c r="D1554" s="94">
        <v>5270.0</v>
      </c>
    </row>
    <row r="1555">
      <c r="A1555" s="40">
        <f t="array" ref="A1555">IFNA(index(PlayerValues!A:A,match(IFNA(vlookup(B1555,'Special Names'!A:B,2,FALSE),B1555),PlayerValues!E:E,0)),"N/A")</f>
        <v>17030</v>
      </c>
      <c r="B1555" s="4" t="s">
        <v>406</v>
      </c>
      <c r="C1555" s="4" t="s">
        <v>283</v>
      </c>
      <c r="D1555" s="94">
        <v>5266.0</v>
      </c>
    </row>
    <row r="1556">
      <c r="A1556" s="40">
        <f t="array" ref="A1556">IFNA(index(PlayerValues!A:A,match(IFNA(vlookup(B1556,'Special Names'!A:B,2,FALSE),B1556),PlayerValues!E:E,0)),"N/A")</f>
        <v>13130</v>
      </c>
      <c r="B1556" s="4" t="s">
        <v>374</v>
      </c>
      <c r="C1556" s="4" t="s">
        <v>278</v>
      </c>
      <c r="D1556" s="94">
        <v>5250.0</v>
      </c>
    </row>
    <row r="1557">
      <c r="A1557" s="40">
        <f t="array" ref="A1557">IFNA(index(PlayerValues!A:A,match(IFNA(vlookup(B1557,'Special Names'!A:B,2,FALSE),B1557),PlayerValues!E:E,0)),"N/A")</f>
        <v>16616</v>
      </c>
      <c r="B1557" s="4" t="s">
        <v>389</v>
      </c>
      <c r="C1557" s="4" t="s">
        <v>287</v>
      </c>
      <c r="D1557" s="94">
        <v>5247.0</v>
      </c>
    </row>
    <row r="1558">
      <c r="A1558" s="40" t="str">
        <f t="array" ref="A1558">IFNA(index(PlayerValues!A:A,match(IFNA(vlookup(B1558,'Special Names'!A:B,2,FALSE),B1558),PlayerValues!E:E,0)),"N/A")</f>
        <v>N/A</v>
      </c>
      <c r="B1558" s="4" t="s">
        <v>104</v>
      </c>
      <c r="C1558" s="4" t="s">
        <v>325</v>
      </c>
      <c r="D1558" s="94">
        <v>5185.0</v>
      </c>
    </row>
    <row r="1559">
      <c r="A1559" s="40">
        <f t="array" ref="A1559">IFNA(index(PlayerValues!A:A,match(IFNA(vlookup(B1559,'Special Names'!A:B,2,FALSE),B1559),PlayerValues!E:E,0)),"N/A")</f>
        <v>13604</v>
      </c>
      <c r="B1559" s="4" t="s">
        <v>378</v>
      </c>
      <c r="C1559" s="4" t="s">
        <v>278</v>
      </c>
      <c r="D1559" s="94">
        <v>5079.0</v>
      </c>
    </row>
    <row r="1560">
      <c r="A1560" s="40">
        <f t="array" ref="A1560">IFNA(index(PlayerValues!A:A,match(IFNA(vlookup(B1560,'Special Names'!A:B,2,FALSE),B1560),PlayerValues!E:E,0)),"N/A")</f>
        <v>14104</v>
      </c>
      <c r="B1560" s="4" t="s">
        <v>379</v>
      </c>
      <c r="C1560" s="4" t="s">
        <v>287</v>
      </c>
      <c r="D1560" s="94">
        <v>5032.0</v>
      </c>
    </row>
    <row r="1561">
      <c r="A1561" s="40">
        <f t="array" ref="A1561">IFNA(index(PlayerValues!A:A,match(IFNA(vlookup(B1561,'Special Names'!A:B,2,FALSE),B1561),PlayerValues!E:E,0)),"N/A")</f>
        <v>17499</v>
      </c>
      <c r="B1561" s="4" t="s">
        <v>402</v>
      </c>
      <c r="C1561" s="4" t="s">
        <v>287</v>
      </c>
      <c r="D1561" s="94">
        <v>5007.0</v>
      </c>
    </row>
    <row r="1562">
      <c r="A1562" s="40">
        <f t="array" ref="A1562">IFNA(index(PlayerValues!A:A,match(IFNA(vlookup(B1562,'Special Names'!A:B,2,FALSE),B1562),PlayerValues!E:E,0)),"N/A")</f>
        <v>16190</v>
      </c>
      <c r="B1562" s="4" t="s">
        <v>371</v>
      </c>
      <c r="C1562" s="4" t="s">
        <v>287</v>
      </c>
      <c r="D1562" s="94">
        <v>4985.0</v>
      </c>
    </row>
    <row r="1563">
      <c r="A1563" s="40">
        <f t="array" ref="A1563">IFNA(index(PlayerValues!A:A,match(IFNA(vlookup(B1563,'Special Names'!A:B,2,FALSE),B1563),PlayerValues!E:E,0)),"N/A")</f>
        <v>16194</v>
      </c>
      <c r="B1563" s="4" t="s">
        <v>398</v>
      </c>
      <c r="C1563" s="4" t="s">
        <v>287</v>
      </c>
      <c r="D1563" s="94">
        <v>4982.0</v>
      </c>
    </row>
    <row r="1564">
      <c r="A1564" s="40">
        <f t="array" ref="A1564">IFNA(index(PlayerValues!A:A,match(IFNA(vlookup(B1564,'Special Names'!A:B,2,FALSE),B1564),PlayerValues!E:E,0)),"N/A")</f>
        <v>14835</v>
      </c>
      <c r="B1564" s="4" t="s">
        <v>392</v>
      </c>
      <c r="C1564" s="4" t="s">
        <v>287</v>
      </c>
      <c r="D1564" s="94">
        <v>4969.0</v>
      </c>
    </row>
    <row r="1565">
      <c r="A1565" s="40">
        <f t="array" ref="A1565">IFNA(index(PlayerValues!A:A,match(IFNA(vlookup(B1565,'Special Names'!A:B,2,FALSE),B1565),PlayerValues!E:E,0)),"N/A")</f>
        <v>16222</v>
      </c>
      <c r="B1565" s="4" t="s">
        <v>393</v>
      </c>
      <c r="C1565" s="4" t="s">
        <v>298</v>
      </c>
      <c r="D1565" s="94">
        <v>5547.0</v>
      </c>
    </row>
    <row r="1566">
      <c r="A1566" s="40">
        <f t="array" ref="A1566">IFNA(index(PlayerValues!A:A,match(IFNA(vlookup(B1566,'Special Names'!A:B,2,FALSE),B1566),PlayerValues!E:E,0)),"N/A")</f>
        <v>15710</v>
      </c>
      <c r="B1566" s="4" t="s">
        <v>395</v>
      </c>
      <c r="C1566" s="4" t="s">
        <v>278</v>
      </c>
      <c r="D1566" s="94">
        <v>4958.0</v>
      </c>
    </row>
    <row r="1567">
      <c r="A1567" s="40">
        <f t="array" ref="A1567">IFNA(index(PlayerValues!A:A,match(IFNA(vlookup(B1567,'Special Names'!A:B,2,FALSE),B1567),PlayerValues!E:E,0)),"N/A")</f>
        <v>12620</v>
      </c>
      <c r="B1567" s="4" t="s">
        <v>394</v>
      </c>
      <c r="C1567" s="4" t="s">
        <v>283</v>
      </c>
      <c r="D1567" s="94">
        <v>4922.0</v>
      </c>
    </row>
    <row r="1568">
      <c r="A1568" s="40">
        <f t="array" ref="A1568">IFNA(index(PlayerValues!A:A,match(IFNA(vlookup(B1568,'Special Names'!A:B,2,FALSE),B1568),PlayerValues!E:E,0)),"N/A")</f>
        <v>15284</v>
      </c>
      <c r="B1568" s="4" t="s">
        <v>390</v>
      </c>
      <c r="C1568" s="4" t="s">
        <v>287</v>
      </c>
      <c r="D1568" s="94">
        <v>4896.0</v>
      </c>
    </row>
    <row r="1569">
      <c r="A1569" s="40">
        <f t="array" ref="A1569">IFNA(index(PlayerValues!A:A,match(IFNA(vlookup(B1569,'Special Names'!A:B,2,FALSE),B1569),PlayerValues!E:E,0)),"N/A")</f>
        <v>16614</v>
      </c>
      <c r="B1569" s="4" t="s">
        <v>403</v>
      </c>
      <c r="C1569" s="4" t="s">
        <v>287</v>
      </c>
      <c r="D1569" s="94">
        <v>4848.0</v>
      </c>
    </row>
    <row r="1570">
      <c r="A1570" s="40" t="str">
        <f t="array" ref="A1570">IFNA(index(PlayerValues!A:A,match(IFNA(vlookup(B1570,'Special Names'!A:B,2,FALSE),B1570),PlayerValues!E:E,0)),"N/A")</f>
        <v>N/A</v>
      </c>
      <c r="B1570" s="4" t="s">
        <v>94</v>
      </c>
      <c r="C1570" s="4" t="s">
        <v>325</v>
      </c>
      <c r="D1570" s="94">
        <v>4847.0</v>
      </c>
    </row>
    <row r="1571">
      <c r="A1571" s="40">
        <f t="array" ref="A1571">IFNA(index(PlayerValues!A:A,match(IFNA(vlookup(B1571,'Special Names'!A:B,2,FALSE),B1571),PlayerValues!E:E,0)),"N/A")</f>
        <v>17039</v>
      </c>
      <c r="B1571" s="4" t="s">
        <v>400</v>
      </c>
      <c r="C1571" s="4" t="s">
        <v>283</v>
      </c>
      <c r="D1571" s="94">
        <v>4837.0</v>
      </c>
    </row>
    <row r="1572">
      <c r="A1572" s="40">
        <f t="array" ref="A1572">IFNA(index(PlayerValues!A:A,match(IFNA(vlookup(B1572,'Special Names'!A:B,2,FALSE),B1572),PlayerValues!E:E,0)),"N/A")</f>
        <v>16618</v>
      </c>
      <c r="B1572" s="4" t="s">
        <v>411</v>
      </c>
      <c r="C1572" s="4" t="s">
        <v>287</v>
      </c>
      <c r="D1572" s="94">
        <v>4823.0</v>
      </c>
    </row>
    <row r="1573">
      <c r="A1573" s="40">
        <f t="array" ref="A1573">IFNA(index(PlayerValues!A:A,match(IFNA(vlookup(B1573,'Special Names'!A:B,2,FALSE),B1573),PlayerValues!E:E,0)),"N/A")</f>
        <v>17473</v>
      </c>
      <c r="B1573" s="4" t="s">
        <v>391</v>
      </c>
      <c r="C1573" s="4" t="s">
        <v>278</v>
      </c>
      <c r="D1573" s="94">
        <v>4791.0</v>
      </c>
    </row>
    <row r="1574">
      <c r="A1574" s="40">
        <f t="array" ref="A1574">IFNA(index(PlayerValues!A:A,match(IFNA(vlookup(B1574,'Special Names'!A:B,2,FALSE),B1574),PlayerValues!E:E,0)),"N/A")</f>
        <v>15756</v>
      </c>
      <c r="B1574" s="4" t="s">
        <v>399</v>
      </c>
      <c r="C1574" s="4" t="s">
        <v>287</v>
      </c>
      <c r="D1574" s="94">
        <v>4775.0</v>
      </c>
    </row>
    <row r="1575">
      <c r="A1575" s="40">
        <f t="array" ref="A1575">IFNA(index(PlayerValues!A:A,match(IFNA(vlookup(B1575,'Special Names'!A:B,2,FALSE),B1575),PlayerValues!E:E,0)),"N/A")</f>
        <v>17045</v>
      </c>
      <c r="B1575" s="4" t="s">
        <v>407</v>
      </c>
      <c r="C1575" s="4" t="s">
        <v>278</v>
      </c>
      <c r="D1575" s="94">
        <v>4771.0</v>
      </c>
    </row>
    <row r="1576">
      <c r="A1576" s="40">
        <f t="array" ref="A1576">IFNA(index(PlayerValues!A:A,match(IFNA(vlookup(B1576,'Special Names'!A:B,2,FALSE),B1576),PlayerValues!E:E,0)),"N/A")</f>
        <v>17103</v>
      </c>
      <c r="B1576" s="4" t="s">
        <v>405</v>
      </c>
      <c r="C1576" s="4" t="s">
        <v>298</v>
      </c>
      <c r="D1576" s="94">
        <v>5304.0</v>
      </c>
    </row>
    <row r="1577">
      <c r="A1577" s="40">
        <f t="array" ref="A1577">IFNA(index(PlayerValues!A:A,match(IFNA(vlookup(B1577,'Special Names'!A:B,2,FALSE),B1577),PlayerValues!E:E,0)),"N/A")</f>
        <v>16598</v>
      </c>
      <c r="B1577" s="4" t="s">
        <v>408</v>
      </c>
      <c r="C1577" s="4" t="s">
        <v>278</v>
      </c>
      <c r="D1577" s="94">
        <v>4695.0</v>
      </c>
    </row>
    <row r="1578">
      <c r="A1578" s="40">
        <f t="array" ref="A1578">IFNA(index(PlayerValues!A:A,match(IFNA(vlookup(B1578,'Special Names'!A:B,2,FALSE),B1578),PlayerValues!E:E,0)),"N/A")</f>
        <v>12611</v>
      </c>
      <c r="B1578" s="4" t="s">
        <v>410</v>
      </c>
      <c r="C1578" s="4" t="s">
        <v>283</v>
      </c>
      <c r="D1578" s="94">
        <v>4678.0</v>
      </c>
    </row>
    <row r="1579">
      <c r="A1579" s="40" t="str">
        <f t="array" ref="A1579">IFNA(index(PlayerValues!A:A,match(IFNA(vlookup(B1579,'Special Names'!A:B,2,FALSE),B1579),PlayerValues!E:E,0)),"N/A")</f>
        <v>N/A</v>
      </c>
      <c r="B1579" s="4" t="s">
        <v>80</v>
      </c>
      <c r="C1579" s="4" t="s">
        <v>325</v>
      </c>
      <c r="D1579" s="94">
        <v>4665.0</v>
      </c>
    </row>
    <row r="1580">
      <c r="A1580" s="40">
        <f t="array" ref="A1580">IFNA(index(PlayerValues!A:A,match(IFNA(vlookup(B1580,'Special Names'!A:B,2,FALSE),B1580),PlayerValues!E:E,0)),"N/A")</f>
        <v>13590</v>
      </c>
      <c r="B1580" s="4" t="s">
        <v>409</v>
      </c>
      <c r="C1580" s="4" t="s">
        <v>283</v>
      </c>
      <c r="D1580" s="94">
        <v>4648.0</v>
      </c>
    </row>
    <row r="1581">
      <c r="A1581" s="40">
        <f t="array" ref="A1581">IFNA(index(PlayerValues!A:A,match(IFNA(vlookup(B1581,'Special Names'!A:B,2,FALSE),B1581),PlayerValues!E:E,0)),"N/A")</f>
        <v>16150</v>
      </c>
      <c r="B1581" s="4" t="s">
        <v>414</v>
      </c>
      <c r="C1581" s="4" t="s">
        <v>283</v>
      </c>
      <c r="D1581" s="94">
        <v>4641.0</v>
      </c>
    </row>
    <row r="1582">
      <c r="A1582" s="40">
        <f t="array" ref="A1582">IFNA(index(PlayerValues!A:A,match(IFNA(vlookup(B1582,'Special Names'!A:B,2,FALSE),B1582),PlayerValues!E:E,0)),"N/A")</f>
        <v>16214</v>
      </c>
      <c r="B1582" s="4" t="s">
        <v>413</v>
      </c>
      <c r="C1582" s="4" t="s">
        <v>298</v>
      </c>
      <c r="D1582" s="94">
        <v>5170.0</v>
      </c>
    </row>
    <row r="1583">
      <c r="A1583" s="40">
        <f t="array" ref="A1583">IFNA(index(PlayerValues!A:A,match(IFNA(vlookup(B1583,'Special Names'!A:B,2,FALSE),B1583),PlayerValues!E:E,0)),"N/A")</f>
        <v>15256</v>
      </c>
      <c r="B1583" s="4" t="s">
        <v>401</v>
      </c>
      <c r="C1583" s="4" t="s">
        <v>278</v>
      </c>
      <c r="D1583" s="94">
        <v>4599.0</v>
      </c>
    </row>
    <row r="1584">
      <c r="A1584" s="40" t="str">
        <f t="array" ref="A1584">IFNA(index(PlayerValues!A:A,match(IFNA(vlookup(B1584,'Special Names'!A:B,2,FALSE),B1584),PlayerValues!E:E,0)),"N/A")</f>
        <v>N/A</v>
      </c>
      <c r="B1584" s="4" t="s">
        <v>105</v>
      </c>
      <c r="C1584" s="4" t="s">
        <v>325</v>
      </c>
      <c r="D1584" s="94">
        <v>4572.0</v>
      </c>
    </row>
    <row r="1585">
      <c r="A1585" s="40">
        <f t="array" ref="A1585">IFNA(index(PlayerValues!A:A,match(IFNA(vlookup(B1585,'Special Names'!A:B,2,FALSE),B1585),PlayerValues!E:E,0)),"N/A")</f>
        <v>15329</v>
      </c>
      <c r="B1585" s="4" t="s">
        <v>416</v>
      </c>
      <c r="C1585" s="4" t="s">
        <v>298</v>
      </c>
      <c r="D1585" s="94">
        <v>4976.0</v>
      </c>
    </row>
    <row r="1586">
      <c r="A1586" s="40">
        <f t="array" ref="A1586">IFNA(index(PlayerValues!A:A,match(IFNA(vlookup(B1586,'Special Names'!A:B,2,FALSE),B1586),PlayerValues!E:E,0)),"N/A")</f>
        <v>13592</v>
      </c>
      <c r="B1586" s="4" t="s">
        <v>418</v>
      </c>
      <c r="C1586" s="4" t="s">
        <v>283</v>
      </c>
      <c r="D1586" s="94">
        <v>4394.0</v>
      </c>
    </row>
    <row r="1587">
      <c r="A1587" s="40">
        <f t="array" ref="A1587">IFNA(index(PlayerValues!A:A,match(IFNA(vlookup(B1587,'Special Names'!A:B,2,FALSE),B1587),PlayerValues!E:E,0)),"N/A")</f>
        <v>15253</v>
      </c>
      <c r="B1587" s="4" t="s">
        <v>415</v>
      </c>
      <c r="C1587" s="4" t="s">
        <v>278</v>
      </c>
      <c r="D1587" s="94">
        <v>4373.0</v>
      </c>
    </row>
    <row r="1588">
      <c r="A1588" s="40">
        <f t="array" ref="A1588">IFNA(index(PlayerValues!A:A,match(IFNA(vlookup(B1588,'Special Names'!A:B,2,FALSE),B1588),PlayerValues!E:E,0)),"N/A")</f>
        <v>17501</v>
      </c>
      <c r="B1588" s="4" t="s">
        <v>404</v>
      </c>
      <c r="C1588" s="4" t="s">
        <v>287</v>
      </c>
      <c r="D1588" s="94">
        <v>4348.0</v>
      </c>
    </row>
    <row r="1589">
      <c r="A1589" s="40">
        <f t="array" ref="A1589">IFNA(index(PlayerValues!A:A,match(IFNA(vlookup(B1589,'Special Names'!A:B,2,FALSE),B1589),PlayerValues!E:E,0)),"N/A")</f>
        <v>12626</v>
      </c>
      <c r="B1589" s="4" t="s">
        <v>419</v>
      </c>
      <c r="C1589" s="4" t="s">
        <v>278</v>
      </c>
      <c r="D1589" s="94">
        <v>4205.0</v>
      </c>
    </row>
    <row r="1590">
      <c r="A1590" s="40">
        <f t="array" ref="A1590">IFNA(index(PlayerValues!A:A,match(IFNA(vlookup(B1590,'Special Names'!A:B,2,FALSE),B1590),PlayerValues!E:E,0)),"N/A")</f>
        <v>17052</v>
      </c>
      <c r="B1590" s="4" t="s">
        <v>417</v>
      </c>
      <c r="C1590" s="4" t="s">
        <v>278</v>
      </c>
      <c r="D1590" s="94">
        <v>4198.0</v>
      </c>
    </row>
    <row r="1591">
      <c r="A1591" s="40">
        <f t="array" ref="A1591">IFNA(index(PlayerValues!A:A,match(IFNA(vlookup(B1591,'Special Names'!A:B,2,FALSE),B1591),PlayerValues!E:E,0)),"N/A")</f>
        <v>14073</v>
      </c>
      <c r="B1591" s="4" t="s">
        <v>464</v>
      </c>
      <c r="C1591" s="4" t="s">
        <v>278</v>
      </c>
      <c r="D1591" s="94">
        <v>4090.0</v>
      </c>
    </row>
    <row r="1592">
      <c r="A1592" s="40">
        <f t="array" ref="A1592">IFNA(index(PlayerValues!A:A,match(IFNA(vlookup(B1592,'Special Names'!A:B,2,FALSE),B1592),PlayerValues!E:E,0)),"N/A")</f>
        <v>17543</v>
      </c>
      <c r="B1592" s="4" t="s">
        <v>436</v>
      </c>
      <c r="C1592" s="4" t="s">
        <v>298</v>
      </c>
      <c r="D1592" s="94">
        <v>4522.0</v>
      </c>
    </row>
    <row r="1593">
      <c r="A1593" s="40">
        <f t="array" ref="A1593">IFNA(index(PlayerValues!A:A,match(IFNA(vlookup(B1593,'Special Names'!A:B,2,FALSE),B1593),PlayerValues!E:E,0)),"N/A")</f>
        <v>14056</v>
      </c>
      <c r="B1593" s="4" t="s">
        <v>423</v>
      </c>
      <c r="C1593" s="4" t="s">
        <v>283</v>
      </c>
      <c r="D1593" s="94">
        <v>3987.0</v>
      </c>
    </row>
    <row r="1594">
      <c r="A1594" s="40" t="str">
        <f t="array" ref="A1594">IFNA(index(PlayerValues!A:A,match(IFNA(vlookup(B1594,'Special Names'!A:B,2,FALSE),B1594),PlayerValues!E:E,0)),"N/A")</f>
        <v>N/A</v>
      </c>
      <c r="B1594" s="4" t="s">
        <v>81</v>
      </c>
      <c r="C1594" s="4" t="s">
        <v>325</v>
      </c>
      <c r="D1594" s="94">
        <v>3962.0</v>
      </c>
    </row>
    <row r="1595">
      <c r="A1595" s="40">
        <f t="array" ref="A1595">IFNA(index(PlayerValues!A:A,match(IFNA(vlookup(B1595,'Special Names'!A:B,2,FALSE),B1595),PlayerValues!E:E,0)),"N/A")</f>
        <v>15789</v>
      </c>
      <c r="B1595" s="4" t="s">
        <v>421</v>
      </c>
      <c r="C1595" s="4" t="s">
        <v>287</v>
      </c>
      <c r="D1595" s="94">
        <v>3950.0</v>
      </c>
    </row>
    <row r="1596">
      <c r="A1596" s="40">
        <f t="array" ref="A1596">IFNA(index(PlayerValues!A:A,match(IFNA(vlookup(B1596,'Special Names'!A:B,2,FALSE),B1596),PlayerValues!E:E,0)),"N/A")</f>
        <v>16148</v>
      </c>
      <c r="B1596" s="4" t="s">
        <v>426</v>
      </c>
      <c r="C1596" s="4" t="s">
        <v>283</v>
      </c>
      <c r="D1596" s="94">
        <v>3939.0</v>
      </c>
    </row>
    <row r="1597">
      <c r="A1597" s="40" t="str">
        <f t="array" ref="A1597">IFNA(index(PlayerValues!A:A,match(IFNA(vlookup(B1597,'Special Names'!A:B,2,FALSE),B1597),PlayerValues!E:E,0)),"N/A")</f>
        <v>N/A</v>
      </c>
      <c r="B1597" s="4" t="s">
        <v>107</v>
      </c>
      <c r="C1597" s="4" t="s">
        <v>325</v>
      </c>
      <c r="D1597" s="94">
        <v>3933.0</v>
      </c>
    </row>
    <row r="1598">
      <c r="A1598" s="40">
        <f t="array" ref="A1598">IFNA(index(PlayerValues!A:A,match(IFNA(vlookup(B1598,'Special Names'!A:B,2,FALSE),B1598),PlayerValues!E:E,0)),"N/A")</f>
        <v>15768</v>
      </c>
      <c r="B1598" s="4" t="s">
        <v>432</v>
      </c>
      <c r="C1598" s="4" t="s">
        <v>287</v>
      </c>
      <c r="D1598" s="94">
        <v>3926.0</v>
      </c>
    </row>
    <row r="1599">
      <c r="A1599" s="40">
        <f t="array" ref="A1599">IFNA(index(PlayerValues!A:A,match(IFNA(vlookup(B1599,'Special Names'!A:B,2,FALSE),B1599),PlayerValues!E:E,0)),"N/A")</f>
        <v>16186</v>
      </c>
      <c r="B1599" s="4" t="s">
        <v>425</v>
      </c>
      <c r="C1599" s="4" t="s">
        <v>287</v>
      </c>
      <c r="D1599" s="94">
        <v>3921.0</v>
      </c>
    </row>
    <row r="1600">
      <c r="A1600" s="40">
        <f t="array" ref="A1600">IFNA(index(PlayerValues!A:A,match(IFNA(vlookup(B1600,'Special Names'!A:B,2,FALSE),B1600),PlayerValues!E:E,0)),"N/A")</f>
        <v>14059</v>
      </c>
      <c r="B1600" s="4" t="s">
        <v>435</v>
      </c>
      <c r="C1600" s="4" t="s">
        <v>283</v>
      </c>
      <c r="D1600" s="94">
        <v>3919.0</v>
      </c>
    </row>
    <row r="1601">
      <c r="A1601" s="40">
        <f t="array" ref="A1601">IFNA(index(PlayerValues!A:A,match(IFNA(vlookup(B1601,'Special Names'!A:B,2,FALSE),B1601),PlayerValues!E:E,0)),"N/A")</f>
        <v>9431</v>
      </c>
      <c r="B1601" s="4" t="s">
        <v>428</v>
      </c>
      <c r="C1601" s="4" t="s">
        <v>283</v>
      </c>
      <c r="D1601" s="94">
        <v>3878.0</v>
      </c>
    </row>
    <row r="1602">
      <c r="A1602" s="40" t="str">
        <f t="array" ref="A1602">IFNA(index(PlayerValues!A:A,match(IFNA(vlookup(B1602,'Special Names'!A:B,2,FALSE),B1602),PlayerValues!E:E,0)),"N/A")</f>
        <v>N/A</v>
      </c>
      <c r="B1602" s="4" t="s">
        <v>95</v>
      </c>
      <c r="C1602" s="4" t="s">
        <v>325</v>
      </c>
      <c r="D1602" s="94">
        <v>3830.0</v>
      </c>
    </row>
    <row r="1603">
      <c r="A1603" s="40">
        <f t="array" ref="A1603">IFNA(index(PlayerValues!A:A,match(IFNA(vlookup(B1603,'Special Names'!A:B,2,FALSE),B1603),PlayerValues!E:E,0)),"N/A")</f>
        <v>15694</v>
      </c>
      <c r="B1603" s="4" t="s">
        <v>434</v>
      </c>
      <c r="C1603" s="4" t="s">
        <v>283</v>
      </c>
      <c r="D1603" s="94">
        <v>3791.0</v>
      </c>
    </row>
    <row r="1604">
      <c r="A1604" s="40">
        <f t="array" ref="A1604">IFNA(index(PlayerValues!A:A,match(IFNA(vlookup(B1604,'Special Names'!A:B,2,FALSE),B1604),PlayerValues!E:E,0)),"N/A")</f>
        <v>16206</v>
      </c>
      <c r="B1604" s="4" t="s">
        <v>431</v>
      </c>
      <c r="C1604" s="4" t="s">
        <v>287</v>
      </c>
      <c r="D1604" s="94">
        <v>3731.0</v>
      </c>
    </row>
    <row r="1605">
      <c r="A1605" s="40">
        <f t="array" ref="A1605">IFNA(index(PlayerValues!A:A,match(IFNA(vlookup(B1605,'Special Names'!A:B,2,FALSE),B1605),PlayerValues!E:E,0)),"N/A")</f>
        <v>14797</v>
      </c>
      <c r="B1605" s="4" t="s">
        <v>420</v>
      </c>
      <c r="C1605" s="4" t="s">
        <v>278</v>
      </c>
      <c r="D1605" s="94">
        <v>3729.0</v>
      </c>
    </row>
    <row r="1606">
      <c r="A1606" s="40">
        <f t="array" ref="A1606">IFNA(index(PlayerValues!A:A,match(IFNA(vlookup(B1606,'Special Names'!A:B,2,FALSE),B1606),PlayerValues!E:E,0)),"N/A")</f>
        <v>16192</v>
      </c>
      <c r="B1606" s="4" t="s">
        <v>412</v>
      </c>
      <c r="C1606" s="4" t="s">
        <v>287</v>
      </c>
      <c r="D1606" s="94">
        <v>3677.0</v>
      </c>
    </row>
    <row r="1607">
      <c r="A1607" s="40">
        <f t="array" ref="A1607">IFNA(index(PlayerValues!A:A,match(IFNA(vlookup(B1607,'Special Names'!A:B,2,FALSE),B1607),PlayerValues!E:E,0)),"N/A")</f>
        <v>16187</v>
      </c>
      <c r="B1607" s="4" t="s">
        <v>441</v>
      </c>
      <c r="C1607" s="4" t="s">
        <v>287</v>
      </c>
      <c r="D1607" s="94">
        <v>3591.0</v>
      </c>
    </row>
    <row r="1608">
      <c r="A1608" s="40">
        <f t="array" ref="A1608">IFNA(index(PlayerValues!A:A,match(IFNA(vlookup(B1608,'Special Names'!A:B,2,FALSE),B1608),PlayerValues!E:E,0)),"N/A")</f>
        <v>16188</v>
      </c>
      <c r="B1608" s="4" t="s">
        <v>439</v>
      </c>
      <c r="C1608" s="4" t="s">
        <v>287</v>
      </c>
      <c r="D1608" s="94">
        <v>3543.0</v>
      </c>
    </row>
    <row r="1609">
      <c r="A1609" s="40">
        <f t="array" ref="A1609">IFNA(index(PlayerValues!A:A,match(IFNA(vlookup(B1609,'Special Names'!A:B,2,FALSE),B1609),PlayerValues!E:E,0)),"N/A")</f>
        <v>13635</v>
      </c>
      <c r="B1609" s="4" t="s">
        <v>424</v>
      </c>
      <c r="C1609" s="4" t="s">
        <v>287</v>
      </c>
      <c r="D1609" s="94">
        <v>3530.0</v>
      </c>
    </row>
    <row r="1610">
      <c r="A1610" s="40">
        <f t="array" ref="A1610">IFNA(index(PlayerValues!A:A,match(IFNA(vlookup(B1610,'Special Names'!A:B,2,FALSE),B1610),PlayerValues!E:E,0)),"N/A")</f>
        <v>17075</v>
      </c>
      <c r="B1610" s="4" t="s">
        <v>429</v>
      </c>
      <c r="C1610" s="4" t="s">
        <v>287</v>
      </c>
      <c r="D1610" s="94">
        <v>3529.0</v>
      </c>
    </row>
    <row r="1611">
      <c r="A1611" s="40">
        <f t="array" ref="A1611">IFNA(index(PlayerValues!A:A,match(IFNA(vlookup(B1611,'Special Names'!A:B,2,FALSE),B1611),PlayerValues!E:E,0)),"N/A")</f>
        <v>17502</v>
      </c>
      <c r="B1611" s="4" t="s">
        <v>451</v>
      </c>
      <c r="C1611" s="4" t="s">
        <v>287</v>
      </c>
      <c r="D1611" s="94">
        <v>3524.0</v>
      </c>
    </row>
    <row r="1612">
      <c r="A1612" s="40">
        <f t="array" ref="A1612">IFNA(index(PlayerValues!A:A,match(IFNA(vlookup(B1612,'Special Names'!A:B,2,FALSE),B1612),PlayerValues!E:E,0)),"N/A")</f>
        <v>16597</v>
      </c>
      <c r="B1612" s="4" t="s">
        <v>427</v>
      </c>
      <c r="C1612" s="4" t="s">
        <v>278</v>
      </c>
      <c r="D1612" s="94">
        <v>3521.0</v>
      </c>
    </row>
    <row r="1613">
      <c r="A1613" s="40">
        <f t="array" ref="A1613">IFNA(index(PlayerValues!A:A,match(IFNA(vlookup(B1613,'Special Names'!A:B,2,FALSE),B1613),PlayerValues!E:E,0)),"N/A")</f>
        <v>17066</v>
      </c>
      <c r="B1613" s="4" t="s">
        <v>446</v>
      </c>
      <c r="C1613" s="4" t="s">
        <v>278</v>
      </c>
      <c r="D1613" s="94">
        <v>3512.0</v>
      </c>
    </row>
    <row r="1614">
      <c r="A1614" s="40">
        <f t="array" ref="A1614">IFNA(index(PlayerValues!A:A,match(IFNA(vlookup(B1614,'Special Names'!A:B,2,FALSE),B1614),PlayerValues!E:E,0)),"N/A")</f>
        <v>14109</v>
      </c>
      <c r="B1614" s="4" t="s">
        <v>437</v>
      </c>
      <c r="C1614" s="4" t="s">
        <v>287</v>
      </c>
      <c r="D1614" s="94">
        <v>3503.0</v>
      </c>
    </row>
    <row r="1615">
      <c r="A1615" s="40">
        <f t="array" ref="A1615">IFNA(index(PlayerValues!A:A,match(IFNA(vlookup(B1615,'Special Names'!A:B,2,FALSE),B1615),PlayerValues!E:E,0)),"N/A")</f>
        <v>17099</v>
      </c>
      <c r="B1615" s="4" t="s">
        <v>474</v>
      </c>
      <c r="C1615" s="4" t="s">
        <v>298</v>
      </c>
      <c r="D1615" s="94">
        <v>3939.0</v>
      </c>
    </row>
    <row r="1616">
      <c r="A1616" s="40">
        <f t="array" ref="A1616">IFNA(index(PlayerValues!A:A,match(IFNA(vlookup(B1616,'Special Names'!A:B,2,FALSE),B1616),PlayerValues!E:E,0)),"N/A")</f>
        <v>17463</v>
      </c>
      <c r="B1616" s="4" t="s">
        <v>433</v>
      </c>
      <c r="C1616" s="4" t="s">
        <v>283</v>
      </c>
      <c r="D1616" s="94">
        <v>3483.0</v>
      </c>
    </row>
    <row r="1617">
      <c r="A1617" s="40">
        <f t="array" ref="A1617">IFNA(index(PlayerValues!A:A,match(IFNA(vlookup(B1617,'Special Names'!A:B,2,FALSE),B1617),PlayerValues!E:E,0)),"N/A")</f>
        <v>14071</v>
      </c>
      <c r="B1617" s="4" t="s">
        <v>440</v>
      </c>
      <c r="C1617" s="4" t="s">
        <v>278</v>
      </c>
      <c r="D1617" s="94">
        <v>3465.0</v>
      </c>
    </row>
    <row r="1618">
      <c r="A1618" s="40">
        <f t="array" ref="A1618">IFNA(index(PlayerValues!A:A,match(IFNA(vlookup(B1618,'Special Names'!A:B,2,FALSE),B1618),PlayerValues!E:E,0)),"N/A")</f>
        <v>11675</v>
      </c>
      <c r="B1618" s="4" t="s">
        <v>438</v>
      </c>
      <c r="C1618" s="4" t="s">
        <v>287</v>
      </c>
      <c r="D1618" s="94">
        <v>3451.0</v>
      </c>
    </row>
    <row r="1619">
      <c r="A1619" s="40">
        <f t="array" ref="A1619">IFNA(index(PlayerValues!A:A,match(IFNA(vlookup(B1619,'Special Names'!A:B,2,FALSE),B1619),PlayerValues!E:E,0)),"N/A")</f>
        <v>16593</v>
      </c>
      <c r="B1619" s="4" t="s">
        <v>442</v>
      </c>
      <c r="C1619" s="4" t="s">
        <v>278</v>
      </c>
      <c r="D1619" s="94">
        <v>3441.0</v>
      </c>
    </row>
    <row r="1620">
      <c r="A1620" s="40">
        <f t="array" ref="A1620">IFNA(index(PlayerValues!A:A,match(IFNA(vlookup(B1620,'Special Names'!A:B,2,FALSE),B1620),PlayerValues!E:E,0)),"N/A")</f>
        <v>14102</v>
      </c>
      <c r="B1620" s="4" t="s">
        <v>444</v>
      </c>
      <c r="C1620" s="4" t="s">
        <v>287</v>
      </c>
      <c r="D1620" s="94">
        <v>3436.0</v>
      </c>
    </row>
    <row r="1621">
      <c r="A1621" s="40">
        <f t="array" ref="A1621">IFNA(index(PlayerValues!A:A,match(IFNA(vlookup(B1621,'Special Names'!A:B,2,FALSE),B1621),PlayerValues!E:E,0)),"N/A")</f>
        <v>17544</v>
      </c>
      <c r="B1621" s="4" t="s">
        <v>470</v>
      </c>
      <c r="C1621" s="4" t="s">
        <v>298</v>
      </c>
      <c r="D1621" s="94">
        <v>3864.0</v>
      </c>
    </row>
    <row r="1622">
      <c r="A1622" s="40">
        <f t="array" ref="A1622">IFNA(index(PlayerValues!A:A,match(IFNA(vlookup(B1622,'Special Names'!A:B,2,FALSE),B1622),PlayerValues!E:E,0)),"N/A")</f>
        <v>15757</v>
      </c>
      <c r="B1622" s="4" t="s">
        <v>449</v>
      </c>
      <c r="C1622" s="4" t="s">
        <v>287</v>
      </c>
      <c r="D1622" s="94">
        <v>3399.0</v>
      </c>
    </row>
    <row r="1623">
      <c r="A1623" s="40">
        <f t="array" ref="A1623">IFNA(index(PlayerValues!A:A,match(IFNA(vlookup(B1623,'Special Names'!A:B,2,FALSE),B1623),PlayerValues!E:E,0)),"N/A")</f>
        <v>15798</v>
      </c>
      <c r="B1623" s="4" t="s">
        <v>443</v>
      </c>
      <c r="C1623" s="4" t="s">
        <v>298</v>
      </c>
      <c r="D1623" s="94">
        <v>3845.0</v>
      </c>
    </row>
    <row r="1624">
      <c r="A1624" s="40">
        <f t="array" ref="A1624">IFNA(index(PlayerValues!A:A,match(IFNA(vlookup(B1624,'Special Names'!A:B,2,FALSE),B1624),PlayerValues!E:E,0)),"N/A")</f>
        <v>17068</v>
      </c>
      <c r="B1624" s="4" t="s">
        <v>450</v>
      </c>
      <c r="C1624" s="4" t="s">
        <v>278</v>
      </c>
      <c r="D1624" s="94">
        <v>3392.0</v>
      </c>
    </row>
    <row r="1625">
      <c r="A1625" s="40">
        <f t="array" ref="A1625">IFNA(index(PlayerValues!A:A,match(IFNA(vlookup(B1625,'Special Names'!A:B,2,FALSE),B1625),PlayerValues!E:E,0)),"N/A")</f>
        <v>16622</v>
      </c>
      <c r="B1625" s="4" t="s">
        <v>517</v>
      </c>
      <c r="C1625" s="4" t="s">
        <v>287</v>
      </c>
      <c r="D1625" s="94">
        <v>3385.0</v>
      </c>
    </row>
    <row r="1626">
      <c r="A1626" s="40" t="str">
        <f t="array" ref="A1626">IFNA(index(PlayerValues!A:A,match(IFNA(vlookup(B1626,'Special Names'!A:B,2,FALSE),B1626),PlayerValues!E:E,0)),"N/A")</f>
        <v>N/A</v>
      </c>
      <c r="B1626" s="4" t="s">
        <v>96</v>
      </c>
      <c r="C1626" s="4" t="s">
        <v>325</v>
      </c>
      <c r="D1626" s="94">
        <v>3384.0</v>
      </c>
    </row>
    <row r="1627">
      <c r="A1627" s="40">
        <f t="array" ref="A1627">IFNA(index(PlayerValues!A:A,match(IFNA(vlookup(B1627,'Special Names'!A:B,2,FALSE),B1627),PlayerValues!E:E,0)),"N/A")</f>
        <v>14842</v>
      </c>
      <c r="B1627" s="4" t="s">
        <v>456</v>
      </c>
      <c r="C1627" s="4" t="s">
        <v>287</v>
      </c>
      <c r="D1627" s="94">
        <v>3379.0</v>
      </c>
    </row>
    <row r="1628">
      <c r="A1628" s="40">
        <f t="array" ref="A1628">IFNA(index(PlayerValues!A:A,match(IFNA(vlookup(B1628,'Special Names'!A:B,2,FALSE),B1628),PlayerValues!E:E,0)),"N/A")</f>
        <v>16169</v>
      </c>
      <c r="B1628" s="4" t="s">
        <v>457</v>
      </c>
      <c r="C1628" s="4" t="s">
        <v>278</v>
      </c>
      <c r="D1628" s="94">
        <v>3371.0</v>
      </c>
    </row>
    <row r="1629">
      <c r="A1629" s="40">
        <f t="array" ref="A1629">IFNA(index(PlayerValues!A:A,match(IFNA(vlookup(B1629,'Special Names'!A:B,2,FALSE),B1629),PlayerValues!E:E,0)),"N/A")</f>
        <v>13299</v>
      </c>
      <c r="B1629" s="4" t="s">
        <v>448</v>
      </c>
      <c r="C1629" s="4" t="s">
        <v>298</v>
      </c>
      <c r="D1629" s="94">
        <v>3822.0</v>
      </c>
    </row>
    <row r="1630">
      <c r="A1630" s="40">
        <f t="array" ref="A1630">IFNA(index(PlayerValues!A:A,match(IFNA(vlookup(B1630,'Special Names'!A:B,2,FALSE),B1630),PlayerValues!E:E,0)),"N/A")</f>
        <v>17074</v>
      </c>
      <c r="B1630" s="4" t="s">
        <v>475</v>
      </c>
      <c r="C1630" s="4" t="s">
        <v>287</v>
      </c>
      <c r="D1630" s="94">
        <v>3369.0</v>
      </c>
    </row>
    <row r="1631">
      <c r="A1631" s="40">
        <f t="array" ref="A1631">IFNA(index(PlayerValues!A:A,match(IFNA(vlookup(B1631,'Special Names'!A:B,2,FALSE),B1631),PlayerValues!E:E,0)),"N/A")</f>
        <v>16184</v>
      </c>
      <c r="B1631" s="4" t="s">
        <v>445</v>
      </c>
      <c r="C1631" s="4" t="s">
        <v>287</v>
      </c>
      <c r="D1631" s="94">
        <v>3365.0</v>
      </c>
    </row>
    <row r="1632">
      <c r="A1632" s="40">
        <f t="array" ref="A1632">IFNA(index(PlayerValues!A:A,match(IFNA(vlookup(B1632,'Special Names'!A:B,2,FALSE),B1632),PlayerValues!E:E,0)),"N/A")</f>
        <v>17083</v>
      </c>
      <c r="B1632" s="4" t="s">
        <v>479</v>
      </c>
      <c r="C1632" s="4" t="s">
        <v>287</v>
      </c>
      <c r="D1632" s="94">
        <v>3365.0</v>
      </c>
    </row>
    <row r="1633">
      <c r="A1633" s="40">
        <f t="array" ref="A1633">IFNA(index(PlayerValues!A:A,match(IFNA(vlookup(B1633,'Special Names'!A:B,2,FALSE),B1633),PlayerValues!E:E,0)),"N/A")</f>
        <v>17500</v>
      </c>
      <c r="B1633" s="4" t="s">
        <v>430</v>
      </c>
      <c r="C1633" s="4" t="s">
        <v>287</v>
      </c>
      <c r="D1633" s="94">
        <v>3357.0</v>
      </c>
    </row>
    <row r="1634">
      <c r="A1634" s="40">
        <f t="array" ref="A1634">IFNA(index(PlayerValues!A:A,match(IFNA(vlookup(B1634,'Special Names'!A:B,2,FALSE),B1634),PlayerValues!E:E,0)),"N/A")</f>
        <v>11671</v>
      </c>
      <c r="B1634" s="4" t="s">
        <v>463</v>
      </c>
      <c r="C1634" s="4" t="s">
        <v>287</v>
      </c>
      <c r="D1634" s="94">
        <v>3322.0</v>
      </c>
    </row>
    <row r="1635">
      <c r="A1635" s="40">
        <f t="array" ref="A1635">IFNA(index(PlayerValues!A:A,match(IFNA(vlookup(B1635,'Special Names'!A:B,2,FALSE),B1635),PlayerValues!E:E,0)),"N/A")</f>
        <v>15742</v>
      </c>
      <c r="B1635" s="4" t="s">
        <v>447</v>
      </c>
      <c r="C1635" s="4" t="s">
        <v>278</v>
      </c>
      <c r="D1635" s="94">
        <v>3320.0</v>
      </c>
    </row>
    <row r="1636">
      <c r="A1636" s="40">
        <f t="array" ref="A1636">IFNA(index(PlayerValues!A:A,match(IFNA(vlookup(B1636,'Special Names'!A:B,2,FALSE),B1636),PlayerValues!E:E,0)),"N/A")</f>
        <v>16620</v>
      </c>
      <c r="B1636" s="4" t="s">
        <v>467</v>
      </c>
      <c r="C1636" s="4" t="s">
        <v>287</v>
      </c>
      <c r="D1636" s="94">
        <v>3312.0</v>
      </c>
    </row>
    <row r="1637">
      <c r="A1637" s="40" t="str">
        <f t="array" ref="A1637">IFNA(index(PlayerValues!A:A,match(IFNA(vlookup(B1637,'Special Names'!A:B,2,FALSE),B1637),PlayerValues!E:E,0)),"N/A")</f>
        <v>N/A</v>
      </c>
      <c r="B1637" s="4" t="s">
        <v>82</v>
      </c>
      <c r="C1637" s="4" t="s">
        <v>325</v>
      </c>
      <c r="D1637" s="94">
        <v>3310.0</v>
      </c>
    </row>
    <row r="1638">
      <c r="A1638" s="40">
        <f t="array" ref="A1638">IFNA(index(PlayerValues!A:A,match(IFNA(vlookup(B1638,'Special Names'!A:B,2,FALSE),B1638),PlayerValues!E:E,0)),"N/A")</f>
        <v>16213</v>
      </c>
      <c r="B1638" s="4" t="s">
        <v>458</v>
      </c>
      <c r="C1638" s="4" t="s">
        <v>298</v>
      </c>
      <c r="D1638" s="94">
        <v>3636.0</v>
      </c>
    </row>
    <row r="1639">
      <c r="A1639" s="40">
        <f t="array" ref="A1639">IFNA(index(PlayerValues!A:A,match(IFNA(vlookup(B1639,'Special Names'!A:B,2,FALSE),B1639),PlayerValues!E:E,0)),"N/A")</f>
        <v>15799</v>
      </c>
      <c r="B1639" s="4" t="s">
        <v>468</v>
      </c>
      <c r="C1639" s="4" t="s">
        <v>298</v>
      </c>
      <c r="D1639" s="94">
        <v>3627.0</v>
      </c>
    </row>
    <row r="1640">
      <c r="A1640" s="40">
        <f t="array" ref="A1640">IFNA(index(PlayerValues!A:A,match(IFNA(vlookup(B1640,'Special Names'!A:B,2,FALSE),B1640),PlayerValues!E:E,0)),"N/A")</f>
        <v>17477</v>
      </c>
      <c r="B1640" s="4" t="s">
        <v>452</v>
      </c>
      <c r="C1640" s="4" t="s">
        <v>278</v>
      </c>
      <c r="D1640" s="94">
        <v>3186.0</v>
      </c>
    </row>
    <row r="1641">
      <c r="A1641" s="40" t="str">
        <f t="array" ref="A1641">IFNA(index(PlayerValues!A:A,match(IFNA(vlookup(B1641,'Special Names'!A:B,2,FALSE),B1641),PlayerValues!E:E,0)),"N/A")</f>
        <v>N/A</v>
      </c>
      <c r="B1641" s="4" t="s">
        <v>108</v>
      </c>
      <c r="C1641" s="4" t="s">
        <v>325</v>
      </c>
      <c r="D1641" s="94">
        <v>3181.0</v>
      </c>
    </row>
    <row r="1642">
      <c r="A1642" s="40">
        <f t="array" ref="A1642">IFNA(index(PlayerValues!A:A,match(IFNA(vlookup(B1642,'Special Names'!A:B,2,FALSE),B1642),PlayerValues!E:E,0)),"N/A")</f>
        <v>15261</v>
      </c>
      <c r="B1642" s="4" t="s">
        <v>466</v>
      </c>
      <c r="C1642" s="4" t="s">
        <v>278</v>
      </c>
      <c r="D1642" s="94">
        <v>3176.0</v>
      </c>
    </row>
    <row r="1643">
      <c r="A1643" s="40">
        <f t="array" ref="A1643">IFNA(index(PlayerValues!A:A,match(IFNA(vlookup(B1643,'Special Names'!A:B,2,FALSE),B1643),PlayerValues!E:E,0)),"N/A")</f>
        <v>16809</v>
      </c>
      <c r="B1643" s="4" t="s">
        <v>455</v>
      </c>
      <c r="C1643" s="4" t="s">
        <v>287</v>
      </c>
      <c r="D1643" s="94">
        <v>3158.0</v>
      </c>
    </row>
    <row r="1644">
      <c r="A1644" s="40" t="str">
        <f t="array" ref="A1644">IFNA(index(PlayerValues!A:A,match(IFNA(vlookup(B1644,'Special Names'!A:B,2,FALSE),B1644),PlayerValues!E:E,0)),"N/A")</f>
        <v>N/A</v>
      </c>
      <c r="B1644" s="4" t="s">
        <v>97</v>
      </c>
      <c r="C1644" s="4" t="s">
        <v>325</v>
      </c>
      <c r="D1644" s="94">
        <v>3132.0</v>
      </c>
    </row>
    <row r="1645">
      <c r="A1645" s="40">
        <f t="array" ref="A1645">IFNA(index(PlayerValues!A:A,match(IFNA(vlookup(B1645,'Special Names'!A:B,2,FALSE),B1645),PlayerValues!E:E,0)),"N/A")</f>
        <v>16269</v>
      </c>
      <c r="B1645" s="4" t="s">
        <v>481</v>
      </c>
      <c r="C1645" s="4" t="s">
        <v>298</v>
      </c>
      <c r="D1645" s="94">
        <v>3536.0</v>
      </c>
    </row>
    <row r="1646">
      <c r="A1646" s="40">
        <f t="array" ref="A1646">IFNA(index(PlayerValues!A:A,match(IFNA(vlookup(B1646,'Special Names'!A:B,2,FALSE),B1646),PlayerValues!E:E,0)),"N/A")</f>
        <v>14823</v>
      </c>
      <c r="B1646" s="4" t="s">
        <v>459</v>
      </c>
      <c r="C1646" s="4" t="s">
        <v>278</v>
      </c>
      <c r="D1646" s="94">
        <v>3090.0</v>
      </c>
    </row>
    <row r="1647">
      <c r="A1647" s="40">
        <f t="array" ref="A1647">IFNA(index(PlayerValues!A:A,match(IFNA(vlookup(B1647,'Special Names'!A:B,2,FALSE),B1647),PlayerValues!E:E,0)),"N/A")</f>
        <v>17514</v>
      </c>
      <c r="B1647" s="4" t="s">
        <v>422</v>
      </c>
      <c r="C1647" s="4" t="s">
        <v>287</v>
      </c>
      <c r="D1647" s="94">
        <v>3075.0</v>
      </c>
    </row>
    <row r="1648">
      <c r="A1648" s="40">
        <f t="array" ref="A1648">IFNA(index(PlayerValues!A:A,match(IFNA(vlookup(B1648,'Special Names'!A:B,2,FALSE),B1648),PlayerValues!E:E,0)),"N/A")</f>
        <v>13630</v>
      </c>
      <c r="B1648" s="4" t="s">
        <v>465</v>
      </c>
      <c r="C1648" s="4" t="s">
        <v>287</v>
      </c>
      <c r="D1648" s="94">
        <v>3058.0</v>
      </c>
    </row>
    <row r="1649">
      <c r="A1649" s="40">
        <f t="array" ref="A1649">IFNA(index(PlayerValues!A:A,match(IFNA(vlookup(B1649,'Special Names'!A:B,2,FALSE),B1649),PlayerValues!E:E,0)),"N/A")</f>
        <v>15259</v>
      </c>
      <c r="B1649" s="4" t="s">
        <v>453</v>
      </c>
      <c r="C1649" s="4" t="s">
        <v>278</v>
      </c>
      <c r="D1649" s="94">
        <v>3050.0</v>
      </c>
    </row>
    <row r="1650">
      <c r="A1650" s="40">
        <f t="array" ref="A1650">IFNA(index(PlayerValues!A:A,match(IFNA(vlookup(B1650,'Special Names'!A:B,2,FALSE),B1650),PlayerValues!E:E,0)),"N/A")</f>
        <v>15779</v>
      </c>
      <c r="B1650" s="4" t="s">
        <v>461</v>
      </c>
      <c r="C1650" s="4" t="s">
        <v>287</v>
      </c>
      <c r="D1650" s="94">
        <v>3033.0</v>
      </c>
    </row>
    <row r="1651">
      <c r="A1651" s="40">
        <f t="array" ref="A1651">IFNA(index(PlayerValues!A:A,match(IFNA(vlookup(B1651,'Special Names'!A:B,2,FALSE),B1651),PlayerValues!E:E,0)),"N/A")</f>
        <v>17512</v>
      </c>
      <c r="B1651" s="4" t="s">
        <v>483</v>
      </c>
      <c r="C1651" s="4" t="s">
        <v>287</v>
      </c>
      <c r="D1651" s="94">
        <v>3028.0</v>
      </c>
    </row>
    <row r="1652">
      <c r="A1652" s="40">
        <f t="array" ref="A1652">IFNA(index(PlayerValues!A:A,match(IFNA(vlookup(B1652,'Special Names'!A:B,2,FALSE),B1652),PlayerValues!E:E,0)),"N/A")</f>
        <v>16628</v>
      </c>
      <c r="B1652" s="4" t="s">
        <v>490</v>
      </c>
      <c r="C1652" s="4" t="s">
        <v>287</v>
      </c>
      <c r="D1652" s="94">
        <v>3026.0</v>
      </c>
    </row>
    <row r="1653">
      <c r="A1653" s="40" t="str">
        <f t="array" ref="A1653">IFNA(index(PlayerValues!A:A,match(IFNA(vlookup(B1653,'Special Names'!A:B,2,FALSE),B1653),PlayerValues!E:E,0)),"N/A")</f>
        <v>N/A</v>
      </c>
      <c r="B1653" s="4" t="s">
        <v>84</v>
      </c>
      <c r="C1653" s="4" t="s">
        <v>325</v>
      </c>
      <c r="D1653" s="94">
        <v>3020.0</v>
      </c>
    </row>
    <row r="1654">
      <c r="A1654" s="40">
        <f t="array" ref="A1654">IFNA(index(PlayerValues!A:A,match(IFNA(vlookup(B1654,'Special Names'!A:B,2,FALSE),B1654),PlayerValues!E:E,0)),"N/A")</f>
        <v>17506</v>
      </c>
      <c r="B1654" s="4" t="s">
        <v>471</v>
      </c>
      <c r="C1654" s="4" t="s">
        <v>287</v>
      </c>
      <c r="D1654" s="94">
        <v>3019.0</v>
      </c>
    </row>
    <row r="1655">
      <c r="A1655" s="40">
        <f t="array" ref="A1655">IFNA(index(PlayerValues!A:A,match(IFNA(vlookup(B1655,'Special Names'!A:B,2,FALSE),B1655),PlayerValues!E:E,0)),"N/A")</f>
        <v>17256</v>
      </c>
      <c r="B1655" s="4" t="s">
        <v>462</v>
      </c>
      <c r="C1655" s="4" t="s">
        <v>278</v>
      </c>
      <c r="D1655" s="94">
        <v>3015.0</v>
      </c>
    </row>
    <row r="1656">
      <c r="A1656" s="40">
        <f t="array" ref="A1656">IFNA(index(PlayerValues!A:A,match(IFNA(vlookup(B1656,'Special Names'!A:B,2,FALSE),B1656),PlayerValues!E:E,0)),"N/A")</f>
        <v>14800</v>
      </c>
      <c r="B1656" s="4" t="s">
        <v>472</v>
      </c>
      <c r="C1656" s="4" t="s">
        <v>278</v>
      </c>
      <c r="D1656" s="94">
        <v>2996.0</v>
      </c>
    </row>
    <row r="1657">
      <c r="A1657" s="40">
        <f t="array" ref="A1657">IFNA(index(PlayerValues!A:A,match(IFNA(vlookup(B1657,'Special Names'!A:B,2,FALSE),B1657),PlayerValues!E:E,0)),"N/A")</f>
        <v>15255</v>
      </c>
      <c r="B1657" s="4" t="s">
        <v>477</v>
      </c>
      <c r="C1657" s="4" t="s">
        <v>278</v>
      </c>
      <c r="D1657" s="94">
        <v>2991.0</v>
      </c>
    </row>
    <row r="1658">
      <c r="A1658" s="40">
        <f t="array" ref="A1658">IFNA(index(PlayerValues!A:A,match(IFNA(vlookup(B1658,'Special Names'!A:B,2,FALSE),B1658),PlayerValues!E:E,0)),"N/A")</f>
        <v>14127</v>
      </c>
      <c r="B1658" s="4" t="s">
        <v>486</v>
      </c>
      <c r="C1658" s="4" t="s">
        <v>287</v>
      </c>
      <c r="D1658" s="94">
        <v>2965.0</v>
      </c>
    </row>
    <row r="1659">
      <c r="A1659" s="40">
        <f t="array" ref="A1659">IFNA(index(PlayerValues!A:A,match(IFNA(vlookup(B1659,'Special Names'!A:B,2,FALSE),B1659),PlayerValues!E:E,0)),"N/A")</f>
        <v>13163</v>
      </c>
      <c r="B1659" s="4" t="s">
        <v>473</v>
      </c>
      <c r="C1659" s="4" t="s">
        <v>287</v>
      </c>
      <c r="D1659" s="94">
        <v>2958.0</v>
      </c>
    </row>
    <row r="1660">
      <c r="A1660" s="40" t="str">
        <f t="array" ref="A1660">IFNA(index(PlayerValues!A:A,match(IFNA(vlookup(B1660,'Special Names'!A:B,2,FALSE),B1660),PlayerValues!E:E,0)),"N/A")</f>
        <v>N/A</v>
      </c>
      <c r="B1660" s="4" t="s">
        <v>109</v>
      </c>
      <c r="C1660" s="4" t="s">
        <v>325</v>
      </c>
      <c r="D1660" s="94">
        <v>2938.0</v>
      </c>
    </row>
    <row r="1661">
      <c r="A1661" s="40">
        <f t="array" ref="A1661">IFNA(index(PlayerValues!A:A,match(IFNA(vlookup(B1661,'Special Names'!A:B,2,FALSE),B1661),PlayerValues!E:E,0)),"N/A")</f>
        <v>17503</v>
      </c>
      <c r="B1661" s="4" t="s">
        <v>480</v>
      </c>
      <c r="C1661" s="4" t="s">
        <v>287</v>
      </c>
      <c r="D1661" s="94">
        <v>2933.0</v>
      </c>
    </row>
    <row r="1662">
      <c r="A1662" s="40">
        <f t="array" ref="A1662">IFNA(index(PlayerValues!A:A,match(IFNA(vlookup(B1662,'Special Names'!A:B,2,FALSE),B1662),PlayerValues!E:E,0)),"N/A")</f>
        <v>17476</v>
      </c>
      <c r="B1662" s="4" t="s">
        <v>494</v>
      </c>
      <c r="C1662" s="4" t="s">
        <v>278</v>
      </c>
      <c r="D1662" s="94">
        <v>2879.0</v>
      </c>
    </row>
    <row r="1663">
      <c r="A1663" s="40">
        <f t="array" ref="A1663">IFNA(index(PlayerValues!A:A,match(IFNA(vlookup(B1663,'Special Names'!A:B,2,FALSE),B1663),PlayerValues!E:E,0)),"N/A")</f>
        <v>15761</v>
      </c>
      <c r="B1663" s="4" t="s">
        <v>491</v>
      </c>
      <c r="C1663" s="4" t="s">
        <v>287</v>
      </c>
      <c r="D1663" s="94">
        <v>2862.0</v>
      </c>
    </row>
    <row r="1664">
      <c r="A1664" s="40">
        <f t="array" ref="A1664">IFNA(index(PlayerValues!A:A,match(IFNA(vlookup(B1664,'Special Names'!A:B,2,FALSE),B1664),PlayerValues!E:E,0)),"N/A")</f>
        <v>14085</v>
      </c>
      <c r="B1664" s="4" t="s">
        <v>489</v>
      </c>
      <c r="C1664" s="4" t="s">
        <v>278</v>
      </c>
      <c r="D1664" s="94">
        <v>2841.0</v>
      </c>
    </row>
    <row r="1665">
      <c r="A1665" s="40">
        <f t="array" ref="A1665">IFNA(index(PlayerValues!A:A,match(IFNA(vlookup(B1665,'Special Names'!A:B,2,FALSE),B1665),PlayerValues!E:E,0)),"N/A")</f>
        <v>16080</v>
      </c>
      <c r="B1665" s="4" t="s">
        <v>499</v>
      </c>
      <c r="C1665" s="4" t="s">
        <v>287</v>
      </c>
      <c r="D1665" s="94">
        <v>2819.0</v>
      </c>
    </row>
    <row r="1666">
      <c r="A1666" s="40">
        <f t="array" ref="A1666">IFNA(index(PlayerValues!A:A,match(IFNA(vlookup(B1666,'Special Names'!A:B,2,FALSE),B1666),PlayerValues!E:E,0)),"N/A")</f>
        <v>15889</v>
      </c>
      <c r="B1666" s="4" t="s">
        <v>503</v>
      </c>
      <c r="C1666" s="4" t="s">
        <v>298</v>
      </c>
      <c r="D1666" s="94">
        <v>3220.0</v>
      </c>
    </row>
    <row r="1667">
      <c r="A1667" s="40">
        <f t="array" ref="A1667">IFNA(index(PlayerValues!A:A,match(IFNA(vlookup(B1667,'Special Names'!A:B,2,FALSE),B1667),PlayerValues!E:E,0)),"N/A")</f>
        <v>16583</v>
      </c>
      <c r="B1667" s="4" t="s">
        <v>493</v>
      </c>
      <c r="C1667" s="4" t="s">
        <v>283</v>
      </c>
      <c r="D1667" s="94">
        <v>2798.0</v>
      </c>
    </row>
    <row r="1668">
      <c r="A1668" s="40" t="str">
        <f t="array" ref="A1668">IFNA(index(PlayerValues!A:A,match(IFNA(vlookup(B1668,'Special Names'!A:B,2,FALSE),B1668),PlayerValues!E:E,0)),"N/A")</f>
        <v>N/A</v>
      </c>
      <c r="B1668" s="4" t="s">
        <v>85</v>
      </c>
      <c r="C1668" s="4" t="s">
        <v>325</v>
      </c>
      <c r="D1668" s="94">
        <v>2797.0</v>
      </c>
    </row>
    <row r="1669">
      <c r="A1669" s="40" t="str">
        <f t="array" ref="A1669">IFNA(index(PlayerValues!A:A,match(IFNA(vlookup(B1669,'Special Names'!A:B,2,FALSE),B1669),PlayerValues!E:E,0)),"N/A")</f>
        <v>N/A</v>
      </c>
      <c r="B1669" s="4" t="s">
        <v>110</v>
      </c>
      <c r="C1669" s="4" t="s">
        <v>325</v>
      </c>
      <c r="D1669" s="94">
        <v>2779.0</v>
      </c>
    </row>
    <row r="1670">
      <c r="A1670" s="40">
        <f t="array" ref="A1670">IFNA(index(PlayerValues!A:A,match(IFNA(vlookup(B1670,'Special Names'!A:B,2,FALSE),B1670),PlayerValues!E:E,0)),"N/A")</f>
        <v>16723</v>
      </c>
      <c r="B1670" s="4" t="s">
        <v>502</v>
      </c>
      <c r="C1670" s="4" t="s">
        <v>298</v>
      </c>
      <c r="D1670" s="94">
        <v>3188.0</v>
      </c>
    </row>
    <row r="1671">
      <c r="A1671" s="40">
        <f t="array" ref="A1671">IFNA(index(PlayerValues!A:A,match(IFNA(vlookup(B1671,'Special Names'!A:B,2,FALSE),B1671),PlayerValues!E:E,0)),"N/A")</f>
        <v>17047</v>
      </c>
      <c r="B1671" s="4" t="s">
        <v>510</v>
      </c>
      <c r="C1671" s="4" t="s">
        <v>278</v>
      </c>
      <c r="D1671" s="94">
        <v>2767.0</v>
      </c>
    </row>
    <row r="1672">
      <c r="A1672" s="40">
        <f t="array" ref="A1672">IFNA(index(PlayerValues!A:A,match(IFNA(vlookup(B1672,'Special Names'!A:B,2,FALSE),B1672),PlayerValues!E:E,0)),"N/A")</f>
        <v>17107</v>
      </c>
      <c r="B1672" s="4" t="s">
        <v>478</v>
      </c>
      <c r="C1672" s="4" t="s">
        <v>298</v>
      </c>
      <c r="D1672" s="94">
        <v>3164.0</v>
      </c>
    </row>
    <row r="1673">
      <c r="A1673" s="40">
        <f t="array" ref="A1673">IFNA(index(PlayerValues!A:A,match(IFNA(vlookup(B1673,'Special Names'!A:B,2,FALSE),B1673),PlayerValues!E:E,0)),"N/A")</f>
        <v>13671</v>
      </c>
      <c r="B1673" s="4" t="s">
        <v>506</v>
      </c>
      <c r="C1673" s="4" t="s">
        <v>298</v>
      </c>
      <c r="D1673" s="94">
        <v>3164.0</v>
      </c>
    </row>
    <row r="1674">
      <c r="A1674" s="40">
        <f t="array" ref="A1674">IFNA(index(PlayerValues!A:A,match(IFNA(vlookup(B1674,'Special Names'!A:B,2,FALSE),B1674),PlayerValues!E:E,0)),"N/A")</f>
        <v>15721</v>
      </c>
      <c r="B1674" s="4" t="s">
        <v>504</v>
      </c>
      <c r="C1674" s="4" t="s">
        <v>278</v>
      </c>
      <c r="D1674" s="94">
        <v>2745.0</v>
      </c>
    </row>
    <row r="1675">
      <c r="A1675" s="40">
        <f t="array" ref="A1675">IFNA(index(PlayerValues!A:A,match(IFNA(vlookup(B1675,'Special Names'!A:B,2,FALSE),B1675),PlayerValues!E:E,0)),"N/A")</f>
        <v>17053</v>
      </c>
      <c r="B1675" s="4" t="s">
        <v>484</v>
      </c>
      <c r="C1675" s="4" t="s">
        <v>278</v>
      </c>
      <c r="D1675" s="94">
        <v>2735.0</v>
      </c>
    </row>
    <row r="1676">
      <c r="A1676" s="40">
        <f t="array" ref="A1676">IFNA(index(PlayerValues!A:A,match(IFNA(vlookup(B1676,'Special Names'!A:B,2,FALSE),B1676),PlayerValues!E:E,0)),"N/A")</f>
        <v>17157</v>
      </c>
      <c r="B1676" s="4" t="s">
        <v>524</v>
      </c>
      <c r="C1676" s="4" t="s">
        <v>287</v>
      </c>
      <c r="D1676" s="94">
        <v>2728.0</v>
      </c>
    </row>
    <row r="1677">
      <c r="A1677" s="40">
        <f t="array" ref="A1677">IFNA(index(PlayerValues!A:A,match(IFNA(vlookup(B1677,'Special Names'!A:B,2,FALSE),B1677),PlayerValues!E:E,0)),"N/A")</f>
        <v>15972</v>
      </c>
      <c r="B1677" s="4" t="s">
        <v>469</v>
      </c>
      <c r="C1677" s="4" t="s">
        <v>278</v>
      </c>
      <c r="D1677" s="94">
        <v>2714.0</v>
      </c>
    </row>
    <row r="1678">
      <c r="A1678" s="40">
        <f t="array" ref="A1678">IFNA(index(PlayerValues!A:A,match(IFNA(vlookup(B1678,'Special Names'!A:B,2,FALSE),B1678),PlayerValues!E:E,0)),"N/A")</f>
        <v>14138</v>
      </c>
      <c r="B1678" s="4" t="s">
        <v>531</v>
      </c>
      <c r="C1678" s="4" t="s">
        <v>298</v>
      </c>
      <c r="D1678" s="94">
        <v>3112.0</v>
      </c>
    </row>
    <row r="1679">
      <c r="A1679" s="40">
        <f t="array" ref="A1679">IFNA(index(PlayerValues!A:A,match(IFNA(vlookup(B1679,'Special Names'!A:B,2,FALSE),B1679),PlayerValues!E:E,0)),"N/A")</f>
        <v>15712</v>
      </c>
      <c r="B1679" s="4" t="s">
        <v>488</v>
      </c>
      <c r="C1679" s="4" t="s">
        <v>278</v>
      </c>
      <c r="D1679" s="94">
        <v>2689.0</v>
      </c>
    </row>
    <row r="1680">
      <c r="A1680" s="40">
        <f t="array" ref="A1680">IFNA(index(PlayerValues!A:A,match(IFNA(vlookup(B1680,'Special Names'!A:B,2,FALSE),B1680),PlayerValues!E:E,0)),"N/A")</f>
        <v>17505</v>
      </c>
      <c r="B1680" s="4" t="s">
        <v>528</v>
      </c>
      <c r="C1680" s="4" t="s">
        <v>287</v>
      </c>
      <c r="D1680" s="94">
        <v>2686.0</v>
      </c>
    </row>
    <row r="1681">
      <c r="A1681" s="40">
        <f t="array" ref="A1681">IFNA(index(PlayerValues!A:A,match(IFNA(vlookup(B1681,'Special Names'!A:B,2,FALSE),B1681),PlayerValues!E:E,0)),"N/A")</f>
        <v>17507</v>
      </c>
      <c r="B1681" s="4" t="s">
        <v>495</v>
      </c>
      <c r="C1681" s="4" t="s">
        <v>287</v>
      </c>
      <c r="D1681" s="94">
        <v>2684.0</v>
      </c>
    </row>
    <row r="1682">
      <c r="A1682" s="40">
        <f t="array" ref="A1682">IFNA(index(PlayerValues!A:A,match(IFNA(vlookup(B1682,'Special Names'!A:B,2,FALSE),B1682),PlayerValues!E:E,0)),"N/A")</f>
        <v>17031</v>
      </c>
      <c r="B1682" s="4" t="s">
        <v>535</v>
      </c>
      <c r="C1682" s="4" t="s">
        <v>283</v>
      </c>
      <c r="D1682" s="94">
        <v>2678.0</v>
      </c>
    </row>
    <row r="1683">
      <c r="A1683" s="40">
        <f t="array" ref="A1683">IFNA(index(PlayerValues!A:A,match(IFNA(vlookup(B1683,'Special Names'!A:B,2,FALSE),B1683),PlayerValues!E:E,0)),"N/A")</f>
        <v>17072</v>
      </c>
      <c r="B1683" s="4" t="s">
        <v>508</v>
      </c>
      <c r="C1683" s="4" t="s">
        <v>287</v>
      </c>
      <c r="D1683" s="94">
        <v>2678.0</v>
      </c>
    </row>
    <row r="1684">
      <c r="A1684" s="40">
        <f t="array" ref="A1684">IFNA(index(PlayerValues!A:A,match(IFNA(vlookup(B1684,'Special Names'!A:B,2,FALSE),B1684),PlayerValues!E:E,0)),"N/A")</f>
        <v>15241</v>
      </c>
      <c r="B1684" s="4" t="s">
        <v>546</v>
      </c>
      <c r="C1684" s="4" t="s">
        <v>283</v>
      </c>
      <c r="D1684" s="94">
        <v>2671.0</v>
      </c>
    </row>
    <row r="1685">
      <c r="A1685" s="40">
        <f t="array" ref="A1685">IFNA(index(PlayerValues!A:A,match(IFNA(vlookup(B1685,'Special Names'!A:B,2,FALSE),B1685),PlayerValues!E:E,0)),"N/A")</f>
        <v>14778</v>
      </c>
      <c r="B1685" s="4" t="s">
        <v>564</v>
      </c>
      <c r="C1685" s="4" t="s">
        <v>283</v>
      </c>
      <c r="D1685" s="94">
        <v>2664.0</v>
      </c>
    </row>
    <row r="1686">
      <c r="A1686" s="40">
        <f t="array" ref="A1686">IFNA(index(PlayerValues!A:A,match(IFNA(vlookup(B1686,'Special Names'!A:B,2,FALSE),B1686),PlayerValues!E:E,0)),"N/A")</f>
        <v>13674</v>
      </c>
      <c r="B1686" s="4" t="s">
        <v>511</v>
      </c>
      <c r="C1686" s="4" t="s">
        <v>298</v>
      </c>
      <c r="D1686" s="94">
        <v>3072.0</v>
      </c>
    </row>
    <row r="1687">
      <c r="A1687" s="40">
        <f t="array" ref="A1687">IFNA(index(PlayerValues!A:A,match(IFNA(vlookup(B1687,'Special Names'!A:B,2,FALSE),B1687),PlayerValues!E:E,0)),"N/A")</f>
        <v>16626</v>
      </c>
      <c r="B1687" s="4" t="s">
        <v>515</v>
      </c>
      <c r="C1687" s="4" t="s">
        <v>287</v>
      </c>
      <c r="D1687" s="94">
        <v>2647.0</v>
      </c>
    </row>
    <row r="1688">
      <c r="A1688" s="40">
        <f t="array" ref="A1688">IFNA(index(PlayerValues!A:A,match(IFNA(vlookup(B1688,'Special Names'!A:B,2,FALSE),B1688),PlayerValues!E:E,0)),"N/A")</f>
        <v>17080</v>
      </c>
      <c r="B1688" s="4" t="s">
        <v>532</v>
      </c>
      <c r="C1688" s="4" t="s">
        <v>287</v>
      </c>
      <c r="D1688" s="94">
        <v>2644.0</v>
      </c>
    </row>
    <row r="1689">
      <c r="A1689" s="40">
        <f t="array" ref="A1689">IFNA(index(PlayerValues!A:A,match(IFNA(vlookup(B1689,'Special Names'!A:B,2,FALSE),B1689),PlayerValues!E:E,0)),"N/A")</f>
        <v>17105</v>
      </c>
      <c r="B1689" s="4" t="s">
        <v>525</v>
      </c>
      <c r="C1689" s="4" t="s">
        <v>298</v>
      </c>
      <c r="D1689" s="94">
        <v>3053.0</v>
      </c>
    </row>
    <row r="1690">
      <c r="A1690" s="40">
        <f t="array" ref="A1690">IFNA(index(PlayerValues!A:A,match(IFNA(vlookup(B1690,'Special Names'!A:B,2,FALSE),B1690),PlayerValues!E:E,0)),"N/A")</f>
        <v>16174</v>
      </c>
      <c r="B1690" s="4" t="s">
        <v>505</v>
      </c>
      <c r="C1690" s="4" t="s">
        <v>278</v>
      </c>
      <c r="D1690" s="94">
        <v>2640.0</v>
      </c>
    </row>
    <row r="1691">
      <c r="A1691" s="40">
        <f t="array" ref="A1691">IFNA(index(PlayerValues!A:A,match(IFNA(vlookup(B1691,'Special Names'!A:B,2,FALSE),B1691),PlayerValues!E:E,0)),"N/A")</f>
        <v>16584</v>
      </c>
      <c r="B1691" s="4" t="s">
        <v>569</v>
      </c>
      <c r="C1691" s="4" t="s">
        <v>283</v>
      </c>
      <c r="D1691" s="94">
        <v>2633.0</v>
      </c>
    </row>
    <row r="1692">
      <c r="A1692" s="40">
        <f t="array" ref="A1692">IFNA(index(PlayerValues!A:A,match(IFNA(vlookup(B1692,'Special Names'!A:B,2,FALSE),B1692),PlayerValues!E:E,0)),"N/A")</f>
        <v>11244</v>
      </c>
      <c r="B1692" s="4" t="s">
        <v>519</v>
      </c>
      <c r="C1692" s="4" t="s">
        <v>298</v>
      </c>
      <c r="D1692" s="94">
        <v>3040.0</v>
      </c>
    </row>
    <row r="1693">
      <c r="A1693" s="40">
        <f t="array" ref="A1693">IFNA(index(PlayerValues!A:A,match(IFNA(vlookup(B1693,'Special Names'!A:B,2,FALSE),B1693),PlayerValues!E:E,0)),"N/A")</f>
        <v>17520</v>
      </c>
      <c r="B1693" s="4" t="s">
        <v>518</v>
      </c>
      <c r="C1693" s="4" t="s">
        <v>287</v>
      </c>
      <c r="D1693" s="94">
        <v>2616.0</v>
      </c>
    </row>
    <row r="1694">
      <c r="A1694" s="40">
        <f t="array" ref="A1694">IFNA(index(PlayerValues!A:A,match(IFNA(vlookup(B1694,'Special Names'!A:B,2,FALSE),B1694),PlayerValues!E:E,0)),"N/A")</f>
        <v>16596</v>
      </c>
      <c r="B1694" s="4" t="s">
        <v>501</v>
      </c>
      <c r="C1694" s="4" t="s">
        <v>278</v>
      </c>
      <c r="D1694" s="94">
        <v>2612.0</v>
      </c>
    </row>
    <row r="1695">
      <c r="A1695" s="40">
        <f t="array" ref="A1695">IFNA(index(PlayerValues!A:A,match(IFNA(vlookup(B1695,'Special Names'!A:B,2,FALSE),B1695),PlayerValues!E:E,0)),"N/A")</f>
        <v>16747</v>
      </c>
      <c r="B1695" s="4" t="s">
        <v>555</v>
      </c>
      <c r="C1695" s="4" t="s">
        <v>278</v>
      </c>
      <c r="D1695" s="94">
        <v>2611.0</v>
      </c>
    </row>
    <row r="1696">
      <c r="A1696" s="40">
        <f t="array" ref="A1696">IFNA(index(PlayerValues!A:A,match(IFNA(vlookup(B1696,'Special Names'!A:B,2,FALSE),B1696),PlayerValues!E:E,0)),"N/A")</f>
        <v>17098</v>
      </c>
      <c r="B1696" s="4" t="s">
        <v>533</v>
      </c>
      <c r="C1696" s="4" t="s">
        <v>287</v>
      </c>
      <c r="D1696" s="94">
        <v>2611.0</v>
      </c>
    </row>
    <row r="1697">
      <c r="A1697" s="40">
        <f t="array" ref="A1697">IFNA(index(PlayerValues!A:A,match(IFNA(vlookup(B1697,'Special Names'!A:B,2,FALSE),B1697),PlayerValues!E:E,0)),"N/A")</f>
        <v>17511</v>
      </c>
      <c r="B1697" s="4" t="s">
        <v>485</v>
      </c>
      <c r="C1697" s="4" t="s">
        <v>287</v>
      </c>
      <c r="D1697" s="94">
        <v>2601.0</v>
      </c>
    </row>
    <row r="1698">
      <c r="A1698" s="40">
        <f t="array" ref="A1698">IFNA(index(PlayerValues!A:A,match(IFNA(vlookup(B1698,'Special Names'!A:B,2,FALSE),B1698),PlayerValues!E:E,0)),"N/A")</f>
        <v>16164</v>
      </c>
      <c r="B1698" s="4" t="s">
        <v>512</v>
      </c>
      <c r="C1698" s="4" t="s">
        <v>278</v>
      </c>
      <c r="D1698" s="94">
        <v>2598.0</v>
      </c>
    </row>
    <row r="1699">
      <c r="A1699" s="40">
        <f t="array" ref="A1699">IFNA(index(PlayerValues!A:A,match(IFNA(vlookup(B1699,'Special Names'!A:B,2,FALSE),B1699),PlayerValues!E:E,0)),"N/A")</f>
        <v>17466</v>
      </c>
      <c r="B1699" s="4" t="s">
        <v>492</v>
      </c>
      <c r="C1699" s="4" t="s">
        <v>283</v>
      </c>
      <c r="D1699" s="94">
        <v>2596.0</v>
      </c>
    </row>
    <row r="1700">
      <c r="A1700" s="40">
        <f t="array" ref="A1700">IFNA(index(PlayerValues!A:A,match(IFNA(vlookup(B1700,'Special Names'!A:B,2,FALSE),B1700),PlayerValues!E:E,0)),"N/A")</f>
        <v>16178</v>
      </c>
      <c r="B1700" s="4" t="s">
        <v>507</v>
      </c>
      <c r="C1700" s="4" t="s">
        <v>278</v>
      </c>
      <c r="D1700" s="94">
        <v>2590.0</v>
      </c>
    </row>
    <row r="1701">
      <c r="A1701" s="40">
        <f t="array" ref="A1701">IFNA(index(PlayerValues!A:A,match(IFNA(vlookup(B1701,'Special Names'!A:B,2,FALSE),B1701),PlayerValues!E:E,0)),"N/A")</f>
        <v>12616</v>
      </c>
      <c r="B1701" s="4" t="s">
        <v>529</v>
      </c>
      <c r="C1701" s="4" t="s">
        <v>283</v>
      </c>
      <c r="D1701" s="94">
        <v>2578.0</v>
      </c>
    </row>
    <row r="1702">
      <c r="A1702" s="40">
        <f t="array" ref="A1702">IFNA(index(PlayerValues!A:A,match(IFNA(vlookup(B1702,'Special Names'!A:B,2,FALSE),B1702),PlayerValues!E:E,0)),"N/A")</f>
        <v>16204</v>
      </c>
      <c r="B1702" s="4" t="s">
        <v>530</v>
      </c>
      <c r="C1702" s="4" t="s">
        <v>287</v>
      </c>
      <c r="D1702" s="94">
        <v>2578.0</v>
      </c>
    </row>
    <row r="1703">
      <c r="A1703" s="40" t="str">
        <f t="array" ref="A1703">IFNA(index(PlayerValues!A:A,match(IFNA(vlookup(B1703,'Special Names'!A:B,2,FALSE),B1703),PlayerValues!E:E,0)),"N/A")</f>
        <v>N/A</v>
      </c>
      <c r="B1703" s="4" t="s">
        <v>98</v>
      </c>
      <c r="C1703" s="4" t="s">
        <v>325</v>
      </c>
      <c r="D1703" s="94">
        <v>2575.0</v>
      </c>
    </row>
    <row r="1704">
      <c r="A1704" s="40">
        <f t="array" ref="A1704">IFNA(index(PlayerValues!A:A,match(IFNA(vlookup(B1704,'Special Names'!A:B,2,FALSE),B1704),PlayerValues!E:E,0)),"N/A")</f>
        <v>15786</v>
      </c>
      <c r="B1704" s="4" t="s">
        <v>521</v>
      </c>
      <c r="C1704" s="4" t="s">
        <v>287</v>
      </c>
      <c r="D1704" s="94">
        <v>2571.0</v>
      </c>
    </row>
    <row r="1705">
      <c r="A1705" s="40">
        <f t="array" ref="A1705">IFNA(index(PlayerValues!A:A,match(IFNA(vlookup(B1705,'Special Names'!A:B,2,FALSE),B1705),PlayerValues!E:E,0)),"N/A")</f>
        <v>16287</v>
      </c>
      <c r="B1705" s="4" t="s">
        <v>516</v>
      </c>
      <c r="C1705" s="4" t="s">
        <v>287</v>
      </c>
      <c r="D1705" s="94">
        <v>2563.0</v>
      </c>
    </row>
    <row r="1706">
      <c r="A1706" s="40">
        <f t="array" ref="A1706">IFNA(index(PlayerValues!A:A,match(IFNA(vlookup(B1706,'Special Names'!A:B,2,FALSE),B1706),PlayerValues!E:E,0)),"N/A")</f>
        <v>16684</v>
      </c>
      <c r="B1706" s="4" t="s">
        <v>500</v>
      </c>
      <c r="C1706" s="4" t="s">
        <v>287</v>
      </c>
      <c r="D1706" s="94">
        <v>2563.0</v>
      </c>
    </row>
    <row r="1707">
      <c r="A1707" s="40">
        <f t="array" ref="A1707">IFNA(index(PlayerValues!A:A,match(IFNA(vlookup(B1707,'Special Names'!A:B,2,FALSE),B1707),PlayerValues!E:E,0)),"N/A")</f>
        <v>16165</v>
      </c>
      <c r="B1707" s="4" t="s">
        <v>520</v>
      </c>
      <c r="C1707" s="4" t="s">
        <v>278</v>
      </c>
      <c r="D1707" s="94">
        <v>2557.0</v>
      </c>
    </row>
    <row r="1708">
      <c r="A1708" s="40">
        <f t="array" ref="A1708">IFNA(index(PlayerValues!A:A,match(IFNA(vlookup(B1708,'Special Names'!A:B,2,FALSE),B1708),PlayerValues!E:E,0)),"N/A")</f>
        <v>16193</v>
      </c>
      <c r="B1708" s="4" t="s">
        <v>487</v>
      </c>
      <c r="C1708" s="4" t="s">
        <v>287</v>
      </c>
      <c r="D1708" s="94">
        <v>2549.0</v>
      </c>
    </row>
    <row r="1709">
      <c r="A1709" s="40">
        <f t="array" ref="A1709">IFNA(index(PlayerValues!A:A,match(IFNA(vlookup(B1709,'Special Names'!A:B,2,FALSE),B1709),PlayerValues!E:E,0)),"N/A")</f>
        <v>16619</v>
      </c>
      <c r="B1709" s="4" t="s">
        <v>538</v>
      </c>
      <c r="C1709" s="4" t="s">
        <v>287</v>
      </c>
      <c r="D1709" s="94">
        <v>2527.0</v>
      </c>
    </row>
    <row r="1710">
      <c r="A1710" s="40">
        <f t="array" ref="A1710">IFNA(index(PlayerValues!A:A,match(IFNA(vlookup(B1710,'Special Names'!A:B,2,FALSE),B1710),PlayerValues!E:E,0)),"N/A")</f>
        <v>14833</v>
      </c>
      <c r="B1710" s="4" t="s">
        <v>553</v>
      </c>
      <c r="C1710" s="4" t="s">
        <v>287</v>
      </c>
      <c r="D1710" s="94">
        <v>2511.0</v>
      </c>
    </row>
    <row r="1711">
      <c r="A1711" s="40">
        <f t="array" ref="A1711">IFNA(index(PlayerValues!A:A,match(IFNA(vlookup(B1711,'Special Names'!A:B,2,FALSE),B1711),PlayerValues!E:E,0)),"N/A")</f>
        <v>17108</v>
      </c>
      <c r="B1711" s="4" t="s">
        <v>542</v>
      </c>
      <c r="C1711" s="4" t="s">
        <v>298</v>
      </c>
      <c r="D1711" s="94">
        <v>2916.0</v>
      </c>
    </row>
    <row r="1712">
      <c r="A1712" s="40" t="str">
        <f t="array" ref="A1712">IFNA(index(PlayerValues!A:A,match(IFNA(vlookup(B1712,'Special Names'!A:B,2,FALSE),B1712),PlayerValues!E:E,0)),"N/A")</f>
        <v>N/A</v>
      </c>
      <c r="B1712" s="4" t="s">
        <v>99</v>
      </c>
      <c r="C1712" s="4" t="s">
        <v>325</v>
      </c>
      <c r="D1712" s="94">
        <v>2499.0</v>
      </c>
    </row>
    <row r="1713">
      <c r="A1713" s="40">
        <f t="array" ref="A1713">IFNA(index(PlayerValues!A:A,match(IFNA(vlookup(B1713,'Special Names'!A:B,2,FALSE),B1713),PlayerValues!E:E,0)),"N/A")</f>
        <v>17478</v>
      </c>
      <c r="B1713" s="4" t="s">
        <v>527</v>
      </c>
      <c r="C1713" s="4" t="s">
        <v>278</v>
      </c>
      <c r="D1713" s="94">
        <v>2496.0</v>
      </c>
    </row>
    <row r="1714">
      <c r="A1714" s="40">
        <f t="array" ref="A1714">IFNA(index(PlayerValues!A:A,match(IFNA(vlookup(B1714,'Special Names'!A:B,2,FALSE),B1714),PlayerValues!E:E,0)),"N/A")</f>
        <v>17073</v>
      </c>
      <c r="B1714" s="4" t="s">
        <v>547</v>
      </c>
      <c r="C1714" s="4" t="s">
        <v>287</v>
      </c>
      <c r="D1714" s="94">
        <v>2474.0</v>
      </c>
    </row>
    <row r="1715">
      <c r="A1715" s="40">
        <f t="array" ref="A1715">IFNA(index(PlayerValues!A:A,match(IFNA(vlookup(B1715,'Special Names'!A:B,2,FALSE),B1715),PlayerValues!E:E,0)),"N/A")</f>
        <v>17082</v>
      </c>
      <c r="B1715" s="4" t="s">
        <v>498</v>
      </c>
      <c r="C1715" s="4" t="s">
        <v>287</v>
      </c>
      <c r="D1715" s="94">
        <v>2471.0</v>
      </c>
    </row>
    <row r="1716">
      <c r="A1716" s="40">
        <f t="array" ref="A1716">IFNA(index(PlayerValues!A:A,match(IFNA(vlookup(B1716,'Special Names'!A:B,2,FALSE),B1716),PlayerValues!E:E,0)),"N/A")</f>
        <v>17474</v>
      </c>
      <c r="B1716" s="4" t="s">
        <v>513</v>
      </c>
      <c r="C1716" s="4" t="s">
        <v>278</v>
      </c>
      <c r="D1716" s="94">
        <v>2469.0</v>
      </c>
    </row>
    <row r="1717">
      <c r="A1717" s="40">
        <f t="array" ref="A1717">IFNA(index(PlayerValues!A:A,match(IFNA(vlookup(B1717,'Special Names'!A:B,2,FALSE),B1717),PlayerValues!E:E,0)),"N/A")</f>
        <v>17517</v>
      </c>
      <c r="B1717" s="4" t="s">
        <v>454</v>
      </c>
      <c r="C1717" s="4" t="s">
        <v>287</v>
      </c>
      <c r="D1717" s="94">
        <v>2445.0</v>
      </c>
    </row>
    <row r="1718">
      <c r="A1718" s="40">
        <f t="array" ref="A1718">IFNA(index(PlayerValues!A:A,match(IFNA(vlookup(B1718,'Special Names'!A:B,2,FALSE),B1718),PlayerValues!E:E,0)),"N/A")</f>
        <v>14860</v>
      </c>
      <c r="B1718" s="4" t="s">
        <v>554</v>
      </c>
      <c r="C1718" s="4" t="s">
        <v>287</v>
      </c>
      <c r="D1718" s="94">
        <v>2440.0</v>
      </c>
    </row>
    <row r="1719">
      <c r="A1719" s="40">
        <f t="array" ref="A1719">IFNA(index(PlayerValues!A:A,match(IFNA(vlookup(B1719,'Special Names'!A:B,2,FALSE),B1719),PlayerValues!E:E,0)),"N/A")</f>
        <v>16195</v>
      </c>
      <c r="B1719" s="4" t="s">
        <v>509</v>
      </c>
      <c r="C1719" s="4" t="s">
        <v>287</v>
      </c>
      <c r="D1719" s="94">
        <v>2435.0</v>
      </c>
    </row>
    <row r="1720">
      <c r="A1720" s="40">
        <f t="array" ref="A1720">IFNA(index(PlayerValues!A:A,match(IFNA(vlookup(B1720,'Special Names'!A:B,2,FALSE),B1720),PlayerValues!E:E,0)),"N/A")</f>
        <v>17508</v>
      </c>
      <c r="B1720" s="4" t="s">
        <v>534</v>
      </c>
      <c r="C1720" s="4" t="s">
        <v>287</v>
      </c>
      <c r="D1720" s="94">
        <v>2428.0</v>
      </c>
    </row>
    <row r="1721">
      <c r="A1721" s="40">
        <f t="array" ref="A1721">IFNA(index(PlayerValues!A:A,match(IFNA(vlookup(B1721,'Special Names'!A:B,2,FALSE),B1721),PlayerValues!E:E,0)),"N/A")</f>
        <v>17509</v>
      </c>
      <c r="B1721" s="4" t="s">
        <v>551</v>
      </c>
      <c r="C1721" s="4" t="s">
        <v>287</v>
      </c>
      <c r="D1721" s="94">
        <v>2413.0</v>
      </c>
    </row>
    <row r="1722">
      <c r="A1722" s="40">
        <f t="array" ref="A1722">IFNA(index(PlayerValues!A:A,match(IFNA(vlookup(B1722,'Special Names'!A:B,2,FALSE),B1722),PlayerValues!E:E,0)),"N/A")</f>
        <v>17078</v>
      </c>
      <c r="B1722" s="4" t="s">
        <v>543</v>
      </c>
      <c r="C1722" s="4" t="s">
        <v>287</v>
      </c>
      <c r="D1722" s="94">
        <v>2394.0</v>
      </c>
    </row>
    <row r="1723">
      <c r="A1723" s="40">
        <f t="array" ref="A1723">IFNA(index(PlayerValues!A:A,match(IFNA(vlookup(B1723,'Special Names'!A:B,2,FALSE),B1723),PlayerValues!E:E,0)),"N/A")</f>
        <v>15716</v>
      </c>
      <c r="B1723" s="4" t="s">
        <v>545</v>
      </c>
      <c r="C1723" s="4" t="s">
        <v>278</v>
      </c>
      <c r="D1723" s="94">
        <v>2385.0</v>
      </c>
    </row>
    <row r="1724">
      <c r="A1724" s="40">
        <f t="array" ref="A1724">IFNA(index(PlayerValues!A:A,match(IFNA(vlookup(B1724,'Special Names'!A:B,2,FALSE),B1724),PlayerValues!E:E,0)),"N/A")</f>
        <v>16617</v>
      </c>
      <c r="B1724" s="4" t="s">
        <v>541</v>
      </c>
      <c r="C1724" s="4" t="s">
        <v>287</v>
      </c>
      <c r="D1724" s="94">
        <v>2380.0</v>
      </c>
    </row>
    <row r="1725">
      <c r="A1725" s="40">
        <f t="array" ref="A1725">IFNA(index(PlayerValues!A:A,match(IFNA(vlookup(B1725,'Special Names'!A:B,2,FALSE),B1725),PlayerValues!E:E,0)),"N/A")</f>
        <v>12676</v>
      </c>
      <c r="B1725" s="4" t="s">
        <v>537</v>
      </c>
      <c r="C1725" s="4" t="s">
        <v>298</v>
      </c>
      <c r="D1725" s="94">
        <v>2762.0</v>
      </c>
    </row>
    <row r="1726">
      <c r="A1726" s="40" t="str">
        <f t="array" ref="A1726">IFNA(index(PlayerValues!A:A,match(IFNA(vlookup(B1726,'Special Names'!A:B,2,FALSE),B1726),PlayerValues!E:E,0)),"N/A")</f>
        <v>N/A</v>
      </c>
      <c r="B1726" s="4" t="s">
        <v>86</v>
      </c>
      <c r="C1726" s="4" t="s">
        <v>325</v>
      </c>
      <c r="D1726" s="94">
        <v>2359.0</v>
      </c>
    </row>
    <row r="1727">
      <c r="A1727" s="40">
        <f t="array" ref="A1727">IFNA(index(PlayerValues!A:A,match(IFNA(vlookup(B1727,'Special Names'!A:B,2,FALSE),B1727),PlayerValues!E:E,0)),"N/A")</f>
        <v>13319</v>
      </c>
      <c r="B1727" s="4" t="s">
        <v>549</v>
      </c>
      <c r="C1727" s="4" t="s">
        <v>278</v>
      </c>
      <c r="D1727" s="94">
        <v>2356.0</v>
      </c>
    </row>
    <row r="1728">
      <c r="A1728" s="40">
        <f t="array" ref="A1728">IFNA(index(PlayerValues!A:A,match(IFNA(vlookup(B1728,'Special Names'!A:B,2,FALSE),B1728),PlayerValues!E:E,0)),"N/A")</f>
        <v>17106</v>
      </c>
      <c r="B1728" s="4" t="s">
        <v>550</v>
      </c>
      <c r="C1728" s="4" t="s">
        <v>298</v>
      </c>
      <c r="D1728" s="94">
        <v>2726.0</v>
      </c>
    </row>
    <row r="1729">
      <c r="A1729" s="40">
        <f t="array" ref="A1729">IFNA(index(PlayerValues!A:A,match(IFNA(vlookup(B1729,'Special Names'!A:B,2,FALSE),B1729),PlayerValues!E:E,0)),"N/A")</f>
        <v>14861</v>
      </c>
      <c r="B1729" s="4" t="s">
        <v>523</v>
      </c>
      <c r="C1729" s="4" t="s">
        <v>298</v>
      </c>
      <c r="D1729" s="94">
        <v>2715.0</v>
      </c>
    </row>
    <row r="1730">
      <c r="A1730" s="40">
        <f t="array" ref="A1730">IFNA(index(PlayerValues!A:A,match(IFNA(vlookup(B1730,'Special Names'!A:B,2,FALSE),B1730),PlayerValues!E:E,0)),"N/A")</f>
        <v>15331</v>
      </c>
      <c r="B1730" s="4" t="s">
        <v>560</v>
      </c>
      <c r="C1730" s="4" t="s">
        <v>298</v>
      </c>
      <c r="D1730" s="94">
        <v>2700.0</v>
      </c>
    </row>
    <row r="1731">
      <c r="A1731" s="40">
        <f t="array" ref="A1731">IFNA(index(PlayerValues!A:A,match(IFNA(vlookup(B1731,'Special Names'!A:B,2,FALSE),B1731),PlayerValues!E:E,0)),"N/A")</f>
        <v>15802</v>
      </c>
      <c r="B1731" s="4" t="s">
        <v>566</v>
      </c>
      <c r="C1731" s="4" t="s">
        <v>298</v>
      </c>
      <c r="D1731" s="94">
        <v>2697.0</v>
      </c>
    </row>
    <row r="1732">
      <c r="A1732" s="40" t="str">
        <f t="array" ref="A1732">IFNA(index(PlayerValues!A:A,match(IFNA(vlookup(B1732,'Special Names'!A:B,2,FALSE),B1732),PlayerValues!E:E,0)),"N/A")</f>
        <v>N/A</v>
      </c>
      <c r="B1732" s="4" t="s">
        <v>100</v>
      </c>
      <c r="C1732" s="4" t="s">
        <v>325</v>
      </c>
      <c r="D1732" s="94">
        <v>2300.0</v>
      </c>
    </row>
    <row r="1733">
      <c r="A1733" s="40">
        <f t="array" ref="A1733">IFNA(index(PlayerValues!A:A,match(IFNA(vlookup(B1733,'Special Names'!A:B,2,FALSE),B1733),PlayerValues!E:E,0)),"N/A")</f>
        <v>15797</v>
      </c>
      <c r="B1733" s="4" t="s">
        <v>556</v>
      </c>
      <c r="C1733" s="4" t="s">
        <v>298</v>
      </c>
      <c r="D1733" s="94">
        <v>2695.0</v>
      </c>
    </row>
    <row r="1734">
      <c r="A1734" s="40">
        <f t="array" ref="A1734">IFNA(index(PlayerValues!A:A,match(IFNA(vlookup(B1734,'Special Names'!A:B,2,FALSE),B1734),PlayerValues!E:E,0)),"N/A")</f>
        <v>17547</v>
      </c>
      <c r="B1734" s="4" t="s">
        <v>552</v>
      </c>
      <c r="C1734" s="4" t="s">
        <v>298</v>
      </c>
      <c r="D1734" s="94">
        <v>2680.0</v>
      </c>
    </row>
    <row r="1735">
      <c r="A1735" s="40">
        <f t="array" ref="A1735">IFNA(index(PlayerValues!A:A,match(IFNA(vlookup(B1735,'Special Names'!A:B,2,FALSE),B1735),PlayerValues!E:E,0)),"N/A")</f>
        <v>17055</v>
      </c>
      <c r="B1735" s="4" t="s">
        <v>565</v>
      </c>
      <c r="C1735" s="4" t="s">
        <v>278</v>
      </c>
      <c r="D1735" s="94">
        <v>2283.0</v>
      </c>
    </row>
    <row r="1736">
      <c r="A1736" s="40">
        <f t="array" ref="A1736">IFNA(index(PlayerValues!A:A,match(IFNA(vlookup(B1736,'Special Names'!A:B,2,FALSE),B1736),PlayerValues!E:E,0)),"N/A")</f>
        <v>17171</v>
      </c>
      <c r="B1736" s="4" t="s">
        <v>561</v>
      </c>
      <c r="C1736" s="4" t="s">
        <v>287</v>
      </c>
      <c r="D1736" s="94">
        <v>2279.0</v>
      </c>
    </row>
    <row r="1737">
      <c r="A1737" s="40">
        <f t="array" ref="A1737">IFNA(index(PlayerValues!A:A,match(IFNA(vlookup(B1737,'Special Names'!A:B,2,FALSE),B1737),PlayerValues!E:E,0)),"N/A")</f>
        <v>16166</v>
      </c>
      <c r="B1737" s="4" t="s">
        <v>567</v>
      </c>
      <c r="C1737" s="4" t="s">
        <v>278</v>
      </c>
      <c r="D1737" s="94">
        <v>2278.0</v>
      </c>
    </row>
    <row r="1738">
      <c r="A1738" s="40">
        <f t="array" ref="A1738">IFNA(index(PlayerValues!A:A,match(IFNA(vlookup(B1738,'Special Names'!A:B,2,FALSE),B1738),PlayerValues!E:E,0)),"N/A")</f>
        <v>17482</v>
      </c>
      <c r="B1738" s="4" t="s">
        <v>460</v>
      </c>
      <c r="C1738" s="4" t="s">
        <v>278</v>
      </c>
      <c r="D1738" s="94">
        <v>2276.0</v>
      </c>
    </row>
    <row r="1739">
      <c r="A1739" s="40">
        <f t="array" ref="A1739">IFNA(index(PlayerValues!A:A,match(IFNA(vlookup(B1739,'Special Names'!A:B,2,FALSE),B1739),PlayerValues!E:E,0)),"N/A")</f>
        <v>17048</v>
      </c>
      <c r="B1739" s="4" t="s">
        <v>539</v>
      </c>
      <c r="C1739" s="4" t="s">
        <v>278</v>
      </c>
      <c r="D1739" s="94">
        <v>2269.0</v>
      </c>
    </row>
    <row r="1740">
      <c r="A1740" s="40" t="str">
        <f t="array" ref="A1740">IFNA(index(PlayerValues!A:A,match(IFNA(vlookup(B1740,'Special Names'!A:B,2,FALSE),B1740),PlayerValues!E:E,0)),"N/A")</f>
        <v>N/A</v>
      </c>
      <c r="B1740" s="4" t="s">
        <v>557</v>
      </c>
      <c r="C1740" s="4" t="s">
        <v>278</v>
      </c>
      <c r="D1740" s="94">
        <v>2244.0</v>
      </c>
    </row>
    <row r="1741">
      <c r="A1741" s="40" t="str">
        <f t="array" ref="A1741">IFNA(index(PlayerValues!A:A,match(IFNA(vlookup(B1741,'Special Names'!A:B,2,FALSE),B1741),PlayerValues!E:E,0)),"N/A")</f>
        <v>N/A</v>
      </c>
      <c r="B1741" s="4" t="s">
        <v>112</v>
      </c>
      <c r="C1741" s="4" t="s">
        <v>325</v>
      </c>
      <c r="D1741" s="94">
        <v>2238.0</v>
      </c>
    </row>
    <row r="1742">
      <c r="A1742" s="40" t="str">
        <f t="array" ref="A1742">IFNA(index(PlayerValues!A:A,match(IFNA(vlookup(B1742,'Special Names'!A:B,2,FALSE),B1742),PlayerValues!E:E,0)),"N/A")</f>
        <v>N/A</v>
      </c>
      <c r="B1742" s="4" t="s">
        <v>87</v>
      </c>
      <c r="C1742" s="4" t="s">
        <v>325</v>
      </c>
      <c r="D1742" s="94">
        <v>2234.0</v>
      </c>
    </row>
    <row r="1743">
      <c r="A1743" s="40">
        <f t="array" ref="A1743">IFNA(index(PlayerValues!A:A,match(IFNA(vlookup(B1743,'Special Names'!A:B,2,FALSE),B1743),PlayerValues!E:E,0)),"N/A")</f>
        <v>16757</v>
      </c>
      <c r="B1743" s="4" t="s">
        <v>558</v>
      </c>
      <c r="C1743" s="4" t="s">
        <v>278</v>
      </c>
      <c r="D1743" s="94">
        <v>2215.0</v>
      </c>
    </row>
    <row r="1744">
      <c r="A1744" s="40">
        <f t="array" ref="A1744">IFNA(index(PlayerValues!A:A,match(IFNA(vlookup(B1744,'Special Names'!A:B,2,FALSE),B1744),PlayerValues!E:E,0)),"N/A")</f>
        <v>13192</v>
      </c>
      <c r="B1744" s="4" t="s">
        <v>563</v>
      </c>
      <c r="C1744" s="4" t="s">
        <v>298</v>
      </c>
      <c r="D1744" s="94">
        <v>2595.0</v>
      </c>
    </row>
    <row r="1745">
      <c r="A1745" s="40">
        <f t="array" ref="A1745">IFNA(index(PlayerValues!A:A,match(IFNA(vlookup(B1745,'Special Names'!A:B,2,FALSE),B1745),PlayerValues!E:E,0)),"N/A")</f>
        <v>16610</v>
      </c>
      <c r="B1745" s="4" t="s">
        <v>562</v>
      </c>
      <c r="C1745" s="4" t="s">
        <v>278</v>
      </c>
      <c r="D1745" s="94">
        <v>2203.0</v>
      </c>
    </row>
    <row r="1746">
      <c r="A1746" s="40">
        <f t="array" ref="A1746">IFNA(index(PlayerValues!A:A,match(IFNA(vlookup(B1746,'Special Names'!A:B,2,FALSE),B1746),PlayerValues!E:E,0)),"N/A")</f>
        <v>11150</v>
      </c>
      <c r="B1746" s="4" t="s">
        <v>559</v>
      </c>
      <c r="C1746" s="4" t="s">
        <v>283</v>
      </c>
      <c r="D1746" s="94">
        <v>2201.0</v>
      </c>
    </row>
    <row r="1747">
      <c r="A1747" s="40">
        <f t="array" ref="A1747">IFNA(index(PlayerValues!A:A,match(IFNA(vlookup(B1747,'Special Names'!A:B,2,FALSE),B1747),PlayerValues!E:E,0)),"N/A")</f>
        <v>15749</v>
      </c>
      <c r="B1747" s="4" t="s">
        <v>574</v>
      </c>
      <c r="C1747" s="4" t="s">
        <v>278</v>
      </c>
      <c r="D1747" s="94">
        <v>2197.0</v>
      </c>
    </row>
    <row r="1748">
      <c r="A1748" s="40">
        <f t="array" ref="A1748">IFNA(index(PlayerValues!A:A,match(IFNA(vlookup(B1748,'Special Names'!A:B,2,FALSE),B1748),PlayerValues!E:E,0)),"N/A")</f>
        <v>17033</v>
      </c>
      <c r="B1748" s="4" t="s">
        <v>570</v>
      </c>
      <c r="C1748" s="4" t="s">
        <v>283</v>
      </c>
      <c r="D1748" s="94">
        <v>2191.0</v>
      </c>
    </row>
    <row r="1749">
      <c r="A1749" s="40">
        <f t="array" ref="A1749">IFNA(index(PlayerValues!A:A,match(IFNA(vlookup(B1749,'Special Names'!A:B,2,FALSE),B1749),PlayerValues!E:E,0)),"N/A")</f>
        <v>17607</v>
      </c>
      <c r="B1749" s="4" t="s">
        <v>526</v>
      </c>
      <c r="C1749" s="4" t="s">
        <v>298</v>
      </c>
      <c r="D1749" s="94">
        <v>2576.0</v>
      </c>
    </row>
    <row r="1750">
      <c r="A1750" s="40">
        <f t="array" ref="A1750">IFNA(index(PlayerValues!A:A,match(IFNA(vlookup(B1750,'Special Names'!A:B,2,FALSE),B1750),PlayerValues!E:E,0)),"N/A")</f>
        <v>13772</v>
      </c>
      <c r="B1750" s="4" t="s">
        <v>544</v>
      </c>
      <c r="C1750" s="4" t="s">
        <v>298</v>
      </c>
      <c r="D1750" s="94">
        <v>2569.0</v>
      </c>
    </row>
    <row r="1751">
      <c r="A1751" s="40">
        <f t="array" ref="A1751">IFNA(index(PlayerValues!A:A,match(IFNA(vlookup(B1751,'Special Names'!A:B,2,FALSE),B1751),PlayerValues!E:E,0)),"N/A")</f>
        <v>17481</v>
      </c>
      <c r="B1751" s="4" t="s">
        <v>540</v>
      </c>
      <c r="C1751" s="4" t="s">
        <v>278</v>
      </c>
      <c r="D1751" s="94">
        <v>2176.0</v>
      </c>
    </row>
    <row r="1752">
      <c r="A1752" s="40">
        <f t="array" ref="A1752">IFNA(index(PlayerValues!A:A,match(IFNA(vlookup(B1752,'Special Names'!A:B,2,FALSE),B1752),PlayerValues!E:E,0)),"N/A")</f>
        <v>16152</v>
      </c>
      <c r="B1752" s="4" t="s">
        <v>601</v>
      </c>
      <c r="C1752" s="4" t="s">
        <v>283</v>
      </c>
      <c r="D1752" s="94">
        <v>2173.0</v>
      </c>
    </row>
    <row r="1753">
      <c r="A1753" s="40">
        <f t="array" ref="A1753">IFNA(index(PlayerValues!A:A,match(IFNA(vlookup(B1753,'Special Names'!A:B,2,FALSE),B1753),PlayerValues!E:E,0)),"N/A")</f>
        <v>17134</v>
      </c>
      <c r="B1753" s="4" t="s">
        <v>548</v>
      </c>
      <c r="C1753" s="4" t="s">
        <v>287</v>
      </c>
      <c r="D1753" s="94">
        <v>2163.0</v>
      </c>
    </row>
    <row r="1754">
      <c r="A1754" s="40">
        <f t="array" ref="A1754">IFNA(index(PlayerValues!A:A,match(IFNA(vlookup(B1754,'Special Names'!A:B,2,FALSE),B1754),PlayerValues!E:E,0)),"N/A")</f>
        <v>17567</v>
      </c>
      <c r="B1754" s="4" t="s">
        <v>571</v>
      </c>
      <c r="C1754" s="4" t="s">
        <v>298</v>
      </c>
      <c r="D1754" s="94">
        <v>2542.0</v>
      </c>
    </row>
    <row r="1755">
      <c r="A1755" s="40">
        <f t="array" ref="A1755">IFNA(index(PlayerValues!A:A,match(IFNA(vlookup(B1755,'Special Names'!A:B,2,FALSE),B1755),PlayerValues!E:E,0)),"N/A")</f>
        <v>16604</v>
      </c>
      <c r="B1755" s="4" t="s">
        <v>476</v>
      </c>
      <c r="C1755" s="4" t="s">
        <v>278</v>
      </c>
      <c r="D1755" s="94">
        <v>2140.0</v>
      </c>
    </row>
    <row r="1756">
      <c r="A1756" s="40">
        <f t="array" ref="A1756">IFNA(index(PlayerValues!A:A,match(IFNA(vlookup(B1756,'Special Names'!A:B,2,FALSE),B1756),PlayerValues!E:E,0)),"N/A")</f>
        <v>12186</v>
      </c>
      <c r="B1756" s="4" t="s">
        <v>497</v>
      </c>
      <c r="C1756" s="4" t="s">
        <v>287</v>
      </c>
      <c r="D1756" s="94">
        <v>2139.0</v>
      </c>
    </row>
    <row r="1757">
      <c r="A1757" s="40">
        <f t="array" ref="A1757">IFNA(index(PlayerValues!A:A,match(IFNA(vlookup(B1757,'Special Names'!A:B,2,FALSE),B1757),PlayerValues!E:E,0)),"N/A")</f>
        <v>16212</v>
      </c>
      <c r="B1757" s="4" t="s">
        <v>568</v>
      </c>
      <c r="C1757" s="4" t="s">
        <v>298</v>
      </c>
      <c r="D1757" s="94">
        <v>2522.0</v>
      </c>
    </row>
    <row r="1758">
      <c r="A1758" s="40">
        <f t="array" ref="A1758">IFNA(index(PlayerValues!A:A,match(IFNA(vlookup(B1758,'Special Names'!A:B,2,FALSE),B1758),PlayerValues!E:E,0)),"N/A")</f>
        <v>17069</v>
      </c>
      <c r="B1758" s="4" t="s">
        <v>604</v>
      </c>
      <c r="C1758" s="4" t="s">
        <v>278</v>
      </c>
      <c r="D1758" s="94">
        <v>2128.0</v>
      </c>
    </row>
    <row r="1759">
      <c r="A1759" s="40">
        <f t="array" ref="A1759">IFNA(index(PlayerValues!A:A,match(IFNA(vlookup(B1759,'Special Names'!A:B,2,FALSE),B1759),PlayerValues!E:E,0)),"N/A")</f>
        <v>16649</v>
      </c>
      <c r="B1759" s="4" t="s">
        <v>586</v>
      </c>
      <c r="C1759" s="4" t="s">
        <v>298</v>
      </c>
      <c r="D1759" s="94">
        <v>2506.0</v>
      </c>
    </row>
    <row r="1760">
      <c r="A1760" s="40" t="str">
        <f t="array" ref="A1760">IFNA(index(PlayerValues!A:A,match(IFNA(vlookup(B1760,'Special Names'!A:B,2,FALSE),B1760),PlayerValues!E:E,0)),"N/A")</f>
        <v>N/A</v>
      </c>
      <c r="B1760" s="4" t="s">
        <v>113</v>
      </c>
      <c r="C1760" s="4" t="s">
        <v>325</v>
      </c>
      <c r="D1760" s="94">
        <v>2115.0</v>
      </c>
    </row>
    <row r="1761">
      <c r="A1761" s="40">
        <f t="array" ref="A1761">IFNA(index(PlayerValues!A:A,match(IFNA(vlookup(B1761,'Special Names'!A:B,2,FALSE),B1761),PlayerValues!E:E,0)),"N/A")</f>
        <v>16594</v>
      </c>
      <c r="B1761" s="4" t="s">
        <v>607</v>
      </c>
      <c r="C1761" s="4" t="s">
        <v>278</v>
      </c>
      <c r="D1761" s="94">
        <v>2110.0</v>
      </c>
    </row>
    <row r="1762">
      <c r="A1762" s="40">
        <f t="array" ref="A1762">IFNA(index(PlayerValues!A:A,match(IFNA(vlookup(B1762,'Special Names'!A:B,2,FALSE),B1762),PlayerValues!E:E,0)),"N/A")</f>
        <v>17485</v>
      </c>
      <c r="B1762" s="4" t="s">
        <v>522</v>
      </c>
      <c r="C1762" s="4" t="s">
        <v>278</v>
      </c>
      <c r="D1762" s="94">
        <v>2086.0</v>
      </c>
    </row>
    <row r="1763">
      <c r="A1763" s="40">
        <f t="array" ref="A1763">IFNA(index(PlayerValues!A:A,match(IFNA(vlookup(B1763,'Special Names'!A:B,2,FALSE),B1763),PlayerValues!E:E,0)),"N/A")</f>
        <v>17079</v>
      </c>
      <c r="B1763" s="4" t="s">
        <v>572</v>
      </c>
      <c r="C1763" s="4" t="s">
        <v>287</v>
      </c>
      <c r="D1763" s="94">
        <v>2081.0</v>
      </c>
    </row>
    <row r="1764">
      <c r="A1764" s="40">
        <f t="array" ref="A1764">IFNA(index(PlayerValues!A:A,match(IFNA(vlookup(B1764,'Special Names'!A:B,2,FALSE),B1764),PlayerValues!E:E,0)),"N/A")</f>
        <v>16036</v>
      </c>
      <c r="B1764" s="4" t="s">
        <v>592</v>
      </c>
      <c r="C1764" s="4" t="s">
        <v>298</v>
      </c>
      <c r="D1764" s="94">
        <v>2469.0</v>
      </c>
    </row>
    <row r="1765">
      <c r="A1765" s="40">
        <f t="array" ref="A1765">IFNA(index(PlayerValues!A:A,match(IFNA(vlookup(B1765,'Special Names'!A:B,2,FALSE),B1765),PlayerValues!E:E,0)),"N/A")</f>
        <v>17599</v>
      </c>
      <c r="B1765" s="4" t="s">
        <v>496</v>
      </c>
      <c r="C1765" s="4" t="s">
        <v>287</v>
      </c>
      <c r="D1765" s="94">
        <v>2061.0</v>
      </c>
    </row>
    <row r="1766">
      <c r="A1766" s="40">
        <f t="array" ref="A1766">IFNA(index(PlayerValues!A:A,match(IFNA(vlookup(B1766,'Special Names'!A:B,2,FALSE),B1766),PlayerValues!E:E,0)),"N/A")</f>
        <v>17061</v>
      </c>
      <c r="B1766" s="4" t="s">
        <v>580</v>
      </c>
      <c r="C1766" s="4" t="s">
        <v>278</v>
      </c>
      <c r="D1766" s="94">
        <v>2057.0</v>
      </c>
    </row>
    <row r="1767">
      <c r="A1767" s="40">
        <f t="array" ref="A1767">IFNA(index(PlayerValues!A:A,match(IFNA(vlookup(B1767,'Special Names'!A:B,2,FALSE),B1767),PlayerValues!E:E,0)),"N/A")</f>
        <v>17076</v>
      </c>
      <c r="B1767" s="4" t="s">
        <v>585</v>
      </c>
      <c r="C1767" s="4" t="s">
        <v>287</v>
      </c>
      <c r="D1767" s="94">
        <v>2054.0</v>
      </c>
    </row>
    <row r="1768">
      <c r="A1768" s="40">
        <f t="array" ref="A1768">IFNA(index(PlayerValues!A:A,match(IFNA(vlookup(B1768,'Special Names'!A:B,2,FALSE),B1768),PlayerValues!E:E,0)),"N/A")</f>
        <v>17528</v>
      </c>
      <c r="B1768" s="4" t="s">
        <v>579</v>
      </c>
      <c r="C1768" s="4" t="s">
        <v>287</v>
      </c>
      <c r="D1768" s="94">
        <v>2052.0</v>
      </c>
    </row>
    <row r="1769">
      <c r="A1769" s="40">
        <f t="array" ref="A1769">IFNA(index(PlayerValues!A:A,match(IFNA(vlookup(B1769,'Special Names'!A:B,2,FALSE),B1769),PlayerValues!E:E,0)),"N/A")</f>
        <v>16189</v>
      </c>
      <c r="B1769" s="4" t="s">
        <v>582</v>
      </c>
      <c r="C1769" s="4" t="s">
        <v>287</v>
      </c>
      <c r="D1769" s="94">
        <v>2050.0</v>
      </c>
    </row>
    <row r="1770">
      <c r="A1770" s="40">
        <f t="array" ref="A1770">IFNA(index(PlayerValues!A:A,match(IFNA(vlookup(B1770,'Special Names'!A:B,2,FALSE),B1770),PlayerValues!E:E,0)),"N/A")</f>
        <v>17060</v>
      </c>
      <c r="B1770" s="4" t="s">
        <v>603</v>
      </c>
      <c r="C1770" s="4" t="s">
        <v>278</v>
      </c>
      <c r="D1770" s="94">
        <v>2049.0</v>
      </c>
    </row>
    <row r="1771">
      <c r="A1771" s="40" t="str">
        <f t="array" ref="A1771">IFNA(index(PlayerValues!A:A,match(IFNA(vlookup(B1771,'Special Names'!A:B,2,FALSE),B1771),PlayerValues!E:E,0)),"N/A")</f>
        <v>N/A</v>
      </c>
      <c r="B1771" s="4" t="s">
        <v>88</v>
      </c>
      <c r="C1771" s="4" t="s">
        <v>325</v>
      </c>
      <c r="D1771" s="94">
        <v>2038.0</v>
      </c>
    </row>
    <row r="1772">
      <c r="A1772" s="40">
        <f t="array" ref="A1772">IFNA(index(PlayerValues!A:A,match(IFNA(vlookup(B1772,'Special Names'!A:B,2,FALSE),B1772),PlayerValues!E:E,0)),"N/A")</f>
        <v>13132</v>
      </c>
      <c r="B1772" s="4" t="s">
        <v>598</v>
      </c>
      <c r="C1772" s="4" t="s">
        <v>278</v>
      </c>
      <c r="D1772" s="94">
        <v>2037.0</v>
      </c>
    </row>
    <row r="1773">
      <c r="A1773" s="40">
        <f t="array" ref="A1773">IFNA(index(PlayerValues!A:A,match(IFNA(vlookup(B1773,'Special Names'!A:B,2,FALSE),B1773),PlayerValues!E:E,0)),"N/A")</f>
        <v>17468</v>
      </c>
      <c r="B1773" s="4" t="s">
        <v>514</v>
      </c>
      <c r="C1773" s="4" t="s">
        <v>283</v>
      </c>
      <c r="D1773" s="94">
        <v>2014.0</v>
      </c>
    </row>
    <row r="1774">
      <c r="A1774" s="40">
        <f t="array" ref="A1774">IFNA(index(PlayerValues!A:A,match(IFNA(vlookup(B1774,'Special Names'!A:B,2,FALSE),B1774),PlayerValues!E:E,0)),"N/A")</f>
        <v>13113</v>
      </c>
      <c r="B1774" s="4" t="s">
        <v>606</v>
      </c>
      <c r="C1774" s="4" t="s">
        <v>283</v>
      </c>
      <c r="D1774" s="94">
        <v>2009.0</v>
      </c>
    </row>
    <row r="1775">
      <c r="A1775" s="40">
        <f t="array" ref="A1775">IFNA(index(PlayerValues!A:A,match(IFNA(vlookup(B1775,'Special Names'!A:B,2,FALSE),B1775),PlayerValues!E:E,0)),"N/A")</f>
        <v>15238</v>
      </c>
      <c r="B1775" s="4" t="s">
        <v>613</v>
      </c>
      <c r="C1775" s="4" t="s">
        <v>283</v>
      </c>
      <c r="D1775" s="94">
        <v>1999.0</v>
      </c>
    </row>
    <row r="1776">
      <c r="A1776" s="40">
        <f t="array" ref="A1776">IFNA(index(PlayerValues!A:A,match(IFNA(vlookup(B1776,'Special Names'!A:B,2,FALSE),B1776),PlayerValues!E:E,0)),"N/A")</f>
        <v>16778</v>
      </c>
      <c r="B1776" s="4" t="s">
        <v>577</v>
      </c>
      <c r="C1776" s="4" t="s">
        <v>287</v>
      </c>
      <c r="D1776" s="94">
        <v>1998.0</v>
      </c>
    </row>
    <row r="1777">
      <c r="A1777" s="40">
        <f t="array" ref="A1777">IFNA(index(PlayerValues!A:A,match(IFNA(vlookup(B1777,'Special Names'!A:B,2,FALSE),B1777),PlayerValues!E:E,0)),"N/A")</f>
        <v>15293</v>
      </c>
      <c r="B1777" s="4" t="s">
        <v>578</v>
      </c>
      <c r="C1777" s="4" t="s">
        <v>287</v>
      </c>
      <c r="D1777" s="94">
        <v>1997.0</v>
      </c>
    </row>
    <row r="1778">
      <c r="A1778" s="40">
        <f t="array" ref="A1778">IFNA(index(PlayerValues!A:A,match(IFNA(vlookup(B1778,'Special Names'!A:B,2,FALSE),B1778),PlayerValues!E:E,0)),"N/A")</f>
        <v>14974</v>
      </c>
      <c r="B1778" s="4" t="s">
        <v>611</v>
      </c>
      <c r="C1778" s="4" t="s">
        <v>287</v>
      </c>
      <c r="D1778" s="94">
        <v>1988.0</v>
      </c>
    </row>
    <row r="1779">
      <c r="A1779" s="40" t="str">
        <f t="array" ref="A1779">IFNA(index(PlayerValues!A:A,match(IFNA(vlookup(B1779,'Special Names'!A:B,2,FALSE),B1779),PlayerValues!E:E,0)),"N/A")</f>
        <v>N/A</v>
      </c>
      <c r="B1779" s="4" t="s">
        <v>114</v>
      </c>
      <c r="C1779" s="4" t="s">
        <v>325</v>
      </c>
      <c r="D1779" s="94">
        <v>1984.0</v>
      </c>
    </row>
    <row r="1780">
      <c r="A1780" s="40">
        <f t="array" ref="A1780">IFNA(index(PlayerValues!A:A,match(IFNA(vlookup(B1780,'Special Names'!A:B,2,FALSE),B1780),PlayerValues!E:E,0)),"N/A")</f>
        <v>14867</v>
      </c>
      <c r="B1780" s="4" t="s">
        <v>591</v>
      </c>
      <c r="C1780" s="4" t="s">
        <v>298</v>
      </c>
      <c r="D1780" s="94">
        <v>2365.0</v>
      </c>
    </row>
    <row r="1781">
      <c r="A1781" s="40">
        <f t="array" ref="A1781">IFNA(index(PlayerValues!A:A,match(IFNA(vlookup(B1781,'Special Names'!A:B,2,FALSE),B1781),PlayerValues!E:E,0)),"N/A")</f>
        <v>16643</v>
      </c>
      <c r="B1781" s="4" t="s">
        <v>609</v>
      </c>
      <c r="C1781" s="4" t="s">
        <v>298</v>
      </c>
      <c r="D1781" s="94">
        <v>2358.0</v>
      </c>
    </row>
    <row r="1782">
      <c r="A1782" s="40">
        <f t="array" ref="A1782">IFNA(index(PlayerValues!A:A,match(IFNA(vlookup(B1782,'Special Names'!A:B,2,FALSE),B1782),PlayerValues!E:E,0)),"N/A")</f>
        <v>17056</v>
      </c>
      <c r="B1782" s="4" t="s">
        <v>581</v>
      </c>
      <c r="C1782" s="4" t="s">
        <v>278</v>
      </c>
      <c r="D1782" s="94">
        <v>1944.0</v>
      </c>
    </row>
    <row r="1783">
      <c r="A1783" s="40">
        <f t="array" ref="A1783">IFNA(index(PlayerValues!A:A,match(IFNA(vlookup(B1783,'Special Names'!A:B,2,FALSE),B1783),PlayerValues!E:E,0)),"N/A")</f>
        <v>17467</v>
      </c>
      <c r="B1783" s="4" t="s">
        <v>575</v>
      </c>
      <c r="C1783" s="4" t="s">
        <v>283</v>
      </c>
      <c r="D1783" s="94">
        <v>1937.0</v>
      </c>
    </row>
    <row r="1784">
      <c r="A1784" s="40">
        <f t="array" ref="A1784">IFNA(index(PlayerValues!A:A,match(IFNA(vlookup(B1784,'Special Names'!A:B,2,FALSE),B1784),PlayerValues!E:E,0)),"N/A")</f>
        <v>14871</v>
      </c>
      <c r="B1784" s="4" t="s">
        <v>584</v>
      </c>
      <c r="C1784" s="4" t="s">
        <v>298</v>
      </c>
      <c r="D1784" s="94">
        <v>2322.0</v>
      </c>
    </row>
    <row r="1785">
      <c r="A1785" s="40">
        <f t="array" ref="A1785">IFNA(index(PlayerValues!A:A,match(IFNA(vlookup(B1785,'Special Names'!A:B,2,FALSE),B1785),PlayerValues!E:E,0)),"N/A")</f>
        <v>17184</v>
      </c>
      <c r="B1785" s="4" t="s">
        <v>588</v>
      </c>
      <c r="C1785" s="4" t="s">
        <v>287</v>
      </c>
      <c r="D1785" s="94">
        <v>1935.0</v>
      </c>
    </row>
    <row r="1786">
      <c r="A1786" s="40">
        <f t="array" ref="A1786">IFNA(index(PlayerValues!A:A,match(IFNA(vlookup(B1786,'Special Names'!A:B,2,FALSE),B1786),PlayerValues!E:E,0)),"N/A")</f>
        <v>7836</v>
      </c>
      <c r="B1786" s="4" t="s">
        <v>590</v>
      </c>
      <c r="C1786" s="4" t="s">
        <v>283</v>
      </c>
      <c r="D1786" s="94">
        <v>1929.0</v>
      </c>
    </row>
    <row r="1787">
      <c r="A1787" s="40">
        <f t="array" ref="A1787">IFNA(index(PlayerValues!A:A,match(IFNA(vlookup(B1787,'Special Names'!A:B,2,FALSE),B1787),PlayerValues!E:E,0)),"N/A")</f>
        <v>16603</v>
      </c>
      <c r="B1787" s="4" t="s">
        <v>587</v>
      </c>
      <c r="C1787" s="4" t="s">
        <v>278</v>
      </c>
      <c r="D1787" s="94">
        <v>1927.0</v>
      </c>
    </row>
    <row r="1788">
      <c r="A1788" s="40">
        <f t="array" ref="A1788">IFNA(index(PlayerValues!A:A,match(IFNA(vlookup(B1788,'Special Names'!A:B,2,FALSE),B1788),PlayerValues!E:E,0)),"N/A")</f>
        <v>17046</v>
      </c>
      <c r="B1788" s="4" t="s">
        <v>602</v>
      </c>
      <c r="C1788" s="4" t="s">
        <v>278</v>
      </c>
      <c r="D1788" s="94">
        <v>1926.0</v>
      </c>
    </row>
    <row r="1789">
      <c r="A1789" s="40">
        <f t="array" ref="A1789">IFNA(index(PlayerValues!A:A,match(IFNA(vlookup(B1789,'Special Names'!A:B,2,FALSE),B1789),PlayerValues!E:E,0)),"N/A")</f>
        <v>17087</v>
      </c>
      <c r="B1789" s="4" t="s">
        <v>600</v>
      </c>
      <c r="C1789" s="4" t="s">
        <v>287</v>
      </c>
      <c r="D1789" s="94">
        <v>1919.0</v>
      </c>
    </row>
    <row r="1790">
      <c r="A1790" s="40">
        <f t="array" ref="A1790">IFNA(index(PlayerValues!A:A,match(IFNA(vlookup(B1790,'Special Names'!A:B,2,FALSE),B1790),PlayerValues!E:E,0)),"N/A")</f>
        <v>16432</v>
      </c>
      <c r="B1790" s="4" t="s">
        <v>620</v>
      </c>
      <c r="C1790" s="4" t="s">
        <v>278</v>
      </c>
      <c r="D1790" s="94">
        <v>1906.0</v>
      </c>
    </row>
    <row r="1791">
      <c r="A1791" s="40">
        <f t="array" ref="A1791">IFNA(index(PlayerValues!A:A,match(IFNA(vlookup(B1791,'Special Names'!A:B,2,FALSE),B1791),PlayerValues!E:E,0)),"N/A")</f>
        <v>16216</v>
      </c>
      <c r="B1791" s="4" t="s">
        <v>595</v>
      </c>
      <c r="C1791" s="4" t="s">
        <v>298</v>
      </c>
      <c r="D1791" s="94">
        <v>2284.0</v>
      </c>
    </row>
    <row r="1792">
      <c r="A1792" s="40">
        <f t="array" ref="A1792">IFNA(index(PlayerValues!A:A,match(IFNA(vlookup(B1792,'Special Names'!A:B,2,FALSE),B1792),PlayerValues!E:E,0)),"N/A")</f>
        <v>16342</v>
      </c>
      <c r="B1792" s="4" t="s">
        <v>583</v>
      </c>
      <c r="C1792" s="4" t="s">
        <v>287</v>
      </c>
      <c r="D1792" s="94">
        <v>1883.0</v>
      </c>
    </row>
    <row r="1793">
      <c r="A1793" s="40">
        <f t="array" ref="A1793">IFNA(index(PlayerValues!A:A,match(IFNA(vlookup(B1793,'Special Names'!A:B,2,FALSE),B1793),PlayerValues!E:E,0)),"N/A")</f>
        <v>16639</v>
      </c>
      <c r="B1793" s="4" t="s">
        <v>599</v>
      </c>
      <c r="C1793" s="4" t="s">
        <v>287</v>
      </c>
      <c r="D1793" s="94">
        <v>1873.0</v>
      </c>
    </row>
    <row r="1794">
      <c r="A1794" s="40">
        <f t="array" ref="A1794">IFNA(index(PlayerValues!A:A,match(IFNA(vlookup(B1794,'Special Names'!A:B,2,FALSE),B1794),PlayerValues!E:E,0)),"N/A")</f>
        <v>16752</v>
      </c>
      <c r="B1794" s="4" t="s">
        <v>597</v>
      </c>
      <c r="C1794" s="4" t="s">
        <v>278</v>
      </c>
      <c r="D1794" s="94">
        <v>1873.0</v>
      </c>
    </row>
    <row r="1795">
      <c r="A1795" s="40">
        <f t="array" ref="A1795">IFNA(index(PlayerValues!A:A,match(IFNA(vlookup(B1795,'Special Names'!A:B,2,FALSE),B1795),PlayerValues!E:E,0)),"N/A")</f>
        <v>14136</v>
      </c>
      <c r="B1795" s="4" t="s">
        <v>536</v>
      </c>
      <c r="C1795" s="4" t="s">
        <v>287</v>
      </c>
      <c r="D1795" s="94">
        <v>1852.0</v>
      </c>
    </row>
    <row r="1796">
      <c r="A1796" s="40">
        <f t="array" ref="A1796">IFNA(index(PlayerValues!A:A,match(IFNA(vlookup(B1796,'Special Names'!A:B,2,FALSE),B1796),PlayerValues!E:E,0)),"N/A")</f>
        <v>17548</v>
      </c>
      <c r="B1796" s="4" t="s">
        <v>594</v>
      </c>
      <c r="C1796" s="4" t="s">
        <v>298</v>
      </c>
      <c r="D1796" s="94">
        <v>2235.0</v>
      </c>
    </row>
    <row r="1797">
      <c r="A1797" s="40">
        <f t="array" ref="A1797">IFNA(index(PlayerValues!A:A,match(IFNA(vlookup(B1797,'Special Names'!A:B,2,FALSE),B1797),PlayerValues!E:E,0)),"N/A")</f>
        <v>10700</v>
      </c>
      <c r="B1797" s="4" t="s">
        <v>596</v>
      </c>
      <c r="C1797" s="4" t="s">
        <v>283</v>
      </c>
      <c r="D1797" s="94">
        <v>1848.0</v>
      </c>
    </row>
    <row r="1798">
      <c r="A1798" s="40">
        <f t="array" ref="A1798">IFNA(index(PlayerValues!A:A,match(IFNA(vlookup(B1798,'Special Names'!A:B,2,FALSE),B1798),PlayerValues!E:E,0)),"N/A")</f>
        <v>13633</v>
      </c>
      <c r="B1798" s="4" t="s">
        <v>625</v>
      </c>
      <c r="C1798" s="4" t="s">
        <v>287</v>
      </c>
      <c r="D1798" s="94">
        <v>1845.0</v>
      </c>
    </row>
    <row r="1799">
      <c r="A1799" s="40">
        <f t="array" ref="A1799">IFNA(index(PlayerValues!A:A,match(IFNA(vlookup(B1799,'Special Names'!A:B,2,FALSE),B1799),PlayerValues!E:E,0)),"N/A")</f>
        <v>17086</v>
      </c>
      <c r="B1799" s="4" t="s">
        <v>612</v>
      </c>
      <c r="C1799" s="4" t="s">
        <v>287</v>
      </c>
      <c r="D1799" s="94">
        <v>1840.0</v>
      </c>
    </row>
    <row r="1800">
      <c r="A1800" s="40">
        <f t="array" ref="A1800">IFNA(index(PlayerValues!A:A,match(IFNA(vlookup(B1800,'Special Names'!A:B,2,FALSE),B1800),PlayerValues!E:E,0)),"N/A")</f>
        <v>15788</v>
      </c>
      <c r="B1800" s="4" t="s">
        <v>627</v>
      </c>
      <c r="C1800" s="4" t="s">
        <v>287</v>
      </c>
      <c r="D1800" s="94">
        <v>1835.0</v>
      </c>
    </row>
    <row r="1801">
      <c r="A1801" s="40" t="str">
        <f t="array" ref="A1801">IFNA(index(PlayerValues!A:A,match(IFNA(vlookup(B1801,'Special Names'!A:B,2,FALSE),B1801),PlayerValues!E:E,0)),"N/A")</f>
        <v>N/A</v>
      </c>
      <c r="B1801" s="4" t="s">
        <v>101</v>
      </c>
      <c r="C1801" s="4" t="s">
        <v>325</v>
      </c>
      <c r="D1801" s="94">
        <v>1830.0</v>
      </c>
    </row>
    <row r="1802">
      <c r="A1802" s="40">
        <f t="array" ref="A1802">IFNA(index(PlayerValues!A:A,match(IFNA(vlookup(B1802,'Special Names'!A:B,2,FALSE),B1802),PlayerValues!E:E,0)),"N/A")</f>
        <v>13629</v>
      </c>
      <c r="B1802" s="4" t="s">
        <v>619</v>
      </c>
      <c r="C1802" s="4" t="s">
        <v>287</v>
      </c>
      <c r="D1802" s="94">
        <v>1826.0</v>
      </c>
    </row>
    <row r="1803">
      <c r="A1803" s="40">
        <f t="array" ref="A1803">IFNA(index(PlayerValues!A:A,match(IFNA(vlookup(B1803,'Special Names'!A:B,2,FALSE),B1803),PlayerValues!E:E,0)),"N/A")</f>
        <v>17036</v>
      </c>
      <c r="B1803" s="4" t="s">
        <v>617</v>
      </c>
      <c r="C1803" s="4" t="s">
        <v>283</v>
      </c>
      <c r="D1803" s="94">
        <v>1825.0</v>
      </c>
    </row>
    <row r="1804">
      <c r="A1804" s="40">
        <f t="array" ref="A1804">IFNA(index(PlayerValues!A:A,match(IFNA(vlookup(B1804,'Special Names'!A:B,2,FALSE),B1804),PlayerValues!E:E,0)),"N/A")</f>
        <v>16644</v>
      </c>
      <c r="B1804" s="4" t="s">
        <v>640</v>
      </c>
      <c r="C1804" s="4" t="s">
        <v>298</v>
      </c>
      <c r="D1804" s="94">
        <v>2150.0</v>
      </c>
    </row>
    <row r="1805">
      <c r="A1805" s="40">
        <f t="array" ref="A1805">IFNA(index(PlayerValues!A:A,match(IFNA(vlookup(B1805,'Special Names'!A:B,2,FALSE),B1805),PlayerValues!E:E,0)),"N/A")</f>
        <v>17519</v>
      </c>
      <c r="B1805" s="4" t="s">
        <v>593</v>
      </c>
      <c r="C1805" s="4" t="s">
        <v>287</v>
      </c>
      <c r="D1805" s="94">
        <v>1766.0</v>
      </c>
    </row>
    <row r="1806">
      <c r="A1806" s="40">
        <f t="array" ref="A1806">IFNA(index(PlayerValues!A:A,match(IFNA(vlookup(B1806,'Special Names'!A:B,2,FALSE),B1806),PlayerValues!E:E,0)),"N/A")</f>
        <v>13189</v>
      </c>
      <c r="B1806" s="4" t="s">
        <v>626</v>
      </c>
      <c r="C1806" s="4" t="s">
        <v>298</v>
      </c>
      <c r="D1806" s="94">
        <v>2143.0</v>
      </c>
    </row>
    <row r="1807">
      <c r="A1807" s="40" t="str">
        <f t="array" ref="A1807">IFNA(index(PlayerValues!A:A,match(IFNA(vlookup(B1807,'Special Names'!A:B,2,FALSE),B1807),PlayerValues!E:E,0)),"N/A")</f>
        <v>N/A</v>
      </c>
      <c r="B1807" s="4" t="s">
        <v>89</v>
      </c>
      <c r="C1807" s="4" t="s">
        <v>325</v>
      </c>
      <c r="D1807" s="94">
        <v>1761.0</v>
      </c>
    </row>
    <row r="1808">
      <c r="A1808" s="40">
        <f t="array" ref="A1808">IFNA(index(PlayerValues!A:A,match(IFNA(vlookup(B1808,'Special Names'!A:B,2,FALSE),B1808),PlayerValues!E:E,0)),"N/A")</f>
        <v>16215</v>
      </c>
      <c r="B1808" s="4" t="s">
        <v>637</v>
      </c>
      <c r="C1808" s="4" t="s">
        <v>298</v>
      </c>
      <c r="D1808" s="94">
        <v>2130.0</v>
      </c>
    </row>
    <row r="1809">
      <c r="A1809" s="40">
        <f t="array" ref="A1809">IFNA(index(PlayerValues!A:A,match(IFNA(vlookup(B1809,'Special Names'!A:B,2,FALSE),B1809),PlayerValues!E:E,0)),"N/A")</f>
        <v>16191</v>
      </c>
      <c r="B1809" s="4" t="s">
        <v>666</v>
      </c>
      <c r="C1809" s="4" t="s">
        <v>287</v>
      </c>
      <c r="D1809" s="94">
        <v>1748.0</v>
      </c>
    </row>
    <row r="1810">
      <c r="A1810" s="40">
        <f t="array" ref="A1810">IFNA(index(PlayerValues!A:A,match(IFNA(vlookup(B1810,'Special Names'!A:B,2,FALSE),B1810),PlayerValues!E:E,0)),"N/A")</f>
        <v>13146</v>
      </c>
      <c r="B1810" s="4" t="s">
        <v>652</v>
      </c>
      <c r="C1810" s="4" t="s">
        <v>278</v>
      </c>
      <c r="D1810" s="94">
        <v>1747.0</v>
      </c>
    </row>
    <row r="1811">
      <c r="A1811" s="40" t="str">
        <f t="array" ref="A1811">IFNA(index(PlayerValues!A:A,match(IFNA(vlookup(B1811,'Special Names'!A:B,2,FALSE),B1811),PlayerValues!E:E,0)),"N/A")</f>
        <v>N/A</v>
      </c>
      <c r="B1811" s="4" t="s">
        <v>102</v>
      </c>
      <c r="C1811" s="4" t="s">
        <v>325</v>
      </c>
      <c r="D1811" s="94">
        <v>1745.0</v>
      </c>
    </row>
    <row r="1812">
      <c r="A1812" s="40">
        <f t="array" ref="A1812">IFNA(index(PlayerValues!A:A,match(IFNA(vlookup(B1812,'Special Names'!A:B,2,FALSE),B1812),PlayerValues!E:E,0)),"N/A")</f>
        <v>17685</v>
      </c>
      <c r="B1812" s="4" t="s">
        <v>630</v>
      </c>
      <c r="C1812" s="4" t="s">
        <v>278</v>
      </c>
      <c r="D1812" s="94">
        <v>1736.0</v>
      </c>
    </row>
    <row r="1813">
      <c r="A1813" s="40">
        <f t="array" ref="A1813">IFNA(index(PlayerValues!A:A,match(IFNA(vlookup(B1813,'Special Names'!A:B,2,FALSE),B1813),PlayerValues!E:E,0)),"N/A")</f>
        <v>17034</v>
      </c>
      <c r="B1813" s="4" t="s">
        <v>643</v>
      </c>
      <c r="C1813" s="4" t="s">
        <v>283</v>
      </c>
      <c r="D1813" s="94">
        <v>1722.0</v>
      </c>
    </row>
    <row r="1814">
      <c r="A1814" s="40">
        <f t="array" ref="A1814">IFNA(index(PlayerValues!A:A,match(IFNA(vlookup(B1814,'Special Names'!A:B,2,FALSE),B1814),PlayerValues!E:E,0)),"N/A")</f>
        <v>13164</v>
      </c>
      <c r="B1814" s="4" t="s">
        <v>632</v>
      </c>
      <c r="C1814" s="4" t="s">
        <v>287</v>
      </c>
      <c r="D1814" s="94">
        <v>1718.0</v>
      </c>
    </row>
    <row r="1815">
      <c r="A1815" s="40">
        <f t="array" ref="A1815">IFNA(index(PlayerValues!A:A,match(IFNA(vlookup(B1815,'Special Names'!A:B,2,FALSE),B1815),PlayerValues!E:E,0)),"N/A")</f>
        <v>15787</v>
      </c>
      <c r="B1815" s="4" t="s">
        <v>610</v>
      </c>
      <c r="C1815" s="4" t="s">
        <v>287</v>
      </c>
      <c r="D1815" s="94">
        <v>1713.0</v>
      </c>
    </row>
    <row r="1816">
      <c r="A1816" s="40">
        <f t="array" ref="A1816">IFNA(index(PlayerValues!A:A,match(IFNA(vlookup(B1816,'Special Names'!A:B,2,FALSE),B1816),PlayerValues!E:E,0)),"N/A")</f>
        <v>17049</v>
      </c>
      <c r="B1816" s="4" t="s">
        <v>624</v>
      </c>
      <c r="C1816" s="4" t="s">
        <v>278</v>
      </c>
      <c r="D1816" s="94">
        <v>1708.0</v>
      </c>
    </row>
    <row r="1817">
      <c r="A1817" s="40">
        <f t="array" ref="A1817">IFNA(index(PlayerValues!A:A,match(IFNA(vlookup(B1817,'Special Names'!A:B,2,FALSE),B1817),PlayerValues!E:E,0)),"N/A")</f>
        <v>17529</v>
      </c>
      <c r="B1817" s="4" t="s">
        <v>608</v>
      </c>
      <c r="C1817" s="4" t="s">
        <v>287</v>
      </c>
      <c r="D1817" s="94">
        <v>1691.0</v>
      </c>
    </row>
    <row r="1818">
      <c r="A1818" s="40">
        <f t="array" ref="A1818">IFNA(index(PlayerValues!A:A,match(IFNA(vlookup(B1818,'Special Names'!A:B,2,FALSE),B1818),PlayerValues!E:E,0)),"N/A")</f>
        <v>14143</v>
      </c>
      <c r="B1818" s="4" t="s">
        <v>635</v>
      </c>
      <c r="C1818" s="4" t="s">
        <v>298</v>
      </c>
      <c r="D1818" s="94">
        <v>2068.0</v>
      </c>
    </row>
    <row r="1819">
      <c r="A1819" s="40">
        <f t="array" ref="A1819">IFNA(index(PlayerValues!A:A,match(IFNA(vlookup(B1819,'Special Names'!A:B,2,FALSE),B1819),PlayerValues!E:E,0)),"N/A")</f>
        <v>16171</v>
      </c>
      <c r="B1819" s="4" t="s">
        <v>618</v>
      </c>
      <c r="C1819" s="4" t="s">
        <v>278</v>
      </c>
      <c r="D1819" s="94">
        <v>1683.0</v>
      </c>
    </row>
    <row r="1820">
      <c r="A1820" s="40">
        <f t="array" ref="A1820">IFNA(index(PlayerValues!A:A,match(IFNA(vlookup(B1820,'Special Names'!A:B,2,FALSE),B1820),PlayerValues!E:E,0)),"N/A")</f>
        <v>17058</v>
      </c>
      <c r="B1820" s="4" t="s">
        <v>641</v>
      </c>
      <c r="C1820" s="4" t="s">
        <v>278</v>
      </c>
      <c r="D1820" s="94">
        <v>1681.0</v>
      </c>
    </row>
    <row r="1821">
      <c r="A1821" s="40">
        <f t="array" ref="A1821">IFNA(index(PlayerValues!A:A,match(IFNA(vlookup(B1821,'Special Names'!A:B,2,FALSE),B1821),PlayerValues!E:E,0)),"N/A")</f>
        <v>15752</v>
      </c>
      <c r="B1821" s="4" t="s">
        <v>647</v>
      </c>
      <c r="C1821" s="4" t="s">
        <v>287</v>
      </c>
      <c r="D1821" s="94">
        <v>1665.0</v>
      </c>
    </row>
    <row r="1822">
      <c r="A1822" s="40">
        <f t="array" ref="A1822">IFNA(index(PlayerValues!A:A,match(IFNA(vlookup(B1822,'Special Names'!A:B,2,FALSE),B1822),PlayerValues!E:E,0)),"N/A")</f>
        <v>15755</v>
      </c>
      <c r="B1822" s="4" t="s">
        <v>628</v>
      </c>
      <c r="C1822" s="4" t="s">
        <v>287</v>
      </c>
      <c r="D1822" s="94">
        <v>1661.0</v>
      </c>
    </row>
    <row r="1823">
      <c r="A1823" s="40" t="str">
        <f t="array" ref="A1823">IFNA(index(PlayerValues!A:A,match(IFNA(vlookup(B1823,'Special Names'!A:B,2,FALSE),B1823),PlayerValues!E:E,0)),"N/A")</f>
        <v>N/A</v>
      </c>
      <c r="B1823" s="4" t="s">
        <v>115</v>
      </c>
      <c r="C1823" s="4" t="s">
        <v>325</v>
      </c>
      <c r="D1823" s="94">
        <v>1649.0</v>
      </c>
    </row>
    <row r="1824">
      <c r="A1824" s="40">
        <f t="array" ref="A1824">IFNA(index(PlayerValues!A:A,match(IFNA(vlookup(B1824,'Special Names'!A:B,2,FALSE),B1824),PlayerValues!E:E,0)),"N/A")</f>
        <v>16207</v>
      </c>
      <c r="B1824" s="4" t="s">
        <v>636</v>
      </c>
      <c r="C1824" s="4" t="s">
        <v>287</v>
      </c>
      <c r="D1824" s="94">
        <v>1645.0</v>
      </c>
    </row>
    <row r="1825">
      <c r="A1825" s="40" t="str">
        <f t="array" ref="A1825">IFNA(index(PlayerValues!A:A,match(IFNA(vlookup(B1825,'Special Names'!A:B,2,FALSE),B1825),PlayerValues!E:E,0)),"N/A")</f>
        <v>N/A</v>
      </c>
      <c r="B1825" s="4" t="s">
        <v>103</v>
      </c>
      <c r="C1825" s="4" t="s">
        <v>325</v>
      </c>
      <c r="D1825" s="94">
        <v>1645.0</v>
      </c>
    </row>
    <row r="1826">
      <c r="A1826" s="40">
        <f t="array" ref="A1826">IFNA(index(PlayerValues!A:A,match(IFNA(vlookup(B1826,'Special Names'!A:B,2,FALSE),B1826),PlayerValues!E:E,0)),"N/A")</f>
        <v>17521</v>
      </c>
      <c r="B1826" s="4" t="s">
        <v>573</v>
      </c>
      <c r="C1826" s="4" t="s">
        <v>287</v>
      </c>
      <c r="D1826" s="94">
        <v>1642.0</v>
      </c>
    </row>
    <row r="1827">
      <c r="A1827" s="40">
        <f t="array" ref="A1827">IFNA(index(PlayerValues!A:A,match(IFNA(vlookup(B1827,'Special Names'!A:B,2,FALSE),B1827),PlayerValues!E:E,0)),"N/A")</f>
        <v>16608</v>
      </c>
      <c r="B1827" s="4" t="s">
        <v>629</v>
      </c>
      <c r="C1827" s="4" t="s">
        <v>278</v>
      </c>
      <c r="D1827" s="94">
        <v>1640.0</v>
      </c>
    </row>
    <row r="1828">
      <c r="A1828" s="40">
        <f t="array" ref="A1828">IFNA(index(PlayerValues!A:A,match(IFNA(vlookup(B1828,'Special Names'!A:B,2,FALSE),B1828),PlayerValues!E:E,0)),"N/A")</f>
        <v>17096</v>
      </c>
      <c r="B1828" s="4" t="s">
        <v>638</v>
      </c>
      <c r="C1828" s="4" t="s">
        <v>287</v>
      </c>
      <c r="D1828" s="94">
        <v>1628.0</v>
      </c>
    </row>
    <row r="1829">
      <c r="A1829" s="40">
        <f t="array" ref="A1829">IFNA(index(PlayerValues!A:A,match(IFNA(vlookup(B1829,'Special Names'!A:B,2,FALSE),B1829),PlayerValues!E:E,0)),"N/A")</f>
        <v>16201</v>
      </c>
      <c r="B1829" s="4" t="s">
        <v>589</v>
      </c>
      <c r="C1829" s="4" t="s">
        <v>287</v>
      </c>
      <c r="D1829" s="94">
        <v>1610.0</v>
      </c>
    </row>
    <row r="1830">
      <c r="A1830" s="40">
        <f t="array" ref="A1830">IFNA(index(PlayerValues!A:A,match(IFNA(vlookup(B1830,'Special Names'!A:B,2,FALSE),B1830),PlayerValues!E:E,0)),"N/A")</f>
        <v>16585</v>
      </c>
      <c r="B1830" s="4" t="s">
        <v>623</v>
      </c>
      <c r="C1830" s="4" t="s">
        <v>283</v>
      </c>
      <c r="D1830" s="94">
        <v>1597.0</v>
      </c>
    </row>
    <row r="1831">
      <c r="A1831" s="40" t="str">
        <f t="array" ref="A1831">IFNA(index(PlayerValues!A:A,match(IFNA(vlookup(B1831,'Special Names'!A:B,2,FALSE),B1831),PlayerValues!E:E,0)),"N/A")</f>
        <v>N/A</v>
      </c>
      <c r="B1831" s="4" t="s">
        <v>90</v>
      </c>
      <c r="C1831" s="4" t="s">
        <v>325</v>
      </c>
      <c r="D1831" s="94">
        <v>1593.0</v>
      </c>
    </row>
    <row r="1832">
      <c r="A1832" s="40">
        <f t="array" ref="A1832">IFNA(index(PlayerValues!A:A,match(IFNA(vlookup(B1832,'Special Names'!A:B,2,FALSE),B1832),PlayerValues!E:E,0)),"N/A")</f>
        <v>16635</v>
      </c>
      <c r="B1832" s="4" t="s">
        <v>645</v>
      </c>
      <c r="C1832" s="4" t="s">
        <v>287</v>
      </c>
      <c r="D1832" s="94">
        <v>1592.0</v>
      </c>
    </row>
    <row r="1833">
      <c r="A1833" s="40">
        <f t="array" ref="A1833">IFNA(index(PlayerValues!A:A,match(IFNA(vlookup(B1833,'Special Names'!A:B,2,FALSE),B1833),PlayerValues!E:E,0)),"N/A")</f>
        <v>17035</v>
      </c>
      <c r="B1833" s="4" t="s">
        <v>650</v>
      </c>
      <c r="C1833" s="4" t="s">
        <v>283</v>
      </c>
      <c r="D1833" s="94">
        <v>1592.0</v>
      </c>
    </row>
    <row r="1834">
      <c r="A1834" s="40">
        <f t="array" ref="A1834">IFNA(index(PlayerValues!A:A,match(IFNA(vlookup(B1834,'Special Names'!A:B,2,FALSE),B1834),PlayerValues!E:E,0)),"N/A")</f>
        <v>14122</v>
      </c>
      <c r="B1834" s="4" t="s">
        <v>663</v>
      </c>
      <c r="C1834" s="4" t="s">
        <v>287</v>
      </c>
      <c r="D1834" s="94">
        <v>1585.0</v>
      </c>
    </row>
    <row r="1835">
      <c r="A1835" s="40">
        <f t="array" ref="A1835">IFNA(index(PlayerValues!A:A,match(IFNA(vlookup(B1835,'Special Names'!A:B,2,FALSE),B1835),PlayerValues!E:E,0)),"N/A")</f>
        <v>16629</v>
      </c>
      <c r="B1835" s="4" t="s">
        <v>605</v>
      </c>
      <c r="C1835" s="4" t="s">
        <v>287</v>
      </c>
      <c r="D1835" s="94">
        <v>1585.0</v>
      </c>
    </row>
    <row r="1836">
      <c r="A1836" s="40">
        <f t="array" ref="A1836">IFNA(index(PlayerValues!A:A,match(IFNA(vlookup(B1836,'Special Names'!A:B,2,FALSE),B1836),PlayerValues!E:E,0)),"N/A")</f>
        <v>17064</v>
      </c>
      <c r="B1836" s="4" t="s">
        <v>631</v>
      </c>
      <c r="C1836" s="4" t="s">
        <v>278</v>
      </c>
      <c r="D1836" s="94">
        <v>1576.0</v>
      </c>
    </row>
    <row r="1837">
      <c r="A1837" s="40">
        <f t="array" ref="A1837">IFNA(index(PlayerValues!A:A,match(IFNA(vlookup(B1837,'Special Names'!A:B,2,FALSE),B1837),PlayerValues!E:E,0)),"N/A")</f>
        <v>14840</v>
      </c>
      <c r="B1837" s="4" t="s">
        <v>731</v>
      </c>
      <c r="C1837" s="4" t="s">
        <v>287</v>
      </c>
      <c r="D1837" s="94">
        <v>1571.0</v>
      </c>
    </row>
    <row r="1838">
      <c r="A1838" s="40">
        <f t="array" ref="A1838">IFNA(index(PlayerValues!A:A,match(IFNA(vlookup(B1838,'Special Names'!A:B,2,FALSE),B1838),PlayerValues!E:E,0)),"N/A")</f>
        <v>15337</v>
      </c>
      <c r="B1838" s="4" t="s">
        <v>655</v>
      </c>
      <c r="C1838" s="4" t="s">
        <v>298</v>
      </c>
      <c r="D1838" s="94">
        <v>1927.0</v>
      </c>
    </row>
    <row r="1839">
      <c r="A1839" s="40">
        <f t="array" ref="A1839">IFNA(index(PlayerValues!A:A,match(IFNA(vlookup(B1839,'Special Names'!A:B,2,FALSE),B1839),PlayerValues!E:E,0)),"N/A")</f>
        <v>12801</v>
      </c>
      <c r="B1839" s="4" t="s">
        <v>722</v>
      </c>
      <c r="C1839" s="4" t="s">
        <v>287</v>
      </c>
      <c r="D1839" s="94">
        <v>1539.0</v>
      </c>
    </row>
    <row r="1840">
      <c r="A1840" s="40" t="str">
        <f t="array" ref="A1840">IFNA(index(PlayerValues!A:A,match(IFNA(vlookup(B1840,'Special Names'!A:B,2,FALSE),B1840),PlayerValues!E:E,0)),"N/A")</f>
        <v>N/A</v>
      </c>
      <c r="B1840" s="4" t="s">
        <v>91</v>
      </c>
      <c r="C1840" s="4" t="s">
        <v>325</v>
      </c>
      <c r="D1840" s="94">
        <v>1533.0</v>
      </c>
    </row>
    <row r="1841">
      <c r="A1841" s="40" t="str">
        <f t="array" ref="A1841">IFNA(index(PlayerValues!A:A,match(IFNA(vlookup(B1841,'Special Names'!A:B,2,FALSE),B1841),PlayerValues!E:E,0)),"N/A")</f>
        <v>N/A</v>
      </c>
      <c r="B1841" s="4" t="s">
        <v>116</v>
      </c>
      <c r="C1841" s="4" t="s">
        <v>325</v>
      </c>
      <c r="D1841" s="94">
        <v>1523.0</v>
      </c>
    </row>
    <row r="1842">
      <c r="A1842" s="40">
        <f t="array" ref="A1842">IFNA(index(PlayerValues!A:A,match(IFNA(vlookup(B1842,'Special Names'!A:B,2,FALSE),B1842),PlayerValues!E:E,0)),"N/A")</f>
        <v>15319</v>
      </c>
      <c r="B1842" s="4" t="s">
        <v>644</v>
      </c>
      <c r="C1842" s="4" t="s">
        <v>287</v>
      </c>
      <c r="D1842" s="94">
        <v>1520.0</v>
      </c>
    </row>
    <row r="1843">
      <c r="A1843" s="40">
        <f t="array" ref="A1843">IFNA(index(PlayerValues!A:A,match(IFNA(vlookup(B1843,'Special Names'!A:B,2,FALSE),B1843),PlayerValues!E:E,0)),"N/A")</f>
        <v>16595</v>
      </c>
      <c r="B1843" s="4" t="s">
        <v>664</v>
      </c>
      <c r="C1843" s="4" t="s">
        <v>278</v>
      </c>
      <c r="D1843" s="94">
        <v>1515.0</v>
      </c>
    </row>
    <row r="1844">
      <c r="A1844" s="40">
        <f t="array" ref="A1844">IFNA(index(PlayerValues!A:A,match(IFNA(vlookup(B1844,'Special Names'!A:B,2,FALSE),B1844),PlayerValues!E:E,0)),"N/A")</f>
        <v>16601</v>
      </c>
      <c r="B1844" s="4" t="s">
        <v>648</v>
      </c>
      <c r="C1844" s="4" t="s">
        <v>278</v>
      </c>
      <c r="D1844" s="94">
        <v>1513.0</v>
      </c>
    </row>
    <row r="1845">
      <c r="A1845" s="40">
        <f t="array" ref="A1845">IFNA(index(PlayerValues!A:A,match(IFNA(vlookup(B1845,'Special Names'!A:B,2,FALSE),B1845),PlayerValues!E:E,0)),"N/A")</f>
        <v>17465</v>
      </c>
      <c r="B1845" s="4" t="s">
        <v>649</v>
      </c>
      <c r="C1845" s="4" t="s">
        <v>283</v>
      </c>
      <c r="D1845" s="94">
        <v>1500.0</v>
      </c>
    </row>
    <row r="1846">
      <c r="A1846" s="40">
        <f t="array" ref="A1846">IFNA(index(PlayerValues!A:A,match(IFNA(vlookup(B1846,'Special Names'!A:B,2,FALSE),B1846),PlayerValues!E:E,0)),"N/A")</f>
        <v>13672</v>
      </c>
      <c r="B1846" s="4" t="s">
        <v>667</v>
      </c>
      <c r="C1846" s="4" t="s">
        <v>298</v>
      </c>
      <c r="D1846" s="94">
        <v>1871.0</v>
      </c>
    </row>
    <row r="1847">
      <c r="A1847" s="40">
        <f t="array" ref="A1847">IFNA(index(PlayerValues!A:A,match(IFNA(vlookup(B1847,'Special Names'!A:B,2,FALSE),B1847),PlayerValues!E:E,0)),"N/A")</f>
        <v>15301</v>
      </c>
      <c r="B1847" s="4" t="s">
        <v>657</v>
      </c>
      <c r="C1847" s="4" t="s">
        <v>287</v>
      </c>
      <c r="D1847" s="94">
        <v>1495.0</v>
      </c>
    </row>
    <row r="1848">
      <c r="A1848" s="40">
        <f t="array" ref="A1848">IFNA(index(PlayerValues!A:A,match(IFNA(vlookup(B1848,'Special Names'!A:B,2,FALSE),B1848),PlayerValues!E:E,0)),"N/A")</f>
        <v>16387</v>
      </c>
      <c r="B1848" s="4" t="s">
        <v>646</v>
      </c>
      <c r="C1848" s="4" t="s">
        <v>278</v>
      </c>
      <c r="D1848" s="94">
        <v>1494.0</v>
      </c>
    </row>
    <row r="1849">
      <c r="A1849" s="40">
        <f t="array" ref="A1849">IFNA(index(PlayerValues!A:A,match(IFNA(vlookup(B1849,'Special Names'!A:B,2,FALSE),B1849),PlayerValues!E:E,0)),"N/A")</f>
        <v>15738</v>
      </c>
      <c r="B1849" s="4" t="s">
        <v>634</v>
      </c>
      <c r="C1849" s="4" t="s">
        <v>278</v>
      </c>
      <c r="D1849" s="94">
        <v>1485.0</v>
      </c>
    </row>
    <row r="1850">
      <c r="A1850" s="40">
        <f t="array" ref="A1850">IFNA(index(PlayerValues!A:A,match(IFNA(vlookup(B1850,'Special Names'!A:B,2,FALSE),B1850),PlayerValues!E:E,0)),"N/A")</f>
        <v>17652</v>
      </c>
      <c r="B1850" s="4" t="s">
        <v>576</v>
      </c>
      <c r="C1850" s="4" t="s">
        <v>278</v>
      </c>
      <c r="D1850" s="94">
        <v>1479.0</v>
      </c>
    </row>
    <row r="1851">
      <c r="A1851" s="40">
        <f t="array" ref="A1851">IFNA(index(PlayerValues!A:A,match(IFNA(vlookup(B1851,'Special Names'!A:B,2,FALSE),B1851),PlayerValues!E:E,0)),"N/A")</f>
        <v>17234</v>
      </c>
      <c r="B1851" s="4" t="s">
        <v>653</v>
      </c>
      <c r="C1851" s="4" t="s">
        <v>287</v>
      </c>
      <c r="D1851" s="94">
        <v>1463.0</v>
      </c>
    </row>
    <row r="1852">
      <c r="A1852" s="40">
        <f t="array" ref="A1852">IFNA(index(PlayerValues!A:A,match(IFNA(vlookup(B1852,'Special Names'!A:B,2,FALSE),B1852),PlayerValues!E:E,0)),"N/A")</f>
        <v>16586</v>
      </c>
      <c r="B1852" s="4" t="s">
        <v>658</v>
      </c>
      <c r="C1852" s="4" t="s">
        <v>283</v>
      </c>
      <c r="D1852" s="94">
        <v>1461.0</v>
      </c>
    </row>
    <row r="1853">
      <c r="A1853" s="40">
        <f t="array" ref="A1853">IFNA(index(PlayerValues!A:A,match(IFNA(vlookup(B1853,'Special Names'!A:B,2,FALSE),B1853),PlayerValues!E:E,0)),"N/A")</f>
        <v>14086</v>
      </c>
      <c r="B1853" s="4" t="s">
        <v>639</v>
      </c>
      <c r="C1853" s="4" t="s">
        <v>278</v>
      </c>
      <c r="D1853" s="94">
        <v>1459.0</v>
      </c>
    </row>
    <row r="1854">
      <c r="A1854" s="40">
        <f t="array" ref="A1854">IFNA(index(PlayerValues!A:A,match(IFNA(vlookup(B1854,'Special Names'!A:B,2,FALSE),B1854),PlayerValues!E:E,0)),"N/A")</f>
        <v>14105</v>
      </c>
      <c r="B1854" s="4" t="s">
        <v>675</v>
      </c>
      <c r="C1854" s="4" t="s">
        <v>287</v>
      </c>
      <c r="D1854" s="94">
        <v>1442.0</v>
      </c>
    </row>
    <row r="1855">
      <c r="A1855" s="40">
        <f t="array" ref="A1855">IFNA(index(PlayerValues!A:A,match(IFNA(vlookup(B1855,'Special Names'!A:B,2,FALSE),B1855),PlayerValues!E:E,0)),"N/A")</f>
        <v>17205</v>
      </c>
      <c r="B1855" s="4" t="s">
        <v>665</v>
      </c>
      <c r="C1855" s="4" t="s">
        <v>287</v>
      </c>
      <c r="D1855" s="94">
        <v>1440.0</v>
      </c>
    </row>
    <row r="1856">
      <c r="A1856" s="40">
        <f t="array" ref="A1856">IFNA(index(PlayerValues!A:A,match(IFNA(vlookup(B1856,'Special Names'!A:B,2,FALSE),B1856),PlayerValues!E:E,0)),"N/A")</f>
        <v>16688</v>
      </c>
      <c r="B1856" s="4" t="s">
        <v>688</v>
      </c>
      <c r="C1856" s="4" t="s">
        <v>278</v>
      </c>
      <c r="D1856" s="94">
        <v>1427.0</v>
      </c>
    </row>
    <row r="1857">
      <c r="A1857" s="40">
        <f t="array" ref="A1857">IFNA(index(PlayerValues!A:A,match(IFNA(vlookup(B1857,'Special Names'!A:B,2,FALSE),B1857),PlayerValues!E:E,0)),"N/A")</f>
        <v>15713</v>
      </c>
      <c r="B1857" s="4" t="s">
        <v>732</v>
      </c>
      <c r="C1857" s="4" t="s">
        <v>278</v>
      </c>
      <c r="D1857" s="94">
        <v>1421.0</v>
      </c>
    </row>
    <row r="1858">
      <c r="A1858" s="40">
        <f t="array" ref="A1858">IFNA(index(PlayerValues!A:A,match(IFNA(vlookup(B1858,'Special Names'!A:B,2,FALSE),B1858),PlayerValues!E:E,0)),"N/A")</f>
        <v>16621</v>
      </c>
      <c r="B1858" s="4" t="s">
        <v>672</v>
      </c>
      <c r="C1858" s="4" t="s">
        <v>287</v>
      </c>
      <c r="D1858" s="94">
        <v>1410.0</v>
      </c>
    </row>
    <row r="1859">
      <c r="A1859" s="40">
        <f t="array" ref="A1859">IFNA(index(PlayerValues!A:A,match(IFNA(vlookup(B1859,'Special Names'!A:B,2,FALSE),B1859),PlayerValues!E:E,0)),"N/A")</f>
        <v>14137</v>
      </c>
      <c r="B1859" s="4" t="s">
        <v>676</v>
      </c>
      <c r="C1859" s="4" t="s">
        <v>298</v>
      </c>
      <c r="D1859" s="94">
        <v>1778.0</v>
      </c>
    </row>
    <row r="1860">
      <c r="A1860" s="40">
        <f t="array" ref="A1860">IFNA(index(PlayerValues!A:A,match(IFNA(vlookup(B1860,'Special Names'!A:B,2,FALSE),B1860),PlayerValues!E:E,0)),"N/A")</f>
        <v>15759</v>
      </c>
      <c r="B1860" s="4" t="s">
        <v>662</v>
      </c>
      <c r="C1860" s="4" t="s">
        <v>287</v>
      </c>
      <c r="D1860" s="94">
        <v>1406.0</v>
      </c>
    </row>
    <row r="1861">
      <c r="A1861" s="40">
        <f t="array" ref="A1861">IFNA(index(PlayerValues!A:A,match(IFNA(vlookup(B1861,'Special Names'!A:B,2,FALSE),B1861),PlayerValues!E:E,0)),"N/A")</f>
        <v>16633</v>
      </c>
      <c r="B1861" s="4" t="s">
        <v>656</v>
      </c>
      <c r="C1861" s="4" t="s">
        <v>287</v>
      </c>
      <c r="D1861" s="94">
        <v>1402.0</v>
      </c>
    </row>
    <row r="1862">
      <c r="A1862" s="40">
        <f t="array" ref="A1862">IFNA(index(PlayerValues!A:A,match(IFNA(vlookup(B1862,'Special Names'!A:B,2,FALSE),B1862),PlayerValues!E:E,0)),"N/A")</f>
        <v>16788</v>
      </c>
      <c r="B1862" s="4" t="s">
        <v>621</v>
      </c>
      <c r="C1862" s="4" t="s">
        <v>287</v>
      </c>
      <c r="D1862" s="94">
        <v>1400.0</v>
      </c>
    </row>
    <row r="1863">
      <c r="A1863" s="40">
        <f t="array" ref="A1863">IFNA(index(PlayerValues!A:A,match(IFNA(vlookup(B1863,'Special Names'!A:B,2,FALSE),B1863),PlayerValues!E:E,0)),"N/A")</f>
        <v>15292</v>
      </c>
      <c r="B1863" s="4" t="s">
        <v>682</v>
      </c>
      <c r="C1863" s="4" t="s">
        <v>287</v>
      </c>
      <c r="D1863" s="94">
        <v>1396.0</v>
      </c>
    </row>
    <row r="1864">
      <c r="A1864" s="40">
        <f t="array" ref="A1864">IFNA(index(PlayerValues!A:A,match(IFNA(vlookup(B1864,'Special Names'!A:B,2,FALSE),B1864),PlayerValues!E:E,0)),"N/A")</f>
        <v>16631</v>
      </c>
      <c r="B1864" s="4" t="s">
        <v>800</v>
      </c>
      <c r="C1864" s="4" t="s">
        <v>287</v>
      </c>
      <c r="D1864" s="94">
        <v>1393.0</v>
      </c>
    </row>
    <row r="1865">
      <c r="A1865" s="40">
        <f t="array" ref="A1865">IFNA(index(PlayerValues!A:A,match(IFNA(vlookup(B1865,'Special Names'!A:B,2,FALSE),B1865),PlayerValues!E:E,0)),"N/A")</f>
        <v>15873</v>
      </c>
      <c r="B1865" s="4" t="s">
        <v>681</v>
      </c>
      <c r="C1865" s="4" t="s">
        <v>298</v>
      </c>
      <c r="D1865" s="94">
        <v>1755.0</v>
      </c>
    </row>
    <row r="1866">
      <c r="A1866" s="40">
        <f t="array" ref="A1866">IFNA(index(PlayerValues!A:A,match(IFNA(vlookup(B1866,'Special Names'!A:B,2,FALSE),B1866),PlayerValues!E:E,0)),"N/A")</f>
        <v>16175</v>
      </c>
      <c r="B1866" s="4" t="s">
        <v>654</v>
      </c>
      <c r="C1866" s="4" t="s">
        <v>278</v>
      </c>
      <c r="D1866" s="94">
        <v>1377.0</v>
      </c>
    </row>
    <row r="1867">
      <c r="A1867" s="40">
        <f t="array" ref="A1867">IFNA(index(PlayerValues!A:A,match(IFNA(vlookup(B1867,'Special Names'!A:B,2,FALSE),B1867),PlayerValues!E:E,0)),"N/A")</f>
        <v>16645</v>
      </c>
      <c r="B1867" s="4" t="s">
        <v>651</v>
      </c>
      <c r="C1867" s="4" t="s">
        <v>298</v>
      </c>
      <c r="D1867" s="94">
        <v>1736.0</v>
      </c>
    </row>
    <row r="1868">
      <c r="A1868" s="40">
        <f t="array" ref="A1868">IFNA(index(PlayerValues!A:A,match(IFNA(vlookup(B1868,'Special Names'!A:B,2,FALSE),B1868),PlayerValues!E:E,0)),"N/A")</f>
        <v>15777</v>
      </c>
      <c r="B1868" s="4" t="s">
        <v>694</v>
      </c>
      <c r="C1868" s="4" t="s">
        <v>287</v>
      </c>
      <c r="D1868" s="94">
        <v>1352.0</v>
      </c>
    </row>
    <row r="1869">
      <c r="A1869" s="40">
        <f t="array" ref="A1869">IFNA(index(PlayerValues!A:A,match(IFNA(vlookup(B1869,'Special Names'!A:B,2,FALSE),B1869),PlayerValues!E:E,0)),"N/A")</f>
        <v>16642</v>
      </c>
      <c r="B1869" s="4" t="s">
        <v>691</v>
      </c>
      <c r="C1869" s="4" t="s">
        <v>298</v>
      </c>
      <c r="D1869" s="94">
        <v>1715.0</v>
      </c>
    </row>
    <row r="1870">
      <c r="A1870" s="40">
        <f t="array" ref="A1870">IFNA(index(PlayerValues!A:A,match(IFNA(vlookup(B1870,'Special Names'!A:B,2,FALSE),B1870),PlayerValues!E:E,0)),"N/A")</f>
        <v>16390</v>
      </c>
      <c r="B1870" s="4" t="s">
        <v>689</v>
      </c>
      <c r="C1870" s="4" t="s">
        <v>278</v>
      </c>
      <c r="D1870" s="94">
        <v>1330.0</v>
      </c>
    </row>
    <row r="1871">
      <c r="A1871" s="40">
        <f t="array" ref="A1871">IFNA(index(PlayerValues!A:A,match(IFNA(vlookup(B1871,'Special Names'!A:B,2,FALSE),B1871),PlayerValues!E:E,0)),"N/A")</f>
        <v>17054</v>
      </c>
      <c r="B1871" s="4" t="s">
        <v>670</v>
      </c>
      <c r="C1871" s="4" t="s">
        <v>278</v>
      </c>
      <c r="D1871" s="94">
        <v>1323.0</v>
      </c>
    </row>
    <row r="1872">
      <c r="A1872" s="40" t="str">
        <f t="array" ref="A1872">IFNA(index(PlayerValues!A:A,match(IFNA(vlookup(B1872,'Special Names'!A:B,2,FALSE),B1872),PlayerValues!E:E,0)),"N/A")</f>
        <v>N/A</v>
      </c>
      <c r="B1872" s="4" t="s">
        <v>117</v>
      </c>
      <c r="C1872" s="4" t="s">
        <v>325</v>
      </c>
      <c r="D1872" s="94">
        <v>1317.0</v>
      </c>
    </row>
    <row r="1873">
      <c r="A1873" s="40">
        <f t="array" ref="A1873">IFNA(index(PlayerValues!A:A,match(IFNA(vlookup(B1873,'Special Names'!A:B,2,FALSE),B1873),PlayerValues!E:E,0)),"N/A")</f>
        <v>16792</v>
      </c>
      <c r="B1873" s="4" t="s">
        <v>704</v>
      </c>
      <c r="C1873" s="4" t="s">
        <v>287</v>
      </c>
      <c r="D1873" s="94">
        <v>1310.0</v>
      </c>
    </row>
    <row r="1874">
      <c r="A1874" s="40">
        <f t="array" ref="A1874">IFNA(index(PlayerValues!A:A,match(IFNA(vlookup(B1874,'Special Names'!A:B,2,FALSE),B1874),PlayerValues!E:E,0)),"N/A")</f>
        <v>17254</v>
      </c>
      <c r="B1874" s="4" t="s">
        <v>679</v>
      </c>
      <c r="C1874" s="4" t="s">
        <v>287</v>
      </c>
      <c r="D1874" s="94">
        <v>1303.0</v>
      </c>
    </row>
    <row r="1875">
      <c r="A1875" s="40">
        <f t="array" ref="A1875">IFNA(index(PlayerValues!A:A,match(IFNA(vlookup(B1875,'Special Names'!A:B,2,FALSE),B1875),PlayerValues!E:E,0)),"N/A")</f>
        <v>16746</v>
      </c>
      <c r="B1875" s="4" t="s">
        <v>709</v>
      </c>
      <c r="C1875" s="4" t="s">
        <v>278</v>
      </c>
      <c r="D1875" s="94">
        <v>1301.0</v>
      </c>
    </row>
    <row r="1876">
      <c r="A1876" s="40">
        <f t="array" ref="A1876">IFNA(index(PlayerValues!A:A,match(IFNA(vlookup(B1876,'Special Names'!A:B,2,FALSE),B1876),PlayerValues!E:E,0)),"N/A")</f>
        <v>17063</v>
      </c>
      <c r="B1876" s="4" t="s">
        <v>686</v>
      </c>
      <c r="C1876" s="4" t="s">
        <v>278</v>
      </c>
      <c r="D1876" s="94">
        <v>1298.0</v>
      </c>
    </row>
    <row r="1877">
      <c r="A1877" s="40">
        <f t="array" ref="A1877">IFNA(index(PlayerValues!A:A,match(IFNA(vlookup(B1877,'Special Names'!A:B,2,FALSE),B1877),PlayerValues!E:E,0)),"N/A")</f>
        <v>17475</v>
      </c>
      <c r="B1877" s="4" t="s">
        <v>615</v>
      </c>
      <c r="C1877" s="4" t="s">
        <v>278</v>
      </c>
      <c r="D1877" s="94">
        <v>1297.0</v>
      </c>
    </row>
    <row r="1878">
      <c r="A1878" s="40">
        <f t="array" ref="A1878">IFNA(index(PlayerValues!A:A,match(IFNA(vlookup(B1878,'Special Names'!A:B,2,FALSE),B1878),PlayerValues!E:E,0)),"N/A")</f>
        <v>12678</v>
      </c>
      <c r="B1878" s="4" t="s">
        <v>703</v>
      </c>
      <c r="C1878" s="4" t="s">
        <v>298</v>
      </c>
      <c r="D1878" s="94">
        <v>1665.0</v>
      </c>
    </row>
    <row r="1879">
      <c r="A1879" s="40">
        <f t="array" ref="A1879">IFNA(index(PlayerValues!A:A,match(IFNA(vlookup(B1879,'Special Names'!A:B,2,FALSE),B1879),PlayerValues!E:E,0)),"N/A")</f>
        <v>17097</v>
      </c>
      <c r="B1879" s="4" t="s">
        <v>659</v>
      </c>
      <c r="C1879" s="4" t="s">
        <v>287</v>
      </c>
      <c r="D1879" s="94">
        <v>1294.0</v>
      </c>
    </row>
    <row r="1880">
      <c r="A1880" s="40">
        <f t="array" ref="A1880">IFNA(index(PlayerValues!A:A,match(IFNA(vlookup(B1880,'Special Names'!A:B,2,FALSE),B1880),PlayerValues!E:E,0)),"N/A")</f>
        <v>14095</v>
      </c>
      <c r="B1880" s="4" t="s">
        <v>680</v>
      </c>
      <c r="C1880" s="4" t="s">
        <v>278</v>
      </c>
      <c r="D1880" s="94">
        <v>1282.0</v>
      </c>
    </row>
    <row r="1881">
      <c r="A1881" s="40">
        <f t="array" ref="A1881">IFNA(index(PlayerValues!A:A,match(IFNA(vlookup(B1881,'Special Names'!A:B,2,FALSE),B1881),PlayerValues!E:E,0)),"N/A")</f>
        <v>16183</v>
      </c>
      <c r="B1881" s="4" t="s">
        <v>678</v>
      </c>
      <c r="C1881" s="4" t="s">
        <v>287</v>
      </c>
      <c r="D1881" s="94">
        <v>1276.0</v>
      </c>
    </row>
    <row r="1882">
      <c r="A1882" s="40">
        <f t="array" ref="A1882">IFNA(index(PlayerValues!A:A,match(IFNA(vlookup(B1882,'Special Names'!A:B,2,FALSE),B1882),PlayerValues!E:E,0)),"N/A")</f>
        <v>16636</v>
      </c>
      <c r="B1882" s="4" t="s">
        <v>699</v>
      </c>
      <c r="C1882" s="4" t="s">
        <v>287</v>
      </c>
      <c r="D1882" s="94">
        <v>1272.0</v>
      </c>
    </row>
    <row r="1883">
      <c r="A1883" s="40">
        <f t="array" ref="A1883">IFNA(index(PlayerValues!A:A,match(IFNA(vlookup(B1883,'Special Names'!A:B,2,FALSE),B1883),PlayerValues!E:E,0)),"N/A")</f>
        <v>16384</v>
      </c>
      <c r="B1883" s="4" t="s">
        <v>696</v>
      </c>
      <c r="C1883" s="4" t="s">
        <v>283</v>
      </c>
      <c r="D1883" s="94">
        <v>1269.0</v>
      </c>
    </row>
    <row r="1884">
      <c r="A1884" s="40">
        <f t="array" ref="A1884">IFNA(index(PlayerValues!A:A,match(IFNA(vlookup(B1884,'Special Names'!A:B,2,FALSE),B1884),PlayerValues!E:E,0)),"N/A")</f>
        <v>12140</v>
      </c>
      <c r="B1884" s="4" t="s">
        <v>702</v>
      </c>
      <c r="C1884" s="4" t="s">
        <v>283</v>
      </c>
      <c r="D1884" s="94">
        <v>1258.0</v>
      </c>
    </row>
    <row r="1885">
      <c r="A1885" s="40">
        <f t="array" ref="A1885">IFNA(index(PlayerValues!A:A,match(IFNA(vlookup(B1885,'Special Names'!A:B,2,FALSE),B1885),PlayerValues!E:E,0)),"N/A")</f>
        <v>17657</v>
      </c>
      <c r="B1885" s="4" t="s">
        <v>642</v>
      </c>
      <c r="C1885" s="4" t="s">
        <v>283</v>
      </c>
      <c r="D1885" s="94">
        <v>1256.0</v>
      </c>
    </row>
    <row r="1886">
      <c r="A1886" s="40">
        <f t="array" ref="A1886">IFNA(index(PlayerValues!A:A,match(IFNA(vlookup(B1886,'Special Names'!A:B,2,FALSE),B1886),PlayerValues!E:E,0)),"N/A")</f>
        <v>14592</v>
      </c>
      <c r="B1886" s="4" t="s">
        <v>705</v>
      </c>
      <c r="C1886" s="4" t="s">
        <v>287</v>
      </c>
      <c r="D1886" s="94">
        <v>1255.0</v>
      </c>
    </row>
    <row r="1887">
      <c r="A1887" s="40">
        <f t="array" ref="A1887">IFNA(index(PlayerValues!A:A,match(IFNA(vlookup(B1887,'Special Names'!A:B,2,FALSE),B1887),PlayerValues!E:E,0)),"N/A")</f>
        <v>15332</v>
      </c>
      <c r="B1887" s="4" t="s">
        <v>698</v>
      </c>
      <c r="C1887" s="4" t="s">
        <v>298</v>
      </c>
      <c r="D1887" s="94">
        <v>1613.0</v>
      </c>
    </row>
    <row r="1888">
      <c r="A1888" s="40">
        <f t="array" ref="A1888">IFNA(index(PlayerValues!A:A,match(IFNA(vlookup(B1888,'Special Names'!A:B,2,FALSE),B1888),PlayerValues!E:E,0)),"N/A")</f>
        <v>17510</v>
      </c>
      <c r="B1888" s="4" t="s">
        <v>661</v>
      </c>
      <c r="C1888" s="4" t="s">
        <v>287</v>
      </c>
      <c r="D1888" s="94">
        <v>1245.0</v>
      </c>
    </row>
    <row r="1889">
      <c r="A1889" s="40">
        <f t="array" ref="A1889">IFNA(index(PlayerValues!A:A,match(IFNA(vlookup(B1889,'Special Names'!A:B,2,FALSE),B1889),PlayerValues!E:E,0)),"N/A")</f>
        <v>17037</v>
      </c>
      <c r="B1889" s="4" t="s">
        <v>727</v>
      </c>
      <c r="C1889" s="4" t="s">
        <v>283</v>
      </c>
      <c r="D1889" s="94">
        <v>1239.0</v>
      </c>
    </row>
    <row r="1890">
      <c r="A1890" s="40">
        <f t="array" ref="A1890">IFNA(index(PlayerValues!A:A,match(IFNA(vlookup(B1890,'Special Names'!A:B,2,FALSE),B1890),PlayerValues!E:E,0)),"N/A")</f>
        <v>16883</v>
      </c>
      <c r="B1890" s="4" t="s">
        <v>683</v>
      </c>
      <c r="C1890" s="4" t="s">
        <v>287</v>
      </c>
      <c r="D1890" s="94">
        <v>1224.0</v>
      </c>
    </row>
    <row r="1891">
      <c r="A1891" s="40">
        <f t="array" ref="A1891">IFNA(index(PlayerValues!A:A,match(IFNA(vlookup(B1891,'Special Names'!A:B,2,FALSE),B1891),PlayerValues!E:E,0)),"N/A")</f>
        <v>15702</v>
      </c>
      <c r="B1891" s="4" t="s">
        <v>723</v>
      </c>
      <c r="C1891" s="4" t="s">
        <v>283</v>
      </c>
      <c r="D1891" s="94">
        <v>1222.0</v>
      </c>
    </row>
    <row r="1892">
      <c r="A1892" s="40">
        <f t="array" ref="A1892">IFNA(index(PlayerValues!A:A,match(IFNA(vlookup(B1892,'Special Names'!A:B,2,FALSE),B1892),PlayerValues!E:E,0)),"N/A")</f>
        <v>16385</v>
      </c>
      <c r="B1892" s="4" t="s">
        <v>690</v>
      </c>
      <c r="C1892" s="4" t="s">
        <v>278</v>
      </c>
      <c r="D1892" s="94">
        <v>1213.0</v>
      </c>
    </row>
    <row r="1893">
      <c r="A1893" s="40">
        <f t="array" ref="A1893">IFNA(index(PlayerValues!A:A,match(IFNA(vlookup(B1893,'Special Names'!A:B,2,FALSE),B1893),PlayerValues!E:E,0)),"N/A")</f>
        <v>16199</v>
      </c>
      <c r="B1893" s="4" t="s">
        <v>687</v>
      </c>
      <c r="C1893" s="4" t="s">
        <v>287</v>
      </c>
      <c r="D1893" s="94">
        <v>1208.0</v>
      </c>
    </row>
    <row r="1894">
      <c r="A1894" s="40">
        <f t="array" ref="A1894">IFNA(index(PlayerValues!A:A,match(IFNA(vlookup(B1894,'Special Names'!A:B,2,FALSE),B1894),PlayerValues!E:E,0)),"N/A")</f>
        <v>17062</v>
      </c>
      <c r="B1894" s="4" t="s">
        <v>701</v>
      </c>
      <c r="C1894" s="4" t="s">
        <v>278</v>
      </c>
      <c r="D1894" s="94">
        <v>1207.0</v>
      </c>
    </row>
    <row r="1895">
      <c r="A1895" s="40">
        <f t="array" ref="A1895">IFNA(index(PlayerValues!A:A,match(IFNA(vlookup(B1895,'Special Names'!A:B,2,FALSE),B1895),PlayerValues!E:E,0)),"N/A")</f>
        <v>17192</v>
      </c>
      <c r="B1895" s="4" t="s">
        <v>677</v>
      </c>
      <c r="C1895" s="4" t="s">
        <v>287</v>
      </c>
      <c r="D1895" s="94">
        <v>1207.0</v>
      </c>
    </row>
    <row r="1896">
      <c r="A1896" s="40">
        <f t="array" ref="A1896">IFNA(index(PlayerValues!A:A,match(IFNA(vlookup(B1896,'Special Names'!A:B,2,FALSE),B1896),PlayerValues!E:E,0)),"N/A")</f>
        <v>14080</v>
      </c>
      <c r="B1896" s="4" t="s">
        <v>716</v>
      </c>
      <c r="C1896" s="4" t="s">
        <v>278</v>
      </c>
      <c r="D1896" s="94">
        <v>1202.0</v>
      </c>
    </row>
    <row r="1897">
      <c r="A1897" s="40">
        <f t="array" ref="A1897">IFNA(index(PlayerValues!A:A,match(IFNA(vlookup(B1897,'Special Names'!A:B,2,FALSE),B1897),PlayerValues!E:E,0)),"N/A")</f>
        <v>13418</v>
      </c>
      <c r="B1897" s="4" t="s">
        <v>706</v>
      </c>
      <c r="C1897" s="4" t="s">
        <v>287</v>
      </c>
      <c r="D1897" s="94">
        <v>1201.0</v>
      </c>
    </row>
    <row r="1898">
      <c r="A1898" s="40">
        <f t="array" ref="A1898">IFNA(index(PlayerValues!A:A,match(IFNA(vlookup(B1898,'Special Names'!A:B,2,FALSE),B1898),PlayerValues!E:E,0)),"N/A")</f>
        <v>17518</v>
      </c>
      <c r="B1898" s="4" t="s">
        <v>482</v>
      </c>
      <c r="C1898" s="4" t="s">
        <v>287</v>
      </c>
      <c r="D1898" s="94">
        <v>1186.0</v>
      </c>
    </row>
    <row r="1899">
      <c r="A1899" s="40">
        <f t="array" ref="A1899">IFNA(index(PlayerValues!A:A,match(IFNA(vlookup(B1899,'Special Names'!A:B,2,FALSE),B1899),PlayerValues!E:E,0)),"N/A")</f>
        <v>14067</v>
      </c>
      <c r="B1899" s="4" t="s">
        <v>735</v>
      </c>
      <c r="C1899" s="4" t="s">
        <v>283</v>
      </c>
      <c r="D1899" s="94">
        <v>1173.0</v>
      </c>
    </row>
    <row r="1900">
      <c r="A1900" s="40">
        <f t="array" ref="A1900">IFNA(index(PlayerValues!A:A,match(IFNA(vlookup(B1900,'Special Names'!A:B,2,FALSE),B1900),PlayerValues!E:E,0)),"N/A")</f>
        <v>17077</v>
      </c>
      <c r="B1900" s="4" t="s">
        <v>714</v>
      </c>
      <c r="C1900" s="4" t="s">
        <v>287</v>
      </c>
      <c r="D1900" s="94">
        <v>1173.0</v>
      </c>
    </row>
    <row r="1901">
      <c r="A1901" s="40">
        <f t="array" ref="A1901">IFNA(index(PlayerValues!A:A,match(IFNA(vlookup(B1901,'Special Names'!A:B,2,FALSE),B1901),PlayerValues!E:E,0)),"N/A")</f>
        <v>17546</v>
      </c>
      <c r="B1901" s="4" t="s">
        <v>671</v>
      </c>
      <c r="C1901" s="4" t="s">
        <v>298</v>
      </c>
      <c r="D1901" s="94">
        <v>1541.0</v>
      </c>
    </row>
    <row r="1902">
      <c r="A1902" s="40">
        <f t="array" ref="A1902">IFNA(index(PlayerValues!A:A,match(IFNA(vlookup(B1902,'Special Names'!A:B,2,FALSE),B1902),PlayerValues!E:E,0)),"N/A")</f>
        <v>17109</v>
      </c>
      <c r="B1902" s="4" t="s">
        <v>707</v>
      </c>
      <c r="C1902" s="4" t="s">
        <v>298</v>
      </c>
      <c r="D1902" s="94">
        <v>1539.0</v>
      </c>
    </row>
    <row r="1903">
      <c r="A1903" s="40">
        <f t="array" ref="A1903">IFNA(index(PlayerValues!A:A,match(IFNA(vlookup(B1903,'Special Names'!A:B,2,FALSE),B1903),PlayerValues!E:E,0)),"N/A")</f>
        <v>11222</v>
      </c>
      <c r="B1903" s="4" t="s">
        <v>622</v>
      </c>
      <c r="C1903" s="4" t="s">
        <v>287</v>
      </c>
      <c r="D1903" s="94">
        <v>1166.0</v>
      </c>
    </row>
    <row r="1904">
      <c r="A1904" s="40">
        <f t="array" ref="A1904">IFNA(index(PlayerValues!A:A,match(IFNA(vlookup(B1904,'Special Names'!A:B,2,FALSE),B1904),PlayerValues!E:E,0)),"N/A")</f>
        <v>15252</v>
      </c>
      <c r="B1904" s="4" t="s">
        <v>715</v>
      </c>
      <c r="C1904" s="4" t="s">
        <v>283</v>
      </c>
      <c r="D1904" s="94">
        <v>1166.0</v>
      </c>
    </row>
    <row r="1905">
      <c r="A1905" s="40">
        <f t="array" ref="A1905">IFNA(index(PlayerValues!A:A,match(IFNA(vlookup(B1905,'Special Names'!A:B,2,FALSE),B1905),PlayerValues!E:E,0)),"N/A")</f>
        <v>15254</v>
      </c>
      <c r="B1905" s="4" t="s">
        <v>633</v>
      </c>
      <c r="C1905" s="4" t="s">
        <v>278</v>
      </c>
      <c r="D1905" s="94">
        <v>1164.0</v>
      </c>
    </row>
    <row r="1906">
      <c r="A1906" s="40">
        <f t="array" ref="A1906">IFNA(index(PlayerValues!A:A,match(IFNA(vlookup(B1906,'Special Names'!A:B,2,FALSE),B1906),PlayerValues!E:E,0)),"N/A")</f>
        <v>17269</v>
      </c>
      <c r="B1906" s="4" t="s">
        <v>718</v>
      </c>
      <c r="C1906" s="4" t="s">
        <v>287</v>
      </c>
      <c r="D1906" s="94">
        <v>1163.0</v>
      </c>
    </row>
    <row r="1907">
      <c r="A1907" s="40">
        <f t="array" ref="A1907">IFNA(index(PlayerValues!A:A,match(IFNA(vlookup(B1907,'Special Names'!A:B,2,FALSE),B1907),PlayerValues!E:E,0)),"N/A")</f>
        <v>16333</v>
      </c>
      <c r="B1907" s="4" t="s">
        <v>711</v>
      </c>
      <c r="C1907" s="4" t="s">
        <v>298</v>
      </c>
      <c r="D1907" s="94">
        <v>1530.0</v>
      </c>
    </row>
    <row r="1908">
      <c r="A1908" s="40">
        <f t="array" ref="A1908">IFNA(index(PlayerValues!A:A,match(IFNA(vlookup(B1908,'Special Names'!A:B,2,FALSE),B1908),PlayerValues!E:E,0)),"N/A")</f>
        <v>14108</v>
      </c>
      <c r="B1908" s="4" t="s">
        <v>673</v>
      </c>
      <c r="C1908" s="4" t="s">
        <v>287</v>
      </c>
      <c r="D1908" s="94">
        <v>1156.0</v>
      </c>
    </row>
    <row r="1909">
      <c r="A1909" s="40">
        <f t="array" ref="A1909">IFNA(index(PlayerValues!A:A,match(IFNA(vlookup(B1909,'Special Names'!A:B,2,FALSE),B1909),PlayerValues!E:E,0)),"N/A")</f>
        <v>14789</v>
      </c>
      <c r="B1909" s="4" t="s">
        <v>721</v>
      </c>
      <c r="C1909" s="4" t="s">
        <v>283</v>
      </c>
      <c r="D1909" s="94">
        <v>1151.0</v>
      </c>
    </row>
    <row r="1910">
      <c r="A1910" s="40">
        <f t="array" ref="A1910">IFNA(index(PlayerValues!A:A,match(IFNA(vlookup(B1910,'Special Names'!A:B,2,FALSE),B1910),PlayerValues!E:E,0)),"N/A")</f>
        <v>15288</v>
      </c>
      <c r="B1910" s="4" t="s">
        <v>700</v>
      </c>
      <c r="C1910" s="4" t="s">
        <v>287</v>
      </c>
      <c r="D1910" s="94">
        <v>1149.0</v>
      </c>
    </row>
    <row r="1911">
      <c r="A1911" s="40">
        <f t="array" ref="A1911">IFNA(index(PlayerValues!A:A,match(IFNA(vlookup(B1911,'Special Names'!A:B,2,FALSE),B1911),PlayerValues!E:E,0)),"N/A")</f>
        <v>17057</v>
      </c>
      <c r="B1911" s="4" t="s">
        <v>708</v>
      </c>
      <c r="C1911" s="4" t="s">
        <v>278</v>
      </c>
      <c r="D1911" s="94">
        <v>1147.0</v>
      </c>
    </row>
    <row r="1912">
      <c r="A1912" s="40">
        <f t="array" ref="A1912">IFNA(index(PlayerValues!A:A,match(IFNA(vlookup(B1912,'Special Names'!A:B,2,FALSE),B1912),PlayerValues!E:E,0)),"N/A")</f>
        <v>16221</v>
      </c>
      <c r="B1912" s="4" t="s">
        <v>725</v>
      </c>
      <c r="C1912" s="4" t="s">
        <v>298</v>
      </c>
      <c r="D1912" s="94">
        <v>1516.0</v>
      </c>
    </row>
    <row r="1913">
      <c r="A1913" s="40">
        <f t="array" ref="A1913">IFNA(index(PlayerValues!A:A,match(IFNA(vlookup(B1913,'Special Names'!A:B,2,FALSE),B1913),PlayerValues!E:E,0)),"N/A")</f>
        <v>17050</v>
      </c>
      <c r="B1913" s="4" t="s">
        <v>713</v>
      </c>
      <c r="C1913" s="4" t="s">
        <v>278</v>
      </c>
      <c r="D1913" s="94">
        <v>1133.0</v>
      </c>
    </row>
    <row r="1914">
      <c r="A1914" s="40">
        <f t="array" ref="A1914">IFNA(index(PlayerValues!A:A,match(IFNA(vlookup(B1914,'Special Names'!A:B,2,FALSE),B1914),PlayerValues!E:E,0)),"N/A")</f>
        <v>16640</v>
      </c>
      <c r="B1914" s="4" t="s">
        <v>712</v>
      </c>
      <c r="C1914" s="4" t="s">
        <v>287</v>
      </c>
      <c r="D1914" s="94">
        <v>1127.0</v>
      </c>
    </row>
    <row r="1915">
      <c r="A1915" s="40">
        <f t="array" ref="A1915">IFNA(index(PlayerValues!A:A,match(IFNA(vlookup(B1915,'Special Names'!A:B,2,FALSE),B1915),PlayerValues!E:E,0)),"N/A")</f>
        <v>15981</v>
      </c>
      <c r="B1915" s="4" t="s">
        <v>729</v>
      </c>
      <c r="C1915" s="4" t="s">
        <v>287</v>
      </c>
      <c r="D1915" s="94">
        <v>1112.0</v>
      </c>
    </row>
    <row r="1916">
      <c r="A1916" s="40">
        <f t="array" ref="A1916">IFNA(index(PlayerValues!A:A,match(IFNA(vlookup(B1916,'Special Names'!A:B,2,FALSE),B1916),PlayerValues!E:E,0)),"N/A")</f>
        <v>15795</v>
      </c>
      <c r="B1916" s="4" t="s">
        <v>669</v>
      </c>
      <c r="C1916" s="4" t="s">
        <v>298</v>
      </c>
      <c r="D1916" s="94">
        <v>1467.0</v>
      </c>
    </row>
    <row r="1917">
      <c r="A1917" s="40">
        <f t="array" ref="A1917">IFNA(index(PlayerValues!A:A,match(IFNA(vlookup(B1917,'Special Names'!A:B,2,FALSE),B1917),PlayerValues!E:E,0)),"N/A")</f>
        <v>17504</v>
      </c>
      <c r="B1917" s="4" t="s">
        <v>693</v>
      </c>
      <c r="C1917" s="4" t="s">
        <v>287</v>
      </c>
      <c r="D1917" s="94">
        <v>1088.0</v>
      </c>
    </row>
    <row r="1918">
      <c r="A1918" s="40">
        <f t="array" ref="A1918">IFNA(index(PlayerValues!A:A,match(IFNA(vlookup(B1918,'Special Names'!A:B,2,FALSE),B1918),PlayerValues!E:E,0)),"N/A")</f>
        <v>12141</v>
      </c>
      <c r="B1918" s="4" t="s">
        <v>744</v>
      </c>
      <c r="C1918" s="4" t="s">
        <v>283</v>
      </c>
      <c r="D1918" s="94">
        <v>1083.0</v>
      </c>
    </row>
    <row r="1919">
      <c r="A1919" s="40">
        <f t="array" ref="A1919">IFNA(index(PlayerValues!A:A,match(IFNA(vlookup(B1919,'Special Names'!A:B,2,FALSE),B1919),PlayerValues!E:E,0)),"N/A")</f>
        <v>16149</v>
      </c>
      <c r="B1919" s="4" t="s">
        <v>740</v>
      </c>
      <c r="C1919" s="4" t="s">
        <v>283</v>
      </c>
      <c r="D1919" s="94">
        <v>1071.0</v>
      </c>
    </row>
    <row r="1920">
      <c r="A1920" s="40">
        <f t="array" ref="A1920">IFNA(index(PlayerValues!A:A,match(IFNA(vlookup(B1920,'Special Names'!A:B,2,FALSE),B1920),PlayerValues!E:E,0)),"N/A")</f>
        <v>13289</v>
      </c>
      <c r="B1920" s="4" t="s">
        <v>746</v>
      </c>
      <c r="C1920" s="4" t="s">
        <v>287</v>
      </c>
      <c r="D1920" s="94">
        <v>1064.0</v>
      </c>
    </row>
    <row r="1921">
      <c r="A1921" s="40">
        <f t="array" ref="A1921">IFNA(index(PlayerValues!A:A,match(IFNA(vlookup(B1921,'Special Names'!A:B,2,FALSE),B1921),PlayerValues!E:E,0)),"N/A")</f>
        <v>16197</v>
      </c>
      <c r="B1921" s="4" t="s">
        <v>726</v>
      </c>
      <c r="C1921" s="4" t="s">
        <v>287</v>
      </c>
      <c r="D1921" s="94">
        <v>1064.0</v>
      </c>
    </row>
    <row r="1922">
      <c r="A1922" s="40">
        <f t="array" ref="A1922">IFNA(index(PlayerValues!A:A,match(IFNA(vlookup(B1922,'Special Names'!A:B,2,FALSE),B1922),PlayerValues!E:E,0)),"N/A")</f>
        <v>14845</v>
      </c>
      <c r="B1922" s="4" t="s">
        <v>717</v>
      </c>
      <c r="C1922" s="4" t="s">
        <v>287</v>
      </c>
      <c r="D1922" s="94">
        <v>1061.0</v>
      </c>
    </row>
    <row r="1923">
      <c r="A1923" s="40">
        <f t="array" ref="A1923">IFNA(index(PlayerValues!A:A,match(IFNA(vlookup(B1923,'Special Names'!A:B,2,FALSE),B1923),PlayerValues!E:E,0)),"N/A")</f>
        <v>15240</v>
      </c>
      <c r="B1923" s="4" t="s">
        <v>751</v>
      </c>
      <c r="C1923" s="4" t="s">
        <v>283</v>
      </c>
      <c r="D1923" s="94">
        <v>1056.0</v>
      </c>
    </row>
    <row r="1924">
      <c r="A1924" s="40">
        <f t="array" ref="A1924">IFNA(index(PlayerValues!A:A,match(IFNA(vlookup(B1924,'Special Names'!A:B,2,FALSE),B1924),PlayerValues!E:E,0)),"N/A")</f>
        <v>15109</v>
      </c>
      <c r="B1924" s="4" t="s">
        <v>728</v>
      </c>
      <c r="C1924" s="4" t="s">
        <v>287</v>
      </c>
      <c r="D1924" s="94">
        <v>1033.0</v>
      </c>
    </row>
    <row r="1925">
      <c r="A1925" s="40">
        <f t="array" ref="A1925">IFNA(index(PlayerValues!A:A,match(IFNA(vlookup(B1925,'Special Names'!A:B,2,FALSE),B1925),PlayerValues!E:E,0)),"N/A")</f>
        <v>14849</v>
      </c>
      <c r="B1925" s="4" t="s">
        <v>733</v>
      </c>
      <c r="C1925" s="4" t="s">
        <v>287</v>
      </c>
      <c r="D1925" s="94">
        <v>1032.0</v>
      </c>
    </row>
    <row r="1926">
      <c r="A1926" s="40">
        <f t="array" ref="A1926">IFNA(index(PlayerValues!A:A,match(IFNA(vlookup(B1926,'Special Names'!A:B,2,FALSE),B1926),PlayerValues!E:E,0)),"N/A")</f>
        <v>15727</v>
      </c>
      <c r="B1926" s="4" t="s">
        <v>730</v>
      </c>
      <c r="C1926" s="4" t="s">
        <v>278</v>
      </c>
      <c r="D1926" s="94">
        <v>1026.0</v>
      </c>
    </row>
    <row r="1927">
      <c r="A1927" s="40">
        <f t="array" ref="A1927">IFNA(index(PlayerValues!A:A,match(IFNA(vlookup(B1927,'Special Names'!A:B,2,FALSE),B1927),PlayerValues!E:E,0)),"N/A")</f>
        <v>15730</v>
      </c>
      <c r="B1927" s="4" t="s">
        <v>734</v>
      </c>
      <c r="C1927" s="4" t="s">
        <v>278</v>
      </c>
      <c r="D1927" s="94">
        <v>1026.0</v>
      </c>
    </row>
    <row r="1928">
      <c r="A1928" s="40">
        <f t="array" ref="A1928">IFNA(index(PlayerValues!A:A,match(IFNA(vlookup(B1928,'Special Names'!A:B,2,FALSE),B1928),PlayerValues!E:E,0)),"N/A")</f>
        <v>15717</v>
      </c>
      <c r="B1928" s="4" t="s">
        <v>745</v>
      </c>
      <c r="C1928" s="4" t="s">
        <v>278</v>
      </c>
      <c r="D1928" s="94">
        <v>1026.0</v>
      </c>
    </row>
    <row r="1929">
      <c r="A1929" s="40">
        <f t="array" ref="A1929">IFNA(index(PlayerValues!A:A,match(IFNA(vlookup(B1929,'Special Names'!A:B,2,FALSE),B1929),PlayerValues!E:E,0)),"N/A")</f>
        <v>9064</v>
      </c>
      <c r="B1929" s="4" t="s">
        <v>761</v>
      </c>
      <c r="C1929" s="4" t="s">
        <v>283</v>
      </c>
      <c r="D1929" s="94">
        <v>1025.0</v>
      </c>
    </row>
    <row r="1930">
      <c r="A1930" s="40">
        <f t="array" ref="A1930">IFNA(index(PlayerValues!A:A,match(IFNA(vlookup(B1930,'Special Names'!A:B,2,FALSE),B1930),PlayerValues!E:E,0)),"N/A")</f>
        <v>16168</v>
      </c>
      <c r="B1930" s="4" t="s">
        <v>738</v>
      </c>
      <c r="C1930" s="4" t="s">
        <v>278</v>
      </c>
      <c r="D1930" s="94">
        <v>1021.0</v>
      </c>
    </row>
    <row r="1931">
      <c r="A1931" s="40">
        <f t="array" ref="A1931">IFNA(index(PlayerValues!A:A,match(IFNA(vlookup(B1931,'Special Names'!A:B,2,FALSE),B1931),PlayerValues!E:E,0)),"N/A")</f>
        <v>15330</v>
      </c>
      <c r="B1931" s="4" t="s">
        <v>749</v>
      </c>
      <c r="C1931" s="4" t="s">
        <v>298</v>
      </c>
      <c r="D1931" s="94">
        <v>1381.0</v>
      </c>
    </row>
    <row r="1932">
      <c r="A1932" s="40">
        <f t="array" ref="A1932">IFNA(index(PlayerValues!A:A,match(IFNA(vlookup(B1932,'Special Names'!A:B,2,FALSE),B1932),PlayerValues!E:E,0)),"N/A")</f>
        <v>15693</v>
      </c>
      <c r="B1932" s="4" t="s">
        <v>755</v>
      </c>
      <c r="C1932" s="4" t="s">
        <v>283</v>
      </c>
      <c r="D1932" s="94">
        <v>1010.0</v>
      </c>
    </row>
    <row r="1933">
      <c r="A1933" s="40">
        <f t="array" ref="A1933">IFNA(index(PlayerValues!A:A,match(IFNA(vlookup(B1933,'Special Names'!A:B,2,FALSE),B1933),PlayerValues!E:E,0)),"N/A")</f>
        <v>16637</v>
      </c>
      <c r="B1933" s="4" t="s">
        <v>736</v>
      </c>
      <c r="C1933" s="4" t="s">
        <v>287</v>
      </c>
      <c r="D1933" s="94">
        <v>1007.0</v>
      </c>
    </row>
    <row r="1934">
      <c r="A1934" s="40">
        <f t="array" ref="A1934">IFNA(index(PlayerValues!A:A,match(IFNA(vlookup(B1934,'Special Names'!A:B,2,FALSE),B1934),PlayerValues!E:E,0)),"N/A")</f>
        <v>16451</v>
      </c>
      <c r="B1934" s="4" t="s">
        <v>769</v>
      </c>
      <c r="C1934" s="4" t="s">
        <v>287</v>
      </c>
      <c r="D1934" s="94">
        <v>1005.0</v>
      </c>
    </row>
    <row r="1935">
      <c r="A1935" s="40">
        <f t="array" ref="A1935">IFNA(index(PlayerValues!A:A,match(IFNA(vlookup(B1935,'Special Names'!A:B,2,FALSE),B1935),PlayerValues!E:E,0)),"N/A")</f>
        <v>15758</v>
      </c>
      <c r="B1935" s="4" t="s">
        <v>724</v>
      </c>
      <c r="C1935" s="4" t="s">
        <v>287</v>
      </c>
      <c r="D1935" s="94">
        <v>998.0</v>
      </c>
    </row>
    <row r="1936">
      <c r="A1936" s="40">
        <f t="array" ref="A1936">IFNA(index(PlayerValues!A:A,match(IFNA(vlookup(B1936,'Special Names'!A:B,2,FALSE),B1936),PlayerValues!E:E,0)),"N/A")</f>
        <v>16205</v>
      </c>
      <c r="B1936" s="4" t="s">
        <v>742</v>
      </c>
      <c r="C1936" s="4" t="s">
        <v>287</v>
      </c>
      <c r="D1936" s="94">
        <v>997.0</v>
      </c>
    </row>
    <row r="1937">
      <c r="A1937" s="40">
        <f t="array" ref="A1937">IFNA(index(PlayerValues!A:A,match(IFNA(vlookup(B1937,'Special Names'!A:B,2,FALSE),B1937),PlayerValues!E:E,0)),"N/A")</f>
        <v>15692</v>
      </c>
      <c r="B1937" s="4" t="s">
        <v>750</v>
      </c>
      <c r="C1937" s="4" t="s">
        <v>283</v>
      </c>
      <c r="D1937" s="94">
        <v>996.0</v>
      </c>
    </row>
    <row r="1938">
      <c r="A1938" s="40">
        <f t="array" ref="A1938">IFNA(index(PlayerValues!A:A,match(IFNA(vlookup(B1938,'Special Names'!A:B,2,FALSE),B1938),PlayerValues!E:E,0)),"N/A")</f>
        <v>15718</v>
      </c>
      <c r="B1938" s="4" t="s">
        <v>753</v>
      </c>
      <c r="C1938" s="4" t="s">
        <v>278</v>
      </c>
      <c r="D1938" s="94">
        <v>990.0</v>
      </c>
    </row>
    <row r="1939">
      <c r="A1939" s="40">
        <f t="array" ref="A1939">IFNA(index(PlayerValues!A:A,match(IFNA(vlookup(B1939,'Special Names'!A:B,2,FALSE),B1939),PlayerValues!E:E,0)),"N/A")</f>
        <v>16393</v>
      </c>
      <c r="B1939" s="4" t="s">
        <v>768</v>
      </c>
      <c r="C1939" s="4" t="s">
        <v>287</v>
      </c>
      <c r="D1939" s="94">
        <v>983.0</v>
      </c>
    </row>
    <row r="1940">
      <c r="A1940" s="40">
        <f t="array" ref="A1940">IFNA(index(PlayerValues!A:A,match(IFNA(vlookup(B1940,'Special Names'!A:B,2,FALSE),B1940),PlayerValues!E:E,0)),"N/A")</f>
        <v>16170</v>
      </c>
      <c r="B1940" s="4" t="s">
        <v>801</v>
      </c>
      <c r="C1940" s="4" t="s">
        <v>278</v>
      </c>
      <c r="D1940" s="94">
        <v>980.0</v>
      </c>
    </row>
    <row r="1941">
      <c r="A1941" s="40">
        <f t="array" ref="A1941">IFNA(index(PlayerValues!A:A,match(IFNA(vlookup(B1941,'Special Names'!A:B,2,FALSE),B1941),PlayerValues!E:E,0)),"N/A")</f>
        <v>16648</v>
      </c>
      <c r="B1941" s="4" t="s">
        <v>748</v>
      </c>
      <c r="C1941" s="4" t="s">
        <v>298</v>
      </c>
      <c r="D1941" s="94">
        <v>1340.0</v>
      </c>
    </row>
    <row r="1942">
      <c r="A1942" s="40">
        <f t="array" ref="A1942">IFNA(index(PlayerValues!A:A,match(IFNA(vlookup(B1942,'Special Names'!A:B,2,FALSE),B1942),PlayerValues!E:E,0)),"N/A")</f>
        <v>15258</v>
      </c>
      <c r="B1942" s="4" t="s">
        <v>757</v>
      </c>
      <c r="C1942" s="4" t="s">
        <v>278</v>
      </c>
      <c r="D1942" s="94">
        <v>967.0</v>
      </c>
    </row>
    <row r="1943">
      <c r="A1943" s="40">
        <f t="array" ref="A1943">IFNA(index(PlayerValues!A:A,match(IFNA(vlookup(B1943,'Special Names'!A:B,2,FALSE),B1943),PlayerValues!E:E,0)),"N/A")</f>
        <v>17487</v>
      </c>
      <c r="B1943" s="4" t="s">
        <v>692</v>
      </c>
      <c r="C1943" s="4" t="s">
        <v>278</v>
      </c>
      <c r="D1943" s="94">
        <v>967.0</v>
      </c>
    </row>
    <row r="1944">
      <c r="A1944" s="40">
        <f t="array" ref="A1944">IFNA(index(PlayerValues!A:A,match(IFNA(vlookup(B1944,'Special Names'!A:B,2,FALSE),B1944),PlayerValues!E:E,0)),"N/A")</f>
        <v>15239</v>
      </c>
      <c r="B1944" s="4" t="s">
        <v>802</v>
      </c>
      <c r="C1944" s="4" t="s">
        <v>283</v>
      </c>
      <c r="D1944" s="94">
        <v>948.0</v>
      </c>
    </row>
    <row r="1945">
      <c r="A1945" s="40">
        <f t="array" ref="A1945">IFNA(index(PlayerValues!A:A,match(IFNA(vlookup(B1945,'Special Names'!A:B,2,FALSE),B1945),PlayerValues!E:E,0)),"N/A")</f>
        <v>16606</v>
      </c>
      <c r="B1945" s="4" t="s">
        <v>743</v>
      </c>
      <c r="C1945" s="4" t="s">
        <v>278</v>
      </c>
      <c r="D1945" s="94">
        <v>939.0</v>
      </c>
    </row>
    <row r="1946">
      <c r="A1946" s="40">
        <f t="array" ref="A1946">IFNA(index(PlayerValues!A:A,match(IFNA(vlookup(B1946,'Special Names'!A:B,2,FALSE),B1946),PlayerValues!E:E,0)),"N/A")</f>
        <v>17549</v>
      </c>
      <c r="B1946" s="4" t="s">
        <v>720</v>
      </c>
      <c r="C1946" s="4" t="s">
        <v>298</v>
      </c>
      <c r="D1946" s="94">
        <v>1303.0</v>
      </c>
    </row>
    <row r="1947">
      <c r="A1947" s="40">
        <f t="array" ref="A1947">IFNA(index(PlayerValues!A:A,match(IFNA(vlookup(B1947,'Special Names'!A:B,2,FALSE),B1947),PlayerValues!E:E,0)),"N/A")</f>
        <v>16219</v>
      </c>
      <c r="B1947" s="4" t="s">
        <v>739</v>
      </c>
      <c r="C1947" s="4" t="s">
        <v>298</v>
      </c>
      <c r="D1947" s="94">
        <v>1300.0</v>
      </c>
    </row>
    <row r="1948">
      <c r="A1948" s="40">
        <f t="array" ref="A1948">IFNA(index(PlayerValues!A:A,match(IFNA(vlookup(B1948,'Special Names'!A:B,2,FALSE),B1948),PlayerValues!E:E,0)),"N/A")</f>
        <v>16416</v>
      </c>
      <c r="B1948" s="4" t="s">
        <v>752</v>
      </c>
      <c r="C1948" s="4" t="s">
        <v>287</v>
      </c>
      <c r="D1948" s="94">
        <v>929.0</v>
      </c>
    </row>
    <row r="1949">
      <c r="A1949" s="40">
        <f t="array" ref="A1949">IFNA(index(PlayerValues!A:A,match(IFNA(vlookup(B1949,'Special Names'!A:B,2,FALSE),B1949),PlayerValues!E:E,0)),"N/A")</f>
        <v>16678</v>
      </c>
      <c r="B1949" s="4" t="s">
        <v>758</v>
      </c>
      <c r="C1949" s="4" t="s">
        <v>278</v>
      </c>
      <c r="D1949" s="94">
        <v>921.0</v>
      </c>
    </row>
    <row r="1950">
      <c r="A1950" s="40">
        <f t="array" ref="A1950">IFNA(index(PlayerValues!A:A,match(IFNA(vlookup(B1950,'Special Names'!A:B,2,FALSE),B1950),PlayerValues!E:E,0)),"N/A")</f>
        <v>16599</v>
      </c>
      <c r="B1950" s="4" t="s">
        <v>737</v>
      </c>
      <c r="C1950" s="4" t="s">
        <v>278</v>
      </c>
      <c r="D1950" s="94">
        <v>919.0</v>
      </c>
    </row>
    <row r="1951">
      <c r="A1951" s="40">
        <f t="array" ref="A1951">IFNA(index(PlayerValues!A:A,match(IFNA(vlookup(B1951,'Special Names'!A:B,2,FALSE),B1951),PlayerValues!E:E,0)),"N/A")</f>
        <v>16858</v>
      </c>
      <c r="B1951" s="4" t="s">
        <v>754</v>
      </c>
      <c r="C1951" s="4" t="s">
        <v>287</v>
      </c>
      <c r="D1951" s="94">
        <v>916.0</v>
      </c>
    </row>
    <row r="1952">
      <c r="A1952" s="40">
        <f t="array" ref="A1952">IFNA(index(PlayerValues!A:A,match(IFNA(vlookup(B1952,'Special Names'!A:B,2,FALSE),B1952),PlayerValues!E:E,0)),"N/A")</f>
        <v>17479</v>
      </c>
      <c r="B1952" s="4" t="s">
        <v>756</v>
      </c>
      <c r="C1952" s="4" t="s">
        <v>278</v>
      </c>
      <c r="D1952" s="94">
        <v>908.0</v>
      </c>
    </row>
    <row r="1953">
      <c r="A1953" s="40">
        <f t="array" ref="A1953">IFNA(index(PlayerValues!A:A,match(IFNA(vlookup(B1953,'Special Names'!A:B,2,FALSE),B1953),PlayerValues!E:E,0)),"N/A")</f>
        <v>15626</v>
      </c>
      <c r="B1953" s="4" t="s">
        <v>766</v>
      </c>
      <c r="C1953" s="4" t="s">
        <v>298</v>
      </c>
      <c r="D1953" s="94">
        <v>1272.0</v>
      </c>
    </row>
    <row r="1954">
      <c r="A1954" s="40">
        <f t="array" ref="A1954">IFNA(index(PlayerValues!A:A,match(IFNA(vlookup(B1954,'Special Names'!A:B,2,FALSE),B1954),PlayerValues!E:E,0)),"N/A")</f>
        <v>15785</v>
      </c>
      <c r="B1954" s="4" t="s">
        <v>763</v>
      </c>
      <c r="C1954" s="4" t="s">
        <v>287</v>
      </c>
      <c r="D1954" s="94">
        <v>898.0</v>
      </c>
    </row>
    <row r="1955">
      <c r="A1955" s="40">
        <f t="array" ref="A1955">IFNA(index(PlayerValues!A:A,match(IFNA(vlookup(B1955,'Special Names'!A:B,2,FALSE),B1955),PlayerValues!E:E,0)),"N/A")</f>
        <v>15720</v>
      </c>
      <c r="B1955" s="4" t="s">
        <v>795</v>
      </c>
      <c r="C1955" s="4" t="s">
        <v>278</v>
      </c>
      <c r="D1955" s="94">
        <v>897.0</v>
      </c>
    </row>
    <row r="1956">
      <c r="A1956" s="40">
        <f t="array" ref="A1956">IFNA(index(PlayerValues!A:A,match(IFNA(vlookup(B1956,'Special Names'!A:B,2,FALSE),B1956),PlayerValues!E:E,0)),"N/A")</f>
        <v>16623</v>
      </c>
      <c r="B1956" s="4" t="s">
        <v>803</v>
      </c>
      <c r="C1956" s="4" t="s">
        <v>287</v>
      </c>
      <c r="D1956" s="94">
        <v>894.0</v>
      </c>
    </row>
    <row r="1957">
      <c r="A1957" s="40">
        <f t="array" ref="A1957">IFNA(index(PlayerValues!A:A,match(IFNA(vlookup(B1957,'Special Names'!A:B,2,FALSE),B1957),PlayerValues!E:E,0)),"N/A")</f>
        <v>15766</v>
      </c>
      <c r="B1957" s="4" t="s">
        <v>759</v>
      </c>
      <c r="C1957" s="4" t="s">
        <v>287</v>
      </c>
      <c r="D1957" s="94">
        <v>889.0</v>
      </c>
    </row>
    <row r="1958">
      <c r="A1958" s="40">
        <f t="array" ref="A1958">IFNA(index(PlayerValues!A:A,match(IFNA(vlookup(B1958,'Special Names'!A:B,2,FALSE),B1958),PlayerValues!E:E,0)),"N/A")</f>
        <v>17175</v>
      </c>
      <c r="B1958" s="4" t="s">
        <v>747</v>
      </c>
      <c r="C1958" s="4" t="s">
        <v>287</v>
      </c>
      <c r="D1958" s="94">
        <v>880.0</v>
      </c>
    </row>
    <row r="1959">
      <c r="A1959" s="40">
        <f t="array" ref="A1959">IFNA(index(PlayerValues!A:A,match(IFNA(vlookup(B1959,'Special Names'!A:B,2,FALSE),B1959),PlayerValues!E:E,0)),"N/A")</f>
        <v>13193</v>
      </c>
      <c r="B1959" s="4" t="s">
        <v>773</v>
      </c>
      <c r="C1959" s="4" t="s">
        <v>298</v>
      </c>
      <c r="D1959" s="94">
        <v>1235.0</v>
      </c>
    </row>
    <row r="1960">
      <c r="A1960" s="40">
        <f t="array" ref="A1960">IFNA(index(PlayerValues!A:A,match(IFNA(vlookup(B1960,'Special Names'!A:B,2,FALSE),B1960),PlayerValues!E:E,0)),"N/A")</f>
        <v>17654</v>
      </c>
      <c r="B1960" s="4" t="s">
        <v>767</v>
      </c>
      <c r="C1960" s="4" t="s">
        <v>283</v>
      </c>
      <c r="D1960" s="94">
        <v>860.0</v>
      </c>
    </row>
    <row r="1961">
      <c r="A1961" s="40">
        <f t="array" ref="A1961">IFNA(index(PlayerValues!A:A,match(IFNA(vlookup(B1961,'Special Names'!A:B,2,FALSE),B1961),PlayerValues!E:E,0)),"N/A")</f>
        <v>14057</v>
      </c>
      <c r="B1961" s="4" t="s">
        <v>765</v>
      </c>
      <c r="C1961" s="4" t="s">
        <v>283</v>
      </c>
      <c r="D1961" s="94">
        <v>856.0</v>
      </c>
    </row>
    <row r="1962">
      <c r="A1962" s="40">
        <f t="array" ref="A1962">IFNA(index(PlayerValues!A:A,match(IFNA(vlookup(B1962,'Special Names'!A:B,2,FALSE),B1962),PlayerValues!E:E,0)),"N/A")</f>
        <v>17541</v>
      </c>
      <c r="B1962" s="4" t="s">
        <v>616</v>
      </c>
      <c r="C1962" s="4" t="s">
        <v>287</v>
      </c>
      <c r="D1962" s="94">
        <v>856.0</v>
      </c>
    </row>
    <row r="1963">
      <c r="A1963" s="40">
        <f t="array" ref="A1963">IFNA(index(PlayerValues!A:A,match(IFNA(vlookup(B1963,'Special Names'!A:B,2,FALSE),B1963),PlayerValues!E:E,0)),"N/A")</f>
        <v>14118</v>
      </c>
      <c r="B1963" s="4" t="s">
        <v>771</v>
      </c>
      <c r="C1963" s="4" t="s">
        <v>287</v>
      </c>
      <c r="D1963" s="94">
        <v>854.0</v>
      </c>
    </row>
    <row r="1964">
      <c r="A1964" s="40">
        <f t="array" ref="A1964">IFNA(index(PlayerValues!A:A,match(IFNA(vlookup(B1964,'Special Names'!A:B,2,FALSE),B1964),PlayerValues!E:E,0)),"N/A")</f>
        <v>16624</v>
      </c>
      <c r="B1964" s="4" t="s">
        <v>796</v>
      </c>
      <c r="C1964" s="4" t="s">
        <v>287</v>
      </c>
      <c r="D1964" s="94">
        <v>848.0</v>
      </c>
    </row>
    <row r="1965">
      <c r="A1965" s="40">
        <f t="array" ref="A1965">IFNA(index(PlayerValues!A:A,match(IFNA(vlookup(B1965,'Special Names'!A:B,2,FALSE),B1965),PlayerValues!E:E,0)),"N/A")</f>
        <v>17486</v>
      </c>
      <c r="B1965" s="4" t="s">
        <v>695</v>
      </c>
      <c r="C1965" s="4" t="s">
        <v>278</v>
      </c>
      <c r="D1965" s="94">
        <v>843.0</v>
      </c>
    </row>
    <row r="1966">
      <c r="A1966" s="40">
        <f t="array" ref="A1966">IFNA(index(PlayerValues!A:A,match(IFNA(vlookup(B1966,'Special Names'!A:B,2,FALSE),B1966),PlayerValues!E:E,0)),"N/A")</f>
        <v>17627</v>
      </c>
      <c r="B1966" s="4" t="s">
        <v>684</v>
      </c>
      <c r="C1966" s="4" t="s">
        <v>298</v>
      </c>
      <c r="D1966" s="94">
        <v>1209.0</v>
      </c>
    </row>
    <row r="1967">
      <c r="A1967" s="40">
        <f t="array" ref="A1967">IFNA(index(PlayerValues!A:A,match(IFNA(vlookup(B1967,'Special Names'!A:B,2,FALSE),B1967),PlayerValues!E:E,0)),"N/A")</f>
        <v>12785</v>
      </c>
      <c r="B1967" s="4" t="s">
        <v>772</v>
      </c>
      <c r="C1967" s="4" t="s">
        <v>287</v>
      </c>
      <c r="D1967" s="94">
        <v>816.0</v>
      </c>
    </row>
    <row r="1968">
      <c r="A1968" s="40">
        <f t="array" ref="A1968">IFNA(index(PlayerValues!A:A,match(IFNA(vlookup(B1968,'Special Names'!A:B,2,FALSE),B1968),PlayerValues!E:E,0)),"N/A")</f>
        <v>16773</v>
      </c>
      <c r="B1968" s="4" t="s">
        <v>783</v>
      </c>
      <c r="C1968" s="4" t="s">
        <v>278</v>
      </c>
      <c r="D1968" s="94">
        <v>813.0</v>
      </c>
    </row>
    <row r="1969">
      <c r="A1969" s="40">
        <f t="array" ref="A1969">IFNA(index(PlayerValues!A:A,match(IFNA(vlookup(B1969,'Special Names'!A:B,2,FALSE),B1969),PlayerValues!E:E,0)),"N/A")</f>
        <v>14223</v>
      </c>
      <c r="B1969" s="4" t="s">
        <v>785</v>
      </c>
      <c r="C1969" s="4" t="s">
        <v>278</v>
      </c>
      <c r="D1969" s="94">
        <v>806.0</v>
      </c>
    </row>
    <row r="1970">
      <c r="A1970" s="40">
        <f t="array" ref="A1970">IFNA(index(PlayerValues!A:A,match(IFNA(vlookup(B1970,'Special Names'!A:B,2,FALSE),B1970),PlayerValues!E:E,0)),"N/A")</f>
        <v>13133</v>
      </c>
      <c r="B1970" s="4" t="s">
        <v>764</v>
      </c>
      <c r="C1970" s="4" t="s">
        <v>278</v>
      </c>
      <c r="D1970" s="94">
        <v>783.0</v>
      </c>
    </row>
    <row r="1971">
      <c r="A1971" s="40">
        <f t="array" ref="A1971">IFNA(index(PlayerValues!A:A,match(IFNA(vlookup(B1971,'Special Names'!A:B,2,FALSE),B1971),PlayerValues!E:E,0)),"N/A")</f>
        <v>16751</v>
      </c>
      <c r="B1971" s="4" t="s">
        <v>762</v>
      </c>
      <c r="C1971" s="4" t="s">
        <v>287</v>
      </c>
      <c r="D1971" s="94">
        <v>732.0</v>
      </c>
    </row>
    <row r="1972">
      <c r="A1972" s="40">
        <f t="array" ref="A1972">IFNA(index(PlayerValues!A:A,match(IFNA(vlookup(B1972,'Special Names'!A:B,2,FALSE),B1972),PlayerValues!E:E,0)),"N/A")</f>
        <v>16625</v>
      </c>
      <c r="B1972" s="4" t="s">
        <v>778</v>
      </c>
      <c r="C1972" s="4" t="s">
        <v>287</v>
      </c>
      <c r="D1972" s="94">
        <v>729.0</v>
      </c>
    </row>
    <row r="1973">
      <c r="A1973" s="40">
        <f t="array" ref="A1973">IFNA(index(PlayerValues!A:A,match(IFNA(vlookup(B1973,'Special Names'!A:B,2,FALSE),B1973),PlayerValues!E:E,0)),"N/A")</f>
        <v>15263</v>
      </c>
      <c r="B1973" s="4" t="s">
        <v>804</v>
      </c>
      <c r="C1973" s="4" t="s">
        <v>278</v>
      </c>
      <c r="D1973" s="94">
        <v>712.0</v>
      </c>
    </row>
    <row r="1974">
      <c r="A1974" s="40">
        <f t="array" ref="A1974">IFNA(index(PlayerValues!A:A,match(IFNA(vlookup(B1974,'Special Names'!A:B,2,FALSE),B1974),PlayerValues!E:E,0)),"N/A")</f>
        <v>17337</v>
      </c>
      <c r="B1974" s="4" t="s">
        <v>793</v>
      </c>
      <c r="C1974" s="4" t="s">
        <v>278</v>
      </c>
      <c r="D1974" s="94">
        <v>703.0</v>
      </c>
    </row>
    <row r="1975">
      <c r="A1975" s="40">
        <f t="array" ref="A1975">IFNA(index(PlayerValues!A:A,match(IFNA(vlookup(B1975,'Special Names'!A:B,2,FALSE),B1975),PlayerValues!E:E,0)),"N/A")</f>
        <v>17545</v>
      </c>
      <c r="B1975" s="4" t="s">
        <v>719</v>
      </c>
      <c r="C1975" s="4" t="s">
        <v>298</v>
      </c>
      <c r="D1975" s="94">
        <v>1052.0</v>
      </c>
    </row>
    <row r="1976">
      <c r="A1976" s="40">
        <f t="array" ref="A1976">IFNA(index(PlayerValues!A:A,match(IFNA(vlookup(B1976,'Special Names'!A:B,2,FALSE),B1976),PlayerValues!E:E,0)),"N/A")</f>
        <v>15723</v>
      </c>
      <c r="B1976" s="4" t="s">
        <v>798</v>
      </c>
      <c r="C1976" s="4" t="s">
        <v>278</v>
      </c>
      <c r="D1976" s="94">
        <v>636.0</v>
      </c>
    </row>
    <row r="1977">
      <c r="A1977" s="40">
        <f t="array" ref="A1977">IFNA(index(PlayerValues!A:A,match(IFNA(vlookup(B1977,'Special Names'!A:B,2,FALSE),B1977),PlayerValues!E:E,0)),"N/A")</f>
        <v>16299</v>
      </c>
      <c r="B1977" s="4" t="s">
        <v>787</v>
      </c>
      <c r="C1977" s="4" t="s">
        <v>287</v>
      </c>
      <c r="D1977" s="94">
        <v>633.0</v>
      </c>
    </row>
    <row r="1978">
      <c r="A1978" s="40">
        <f t="array" ref="A1978">IFNA(index(PlayerValues!A:A,match(IFNA(vlookup(B1978,'Special Names'!A:B,2,FALSE),B1978),PlayerValues!E:E,0)),"N/A")</f>
        <v>16686</v>
      </c>
      <c r="B1978" s="4" t="s">
        <v>805</v>
      </c>
      <c r="C1978" s="4" t="s">
        <v>287</v>
      </c>
      <c r="D1978" s="94">
        <v>622.0</v>
      </c>
    </row>
    <row r="1979">
      <c r="A1979" s="40">
        <f t="array" ref="A1979">IFNA(index(PlayerValues!A:A,match(IFNA(vlookup(B1979,'Special Names'!A:B,2,FALSE),B1979),PlayerValues!E:E,0)),"N/A")</f>
        <v>13143</v>
      </c>
      <c r="B1979" s="4" t="s">
        <v>786</v>
      </c>
      <c r="C1979" s="4" t="s">
        <v>278</v>
      </c>
      <c r="D1979" s="94">
        <v>621.0</v>
      </c>
    </row>
    <row r="1980">
      <c r="A1980" s="40">
        <f t="array" ref="A1980">IFNA(index(PlayerValues!A:A,match(IFNA(vlookup(B1980,'Special Names'!A:B,2,FALSE),B1980),PlayerValues!E:E,0)),"N/A")</f>
        <v>16957</v>
      </c>
      <c r="B1980" s="4" t="s">
        <v>806</v>
      </c>
      <c r="C1980" s="4" t="s">
        <v>278</v>
      </c>
      <c r="D1980" s="94">
        <v>616.0</v>
      </c>
    </row>
    <row r="1981">
      <c r="A1981" s="40">
        <f t="array" ref="A1981">IFNA(index(PlayerValues!A:A,match(IFNA(vlookup(B1981,'Special Names'!A:B,2,FALSE),B1981),PlayerValues!E:E,0)),"N/A")</f>
        <v>16413</v>
      </c>
      <c r="B1981" s="4" t="s">
        <v>781</v>
      </c>
      <c r="C1981" s="4" t="s">
        <v>287</v>
      </c>
      <c r="D1981" s="94">
        <v>599.0</v>
      </c>
    </row>
    <row r="1982">
      <c r="A1982" s="40">
        <f t="array" ref="A1982">IFNA(index(PlayerValues!A:A,match(IFNA(vlookup(B1982,'Special Names'!A:B,2,FALSE),B1982),PlayerValues!E:E,0)),"N/A")</f>
        <v>14864</v>
      </c>
      <c r="B1982" s="4" t="s">
        <v>789</v>
      </c>
      <c r="C1982" s="4" t="s">
        <v>287</v>
      </c>
      <c r="D1982" s="94">
        <v>593.0</v>
      </c>
    </row>
    <row r="1983">
      <c r="A1983" s="40">
        <f t="array" ref="A1983">IFNA(index(PlayerValues!A:A,match(IFNA(vlookup(B1983,'Special Names'!A:B,2,FALSE),B1983),PlayerValues!E:E,0)),"N/A")</f>
        <v>17038</v>
      </c>
      <c r="B1983" s="4" t="s">
        <v>774</v>
      </c>
      <c r="C1983" s="4" t="s">
        <v>283</v>
      </c>
      <c r="D1983" s="94">
        <v>576.0</v>
      </c>
    </row>
    <row r="1984">
      <c r="A1984" s="40">
        <f t="array" ref="A1984">IFNA(index(PlayerValues!A:A,match(IFNA(vlookup(B1984,'Special Names'!A:B,2,FALSE),B1984),PlayerValues!E:E,0)),"N/A")</f>
        <v>17232</v>
      </c>
      <c r="B1984" s="4" t="s">
        <v>784</v>
      </c>
      <c r="C1984" s="4" t="s">
        <v>287</v>
      </c>
      <c r="D1984" s="94">
        <v>574.0</v>
      </c>
    </row>
    <row r="1985">
      <c r="A1985" s="40">
        <f t="array" ref="A1985">IFNA(index(PlayerValues!A:A,match(IFNA(vlookup(B1985,'Special Names'!A:B,2,FALSE),B1985),PlayerValues!E:E,0)),"N/A")</f>
        <v>17542</v>
      </c>
      <c r="B1985" s="4" t="s">
        <v>685</v>
      </c>
      <c r="C1985" s="4" t="s">
        <v>287</v>
      </c>
      <c r="D1985" s="94">
        <v>558.0</v>
      </c>
    </row>
    <row r="1986">
      <c r="A1986" s="40">
        <f t="array" ref="A1986">IFNA(index(PlayerValues!A:A,match(IFNA(vlookup(B1986,'Special Names'!A:B,2,FALSE),B1986),PlayerValues!E:E,0)),"N/A")</f>
        <v>14805</v>
      </c>
      <c r="B1986" s="4" t="s">
        <v>770</v>
      </c>
      <c r="C1986" s="4" t="s">
        <v>278</v>
      </c>
      <c r="D1986" s="94">
        <v>552.0</v>
      </c>
    </row>
    <row r="1987">
      <c r="A1987" s="40">
        <f t="array" ref="A1987">IFNA(index(PlayerValues!A:A,match(IFNA(vlookup(B1987,'Special Names'!A:B,2,FALSE),B1987),PlayerValues!E:E,0)),"N/A")</f>
        <v>16613</v>
      </c>
      <c r="B1987" s="4" t="s">
        <v>782</v>
      </c>
      <c r="C1987" s="4" t="s">
        <v>278</v>
      </c>
      <c r="D1987" s="94">
        <v>536.0</v>
      </c>
    </row>
    <row r="1988">
      <c r="A1988" s="40">
        <f t="array" ref="A1988">IFNA(index(PlayerValues!A:A,match(IFNA(vlookup(B1988,'Special Names'!A:B,2,FALSE),B1988),PlayerValues!E:E,0)),"N/A")</f>
        <v>15796</v>
      </c>
      <c r="B1988" s="4" t="s">
        <v>794</v>
      </c>
      <c r="C1988" s="4" t="s">
        <v>298</v>
      </c>
      <c r="D1988" s="94">
        <v>877.0</v>
      </c>
    </row>
    <row r="1989">
      <c r="A1989" s="40">
        <f t="array" ref="A1989">IFNA(index(PlayerValues!A:A,match(IFNA(vlookup(B1989,'Special Names'!A:B,2,FALSE),B1989),PlayerValues!E:E,0)),"N/A")</f>
        <v>13176</v>
      </c>
      <c r="B1989" s="4" t="s">
        <v>807</v>
      </c>
      <c r="C1989" s="4" t="s">
        <v>287</v>
      </c>
      <c r="D1989" s="94">
        <v>506.0</v>
      </c>
    </row>
    <row r="1990">
      <c r="A1990" s="40">
        <f t="array" ref="A1990">IFNA(index(PlayerValues!A:A,match(IFNA(vlookup(B1990,'Special Names'!A:B,2,FALSE),B1990),PlayerValues!E:E,0)),"N/A")</f>
        <v>15271</v>
      </c>
      <c r="B1990" s="4" t="s">
        <v>741</v>
      </c>
      <c r="C1990" s="4" t="s">
        <v>278</v>
      </c>
      <c r="D1990" s="94">
        <v>501.0</v>
      </c>
    </row>
    <row r="1991">
      <c r="A1991" s="40">
        <f t="array" ref="A1991">IFNA(index(PlayerValues!A:A,match(IFNA(vlookup(B1991,'Special Names'!A:B,2,FALSE),B1991),PlayerValues!E:E,0)),"N/A")</f>
        <v>17348</v>
      </c>
      <c r="B1991" s="4" t="s">
        <v>797</v>
      </c>
      <c r="C1991" s="4" t="s">
        <v>278</v>
      </c>
      <c r="D1991" s="94">
        <v>501.0</v>
      </c>
    </row>
    <row r="1992">
      <c r="A1992" s="40">
        <f t="array" ref="A1992">IFNA(index(PlayerValues!A:A,match(IFNA(vlookup(B1992,'Special Names'!A:B,2,FALSE),B1992),PlayerValues!E:E,0)),"N/A")</f>
        <v>14858</v>
      </c>
      <c r="B1992" s="4" t="s">
        <v>799</v>
      </c>
      <c r="C1992" s="4" t="s">
        <v>287</v>
      </c>
      <c r="D1992" s="94">
        <v>497.0</v>
      </c>
    </row>
    <row r="1993">
      <c r="A1993" s="40">
        <f t="array" ref="A1993">IFNA(index(PlayerValues!A:A,match(IFNA(vlookup(B1993,'Special Names'!A:B,2,FALSE),B1993),PlayerValues!E:E,0)),"N/A")</f>
        <v>13641</v>
      </c>
      <c r="B1993" s="4" t="s">
        <v>808</v>
      </c>
      <c r="C1993" s="4" t="s">
        <v>287</v>
      </c>
      <c r="D1993" s="94">
        <v>496.0</v>
      </c>
    </row>
    <row r="1994">
      <c r="A1994" s="40">
        <f t="array" ref="A1994">IFNA(index(PlayerValues!A:A,match(IFNA(vlookup(B1994,'Special Names'!A:B,2,FALSE),B1994),PlayerValues!E:E,0)),"N/A")</f>
        <v>14209</v>
      </c>
      <c r="B1994" s="4" t="s">
        <v>809</v>
      </c>
      <c r="C1994" s="4" t="s">
        <v>298</v>
      </c>
      <c r="D1994" s="94">
        <v>836.0</v>
      </c>
    </row>
    <row r="1995">
      <c r="A1995" s="40">
        <f t="array" ref="A1995">IFNA(index(PlayerValues!A:A,match(IFNA(vlookup(B1995,'Special Names'!A:B,2,FALSE),B1995),PlayerValues!E:E,0)),"N/A")</f>
        <v>17243</v>
      </c>
      <c r="B1995" s="4" t="s">
        <v>810</v>
      </c>
      <c r="C1995" s="4" t="s">
        <v>298</v>
      </c>
      <c r="D1995" s="94">
        <v>832.0</v>
      </c>
    </row>
    <row r="1996">
      <c r="A1996" s="40">
        <f t="array" ref="A1996">IFNA(index(PlayerValues!A:A,match(IFNA(vlookup(B1996,'Special Names'!A:B,2,FALSE),B1996),PlayerValues!E:E,0)),"N/A")</f>
        <v>14113</v>
      </c>
      <c r="B1996" s="4" t="s">
        <v>788</v>
      </c>
      <c r="C1996" s="4" t="s">
        <v>287</v>
      </c>
      <c r="D1996" s="94">
        <v>484.0</v>
      </c>
    </row>
    <row r="1997">
      <c r="A1997" s="40">
        <f t="array" ref="A1997">IFNA(index(PlayerValues!A:A,match(IFNA(vlookup(B1997,'Special Names'!A:B,2,FALSE),B1997),PlayerValues!E:E,0)),"N/A")</f>
        <v>10413</v>
      </c>
      <c r="B1997" s="4" t="s">
        <v>811</v>
      </c>
      <c r="C1997" s="4" t="s">
        <v>283</v>
      </c>
      <c r="D1997" s="94">
        <v>482.0</v>
      </c>
    </row>
    <row r="1998">
      <c r="A1998" s="40">
        <f t="array" ref="A1998">IFNA(index(PlayerValues!A:A,match(IFNA(vlookup(B1998,'Special Names'!A:B,2,FALSE),B1998),PlayerValues!E:E,0)),"N/A")</f>
        <v>16176</v>
      </c>
      <c r="B1998" s="4" t="s">
        <v>812</v>
      </c>
      <c r="C1998" s="4" t="s">
        <v>278</v>
      </c>
      <c r="D1998" s="94">
        <v>482.0</v>
      </c>
    </row>
    <row r="1999">
      <c r="A1999" s="40">
        <f t="array" ref="A1999">IFNA(index(PlayerValues!A:A,match(IFNA(vlookup(B1999,'Special Names'!A:B,2,FALSE),B1999),PlayerValues!E:E,0)),"N/A")</f>
        <v>14358</v>
      </c>
      <c r="B1999" s="4" t="s">
        <v>813</v>
      </c>
      <c r="C1999" s="4" t="s">
        <v>283</v>
      </c>
      <c r="D1999" s="94">
        <v>479.0</v>
      </c>
    </row>
    <row r="2000">
      <c r="A2000" s="40">
        <f t="array" ref="A2000">IFNA(index(PlayerValues!A:A,match(IFNA(vlookup(B2000,'Special Names'!A:B,2,FALSE),B2000),PlayerValues!E:E,0)),"N/A")</f>
        <v>17709</v>
      </c>
      <c r="B2000" s="4" t="s">
        <v>814</v>
      </c>
      <c r="C2000" s="4" t="s">
        <v>278</v>
      </c>
      <c r="D2000" s="94">
        <v>9.0</v>
      </c>
    </row>
    <row r="2001">
      <c r="A2001" s="40">
        <f t="array" ref="A2001">IFNA(index(PlayerValues!A:A,match(IFNA(vlookup(B2001,'Special Names'!A:B,2,FALSE),B2001),PlayerValues!E:E,0)),"N/A")</f>
        <v>16162</v>
      </c>
      <c r="B2001" s="4" t="s">
        <v>281</v>
      </c>
      <c r="C2001" s="4" t="s">
        <v>278</v>
      </c>
      <c r="D2001" s="94">
        <v>9999.0</v>
      </c>
    </row>
    <row r="2002">
      <c r="A2002" s="40">
        <f t="array" ref="A2002">IFNA(index(PlayerValues!A:A,match(IFNA(vlookup(B2002,'Special Names'!A:B,2,FALSE),B2002),PlayerValues!E:E,0)),"N/A")</f>
        <v>13589</v>
      </c>
      <c r="B2002" s="4" t="s">
        <v>282</v>
      </c>
      <c r="C2002" s="4" t="s">
        <v>283</v>
      </c>
      <c r="D2002" s="94">
        <v>9995.0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9992.0</v>
      </c>
    </row>
    <row r="2004">
      <c r="A2004" s="40">
        <f t="array" ref="A2004">IFNA(index(PlayerValues!A:A,match(IFNA(vlookup(B2004,'Special Names'!A:B,2,FALSE),B2004),PlayerValues!E:E,0)),"N/A")</f>
        <v>16161</v>
      </c>
      <c r="B2004" s="4" t="s">
        <v>277</v>
      </c>
      <c r="C2004" s="4" t="s">
        <v>278</v>
      </c>
      <c r="D2004" s="94">
        <v>9990.0</v>
      </c>
    </row>
    <row r="2005">
      <c r="A2005" s="40">
        <f t="array" ref="A2005">IFNA(index(PlayerValues!A:A,match(IFNA(vlookup(B2005,'Special Names'!A:B,2,FALSE),B2005),PlayerValues!E:E,0)),"N/A")</f>
        <v>16185</v>
      </c>
      <c r="B2005" s="4" t="s">
        <v>290</v>
      </c>
      <c r="C2005" s="4" t="s">
        <v>287</v>
      </c>
      <c r="D2005" s="94">
        <v>9313.0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9252.0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8785.0</v>
      </c>
    </row>
    <row r="2008">
      <c r="A2008" s="40">
        <f t="array" ref="A2008">IFNA(index(PlayerValues!A:A,match(IFNA(vlookup(B2008,'Special Names'!A:B,2,FALSE),B2008),PlayerValues!E:E,0)),"N/A")</f>
        <v>16641</v>
      </c>
      <c r="B2008" s="4" t="s">
        <v>297</v>
      </c>
      <c r="C2008" s="4" t="s">
        <v>298</v>
      </c>
      <c r="D2008" s="94">
        <v>8999.0</v>
      </c>
    </row>
    <row r="2009">
      <c r="A2009" s="40">
        <f t="array" ref="A2009">IFNA(index(PlayerValues!A:A,match(IFNA(vlookup(B2009,'Special Names'!A:B,2,FALSE),B2009),PlayerValues!E:E,0)),"N/A")</f>
        <v>15287</v>
      </c>
      <c r="B2009" s="4" t="s">
        <v>299</v>
      </c>
      <c r="C2009" s="4" t="s">
        <v>287</v>
      </c>
      <c r="D2009" s="94">
        <v>7867.0</v>
      </c>
    </row>
    <row r="2010">
      <c r="A2010" s="40">
        <f t="array" ref="A2010">IFNA(index(PlayerValues!A:A,match(IFNA(vlookup(B2010,'Special Names'!A:B,2,FALSE),B2010),PlayerValues!E:E,0)),"N/A")</f>
        <v>16579</v>
      </c>
      <c r="B2010" s="4" t="s">
        <v>302</v>
      </c>
      <c r="C2010" s="4" t="s">
        <v>283</v>
      </c>
      <c r="D2010" s="94">
        <v>7834.0</v>
      </c>
    </row>
    <row r="2011">
      <c r="A2011" s="40">
        <f t="array" ref="A2011">IFNA(index(PlayerValues!A:A,match(IFNA(vlookup(B2011,'Special Names'!A:B,2,FALSE),B2011),PlayerValues!E:E,0)),"N/A")</f>
        <v>17042</v>
      </c>
      <c r="B2011" s="4" t="s">
        <v>314</v>
      </c>
      <c r="C2011" s="4" t="s">
        <v>278</v>
      </c>
      <c r="D2011" s="94">
        <v>7647.0</v>
      </c>
    </row>
    <row r="2012">
      <c r="A2012" s="40">
        <f t="array" ref="A2012">IFNA(index(PlayerValues!A:A,match(IFNA(vlookup(B2012,'Special Names'!A:B,2,FALSE),B2012),PlayerValues!E:E,0)),"N/A")</f>
        <v>13593</v>
      </c>
      <c r="B2012" s="4" t="s">
        <v>305</v>
      </c>
      <c r="C2012" s="4" t="s">
        <v>283</v>
      </c>
      <c r="D2012" s="94">
        <v>7630.0</v>
      </c>
    </row>
    <row r="2013">
      <c r="A2013" s="40">
        <f t="array" ref="A2013">IFNA(index(PlayerValues!A:A,match(IFNA(vlookup(B2013,'Special Names'!A:B,2,FALSE),B2013),PlayerValues!E:E,0)),"N/A")</f>
        <v>16581</v>
      </c>
      <c r="B2013" s="4" t="s">
        <v>315</v>
      </c>
      <c r="C2013" s="4" t="s">
        <v>283</v>
      </c>
      <c r="D2013" s="94">
        <v>7629.0</v>
      </c>
    </row>
    <row r="2014">
      <c r="A2014" s="40">
        <f t="array" ref="A2014">IFNA(index(PlayerValues!A:A,match(IFNA(vlookup(B2014,'Special Names'!A:B,2,FALSE),B2014),PlayerValues!E:E,0)),"N/A")</f>
        <v>14836</v>
      </c>
      <c r="B2014" s="4" t="s">
        <v>306</v>
      </c>
      <c r="C2014" s="4" t="s">
        <v>287</v>
      </c>
      <c r="D2014" s="94">
        <v>7614.0</v>
      </c>
    </row>
    <row r="2015">
      <c r="A2015" s="40">
        <f t="array" ref="A2015">IFNA(index(PlayerValues!A:A,match(IFNA(vlookup(B2015,'Special Names'!A:B,2,FALSE),B2015),PlayerValues!E:E,0)),"N/A")</f>
        <v>17472</v>
      </c>
      <c r="B2015" s="4" t="s">
        <v>310</v>
      </c>
      <c r="C2015" s="4" t="s">
        <v>278</v>
      </c>
      <c r="D2015" s="94">
        <v>7468.0</v>
      </c>
    </row>
    <row r="2016">
      <c r="A2016" s="40">
        <f t="array" ref="A2016">IFNA(index(PlayerValues!A:A,match(IFNA(vlookup(B2016,'Special Names'!A:B,2,FALSE),B2016),PlayerValues!E:E,0)),"N/A")</f>
        <v>14777</v>
      </c>
      <c r="B2016" s="4" t="s">
        <v>318</v>
      </c>
      <c r="C2016" s="4" t="s">
        <v>283</v>
      </c>
      <c r="D2016" s="94">
        <v>7426.0</v>
      </c>
    </row>
    <row r="2017">
      <c r="A2017" s="40">
        <f t="array" ref="A2017">IFNA(index(PlayerValues!A:A,match(IFNA(vlookup(B2017,'Special Names'!A:B,2,FALSE),B2017),PlayerValues!E:E,0)),"N/A")</f>
        <v>15794</v>
      </c>
      <c r="B2017" s="4" t="s">
        <v>313</v>
      </c>
      <c r="C2017" s="4" t="s">
        <v>298</v>
      </c>
      <c r="D2017" s="94">
        <v>8169.0</v>
      </c>
    </row>
    <row r="2018">
      <c r="A2018" s="40">
        <f t="array" ref="A2018">IFNA(index(PlayerValues!A:A,match(IFNA(vlookup(B2018,'Special Names'!A:B,2,FALSE),B2018),PlayerValues!E:E,0)),"N/A")</f>
        <v>16615</v>
      </c>
      <c r="B2018" s="4" t="s">
        <v>309</v>
      </c>
      <c r="C2018" s="4" t="s">
        <v>287</v>
      </c>
      <c r="D2018" s="94">
        <v>7230.0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7133.0</v>
      </c>
    </row>
    <row r="2020">
      <c r="A2020" s="40" t="str">
        <f t="array" ref="A2020">IFNA(index(PlayerValues!A:A,match(IFNA(vlookup(B2020,'Special Names'!A:B,2,FALSE),B2020),PlayerValues!E:E,0)),"N/A")</f>
        <v>N/A</v>
      </c>
      <c r="B2020" s="4" t="s">
        <v>92</v>
      </c>
      <c r="C2020" s="4" t="s">
        <v>325</v>
      </c>
      <c r="D2020" s="94">
        <v>7108.0</v>
      </c>
    </row>
    <row r="2021">
      <c r="A2021" s="40">
        <f t="array" ref="A2021">IFNA(index(PlayerValues!A:A,match(IFNA(vlookup(B2021,'Special Names'!A:B,2,FALSE),B2021),PlayerValues!E:E,0)),"N/A")</f>
        <v>14779</v>
      </c>
      <c r="B2021" s="4" t="s">
        <v>327</v>
      </c>
      <c r="C2021" s="4" t="s">
        <v>283</v>
      </c>
      <c r="D2021" s="94">
        <v>7041.0</v>
      </c>
    </row>
    <row r="2022">
      <c r="A2022" s="40">
        <f t="array" ref="A2022">IFNA(index(PlayerValues!A:A,match(IFNA(vlookup(B2022,'Special Names'!A:B,2,FALSE),B2022),PlayerValues!E:E,0)),"N/A")</f>
        <v>15751</v>
      </c>
      <c r="B2022" s="4" t="s">
        <v>328</v>
      </c>
      <c r="C2022" s="4" t="s">
        <v>287</v>
      </c>
      <c r="D2022" s="94">
        <v>7005.0</v>
      </c>
    </row>
    <row r="2023">
      <c r="A2023" s="40">
        <f t="array" ref="A2023">IFNA(index(PlayerValues!A:A,match(IFNA(vlookup(B2023,'Special Names'!A:B,2,FALSE),B2023),PlayerValues!E:E,0)),"N/A")</f>
        <v>17044</v>
      </c>
      <c r="B2023" s="4" t="s">
        <v>322</v>
      </c>
      <c r="C2023" s="4" t="s">
        <v>278</v>
      </c>
      <c r="D2023" s="94">
        <v>6992.0</v>
      </c>
    </row>
    <row r="2024">
      <c r="A2024" s="40">
        <f t="array" ref="A2024">IFNA(index(PlayerValues!A:A,match(IFNA(vlookup(B2024,'Special Names'!A:B,2,FALSE),B2024),PlayerValues!E:E,0)),"N/A")</f>
        <v>16167</v>
      </c>
      <c r="B2024" s="4" t="s">
        <v>323</v>
      </c>
      <c r="C2024" s="4" t="s">
        <v>278</v>
      </c>
      <c r="D2024" s="94">
        <v>6823.0</v>
      </c>
    </row>
    <row r="2025">
      <c r="A2025" s="40">
        <f t="array" ref="A2025">IFNA(index(PlayerValues!A:A,match(IFNA(vlookup(B2025,'Special Names'!A:B,2,FALSE),B2025),PlayerValues!E:E,0)),"N/A")</f>
        <v>17071</v>
      </c>
      <c r="B2025" s="4" t="s">
        <v>341</v>
      </c>
      <c r="C2025" s="4" t="s">
        <v>287</v>
      </c>
      <c r="D2025" s="94">
        <v>6391.0</v>
      </c>
    </row>
    <row r="2026">
      <c r="A2026" s="40">
        <f t="array" ref="A2026">IFNA(index(PlayerValues!A:A,match(IFNA(vlookup(B2026,'Special Names'!A:B,2,FALSE),B2026),PlayerValues!E:E,0)),"N/A")</f>
        <v>17104</v>
      </c>
      <c r="B2026" s="4" t="s">
        <v>333</v>
      </c>
      <c r="C2026" s="4" t="s">
        <v>298</v>
      </c>
      <c r="D2026" s="94">
        <v>7062.0</v>
      </c>
    </row>
    <row r="2027">
      <c r="A2027" s="40">
        <f t="array" ref="A2027">IFNA(index(PlayerValues!A:A,match(IFNA(vlookup(B2027,'Special Names'!A:B,2,FALSE),B2027),PlayerValues!E:E,0)),"N/A")</f>
        <v>13116</v>
      </c>
      <c r="B2027" s="4" t="s">
        <v>345</v>
      </c>
      <c r="C2027" s="4" t="s">
        <v>283</v>
      </c>
      <c r="D2027" s="94">
        <v>6349.0</v>
      </c>
    </row>
    <row r="2028">
      <c r="A2028" s="40">
        <f t="array" ref="A2028">IFNA(index(PlayerValues!A:A,match(IFNA(vlookup(B2028,'Special Names'!A:B,2,FALSE),B2028),PlayerValues!E:E,0)),"N/A")</f>
        <v>17081</v>
      </c>
      <c r="B2028" s="4" t="s">
        <v>340</v>
      </c>
      <c r="C2028" s="4" t="s">
        <v>287</v>
      </c>
      <c r="D2028" s="94">
        <v>6345.0</v>
      </c>
    </row>
    <row r="2029">
      <c r="A2029" s="40">
        <f t="array" ref="A2029">IFNA(index(PlayerValues!A:A,match(IFNA(vlookup(B2029,'Special Names'!A:B,2,FALSE),B2029),PlayerValues!E:E,0)),"N/A")</f>
        <v>15237</v>
      </c>
      <c r="B2029" s="4" t="s">
        <v>336</v>
      </c>
      <c r="C2029" s="4" t="s">
        <v>283</v>
      </c>
      <c r="D2029" s="94">
        <v>6305.0</v>
      </c>
    </row>
    <row r="2030">
      <c r="A2030" s="40">
        <f t="array" ref="A2030">IFNA(index(PlayerValues!A:A,match(IFNA(vlookup(B2030,'Special Names'!A:B,2,FALSE),B2030),PlayerValues!E:E,0)),"N/A")</f>
        <v>17032</v>
      </c>
      <c r="B2030" s="4" t="s">
        <v>348</v>
      </c>
      <c r="C2030" s="4" t="s">
        <v>283</v>
      </c>
      <c r="D2030" s="94">
        <v>6293.0</v>
      </c>
    </row>
    <row r="2031">
      <c r="A2031" s="40">
        <f t="array" ref="A2031">IFNA(index(PlayerValues!A:A,match(IFNA(vlookup(B2031,'Special Names'!A:B,2,FALSE),B2031),PlayerValues!E:E,0)),"N/A")</f>
        <v>14802</v>
      </c>
      <c r="B2031" s="4" t="s">
        <v>332</v>
      </c>
      <c r="C2031" s="4" t="s">
        <v>278</v>
      </c>
      <c r="D2031" s="94">
        <v>6153.0</v>
      </c>
    </row>
    <row r="2032">
      <c r="A2032" s="40">
        <f t="array" ref="A2032">IFNA(index(PlayerValues!A:A,match(IFNA(vlookup(B2032,'Special Names'!A:B,2,FALSE),B2032),PlayerValues!E:E,0)),"N/A")</f>
        <v>14783</v>
      </c>
      <c r="B2032" s="4" t="s">
        <v>342</v>
      </c>
      <c r="C2032" s="4" t="s">
        <v>283</v>
      </c>
      <c r="D2032" s="94">
        <v>6148.0</v>
      </c>
    </row>
    <row r="2033">
      <c r="A2033" s="40">
        <f t="array" ref="A2033">IFNA(index(PlayerValues!A:A,match(IFNA(vlookup(B2033,'Special Names'!A:B,2,FALSE),B2033),PlayerValues!E:E,0)),"N/A")</f>
        <v>15762</v>
      </c>
      <c r="B2033" s="4" t="s">
        <v>337</v>
      </c>
      <c r="C2033" s="4" t="s">
        <v>287</v>
      </c>
      <c r="D2033" s="94">
        <v>6122.0</v>
      </c>
    </row>
    <row r="2034">
      <c r="A2034" s="40">
        <f t="array" ref="A2034">IFNA(index(PlayerValues!A:A,match(IFNA(vlookup(B2034,'Special Names'!A:B,2,FALSE),B2034),PlayerValues!E:E,0)),"N/A")</f>
        <v>15715</v>
      </c>
      <c r="B2034" s="4" t="s">
        <v>331</v>
      </c>
      <c r="C2034" s="4" t="s">
        <v>278</v>
      </c>
      <c r="D2034" s="94">
        <v>6101.0</v>
      </c>
    </row>
    <row r="2035">
      <c r="A2035" s="40">
        <f t="array" ref="A2035">IFNA(index(PlayerValues!A:A,match(IFNA(vlookup(B2035,'Special Names'!A:B,2,FALSE),B2035),PlayerValues!E:E,0)),"N/A")</f>
        <v>16582</v>
      </c>
      <c r="B2035" s="4" t="s">
        <v>343</v>
      </c>
      <c r="C2035" s="4" t="s">
        <v>283</v>
      </c>
      <c r="D2035" s="94">
        <v>5982.0</v>
      </c>
    </row>
    <row r="2036">
      <c r="A2036" s="40">
        <f t="array" ref="A2036">IFNA(index(PlayerValues!A:A,match(IFNA(vlookup(B2036,'Special Names'!A:B,2,FALSE),B2036),PlayerValues!E:E,0)),"N/A")</f>
        <v>17497</v>
      </c>
      <c r="B2036" s="4" t="s">
        <v>365</v>
      </c>
      <c r="C2036" s="4" t="s">
        <v>287</v>
      </c>
      <c r="D2036" s="94">
        <v>5908.0</v>
      </c>
    </row>
    <row r="2037">
      <c r="A2037" s="40">
        <f t="array" ref="A2037">IFNA(index(PlayerValues!A:A,match(IFNA(vlookup(B2037,'Special Names'!A:B,2,FALSE),B2037),PlayerValues!E:E,0)),"N/A")</f>
        <v>17102</v>
      </c>
      <c r="B2037" s="4" t="s">
        <v>344</v>
      </c>
      <c r="C2037" s="4" t="s">
        <v>298</v>
      </c>
      <c r="D2037" s="94">
        <v>6534.0</v>
      </c>
    </row>
    <row r="2038">
      <c r="A2038" s="40">
        <f t="array" ref="A2038">IFNA(index(PlayerValues!A:A,match(IFNA(vlookup(B2038,'Special Names'!A:B,2,FALSE),B2038),PlayerValues!E:E,0)),"N/A")</f>
        <v>15698</v>
      </c>
      <c r="B2038" s="4" t="s">
        <v>358</v>
      </c>
      <c r="C2038" s="4" t="s">
        <v>283</v>
      </c>
      <c r="D2038" s="94">
        <v>5818.0</v>
      </c>
    </row>
    <row r="2039">
      <c r="A2039" s="40" t="str">
        <f t="array" ref="A2039">IFNA(index(PlayerValues!A:A,match(IFNA(vlookup(B2039,'Special Names'!A:B,2,FALSE),B2039),PlayerValues!E:E,0)),"N/A")</f>
        <v>N/A</v>
      </c>
      <c r="B2039" s="4" t="s">
        <v>93</v>
      </c>
      <c r="C2039" s="4" t="s">
        <v>325</v>
      </c>
      <c r="D2039" s="94">
        <v>5655.0</v>
      </c>
    </row>
    <row r="2040">
      <c r="A2040" s="40">
        <f t="array" ref="A2040">IFNA(index(PlayerValues!A:A,match(IFNA(vlookup(B2040,'Special Names'!A:B,2,FALSE),B2040),PlayerValues!E:E,0)),"N/A")</f>
        <v>15711</v>
      </c>
      <c r="B2040" s="4" t="s">
        <v>349</v>
      </c>
      <c r="C2040" s="4" t="s">
        <v>278</v>
      </c>
      <c r="D2040" s="94">
        <v>5601.0</v>
      </c>
    </row>
    <row r="2041">
      <c r="A2041" s="40" t="str">
        <f t="array" ref="A2041">IFNA(index(PlayerValues!A:A,match(IFNA(vlookup(B2041,'Special Names'!A:B,2,FALSE),B2041),PlayerValues!E:E,0)),"N/A")</f>
        <v>N/A</v>
      </c>
      <c r="B2041" s="4" t="s">
        <v>79</v>
      </c>
      <c r="C2041" s="4" t="s">
        <v>325</v>
      </c>
      <c r="D2041" s="94">
        <v>5595.0</v>
      </c>
    </row>
    <row r="2042">
      <c r="A2042" s="40">
        <f t="array" ref="A2042">IFNA(index(PlayerValues!A:A,match(IFNA(vlookup(B2042,'Special Names'!A:B,2,FALSE),B2042),PlayerValues!E:E,0)),"N/A")</f>
        <v>16627</v>
      </c>
      <c r="B2042" s="4" t="s">
        <v>351</v>
      </c>
      <c r="C2042" s="4" t="s">
        <v>287</v>
      </c>
      <c r="D2042" s="94">
        <v>5586.0</v>
      </c>
    </row>
    <row r="2043">
      <c r="A2043" s="40">
        <f t="array" ref="A2043">IFNA(index(PlayerValues!A:A,match(IFNA(vlookup(B2043,'Special Names'!A:B,2,FALSE),B2043),PlayerValues!E:E,0)),"N/A")</f>
        <v>15290</v>
      </c>
      <c r="B2043" s="4" t="s">
        <v>355</v>
      </c>
      <c r="C2043" s="4" t="s">
        <v>287</v>
      </c>
      <c r="D2043" s="94">
        <v>5576.0</v>
      </c>
    </row>
    <row r="2044">
      <c r="A2044" s="40">
        <f t="array" ref="A2044">IFNA(index(PlayerValues!A:A,match(IFNA(vlookup(B2044,'Special Names'!A:B,2,FALSE),B2044),PlayerValues!E:E,0)),"N/A")</f>
        <v>15753</v>
      </c>
      <c r="B2044" s="4" t="s">
        <v>359</v>
      </c>
      <c r="C2044" s="4" t="s">
        <v>287</v>
      </c>
      <c r="D2044" s="94">
        <v>5560.0</v>
      </c>
    </row>
    <row r="2045">
      <c r="A2045" s="40">
        <f t="array" ref="A2045">IFNA(index(PlayerValues!A:A,match(IFNA(vlookup(B2045,'Special Names'!A:B,2,FALSE),B2045),PlayerValues!E:E,0)),"N/A")</f>
        <v>17051</v>
      </c>
      <c r="B2045" s="4" t="s">
        <v>386</v>
      </c>
      <c r="C2045" s="4" t="s">
        <v>278</v>
      </c>
      <c r="D2045" s="94">
        <v>5538.0</v>
      </c>
    </row>
    <row r="2046">
      <c r="A2046" s="40">
        <f t="array" ref="A2046">IFNA(index(PlayerValues!A:A,match(IFNA(vlookup(B2046,'Special Names'!A:B,2,FALSE),B2046),PlayerValues!E:E,0)),"N/A")</f>
        <v>17070</v>
      </c>
      <c r="B2046" s="4" t="s">
        <v>370</v>
      </c>
      <c r="C2046" s="4" t="s">
        <v>287</v>
      </c>
      <c r="D2046" s="94">
        <v>5525.0</v>
      </c>
    </row>
    <row r="2047">
      <c r="A2047" s="40">
        <f t="array" ref="A2047">IFNA(index(PlayerValues!A:A,match(IFNA(vlookup(B2047,'Special Names'!A:B,2,FALSE),B2047),PlayerValues!E:E,0)),"N/A")</f>
        <v>15754</v>
      </c>
      <c r="B2047" s="4" t="s">
        <v>354</v>
      </c>
      <c r="C2047" s="4" t="s">
        <v>287</v>
      </c>
      <c r="D2047" s="94">
        <v>5471.0</v>
      </c>
    </row>
    <row r="2048">
      <c r="A2048" s="40">
        <f t="array" ref="A2048">IFNA(index(PlayerValues!A:A,match(IFNA(vlookup(B2048,'Special Names'!A:B,2,FALSE),B2048),PlayerValues!E:E,0)),"N/A")</f>
        <v>14782</v>
      </c>
      <c r="B2048" s="4" t="s">
        <v>385</v>
      </c>
      <c r="C2048" s="4" t="s">
        <v>283</v>
      </c>
      <c r="D2048" s="94">
        <v>5452.0</v>
      </c>
    </row>
    <row r="2049">
      <c r="A2049" s="40">
        <f t="array" ref="A2049">IFNA(index(PlayerValues!A:A,match(IFNA(vlookup(B2049,'Special Names'!A:B,2,FALSE),B2049),PlayerValues!E:E,0)),"N/A")</f>
        <v>15282</v>
      </c>
      <c r="B2049" s="4" t="s">
        <v>364</v>
      </c>
      <c r="C2049" s="4" t="s">
        <v>287</v>
      </c>
      <c r="D2049" s="94">
        <v>5442.0</v>
      </c>
    </row>
    <row r="2050">
      <c r="A2050" s="40">
        <f t="array" ref="A2050">IFNA(index(PlayerValues!A:A,match(IFNA(vlookup(B2050,'Special Names'!A:B,2,FALSE),B2050),PlayerValues!E:E,0)),"N/A")</f>
        <v>17462</v>
      </c>
      <c r="B2050" s="4" t="s">
        <v>375</v>
      </c>
      <c r="C2050" s="4" t="s">
        <v>283</v>
      </c>
      <c r="D2050" s="94">
        <v>5430.0</v>
      </c>
    </row>
    <row r="2051">
      <c r="A2051" s="40">
        <f t="array" ref="A2051">IFNA(index(PlayerValues!A:A,match(IFNA(vlookup(B2051,'Special Names'!A:B,2,FALSE),B2051),PlayerValues!E:E,0)),"N/A")</f>
        <v>17498</v>
      </c>
      <c r="B2051" s="4" t="s">
        <v>396</v>
      </c>
      <c r="C2051" s="4" t="s">
        <v>287</v>
      </c>
      <c r="D2051" s="94">
        <v>5365.0</v>
      </c>
    </row>
    <row r="2052">
      <c r="A2052" s="40">
        <f t="array" ref="A2052">IFNA(index(PlayerValues!A:A,match(IFNA(vlookup(B2052,'Special Names'!A:B,2,FALSE),B2052),PlayerValues!E:E,0)),"N/A")</f>
        <v>17043</v>
      </c>
      <c r="B2052" s="4" t="s">
        <v>397</v>
      </c>
      <c r="C2052" s="4" t="s">
        <v>278</v>
      </c>
      <c r="D2052" s="94">
        <v>5350.0</v>
      </c>
    </row>
    <row r="2053">
      <c r="A2053" s="40">
        <f t="array" ref="A2053">IFNA(index(PlayerValues!A:A,match(IFNA(vlookup(B2053,'Special Names'!A:B,2,FALSE),B2053),PlayerValues!E:E,0)),"N/A")</f>
        <v>15708</v>
      </c>
      <c r="B2053" s="4" t="s">
        <v>382</v>
      </c>
      <c r="C2053" s="4" t="s">
        <v>278</v>
      </c>
      <c r="D2053" s="94">
        <v>5285.0</v>
      </c>
    </row>
    <row r="2054">
      <c r="A2054" s="40">
        <f t="array" ref="A2054">IFNA(index(PlayerValues!A:A,match(IFNA(vlookup(B2054,'Special Names'!A:B,2,FALSE),B2054),PlayerValues!E:E,0)),"N/A")</f>
        <v>16181</v>
      </c>
      <c r="B2054" s="4" t="s">
        <v>350</v>
      </c>
      <c r="C2054" s="4" t="s">
        <v>278</v>
      </c>
      <c r="D2054" s="94">
        <v>5270.0</v>
      </c>
    </row>
    <row r="2055">
      <c r="A2055" s="40">
        <f t="array" ref="A2055">IFNA(index(PlayerValues!A:A,match(IFNA(vlookup(B2055,'Special Names'!A:B,2,FALSE),B2055),PlayerValues!E:E,0)),"N/A")</f>
        <v>17030</v>
      </c>
      <c r="B2055" s="4" t="s">
        <v>406</v>
      </c>
      <c r="C2055" s="4" t="s">
        <v>283</v>
      </c>
      <c r="D2055" s="94">
        <v>5266.0</v>
      </c>
    </row>
    <row r="2056">
      <c r="A2056" s="40">
        <f t="array" ref="A2056">IFNA(index(PlayerValues!A:A,match(IFNA(vlookup(B2056,'Special Names'!A:B,2,FALSE),B2056),PlayerValues!E:E,0)),"N/A")</f>
        <v>13130</v>
      </c>
      <c r="B2056" s="4" t="s">
        <v>374</v>
      </c>
      <c r="C2056" s="4" t="s">
        <v>278</v>
      </c>
      <c r="D2056" s="94">
        <v>5250.0</v>
      </c>
    </row>
    <row r="2057">
      <c r="A2057" s="40">
        <f t="array" ref="A2057">IFNA(index(PlayerValues!A:A,match(IFNA(vlookup(B2057,'Special Names'!A:B,2,FALSE),B2057),PlayerValues!E:E,0)),"N/A")</f>
        <v>16616</v>
      </c>
      <c r="B2057" s="4" t="s">
        <v>389</v>
      </c>
      <c r="C2057" s="4" t="s">
        <v>287</v>
      </c>
      <c r="D2057" s="94">
        <v>5247.0</v>
      </c>
    </row>
    <row r="2058">
      <c r="A2058" s="40" t="str">
        <f t="array" ref="A2058">IFNA(index(PlayerValues!A:A,match(IFNA(vlookup(B2058,'Special Names'!A:B,2,FALSE),B2058),PlayerValues!E:E,0)),"N/A")</f>
        <v>N/A</v>
      </c>
      <c r="B2058" s="4" t="s">
        <v>104</v>
      </c>
      <c r="C2058" s="4" t="s">
        <v>325</v>
      </c>
      <c r="D2058" s="94">
        <v>5185.0</v>
      </c>
    </row>
    <row r="2059">
      <c r="A2059" s="40">
        <f t="array" ref="A2059">IFNA(index(PlayerValues!A:A,match(IFNA(vlookup(B2059,'Special Names'!A:B,2,FALSE),B2059),PlayerValues!E:E,0)),"N/A")</f>
        <v>13604</v>
      </c>
      <c r="B2059" s="4" t="s">
        <v>378</v>
      </c>
      <c r="C2059" s="4" t="s">
        <v>278</v>
      </c>
      <c r="D2059" s="94">
        <v>5079.0</v>
      </c>
    </row>
    <row r="2060">
      <c r="A2060" s="40">
        <f t="array" ref="A2060">IFNA(index(PlayerValues!A:A,match(IFNA(vlookup(B2060,'Special Names'!A:B,2,FALSE),B2060),PlayerValues!E:E,0)),"N/A")</f>
        <v>14104</v>
      </c>
      <c r="B2060" s="4" t="s">
        <v>379</v>
      </c>
      <c r="C2060" s="4" t="s">
        <v>287</v>
      </c>
      <c r="D2060" s="94">
        <v>5032.0</v>
      </c>
    </row>
    <row r="2061">
      <c r="A2061" s="40">
        <f t="array" ref="A2061">IFNA(index(PlayerValues!A:A,match(IFNA(vlookup(B2061,'Special Names'!A:B,2,FALSE),B2061),PlayerValues!E:E,0)),"N/A")</f>
        <v>17499</v>
      </c>
      <c r="B2061" s="4" t="s">
        <v>402</v>
      </c>
      <c r="C2061" s="4" t="s">
        <v>287</v>
      </c>
      <c r="D2061" s="94">
        <v>5007.0</v>
      </c>
    </row>
    <row r="2062">
      <c r="A2062" s="40">
        <f t="array" ref="A2062">IFNA(index(PlayerValues!A:A,match(IFNA(vlookup(B2062,'Special Names'!A:B,2,FALSE),B2062),PlayerValues!E:E,0)),"N/A")</f>
        <v>16190</v>
      </c>
      <c r="B2062" s="4" t="s">
        <v>371</v>
      </c>
      <c r="C2062" s="4" t="s">
        <v>287</v>
      </c>
      <c r="D2062" s="94">
        <v>4985.0</v>
      </c>
    </row>
    <row r="2063">
      <c r="A2063" s="40">
        <f t="array" ref="A2063">IFNA(index(PlayerValues!A:A,match(IFNA(vlookup(B2063,'Special Names'!A:B,2,FALSE),B2063),PlayerValues!E:E,0)),"N/A")</f>
        <v>16194</v>
      </c>
      <c r="B2063" s="4" t="s">
        <v>398</v>
      </c>
      <c r="C2063" s="4" t="s">
        <v>287</v>
      </c>
      <c r="D2063" s="94">
        <v>4982.0</v>
      </c>
    </row>
    <row r="2064">
      <c r="A2064" s="40">
        <f t="array" ref="A2064">IFNA(index(PlayerValues!A:A,match(IFNA(vlookup(B2064,'Special Names'!A:B,2,FALSE),B2064),PlayerValues!E:E,0)),"N/A")</f>
        <v>14835</v>
      </c>
      <c r="B2064" s="4" t="s">
        <v>392</v>
      </c>
      <c r="C2064" s="4" t="s">
        <v>287</v>
      </c>
      <c r="D2064" s="94">
        <v>4969.0</v>
      </c>
    </row>
    <row r="2065">
      <c r="A2065" s="40">
        <f t="array" ref="A2065">IFNA(index(PlayerValues!A:A,match(IFNA(vlookup(B2065,'Special Names'!A:B,2,FALSE),B2065),PlayerValues!E:E,0)),"N/A")</f>
        <v>16222</v>
      </c>
      <c r="B2065" s="4" t="s">
        <v>393</v>
      </c>
      <c r="C2065" s="4" t="s">
        <v>298</v>
      </c>
      <c r="D2065" s="94">
        <v>5547.0</v>
      </c>
    </row>
    <row r="2066">
      <c r="A2066" s="40">
        <f t="array" ref="A2066">IFNA(index(PlayerValues!A:A,match(IFNA(vlookup(B2066,'Special Names'!A:B,2,FALSE),B2066),PlayerValues!E:E,0)),"N/A")</f>
        <v>15710</v>
      </c>
      <c r="B2066" s="4" t="s">
        <v>395</v>
      </c>
      <c r="C2066" s="4" t="s">
        <v>278</v>
      </c>
      <c r="D2066" s="94">
        <v>4958.0</v>
      </c>
    </row>
    <row r="2067">
      <c r="A2067" s="40">
        <f t="array" ref="A2067">IFNA(index(PlayerValues!A:A,match(IFNA(vlookup(B2067,'Special Names'!A:B,2,FALSE),B2067),PlayerValues!E:E,0)),"N/A")</f>
        <v>12620</v>
      </c>
      <c r="B2067" s="4" t="s">
        <v>394</v>
      </c>
      <c r="C2067" s="4" t="s">
        <v>283</v>
      </c>
      <c r="D2067" s="94">
        <v>4922.0</v>
      </c>
    </row>
    <row r="2068">
      <c r="A2068" s="40">
        <f t="array" ref="A2068">IFNA(index(PlayerValues!A:A,match(IFNA(vlookup(B2068,'Special Names'!A:B,2,FALSE),B2068),PlayerValues!E:E,0)),"N/A")</f>
        <v>15284</v>
      </c>
      <c r="B2068" s="4" t="s">
        <v>390</v>
      </c>
      <c r="C2068" s="4" t="s">
        <v>287</v>
      </c>
      <c r="D2068" s="94">
        <v>4896.0</v>
      </c>
    </row>
    <row r="2069">
      <c r="A2069" s="40">
        <f t="array" ref="A2069">IFNA(index(PlayerValues!A:A,match(IFNA(vlookup(B2069,'Special Names'!A:B,2,FALSE),B2069),PlayerValues!E:E,0)),"N/A")</f>
        <v>16614</v>
      </c>
      <c r="B2069" s="4" t="s">
        <v>403</v>
      </c>
      <c r="C2069" s="4" t="s">
        <v>287</v>
      </c>
      <c r="D2069" s="94">
        <v>4848.0</v>
      </c>
    </row>
    <row r="2070">
      <c r="A2070" s="40" t="str">
        <f t="array" ref="A2070">IFNA(index(PlayerValues!A:A,match(IFNA(vlookup(B2070,'Special Names'!A:B,2,FALSE),B2070),PlayerValues!E:E,0)),"N/A")</f>
        <v>N/A</v>
      </c>
      <c r="B2070" s="4" t="s">
        <v>94</v>
      </c>
      <c r="C2070" s="4" t="s">
        <v>325</v>
      </c>
      <c r="D2070" s="94">
        <v>4847.0</v>
      </c>
    </row>
    <row r="2071">
      <c r="A2071" s="40">
        <f t="array" ref="A2071">IFNA(index(PlayerValues!A:A,match(IFNA(vlookup(B2071,'Special Names'!A:B,2,FALSE),B2071),PlayerValues!E:E,0)),"N/A")</f>
        <v>17039</v>
      </c>
      <c r="B2071" s="4" t="s">
        <v>400</v>
      </c>
      <c r="C2071" s="4" t="s">
        <v>283</v>
      </c>
      <c r="D2071" s="94">
        <v>4837.0</v>
      </c>
    </row>
    <row r="2072">
      <c r="A2072" s="40">
        <f t="array" ref="A2072">IFNA(index(PlayerValues!A:A,match(IFNA(vlookup(B2072,'Special Names'!A:B,2,FALSE),B2072),PlayerValues!E:E,0)),"N/A")</f>
        <v>16618</v>
      </c>
      <c r="B2072" s="4" t="s">
        <v>411</v>
      </c>
      <c r="C2072" s="4" t="s">
        <v>287</v>
      </c>
      <c r="D2072" s="94">
        <v>4823.0</v>
      </c>
    </row>
    <row r="2073">
      <c r="A2073" s="40">
        <f t="array" ref="A2073">IFNA(index(PlayerValues!A:A,match(IFNA(vlookup(B2073,'Special Names'!A:B,2,FALSE),B2073),PlayerValues!E:E,0)),"N/A")</f>
        <v>17473</v>
      </c>
      <c r="B2073" s="4" t="s">
        <v>391</v>
      </c>
      <c r="C2073" s="4" t="s">
        <v>278</v>
      </c>
      <c r="D2073" s="94">
        <v>4791.0</v>
      </c>
    </row>
    <row r="2074">
      <c r="A2074" s="40">
        <f t="array" ref="A2074">IFNA(index(PlayerValues!A:A,match(IFNA(vlookup(B2074,'Special Names'!A:B,2,FALSE),B2074),PlayerValues!E:E,0)),"N/A")</f>
        <v>15756</v>
      </c>
      <c r="B2074" s="4" t="s">
        <v>399</v>
      </c>
      <c r="C2074" s="4" t="s">
        <v>287</v>
      </c>
      <c r="D2074" s="94">
        <v>4775.0</v>
      </c>
    </row>
    <row r="2075">
      <c r="A2075" s="40">
        <f t="array" ref="A2075">IFNA(index(PlayerValues!A:A,match(IFNA(vlookup(B2075,'Special Names'!A:B,2,FALSE),B2075),PlayerValues!E:E,0)),"N/A")</f>
        <v>17045</v>
      </c>
      <c r="B2075" s="4" t="s">
        <v>407</v>
      </c>
      <c r="C2075" s="4" t="s">
        <v>278</v>
      </c>
      <c r="D2075" s="94">
        <v>4771.0</v>
      </c>
    </row>
    <row r="2076">
      <c r="A2076" s="40">
        <f t="array" ref="A2076">IFNA(index(PlayerValues!A:A,match(IFNA(vlookup(B2076,'Special Names'!A:B,2,FALSE),B2076),PlayerValues!E:E,0)),"N/A")</f>
        <v>17103</v>
      </c>
      <c r="B2076" s="4" t="s">
        <v>405</v>
      </c>
      <c r="C2076" s="4" t="s">
        <v>298</v>
      </c>
      <c r="D2076" s="94">
        <v>5304.0</v>
      </c>
    </row>
    <row r="2077">
      <c r="A2077" s="40">
        <f t="array" ref="A2077">IFNA(index(PlayerValues!A:A,match(IFNA(vlookup(B2077,'Special Names'!A:B,2,FALSE),B2077),PlayerValues!E:E,0)),"N/A")</f>
        <v>16598</v>
      </c>
      <c r="B2077" s="4" t="s">
        <v>408</v>
      </c>
      <c r="C2077" s="4" t="s">
        <v>278</v>
      </c>
      <c r="D2077" s="94">
        <v>4695.0</v>
      </c>
    </row>
    <row r="2078">
      <c r="A2078" s="40">
        <f t="array" ref="A2078">IFNA(index(PlayerValues!A:A,match(IFNA(vlookup(B2078,'Special Names'!A:B,2,FALSE),B2078),PlayerValues!E:E,0)),"N/A")</f>
        <v>12611</v>
      </c>
      <c r="B2078" s="4" t="s">
        <v>410</v>
      </c>
      <c r="C2078" s="4" t="s">
        <v>283</v>
      </c>
      <c r="D2078" s="94">
        <v>4678.0</v>
      </c>
    </row>
    <row r="2079">
      <c r="A2079" s="40" t="str">
        <f t="array" ref="A2079">IFNA(index(PlayerValues!A:A,match(IFNA(vlookup(B2079,'Special Names'!A:B,2,FALSE),B2079),PlayerValues!E:E,0)),"N/A")</f>
        <v>N/A</v>
      </c>
      <c r="B2079" s="4" t="s">
        <v>80</v>
      </c>
      <c r="C2079" s="4" t="s">
        <v>325</v>
      </c>
      <c r="D2079" s="94">
        <v>4665.0</v>
      </c>
    </row>
    <row r="2080">
      <c r="A2080" s="40">
        <f t="array" ref="A2080">IFNA(index(PlayerValues!A:A,match(IFNA(vlookup(B2080,'Special Names'!A:B,2,FALSE),B2080),PlayerValues!E:E,0)),"N/A")</f>
        <v>13590</v>
      </c>
      <c r="B2080" s="4" t="s">
        <v>409</v>
      </c>
      <c r="C2080" s="4" t="s">
        <v>283</v>
      </c>
      <c r="D2080" s="94">
        <v>4648.0</v>
      </c>
    </row>
    <row r="2081">
      <c r="A2081" s="40">
        <f t="array" ref="A2081">IFNA(index(PlayerValues!A:A,match(IFNA(vlookup(B2081,'Special Names'!A:B,2,FALSE),B2081),PlayerValues!E:E,0)),"N/A")</f>
        <v>16150</v>
      </c>
      <c r="B2081" s="4" t="s">
        <v>414</v>
      </c>
      <c r="C2081" s="4" t="s">
        <v>283</v>
      </c>
      <c r="D2081" s="94">
        <v>4641.0</v>
      </c>
    </row>
    <row r="2082">
      <c r="A2082" s="40">
        <f t="array" ref="A2082">IFNA(index(PlayerValues!A:A,match(IFNA(vlookup(B2082,'Special Names'!A:B,2,FALSE),B2082),PlayerValues!E:E,0)),"N/A")</f>
        <v>16214</v>
      </c>
      <c r="B2082" s="4" t="s">
        <v>413</v>
      </c>
      <c r="C2082" s="4" t="s">
        <v>298</v>
      </c>
      <c r="D2082" s="94">
        <v>5170.0</v>
      </c>
    </row>
    <row r="2083">
      <c r="A2083" s="40">
        <f t="array" ref="A2083">IFNA(index(PlayerValues!A:A,match(IFNA(vlookup(B2083,'Special Names'!A:B,2,FALSE),B2083),PlayerValues!E:E,0)),"N/A")</f>
        <v>15256</v>
      </c>
      <c r="B2083" s="4" t="s">
        <v>401</v>
      </c>
      <c r="C2083" s="4" t="s">
        <v>278</v>
      </c>
      <c r="D2083" s="94">
        <v>4599.0</v>
      </c>
    </row>
    <row r="2084">
      <c r="A2084" s="40" t="str">
        <f t="array" ref="A2084">IFNA(index(PlayerValues!A:A,match(IFNA(vlookup(B2084,'Special Names'!A:B,2,FALSE),B2084),PlayerValues!E:E,0)),"N/A")</f>
        <v>N/A</v>
      </c>
      <c r="B2084" s="4" t="s">
        <v>105</v>
      </c>
      <c r="C2084" s="4" t="s">
        <v>325</v>
      </c>
      <c r="D2084" s="94">
        <v>4572.0</v>
      </c>
    </row>
    <row r="2085">
      <c r="A2085" s="40">
        <f t="array" ref="A2085">IFNA(index(PlayerValues!A:A,match(IFNA(vlookup(B2085,'Special Names'!A:B,2,FALSE),B2085),PlayerValues!E:E,0)),"N/A")</f>
        <v>15329</v>
      </c>
      <c r="B2085" s="4" t="s">
        <v>416</v>
      </c>
      <c r="C2085" s="4" t="s">
        <v>298</v>
      </c>
      <c r="D2085" s="94">
        <v>4976.0</v>
      </c>
    </row>
    <row r="2086">
      <c r="A2086" s="40">
        <f t="array" ref="A2086">IFNA(index(PlayerValues!A:A,match(IFNA(vlookup(B2086,'Special Names'!A:B,2,FALSE),B2086),PlayerValues!E:E,0)),"N/A")</f>
        <v>13592</v>
      </c>
      <c r="B2086" s="4" t="s">
        <v>418</v>
      </c>
      <c r="C2086" s="4" t="s">
        <v>283</v>
      </c>
      <c r="D2086" s="94">
        <v>4394.0</v>
      </c>
    </row>
    <row r="2087">
      <c r="A2087" s="40">
        <f t="array" ref="A2087">IFNA(index(PlayerValues!A:A,match(IFNA(vlookup(B2087,'Special Names'!A:B,2,FALSE),B2087),PlayerValues!E:E,0)),"N/A")</f>
        <v>15253</v>
      </c>
      <c r="B2087" s="4" t="s">
        <v>415</v>
      </c>
      <c r="C2087" s="4" t="s">
        <v>278</v>
      </c>
      <c r="D2087" s="94">
        <v>4373.0</v>
      </c>
    </row>
    <row r="2088">
      <c r="A2088" s="40">
        <f t="array" ref="A2088">IFNA(index(PlayerValues!A:A,match(IFNA(vlookup(B2088,'Special Names'!A:B,2,FALSE),B2088),PlayerValues!E:E,0)),"N/A")</f>
        <v>17501</v>
      </c>
      <c r="B2088" s="4" t="s">
        <v>404</v>
      </c>
      <c r="C2088" s="4" t="s">
        <v>287</v>
      </c>
      <c r="D2088" s="94">
        <v>4348.0</v>
      </c>
    </row>
    <row r="2089">
      <c r="A2089" s="40">
        <f t="array" ref="A2089">IFNA(index(PlayerValues!A:A,match(IFNA(vlookup(B2089,'Special Names'!A:B,2,FALSE),B2089),PlayerValues!E:E,0)),"N/A")</f>
        <v>12626</v>
      </c>
      <c r="B2089" s="4" t="s">
        <v>419</v>
      </c>
      <c r="C2089" s="4" t="s">
        <v>278</v>
      </c>
      <c r="D2089" s="94">
        <v>4205.0</v>
      </c>
    </row>
    <row r="2090">
      <c r="A2090" s="40">
        <f t="array" ref="A2090">IFNA(index(PlayerValues!A:A,match(IFNA(vlookup(B2090,'Special Names'!A:B,2,FALSE),B2090),PlayerValues!E:E,0)),"N/A")</f>
        <v>17052</v>
      </c>
      <c r="B2090" s="4" t="s">
        <v>417</v>
      </c>
      <c r="C2090" s="4" t="s">
        <v>278</v>
      </c>
      <c r="D2090" s="94">
        <v>4198.0</v>
      </c>
    </row>
    <row r="2091">
      <c r="A2091" s="40">
        <f t="array" ref="A2091">IFNA(index(PlayerValues!A:A,match(IFNA(vlookup(B2091,'Special Names'!A:B,2,FALSE),B2091),PlayerValues!E:E,0)),"N/A")</f>
        <v>14073</v>
      </c>
      <c r="B2091" s="4" t="s">
        <v>464</v>
      </c>
      <c r="C2091" s="4" t="s">
        <v>278</v>
      </c>
      <c r="D2091" s="94">
        <v>4090.0</v>
      </c>
    </row>
    <row r="2092">
      <c r="A2092" s="40">
        <f t="array" ref="A2092">IFNA(index(PlayerValues!A:A,match(IFNA(vlookup(B2092,'Special Names'!A:B,2,FALSE),B2092),PlayerValues!E:E,0)),"N/A")</f>
        <v>17543</v>
      </c>
      <c r="B2092" s="4" t="s">
        <v>436</v>
      </c>
      <c r="C2092" s="4" t="s">
        <v>298</v>
      </c>
      <c r="D2092" s="94">
        <v>4522.0</v>
      </c>
    </row>
    <row r="2093">
      <c r="A2093" s="40">
        <f t="array" ref="A2093">IFNA(index(PlayerValues!A:A,match(IFNA(vlookup(B2093,'Special Names'!A:B,2,FALSE),B2093),PlayerValues!E:E,0)),"N/A")</f>
        <v>14056</v>
      </c>
      <c r="B2093" s="4" t="s">
        <v>423</v>
      </c>
      <c r="C2093" s="4" t="s">
        <v>283</v>
      </c>
      <c r="D2093" s="94">
        <v>3987.0</v>
      </c>
    </row>
    <row r="2094">
      <c r="A2094" s="40" t="str">
        <f t="array" ref="A2094">IFNA(index(PlayerValues!A:A,match(IFNA(vlookup(B2094,'Special Names'!A:B,2,FALSE),B2094),PlayerValues!E:E,0)),"N/A")</f>
        <v>N/A</v>
      </c>
      <c r="B2094" s="4" t="s">
        <v>81</v>
      </c>
      <c r="C2094" s="4" t="s">
        <v>325</v>
      </c>
      <c r="D2094" s="94">
        <v>3962.0</v>
      </c>
    </row>
    <row r="2095">
      <c r="A2095" s="40">
        <f t="array" ref="A2095">IFNA(index(PlayerValues!A:A,match(IFNA(vlookup(B2095,'Special Names'!A:B,2,FALSE),B2095),PlayerValues!E:E,0)),"N/A")</f>
        <v>15789</v>
      </c>
      <c r="B2095" s="4" t="s">
        <v>421</v>
      </c>
      <c r="C2095" s="4" t="s">
        <v>287</v>
      </c>
      <c r="D2095" s="94">
        <v>3950.0</v>
      </c>
    </row>
    <row r="2096">
      <c r="A2096" s="40">
        <f t="array" ref="A2096">IFNA(index(PlayerValues!A:A,match(IFNA(vlookup(B2096,'Special Names'!A:B,2,FALSE),B2096),PlayerValues!E:E,0)),"N/A")</f>
        <v>16148</v>
      </c>
      <c r="B2096" s="4" t="s">
        <v>426</v>
      </c>
      <c r="C2096" s="4" t="s">
        <v>283</v>
      </c>
      <c r="D2096" s="94">
        <v>3939.0</v>
      </c>
    </row>
    <row r="2097">
      <c r="A2097" s="40" t="str">
        <f t="array" ref="A2097">IFNA(index(PlayerValues!A:A,match(IFNA(vlookup(B2097,'Special Names'!A:B,2,FALSE),B2097),PlayerValues!E:E,0)),"N/A")</f>
        <v>N/A</v>
      </c>
      <c r="B2097" s="4" t="s">
        <v>107</v>
      </c>
      <c r="C2097" s="4" t="s">
        <v>325</v>
      </c>
      <c r="D2097" s="94">
        <v>3933.0</v>
      </c>
    </row>
    <row r="2098">
      <c r="A2098" s="40">
        <f t="array" ref="A2098">IFNA(index(PlayerValues!A:A,match(IFNA(vlookup(B2098,'Special Names'!A:B,2,FALSE),B2098),PlayerValues!E:E,0)),"N/A")</f>
        <v>15768</v>
      </c>
      <c r="B2098" s="4" t="s">
        <v>432</v>
      </c>
      <c r="C2098" s="4" t="s">
        <v>287</v>
      </c>
      <c r="D2098" s="94">
        <v>3926.0</v>
      </c>
    </row>
    <row r="2099">
      <c r="A2099" s="40">
        <f t="array" ref="A2099">IFNA(index(PlayerValues!A:A,match(IFNA(vlookup(B2099,'Special Names'!A:B,2,FALSE),B2099),PlayerValues!E:E,0)),"N/A")</f>
        <v>16186</v>
      </c>
      <c r="B2099" s="4" t="s">
        <v>425</v>
      </c>
      <c r="C2099" s="4" t="s">
        <v>287</v>
      </c>
      <c r="D2099" s="94">
        <v>3921.0</v>
      </c>
    </row>
    <row r="2100">
      <c r="A2100" s="40">
        <f t="array" ref="A2100">IFNA(index(PlayerValues!A:A,match(IFNA(vlookup(B2100,'Special Names'!A:B,2,FALSE),B2100),PlayerValues!E:E,0)),"N/A")</f>
        <v>14059</v>
      </c>
      <c r="B2100" s="4" t="s">
        <v>435</v>
      </c>
      <c r="C2100" s="4" t="s">
        <v>283</v>
      </c>
      <c r="D2100" s="94">
        <v>3919.0</v>
      </c>
    </row>
    <row r="2101">
      <c r="A2101" s="40">
        <f t="array" ref="A2101">IFNA(index(PlayerValues!A:A,match(IFNA(vlookup(B2101,'Special Names'!A:B,2,FALSE),B2101),PlayerValues!E:E,0)),"N/A")</f>
        <v>9431</v>
      </c>
      <c r="B2101" s="4" t="s">
        <v>428</v>
      </c>
      <c r="C2101" s="4" t="s">
        <v>283</v>
      </c>
      <c r="D2101" s="94">
        <v>3878.0</v>
      </c>
    </row>
    <row r="2102">
      <c r="A2102" s="40" t="str">
        <f t="array" ref="A2102">IFNA(index(PlayerValues!A:A,match(IFNA(vlookup(B2102,'Special Names'!A:B,2,FALSE),B2102),PlayerValues!E:E,0)),"N/A")</f>
        <v>N/A</v>
      </c>
      <c r="B2102" s="4" t="s">
        <v>95</v>
      </c>
      <c r="C2102" s="4" t="s">
        <v>325</v>
      </c>
      <c r="D2102" s="94">
        <v>3830.0</v>
      </c>
    </row>
    <row r="2103">
      <c r="A2103" s="40">
        <f t="array" ref="A2103">IFNA(index(PlayerValues!A:A,match(IFNA(vlookup(B2103,'Special Names'!A:B,2,FALSE),B2103),PlayerValues!E:E,0)),"N/A")</f>
        <v>15694</v>
      </c>
      <c r="B2103" s="4" t="s">
        <v>434</v>
      </c>
      <c r="C2103" s="4" t="s">
        <v>283</v>
      </c>
      <c r="D2103" s="94">
        <v>3791.0</v>
      </c>
    </row>
    <row r="2104">
      <c r="A2104" s="40">
        <f t="array" ref="A2104">IFNA(index(PlayerValues!A:A,match(IFNA(vlookup(B2104,'Special Names'!A:B,2,FALSE),B2104),PlayerValues!E:E,0)),"N/A")</f>
        <v>16206</v>
      </c>
      <c r="B2104" s="4" t="s">
        <v>431</v>
      </c>
      <c r="C2104" s="4" t="s">
        <v>287</v>
      </c>
      <c r="D2104" s="94">
        <v>3731.0</v>
      </c>
    </row>
    <row r="2105">
      <c r="A2105" s="40">
        <f t="array" ref="A2105">IFNA(index(PlayerValues!A:A,match(IFNA(vlookup(B2105,'Special Names'!A:B,2,FALSE),B2105),PlayerValues!E:E,0)),"N/A")</f>
        <v>14797</v>
      </c>
      <c r="B2105" s="4" t="s">
        <v>420</v>
      </c>
      <c r="C2105" s="4" t="s">
        <v>278</v>
      </c>
      <c r="D2105" s="94">
        <v>3729.0</v>
      </c>
    </row>
    <row r="2106">
      <c r="A2106" s="40">
        <f t="array" ref="A2106">IFNA(index(PlayerValues!A:A,match(IFNA(vlookup(B2106,'Special Names'!A:B,2,FALSE),B2106),PlayerValues!E:E,0)),"N/A")</f>
        <v>16192</v>
      </c>
      <c r="B2106" s="4" t="s">
        <v>412</v>
      </c>
      <c r="C2106" s="4" t="s">
        <v>287</v>
      </c>
      <c r="D2106" s="94">
        <v>3677.0</v>
      </c>
    </row>
    <row r="2107">
      <c r="A2107" s="40">
        <f t="array" ref="A2107">IFNA(index(PlayerValues!A:A,match(IFNA(vlookup(B2107,'Special Names'!A:B,2,FALSE),B2107),PlayerValues!E:E,0)),"N/A")</f>
        <v>16187</v>
      </c>
      <c r="B2107" s="4" t="s">
        <v>441</v>
      </c>
      <c r="C2107" s="4" t="s">
        <v>287</v>
      </c>
      <c r="D2107" s="94">
        <v>3591.0</v>
      </c>
    </row>
    <row r="2108">
      <c r="A2108" s="40">
        <f t="array" ref="A2108">IFNA(index(PlayerValues!A:A,match(IFNA(vlookup(B2108,'Special Names'!A:B,2,FALSE),B2108),PlayerValues!E:E,0)),"N/A")</f>
        <v>16188</v>
      </c>
      <c r="B2108" s="4" t="s">
        <v>439</v>
      </c>
      <c r="C2108" s="4" t="s">
        <v>287</v>
      </c>
      <c r="D2108" s="94">
        <v>3543.0</v>
      </c>
    </row>
    <row r="2109">
      <c r="A2109" s="40">
        <f t="array" ref="A2109">IFNA(index(PlayerValues!A:A,match(IFNA(vlookup(B2109,'Special Names'!A:B,2,FALSE),B2109),PlayerValues!E:E,0)),"N/A")</f>
        <v>13635</v>
      </c>
      <c r="B2109" s="4" t="s">
        <v>424</v>
      </c>
      <c r="C2109" s="4" t="s">
        <v>287</v>
      </c>
      <c r="D2109" s="94">
        <v>3530.0</v>
      </c>
    </row>
    <row r="2110">
      <c r="A2110" s="40">
        <f t="array" ref="A2110">IFNA(index(PlayerValues!A:A,match(IFNA(vlookup(B2110,'Special Names'!A:B,2,FALSE),B2110),PlayerValues!E:E,0)),"N/A")</f>
        <v>17075</v>
      </c>
      <c r="B2110" s="4" t="s">
        <v>429</v>
      </c>
      <c r="C2110" s="4" t="s">
        <v>287</v>
      </c>
      <c r="D2110" s="94">
        <v>3529.0</v>
      </c>
    </row>
    <row r="2111">
      <c r="A2111" s="40">
        <f t="array" ref="A2111">IFNA(index(PlayerValues!A:A,match(IFNA(vlookup(B2111,'Special Names'!A:B,2,FALSE),B2111),PlayerValues!E:E,0)),"N/A")</f>
        <v>17502</v>
      </c>
      <c r="B2111" s="4" t="s">
        <v>451</v>
      </c>
      <c r="C2111" s="4" t="s">
        <v>287</v>
      </c>
      <c r="D2111" s="94">
        <v>3524.0</v>
      </c>
    </row>
    <row r="2112">
      <c r="A2112" s="40">
        <f t="array" ref="A2112">IFNA(index(PlayerValues!A:A,match(IFNA(vlookup(B2112,'Special Names'!A:B,2,FALSE),B2112),PlayerValues!E:E,0)),"N/A")</f>
        <v>16597</v>
      </c>
      <c r="B2112" s="4" t="s">
        <v>427</v>
      </c>
      <c r="C2112" s="4" t="s">
        <v>278</v>
      </c>
      <c r="D2112" s="94">
        <v>3521.0</v>
      </c>
    </row>
    <row r="2113">
      <c r="A2113" s="40">
        <f t="array" ref="A2113">IFNA(index(PlayerValues!A:A,match(IFNA(vlookup(B2113,'Special Names'!A:B,2,FALSE),B2113),PlayerValues!E:E,0)),"N/A")</f>
        <v>17066</v>
      </c>
      <c r="B2113" s="4" t="s">
        <v>446</v>
      </c>
      <c r="C2113" s="4" t="s">
        <v>278</v>
      </c>
      <c r="D2113" s="94">
        <v>3512.0</v>
      </c>
    </row>
    <row r="2114">
      <c r="A2114" s="40">
        <f t="array" ref="A2114">IFNA(index(PlayerValues!A:A,match(IFNA(vlookup(B2114,'Special Names'!A:B,2,FALSE),B2114),PlayerValues!E:E,0)),"N/A")</f>
        <v>14109</v>
      </c>
      <c r="B2114" s="4" t="s">
        <v>437</v>
      </c>
      <c r="C2114" s="4" t="s">
        <v>287</v>
      </c>
      <c r="D2114" s="94">
        <v>3503.0</v>
      </c>
    </row>
    <row r="2115">
      <c r="A2115" s="40">
        <f t="array" ref="A2115">IFNA(index(PlayerValues!A:A,match(IFNA(vlookup(B2115,'Special Names'!A:B,2,FALSE),B2115),PlayerValues!E:E,0)),"N/A")</f>
        <v>17099</v>
      </c>
      <c r="B2115" s="4" t="s">
        <v>474</v>
      </c>
      <c r="C2115" s="4" t="s">
        <v>298</v>
      </c>
      <c r="D2115" s="94">
        <v>3939.0</v>
      </c>
    </row>
    <row r="2116">
      <c r="A2116" s="40">
        <f t="array" ref="A2116">IFNA(index(PlayerValues!A:A,match(IFNA(vlookup(B2116,'Special Names'!A:B,2,FALSE),B2116),PlayerValues!E:E,0)),"N/A")</f>
        <v>17463</v>
      </c>
      <c r="B2116" s="4" t="s">
        <v>433</v>
      </c>
      <c r="C2116" s="4" t="s">
        <v>283</v>
      </c>
      <c r="D2116" s="94">
        <v>3483.0</v>
      </c>
    </row>
    <row r="2117">
      <c r="A2117" s="40">
        <f t="array" ref="A2117">IFNA(index(PlayerValues!A:A,match(IFNA(vlookup(B2117,'Special Names'!A:B,2,FALSE),B2117),PlayerValues!E:E,0)),"N/A")</f>
        <v>14071</v>
      </c>
      <c r="B2117" s="4" t="s">
        <v>440</v>
      </c>
      <c r="C2117" s="4" t="s">
        <v>278</v>
      </c>
      <c r="D2117" s="94">
        <v>3465.0</v>
      </c>
    </row>
    <row r="2118">
      <c r="A2118" s="40">
        <f t="array" ref="A2118">IFNA(index(PlayerValues!A:A,match(IFNA(vlookup(B2118,'Special Names'!A:B,2,FALSE),B2118),PlayerValues!E:E,0)),"N/A")</f>
        <v>11675</v>
      </c>
      <c r="B2118" s="4" t="s">
        <v>438</v>
      </c>
      <c r="C2118" s="4" t="s">
        <v>287</v>
      </c>
      <c r="D2118" s="94">
        <v>3451.0</v>
      </c>
    </row>
    <row r="2119">
      <c r="A2119" s="40">
        <f t="array" ref="A2119">IFNA(index(PlayerValues!A:A,match(IFNA(vlookup(B2119,'Special Names'!A:B,2,FALSE),B2119),PlayerValues!E:E,0)),"N/A")</f>
        <v>16593</v>
      </c>
      <c r="B2119" s="4" t="s">
        <v>442</v>
      </c>
      <c r="C2119" s="4" t="s">
        <v>278</v>
      </c>
      <c r="D2119" s="94">
        <v>3441.0</v>
      </c>
    </row>
    <row r="2120">
      <c r="A2120" s="40">
        <f t="array" ref="A2120">IFNA(index(PlayerValues!A:A,match(IFNA(vlookup(B2120,'Special Names'!A:B,2,FALSE),B2120),PlayerValues!E:E,0)),"N/A")</f>
        <v>14102</v>
      </c>
      <c r="B2120" s="4" t="s">
        <v>444</v>
      </c>
      <c r="C2120" s="4" t="s">
        <v>287</v>
      </c>
      <c r="D2120" s="94">
        <v>3436.0</v>
      </c>
    </row>
    <row r="2121">
      <c r="A2121" s="40">
        <f t="array" ref="A2121">IFNA(index(PlayerValues!A:A,match(IFNA(vlookup(B2121,'Special Names'!A:B,2,FALSE),B2121),PlayerValues!E:E,0)),"N/A")</f>
        <v>17544</v>
      </c>
      <c r="B2121" s="4" t="s">
        <v>470</v>
      </c>
      <c r="C2121" s="4" t="s">
        <v>298</v>
      </c>
      <c r="D2121" s="94">
        <v>3864.0</v>
      </c>
    </row>
    <row r="2122">
      <c r="A2122" s="40">
        <f t="array" ref="A2122">IFNA(index(PlayerValues!A:A,match(IFNA(vlookup(B2122,'Special Names'!A:B,2,FALSE),B2122),PlayerValues!E:E,0)),"N/A")</f>
        <v>15757</v>
      </c>
      <c r="B2122" s="4" t="s">
        <v>449</v>
      </c>
      <c r="C2122" s="4" t="s">
        <v>287</v>
      </c>
      <c r="D2122" s="94">
        <v>3399.0</v>
      </c>
    </row>
    <row r="2123">
      <c r="A2123" s="40">
        <f t="array" ref="A2123">IFNA(index(PlayerValues!A:A,match(IFNA(vlookup(B2123,'Special Names'!A:B,2,FALSE),B2123),PlayerValues!E:E,0)),"N/A")</f>
        <v>15798</v>
      </c>
      <c r="B2123" s="4" t="s">
        <v>443</v>
      </c>
      <c r="C2123" s="4" t="s">
        <v>298</v>
      </c>
      <c r="D2123" s="94">
        <v>3845.0</v>
      </c>
    </row>
    <row r="2124">
      <c r="A2124" s="40">
        <f t="array" ref="A2124">IFNA(index(PlayerValues!A:A,match(IFNA(vlookup(B2124,'Special Names'!A:B,2,FALSE),B2124),PlayerValues!E:E,0)),"N/A")</f>
        <v>17068</v>
      </c>
      <c r="B2124" s="4" t="s">
        <v>450</v>
      </c>
      <c r="C2124" s="4" t="s">
        <v>278</v>
      </c>
      <c r="D2124" s="94">
        <v>3392.0</v>
      </c>
    </row>
    <row r="2125">
      <c r="A2125" s="40">
        <f t="array" ref="A2125">IFNA(index(PlayerValues!A:A,match(IFNA(vlookup(B2125,'Special Names'!A:B,2,FALSE),B2125),PlayerValues!E:E,0)),"N/A")</f>
        <v>16622</v>
      </c>
      <c r="B2125" s="4" t="s">
        <v>517</v>
      </c>
      <c r="C2125" s="4" t="s">
        <v>287</v>
      </c>
      <c r="D2125" s="94">
        <v>3385.0</v>
      </c>
    </row>
    <row r="2126">
      <c r="A2126" s="40" t="str">
        <f t="array" ref="A2126">IFNA(index(PlayerValues!A:A,match(IFNA(vlookup(B2126,'Special Names'!A:B,2,FALSE),B2126),PlayerValues!E:E,0)),"N/A")</f>
        <v>N/A</v>
      </c>
      <c r="B2126" s="4" t="s">
        <v>96</v>
      </c>
      <c r="C2126" s="4" t="s">
        <v>325</v>
      </c>
      <c r="D2126" s="94">
        <v>3384.0</v>
      </c>
    </row>
    <row r="2127">
      <c r="A2127" s="40">
        <f t="array" ref="A2127">IFNA(index(PlayerValues!A:A,match(IFNA(vlookup(B2127,'Special Names'!A:B,2,FALSE),B2127),PlayerValues!E:E,0)),"N/A")</f>
        <v>14842</v>
      </c>
      <c r="B2127" s="4" t="s">
        <v>456</v>
      </c>
      <c r="C2127" s="4" t="s">
        <v>287</v>
      </c>
      <c r="D2127" s="94">
        <v>3379.0</v>
      </c>
    </row>
    <row r="2128">
      <c r="A2128" s="40">
        <f t="array" ref="A2128">IFNA(index(PlayerValues!A:A,match(IFNA(vlookup(B2128,'Special Names'!A:B,2,FALSE),B2128),PlayerValues!E:E,0)),"N/A")</f>
        <v>16169</v>
      </c>
      <c r="B2128" s="4" t="s">
        <v>457</v>
      </c>
      <c r="C2128" s="4" t="s">
        <v>278</v>
      </c>
      <c r="D2128" s="94">
        <v>3371.0</v>
      </c>
    </row>
    <row r="2129">
      <c r="A2129" s="40">
        <f t="array" ref="A2129">IFNA(index(PlayerValues!A:A,match(IFNA(vlookup(B2129,'Special Names'!A:B,2,FALSE),B2129),PlayerValues!E:E,0)),"N/A")</f>
        <v>13299</v>
      </c>
      <c r="B2129" s="4" t="s">
        <v>448</v>
      </c>
      <c r="C2129" s="4" t="s">
        <v>298</v>
      </c>
      <c r="D2129" s="94">
        <v>3822.0</v>
      </c>
    </row>
    <row r="2130">
      <c r="A2130" s="40">
        <f t="array" ref="A2130">IFNA(index(PlayerValues!A:A,match(IFNA(vlookup(B2130,'Special Names'!A:B,2,FALSE),B2130),PlayerValues!E:E,0)),"N/A")</f>
        <v>17074</v>
      </c>
      <c r="B2130" s="4" t="s">
        <v>475</v>
      </c>
      <c r="C2130" s="4" t="s">
        <v>287</v>
      </c>
      <c r="D2130" s="94">
        <v>3369.0</v>
      </c>
    </row>
    <row r="2131">
      <c r="A2131" s="40">
        <f t="array" ref="A2131">IFNA(index(PlayerValues!A:A,match(IFNA(vlookup(B2131,'Special Names'!A:B,2,FALSE),B2131),PlayerValues!E:E,0)),"N/A")</f>
        <v>16184</v>
      </c>
      <c r="B2131" s="4" t="s">
        <v>445</v>
      </c>
      <c r="C2131" s="4" t="s">
        <v>287</v>
      </c>
      <c r="D2131" s="94">
        <v>3365.0</v>
      </c>
    </row>
    <row r="2132">
      <c r="A2132" s="40">
        <f t="array" ref="A2132">IFNA(index(PlayerValues!A:A,match(IFNA(vlookup(B2132,'Special Names'!A:B,2,FALSE),B2132),PlayerValues!E:E,0)),"N/A")</f>
        <v>17083</v>
      </c>
      <c r="B2132" s="4" t="s">
        <v>479</v>
      </c>
      <c r="C2132" s="4" t="s">
        <v>287</v>
      </c>
      <c r="D2132" s="94">
        <v>3365.0</v>
      </c>
    </row>
    <row r="2133">
      <c r="A2133" s="40">
        <f t="array" ref="A2133">IFNA(index(PlayerValues!A:A,match(IFNA(vlookup(B2133,'Special Names'!A:B,2,FALSE),B2133),PlayerValues!E:E,0)),"N/A")</f>
        <v>17500</v>
      </c>
      <c r="B2133" s="4" t="s">
        <v>430</v>
      </c>
      <c r="C2133" s="4" t="s">
        <v>287</v>
      </c>
      <c r="D2133" s="94">
        <v>3357.0</v>
      </c>
    </row>
    <row r="2134">
      <c r="A2134" s="40">
        <f t="array" ref="A2134">IFNA(index(PlayerValues!A:A,match(IFNA(vlookup(B2134,'Special Names'!A:B,2,FALSE),B2134),PlayerValues!E:E,0)),"N/A")</f>
        <v>11671</v>
      </c>
      <c r="B2134" s="4" t="s">
        <v>463</v>
      </c>
      <c r="C2134" s="4" t="s">
        <v>287</v>
      </c>
      <c r="D2134" s="94">
        <v>3322.0</v>
      </c>
    </row>
    <row r="2135">
      <c r="A2135" s="40">
        <f t="array" ref="A2135">IFNA(index(PlayerValues!A:A,match(IFNA(vlookup(B2135,'Special Names'!A:B,2,FALSE),B2135),PlayerValues!E:E,0)),"N/A")</f>
        <v>15742</v>
      </c>
      <c r="B2135" s="4" t="s">
        <v>447</v>
      </c>
      <c r="C2135" s="4" t="s">
        <v>278</v>
      </c>
      <c r="D2135" s="94">
        <v>3320.0</v>
      </c>
    </row>
    <row r="2136">
      <c r="A2136" s="40">
        <f t="array" ref="A2136">IFNA(index(PlayerValues!A:A,match(IFNA(vlookup(B2136,'Special Names'!A:B,2,FALSE),B2136),PlayerValues!E:E,0)),"N/A")</f>
        <v>16620</v>
      </c>
      <c r="B2136" s="4" t="s">
        <v>467</v>
      </c>
      <c r="C2136" s="4" t="s">
        <v>287</v>
      </c>
      <c r="D2136" s="94">
        <v>3312.0</v>
      </c>
    </row>
    <row r="2137">
      <c r="A2137" s="40" t="str">
        <f t="array" ref="A2137">IFNA(index(PlayerValues!A:A,match(IFNA(vlookup(B2137,'Special Names'!A:B,2,FALSE),B2137),PlayerValues!E:E,0)),"N/A")</f>
        <v>N/A</v>
      </c>
      <c r="B2137" s="4" t="s">
        <v>82</v>
      </c>
      <c r="C2137" s="4" t="s">
        <v>325</v>
      </c>
      <c r="D2137" s="94">
        <v>3310.0</v>
      </c>
    </row>
    <row r="2138">
      <c r="A2138" s="40">
        <f t="array" ref="A2138">IFNA(index(PlayerValues!A:A,match(IFNA(vlookup(B2138,'Special Names'!A:B,2,FALSE),B2138),PlayerValues!E:E,0)),"N/A")</f>
        <v>16213</v>
      </c>
      <c r="B2138" s="4" t="s">
        <v>458</v>
      </c>
      <c r="C2138" s="4" t="s">
        <v>298</v>
      </c>
      <c r="D2138" s="94">
        <v>3636.0</v>
      </c>
    </row>
    <row r="2139">
      <c r="A2139" s="40">
        <f t="array" ref="A2139">IFNA(index(PlayerValues!A:A,match(IFNA(vlookup(B2139,'Special Names'!A:B,2,FALSE),B2139),PlayerValues!E:E,0)),"N/A")</f>
        <v>15799</v>
      </c>
      <c r="B2139" s="4" t="s">
        <v>468</v>
      </c>
      <c r="C2139" s="4" t="s">
        <v>298</v>
      </c>
      <c r="D2139" s="94">
        <v>3627.0</v>
      </c>
    </row>
    <row r="2140">
      <c r="A2140" s="40">
        <f t="array" ref="A2140">IFNA(index(PlayerValues!A:A,match(IFNA(vlookup(B2140,'Special Names'!A:B,2,FALSE),B2140),PlayerValues!E:E,0)),"N/A")</f>
        <v>17477</v>
      </c>
      <c r="B2140" s="4" t="s">
        <v>452</v>
      </c>
      <c r="C2140" s="4" t="s">
        <v>278</v>
      </c>
      <c r="D2140" s="94">
        <v>3186.0</v>
      </c>
    </row>
    <row r="2141">
      <c r="A2141" s="40" t="str">
        <f t="array" ref="A2141">IFNA(index(PlayerValues!A:A,match(IFNA(vlookup(B2141,'Special Names'!A:B,2,FALSE),B2141),PlayerValues!E:E,0)),"N/A")</f>
        <v>N/A</v>
      </c>
      <c r="B2141" s="4" t="s">
        <v>108</v>
      </c>
      <c r="C2141" s="4" t="s">
        <v>325</v>
      </c>
      <c r="D2141" s="94">
        <v>3181.0</v>
      </c>
    </row>
    <row r="2142">
      <c r="A2142" s="40">
        <f t="array" ref="A2142">IFNA(index(PlayerValues!A:A,match(IFNA(vlookup(B2142,'Special Names'!A:B,2,FALSE),B2142),PlayerValues!E:E,0)),"N/A")</f>
        <v>15261</v>
      </c>
      <c r="B2142" s="4" t="s">
        <v>466</v>
      </c>
      <c r="C2142" s="4" t="s">
        <v>278</v>
      </c>
      <c r="D2142" s="94">
        <v>3176.0</v>
      </c>
    </row>
    <row r="2143">
      <c r="A2143" s="40">
        <f t="array" ref="A2143">IFNA(index(PlayerValues!A:A,match(IFNA(vlookup(B2143,'Special Names'!A:B,2,FALSE),B2143),PlayerValues!E:E,0)),"N/A")</f>
        <v>16809</v>
      </c>
      <c r="B2143" s="4" t="s">
        <v>455</v>
      </c>
      <c r="C2143" s="4" t="s">
        <v>287</v>
      </c>
      <c r="D2143" s="94">
        <v>3158.0</v>
      </c>
    </row>
    <row r="2144">
      <c r="A2144" s="40" t="str">
        <f t="array" ref="A2144">IFNA(index(PlayerValues!A:A,match(IFNA(vlookup(B2144,'Special Names'!A:B,2,FALSE),B2144),PlayerValues!E:E,0)),"N/A")</f>
        <v>N/A</v>
      </c>
      <c r="B2144" s="4" t="s">
        <v>97</v>
      </c>
      <c r="C2144" s="4" t="s">
        <v>325</v>
      </c>
      <c r="D2144" s="94">
        <v>3132.0</v>
      </c>
    </row>
    <row r="2145">
      <c r="A2145" s="40">
        <f t="array" ref="A2145">IFNA(index(PlayerValues!A:A,match(IFNA(vlookup(B2145,'Special Names'!A:B,2,FALSE),B2145),PlayerValues!E:E,0)),"N/A")</f>
        <v>16269</v>
      </c>
      <c r="B2145" s="4" t="s">
        <v>481</v>
      </c>
      <c r="C2145" s="4" t="s">
        <v>298</v>
      </c>
      <c r="D2145" s="94">
        <v>3536.0</v>
      </c>
    </row>
    <row r="2146">
      <c r="A2146" s="40">
        <f t="array" ref="A2146">IFNA(index(PlayerValues!A:A,match(IFNA(vlookup(B2146,'Special Names'!A:B,2,FALSE),B2146),PlayerValues!E:E,0)),"N/A")</f>
        <v>14823</v>
      </c>
      <c r="B2146" s="4" t="s">
        <v>459</v>
      </c>
      <c r="C2146" s="4" t="s">
        <v>278</v>
      </c>
      <c r="D2146" s="94">
        <v>3090.0</v>
      </c>
    </row>
    <row r="2147">
      <c r="A2147" s="40">
        <f t="array" ref="A2147">IFNA(index(PlayerValues!A:A,match(IFNA(vlookup(B2147,'Special Names'!A:B,2,FALSE),B2147),PlayerValues!E:E,0)),"N/A")</f>
        <v>17514</v>
      </c>
      <c r="B2147" s="4" t="s">
        <v>422</v>
      </c>
      <c r="C2147" s="4" t="s">
        <v>287</v>
      </c>
      <c r="D2147" s="94">
        <v>3075.0</v>
      </c>
    </row>
    <row r="2148">
      <c r="A2148" s="40">
        <f t="array" ref="A2148">IFNA(index(PlayerValues!A:A,match(IFNA(vlookup(B2148,'Special Names'!A:B,2,FALSE),B2148),PlayerValues!E:E,0)),"N/A")</f>
        <v>13630</v>
      </c>
      <c r="B2148" s="4" t="s">
        <v>465</v>
      </c>
      <c r="C2148" s="4" t="s">
        <v>287</v>
      </c>
      <c r="D2148" s="94">
        <v>3058.0</v>
      </c>
    </row>
    <row r="2149">
      <c r="A2149" s="40">
        <f t="array" ref="A2149">IFNA(index(PlayerValues!A:A,match(IFNA(vlookup(B2149,'Special Names'!A:B,2,FALSE),B2149),PlayerValues!E:E,0)),"N/A")</f>
        <v>15259</v>
      </c>
      <c r="B2149" s="4" t="s">
        <v>453</v>
      </c>
      <c r="C2149" s="4" t="s">
        <v>278</v>
      </c>
      <c r="D2149" s="94">
        <v>3050.0</v>
      </c>
    </row>
    <row r="2150">
      <c r="A2150" s="40">
        <f t="array" ref="A2150">IFNA(index(PlayerValues!A:A,match(IFNA(vlookup(B2150,'Special Names'!A:B,2,FALSE),B2150),PlayerValues!E:E,0)),"N/A")</f>
        <v>15779</v>
      </c>
      <c r="B2150" s="4" t="s">
        <v>461</v>
      </c>
      <c r="C2150" s="4" t="s">
        <v>287</v>
      </c>
      <c r="D2150" s="94">
        <v>3033.0</v>
      </c>
    </row>
    <row r="2151">
      <c r="A2151" s="40">
        <f t="array" ref="A2151">IFNA(index(PlayerValues!A:A,match(IFNA(vlookup(B2151,'Special Names'!A:B,2,FALSE),B2151),PlayerValues!E:E,0)),"N/A")</f>
        <v>17512</v>
      </c>
      <c r="B2151" s="4" t="s">
        <v>483</v>
      </c>
      <c r="C2151" s="4" t="s">
        <v>287</v>
      </c>
      <c r="D2151" s="94">
        <v>3028.0</v>
      </c>
    </row>
    <row r="2152">
      <c r="A2152" s="40">
        <f t="array" ref="A2152">IFNA(index(PlayerValues!A:A,match(IFNA(vlookup(B2152,'Special Names'!A:B,2,FALSE),B2152),PlayerValues!E:E,0)),"N/A")</f>
        <v>16628</v>
      </c>
      <c r="B2152" s="4" t="s">
        <v>490</v>
      </c>
      <c r="C2152" s="4" t="s">
        <v>287</v>
      </c>
      <c r="D2152" s="94">
        <v>3026.0</v>
      </c>
    </row>
    <row r="2153">
      <c r="A2153" s="40" t="str">
        <f t="array" ref="A2153">IFNA(index(PlayerValues!A:A,match(IFNA(vlookup(B2153,'Special Names'!A:B,2,FALSE),B2153),PlayerValues!E:E,0)),"N/A")</f>
        <v>N/A</v>
      </c>
      <c r="B2153" s="4" t="s">
        <v>84</v>
      </c>
      <c r="C2153" s="4" t="s">
        <v>325</v>
      </c>
      <c r="D2153" s="94">
        <v>3020.0</v>
      </c>
    </row>
    <row r="2154">
      <c r="A2154" s="40">
        <f t="array" ref="A2154">IFNA(index(PlayerValues!A:A,match(IFNA(vlookup(B2154,'Special Names'!A:B,2,FALSE),B2154),PlayerValues!E:E,0)),"N/A")</f>
        <v>17506</v>
      </c>
      <c r="B2154" s="4" t="s">
        <v>471</v>
      </c>
      <c r="C2154" s="4" t="s">
        <v>287</v>
      </c>
      <c r="D2154" s="94">
        <v>3019.0</v>
      </c>
    </row>
    <row r="2155">
      <c r="A2155" s="40">
        <f t="array" ref="A2155">IFNA(index(PlayerValues!A:A,match(IFNA(vlookup(B2155,'Special Names'!A:B,2,FALSE),B2155),PlayerValues!E:E,0)),"N/A")</f>
        <v>17256</v>
      </c>
      <c r="B2155" s="4" t="s">
        <v>462</v>
      </c>
      <c r="C2155" s="4" t="s">
        <v>278</v>
      </c>
      <c r="D2155" s="94">
        <v>3015.0</v>
      </c>
    </row>
    <row r="2156">
      <c r="A2156" s="40">
        <f t="array" ref="A2156">IFNA(index(PlayerValues!A:A,match(IFNA(vlookup(B2156,'Special Names'!A:B,2,FALSE),B2156),PlayerValues!E:E,0)),"N/A")</f>
        <v>14800</v>
      </c>
      <c r="B2156" s="4" t="s">
        <v>472</v>
      </c>
      <c r="C2156" s="4" t="s">
        <v>278</v>
      </c>
      <c r="D2156" s="94">
        <v>2996.0</v>
      </c>
    </row>
    <row r="2157">
      <c r="A2157" s="40">
        <f t="array" ref="A2157">IFNA(index(PlayerValues!A:A,match(IFNA(vlookup(B2157,'Special Names'!A:B,2,FALSE),B2157),PlayerValues!E:E,0)),"N/A")</f>
        <v>15255</v>
      </c>
      <c r="B2157" s="4" t="s">
        <v>477</v>
      </c>
      <c r="C2157" s="4" t="s">
        <v>278</v>
      </c>
      <c r="D2157" s="94">
        <v>2991.0</v>
      </c>
    </row>
    <row r="2158">
      <c r="A2158" s="40">
        <f t="array" ref="A2158">IFNA(index(PlayerValues!A:A,match(IFNA(vlookup(B2158,'Special Names'!A:B,2,FALSE),B2158),PlayerValues!E:E,0)),"N/A")</f>
        <v>14127</v>
      </c>
      <c r="B2158" s="4" t="s">
        <v>486</v>
      </c>
      <c r="C2158" s="4" t="s">
        <v>287</v>
      </c>
      <c r="D2158" s="94">
        <v>2965.0</v>
      </c>
    </row>
    <row r="2159">
      <c r="A2159" s="40">
        <f t="array" ref="A2159">IFNA(index(PlayerValues!A:A,match(IFNA(vlookup(B2159,'Special Names'!A:B,2,FALSE),B2159),PlayerValues!E:E,0)),"N/A")</f>
        <v>13163</v>
      </c>
      <c r="B2159" s="4" t="s">
        <v>473</v>
      </c>
      <c r="C2159" s="4" t="s">
        <v>287</v>
      </c>
      <c r="D2159" s="94">
        <v>2958.0</v>
      </c>
    </row>
    <row r="2160">
      <c r="A2160" s="40" t="str">
        <f t="array" ref="A2160">IFNA(index(PlayerValues!A:A,match(IFNA(vlookup(B2160,'Special Names'!A:B,2,FALSE),B2160),PlayerValues!E:E,0)),"N/A")</f>
        <v>N/A</v>
      </c>
      <c r="B2160" s="4" t="s">
        <v>109</v>
      </c>
      <c r="C2160" s="4" t="s">
        <v>325</v>
      </c>
      <c r="D2160" s="94">
        <v>2938.0</v>
      </c>
    </row>
    <row r="2161">
      <c r="A2161" s="40">
        <f t="array" ref="A2161">IFNA(index(PlayerValues!A:A,match(IFNA(vlookup(B2161,'Special Names'!A:B,2,FALSE),B2161),PlayerValues!E:E,0)),"N/A")</f>
        <v>17503</v>
      </c>
      <c r="B2161" s="4" t="s">
        <v>480</v>
      </c>
      <c r="C2161" s="4" t="s">
        <v>287</v>
      </c>
      <c r="D2161" s="94">
        <v>2933.0</v>
      </c>
    </row>
    <row r="2162">
      <c r="A2162" s="40">
        <f t="array" ref="A2162">IFNA(index(PlayerValues!A:A,match(IFNA(vlookup(B2162,'Special Names'!A:B,2,FALSE),B2162),PlayerValues!E:E,0)),"N/A")</f>
        <v>17476</v>
      </c>
      <c r="B2162" s="4" t="s">
        <v>494</v>
      </c>
      <c r="C2162" s="4" t="s">
        <v>278</v>
      </c>
      <c r="D2162" s="94">
        <v>2879.0</v>
      </c>
    </row>
    <row r="2163">
      <c r="A2163" s="40">
        <f t="array" ref="A2163">IFNA(index(PlayerValues!A:A,match(IFNA(vlookup(B2163,'Special Names'!A:B,2,FALSE),B2163),PlayerValues!E:E,0)),"N/A")</f>
        <v>15761</v>
      </c>
      <c r="B2163" s="4" t="s">
        <v>491</v>
      </c>
      <c r="C2163" s="4" t="s">
        <v>287</v>
      </c>
      <c r="D2163" s="94">
        <v>2862.0</v>
      </c>
    </row>
    <row r="2164">
      <c r="A2164" s="40">
        <f t="array" ref="A2164">IFNA(index(PlayerValues!A:A,match(IFNA(vlookup(B2164,'Special Names'!A:B,2,FALSE),B2164),PlayerValues!E:E,0)),"N/A")</f>
        <v>14085</v>
      </c>
      <c r="B2164" s="4" t="s">
        <v>489</v>
      </c>
      <c r="C2164" s="4" t="s">
        <v>278</v>
      </c>
      <c r="D2164" s="94">
        <v>2841.0</v>
      </c>
    </row>
    <row r="2165">
      <c r="A2165" s="40">
        <f t="array" ref="A2165">IFNA(index(PlayerValues!A:A,match(IFNA(vlookup(B2165,'Special Names'!A:B,2,FALSE),B2165),PlayerValues!E:E,0)),"N/A")</f>
        <v>16080</v>
      </c>
      <c r="B2165" s="4" t="s">
        <v>499</v>
      </c>
      <c r="C2165" s="4" t="s">
        <v>287</v>
      </c>
      <c r="D2165" s="94">
        <v>2819.0</v>
      </c>
    </row>
    <row r="2166">
      <c r="A2166" s="40">
        <f t="array" ref="A2166">IFNA(index(PlayerValues!A:A,match(IFNA(vlookup(B2166,'Special Names'!A:B,2,FALSE),B2166),PlayerValues!E:E,0)),"N/A")</f>
        <v>15889</v>
      </c>
      <c r="B2166" s="4" t="s">
        <v>503</v>
      </c>
      <c r="C2166" s="4" t="s">
        <v>298</v>
      </c>
      <c r="D2166" s="94">
        <v>3220.0</v>
      </c>
    </row>
    <row r="2167">
      <c r="A2167" s="40">
        <f t="array" ref="A2167">IFNA(index(PlayerValues!A:A,match(IFNA(vlookup(B2167,'Special Names'!A:B,2,FALSE),B2167),PlayerValues!E:E,0)),"N/A")</f>
        <v>16583</v>
      </c>
      <c r="B2167" s="4" t="s">
        <v>493</v>
      </c>
      <c r="C2167" s="4" t="s">
        <v>283</v>
      </c>
      <c r="D2167" s="94">
        <v>2798.0</v>
      </c>
    </row>
    <row r="2168">
      <c r="A2168" s="40" t="str">
        <f t="array" ref="A2168">IFNA(index(PlayerValues!A:A,match(IFNA(vlookup(B2168,'Special Names'!A:B,2,FALSE),B2168),PlayerValues!E:E,0)),"N/A")</f>
        <v>N/A</v>
      </c>
      <c r="B2168" s="4" t="s">
        <v>85</v>
      </c>
      <c r="C2168" s="4" t="s">
        <v>325</v>
      </c>
      <c r="D2168" s="94">
        <v>2797.0</v>
      </c>
    </row>
    <row r="2169">
      <c r="A2169" s="40" t="str">
        <f t="array" ref="A2169">IFNA(index(PlayerValues!A:A,match(IFNA(vlookup(B2169,'Special Names'!A:B,2,FALSE),B2169),PlayerValues!E:E,0)),"N/A")</f>
        <v>N/A</v>
      </c>
      <c r="B2169" s="4" t="s">
        <v>110</v>
      </c>
      <c r="C2169" s="4" t="s">
        <v>325</v>
      </c>
      <c r="D2169" s="94">
        <v>2779.0</v>
      </c>
    </row>
    <row r="2170">
      <c r="A2170" s="40">
        <f t="array" ref="A2170">IFNA(index(PlayerValues!A:A,match(IFNA(vlookup(B2170,'Special Names'!A:B,2,FALSE),B2170),PlayerValues!E:E,0)),"N/A")</f>
        <v>16723</v>
      </c>
      <c r="B2170" s="4" t="s">
        <v>502</v>
      </c>
      <c r="C2170" s="4" t="s">
        <v>298</v>
      </c>
      <c r="D2170" s="94">
        <v>3188.0</v>
      </c>
    </row>
    <row r="2171">
      <c r="A2171" s="40">
        <f t="array" ref="A2171">IFNA(index(PlayerValues!A:A,match(IFNA(vlookup(B2171,'Special Names'!A:B,2,FALSE),B2171),PlayerValues!E:E,0)),"N/A")</f>
        <v>17047</v>
      </c>
      <c r="B2171" s="4" t="s">
        <v>510</v>
      </c>
      <c r="C2171" s="4" t="s">
        <v>278</v>
      </c>
      <c r="D2171" s="94">
        <v>2767.0</v>
      </c>
    </row>
    <row r="2172">
      <c r="A2172" s="40">
        <f t="array" ref="A2172">IFNA(index(PlayerValues!A:A,match(IFNA(vlookup(B2172,'Special Names'!A:B,2,FALSE),B2172),PlayerValues!E:E,0)),"N/A")</f>
        <v>17107</v>
      </c>
      <c r="B2172" s="4" t="s">
        <v>478</v>
      </c>
      <c r="C2172" s="4" t="s">
        <v>298</v>
      </c>
      <c r="D2172" s="94">
        <v>3164.0</v>
      </c>
    </row>
    <row r="2173">
      <c r="A2173" s="40">
        <f t="array" ref="A2173">IFNA(index(PlayerValues!A:A,match(IFNA(vlookup(B2173,'Special Names'!A:B,2,FALSE),B2173),PlayerValues!E:E,0)),"N/A")</f>
        <v>13671</v>
      </c>
      <c r="B2173" s="4" t="s">
        <v>506</v>
      </c>
      <c r="C2173" s="4" t="s">
        <v>298</v>
      </c>
      <c r="D2173" s="94">
        <v>3164.0</v>
      </c>
    </row>
    <row r="2174">
      <c r="A2174" s="40">
        <f t="array" ref="A2174">IFNA(index(PlayerValues!A:A,match(IFNA(vlookup(B2174,'Special Names'!A:B,2,FALSE),B2174),PlayerValues!E:E,0)),"N/A")</f>
        <v>15721</v>
      </c>
      <c r="B2174" s="4" t="s">
        <v>504</v>
      </c>
      <c r="C2174" s="4" t="s">
        <v>278</v>
      </c>
      <c r="D2174" s="94">
        <v>2745.0</v>
      </c>
    </row>
    <row r="2175">
      <c r="A2175" s="40">
        <f t="array" ref="A2175">IFNA(index(PlayerValues!A:A,match(IFNA(vlookup(B2175,'Special Names'!A:B,2,FALSE),B2175),PlayerValues!E:E,0)),"N/A")</f>
        <v>17053</v>
      </c>
      <c r="B2175" s="4" t="s">
        <v>484</v>
      </c>
      <c r="C2175" s="4" t="s">
        <v>278</v>
      </c>
      <c r="D2175" s="94">
        <v>2735.0</v>
      </c>
    </row>
    <row r="2176">
      <c r="A2176" s="40">
        <f t="array" ref="A2176">IFNA(index(PlayerValues!A:A,match(IFNA(vlookup(B2176,'Special Names'!A:B,2,FALSE),B2176),PlayerValues!E:E,0)),"N/A")</f>
        <v>17157</v>
      </c>
      <c r="B2176" s="4" t="s">
        <v>524</v>
      </c>
      <c r="C2176" s="4" t="s">
        <v>287</v>
      </c>
      <c r="D2176" s="94">
        <v>2728.0</v>
      </c>
    </row>
    <row r="2177">
      <c r="A2177" s="40">
        <f t="array" ref="A2177">IFNA(index(PlayerValues!A:A,match(IFNA(vlookup(B2177,'Special Names'!A:B,2,FALSE),B2177),PlayerValues!E:E,0)),"N/A")</f>
        <v>15972</v>
      </c>
      <c r="B2177" s="4" t="s">
        <v>469</v>
      </c>
      <c r="C2177" s="4" t="s">
        <v>278</v>
      </c>
      <c r="D2177" s="94">
        <v>2714.0</v>
      </c>
    </row>
    <row r="2178">
      <c r="A2178" s="40">
        <f t="array" ref="A2178">IFNA(index(PlayerValues!A:A,match(IFNA(vlookup(B2178,'Special Names'!A:B,2,FALSE),B2178),PlayerValues!E:E,0)),"N/A")</f>
        <v>14138</v>
      </c>
      <c r="B2178" s="4" t="s">
        <v>531</v>
      </c>
      <c r="C2178" s="4" t="s">
        <v>298</v>
      </c>
      <c r="D2178" s="94">
        <v>3112.0</v>
      </c>
    </row>
    <row r="2179">
      <c r="A2179" s="40">
        <f t="array" ref="A2179">IFNA(index(PlayerValues!A:A,match(IFNA(vlookup(B2179,'Special Names'!A:B,2,FALSE),B2179),PlayerValues!E:E,0)),"N/A")</f>
        <v>15712</v>
      </c>
      <c r="B2179" s="4" t="s">
        <v>488</v>
      </c>
      <c r="C2179" s="4" t="s">
        <v>278</v>
      </c>
      <c r="D2179" s="94">
        <v>2689.0</v>
      </c>
    </row>
    <row r="2180">
      <c r="A2180" s="40">
        <f t="array" ref="A2180">IFNA(index(PlayerValues!A:A,match(IFNA(vlookup(B2180,'Special Names'!A:B,2,FALSE),B2180),PlayerValues!E:E,0)),"N/A")</f>
        <v>17505</v>
      </c>
      <c r="B2180" s="4" t="s">
        <v>528</v>
      </c>
      <c r="C2180" s="4" t="s">
        <v>287</v>
      </c>
      <c r="D2180" s="94">
        <v>2686.0</v>
      </c>
    </row>
    <row r="2181">
      <c r="A2181" s="40">
        <f t="array" ref="A2181">IFNA(index(PlayerValues!A:A,match(IFNA(vlookup(B2181,'Special Names'!A:B,2,FALSE),B2181),PlayerValues!E:E,0)),"N/A")</f>
        <v>17507</v>
      </c>
      <c r="B2181" s="4" t="s">
        <v>495</v>
      </c>
      <c r="C2181" s="4" t="s">
        <v>287</v>
      </c>
      <c r="D2181" s="94">
        <v>2684.0</v>
      </c>
    </row>
    <row r="2182">
      <c r="A2182" s="40">
        <f t="array" ref="A2182">IFNA(index(PlayerValues!A:A,match(IFNA(vlookup(B2182,'Special Names'!A:B,2,FALSE),B2182),PlayerValues!E:E,0)),"N/A")</f>
        <v>17031</v>
      </c>
      <c r="B2182" s="4" t="s">
        <v>535</v>
      </c>
      <c r="C2182" s="4" t="s">
        <v>283</v>
      </c>
      <c r="D2182" s="94">
        <v>2678.0</v>
      </c>
    </row>
    <row r="2183">
      <c r="A2183" s="40">
        <f t="array" ref="A2183">IFNA(index(PlayerValues!A:A,match(IFNA(vlookup(B2183,'Special Names'!A:B,2,FALSE),B2183),PlayerValues!E:E,0)),"N/A")</f>
        <v>17072</v>
      </c>
      <c r="B2183" s="4" t="s">
        <v>508</v>
      </c>
      <c r="C2183" s="4" t="s">
        <v>287</v>
      </c>
      <c r="D2183" s="94">
        <v>2678.0</v>
      </c>
    </row>
    <row r="2184">
      <c r="A2184" s="40">
        <f t="array" ref="A2184">IFNA(index(PlayerValues!A:A,match(IFNA(vlookup(B2184,'Special Names'!A:B,2,FALSE),B2184),PlayerValues!E:E,0)),"N/A")</f>
        <v>15241</v>
      </c>
      <c r="B2184" s="4" t="s">
        <v>546</v>
      </c>
      <c r="C2184" s="4" t="s">
        <v>283</v>
      </c>
      <c r="D2184" s="94">
        <v>2671.0</v>
      </c>
    </row>
    <row r="2185">
      <c r="A2185" s="40">
        <f t="array" ref="A2185">IFNA(index(PlayerValues!A:A,match(IFNA(vlookup(B2185,'Special Names'!A:B,2,FALSE),B2185),PlayerValues!E:E,0)),"N/A")</f>
        <v>14778</v>
      </c>
      <c r="B2185" s="4" t="s">
        <v>564</v>
      </c>
      <c r="C2185" s="4" t="s">
        <v>283</v>
      </c>
      <c r="D2185" s="94">
        <v>2664.0</v>
      </c>
    </row>
    <row r="2186">
      <c r="A2186" s="40">
        <f t="array" ref="A2186">IFNA(index(PlayerValues!A:A,match(IFNA(vlookup(B2186,'Special Names'!A:B,2,FALSE),B2186),PlayerValues!E:E,0)),"N/A")</f>
        <v>13674</v>
      </c>
      <c r="B2186" s="4" t="s">
        <v>511</v>
      </c>
      <c r="C2186" s="4" t="s">
        <v>298</v>
      </c>
      <c r="D2186" s="94">
        <v>3072.0</v>
      </c>
    </row>
    <row r="2187">
      <c r="A2187" s="40">
        <f t="array" ref="A2187">IFNA(index(PlayerValues!A:A,match(IFNA(vlookup(B2187,'Special Names'!A:B,2,FALSE),B2187),PlayerValues!E:E,0)),"N/A")</f>
        <v>16626</v>
      </c>
      <c r="B2187" s="4" t="s">
        <v>515</v>
      </c>
      <c r="C2187" s="4" t="s">
        <v>287</v>
      </c>
      <c r="D2187" s="94">
        <v>2647.0</v>
      </c>
    </row>
    <row r="2188">
      <c r="A2188" s="40">
        <f t="array" ref="A2188">IFNA(index(PlayerValues!A:A,match(IFNA(vlookup(B2188,'Special Names'!A:B,2,FALSE),B2188),PlayerValues!E:E,0)),"N/A")</f>
        <v>17080</v>
      </c>
      <c r="B2188" s="4" t="s">
        <v>532</v>
      </c>
      <c r="C2188" s="4" t="s">
        <v>287</v>
      </c>
      <c r="D2188" s="94">
        <v>2644.0</v>
      </c>
    </row>
    <row r="2189">
      <c r="A2189" s="40">
        <f t="array" ref="A2189">IFNA(index(PlayerValues!A:A,match(IFNA(vlookup(B2189,'Special Names'!A:B,2,FALSE),B2189),PlayerValues!E:E,0)),"N/A")</f>
        <v>17105</v>
      </c>
      <c r="B2189" s="4" t="s">
        <v>525</v>
      </c>
      <c r="C2189" s="4" t="s">
        <v>298</v>
      </c>
      <c r="D2189" s="94">
        <v>3053.0</v>
      </c>
    </row>
    <row r="2190">
      <c r="A2190" s="40">
        <f t="array" ref="A2190">IFNA(index(PlayerValues!A:A,match(IFNA(vlookup(B2190,'Special Names'!A:B,2,FALSE),B2190),PlayerValues!E:E,0)),"N/A")</f>
        <v>16174</v>
      </c>
      <c r="B2190" s="4" t="s">
        <v>505</v>
      </c>
      <c r="C2190" s="4" t="s">
        <v>278</v>
      </c>
      <c r="D2190" s="94">
        <v>2640.0</v>
      </c>
    </row>
    <row r="2191">
      <c r="A2191" s="40">
        <f t="array" ref="A2191">IFNA(index(PlayerValues!A:A,match(IFNA(vlookup(B2191,'Special Names'!A:B,2,FALSE),B2191),PlayerValues!E:E,0)),"N/A")</f>
        <v>16584</v>
      </c>
      <c r="B2191" s="4" t="s">
        <v>569</v>
      </c>
      <c r="C2191" s="4" t="s">
        <v>283</v>
      </c>
      <c r="D2191" s="94">
        <v>2633.0</v>
      </c>
    </row>
    <row r="2192">
      <c r="A2192" s="40">
        <f t="array" ref="A2192">IFNA(index(PlayerValues!A:A,match(IFNA(vlookup(B2192,'Special Names'!A:B,2,FALSE),B2192),PlayerValues!E:E,0)),"N/A")</f>
        <v>11244</v>
      </c>
      <c r="B2192" s="4" t="s">
        <v>519</v>
      </c>
      <c r="C2192" s="4" t="s">
        <v>298</v>
      </c>
      <c r="D2192" s="94">
        <v>3040.0</v>
      </c>
    </row>
    <row r="2193">
      <c r="A2193" s="40">
        <f t="array" ref="A2193">IFNA(index(PlayerValues!A:A,match(IFNA(vlookup(B2193,'Special Names'!A:B,2,FALSE),B2193),PlayerValues!E:E,0)),"N/A")</f>
        <v>17520</v>
      </c>
      <c r="B2193" s="4" t="s">
        <v>518</v>
      </c>
      <c r="C2193" s="4" t="s">
        <v>287</v>
      </c>
      <c r="D2193" s="94">
        <v>2616.0</v>
      </c>
    </row>
    <row r="2194">
      <c r="A2194" s="40">
        <f t="array" ref="A2194">IFNA(index(PlayerValues!A:A,match(IFNA(vlookup(B2194,'Special Names'!A:B,2,FALSE),B2194),PlayerValues!E:E,0)),"N/A")</f>
        <v>16596</v>
      </c>
      <c r="B2194" s="4" t="s">
        <v>501</v>
      </c>
      <c r="C2194" s="4" t="s">
        <v>278</v>
      </c>
      <c r="D2194" s="94">
        <v>2612.0</v>
      </c>
    </row>
    <row r="2195">
      <c r="A2195" s="40">
        <f t="array" ref="A2195">IFNA(index(PlayerValues!A:A,match(IFNA(vlookup(B2195,'Special Names'!A:B,2,FALSE),B2195),PlayerValues!E:E,0)),"N/A")</f>
        <v>16747</v>
      </c>
      <c r="B2195" s="4" t="s">
        <v>555</v>
      </c>
      <c r="C2195" s="4" t="s">
        <v>278</v>
      </c>
      <c r="D2195" s="94">
        <v>2611.0</v>
      </c>
    </row>
    <row r="2196">
      <c r="A2196" s="40">
        <f t="array" ref="A2196">IFNA(index(PlayerValues!A:A,match(IFNA(vlookup(B2196,'Special Names'!A:B,2,FALSE),B2196),PlayerValues!E:E,0)),"N/A")</f>
        <v>17098</v>
      </c>
      <c r="B2196" s="4" t="s">
        <v>533</v>
      </c>
      <c r="C2196" s="4" t="s">
        <v>287</v>
      </c>
      <c r="D2196" s="94">
        <v>2611.0</v>
      </c>
    </row>
    <row r="2197">
      <c r="A2197" s="40">
        <f t="array" ref="A2197">IFNA(index(PlayerValues!A:A,match(IFNA(vlookup(B2197,'Special Names'!A:B,2,FALSE),B2197),PlayerValues!E:E,0)),"N/A")</f>
        <v>17511</v>
      </c>
      <c r="B2197" s="4" t="s">
        <v>485</v>
      </c>
      <c r="C2197" s="4" t="s">
        <v>287</v>
      </c>
      <c r="D2197" s="94">
        <v>2601.0</v>
      </c>
    </row>
    <row r="2198">
      <c r="A2198" s="40">
        <f t="array" ref="A2198">IFNA(index(PlayerValues!A:A,match(IFNA(vlookup(B2198,'Special Names'!A:B,2,FALSE),B2198),PlayerValues!E:E,0)),"N/A")</f>
        <v>16164</v>
      </c>
      <c r="B2198" s="4" t="s">
        <v>512</v>
      </c>
      <c r="C2198" s="4" t="s">
        <v>278</v>
      </c>
      <c r="D2198" s="94">
        <v>2598.0</v>
      </c>
    </row>
    <row r="2199">
      <c r="A2199" s="40">
        <f t="array" ref="A2199">IFNA(index(PlayerValues!A:A,match(IFNA(vlookup(B2199,'Special Names'!A:B,2,FALSE),B2199),PlayerValues!E:E,0)),"N/A")</f>
        <v>17466</v>
      </c>
      <c r="B2199" s="4" t="s">
        <v>492</v>
      </c>
      <c r="C2199" s="4" t="s">
        <v>283</v>
      </c>
      <c r="D2199" s="94">
        <v>2596.0</v>
      </c>
    </row>
    <row r="2200">
      <c r="A2200" s="40">
        <f t="array" ref="A2200">IFNA(index(PlayerValues!A:A,match(IFNA(vlookup(B2200,'Special Names'!A:B,2,FALSE),B2200),PlayerValues!E:E,0)),"N/A")</f>
        <v>16178</v>
      </c>
      <c r="B2200" s="4" t="s">
        <v>507</v>
      </c>
      <c r="C2200" s="4" t="s">
        <v>278</v>
      </c>
      <c r="D2200" s="94">
        <v>2590.0</v>
      </c>
    </row>
    <row r="2201">
      <c r="A2201" s="40">
        <f t="array" ref="A2201">IFNA(index(PlayerValues!A:A,match(IFNA(vlookup(B2201,'Special Names'!A:B,2,FALSE),B2201),PlayerValues!E:E,0)),"N/A")</f>
        <v>12616</v>
      </c>
      <c r="B2201" s="4" t="s">
        <v>529</v>
      </c>
      <c r="C2201" s="4" t="s">
        <v>283</v>
      </c>
      <c r="D2201" s="94">
        <v>2578.0</v>
      </c>
    </row>
    <row r="2202">
      <c r="A2202" s="40">
        <f t="array" ref="A2202">IFNA(index(PlayerValues!A:A,match(IFNA(vlookup(B2202,'Special Names'!A:B,2,FALSE),B2202),PlayerValues!E:E,0)),"N/A")</f>
        <v>16204</v>
      </c>
      <c r="B2202" s="4" t="s">
        <v>530</v>
      </c>
      <c r="C2202" s="4" t="s">
        <v>287</v>
      </c>
      <c r="D2202" s="94">
        <v>2578.0</v>
      </c>
    </row>
    <row r="2203">
      <c r="A2203" s="40" t="str">
        <f t="array" ref="A2203">IFNA(index(PlayerValues!A:A,match(IFNA(vlookup(B2203,'Special Names'!A:B,2,FALSE),B2203),PlayerValues!E:E,0)),"N/A")</f>
        <v>N/A</v>
      </c>
      <c r="B2203" s="4" t="s">
        <v>98</v>
      </c>
      <c r="C2203" s="4" t="s">
        <v>325</v>
      </c>
      <c r="D2203" s="94">
        <v>2575.0</v>
      </c>
    </row>
    <row r="2204">
      <c r="A2204" s="40">
        <f t="array" ref="A2204">IFNA(index(PlayerValues!A:A,match(IFNA(vlookup(B2204,'Special Names'!A:B,2,FALSE),B2204),PlayerValues!E:E,0)),"N/A")</f>
        <v>15786</v>
      </c>
      <c r="B2204" s="4" t="s">
        <v>521</v>
      </c>
      <c r="C2204" s="4" t="s">
        <v>287</v>
      </c>
      <c r="D2204" s="94">
        <v>2571.0</v>
      </c>
    </row>
    <row r="2205">
      <c r="A2205" s="40">
        <f t="array" ref="A2205">IFNA(index(PlayerValues!A:A,match(IFNA(vlookup(B2205,'Special Names'!A:B,2,FALSE),B2205),PlayerValues!E:E,0)),"N/A")</f>
        <v>16287</v>
      </c>
      <c r="B2205" s="4" t="s">
        <v>516</v>
      </c>
      <c r="C2205" s="4" t="s">
        <v>287</v>
      </c>
      <c r="D2205" s="94">
        <v>2563.0</v>
      </c>
    </row>
    <row r="2206">
      <c r="A2206" s="40">
        <f t="array" ref="A2206">IFNA(index(PlayerValues!A:A,match(IFNA(vlookup(B2206,'Special Names'!A:B,2,FALSE),B2206),PlayerValues!E:E,0)),"N/A")</f>
        <v>16684</v>
      </c>
      <c r="B2206" s="4" t="s">
        <v>500</v>
      </c>
      <c r="C2206" s="4" t="s">
        <v>287</v>
      </c>
      <c r="D2206" s="94">
        <v>2563.0</v>
      </c>
    </row>
    <row r="2207">
      <c r="A2207" s="40">
        <f t="array" ref="A2207">IFNA(index(PlayerValues!A:A,match(IFNA(vlookup(B2207,'Special Names'!A:B,2,FALSE),B2207),PlayerValues!E:E,0)),"N/A")</f>
        <v>16165</v>
      </c>
      <c r="B2207" s="4" t="s">
        <v>520</v>
      </c>
      <c r="C2207" s="4" t="s">
        <v>278</v>
      </c>
      <c r="D2207" s="94">
        <v>2557.0</v>
      </c>
    </row>
    <row r="2208">
      <c r="A2208" s="40">
        <f t="array" ref="A2208">IFNA(index(PlayerValues!A:A,match(IFNA(vlookup(B2208,'Special Names'!A:B,2,FALSE),B2208),PlayerValues!E:E,0)),"N/A")</f>
        <v>16193</v>
      </c>
      <c r="B2208" s="4" t="s">
        <v>487</v>
      </c>
      <c r="C2208" s="4" t="s">
        <v>287</v>
      </c>
      <c r="D2208" s="94">
        <v>2549.0</v>
      </c>
    </row>
    <row r="2209">
      <c r="A2209" s="40">
        <f t="array" ref="A2209">IFNA(index(PlayerValues!A:A,match(IFNA(vlookup(B2209,'Special Names'!A:B,2,FALSE),B2209),PlayerValues!E:E,0)),"N/A")</f>
        <v>16619</v>
      </c>
      <c r="B2209" s="4" t="s">
        <v>538</v>
      </c>
      <c r="C2209" s="4" t="s">
        <v>287</v>
      </c>
      <c r="D2209" s="94">
        <v>2527.0</v>
      </c>
    </row>
    <row r="2210">
      <c r="A2210" s="40">
        <f t="array" ref="A2210">IFNA(index(PlayerValues!A:A,match(IFNA(vlookup(B2210,'Special Names'!A:B,2,FALSE),B2210),PlayerValues!E:E,0)),"N/A")</f>
        <v>14833</v>
      </c>
      <c r="B2210" s="4" t="s">
        <v>553</v>
      </c>
      <c r="C2210" s="4" t="s">
        <v>287</v>
      </c>
      <c r="D2210" s="94">
        <v>2511.0</v>
      </c>
    </row>
    <row r="2211">
      <c r="A2211" s="40">
        <f t="array" ref="A2211">IFNA(index(PlayerValues!A:A,match(IFNA(vlookup(B2211,'Special Names'!A:B,2,FALSE),B2211),PlayerValues!E:E,0)),"N/A")</f>
        <v>17108</v>
      </c>
      <c r="B2211" s="4" t="s">
        <v>542</v>
      </c>
      <c r="C2211" s="4" t="s">
        <v>298</v>
      </c>
      <c r="D2211" s="94">
        <v>2916.0</v>
      </c>
    </row>
    <row r="2212">
      <c r="A2212" s="40" t="str">
        <f t="array" ref="A2212">IFNA(index(PlayerValues!A:A,match(IFNA(vlookup(B2212,'Special Names'!A:B,2,FALSE),B2212),PlayerValues!E:E,0)),"N/A")</f>
        <v>N/A</v>
      </c>
      <c r="B2212" s="4" t="s">
        <v>99</v>
      </c>
      <c r="C2212" s="4" t="s">
        <v>325</v>
      </c>
      <c r="D2212" s="94">
        <v>2499.0</v>
      </c>
    </row>
    <row r="2213">
      <c r="A2213" s="40">
        <f t="array" ref="A2213">IFNA(index(PlayerValues!A:A,match(IFNA(vlookup(B2213,'Special Names'!A:B,2,FALSE),B2213),PlayerValues!E:E,0)),"N/A")</f>
        <v>17478</v>
      </c>
      <c r="B2213" s="4" t="s">
        <v>527</v>
      </c>
      <c r="C2213" s="4" t="s">
        <v>278</v>
      </c>
      <c r="D2213" s="94">
        <v>2496.0</v>
      </c>
    </row>
    <row r="2214">
      <c r="A2214" s="40">
        <f t="array" ref="A2214">IFNA(index(PlayerValues!A:A,match(IFNA(vlookup(B2214,'Special Names'!A:B,2,FALSE),B2214),PlayerValues!E:E,0)),"N/A")</f>
        <v>17073</v>
      </c>
      <c r="B2214" s="4" t="s">
        <v>547</v>
      </c>
      <c r="C2214" s="4" t="s">
        <v>287</v>
      </c>
      <c r="D2214" s="94">
        <v>2474.0</v>
      </c>
    </row>
    <row r="2215">
      <c r="A2215" s="40">
        <f t="array" ref="A2215">IFNA(index(PlayerValues!A:A,match(IFNA(vlookup(B2215,'Special Names'!A:B,2,FALSE),B2215),PlayerValues!E:E,0)),"N/A")</f>
        <v>17082</v>
      </c>
      <c r="B2215" s="4" t="s">
        <v>498</v>
      </c>
      <c r="C2215" s="4" t="s">
        <v>287</v>
      </c>
      <c r="D2215" s="94">
        <v>2471.0</v>
      </c>
    </row>
    <row r="2216">
      <c r="A2216" s="40">
        <f t="array" ref="A2216">IFNA(index(PlayerValues!A:A,match(IFNA(vlookup(B2216,'Special Names'!A:B,2,FALSE),B2216),PlayerValues!E:E,0)),"N/A")</f>
        <v>17474</v>
      </c>
      <c r="B2216" s="4" t="s">
        <v>513</v>
      </c>
      <c r="C2216" s="4" t="s">
        <v>278</v>
      </c>
      <c r="D2216" s="94">
        <v>2469.0</v>
      </c>
    </row>
    <row r="2217">
      <c r="A2217" s="40">
        <f t="array" ref="A2217">IFNA(index(PlayerValues!A:A,match(IFNA(vlookup(B2217,'Special Names'!A:B,2,FALSE),B2217),PlayerValues!E:E,0)),"N/A")</f>
        <v>17517</v>
      </c>
      <c r="B2217" s="4" t="s">
        <v>454</v>
      </c>
      <c r="C2217" s="4" t="s">
        <v>287</v>
      </c>
      <c r="D2217" s="94">
        <v>2445.0</v>
      </c>
    </row>
    <row r="2218">
      <c r="A2218" s="40">
        <f t="array" ref="A2218">IFNA(index(PlayerValues!A:A,match(IFNA(vlookup(B2218,'Special Names'!A:B,2,FALSE),B2218),PlayerValues!E:E,0)),"N/A")</f>
        <v>14860</v>
      </c>
      <c r="B2218" s="4" t="s">
        <v>554</v>
      </c>
      <c r="C2218" s="4" t="s">
        <v>287</v>
      </c>
      <c r="D2218" s="94">
        <v>2440.0</v>
      </c>
    </row>
    <row r="2219">
      <c r="A2219" s="40">
        <f t="array" ref="A2219">IFNA(index(PlayerValues!A:A,match(IFNA(vlookup(B2219,'Special Names'!A:B,2,FALSE),B2219),PlayerValues!E:E,0)),"N/A")</f>
        <v>16195</v>
      </c>
      <c r="B2219" s="4" t="s">
        <v>509</v>
      </c>
      <c r="C2219" s="4" t="s">
        <v>287</v>
      </c>
      <c r="D2219" s="94">
        <v>2435.0</v>
      </c>
    </row>
    <row r="2220">
      <c r="A2220" s="40">
        <f t="array" ref="A2220">IFNA(index(PlayerValues!A:A,match(IFNA(vlookup(B2220,'Special Names'!A:B,2,FALSE),B2220),PlayerValues!E:E,0)),"N/A")</f>
        <v>17508</v>
      </c>
      <c r="B2220" s="4" t="s">
        <v>534</v>
      </c>
      <c r="C2220" s="4" t="s">
        <v>287</v>
      </c>
      <c r="D2220" s="94">
        <v>2428.0</v>
      </c>
    </row>
    <row r="2221">
      <c r="A2221" s="40">
        <f t="array" ref="A2221">IFNA(index(PlayerValues!A:A,match(IFNA(vlookup(B2221,'Special Names'!A:B,2,FALSE),B2221),PlayerValues!E:E,0)),"N/A")</f>
        <v>17509</v>
      </c>
      <c r="B2221" s="4" t="s">
        <v>551</v>
      </c>
      <c r="C2221" s="4" t="s">
        <v>287</v>
      </c>
      <c r="D2221" s="94">
        <v>2413.0</v>
      </c>
    </row>
    <row r="2222">
      <c r="A2222" s="40">
        <f t="array" ref="A2222">IFNA(index(PlayerValues!A:A,match(IFNA(vlookup(B2222,'Special Names'!A:B,2,FALSE),B2222),PlayerValues!E:E,0)),"N/A")</f>
        <v>17078</v>
      </c>
      <c r="B2222" s="4" t="s">
        <v>543</v>
      </c>
      <c r="C2222" s="4" t="s">
        <v>287</v>
      </c>
      <c r="D2222" s="94">
        <v>2394.0</v>
      </c>
    </row>
    <row r="2223">
      <c r="A2223" s="40">
        <f t="array" ref="A2223">IFNA(index(PlayerValues!A:A,match(IFNA(vlookup(B2223,'Special Names'!A:B,2,FALSE),B2223),PlayerValues!E:E,0)),"N/A")</f>
        <v>15716</v>
      </c>
      <c r="B2223" s="4" t="s">
        <v>545</v>
      </c>
      <c r="C2223" s="4" t="s">
        <v>278</v>
      </c>
      <c r="D2223" s="94">
        <v>2385.0</v>
      </c>
    </row>
    <row r="2224">
      <c r="A2224" s="40">
        <f t="array" ref="A2224">IFNA(index(PlayerValues!A:A,match(IFNA(vlookup(B2224,'Special Names'!A:B,2,FALSE),B2224),PlayerValues!E:E,0)),"N/A")</f>
        <v>16617</v>
      </c>
      <c r="B2224" s="4" t="s">
        <v>541</v>
      </c>
      <c r="C2224" s="4" t="s">
        <v>287</v>
      </c>
      <c r="D2224" s="94">
        <v>2380.0</v>
      </c>
    </row>
    <row r="2225">
      <c r="A2225" s="40">
        <f t="array" ref="A2225">IFNA(index(PlayerValues!A:A,match(IFNA(vlookup(B2225,'Special Names'!A:B,2,FALSE),B2225),PlayerValues!E:E,0)),"N/A")</f>
        <v>12676</v>
      </c>
      <c r="B2225" s="4" t="s">
        <v>537</v>
      </c>
      <c r="C2225" s="4" t="s">
        <v>298</v>
      </c>
      <c r="D2225" s="94">
        <v>2762.0</v>
      </c>
    </row>
    <row r="2226">
      <c r="A2226" s="40" t="str">
        <f t="array" ref="A2226">IFNA(index(PlayerValues!A:A,match(IFNA(vlookup(B2226,'Special Names'!A:B,2,FALSE),B2226),PlayerValues!E:E,0)),"N/A")</f>
        <v>N/A</v>
      </c>
      <c r="B2226" s="4" t="s">
        <v>86</v>
      </c>
      <c r="C2226" s="4" t="s">
        <v>325</v>
      </c>
      <c r="D2226" s="94">
        <v>2359.0</v>
      </c>
    </row>
    <row r="2227">
      <c r="A2227" s="40">
        <f t="array" ref="A2227">IFNA(index(PlayerValues!A:A,match(IFNA(vlookup(B2227,'Special Names'!A:B,2,FALSE),B2227),PlayerValues!E:E,0)),"N/A")</f>
        <v>13319</v>
      </c>
      <c r="B2227" s="4" t="s">
        <v>549</v>
      </c>
      <c r="C2227" s="4" t="s">
        <v>278</v>
      </c>
      <c r="D2227" s="94">
        <v>2356.0</v>
      </c>
    </row>
    <row r="2228">
      <c r="A2228" s="40">
        <f t="array" ref="A2228">IFNA(index(PlayerValues!A:A,match(IFNA(vlookup(B2228,'Special Names'!A:B,2,FALSE),B2228),PlayerValues!E:E,0)),"N/A")</f>
        <v>17106</v>
      </c>
      <c r="B2228" s="4" t="s">
        <v>550</v>
      </c>
      <c r="C2228" s="4" t="s">
        <v>298</v>
      </c>
      <c r="D2228" s="94">
        <v>2726.0</v>
      </c>
    </row>
    <row r="2229">
      <c r="A2229" s="40">
        <f t="array" ref="A2229">IFNA(index(PlayerValues!A:A,match(IFNA(vlookup(B2229,'Special Names'!A:B,2,FALSE),B2229),PlayerValues!E:E,0)),"N/A")</f>
        <v>14861</v>
      </c>
      <c r="B2229" s="4" t="s">
        <v>523</v>
      </c>
      <c r="C2229" s="4" t="s">
        <v>298</v>
      </c>
      <c r="D2229" s="94">
        <v>2715.0</v>
      </c>
    </row>
    <row r="2230">
      <c r="A2230" s="40">
        <f t="array" ref="A2230">IFNA(index(PlayerValues!A:A,match(IFNA(vlookup(B2230,'Special Names'!A:B,2,FALSE),B2230),PlayerValues!E:E,0)),"N/A")</f>
        <v>15331</v>
      </c>
      <c r="B2230" s="4" t="s">
        <v>560</v>
      </c>
      <c r="C2230" s="4" t="s">
        <v>298</v>
      </c>
      <c r="D2230" s="94">
        <v>2700.0</v>
      </c>
    </row>
    <row r="2231">
      <c r="A2231" s="40">
        <f t="array" ref="A2231">IFNA(index(PlayerValues!A:A,match(IFNA(vlookup(B2231,'Special Names'!A:B,2,FALSE),B2231),PlayerValues!E:E,0)),"N/A")</f>
        <v>15802</v>
      </c>
      <c r="B2231" s="4" t="s">
        <v>566</v>
      </c>
      <c r="C2231" s="4" t="s">
        <v>298</v>
      </c>
      <c r="D2231" s="94">
        <v>2697.0</v>
      </c>
    </row>
    <row r="2232">
      <c r="A2232" s="40" t="str">
        <f t="array" ref="A2232">IFNA(index(PlayerValues!A:A,match(IFNA(vlookup(B2232,'Special Names'!A:B,2,FALSE),B2232),PlayerValues!E:E,0)),"N/A")</f>
        <v>N/A</v>
      </c>
      <c r="B2232" s="4" t="s">
        <v>100</v>
      </c>
      <c r="C2232" s="4" t="s">
        <v>325</v>
      </c>
      <c r="D2232" s="94">
        <v>2300.0</v>
      </c>
    </row>
    <row r="2233">
      <c r="A2233" s="40">
        <f t="array" ref="A2233">IFNA(index(PlayerValues!A:A,match(IFNA(vlookup(B2233,'Special Names'!A:B,2,FALSE),B2233),PlayerValues!E:E,0)),"N/A")</f>
        <v>15797</v>
      </c>
      <c r="B2233" s="4" t="s">
        <v>556</v>
      </c>
      <c r="C2233" s="4" t="s">
        <v>298</v>
      </c>
      <c r="D2233" s="94">
        <v>2695.0</v>
      </c>
    </row>
    <row r="2234">
      <c r="A2234" s="40">
        <f t="array" ref="A2234">IFNA(index(PlayerValues!A:A,match(IFNA(vlookup(B2234,'Special Names'!A:B,2,FALSE),B2234),PlayerValues!E:E,0)),"N/A")</f>
        <v>17547</v>
      </c>
      <c r="B2234" s="4" t="s">
        <v>552</v>
      </c>
      <c r="C2234" s="4" t="s">
        <v>298</v>
      </c>
      <c r="D2234" s="94">
        <v>2680.0</v>
      </c>
    </row>
    <row r="2235">
      <c r="A2235" s="40">
        <f t="array" ref="A2235">IFNA(index(PlayerValues!A:A,match(IFNA(vlookup(B2235,'Special Names'!A:B,2,FALSE),B2235),PlayerValues!E:E,0)),"N/A")</f>
        <v>17055</v>
      </c>
      <c r="B2235" s="4" t="s">
        <v>565</v>
      </c>
      <c r="C2235" s="4" t="s">
        <v>278</v>
      </c>
      <c r="D2235" s="94">
        <v>2283.0</v>
      </c>
    </row>
    <row r="2236">
      <c r="A2236" s="40">
        <f t="array" ref="A2236">IFNA(index(PlayerValues!A:A,match(IFNA(vlookup(B2236,'Special Names'!A:B,2,FALSE),B2236),PlayerValues!E:E,0)),"N/A")</f>
        <v>17171</v>
      </c>
      <c r="B2236" s="4" t="s">
        <v>561</v>
      </c>
      <c r="C2236" s="4" t="s">
        <v>287</v>
      </c>
      <c r="D2236" s="94">
        <v>2279.0</v>
      </c>
    </row>
    <row r="2237">
      <c r="A2237" s="40">
        <f t="array" ref="A2237">IFNA(index(PlayerValues!A:A,match(IFNA(vlookup(B2237,'Special Names'!A:B,2,FALSE),B2237),PlayerValues!E:E,0)),"N/A")</f>
        <v>16166</v>
      </c>
      <c r="B2237" s="4" t="s">
        <v>567</v>
      </c>
      <c r="C2237" s="4" t="s">
        <v>278</v>
      </c>
      <c r="D2237" s="94">
        <v>2278.0</v>
      </c>
    </row>
    <row r="2238">
      <c r="A2238" s="40">
        <f t="array" ref="A2238">IFNA(index(PlayerValues!A:A,match(IFNA(vlookup(B2238,'Special Names'!A:B,2,FALSE),B2238),PlayerValues!E:E,0)),"N/A")</f>
        <v>17482</v>
      </c>
      <c r="B2238" s="4" t="s">
        <v>460</v>
      </c>
      <c r="C2238" s="4" t="s">
        <v>278</v>
      </c>
      <c r="D2238" s="94">
        <v>2276.0</v>
      </c>
    </row>
    <row r="2239">
      <c r="A2239" s="40">
        <f t="array" ref="A2239">IFNA(index(PlayerValues!A:A,match(IFNA(vlookup(B2239,'Special Names'!A:B,2,FALSE),B2239),PlayerValues!E:E,0)),"N/A")</f>
        <v>17048</v>
      </c>
      <c r="B2239" s="4" t="s">
        <v>539</v>
      </c>
      <c r="C2239" s="4" t="s">
        <v>278</v>
      </c>
      <c r="D2239" s="94">
        <v>2269.0</v>
      </c>
    </row>
    <row r="2240">
      <c r="A2240" s="40" t="str">
        <f t="array" ref="A2240">IFNA(index(PlayerValues!A:A,match(IFNA(vlookup(B2240,'Special Names'!A:B,2,FALSE),B2240),PlayerValues!E:E,0)),"N/A")</f>
        <v>N/A</v>
      </c>
      <c r="B2240" s="4" t="s">
        <v>557</v>
      </c>
      <c r="C2240" s="4" t="s">
        <v>278</v>
      </c>
      <c r="D2240" s="94">
        <v>2244.0</v>
      </c>
    </row>
    <row r="2241">
      <c r="A2241" s="40" t="str">
        <f t="array" ref="A2241">IFNA(index(PlayerValues!A:A,match(IFNA(vlookup(B2241,'Special Names'!A:B,2,FALSE),B2241),PlayerValues!E:E,0)),"N/A")</f>
        <v>N/A</v>
      </c>
      <c r="B2241" s="4" t="s">
        <v>112</v>
      </c>
      <c r="C2241" s="4" t="s">
        <v>325</v>
      </c>
      <c r="D2241" s="94">
        <v>2238.0</v>
      </c>
    </row>
    <row r="2242">
      <c r="A2242" s="40" t="str">
        <f t="array" ref="A2242">IFNA(index(PlayerValues!A:A,match(IFNA(vlookup(B2242,'Special Names'!A:B,2,FALSE),B2242),PlayerValues!E:E,0)),"N/A")</f>
        <v>N/A</v>
      </c>
      <c r="B2242" s="4" t="s">
        <v>87</v>
      </c>
      <c r="C2242" s="4" t="s">
        <v>325</v>
      </c>
      <c r="D2242" s="94">
        <v>2234.0</v>
      </c>
    </row>
    <row r="2243">
      <c r="A2243" s="40">
        <f t="array" ref="A2243">IFNA(index(PlayerValues!A:A,match(IFNA(vlookup(B2243,'Special Names'!A:B,2,FALSE),B2243),PlayerValues!E:E,0)),"N/A")</f>
        <v>16757</v>
      </c>
      <c r="B2243" s="4" t="s">
        <v>558</v>
      </c>
      <c r="C2243" s="4" t="s">
        <v>278</v>
      </c>
      <c r="D2243" s="94">
        <v>2215.0</v>
      </c>
    </row>
    <row r="2244">
      <c r="A2244" s="40">
        <f t="array" ref="A2244">IFNA(index(PlayerValues!A:A,match(IFNA(vlookup(B2244,'Special Names'!A:B,2,FALSE),B2244),PlayerValues!E:E,0)),"N/A")</f>
        <v>13192</v>
      </c>
      <c r="B2244" s="4" t="s">
        <v>563</v>
      </c>
      <c r="C2244" s="4" t="s">
        <v>298</v>
      </c>
      <c r="D2244" s="94">
        <v>2595.0</v>
      </c>
    </row>
    <row r="2245">
      <c r="A2245" s="40">
        <f t="array" ref="A2245">IFNA(index(PlayerValues!A:A,match(IFNA(vlookup(B2245,'Special Names'!A:B,2,FALSE),B2245),PlayerValues!E:E,0)),"N/A")</f>
        <v>16610</v>
      </c>
      <c r="B2245" s="4" t="s">
        <v>562</v>
      </c>
      <c r="C2245" s="4" t="s">
        <v>278</v>
      </c>
      <c r="D2245" s="94">
        <v>2203.0</v>
      </c>
    </row>
    <row r="2246">
      <c r="A2246" s="40">
        <f t="array" ref="A2246">IFNA(index(PlayerValues!A:A,match(IFNA(vlookup(B2246,'Special Names'!A:B,2,FALSE),B2246),PlayerValues!E:E,0)),"N/A")</f>
        <v>11150</v>
      </c>
      <c r="B2246" s="4" t="s">
        <v>559</v>
      </c>
      <c r="C2246" s="4" t="s">
        <v>283</v>
      </c>
      <c r="D2246" s="94">
        <v>2201.0</v>
      </c>
    </row>
    <row r="2247">
      <c r="A2247" s="40">
        <f t="array" ref="A2247">IFNA(index(PlayerValues!A:A,match(IFNA(vlookup(B2247,'Special Names'!A:B,2,FALSE),B2247),PlayerValues!E:E,0)),"N/A")</f>
        <v>15749</v>
      </c>
      <c r="B2247" s="4" t="s">
        <v>574</v>
      </c>
      <c r="C2247" s="4" t="s">
        <v>278</v>
      </c>
      <c r="D2247" s="94">
        <v>2197.0</v>
      </c>
    </row>
    <row r="2248">
      <c r="A2248" s="40">
        <f t="array" ref="A2248">IFNA(index(PlayerValues!A:A,match(IFNA(vlookup(B2248,'Special Names'!A:B,2,FALSE),B2248),PlayerValues!E:E,0)),"N/A")</f>
        <v>17033</v>
      </c>
      <c r="B2248" s="4" t="s">
        <v>570</v>
      </c>
      <c r="C2248" s="4" t="s">
        <v>283</v>
      </c>
      <c r="D2248" s="94">
        <v>2191.0</v>
      </c>
    </row>
    <row r="2249">
      <c r="A2249" s="40">
        <f t="array" ref="A2249">IFNA(index(PlayerValues!A:A,match(IFNA(vlookup(B2249,'Special Names'!A:B,2,FALSE),B2249),PlayerValues!E:E,0)),"N/A")</f>
        <v>17607</v>
      </c>
      <c r="B2249" s="4" t="s">
        <v>526</v>
      </c>
      <c r="C2249" s="4" t="s">
        <v>298</v>
      </c>
      <c r="D2249" s="94">
        <v>2576.0</v>
      </c>
    </row>
    <row r="2250">
      <c r="A2250" s="40">
        <f t="array" ref="A2250">IFNA(index(PlayerValues!A:A,match(IFNA(vlookup(B2250,'Special Names'!A:B,2,FALSE),B2250),PlayerValues!E:E,0)),"N/A")</f>
        <v>13772</v>
      </c>
      <c r="B2250" s="4" t="s">
        <v>544</v>
      </c>
      <c r="C2250" s="4" t="s">
        <v>298</v>
      </c>
      <c r="D2250" s="94">
        <v>2569.0</v>
      </c>
    </row>
    <row r="2251">
      <c r="A2251" s="40">
        <f t="array" ref="A2251">IFNA(index(PlayerValues!A:A,match(IFNA(vlookup(B2251,'Special Names'!A:B,2,FALSE),B2251),PlayerValues!E:E,0)),"N/A")</f>
        <v>17481</v>
      </c>
      <c r="B2251" s="4" t="s">
        <v>540</v>
      </c>
      <c r="C2251" s="4" t="s">
        <v>278</v>
      </c>
      <c r="D2251" s="94">
        <v>2176.0</v>
      </c>
    </row>
    <row r="2252">
      <c r="A2252" s="40">
        <f t="array" ref="A2252">IFNA(index(PlayerValues!A:A,match(IFNA(vlookup(B2252,'Special Names'!A:B,2,FALSE),B2252),PlayerValues!E:E,0)),"N/A")</f>
        <v>16152</v>
      </c>
      <c r="B2252" s="4" t="s">
        <v>601</v>
      </c>
      <c r="C2252" s="4" t="s">
        <v>283</v>
      </c>
      <c r="D2252" s="94">
        <v>2173.0</v>
      </c>
    </row>
    <row r="2253">
      <c r="A2253" s="40">
        <f t="array" ref="A2253">IFNA(index(PlayerValues!A:A,match(IFNA(vlookup(B2253,'Special Names'!A:B,2,FALSE),B2253),PlayerValues!E:E,0)),"N/A")</f>
        <v>17134</v>
      </c>
      <c r="B2253" s="4" t="s">
        <v>548</v>
      </c>
      <c r="C2253" s="4" t="s">
        <v>287</v>
      </c>
      <c r="D2253" s="94">
        <v>2163.0</v>
      </c>
    </row>
    <row r="2254">
      <c r="A2254" s="40">
        <f t="array" ref="A2254">IFNA(index(PlayerValues!A:A,match(IFNA(vlookup(B2254,'Special Names'!A:B,2,FALSE),B2254),PlayerValues!E:E,0)),"N/A")</f>
        <v>17567</v>
      </c>
      <c r="B2254" s="4" t="s">
        <v>571</v>
      </c>
      <c r="C2254" s="4" t="s">
        <v>298</v>
      </c>
      <c r="D2254" s="94">
        <v>2542.0</v>
      </c>
    </row>
    <row r="2255">
      <c r="A2255" s="40">
        <f t="array" ref="A2255">IFNA(index(PlayerValues!A:A,match(IFNA(vlookup(B2255,'Special Names'!A:B,2,FALSE),B2255),PlayerValues!E:E,0)),"N/A")</f>
        <v>16604</v>
      </c>
      <c r="B2255" s="4" t="s">
        <v>476</v>
      </c>
      <c r="C2255" s="4" t="s">
        <v>278</v>
      </c>
      <c r="D2255" s="94">
        <v>2140.0</v>
      </c>
    </row>
    <row r="2256">
      <c r="A2256" s="40">
        <f t="array" ref="A2256">IFNA(index(PlayerValues!A:A,match(IFNA(vlookup(B2256,'Special Names'!A:B,2,FALSE),B2256),PlayerValues!E:E,0)),"N/A")</f>
        <v>12186</v>
      </c>
      <c r="B2256" s="4" t="s">
        <v>497</v>
      </c>
      <c r="C2256" s="4" t="s">
        <v>287</v>
      </c>
      <c r="D2256" s="94">
        <v>2139.0</v>
      </c>
    </row>
    <row r="2257">
      <c r="A2257" s="40">
        <f t="array" ref="A2257">IFNA(index(PlayerValues!A:A,match(IFNA(vlookup(B2257,'Special Names'!A:B,2,FALSE),B2257),PlayerValues!E:E,0)),"N/A")</f>
        <v>16212</v>
      </c>
      <c r="B2257" s="4" t="s">
        <v>568</v>
      </c>
      <c r="C2257" s="4" t="s">
        <v>298</v>
      </c>
      <c r="D2257" s="94">
        <v>2522.0</v>
      </c>
    </row>
    <row r="2258">
      <c r="A2258" s="40">
        <f t="array" ref="A2258">IFNA(index(PlayerValues!A:A,match(IFNA(vlookup(B2258,'Special Names'!A:B,2,FALSE),B2258),PlayerValues!E:E,0)),"N/A")</f>
        <v>17069</v>
      </c>
      <c r="B2258" s="4" t="s">
        <v>604</v>
      </c>
      <c r="C2258" s="4" t="s">
        <v>278</v>
      </c>
      <c r="D2258" s="94">
        <v>2128.0</v>
      </c>
    </row>
    <row r="2259">
      <c r="A2259" s="40">
        <f t="array" ref="A2259">IFNA(index(PlayerValues!A:A,match(IFNA(vlookup(B2259,'Special Names'!A:B,2,FALSE),B2259),PlayerValues!E:E,0)),"N/A")</f>
        <v>16649</v>
      </c>
      <c r="B2259" s="4" t="s">
        <v>586</v>
      </c>
      <c r="C2259" s="4" t="s">
        <v>298</v>
      </c>
      <c r="D2259" s="94">
        <v>2506.0</v>
      </c>
    </row>
    <row r="2260">
      <c r="A2260" s="40" t="str">
        <f t="array" ref="A2260">IFNA(index(PlayerValues!A:A,match(IFNA(vlookup(B2260,'Special Names'!A:B,2,FALSE),B2260),PlayerValues!E:E,0)),"N/A")</f>
        <v>N/A</v>
      </c>
      <c r="B2260" s="4" t="s">
        <v>113</v>
      </c>
      <c r="C2260" s="4" t="s">
        <v>325</v>
      </c>
      <c r="D2260" s="94">
        <v>2115.0</v>
      </c>
    </row>
    <row r="2261">
      <c r="A2261" s="40">
        <f t="array" ref="A2261">IFNA(index(PlayerValues!A:A,match(IFNA(vlookup(B2261,'Special Names'!A:B,2,FALSE),B2261),PlayerValues!E:E,0)),"N/A")</f>
        <v>16594</v>
      </c>
      <c r="B2261" s="4" t="s">
        <v>607</v>
      </c>
      <c r="C2261" s="4" t="s">
        <v>278</v>
      </c>
      <c r="D2261" s="94">
        <v>2110.0</v>
      </c>
    </row>
    <row r="2262">
      <c r="A2262" s="40">
        <f t="array" ref="A2262">IFNA(index(PlayerValues!A:A,match(IFNA(vlookup(B2262,'Special Names'!A:B,2,FALSE),B2262),PlayerValues!E:E,0)),"N/A")</f>
        <v>17485</v>
      </c>
      <c r="B2262" s="4" t="s">
        <v>522</v>
      </c>
      <c r="C2262" s="4" t="s">
        <v>278</v>
      </c>
      <c r="D2262" s="94">
        <v>2086.0</v>
      </c>
    </row>
    <row r="2263">
      <c r="A2263" s="40">
        <f t="array" ref="A2263">IFNA(index(PlayerValues!A:A,match(IFNA(vlookup(B2263,'Special Names'!A:B,2,FALSE),B2263),PlayerValues!E:E,0)),"N/A")</f>
        <v>17079</v>
      </c>
      <c r="B2263" s="4" t="s">
        <v>572</v>
      </c>
      <c r="C2263" s="4" t="s">
        <v>287</v>
      </c>
      <c r="D2263" s="94">
        <v>2081.0</v>
      </c>
    </row>
    <row r="2264">
      <c r="A2264" s="40">
        <f t="array" ref="A2264">IFNA(index(PlayerValues!A:A,match(IFNA(vlookup(B2264,'Special Names'!A:B,2,FALSE),B2264),PlayerValues!E:E,0)),"N/A")</f>
        <v>16036</v>
      </c>
      <c r="B2264" s="4" t="s">
        <v>592</v>
      </c>
      <c r="C2264" s="4" t="s">
        <v>298</v>
      </c>
      <c r="D2264" s="94">
        <v>2469.0</v>
      </c>
    </row>
    <row r="2265">
      <c r="A2265" s="40">
        <f t="array" ref="A2265">IFNA(index(PlayerValues!A:A,match(IFNA(vlookup(B2265,'Special Names'!A:B,2,FALSE),B2265),PlayerValues!E:E,0)),"N/A")</f>
        <v>17599</v>
      </c>
      <c r="B2265" s="4" t="s">
        <v>496</v>
      </c>
      <c r="C2265" s="4" t="s">
        <v>287</v>
      </c>
      <c r="D2265" s="94">
        <v>2061.0</v>
      </c>
    </row>
    <row r="2266">
      <c r="A2266" s="40">
        <f t="array" ref="A2266">IFNA(index(PlayerValues!A:A,match(IFNA(vlookup(B2266,'Special Names'!A:B,2,FALSE),B2266),PlayerValues!E:E,0)),"N/A")</f>
        <v>17061</v>
      </c>
      <c r="B2266" s="4" t="s">
        <v>580</v>
      </c>
      <c r="C2266" s="4" t="s">
        <v>278</v>
      </c>
      <c r="D2266" s="94">
        <v>2057.0</v>
      </c>
    </row>
    <row r="2267">
      <c r="A2267" s="40">
        <f t="array" ref="A2267">IFNA(index(PlayerValues!A:A,match(IFNA(vlookup(B2267,'Special Names'!A:B,2,FALSE),B2267),PlayerValues!E:E,0)),"N/A")</f>
        <v>17076</v>
      </c>
      <c r="B2267" s="4" t="s">
        <v>585</v>
      </c>
      <c r="C2267" s="4" t="s">
        <v>287</v>
      </c>
      <c r="D2267" s="94">
        <v>2054.0</v>
      </c>
    </row>
    <row r="2268">
      <c r="A2268" s="40">
        <f t="array" ref="A2268">IFNA(index(PlayerValues!A:A,match(IFNA(vlookup(B2268,'Special Names'!A:B,2,FALSE),B2268),PlayerValues!E:E,0)),"N/A")</f>
        <v>17528</v>
      </c>
      <c r="B2268" s="4" t="s">
        <v>579</v>
      </c>
      <c r="C2268" s="4" t="s">
        <v>287</v>
      </c>
      <c r="D2268" s="94">
        <v>2052.0</v>
      </c>
    </row>
    <row r="2269">
      <c r="A2269" s="40">
        <f t="array" ref="A2269">IFNA(index(PlayerValues!A:A,match(IFNA(vlookup(B2269,'Special Names'!A:B,2,FALSE),B2269),PlayerValues!E:E,0)),"N/A")</f>
        <v>16189</v>
      </c>
      <c r="B2269" s="4" t="s">
        <v>582</v>
      </c>
      <c r="C2269" s="4" t="s">
        <v>287</v>
      </c>
      <c r="D2269" s="94">
        <v>2050.0</v>
      </c>
    </row>
    <row r="2270">
      <c r="A2270" s="40">
        <f t="array" ref="A2270">IFNA(index(PlayerValues!A:A,match(IFNA(vlookup(B2270,'Special Names'!A:B,2,FALSE),B2270),PlayerValues!E:E,0)),"N/A")</f>
        <v>17060</v>
      </c>
      <c r="B2270" s="4" t="s">
        <v>603</v>
      </c>
      <c r="C2270" s="4" t="s">
        <v>278</v>
      </c>
      <c r="D2270" s="94">
        <v>2049.0</v>
      </c>
    </row>
    <row r="2271">
      <c r="A2271" s="40" t="str">
        <f t="array" ref="A2271">IFNA(index(PlayerValues!A:A,match(IFNA(vlookup(B2271,'Special Names'!A:B,2,FALSE),B2271),PlayerValues!E:E,0)),"N/A")</f>
        <v>N/A</v>
      </c>
      <c r="B2271" s="4" t="s">
        <v>88</v>
      </c>
      <c r="C2271" s="4" t="s">
        <v>325</v>
      </c>
      <c r="D2271" s="94">
        <v>2038.0</v>
      </c>
    </row>
    <row r="2272">
      <c r="A2272" s="40">
        <f t="array" ref="A2272">IFNA(index(PlayerValues!A:A,match(IFNA(vlookup(B2272,'Special Names'!A:B,2,FALSE),B2272),PlayerValues!E:E,0)),"N/A")</f>
        <v>13132</v>
      </c>
      <c r="B2272" s="4" t="s">
        <v>598</v>
      </c>
      <c r="C2272" s="4" t="s">
        <v>278</v>
      </c>
      <c r="D2272" s="94">
        <v>2037.0</v>
      </c>
    </row>
    <row r="2273">
      <c r="A2273" s="40">
        <f t="array" ref="A2273">IFNA(index(PlayerValues!A:A,match(IFNA(vlookup(B2273,'Special Names'!A:B,2,FALSE),B2273),PlayerValues!E:E,0)),"N/A")</f>
        <v>17468</v>
      </c>
      <c r="B2273" s="4" t="s">
        <v>514</v>
      </c>
      <c r="C2273" s="4" t="s">
        <v>283</v>
      </c>
      <c r="D2273" s="94">
        <v>2014.0</v>
      </c>
    </row>
    <row r="2274">
      <c r="A2274" s="40">
        <f t="array" ref="A2274">IFNA(index(PlayerValues!A:A,match(IFNA(vlookup(B2274,'Special Names'!A:B,2,FALSE),B2274),PlayerValues!E:E,0)),"N/A")</f>
        <v>13113</v>
      </c>
      <c r="B2274" s="4" t="s">
        <v>606</v>
      </c>
      <c r="C2274" s="4" t="s">
        <v>283</v>
      </c>
      <c r="D2274" s="94">
        <v>2009.0</v>
      </c>
    </row>
    <row r="2275">
      <c r="A2275" s="40">
        <f t="array" ref="A2275">IFNA(index(PlayerValues!A:A,match(IFNA(vlookup(B2275,'Special Names'!A:B,2,FALSE),B2275),PlayerValues!E:E,0)),"N/A")</f>
        <v>15238</v>
      </c>
      <c r="B2275" s="4" t="s">
        <v>613</v>
      </c>
      <c r="C2275" s="4" t="s">
        <v>283</v>
      </c>
      <c r="D2275" s="94">
        <v>1999.0</v>
      </c>
    </row>
    <row r="2276">
      <c r="A2276" s="40">
        <f t="array" ref="A2276">IFNA(index(PlayerValues!A:A,match(IFNA(vlookup(B2276,'Special Names'!A:B,2,FALSE),B2276),PlayerValues!E:E,0)),"N/A")</f>
        <v>16778</v>
      </c>
      <c r="B2276" s="4" t="s">
        <v>577</v>
      </c>
      <c r="C2276" s="4" t="s">
        <v>287</v>
      </c>
      <c r="D2276" s="94">
        <v>1998.0</v>
      </c>
    </row>
    <row r="2277">
      <c r="A2277" s="40">
        <f t="array" ref="A2277">IFNA(index(PlayerValues!A:A,match(IFNA(vlookup(B2277,'Special Names'!A:B,2,FALSE),B2277),PlayerValues!E:E,0)),"N/A")</f>
        <v>15293</v>
      </c>
      <c r="B2277" s="4" t="s">
        <v>578</v>
      </c>
      <c r="C2277" s="4" t="s">
        <v>287</v>
      </c>
      <c r="D2277" s="94">
        <v>1997.0</v>
      </c>
    </row>
    <row r="2278">
      <c r="A2278" s="40">
        <f t="array" ref="A2278">IFNA(index(PlayerValues!A:A,match(IFNA(vlookup(B2278,'Special Names'!A:B,2,FALSE),B2278),PlayerValues!E:E,0)),"N/A")</f>
        <v>14974</v>
      </c>
      <c r="B2278" s="4" t="s">
        <v>611</v>
      </c>
      <c r="C2278" s="4" t="s">
        <v>287</v>
      </c>
      <c r="D2278" s="94">
        <v>1988.0</v>
      </c>
    </row>
    <row r="2279">
      <c r="A2279" s="40" t="str">
        <f t="array" ref="A2279">IFNA(index(PlayerValues!A:A,match(IFNA(vlookup(B2279,'Special Names'!A:B,2,FALSE),B2279),PlayerValues!E:E,0)),"N/A")</f>
        <v>N/A</v>
      </c>
      <c r="B2279" s="4" t="s">
        <v>114</v>
      </c>
      <c r="C2279" s="4" t="s">
        <v>325</v>
      </c>
      <c r="D2279" s="94">
        <v>1984.0</v>
      </c>
    </row>
    <row r="2280">
      <c r="A2280" s="40">
        <f t="array" ref="A2280">IFNA(index(PlayerValues!A:A,match(IFNA(vlookup(B2280,'Special Names'!A:B,2,FALSE),B2280),PlayerValues!E:E,0)),"N/A")</f>
        <v>14867</v>
      </c>
      <c r="B2280" s="4" t="s">
        <v>591</v>
      </c>
      <c r="C2280" s="4" t="s">
        <v>298</v>
      </c>
      <c r="D2280" s="94">
        <v>2365.0</v>
      </c>
    </row>
    <row r="2281">
      <c r="A2281" s="40">
        <f t="array" ref="A2281">IFNA(index(PlayerValues!A:A,match(IFNA(vlookup(B2281,'Special Names'!A:B,2,FALSE),B2281),PlayerValues!E:E,0)),"N/A")</f>
        <v>16643</v>
      </c>
      <c r="B2281" s="4" t="s">
        <v>609</v>
      </c>
      <c r="C2281" s="4" t="s">
        <v>298</v>
      </c>
      <c r="D2281" s="94">
        <v>2358.0</v>
      </c>
    </row>
    <row r="2282">
      <c r="A2282" s="40">
        <f t="array" ref="A2282">IFNA(index(PlayerValues!A:A,match(IFNA(vlookup(B2282,'Special Names'!A:B,2,FALSE),B2282),PlayerValues!E:E,0)),"N/A")</f>
        <v>17056</v>
      </c>
      <c r="B2282" s="4" t="s">
        <v>581</v>
      </c>
      <c r="C2282" s="4" t="s">
        <v>278</v>
      </c>
      <c r="D2282" s="94">
        <v>1944.0</v>
      </c>
    </row>
    <row r="2283">
      <c r="A2283" s="40">
        <f t="array" ref="A2283">IFNA(index(PlayerValues!A:A,match(IFNA(vlookup(B2283,'Special Names'!A:B,2,FALSE),B2283),PlayerValues!E:E,0)),"N/A")</f>
        <v>17467</v>
      </c>
      <c r="B2283" s="4" t="s">
        <v>575</v>
      </c>
      <c r="C2283" s="4" t="s">
        <v>283</v>
      </c>
      <c r="D2283" s="94">
        <v>1937.0</v>
      </c>
    </row>
    <row r="2284">
      <c r="A2284" s="40">
        <f t="array" ref="A2284">IFNA(index(PlayerValues!A:A,match(IFNA(vlookup(B2284,'Special Names'!A:B,2,FALSE),B2284),PlayerValues!E:E,0)),"N/A")</f>
        <v>14871</v>
      </c>
      <c r="B2284" s="4" t="s">
        <v>584</v>
      </c>
      <c r="C2284" s="4" t="s">
        <v>298</v>
      </c>
      <c r="D2284" s="94">
        <v>2322.0</v>
      </c>
    </row>
    <row r="2285">
      <c r="A2285" s="40">
        <f t="array" ref="A2285">IFNA(index(PlayerValues!A:A,match(IFNA(vlookup(B2285,'Special Names'!A:B,2,FALSE),B2285),PlayerValues!E:E,0)),"N/A")</f>
        <v>17184</v>
      </c>
      <c r="B2285" s="4" t="s">
        <v>588</v>
      </c>
      <c r="C2285" s="4" t="s">
        <v>287</v>
      </c>
      <c r="D2285" s="94">
        <v>1935.0</v>
      </c>
    </row>
    <row r="2286">
      <c r="A2286" s="40">
        <f t="array" ref="A2286">IFNA(index(PlayerValues!A:A,match(IFNA(vlookup(B2286,'Special Names'!A:B,2,FALSE),B2286),PlayerValues!E:E,0)),"N/A")</f>
        <v>7836</v>
      </c>
      <c r="B2286" s="4" t="s">
        <v>590</v>
      </c>
      <c r="C2286" s="4" t="s">
        <v>283</v>
      </c>
      <c r="D2286" s="94">
        <v>1929.0</v>
      </c>
    </row>
    <row r="2287">
      <c r="A2287" s="40">
        <f t="array" ref="A2287">IFNA(index(PlayerValues!A:A,match(IFNA(vlookup(B2287,'Special Names'!A:B,2,FALSE),B2287),PlayerValues!E:E,0)),"N/A")</f>
        <v>16603</v>
      </c>
      <c r="B2287" s="4" t="s">
        <v>587</v>
      </c>
      <c r="C2287" s="4" t="s">
        <v>278</v>
      </c>
      <c r="D2287" s="94">
        <v>1927.0</v>
      </c>
    </row>
    <row r="2288">
      <c r="A2288" s="40">
        <f t="array" ref="A2288">IFNA(index(PlayerValues!A:A,match(IFNA(vlookup(B2288,'Special Names'!A:B,2,FALSE),B2288),PlayerValues!E:E,0)),"N/A")</f>
        <v>17046</v>
      </c>
      <c r="B2288" s="4" t="s">
        <v>602</v>
      </c>
      <c r="C2288" s="4" t="s">
        <v>278</v>
      </c>
      <c r="D2288" s="94">
        <v>1926.0</v>
      </c>
    </row>
    <row r="2289">
      <c r="A2289" s="40">
        <f t="array" ref="A2289">IFNA(index(PlayerValues!A:A,match(IFNA(vlookup(B2289,'Special Names'!A:B,2,FALSE),B2289),PlayerValues!E:E,0)),"N/A")</f>
        <v>17087</v>
      </c>
      <c r="B2289" s="4" t="s">
        <v>600</v>
      </c>
      <c r="C2289" s="4" t="s">
        <v>287</v>
      </c>
      <c r="D2289" s="94">
        <v>1919.0</v>
      </c>
    </row>
    <row r="2290">
      <c r="A2290" s="40">
        <f t="array" ref="A2290">IFNA(index(PlayerValues!A:A,match(IFNA(vlookup(B2290,'Special Names'!A:B,2,FALSE),B2290),PlayerValues!E:E,0)),"N/A")</f>
        <v>16432</v>
      </c>
      <c r="B2290" s="4" t="s">
        <v>620</v>
      </c>
      <c r="C2290" s="4" t="s">
        <v>278</v>
      </c>
      <c r="D2290" s="94">
        <v>1906.0</v>
      </c>
    </row>
    <row r="2291">
      <c r="A2291" s="40">
        <f t="array" ref="A2291">IFNA(index(PlayerValues!A:A,match(IFNA(vlookup(B2291,'Special Names'!A:B,2,FALSE),B2291),PlayerValues!E:E,0)),"N/A")</f>
        <v>16216</v>
      </c>
      <c r="B2291" s="4" t="s">
        <v>595</v>
      </c>
      <c r="C2291" s="4" t="s">
        <v>298</v>
      </c>
      <c r="D2291" s="94">
        <v>2284.0</v>
      </c>
    </row>
    <row r="2292">
      <c r="A2292" s="40">
        <f t="array" ref="A2292">IFNA(index(PlayerValues!A:A,match(IFNA(vlookup(B2292,'Special Names'!A:B,2,FALSE),B2292),PlayerValues!E:E,0)),"N/A")</f>
        <v>16342</v>
      </c>
      <c r="B2292" s="4" t="s">
        <v>583</v>
      </c>
      <c r="C2292" s="4" t="s">
        <v>287</v>
      </c>
      <c r="D2292" s="94">
        <v>1883.0</v>
      </c>
    </row>
    <row r="2293">
      <c r="A2293" s="40">
        <f t="array" ref="A2293">IFNA(index(PlayerValues!A:A,match(IFNA(vlookup(B2293,'Special Names'!A:B,2,FALSE),B2293),PlayerValues!E:E,0)),"N/A")</f>
        <v>16639</v>
      </c>
      <c r="B2293" s="4" t="s">
        <v>599</v>
      </c>
      <c r="C2293" s="4" t="s">
        <v>287</v>
      </c>
      <c r="D2293" s="94">
        <v>1873.0</v>
      </c>
    </row>
    <row r="2294">
      <c r="A2294" s="40">
        <f t="array" ref="A2294">IFNA(index(PlayerValues!A:A,match(IFNA(vlookup(B2294,'Special Names'!A:B,2,FALSE),B2294),PlayerValues!E:E,0)),"N/A")</f>
        <v>16752</v>
      </c>
      <c r="B2294" s="4" t="s">
        <v>597</v>
      </c>
      <c r="C2294" s="4" t="s">
        <v>278</v>
      </c>
      <c r="D2294" s="94">
        <v>1873.0</v>
      </c>
    </row>
    <row r="2295">
      <c r="A2295" s="40">
        <f t="array" ref="A2295">IFNA(index(PlayerValues!A:A,match(IFNA(vlookup(B2295,'Special Names'!A:B,2,FALSE),B2295),PlayerValues!E:E,0)),"N/A")</f>
        <v>14136</v>
      </c>
      <c r="B2295" s="4" t="s">
        <v>536</v>
      </c>
      <c r="C2295" s="4" t="s">
        <v>287</v>
      </c>
      <c r="D2295" s="94">
        <v>1852.0</v>
      </c>
    </row>
    <row r="2296">
      <c r="A2296" s="40">
        <f t="array" ref="A2296">IFNA(index(PlayerValues!A:A,match(IFNA(vlookup(B2296,'Special Names'!A:B,2,FALSE),B2296),PlayerValues!E:E,0)),"N/A")</f>
        <v>17548</v>
      </c>
      <c r="B2296" s="4" t="s">
        <v>594</v>
      </c>
      <c r="C2296" s="4" t="s">
        <v>298</v>
      </c>
      <c r="D2296" s="94">
        <v>2235.0</v>
      </c>
    </row>
    <row r="2297">
      <c r="A2297" s="40">
        <f t="array" ref="A2297">IFNA(index(PlayerValues!A:A,match(IFNA(vlookup(B2297,'Special Names'!A:B,2,FALSE),B2297),PlayerValues!E:E,0)),"N/A")</f>
        <v>10700</v>
      </c>
      <c r="B2297" s="4" t="s">
        <v>596</v>
      </c>
      <c r="C2297" s="4" t="s">
        <v>283</v>
      </c>
      <c r="D2297" s="94">
        <v>1848.0</v>
      </c>
    </row>
    <row r="2298">
      <c r="A2298" s="40">
        <f t="array" ref="A2298">IFNA(index(PlayerValues!A:A,match(IFNA(vlookup(B2298,'Special Names'!A:B,2,FALSE),B2298),PlayerValues!E:E,0)),"N/A")</f>
        <v>13633</v>
      </c>
      <c r="B2298" s="4" t="s">
        <v>625</v>
      </c>
      <c r="C2298" s="4" t="s">
        <v>287</v>
      </c>
      <c r="D2298" s="94">
        <v>1845.0</v>
      </c>
    </row>
    <row r="2299">
      <c r="A2299" s="40">
        <f t="array" ref="A2299">IFNA(index(PlayerValues!A:A,match(IFNA(vlookup(B2299,'Special Names'!A:B,2,FALSE),B2299),PlayerValues!E:E,0)),"N/A")</f>
        <v>17086</v>
      </c>
      <c r="B2299" s="4" t="s">
        <v>612</v>
      </c>
      <c r="C2299" s="4" t="s">
        <v>287</v>
      </c>
      <c r="D2299" s="94">
        <v>1840.0</v>
      </c>
    </row>
    <row r="2300">
      <c r="A2300" s="40">
        <f t="array" ref="A2300">IFNA(index(PlayerValues!A:A,match(IFNA(vlookup(B2300,'Special Names'!A:B,2,FALSE),B2300),PlayerValues!E:E,0)),"N/A")</f>
        <v>15788</v>
      </c>
      <c r="B2300" s="4" t="s">
        <v>627</v>
      </c>
      <c r="C2300" s="4" t="s">
        <v>287</v>
      </c>
      <c r="D2300" s="94">
        <v>1835.0</v>
      </c>
    </row>
    <row r="2301">
      <c r="A2301" s="40" t="str">
        <f t="array" ref="A2301">IFNA(index(PlayerValues!A:A,match(IFNA(vlookup(B2301,'Special Names'!A:B,2,FALSE),B2301),PlayerValues!E:E,0)),"N/A")</f>
        <v>N/A</v>
      </c>
      <c r="B2301" s="4" t="s">
        <v>101</v>
      </c>
      <c r="C2301" s="4" t="s">
        <v>325</v>
      </c>
      <c r="D2301" s="94">
        <v>1830.0</v>
      </c>
    </row>
    <row r="2302">
      <c r="A2302" s="40">
        <f t="array" ref="A2302">IFNA(index(PlayerValues!A:A,match(IFNA(vlookup(B2302,'Special Names'!A:B,2,FALSE),B2302),PlayerValues!E:E,0)),"N/A")</f>
        <v>13629</v>
      </c>
      <c r="B2302" s="4" t="s">
        <v>619</v>
      </c>
      <c r="C2302" s="4" t="s">
        <v>287</v>
      </c>
      <c r="D2302" s="94">
        <v>1826.0</v>
      </c>
    </row>
    <row r="2303">
      <c r="A2303" s="40">
        <f t="array" ref="A2303">IFNA(index(PlayerValues!A:A,match(IFNA(vlookup(B2303,'Special Names'!A:B,2,FALSE),B2303),PlayerValues!E:E,0)),"N/A")</f>
        <v>17036</v>
      </c>
      <c r="B2303" s="4" t="s">
        <v>617</v>
      </c>
      <c r="C2303" s="4" t="s">
        <v>283</v>
      </c>
      <c r="D2303" s="94">
        <v>1825.0</v>
      </c>
    </row>
    <row r="2304">
      <c r="A2304" s="40">
        <f t="array" ref="A2304">IFNA(index(PlayerValues!A:A,match(IFNA(vlookup(B2304,'Special Names'!A:B,2,FALSE),B2304),PlayerValues!E:E,0)),"N/A")</f>
        <v>16644</v>
      </c>
      <c r="B2304" s="4" t="s">
        <v>640</v>
      </c>
      <c r="C2304" s="4" t="s">
        <v>298</v>
      </c>
      <c r="D2304" s="94">
        <v>2150.0</v>
      </c>
    </row>
    <row r="2305">
      <c r="A2305" s="40">
        <f t="array" ref="A2305">IFNA(index(PlayerValues!A:A,match(IFNA(vlookup(B2305,'Special Names'!A:B,2,FALSE),B2305),PlayerValues!E:E,0)),"N/A")</f>
        <v>17519</v>
      </c>
      <c r="B2305" s="4" t="s">
        <v>593</v>
      </c>
      <c r="C2305" s="4" t="s">
        <v>287</v>
      </c>
      <c r="D2305" s="94">
        <v>1766.0</v>
      </c>
    </row>
    <row r="2306">
      <c r="A2306" s="40">
        <f t="array" ref="A2306">IFNA(index(PlayerValues!A:A,match(IFNA(vlookup(B2306,'Special Names'!A:B,2,FALSE),B2306),PlayerValues!E:E,0)),"N/A")</f>
        <v>13189</v>
      </c>
      <c r="B2306" s="4" t="s">
        <v>626</v>
      </c>
      <c r="C2306" s="4" t="s">
        <v>298</v>
      </c>
      <c r="D2306" s="94">
        <v>2143.0</v>
      </c>
    </row>
    <row r="2307">
      <c r="A2307" s="40" t="str">
        <f t="array" ref="A2307">IFNA(index(PlayerValues!A:A,match(IFNA(vlookup(B2307,'Special Names'!A:B,2,FALSE),B2307),PlayerValues!E:E,0)),"N/A")</f>
        <v>N/A</v>
      </c>
      <c r="B2307" s="4" t="s">
        <v>89</v>
      </c>
      <c r="C2307" s="4" t="s">
        <v>325</v>
      </c>
      <c r="D2307" s="94">
        <v>1761.0</v>
      </c>
    </row>
    <row r="2308">
      <c r="A2308" s="40">
        <f t="array" ref="A2308">IFNA(index(PlayerValues!A:A,match(IFNA(vlookup(B2308,'Special Names'!A:B,2,FALSE),B2308),PlayerValues!E:E,0)),"N/A")</f>
        <v>16215</v>
      </c>
      <c r="B2308" s="4" t="s">
        <v>637</v>
      </c>
      <c r="C2308" s="4" t="s">
        <v>298</v>
      </c>
      <c r="D2308" s="94">
        <v>2130.0</v>
      </c>
    </row>
    <row r="2309">
      <c r="A2309" s="40">
        <f t="array" ref="A2309">IFNA(index(PlayerValues!A:A,match(IFNA(vlookup(B2309,'Special Names'!A:B,2,FALSE),B2309),PlayerValues!E:E,0)),"N/A")</f>
        <v>16191</v>
      </c>
      <c r="B2309" s="4" t="s">
        <v>666</v>
      </c>
      <c r="C2309" s="4" t="s">
        <v>287</v>
      </c>
      <c r="D2309" s="94">
        <v>1748.0</v>
      </c>
    </row>
    <row r="2310">
      <c r="A2310" s="40">
        <f t="array" ref="A2310">IFNA(index(PlayerValues!A:A,match(IFNA(vlookup(B2310,'Special Names'!A:B,2,FALSE),B2310),PlayerValues!E:E,0)),"N/A")</f>
        <v>13146</v>
      </c>
      <c r="B2310" s="4" t="s">
        <v>652</v>
      </c>
      <c r="C2310" s="4" t="s">
        <v>278</v>
      </c>
      <c r="D2310" s="94">
        <v>1747.0</v>
      </c>
    </row>
    <row r="2311">
      <c r="A2311" s="40" t="str">
        <f t="array" ref="A2311">IFNA(index(PlayerValues!A:A,match(IFNA(vlookup(B2311,'Special Names'!A:B,2,FALSE),B2311),PlayerValues!E:E,0)),"N/A")</f>
        <v>N/A</v>
      </c>
      <c r="B2311" s="4" t="s">
        <v>102</v>
      </c>
      <c r="C2311" s="4" t="s">
        <v>325</v>
      </c>
      <c r="D2311" s="94">
        <v>1745.0</v>
      </c>
    </row>
    <row r="2312">
      <c r="A2312" s="40">
        <f t="array" ref="A2312">IFNA(index(PlayerValues!A:A,match(IFNA(vlookup(B2312,'Special Names'!A:B,2,FALSE),B2312),PlayerValues!E:E,0)),"N/A")</f>
        <v>17685</v>
      </c>
      <c r="B2312" s="4" t="s">
        <v>630</v>
      </c>
      <c r="C2312" s="4" t="s">
        <v>278</v>
      </c>
      <c r="D2312" s="94">
        <v>1736.0</v>
      </c>
    </row>
    <row r="2313">
      <c r="A2313" s="40">
        <f t="array" ref="A2313">IFNA(index(PlayerValues!A:A,match(IFNA(vlookup(B2313,'Special Names'!A:B,2,FALSE),B2313),PlayerValues!E:E,0)),"N/A")</f>
        <v>17034</v>
      </c>
      <c r="B2313" s="4" t="s">
        <v>643</v>
      </c>
      <c r="C2313" s="4" t="s">
        <v>283</v>
      </c>
      <c r="D2313" s="94">
        <v>1722.0</v>
      </c>
    </row>
    <row r="2314">
      <c r="A2314" s="40">
        <f t="array" ref="A2314">IFNA(index(PlayerValues!A:A,match(IFNA(vlookup(B2314,'Special Names'!A:B,2,FALSE),B2314),PlayerValues!E:E,0)),"N/A")</f>
        <v>13164</v>
      </c>
      <c r="B2314" s="4" t="s">
        <v>632</v>
      </c>
      <c r="C2314" s="4" t="s">
        <v>287</v>
      </c>
      <c r="D2314" s="94">
        <v>1718.0</v>
      </c>
    </row>
    <row r="2315">
      <c r="A2315" s="40">
        <f t="array" ref="A2315">IFNA(index(PlayerValues!A:A,match(IFNA(vlookup(B2315,'Special Names'!A:B,2,FALSE),B2315),PlayerValues!E:E,0)),"N/A")</f>
        <v>15787</v>
      </c>
      <c r="B2315" s="4" t="s">
        <v>610</v>
      </c>
      <c r="C2315" s="4" t="s">
        <v>287</v>
      </c>
      <c r="D2315" s="94">
        <v>1713.0</v>
      </c>
    </row>
    <row r="2316">
      <c r="A2316" s="40">
        <f t="array" ref="A2316">IFNA(index(PlayerValues!A:A,match(IFNA(vlookup(B2316,'Special Names'!A:B,2,FALSE),B2316),PlayerValues!E:E,0)),"N/A")</f>
        <v>17049</v>
      </c>
      <c r="B2316" s="4" t="s">
        <v>624</v>
      </c>
      <c r="C2316" s="4" t="s">
        <v>278</v>
      </c>
      <c r="D2316" s="94">
        <v>1708.0</v>
      </c>
    </row>
    <row r="2317">
      <c r="A2317" s="40">
        <f t="array" ref="A2317">IFNA(index(PlayerValues!A:A,match(IFNA(vlookup(B2317,'Special Names'!A:B,2,FALSE),B2317),PlayerValues!E:E,0)),"N/A")</f>
        <v>17529</v>
      </c>
      <c r="B2317" s="4" t="s">
        <v>608</v>
      </c>
      <c r="C2317" s="4" t="s">
        <v>287</v>
      </c>
      <c r="D2317" s="94">
        <v>1691.0</v>
      </c>
    </row>
    <row r="2318">
      <c r="A2318" s="40">
        <f t="array" ref="A2318">IFNA(index(PlayerValues!A:A,match(IFNA(vlookup(B2318,'Special Names'!A:B,2,FALSE),B2318),PlayerValues!E:E,0)),"N/A")</f>
        <v>14143</v>
      </c>
      <c r="B2318" s="4" t="s">
        <v>635</v>
      </c>
      <c r="C2318" s="4" t="s">
        <v>298</v>
      </c>
      <c r="D2318" s="94">
        <v>2068.0</v>
      </c>
    </row>
    <row r="2319">
      <c r="A2319" s="40">
        <f t="array" ref="A2319">IFNA(index(PlayerValues!A:A,match(IFNA(vlookup(B2319,'Special Names'!A:B,2,FALSE),B2319),PlayerValues!E:E,0)),"N/A")</f>
        <v>16171</v>
      </c>
      <c r="B2319" s="4" t="s">
        <v>618</v>
      </c>
      <c r="C2319" s="4" t="s">
        <v>278</v>
      </c>
      <c r="D2319" s="94">
        <v>1683.0</v>
      </c>
    </row>
    <row r="2320">
      <c r="A2320" s="40">
        <f t="array" ref="A2320">IFNA(index(PlayerValues!A:A,match(IFNA(vlookup(B2320,'Special Names'!A:B,2,FALSE),B2320),PlayerValues!E:E,0)),"N/A")</f>
        <v>17058</v>
      </c>
      <c r="B2320" s="4" t="s">
        <v>641</v>
      </c>
      <c r="C2320" s="4" t="s">
        <v>278</v>
      </c>
      <c r="D2320" s="94">
        <v>1681.0</v>
      </c>
    </row>
    <row r="2321">
      <c r="A2321" s="40">
        <f t="array" ref="A2321">IFNA(index(PlayerValues!A:A,match(IFNA(vlookup(B2321,'Special Names'!A:B,2,FALSE),B2321),PlayerValues!E:E,0)),"N/A")</f>
        <v>15752</v>
      </c>
      <c r="B2321" s="4" t="s">
        <v>647</v>
      </c>
      <c r="C2321" s="4" t="s">
        <v>287</v>
      </c>
      <c r="D2321" s="94">
        <v>1665.0</v>
      </c>
    </row>
    <row r="2322">
      <c r="A2322" s="40">
        <f t="array" ref="A2322">IFNA(index(PlayerValues!A:A,match(IFNA(vlookup(B2322,'Special Names'!A:B,2,FALSE),B2322),PlayerValues!E:E,0)),"N/A")</f>
        <v>15755</v>
      </c>
      <c r="B2322" s="4" t="s">
        <v>628</v>
      </c>
      <c r="C2322" s="4" t="s">
        <v>287</v>
      </c>
      <c r="D2322" s="94">
        <v>1661.0</v>
      </c>
    </row>
    <row r="2323">
      <c r="A2323" s="40" t="str">
        <f t="array" ref="A2323">IFNA(index(PlayerValues!A:A,match(IFNA(vlookup(B2323,'Special Names'!A:B,2,FALSE),B2323),PlayerValues!E:E,0)),"N/A")</f>
        <v>N/A</v>
      </c>
      <c r="B2323" s="4" t="s">
        <v>115</v>
      </c>
      <c r="C2323" s="4" t="s">
        <v>325</v>
      </c>
      <c r="D2323" s="94">
        <v>1649.0</v>
      </c>
    </row>
    <row r="2324">
      <c r="A2324" s="40">
        <f t="array" ref="A2324">IFNA(index(PlayerValues!A:A,match(IFNA(vlookup(B2324,'Special Names'!A:B,2,FALSE),B2324),PlayerValues!E:E,0)),"N/A")</f>
        <v>16207</v>
      </c>
      <c r="B2324" s="4" t="s">
        <v>636</v>
      </c>
      <c r="C2324" s="4" t="s">
        <v>287</v>
      </c>
      <c r="D2324" s="94">
        <v>1645.0</v>
      </c>
    </row>
    <row r="2325">
      <c r="A2325" s="40" t="str">
        <f t="array" ref="A2325">IFNA(index(PlayerValues!A:A,match(IFNA(vlookup(B2325,'Special Names'!A:B,2,FALSE),B2325),PlayerValues!E:E,0)),"N/A")</f>
        <v>N/A</v>
      </c>
      <c r="B2325" s="4" t="s">
        <v>103</v>
      </c>
      <c r="C2325" s="4" t="s">
        <v>325</v>
      </c>
      <c r="D2325" s="94">
        <v>1645.0</v>
      </c>
    </row>
    <row r="2326">
      <c r="A2326" s="40">
        <f t="array" ref="A2326">IFNA(index(PlayerValues!A:A,match(IFNA(vlookup(B2326,'Special Names'!A:B,2,FALSE),B2326),PlayerValues!E:E,0)),"N/A")</f>
        <v>17521</v>
      </c>
      <c r="B2326" s="4" t="s">
        <v>573</v>
      </c>
      <c r="C2326" s="4" t="s">
        <v>287</v>
      </c>
      <c r="D2326" s="94">
        <v>1642.0</v>
      </c>
    </row>
    <row r="2327">
      <c r="A2327" s="40">
        <f t="array" ref="A2327">IFNA(index(PlayerValues!A:A,match(IFNA(vlookup(B2327,'Special Names'!A:B,2,FALSE),B2327),PlayerValues!E:E,0)),"N/A")</f>
        <v>16608</v>
      </c>
      <c r="B2327" s="4" t="s">
        <v>629</v>
      </c>
      <c r="C2327" s="4" t="s">
        <v>278</v>
      </c>
      <c r="D2327" s="94">
        <v>1640.0</v>
      </c>
    </row>
    <row r="2328">
      <c r="A2328" s="40">
        <f t="array" ref="A2328">IFNA(index(PlayerValues!A:A,match(IFNA(vlookup(B2328,'Special Names'!A:B,2,FALSE),B2328),PlayerValues!E:E,0)),"N/A")</f>
        <v>17096</v>
      </c>
      <c r="B2328" s="4" t="s">
        <v>638</v>
      </c>
      <c r="C2328" s="4" t="s">
        <v>287</v>
      </c>
      <c r="D2328" s="94">
        <v>1628.0</v>
      </c>
    </row>
    <row r="2329">
      <c r="A2329" s="40">
        <f t="array" ref="A2329">IFNA(index(PlayerValues!A:A,match(IFNA(vlookup(B2329,'Special Names'!A:B,2,FALSE),B2329),PlayerValues!E:E,0)),"N/A")</f>
        <v>16201</v>
      </c>
      <c r="B2329" s="4" t="s">
        <v>589</v>
      </c>
      <c r="C2329" s="4" t="s">
        <v>287</v>
      </c>
      <c r="D2329" s="94">
        <v>1610.0</v>
      </c>
    </row>
    <row r="2330">
      <c r="A2330" s="40">
        <f t="array" ref="A2330">IFNA(index(PlayerValues!A:A,match(IFNA(vlookup(B2330,'Special Names'!A:B,2,FALSE),B2330),PlayerValues!E:E,0)),"N/A")</f>
        <v>16585</v>
      </c>
      <c r="B2330" s="4" t="s">
        <v>623</v>
      </c>
      <c r="C2330" s="4" t="s">
        <v>283</v>
      </c>
      <c r="D2330" s="94">
        <v>1597.0</v>
      </c>
    </row>
    <row r="2331">
      <c r="A2331" s="40" t="str">
        <f t="array" ref="A2331">IFNA(index(PlayerValues!A:A,match(IFNA(vlookup(B2331,'Special Names'!A:B,2,FALSE),B2331),PlayerValues!E:E,0)),"N/A")</f>
        <v>N/A</v>
      </c>
      <c r="B2331" s="4" t="s">
        <v>90</v>
      </c>
      <c r="C2331" s="4" t="s">
        <v>325</v>
      </c>
      <c r="D2331" s="94">
        <v>1593.0</v>
      </c>
    </row>
    <row r="2332">
      <c r="A2332" s="40">
        <f t="array" ref="A2332">IFNA(index(PlayerValues!A:A,match(IFNA(vlookup(B2332,'Special Names'!A:B,2,FALSE),B2332),PlayerValues!E:E,0)),"N/A")</f>
        <v>16635</v>
      </c>
      <c r="B2332" s="4" t="s">
        <v>645</v>
      </c>
      <c r="C2332" s="4" t="s">
        <v>287</v>
      </c>
      <c r="D2332" s="94">
        <v>1592.0</v>
      </c>
    </row>
    <row r="2333">
      <c r="A2333" s="40">
        <f t="array" ref="A2333">IFNA(index(PlayerValues!A:A,match(IFNA(vlookup(B2333,'Special Names'!A:B,2,FALSE),B2333),PlayerValues!E:E,0)),"N/A")</f>
        <v>17035</v>
      </c>
      <c r="B2333" s="4" t="s">
        <v>650</v>
      </c>
      <c r="C2333" s="4" t="s">
        <v>283</v>
      </c>
      <c r="D2333" s="94">
        <v>1592.0</v>
      </c>
    </row>
    <row r="2334">
      <c r="A2334" s="40">
        <f t="array" ref="A2334">IFNA(index(PlayerValues!A:A,match(IFNA(vlookup(B2334,'Special Names'!A:B,2,FALSE),B2334),PlayerValues!E:E,0)),"N/A")</f>
        <v>14122</v>
      </c>
      <c r="B2334" s="4" t="s">
        <v>663</v>
      </c>
      <c r="C2334" s="4" t="s">
        <v>287</v>
      </c>
      <c r="D2334" s="94">
        <v>1585.0</v>
      </c>
    </row>
    <row r="2335">
      <c r="A2335" s="40">
        <f t="array" ref="A2335">IFNA(index(PlayerValues!A:A,match(IFNA(vlookup(B2335,'Special Names'!A:B,2,FALSE),B2335),PlayerValues!E:E,0)),"N/A")</f>
        <v>16629</v>
      </c>
      <c r="B2335" s="4" t="s">
        <v>605</v>
      </c>
      <c r="C2335" s="4" t="s">
        <v>287</v>
      </c>
      <c r="D2335" s="94">
        <v>1585.0</v>
      </c>
    </row>
    <row r="2336">
      <c r="A2336" s="40">
        <f t="array" ref="A2336">IFNA(index(PlayerValues!A:A,match(IFNA(vlookup(B2336,'Special Names'!A:B,2,FALSE),B2336),PlayerValues!E:E,0)),"N/A")</f>
        <v>17064</v>
      </c>
      <c r="B2336" s="4" t="s">
        <v>631</v>
      </c>
      <c r="C2336" s="4" t="s">
        <v>278</v>
      </c>
      <c r="D2336" s="94">
        <v>1576.0</v>
      </c>
    </row>
    <row r="2337">
      <c r="A2337" s="40">
        <f t="array" ref="A2337">IFNA(index(PlayerValues!A:A,match(IFNA(vlookup(B2337,'Special Names'!A:B,2,FALSE),B2337),PlayerValues!E:E,0)),"N/A")</f>
        <v>14840</v>
      </c>
      <c r="B2337" s="4" t="s">
        <v>731</v>
      </c>
      <c r="C2337" s="4" t="s">
        <v>287</v>
      </c>
      <c r="D2337" s="94">
        <v>1571.0</v>
      </c>
    </row>
    <row r="2338">
      <c r="A2338" s="40">
        <f t="array" ref="A2338">IFNA(index(PlayerValues!A:A,match(IFNA(vlookup(B2338,'Special Names'!A:B,2,FALSE),B2338),PlayerValues!E:E,0)),"N/A")</f>
        <v>15337</v>
      </c>
      <c r="B2338" s="4" t="s">
        <v>655</v>
      </c>
      <c r="C2338" s="4" t="s">
        <v>298</v>
      </c>
      <c r="D2338" s="94">
        <v>1927.0</v>
      </c>
    </row>
    <row r="2339">
      <c r="A2339" s="40">
        <f t="array" ref="A2339">IFNA(index(PlayerValues!A:A,match(IFNA(vlookup(B2339,'Special Names'!A:B,2,FALSE),B2339),PlayerValues!E:E,0)),"N/A")</f>
        <v>12801</v>
      </c>
      <c r="B2339" s="4" t="s">
        <v>722</v>
      </c>
      <c r="C2339" s="4" t="s">
        <v>287</v>
      </c>
      <c r="D2339" s="94">
        <v>1539.0</v>
      </c>
    </row>
    <row r="2340">
      <c r="A2340" s="40" t="str">
        <f t="array" ref="A2340">IFNA(index(PlayerValues!A:A,match(IFNA(vlookup(B2340,'Special Names'!A:B,2,FALSE),B2340),PlayerValues!E:E,0)),"N/A")</f>
        <v>N/A</v>
      </c>
      <c r="B2340" s="4" t="s">
        <v>91</v>
      </c>
      <c r="C2340" s="4" t="s">
        <v>325</v>
      </c>
      <c r="D2340" s="94">
        <v>1533.0</v>
      </c>
    </row>
    <row r="2341">
      <c r="A2341" s="40" t="str">
        <f t="array" ref="A2341">IFNA(index(PlayerValues!A:A,match(IFNA(vlookup(B2341,'Special Names'!A:B,2,FALSE),B2341),PlayerValues!E:E,0)),"N/A")</f>
        <v>N/A</v>
      </c>
      <c r="B2341" s="4" t="s">
        <v>116</v>
      </c>
      <c r="C2341" s="4" t="s">
        <v>325</v>
      </c>
      <c r="D2341" s="94">
        <v>1523.0</v>
      </c>
    </row>
    <row r="2342">
      <c r="A2342" s="40">
        <f t="array" ref="A2342">IFNA(index(PlayerValues!A:A,match(IFNA(vlookup(B2342,'Special Names'!A:B,2,FALSE),B2342),PlayerValues!E:E,0)),"N/A")</f>
        <v>15319</v>
      </c>
      <c r="B2342" s="4" t="s">
        <v>644</v>
      </c>
      <c r="C2342" s="4" t="s">
        <v>287</v>
      </c>
      <c r="D2342" s="94">
        <v>1520.0</v>
      </c>
    </row>
    <row r="2343">
      <c r="A2343" s="40">
        <f t="array" ref="A2343">IFNA(index(PlayerValues!A:A,match(IFNA(vlookup(B2343,'Special Names'!A:B,2,FALSE),B2343),PlayerValues!E:E,0)),"N/A")</f>
        <v>16595</v>
      </c>
      <c r="B2343" s="4" t="s">
        <v>664</v>
      </c>
      <c r="C2343" s="4" t="s">
        <v>278</v>
      </c>
      <c r="D2343" s="94">
        <v>1515.0</v>
      </c>
    </row>
    <row r="2344">
      <c r="A2344" s="40">
        <f t="array" ref="A2344">IFNA(index(PlayerValues!A:A,match(IFNA(vlookup(B2344,'Special Names'!A:B,2,FALSE),B2344),PlayerValues!E:E,0)),"N/A")</f>
        <v>16601</v>
      </c>
      <c r="B2344" s="4" t="s">
        <v>648</v>
      </c>
      <c r="C2344" s="4" t="s">
        <v>278</v>
      </c>
      <c r="D2344" s="94">
        <v>1513.0</v>
      </c>
    </row>
    <row r="2345">
      <c r="A2345" s="40">
        <f t="array" ref="A2345">IFNA(index(PlayerValues!A:A,match(IFNA(vlookup(B2345,'Special Names'!A:B,2,FALSE),B2345),PlayerValues!E:E,0)),"N/A")</f>
        <v>17465</v>
      </c>
      <c r="B2345" s="4" t="s">
        <v>649</v>
      </c>
      <c r="C2345" s="4" t="s">
        <v>283</v>
      </c>
      <c r="D2345" s="94">
        <v>1500.0</v>
      </c>
    </row>
    <row r="2346">
      <c r="A2346" s="40">
        <f t="array" ref="A2346">IFNA(index(PlayerValues!A:A,match(IFNA(vlookup(B2346,'Special Names'!A:B,2,FALSE),B2346),PlayerValues!E:E,0)),"N/A")</f>
        <v>13672</v>
      </c>
      <c r="B2346" s="4" t="s">
        <v>667</v>
      </c>
      <c r="C2346" s="4" t="s">
        <v>298</v>
      </c>
      <c r="D2346" s="94">
        <v>1871.0</v>
      </c>
    </row>
    <row r="2347">
      <c r="A2347" s="40">
        <f t="array" ref="A2347">IFNA(index(PlayerValues!A:A,match(IFNA(vlookup(B2347,'Special Names'!A:B,2,FALSE),B2347),PlayerValues!E:E,0)),"N/A")</f>
        <v>15301</v>
      </c>
      <c r="B2347" s="4" t="s">
        <v>657</v>
      </c>
      <c r="C2347" s="4" t="s">
        <v>287</v>
      </c>
      <c r="D2347" s="94">
        <v>1495.0</v>
      </c>
    </row>
    <row r="2348">
      <c r="A2348" s="40">
        <f t="array" ref="A2348">IFNA(index(PlayerValues!A:A,match(IFNA(vlookup(B2348,'Special Names'!A:B,2,FALSE),B2348),PlayerValues!E:E,0)),"N/A")</f>
        <v>16387</v>
      </c>
      <c r="B2348" s="4" t="s">
        <v>646</v>
      </c>
      <c r="C2348" s="4" t="s">
        <v>278</v>
      </c>
      <c r="D2348" s="94">
        <v>1494.0</v>
      </c>
    </row>
    <row r="2349">
      <c r="A2349" s="40">
        <f t="array" ref="A2349">IFNA(index(PlayerValues!A:A,match(IFNA(vlookup(B2349,'Special Names'!A:B,2,FALSE),B2349),PlayerValues!E:E,0)),"N/A")</f>
        <v>15738</v>
      </c>
      <c r="B2349" s="4" t="s">
        <v>634</v>
      </c>
      <c r="C2349" s="4" t="s">
        <v>278</v>
      </c>
      <c r="D2349" s="94">
        <v>1485.0</v>
      </c>
    </row>
    <row r="2350">
      <c r="A2350" s="40">
        <f t="array" ref="A2350">IFNA(index(PlayerValues!A:A,match(IFNA(vlookup(B2350,'Special Names'!A:B,2,FALSE),B2350),PlayerValues!E:E,0)),"N/A")</f>
        <v>17652</v>
      </c>
      <c r="B2350" s="4" t="s">
        <v>576</v>
      </c>
      <c r="C2350" s="4" t="s">
        <v>278</v>
      </c>
      <c r="D2350" s="94">
        <v>1479.0</v>
      </c>
    </row>
    <row r="2351">
      <c r="A2351" s="40">
        <f t="array" ref="A2351">IFNA(index(PlayerValues!A:A,match(IFNA(vlookup(B2351,'Special Names'!A:B,2,FALSE),B2351),PlayerValues!E:E,0)),"N/A")</f>
        <v>17234</v>
      </c>
      <c r="B2351" s="4" t="s">
        <v>653</v>
      </c>
      <c r="C2351" s="4" t="s">
        <v>287</v>
      </c>
      <c r="D2351" s="94">
        <v>1463.0</v>
      </c>
    </row>
    <row r="2352">
      <c r="A2352" s="40">
        <f t="array" ref="A2352">IFNA(index(PlayerValues!A:A,match(IFNA(vlookup(B2352,'Special Names'!A:B,2,FALSE),B2352),PlayerValues!E:E,0)),"N/A")</f>
        <v>16586</v>
      </c>
      <c r="B2352" s="4" t="s">
        <v>658</v>
      </c>
      <c r="C2352" s="4" t="s">
        <v>283</v>
      </c>
      <c r="D2352" s="94">
        <v>1461.0</v>
      </c>
    </row>
    <row r="2353">
      <c r="A2353" s="40">
        <f t="array" ref="A2353">IFNA(index(PlayerValues!A:A,match(IFNA(vlookup(B2353,'Special Names'!A:B,2,FALSE),B2353),PlayerValues!E:E,0)),"N/A")</f>
        <v>14086</v>
      </c>
      <c r="B2353" s="4" t="s">
        <v>639</v>
      </c>
      <c r="C2353" s="4" t="s">
        <v>278</v>
      </c>
      <c r="D2353" s="94">
        <v>1459.0</v>
      </c>
    </row>
    <row r="2354">
      <c r="A2354" s="40">
        <f t="array" ref="A2354">IFNA(index(PlayerValues!A:A,match(IFNA(vlookup(B2354,'Special Names'!A:B,2,FALSE),B2354),PlayerValues!E:E,0)),"N/A")</f>
        <v>14105</v>
      </c>
      <c r="B2354" s="4" t="s">
        <v>675</v>
      </c>
      <c r="C2354" s="4" t="s">
        <v>287</v>
      </c>
      <c r="D2354" s="94">
        <v>1442.0</v>
      </c>
    </row>
    <row r="2355">
      <c r="A2355" s="40">
        <f t="array" ref="A2355">IFNA(index(PlayerValues!A:A,match(IFNA(vlookup(B2355,'Special Names'!A:B,2,FALSE),B2355),PlayerValues!E:E,0)),"N/A")</f>
        <v>17205</v>
      </c>
      <c r="B2355" s="4" t="s">
        <v>665</v>
      </c>
      <c r="C2355" s="4" t="s">
        <v>287</v>
      </c>
      <c r="D2355" s="94">
        <v>1440.0</v>
      </c>
    </row>
    <row r="2356">
      <c r="A2356" s="40">
        <f t="array" ref="A2356">IFNA(index(PlayerValues!A:A,match(IFNA(vlookup(B2356,'Special Names'!A:B,2,FALSE),B2356),PlayerValues!E:E,0)),"N/A")</f>
        <v>16688</v>
      </c>
      <c r="B2356" s="4" t="s">
        <v>688</v>
      </c>
      <c r="C2356" s="4" t="s">
        <v>278</v>
      </c>
      <c r="D2356" s="94">
        <v>1427.0</v>
      </c>
    </row>
    <row r="2357">
      <c r="A2357" s="40">
        <f t="array" ref="A2357">IFNA(index(PlayerValues!A:A,match(IFNA(vlookup(B2357,'Special Names'!A:B,2,FALSE),B2357),PlayerValues!E:E,0)),"N/A")</f>
        <v>15713</v>
      </c>
      <c r="B2357" s="4" t="s">
        <v>732</v>
      </c>
      <c r="C2357" s="4" t="s">
        <v>278</v>
      </c>
      <c r="D2357" s="94">
        <v>1421.0</v>
      </c>
    </row>
    <row r="2358">
      <c r="A2358" s="40">
        <f t="array" ref="A2358">IFNA(index(PlayerValues!A:A,match(IFNA(vlookup(B2358,'Special Names'!A:B,2,FALSE),B2358),PlayerValues!E:E,0)),"N/A")</f>
        <v>16621</v>
      </c>
      <c r="B2358" s="4" t="s">
        <v>672</v>
      </c>
      <c r="C2358" s="4" t="s">
        <v>287</v>
      </c>
      <c r="D2358" s="94">
        <v>1410.0</v>
      </c>
    </row>
    <row r="2359">
      <c r="A2359" s="40">
        <f t="array" ref="A2359">IFNA(index(PlayerValues!A:A,match(IFNA(vlookup(B2359,'Special Names'!A:B,2,FALSE),B2359),PlayerValues!E:E,0)),"N/A")</f>
        <v>14137</v>
      </c>
      <c r="B2359" s="4" t="s">
        <v>676</v>
      </c>
      <c r="C2359" s="4" t="s">
        <v>298</v>
      </c>
      <c r="D2359" s="94">
        <v>1778.0</v>
      </c>
    </row>
    <row r="2360">
      <c r="A2360" s="40">
        <f t="array" ref="A2360">IFNA(index(PlayerValues!A:A,match(IFNA(vlookup(B2360,'Special Names'!A:B,2,FALSE),B2360),PlayerValues!E:E,0)),"N/A")</f>
        <v>15759</v>
      </c>
      <c r="B2360" s="4" t="s">
        <v>662</v>
      </c>
      <c r="C2360" s="4" t="s">
        <v>287</v>
      </c>
      <c r="D2360" s="94">
        <v>1406.0</v>
      </c>
    </row>
    <row r="2361">
      <c r="A2361" s="40">
        <f t="array" ref="A2361">IFNA(index(PlayerValues!A:A,match(IFNA(vlookup(B2361,'Special Names'!A:B,2,FALSE),B2361),PlayerValues!E:E,0)),"N/A")</f>
        <v>16633</v>
      </c>
      <c r="B2361" s="4" t="s">
        <v>656</v>
      </c>
      <c r="C2361" s="4" t="s">
        <v>287</v>
      </c>
      <c r="D2361" s="94">
        <v>1402.0</v>
      </c>
    </row>
    <row r="2362">
      <c r="A2362" s="40">
        <f t="array" ref="A2362">IFNA(index(PlayerValues!A:A,match(IFNA(vlookup(B2362,'Special Names'!A:B,2,FALSE),B2362),PlayerValues!E:E,0)),"N/A")</f>
        <v>16788</v>
      </c>
      <c r="B2362" s="4" t="s">
        <v>621</v>
      </c>
      <c r="C2362" s="4" t="s">
        <v>287</v>
      </c>
      <c r="D2362" s="94">
        <v>1400.0</v>
      </c>
    </row>
    <row r="2363">
      <c r="A2363" s="40">
        <f t="array" ref="A2363">IFNA(index(PlayerValues!A:A,match(IFNA(vlookup(B2363,'Special Names'!A:B,2,FALSE),B2363),PlayerValues!E:E,0)),"N/A")</f>
        <v>15292</v>
      </c>
      <c r="B2363" s="4" t="s">
        <v>682</v>
      </c>
      <c r="C2363" s="4" t="s">
        <v>287</v>
      </c>
      <c r="D2363" s="94">
        <v>1396.0</v>
      </c>
    </row>
    <row r="2364">
      <c r="A2364" s="40">
        <f t="array" ref="A2364">IFNA(index(PlayerValues!A:A,match(IFNA(vlookup(B2364,'Special Names'!A:B,2,FALSE),B2364),PlayerValues!E:E,0)),"N/A")</f>
        <v>16631</v>
      </c>
      <c r="B2364" s="4" t="s">
        <v>800</v>
      </c>
      <c r="C2364" s="4" t="s">
        <v>287</v>
      </c>
      <c r="D2364" s="94">
        <v>1393.0</v>
      </c>
    </row>
    <row r="2365">
      <c r="A2365" s="40">
        <f t="array" ref="A2365">IFNA(index(PlayerValues!A:A,match(IFNA(vlookup(B2365,'Special Names'!A:B,2,FALSE),B2365),PlayerValues!E:E,0)),"N/A")</f>
        <v>15873</v>
      </c>
      <c r="B2365" s="4" t="s">
        <v>681</v>
      </c>
      <c r="C2365" s="4" t="s">
        <v>298</v>
      </c>
      <c r="D2365" s="94">
        <v>1755.0</v>
      </c>
    </row>
    <row r="2366">
      <c r="A2366" s="40">
        <f t="array" ref="A2366">IFNA(index(PlayerValues!A:A,match(IFNA(vlookup(B2366,'Special Names'!A:B,2,FALSE),B2366),PlayerValues!E:E,0)),"N/A")</f>
        <v>16175</v>
      </c>
      <c r="B2366" s="4" t="s">
        <v>654</v>
      </c>
      <c r="C2366" s="4" t="s">
        <v>278</v>
      </c>
      <c r="D2366" s="94">
        <v>1377.0</v>
      </c>
    </row>
    <row r="2367">
      <c r="A2367" s="40">
        <f t="array" ref="A2367">IFNA(index(PlayerValues!A:A,match(IFNA(vlookup(B2367,'Special Names'!A:B,2,FALSE),B2367),PlayerValues!E:E,0)),"N/A")</f>
        <v>16645</v>
      </c>
      <c r="B2367" s="4" t="s">
        <v>651</v>
      </c>
      <c r="C2367" s="4" t="s">
        <v>298</v>
      </c>
      <c r="D2367" s="94">
        <v>1736.0</v>
      </c>
    </row>
    <row r="2368">
      <c r="A2368" s="40">
        <f t="array" ref="A2368">IFNA(index(PlayerValues!A:A,match(IFNA(vlookup(B2368,'Special Names'!A:B,2,FALSE),B2368),PlayerValues!E:E,0)),"N/A")</f>
        <v>15777</v>
      </c>
      <c r="B2368" s="4" t="s">
        <v>694</v>
      </c>
      <c r="C2368" s="4" t="s">
        <v>287</v>
      </c>
      <c r="D2368" s="94">
        <v>1352.0</v>
      </c>
    </row>
    <row r="2369">
      <c r="A2369" s="40">
        <f t="array" ref="A2369">IFNA(index(PlayerValues!A:A,match(IFNA(vlookup(B2369,'Special Names'!A:B,2,FALSE),B2369),PlayerValues!E:E,0)),"N/A")</f>
        <v>16642</v>
      </c>
      <c r="B2369" s="4" t="s">
        <v>691</v>
      </c>
      <c r="C2369" s="4" t="s">
        <v>298</v>
      </c>
      <c r="D2369" s="94">
        <v>1715.0</v>
      </c>
    </row>
    <row r="2370">
      <c r="A2370" s="40">
        <f t="array" ref="A2370">IFNA(index(PlayerValues!A:A,match(IFNA(vlookup(B2370,'Special Names'!A:B,2,FALSE),B2370),PlayerValues!E:E,0)),"N/A")</f>
        <v>16390</v>
      </c>
      <c r="B2370" s="4" t="s">
        <v>689</v>
      </c>
      <c r="C2370" s="4" t="s">
        <v>278</v>
      </c>
      <c r="D2370" s="94">
        <v>1330.0</v>
      </c>
    </row>
    <row r="2371">
      <c r="A2371" s="40">
        <f t="array" ref="A2371">IFNA(index(PlayerValues!A:A,match(IFNA(vlookup(B2371,'Special Names'!A:B,2,FALSE),B2371),PlayerValues!E:E,0)),"N/A")</f>
        <v>17054</v>
      </c>
      <c r="B2371" s="4" t="s">
        <v>670</v>
      </c>
      <c r="C2371" s="4" t="s">
        <v>278</v>
      </c>
      <c r="D2371" s="94">
        <v>1323.0</v>
      </c>
    </row>
    <row r="2372">
      <c r="A2372" s="40" t="str">
        <f t="array" ref="A2372">IFNA(index(PlayerValues!A:A,match(IFNA(vlookup(B2372,'Special Names'!A:B,2,FALSE),B2372),PlayerValues!E:E,0)),"N/A")</f>
        <v>N/A</v>
      </c>
      <c r="B2372" s="4" t="s">
        <v>117</v>
      </c>
      <c r="C2372" s="4" t="s">
        <v>325</v>
      </c>
      <c r="D2372" s="94">
        <v>1317.0</v>
      </c>
    </row>
    <row r="2373">
      <c r="A2373" s="40">
        <f t="array" ref="A2373">IFNA(index(PlayerValues!A:A,match(IFNA(vlookup(B2373,'Special Names'!A:B,2,FALSE),B2373),PlayerValues!E:E,0)),"N/A")</f>
        <v>16792</v>
      </c>
      <c r="B2373" s="4" t="s">
        <v>704</v>
      </c>
      <c r="C2373" s="4" t="s">
        <v>287</v>
      </c>
      <c r="D2373" s="94">
        <v>1310.0</v>
      </c>
    </row>
    <row r="2374">
      <c r="A2374" s="40">
        <f t="array" ref="A2374">IFNA(index(PlayerValues!A:A,match(IFNA(vlookup(B2374,'Special Names'!A:B,2,FALSE),B2374),PlayerValues!E:E,0)),"N/A")</f>
        <v>17254</v>
      </c>
      <c r="B2374" s="4" t="s">
        <v>679</v>
      </c>
      <c r="C2374" s="4" t="s">
        <v>287</v>
      </c>
      <c r="D2374" s="94">
        <v>1303.0</v>
      </c>
    </row>
    <row r="2375">
      <c r="A2375" s="40">
        <f t="array" ref="A2375">IFNA(index(PlayerValues!A:A,match(IFNA(vlookup(B2375,'Special Names'!A:B,2,FALSE),B2375),PlayerValues!E:E,0)),"N/A")</f>
        <v>16746</v>
      </c>
      <c r="B2375" s="4" t="s">
        <v>709</v>
      </c>
      <c r="C2375" s="4" t="s">
        <v>278</v>
      </c>
      <c r="D2375" s="94">
        <v>1301.0</v>
      </c>
    </row>
    <row r="2376">
      <c r="A2376" s="40">
        <f t="array" ref="A2376">IFNA(index(PlayerValues!A:A,match(IFNA(vlookup(B2376,'Special Names'!A:B,2,FALSE),B2376),PlayerValues!E:E,0)),"N/A")</f>
        <v>17063</v>
      </c>
      <c r="B2376" s="4" t="s">
        <v>686</v>
      </c>
      <c r="C2376" s="4" t="s">
        <v>278</v>
      </c>
      <c r="D2376" s="94">
        <v>1298.0</v>
      </c>
    </row>
    <row r="2377">
      <c r="A2377" s="40">
        <f t="array" ref="A2377">IFNA(index(PlayerValues!A:A,match(IFNA(vlookup(B2377,'Special Names'!A:B,2,FALSE),B2377),PlayerValues!E:E,0)),"N/A")</f>
        <v>17475</v>
      </c>
      <c r="B2377" s="4" t="s">
        <v>615</v>
      </c>
      <c r="C2377" s="4" t="s">
        <v>278</v>
      </c>
      <c r="D2377" s="94">
        <v>1297.0</v>
      </c>
    </row>
    <row r="2378">
      <c r="A2378" s="40">
        <f t="array" ref="A2378">IFNA(index(PlayerValues!A:A,match(IFNA(vlookup(B2378,'Special Names'!A:B,2,FALSE),B2378),PlayerValues!E:E,0)),"N/A")</f>
        <v>12678</v>
      </c>
      <c r="B2378" s="4" t="s">
        <v>703</v>
      </c>
      <c r="C2378" s="4" t="s">
        <v>298</v>
      </c>
      <c r="D2378" s="94">
        <v>1665.0</v>
      </c>
    </row>
    <row r="2379">
      <c r="A2379" s="40">
        <f t="array" ref="A2379">IFNA(index(PlayerValues!A:A,match(IFNA(vlookup(B2379,'Special Names'!A:B,2,FALSE),B2379),PlayerValues!E:E,0)),"N/A")</f>
        <v>17097</v>
      </c>
      <c r="B2379" s="4" t="s">
        <v>659</v>
      </c>
      <c r="C2379" s="4" t="s">
        <v>287</v>
      </c>
      <c r="D2379" s="94">
        <v>1294.0</v>
      </c>
    </row>
    <row r="2380">
      <c r="A2380" s="40">
        <f t="array" ref="A2380">IFNA(index(PlayerValues!A:A,match(IFNA(vlookup(B2380,'Special Names'!A:B,2,FALSE),B2380),PlayerValues!E:E,0)),"N/A")</f>
        <v>14095</v>
      </c>
      <c r="B2380" s="4" t="s">
        <v>680</v>
      </c>
      <c r="C2380" s="4" t="s">
        <v>278</v>
      </c>
      <c r="D2380" s="94">
        <v>1282.0</v>
      </c>
    </row>
    <row r="2381">
      <c r="A2381" s="40">
        <f t="array" ref="A2381">IFNA(index(PlayerValues!A:A,match(IFNA(vlookup(B2381,'Special Names'!A:B,2,FALSE),B2381),PlayerValues!E:E,0)),"N/A")</f>
        <v>16183</v>
      </c>
      <c r="B2381" s="4" t="s">
        <v>678</v>
      </c>
      <c r="C2381" s="4" t="s">
        <v>287</v>
      </c>
      <c r="D2381" s="94">
        <v>1276.0</v>
      </c>
    </row>
    <row r="2382">
      <c r="A2382" s="40">
        <f t="array" ref="A2382">IFNA(index(PlayerValues!A:A,match(IFNA(vlookup(B2382,'Special Names'!A:B,2,FALSE),B2382),PlayerValues!E:E,0)),"N/A")</f>
        <v>16384</v>
      </c>
      <c r="B2382" s="4" t="s">
        <v>696</v>
      </c>
      <c r="C2382" s="4" t="s">
        <v>283</v>
      </c>
      <c r="D2382" s="94">
        <v>1269.0</v>
      </c>
    </row>
    <row r="2383">
      <c r="A2383" s="40">
        <f t="array" ref="A2383">IFNA(index(PlayerValues!A:A,match(IFNA(vlookup(B2383,'Special Names'!A:B,2,FALSE),B2383),PlayerValues!E:E,0)),"N/A")</f>
        <v>16636</v>
      </c>
      <c r="B2383" s="4" t="s">
        <v>699</v>
      </c>
      <c r="C2383" s="4" t="s">
        <v>287</v>
      </c>
      <c r="D2383" s="94">
        <v>1269.0</v>
      </c>
    </row>
    <row r="2384">
      <c r="A2384" s="40">
        <f t="array" ref="A2384">IFNA(index(PlayerValues!A:A,match(IFNA(vlookup(B2384,'Special Names'!A:B,2,FALSE),B2384),PlayerValues!E:E,0)),"N/A")</f>
        <v>12140</v>
      </c>
      <c r="B2384" s="4" t="s">
        <v>702</v>
      </c>
      <c r="C2384" s="4" t="s">
        <v>283</v>
      </c>
      <c r="D2384" s="94">
        <v>1258.0</v>
      </c>
    </row>
    <row r="2385">
      <c r="A2385" s="40">
        <f t="array" ref="A2385">IFNA(index(PlayerValues!A:A,match(IFNA(vlookup(B2385,'Special Names'!A:B,2,FALSE),B2385),PlayerValues!E:E,0)),"N/A")</f>
        <v>17657</v>
      </c>
      <c r="B2385" s="4" t="s">
        <v>642</v>
      </c>
      <c r="C2385" s="4" t="s">
        <v>283</v>
      </c>
      <c r="D2385" s="94">
        <v>1256.0</v>
      </c>
    </row>
    <row r="2386">
      <c r="A2386" s="40">
        <f t="array" ref="A2386">IFNA(index(PlayerValues!A:A,match(IFNA(vlookup(B2386,'Special Names'!A:B,2,FALSE),B2386),PlayerValues!E:E,0)),"N/A")</f>
        <v>14592</v>
      </c>
      <c r="B2386" s="4" t="s">
        <v>705</v>
      </c>
      <c r="C2386" s="4" t="s">
        <v>287</v>
      </c>
      <c r="D2386" s="94">
        <v>1255.0</v>
      </c>
    </row>
    <row r="2387">
      <c r="A2387" s="40">
        <f t="array" ref="A2387">IFNA(index(PlayerValues!A:A,match(IFNA(vlookup(B2387,'Special Names'!A:B,2,FALSE),B2387),PlayerValues!E:E,0)),"N/A")</f>
        <v>15332</v>
      </c>
      <c r="B2387" s="4" t="s">
        <v>698</v>
      </c>
      <c r="C2387" s="4" t="s">
        <v>298</v>
      </c>
      <c r="D2387" s="94">
        <v>1616.0</v>
      </c>
    </row>
    <row r="2388">
      <c r="A2388" s="40">
        <f t="array" ref="A2388">IFNA(index(PlayerValues!A:A,match(IFNA(vlookup(B2388,'Special Names'!A:B,2,FALSE),B2388),PlayerValues!E:E,0)),"N/A")</f>
        <v>17510</v>
      </c>
      <c r="B2388" s="4" t="s">
        <v>661</v>
      </c>
      <c r="C2388" s="4" t="s">
        <v>287</v>
      </c>
      <c r="D2388" s="94">
        <v>1245.0</v>
      </c>
    </row>
    <row r="2389">
      <c r="A2389" s="40">
        <f t="array" ref="A2389">IFNA(index(PlayerValues!A:A,match(IFNA(vlookup(B2389,'Special Names'!A:B,2,FALSE),B2389),PlayerValues!E:E,0)),"N/A")</f>
        <v>17037</v>
      </c>
      <c r="B2389" s="4" t="s">
        <v>727</v>
      </c>
      <c r="C2389" s="4" t="s">
        <v>283</v>
      </c>
      <c r="D2389" s="94">
        <v>1239.0</v>
      </c>
    </row>
    <row r="2390">
      <c r="A2390" s="40">
        <f t="array" ref="A2390">IFNA(index(PlayerValues!A:A,match(IFNA(vlookup(B2390,'Special Names'!A:B,2,FALSE),B2390),PlayerValues!E:E,0)),"N/A")</f>
        <v>16883</v>
      </c>
      <c r="B2390" s="4" t="s">
        <v>683</v>
      </c>
      <c r="C2390" s="4" t="s">
        <v>287</v>
      </c>
      <c r="D2390" s="94">
        <v>1224.0</v>
      </c>
    </row>
    <row r="2391">
      <c r="A2391" s="40">
        <f t="array" ref="A2391">IFNA(index(PlayerValues!A:A,match(IFNA(vlookup(B2391,'Special Names'!A:B,2,FALSE),B2391),PlayerValues!E:E,0)),"N/A")</f>
        <v>15702</v>
      </c>
      <c r="B2391" s="4" t="s">
        <v>723</v>
      </c>
      <c r="C2391" s="4" t="s">
        <v>283</v>
      </c>
      <c r="D2391" s="94">
        <v>1222.0</v>
      </c>
    </row>
    <row r="2392">
      <c r="A2392" s="40">
        <f t="array" ref="A2392">IFNA(index(PlayerValues!A:A,match(IFNA(vlookup(B2392,'Special Names'!A:B,2,FALSE),B2392),PlayerValues!E:E,0)),"N/A")</f>
        <v>16385</v>
      </c>
      <c r="B2392" s="4" t="s">
        <v>690</v>
      </c>
      <c r="C2392" s="4" t="s">
        <v>278</v>
      </c>
      <c r="D2392" s="94">
        <v>1213.0</v>
      </c>
    </row>
    <row r="2393">
      <c r="A2393" s="40">
        <f t="array" ref="A2393">IFNA(index(PlayerValues!A:A,match(IFNA(vlookup(B2393,'Special Names'!A:B,2,FALSE),B2393),PlayerValues!E:E,0)),"N/A")</f>
        <v>16199</v>
      </c>
      <c r="B2393" s="4" t="s">
        <v>687</v>
      </c>
      <c r="C2393" s="4" t="s">
        <v>287</v>
      </c>
      <c r="D2393" s="94">
        <v>1208.0</v>
      </c>
    </row>
    <row r="2394">
      <c r="A2394" s="40">
        <f t="array" ref="A2394">IFNA(index(PlayerValues!A:A,match(IFNA(vlookup(B2394,'Special Names'!A:B,2,FALSE),B2394),PlayerValues!E:E,0)),"N/A")</f>
        <v>17062</v>
      </c>
      <c r="B2394" s="4" t="s">
        <v>701</v>
      </c>
      <c r="C2394" s="4" t="s">
        <v>278</v>
      </c>
      <c r="D2394" s="94">
        <v>1207.0</v>
      </c>
    </row>
    <row r="2395">
      <c r="A2395" s="40">
        <f t="array" ref="A2395">IFNA(index(PlayerValues!A:A,match(IFNA(vlookup(B2395,'Special Names'!A:B,2,FALSE),B2395),PlayerValues!E:E,0)),"N/A")</f>
        <v>17192</v>
      </c>
      <c r="B2395" s="4" t="s">
        <v>677</v>
      </c>
      <c r="C2395" s="4" t="s">
        <v>287</v>
      </c>
      <c r="D2395" s="94">
        <v>1207.0</v>
      </c>
    </row>
    <row r="2396">
      <c r="A2396" s="40">
        <f t="array" ref="A2396">IFNA(index(PlayerValues!A:A,match(IFNA(vlookup(B2396,'Special Names'!A:B,2,FALSE),B2396),PlayerValues!E:E,0)),"N/A")</f>
        <v>14080</v>
      </c>
      <c r="B2396" s="4" t="s">
        <v>716</v>
      </c>
      <c r="C2396" s="4" t="s">
        <v>278</v>
      </c>
      <c r="D2396" s="94">
        <v>1202.0</v>
      </c>
    </row>
    <row r="2397">
      <c r="A2397" s="40">
        <f t="array" ref="A2397">IFNA(index(PlayerValues!A:A,match(IFNA(vlookup(B2397,'Special Names'!A:B,2,FALSE),B2397),PlayerValues!E:E,0)),"N/A")</f>
        <v>13418</v>
      </c>
      <c r="B2397" s="4" t="s">
        <v>706</v>
      </c>
      <c r="C2397" s="4" t="s">
        <v>287</v>
      </c>
      <c r="D2397" s="94">
        <v>1201.0</v>
      </c>
    </row>
    <row r="2398">
      <c r="A2398" s="40">
        <f t="array" ref="A2398">IFNA(index(PlayerValues!A:A,match(IFNA(vlookup(B2398,'Special Names'!A:B,2,FALSE),B2398),PlayerValues!E:E,0)),"N/A")</f>
        <v>17518</v>
      </c>
      <c r="B2398" s="4" t="s">
        <v>482</v>
      </c>
      <c r="C2398" s="4" t="s">
        <v>287</v>
      </c>
      <c r="D2398" s="94">
        <v>1186.0</v>
      </c>
    </row>
    <row r="2399">
      <c r="A2399" s="40">
        <f t="array" ref="A2399">IFNA(index(PlayerValues!A:A,match(IFNA(vlookup(B2399,'Special Names'!A:B,2,FALSE),B2399),PlayerValues!E:E,0)),"N/A")</f>
        <v>14067</v>
      </c>
      <c r="B2399" s="4" t="s">
        <v>735</v>
      </c>
      <c r="C2399" s="4" t="s">
        <v>283</v>
      </c>
      <c r="D2399" s="94">
        <v>1173.0</v>
      </c>
    </row>
    <row r="2400">
      <c r="A2400" s="40">
        <f t="array" ref="A2400">IFNA(index(PlayerValues!A:A,match(IFNA(vlookup(B2400,'Special Names'!A:B,2,FALSE),B2400),PlayerValues!E:E,0)),"N/A")</f>
        <v>17077</v>
      </c>
      <c r="B2400" s="4" t="s">
        <v>714</v>
      </c>
      <c r="C2400" s="4" t="s">
        <v>287</v>
      </c>
      <c r="D2400" s="94">
        <v>1173.0</v>
      </c>
    </row>
    <row r="2401">
      <c r="A2401" s="40">
        <f t="array" ref="A2401">IFNA(index(PlayerValues!A:A,match(IFNA(vlookup(B2401,'Special Names'!A:B,2,FALSE),B2401),PlayerValues!E:E,0)),"N/A")</f>
        <v>17546</v>
      </c>
      <c r="B2401" s="4" t="s">
        <v>671</v>
      </c>
      <c r="C2401" s="4" t="s">
        <v>298</v>
      </c>
      <c r="D2401" s="94">
        <v>1541.0</v>
      </c>
    </row>
    <row r="2402">
      <c r="A2402" s="40">
        <f t="array" ref="A2402">IFNA(index(PlayerValues!A:A,match(IFNA(vlookup(B2402,'Special Names'!A:B,2,FALSE),B2402),PlayerValues!E:E,0)),"N/A")</f>
        <v>17109</v>
      </c>
      <c r="B2402" s="4" t="s">
        <v>707</v>
      </c>
      <c r="C2402" s="4" t="s">
        <v>298</v>
      </c>
      <c r="D2402" s="94">
        <v>1539.0</v>
      </c>
    </row>
    <row r="2403">
      <c r="A2403" s="40">
        <f t="array" ref="A2403">IFNA(index(PlayerValues!A:A,match(IFNA(vlookup(B2403,'Special Names'!A:B,2,FALSE),B2403),PlayerValues!E:E,0)),"N/A")</f>
        <v>11222</v>
      </c>
      <c r="B2403" s="4" t="s">
        <v>622</v>
      </c>
      <c r="C2403" s="4" t="s">
        <v>287</v>
      </c>
      <c r="D2403" s="94">
        <v>1166.0</v>
      </c>
    </row>
    <row r="2404">
      <c r="A2404" s="40">
        <f t="array" ref="A2404">IFNA(index(PlayerValues!A:A,match(IFNA(vlookup(B2404,'Special Names'!A:B,2,FALSE),B2404),PlayerValues!E:E,0)),"N/A")</f>
        <v>15252</v>
      </c>
      <c r="B2404" s="4" t="s">
        <v>715</v>
      </c>
      <c r="C2404" s="4" t="s">
        <v>283</v>
      </c>
      <c r="D2404" s="94">
        <v>1166.0</v>
      </c>
    </row>
    <row r="2405">
      <c r="A2405" s="40">
        <f t="array" ref="A2405">IFNA(index(PlayerValues!A:A,match(IFNA(vlookup(B2405,'Special Names'!A:B,2,FALSE),B2405),PlayerValues!E:E,0)),"N/A")</f>
        <v>15254</v>
      </c>
      <c r="B2405" s="4" t="s">
        <v>633</v>
      </c>
      <c r="C2405" s="4" t="s">
        <v>278</v>
      </c>
      <c r="D2405" s="94">
        <v>1164.0</v>
      </c>
    </row>
    <row r="2406">
      <c r="A2406" s="40">
        <f t="array" ref="A2406">IFNA(index(PlayerValues!A:A,match(IFNA(vlookup(B2406,'Special Names'!A:B,2,FALSE),B2406),PlayerValues!E:E,0)),"N/A")</f>
        <v>17269</v>
      </c>
      <c r="B2406" s="4" t="s">
        <v>718</v>
      </c>
      <c r="C2406" s="4" t="s">
        <v>287</v>
      </c>
      <c r="D2406" s="94">
        <v>1163.0</v>
      </c>
    </row>
    <row r="2407">
      <c r="A2407" s="40">
        <f t="array" ref="A2407">IFNA(index(PlayerValues!A:A,match(IFNA(vlookup(B2407,'Special Names'!A:B,2,FALSE),B2407),PlayerValues!E:E,0)),"N/A")</f>
        <v>16333</v>
      </c>
      <c r="B2407" s="4" t="s">
        <v>711</v>
      </c>
      <c r="C2407" s="4" t="s">
        <v>298</v>
      </c>
      <c r="D2407" s="94">
        <v>1530.0</v>
      </c>
    </row>
    <row r="2408">
      <c r="A2408" s="40">
        <f t="array" ref="A2408">IFNA(index(PlayerValues!A:A,match(IFNA(vlookup(B2408,'Special Names'!A:B,2,FALSE),B2408),PlayerValues!E:E,0)),"N/A")</f>
        <v>14108</v>
      </c>
      <c r="B2408" s="4" t="s">
        <v>673</v>
      </c>
      <c r="C2408" s="4" t="s">
        <v>287</v>
      </c>
      <c r="D2408" s="94">
        <v>1156.0</v>
      </c>
    </row>
    <row r="2409">
      <c r="A2409" s="40">
        <f t="array" ref="A2409">IFNA(index(PlayerValues!A:A,match(IFNA(vlookup(B2409,'Special Names'!A:B,2,FALSE),B2409),PlayerValues!E:E,0)),"N/A")</f>
        <v>14789</v>
      </c>
      <c r="B2409" s="4" t="s">
        <v>721</v>
      </c>
      <c r="C2409" s="4" t="s">
        <v>283</v>
      </c>
      <c r="D2409" s="94">
        <v>1151.0</v>
      </c>
    </row>
    <row r="2410">
      <c r="A2410" s="40">
        <f t="array" ref="A2410">IFNA(index(PlayerValues!A:A,match(IFNA(vlookup(B2410,'Special Names'!A:B,2,FALSE),B2410),PlayerValues!E:E,0)),"N/A")</f>
        <v>15288</v>
      </c>
      <c r="B2410" s="4" t="s">
        <v>700</v>
      </c>
      <c r="C2410" s="4" t="s">
        <v>287</v>
      </c>
      <c r="D2410" s="94">
        <v>1149.0</v>
      </c>
    </row>
    <row r="2411">
      <c r="A2411" s="40">
        <f t="array" ref="A2411">IFNA(index(PlayerValues!A:A,match(IFNA(vlookup(B2411,'Special Names'!A:B,2,FALSE),B2411),PlayerValues!E:E,0)),"N/A")</f>
        <v>17057</v>
      </c>
      <c r="B2411" s="4" t="s">
        <v>708</v>
      </c>
      <c r="C2411" s="4" t="s">
        <v>278</v>
      </c>
      <c r="D2411" s="94">
        <v>1147.0</v>
      </c>
    </row>
    <row r="2412">
      <c r="A2412" s="40">
        <f t="array" ref="A2412">IFNA(index(PlayerValues!A:A,match(IFNA(vlookup(B2412,'Special Names'!A:B,2,FALSE),B2412),PlayerValues!E:E,0)),"N/A")</f>
        <v>16221</v>
      </c>
      <c r="B2412" s="4" t="s">
        <v>725</v>
      </c>
      <c r="C2412" s="4" t="s">
        <v>298</v>
      </c>
      <c r="D2412" s="94">
        <v>1516.0</v>
      </c>
    </row>
    <row r="2413">
      <c r="A2413" s="40">
        <f t="array" ref="A2413">IFNA(index(PlayerValues!A:A,match(IFNA(vlookup(B2413,'Special Names'!A:B,2,FALSE),B2413),PlayerValues!E:E,0)),"N/A")</f>
        <v>17050</v>
      </c>
      <c r="B2413" s="4" t="s">
        <v>713</v>
      </c>
      <c r="C2413" s="4" t="s">
        <v>278</v>
      </c>
      <c r="D2413" s="94">
        <v>1133.0</v>
      </c>
    </row>
    <row r="2414">
      <c r="A2414" s="40">
        <f t="array" ref="A2414">IFNA(index(PlayerValues!A:A,match(IFNA(vlookup(B2414,'Special Names'!A:B,2,FALSE),B2414),PlayerValues!E:E,0)),"N/A")</f>
        <v>16640</v>
      </c>
      <c r="B2414" s="4" t="s">
        <v>712</v>
      </c>
      <c r="C2414" s="4" t="s">
        <v>287</v>
      </c>
      <c r="D2414" s="94">
        <v>1127.0</v>
      </c>
    </row>
    <row r="2415">
      <c r="A2415" s="40">
        <f t="array" ref="A2415">IFNA(index(PlayerValues!A:A,match(IFNA(vlookup(B2415,'Special Names'!A:B,2,FALSE),B2415),PlayerValues!E:E,0)),"N/A")</f>
        <v>15981</v>
      </c>
      <c r="B2415" s="4" t="s">
        <v>729</v>
      </c>
      <c r="C2415" s="4" t="s">
        <v>287</v>
      </c>
      <c r="D2415" s="94">
        <v>1112.0</v>
      </c>
    </row>
    <row r="2416">
      <c r="A2416" s="40">
        <f t="array" ref="A2416">IFNA(index(PlayerValues!A:A,match(IFNA(vlookup(B2416,'Special Names'!A:B,2,FALSE),B2416),PlayerValues!E:E,0)),"N/A")</f>
        <v>15795</v>
      </c>
      <c r="B2416" s="4" t="s">
        <v>669</v>
      </c>
      <c r="C2416" s="4" t="s">
        <v>298</v>
      </c>
      <c r="D2416" s="94">
        <v>1467.0</v>
      </c>
    </row>
    <row r="2417">
      <c r="A2417" s="40">
        <f t="array" ref="A2417">IFNA(index(PlayerValues!A:A,match(IFNA(vlookup(B2417,'Special Names'!A:B,2,FALSE),B2417),PlayerValues!E:E,0)),"N/A")</f>
        <v>17504</v>
      </c>
      <c r="B2417" s="4" t="s">
        <v>693</v>
      </c>
      <c r="C2417" s="4" t="s">
        <v>287</v>
      </c>
      <c r="D2417" s="94">
        <v>1088.0</v>
      </c>
    </row>
    <row r="2418">
      <c r="A2418" s="40">
        <f t="array" ref="A2418">IFNA(index(PlayerValues!A:A,match(IFNA(vlookup(B2418,'Special Names'!A:B,2,FALSE),B2418),PlayerValues!E:E,0)),"N/A")</f>
        <v>12141</v>
      </c>
      <c r="B2418" s="4" t="s">
        <v>744</v>
      </c>
      <c r="C2418" s="4" t="s">
        <v>283</v>
      </c>
      <c r="D2418" s="94">
        <v>1083.0</v>
      </c>
    </row>
    <row r="2419">
      <c r="A2419" s="40">
        <f t="array" ref="A2419">IFNA(index(PlayerValues!A:A,match(IFNA(vlookup(B2419,'Special Names'!A:B,2,FALSE),B2419),PlayerValues!E:E,0)),"N/A")</f>
        <v>16149</v>
      </c>
      <c r="B2419" s="4" t="s">
        <v>740</v>
      </c>
      <c r="C2419" s="4" t="s">
        <v>283</v>
      </c>
      <c r="D2419" s="94">
        <v>1071.0</v>
      </c>
    </row>
    <row r="2420">
      <c r="A2420" s="40">
        <f t="array" ref="A2420">IFNA(index(PlayerValues!A:A,match(IFNA(vlookup(B2420,'Special Names'!A:B,2,FALSE),B2420),PlayerValues!E:E,0)),"N/A")</f>
        <v>13289</v>
      </c>
      <c r="B2420" s="4" t="s">
        <v>746</v>
      </c>
      <c r="C2420" s="4" t="s">
        <v>287</v>
      </c>
      <c r="D2420" s="94">
        <v>1064.0</v>
      </c>
    </row>
    <row r="2421">
      <c r="A2421" s="40">
        <f t="array" ref="A2421">IFNA(index(PlayerValues!A:A,match(IFNA(vlookup(B2421,'Special Names'!A:B,2,FALSE),B2421),PlayerValues!E:E,0)),"N/A")</f>
        <v>16197</v>
      </c>
      <c r="B2421" s="4" t="s">
        <v>726</v>
      </c>
      <c r="C2421" s="4" t="s">
        <v>287</v>
      </c>
      <c r="D2421" s="94">
        <v>1064.0</v>
      </c>
    </row>
    <row r="2422">
      <c r="A2422" s="40">
        <f t="array" ref="A2422">IFNA(index(PlayerValues!A:A,match(IFNA(vlookup(B2422,'Special Names'!A:B,2,FALSE),B2422),PlayerValues!E:E,0)),"N/A")</f>
        <v>14845</v>
      </c>
      <c r="B2422" s="4" t="s">
        <v>717</v>
      </c>
      <c r="C2422" s="4" t="s">
        <v>287</v>
      </c>
      <c r="D2422" s="94">
        <v>1061.0</v>
      </c>
    </row>
    <row r="2423">
      <c r="A2423" s="40">
        <f t="array" ref="A2423">IFNA(index(PlayerValues!A:A,match(IFNA(vlookup(B2423,'Special Names'!A:B,2,FALSE),B2423),PlayerValues!E:E,0)),"N/A")</f>
        <v>15240</v>
      </c>
      <c r="B2423" s="4" t="s">
        <v>751</v>
      </c>
      <c r="C2423" s="4" t="s">
        <v>283</v>
      </c>
      <c r="D2423" s="94">
        <v>1056.0</v>
      </c>
    </row>
    <row r="2424">
      <c r="A2424" s="40">
        <f t="array" ref="A2424">IFNA(index(PlayerValues!A:A,match(IFNA(vlookup(B2424,'Special Names'!A:B,2,FALSE),B2424),PlayerValues!E:E,0)),"N/A")</f>
        <v>15109</v>
      </c>
      <c r="B2424" s="4" t="s">
        <v>728</v>
      </c>
      <c r="C2424" s="4" t="s">
        <v>287</v>
      </c>
      <c r="D2424" s="94">
        <v>1033.0</v>
      </c>
    </row>
    <row r="2425">
      <c r="A2425" s="40">
        <f t="array" ref="A2425">IFNA(index(PlayerValues!A:A,match(IFNA(vlookup(B2425,'Special Names'!A:B,2,FALSE),B2425),PlayerValues!E:E,0)),"N/A")</f>
        <v>14849</v>
      </c>
      <c r="B2425" s="4" t="s">
        <v>733</v>
      </c>
      <c r="C2425" s="4" t="s">
        <v>287</v>
      </c>
      <c r="D2425" s="94">
        <v>1032.0</v>
      </c>
    </row>
    <row r="2426">
      <c r="A2426" s="40">
        <f t="array" ref="A2426">IFNA(index(PlayerValues!A:A,match(IFNA(vlookup(B2426,'Special Names'!A:B,2,FALSE),B2426),PlayerValues!E:E,0)),"N/A")</f>
        <v>15727</v>
      </c>
      <c r="B2426" s="4" t="s">
        <v>730</v>
      </c>
      <c r="C2426" s="4" t="s">
        <v>278</v>
      </c>
      <c r="D2426" s="94">
        <v>1026.0</v>
      </c>
    </row>
    <row r="2427">
      <c r="A2427" s="40">
        <f t="array" ref="A2427">IFNA(index(PlayerValues!A:A,match(IFNA(vlookup(B2427,'Special Names'!A:B,2,FALSE),B2427),PlayerValues!E:E,0)),"N/A")</f>
        <v>15730</v>
      </c>
      <c r="B2427" s="4" t="s">
        <v>734</v>
      </c>
      <c r="C2427" s="4" t="s">
        <v>278</v>
      </c>
      <c r="D2427" s="94">
        <v>1026.0</v>
      </c>
    </row>
    <row r="2428">
      <c r="A2428" s="40">
        <f t="array" ref="A2428">IFNA(index(PlayerValues!A:A,match(IFNA(vlookup(B2428,'Special Names'!A:B,2,FALSE),B2428),PlayerValues!E:E,0)),"N/A")</f>
        <v>15717</v>
      </c>
      <c r="B2428" s="4" t="s">
        <v>745</v>
      </c>
      <c r="C2428" s="4" t="s">
        <v>278</v>
      </c>
      <c r="D2428" s="94">
        <v>1026.0</v>
      </c>
    </row>
    <row r="2429">
      <c r="A2429" s="40">
        <f t="array" ref="A2429">IFNA(index(PlayerValues!A:A,match(IFNA(vlookup(B2429,'Special Names'!A:B,2,FALSE),B2429),PlayerValues!E:E,0)),"N/A")</f>
        <v>9064</v>
      </c>
      <c r="B2429" s="4" t="s">
        <v>761</v>
      </c>
      <c r="C2429" s="4" t="s">
        <v>283</v>
      </c>
      <c r="D2429" s="94">
        <v>1025.0</v>
      </c>
    </row>
    <row r="2430">
      <c r="A2430" s="40">
        <f t="array" ref="A2430">IFNA(index(PlayerValues!A:A,match(IFNA(vlookup(B2430,'Special Names'!A:B,2,FALSE),B2430),PlayerValues!E:E,0)),"N/A")</f>
        <v>16168</v>
      </c>
      <c r="B2430" s="4" t="s">
        <v>738</v>
      </c>
      <c r="C2430" s="4" t="s">
        <v>278</v>
      </c>
      <c r="D2430" s="94">
        <v>1021.0</v>
      </c>
    </row>
    <row r="2431">
      <c r="A2431" s="40">
        <f t="array" ref="A2431">IFNA(index(PlayerValues!A:A,match(IFNA(vlookup(B2431,'Special Names'!A:B,2,FALSE),B2431),PlayerValues!E:E,0)),"N/A")</f>
        <v>15330</v>
      </c>
      <c r="B2431" s="4" t="s">
        <v>749</v>
      </c>
      <c r="C2431" s="4" t="s">
        <v>298</v>
      </c>
      <c r="D2431" s="94">
        <v>1381.0</v>
      </c>
    </row>
    <row r="2432">
      <c r="A2432" s="40">
        <f t="array" ref="A2432">IFNA(index(PlayerValues!A:A,match(IFNA(vlookup(B2432,'Special Names'!A:B,2,FALSE),B2432),PlayerValues!E:E,0)),"N/A")</f>
        <v>15693</v>
      </c>
      <c r="B2432" s="4" t="s">
        <v>755</v>
      </c>
      <c r="C2432" s="4" t="s">
        <v>283</v>
      </c>
      <c r="D2432" s="94">
        <v>1010.0</v>
      </c>
    </row>
    <row r="2433">
      <c r="A2433" s="40">
        <f t="array" ref="A2433">IFNA(index(PlayerValues!A:A,match(IFNA(vlookup(B2433,'Special Names'!A:B,2,FALSE),B2433),PlayerValues!E:E,0)),"N/A")</f>
        <v>16637</v>
      </c>
      <c r="B2433" s="4" t="s">
        <v>736</v>
      </c>
      <c r="C2433" s="4" t="s">
        <v>287</v>
      </c>
      <c r="D2433" s="94">
        <v>1007.0</v>
      </c>
    </row>
    <row r="2434">
      <c r="A2434" s="40">
        <f t="array" ref="A2434">IFNA(index(PlayerValues!A:A,match(IFNA(vlookup(B2434,'Special Names'!A:B,2,FALSE),B2434),PlayerValues!E:E,0)),"N/A")</f>
        <v>16451</v>
      </c>
      <c r="B2434" s="4" t="s">
        <v>769</v>
      </c>
      <c r="C2434" s="4" t="s">
        <v>287</v>
      </c>
      <c r="D2434" s="94">
        <v>1005.0</v>
      </c>
    </row>
    <row r="2435">
      <c r="A2435" s="40">
        <f t="array" ref="A2435">IFNA(index(PlayerValues!A:A,match(IFNA(vlookup(B2435,'Special Names'!A:B,2,FALSE),B2435),PlayerValues!E:E,0)),"N/A")</f>
        <v>15758</v>
      </c>
      <c r="B2435" s="4" t="s">
        <v>724</v>
      </c>
      <c r="C2435" s="4" t="s">
        <v>287</v>
      </c>
      <c r="D2435" s="94">
        <v>998.0</v>
      </c>
    </row>
    <row r="2436">
      <c r="A2436" s="40">
        <f t="array" ref="A2436">IFNA(index(PlayerValues!A:A,match(IFNA(vlookup(B2436,'Special Names'!A:B,2,FALSE),B2436),PlayerValues!E:E,0)),"N/A")</f>
        <v>16205</v>
      </c>
      <c r="B2436" s="4" t="s">
        <v>742</v>
      </c>
      <c r="C2436" s="4" t="s">
        <v>287</v>
      </c>
      <c r="D2436" s="94">
        <v>997.0</v>
      </c>
    </row>
    <row r="2437">
      <c r="A2437" s="40">
        <f t="array" ref="A2437">IFNA(index(PlayerValues!A:A,match(IFNA(vlookup(B2437,'Special Names'!A:B,2,FALSE),B2437),PlayerValues!E:E,0)),"N/A")</f>
        <v>15692</v>
      </c>
      <c r="B2437" s="4" t="s">
        <v>750</v>
      </c>
      <c r="C2437" s="4" t="s">
        <v>283</v>
      </c>
      <c r="D2437" s="94">
        <v>996.0</v>
      </c>
    </row>
    <row r="2438">
      <c r="A2438" s="40">
        <f t="array" ref="A2438">IFNA(index(PlayerValues!A:A,match(IFNA(vlookup(B2438,'Special Names'!A:B,2,FALSE),B2438),PlayerValues!E:E,0)),"N/A")</f>
        <v>15718</v>
      </c>
      <c r="B2438" s="4" t="s">
        <v>753</v>
      </c>
      <c r="C2438" s="4" t="s">
        <v>278</v>
      </c>
      <c r="D2438" s="94">
        <v>990.0</v>
      </c>
    </row>
    <row r="2439">
      <c r="A2439" s="40">
        <f t="array" ref="A2439">IFNA(index(PlayerValues!A:A,match(IFNA(vlookup(B2439,'Special Names'!A:B,2,FALSE),B2439),PlayerValues!E:E,0)),"N/A")</f>
        <v>16393</v>
      </c>
      <c r="B2439" s="4" t="s">
        <v>768</v>
      </c>
      <c r="C2439" s="4" t="s">
        <v>287</v>
      </c>
      <c r="D2439" s="94">
        <v>983.0</v>
      </c>
    </row>
    <row r="2440">
      <c r="A2440" s="40">
        <f t="array" ref="A2440">IFNA(index(PlayerValues!A:A,match(IFNA(vlookup(B2440,'Special Names'!A:B,2,FALSE),B2440),PlayerValues!E:E,0)),"N/A")</f>
        <v>16170</v>
      </c>
      <c r="B2440" s="4" t="s">
        <v>801</v>
      </c>
      <c r="C2440" s="4" t="s">
        <v>278</v>
      </c>
      <c r="D2440" s="94">
        <v>980.0</v>
      </c>
    </row>
    <row r="2441">
      <c r="A2441" s="40">
        <f t="array" ref="A2441">IFNA(index(PlayerValues!A:A,match(IFNA(vlookup(B2441,'Special Names'!A:B,2,FALSE),B2441),PlayerValues!E:E,0)),"N/A")</f>
        <v>16648</v>
      </c>
      <c r="B2441" s="4" t="s">
        <v>748</v>
      </c>
      <c r="C2441" s="4" t="s">
        <v>298</v>
      </c>
      <c r="D2441" s="94">
        <v>1340.0</v>
      </c>
    </row>
    <row r="2442">
      <c r="A2442" s="40">
        <f t="array" ref="A2442">IFNA(index(PlayerValues!A:A,match(IFNA(vlookup(B2442,'Special Names'!A:B,2,FALSE),B2442),PlayerValues!E:E,0)),"N/A")</f>
        <v>15258</v>
      </c>
      <c r="B2442" s="4" t="s">
        <v>757</v>
      </c>
      <c r="C2442" s="4" t="s">
        <v>278</v>
      </c>
      <c r="D2442" s="94">
        <v>967.0</v>
      </c>
    </row>
    <row r="2443">
      <c r="A2443" s="40">
        <f t="array" ref="A2443">IFNA(index(PlayerValues!A:A,match(IFNA(vlookup(B2443,'Special Names'!A:B,2,FALSE),B2443),PlayerValues!E:E,0)),"N/A")</f>
        <v>17487</v>
      </c>
      <c r="B2443" s="4" t="s">
        <v>692</v>
      </c>
      <c r="C2443" s="4" t="s">
        <v>278</v>
      </c>
      <c r="D2443" s="94">
        <v>967.0</v>
      </c>
    </row>
    <row r="2444">
      <c r="A2444" s="40">
        <f t="array" ref="A2444">IFNA(index(PlayerValues!A:A,match(IFNA(vlookup(B2444,'Special Names'!A:B,2,FALSE),B2444),PlayerValues!E:E,0)),"N/A")</f>
        <v>15239</v>
      </c>
      <c r="B2444" s="4" t="s">
        <v>802</v>
      </c>
      <c r="C2444" s="4" t="s">
        <v>283</v>
      </c>
      <c r="D2444" s="94">
        <v>948.0</v>
      </c>
    </row>
    <row r="2445">
      <c r="A2445" s="40">
        <f t="array" ref="A2445">IFNA(index(PlayerValues!A:A,match(IFNA(vlookup(B2445,'Special Names'!A:B,2,FALSE),B2445),PlayerValues!E:E,0)),"N/A")</f>
        <v>16606</v>
      </c>
      <c r="B2445" s="4" t="s">
        <v>743</v>
      </c>
      <c r="C2445" s="4" t="s">
        <v>278</v>
      </c>
      <c r="D2445" s="94">
        <v>939.0</v>
      </c>
    </row>
    <row r="2446">
      <c r="A2446" s="40">
        <f t="array" ref="A2446">IFNA(index(PlayerValues!A:A,match(IFNA(vlookup(B2446,'Special Names'!A:B,2,FALSE),B2446),PlayerValues!E:E,0)),"N/A")</f>
        <v>17549</v>
      </c>
      <c r="B2446" s="4" t="s">
        <v>720</v>
      </c>
      <c r="C2446" s="4" t="s">
        <v>298</v>
      </c>
      <c r="D2446" s="94">
        <v>1303.0</v>
      </c>
    </row>
    <row r="2447">
      <c r="A2447" s="40">
        <f t="array" ref="A2447">IFNA(index(PlayerValues!A:A,match(IFNA(vlookup(B2447,'Special Names'!A:B,2,FALSE),B2447),PlayerValues!E:E,0)),"N/A")</f>
        <v>16219</v>
      </c>
      <c r="B2447" s="4" t="s">
        <v>739</v>
      </c>
      <c r="C2447" s="4" t="s">
        <v>298</v>
      </c>
      <c r="D2447" s="94">
        <v>1300.0</v>
      </c>
    </row>
    <row r="2448">
      <c r="A2448" s="40">
        <f t="array" ref="A2448">IFNA(index(PlayerValues!A:A,match(IFNA(vlookup(B2448,'Special Names'!A:B,2,FALSE),B2448),PlayerValues!E:E,0)),"N/A")</f>
        <v>16416</v>
      </c>
      <c r="B2448" s="4" t="s">
        <v>752</v>
      </c>
      <c r="C2448" s="4" t="s">
        <v>287</v>
      </c>
      <c r="D2448" s="94">
        <v>929.0</v>
      </c>
    </row>
    <row r="2449">
      <c r="A2449" s="40">
        <f t="array" ref="A2449">IFNA(index(PlayerValues!A:A,match(IFNA(vlookup(B2449,'Special Names'!A:B,2,FALSE),B2449),PlayerValues!E:E,0)),"N/A")</f>
        <v>16678</v>
      </c>
      <c r="B2449" s="4" t="s">
        <v>758</v>
      </c>
      <c r="C2449" s="4" t="s">
        <v>278</v>
      </c>
      <c r="D2449" s="94">
        <v>921.0</v>
      </c>
    </row>
    <row r="2450">
      <c r="A2450" s="40">
        <f t="array" ref="A2450">IFNA(index(PlayerValues!A:A,match(IFNA(vlookup(B2450,'Special Names'!A:B,2,FALSE),B2450),PlayerValues!E:E,0)),"N/A")</f>
        <v>16599</v>
      </c>
      <c r="B2450" s="4" t="s">
        <v>737</v>
      </c>
      <c r="C2450" s="4" t="s">
        <v>278</v>
      </c>
      <c r="D2450" s="94">
        <v>919.0</v>
      </c>
    </row>
    <row r="2451">
      <c r="A2451" s="40">
        <f t="array" ref="A2451">IFNA(index(PlayerValues!A:A,match(IFNA(vlookup(B2451,'Special Names'!A:B,2,FALSE),B2451),PlayerValues!E:E,0)),"N/A")</f>
        <v>16858</v>
      </c>
      <c r="B2451" s="4" t="s">
        <v>754</v>
      </c>
      <c r="C2451" s="4" t="s">
        <v>287</v>
      </c>
      <c r="D2451" s="94">
        <v>916.0</v>
      </c>
    </row>
    <row r="2452">
      <c r="A2452" s="40">
        <f t="array" ref="A2452">IFNA(index(PlayerValues!A:A,match(IFNA(vlookup(B2452,'Special Names'!A:B,2,FALSE),B2452),PlayerValues!E:E,0)),"N/A")</f>
        <v>17479</v>
      </c>
      <c r="B2452" s="4" t="s">
        <v>756</v>
      </c>
      <c r="C2452" s="4" t="s">
        <v>278</v>
      </c>
      <c r="D2452" s="94">
        <v>908.0</v>
      </c>
    </row>
    <row r="2453">
      <c r="A2453" s="40">
        <f t="array" ref="A2453">IFNA(index(PlayerValues!A:A,match(IFNA(vlookup(B2453,'Special Names'!A:B,2,FALSE),B2453),PlayerValues!E:E,0)),"N/A")</f>
        <v>15626</v>
      </c>
      <c r="B2453" s="4" t="s">
        <v>766</v>
      </c>
      <c r="C2453" s="4" t="s">
        <v>298</v>
      </c>
      <c r="D2453" s="94">
        <v>1272.0</v>
      </c>
    </row>
    <row r="2454">
      <c r="A2454" s="40">
        <f t="array" ref="A2454">IFNA(index(PlayerValues!A:A,match(IFNA(vlookup(B2454,'Special Names'!A:B,2,FALSE),B2454),PlayerValues!E:E,0)),"N/A")</f>
        <v>15785</v>
      </c>
      <c r="B2454" s="4" t="s">
        <v>763</v>
      </c>
      <c r="C2454" s="4" t="s">
        <v>287</v>
      </c>
      <c r="D2454" s="94">
        <v>898.0</v>
      </c>
    </row>
    <row r="2455">
      <c r="A2455" s="40">
        <f t="array" ref="A2455">IFNA(index(PlayerValues!A:A,match(IFNA(vlookup(B2455,'Special Names'!A:B,2,FALSE),B2455),PlayerValues!E:E,0)),"N/A")</f>
        <v>15720</v>
      </c>
      <c r="B2455" s="4" t="s">
        <v>795</v>
      </c>
      <c r="C2455" s="4" t="s">
        <v>278</v>
      </c>
      <c r="D2455" s="94">
        <v>897.0</v>
      </c>
    </row>
    <row r="2456">
      <c r="A2456" s="40">
        <f t="array" ref="A2456">IFNA(index(PlayerValues!A:A,match(IFNA(vlookup(B2456,'Special Names'!A:B,2,FALSE),B2456),PlayerValues!E:E,0)),"N/A")</f>
        <v>16623</v>
      </c>
      <c r="B2456" s="4" t="s">
        <v>803</v>
      </c>
      <c r="C2456" s="4" t="s">
        <v>287</v>
      </c>
      <c r="D2456" s="94">
        <v>894.0</v>
      </c>
    </row>
    <row r="2457">
      <c r="A2457" s="40">
        <f t="array" ref="A2457">IFNA(index(PlayerValues!A:A,match(IFNA(vlookup(B2457,'Special Names'!A:B,2,FALSE),B2457),PlayerValues!E:E,0)),"N/A")</f>
        <v>15766</v>
      </c>
      <c r="B2457" s="4" t="s">
        <v>759</v>
      </c>
      <c r="C2457" s="4" t="s">
        <v>287</v>
      </c>
      <c r="D2457" s="94">
        <v>889.0</v>
      </c>
    </row>
    <row r="2458">
      <c r="A2458" s="40">
        <f t="array" ref="A2458">IFNA(index(PlayerValues!A:A,match(IFNA(vlookup(B2458,'Special Names'!A:B,2,FALSE),B2458),PlayerValues!E:E,0)),"N/A")</f>
        <v>17175</v>
      </c>
      <c r="B2458" s="4" t="s">
        <v>747</v>
      </c>
      <c r="C2458" s="4" t="s">
        <v>287</v>
      </c>
      <c r="D2458" s="94">
        <v>880.0</v>
      </c>
    </row>
    <row r="2459">
      <c r="A2459" s="40">
        <f t="array" ref="A2459">IFNA(index(PlayerValues!A:A,match(IFNA(vlookup(B2459,'Special Names'!A:B,2,FALSE),B2459),PlayerValues!E:E,0)),"N/A")</f>
        <v>13193</v>
      </c>
      <c r="B2459" s="4" t="s">
        <v>773</v>
      </c>
      <c r="C2459" s="4" t="s">
        <v>298</v>
      </c>
      <c r="D2459" s="94">
        <v>1235.0</v>
      </c>
    </row>
    <row r="2460">
      <c r="A2460" s="40">
        <f t="array" ref="A2460">IFNA(index(PlayerValues!A:A,match(IFNA(vlookup(B2460,'Special Names'!A:B,2,FALSE),B2460),PlayerValues!E:E,0)),"N/A")</f>
        <v>17654</v>
      </c>
      <c r="B2460" s="4" t="s">
        <v>767</v>
      </c>
      <c r="C2460" s="4" t="s">
        <v>283</v>
      </c>
      <c r="D2460" s="94">
        <v>860.0</v>
      </c>
    </row>
    <row r="2461">
      <c r="A2461" s="40">
        <f t="array" ref="A2461">IFNA(index(PlayerValues!A:A,match(IFNA(vlookup(B2461,'Special Names'!A:B,2,FALSE),B2461),PlayerValues!E:E,0)),"N/A")</f>
        <v>14057</v>
      </c>
      <c r="B2461" s="4" t="s">
        <v>765</v>
      </c>
      <c r="C2461" s="4" t="s">
        <v>283</v>
      </c>
      <c r="D2461" s="94">
        <v>856.0</v>
      </c>
    </row>
    <row r="2462">
      <c r="A2462" s="40">
        <f t="array" ref="A2462">IFNA(index(PlayerValues!A:A,match(IFNA(vlookup(B2462,'Special Names'!A:B,2,FALSE),B2462),PlayerValues!E:E,0)),"N/A")</f>
        <v>17541</v>
      </c>
      <c r="B2462" s="4" t="s">
        <v>616</v>
      </c>
      <c r="C2462" s="4" t="s">
        <v>287</v>
      </c>
      <c r="D2462" s="94">
        <v>856.0</v>
      </c>
    </row>
    <row r="2463">
      <c r="A2463" s="40">
        <f t="array" ref="A2463">IFNA(index(PlayerValues!A:A,match(IFNA(vlookup(B2463,'Special Names'!A:B,2,FALSE),B2463),PlayerValues!E:E,0)),"N/A")</f>
        <v>14118</v>
      </c>
      <c r="B2463" s="4" t="s">
        <v>771</v>
      </c>
      <c r="C2463" s="4" t="s">
        <v>287</v>
      </c>
      <c r="D2463" s="94">
        <v>854.0</v>
      </c>
    </row>
    <row r="2464">
      <c r="A2464" s="40">
        <f t="array" ref="A2464">IFNA(index(PlayerValues!A:A,match(IFNA(vlookup(B2464,'Special Names'!A:B,2,FALSE),B2464),PlayerValues!E:E,0)),"N/A")</f>
        <v>16624</v>
      </c>
      <c r="B2464" s="4" t="s">
        <v>796</v>
      </c>
      <c r="C2464" s="4" t="s">
        <v>287</v>
      </c>
      <c r="D2464" s="94">
        <v>848.0</v>
      </c>
    </row>
    <row r="2465">
      <c r="A2465" s="40">
        <f t="array" ref="A2465">IFNA(index(PlayerValues!A:A,match(IFNA(vlookup(B2465,'Special Names'!A:B,2,FALSE),B2465),PlayerValues!E:E,0)),"N/A")</f>
        <v>17486</v>
      </c>
      <c r="B2465" s="4" t="s">
        <v>695</v>
      </c>
      <c r="C2465" s="4" t="s">
        <v>278</v>
      </c>
      <c r="D2465" s="94">
        <v>843.0</v>
      </c>
    </row>
    <row r="2466">
      <c r="A2466" s="40">
        <f t="array" ref="A2466">IFNA(index(PlayerValues!A:A,match(IFNA(vlookup(B2466,'Special Names'!A:B,2,FALSE),B2466),PlayerValues!E:E,0)),"N/A")</f>
        <v>17627</v>
      </c>
      <c r="B2466" s="4" t="s">
        <v>684</v>
      </c>
      <c r="C2466" s="4" t="s">
        <v>298</v>
      </c>
      <c r="D2466" s="94">
        <v>1209.0</v>
      </c>
    </row>
    <row r="2467">
      <c r="A2467" s="40">
        <f t="array" ref="A2467">IFNA(index(PlayerValues!A:A,match(IFNA(vlookup(B2467,'Special Names'!A:B,2,FALSE),B2467),PlayerValues!E:E,0)),"N/A")</f>
        <v>12785</v>
      </c>
      <c r="B2467" s="4" t="s">
        <v>772</v>
      </c>
      <c r="C2467" s="4" t="s">
        <v>287</v>
      </c>
      <c r="D2467" s="94">
        <v>816.0</v>
      </c>
    </row>
    <row r="2468">
      <c r="A2468" s="40">
        <f t="array" ref="A2468">IFNA(index(PlayerValues!A:A,match(IFNA(vlookup(B2468,'Special Names'!A:B,2,FALSE),B2468),PlayerValues!E:E,0)),"N/A")</f>
        <v>16773</v>
      </c>
      <c r="B2468" s="4" t="s">
        <v>783</v>
      </c>
      <c r="C2468" s="4" t="s">
        <v>278</v>
      </c>
      <c r="D2468" s="94">
        <v>813.0</v>
      </c>
    </row>
    <row r="2469">
      <c r="A2469" s="40">
        <f t="array" ref="A2469">IFNA(index(PlayerValues!A:A,match(IFNA(vlookup(B2469,'Special Names'!A:B,2,FALSE),B2469),PlayerValues!E:E,0)),"N/A")</f>
        <v>14223</v>
      </c>
      <c r="B2469" s="4" t="s">
        <v>785</v>
      </c>
      <c r="C2469" s="4" t="s">
        <v>278</v>
      </c>
      <c r="D2469" s="94">
        <v>806.0</v>
      </c>
    </row>
    <row r="2470">
      <c r="A2470" s="40">
        <f t="array" ref="A2470">IFNA(index(PlayerValues!A:A,match(IFNA(vlookup(B2470,'Special Names'!A:B,2,FALSE),B2470),PlayerValues!E:E,0)),"N/A")</f>
        <v>13133</v>
      </c>
      <c r="B2470" s="4" t="s">
        <v>764</v>
      </c>
      <c r="C2470" s="4" t="s">
        <v>278</v>
      </c>
      <c r="D2470" s="94">
        <v>783.0</v>
      </c>
    </row>
    <row r="2471">
      <c r="A2471" s="40">
        <f t="array" ref="A2471">IFNA(index(PlayerValues!A:A,match(IFNA(vlookup(B2471,'Special Names'!A:B,2,FALSE),B2471),PlayerValues!E:E,0)),"N/A")</f>
        <v>16751</v>
      </c>
      <c r="B2471" s="4" t="s">
        <v>762</v>
      </c>
      <c r="C2471" s="4" t="s">
        <v>287</v>
      </c>
      <c r="D2471" s="94">
        <v>732.0</v>
      </c>
    </row>
    <row r="2472">
      <c r="A2472" s="40">
        <f t="array" ref="A2472">IFNA(index(PlayerValues!A:A,match(IFNA(vlookup(B2472,'Special Names'!A:B,2,FALSE),B2472),PlayerValues!E:E,0)),"N/A")</f>
        <v>16625</v>
      </c>
      <c r="B2472" s="4" t="s">
        <v>778</v>
      </c>
      <c r="C2472" s="4" t="s">
        <v>287</v>
      </c>
      <c r="D2472" s="94">
        <v>729.0</v>
      </c>
    </row>
    <row r="2473">
      <c r="A2473" s="40">
        <f t="array" ref="A2473">IFNA(index(PlayerValues!A:A,match(IFNA(vlookup(B2473,'Special Names'!A:B,2,FALSE),B2473),PlayerValues!E:E,0)),"N/A")</f>
        <v>15263</v>
      </c>
      <c r="B2473" s="4" t="s">
        <v>804</v>
      </c>
      <c r="C2473" s="4" t="s">
        <v>278</v>
      </c>
      <c r="D2473" s="94">
        <v>712.0</v>
      </c>
    </row>
    <row r="2474">
      <c r="A2474" s="40">
        <f t="array" ref="A2474">IFNA(index(PlayerValues!A:A,match(IFNA(vlookup(B2474,'Special Names'!A:B,2,FALSE),B2474),PlayerValues!E:E,0)),"N/A")</f>
        <v>17337</v>
      </c>
      <c r="B2474" s="4" t="s">
        <v>793</v>
      </c>
      <c r="C2474" s="4" t="s">
        <v>278</v>
      </c>
      <c r="D2474" s="94">
        <v>703.0</v>
      </c>
    </row>
    <row r="2475">
      <c r="A2475" s="40">
        <f t="array" ref="A2475">IFNA(index(PlayerValues!A:A,match(IFNA(vlookup(B2475,'Special Names'!A:B,2,FALSE),B2475),PlayerValues!E:E,0)),"N/A")</f>
        <v>17545</v>
      </c>
      <c r="B2475" s="4" t="s">
        <v>719</v>
      </c>
      <c r="C2475" s="4" t="s">
        <v>298</v>
      </c>
      <c r="D2475" s="94">
        <v>1052.0</v>
      </c>
    </row>
    <row r="2476">
      <c r="A2476" s="40">
        <f t="array" ref="A2476">IFNA(index(PlayerValues!A:A,match(IFNA(vlookup(B2476,'Special Names'!A:B,2,FALSE),B2476),PlayerValues!E:E,0)),"N/A")</f>
        <v>15723</v>
      </c>
      <c r="B2476" s="4" t="s">
        <v>798</v>
      </c>
      <c r="C2476" s="4" t="s">
        <v>278</v>
      </c>
      <c r="D2476" s="94">
        <v>636.0</v>
      </c>
    </row>
    <row r="2477">
      <c r="A2477" s="40">
        <f t="array" ref="A2477">IFNA(index(PlayerValues!A:A,match(IFNA(vlookup(B2477,'Special Names'!A:B,2,FALSE),B2477),PlayerValues!E:E,0)),"N/A")</f>
        <v>16299</v>
      </c>
      <c r="B2477" s="4" t="s">
        <v>787</v>
      </c>
      <c r="C2477" s="4" t="s">
        <v>287</v>
      </c>
      <c r="D2477" s="94">
        <v>633.0</v>
      </c>
    </row>
    <row r="2478">
      <c r="A2478" s="40">
        <f t="array" ref="A2478">IFNA(index(PlayerValues!A:A,match(IFNA(vlookup(B2478,'Special Names'!A:B,2,FALSE),B2478),PlayerValues!E:E,0)),"N/A")</f>
        <v>16686</v>
      </c>
      <c r="B2478" s="4" t="s">
        <v>805</v>
      </c>
      <c r="C2478" s="4" t="s">
        <v>287</v>
      </c>
      <c r="D2478" s="94">
        <v>622.0</v>
      </c>
    </row>
    <row r="2479">
      <c r="A2479" s="40">
        <f t="array" ref="A2479">IFNA(index(PlayerValues!A:A,match(IFNA(vlookup(B2479,'Special Names'!A:B,2,FALSE),B2479),PlayerValues!E:E,0)),"N/A")</f>
        <v>13143</v>
      </c>
      <c r="B2479" s="4" t="s">
        <v>786</v>
      </c>
      <c r="C2479" s="4" t="s">
        <v>278</v>
      </c>
      <c r="D2479" s="94">
        <v>621.0</v>
      </c>
    </row>
    <row r="2480">
      <c r="A2480" s="40">
        <f t="array" ref="A2480">IFNA(index(PlayerValues!A:A,match(IFNA(vlookup(B2480,'Special Names'!A:B,2,FALSE),B2480),PlayerValues!E:E,0)),"N/A")</f>
        <v>16957</v>
      </c>
      <c r="B2480" s="4" t="s">
        <v>806</v>
      </c>
      <c r="C2480" s="4" t="s">
        <v>278</v>
      </c>
      <c r="D2480" s="94">
        <v>616.0</v>
      </c>
    </row>
    <row r="2481">
      <c r="A2481" s="40">
        <f t="array" ref="A2481">IFNA(index(PlayerValues!A:A,match(IFNA(vlookup(B2481,'Special Names'!A:B,2,FALSE),B2481),PlayerValues!E:E,0)),"N/A")</f>
        <v>16413</v>
      </c>
      <c r="B2481" s="4" t="s">
        <v>781</v>
      </c>
      <c r="C2481" s="4" t="s">
        <v>287</v>
      </c>
      <c r="D2481" s="94">
        <v>599.0</v>
      </c>
    </row>
    <row r="2482">
      <c r="A2482" s="40">
        <f t="array" ref="A2482">IFNA(index(PlayerValues!A:A,match(IFNA(vlookup(B2482,'Special Names'!A:B,2,FALSE),B2482),PlayerValues!E:E,0)),"N/A")</f>
        <v>14864</v>
      </c>
      <c r="B2482" s="4" t="s">
        <v>789</v>
      </c>
      <c r="C2482" s="4" t="s">
        <v>287</v>
      </c>
      <c r="D2482" s="94">
        <v>593.0</v>
      </c>
    </row>
    <row r="2483">
      <c r="A2483" s="40">
        <f t="array" ref="A2483">IFNA(index(PlayerValues!A:A,match(IFNA(vlookup(B2483,'Special Names'!A:B,2,FALSE),B2483),PlayerValues!E:E,0)),"N/A")</f>
        <v>17038</v>
      </c>
      <c r="B2483" s="4" t="s">
        <v>774</v>
      </c>
      <c r="C2483" s="4" t="s">
        <v>283</v>
      </c>
      <c r="D2483" s="94">
        <v>576.0</v>
      </c>
    </row>
    <row r="2484">
      <c r="A2484" s="40">
        <f t="array" ref="A2484">IFNA(index(PlayerValues!A:A,match(IFNA(vlookup(B2484,'Special Names'!A:B,2,FALSE),B2484),PlayerValues!E:E,0)),"N/A")</f>
        <v>17232</v>
      </c>
      <c r="B2484" s="4" t="s">
        <v>784</v>
      </c>
      <c r="C2484" s="4" t="s">
        <v>287</v>
      </c>
      <c r="D2484" s="94">
        <v>574.0</v>
      </c>
    </row>
    <row r="2485">
      <c r="A2485" s="40">
        <f t="array" ref="A2485">IFNA(index(PlayerValues!A:A,match(IFNA(vlookup(B2485,'Special Names'!A:B,2,FALSE),B2485),PlayerValues!E:E,0)),"N/A")</f>
        <v>17542</v>
      </c>
      <c r="B2485" s="4" t="s">
        <v>685</v>
      </c>
      <c r="C2485" s="4" t="s">
        <v>287</v>
      </c>
      <c r="D2485" s="94">
        <v>558.0</v>
      </c>
    </row>
    <row r="2486">
      <c r="A2486" s="40">
        <f t="array" ref="A2486">IFNA(index(PlayerValues!A:A,match(IFNA(vlookup(B2486,'Special Names'!A:B,2,FALSE),B2486),PlayerValues!E:E,0)),"N/A")</f>
        <v>14805</v>
      </c>
      <c r="B2486" s="4" t="s">
        <v>770</v>
      </c>
      <c r="C2486" s="4" t="s">
        <v>278</v>
      </c>
      <c r="D2486" s="94">
        <v>552.0</v>
      </c>
    </row>
    <row r="2487">
      <c r="A2487" s="40">
        <f t="array" ref="A2487">IFNA(index(PlayerValues!A:A,match(IFNA(vlookup(B2487,'Special Names'!A:B,2,FALSE),B2487),PlayerValues!E:E,0)),"N/A")</f>
        <v>16613</v>
      </c>
      <c r="B2487" s="4" t="s">
        <v>782</v>
      </c>
      <c r="C2487" s="4" t="s">
        <v>278</v>
      </c>
      <c r="D2487" s="94">
        <v>536.0</v>
      </c>
    </row>
    <row r="2488">
      <c r="A2488" s="40">
        <f t="array" ref="A2488">IFNA(index(PlayerValues!A:A,match(IFNA(vlookup(B2488,'Special Names'!A:B,2,FALSE),B2488),PlayerValues!E:E,0)),"N/A")</f>
        <v>15796</v>
      </c>
      <c r="B2488" s="4" t="s">
        <v>794</v>
      </c>
      <c r="C2488" s="4" t="s">
        <v>298</v>
      </c>
      <c r="D2488" s="94">
        <v>877.0</v>
      </c>
    </row>
    <row r="2489">
      <c r="A2489" s="40">
        <f t="array" ref="A2489">IFNA(index(PlayerValues!A:A,match(IFNA(vlookup(B2489,'Special Names'!A:B,2,FALSE),B2489),PlayerValues!E:E,0)),"N/A")</f>
        <v>13176</v>
      </c>
      <c r="B2489" s="4" t="s">
        <v>807</v>
      </c>
      <c r="C2489" s="4" t="s">
        <v>287</v>
      </c>
      <c r="D2489" s="94">
        <v>506.0</v>
      </c>
    </row>
    <row r="2490">
      <c r="A2490" s="40">
        <f t="array" ref="A2490">IFNA(index(PlayerValues!A:A,match(IFNA(vlookup(B2490,'Special Names'!A:B,2,FALSE),B2490),PlayerValues!E:E,0)),"N/A")</f>
        <v>15271</v>
      </c>
      <c r="B2490" s="4" t="s">
        <v>741</v>
      </c>
      <c r="C2490" s="4" t="s">
        <v>278</v>
      </c>
      <c r="D2490" s="94">
        <v>501.0</v>
      </c>
    </row>
    <row r="2491">
      <c r="A2491" s="40">
        <f t="array" ref="A2491">IFNA(index(PlayerValues!A:A,match(IFNA(vlookup(B2491,'Special Names'!A:B,2,FALSE),B2491),PlayerValues!E:E,0)),"N/A")</f>
        <v>17348</v>
      </c>
      <c r="B2491" s="4" t="s">
        <v>797</v>
      </c>
      <c r="C2491" s="4" t="s">
        <v>278</v>
      </c>
      <c r="D2491" s="94">
        <v>501.0</v>
      </c>
    </row>
    <row r="2492">
      <c r="A2492" s="40">
        <f t="array" ref="A2492">IFNA(index(PlayerValues!A:A,match(IFNA(vlookup(B2492,'Special Names'!A:B,2,FALSE),B2492),PlayerValues!E:E,0)),"N/A")</f>
        <v>14858</v>
      </c>
      <c r="B2492" s="4" t="s">
        <v>799</v>
      </c>
      <c r="C2492" s="4" t="s">
        <v>287</v>
      </c>
      <c r="D2492" s="94">
        <v>497.0</v>
      </c>
    </row>
    <row r="2493">
      <c r="A2493" s="40">
        <f t="array" ref="A2493">IFNA(index(PlayerValues!A:A,match(IFNA(vlookup(B2493,'Special Names'!A:B,2,FALSE),B2493),PlayerValues!E:E,0)),"N/A")</f>
        <v>13641</v>
      </c>
      <c r="B2493" s="4" t="s">
        <v>808</v>
      </c>
      <c r="C2493" s="4" t="s">
        <v>287</v>
      </c>
      <c r="D2493" s="94">
        <v>496.0</v>
      </c>
    </row>
    <row r="2494">
      <c r="A2494" s="40">
        <f t="array" ref="A2494">IFNA(index(PlayerValues!A:A,match(IFNA(vlookup(B2494,'Special Names'!A:B,2,FALSE),B2494),PlayerValues!E:E,0)),"N/A")</f>
        <v>14209</v>
      </c>
      <c r="B2494" s="4" t="s">
        <v>809</v>
      </c>
      <c r="C2494" s="4" t="s">
        <v>298</v>
      </c>
      <c r="D2494" s="94">
        <v>836.0</v>
      </c>
    </row>
    <row r="2495">
      <c r="A2495" s="40">
        <f t="array" ref="A2495">IFNA(index(PlayerValues!A:A,match(IFNA(vlookup(B2495,'Special Names'!A:B,2,FALSE),B2495),PlayerValues!E:E,0)),"N/A")</f>
        <v>17243</v>
      </c>
      <c r="B2495" s="4" t="s">
        <v>810</v>
      </c>
      <c r="C2495" s="4" t="s">
        <v>298</v>
      </c>
      <c r="D2495" s="94">
        <v>832.0</v>
      </c>
    </row>
    <row r="2496">
      <c r="A2496" s="40">
        <f t="array" ref="A2496">IFNA(index(PlayerValues!A:A,match(IFNA(vlookup(B2496,'Special Names'!A:B,2,FALSE),B2496),PlayerValues!E:E,0)),"N/A")</f>
        <v>14113</v>
      </c>
      <c r="B2496" s="4" t="s">
        <v>788</v>
      </c>
      <c r="C2496" s="4" t="s">
        <v>287</v>
      </c>
      <c r="D2496" s="94">
        <v>484.0</v>
      </c>
    </row>
    <row r="2497">
      <c r="A2497" s="40">
        <f t="array" ref="A2497">IFNA(index(PlayerValues!A:A,match(IFNA(vlookup(B2497,'Special Names'!A:B,2,FALSE),B2497),PlayerValues!E:E,0)),"N/A")</f>
        <v>10413</v>
      </c>
      <c r="B2497" s="4" t="s">
        <v>811</v>
      </c>
      <c r="C2497" s="4" t="s">
        <v>283</v>
      </c>
      <c r="D2497" s="94">
        <v>482.0</v>
      </c>
    </row>
    <row r="2498">
      <c r="A2498" s="40">
        <f t="array" ref="A2498">IFNA(index(PlayerValues!A:A,match(IFNA(vlookup(B2498,'Special Names'!A:B,2,FALSE),B2498),PlayerValues!E:E,0)),"N/A")</f>
        <v>16176</v>
      </c>
      <c r="B2498" s="4" t="s">
        <v>812</v>
      </c>
      <c r="C2498" s="4" t="s">
        <v>278</v>
      </c>
      <c r="D2498" s="94">
        <v>482.0</v>
      </c>
    </row>
    <row r="2499">
      <c r="A2499" s="40">
        <f t="array" ref="A2499">IFNA(index(PlayerValues!A:A,match(IFNA(vlookup(B2499,'Special Names'!A:B,2,FALSE),B2499),PlayerValues!E:E,0)),"N/A")</f>
        <v>14358</v>
      </c>
      <c r="B2499" s="4" t="s">
        <v>813</v>
      </c>
      <c r="C2499" s="4" t="s">
        <v>283</v>
      </c>
      <c r="D2499" s="94">
        <v>479.0</v>
      </c>
    </row>
    <row r="2500">
      <c r="A2500" s="40">
        <f t="array" ref="A2500">IFNA(index(PlayerValues!A:A,match(IFNA(vlookup(B2500,'Special Names'!A:B,2,FALSE),B2500),PlayerValues!E:E,0)),"N/A")</f>
        <v>17709</v>
      </c>
      <c r="B2500" s="4" t="s">
        <v>814</v>
      </c>
      <c r="C2500" s="4" t="s">
        <v>278</v>
      </c>
      <c r="D2500" s="94">
        <v>9.0</v>
      </c>
    </row>
    <row r="2501">
      <c r="A2501" s="40">
        <f t="array" ref="A2501">IFNA(index(PlayerValues!A:A,match(IFNA(vlookup(B2501,'Special Names'!A:B,2,FALSE),B2501),PlayerValues!E:E,0)),"N/A")</f>
        <v>16162</v>
      </c>
      <c r="B2501" s="4" t="s">
        <v>281</v>
      </c>
      <c r="C2501" s="4" t="s">
        <v>278</v>
      </c>
      <c r="D2501" s="94">
        <v>9999.0</v>
      </c>
    </row>
    <row r="2502">
      <c r="A2502" s="40">
        <f t="array" ref="A2502">IFNA(index(PlayerValues!A:A,match(IFNA(vlookup(B2502,'Special Names'!A:B,2,FALSE),B2502),PlayerValues!E:E,0)),"N/A")</f>
        <v>13589</v>
      </c>
      <c r="B2502" s="4" t="s">
        <v>282</v>
      </c>
      <c r="C2502" s="4" t="s">
        <v>283</v>
      </c>
      <c r="D2502" s="94">
        <v>9995.0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9992.0</v>
      </c>
    </row>
    <row r="2504">
      <c r="A2504" s="40">
        <f t="array" ref="A2504">IFNA(index(PlayerValues!A:A,match(IFNA(vlookup(B2504,'Special Names'!A:B,2,FALSE),B2504),PlayerValues!E:E,0)),"N/A")</f>
        <v>16161</v>
      </c>
      <c r="B2504" s="4" t="s">
        <v>277</v>
      </c>
      <c r="C2504" s="4" t="s">
        <v>278</v>
      </c>
      <c r="D2504" s="94">
        <v>9990.0</v>
      </c>
    </row>
    <row r="2505">
      <c r="A2505" s="40">
        <f t="array" ref="A2505">IFNA(index(PlayerValues!A:A,match(IFNA(vlookup(B2505,'Special Names'!A:B,2,FALSE),B2505),PlayerValues!E:E,0)),"N/A")</f>
        <v>16185</v>
      </c>
      <c r="B2505" s="4" t="s">
        <v>290</v>
      </c>
      <c r="C2505" s="4" t="s">
        <v>287</v>
      </c>
      <c r="D2505" s="94">
        <v>9313.0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9252.0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8785.0</v>
      </c>
    </row>
    <row r="2508">
      <c r="A2508" s="40">
        <f t="array" ref="A2508">IFNA(index(PlayerValues!A:A,match(IFNA(vlookup(B2508,'Special Names'!A:B,2,FALSE),B2508),PlayerValues!E:E,0)),"N/A")</f>
        <v>16641</v>
      </c>
      <c r="B2508" s="4" t="s">
        <v>297</v>
      </c>
      <c r="C2508" s="4" t="s">
        <v>298</v>
      </c>
      <c r="D2508" s="94">
        <v>8999.0</v>
      </c>
    </row>
    <row r="2509">
      <c r="A2509" s="40">
        <f t="array" ref="A2509">IFNA(index(PlayerValues!A:A,match(IFNA(vlookup(B2509,'Special Names'!A:B,2,FALSE),B2509),PlayerValues!E:E,0)),"N/A")</f>
        <v>15287</v>
      </c>
      <c r="B2509" s="4" t="s">
        <v>299</v>
      </c>
      <c r="C2509" s="4" t="s">
        <v>287</v>
      </c>
      <c r="D2509" s="94">
        <v>7867.0</v>
      </c>
    </row>
    <row r="2510">
      <c r="A2510" s="40">
        <f t="array" ref="A2510">IFNA(index(PlayerValues!A:A,match(IFNA(vlookup(B2510,'Special Names'!A:B,2,FALSE),B2510),PlayerValues!E:E,0)),"N/A")</f>
        <v>16579</v>
      </c>
      <c r="B2510" s="4" t="s">
        <v>302</v>
      </c>
      <c r="C2510" s="4" t="s">
        <v>283</v>
      </c>
      <c r="D2510" s="94">
        <v>7834.0</v>
      </c>
    </row>
    <row r="2511">
      <c r="A2511" s="40">
        <f t="array" ref="A2511">IFNA(index(PlayerValues!A:A,match(IFNA(vlookup(B2511,'Special Names'!A:B,2,FALSE),B2511),PlayerValues!E:E,0)),"N/A")</f>
        <v>17042</v>
      </c>
      <c r="B2511" s="4" t="s">
        <v>314</v>
      </c>
      <c r="C2511" s="4" t="s">
        <v>278</v>
      </c>
      <c r="D2511" s="94">
        <v>7647.0</v>
      </c>
    </row>
    <row r="2512">
      <c r="A2512" s="40">
        <f t="array" ref="A2512">IFNA(index(PlayerValues!A:A,match(IFNA(vlookup(B2512,'Special Names'!A:B,2,FALSE),B2512),PlayerValues!E:E,0)),"N/A")</f>
        <v>13593</v>
      </c>
      <c r="B2512" s="4" t="s">
        <v>305</v>
      </c>
      <c r="C2512" s="4" t="s">
        <v>283</v>
      </c>
      <c r="D2512" s="94">
        <v>7630.0</v>
      </c>
    </row>
    <row r="2513">
      <c r="A2513" s="40">
        <f t="array" ref="A2513">IFNA(index(PlayerValues!A:A,match(IFNA(vlookup(B2513,'Special Names'!A:B,2,FALSE),B2513),PlayerValues!E:E,0)),"N/A")</f>
        <v>16581</v>
      </c>
      <c r="B2513" s="4" t="s">
        <v>315</v>
      </c>
      <c r="C2513" s="4" t="s">
        <v>283</v>
      </c>
      <c r="D2513" s="94">
        <v>7629.0</v>
      </c>
    </row>
    <row r="2514">
      <c r="A2514" s="40">
        <f t="array" ref="A2514">IFNA(index(PlayerValues!A:A,match(IFNA(vlookup(B2514,'Special Names'!A:B,2,FALSE),B2514),PlayerValues!E:E,0)),"N/A")</f>
        <v>14836</v>
      </c>
      <c r="B2514" s="4" t="s">
        <v>306</v>
      </c>
      <c r="C2514" s="4" t="s">
        <v>287</v>
      </c>
      <c r="D2514" s="94">
        <v>7614.0</v>
      </c>
    </row>
    <row r="2515">
      <c r="A2515" s="40">
        <f t="array" ref="A2515">IFNA(index(PlayerValues!A:A,match(IFNA(vlookup(B2515,'Special Names'!A:B,2,FALSE),B2515),PlayerValues!E:E,0)),"N/A")</f>
        <v>17472</v>
      </c>
      <c r="B2515" s="4" t="s">
        <v>310</v>
      </c>
      <c r="C2515" s="4" t="s">
        <v>278</v>
      </c>
      <c r="D2515" s="94">
        <v>7468.0</v>
      </c>
    </row>
    <row r="2516">
      <c r="A2516" s="40">
        <f t="array" ref="A2516">IFNA(index(PlayerValues!A:A,match(IFNA(vlookup(B2516,'Special Names'!A:B,2,FALSE),B2516),PlayerValues!E:E,0)),"N/A")</f>
        <v>14777</v>
      </c>
      <c r="B2516" s="4" t="s">
        <v>318</v>
      </c>
      <c r="C2516" s="4" t="s">
        <v>283</v>
      </c>
      <c r="D2516" s="94">
        <v>7426.0</v>
      </c>
    </row>
    <row r="2517">
      <c r="A2517" s="40">
        <f t="array" ref="A2517">IFNA(index(PlayerValues!A:A,match(IFNA(vlookup(B2517,'Special Names'!A:B,2,FALSE),B2517),PlayerValues!E:E,0)),"N/A")</f>
        <v>15794</v>
      </c>
      <c r="B2517" s="4" t="s">
        <v>313</v>
      </c>
      <c r="C2517" s="4" t="s">
        <v>298</v>
      </c>
      <c r="D2517" s="94">
        <v>8169.0</v>
      </c>
    </row>
    <row r="2518">
      <c r="A2518" s="40">
        <f t="array" ref="A2518">IFNA(index(PlayerValues!A:A,match(IFNA(vlookup(B2518,'Special Names'!A:B,2,FALSE),B2518),PlayerValues!E:E,0)),"N/A")</f>
        <v>16615</v>
      </c>
      <c r="B2518" s="4" t="s">
        <v>309</v>
      </c>
      <c r="C2518" s="4" t="s">
        <v>287</v>
      </c>
      <c r="D2518" s="94">
        <v>7230.0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7133.0</v>
      </c>
    </row>
    <row r="2520">
      <c r="A2520" s="40" t="str">
        <f t="array" ref="A2520">IFNA(index(PlayerValues!A:A,match(IFNA(vlookup(B2520,'Special Names'!A:B,2,FALSE),B2520),PlayerValues!E:E,0)),"N/A")</f>
        <v>N/A</v>
      </c>
      <c r="B2520" s="4" t="s">
        <v>92</v>
      </c>
      <c r="C2520" s="4" t="s">
        <v>325</v>
      </c>
      <c r="D2520" s="94">
        <v>7108.0</v>
      </c>
    </row>
    <row r="2521">
      <c r="A2521" s="40">
        <f t="array" ref="A2521">IFNA(index(PlayerValues!A:A,match(IFNA(vlookup(B2521,'Special Names'!A:B,2,FALSE),B2521),PlayerValues!E:E,0)),"N/A")</f>
        <v>14779</v>
      </c>
      <c r="B2521" s="4" t="s">
        <v>327</v>
      </c>
      <c r="C2521" s="4" t="s">
        <v>283</v>
      </c>
      <c r="D2521" s="94">
        <v>7041.0</v>
      </c>
    </row>
    <row r="2522">
      <c r="A2522" s="40">
        <f t="array" ref="A2522">IFNA(index(PlayerValues!A:A,match(IFNA(vlookup(B2522,'Special Names'!A:B,2,FALSE),B2522),PlayerValues!E:E,0)),"N/A")</f>
        <v>15751</v>
      </c>
      <c r="B2522" s="4" t="s">
        <v>328</v>
      </c>
      <c r="C2522" s="4" t="s">
        <v>287</v>
      </c>
      <c r="D2522" s="94">
        <v>7005.0</v>
      </c>
    </row>
    <row r="2523">
      <c r="A2523" s="40">
        <f t="array" ref="A2523">IFNA(index(PlayerValues!A:A,match(IFNA(vlookup(B2523,'Special Names'!A:B,2,FALSE),B2523),PlayerValues!E:E,0)),"N/A")</f>
        <v>17044</v>
      </c>
      <c r="B2523" s="4" t="s">
        <v>322</v>
      </c>
      <c r="C2523" s="4" t="s">
        <v>278</v>
      </c>
      <c r="D2523" s="94">
        <v>6992.0</v>
      </c>
    </row>
    <row r="2524">
      <c r="A2524" s="40">
        <f t="array" ref="A2524">IFNA(index(PlayerValues!A:A,match(IFNA(vlookup(B2524,'Special Names'!A:B,2,FALSE),B2524),PlayerValues!E:E,0)),"N/A")</f>
        <v>16167</v>
      </c>
      <c r="B2524" s="4" t="s">
        <v>323</v>
      </c>
      <c r="C2524" s="4" t="s">
        <v>278</v>
      </c>
      <c r="D2524" s="94">
        <v>6823.0</v>
      </c>
    </row>
    <row r="2525">
      <c r="A2525" s="40">
        <f t="array" ref="A2525">IFNA(index(PlayerValues!A:A,match(IFNA(vlookup(B2525,'Special Names'!A:B,2,FALSE),B2525),PlayerValues!E:E,0)),"N/A")</f>
        <v>17071</v>
      </c>
      <c r="B2525" s="4" t="s">
        <v>341</v>
      </c>
      <c r="C2525" s="4" t="s">
        <v>287</v>
      </c>
      <c r="D2525" s="94">
        <v>6391.0</v>
      </c>
    </row>
    <row r="2526">
      <c r="A2526" s="40">
        <f t="array" ref="A2526">IFNA(index(PlayerValues!A:A,match(IFNA(vlookup(B2526,'Special Names'!A:B,2,FALSE),B2526),PlayerValues!E:E,0)),"N/A")</f>
        <v>17104</v>
      </c>
      <c r="B2526" s="4" t="s">
        <v>333</v>
      </c>
      <c r="C2526" s="4" t="s">
        <v>298</v>
      </c>
      <c r="D2526" s="94">
        <v>7062.0</v>
      </c>
    </row>
    <row r="2527">
      <c r="A2527" s="40">
        <f t="array" ref="A2527">IFNA(index(PlayerValues!A:A,match(IFNA(vlookup(B2527,'Special Names'!A:B,2,FALSE),B2527),PlayerValues!E:E,0)),"N/A")</f>
        <v>13116</v>
      </c>
      <c r="B2527" s="4" t="s">
        <v>345</v>
      </c>
      <c r="C2527" s="4" t="s">
        <v>283</v>
      </c>
      <c r="D2527" s="94">
        <v>6349.0</v>
      </c>
    </row>
    <row r="2528">
      <c r="A2528" s="40">
        <f t="array" ref="A2528">IFNA(index(PlayerValues!A:A,match(IFNA(vlookup(B2528,'Special Names'!A:B,2,FALSE),B2528),PlayerValues!E:E,0)),"N/A")</f>
        <v>17081</v>
      </c>
      <c r="B2528" s="4" t="s">
        <v>340</v>
      </c>
      <c r="C2528" s="4" t="s">
        <v>287</v>
      </c>
      <c r="D2528" s="94">
        <v>6345.0</v>
      </c>
    </row>
    <row r="2529">
      <c r="A2529" s="40">
        <f t="array" ref="A2529">IFNA(index(PlayerValues!A:A,match(IFNA(vlookup(B2529,'Special Names'!A:B,2,FALSE),B2529),PlayerValues!E:E,0)),"N/A")</f>
        <v>15237</v>
      </c>
      <c r="B2529" s="4" t="s">
        <v>336</v>
      </c>
      <c r="C2529" s="4" t="s">
        <v>283</v>
      </c>
      <c r="D2529" s="94">
        <v>6305.0</v>
      </c>
    </row>
    <row r="2530">
      <c r="A2530" s="40">
        <f t="array" ref="A2530">IFNA(index(PlayerValues!A:A,match(IFNA(vlookup(B2530,'Special Names'!A:B,2,FALSE),B2530),PlayerValues!E:E,0)),"N/A")</f>
        <v>17032</v>
      </c>
      <c r="B2530" s="4" t="s">
        <v>348</v>
      </c>
      <c r="C2530" s="4" t="s">
        <v>283</v>
      </c>
      <c r="D2530" s="94">
        <v>6293.0</v>
      </c>
    </row>
    <row r="2531">
      <c r="A2531" s="40">
        <f t="array" ref="A2531">IFNA(index(PlayerValues!A:A,match(IFNA(vlookup(B2531,'Special Names'!A:B,2,FALSE),B2531),PlayerValues!E:E,0)),"N/A")</f>
        <v>14802</v>
      </c>
      <c r="B2531" s="4" t="s">
        <v>332</v>
      </c>
      <c r="C2531" s="4" t="s">
        <v>278</v>
      </c>
      <c r="D2531" s="94">
        <v>6153.0</v>
      </c>
    </row>
    <row r="2532">
      <c r="A2532" s="40">
        <f t="array" ref="A2532">IFNA(index(PlayerValues!A:A,match(IFNA(vlookup(B2532,'Special Names'!A:B,2,FALSE),B2532),PlayerValues!E:E,0)),"N/A")</f>
        <v>14783</v>
      </c>
      <c r="B2532" s="4" t="s">
        <v>342</v>
      </c>
      <c r="C2532" s="4" t="s">
        <v>283</v>
      </c>
      <c r="D2532" s="94">
        <v>6148.0</v>
      </c>
    </row>
    <row r="2533">
      <c r="A2533" s="40">
        <f t="array" ref="A2533">IFNA(index(PlayerValues!A:A,match(IFNA(vlookup(B2533,'Special Names'!A:B,2,FALSE),B2533),PlayerValues!E:E,0)),"N/A")</f>
        <v>15762</v>
      </c>
      <c r="B2533" s="4" t="s">
        <v>337</v>
      </c>
      <c r="C2533" s="4" t="s">
        <v>287</v>
      </c>
      <c r="D2533" s="94">
        <v>6122.0</v>
      </c>
    </row>
    <row r="2534">
      <c r="A2534" s="40">
        <f t="array" ref="A2534">IFNA(index(PlayerValues!A:A,match(IFNA(vlookup(B2534,'Special Names'!A:B,2,FALSE),B2534),PlayerValues!E:E,0)),"N/A")</f>
        <v>15715</v>
      </c>
      <c r="B2534" s="4" t="s">
        <v>331</v>
      </c>
      <c r="C2534" s="4" t="s">
        <v>278</v>
      </c>
      <c r="D2534" s="94">
        <v>6101.0</v>
      </c>
    </row>
    <row r="2535">
      <c r="A2535" s="40">
        <f t="array" ref="A2535">IFNA(index(PlayerValues!A:A,match(IFNA(vlookup(B2535,'Special Names'!A:B,2,FALSE),B2535),PlayerValues!E:E,0)),"N/A")</f>
        <v>16582</v>
      </c>
      <c r="B2535" s="4" t="s">
        <v>343</v>
      </c>
      <c r="C2535" s="4" t="s">
        <v>283</v>
      </c>
      <c r="D2535" s="94">
        <v>5982.0</v>
      </c>
    </row>
    <row r="2536">
      <c r="A2536" s="40">
        <f t="array" ref="A2536">IFNA(index(PlayerValues!A:A,match(IFNA(vlookup(B2536,'Special Names'!A:B,2,FALSE),B2536),PlayerValues!E:E,0)),"N/A")</f>
        <v>17497</v>
      </c>
      <c r="B2536" s="4" t="s">
        <v>365</v>
      </c>
      <c r="C2536" s="4" t="s">
        <v>287</v>
      </c>
      <c r="D2536" s="94">
        <v>5908.0</v>
      </c>
    </row>
    <row r="2537">
      <c r="A2537" s="40">
        <f t="array" ref="A2537">IFNA(index(PlayerValues!A:A,match(IFNA(vlookup(B2537,'Special Names'!A:B,2,FALSE),B2537),PlayerValues!E:E,0)),"N/A")</f>
        <v>17102</v>
      </c>
      <c r="B2537" s="4" t="s">
        <v>344</v>
      </c>
      <c r="C2537" s="4" t="s">
        <v>298</v>
      </c>
      <c r="D2537" s="94">
        <v>6534.0</v>
      </c>
    </row>
    <row r="2538">
      <c r="A2538" s="40">
        <f t="array" ref="A2538">IFNA(index(PlayerValues!A:A,match(IFNA(vlookup(B2538,'Special Names'!A:B,2,FALSE),B2538),PlayerValues!E:E,0)),"N/A")</f>
        <v>15698</v>
      </c>
      <c r="B2538" s="4" t="s">
        <v>358</v>
      </c>
      <c r="C2538" s="4" t="s">
        <v>283</v>
      </c>
      <c r="D2538" s="94">
        <v>5818.0</v>
      </c>
    </row>
    <row r="2539">
      <c r="A2539" s="40" t="str">
        <f t="array" ref="A2539">IFNA(index(PlayerValues!A:A,match(IFNA(vlookup(B2539,'Special Names'!A:B,2,FALSE),B2539),PlayerValues!E:E,0)),"N/A")</f>
        <v>N/A</v>
      </c>
      <c r="B2539" s="4" t="s">
        <v>93</v>
      </c>
      <c r="C2539" s="4" t="s">
        <v>325</v>
      </c>
      <c r="D2539" s="94">
        <v>5655.0</v>
      </c>
    </row>
    <row r="2540">
      <c r="A2540" s="40">
        <f t="array" ref="A2540">IFNA(index(PlayerValues!A:A,match(IFNA(vlookup(B2540,'Special Names'!A:B,2,FALSE),B2540),PlayerValues!E:E,0)),"N/A")</f>
        <v>15711</v>
      </c>
      <c r="B2540" s="4" t="s">
        <v>349</v>
      </c>
      <c r="C2540" s="4" t="s">
        <v>278</v>
      </c>
      <c r="D2540" s="94">
        <v>5601.0</v>
      </c>
    </row>
    <row r="2541">
      <c r="A2541" s="40" t="str">
        <f t="array" ref="A2541">IFNA(index(PlayerValues!A:A,match(IFNA(vlookup(B2541,'Special Names'!A:B,2,FALSE),B2541),PlayerValues!E:E,0)),"N/A")</f>
        <v>N/A</v>
      </c>
      <c r="B2541" s="4" t="s">
        <v>79</v>
      </c>
      <c r="C2541" s="4" t="s">
        <v>325</v>
      </c>
      <c r="D2541" s="94">
        <v>5595.0</v>
      </c>
    </row>
    <row r="2542">
      <c r="A2542" s="40">
        <f t="array" ref="A2542">IFNA(index(PlayerValues!A:A,match(IFNA(vlookup(B2542,'Special Names'!A:B,2,FALSE),B2542),PlayerValues!E:E,0)),"N/A")</f>
        <v>16627</v>
      </c>
      <c r="B2542" s="4" t="s">
        <v>351</v>
      </c>
      <c r="C2542" s="4" t="s">
        <v>287</v>
      </c>
      <c r="D2542" s="94">
        <v>5586.0</v>
      </c>
    </row>
    <row r="2543">
      <c r="A2543" s="40">
        <f t="array" ref="A2543">IFNA(index(PlayerValues!A:A,match(IFNA(vlookup(B2543,'Special Names'!A:B,2,FALSE),B2543),PlayerValues!E:E,0)),"N/A")</f>
        <v>15290</v>
      </c>
      <c r="B2543" s="4" t="s">
        <v>355</v>
      </c>
      <c r="C2543" s="4" t="s">
        <v>287</v>
      </c>
      <c r="D2543" s="94">
        <v>5576.0</v>
      </c>
    </row>
    <row r="2544">
      <c r="A2544" s="40">
        <f t="array" ref="A2544">IFNA(index(PlayerValues!A:A,match(IFNA(vlookup(B2544,'Special Names'!A:B,2,FALSE),B2544),PlayerValues!E:E,0)),"N/A")</f>
        <v>15753</v>
      </c>
      <c r="B2544" s="4" t="s">
        <v>359</v>
      </c>
      <c r="C2544" s="4" t="s">
        <v>287</v>
      </c>
      <c r="D2544" s="94">
        <v>5560.0</v>
      </c>
    </row>
    <row r="2545">
      <c r="A2545" s="40">
        <f t="array" ref="A2545">IFNA(index(PlayerValues!A:A,match(IFNA(vlookup(B2545,'Special Names'!A:B,2,FALSE),B2545),PlayerValues!E:E,0)),"N/A")</f>
        <v>17051</v>
      </c>
      <c r="B2545" s="4" t="s">
        <v>386</v>
      </c>
      <c r="C2545" s="4" t="s">
        <v>278</v>
      </c>
      <c r="D2545" s="94">
        <v>5538.0</v>
      </c>
    </row>
    <row r="2546">
      <c r="A2546" s="40">
        <f t="array" ref="A2546">IFNA(index(PlayerValues!A:A,match(IFNA(vlookup(B2546,'Special Names'!A:B,2,FALSE),B2546),PlayerValues!E:E,0)),"N/A")</f>
        <v>17070</v>
      </c>
      <c r="B2546" s="4" t="s">
        <v>370</v>
      </c>
      <c r="C2546" s="4" t="s">
        <v>287</v>
      </c>
      <c r="D2546" s="94">
        <v>5525.0</v>
      </c>
    </row>
    <row r="2547">
      <c r="A2547" s="40">
        <f t="array" ref="A2547">IFNA(index(PlayerValues!A:A,match(IFNA(vlookup(B2547,'Special Names'!A:B,2,FALSE),B2547),PlayerValues!E:E,0)),"N/A")</f>
        <v>15754</v>
      </c>
      <c r="B2547" s="4" t="s">
        <v>354</v>
      </c>
      <c r="C2547" s="4" t="s">
        <v>287</v>
      </c>
      <c r="D2547" s="94">
        <v>5471.0</v>
      </c>
    </row>
    <row r="2548">
      <c r="A2548" s="40">
        <f t="array" ref="A2548">IFNA(index(PlayerValues!A:A,match(IFNA(vlookup(B2548,'Special Names'!A:B,2,FALSE),B2548),PlayerValues!E:E,0)),"N/A")</f>
        <v>14782</v>
      </c>
      <c r="B2548" s="4" t="s">
        <v>385</v>
      </c>
      <c r="C2548" s="4" t="s">
        <v>283</v>
      </c>
      <c r="D2548" s="94">
        <v>5452.0</v>
      </c>
    </row>
    <row r="2549">
      <c r="A2549" s="40">
        <f t="array" ref="A2549">IFNA(index(PlayerValues!A:A,match(IFNA(vlookup(B2549,'Special Names'!A:B,2,FALSE),B2549),PlayerValues!E:E,0)),"N/A")</f>
        <v>15282</v>
      </c>
      <c r="B2549" s="4" t="s">
        <v>364</v>
      </c>
      <c r="C2549" s="4" t="s">
        <v>287</v>
      </c>
      <c r="D2549" s="94">
        <v>5442.0</v>
      </c>
    </row>
    <row r="2550">
      <c r="A2550" s="40">
        <f t="array" ref="A2550">IFNA(index(PlayerValues!A:A,match(IFNA(vlookup(B2550,'Special Names'!A:B,2,FALSE),B2550),PlayerValues!E:E,0)),"N/A")</f>
        <v>17462</v>
      </c>
      <c r="B2550" s="4" t="s">
        <v>375</v>
      </c>
      <c r="C2550" s="4" t="s">
        <v>283</v>
      </c>
      <c r="D2550" s="94">
        <v>5430.0</v>
      </c>
    </row>
    <row r="2551">
      <c r="A2551" s="40">
        <f t="array" ref="A2551">IFNA(index(PlayerValues!A:A,match(IFNA(vlookup(B2551,'Special Names'!A:B,2,FALSE),B2551),PlayerValues!E:E,0)),"N/A")</f>
        <v>17498</v>
      </c>
      <c r="B2551" s="4" t="s">
        <v>396</v>
      </c>
      <c r="C2551" s="4" t="s">
        <v>287</v>
      </c>
      <c r="D2551" s="94">
        <v>5365.0</v>
      </c>
    </row>
    <row r="2552">
      <c r="A2552" s="40">
        <f t="array" ref="A2552">IFNA(index(PlayerValues!A:A,match(IFNA(vlookup(B2552,'Special Names'!A:B,2,FALSE),B2552),PlayerValues!E:E,0)),"N/A")</f>
        <v>17043</v>
      </c>
      <c r="B2552" s="4" t="s">
        <v>397</v>
      </c>
      <c r="C2552" s="4" t="s">
        <v>278</v>
      </c>
      <c r="D2552" s="94">
        <v>5350.0</v>
      </c>
    </row>
    <row r="2553">
      <c r="A2553" s="40">
        <f t="array" ref="A2553">IFNA(index(PlayerValues!A:A,match(IFNA(vlookup(B2553,'Special Names'!A:B,2,FALSE),B2553),PlayerValues!E:E,0)),"N/A")</f>
        <v>15708</v>
      </c>
      <c r="B2553" s="4" t="s">
        <v>382</v>
      </c>
      <c r="C2553" s="4" t="s">
        <v>278</v>
      </c>
      <c r="D2553" s="94">
        <v>5285.0</v>
      </c>
    </row>
    <row r="2554">
      <c r="A2554" s="40">
        <f t="array" ref="A2554">IFNA(index(PlayerValues!A:A,match(IFNA(vlookup(B2554,'Special Names'!A:B,2,FALSE),B2554),PlayerValues!E:E,0)),"N/A")</f>
        <v>16181</v>
      </c>
      <c r="B2554" s="4" t="s">
        <v>350</v>
      </c>
      <c r="C2554" s="4" t="s">
        <v>278</v>
      </c>
      <c r="D2554" s="94">
        <v>5270.0</v>
      </c>
    </row>
    <row r="2555">
      <c r="A2555" s="40">
        <f t="array" ref="A2555">IFNA(index(PlayerValues!A:A,match(IFNA(vlookup(B2555,'Special Names'!A:B,2,FALSE),B2555),PlayerValues!E:E,0)),"N/A")</f>
        <v>17030</v>
      </c>
      <c r="B2555" s="4" t="s">
        <v>406</v>
      </c>
      <c r="C2555" s="4" t="s">
        <v>283</v>
      </c>
      <c r="D2555" s="94">
        <v>5266.0</v>
      </c>
    </row>
    <row r="2556">
      <c r="A2556" s="40">
        <f t="array" ref="A2556">IFNA(index(PlayerValues!A:A,match(IFNA(vlookup(B2556,'Special Names'!A:B,2,FALSE),B2556),PlayerValues!E:E,0)),"N/A")</f>
        <v>13130</v>
      </c>
      <c r="B2556" s="4" t="s">
        <v>374</v>
      </c>
      <c r="C2556" s="4" t="s">
        <v>278</v>
      </c>
      <c r="D2556" s="94">
        <v>5250.0</v>
      </c>
    </row>
    <row r="2557">
      <c r="A2557" s="40">
        <f t="array" ref="A2557">IFNA(index(PlayerValues!A:A,match(IFNA(vlookup(B2557,'Special Names'!A:B,2,FALSE),B2557),PlayerValues!E:E,0)),"N/A")</f>
        <v>16616</v>
      </c>
      <c r="B2557" s="4" t="s">
        <v>389</v>
      </c>
      <c r="C2557" s="4" t="s">
        <v>287</v>
      </c>
      <c r="D2557" s="94">
        <v>5247.0</v>
      </c>
    </row>
    <row r="2558">
      <c r="A2558" s="40" t="str">
        <f t="array" ref="A2558">IFNA(index(PlayerValues!A:A,match(IFNA(vlookup(B2558,'Special Names'!A:B,2,FALSE),B2558),PlayerValues!E:E,0)),"N/A")</f>
        <v>N/A</v>
      </c>
      <c r="B2558" s="4" t="s">
        <v>104</v>
      </c>
      <c r="C2558" s="4" t="s">
        <v>325</v>
      </c>
      <c r="D2558" s="94">
        <v>5185.0</v>
      </c>
    </row>
    <row r="2559">
      <c r="A2559" s="40">
        <f t="array" ref="A2559">IFNA(index(PlayerValues!A:A,match(IFNA(vlookup(B2559,'Special Names'!A:B,2,FALSE),B2559),PlayerValues!E:E,0)),"N/A")</f>
        <v>13604</v>
      </c>
      <c r="B2559" s="4" t="s">
        <v>378</v>
      </c>
      <c r="C2559" s="4" t="s">
        <v>278</v>
      </c>
      <c r="D2559" s="94">
        <v>5079.0</v>
      </c>
    </row>
    <row r="2560">
      <c r="A2560" s="40">
        <f t="array" ref="A2560">IFNA(index(PlayerValues!A:A,match(IFNA(vlookup(B2560,'Special Names'!A:B,2,FALSE),B2560),PlayerValues!E:E,0)),"N/A")</f>
        <v>14104</v>
      </c>
      <c r="B2560" s="4" t="s">
        <v>379</v>
      </c>
      <c r="C2560" s="4" t="s">
        <v>287</v>
      </c>
      <c r="D2560" s="94">
        <v>5032.0</v>
      </c>
    </row>
    <row r="2561">
      <c r="A2561" s="40">
        <f t="array" ref="A2561">IFNA(index(PlayerValues!A:A,match(IFNA(vlookup(B2561,'Special Names'!A:B,2,FALSE),B2561),PlayerValues!E:E,0)),"N/A")</f>
        <v>17499</v>
      </c>
      <c r="B2561" s="4" t="s">
        <v>402</v>
      </c>
      <c r="C2561" s="4" t="s">
        <v>287</v>
      </c>
      <c r="D2561" s="94">
        <v>5007.0</v>
      </c>
    </row>
    <row r="2562">
      <c r="A2562" s="40">
        <f t="array" ref="A2562">IFNA(index(PlayerValues!A:A,match(IFNA(vlookup(B2562,'Special Names'!A:B,2,FALSE),B2562),PlayerValues!E:E,0)),"N/A")</f>
        <v>16190</v>
      </c>
      <c r="B2562" s="4" t="s">
        <v>371</v>
      </c>
      <c r="C2562" s="4" t="s">
        <v>287</v>
      </c>
      <c r="D2562" s="94">
        <v>4985.0</v>
      </c>
    </row>
    <row r="2563">
      <c r="A2563" s="40">
        <f t="array" ref="A2563">IFNA(index(PlayerValues!A:A,match(IFNA(vlookup(B2563,'Special Names'!A:B,2,FALSE),B2563),PlayerValues!E:E,0)),"N/A")</f>
        <v>16194</v>
      </c>
      <c r="B2563" s="4" t="s">
        <v>398</v>
      </c>
      <c r="C2563" s="4" t="s">
        <v>287</v>
      </c>
      <c r="D2563" s="94">
        <v>4982.0</v>
      </c>
    </row>
    <row r="2564">
      <c r="A2564" s="40">
        <f t="array" ref="A2564">IFNA(index(PlayerValues!A:A,match(IFNA(vlookup(B2564,'Special Names'!A:B,2,FALSE),B2564),PlayerValues!E:E,0)),"N/A")</f>
        <v>14835</v>
      </c>
      <c r="B2564" s="4" t="s">
        <v>392</v>
      </c>
      <c r="C2564" s="4" t="s">
        <v>287</v>
      </c>
      <c r="D2564" s="94">
        <v>4969.0</v>
      </c>
    </row>
    <row r="2565">
      <c r="A2565" s="40">
        <f t="array" ref="A2565">IFNA(index(PlayerValues!A:A,match(IFNA(vlookup(B2565,'Special Names'!A:B,2,FALSE),B2565),PlayerValues!E:E,0)),"N/A")</f>
        <v>16222</v>
      </c>
      <c r="B2565" s="4" t="s">
        <v>393</v>
      </c>
      <c r="C2565" s="4" t="s">
        <v>298</v>
      </c>
      <c r="D2565" s="94">
        <v>5547.0</v>
      </c>
    </row>
    <row r="2566">
      <c r="A2566" s="40">
        <f t="array" ref="A2566">IFNA(index(PlayerValues!A:A,match(IFNA(vlookup(B2566,'Special Names'!A:B,2,FALSE),B2566),PlayerValues!E:E,0)),"N/A")</f>
        <v>15710</v>
      </c>
      <c r="B2566" s="4" t="s">
        <v>395</v>
      </c>
      <c r="C2566" s="4" t="s">
        <v>278</v>
      </c>
      <c r="D2566" s="94">
        <v>4958.0</v>
      </c>
    </row>
    <row r="2567">
      <c r="A2567" s="40">
        <f t="array" ref="A2567">IFNA(index(PlayerValues!A:A,match(IFNA(vlookup(B2567,'Special Names'!A:B,2,FALSE),B2567),PlayerValues!E:E,0)),"N/A")</f>
        <v>12620</v>
      </c>
      <c r="B2567" s="4" t="s">
        <v>394</v>
      </c>
      <c r="C2567" s="4" t="s">
        <v>283</v>
      </c>
      <c r="D2567" s="94">
        <v>4922.0</v>
      </c>
    </row>
    <row r="2568">
      <c r="A2568" s="40">
        <f t="array" ref="A2568">IFNA(index(PlayerValues!A:A,match(IFNA(vlookup(B2568,'Special Names'!A:B,2,FALSE),B2568),PlayerValues!E:E,0)),"N/A")</f>
        <v>15284</v>
      </c>
      <c r="B2568" s="4" t="s">
        <v>390</v>
      </c>
      <c r="C2568" s="4" t="s">
        <v>287</v>
      </c>
      <c r="D2568" s="94">
        <v>4896.0</v>
      </c>
    </row>
    <row r="2569">
      <c r="A2569" s="40">
        <f t="array" ref="A2569">IFNA(index(PlayerValues!A:A,match(IFNA(vlookup(B2569,'Special Names'!A:B,2,FALSE),B2569),PlayerValues!E:E,0)),"N/A")</f>
        <v>16614</v>
      </c>
      <c r="B2569" s="4" t="s">
        <v>403</v>
      </c>
      <c r="C2569" s="4" t="s">
        <v>287</v>
      </c>
      <c r="D2569" s="94">
        <v>4848.0</v>
      </c>
    </row>
    <row r="2570">
      <c r="A2570" s="40" t="str">
        <f t="array" ref="A2570">IFNA(index(PlayerValues!A:A,match(IFNA(vlookup(B2570,'Special Names'!A:B,2,FALSE),B2570),PlayerValues!E:E,0)),"N/A")</f>
        <v>N/A</v>
      </c>
      <c r="B2570" s="4" t="s">
        <v>94</v>
      </c>
      <c r="C2570" s="4" t="s">
        <v>325</v>
      </c>
      <c r="D2570" s="94">
        <v>4847.0</v>
      </c>
    </row>
    <row r="2571">
      <c r="A2571" s="40">
        <f t="array" ref="A2571">IFNA(index(PlayerValues!A:A,match(IFNA(vlookup(B2571,'Special Names'!A:B,2,FALSE),B2571),PlayerValues!E:E,0)),"N/A")</f>
        <v>17039</v>
      </c>
      <c r="B2571" s="4" t="s">
        <v>400</v>
      </c>
      <c r="C2571" s="4" t="s">
        <v>283</v>
      </c>
      <c r="D2571" s="94">
        <v>4837.0</v>
      </c>
    </row>
    <row r="2572">
      <c r="A2572" s="40">
        <f t="array" ref="A2572">IFNA(index(PlayerValues!A:A,match(IFNA(vlookup(B2572,'Special Names'!A:B,2,FALSE),B2572),PlayerValues!E:E,0)),"N/A")</f>
        <v>16618</v>
      </c>
      <c r="B2572" s="4" t="s">
        <v>411</v>
      </c>
      <c r="C2572" s="4" t="s">
        <v>287</v>
      </c>
      <c r="D2572" s="94">
        <v>4823.0</v>
      </c>
    </row>
    <row r="2573">
      <c r="A2573" s="40">
        <f t="array" ref="A2573">IFNA(index(PlayerValues!A:A,match(IFNA(vlookup(B2573,'Special Names'!A:B,2,FALSE),B2573),PlayerValues!E:E,0)),"N/A")</f>
        <v>17473</v>
      </c>
      <c r="B2573" s="4" t="s">
        <v>391</v>
      </c>
      <c r="C2573" s="4" t="s">
        <v>278</v>
      </c>
      <c r="D2573" s="94">
        <v>4791.0</v>
      </c>
    </row>
    <row r="2574">
      <c r="A2574" s="40">
        <f t="array" ref="A2574">IFNA(index(PlayerValues!A:A,match(IFNA(vlookup(B2574,'Special Names'!A:B,2,FALSE),B2574),PlayerValues!E:E,0)),"N/A")</f>
        <v>15756</v>
      </c>
      <c r="B2574" s="4" t="s">
        <v>399</v>
      </c>
      <c r="C2574" s="4" t="s">
        <v>287</v>
      </c>
      <c r="D2574" s="94">
        <v>4775.0</v>
      </c>
    </row>
    <row r="2575">
      <c r="A2575" s="40">
        <f t="array" ref="A2575">IFNA(index(PlayerValues!A:A,match(IFNA(vlookup(B2575,'Special Names'!A:B,2,FALSE),B2575),PlayerValues!E:E,0)),"N/A")</f>
        <v>17045</v>
      </c>
      <c r="B2575" s="4" t="s">
        <v>407</v>
      </c>
      <c r="C2575" s="4" t="s">
        <v>278</v>
      </c>
      <c r="D2575" s="94">
        <v>4771.0</v>
      </c>
    </row>
    <row r="2576">
      <c r="A2576" s="40">
        <f t="array" ref="A2576">IFNA(index(PlayerValues!A:A,match(IFNA(vlookup(B2576,'Special Names'!A:B,2,FALSE),B2576),PlayerValues!E:E,0)),"N/A")</f>
        <v>17103</v>
      </c>
      <c r="B2576" s="4" t="s">
        <v>405</v>
      </c>
      <c r="C2576" s="4" t="s">
        <v>298</v>
      </c>
      <c r="D2576" s="94">
        <v>5304.0</v>
      </c>
    </row>
    <row r="2577">
      <c r="A2577" s="40">
        <f t="array" ref="A2577">IFNA(index(PlayerValues!A:A,match(IFNA(vlookup(B2577,'Special Names'!A:B,2,FALSE),B2577),PlayerValues!E:E,0)),"N/A")</f>
        <v>16598</v>
      </c>
      <c r="B2577" s="4" t="s">
        <v>408</v>
      </c>
      <c r="C2577" s="4" t="s">
        <v>278</v>
      </c>
      <c r="D2577" s="94">
        <v>4695.0</v>
      </c>
    </row>
    <row r="2578">
      <c r="A2578" s="40">
        <f t="array" ref="A2578">IFNA(index(PlayerValues!A:A,match(IFNA(vlookup(B2578,'Special Names'!A:B,2,FALSE),B2578),PlayerValues!E:E,0)),"N/A")</f>
        <v>12611</v>
      </c>
      <c r="B2578" s="4" t="s">
        <v>410</v>
      </c>
      <c r="C2578" s="4" t="s">
        <v>283</v>
      </c>
      <c r="D2578" s="94">
        <v>4678.0</v>
      </c>
    </row>
    <row r="2579">
      <c r="A2579" s="40" t="str">
        <f t="array" ref="A2579">IFNA(index(PlayerValues!A:A,match(IFNA(vlookup(B2579,'Special Names'!A:B,2,FALSE),B2579),PlayerValues!E:E,0)),"N/A")</f>
        <v>N/A</v>
      </c>
      <c r="B2579" s="4" t="s">
        <v>80</v>
      </c>
      <c r="C2579" s="4" t="s">
        <v>325</v>
      </c>
      <c r="D2579" s="94">
        <v>4665.0</v>
      </c>
    </row>
    <row r="2580">
      <c r="A2580" s="40">
        <f t="array" ref="A2580">IFNA(index(PlayerValues!A:A,match(IFNA(vlookup(B2580,'Special Names'!A:B,2,FALSE),B2580),PlayerValues!E:E,0)),"N/A")</f>
        <v>13590</v>
      </c>
      <c r="B2580" s="4" t="s">
        <v>409</v>
      </c>
      <c r="C2580" s="4" t="s">
        <v>283</v>
      </c>
      <c r="D2580" s="94">
        <v>4648.0</v>
      </c>
    </row>
    <row r="2581">
      <c r="A2581" s="40">
        <f t="array" ref="A2581">IFNA(index(PlayerValues!A:A,match(IFNA(vlookup(B2581,'Special Names'!A:B,2,FALSE),B2581),PlayerValues!E:E,0)),"N/A")</f>
        <v>16150</v>
      </c>
      <c r="B2581" s="4" t="s">
        <v>414</v>
      </c>
      <c r="C2581" s="4" t="s">
        <v>283</v>
      </c>
      <c r="D2581" s="94">
        <v>4641.0</v>
      </c>
    </row>
    <row r="2582">
      <c r="A2582" s="40">
        <f t="array" ref="A2582">IFNA(index(PlayerValues!A:A,match(IFNA(vlookup(B2582,'Special Names'!A:B,2,FALSE),B2582),PlayerValues!E:E,0)),"N/A")</f>
        <v>16214</v>
      </c>
      <c r="B2582" s="4" t="s">
        <v>413</v>
      </c>
      <c r="C2582" s="4" t="s">
        <v>298</v>
      </c>
      <c r="D2582" s="94">
        <v>5170.0</v>
      </c>
    </row>
    <row r="2583">
      <c r="A2583" s="40">
        <f t="array" ref="A2583">IFNA(index(PlayerValues!A:A,match(IFNA(vlookup(B2583,'Special Names'!A:B,2,FALSE),B2583),PlayerValues!E:E,0)),"N/A")</f>
        <v>15256</v>
      </c>
      <c r="B2583" s="4" t="s">
        <v>401</v>
      </c>
      <c r="C2583" s="4" t="s">
        <v>278</v>
      </c>
      <c r="D2583" s="94">
        <v>4599.0</v>
      </c>
    </row>
    <row r="2584">
      <c r="A2584" s="40" t="str">
        <f t="array" ref="A2584">IFNA(index(PlayerValues!A:A,match(IFNA(vlookup(B2584,'Special Names'!A:B,2,FALSE),B2584),PlayerValues!E:E,0)),"N/A")</f>
        <v>N/A</v>
      </c>
      <c r="B2584" s="4" t="s">
        <v>105</v>
      </c>
      <c r="C2584" s="4" t="s">
        <v>325</v>
      </c>
      <c r="D2584" s="94">
        <v>4572.0</v>
      </c>
    </row>
    <row r="2585">
      <c r="A2585" s="40">
        <f t="array" ref="A2585">IFNA(index(PlayerValues!A:A,match(IFNA(vlookup(B2585,'Special Names'!A:B,2,FALSE),B2585),PlayerValues!E:E,0)),"N/A")</f>
        <v>15329</v>
      </c>
      <c r="B2585" s="4" t="s">
        <v>416</v>
      </c>
      <c r="C2585" s="4" t="s">
        <v>298</v>
      </c>
      <c r="D2585" s="94">
        <v>4976.0</v>
      </c>
    </row>
    <row r="2586">
      <c r="A2586" s="40">
        <f t="array" ref="A2586">IFNA(index(PlayerValues!A:A,match(IFNA(vlookup(B2586,'Special Names'!A:B,2,FALSE),B2586),PlayerValues!E:E,0)),"N/A")</f>
        <v>13592</v>
      </c>
      <c r="B2586" s="4" t="s">
        <v>418</v>
      </c>
      <c r="C2586" s="4" t="s">
        <v>283</v>
      </c>
      <c r="D2586" s="94">
        <v>4394.0</v>
      </c>
    </row>
    <row r="2587">
      <c r="A2587" s="40">
        <f t="array" ref="A2587">IFNA(index(PlayerValues!A:A,match(IFNA(vlookup(B2587,'Special Names'!A:B,2,FALSE),B2587),PlayerValues!E:E,0)),"N/A")</f>
        <v>15253</v>
      </c>
      <c r="B2587" s="4" t="s">
        <v>415</v>
      </c>
      <c r="C2587" s="4" t="s">
        <v>278</v>
      </c>
      <c r="D2587" s="94">
        <v>4373.0</v>
      </c>
    </row>
    <row r="2588">
      <c r="A2588" s="40">
        <f t="array" ref="A2588">IFNA(index(PlayerValues!A:A,match(IFNA(vlookup(B2588,'Special Names'!A:B,2,FALSE),B2588),PlayerValues!E:E,0)),"N/A")</f>
        <v>17501</v>
      </c>
      <c r="B2588" s="4" t="s">
        <v>404</v>
      </c>
      <c r="C2588" s="4" t="s">
        <v>287</v>
      </c>
      <c r="D2588" s="94">
        <v>4348.0</v>
      </c>
    </row>
    <row r="2589">
      <c r="A2589" s="40">
        <f t="array" ref="A2589">IFNA(index(PlayerValues!A:A,match(IFNA(vlookup(B2589,'Special Names'!A:B,2,FALSE),B2589),PlayerValues!E:E,0)),"N/A")</f>
        <v>12626</v>
      </c>
      <c r="B2589" s="4" t="s">
        <v>419</v>
      </c>
      <c r="C2589" s="4" t="s">
        <v>278</v>
      </c>
      <c r="D2589" s="94">
        <v>4205.0</v>
      </c>
    </row>
    <row r="2590">
      <c r="A2590" s="40">
        <f t="array" ref="A2590">IFNA(index(PlayerValues!A:A,match(IFNA(vlookup(B2590,'Special Names'!A:B,2,FALSE),B2590),PlayerValues!E:E,0)),"N/A")</f>
        <v>17052</v>
      </c>
      <c r="B2590" s="4" t="s">
        <v>417</v>
      </c>
      <c r="C2590" s="4" t="s">
        <v>278</v>
      </c>
      <c r="D2590" s="94">
        <v>4198.0</v>
      </c>
    </row>
    <row r="2591">
      <c r="A2591" s="40">
        <f t="array" ref="A2591">IFNA(index(PlayerValues!A:A,match(IFNA(vlookup(B2591,'Special Names'!A:B,2,FALSE),B2591),PlayerValues!E:E,0)),"N/A")</f>
        <v>14073</v>
      </c>
      <c r="B2591" s="4" t="s">
        <v>464</v>
      </c>
      <c r="C2591" s="4" t="s">
        <v>278</v>
      </c>
      <c r="D2591" s="94">
        <v>4090.0</v>
      </c>
    </row>
    <row r="2592">
      <c r="A2592" s="40">
        <f t="array" ref="A2592">IFNA(index(PlayerValues!A:A,match(IFNA(vlookup(B2592,'Special Names'!A:B,2,FALSE),B2592),PlayerValues!E:E,0)),"N/A")</f>
        <v>17543</v>
      </c>
      <c r="B2592" s="4" t="s">
        <v>436</v>
      </c>
      <c r="C2592" s="4" t="s">
        <v>298</v>
      </c>
      <c r="D2592" s="94">
        <v>4522.0</v>
      </c>
    </row>
    <row r="2593">
      <c r="A2593" s="40">
        <f t="array" ref="A2593">IFNA(index(PlayerValues!A:A,match(IFNA(vlookup(B2593,'Special Names'!A:B,2,FALSE),B2593),PlayerValues!E:E,0)),"N/A")</f>
        <v>14056</v>
      </c>
      <c r="B2593" s="4" t="s">
        <v>423</v>
      </c>
      <c r="C2593" s="4" t="s">
        <v>283</v>
      </c>
      <c r="D2593" s="94">
        <v>3987.0</v>
      </c>
    </row>
    <row r="2594">
      <c r="A2594" s="40" t="str">
        <f t="array" ref="A2594">IFNA(index(PlayerValues!A:A,match(IFNA(vlookup(B2594,'Special Names'!A:B,2,FALSE),B2594),PlayerValues!E:E,0)),"N/A")</f>
        <v>N/A</v>
      </c>
      <c r="B2594" s="4" t="s">
        <v>81</v>
      </c>
      <c r="C2594" s="4" t="s">
        <v>325</v>
      </c>
      <c r="D2594" s="94">
        <v>3962.0</v>
      </c>
    </row>
    <row r="2595">
      <c r="A2595" s="40">
        <f t="array" ref="A2595">IFNA(index(PlayerValues!A:A,match(IFNA(vlookup(B2595,'Special Names'!A:B,2,FALSE),B2595),PlayerValues!E:E,0)),"N/A")</f>
        <v>15789</v>
      </c>
      <c r="B2595" s="4" t="s">
        <v>421</v>
      </c>
      <c r="C2595" s="4" t="s">
        <v>287</v>
      </c>
      <c r="D2595" s="94">
        <v>3950.0</v>
      </c>
    </row>
    <row r="2596">
      <c r="A2596" s="40">
        <f t="array" ref="A2596">IFNA(index(PlayerValues!A:A,match(IFNA(vlookup(B2596,'Special Names'!A:B,2,FALSE),B2596),PlayerValues!E:E,0)),"N/A")</f>
        <v>16148</v>
      </c>
      <c r="B2596" s="4" t="s">
        <v>426</v>
      </c>
      <c r="C2596" s="4" t="s">
        <v>283</v>
      </c>
      <c r="D2596" s="94">
        <v>3939.0</v>
      </c>
    </row>
    <row r="2597">
      <c r="A2597" s="40" t="str">
        <f t="array" ref="A2597">IFNA(index(PlayerValues!A:A,match(IFNA(vlookup(B2597,'Special Names'!A:B,2,FALSE),B2597),PlayerValues!E:E,0)),"N/A")</f>
        <v>N/A</v>
      </c>
      <c r="B2597" s="4" t="s">
        <v>107</v>
      </c>
      <c r="C2597" s="4" t="s">
        <v>325</v>
      </c>
      <c r="D2597" s="94">
        <v>3933.0</v>
      </c>
    </row>
    <row r="2598">
      <c r="A2598" s="40">
        <f t="array" ref="A2598">IFNA(index(PlayerValues!A:A,match(IFNA(vlookup(B2598,'Special Names'!A:B,2,FALSE),B2598),PlayerValues!E:E,0)),"N/A")</f>
        <v>15768</v>
      </c>
      <c r="B2598" s="4" t="s">
        <v>432</v>
      </c>
      <c r="C2598" s="4" t="s">
        <v>287</v>
      </c>
      <c r="D2598" s="94">
        <v>3926.0</v>
      </c>
    </row>
    <row r="2599">
      <c r="A2599" s="40">
        <f t="array" ref="A2599">IFNA(index(PlayerValues!A:A,match(IFNA(vlookup(B2599,'Special Names'!A:B,2,FALSE),B2599),PlayerValues!E:E,0)),"N/A")</f>
        <v>16186</v>
      </c>
      <c r="B2599" s="4" t="s">
        <v>425</v>
      </c>
      <c r="C2599" s="4" t="s">
        <v>287</v>
      </c>
      <c r="D2599" s="94">
        <v>3921.0</v>
      </c>
    </row>
    <row r="2600">
      <c r="A2600" s="40">
        <f t="array" ref="A2600">IFNA(index(PlayerValues!A:A,match(IFNA(vlookup(B2600,'Special Names'!A:B,2,FALSE),B2600),PlayerValues!E:E,0)),"N/A")</f>
        <v>14059</v>
      </c>
      <c r="B2600" s="4" t="s">
        <v>435</v>
      </c>
      <c r="C2600" s="4" t="s">
        <v>283</v>
      </c>
      <c r="D2600" s="94">
        <v>3919.0</v>
      </c>
    </row>
    <row r="2601">
      <c r="A2601" s="40">
        <f t="array" ref="A2601">IFNA(index(PlayerValues!A:A,match(IFNA(vlookup(B2601,'Special Names'!A:B,2,FALSE),B2601),PlayerValues!E:E,0)),"N/A")</f>
        <v>9431</v>
      </c>
      <c r="B2601" s="4" t="s">
        <v>428</v>
      </c>
      <c r="C2601" s="4" t="s">
        <v>283</v>
      </c>
      <c r="D2601" s="94">
        <v>3878.0</v>
      </c>
    </row>
    <row r="2602">
      <c r="A2602" s="40" t="str">
        <f t="array" ref="A2602">IFNA(index(PlayerValues!A:A,match(IFNA(vlookup(B2602,'Special Names'!A:B,2,FALSE),B2602),PlayerValues!E:E,0)),"N/A")</f>
        <v>N/A</v>
      </c>
      <c r="B2602" s="4" t="s">
        <v>95</v>
      </c>
      <c r="C2602" s="4" t="s">
        <v>325</v>
      </c>
      <c r="D2602" s="94">
        <v>3830.0</v>
      </c>
    </row>
    <row r="2603">
      <c r="A2603" s="40">
        <f t="array" ref="A2603">IFNA(index(PlayerValues!A:A,match(IFNA(vlookup(B2603,'Special Names'!A:B,2,FALSE),B2603),PlayerValues!E:E,0)),"N/A")</f>
        <v>15694</v>
      </c>
      <c r="B2603" s="4" t="s">
        <v>434</v>
      </c>
      <c r="C2603" s="4" t="s">
        <v>283</v>
      </c>
      <c r="D2603" s="94">
        <v>3791.0</v>
      </c>
    </row>
    <row r="2604">
      <c r="A2604" s="40">
        <f t="array" ref="A2604">IFNA(index(PlayerValues!A:A,match(IFNA(vlookup(B2604,'Special Names'!A:B,2,FALSE),B2604),PlayerValues!E:E,0)),"N/A")</f>
        <v>16206</v>
      </c>
      <c r="B2604" s="4" t="s">
        <v>431</v>
      </c>
      <c r="C2604" s="4" t="s">
        <v>287</v>
      </c>
      <c r="D2604" s="94">
        <v>3731.0</v>
      </c>
    </row>
    <row r="2605">
      <c r="A2605" s="40">
        <f t="array" ref="A2605">IFNA(index(PlayerValues!A:A,match(IFNA(vlookup(B2605,'Special Names'!A:B,2,FALSE),B2605),PlayerValues!E:E,0)),"N/A")</f>
        <v>14797</v>
      </c>
      <c r="B2605" s="4" t="s">
        <v>420</v>
      </c>
      <c r="C2605" s="4" t="s">
        <v>278</v>
      </c>
      <c r="D2605" s="94">
        <v>3729.0</v>
      </c>
    </row>
    <row r="2606">
      <c r="A2606" s="40">
        <f t="array" ref="A2606">IFNA(index(PlayerValues!A:A,match(IFNA(vlookup(B2606,'Special Names'!A:B,2,FALSE),B2606),PlayerValues!E:E,0)),"N/A")</f>
        <v>16192</v>
      </c>
      <c r="B2606" s="4" t="s">
        <v>412</v>
      </c>
      <c r="C2606" s="4" t="s">
        <v>287</v>
      </c>
      <c r="D2606" s="94">
        <v>3677.0</v>
      </c>
    </row>
    <row r="2607">
      <c r="A2607" s="40">
        <f t="array" ref="A2607">IFNA(index(PlayerValues!A:A,match(IFNA(vlookup(B2607,'Special Names'!A:B,2,FALSE),B2607),PlayerValues!E:E,0)),"N/A")</f>
        <v>16187</v>
      </c>
      <c r="B2607" s="4" t="s">
        <v>441</v>
      </c>
      <c r="C2607" s="4" t="s">
        <v>287</v>
      </c>
      <c r="D2607" s="94">
        <v>3591.0</v>
      </c>
    </row>
    <row r="2608">
      <c r="A2608" s="40">
        <f t="array" ref="A2608">IFNA(index(PlayerValues!A:A,match(IFNA(vlookup(B2608,'Special Names'!A:B,2,FALSE),B2608),PlayerValues!E:E,0)),"N/A")</f>
        <v>16188</v>
      </c>
      <c r="B2608" s="4" t="s">
        <v>439</v>
      </c>
      <c r="C2608" s="4" t="s">
        <v>287</v>
      </c>
      <c r="D2608" s="94">
        <v>3543.0</v>
      </c>
    </row>
    <row r="2609">
      <c r="A2609" s="40">
        <f t="array" ref="A2609">IFNA(index(PlayerValues!A:A,match(IFNA(vlookup(B2609,'Special Names'!A:B,2,FALSE),B2609),PlayerValues!E:E,0)),"N/A")</f>
        <v>13635</v>
      </c>
      <c r="B2609" s="4" t="s">
        <v>424</v>
      </c>
      <c r="C2609" s="4" t="s">
        <v>287</v>
      </c>
      <c r="D2609" s="94">
        <v>3530.0</v>
      </c>
    </row>
    <row r="2610">
      <c r="A2610" s="40">
        <f t="array" ref="A2610">IFNA(index(PlayerValues!A:A,match(IFNA(vlookup(B2610,'Special Names'!A:B,2,FALSE),B2610),PlayerValues!E:E,0)),"N/A")</f>
        <v>17075</v>
      </c>
      <c r="B2610" s="4" t="s">
        <v>429</v>
      </c>
      <c r="C2610" s="4" t="s">
        <v>287</v>
      </c>
      <c r="D2610" s="94">
        <v>3529.0</v>
      </c>
    </row>
    <row r="2611">
      <c r="A2611" s="40">
        <f t="array" ref="A2611">IFNA(index(PlayerValues!A:A,match(IFNA(vlookup(B2611,'Special Names'!A:B,2,FALSE),B2611),PlayerValues!E:E,0)),"N/A")</f>
        <v>17502</v>
      </c>
      <c r="B2611" s="4" t="s">
        <v>451</v>
      </c>
      <c r="C2611" s="4" t="s">
        <v>287</v>
      </c>
      <c r="D2611" s="94">
        <v>3524.0</v>
      </c>
    </row>
    <row r="2612">
      <c r="A2612" s="40">
        <f t="array" ref="A2612">IFNA(index(PlayerValues!A:A,match(IFNA(vlookup(B2612,'Special Names'!A:B,2,FALSE),B2612),PlayerValues!E:E,0)),"N/A")</f>
        <v>16597</v>
      </c>
      <c r="B2612" s="4" t="s">
        <v>427</v>
      </c>
      <c r="C2612" s="4" t="s">
        <v>278</v>
      </c>
      <c r="D2612" s="94">
        <v>3521.0</v>
      </c>
    </row>
    <row r="2613">
      <c r="A2613" s="40">
        <f t="array" ref="A2613">IFNA(index(PlayerValues!A:A,match(IFNA(vlookup(B2613,'Special Names'!A:B,2,FALSE),B2613),PlayerValues!E:E,0)),"N/A")</f>
        <v>17066</v>
      </c>
      <c r="B2613" s="4" t="s">
        <v>446</v>
      </c>
      <c r="C2613" s="4" t="s">
        <v>278</v>
      </c>
      <c r="D2613" s="94">
        <v>3512.0</v>
      </c>
    </row>
    <row r="2614">
      <c r="A2614" s="40">
        <f t="array" ref="A2614">IFNA(index(PlayerValues!A:A,match(IFNA(vlookup(B2614,'Special Names'!A:B,2,FALSE),B2614),PlayerValues!E:E,0)),"N/A")</f>
        <v>14109</v>
      </c>
      <c r="B2614" s="4" t="s">
        <v>437</v>
      </c>
      <c r="C2614" s="4" t="s">
        <v>287</v>
      </c>
      <c r="D2614" s="94">
        <v>3503.0</v>
      </c>
    </row>
    <row r="2615">
      <c r="A2615" s="40">
        <f t="array" ref="A2615">IFNA(index(PlayerValues!A:A,match(IFNA(vlookup(B2615,'Special Names'!A:B,2,FALSE),B2615),PlayerValues!E:E,0)),"N/A")</f>
        <v>17099</v>
      </c>
      <c r="B2615" s="4" t="s">
        <v>474</v>
      </c>
      <c r="C2615" s="4" t="s">
        <v>298</v>
      </c>
      <c r="D2615" s="94">
        <v>3939.0</v>
      </c>
    </row>
    <row r="2616">
      <c r="A2616" s="40">
        <f t="array" ref="A2616">IFNA(index(PlayerValues!A:A,match(IFNA(vlookup(B2616,'Special Names'!A:B,2,FALSE),B2616),PlayerValues!E:E,0)),"N/A")</f>
        <v>17463</v>
      </c>
      <c r="B2616" s="4" t="s">
        <v>433</v>
      </c>
      <c r="C2616" s="4" t="s">
        <v>283</v>
      </c>
      <c r="D2616" s="94">
        <v>3483.0</v>
      </c>
    </row>
    <row r="2617">
      <c r="A2617" s="40">
        <f t="array" ref="A2617">IFNA(index(PlayerValues!A:A,match(IFNA(vlookup(B2617,'Special Names'!A:B,2,FALSE),B2617),PlayerValues!E:E,0)),"N/A")</f>
        <v>14071</v>
      </c>
      <c r="B2617" s="4" t="s">
        <v>440</v>
      </c>
      <c r="C2617" s="4" t="s">
        <v>278</v>
      </c>
      <c r="D2617" s="94">
        <v>3465.0</v>
      </c>
    </row>
    <row r="2618">
      <c r="A2618" s="40">
        <f t="array" ref="A2618">IFNA(index(PlayerValues!A:A,match(IFNA(vlookup(B2618,'Special Names'!A:B,2,FALSE),B2618),PlayerValues!E:E,0)),"N/A")</f>
        <v>11675</v>
      </c>
      <c r="B2618" s="4" t="s">
        <v>438</v>
      </c>
      <c r="C2618" s="4" t="s">
        <v>287</v>
      </c>
      <c r="D2618" s="94">
        <v>3451.0</v>
      </c>
    </row>
    <row r="2619">
      <c r="A2619" s="40">
        <f t="array" ref="A2619">IFNA(index(PlayerValues!A:A,match(IFNA(vlookup(B2619,'Special Names'!A:B,2,FALSE),B2619),PlayerValues!E:E,0)),"N/A")</f>
        <v>16593</v>
      </c>
      <c r="B2619" s="4" t="s">
        <v>442</v>
      </c>
      <c r="C2619" s="4" t="s">
        <v>278</v>
      </c>
      <c r="D2619" s="94">
        <v>3441.0</v>
      </c>
    </row>
    <row r="2620">
      <c r="A2620" s="40">
        <f t="array" ref="A2620">IFNA(index(PlayerValues!A:A,match(IFNA(vlookup(B2620,'Special Names'!A:B,2,FALSE),B2620),PlayerValues!E:E,0)),"N/A")</f>
        <v>14102</v>
      </c>
      <c r="B2620" s="4" t="s">
        <v>444</v>
      </c>
      <c r="C2620" s="4" t="s">
        <v>287</v>
      </c>
      <c r="D2620" s="94">
        <v>3436.0</v>
      </c>
    </row>
    <row r="2621">
      <c r="A2621" s="40">
        <f t="array" ref="A2621">IFNA(index(PlayerValues!A:A,match(IFNA(vlookup(B2621,'Special Names'!A:B,2,FALSE),B2621),PlayerValues!E:E,0)),"N/A")</f>
        <v>17544</v>
      </c>
      <c r="B2621" s="4" t="s">
        <v>470</v>
      </c>
      <c r="C2621" s="4" t="s">
        <v>298</v>
      </c>
      <c r="D2621" s="94">
        <v>3864.0</v>
      </c>
    </row>
    <row r="2622">
      <c r="A2622" s="40">
        <f t="array" ref="A2622">IFNA(index(PlayerValues!A:A,match(IFNA(vlookup(B2622,'Special Names'!A:B,2,FALSE),B2622),PlayerValues!E:E,0)),"N/A")</f>
        <v>15757</v>
      </c>
      <c r="B2622" s="4" t="s">
        <v>449</v>
      </c>
      <c r="C2622" s="4" t="s">
        <v>287</v>
      </c>
      <c r="D2622" s="94">
        <v>3399.0</v>
      </c>
    </row>
    <row r="2623">
      <c r="A2623" s="40">
        <f t="array" ref="A2623">IFNA(index(PlayerValues!A:A,match(IFNA(vlookup(B2623,'Special Names'!A:B,2,FALSE),B2623),PlayerValues!E:E,0)),"N/A")</f>
        <v>15798</v>
      </c>
      <c r="B2623" s="4" t="s">
        <v>443</v>
      </c>
      <c r="C2623" s="4" t="s">
        <v>298</v>
      </c>
      <c r="D2623" s="94">
        <v>3845.0</v>
      </c>
    </row>
    <row r="2624">
      <c r="A2624" s="40">
        <f t="array" ref="A2624">IFNA(index(PlayerValues!A:A,match(IFNA(vlookup(B2624,'Special Names'!A:B,2,FALSE),B2624),PlayerValues!E:E,0)),"N/A")</f>
        <v>17068</v>
      </c>
      <c r="B2624" s="4" t="s">
        <v>450</v>
      </c>
      <c r="C2624" s="4" t="s">
        <v>278</v>
      </c>
      <c r="D2624" s="94">
        <v>3392.0</v>
      </c>
    </row>
    <row r="2625">
      <c r="A2625" s="40">
        <f t="array" ref="A2625">IFNA(index(PlayerValues!A:A,match(IFNA(vlookup(B2625,'Special Names'!A:B,2,FALSE),B2625),PlayerValues!E:E,0)),"N/A")</f>
        <v>16622</v>
      </c>
      <c r="B2625" s="4" t="s">
        <v>517</v>
      </c>
      <c r="C2625" s="4" t="s">
        <v>287</v>
      </c>
      <c r="D2625" s="94">
        <v>3385.0</v>
      </c>
    </row>
    <row r="2626">
      <c r="A2626" s="40" t="str">
        <f t="array" ref="A2626">IFNA(index(PlayerValues!A:A,match(IFNA(vlookup(B2626,'Special Names'!A:B,2,FALSE),B2626),PlayerValues!E:E,0)),"N/A")</f>
        <v>N/A</v>
      </c>
      <c r="B2626" s="4" t="s">
        <v>96</v>
      </c>
      <c r="C2626" s="4" t="s">
        <v>325</v>
      </c>
      <c r="D2626" s="94">
        <v>3384.0</v>
      </c>
    </row>
    <row r="2627">
      <c r="A2627" s="40">
        <f t="array" ref="A2627">IFNA(index(PlayerValues!A:A,match(IFNA(vlookup(B2627,'Special Names'!A:B,2,FALSE),B2627),PlayerValues!E:E,0)),"N/A")</f>
        <v>14842</v>
      </c>
      <c r="B2627" s="4" t="s">
        <v>456</v>
      </c>
      <c r="C2627" s="4" t="s">
        <v>287</v>
      </c>
      <c r="D2627" s="94">
        <v>3379.0</v>
      </c>
    </row>
    <row r="2628">
      <c r="A2628" s="40">
        <f t="array" ref="A2628">IFNA(index(PlayerValues!A:A,match(IFNA(vlookup(B2628,'Special Names'!A:B,2,FALSE),B2628),PlayerValues!E:E,0)),"N/A")</f>
        <v>16169</v>
      </c>
      <c r="B2628" s="4" t="s">
        <v>457</v>
      </c>
      <c r="C2628" s="4" t="s">
        <v>278</v>
      </c>
      <c r="D2628" s="94">
        <v>3371.0</v>
      </c>
    </row>
    <row r="2629">
      <c r="A2629" s="40">
        <f t="array" ref="A2629">IFNA(index(PlayerValues!A:A,match(IFNA(vlookup(B2629,'Special Names'!A:B,2,FALSE),B2629),PlayerValues!E:E,0)),"N/A")</f>
        <v>13299</v>
      </c>
      <c r="B2629" s="4" t="s">
        <v>448</v>
      </c>
      <c r="C2629" s="4" t="s">
        <v>298</v>
      </c>
      <c r="D2629" s="94">
        <v>3822.0</v>
      </c>
    </row>
    <row r="2630">
      <c r="A2630" s="40">
        <f t="array" ref="A2630">IFNA(index(PlayerValues!A:A,match(IFNA(vlookup(B2630,'Special Names'!A:B,2,FALSE),B2630),PlayerValues!E:E,0)),"N/A")</f>
        <v>17074</v>
      </c>
      <c r="B2630" s="4" t="s">
        <v>475</v>
      </c>
      <c r="C2630" s="4" t="s">
        <v>287</v>
      </c>
      <c r="D2630" s="94">
        <v>3369.0</v>
      </c>
    </row>
    <row r="2631">
      <c r="A2631" s="40">
        <f t="array" ref="A2631">IFNA(index(PlayerValues!A:A,match(IFNA(vlookup(B2631,'Special Names'!A:B,2,FALSE),B2631),PlayerValues!E:E,0)),"N/A")</f>
        <v>16184</v>
      </c>
      <c r="B2631" s="4" t="s">
        <v>445</v>
      </c>
      <c r="C2631" s="4" t="s">
        <v>287</v>
      </c>
      <c r="D2631" s="94">
        <v>3365.0</v>
      </c>
    </row>
    <row r="2632">
      <c r="A2632" s="40">
        <f t="array" ref="A2632">IFNA(index(PlayerValues!A:A,match(IFNA(vlookup(B2632,'Special Names'!A:B,2,FALSE),B2632),PlayerValues!E:E,0)),"N/A")</f>
        <v>17083</v>
      </c>
      <c r="B2632" s="4" t="s">
        <v>479</v>
      </c>
      <c r="C2632" s="4" t="s">
        <v>287</v>
      </c>
      <c r="D2632" s="94">
        <v>3365.0</v>
      </c>
    </row>
    <row r="2633">
      <c r="A2633" s="40">
        <f t="array" ref="A2633">IFNA(index(PlayerValues!A:A,match(IFNA(vlookup(B2633,'Special Names'!A:B,2,FALSE),B2633),PlayerValues!E:E,0)),"N/A")</f>
        <v>17500</v>
      </c>
      <c r="B2633" s="4" t="s">
        <v>430</v>
      </c>
      <c r="C2633" s="4" t="s">
        <v>287</v>
      </c>
      <c r="D2633" s="94">
        <v>3357.0</v>
      </c>
    </row>
    <row r="2634">
      <c r="A2634" s="40">
        <f t="array" ref="A2634">IFNA(index(PlayerValues!A:A,match(IFNA(vlookup(B2634,'Special Names'!A:B,2,FALSE),B2634),PlayerValues!E:E,0)),"N/A")</f>
        <v>11671</v>
      </c>
      <c r="B2634" s="4" t="s">
        <v>463</v>
      </c>
      <c r="C2634" s="4" t="s">
        <v>287</v>
      </c>
      <c r="D2634" s="94">
        <v>3322.0</v>
      </c>
    </row>
    <row r="2635">
      <c r="A2635" s="40">
        <f t="array" ref="A2635">IFNA(index(PlayerValues!A:A,match(IFNA(vlookup(B2635,'Special Names'!A:B,2,FALSE),B2635),PlayerValues!E:E,0)),"N/A")</f>
        <v>15742</v>
      </c>
      <c r="B2635" s="4" t="s">
        <v>447</v>
      </c>
      <c r="C2635" s="4" t="s">
        <v>278</v>
      </c>
      <c r="D2635" s="94">
        <v>3320.0</v>
      </c>
    </row>
    <row r="2636">
      <c r="A2636" s="40">
        <f t="array" ref="A2636">IFNA(index(PlayerValues!A:A,match(IFNA(vlookup(B2636,'Special Names'!A:B,2,FALSE),B2636),PlayerValues!E:E,0)),"N/A")</f>
        <v>16620</v>
      </c>
      <c r="B2636" s="4" t="s">
        <v>467</v>
      </c>
      <c r="C2636" s="4" t="s">
        <v>287</v>
      </c>
      <c r="D2636" s="94">
        <v>3312.0</v>
      </c>
    </row>
    <row r="2637">
      <c r="A2637" s="40" t="str">
        <f t="array" ref="A2637">IFNA(index(PlayerValues!A:A,match(IFNA(vlookup(B2637,'Special Names'!A:B,2,FALSE),B2637),PlayerValues!E:E,0)),"N/A")</f>
        <v>N/A</v>
      </c>
      <c r="B2637" s="4" t="s">
        <v>82</v>
      </c>
      <c r="C2637" s="4" t="s">
        <v>325</v>
      </c>
      <c r="D2637" s="94">
        <v>3310.0</v>
      </c>
    </row>
    <row r="2638">
      <c r="A2638" s="40">
        <f t="array" ref="A2638">IFNA(index(PlayerValues!A:A,match(IFNA(vlookup(B2638,'Special Names'!A:B,2,FALSE),B2638),PlayerValues!E:E,0)),"N/A")</f>
        <v>16213</v>
      </c>
      <c r="B2638" s="4" t="s">
        <v>458</v>
      </c>
      <c r="C2638" s="4" t="s">
        <v>298</v>
      </c>
      <c r="D2638" s="94">
        <v>3636.0</v>
      </c>
    </row>
    <row r="2639">
      <c r="A2639" s="40">
        <f t="array" ref="A2639">IFNA(index(PlayerValues!A:A,match(IFNA(vlookup(B2639,'Special Names'!A:B,2,FALSE),B2639),PlayerValues!E:E,0)),"N/A")</f>
        <v>15799</v>
      </c>
      <c r="B2639" s="4" t="s">
        <v>468</v>
      </c>
      <c r="C2639" s="4" t="s">
        <v>298</v>
      </c>
      <c r="D2639" s="94">
        <v>3627.0</v>
      </c>
    </row>
    <row r="2640">
      <c r="A2640" s="40">
        <f t="array" ref="A2640">IFNA(index(PlayerValues!A:A,match(IFNA(vlookup(B2640,'Special Names'!A:B,2,FALSE),B2640),PlayerValues!E:E,0)),"N/A")</f>
        <v>17477</v>
      </c>
      <c r="B2640" s="4" t="s">
        <v>452</v>
      </c>
      <c r="C2640" s="4" t="s">
        <v>278</v>
      </c>
      <c r="D2640" s="94">
        <v>3186.0</v>
      </c>
    </row>
    <row r="2641">
      <c r="A2641" s="40" t="str">
        <f t="array" ref="A2641">IFNA(index(PlayerValues!A:A,match(IFNA(vlookup(B2641,'Special Names'!A:B,2,FALSE),B2641),PlayerValues!E:E,0)),"N/A")</f>
        <v>N/A</v>
      </c>
      <c r="B2641" s="4" t="s">
        <v>108</v>
      </c>
      <c r="C2641" s="4" t="s">
        <v>325</v>
      </c>
      <c r="D2641" s="94">
        <v>3181.0</v>
      </c>
    </row>
    <row r="2642">
      <c r="A2642" s="40">
        <f t="array" ref="A2642">IFNA(index(PlayerValues!A:A,match(IFNA(vlookup(B2642,'Special Names'!A:B,2,FALSE),B2642),PlayerValues!E:E,0)),"N/A")</f>
        <v>15261</v>
      </c>
      <c r="B2642" s="4" t="s">
        <v>466</v>
      </c>
      <c r="C2642" s="4" t="s">
        <v>278</v>
      </c>
      <c r="D2642" s="94">
        <v>3176.0</v>
      </c>
    </row>
    <row r="2643">
      <c r="A2643" s="40">
        <f t="array" ref="A2643">IFNA(index(PlayerValues!A:A,match(IFNA(vlookup(B2643,'Special Names'!A:B,2,FALSE),B2643),PlayerValues!E:E,0)),"N/A")</f>
        <v>16809</v>
      </c>
      <c r="B2643" s="4" t="s">
        <v>455</v>
      </c>
      <c r="C2643" s="4" t="s">
        <v>287</v>
      </c>
      <c r="D2643" s="94">
        <v>3158.0</v>
      </c>
    </row>
    <row r="2644">
      <c r="A2644" s="40" t="str">
        <f t="array" ref="A2644">IFNA(index(PlayerValues!A:A,match(IFNA(vlookup(B2644,'Special Names'!A:B,2,FALSE),B2644),PlayerValues!E:E,0)),"N/A")</f>
        <v>N/A</v>
      </c>
      <c r="B2644" s="4" t="s">
        <v>97</v>
      </c>
      <c r="C2644" s="4" t="s">
        <v>325</v>
      </c>
      <c r="D2644" s="94">
        <v>3132.0</v>
      </c>
    </row>
    <row r="2645">
      <c r="A2645" s="40">
        <f t="array" ref="A2645">IFNA(index(PlayerValues!A:A,match(IFNA(vlookup(B2645,'Special Names'!A:B,2,FALSE),B2645),PlayerValues!E:E,0)),"N/A")</f>
        <v>16269</v>
      </c>
      <c r="B2645" s="4" t="s">
        <v>481</v>
      </c>
      <c r="C2645" s="4" t="s">
        <v>298</v>
      </c>
      <c r="D2645" s="94">
        <v>3536.0</v>
      </c>
    </row>
    <row r="2646">
      <c r="A2646" s="40">
        <f t="array" ref="A2646">IFNA(index(PlayerValues!A:A,match(IFNA(vlookup(B2646,'Special Names'!A:B,2,FALSE),B2646),PlayerValues!E:E,0)),"N/A")</f>
        <v>14823</v>
      </c>
      <c r="B2646" s="4" t="s">
        <v>459</v>
      </c>
      <c r="C2646" s="4" t="s">
        <v>278</v>
      </c>
      <c r="D2646" s="94">
        <v>3090.0</v>
      </c>
    </row>
    <row r="2647">
      <c r="A2647" s="40">
        <f t="array" ref="A2647">IFNA(index(PlayerValues!A:A,match(IFNA(vlookup(B2647,'Special Names'!A:B,2,FALSE),B2647),PlayerValues!E:E,0)),"N/A")</f>
        <v>17514</v>
      </c>
      <c r="B2647" s="4" t="s">
        <v>422</v>
      </c>
      <c r="C2647" s="4" t="s">
        <v>287</v>
      </c>
      <c r="D2647" s="94">
        <v>3075.0</v>
      </c>
    </row>
    <row r="2648">
      <c r="A2648" s="40">
        <f t="array" ref="A2648">IFNA(index(PlayerValues!A:A,match(IFNA(vlookup(B2648,'Special Names'!A:B,2,FALSE),B2648),PlayerValues!E:E,0)),"N/A")</f>
        <v>13630</v>
      </c>
      <c r="B2648" s="4" t="s">
        <v>465</v>
      </c>
      <c r="C2648" s="4" t="s">
        <v>287</v>
      </c>
      <c r="D2648" s="94">
        <v>3058.0</v>
      </c>
    </row>
    <row r="2649">
      <c r="A2649" s="40">
        <f t="array" ref="A2649">IFNA(index(PlayerValues!A:A,match(IFNA(vlookup(B2649,'Special Names'!A:B,2,FALSE),B2649),PlayerValues!E:E,0)),"N/A")</f>
        <v>15259</v>
      </c>
      <c r="B2649" s="4" t="s">
        <v>453</v>
      </c>
      <c r="C2649" s="4" t="s">
        <v>278</v>
      </c>
      <c r="D2649" s="94">
        <v>3050.0</v>
      </c>
    </row>
    <row r="2650">
      <c r="A2650" s="40">
        <f t="array" ref="A2650">IFNA(index(PlayerValues!A:A,match(IFNA(vlookup(B2650,'Special Names'!A:B,2,FALSE),B2650),PlayerValues!E:E,0)),"N/A")</f>
        <v>15779</v>
      </c>
      <c r="B2650" s="4" t="s">
        <v>461</v>
      </c>
      <c r="C2650" s="4" t="s">
        <v>287</v>
      </c>
      <c r="D2650" s="94">
        <v>3033.0</v>
      </c>
    </row>
    <row r="2651">
      <c r="A2651" s="40">
        <f t="array" ref="A2651">IFNA(index(PlayerValues!A:A,match(IFNA(vlookup(B2651,'Special Names'!A:B,2,FALSE),B2651),PlayerValues!E:E,0)),"N/A")</f>
        <v>17512</v>
      </c>
      <c r="B2651" s="4" t="s">
        <v>483</v>
      </c>
      <c r="C2651" s="4" t="s">
        <v>287</v>
      </c>
      <c r="D2651" s="94">
        <v>3028.0</v>
      </c>
    </row>
    <row r="2652">
      <c r="A2652" s="40">
        <f t="array" ref="A2652">IFNA(index(PlayerValues!A:A,match(IFNA(vlookup(B2652,'Special Names'!A:B,2,FALSE),B2652),PlayerValues!E:E,0)),"N/A")</f>
        <v>16628</v>
      </c>
      <c r="B2652" s="4" t="s">
        <v>490</v>
      </c>
      <c r="C2652" s="4" t="s">
        <v>287</v>
      </c>
      <c r="D2652" s="94">
        <v>3026.0</v>
      </c>
    </row>
    <row r="2653">
      <c r="A2653" s="40" t="str">
        <f t="array" ref="A2653">IFNA(index(PlayerValues!A:A,match(IFNA(vlookup(B2653,'Special Names'!A:B,2,FALSE),B2653),PlayerValues!E:E,0)),"N/A")</f>
        <v>N/A</v>
      </c>
      <c r="B2653" s="4" t="s">
        <v>84</v>
      </c>
      <c r="C2653" s="4" t="s">
        <v>325</v>
      </c>
      <c r="D2653" s="94">
        <v>3020.0</v>
      </c>
    </row>
    <row r="2654">
      <c r="A2654" s="40">
        <f t="array" ref="A2654">IFNA(index(PlayerValues!A:A,match(IFNA(vlookup(B2654,'Special Names'!A:B,2,FALSE),B2654),PlayerValues!E:E,0)),"N/A")</f>
        <v>17506</v>
      </c>
      <c r="B2654" s="4" t="s">
        <v>471</v>
      </c>
      <c r="C2654" s="4" t="s">
        <v>287</v>
      </c>
      <c r="D2654" s="94">
        <v>3019.0</v>
      </c>
    </row>
    <row r="2655">
      <c r="A2655" s="40">
        <f t="array" ref="A2655">IFNA(index(PlayerValues!A:A,match(IFNA(vlookup(B2655,'Special Names'!A:B,2,FALSE),B2655),PlayerValues!E:E,0)),"N/A")</f>
        <v>17256</v>
      </c>
      <c r="B2655" s="4" t="s">
        <v>462</v>
      </c>
      <c r="C2655" s="4" t="s">
        <v>278</v>
      </c>
      <c r="D2655" s="94">
        <v>3015.0</v>
      </c>
    </row>
    <row r="2656">
      <c r="A2656" s="40">
        <f t="array" ref="A2656">IFNA(index(PlayerValues!A:A,match(IFNA(vlookup(B2656,'Special Names'!A:B,2,FALSE),B2656),PlayerValues!E:E,0)),"N/A")</f>
        <v>14800</v>
      </c>
      <c r="B2656" s="4" t="s">
        <v>472</v>
      </c>
      <c r="C2656" s="4" t="s">
        <v>278</v>
      </c>
      <c r="D2656" s="94">
        <v>2996.0</v>
      </c>
    </row>
    <row r="2657">
      <c r="A2657" s="40">
        <f t="array" ref="A2657">IFNA(index(PlayerValues!A:A,match(IFNA(vlookup(B2657,'Special Names'!A:B,2,FALSE),B2657),PlayerValues!E:E,0)),"N/A")</f>
        <v>15255</v>
      </c>
      <c r="B2657" s="4" t="s">
        <v>477</v>
      </c>
      <c r="C2657" s="4" t="s">
        <v>278</v>
      </c>
      <c r="D2657" s="94">
        <v>2991.0</v>
      </c>
    </row>
    <row r="2658">
      <c r="A2658" s="40">
        <f t="array" ref="A2658">IFNA(index(PlayerValues!A:A,match(IFNA(vlookup(B2658,'Special Names'!A:B,2,FALSE),B2658),PlayerValues!E:E,0)),"N/A")</f>
        <v>14127</v>
      </c>
      <c r="B2658" s="4" t="s">
        <v>486</v>
      </c>
      <c r="C2658" s="4" t="s">
        <v>287</v>
      </c>
      <c r="D2658" s="94">
        <v>2965.0</v>
      </c>
    </row>
    <row r="2659">
      <c r="A2659" s="40">
        <f t="array" ref="A2659">IFNA(index(PlayerValues!A:A,match(IFNA(vlookup(B2659,'Special Names'!A:B,2,FALSE),B2659),PlayerValues!E:E,0)),"N/A")</f>
        <v>13163</v>
      </c>
      <c r="B2659" s="4" t="s">
        <v>473</v>
      </c>
      <c r="C2659" s="4" t="s">
        <v>287</v>
      </c>
      <c r="D2659" s="94">
        <v>2958.0</v>
      </c>
    </row>
    <row r="2660">
      <c r="A2660" s="40" t="str">
        <f t="array" ref="A2660">IFNA(index(PlayerValues!A:A,match(IFNA(vlookup(B2660,'Special Names'!A:B,2,FALSE),B2660),PlayerValues!E:E,0)),"N/A")</f>
        <v>N/A</v>
      </c>
      <c r="B2660" s="4" t="s">
        <v>109</v>
      </c>
      <c r="C2660" s="4" t="s">
        <v>325</v>
      </c>
      <c r="D2660" s="94">
        <v>2938.0</v>
      </c>
    </row>
    <row r="2661">
      <c r="A2661" s="40">
        <f t="array" ref="A2661">IFNA(index(PlayerValues!A:A,match(IFNA(vlookup(B2661,'Special Names'!A:B,2,FALSE),B2661),PlayerValues!E:E,0)),"N/A")</f>
        <v>17503</v>
      </c>
      <c r="B2661" s="4" t="s">
        <v>480</v>
      </c>
      <c r="C2661" s="4" t="s">
        <v>287</v>
      </c>
      <c r="D2661" s="94">
        <v>2933.0</v>
      </c>
    </row>
    <row r="2662">
      <c r="A2662" s="40">
        <f t="array" ref="A2662">IFNA(index(PlayerValues!A:A,match(IFNA(vlookup(B2662,'Special Names'!A:B,2,FALSE),B2662),PlayerValues!E:E,0)),"N/A")</f>
        <v>17476</v>
      </c>
      <c r="B2662" s="4" t="s">
        <v>494</v>
      </c>
      <c r="C2662" s="4" t="s">
        <v>278</v>
      </c>
      <c r="D2662" s="94">
        <v>2879.0</v>
      </c>
    </row>
    <row r="2663">
      <c r="A2663" s="40">
        <f t="array" ref="A2663">IFNA(index(PlayerValues!A:A,match(IFNA(vlookup(B2663,'Special Names'!A:B,2,FALSE),B2663),PlayerValues!E:E,0)),"N/A")</f>
        <v>15761</v>
      </c>
      <c r="B2663" s="4" t="s">
        <v>491</v>
      </c>
      <c r="C2663" s="4" t="s">
        <v>287</v>
      </c>
      <c r="D2663" s="94">
        <v>2862.0</v>
      </c>
    </row>
    <row r="2664">
      <c r="A2664" s="40">
        <f t="array" ref="A2664">IFNA(index(PlayerValues!A:A,match(IFNA(vlookup(B2664,'Special Names'!A:B,2,FALSE),B2664),PlayerValues!E:E,0)),"N/A")</f>
        <v>14085</v>
      </c>
      <c r="B2664" s="4" t="s">
        <v>489</v>
      </c>
      <c r="C2664" s="4" t="s">
        <v>278</v>
      </c>
      <c r="D2664" s="94">
        <v>2841.0</v>
      </c>
    </row>
    <row r="2665">
      <c r="A2665" s="40">
        <f t="array" ref="A2665">IFNA(index(PlayerValues!A:A,match(IFNA(vlookup(B2665,'Special Names'!A:B,2,FALSE),B2665),PlayerValues!E:E,0)),"N/A")</f>
        <v>16080</v>
      </c>
      <c r="B2665" s="4" t="s">
        <v>499</v>
      </c>
      <c r="C2665" s="4" t="s">
        <v>287</v>
      </c>
      <c r="D2665" s="94">
        <v>2819.0</v>
      </c>
    </row>
    <row r="2666">
      <c r="A2666" s="40">
        <f t="array" ref="A2666">IFNA(index(PlayerValues!A:A,match(IFNA(vlookup(B2666,'Special Names'!A:B,2,FALSE),B2666),PlayerValues!E:E,0)),"N/A")</f>
        <v>15889</v>
      </c>
      <c r="B2666" s="4" t="s">
        <v>503</v>
      </c>
      <c r="C2666" s="4" t="s">
        <v>298</v>
      </c>
      <c r="D2666" s="94">
        <v>3220.0</v>
      </c>
    </row>
    <row r="2667">
      <c r="A2667" s="40">
        <f t="array" ref="A2667">IFNA(index(PlayerValues!A:A,match(IFNA(vlookup(B2667,'Special Names'!A:B,2,FALSE),B2667),PlayerValues!E:E,0)),"N/A")</f>
        <v>16583</v>
      </c>
      <c r="B2667" s="4" t="s">
        <v>493</v>
      </c>
      <c r="C2667" s="4" t="s">
        <v>283</v>
      </c>
      <c r="D2667" s="94">
        <v>2798.0</v>
      </c>
    </row>
    <row r="2668">
      <c r="A2668" s="40" t="str">
        <f t="array" ref="A2668">IFNA(index(PlayerValues!A:A,match(IFNA(vlookup(B2668,'Special Names'!A:B,2,FALSE),B2668),PlayerValues!E:E,0)),"N/A")</f>
        <v>N/A</v>
      </c>
      <c r="B2668" s="4" t="s">
        <v>85</v>
      </c>
      <c r="C2668" s="4" t="s">
        <v>325</v>
      </c>
      <c r="D2668" s="94">
        <v>2797.0</v>
      </c>
    </row>
    <row r="2669">
      <c r="A2669" s="40" t="str">
        <f t="array" ref="A2669">IFNA(index(PlayerValues!A:A,match(IFNA(vlookup(B2669,'Special Names'!A:B,2,FALSE),B2669),PlayerValues!E:E,0)),"N/A")</f>
        <v>N/A</v>
      </c>
      <c r="B2669" s="4" t="s">
        <v>110</v>
      </c>
      <c r="C2669" s="4" t="s">
        <v>325</v>
      </c>
      <c r="D2669" s="94">
        <v>2779.0</v>
      </c>
    </row>
    <row r="2670">
      <c r="A2670" s="40">
        <f t="array" ref="A2670">IFNA(index(PlayerValues!A:A,match(IFNA(vlookup(B2670,'Special Names'!A:B,2,FALSE),B2670),PlayerValues!E:E,0)),"N/A")</f>
        <v>16723</v>
      </c>
      <c r="B2670" s="4" t="s">
        <v>502</v>
      </c>
      <c r="C2670" s="4" t="s">
        <v>298</v>
      </c>
      <c r="D2670" s="94">
        <v>3188.0</v>
      </c>
    </row>
    <row r="2671">
      <c r="A2671" s="40">
        <f t="array" ref="A2671">IFNA(index(PlayerValues!A:A,match(IFNA(vlookup(B2671,'Special Names'!A:B,2,FALSE),B2671),PlayerValues!E:E,0)),"N/A")</f>
        <v>17047</v>
      </c>
      <c r="B2671" s="4" t="s">
        <v>510</v>
      </c>
      <c r="C2671" s="4" t="s">
        <v>278</v>
      </c>
      <c r="D2671" s="94">
        <v>2767.0</v>
      </c>
    </row>
    <row r="2672">
      <c r="A2672" s="40">
        <f t="array" ref="A2672">IFNA(index(PlayerValues!A:A,match(IFNA(vlookup(B2672,'Special Names'!A:B,2,FALSE),B2672),PlayerValues!E:E,0)),"N/A")</f>
        <v>17107</v>
      </c>
      <c r="B2672" s="4" t="s">
        <v>478</v>
      </c>
      <c r="C2672" s="4" t="s">
        <v>298</v>
      </c>
      <c r="D2672" s="94">
        <v>3164.0</v>
      </c>
    </row>
    <row r="2673">
      <c r="A2673" s="40">
        <f t="array" ref="A2673">IFNA(index(PlayerValues!A:A,match(IFNA(vlookup(B2673,'Special Names'!A:B,2,FALSE),B2673),PlayerValues!E:E,0)),"N/A")</f>
        <v>13671</v>
      </c>
      <c r="B2673" s="4" t="s">
        <v>506</v>
      </c>
      <c r="C2673" s="4" t="s">
        <v>298</v>
      </c>
      <c r="D2673" s="94">
        <v>3164.0</v>
      </c>
    </row>
    <row r="2674">
      <c r="A2674" s="40">
        <f t="array" ref="A2674">IFNA(index(PlayerValues!A:A,match(IFNA(vlookup(B2674,'Special Names'!A:B,2,FALSE),B2674),PlayerValues!E:E,0)),"N/A")</f>
        <v>15721</v>
      </c>
      <c r="B2674" s="4" t="s">
        <v>504</v>
      </c>
      <c r="C2674" s="4" t="s">
        <v>278</v>
      </c>
      <c r="D2674" s="94">
        <v>2745.0</v>
      </c>
    </row>
    <row r="2675">
      <c r="A2675" s="40">
        <f t="array" ref="A2675">IFNA(index(PlayerValues!A:A,match(IFNA(vlookup(B2675,'Special Names'!A:B,2,FALSE),B2675),PlayerValues!E:E,0)),"N/A")</f>
        <v>17053</v>
      </c>
      <c r="B2675" s="4" t="s">
        <v>484</v>
      </c>
      <c r="C2675" s="4" t="s">
        <v>278</v>
      </c>
      <c r="D2675" s="94">
        <v>2735.0</v>
      </c>
    </row>
    <row r="2676">
      <c r="A2676" s="40">
        <f t="array" ref="A2676">IFNA(index(PlayerValues!A:A,match(IFNA(vlookup(B2676,'Special Names'!A:B,2,FALSE),B2676),PlayerValues!E:E,0)),"N/A")</f>
        <v>17157</v>
      </c>
      <c r="B2676" s="4" t="s">
        <v>524</v>
      </c>
      <c r="C2676" s="4" t="s">
        <v>287</v>
      </c>
      <c r="D2676" s="94">
        <v>2728.0</v>
      </c>
    </row>
    <row r="2677">
      <c r="A2677" s="40">
        <f t="array" ref="A2677">IFNA(index(PlayerValues!A:A,match(IFNA(vlookup(B2677,'Special Names'!A:B,2,FALSE),B2677),PlayerValues!E:E,0)),"N/A")</f>
        <v>15972</v>
      </c>
      <c r="B2677" s="4" t="s">
        <v>469</v>
      </c>
      <c r="C2677" s="4" t="s">
        <v>278</v>
      </c>
      <c r="D2677" s="94">
        <v>2714.0</v>
      </c>
    </row>
    <row r="2678">
      <c r="A2678" s="40">
        <f t="array" ref="A2678">IFNA(index(PlayerValues!A:A,match(IFNA(vlookup(B2678,'Special Names'!A:B,2,FALSE),B2678),PlayerValues!E:E,0)),"N/A")</f>
        <v>14138</v>
      </c>
      <c r="B2678" s="4" t="s">
        <v>531</v>
      </c>
      <c r="C2678" s="4" t="s">
        <v>298</v>
      </c>
      <c r="D2678" s="94">
        <v>3112.0</v>
      </c>
    </row>
    <row r="2679">
      <c r="A2679" s="40">
        <f t="array" ref="A2679">IFNA(index(PlayerValues!A:A,match(IFNA(vlookup(B2679,'Special Names'!A:B,2,FALSE),B2679),PlayerValues!E:E,0)),"N/A")</f>
        <v>15712</v>
      </c>
      <c r="B2679" s="4" t="s">
        <v>488</v>
      </c>
      <c r="C2679" s="4" t="s">
        <v>278</v>
      </c>
      <c r="D2679" s="94">
        <v>2689.0</v>
      </c>
    </row>
    <row r="2680">
      <c r="A2680" s="40">
        <f t="array" ref="A2680">IFNA(index(PlayerValues!A:A,match(IFNA(vlookup(B2680,'Special Names'!A:B,2,FALSE),B2680),PlayerValues!E:E,0)),"N/A")</f>
        <v>17505</v>
      </c>
      <c r="B2680" s="4" t="s">
        <v>528</v>
      </c>
      <c r="C2680" s="4" t="s">
        <v>287</v>
      </c>
      <c r="D2680" s="94">
        <v>2686.0</v>
      </c>
    </row>
    <row r="2681">
      <c r="A2681" s="40">
        <f t="array" ref="A2681">IFNA(index(PlayerValues!A:A,match(IFNA(vlookup(B2681,'Special Names'!A:B,2,FALSE),B2681),PlayerValues!E:E,0)),"N/A")</f>
        <v>17507</v>
      </c>
      <c r="B2681" s="4" t="s">
        <v>495</v>
      </c>
      <c r="C2681" s="4" t="s">
        <v>287</v>
      </c>
      <c r="D2681" s="94">
        <v>2684.0</v>
      </c>
    </row>
    <row r="2682">
      <c r="A2682" s="40">
        <f t="array" ref="A2682">IFNA(index(PlayerValues!A:A,match(IFNA(vlookup(B2682,'Special Names'!A:B,2,FALSE),B2682),PlayerValues!E:E,0)),"N/A")</f>
        <v>17031</v>
      </c>
      <c r="B2682" s="4" t="s">
        <v>535</v>
      </c>
      <c r="C2682" s="4" t="s">
        <v>283</v>
      </c>
      <c r="D2682" s="94">
        <v>2678.0</v>
      </c>
    </row>
    <row r="2683">
      <c r="A2683" s="40">
        <f t="array" ref="A2683">IFNA(index(PlayerValues!A:A,match(IFNA(vlookup(B2683,'Special Names'!A:B,2,FALSE),B2683),PlayerValues!E:E,0)),"N/A")</f>
        <v>17072</v>
      </c>
      <c r="B2683" s="4" t="s">
        <v>508</v>
      </c>
      <c r="C2683" s="4" t="s">
        <v>287</v>
      </c>
      <c r="D2683" s="94">
        <v>2678.0</v>
      </c>
    </row>
    <row r="2684">
      <c r="A2684" s="40">
        <f t="array" ref="A2684">IFNA(index(PlayerValues!A:A,match(IFNA(vlookup(B2684,'Special Names'!A:B,2,FALSE),B2684),PlayerValues!E:E,0)),"N/A")</f>
        <v>15241</v>
      </c>
      <c r="B2684" s="4" t="s">
        <v>546</v>
      </c>
      <c r="C2684" s="4" t="s">
        <v>283</v>
      </c>
      <c r="D2684" s="94">
        <v>2671.0</v>
      </c>
    </row>
    <row r="2685">
      <c r="A2685" s="40">
        <f t="array" ref="A2685">IFNA(index(PlayerValues!A:A,match(IFNA(vlookup(B2685,'Special Names'!A:B,2,FALSE),B2685),PlayerValues!E:E,0)),"N/A")</f>
        <v>14778</v>
      </c>
      <c r="B2685" s="4" t="s">
        <v>564</v>
      </c>
      <c r="C2685" s="4" t="s">
        <v>283</v>
      </c>
      <c r="D2685" s="94">
        <v>2664.0</v>
      </c>
    </row>
    <row r="2686">
      <c r="A2686" s="40">
        <f t="array" ref="A2686">IFNA(index(PlayerValues!A:A,match(IFNA(vlookup(B2686,'Special Names'!A:B,2,FALSE),B2686),PlayerValues!E:E,0)),"N/A")</f>
        <v>13674</v>
      </c>
      <c r="B2686" s="4" t="s">
        <v>511</v>
      </c>
      <c r="C2686" s="4" t="s">
        <v>298</v>
      </c>
      <c r="D2686" s="94">
        <v>3072.0</v>
      </c>
    </row>
    <row r="2687">
      <c r="A2687" s="40">
        <f t="array" ref="A2687">IFNA(index(PlayerValues!A:A,match(IFNA(vlookup(B2687,'Special Names'!A:B,2,FALSE),B2687),PlayerValues!E:E,0)),"N/A")</f>
        <v>16626</v>
      </c>
      <c r="B2687" s="4" t="s">
        <v>515</v>
      </c>
      <c r="C2687" s="4" t="s">
        <v>287</v>
      </c>
      <c r="D2687" s="94">
        <v>2647.0</v>
      </c>
    </row>
    <row r="2688">
      <c r="A2688" s="40">
        <f t="array" ref="A2688">IFNA(index(PlayerValues!A:A,match(IFNA(vlookup(B2688,'Special Names'!A:B,2,FALSE),B2688),PlayerValues!E:E,0)),"N/A")</f>
        <v>17080</v>
      </c>
      <c r="B2688" s="4" t="s">
        <v>532</v>
      </c>
      <c r="C2688" s="4" t="s">
        <v>287</v>
      </c>
      <c r="D2688" s="94">
        <v>2644.0</v>
      </c>
    </row>
    <row r="2689">
      <c r="A2689" s="40">
        <f t="array" ref="A2689">IFNA(index(PlayerValues!A:A,match(IFNA(vlookup(B2689,'Special Names'!A:B,2,FALSE),B2689),PlayerValues!E:E,0)),"N/A")</f>
        <v>17105</v>
      </c>
      <c r="B2689" s="4" t="s">
        <v>525</v>
      </c>
      <c r="C2689" s="4" t="s">
        <v>298</v>
      </c>
      <c r="D2689" s="94">
        <v>3053.0</v>
      </c>
    </row>
    <row r="2690">
      <c r="A2690" s="40">
        <f t="array" ref="A2690">IFNA(index(PlayerValues!A:A,match(IFNA(vlookup(B2690,'Special Names'!A:B,2,FALSE),B2690),PlayerValues!E:E,0)),"N/A")</f>
        <v>16174</v>
      </c>
      <c r="B2690" s="4" t="s">
        <v>505</v>
      </c>
      <c r="C2690" s="4" t="s">
        <v>278</v>
      </c>
      <c r="D2690" s="94">
        <v>2640.0</v>
      </c>
    </row>
    <row r="2691">
      <c r="A2691" s="40">
        <f t="array" ref="A2691">IFNA(index(PlayerValues!A:A,match(IFNA(vlookup(B2691,'Special Names'!A:B,2,FALSE),B2691),PlayerValues!E:E,0)),"N/A")</f>
        <v>16584</v>
      </c>
      <c r="B2691" s="4" t="s">
        <v>569</v>
      </c>
      <c r="C2691" s="4" t="s">
        <v>283</v>
      </c>
      <c r="D2691" s="94">
        <v>2633.0</v>
      </c>
    </row>
    <row r="2692">
      <c r="A2692" s="40">
        <f t="array" ref="A2692">IFNA(index(PlayerValues!A:A,match(IFNA(vlookup(B2692,'Special Names'!A:B,2,FALSE),B2692),PlayerValues!E:E,0)),"N/A")</f>
        <v>11244</v>
      </c>
      <c r="B2692" s="4" t="s">
        <v>519</v>
      </c>
      <c r="C2692" s="4" t="s">
        <v>298</v>
      </c>
      <c r="D2692" s="94">
        <v>3040.0</v>
      </c>
    </row>
    <row r="2693">
      <c r="A2693" s="40">
        <f t="array" ref="A2693">IFNA(index(PlayerValues!A:A,match(IFNA(vlookup(B2693,'Special Names'!A:B,2,FALSE),B2693),PlayerValues!E:E,0)),"N/A")</f>
        <v>17520</v>
      </c>
      <c r="B2693" s="4" t="s">
        <v>518</v>
      </c>
      <c r="C2693" s="4" t="s">
        <v>287</v>
      </c>
      <c r="D2693" s="94">
        <v>2616.0</v>
      </c>
    </row>
    <row r="2694">
      <c r="A2694" s="40">
        <f t="array" ref="A2694">IFNA(index(PlayerValues!A:A,match(IFNA(vlookup(B2694,'Special Names'!A:B,2,FALSE),B2694),PlayerValues!E:E,0)),"N/A")</f>
        <v>16596</v>
      </c>
      <c r="B2694" s="4" t="s">
        <v>501</v>
      </c>
      <c r="C2694" s="4" t="s">
        <v>278</v>
      </c>
      <c r="D2694" s="94">
        <v>2612.0</v>
      </c>
    </row>
    <row r="2695">
      <c r="A2695" s="40">
        <f t="array" ref="A2695">IFNA(index(PlayerValues!A:A,match(IFNA(vlookup(B2695,'Special Names'!A:B,2,FALSE),B2695),PlayerValues!E:E,0)),"N/A")</f>
        <v>16747</v>
      </c>
      <c r="B2695" s="4" t="s">
        <v>555</v>
      </c>
      <c r="C2695" s="4" t="s">
        <v>278</v>
      </c>
      <c r="D2695" s="94">
        <v>2611.0</v>
      </c>
    </row>
    <row r="2696">
      <c r="A2696" s="40">
        <f t="array" ref="A2696">IFNA(index(PlayerValues!A:A,match(IFNA(vlookup(B2696,'Special Names'!A:B,2,FALSE),B2696),PlayerValues!E:E,0)),"N/A")</f>
        <v>17098</v>
      </c>
      <c r="B2696" s="4" t="s">
        <v>533</v>
      </c>
      <c r="C2696" s="4" t="s">
        <v>287</v>
      </c>
      <c r="D2696" s="94">
        <v>2611.0</v>
      </c>
    </row>
    <row r="2697">
      <c r="A2697" s="40">
        <f t="array" ref="A2697">IFNA(index(PlayerValues!A:A,match(IFNA(vlookup(B2697,'Special Names'!A:B,2,FALSE),B2697),PlayerValues!E:E,0)),"N/A")</f>
        <v>17511</v>
      </c>
      <c r="B2697" s="4" t="s">
        <v>485</v>
      </c>
      <c r="C2697" s="4" t="s">
        <v>287</v>
      </c>
      <c r="D2697" s="94">
        <v>2601.0</v>
      </c>
    </row>
    <row r="2698">
      <c r="A2698" s="40">
        <f t="array" ref="A2698">IFNA(index(PlayerValues!A:A,match(IFNA(vlookup(B2698,'Special Names'!A:B,2,FALSE),B2698),PlayerValues!E:E,0)),"N/A")</f>
        <v>16164</v>
      </c>
      <c r="B2698" s="4" t="s">
        <v>512</v>
      </c>
      <c r="C2698" s="4" t="s">
        <v>278</v>
      </c>
      <c r="D2698" s="94">
        <v>2598.0</v>
      </c>
    </row>
    <row r="2699">
      <c r="A2699" s="40">
        <f t="array" ref="A2699">IFNA(index(PlayerValues!A:A,match(IFNA(vlookup(B2699,'Special Names'!A:B,2,FALSE),B2699),PlayerValues!E:E,0)),"N/A")</f>
        <v>17466</v>
      </c>
      <c r="B2699" s="4" t="s">
        <v>492</v>
      </c>
      <c r="C2699" s="4" t="s">
        <v>283</v>
      </c>
      <c r="D2699" s="94">
        <v>2596.0</v>
      </c>
    </row>
    <row r="2700">
      <c r="A2700" s="40">
        <f t="array" ref="A2700">IFNA(index(PlayerValues!A:A,match(IFNA(vlookup(B2700,'Special Names'!A:B,2,FALSE),B2700),PlayerValues!E:E,0)),"N/A")</f>
        <v>16178</v>
      </c>
      <c r="B2700" s="4" t="s">
        <v>507</v>
      </c>
      <c r="C2700" s="4" t="s">
        <v>278</v>
      </c>
      <c r="D2700" s="94">
        <v>2590.0</v>
      </c>
    </row>
    <row r="2701">
      <c r="A2701" s="40">
        <f t="array" ref="A2701">IFNA(index(PlayerValues!A:A,match(IFNA(vlookup(B2701,'Special Names'!A:B,2,FALSE),B2701),PlayerValues!E:E,0)),"N/A")</f>
        <v>12616</v>
      </c>
      <c r="B2701" s="4" t="s">
        <v>529</v>
      </c>
      <c r="C2701" s="4" t="s">
        <v>283</v>
      </c>
      <c r="D2701" s="94">
        <v>2578.0</v>
      </c>
    </row>
    <row r="2702">
      <c r="A2702" s="40">
        <f t="array" ref="A2702">IFNA(index(PlayerValues!A:A,match(IFNA(vlookup(B2702,'Special Names'!A:B,2,FALSE),B2702),PlayerValues!E:E,0)),"N/A")</f>
        <v>16204</v>
      </c>
      <c r="B2702" s="4" t="s">
        <v>530</v>
      </c>
      <c r="C2702" s="4" t="s">
        <v>287</v>
      </c>
      <c r="D2702" s="94">
        <v>2578.0</v>
      </c>
    </row>
    <row r="2703">
      <c r="A2703" s="40" t="str">
        <f t="array" ref="A2703">IFNA(index(PlayerValues!A:A,match(IFNA(vlookup(B2703,'Special Names'!A:B,2,FALSE),B2703),PlayerValues!E:E,0)),"N/A")</f>
        <v>N/A</v>
      </c>
      <c r="B2703" s="4" t="s">
        <v>98</v>
      </c>
      <c r="C2703" s="4" t="s">
        <v>325</v>
      </c>
      <c r="D2703" s="94">
        <v>2575.0</v>
      </c>
    </row>
    <row r="2704">
      <c r="A2704" s="40">
        <f t="array" ref="A2704">IFNA(index(PlayerValues!A:A,match(IFNA(vlookup(B2704,'Special Names'!A:B,2,FALSE),B2704),PlayerValues!E:E,0)),"N/A")</f>
        <v>15786</v>
      </c>
      <c r="B2704" s="4" t="s">
        <v>521</v>
      </c>
      <c r="C2704" s="4" t="s">
        <v>287</v>
      </c>
      <c r="D2704" s="94">
        <v>2571.0</v>
      </c>
    </row>
    <row r="2705">
      <c r="A2705" s="40">
        <f t="array" ref="A2705">IFNA(index(PlayerValues!A:A,match(IFNA(vlookup(B2705,'Special Names'!A:B,2,FALSE),B2705),PlayerValues!E:E,0)),"N/A")</f>
        <v>16287</v>
      </c>
      <c r="B2705" s="4" t="s">
        <v>516</v>
      </c>
      <c r="C2705" s="4" t="s">
        <v>287</v>
      </c>
      <c r="D2705" s="94">
        <v>2563.0</v>
      </c>
    </row>
    <row r="2706">
      <c r="A2706" s="40">
        <f t="array" ref="A2706">IFNA(index(PlayerValues!A:A,match(IFNA(vlookup(B2706,'Special Names'!A:B,2,FALSE),B2706),PlayerValues!E:E,0)),"N/A")</f>
        <v>16684</v>
      </c>
      <c r="B2706" s="4" t="s">
        <v>500</v>
      </c>
      <c r="C2706" s="4" t="s">
        <v>287</v>
      </c>
      <c r="D2706" s="94">
        <v>2563.0</v>
      </c>
    </row>
    <row r="2707">
      <c r="A2707" s="40">
        <f t="array" ref="A2707">IFNA(index(PlayerValues!A:A,match(IFNA(vlookup(B2707,'Special Names'!A:B,2,FALSE),B2707),PlayerValues!E:E,0)),"N/A")</f>
        <v>16165</v>
      </c>
      <c r="B2707" s="4" t="s">
        <v>520</v>
      </c>
      <c r="C2707" s="4" t="s">
        <v>278</v>
      </c>
      <c r="D2707" s="94">
        <v>2557.0</v>
      </c>
    </row>
    <row r="2708">
      <c r="A2708" s="40">
        <f t="array" ref="A2708">IFNA(index(PlayerValues!A:A,match(IFNA(vlookup(B2708,'Special Names'!A:B,2,FALSE),B2708),PlayerValues!E:E,0)),"N/A")</f>
        <v>16193</v>
      </c>
      <c r="B2708" s="4" t="s">
        <v>487</v>
      </c>
      <c r="C2708" s="4" t="s">
        <v>287</v>
      </c>
      <c r="D2708" s="94">
        <v>2549.0</v>
      </c>
    </row>
    <row r="2709">
      <c r="A2709" s="40">
        <f t="array" ref="A2709">IFNA(index(PlayerValues!A:A,match(IFNA(vlookup(B2709,'Special Names'!A:B,2,FALSE),B2709),PlayerValues!E:E,0)),"N/A")</f>
        <v>16619</v>
      </c>
      <c r="B2709" s="4" t="s">
        <v>538</v>
      </c>
      <c r="C2709" s="4" t="s">
        <v>287</v>
      </c>
      <c r="D2709" s="94">
        <v>2527.0</v>
      </c>
    </row>
    <row r="2710">
      <c r="A2710" s="40">
        <f t="array" ref="A2710">IFNA(index(PlayerValues!A:A,match(IFNA(vlookup(B2710,'Special Names'!A:B,2,FALSE),B2710),PlayerValues!E:E,0)),"N/A")</f>
        <v>14833</v>
      </c>
      <c r="B2710" s="4" t="s">
        <v>553</v>
      </c>
      <c r="C2710" s="4" t="s">
        <v>287</v>
      </c>
      <c r="D2710" s="94">
        <v>2511.0</v>
      </c>
    </row>
    <row r="2711">
      <c r="A2711" s="40">
        <f t="array" ref="A2711">IFNA(index(PlayerValues!A:A,match(IFNA(vlookup(B2711,'Special Names'!A:B,2,FALSE),B2711),PlayerValues!E:E,0)),"N/A")</f>
        <v>17108</v>
      </c>
      <c r="B2711" s="4" t="s">
        <v>542</v>
      </c>
      <c r="C2711" s="4" t="s">
        <v>298</v>
      </c>
      <c r="D2711" s="94">
        <v>2916.0</v>
      </c>
    </row>
    <row r="2712">
      <c r="A2712" s="40" t="str">
        <f t="array" ref="A2712">IFNA(index(PlayerValues!A:A,match(IFNA(vlookup(B2712,'Special Names'!A:B,2,FALSE),B2712),PlayerValues!E:E,0)),"N/A")</f>
        <v>N/A</v>
      </c>
      <c r="B2712" s="4" t="s">
        <v>99</v>
      </c>
      <c r="C2712" s="4" t="s">
        <v>325</v>
      </c>
      <c r="D2712" s="94">
        <v>2499.0</v>
      </c>
    </row>
    <row r="2713">
      <c r="A2713" s="40">
        <f t="array" ref="A2713">IFNA(index(PlayerValues!A:A,match(IFNA(vlookup(B2713,'Special Names'!A:B,2,FALSE),B2713),PlayerValues!E:E,0)),"N/A")</f>
        <v>17478</v>
      </c>
      <c r="B2713" s="4" t="s">
        <v>527</v>
      </c>
      <c r="C2713" s="4" t="s">
        <v>278</v>
      </c>
      <c r="D2713" s="94">
        <v>2496.0</v>
      </c>
    </row>
    <row r="2714">
      <c r="A2714" s="40">
        <f t="array" ref="A2714">IFNA(index(PlayerValues!A:A,match(IFNA(vlookup(B2714,'Special Names'!A:B,2,FALSE),B2714),PlayerValues!E:E,0)),"N/A")</f>
        <v>17073</v>
      </c>
      <c r="B2714" s="4" t="s">
        <v>547</v>
      </c>
      <c r="C2714" s="4" t="s">
        <v>287</v>
      </c>
      <c r="D2714" s="94">
        <v>2474.0</v>
      </c>
    </row>
    <row r="2715">
      <c r="A2715" s="40">
        <f t="array" ref="A2715">IFNA(index(PlayerValues!A:A,match(IFNA(vlookup(B2715,'Special Names'!A:B,2,FALSE),B2715),PlayerValues!E:E,0)),"N/A")</f>
        <v>17082</v>
      </c>
      <c r="B2715" s="4" t="s">
        <v>498</v>
      </c>
      <c r="C2715" s="4" t="s">
        <v>287</v>
      </c>
      <c r="D2715" s="94">
        <v>2471.0</v>
      </c>
    </row>
    <row r="2716">
      <c r="A2716" s="40">
        <f t="array" ref="A2716">IFNA(index(PlayerValues!A:A,match(IFNA(vlookup(B2716,'Special Names'!A:B,2,FALSE),B2716),PlayerValues!E:E,0)),"N/A")</f>
        <v>17474</v>
      </c>
      <c r="B2716" s="4" t="s">
        <v>513</v>
      </c>
      <c r="C2716" s="4" t="s">
        <v>278</v>
      </c>
      <c r="D2716" s="94">
        <v>2469.0</v>
      </c>
    </row>
    <row r="2717">
      <c r="A2717" s="40">
        <f t="array" ref="A2717">IFNA(index(PlayerValues!A:A,match(IFNA(vlookup(B2717,'Special Names'!A:B,2,FALSE),B2717),PlayerValues!E:E,0)),"N/A")</f>
        <v>17517</v>
      </c>
      <c r="B2717" s="4" t="s">
        <v>454</v>
      </c>
      <c r="C2717" s="4" t="s">
        <v>287</v>
      </c>
      <c r="D2717" s="94">
        <v>2445.0</v>
      </c>
    </row>
    <row r="2718">
      <c r="A2718" s="40">
        <f t="array" ref="A2718">IFNA(index(PlayerValues!A:A,match(IFNA(vlookup(B2718,'Special Names'!A:B,2,FALSE),B2718),PlayerValues!E:E,0)),"N/A")</f>
        <v>14860</v>
      </c>
      <c r="B2718" s="4" t="s">
        <v>554</v>
      </c>
      <c r="C2718" s="4" t="s">
        <v>287</v>
      </c>
      <c r="D2718" s="94">
        <v>2440.0</v>
      </c>
    </row>
    <row r="2719">
      <c r="A2719" s="40">
        <f t="array" ref="A2719">IFNA(index(PlayerValues!A:A,match(IFNA(vlookup(B2719,'Special Names'!A:B,2,FALSE),B2719),PlayerValues!E:E,0)),"N/A")</f>
        <v>16195</v>
      </c>
      <c r="B2719" s="4" t="s">
        <v>509</v>
      </c>
      <c r="C2719" s="4" t="s">
        <v>287</v>
      </c>
      <c r="D2719" s="94">
        <v>2435.0</v>
      </c>
    </row>
    <row r="2720">
      <c r="A2720" s="40">
        <f t="array" ref="A2720">IFNA(index(PlayerValues!A:A,match(IFNA(vlookup(B2720,'Special Names'!A:B,2,FALSE),B2720),PlayerValues!E:E,0)),"N/A")</f>
        <v>17508</v>
      </c>
      <c r="B2720" s="4" t="s">
        <v>534</v>
      </c>
      <c r="C2720" s="4" t="s">
        <v>287</v>
      </c>
      <c r="D2720" s="94">
        <v>2428.0</v>
      </c>
    </row>
    <row r="2721">
      <c r="A2721" s="40">
        <f t="array" ref="A2721">IFNA(index(PlayerValues!A:A,match(IFNA(vlookup(B2721,'Special Names'!A:B,2,FALSE),B2721),PlayerValues!E:E,0)),"N/A")</f>
        <v>17509</v>
      </c>
      <c r="B2721" s="4" t="s">
        <v>551</v>
      </c>
      <c r="C2721" s="4" t="s">
        <v>287</v>
      </c>
      <c r="D2721" s="94">
        <v>2413.0</v>
      </c>
    </row>
    <row r="2722">
      <c r="A2722" s="40">
        <f t="array" ref="A2722">IFNA(index(PlayerValues!A:A,match(IFNA(vlookup(B2722,'Special Names'!A:B,2,FALSE),B2722),PlayerValues!E:E,0)),"N/A")</f>
        <v>17078</v>
      </c>
      <c r="B2722" s="4" t="s">
        <v>543</v>
      </c>
      <c r="C2722" s="4" t="s">
        <v>287</v>
      </c>
      <c r="D2722" s="94">
        <v>2394.0</v>
      </c>
    </row>
    <row r="2723">
      <c r="A2723" s="40">
        <f t="array" ref="A2723">IFNA(index(PlayerValues!A:A,match(IFNA(vlookup(B2723,'Special Names'!A:B,2,FALSE),B2723),PlayerValues!E:E,0)),"N/A")</f>
        <v>15716</v>
      </c>
      <c r="B2723" s="4" t="s">
        <v>545</v>
      </c>
      <c r="C2723" s="4" t="s">
        <v>278</v>
      </c>
      <c r="D2723" s="94">
        <v>2385.0</v>
      </c>
    </row>
    <row r="2724">
      <c r="A2724" s="40">
        <f t="array" ref="A2724">IFNA(index(PlayerValues!A:A,match(IFNA(vlookup(B2724,'Special Names'!A:B,2,FALSE),B2724),PlayerValues!E:E,0)),"N/A")</f>
        <v>16617</v>
      </c>
      <c r="B2724" s="4" t="s">
        <v>541</v>
      </c>
      <c r="C2724" s="4" t="s">
        <v>287</v>
      </c>
      <c r="D2724" s="94">
        <v>2380.0</v>
      </c>
    </row>
    <row r="2725">
      <c r="A2725" s="40">
        <f t="array" ref="A2725">IFNA(index(PlayerValues!A:A,match(IFNA(vlookup(B2725,'Special Names'!A:B,2,FALSE),B2725),PlayerValues!E:E,0)),"N/A")</f>
        <v>12676</v>
      </c>
      <c r="B2725" s="4" t="s">
        <v>537</v>
      </c>
      <c r="C2725" s="4" t="s">
        <v>298</v>
      </c>
      <c r="D2725" s="94">
        <v>2762.0</v>
      </c>
    </row>
    <row r="2726">
      <c r="A2726" s="40" t="str">
        <f t="array" ref="A2726">IFNA(index(PlayerValues!A:A,match(IFNA(vlookup(B2726,'Special Names'!A:B,2,FALSE),B2726),PlayerValues!E:E,0)),"N/A")</f>
        <v>N/A</v>
      </c>
      <c r="B2726" s="4" t="s">
        <v>86</v>
      </c>
      <c r="C2726" s="4" t="s">
        <v>325</v>
      </c>
      <c r="D2726" s="94">
        <v>2359.0</v>
      </c>
    </row>
    <row r="2727">
      <c r="A2727" s="40">
        <f t="array" ref="A2727">IFNA(index(PlayerValues!A:A,match(IFNA(vlookup(B2727,'Special Names'!A:B,2,FALSE),B2727),PlayerValues!E:E,0)),"N/A")</f>
        <v>13319</v>
      </c>
      <c r="B2727" s="4" t="s">
        <v>549</v>
      </c>
      <c r="C2727" s="4" t="s">
        <v>278</v>
      </c>
      <c r="D2727" s="94">
        <v>2356.0</v>
      </c>
    </row>
    <row r="2728">
      <c r="A2728" s="40">
        <f t="array" ref="A2728">IFNA(index(PlayerValues!A:A,match(IFNA(vlookup(B2728,'Special Names'!A:B,2,FALSE),B2728),PlayerValues!E:E,0)),"N/A")</f>
        <v>17106</v>
      </c>
      <c r="B2728" s="4" t="s">
        <v>550</v>
      </c>
      <c r="C2728" s="4" t="s">
        <v>298</v>
      </c>
      <c r="D2728" s="94">
        <v>2726.0</v>
      </c>
    </row>
    <row r="2729">
      <c r="A2729" s="40">
        <f t="array" ref="A2729">IFNA(index(PlayerValues!A:A,match(IFNA(vlookup(B2729,'Special Names'!A:B,2,FALSE),B2729),PlayerValues!E:E,0)),"N/A")</f>
        <v>14861</v>
      </c>
      <c r="B2729" s="4" t="s">
        <v>523</v>
      </c>
      <c r="C2729" s="4" t="s">
        <v>298</v>
      </c>
      <c r="D2729" s="94">
        <v>2715.0</v>
      </c>
    </row>
    <row r="2730">
      <c r="A2730" s="40">
        <f t="array" ref="A2730">IFNA(index(PlayerValues!A:A,match(IFNA(vlookup(B2730,'Special Names'!A:B,2,FALSE),B2730),PlayerValues!E:E,0)),"N/A")</f>
        <v>15331</v>
      </c>
      <c r="B2730" s="4" t="s">
        <v>560</v>
      </c>
      <c r="C2730" s="4" t="s">
        <v>298</v>
      </c>
      <c r="D2730" s="94">
        <v>2700.0</v>
      </c>
    </row>
    <row r="2731">
      <c r="A2731" s="40">
        <f t="array" ref="A2731">IFNA(index(PlayerValues!A:A,match(IFNA(vlookup(B2731,'Special Names'!A:B,2,FALSE),B2731),PlayerValues!E:E,0)),"N/A")</f>
        <v>15802</v>
      </c>
      <c r="B2731" s="4" t="s">
        <v>566</v>
      </c>
      <c r="C2731" s="4" t="s">
        <v>298</v>
      </c>
      <c r="D2731" s="94">
        <v>2697.0</v>
      </c>
    </row>
    <row r="2732">
      <c r="A2732" s="40" t="str">
        <f t="array" ref="A2732">IFNA(index(PlayerValues!A:A,match(IFNA(vlookup(B2732,'Special Names'!A:B,2,FALSE),B2732),PlayerValues!E:E,0)),"N/A")</f>
        <v>N/A</v>
      </c>
      <c r="B2732" s="4" t="s">
        <v>100</v>
      </c>
      <c r="C2732" s="4" t="s">
        <v>325</v>
      </c>
      <c r="D2732" s="94">
        <v>2300.0</v>
      </c>
    </row>
    <row r="2733">
      <c r="A2733" s="40">
        <f t="array" ref="A2733">IFNA(index(PlayerValues!A:A,match(IFNA(vlookup(B2733,'Special Names'!A:B,2,FALSE),B2733),PlayerValues!E:E,0)),"N/A")</f>
        <v>15797</v>
      </c>
      <c r="B2733" s="4" t="s">
        <v>556</v>
      </c>
      <c r="C2733" s="4" t="s">
        <v>298</v>
      </c>
      <c r="D2733" s="94">
        <v>2695.0</v>
      </c>
    </row>
    <row r="2734">
      <c r="A2734" s="40">
        <f t="array" ref="A2734">IFNA(index(PlayerValues!A:A,match(IFNA(vlookup(B2734,'Special Names'!A:B,2,FALSE),B2734),PlayerValues!E:E,0)),"N/A")</f>
        <v>17547</v>
      </c>
      <c r="B2734" s="4" t="s">
        <v>552</v>
      </c>
      <c r="C2734" s="4" t="s">
        <v>298</v>
      </c>
      <c r="D2734" s="94">
        <v>2680.0</v>
      </c>
    </row>
    <row r="2735">
      <c r="A2735" s="40">
        <f t="array" ref="A2735">IFNA(index(PlayerValues!A:A,match(IFNA(vlookup(B2735,'Special Names'!A:B,2,FALSE),B2735),PlayerValues!E:E,0)),"N/A")</f>
        <v>17055</v>
      </c>
      <c r="B2735" s="4" t="s">
        <v>565</v>
      </c>
      <c r="C2735" s="4" t="s">
        <v>278</v>
      </c>
      <c r="D2735" s="94">
        <v>2283.0</v>
      </c>
    </row>
    <row r="2736">
      <c r="A2736" s="40">
        <f t="array" ref="A2736">IFNA(index(PlayerValues!A:A,match(IFNA(vlookup(B2736,'Special Names'!A:B,2,FALSE),B2736),PlayerValues!E:E,0)),"N/A")</f>
        <v>17171</v>
      </c>
      <c r="B2736" s="4" t="s">
        <v>561</v>
      </c>
      <c r="C2736" s="4" t="s">
        <v>287</v>
      </c>
      <c r="D2736" s="94">
        <v>2279.0</v>
      </c>
    </row>
    <row r="2737">
      <c r="A2737" s="40">
        <f t="array" ref="A2737">IFNA(index(PlayerValues!A:A,match(IFNA(vlookup(B2737,'Special Names'!A:B,2,FALSE),B2737),PlayerValues!E:E,0)),"N/A")</f>
        <v>16166</v>
      </c>
      <c r="B2737" s="4" t="s">
        <v>567</v>
      </c>
      <c r="C2737" s="4" t="s">
        <v>278</v>
      </c>
      <c r="D2737" s="94">
        <v>2278.0</v>
      </c>
    </row>
    <row r="2738">
      <c r="A2738" s="40">
        <f t="array" ref="A2738">IFNA(index(PlayerValues!A:A,match(IFNA(vlookup(B2738,'Special Names'!A:B,2,FALSE),B2738),PlayerValues!E:E,0)),"N/A")</f>
        <v>17482</v>
      </c>
      <c r="B2738" s="4" t="s">
        <v>460</v>
      </c>
      <c r="C2738" s="4" t="s">
        <v>278</v>
      </c>
      <c r="D2738" s="94">
        <v>2276.0</v>
      </c>
    </row>
    <row r="2739">
      <c r="A2739" s="40">
        <f t="array" ref="A2739">IFNA(index(PlayerValues!A:A,match(IFNA(vlookup(B2739,'Special Names'!A:B,2,FALSE),B2739),PlayerValues!E:E,0)),"N/A")</f>
        <v>17048</v>
      </c>
      <c r="B2739" s="4" t="s">
        <v>539</v>
      </c>
      <c r="C2739" s="4" t="s">
        <v>278</v>
      </c>
      <c r="D2739" s="94">
        <v>2269.0</v>
      </c>
    </row>
    <row r="2740">
      <c r="A2740" s="40" t="str">
        <f t="array" ref="A2740">IFNA(index(PlayerValues!A:A,match(IFNA(vlookup(B2740,'Special Names'!A:B,2,FALSE),B2740),PlayerValues!E:E,0)),"N/A")</f>
        <v>N/A</v>
      </c>
      <c r="B2740" s="4" t="s">
        <v>557</v>
      </c>
      <c r="C2740" s="4" t="s">
        <v>278</v>
      </c>
      <c r="D2740" s="94">
        <v>2244.0</v>
      </c>
    </row>
    <row r="2741">
      <c r="A2741" s="40" t="str">
        <f t="array" ref="A2741">IFNA(index(PlayerValues!A:A,match(IFNA(vlookup(B2741,'Special Names'!A:B,2,FALSE),B2741),PlayerValues!E:E,0)),"N/A")</f>
        <v>N/A</v>
      </c>
      <c r="B2741" s="4" t="s">
        <v>112</v>
      </c>
      <c r="C2741" s="4" t="s">
        <v>325</v>
      </c>
      <c r="D2741" s="94">
        <v>2238.0</v>
      </c>
    </row>
    <row r="2742">
      <c r="A2742" s="40" t="str">
        <f t="array" ref="A2742">IFNA(index(PlayerValues!A:A,match(IFNA(vlookup(B2742,'Special Names'!A:B,2,FALSE),B2742),PlayerValues!E:E,0)),"N/A")</f>
        <v>N/A</v>
      </c>
      <c r="B2742" s="4" t="s">
        <v>87</v>
      </c>
      <c r="C2742" s="4" t="s">
        <v>325</v>
      </c>
      <c r="D2742" s="94">
        <v>2234.0</v>
      </c>
    </row>
    <row r="2743">
      <c r="A2743" s="40">
        <f t="array" ref="A2743">IFNA(index(PlayerValues!A:A,match(IFNA(vlookup(B2743,'Special Names'!A:B,2,FALSE),B2743),PlayerValues!E:E,0)),"N/A")</f>
        <v>16757</v>
      </c>
      <c r="B2743" s="4" t="s">
        <v>558</v>
      </c>
      <c r="C2743" s="4" t="s">
        <v>278</v>
      </c>
      <c r="D2743" s="94">
        <v>2215.0</v>
      </c>
    </row>
    <row r="2744">
      <c r="A2744" s="40">
        <f t="array" ref="A2744">IFNA(index(PlayerValues!A:A,match(IFNA(vlookup(B2744,'Special Names'!A:B,2,FALSE),B2744),PlayerValues!E:E,0)),"N/A")</f>
        <v>13192</v>
      </c>
      <c r="B2744" s="4" t="s">
        <v>563</v>
      </c>
      <c r="C2744" s="4" t="s">
        <v>298</v>
      </c>
      <c r="D2744" s="94">
        <v>2595.0</v>
      </c>
    </row>
    <row r="2745">
      <c r="A2745" s="40">
        <f t="array" ref="A2745">IFNA(index(PlayerValues!A:A,match(IFNA(vlookup(B2745,'Special Names'!A:B,2,FALSE),B2745),PlayerValues!E:E,0)),"N/A")</f>
        <v>16610</v>
      </c>
      <c r="B2745" s="4" t="s">
        <v>562</v>
      </c>
      <c r="C2745" s="4" t="s">
        <v>278</v>
      </c>
      <c r="D2745" s="94">
        <v>2203.0</v>
      </c>
    </row>
    <row r="2746">
      <c r="A2746" s="40">
        <f t="array" ref="A2746">IFNA(index(PlayerValues!A:A,match(IFNA(vlookup(B2746,'Special Names'!A:B,2,FALSE),B2746),PlayerValues!E:E,0)),"N/A")</f>
        <v>11150</v>
      </c>
      <c r="B2746" s="4" t="s">
        <v>559</v>
      </c>
      <c r="C2746" s="4" t="s">
        <v>283</v>
      </c>
      <c r="D2746" s="94">
        <v>2201.0</v>
      </c>
    </row>
    <row r="2747">
      <c r="A2747" s="40">
        <f t="array" ref="A2747">IFNA(index(PlayerValues!A:A,match(IFNA(vlookup(B2747,'Special Names'!A:B,2,FALSE),B2747),PlayerValues!E:E,0)),"N/A")</f>
        <v>15749</v>
      </c>
      <c r="B2747" s="4" t="s">
        <v>574</v>
      </c>
      <c r="C2747" s="4" t="s">
        <v>278</v>
      </c>
      <c r="D2747" s="94">
        <v>2197.0</v>
      </c>
    </row>
    <row r="2748">
      <c r="A2748" s="40">
        <f t="array" ref="A2748">IFNA(index(PlayerValues!A:A,match(IFNA(vlookup(B2748,'Special Names'!A:B,2,FALSE),B2748),PlayerValues!E:E,0)),"N/A")</f>
        <v>17033</v>
      </c>
      <c r="B2748" s="4" t="s">
        <v>570</v>
      </c>
      <c r="C2748" s="4" t="s">
        <v>283</v>
      </c>
      <c r="D2748" s="94">
        <v>2191.0</v>
      </c>
    </row>
    <row r="2749">
      <c r="A2749" s="40">
        <f t="array" ref="A2749">IFNA(index(PlayerValues!A:A,match(IFNA(vlookup(B2749,'Special Names'!A:B,2,FALSE),B2749),PlayerValues!E:E,0)),"N/A")</f>
        <v>17607</v>
      </c>
      <c r="B2749" s="4" t="s">
        <v>526</v>
      </c>
      <c r="C2749" s="4" t="s">
        <v>298</v>
      </c>
      <c r="D2749" s="94">
        <v>2576.0</v>
      </c>
    </row>
    <row r="2750">
      <c r="A2750" s="40">
        <f t="array" ref="A2750">IFNA(index(PlayerValues!A:A,match(IFNA(vlookup(B2750,'Special Names'!A:B,2,FALSE),B2750),PlayerValues!E:E,0)),"N/A")</f>
        <v>13772</v>
      </c>
      <c r="B2750" s="4" t="s">
        <v>544</v>
      </c>
      <c r="C2750" s="4" t="s">
        <v>298</v>
      </c>
      <c r="D2750" s="94">
        <v>2569.0</v>
      </c>
    </row>
    <row r="2751">
      <c r="A2751" s="40">
        <f t="array" ref="A2751">IFNA(index(PlayerValues!A:A,match(IFNA(vlookup(B2751,'Special Names'!A:B,2,FALSE),B2751),PlayerValues!E:E,0)),"N/A")</f>
        <v>17481</v>
      </c>
      <c r="B2751" s="4" t="s">
        <v>540</v>
      </c>
      <c r="C2751" s="4" t="s">
        <v>278</v>
      </c>
      <c r="D2751" s="94">
        <v>2176.0</v>
      </c>
    </row>
    <row r="2752">
      <c r="A2752" s="40">
        <f t="array" ref="A2752">IFNA(index(PlayerValues!A:A,match(IFNA(vlookup(B2752,'Special Names'!A:B,2,FALSE),B2752),PlayerValues!E:E,0)),"N/A")</f>
        <v>16152</v>
      </c>
      <c r="B2752" s="4" t="s">
        <v>601</v>
      </c>
      <c r="C2752" s="4" t="s">
        <v>283</v>
      </c>
      <c r="D2752" s="94">
        <v>2173.0</v>
      </c>
    </row>
    <row r="2753">
      <c r="A2753" s="40">
        <f t="array" ref="A2753">IFNA(index(PlayerValues!A:A,match(IFNA(vlookup(B2753,'Special Names'!A:B,2,FALSE),B2753),PlayerValues!E:E,0)),"N/A")</f>
        <v>17134</v>
      </c>
      <c r="B2753" s="4" t="s">
        <v>548</v>
      </c>
      <c r="C2753" s="4" t="s">
        <v>287</v>
      </c>
      <c r="D2753" s="94">
        <v>2163.0</v>
      </c>
    </row>
    <row r="2754">
      <c r="A2754" s="40">
        <f t="array" ref="A2754">IFNA(index(PlayerValues!A:A,match(IFNA(vlookup(B2754,'Special Names'!A:B,2,FALSE),B2754),PlayerValues!E:E,0)),"N/A")</f>
        <v>17567</v>
      </c>
      <c r="B2754" s="4" t="s">
        <v>571</v>
      </c>
      <c r="C2754" s="4" t="s">
        <v>298</v>
      </c>
      <c r="D2754" s="94">
        <v>2542.0</v>
      </c>
    </row>
    <row r="2755">
      <c r="A2755" s="40">
        <f t="array" ref="A2755">IFNA(index(PlayerValues!A:A,match(IFNA(vlookup(B2755,'Special Names'!A:B,2,FALSE),B2755),PlayerValues!E:E,0)),"N/A")</f>
        <v>16604</v>
      </c>
      <c r="B2755" s="4" t="s">
        <v>476</v>
      </c>
      <c r="C2755" s="4" t="s">
        <v>278</v>
      </c>
      <c r="D2755" s="94">
        <v>2140.0</v>
      </c>
    </row>
    <row r="2756">
      <c r="A2756" s="40">
        <f t="array" ref="A2756">IFNA(index(PlayerValues!A:A,match(IFNA(vlookup(B2756,'Special Names'!A:B,2,FALSE),B2756),PlayerValues!E:E,0)),"N/A")</f>
        <v>12186</v>
      </c>
      <c r="B2756" s="4" t="s">
        <v>497</v>
      </c>
      <c r="C2756" s="4" t="s">
        <v>287</v>
      </c>
      <c r="D2756" s="94">
        <v>2139.0</v>
      </c>
    </row>
    <row r="2757">
      <c r="A2757" s="40">
        <f t="array" ref="A2757">IFNA(index(PlayerValues!A:A,match(IFNA(vlookup(B2757,'Special Names'!A:B,2,FALSE),B2757),PlayerValues!E:E,0)),"N/A")</f>
        <v>16212</v>
      </c>
      <c r="B2757" s="4" t="s">
        <v>568</v>
      </c>
      <c r="C2757" s="4" t="s">
        <v>298</v>
      </c>
      <c r="D2757" s="94">
        <v>2522.0</v>
      </c>
    </row>
    <row r="2758">
      <c r="A2758" s="40">
        <f t="array" ref="A2758">IFNA(index(PlayerValues!A:A,match(IFNA(vlookup(B2758,'Special Names'!A:B,2,FALSE),B2758),PlayerValues!E:E,0)),"N/A")</f>
        <v>17069</v>
      </c>
      <c r="B2758" s="4" t="s">
        <v>604</v>
      </c>
      <c r="C2758" s="4" t="s">
        <v>278</v>
      </c>
      <c r="D2758" s="94">
        <v>2128.0</v>
      </c>
    </row>
    <row r="2759">
      <c r="A2759" s="40">
        <f t="array" ref="A2759">IFNA(index(PlayerValues!A:A,match(IFNA(vlookup(B2759,'Special Names'!A:B,2,FALSE),B2759),PlayerValues!E:E,0)),"N/A")</f>
        <v>16649</v>
      </c>
      <c r="B2759" s="4" t="s">
        <v>586</v>
      </c>
      <c r="C2759" s="4" t="s">
        <v>298</v>
      </c>
      <c r="D2759" s="94">
        <v>2506.0</v>
      </c>
    </row>
    <row r="2760">
      <c r="A2760" s="40" t="str">
        <f t="array" ref="A2760">IFNA(index(PlayerValues!A:A,match(IFNA(vlookup(B2760,'Special Names'!A:B,2,FALSE),B2760),PlayerValues!E:E,0)),"N/A")</f>
        <v>N/A</v>
      </c>
      <c r="B2760" s="4" t="s">
        <v>113</v>
      </c>
      <c r="C2760" s="4" t="s">
        <v>325</v>
      </c>
      <c r="D2760" s="94">
        <v>2115.0</v>
      </c>
    </row>
    <row r="2761">
      <c r="A2761" s="40">
        <f t="array" ref="A2761">IFNA(index(PlayerValues!A:A,match(IFNA(vlookup(B2761,'Special Names'!A:B,2,FALSE),B2761),PlayerValues!E:E,0)),"N/A")</f>
        <v>16594</v>
      </c>
      <c r="B2761" s="4" t="s">
        <v>607</v>
      </c>
      <c r="C2761" s="4" t="s">
        <v>278</v>
      </c>
      <c r="D2761" s="94">
        <v>2110.0</v>
      </c>
    </row>
    <row r="2762">
      <c r="A2762" s="40">
        <f t="array" ref="A2762">IFNA(index(PlayerValues!A:A,match(IFNA(vlookup(B2762,'Special Names'!A:B,2,FALSE),B2762),PlayerValues!E:E,0)),"N/A")</f>
        <v>17485</v>
      </c>
      <c r="B2762" s="4" t="s">
        <v>522</v>
      </c>
      <c r="C2762" s="4" t="s">
        <v>278</v>
      </c>
      <c r="D2762" s="94">
        <v>2086.0</v>
      </c>
    </row>
    <row r="2763">
      <c r="A2763" s="40">
        <f t="array" ref="A2763">IFNA(index(PlayerValues!A:A,match(IFNA(vlookup(B2763,'Special Names'!A:B,2,FALSE),B2763),PlayerValues!E:E,0)),"N/A")</f>
        <v>17079</v>
      </c>
      <c r="B2763" s="4" t="s">
        <v>572</v>
      </c>
      <c r="C2763" s="4" t="s">
        <v>287</v>
      </c>
      <c r="D2763" s="94">
        <v>2081.0</v>
      </c>
    </row>
    <row r="2764">
      <c r="A2764" s="40">
        <f t="array" ref="A2764">IFNA(index(PlayerValues!A:A,match(IFNA(vlookup(B2764,'Special Names'!A:B,2,FALSE),B2764),PlayerValues!E:E,0)),"N/A")</f>
        <v>16036</v>
      </c>
      <c r="B2764" s="4" t="s">
        <v>592</v>
      </c>
      <c r="C2764" s="4" t="s">
        <v>298</v>
      </c>
      <c r="D2764" s="94">
        <v>2469.0</v>
      </c>
    </row>
    <row r="2765">
      <c r="A2765" s="40">
        <f t="array" ref="A2765">IFNA(index(PlayerValues!A:A,match(IFNA(vlookup(B2765,'Special Names'!A:B,2,FALSE),B2765),PlayerValues!E:E,0)),"N/A")</f>
        <v>17599</v>
      </c>
      <c r="B2765" s="4" t="s">
        <v>496</v>
      </c>
      <c r="C2765" s="4" t="s">
        <v>287</v>
      </c>
      <c r="D2765" s="94">
        <v>2061.0</v>
      </c>
    </row>
    <row r="2766">
      <c r="A2766" s="40">
        <f t="array" ref="A2766">IFNA(index(PlayerValues!A:A,match(IFNA(vlookup(B2766,'Special Names'!A:B,2,FALSE),B2766),PlayerValues!E:E,0)),"N/A")</f>
        <v>17061</v>
      </c>
      <c r="B2766" s="4" t="s">
        <v>580</v>
      </c>
      <c r="C2766" s="4" t="s">
        <v>278</v>
      </c>
      <c r="D2766" s="94">
        <v>2057.0</v>
      </c>
    </row>
    <row r="2767">
      <c r="A2767" s="40">
        <f t="array" ref="A2767">IFNA(index(PlayerValues!A:A,match(IFNA(vlookup(B2767,'Special Names'!A:B,2,FALSE),B2767),PlayerValues!E:E,0)),"N/A")</f>
        <v>17076</v>
      </c>
      <c r="B2767" s="4" t="s">
        <v>585</v>
      </c>
      <c r="C2767" s="4" t="s">
        <v>287</v>
      </c>
      <c r="D2767" s="94">
        <v>2054.0</v>
      </c>
    </row>
    <row r="2768">
      <c r="A2768" s="40">
        <f t="array" ref="A2768">IFNA(index(PlayerValues!A:A,match(IFNA(vlookup(B2768,'Special Names'!A:B,2,FALSE),B2768),PlayerValues!E:E,0)),"N/A")</f>
        <v>17528</v>
      </c>
      <c r="B2768" s="4" t="s">
        <v>579</v>
      </c>
      <c r="C2768" s="4" t="s">
        <v>287</v>
      </c>
      <c r="D2768" s="94">
        <v>2052.0</v>
      </c>
    </row>
    <row r="2769">
      <c r="A2769" s="40">
        <f t="array" ref="A2769">IFNA(index(PlayerValues!A:A,match(IFNA(vlookup(B2769,'Special Names'!A:B,2,FALSE),B2769),PlayerValues!E:E,0)),"N/A")</f>
        <v>16189</v>
      </c>
      <c r="B2769" s="4" t="s">
        <v>582</v>
      </c>
      <c r="C2769" s="4" t="s">
        <v>287</v>
      </c>
      <c r="D2769" s="94">
        <v>2050.0</v>
      </c>
    </row>
    <row r="2770">
      <c r="A2770" s="40">
        <f t="array" ref="A2770">IFNA(index(PlayerValues!A:A,match(IFNA(vlookup(B2770,'Special Names'!A:B,2,FALSE),B2770),PlayerValues!E:E,0)),"N/A")</f>
        <v>17060</v>
      </c>
      <c r="B2770" s="4" t="s">
        <v>603</v>
      </c>
      <c r="C2770" s="4" t="s">
        <v>278</v>
      </c>
      <c r="D2770" s="94">
        <v>2049.0</v>
      </c>
    </row>
    <row r="2771">
      <c r="A2771" s="40" t="str">
        <f t="array" ref="A2771">IFNA(index(PlayerValues!A:A,match(IFNA(vlookup(B2771,'Special Names'!A:B,2,FALSE),B2771),PlayerValues!E:E,0)),"N/A")</f>
        <v>N/A</v>
      </c>
      <c r="B2771" s="4" t="s">
        <v>88</v>
      </c>
      <c r="C2771" s="4" t="s">
        <v>325</v>
      </c>
      <c r="D2771" s="94">
        <v>2038.0</v>
      </c>
    </row>
    <row r="2772">
      <c r="A2772" s="40">
        <f t="array" ref="A2772">IFNA(index(PlayerValues!A:A,match(IFNA(vlookup(B2772,'Special Names'!A:B,2,FALSE),B2772),PlayerValues!E:E,0)),"N/A")</f>
        <v>13132</v>
      </c>
      <c r="B2772" s="4" t="s">
        <v>598</v>
      </c>
      <c r="C2772" s="4" t="s">
        <v>278</v>
      </c>
      <c r="D2772" s="94">
        <v>2037.0</v>
      </c>
    </row>
    <row r="2773">
      <c r="A2773" s="40">
        <f t="array" ref="A2773">IFNA(index(PlayerValues!A:A,match(IFNA(vlookup(B2773,'Special Names'!A:B,2,FALSE),B2773),PlayerValues!E:E,0)),"N/A")</f>
        <v>17468</v>
      </c>
      <c r="B2773" s="4" t="s">
        <v>514</v>
      </c>
      <c r="C2773" s="4" t="s">
        <v>283</v>
      </c>
      <c r="D2773" s="94">
        <v>2014.0</v>
      </c>
    </row>
    <row r="2774">
      <c r="A2774" s="40">
        <f t="array" ref="A2774">IFNA(index(PlayerValues!A:A,match(IFNA(vlookup(B2774,'Special Names'!A:B,2,FALSE),B2774),PlayerValues!E:E,0)),"N/A")</f>
        <v>13113</v>
      </c>
      <c r="B2774" s="4" t="s">
        <v>606</v>
      </c>
      <c r="C2774" s="4" t="s">
        <v>283</v>
      </c>
      <c r="D2774" s="94">
        <v>2009.0</v>
      </c>
    </row>
    <row r="2775">
      <c r="A2775" s="40">
        <f t="array" ref="A2775">IFNA(index(PlayerValues!A:A,match(IFNA(vlookup(B2775,'Special Names'!A:B,2,FALSE),B2775),PlayerValues!E:E,0)),"N/A")</f>
        <v>15238</v>
      </c>
      <c r="B2775" s="4" t="s">
        <v>613</v>
      </c>
      <c r="C2775" s="4" t="s">
        <v>283</v>
      </c>
      <c r="D2775" s="94">
        <v>1999.0</v>
      </c>
    </row>
    <row r="2776">
      <c r="A2776" s="40">
        <f t="array" ref="A2776">IFNA(index(PlayerValues!A:A,match(IFNA(vlookup(B2776,'Special Names'!A:B,2,FALSE),B2776),PlayerValues!E:E,0)),"N/A")</f>
        <v>16778</v>
      </c>
      <c r="B2776" s="4" t="s">
        <v>577</v>
      </c>
      <c r="C2776" s="4" t="s">
        <v>287</v>
      </c>
      <c r="D2776" s="94">
        <v>1998.0</v>
      </c>
    </row>
    <row r="2777">
      <c r="A2777" s="40">
        <f t="array" ref="A2777">IFNA(index(PlayerValues!A:A,match(IFNA(vlookup(B2777,'Special Names'!A:B,2,FALSE),B2777),PlayerValues!E:E,0)),"N/A")</f>
        <v>15293</v>
      </c>
      <c r="B2777" s="4" t="s">
        <v>578</v>
      </c>
      <c r="C2777" s="4" t="s">
        <v>287</v>
      </c>
      <c r="D2777" s="94">
        <v>1997.0</v>
      </c>
    </row>
    <row r="2778">
      <c r="A2778" s="40">
        <f t="array" ref="A2778">IFNA(index(PlayerValues!A:A,match(IFNA(vlookup(B2778,'Special Names'!A:B,2,FALSE),B2778),PlayerValues!E:E,0)),"N/A")</f>
        <v>14974</v>
      </c>
      <c r="B2778" s="4" t="s">
        <v>611</v>
      </c>
      <c r="C2778" s="4" t="s">
        <v>287</v>
      </c>
      <c r="D2778" s="94">
        <v>1988.0</v>
      </c>
    </row>
    <row r="2779">
      <c r="A2779" s="40" t="str">
        <f t="array" ref="A2779">IFNA(index(PlayerValues!A:A,match(IFNA(vlookup(B2779,'Special Names'!A:B,2,FALSE),B2779),PlayerValues!E:E,0)),"N/A")</f>
        <v>N/A</v>
      </c>
      <c r="B2779" s="4" t="s">
        <v>114</v>
      </c>
      <c r="C2779" s="4" t="s">
        <v>325</v>
      </c>
      <c r="D2779" s="94">
        <v>1984.0</v>
      </c>
    </row>
    <row r="2780">
      <c r="A2780" s="40">
        <f t="array" ref="A2780">IFNA(index(PlayerValues!A:A,match(IFNA(vlookup(B2780,'Special Names'!A:B,2,FALSE),B2780),PlayerValues!E:E,0)),"N/A")</f>
        <v>14867</v>
      </c>
      <c r="B2780" s="4" t="s">
        <v>591</v>
      </c>
      <c r="C2780" s="4" t="s">
        <v>298</v>
      </c>
      <c r="D2780" s="94">
        <v>2365.0</v>
      </c>
    </row>
    <row r="2781">
      <c r="A2781" s="40">
        <f t="array" ref="A2781">IFNA(index(PlayerValues!A:A,match(IFNA(vlookup(B2781,'Special Names'!A:B,2,FALSE),B2781),PlayerValues!E:E,0)),"N/A")</f>
        <v>16643</v>
      </c>
      <c r="B2781" s="4" t="s">
        <v>609</v>
      </c>
      <c r="C2781" s="4" t="s">
        <v>298</v>
      </c>
      <c r="D2781" s="94">
        <v>2358.0</v>
      </c>
    </row>
    <row r="2782">
      <c r="A2782" s="40">
        <f t="array" ref="A2782">IFNA(index(PlayerValues!A:A,match(IFNA(vlookup(B2782,'Special Names'!A:B,2,FALSE),B2782),PlayerValues!E:E,0)),"N/A")</f>
        <v>17056</v>
      </c>
      <c r="B2782" s="4" t="s">
        <v>581</v>
      </c>
      <c r="C2782" s="4" t="s">
        <v>278</v>
      </c>
      <c r="D2782" s="94">
        <v>1944.0</v>
      </c>
    </row>
    <row r="2783">
      <c r="A2783" s="40">
        <f t="array" ref="A2783">IFNA(index(PlayerValues!A:A,match(IFNA(vlookup(B2783,'Special Names'!A:B,2,FALSE),B2783),PlayerValues!E:E,0)),"N/A")</f>
        <v>17467</v>
      </c>
      <c r="B2783" s="4" t="s">
        <v>575</v>
      </c>
      <c r="C2783" s="4" t="s">
        <v>283</v>
      </c>
      <c r="D2783" s="94">
        <v>1937.0</v>
      </c>
    </row>
    <row r="2784">
      <c r="A2784" s="40">
        <f t="array" ref="A2784">IFNA(index(PlayerValues!A:A,match(IFNA(vlookup(B2784,'Special Names'!A:B,2,FALSE),B2784),PlayerValues!E:E,0)),"N/A")</f>
        <v>14871</v>
      </c>
      <c r="B2784" s="4" t="s">
        <v>584</v>
      </c>
      <c r="C2784" s="4" t="s">
        <v>298</v>
      </c>
      <c r="D2784" s="94">
        <v>2322.0</v>
      </c>
    </row>
    <row r="2785">
      <c r="A2785" s="40">
        <f t="array" ref="A2785">IFNA(index(PlayerValues!A:A,match(IFNA(vlookup(B2785,'Special Names'!A:B,2,FALSE),B2785),PlayerValues!E:E,0)),"N/A")</f>
        <v>17184</v>
      </c>
      <c r="B2785" s="4" t="s">
        <v>588</v>
      </c>
      <c r="C2785" s="4" t="s">
        <v>287</v>
      </c>
      <c r="D2785" s="94">
        <v>1935.0</v>
      </c>
    </row>
    <row r="2786">
      <c r="A2786" s="40">
        <f t="array" ref="A2786">IFNA(index(PlayerValues!A:A,match(IFNA(vlookup(B2786,'Special Names'!A:B,2,FALSE),B2786),PlayerValues!E:E,0)),"N/A")</f>
        <v>7836</v>
      </c>
      <c r="B2786" s="4" t="s">
        <v>590</v>
      </c>
      <c r="C2786" s="4" t="s">
        <v>283</v>
      </c>
      <c r="D2786" s="94">
        <v>1929.0</v>
      </c>
    </row>
    <row r="2787">
      <c r="A2787" s="40">
        <f t="array" ref="A2787">IFNA(index(PlayerValues!A:A,match(IFNA(vlookup(B2787,'Special Names'!A:B,2,FALSE),B2787),PlayerValues!E:E,0)),"N/A")</f>
        <v>16603</v>
      </c>
      <c r="B2787" s="4" t="s">
        <v>587</v>
      </c>
      <c r="C2787" s="4" t="s">
        <v>278</v>
      </c>
      <c r="D2787" s="94">
        <v>1927.0</v>
      </c>
    </row>
    <row r="2788">
      <c r="A2788" s="40">
        <f t="array" ref="A2788">IFNA(index(PlayerValues!A:A,match(IFNA(vlookup(B2788,'Special Names'!A:B,2,FALSE),B2788),PlayerValues!E:E,0)),"N/A")</f>
        <v>17046</v>
      </c>
      <c r="B2788" s="4" t="s">
        <v>602</v>
      </c>
      <c r="C2788" s="4" t="s">
        <v>278</v>
      </c>
      <c r="D2788" s="94">
        <v>1926.0</v>
      </c>
    </row>
    <row r="2789">
      <c r="A2789" s="40">
        <f t="array" ref="A2789">IFNA(index(PlayerValues!A:A,match(IFNA(vlookup(B2789,'Special Names'!A:B,2,FALSE),B2789),PlayerValues!E:E,0)),"N/A")</f>
        <v>17087</v>
      </c>
      <c r="B2789" s="4" t="s">
        <v>600</v>
      </c>
      <c r="C2789" s="4" t="s">
        <v>287</v>
      </c>
      <c r="D2789" s="94">
        <v>1919.0</v>
      </c>
    </row>
    <row r="2790">
      <c r="A2790" s="40">
        <f t="array" ref="A2790">IFNA(index(PlayerValues!A:A,match(IFNA(vlookup(B2790,'Special Names'!A:B,2,FALSE),B2790),PlayerValues!E:E,0)),"N/A")</f>
        <v>16432</v>
      </c>
      <c r="B2790" s="4" t="s">
        <v>620</v>
      </c>
      <c r="C2790" s="4" t="s">
        <v>278</v>
      </c>
      <c r="D2790" s="94">
        <v>1906.0</v>
      </c>
    </row>
    <row r="2791">
      <c r="A2791" s="40">
        <f t="array" ref="A2791">IFNA(index(PlayerValues!A:A,match(IFNA(vlookup(B2791,'Special Names'!A:B,2,FALSE),B2791),PlayerValues!E:E,0)),"N/A")</f>
        <v>16216</v>
      </c>
      <c r="B2791" s="4" t="s">
        <v>595</v>
      </c>
      <c r="C2791" s="4" t="s">
        <v>298</v>
      </c>
      <c r="D2791" s="94">
        <v>2284.0</v>
      </c>
    </row>
    <row r="2792">
      <c r="A2792" s="40">
        <f t="array" ref="A2792">IFNA(index(PlayerValues!A:A,match(IFNA(vlookup(B2792,'Special Names'!A:B,2,FALSE),B2792),PlayerValues!E:E,0)),"N/A")</f>
        <v>16342</v>
      </c>
      <c r="B2792" s="4" t="s">
        <v>583</v>
      </c>
      <c r="C2792" s="4" t="s">
        <v>287</v>
      </c>
      <c r="D2792" s="94">
        <v>1883.0</v>
      </c>
    </row>
    <row r="2793">
      <c r="A2793" s="40">
        <f t="array" ref="A2793">IFNA(index(PlayerValues!A:A,match(IFNA(vlookup(B2793,'Special Names'!A:B,2,FALSE),B2793),PlayerValues!E:E,0)),"N/A")</f>
        <v>16639</v>
      </c>
      <c r="B2793" s="4" t="s">
        <v>599</v>
      </c>
      <c r="C2793" s="4" t="s">
        <v>287</v>
      </c>
      <c r="D2793" s="94">
        <v>1873.0</v>
      </c>
    </row>
    <row r="2794">
      <c r="A2794" s="40">
        <f t="array" ref="A2794">IFNA(index(PlayerValues!A:A,match(IFNA(vlookup(B2794,'Special Names'!A:B,2,FALSE),B2794),PlayerValues!E:E,0)),"N/A")</f>
        <v>16752</v>
      </c>
      <c r="B2794" s="4" t="s">
        <v>597</v>
      </c>
      <c r="C2794" s="4" t="s">
        <v>278</v>
      </c>
      <c r="D2794" s="94">
        <v>1873.0</v>
      </c>
    </row>
    <row r="2795">
      <c r="A2795" s="40">
        <f t="array" ref="A2795">IFNA(index(PlayerValues!A:A,match(IFNA(vlookup(B2795,'Special Names'!A:B,2,FALSE),B2795),PlayerValues!E:E,0)),"N/A")</f>
        <v>14136</v>
      </c>
      <c r="B2795" s="4" t="s">
        <v>536</v>
      </c>
      <c r="C2795" s="4" t="s">
        <v>287</v>
      </c>
      <c r="D2795" s="94">
        <v>1852.0</v>
      </c>
    </row>
    <row r="2796">
      <c r="A2796" s="40">
        <f t="array" ref="A2796">IFNA(index(PlayerValues!A:A,match(IFNA(vlookup(B2796,'Special Names'!A:B,2,FALSE),B2796),PlayerValues!E:E,0)),"N/A")</f>
        <v>17548</v>
      </c>
      <c r="B2796" s="4" t="s">
        <v>594</v>
      </c>
      <c r="C2796" s="4" t="s">
        <v>298</v>
      </c>
      <c r="D2796" s="94">
        <v>2235.0</v>
      </c>
    </row>
    <row r="2797">
      <c r="A2797" s="40">
        <f t="array" ref="A2797">IFNA(index(PlayerValues!A:A,match(IFNA(vlookup(B2797,'Special Names'!A:B,2,FALSE),B2797),PlayerValues!E:E,0)),"N/A")</f>
        <v>10700</v>
      </c>
      <c r="B2797" s="4" t="s">
        <v>596</v>
      </c>
      <c r="C2797" s="4" t="s">
        <v>283</v>
      </c>
      <c r="D2797" s="94">
        <v>1848.0</v>
      </c>
    </row>
    <row r="2798">
      <c r="A2798" s="40">
        <f t="array" ref="A2798">IFNA(index(PlayerValues!A:A,match(IFNA(vlookup(B2798,'Special Names'!A:B,2,FALSE),B2798),PlayerValues!E:E,0)),"N/A")</f>
        <v>13633</v>
      </c>
      <c r="B2798" s="4" t="s">
        <v>625</v>
      </c>
      <c r="C2798" s="4" t="s">
        <v>287</v>
      </c>
      <c r="D2798" s="94">
        <v>1845.0</v>
      </c>
    </row>
    <row r="2799">
      <c r="A2799" s="40">
        <f t="array" ref="A2799">IFNA(index(PlayerValues!A:A,match(IFNA(vlookup(B2799,'Special Names'!A:B,2,FALSE),B2799),PlayerValues!E:E,0)),"N/A")</f>
        <v>17086</v>
      </c>
      <c r="B2799" s="4" t="s">
        <v>612</v>
      </c>
      <c r="C2799" s="4" t="s">
        <v>287</v>
      </c>
      <c r="D2799" s="94">
        <v>1840.0</v>
      </c>
    </row>
    <row r="2800">
      <c r="A2800" s="40">
        <f t="array" ref="A2800">IFNA(index(PlayerValues!A:A,match(IFNA(vlookup(B2800,'Special Names'!A:B,2,FALSE),B2800),PlayerValues!E:E,0)),"N/A")</f>
        <v>15788</v>
      </c>
      <c r="B2800" s="4" t="s">
        <v>627</v>
      </c>
      <c r="C2800" s="4" t="s">
        <v>287</v>
      </c>
      <c r="D2800" s="94">
        <v>1835.0</v>
      </c>
    </row>
    <row r="2801">
      <c r="A2801" s="40" t="str">
        <f t="array" ref="A2801">IFNA(index(PlayerValues!A:A,match(IFNA(vlookup(B2801,'Special Names'!A:B,2,FALSE),B2801),PlayerValues!E:E,0)),"N/A")</f>
        <v>N/A</v>
      </c>
      <c r="B2801" s="4" t="s">
        <v>101</v>
      </c>
      <c r="C2801" s="4" t="s">
        <v>325</v>
      </c>
      <c r="D2801" s="94">
        <v>1830.0</v>
      </c>
    </row>
    <row r="2802">
      <c r="A2802" s="40">
        <f t="array" ref="A2802">IFNA(index(PlayerValues!A:A,match(IFNA(vlookup(B2802,'Special Names'!A:B,2,FALSE),B2802),PlayerValues!E:E,0)),"N/A")</f>
        <v>13629</v>
      </c>
      <c r="B2802" s="4" t="s">
        <v>619</v>
      </c>
      <c r="C2802" s="4" t="s">
        <v>287</v>
      </c>
      <c r="D2802" s="94">
        <v>1826.0</v>
      </c>
    </row>
    <row r="2803">
      <c r="A2803" s="40">
        <f t="array" ref="A2803">IFNA(index(PlayerValues!A:A,match(IFNA(vlookup(B2803,'Special Names'!A:B,2,FALSE),B2803),PlayerValues!E:E,0)),"N/A")</f>
        <v>17036</v>
      </c>
      <c r="B2803" s="4" t="s">
        <v>617</v>
      </c>
      <c r="C2803" s="4" t="s">
        <v>283</v>
      </c>
      <c r="D2803" s="94">
        <v>1825.0</v>
      </c>
    </row>
    <row r="2804">
      <c r="A2804" s="40">
        <f t="array" ref="A2804">IFNA(index(PlayerValues!A:A,match(IFNA(vlookup(B2804,'Special Names'!A:B,2,FALSE),B2804),PlayerValues!E:E,0)),"N/A")</f>
        <v>16644</v>
      </c>
      <c r="B2804" s="4" t="s">
        <v>640</v>
      </c>
      <c r="C2804" s="4" t="s">
        <v>298</v>
      </c>
      <c r="D2804" s="94">
        <v>2150.0</v>
      </c>
    </row>
    <row r="2805">
      <c r="A2805" s="40">
        <f t="array" ref="A2805">IFNA(index(PlayerValues!A:A,match(IFNA(vlookup(B2805,'Special Names'!A:B,2,FALSE),B2805),PlayerValues!E:E,0)),"N/A")</f>
        <v>17519</v>
      </c>
      <c r="B2805" s="4" t="s">
        <v>593</v>
      </c>
      <c r="C2805" s="4" t="s">
        <v>287</v>
      </c>
      <c r="D2805" s="94">
        <v>1766.0</v>
      </c>
    </row>
    <row r="2806">
      <c r="A2806" s="40">
        <f t="array" ref="A2806">IFNA(index(PlayerValues!A:A,match(IFNA(vlookup(B2806,'Special Names'!A:B,2,FALSE),B2806),PlayerValues!E:E,0)),"N/A")</f>
        <v>13189</v>
      </c>
      <c r="B2806" s="4" t="s">
        <v>626</v>
      </c>
      <c r="C2806" s="4" t="s">
        <v>298</v>
      </c>
      <c r="D2806" s="94">
        <v>2143.0</v>
      </c>
    </row>
    <row r="2807">
      <c r="A2807" s="40" t="str">
        <f t="array" ref="A2807">IFNA(index(PlayerValues!A:A,match(IFNA(vlookup(B2807,'Special Names'!A:B,2,FALSE),B2807),PlayerValues!E:E,0)),"N/A")</f>
        <v>N/A</v>
      </c>
      <c r="B2807" s="4" t="s">
        <v>89</v>
      </c>
      <c r="C2807" s="4" t="s">
        <v>325</v>
      </c>
      <c r="D2807" s="94">
        <v>1761.0</v>
      </c>
    </row>
    <row r="2808">
      <c r="A2808" s="40">
        <f t="array" ref="A2808">IFNA(index(PlayerValues!A:A,match(IFNA(vlookup(B2808,'Special Names'!A:B,2,FALSE),B2808),PlayerValues!E:E,0)),"N/A")</f>
        <v>16215</v>
      </c>
      <c r="B2808" s="4" t="s">
        <v>637</v>
      </c>
      <c r="C2808" s="4" t="s">
        <v>298</v>
      </c>
      <c r="D2808" s="94">
        <v>2130.0</v>
      </c>
    </row>
    <row r="2809">
      <c r="A2809" s="40">
        <f t="array" ref="A2809">IFNA(index(PlayerValues!A:A,match(IFNA(vlookup(B2809,'Special Names'!A:B,2,FALSE),B2809),PlayerValues!E:E,0)),"N/A")</f>
        <v>16191</v>
      </c>
      <c r="B2809" s="4" t="s">
        <v>666</v>
      </c>
      <c r="C2809" s="4" t="s">
        <v>287</v>
      </c>
      <c r="D2809" s="94">
        <v>1748.0</v>
      </c>
    </row>
    <row r="2810">
      <c r="A2810" s="40">
        <f t="array" ref="A2810">IFNA(index(PlayerValues!A:A,match(IFNA(vlookup(B2810,'Special Names'!A:B,2,FALSE),B2810),PlayerValues!E:E,0)),"N/A")</f>
        <v>13146</v>
      </c>
      <c r="B2810" s="4" t="s">
        <v>652</v>
      </c>
      <c r="C2810" s="4" t="s">
        <v>278</v>
      </c>
      <c r="D2810" s="94">
        <v>1747.0</v>
      </c>
    </row>
    <row r="2811">
      <c r="A2811" s="40" t="str">
        <f t="array" ref="A2811">IFNA(index(PlayerValues!A:A,match(IFNA(vlookup(B2811,'Special Names'!A:B,2,FALSE),B2811),PlayerValues!E:E,0)),"N/A")</f>
        <v>N/A</v>
      </c>
      <c r="B2811" s="4" t="s">
        <v>102</v>
      </c>
      <c r="C2811" s="4" t="s">
        <v>325</v>
      </c>
      <c r="D2811" s="94">
        <v>1745.0</v>
      </c>
    </row>
    <row r="2812">
      <c r="A2812" s="40">
        <f t="array" ref="A2812">IFNA(index(PlayerValues!A:A,match(IFNA(vlookup(B2812,'Special Names'!A:B,2,FALSE),B2812),PlayerValues!E:E,0)),"N/A")</f>
        <v>17685</v>
      </c>
      <c r="B2812" s="4" t="s">
        <v>630</v>
      </c>
      <c r="C2812" s="4" t="s">
        <v>278</v>
      </c>
      <c r="D2812" s="94">
        <v>1736.0</v>
      </c>
    </row>
    <row r="2813">
      <c r="A2813" s="40">
        <f t="array" ref="A2813">IFNA(index(PlayerValues!A:A,match(IFNA(vlookup(B2813,'Special Names'!A:B,2,FALSE),B2813),PlayerValues!E:E,0)),"N/A")</f>
        <v>17034</v>
      </c>
      <c r="B2813" s="4" t="s">
        <v>643</v>
      </c>
      <c r="C2813" s="4" t="s">
        <v>283</v>
      </c>
      <c r="D2813" s="94">
        <v>1722.0</v>
      </c>
    </row>
    <row r="2814">
      <c r="A2814" s="40">
        <f t="array" ref="A2814">IFNA(index(PlayerValues!A:A,match(IFNA(vlookup(B2814,'Special Names'!A:B,2,FALSE),B2814),PlayerValues!E:E,0)),"N/A")</f>
        <v>13164</v>
      </c>
      <c r="B2814" s="4" t="s">
        <v>632</v>
      </c>
      <c r="C2814" s="4" t="s">
        <v>287</v>
      </c>
      <c r="D2814" s="94">
        <v>1718.0</v>
      </c>
    </row>
    <row r="2815">
      <c r="A2815" s="40">
        <f t="array" ref="A2815">IFNA(index(PlayerValues!A:A,match(IFNA(vlookup(B2815,'Special Names'!A:B,2,FALSE),B2815),PlayerValues!E:E,0)),"N/A")</f>
        <v>15787</v>
      </c>
      <c r="B2815" s="4" t="s">
        <v>610</v>
      </c>
      <c r="C2815" s="4" t="s">
        <v>287</v>
      </c>
      <c r="D2815" s="94">
        <v>1713.0</v>
      </c>
    </row>
    <row r="2816">
      <c r="A2816" s="40">
        <f t="array" ref="A2816">IFNA(index(PlayerValues!A:A,match(IFNA(vlookup(B2816,'Special Names'!A:B,2,FALSE),B2816),PlayerValues!E:E,0)),"N/A")</f>
        <v>17049</v>
      </c>
      <c r="B2816" s="4" t="s">
        <v>624</v>
      </c>
      <c r="C2816" s="4" t="s">
        <v>278</v>
      </c>
      <c r="D2816" s="94">
        <v>1708.0</v>
      </c>
    </row>
    <row r="2817">
      <c r="A2817" s="40">
        <f t="array" ref="A2817">IFNA(index(PlayerValues!A:A,match(IFNA(vlookup(B2817,'Special Names'!A:B,2,FALSE),B2817),PlayerValues!E:E,0)),"N/A")</f>
        <v>17529</v>
      </c>
      <c r="B2817" s="4" t="s">
        <v>608</v>
      </c>
      <c r="C2817" s="4" t="s">
        <v>287</v>
      </c>
      <c r="D2817" s="94">
        <v>1691.0</v>
      </c>
    </row>
    <row r="2818">
      <c r="A2818" s="40">
        <f t="array" ref="A2818">IFNA(index(PlayerValues!A:A,match(IFNA(vlookup(B2818,'Special Names'!A:B,2,FALSE),B2818),PlayerValues!E:E,0)),"N/A")</f>
        <v>14143</v>
      </c>
      <c r="B2818" s="4" t="s">
        <v>635</v>
      </c>
      <c r="C2818" s="4" t="s">
        <v>298</v>
      </c>
      <c r="D2818" s="94">
        <v>2068.0</v>
      </c>
    </row>
    <row r="2819">
      <c r="A2819" s="40">
        <f t="array" ref="A2819">IFNA(index(PlayerValues!A:A,match(IFNA(vlookup(B2819,'Special Names'!A:B,2,FALSE),B2819),PlayerValues!E:E,0)),"N/A")</f>
        <v>16171</v>
      </c>
      <c r="B2819" s="4" t="s">
        <v>618</v>
      </c>
      <c r="C2819" s="4" t="s">
        <v>278</v>
      </c>
      <c r="D2819" s="94">
        <v>1683.0</v>
      </c>
    </row>
    <row r="2820">
      <c r="A2820" s="40">
        <f t="array" ref="A2820">IFNA(index(PlayerValues!A:A,match(IFNA(vlookup(B2820,'Special Names'!A:B,2,FALSE),B2820),PlayerValues!E:E,0)),"N/A")</f>
        <v>17058</v>
      </c>
      <c r="B2820" s="4" t="s">
        <v>641</v>
      </c>
      <c r="C2820" s="4" t="s">
        <v>278</v>
      </c>
      <c r="D2820" s="94">
        <v>1681.0</v>
      </c>
    </row>
    <row r="2821">
      <c r="A2821" s="40">
        <f t="array" ref="A2821">IFNA(index(PlayerValues!A:A,match(IFNA(vlookup(B2821,'Special Names'!A:B,2,FALSE),B2821),PlayerValues!E:E,0)),"N/A")</f>
        <v>15752</v>
      </c>
      <c r="B2821" s="4" t="s">
        <v>647</v>
      </c>
      <c r="C2821" s="4" t="s">
        <v>287</v>
      </c>
      <c r="D2821" s="94">
        <v>1665.0</v>
      </c>
    </row>
    <row r="2822">
      <c r="A2822" s="40">
        <f t="array" ref="A2822">IFNA(index(PlayerValues!A:A,match(IFNA(vlookup(B2822,'Special Names'!A:B,2,FALSE),B2822),PlayerValues!E:E,0)),"N/A")</f>
        <v>15755</v>
      </c>
      <c r="B2822" s="4" t="s">
        <v>628</v>
      </c>
      <c r="C2822" s="4" t="s">
        <v>287</v>
      </c>
      <c r="D2822" s="94">
        <v>1661.0</v>
      </c>
    </row>
    <row r="2823">
      <c r="A2823" s="40" t="str">
        <f t="array" ref="A2823">IFNA(index(PlayerValues!A:A,match(IFNA(vlookup(B2823,'Special Names'!A:B,2,FALSE),B2823),PlayerValues!E:E,0)),"N/A")</f>
        <v>N/A</v>
      </c>
      <c r="B2823" s="4" t="s">
        <v>115</v>
      </c>
      <c r="C2823" s="4" t="s">
        <v>325</v>
      </c>
      <c r="D2823" s="94">
        <v>1649.0</v>
      </c>
    </row>
    <row r="2824">
      <c r="A2824" s="40">
        <f t="array" ref="A2824">IFNA(index(PlayerValues!A:A,match(IFNA(vlookup(B2824,'Special Names'!A:B,2,FALSE),B2824),PlayerValues!E:E,0)),"N/A")</f>
        <v>16207</v>
      </c>
      <c r="B2824" s="4" t="s">
        <v>636</v>
      </c>
      <c r="C2824" s="4" t="s">
        <v>287</v>
      </c>
      <c r="D2824" s="94">
        <v>1645.0</v>
      </c>
    </row>
    <row r="2825">
      <c r="A2825" s="40" t="str">
        <f t="array" ref="A2825">IFNA(index(PlayerValues!A:A,match(IFNA(vlookup(B2825,'Special Names'!A:B,2,FALSE),B2825),PlayerValues!E:E,0)),"N/A")</f>
        <v>N/A</v>
      </c>
      <c r="B2825" s="4" t="s">
        <v>103</v>
      </c>
      <c r="C2825" s="4" t="s">
        <v>325</v>
      </c>
      <c r="D2825" s="94">
        <v>1645.0</v>
      </c>
    </row>
    <row r="2826">
      <c r="A2826" s="40">
        <f t="array" ref="A2826">IFNA(index(PlayerValues!A:A,match(IFNA(vlookup(B2826,'Special Names'!A:B,2,FALSE),B2826),PlayerValues!E:E,0)),"N/A")</f>
        <v>17521</v>
      </c>
      <c r="B2826" s="4" t="s">
        <v>573</v>
      </c>
      <c r="C2826" s="4" t="s">
        <v>287</v>
      </c>
      <c r="D2826" s="94">
        <v>1642.0</v>
      </c>
    </row>
    <row r="2827">
      <c r="A2827" s="40">
        <f t="array" ref="A2827">IFNA(index(PlayerValues!A:A,match(IFNA(vlookup(B2827,'Special Names'!A:B,2,FALSE),B2827),PlayerValues!E:E,0)),"N/A")</f>
        <v>16608</v>
      </c>
      <c r="B2827" s="4" t="s">
        <v>629</v>
      </c>
      <c r="C2827" s="4" t="s">
        <v>278</v>
      </c>
      <c r="D2827" s="94">
        <v>1640.0</v>
      </c>
    </row>
    <row r="2828">
      <c r="A2828" s="40">
        <f t="array" ref="A2828">IFNA(index(PlayerValues!A:A,match(IFNA(vlookup(B2828,'Special Names'!A:B,2,FALSE),B2828),PlayerValues!E:E,0)),"N/A")</f>
        <v>17096</v>
      </c>
      <c r="B2828" s="4" t="s">
        <v>638</v>
      </c>
      <c r="C2828" s="4" t="s">
        <v>287</v>
      </c>
      <c r="D2828" s="94">
        <v>1628.0</v>
      </c>
    </row>
    <row r="2829">
      <c r="A2829" s="40">
        <f t="array" ref="A2829">IFNA(index(PlayerValues!A:A,match(IFNA(vlookup(B2829,'Special Names'!A:B,2,FALSE),B2829),PlayerValues!E:E,0)),"N/A")</f>
        <v>16201</v>
      </c>
      <c r="B2829" s="4" t="s">
        <v>589</v>
      </c>
      <c r="C2829" s="4" t="s">
        <v>287</v>
      </c>
      <c r="D2829" s="94">
        <v>1610.0</v>
      </c>
    </row>
    <row r="2830">
      <c r="A2830" s="40">
        <f t="array" ref="A2830">IFNA(index(PlayerValues!A:A,match(IFNA(vlookup(B2830,'Special Names'!A:B,2,FALSE),B2830),PlayerValues!E:E,0)),"N/A")</f>
        <v>16585</v>
      </c>
      <c r="B2830" s="4" t="s">
        <v>623</v>
      </c>
      <c r="C2830" s="4" t="s">
        <v>283</v>
      </c>
      <c r="D2830" s="94">
        <v>1597.0</v>
      </c>
    </row>
    <row r="2831">
      <c r="A2831" s="40" t="str">
        <f t="array" ref="A2831">IFNA(index(PlayerValues!A:A,match(IFNA(vlookup(B2831,'Special Names'!A:B,2,FALSE),B2831),PlayerValues!E:E,0)),"N/A")</f>
        <v>N/A</v>
      </c>
      <c r="B2831" s="4" t="s">
        <v>90</v>
      </c>
      <c r="C2831" s="4" t="s">
        <v>325</v>
      </c>
      <c r="D2831" s="94">
        <v>1593.0</v>
      </c>
    </row>
    <row r="2832">
      <c r="A2832" s="40">
        <f t="array" ref="A2832">IFNA(index(PlayerValues!A:A,match(IFNA(vlookup(B2832,'Special Names'!A:B,2,FALSE),B2832),PlayerValues!E:E,0)),"N/A")</f>
        <v>16635</v>
      </c>
      <c r="B2832" s="4" t="s">
        <v>645</v>
      </c>
      <c r="C2832" s="4" t="s">
        <v>287</v>
      </c>
      <c r="D2832" s="94">
        <v>1592.0</v>
      </c>
    </row>
    <row r="2833">
      <c r="A2833" s="40">
        <f t="array" ref="A2833">IFNA(index(PlayerValues!A:A,match(IFNA(vlookup(B2833,'Special Names'!A:B,2,FALSE),B2833),PlayerValues!E:E,0)),"N/A")</f>
        <v>17035</v>
      </c>
      <c r="B2833" s="4" t="s">
        <v>650</v>
      </c>
      <c r="C2833" s="4" t="s">
        <v>283</v>
      </c>
      <c r="D2833" s="94">
        <v>1592.0</v>
      </c>
    </row>
    <row r="2834">
      <c r="A2834" s="40">
        <f t="array" ref="A2834">IFNA(index(PlayerValues!A:A,match(IFNA(vlookup(B2834,'Special Names'!A:B,2,FALSE),B2834),PlayerValues!E:E,0)),"N/A")</f>
        <v>14122</v>
      </c>
      <c r="B2834" s="4" t="s">
        <v>663</v>
      </c>
      <c r="C2834" s="4" t="s">
        <v>287</v>
      </c>
      <c r="D2834" s="94">
        <v>1585.0</v>
      </c>
    </row>
    <row r="2835">
      <c r="A2835" s="40">
        <f t="array" ref="A2835">IFNA(index(PlayerValues!A:A,match(IFNA(vlookup(B2835,'Special Names'!A:B,2,FALSE),B2835),PlayerValues!E:E,0)),"N/A")</f>
        <v>16629</v>
      </c>
      <c r="B2835" s="4" t="s">
        <v>605</v>
      </c>
      <c r="C2835" s="4" t="s">
        <v>287</v>
      </c>
      <c r="D2835" s="94">
        <v>1585.0</v>
      </c>
    </row>
    <row r="2836">
      <c r="A2836" s="40">
        <f t="array" ref="A2836">IFNA(index(PlayerValues!A:A,match(IFNA(vlookup(B2836,'Special Names'!A:B,2,FALSE),B2836),PlayerValues!E:E,0)),"N/A")</f>
        <v>17064</v>
      </c>
      <c r="B2836" s="4" t="s">
        <v>631</v>
      </c>
      <c r="C2836" s="4" t="s">
        <v>278</v>
      </c>
      <c r="D2836" s="94">
        <v>1576.0</v>
      </c>
    </row>
    <row r="2837">
      <c r="A2837" s="40">
        <f t="array" ref="A2837">IFNA(index(PlayerValues!A:A,match(IFNA(vlookup(B2837,'Special Names'!A:B,2,FALSE),B2837),PlayerValues!E:E,0)),"N/A")</f>
        <v>14840</v>
      </c>
      <c r="B2837" s="4" t="s">
        <v>731</v>
      </c>
      <c r="C2837" s="4" t="s">
        <v>287</v>
      </c>
      <c r="D2837" s="94">
        <v>1571.0</v>
      </c>
    </row>
    <row r="2838">
      <c r="A2838" s="40">
        <f t="array" ref="A2838">IFNA(index(PlayerValues!A:A,match(IFNA(vlookup(B2838,'Special Names'!A:B,2,FALSE),B2838),PlayerValues!E:E,0)),"N/A")</f>
        <v>15337</v>
      </c>
      <c r="B2838" s="4" t="s">
        <v>655</v>
      </c>
      <c r="C2838" s="4" t="s">
        <v>298</v>
      </c>
      <c r="D2838" s="94">
        <v>1927.0</v>
      </c>
    </row>
    <row r="2839">
      <c r="A2839" s="40">
        <f t="array" ref="A2839">IFNA(index(PlayerValues!A:A,match(IFNA(vlookup(B2839,'Special Names'!A:B,2,FALSE),B2839),PlayerValues!E:E,0)),"N/A")</f>
        <v>12801</v>
      </c>
      <c r="B2839" s="4" t="s">
        <v>722</v>
      </c>
      <c r="C2839" s="4" t="s">
        <v>287</v>
      </c>
      <c r="D2839" s="94">
        <v>1539.0</v>
      </c>
    </row>
    <row r="2840">
      <c r="A2840" s="40" t="str">
        <f t="array" ref="A2840">IFNA(index(PlayerValues!A:A,match(IFNA(vlookup(B2840,'Special Names'!A:B,2,FALSE),B2840),PlayerValues!E:E,0)),"N/A")</f>
        <v>N/A</v>
      </c>
      <c r="B2840" s="4" t="s">
        <v>91</v>
      </c>
      <c r="C2840" s="4" t="s">
        <v>325</v>
      </c>
      <c r="D2840" s="94">
        <v>1533.0</v>
      </c>
    </row>
    <row r="2841">
      <c r="A2841" s="40" t="str">
        <f t="array" ref="A2841">IFNA(index(PlayerValues!A:A,match(IFNA(vlookup(B2841,'Special Names'!A:B,2,FALSE),B2841),PlayerValues!E:E,0)),"N/A")</f>
        <v>N/A</v>
      </c>
      <c r="B2841" s="4" t="s">
        <v>116</v>
      </c>
      <c r="C2841" s="4" t="s">
        <v>325</v>
      </c>
      <c r="D2841" s="94">
        <v>1523.0</v>
      </c>
    </row>
    <row r="2842">
      <c r="A2842" s="40">
        <f t="array" ref="A2842">IFNA(index(PlayerValues!A:A,match(IFNA(vlookup(B2842,'Special Names'!A:B,2,FALSE),B2842),PlayerValues!E:E,0)),"N/A")</f>
        <v>15319</v>
      </c>
      <c r="B2842" s="4" t="s">
        <v>644</v>
      </c>
      <c r="C2842" s="4" t="s">
        <v>287</v>
      </c>
      <c r="D2842" s="94">
        <v>1520.0</v>
      </c>
    </row>
    <row r="2843">
      <c r="A2843" s="40">
        <f t="array" ref="A2843">IFNA(index(PlayerValues!A:A,match(IFNA(vlookup(B2843,'Special Names'!A:B,2,FALSE),B2843),PlayerValues!E:E,0)),"N/A")</f>
        <v>16595</v>
      </c>
      <c r="B2843" s="4" t="s">
        <v>664</v>
      </c>
      <c r="C2843" s="4" t="s">
        <v>278</v>
      </c>
      <c r="D2843" s="94">
        <v>1515.0</v>
      </c>
    </row>
    <row r="2844">
      <c r="A2844" s="40">
        <f t="array" ref="A2844">IFNA(index(PlayerValues!A:A,match(IFNA(vlookup(B2844,'Special Names'!A:B,2,FALSE),B2844),PlayerValues!E:E,0)),"N/A")</f>
        <v>16601</v>
      </c>
      <c r="B2844" s="4" t="s">
        <v>648</v>
      </c>
      <c r="C2844" s="4" t="s">
        <v>278</v>
      </c>
      <c r="D2844" s="94">
        <v>1513.0</v>
      </c>
    </row>
    <row r="2845">
      <c r="A2845" s="40">
        <f t="array" ref="A2845">IFNA(index(PlayerValues!A:A,match(IFNA(vlookup(B2845,'Special Names'!A:B,2,FALSE),B2845),PlayerValues!E:E,0)),"N/A")</f>
        <v>17465</v>
      </c>
      <c r="B2845" s="4" t="s">
        <v>649</v>
      </c>
      <c r="C2845" s="4" t="s">
        <v>283</v>
      </c>
      <c r="D2845" s="94">
        <v>1500.0</v>
      </c>
    </row>
    <row r="2846">
      <c r="A2846" s="40">
        <f t="array" ref="A2846">IFNA(index(PlayerValues!A:A,match(IFNA(vlookup(B2846,'Special Names'!A:B,2,FALSE),B2846),PlayerValues!E:E,0)),"N/A")</f>
        <v>13672</v>
      </c>
      <c r="B2846" s="4" t="s">
        <v>667</v>
      </c>
      <c r="C2846" s="4" t="s">
        <v>298</v>
      </c>
      <c r="D2846" s="94">
        <v>1871.0</v>
      </c>
    </row>
    <row r="2847">
      <c r="A2847" s="40">
        <f t="array" ref="A2847">IFNA(index(PlayerValues!A:A,match(IFNA(vlookup(B2847,'Special Names'!A:B,2,FALSE),B2847),PlayerValues!E:E,0)),"N/A")</f>
        <v>15301</v>
      </c>
      <c r="B2847" s="4" t="s">
        <v>657</v>
      </c>
      <c r="C2847" s="4" t="s">
        <v>287</v>
      </c>
      <c r="D2847" s="94">
        <v>1495.0</v>
      </c>
    </row>
    <row r="2848">
      <c r="A2848" s="40">
        <f t="array" ref="A2848">IFNA(index(PlayerValues!A:A,match(IFNA(vlookup(B2848,'Special Names'!A:B,2,FALSE),B2848),PlayerValues!E:E,0)),"N/A")</f>
        <v>16387</v>
      </c>
      <c r="B2848" s="4" t="s">
        <v>646</v>
      </c>
      <c r="C2848" s="4" t="s">
        <v>278</v>
      </c>
      <c r="D2848" s="94">
        <v>1494.0</v>
      </c>
    </row>
    <row r="2849">
      <c r="A2849" s="40">
        <f t="array" ref="A2849">IFNA(index(PlayerValues!A:A,match(IFNA(vlookup(B2849,'Special Names'!A:B,2,FALSE),B2849),PlayerValues!E:E,0)),"N/A")</f>
        <v>15738</v>
      </c>
      <c r="B2849" s="4" t="s">
        <v>634</v>
      </c>
      <c r="C2849" s="4" t="s">
        <v>278</v>
      </c>
      <c r="D2849" s="94">
        <v>1485.0</v>
      </c>
    </row>
    <row r="2850">
      <c r="A2850" s="40">
        <f t="array" ref="A2850">IFNA(index(PlayerValues!A:A,match(IFNA(vlookup(B2850,'Special Names'!A:B,2,FALSE),B2850),PlayerValues!E:E,0)),"N/A")</f>
        <v>17652</v>
      </c>
      <c r="B2850" s="4" t="s">
        <v>576</v>
      </c>
      <c r="C2850" s="4" t="s">
        <v>278</v>
      </c>
      <c r="D2850" s="94">
        <v>1479.0</v>
      </c>
    </row>
    <row r="2851">
      <c r="A2851" s="40">
        <f t="array" ref="A2851">IFNA(index(PlayerValues!A:A,match(IFNA(vlookup(B2851,'Special Names'!A:B,2,FALSE),B2851),PlayerValues!E:E,0)),"N/A")</f>
        <v>17234</v>
      </c>
      <c r="B2851" s="4" t="s">
        <v>653</v>
      </c>
      <c r="C2851" s="4" t="s">
        <v>287</v>
      </c>
      <c r="D2851" s="94">
        <v>1463.0</v>
      </c>
    </row>
    <row r="2852">
      <c r="A2852" s="40">
        <f t="array" ref="A2852">IFNA(index(PlayerValues!A:A,match(IFNA(vlookup(B2852,'Special Names'!A:B,2,FALSE),B2852),PlayerValues!E:E,0)),"N/A")</f>
        <v>16586</v>
      </c>
      <c r="B2852" s="4" t="s">
        <v>658</v>
      </c>
      <c r="C2852" s="4" t="s">
        <v>283</v>
      </c>
      <c r="D2852" s="94">
        <v>1461.0</v>
      </c>
    </row>
    <row r="2853">
      <c r="A2853" s="40">
        <f t="array" ref="A2853">IFNA(index(PlayerValues!A:A,match(IFNA(vlookup(B2853,'Special Names'!A:B,2,FALSE),B2853),PlayerValues!E:E,0)),"N/A")</f>
        <v>14086</v>
      </c>
      <c r="B2853" s="4" t="s">
        <v>639</v>
      </c>
      <c r="C2853" s="4" t="s">
        <v>278</v>
      </c>
      <c r="D2853" s="94">
        <v>1459.0</v>
      </c>
    </row>
    <row r="2854">
      <c r="A2854" s="40">
        <f t="array" ref="A2854">IFNA(index(PlayerValues!A:A,match(IFNA(vlookup(B2854,'Special Names'!A:B,2,FALSE),B2854),PlayerValues!E:E,0)),"N/A")</f>
        <v>14105</v>
      </c>
      <c r="B2854" s="4" t="s">
        <v>675</v>
      </c>
      <c r="C2854" s="4" t="s">
        <v>287</v>
      </c>
      <c r="D2854" s="94">
        <v>1442.0</v>
      </c>
    </row>
    <row r="2855">
      <c r="A2855" s="40">
        <f t="array" ref="A2855">IFNA(index(PlayerValues!A:A,match(IFNA(vlookup(B2855,'Special Names'!A:B,2,FALSE),B2855),PlayerValues!E:E,0)),"N/A")</f>
        <v>17205</v>
      </c>
      <c r="B2855" s="4" t="s">
        <v>665</v>
      </c>
      <c r="C2855" s="4" t="s">
        <v>287</v>
      </c>
      <c r="D2855" s="94">
        <v>1440.0</v>
      </c>
    </row>
    <row r="2856">
      <c r="A2856" s="40">
        <f t="array" ref="A2856">IFNA(index(PlayerValues!A:A,match(IFNA(vlookup(B2856,'Special Names'!A:B,2,FALSE),B2856),PlayerValues!E:E,0)),"N/A")</f>
        <v>16688</v>
      </c>
      <c r="B2856" s="4" t="s">
        <v>688</v>
      </c>
      <c r="C2856" s="4" t="s">
        <v>278</v>
      </c>
      <c r="D2856" s="94">
        <v>1427.0</v>
      </c>
    </row>
    <row r="2857">
      <c r="A2857" s="40">
        <f t="array" ref="A2857">IFNA(index(PlayerValues!A:A,match(IFNA(vlookup(B2857,'Special Names'!A:B,2,FALSE),B2857),PlayerValues!E:E,0)),"N/A")</f>
        <v>15713</v>
      </c>
      <c r="B2857" s="4" t="s">
        <v>732</v>
      </c>
      <c r="C2857" s="4" t="s">
        <v>278</v>
      </c>
      <c r="D2857" s="94">
        <v>1421.0</v>
      </c>
    </row>
    <row r="2858">
      <c r="A2858" s="40">
        <f t="array" ref="A2858">IFNA(index(PlayerValues!A:A,match(IFNA(vlookup(B2858,'Special Names'!A:B,2,FALSE),B2858),PlayerValues!E:E,0)),"N/A")</f>
        <v>16621</v>
      </c>
      <c r="B2858" s="4" t="s">
        <v>672</v>
      </c>
      <c r="C2858" s="4" t="s">
        <v>287</v>
      </c>
      <c r="D2858" s="94">
        <v>1410.0</v>
      </c>
    </row>
    <row r="2859">
      <c r="A2859" s="40">
        <f t="array" ref="A2859">IFNA(index(PlayerValues!A:A,match(IFNA(vlookup(B2859,'Special Names'!A:B,2,FALSE),B2859),PlayerValues!E:E,0)),"N/A")</f>
        <v>14137</v>
      </c>
      <c r="B2859" s="4" t="s">
        <v>676</v>
      </c>
      <c r="C2859" s="4" t="s">
        <v>298</v>
      </c>
      <c r="D2859" s="94">
        <v>1778.0</v>
      </c>
    </row>
    <row r="2860">
      <c r="A2860" s="40">
        <f t="array" ref="A2860">IFNA(index(PlayerValues!A:A,match(IFNA(vlookup(B2860,'Special Names'!A:B,2,FALSE),B2860),PlayerValues!E:E,0)),"N/A")</f>
        <v>15759</v>
      </c>
      <c r="B2860" s="4" t="s">
        <v>662</v>
      </c>
      <c r="C2860" s="4" t="s">
        <v>287</v>
      </c>
      <c r="D2860" s="94">
        <v>1406.0</v>
      </c>
    </row>
    <row r="2861">
      <c r="A2861" s="40">
        <f t="array" ref="A2861">IFNA(index(PlayerValues!A:A,match(IFNA(vlookup(B2861,'Special Names'!A:B,2,FALSE),B2861),PlayerValues!E:E,0)),"N/A")</f>
        <v>16633</v>
      </c>
      <c r="B2861" s="4" t="s">
        <v>656</v>
      </c>
      <c r="C2861" s="4" t="s">
        <v>287</v>
      </c>
      <c r="D2861" s="94">
        <v>1402.0</v>
      </c>
    </row>
    <row r="2862">
      <c r="A2862" s="40">
        <f t="array" ref="A2862">IFNA(index(PlayerValues!A:A,match(IFNA(vlookup(B2862,'Special Names'!A:B,2,FALSE),B2862),PlayerValues!E:E,0)),"N/A")</f>
        <v>16788</v>
      </c>
      <c r="B2862" s="4" t="s">
        <v>621</v>
      </c>
      <c r="C2862" s="4" t="s">
        <v>287</v>
      </c>
      <c r="D2862" s="94">
        <v>1400.0</v>
      </c>
    </row>
    <row r="2863">
      <c r="A2863" s="40">
        <f t="array" ref="A2863">IFNA(index(PlayerValues!A:A,match(IFNA(vlookup(B2863,'Special Names'!A:B,2,FALSE),B2863),PlayerValues!E:E,0)),"N/A")</f>
        <v>15292</v>
      </c>
      <c r="B2863" s="4" t="s">
        <v>682</v>
      </c>
      <c r="C2863" s="4" t="s">
        <v>287</v>
      </c>
      <c r="D2863" s="94">
        <v>1396.0</v>
      </c>
    </row>
    <row r="2864">
      <c r="A2864" s="40">
        <f t="array" ref="A2864">IFNA(index(PlayerValues!A:A,match(IFNA(vlookup(B2864,'Special Names'!A:B,2,FALSE),B2864),PlayerValues!E:E,0)),"N/A")</f>
        <v>16631</v>
      </c>
      <c r="B2864" s="4" t="s">
        <v>800</v>
      </c>
      <c r="C2864" s="4" t="s">
        <v>287</v>
      </c>
      <c r="D2864" s="94">
        <v>1393.0</v>
      </c>
    </row>
    <row r="2865">
      <c r="A2865" s="40">
        <f t="array" ref="A2865">IFNA(index(PlayerValues!A:A,match(IFNA(vlookup(B2865,'Special Names'!A:B,2,FALSE),B2865),PlayerValues!E:E,0)),"N/A")</f>
        <v>15873</v>
      </c>
      <c r="B2865" s="4" t="s">
        <v>681</v>
      </c>
      <c r="C2865" s="4" t="s">
        <v>298</v>
      </c>
      <c r="D2865" s="94">
        <v>1755.0</v>
      </c>
    </row>
    <row r="2866">
      <c r="A2866" s="40">
        <f t="array" ref="A2866">IFNA(index(PlayerValues!A:A,match(IFNA(vlookup(B2866,'Special Names'!A:B,2,FALSE),B2866),PlayerValues!E:E,0)),"N/A")</f>
        <v>16175</v>
      </c>
      <c r="B2866" s="4" t="s">
        <v>654</v>
      </c>
      <c r="C2866" s="4" t="s">
        <v>278</v>
      </c>
      <c r="D2866" s="94">
        <v>1377.0</v>
      </c>
    </row>
    <row r="2867">
      <c r="A2867" s="40">
        <f t="array" ref="A2867">IFNA(index(PlayerValues!A:A,match(IFNA(vlookup(B2867,'Special Names'!A:B,2,FALSE),B2867),PlayerValues!E:E,0)),"N/A")</f>
        <v>16645</v>
      </c>
      <c r="B2867" s="4" t="s">
        <v>651</v>
      </c>
      <c r="C2867" s="4" t="s">
        <v>298</v>
      </c>
      <c r="D2867" s="94">
        <v>1736.0</v>
      </c>
    </row>
    <row r="2868">
      <c r="A2868" s="40">
        <f t="array" ref="A2868">IFNA(index(PlayerValues!A:A,match(IFNA(vlookup(B2868,'Special Names'!A:B,2,FALSE),B2868),PlayerValues!E:E,0)),"N/A")</f>
        <v>15777</v>
      </c>
      <c r="B2868" s="4" t="s">
        <v>694</v>
      </c>
      <c r="C2868" s="4" t="s">
        <v>287</v>
      </c>
      <c r="D2868" s="94">
        <v>1352.0</v>
      </c>
    </row>
    <row r="2869">
      <c r="A2869" s="40">
        <f t="array" ref="A2869">IFNA(index(PlayerValues!A:A,match(IFNA(vlookup(B2869,'Special Names'!A:B,2,FALSE),B2869),PlayerValues!E:E,0)),"N/A")</f>
        <v>16642</v>
      </c>
      <c r="B2869" s="4" t="s">
        <v>691</v>
      </c>
      <c r="C2869" s="4" t="s">
        <v>298</v>
      </c>
      <c r="D2869" s="94">
        <v>1715.0</v>
      </c>
    </row>
    <row r="2870">
      <c r="A2870" s="40">
        <f t="array" ref="A2870">IFNA(index(PlayerValues!A:A,match(IFNA(vlookup(B2870,'Special Names'!A:B,2,FALSE),B2870),PlayerValues!E:E,0)),"N/A")</f>
        <v>16390</v>
      </c>
      <c r="B2870" s="4" t="s">
        <v>689</v>
      </c>
      <c r="C2870" s="4" t="s">
        <v>278</v>
      </c>
      <c r="D2870" s="94">
        <v>1330.0</v>
      </c>
    </row>
    <row r="2871">
      <c r="A2871" s="40">
        <f t="array" ref="A2871">IFNA(index(PlayerValues!A:A,match(IFNA(vlookup(B2871,'Special Names'!A:B,2,FALSE),B2871),PlayerValues!E:E,0)),"N/A")</f>
        <v>17054</v>
      </c>
      <c r="B2871" s="4" t="s">
        <v>670</v>
      </c>
      <c r="C2871" s="4" t="s">
        <v>278</v>
      </c>
      <c r="D2871" s="94">
        <v>1323.0</v>
      </c>
    </row>
    <row r="2872">
      <c r="A2872" s="40" t="str">
        <f t="array" ref="A2872">IFNA(index(PlayerValues!A:A,match(IFNA(vlookup(B2872,'Special Names'!A:B,2,FALSE),B2872),PlayerValues!E:E,0)),"N/A")</f>
        <v>N/A</v>
      </c>
      <c r="B2872" s="4" t="s">
        <v>117</v>
      </c>
      <c r="C2872" s="4" t="s">
        <v>325</v>
      </c>
      <c r="D2872" s="94">
        <v>1317.0</v>
      </c>
    </row>
    <row r="2873">
      <c r="A2873" s="40">
        <f t="array" ref="A2873">IFNA(index(PlayerValues!A:A,match(IFNA(vlookup(B2873,'Special Names'!A:B,2,FALSE),B2873),PlayerValues!E:E,0)),"N/A")</f>
        <v>16792</v>
      </c>
      <c r="B2873" s="4" t="s">
        <v>704</v>
      </c>
      <c r="C2873" s="4" t="s">
        <v>287</v>
      </c>
      <c r="D2873" s="94">
        <v>1310.0</v>
      </c>
    </row>
    <row r="2874">
      <c r="A2874" s="40">
        <f t="array" ref="A2874">IFNA(index(PlayerValues!A:A,match(IFNA(vlookup(B2874,'Special Names'!A:B,2,FALSE),B2874),PlayerValues!E:E,0)),"N/A")</f>
        <v>17254</v>
      </c>
      <c r="B2874" s="4" t="s">
        <v>679</v>
      </c>
      <c r="C2874" s="4" t="s">
        <v>287</v>
      </c>
      <c r="D2874" s="94">
        <v>1303.0</v>
      </c>
    </row>
    <row r="2875">
      <c r="A2875" s="40">
        <f t="array" ref="A2875">IFNA(index(PlayerValues!A:A,match(IFNA(vlookup(B2875,'Special Names'!A:B,2,FALSE),B2875),PlayerValues!E:E,0)),"N/A")</f>
        <v>16746</v>
      </c>
      <c r="B2875" s="4" t="s">
        <v>709</v>
      </c>
      <c r="C2875" s="4" t="s">
        <v>278</v>
      </c>
      <c r="D2875" s="94">
        <v>1301.0</v>
      </c>
    </row>
    <row r="2876">
      <c r="A2876" s="40">
        <f t="array" ref="A2876">IFNA(index(PlayerValues!A:A,match(IFNA(vlookup(B2876,'Special Names'!A:B,2,FALSE),B2876),PlayerValues!E:E,0)),"N/A")</f>
        <v>17063</v>
      </c>
      <c r="B2876" s="4" t="s">
        <v>686</v>
      </c>
      <c r="C2876" s="4" t="s">
        <v>278</v>
      </c>
      <c r="D2876" s="94">
        <v>1298.0</v>
      </c>
    </row>
    <row r="2877">
      <c r="A2877" s="40">
        <f t="array" ref="A2877">IFNA(index(PlayerValues!A:A,match(IFNA(vlookup(B2877,'Special Names'!A:B,2,FALSE),B2877),PlayerValues!E:E,0)),"N/A")</f>
        <v>17475</v>
      </c>
      <c r="B2877" s="4" t="s">
        <v>615</v>
      </c>
      <c r="C2877" s="4" t="s">
        <v>278</v>
      </c>
      <c r="D2877" s="94">
        <v>1297.0</v>
      </c>
    </row>
    <row r="2878">
      <c r="A2878" s="40">
        <f t="array" ref="A2878">IFNA(index(PlayerValues!A:A,match(IFNA(vlookup(B2878,'Special Names'!A:B,2,FALSE),B2878),PlayerValues!E:E,0)),"N/A")</f>
        <v>12678</v>
      </c>
      <c r="B2878" s="4" t="s">
        <v>703</v>
      </c>
      <c r="C2878" s="4" t="s">
        <v>298</v>
      </c>
      <c r="D2878" s="94">
        <v>1665.0</v>
      </c>
    </row>
    <row r="2879">
      <c r="A2879" s="40">
        <f t="array" ref="A2879">IFNA(index(PlayerValues!A:A,match(IFNA(vlookup(B2879,'Special Names'!A:B,2,FALSE),B2879),PlayerValues!E:E,0)),"N/A")</f>
        <v>17097</v>
      </c>
      <c r="B2879" s="4" t="s">
        <v>659</v>
      </c>
      <c r="C2879" s="4" t="s">
        <v>287</v>
      </c>
      <c r="D2879" s="94">
        <v>1294.0</v>
      </c>
    </row>
    <row r="2880">
      <c r="A2880" s="40">
        <f t="array" ref="A2880">IFNA(index(PlayerValues!A:A,match(IFNA(vlookup(B2880,'Special Names'!A:B,2,FALSE),B2880),PlayerValues!E:E,0)),"N/A")</f>
        <v>14095</v>
      </c>
      <c r="B2880" s="4" t="s">
        <v>680</v>
      </c>
      <c r="C2880" s="4" t="s">
        <v>278</v>
      </c>
      <c r="D2880" s="94">
        <v>1282.0</v>
      </c>
    </row>
    <row r="2881">
      <c r="A2881" s="40">
        <f t="array" ref="A2881">IFNA(index(PlayerValues!A:A,match(IFNA(vlookup(B2881,'Special Names'!A:B,2,FALSE),B2881),PlayerValues!E:E,0)),"N/A")</f>
        <v>16183</v>
      </c>
      <c r="B2881" s="4" t="s">
        <v>678</v>
      </c>
      <c r="C2881" s="4" t="s">
        <v>287</v>
      </c>
      <c r="D2881" s="94">
        <v>1276.0</v>
      </c>
    </row>
    <row r="2882">
      <c r="A2882" s="40">
        <f t="array" ref="A2882">IFNA(index(PlayerValues!A:A,match(IFNA(vlookup(B2882,'Special Names'!A:B,2,FALSE),B2882),PlayerValues!E:E,0)),"N/A")</f>
        <v>16384</v>
      </c>
      <c r="B2882" s="4" t="s">
        <v>696</v>
      </c>
      <c r="C2882" s="4" t="s">
        <v>283</v>
      </c>
      <c r="D2882" s="94">
        <v>1269.0</v>
      </c>
    </row>
    <row r="2883">
      <c r="A2883" s="40">
        <f t="array" ref="A2883">IFNA(index(PlayerValues!A:A,match(IFNA(vlookup(B2883,'Special Names'!A:B,2,FALSE),B2883),PlayerValues!E:E,0)),"N/A")</f>
        <v>16636</v>
      </c>
      <c r="B2883" s="4" t="s">
        <v>699</v>
      </c>
      <c r="C2883" s="4" t="s">
        <v>287</v>
      </c>
      <c r="D2883" s="94">
        <v>1269.0</v>
      </c>
    </row>
    <row r="2884">
      <c r="A2884" s="40">
        <f t="array" ref="A2884">IFNA(index(PlayerValues!A:A,match(IFNA(vlookup(B2884,'Special Names'!A:B,2,FALSE),B2884),PlayerValues!E:E,0)),"N/A")</f>
        <v>12140</v>
      </c>
      <c r="B2884" s="4" t="s">
        <v>702</v>
      </c>
      <c r="C2884" s="4" t="s">
        <v>283</v>
      </c>
      <c r="D2884" s="94">
        <v>1258.0</v>
      </c>
    </row>
    <row r="2885">
      <c r="A2885" s="40">
        <f t="array" ref="A2885">IFNA(index(PlayerValues!A:A,match(IFNA(vlookup(B2885,'Special Names'!A:B,2,FALSE),B2885),PlayerValues!E:E,0)),"N/A")</f>
        <v>17657</v>
      </c>
      <c r="B2885" s="4" t="s">
        <v>642</v>
      </c>
      <c r="C2885" s="4" t="s">
        <v>283</v>
      </c>
      <c r="D2885" s="94">
        <v>1256.0</v>
      </c>
    </row>
    <row r="2886">
      <c r="A2886" s="40">
        <f t="array" ref="A2886">IFNA(index(PlayerValues!A:A,match(IFNA(vlookup(B2886,'Special Names'!A:B,2,FALSE),B2886),PlayerValues!E:E,0)),"N/A")</f>
        <v>14592</v>
      </c>
      <c r="B2886" s="4" t="s">
        <v>705</v>
      </c>
      <c r="C2886" s="4" t="s">
        <v>287</v>
      </c>
      <c r="D2886" s="94">
        <v>1255.0</v>
      </c>
    </row>
    <row r="2887">
      <c r="A2887" s="40">
        <f t="array" ref="A2887">IFNA(index(PlayerValues!A:A,match(IFNA(vlookup(B2887,'Special Names'!A:B,2,FALSE),B2887),PlayerValues!E:E,0)),"N/A")</f>
        <v>15332</v>
      </c>
      <c r="B2887" s="4" t="s">
        <v>698</v>
      </c>
      <c r="C2887" s="4" t="s">
        <v>298</v>
      </c>
      <c r="D2887" s="94">
        <v>1616.0</v>
      </c>
    </row>
    <row r="2888">
      <c r="A2888" s="40">
        <f t="array" ref="A2888">IFNA(index(PlayerValues!A:A,match(IFNA(vlookup(B2888,'Special Names'!A:B,2,FALSE),B2888),PlayerValues!E:E,0)),"N/A")</f>
        <v>17510</v>
      </c>
      <c r="B2888" s="4" t="s">
        <v>661</v>
      </c>
      <c r="C2888" s="4" t="s">
        <v>287</v>
      </c>
      <c r="D2888" s="94">
        <v>1245.0</v>
      </c>
    </row>
    <row r="2889">
      <c r="A2889" s="40">
        <f t="array" ref="A2889">IFNA(index(PlayerValues!A:A,match(IFNA(vlookup(B2889,'Special Names'!A:B,2,FALSE),B2889),PlayerValues!E:E,0)),"N/A")</f>
        <v>17037</v>
      </c>
      <c r="B2889" s="4" t="s">
        <v>727</v>
      </c>
      <c r="C2889" s="4" t="s">
        <v>283</v>
      </c>
      <c r="D2889" s="94">
        <v>1239.0</v>
      </c>
    </row>
    <row r="2890">
      <c r="A2890" s="40">
        <f t="array" ref="A2890">IFNA(index(PlayerValues!A:A,match(IFNA(vlookup(B2890,'Special Names'!A:B,2,FALSE),B2890),PlayerValues!E:E,0)),"N/A")</f>
        <v>16883</v>
      </c>
      <c r="B2890" s="4" t="s">
        <v>683</v>
      </c>
      <c r="C2890" s="4" t="s">
        <v>287</v>
      </c>
      <c r="D2890" s="94">
        <v>1224.0</v>
      </c>
    </row>
    <row r="2891">
      <c r="A2891" s="40">
        <f t="array" ref="A2891">IFNA(index(PlayerValues!A:A,match(IFNA(vlookup(B2891,'Special Names'!A:B,2,FALSE),B2891),PlayerValues!E:E,0)),"N/A")</f>
        <v>15702</v>
      </c>
      <c r="B2891" s="4" t="s">
        <v>723</v>
      </c>
      <c r="C2891" s="4" t="s">
        <v>283</v>
      </c>
      <c r="D2891" s="94">
        <v>1222.0</v>
      </c>
    </row>
    <row r="2892">
      <c r="A2892" s="40">
        <f t="array" ref="A2892">IFNA(index(PlayerValues!A:A,match(IFNA(vlookup(B2892,'Special Names'!A:B,2,FALSE),B2892),PlayerValues!E:E,0)),"N/A")</f>
        <v>16385</v>
      </c>
      <c r="B2892" s="4" t="s">
        <v>690</v>
      </c>
      <c r="C2892" s="4" t="s">
        <v>278</v>
      </c>
      <c r="D2892" s="94">
        <v>1213.0</v>
      </c>
    </row>
    <row r="2893">
      <c r="A2893" s="40">
        <f t="array" ref="A2893">IFNA(index(PlayerValues!A:A,match(IFNA(vlookup(B2893,'Special Names'!A:B,2,FALSE),B2893),PlayerValues!E:E,0)),"N/A")</f>
        <v>16199</v>
      </c>
      <c r="B2893" s="4" t="s">
        <v>687</v>
      </c>
      <c r="C2893" s="4" t="s">
        <v>287</v>
      </c>
      <c r="D2893" s="94">
        <v>1208.0</v>
      </c>
    </row>
    <row r="2894">
      <c r="A2894" s="40">
        <f t="array" ref="A2894">IFNA(index(PlayerValues!A:A,match(IFNA(vlookup(B2894,'Special Names'!A:B,2,FALSE),B2894),PlayerValues!E:E,0)),"N/A")</f>
        <v>17062</v>
      </c>
      <c r="B2894" s="4" t="s">
        <v>701</v>
      </c>
      <c r="C2894" s="4" t="s">
        <v>278</v>
      </c>
      <c r="D2894" s="94">
        <v>1207.0</v>
      </c>
    </row>
    <row r="2895">
      <c r="A2895" s="40">
        <f t="array" ref="A2895">IFNA(index(PlayerValues!A:A,match(IFNA(vlookup(B2895,'Special Names'!A:B,2,FALSE),B2895),PlayerValues!E:E,0)),"N/A")</f>
        <v>17192</v>
      </c>
      <c r="B2895" s="4" t="s">
        <v>677</v>
      </c>
      <c r="C2895" s="4" t="s">
        <v>287</v>
      </c>
      <c r="D2895" s="94">
        <v>1207.0</v>
      </c>
    </row>
    <row r="2896">
      <c r="A2896" s="40">
        <f t="array" ref="A2896">IFNA(index(PlayerValues!A:A,match(IFNA(vlookup(B2896,'Special Names'!A:B,2,FALSE),B2896),PlayerValues!E:E,0)),"N/A")</f>
        <v>14080</v>
      </c>
      <c r="B2896" s="4" t="s">
        <v>716</v>
      </c>
      <c r="C2896" s="4" t="s">
        <v>278</v>
      </c>
      <c r="D2896" s="94">
        <v>1202.0</v>
      </c>
    </row>
    <row r="2897">
      <c r="A2897" s="40">
        <f t="array" ref="A2897">IFNA(index(PlayerValues!A:A,match(IFNA(vlookup(B2897,'Special Names'!A:B,2,FALSE),B2897),PlayerValues!E:E,0)),"N/A")</f>
        <v>13418</v>
      </c>
      <c r="B2897" s="4" t="s">
        <v>706</v>
      </c>
      <c r="C2897" s="4" t="s">
        <v>287</v>
      </c>
      <c r="D2897" s="94">
        <v>1201.0</v>
      </c>
    </row>
    <row r="2898">
      <c r="A2898" s="40">
        <f t="array" ref="A2898">IFNA(index(PlayerValues!A:A,match(IFNA(vlookup(B2898,'Special Names'!A:B,2,FALSE),B2898),PlayerValues!E:E,0)),"N/A")</f>
        <v>17518</v>
      </c>
      <c r="B2898" s="4" t="s">
        <v>482</v>
      </c>
      <c r="C2898" s="4" t="s">
        <v>287</v>
      </c>
      <c r="D2898" s="94">
        <v>1186.0</v>
      </c>
    </row>
    <row r="2899">
      <c r="A2899" s="40">
        <f t="array" ref="A2899">IFNA(index(PlayerValues!A:A,match(IFNA(vlookup(B2899,'Special Names'!A:B,2,FALSE),B2899),PlayerValues!E:E,0)),"N/A")</f>
        <v>14067</v>
      </c>
      <c r="B2899" s="4" t="s">
        <v>735</v>
      </c>
      <c r="C2899" s="4" t="s">
        <v>283</v>
      </c>
      <c r="D2899" s="94">
        <v>1173.0</v>
      </c>
    </row>
    <row r="2900">
      <c r="A2900" s="40">
        <f t="array" ref="A2900">IFNA(index(PlayerValues!A:A,match(IFNA(vlookup(B2900,'Special Names'!A:B,2,FALSE),B2900),PlayerValues!E:E,0)),"N/A")</f>
        <v>17077</v>
      </c>
      <c r="B2900" s="4" t="s">
        <v>714</v>
      </c>
      <c r="C2900" s="4" t="s">
        <v>287</v>
      </c>
      <c r="D2900" s="94">
        <v>1173.0</v>
      </c>
    </row>
    <row r="2901">
      <c r="A2901" s="40">
        <f t="array" ref="A2901">IFNA(index(PlayerValues!A:A,match(IFNA(vlookup(B2901,'Special Names'!A:B,2,FALSE),B2901),PlayerValues!E:E,0)),"N/A")</f>
        <v>17546</v>
      </c>
      <c r="B2901" s="4" t="s">
        <v>671</v>
      </c>
      <c r="C2901" s="4" t="s">
        <v>298</v>
      </c>
      <c r="D2901" s="94">
        <v>1541.0</v>
      </c>
    </row>
    <row r="2902">
      <c r="A2902" s="40">
        <f t="array" ref="A2902">IFNA(index(PlayerValues!A:A,match(IFNA(vlookup(B2902,'Special Names'!A:B,2,FALSE),B2902),PlayerValues!E:E,0)),"N/A")</f>
        <v>17109</v>
      </c>
      <c r="B2902" s="4" t="s">
        <v>707</v>
      </c>
      <c r="C2902" s="4" t="s">
        <v>298</v>
      </c>
      <c r="D2902" s="94">
        <v>1539.0</v>
      </c>
    </row>
    <row r="2903">
      <c r="A2903" s="40">
        <f t="array" ref="A2903">IFNA(index(PlayerValues!A:A,match(IFNA(vlookup(B2903,'Special Names'!A:B,2,FALSE),B2903),PlayerValues!E:E,0)),"N/A")</f>
        <v>11222</v>
      </c>
      <c r="B2903" s="4" t="s">
        <v>622</v>
      </c>
      <c r="C2903" s="4" t="s">
        <v>287</v>
      </c>
      <c r="D2903" s="94">
        <v>1166.0</v>
      </c>
    </row>
    <row r="2904">
      <c r="A2904" s="40">
        <f t="array" ref="A2904">IFNA(index(PlayerValues!A:A,match(IFNA(vlookup(B2904,'Special Names'!A:B,2,FALSE),B2904),PlayerValues!E:E,0)),"N/A")</f>
        <v>15252</v>
      </c>
      <c r="B2904" s="4" t="s">
        <v>715</v>
      </c>
      <c r="C2904" s="4" t="s">
        <v>283</v>
      </c>
      <c r="D2904" s="94">
        <v>1166.0</v>
      </c>
    </row>
    <row r="2905">
      <c r="A2905" s="40">
        <f t="array" ref="A2905">IFNA(index(PlayerValues!A:A,match(IFNA(vlookup(B2905,'Special Names'!A:B,2,FALSE),B2905),PlayerValues!E:E,0)),"N/A")</f>
        <v>15254</v>
      </c>
      <c r="B2905" s="4" t="s">
        <v>633</v>
      </c>
      <c r="C2905" s="4" t="s">
        <v>278</v>
      </c>
      <c r="D2905" s="94">
        <v>1164.0</v>
      </c>
    </row>
    <row r="2906">
      <c r="A2906" s="40">
        <f t="array" ref="A2906">IFNA(index(PlayerValues!A:A,match(IFNA(vlookup(B2906,'Special Names'!A:B,2,FALSE),B2906),PlayerValues!E:E,0)),"N/A")</f>
        <v>17269</v>
      </c>
      <c r="B2906" s="4" t="s">
        <v>718</v>
      </c>
      <c r="C2906" s="4" t="s">
        <v>287</v>
      </c>
      <c r="D2906" s="94">
        <v>1163.0</v>
      </c>
    </row>
    <row r="2907">
      <c r="A2907" s="40">
        <f t="array" ref="A2907">IFNA(index(PlayerValues!A:A,match(IFNA(vlookup(B2907,'Special Names'!A:B,2,FALSE),B2907),PlayerValues!E:E,0)),"N/A")</f>
        <v>16333</v>
      </c>
      <c r="B2907" s="4" t="s">
        <v>711</v>
      </c>
      <c r="C2907" s="4" t="s">
        <v>298</v>
      </c>
      <c r="D2907" s="94">
        <v>1530.0</v>
      </c>
    </row>
    <row r="2908">
      <c r="A2908" s="40">
        <f t="array" ref="A2908">IFNA(index(PlayerValues!A:A,match(IFNA(vlookup(B2908,'Special Names'!A:B,2,FALSE),B2908),PlayerValues!E:E,0)),"N/A")</f>
        <v>14108</v>
      </c>
      <c r="B2908" s="4" t="s">
        <v>673</v>
      </c>
      <c r="C2908" s="4" t="s">
        <v>287</v>
      </c>
      <c r="D2908" s="94">
        <v>1156.0</v>
      </c>
    </row>
    <row r="2909">
      <c r="A2909" s="40">
        <f t="array" ref="A2909">IFNA(index(PlayerValues!A:A,match(IFNA(vlookup(B2909,'Special Names'!A:B,2,FALSE),B2909),PlayerValues!E:E,0)),"N/A")</f>
        <v>14789</v>
      </c>
      <c r="B2909" s="4" t="s">
        <v>721</v>
      </c>
      <c r="C2909" s="4" t="s">
        <v>283</v>
      </c>
      <c r="D2909" s="94">
        <v>1151.0</v>
      </c>
    </row>
    <row r="2910">
      <c r="A2910" s="40">
        <f t="array" ref="A2910">IFNA(index(PlayerValues!A:A,match(IFNA(vlookup(B2910,'Special Names'!A:B,2,FALSE),B2910),PlayerValues!E:E,0)),"N/A")</f>
        <v>15288</v>
      </c>
      <c r="B2910" s="4" t="s">
        <v>700</v>
      </c>
      <c r="C2910" s="4" t="s">
        <v>287</v>
      </c>
      <c r="D2910" s="94">
        <v>1149.0</v>
      </c>
    </row>
    <row r="2911">
      <c r="A2911" s="40">
        <f t="array" ref="A2911">IFNA(index(PlayerValues!A:A,match(IFNA(vlookup(B2911,'Special Names'!A:B,2,FALSE),B2911),PlayerValues!E:E,0)),"N/A")</f>
        <v>17057</v>
      </c>
      <c r="B2911" s="4" t="s">
        <v>708</v>
      </c>
      <c r="C2911" s="4" t="s">
        <v>278</v>
      </c>
      <c r="D2911" s="94">
        <v>1147.0</v>
      </c>
    </row>
    <row r="2912">
      <c r="A2912" s="40">
        <f t="array" ref="A2912">IFNA(index(PlayerValues!A:A,match(IFNA(vlookup(B2912,'Special Names'!A:B,2,FALSE),B2912),PlayerValues!E:E,0)),"N/A")</f>
        <v>16221</v>
      </c>
      <c r="B2912" s="4" t="s">
        <v>725</v>
      </c>
      <c r="C2912" s="4" t="s">
        <v>298</v>
      </c>
      <c r="D2912" s="94">
        <v>1516.0</v>
      </c>
    </row>
    <row r="2913">
      <c r="A2913" s="40">
        <f t="array" ref="A2913">IFNA(index(PlayerValues!A:A,match(IFNA(vlookup(B2913,'Special Names'!A:B,2,FALSE),B2913),PlayerValues!E:E,0)),"N/A")</f>
        <v>17050</v>
      </c>
      <c r="B2913" s="4" t="s">
        <v>713</v>
      </c>
      <c r="C2913" s="4" t="s">
        <v>278</v>
      </c>
      <c r="D2913" s="94">
        <v>1133.0</v>
      </c>
    </row>
    <row r="2914">
      <c r="A2914" s="40">
        <f t="array" ref="A2914">IFNA(index(PlayerValues!A:A,match(IFNA(vlookup(B2914,'Special Names'!A:B,2,FALSE),B2914),PlayerValues!E:E,0)),"N/A")</f>
        <v>16640</v>
      </c>
      <c r="B2914" s="4" t="s">
        <v>712</v>
      </c>
      <c r="C2914" s="4" t="s">
        <v>287</v>
      </c>
      <c r="D2914" s="94">
        <v>1127.0</v>
      </c>
    </row>
    <row r="2915">
      <c r="A2915" s="40">
        <f t="array" ref="A2915">IFNA(index(PlayerValues!A:A,match(IFNA(vlookup(B2915,'Special Names'!A:B,2,FALSE),B2915),PlayerValues!E:E,0)),"N/A")</f>
        <v>15981</v>
      </c>
      <c r="B2915" s="4" t="s">
        <v>729</v>
      </c>
      <c r="C2915" s="4" t="s">
        <v>287</v>
      </c>
      <c r="D2915" s="94">
        <v>1112.0</v>
      </c>
    </row>
    <row r="2916">
      <c r="A2916" s="40">
        <f t="array" ref="A2916">IFNA(index(PlayerValues!A:A,match(IFNA(vlookup(B2916,'Special Names'!A:B,2,FALSE),B2916),PlayerValues!E:E,0)),"N/A")</f>
        <v>15795</v>
      </c>
      <c r="B2916" s="4" t="s">
        <v>669</v>
      </c>
      <c r="C2916" s="4" t="s">
        <v>298</v>
      </c>
      <c r="D2916" s="94">
        <v>1467.0</v>
      </c>
    </row>
    <row r="2917">
      <c r="A2917" s="40">
        <f t="array" ref="A2917">IFNA(index(PlayerValues!A:A,match(IFNA(vlookup(B2917,'Special Names'!A:B,2,FALSE),B2917),PlayerValues!E:E,0)),"N/A")</f>
        <v>17504</v>
      </c>
      <c r="B2917" s="4" t="s">
        <v>693</v>
      </c>
      <c r="C2917" s="4" t="s">
        <v>287</v>
      </c>
      <c r="D2917" s="94">
        <v>1088.0</v>
      </c>
    </row>
    <row r="2918">
      <c r="A2918" s="40">
        <f t="array" ref="A2918">IFNA(index(PlayerValues!A:A,match(IFNA(vlookup(B2918,'Special Names'!A:B,2,FALSE),B2918),PlayerValues!E:E,0)),"N/A")</f>
        <v>12141</v>
      </c>
      <c r="B2918" s="4" t="s">
        <v>744</v>
      </c>
      <c r="C2918" s="4" t="s">
        <v>283</v>
      </c>
      <c r="D2918" s="94">
        <v>1083.0</v>
      </c>
    </row>
    <row r="2919">
      <c r="A2919" s="40">
        <f t="array" ref="A2919">IFNA(index(PlayerValues!A:A,match(IFNA(vlookup(B2919,'Special Names'!A:B,2,FALSE),B2919),PlayerValues!E:E,0)),"N/A")</f>
        <v>16149</v>
      </c>
      <c r="B2919" s="4" t="s">
        <v>740</v>
      </c>
      <c r="C2919" s="4" t="s">
        <v>283</v>
      </c>
      <c r="D2919" s="94">
        <v>1071.0</v>
      </c>
    </row>
    <row r="2920">
      <c r="A2920" s="40">
        <f t="array" ref="A2920">IFNA(index(PlayerValues!A:A,match(IFNA(vlookup(B2920,'Special Names'!A:B,2,FALSE),B2920),PlayerValues!E:E,0)),"N/A")</f>
        <v>13289</v>
      </c>
      <c r="B2920" s="4" t="s">
        <v>746</v>
      </c>
      <c r="C2920" s="4" t="s">
        <v>287</v>
      </c>
      <c r="D2920" s="94">
        <v>1064.0</v>
      </c>
    </row>
    <row r="2921">
      <c r="A2921" s="40">
        <f t="array" ref="A2921">IFNA(index(PlayerValues!A:A,match(IFNA(vlookup(B2921,'Special Names'!A:B,2,FALSE),B2921),PlayerValues!E:E,0)),"N/A")</f>
        <v>16197</v>
      </c>
      <c r="B2921" s="4" t="s">
        <v>726</v>
      </c>
      <c r="C2921" s="4" t="s">
        <v>287</v>
      </c>
      <c r="D2921" s="94">
        <v>1064.0</v>
      </c>
    </row>
    <row r="2922">
      <c r="A2922" s="40">
        <f t="array" ref="A2922">IFNA(index(PlayerValues!A:A,match(IFNA(vlookup(B2922,'Special Names'!A:B,2,FALSE),B2922),PlayerValues!E:E,0)),"N/A")</f>
        <v>14845</v>
      </c>
      <c r="B2922" s="4" t="s">
        <v>717</v>
      </c>
      <c r="C2922" s="4" t="s">
        <v>287</v>
      </c>
      <c r="D2922" s="94">
        <v>1061.0</v>
      </c>
    </row>
    <row r="2923">
      <c r="A2923" s="40">
        <f t="array" ref="A2923">IFNA(index(PlayerValues!A:A,match(IFNA(vlookup(B2923,'Special Names'!A:B,2,FALSE),B2923),PlayerValues!E:E,0)),"N/A")</f>
        <v>15240</v>
      </c>
      <c r="B2923" s="4" t="s">
        <v>751</v>
      </c>
      <c r="C2923" s="4" t="s">
        <v>283</v>
      </c>
      <c r="D2923" s="94">
        <v>1056.0</v>
      </c>
    </row>
    <row r="2924">
      <c r="A2924" s="40">
        <f t="array" ref="A2924">IFNA(index(PlayerValues!A:A,match(IFNA(vlookup(B2924,'Special Names'!A:B,2,FALSE),B2924),PlayerValues!E:E,0)),"N/A")</f>
        <v>15109</v>
      </c>
      <c r="B2924" s="4" t="s">
        <v>728</v>
      </c>
      <c r="C2924" s="4" t="s">
        <v>287</v>
      </c>
      <c r="D2924" s="94">
        <v>1033.0</v>
      </c>
    </row>
    <row r="2925">
      <c r="A2925" s="40">
        <f t="array" ref="A2925">IFNA(index(PlayerValues!A:A,match(IFNA(vlookup(B2925,'Special Names'!A:B,2,FALSE),B2925),PlayerValues!E:E,0)),"N/A")</f>
        <v>14849</v>
      </c>
      <c r="B2925" s="4" t="s">
        <v>733</v>
      </c>
      <c r="C2925" s="4" t="s">
        <v>287</v>
      </c>
      <c r="D2925" s="94">
        <v>1032.0</v>
      </c>
    </row>
    <row r="2926">
      <c r="A2926" s="40">
        <f t="array" ref="A2926">IFNA(index(PlayerValues!A:A,match(IFNA(vlookup(B2926,'Special Names'!A:B,2,FALSE),B2926),PlayerValues!E:E,0)),"N/A")</f>
        <v>15727</v>
      </c>
      <c r="B2926" s="4" t="s">
        <v>730</v>
      </c>
      <c r="C2926" s="4" t="s">
        <v>278</v>
      </c>
      <c r="D2926" s="94">
        <v>1026.0</v>
      </c>
    </row>
    <row r="2927">
      <c r="A2927" s="40">
        <f t="array" ref="A2927">IFNA(index(PlayerValues!A:A,match(IFNA(vlookup(B2927,'Special Names'!A:B,2,FALSE),B2927),PlayerValues!E:E,0)),"N/A")</f>
        <v>15730</v>
      </c>
      <c r="B2927" s="4" t="s">
        <v>734</v>
      </c>
      <c r="C2927" s="4" t="s">
        <v>278</v>
      </c>
      <c r="D2927" s="94">
        <v>1026.0</v>
      </c>
    </row>
    <row r="2928">
      <c r="A2928" s="40">
        <f t="array" ref="A2928">IFNA(index(PlayerValues!A:A,match(IFNA(vlookup(B2928,'Special Names'!A:B,2,FALSE),B2928),PlayerValues!E:E,0)),"N/A")</f>
        <v>15717</v>
      </c>
      <c r="B2928" s="4" t="s">
        <v>745</v>
      </c>
      <c r="C2928" s="4" t="s">
        <v>278</v>
      </c>
      <c r="D2928" s="94">
        <v>1026.0</v>
      </c>
    </row>
    <row r="2929">
      <c r="A2929" s="40">
        <f t="array" ref="A2929">IFNA(index(PlayerValues!A:A,match(IFNA(vlookup(B2929,'Special Names'!A:B,2,FALSE),B2929),PlayerValues!E:E,0)),"N/A")</f>
        <v>9064</v>
      </c>
      <c r="B2929" s="4" t="s">
        <v>761</v>
      </c>
      <c r="C2929" s="4" t="s">
        <v>283</v>
      </c>
      <c r="D2929" s="94">
        <v>1025.0</v>
      </c>
    </row>
    <row r="2930">
      <c r="A2930" s="40">
        <f t="array" ref="A2930">IFNA(index(PlayerValues!A:A,match(IFNA(vlookup(B2930,'Special Names'!A:B,2,FALSE),B2930),PlayerValues!E:E,0)),"N/A")</f>
        <v>16168</v>
      </c>
      <c r="B2930" s="4" t="s">
        <v>738</v>
      </c>
      <c r="C2930" s="4" t="s">
        <v>278</v>
      </c>
      <c r="D2930" s="94">
        <v>1021.0</v>
      </c>
    </row>
    <row r="2931">
      <c r="A2931" s="40">
        <f t="array" ref="A2931">IFNA(index(PlayerValues!A:A,match(IFNA(vlookup(B2931,'Special Names'!A:B,2,FALSE),B2931),PlayerValues!E:E,0)),"N/A")</f>
        <v>15330</v>
      </c>
      <c r="B2931" s="4" t="s">
        <v>749</v>
      </c>
      <c r="C2931" s="4" t="s">
        <v>298</v>
      </c>
      <c r="D2931" s="94">
        <v>1381.0</v>
      </c>
    </row>
    <row r="2932">
      <c r="A2932" s="40">
        <f t="array" ref="A2932">IFNA(index(PlayerValues!A:A,match(IFNA(vlookup(B2932,'Special Names'!A:B,2,FALSE),B2932),PlayerValues!E:E,0)),"N/A")</f>
        <v>15693</v>
      </c>
      <c r="B2932" s="4" t="s">
        <v>755</v>
      </c>
      <c r="C2932" s="4" t="s">
        <v>283</v>
      </c>
      <c r="D2932" s="94">
        <v>1010.0</v>
      </c>
    </row>
    <row r="2933">
      <c r="A2933" s="40">
        <f t="array" ref="A2933">IFNA(index(PlayerValues!A:A,match(IFNA(vlookup(B2933,'Special Names'!A:B,2,FALSE),B2933),PlayerValues!E:E,0)),"N/A")</f>
        <v>16637</v>
      </c>
      <c r="B2933" s="4" t="s">
        <v>736</v>
      </c>
      <c r="C2933" s="4" t="s">
        <v>287</v>
      </c>
      <c r="D2933" s="94">
        <v>1007.0</v>
      </c>
    </row>
    <row r="2934">
      <c r="A2934" s="40">
        <f t="array" ref="A2934">IFNA(index(PlayerValues!A:A,match(IFNA(vlookup(B2934,'Special Names'!A:B,2,FALSE),B2934),PlayerValues!E:E,0)),"N/A")</f>
        <v>16451</v>
      </c>
      <c r="B2934" s="4" t="s">
        <v>769</v>
      </c>
      <c r="C2934" s="4" t="s">
        <v>287</v>
      </c>
      <c r="D2934" s="94">
        <v>1005.0</v>
      </c>
    </row>
    <row r="2935">
      <c r="A2935" s="40">
        <f t="array" ref="A2935">IFNA(index(PlayerValues!A:A,match(IFNA(vlookup(B2935,'Special Names'!A:B,2,FALSE),B2935),PlayerValues!E:E,0)),"N/A")</f>
        <v>15758</v>
      </c>
      <c r="B2935" s="4" t="s">
        <v>724</v>
      </c>
      <c r="C2935" s="4" t="s">
        <v>287</v>
      </c>
      <c r="D2935" s="94">
        <v>998.0</v>
      </c>
    </row>
    <row r="2936">
      <c r="A2936" s="40">
        <f t="array" ref="A2936">IFNA(index(PlayerValues!A:A,match(IFNA(vlookup(B2936,'Special Names'!A:B,2,FALSE),B2936),PlayerValues!E:E,0)),"N/A")</f>
        <v>16205</v>
      </c>
      <c r="B2936" s="4" t="s">
        <v>742</v>
      </c>
      <c r="C2936" s="4" t="s">
        <v>287</v>
      </c>
      <c r="D2936" s="94">
        <v>997.0</v>
      </c>
    </row>
    <row r="2937">
      <c r="A2937" s="40">
        <f t="array" ref="A2937">IFNA(index(PlayerValues!A:A,match(IFNA(vlookup(B2937,'Special Names'!A:B,2,FALSE),B2937),PlayerValues!E:E,0)),"N/A")</f>
        <v>15692</v>
      </c>
      <c r="B2937" s="4" t="s">
        <v>750</v>
      </c>
      <c r="C2937" s="4" t="s">
        <v>283</v>
      </c>
      <c r="D2937" s="94">
        <v>996.0</v>
      </c>
    </row>
    <row r="2938">
      <c r="A2938" s="40">
        <f t="array" ref="A2938">IFNA(index(PlayerValues!A:A,match(IFNA(vlookup(B2938,'Special Names'!A:B,2,FALSE),B2938),PlayerValues!E:E,0)),"N/A")</f>
        <v>15718</v>
      </c>
      <c r="B2938" s="4" t="s">
        <v>753</v>
      </c>
      <c r="C2938" s="4" t="s">
        <v>278</v>
      </c>
      <c r="D2938" s="94">
        <v>990.0</v>
      </c>
    </row>
    <row r="2939">
      <c r="A2939" s="40">
        <f t="array" ref="A2939">IFNA(index(PlayerValues!A:A,match(IFNA(vlookup(B2939,'Special Names'!A:B,2,FALSE),B2939),PlayerValues!E:E,0)),"N/A")</f>
        <v>16393</v>
      </c>
      <c r="B2939" s="4" t="s">
        <v>768</v>
      </c>
      <c r="C2939" s="4" t="s">
        <v>287</v>
      </c>
      <c r="D2939" s="94">
        <v>983.0</v>
      </c>
    </row>
    <row r="2940">
      <c r="A2940" s="40">
        <f t="array" ref="A2940">IFNA(index(PlayerValues!A:A,match(IFNA(vlookup(B2940,'Special Names'!A:B,2,FALSE),B2940),PlayerValues!E:E,0)),"N/A")</f>
        <v>16170</v>
      </c>
      <c r="B2940" s="4" t="s">
        <v>801</v>
      </c>
      <c r="C2940" s="4" t="s">
        <v>278</v>
      </c>
      <c r="D2940" s="94">
        <v>980.0</v>
      </c>
    </row>
    <row r="2941">
      <c r="A2941" s="40">
        <f t="array" ref="A2941">IFNA(index(PlayerValues!A:A,match(IFNA(vlookup(B2941,'Special Names'!A:B,2,FALSE),B2941),PlayerValues!E:E,0)),"N/A")</f>
        <v>16648</v>
      </c>
      <c r="B2941" s="4" t="s">
        <v>748</v>
      </c>
      <c r="C2941" s="4" t="s">
        <v>298</v>
      </c>
      <c r="D2941" s="94">
        <v>1340.0</v>
      </c>
    </row>
    <row r="2942">
      <c r="A2942" s="40">
        <f t="array" ref="A2942">IFNA(index(PlayerValues!A:A,match(IFNA(vlookup(B2942,'Special Names'!A:B,2,FALSE),B2942),PlayerValues!E:E,0)),"N/A")</f>
        <v>15258</v>
      </c>
      <c r="B2942" s="4" t="s">
        <v>757</v>
      </c>
      <c r="C2942" s="4" t="s">
        <v>278</v>
      </c>
      <c r="D2942" s="94">
        <v>967.0</v>
      </c>
    </row>
    <row r="2943">
      <c r="A2943" s="40">
        <f t="array" ref="A2943">IFNA(index(PlayerValues!A:A,match(IFNA(vlookup(B2943,'Special Names'!A:B,2,FALSE),B2943),PlayerValues!E:E,0)),"N/A")</f>
        <v>17487</v>
      </c>
      <c r="B2943" s="4" t="s">
        <v>692</v>
      </c>
      <c r="C2943" s="4" t="s">
        <v>278</v>
      </c>
      <c r="D2943" s="94">
        <v>967.0</v>
      </c>
    </row>
    <row r="2944">
      <c r="A2944" s="40">
        <f t="array" ref="A2944">IFNA(index(PlayerValues!A:A,match(IFNA(vlookup(B2944,'Special Names'!A:B,2,FALSE),B2944),PlayerValues!E:E,0)),"N/A")</f>
        <v>15239</v>
      </c>
      <c r="B2944" s="4" t="s">
        <v>802</v>
      </c>
      <c r="C2944" s="4" t="s">
        <v>283</v>
      </c>
      <c r="D2944" s="94">
        <v>948.0</v>
      </c>
    </row>
    <row r="2945">
      <c r="A2945" s="40">
        <f t="array" ref="A2945">IFNA(index(PlayerValues!A:A,match(IFNA(vlookup(B2945,'Special Names'!A:B,2,FALSE),B2945),PlayerValues!E:E,0)),"N/A")</f>
        <v>16606</v>
      </c>
      <c r="B2945" s="4" t="s">
        <v>743</v>
      </c>
      <c r="C2945" s="4" t="s">
        <v>278</v>
      </c>
      <c r="D2945" s="94">
        <v>939.0</v>
      </c>
    </row>
    <row r="2946">
      <c r="A2946" s="40">
        <f t="array" ref="A2946">IFNA(index(PlayerValues!A:A,match(IFNA(vlookup(B2946,'Special Names'!A:B,2,FALSE),B2946),PlayerValues!E:E,0)),"N/A")</f>
        <v>17549</v>
      </c>
      <c r="B2946" s="4" t="s">
        <v>720</v>
      </c>
      <c r="C2946" s="4" t="s">
        <v>298</v>
      </c>
      <c r="D2946" s="94">
        <v>1303.0</v>
      </c>
    </row>
    <row r="2947">
      <c r="A2947" s="40">
        <f t="array" ref="A2947">IFNA(index(PlayerValues!A:A,match(IFNA(vlookup(B2947,'Special Names'!A:B,2,FALSE),B2947),PlayerValues!E:E,0)),"N/A")</f>
        <v>16219</v>
      </c>
      <c r="B2947" s="4" t="s">
        <v>739</v>
      </c>
      <c r="C2947" s="4" t="s">
        <v>298</v>
      </c>
      <c r="D2947" s="94">
        <v>1300.0</v>
      </c>
    </row>
    <row r="2948">
      <c r="A2948" s="40">
        <f t="array" ref="A2948">IFNA(index(PlayerValues!A:A,match(IFNA(vlookup(B2948,'Special Names'!A:B,2,FALSE),B2948),PlayerValues!E:E,0)),"N/A")</f>
        <v>16416</v>
      </c>
      <c r="B2948" s="4" t="s">
        <v>752</v>
      </c>
      <c r="C2948" s="4" t="s">
        <v>287</v>
      </c>
      <c r="D2948" s="94">
        <v>929.0</v>
      </c>
    </row>
    <row r="2949">
      <c r="A2949" s="40">
        <f t="array" ref="A2949">IFNA(index(PlayerValues!A:A,match(IFNA(vlookup(B2949,'Special Names'!A:B,2,FALSE),B2949),PlayerValues!E:E,0)),"N/A")</f>
        <v>16678</v>
      </c>
      <c r="B2949" s="4" t="s">
        <v>758</v>
      </c>
      <c r="C2949" s="4" t="s">
        <v>278</v>
      </c>
      <c r="D2949" s="94">
        <v>921.0</v>
      </c>
    </row>
    <row r="2950">
      <c r="A2950" s="40">
        <f t="array" ref="A2950">IFNA(index(PlayerValues!A:A,match(IFNA(vlookup(B2950,'Special Names'!A:B,2,FALSE),B2950),PlayerValues!E:E,0)),"N/A")</f>
        <v>16599</v>
      </c>
      <c r="B2950" s="4" t="s">
        <v>737</v>
      </c>
      <c r="C2950" s="4" t="s">
        <v>278</v>
      </c>
      <c r="D2950" s="94">
        <v>919.0</v>
      </c>
    </row>
    <row r="2951">
      <c r="A2951" s="40">
        <f t="array" ref="A2951">IFNA(index(PlayerValues!A:A,match(IFNA(vlookup(B2951,'Special Names'!A:B,2,FALSE),B2951),PlayerValues!E:E,0)),"N/A")</f>
        <v>16858</v>
      </c>
      <c r="B2951" s="4" t="s">
        <v>754</v>
      </c>
      <c r="C2951" s="4" t="s">
        <v>287</v>
      </c>
      <c r="D2951" s="94">
        <v>916.0</v>
      </c>
    </row>
    <row r="2952">
      <c r="A2952" s="40">
        <f t="array" ref="A2952">IFNA(index(PlayerValues!A:A,match(IFNA(vlookup(B2952,'Special Names'!A:B,2,FALSE),B2952),PlayerValues!E:E,0)),"N/A")</f>
        <v>17479</v>
      </c>
      <c r="B2952" s="4" t="s">
        <v>756</v>
      </c>
      <c r="C2952" s="4" t="s">
        <v>278</v>
      </c>
      <c r="D2952" s="94">
        <v>908.0</v>
      </c>
    </row>
    <row r="2953">
      <c r="A2953" s="40">
        <f t="array" ref="A2953">IFNA(index(PlayerValues!A:A,match(IFNA(vlookup(B2953,'Special Names'!A:B,2,FALSE),B2953),PlayerValues!E:E,0)),"N/A")</f>
        <v>15626</v>
      </c>
      <c r="B2953" s="4" t="s">
        <v>766</v>
      </c>
      <c r="C2953" s="4" t="s">
        <v>298</v>
      </c>
      <c r="D2953" s="94">
        <v>1272.0</v>
      </c>
    </row>
    <row r="2954">
      <c r="A2954" s="40">
        <f t="array" ref="A2954">IFNA(index(PlayerValues!A:A,match(IFNA(vlookup(B2954,'Special Names'!A:B,2,FALSE),B2954),PlayerValues!E:E,0)),"N/A")</f>
        <v>15785</v>
      </c>
      <c r="B2954" s="4" t="s">
        <v>763</v>
      </c>
      <c r="C2954" s="4" t="s">
        <v>287</v>
      </c>
      <c r="D2954" s="94">
        <v>898.0</v>
      </c>
    </row>
    <row r="2955">
      <c r="A2955" s="40">
        <f t="array" ref="A2955">IFNA(index(PlayerValues!A:A,match(IFNA(vlookup(B2955,'Special Names'!A:B,2,FALSE),B2955),PlayerValues!E:E,0)),"N/A")</f>
        <v>15720</v>
      </c>
      <c r="B2955" s="4" t="s">
        <v>795</v>
      </c>
      <c r="C2955" s="4" t="s">
        <v>278</v>
      </c>
      <c r="D2955" s="94">
        <v>897.0</v>
      </c>
    </row>
    <row r="2956">
      <c r="A2956" s="40">
        <f t="array" ref="A2956">IFNA(index(PlayerValues!A:A,match(IFNA(vlookup(B2956,'Special Names'!A:B,2,FALSE),B2956),PlayerValues!E:E,0)),"N/A")</f>
        <v>16623</v>
      </c>
      <c r="B2956" s="4" t="s">
        <v>803</v>
      </c>
      <c r="C2956" s="4" t="s">
        <v>287</v>
      </c>
      <c r="D2956" s="94">
        <v>894.0</v>
      </c>
    </row>
    <row r="2957">
      <c r="A2957" s="40">
        <f t="array" ref="A2957">IFNA(index(PlayerValues!A:A,match(IFNA(vlookup(B2957,'Special Names'!A:B,2,FALSE),B2957),PlayerValues!E:E,0)),"N/A")</f>
        <v>15766</v>
      </c>
      <c r="B2957" s="4" t="s">
        <v>759</v>
      </c>
      <c r="C2957" s="4" t="s">
        <v>287</v>
      </c>
      <c r="D2957" s="94">
        <v>889.0</v>
      </c>
    </row>
    <row r="2958">
      <c r="A2958" s="40">
        <f t="array" ref="A2958">IFNA(index(PlayerValues!A:A,match(IFNA(vlookup(B2958,'Special Names'!A:B,2,FALSE),B2958),PlayerValues!E:E,0)),"N/A")</f>
        <v>17175</v>
      </c>
      <c r="B2958" s="4" t="s">
        <v>747</v>
      </c>
      <c r="C2958" s="4" t="s">
        <v>287</v>
      </c>
      <c r="D2958" s="94">
        <v>880.0</v>
      </c>
    </row>
    <row r="2959">
      <c r="A2959" s="40">
        <f t="array" ref="A2959">IFNA(index(PlayerValues!A:A,match(IFNA(vlookup(B2959,'Special Names'!A:B,2,FALSE),B2959),PlayerValues!E:E,0)),"N/A")</f>
        <v>13193</v>
      </c>
      <c r="B2959" s="4" t="s">
        <v>773</v>
      </c>
      <c r="C2959" s="4" t="s">
        <v>298</v>
      </c>
      <c r="D2959" s="94">
        <v>1235.0</v>
      </c>
    </row>
    <row r="2960">
      <c r="A2960" s="40">
        <f t="array" ref="A2960">IFNA(index(PlayerValues!A:A,match(IFNA(vlookup(B2960,'Special Names'!A:B,2,FALSE),B2960),PlayerValues!E:E,0)),"N/A")</f>
        <v>17654</v>
      </c>
      <c r="B2960" s="4" t="s">
        <v>767</v>
      </c>
      <c r="C2960" s="4" t="s">
        <v>283</v>
      </c>
      <c r="D2960" s="94">
        <v>860.0</v>
      </c>
    </row>
    <row r="2961">
      <c r="A2961" s="40">
        <f t="array" ref="A2961">IFNA(index(PlayerValues!A:A,match(IFNA(vlookup(B2961,'Special Names'!A:B,2,FALSE),B2961),PlayerValues!E:E,0)),"N/A")</f>
        <v>14057</v>
      </c>
      <c r="B2961" s="4" t="s">
        <v>765</v>
      </c>
      <c r="C2961" s="4" t="s">
        <v>283</v>
      </c>
      <c r="D2961" s="94">
        <v>856.0</v>
      </c>
    </row>
    <row r="2962">
      <c r="A2962" s="40">
        <f t="array" ref="A2962">IFNA(index(PlayerValues!A:A,match(IFNA(vlookup(B2962,'Special Names'!A:B,2,FALSE),B2962),PlayerValues!E:E,0)),"N/A")</f>
        <v>17541</v>
      </c>
      <c r="B2962" s="4" t="s">
        <v>616</v>
      </c>
      <c r="C2962" s="4" t="s">
        <v>287</v>
      </c>
      <c r="D2962" s="94">
        <v>856.0</v>
      </c>
    </row>
    <row r="2963">
      <c r="A2963" s="40">
        <f t="array" ref="A2963">IFNA(index(PlayerValues!A:A,match(IFNA(vlookup(B2963,'Special Names'!A:B,2,FALSE),B2963),PlayerValues!E:E,0)),"N/A")</f>
        <v>14118</v>
      </c>
      <c r="B2963" s="4" t="s">
        <v>771</v>
      </c>
      <c r="C2963" s="4" t="s">
        <v>287</v>
      </c>
      <c r="D2963" s="94">
        <v>854.0</v>
      </c>
    </row>
    <row r="2964">
      <c r="A2964" s="40">
        <f t="array" ref="A2964">IFNA(index(PlayerValues!A:A,match(IFNA(vlookup(B2964,'Special Names'!A:B,2,FALSE),B2964),PlayerValues!E:E,0)),"N/A")</f>
        <v>16624</v>
      </c>
      <c r="B2964" s="4" t="s">
        <v>796</v>
      </c>
      <c r="C2964" s="4" t="s">
        <v>287</v>
      </c>
      <c r="D2964" s="94">
        <v>848.0</v>
      </c>
    </row>
    <row r="2965">
      <c r="A2965" s="40">
        <f t="array" ref="A2965">IFNA(index(PlayerValues!A:A,match(IFNA(vlookup(B2965,'Special Names'!A:B,2,FALSE),B2965),PlayerValues!E:E,0)),"N/A")</f>
        <v>17486</v>
      </c>
      <c r="B2965" s="4" t="s">
        <v>695</v>
      </c>
      <c r="C2965" s="4" t="s">
        <v>278</v>
      </c>
      <c r="D2965" s="94">
        <v>843.0</v>
      </c>
    </row>
    <row r="2966">
      <c r="A2966" s="40">
        <f t="array" ref="A2966">IFNA(index(PlayerValues!A:A,match(IFNA(vlookup(B2966,'Special Names'!A:B,2,FALSE),B2966),PlayerValues!E:E,0)),"N/A")</f>
        <v>17627</v>
      </c>
      <c r="B2966" s="4" t="s">
        <v>684</v>
      </c>
      <c r="C2966" s="4" t="s">
        <v>298</v>
      </c>
      <c r="D2966" s="94">
        <v>1209.0</v>
      </c>
    </row>
    <row r="2967">
      <c r="A2967" s="40">
        <f t="array" ref="A2967">IFNA(index(PlayerValues!A:A,match(IFNA(vlookup(B2967,'Special Names'!A:B,2,FALSE),B2967),PlayerValues!E:E,0)),"N/A")</f>
        <v>12785</v>
      </c>
      <c r="B2967" s="4" t="s">
        <v>772</v>
      </c>
      <c r="C2967" s="4" t="s">
        <v>287</v>
      </c>
      <c r="D2967" s="94">
        <v>816.0</v>
      </c>
    </row>
    <row r="2968">
      <c r="A2968" s="40">
        <f t="array" ref="A2968">IFNA(index(PlayerValues!A:A,match(IFNA(vlookup(B2968,'Special Names'!A:B,2,FALSE),B2968),PlayerValues!E:E,0)),"N/A")</f>
        <v>16773</v>
      </c>
      <c r="B2968" s="4" t="s">
        <v>783</v>
      </c>
      <c r="C2968" s="4" t="s">
        <v>278</v>
      </c>
      <c r="D2968" s="94">
        <v>813.0</v>
      </c>
    </row>
    <row r="2969">
      <c r="A2969" s="40">
        <f t="array" ref="A2969">IFNA(index(PlayerValues!A:A,match(IFNA(vlookup(B2969,'Special Names'!A:B,2,FALSE),B2969),PlayerValues!E:E,0)),"N/A")</f>
        <v>14223</v>
      </c>
      <c r="B2969" s="4" t="s">
        <v>785</v>
      </c>
      <c r="C2969" s="4" t="s">
        <v>278</v>
      </c>
      <c r="D2969" s="94">
        <v>806.0</v>
      </c>
    </row>
    <row r="2970">
      <c r="A2970" s="40">
        <f t="array" ref="A2970">IFNA(index(PlayerValues!A:A,match(IFNA(vlookup(B2970,'Special Names'!A:B,2,FALSE),B2970),PlayerValues!E:E,0)),"N/A")</f>
        <v>13133</v>
      </c>
      <c r="B2970" s="4" t="s">
        <v>764</v>
      </c>
      <c r="C2970" s="4" t="s">
        <v>278</v>
      </c>
      <c r="D2970" s="94">
        <v>783.0</v>
      </c>
    </row>
    <row r="2971">
      <c r="A2971" s="40">
        <f t="array" ref="A2971">IFNA(index(PlayerValues!A:A,match(IFNA(vlookup(B2971,'Special Names'!A:B,2,FALSE),B2971),PlayerValues!E:E,0)),"N/A")</f>
        <v>16751</v>
      </c>
      <c r="B2971" s="4" t="s">
        <v>762</v>
      </c>
      <c r="C2971" s="4" t="s">
        <v>287</v>
      </c>
      <c r="D2971" s="94">
        <v>732.0</v>
      </c>
    </row>
    <row r="2972">
      <c r="A2972" s="40">
        <f t="array" ref="A2972">IFNA(index(PlayerValues!A:A,match(IFNA(vlookup(B2972,'Special Names'!A:B,2,FALSE),B2972),PlayerValues!E:E,0)),"N/A")</f>
        <v>16625</v>
      </c>
      <c r="B2972" s="4" t="s">
        <v>778</v>
      </c>
      <c r="C2972" s="4" t="s">
        <v>287</v>
      </c>
      <c r="D2972" s="94">
        <v>729.0</v>
      </c>
    </row>
    <row r="2973">
      <c r="A2973" s="40">
        <f t="array" ref="A2973">IFNA(index(PlayerValues!A:A,match(IFNA(vlookup(B2973,'Special Names'!A:B,2,FALSE),B2973),PlayerValues!E:E,0)),"N/A")</f>
        <v>15263</v>
      </c>
      <c r="B2973" s="4" t="s">
        <v>804</v>
      </c>
      <c r="C2973" s="4" t="s">
        <v>278</v>
      </c>
      <c r="D2973" s="94">
        <v>712.0</v>
      </c>
    </row>
    <row r="2974">
      <c r="A2974" s="40">
        <f t="array" ref="A2974">IFNA(index(PlayerValues!A:A,match(IFNA(vlookup(B2974,'Special Names'!A:B,2,FALSE),B2974),PlayerValues!E:E,0)),"N/A")</f>
        <v>17337</v>
      </c>
      <c r="B2974" s="4" t="s">
        <v>793</v>
      </c>
      <c r="C2974" s="4" t="s">
        <v>278</v>
      </c>
      <c r="D2974" s="94">
        <v>703.0</v>
      </c>
    </row>
    <row r="2975">
      <c r="A2975" s="40">
        <f t="array" ref="A2975">IFNA(index(PlayerValues!A:A,match(IFNA(vlookup(B2975,'Special Names'!A:B,2,FALSE),B2975),PlayerValues!E:E,0)),"N/A")</f>
        <v>17545</v>
      </c>
      <c r="B2975" s="4" t="s">
        <v>719</v>
      </c>
      <c r="C2975" s="4" t="s">
        <v>298</v>
      </c>
      <c r="D2975" s="94">
        <v>1052.0</v>
      </c>
    </row>
    <row r="2976">
      <c r="A2976" s="40">
        <f t="array" ref="A2976">IFNA(index(PlayerValues!A:A,match(IFNA(vlookup(B2976,'Special Names'!A:B,2,FALSE),B2976),PlayerValues!E:E,0)),"N/A")</f>
        <v>15723</v>
      </c>
      <c r="B2976" s="4" t="s">
        <v>798</v>
      </c>
      <c r="C2976" s="4" t="s">
        <v>278</v>
      </c>
      <c r="D2976" s="94">
        <v>636.0</v>
      </c>
    </row>
    <row r="2977">
      <c r="A2977" s="40">
        <f t="array" ref="A2977">IFNA(index(PlayerValues!A:A,match(IFNA(vlookup(B2977,'Special Names'!A:B,2,FALSE),B2977),PlayerValues!E:E,0)),"N/A")</f>
        <v>16299</v>
      </c>
      <c r="B2977" s="4" t="s">
        <v>787</v>
      </c>
      <c r="C2977" s="4" t="s">
        <v>287</v>
      </c>
      <c r="D2977" s="94">
        <v>633.0</v>
      </c>
    </row>
    <row r="2978">
      <c r="A2978" s="40">
        <f t="array" ref="A2978">IFNA(index(PlayerValues!A:A,match(IFNA(vlookup(B2978,'Special Names'!A:B,2,FALSE),B2978),PlayerValues!E:E,0)),"N/A")</f>
        <v>16686</v>
      </c>
      <c r="B2978" s="4" t="s">
        <v>805</v>
      </c>
      <c r="C2978" s="4" t="s">
        <v>287</v>
      </c>
      <c r="D2978" s="94">
        <v>622.0</v>
      </c>
    </row>
    <row r="2979">
      <c r="A2979" s="40">
        <f t="array" ref="A2979">IFNA(index(PlayerValues!A:A,match(IFNA(vlookup(B2979,'Special Names'!A:B,2,FALSE),B2979),PlayerValues!E:E,0)),"N/A")</f>
        <v>13143</v>
      </c>
      <c r="B2979" s="4" t="s">
        <v>786</v>
      </c>
      <c r="C2979" s="4" t="s">
        <v>278</v>
      </c>
      <c r="D2979" s="94">
        <v>621.0</v>
      </c>
    </row>
    <row r="2980">
      <c r="A2980" s="40">
        <f t="array" ref="A2980">IFNA(index(PlayerValues!A:A,match(IFNA(vlookup(B2980,'Special Names'!A:B,2,FALSE),B2980),PlayerValues!E:E,0)),"N/A")</f>
        <v>16957</v>
      </c>
      <c r="B2980" s="4" t="s">
        <v>806</v>
      </c>
      <c r="C2980" s="4" t="s">
        <v>278</v>
      </c>
      <c r="D2980" s="94">
        <v>616.0</v>
      </c>
    </row>
    <row r="2981">
      <c r="A2981" s="40">
        <f t="array" ref="A2981">IFNA(index(PlayerValues!A:A,match(IFNA(vlookup(B2981,'Special Names'!A:B,2,FALSE),B2981),PlayerValues!E:E,0)),"N/A")</f>
        <v>16413</v>
      </c>
      <c r="B2981" s="4" t="s">
        <v>781</v>
      </c>
      <c r="C2981" s="4" t="s">
        <v>287</v>
      </c>
      <c r="D2981" s="94">
        <v>599.0</v>
      </c>
    </row>
    <row r="2982">
      <c r="A2982" s="40">
        <f t="array" ref="A2982">IFNA(index(PlayerValues!A:A,match(IFNA(vlookup(B2982,'Special Names'!A:B,2,FALSE),B2982),PlayerValues!E:E,0)),"N/A")</f>
        <v>14864</v>
      </c>
      <c r="B2982" s="4" t="s">
        <v>789</v>
      </c>
      <c r="C2982" s="4" t="s">
        <v>287</v>
      </c>
      <c r="D2982" s="94">
        <v>593.0</v>
      </c>
    </row>
    <row r="2983">
      <c r="A2983" s="40">
        <f t="array" ref="A2983">IFNA(index(PlayerValues!A:A,match(IFNA(vlookup(B2983,'Special Names'!A:B,2,FALSE),B2983),PlayerValues!E:E,0)),"N/A")</f>
        <v>17038</v>
      </c>
      <c r="B2983" s="4" t="s">
        <v>774</v>
      </c>
      <c r="C2983" s="4" t="s">
        <v>283</v>
      </c>
      <c r="D2983" s="94">
        <v>576.0</v>
      </c>
    </row>
    <row r="2984">
      <c r="A2984" s="40">
        <f t="array" ref="A2984">IFNA(index(PlayerValues!A:A,match(IFNA(vlookup(B2984,'Special Names'!A:B,2,FALSE),B2984),PlayerValues!E:E,0)),"N/A")</f>
        <v>17232</v>
      </c>
      <c r="B2984" s="4" t="s">
        <v>784</v>
      </c>
      <c r="C2984" s="4" t="s">
        <v>287</v>
      </c>
      <c r="D2984" s="94">
        <v>574.0</v>
      </c>
    </row>
    <row r="2985">
      <c r="A2985" s="40">
        <f t="array" ref="A2985">IFNA(index(PlayerValues!A:A,match(IFNA(vlookup(B2985,'Special Names'!A:B,2,FALSE),B2985),PlayerValues!E:E,0)),"N/A")</f>
        <v>17542</v>
      </c>
      <c r="B2985" s="4" t="s">
        <v>685</v>
      </c>
      <c r="C2985" s="4" t="s">
        <v>287</v>
      </c>
      <c r="D2985" s="94">
        <v>558.0</v>
      </c>
    </row>
    <row r="2986">
      <c r="A2986" s="40">
        <f t="array" ref="A2986">IFNA(index(PlayerValues!A:A,match(IFNA(vlookup(B2986,'Special Names'!A:B,2,FALSE),B2986),PlayerValues!E:E,0)),"N/A")</f>
        <v>14805</v>
      </c>
      <c r="B2986" s="4" t="s">
        <v>770</v>
      </c>
      <c r="C2986" s="4" t="s">
        <v>278</v>
      </c>
      <c r="D2986" s="94">
        <v>552.0</v>
      </c>
    </row>
    <row r="2987">
      <c r="A2987" s="40">
        <f t="array" ref="A2987">IFNA(index(PlayerValues!A:A,match(IFNA(vlookup(B2987,'Special Names'!A:B,2,FALSE),B2987),PlayerValues!E:E,0)),"N/A")</f>
        <v>16613</v>
      </c>
      <c r="B2987" s="4" t="s">
        <v>782</v>
      </c>
      <c r="C2987" s="4" t="s">
        <v>278</v>
      </c>
      <c r="D2987" s="94">
        <v>536.0</v>
      </c>
    </row>
    <row r="2988">
      <c r="A2988" s="40">
        <f t="array" ref="A2988">IFNA(index(PlayerValues!A:A,match(IFNA(vlookup(B2988,'Special Names'!A:B,2,FALSE),B2988),PlayerValues!E:E,0)),"N/A")</f>
        <v>15796</v>
      </c>
      <c r="B2988" s="4" t="s">
        <v>794</v>
      </c>
      <c r="C2988" s="4" t="s">
        <v>298</v>
      </c>
      <c r="D2988" s="94">
        <v>877.0</v>
      </c>
    </row>
    <row r="2989">
      <c r="A2989" s="40">
        <f t="array" ref="A2989">IFNA(index(PlayerValues!A:A,match(IFNA(vlookup(B2989,'Special Names'!A:B,2,FALSE),B2989),PlayerValues!E:E,0)),"N/A")</f>
        <v>13176</v>
      </c>
      <c r="B2989" s="4" t="s">
        <v>807</v>
      </c>
      <c r="C2989" s="4" t="s">
        <v>287</v>
      </c>
      <c r="D2989" s="94">
        <v>506.0</v>
      </c>
    </row>
    <row r="2990">
      <c r="A2990" s="40">
        <f t="array" ref="A2990">IFNA(index(PlayerValues!A:A,match(IFNA(vlookup(B2990,'Special Names'!A:B,2,FALSE),B2990),PlayerValues!E:E,0)),"N/A")</f>
        <v>15271</v>
      </c>
      <c r="B2990" s="4" t="s">
        <v>741</v>
      </c>
      <c r="C2990" s="4" t="s">
        <v>278</v>
      </c>
      <c r="D2990" s="94">
        <v>501.0</v>
      </c>
    </row>
    <row r="2991">
      <c r="A2991" s="40">
        <f t="array" ref="A2991">IFNA(index(PlayerValues!A:A,match(IFNA(vlookup(B2991,'Special Names'!A:B,2,FALSE),B2991),PlayerValues!E:E,0)),"N/A")</f>
        <v>17348</v>
      </c>
      <c r="B2991" s="4" t="s">
        <v>797</v>
      </c>
      <c r="C2991" s="4" t="s">
        <v>278</v>
      </c>
      <c r="D2991" s="94">
        <v>501.0</v>
      </c>
    </row>
    <row r="2992">
      <c r="A2992" s="40">
        <f t="array" ref="A2992">IFNA(index(PlayerValues!A:A,match(IFNA(vlookup(B2992,'Special Names'!A:B,2,FALSE),B2992),PlayerValues!E:E,0)),"N/A")</f>
        <v>14858</v>
      </c>
      <c r="B2992" s="4" t="s">
        <v>799</v>
      </c>
      <c r="C2992" s="4" t="s">
        <v>287</v>
      </c>
      <c r="D2992" s="94">
        <v>497.0</v>
      </c>
    </row>
    <row r="2993">
      <c r="A2993" s="40">
        <f t="array" ref="A2993">IFNA(index(PlayerValues!A:A,match(IFNA(vlookup(B2993,'Special Names'!A:B,2,FALSE),B2993),PlayerValues!E:E,0)),"N/A")</f>
        <v>13641</v>
      </c>
      <c r="B2993" s="4" t="s">
        <v>808</v>
      </c>
      <c r="C2993" s="4" t="s">
        <v>287</v>
      </c>
      <c r="D2993" s="94">
        <v>496.0</v>
      </c>
    </row>
    <row r="2994">
      <c r="A2994" s="40">
        <f t="array" ref="A2994">IFNA(index(PlayerValues!A:A,match(IFNA(vlookup(B2994,'Special Names'!A:B,2,FALSE),B2994),PlayerValues!E:E,0)),"N/A")</f>
        <v>14209</v>
      </c>
      <c r="B2994" s="4" t="s">
        <v>809</v>
      </c>
      <c r="C2994" s="4" t="s">
        <v>298</v>
      </c>
      <c r="D2994" s="94">
        <v>836.0</v>
      </c>
    </row>
    <row r="2995">
      <c r="A2995" s="40">
        <f t="array" ref="A2995">IFNA(index(PlayerValues!A:A,match(IFNA(vlookup(B2995,'Special Names'!A:B,2,FALSE),B2995),PlayerValues!E:E,0)),"N/A")</f>
        <v>17243</v>
      </c>
      <c r="B2995" s="4" t="s">
        <v>810</v>
      </c>
      <c r="C2995" s="4" t="s">
        <v>298</v>
      </c>
      <c r="D2995" s="94">
        <v>832.0</v>
      </c>
    </row>
    <row r="2996">
      <c r="A2996" s="40">
        <f t="array" ref="A2996">IFNA(index(PlayerValues!A:A,match(IFNA(vlookup(B2996,'Special Names'!A:B,2,FALSE),B2996),PlayerValues!E:E,0)),"N/A")</f>
        <v>14113</v>
      </c>
      <c r="B2996" s="4" t="s">
        <v>788</v>
      </c>
      <c r="C2996" s="4" t="s">
        <v>287</v>
      </c>
      <c r="D2996" s="94">
        <v>484.0</v>
      </c>
    </row>
    <row r="2997">
      <c r="A2997" s="40">
        <f t="array" ref="A2997">IFNA(index(PlayerValues!A:A,match(IFNA(vlookup(B2997,'Special Names'!A:B,2,FALSE),B2997),PlayerValues!E:E,0)),"N/A")</f>
        <v>10413</v>
      </c>
      <c r="B2997" s="4" t="s">
        <v>811</v>
      </c>
      <c r="C2997" s="4" t="s">
        <v>283</v>
      </c>
      <c r="D2997" s="94">
        <v>482.0</v>
      </c>
    </row>
    <row r="2998">
      <c r="A2998" s="40">
        <f t="array" ref="A2998">IFNA(index(PlayerValues!A:A,match(IFNA(vlookup(B2998,'Special Names'!A:B,2,FALSE),B2998),PlayerValues!E:E,0)),"N/A")</f>
        <v>16176</v>
      </c>
      <c r="B2998" s="4" t="s">
        <v>812</v>
      </c>
      <c r="C2998" s="4" t="s">
        <v>278</v>
      </c>
      <c r="D2998" s="94">
        <v>482.0</v>
      </c>
    </row>
    <row r="2999">
      <c r="A2999" s="40">
        <f t="array" ref="A2999">IFNA(index(PlayerValues!A:A,match(IFNA(vlookup(B2999,'Special Names'!A:B,2,FALSE),B2999),PlayerValues!E:E,0)),"N/A")</f>
        <v>14358</v>
      </c>
      <c r="B2999" s="4" t="s">
        <v>813</v>
      </c>
      <c r="C2999" s="4" t="s">
        <v>283</v>
      </c>
      <c r="D2999" s="94">
        <v>479.0</v>
      </c>
    </row>
    <row r="3000">
      <c r="A3000" s="40">
        <f t="array" ref="A3000">IFNA(index(PlayerValues!A:A,match(IFNA(vlookup(B3000,'Special Names'!A:B,2,FALSE),B3000),PlayerValues!E:E,0)),"N/A")</f>
        <v>17709</v>
      </c>
      <c r="B3000" s="4" t="s">
        <v>814</v>
      </c>
      <c r="C3000" s="4" t="s">
        <v>278</v>
      </c>
      <c r="D3000" s="94">
        <v>9.0</v>
      </c>
    </row>
    <row r="3001">
      <c r="A3001" s="40">
        <f t="array" ref="A3001">IFNA(index(PlayerValues!A:A,match(IFNA(vlookup(B3001,'Special Names'!A:B,2,FALSE),B3001),PlayerValues!E:E,0)),"N/A")</f>
        <v>16162</v>
      </c>
      <c r="B3001" s="4" t="s">
        <v>281</v>
      </c>
      <c r="C3001" s="4" t="s">
        <v>278</v>
      </c>
      <c r="D3001" s="94">
        <v>9999.0</v>
      </c>
    </row>
    <row r="3002">
      <c r="A3002" s="40">
        <f t="array" ref="A3002">IFNA(index(PlayerValues!A:A,match(IFNA(vlookup(B3002,'Special Names'!A:B,2,FALSE),B3002),PlayerValues!E:E,0)),"N/A")</f>
        <v>13589</v>
      </c>
      <c r="B3002" s="4" t="s">
        <v>282</v>
      </c>
      <c r="C3002" s="4" t="s">
        <v>283</v>
      </c>
      <c r="D3002" s="94">
        <v>9998.0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9991.0</v>
      </c>
    </row>
    <row r="3004">
      <c r="A3004" s="40">
        <f t="array" ref="A3004">IFNA(index(PlayerValues!A:A,match(IFNA(vlookup(B3004,'Special Names'!A:B,2,FALSE),B3004),PlayerValues!E:E,0)),"N/A")</f>
        <v>16161</v>
      </c>
      <c r="B3004" s="4" t="s">
        <v>277</v>
      </c>
      <c r="C3004" s="4" t="s">
        <v>278</v>
      </c>
      <c r="D3004" s="94">
        <v>9990.0</v>
      </c>
    </row>
    <row r="3005">
      <c r="A3005" s="40">
        <f t="array" ref="A3005">IFNA(index(PlayerValues!A:A,match(IFNA(vlookup(B3005,'Special Names'!A:B,2,FALSE),B3005),PlayerValues!E:E,0)),"N/A")</f>
        <v>16185</v>
      </c>
      <c r="B3005" s="4" t="s">
        <v>290</v>
      </c>
      <c r="C3005" s="4" t="s">
        <v>287</v>
      </c>
      <c r="D3005" s="94">
        <v>9313.0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9252.0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8785.0</v>
      </c>
    </row>
    <row r="3008">
      <c r="A3008" s="40">
        <f t="array" ref="A3008">IFNA(index(PlayerValues!A:A,match(IFNA(vlookup(B3008,'Special Names'!A:B,2,FALSE),B3008),PlayerValues!E:E,0)),"N/A")</f>
        <v>16641</v>
      </c>
      <c r="B3008" s="4" t="s">
        <v>297</v>
      </c>
      <c r="C3008" s="4" t="s">
        <v>298</v>
      </c>
      <c r="D3008" s="94">
        <v>8999.0</v>
      </c>
    </row>
    <row r="3009">
      <c r="A3009" s="40">
        <f t="array" ref="A3009">IFNA(index(PlayerValues!A:A,match(IFNA(vlookup(B3009,'Special Names'!A:B,2,FALSE),B3009),PlayerValues!E:E,0)),"N/A")</f>
        <v>15287</v>
      </c>
      <c r="B3009" s="4" t="s">
        <v>299</v>
      </c>
      <c r="C3009" s="4" t="s">
        <v>287</v>
      </c>
      <c r="D3009" s="94">
        <v>7867.0</v>
      </c>
    </row>
    <row r="3010">
      <c r="A3010" s="40">
        <f t="array" ref="A3010">IFNA(index(PlayerValues!A:A,match(IFNA(vlookup(B3010,'Special Names'!A:B,2,FALSE),B3010),PlayerValues!E:E,0)),"N/A")</f>
        <v>16579</v>
      </c>
      <c r="B3010" s="4" t="s">
        <v>302</v>
      </c>
      <c r="C3010" s="4" t="s">
        <v>283</v>
      </c>
      <c r="D3010" s="94">
        <v>7834.0</v>
      </c>
    </row>
    <row r="3011">
      <c r="A3011" s="40">
        <f t="array" ref="A3011">IFNA(index(PlayerValues!A:A,match(IFNA(vlookup(B3011,'Special Names'!A:B,2,FALSE),B3011),PlayerValues!E:E,0)),"N/A")</f>
        <v>17042</v>
      </c>
      <c r="B3011" s="4" t="s">
        <v>314</v>
      </c>
      <c r="C3011" s="4" t="s">
        <v>278</v>
      </c>
      <c r="D3011" s="94">
        <v>7647.0</v>
      </c>
    </row>
    <row r="3012">
      <c r="A3012" s="40">
        <f t="array" ref="A3012">IFNA(index(PlayerValues!A:A,match(IFNA(vlookup(B3012,'Special Names'!A:B,2,FALSE),B3012),PlayerValues!E:E,0)),"N/A")</f>
        <v>13593</v>
      </c>
      <c r="B3012" s="4" t="s">
        <v>305</v>
      </c>
      <c r="C3012" s="4" t="s">
        <v>283</v>
      </c>
      <c r="D3012" s="94">
        <v>7630.0</v>
      </c>
    </row>
    <row r="3013">
      <c r="A3013" s="40">
        <f t="array" ref="A3013">IFNA(index(PlayerValues!A:A,match(IFNA(vlookup(B3013,'Special Names'!A:B,2,FALSE),B3013),PlayerValues!E:E,0)),"N/A")</f>
        <v>16581</v>
      </c>
      <c r="B3013" s="4" t="s">
        <v>315</v>
      </c>
      <c r="C3013" s="4" t="s">
        <v>283</v>
      </c>
      <c r="D3013" s="94">
        <v>7626.0</v>
      </c>
    </row>
    <row r="3014">
      <c r="A3014" s="40">
        <f t="array" ref="A3014">IFNA(index(PlayerValues!A:A,match(IFNA(vlookup(B3014,'Special Names'!A:B,2,FALSE),B3014),PlayerValues!E:E,0)),"N/A")</f>
        <v>14836</v>
      </c>
      <c r="B3014" s="4" t="s">
        <v>306</v>
      </c>
      <c r="C3014" s="4" t="s">
        <v>287</v>
      </c>
      <c r="D3014" s="94">
        <v>7614.0</v>
      </c>
    </row>
    <row r="3015">
      <c r="A3015" s="40">
        <f t="array" ref="A3015">IFNA(index(PlayerValues!A:A,match(IFNA(vlookup(B3015,'Special Names'!A:B,2,FALSE),B3015),PlayerValues!E:E,0)),"N/A")</f>
        <v>17472</v>
      </c>
      <c r="B3015" s="4" t="s">
        <v>310</v>
      </c>
      <c r="C3015" s="4" t="s">
        <v>278</v>
      </c>
      <c r="D3015" s="94">
        <v>7469.0</v>
      </c>
    </row>
    <row r="3016">
      <c r="A3016" s="40">
        <f t="array" ref="A3016">IFNA(index(PlayerValues!A:A,match(IFNA(vlookup(B3016,'Special Names'!A:B,2,FALSE),B3016),PlayerValues!E:E,0)),"N/A")</f>
        <v>14777</v>
      </c>
      <c r="B3016" s="4" t="s">
        <v>318</v>
      </c>
      <c r="C3016" s="4" t="s">
        <v>283</v>
      </c>
      <c r="D3016" s="94">
        <v>7426.0</v>
      </c>
    </row>
    <row r="3017">
      <c r="A3017" s="40">
        <f t="array" ref="A3017">IFNA(index(PlayerValues!A:A,match(IFNA(vlookup(B3017,'Special Names'!A:B,2,FALSE),B3017),PlayerValues!E:E,0)),"N/A")</f>
        <v>15794</v>
      </c>
      <c r="B3017" s="4" t="s">
        <v>313</v>
      </c>
      <c r="C3017" s="4" t="s">
        <v>298</v>
      </c>
      <c r="D3017" s="94">
        <v>8169.0</v>
      </c>
    </row>
    <row r="3018">
      <c r="A3018" s="40">
        <f t="array" ref="A3018">IFNA(index(PlayerValues!A:A,match(IFNA(vlookup(B3018,'Special Names'!A:B,2,FALSE),B3018),PlayerValues!E:E,0)),"N/A")</f>
        <v>16615</v>
      </c>
      <c r="B3018" s="4" t="s">
        <v>309</v>
      </c>
      <c r="C3018" s="4" t="s">
        <v>287</v>
      </c>
      <c r="D3018" s="94">
        <v>7230.0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7133.0</v>
      </c>
    </row>
    <row r="3020">
      <c r="A3020" s="40" t="str">
        <f t="array" ref="A3020">IFNA(index(PlayerValues!A:A,match(IFNA(vlookup(B3020,'Special Names'!A:B,2,FALSE),B3020),PlayerValues!E:E,0)),"N/A")</f>
        <v>N/A</v>
      </c>
      <c r="B3020" s="4" t="s">
        <v>92</v>
      </c>
      <c r="C3020" s="4" t="s">
        <v>325</v>
      </c>
      <c r="D3020" s="94">
        <v>7111.0</v>
      </c>
    </row>
    <row r="3021">
      <c r="A3021" s="40">
        <f t="array" ref="A3021">IFNA(index(PlayerValues!A:A,match(IFNA(vlookup(B3021,'Special Names'!A:B,2,FALSE),B3021),PlayerValues!E:E,0)),"N/A")</f>
        <v>14779</v>
      </c>
      <c r="B3021" s="4" t="s">
        <v>327</v>
      </c>
      <c r="C3021" s="4" t="s">
        <v>283</v>
      </c>
      <c r="D3021" s="94">
        <v>7041.0</v>
      </c>
    </row>
    <row r="3022">
      <c r="A3022" s="40">
        <f t="array" ref="A3022">IFNA(index(PlayerValues!A:A,match(IFNA(vlookup(B3022,'Special Names'!A:B,2,FALSE),B3022),PlayerValues!E:E,0)),"N/A")</f>
        <v>15751</v>
      </c>
      <c r="B3022" s="4" t="s">
        <v>328</v>
      </c>
      <c r="C3022" s="4" t="s">
        <v>287</v>
      </c>
      <c r="D3022" s="94">
        <v>7002.0</v>
      </c>
    </row>
    <row r="3023">
      <c r="A3023" s="40">
        <f t="array" ref="A3023">IFNA(index(PlayerValues!A:A,match(IFNA(vlookup(B3023,'Special Names'!A:B,2,FALSE),B3023),PlayerValues!E:E,0)),"N/A")</f>
        <v>17044</v>
      </c>
      <c r="B3023" s="4" t="s">
        <v>322</v>
      </c>
      <c r="C3023" s="4" t="s">
        <v>278</v>
      </c>
      <c r="D3023" s="94">
        <v>6992.0</v>
      </c>
    </row>
    <row r="3024">
      <c r="A3024" s="40">
        <f t="array" ref="A3024">IFNA(index(PlayerValues!A:A,match(IFNA(vlookup(B3024,'Special Names'!A:B,2,FALSE),B3024),PlayerValues!E:E,0)),"N/A")</f>
        <v>16167</v>
      </c>
      <c r="B3024" s="4" t="s">
        <v>323</v>
      </c>
      <c r="C3024" s="4" t="s">
        <v>278</v>
      </c>
      <c r="D3024" s="94">
        <v>6823.0</v>
      </c>
    </row>
    <row r="3025">
      <c r="A3025" s="40">
        <f t="array" ref="A3025">IFNA(index(PlayerValues!A:A,match(IFNA(vlookup(B3025,'Special Names'!A:B,2,FALSE),B3025),PlayerValues!E:E,0)),"N/A")</f>
        <v>17071</v>
      </c>
      <c r="B3025" s="4" t="s">
        <v>341</v>
      </c>
      <c r="C3025" s="4" t="s">
        <v>287</v>
      </c>
      <c r="D3025" s="94">
        <v>6391.0</v>
      </c>
    </row>
    <row r="3026">
      <c r="A3026" s="40">
        <f t="array" ref="A3026">IFNA(index(PlayerValues!A:A,match(IFNA(vlookup(B3026,'Special Names'!A:B,2,FALSE),B3026),PlayerValues!E:E,0)),"N/A")</f>
        <v>17104</v>
      </c>
      <c r="B3026" s="4" t="s">
        <v>333</v>
      </c>
      <c r="C3026" s="4" t="s">
        <v>298</v>
      </c>
      <c r="D3026" s="94">
        <v>7062.0</v>
      </c>
    </row>
    <row r="3027">
      <c r="A3027" s="40">
        <f t="array" ref="A3027">IFNA(index(PlayerValues!A:A,match(IFNA(vlookup(B3027,'Special Names'!A:B,2,FALSE),B3027),PlayerValues!E:E,0)),"N/A")</f>
        <v>13116</v>
      </c>
      <c r="B3027" s="4" t="s">
        <v>345</v>
      </c>
      <c r="C3027" s="4" t="s">
        <v>283</v>
      </c>
      <c r="D3027" s="94">
        <v>6349.0</v>
      </c>
    </row>
    <row r="3028">
      <c r="A3028" s="40">
        <f t="array" ref="A3028">IFNA(index(PlayerValues!A:A,match(IFNA(vlookup(B3028,'Special Names'!A:B,2,FALSE),B3028),PlayerValues!E:E,0)),"N/A")</f>
        <v>17081</v>
      </c>
      <c r="B3028" s="4" t="s">
        <v>340</v>
      </c>
      <c r="C3028" s="4" t="s">
        <v>287</v>
      </c>
      <c r="D3028" s="94">
        <v>6345.0</v>
      </c>
    </row>
    <row r="3029">
      <c r="A3029" s="40">
        <f t="array" ref="A3029">IFNA(index(PlayerValues!A:A,match(IFNA(vlookup(B3029,'Special Names'!A:B,2,FALSE),B3029),PlayerValues!E:E,0)),"N/A")</f>
        <v>15237</v>
      </c>
      <c r="B3029" s="4" t="s">
        <v>336</v>
      </c>
      <c r="C3029" s="4" t="s">
        <v>283</v>
      </c>
      <c r="D3029" s="94">
        <v>6305.0</v>
      </c>
    </row>
    <row r="3030">
      <c r="A3030" s="40">
        <f t="array" ref="A3030">IFNA(index(PlayerValues!A:A,match(IFNA(vlookup(B3030,'Special Names'!A:B,2,FALSE),B3030),PlayerValues!E:E,0)),"N/A")</f>
        <v>17032</v>
      </c>
      <c r="B3030" s="4" t="s">
        <v>348</v>
      </c>
      <c r="C3030" s="4" t="s">
        <v>283</v>
      </c>
      <c r="D3030" s="94">
        <v>6293.0</v>
      </c>
    </row>
    <row r="3031">
      <c r="A3031" s="40">
        <f t="array" ref="A3031">IFNA(index(PlayerValues!A:A,match(IFNA(vlookup(B3031,'Special Names'!A:B,2,FALSE),B3031),PlayerValues!E:E,0)),"N/A")</f>
        <v>14802</v>
      </c>
      <c r="B3031" s="4" t="s">
        <v>332</v>
      </c>
      <c r="C3031" s="4" t="s">
        <v>278</v>
      </c>
      <c r="D3031" s="94">
        <v>6153.0</v>
      </c>
    </row>
    <row r="3032">
      <c r="A3032" s="40">
        <f t="array" ref="A3032">IFNA(index(PlayerValues!A:A,match(IFNA(vlookup(B3032,'Special Names'!A:B,2,FALSE),B3032),PlayerValues!E:E,0)),"N/A")</f>
        <v>14783</v>
      </c>
      <c r="B3032" s="4" t="s">
        <v>342</v>
      </c>
      <c r="C3032" s="4" t="s">
        <v>283</v>
      </c>
      <c r="D3032" s="94">
        <v>6148.0</v>
      </c>
    </row>
    <row r="3033">
      <c r="A3033" s="40">
        <f t="array" ref="A3033">IFNA(index(PlayerValues!A:A,match(IFNA(vlookup(B3033,'Special Names'!A:B,2,FALSE),B3033),PlayerValues!E:E,0)),"N/A")</f>
        <v>15762</v>
      </c>
      <c r="B3033" s="4" t="s">
        <v>337</v>
      </c>
      <c r="C3033" s="4" t="s">
        <v>287</v>
      </c>
      <c r="D3033" s="94">
        <v>6122.0</v>
      </c>
    </row>
    <row r="3034">
      <c r="A3034" s="40">
        <f t="array" ref="A3034">IFNA(index(PlayerValues!A:A,match(IFNA(vlookup(B3034,'Special Names'!A:B,2,FALSE),B3034),PlayerValues!E:E,0)),"N/A")</f>
        <v>15715</v>
      </c>
      <c r="B3034" s="4" t="s">
        <v>331</v>
      </c>
      <c r="C3034" s="4" t="s">
        <v>278</v>
      </c>
      <c r="D3034" s="94">
        <v>6101.0</v>
      </c>
    </row>
    <row r="3035">
      <c r="A3035" s="40">
        <f t="array" ref="A3035">IFNA(index(PlayerValues!A:A,match(IFNA(vlookup(B3035,'Special Names'!A:B,2,FALSE),B3035),PlayerValues!E:E,0)),"N/A")</f>
        <v>16582</v>
      </c>
      <c r="B3035" s="4" t="s">
        <v>343</v>
      </c>
      <c r="C3035" s="4" t="s">
        <v>283</v>
      </c>
      <c r="D3035" s="94">
        <v>5982.0</v>
      </c>
    </row>
    <row r="3036">
      <c r="A3036" s="40">
        <f t="array" ref="A3036">IFNA(index(PlayerValues!A:A,match(IFNA(vlookup(B3036,'Special Names'!A:B,2,FALSE),B3036),PlayerValues!E:E,0)),"N/A")</f>
        <v>17497</v>
      </c>
      <c r="B3036" s="4" t="s">
        <v>365</v>
      </c>
      <c r="C3036" s="4" t="s">
        <v>287</v>
      </c>
      <c r="D3036" s="94">
        <v>5908.0</v>
      </c>
    </row>
    <row r="3037">
      <c r="A3037" s="40">
        <f t="array" ref="A3037">IFNA(index(PlayerValues!A:A,match(IFNA(vlookup(B3037,'Special Names'!A:B,2,FALSE),B3037),PlayerValues!E:E,0)),"N/A")</f>
        <v>17102</v>
      </c>
      <c r="B3037" s="4" t="s">
        <v>344</v>
      </c>
      <c r="C3037" s="4" t="s">
        <v>298</v>
      </c>
      <c r="D3037" s="94">
        <v>6534.0</v>
      </c>
    </row>
    <row r="3038">
      <c r="A3038" s="40">
        <f t="array" ref="A3038">IFNA(index(PlayerValues!A:A,match(IFNA(vlookup(B3038,'Special Names'!A:B,2,FALSE),B3038),PlayerValues!E:E,0)),"N/A")</f>
        <v>15698</v>
      </c>
      <c r="B3038" s="4" t="s">
        <v>358</v>
      </c>
      <c r="C3038" s="4" t="s">
        <v>283</v>
      </c>
      <c r="D3038" s="94">
        <v>5818.0</v>
      </c>
    </row>
    <row r="3039">
      <c r="A3039" s="40" t="str">
        <f t="array" ref="A3039">IFNA(index(PlayerValues!A:A,match(IFNA(vlookup(B3039,'Special Names'!A:B,2,FALSE),B3039),PlayerValues!E:E,0)),"N/A")</f>
        <v>N/A</v>
      </c>
      <c r="B3039" s="4" t="s">
        <v>93</v>
      </c>
      <c r="C3039" s="4" t="s">
        <v>325</v>
      </c>
      <c r="D3039" s="94">
        <v>5655.0</v>
      </c>
    </row>
    <row r="3040">
      <c r="A3040" s="40">
        <f t="array" ref="A3040">IFNA(index(PlayerValues!A:A,match(IFNA(vlookup(B3040,'Special Names'!A:B,2,FALSE),B3040),PlayerValues!E:E,0)),"N/A")</f>
        <v>15711</v>
      </c>
      <c r="B3040" s="4" t="s">
        <v>349</v>
      </c>
      <c r="C3040" s="4" t="s">
        <v>278</v>
      </c>
      <c r="D3040" s="94">
        <v>5601.0</v>
      </c>
    </row>
    <row r="3041">
      <c r="A3041" s="40" t="str">
        <f t="array" ref="A3041">IFNA(index(PlayerValues!A:A,match(IFNA(vlookup(B3041,'Special Names'!A:B,2,FALSE),B3041),PlayerValues!E:E,0)),"N/A")</f>
        <v>N/A</v>
      </c>
      <c r="B3041" s="4" t="s">
        <v>79</v>
      </c>
      <c r="C3041" s="4" t="s">
        <v>325</v>
      </c>
      <c r="D3041" s="94">
        <v>5595.0</v>
      </c>
    </row>
    <row r="3042">
      <c r="A3042" s="40">
        <f t="array" ref="A3042">IFNA(index(PlayerValues!A:A,match(IFNA(vlookup(B3042,'Special Names'!A:B,2,FALSE),B3042),PlayerValues!E:E,0)),"N/A")</f>
        <v>16627</v>
      </c>
      <c r="B3042" s="4" t="s">
        <v>351</v>
      </c>
      <c r="C3042" s="4" t="s">
        <v>287</v>
      </c>
      <c r="D3042" s="94">
        <v>5586.0</v>
      </c>
    </row>
    <row r="3043">
      <c r="A3043" s="40">
        <f t="array" ref="A3043">IFNA(index(PlayerValues!A:A,match(IFNA(vlookup(B3043,'Special Names'!A:B,2,FALSE),B3043),PlayerValues!E:E,0)),"N/A")</f>
        <v>15290</v>
      </c>
      <c r="B3043" s="4" t="s">
        <v>355</v>
      </c>
      <c r="C3043" s="4" t="s">
        <v>287</v>
      </c>
      <c r="D3043" s="94">
        <v>5576.0</v>
      </c>
    </row>
    <row r="3044">
      <c r="A3044" s="40">
        <f t="array" ref="A3044">IFNA(index(PlayerValues!A:A,match(IFNA(vlookup(B3044,'Special Names'!A:B,2,FALSE),B3044),PlayerValues!E:E,0)),"N/A")</f>
        <v>15753</v>
      </c>
      <c r="B3044" s="4" t="s">
        <v>359</v>
      </c>
      <c r="C3044" s="4" t="s">
        <v>287</v>
      </c>
      <c r="D3044" s="94">
        <v>5560.0</v>
      </c>
    </row>
    <row r="3045">
      <c r="A3045" s="40">
        <f t="array" ref="A3045">IFNA(index(PlayerValues!A:A,match(IFNA(vlookup(B3045,'Special Names'!A:B,2,FALSE),B3045),PlayerValues!E:E,0)),"N/A")</f>
        <v>17051</v>
      </c>
      <c r="B3045" s="4" t="s">
        <v>386</v>
      </c>
      <c r="C3045" s="4" t="s">
        <v>278</v>
      </c>
      <c r="D3045" s="94">
        <v>5541.0</v>
      </c>
    </row>
    <row r="3046">
      <c r="A3046" s="40">
        <f t="array" ref="A3046">IFNA(index(PlayerValues!A:A,match(IFNA(vlookup(B3046,'Special Names'!A:B,2,FALSE),B3046),PlayerValues!E:E,0)),"N/A")</f>
        <v>17070</v>
      </c>
      <c r="B3046" s="4" t="s">
        <v>370</v>
      </c>
      <c r="C3046" s="4" t="s">
        <v>287</v>
      </c>
      <c r="D3046" s="94">
        <v>5522.0</v>
      </c>
    </row>
    <row r="3047">
      <c r="A3047" s="40">
        <f t="array" ref="A3047">IFNA(index(PlayerValues!A:A,match(IFNA(vlookup(B3047,'Special Names'!A:B,2,FALSE),B3047),PlayerValues!E:E,0)),"N/A")</f>
        <v>15754</v>
      </c>
      <c r="B3047" s="4" t="s">
        <v>354</v>
      </c>
      <c r="C3047" s="4" t="s">
        <v>287</v>
      </c>
      <c r="D3047" s="94">
        <v>5471.0</v>
      </c>
    </row>
    <row r="3048">
      <c r="A3048" s="40">
        <f t="array" ref="A3048">IFNA(index(PlayerValues!A:A,match(IFNA(vlookup(B3048,'Special Names'!A:B,2,FALSE),B3048),PlayerValues!E:E,0)),"N/A")</f>
        <v>14782</v>
      </c>
      <c r="B3048" s="4" t="s">
        <v>385</v>
      </c>
      <c r="C3048" s="4" t="s">
        <v>283</v>
      </c>
      <c r="D3048" s="94">
        <v>5452.0</v>
      </c>
    </row>
    <row r="3049">
      <c r="A3049" s="40">
        <f t="array" ref="A3049">IFNA(index(PlayerValues!A:A,match(IFNA(vlookup(B3049,'Special Names'!A:B,2,FALSE),B3049),PlayerValues!E:E,0)),"N/A")</f>
        <v>15282</v>
      </c>
      <c r="B3049" s="4" t="s">
        <v>364</v>
      </c>
      <c r="C3049" s="4" t="s">
        <v>287</v>
      </c>
      <c r="D3049" s="94">
        <v>5442.0</v>
      </c>
    </row>
    <row r="3050">
      <c r="A3050" s="40">
        <f t="array" ref="A3050">IFNA(index(PlayerValues!A:A,match(IFNA(vlookup(B3050,'Special Names'!A:B,2,FALSE),B3050),PlayerValues!E:E,0)),"N/A")</f>
        <v>17462</v>
      </c>
      <c r="B3050" s="4" t="s">
        <v>375</v>
      </c>
      <c r="C3050" s="4" t="s">
        <v>283</v>
      </c>
      <c r="D3050" s="94">
        <v>5430.0</v>
      </c>
    </row>
    <row r="3051">
      <c r="A3051" s="40">
        <f t="array" ref="A3051">IFNA(index(PlayerValues!A:A,match(IFNA(vlookup(B3051,'Special Names'!A:B,2,FALSE),B3051),PlayerValues!E:E,0)),"N/A")</f>
        <v>17498</v>
      </c>
      <c r="B3051" s="4" t="s">
        <v>396</v>
      </c>
      <c r="C3051" s="4" t="s">
        <v>287</v>
      </c>
      <c r="D3051" s="94">
        <v>5365.0</v>
      </c>
    </row>
    <row r="3052">
      <c r="A3052" s="40">
        <f t="array" ref="A3052">IFNA(index(PlayerValues!A:A,match(IFNA(vlookup(B3052,'Special Names'!A:B,2,FALSE),B3052),PlayerValues!E:E,0)),"N/A")</f>
        <v>17043</v>
      </c>
      <c r="B3052" s="4" t="s">
        <v>397</v>
      </c>
      <c r="C3052" s="4" t="s">
        <v>278</v>
      </c>
      <c r="D3052" s="94">
        <v>5350.0</v>
      </c>
    </row>
    <row r="3053">
      <c r="A3053" s="40">
        <f t="array" ref="A3053">IFNA(index(PlayerValues!A:A,match(IFNA(vlookup(B3053,'Special Names'!A:B,2,FALSE),B3053),PlayerValues!E:E,0)),"N/A")</f>
        <v>15708</v>
      </c>
      <c r="B3053" s="4" t="s">
        <v>382</v>
      </c>
      <c r="C3053" s="4" t="s">
        <v>278</v>
      </c>
      <c r="D3053" s="94">
        <v>5285.0</v>
      </c>
    </row>
    <row r="3054">
      <c r="A3054" s="40">
        <f t="array" ref="A3054">IFNA(index(PlayerValues!A:A,match(IFNA(vlookup(B3054,'Special Names'!A:B,2,FALSE),B3054),PlayerValues!E:E,0)),"N/A")</f>
        <v>16181</v>
      </c>
      <c r="B3054" s="4" t="s">
        <v>350</v>
      </c>
      <c r="C3054" s="4" t="s">
        <v>278</v>
      </c>
      <c r="D3054" s="94">
        <v>5270.0</v>
      </c>
    </row>
    <row r="3055">
      <c r="A3055" s="40">
        <f t="array" ref="A3055">IFNA(index(PlayerValues!A:A,match(IFNA(vlookup(B3055,'Special Names'!A:B,2,FALSE),B3055),PlayerValues!E:E,0)),"N/A")</f>
        <v>17030</v>
      </c>
      <c r="B3055" s="4" t="s">
        <v>406</v>
      </c>
      <c r="C3055" s="4" t="s">
        <v>283</v>
      </c>
      <c r="D3055" s="94">
        <v>5266.0</v>
      </c>
    </row>
    <row r="3056">
      <c r="A3056" s="40">
        <f t="array" ref="A3056">IFNA(index(PlayerValues!A:A,match(IFNA(vlookup(B3056,'Special Names'!A:B,2,FALSE),B3056),PlayerValues!E:E,0)),"N/A")</f>
        <v>13130</v>
      </c>
      <c r="B3056" s="4" t="s">
        <v>374</v>
      </c>
      <c r="C3056" s="4" t="s">
        <v>278</v>
      </c>
      <c r="D3056" s="94">
        <v>5250.0</v>
      </c>
    </row>
    <row r="3057">
      <c r="A3057" s="40">
        <f t="array" ref="A3057">IFNA(index(PlayerValues!A:A,match(IFNA(vlookup(B3057,'Special Names'!A:B,2,FALSE),B3057),PlayerValues!E:E,0)),"N/A")</f>
        <v>16616</v>
      </c>
      <c r="B3057" s="4" t="s">
        <v>389</v>
      </c>
      <c r="C3057" s="4" t="s">
        <v>287</v>
      </c>
      <c r="D3057" s="94">
        <v>5247.0</v>
      </c>
    </row>
    <row r="3058">
      <c r="A3058" s="40" t="str">
        <f t="array" ref="A3058">IFNA(index(PlayerValues!A:A,match(IFNA(vlookup(B3058,'Special Names'!A:B,2,FALSE),B3058),PlayerValues!E:E,0)),"N/A")</f>
        <v>N/A</v>
      </c>
      <c r="B3058" s="4" t="s">
        <v>104</v>
      </c>
      <c r="C3058" s="4" t="s">
        <v>325</v>
      </c>
      <c r="D3058" s="94">
        <v>5185.0</v>
      </c>
    </row>
    <row r="3059">
      <c r="A3059" s="40">
        <f t="array" ref="A3059">IFNA(index(PlayerValues!A:A,match(IFNA(vlookup(B3059,'Special Names'!A:B,2,FALSE),B3059),PlayerValues!E:E,0)),"N/A")</f>
        <v>13604</v>
      </c>
      <c r="B3059" s="4" t="s">
        <v>378</v>
      </c>
      <c r="C3059" s="4" t="s">
        <v>278</v>
      </c>
      <c r="D3059" s="94">
        <v>5079.0</v>
      </c>
    </row>
    <row r="3060">
      <c r="A3060" s="40">
        <f t="array" ref="A3060">IFNA(index(PlayerValues!A:A,match(IFNA(vlookup(B3060,'Special Names'!A:B,2,FALSE),B3060),PlayerValues!E:E,0)),"N/A")</f>
        <v>14104</v>
      </c>
      <c r="B3060" s="4" t="s">
        <v>379</v>
      </c>
      <c r="C3060" s="4" t="s">
        <v>287</v>
      </c>
      <c r="D3060" s="94">
        <v>5029.0</v>
      </c>
    </row>
    <row r="3061">
      <c r="A3061" s="40">
        <f t="array" ref="A3061">IFNA(index(PlayerValues!A:A,match(IFNA(vlookup(B3061,'Special Names'!A:B,2,FALSE),B3061),PlayerValues!E:E,0)),"N/A")</f>
        <v>17499</v>
      </c>
      <c r="B3061" s="4" t="s">
        <v>402</v>
      </c>
      <c r="C3061" s="4" t="s">
        <v>287</v>
      </c>
      <c r="D3061" s="94">
        <v>5007.0</v>
      </c>
    </row>
    <row r="3062">
      <c r="A3062" s="40">
        <f t="array" ref="A3062">IFNA(index(PlayerValues!A:A,match(IFNA(vlookup(B3062,'Special Names'!A:B,2,FALSE),B3062),PlayerValues!E:E,0)),"N/A")</f>
        <v>16190</v>
      </c>
      <c r="B3062" s="4" t="s">
        <v>371</v>
      </c>
      <c r="C3062" s="4" t="s">
        <v>287</v>
      </c>
      <c r="D3062" s="94">
        <v>4985.0</v>
      </c>
    </row>
    <row r="3063">
      <c r="A3063" s="40">
        <f t="array" ref="A3063">IFNA(index(PlayerValues!A:A,match(IFNA(vlookup(B3063,'Special Names'!A:B,2,FALSE),B3063),PlayerValues!E:E,0)),"N/A")</f>
        <v>16194</v>
      </c>
      <c r="B3063" s="4" t="s">
        <v>398</v>
      </c>
      <c r="C3063" s="4" t="s">
        <v>287</v>
      </c>
      <c r="D3063" s="94">
        <v>4982.0</v>
      </c>
    </row>
    <row r="3064">
      <c r="A3064" s="40">
        <f t="array" ref="A3064">IFNA(index(PlayerValues!A:A,match(IFNA(vlookup(B3064,'Special Names'!A:B,2,FALSE),B3064),PlayerValues!E:E,0)),"N/A")</f>
        <v>16222</v>
      </c>
      <c r="B3064" s="4" t="s">
        <v>393</v>
      </c>
      <c r="C3064" s="4" t="s">
        <v>298</v>
      </c>
      <c r="D3064" s="94">
        <v>5550.0</v>
      </c>
    </row>
    <row r="3065">
      <c r="A3065" s="40">
        <f t="array" ref="A3065">IFNA(index(PlayerValues!A:A,match(IFNA(vlookup(B3065,'Special Names'!A:B,2,FALSE),B3065),PlayerValues!E:E,0)),"N/A")</f>
        <v>14835</v>
      </c>
      <c r="B3065" s="4" t="s">
        <v>392</v>
      </c>
      <c r="C3065" s="4" t="s">
        <v>287</v>
      </c>
      <c r="D3065" s="94">
        <v>4969.0</v>
      </c>
    </row>
    <row r="3066">
      <c r="A3066" s="40">
        <f t="array" ref="A3066">IFNA(index(PlayerValues!A:A,match(IFNA(vlookup(B3066,'Special Names'!A:B,2,FALSE),B3066),PlayerValues!E:E,0)),"N/A")</f>
        <v>15710</v>
      </c>
      <c r="B3066" s="4" t="s">
        <v>395</v>
      </c>
      <c r="C3066" s="4" t="s">
        <v>278</v>
      </c>
      <c r="D3066" s="94">
        <v>4958.0</v>
      </c>
    </row>
    <row r="3067">
      <c r="A3067" s="40">
        <f t="array" ref="A3067">IFNA(index(PlayerValues!A:A,match(IFNA(vlookup(B3067,'Special Names'!A:B,2,FALSE),B3067),PlayerValues!E:E,0)),"N/A")</f>
        <v>12620</v>
      </c>
      <c r="B3067" s="4" t="s">
        <v>394</v>
      </c>
      <c r="C3067" s="4" t="s">
        <v>283</v>
      </c>
      <c r="D3067" s="94">
        <v>4922.0</v>
      </c>
    </row>
    <row r="3068">
      <c r="A3068" s="40">
        <f t="array" ref="A3068">IFNA(index(PlayerValues!A:A,match(IFNA(vlookup(B3068,'Special Names'!A:B,2,FALSE),B3068),PlayerValues!E:E,0)),"N/A")</f>
        <v>15284</v>
      </c>
      <c r="B3068" s="4" t="s">
        <v>390</v>
      </c>
      <c r="C3068" s="4" t="s">
        <v>287</v>
      </c>
      <c r="D3068" s="94">
        <v>4896.0</v>
      </c>
    </row>
    <row r="3069">
      <c r="A3069" s="40" t="str">
        <f t="array" ref="A3069">IFNA(index(PlayerValues!A:A,match(IFNA(vlookup(B3069,'Special Names'!A:B,2,FALSE),B3069),PlayerValues!E:E,0)),"N/A")</f>
        <v>N/A</v>
      </c>
      <c r="B3069" s="4" t="s">
        <v>94</v>
      </c>
      <c r="C3069" s="4" t="s">
        <v>325</v>
      </c>
      <c r="D3069" s="94">
        <v>4850.0</v>
      </c>
    </row>
    <row r="3070">
      <c r="A3070" s="40">
        <f t="array" ref="A3070">IFNA(index(PlayerValues!A:A,match(IFNA(vlookup(B3070,'Special Names'!A:B,2,FALSE),B3070),PlayerValues!E:E,0)),"N/A")</f>
        <v>16614</v>
      </c>
      <c r="B3070" s="4" t="s">
        <v>403</v>
      </c>
      <c r="C3070" s="4" t="s">
        <v>287</v>
      </c>
      <c r="D3070" s="94">
        <v>4848.0</v>
      </c>
    </row>
    <row r="3071">
      <c r="A3071" s="40">
        <f t="array" ref="A3071">IFNA(index(PlayerValues!A:A,match(IFNA(vlookup(B3071,'Special Names'!A:B,2,FALSE),B3071),PlayerValues!E:E,0)),"N/A")</f>
        <v>17039</v>
      </c>
      <c r="B3071" s="4" t="s">
        <v>400</v>
      </c>
      <c r="C3071" s="4" t="s">
        <v>283</v>
      </c>
      <c r="D3071" s="94">
        <v>4837.0</v>
      </c>
    </row>
    <row r="3072">
      <c r="A3072" s="40">
        <f t="array" ref="A3072">IFNA(index(PlayerValues!A:A,match(IFNA(vlookup(B3072,'Special Names'!A:B,2,FALSE),B3072),PlayerValues!E:E,0)),"N/A")</f>
        <v>16618</v>
      </c>
      <c r="B3072" s="4" t="s">
        <v>411</v>
      </c>
      <c r="C3072" s="4" t="s">
        <v>287</v>
      </c>
      <c r="D3072" s="94">
        <v>4823.0</v>
      </c>
    </row>
    <row r="3073">
      <c r="A3073" s="40">
        <f t="array" ref="A3073">IFNA(index(PlayerValues!A:A,match(IFNA(vlookup(B3073,'Special Names'!A:B,2,FALSE),B3073),PlayerValues!E:E,0)),"N/A")</f>
        <v>17473</v>
      </c>
      <c r="B3073" s="4" t="s">
        <v>391</v>
      </c>
      <c r="C3073" s="4" t="s">
        <v>278</v>
      </c>
      <c r="D3073" s="94">
        <v>4788.0</v>
      </c>
    </row>
    <row r="3074">
      <c r="A3074" s="40">
        <f t="array" ref="A3074">IFNA(index(PlayerValues!A:A,match(IFNA(vlookup(B3074,'Special Names'!A:B,2,FALSE),B3074),PlayerValues!E:E,0)),"N/A")</f>
        <v>15756</v>
      </c>
      <c r="B3074" s="4" t="s">
        <v>399</v>
      </c>
      <c r="C3074" s="4" t="s">
        <v>287</v>
      </c>
      <c r="D3074" s="94">
        <v>4775.0</v>
      </c>
    </row>
    <row r="3075">
      <c r="A3075" s="40">
        <f t="array" ref="A3075">IFNA(index(PlayerValues!A:A,match(IFNA(vlookup(B3075,'Special Names'!A:B,2,FALSE),B3075),PlayerValues!E:E,0)),"N/A")</f>
        <v>17045</v>
      </c>
      <c r="B3075" s="4" t="s">
        <v>407</v>
      </c>
      <c r="C3075" s="4" t="s">
        <v>278</v>
      </c>
      <c r="D3075" s="94">
        <v>4774.0</v>
      </c>
    </row>
    <row r="3076">
      <c r="A3076" s="40">
        <f t="array" ref="A3076">IFNA(index(PlayerValues!A:A,match(IFNA(vlookup(B3076,'Special Names'!A:B,2,FALSE),B3076),PlayerValues!E:E,0)),"N/A")</f>
        <v>17103</v>
      </c>
      <c r="B3076" s="4" t="s">
        <v>405</v>
      </c>
      <c r="C3076" s="4" t="s">
        <v>298</v>
      </c>
      <c r="D3076" s="94">
        <v>5304.0</v>
      </c>
    </row>
    <row r="3077">
      <c r="A3077" s="40">
        <f t="array" ref="A3077">IFNA(index(PlayerValues!A:A,match(IFNA(vlookup(B3077,'Special Names'!A:B,2,FALSE),B3077),PlayerValues!E:E,0)),"N/A")</f>
        <v>16598</v>
      </c>
      <c r="B3077" s="4" t="s">
        <v>408</v>
      </c>
      <c r="C3077" s="4" t="s">
        <v>278</v>
      </c>
      <c r="D3077" s="94">
        <v>4698.0</v>
      </c>
    </row>
    <row r="3078">
      <c r="A3078" s="40">
        <f t="array" ref="A3078">IFNA(index(PlayerValues!A:A,match(IFNA(vlookup(B3078,'Special Names'!A:B,2,FALSE),B3078),PlayerValues!E:E,0)),"N/A")</f>
        <v>12611</v>
      </c>
      <c r="B3078" s="4" t="s">
        <v>410</v>
      </c>
      <c r="C3078" s="4" t="s">
        <v>283</v>
      </c>
      <c r="D3078" s="94">
        <v>4678.0</v>
      </c>
    </row>
    <row r="3079">
      <c r="A3079" s="40" t="str">
        <f t="array" ref="A3079">IFNA(index(PlayerValues!A:A,match(IFNA(vlookup(B3079,'Special Names'!A:B,2,FALSE),B3079),PlayerValues!E:E,0)),"N/A")</f>
        <v>N/A</v>
      </c>
      <c r="B3079" s="4" t="s">
        <v>80</v>
      </c>
      <c r="C3079" s="4" t="s">
        <v>325</v>
      </c>
      <c r="D3079" s="94">
        <v>4665.0</v>
      </c>
    </row>
    <row r="3080">
      <c r="A3080" s="40">
        <f t="array" ref="A3080">IFNA(index(PlayerValues!A:A,match(IFNA(vlookup(B3080,'Special Names'!A:B,2,FALSE),B3080),PlayerValues!E:E,0)),"N/A")</f>
        <v>13590</v>
      </c>
      <c r="B3080" s="4" t="s">
        <v>409</v>
      </c>
      <c r="C3080" s="4" t="s">
        <v>283</v>
      </c>
      <c r="D3080" s="94">
        <v>4648.0</v>
      </c>
    </row>
    <row r="3081">
      <c r="A3081" s="40">
        <f t="array" ref="A3081">IFNA(index(PlayerValues!A:A,match(IFNA(vlookup(B3081,'Special Names'!A:B,2,FALSE),B3081),PlayerValues!E:E,0)),"N/A")</f>
        <v>16150</v>
      </c>
      <c r="B3081" s="4" t="s">
        <v>414</v>
      </c>
      <c r="C3081" s="4" t="s">
        <v>283</v>
      </c>
      <c r="D3081" s="94">
        <v>4641.0</v>
      </c>
    </row>
    <row r="3082">
      <c r="A3082" s="40">
        <f t="array" ref="A3082">IFNA(index(PlayerValues!A:A,match(IFNA(vlookup(B3082,'Special Names'!A:B,2,FALSE),B3082),PlayerValues!E:E,0)),"N/A")</f>
        <v>16214</v>
      </c>
      <c r="B3082" s="4" t="s">
        <v>413</v>
      </c>
      <c r="C3082" s="4" t="s">
        <v>298</v>
      </c>
      <c r="D3082" s="94">
        <v>5172.0</v>
      </c>
    </row>
    <row r="3083">
      <c r="A3083" s="40">
        <f t="array" ref="A3083">IFNA(index(PlayerValues!A:A,match(IFNA(vlookup(B3083,'Special Names'!A:B,2,FALSE),B3083),PlayerValues!E:E,0)),"N/A")</f>
        <v>15256</v>
      </c>
      <c r="B3083" s="4" t="s">
        <v>401</v>
      </c>
      <c r="C3083" s="4" t="s">
        <v>278</v>
      </c>
      <c r="D3083" s="94">
        <v>4599.0</v>
      </c>
    </row>
    <row r="3084">
      <c r="A3084" s="40" t="str">
        <f t="array" ref="A3084">IFNA(index(PlayerValues!A:A,match(IFNA(vlookup(B3084,'Special Names'!A:B,2,FALSE),B3084),PlayerValues!E:E,0)),"N/A")</f>
        <v>N/A</v>
      </c>
      <c r="B3084" s="4" t="s">
        <v>105</v>
      </c>
      <c r="C3084" s="4" t="s">
        <v>325</v>
      </c>
      <c r="D3084" s="94">
        <v>4574.0</v>
      </c>
    </row>
    <row r="3085">
      <c r="A3085" s="40">
        <f t="array" ref="A3085">IFNA(index(PlayerValues!A:A,match(IFNA(vlookup(B3085,'Special Names'!A:B,2,FALSE),B3085),PlayerValues!E:E,0)),"N/A")</f>
        <v>15329</v>
      </c>
      <c r="B3085" s="4" t="s">
        <v>416</v>
      </c>
      <c r="C3085" s="4" t="s">
        <v>298</v>
      </c>
      <c r="D3085" s="94">
        <v>4976.0</v>
      </c>
    </row>
    <row r="3086">
      <c r="A3086" s="40">
        <f t="array" ref="A3086">IFNA(index(PlayerValues!A:A,match(IFNA(vlookup(B3086,'Special Names'!A:B,2,FALSE),B3086),PlayerValues!E:E,0)),"N/A")</f>
        <v>13592</v>
      </c>
      <c r="B3086" s="4" t="s">
        <v>418</v>
      </c>
      <c r="C3086" s="4" t="s">
        <v>283</v>
      </c>
      <c r="D3086" s="94">
        <v>4394.0</v>
      </c>
    </row>
    <row r="3087">
      <c r="A3087" s="40">
        <f t="array" ref="A3087">IFNA(index(PlayerValues!A:A,match(IFNA(vlookup(B3087,'Special Names'!A:B,2,FALSE),B3087),PlayerValues!E:E,0)),"N/A")</f>
        <v>15253</v>
      </c>
      <c r="B3087" s="4" t="s">
        <v>415</v>
      </c>
      <c r="C3087" s="4" t="s">
        <v>278</v>
      </c>
      <c r="D3087" s="94">
        <v>4373.0</v>
      </c>
    </row>
    <row r="3088">
      <c r="A3088" s="40">
        <f t="array" ref="A3088">IFNA(index(PlayerValues!A:A,match(IFNA(vlookup(B3088,'Special Names'!A:B,2,FALSE),B3088),PlayerValues!E:E,0)),"N/A")</f>
        <v>17501</v>
      </c>
      <c r="B3088" s="4" t="s">
        <v>404</v>
      </c>
      <c r="C3088" s="4" t="s">
        <v>287</v>
      </c>
      <c r="D3088" s="94">
        <v>4348.0</v>
      </c>
    </row>
    <row r="3089">
      <c r="A3089" s="40">
        <f t="array" ref="A3089">IFNA(index(PlayerValues!A:A,match(IFNA(vlookup(B3089,'Special Names'!A:B,2,FALSE),B3089),PlayerValues!E:E,0)),"N/A")</f>
        <v>12626</v>
      </c>
      <c r="B3089" s="4" t="s">
        <v>419</v>
      </c>
      <c r="C3089" s="4" t="s">
        <v>278</v>
      </c>
      <c r="D3089" s="94">
        <v>4205.0</v>
      </c>
    </row>
    <row r="3090">
      <c r="A3090" s="40">
        <f t="array" ref="A3090">IFNA(index(PlayerValues!A:A,match(IFNA(vlookup(B3090,'Special Names'!A:B,2,FALSE),B3090),PlayerValues!E:E,0)),"N/A")</f>
        <v>17052</v>
      </c>
      <c r="B3090" s="4" t="s">
        <v>417</v>
      </c>
      <c r="C3090" s="4" t="s">
        <v>278</v>
      </c>
      <c r="D3090" s="94">
        <v>4198.0</v>
      </c>
    </row>
    <row r="3091">
      <c r="A3091" s="40">
        <f t="array" ref="A3091">IFNA(index(PlayerValues!A:A,match(IFNA(vlookup(B3091,'Special Names'!A:B,2,FALSE),B3091),PlayerValues!E:E,0)),"N/A")</f>
        <v>14073</v>
      </c>
      <c r="B3091" s="4" t="s">
        <v>464</v>
      </c>
      <c r="C3091" s="4" t="s">
        <v>278</v>
      </c>
      <c r="D3091" s="94">
        <v>4090.0</v>
      </c>
    </row>
    <row r="3092">
      <c r="A3092" s="40">
        <f t="array" ref="A3092">IFNA(index(PlayerValues!A:A,match(IFNA(vlookup(B3092,'Special Names'!A:B,2,FALSE),B3092),PlayerValues!E:E,0)),"N/A")</f>
        <v>17543</v>
      </c>
      <c r="B3092" s="4" t="s">
        <v>436</v>
      </c>
      <c r="C3092" s="4" t="s">
        <v>298</v>
      </c>
      <c r="D3092" s="94">
        <v>4522.0</v>
      </c>
    </row>
    <row r="3093">
      <c r="A3093" s="40">
        <f t="array" ref="A3093">IFNA(index(PlayerValues!A:A,match(IFNA(vlookup(B3093,'Special Names'!A:B,2,FALSE),B3093),PlayerValues!E:E,0)),"N/A")</f>
        <v>14056</v>
      </c>
      <c r="B3093" s="4" t="s">
        <v>423</v>
      </c>
      <c r="C3093" s="4" t="s">
        <v>283</v>
      </c>
      <c r="D3093" s="94">
        <v>3987.0</v>
      </c>
    </row>
    <row r="3094">
      <c r="A3094" s="40" t="str">
        <f t="array" ref="A3094">IFNA(index(PlayerValues!A:A,match(IFNA(vlookup(B3094,'Special Names'!A:B,2,FALSE),B3094),PlayerValues!E:E,0)),"N/A")</f>
        <v>N/A</v>
      </c>
      <c r="B3094" s="4" t="s">
        <v>81</v>
      </c>
      <c r="C3094" s="4" t="s">
        <v>325</v>
      </c>
      <c r="D3094" s="94">
        <v>3963.0</v>
      </c>
    </row>
    <row r="3095">
      <c r="A3095" s="40">
        <f t="array" ref="A3095">IFNA(index(PlayerValues!A:A,match(IFNA(vlookup(B3095,'Special Names'!A:B,2,FALSE),B3095),PlayerValues!E:E,0)),"N/A")</f>
        <v>15789</v>
      </c>
      <c r="B3095" s="4" t="s">
        <v>421</v>
      </c>
      <c r="C3095" s="4" t="s">
        <v>287</v>
      </c>
      <c r="D3095" s="94">
        <v>3950.0</v>
      </c>
    </row>
    <row r="3096">
      <c r="A3096" s="40">
        <f t="array" ref="A3096">IFNA(index(PlayerValues!A:A,match(IFNA(vlookup(B3096,'Special Names'!A:B,2,FALSE),B3096),PlayerValues!E:E,0)),"N/A")</f>
        <v>16148</v>
      </c>
      <c r="B3096" s="4" t="s">
        <v>426</v>
      </c>
      <c r="C3096" s="4" t="s">
        <v>283</v>
      </c>
      <c r="D3096" s="94">
        <v>3939.0</v>
      </c>
    </row>
    <row r="3097">
      <c r="A3097" s="40" t="str">
        <f t="array" ref="A3097">IFNA(index(PlayerValues!A:A,match(IFNA(vlookup(B3097,'Special Names'!A:B,2,FALSE),B3097),PlayerValues!E:E,0)),"N/A")</f>
        <v>N/A</v>
      </c>
      <c r="B3097" s="4" t="s">
        <v>107</v>
      </c>
      <c r="C3097" s="4" t="s">
        <v>325</v>
      </c>
      <c r="D3097" s="94">
        <v>3933.0</v>
      </c>
    </row>
    <row r="3098">
      <c r="A3098" s="40">
        <f t="array" ref="A3098">IFNA(index(PlayerValues!A:A,match(IFNA(vlookup(B3098,'Special Names'!A:B,2,FALSE),B3098),PlayerValues!E:E,0)),"N/A")</f>
        <v>15768</v>
      </c>
      <c r="B3098" s="4" t="s">
        <v>432</v>
      </c>
      <c r="C3098" s="4" t="s">
        <v>287</v>
      </c>
      <c r="D3098" s="94">
        <v>3926.0</v>
      </c>
    </row>
    <row r="3099">
      <c r="A3099" s="40">
        <f t="array" ref="A3099">IFNA(index(PlayerValues!A:A,match(IFNA(vlookup(B3099,'Special Names'!A:B,2,FALSE),B3099),PlayerValues!E:E,0)),"N/A")</f>
        <v>16186</v>
      </c>
      <c r="B3099" s="4" t="s">
        <v>425</v>
      </c>
      <c r="C3099" s="4" t="s">
        <v>287</v>
      </c>
      <c r="D3099" s="94">
        <v>3921.0</v>
      </c>
    </row>
    <row r="3100">
      <c r="A3100" s="40">
        <f t="array" ref="A3100">IFNA(index(PlayerValues!A:A,match(IFNA(vlookup(B3100,'Special Names'!A:B,2,FALSE),B3100),PlayerValues!E:E,0)),"N/A")</f>
        <v>14059</v>
      </c>
      <c r="B3100" s="4" t="s">
        <v>435</v>
      </c>
      <c r="C3100" s="4" t="s">
        <v>283</v>
      </c>
      <c r="D3100" s="94">
        <v>3919.0</v>
      </c>
    </row>
    <row r="3101">
      <c r="A3101" s="40">
        <f t="array" ref="A3101">IFNA(index(PlayerValues!A:A,match(IFNA(vlookup(B3101,'Special Names'!A:B,2,FALSE),B3101),PlayerValues!E:E,0)),"N/A")</f>
        <v>9431</v>
      </c>
      <c r="B3101" s="4" t="s">
        <v>428</v>
      </c>
      <c r="C3101" s="4" t="s">
        <v>283</v>
      </c>
      <c r="D3101" s="94">
        <v>3875.0</v>
      </c>
    </row>
    <row r="3102">
      <c r="A3102" s="40" t="str">
        <f t="array" ref="A3102">IFNA(index(PlayerValues!A:A,match(IFNA(vlookup(B3102,'Special Names'!A:B,2,FALSE),B3102),PlayerValues!E:E,0)),"N/A")</f>
        <v>N/A</v>
      </c>
      <c r="B3102" s="4" t="s">
        <v>95</v>
      </c>
      <c r="C3102" s="4" t="s">
        <v>325</v>
      </c>
      <c r="D3102" s="94">
        <v>3831.0</v>
      </c>
    </row>
    <row r="3103">
      <c r="A3103" s="40">
        <f t="array" ref="A3103">IFNA(index(PlayerValues!A:A,match(IFNA(vlookup(B3103,'Special Names'!A:B,2,FALSE),B3103),PlayerValues!E:E,0)),"N/A")</f>
        <v>15694</v>
      </c>
      <c r="B3103" s="4" t="s">
        <v>434</v>
      </c>
      <c r="C3103" s="4" t="s">
        <v>283</v>
      </c>
      <c r="D3103" s="94">
        <v>3789.0</v>
      </c>
    </row>
    <row r="3104">
      <c r="A3104" s="40">
        <f t="array" ref="A3104">IFNA(index(PlayerValues!A:A,match(IFNA(vlookup(B3104,'Special Names'!A:B,2,FALSE),B3104),PlayerValues!E:E,0)),"N/A")</f>
        <v>16206</v>
      </c>
      <c r="B3104" s="4" t="s">
        <v>431</v>
      </c>
      <c r="C3104" s="4" t="s">
        <v>287</v>
      </c>
      <c r="D3104" s="94">
        <v>3731.0</v>
      </c>
    </row>
    <row r="3105">
      <c r="A3105" s="40">
        <f t="array" ref="A3105">IFNA(index(PlayerValues!A:A,match(IFNA(vlookup(B3105,'Special Names'!A:B,2,FALSE),B3105),PlayerValues!E:E,0)),"N/A")</f>
        <v>14797</v>
      </c>
      <c r="B3105" s="4" t="s">
        <v>420</v>
      </c>
      <c r="C3105" s="4" t="s">
        <v>278</v>
      </c>
      <c r="D3105" s="94">
        <v>3729.0</v>
      </c>
    </row>
    <row r="3106">
      <c r="A3106" s="40">
        <f t="array" ref="A3106">IFNA(index(PlayerValues!A:A,match(IFNA(vlookup(B3106,'Special Names'!A:B,2,FALSE),B3106),PlayerValues!E:E,0)),"N/A")</f>
        <v>16192</v>
      </c>
      <c r="B3106" s="4" t="s">
        <v>412</v>
      </c>
      <c r="C3106" s="4" t="s">
        <v>287</v>
      </c>
      <c r="D3106" s="94">
        <v>3677.0</v>
      </c>
    </row>
    <row r="3107">
      <c r="A3107" s="40">
        <f t="array" ref="A3107">IFNA(index(PlayerValues!A:A,match(IFNA(vlookup(B3107,'Special Names'!A:B,2,FALSE),B3107),PlayerValues!E:E,0)),"N/A")</f>
        <v>16187</v>
      </c>
      <c r="B3107" s="4" t="s">
        <v>441</v>
      </c>
      <c r="C3107" s="4" t="s">
        <v>287</v>
      </c>
      <c r="D3107" s="94">
        <v>3591.0</v>
      </c>
    </row>
    <row r="3108">
      <c r="A3108" s="40">
        <f t="array" ref="A3108">IFNA(index(PlayerValues!A:A,match(IFNA(vlookup(B3108,'Special Names'!A:B,2,FALSE),B3108),PlayerValues!E:E,0)),"N/A")</f>
        <v>16188</v>
      </c>
      <c r="B3108" s="4" t="s">
        <v>439</v>
      </c>
      <c r="C3108" s="4" t="s">
        <v>287</v>
      </c>
      <c r="D3108" s="94">
        <v>3543.0</v>
      </c>
    </row>
    <row r="3109">
      <c r="A3109" s="40">
        <f t="array" ref="A3109">IFNA(index(PlayerValues!A:A,match(IFNA(vlookup(B3109,'Special Names'!A:B,2,FALSE),B3109),PlayerValues!E:E,0)),"N/A")</f>
        <v>13635</v>
      </c>
      <c r="B3109" s="4" t="s">
        <v>424</v>
      </c>
      <c r="C3109" s="4" t="s">
        <v>287</v>
      </c>
      <c r="D3109" s="94">
        <v>3530.0</v>
      </c>
    </row>
    <row r="3110">
      <c r="A3110" s="40">
        <f t="array" ref="A3110">IFNA(index(PlayerValues!A:A,match(IFNA(vlookup(B3110,'Special Names'!A:B,2,FALSE),B3110),PlayerValues!E:E,0)),"N/A")</f>
        <v>17075</v>
      </c>
      <c r="B3110" s="4" t="s">
        <v>429</v>
      </c>
      <c r="C3110" s="4" t="s">
        <v>287</v>
      </c>
      <c r="D3110" s="94">
        <v>3529.0</v>
      </c>
    </row>
    <row r="3111">
      <c r="A3111" s="40">
        <f t="array" ref="A3111">IFNA(index(PlayerValues!A:A,match(IFNA(vlookup(B3111,'Special Names'!A:B,2,FALSE),B3111),PlayerValues!E:E,0)),"N/A")</f>
        <v>17502</v>
      </c>
      <c r="B3111" s="4" t="s">
        <v>451</v>
      </c>
      <c r="C3111" s="4" t="s">
        <v>287</v>
      </c>
      <c r="D3111" s="94">
        <v>3524.0</v>
      </c>
    </row>
    <row r="3112">
      <c r="A3112" s="40">
        <f t="array" ref="A3112">IFNA(index(PlayerValues!A:A,match(IFNA(vlookup(B3112,'Special Names'!A:B,2,FALSE),B3112),PlayerValues!E:E,0)),"N/A")</f>
        <v>16597</v>
      </c>
      <c r="B3112" s="4" t="s">
        <v>427</v>
      </c>
      <c r="C3112" s="4" t="s">
        <v>278</v>
      </c>
      <c r="D3112" s="94">
        <v>3521.0</v>
      </c>
    </row>
    <row r="3113">
      <c r="A3113" s="40">
        <f t="array" ref="A3113">IFNA(index(PlayerValues!A:A,match(IFNA(vlookup(B3113,'Special Names'!A:B,2,FALSE),B3113),PlayerValues!E:E,0)),"N/A")</f>
        <v>17066</v>
      </c>
      <c r="B3113" s="4" t="s">
        <v>446</v>
      </c>
      <c r="C3113" s="4" t="s">
        <v>278</v>
      </c>
      <c r="D3113" s="94">
        <v>3515.0</v>
      </c>
    </row>
    <row r="3114">
      <c r="A3114" s="40">
        <f t="array" ref="A3114">IFNA(index(PlayerValues!A:A,match(IFNA(vlookup(B3114,'Special Names'!A:B,2,FALSE),B3114),PlayerValues!E:E,0)),"N/A")</f>
        <v>14109</v>
      </c>
      <c r="B3114" s="4" t="s">
        <v>437</v>
      </c>
      <c r="C3114" s="4" t="s">
        <v>287</v>
      </c>
      <c r="D3114" s="94">
        <v>3503.0</v>
      </c>
    </row>
    <row r="3115">
      <c r="A3115" s="40">
        <f t="array" ref="A3115">IFNA(index(PlayerValues!A:A,match(IFNA(vlookup(B3115,'Special Names'!A:B,2,FALSE),B3115),PlayerValues!E:E,0)),"N/A")</f>
        <v>17099</v>
      </c>
      <c r="B3115" s="4" t="s">
        <v>474</v>
      </c>
      <c r="C3115" s="4" t="s">
        <v>298</v>
      </c>
      <c r="D3115" s="94">
        <v>3940.0</v>
      </c>
    </row>
    <row r="3116">
      <c r="A3116" s="40">
        <f t="array" ref="A3116">IFNA(index(PlayerValues!A:A,match(IFNA(vlookup(B3116,'Special Names'!A:B,2,FALSE),B3116),PlayerValues!E:E,0)),"N/A")</f>
        <v>17463</v>
      </c>
      <c r="B3116" s="4" t="s">
        <v>433</v>
      </c>
      <c r="C3116" s="4" t="s">
        <v>283</v>
      </c>
      <c r="D3116" s="94">
        <v>3483.0</v>
      </c>
    </row>
    <row r="3117">
      <c r="A3117" s="40">
        <f t="array" ref="A3117">IFNA(index(PlayerValues!A:A,match(IFNA(vlookup(B3117,'Special Names'!A:B,2,FALSE),B3117),PlayerValues!E:E,0)),"N/A")</f>
        <v>14071</v>
      </c>
      <c r="B3117" s="4" t="s">
        <v>440</v>
      </c>
      <c r="C3117" s="4" t="s">
        <v>278</v>
      </c>
      <c r="D3117" s="94">
        <v>3462.0</v>
      </c>
    </row>
    <row r="3118">
      <c r="A3118" s="40">
        <f t="array" ref="A3118">IFNA(index(PlayerValues!A:A,match(IFNA(vlookup(B3118,'Special Names'!A:B,2,FALSE),B3118),PlayerValues!E:E,0)),"N/A")</f>
        <v>11675</v>
      </c>
      <c r="B3118" s="4" t="s">
        <v>438</v>
      </c>
      <c r="C3118" s="4" t="s">
        <v>287</v>
      </c>
      <c r="D3118" s="94">
        <v>3451.0</v>
      </c>
    </row>
    <row r="3119">
      <c r="A3119" s="40">
        <f t="array" ref="A3119">IFNA(index(PlayerValues!A:A,match(IFNA(vlookup(B3119,'Special Names'!A:B,2,FALSE),B3119),PlayerValues!E:E,0)),"N/A")</f>
        <v>16593</v>
      </c>
      <c r="B3119" s="4" t="s">
        <v>442</v>
      </c>
      <c r="C3119" s="4" t="s">
        <v>278</v>
      </c>
      <c r="D3119" s="94">
        <v>3441.0</v>
      </c>
    </row>
    <row r="3120">
      <c r="A3120" s="40">
        <f t="array" ref="A3120">IFNA(index(PlayerValues!A:A,match(IFNA(vlookup(B3120,'Special Names'!A:B,2,FALSE),B3120),PlayerValues!E:E,0)),"N/A")</f>
        <v>14102</v>
      </c>
      <c r="B3120" s="4" t="s">
        <v>444</v>
      </c>
      <c r="C3120" s="4" t="s">
        <v>287</v>
      </c>
      <c r="D3120" s="94">
        <v>3436.0</v>
      </c>
    </row>
    <row r="3121">
      <c r="A3121" s="40">
        <f t="array" ref="A3121">IFNA(index(PlayerValues!A:A,match(IFNA(vlookup(B3121,'Special Names'!A:B,2,FALSE),B3121),PlayerValues!E:E,0)),"N/A")</f>
        <v>17544</v>
      </c>
      <c r="B3121" s="4" t="s">
        <v>470</v>
      </c>
      <c r="C3121" s="4" t="s">
        <v>298</v>
      </c>
      <c r="D3121" s="94">
        <v>3864.0</v>
      </c>
    </row>
    <row r="3122">
      <c r="A3122" s="40">
        <f t="array" ref="A3122">IFNA(index(PlayerValues!A:A,match(IFNA(vlookup(B3122,'Special Names'!A:B,2,FALSE),B3122),PlayerValues!E:E,0)),"N/A")</f>
        <v>15757</v>
      </c>
      <c r="B3122" s="4" t="s">
        <v>449</v>
      </c>
      <c r="C3122" s="4" t="s">
        <v>287</v>
      </c>
      <c r="D3122" s="94">
        <v>3399.0</v>
      </c>
    </row>
    <row r="3123">
      <c r="A3123" s="40">
        <f t="array" ref="A3123">IFNA(index(PlayerValues!A:A,match(IFNA(vlookup(B3123,'Special Names'!A:B,2,FALSE),B3123),PlayerValues!E:E,0)),"N/A")</f>
        <v>15798</v>
      </c>
      <c r="B3123" s="4" t="s">
        <v>443</v>
      </c>
      <c r="C3123" s="4" t="s">
        <v>298</v>
      </c>
      <c r="D3123" s="94">
        <v>3845.0</v>
      </c>
    </row>
    <row r="3124">
      <c r="A3124" s="40">
        <f t="array" ref="A3124">IFNA(index(PlayerValues!A:A,match(IFNA(vlookup(B3124,'Special Names'!A:B,2,FALSE),B3124),PlayerValues!E:E,0)),"N/A")</f>
        <v>17068</v>
      </c>
      <c r="B3124" s="4" t="s">
        <v>450</v>
      </c>
      <c r="C3124" s="4" t="s">
        <v>278</v>
      </c>
      <c r="D3124" s="94">
        <v>3392.0</v>
      </c>
    </row>
    <row r="3125">
      <c r="A3125" s="40">
        <f t="array" ref="A3125">IFNA(index(PlayerValues!A:A,match(IFNA(vlookup(B3125,'Special Names'!A:B,2,FALSE),B3125),PlayerValues!E:E,0)),"N/A")</f>
        <v>16622</v>
      </c>
      <c r="B3125" s="4" t="s">
        <v>517</v>
      </c>
      <c r="C3125" s="4" t="s">
        <v>287</v>
      </c>
      <c r="D3125" s="94">
        <v>3385.0</v>
      </c>
    </row>
    <row r="3126">
      <c r="A3126" s="40" t="str">
        <f t="array" ref="A3126">IFNA(index(PlayerValues!A:A,match(IFNA(vlookup(B3126,'Special Names'!A:B,2,FALSE),B3126),PlayerValues!E:E,0)),"N/A")</f>
        <v>N/A</v>
      </c>
      <c r="B3126" s="4" t="s">
        <v>96</v>
      </c>
      <c r="C3126" s="4" t="s">
        <v>325</v>
      </c>
      <c r="D3126" s="94">
        <v>3381.0</v>
      </c>
    </row>
    <row r="3127">
      <c r="A3127" s="40">
        <f t="array" ref="A3127">IFNA(index(PlayerValues!A:A,match(IFNA(vlookup(B3127,'Special Names'!A:B,2,FALSE),B3127),PlayerValues!E:E,0)),"N/A")</f>
        <v>14842</v>
      </c>
      <c r="B3127" s="4" t="s">
        <v>456</v>
      </c>
      <c r="C3127" s="4" t="s">
        <v>287</v>
      </c>
      <c r="D3127" s="94">
        <v>3379.0</v>
      </c>
    </row>
    <row r="3128">
      <c r="A3128" s="40">
        <f t="array" ref="A3128">IFNA(index(PlayerValues!A:A,match(IFNA(vlookup(B3128,'Special Names'!A:B,2,FALSE),B3128),PlayerValues!E:E,0)),"N/A")</f>
        <v>16169</v>
      </c>
      <c r="B3128" s="4" t="s">
        <v>457</v>
      </c>
      <c r="C3128" s="4" t="s">
        <v>278</v>
      </c>
      <c r="D3128" s="94">
        <v>3373.0</v>
      </c>
    </row>
    <row r="3129">
      <c r="A3129" s="40">
        <f t="array" ref="A3129">IFNA(index(PlayerValues!A:A,match(IFNA(vlookup(B3129,'Special Names'!A:B,2,FALSE),B3129),PlayerValues!E:E,0)),"N/A")</f>
        <v>13299</v>
      </c>
      <c r="B3129" s="4" t="s">
        <v>448</v>
      </c>
      <c r="C3129" s="4" t="s">
        <v>298</v>
      </c>
      <c r="D3129" s="94">
        <v>3822.0</v>
      </c>
    </row>
    <row r="3130">
      <c r="A3130" s="40">
        <f t="array" ref="A3130">IFNA(index(PlayerValues!A:A,match(IFNA(vlookup(B3130,'Special Names'!A:B,2,FALSE),B3130),PlayerValues!E:E,0)),"N/A")</f>
        <v>17074</v>
      </c>
      <c r="B3130" s="4" t="s">
        <v>475</v>
      </c>
      <c r="C3130" s="4" t="s">
        <v>287</v>
      </c>
      <c r="D3130" s="94">
        <v>3369.0</v>
      </c>
    </row>
    <row r="3131">
      <c r="A3131" s="40">
        <f t="array" ref="A3131">IFNA(index(PlayerValues!A:A,match(IFNA(vlookup(B3131,'Special Names'!A:B,2,FALSE),B3131),PlayerValues!E:E,0)),"N/A")</f>
        <v>17083</v>
      </c>
      <c r="B3131" s="4" t="s">
        <v>479</v>
      </c>
      <c r="C3131" s="4" t="s">
        <v>287</v>
      </c>
      <c r="D3131" s="94">
        <v>3365.0</v>
      </c>
    </row>
    <row r="3132">
      <c r="A3132" s="40">
        <f t="array" ref="A3132">IFNA(index(PlayerValues!A:A,match(IFNA(vlookup(B3132,'Special Names'!A:B,2,FALSE),B3132),PlayerValues!E:E,0)),"N/A")</f>
        <v>16184</v>
      </c>
      <c r="B3132" s="4" t="s">
        <v>445</v>
      </c>
      <c r="C3132" s="4" t="s">
        <v>287</v>
      </c>
      <c r="D3132" s="94">
        <v>3362.0</v>
      </c>
    </row>
    <row r="3133">
      <c r="A3133" s="40">
        <f t="array" ref="A3133">IFNA(index(PlayerValues!A:A,match(IFNA(vlookup(B3133,'Special Names'!A:B,2,FALSE),B3133),PlayerValues!E:E,0)),"N/A")</f>
        <v>17500</v>
      </c>
      <c r="B3133" s="4" t="s">
        <v>430</v>
      </c>
      <c r="C3133" s="4" t="s">
        <v>287</v>
      </c>
      <c r="D3133" s="94">
        <v>3357.0</v>
      </c>
    </row>
    <row r="3134">
      <c r="A3134" s="40">
        <f t="array" ref="A3134">IFNA(index(PlayerValues!A:A,match(IFNA(vlookup(B3134,'Special Names'!A:B,2,FALSE),B3134),PlayerValues!E:E,0)),"N/A")</f>
        <v>11671</v>
      </c>
      <c r="B3134" s="4" t="s">
        <v>463</v>
      </c>
      <c r="C3134" s="4" t="s">
        <v>287</v>
      </c>
      <c r="D3134" s="94">
        <v>3322.0</v>
      </c>
    </row>
    <row r="3135">
      <c r="A3135" s="40">
        <f t="array" ref="A3135">IFNA(index(PlayerValues!A:A,match(IFNA(vlookup(B3135,'Special Names'!A:B,2,FALSE),B3135),PlayerValues!E:E,0)),"N/A")</f>
        <v>15742</v>
      </c>
      <c r="B3135" s="4" t="s">
        <v>447</v>
      </c>
      <c r="C3135" s="4" t="s">
        <v>278</v>
      </c>
      <c r="D3135" s="94">
        <v>3320.0</v>
      </c>
    </row>
    <row r="3136">
      <c r="A3136" s="40">
        <f t="array" ref="A3136">IFNA(index(PlayerValues!A:A,match(IFNA(vlookup(B3136,'Special Names'!A:B,2,FALSE),B3136),PlayerValues!E:E,0)),"N/A")</f>
        <v>16620</v>
      </c>
      <c r="B3136" s="4" t="s">
        <v>467</v>
      </c>
      <c r="C3136" s="4" t="s">
        <v>287</v>
      </c>
      <c r="D3136" s="94">
        <v>3312.0</v>
      </c>
    </row>
    <row r="3137">
      <c r="A3137" s="40" t="str">
        <f t="array" ref="A3137">IFNA(index(PlayerValues!A:A,match(IFNA(vlookup(B3137,'Special Names'!A:B,2,FALSE),B3137),PlayerValues!E:E,0)),"N/A")</f>
        <v>N/A</v>
      </c>
      <c r="B3137" s="4" t="s">
        <v>82</v>
      </c>
      <c r="C3137" s="4" t="s">
        <v>325</v>
      </c>
      <c r="D3137" s="94">
        <v>3310.0</v>
      </c>
    </row>
    <row r="3138">
      <c r="A3138" s="40">
        <f t="array" ref="A3138">IFNA(index(PlayerValues!A:A,match(IFNA(vlookup(B3138,'Special Names'!A:B,2,FALSE),B3138),PlayerValues!E:E,0)),"N/A")</f>
        <v>16213</v>
      </c>
      <c r="B3138" s="4" t="s">
        <v>458</v>
      </c>
      <c r="C3138" s="4" t="s">
        <v>298</v>
      </c>
      <c r="D3138" s="94">
        <v>3632.0</v>
      </c>
    </row>
    <row r="3139">
      <c r="A3139" s="40">
        <f t="array" ref="A3139">IFNA(index(PlayerValues!A:A,match(IFNA(vlookup(B3139,'Special Names'!A:B,2,FALSE),B3139),PlayerValues!E:E,0)),"N/A")</f>
        <v>15799</v>
      </c>
      <c r="B3139" s="4" t="s">
        <v>468</v>
      </c>
      <c r="C3139" s="4" t="s">
        <v>298</v>
      </c>
      <c r="D3139" s="94">
        <v>3627.0</v>
      </c>
    </row>
    <row r="3140">
      <c r="A3140" s="40">
        <f t="array" ref="A3140">IFNA(index(PlayerValues!A:A,match(IFNA(vlookup(B3140,'Special Names'!A:B,2,FALSE),B3140),PlayerValues!E:E,0)),"N/A")</f>
        <v>17477</v>
      </c>
      <c r="B3140" s="4" t="s">
        <v>452</v>
      </c>
      <c r="C3140" s="4" t="s">
        <v>278</v>
      </c>
      <c r="D3140" s="94">
        <v>3186.0</v>
      </c>
    </row>
    <row r="3141">
      <c r="A3141" s="40" t="str">
        <f t="array" ref="A3141">IFNA(index(PlayerValues!A:A,match(IFNA(vlookup(B3141,'Special Names'!A:B,2,FALSE),B3141),PlayerValues!E:E,0)),"N/A")</f>
        <v>N/A</v>
      </c>
      <c r="B3141" s="4" t="s">
        <v>108</v>
      </c>
      <c r="C3141" s="4" t="s">
        <v>325</v>
      </c>
      <c r="D3141" s="94">
        <v>3181.0</v>
      </c>
    </row>
    <row r="3142">
      <c r="A3142" s="40">
        <f t="array" ref="A3142">IFNA(index(PlayerValues!A:A,match(IFNA(vlookup(B3142,'Special Names'!A:B,2,FALSE),B3142),PlayerValues!E:E,0)),"N/A")</f>
        <v>15261</v>
      </c>
      <c r="B3142" s="4" t="s">
        <v>466</v>
      </c>
      <c r="C3142" s="4" t="s">
        <v>278</v>
      </c>
      <c r="D3142" s="94">
        <v>3176.0</v>
      </c>
    </row>
    <row r="3143">
      <c r="A3143" s="40">
        <f t="array" ref="A3143">IFNA(index(PlayerValues!A:A,match(IFNA(vlookup(B3143,'Special Names'!A:B,2,FALSE),B3143),PlayerValues!E:E,0)),"N/A")</f>
        <v>16809</v>
      </c>
      <c r="B3143" s="4" t="s">
        <v>455</v>
      </c>
      <c r="C3143" s="4" t="s">
        <v>287</v>
      </c>
      <c r="D3143" s="94">
        <v>3158.0</v>
      </c>
    </row>
    <row r="3144">
      <c r="A3144" s="40" t="str">
        <f t="array" ref="A3144">IFNA(index(PlayerValues!A:A,match(IFNA(vlookup(B3144,'Special Names'!A:B,2,FALSE),B3144),PlayerValues!E:E,0)),"N/A")</f>
        <v>N/A</v>
      </c>
      <c r="B3144" s="4" t="s">
        <v>97</v>
      </c>
      <c r="C3144" s="4" t="s">
        <v>325</v>
      </c>
      <c r="D3144" s="94">
        <v>3132.0</v>
      </c>
    </row>
    <row r="3145">
      <c r="A3145" s="40">
        <f t="array" ref="A3145">IFNA(index(PlayerValues!A:A,match(IFNA(vlookup(B3145,'Special Names'!A:B,2,FALSE),B3145),PlayerValues!E:E,0)),"N/A")</f>
        <v>16269</v>
      </c>
      <c r="B3145" s="4" t="s">
        <v>481</v>
      </c>
      <c r="C3145" s="4" t="s">
        <v>298</v>
      </c>
      <c r="D3145" s="94">
        <v>3536.0</v>
      </c>
    </row>
    <row r="3146">
      <c r="A3146" s="40">
        <f t="array" ref="A3146">IFNA(index(PlayerValues!A:A,match(IFNA(vlookup(B3146,'Special Names'!A:B,2,FALSE),B3146),PlayerValues!E:E,0)),"N/A")</f>
        <v>14823</v>
      </c>
      <c r="B3146" s="4" t="s">
        <v>459</v>
      </c>
      <c r="C3146" s="4" t="s">
        <v>278</v>
      </c>
      <c r="D3146" s="94">
        <v>3090.0</v>
      </c>
    </row>
    <row r="3147">
      <c r="A3147" s="40">
        <f t="array" ref="A3147">IFNA(index(PlayerValues!A:A,match(IFNA(vlookup(B3147,'Special Names'!A:B,2,FALSE),B3147),PlayerValues!E:E,0)),"N/A")</f>
        <v>17514</v>
      </c>
      <c r="B3147" s="4" t="s">
        <v>422</v>
      </c>
      <c r="C3147" s="4" t="s">
        <v>287</v>
      </c>
      <c r="D3147" s="94">
        <v>3075.0</v>
      </c>
    </row>
    <row r="3148">
      <c r="A3148" s="40">
        <f t="array" ref="A3148">IFNA(index(PlayerValues!A:A,match(IFNA(vlookup(B3148,'Special Names'!A:B,2,FALSE),B3148),PlayerValues!E:E,0)),"N/A")</f>
        <v>13630</v>
      </c>
      <c r="B3148" s="4" t="s">
        <v>465</v>
      </c>
      <c r="C3148" s="4" t="s">
        <v>287</v>
      </c>
      <c r="D3148" s="94">
        <v>3058.0</v>
      </c>
    </row>
    <row r="3149">
      <c r="A3149" s="40">
        <f t="array" ref="A3149">IFNA(index(PlayerValues!A:A,match(IFNA(vlookup(B3149,'Special Names'!A:B,2,FALSE),B3149),PlayerValues!E:E,0)),"N/A")</f>
        <v>15259</v>
      </c>
      <c r="B3149" s="4" t="s">
        <v>453</v>
      </c>
      <c r="C3149" s="4" t="s">
        <v>278</v>
      </c>
      <c r="D3149" s="94">
        <v>3050.0</v>
      </c>
    </row>
    <row r="3150">
      <c r="A3150" s="40">
        <f t="array" ref="A3150">IFNA(index(PlayerValues!A:A,match(IFNA(vlookup(B3150,'Special Names'!A:B,2,FALSE),B3150),PlayerValues!E:E,0)),"N/A")</f>
        <v>15779</v>
      </c>
      <c r="B3150" s="4" t="s">
        <v>461</v>
      </c>
      <c r="C3150" s="4" t="s">
        <v>287</v>
      </c>
      <c r="D3150" s="94">
        <v>3033.0</v>
      </c>
    </row>
    <row r="3151">
      <c r="A3151" s="40">
        <f t="array" ref="A3151">IFNA(index(PlayerValues!A:A,match(IFNA(vlookup(B3151,'Special Names'!A:B,2,FALSE),B3151),PlayerValues!E:E,0)),"N/A")</f>
        <v>17512</v>
      </c>
      <c r="B3151" s="4" t="s">
        <v>483</v>
      </c>
      <c r="C3151" s="4" t="s">
        <v>287</v>
      </c>
      <c r="D3151" s="94">
        <v>3028.0</v>
      </c>
    </row>
    <row r="3152">
      <c r="A3152" s="40">
        <f t="array" ref="A3152">IFNA(index(PlayerValues!A:A,match(IFNA(vlookup(B3152,'Special Names'!A:B,2,FALSE),B3152),PlayerValues!E:E,0)),"N/A")</f>
        <v>16628</v>
      </c>
      <c r="B3152" s="4" t="s">
        <v>490</v>
      </c>
      <c r="C3152" s="4" t="s">
        <v>287</v>
      </c>
      <c r="D3152" s="94">
        <v>3026.0</v>
      </c>
    </row>
    <row r="3153">
      <c r="A3153" s="40" t="str">
        <f t="array" ref="A3153">IFNA(index(PlayerValues!A:A,match(IFNA(vlookup(B3153,'Special Names'!A:B,2,FALSE),B3153),PlayerValues!E:E,0)),"N/A")</f>
        <v>N/A</v>
      </c>
      <c r="B3153" s="4" t="s">
        <v>84</v>
      </c>
      <c r="C3153" s="4" t="s">
        <v>325</v>
      </c>
      <c r="D3153" s="94">
        <v>3020.0</v>
      </c>
    </row>
    <row r="3154">
      <c r="A3154" s="40">
        <f t="array" ref="A3154">IFNA(index(PlayerValues!A:A,match(IFNA(vlookup(B3154,'Special Names'!A:B,2,FALSE),B3154),PlayerValues!E:E,0)),"N/A")</f>
        <v>17506</v>
      </c>
      <c r="B3154" s="4" t="s">
        <v>471</v>
      </c>
      <c r="C3154" s="4" t="s">
        <v>287</v>
      </c>
      <c r="D3154" s="94">
        <v>3019.0</v>
      </c>
    </row>
    <row r="3155">
      <c r="A3155" s="40">
        <f t="array" ref="A3155">IFNA(index(PlayerValues!A:A,match(IFNA(vlookup(B3155,'Special Names'!A:B,2,FALSE),B3155),PlayerValues!E:E,0)),"N/A")</f>
        <v>17256</v>
      </c>
      <c r="B3155" s="4" t="s">
        <v>462</v>
      </c>
      <c r="C3155" s="4" t="s">
        <v>278</v>
      </c>
      <c r="D3155" s="94">
        <v>3015.0</v>
      </c>
    </row>
    <row r="3156">
      <c r="A3156" s="40">
        <f t="array" ref="A3156">IFNA(index(PlayerValues!A:A,match(IFNA(vlookup(B3156,'Special Names'!A:B,2,FALSE),B3156),PlayerValues!E:E,0)),"N/A")</f>
        <v>14800</v>
      </c>
      <c r="B3156" s="4" t="s">
        <v>472</v>
      </c>
      <c r="C3156" s="4" t="s">
        <v>278</v>
      </c>
      <c r="D3156" s="94">
        <v>2996.0</v>
      </c>
    </row>
    <row r="3157">
      <c r="A3157" s="40">
        <f t="array" ref="A3157">IFNA(index(PlayerValues!A:A,match(IFNA(vlookup(B3157,'Special Names'!A:B,2,FALSE),B3157),PlayerValues!E:E,0)),"N/A")</f>
        <v>15255</v>
      </c>
      <c r="B3157" s="4" t="s">
        <v>477</v>
      </c>
      <c r="C3157" s="4" t="s">
        <v>278</v>
      </c>
      <c r="D3157" s="94">
        <v>2991.0</v>
      </c>
    </row>
    <row r="3158">
      <c r="A3158" s="40">
        <f t="array" ref="A3158">IFNA(index(PlayerValues!A:A,match(IFNA(vlookup(B3158,'Special Names'!A:B,2,FALSE),B3158),PlayerValues!E:E,0)),"N/A")</f>
        <v>14127</v>
      </c>
      <c r="B3158" s="4" t="s">
        <v>486</v>
      </c>
      <c r="C3158" s="4" t="s">
        <v>287</v>
      </c>
      <c r="D3158" s="94">
        <v>2965.0</v>
      </c>
    </row>
    <row r="3159">
      <c r="A3159" s="40">
        <f t="array" ref="A3159">IFNA(index(PlayerValues!A:A,match(IFNA(vlookup(B3159,'Special Names'!A:B,2,FALSE),B3159),PlayerValues!E:E,0)),"N/A")</f>
        <v>13163</v>
      </c>
      <c r="B3159" s="4" t="s">
        <v>473</v>
      </c>
      <c r="C3159" s="4" t="s">
        <v>287</v>
      </c>
      <c r="D3159" s="94">
        <v>2958.0</v>
      </c>
    </row>
    <row r="3160">
      <c r="A3160" s="40" t="str">
        <f t="array" ref="A3160">IFNA(index(PlayerValues!A:A,match(IFNA(vlookup(B3160,'Special Names'!A:B,2,FALSE),B3160),PlayerValues!E:E,0)),"N/A")</f>
        <v>N/A</v>
      </c>
      <c r="B3160" s="4" t="s">
        <v>109</v>
      </c>
      <c r="C3160" s="4" t="s">
        <v>325</v>
      </c>
      <c r="D3160" s="94">
        <v>2938.0</v>
      </c>
    </row>
    <row r="3161">
      <c r="A3161" s="40">
        <f t="array" ref="A3161">IFNA(index(PlayerValues!A:A,match(IFNA(vlookup(B3161,'Special Names'!A:B,2,FALSE),B3161),PlayerValues!E:E,0)),"N/A")</f>
        <v>17503</v>
      </c>
      <c r="B3161" s="4" t="s">
        <v>480</v>
      </c>
      <c r="C3161" s="4" t="s">
        <v>287</v>
      </c>
      <c r="D3161" s="94">
        <v>2933.0</v>
      </c>
    </row>
    <row r="3162">
      <c r="A3162" s="40">
        <f t="array" ref="A3162">IFNA(index(PlayerValues!A:A,match(IFNA(vlookup(B3162,'Special Names'!A:B,2,FALSE),B3162),PlayerValues!E:E,0)),"N/A")</f>
        <v>17476</v>
      </c>
      <c r="B3162" s="4" t="s">
        <v>494</v>
      </c>
      <c r="C3162" s="4" t="s">
        <v>278</v>
      </c>
      <c r="D3162" s="94">
        <v>2879.0</v>
      </c>
    </row>
    <row r="3163">
      <c r="A3163" s="40">
        <f t="array" ref="A3163">IFNA(index(PlayerValues!A:A,match(IFNA(vlookup(B3163,'Special Names'!A:B,2,FALSE),B3163),PlayerValues!E:E,0)),"N/A")</f>
        <v>15761</v>
      </c>
      <c r="B3163" s="4" t="s">
        <v>491</v>
      </c>
      <c r="C3163" s="4" t="s">
        <v>287</v>
      </c>
      <c r="D3163" s="94">
        <v>2862.0</v>
      </c>
    </row>
    <row r="3164">
      <c r="A3164" s="40">
        <f t="array" ref="A3164">IFNA(index(PlayerValues!A:A,match(IFNA(vlookup(B3164,'Special Names'!A:B,2,FALSE),B3164),PlayerValues!E:E,0)),"N/A")</f>
        <v>14085</v>
      </c>
      <c r="B3164" s="4" t="s">
        <v>489</v>
      </c>
      <c r="C3164" s="4" t="s">
        <v>278</v>
      </c>
      <c r="D3164" s="94">
        <v>2841.0</v>
      </c>
    </row>
    <row r="3165">
      <c r="A3165" s="40">
        <f t="array" ref="A3165">IFNA(index(PlayerValues!A:A,match(IFNA(vlookup(B3165,'Special Names'!A:B,2,FALSE),B3165),PlayerValues!E:E,0)),"N/A")</f>
        <v>16080</v>
      </c>
      <c r="B3165" s="4" t="s">
        <v>499</v>
      </c>
      <c r="C3165" s="4" t="s">
        <v>287</v>
      </c>
      <c r="D3165" s="94">
        <v>2819.0</v>
      </c>
    </row>
    <row r="3166">
      <c r="A3166" s="40">
        <f t="array" ref="A3166">IFNA(index(PlayerValues!A:A,match(IFNA(vlookup(B3166,'Special Names'!A:B,2,FALSE),B3166),PlayerValues!E:E,0)),"N/A")</f>
        <v>15889</v>
      </c>
      <c r="B3166" s="4" t="s">
        <v>503</v>
      </c>
      <c r="C3166" s="4" t="s">
        <v>298</v>
      </c>
      <c r="D3166" s="94">
        <v>3220.0</v>
      </c>
    </row>
    <row r="3167">
      <c r="A3167" s="40">
        <f t="array" ref="A3167">IFNA(index(PlayerValues!A:A,match(IFNA(vlookup(B3167,'Special Names'!A:B,2,FALSE),B3167),PlayerValues!E:E,0)),"N/A")</f>
        <v>16583</v>
      </c>
      <c r="B3167" s="4" t="s">
        <v>493</v>
      </c>
      <c r="C3167" s="4" t="s">
        <v>283</v>
      </c>
      <c r="D3167" s="94">
        <v>2798.0</v>
      </c>
    </row>
    <row r="3168">
      <c r="A3168" s="40" t="str">
        <f t="array" ref="A3168">IFNA(index(PlayerValues!A:A,match(IFNA(vlookup(B3168,'Special Names'!A:B,2,FALSE),B3168),PlayerValues!E:E,0)),"N/A")</f>
        <v>N/A</v>
      </c>
      <c r="B3168" s="4" t="s">
        <v>85</v>
      </c>
      <c r="C3168" s="4" t="s">
        <v>325</v>
      </c>
      <c r="D3168" s="94">
        <v>2797.0</v>
      </c>
    </row>
    <row r="3169">
      <c r="A3169" s="40" t="str">
        <f t="array" ref="A3169">IFNA(index(PlayerValues!A:A,match(IFNA(vlookup(B3169,'Special Names'!A:B,2,FALSE),B3169),PlayerValues!E:E,0)),"N/A")</f>
        <v>N/A</v>
      </c>
      <c r="B3169" s="4" t="s">
        <v>110</v>
      </c>
      <c r="C3169" s="4" t="s">
        <v>325</v>
      </c>
      <c r="D3169" s="94">
        <v>2779.0</v>
      </c>
    </row>
    <row r="3170">
      <c r="A3170" s="40">
        <f t="array" ref="A3170">IFNA(index(PlayerValues!A:A,match(IFNA(vlookup(B3170,'Special Names'!A:B,2,FALSE),B3170),PlayerValues!E:E,0)),"N/A")</f>
        <v>16723</v>
      </c>
      <c r="B3170" s="4" t="s">
        <v>502</v>
      </c>
      <c r="C3170" s="4" t="s">
        <v>298</v>
      </c>
      <c r="D3170" s="94">
        <v>3188.0</v>
      </c>
    </row>
    <row r="3171">
      <c r="A3171" s="40">
        <f t="array" ref="A3171">IFNA(index(PlayerValues!A:A,match(IFNA(vlookup(B3171,'Special Names'!A:B,2,FALSE),B3171),PlayerValues!E:E,0)),"N/A")</f>
        <v>17047</v>
      </c>
      <c r="B3171" s="4" t="s">
        <v>510</v>
      </c>
      <c r="C3171" s="4" t="s">
        <v>278</v>
      </c>
      <c r="D3171" s="94">
        <v>2767.0</v>
      </c>
    </row>
    <row r="3172">
      <c r="A3172" s="40">
        <f t="array" ref="A3172">IFNA(index(PlayerValues!A:A,match(IFNA(vlookup(B3172,'Special Names'!A:B,2,FALSE),B3172),PlayerValues!E:E,0)),"N/A")</f>
        <v>17107</v>
      </c>
      <c r="B3172" s="4" t="s">
        <v>478</v>
      </c>
      <c r="C3172" s="4" t="s">
        <v>298</v>
      </c>
      <c r="D3172" s="94">
        <v>3164.0</v>
      </c>
    </row>
    <row r="3173">
      <c r="A3173" s="40">
        <f t="array" ref="A3173">IFNA(index(PlayerValues!A:A,match(IFNA(vlookup(B3173,'Special Names'!A:B,2,FALSE),B3173),PlayerValues!E:E,0)),"N/A")</f>
        <v>13671</v>
      </c>
      <c r="B3173" s="4" t="s">
        <v>506</v>
      </c>
      <c r="C3173" s="4" t="s">
        <v>298</v>
      </c>
      <c r="D3173" s="94">
        <v>3164.0</v>
      </c>
    </row>
    <row r="3174">
      <c r="A3174" s="40">
        <f t="array" ref="A3174">IFNA(index(PlayerValues!A:A,match(IFNA(vlookup(B3174,'Special Names'!A:B,2,FALSE),B3174),PlayerValues!E:E,0)),"N/A")</f>
        <v>15721</v>
      </c>
      <c r="B3174" s="4" t="s">
        <v>504</v>
      </c>
      <c r="C3174" s="4" t="s">
        <v>278</v>
      </c>
      <c r="D3174" s="94">
        <v>2745.0</v>
      </c>
    </row>
    <row r="3175">
      <c r="A3175" s="40">
        <f t="array" ref="A3175">IFNA(index(PlayerValues!A:A,match(IFNA(vlookup(B3175,'Special Names'!A:B,2,FALSE),B3175),PlayerValues!E:E,0)),"N/A")</f>
        <v>17053</v>
      </c>
      <c r="B3175" s="4" t="s">
        <v>484</v>
      </c>
      <c r="C3175" s="4" t="s">
        <v>278</v>
      </c>
      <c r="D3175" s="94">
        <v>2735.0</v>
      </c>
    </row>
    <row r="3176">
      <c r="A3176" s="40">
        <f t="array" ref="A3176">IFNA(index(PlayerValues!A:A,match(IFNA(vlookup(B3176,'Special Names'!A:B,2,FALSE),B3176),PlayerValues!E:E,0)),"N/A")</f>
        <v>17157</v>
      </c>
      <c r="B3176" s="4" t="s">
        <v>524</v>
      </c>
      <c r="C3176" s="4" t="s">
        <v>287</v>
      </c>
      <c r="D3176" s="94">
        <v>2731.0</v>
      </c>
    </row>
    <row r="3177">
      <c r="A3177" s="40">
        <f t="array" ref="A3177">IFNA(index(PlayerValues!A:A,match(IFNA(vlookup(B3177,'Special Names'!A:B,2,FALSE),B3177),PlayerValues!E:E,0)),"N/A")</f>
        <v>15972</v>
      </c>
      <c r="B3177" s="4" t="s">
        <v>469</v>
      </c>
      <c r="C3177" s="4" t="s">
        <v>278</v>
      </c>
      <c r="D3177" s="94">
        <v>2714.0</v>
      </c>
    </row>
    <row r="3178">
      <c r="A3178" s="40">
        <f t="array" ref="A3178">IFNA(index(PlayerValues!A:A,match(IFNA(vlookup(B3178,'Special Names'!A:B,2,FALSE),B3178),PlayerValues!E:E,0)),"N/A")</f>
        <v>14138</v>
      </c>
      <c r="B3178" s="4" t="s">
        <v>531</v>
      </c>
      <c r="C3178" s="4" t="s">
        <v>298</v>
      </c>
      <c r="D3178" s="94">
        <v>3112.0</v>
      </c>
    </row>
    <row r="3179">
      <c r="A3179" s="40">
        <f t="array" ref="A3179">IFNA(index(PlayerValues!A:A,match(IFNA(vlookup(B3179,'Special Names'!A:B,2,FALSE),B3179),PlayerValues!E:E,0)),"N/A")</f>
        <v>15712</v>
      </c>
      <c r="B3179" s="4" t="s">
        <v>488</v>
      </c>
      <c r="C3179" s="4" t="s">
        <v>278</v>
      </c>
      <c r="D3179" s="94">
        <v>2689.0</v>
      </c>
    </row>
    <row r="3180">
      <c r="A3180" s="40">
        <f t="array" ref="A3180">IFNA(index(PlayerValues!A:A,match(IFNA(vlookup(B3180,'Special Names'!A:B,2,FALSE),B3180),PlayerValues!E:E,0)),"N/A")</f>
        <v>17507</v>
      </c>
      <c r="B3180" s="4" t="s">
        <v>495</v>
      </c>
      <c r="C3180" s="4" t="s">
        <v>287</v>
      </c>
      <c r="D3180" s="94">
        <v>2684.0</v>
      </c>
    </row>
    <row r="3181">
      <c r="A3181" s="40">
        <f t="array" ref="A3181">IFNA(index(PlayerValues!A:A,match(IFNA(vlookup(B3181,'Special Names'!A:B,2,FALSE),B3181),PlayerValues!E:E,0)),"N/A")</f>
        <v>17505</v>
      </c>
      <c r="B3181" s="4" t="s">
        <v>528</v>
      </c>
      <c r="C3181" s="4" t="s">
        <v>287</v>
      </c>
      <c r="D3181" s="94">
        <v>2683.0</v>
      </c>
    </row>
    <row r="3182">
      <c r="A3182" s="40">
        <f t="array" ref="A3182">IFNA(index(PlayerValues!A:A,match(IFNA(vlookup(B3182,'Special Names'!A:B,2,FALSE),B3182),PlayerValues!E:E,0)),"N/A")</f>
        <v>17031</v>
      </c>
      <c r="B3182" s="4" t="s">
        <v>535</v>
      </c>
      <c r="C3182" s="4" t="s">
        <v>283</v>
      </c>
      <c r="D3182" s="94">
        <v>2678.0</v>
      </c>
    </row>
    <row r="3183">
      <c r="A3183" s="40">
        <f t="array" ref="A3183">IFNA(index(PlayerValues!A:A,match(IFNA(vlookup(B3183,'Special Names'!A:B,2,FALSE),B3183),PlayerValues!E:E,0)),"N/A")</f>
        <v>17072</v>
      </c>
      <c r="B3183" s="4" t="s">
        <v>508</v>
      </c>
      <c r="C3183" s="4" t="s">
        <v>287</v>
      </c>
      <c r="D3183" s="94">
        <v>2678.0</v>
      </c>
    </row>
    <row r="3184">
      <c r="A3184" s="40">
        <f t="array" ref="A3184">IFNA(index(PlayerValues!A:A,match(IFNA(vlookup(B3184,'Special Names'!A:B,2,FALSE),B3184),PlayerValues!E:E,0)),"N/A")</f>
        <v>15241</v>
      </c>
      <c r="B3184" s="4" t="s">
        <v>546</v>
      </c>
      <c r="C3184" s="4" t="s">
        <v>283</v>
      </c>
      <c r="D3184" s="94">
        <v>2671.0</v>
      </c>
    </row>
    <row r="3185">
      <c r="A3185" s="40">
        <f t="array" ref="A3185">IFNA(index(PlayerValues!A:A,match(IFNA(vlookup(B3185,'Special Names'!A:B,2,FALSE),B3185),PlayerValues!E:E,0)),"N/A")</f>
        <v>14778</v>
      </c>
      <c r="B3185" s="4" t="s">
        <v>564</v>
      </c>
      <c r="C3185" s="4" t="s">
        <v>283</v>
      </c>
      <c r="D3185" s="94">
        <v>2667.0</v>
      </c>
    </row>
    <row r="3186">
      <c r="A3186" s="40">
        <f t="array" ref="A3186">IFNA(index(PlayerValues!A:A,match(IFNA(vlookup(B3186,'Special Names'!A:B,2,FALSE),B3186),PlayerValues!E:E,0)),"N/A")</f>
        <v>13674</v>
      </c>
      <c r="B3186" s="4" t="s">
        <v>511</v>
      </c>
      <c r="C3186" s="4" t="s">
        <v>298</v>
      </c>
      <c r="D3186" s="94">
        <v>3072.0</v>
      </c>
    </row>
    <row r="3187">
      <c r="A3187" s="40">
        <f t="array" ref="A3187">IFNA(index(PlayerValues!A:A,match(IFNA(vlookup(B3187,'Special Names'!A:B,2,FALSE),B3187),PlayerValues!E:E,0)),"N/A")</f>
        <v>16626</v>
      </c>
      <c r="B3187" s="4" t="s">
        <v>515</v>
      </c>
      <c r="C3187" s="4" t="s">
        <v>287</v>
      </c>
      <c r="D3187" s="94">
        <v>2647.0</v>
      </c>
    </row>
    <row r="3188">
      <c r="A3188" s="40">
        <f t="array" ref="A3188">IFNA(index(PlayerValues!A:A,match(IFNA(vlookup(B3188,'Special Names'!A:B,2,FALSE),B3188),PlayerValues!E:E,0)),"N/A")</f>
        <v>17105</v>
      </c>
      <c r="B3188" s="4" t="s">
        <v>525</v>
      </c>
      <c r="C3188" s="4" t="s">
        <v>298</v>
      </c>
      <c r="D3188" s="94">
        <v>3052.0</v>
      </c>
    </row>
    <row r="3189">
      <c r="A3189" s="40">
        <f t="array" ref="A3189">IFNA(index(PlayerValues!A:A,match(IFNA(vlookup(B3189,'Special Names'!A:B,2,FALSE),B3189),PlayerValues!E:E,0)),"N/A")</f>
        <v>17080</v>
      </c>
      <c r="B3189" s="4" t="s">
        <v>532</v>
      </c>
      <c r="C3189" s="4" t="s">
        <v>287</v>
      </c>
      <c r="D3189" s="94">
        <v>2641.0</v>
      </c>
    </row>
    <row r="3190">
      <c r="A3190" s="40">
        <f t="array" ref="A3190">IFNA(index(PlayerValues!A:A,match(IFNA(vlookup(B3190,'Special Names'!A:B,2,FALSE),B3190),PlayerValues!E:E,0)),"N/A")</f>
        <v>16174</v>
      </c>
      <c r="B3190" s="4" t="s">
        <v>505</v>
      </c>
      <c r="C3190" s="4" t="s">
        <v>278</v>
      </c>
      <c r="D3190" s="94">
        <v>2640.0</v>
      </c>
    </row>
    <row r="3191">
      <c r="A3191" s="40">
        <f t="array" ref="A3191">IFNA(index(PlayerValues!A:A,match(IFNA(vlookup(B3191,'Special Names'!A:B,2,FALSE),B3191),PlayerValues!E:E,0)),"N/A")</f>
        <v>16584</v>
      </c>
      <c r="B3191" s="4" t="s">
        <v>569</v>
      </c>
      <c r="C3191" s="4" t="s">
        <v>283</v>
      </c>
      <c r="D3191" s="94">
        <v>2633.0</v>
      </c>
    </row>
    <row r="3192">
      <c r="A3192" s="40">
        <f t="array" ref="A3192">IFNA(index(PlayerValues!A:A,match(IFNA(vlookup(B3192,'Special Names'!A:B,2,FALSE),B3192),PlayerValues!E:E,0)),"N/A")</f>
        <v>11244</v>
      </c>
      <c r="B3192" s="4" t="s">
        <v>519</v>
      </c>
      <c r="C3192" s="4" t="s">
        <v>298</v>
      </c>
      <c r="D3192" s="94">
        <v>3040.0</v>
      </c>
    </row>
    <row r="3193">
      <c r="A3193" s="40">
        <f t="array" ref="A3193">IFNA(index(PlayerValues!A:A,match(IFNA(vlookup(B3193,'Special Names'!A:B,2,FALSE),B3193),PlayerValues!E:E,0)),"N/A")</f>
        <v>17520</v>
      </c>
      <c r="B3193" s="4" t="s">
        <v>518</v>
      </c>
      <c r="C3193" s="4" t="s">
        <v>287</v>
      </c>
      <c r="D3193" s="94">
        <v>2616.0</v>
      </c>
    </row>
    <row r="3194">
      <c r="A3194" s="40">
        <f t="array" ref="A3194">IFNA(index(PlayerValues!A:A,match(IFNA(vlookup(B3194,'Special Names'!A:B,2,FALSE),B3194),PlayerValues!E:E,0)),"N/A")</f>
        <v>16596</v>
      </c>
      <c r="B3194" s="4" t="s">
        <v>501</v>
      </c>
      <c r="C3194" s="4" t="s">
        <v>278</v>
      </c>
      <c r="D3194" s="94">
        <v>2612.0</v>
      </c>
    </row>
    <row r="3195">
      <c r="A3195" s="40">
        <f t="array" ref="A3195">IFNA(index(PlayerValues!A:A,match(IFNA(vlookup(B3195,'Special Names'!A:B,2,FALSE),B3195),PlayerValues!E:E,0)),"N/A")</f>
        <v>16747</v>
      </c>
      <c r="B3195" s="4" t="s">
        <v>555</v>
      </c>
      <c r="C3195" s="4" t="s">
        <v>278</v>
      </c>
      <c r="D3195" s="94">
        <v>2611.0</v>
      </c>
    </row>
    <row r="3196">
      <c r="A3196" s="40">
        <f t="array" ref="A3196">IFNA(index(PlayerValues!A:A,match(IFNA(vlookup(B3196,'Special Names'!A:B,2,FALSE),B3196),PlayerValues!E:E,0)),"N/A")</f>
        <v>17098</v>
      </c>
      <c r="B3196" s="4" t="s">
        <v>533</v>
      </c>
      <c r="C3196" s="4" t="s">
        <v>287</v>
      </c>
      <c r="D3196" s="94">
        <v>2611.0</v>
      </c>
    </row>
    <row r="3197">
      <c r="A3197" s="40">
        <f t="array" ref="A3197">IFNA(index(PlayerValues!A:A,match(IFNA(vlookup(B3197,'Special Names'!A:B,2,FALSE),B3197),PlayerValues!E:E,0)),"N/A")</f>
        <v>17511</v>
      </c>
      <c r="B3197" s="4" t="s">
        <v>485</v>
      </c>
      <c r="C3197" s="4" t="s">
        <v>287</v>
      </c>
      <c r="D3197" s="94">
        <v>2601.0</v>
      </c>
    </row>
    <row r="3198">
      <c r="A3198" s="40">
        <f t="array" ref="A3198">IFNA(index(PlayerValues!A:A,match(IFNA(vlookup(B3198,'Special Names'!A:B,2,FALSE),B3198),PlayerValues!E:E,0)),"N/A")</f>
        <v>16164</v>
      </c>
      <c r="B3198" s="4" t="s">
        <v>512</v>
      </c>
      <c r="C3198" s="4" t="s">
        <v>278</v>
      </c>
      <c r="D3198" s="94">
        <v>2598.0</v>
      </c>
    </row>
    <row r="3199">
      <c r="A3199" s="40">
        <f t="array" ref="A3199">IFNA(index(PlayerValues!A:A,match(IFNA(vlookup(B3199,'Special Names'!A:B,2,FALSE),B3199),PlayerValues!E:E,0)),"N/A")</f>
        <v>17466</v>
      </c>
      <c r="B3199" s="4" t="s">
        <v>492</v>
      </c>
      <c r="C3199" s="4" t="s">
        <v>283</v>
      </c>
      <c r="D3199" s="94">
        <v>2596.0</v>
      </c>
    </row>
    <row r="3200">
      <c r="A3200" s="40">
        <f t="array" ref="A3200">IFNA(index(PlayerValues!A:A,match(IFNA(vlookup(B3200,'Special Names'!A:B,2,FALSE),B3200),PlayerValues!E:E,0)),"N/A")</f>
        <v>16178</v>
      </c>
      <c r="B3200" s="4" t="s">
        <v>507</v>
      </c>
      <c r="C3200" s="4" t="s">
        <v>278</v>
      </c>
      <c r="D3200" s="94">
        <v>2590.0</v>
      </c>
    </row>
    <row r="3201">
      <c r="A3201" s="40">
        <f t="array" ref="A3201">IFNA(index(PlayerValues!A:A,match(IFNA(vlookup(B3201,'Special Names'!A:B,2,FALSE),B3201),PlayerValues!E:E,0)),"N/A")</f>
        <v>12616</v>
      </c>
      <c r="B3201" s="4" t="s">
        <v>529</v>
      </c>
      <c r="C3201" s="4" t="s">
        <v>283</v>
      </c>
      <c r="D3201" s="94">
        <v>2578.0</v>
      </c>
    </row>
    <row r="3202">
      <c r="A3202" s="40">
        <f t="array" ref="A3202">IFNA(index(PlayerValues!A:A,match(IFNA(vlookup(B3202,'Special Names'!A:B,2,FALSE),B3202),PlayerValues!E:E,0)),"N/A")</f>
        <v>16204</v>
      </c>
      <c r="B3202" s="4" t="s">
        <v>530</v>
      </c>
      <c r="C3202" s="4" t="s">
        <v>287</v>
      </c>
      <c r="D3202" s="94">
        <v>2578.0</v>
      </c>
    </row>
    <row r="3203">
      <c r="A3203" s="40" t="str">
        <f t="array" ref="A3203">IFNA(index(PlayerValues!A:A,match(IFNA(vlookup(B3203,'Special Names'!A:B,2,FALSE),B3203),PlayerValues!E:E,0)),"N/A")</f>
        <v>N/A</v>
      </c>
      <c r="B3203" s="4" t="s">
        <v>98</v>
      </c>
      <c r="C3203" s="4" t="s">
        <v>325</v>
      </c>
      <c r="D3203" s="94">
        <v>2575.0</v>
      </c>
    </row>
    <row r="3204">
      <c r="A3204" s="40">
        <f t="array" ref="A3204">IFNA(index(PlayerValues!A:A,match(IFNA(vlookup(B3204,'Special Names'!A:B,2,FALSE),B3204),PlayerValues!E:E,0)),"N/A")</f>
        <v>15786</v>
      </c>
      <c r="B3204" s="4" t="s">
        <v>521</v>
      </c>
      <c r="C3204" s="4" t="s">
        <v>287</v>
      </c>
      <c r="D3204" s="94">
        <v>2571.0</v>
      </c>
    </row>
    <row r="3205">
      <c r="A3205" s="40">
        <f t="array" ref="A3205">IFNA(index(PlayerValues!A:A,match(IFNA(vlookup(B3205,'Special Names'!A:B,2,FALSE),B3205),PlayerValues!E:E,0)),"N/A")</f>
        <v>16287</v>
      </c>
      <c r="B3205" s="4" t="s">
        <v>516</v>
      </c>
      <c r="C3205" s="4" t="s">
        <v>287</v>
      </c>
      <c r="D3205" s="94">
        <v>2563.0</v>
      </c>
    </row>
    <row r="3206">
      <c r="A3206" s="40">
        <f t="array" ref="A3206">IFNA(index(PlayerValues!A:A,match(IFNA(vlookup(B3206,'Special Names'!A:B,2,FALSE),B3206),PlayerValues!E:E,0)),"N/A")</f>
        <v>16684</v>
      </c>
      <c r="B3206" s="4" t="s">
        <v>500</v>
      </c>
      <c r="C3206" s="4" t="s">
        <v>287</v>
      </c>
      <c r="D3206" s="94">
        <v>2563.0</v>
      </c>
    </row>
    <row r="3207">
      <c r="A3207" s="40">
        <f t="array" ref="A3207">IFNA(index(PlayerValues!A:A,match(IFNA(vlookup(B3207,'Special Names'!A:B,2,FALSE),B3207),PlayerValues!E:E,0)),"N/A")</f>
        <v>16165</v>
      </c>
      <c r="B3207" s="4" t="s">
        <v>520</v>
      </c>
      <c r="C3207" s="4" t="s">
        <v>278</v>
      </c>
      <c r="D3207" s="94">
        <v>2557.0</v>
      </c>
    </row>
    <row r="3208">
      <c r="A3208" s="40">
        <f t="array" ref="A3208">IFNA(index(PlayerValues!A:A,match(IFNA(vlookup(B3208,'Special Names'!A:B,2,FALSE),B3208),PlayerValues!E:E,0)),"N/A")</f>
        <v>16193</v>
      </c>
      <c r="B3208" s="4" t="s">
        <v>487</v>
      </c>
      <c r="C3208" s="4" t="s">
        <v>287</v>
      </c>
      <c r="D3208" s="94">
        <v>2549.0</v>
      </c>
    </row>
    <row r="3209">
      <c r="A3209" s="40">
        <f t="array" ref="A3209">IFNA(index(PlayerValues!A:A,match(IFNA(vlookup(B3209,'Special Names'!A:B,2,FALSE),B3209),PlayerValues!E:E,0)),"N/A")</f>
        <v>16619</v>
      </c>
      <c r="B3209" s="4" t="s">
        <v>538</v>
      </c>
      <c r="C3209" s="4" t="s">
        <v>287</v>
      </c>
      <c r="D3209" s="94">
        <v>2527.0</v>
      </c>
    </row>
    <row r="3210">
      <c r="A3210" s="40">
        <f t="array" ref="A3210">IFNA(index(PlayerValues!A:A,match(IFNA(vlookup(B3210,'Special Names'!A:B,2,FALSE),B3210),PlayerValues!E:E,0)),"N/A")</f>
        <v>14833</v>
      </c>
      <c r="B3210" s="4" t="s">
        <v>553</v>
      </c>
      <c r="C3210" s="4" t="s">
        <v>287</v>
      </c>
      <c r="D3210" s="94">
        <v>2511.0</v>
      </c>
    </row>
    <row r="3211">
      <c r="A3211" s="40">
        <f t="array" ref="A3211">IFNA(index(PlayerValues!A:A,match(IFNA(vlookup(B3211,'Special Names'!A:B,2,FALSE),B3211),PlayerValues!E:E,0)),"N/A")</f>
        <v>17108</v>
      </c>
      <c r="B3211" s="4" t="s">
        <v>542</v>
      </c>
      <c r="C3211" s="4" t="s">
        <v>298</v>
      </c>
      <c r="D3211" s="94">
        <v>2916.0</v>
      </c>
    </row>
    <row r="3212">
      <c r="A3212" s="40" t="str">
        <f t="array" ref="A3212">IFNA(index(PlayerValues!A:A,match(IFNA(vlookup(B3212,'Special Names'!A:B,2,FALSE),B3212),PlayerValues!E:E,0)),"N/A")</f>
        <v>N/A</v>
      </c>
      <c r="B3212" s="4" t="s">
        <v>99</v>
      </c>
      <c r="C3212" s="4" t="s">
        <v>325</v>
      </c>
      <c r="D3212" s="94">
        <v>2499.0</v>
      </c>
    </row>
    <row r="3213">
      <c r="A3213" s="40">
        <f t="array" ref="A3213">IFNA(index(PlayerValues!A:A,match(IFNA(vlookup(B3213,'Special Names'!A:B,2,FALSE),B3213),PlayerValues!E:E,0)),"N/A")</f>
        <v>17478</v>
      </c>
      <c r="B3213" s="4" t="s">
        <v>527</v>
      </c>
      <c r="C3213" s="4" t="s">
        <v>278</v>
      </c>
      <c r="D3213" s="94">
        <v>2496.0</v>
      </c>
    </row>
    <row r="3214">
      <c r="A3214" s="40">
        <f t="array" ref="A3214">IFNA(index(PlayerValues!A:A,match(IFNA(vlookup(B3214,'Special Names'!A:B,2,FALSE),B3214),PlayerValues!E:E,0)),"N/A")</f>
        <v>17073</v>
      </c>
      <c r="B3214" s="4" t="s">
        <v>547</v>
      </c>
      <c r="C3214" s="4" t="s">
        <v>287</v>
      </c>
      <c r="D3214" s="94">
        <v>2474.0</v>
      </c>
    </row>
    <row r="3215">
      <c r="A3215" s="40">
        <f t="array" ref="A3215">IFNA(index(PlayerValues!A:A,match(IFNA(vlookup(B3215,'Special Names'!A:B,2,FALSE),B3215),PlayerValues!E:E,0)),"N/A")</f>
        <v>17082</v>
      </c>
      <c r="B3215" s="4" t="s">
        <v>498</v>
      </c>
      <c r="C3215" s="4" t="s">
        <v>287</v>
      </c>
      <c r="D3215" s="94">
        <v>2471.0</v>
      </c>
    </row>
    <row r="3216">
      <c r="A3216" s="40">
        <f t="array" ref="A3216">IFNA(index(PlayerValues!A:A,match(IFNA(vlookup(B3216,'Special Names'!A:B,2,FALSE),B3216),PlayerValues!E:E,0)),"N/A")</f>
        <v>17474</v>
      </c>
      <c r="B3216" s="4" t="s">
        <v>513</v>
      </c>
      <c r="C3216" s="4" t="s">
        <v>278</v>
      </c>
      <c r="D3216" s="94">
        <v>2469.0</v>
      </c>
    </row>
    <row r="3217">
      <c r="A3217" s="40">
        <f t="array" ref="A3217">IFNA(index(PlayerValues!A:A,match(IFNA(vlookup(B3217,'Special Names'!A:B,2,FALSE),B3217),PlayerValues!E:E,0)),"N/A")</f>
        <v>17517</v>
      </c>
      <c r="B3217" s="4" t="s">
        <v>454</v>
      </c>
      <c r="C3217" s="4" t="s">
        <v>287</v>
      </c>
      <c r="D3217" s="94">
        <v>2445.0</v>
      </c>
    </row>
    <row r="3218">
      <c r="A3218" s="40">
        <f t="array" ref="A3218">IFNA(index(PlayerValues!A:A,match(IFNA(vlookup(B3218,'Special Names'!A:B,2,FALSE),B3218),PlayerValues!E:E,0)),"N/A")</f>
        <v>14860</v>
      </c>
      <c r="B3218" s="4" t="s">
        <v>554</v>
      </c>
      <c r="C3218" s="4" t="s">
        <v>287</v>
      </c>
      <c r="D3218" s="94">
        <v>2440.0</v>
      </c>
    </row>
    <row r="3219">
      <c r="A3219" s="40">
        <f t="array" ref="A3219">IFNA(index(PlayerValues!A:A,match(IFNA(vlookup(B3219,'Special Names'!A:B,2,FALSE),B3219),PlayerValues!E:E,0)),"N/A")</f>
        <v>16195</v>
      </c>
      <c r="B3219" s="4" t="s">
        <v>509</v>
      </c>
      <c r="C3219" s="4" t="s">
        <v>287</v>
      </c>
      <c r="D3219" s="94">
        <v>2435.0</v>
      </c>
    </row>
    <row r="3220">
      <c r="A3220" s="40">
        <f t="array" ref="A3220">IFNA(index(PlayerValues!A:A,match(IFNA(vlookup(B3220,'Special Names'!A:B,2,FALSE),B3220),PlayerValues!E:E,0)),"N/A")</f>
        <v>17508</v>
      </c>
      <c r="B3220" s="4" t="s">
        <v>534</v>
      </c>
      <c r="C3220" s="4" t="s">
        <v>287</v>
      </c>
      <c r="D3220" s="94">
        <v>2428.0</v>
      </c>
    </row>
    <row r="3221">
      <c r="A3221" s="40">
        <f t="array" ref="A3221">IFNA(index(PlayerValues!A:A,match(IFNA(vlookup(B3221,'Special Names'!A:B,2,FALSE),B3221),PlayerValues!E:E,0)),"N/A")</f>
        <v>17509</v>
      </c>
      <c r="B3221" s="4" t="s">
        <v>551</v>
      </c>
      <c r="C3221" s="4" t="s">
        <v>287</v>
      </c>
      <c r="D3221" s="94">
        <v>2413.0</v>
      </c>
    </row>
    <row r="3222">
      <c r="A3222" s="40">
        <f t="array" ref="A3222">IFNA(index(PlayerValues!A:A,match(IFNA(vlookup(B3222,'Special Names'!A:B,2,FALSE),B3222),PlayerValues!E:E,0)),"N/A")</f>
        <v>17078</v>
      </c>
      <c r="B3222" s="4" t="s">
        <v>543</v>
      </c>
      <c r="C3222" s="4" t="s">
        <v>287</v>
      </c>
      <c r="D3222" s="94">
        <v>2394.0</v>
      </c>
    </row>
    <row r="3223">
      <c r="A3223" s="40">
        <f t="array" ref="A3223">IFNA(index(PlayerValues!A:A,match(IFNA(vlookup(B3223,'Special Names'!A:B,2,FALSE),B3223),PlayerValues!E:E,0)),"N/A")</f>
        <v>15716</v>
      </c>
      <c r="B3223" s="4" t="s">
        <v>545</v>
      </c>
      <c r="C3223" s="4" t="s">
        <v>278</v>
      </c>
      <c r="D3223" s="94">
        <v>2385.0</v>
      </c>
    </row>
    <row r="3224">
      <c r="A3224" s="40">
        <f t="array" ref="A3224">IFNA(index(PlayerValues!A:A,match(IFNA(vlookup(B3224,'Special Names'!A:B,2,FALSE),B3224),PlayerValues!E:E,0)),"N/A")</f>
        <v>16617</v>
      </c>
      <c r="B3224" s="4" t="s">
        <v>541</v>
      </c>
      <c r="C3224" s="4" t="s">
        <v>287</v>
      </c>
      <c r="D3224" s="94">
        <v>2380.0</v>
      </c>
    </row>
    <row r="3225">
      <c r="A3225" s="40">
        <f t="array" ref="A3225">IFNA(index(PlayerValues!A:A,match(IFNA(vlookup(B3225,'Special Names'!A:B,2,FALSE),B3225),PlayerValues!E:E,0)),"N/A")</f>
        <v>12676</v>
      </c>
      <c r="B3225" s="4" t="s">
        <v>537</v>
      </c>
      <c r="C3225" s="4" t="s">
        <v>298</v>
      </c>
      <c r="D3225" s="94">
        <v>2762.0</v>
      </c>
    </row>
    <row r="3226">
      <c r="A3226" s="40" t="str">
        <f t="array" ref="A3226">IFNA(index(PlayerValues!A:A,match(IFNA(vlookup(B3226,'Special Names'!A:B,2,FALSE),B3226),PlayerValues!E:E,0)),"N/A")</f>
        <v>N/A</v>
      </c>
      <c r="B3226" s="4" t="s">
        <v>86</v>
      </c>
      <c r="C3226" s="4" t="s">
        <v>325</v>
      </c>
      <c r="D3226" s="94">
        <v>2359.0</v>
      </c>
    </row>
    <row r="3227">
      <c r="A3227" s="40">
        <f t="array" ref="A3227">IFNA(index(PlayerValues!A:A,match(IFNA(vlookup(B3227,'Special Names'!A:B,2,FALSE),B3227),PlayerValues!E:E,0)),"N/A")</f>
        <v>13319</v>
      </c>
      <c r="B3227" s="4" t="s">
        <v>549</v>
      </c>
      <c r="C3227" s="4" t="s">
        <v>278</v>
      </c>
      <c r="D3227" s="94">
        <v>2356.0</v>
      </c>
    </row>
    <row r="3228">
      <c r="A3228" s="40">
        <f t="array" ref="A3228">IFNA(index(PlayerValues!A:A,match(IFNA(vlookup(B3228,'Special Names'!A:B,2,FALSE),B3228),PlayerValues!E:E,0)),"N/A")</f>
        <v>17106</v>
      </c>
      <c r="B3228" s="4" t="s">
        <v>550</v>
      </c>
      <c r="C3228" s="4" t="s">
        <v>298</v>
      </c>
      <c r="D3228" s="94">
        <v>2726.0</v>
      </c>
    </row>
    <row r="3229">
      <c r="A3229" s="40">
        <f t="array" ref="A3229">IFNA(index(PlayerValues!A:A,match(IFNA(vlookup(B3229,'Special Names'!A:B,2,FALSE),B3229),PlayerValues!E:E,0)),"N/A")</f>
        <v>14861</v>
      </c>
      <c r="B3229" s="4" t="s">
        <v>523</v>
      </c>
      <c r="C3229" s="4" t="s">
        <v>298</v>
      </c>
      <c r="D3229" s="94">
        <v>2715.0</v>
      </c>
    </row>
    <row r="3230">
      <c r="A3230" s="40">
        <f t="array" ref="A3230">IFNA(index(PlayerValues!A:A,match(IFNA(vlookup(B3230,'Special Names'!A:B,2,FALSE),B3230),PlayerValues!E:E,0)),"N/A")</f>
        <v>15331</v>
      </c>
      <c r="B3230" s="4" t="s">
        <v>560</v>
      </c>
      <c r="C3230" s="4" t="s">
        <v>298</v>
      </c>
      <c r="D3230" s="94">
        <v>2700.0</v>
      </c>
    </row>
    <row r="3231">
      <c r="A3231" s="40">
        <f t="array" ref="A3231">IFNA(index(PlayerValues!A:A,match(IFNA(vlookup(B3231,'Special Names'!A:B,2,FALSE),B3231),PlayerValues!E:E,0)),"N/A")</f>
        <v>15802</v>
      </c>
      <c r="B3231" s="4" t="s">
        <v>566</v>
      </c>
      <c r="C3231" s="4" t="s">
        <v>298</v>
      </c>
      <c r="D3231" s="94">
        <v>2697.0</v>
      </c>
    </row>
    <row r="3232">
      <c r="A3232" s="40" t="str">
        <f t="array" ref="A3232">IFNA(index(PlayerValues!A:A,match(IFNA(vlookup(B3232,'Special Names'!A:B,2,FALSE),B3232),PlayerValues!E:E,0)),"N/A")</f>
        <v>N/A</v>
      </c>
      <c r="B3232" s="4" t="s">
        <v>100</v>
      </c>
      <c r="C3232" s="4" t="s">
        <v>325</v>
      </c>
      <c r="D3232" s="94">
        <v>2300.0</v>
      </c>
    </row>
    <row r="3233">
      <c r="A3233" s="40">
        <f t="array" ref="A3233">IFNA(index(PlayerValues!A:A,match(IFNA(vlookup(B3233,'Special Names'!A:B,2,FALSE),B3233),PlayerValues!E:E,0)),"N/A")</f>
        <v>15797</v>
      </c>
      <c r="B3233" s="4" t="s">
        <v>556</v>
      </c>
      <c r="C3233" s="4" t="s">
        <v>298</v>
      </c>
      <c r="D3233" s="94">
        <v>2695.0</v>
      </c>
    </row>
    <row r="3234">
      <c r="A3234" s="40">
        <f t="array" ref="A3234">IFNA(index(PlayerValues!A:A,match(IFNA(vlookup(B3234,'Special Names'!A:B,2,FALSE),B3234),PlayerValues!E:E,0)),"N/A")</f>
        <v>17547</v>
      </c>
      <c r="B3234" s="4" t="s">
        <v>552</v>
      </c>
      <c r="C3234" s="4" t="s">
        <v>298</v>
      </c>
      <c r="D3234" s="94">
        <v>2680.0</v>
      </c>
    </row>
    <row r="3235">
      <c r="A3235" s="40">
        <f t="array" ref="A3235">IFNA(index(PlayerValues!A:A,match(IFNA(vlookup(B3235,'Special Names'!A:B,2,FALSE),B3235),PlayerValues!E:E,0)),"N/A")</f>
        <v>17055</v>
      </c>
      <c r="B3235" s="4" t="s">
        <v>565</v>
      </c>
      <c r="C3235" s="4" t="s">
        <v>278</v>
      </c>
      <c r="D3235" s="94">
        <v>2283.0</v>
      </c>
    </row>
    <row r="3236">
      <c r="A3236" s="40">
        <f t="array" ref="A3236">IFNA(index(PlayerValues!A:A,match(IFNA(vlookup(B3236,'Special Names'!A:B,2,FALSE),B3236),PlayerValues!E:E,0)),"N/A")</f>
        <v>17171</v>
      </c>
      <c r="B3236" s="4" t="s">
        <v>561</v>
      </c>
      <c r="C3236" s="4" t="s">
        <v>287</v>
      </c>
      <c r="D3236" s="94">
        <v>2279.0</v>
      </c>
    </row>
    <row r="3237">
      <c r="A3237" s="40">
        <f t="array" ref="A3237">IFNA(index(PlayerValues!A:A,match(IFNA(vlookup(B3237,'Special Names'!A:B,2,FALSE),B3237),PlayerValues!E:E,0)),"N/A")</f>
        <v>16166</v>
      </c>
      <c r="B3237" s="4" t="s">
        <v>567</v>
      </c>
      <c r="C3237" s="4" t="s">
        <v>278</v>
      </c>
      <c r="D3237" s="94">
        <v>2278.0</v>
      </c>
    </row>
    <row r="3238">
      <c r="A3238" s="40">
        <f t="array" ref="A3238">IFNA(index(PlayerValues!A:A,match(IFNA(vlookup(B3238,'Special Names'!A:B,2,FALSE),B3238),PlayerValues!E:E,0)),"N/A")</f>
        <v>17482</v>
      </c>
      <c r="B3238" s="4" t="s">
        <v>460</v>
      </c>
      <c r="C3238" s="4" t="s">
        <v>278</v>
      </c>
      <c r="D3238" s="94">
        <v>2276.0</v>
      </c>
    </row>
    <row r="3239">
      <c r="A3239" s="40">
        <f t="array" ref="A3239">IFNA(index(PlayerValues!A:A,match(IFNA(vlookup(B3239,'Special Names'!A:B,2,FALSE),B3239),PlayerValues!E:E,0)),"N/A")</f>
        <v>17048</v>
      </c>
      <c r="B3239" s="4" t="s">
        <v>539</v>
      </c>
      <c r="C3239" s="4" t="s">
        <v>278</v>
      </c>
      <c r="D3239" s="94">
        <v>2269.0</v>
      </c>
    </row>
    <row r="3240">
      <c r="A3240" s="40" t="str">
        <f t="array" ref="A3240">IFNA(index(PlayerValues!A:A,match(IFNA(vlookup(B3240,'Special Names'!A:B,2,FALSE),B3240),PlayerValues!E:E,0)),"N/A")</f>
        <v>N/A</v>
      </c>
      <c r="B3240" s="4" t="s">
        <v>557</v>
      </c>
      <c r="C3240" s="4" t="s">
        <v>278</v>
      </c>
      <c r="D3240" s="94">
        <v>2244.0</v>
      </c>
    </row>
    <row r="3241">
      <c r="A3241" s="40" t="str">
        <f t="array" ref="A3241">IFNA(index(PlayerValues!A:A,match(IFNA(vlookup(B3241,'Special Names'!A:B,2,FALSE),B3241),PlayerValues!E:E,0)),"N/A")</f>
        <v>N/A</v>
      </c>
      <c r="B3241" s="4" t="s">
        <v>112</v>
      </c>
      <c r="C3241" s="4" t="s">
        <v>325</v>
      </c>
      <c r="D3241" s="94">
        <v>2238.0</v>
      </c>
    </row>
    <row r="3242">
      <c r="A3242" s="40" t="str">
        <f t="array" ref="A3242">IFNA(index(PlayerValues!A:A,match(IFNA(vlookup(B3242,'Special Names'!A:B,2,FALSE),B3242),PlayerValues!E:E,0)),"N/A")</f>
        <v>N/A</v>
      </c>
      <c r="B3242" s="4" t="s">
        <v>87</v>
      </c>
      <c r="C3242" s="4" t="s">
        <v>325</v>
      </c>
      <c r="D3242" s="94">
        <v>2234.0</v>
      </c>
    </row>
    <row r="3243">
      <c r="A3243" s="40">
        <f t="array" ref="A3243">IFNA(index(PlayerValues!A:A,match(IFNA(vlookup(B3243,'Special Names'!A:B,2,FALSE),B3243),PlayerValues!E:E,0)),"N/A")</f>
        <v>16757</v>
      </c>
      <c r="B3243" s="4" t="s">
        <v>558</v>
      </c>
      <c r="C3243" s="4" t="s">
        <v>278</v>
      </c>
      <c r="D3243" s="94">
        <v>2215.0</v>
      </c>
    </row>
    <row r="3244">
      <c r="A3244" s="40">
        <f t="array" ref="A3244">IFNA(index(PlayerValues!A:A,match(IFNA(vlookup(B3244,'Special Names'!A:B,2,FALSE),B3244),PlayerValues!E:E,0)),"N/A")</f>
        <v>13192</v>
      </c>
      <c r="B3244" s="4" t="s">
        <v>563</v>
      </c>
      <c r="C3244" s="4" t="s">
        <v>298</v>
      </c>
      <c r="D3244" s="94">
        <v>2595.0</v>
      </c>
    </row>
    <row r="3245">
      <c r="A3245" s="40">
        <f t="array" ref="A3245">IFNA(index(PlayerValues!A:A,match(IFNA(vlookup(B3245,'Special Names'!A:B,2,FALSE),B3245),PlayerValues!E:E,0)),"N/A")</f>
        <v>16610</v>
      </c>
      <c r="B3245" s="4" t="s">
        <v>562</v>
      </c>
      <c r="C3245" s="4" t="s">
        <v>278</v>
      </c>
      <c r="D3245" s="94">
        <v>2203.0</v>
      </c>
    </row>
    <row r="3246">
      <c r="A3246" s="40">
        <f t="array" ref="A3246">IFNA(index(PlayerValues!A:A,match(IFNA(vlookup(B3246,'Special Names'!A:B,2,FALSE),B3246),PlayerValues!E:E,0)),"N/A")</f>
        <v>11150</v>
      </c>
      <c r="B3246" s="4" t="s">
        <v>559</v>
      </c>
      <c r="C3246" s="4" t="s">
        <v>283</v>
      </c>
      <c r="D3246" s="94">
        <v>2201.0</v>
      </c>
    </row>
    <row r="3247">
      <c r="A3247" s="40">
        <f t="array" ref="A3247">IFNA(index(PlayerValues!A:A,match(IFNA(vlookup(B3247,'Special Names'!A:B,2,FALSE),B3247),PlayerValues!E:E,0)),"N/A")</f>
        <v>15749</v>
      </c>
      <c r="B3247" s="4" t="s">
        <v>574</v>
      </c>
      <c r="C3247" s="4" t="s">
        <v>278</v>
      </c>
      <c r="D3247" s="94">
        <v>2197.0</v>
      </c>
    </row>
    <row r="3248">
      <c r="A3248" s="40">
        <f t="array" ref="A3248">IFNA(index(PlayerValues!A:A,match(IFNA(vlookup(B3248,'Special Names'!A:B,2,FALSE),B3248),PlayerValues!E:E,0)),"N/A")</f>
        <v>17033</v>
      </c>
      <c r="B3248" s="4" t="s">
        <v>570</v>
      </c>
      <c r="C3248" s="4" t="s">
        <v>283</v>
      </c>
      <c r="D3248" s="94">
        <v>2191.0</v>
      </c>
    </row>
    <row r="3249">
      <c r="A3249" s="40">
        <f t="array" ref="A3249">IFNA(index(PlayerValues!A:A,match(IFNA(vlookup(B3249,'Special Names'!A:B,2,FALSE),B3249),PlayerValues!E:E,0)),"N/A")</f>
        <v>17607</v>
      </c>
      <c r="B3249" s="4" t="s">
        <v>526</v>
      </c>
      <c r="C3249" s="4" t="s">
        <v>298</v>
      </c>
      <c r="D3249" s="94">
        <v>2576.0</v>
      </c>
    </row>
    <row r="3250">
      <c r="A3250" s="40">
        <f t="array" ref="A3250">IFNA(index(PlayerValues!A:A,match(IFNA(vlookup(B3250,'Special Names'!A:B,2,FALSE),B3250),PlayerValues!E:E,0)),"N/A")</f>
        <v>13772</v>
      </c>
      <c r="B3250" s="4" t="s">
        <v>544</v>
      </c>
      <c r="C3250" s="4" t="s">
        <v>298</v>
      </c>
      <c r="D3250" s="94">
        <v>2569.0</v>
      </c>
    </row>
    <row r="3251">
      <c r="A3251" s="40">
        <f t="array" ref="A3251">IFNA(index(PlayerValues!A:A,match(IFNA(vlookup(B3251,'Special Names'!A:B,2,FALSE),B3251),PlayerValues!E:E,0)),"N/A")</f>
        <v>17481</v>
      </c>
      <c r="B3251" s="4" t="s">
        <v>540</v>
      </c>
      <c r="C3251" s="4" t="s">
        <v>278</v>
      </c>
      <c r="D3251" s="94">
        <v>2176.0</v>
      </c>
    </row>
    <row r="3252">
      <c r="A3252" s="40">
        <f t="array" ref="A3252">IFNA(index(PlayerValues!A:A,match(IFNA(vlookup(B3252,'Special Names'!A:B,2,FALSE),B3252),PlayerValues!E:E,0)),"N/A")</f>
        <v>16152</v>
      </c>
      <c r="B3252" s="4" t="s">
        <v>601</v>
      </c>
      <c r="C3252" s="4" t="s">
        <v>283</v>
      </c>
      <c r="D3252" s="94">
        <v>2173.0</v>
      </c>
    </row>
    <row r="3253">
      <c r="A3253" s="40">
        <f t="array" ref="A3253">IFNA(index(PlayerValues!A:A,match(IFNA(vlookup(B3253,'Special Names'!A:B,2,FALSE),B3253),PlayerValues!E:E,0)),"N/A")</f>
        <v>17134</v>
      </c>
      <c r="B3253" s="4" t="s">
        <v>548</v>
      </c>
      <c r="C3253" s="4" t="s">
        <v>287</v>
      </c>
      <c r="D3253" s="94">
        <v>2163.0</v>
      </c>
    </row>
    <row r="3254">
      <c r="A3254" s="40">
        <f t="array" ref="A3254">IFNA(index(PlayerValues!A:A,match(IFNA(vlookup(B3254,'Special Names'!A:B,2,FALSE),B3254),PlayerValues!E:E,0)),"N/A")</f>
        <v>17567</v>
      </c>
      <c r="B3254" s="4" t="s">
        <v>571</v>
      </c>
      <c r="C3254" s="4" t="s">
        <v>298</v>
      </c>
      <c r="D3254" s="94">
        <v>2542.0</v>
      </c>
    </row>
    <row r="3255">
      <c r="A3255" s="40">
        <f t="array" ref="A3255">IFNA(index(PlayerValues!A:A,match(IFNA(vlookup(B3255,'Special Names'!A:B,2,FALSE),B3255),PlayerValues!E:E,0)),"N/A")</f>
        <v>16604</v>
      </c>
      <c r="B3255" s="4" t="s">
        <v>476</v>
      </c>
      <c r="C3255" s="4" t="s">
        <v>278</v>
      </c>
      <c r="D3255" s="94">
        <v>2140.0</v>
      </c>
    </row>
    <row r="3256">
      <c r="A3256" s="40">
        <f t="array" ref="A3256">IFNA(index(PlayerValues!A:A,match(IFNA(vlookup(B3256,'Special Names'!A:B,2,FALSE),B3256),PlayerValues!E:E,0)),"N/A")</f>
        <v>12186</v>
      </c>
      <c r="B3256" s="4" t="s">
        <v>497</v>
      </c>
      <c r="C3256" s="4" t="s">
        <v>287</v>
      </c>
      <c r="D3256" s="94">
        <v>2139.0</v>
      </c>
    </row>
    <row r="3257">
      <c r="A3257" s="40">
        <f t="array" ref="A3257">IFNA(index(PlayerValues!A:A,match(IFNA(vlookup(B3257,'Special Names'!A:B,2,FALSE),B3257),PlayerValues!E:E,0)),"N/A")</f>
        <v>16212</v>
      </c>
      <c r="B3257" s="4" t="s">
        <v>568</v>
      </c>
      <c r="C3257" s="4" t="s">
        <v>298</v>
      </c>
      <c r="D3257" s="94">
        <v>2522.0</v>
      </c>
    </row>
    <row r="3258">
      <c r="A3258" s="40">
        <f t="array" ref="A3258">IFNA(index(PlayerValues!A:A,match(IFNA(vlookup(B3258,'Special Names'!A:B,2,FALSE),B3258),PlayerValues!E:E,0)),"N/A")</f>
        <v>17069</v>
      </c>
      <c r="B3258" s="4" t="s">
        <v>604</v>
      </c>
      <c r="C3258" s="4" t="s">
        <v>278</v>
      </c>
      <c r="D3258" s="94">
        <v>2128.0</v>
      </c>
    </row>
    <row r="3259">
      <c r="A3259" s="40">
        <f t="array" ref="A3259">IFNA(index(PlayerValues!A:A,match(IFNA(vlookup(B3259,'Special Names'!A:B,2,FALSE),B3259),PlayerValues!E:E,0)),"N/A")</f>
        <v>16649</v>
      </c>
      <c r="B3259" s="4" t="s">
        <v>586</v>
      </c>
      <c r="C3259" s="4" t="s">
        <v>298</v>
      </c>
      <c r="D3259" s="94">
        <v>2506.0</v>
      </c>
    </row>
    <row r="3260">
      <c r="A3260" s="40" t="str">
        <f t="array" ref="A3260">IFNA(index(PlayerValues!A:A,match(IFNA(vlookup(B3260,'Special Names'!A:B,2,FALSE),B3260),PlayerValues!E:E,0)),"N/A")</f>
        <v>N/A</v>
      </c>
      <c r="B3260" s="4" t="s">
        <v>113</v>
      </c>
      <c r="C3260" s="4" t="s">
        <v>325</v>
      </c>
      <c r="D3260" s="94">
        <v>2115.0</v>
      </c>
    </row>
    <row r="3261">
      <c r="A3261" s="40">
        <f t="array" ref="A3261">IFNA(index(PlayerValues!A:A,match(IFNA(vlookup(B3261,'Special Names'!A:B,2,FALSE),B3261),PlayerValues!E:E,0)),"N/A")</f>
        <v>16594</v>
      </c>
      <c r="B3261" s="4" t="s">
        <v>607</v>
      </c>
      <c r="C3261" s="4" t="s">
        <v>278</v>
      </c>
      <c r="D3261" s="94">
        <v>2110.0</v>
      </c>
    </row>
    <row r="3262">
      <c r="A3262" s="40">
        <f t="array" ref="A3262">IFNA(index(PlayerValues!A:A,match(IFNA(vlookup(B3262,'Special Names'!A:B,2,FALSE),B3262),PlayerValues!E:E,0)),"N/A")</f>
        <v>17485</v>
      </c>
      <c r="B3262" s="4" t="s">
        <v>522</v>
      </c>
      <c r="C3262" s="4" t="s">
        <v>278</v>
      </c>
      <c r="D3262" s="94">
        <v>2086.0</v>
      </c>
    </row>
    <row r="3263">
      <c r="A3263" s="40">
        <f t="array" ref="A3263">IFNA(index(PlayerValues!A:A,match(IFNA(vlookup(B3263,'Special Names'!A:B,2,FALSE),B3263),PlayerValues!E:E,0)),"N/A")</f>
        <v>17079</v>
      </c>
      <c r="B3263" s="4" t="s">
        <v>572</v>
      </c>
      <c r="C3263" s="4" t="s">
        <v>287</v>
      </c>
      <c r="D3263" s="94">
        <v>2081.0</v>
      </c>
    </row>
    <row r="3264">
      <c r="A3264" s="40">
        <f t="array" ref="A3264">IFNA(index(PlayerValues!A:A,match(IFNA(vlookup(B3264,'Special Names'!A:B,2,FALSE),B3264),PlayerValues!E:E,0)),"N/A")</f>
        <v>16036</v>
      </c>
      <c r="B3264" s="4" t="s">
        <v>592</v>
      </c>
      <c r="C3264" s="4" t="s">
        <v>298</v>
      </c>
      <c r="D3264" s="94">
        <v>2469.0</v>
      </c>
    </row>
    <row r="3265">
      <c r="A3265" s="40">
        <f t="array" ref="A3265">IFNA(index(PlayerValues!A:A,match(IFNA(vlookup(B3265,'Special Names'!A:B,2,FALSE),B3265),PlayerValues!E:E,0)),"N/A")</f>
        <v>17599</v>
      </c>
      <c r="B3265" s="4" t="s">
        <v>496</v>
      </c>
      <c r="C3265" s="4" t="s">
        <v>287</v>
      </c>
      <c r="D3265" s="94">
        <v>2061.0</v>
      </c>
    </row>
    <row r="3266">
      <c r="A3266" s="40">
        <f t="array" ref="A3266">IFNA(index(PlayerValues!A:A,match(IFNA(vlookup(B3266,'Special Names'!A:B,2,FALSE),B3266),PlayerValues!E:E,0)),"N/A")</f>
        <v>17061</v>
      </c>
      <c r="B3266" s="4" t="s">
        <v>580</v>
      </c>
      <c r="C3266" s="4" t="s">
        <v>278</v>
      </c>
      <c r="D3266" s="94">
        <v>2057.0</v>
      </c>
    </row>
    <row r="3267">
      <c r="A3267" s="40">
        <f t="array" ref="A3267">IFNA(index(PlayerValues!A:A,match(IFNA(vlookup(B3267,'Special Names'!A:B,2,FALSE),B3267),PlayerValues!E:E,0)),"N/A")</f>
        <v>17076</v>
      </c>
      <c r="B3267" s="4" t="s">
        <v>585</v>
      </c>
      <c r="C3267" s="4" t="s">
        <v>287</v>
      </c>
      <c r="D3267" s="94">
        <v>2054.0</v>
      </c>
    </row>
    <row r="3268">
      <c r="A3268" s="40">
        <f t="array" ref="A3268">IFNA(index(PlayerValues!A:A,match(IFNA(vlookup(B3268,'Special Names'!A:B,2,FALSE),B3268),PlayerValues!E:E,0)),"N/A")</f>
        <v>17528</v>
      </c>
      <c r="B3268" s="4" t="s">
        <v>579</v>
      </c>
      <c r="C3268" s="4" t="s">
        <v>287</v>
      </c>
      <c r="D3268" s="94">
        <v>2052.0</v>
      </c>
    </row>
    <row r="3269">
      <c r="A3269" s="40">
        <f t="array" ref="A3269">IFNA(index(PlayerValues!A:A,match(IFNA(vlookup(B3269,'Special Names'!A:B,2,FALSE),B3269),PlayerValues!E:E,0)),"N/A")</f>
        <v>16189</v>
      </c>
      <c r="B3269" s="4" t="s">
        <v>582</v>
      </c>
      <c r="C3269" s="4" t="s">
        <v>287</v>
      </c>
      <c r="D3269" s="94">
        <v>2050.0</v>
      </c>
    </row>
    <row r="3270">
      <c r="A3270" s="40">
        <f t="array" ref="A3270">IFNA(index(PlayerValues!A:A,match(IFNA(vlookup(B3270,'Special Names'!A:B,2,FALSE),B3270),PlayerValues!E:E,0)),"N/A")</f>
        <v>17060</v>
      </c>
      <c r="B3270" s="4" t="s">
        <v>603</v>
      </c>
      <c r="C3270" s="4" t="s">
        <v>278</v>
      </c>
      <c r="D3270" s="94">
        <v>2046.0</v>
      </c>
    </row>
    <row r="3271">
      <c r="A3271" s="40" t="str">
        <f t="array" ref="A3271">IFNA(index(PlayerValues!A:A,match(IFNA(vlookup(B3271,'Special Names'!A:B,2,FALSE),B3271),PlayerValues!E:E,0)),"N/A")</f>
        <v>N/A</v>
      </c>
      <c r="B3271" s="4" t="s">
        <v>88</v>
      </c>
      <c r="C3271" s="4" t="s">
        <v>325</v>
      </c>
      <c r="D3271" s="94">
        <v>2038.0</v>
      </c>
    </row>
    <row r="3272">
      <c r="A3272" s="40">
        <f t="array" ref="A3272">IFNA(index(PlayerValues!A:A,match(IFNA(vlookup(B3272,'Special Names'!A:B,2,FALSE),B3272),PlayerValues!E:E,0)),"N/A")</f>
        <v>13132</v>
      </c>
      <c r="B3272" s="4" t="s">
        <v>598</v>
      </c>
      <c r="C3272" s="4" t="s">
        <v>278</v>
      </c>
      <c r="D3272" s="94">
        <v>2034.0</v>
      </c>
    </row>
    <row r="3273">
      <c r="A3273" s="40">
        <f t="array" ref="A3273">IFNA(index(PlayerValues!A:A,match(IFNA(vlookup(B3273,'Special Names'!A:B,2,FALSE),B3273),PlayerValues!E:E,0)),"N/A")</f>
        <v>17468</v>
      </c>
      <c r="B3273" s="4" t="s">
        <v>514</v>
      </c>
      <c r="C3273" s="4" t="s">
        <v>283</v>
      </c>
      <c r="D3273" s="94">
        <v>2020.0</v>
      </c>
    </row>
    <row r="3274">
      <c r="A3274" s="40">
        <f t="array" ref="A3274">IFNA(index(PlayerValues!A:A,match(IFNA(vlookup(B3274,'Special Names'!A:B,2,FALSE),B3274),PlayerValues!E:E,0)),"N/A")</f>
        <v>13113</v>
      </c>
      <c r="B3274" s="4" t="s">
        <v>606</v>
      </c>
      <c r="C3274" s="4" t="s">
        <v>283</v>
      </c>
      <c r="D3274" s="94">
        <v>2009.0</v>
      </c>
    </row>
    <row r="3275">
      <c r="A3275" s="40">
        <f t="array" ref="A3275">IFNA(index(PlayerValues!A:A,match(IFNA(vlookup(B3275,'Special Names'!A:B,2,FALSE),B3275),PlayerValues!E:E,0)),"N/A")</f>
        <v>15238</v>
      </c>
      <c r="B3275" s="4" t="s">
        <v>613</v>
      </c>
      <c r="C3275" s="4" t="s">
        <v>283</v>
      </c>
      <c r="D3275" s="94">
        <v>1999.0</v>
      </c>
    </row>
    <row r="3276">
      <c r="A3276" s="40">
        <f t="array" ref="A3276">IFNA(index(PlayerValues!A:A,match(IFNA(vlookup(B3276,'Special Names'!A:B,2,FALSE),B3276),PlayerValues!E:E,0)),"N/A")</f>
        <v>16778</v>
      </c>
      <c r="B3276" s="4" t="s">
        <v>577</v>
      </c>
      <c r="C3276" s="4" t="s">
        <v>287</v>
      </c>
      <c r="D3276" s="94">
        <v>1998.0</v>
      </c>
    </row>
    <row r="3277">
      <c r="A3277" s="40">
        <f t="array" ref="A3277">IFNA(index(PlayerValues!A:A,match(IFNA(vlookup(B3277,'Special Names'!A:B,2,FALSE),B3277),PlayerValues!E:E,0)),"N/A")</f>
        <v>15293</v>
      </c>
      <c r="B3277" s="4" t="s">
        <v>578</v>
      </c>
      <c r="C3277" s="4" t="s">
        <v>287</v>
      </c>
      <c r="D3277" s="94">
        <v>1997.0</v>
      </c>
    </row>
    <row r="3278">
      <c r="A3278" s="40">
        <f t="array" ref="A3278">IFNA(index(PlayerValues!A:A,match(IFNA(vlookup(B3278,'Special Names'!A:B,2,FALSE),B3278),PlayerValues!E:E,0)),"N/A")</f>
        <v>14974</v>
      </c>
      <c r="B3278" s="4" t="s">
        <v>611</v>
      </c>
      <c r="C3278" s="4" t="s">
        <v>287</v>
      </c>
      <c r="D3278" s="94">
        <v>1988.0</v>
      </c>
    </row>
    <row r="3279">
      <c r="A3279" s="40" t="str">
        <f t="array" ref="A3279">IFNA(index(PlayerValues!A:A,match(IFNA(vlookup(B3279,'Special Names'!A:B,2,FALSE),B3279),PlayerValues!E:E,0)),"N/A")</f>
        <v>N/A</v>
      </c>
      <c r="B3279" s="4" t="s">
        <v>114</v>
      </c>
      <c r="C3279" s="4" t="s">
        <v>325</v>
      </c>
      <c r="D3279" s="94">
        <v>1984.0</v>
      </c>
    </row>
    <row r="3280">
      <c r="A3280" s="40">
        <f t="array" ref="A3280">IFNA(index(PlayerValues!A:A,match(IFNA(vlookup(B3280,'Special Names'!A:B,2,FALSE),B3280),PlayerValues!E:E,0)),"N/A")</f>
        <v>14867</v>
      </c>
      <c r="B3280" s="4" t="s">
        <v>591</v>
      </c>
      <c r="C3280" s="4" t="s">
        <v>298</v>
      </c>
      <c r="D3280" s="94">
        <v>2365.0</v>
      </c>
    </row>
    <row r="3281">
      <c r="A3281" s="40">
        <f t="array" ref="A3281">IFNA(index(PlayerValues!A:A,match(IFNA(vlookup(B3281,'Special Names'!A:B,2,FALSE),B3281),PlayerValues!E:E,0)),"N/A")</f>
        <v>16643</v>
      </c>
      <c r="B3281" s="4" t="s">
        <v>609</v>
      </c>
      <c r="C3281" s="4" t="s">
        <v>298</v>
      </c>
      <c r="D3281" s="94">
        <v>2358.0</v>
      </c>
    </row>
    <row r="3282">
      <c r="A3282" s="40">
        <f t="array" ref="A3282">IFNA(index(PlayerValues!A:A,match(IFNA(vlookup(B3282,'Special Names'!A:B,2,FALSE),B3282),PlayerValues!E:E,0)),"N/A")</f>
        <v>17056</v>
      </c>
      <c r="B3282" s="4" t="s">
        <v>581</v>
      </c>
      <c r="C3282" s="4" t="s">
        <v>278</v>
      </c>
      <c r="D3282" s="94">
        <v>1944.0</v>
      </c>
    </row>
    <row r="3283">
      <c r="A3283" s="40">
        <f t="array" ref="A3283">IFNA(index(PlayerValues!A:A,match(IFNA(vlookup(B3283,'Special Names'!A:B,2,FALSE),B3283),PlayerValues!E:E,0)),"N/A")</f>
        <v>14871</v>
      </c>
      <c r="B3283" s="4" t="s">
        <v>584</v>
      </c>
      <c r="C3283" s="4" t="s">
        <v>298</v>
      </c>
      <c r="D3283" s="94">
        <v>2324.0</v>
      </c>
    </row>
    <row r="3284">
      <c r="A3284" s="40">
        <f t="array" ref="A3284">IFNA(index(PlayerValues!A:A,match(IFNA(vlookup(B3284,'Special Names'!A:B,2,FALSE),B3284),PlayerValues!E:E,0)),"N/A")</f>
        <v>17467</v>
      </c>
      <c r="B3284" s="4" t="s">
        <v>575</v>
      </c>
      <c r="C3284" s="4" t="s">
        <v>283</v>
      </c>
      <c r="D3284" s="94">
        <v>1937.0</v>
      </c>
    </row>
    <row r="3285">
      <c r="A3285" s="40">
        <f t="array" ref="A3285">IFNA(index(PlayerValues!A:A,match(IFNA(vlookup(B3285,'Special Names'!A:B,2,FALSE),B3285),PlayerValues!E:E,0)),"N/A")</f>
        <v>17184</v>
      </c>
      <c r="B3285" s="4" t="s">
        <v>588</v>
      </c>
      <c r="C3285" s="4" t="s">
        <v>287</v>
      </c>
      <c r="D3285" s="94">
        <v>1935.0</v>
      </c>
    </row>
    <row r="3286">
      <c r="A3286" s="40">
        <f t="array" ref="A3286">IFNA(index(PlayerValues!A:A,match(IFNA(vlookup(B3286,'Special Names'!A:B,2,FALSE),B3286),PlayerValues!E:E,0)),"N/A")</f>
        <v>7836</v>
      </c>
      <c r="B3286" s="4" t="s">
        <v>590</v>
      </c>
      <c r="C3286" s="4" t="s">
        <v>283</v>
      </c>
      <c r="D3286" s="94">
        <v>1929.0</v>
      </c>
    </row>
    <row r="3287">
      <c r="A3287" s="40">
        <f t="array" ref="A3287">IFNA(index(PlayerValues!A:A,match(IFNA(vlookup(B3287,'Special Names'!A:B,2,FALSE),B3287),PlayerValues!E:E,0)),"N/A")</f>
        <v>16603</v>
      </c>
      <c r="B3287" s="4" t="s">
        <v>587</v>
      </c>
      <c r="C3287" s="4" t="s">
        <v>278</v>
      </c>
      <c r="D3287" s="94">
        <v>1927.0</v>
      </c>
    </row>
    <row r="3288">
      <c r="A3288" s="40">
        <f t="array" ref="A3288">IFNA(index(PlayerValues!A:A,match(IFNA(vlookup(B3288,'Special Names'!A:B,2,FALSE),B3288),PlayerValues!E:E,0)),"N/A")</f>
        <v>17046</v>
      </c>
      <c r="B3288" s="4" t="s">
        <v>602</v>
      </c>
      <c r="C3288" s="4" t="s">
        <v>278</v>
      </c>
      <c r="D3288" s="94">
        <v>1923.0</v>
      </c>
    </row>
    <row r="3289">
      <c r="A3289" s="40">
        <f t="array" ref="A3289">IFNA(index(PlayerValues!A:A,match(IFNA(vlookup(B3289,'Special Names'!A:B,2,FALSE),B3289),PlayerValues!E:E,0)),"N/A")</f>
        <v>17087</v>
      </c>
      <c r="B3289" s="4" t="s">
        <v>600</v>
      </c>
      <c r="C3289" s="4" t="s">
        <v>287</v>
      </c>
      <c r="D3289" s="94">
        <v>1919.0</v>
      </c>
    </row>
    <row r="3290">
      <c r="A3290" s="40">
        <f t="array" ref="A3290">IFNA(index(PlayerValues!A:A,match(IFNA(vlookup(B3290,'Special Names'!A:B,2,FALSE),B3290),PlayerValues!E:E,0)),"N/A")</f>
        <v>16432</v>
      </c>
      <c r="B3290" s="4" t="s">
        <v>620</v>
      </c>
      <c r="C3290" s="4" t="s">
        <v>278</v>
      </c>
      <c r="D3290" s="94">
        <v>1906.0</v>
      </c>
    </row>
    <row r="3291">
      <c r="A3291" s="40">
        <f t="array" ref="A3291">IFNA(index(PlayerValues!A:A,match(IFNA(vlookup(B3291,'Special Names'!A:B,2,FALSE),B3291),PlayerValues!E:E,0)),"N/A")</f>
        <v>16216</v>
      </c>
      <c r="B3291" s="4" t="s">
        <v>595</v>
      </c>
      <c r="C3291" s="4" t="s">
        <v>298</v>
      </c>
      <c r="D3291" s="94">
        <v>2284.0</v>
      </c>
    </row>
    <row r="3292">
      <c r="A3292" s="40">
        <f t="array" ref="A3292">IFNA(index(PlayerValues!A:A,match(IFNA(vlookup(B3292,'Special Names'!A:B,2,FALSE),B3292),PlayerValues!E:E,0)),"N/A")</f>
        <v>16342</v>
      </c>
      <c r="B3292" s="4" t="s">
        <v>583</v>
      </c>
      <c r="C3292" s="4" t="s">
        <v>287</v>
      </c>
      <c r="D3292" s="94">
        <v>1883.0</v>
      </c>
    </row>
    <row r="3293">
      <c r="A3293" s="40">
        <f t="array" ref="A3293">IFNA(index(PlayerValues!A:A,match(IFNA(vlookup(B3293,'Special Names'!A:B,2,FALSE),B3293),PlayerValues!E:E,0)),"N/A")</f>
        <v>16639</v>
      </c>
      <c r="B3293" s="4" t="s">
        <v>599</v>
      </c>
      <c r="C3293" s="4" t="s">
        <v>287</v>
      </c>
      <c r="D3293" s="94">
        <v>1873.0</v>
      </c>
    </row>
    <row r="3294">
      <c r="A3294" s="40">
        <f t="array" ref="A3294">IFNA(index(PlayerValues!A:A,match(IFNA(vlookup(B3294,'Special Names'!A:B,2,FALSE),B3294),PlayerValues!E:E,0)),"N/A")</f>
        <v>16752</v>
      </c>
      <c r="B3294" s="4" t="s">
        <v>597</v>
      </c>
      <c r="C3294" s="4" t="s">
        <v>278</v>
      </c>
      <c r="D3294" s="94">
        <v>1873.0</v>
      </c>
    </row>
    <row r="3295">
      <c r="A3295" s="40">
        <f t="array" ref="A3295">IFNA(index(PlayerValues!A:A,match(IFNA(vlookup(B3295,'Special Names'!A:B,2,FALSE),B3295),PlayerValues!E:E,0)),"N/A")</f>
        <v>14136</v>
      </c>
      <c r="B3295" s="4" t="s">
        <v>536</v>
      </c>
      <c r="C3295" s="4" t="s">
        <v>287</v>
      </c>
      <c r="D3295" s="94">
        <v>1852.0</v>
      </c>
    </row>
    <row r="3296">
      <c r="A3296" s="40">
        <f t="array" ref="A3296">IFNA(index(PlayerValues!A:A,match(IFNA(vlookup(B3296,'Special Names'!A:B,2,FALSE),B3296),PlayerValues!E:E,0)),"N/A")</f>
        <v>17548</v>
      </c>
      <c r="B3296" s="4" t="s">
        <v>594</v>
      </c>
      <c r="C3296" s="4" t="s">
        <v>298</v>
      </c>
      <c r="D3296" s="94">
        <v>2235.0</v>
      </c>
    </row>
    <row r="3297">
      <c r="A3297" s="40">
        <f t="array" ref="A3297">IFNA(index(PlayerValues!A:A,match(IFNA(vlookup(B3297,'Special Names'!A:B,2,FALSE),B3297),PlayerValues!E:E,0)),"N/A")</f>
        <v>10700</v>
      </c>
      <c r="B3297" s="4" t="s">
        <v>596</v>
      </c>
      <c r="C3297" s="4" t="s">
        <v>283</v>
      </c>
      <c r="D3297" s="94">
        <v>1848.0</v>
      </c>
    </row>
    <row r="3298">
      <c r="A3298" s="40">
        <f t="array" ref="A3298">IFNA(index(PlayerValues!A:A,match(IFNA(vlookup(B3298,'Special Names'!A:B,2,FALSE),B3298),PlayerValues!E:E,0)),"N/A")</f>
        <v>13633</v>
      </c>
      <c r="B3298" s="4" t="s">
        <v>625</v>
      </c>
      <c r="C3298" s="4" t="s">
        <v>287</v>
      </c>
      <c r="D3298" s="94">
        <v>1845.0</v>
      </c>
    </row>
    <row r="3299">
      <c r="A3299" s="40">
        <f t="array" ref="A3299">IFNA(index(PlayerValues!A:A,match(IFNA(vlookup(B3299,'Special Names'!A:B,2,FALSE),B3299),PlayerValues!E:E,0)),"N/A")</f>
        <v>17086</v>
      </c>
      <c r="B3299" s="4" t="s">
        <v>612</v>
      </c>
      <c r="C3299" s="4" t="s">
        <v>287</v>
      </c>
      <c r="D3299" s="94">
        <v>1840.0</v>
      </c>
    </row>
    <row r="3300">
      <c r="A3300" s="40">
        <f t="array" ref="A3300">IFNA(index(PlayerValues!A:A,match(IFNA(vlookup(B3300,'Special Names'!A:B,2,FALSE),B3300),PlayerValues!E:E,0)),"N/A")</f>
        <v>15788</v>
      </c>
      <c r="B3300" s="4" t="s">
        <v>627</v>
      </c>
      <c r="C3300" s="4" t="s">
        <v>287</v>
      </c>
      <c r="D3300" s="94">
        <v>1835.0</v>
      </c>
    </row>
    <row r="3301">
      <c r="A3301" s="40" t="str">
        <f t="array" ref="A3301">IFNA(index(PlayerValues!A:A,match(IFNA(vlookup(B3301,'Special Names'!A:B,2,FALSE),B3301),PlayerValues!E:E,0)),"N/A")</f>
        <v>N/A</v>
      </c>
      <c r="B3301" s="4" t="s">
        <v>101</v>
      </c>
      <c r="C3301" s="4" t="s">
        <v>325</v>
      </c>
      <c r="D3301" s="94">
        <v>1830.0</v>
      </c>
    </row>
    <row r="3302">
      <c r="A3302" s="40">
        <f t="array" ref="A3302">IFNA(index(PlayerValues!A:A,match(IFNA(vlookup(B3302,'Special Names'!A:B,2,FALSE),B3302),PlayerValues!E:E,0)),"N/A")</f>
        <v>13629</v>
      </c>
      <c r="B3302" s="4" t="s">
        <v>619</v>
      </c>
      <c r="C3302" s="4" t="s">
        <v>287</v>
      </c>
      <c r="D3302" s="94">
        <v>1826.0</v>
      </c>
    </row>
    <row r="3303">
      <c r="A3303" s="40">
        <f t="array" ref="A3303">IFNA(index(PlayerValues!A:A,match(IFNA(vlookup(B3303,'Special Names'!A:B,2,FALSE),B3303),PlayerValues!E:E,0)),"N/A")</f>
        <v>17036</v>
      </c>
      <c r="B3303" s="4" t="s">
        <v>617</v>
      </c>
      <c r="C3303" s="4" t="s">
        <v>283</v>
      </c>
      <c r="D3303" s="94">
        <v>1825.0</v>
      </c>
    </row>
    <row r="3304">
      <c r="A3304" s="40">
        <f t="array" ref="A3304">IFNA(index(PlayerValues!A:A,match(IFNA(vlookup(B3304,'Special Names'!A:B,2,FALSE),B3304),PlayerValues!E:E,0)),"N/A")</f>
        <v>16644</v>
      </c>
      <c r="B3304" s="4" t="s">
        <v>640</v>
      </c>
      <c r="C3304" s="4" t="s">
        <v>298</v>
      </c>
      <c r="D3304" s="94">
        <v>2150.0</v>
      </c>
    </row>
    <row r="3305">
      <c r="A3305" s="40">
        <f t="array" ref="A3305">IFNA(index(PlayerValues!A:A,match(IFNA(vlookup(B3305,'Special Names'!A:B,2,FALSE),B3305),PlayerValues!E:E,0)),"N/A")</f>
        <v>17519</v>
      </c>
      <c r="B3305" s="4" t="s">
        <v>593</v>
      </c>
      <c r="C3305" s="4" t="s">
        <v>287</v>
      </c>
      <c r="D3305" s="94">
        <v>1766.0</v>
      </c>
    </row>
    <row r="3306">
      <c r="A3306" s="40">
        <f t="array" ref="A3306">IFNA(index(PlayerValues!A:A,match(IFNA(vlookup(B3306,'Special Names'!A:B,2,FALSE),B3306),PlayerValues!E:E,0)),"N/A")</f>
        <v>13189</v>
      </c>
      <c r="B3306" s="4" t="s">
        <v>626</v>
      </c>
      <c r="C3306" s="4" t="s">
        <v>298</v>
      </c>
      <c r="D3306" s="94">
        <v>2143.0</v>
      </c>
    </row>
    <row r="3307">
      <c r="A3307" s="40" t="str">
        <f t="array" ref="A3307">IFNA(index(PlayerValues!A:A,match(IFNA(vlookup(B3307,'Special Names'!A:B,2,FALSE),B3307),PlayerValues!E:E,0)),"N/A")</f>
        <v>N/A</v>
      </c>
      <c r="B3307" s="4" t="s">
        <v>89</v>
      </c>
      <c r="C3307" s="4" t="s">
        <v>325</v>
      </c>
      <c r="D3307" s="94">
        <v>1761.0</v>
      </c>
    </row>
    <row r="3308">
      <c r="A3308" s="40">
        <f t="array" ref="A3308">IFNA(index(PlayerValues!A:A,match(IFNA(vlookup(B3308,'Special Names'!A:B,2,FALSE),B3308),PlayerValues!E:E,0)),"N/A")</f>
        <v>16215</v>
      </c>
      <c r="B3308" s="4" t="s">
        <v>637</v>
      </c>
      <c r="C3308" s="4" t="s">
        <v>298</v>
      </c>
      <c r="D3308" s="94">
        <v>2130.0</v>
      </c>
    </row>
    <row r="3309">
      <c r="A3309" s="40">
        <f t="array" ref="A3309">IFNA(index(PlayerValues!A:A,match(IFNA(vlookup(B3309,'Special Names'!A:B,2,FALSE),B3309),PlayerValues!E:E,0)),"N/A")</f>
        <v>16191</v>
      </c>
      <c r="B3309" s="4" t="s">
        <v>666</v>
      </c>
      <c r="C3309" s="4" t="s">
        <v>287</v>
      </c>
      <c r="D3309" s="94">
        <v>1748.0</v>
      </c>
    </row>
    <row r="3310">
      <c r="A3310" s="40">
        <f t="array" ref="A3310">IFNA(index(PlayerValues!A:A,match(IFNA(vlookup(B3310,'Special Names'!A:B,2,FALSE),B3310),PlayerValues!E:E,0)),"N/A")</f>
        <v>13146</v>
      </c>
      <c r="B3310" s="4" t="s">
        <v>652</v>
      </c>
      <c r="C3310" s="4" t="s">
        <v>278</v>
      </c>
      <c r="D3310" s="94">
        <v>1747.0</v>
      </c>
    </row>
    <row r="3311">
      <c r="A3311" s="40" t="str">
        <f t="array" ref="A3311">IFNA(index(PlayerValues!A:A,match(IFNA(vlookup(B3311,'Special Names'!A:B,2,FALSE),B3311),PlayerValues!E:E,0)),"N/A")</f>
        <v>N/A</v>
      </c>
      <c r="B3311" s="4" t="s">
        <v>102</v>
      </c>
      <c r="C3311" s="4" t="s">
        <v>325</v>
      </c>
      <c r="D3311" s="94">
        <v>1745.0</v>
      </c>
    </row>
    <row r="3312">
      <c r="A3312" s="40">
        <f t="array" ref="A3312">IFNA(index(PlayerValues!A:A,match(IFNA(vlookup(B3312,'Special Names'!A:B,2,FALSE),B3312),PlayerValues!E:E,0)),"N/A")</f>
        <v>17685</v>
      </c>
      <c r="B3312" s="4" t="s">
        <v>630</v>
      </c>
      <c r="C3312" s="4" t="s">
        <v>278</v>
      </c>
      <c r="D3312" s="94">
        <v>1736.0</v>
      </c>
    </row>
    <row r="3313">
      <c r="A3313" s="40">
        <f t="array" ref="A3313">IFNA(index(PlayerValues!A:A,match(IFNA(vlookup(B3313,'Special Names'!A:B,2,FALSE),B3313),PlayerValues!E:E,0)),"N/A")</f>
        <v>17034</v>
      </c>
      <c r="B3313" s="4" t="s">
        <v>643</v>
      </c>
      <c r="C3313" s="4" t="s">
        <v>283</v>
      </c>
      <c r="D3313" s="94">
        <v>1722.0</v>
      </c>
    </row>
    <row r="3314">
      <c r="A3314" s="40">
        <f t="array" ref="A3314">IFNA(index(PlayerValues!A:A,match(IFNA(vlookup(B3314,'Special Names'!A:B,2,FALSE),B3314),PlayerValues!E:E,0)),"N/A")</f>
        <v>13164</v>
      </c>
      <c r="B3314" s="4" t="s">
        <v>632</v>
      </c>
      <c r="C3314" s="4" t="s">
        <v>287</v>
      </c>
      <c r="D3314" s="94">
        <v>1718.0</v>
      </c>
    </row>
    <row r="3315">
      <c r="A3315" s="40">
        <f t="array" ref="A3315">IFNA(index(PlayerValues!A:A,match(IFNA(vlookup(B3315,'Special Names'!A:B,2,FALSE),B3315),PlayerValues!E:E,0)),"N/A")</f>
        <v>15787</v>
      </c>
      <c r="B3315" s="4" t="s">
        <v>610</v>
      </c>
      <c r="C3315" s="4" t="s">
        <v>287</v>
      </c>
      <c r="D3315" s="94">
        <v>1713.0</v>
      </c>
    </row>
    <row r="3316">
      <c r="A3316" s="40">
        <f t="array" ref="A3316">IFNA(index(PlayerValues!A:A,match(IFNA(vlookup(B3316,'Special Names'!A:B,2,FALSE),B3316),PlayerValues!E:E,0)),"N/A")</f>
        <v>17049</v>
      </c>
      <c r="B3316" s="4" t="s">
        <v>624</v>
      </c>
      <c r="C3316" s="4" t="s">
        <v>278</v>
      </c>
      <c r="D3316" s="94">
        <v>1708.0</v>
      </c>
    </row>
    <row r="3317">
      <c r="A3317" s="40">
        <f t="array" ref="A3317">IFNA(index(PlayerValues!A:A,match(IFNA(vlookup(B3317,'Special Names'!A:B,2,FALSE),B3317),PlayerValues!E:E,0)),"N/A")</f>
        <v>17529</v>
      </c>
      <c r="B3317" s="4" t="s">
        <v>608</v>
      </c>
      <c r="C3317" s="4" t="s">
        <v>287</v>
      </c>
      <c r="D3317" s="94">
        <v>1691.0</v>
      </c>
    </row>
    <row r="3318">
      <c r="A3318" s="40">
        <f t="array" ref="A3318">IFNA(index(PlayerValues!A:A,match(IFNA(vlookup(B3318,'Special Names'!A:B,2,FALSE),B3318),PlayerValues!E:E,0)),"N/A")</f>
        <v>14143</v>
      </c>
      <c r="B3318" s="4" t="s">
        <v>635</v>
      </c>
      <c r="C3318" s="4" t="s">
        <v>298</v>
      </c>
      <c r="D3318" s="94">
        <v>2068.0</v>
      </c>
    </row>
    <row r="3319">
      <c r="A3319" s="40">
        <f t="array" ref="A3319">IFNA(index(PlayerValues!A:A,match(IFNA(vlookup(B3319,'Special Names'!A:B,2,FALSE),B3319),PlayerValues!E:E,0)),"N/A")</f>
        <v>16171</v>
      </c>
      <c r="B3319" s="4" t="s">
        <v>618</v>
      </c>
      <c r="C3319" s="4" t="s">
        <v>278</v>
      </c>
      <c r="D3319" s="94">
        <v>1683.0</v>
      </c>
    </row>
    <row r="3320">
      <c r="A3320" s="40">
        <f t="array" ref="A3320">IFNA(index(PlayerValues!A:A,match(IFNA(vlookup(B3320,'Special Names'!A:B,2,FALSE),B3320),PlayerValues!E:E,0)),"N/A")</f>
        <v>17058</v>
      </c>
      <c r="B3320" s="4" t="s">
        <v>641</v>
      </c>
      <c r="C3320" s="4" t="s">
        <v>278</v>
      </c>
      <c r="D3320" s="94">
        <v>1681.0</v>
      </c>
    </row>
    <row r="3321">
      <c r="A3321" s="40">
        <f t="array" ref="A3321">IFNA(index(PlayerValues!A:A,match(IFNA(vlookup(B3321,'Special Names'!A:B,2,FALSE),B3321),PlayerValues!E:E,0)),"N/A")</f>
        <v>15752</v>
      </c>
      <c r="B3321" s="4" t="s">
        <v>647</v>
      </c>
      <c r="C3321" s="4" t="s">
        <v>287</v>
      </c>
      <c r="D3321" s="94">
        <v>1665.0</v>
      </c>
    </row>
    <row r="3322">
      <c r="A3322" s="40">
        <f t="array" ref="A3322">IFNA(index(PlayerValues!A:A,match(IFNA(vlookup(B3322,'Special Names'!A:B,2,FALSE),B3322),PlayerValues!E:E,0)),"N/A")</f>
        <v>15755</v>
      </c>
      <c r="B3322" s="4" t="s">
        <v>628</v>
      </c>
      <c r="C3322" s="4" t="s">
        <v>287</v>
      </c>
      <c r="D3322" s="94">
        <v>1661.0</v>
      </c>
    </row>
    <row r="3323">
      <c r="A3323" s="40" t="str">
        <f t="array" ref="A3323">IFNA(index(PlayerValues!A:A,match(IFNA(vlookup(B3323,'Special Names'!A:B,2,FALSE),B3323),PlayerValues!E:E,0)),"N/A")</f>
        <v>N/A</v>
      </c>
      <c r="B3323" s="4" t="s">
        <v>115</v>
      </c>
      <c r="C3323" s="4" t="s">
        <v>325</v>
      </c>
      <c r="D3323" s="94">
        <v>1649.0</v>
      </c>
    </row>
    <row r="3324">
      <c r="A3324" s="40">
        <f t="array" ref="A3324">IFNA(index(PlayerValues!A:A,match(IFNA(vlookup(B3324,'Special Names'!A:B,2,FALSE),B3324),PlayerValues!E:E,0)),"N/A")</f>
        <v>16207</v>
      </c>
      <c r="B3324" s="4" t="s">
        <v>636</v>
      </c>
      <c r="C3324" s="4" t="s">
        <v>287</v>
      </c>
      <c r="D3324" s="94">
        <v>1645.0</v>
      </c>
    </row>
    <row r="3325">
      <c r="A3325" s="40" t="str">
        <f t="array" ref="A3325">IFNA(index(PlayerValues!A:A,match(IFNA(vlookup(B3325,'Special Names'!A:B,2,FALSE),B3325),PlayerValues!E:E,0)),"N/A")</f>
        <v>N/A</v>
      </c>
      <c r="B3325" s="4" t="s">
        <v>103</v>
      </c>
      <c r="C3325" s="4" t="s">
        <v>325</v>
      </c>
      <c r="D3325" s="94">
        <v>1645.0</v>
      </c>
    </row>
    <row r="3326">
      <c r="A3326" s="40">
        <f t="array" ref="A3326">IFNA(index(PlayerValues!A:A,match(IFNA(vlookup(B3326,'Special Names'!A:B,2,FALSE),B3326),PlayerValues!E:E,0)),"N/A")</f>
        <v>17521</v>
      </c>
      <c r="B3326" s="4" t="s">
        <v>573</v>
      </c>
      <c r="C3326" s="4" t="s">
        <v>287</v>
      </c>
      <c r="D3326" s="94">
        <v>1642.0</v>
      </c>
    </row>
    <row r="3327">
      <c r="A3327" s="40">
        <f t="array" ref="A3327">IFNA(index(PlayerValues!A:A,match(IFNA(vlookup(B3327,'Special Names'!A:B,2,FALSE),B3327),PlayerValues!E:E,0)),"N/A")</f>
        <v>16608</v>
      </c>
      <c r="B3327" s="4" t="s">
        <v>629</v>
      </c>
      <c r="C3327" s="4" t="s">
        <v>278</v>
      </c>
      <c r="D3327" s="94">
        <v>1640.0</v>
      </c>
    </row>
    <row r="3328">
      <c r="A3328" s="40">
        <f t="array" ref="A3328">IFNA(index(PlayerValues!A:A,match(IFNA(vlookup(B3328,'Special Names'!A:B,2,FALSE),B3328),PlayerValues!E:E,0)),"N/A")</f>
        <v>17096</v>
      </c>
      <c r="B3328" s="4" t="s">
        <v>638</v>
      </c>
      <c r="C3328" s="4" t="s">
        <v>287</v>
      </c>
      <c r="D3328" s="94">
        <v>1628.0</v>
      </c>
    </row>
    <row r="3329">
      <c r="A3329" s="40">
        <f t="array" ref="A3329">IFNA(index(PlayerValues!A:A,match(IFNA(vlookup(B3329,'Special Names'!A:B,2,FALSE),B3329),PlayerValues!E:E,0)),"N/A")</f>
        <v>16201</v>
      </c>
      <c r="B3329" s="4" t="s">
        <v>589</v>
      </c>
      <c r="C3329" s="4" t="s">
        <v>287</v>
      </c>
      <c r="D3329" s="94">
        <v>1610.0</v>
      </c>
    </row>
    <row r="3330">
      <c r="A3330" s="40">
        <f t="array" ref="A3330">IFNA(index(PlayerValues!A:A,match(IFNA(vlookup(B3330,'Special Names'!A:B,2,FALSE),B3330),PlayerValues!E:E,0)),"N/A")</f>
        <v>16585</v>
      </c>
      <c r="B3330" s="4" t="s">
        <v>623</v>
      </c>
      <c r="C3330" s="4" t="s">
        <v>283</v>
      </c>
      <c r="D3330" s="94">
        <v>1597.0</v>
      </c>
    </row>
    <row r="3331">
      <c r="A3331" s="40">
        <f t="array" ref="A3331">IFNA(index(PlayerValues!A:A,match(IFNA(vlookup(B3331,'Special Names'!A:B,2,FALSE),B3331),PlayerValues!E:E,0)),"N/A")</f>
        <v>16635</v>
      </c>
      <c r="B3331" s="4" t="s">
        <v>645</v>
      </c>
      <c r="C3331" s="4" t="s">
        <v>287</v>
      </c>
      <c r="D3331" s="94">
        <v>1595.0</v>
      </c>
    </row>
    <row r="3332">
      <c r="A3332" s="40" t="str">
        <f t="array" ref="A3332">IFNA(index(PlayerValues!A:A,match(IFNA(vlookup(B3332,'Special Names'!A:B,2,FALSE),B3332),PlayerValues!E:E,0)),"N/A")</f>
        <v>N/A</v>
      </c>
      <c r="B3332" s="4" t="s">
        <v>90</v>
      </c>
      <c r="C3332" s="4" t="s">
        <v>325</v>
      </c>
      <c r="D3332" s="94">
        <v>1593.0</v>
      </c>
    </row>
    <row r="3333">
      <c r="A3333" s="40">
        <f t="array" ref="A3333">IFNA(index(PlayerValues!A:A,match(IFNA(vlookup(B3333,'Special Names'!A:B,2,FALSE),B3333),PlayerValues!E:E,0)),"N/A")</f>
        <v>17035</v>
      </c>
      <c r="B3333" s="4" t="s">
        <v>650</v>
      </c>
      <c r="C3333" s="4" t="s">
        <v>283</v>
      </c>
      <c r="D3333" s="94">
        <v>1592.0</v>
      </c>
    </row>
    <row r="3334">
      <c r="A3334" s="40">
        <f t="array" ref="A3334">IFNA(index(PlayerValues!A:A,match(IFNA(vlookup(B3334,'Special Names'!A:B,2,FALSE),B3334),PlayerValues!E:E,0)),"N/A")</f>
        <v>14122</v>
      </c>
      <c r="B3334" s="4" t="s">
        <v>663</v>
      </c>
      <c r="C3334" s="4" t="s">
        <v>287</v>
      </c>
      <c r="D3334" s="94">
        <v>1585.0</v>
      </c>
    </row>
    <row r="3335">
      <c r="A3335" s="40">
        <f t="array" ref="A3335">IFNA(index(PlayerValues!A:A,match(IFNA(vlookup(B3335,'Special Names'!A:B,2,FALSE),B3335),PlayerValues!E:E,0)),"N/A")</f>
        <v>16629</v>
      </c>
      <c r="B3335" s="4" t="s">
        <v>605</v>
      </c>
      <c r="C3335" s="4" t="s">
        <v>287</v>
      </c>
      <c r="D3335" s="94">
        <v>1585.0</v>
      </c>
    </row>
    <row r="3336">
      <c r="A3336" s="40">
        <f t="array" ref="A3336">IFNA(index(PlayerValues!A:A,match(IFNA(vlookup(B3336,'Special Names'!A:B,2,FALSE),B3336),PlayerValues!E:E,0)),"N/A")</f>
        <v>17064</v>
      </c>
      <c r="B3336" s="4" t="s">
        <v>631</v>
      </c>
      <c r="C3336" s="4" t="s">
        <v>278</v>
      </c>
      <c r="D3336" s="94">
        <v>1576.0</v>
      </c>
    </row>
    <row r="3337">
      <c r="A3337" s="40">
        <f t="array" ref="A3337">IFNA(index(PlayerValues!A:A,match(IFNA(vlookup(B3337,'Special Names'!A:B,2,FALSE),B3337),PlayerValues!E:E,0)),"N/A")</f>
        <v>14840</v>
      </c>
      <c r="B3337" s="4" t="s">
        <v>731</v>
      </c>
      <c r="C3337" s="4" t="s">
        <v>287</v>
      </c>
      <c r="D3337" s="94">
        <v>1568.0</v>
      </c>
    </row>
    <row r="3338">
      <c r="A3338" s="40">
        <f t="array" ref="A3338">IFNA(index(PlayerValues!A:A,match(IFNA(vlookup(B3338,'Special Names'!A:B,2,FALSE),B3338),PlayerValues!E:E,0)),"N/A")</f>
        <v>15337</v>
      </c>
      <c r="B3338" s="4" t="s">
        <v>655</v>
      </c>
      <c r="C3338" s="4" t="s">
        <v>298</v>
      </c>
      <c r="D3338" s="94">
        <v>1927.0</v>
      </c>
    </row>
    <row r="3339">
      <c r="A3339" s="40">
        <f t="array" ref="A3339">IFNA(index(PlayerValues!A:A,match(IFNA(vlookup(B3339,'Special Names'!A:B,2,FALSE),B3339),PlayerValues!E:E,0)),"N/A")</f>
        <v>12801</v>
      </c>
      <c r="B3339" s="4" t="s">
        <v>722</v>
      </c>
      <c r="C3339" s="4" t="s">
        <v>287</v>
      </c>
      <c r="D3339" s="94">
        <v>1539.0</v>
      </c>
    </row>
    <row r="3340">
      <c r="A3340" s="40" t="str">
        <f t="array" ref="A3340">IFNA(index(PlayerValues!A:A,match(IFNA(vlookup(B3340,'Special Names'!A:B,2,FALSE),B3340),PlayerValues!E:E,0)),"N/A")</f>
        <v>N/A</v>
      </c>
      <c r="B3340" s="4" t="s">
        <v>91</v>
      </c>
      <c r="C3340" s="4" t="s">
        <v>325</v>
      </c>
      <c r="D3340" s="94">
        <v>1533.0</v>
      </c>
    </row>
    <row r="3341">
      <c r="A3341" s="40" t="str">
        <f t="array" ref="A3341">IFNA(index(PlayerValues!A:A,match(IFNA(vlookup(B3341,'Special Names'!A:B,2,FALSE),B3341),PlayerValues!E:E,0)),"N/A")</f>
        <v>N/A</v>
      </c>
      <c r="B3341" s="4" t="s">
        <v>116</v>
      </c>
      <c r="C3341" s="4" t="s">
        <v>325</v>
      </c>
      <c r="D3341" s="94">
        <v>1523.0</v>
      </c>
    </row>
    <row r="3342">
      <c r="A3342" s="40">
        <f t="array" ref="A3342">IFNA(index(PlayerValues!A:A,match(IFNA(vlookup(B3342,'Special Names'!A:B,2,FALSE),B3342),PlayerValues!E:E,0)),"N/A")</f>
        <v>15319</v>
      </c>
      <c r="B3342" s="4" t="s">
        <v>644</v>
      </c>
      <c r="C3342" s="4" t="s">
        <v>287</v>
      </c>
      <c r="D3342" s="94">
        <v>1520.0</v>
      </c>
    </row>
    <row r="3343">
      <c r="A3343" s="40">
        <f t="array" ref="A3343">IFNA(index(PlayerValues!A:A,match(IFNA(vlookup(B3343,'Special Names'!A:B,2,FALSE),B3343),PlayerValues!E:E,0)),"N/A")</f>
        <v>16595</v>
      </c>
      <c r="B3343" s="4" t="s">
        <v>664</v>
      </c>
      <c r="C3343" s="4" t="s">
        <v>278</v>
      </c>
      <c r="D3343" s="94">
        <v>1515.0</v>
      </c>
    </row>
    <row r="3344">
      <c r="A3344" s="40">
        <f t="array" ref="A3344">IFNA(index(PlayerValues!A:A,match(IFNA(vlookup(B3344,'Special Names'!A:B,2,FALSE),B3344),PlayerValues!E:E,0)),"N/A")</f>
        <v>16601</v>
      </c>
      <c r="B3344" s="4" t="s">
        <v>648</v>
      </c>
      <c r="C3344" s="4" t="s">
        <v>278</v>
      </c>
      <c r="D3344" s="94">
        <v>1513.0</v>
      </c>
    </row>
    <row r="3345">
      <c r="A3345" s="40">
        <f t="array" ref="A3345">IFNA(index(PlayerValues!A:A,match(IFNA(vlookup(B3345,'Special Names'!A:B,2,FALSE),B3345),PlayerValues!E:E,0)),"N/A")</f>
        <v>17465</v>
      </c>
      <c r="B3345" s="4" t="s">
        <v>649</v>
      </c>
      <c r="C3345" s="4" t="s">
        <v>283</v>
      </c>
      <c r="D3345" s="94">
        <v>1500.0</v>
      </c>
    </row>
    <row r="3346">
      <c r="A3346" s="40">
        <f t="array" ref="A3346">IFNA(index(PlayerValues!A:A,match(IFNA(vlookup(B3346,'Special Names'!A:B,2,FALSE),B3346),PlayerValues!E:E,0)),"N/A")</f>
        <v>13672</v>
      </c>
      <c r="B3346" s="4" t="s">
        <v>667</v>
      </c>
      <c r="C3346" s="4" t="s">
        <v>298</v>
      </c>
      <c r="D3346" s="94">
        <v>1871.0</v>
      </c>
    </row>
    <row r="3347">
      <c r="A3347" s="40">
        <f t="array" ref="A3347">IFNA(index(PlayerValues!A:A,match(IFNA(vlookup(B3347,'Special Names'!A:B,2,FALSE),B3347),PlayerValues!E:E,0)),"N/A")</f>
        <v>15301</v>
      </c>
      <c r="B3347" s="4" t="s">
        <v>657</v>
      </c>
      <c r="C3347" s="4" t="s">
        <v>287</v>
      </c>
      <c r="D3347" s="94">
        <v>1495.0</v>
      </c>
    </row>
    <row r="3348">
      <c r="A3348" s="40">
        <f t="array" ref="A3348">IFNA(index(PlayerValues!A:A,match(IFNA(vlookup(B3348,'Special Names'!A:B,2,FALSE),B3348),PlayerValues!E:E,0)),"N/A")</f>
        <v>16387</v>
      </c>
      <c r="B3348" s="4" t="s">
        <v>646</v>
      </c>
      <c r="C3348" s="4" t="s">
        <v>278</v>
      </c>
      <c r="D3348" s="94">
        <v>1494.0</v>
      </c>
    </row>
    <row r="3349">
      <c r="A3349" s="40">
        <f t="array" ref="A3349">IFNA(index(PlayerValues!A:A,match(IFNA(vlookup(B3349,'Special Names'!A:B,2,FALSE),B3349),PlayerValues!E:E,0)),"N/A")</f>
        <v>15738</v>
      </c>
      <c r="B3349" s="4" t="s">
        <v>634</v>
      </c>
      <c r="C3349" s="4" t="s">
        <v>278</v>
      </c>
      <c r="D3349" s="94">
        <v>1485.0</v>
      </c>
    </row>
    <row r="3350">
      <c r="A3350" s="40">
        <f t="array" ref="A3350">IFNA(index(PlayerValues!A:A,match(IFNA(vlookup(B3350,'Special Names'!A:B,2,FALSE),B3350),PlayerValues!E:E,0)),"N/A")</f>
        <v>17652</v>
      </c>
      <c r="B3350" s="4" t="s">
        <v>576</v>
      </c>
      <c r="C3350" s="4" t="s">
        <v>278</v>
      </c>
      <c r="D3350" s="94">
        <v>1479.0</v>
      </c>
    </row>
    <row r="3351">
      <c r="A3351" s="40">
        <f t="array" ref="A3351">IFNA(index(PlayerValues!A:A,match(IFNA(vlookup(B3351,'Special Names'!A:B,2,FALSE),B3351),PlayerValues!E:E,0)),"N/A")</f>
        <v>17234</v>
      </c>
      <c r="B3351" s="4" t="s">
        <v>653</v>
      </c>
      <c r="C3351" s="4" t="s">
        <v>287</v>
      </c>
      <c r="D3351" s="94">
        <v>1463.0</v>
      </c>
    </row>
    <row r="3352">
      <c r="A3352" s="40">
        <f t="array" ref="A3352">IFNA(index(PlayerValues!A:A,match(IFNA(vlookup(B3352,'Special Names'!A:B,2,FALSE),B3352),PlayerValues!E:E,0)),"N/A")</f>
        <v>16586</v>
      </c>
      <c r="B3352" s="4" t="s">
        <v>658</v>
      </c>
      <c r="C3352" s="4" t="s">
        <v>283</v>
      </c>
      <c r="D3352" s="94">
        <v>1461.0</v>
      </c>
    </row>
    <row r="3353">
      <c r="A3353" s="40">
        <f t="array" ref="A3353">IFNA(index(PlayerValues!A:A,match(IFNA(vlookup(B3353,'Special Names'!A:B,2,FALSE),B3353),PlayerValues!E:E,0)),"N/A")</f>
        <v>14086</v>
      </c>
      <c r="B3353" s="4" t="s">
        <v>639</v>
      </c>
      <c r="C3353" s="4" t="s">
        <v>278</v>
      </c>
      <c r="D3353" s="94">
        <v>1459.0</v>
      </c>
    </row>
    <row r="3354">
      <c r="A3354" s="40">
        <f t="array" ref="A3354">IFNA(index(PlayerValues!A:A,match(IFNA(vlookup(B3354,'Special Names'!A:B,2,FALSE),B3354),PlayerValues!E:E,0)),"N/A")</f>
        <v>14105</v>
      </c>
      <c r="B3354" s="4" t="s">
        <v>675</v>
      </c>
      <c r="C3354" s="4" t="s">
        <v>287</v>
      </c>
      <c r="D3354" s="94">
        <v>1442.0</v>
      </c>
    </row>
    <row r="3355">
      <c r="A3355" s="40">
        <f t="array" ref="A3355">IFNA(index(PlayerValues!A:A,match(IFNA(vlookup(B3355,'Special Names'!A:B,2,FALSE),B3355),PlayerValues!E:E,0)),"N/A")</f>
        <v>17205</v>
      </c>
      <c r="B3355" s="4" t="s">
        <v>665</v>
      </c>
      <c r="C3355" s="4" t="s">
        <v>287</v>
      </c>
      <c r="D3355" s="94">
        <v>1440.0</v>
      </c>
    </row>
    <row r="3356">
      <c r="A3356" s="40">
        <f t="array" ref="A3356">IFNA(index(PlayerValues!A:A,match(IFNA(vlookup(B3356,'Special Names'!A:B,2,FALSE),B3356),PlayerValues!E:E,0)),"N/A")</f>
        <v>16688</v>
      </c>
      <c r="B3356" s="4" t="s">
        <v>688</v>
      </c>
      <c r="C3356" s="4" t="s">
        <v>278</v>
      </c>
      <c r="D3356" s="94">
        <v>1427.0</v>
      </c>
    </row>
    <row r="3357">
      <c r="A3357" s="40">
        <f t="array" ref="A3357">IFNA(index(PlayerValues!A:A,match(IFNA(vlookup(B3357,'Special Names'!A:B,2,FALSE),B3357),PlayerValues!E:E,0)),"N/A")</f>
        <v>15713</v>
      </c>
      <c r="B3357" s="4" t="s">
        <v>732</v>
      </c>
      <c r="C3357" s="4" t="s">
        <v>278</v>
      </c>
      <c r="D3357" s="94">
        <v>1421.0</v>
      </c>
    </row>
    <row r="3358">
      <c r="A3358" s="40">
        <f t="array" ref="A3358">IFNA(index(PlayerValues!A:A,match(IFNA(vlookup(B3358,'Special Names'!A:B,2,FALSE),B3358),PlayerValues!E:E,0)),"N/A")</f>
        <v>16621</v>
      </c>
      <c r="B3358" s="4" t="s">
        <v>672</v>
      </c>
      <c r="C3358" s="4" t="s">
        <v>287</v>
      </c>
      <c r="D3358" s="94">
        <v>1410.0</v>
      </c>
    </row>
    <row r="3359">
      <c r="A3359" s="40">
        <f t="array" ref="A3359">IFNA(index(PlayerValues!A:A,match(IFNA(vlookup(B3359,'Special Names'!A:B,2,FALSE),B3359),PlayerValues!E:E,0)),"N/A")</f>
        <v>14137</v>
      </c>
      <c r="B3359" s="4" t="s">
        <v>676</v>
      </c>
      <c r="C3359" s="4" t="s">
        <v>298</v>
      </c>
      <c r="D3359" s="94">
        <v>1778.0</v>
      </c>
    </row>
    <row r="3360">
      <c r="A3360" s="40">
        <f t="array" ref="A3360">IFNA(index(PlayerValues!A:A,match(IFNA(vlookup(B3360,'Special Names'!A:B,2,FALSE),B3360),PlayerValues!E:E,0)),"N/A")</f>
        <v>15759</v>
      </c>
      <c r="B3360" s="4" t="s">
        <v>662</v>
      </c>
      <c r="C3360" s="4" t="s">
        <v>287</v>
      </c>
      <c r="D3360" s="94">
        <v>1406.0</v>
      </c>
    </row>
    <row r="3361">
      <c r="A3361" s="40">
        <f t="array" ref="A3361">IFNA(index(PlayerValues!A:A,match(IFNA(vlookup(B3361,'Special Names'!A:B,2,FALSE),B3361),PlayerValues!E:E,0)),"N/A")</f>
        <v>16633</v>
      </c>
      <c r="B3361" s="4" t="s">
        <v>656</v>
      </c>
      <c r="C3361" s="4" t="s">
        <v>287</v>
      </c>
      <c r="D3361" s="94">
        <v>1402.0</v>
      </c>
    </row>
    <row r="3362">
      <c r="A3362" s="40">
        <f t="array" ref="A3362">IFNA(index(PlayerValues!A:A,match(IFNA(vlookup(B3362,'Special Names'!A:B,2,FALSE),B3362),PlayerValues!E:E,0)),"N/A")</f>
        <v>16788</v>
      </c>
      <c r="B3362" s="4" t="s">
        <v>621</v>
      </c>
      <c r="C3362" s="4" t="s">
        <v>287</v>
      </c>
      <c r="D3362" s="94">
        <v>1400.0</v>
      </c>
    </row>
    <row r="3363">
      <c r="A3363" s="40">
        <f t="array" ref="A3363">IFNA(index(PlayerValues!A:A,match(IFNA(vlookup(B3363,'Special Names'!A:B,2,FALSE),B3363),PlayerValues!E:E,0)),"N/A")</f>
        <v>15292</v>
      </c>
      <c r="B3363" s="4" t="s">
        <v>682</v>
      </c>
      <c r="C3363" s="4" t="s">
        <v>287</v>
      </c>
      <c r="D3363" s="94">
        <v>1396.0</v>
      </c>
    </row>
    <row r="3364">
      <c r="A3364" s="40">
        <f t="array" ref="A3364">IFNA(index(PlayerValues!A:A,match(IFNA(vlookup(B3364,'Special Names'!A:B,2,FALSE),B3364),PlayerValues!E:E,0)),"N/A")</f>
        <v>16631</v>
      </c>
      <c r="B3364" s="4" t="s">
        <v>800</v>
      </c>
      <c r="C3364" s="4" t="s">
        <v>287</v>
      </c>
      <c r="D3364" s="94">
        <v>1393.0</v>
      </c>
    </row>
    <row r="3365">
      <c r="A3365" s="40">
        <f t="array" ref="A3365">IFNA(index(PlayerValues!A:A,match(IFNA(vlookup(B3365,'Special Names'!A:B,2,FALSE),B3365),PlayerValues!E:E,0)),"N/A")</f>
        <v>15873</v>
      </c>
      <c r="B3365" s="4" t="s">
        <v>681</v>
      </c>
      <c r="C3365" s="4" t="s">
        <v>298</v>
      </c>
      <c r="D3365" s="94">
        <v>1755.0</v>
      </c>
    </row>
    <row r="3366">
      <c r="A3366" s="40">
        <f t="array" ref="A3366">IFNA(index(PlayerValues!A:A,match(IFNA(vlookup(B3366,'Special Names'!A:B,2,FALSE),B3366),PlayerValues!E:E,0)),"N/A")</f>
        <v>16175</v>
      </c>
      <c r="B3366" s="4" t="s">
        <v>654</v>
      </c>
      <c r="C3366" s="4" t="s">
        <v>278</v>
      </c>
      <c r="D3366" s="94">
        <v>1380.0</v>
      </c>
    </row>
    <row r="3367">
      <c r="A3367" s="40">
        <f t="array" ref="A3367">IFNA(index(PlayerValues!A:A,match(IFNA(vlookup(B3367,'Special Names'!A:B,2,FALSE),B3367),PlayerValues!E:E,0)),"N/A")</f>
        <v>16645</v>
      </c>
      <c r="B3367" s="4" t="s">
        <v>651</v>
      </c>
      <c r="C3367" s="4" t="s">
        <v>298</v>
      </c>
      <c r="D3367" s="94">
        <v>1736.0</v>
      </c>
    </row>
    <row r="3368">
      <c r="A3368" s="40">
        <f t="array" ref="A3368">IFNA(index(PlayerValues!A:A,match(IFNA(vlookup(B3368,'Special Names'!A:B,2,FALSE),B3368),PlayerValues!E:E,0)),"N/A")</f>
        <v>15777</v>
      </c>
      <c r="B3368" s="4" t="s">
        <v>694</v>
      </c>
      <c r="C3368" s="4" t="s">
        <v>287</v>
      </c>
      <c r="D3368" s="94">
        <v>1349.0</v>
      </c>
    </row>
    <row r="3369">
      <c r="A3369" s="40">
        <f t="array" ref="A3369">IFNA(index(PlayerValues!A:A,match(IFNA(vlookup(B3369,'Special Names'!A:B,2,FALSE),B3369),PlayerValues!E:E,0)),"N/A")</f>
        <v>16642</v>
      </c>
      <c r="B3369" s="4" t="s">
        <v>691</v>
      </c>
      <c r="C3369" s="4" t="s">
        <v>298</v>
      </c>
      <c r="D3369" s="94">
        <v>1715.0</v>
      </c>
    </row>
    <row r="3370">
      <c r="A3370" s="40">
        <f t="array" ref="A3370">IFNA(index(PlayerValues!A:A,match(IFNA(vlookup(B3370,'Special Names'!A:B,2,FALSE),B3370),PlayerValues!E:E,0)),"N/A")</f>
        <v>16390</v>
      </c>
      <c r="B3370" s="4" t="s">
        <v>689</v>
      </c>
      <c r="C3370" s="4" t="s">
        <v>278</v>
      </c>
      <c r="D3370" s="94">
        <v>1330.0</v>
      </c>
    </row>
    <row r="3371">
      <c r="A3371" s="40">
        <f t="array" ref="A3371">IFNA(index(PlayerValues!A:A,match(IFNA(vlookup(B3371,'Special Names'!A:B,2,FALSE),B3371),PlayerValues!E:E,0)),"N/A")</f>
        <v>17054</v>
      </c>
      <c r="B3371" s="4" t="s">
        <v>670</v>
      </c>
      <c r="C3371" s="4" t="s">
        <v>278</v>
      </c>
      <c r="D3371" s="94">
        <v>1323.0</v>
      </c>
    </row>
    <row r="3372">
      <c r="A3372" s="40" t="str">
        <f t="array" ref="A3372">IFNA(index(PlayerValues!A:A,match(IFNA(vlookup(B3372,'Special Names'!A:B,2,FALSE),B3372),PlayerValues!E:E,0)),"N/A")</f>
        <v>N/A</v>
      </c>
      <c r="B3372" s="4" t="s">
        <v>117</v>
      </c>
      <c r="C3372" s="4" t="s">
        <v>325</v>
      </c>
      <c r="D3372" s="94">
        <v>1317.0</v>
      </c>
    </row>
    <row r="3373">
      <c r="A3373" s="40">
        <f t="array" ref="A3373">IFNA(index(PlayerValues!A:A,match(IFNA(vlookup(B3373,'Special Names'!A:B,2,FALSE),B3373),PlayerValues!E:E,0)),"N/A")</f>
        <v>16792</v>
      </c>
      <c r="B3373" s="4" t="s">
        <v>704</v>
      </c>
      <c r="C3373" s="4" t="s">
        <v>287</v>
      </c>
      <c r="D3373" s="94">
        <v>1310.0</v>
      </c>
    </row>
    <row r="3374">
      <c r="A3374" s="40">
        <f t="array" ref="A3374">IFNA(index(PlayerValues!A:A,match(IFNA(vlookup(B3374,'Special Names'!A:B,2,FALSE),B3374),PlayerValues!E:E,0)),"N/A")</f>
        <v>17254</v>
      </c>
      <c r="B3374" s="4" t="s">
        <v>679</v>
      </c>
      <c r="C3374" s="4" t="s">
        <v>287</v>
      </c>
      <c r="D3374" s="94">
        <v>1303.0</v>
      </c>
    </row>
    <row r="3375">
      <c r="A3375" s="40">
        <f t="array" ref="A3375">IFNA(index(PlayerValues!A:A,match(IFNA(vlookup(B3375,'Special Names'!A:B,2,FALSE),B3375),PlayerValues!E:E,0)),"N/A")</f>
        <v>16746</v>
      </c>
      <c r="B3375" s="4" t="s">
        <v>709</v>
      </c>
      <c r="C3375" s="4" t="s">
        <v>278</v>
      </c>
      <c r="D3375" s="94">
        <v>1301.0</v>
      </c>
    </row>
    <row r="3376">
      <c r="A3376" s="40">
        <f t="array" ref="A3376">IFNA(index(PlayerValues!A:A,match(IFNA(vlookup(B3376,'Special Names'!A:B,2,FALSE),B3376),PlayerValues!E:E,0)),"N/A")</f>
        <v>17063</v>
      </c>
      <c r="B3376" s="4" t="s">
        <v>686</v>
      </c>
      <c r="C3376" s="4" t="s">
        <v>278</v>
      </c>
      <c r="D3376" s="94">
        <v>1298.0</v>
      </c>
    </row>
    <row r="3377">
      <c r="A3377" s="40">
        <f t="array" ref="A3377">IFNA(index(PlayerValues!A:A,match(IFNA(vlookup(B3377,'Special Names'!A:B,2,FALSE),B3377),PlayerValues!E:E,0)),"N/A")</f>
        <v>17475</v>
      </c>
      <c r="B3377" s="4" t="s">
        <v>615</v>
      </c>
      <c r="C3377" s="4" t="s">
        <v>278</v>
      </c>
      <c r="D3377" s="94">
        <v>1297.0</v>
      </c>
    </row>
    <row r="3378">
      <c r="A3378" s="40">
        <f t="array" ref="A3378">IFNA(index(PlayerValues!A:A,match(IFNA(vlookup(B3378,'Special Names'!A:B,2,FALSE),B3378),PlayerValues!E:E,0)),"N/A")</f>
        <v>12678</v>
      </c>
      <c r="B3378" s="4" t="s">
        <v>703</v>
      </c>
      <c r="C3378" s="4" t="s">
        <v>298</v>
      </c>
      <c r="D3378" s="94">
        <v>1665.0</v>
      </c>
    </row>
    <row r="3379">
      <c r="A3379" s="40">
        <f t="array" ref="A3379">IFNA(index(PlayerValues!A:A,match(IFNA(vlookup(B3379,'Special Names'!A:B,2,FALSE),B3379),PlayerValues!E:E,0)),"N/A")</f>
        <v>17097</v>
      </c>
      <c r="B3379" s="4" t="s">
        <v>659</v>
      </c>
      <c r="C3379" s="4" t="s">
        <v>287</v>
      </c>
      <c r="D3379" s="94">
        <v>1294.0</v>
      </c>
    </row>
    <row r="3380">
      <c r="A3380" s="40">
        <f t="array" ref="A3380">IFNA(index(PlayerValues!A:A,match(IFNA(vlookup(B3380,'Special Names'!A:B,2,FALSE),B3380),PlayerValues!E:E,0)),"N/A")</f>
        <v>14095</v>
      </c>
      <c r="B3380" s="4" t="s">
        <v>680</v>
      </c>
      <c r="C3380" s="4" t="s">
        <v>278</v>
      </c>
      <c r="D3380" s="94">
        <v>1282.0</v>
      </c>
    </row>
    <row r="3381">
      <c r="A3381" s="40">
        <f t="array" ref="A3381">IFNA(index(PlayerValues!A:A,match(IFNA(vlookup(B3381,'Special Names'!A:B,2,FALSE),B3381),PlayerValues!E:E,0)),"N/A")</f>
        <v>16183</v>
      </c>
      <c r="B3381" s="4" t="s">
        <v>678</v>
      </c>
      <c r="C3381" s="4" t="s">
        <v>287</v>
      </c>
      <c r="D3381" s="94">
        <v>1276.0</v>
      </c>
    </row>
    <row r="3382">
      <c r="A3382" s="40">
        <f t="array" ref="A3382">IFNA(index(PlayerValues!A:A,match(IFNA(vlookup(B3382,'Special Names'!A:B,2,FALSE),B3382),PlayerValues!E:E,0)),"N/A")</f>
        <v>16384</v>
      </c>
      <c r="B3382" s="4" t="s">
        <v>696</v>
      </c>
      <c r="C3382" s="4" t="s">
        <v>283</v>
      </c>
      <c r="D3382" s="94">
        <v>1269.0</v>
      </c>
    </row>
    <row r="3383">
      <c r="A3383" s="40">
        <f t="array" ref="A3383">IFNA(index(PlayerValues!A:A,match(IFNA(vlookup(B3383,'Special Names'!A:B,2,FALSE),B3383),PlayerValues!E:E,0)),"N/A")</f>
        <v>16636</v>
      </c>
      <c r="B3383" s="4" t="s">
        <v>699</v>
      </c>
      <c r="C3383" s="4" t="s">
        <v>287</v>
      </c>
      <c r="D3383" s="94">
        <v>1269.0</v>
      </c>
    </row>
    <row r="3384">
      <c r="A3384" s="40">
        <f t="array" ref="A3384">IFNA(index(PlayerValues!A:A,match(IFNA(vlookup(B3384,'Special Names'!A:B,2,FALSE),B3384),PlayerValues!E:E,0)),"N/A")</f>
        <v>12140</v>
      </c>
      <c r="B3384" s="4" t="s">
        <v>702</v>
      </c>
      <c r="C3384" s="4" t="s">
        <v>283</v>
      </c>
      <c r="D3384" s="94">
        <v>1261.0</v>
      </c>
    </row>
    <row r="3385">
      <c r="A3385" s="40">
        <f t="array" ref="A3385">IFNA(index(PlayerValues!A:A,match(IFNA(vlookup(B3385,'Special Names'!A:B,2,FALSE),B3385),PlayerValues!E:E,0)),"N/A")</f>
        <v>17657</v>
      </c>
      <c r="B3385" s="4" t="s">
        <v>642</v>
      </c>
      <c r="C3385" s="4" t="s">
        <v>283</v>
      </c>
      <c r="D3385" s="94">
        <v>1256.0</v>
      </c>
    </row>
    <row r="3386">
      <c r="A3386" s="40">
        <f t="array" ref="A3386">IFNA(index(PlayerValues!A:A,match(IFNA(vlookup(B3386,'Special Names'!A:B,2,FALSE),B3386),PlayerValues!E:E,0)),"N/A")</f>
        <v>14592</v>
      </c>
      <c r="B3386" s="4" t="s">
        <v>705</v>
      </c>
      <c r="C3386" s="4" t="s">
        <v>287</v>
      </c>
      <c r="D3386" s="94">
        <v>1252.0</v>
      </c>
    </row>
    <row r="3387">
      <c r="A3387" s="40">
        <f t="array" ref="A3387">IFNA(index(PlayerValues!A:A,match(IFNA(vlookup(B3387,'Special Names'!A:B,2,FALSE),B3387),PlayerValues!E:E,0)),"N/A")</f>
        <v>15332</v>
      </c>
      <c r="B3387" s="4" t="s">
        <v>698</v>
      </c>
      <c r="C3387" s="4" t="s">
        <v>298</v>
      </c>
      <c r="D3387" s="94">
        <v>1616.0</v>
      </c>
    </row>
    <row r="3388">
      <c r="A3388" s="40">
        <f t="array" ref="A3388">IFNA(index(PlayerValues!A:A,match(IFNA(vlookup(B3388,'Special Names'!A:B,2,FALSE),B3388),PlayerValues!E:E,0)),"N/A")</f>
        <v>17510</v>
      </c>
      <c r="B3388" s="4" t="s">
        <v>661</v>
      </c>
      <c r="C3388" s="4" t="s">
        <v>287</v>
      </c>
      <c r="D3388" s="94">
        <v>1245.0</v>
      </c>
    </row>
    <row r="3389">
      <c r="A3389" s="40">
        <f t="array" ref="A3389">IFNA(index(PlayerValues!A:A,match(IFNA(vlookup(B3389,'Special Names'!A:B,2,FALSE),B3389),PlayerValues!E:E,0)),"N/A")</f>
        <v>17037</v>
      </c>
      <c r="B3389" s="4" t="s">
        <v>727</v>
      </c>
      <c r="C3389" s="4" t="s">
        <v>283</v>
      </c>
      <c r="D3389" s="94">
        <v>1239.0</v>
      </c>
    </row>
    <row r="3390">
      <c r="A3390" s="40">
        <f t="array" ref="A3390">IFNA(index(PlayerValues!A:A,match(IFNA(vlookup(B3390,'Special Names'!A:B,2,FALSE),B3390),PlayerValues!E:E,0)),"N/A")</f>
        <v>16883</v>
      </c>
      <c r="B3390" s="4" t="s">
        <v>683</v>
      </c>
      <c r="C3390" s="4" t="s">
        <v>287</v>
      </c>
      <c r="D3390" s="94">
        <v>1224.0</v>
      </c>
    </row>
    <row r="3391">
      <c r="A3391" s="40">
        <f t="array" ref="A3391">IFNA(index(PlayerValues!A:A,match(IFNA(vlookup(B3391,'Special Names'!A:B,2,FALSE),B3391),PlayerValues!E:E,0)),"N/A")</f>
        <v>15702</v>
      </c>
      <c r="B3391" s="4" t="s">
        <v>723</v>
      </c>
      <c r="C3391" s="4" t="s">
        <v>283</v>
      </c>
      <c r="D3391" s="94">
        <v>1222.0</v>
      </c>
    </row>
    <row r="3392">
      <c r="A3392" s="40">
        <f t="array" ref="A3392">IFNA(index(PlayerValues!A:A,match(IFNA(vlookup(B3392,'Special Names'!A:B,2,FALSE),B3392),PlayerValues!E:E,0)),"N/A")</f>
        <v>16385</v>
      </c>
      <c r="B3392" s="4" t="s">
        <v>690</v>
      </c>
      <c r="C3392" s="4" t="s">
        <v>278</v>
      </c>
      <c r="D3392" s="94">
        <v>1213.0</v>
      </c>
    </row>
    <row r="3393">
      <c r="A3393" s="40">
        <f t="array" ref="A3393">IFNA(index(PlayerValues!A:A,match(IFNA(vlookup(B3393,'Special Names'!A:B,2,FALSE),B3393),PlayerValues!E:E,0)),"N/A")</f>
        <v>16199</v>
      </c>
      <c r="B3393" s="4" t="s">
        <v>687</v>
      </c>
      <c r="C3393" s="4" t="s">
        <v>287</v>
      </c>
      <c r="D3393" s="94">
        <v>1208.0</v>
      </c>
    </row>
    <row r="3394">
      <c r="A3394" s="40">
        <f t="array" ref="A3394">IFNA(index(PlayerValues!A:A,match(IFNA(vlookup(B3394,'Special Names'!A:B,2,FALSE),B3394),PlayerValues!E:E,0)),"N/A")</f>
        <v>17062</v>
      </c>
      <c r="B3394" s="4" t="s">
        <v>701</v>
      </c>
      <c r="C3394" s="4" t="s">
        <v>278</v>
      </c>
      <c r="D3394" s="94">
        <v>1207.0</v>
      </c>
    </row>
    <row r="3395">
      <c r="A3395" s="40">
        <f t="array" ref="A3395">IFNA(index(PlayerValues!A:A,match(IFNA(vlookup(B3395,'Special Names'!A:B,2,FALSE),B3395),PlayerValues!E:E,0)),"N/A")</f>
        <v>17192</v>
      </c>
      <c r="B3395" s="4" t="s">
        <v>677</v>
      </c>
      <c r="C3395" s="4" t="s">
        <v>287</v>
      </c>
      <c r="D3395" s="94">
        <v>1207.0</v>
      </c>
    </row>
    <row r="3396">
      <c r="A3396" s="40">
        <f t="array" ref="A3396">IFNA(index(PlayerValues!A:A,match(IFNA(vlookup(B3396,'Special Names'!A:B,2,FALSE),B3396),PlayerValues!E:E,0)),"N/A")</f>
        <v>14080</v>
      </c>
      <c r="B3396" s="4" t="s">
        <v>716</v>
      </c>
      <c r="C3396" s="4" t="s">
        <v>278</v>
      </c>
      <c r="D3396" s="94">
        <v>1202.0</v>
      </c>
    </row>
    <row r="3397">
      <c r="A3397" s="40">
        <f t="array" ref="A3397">IFNA(index(PlayerValues!A:A,match(IFNA(vlookup(B3397,'Special Names'!A:B,2,FALSE),B3397),PlayerValues!E:E,0)),"N/A")</f>
        <v>13418</v>
      </c>
      <c r="B3397" s="4" t="s">
        <v>706</v>
      </c>
      <c r="C3397" s="4" t="s">
        <v>287</v>
      </c>
      <c r="D3397" s="94">
        <v>1201.0</v>
      </c>
    </row>
    <row r="3398">
      <c r="A3398" s="40">
        <f t="array" ref="A3398">IFNA(index(PlayerValues!A:A,match(IFNA(vlookup(B3398,'Special Names'!A:B,2,FALSE),B3398),PlayerValues!E:E,0)),"N/A")</f>
        <v>17518</v>
      </c>
      <c r="B3398" s="4" t="s">
        <v>482</v>
      </c>
      <c r="C3398" s="4" t="s">
        <v>287</v>
      </c>
      <c r="D3398" s="94">
        <v>1186.0</v>
      </c>
    </row>
    <row r="3399">
      <c r="A3399" s="40">
        <f t="array" ref="A3399">IFNA(index(PlayerValues!A:A,match(IFNA(vlookup(B3399,'Special Names'!A:B,2,FALSE),B3399),PlayerValues!E:E,0)),"N/A")</f>
        <v>14067</v>
      </c>
      <c r="B3399" s="4" t="s">
        <v>735</v>
      </c>
      <c r="C3399" s="4" t="s">
        <v>283</v>
      </c>
      <c r="D3399" s="94">
        <v>1173.0</v>
      </c>
    </row>
    <row r="3400">
      <c r="A3400" s="40">
        <f t="array" ref="A3400">IFNA(index(PlayerValues!A:A,match(IFNA(vlookup(B3400,'Special Names'!A:B,2,FALSE),B3400),PlayerValues!E:E,0)),"N/A")</f>
        <v>17546</v>
      </c>
      <c r="B3400" s="4" t="s">
        <v>671</v>
      </c>
      <c r="C3400" s="4" t="s">
        <v>298</v>
      </c>
      <c r="D3400" s="94">
        <v>1540.0</v>
      </c>
    </row>
    <row r="3401">
      <c r="A3401" s="40">
        <f t="array" ref="A3401">IFNA(index(PlayerValues!A:A,match(IFNA(vlookup(B3401,'Special Names'!A:B,2,FALSE),B3401),PlayerValues!E:E,0)),"N/A")</f>
        <v>17109</v>
      </c>
      <c r="B3401" s="4" t="s">
        <v>707</v>
      </c>
      <c r="C3401" s="4" t="s">
        <v>298</v>
      </c>
      <c r="D3401" s="94">
        <v>1539.0</v>
      </c>
    </row>
    <row r="3402">
      <c r="A3402" s="40">
        <f t="array" ref="A3402">IFNA(index(PlayerValues!A:A,match(IFNA(vlookup(B3402,'Special Names'!A:B,2,FALSE),B3402),PlayerValues!E:E,0)),"N/A")</f>
        <v>17077</v>
      </c>
      <c r="B3402" s="4" t="s">
        <v>714</v>
      </c>
      <c r="C3402" s="4" t="s">
        <v>287</v>
      </c>
      <c r="D3402" s="94">
        <v>1170.0</v>
      </c>
    </row>
    <row r="3403">
      <c r="A3403" s="40">
        <f t="array" ref="A3403">IFNA(index(PlayerValues!A:A,match(IFNA(vlookup(B3403,'Special Names'!A:B,2,FALSE),B3403),PlayerValues!E:E,0)),"N/A")</f>
        <v>15254</v>
      </c>
      <c r="B3403" s="4" t="s">
        <v>633</v>
      </c>
      <c r="C3403" s="4" t="s">
        <v>278</v>
      </c>
      <c r="D3403" s="94">
        <v>1167.0</v>
      </c>
    </row>
    <row r="3404">
      <c r="A3404" s="40">
        <f t="array" ref="A3404">IFNA(index(PlayerValues!A:A,match(IFNA(vlookup(B3404,'Special Names'!A:B,2,FALSE),B3404),PlayerValues!E:E,0)),"N/A")</f>
        <v>11222</v>
      </c>
      <c r="B3404" s="4" t="s">
        <v>622</v>
      </c>
      <c r="C3404" s="4" t="s">
        <v>287</v>
      </c>
      <c r="D3404" s="94">
        <v>1166.0</v>
      </c>
    </row>
    <row r="3405">
      <c r="A3405" s="40">
        <f t="array" ref="A3405">IFNA(index(PlayerValues!A:A,match(IFNA(vlookup(B3405,'Special Names'!A:B,2,FALSE),B3405),PlayerValues!E:E,0)),"N/A")</f>
        <v>15252</v>
      </c>
      <c r="B3405" s="4" t="s">
        <v>715</v>
      </c>
      <c r="C3405" s="4" t="s">
        <v>283</v>
      </c>
      <c r="D3405" s="94">
        <v>1166.0</v>
      </c>
    </row>
    <row r="3406">
      <c r="A3406" s="40">
        <f t="array" ref="A3406">IFNA(index(PlayerValues!A:A,match(IFNA(vlookup(B3406,'Special Names'!A:B,2,FALSE),B3406),PlayerValues!E:E,0)),"N/A")</f>
        <v>17269</v>
      </c>
      <c r="B3406" s="4" t="s">
        <v>718</v>
      </c>
      <c r="C3406" s="4" t="s">
        <v>287</v>
      </c>
      <c r="D3406" s="94">
        <v>1163.0</v>
      </c>
    </row>
    <row r="3407">
      <c r="A3407" s="40">
        <f t="array" ref="A3407">IFNA(index(PlayerValues!A:A,match(IFNA(vlookup(B3407,'Special Names'!A:B,2,FALSE),B3407),PlayerValues!E:E,0)),"N/A")</f>
        <v>16333</v>
      </c>
      <c r="B3407" s="4" t="s">
        <v>711</v>
      </c>
      <c r="C3407" s="4" t="s">
        <v>298</v>
      </c>
      <c r="D3407" s="94">
        <v>1530.0</v>
      </c>
    </row>
    <row r="3408">
      <c r="A3408" s="40">
        <f t="array" ref="A3408">IFNA(index(PlayerValues!A:A,match(IFNA(vlookup(B3408,'Special Names'!A:B,2,FALSE),B3408),PlayerValues!E:E,0)),"N/A")</f>
        <v>14108</v>
      </c>
      <c r="B3408" s="4" t="s">
        <v>673</v>
      </c>
      <c r="C3408" s="4" t="s">
        <v>287</v>
      </c>
      <c r="D3408" s="94">
        <v>1156.0</v>
      </c>
    </row>
    <row r="3409">
      <c r="A3409" s="40">
        <f t="array" ref="A3409">IFNA(index(PlayerValues!A:A,match(IFNA(vlookup(B3409,'Special Names'!A:B,2,FALSE),B3409),PlayerValues!E:E,0)),"N/A")</f>
        <v>14789</v>
      </c>
      <c r="B3409" s="4" t="s">
        <v>721</v>
      </c>
      <c r="C3409" s="4" t="s">
        <v>283</v>
      </c>
      <c r="D3409" s="94">
        <v>1151.0</v>
      </c>
    </row>
    <row r="3410">
      <c r="A3410" s="40">
        <f t="array" ref="A3410">IFNA(index(PlayerValues!A:A,match(IFNA(vlookup(B3410,'Special Names'!A:B,2,FALSE),B3410),PlayerValues!E:E,0)),"N/A")</f>
        <v>15288</v>
      </c>
      <c r="B3410" s="4" t="s">
        <v>700</v>
      </c>
      <c r="C3410" s="4" t="s">
        <v>287</v>
      </c>
      <c r="D3410" s="94">
        <v>1149.0</v>
      </c>
    </row>
    <row r="3411">
      <c r="A3411" s="40">
        <f t="array" ref="A3411">IFNA(index(PlayerValues!A:A,match(IFNA(vlookup(B3411,'Special Names'!A:B,2,FALSE),B3411),PlayerValues!E:E,0)),"N/A")</f>
        <v>16221</v>
      </c>
      <c r="B3411" s="4" t="s">
        <v>725</v>
      </c>
      <c r="C3411" s="4" t="s">
        <v>298</v>
      </c>
      <c r="D3411" s="94">
        <v>1515.0</v>
      </c>
    </row>
    <row r="3412">
      <c r="A3412" s="40">
        <f t="array" ref="A3412">IFNA(index(PlayerValues!A:A,match(IFNA(vlookup(B3412,'Special Names'!A:B,2,FALSE),B3412),PlayerValues!E:E,0)),"N/A")</f>
        <v>17057</v>
      </c>
      <c r="B3412" s="4" t="s">
        <v>708</v>
      </c>
      <c r="C3412" s="4" t="s">
        <v>278</v>
      </c>
      <c r="D3412" s="94">
        <v>1144.0</v>
      </c>
    </row>
    <row r="3413">
      <c r="A3413" s="40">
        <f t="array" ref="A3413">IFNA(index(PlayerValues!A:A,match(IFNA(vlookup(B3413,'Special Names'!A:B,2,FALSE),B3413),PlayerValues!E:E,0)),"N/A")</f>
        <v>17050</v>
      </c>
      <c r="B3413" s="4" t="s">
        <v>713</v>
      </c>
      <c r="C3413" s="4" t="s">
        <v>278</v>
      </c>
      <c r="D3413" s="94">
        <v>1133.0</v>
      </c>
    </row>
    <row r="3414">
      <c r="A3414" s="40">
        <f t="array" ref="A3414">IFNA(index(PlayerValues!A:A,match(IFNA(vlookup(B3414,'Special Names'!A:B,2,FALSE),B3414),PlayerValues!E:E,0)),"N/A")</f>
        <v>16640</v>
      </c>
      <c r="B3414" s="4" t="s">
        <v>712</v>
      </c>
      <c r="C3414" s="4" t="s">
        <v>287</v>
      </c>
      <c r="D3414" s="94">
        <v>1130.0</v>
      </c>
    </row>
    <row r="3415">
      <c r="A3415" s="40">
        <f t="array" ref="A3415">IFNA(index(PlayerValues!A:A,match(IFNA(vlookup(B3415,'Special Names'!A:B,2,FALSE),B3415),PlayerValues!E:E,0)),"N/A")</f>
        <v>15981</v>
      </c>
      <c r="B3415" s="4" t="s">
        <v>729</v>
      </c>
      <c r="C3415" s="4" t="s">
        <v>287</v>
      </c>
      <c r="D3415" s="94">
        <v>1112.0</v>
      </c>
    </row>
    <row r="3416">
      <c r="A3416" s="40">
        <f t="array" ref="A3416">IFNA(index(PlayerValues!A:A,match(IFNA(vlookup(B3416,'Special Names'!A:B,2,FALSE),B3416),PlayerValues!E:E,0)),"N/A")</f>
        <v>15795</v>
      </c>
      <c r="B3416" s="4" t="s">
        <v>669</v>
      </c>
      <c r="C3416" s="4" t="s">
        <v>298</v>
      </c>
      <c r="D3416" s="94">
        <v>1467.0</v>
      </c>
    </row>
    <row r="3417">
      <c r="A3417" s="40">
        <f t="array" ref="A3417">IFNA(index(PlayerValues!A:A,match(IFNA(vlookup(B3417,'Special Names'!A:B,2,FALSE),B3417),PlayerValues!E:E,0)),"N/A")</f>
        <v>17504</v>
      </c>
      <c r="B3417" s="4" t="s">
        <v>693</v>
      </c>
      <c r="C3417" s="4" t="s">
        <v>287</v>
      </c>
      <c r="D3417" s="94">
        <v>1088.0</v>
      </c>
    </row>
    <row r="3418">
      <c r="A3418" s="40">
        <f t="array" ref="A3418">IFNA(index(PlayerValues!A:A,match(IFNA(vlookup(B3418,'Special Names'!A:B,2,FALSE),B3418),PlayerValues!E:E,0)),"N/A")</f>
        <v>12141</v>
      </c>
      <c r="B3418" s="4" t="s">
        <v>744</v>
      </c>
      <c r="C3418" s="4" t="s">
        <v>283</v>
      </c>
      <c r="D3418" s="94">
        <v>1083.0</v>
      </c>
    </row>
    <row r="3419">
      <c r="A3419" s="40">
        <f t="array" ref="A3419">IFNA(index(PlayerValues!A:A,match(IFNA(vlookup(B3419,'Special Names'!A:B,2,FALSE),B3419),PlayerValues!E:E,0)),"N/A")</f>
        <v>16149</v>
      </c>
      <c r="B3419" s="4" t="s">
        <v>740</v>
      </c>
      <c r="C3419" s="4" t="s">
        <v>283</v>
      </c>
      <c r="D3419" s="94">
        <v>1071.0</v>
      </c>
    </row>
    <row r="3420">
      <c r="A3420" s="40">
        <f t="array" ref="A3420">IFNA(index(PlayerValues!A:A,match(IFNA(vlookup(B3420,'Special Names'!A:B,2,FALSE),B3420),PlayerValues!E:E,0)),"N/A")</f>
        <v>13289</v>
      </c>
      <c r="B3420" s="4" t="s">
        <v>746</v>
      </c>
      <c r="C3420" s="4" t="s">
        <v>287</v>
      </c>
      <c r="D3420" s="94">
        <v>1064.0</v>
      </c>
    </row>
    <row r="3421">
      <c r="A3421" s="40">
        <f t="array" ref="A3421">IFNA(index(PlayerValues!A:A,match(IFNA(vlookup(B3421,'Special Names'!A:B,2,FALSE),B3421),PlayerValues!E:E,0)),"N/A")</f>
        <v>16197</v>
      </c>
      <c r="B3421" s="4" t="s">
        <v>726</v>
      </c>
      <c r="C3421" s="4" t="s">
        <v>287</v>
      </c>
      <c r="D3421" s="94">
        <v>1064.0</v>
      </c>
    </row>
    <row r="3422">
      <c r="A3422" s="40">
        <f t="array" ref="A3422">IFNA(index(PlayerValues!A:A,match(IFNA(vlookup(B3422,'Special Names'!A:B,2,FALSE),B3422),PlayerValues!E:E,0)),"N/A")</f>
        <v>14845</v>
      </c>
      <c r="B3422" s="4" t="s">
        <v>717</v>
      </c>
      <c r="C3422" s="4" t="s">
        <v>287</v>
      </c>
      <c r="D3422" s="94">
        <v>1061.0</v>
      </c>
    </row>
    <row r="3423">
      <c r="A3423" s="40">
        <f t="array" ref="A3423">IFNA(index(PlayerValues!A:A,match(IFNA(vlookup(B3423,'Special Names'!A:B,2,FALSE),B3423),PlayerValues!E:E,0)),"N/A")</f>
        <v>15240</v>
      </c>
      <c r="B3423" s="4" t="s">
        <v>751</v>
      </c>
      <c r="C3423" s="4" t="s">
        <v>283</v>
      </c>
      <c r="D3423" s="94">
        <v>1056.0</v>
      </c>
    </row>
    <row r="3424">
      <c r="A3424" s="40">
        <f t="array" ref="A3424">IFNA(index(PlayerValues!A:A,match(IFNA(vlookup(B3424,'Special Names'!A:B,2,FALSE),B3424),PlayerValues!E:E,0)),"N/A")</f>
        <v>15109</v>
      </c>
      <c r="B3424" s="4" t="s">
        <v>728</v>
      </c>
      <c r="C3424" s="4" t="s">
        <v>287</v>
      </c>
      <c r="D3424" s="94">
        <v>1033.0</v>
      </c>
    </row>
    <row r="3425">
      <c r="A3425" s="40">
        <f t="array" ref="A3425">IFNA(index(PlayerValues!A:A,match(IFNA(vlookup(B3425,'Special Names'!A:B,2,FALSE),B3425),PlayerValues!E:E,0)),"N/A")</f>
        <v>14849</v>
      </c>
      <c r="B3425" s="4" t="s">
        <v>733</v>
      </c>
      <c r="C3425" s="4" t="s">
        <v>287</v>
      </c>
      <c r="D3425" s="94">
        <v>1032.0</v>
      </c>
    </row>
    <row r="3426">
      <c r="A3426" s="40">
        <f t="array" ref="A3426">IFNA(index(PlayerValues!A:A,match(IFNA(vlookup(B3426,'Special Names'!A:B,2,FALSE),B3426),PlayerValues!E:E,0)),"N/A")</f>
        <v>15727</v>
      </c>
      <c r="B3426" s="4" t="s">
        <v>730</v>
      </c>
      <c r="C3426" s="4" t="s">
        <v>278</v>
      </c>
      <c r="D3426" s="94">
        <v>1026.0</v>
      </c>
    </row>
    <row r="3427">
      <c r="A3427" s="40">
        <f t="array" ref="A3427">IFNA(index(PlayerValues!A:A,match(IFNA(vlookup(B3427,'Special Names'!A:B,2,FALSE),B3427),PlayerValues!E:E,0)),"N/A")</f>
        <v>15730</v>
      </c>
      <c r="B3427" s="4" t="s">
        <v>734</v>
      </c>
      <c r="C3427" s="4" t="s">
        <v>278</v>
      </c>
      <c r="D3427" s="94">
        <v>1026.0</v>
      </c>
    </row>
    <row r="3428">
      <c r="A3428" s="40">
        <f t="array" ref="A3428">IFNA(index(PlayerValues!A:A,match(IFNA(vlookup(B3428,'Special Names'!A:B,2,FALSE),B3428),PlayerValues!E:E,0)),"N/A")</f>
        <v>15717</v>
      </c>
      <c r="B3428" s="4" t="s">
        <v>745</v>
      </c>
      <c r="C3428" s="4" t="s">
        <v>278</v>
      </c>
      <c r="D3428" s="94">
        <v>1026.0</v>
      </c>
    </row>
    <row r="3429">
      <c r="A3429" s="40">
        <f t="array" ref="A3429">IFNA(index(PlayerValues!A:A,match(IFNA(vlookup(B3429,'Special Names'!A:B,2,FALSE),B3429),PlayerValues!E:E,0)),"N/A")</f>
        <v>9064</v>
      </c>
      <c r="B3429" s="4" t="s">
        <v>761</v>
      </c>
      <c r="C3429" s="4" t="s">
        <v>283</v>
      </c>
      <c r="D3429" s="94">
        <v>1025.0</v>
      </c>
    </row>
    <row r="3430">
      <c r="A3430" s="40">
        <f t="array" ref="A3430">IFNA(index(PlayerValues!A:A,match(IFNA(vlookup(B3430,'Special Names'!A:B,2,FALSE),B3430),PlayerValues!E:E,0)),"N/A")</f>
        <v>16168</v>
      </c>
      <c r="B3430" s="4" t="s">
        <v>738</v>
      </c>
      <c r="C3430" s="4" t="s">
        <v>278</v>
      </c>
      <c r="D3430" s="94">
        <v>1021.0</v>
      </c>
    </row>
    <row r="3431">
      <c r="A3431" s="40">
        <f t="array" ref="A3431">IFNA(index(PlayerValues!A:A,match(IFNA(vlookup(B3431,'Special Names'!A:B,2,FALSE),B3431),PlayerValues!E:E,0)),"N/A")</f>
        <v>15330</v>
      </c>
      <c r="B3431" s="4" t="s">
        <v>749</v>
      </c>
      <c r="C3431" s="4" t="s">
        <v>298</v>
      </c>
      <c r="D3431" s="94">
        <v>1381.0</v>
      </c>
    </row>
    <row r="3432">
      <c r="A3432" s="40">
        <f t="array" ref="A3432">IFNA(index(PlayerValues!A:A,match(IFNA(vlookup(B3432,'Special Names'!A:B,2,FALSE),B3432),PlayerValues!E:E,0)),"N/A")</f>
        <v>15693</v>
      </c>
      <c r="B3432" s="4" t="s">
        <v>755</v>
      </c>
      <c r="C3432" s="4" t="s">
        <v>283</v>
      </c>
      <c r="D3432" s="94">
        <v>1010.0</v>
      </c>
    </row>
    <row r="3433">
      <c r="A3433" s="40">
        <f t="array" ref="A3433">IFNA(index(PlayerValues!A:A,match(IFNA(vlookup(B3433,'Special Names'!A:B,2,FALSE),B3433),PlayerValues!E:E,0)),"N/A")</f>
        <v>16637</v>
      </c>
      <c r="B3433" s="4" t="s">
        <v>736</v>
      </c>
      <c r="C3433" s="4" t="s">
        <v>287</v>
      </c>
      <c r="D3433" s="94">
        <v>1007.0</v>
      </c>
    </row>
    <row r="3434">
      <c r="A3434" s="40">
        <f t="array" ref="A3434">IFNA(index(PlayerValues!A:A,match(IFNA(vlookup(B3434,'Special Names'!A:B,2,FALSE),B3434),PlayerValues!E:E,0)),"N/A")</f>
        <v>16451</v>
      </c>
      <c r="B3434" s="4" t="s">
        <v>769</v>
      </c>
      <c r="C3434" s="4" t="s">
        <v>287</v>
      </c>
      <c r="D3434" s="94">
        <v>1005.0</v>
      </c>
    </row>
    <row r="3435">
      <c r="A3435" s="40">
        <f t="array" ref="A3435">IFNA(index(PlayerValues!A:A,match(IFNA(vlookup(B3435,'Special Names'!A:B,2,FALSE),B3435),PlayerValues!E:E,0)),"N/A")</f>
        <v>15758</v>
      </c>
      <c r="B3435" s="4" t="s">
        <v>724</v>
      </c>
      <c r="C3435" s="4" t="s">
        <v>287</v>
      </c>
      <c r="D3435" s="94">
        <v>998.0</v>
      </c>
    </row>
    <row r="3436">
      <c r="A3436" s="40">
        <f t="array" ref="A3436">IFNA(index(PlayerValues!A:A,match(IFNA(vlookup(B3436,'Special Names'!A:B,2,FALSE),B3436),PlayerValues!E:E,0)),"N/A")</f>
        <v>16205</v>
      </c>
      <c r="B3436" s="4" t="s">
        <v>742</v>
      </c>
      <c r="C3436" s="4" t="s">
        <v>287</v>
      </c>
      <c r="D3436" s="94">
        <v>997.0</v>
      </c>
    </row>
    <row r="3437">
      <c r="A3437" s="40">
        <f t="array" ref="A3437">IFNA(index(PlayerValues!A:A,match(IFNA(vlookup(B3437,'Special Names'!A:B,2,FALSE),B3437),PlayerValues!E:E,0)),"N/A")</f>
        <v>15692</v>
      </c>
      <c r="B3437" s="4" t="s">
        <v>750</v>
      </c>
      <c r="C3437" s="4" t="s">
        <v>283</v>
      </c>
      <c r="D3437" s="94">
        <v>996.0</v>
      </c>
    </row>
    <row r="3438">
      <c r="A3438" s="40">
        <f t="array" ref="A3438">IFNA(index(PlayerValues!A:A,match(IFNA(vlookup(B3438,'Special Names'!A:B,2,FALSE),B3438),PlayerValues!E:E,0)),"N/A")</f>
        <v>15718</v>
      </c>
      <c r="B3438" s="4" t="s">
        <v>753</v>
      </c>
      <c r="C3438" s="4" t="s">
        <v>278</v>
      </c>
      <c r="D3438" s="94">
        <v>990.0</v>
      </c>
    </row>
    <row r="3439">
      <c r="A3439" s="40">
        <f t="array" ref="A3439">IFNA(index(PlayerValues!A:A,match(IFNA(vlookup(B3439,'Special Names'!A:B,2,FALSE),B3439),PlayerValues!E:E,0)),"N/A")</f>
        <v>16393</v>
      </c>
      <c r="B3439" s="4" t="s">
        <v>768</v>
      </c>
      <c r="C3439" s="4" t="s">
        <v>287</v>
      </c>
      <c r="D3439" s="94">
        <v>983.0</v>
      </c>
    </row>
    <row r="3440">
      <c r="A3440" s="40">
        <f t="array" ref="A3440">IFNA(index(PlayerValues!A:A,match(IFNA(vlookup(B3440,'Special Names'!A:B,2,FALSE),B3440),PlayerValues!E:E,0)),"N/A")</f>
        <v>16170</v>
      </c>
      <c r="B3440" s="4" t="s">
        <v>801</v>
      </c>
      <c r="C3440" s="4" t="s">
        <v>278</v>
      </c>
      <c r="D3440" s="94">
        <v>980.0</v>
      </c>
    </row>
    <row r="3441">
      <c r="A3441" s="40">
        <f t="array" ref="A3441">IFNA(index(PlayerValues!A:A,match(IFNA(vlookup(B3441,'Special Names'!A:B,2,FALSE),B3441),PlayerValues!E:E,0)),"N/A")</f>
        <v>16648</v>
      </c>
      <c r="B3441" s="4" t="s">
        <v>748</v>
      </c>
      <c r="C3441" s="4" t="s">
        <v>298</v>
      </c>
      <c r="D3441" s="94">
        <v>1340.0</v>
      </c>
    </row>
    <row r="3442">
      <c r="A3442" s="40">
        <f t="array" ref="A3442">IFNA(index(PlayerValues!A:A,match(IFNA(vlookup(B3442,'Special Names'!A:B,2,FALSE),B3442),PlayerValues!E:E,0)),"N/A")</f>
        <v>15258</v>
      </c>
      <c r="B3442" s="4" t="s">
        <v>757</v>
      </c>
      <c r="C3442" s="4" t="s">
        <v>278</v>
      </c>
      <c r="D3442" s="94">
        <v>967.0</v>
      </c>
    </row>
    <row r="3443">
      <c r="A3443" s="40">
        <f t="array" ref="A3443">IFNA(index(PlayerValues!A:A,match(IFNA(vlookup(B3443,'Special Names'!A:B,2,FALSE),B3443),PlayerValues!E:E,0)),"N/A")</f>
        <v>17487</v>
      </c>
      <c r="B3443" s="4" t="s">
        <v>692</v>
      </c>
      <c r="C3443" s="4" t="s">
        <v>278</v>
      </c>
      <c r="D3443" s="94">
        <v>964.0</v>
      </c>
    </row>
    <row r="3444">
      <c r="A3444" s="40">
        <f t="array" ref="A3444">IFNA(index(PlayerValues!A:A,match(IFNA(vlookup(B3444,'Special Names'!A:B,2,FALSE),B3444),PlayerValues!E:E,0)),"N/A")</f>
        <v>15239</v>
      </c>
      <c r="B3444" s="4" t="s">
        <v>802</v>
      </c>
      <c r="C3444" s="4" t="s">
        <v>283</v>
      </c>
      <c r="D3444" s="94">
        <v>948.0</v>
      </c>
    </row>
    <row r="3445">
      <c r="A3445" s="40">
        <f t="array" ref="A3445">IFNA(index(PlayerValues!A:A,match(IFNA(vlookup(B3445,'Special Names'!A:B,2,FALSE),B3445),PlayerValues!E:E,0)),"N/A")</f>
        <v>16606</v>
      </c>
      <c r="B3445" s="4" t="s">
        <v>743</v>
      </c>
      <c r="C3445" s="4" t="s">
        <v>278</v>
      </c>
      <c r="D3445" s="94">
        <v>939.0</v>
      </c>
    </row>
    <row r="3446">
      <c r="A3446" s="40">
        <f t="array" ref="A3446">IFNA(index(PlayerValues!A:A,match(IFNA(vlookup(B3446,'Special Names'!A:B,2,FALSE),B3446),PlayerValues!E:E,0)),"N/A")</f>
        <v>17549</v>
      </c>
      <c r="B3446" s="4" t="s">
        <v>720</v>
      </c>
      <c r="C3446" s="4" t="s">
        <v>298</v>
      </c>
      <c r="D3446" s="94">
        <v>1303.0</v>
      </c>
    </row>
    <row r="3447">
      <c r="A3447" s="40">
        <f t="array" ref="A3447">IFNA(index(PlayerValues!A:A,match(IFNA(vlookup(B3447,'Special Names'!A:B,2,FALSE),B3447),PlayerValues!E:E,0)),"N/A")</f>
        <v>16219</v>
      </c>
      <c r="B3447" s="4" t="s">
        <v>739</v>
      </c>
      <c r="C3447" s="4" t="s">
        <v>298</v>
      </c>
      <c r="D3447" s="94">
        <v>1300.0</v>
      </c>
    </row>
    <row r="3448">
      <c r="A3448" s="40">
        <f t="array" ref="A3448">IFNA(index(PlayerValues!A:A,match(IFNA(vlookup(B3448,'Special Names'!A:B,2,FALSE),B3448),PlayerValues!E:E,0)),"N/A")</f>
        <v>16416</v>
      </c>
      <c r="B3448" s="4" t="s">
        <v>752</v>
      </c>
      <c r="C3448" s="4" t="s">
        <v>287</v>
      </c>
      <c r="D3448" s="94">
        <v>929.0</v>
      </c>
    </row>
    <row r="3449">
      <c r="A3449" s="40">
        <f t="array" ref="A3449">IFNA(index(PlayerValues!A:A,match(IFNA(vlookup(B3449,'Special Names'!A:B,2,FALSE),B3449),PlayerValues!E:E,0)),"N/A")</f>
        <v>16678</v>
      </c>
      <c r="B3449" s="4" t="s">
        <v>758</v>
      </c>
      <c r="C3449" s="4" t="s">
        <v>278</v>
      </c>
      <c r="D3449" s="94">
        <v>921.0</v>
      </c>
    </row>
    <row r="3450">
      <c r="A3450" s="40">
        <f t="array" ref="A3450">IFNA(index(PlayerValues!A:A,match(IFNA(vlookup(B3450,'Special Names'!A:B,2,FALSE),B3450),PlayerValues!E:E,0)),"N/A")</f>
        <v>16599</v>
      </c>
      <c r="B3450" s="4" t="s">
        <v>737</v>
      </c>
      <c r="C3450" s="4" t="s">
        <v>278</v>
      </c>
      <c r="D3450" s="94">
        <v>919.0</v>
      </c>
    </row>
    <row r="3451">
      <c r="A3451" s="40">
        <f t="array" ref="A3451">IFNA(index(PlayerValues!A:A,match(IFNA(vlookup(B3451,'Special Names'!A:B,2,FALSE),B3451),PlayerValues!E:E,0)),"N/A")</f>
        <v>16858</v>
      </c>
      <c r="B3451" s="4" t="s">
        <v>754</v>
      </c>
      <c r="C3451" s="4" t="s">
        <v>287</v>
      </c>
      <c r="D3451" s="94">
        <v>916.0</v>
      </c>
    </row>
    <row r="3452">
      <c r="A3452" s="40">
        <f t="array" ref="A3452">IFNA(index(PlayerValues!A:A,match(IFNA(vlookup(B3452,'Special Names'!A:B,2,FALSE),B3452),PlayerValues!E:E,0)),"N/A")</f>
        <v>17479</v>
      </c>
      <c r="B3452" s="4" t="s">
        <v>756</v>
      </c>
      <c r="C3452" s="4" t="s">
        <v>278</v>
      </c>
      <c r="D3452" s="94">
        <v>908.0</v>
      </c>
    </row>
    <row r="3453">
      <c r="A3453" s="40">
        <f t="array" ref="A3453">IFNA(index(PlayerValues!A:A,match(IFNA(vlookup(B3453,'Special Names'!A:B,2,FALSE),B3453),PlayerValues!E:E,0)),"N/A")</f>
        <v>15626</v>
      </c>
      <c r="B3453" s="4" t="s">
        <v>766</v>
      </c>
      <c r="C3453" s="4" t="s">
        <v>298</v>
      </c>
      <c r="D3453" s="94">
        <v>1272.0</v>
      </c>
    </row>
    <row r="3454">
      <c r="A3454" s="40">
        <f t="array" ref="A3454">IFNA(index(PlayerValues!A:A,match(IFNA(vlookup(B3454,'Special Names'!A:B,2,FALSE),B3454),PlayerValues!E:E,0)),"N/A")</f>
        <v>15785</v>
      </c>
      <c r="B3454" s="4" t="s">
        <v>763</v>
      </c>
      <c r="C3454" s="4" t="s">
        <v>287</v>
      </c>
      <c r="D3454" s="94">
        <v>898.0</v>
      </c>
    </row>
    <row r="3455">
      <c r="A3455" s="40">
        <f t="array" ref="A3455">IFNA(index(PlayerValues!A:A,match(IFNA(vlookup(B3455,'Special Names'!A:B,2,FALSE),B3455),PlayerValues!E:E,0)),"N/A")</f>
        <v>15720</v>
      </c>
      <c r="B3455" s="4" t="s">
        <v>795</v>
      </c>
      <c r="C3455" s="4" t="s">
        <v>278</v>
      </c>
      <c r="D3455" s="94">
        <v>897.0</v>
      </c>
    </row>
    <row r="3456">
      <c r="A3456" s="40">
        <f t="array" ref="A3456">IFNA(index(PlayerValues!A:A,match(IFNA(vlookup(B3456,'Special Names'!A:B,2,FALSE),B3456),PlayerValues!E:E,0)),"N/A")</f>
        <v>16623</v>
      </c>
      <c r="B3456" s="4" t="s">
        <v>803</v>
      </c>
      <c r="C3456" s="4" t="s">
        <v>287</v>
      </c>
      <c r="D3456" s="94">
        <v>897.0</v>
      </c>
    </row>
    <row r="3457">
      <c r="A3457" s="40">
        <f t="array" ref="A3457">IFNA(index(PlayerValues!A:A,match(IFNA(vlookup(B3457,'Special Names'!A:B,2,FALSE),B3457),PlayerValues!E:E,0)),"N/A")</f>
        <v>15766</v>
      </c>
      <c r="B3457" s="4" t="s">
        <v>759</v>
      </c>
      <c r="C3457" s="4" t="s">
        <v>287</v>
      </c>
      <c r="D3457" s="94">
        <v>889.0</v>
      </c>
    </row>
    <row r="3458">
      <c r="A3458" s="40">
        <f t="array" ref="A3458">IFNA(index(PlayerValues!A:A,match(IFNA(vlookup(B3458,'Special Names'!A:B,2,FALSE),B3458),PlayerValues!E:E,0)),"N/A")</f>
        <v>17175</v>
      </c>
      <c r="B3458" s="4" t="s">
        <v>747</v>
      </c>
      <c r="C3458" s="4" t="s">
        <v>287</v>
      </c>
      <c r="D3458" s="94">
        <v>880.0</v>
      </c>
    </row>
    <row r="3459">
      <c r="A3459" s="40">
        <f t="array" ref="A3459">IFNA(index(PlayerValues!A:A,match(IFNA(vlookup(B3459,'Special Names'!A:B,2,FALSE),B3459),PlayerValues!E:E,0)),"N/A")</f>
        <v>13193</v>
      </c>
      <c r="B3459" s="4" t="s">
        <v>773</v>
      </c>
      <c r="C3459" s="4" t="s">
        <v>298</v>
      </c>
      <c r="D3459" s="94">
        <v>1235.0</v>
      </c>
    </row>
    <row r="3460">
      <c r="A3460" s="40">
        <f t="array" ref="A3460">IFNA(index(PlayerValues!A:A,match(IFNA(vlookup(B3460,'Special Names'!A:B,2,FALSE),B3460),PlayerValues!E:E,0)),"N/A")</f>
        <v>17654</v>
      </c>
      <c r="B3460" s="4" t="s">
        <v>767</v>
      </c>
      <c r="C3460" s="4" t="s">
        <v>283</v>
      </c>
      <c r="D3460" s="94">
        <v>860.0</v>
      </c>
    </row>
    <row r="3461">
      <c r="A3461" s="40">
        <f t="array" ref="A3461">IFNA(index(PlayerValues!A:A,match(IFNA(vlookup(B3461,'Special Names'!A:B,2,FALSE),B3461),PlayerValues!E:E,0)),"N/A")</f>
        <v>14057</v>
      </c>
      <c r="B3461" s="4" t="s">
        <v>765</v>
      </c>
      <c r="C3461" s="4" t="s">
        <v>283</v>
      </c>
      <c r="D3461" s="94">
        <v>856.0</v>
      </c>
    </row>
    <row r="3462">
      <c r="A3462" s="40">
        <f t="array" ref="A3462">IFNA(index(PlayerValues!A:A,match(IFNA(vlookup(B3462,'Special Names'!A:B,2,FALSE),B3462),PlayerValues!E:E,0)),"N/A")</f>
        <v>17541</v>
      </c>
      <c r="B3462" s="4" t="s">
        <v>616</v>
      </c>
      <c r="C3462" s="4" t="s">
        <v>287</v>
      </c>
      <c r="D3462" s="94">
        <v>856.0</v>
      </c>
    </row>
    <row r="3463">
      <c r="A3463" s="40">
        <f t="array" ref="A3463">IFNA(index(PlayerValues!A:A,match(IFNA(vlookup(B3463,'Special Names'!A:B,2,FALSE),B3463),PlayerValues!E:E,0)),"N/A")</f>
        <v>14118</v>
      </c>
      <c r="B3463" s="4" t="s">
        <v>771</v>
      </c>
      <c r="C3463" s="4" t="s">
        <v>287</v>
      </c>
      <c r="D3463" s="94">
        <v>854.0</v>
      </c>
    </row>
    <row r="3464">
      <c r="A3464" s="40">
        <f t="array" ref="A3464">IFNA(index(PlayerValues!A:A,match(IFNA(vlookup(B3464,'Special Names'!A:B,2,FALSE),B3464),PlayerValues!E:E,0)),"N/A")</f>
        <v>16624</v>
      </c>
      <c r="B3464" s="4" t="s">
        <v>796</v>
      </c>
      <c r="C3464" s="4" t="s">
        <v>287</v>
      </c>
      <c r="D3464" s="94">
        <v>848.0</v>
      </c>
    </row>
    <row r="3465">
      <c r="A3465" s="40">
        <f t="array" ref="A3465">IFNA(index(PlayerValues!A:A,match(IFNA(vlookup(B3465,'Special Names'!A:B,2,FALSE),B3465),PlayerValues!E:E,0)),"N/A")</f>
        <v>17486</v>
      </c>
      <c r="B3465" s="4" t="s">
        <v>695</v>
      </c>
      <c r="C3465" s="4" t="s">
        <v>278</v>
      </c>
      <c r="D3465" s="94">
        <v>843.0</v>
      </c>
    </row>
    <row r="3466">
      <c r="A3466" s="40">
        <f t="array" ref="A3466">IFNA(index(PlayerValues!A:A,match(IFNA(vlookup(B3466,'Special Names'!A:B,2,FALSE),B3466),PlayerValues!E:E,0)),"N/A")</f>
        <v>17627</v>
      </c>
      <c r="B3466" s="4" t="s">
        <v>684</v>
      </c>
      <c r="C3466" s="4" t="s">
        <v>298</v>
      </c>
      <c r="D3466" s="94">
        <v>1206.0</v>
      </c>
    </row>
    <row r="3467">
      <c r="A3467" s="40">
        <f t="array" ref="A3467">IFNA(index(PlayerValues!A:A,match(IFNA(vlookup(B3467,'Special Names'!A:B,2,FALSE),B3467),PlayerValues!E:E,0)),"N/A")</f>
        <v>12785</v>
      </c>
      <c r="B3467" s="4" t="s">
        <v>772</v>
      </c>
      <c r="C3467" s="4" t="s">
        <v>287</v>
      </c>
      <c r="D3467" s="94">
        <v>816.0</v>
      </c>
    </row>
    <row r="3468">
      <c r="A3468" s="40">
        <f t="array" ref="A3468">IFNA(index(PlayerValues!A:A,match(IFNA(vlookup(B3468,'Special Names'!A:B,2,FALSE),B3468),PlayerValues!E:E,0)),"N/A")</f>
        <v>16773</v>
      </c>
      <c r="B3468" s="4" t="s">
        <v>783</v>
      </c>
      <c r="C3468" s="4" t="s">
        <v>278</v>
      </c>
      <c r="D3468" s="94">
        <v>813.0</v>
      </c>
    </row>
    <row r="3469">
      <c r="A3469" s="40">
        <f t="array" ref="A3469">IFNA(index(PlayerValues!A:A,match(IFNA(vlookup(B3469,'Special Names'!A:B,2,FALSE),B3469),PlayerValues!E:E,0)),"N/A")</f>
        <v>14223</v>
      </c>
      <c r="B3469" s="4" t="s">
        <v>785</v>
      </c>
      <c r="C3469" s="4" t="s">
        <v>278</v>
      </c>
      <c r="D3469" s="94">
        <v>806.0</v>
      </c>
    </row>
    <row r="3470">
      <c r="A3470" s="40">
        <f t="array" ref="A3470">IFNA(index(PlayerValues!A:A,match(IFNA(vlookup(B3470,'Special Names'!A:B,2,FALSE),B3470),PlayerValues!E:E,0)),"N/A")</f>
        <v>13133</v>
      </c>
      <c r="B3470" s="4" t="s">
        <v>764</v>
      </c>
      <c r="C3470" s="4" t="s">
        <v>278</v>
      </c>
      <c r="D3470" s="94">
        <v>783.0</v>
      </c>
    </row>
    <row r="3471">
      <c r="A3471" s="40">
        <f t="array" ref="A3471">IFNA(index(PlayerValues!A:A,match(IFNA(vlookup(B3471,'Special Names'!A:B,2,FALSE),B3471),PlayerValues!E:E,0)),"N/A")</f>
        <v>16751</v>
      </c>
      <c r="B3471" s="4" t="s">
        <v>762</v>
      </c>
      <c r="C3471" s="4" t="s">
        <v>287</v>
      </c>
      <c r="D3471" s="94">
        <v>732.0</v>
      </c>
    </row>
    <row r="3472">
      <c r="A3472" s="40">
        <f t="array" ref="A3472">IFNA(index(PlayerValues!A:A,match(IFNA(vlookup(B3472,'Special Names'!A:B,2,FALSE),B3472),PlayerValues!E:E,0)),"N/A")</f>
        <v>16625</v>
      </c>
      <c r="B3472" s="4" t="s">
        <v>778</v>
      </c>
      <c r="C3472" s="4" t="s">
        <v>287</v>
      </c>
      <c r="D3472" s="94">
        <v>729.0</v>
      </c>
    </row>
    <row r="3473">
      <c r="A3473" s="40">
        <f t="array" ref="A3473">IFNA(index(PlayerValues!A:A,match(IFNA(vlookup(B3473,'Special Names'!A:B,2,FALSE),B3473),PlayerValues!E:E,0)),"N/A")</f>
        <v>15263</v>
      </c>
      <c r="B3473" s="4" t="s">
        <v>804</v>
      </c>
      <c r="C3473" s="4" t="s">
        <v>278</v>
      </c>
      <c r="D3473" s="94">
        <v>712.0</v>
      </c>
    </row>
    <row r="3474">
      <c r="A3474" s="40">
        <f t="array" ref="A3474">IFNA(index(PlayerValues!A:A,match(IFNA(vlookup(B3474,'Special Names'!A:B,2,FALSE),B3474),PlayerValues!E:E,0)),"N/A")</f>
        <v>17337</v>
      </c>
      <c r="B3474" s="4" t="s">
        <v>793</v>
      </c>
      <c r="C3474" s="4" t="s">
        <v>278</v>
      </c>
      <c r="D3474" s="94">
        <v>703.0</v>
      </c>
    </row>
    <row r="3475">
      <c r="A3475" s="40">
        <f t="array" ref="A3475">IFNA(index(PlayerValues!A:A,match(IFNA(vlookup(B3475,'Special Names'!A:B,2,FALSE),B3475),PlayerValues!E:E,0)),"N/A")</f>
        <v>17545</v>
      </c>
      <c r="B3475" s="4" t="s">
        <v>719</v>
      </c>
      <c r="C3475" s="4" t="s">
        <v>298</v>
      </c>
      <c r="D3475" s="94">
        <v>1055.0</v>
      </c>
    </row>
    <row r="3476">
      <c r="A3476" s="40">
        <f t="array" ref="A3476">IFNA(index(PlayerValues!A:A,match(IFNA(vlookup(B3476,'Special Names'!A:B,2,FALSE),B3476),PlayerValues!E:E,0)),"N/A")</f>
        <v>15723</v>
      </c>
      <c r="B3476" s="4" t="s">
        <v>798</v>
      </c>
      <c r="C3476" s="4" t="s">
        <v>278</v>
      </c>
      <c r="D3476" s="94">
        <v>633.0</v>
      </c>
    </row>
    <row r="3477">
      <c r="A3477" s="40">
        <f t="array" ref="A3477">IFNA(index(PlayerValues!A:A,match(IFNA(vlookup(B3477,'Special Names'!A:B,2,FALSE),B3477),PlayerValues!E:E,0)),"N/A")</f>
        <v>16299</v>
      </c>
      <c r="B3477" s="4" t="s">
        <v>787</v>
      </c>
      <c r="C3477" s="4" t="s">
        <v>287</v>
      </c>
      <c r="D3477" s="94">
        <v>633.0</v>
      </c>
    </row>
    <row r="3478">
      <c r="A3478" s="40">
        <f t="array" ref="A3478">IFNA(index(PlayerValues!A:A,match(IFNA(vlookup(B3478,'Special Names'!A:B,2,FALSE),B3478),PlayerValues!E:E,0)),"N/A")</f>
        <v>16686</v>
      </c>
      <c r="B3478" s="4" t="s">
        <v>805</v>
      </c>
      <c r="C3478" s="4" t="s">
        <v>287</v>
      </c>
      <c r="D3478" s="94">
        <v>622.0</v>
      </c>
    </row>
    <row r="3479">
      <c r="A3479" s="40">
        <f t="array" ref="A3479">IFNA(index(PlayerValues!A:A,match(IFNA(vlookup(B3479,'Special Names'!A:B,2,FALSE),B3479),PlayerValues!E:E,0)),"N/A")</f>
        <v>13143</v>
      </c>
      <c r="B3479" s="4" t="s">
        <v>786</v>
      </c>
      <c r="C3479" s="4" t="s">
        <v>278</v>
      </c>
      <c r="D3479" s="94">
        <v>621.0</v>
      </c>
    </row>
    <row r="3480">
      <c r="A3480" s="40">
        <f t="array" ref="A3480">IFNA(index(PlayerValues!A:A,match(IFNA(vlookup(B3480,'Special Names'!A:B,2,FALSE),B3480),PlayerValues!E:E,0)),"N/A")</f>
        <v>16957</v>
      </c>
      <c r="B3480" s="4" t="s">
        <v>806</v>
      </c>
      <c r="C3480" s="4" t="s">
        <v>278</v>
      </c>
      <c r="D3480" s="94">
        <v>613.0</v>
      </c>
    </row>
    <row r="3481">
      <c r="A3481" s="40">
        <f t="array" ref="A3481">IFNA(index(PlayerValues!A:A,match(IFNA(vlookup(B3481,'Special Names'!A:B,2,FALSE),B3481),PlayerValues!E:E,0)),"N/A")</f>
        <v>16413</v>
      </c>
      <c r="B3481" s="4" t="s">
        <v>781</v>
      </c>
      <c r="C3481" s="4" t="s">
        <v>287</v>
      </c>
      <c r="D3481" s="94">
        <v>602.0</v>
      </c>
    </row>
    <row r="3482">
      <c r="A3482" s="40">
        <f t="array" ref="A3482">IFNA(index(PlayerValues!A:A,match(IFNA(vlookup(B3482,'Special Names'!A:B,2,FALSE),B3482),PlayerValues!E:E,0)),"N/A")</f>
        <v>14864</v>
      </c>
      <c r="B3482" s="4" t="s">
        <v>789</v>
      </c>
      <c r="C3482" s="4" t="s">
        <v>287</v>
      </c>
      <c r="D3482" s="94">
        <v>593.0</v>
      </c>
    </row>
    <row r="3483">
      <c r="A3483" s="40">
        <f t="array" ref="A3483">IFNA(index(PlayerValues!A:A,match(IFNA(vlookup(B3483,'Special Names'!A:B,2,FALSE),B3483),PlayerValues!E:E,0)),"N/A")</f>
        <v>17038</v>
      </c>
      <c r="B3483" s="4" t="s">
        <v>774</v>
      </c>
      <c r="C3483" s="4" t="s">
        <v>283</v>
      </c>
      <c r="D3483" s="94">
        <v>576.0</v>
      </c>
    </row>
    <row r="3484">
      <c r="A3484" s="40">
        <f t="array" ref="A3484">IFNA(index(PlayerValues!A:A,match(IFNA(vlookup(B3484,'Special Names'!A:B,2,FALSE),B3484),PlayerValues!E:E,0)),"N/A")</f>
        <v>17232</v>
      </c>
      <c r="B3484" s="4" t="s">
        <v>784</v>
      </c>
      <c r="C3484" s="4" t="s">
        <v>287</v>
      </c>
      <c r="D3484" s="94">
        <v>574.0</v>
      </c>
    </row>
    <row r="3485">
      <c r="A3485" s="40">
        <f t="array" ref="A3485">IFNA(index(PlayerValues!A:A,match(IFNA(vlookup(B3485,'Special Names'!A:B,2,FALSE),B3485),PlayerValues!E:E,0)),"N/A")</f>
        <v>17542</v>
      </c>
      <c r="B3485" s="4" t="s">
        <v>685</v>
      </c>
      <c r="C3485" s="4" t="s">
        <v>287</v>
      </c>
      <c r="D3485" s="94">
        <v>559.0</v>
      </c>
    </row>
    <row r="3486">
      <c r="A3486" s="40">
        <f t="array" ref="A3486">IFNA(index(PlayerValues!A:A,match(IFNA(vlookup(B3486,'Special Names'!A:B,2,FALSE),B3486),PlayerValues!E:E,0)),"N/A")</f>
        <v>14805</v>
      </c>
      <c r="B3486" s="4" t="s">
        <v>770</v>
      </c>
      <c r="C3486" s="4" t="s">
        <v>278</v>
      </c>
      <c r="D3486" s="94">
        <v>552.0</v>
      </c>
    </row>
    <row r="3487">
      <c r="A3487" s="40">
        <f t="array" ref="A3487">IFNA(index(PlayerValues!A:A,match(IFNA(vlookup(B3487,'Special Names'!A:B,2,FALSE),B3487),PlayerValues!E:E,0)),"N/A")</f>
        <v>16613</v>
      </c>
      <c r="B3487" s="4" t="s">
        <v>782</v>
      </c>
      <c r="C3487" s="4" t="s">
        <v>278</v>
      </c>
      <c r="D3487" s="94">
        <v>536.0</v>
      </c>
    </row>
    <row r="3488">
      <c r="A3488" s="40">
        <f t="array" ref="A3488">IFNA(index(PlayerValues!A:A,match(IFNA(vlookup(B3488,'Special Names'!A:B,2,FALSE),B3488),PlayerValues!E:E,0)),"N/A")</f>
        <v>15796</v>
      </c>
      <c r="B3488" s="4" t="s">
        <v>794</v>
      </c>
      <c r="C3488" s="4" t="s">
        <v>298</v>
      </c>
      <c r="D3488" s="94">
        <v>877.0</v>
      </c>
    </row>
    <row r="3489">
      <c r="A3489" s="40">
        <f t="array" ref="A3489">IFNA(index(PlayerValues!A:A,match(IFNA(vlookup(B3489,'Special Names'!A:B,2,FALSE),B3489),PlayerValues!E:E,0)),"N/A")</f>
        <v>13176</v>
      </c>
      <c r="B3489" s="4" t="s">
        <v>807</v>
      </c>
      <c r="C3489" s="4" t="s">
        <v>287</v>
      </c>
      <c r="D3489" s="94">
        <v>506.0</v>
      </c>
    </row>
    <row r="3490">
      <c r="A3490" s="40">
        <f t="array" ref="A3490">IFNA(index(PlayerValues!A:A,match(IFNA(vlookup(B3490,'Special Names'!A:B,2,FALSE),B3490),PlayerValues!E:E,0)),"N/A")</f>
        <v>17348</v>
      </c>
      <c r="B3490" s="4" t="s">
        <v>797</v>
      </c>
      <c r="C3490" s="4" t="s">
        <v>278</v>
      </c>
      <c r="D3490" s="94">
        <v>504.0</v>
      </c>
    </row>
    <row r="3491">
      <c r="A3491" s="40">
        <f t="array" ref="A3491">IFNA(index(PlayerValues!A:A,match(IFNA(vlookup(B3491,'Special Names'!A:B,2,FALSE),B3491),PlayerValues!E:E,0)),"N/A")</f>
        <v>15271</v>
      </c>
      <c r="B3491" s="4" t="s">
        <v>741</v>
      </c>
      <c r="C3491" s="4" t="s">
        <v>278</v>
      </c>
      <c r="D3491" s="94">
        <v>501.0</v>
      </c>
    </row>
    <row r="3492">
      <c r="A3492" s="40">
        <f t="array" ref="A3492">IFNA(index(PlayerValues!A:A,match(IFNA(vlookup(B3492,'Special Names'!A:B,2,FALSE),B3492),PlayerValues!E:E,0)),"N/A")</f>
        <v>14858</v>
      </c>
      <c r="B3492" s="4" t="s">
        <v>799</v>
      </c>
      <c r="C3492" s="4" t="s">
        <v>287</v>
      </c>
      <c r="D3492" s="94">
        <v>497.0</v>
      </c>
    </row>
    <row r="3493">
      <c r="A3493" s="40">
        <f t="array" ref="A3493">IFNA(index(PlayerValues!A:A,match(IFNA(vlookup(B3493,'Special Names'!A:B,2,FALSE),B3493),PlayerValues!E:E,0)),"N/A")</f>
        <v>13641</v>
      </c>
      <c r="B3493" s="4" t="s">
        <v>808</v>
      </c>
      <c r="C3493" s="4" t="s">
        <v>287</v>
      </c>
      <c r="D3493" s="94">
        <v>496.0</v>
      </c>
    </row>
    <row r="3494">
      <c r="A3494" s="40">
        <f t="array" ref="A3494">IFNA(index(PlayerValues!A:A,match(IFNA(vlookup(B3494,'Special Names'!A:B,2,FALSE),B3494),PlayerValues!E:E,0)),"N/A")</f>
        <v>14209</v>
      </c>
      <c r="B3494" s="4" t="s">
        <v>809</v>
      </c>
      <c r="C3494" s="4" t="s">
        <v>298</v>
      </c>
      <c r="D3494" s="94">
        <v>836.0</v>
      </c>
    </row>
    <row r="3495">
      <c r="A3495" s="40">
        <f t="array" ref="A3495">IFNA(index(PlayerValues!A:A,match(IFNA(vlookup(B3495,'Special Names'!A:B,2,FALSE),B3495),PlayerValues!E:E,0)),"N/A")</f>
        <v>17243</v>
      </c>
      <c r="B3495" s="4" t="s">
        <v>810</v>
      </c>
      <c r="C3495" s="4" t="s">
        <v>298</v>
      </c>
      <c r="D3495" s="94">
        <v>832.0</v>
      </c>
    </row>
    <row r="3496">
      <c r="A3496" s="40">
        <f t="array" ref="A3496">IFNA(index(PlayerValues!A:A,match(IFNA(vlookup(B3496,'Special Names'!A:B,2,FALSE),B3496),PlayerValues!E:E,0)),"N/A")</f>
        <v>14113</v>
      </c>
      <c r="B3496" s="4" t="s">
        <v>788</v>
      </c>
      <c r="C3496" s="4" t="s">
        <v>287</v>
      </c>
      <c r="D3496" s="94">
        <v>484.0</v>
      </c>
    </row>
    <row r="3497">
      <c r="A3497" s="40">
        <f t="array" ref="A3497">IFNA(index(PlayerValues!A:A,match(IFNA(vlookup(B3497,'Special Names'!A:B,2,FALSE),B3497),PlayerValues!E:E,0)),"N/A")</f>
        <v>10413</v>
      </c>
      <c r="B3497" s="4" t="s">
        <v>811</v>
      </c>
      <c r="C3497" s="4" t="s">
        <v>283</v>
      </c>
      <c r="D3497" s="94">
        <v>482.0</v>
      </c>
    </row>
    <row r="3498">
      <c r="A3498" s="40">
        <f t="array" ref="A3498">IFNA(index(PlayerValues!A:A,match(IFNA(vlookup(B3498,'Special Names'!A:B,2,FALSE),B3498),PlayerValues!E:E,0)),"N/A")</f>
        <v>16176</v>
      </c>
      <c r="B3498" s="4" t="s">
        <v>812</v>
      </c>
      <c r="C3498" s="4" t="s">
        <v>278</v>
      </c>
      <c r="D3498" s="94">
        <v>482.0</v>
      </c>
    </row>
    <row r="3499">
      <c r="A3499" s="40">
        <f t="array" ref="A3499">IFNA(index(PlayerValues!A:A,match(IFNA(vlookup(B3499,'Special Names'!A:B,2,FALSE),B3499),PlayerValues!E:E,0)),"N/A")</f>
        <v>16159</v>
      </c>
      <c r="B3499" s="4" t="s">
        <v>819</v>
      </c>
      <c r="C3499" s="4" t="s">
        <v>283</v>
      </c>
      <c r="D3499" s="94">
        <v>479.0</v>
      </c>
    </row>
    <row r="3500">
      <c r="A3500" s="40">
        <f t="array" ref="A3500">IFNA(index(PlayerValues!A:A,match(IFNA(vlookup(B3500,'Special Names'!A:B,2,FALSE),B3500),PlayerValues!E:E,0)),"N/A")</f>
        <v>17709</v>
      </c>
      <c r="B3500" s="4" t="s">
        <v>814</v>
      </c>
      <c r="C3500" s="4" t="s">
        <v>278</v>
      </c>
      <c r="D3500" s="94">
        <v>12.0</v>
      </c>
    </row>
    <row r="3501">
      <c r="A3501" s="40">
        <f t="array" ref="A3501">IFNA(index(PlayerValues!A:A,match(IFNA(vlookup(B3501,'Special Names'!A:B,2,FALSE),B3501),PlayerValues!E:E,0)),"N/A")</f>
        <v>16162</v>
      </c>
      <c r="B3501" s="4" t="s">
        <v>281</v>
      </c>
      <c r="C3501" s="4" t="s">
        <v>278</v>
      </c>
      <c r="D3501" s="94">
        <v>9999.0</v>
      </c>
    </row>
    <row r="3502">
      <c r="A3502" s="40">
        <f t="array" ref="A3502">IFNA(index(PlayerValues!A:A,match(IFNA(vlookup(B3502,'Special Names'!A:B,2,FALSE),B3502),PlayerValues!E:E,0)),"N/A")</f>
        <v>13589</v>
      </c>
      <c r="B3502" s="4" t="s">
        <v>282</v>
      </c>
      <c r="C3502" s="4" t="s">
        <v>283</v>
      </c>
      <c r="D3502" s="94">
        <v>9995.0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9992.0</v>
      </c>
    </row>
    <row r="3504">
      <c r="A3504" s="40">
        <f t="array" ref="A3504">IFNA(index(PlayerValues!A:A,match(IFNA(vlookup(B3504,'Special Names'!A:B,2,FALSE),B3504),PlayerValues!E:E,0)),"N/A")</f>
        <v>16161</v>
      </c>
      <c r="B3504" s="4" t="s">
        <v>277</v>
      </c>
      <c r="C3504" s="4" t="s">
        <v>278</v>
      </c>
      <c r="D3504" s="94">
        <v>9990.0</v>
      </c>
    </row>
    <row r="3505">
      <c r="A3505" s="40">
        <f t="array" ref="A3505">IFNA(index(PlayerValues!A:A,match(IFNA(vlookup(B3505,'Special Names'!A:B,2,FALSE),B3505),PlayerValues!E:E,0)),"N/A")</f>
        <v>16185</v>
      </c>
      <c r="B3505" s="4" t="s">
        <v>290</v>
      </c>
      <c r="C3505" s="4" t="s">
        <v>287</v>
      </c>
      <c r="D3505" s="94">
        <v>9313.0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9252.0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8785.0</v>
      </c>
    </row>
    <row r="3508">
      <c r="A3508" s="40">
        <f t="array" ref="A3508">IFNA(index(PlayerValues!A:A,match(IFNA(vlookup(B3508,'Special Names'!A:B,2,FALSE),B3508),PlayerValues!E:E,0)),"N/A")</f>
        <v>16641</v>
      </c>
      <c r="B3508" s="4" t="s">
        <v>297</v>
      </c>
      <c r="C3508" s="4" t="s">
        <v>298</v>
      </c>
      <c r="D3508" s="94">
        <v>8999.0</v>
      </c>
    </row>
    <row r="3509">
      <c r="A3509" s="40">
        <f t="array" ref="A3509">IFNA(index(PlayerValues!A:A,match(IFNA(vlookup(B3509,'Special Names'!A:B,2,FALSE),B3509),PlayerValues!E:E,0)),"N/A")</f>
        <v>15287</v>
      </c>
      <c r="B3509" s="4" t="s">
        <v>299</v>
      </c>
      <c r="C3509" s="4" t="s">
        <v>287</v>
      </c>
      <c r="D3509" s="94">
        <v>7867.0</v>
      </c>
    </row>
    <row r="3510">
      <c r="A3510" s="40">
        <f t="array" ref="A3510">IFNA(index(PlayerValues!A:A,match(IFNA(vlookup(B3510,'Special Names'!A:B,2,FALSE),B3510),PlayerValues!E:E,0)),"N/A")</f>
        <v>16579</v>
      </c>
      <c r="B3510" s="4" t="s">
        <v>302</v>
      </c>
      <c r="C3510" s="4" t="s">
        <v>283</v>
      </c>
      <c r="D3510" s="94">
        <v>7834.0</v>
      </c>
    </row>
    <row r="3511">
      <c r="A3511" s="40">
        <f t="array" ref="A3511">IFNA(index(PlayerValues!A:A,match(IFNA(vlookup(B3511,'Special Names'!A:B,2,FALSE),B3511),PlayerValues!E:E,0)),"N/A")</f>
        <v>17042</v>
      </c>
      <c r="B3511" s="4" t="s">
        <v>314</v>
      </c>
      <c r="C3511" s="4" t="s">
        <v>278</v>
      </c>
      <c r="D3511" s="94">
        <v>7647.0</v>
      </c>
    </row>
    <row r="3512">
      <c r="A3512" s="40">
        <f t="array" ref="A3512">IFNA(index(PlayerValues!A:A,match(IFNA(vlookup(B3512,'Special Names'!A:B,2,FALSE),B3512),PlayerValues!E:E,0)),"N/A")</f>
        <v>13593</v>
      </c>
      <c r="B3512" s="4" t="s">
        <v>305</v>
      </c>
      <c r="C3512" s="4" t="s">
        <v>283</v>
      </c>
      <c r="D3512" s="94">
        <v>7630.0</v>
      </c>
    </row>
    <row r="3513">
      <c r="A3513" s="40">
        <f t="array" ref="A3513">IFNA(index(PlayerValues!A:A,match(IFNA(vlookup(B3513,'Special Names'!A:B,2,FALSE),B3513),PlayerValues!E:E,0)),"N/A")</f>
        <v>16581</v>
      </c>
      <c r="B3513" s="4" t="s">
        <v>315</v>
      </c>
      <c r="C3513" s="4" t="s">
        <v>283</v>
      </c>
      <c r="D3513" s="94">
        <v>7629.0</v>
      </c>
    </row>
    <row r="3514">
      <c r="A3514" s="40">
        <f t="array" ref="A3514">IFNA(index(PlayerValues!A:A,match(IFNA(vlookup(B3514,'Special Names'!A:B,2,FALSE),B3514),PlayerValues!E:E,0)),"N/A")</f>
        <v>14836</v>
      </c>
      <c r="B3514" s="4" t="s">
        <v>306</v>
      </c>
      <c r="C3514" s="4" t="s">
        <v>287</v>
      </c>
      <c r="D3514" s="94">
        <v>7614.0</v>
      </c>
    </row>
    <row r="3515">
      <c r="A3515" s="40">
        <f t="array" ref="A3515">IFNA(index(PlayerValues!A:A,match(IFNA(vlookup(B3515,'Special Names'!A:B,2,FALSE),B3515),PlayerValues!E:E,0)),"N/A")</f>
        <v>17472</v>
      </c>
      <c r="B3515" s="4" t="s">
        <v>310</v>
      </c>
      <c r="C3515" s="4" t="s">
        <v>278</v>
      </c>
      <c r="D3515" s="94">
        <v>7468.0</v>
      </c>
    </row>
    <row r="3516">
      <c r="A3516" s="40">
        <f t="array" ref="A3516">IFNA(index(PlayerValues!A:A,match(IFNA(vlookup(B3516,'Special Names'!A:B,2,FALSE),B3516),PlayerValues!E:E,0)),"N/A")</f>
        <v>14777</v>
      </c>
      <c r="B3516" s="4" t="s">
        <v>318</v>
      </c>
      <c r="C3516" s="4" t="s">
        <v>283</v>
      </c>
      <c r="D3516" s="94">
        <v>7426.0</v>
      </c>
    </row>
    <row r="3517">
      <c r="A3517" s="40">
        <f t="array" ref="A3517">IFNA(index(PlayerValues!A:A,match(IFNA(vlookup(B3517,'Special Names'!A:B,2,FALSE),B3517),PlayerValues!E:E,0)),"N/A")</f>
        <v>15794</v>
      </c>
      <c r="B3517" s="4" t="s">
        <v>313</v>
      </c>
      <c r="C3517" s="4" t="s">
        <v>298</v>
      </c>
      <c r="D3517" s="94">
        <v>8169.0</v>
      </c>
    </row>
    <row r="3518">
      <c r="A3518" s="40">
        <f t="array" ref="A3518">IFNA(index(PlayerValues!A:A,match(IFNA(vlookup(B3518,'Special Names'!A:B,2,FALSE),B3518),PlayerValues!E:E,0)),"N/A")</f>
        <v>16615</v>
      </c>
      <c r="B3518" s="4" t="s">
        <v>309</v>
      </c>
      <c r="C3518" s="4" t="s">
        <v>287</v>
      </c>
      <c r="D3518" s="94">
        <v>7230.0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7133.0</v>
      </c>
    </row>
    <row r="3520">
      <c r="A3520" s="40" t="str">
        <f t="array" ref="A3520">IFNA(index(PlayerValues!A:A,match(IFNA(vlookup(B3520,'Special Names'!A:B,2,FALSE),B3520),PlayerValues!E:E,0)),"N/A")</f>
        <v>N/A</v>
      </c>
      <c r="B3520" s="4" t="s">
        <v>92</v>
      </c>
      <c r="C3520" s="4" t="s">
        <v>325</v>
      </c>
      <c r="D3520" s="94">
        <v>7108.0</v>
      </c>
    </row>
    <row r="3521">
      <c r="A3521" s="40">
        <f t="array" ref="A3521">IFNA(index(PlayerValues!A:A,match(IFNA(vlookup(B3521,'Special Names'!A:B,2,FALSE),B3521),PlayerValues!E:E,0)),"N/A")</f>
        <v>14779</v>
      </c>
      <c r="B3521" s="4" t="s">
        <v>327</v>
      </c>
      <c r="C3521" s="4" t="s">
        <v>283</v>
      </c>
      <c r="D3521" s="94">
        <v>7041.0</v>
      </c>
    </row>
    <row r="3522">
      <c r="A3522" s="40">
        <f t="array" ref="A3522">IFNA(index(PlayerValues!A:A,match(IFNA(vlookup(B3522,'Special Names'!A:B,2,FALSE),B3522),PlayerValues!E:E,0)),"N/A")</f>
        <v>15751</v>
      </c>
      <c r="B3522" s="4" t="s">
        <v>328</v>
      </c>
      <c r="C3522" s="4" t="s">
        <v>287</v>
      </c>
      <c r="D3522" s="94">
        <v>7005.0</v>
      </c>
    </row>
    <row r="3523">
      <c r="A3523" s="40">
        <f t="array" ref="A3523">IFNA(index(PlayerValues!A:A,match(IFNA(vlookup(B3523,'Special Names'!A:B,2,FALSE),B3523),PlayerValues!E:E,0)),"N/A")</f>
        <v>17044</v>
      </c>
      <c r="B3523" s="4" t="s">
        <v>322</v>
      </c>
      <c r="C3523" s="4" t="s">
        <v>278</v>
      </c>
      <c r="D3523" s="94">
        <v>6992.0</v>
      </c>
    </row>
    <row r="3524">
      <c r="A3524" s="40">
        <f t="array" ref="A3524">IFNA(index(PlayerValues!A:A,match(IFNA(vlookup(B3524,'Special Names'!A:B,2,FALSE),B3524),PlayerValues!E:E,0)),"N/A")</f>
        <v>16167</v>
      </c>
      <c r="B3524" s="4" t="s">
        <v>323</v>
      </c>
      <c r="C3524" s="4" t="s">
        <v>278</v>
      </c>
      <c r="D3524" s="94">
        <v>6823.0</v>
      </c>
    </row>
    <row r="3525">
      <c r="A3525" s="40">
        <f t="array" ref="A3525">IFNA(index(PlayerValues!A:A,match(IFNA(vlookup(B3525,'Special Names'!A:B,2,FALSE),B3525),PlayerValues!E:E,0)),"N/A")</f>
        <v>17071</v>
      </c>
      <c r="B3525" s="4" t="s">
        <v>341</v>
      </c>
      <c r="C3525" s="4" t="s">
        <v>287</v>
      </c>
      <c r="D3525" s="94">
        <v>6391.0</v>
      </c>
    </row>
    <row r="3526">
      <c r="A3526" s="40">
        <f t="array" ref="A3526">IFNA(index(PlayerValues!A:A,match(IFNA(vlookup(B3526,'Special Names'!A:B,2,FALSE),B3526),PlayerValues!E:E,0)),"N/A")</f>
        <v>17104</v>
      </c>
      <c r="B3526" s="4" t="s">
        <v>333</v>
      </c>
      <c r="C3526" s="4" t="s">
        <v>298</v>
      </c>
      <c r="D3526" s="94">
        <v>7062.0</v>
      </c>
    </row>
    <row r="3527">
      <c r="A3527" s="40">
        <f t="array" ref="A3527">IFNA(index(PlayerValues!A:A,match(IFNA(vlookup(B3527,'Special Names'!A:B,2,FALSE),B3527),PlayerValues!E:E,0)),"N/A")</f>
        <v>13116</v>
      </c>
      <c r="B3527" s="4" t="s">
        <v>345</v>
      </c>
      <c r="C3527" s="4" t="s">
        <v>283</v>
      </c>
      <c r="D3527" s="94">
        <v>6349.0</v>
      </c>
    </row>
    <row r="3528">
      <c r="A3528" s="40">
        <f t="array" ref="A3528">IFNA(index(PlayerValues!A:A,match(IFNA(vlookup(B3528,'Special Names'!A:B,2,FALSE),B3528),PlayerValues!E:E,0)),"N/A")</f>
        <v>17081</v>
      </c>
      <c r="B3528" s="4" t="s">
        <v>340</v>
      </c>
      <c r="C3528" s="4" t="s">
        <v>287</v>
      </c>
      <c r="D3528" s="94">
        <v>6345.0</v>
      </c>
    </row>
    <row r="3529">
      <c r="A3529" s="40">
        <f t="array" ref="A3529">IFNA(index(PlayerValues!A:A,match(IFNA(vlookup(B3529,'Special Names'!A:B,2,FALSE),B3529),PlayerValues!E:E,0)),"N/A")</f>
        <v>15237</v>
      </c>
      <c r="B3529" s="4" t="s">
        <v>336</v>
      </c>
      <c r="C3529" s="4" t="s">
        <v>283</v>
      </c>
      <c r="D3529" s="94">
        <v>6305.0</v>
      </c>
    </row>
    <row r="3530">
      <c r="A3530" s="40">
        <f t="array" ref="A3530">IFNA(index(PlayerValues!A:A,match(IFNA(vlookup(B3530,'Special Names'!A:B,2,FALSE),B3530),PlayerValues!E:E,0)),"N/A")</f>
        <v>17032</v>
      </c>
      <c r="B3530" s="4" t="s">
        <v>348</v>
      </c>
      <c r="C3530" s="4" t="s">
        <v>283</v>
      </c>
      <c r="D3530" s="94">
        <v>6293.0</v>
      </c>
    </row>
    <row r="3531">
      <c r="A3531" s="40">
        <f t="array" ref="A3531">IFNA(index(PlayerValues!A:A,match(IFNA(vlookup(B3531,'Special Names'!A:B,2,FALSE),B3531),PlayerValues!E:E,0)),"N/A")</f>
        <v>14802</v>
      </c>
      <c r="B3531" s="4" t="s">
        <v>332</v>
      </c>
      <c r="C3531" s="4" t="s">
        <v>278</v>
      </c>
      <c r="D3531" s="94">
        <v>6153.0</v>
      </c>
    </row>
    <row r="3532">
      <c r="A3532" s="40">
        <f t="array" ref="A3532">IFNA(index(PlayerValues!A:A,match(IFNA(vlookup(B3532,'Special Names'!A:B,2,FALSE),B3532),PlayerValues!E:E,0)),"N/A")</f>
        <v>14783</v>
      </c>
      <c r="B3532" s="4" t="s">
        <v>342</v>
      </c>
      <c r="C3532" s="4" t="s">
        <v>283</v>
      </c>
      <c r="D3532" s="94">
        <v>6148.0</v>
      </c>
    </row>
    <row r="3533">
      <c r="A3533" s="40">
        <f t="array" ref="A3533">IFNA(index(PlayerValues!A:A,match(IFNA(vlookup(B3533,'Special Names'!A:B,2,FALSE),B3533),PlayerValues!E:E,0)),"N/A")</f>
        <v>15762</v>
      </c>
      <c r="B3533" s="4" t="s">
        <v>337</v>
      </c>
      <c r="C3533" s="4" t="s">
        <v>287</v>
      </c>
      <c r="D3533" s="94">
        <v>6122.0</v>
      </c>
    </row>
    <row r="3534">
      <c r="A3534" s="40">
        <f t="array" ref="A3534">IFNA(index(PlayerValues!A:A,match(IFNA(vlookup(B3534,'Special Names'!A:B,2,FALSE),B3534),PlayerValues!E:E,0)),"N/A")</f>
        <v>15715</v>
      </c>
      <c r="B3534" s="4" t="s">
        <v>331</v>
      </c>
      <c r="C3534" s="4" t="s">
        <v>278</v>
      </c>
      <c r="D3534" s="94">
        <v>6101.0</v>
      </c>
    </row>
    <row r="3535">
      <c r="A3535" s="40">
        <f t="array" ref="A3535">IFNA(index(PlayerValues!A:A,match(IFNA(vlookup(B3535,'Special Names'!A:B,2,FALSE),B3535),PlayerValues!E:E,0)),"N/A")</f>
        <v>16582</v>
      </c>
      <c r="B3535" s="4" t="s">
        <v>343</v>
      </c>
      <c r="C3535" s="4" t="s">
        <v>283</v>
      </c>
      <c r="D3535" s="94">
        <v>5982.0</v>
      </c>
    </row>
    <row r="3536">
      <c r="A3536" s="40">
        <f t="array" ref="A3536">IFNA(index(PlayerValues!A:A,match(IFNA(vlookup(B3536,'Special Names'!A:B,2,FALSE),B3536),PlayerValues!E:E,0)),"N/A")</f>
        <v>17497</v>
      </c>
      <c r="B3536" s="4" t="s">
        <v>365</v>
      </c>
      <c r="C3536" s="4" t="s">
        <v>287</v>
      </c>
      <c r="D3536" s="94">
        <v>5908.0</v>
      </c>
    </row>
    <row r="3537">
      <c r="A3537" s="40">
        <f t="array" ref="A3537">IFNA(index(PlayerValues!A:A,match(IFNA(vlookup(B3537,'Special Names'!A:B,2,FALSE),B3537),PlayerValues!E:E,0)),"N/A")</f>
        <v>17102</v>
      </c>
      <c r="B3537" s="4" t="s">
        <v>344</v>
      </c>
      <c r="C3537" s="4" t="s">
        <v>298</v>
      </c>
      <c r="D3537" s="94">
        <v>6534.0</v>
      </c>
    </row>
    <row r="3538">
      <c r="A3538" s="40">
        <f t="array" ref="A3538">IFNA(index(PlayerValues!A:A,match(IFNA(vlookup(B3538,'Special Names'!A:B,2,FALSE),B3538),PlayerValues!E:E,0)),"N/A")</f>
        <v>15698</v>
      </c>
      <c r="B3538" s="4" t="s">
        <v>358</v>
      </c>
      <c r="C3538" s="4" t="s">
        <v>283</v>
      </c>
      <c r="D3538" s="94">
        <v>5818.0</v>
      </c>
    </row>
    <row r="3539">
      <c r="A3539" s="40" t="str">
        <f t="array" ref="A3539">IFNA(index(PlayerValues!A:A,match(IFNA(vlookup(B3539,'Special Names'!A:B,2,FALSE),B3539),PlayerValues!E:E,0)),"N/A")</f>
        <v>N/A</v>
      </c>
      <c r="B3539" s="4" t="s">
        <v>93</v>
      </c>
      <c r="C3539" s="4" t="s">
        <v>325</v>
      </c>
      <c r="D3539" s="94">
        <v>5655.0</v>
      </c>
    </row>
    <row r="3540">
      <c r="A3540" s="40">
        <f t="array" ref="A3540">IFNA(index(PlayerValues!A:A,match(IFNA(vlookup(B3540,'Special Names'!A:B,2,FALSE),B3540),PlayerValues!E:E,0)),"N/A")</f>
        <v>15711</v>
      </c>
      <c r="B3540" s="4" t="s">
        <v>349</v>
      </c>
      <c r="C3540" s="4" t="s">
        <v>278</v>
      </c>
      <c r="D3540" s="94">
        <v>5601.0</v>
      </c>
    </row>
    <row r="3541">
      <c r="A3541" s="40" t="str">
        <f t="array" ref="A3541">IFNA(index(PlayerValues!A:A,match(IFNA(vlookup(B3541,'Special Names'!A:B,2,FALSE),B3541),PlayerValues!E:E,0)),"N/A")</f>
        <v>N/A</v>
      </c>
      <c r="B3541" s="4" t="s">
        <v>79</v>
      </c>
      <c r="C3541" s="4" t="s">
        <v>325</v>
      </c>
      <c r="D3541" s="94">
        <v>5595.0</v>
      </c>
    </row>
    <row r="3542">
      <c r="A3542" s="40">
        <f t="array" ref="A3542">IFNA(index(PlayerValues!A:A,match(IFNA(vlookup(B3542,'Special Names'!A:B,2,FALSE),B3542),PlayerValues!E:E,0)),"N/A")</f>
        <v>16627</v>
      </c>
      <c r="B3542" s="4" t="s">
        <v>351</v>
      </c>
      <c r="C3542" s="4" t="s">
        <v>287</v>
      </c>
      <c r="D3542" s="94">
        <v>5586.0</v>
      </c>
    </row>
    <row r="3543">
      <c r="A3543" s="40">
        <f t="array" ref="A3543">IFNA(index(PlayerValues!A:A,match(IFNA(vlookup(B3543,'Special Names'!A:B,2,FALSE),B3543),PlayerValues!E:E,0)),"N/A")</f>
        <v>15290</v>
      </c>
      <c r="B3543" s="4" t="s">
        <v>355</v>
      </c>
      <c r="C3543" s="4" t="s">
        <v>287</v>
      </c>
      <c r="D3543" s="94">
        <v>5576.0</v>
      </c>
    </row>
    <row r="3544">
      <c r="A3544" s="40">
        <f t="array" ref="A3544">IFNA(index(PlayerValues!A:A,match(IFNA(vlookup(B3544,'Special Names'!A:B,2,FALSE),B3544),PlayerValues!E:E,0)),"N/A")</f>
        <v>15753</v>
      </c>
      <c r="B3544" s="4" t="s">
        <v>359</v>
      </c>
      <c r="C3544" s="4" t="s">
        <v>287</v>
      </c>
      <c r="D3544" s="94">
        <v>5560.0</v>
      </c>
    </row>
    <row r="3545">
      <c r="A3545" s="40">
        <f t="array" ref="A3545">IFNA(index(PlayerValues!A:A,match(IFNA(vlookup(B3545,'Special Names'!A:B,2,FALSE),B3545),PlayerValues!E:E,0)),"N/A")</f>
        <v>17051</v>
      </c>
      <c r="B3545" s="4" t="s">
        <v>386</v>
      </c>
      <c r="C3545" s="4" t="s">
        <v>278</v>
      </c>
      <c r="D3545" s="94">
        <v>5538.0</v>
      </c>
    </row>
    <row r="3546">
      <c r="A3546" s="40">
        <f t="array" ref="A3546">IFNA(index(PlayerValues!A:A,match(IFNA(vlookup(B3546,'Special Names'!A:B,2,FALSE),B3546),PlayerValues!E:E,0)),"N/A")</f>
        <v>17070</v>
      </c>
      <c r="B3546" s="4" t="s">
        <v>370</v>
      </c>
      <c r="C3546" s="4" t="s">
        <v>287</v>
      </c>
      <c r="D3546" s="94">
        <v>5525.0</v>
      </c>
    </row>
    <row r="3547">
      <c r="A3547" s="40">
        <f t="array" ref="A3547">IFNA(index(PlayerValues!A:A,match(IFNA(vlookup(B3547,'Special Names'!A:B,2,FALSE),B3547),PlayerValues!E:E,0)),"N/A")</f>
        <v>15754</v>
      </c>
      <c r="B3547" s="4" t="s">
        <v>354</v>
      </c>
      <c r="C3547" s="4" t="s">
        <v>287</v>
      </c>
      <c r="D3547" s="94">
        <v>5471.0</v>
      </c>
    </row>
    <row r="3548">
      <c r="A3548" s="40">
        <f t="array" ref="A3548">IFNA(index(PlayerValues!A:A,match(IFNA(vlookup(B3548,'Special Names'!A:B,2,FALSE),B3548),PlayerValues!E:E,0)),"N/A")</f>
        <v>14782</v>
      </c>
      <c r="B3548" s="4" t="s">
        <v>385</v>
      </c>
      <c r="C3548" s="4" t="s">
        <v>283</v>
      </c>
      <c r="D3548" s="94">
        <v>5452.0</v>
      </c>
    </row>
    <row r="3549">
      <c r="A3549" s="40">
        <f t="array" ref="A3549">IFNA(index(PlayerValues!A:A,match(IFNA(vlookup(B3549,'Special Names'!A:B,2,FALSE),B3549),PlayerValues!E:E,0)),"N/A")</f>
        <v>15282</v>
      </c>
      <c r="B3549" s="4" t="s">
        <v>364</v>
      </c>
      <c r="C3549" s="4" t="s">
        <v>287</v>
      </c>
      <c r="D3549" s="94">
        <v>5442.0</v>
      </c>
    </row>
    <row r="3550">
      <c r="A3550" s="40">
        <f t="array" ref="A3550">IFNA(index(PlayerValues!A:A,match(IFNA(vlookup(B3550,'Special Names'!A:B,2,FALSE),B3550),PlayerValues!E:E,0)),"N/A")</f>
        <v>17462</v>
      </c>
      <c r="B3550" s="4" t="s">
        <v>375</v>
      </c>
      <c r="C3550" s="4" t="s">
        <v>283</v>
      </c>
      <c r="D3550" s="94">
        <v>5430.0</v>
      </c>
    </row>
    <row r="3551">
      <c r="A3551" s="40">
        <f t="array" ref="A3551">IFNA(index(PlayerValues!A:A,match(IFNA(vlookup(B3551,'Special Names'!A:B,2,FALSE),B3551),PlayerValues!E:E,0)),"N/A")</f>
        <v>17498</v>
      </c>
      <c r="B3551" s="4" t="s">
        <v>396</v>
      </c>
      <c r="C3551" s="4" t="s">
        <v>287</v>
      </c>
      <c r="D3551" s="94">
        <v>5365.0</v>
      </c>
    </row>
    <row r="3552">
      <c r="A3552" s="40">
        <f t="array" ref="A3552">IFNA(index(PlayerValues!A:A,match(IFNA(vlookup(B3552,'Special Names'!A:B,2,FALSE),B3552),PlayerValues!E:E,0)),"N/A")</f>
        <v>17043</v>
      </c>
      <c r="B3552" s="4" t="s">
        <v>397</v>
      </c>
      <c r="C3552" s="4" t="s">
        <v>278</v>
      </c>
      <c r="D3552" s="94">
        <v>5350.0</v>
      </c>
    </row>
    <row r="3553">
      <c r="A3553" s="40">
        <f t="array" ref="A3553">IFNA(index(PlayerValues!A:A,match(IFNA(vlookup(B3553,'Special Names'!A:B,2,FALSE),B3553),PlayerValues!E:E,0)),"N/A")</f>
        <v>15708</v>
      </c>
      <c r="B3553" s="4" t="s">
        <v>382</v>
      </c>
      <c r="C3553" s="4" t="s">
        <v>278</v>
      </c>
      <c r="D3553" s="94">
        <v>5285.0</v>
      </c>
    </row>
    <row r="3554">
      <c r="A3554" s="40">
        <f t="array" ref="A3554">IFNA(index(PlayerValues!A:A,match(IFNA(vlookup(B3554,'Special Names'!A:B,2,FALSE),B3554),PlayerValues!E:E,0)),"N/A")</f>
        <v>16181</v>
      </c>
      <c r="B3554" s="4" t="s">
        <v>350</v>
      </c>
      <c r="C3554" s="4" t="s">
        <v>278</v>
      </c>
      <c r="D3554" s="94">
        <v>5270.0</v>
      </c>
    </row>
    <row r="3555">
      <c r="A3555" s="40">
        <f t="array" ref="A3555">IFNA(index(PlayerValues!A:A,match(IFNA(vlookup(B3555,'Special Names'!A:B,2,FALSE),B3555),PlayerValues!E:E,0)),"N/A")</f>
        <v>17030</v>
      </c>
      <c r="B3555" s="4" t="s">
        <v>406</v>
      </c>
      <c r="C3555" s="4" t="s">
        <v>283</v>
      </c>
      <c r="D3555" s="94">
        <v>5266.0</v>
      </c>
    </row>
    <row r="3556">
      <c r="A3556" s="40">
        <f t="array" ref="A3556">IFNA(index(PlayerValues!A:A,match(IFNA(vlookup(B3556,'Special Names'!A:B,2,FALSE),B3556),PlayerValues!E:E,0)),"N/A")</f>
        <v>13130</v>
      </c>
      <c r="B3556" s="4" t="s">
        <v>374</v>
      </c>
      <c r="C3556" s="4" t="s">
        <v>278</v>
      </c>
      <c r="D3556" s="94">
        <v>5250.0</v>
      </c>
    </row>
    <row r="3557">
      <c r="A3557" s="40">
        <f t="array" ref="A3557">IFNA(index(PlayerValues!A:A,match(IFNA(vlookup(B3557,'Special Names'!A:B,2,FALSE),B3557),PlayerValues!E:E,0)),"N/A")</f>
        <v>16616</v>
      </c>
      <c r="B3557" s="4" t="s">
        <v>389</v>
      </c>
      <c r="C3557" s="4" t="s">
        <v>287</v>
      </c>
      <c r="D3557" s="94">
        <v>5247.0</v>
      </c>
    </row>
    <row r="3558">
      <c r="A3558" s="40" t="str">
        <f t="array" ref="A3558">IFNA(index(PlayerValues!A:A,match(IFNA(vlookup(B3558,'Special Names'!A:B,2,FALSE),B3558),PlayerValues!E:E,0)),"N/A")</f>
        <v>N/A</v>
      </c>
      <c r="B3558" s="4" t="s">
        <v>104</v>
      </c>
      <c r="C3558" s="4" t="s">
        <v>325</v>
      </c>
      <c r="D3558" s="94">
        <v>5185.0</v>
      </c>
    </row>
    <row r="3559">
      <c r="A3559" s="40">
        <f t="array" ref="A3559">IFNA(index(PlayerValues!A:A,match(IFNA(vlookup(B3559,'Special Names'!A:B,2,FALSE),B3559),PlayerValues!E:E,0)),"N/A")</f>
        <v>13604</v>
      </c>
      <c r="B3559" s="4" t="s">
        <v>378</v>
      </c>
      <c r="C3559" s="4" t="s">
        <v>278</v>
      </c>
      <c r="D3559" s="94">
        <v>5079.0</v>
      </c>
    </row>
    <row r="3560">
      <c r="A3560" s="40">
        <f t="array" ref="A3560">IFNA(index(PlayerValues!A:A,match(IFNA(vlookup(B3560,'Special Names'!A:B,2,FALSE),B3560),PlayerValues!E:E,0)),"N/A")</f>
        <v>14104</v>
      </c>
      <c r="B3560" s="4" t="s">
        <v>379</v>
      </c>
      <c r="C3560" s="4" t="s">
        <v>287</v>
      </c>
      <c r="D3560" s="94">
        <v>5032.0</v>
      </c>
    </row>
    <row r="3561">
      <c r="A3561" s="40">
        <f t="array" ref="A3561">IFNA(index(PlayerValues!A:A,match(IFNA(vlookup(B3561,'Special Names'!A:B,2,FALSE),B3561),PlayerValues!E:E,0)),"N/A")</f>
        <v>17499</v>
      </c>
      <c r="B3561" s="4" t="s">
        <v>402</v>
      </c>
      <c r="C3561" s="4" t="s">
        <v>287</v>
      </c>
      <c r="D3561" s="94">
        <v>5007.0</v>
      </c>
    </row>
    <row r="3562">
      <c r="A3562" s="40">
        <f t="array" ref="A3562">IFNA(index(PlayerValues!A:A,match(IFNA(vlookup(B3562,'Special Names'!A:B,2,FALSE),B3562),PlayerValues!E:E,0)),"N/A")</f>
        <v>16190</v>
      </c>
      <c r="B3562" s="4" t="s">
        <v>371</v>
      </c>
      <c r="C3562" s="4" t="s">
        <v>287</v>
      </c>
      <c r="D3562" s="94">
        <v>4985.0</v>
      </c>
    </row>
    <row r="3563">
      <c r="A3563" s="40">
        <f t="array" ref="A3563">IFNA(index(PlayerValues!A:A,match(IFNA(vlookup(B3563,'Special Names'!A:B,2,FALSE),B3563),PlayerValues!E:E,0)),"N/A")</f>
        <v>16194</v>
      </c>
      <c r="B3563" s="4" t="s">
        <v>398</v>
      </c>
      <c r="C3563" s="4" t="s">
        <v>287</v>
      </c>
      <c r="D3563" s="94">
        <v>4982.0</v>
      </c>
    </row>
    <row r="3564">
      <c r="A3564" s="40">
        <f t="array" ref="A3564">IFNA(index(PlayerValues!A:A,match(IFNA(vlookup(B3564,'Special Names'!A:B,2,FALSE),B3564),PlayerValues!E:E,0)),"N/A")</f>
        <v>14835</v>
      </c>
      <c r="B3564" s="4" t="s">
        <v>392</v>
      </c>
      <c r="C3564" s="4" t="s">
        <v>287</v>
      </c>
      <c r="D3564" s="94">
        <v>4969.0</v>
      </c>
    </row>
    <row r="3565">
      <c r="A3565" s="40">
        <f t="array" ref="A3565">IFNA(index(PlayerValues!A:A,match(IFNA(vlookup(B3565,'Special Names'!A:B,2,FALSE),B3565),PlayerValues!E:E,0)),"N/A")</f>
        <v>16222</v>
      </c>
      <c r="B3565" s="4" t="s">
        <v>393</v>
      </c>
      <c r="C3565" s="4" t="s">
        <v>298</v>
      </c>
      <c r="D3565" s="94">
        <v>5547.0</v>
      </c>
    </row>
    <row r="3566">
      <c r="A3566" s="40">
        <f t="array" ref="A3566">IFNA(index(PlayerValues!A:A,match(IFNA(vlookup(B3566,'Special Names'!A:B,2,FALSE),B3566),PlayerValues!E:E,0)),"N/A")</f>
        <v>15710</v>
      </c>
      <c r="B3566" s="4" t="s">
        <v>395</v>
      </c>
      <c r="C3566" s="4" t="s">
        <v>278</v>
      </c>
      <c r="D3566" s="94">
        <v>4958.0</v>
      </c>
    </row>
    <row r="3567">
      <c r="A3567" s="40">
        <f t="array" ref="A3567">IFNA(index(PlayerValues!A:A,match(IFNA(vlookup(B3567,'Special Names'!A:B,2,FALSE),B3567),PlayerValues!E:E,0)),"N/A")</f>
        <v>12620</v>
      </c>
      <c r="B3567" s="4" t="s">
        <v>394</v>
      </c>
      <c r="C3567" s="4" t="s">
        <v>283</v>
      </c>
      <c r="D3567" s="94">
        <v>4922.0</v>
      </c>
    </row>
    <row r="3568">
      <c r="A3568" s="40">
        <f t="array" ref="A3568">IFNA(index(PlayerValues!A:A,match(IFNA(vlookup(B3568,'Special Names'!A:B,2,FALSE),B3568),PlayerValues!E:E,0)),"N/A")</f>
        <v>15284</v>
      </c>
      <c r="B3568" s="4" t="s">
        <v>390</v>
      </c>
      <c r="C3568" s="4" t="s">
        <v>287</v>
      </c>
      <c r="D3568" s="94">
        <v>4896.0</v>
      </c>
    </row>
    <row r="3569">
      <c r="A3569" s="40">
        <f t="array" ref="A3569">IFNA(index(PlayerValues!A:A,match(IFNA(vlookup(B3569,'Special Names'!A:B,2,FALSE),B3569),PlayerValues!E:E,0)),"N/A")</f>
        <v>16614</v>
      </c>
      <c r="B3569" s="4" t="s">
        <v>403</v>
      </c>
      <c r="C3569" s="4" t="s">
        <v>287</v>
      </c>
      <c r="D3569" s="94">
        <v>4848.0</v>
      </c>
    </row>
    <row r="3570">
      <c r="A3570" s="40" t="str">
        <f t="array" ref="A3570">IFNA(index(PlayerValues!A:A,match(IFNA(vlookup(B3570,'Special Names'!A:B,2,FALSE),B3570),PlayerValues!E:E,0)),"N/A")</f>
        <v>N/A</v>
      </c>
      <c r="B3570" s="4" t="s">
        <v>94</v>
      </c>
      <c r="C3570" s="4" t="s">
        <v>325</v>
      </c>
      <c r="D3570" s="94">
        <v>4847.0</v>
      </c>
    </row>
    <row r="3571">
      <c r="A3571" s="40">
        <f t="array" ref="A3571">IFNA(index(PlayerValues!A:A,match(IFNA(vlookup(B3571,'Special Names'!A:B,2,FALSE),B3571),PlayerValues!E:E,0)),"N/A")</f>
        <v>17039</v>
      </c>
      <c r="B3571" s="4" t="s">
        <v>400</v>
      </c>
      <c r="C3571" s="4" t="s">
        <v>283</v>
      </c>
      <c r="D3571" s="94">
        <v>4837.0</v>
      </c>
    </row>
    <row r="3572">
      <c r="A3572" s="40">
        <f t="array" ref="A3572">IFNA(index(PlayerValues!A:A,match(IFNA(vlookup(B3572,'Special Names'!A:B,2,FALSE),B3572),PlayerValues!E:E,0)),"N/A")</f>
        <v>16618</v>
      </c>
      <c r="B3572" s="4" t="s">
        <v>411</v>
      </c>
      <c r="C3572" s="4" t="s">
        <v>287</v>
      </c>
      <c r="D3572" s="94">
        <v>4823.0</v>
      </c>
    </row>
    <row r="3573">
      <c r="A3573" s="40">
        <f t="array" ref="A3573">IFNA(index(PlayerValues!A:A,match(IFNA(vlookup(B3573,'Special Names'!A:B,2,FALSE),B3573),PlayerValues!E:E,0)),"N/A")</f>
        <v>17473</v>
      </c>
      <c r="B3573" s="4" t="s">
        <v>391</v>
      </c>
      <c r="C3573" s="4" t="s">
        <v>278</v>
      </c>
      <c r="D3573" s="94">
        <v>4791.0</v>
      </c>
    </row>
    <row r="3574">
      <c r="A3574" s="40">
        <f t="array" ref="A3574">IFNA(index(PlayerValues!A:A,match(IFNA(vlookup(B3574,'Special Names'!A:B,2,FALSE),B3574),PlayerValues!E:E,0)),"N/A")</f>
        <v>15756</v>
      </c>
      <c r="B3574" s="4" t="s">
        <v>399</v>
      </c>
      <c r="C3574" s="4" t="s">
        <v>287</v>
      </c>
      <c r="D3574" s="94">
        <v>4775.0</v>
      </c>
    </row>
    <row r="3575">
      <c r="A3575" s="40">
        <f t="array" ref="A3575">IFNA(index(PlayerValues!A:A,match(IFNA(vlookup(B3575,'Special Names'!A:B,2,FALSE),B3575),PlayerValues!E:E,0)),"N/A")</f>
        <v>17045</v>
      </c>
      <c r="B3575" s="4" t="s">
        <v>407</v>
      </c>
      <c r="C3575" s="4" t="s">
        <v>278</v>
      </c>
      <c r="D3575" s="94">
        <v>4771.0</v>
      </c>
    </row>
    <row r="3576">
      <c r="A3576" s="40">
        <f t="array" ref="A3576">IFNA(index(PlayerValues!A:A,match(IFNA(vlookup(B3576,'Special Names'!A:B,2,FALSE),B3576),PlayerValues!E:E,0)),"N/A")</f>
        <v>17103</v>
      </c>
      <c r="B3576" s="4" t="s">
        <v>405</v>
      </c>
      <c r="C3576" s="4" t="s">
        <v>298</v>
      </c>
      <c r="D3576" s="94">
        <v>5304.0</v>
      </c>
    </row>
    <row r="3577">
      <c r="A3577" s="40">
        <f t="array" ref="A3577">IFNA(index(PlayerValues!A:A,match(IFNA(vlookup(B3577,'Special Names'!A:B,2,FALSE),B3577),PlayerValues!E:E,0)),"N/A")</f>
        <v>16598</v>
      </c>
      <c r="B3577" s="4" t="s">
        <v>408</v>
      </c>
      <c r="C3577" s="4" t="s">
        <v>278</v>
      </c>
      <c r="D3577" s="94">
        <v>4695.0</v>
      </c>
    </row>
    <row r="3578">
      <c r="A3578" s="40">
        <f t="array" ref="A3578">IFNA(index(PlayerValues!A:A,match(IFNA(vlookup(B3578,'Special Names'!A:B,2,FALSE),B3578),PlayerValues!E:E,0)),"N/A")</f>
        <v>12611</v>
      </c>
      <c r="B3578" s="4" t="s">
        <v>410</v>
      </c>
      <c r="C3578" s="4" t="s">
        <v>283</v>
      </c>
      <c r="D3578" s="94">
        <v>4678.0</v>
      </c>
    </row>
    <row r="3579">
      <c r="A3579" s="40" t="str">
        <f t="array" ref="A3579">IFNA(index(PlayerValues!A:A,match(IFNA(vlookup(B3579,'Special Names'!A:B,2,FALSE),B3579),PlayerValues!E:E,0)),"N/A")</f>
        <v>N/A</v>
      </c>
      <c r="B3579" s="4" t="s">
        <v>80</v>
      </c>
      <c r="C3579" s="4" t="s">
        <v>325</v>
      </c>
      <c r="D3579" s="94">
        <v>4665.0</v>
      </c>
    </row>
    <row r="3580">
      <c r="A3580" s="40">
        <f t="array" ref="A3580">IFNA(index(PlayerValues!A:A,match(IFNA(vlookup(B3580,'Special Names'!A:B,2,FALSE),B3580),PlayerValues!E:E,0)),"N/A")</f>
        <v>13590</v>
      </c>
      <c r="B3580" s="4" t="s">
        <v>409</v>
      </c>
      <c r="C3580" s="4" t="s">
        <v>283</v>
      </c>
      <c r="D3580" s="94">
        <v>4648.0</v>
      </c>
    </row>
    <row r="3581">
      <c r="A3581" s="40">
        <f t="array" ref="A3581">IFNA(index(PlayerValues!A:A,match(IFNA(vlookup(B3581,'Special Names'!A:B,2,FALSE),B3581),PlayerValues!E:E,0)),"N/A")</f>
        <v>16150</v>
      </c>
      <c r="B3581" s="4" t="s">
        <v>414</v>
      </c>
      <c r="C3581" s="4" t="s">
        <v>283</v>
      </c>
      <c r="D3581" s="94">
        <v>4641.0</v>
      </c>
    </row>
    <row r="3582">
      <c r="A3582" s="40">
        <f t="array" ref="A3582">IFNA(index(PlayerValues!A:A,match(IFNA(vlookup(B3582,'Special Names'!A:B,2,FALSE),B3582),PlayerValues!E:E,0)),"N/A")</f>
        <v>16214</v>
      </c>
      <c r="B3582" s="4" t="s">
        <v>413</v>
      </c>
      <c r="C3582" s="4" t="s">
        <v>298</v>
      </c>
      <c r="D3582" s="94">
        <v>5172.0</v>
      </c>
    </row>
    <row r="3583">
      <c r="A3583" s="40">
        <f t="array" ref="A3583">IFNA(index(PlayerValues!A:A,match(IFNA(vlookup(B3583,'Special Names'!A:B,2,FALSE),B3583),PlayerValues!E:E,0)),"N/A")</f>
        <v>15256</v>
      </c>
      <c r="B3583" s="4" t="s">
        <v>401</v>
      </c>
      <c r="C3583" s="4" t="s">
        <v>278</v>
      </c>
      <c r="D3583" s="94">
        <v>4599.0</v>
      </c>
    </row>
    <row r="3584">
      <c r="A3584" s="40" t="str">
        <f t="array" ref="A3584">IFNA(index(PlayerValues!A:A,match(IFNA(vlookup(B3584,'Special Names'!A:B,2,FALSE),B3584),PlayerValues!E:E,0)),"N/A")</f>
        <v>N/A</v>
      </c>
      <c r="B3584" s="4" t="s">
        <v>105</v>
      </c>
      <c r="C3584" s="4" t="s">
        <v>325</v>
      </c>
      <c r="D3584" s="94">
        <v>4572.0</v>
      </c>
    </row>
    <row r="3585">
      <c r="A3585" s="40">
        <f t="array" ref="A3585">IFNA(index(PlayerValues!A:A,match(IFNA(vlookup(B3585,'Special Names'!A:B,2,FALSE),B3585),PlayerValues!E:E,0)),"N/A")</f>
        <v>15329</v>
      </c>
      <c r="B3585" s="4" t="s">
        <v>416</v>
      </c>
      <c r="C3585" s="4" t="s">
        <v>298</v>
      </c>
      <c r="D3585" s="94">
        <v>4976.0</v>
      </c>
    </row>
    <row r="3586">
      <c r="A3586" s="40">
        <f t="array" ref="A3586">IFNA(index(PlayerValues!A:A,match(IFNA(vlookup(B3586,'Special Names'!A:B,2,FALSE),B3586),PlayerValues!E:E,0)),"N/A")</f>
        <v>13592</v>
      </c>
      <c r="B3586" s="4" t="s">
        <v>418</v>
      </c>
      <c r="C3586" s="4" t="s">
        <v>283</v>
      </c>
      <c r="D3586" s="94">
        <v>4394.0</v>
      </c>
    </row>
    <row r="3587">
      <c r="A3587" s="40">
        <f t="array" ref="A3587">IFNA(index(PlayerValues!A:A,match(IFNA(vlookup(B3587,'Special Names'!A:B,2,FALSE),B3587),PlayerValues!E:E,0)),"N/A")</f>
        <v>15253</v>
      </c>
      <c r="B3587" s="4" t="s">
        <v>415</v>
      </c>
      <c r="C3587" s="4" t="s">
        <v>278</v>
      </c>
      <c r="D3587" s="94">
        <v>4373.0</v>
      </c>
    </row>
    <row r="3588">
      <c r="A3588" s="40">
        <f t="array" ref="A3588">IFNA(index(PlayerValues!A:A,match(IFNA(vlookup(B3588,'Special Names'!A:B,2,FALSE),B3588),PlayerValues!E:E,0)),"N/A")</f>
        <v>17501</v>
      </c>
      <c r="B3588" s="4" t="s">
        <v>404</v>
      </c>
      <c r="C3588" s="4" t="s">
        <v>287</v>
      </c>
      <c r="D3588" s="94">
        <v>4348.0</v>
      </c>
    </row>
    <row r="3589">
      <c r="A3589" s="40">
        <f t="array" ref="A3589">IFNA(index(PlayerValues!A:A,match(IFNA(vlookup(B3589,'Special Names'!A:B,2,FALSE),B3589),PlayerValues!E:E,0)),"N/A")</f>
        <v>12626</v>
      </c>
      <c r="B3589" s="4" t="s">
        <v>419</v>
      </c>
      <c r="C3589" s="4" t="s">
        <v>278</v>
      </c>
      <c r="D3589" s="94">
        <v>4205.0</v>
      </c>
    </row>
    <row r="3590">
      <c r="A3590" s="40">
        <f t="array" ref="A3590">IFNA(index(PlayerValues!A:A,match(IFNA(vlookup(B3590,'Special Names'!A:B,2,FALSE),B3590),PlayerValues!E:E,0)),"N/A")</f>
        <v>17052</v>
      </c>
      <c r="B3590" s="4" t="s">
        <v>417</v>
      </c>
      <c r="C3590" s="4" t="s">
        <v>278</v>
      </c>
      <c r="D3590" s="94">
        <v>4198.0</v>
      </c>
    </row>
    <row r="3591">
      <c r="A3591" s="40">
        <f t="array" ref="A3591">IFNA(index(PlayerValues!A:A,match(IFNA(vlookup(B3591,'Special Names'!A:B,2,FALSE),B3591),PlayerValues!E:E,0)),"N/A")</f>
        <v>14073</v>
      </c>
      <c r="B3591" s="4" t="s">
        <v>464</v>
      </c>
      <c r="C3591" s="4" t="s">
        <v>278</v>
      </c>
      <c r="D3591" s="94">
        <v>4090.0</v>
      </c>
    </row>
    <row r="3592">
      <c r="A3592" s="40">
        <f t="array" ref="A3592">IFNA(index(PlayerValues!A:A,match(IFNA(vlookup(B3592,'Special Names'!A:B,2,FALSE),B3592),PlayerValues!E:E,0)),"N/A")</f>
        <v>17543</v>
      </c>
      <c r="B3592" s="4" t="s">
        <v>436</v>
      </c>
      <c r="C3592" s="4" t="s">
        <v>298</v>
      </c>
      <c r="D3592" s="94">
        <v>4522.0</v>
      </c>
    </row>
    <row r="3593">
      <c r="A3593" s="40">
        <f t="array" ref="A3593">IFNA(index(PlayerValues!A:A,match(IFNA(vlookup(B3593,'Special Names'!A:B,2,FALSE),B3593),PlayerValues!E:E,0)),"N/A")</f>
        <v>14056</v>
      </c>
      <c r="B3593" s="4" t="s">
        <v>423</v>
      </c>
      <c r="C3593" s="4" t="s">
        <v>283</v>
      </c>
      <c r="D3593" s="94">
        <v>3987.0</v>
      </c>
    </row>
    <row r="3594">
      <c r="A3594" s="40" t="str">
        <f t="array" ref="A3594">IFNA(index(PlayerValues!A:A,match(IFNA(vlookup(B3594,'Special Names'!A:B,2,FALSE),B3594),PlayerValues!E:E,0)),"N/A")</f>
        <v>N/A</v>
      </c>
      <c r="B3594" s="4" t="s">
        <v>81</v>
      </c>
      <c r="C3594" s="4" t="s">
        <v>325</v>
      </c>
      <c r="D3594" s="94">
        <v>3962.0</v>
      </c>
    </row>
    <row r="3595">
      <c r="A3595" s="40">
        <f t="array" ref="A3595">IFNA(index(PlayerValues!A:A,match(IFNA(vlookup(B3595,'Special Names'!A:B,2,FALSE),B3595),PlayerValues!E:E,0)),"N/A")</f>
        <v>15789</v>
      </c>
      <c r="B3595" s="4" t="s">
        <v>421</v>
      </c>
      <c r="C3595" s="4" t="s">
        <v>287</v>
      </c>
      <c r="D3595" s="94">
        <v>3950.0</v>
      </c>
    </row>
    <row r="3596">
      <c r="A3596" s="40">
        <f t="array" ref="A3596">IFNA(index(PlayerValues!A:A,match(IFNA(vlookup(B3596,'Special Names'!A:B,2,FALSE),B3596),PlayerValues!E:E,0)),"N/A")</f>
        <v>16148</v>
      </c>
      <c r="B3596" s="4" t="s">
        <v>426</v>
      </c>
      <c r="C3596" s="4" t="s">
        <v>283</v>
      </c>
      <c r="D3596" s="94">
        <v>3939.0</v>
      </c>
    </row>
    <row r="3597">
      <c r="A3597" s="40" t="str">
        <f t="array" ref="A3597">IFNA(index(PlayerValues!A:A,match(IFNA(vlookup(B3597,'Special Names'!A:B,2,FALSE),B3597),PlayerValues!E:E,0)),"N/A")</f>
        <v>N/A</v>
      </c>
      <c r="B3597" s="4" t="s">
        <v>107</v>
      </c>
      <c r="C3597" s="4" t="s">
        <v>325</v>
      </c>
      <c r="D3597" s="94">
        <v>3933.0</v>
      </c>
    </row>
    <row r="3598">
      <c r="A3598" s="40">
        <f t="array" ref="A3598">IFNA(index(PlayerValues!A:A,match(IFNA(vlookup(B3598,'Special Names'!A:B,2,FALSE),B3598),PlayerValues!E:E,0)),"N/A")</f>
        <v>15768</v>
      </c>
      <c r="B3598" s="4" t="s">
        <v>432</v>
      </c>
      <c r="C3598" s="4" t="s">
        <v>287</v>
      </c>
      <c r="D3598" s="94">
        <v>3926.0</v>
      </c>
    </row>
    <row r="3599">
      <c r="A3599" s="40">
        <f t="array" ref="A3599">IFNA(index(PlayerValues!A:A,match(IFNA(vlookup(B3599,'Special Names'!A:B,2,FALSE),B3599),PlayerValues!E:E,0)),"N/A")</f>
        <v>16186</v>
      </c>
      <c r="B3599" s="4" t="s">
        <v>425</v>
      </c>
      <c r="C3599" s="4" t="s">
        <v>287</v>
      </c>
      <c r="D3599" s="94">
        <v>3921.0</v>
      </c>
    </row>
    <row r="3600">
      <c r="A3600" s="40">
        <f t="array" ref="A3600">IFNA(index(PlayerValues!A:A,match(IFNA(vlookup(B3600,'Special Names'!A:B,2,FALSE),B3600),PlayerValues!E:E,0)),"N/A")</f>
        <v>14059</v>
      </c>
      <c r="B3600" s="4" t="s">
        <v>435</v>
      </c>
      <c r="C3600" s="4" t="s">
        <v>283</v>
      </c>
      <c r="D3600" s="94">
        <v>3919.0</v>
      </c>
    </row>
    <row r="3601">
      <c r="A3601" s="40">
        <f t="array" ref="A3601">IFNA(index(PlayerValues!A:A,match(IFNA(vlookup(B3601,'Special Names'!A:B,2,FALSE),B3601),PlayerValues!E:E,0)),"N/A")</f>
        <v>9431</v>
      </c>
      <c r="B3601" s="4" t="s">
        <v>428</v>
      </c>
      <c r="C3601" s="4" t="s">
        <v>283</v>
      </c>
      <c r="D3601" s="94">
        <v>3878.0</v>
      </c>
    </row>
    <row r="3602">
      <c r="A3602" s="40" t="str">
        <f t="array" ref="A3602">IFNA(index(PlayerValues!A:A,match(IFNA(vlookup(B3602,'Special Names'!A:B,2,FALSE),B3602),PlayerValues!E:E,0)),"N/A")</f>
        <v>N/A</v>
      </c>
      <c r="B3602" s="4" t="s">
        <v>95</v>
      </c>
      <c r="C3602" s="4" t="s">
        <v>325</v>
      </c>
      <c r="D3602" s="94">
        <v>3830.0</v>
      </c>
    </row>
    <row r="3603">
      <c r="A3603" s="40">
        <f t="array" ref="A3603">IFNA(index(PlayerValues!A:A,match(IFNA(vlookup(B3603,'Special Names'!A:B,2,FALSE),B3603),PlayerValues!E:E,0)),"N/A")</f>
        <v>15694</v>
      </c>
      <c r="B3603" s="4" t="s">
        <v>434</v>
      </c>
      <c r="C3603" s="4" t="s">
        <v>283</v>
      </c>
      <c r="D3603" s="94">
        <v>3791.0</v>
      </c>
    </row>
    <row r="3604">
      <c r="A3604" s="40">
        <f t="array" ref="A3604">IFNA(index(PlayerValues!A:A,match(IFNA(vlookup(B3604,'Special Names'!A:B,2,FALSE),B3604),PlayerValues!E:E,0)),"N/A")</f>
        <v>16206</v>
      </c>
      <c r="B3604" s="4" t="s">
        <v>431</v>
      </c>
      <c r="C3604" s="4" t="s">
        <v>287</v>
      </c>
      <c r="D3604" s="94">
        <v>3731.0</v>
      </c>
    </row>
    <row r="3605">
      <c r="A3605" s="40">
        <f t="array" ref="A3605">IFNA(index(PlayerValues!A:A,match(IFNA(vlookup(B3605,'Special Names'!A:B,2,FALSE),B3605),PlayerValues!E:E,0)),"N/A")</f>
        <v>14797</v>
      </c>
      <c r="B3605" s="4" t="s">
        <v>420</v>
      </c>
      <c r="C3605" s="4" t="s">
        <v>278</v>
      </c>
      <c r="D3605" s="94">
        <v>3729.0</v>
      </c>
    </row>
    <row r="3606">
      <c r="A3606" s="40">
        <f t="array" ref="A3606">IFNA(index(PlayerValues!A:A,match(IFNA(vlookup(B3606,'Special Names'!A:B,2,FALSE),B3606),PlayerValues!E:E,0)),"N/A")</f>
        <v>16192</v>
      </c>
      <c r="B3606" s="4" t="s">
        <v>412</v>
      </c>
      <c r="C3606" s="4" t="s">
        <v>287</v>
      </c>
      <c r="D3606" s="94">
        <v>3677.0</v>
      </c>
    </row>
    <row r="3607">
      <c r="A3607" s="40">
        <f t="array" ref="A3607">IFNA(index(PlayerValues!A:A,match(IFNA(vlookup(B3607,'Special Names'!A:B,2,FALSE),B3607),PlayerValues!E:E,0)),"N/A")</f>
        <v>16187</v>
      </c>
      <c r="B3607" s="4" t="s">
        <v>441</v>
      </c>
      <c r="C3607" s="4" t="s">
        <v>287</v>
      </c>
      <c r="D3607" s="94">
        <v>3591.0</v>
      </c>
    </row>
    <row r="3608">
      <c r="A3608" s="40">
        <f t="array" ref="A3608">IFNA(index(PlayerValues!A:A,match(IFNA(vlookup(B3608,'Special Names'!A:B,2,FALSE),B3608),PlayerValues!E:E,0)),"N/A")</f>
        <v>16188</v>
      </c>
      <c r="B3608" s="4" t="s">
        <v>439</v>
      </c>
      <c r="C3608" s="4" t="s">
        <v>287</v>
      </c>
      <c r="D3608" s="94">
        <v>3543.0</v>
      </c>
    </row>
    <row r="3609">
      <c r="A3609" s="40">
        <f t="array" ref="A3609">IFNA(index(PlayerValues!A:A,match(IFNA(vlookup(B3609,'Special Names'!A:B,2,FALSE),B3609),PlayerValues!E:E,0)),"N/A")</f>
        <v>13635</v>
      </c>
      <c r="B3609" s="4" t="s">
        <v>424</v>
      </c>
      <c r="C3609" s="4" t="s">
        <v>287</v>
      </c>
      <c r="D3609" s="94">
        <v>3530.0</v>
      </c>
    </row>
    <row r="3610">
      <c r="A3610" s="40">
        <f t="array" ref="A3610">IFNA(index(PlayerValues!A:A,match(IFNA(vlookup(B3610,'Special Names'!A:B,2,FALSE),B3610),PlayerValues!E:E,0)),"N/A")</f>
        <v>17075</v>
      </c>
      <c r="B3610" s="4" t="s">
        <v>429</v>
      </c>
      <c r="C3610" s="4" t="s">
        <v>287</v>
      </c>
      <c r="D3610" s="94">
        <v>3529.0</v>
      </c>
    </row>
    <row r="3611">
      <c r="A3611" s="40">
        <f t="array" ref="A3611">IFNA(index(PlayerValues!A:A,match(IFNA(vlookup(B3611,'Special Names'!A:B,2,FALSE),B3611),PlayerValues!E:E,0)),"N/A")</f>
        <v>17502</v>
      </c>
      <c r="B3611" s="4" t="s">
        <v>451</v>
      </c>
      <c r="C3611" s="4" t="s">
        <v>287</v>
      </c>
      <c r="D3611" s="94">
        <v>3524.0</v>
      </c>
    </row>
    <row r="3612">
      <c r="A3612" s="40">
        <f t="array" ref="A3612">IFNA(index(PlayerValues!A:A,match(IFNA(vlookup(B3612,'Special Names'!A:B,2,FALSE),B3612),PlayerValues!E:E,0)),"N/A")</f>
        <v>16597</v>
      </c>
      <c r="B3612" s="4" t="s">
        <v>427</v>
      </c>
      <c r="C3612" s="4" t="s">
        <v>278</v>
      </c>
      <c r="D3612" s="94">
        <v>3521.0</v>
      </c>
    </row>
    <row r="3613">
      <c r="A3613" s="40">
        <f t="array" ref="A3613">IFNA(index(PlayerValues!A:A,match(IFNA(vlookup(B3613,'Special Names'!A:B,2,FALSE),B3613),PlayerValues!E:E,0)),"N/A")</f>
        <v>17066</v>
      </c>
      <c r="B3613" s="4" t="s">
        <v>446</v>
      </c>
      <c r="C3613" s="4" t="s">
        <v>278</v>
      </c>
      <c r="D3613" s="94">
        <v>3512.0</v>
      </c>
    </row>
    <row r="3614">
      <c r="A3614" s="40">
        <f t="array" ref="A3614">IFNA(index(PlayerValues!A:A,match(IFNA(vlookup(B3614,'Special Names'!A:B,2,FALSE),B3614),PlayerValues!E:E,0)),"N/A")</f>
        <v>14109</v>
      </c>
      <c r="B3614" s="4" t="s">
        <v>437</v>
      </c>
      <c r="C3614" s="4" t="s">
        <v>287</v>
      </c>
      <c r="D3614" s="94">
        <v>3503.0</v>
      </c>
    </row>
    <row r="3615">
      <c r="A3615" s="40">
        <f t="array" ref="A3615">IFNA(index(PlayerValues!A:A,match(IFNA(vlookup(B3615,'Special Names'!A:B,2,FALSE),B3615),PlayerValues!E:E,0)),"N/A")</f>
        <v>17099</v>
      </c>
      <c r="B3615" s="4" t="s">
        <v>474</v>
      </c>
      <c r="C3615" s="4" t="s">
        <v>298</v>
      </c>
      <c r="D3615" s="94">
        <v>3940.0</v>
      </c>
    </row>
    <row r="3616">
      <c r="A3616" s="40">
        <f t="array" ref="A3616">IFNA(index(PlayerValues!A:A,match(IFNA(vlookup(B3616,'Special Names'!A:B,2,FALSE),B3616),PlayerValues!E:E,0)),"N/A")</f>
        <v>17463</v>
      </c>
      <c r="B3616" s="4" t="s">
        <v>433</v>
      </c>
      <c r="C3616" s="4" t="s">
        <v>283</v>
      </c>
      <c r="D3616" s="94">
        <v>3483.0</v>
      </c>
    </row>
    <row r="3617">
      <c r="A3617" s="40">
        <f t="array" ref="A3617">IFNA(index(PlayerValues!A:A,match(IFNA(vlookup(B3617,'Special Names'!A:B,2,FALSE),B3617),PlayerValues!E:E,0)),"N/A")</f>
        <v>14071</v>
      </c>
      <c r="B3617" s="4" t="s">
        <v>440</v>
      </c>
      <c r="C3617" s="4" t="s">
        <v>278</v>
      </c>
      <c r="D3617" s="94">
        <v>3465.0</v>
      </c>
    </row>
    <row r="3618">
      <c r="A3618" s="40">
        <f t="array" ref="A3618">IFNA(index(PlayerValues!A:A,match(IFNA(vlookup(B3618,'Special Names'!A:B,2,FALSE),B3618),PlayerValues!E:E,0)),"N/A")</f>
        <v>11675</v>
      </c>
      <c r="B3618" s="4" t="s">
        <v>438</v>
      </c>
      <c r="C3618" s="4" t="s">
        <v>287</v>
      </c>
      <c r="D3618" s="94">
        <v>3451.0</v>
      </c>
    </row>
    <row r="3619">
      <c r="A3619" s="40">
        <f t="array" ref="A3619">IFNA(index(PlayerValues!A:A,match(IFNA(vlookup(B3619,'Special Names'!A:B,2,FALSE),B3619),PlayerValues!E:E,0)),"N/A")</f>
        <v>16593</v>
      </c>
      <c r="B3619" s="4" t="s">
        <v>442</v>
      </c>
      <c r="C3619" s="4" t="s">
        <v>278</v>
      </c>
      <c r="D3619" s="94">
        <v>3441.0</v>
      </c>
    </row>
    <row r="3620">
      <c r="A3620" s="40">
        <f t="array" ref="A3620">IFNA(index(PlayerValues!A:A,match(IFNA(vlookup(B3620,'Special Names'!A:B,2,FALSE),B3620),PlayerValues!E:E,0)),"N/A")</f>
        <v>14102</v>
      </c>
      <c r="B3620" s="4" t="s">
        <v>444</v>
      </c>
      <c r="C3620" s="4" t="s">
        <v>287</v>
      </c>
      <c r="D3620" s="94">
        <v>3436.0</v>
      </c>
    </row>
    <row r="3621">
      <c r="A3621" s="40">
        <f t="array" ref="A3621">IFNA(index(PlayerValues!A:A,match(IFNA(vlookup(B3621,'Special Names'!A:B,2,FALSE),B3621),PlayerValues!E:E,0)),"N/A")</f>
        <v>17544</v>
      </c>
      <c r="B3621" s="4" t="s">
        <v>470</v>
      </c>
      <c r="C3621" s="4" t="s">
        <v>298</v>
      </c>
      <c r="D3621" s="94">
        <v>3864.0</v>
      </c>
    </row>
    <row r="3622">
      <c r="A3622" s="40">
        <f t="array" ref="A3622">IFNA(index(PlayerValues!A:A,match(IFNA(vlookup(B3622,'Special Names'!A:B,2,FALSE),B3622),PlayerValues!E:E,0)),"N/A")</f>
        <v>15757</v>
      </c>
      <c r="B3622" s="4" t="s">
        <v>449</v>
      </c>
      <c r="C3622" s="4" t="s">
        <v>287</v>
      </c>
      <c r="D3622" s="94">
        <v>3399.0</v>
      </c>
    </row>
    <row r="3623">
      <c r="A3623" s="40">
        <f t="array" ref="A3623">IFNA(index(PlayerValues!A:A,match(IFNA(vlookup(B3623,'Special Names'!A:B,2,FALSE),B3623),PlayerValues!E:E,0)),"N/A")</f>
        <v>15798</v>
      </c>
      <c r="B3623" s="4" t="s">
        <v>443</v>
      </c>
      <c r="C3623" s="4" t="s">
        <v>298</v>
      </c>
      <c r="D3623" s="94">
        <v>3845.0</v>
      </c>
    </row>
    <row r="3624">
      <c r="A3624" s="40">
        <f t="array" ref="A3624">IFNA(index(PlayerValues!A:A,match(IFNA(vlookup(B3624,'Special Names'!A:B,2,FALSE),B3624),PlayerValues!E:E,0)),"N/A")</f>
        <v>17068</v>
      </c>
      <c r="B3624" s="4" t="s">
        <v>450</v>
      </c>
      <c r="C3624" s="4" t="s">
        <v>278</v>
      </c>
      <c r="D3624" s="94">
        <v>3392.0</v>
      </c>
    </row>
    <row r="3625">
      <c r="A3625" s="40">
        <f t="array" ref="A3625">IFNA(index(PlayerValues!A:A,match(IFNA(vlookup(B3625,'Special Names'!A:B,2,FALSE),B3625),PlayerValues!E:E,0)),"N/A")</f>
        <v>16622</v>
      </c>
      <c r="B3625" s="4" t="s">
        <v>517</v>
      </c>
      <c r="C3625" s="4" t="s">
        <v>287</v>
      </c>
      <c r="D3625" s="94">
        <v>3385.0</v>
      </c>
    </row>
    <row r="3626">
      <c r="A3626" s="40" t="str">
        <f t="array" ref="A3626">IFNA(index(PlayerValues!A:A,match(IFNA(vlookup(B3626,'Special Names'!A:B,2,FALSE),B3626),PlayerValues!E:E,0)),"N/A")</f>
        <v>N/A</v>
      </c>
      <c r="B3626" s="4" t="s">
        <v>96</v>
      </c>
      <c r="C3626" s="4" t="s">
        <v>325</v>
      </c>
      <c r="D3626" s="94">
        <v>3384.0</v>
      </c>
    </row>
    <row r="3627">
      <c r="A3627" s="40">
        <f t="array" ref="A3627">IFNA(index(PlayerValues!A:A,match(IFNA(vlookup(B3627,'Special Names'!A:B,2,FALSE),B3627),PlayerValues!E:E,0)),"N/A")</f>
        <v>14842</v>
      </c>
      <c r="B3627" s="4" t="s">
        <v>456</v>
      </c>
      <c r="C3627" s="4" t="s">
        <v>287</v>
      </c>
      <c r="D3627" s="94">
        <v>3379.0</v>
      </c>
    </row>
    <row r="3628">
      <c r="A3628" s="40">
        <f t="array" ref="A3628">IFNA(index(PlayerValues!A:A,match(IFNA(vlookup(B3628,'Special Names'!A:B,2,FALSE),B3628),PlayerValues!E:E,0)),"N/A")</f>
        <v>16169</v>
      </c>
      <c r="B3628" s="4" t="s">
        <v>457</v>
      </c>
      <c r="C3628" s="4" t="s">
        <v>278</v>
      </c>
      <c r="D3628" s="94">
        <v>3371.0</v>
      </c>
    </row>
    <row r="3629">
      <c r="A3629" s="40">
        <f t="array" ref="A3629">IFNA(index(PlayerValues!A:A,match(IFNA(vlookup(B3629,'Special Names'!A:B,2,FALSE),B3629),PlayerValues!E:E,0)),"N/A")</f>
        <v>13299</v>
      </c>
      <c r="B3629" s="4" t="s">
        <v>448</v>
      </c>
      <c r="C3629" s="4" t="s">
        <v>298</v>
      </c>
      <c r="D3629" s="94">
        <v>3822.0</v>
      </c>
    </row>
    <row r="3630">
      <c r="A3630" s="40">
        <f t="array" ref="A3630">IFNA(index(PlayerValues!A:A,match(IFNA(vlookup(B3630,'Special Names'!A:B,2,FALSE),B3630),PlayerValues!E:E,0)),"N/A")</f>
        <v>17074</v>
      </c>
      <c r="B3630" s="4" t="s">
        <v>475</v>
      </c>
      <c r="C3630" s="4" t="s">
        <v>287</v>
      </c>
      <c r="D3630" s="94">
        <v>3369.0</v>
      </c>
    </row>
    <row r="3631">
      <c r="A3631" s="40">
        <f t="array" ref="A3631">IFNA(index(PlayerValues!A:A,match(IFNA(vlookup(B3631,'Special Names'!A:B,2,FALSE),B3631),PlayerValues!E:E,0)),"N/A")</f>
        <v>16184</v>
      </c>
      <c r="B3631" s="4" t="s">
        <v>445</v>
      </c>
      <c r="C3631" s="4" t="s">
        <v>287</v>
      </c>
      <c r="D3631" s="94">
        <v>3365.0</v>
      </c>
    </row>
    <row r="3632">
      <c r="A3632" s="40">
        <f t="array" ref="A3632">IFNA(index(PlayerValues!A:A,match(IFNA(vlookup(B3632,'Special Names'!A:B,2,FALSE),B3632),PlayerValues!E:E,0)),"N/A")</f>
        <v>17083</v>
      </c>
      <c r="B3632" s="4" t="s">
        <v>479</v>
      </c>
      <c r="C3632" s="4" t="s">
        <v>287</v>
      </c>
      <c r="D3632" s="94">
        <v>3365.0</v>
      </c>
    </row>
    <row r="3633">
      <c r="A3633" s="40">
        <f t="array" ref="A3633">IFNA(index(PlayerValues!A:A,match(IFNA(vlookup(B3633,'Special Names'!A:B,2,FALSE),B3633),PlayerValues!E:E,0)),"N/A")</f>
        <v>17500</v>
      </c>
      <c r="B3633" s="4" t="s">
        <v>430</v>
      </c>
      <c r="C3633" s="4" t="s">
        <v>287</v>
      </c>
      <c r="D3633" s="94">
        <v>3357.0</v>
      </c>
    </row>
    <row r="3634">
      <c r="A3634" s="40">
        <f t="array" ref="A3634">IFNA(index(PlayerValues!A:A,match(IFNA(vlookup(B3634,'Special Names'!A:B,2,FALSE),B3634),PlayerValues!E:E,0)),"N/A")</f>
        <v>11671</v>
      </c>
      <c r="B3634" s="4" t="s">
        <v>463</v>
      </c>
      <c r="C3634" s="4" t="s">
        <v>287</v>
      </c>
      <c r="D3634" s="94">
        <v>3322.0</v>
      </c>
    </row>
    <row r="3635">
      <c r="A3635" s="40">
        <f t="array" ref="A3635">IFNA(index(PlayerValues!A:A,match(IFNA(vlookup(B3635,'Special Names'!A:B,2,FALSE),B3635),PlayerValues!E:E,0)),"N/A")</f>
        <v>15742</v>
      </c>
      <c r="B3635" s="4" t="s">
        <v>447</v>
      </c>
      <c r="C3635" s="4" t="s">
        <v>278</v>
      </c>
      <c r="D3635" s="94">
        <v>3320.0</v>
      </c>
    </row>
    <row r="3636">
      <c r="A3636" s="40">
        <f t="array" ref="A3636">IFNA(index(PlayerValues!A:A,match(IFNA(vlookup(B3636,'Special Names'!A:B,2,FALSE),B3636),PlayerValues!E:E,0)),"N/A")</f>
        <v>16620</v>
      </c>
      <c r="B3636" s="4" t="s">
        <v>467</v>
      </c>
      <c r="C3636" s="4" t="s">
        <v>287</v>
      </c>
      <c r="D3636" s="94">
        <v>3312.0</v>
      </c>
    </row>
    <row r="3637">
      <c r="A3637" s="40" t="str">
        <f t="array" ref="A3637">IFNA(index(PlayerValues!A:A,match(IFNA(vlookup(B3637,'Special Names'!A:B,2,FALSE),B3637),PlayerValues!E:E,0)),"N/A")</f>
        <v>N/A</v>
      </c>
      <c r="B3637" s="4" t="s">
        <v>82</v>
      </c>
      <c r="C3637" s="4" t="s">
        <v>325</v>
      </c>
      <c r="D3637" s="94">
        <v>3310.0</v>
      </c>
    </row>
    <row r="3638">
      <c r="A3638" s="40">
        <f t="array" ref="A3638">IFNA(index(PlayerValues!A:A,match(IFNA(vlookup(B3638,'Special Names'!A:B,2,FALSE),B3638),PlayerValues!E:E,0)),"N/A")</f>
        <v>16213</v>
      </c>
      <c r="B3638" s="4" t="s">
        <v>458</v>
      </c>
      <c r="C3638" s="4" t="s">
        <v>298</v>
      </c>
      <c r="D3638" s="94">
        <v>3632.0</v>
      </c>
    </row>
    <row r="3639">
      <c r="A3639" s="40">
        <f t="array" ref="A3639">IFNA(index(PlayerValues!A:A,match(IFNA(vlookup(B3639,'Special Names'!A:B,2,FALSE),B3639),PlayerValues!E:E,0)),"N/A")</f>
        <v>15799</v>
      </c>
      <c r="B3639" s="4" t="s">
        <v>468</v>
      </c>
      <c r="C3639" s="4" t="s">
        <v>298</v>
      </c>
      <c r="D3639" s="94">
        <v>3627.0</v>
      </c>
    </row>
    <row r="3640">
      <c r="A3640" s="40">
        <f t="array" ref="A3640">IFNA(index(PlayerValues!A:A,match(IFNA(vlookup(B3640,'Special Names'!A:B,2,FALSE),B3640),PlayerValues!E:E,0)),"N/A")</f>
        <v>17477</v>
      </c>
      <c r="B3640" s="4" t="s">
        <v>452</v>
      </c>
      <c r="C3640" s="4" t="s">
        <v>278</v>
      </c>
      <c r="D3640" s="94">
        <v>3186.0</v>
      </c>
    </row>
    <row r="3641">
      <c r="A3641" s="40" t="str">
        <f t="array" ref="A3641">IFNA(index(PlayerValues!A:A,match(IFNA(vlookup(B3641,'Special Names'!A:B,2,FALSE),B3641),PlayerValues!E:E,0)),"N/A")</f>
        <v>N/A</v>
      </c>
      <c r="B3641" s="4" t="s">
        <v>108</v>
      </c>
      <c r="C3641" s="4" t="s">
        <v>325</v>
      </c>
      <c r="D3641" s="94">
        <v>3181.0</v>
      </c>
    </row>
    <row r="3642">
      <c r="A3642" s="40">
        <f t="array" ref="A3642">IFNA(index(PlayerValues!A:A,match(IFNA(vlookup(B3642,'Special Names'!A:B,2,FALSE),B3642),PlayerValues!E:E,0)),"N/A")</f>
        <v>15261</v>
      </c>
      <c r="B3642" s="4" t="s">
        <v>466</v>
      </c>
      <c r="C3642" s="4" t="s">
        <v>278</v>
      </c>
      <c r="D3642" s="94">
        <v>3176.0</v>
      </c>
    </row>
    <row r="3643">
      <c r="A3643" s="40">
        <f t="array" ref="A3643">IFNA(index(PlayerValues!A:A,match(IFNA(vlookup(B3643,'Special Names'!A:B,2,FALSE),B3643),PlayerValues!E:E,0)),"N/A")</f>
        <v>16809</v>
      </c>
      <c r="B3643" s="4" t="s">
        <v>455</v>
      </c>
      <c r="C3643" s="4" t="s">
        <v>287</v>
      </c>
      <c r="D3643" s="94">
        <v>3158.0</v>
      </c>
    </row>
    <row r="3644">
      <c r="A3644" s="40" t="str">
        <f t="array" ref="A3644">IFNA(index(PlayerValues!A:A,match(IFNA(vlookup(B3644,'Special Names'!A:B,2,FALSE),B3644),PlayerValues!E:E,0)),"N/A")</f>
        <v>N/A</v>
      </c>
      <c r="B3644" s="4" t="s">
        <v>97</v>
      </c>
      <c r="C3644" s="4" t="s">
        <v>325</v>
      </c>
      <c r="D3644" s="94">
        <v>3132.0</v>
      </c>
    </row>
    <row r="3645">
      <c r="A3645" s="40">
        <f t="array" ref="A3645">IFNA(index(PlayerValues!A:A,match(IFNA(vlookup(B3645,'Special Names'!A:B,2,FALSE),B3645),PlayerValues!E:E,0)),"N/A")</f>
        <v>16269</v>
      </c>
      <c r="B3645" s="4" t="s">
        <v>481</v>
      </c>
      <c r="C3645" s="4" t="s">
        <v>298</v>
      </c>
      <c r="D3645" s="94">
        <v>3536.0</v>
      </c>
    </row>
    <row r="3646">
      <c r="A3646" s="40">
        <f t="array" ref="A3646">IFNA(index(PlayerValues!A:A,match(IFNA(vlookup(B3646,'Special Names'!A:B,2,FALSE),B3646),PlayerValues!E:E,0)),"N/A")</f>
        <v>14823</v>
      </c>
      <c r="B3646" s="4" t="s">
        <v>459</v>
      </c>
      <c r="C3646" s="4" t="s">
        <v>278</v>
      </c>
      <c r="D3646" s="94">
        <v>3090.0</v>
      </c>
    </row>
    <row r="3647">
      <c r="A3647" s="40">
        <f t="array" ref="A3647">IFNA(index(PlayerValues!A:A,match(IFNA(vlookup(B3647,'Special Names'!A:B,2,FALSE),B3647),PlayerValues!E:E,0)),"N/A")</f>
        <v>17514</v>
      </c>
      <c r="B3647" s="4" t="s">
        <v>422</v>
      </c>
      <c r="C3647" s="4" t="s">
        <v>287</v>
      </c>
      <c r="D3647" s="94">
        <v>3075.0</v>
      </c>
    </row>
    <row r="3648">
      <c r="A3648" s="40">
        <f t="array" ref="A3648">IFNA(index(PlayerValues!A:A,match(IFNA(vlookup(B3648,'Special Names'!A:B,2,FALSE),B3648),PlayerValues!E:E,0)),"N/A")</f>
        <v>13630</v>
      </c>
      <c r="B3648" s="4" t="s">
        <v>465</v>
      </c>
      <c r="C3648" s="4" t="s">
        <v>287</v>
      </c>
      <c r="D3648" s="94">
        <v>3058.0</v>
      </c>
    </row>
    <row r="3649">
      <c r="A3649" s="40">
        <f t="array" ref="A3649">IFNA(index(PlayerValues!A:A,match(IFNA(vlookup(B3649,'Special Names'!A:B,2,FALSE),B3649),PlayerValues!E:E,0)),"N/A")</f>
        <v>15259</v>
      </c>
      <c r="B3649" s="4" t="s">
        <v>453</v>
      </c>
      <c r="C3649" s="4" t="s">
        <v>278</v>
      </c>
      <c r="D3649" s="94">
        <v>3050.0</v>
      </c>
    </row>
    <row r="3650">
      <c r="A3650" s="40">
        <f t="array" ref="A3650">IFNA(index(PlayerValues!A:A,match(IFNA(vlookup(B3650,'Special Names'!A:B,2,FALSE),B3650),PlayerValues!E:E,0)),"N/A")</f>
        <v>15779</v>
      </c>
      <c r="B3650" s="4" t="s">
        <v>461</v>
      </c>
      <c r="C3650" s="4" t="s">
        <v>287</v>
      </c>
      <c r="D3650" s="94">
        <v>3033.0</v>
      </c>
    </row>
    <row r="3651">
      <c r="A3651" s="40">
        <f t="array" ref="A3651">IFNA(index(PlayerValues!A:A,match(IFNA(vlookup(B3651,'Special Names'!A:B,2,FALSE),B3651),PlayerValues!E:E,0)),"N/A")</f>
        <v>17512</v>
      </c>
      <c r="B3651" s="4" t="s">
        <v>483</v>
      </c>
      <c r="C3651" s="4" t="s">
        <v>287</v>
      </c>
      <c r="D3651" s="94">
        <v>3028.0</v>
      </c>
    </row>
    <row r="3652">
      <c r="A3652" s="40">
        <f t="array" ref="A3652">IFNA(index(PlayerValues!A:A,match(IFNA(vlookup(B3652,'Special Names'!A:B,2,FALSE),B3652),PlayerValues!E:E,0)),"N/A")</f>
        <v>16628</v>
      </c>
      <c r="B3652" s="4" t="s">
        <v>490</v>
      </c>
      <c r="C3652" s="4" t="s">
        <v>287</v>
      </c>
      <c r="D3652" s="94">
        <v>3026.0</v>
      </c>
    </row>
    <row r="3653">
      <c r="A3653" s="40" t="str">
        <f t="array" ref="A3653">IFNA(index(PlayerValues!A:A,match(IFNA(vlookup(B3653,'Special Names'!A:B,2,FALSE),B3653),PlayerValues!E:E,0)),"N/A")</f>
        <v>N/A</v>
      </c>
      <c r="B3653" s="4" t="s">
        <v>84</v>
      </c>
      <c r="C3653" s="4" t="s">
        <v>325</v>
      </c>
      <c r="D3653" s="94">
        <v>3020.0</v>
      </c>
    </row>
    <row r="3654">
      <c r="A3654" s="40">
        <f t="array" ref="A3654">IFNA(index(PlayerValues!A:A,match(IFNA(vlookup(B3654,'Special Names'!A:B,2,FALSE),B3654),PlayerValues!E:E,0)),"N/A")</f>
        <v>17506</v>
      </c>
      <c r="B3654" s="4" t="s">
        <v>471</v>
      </c>
      <c r="C3654" s="4" t="s">
        <v>287</v>
      </c>
      <c r="D3654" s="94">
        <v>3019.0</v>
      </c>
    </row>
    <row r="3655">
      <c r="A3655" s="40">
        <f t="array" ref="A3655">IFNA(index(PlayerValues!A:A,match(IFNA(vlookup(B3655,'Special Names'!A:B,2,FALSE),B3655),PlayerValues!E:E,0)),"N/A")</f>
        <v>17256</v>
      </c>
      <c r="B3655" s="4" t="s">
        <v>462</v>
      </c>
      <c r="C3655" s="4" t="s">
        <v>278</v>
      </c>
      <c r="D3655" s="94">
        <v>3015.0</v>
      </c>
    </row>
    <row r="3656">
      <c r="A3656" s="40">
        <f t="array" ref="A3656">IFNA(index(PlayerValues!A:A,match(IFNA(vlookup(B3656,'Special Names'!A:B,2,FALSE),B3656),PlayerValues!E:E,0)),"N/A")</f>
        <v>14800</v>
      </c>
      <c r="B3656" s="4" t="s">
        <v>472</v>
      </c>
      <c r="C3656" s="4" t="s">
        <v>278</v>
      </c>
      <c r="D3656" s="94">
        <v>2996.0</v>
      </c>
    </row>
    <row r="3657">
      <c r="A3657" s="40">
        <f t="array" ref="A3657">IFNA(index(PlayerValues!A:A,match(IFNA(vlookup(B3657,'Special Names'!A:B,2,FALSE),B3657),PlayerValues!E:E,0)),"N/A")</f>
        <v>15255</v>
      </c>
      <c r="B3657" s="4" t="s">
        <v>477</v>
      </c>
      <c r="C3657" s="4" t="s">
        <v>278</v>
      </c>
      <c r="D3657" s="94">
        <v>2991.0</v>
      </c>
    </row>
    <row r="3658">
      <c r="A3658" s="40">
        <f t="array" ref="A3658">IFNA(index(PlayerValues!A:A,match(IFNA(vlookup(B3658,'Special Names'!A:B,2,FALSE),B3658),PlayerValues!E:E,0)),"N/A")</f>
        <v>14127</v>
      </c>
      <c r="B3658" s="4" t="s">
        <v>486</v>
      </c>
      <c r="C3658" s="4" t="s">
        <v>287</v>
      </c>
      <c r="D3658" s="94">
        <v>2965.0</v>
      </c>
    </row>
    <row r="3659">
      <c r="A3659" s="40">
        <f t="array" ref="A3659">IFNA(index(PlayerValues!A:A,match(IFNA(vlookup(B3659,'Special Names'!A:B,2,FALSE),B3659),PlayerValues!E:E,0)),"N/A")</f>
        <v>13163</v>
      </c>
      <c r="B3659" s="4" t="s">
        <v>473</v>
      </c>
      <c r="C3659" s="4" t="s">
        <v>287</v>
      </c>
      <c r="D3659" s="94">
        <v>2958.0</v>
      </c>
    </row>
    <row r="3660">
      <c r="A3660" s="40" t="str">
        <f t="array" ref="A3660">IFNA(index(PlayerValues!A:A,match(IFNA(vlookup(B3660,'Special Names'!A:B,2,FALSE),B3660),PlayerValues!E:E,0)),"N/A")</f>
        <v>N/A</v>
      </c>
      <c r="B3660" s="4" t="s">
        <v>109</v>
      </c>
      <c r="C3660" s="4" t="s">
        <v>325</v>
      </c>
      <c r="D3660" s="94">
        <v>2938.0</v>
      </c>
    </row>
    <row r="3661">
      <c r="A3661" s="40">
        <f t="array" ref="A3661">IFNA(index(PlayerValues!A:A,match(IFNA(vlookup(B3661,'Special Names'!A:B,2,FALSE),B3661),PlayerValues!E:E,0)),"N/A")</f>
        <v>17503</v>
      </c>
      <c r="B3661" s="4" t="s">
        <v>480</v>
      </c>
      <c r="C3661" s="4" t="s">
        <v>287</v>
      </c>
      <c r="D3661" s="94">
        <v>2933.0</v>
      </c>
    </row>
    <row r="3662">
      <c r="A3662" s="40">
        <f t="array" ref="A3662">IFNA(index(PlayerValues!A:A,match(IFNA(vlookup(B3662,'Special Names'!A:B,2,FALSE),B3662),PlayerValues!E:E,0)),"N/A")</f>
        <v>17476</v>
      </c>
      <c r="B3662" s="4" t="s">
        <v>494</v>
      </c>
      <c r="C3662" s="4" t="s">
        <v>278</v>
      </c>
      <c r="D3662" s="94">
        <v>2879.0</v>
      </c>
    </row>
    <row r="3663">
      <c r="A3663" s="40">
        <f t="array" ref="A3663">IFNA(index(PlayerValues!A:A,match(IFNA(vlookup(B3663,'Special Names'!A:B,2,FALSE),B3663),PlayerValues!E:E,0)),"N/A")</f>
        <v>15761</v>
      </c>
      <c r="B3663" s="4" t="s">
        <v>491</v>
      </c>
      <c r="C3663" s="4" t="s">
        <v>287</v>
      </c>
      <c r="D3663" s="94">
        <v>2862.0</v>
      </c>
    </row>
    <row r="3664">
      <c r="A3664" s="40">
        <f t="array" ref="A3664">IFNA(index(PlayerValues!A:A,match(IFNA(vlookup(B3664,'Special Names'!A:B,2,FALSE),B3664),PlayerValues!E:E,0)),"N/A")</f>
        <v>14085</v>
      </c>
      <c r="B3664" s="4" t="s">
        <v>489</v>
      </c>
      <c r="C3664" s="4" t="s">
        <v>278</v>
      </c>
      <c r="D3664" s="94">
        <v>2841.0</v>
      </c>
    </row>
    <row r="3665">
      <c r="A3665" s="40">
        <f t="array" ref="A3665">IFNA(index(PlayerValues!A:A,match(IFNA(vlookup(B3665,'Special Names'!A:B,2,FALSE),B3665),PlayerValues!E:E,0)),"N/A")</f>
        <v>16080</v>
      </c>
      <c r="B3665" s="4" t="s">
        <v>499</v>
      </c>
      <c r="C3665" s="4" t="s">
        <v>287</v>
      </c>
      <c r="D3665" s="94">
        <v>2819.0</v>
      </c>
    </row>
    <row r="3666">
      <c r="A3666" s="40">
        <f t="array" ref="A3666">IFNA(index(PlayerValues!A:A,match(IFNA(vlookup(B3666,'Special Names'!A:B,2,FALSE),B3666),PlayerValues!E:E,0)),"N/A")</f>
        <v>15889</v>
      </c>
      <c r="B3666" s="4" t="s">
        <v>503</v>
      </c>
      <c r="C3666" s="4" t="s">
        <v>298</v>
      </c>
      <c r="D3666" s="94">
        <v>3220.0</v>
      </c>
    </row>
    <row r="3667">
      <c r="A3667" s="40">
        <f t="array" ref="A3667">IFNA(index(PlayerValues!A:A,match(IFNA(vlookup(B3667,'Special Names'!A:B,2,FALSE),B3667),PlayerValues!E:E,0)),"N/A")</f>
        <v>16583</v>
      </c>
      <c r="B3667" s="4" t="s">
        <v>493</v>
      </c>
      <c r="C3667" s="4" t="s">
        <v>283</v>
      </c>
      <c r="D3667" s="94">
        <v>2798.0</v>
      </c>
    </row>
    <row r="3668">
      <c r="A3668" s="40" t="str">
        <f t="array" ref="A3668">IFNA(index(PlayerValues!A:A,match(IFNA(vlookup(B3668,'Special Names'!A:B,2,FALSE),B3668),PlayerValues!E:E,0)),"N/A")</f>
        <v>N/A</v>
      </c>
      <c r="B3668" s="4" t="s">
        <v>85</v>
      </c>
      <c r="C3668" s="4" t="s">
        <v>325</v>
      </c>
      <c r="D3668" s="94">
        <v>2797.0</v>
      </c>
    </row>
    <row r="3669">
      <c r="A3669" s="40" t="str">
        <f t="array" ref="A3669">IFNA(index(PlayerValues!A:A,match(IFNA(vlookup(B3669,'Special Names'!A:B,2,FALSE),B3669),PlayerValues!E:E,0)),"N/A")</f>
        <v>N/A</v>
      </c>
      <c r="B3669" s="4" t="s">
        <v>110</v>
      </c>
      <c r="C3669" s="4" t="s">
        <v>325</v>
      </c>
      <c r="D3669" s="94">
        <v>2779.0</v>
      </c>
    </row>
    <row r="3670">
      <c r="A3670" s="40">
        <f t="array" ref="A3670">IFNA(index(PlayerValues!A:A,match(IFNA(vlookup(B3670,'Special Names'!A:B,2,FALSE),B3670),PlayerValues!E:E,0)),"N/A")</f>
        <v>16723</v>
      </c>
      <c r="B3670" s="4" t="s">
        <v>502</v>
      </c>
      <c r="C3670" s="4" t="s">
        <v>298</v>
      </c>
      <c r="D3670" s="94">
        <v>3188.0</v>
      </c>
    </row>
    <row r="3671">
      <c r="A3671" s="40">
        <f t="array" ref="A3671">IFNA(index(PlayerValues!A:A,match(IFNA(vlookup(B3671,'Special Names'!A:B,2,FALSE),B3671),PlayerValues!E:E,0)),"N/A")</f>
        <v>17047</v>
      </c>
      <c r="B3671" s="4" t="s">
        <v>510</v>
      </c>
      <c r="C3671" s="4" t="s">
        <v>278</v>
      </c>
      <c r="D3671" s="94">
        <v>2767.0</v>
      </c>
    </row>
    <row r="3672">
      <c r="A3672" s="40">
        <f t="array" ref="A3672">IFNA(index(PlayerValues!A:A,match(IFNA(vlookup(B3672,'Special Names'!A:B,2,FALSE),B3672),PlayerValues!E:E,0)),"N/A")</f>
        <v>17107</v>
      </c>
      <c r="B3672" s="4" t="s">
        <v>478</v>
      </c>
      <c r="C3672" s="4" t="s">
        <v>298</v>
      </c>
      <c r="D3672" s="94">
        <v>3164.0</v>
      </c>
    </row>
    <row r="3673">
      <c r="A3673" s="40">
        <f t="array" ref="A3673">IFNA(index(PlayerValues!A:A,match(IFNA(vlookup(B3673,'Special Names'!A:B,2,FALSE),B3673),PlayerValues!E:E,0)),"N/A")</f>
        <v>13671</v>
      </c>
      <c r="B3673" s="4" t="s">
        <v>506</v>
      </c>
      <c r="C3673" s="4" t="s">
        <v>298</v>
      </c>
      <c r="D3673" s="94">
        <v>3164.0</v>
      </c>
    </row>
    <row r="3674">
      <c r="A3674" s="40">
        <f t="array" ref="A3674">IFNA(index(PlayerValues!A:A,match(IFNA(vlookup(B3674,'Special Names'!A:B,2,FALSE),B3674),PlayerValues!E:E,0)),"N/A")</f>
        <v>15721</v>
      </c>
      <c r="B3674" s="4" t="s">
        <v>504</v>
      </c>
      <c r="C3674" s="4" t="s">
        <v>278</v>
      </c>
      <c r="D3674" s="94">
        <v>2745.0</v>
      </c>
    </row>
    <row r="3675">
      <c r="A3675" s="40">
        <f t="array" ref="A3675">IFNA(index(PlayerValues!A:A,match(IFNA(vlookup(B3675,'Special Names'!A:B,2,FALSE),B3675),PlayerValues!E:E,0)),"N/A")</f>
        <v>17053</v>
      </c>
      <c r="B3675" s="4" t="s">
        <v>484</v>
      </c>
      <c r="C3675" s="4" t="s">
        <v>278</v>
      </c>
      <c r="D3675" s="94">
        <v>2735.0</v>
      </c>
    </row>
    <row r="3676">
      <c r="A3676" s="40">
        <f t="array" ref="A3676">IFNA(index(PlayerValues!A:A,match(IFNA(vlookup(B3676,'Special Names'!A:B,2,FALSE),B3676),PlayerValues!E:E,0)),"N/A")</f>
        <v>17157</v>
      </c>
      <c r="B3676" s="4" t="s">
        <v>524</v>
      </c>
      <c r="C3676" s="4" t="s">
        <v>287</v>
      </c>
      <c r="D3676" s="94">
        <v>2728.0</v>
      </c>
    </row>
    <row r="3677">
      <c r="A3677" s="40">
        <f t="array" ref="A3677">IFNA(index(PlayerValues!A:A,match(IFNA(vlookup(B3677,'Special Names'!A:B,2,FALSE),B3677),PlayerValues!E:E,0)),"N/A")</f>
        <v>15972</v>
      </c>
      <c r="B3677" s="4" t="s">
        <v>469</v>
      </c>
      <c r="C3677" s="4" t="s">
        <v>278</v>
      </c>
      <c r="D3677" s="94">
        <v>2714.0</v>
      </c>
    </row>
    <row r="3678">
      <c r="A3678" s="40">
        <f t="array" ref="A3678">IFNA(index(PlayerValues!A:A,match(IFNA(vlookup(B3678,'Special Names'!A:B,2,FALSE),B3678),PlayerValues!E:E,0)),"N/A")</f>
        <v>14138</v>
      </c>
      <c r="B3678" s="4" t="s">
        <v>531</v>
      </c>
      <c r="C3678" s="4" t="s">
        <v>298</v>
      </c>
      <c r="D3678" s="94">
        <v>3112.0</v>
      </c>
    </row>
    <row r="3679">
      <c r="A3679" s="40">
        <f t="array" ref="A3679">IFNA(index(PlayerValues!A:A,match(IFNA(vlookup(B3679,'Special Names'!A:B,2,FALSE),B3679),PlayerValues!E:E,0)),"N/A")</f>
        <v>15712</v>
      </c>
      <c r="B3679" s="4" t="s">
        <v>488</v>
      </c>
      <c r="C3679" s="4" t="s">
        <v>278</v>
      </c>
      <c r="D3679" s="94">
        <v>2689.0</v>
      </c>
    </row>
    <row r="3680">
      <c r="A3680" s="40">
        <f t="array" ref="A3680">IFNA(index(PlayerValues!A:A,match(IFNA(vlookup(B3680,'Special Names'!A:B,2,FALSE),B3680),PlayerValues!E:E,0)),"N/A")</f>
        <v>17505</v>
      </c>
      <c r="B3680" s="4" t="s">
        <v>528</v>
      </c>
      <c r="C3680" s="4" t="s">
        <v>287</v>
      </c>
      <c r="D3680" s="94">
        <v>2686.0</v>
      </c>
    </row>
    <row r="3681">
      <c r="A3681" s="40">
        <f t="array" ref="A3681">IFNA(index(PlayerValues!A:A,match(IFNA(vlookup(B3681,'Special Names'!A:B,2,FALSE),B3681),PlayerValues!E:E,0)),"N/A")</f>
        <v>17507</v>
      </c>
      <c r="B3681" s="4" t="s">
        <v>495</v>
      </c>
      <c r="C3681" s="4" t="s">
        <v>287</v>
      </c>
      <c r="D3681" s="94">
        <v>2684.0</v>
      </c>
    </row>
    <row r="3682">
      <c r="A3682" s="40">
        <f t="array" ref="A3682">IFNA(index(PlayerValues!A:A,match(IFNA(vlookup(B3682,'Special Names'!A:B,2,FALSE),B3682),PlayerValues!E:E,0)),"N/A")</f>
        <v>17031</v>
      </c>
      <c r="B3682" s="4" t="s">
        <v>535</v>
      </c>
      <c r="C3682" s="4" t="s">
        <v>283</v>
      </c>
      <c r="D3682" s="94">
        <v>2678.0</v>
      </c>
    </row>
    <row r="3683">
      <c r="A3683" s="40">
        <f t="array" ref="A3683">IFNA(index(PlayerValues!A:A,match(IFNA(vlookup(B3683,'Special Names'!A:B,2,FALSE),B3683),PlayerValues!E:E,0)),"N/A")</f>
        <v>17072</v>
      </c>
      <c r="B3683" s="4" t="s">
        <v>508</v>
      </c>
      <c r="C3683" s="4" t="s">
        <v>287</v>
      </c>
      <c r="D3683" s="94">
        <v>2678.0</v>
      </c>
    </row>
    <row r="3684">
      <c r="A3684" s="40">
        <f t="array" ref="A3684">IFNA(index(PlayerValues!A:A,match(IFNA(vlookup(B3684,'Special Names'!A:B,2,FALSE),B3684),PlayerValues!E:E,0)),"N/A")</f>
        <v>15241</v>
      </c>
      <c r="B3684" s="4" t="s">
        <v>546</v>
      </c>
      <c r="C3684" s="4" t="s">
        <v>283</v>
      </c>
      <c r="D3684" s="94">
        <v>2671.0</v>
      </c>
    </row>
    <row r="3685">
      <c r="A3685" s="40">
        <f t="array" ref="A3685">IFNA(index(PlayerValues!A:A,match(IFNA(vlookup(B3685,'Special Names'!A:B,2,FALSE),B3685),PlayerValues!E:E,0)),"N/A")</f>
        <v>14778</v>
      </c>
      <c r="B3685" s="4" t="s">
        <v>564</v>
      </c>
      <c r="C3685" s="4" t="s">
        <v>283</v>
      </c>
      <c r="D3685" s="94">
        <v>2664.0</v>
      </c>
    </row>
    <row r="3686">
      <c r="A3686" s="40">
        <f t="array" ref="A3686">IFNA(index(PlayerValues!A:A,match(IFNA(vlookup(B3686,'Special Names'!A:B,2,FALSE),B3686),PlayerValues!E:E,0)),"N/A")</f>
        <v>13674</v>
      </c>
      <c r="B3686" s="4" t="s">
        <v>511</v>
      </c>
      <c r="C3686" s="4" t="s">
        <v>298</v>
      </c>
      <c r="D3686" s="94">
        <v>3072.0</v>
      </c>
    </row>
    <row r="3687">
      <c r="A3687" s="40">
        <f t="array" ref="A3687">IFNA(index(PlayerValues!A:A,match(IFNA(vlookup(B3687,'Special Names'!A:B,2,FALSE),B3687),PlayerValues!E:E,0)),"N/A")</f>
        <v>16626</v>
      </c>
      <c r="B3687" s="4" t="s">
        <v>515</v>
      </c>
      <c r="C3687" s="4" t="s">
        <v>287</v>
      </c>
      <c r="D3687" s="94">
        <v>2647.0</v>
      </c>
    </row>
    <row r="3688">
      <c r="A3688" s="40">
        <f t="array" ref="A3688">IFNA(index(PlayerValues!A:A,match(IFNA(vlookup(B3688,'Special Names'!A:B,2,FALSE),B3688),PlayerValues!E:E,0)),"N/A")</f>
        <v>17080</v>
      </c>
      <c r="B3688" s="4" t="s">
        <v>532</v>
      </c>
      <c r="C3688" s="4" t="s">
        <v>287</v>
      </c>
      <c r="D3688" s="94">
        <v>2644.0</v>
      </c>
    </row>
    <row r="3689">
      <c r="A3689" s="40">
        <f t="array" ref="A3689">IFNA(index(PlayerValues!A:A,match(IFNA(vlookup(B3689,'Special Names'!A:B,2,FALSE),B3689),PlayerValues!E:E,0)),"N/A")</f>
        <v>17105</v>
      </c>
      <c r="B3689" s="4" t="s">
        <v>525</v>
      </c>
      <c r="C3689" s="4" t="s">
        <v>298</v>
      </c>
      <c r="D3689" s="94">
        <v>3053.0</v>
      </c>
    </row>
    <row r="3690">
      <c r="A3690" s="40">
        <f t="array" ref="A3690">IFNA(index(PlayerValues!A:A,match(IFNA(vlookup(B3690,'Special Names'!A:B,2,FALSE),B3690),PlayerValues!E:E,0)),"N/A")</f>
        <v>16174</v>
      </c>
      <c r="B3690" s="4" t="s">
        <v>505</v>
      </c>
      <c r="C3690" s="4" t="s">
        <v>278</v>
      </c>
      <c r="D3690" s="94">
        <v>2640.0</v>
      </c>
    </row>
    <row r="3691">
      <c r="A3691" s="40">
        <f t="array" ref="A3691">IFNA(index(PlayerValues!A:A,match(IFNA(vlookup(B3691,'Special Names'!A:B,2,FALSE),B3691),PlayerValues!E:E,0)),"N/A")</f>
        <v>16584</v>
      </c>
      <c r="B3691" s="4" t="s">
        <v>569</v>
      </c>
      <c r="C3691" s="4" t="s">
        <v>283</v>
      </c>
      <c r="D3691" s="94">
        <v>2633.0</v>
      </c>
    </row>
    <row r="3692">
      <c r="A3692" s="40">
        <f t="array" ref="A3692">IFNA(index(PlayerValues!A:A,match(IFNA(vlookup(B3692,'Special Names'!A:B,2,FALSE),B3692),PlayerValues!E:E,0)),"N/A")</f>
        <v>11244</v>
      </c>
      <c r="B3692" s="4" t="s">
        <v>519</v>
      </c>
      <c r="C3692" s="4" t="s">
        <v>298</v>
      </c>
      <c r="D3692" s="94">
        <v>3040.0</v>
      </c>
    </row>
    <row r="3693">
      <c r="A3693" s="40">
        <f t="array" ref="A3693">IFNA(index(PlayerValues!A:A,match(IFNA(vlookup(B3693,'Special Names'!A:B,2,FALSE),B3693),PlayerValues!E:E,0)),"N/A")</f>
        <v>17520</v>
      </c>
      <c r="B3693" s="4" t="s">
        <v>518</v>
      </c>
      <c r="C3693" s="4" t="s">
        <v>287</v>
      </c>
      <c r="D3693" s="94">
        <v>2616.0</v>
      </c>
    </row>
    <row r="3694">
      <c r="A3694" s="40">
        <f t="array" ref="A3694">IFNA(index(PlayerValues!A:A,match(IFNA(vlookup(B3694,'Special Names'!A:B,2,FALSE),B3694),PlayerValues!E:E,0)),"N/A")</f>
        <v>16596</v>
      </c>
      <c r="B3694" s="4" t="s">
        <v>501</v>
      </c>
      <c r="C3694" s="4" t="s">
        <v>278</v>
      </c>
      <c r="D3694" s="94">
        <v>2612.0</v>
      </c>
    </row>
    <row r="3695">
      <c r="A3695" s="40">
        <f t="array" ref="A3695">IFNA(index(PlayerValues!A:A,match(IFNA(vlookup(B3695,'Special Names'!A:B,2,FALSE),B3695),PlayerValues!E:E,0)),"N/A")</f>
        <v>16747</v>
      </c>
      <c r="B3695" s="4" t="s">
        <v>555</v>
      </c>
      <c r="C3695" s="4" t="s">
        <v>278</v>
      </c>
      <c r="D3695" s="94">
        <v>2611.0</v>
      </c>
    </row>
    <row r="3696">
      <c r="A3696" s="40">
        <f t="array" ref="A3696">IFNA(index(PlayerValues!A:A,match(IFNA(vlookup(B3696,'Special Names'!A:B,2,FALSE),B3696),PlayerValues!E:E,0)),"N/A")</f>
        <v>17098</v>
      </c>
      <c r="B3696" s="4" t="s">
        <v>533</v>
      </c>
      <c r="C3696" s="4" t="s">
        <v>287</v>
      </c>
      <c r="D3696" s="94">
        <v>2611.0</v>
      </c>
    </row>
    <row r="3697">
      <c r="A3697" s="40">
        <f t="array" ref="A3697">IFNA(index(PlayerValues!A:A,match(IFNA(vlookup(B3697,'Special Names'!A:B,2,FALSE),B3697),PlayerValues!E:E,0)),"N/A")</f>
        <v>17511</v>
      </c>
      <c r="B3697" s="4" t="s">
        <v>485</v>
      </c>
      <c r="C3697" s="4" t="s">
        <v>287</v>
      </c>
      <c r="D3697" s="94">
        <v>2601.0</v>
      </c>
    </row>
    <row r="3698">
      <c r="A3698" s="40">
        <f t="array" ref="A3698">IFNA(index(PlayerValues!A:A,match(IFNA(vlookup(B3698,'Special Names'!A:B,2,FALSE),B3698),PlayerValues!E:E,0)),"N/A")</f>
        <v>16164</v>
      </c>
      <c r="B3698" s="4" t="s">
        <v>512</v>
      </c>
      <c r="C3698" s="4" t="s">
        <v>278</v>
      </c>
      <c r="D3698" s="94">
        <v>2598.0</v>
      </c>
    </row>
    <row r="3699">
      <c r="A3699" s="40">
        <f t="array" ref="A3699">IFNA(index(PlayerValues!A:A,match(IFNA(vlookup(B3699,'Special Names'!A:B,2,FALSE),B3699),PlayerValues!E:E,0)),"N/A")</f>
        <v>17466</v>
      </c>
      <c r="B3699" s="4" t="s">
        <v>492</v>
      </c>
      <c r="C3699" s="4" t="s">
        <v>283</v>
      </c>
      <c r="D3699" s="94">
        <v>2596.0</v>
      </c>
    </row>
    <row r="3700">
      <c r="A3700" s="40">
        <f t="array" ref="A3700">IFNA(index(PlayerValues!A:A,match(IFNA(vlookup(B3700,'Special Names'!A:B,2,FALSE),B3700),PlayerValues!E:E,0)),"N/A")</f>
        <v>16178</v>
      </c>
      <c r="B3700" s="4" t="s">
        <v>507</v>
      </c>
      <c r="C3700" s="4" t="s">
        <v>278</v>
      </c>
      <c r="D3700" s="94">
        <v>2590.0</v>
      </c>
    </row>
    <row r="3701">
      <c r="A3701" s="40">
        <f t="array" ref="A3701">IFNA(index(PlayerValues!A:A,match(IFNA(vlookup(B3701,'Special Names'!A:B,2,FALSE),B3701),PlayerValues!E:E,0)),"N/A")</f>
        <v>12616</v>
      </c>
      <c r="B3701" s="4" t="s">
        <v>529</v>
      </c>
      <c r="C3701" s="4" t="s">
        <v>283</v>
      </c>
      <c r="D3701" s="94">
        <v>2578.0</v>
      </c>
    </row>
    <row r="3702">
      <c r="A3702" s="40">
        <f t="array" ref="A3702">IFNA(index(PlayerValues!A:A,match(IFNA(vlookup(B3702,'Special Names'!A:B,2,FALSE),B3702),PlayerValues!E:E,0)),"N/A")</f>
        <v>16204</v>
      </c>
      <c r="B3702" s="4" t="s">
        <v>530</v>
      </c>
      <c r="C3702" s="4" t="s">
        <v>287</v>
      </c>
      <c r="D3702" s="94">
        <v>2578.0</v>
      </c>
    </row>
    <row r="3703">
      <c r="A3703" s="40" t="str">
        <f t="array" ref="A3703">IFNA(index(PlayerValues!A:A,match(IFNA(vlookup(B3703,'Special Names'!A:B,2,FALSE),B3703),PlayerValues!E:E,0)),"N/A")</f>
        <v>N/A</v>
      </c>
      <c r="B3703" s="4" t="s">
        <v>98</v>
      </c>
      <c r="C3703" s="4" t="s">
        <v>325</v>
      </c>
      <c r="D3703" s="94">
        <v>2575.0</v>
      </c>
    </row>
    <row r="3704">
      <c r="A3704" s="40">
        <f t="array" ref="A3704">IFNA(index(PlayerValues!A:A,match(IFNA(vlookup(B3704,'Special Names'!A:B,2,FALSE),B3704),PlayerValues!E:E,0)),"N/A")</f>
        <v>15786</v>
      </c>
      <c r="B3704" s="4" t="s">
        <v>521</v>
      </c>
      <c r="C3704" s="4" t="s">
        <v>287</v>
      </c>
      <c r="D3704" s="94">
        <v>2571.0</v>
      </c>
    </row>
    <row r="3705">
      <c r="A3705" s="40">
        <f t="array" ref="A3705">IFNA(index(PlayerValues!A:A,match(IFNA(vlookup(B3705,'Special Names'!A:B,2,FALSE),B3705),PlayerValues!E:E,0)),"N/A")</f>
        <v>16287</v>
      </c>
      <c r="B3705" s="4" t="s">
        <v>516</v>
      </c>
      <c r="C3705" s="4" t="s">
        <v>287</v>
      </c>
      <c r="D3705" s="94">
        <v>2563.0</v>
      </c>
    </row>
    <row r="3706">
      <c r="A3706" s="40">
        <f t="array" ref="A3706">IFNA(index(PlayerValues!A:A,match(IFNA(vlookup(B3706,'Special Names'!A:B,2,FALSE),B3706),PlayerValues!E:E,0)),"N/A")</f>
        <v>16684</v>
      </c>
      <c r="B3706" s="4" t="s">
        <v>500</v>
      </c>
      <c r="C3706" s="4" t="s">
        <v>287</v>
      </c>
      <c r="D3706" s="94">
        <v>2563.0</v>
      </c>
    </row>
    <row r="3707">
      <c r="A3707" s="40">
        <f t="array" ref="A3707">IFNA(index(PlayerValues!A:A,match(IFNA(vlookup(B3707,'Special Names'!A:B,2,FALSE),B3707),PlayerValues!E:E,0)),"N/A")</f>
        <v>16165</v>
      </c>
      <c r="B3707" s="4" t="s">
        <v>520</v>
      </c>
      <c r="C3707" s="4" t="s">
        <v>278</v>
      </c>
      <c r="D3707" s="94">
        <v>2557.0</v>
      </c>
    </row>
    <row r="3708">
      <c r="A3708" s="40">
        <f t="array" ref="A3708">IFNA(index(PlayerValues!A:A,match(IFNA(vlookup(B3708,'Special Names'!A:B,2,FALSE),B3708),PlayerValues!E:E,0)),"N/A")</f>
        <v>16193</v>
      </c>
      <c r="B3708" s="4" t="s">
        <v>487</v>
      </c>
      <c r="C3708" s="4" t="s">
        <v>287</v>
      </c>
      <c r="D3708" s="94">
        <v>2549.0</v>
      </c>
    </row>
    <row r="3709">
      <c r="A3709" s="40">
        <f t="array" ref="A3709">IFNA(index(PlayerValues!A:A,match(IFNA(vlookup(B3709,'Special Names'!A:B,2,FALSE),B3709),PlayerValues!E:E,0)),"N/A")</f>
        <v>16619</v>
      </c>
      <c r="B3709" s="4" t="s">
        <v>538</v>
      </c>
      <c r="C3709" s="4" t="s">
        <v>287</v>
      </c>
      <c r="D3709" s="94">
        <v>2527.0</v>
      </c>
    </row>
    <row r="3710">
      <c r="A3710" s="40">
        <f t="array" ref="A3710">IFNA(index(PlayerValues!A:A,match(IFNA(vlookup(B3710,'Special Names'!A:B,2,FALSE),B3710),PlayerValues!E:E,0)),"N/A")</f>
        <v>14833</v>
      </c>
      <c r="B3710" s="4" t="s">
        <v>553</v>
      </c>
      <c r="C3710" s="4" t="s">
        <v>287</v>
      </c>
      <c r="D3710" s="94">
        <v>2511.0</v>
      </c>
    </row>
    <row r="3711">
      <c r="A3711" s="40">
        <f t="array" ref="A3711">IFNA(index(PlayerValues!A:A,match(IFNA(vlookup(B3711,'Special Names'!A:B,2,FALSE),B3711),PlayerValues!E:E,0)),"N/A")</f>
        <v>17108</v>
      </c>
      <c r="B3711" s="4" t="s">
        <v>542</v>
      </c>
      <c r="C3711" s="4" t="s">
        <v>298</v>
      </c>
      <c r="D3711" s="94">
        <v>2916.0</v>
      </c>
    </row>
    <row r="3712">
      <c r="A3712" s="40" t="str">
        <f t="array" ref="A3712">IFNA(index(PlayerValues!A:A,match(IFNA(vlookup(B3712,'Special Names'!A:B,2,FALSE),B3712),PlayerValues!E:E,0)),"N/A")</f>
        <v>N/A</v>
      </c>
      <c r="B3712" s="4" t="s">
        <v>99</v>
      </c>
      <c r="C3712" s="4" t="s">
        <v>325</v>
      </c>
      <c r="D3712" s="94">
        <v>2499.0</v>
      </c>
    </row>
    <row r="3713">
      <c r="A3713" s="40">
        <f t="array" ref="A3713">IFNA(index(PlayerValues!A:A,match(IFNA(vlookup(B3713,'Special Names'!A:B,2,FALSE),B3713),PlayerValues!E:E,0)),"N/A")</f>
        <v>17478</v>
      </c>
      <c r="B3713" s="4" t="s">
        <v>527</v>
      </c>
      <c r="C3713" s="4" t="s">
        <v>278</v>
      </c>
      <c r="D3713" s="94">
        <v>2496.0</v>
      </c>
    </row>
    <row r="3714">
      <c r="A3714" s="40">
        <f t="array" ref="A3714">IFNA(index(PlayerValues!A:A,match(IFNA(vlookup(B3714,'Special Names'!A:B,2,FALSE),B3714),PlayerValues!E:E,0)),"N/A")</f>
        <v>17073</v>
      </c>
      <c r="B3714" s="4" t="s">
        <v>547</v>
      </c>
      <c r="C3714" s="4" t="s">
        <v>287</v>
      </c>
      <c r="D3714" s="94">
        <v>2474.0</v>
      </c>
    </row>
    <row r="3715">
      <c r="A3715" s="40">
        <f t="array" ref="A3715">IFNA(index(PlayerValues!A:A,match(IFNA(vlookup(B3715,'Special Names'!A:B,2,FALSE),B3715),PlayerValues!E:E,0)),"N/A")</f>
        <v>17082</v>
      </c>
      <c r="B3715" s="4" t="s">
        <v>498</v>
      </c>
      <c r="C3715" s="4" t="s">
        <v>287</v>
      </c>
      <c r="D3715" s="94">
        <v>2471.0</v>
      </c>
    </row>
    <row r="3716">
      <c r="A3716" s="40">
        <f t="array" ref="A3716">IFNA(index(PlayerValues!A:A,match(IFNA(vlookup(B3716,'Special Names'!A:B,2,FALSE),B3716),PlayerValues!E:E,0)),"N/A")</f>
        <v>17474</v>
      </c>
      <c r="B3716" s="4" t="s">
        <v>513</v>
      </c>
      <c r="C3716" s="4" t="s">
        <v>278</v>
      </c>
      <c r="D3716" s="94">
        <v>2469.0</v>
      </c>
    </row>
    <row r="3717">
      <c r="A3717" s="40">
        <f t="array" ref="A3717">IFNA(index(PlayerValues!A:A,match(IFNA(vlookup(B3717,'Special Names'!A:B,2,FALSE),B3717),PlayerValues!E:E,0)),"N/A")</f>
        <v>17517</v>
      </c>
      <c r="B3717" s="4" t="s">
        <v>454</v>
      </c>
      <c r="C3717" s="4" t="s">
        <v>287</v>
      </c>
      <c r="D3717" s="94">
        <v>2445.0</v>
      </c>
    </row>
    <row r="3718">
      <c r="A3718" s="40">
        <f t="array" ref="A3718">IFNA(index(PlayerValues!A:A,match(IFNA(vlookup(B3718,'Special Names'!A:B,2,FALSE),B3718),PlayerValues!E:E,0)),"N/A")</f>
        <v>14860</v>
      </c>
      <c r="B3718" s="4" t="s">
        <v>554</v>
      </c>
      <c r="C3718" s="4" t="s">
        <v>287</v>
      </c>
      <c r="D3718" s="94">
        <v>2440.0</v>
      </c>
    </row>
    <row r="3719">
      <c r="A3719" s="40">
        <f t="array" ref="A3719">IFNA(index(PlayerValues!A:A,match(IFNA(vlookup(B3719,'Special Names'!A:B,2,FALSE),B3719),PlayerValues!E:E,0)),"N/A")</f>
        <v>16195</v>
      </c>
      <c r="B3719" s="4" t="s">
        <v>509</v>
      </c>
      <c r="C3719" s="4" t="s">
        <v>287</v>
      </c>
      <c r="D3719" s="94">
        <v>2435.0</v>
      </c>
    </row>
    <row r="3720">
      <c r="A3720" s="40">
        <f t="array" ref="A3720">IFNA(index(PlayerValues!A:A,match(IFNA(vlookup(B3720,'Special Names'!A:B,2,FALSE),B3720),PlayerValues!E:E,0)),"N/A")</f>
        <v>17508</v>
      </c>
      <c r="B3720" s="4" t="s">
        <v>534</v>
      </c>
      <c r="C3720" s="4" t="s">
        <v>287</v>
      </c>
      <c r="D3720" s="94">
        <v>2428.0</v>
      </c>
    </row>
    <row r="3721">
      <c r="A3721" s="40">
        <f t="array" ref="A3721">IFNA(index(PlayerValues!A:A,match(IFNA(vlookup(B3721,'Special Names'!A:B,2,FALSE),B3721),PlayerValues!E:E,0)),"N/A")</f>
        <v>17509</v>
      </c>
      <c r="B3721" s="4" t="s">
        <v>551</v>
      </c>
      <c r="C3721" s="4" t="s">
        <v>287</v>
      </c>
      <c r="D3721" s="94">
        <v>2413.0</v>
      </c>
    </row>
    <row r="3722">
      <c r="A3722" s="40">
        <f t="array" ref="A3722">IFNA(index(PlayerValues!A:A,match(IFNA(vlookup(B3722,'Special Names'!A:B,2,FALSE),B3722),PlayerValues!E:E,0)),"N/A")</f>
        <v>17078</v>
      </c>
      <c r="B3722" s="4" t="s">
        <v>543</v>
      </c>
      <c r="C3722" s="4" t="s">
        <v>287</v>
      </c>
      <c r="D3722" s="94">
        <v>2394.0</v>
      </c>
    </row>
    <row r="3723">
      <c r="A3723" s="40">
        <f t="array" ref="A3723">IFNA(index(PlayerValues!A:A,match(IFNA(vlookup(B3723,'Special Names'!A:B,2,FALSE),B3723),PlayerValues!E:E,0)),"N/A")</f>
        <v>15716</v>
      </c>
      <c r="B3723" s="4" t="s">
        <v>545</v>
      </c>
      <c r="C3723" s="4" t="s">
        <v>278</v>
      </c>
      <c r="D3723" s="94">
        <v>2385.0</v>
      </c>
    </row>
    <row r="3724">
      <c r="A3724" s="40">
        <f t="array" ref="A3724">IFNA(index(PlayerValues!A:A,match(IFNA(vlookup(B3724,'Special Names'!A:B,2,FALSE),B3724),PlayerValues!E:E,0)),"N/A")</f>
        <v>16617</v>
      </c>
      <c r="B3724" s="4" t="s">
        <v>541</v>
      </c>
      <c r="C3724" s="4" t="s">
        <v>287</v>
      </c>
      <c r="D3724" s="94">
        <v>2380.0</v>
      </c>
    </row>
    <row r="3725">
      <c r="A3725" s="40">
        <f t="array" ref="A3725">IFNA(index(PlayerValues!A:A,match(IFNA(vlookup(B3725,'Special Names'!A:B,2,FALSE),B3725),PlayerValues!E:E,0)),"N/A")</f>
        <v>12676</v>
      </c>
      <c r="B3725" s="4" t="s">
        <v>537</v>
      </c>
      <c r="C3725" s="4" t="s">
        <v>298</v>
      </c>
      <c r="D3725" s="94">
        <v>2762.0</v>
      </c>
    </row>
    <row r="3726">
      <c r="A3726" s="40" t="str">
        <f t="array" ref="A3726">IFNA(index(PlayerValues!A:A,match(IFNA(vlookup(B3726,'Special Names'!A:B,2,FALSE),B3726),PlayerValues!E:E,0)),"N/A")</f>
        <v>N/A</v>
      </c>
      <c r="B3726" s="4" t="s">
        <v>86</v>
      </c>
      <c r="C3726" s="4" t="s">
        <v>325</v>
      </c>
      <c r="D3726" s="94">
        <v>2359.0</v>
      </c>
    </row>
    <row r="3727">
      <c r="A3727" s="40">
        <f t="array" ref="A3727">IFNA(index(PlayerValues!A:A,match(IFNA(vlookup(B3727,'Special Names'!A:B,2,FALSE),B3727),PlayerValues!E:E,0)),"N/A")</f>
        <v>13319</v>
      </c>
      <c r="B3727" s="4" t="s">
        <v>549</v>
      </c>
      <c r="C3727" s="4" t="s">
        <v>278</v>
      </c>
      <c r="D3727" s="94">
        <v>2356.0</v>
      </c>
    </row>
    <row r="3728">
      <c r="A3728" s="40">
        <f t="array" ref="A3728">IFNA(index(PlayerValues!A:A,match(IFNA(vlookup(B3728,'Special Names'!A:B,2,FALSE),B3728),PlayerValues!E:E,0)),"N/A")</f>
        <v>17106</v>
      </c>
      <c r="B3728" s="4" t="s">
        <v>550</v>
      </c>
      <c r="C3728" s="4" t="s">
        <v>298</v>
      </c>
      <c r="D3728" s="94">
        <v>2726.0</v>
      </c>
    </row>
    <row r="3729">
      <c r="A3729" s="40">
        <f t="array" ref="A3729">IFNA(index(PlayerValues!A:A,match(IFNA(vlookup(B3729,'Special Names'!A:B,2,FALSE),B3729),PlayerValues!E:E,0)),"N/A")</f>
        <v>14861</v>
      </c>
      <c r="B3729" s="4" t="s">
        <v>523</v>
      </c>
      <c r="C3729" s="4" t="s">
        <v>298</v>
      </c>
      <c r="D3729" s="94">
        <v>2715.0</v>
      </c>
    </row>
    <row r="3730">
      <c r="A3730" s="40">
        <f t="array" ref="A3730">IFNA(index(PlayerValues!A:A,match(IFNA(vlookup(B3730,'Special Names'!A:B,2,FALSE),B3730),PlayerValues!E:E,0)),"N/A")</f>
        <v>15331</v>
      </c>
      <c r="B3730" s="4" t="s">
        <v>560</v>
      </c>
      <c r="C3730" s="4" t="s">
        <v>298</v>
      </c>
      <c r="D3730" s="94">
        <v>2700.0</v>
      </c>
    </row>
    <row r="3731">
      <c r="A3731" s="40">
        <f t="array" ref="A3731">IFNA(index(PlayerValues!A:A,match(IFNA(vlookup(B3731,'Special Names'!A:B,2,FALSE),B3731),PlayerValues!E:E,0)),"N/A")</f>
        <v>15802</v>
      </c>
      <c r="B3731" s="4" t="s">
        <v>566</v>
      </c>
      <c r="C3731" s="4" t="s">
        <v>298</v>
      </c>
      <c r="D3731" s="94">
        <v>2697.0</v>
      </c>
    </row>
    <row r="3732">
      <c r="A3732" s="40" t="str">
        <f t="array" ref="A3732">IFNA(index(PlayerValues!A:A,match(IFNA(vlookup(B3732,'Special Names'!A:B,2,FALSE),B3732),PlayerValues!E:E,0)),"N/A")</f>
        <v>N/A</v>
      </c>
      <c r="B3732" s="4" t="s">
        <v>100</v>
      </c>
      <c r="C3732" s="4" t="s">
        <v>325</v>
      </c>
      <c r="D3732" s="94">
        <v>2300.0</v>
      </c>
    </row>
    <row r="3733">
      <c r="A3733" s="40">
        <f t="array" ref="A3733">IFNA(index(PlayerValues!A:A,match(IFNA(vlookup(B3733,'Special Names'!A:B,2,FALSE),B3733),PlayerValues!E:E,0)),"N/A")</f>
        <v>15797</v>
      </c>
      <c r="B3733" s="4" t="s">
        <v>556</v>
      </c>
      <c r="C3733" s="4" t="s">
        <v>298</v>
      </c>
      <c r="D3733" s="94">
        <v>2695.0</v>
      </c>
    </row>
    <row r="3734">
      <c r="A3734" s="40">
        <f t="array" ref="A3734">IFNA(index(PlayerValues!A:A,match(IFNA(vlookup(B3734,'Special Names'!A:B,2,FALSE),B3734),PlayerValues!E:E,0)),"N/A")</f>
        <v>17547</v>
      </c>
      <c r="B3734" s="4" t="s">
        <v>552</v>
      </c>
      <c r="C3734" s="4" t="s">
        <v>298</v>
      </c>
      <c r="D3734" s="94">
        <v>2680.0</v>
      </c>
    </row>
    <row r="3735">
      <c r="A3735" s="40">
        <f t="array" ref="A3735">IFNA(index(PlayerValues!A:A,match(IFNA(vlookup(B3735,'Special Names'!A:B,2,FALSE),B3735),PlayerValues!E:E,0)),"N/A")</f>
        <v>17055</v>
      </c>
      <c r="B3735" s="4" t="s">
        <v>565</v>
      </c>
      <c r="C3735" s="4" t="s">
        <v>278</v>
      </c>
      <c r="D3735" s="94">
        <v>2283.0</v>
      </c>
    </row>
    <row r="3736">
      <c r="A3736" s="40">
        <f t="array" ref="A3736">IFNA(index(PlayerValues!A:A,match(IFNA(vlookup(B3736,'Special Names'!A:B,2,FALSE),B3736),PlayerValues!E:E,0)),"N/A")</f>
        <v>17171</v>
      </c>
      <c r="B3736" s="4" t="s">
        <v>561</v>
      </c>
      <c r="C3736" s="4" t="s">
        <v>287</v>
      </c>
      <c r="D3736" s="94">
        <v>2279.0</v>
      </c>
    </row>
    <row r="3737">
      <c r="A3737" s="40">
        <f t="array" ref="A3737">IFNA(index(PlayerValues!A:A,match(IFNA(vlookup(B3737,'Special Names'!A:B,2,FALSE),B3737),PlayerValues!E:E,0)),"N/A")</f>
        <v>16166</v>
      </c>
      <c r="B3737" s="4" t="s">
        <v>567</v>
      </c>
      <c r="C3737" s="4" t="s">
        <v>278</v>
      </c>
      <c r="D3737" s="94">
        <v>2278.0</v>
      </c>
    </row>
    <row r="3738">
      <c r="A3738" s="40">
        <f t="array" ref="A3738">IFNA(index(PlayerValues!A:A,match(IFNA(vlookup(B3738,'Special Names'!A:B,2,FALSE),B3738),PlayerValues!E:E,0)),"N/A")</f>
        <v>17482</v>
      </c>
      <c r="B3738" s="4" t="s">
        <v>460</v>
      </c>
      <c r="C3738" s="4" t="s">
        <v>278</v>
      </c>
      <c r="D3738" s="94">
        <v>2276.0</v>
      </c>
    </row>
    <row r="3739">
      <c r="A3739" s="40">
        <f t="array" ref="A3739">IFNA(index(PlayerValues!A:A,match(IFNA(vlookup(B3739,'Special Names'!A:B,2,FALSE),B3739),PlayerValues!E:E,0)),"N/A")</f>
        <v>17048</v>
      </c>
      <c r="B3739" s="4" t="s">
        <v>539</v>
      </c>
      <c r="C3739" s="4" t="s">
        <v>278</v>
      </c>
      <c r="D3739" s="94">
        <v>2269.0</v>
      </c>
    </row>
    <row r="3740">
      <c r="A3740" s="40" t="str">
        <f t="array" ref="A3740">IFNA(index(PlayerValues!A:A,match(IFNA(vlookup(B3740,'Special Names'!A:B,2,FALSE),B3740),PlayerValues!E:E,0)),"N/A")</f>
        <v>N/A</v>
      </c>
      <c r="B3740" s="4" t="s">
        <v>557</v>
      </c>
      <c r="C3740" s="4" t="s">
        <v>278</v>
      </c>
      <c r="D3740" s="94">
        <v>2244.0</v>
      </c>
    </row>
    <row r="3741">
      <c r="A3741" s="40" t="str">
        <f t="array" ref="A3741">IFNA(index(PlayerValues!A:A,match(IFNA(vlookup(B3741,'Special Names'!A:B,2,FALSE),B3741),PlayerValues!E:E,0)),"N/A")</f>
        <v>N/A</v>
      </c>
      <c r="B3741" s="4" t="s">
        <v>112</v>
      </c>
      <c r="C3741" s="4" t="s">
        <v>325</v>
      </c>
      <c r="D3741" s="94">
        <v>2238.0</v>
      </c>
    </row>
    <row r="3742">
      <c r="A3742" s="40" t="str">
        <f t="array" ref="A3742">IFNA(index(PlayerValues!A:A,match(IFNA(vlookup(B3742,'Special Names'!A:B,2,FALSE),B3742),PlayerValues!E:E,0)),"N/A")</f>
        <v>N/A</v>
      </c>
      <c r="B3742" s="4" t="s">
        <v>87</v>
      </c>
      <c r="C3742" s="4" t="s">
        <v>325</v>
      </c>
      <c r="D3742" s="94">
        <v>2234.0</v>
      </c>
    </row>
    <row r="3743">
      <c r="A3743" s="40">
        <f t="array" ref="A3743">IFNA(index(PlayerValues!A:A,match(IFNA(vlookup(B3743,'Special Names'!A:B,2,FALSE),B3743),PlayerValues!E:E,0)),"N/A")</f>
        <v>16757</v>
      </c>
      <c r="B3743" s="4" t="s">
        <v>558</v>
      </c>
      <c r="C3743" s="4" t="s">
        <v>278</v>
      </c>
      <c r="D3743" s="94">
        <v>2215.0</v>
      </c>
    </row>
    <row r="3744">
      <c r="A3744" s="40">
        <f t="array" ref="A3744">IFNA(index(PlayerValues!A:A,match(IFNA(vlookup(B3744,'Special Names'!A:B,2,FALSE),B3744),PlayerValues!E:E,0)),"N/A")</f>
        <v>13192</v>
      </c>
      <c r="B3744" s="4" t="s">
        <v>563</v>
      </c>
      <c r="C3744" s="4" t="s">
        <v>298</v>
      </c>
      <c r="D3744" s="94">
        <v>2595.0</v>
      </c>
    </row>
    <row r="3745">
      <c r="A3745" s="40">
        <f t="array" ref="A3745">IFNA(index(PlayerValues!A:A,match(IFNA(vlookup(B3745,'Special Names'!A:B,2,FALSE),B3745),PlayerValues!E:E,0)),"N/A")</f>
        <v>16610</v>
      </c>
      <c r="B3745" s="4" t="s">
        <v>562</v>
      </c>
      <c r="C3745" s="4" t="s">
        <v>278</v>
      </c>
      <c r="D3745" s="94">
        <v>2203.0</v>
      </c>
    </row>
    <row r="3746">
      <c r="A3746" s="40">
        <f t="array" ref="A3746">IFNA(index(PlayerValues!A:A,match(IFNA(vlookup(B3746,'Special Names'!A:B,2,FALSE),B3746),PlayerValues!E:E,0)),"N/A")</f>
        <v>11150</v>
      </c>
      <c r="B3746" s="4" t="s">
        <v>559</v>
      </c>
      <c r="C3746" s="4" t="s">
        <v>283</v>
      </c>
      <c r="D3746" s="94">
        <v>2201.0</v>
      </c>
    </row>
    <row r="3747">
      <c r="A3747" s="40">
        <f t="array" ref="A3747">IFNA(index(PlayerValues!A:A,match(IFNA(vlookup(B3747,'Special Names'!A:B,2,FALSE),B3747),PlayerValues!E:E,0)),"N/A")</f>
        <v>15749</v>
      </c>
      <c r="B3747" s="4" t="s">
        <v>574</v>
      </c>
      <c r="C3747" s="4" t="s">
        <v>278</v>
      </c>
      <c r="D3747" s="94">
        <v>2197.0</v>
      </c>
    </row>
    <row r="3748">
      <c r="A3748" s="40">
        <f t="array" ref="A3748">IFNA(index(PlayerValues!A:A,match(IFNA(vlookup(B3748,'Special Names'!A:B,2,FALSE),B3748),PlayerValues!E:E,0)),"N/A")</f>
        <v>17033</v>
      </c>
      <c r="B3748" s="4" t="s">
        <v>570</v>
      </c>
      <c r="C3748" s="4" t="s">
        <v>283</v>
      </c>
      <c r="D3748" s="94">
        <v>2191.0</v>
      </c>
    </row>
    <row r="3749">
      <c r="A3749" s="40">
        <f t="array" ref="A3749">IFNA(index(PlayerValues!A:A,match(IFNA(vlookup(B3749,'Special Names'!A:B,2,FALSE),B3749),PlayerValues!E:E,0)),"N/A")</f>
        <v>17607</v>
      </c>
      <c r="B3749" s="4" t="s">
        <v>526</v>
      </c>
      <c r="C3749" s="4" t="s">
        <v>298</v>
      </c>
      <c r="D3749" s="94">
        <v>2576.0</v>
      </c>
    </row>
    <row r="3750">
      <c r="A3750" s="40">
        <f t="array" ref="A3750">IFNA(index(PlayerValues!A:A,match(IFNA(vlookup(B3750,'Special Names'!A:B,2,FALSE),B3750),PlayerValues!E:E,0)),"N/A")</f>
        <v>13772</v>
      </c>
      <c r="B3750" s="4" t="s">
        <v>544</v>
      </c>
      <c r="C3750" s="4" t="s">
        <v>298</v>
      </c>
      <c r="D3750" s="94">
        <v>2569.0</v>
      </c>
    </row>
    <row r="3751">
      <c r="A3751" s="40">
        <f t="array" ref="A3751">IFNA(index(PlayerValues!A:A,match(IFNA(vlookup(B3751,'Special Names'!A:B,2,FALSE),B3751),PlayerValues!E:E,0)),"N/A")</f>
        <v>17481</v>
      </c>
      <c r="B3751" s="4" t="s">
        <v>540</v>
      </c>
      <c r="C3751" s="4" t="s">
        <v>278</v>
      </c>
      <c r="D3751" s="94">
        <v>2176.0</v>
      </c>
    </row>
    <row r="3752">
      <c r="A3752" s="40">
        <f t="array" ref="A3752">IFNA(index(PlayerValues!A:A,match(IFNA(vlookup(B3752,'Special Names'!A:B,2,FALSE),B3752),PlayerValues!E:E,0)),"N/A")</f>
        <v>16152</v>
      </c>
      <c r="B3752" s="4" t="s">
        <v>601</v>
      </c>
      <c r="C3752" s="4" t="s">
        <v>283</v>
      </c>
      <c r="D3752" s="94">
        <v>2173.0</v>
      </c>
    </row>
    <row r="3753">
      <c r="A3753" s="40">
        <f t="array" ref="A3753">IFNA(index(PlayerValues!A:A,match(IFNA(vlookup(B3753,'Special Names'!A:B,2,FALSE),B3753),PlayerValues!E:E,0)),"N/A")</f>
        <v>17134</v>
      </c>
      <c r="B3753" s="4" t="s">
        <v>548</v>
      </c>
      <c r="C3753" s="4" t="s">
        <v>287</v>
      </c>
      <c r="D3753" s="94">
        <v>2163.0</v>
      </c>
    </row>
    <row r="3754">
      <c r="A3754" s="40">
        <f t="array" ref="A3754">IFNA(index(PlayerValues!A:A,match(IFNA(vlookup(B3754,'Special Names'!A:B,2,FALSE),B3754),PlayerValues!E:E,0)),"N/A")</f>
        <v>17567</v>
      </c>
      <c r="B3754" s="4" t="s">
        <v>571</v>
      </c>
      <c r="C3754" s="4" t="s">
        <v>298</v>
      </c>
      <c r="D3754" s="94">
        <v>2542.0</v>
      </c>
    </row>
    <row r="3755">
      <c r="A3755" s="40">
        <f t="array" ref="A3755">IFNA(index(PlayerValues!A:A,match(IFNA(vlookup(B3755,'Special Names'!A:B,2,FALSE),B3755),PlayerValues!E:E,0)),"N/A")</f>
        <v>16604</v>
      </c>
      <c r="B3755" s="4" t="s">
        <v>476</v>
      </c>
      <c r="C3755" s="4" t="s">
        <v>278</v>
      </c>
      <c r="D3755" s="94">
        <v>2140.0</v>
      </c>
    </row>
    <row r="3756">
      <c r="A3756" s="40">
        <f t="array" ref="A3756">IFNA(index(PlayerValues!A:A,match(IFNA(vlookup(B3756,'Special Names'!A:B,2,FALSE),B3756),PlayerValues!E:E,0)),"N/A")</f>
        <v>12186</v>
      </c>
      <c r="B3756" s="4" t="s">
        <v>497</v>
      </c>
      <c r="C3756" s="4" t="s">
        <v>287</v>
      </c>
      <c r="D3756" s="94">
        <v>2139.0</v>
      </c>
    </row>
    <row r="3757">
      <c r="A3757" s="40">
        <f t="array" ref="A3757">IFNA(index(PlayerValues!A:A,match(IFNA(vlookup(B3757,'Special Names'!A:B,2,FALSE),B3757),PlayerValues!E:E,0)),"N/A")</f>
        <v>16212</v>
      </c>
      <c r="B3757" s="4" t="s">
        <v>568</v>
      </c>
      <c r="C3757" s="4" t="s">
        <v>298</v>
      </c>
      <c r="D3757" s="94">
        <v>2522.0</v>
      </c>
    </row>
    <row r="3758">
      <c r="A3758" s="40">
        <f t="array" ref="A3758">IFNA(index(PlayerValues!A:A,match(IFNA(vlookup(B3758,'Special Names'!A:B,2,FALSE),B3758),PlayerValues!E:E,0)),"N/A")</f>
        <v>17069</v>
      </c>
      <c r="B3758" s="4" t="s">
        <v>604</v>
      </c>
      <c r="C3758" s="4" t="s">
        <v>278</v>
      </c>
      <c r="D3758" s="94">
        <v>2128.0</v>
      </c>
    </row>
    <row r="3759">
      <c r="A3759" s="40">
        <f t="array" ref="A3759">IFNA(index(PlayerValues!A:A,match(IFNA(vlookup(B3759,'Special Names'!A:B,2,FALSE),B3759),PlayerValues!E:E,0)),"N/A")</f>
        <v>16649</v>
      </c>
      <c r="B3759" s="4" t="s">
        <v>586</v>
      </c>
      <c r="C3759" s="4" t="s">
        <v>298</v>
      </c>
      <c r="D3759" s="94">
        <v>2506.0</v>
      </c>
    </row>
    <row r="3760">
      <c r="A3760" s="40" t="str">
        <f t="array" ref="A3760">IFNA(index(PlayerValues!A:A,match(IFNA(vlookup(B3760,'Special Names'!A:B,2,FALSE),B3760),PlayerValues!E:E,0)),"N/A")</f>
        <v>N/A</v>
      </c>
      <c r="B3760" s="4" t="s">
        <v>113</v>
      </c>
      <c r="C3760" s="4" t="s">
        <v>325</v>
      </c>
      <c r="D3760" s="94">
        <v>2115.0</v>
      </c>
    </row>
    <row r="3761">
      <c r="A3761" s="40">
        <f t="array" ref="A3761">IFNA(index(PlayerValues!A:A,match(IFNA(vlookup(B3761,'Special Names'!A:B,2,FALSE),B3761),PlayerValues!E:E,0)),"N/A")</f>
        <v>16594</v>
      </c>
      <c r="B3761" s="4" t="s">
        <v>607</v>
      </c>
      <c r="C3761" s="4" t="s">
        <v>278</v>
      </c>
      <c r="D3761" s="94">
        <v>2110.0</v>
      </c>
    </row>
    <row r="3762">
      <c r="A3762" s="40">
        <f t="array" ref="A3762">IFNA(index(PlayerValues!A:A,match(IFNA(vlookup(B3762,'Special Names'!A:B,2,FALSE),B3762),PlayerValues!E:E,0)),"N/A")</f>
        <v>17485</v>
      </c>
      <c r="B3762" s="4" t="s">
        <v>522</v>
      </c>
      <c r="C3762" s="4" t="s">
        <v>278</v>
      </c>
      <c r="D3762" s="94">
        <v>2086.0</v>
      </c>
    </row>
    <row r="3763">
      <c r="A3763" s="40">
        <f t="array" ref="A3763">IFNA(index(PlayerValues!A:A,match(IFNA(vlookup(B3763,'Special Names'!A:B,2,FALSE),B3763),PlayerValues!E:E,0)),"N/A")</f>
        <v>17079</v>
      </c>
      <c r="B3763" s="4" t="s">
        <v>572</v>
      </c>
      <c r="C3763" s="4" t="s">
        <v>287</v>
      </c>
      <c r="D3763" s="94">
        <v>2081.0</v>
      </c>
    </row>
    <row r="3764">
      <c r="A3764" s="40">
        <f t="array" ref="A3764">IFNA(index(PlayerValues!A:A,match(IFNA(vlookup(B3764,'Special Names'!A:B,2,FALSE),B3764),PlayerValues!E:E,0)),"N/A")</f>
        <v>16036</v>
      </c>
      <c r="B3764" s="4" t="s">
        <v>592</v>
      </c>
      <c r="C3764" s="4" t="s">
        <v>298</v>
      </c>
      <c r="D3764" s="94">
        <v>2469.0</v>
      </c>
    </row>
    <row r="3765">
      <c r="A3765" s="40">
        <f t="array" ref="A3765">IFNA(index(PlayerValues!A:A,match(IFNA(vlookup(B3765,'Special Names'!A:B,2,FALSE),B3765),PlayerValues!E:E,0)),"N/A")</f>
        <v>17599</v>
      </c>
      <c r="B3765" s="4" t="s">
        <v>496</v>
      </c>
      <c r="C3765" s="4" t="s">
        <v>287</v>
      </c>
      <c r="D3765" s="94">
        <v>2061.0</v>
      </c>
    </row>
    <row r="3766">
      <c r="A3766" s="40">
        <f t="array" ref="A3766">IFNA(index(PlayerValues!A:A,match(IFNA(vlookup(B3766,'Special Names'!A:B,2,FALSE),B3766),PlayerValues!E:E,0)),"N/A")</f>
        <v>17061</v>
      </c>
      <c r="B3766" s="4" t="s">
        <v>580</v>
      </c>
      <c r="C3766" s="4" t="s">
        <v>278</v>
      </c>
      <c r="D3766" s="94">
        <v>2057.0</v>
      </c>
    </row>
    <row r="3767">
      <c r="A3767" s="40">
        <f t="array" ref="A3767">IFNA(index(PlayerValues!A:A,match(IFNA(vlookup(B3767,'Special Names'!A:B,2,FALSE),B3767),PlayerValues!E:E,0)),"N/A")</f>
        <v>17076</v>
      </c>
      <c r="B3767" s="4" t="s">
        <v>585</v>
      </c>
      <c r="C3767" s="4" t="s">
        <v>287</v>
      </c>
      <c r="D3767" s="94">
        <v>2054.0</v>
      </c>
    </row>
    <row r="3768">
      <c r="A3768" s="40">
        <f t="array" ref="A3768">IFNA(index(PlayerValues!A:A,match(IFNA(vlookup(B3768,'Special Names'!A:B,2,FALSE),B3768),PlayerValues!E:E,0)),"N/A")</f>
        <v>17528</v>
      </c>
      <c r="B3768" s="4" t="s">
        <v>579</v>
      </c>
      <c r="C3768" s="4" t="s">
        <v>287</v>
      </c>
      <c r="D3768" s="94">
        <v>2052.0</v>
      </c>
    </row>
    <row r="3769">
      <c r="A3769" s="40">
        <f t="array" ref="A3769">IFNA(index(PlayerValues!A:A,match(IFNA(vlookup(B3769,'Special Names'!A:B,2,FALSE),B3769),PlayerValues!E:E,0)),"N/A")</f>
        <v>16189</v>
      </c>
      <c r="B3769" s="4" t="s">
        <v>582</v>
      </c>
      <c r="C3769" s="4" t="s">
        <v>287</v>
      </c>
      <c r="D3769" s="94">
        <v>2050.0</v>
      </c>
    </row>
    <row r="3770">
      <c r="A3770" s="40">
        <f t="array" ref="A3770">IFNA(index(PlayerValues!A:A,match(IFNA(vlookup(B3770,'Special Names'!A:B,2,FALSE),B3770),PlayerValues!E:E,0)),"N/A")</f>
        <v>17060</v>
      </c>
      <c r="B3770" s="4" t="s">
        <v>603</v>
      </c>
      <c r="C3770" s="4" t="s">
        <v>278</v>
      </c>
      <c r="D3770" s="94">
        <v>2049.0</v>
      </c>
    </row>
    <row r="3771">
      <c r="A3771" s="40" t="str">
        <f t="array" ref="A3771">IFNA(index(PlayerValues!A:A,match(IFNA(vlookup(B3771,'Special Names'!A:B,2,FALSE),B3771),PlayerValues!E:E,0)),"N/A")</f>
        <v>N/A</v>
      </c>
      <c r="B3771" s="4" t="s">
        <v>88</v>
      </c>
      <c r="C3771" s="4" t="s">
        <v>325</v>
      </c>
      <c r="D3771" s="94">
        <v>2038.0</v>
      </c>
    </row>
    <row r="3772">
      <c r="A3772" s="40">
        <f t="array" ref="A3772">IFNA(index(PlayerValues!A:A,match(IFNA(vlookup(B3772,'Special Names'!A:B,2,FALSE),B3772),PlayerValues!E:E,0)),"N/A")</f>
        <v>13132</v>
      </c>
      <c r="B3772" s="4" t="s">
        <v>598</v>
      </c>
      <c r="C3772" s="4" t="s">
        <v>278</v>
      </c>
      <c r="D3772" s="94">
        <v>2037.0</v>
      </c>
    </row>
    <row r="3773">
      <c r="A3773" s="40">
        <f t="array" ref="A3773">IFNA(index(PlayerValues!A:A,match(IFNA(vlookup(B3773,'Special Names'!A:B,2,FALSE),B3773),PlayerValues!E:E,0)),"N/A")</f>
        <v>17468</v>
      </c>
      <c r="B3773" s="4" t="s">
        <v>514</v>
      </c>
      <c r="C3773" s="4" t="s">
        <v>283</v>
      </c>
      <c r="D3773" s="94">
        <v>2014.0</v>
      </c>
    </row>
    <row r="3774">
      <c r="A3774" s="40">
        <f t="array" ref="A3774">IFNA(index(PlayerValues!A:A,match(IFNA(vlookup(B3774,'Special Names'!A:B,2,FALSE),B3774),PlayerValues!E:E,0)),"N/A")</f>
        <v>13113</v>
      </c>
      <c r="B3774" s="4" t="s">
        <v>606</v>
      </c>
      <c r="C3774" s="4" t="s">
        <v>283</v>
      </c>
      <c r="D3774" s="94">
        <v>2009.0</v>
      </c>
    </row>
    <row r="3775">
      <c r="A3775" s="40">
        <f t="array" ref="A3775">IFNA(index(PlayerValues!A:A,match(IFNA(vlookup(B3775,'Special Names'!A:B,2,FALSE),B3775),PlayerValues!E:E,0)),"N/A")</f>
        <v>15238</v>
      </c>
      <c r="B3775" s="4" t="s">
        <v>613</v>
      </c>
      <c r="C3775" s="4" t="s">
        <v>283</v>
      </c>
      <c r="D3775" s="94">
        <v>1999.0</v>
      </c>
    </row>
    <row r="3776">
      <c r="A3776" s="40">
        <f t="array" ref="A3776">IFNA(index(PlayerValues!A:A,match(IFNA(vlookup(B3776,'Special Names'!A:B,2,FALSE),B3776),PlayerValues!E:E,0)),"N/A")</f>
        <v>16778</v>
      </c>
      <c r="B3776" s="4" t="s">
        <v>577</v>
      </c>
      <c r="C3776" s="4" t="s">
        <v>287</v>
      </c>
      <c r="D3776" s="94">
        <v>1998.0</v>
      </c>
    </row>
    <row r="3777">
      <c r="A3777" s="40">
        <f t="array" ref="A3777">IFNA(index(PlayerValues!A:A,match(IFNA(vlookup(B3777,'Special Names'!A:B,2,FALSE),B3777),PlayerValues!E:E,0)),"N/A")</f>
        <v>15293</v>
      </c>
      <c r="B3777" s="4" t="s">
        <v>578</v>
      </c>
      <c r="C3777" s="4" t="s">
        <v>287</v>
      </c>
      <c r="D3777" s="94">
        <v>1997.0</v>
      </c>
    </row>
    <row r="3778">
      <c r="A3778" s="40">
        <f t="array" ref="A3778">IFNA(index(PlayerValues!A:A,match(IFNA(vlookup(B3778,'Special Names'!A:B,2,FALSE),B3778),PlayerValues!E:E,0)),"N/A")</f>
        <v>14974</v>
      </c>
      <c r="B3778" s="4" t="s">
        <v>611</v>
      </c>
      <c r="C3778" s="4" t="s">
        <v>287</v>
      </c>
      <c r="D3778" s="94">
        <v>1988.0</v>
      </c>
    </row>
    <row r="3779">
      <c r="A3779" s="40" t="str">
        <f t="array" ref="A3779">IFNA(index(PlayerValues!A:A,match(IFNA(vlookup(B3779,'Special Names'!A:B,2,FALSE),B3779),PlayerValues!E:E,0)),"N/A")</f>
        <v>N/A</v>
      </c>
      <c r="B3779" s="4" t="s">
        <v>114</v>
      </c>
      <c r="C3779" s="4" t="s">
        <v>325</v>
      </c>
      <c r="D3779" s="94">
        <v>1984.0</v>
      </c>
    </row>
    <row r="3780">
      <c r="A3780" s="40">
        <f t="array" ref="A3780">IFNA(index(PlayerValues!A:A,match(IFNA(vlookup(B3780,'Special Names'!A:B,2,FALSE),B3780),PlayerValues!E:E,0)),"N/A")</f>
        <v>14867</v>
      </c>
      <c r="B3780" s="4" t="s">
        <v>591</v>
      </c>
      <c r="C3780" s="4" t="s">
        <v>298</v>
      </c>
      <c r="D3780" s="94">
        <v>2365.0</v>
      </c>
    </row>
    <row r="3781">
      <c r="A3781" s="40">
        <f t="array" ref="A3781">IFNA(index(PlayerValues!A:A,match(IFNA(vlookup(B3781,'Special Names'!A:B,2,FALSE),B3781),PlayerValues!E:E,0)),"N/A")</f>
        <v>16643</v>
      </c>
      <c r="B3781" s="4" t="s">
        <v>609</v>
      </c>
      <c r="C3781" s="4" t="s">
        <v>298</v>
      </c>
      <c r="D3781" s="94">
        <v>2358.0</v>
      </c>
    </row>
    <row r="3782">
      <c r="A3782" s="40">
        <f t="array" ref="A3782">IFNA(index(PlayerValues!A:A,match(IFNA(vlookup(B3782,'Special Names'!A:B,2,FALSE),B3782),PlayerValues!E:E,0)),"N/A")</f>
        <v>17056</v>
      </c>
      <c r="B3782" s="4" t="s">
        <v>581</v>
      </c>
      <c r="C3782" s="4" t="s">
        <v>278</v>
      </c>
      <c r="D3782" s="94">
        <v>1944.0</v>
      </c>
    </row>
    <row r="3783">
      <c r="A3783" s="40">
        <f t="array" ref="A3783">IFNA(index(PlayerValues!A:A,match(IFNA(vlookup(B3783,'Special Names'!A:B,2,FALSE),B3783),PlayerValues!E:E,0)),"N/A")</f>
        <v>17467</v>
      </c>
      <c r="B3783" s="4" t="s">
        <v>575</v>
      </c>
      <c r="C3783" s="4" t="s">
        <v>283</v>
      </c>
      <c r="D3783" s="94">
        <v>1937.0</v>
      </c>
    </row>
    <row r="3784">
      <c r="A3784" s="40">
        <f t="array" ref="A3784">IFNA(index(PlayerValues!A:A,match(IFNA(vlookup(B3784,'Special Names'!A:B,2,FALSE),B3784),PlayerValues!E:E,0)),"N/A")</f>
        <v>14871</v>
      </c>
      <c r="B3784" s="4" t="s">
        <v>584</v>
      </c>
      <c r="C3784" s="4" t="s">
        <v>298</v>
      </c>
      <c r="D3784" s="94">
        <v>2322.0</v>
      </c>
    </row>
    <row r="3785">
      <c r="A3785" s="40">
        <f t="array" ref="A3785">IFNA(index(PlayerValues!A:A,match(IFNA(vlookup(B3785,'Special Names'!A:B,2,FALSE),B3785),PlayerValues!E:E,0)),"N/A")</f>
        <v>17184</v>
      </c>
      <c r="B3785" s="4" t="s">
        <v>588</v>
      </c>
      <c r="C3785" s="4" t="s">
        <v>287</v>
      </c>
      <c r="D3785" s="94">
        <v>1935.0</v>
      </c>
    </row>
    <row r="3786">
      <c r="A3786" s="40">
        <f t="array" ref="A3786">IFNA(index(PlayerValues!A:A,match(IFNA(vlookup(B3786,'Special Names'!A:B,2,FALSE),B3786),PlayerValues!E:E,0)),"N/A")</f>
        <v>7836</v>
      </c>
      <c r="B3786" s="4" t="s">
        <v>590</v>
      </c>
      <c r="C3786" s="4" t="s">
        <v>283</v>
      </c>
      <c r="D3786" s="94">
        <v>1929.0</v>
      </c>
    </row>
    <row r="3787">
      <c r="A3787" s="40">
        <f t="array" ref="A3787">IFNA(index(PlayerValues!A:A,match(IFNA(vlookup(B3787,'Special Names'!A:B,2,FALSE),B3787),PlayerValues!E:E,0)),"N/A")</f>
        <v>16603</v>
      </c>
      <c r="B3787" s="4" t="s">
        <v>587</v>
      </c>
      <c r="C3787" s="4" t="s">
        <v>278</v>
      </c>
      <c r="D3787" s="94">
        <v>1927.0</v>
      </c>
    </row>
    <row r="3788">
      <c r="A3788" s="40">
        <f t="array" ref="A3788">IFNA(index(PlayerValues!A:A,match(IFNA(vlookup(B3788,'Special Names'!A:B,2,FALSE),B3788),PlayerValues!E:E,0)),"N/A")</f>
        <v>17046</v>
      </c>
      <c r="B3788" s="4" t="s">
        <v>602</v>
      </c>
      <c r="C3788" s="4" t="s">
        <v>278</v>
      </c>
      <c r="D3788" s="94">
        <v>1926.0</v>
      </c>
    </row>
    <row r="3789">
      <c r="A3789" s="40">
        <f t="array" ref="A3789">IFNA(index(PlayerValues!A:A,match(IFNA(vlookup(B3789,'Special Names'!A:B,2,FALSE),B3789),PlayerValues!E:E,0)),"N/A")</f>
        <v>17087</v>
      </c>
      <c r="B3789" s="4" t="s">
        <v>600</v>
      </c>
      <c r="C3789" s="4" t="s">
        <v>287</v>
      </c>
      <c r="D3789" s="94">
        <v>1919.0</v>
      </c>
    </row>
    <row r="3790">
      <c r="A3790" s="40">
        <f t="array" ref="A3790">IFNA(index(PlayerValues!A:A,match(IFNA(vlookup(B3790,'Special Names'!A:B,2,FALSE),B3790),PlayerValues!E:E,0)),"N/A")</f>
        <v>16432</v>
      </c>
      <c r="B3790" s="4" t="s">
        <v>620</v>
      </c>
      <c r="C3790" s="4" t="s">
        <v>278</v>
      </c>
      <c r="D3790" s="94">
        <v>1906.0</v>
      </c>
    </row>
    <row r="3791">
      <c r="A3791" s="40">
        <f t="array" ref="A3791">IFNA(index(PlayerValues!A:A,match(IFNA(vlookup(B3791,'Special Names'!A:B,2,FALSE),B3791),PlayerValues!E:E,0)),"N/A")</f>
        <v>16216</v>
      </c>
      <c r="B3791" s="4" t="s">
        <v>595</v>
      </c>
      <c r="C3791" s="4" t="s">
        <v>298</v>
      </c>
      <c r="D3791" s="94">
        <v>2284.0</v>
      </c>
    </row>
    <row r="3792">
      <c r="A3792" s="40">
        <f t="array" ref="A3792">IFNA(index(PlayerValues!A:A,match(IFNA(vlookup(B3792,'Special Names'!A:B,2,FALSE),B3792),PlayerValues!E:E,0)),"N/A")</f>
        <v>16342</v>
      </c>
      <c r="B3792" s="4" t="s">
        <v>583</v>
      </c>
      <c r="C3792" s="4" t="s">
        <v>287</v>
      </c>
      <c r="D3792" s="94">
        <v>1883.0</v>
      </c>
    </row>
    <row r="3793">
      <c r="A3793" s="40">
        <f t="array" ref="A3793">IFNA(index(PlayerValues!A:A,match(IFNA(vlookup(B3793,'Special Names'!A:B,2,FALSE),B3793),PlayerValues!E:E,0)),"N/A")</f>
        <v>16639</v>
      </c>
      <c r="B3793" s="4" t="s">
        <v>599</v>
      </c>
      <c r="C3793" s="4" t="s">
        <v>287</v>
      </c>
      <c r="D3793" s="94">
        <v>1873.0</v>
      </c>
    </row>
    <row r="3794">
      <c r="A3794" s="40">
        <f t="array" ref="A3794">IFNA(index(PlayerValues!A:A,match(IFNA(vlookup(B3794,'Special Names'!A:B,2,FALSE),B3794),PlayerValues!E:E,0)),"N/A")</f>
        <v>16752</v>
      </c>
      <c r="B3794" s="4" t="s">
        <v>597</v>
      </c>
      <c r="C3794" s="4" t="s">
        <v>278</v>
      </c>
      <c r="D3794" s="94">
        <v>1873.0</v>
      </c>
    </row>
    <row r="3795">
      <c r="A3795" s="40">
        <f t="array" ref="A3795">IFNA(index(PlayerValues!A:A,match(IFNA(vlookup(B3795,'Special Names'!A:B,2,FALSE),B3795),PlayerValues!E:E,0)),"N/A")</f>
        <v>14136</v>
      </c>
      <c r="B3795" s="4" t="s">
        <v>536</v>
      </c>
      <c r="C3795" s="4" t="s">
        <v>287</v>
      </c>
      <c r="D3795" s="94">
        <v>1852.0</v>
      </c>
    </row>
    <row r="3796">
      <c r="A3796" s="40">
        <f t="array" ref="A3796">IFNA(index(PlayerValues!A:A,match(IFNA(vlookup(B3796,'Special Names'!A:B,2,FALSE),B3796),PlayerValues!E:E,0)),"N/A")</f>
        <v>17548</v>
      </c>
      <c r="B3796" s="4" t="s">
        <v>594</v>
      </c>
      <c r="C3796" s="4" t="s">
        <v>298</v>
      </c>
      <c r="D3796" s="94">
        <v>2235.0</v>
      </c>
    </row>
    <row r="3797">
      <c r="A3797" s="40">
        <f t="array" ref="A3797">IFNA(index(PlayerValues!A:A,match(IFNA(vlookup(B3797,'Special Names'!A:B,2,FALSE),B3797),PlayerValues!E:E,0)),"N/A")</f>
        <v>10700</v>
      </c>
      <c r="B3797" s="4" t="s">
        <v>596</v>
      </c>
      <c r="C3797" s="4" t="s">
        <v>283</v>
      </c>
      <c r="D3797" s="94">
        <v>1848.0</v>
      </c>
    </row>
    <row r="3798">
      <c r="A3798" s="40">
        <f t="array" ref="A3798">IFNA(index(PlayerValues!A:A,match(IFNA(vlookup(B3798,'Special Names'!A:B,2,FALSE),B3798),PlayerValues!E:E,0)),"N/A")</f>
        <v>13633</v>
      </c>
      <c r="B3798" s="4" t="s">
        <v>625</v>
      </c>
      <c r="C3798" s="4" t="s">
        <v>287</v>
      </c>
      <c r="D3798" s="94">
        <v>1845.0</v>
      </c>
    </row>
    <row r="3799">
      <c r="A3799" s="40">
        <f t="array" ref="A3799">IFNA(index(PlayerValues!A:A,match(IFNA(vlookup(B3799,'Special Names'!A:B,2,FALSE),B3799),PlayerValues!E:E,0)),"N/A")</f>
        <v>17086</v>
      </c>
      <c r="B3799" s="4" t="s">
        <v>612</v>
      </c>
      <c r="C3799" s="4" t="s">
        <v>287</v>
      </c>
      <c r="D3799" s="94">
        <v>1840.0</v>
      </c>
    </row>
    <row r="3800">
      <c r="A3800" s="40">
        <f t="array" ref="A3800">IFNA(index(PlayerValues!A:A,match(IFNA(vlookup(B3800,'Special Names'!A:B,2,FALSE),B3800),PlayerValues!E:E,0)),"N/A")</f>
        <v>15788</v>
      </c>
      <c r="B3800" s="4" t="s">
        <v>627</v>
      </c>
      <c r="C3800" s="4" t="s">
        <v>287</v>
      </c>
      <c r="D3800" s="94">
        <v>1835.0</v>
      </c>
    </row>
    <row r="3801">
      <c r="A3801" s="40" t="str">
        <f t="array" ref="A3801">IFNA(index(PlayerValues!A:A,match(IFNA(vlookup(B3801,'Special Names'!A:B,2,FALSE),B3801),PlayerValues!E:E,0)),"N/A")</f>
        <v>N/A</v>
      </c>
      <c r="B3801" s="4" t="s">
        <v>101</v>
      </c>
      <c r="C3801" s="4" t="s">
        <v>325</v>
      </c>
      <c r="D3801" s="94">
        <v>1830.0</v>
      </c>
    </row>
    <row r="3802">
      <c r="A3802" s="40">
        <f t="array" ref="A3802">IFNA(index(PlayerValues!A:A,match(IFNA(vlookup(B3802,'Special Names'!A:B,2,FALSE),B3802),PlayerValues!E:E,0)),"N/A")</f>
        <v>13629</v>
      </c>
      <c r="B3802" s="4" t="s">
        <v>619</v>
      </c>
      <c r="C3802" s="4" t="s">
        <v>287</v>
      </c>
      <c r="D3802" s="94">
        <v>1826.0</v>
      </c>
    </row>
    <row r="3803">
      <c r="A3803" s="40">
        <f t="array" ref="A3803">IFNA(index(PlayerValues!A:A,match(IFNA(vlookup(B3803,'Special Names'!A:B,2,FALSE),B3803),PlayerValues!E:E,0)),"N/A")</f>
        <v>17036</v>
      </c>
      <c r="B3803" s="4" t="s">
        <v>617</v>
      </c>
      <c r="C3803" s="4" t="s">
        <v>283</v>
      </c>
      <c r="D3803" s="94">
        <v>1825.0</v>
      </c>
    </row>
    <row r="3804">
      <c r="A3804" s="40">
        <f t="array" ref="A3804">IFNA(index(PlayerValues!A:A,match(IFNA(vlookup(B3804,'Special Names'!A:B,2,FALSE),B3804),PlayerValues!E:E,0)),"N/A")</f>
        <v>16644</v>
      </c>
      <c r="B3804" s="4" t="s">
        <v>640</v>
      </c>
      <c r="C3804" s="4" t="s">
        <v>298</v>
      </c>
      <c r="D3804" s="94">
        <v>2150.0</v>
      </c>
    </row>
    <row r="3805">
      <c r="A3805" s="40">
        <f t="array" ref="A3805">IFNA(index(PlayerValues!A:A,match(IFNA(vlookup(B3805,'Special Names'!A:B,2,FALSE),B3805),PlayerValues!E:E,0)),"N/A")</f>
        <v>17519</v>
      </c>
      <c r="B3805" s="4" t="s">
        <v>593</v>
      </c>
      <c r="C3805" s="4" t="s">
        <v>287</v>
      </c>
      <c r="D3805" s="94">
        <v>1766.0</v>
      </c>
    </row>
    <row r="3806">
      <c r="A3806" s="40">
        <f t="array" ref="A3806">IFNA(index(PlayerValues!A:A,match(IFNA(vlookup(B3806,'Special Names'!A:B,2,FALSE),B3806),PlayerValues!E:E,0)),"N/A")</f>
        <v>13189</v>
      </c>
      <c r="B3806" s="4" t="s">
        <v>626</v>
      </c>
      <c r="C3806" s="4" t="s">
        <v>298</v>
      </c>
      <c r="D3806" s="94">
        <v>2143.0</v>
      </c>
    </row>
    <row r="3807">
      <c r="A3807" s="40" t="str">
        <f t="array" ref="A3807">IFNA(index(PlayerValues!A:A,match(IFNA(vlookup(B3807,'Special Names'!A:B,2,FALSE),B3807),PlayerValues!E:E,0)),"N/A")</f>
        <v>N/A</v>
      </c>
      <c r="B3807" s="4" t="s">
        <v>89</v>
      </c>
      <c r="C3807" s="4" t="s">
        <v>325</v>
      </c>
      <c r="D3807" s="94">
        <v>1761.0</v>
      </c>
    </row>
    <row r="3808">
      <c r="A3808" s="40">
        <f t="array" ref="A3808">IFNA(index(PlayerValues!A:A,match(IFNA(vlookup(B3808,'Special Names'!A:B,2,FALSE),B3808),PlayerValues!E:E,0)),"N/A")</f>
        <v>16215</v>
      </c>
      <c r="B3808" s="4" t="s">
        <v>637</v>
      </c>
      <c r="C3808" s="4" t="s">
        <v>298</v>
      </c>
      <c r="D3808" s="94">
        <v>2130.0</v>
      </c>
    </row>
    <row r="3809">
      <c r="A3809" s="40">
        <f t="array" ref="A3809">IFNA(index(PlayerValues!A:A,match(IFNA(vlookup(B3809,'Special Names'!A:B,2,FALSE),B3809),PlayerValues!E:E,0)),"N/A")</f>
        <v>16191</v>
      </c>
      <c r="B3809" s="4" t="s">
        <v>666</v>
      </c>
      <c r="C3809" s="4" t="s">
        <v>287</v>
      </c>
      <c r="D3809" s="94">
        <v>1748.0</v>
      </c>
    </row>
    <row r="3810">
      <c r="A3810" s="40">
        <f t="array" ref="A3810">IFNA(index(PlayerValues!A:A,match(IFNA(vlookup(B3810,'Special Names'!A:B,2,FALSE),B3810),PlayerValues!E:E,0)),"N/A")</f>
        <v>13146</v>
      </c>
      <c r="B3810" s="4" t="s">
        <v>652</v>
      </c>
      <c r="C3810" s="4" t="s">
        <v>278</v>
      </c>
      <c r="D3810" s="94">
        <v>1747.0</v>
      </c>
    </row>
    <row r="3811">
      <c r="A3811" s="40" t="str">
        <f t="array" ref="A3811">IFNA(index(PlayerValues!A:A,match(IFNA(vlookup(B3811,'Special Names'!A:B,2,FALSE),B3811),PlayerValues!E:E,0)),"N/A")</f>
        <v>N/A</v>
      </c>
      <c r="B3811" s="4" t="s">
        <v>102</v>
      </c>
      <c r="C3811" s="4" t="s">
        <v>325</v>
      </c>
      <c r="D3811" s="94">
        <v>1745.0</v>
      </c>
    </row>
    <row r="3812">
      <c r="A3812" s="40">
        <f t="array" ref="A3812">IFNA(index(PlayerValues!A:A,match(IFNA(vlookup(B3812,'Special Names'!A:B,2,FALSE),B3812),PlayerValues!E:E,0)),"N/A")</f>
        <v>17685</v>
      </c>
      <c r="B3812" s="4" t="s">
        <v>630</v>
      </c>
      <c r="C3812" s="4" t="s">
        <v>278</v>
      </c>
      <c r="D3812" s="94">
        <v>1736.0</v>
      </c>
    </row>
    <row r="3813">
      <c r="A3813" s="40">
        <f t="array" ref="A3813">IFNA(index(PlayerValues!A:A,match(IFNA(vlookup(B3813,'Special Names'!A:B,2,FALSE),B3813),PlayerValues!E:E,0)),"N/A")</f>
        <v>17034</v>
      </c>
      <c r="B3813" s="4" t="s">
        <v>643</v>
      </c>
      <c r="C3813" s="4" t="s">
        <v>283</v>
      </c>
      <c r="D3813" s="94">
        <v>1722.0</v>
      </c>
    </row>
    <row r="3814">
      <c r="A3814" s="40">
        <f t="array" ref="A3814">IFNA(index(PlayerValues!A:A,match(IFNA(vlookup(B3814,'Special Names'!A:B,2,FALSE),B3814),PlayerValues!E:E,0)),"N/A")</f>
        <v>13164</v>
      </c>
      <c r="B3814" s="4" t="s">
        <v>632</v>
      </c>
      <c r="C3814" s="4" t="s">
        <v>287</v>
      </c>
      <c r="D3814" s="94">
        <v>1718.0</v>
      </c>
    </row>
    <row r="3815">
      <c r="A3815" s="40">
        <f t="array" ref="A3815">IFNA(index(PlayerValues!A:A,match(IFNA(vlookup(B3815,'Special Names'!A:B,2,FALSE),B3815),PlayerValues!E:E,0)),"N/A")</f>
        <v>15787</v>
      </c>
      <c r="B3815" s="4" t="s">
        <v>610</v>
      </c>
      <c r="C3815" s="4" t="s">
        <v>287</v>
      </c>
      <c r="D3815" s="94">
        <v>1713.0</v>
      </c>
    </row>
    <row r="3816">
      <c r="A3816" s="40">
        <f t="array" ref="A3816">IFNA(index(PlayerValues!A:A,match(IFNA(vlookup(B3816,'Special Names'!A:B,2,FALSE),B3816),PlayerValues!E:E,0)),"N/A")</f>
        <v>17049</v>
      </c>
      <c r="B3816" s="4" t="s">
        <v>624</v>
      </c>
      <c r="C3816" s="4" t="s">
        <v>278</v>
      </c>
      <c r="D3816" s="94">
        <v>1708.0</v>
      </c>
    </row>
    <row r="3817">
      <c r="A3817" s="40">
        <f t="array" ref="A3817">IFNA(index(PlayerValues!A:A,match(IFNA(vlookup(B3817,'Special Names'!A:B,2,FALSE),B3817),PlayerValues!E:E,0)),"N/A")</f>
        <v>17529</v>
      </c>
      <c r="B3817" s="4" t="s">
        <v>608</v>
      </c>
      <c r="C3817" s="4" t="s">
        <v>287</v>
      </c>
      <c r="D3817" s="94">
        <v>1691.0</v>
      </c>
    </row>
    <row r="3818">
      <c r="A3818" s="40">
        <f t="array" ref="A3818">IFNA(index(PlayerValues!A:A,match(IFNA(vlookup(B3818,'Special Names'!A:B,2,FALSE),B3818),PlayerValues!E:E,0)),"N/A")</f>
        <v>14143</v>
      </c>
      <c r="B3818" s="4" t="s">
        <v>635</v>
      </c>
      <c r="C3818" s="4" t="s">
        <v>298</v>
      </c>
      <c r="D3818" s="94">
        <v>2068.0</v>
      </c>
    </row>
    <row r="3819">
      <c r="A3819" s="40">
        <f t="array" ref="A3819">IFNA(index(PlayerValues!A:A,match(IFNA(vlookup(B3819,'Special Names'!A:B,2,FALSE),B3819),PlayerValues!E:E,0)),"N/A")</f>
        <v>16171</v>
      </c>
      <c r="B3819" s="4" t="s">
        <v>618</v>
      </c>
      <c r="C3819" s="4" t="s">
        <v>278</v>
      </c>
      <c r="D3819" s="94">
        <v>1683.0</v>
      </c>
    </row>
    <row r="3820">
      <c r="A3820" s="40">
        <f t="array" ref="A3820">IFNA(index(PlayerValues!A:A,match(IFNA(vlookup(B3820,'Special Names'!A:B,2,FALSE),B3820),PlayerValues!E:E,0)),"N/A")</f>
        <v>17058</v>
      </c>
      <c r="B3820" s="4" t="s">
        <v>641</v>
      </c>
      <c r="C3820" s="4" t="s">
        <v>278</v>
      </c>
      <c r="D3820" s="94">
        <v>1681.0</v>
      </c>
    </row>
    <row r="3821">
      <c r="A3821" s="40">
        <f t="array" ref="A3821">IFNA(index(PlayerValues!A:A,match(IFNA(vlookup(B3821,'Special Names'!A:B,2,FALSE),B3821),PlayerValues!E:E,0)),"N/A")</f>
        <v>15752</v>
      </c>
      <c r="B3821" s="4" t="s">
        <v>647</v>
      </c>
      <c r="C3821" s="4" t="s">
        <v>287</v>
      </c>
      <c r="D3821" s="94">
        <v>1665.0</v>
      </c>
    </row>
    <row r="3822">
      <c r="A3822" s="40">
        <f t="array" ref="A3822">IFNA(index(PlayerValues!A:A,match(IFNA(vlookup(B3822,'Special Names'!A:B,2,FALSE),B3822),PlayerValues!E:E,0)),"N/A")</f>
        <v>15755</v>
      </c>
      <c r="B3822" s="4" t="s">
        <v>628</v>
      </c>
      <c r="C3822" s="4" t="s">
        <v>287</v>
      </c>
      <c r="D3822" s="94">
        <v>1661.0</v>
      </c>
    </row>
    <row r="3823">
      <c r="A3823" s="40" t="str">
        <f t="array" ref="A3823">IFNA(index(PlayerValues!A:A,match(IFNA(vlookup(B3823,'Special Names'!A:B,2,FALSE),B3823),PlayerValues!E:E,0)),"N/A")</f>
        <v>N/A</v>
      </c>
      <c r="B3823" s="4" t="s">
        <v>115</v>
      </c>
      <c r="C3823" s="4" t="s">
        <v>325</v>
      </c>
      <c r="D3823" s="94">
        <v>1649.0</v>
      </c>
    </row>
    <row r="3824">
      <c r="A3824" s="40">
        <f t="array" ref="A3824">IFNA(index(PlayerValues!A:A,match(IFNA(vlookup(B3824,'Special Names'!A:B,2,FALSE),B3824),PlayerValues!E:E,0)),"N/A")</f>
        <v>16207</v>
      </c>
      <c r="B3824" s="4" t="s">
        <v>636</v>
      </c>
      <c r="C3824" s="4" t="s">
        <v>287</v>
      </c>
      <c r="D3824" s="94">
        <v>1645.0</v>
      </c>
    </row>
    <row r="3825">
      <c r="A3825" s="40" t="str">
        <f t="array" ref="A3825">IFNA(index(PlayerValues!A:A,match(IFNA(vlookup(B3825,'Special Names'!A:B,2,FALSE),B3825),PlayerValues!E:E,0)),"N/A")</f>
        <v>N/A</v>
      </c>
      <c r="B3825" s="4" t="s">
        <v>103</v>
      </c>
      <c r="C3825" s="4" t="s">
        <v>325</v>
      </c>
      <c r="D3825" s="94">
        <v>1645.0</v>
      </c>
    </row>
    <row r="3826">
      <c r="A3826" s="40">
        <f t="array" ref="A3826">IFNA(index(PlayerValues!A:A,match(IFNA(vlookup(B3826,'Special Names'!A:B,2,FALSE),B3826),PlayerValues!E:E,0)),"N/A")</f>
        <v>17521</v>
      </c>
      <c r="B3826" s="4" t="s">
        <v>573</v>
      </c>
      <c r="C3826" s="4" t="s">
        <v>287</v>
      </c>
      <c r="D3826" s="94">
        <v>1642.0</v>
      </c>
    </row>
    <row r="3827">
      <c r="A3827" s="40">
        <f t="array" ref="A3827">IFNA(index(PlayerValues!A:A,match(IFNA(vlookup(B3827,'Special Names'!A:B,2,FALSE),B3827),PlayerValues!E:E,0)),"N/A")</f>
        <v>16608</v>
      </c>
      <c r="B3827" s="4" t="s">
        <v>629</v>
      </c>
      <c r="C3827" s="4" t="s">
        <v>278</v>
      </c>
      <c r="D3827" s="94">
        <v>1640.0</v>
      </c>
    </row>
    <row r="3828">
      <c r="A3828" s="40">
        <f t="array" ref="A3828">IFNA(index(PlayerValues!A:A,match(IFNA(vlookup(B3828,'Special Names'!A:B,2,FALSE),B3828),PlayerValues!E:E,0)),"N/A")</f>
        <v>17096</v>
      </c>
      <c r="B3828" s="4" t="s">
        <v>638</v>
      </c>
      <c r="C3828" s="4" t="s">
        <v>287</v>
      </c>
      <c r="D3828" s="94">
        <v>1628.0</v>
      </c>
    </row>
    <row r="3829">
      <c r="A3829" s="40">
        <f t="array" ref="A3829">IFNA(index(PlayerValues!A:A,match(IFNA(vlookup(B3829,'Special Names'!A:B,2,FALSE),B3829),PlayerValues!E:E,0)),"N/A")</f>
        <v>16201</v>
      </c>
      <c r="B3829" s="4" t="s">
        <v>589</v>
      </c>
      <c r="C3829" s="4" t="s">
        <v>287</v>
      </c>
      <c r="D3829" s="94">
        <v>1610.0</v>
      </c>
    </row>
    <row r="3830">
      <c r="A3830" s="40">
        <f t="array" ref="A3830">IFNA(index(PlayerValues!A:A,match(IFNA(vlookup(B3830,'Special Names'!A:B,2,FALSE),B3830),PlayerValues!E:E,0)),"N/A")</f>
        <v>16585</v>
      </c>
      <c r="B3830" s="4" t="s">
        <v>623</v>
      </c>
      <c r="C3830" s="4" t="s">
        <v>283</v>
      </c>
      <c r="D3830" s="94">
        <v>1597.0</v>
      </c>
    </row>
    <row r="3831">
      <c r="A3831" s="40" t="str">
        <f t="array" ref="A3831">IFNA(index(PlayerValues!A:A,match(IFNA(vlookup(B3831,'Special Names'!A:B,2,FALSE),B3831),PlayerValues!E:E,0)),"N/A")</f>
        <v>N/A</v>
      </c>
      <c r="B3831" s="4" t="s">
        <v>90</v>
      </c>
      <c r="C3831" s="4" t="s">
        <v>325</v>
      </c>
      <c r="D3831" s="94">
        <v>1593.0</v>
      </c>
    </row>
    <row r="3832">
      <c r="A3832" s="40">
        <f t="array" ref="A3832">IFNA(index(PlayerValues!A:A,match(IFNA(vlookup(B3832,'Special Names'!A:B,2,FALSE),B3832),PlayerValues!E:E,0)),"N/A")</f>
        <v>16635</v>
      </c>
      <c r="B3832" s="4" t="s">
        <v>645</v>
      </c>
      <c r="C3832" s="4" t="s">
        <v>287</v>
      </c>
      <c r="D3832" s="94">
        <v>1592.0</v>
      </c>
    </row>
    <row r="3833">
      <c r="A3833" s="40">
        <f t="array" ref="A3833">IFNA(index(PlayerValues!A:A,match(IFNA(vlookup(B3833,'Special Names'!A:B,2,FALSE),B3833),PlayerValues!E:E,0)),"N/A")</f>
        <v>17035</v>
      </c>
      <c r="B3833" s="4" t="s">
        <v>650</v>
      </c>
      <c r="C3833" s="4" t="s">
        <v>283</v>
      </c>
      <c r="D3833" s="94">
        <v>1592.0</v>
      </c>
    </row>
    <row r="3834">
      <c r="A3834" s="40">
        <f t="array" ref="A3834">IFNA(index(PlayerValues!A:A,match(IFNA(vlookup(B3834,'Special Names'!A:B,2,FALSE),B3834),PlayerValues!E:E,0)),"N/A")</f>
        <v>14122</v>
      </c>
      <c r="B3834" s="4" t="s">
        <v>663</v>
      </c>
      <c r="C3834" s="4" t="s">
        <v>287</v>
      </c>
      <c r="D3834" s="94">
        <v>1585.0</v>
      </c>
    </row>
    <row r="3835">
      <c r="A3835" s="40">
        <f t="array" ref="A3835">IFNA(index(PlayerValues!A:A,match(IFNA(vlookup(B3835,'Special Names'!A:B,2,FALSE),B3835),PlayerValues!E:E,0)),"N/A")</f>
        <v>16629</v>
      </c>
      <c r="B3835" s="4" t="s">
        <v>605</v>
      </c>
      <c r="C3835" s="4" t="s">
        <v>287</v>
      </c>
      <c r="D3835" s="94">
        <v>1585.0</v>
      </c>
    </row>
    <row r="3836">
      <c r="A3836" s="40">
        <f t="array" ref="A3836">IFNA(index(PlayerValues!A:A,match(IFNA(vlookup(B3836,'Special Names'!A:B,2,FALSE),B3836),PlayerValues!E:E,0)),"N/A")</f>
        <v>17064</v>
      </c>
      <c r="B3836" s="4" t="s">
        <v>631</v>
      </c>
      <c r="C3836" s="4" t="s">
        <v>278</v>
      </c>
      <c r="D3836" s="94">
        <v>1576.0</v>
      </c>
    </row>
    <row r="3837">
      <c r="A3837" s="40">
        <f t="array" ref="A3837">IFNA(index(PlayerValues!A:A,match(IFNA(vlookup(B3837,'Special Names'!A:B,2,FALSE),B3837),PlayerValues!E:E,0)),"N/A")</f>
        <v>14840</v>
      </c>
      <c r="B3837" s="4" t="s">
        <v>731</v>
      </c>
      <c r="C3837" s="4" t="s">
        <v>287</v>
      </c>
      <c r="D3837" s="94">
        <v>1571.0</v>
      </c>
    </row>
    <row r="3838">
      <c r="A3838" s="40">
        <f t="array" ref="A3838">IFNA(index(PlayerValues!A:A,match(IFNA(vlookup(B3838,'Special Names'!A:B,2,FALSE),B3838),PlayerValues!E:E,0)),"N/A")</f>
        <v>15337</v>
      </c>
      <c r="B3838" s="4" t="s">
        <v>655</v>
      </c>
      <c r="C3838" s="4" t="s">
        <v>298</v>
      </c>
      <c r="D3838" s="94">
        <v>1927.0</v>
      </c>
    </row>
    <row r="3839">
      <c r="A3839" s="40">
        <f t="array" ref="A3839">IFNA(index(PlayerValues!A:A,match(IFNA(vlookup(B3839,'Special Names'!A:B,2,FALSE),B3839),PlayerValues!E:E,0)),"N/A")</f>
        <v>12801</v>
      </c>
      <c r="B3839" s="4" t="s">
        <v>722</v>
      </c>
      <c r="C3839" s="4" t="s">
        <v>287</v>
      </c>
      <c r="D3839" s="94">
        <v>1539.0</v>
      </c>
    </row>
    <row r="3840">
      <c r="A3840" s="40" t="str">
        <f t="array" ref="A3840">IFNA(index(PlayerValues!A:A,match(IFNA(vlookup(B3840,'Special Names'!A:B,2,FALSE),B3840),PlayerValues!E:E,0)),"N/A")</f>
        <v>N/A</v>
      </c>
      <c r="B3840" s="4" t="s">
        <v>91</v>
      </c>
      <c r="C3840" s="4" t="s">
        <v>325</v>
      </c>
      <c r="D3840" s="94">
        <v>1533.0</v>
      </c>
    </row>
    <row r="3841">
      <c r="A3841" s="40" t="str">
        <f t="array" ref="A3841">IFNA(index(PlayerValues!A:A,match(IFNA(vlookup(B3841,'Special Names'!A:B,2,FALSE),B3841),PlayerValues!E:E,0)),"N/A")</f>
        <v>N/A</v>
      </c>
      <c r="B3841" s="4" t="s">
        <v>116</v>
      </c>
      <c r="C3841" s="4" t="s">
        <v>325</v>
      </c>
      <c r="D3841" s="94">
        <v>1523.0</v>
      </c>
    </row>
    <row r="3842">
      <c r="A3842" s="40">
        <f t="array" ref="A3842">IFNA(index(PlayerValues!A:A,match(IFNA(vlookup(B3842,'Special Names'!A:B,2,FALSE),B3842),PlayerValues!E:E,0)),"N/A")</f>
        <v>15319</v>
      </c>
      <c r="B3842" s="4" t="s">
        <v>644</v>
      </c>
      <c r="C3842" s="4" t="s">
        <v>287</v>
      </c>
      <c r="D3842" s="94">
        <v>1520.0</v>
      </c>
    </row>
    <row r="3843">
      <c r="A3843" s="40">
        <f t="array" ref="A3843">IFNA(index(PlayerValues!A:A,match(IFNA(vlookup(B3843,'Special Names'!A:B,2,FALSE),B3843),PlayerValues!E:E,0)),"N/A")</f>
        <v>16595</v>
      </c>
      <c r="B3843" s="4" t="s">
        <v>664</v>
      </c>
      <c r="C3843" s="4" t="s">
        <v>278</v>
      </c>
      <c r="D3843" s="94">
        <v>1515.0</v>
      </c>
    </row>
    <row r="3844">
      <c r="A3844" s="40">
        <f t="array" ref="A3844">IFNA(index(PlayerValues!A:A,match(IFNA(vlookup(B3844,'Special Names'!A:B,2,FALSE),B3844),PlayerValues!E:E,0)),"N/A")</f>
        <v>16601</v>
      </c>
      <c r="B3844" s="4" t="s">
        <v>648</v>
      </c>
      <c r="C3844" s="4" t="s">
        <v>278</v>
      </c>
      <c r="D3844" s="94">
        <v>1513.0</v>
      </c>
    </row>
    <row r="3845">
      <c r="A3845" s="40">
        <f t="array" ref="A3845">IFNA(index(PlayerValues!A:A,match(IFNA(vlookup(B3845,'Special Names'!A:B,2,FALSE),B3845),PlayerValues!E:E,0)),"N/A")</f>
        <v>17465</v>
      </c>
      <c r="B3845" s="4" t="s">
        <v>649</v>
      </c>
      <c r="C3845" s="4" t="s">
        <v>283</v>
      </c>
      <c r="D3845" s="94">
        <v>1500.0</v>
      </c>
    </row>
    <row r="3846">
      <c r="A3846" s="40">
        <f t="array" ref="A3846">IFNA(index(PlayerValues!A:A,match(IFNA(vlookup(B3846,'Special Names'!A:B,2,FALSE),B3846),PlayerValues!E:E,0)),"N/A")</f>
        <v>13672</v>
      </c>
      <c r="B3846" s="4" t="s">
        <v>667</v>
      </c>
      <c r="C3846" s="4" t="s">
        <v>298</v>
      </c>
      <c r="D3846" s="94">
        <v>1871.0</v>
      </c>
    </row>
    <row r="3847">
      <c r="A3847" s="40">
        <f t="array" ref="A3847">IFNA(index(PlayerValues!A:A,match(IFNA(vlookup(B3847,'Special Names'!A:B,2,FALSE),B3847),PlayerValues!E:E,0)),"N/A")</f>
        <v>15301</v>
      </c>
      <c r="B3847" s="4" t="s">
        <v>657</v>
      </c>
      <c r="C3847" s="4" t="s">
        <v>287</v>
      </c>
      <c r="D3847" s="94">
        <v>1495.0</v>
      </c>
    </row>
    <row r="3848">
      <c r="A3848" s="40">
        <f t="array" ref="A3848">IFNA(index(PlayerValues!A:A,match(IFNA(vlookup(B3848,'Special Names'!A:B,2,FALSE),B3848),PlayerValues!E:E,0)),"N/A")</f>
        <v>16387</v>
      </c>
      <c r="B3848" s="4" t="s">
        <v>646</v>
      </c>
      <c r="C3848" s="4" t="s">
        <v>278</v>
      </c>
      <c r="D3848" s="94">
        <v>1494.0</v>
      </c>
    </row>
    <row r="3849">
      <c r="A3849" s="40">
        <f t="array" ref="A3849">IFNA(index(PlayerValues!A:A,match(IFNA(vlookup(B3849,'Special Names'!A:B,2,FALSE),B3849),PlayerValues!E:E,0)),"N/A")</f>
        <v>15738</v>
      </c>
      <c r="B3849" s="4" t="s">
        <v>634</v>
      </c>
      <c r="C3849" s="4" t="s">
        <v>278</v>
      </c>
      <c r="D3849" s="94">
        <v>1485.0</v>
      </c>
    </row>
    <row r="3850">
      <c r="A3850" s="40">
        <f t="array" ref="A3850">IFNA(index(PlayerValues!A:A,match(IFNA(vlookup(B3850,'Special Names'!A:B,2,FALSE),B3850),PlayerValues!E:E,0)),"N/A")</f>
        <v>17652</v>
      </c>
      <c r="B3850" s="4" t="s">
        <v>576</v>
      </c>
      <c r="C3850" s="4" t="s">
        <v>278</v>
      </c>
      <c r="D3850" s="94">
        <v>1479.0</v>
      </c>
    </row>
    <row r="3851">
      <c r="A3851" s="40">
        <f t="array" ref="A3851">IFNA(index(PlayerValues!A:A,match(IFNA(vlookup(B3851,'Special Names'!A:B,2,FALSE),B3851),PlayerValues!E:E,0)),"N/A")</f>
        <v>17234</v>
      </c>
      <c r="B3851" s="4" t="s">
        <v>653</v>
      </c>
      <c r="C3851" s="4" t="s">
        <v>287</v>
      </c>
      <c r="D3851" s="94">
        <v>1463.0</v>
      </c>
    </row>
    <row r="3852">
      <c r="A3852" s="40">
        <f t="array" ref="A3852">IFNA(index(PlayerValues!A:A,match(IFNA(vlookup(B3852,'Special Names'!A:B,2,FALSE),B3852),PlayerValues!E:E,0)),"N/A")</f>
        <v>16586</v>
      </c>
      <c r="B3852" s="4" t="s">
        <v>658</v>
      </c>
      <c r="C3852" s="4" t="s">
        <v>283</v>
      </c>
      <c r="D3852" s="94">
        <v>1461.0</v>
      </c>
    </row>
    <row r="3853">
      <c r="A3853" s="40">
        <f t="array" ref="A3853">IFNA(index(PlayerValues!A:A,match(IFNA(vlookup(B3853,'Special Names'!A:B,2,FALSE),B3853),PlayerValues!E:E,0)),"N/A")</f>
        <v>14086</v>
      </c>
      <c r="B3853" s="4" t="s">
        <v>639</v>
      </c>
      <c r="C3853" s="4" t="s">
        <v>278</v>
      </c>
      <c r="D3853" s="94">
        <v>1459.0</v>
      </c>
    </row>
    <row r="3854">
      <c r="A3854" s="40">
        <f t="array" ref="A3854">IFNA(index(PlayerValues!A:A,match(IFNA(vlookup(B3854,'Special Names'!A:B,2,FALSE),B3854),PlayerValues!E:E,0)),"N/A")</f>
        <v>14105</v>
      </c>
      <c r="B3854" s="4" t="s">
        <v>675</v>
      </c>
      <c r="C3854" s="4" t="s">
        <v>287</v>
      </c>
      <c r="D3854" s="94">
        <v>1442.0</v>
      </c>
    </row>
    <row r="3855">
      <c r="A3855" s="40">
        <f t="array" ref="A3855">IFNA(index(PlayerValues!A:A,match(IFNA(vlookup(B3855,'Special Names'!A:B,2,FALSE),B3855),PlayerValues!E:E,0)),"N/A")</f>
        <v>17205</v>
      </c>
      <c r="B3855" s="4" t="s">
        <v>665</v>
      </c>
      <c r="C3855" s="4" t="s">
        <v>287</v>
      </c>
      <c r="D3855" s="94">
        <v>1440.0</v>
      </c>
    </row>
    <row r="3856">
      <c r="A3856" s="40">
        <f t="array" ref="A3856">IFNA(index(PlayerValues!A:A,match(IFNA(vlookup(B3856,'Special Names'!A:B,2,FALSE),B3856),PlayerValues!E:E,0)),"N/A")</f>
        <v>16688</v>
      </c>
      <c r="B3856" s="4" t="s">
        <v>688</v>
      </c>
      <c r="C3856" s="4" t="s">
        <v>278</v>
      </c>
      <c r="D3856" s="94">
        <v>1427.0</v>
      </c>
    </row>
    <row r="3857">
      <c r="A3857" s="40">
        <f t="array" ref="A3857">IFNA(index(PlayerValues!A:A,match(IFNA(vlookup(B3857,'Special Names'!A:B,2,FALSE),B3857),PlayerValues!E:E,0)),"N/A")</f>
        <v>15713</v>
      </c>
      <c r="B3857" s="4" t="s">
        <v>732</v>
      </c>
      <c r="C3857" s="4" t="s">
        <v>278</v>
      </c>
      <c r="D3857" s="94">
        <v>1421.0</v>
      </c>
    </row>
    <row r="3858">
      <c r="A3858" s="40">
        <f t="array" ref="A3858">IFNA(index(PlayerValues!A:A,match(IFNA(vlookup(B3858,'Special Names'!A:B,2,FALSE),B3858),PlayerValues!E:E,0)),"N/A")</f>
        <v>16621</v>
      </c>
      <c r="B3858" s="4" t="s">
        <v>672</v>
      </c>
      <c r="C3858" s="4" t="s">
        <v>287</v>
      </c>
      <c r="D3858" s="94">
        <v>1410.0</v>
      </c>
    </row>
    <row r="3859">
      <c r="A3859" s="40">
        <f t="array" ref="A3859">IFNA(index(PlayerValues!A:A,match(IFNA(vlookup(B3859,'Special Names'!A:B,2,FALSE),B3859),PlayerValues!E:E,0)),"N/A")</f>
        <v>14137</v>
      </c>
      <c r="B3859" s="4" t="s">
        <v>676</v>
      </c>
      <c r="C3859" s="4" t="s">
        <v>298</v>
      </c>
      <c r="D3859" s="94">
        <v>1778.0</v>
      </c>
    </row>
    <row r="3860">
      <c r="A3860" s="40">
        <f t="array" ref="A3860">IFNA(index(PlayerValues!A:A,match(IFNA(vlookup(B3860,'Special Names'!A:B,2,FALSE),B3860),PlayerValues!E:E,0)),"N/A")</f>
        <v>15759</v>
      </c>
      <c r="B3860" s="4" t="s">
        <v>662</v>
      </c>
      <c r="C3860" s="4" t="s">
        <v>287</v>
      </c>
      <c r="D3860" s="94">
        <v>1406.0</v>
      </c>
    </row>
    <row r="3861">
      <c r="A3861" s="40">
        <f t="array" ref="A3861">IFNA(index(PlayerValues!A:A,match(IFNA(vlookup(B3861,'Special Names'!A:B,2,FALSE),B3861),PlayerValues!E:E,0)),"N/A")</f>
        <v>16633</v>
      </c>
      <c r="B3861" s="4" t="s">
        <v>656</v>
      </c>
      <c r="C3861" s="4" t="s">
        <v>287</v>
      </c>
      <c r="D3861" s="94">
        <v>1402.0</v>
      </c>
    </row>
    <row r="3862">
      <c r="A3862" s="40">
        <f t="array" ref="A3862">IFNA(index(PlayerValues!A:A,match(IFNA(vlookup(B3862,'Special Names'!A:B,2,FALSE),B3862),PlayerValues!E:E,0)),"N/A")</f>
        <v>16788</v>
      </c>
      <c r="B3862" s="4" t="s">
        <v>621</v>
      </c>
      <c r="C3862" s="4" t="s">
        <v>287</v>
      </c>
      <c r="D3862" s="94">
        <v>1400.0</v>
      </c>
    </row>
    <row r="3863">
      <c r="A3863" s="40">
        <f t="array" ref="A3863">IFNA(index(PlayerValues!A:A,match(IFNA(vlookup(B3863,'Special Names'!A:B,2,FALSE),B3863),PlayerValues!E:E,0)),"N/A")</f>
        <v>15292</v>
      </c>
      <c r="B3863" s="4" t="s">
        <v>682</v>
      </c>
      <c r="C3863" s="4" t="s">
        <v>287</v>
      </c>
      <c r="D3863" s="94">
        <v>1396.0</v>
      </c>
    </row>
    <row r="3864">
      <c r="A3864" s="40">
        <f t="array" ref="A3864">IFNA(index(PlayerValues!A:A,match(IFNA(vlookup(B3864,'Special Names'!A:B,2,FALSE),B3864),PlayerValues!E:E,0)),"N/A")</f>
        <v>16631</v>
      </c>
      <c r="B3864" s="4" t="s">
        <v>800</v>
      </c>
      <c r="C3864" s="4" t="s">
        <v>287</v>
      </c>
      <c r="D3864" s="94">
        <v>1393.0</v>
      </c>
    </row>
    <row r="3865">
      <c r="A3865" s="40">
        <f t="array" ref="A3865">IFNA(index(PlayerValues!A:A,match(IFNA(vlookup(B3865,'Special Names'!A:B,2,FALSE),B3865),PlayerValues!E:E,0)),"N/A")</f>
        <v>15873</v>
      </c>
      <c r="B3865" s="4" t="s">
        <v>681</v>
      </c>
      <c r="C3865" s="4" t="s">
        <v>298</v>
      </c>
      <c r="D3865" s="94">
        <v>1755.0</v>
      </c>
    </row>
    <row r="3866">
      <c r="A3866" s="40">
        <f t="array" ref="A3866">IFNA(index(PlayerValues!A:A,match(IFNA(vlookup(B3866,'Special Names'!A:B,2,FALSE),B3866),PlayerValues!E:E,0)),"N/A")</f>
        <v>16175</v>
      </c>
      <c r="B3866" s="4" t="s">
        <v>654</v>
      </c>
      <c r="C3866" s="4" t="s">
        <v>278</v>
      </c>
      <c r="D3866" s="94">
        <v>1377.0</v>
      </c>
    </row>
    <row r="3867">
      <c r="A3867" s="40">
        <f t="array" ref="A3867">IFNA(index(PlayerValues!A:A,match(IFNA(vlookup(B3867,'Special Names'!A:B,2,FALSE),B3867),PlayerValues!E:E,0)),"N/A")</f>
        <v>16645</v>
      </c>
      <c r="B3867" s="4" t="s">
        <v>651</v>
      </c>
      <c r="C3867" s="4" t="s">
        <v>298</v>
      </c>
      <c r="D3867" s="94">
        <v>1736.0</v>
      </c>
    </row>
    <row r="3868">
      <c r="A3868" s="40">
        <f t="array" ref="A3868">IFNA(index(PlayerValues!A:A,match(IFNA(vlookup(B3868,'Special Names'!A:B,2,FALSE),B3868),PlayerValues!E:E,0)),"N/A")</f>
        <v>15777</v>
      </c>
      <c r="B3868" s="4" t="s">
        <v>694</v>
      </c>
      <c r="C3868" s="4" t="s">
        <v>287</v>
      </c>
      <c r="D3868" s="94">
        <v>1352.0</v>
      </c>
    </row>
    <row r="3869">
      <c r="A3869" s="40">
        <f t="array" ref="A3869">IFNA(index(PlayerValues!A:A,match(IFNA(vlookup(B3869,'Special Names'!A:B,2,FALSE),B3869),PlayerValues!E:E,0)),"N/A")</f>
        <v>16642</v>
      </c>
      <c r="B3869" s="4" t="s">
        <v>691</v>
      </c>
      <c r="C3869" s="4" t="s">
        <v>298</v>
      </c>
      <c r="D3869" s="94">
        <v>1715.0</v>
      </c>
    </row>
    <row r="3870">
      <c r="A3870" s="40">
        <f t="array" ref="A3870">IFNA(index(PlayerValues!A:A,match(IFNA(vlookup(B3870,'Special Names'!A:B,2,FALSE),B3870),PlayerValues!E:E,0)),"N/A")</f>
        <v>16390</v>
      </c>
      <c r="B3870" s="4" t="s">
        <v>689</v>
      </c>
      <c r="C3870" s="4" t="s">
        <v>278</v>
      </c>
      <c r="D3870" s="94">
        <v>1330.0</v>
      </c>
    </row>
    <row r="3871">
      <c r="A3871" s="40">
        <f t="array" ref="A3871">IFNA(index(PlayerValues!A:A,match(IFNA(vlookup(B3871,'Special Names'!A:B,2,FALSE),B3871),PlayerValues!E:E,0)),"N/A")</f>
        <v>17054</v>
      </c>
      <c r="B3871" s="4" t="s">
        <v>670</v>
      </c>
      <c r="C3871" s="4" t="s">
        <v>278</v>
      </c>
      <c r="D3871" s="94">
        <v>1323.0</v>
      </c>
    </row>
    <row r="3872">
      <c r="A3872" s="40" t="str">
        <f t="array" ref="A3872">IFNA(index(PlayerValues!A:A,match(IFNA(vlookup(B3872,'Special Names'!A:B,2,FALSE),B3872),PlayerValues!E:E,0)),"N/A")</f>
        <v>N/A</v>
      </c>
      <c r="B3872" s="4" t="s">
        <v>117</v>
      </c>
      <c r="C3872" s="4" t="s">
        <v>325</v>
      </c>
      <c r="D3872" s="94">
        <v>1317.0</v>
      </c>
    </row>
    <row r="3873">
      <c r="A3873" s="40">
        <f t="array" ref="A3873">IFNA(index(PlayerValues!A:A,match(IFNA(vlookup(B3873,'Special Names'!A:B,2,FALSE),B3873),PlayerValues!E:E,0)),"N/A")</f>
        <v>16792</v>
      </c>
      <c r="B3873" s="4" t="s">
        <v>704</v>
      </c>
      <c r="C3873" s="4" t="s">
        <v>287</v>
      </c>
      <c r="D3873" s="94">
        <v>1310.0</v>
      </c>
    </row>
    <row r="3874">
      <c r="A3874" s="40">
        <f t="array" ref="A3874">IFNA(index(PlayerValues!A:A,match(IFNA(vlookup(B3874,'Special Names'!A:B,2,FALSE),B3874),PlayerValues!E:E,0)),"N/A")</f>
        <v>17254</v>
      </c>
      <c r="B3874" s="4" t="s">
        <v>679</v>
      </c>
      <c r="C3874" s="4" t="s">
        <v>287</v>
      </c>
      <c r="D3874" s="94">
        <v>1303.0</v>
      </c>
    </row>
    <row r="3875">
      <c r="A3875" s="40">
        <f t="array" ref="A3875">IFNA(index(PlayerValues!A:A,match(IFNA(vlookup(B3875,'Special Names'!A:B,2,FALSE),B3875),PlayerValues!E:E,0)),"N/A")</f>
        <v>16746</v>
      </c>
      <c r="B3875" s="4" t="s">
        <v>709</v>
      </c>
      <c r="C3875" s="4" t="s">
        <v>278</v>
      </c>
      <c r="D3875" s="94">
        <v>1301.0</v>
      </c>
    </row>
    <row r="3876">
      <c r="A3876" s="40">
        <f t="array" ref="A3876">IFNA(index(PlayerValues!A:A,match(IFNA(vlookup(B3876,'Special Names'!A:B,2,FALSE),B3876),PlayerValues!E:E,0)),"N/A")</f>
        <v>17063</v>
      </c>
      <c r="B3876" s="4" t="s">
        <v>686</v>
      </c>
      <c r="C3876" s="4" t="s">
        <v>278</v>
      </c>
      <c r="D3876" s="94">
        <v>1298.0</v>
      </c>
    </row>
    <row r="3877">
      <c r="A3877" s="40">
        <f t="array" ref="A3877">IFNA(index(PlayerValues!A:A,match(IFNA(vlookup(B3877,'Special Names'!A:B,2,FALSE),B3877),PlayerValues!E:E,0)),"N/A")</f>
        <v>17475</v>
      </c>
      <c r="B3877" s="4" t="s">
        <v>615</v>
      </c>
      <c r="C3877" s="4" t="s">
        <v>278</v>
      </c>
      <c r="D3877" s="94">
        <v>1297.0</v>
      </c>
    </row>
    <row r="3878">
      <c r="A3878" s="40">
        <f t="array" ref="A3878">IFNA(index(PlayerValues!A:A,match(IFNA(vlookup(B3878,'Special Names'!A:B,2,FALSE),B3878),PlayerValues!E:E,0)),"N/A")</f>
        <v>12678</v>
      </c>
      <c r="B3878" s="4" t="s">
        <v>703</v>
      </c>
      <c r="C3878" s="4" t="s">
        <v>298</v>
      </c>
      <c r="D3878" s="94">
        <v>1665.0</v>
      </c>
    </row>
    <row r="3879">
      <c r="A3879" s="40">
        <f t="array" ref="A3879">IFNA(index(PlayerValues!A:A,match(IFNA(vlookup(B3879,'Special Names'!A:B,2,FALSE),B3879),PlayerValues!E:E,0)),"N/A")</f>
        <v>17097</v>
      </c>
      <c r="B3879" s="4" t="s">
        <v>659</v>
      </c>
      <c r="C3879" s="4" t="s">
        <v>287</v>
      </c>
      <c r="D3879" s="94">
        <v>1294.0</v>
      </c>
    </row>
    <row r="3880">
      <c r="A3880" s="40">
        <f t="array" ref="A3880">IFNA(index(PlayerValues!A:A,match(IFNA(vlookup(B3880,'Special Names'!A:B,2,FALSE),B3880),PlayerValues!E:E,0)),"N/A")</f>
        <v>14095</v>
      </c>
      <c r="B3880" s="4" t="s">
        <v>680</v>
      </c>
      <c r="C3880" s="4" t="s">
        <v>278</v>
      </c>
      <c r="D3880" s="94">
        <v>1282.0</v>
      </c>
    </row>
    <row r="3881">
      <c r="A3881" s="40">
        <f t="array" ref="A3881">IFNA(index(PlayerValues!A:A,match(IFNA(vlookup(B3881,'Special Names'!A:B,2,FALSE),B3881),PlayerValues!E:E,0)),"N/A")</f>
        <v>16183</v>
      </c>
      <c r="B3881" s="4" t="s">
        <v>678</v>
      </c>
      <c r="C3881" s="4" t="s">
        <v>287</v>
      </c>
      <c r="D3881" s="94">
        <v>1276.0</v>
      </c>
    </row>
    <row r="3882">
      <c r="A3882" s="40">
        <f t="array" ref="A3882">IFNA(index(PlayerValues!A:A,match(IFNA(vlookup(B3882,'Special Names'!A:B,2,FALSE),B3882),PlayerValues!E:E,0)),"N/A")</f>
        <v>16384</v>
      </c>
      <c r="B3882" s="4" t="s">
        <v>696</v>
      </c>
      <c r="C3882" s="4" t="s">
        <v>283</v>
      </c>
      <c r="D3882" s="94">
        <v>1269.0</v>
      </c>
    </row>
    <row r="3883">
      <c r="A3883" s="40">
        <f t="array" ref="A3883">IFNA(index(PlayerValues!A:A,match(IFNA(vlookup(B3883,'Special Names'!A:B,2,FALSE),B3883),PlayerValues!E:E,0)),"N/A")</f>
        <v>16636</v>
      </c>
      <c r="B3883" s="4" t="s">
        <v>699</v>
      </c>
      <c r="C3883" s="4" t="s">
        <v>287</v>
      </c>
      <c r="D3883" s="94">
        <v>1269.0</v>
      </c>
    </row>
    <row r="3884">
      <c r="A3884" s="40">
        <f t="array" ref="A3884">IFNA(index(PlayerValues!A:A,match(IFNA(vlookup(B3884,'Special Names'!A:B,2,FALSE),B3884),PlayerValues!E:E,0)),"N/A")</f>
        <v>12140</v>
      </c>
      <c r="B3884" s="4" t="s">
        <v>702</v>
      </c>
      <c r="C3884" s="4" t="s">
        <v>283</v>
      </c>
      <c r="D3884" s="94">
        <v>1258.0</v>
      </c>
    </row>
    <row r="3885">
      <c r="A3885" s="40">
        <f t="array" ref="A3885">IFNA(index(PlayerValues!A:A,match(IFNA(vlookup(B3885,'Special Names'!A:B,2,FALSE),B3885),PlayerValues!E:E,0)),"N/A")</f>
        <v>17657</v>
      </c>
      <c r="B3885" s="4" t="s">
        <v>642</v>
      </c>
      <c r="C3885" s="4" t="s">
        <v>283</v>
      </c>
      <c r="D3885" s="94">
        <v>1256.0</v>
      </c>
    </row>
    <row r="3886">
      <c r="A3886" s="40">
        <f t="array" ref="A3886">IFNA(index(PlayerValues!A:A,match(IFNA(vlookup(B3886,'Special Names'!A:B,2,FALSE),B3886),PlayerValues!E:E,0)),"N/A")</f>
        <v>14592</v>
      </c>
      <c r="B3886" s="4" t="s">
        <v>705</v>
      </c>
      <c r="C3886" s="4" t="s">
        <v>287</v>
      </c>
      <c r="D3886" s="94">
        <v>1255.0</v>
      </c>
    </row>
    <row r="3887">
      <c r="A3887" s="40">
        <f t="array" ref="A3887">IFNA(index(PlayerValues!A:A,match(IFNA(vlookup(B3887,'Special Names'!A:B,2,FALSE),B3887),PlayerValues!E:E,0)),"N/A")</f>
        <v>15332</v>
      </c>
      <c r="B3887" s="4" t="s">
        <v>698</v>
      </c>
      <c r="C3887" s="4" t="s">
        <v>298</v>
      </c>
      <c r="D3887" s="94">
        <v>1616.0</v>
      </c>
    </row>
    <row r="3888">
      <c r="A3888" s="40">
        <f t="array" ref="A3888">IFNA(index(PlayerValues!A:A,match(IFNA(vlookup(B3888,'Special Names'!A:B,2,FALSE),B3888),PlayerValues!E:E,0)),"N/A")</f>
        <v>17510</v>
      </c>
      <c r="B3888" s="4" t="s">
        <v>661</v>
      </c>
      <c r="C3888" s="4" t="s">
        <v>287</v>
      </c>
      <c r="D3888" s="94">
        <v>1245.0</v>
      </c>
    </row>
    <row r="3889">
      <c r="A3889" s="40">
        <f t="array" ref="A3889">IFNA(index(PlayerValues!A:A,match(IFNA(vlookup(B3889,'Special Names'!A:B,2,FALSE),B3889),PlayerValues!E:E,0)),"N/A")</f>
        <v>17037</v>
      </c>
      <c r="B3889" s="4" t="s">
        <v>727</v>
      </c>
      <c r="C3889" s="4" t="s">
        <v>283</v>
      </c>
      <c r="D3889" s="94">
        <v>1239.0</v>
      </c>
    </row>
    <row r="3890">
      <c r="A3890" s="40">
        <f t="array" ref="A3890">IFNA(index(PlayerValues!A:A,match(IFNA(vlookup(B3890,'Special Names'!A:B,2,FALSE),B3890),PlayerValues!E:E,0)),"N/A")</f>
        <v>16883</v>
      </c>
      <c r="B3890" s="4" t="s">
        <v>683</v>
      </c>
      <c r="C3890" s="4" t="s">
        <v>287</v>
      </c>
      <c r="D3890" s="94">
        <v>1224.0</v>
      </c>
    </row>
    <row r="3891">
      <c r="A3891" s="40">
        <f t="array" ref="A3891">IFNA(index(PlayerValues!A:A,match(IFNA(vlookup(B3891,'Special Names'!A:B,2,FALSE),B3891),PlayerValues!E:E,0)),"N/A")</f>
        <v>15702</v>
      </c>
      <c r="B3891" s="4" t="s">
        <v>723</v>
      </c>
      <c r="C3891" s="4" t="s">
        <v>283</v>
      </c>
      <c r="D3891" s="94">
        <v>1222.0</v>
      </c>
    </row>
    <row r="3892">
      <c r="A3892" s="40">
        <f t="array" ref="A3892">IFNA(index(PlayerValues!A:A,match(IFNA(vlookup(B3892,'Special Names'!A:B,2,FALSE),B3892),PlayerValues!E:E,0)),"N/A")</f>
        <v>16385</v>
      </c>
      <c r="B3892" s="4" t="s">
        <v>690</v>
      </c>
      <c r="C3892" s="4" t="s">
        <v>278</v>
      </c>
      <c r="D3892" s="94">
        <v>1213.0</v>
      </c>
    </row>
    <row r="3893">
      <c r="A3893" s="40">
        <f t="array" ref="A3893">IFNA(index(PlayerValues!A:A,match(IFNA(vlookup(B3893,'Special Names'!A:B,2,FALSE),B3893),PlayerValues!E:E,0)),"N/A")</f>
        <v>16199</v>
      </c>
      <c r="B3893" s="4" t="s">
        <v>687</v>
      </c>
      <c r="C3893" s="4" t="s">
        <v>287</v>
      </c>
      <c r="D3893" s="94">
        <v>1208.0</v>
      </c>
    </row>
    <row r="3894">
      <c r="A3894" s="40">
        <f t="array" ref="A3894">IFNA(index(PlayerValues!A:A,match(IFNA(vlookup(B3894,'Special Names'!A:B,2,FALSE),B3894),PlayerValues!E:E,0)),"N/A")</f>
        <v>17062</v>
      </c>
      <c r="B3894" s="4" t="s">
        <v>701</v>
      </c>
      <c r="C3894" s="4" t="s">
        <v>278</v>
      </c>
      <c r="D3894" s="94">
        <v>1207.0</v>
      </c>
    </row>
    <row r="3895">
      <c r="A3895" s="40">
        <f t="array" ref="A3895">IFNA(index(PlayerValues!A:A,match(IFNA(vlookup(B3895,'Special Names'!A:B,2,FALSE),B3895),PlayerValues!E:E,0)),"N/A")</f>
        <v>17192</v>
      </c>
      <c r="B3895" s="4" t="s">
        <v>677</v>
      </c>
      <c r="C3895" s="4" t="s">
        <v>287</v>
      </c>
      <c r="D3895" s="94">
        <v>1207.0</v>
      </c>
    </row>
    <row r="3896">
      <c r="A3896" s="40">
        <f t="array" ref="A3896">IFNA(index(PlayerValues!A:A,match(IFNA(vlookup(B3896,'Special Names'!A:B,2,FALSE),B3896),PlayerValues!E:E,0)),"N/A")</f>
        <v>14080</v>
      </c>
      <c r="B3896" s="4" t="s">
        <v>716</v>
      </c>
      <c r="C3896" s="4" t="s">
        <v>278</v>
      </c>
      <c r="D3896" s="94">
        <v>1202.0</v>
      </c>
    </row>
    <row r="3897">
      <c r="A3897" s="40">
        <f t="array" ref="A3897">IFNA(index(PlayerValues!A:A,match(IFNA(vlookup(B3897,'Special Names'!A:B,2,FALSE),B3897),PlayerValues!E:E,0)),"N/A")</f>
        <v>13418</v>
      </c>
      <c r="B3897" s="4" t="s">
        <v>706</v>
      </c>
      <c r="C3897" s="4" t="s">
        <v>287</v>
      </c>
      <c r="D3897" s="94">
        <v>1201.0</v>
      </c>
    </row>
    <row r="3898">
      <c r="A3898" s="40">
        <f t="array" ref="A3898">IFNA(index(PlayerValues!A:A,match(IFNA(vlookup(B3898,'Special Names'!A:B,2,FALSE),B3898),PlayerValues!E:E,0)),"N/A")</f>
        <v>17518</v>
      </c>
      <c r="B3898" s="4" t="s">
        <v>482</v>
      </c>
      <c r="C3898" s="4" t="s">
        <v>287</v>
      </c>
      <c r="D3898" s="94">
        <v>1186.0</v>
      </c>
    </row>
    <row r="3899">
      <c r="A3899" s="40">
        <f t="array" ref="A3899">IFNA(index(PlayerValues!A:A,match(IFNA(vlookup(B3899,'Special Names'!A:B,2,FALSE),B3899),PlayerValues!E:E,0)),"N/A")</f>
        <v>14067</v>
      </c>
      <c r="B3899" s="4" t="s">
        <v>735</v>
      </c>
      <c r="C3899" s="4" t="s">
        <v>283</v>
      </c>
      <c r="D3899" s="94">
        <v>1173.0</v>
      </c>
    </row>
    <row r="3900">
      <c r="A3900" s="40">
        <f t="array" ref="A3900">IFNA(index(PlayerValues!A:A,match(IFNA(vlookup(B3900,'Special Names'!A:B,2,FALSE),B3900),PlayerValues!E:E,0)),"N/A")</f>
        <v>17077</v>
      </c>
      <c r="B3900" s="4" t="s">
        <v>714</v>
      </c>
      <c r="C3900" s="4" t="s">
        <v>287</v>
      </c>
      <c r="D3900" s="94">
        <v>1173.0</v>
      </c>
    </row>
    <row r="3901">
      <c r="A3901" s="40">
        <f t="array" ref="A3901">IFNA(index(PlayerValues!A:A,match(IFNA(vlookup(B3901,'Special Names'!A:B,2,FALSE),B3901),PlayerValues!E:E,0)),"N/A")</f>
        <v>17546</v>
      </c>
      <c r="B3901" s="4" t="s">
        <v>671</v>
      </c>
      <c r="C3901" s="4" t="s">
        <v>298</v>
      </c>
      <c r="D3901" s="94">
        <v>1541.0</v>
      </c>
    </row>
    <row r="3902">
      <c r="A3902" s="40">
        <f t="array" ref="A3902">IFNA(index(PlayerValues!A:A,match(IFNA(vlookup(B3902,'Special Names'!A:B,2,FALSE),B3902),PlayerValues!E:E,0)),"N/A")</f>
        <v>17109</v>
      </c>
      <c r="B3902" s="4" t="s">
        <v>707</v>
      </c>
      <c r="C3902" s="4" t="s">
        <v>298</v>
      </c>
      <c r="D3902" s="94">
        <v>1539.0</v>
      </c>
    </row>
    <row r="3903">
      <c r="A3903" s="40">
        <f t="array" ref="A3903">IFNA(index(PlayerValues!A:A,match(IFNA(vlookup(B3903,'Special Names'!A:B,2,FALSE),B3903),PlayerValues!E:E,0)),"N/A")</f>
        <v>11222</v>
      </c>
      <c r="B3903" s="4" t="s">
        <v>622</v>
      </c>
      <c r="C3903" s="4" t="s">
        <v>287</v>
      </c>
      <c r="D3903" s="94">
        <v>1166.0</v>
      </c>
    </row>
    <row r="3904">
      <c r="A3904" s="40">
        <f t="array" ref="A3904">IFNA(index(PlayerValues!A:A,match(IFNA(vlookup(B3904,'Special Names'!A:B,2,FALSE),B3904),PlayerValues!E:E,0)),"N/A")</f>
        <v>15252</v>
      </c>
      <c r="B3904" s="4" t="s">
        <v>715</v>
      </c>
      <c r="C3904" s="4" t="s">
        <v>283</v>
      </c>
      <c r="D3904" s="94">
        <v>1166.0</v>
      </c>
    </row>
    <row r="3905">
      <c r="A3905" s="40">
        <f t="array" ref="A3905">IFNA(index(PlayerValues!A:A,match(IFNA(vlookup(B3905,'Special Names'!A:B,2,FALSE),B3905),PlayerValues!E:E,0)),"N/A")</f>
        <v>15254</v>
      </c>
      <c r="B3905" s="4" t="s">
        <v>633</v>
      </c>
      <c r="C3905" s="4" t="s">
        <v>278</v>
      </c>
      <c r="D3905" s="94">
        <v>1164.0</v>
      </c>
    </row>
    <row r="3906">
      <c r="A3906" s="40">
        <f t="array" ref="A3906">IFNA(index(PlayerValues!A:A,match(IFNA(vlookup(B3906,'Special Names'!A:B,2,FALSE),B3906),PlayerValues!E:E,0)),"N/A")</f>
        <v>17269</v>
      </c>
      <c r="B3906" s="4" t="s">
        <v>718</v>
      </c>
      <c r="C3906" s="4" t="s">
        <v>287</v>
      </c>
      <c r="D3906" s="94">
        <v>1163.0</v>
      </c>
    </row>
    <row r="3907">
      <c r="A3907" s="40">
        <f t="array" ref="A3907">IFNA(index(PlayerValues!A:A,match(IFNA(vlookup(B3907,'Special Names'!A:B,2,FALSE),B3907),PlayerValues!E:E,0)),"N/A")</f>
        <v>16333</v>
      </c>
      <c r="B3907" s="4" t="s">
        <v>711</v>
      </c>
      <c r="C3907" s="4" t="s">
        <v>298</v>
      </c>
      <c r="D3907" s="94">
        <v>1530.0</v>
      </c>
    </row>
    <row r="3908">
      <c r="A3908" s="40">
        <f t="array" ref="A3908">IFNA(index(PlayerValues!A:A,match(IFNA(vlookup(B3908,'Special Names'!A:B,2,FALSE),B3908),PlayerValues!E:E,0)),"N/A")</f>
        <v>14108</v>
      </c>
      <c r="B3908" s="4" t="s">
        <v>673</v>
      </c>
      <c r="C3908" s="4" t="s">
        <v>287</v>
      </c>
      <c r="D3908" s="94">
        <v>1156.0</v>
      </c>
    </row>
    <row r="3909">
      <c r="A3909" s="40">
        <f t="array" ref="A3909">IFNA(index(PlayerValues!A:A,match(IFNA(vlookup(B3909,'Special Names'!A:B,2,FALSE),B3909),PlayerValues!E:E,0)),"N/A")</f>
        <v>14789</v>
      </c>
      <c r="B3909" s="4" t="s">
        <v>721</v>
      </c>
      <c r="C3909" s="4" t="s">
        <v>283</v>
      </c>
      <c r="D3909" s="94">
        <v>1151.0</v>
      </c>
    </row>
    <row r="3910">
      <c r="A3910" s="40">
        <f t="array" ref="A3910">IFNA(index(PlayerValues!A:A,match(IFNA(vlookup(B3910,'Special Names'!A:B,2,FALSE),B3910),PlayerValues!E:E,0)),"N/A")</f>
        <v>15288</v>
      </c>
      <c r="B3910" s="4" t="s">
        <v>700</v>
      </c>
      <c r="C3910" s="4" t="s">
        <v>287</v>
      </c>
      <c r="D3910" s="94">
        <v>1149.0</v>
      </c>
    </row>
    <row r="3911">
      <c r="A3911" s="40">
        <f t="array" ref="A3911">IFNA(index(PlayerValues!A:A,match(IFNA(vlookup(B3911,'Special Names'!A:B,2,FALSE),B3911),PlayerValues!E:E,0)),"N/A")</f>
        <v>17057</v>
      </c>
      <c r="B3911" s="4" t="s">
        <v>708</v>
      </c>
      <c r="C3911" s="4" t="s">
        <v>278</v>
      </c>
      <c r="D3911" s="94">
        <v>1147.0</v>
      </c>
    </row>
    <row r="3912">
      <c r="A3912" s="40">
        <f t="array" ref="A3912">IFNA(index(PlayerValues!A:A,match(IFNA(vlookup(B3912,'Special Names'!A:B,2,FALSE),B3912),PlayerValues!E:E,0)),"N/A")</f>
        <v>16221</v>
      </c>
      <c r="B3912" s="4" t="s">
        <v>725</v>
      </c>
      <c r="C3912" s="4" t="s">
        <v>298</v>
      </c>
      <c r="D3912" s="94">
        <v>1516.0</v>
      </c>
    </row>
    <row r="3913">
      <c r="A3913" s="40">
        <f t="array" ref="A3913">IFNA(index(PlayerValues!A:A,match(IFNA(vlookup(B3913,'Special Names'!A:B,2,FALSE),B3913),PlayerValues!E:E,0)),"N/A")</f>
        <v>17050</v>
      </c>
      <c r="B3913" s="4" t="s">
        <v>713</v>
      </c>
      <c r="C3913" s="4" t="s">
        <v>278</v>
      </c>
      <c r="D3913" s="94">
        <v>1133.0</v>
      </c>
    </row>
    <row r="3914">
      <c r="A3914" s="40">
        <f t="array" ref="A3914">IFNA(index(PlayerValues!A:A,match(IFNA(vlookup(B3914,'Special Names'!A:B,2,FALSE),B3914),PlayerValues!E:E,0)),"N/A")</f>
        <v>16640</v>
      </c>
      <c r="B3914" s="4" t="s">
        <v>712</v>
      </c>
      <c r="C3914" s="4" t="s">
        <v>287</v>
      </c>
      <c r="D3914" s="94">
        <v>1127.0</v>
      </c>
    </row>
    <row r="3915">
      <c r="A3915" s="40">
        <f t="array" ref="A3915">IFNA(index(PlayerValues!A:A,match(IFNA(vlookup(B3915,'Special Names'!A:B,2,FALSE),B3915),PlayerValues!E:E,0)),"N/A")</f>
        <v>15981</v>
      </c>
      <c r="B3915" s="4" t="s">
        <v>729</v>
      </c>
      <c r="C3915" s="4" t="s">
        <v>287</v>
      </c>
      <c r="D3915" s="94">
        <v>1112.0</v>
      </c>
    </row>
    <row r="3916">
      <c r="A3916" s="40">
        <f t="array" ref="A3916">IFNA(index(PlayerValues!A:A,match(IFNA(vlookup(B3916,'Special Names'!A:B,2,FALSE),B3916),PlayerValues!E:E,0)),"N/A")</f>
        <v>15795</v>
      </c>
      <c r="B3916" s="4" t="s">
        <v>669</v>
      </c>
      <c r="C3916" s="4" t="s">
        <v>298</v>
      </c>
      <c r="D3916" s="94">
        <v>1467.0</v>
      </c>
    </row>
    <row r="3917">
      <c r="A3917" s="40">
        <f t="array" ref="A3917">IFNA(index(PlayerValues!A:A,match(IFNA(vlookup(B3917,'Special Names'!A:B,2,FALSE),B3917),PlayerValues!E:E,0)),"N/A")</f>
        <v>17504</v>
      </c>
      <c r="B3917" s="4" t="s">
        <v>693</v>
      </c>
      <c r="C3917" s="4" t="s">
        <v>287</v>
      </c>
      <c r="D3917" s="94">
        <v>1088.0</v>
      </c>
    </row>
    <row r="3918">
      <c r="A3918" s="40">
        <f t="array" ref="A3918">IFNA(index(PlayerValues!A:A,match(IFNA(vlookup(B3918,'Special Names'!A:B,2,FALSE),B3918),PlayerValues!E:E,0)),"N/A")</f>
        <v>12141</v>
      </c>
      <c r="B3918" s="4" t="s">
        <v>744</v>
      </c>
      <c r="C3918" s="4" t="s">
        <v>283</v>
      </c>
      <c r="D3918" s="94">
        <v>1083.0</v>
      </c>
    </row>
    <row r="3919">
      <c r="A3919" s="40">
        <f t="array" ref="A3919">IFNA(index(PlayerValues!A:A,match(IFNA(vlookup(B3919,'Special Names'!A:B,2,FALSE),B3919),PlayerValues!E:E,0)),"N/A")</f>
        <v>16149</v>
      </c>
      <c r="B3919" s="4" t="s">
        <v>740</v>
      </c>
      <c r="C3919" s="4" t="s">
        <v>283</v>
      </c>
      <c r="D3919" s="94">
        <v>1071.0</v>
      </c>
    </row>
    <row r="3920">
      <c r="A3920" s="40">
        <f t="array" ref="A3920">IFNA(index(PlayerValues!A:A,match(IFNA(vlookup(B3920,'Special Names'!A:B,2,FALSE),B3920),PlayerValues!E:E,0)),"N/A")</f>
        <v>13289</v>
      </c>
      <c r="B3920" s="4" t="s">
        <v>746</v>
      </c>
      <c r="C3920" s="4" t="s">
        <v>287</v>
      </c>
      <c r="D3920" s="94">
        <v>1064.0</v>
      </c>
    </row>
    <row r="3921">
      <c r="A3921" s="40">
        <f t="array" ref="A3921">IFNA(index(PlayerValues!A:A,match(IFNA(vlookup(B3921,'Special Names'!A:B,2,FALSE),B3921),PlayerValues!E:E,0)),"N/A")</f>
        <v>16197</v>
      </c>
      <c r="B3921" s="4" t="s">
        <v>726</v>
      </c>
      <c r="C3921" s="4" t="s">
        <v>287</v>
      </c>
      <c r="D3921" s="94">
        <v>1064.0</v>
      </c>
    </row>
    <row r="3922">
      <c r="A3922" s="40">
        <f t="array" ref="A3922">IFNA(index(PlayerValues!A:A,match(IFNA(vlookup(B3922,'Special Names'!A:B,2,FALSE),B3922),PlayerValues!E:E,0)),"N/A")</f>
        <v>14845</v>
      </c>
      <c r="B3922" s="4" t="s">
        <v>717</v>
      </c>
      <c r="C3922" s="4" t="s">
        <v>287</v>
      </c>
      <c r="D3922" s="94">
        <v>1061.0</v>
      </c>
    </row>
    <row r="3923">
      <c r="A3923" s="40">
        <f t="array" ref="A3923">IFNA(index(PlayerValues!A:A,match(IFNA(vlookup(B3923,'Special Names'!A:B,2,FALSE),B3923),PlayerValues!E:E,0)),"N/A")</f>
        <v>15240</v>
      </c>
      <c r="B3923" s="4" t="s">
        <v>751</v>
      </c>
      <c r="C3923" s="4" t="s">
        <v>283</v>
      </c>
      <c r="D3923" s="94">
        <v>1056.0</v>
      </c>
    </row>
    <row r="3924">
      <c r="A3924" s="40">
        <f t="array" ref="A3924">IFNA(index(PlayerValues!A:A,match(IFNA(vlookup(B3924,'Special Names'!A:B,2,FALSE),B3924),PlayerValues!E:E,0)),"N/A")</f>
        <v>15109</v>
      </c>
      <c r="B3924" s="4" t="s">
        <v>728</v>
      </c>
      <c r="C3924" s="4" t="s">
        <v>287</v>
      </c>
      <c r="D3924" s="94">
        <v>1033.0</v>
      </c>
    </row>
    <row r="3925">
      <c r="A3925" s="40">
        <f t="array" ref="A3925">IFNA(index(PlayerValues!A:A,match(IFNA(vlookup(B3925,'Special Names'!A:B,2,FALSE),B3925),PlayerValues!E:E,0)),"N/A")</f>
        <v>14849</v>
      </c>
      <c r="B3925" s="4" t="s">
        <v>733</v>
      </c>
      <c r="C3925" s="4" t="s">
        <v>287</v>
      </c>
      <c r="D3925" s="94">
        <v>1032.0</v>
      </c>
    </row>
    <row r="3926">
      <c r="A3926" s="40">
        <f t="array" ref="A3926">IFNA(index(PlayerValues!A:A,match(IFNA(vlookup(B3926,'Special Names'!A:B,2,FALSE),B3926),PlayerValues!E:E,0)),"N/A")</f>
        <v>15727</v>
      </c>
      <c r="B3926" s="4" t="s">
        <v>730</v>
      </c>
      <c r="C3926" s="4" t="s">
        <v>278</v>
      </c>
      <c r="D3926" s="94">
        <v>1026.0</v>
      </c>
    </row>
    <row r="3927">
      <c r="A3927" s="40">
        <f t="array" ref="A3927">IFNA(index(PlayerValues!A:A,match(IFNA(vlookup(B3927,'Special Names'!A:B,2,FALSE),B3927),PlayerValues!E:E,0)),"N/A")</f>
        <v>15730</v>
      </c>
      <c r="B3927" s="4" t="s">
        <v>734</v>
      </c>
      <c r="C3927" s="4" t="s">
        <v>278</v>
      </c>
      <c r="D3927" s="94">
        <v>1026.0</v>
      </c>
    </row>
    <row r="3928">
      <c r="A3928" s="40">
        <f t="array" ref="A3928">IFNA(index(PlayerValues!A:A,match(IFNA(vlookup(B3928,'Special Names'!A:B,2,FALSE),B3928),PlayerValues!E:E,0)),"N/A")</f>
        <v>15717</v>
      </c>
      <c r="B3928" s="4" t="s">
        <v>745</v>
      </c>
      <c r="C3928" s="4" t="s">
        <v>278</v>
      </c>
      <c r="D3928" s="94">
        <v>1026.0</v>
      </c>
    </row>
    <row r="3929">
      <c r="A3929" s="40">
        <f t="array" ref="A3929">IFNA(index(PlayerValues!A:A,match(IFNA(vlookup(B3929,'Special Names'!A:B,2,FALSE),B3929),PlayerValues!E:E,0)),"N/A")</f>
        <v>9064</v>
      </c>
      <c r="B3929" s="4" t="s">
        <v>761</v>
      </c>
      <c r="C3929" s="4" t="s">
        <v>283</v>
      </c>
      <c r="D3929" s="94">
        <v>1025.0</v>
      </c>
    </row>
    <row r="3930">
      <c r="A3930" s="40">
        <f t="array" ref="A3930">IFNA(index(PlayerValues!A:A,match(IFNA(vlookup(B3930,'Special Names'!A:B,2,FALSE),B3930),PlayerValues!E:E,0)),"N/A")</f>
        <v>16168</v>
      </c>
      <c r="B3930" s="4" t="s">
        <v>738</v>
      </c>
      <c r="C3930" s="4" t="s">
        <v>278</v>
      </c>
      <c r="D3930" s="94">
        <v>1021.0</v>
      </c>
    </row>
    <row r="3931">
      <c r="A3931" s="40">
        <f t="array" ref="A3931">IFNA(index(PlayerValues!A:A,match(IFNA(vlookup(B3931,'Special Names'!A:B,2,FALSE),B3931),PlayerValues!E:E,0)),"N/A")</f>
        <v>15330</v>
      </c>
      <c r="B3931" s="4" t="s">
        <v>749</v>
      </c>
      <c r="C3931" s="4" t="s">
        <v>298</v>
      </c>
      <c r="D3931" s="94">
        <v>1381.0</v>
      </c>
    </row>
    <row r="3932">
      <c r="A3932" s="40">
        <f t="array" ref="A3932">IFNA(index(PlayerValues!A:A,match(IFNA(vlookup(B3932,'Special Names'!A:B,2,FALSE),B3932),PlayerValues!E:E,0)),"N/A")</f>
        <v>15693</v>
      </c>
      <c r="B3932" s="4" t="s">
        <v>755</v>
      </c>
      <c r="C3932" s="4" t="s">
        <v>283</v>
      </c>
      <c r="D3932" s="94">
        <v>1010.0</v>
      </c>
    </row>
    <row r="3933">
      <c r="A3933" s="40">
        <f t="array" ref="A3933">IFNA(index(PlayerValues!A:A,match(IFNA(vlookup(B3933,'Special Names'!A:B,2,FALSE),B3933),PlayerValues!E:E,0)),"N/A")</f>
        <v>16637</v>
      </c>
      <c r="B3933" s="4" t="s">
        <v>736</v>
      </c>
      <c r="C3933" s="4" t="s">
        <v>287</v>
      </c>
      <c r="D3933" s="94">
        <v>1007.0</v>
      </c>
    </row>
    <row r="3934">
      <c r="A3934" s="40">
        <f t="array" ref="A3934">IFNA(index(PlayerValues!A:A,match(IFNA(vlookup(B3934,'Special Names'!A:B,2,FALSE),B3934),PlayerValues!E:E,0)),"N/A")</f>
        <v>16451</v>
      </c>
      <c r="B3934" s="4" t="s">
        <v>769</v>
      </c>
      <c r="C3934" s="4" t="s">
        <v>287</v>
      </c>
      <c r="D3934" s="94">
        <v>1005.0</v>
      </c>
    </row>
    <row r="3935">
      <c r="A3935" s="40">
        <f t="array" ref="A3935">IFNA(index(PlayerValues!A:A,match(IFNA(vlookup(B3935,'Special Names'!A:B,2,FALSE),B3935),PlayerValues!E:E,0)),"N/A")</f>
        <v>15758</v>
      </c>
      <c r="B3935" s="4" t="s">
        <v>724</v>
      </c>
      <c r="C3935" s="4" t="s">
        <v>287</v>
      </c>
      <c r="D3935" s="94">
        <v>998.0</v>
      </c>
    </row>
    <row r="3936">
      <c r="A3936" s="40">
        <f t="array" ref="A3936">IFNA(index(PlayerValues!A:A,match(IFNA(vlookup(B3936,'Special Names'!A:B,2,FALSE),B3936),PlayerValues!E:E,0)),"N/A")</f>
        <v>16205</v>
      </c>
      <c r="B3936" s="4" t="s">
        <v>742</v>
      </c>
      <c r="C3936" s="4" t="s">
        <v>287</v>
      </c>
      <c r="D3936" s="94">
        <v>997.0</v>
      </c>
    </row>
    <row r="3937">
      <c r="A3937" s="40">
        <f t="array" ref="A3937">IFNA(index(PlayerValues!A:A,match(IFNA(vlookup(B3937,'Special Names'!A:B,2,FALSE),B3937),PlayerValues!E:E,0)),"N/A")</f>
        <v>15692</v>
      </c>
      <c r="B3937" s="4" t="s">
        <v>750</v>
      </c>
      <c r="C3937" s="4" t="s">
        <v>283</v>
      </c>
      <c r="D3937" s="94">
        <v>996.0</v>
      </c>
    </row>
    <row r="3938">
      <c r="A3938" s="40">
        <f t="array" ref="A3938">IFNA(index(PlayerValues!A:A,match(IFNA(vlookup(B3938,'Special Names'!A:B,2,FALSE),B3938),PlayerValues!E:E,0)),"N/A")</f>
        <v>15718</v>
      </c>
      <c r="B3938" s="4" t="s">
        <v>753</v>
      </c>
      <c r="C3938" s="4" t="s">
        <v>278</v>
      </c>
      <c r="D3938" s="94">
        <v>990.0</v>
      </c>
    </row>
    <row r="3939">
      <c r="A3939" s="40">
        <f t="array" ref="A3939">IFNA(index(PlayerValues!A:A,match(IFNA(vlookup(B3939,'Special Names'!A:B,2,FALSE),B3939),PlayerValues!E:E,0)),"N/A")</f>
        <v>16393</v>
      </c>
      <c r="B3939" s="4" t="s">
        <v>768</v>
      </c>
      <c r="C3939" s="4" t="s">
        <v>287</v>
      </c>
      <c r="D3939" s="94">
        <v>983.0</v>
      </c>
    </row>
    <row r="3940">
      <c r="A3940" s="40">
        <f t="array" ref="A3940">IFNA(index(PlayerValues!A:A,match(IFNA(vlookup(B3940,'Special Names'!A:B,2,FALSE),B3940),PlayerValues!E:E,0)),"N/A")</f>
        <v>16170</v>
      </c>
      <c r="B3940" s="4" t="s">
        <v>801</v>
      </c>
      <c r="C3940" s="4" t="s">
        <v>278</v>
      </c>
      <c r="D3940" s="94">
        <v>980.0</v>
      </c>
    </row>
    <row r="3941">
      <c r="A3941" s="40">
        <f t="array" ref="A3941">IFNA(index(PlayerValues!A:A,match(IFNA(vlookup(B3941,'Special Names'!A:B,2,FALSE),B3941),PlayerValues!E:E,0)),"N/A")</f>
        <v>16648</v>
      </c>
      <c r="B3941" s="4" t="s">
        <v>748</v>
      </c>
      <c r="C3941" s="4" t="s">
        <v>298</v>
      </c>
      <c r="D3941" s="94">
        <v>1340.0</v>
      </c>
    </row>
    <row r="3942">
      <c r="A3942" s="40">
        <f t="array" ref="A3942">IFNA(index(PlayerValues!A:A,match(IFNA(vlookup(B3942,'Special Names'!A:B,2,FALSE),B3942),PlayerValues!E:E,0)),"N/A")</f>
        <v>15258</v>
      </c>
      <c r="B3942" s="4" t="s">
        <v>757</v>
      </c>
      <c r="C3942" s="4" t="s">
        <v>278</v>
      </c>
      <c r="D3942" s="94">
        <v>967.0</v>
      </c>
    </row>
    <row r="3943">
      <c r="A3943" s="40">
        <f t="array" ref="A3943">IFNA(index(PlayerValues!A:A,match(IFNA(vlookup(B3943,'Special Names'!A:B,2,FALSE),B3943),PlayerValues!E:E,0)),"N/A")</f>
        <v>17487</v>
      </c>
      <c r="B3943" s="4" t="s">
        <v>692</v>
      </c>
      <c r="C3943" s="4" t="s">
        <v>278</v>
      </c>
      <c r="D3943" s="94">
        <v>967.0</v>
      </c>
    </row>
    <row r="3944">
      <c r="A3944" s="40">
        <f t="array" ref="A3944">IFNA(index(PlayerValues!A:A,match(IFNA(vlookup(B3944,'Special Names'!A:B,2,FALSE),B3944),PlayerValues!E:E,0)),"N/A")</f>
        <v>15239</v>
      </c>
      <c r="B3944" s="4" t="s">
        <v>802</v>
      </c>
      <c r="C3944" s="4" t="s">
        <v>283</v>
      </c>
      <c r="D3944" s="94">
        <v>948.0</v>
      </c>
    </row>
    <row r="3945">
      <c r="A3945" s="40">
        <f t="array" ref="A3945">IFNA(index(PlayerValues!A:A,match(IFNA(vlookup(B3945,'Special Names'!A:B,2,FALSE),B3945),PlayerValues!E:E,0)),"N/A")</f>
        <v>16606</v>
      </c>
      <c r="B3945" s="4" t="s">
        <v>743</v>
      </c>
      <c r="C3945" s="4" t="s">
        <v>278</v>
      </c>
      <c r="D3945" s="94">
        <v>939.0</v>
      </c>
    </row>
    <row r="3946">
      <c r="A3946" s="40">
        <f t="array" ref="A3946">IFNA(index(PlayerValues!A:A,match(IFNA(vlookup(B3946,'Special Names'!A:B,2,FALSE),B3946),PlayerValues!E:E,0)),"N/A")</f>
        <v>17549</v>
      </c>
      <c r="B3946" s="4" t="s">
        <v>720</v>
      </c>
      <c r="C3946" s="4" t="s">
        <v>298</v>
      </c>
      <c r="D3946" s="94">
        <v>1303.0</v>
      </c>
    </row>
    <row r="3947">
      <c r="A3947" s="40">
        <f t="array" ref="A3947">IFNA(index(PlayerValues!A:A,match(IFNA(vlookup(B3947,'Special Names'!A:B,2,FALSE),B3947),PlayerValues!E:E,0)),"N/A")</f>
        <v>16219</v>
      </c>
      <c r="B3947" s="4" t="s">
        <v>739</v>
      </c>
      <c r="C3947" s="4" t="s">
        <v>298</v>
      </c>
      <c r="D3947" s="94">
        <v>1300.0</v>
      </c>
    </row>
    <row r="3948">
      <c r="A3948" s="40">
        <f t="array" ref="A3948">IFNA(index(PlayerValues!A:A,match(IFNA(vlookup(B3948,'Special Names'!A:B,2,FALSE),B3948),PlayerValues!E:E,0)),"N/A")</f>
        <v>16416</v>
      </c>
      <c r="B3948" s="4" t="s">
        <v>752</v>
      </c>
      <c r="C3948" s="4" t="s">
        <v>287</v>
      </c>
      <c r="D3948" s="94">
        <v>929.0</v>
      </c>
    </row>
    <row r="3949">
      <c r="A3949" s="40">
        <f t="array" ref="A3949">IFNA(index(PlayerValues!A:A,match(IFNA(vlookup(B3949,'Special Names'!A:B,2,FALSE),B3949),PlayerValues!E:E,0)),"N/A")</f>
        <v>16678</v>
      </c>
      <c r="B3949" s="4" t="s">
        <v>758</v>
      </c>
      <c r="C3949" s="4" t="s">
        <v>278</v>
      </c>
      <c r="D3949" s="94">
        <v>921.0</v>
      </c>
    </row>
    <row r="3950">
      <c r="A3950" s="40">
        <f t="array" ref="A3950">IFNA(index(PlayerValues!A:A,match(IFNA(vlookup(B3950,'Special Names'!A:B,2,FALSE),B3950),PlayerValues!E:E,0)),"N/A")</f>
        <v>16599</v>
      </c>
      <c r="B3950" s="4" t="s">
        <v>737</v>
      </c>
      <c r="C3950" s="4" t="s">
        <v>278</v>
      </c>
      <c r="D3950" s="94">
        <v>919.0</v>
      </c>
    </row>
    <row r="3951">
      <c r="A3951" s="40">
        <f t="array" ref="A3951">IFNA(index(PlayerValues!A:A,match(IFNA(vlookup(B3951,'Special Names'!A:B,2,FALSE),B3951),PlayerValues!E:E,0)),"N/A")</f>
        <v>16858</v>
      </c>
      <c r="B3951" s="4" t="s">
        <v>754</v>
      </c>
      <c r="C3951" s="4" t="s">
        <v>287</v>
      </c>
      <c r="D3951" s="94">
        <v>916.0</v>
      </c>
    </row>
    <row r="3952">
      <c r="A3952" s="40">
        <f t="array" ref="A3952">IFNA(index(PlayerValues!A:A,match(IFNA(vlookup(B3952,'Special Names'!A:B,2,FALSE),B3952),PlayerValues!E:E,0)),"N/A")</f>
        <v>17479</v>
      </c>
      <c r="B3952" s="4" t="s">
        <v>756</v>
      </c>
      <c r="C3952" s="4" t="s">
        <v>278</v>
      </c>
      <c r="D3952" s="94">
        <v>908.0</v>
      </c>
    </row>
    <row r="3953">
      <c r="A3953" s="40">
        <f t="array" ref="A3953">IFNA(index(PlayerValues!A:A,match(IFNA(vlookup(B3953,'Special Names'!A:B,2,FALSE),B3953),PlayerValues!E:E,0)),"N/A")</f>
        <v>15626</v>
      </c>
      <c r="B3953" s="4" t="s">
        <v>766</v>
      </c>
      <c r="C3953" s="4" t="s">
        <v>298</v>
      </c>
      <c r="D3953" s="94">
        <v>1272.0</v>
      </c>
    </row>
    <row r="3954">
      <c r="A3954" s="40">
        <f t="array" ref="A3954">IFNA(index(PlayerValues!A:A,match(IFNA(vlookup(B3954,'Special Names'!A:B,2,FALSE),B3954),PlayerValues!E:E,0)),"N/A")</f>
        <v>15785</v>
      </c>
      <c r="B3954" s="4" t="s">
        <v>763</v>
      </c>
      <c r="C3954" s="4" t="s">
        <v>287</v>
      </c>
      <c r="D3954" s="94">
        <v>898.0</v>
      </c>
    </row>
    <row r="3955">
      <c r="A3955" s="40">
        <f t="array" ref="A3955">IFNA(index(PlayerValues!A:A,match(IFNA(vlookup(B3955,'Special Names'!A:B,2,FALSE),B3955),PlayerValues!E:E,0)),"N/A")</f>
        <v>15720</v>
      </c>
      <c r="B3955" s="4" t="s">
        <v>795</v>
      </c>
      <c r="C3955" s="4" t="s">
        <v>278</v>
      </c>
      <c r="D3955" s="94">
        <v>897.0</v>
      </c>
    </row>
    <row r="3956">
      <c r="A3956" s="40">
        <f t="array" ref="A3956">IFNA(index(PlayerValues!A:A,match(IFNA(vlookup(B3956,'Special Names'!A:B,2,FALSE),B3956),PlayerValues!E:E,0)),"N/A")</f>
        <v>16623</v>
      </c>
      <c r="B3956" s="4" t="s">
        <v>803</v>
      </c>
      <c r="C3956" s="4" t="s">
        <v>287</v>
      </c>
      <c r="D3956" s="94">
        <v>894.0</v>
      </c>
    </row>
    <row r="3957">
      <c r="A3957" s="40">
        <f t="array" ref="A3957">IFNA(index(PlayerValues!A:A,match(IFNA(vlookup(B3957,'Special Names'!A:B,2,FALSE),B3957),PlayerValues!E:E,0)),"N/A")</f>
        <v>15766</v>
      </c>
      <c r="B3957" s="4" t="s">
        <v>759</v>
      </c>
      <c r="C3957" s="4" t="s">
        <v>287</v>
      </c>
      <c r="D3957" s="94">
        <v>889.0</v>
      </c>
    </row>
    <row r="3958">
      <c r="A3958" s="40">
        <f t="array" ref="A3958">IFNA(index(PlayerValues!A:A,match(IFNA(vlookup(B3958,'Special Names'!A:B,2,FALSE),B3958),PlayerValues!E:E,0)),"N/A")</f>
        <v>17175</v>
      </c>
      <c r="B3958" s="4" t="s">
        <v>747</v>
      </c>
      <c r="C3958" s="4" t="s">
        <v>287</v>
      </c>
      <c r="D3958" s="94">
        <v>880.0</v>
      </c>
    </row>
    <row r="3959">
      <c r="A3959" s="40">
        <f t="array" ref="A3959">IFNA(index(PlayerValues!A:A,match(IFNA(vlookup(B3959,'Special Names'!A:B,2,FALSE),B3959),PlayerValues!E:E,0)),"N/A")</f>
        <v>13193</v>
      </c>
      <c r="B3959" s="4" t="s">
        <v>773</v>
      </c>
      <c r="C3959" s="4" t="s">
        <v>298</v>
      </c>
      <c r="D3959" s="94">
        <v>1235.0</v>
      </c>
    </row>
    <row r="3960">
      <c r="A3960" s="40">
        <f t="array" ref="A3960">IFNA(index(PlayerValues!A:A,match(IFNA(vlookup(B3960,'Special Names'!A:B,2,FALSE),B3960),PlayerValues!E:E,0)),"N/A")</f>
        <v>17654</v>
      </c>
      <c r="B3960" s="4" t="s">
        <v>767</v>
      </c>
      <c r="C3960" s="4" t="s">
        <v>283</v>
      </c>
      <c r="D3960" s="94">
        <v>860.0</v>
      </c>
    </row>
    <row r="3961">
      <c r="A3961" s="40">
        <f t="array" ref="A3961">IFNA(index(PlayerValues!A:A,match(IFNA(vlookup(B3961,'Special Names'!A:B,2,FALSE),B3961),PlayerValues!E:E,0)),"N/A")</f>
        <v>14057</v>
      </c>
      <c r="B3961" s="4" t="s">
        <v>765</v>
      </c>
      <c r="C3961" s="4" t="s">
        <v>283</v>
      </c>
      <c r="D3961" s="94">
        <v>856.0</v>
      </c>
    </row>
    <row r="3962">
      <c r="A3962" s="40">
        <f t="array" ref="A3962">IFNA(index(PlayerValues!A:A,match(IFNA(vlookup(B3962,'Special Names'!A:B,2,FALSE),B3962),PlayerValues!E:E,0)),"N/A")</f>
        <v>17541</v>
      </c>
      <c r="B3962" s="4" t="s">
        <v>616</v>
      </c>
      <c r="C3962" s="4" t="s">
        <v>287</v>
      </c>
      <c r="D3962" s="94">
        <v>856.0</v>
      </c>
    </row>
    <row r="3963">
      <c r="A3963" s="40">
        <f t="array" ref="A3963">IFNA(index(PlayerValues!A:A,match(IFNA(vlookup(B3963,'Special Names'!A:B,2,FALSE),B3963),PlayerValues!E:E,0)),"N/A")</f>
        <v>14118</v>
      </c>
      <c r="B3963" s="4" t="s">
        <v>771</v>
      </c>
      <c r="C3963" s="4" t="s">
        <v>287</v>
      </c>
      <c r="D3963" s="94">
        <v>854.0</v>
      </c>
    </row>
    <row r="3964">
      <c r="A3964" s="40">
        <f t="array" ref="A3964">IFNA(index(PlayerValues!A:A,match(IFNA(vlookup(B3964,'Special Names'!A:B,2,FALSE),B3964),PlayerValues!E:E,0)),"N/A")</f>
        <v>16624</v>
      </c>
      <c r="B3964" s="4" t="s">
        <v>796</v>
      </c>
      <c r="C3964" s="4" t="s">
        <v>287</v>
      </c>
      <c r="D3964" s="94">
        <v>848.0</v>
      </c>
    </row>
    <row r="3965">
      <c r="A3965" s="40">
        <f t="array" ref="A3965">IFNA(index(PlayerValues!A:A,match(IFNA(vlookup(B3965,'Special Names'!A:B,2,FALSE),B3965),PlayerValues!E:E,0)),"N/A")</f>
        <v>17486</v>
      </c>
      <c r="B3965" s="4" t="s">
        <v>695</v>
      </c>
      <c r="C3965" s="4" t="s">
        <v>278</v>
      </c>
      <c r="D3965" s="94">
        <v>843.0</v>
      </c>
    </row>
    <row r="3966">
      <c r="A3966" s="40">
        <f t="array" ref="A3966">IFNA(index(PlayerValues!A:A,match(IFNA(vlookup(B3966,'Special Names'!A:B,2,FALSE),B3966),PlayerValues!E:E,0)),"N/A")</f>
        <v>17627</v>
      </c>
      <c r="B3966" s="4" t="s">
        <v>684</v>
      </c>
      <c r="C3966" s="4" t="s">
        <v>298</v>
      </c>
      <c r="D3966" s="94">
        <v>1209.0</v>
      </c>
    </row>
    <row r="3967">
      <c r="A3967" s="40">
        <f t="array" ref="A3967">IFNA(index(PlayerValues!A:A,match(IFNA(vlookup(B3967,'Special Names'!A:B,2,FALSE),B3967),PlayerValues!E:E,0)),"N/A")</f>
        <v>12785</v>
      </c>
      <c r="B3967" s="4" t="s">
        <v>772</v>
      </c>
      <c r="C3967" s="4" t="s">
        <v>287</v>
      </c>
      <c r="D3967" s="94">
        <v>816.0</v>
      </c>
    </row>
    <row r="3968">
      <c r="A3968" s="40">
        <f t="array" ref="A3968">IFNA(index(PlayerValues!A:A,match(IFNA(vlookup(B3968,'Special Names'!A:B,2,FALSE),B3968),PlayerValues!E:E,0)),"N/A")</f>
        <v>16773</v>
      </c>
      <c r="B3968" s="4" t="s">
        <v>783</v>
      </c>
      <c r="C3968" s="4" t="s">
        <v>278</v>
      </c>
      <c r="D3968" s="94">
        <v>813.0</v>
      </c>
    </row>
    <row r="3969">
      <c r="A3969" s="40">
        <f t="array" ref="A3969">IFNA(index(PlayerValues!A:A,match(IFNA(vlookup(B3969,'Special Names'!A:B,2,FALSE),B3969),PlayerValues!E:E,0)),"N/A")</f>
        <v>14223</v>
      </c>
      <c r="B3969" s="4" t="s">
        <v>785</v>
      </c>
      <c r="C3969" s="4" t="s">
        <v>278</v>
      </c>
      <c r="D3969" s="94">
        <v>806.0</v>
      </c>
    </row>
    <row r="3970">
      <c r="A3970" s="40">
        <f t="array" ref="A3970">IFNA(index(PlayerValues!A:A,match(IFNA(vlookup(B3970,'Special Names'!A:B,2,FALSE),B3970),PlayerValues!E:E,0)),"N/A")</f>
        <v>13133</v>
      </c>
      <c r="B3970" s="4" t="s">
        <v>764</v>
      </c>
      <c r="C3970" s="4" t="s">
        <v>278</v>
      </c>
      <c r="D3970" s="94">
        <v>783.0</v>
      </c>
    </row>
    <row r="3971">
      <c r="A3971" s="40">
        <f t="array" ref="A3971">IFNA(index(PlayerValues!A:A,match(IFNA(vlookup(B3971,'Special Names'!A:B,2,FALSE),B3971),PlayerValues!E:E,0)),"N/A")</f>
        <v>16751</v>
      </c>
      <c r="B3971" s="4" t="s">
        <v>762</v>
      </c>
      <c r="C3971" s="4" t="s">
        <v>287</v>
      </c>
      <c r="D3971" s="94">
        <v>732.0</v>
      </c>
    </row>
    <row r="3972">
      <c r="A3972" s="40">
        <f t="array" ref="A3972">IFNA(index(PlayerValues!A:A,match(IFNA(vlookup(B3972,'Special Names'!A:B,2,FALSE),B3972),PlayerValues!E:E,0)),"N/A")</f>
        <v>16625</v>
      </c>
      <c r="B3972" s="4" t="s">
        <v>778</v>
      </c>
      <c r="C3972" s="4" t="s">
        <v>287</v>
      </c>
      <c r="D3972" s="94">
        <v>729.0</v>
      </c>
    </row>
    <row r="3973">
      <c r="A3973" s="40">
        <f t="array" ref="A3973">IFNA(index(PlayerValues!A:A,match(IFNA(vlookup(B3973,'Special Names'!A:B,2,FALSE),B3973),PlayerValues!E:E,0)),"N/A")</f>
        <v>15263</v>
      </c>
      <c r="B3973" s="4" t="s">
        <v>804</v>
      </c>
      <c r="C3973" s="4" t="s">
        <v>278</v>
      </c>
      <c r="D3973" s="94">
        <v>712.0</v>
      </c>
    </row>
    <row r="3974">
      <c r="A3974" s="40">
        <f t="array" ref="A3974">IFNA(index(PlayerValues!A:A,match(IFNA(vlookup(B3974,'Special Names'!A:B,2,FALSE),B3974),PlayerValues!E:E,0)),"N/A")</f>
        <v>17337</v>
      </c>
      <c r="B3974" s="4" t="s">
        <v>793</v>
      </c>
      <c r="C3974" s="4" t="s">
        <v>278</v>
      </c>
      <c r="D3974" s="94">
        <v>703.0</v>
      </c>
    </row>
    <row r="3975">
      <c r="A3975" s="40">
        <f t="array" ref="A3975">IFNA(index(PlayerValues!A:A,match(IFNA(vlookup(B3975,'Special Names'!A:B,2,FALSE),B3975),PlayerValues!E:E,0)),"N/A")</f>
        <v>17545</v>
      </c>
      <c r="B3975" s="4" t="s">
        <v>719</v>
      </c>
      <c r="C3975" s="4" t="s">
        <v>298</v>
      </c>
      <c r="D3975" s="94">
        <v>1052.0</v>
      </c>
    </row>
    <row r="3976">
      <c r="A3976" s="40">
        <f t="array" ref="A3976">IFNA(index(PlayerValues!A:A,match(IFNA(vlookup(B3976,'Special Names'!A:B,2,FALSE),B3976),PlayerValues!E:E,0)),"N/A")</f>
        <v>15723</v>
      </c>
      <c r="B3976" s="4" t="s">
        <v>798</v>
      </c>
      <c r="C3976" s="4" t="s">
        <v>278</v>
      </c>
      <c r="D3976" s="94">
        <v>636.0</v>
      </c>
    </row>
    <row r="3977">
      <c r="A3977" s="40">
        <f t="array" ref="A3977">IFNA(index(PlayerValues!A:A,match(IFNA(vlookup(B3977,'Special Names'!A:B,2,FALSE),B3977),PlayerValues!E:E,0)),"N/A")</f>
        <v>16299</v>
      </c>
      <c r="B3977" s="4" t="s">
        <v>787</v>
      </c>
      <c r="C3977" s="4" t="s">
        <v>287</v>
      </c>
      <c r="D3977" s="94">
        <v>633.0</v>
      </c>
    </row>
    <row r="3978">
      <c r="A3978" s="40">
        <f t="array" ref="A3978">IFNA(index(PlayerValues!A:A,match(IFNA(vlookup(B3978,'Special Names'!A:B,2,FALSE),B3978),PlayerValues!E:E,0)),"N/A")</f>
        <v>16686</v>
      </c>
      <c r="B3978" s="4" t="s">
        <v>805</v>
      </c>
      <c r="C3978" s="4" t="s">
        <v>287</v>
      </c>
      <c r="D3978" s="94">
        <v>622.0</v>
      </c>
    </row>
    <row r="3979">
      <c r="A3979" s="40">
        <f t="array" ref="A3979">IFNA(index(PlayerValues!A:A,match(IFNA(vlookup(B3979,'Special Names'!A:B,2,FALSE),B3979),PlayerValues!E:E,0)),"N/A")</f>
        <v>13143</v>
      </c>
      <c r="B3979" s="4" t="s">
        <v>786</v>
      </c>
      <c r="C3979" s="4" t="s">
        <v>278</v>
      </c>
      <c r="D3979" s="94">
        <v>621.0</v>
      </c>
    </row>
    <row r="3980">
      <c r="A3980" s="40">
        <f t="array" ref="A3980">IFNA(index(PlayerValues!A:A,match(IFNA(vlookup(B3980,'Special Names'!A:B,2,FALSE),B3980),PlayerValues!E:E,0)),"N/A")</f>
        <v>16957</v>
      </c>
      <c r="B3980" s="4" t="s">
        <v>806</v>
      </c>
      <c r="C3980" s="4" t="s">
        <v>278</v>
      </c>
      <c r="D3980" s="94">
        <v>616.0</v>
      </c>
    </row>
    <row r="3981">
      <c r="A3981" s="40">
        <f t="array" ref="A3981">IFNA(index(PlayerValues!A:A,match(IFNA(vlookup(B3981,'Special Names'!A:B,2,FALSE),B3981),PlayerValues!E:E,0)),"N/A")</f>
        <v>16413</v>
      </c>
      <c r="B3981" s="4" t="s">
        <v>781</v>
      </c>
      <c r="C3981" s="4" t="s">
        <v>287</v>
      </c>
      <c r="D3981" s="94">
        <v>599.0</v>
      </c>
    </row>
    <row r="3982">
      <c r="A3982" s="40">
        <f t="array" ref="A3982">IFNA(index(PlayerValues!A:A,match(IFNA(vlookup(B3982,'Special Names'!A:B,2,FALSE),B3982),PlayerValues!E:E,0)),"N/A")</f>
        <v>14864</v>
      </c>
      <c r="B3982" s="4" t="s">
        <v>789</v>
      </c>
      <c r="C3982" s="4" t="s">
        <v>287</v>
      </c>
      <c r="D3982" s="94">
        <v>593.0</v>
      </c>
    </row>
    <row r="3983">
      <c r="A3983" s="40">
        <f t="array" ref="A3983">IFNA(index(PlayerValues!A:A,match(IFNA(vlookup(B3983,'Special Names'!A:B,2,FALSE),B3983),PlayerValues!E:E,0)),"N/A")</f>
        <v>17038</v>
      </c>
      <c r="B3983" s="4" t="s">
        <v>774</v>
      </c>
      <c r="C3983" s="4" t="s">
        <v>283</v>
      </c>
      <c r="D3983" s="94">
        <v>576.0</v>
      </c>
    </row>
    <row r="3984">
      <c r="A3984" s="40">
        <f t="array" ref="A3984">IFNA(index(PlayerValues!A:A,match(IFNA(vlookup(B3984,'Special Names'!A:B,2,FALSE),B3984),PlayerValues!E:E,0)),"N/A")</f>
        <v>17232</v>
      </c>
      <c r="B3984" s="4" t="s">
        <v>784</v>
      </c>
      <c r="C3984" s="4" t="s">
        <v>287</v>
      </c>
      <c r="D3984" s="94">
        <v>574.0</v>
      </c>
    </row>
    <row r="3985">
      <c r="A3985" s="40">
        <f t="array" ref="A3985">IFNA(index(PlayerValues!A:A,match(IFNA(vlookup(B3985,'Special Names'!A:B,2,FALSE),B3985),PlayerValues!E:E,0)),"N/A")</f>
        <v>17542</v>
      </c>
      <c r="B3985" s="4" t="s">
        <v>685</v>
      </c>
      <c r="C3985" s="4" t="s">
        <v>287</v>
      </c>
      <c r="D3985" s="94">
        <v>558.0</v>
      </c>
    </row>
    <row r="3986">
      <c r="A3986" s="40">
        <f t="array" ref="A3986">IFNA(index(PlayerValues!A:A,match(IFNA(vlookup(B3986,'Special Names'!A:B,2,FALSE),B3986),PlayerValues!E:E,0)),"N/A")</f>
        <v>14805</v>
      </c>
      <c r="B3986" s="4" t="s">
        <v>770</v>
      </c>
      <c r="C3986" s="4" t="s">
        <v>278</v>
      </c>
      <c r="D3986" s="94">
        <v>552.0</v>
      </c>
    </row>
    <row r="3987">
      <c r="A3987" s="40">
        <f t="array" ref="A3987">IFNA(index(PlayerValues!A:A,match(IFNA(vlookup(B3987,'Special Names'!A:B,2,FALSE),B3987),PlayerValues!E:E,0)),"N/A")</f>
        <v>16613</v>
      </c>
      <c r="B3987" s="4" t="s">
        <v>782</v>
      </c>
      <c r="C3987" s="4" t="s">
        <v>278</v>
      </c>
      <c r="D3987" s="94">
        <v>536.0</v>
      </c>
    </row>
    <row r="3988">
      <c r="A3988" s="40">
        <f t="array" ref="A3988">IFNA(index(PlayerValues!A:A,match(IFNA(vlookup(B3988,'Special Names'!A:B,2,FALSE),B3988),PlayerValues!E:E,0)),"N/A")</f>
        <v>15796</v>
      </c>
      <c r="B3988" s="4" t="s">
        <v>794</v>
      </c>
      <c r="C3988" s="4" t="s">
        <v>298</v>
      </c>
      <c r="D3988" s="94">
        <v>877.0</v>
      </c>
    </row>
    <row r="3989">
      <c r="A3989" s="40">
        <f t="array" ref="A3989">IFNA(index(PlayerValues!A:A,match(IFNA(vlookup(B3989,'Special Names'!A:B,2,FALSE),B3989),PlayerValues!E:E,0)),"N/A")</f>
        <v>13176</v>
      </c>
      <c r="B3989" s="4" t="s">
        <v>807</v>
      </c>
      <c r="C3989" s="4" t="s">
        <v>287</v>
      </c>
      <c r="D3989" s="94">
        <v>506.0</v>
      </c>
    </row>
    <row r="3990">
      <c r="A3990" s="40">
        <f t="array" ref="A3990">IFNA(index(PlayerValues!A:A,match(IFNA(vlookup(B3990,'Special Names'!A:B,2,FALSE),B3990),PlayerValues!E:E,0)),"N/A")</f>
        <v>15271</v>
      </c>
      <c r="B3990" s="4" t="s">
        <v>741</v>
      </c>
      <c r="C3990" s="4" t="s">
        <v>278</v>
      </c>
      <c r="D3990" s="94">
        <v>501.0</v>
      </c>
    </row>
    <row r="3991">
      <c r="A3991" s="40">
        <f t="array" ref="A3991">IFNA(index(PlayerValues!A:A,match(IFNA(vlookup(B3991,'Special Names'!A:B,2,FALSE),B3991),PlayerValues!E:E,0)),"N/A")</f>
        <v>17348</v>
      </c>
      <c r="B3991" s="4" t="s">
        <v>797</v>
      </c>
      <c r="C3991" s="4" t="s">
        <v>278</v>
      </c>
      <c r="D3991" s="94">
        <v>501.0</v>
      </c>
    </row>
    <row r="3992">
      <c r="A3992" s="40">
        <f t="array" ref="A3992">IFNA(index(PlayerValues!A:A,match(IFNA(vlookup(B3992,'Special Names'!A:B,2,FALSE),B3992),PlayerValues!E:E,0)),"N/A")</f>
        <v>14858</v>
      </c>
      <c r="B3992" s="4" t="s">
        <v>799</v>
      </c>
      <c r="C3992" s="4" t="s">
        <v>287</v>
      </c>
      <c r="D3992" s="94">
        <v>497.0</v>
      </c>
    </row>
    <row r="3993">
      <c r="A3993" s="40">
        <f t="array" ref="A3993">IFNA(index(PlayerValues!A:A,match(IFNA(vlookup(B3993,'Special Names'!A:B,2,FALSE),B3993),PlayerValues!E:E,0)),"N/A")</f>
        <v>13641</v>
      </c>
      <c r="B3993" s="4" t="s">
        <v>808</v>
      </c>
      <c r="C3993" s="4" t="s">
        <v>287</v>
      </c>
      <c r="D3993" s="94">
        <v>496.0</v>
      </c>
    </row>
    <row r="3994">
      <c r="A3994" s="40">
        <f t="array" ref="A3994">IFNA(index(PlayerValues!A:A,match(IFNA(vlookup(B3994,'Special Names'!A:B,2,FALSE),B3994),PlayerValues!E:E,0)),"N/A")</f>
        <v>14209</v>
      </c>
      <c r="B3994" s="4" t="s">
        <v>809</v>
      </c>
      <c r="C3994" s="4" t="s">
        <v>298</v>
      </c>
      <c r="D3994" s="94">
        <v>836.0</v>
      </c>
    </row>
    <row r="3995">
      <c r="A3995" s="40">
        <f t="array" ref="A3995">IFNA(index(PlayerValues!A:A,match(IFNA(vlookup(B3995,'Special Names'!A:B,2,FALSE),B3995),PlayerValues!E:E,0)),"N/A")</f>
        <v>17243</v>
      </c>
      <c r="B3995" s="4" t="s">
        <v>810</v>
      </c>
      <c r="C3995" s="4" t="s">
        <v>298</v>
      </c>
      <c r="D3995" s="94">
        <v>832.0</v>
      </c>
    </row>
    <row r="3996">
      <c r="A3996" s="40">
        <f t="array" ref="A3996">IFNA(index(PlayerValues!A:A,match(IFNA(vlookup(B3996,'Special Names'!A:B,2,FALSE),B3996),PlayerValues!E:E,0)),"N/A")</f>
        <v>14113</v>
      </c>
      <c r="B3996" s="4" t="s">
        <v>788</v>
      </c>
      <c r="C3996" s="4" t="s">
        <v>287</v>
      </c>
      <c r="D3996" s="94">
        <v>484.0</v>
      </c>
    </row>
    <row r="3997">
      <c r="A3997" s="40">
        <f t="array" ref="A3997">IFNA(index(PlayerValues!A:A,match(IFNA(vlookup(B3997,'Special Names'!A:B,2,FALSE),B3997),PlayerValues!E:E,0)),"N/A")</f>
        <v>10413</v>
      </c>
      <c r="B3997" s="4" t="s">
        <v>811</v>
      </c>
      <c r="C3997" s="4" t="s">
        <v>283</v>
      </c>
      <c r="D3997" s="94">
        <v>482.0</v>
      </c>
    </row>
    <row r="3998">
      <c r="A3998" s="40">
        <f t="array" ref="A3998">IFNA(index(PlayerValues!A:A,match(IFNA(vlookup(B3998,'Special Names'!A:B,2,FALSE),B3998),PlayerValues!E:E,0)),"N/A")</f>
        <v>16176</v>
      </c>
      <c r="B3998" s="4" t="s">
        <v>812</v>
      </c>
      <c r="C3998" s="4" t="s">
        <v>278</v>
      </c>
      <c r="D3998" s="94">
        <v>482.0</v>
      </c>
    </row>
    <row r="3999">
      <c r="A3999" s="40">
        <f t="array" ref="A3999">IFNA(index(PlayerValues!A:A,match(IFNA(vlookup(B3999,'Special Names'!A:B,2,FALSE),B3999),PlayerValues!E:E,0)),"N/A")</f>
        <v>14358</v>
      </c>
      <c r="B3999" s="4" t="s">
        <v>813</v>
      </c>
      <c r="C3999" s="4" t="s">
        <v>283</v>
      </c>
      <c r="D3999" s="94">
        <v>479.0</v>
      </c>
    </row>
    <row r="4000">
      <c r="A4000" s="40">
        <f t="array" ref="A4000">IFNA(index(PlayerValues!A:A,match(IFNA(vlookup(B4000,'Special Names'!A:B,2,FALSE),B4000),PlayerValues!E:E,0)),"N/A")</f>
        <v>17709</v>
      </c>
      <c r="B4000" s="4" t="s">
        <v>814</v>
      </c>
      <c r="C4000" s="4" t="s">
        <v>278</v>
      </c>
      <c r="D4000" s="94">
        <v>9.0</v>
      </c>
    </row>
    <row r="4001">
      <c r="A4001" s="40">
        <f t="array" ref="A4001">IFNA(index(PlayerValues!A:A,match(IFNA(vlookup(B4001,'Special Names'!A:B,2,FALSE),B4001),PlayerValues!E:E,0)),"N/A")</f>
        <v>16162</v>
      </c>
      <c r="B4001" s="4" t="s">
        <v>281</v>
      </c>
      <c r="C4001" s="4" t="s">
        <v>278</v>
      </c>
      <c r="D4001" s="94">
        <v>9999.0</v>
      </c>
    </row>
    <row r="4002">
      <c r="A4002" s="40">
        <f t="array" ref="A4002">IFNA(index(PlayerValues!A:A,match(IFNA(vlookup(B4002,'Special Names'!A:B,2,FALSE),B4002),PlayerValues!E:E,0)),"N/A")</f>
        <v>13589</v>
      </c>
      <c r="B4002" s="4" t="s">
        <v>282</v>
      </c>
      <c r="C4002" s="4" t="s">
        <v>283</v>
      </c>
      <c r="D4002" s="94">
        <v>9995.0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9992.0</v>
      </c>
    </row>
    <row r="4004">
      <c r="A4004" s="40">
        <f t="array" ref="A4004">IFNA(index(PlayerValues!A:A,match(IFNA(vlookup(B4004,'Special Names'!A:B,2,FALSE),B4004),PlayerValues!E:E,0)),"N/A")</f>
        <v>16161</v>
      </c>
      <c r="B4004" s="4" t="s">
        <v>277</v>
      </c>
      <c r="C4004" s="4" t="s">
        <v>278</v>
      </c>
      <c r="D4004" s="94">
        <v>9990.0</v>
      </c>
    </row>
    <row r="4005">
      <c r="A4005" s="40">
        <f t="array" ref="A4005">IFNA(index(PlayerValues!A:A,match(IFNA(vlookup(B4005,'Special Names'!A:B,2,FALSE),B4005),PlayerValues!E:E,0)),"N/A")</f>
        <v>16185</v>
      </c>
      <c r="B4005" s="4" t="s">
        <v>290</v>
      </c>
      <c r="C4005" s="4" t="s">
        <v>287</v>
      </c>
      <c r="D4005" s="94">
        <v>9313.0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9252.0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8785.0</v>
      </c>
    </row>
    <row r="4008">
      <c r="A4008" s="40">
        <f t="array" ref="A4008">IFNA(index(PlayerValues!A:A,match(IFNA(vlookup(B4008,'Special Names'!A:B,2,FALSE),B4008),PlayerValues!E:E,0)),"N/A")</f>
        <v>16641</v>
      </c>
      <c r="B4008" s="4" t="s">
        <v>297</v>
      </c>
      <c r="C4008" s="4" t="s">
        <v>298</v>
      </c>
      <c r="D4008" s="94">
        <v>8999.0</v>
      </c>
    </row>
    <row r="4009">
      <c r="A4009" s="40">
        <f t="array" ref="A4009">IFNA(index(PlayerValues!A:A,match(IFNA(vlookup(B4009,'Special Names'!A:B,2,FALSE),B4009),PlayerValues!E:E,0)),"N/A")</f>
        <v>15287</v>
      </c>
      <c r="B4009" s="4" t="s">
        <v>299</v>
      </c>
      <c r="C4009" s="4" t="s">
        <v>287</v>
      </c>
      <c r="D4009" s="94">
        <v>7867.0</v>
      </c>
    </row>
    <row r="4010">
      <c r="A4010" s="40">
        <f t="array" ref="A4010">IFNA(index(PlayerValues!A:A,match(IFNA(vlookup(B4010,'Special Names'!A:B,2,FALSE),B4010),PlayerValues!E:E,0)),"N/A")</f>
        <v>16579</v>
      </c>
      <c r="B4010" s="4" t="s">
        <v>302</v>
      </c>
      <c r="C4010" s="4" t="s">
        <v>283</v>
      </c>
      <c r="D4010" s="94">
        <v>7834.0</v>
      </c>
    </row>
    <row r="4011">
      <c r="A4011" s="40">
        <f t="array" ref="A4011">IFNA(index(PlayerValues!A:A,match(IFNA(vlookup(B4011,'Special Names'!A:B,2,FALSE),B4011),PlayerValues!E:E,0)),"N/A")</f>
        <v>17042</v>
      </c>
      <c r="B4011" s="4" t="s">
        <v>314</v>
      </c>
      <c r="C4011" s="4" t="s">
        <v>278</v>
      </c>
      <c r="D4011" s="94">
        <v>7647.0</v>
      </c>
    </row>
    <row r="4012">
      <c r="A4012" s="40">
        <f t="array" ref="A4012">IFNA(index(PlayerValues!A:A,match(IFNA(vlookup(B4012,'Special Names'!A:B,2,FALSE),B4012),PlayerValues!E:E,0)),"N/A")</f>
        <v>13593</v>
      </c>
      <c r="B4012" s="4" t="s">
        <v>305</v>
      </c>
      <c r="C4012" s="4" t="s">
        <v>283</v>
      </c>
      <c r="D4012" s="94">
        <v>7630.0</v>
      </c>
    </row>
    <row r="4013">
      <c r="A4013" s="40">
        <f t="array" ref="A4013">IFNA(index(PlayerValues!A:A,match(IFNA(vlookup(B4013,'Special Names'!A:B,2,FALSE),B4013),PlayerValues!E:E,0)),"N/A")</f>
        <v>16581</v>
      </c>
      <c r="B4013" s="4" t="s">
        <v>315</v>
      </c>
      <c r="C4013" s="4" t="s">
        <v>283</v>
      </c>
      <c r="D4013" s="94">
        <v>7629.0</v>
      </c>
    </row>
    <row r="4014">
      <c r="A4014" s="40">
        <f t="array" ref="A4014">IFNA(index(PlayerValues!A:A,match(IFNA(vlookup(B4014,'Special Names'!A:B,2,FALSE),B4014),PlayerValues!E:E,0)),"N/A")</f>
        <v>14836</v>
      </c>
      <c r="B4014" s="4" t="s">
        <v>306</v>
      </c>
      <c r="C4014" s="4" t="s">
        <v>287</v>
      </c>
      <c r="D4014" s="94">
        <v>7614.0</v>
      </c>
    </row>
    <row r="4015">
      <c r="A4015" s="40">
        <f t="array" ref="A4015">IFNA(index(PlayerValues!A:A,match(IFNA(vlookup(B4015,'Special Names'!A:B,2,FALSE),B4015),PlayerValues!E:E,0)),"N/A")</f>
        <v>17472</v>
      </c>
      <c r="B4015" s="4" t="s">
        <v>310</v>
      </c>
      <c r="C4015" s="4" t="s">
        <v>278</v>
      </c>
      <c r="D4015" s="94">
        <v>7468.0</v>
      </c>
    </row>
    <row r="4016">
      <c r="A4016" s="40">
        <f t="array" ref="A4016">IFNA(index(PlayerValues!A:A,match(IFNA(vlookup(B4016,'Special Names'!A:B,2,FALSE),B4016),PlayerValues!E:E,0)),"N/A")</f>
        <v>14777</v>
      </c>
      <c r="B4016" s="4" t="s">
        <v>318</v>
      </c>
      <c r="C4016" s="4" t="s">
        <v>283</v>
      </c>
      <c r="D4016" s="94">
        <v>7426.0</v>
      </c>
    </row>
    <row r="4017">
      <c r="A4017" s="40">
        <f t="array" ref="A4017">IFNA(index(PlayerValues!A:A,match(IFNA(vlookup(B4017,'Special Names'!A:B,2,FALSE),B4017),PlayerValues!E:E,0)),"N/A")</f>
        <v>15794</v>
      </c>
      <c r="B4017" s="4" t="s">
        <v>313</v>
      </c>
      <c r="C4017" s="4" t="s">
        <v>298</v>
      </c>
      <c r="D4017" s="94">
        <v>8169.0</v>
      </c>
    </row>
    <row r="4018">
      <c r="A4018" s="40">
        <f t="array" ref="A4018">IFNA(index(PlayerValues!A:A,match(IFNA(vlookup(B4018,'Special Names'!A:B,2,FALSE),B4018),PlayerValues!E:E,0)),"N/A")</f>
        <v>16615</v>
      </c>
      <c r="B4018" s="4" t="s">
        <v>309</v>
      </c>
      <c r="C4018" s="4" t="s">
        <v>287</v>
      </c>
      <c r="D4018" s="94">
        <v>7230.0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7133.0</v>
      </c>
    </row>
    <row r="4020">
      <c r="A4020" s="40" t="str">
        <f t="array" ref="A4020">IFNA(index(PlayerValues!A:A,match(IFNA(vlookup(B4020,'Special Names'!A:B,2,FALSE),B4020),PlayerValues!E:E,0)),"N/A")</f>
        <v>N/A</v>
      </c>
      <c r="B4020" s="4" t="s">
        <v>92</v>
      </c>
      <c r="C4020" s="4" t="s">
        <v>325</v>
      </c>
      <c r="D4020" s="94">
        <v>7108.0</v>
      </c>
    </row>
    <row r="4021">
      <c r="A4021" s="40">
        <f t="array" ref="A4021">IFNA(index(PlayerValues!A:A,match(IFNA(vlookup(B4021,'Special Names'!A:B,2,FALSE),B4021),PlayerValues!E:E,0)),"N/A")</f>
        <v>14779</v>
      </c>
      <c r="B4021" s="4" t="s">
        <v>327</v>
      </c>
      <c r="C4021" s="4" t="s">
        <v>283</v>
      </c>
      <c r="D4021" s="94">
        <v>7041.0</v>
      </c>
    </row>
    <row r="4022">
      <c r="A4022" s="40">
        <f t="array" ref="A4022">IFNA(index(PlayerValues!A:A,match(IFNA(vlookup(B4022,'Special Names'!A:B,2,FALSE),B4022),PlayerValues!E:E,0)),"N/A")</f>
        <v>15751</v>
      </c>
      <c r="B4022" s="4" t="s">
        <v>328</v>
      </c>
      <c r="C4022" s="4" t="s">
        <v>287</v>
      </c>
      <c r="D4022" s="94">
        <v>7005.0</v>
      </c>
    </row>
    <row r="4023">
      <c r="A4023" s="40">
        <f t="array" ref="A4023">IFNA(index(PlayerValues!A:A,match(IFNA(vlookup(B4023,'Special Names'!A:B,2,FALSE),B4023),PlayerValues!E:E,0)),"N/A")</f>
        <v>17044</v>
      </c>
      <c r="B4023" s="4" t="s">
        <v>322</v>
      </c>
      <c r="C4023" s="4" t="s">
        <v>278</v>
      </c>
      <c r="D4023" s="94">
        <v>6992.0</v>
      </c>
    </row>
    <row r="4024">
      <c r="A4024" s="40">
        <f t="array" ref="A4024">IFNA(index(PlayerValues!A:A,match(IFNA(vlookup(B4024,'Special Names'!A:B,2,FALSE),B4024),PlayerValues!E:E,0)),"N/A")</f>
        <v>16167</v>
      </c>
      <c r="B4024" s="4" t="s">
        <v>323</v>
      </c>
      <c r="C4024" s="4" t="s">
        <v>278</v>
      </c>
      <c r="D4024" s="94">
        <v>6823.0</v>
      </c>
    </row>
    <row r="4025">
      <c r="A4025" s="40">
        <f t="array" ref="A4025">IFNA(index(PlayerValues!A:A,match(IFNA(vlookup(B4025,'Special Names'!A:B,2,FALSE),B4025),PlayerValues!E:E,0)),"N/A")</f>
        <v>17071</v>
      </c>
      <c r="B4025" s="4" t="s">
        <v>341</v>
      </c>
      <c r="C4025" s="4" t="s">
        <v>287</v>
      </c>
      <c r="D4025" s="94">
        <v>6391.0</v>
      </c>
    </row>
    <row r="4026">
      <c r="A4026" s="40">
        <f t="array" ref="A4026">IFNA(index(PlayerValues!A:A,match(IFNA(vlookup(B4026,'Special Names'!A:B,2,FALSE),B4026),PlayerValues!E:E,0)),"N/A")</f>
        <v>17104</v>
      </c>
      <c r="B4026" s="4" t="s">
        <v>333</v>
      </c>
      <c r="C4026" s="4" t="s">
        <v>298</v>
      </c>
      <c r="D4026" s="94">
        <v>7062.0</v>
      </c>
    </row>
    <row r="4027">
      <c r="A4027" s="40">
        <f t="array" ref="A4027">IFNA(index(PlayerValues!A:A,match(IFNA(vlookup(B4027,'Special Names'!A:B,2,FALSE),B4027),PlayerValues!E:E,0)),"N/A")</f>
        <v>13116</v>
      </c>
      <c r="B4027" s="4" t="s">
        <v>345</v>
      </c>
      <c r="C4027" s="4" t="s">
        <v>283</v>
      </c>
      <c r="D4027" s="94">
        <v>6349.0</v>
      </c>
    </row>
    <row r="4028">
      <c r="A4028" s="40">
        <f t="array" ref="A4028">IFNA(index(PlayerValues!A:A,match(IFNA(vlookup(B4028,'Special Names'!A:B,2,FALSE),B4028),PlayerValues!E:E,0)),"N/A")</f>
        <v>17081</v>
      </c>
      <c r="B4028" s="4" t="s">
        <v>340</v>
      </c>
      <c r="C4028" s="4" t="s">
        <v>287</v>
      </c>
      <c r="D4028" s="94">
        <v>6345.0</v>
      </c>
    </row>
    <row r="4029">
      <c r="A4029" s="40">
        <f t="array" ref="A4029">IFNA(index(PlayerValues!A:A,match(IFNA(vlookup(B4029,'Special Names'!A:B,2,FALSE),B4029),PlayerValues!E:E,0)),"N/A")</f>
        <v>15237</v>
      </c>
      <c r="B4029" s="4" t="s">
        <v>336</v>
      </c>
      <c r="C4029" s="4" t="s">
        <v>283</v>
      </c>
      <c r="D4029" s="94">
        <v>6305.0</v>
      </c>
    </row>
    <row r="4030">
      <c r="A4030" s="40">
        <f t="array" ref="A4030">IFNA(index(PlayerValues!A:A,match(IFNA(vlookup(B4030,'Special Names'!A:B,2,FALSE),B4030),PlayerValues!E:E,0)),"N/A")</f>
        <v>17032</v>
      </c>
      <c r="B4030" s="4" t="s">
        <v>348</v>
      </c>
      <c r="C4030" s="4" t="s">
        <v>283</v>
      </c>
      <c r="D4030" s="94">
        <v>6293.0</v>
      </c>
    </row>
    <row r="4031">
      <c r="A4031" s="40">
        <f t="array" ref="A4031">IFNA(index(PlayerValues!A:A,match(IFNA(vlookup(B4031,'Special Names'!A:B,2,FALSE),B4031),PlayerValues!E:E,0)),"N/A")</f>
        <v>14802</v>
      </c>
      <c r="B4031" s="4" t="s">
        <v>332</v>
      </c>
      <c r="C4031" s="4" t="s">
        <v>278</v>
      </c>
      <c r="D4031" s="94">
        <v>6153.0</v>
      </c>
    </row>
    <row r="4032">
      <c r="A4032" s="40">
        <f t="array" ref="A4032">IFNA(index(PlayerValues!A:A,match(IFNA(vlookup(B4032,'Special Names'!A:B,2,FALSE),B4032),PlayerValues!E:E,0)),"N/A")</f>
        <v>14783</v>
      </c>
      <c r="B4032" s="4" t="s">
        <v>342</v>
      </c>
      <c r="C4032" s="4" t="s">
        <v>283</v>
      </c>
      <c r="D4032" s="94">
        <v>6148.0</v>
      </c>
    </row>
    <row r="4033">
      <c r="A4033" s="40">
        <f t="array" ref="A4033">IFNA(index(PlayerValues!A:A,match(IFNA(vlookup(B4033,'Special Names'!A:B,2,FALSE),B4033),PlayerValues!E:E,0)),"N/A")</f>
        <v>15762</v>
      </c>
      <c r="B4033" s="4" t="s">
        <v>337</v>
      </c>
      <c r="C4033" s="4" t="s">
        <v>287</v>
      </c>
      <c r="D4033" s="94">
        <v>6122.0</v>
      </c>
    </row>
    <row r="4034">
      <c r="A4034" s="40">
        <f t="array" ref="A4034">IFNA(index(PlayerValues!A:A,match(IFNA(vlookup(B4034,'Special Names'!A:B,2,FALSE),B4034),PlayerValues!E:E,0)),"N/A")</f>
        <v>15715</v>
      </c>
      <c r="B4034" s="4" t="s">
        <v>331</v>
      </c>
      <c r="C4034" s="4" t="s">
        <v>278</v>
      </c>
      <c r="D4034" s="94">
        <v>6101.0</v>
      </c>
    </row>
    <row r="4035">
      <c r="A4035" s="40">
        <f t="array" ref="A4035">IFNA(index(PlayerValues!A:A,match(IFNA(vlookup(B4035,'Special Names'!A:B,2,FALSE),B4035),PlayerValues!E:E,0)),"N/A")</f>
        <v>16582</v>
      </c>
      <c r="B4035" s="4" t="s">
        <v>343</v>
      </c>
      <c r="C4035" s="4" t="s">
        <v>283</v>
      </c>
      <c r="D4035" s="94">
        <v>5982.0</v>
      </c>
    </row>
    <row r="4036">
      <c r="A4036" s="40">
        <f t="array" ref="A4036">IFNA(index(PlayerValues!A:A,match(IFNA(vlookup(B4036,'Special Names'!A:B,2,FALSE),B4036),PlayerValues!E:E,0)),"N/A")</f>
        <v>17497</v>
      </c>
      <c r="B4036" s="4" t="s">
        <v>365</v>
      </c>
      <c r="C4036" s="4" t="s">
        <v>287</v>
      </c>
      <c r="D4036" s="94">
        <v>5908.0</v>
      </c>
    </row>
    <row r="4037">
      <c r="A4037" s="40">
        <f t="array" ref="A4037">IFNA(index(PlayerValues!A:A,match(IFNA(vlookup(B4037,'Special Names'!A:B,2,FALSE),B4037),PlayerValues!E:E,0)),"N/A")</f>
        <v>17102</v>
      </c>
      <c r="B4037" s="4" t="s">
        <v>344</v>
      </c>
      <c r="C4037" s="4" t="s">
        <v>298</v>
      </c>
      <c r="D4037" s="94">
        <v>6534.0</v>
      </c>
    </row>
    <row r="4038">
      <c r="A4038" s="40">
        <f t="array" ref="A4038">IFNA(index(PlayerValues!A:A,match(IFNA(vlookup(B4038,'Special Names'!A:B,2,FALSE),B4038),PlayerValues!E:E,0)),"N/A")</f>
        <v>15698</v>
      </c>
      <c r="B4038" s="4" t="s">
        <v>358</v>
      </c>
      <c r="C4038" s="4" t="s">
        <v>283</v>
      </c>
      <c r="D4038" s="94">
        <v>5818.0</v>
      </c>
    </row>
    <row r="4039">
      <c r="A4039" s="40" t="str">
        <f t="array" ref="A4039">IFNA(index(PlayerValues!A:A,match(IFNA(vlookup(B4039,'Special Names'!A:B,2,FALSE),B4039),PlayerValues!E:E,0)),"N/A")</f>
        <v>N/A</v>
      </c>
      <c r="B4039" s="4" t="s">
        <v>93</v>
      </c>
      <c r="C4039" s="4" t="s">
        <v>325</v>
      </c>
      <c r="D4039" s="94">
        <v>5655.0</v>
      </c>
    </row>
    <row r="4040">
      <c r="A4040" s="40">
        <f t="array" ref="A4040">IFNA(index(PlayerValues!A:A,match(IFNA(vlookup(B4040,'Special Names'!A:B,2,FALSE),B4040),PlayerValues!E:E,0)),"N/A")</f>
        <v>15711</v>
      </c>
      <c r="B4040" s="4" t="s">
        <v>349</v>
      </c>
      <c r="C4040" s="4" t="s">
        <v>278</v>
      </c>
      <c r="D4040" s="94">
        <v>5601.0</v>
      </c>
    </row>
    <row r="4041">
      <c r="A4041" s="40" t="str">
        <f t="array" ref="A4041">IFNA(index(PlayerValues!A:A,match(IFNA(vlookup(B4041,'Special Names'!A:B,2,FALSE),B4041),PlayerValues!E:E,0)),"N/A")</f>
        <v>N/A</v>
      </c>
      <c r="B4041" s="4" t="s">
        <v>79</v>
      </c>
      <c r="C4041" s="4" t="s">
        <v>325</v>
      </c>
      <c r="D4041" s="94">
        <v>5595.0</v>
      </c>
    </row>
    <row r="4042">
      <c r="A4042" s="40">
        <f t="array" ref="A4042">IFNA(index(PlayerValues!A:A,match(IFNA(vlookup(B4042,'Special Names'!A:B,2,FALSE),B4042),PlayerValues!E:E,0)),"N/A")</f>
        <v>16627</v>
      </c>
      <c r="B4042" s="4" t="s">
        <v>351</v>
      </c>
      <c r="C4042" s="4" t="s">
        <v>287</v>
      </c>
      <c r="D4042" s="94">
        <v>5586.0</v>
      </c>
    </row>
    <row r="4043">
      <c r="A4043" s="40">
        <f t="array" ref="A4043">IFNA(index(PlayerValues!A:A,match(IFNA(vlookup(B4043,'Special Names'!A:B,2,FALSE),B4043),PlayerValues!E:E,0)),"N/A")</f>
        <v>15290</v>
      </c>
      <c r="B4043" s="4" t="s">
        <v>355</v>
      </c>
      <c r="C4043" s="4" t="s">
        <v>287</v>
      </c>
      <c r="D4043" s="94">
        <v>5576.0</v>
      </c>
    </row>
    <row r="4044">
      <c r="A4044" s="40">
        <f t="array" ref="A4044">IFNA(index(PlayerValues!A:A,match(IFNA(vlookup(B4044,'Special Names'!A:B,2,FALSE),B4044),PlayerValues!E:E,0)),"N/A")</f>
        <v>15753</v>
      </c>
      <c r="B4044" s="4" t="s">
        <v>359</v>
      </c>
      <c r="C4044" s="4" t="s">
        <v>287</v>
      </c>
      <c r="D4044" s="94">
        <v>5560.0</v>
      </c>
    </row>
    <row r="4045">
      <c r="A4045" s="40">
        <f t="array" ref="A4045">IFNA(index(PlayerValues!A:A,match(IFNA(vlookup(B4045,'Special Names'!A:B,2,FALSE),B4045),PlayerValues!E:E,0)),"N/A")</f>
        <v>17051</v>
      </c>
      <c r="B4045" s="4" t="s">
        <v>386</v>
      </c>
      <c r="C4045" s="4" t="s">
        <v>278</v>
      </c>
      <c r="D4045" s="94">
        <v>5538.0</v>
      </c>
    </row>
    <row r="4046">
      <c r="A4046" s="40">
        <f t="array" ref="A4046">IFNA(index(PlayerValues!A:A,match(IFNA(vlookup(B4046,'Special Names'!A:B,2,FALSE),B4046),PlayerValues!E:E,0)),"N/A")</f>
        <v>17070</v>
      </c>
      <c r="B4046" s="4" t="s">
        <v>370</v>
      </c>
      <c r="C4046" s="4" t="s">
        <v>287</v>
      </c>
      <c r="D4046" s="94">
        <v>5525.0</v>
      </c>
    </row>
    <row r="4047">
      <c r="A4047" s="40">
        <f t="array" ref="A4047">IFNA(index(PlayerValues!A:A,match(IFNA(vlookup(B4047,'Special Names'!A:B,2,FALSE),B4047),PlayerValues!E:E,0)),"N/A")</f>
        <v>15754</v>
      </c>
      <c r="B4047" s="4" t="s">
        <v>354</v>
      </c>
      <c r="C4047" s="4" t="s">
        <v>287</v>
      </c>
      <c r="D4047" s="94">
        <v>5471.0</v>
      </c>
    </row>
    <row r="4048">
      <c r="A4048" s="40">
        <f t="array" ref="A4048">IFNA(index(PlayerValues!A:A,match(IFNA(vlookup(B4048,'Special Names'!A:B,2,FALSE),B4048),PlayerValues!E:E,0)),"N/A")</f>
        <v>14782</v>
      </c>
      <c r="B4048" s="4" t="s">
        <v>385</v>
      </c>
      <c r="C4048" s="4" t="s">
        <v>283</v>
      </c>
      <c r="D4048" s="94">
        <v>5452.0</v>
      </c>
    </row>
    <row r="4049">
      <c r="A4049" s="40">
        <f t="array" ref="A4049">IFNA(index(PlayerValues!A:A,match(IFNA(vlookup(B4049,'Special Names'!A:B,2,FALSE),B4049),PlayerValues!E:E,0)),"N/A")</f>
        <v>15282</v>
      </c>
      <c r="B4049" s="4" t="s">
        <v>364</v>
      </c>
      <c r="C4049" s="4" t="s">
        <v>287</v>
      </c>
      <c r="D4049" s="94">
        <v>5442.0</v>
      </c>
    </row>
    <row r="4050">
      <c r="A4050" s="40">
        <f t="array" ref="A4050">IFNA(index(PlayerValues!A:A,match(IFNA(vlookup(B4050,'Special Names'!A:B,2,FALSE),B4050),PlayerValues!E:E,0)),"N/A")</f>
        <v>17462</v>
      </c>
      <c r="B4050" s="4" t="s">
        <v>375</v>
      </c>
      <c r="C4050" s="4" t="s">
        <v>283</v>
      </c>
      <c r="D4050" s="94">
        <v>5430.0</v>
      </c>
    </row>
    <row r="4051">
      <c r="A4051" s="40">
        <f t="array" ref="A4051">IFNA(index(PlayerValues!A:A,match(IFNA(vlookup(B4051,'Special Names'!A:B,2,FALSE),B4051),PlayerValues!E:E,0)),"N/A")</f>
        <v>17498</v>
      </c>
      <c r="B4051" s="4" t="s">
        <v>396</v>
      </c>
      <c r="C4051" s="4" t="s">
        <v>287</v>
      </c>
      <c r="D4051" s="94">
        <v>5365.0</v>
      </c>
    </row>
    <row r="4052">
      <c r="A4052" s="40">
        <f t="array" ref="A4052">IFNA(index(PlayerValues!A:A,match(IFNA(vlookup(B4052,'Special Names'!A:B,2,FALSE),B4052),PlayerValues!E:E,0)),"N/A")</f>
        <v>17043</v>
      </c>
      <c r="B4052" s="4" t="s">
        <v>397</v>
      </c>
      <c r="C4052" s="4" t="s">
        <v>278</v>
      </c>
      <c r="D4052" s="94">
        <v>5350.0</v>
      </c>
    </row>
    <row r="4053">
      <c r="A4053" s="40">
        <f t="array" ref="A4053">IFNA(index(PlayerValues!A:A,match(IFNA(vlookup(B4053,'Special Names'!A:B,2,FALSE),B4053),PlayerValues!E:E,0)),"N/A")</f>
        <v>15708</v>
      </c>
      <c r="B4053" s="4" t="s">
        <v>382</v>
      </c>
      <c r="C4053" s="4" t="s">
        <v>278</v>
      </c>
      <c r="D4053" s="94">
        <v>5285.0</v>
      </c>
    </row>
    <row r="4054">
      <c r="A4054" s="40">
        <f t="array" ref="A4054">IFNA(index(PlayerValues!A:A,match(IFNA(vlookup(B4054,'Special Names'!A:B,2,FALSE),B4054),PlayerValues!E:E,0)),"N/A")</f>
        <v>16181</v>
      </c>
      <c r="B4054" s="4" t="s">
        <v>350</v>
      </c>
      <c r="C4054" s="4" t="s">
        <v>278</v>
      </c>
      <c r="D4054" s="94">
        <v>5270.0</v>
      </c>
    </row>
    <row r="4055">
      <c r="A4055" s="40">
        <f t="array" ref="A4055">IFNA(index(PlayerValues!A:A,match(IFNA(vlookup(B4055,'Special Names'!A:B,2,FALSE),B4055),PlayerValues!E:E,0)),"N/A")</f>
        <v>17030</v>
      </c>
      <c r="B4055" s="4" t="s">
        <v>406</v>
      </c>
      <c r="C4055" s="4" t="s">
        <v>283</v>
      </c>
      <c r="D4055" s="94">
        <v>5266.0</v>
      </c>
    </row>
    <row r="4056">
      <c r="A4056" s="40">
        <f t="array" ref="A4056">IFNA(index(PlayerValues!A:A,match(IFNA(vlookup(B4056,'Special Names'!A:B,2,FALSE),B4056),PlayerValues!E:E,0)),"N/A")</f>
        <v>13130</v>
      </c>
      <c r="B4056" s="4" t="s">
        <v>374</v>
      </c>
      <c r="C4056" s="4" t="s">
        <v>278</v>
      </c>
      <c r="D4056" s="94">
        <v>5250.0</v>
      </c>
    </row>
    <row r="4057">
      <c r="A4057" s="40">
        <f t="array" ref="A4057">IFNA(index(PlayerValues!A:A,match(IFNA(vlookup(B4057,'Special Names'!A:B,2,FALSE),B4057),PlayerValues!E:E,0)),"N/A")</f>
        <v>16616</v>
      </c>
      <c r="B4057" s="4" t="s">
        <v>389</v>
      </c>
      <c r="C4057" s="4" t="s">
        <v>287</v>
      </c>
      <c r="D4057" s="94">
        <v>5247.0</v>
      </c>
    </row>
    <row r="4058">
      <c r="A4058" s="40" t="str">
        <f t="array" ref="A4058">IFNA(index(PlayerValues!A:A,match(IFNA(vlookup(B4058,'Special Names'!A:B,2,FALSE),B4058),PlayerValues!E:E,0)),"N/A")</f>
        <v>N/A</v>
      </c>
      <c r="B4058" s="4" t="s">
        <v>104</v>
      </c>
      <c r="C4058" s="4" t="s">
        <v>325</v>
      </c>
      <c r="D4058" s="94">
        <v>5185.0</v>
      </c>
    </row>
    <row r="4059">
      <c r="A4059" s="40">
        <f t="array" ref="A4059">IFNA(index(PlayerValues!A:A,match(IFNA(vlookup(B4059,'Special Names'!A:B,2,FALSE),B4059),PlayerValues!E:E,0)),"N/A")</f>
        <v>13604</v>
      </c>
      <c r="B4059" s="4" t="s">
        <v>378</v>
      </c>
      <c r="C4059" s="4" t="s">
        <v>278</v>
      </c>
      <c r="D4059" s="94">
        <v>5079.0</v>
      </c>
    </row>
    <row r="4060">
      <c r="A4060" s="40">
        <f t="array" ref="A4060">IFNA(index(PlayerValues!A:A,match(IFNA(vlookup(B4060,'Special Names'!A:B,2,FALSE),B4060),PlayerValues!E:E,0)),"N/A")</f>
        <v>14104</v>
      </c>
      <c r="B4060" s="4" t="s">
        <v>379</v>
      </c>
      <c r="C4060" s="4" t="s">
        <v>287</v>
      </c>
      <c r="D4060" s="94">
        <v>5032.0</v>
      </c>
    </row>
    <row r="4061">
      <c r="A4061" s="40">
        <f t="array" ref="A4061">IFNA(index(PlayerValues!A:A,match(IFNA(vlookup(B4061,'Special Names'!A:B,2,FALSE),B4061),PlayerValues!E:E,0)),"N/A")</f>
        <v>17499</v>
      </c>
      <c r="B4061" s="4" t="s">
        <v>402</v>
      </c>
      <c r="C4061" s="4" t="s">
        <v>287</v>
      </c>
      <c r="D4061" s="94">
        <v>5007.0</v>
      </c>
    </row>
    <row r="4062">
      <c r="A4062" s="40">
        <f t="array" ref="A4062">IFNA(index(PlayerValues!A:A,match(IFNA(vlookup(B4062,'Special Names'!A:B,2,FALSE),B4062),PlayerValues!E:E,0)),"N/A")</f>
        <v>16190</v>
      </c>
      <c r="B4062" s="4" t="s">
        <v>371</v>
      </c>
      <c r="C4062" s="4" t="s">
        <v>287</v>
      </c>
      <c r="D4062" s="94">
        <v>4985.0</v>
      </c>
    </row>
    <row r="4063">
      <c r="A4063" s="40">
        <f t="array" ref="A4063">IFNA(index(PlayerValues!A:A,match(IFNA(vlookup(B4063,'Special Names'!A:B,2,FALSE),B4063),PlayerValues!E:E,0)),"N/A")</f>
        <v>16194</v>
      </c>
      <c r="B4063" s="4" t="s">
        <v>398</v>
      </c>
      <c r="C4063" s="4" t="s">
        <v>287</v>
      </c>
      <c r="D4063" s="94">
        <v>4982.0</v>
      </c>
    </row>
    <row r="4064">
      <c r="A4064" s="40">
        <f t="array" ref="A4064">IFNA(index(PlayerValues!A:A,match(IFNA(vlookup(B4064,'Special Names'!A:B,2,FALSE),B4064),PlayerValues!E:E,0)),"N/A")</f>
        <v>14835</v>
      </c>
      <c r="B4064" s="4" t="s">
        <v>392</v>
      </c>
      <c r="C4064" s="4" t="s">
        <v>287</v>
      </c>
      <c r="D4064" s="94">
        <v>4969.0</v>
      </c>
    </row>
    <row r="4065">
      <c r="A4065" s="40">
        <f t="array" ref="A4065">IFNA(index(PlayerValues!A:A,match(IFNA(vlookup(B4065,'Special Names'!A:B,2,FALSE),B4065),PlayerValues!E:E,0)),"N/A")</f>
        <v>16222</v>
      </c>
      <c r="B4065" s="4" t="s">
        <v>393</v>
      </c>
      <c r="C4065" s="4" t="s">
        <v>298</v>
      </c>
      <c r="D4065" s="94">
        <v>5547.0</v>
      </c>
    </row>
    <row r="4066">
      <c r="A4066" s="40">
        <f t="array" ref="A4066">IFNA(index(PlayerValues!A:A,match(IFNA(vlookup(B4066,'Special Names'!A:B,2,FALSE),B4066),PlayerValues!E:E,0)),"N/A")</f>
        <v>15710</v>
      </c>
      <c r="B4066" s="4" t="s">
        <v>395</v>
      </c>
      <c r="C4066" s="4" t="s">
        <v>278</v>
      </c>
      <c r="D4066" s="94">
        <v>4958.0</v>
      </c>
    </row>
    <row r="4067">
      <c r="A4067" s="40">
        <f t="array" ref="A4067">IFNA(index(PlayerValues!A:A,match(IFNA(vlookup(B4067,'Special Names'!A:B,2,FALSE),B4067),PlayerValues!E:E,0)),"N/A")</f>
        <v>12620</v>
      </c>
      <c r="B4067" s="4" t="s">
        <v>394</v>
      </c>
      <c r="C4067" s="4" t="s">
        <v>283</v>
      </c>
      <c r="D4067" s="94">
        <v>4922.0</v>
      </c>
    </row>
    <row r="4068">
      <c r="A4068" s="40">
        <f t="array" ref="A4068">IFNA(index(PlayerValues!A:A,match(IFNA(vlookup(B4068,'Special Names'!A:B,2,FALSE),B4068),PlayerValues!E:E,0)),"N/A")</f>
        <v>15284</v>
      </c>
      <c r="B4068" s="4" t="s">
        <v>390</v>
      </c>
      <c r="C4068" s="4" t="s">
        <v>287</v>
      </c>
      <c r="D4068" s="94">
        <v>4896.0</v>
      </c>
    </row>
    <row r="4069">
      <c r="A4069" s="40">
        <f t="array" ref="A4069">IFNA(index(PlayerValues!A:A,match(IFNA(vlookup(B4069,'Special Names'!A:B,2,FALSE),B4069),PlayerValues!E:E,0)),"N/A")</f>
        <v>16614</v>
      </c>
      <c r="B4069" s="4" t="s">
        <v>403</v>
      </c>
      <c r="C4069" s="4" t="s">
        <v>287</v>
      </c>
      <c r="D4069" s="94">
        <v>4848.0</v>
      </c>
    </row>
    <row r="4070">
      <c r="A4070" s="40" t="str">
        <f t="array" ref="A4070">IFNA(index(PlayerValues!A:A,match(IFNA(vlookup(B4070,'Special Names'!A:B,2,FALSE),B4070),PlayerValues!E:E,0)),"N/A")</f>
        <v>N/A</v>
      </c>
      <c r="B4070" s="4" t="s">
        <v>94</v>
      </c>
      <c r="C4070" s="4" t="s">
        <v>325</v>
      </c>
      <c r="D4070" s="94">
        <v>4847.0</v>
      </c>
    </row>
    <row r="4071">
      <c r="A4071" s="40">
        <f t="array" ref="A4071">IFNA(index(PlayerValues!A:A,match(IFNA(vlookup(B4071,'Special Names'!A:B,2,FALSE),B4071),PlayerValues!E:E,0)),"N/A")</f>
        <v>17039</v>
      </c>
      <c r="B4071" s="4" t="s">
        <v>400</v>
      </c>
      <c r="C4071" s="4" t="s">
        <v>283</v>
      </c>
      <c r="D4071" s="94">
        <v>4837.0</v>
      </c>
    </row>
    <row r="4072">
      <c r="A4072" s="40">
        <f t="array" ref="A4072">IFNA(index(PlayerValues!A:A,match(IFNA(vlookup(B4072,'Special Names'!A:B,2,FALSE),B4072),PlayerValues!E:E,0)),"N/A")</f>
        <v>16618</v>
      </c>
      <c r="B4072" s="4" t="s">
        <v>411</v>
      </c>
      <c r="C4072" s="4" t="s">
        <v>287</v>
      </c>
      <c r="D4072" s="94">
        <v>4823.0</v>
      </c>
    </row>
    <row r="4073">
      <c r="A4073" s="40">
        <f t="array" ref="A4073">IFNA(index(PlayerValues!A:A,match(IFNA(vlookup(B4073,'Special Names'!A:B,2,FALSE),B4073),PlayerValues!E:E,0)),"N/A")</f>
        <v>17473</v>
      </c>
      <c r="B4073" s="4" t="s">
        <v>391</v>
      </c>
      <c r="C4073" s="4" t="s">
        <v>278</v>
      </c>
      <c r="D4073" s="94">
        <v>4791.0</v>
      </c>
    </row>
    <row r="4074">
      <c r="A4074" s="40">
        <f t="array" ref="A4074">IFNA(index(PlayerValues!A:A,match(IFNA(vlookup(B4074,'Special Names'!A:B,2,FALSE),B4074),PlayerValues!E:E,0)),"N/A")</f>
        <v>15756</v>
      </c>
      <c r="B4074" s="4" t="s">
        <v>399</v>
      </c>
      <c r="C4074" s="4" t="s">
        <v>287</v>
      </c>
      <c r="D4074" s="94">
        <v>4775.0</v>
      </c>
    </row>
    <row r="4075">
      <c r="A4075" s="40">
        <f t="array" ref="A4075">IFNA(index(PlayerValues!A:A,match(IFNA(vlookup(B4075,'Special Names'!A:B,2,FALSE),B4075),PlayerValues!E:E,0)),"N/A")</f>
        <v>17045</v>
      </c>
      <c r="B4075" s="4" t="s">
        <v>407</v>
      </c>
      <c r="C4075" s="4" t="s">
        <v>278</v>
      </c>
      <c r="D4075" s="94">
        <v>4771.0</v>
      </c>
    </row>
    <row r="4076">
      <c r="A4076" s="40">
        <f t="array" ref="A4076">IFNA(index(PlayerValues!A:A,match(IFNA(vlookup(B4076,'Special Names'!A:B,2,FALSE),B4076),PlayerValues!E:E,0)),"N/A")</f>
        <v>17103</v>
      </c>
      <c r="B4076" s="4" t="s">
        <v>405</v>
      </c>
      <c r="C4076" s="4" t="s">
        <v>298</v>
      </c>
      <c r="D4076" s="94">
        <v>5304.0</v>
      </c>
    </row>
    <row r="4077">
      <c r="A4077" s="40">
        <f t="array" ref="A4077">IFNA(index(PlayerValues!A:A,match(IFNA(vlookup(B4077,'Special Names'!A:B,2,FALSE),B4077),PlayerValues!E:E,0)),"N/A")</f>
        <v>16598</v>
      </c>
      <c r="B4077" s="4" t="s">
        <v>408</v>
      </c>
      <c r="C4077" s="4" t="s">
        <v>278</v>
      </c>
      <c r="D4077" s="94">
        <v>4695.0</v>
      </c>
    </row>
    <row r="4078">
      <c r="A4078" s="40">
        <f t="array" ref="A4078">IFNA(index(PlayerValues!A:A,match(IFNA(vlookup(B4078,'Special Names'!A:B,2,FALSE),B4078),PlayerValues!E:E,0)),"N/A")</f>
        <v>12611</v>
      </c>
      <c r="B4078" s="4" t="s">
        <v>410</v>
      </c>
      <c r="C4078" s="4" t="s">
        <v>283</v>
      </c>
      <c r="D4078" s="94">
        <v>4678.0</v>
      </c>
    </row>
    <row r="4079">
      <c r="A4079" s="40" t="str">
        <f t="array" ref="A4079">IFNA(index(PlayerValues!A:A,match(IFNA(vlookup(B4079,'Special Names'!A:B,2,FALSE),B4079),PlayerValues!E:E,0)),"N/A")</f>
        <v>N/A</v>
      </c>
      <c r="B4079" s="4" t="s">
        <v>80</v>
      </c>
      <c r="C4079" s="4" t="s">
        <v>325</v>
      </c>
      <c r="D4079" s="94">
        <v>4665.0</v>
      </c>
    </row>
    <row r="4080">
      <c r="A4080" s="40">
        <f t="array" ref="A4080">IFNA(index(PlayerValues!A:A,match(IFNA(vlookup(B4080,'Special Names'!A:B,2,FALSE),B4080),PlayerValues!E:E,0)),"N/A")</f>
        <v>13590</v>
      </c>
      <c r="B4080" s="4" t="s">
        <v>409</v>
      </c>
      <c r="C4080" s="4" t="s">
        <v>283</v>
      </c>
      <c r="D4080" s="94">
        <v>4648.0</v>
      </c>
    </row>
    <row r="4081">
      <c r="A4081" s="40">
        <f t="array" ref="A4081">IFNA(index(PlayerValues!A:A,match(IFNA(vlookup(B4081,'Special Names'!A:B,2,FALSE),B4081),PlayerValues!E:E,0)),"N/A")</f>
        <v>16150</v>
      </c>
      <c r="B4081" s="4" t="s">
        <v>414</v>
      </c>
      <c r="C4081" s="4" t="s">
        <v>283</v>
      </c>
      <c r="D4081" s="94">
        <v>4641.0</v>
      </c>
    </row>
    <row r="4082">
      <c r="A4082" s="40">
        <f t="array" ref="A4082">IFNA(index(PlayerValues!A:A,match(IFNA(vlookup(B4082,'Special Names'!A:B,2,FALSE),B4082),PlayerValues!E:E,0)),"N/A")</f>
        <v>16214</v>
      </c>
      <c r="B4082" s="4" t="s">
        <v>413</v>
      </c>
      <c r="C4082" s="4" t="s">
        <v>298</v>
      </c>
      <c r="D4082" s="94">
        <v>5170.0</v>
      </c>
    </row>
    <row r="4083">
      <c r="A4083" s="40">
        <f t="array" ref="A4083">IFNA(index(PlayerValues!A:A,match(IFNA(vlookup(B4083,'Special Names'!A:B,2,FALSE),B4083),PlayerValues!E:E,0)),"N/A")</f>
        <v>15256</v>
      </c>
      <c r="B4083" s="4" t="s">
        <v>401</v>
      </c>
      <c r="C4083" s="4" t="s">
        <v>278</v>
      </c>
      <c r="D4083" s="94">
        <v>4599.0</v>
      </c>
    </row>
    <row r="4084">
      <c r="A4084" s="40" t="str">
        <f t="array" ref="A4084">IFNA(index(PlayerValues!A:A,match(IFNA(vlookup(B4084,'Special Names'!A:B,2,FALSE),B4084),PlayerValues!E:E,0)),"N/A")</f>
        <v>N/A</v>
      </c>
      <c r="B4084" s="4" t="s">
        <v>105</v>
      </c>
      <c r="C4084" s="4" t="s">
        <v>325</v>
      </c>
      <c r="D4084" s="94">
        <v>4572.0</v>
      </c>
    </row>
    <row r="4085">
      <c r="A4085" s="40">
        <f t="array" ref="A4085">IFNA(index(PlayerValues!A:A,match(IFNA(vlookup(B4085,'Special Names'!A:B,2,FALSE),B4085),PlayerValues!E:E,0)),"N/A")</f>
        <v>15329</v>
      </c>
      <c r="B4085" s="4" t="s">
        <v>416</v>
      </c>
      <c r="C4085" s="4" t="s">
        <v>298</v>
      </c>
      <c r="D4085" s="94">
        <v>4976.0</v>
      </c>
    </row>
    <row r="4086">
      <c r="A4086" s="40">
        <f t="array" ref="A4086">IFNA(index(PlayerValues!A:A,match(IFNA(vlookup(B4086,'Special Names'!A:B,2,FALSE),B4086),PlayerValues!E:E,0)),"N/A")</f>
        <v>13592</v>
      </c>
      <c r="B4086" s="4" t="s">
        <v>418</v>
      </c>
      <c r="C4086" s="4" t="s">
        <v>283</v>
      </c>
      <c r="D4086" s="94">
        <v>4394.0</v>
      </c>
    </row>
    <row r="4087">
      <c r="A4087" s="40">
        <f t="array" ref="A4087">IFNA(index(PlayerValues!A:A,match(IFNA(vlookup(B4087,'Special Names'!A:B,2,FALSE),B4087),PlayerValues!E:E,0)),"N/A")</f>
        <v>15253</v>
      </c>
      <c r="B4087" s="4" t="s">
        <v>415</v>
      </c>
      <c r="C4087" s="4" t="s">
        <v>278</v>
      </c>
      <c r="D4087" s="94">
        <v>4373.0</v>
      </c>
    </row>
    <row r="4088">
      <c r="A4088" s="40">
        <f t="array" ref="A4088">IFNA(index(PlayerValues!A:A,match(IFNA(vlookup(B4088,'Special Names'!A:B,2,FALSE),B4088),PlayerValues!E:E,0)),"N/A")</f>
        <v>17501</v>
      </c>
      <c r="B4088" s="4" t="s">
        <v>404</v>
      </c>
      <c r="C4088" s="4" t="s">
        <v>287</v>
      </c>
      <c r="D4088" s="94">
        <v>4348.0</v>
      </c>
    </row>
    <row r="4089">
      <c r="A4089" s="40">
        <f t="array" ref="A4089">IFNA(index(PlayerValues!A:A,match(IFNA(vlookup(B4089,'Special Names'!A:B,2,FALSE),B4089),PlayerValues!E:E,0)),"N/A")</f>
        <v>12626</v>
      </c>
      <c r="B4089" s="4" t="s">
        <v>419</v>
      </c>
      <c r="C4089" s="4" t="s">
        <v>278</v>
      </c>
      <c r="D4089" s="94">
        <v>4205.0</v>
      </c>
    </row>
    <row r="4090">
      <c r="A4090" s="40">
        <f t="array" ref="A4090">IFNA(index(PlayerValues!A:A,match(IFNA(vlookup(B4090,'Special Names'!A:B,2,FALSE),B4090),PlayerValues!E:E,0)),"N/A")</f>
        <v>17052</v>
      </c>
      <c r="B4090" s="4" t="s">
        <v>417</v>
      </c>
      <c r="C4090" s="4" t="s">
        <v>278</v>
      </c>
      <c r="D4090" s="94">
        <v>4198.0</v>
      </c>
    </row>
    <row r="4091">
      <c r="A4091" s="40">
        <f t="array" ref="A4091">IFNA(index(PlayerValues!A:A,match(IFNA(vlookup(B4091,'Special Names'!A:B,2,FALSE),B4091),PlayerValues!E:E,0)),"N/A")</f>
        <v>14073</v>
      </c>
      <c r="B4091" s="4" t="s">
        <v>464</v>
      </c>
      <c r="C4091" s="4" t="s">
        <v>278</v>
      </c>
      <c r="D4091" s="94">
        <v>4090.0</v>
      </c>
    </row>
    <row r="4092">
      <c r="A4092" s="40">
        <f t="array" ref="A4092">IFNA(index(PlayerValues!A:A,match(IFNA(vlookup(B4092,'Special Names'!A:B,2,FALSE),B4092),PlayerValues!E:E,0)),"N/A")</f>
        <v>17543</v>
      </c>
      <c r="B4092" s="4" t="s">
        <v>436</v>
      </c>
      <c r="C4092" s="4" t="s">
        <v>298</v>
      </c>
      <c r="D4092" s="94">
        <v>4522.0</v>
      </c>
    </row>
    <row r="4093">
      <c r="A4093" s="40">
        <f t="array" ref="A4093">IFNA(index(PlayerValues!A:A,match(IFNA(vlookup(B4093,'Special Names'!A:B,2,FALSE),B4093),PlayerValues!E:E,0)),"N/A")</f>
        <v>14056</v>
      </c>
      <c r="B4093" s="4" t="s">
        <v>423</v>
      </c>
      <c r="C4093" s="4" t="s">
        <v>283</v>
      </c>
      <c r="D4093" s="94">
        <v>3987.0</v>
      </c>
    </row>
    <row r="4094">
      <c r="A4094" s="40" t="str">
        <f t="array" ref="A4094">IFNA(index(PlayerValues!A:A,match(IFNA(vlookup(B4094,'Special Names'!A:B,2,FALSE),B4094),PlayerValues!E:E,0)),"N/A")</f>
        <v>N/A</v>
      </c>
      <c r="B4094" s="4" t="s">
        <v>81</v>
      </c>
      <c r="C4094" s="4" t="s">
        <v>325</v>
      </c>
      <c r="D4094" s="94">
        <v>3962.0</v>
      </c>
    </row>
    <row r="4095">
      <c r="A4095" s="40">
        <f t="array" ref="A4095">IFNA(index(PlayerValues!A:A,match(IFNA(vlookup(B4095,'Special Names'!A:B,2,FALSE),B4095),PlayerValues!E:E,0)),"N/A")</f>
        <v>15789</v>
      </c>
      <c r="B4095" s="4" t="s">
        <v>421</v>
      </c>
      <c r="C4095" s="4" t="s">
        <v>287</v>
      </c>
      <c r="D4095" s="94">
        <v>3950.0</v>
      </c>
    </row>
    <row r="4096">
      <c r="A4096" s="40">
        <f t="array" ref="A4096">IFNA(index(PlayerValues!A:A,match(IFNA(vlookup(B4096,'Special Names'!A:B,2,FALSE),B4096),PlayerValues!E:E,0)),"N/A")</f>
        <v>16148</v>
      </c>
      <c r="B4096" s="4" t="s">
        <v>426</v>
      </c>
      <c r="C4096" s="4" t="s">
        <v>283</v>
      </c>
      <c r="D4096" s="94">
        <v>3939.0</v>
      </c>
    </row>
    <row r="4097">
      <c r="A4097" s="40" t="str">
        <f t="array" ref="A4097">IFNA(index(PlayerValues!A:A,match(IFNA(vlookup(B4097,'Special Names'!A:B,2,FALSE),B4097),PlayerValues!E:E,0)),"N/A")</f>
        <v>N/A</v>
      </c>
      <c r="B4097" s="4" t="s">
        <v>107</v>
      </c>
      <c r="C4097" s="4" t="s">
        <v>325</v>
      </c>
      <c r="D4097" s="94">
        <v>3933.0</v>
      </c>
    </row>
    <row r="4098">
      <c r="A4098" s="40">
        <f t="array" ref="A4098">IFNA(index(PlayerValues!A:A,match(IFNA(vlookup(B4098,'Special Names'!A:B,2,FALSE),B4098),PlayerValues!E:E,0)),"N/A")</f>
        <v>15768</v>
      </c>
      <c r="B4098" s="4" t="s">
        <v>432</v>
      </c>
      <c r="C4098" s="4" t="s">
        <v>287</v>
      </c>
      <c r="D4098" s="94">
        <v>3926.0</v>
      </c>
    </row>
    <row r="4099">
      <c r="A4099" s="40">
        <f t="array" ref="A4099">IFNA(index(PlayerValues!A:A,match(IFNA(vlookup(B4099,'Special Names'!A:B,2,FALSE),B4099),PlayerValues!E:E,0)),"N/A")</f>
        <v>16186</v>
      </c>
      <c r="B4099" s="4" t="s">
        <v>425</v>
      </c>
      <c r="C4099" s="4" t="s">
        <v>287</v>
      </c>
      <c r="D4099" s="94">
        <v>3921.0</v>
      </c>
    </row>
    <row r="4100">
      <c r="A4100" s="40">
        <f t="array" ref="A4100">IFNA(index(PlayerValues!A:A,match(IFNA(vlookup(B4100,'Special Names'!A:B,2,FALSE),B4100),PlayerValues!E:E,0)),"N/A")</f>
        <v>14059</v>
      </c>
      <c r="B4100" s="4" t="s">
        <v>435</v>
      </c>
      <c r="C4100" s="4" t="s">
        <v>283</v>
      </c>
      <c r="D4100" s="94">
        <v>3919.0</v>
      </c>
    </row>
    <row r="4101">
      <c r="A4101" s="40">
        <f t="array" ref="A4101">IFNA(index(PlayerValues!A:A,match(IFNA(vlookup(B4101,'Special Names'!A:B,2,FALSE),B4101),PlayerValues!E:E,0)),"N/A")</f>
        <v>9431</v>
      </c>
      <c r="B4101" s="4" t="s">
        <v>428</v>
      </c>
      <c r="C4101" s="4" t="s">
        <v>283</v>
      </c>
      <c r="D4101" s="94">
        <v>3878.0</v>
      </c>
    </row>
    <row r="4102">
      <c r="A4102" s="40" t="str">
        <f t="array" ref="A4102">IFNA(index(PlayerValues!A:A,match(IFNA(vlookup(B4102,'Special Names'!A:B,2,FALSE),B4102),PlayerValues!E:E,0)),"N/A")</f>
        <v>N/A</v>
      </c>
      <c r="B4102" s="4" t="s">
        <v>95</v>
      </c>
      <c r="C4102" s="4" t="s">
        <v>325</v>
      </c>
      <c r="D4102" s="94">
        <v>3830.0</v>
      </c>
    </row>
    <row r="4103">
      <c r="A4103" s="40">
        <f t="array" ref="A4103">IFNA(index(PlayerValues!A:A,match(IFNA(vlookup(B4103,'Special Names'!A:B,2,FALSE),B4103),PlayerValues!E:E,0)),"N/A")</f>
        <v>15694</v>
      </c>
      <c r="B4103" s="4" t="s">
        <v>434</v>
      </c>
      <c r="C4103" s="4" t="s">
        <v>283</v>
      </c>
      <c r="D4103" s="94">
        <v>3791.0</v>
      </c>
    </row>
    <row r="4104">
      <c r="A4104" s="40">
        <f t="array" ref="A4104">IFNA(index(PlayerValues!A:A,match(IFNA(vlookup(B4104,'Special Names'!A:B,2,FALSE),B4104),PlayerValues!E:E,0)),"N/A")</f>
        <v>16206</v>
      </c>
      <c r="B4104" s="4" t="s">
        <v>431</v>
      </c>
      <c r="C4104" s="4" t="s">
        <v>287</v>
      </c>
      <c r="D4104" s="94">
        <v>3731.0</v>
      </c>
    </row>
    <row r="4105">
      <c r="A4105" s="40">
        <f t="array" ref="A4105">IFNA(index(PlayerValues!A:A,match(IFNA(vlookup(B4105,'Special Names'!A:B,2,FALSE),B4105),PlayerValues!E:E,0)),"N/A")</f>
        <v>14797</v>
      </c>
      <c r="B4105" s="4" t="s">
        <v>420</v>
      </c>
      <c r="C4105" s="4" t="s">
        <v>278</v>
      </c>
      <c r="D4105" s="94">
        <v>3729.0</v>
      </c>
    </row>
    <row r="4106">
      <c r="A4106" s="40">
        <f t="array" ref="A4106">IFNA(index(PlayerValues!A:A,match(IFNA(vlookup(B4106,'Special Names'!A:B,2,FALSE),B4106),PlayerValues!E:E,0)),"N/A")</f>
        <v>16192</v>
      </c>
      <c r="B4106" s="4" t="s">
        <v>412</v>
      </c>
      <c r="C4106" s="4" t="s">
        <v>287</v>
      </c>
      <c r="D4106" s="94">
        <v>3677.0</v>
      </c>
    </row>
    <row r="4107">
      <c r="A4107" s="40">
        <f t="array" ref="A4107">IFNA(index(PlayerValues!A:A,match(IFNA(vlookup(B4107,'Special Names'!A:B,2,FALSE),B4107),PlayerValues!E:E,0)),"N/A")</f>
        <v>16187</v>
      </c>
      <c r="B4107" s="4" t="s">
        <v>441</v>
      </c>
      <c r="C4107" s="4" t="s">
        <v>287</v>
      </c>
      <c r="D4107" s="94">
        <v>3591.0</v>
      </c>
    </row>
    <row r="4108">
      <c r="A4108" s="40">
        <f t="array" ref="A4108">IFNA(index(PlayerValues!A:A,match(IFNA(vlookup(B4108,'Special Names'!A:B,2,FALSE),B4108),PlayerValues!E:E,0)),"N/A")</f>
        <v>16188</v>
      </c>
      <c r="B4108" s="4" t="s">
        <v>439</v>
      </c>
      <c r="C4108" s="4" t="s">
        <v>287</v>
      </c>
      <c r="D4108" s="94">
        <v>3543.0</v>
      </c>
    </row>
    <row r="4109">
      <c r="A4109" s="40">
        <f t="array" ref="A4109">IFNA(index(PlayerValues!A:A,match(IFNA(vlookup(B4109,'Special Names'!A:B,2,FALSE),B4109),PlayerValues!E:E,0)),"N/A")</f>
        <v>13635</v>
      </c>
      <c r="B4109" s="4" t="s">
        <v>424</v>
      </c>
      <c r="C4109" s="4" t="s">
        <v>287</v>
      </c>
      <c r="D4109" s="94">
        <v>3530.0</v>
      </c>
    </row>
    <row r="4110">
      <c r="A4110" s="40">
        <f t="array" ref="A4110">IFNA(index(PlayerValues!A:A,match(IFNA(vlookup(B4110,'Special Names'!A:B,2,FALSE),B4110),PlayerValues!E:E,0)),"N/A")</f>
        <v>17075</v>
      </c>
      <c r="B4110" s="4" t="s">
        <v>429</v>
      </c>
      <c r="C4110" s="4" t="s">
        <v>287</v>
      </c>
      <c r="D4110" s="94">
        <v>3529.0</v>
      </c>
    </row>
    <row r="4111">
      <c r="A4111" s="40">
        <f t="array" ref="A4111">IFNA(index(PlayerValues!A:A,match(IFNA(vlookup(B4111,'Special Names'!A:B,2,FALSE),B4111),PlayerValues!E:E,0)),"N/A")</f>
        <v>17502</v>
      </c>
      <c r="B4111" s="4" t="s">
        <v>451</v>
      </c>
      <c r="C4111" s="4" t="s">
        <v>287</v>
      </c>
      <c r="D4111" s="94">
        <v>3524.0</v>
      </c>
    </row>
    <row r="4112">
      <c r="A4112" s="40">
        <f t="array" ref="A4112">IFNA(index(PlayerValues!A:A,match(IFNA(vlookup(B4112,'Special Names'!A:B,2,FALSE),B4112),PlayerValues!E:E,0)),"N/A")</f>
        <v>16597</v>
      </c>
      <c r="B4112" s="4" t="s">
        <v>427</v>
      </c>
      <c r="C4112" s="4" t="s">
        <v>278</v>
      </c>
      <c r="D4112" s="94">
        <v>3521.0</v>
      </c>
    </row>
    <row r="4113">
      <c r="A4113" s="40">
        <f t="array" ref="A4113">IFNA(index(PlayerValues!A:A,match(IFNA(vlookup(B4113,'Special Names'!A:B,2,FALSE),B4113),PlayerValues!E:E,0)),"N/A")</f>
        <v>17066</v>
      </c>
      <c r="B4113" s="4" t="s">
        <v>446</v>
      </c>
      <c r="C4113" s="4" t="s">
        <v>278</v>
      </c>
      <c r="D4113" s="94">
        <v>3512.0</v>
      </c>
    </row>
    <row r="4114">
      <c r="A4114" s="40">
        <f t="array" ref="A4114">IFNA(index(PlayerValues!A:A,match(IFNA(vlookup(B4114,'Special Names'!A:B,2,FALSE),B4114),PlayerValues!E:E,0)),"N/A")</f>
        <v>14109</v>
      </c>
      <c r="B4114" s="4" t="s">
        <v>437</v>
      </c>
      <c r="C4114" s="4" t="s">
        <v>287</v>
      </c>
      <c r="D4114" s="94">
        <v>3503.0</v>
      </c>
    </row>
    <row r="4115">
      <c r="A4115" s="40">
        <f t="array" ref="A4115">IFNA(index(PlayerValues!A:A,match(IFNA(vlookup(B4115,'Special Names'!A:B,2,FALSE),B4115),PlayerValues!E:E,0)),"N/A")</f>
        <v>17099</v>
      </c>
      <c r="B4115" s="4" t="s">
        <v>474</v>
      </c>
      <c r="C4115" s="4" t="s">
        <v>298</v>
      </c>
      <c r="D4115" s="94">
        <v>3939.0</v>
      </c>
    </row>
    <row r="4116">
      <c r="A4116" s="40">
        <f t="array" ref="A4116">IFNA(index(PlayerValues!A:A,match(IFNA(vlookup(B4116,'Special Names'!A:B,2,FALSE),B4116),PlayerValues!E:E,0)),"N/A")</f>
        <v>17463</v>
      </c>
      <c r="B4116" s="4" t="s">
        <v>433</v>
      </c>
      <c r="C4116" s="4" t="s">
        <v>283</v>
      </c>
      <c r="D4116" s="94">
        <v>3483.0</v>
      </c>
    </row>
    <row r="4117">
      <c r="A4117" s="40">
        <f t="array" ref="A4117">IFNA(index(PlayerValues!A:A,match(IFNA(vlookup(B4117,'Special Names'!A:B,2,FALSE),B4117),PlayerValues!E:E,0)),"N/A")</f>
        <v>14071</v>
      </c>
      <c r="B4117" s="4" t="s">
        <v>440</v>
      </c>
      <c r="C4117" s="4" t="s">
        <v>278</v>
      </c>
      <c r="D4117" s="94">
        <v>3465.0</v>
      </c>
    </row>
    <row r="4118">
      <c r="A4118" s="40">
        <f t="array" ref="A4118">IFNA(index(PlayerValues!A:A,match(IFNA(vlookup(B4118,'Special Names'!A:B,2,FALSE),B4118),PlayerValues!E:E,0)),"N/A")</f>
        <v>11675</v>
      </c>
      <c r="B4118" s="4" t="s">
        <v>438</v>
      </c>
      <c r="C4118" s="4" t="s">
        <v>287</v>
      </c>
      <c r="D4118" s="94">
        <v>3451.0</v>
      </c>
    </row>
    <row r="4119">
      <c r="A4119" s="40">
        <f t="array" ref="A4119">IFNA(index(PlayerValues!A:A,match(IFNA(vlookup(B4119,'Special Names'!A:B,2,FALSE),B4119),PlayerValues!E:E,0)),"N/A")</f>
        <v>16593</v>
      </c>
      <c r="B4119" s="4" t="s">
        <v>442</v>
      </c>
      <c r="C4119" s="4" t="s">
        <v>278</v>
      </c>
      <c r="D4119" s="94">
        <v>3441.0</v>
      </c>
    </row>
    <row r="4120">
      <c r="A4120" s="40">
        <f t="array" ref="A4120">IFNA(index(PlayerValues!A:A,match(IFNA(vlookup(B4120,'Special Names'!A:B,2,FALSE),B4120),PlayerValues!E:E,0)),"N/A")</f>
        <v>14102</v>
      </c>
      <c r="B4120" s="4" t="s">
        <v>444</v>
      </c>
      <c r="C4120" s="4" t="s">
        <v>287</v>
      </c>
      <c r="D4120" s="94">
        <v>3436.0</v>
      </c>
    </row>
    <row r="4121">
      <c r="A4121" s="40">
        <f t="array" ref="A4121">IFNA(index(PlayerValues!A:A,match(IFNA(vlookup(B4121,'Special Names'!A:B,2,FALSE),B4121),PlayerValues!E:E,0)),"N/A")</f>
        <v>17544</v>
      </c>
      <c r="B4121" s="4" t="s">
        <v>470</v>
      </c>
      <c r="C4121" s="4" t="s">
        <v>298</v>
      </c>
      <c r="D4121" s="94">
        <v>3864.0</v>
      </c>
    </row>
    <row r="4122">
      <c r="A4122" s="40">
        <f t="array" ref="A4122">IFNA(index(PlayerValues!A:A,match(IFNA(vlookup(B4122,'Special Names'!A:B,2,FALSE),B4122),PlayerValues!E:E,0)),"N/A")</f>
        <v>15757</v>
      </c>
      <c r="B4122" s="4" t="s">
        <v>449</v>
      </c>
      <c r="C4122" s="4" t="s">
        <v>287</v>
      </c>
      <c r="D4122" s="94">
        <v>3399.0</v>
      </c>
    </row>
    <row r="4123">
      <c r="A4123" s="40">
        <f t="array" ref="A4123">IFNA(index(PlayerValues!A:A,match(IFNA(vlookup(B4123,'Special Names'!A:B,2,FALSE),B4123),PlayerValues!E:E,0)),"N/A")</f>
        <v>15798</v>
      </c>
      <c r="B4123" s="4" t="s">
        <v>443</v>
      </c>
      <c r="C4123" s="4" t="s">
        <v>298</v>
      </c>
      <c r="D4123" s="94">
        <v>3845.0</v>
      </c>
    </row>
    <row r="4124">
      <c r="A4124" s="40">
        <f t="array" ref="A4124">IFNA(index(PlayerValues!A:A,match(IFNA(vlookup(B4124,'Special Names'!A:B,2,FALSE),B4124),PlayerValues!E:E,0)),"N/A")</f>
        <v>17068</v>
      </c>
      <c r="B4124" s="4" t="s">
        <v>450</v>
      </c>
      <c r="C4124" s="4" t="s">
        <v>278</v>
      </c>
      <c r="D4124" s="94">
        <v>3392.0</v>
      </c>
    </row>
    <row r="4125">
      <c r="A4125" s="40">
        <f t="array" ref="A4125">IFNA(index(PlayerValues!A:A,match(IFNA(vlookup(B4125,'Special Names'!A:B,2,FALSE),B4125),PlayerValues!E:E,0)),"N/A")</f>
        <v>16622</v>
      </c>
      <c r="B4125" s="4" t="s">
        <v>517</v>
      </c>
      <c r="C4125" s="4" t="s">
        <v>287</v>
      </c>
      <c r="D4125" s="94">
        <v>3385.0</v>
      </c>
    </row>
    <row r="4126">
      <c r="A4126" s="40" t="str">
        <f t="array" ref="A4126">IFNA(index(PlayerValues!A:A,match(IFNA(vlookup(B4126,'Special Names'!A:B,2,FALSE),B4126),PlayerValues!E:E,0)),"N/A")</f>
        <v>N/A</v>
      </c>
      <c r="B4126" s="4" t="s">
        <v>96</v>
      </c>
      <c r="C4126" s="4" t="s">
        <v>325</v>
      </c>
      <c r="D4126" s="94">
        <v>3384.0</v>
      </c>
    </row>
    <row r="4127">
      <c r="A4127" s="40">
        <f t="array" ref="A4127">IFNA(index(PlayerValues!A:A,match(IFNA(vlookup(B4127,'Special Names'!A:B,2,FALSE),B4127),PlayerValues!E:E,0)),"N/A")</f>
        <v>14842</v>
      </c>
      <c r="B4127" s="4" t="s">
        <v>456</v>
      </c>
      <c r="C4127" s="4" t="s">
        <v>287</v>
      </c>
      <c r="D4127" s="94">
        <v>3379.0</v>
      </c>
    </row>
    <row r="4128">
      <c r="A4128" s="40">
        <f t="array" ref="A4128">IFNA(index(PlayerValues!A:A,match(IFNA(vlookup(B4128,'Special Names'!A:B,2,FALSE),B4128),PlayerValues!E:E,0)),"N/A")</f>
        <v>16169</v>
      </c>
      <c r="B4128" s="4" t="s">
        <v>457</v>
      </c>
      <c r="C4128" s="4" t="s">
        <v>278</v>
      </c>
      <c r="D4128" s="94">
        <v>3371.0</v>
      </c>
    </row>
    <row r="4129">
      <c r="A4129" s="40">
        <f t="array" ref="A4129">IFNA(index(PlayerValues!A:A,match(IFNA(vlookup(B4129,'Special Names'!A:B,2,FALSE),B4129),PlayerValues!E:E,0)),"N/A")</f>
        <v>13299</v>
      </c>
      <c r="B4129" s="4" t="s">
        <v>448</v>
      </c>
      <c r="C4129" s="4" t="s">
        <v>298</v>
      </c>
      <c r="D4129" s="94">
        <v>3822.0</v>
      </c>
    </row>
    <row r="4130">
      <c r="A4130" s="40">
        <f t="array" ref="A4130">IFNA(index(PlayerValues!A:A,match(IFNA(vlookup(B4130,'Special Names'!A:B,2,FALSE),B4130),PlayerValues!E:E,0)),"N/A")</f>
        <v>17074</v>
      </c>
      <c r="B4130" s="4" t="s">
        <v>475</v>
      </c>
      <c r="C4130" s="4" t="s">
        <v>287</v>
      </c>
      <c r="D4130" s="94">
        <v>3369.0</v>
      </c>
    </row>
    <row r="4131">
      <c r="A4131" s="40">
        <f t="array" ref="A4131">IFNA(index(PlayerValues!A:A,match(IFNA(vlookup(B4131,'Special Names'!A:B,2,FALSE),B4131),PlayerValues!E:E,0)),"N/A")</f>
        <v>16184</v>
      </c>
      <c r="B4131" s="4" t="s">
        <v>445</v>
      </c>
      <c r="C4131" s="4" t="s">
        <v>287</v>
      </c>
      <c r="D4131" s="94">
        <v>3365.0</v>
      </c>
    </row>
    <row r="4132">
      <c r="A4132" s="40">
        <f t="array" ref="A4132">IFNA(index(PlayerValues!A:A,match(IFNA(vlookup(B4132,'Special Names'!A:B,2,FALSE),B4132),PlayerValues!E:E,0)),"N/A")</f>
        <v>17083</v>
      </c>
      <c r="B4132" s="4" t="s">
        <v>479</v>
      </c>
      <c r="C4132" s="4" t="s">
        <v>287</v>
      </c>
      <c r="D4132" s="94">
        <v>3365.0</v>
      </c>
    </row>
    <row r="4133">
      <c r="A4133" s="40">
        <f t="array" ref="A4133">IFNA(index(PlayerValues!A:A,match(IFNA(vlookup(B4133,'Special Names'!A:B,2,FALSE),B4133),PlayerValues!E:E,0)),"N/A")</f>
        <v>17500</v>
      </c>
      <c r="B4133" s="4" t="s">
        <v>430</v>
      </c>
      <c r="C4133" s="4" t="s">
        <v>287</v>
      </c>
      <c r="D4133" s="94">
        <v>3357.0</v>
      </c>
    </row>
    <row r="4134">
      <c r="A4134" s="40">
        <f t="array" ref="A4134">IFNA(index(PlayerValues!A:A,match(IFNA(vlookup(B4134,'Special Names'!A:B,2,FALSE),B4134),PlayerValues!E:E,0)),"N/A")</f>
        <v>11671</v>
      </c>
      <c r="B4134" s="4" t="s">
        <v>463</v>
      </c>
      <c r="C4134" s="4" t="s">
        <v>287</v>
      </c>
      <c r="D4134" s="94">
        <v>3322.0</v>
      </c>
    </row>
    <row r="4135">
      <c r="A4135" s="40">
        <f t="array" ref="A4135">IFNA(index(PlayerValues!A:A,match(IFNA(vlookup(B4135,'Special Names'!A:B,2,FALSE),B4135),PlayerValues!E:E,0)),"N/A")</f>
        <v>15742</v>
      </c>
      <c r="B4135" s="4" t="s">
        <v>447</v>
      </c>
      <c r="C4135" s="4" t="s">
        <v>278</v>
      </c>
      <c r="D4135" s="94">
        <v>3320.0</v>
      </c>
    </row>
    <row r="4136">
      <c r="A4136" s="40">
        <f t="array" ref="A4136">IFNA(index(PlayerValues!A:A,match(IFNA(vlookup(B4136,'Special Names'!A:B,2,FALSE),B4136),PlayerValues!E:E,0)),"N/A")</f>
        <v>16620</v>
      </c>
      <c r="B4136" s="4" t="s">
        <v>467</v>
      </c>
      <c r="C4136" s="4" t="s">
        <v>287</v>
      </c>
      <c r="D4136" s="94">
        <v>3312.0</v>
      </c>
    </row>
    <row r="4137">
      <c r="A4137" s="40" t="str">
        <f t="array" ref="A4137">IFNA(index(PlayerValues!A:A,match(IFNA(vlookup(B4137,'Special Names'!A:B,2,FALSE),B4137),PlayerValues!E:E,0)),"N/A")</f>
        <v>N/A</v>
      </c>
      <c r="B4137" s="4" t="s">
        <v>82</v>
      </c>
      <c r="C4137" s="4" t="s">
        <v>325</v>
      </c>
      <c r="D4137" s="94">
        <v>3310.0</v>
      </c>
    </row>
    <row r="4138">
      <c r="A4138" s="40">
        <f t="array" ref="A4138">IFNA(index(PlayerValues!A:A,match(IFNA(vlookup(B4138,'Special Names'!A:B,2,FALSE),B4138),PlayerValues!E:E,0)),"N/A")</f>
        <v>16213</v>
      </c>
      <c r="B4138" s="4" t="s">
        <v>458</v>
      </c>
      <c r="C4138" s="4" t="s">
        <v>298</v>
      </c>
      <c r="D4138" s="94">
        <v>3636.0</v>
      </c>
    </row>
    <row r="4139">
      <c r="A4139" s="40">
        <f t="array" ref="A4139">IFNA(index(PlayerValues!A:A,match(IFNA(vlookup(B4139,'Special Names'!A:B,2,FALSE),B4139),PlayerValues!E:E,0)),"N/A")</f>
        <v>15799</v>
      </c>
      <c r="B4139" s="4" t="s">
        <v>468</v>
      </c>
      <c r="C4139" s="4" t="s">
        <v>298</v>
      </c>
      <c r="D4139" s="94">
        <v>3627.0</v>
      </c>
    </row>
    <row r="4140">
      <c r="A4140" s="40">
        <f t="array" ref="A4140">IFNA(index(PlayerValues!A:A,match(IFNA(vlookup(B4140,'Special Names'!A:B,2,FALSE),B4140),PlayerValues!E:E,0)),"N/A")</f>
        <v>17477</v>
      </c>
      <c r="B4140" s="4" t="s">
        <v>452</v>
      </c>
      <c r="C4140" s="4" t="s">
        <v>278</v>
      </c>
      <c r="D4140" s="94">
        <v>3186.0</v>
      </c>
    </row>
    <row r="4141">
      <c r="A4141" s="40" t="str">
        <f t="array" ref="A4141">IFNA(index(PlayerValues!A:A,match(IFNA(vlookup(B4141,'Special Names'!A:B,2,FALSE),B4141),PlayerValues!E:E,0)),"N/A")</f>
        <v>N/A</v>
      </c>
      <c r="B4141" s="4" t="s">
        <v>108</v>
      </c>
      <c r="C4141" s="4" t="s">
        <v>325</v>
      </c>
      <c r="D4141" s="94">
        <v>3181.0</v>
      </c>
    </row>
    <row r="4142">
      <c r="A4142" s="40">
        <f t="array" ref="A4142">IFNA(index(PlayerValues!A:A,match(IFNA(vlookup(B4142,'Special Names'!A:B,2,FALSE),B4142),PlayerValues!E:E,0)),"N/A")</f>
        <v>15261</v>
      </c>
      <c r="B4142" s="4" t="s">
        <v>466</v>
      </c>
      <c r="C4142" s="4" t="s">
        <v>278</v>
      </c>
      <c r="D4142" s="94">
        <v>3176.0</v>
      </c>
    </row>
    <row r="4143">
      <c r="A4143" s="40">
        <f t="array" ref="A4143">IFNA(index(PlayerValues!A:A,match(IFNA(vlookup(B4143,'Special Names'!A:B,2,FALSE),B4143),PlayerValues!E:E,0)),"N/A")</f>
        <v>16809</v>
      </c>
      <c r="B4143" s="4" t="s">
        <v>455</v>
      </c>
      <c r="C4143" s="4" t="s">
        <v>287</v>
      </c>
      <c r="D4143" s="94">
        <v>3158.0</v>
      </c>
    </row>
    <row r="4144">
      <c r="A4144" s="40" t="str">
        <f t="array" ref="A4144">IFNA(index(PlayerValues!A:A,match(IFNA(vlookup(B4144,'Special Names'!A:B,2,FALSE),B4144),PlayerValues!E:E,0)),"N/A")</f>
        <v>N/A</v>
      </c>
      <c r="B4144" s="4" t="s">
        <v>97</v>
      </c>
      <c r="C4144" s="4" t="s">
        <v>325</v>
      </c>
      <c r="D4144" s="94">
        <v>3132.0</v>
      </c>
    </row>
    <row r="4145">
      <c r="A4145" s="40">
        <f t="array" ref="A4145">IFNA(index(PlayerValues!A:A,match(IFNA(vlookup(B4145,'Special Names'!A:B,2,FALSE),B4145),PlayerValues!E:E,0)),"N/A")</f>
        <v>16269</v>
      </c>
      <c r="B4145" s="4" t="s">
        <v>481</v>
      </c>
      <c r="C4145" s="4" t="s">
        <v>298</v>
      </c>
      <c r="D4145" s="94">
        <v>3536.0</v>
      </c>
    </row>
    <row r="4146">
      <c r="A4146" s="40">
        <f t="array" ref="A4146">IFNA(index(PlayerValues!A:A,match(IFNA(vlookup(B4146,'Special Names'!A:B,2,FALSE),B4146),PlayerValues!E:E,0)),"N/A")</f>
        <v>14823</v>
      </c>
      <c r="B4146" s="4" t="s">
        <v>459</v>
      </c>
      <c r="C4146" s="4" t="s">
        <v>278</v>
      </c>
      <c r="D4146" s="94">
        <v>3090.0</v>
      </c>
    </row>
    <row r="4147">
      <c r="A4147" s="40">
        <f t="array" ref="A4147">IFNA(index(PlayerValues!A:A,match(IFNA(vlookup(B4147,'Special Names'!A:B,2,FALSE),B4147),PlayerValues!E:E,0)),"N/A")</f>
        <v>17514</v>
      </c>
      <c r="B4147" s="4" t="s">
        <v>422</v>
      </c>
      <c r="C4147" s="4" t="s">
        <v>287</v>
      </c>
      <c r="D4147" s="94">
        <v>3075.0</v>
      </c>
    </row>
    <row r="4148">
      <c r="A4148" s="40">
        <f t="array" ref="A4148">IFNA(index(PlayerValues!A:A,match(IFNA(vlookup(B4148,'Special Names'!A:B,2,FALSE),B4148),PlayerValues!E:E,0)),"N/A")</f>
        <v>13630</v>
      </c>
      <c r="B4148" s="4" t="s">
        <v>465</v>
      </c>
      <c r="C4148" s="4" t="s">
        <v>287</v>
      </c>
      <c r="D4148" s="94">
        <v>3058.0</v>
      </c>
    </row>
    <row r="4149">
      <c r="A4149" s="40">
        <f t="array" ref="A4149">IFNA(index(PlayerValues!A:A,match(IFNA(vlookup(B4149,'Special Names'!A:B,2,FALSE),B4149),PlayerValues!E:E,0)),"N/A")</f>
        <v>15259</v>
      </c>
      <c r="B4149" s="4" t="s">
        <v>453</v>
      </c>
      <c r="C4149" s="4" t="s">
        <v>278</v>
      </c>
      <c r="D4149" s="94">
        <v>3050.0</v>
      </c>
    </row>
    <row r="4150">
      <c r="A4150" s="40">
        <f t="array" ref="A4150">IFNA(index(PlayerValues!A:A,match(IFNA(vlookup(B4150,'Special Names'!A:B,2,FALSE),B4150),PlayerValues!E:E,0)),"N/A")</f>
        <v>15779</v>
      </c>
      <c r="B4150" s="4" t="s">
        <v>461</v>
      </c>
      <c r="C4150" s="4" t="s">
        <v>287</v>
      </c>
      <c r="D4150" s="94">
        <v>3033.0</v>
      </c>
    </row>
    <row r="4151">
      <c r="A4151" s="40">
        <f t="array" ref="A4151">IFNA(index(PlayerValues!A:A,match(IFNA(vlookup(B4151,'Special Names'!A:B,2,FALSE),B4151),PlayerValues!E:E,0)),"N/A")</f>
        <v>17512</v>
      </c>
      <c r="B4151" s="4" t="s">
        <v>483</v>
      </c>
      <c r="C4151" s="4" t="s">
        <v>287</v>
      </c>
      <c r="D4151" s="94">
        <v>3028.0</v>
      </c>
    </row>
    <row r="4152">
      <c r="A4152" s="40">
        <f t="array" ref="A4152">IFNA(index(PlayerValues!A:A,match(IFNA(vlookup(B4152,'Special Names'!A:B,2,FALSE),B4152),PlayerValues!E:E,0)),"N/A")</f>
        <v>16628</v>
      </c>
      <c r="B4152" s="4" t="s">
        <v>490</v>
      </c>
      <c r="C4152" s="4" t="s">
        <v>287</v>
      </c>
      <c r="D4152" s="94">
        <v>3026.0</v>
      </c>
    </row>
    <row r="4153">
      <c r="A4153" s="40" t="str">
        <f t="array" ref="A4153">IFNA(index(PlayerValues!A:A,match(IFNA(vlookup(B4153,'Special Names'!A:B,2,FALSE),B4153),PlayerValues!E:E,0)),"N/A")</f>
        <v>N/A</v>
      </c>
      <c r="B4153" s="4" t="s">
        <v>84</v>
      </c>
      <c r="C4153" s="4" t="s">
        <v>325</v>
      </c>
      <c r="D4153" s="94">
        <v>3020.0</v>
      </c>
    </row>
    <row r="4154">
      <c r="A4154" s="40">
        <f t="array" ref="A4154">IFNA(index(PlayerValues!A:A,match(IFNA(vlookup(B4154,'Special Names'!A:B,2,FALSE),B4154),PlayerValues!E:E,0)),"N/A")</f>
        <v>17506</v>
      </c>
      <c r="B4154" s="4" t="s">
        <v>471</v>
      </c>
      <c r="C4154" s="4" t="s">
        <v>287</v>
      </c>
      <c r="D4154" s="94">
        <v>3019.0</v>
      </c>
    </row>
    <row r="4155">
      <c r="A4155" s="40">
        <f t="array" ref="A4155">IFNA(index(PlayerValues!A:A,match(IFNA(vlookup(B4155,'Special Names'!A:B,2,FALSE),B4155),PlayerValues!E:E,0)),"N/A")</f>
        <v>17256</v>
      </c>
      <c r="B4155" s="4" t="s">
        <v>462</v>
      </c>
      <c r="C4155" s="4" t="s">
        <v>278</v>
      </c>
      <c r="D4155" s="94">
        <v>3015.0</v>
      </c>
    </row>
    <row r="4156">
      <c r="A4156" s="40">
        <f t="array" ref="A4156">IFNA(index(PlayerValues!A:A,match(IFNA(vlookup(B4156,'Special Names'!A:B,2,FALSE),B4156),PlayerValues!E:E,0)),"N/A")</f>
        <v>14800</v>
      </c>
      <c r="B4156" s="4" t="s">
        <v>472</v>
      </c>
      <c r="C4156" s="4" t="s">
        <v>278</v>
      </c>
      <c r="D4156" s="94">
        <v>2996.0</v>
      </c>
    </row>
    <row r="4157">
      <c r="A4157" s="40">
        <f t="array" ref="A4157">IFNA(index(PlayerValues!A:A,match(IFNA(vlookup(B4157,'Special Names'!A:B,2,FALSE),B4157),PlayerValues!E:E,0)),"N/A")</f>
        <v>15255</v>
      </c>
      <c r="B4157" s="4" t="s">
        <v>477</v>
      </c>
      <c r="C4157" s="4" t="s">
        <v>278</v>
      </c>
      <c r="D4157" s="94">
        <v>2991.0</v>
      </c>
    </row>
    <row r="4158">
      <c r="A4158" s="40">
        <f t="array" ref="A4158">IFNA(index(PlayerValues!A:A,match(IFNA(vlookup(B4158,'Special Names'!A:B,2,FALSE),B4158),PlayerValues!E:E,0)),"N/A")</f>
        <v>14127</v>
      </c>
      <c r="B4158" s="4" t="s">
        <v>486</v>
      </c>
      <c r="C4158" s="4" t="s">
        <v>287</v>
      </c>
      <c r="D4158" s="94">
        <v>2965.0</v>
      </c>
    </row>
    <row r="4159">
      <c r="A4159" s="40">
        <f t="array" ref="A4159">IFNA(index(PlayerValues!A:A,match(IFNA(vlookup(B4159,'Special Names'!A:B,2,FALSE),B4159),PlayerValues!E:E,0)),"N/A")</f>
        <v>13163</v>
      </c>
      <c r="B4159" s="4" t="s">
        <v>473</v>
      </c>
      <c r="C4159" s="4" t="s">
        <v>287</v>
      </c>
      <c r="D4159" s="94">
        <v>2958.0</v>
      </c>
    </row>
    <row r="4160">
      <c r="A4160" s="40" t="str">
        <f t="array" ref="A4160">IFNA(index(PlayerValues!A:A,match(IFNA(vlookup(B4160,'Special Names'!A:B,2,FALSE),B4160),PlayerValues!E:E,0)),"N/A")</f>
        <v>N/A</v>
      </c>
      <c r="B4160" s="4" t="s">
        <v>109</v>
      </c>
      <c r="C4160" s="4" t="s">
        <v>325</v>
      </c>
      <c r="D4160" s="94">
        <v>2938.0</v>
      </c>
    </row>
    <row r="4161">
      <c r="A4161" s="40">
        <f t="array" ref="A4161">IFNA(index(PlayerValues!A:A,match(IFNA(vlookup(B4161,'Special Names'!A:B,2,FALSE),B4161),PlayerValues!E:E,0)),"N/A")</f>
        <v>17503</v>
      </c>
      <c r="B4161" s="4" t="s">
        <v>480</v>
      </c>
      <c r="C4161" s="4" t="s">
        <v>287</v>
      </c>
      <c r="D4161" s="94">
        <v>2933.0</v>
      </c>
    </row>
    <row r="4162">
      <c r="A4162" s="40">
        <f t="array" ref="A4162">IFNA(index(PlayerValues!A:A,match(IFNA(vlookup(B4162,'Special Names'!A:B,2,FALSE),B4162),PlayerValues!E:E,0)),"N/A")</f>
        <v>17476</v>
      </c>
      <c r="B4162" s="4" t="s">
        <v>494</v>
      </c>
      <c r="C4162" s="4" t="s">
        <v>278</v>
      </c>
      <c r="D4162" s="94">
        <v>2879.0</v>
      </c>
    </row>
    <row r="4163">
      <c r="A4163" s="40">
        <f t="array" ref="A4163">IFNA(index(PlayerValues!A:A,match(IFNA(vlookup(B4163,'Special Names'!A:B,2,FALSE),B4163),PlayerValues!E:E,0)),"N/A")</f>
        <v>15761</v>
      </c>
      <c r="B4163" s="4" t="s">
        <v>491</v>
      </c>
      <c r="C4163" s="4" t="s">
        <v>287</v>
      </c>
      <c r="D4163" s="94">
        <v>2862.0</v>
      </c>
    </row>
    <row r="4164">
      <c r="A4164" s="40">
        <f t="array" ref="A4164">IFNA(index(PlayerValues!A:A,match(IFNA(vlookup(B4164,'Special Names'!A:B,2,FALSE),B4164),PlayerValues!E:E,0)),"N/A")</f>
        <v>14085</v>
      </c>
      <c r="B4164" s="4" t="s">
        <v>489</v>
      </c>
      <c r="C4164" s="4" t="s">
        <v>278</v>
      </c>
      <c r="D4164" s="94">
        <v>2841.0</v>
      </c>
    </row>
    <row r="4165">
      <c r="A4165" s="40">
        <f t="array" ref="A4165">IFNA(index(PlayerValues!A:A,match(IFNA(vlookup(B4165,'Special Names'!A:B,2,FALSE),B4165),PlayerValues!E:E,0)),"N/A")</f>
        <v>16080</v>
      </c>
      <c r="B4165" s="4" t="s">
        <v>499</v>
      </c>
      <c r="C4165" s="4" t="s">
        <v>287</v>
      </c>
      <c r="D4165" s="94">
        <v>2819.0</v>
      </c>
    </row>
    <row r="4166">
      <c r="A4166" s="40">
        <f t="array" ref="A4166">IFNA(index(PlayerValues!A:A,match(IFNA(vlookup(B4166,'Special Names'!A:B,2,FALSE),B4166),PlayerValues!E:E,0)),"N/A")</f>
        <v>15889</v>
      </c>
      <c r="B4166" s="4" t="s">
        <v>503</v>
      </c>
      <c r="C4166" s="4" t="s">
        <v>298</v>
      </c>
      <c r="D4166" s="94">
        <v>3220.0</v>
      </c>
    </row>
    <row r="4167">
      <c r="A4167" s="40">
        <f t="array" ref="A4167">IFNA(index(PlayerValues!A:A,match(IFNA(vlookup(B4167,'Special Names'!A:B,2,FALSE),B4167),PlayerValues!E:E,0)),"N/A")</f>
        <v>16583</v>
      </c>
      <c r="B4167" s="4" t="s">
        <v>493</v>
      </c>
      <c r="C4167" s="4" t="s">
        <v>283</v>
      </c>
      <c r="D4167" s="94">
        <v>2798.0</v>
      </c>
    </row>
    <row r="4168">
      <c r="A4168" s="40" t="str">
        <f t="array" ref="A4168">IFNA(index(PlayerValues!A:A,match(IFNA(vlookup(B4168,'Special Names'!A:B,2,FALSE),B4168),PlayerValues!E:E,0)),"N/A")</f>
        <v>N/A</v>
      </c>
      <c r="B4168" s="4" t="s">
        <v>85</v>
      </c>
      <c r="C4168" s="4" t="s">
        <v>325</v>
      </c>
      <c r="D4168" s="94">
        <v>2797.0</v>
      </c>
    </row>
    <row r="4169">
      <c r="A4169" s="40" t="str">
        <f t="array" ref="A4169">IFNA(index(PlayerValues!A:A,match(IFNA(vlookup(B4169,'Special Names'!A:B,2,FALSE),B4169),PlayerValues!E:E,0)),"N/A")</f>
        <v>N/A</v>
      </c>
      <c r="B4169" s="4" t="s">
        <v>110</v>
      </c>
      <c r="C4169" s="4" t="s">
        <v>325</v>
      </c>
      <c r="D4169" s="94">
        <v>2779.0</v>
      </c>
    </row>
    <row r="4170">
      <c r="A4170" s="40">
        <f t="array" ref="A4170">IFNA(index(PlayerValues!A:A,match(IFNA(vlookup(B4170,'Special Names'!A:B,2,FALSE),B4170),PlayerValues!E:E,0)),"N/A")</f>
        <v>16723</v>
      </c>
      <c r="B4170" s="4" t="s">
        <v>502</v>
      </c>
      <c r="C4170" s="4" t="s">
        <v>298</v>
      </c>
      <c r="D4170" s="94">
        <v>3188.0</v>
      </c>
    </row>
    <row r="4171">
      <c r="A4171" s="40">
        <f t="array" ref="A4171">IFNA(index(PlayerValues!A:A,match(IFNA(vlookup(B4171,'Special Names'!A:B,2,FALSE),B4171),PlayerValues!E:E,0)),"N/A")</f>
        <v>17047</v>
      </c>
      <c r="B4171" s="4" t="s">
        <v>510</v>
      </c>
      <c r="C4171" s="4" t="s">
        <v>278</v>
      </c>
      <c r="D4171" s="94">
        <v>2767.0</v>
      </c>
    </row>
    <row r="4172">
      <c r="A4172" s="40">
        <f t="array" ref="A4172">IFNA(index(PlayerValues!A:A,match(IFNA(vlookup(B4172,'Special Names'!A:B,2,FALSE),B4172),PlayerValues!E:E,0)),"N/A")</f>
        <v>17107</v>
      </c>
      <c r="B4172" s="4" t="s">
        <v>478</v>
      </c>
      <c r="C4172" s="4" t="s">
        <v>298</v>
      </c>
      <c r="D4172" s="94">
        <v>3164.0</v>
      </c>
    </row>
    <row r="4173">
      <c r="A4173" s="40">
        <f t="array" ref="A4173">IFNA(index(PlayerValues!A:A,match(IFNA(vlookup(B4173,'Special Names'!A:B,2,FALSE),B4173),PlayerValues!E:E,0)),"N/A")</f>
        <v>13671</v>
      </c>
      <c r="B4173" s="4" t="s">
        <v>506</v>
      </c>
      <c r="C4173" s="4" t="s">
        <v>298</v>
      </c>
      <c r="D4173" s="94">
        <v>3164.0</v>
      </c>
    </row>
    <row r="4174">
      <c r="A4174" s="40">
        <f t="array" ref="A4174">IFNA(index(PlayerValues!A:A,match(IFNA(vlookup(B4174,'Special Names'!A:B,2,FALSE),B4174),PlayerValues!E:E,0)),"N/A")</f>
        <v>15721</v>
      </c>
      <c r="B4174" s="4" t="s">
        <v>504</v>
      </c>
      <c r="C4174" s="4" t="s">
        <v>278</v>
      </c>
      <c r="D4174" s="94">
        <v>2745.0</v>
      </c>
    </row>
    <row r="4175">
      <c r="A4175" s="40">
        <f t="array" ref="A4175">IFNA(index(PlayerValues!A:A,match(IFNA(vlookup(B4175,'Special Names'!A:B,2,FALSE),B4175),PlayerValues!E:E,0)),"N/A")</f>
        <v>17053</v>
      </c>
      <c r="B4175" s="4" t="s">
        <v>484</v>
      </c>
      <c r="C4175" s="4" t="s">
        <v>278</v>
      </c>
      <c r="D4175" s="94">
        <v>2735.0</v>
      </c>
    </row>
    <row r="4176">
      <c r="A4176" s="40">
        <f t="array" ref="A4176">IFNA(index(PlayerValues!A:A,match(IFNA(vlookup(B4176,'Special Names'!A:B,2,FALSE),B4176),PlayerValues!E:E,0)),"N/A")</f>
        <v>17157</v>
      </c>
      <c r="B4176" s="4" t="s">
        <v>524</v>
      </c>
      <c r="C4176" s="4" t="s">
        <v>287</v>
      </c>
      <c r="D4176" s="94">
        <v>2728.0</v>
      </c>
    </row>
    <row r="4177">
      <c r="A4177" s="40">
        <f t="array" ref="A4177">IFNA(index(PlayerValues!A:A,match(IFNA(vlookup(B4177,'Special Names'!A:B,2,FALSE),B4177),PlayerValues!E:E,0)),"N/A")</f>
        <v>15972</v>
      </c>
      <c r="B4177" s="4" t="s">
        <v>469</v>
      </c>
      <c r="C4177" s="4" t="s">
        <v>278</v>
      </c>
      <c r="D4177" s="94">
        <v>2714.0</v>
      </c>
    </row>
    <row r="4178">
      <c r="A4178" s="40">
        <f t="array" ref="A4178">IFNA(index(PlayerValues!A:A,match(IFNA(vlookup(B4178,'Special Names'!A:B,2,FALSE),B4178),PlayerValues!E:E,0)),"N/A")</f>
        <v>14138</v>
      </c>
      <c r="B4178" s="4" t="s">
        <v>531</v>
      </c>
      <c r="C4178" s="4" t="s">
        <v>298</v>
      </c>
      <c r="D4178" s="94">
        <v>3112.0</v>
      </c>
    </row>
    <row r="4179">
      <c r="A4179" s="40">
        <f t="array" ref="A4179">IFNA(index(PlayerValues!A:A,match(IFNA(vlookup(B4179,'Special Names'!A:B,2,FALSE),B4179),PlayerValues!E:E,0)),"N/A")</f>
        <v>15712</v>
      </c>
      <c r="B4179" s="4" t="s">
        <v>488</v>
      </c>
      <c r="C4179" s="4" t="s">
        <v>278</v>
      </c>
      <c r="D4179" s="94">
        <v>2689.0</v>
      </c>
    </row>
    <row r="4180">
      <c r="A4180" s="40">
        <f t="array" ref="A4180">IFNA(index(PlayerValues!A:A,match(IFNA(vlookup(B4180,'Special Names'!A:B,2,FALSE),B4180),PlayerValues!E:E,0)),"N/A")</f>
        <v>17505</v>
      </c>
      <c r="B4180" s="4" t="s">
        <v>528</v>
      </c>
      <c r="C4180" s="4" t="s">
        <v>287</v>
      </c>
      <c r="D4180" s="94">
        <v>2686.0</v>
      </c>
    </row>
    <row r="4181">
      <c r="A4181" s="40">
        <f t="array" ref="A4181">IFNA(index(PlayerValues!A:A,match(IFNA(vlookup(B4181,'Special Names'!A:B,2,FALSE),B4181),PlayerValues!E:E,0)),"N/A")</f>
        <v>17507</v>
      </c>
      <c r="B4181" s="4" t="s">
        <v>495</v>
      </c>
      <c r="C4181" s="4" t="s">
        <v>287</v>
      </c>
      <c r="D4181" s="94">
        <v>2684.0</v>
      </c>
    </row>
    <row r="4182">
      <c r="A4182" s="40">
        <f t="array" ref="A4182">IFNA(index(PlayerValues!A:A,match(IFNA(vlookup(B4182,'Special Names'!A:B,2,FALSE),B4182),PlayerValues!E:E,0)),"N/A")</f>
        <v>17031</v>
      </c>
      <c r="B4182" s="4" t="s">
        <v>535</v>
      </c>
      <c r="C4182" s="4" t="s">
        <v>283</v>
      </c>
      <c r="D4182" s="94">
        <v>2678.0</v>
      </c>
    </row>
    <row r="4183">
      <c r="A4183" s="40">
        <f t="array" ref="A4183">IFNA(index(PlayerValues!A:A,match(IFNA(vlookup(B4183,'Special Names'!A:B,2,FALSE),B4183),PlayerValues!E:E,0)),"N/A")</f>
        <v>17072</v>
      </c>
      <c r="B4183" s="4" t="s">
        <v>508</v>
      </c>
      <c r="C4183" s="4" t="s">
        <v>287</v>
      </c>
      <c r="D4183" s="94">
        <v>2678.0</v>
      </c>
    </row>
    <row r="4184">
      <c r="A4184" s="40">
        <f t="array" ref="A4184">IFNA(index(PlayerValues!A:A,match(IFNA(vlookup(B4184,'Special Names'!A:B,2,FALSE),B4184),PlayerValues!E:E,0)),"N/A")</f>
        <v>15241</v>
      </c>
      <c r="B4184" s="4" t="s">
        <v>546</v>
      </c>
      <c r="C4184" s="4" t="s">
        <v>283</v>
      </c>
      <c r="D4184" s="94">
        <v>2671.0</v>
      </c>
    </row>
    <row r="4185">
      <c r="A4185" s="40">
        <f t="array" ref="A4185">IFNA(index(PlayerValues!A:A,match(IFNA(vlookup(B4185,'Special Names'!A:B,2,FALSE),B4185),PlayerValues!E:E,0)),"N/A")</f>
        <v>14778</v>
      </c>
      <c r="B4185" s="4" t="s">
        <v>564</v>
      </c>
      <c r="C4185" s="4" t="s">
        <v>283</v>
      </c>
      <c r="D4185" s="94">
        <v>2664.0</v>
      </c>
    </row>
    <row r="4186">
      <c r="A4186" s="40">
        <f t="array" ref="A4186">IFNA(index(PlayerValues!A:A,match(IFNA(vlookup(B4186,'Special Names'!A:B,2,FALSE),B4186),PlayerValues!E:E,0)),"N/A")</f>
        <v>13674</v>
      </c>
      <c r="B4186" s="4" t="s">
        <v>511</v>
      </c>
      <c r="C4186" s="4" t="s">
        <v>298</v>
      </c>
      <c r="D4186" s="94">
        <v>3072.0</v>
      </c>
    </row>
    <row r="4187">
      <c r="A4187" s="40">
        <f t="array" ref="A4187">IFNA(index(PlayerValues!A:A,match(IFNA(vlookup(B4187,'Special Names'!A:B,2,FALSE),B4187),PlayerValues!E:E,0)),"N/A")</f>
        <v>16626</v>
      </c>
      <c r="B4187" s="4" t="s">
        <v>515</v>
      </c>
      <c r="C4187" s="4" t="s">
        <v>287</v>
      </c>
      <c r="D4187" s="94">
        <v>2647.0</v>
      </c>
    </row>
    <row r="4188">
      <c r="A4188" s="40">
        <f t="array" ref="A4188">IFNA(index(PlayerValues!A:A,match(IFNA(vlookup(B4188,'Special Names'!A:B,2,FALSE),B4188),PlayerValues!E:E,0)),"N/A")</f>
        <v>17080</v>
      </c>
      <c r="B4188" s="4" t="s">
        <v>532</v>
      </c>
      <c r="C4188" s="4" t="s">
        <v>287</v>
      </c>
      <c r="D4188" s="94">
        <v>2644.0</v>
      </c>
    </row>
    <row r="4189">
      <c r="A4189" s="40">
        <f t="array" ref="A4189">IFNA(index(PlayerValues!A:A,match(IFNA(vlookup(B4189,'Special Names'!A:B,2,FALSE),B4189),PlayerValues!E:E,0)),"N/A")</f>
        <v>17105</v>
      </c>
      <c r="B4189" s="4" t="s">
        <v>525</v>
      </c>
      <c r="C4189" s="4" t="s">
        <v>298</v>
      </c>
      <c r="D4189" s="94">
        <v>3053.0</v>
      </c>
    </row>
    <row r="4190">
      <c r="A4190" s="40">
        <f t="array" ref="A4190">IFNA(index(PlayerValues!A:A,match(IFNA(vlookup(B4190,'Special Names'!A:B,2,FALSE),B4190),PlayerValues!E:E,0)),"N/A")</f>
        <v>16174</v>
      </c>
      <c r="B4190" s="4" t="s">
        <v>505</v>
      </c>
      <c r="C4190" s="4" t="s">
        <v>278</v>
      </c>
      <c r="D4190" s="94">
        <v>2640.0</v>
      </c>
    </row>
    <row r="4191">
      <c r="A4191" s="40">
        <f t="array" ref="A4191">IFNA(index(PlayerValues!A:A,match(IFNA(vlookup(B4191,'Special Names'!A:B,2,FALSE),B4191),PlayerValues!E:E,0)),"N/A")</f>
        <v>16584</v>
      </c>
      <c r="B4191" s="4" t="s">
        <v>569</v>
      </c>
      <c r="C4191" s="4" t="s">
        <v>283</v>
      </c>
      <c r="D4191" s="94">
        <v>2633.0</v>
      </c>
    </row>
    <row r="4192">
      <c r="A4192" s="40">
        <f t="array" ref="A4192">IFNA(index(PlayerValues!A:A,match(IFNA(vlookup(B4192,'Special Names'!A:B,2,FALSE),B4192),PlayerValues!E:E,0)),"N/A")</f>
        <v>11244</v>
      </c>
      <c r="B4192" s="4" t="s">
        <v>519</v>
      </c>
      <c r="C4192" s="4" t="s">
        <v>298</v>
      </c>
      <c r="D4192" s="94">
        <v>3040.0</v>
      </c>
    </row>
    <row r="4193">
      <c r="A4193" s="40">
        <f t="array" ref="A4193">IFNA(index(PlayerValues!A:A,match(IFNA(vlookup(B4193,'Special Names'!A:B,2,FALSE),B4193),PlayerValues!E:E,0)),"N/A")</f>
        <v>17520</v>
      </c>
      <c r="B4193" s="4" t="s">
        <v>518</v>
      </c>
      <c r="C4193" s="4" t="s">
        <v>287</v>
      </c>
      <c r="D4193" s="94">
        <v>2616.0</v>
      </c>
    </row>
    <row r="4194">
      <c r="A4194" s="40">
        <f t="array" ref="A4194">IFNA(index(PlayerValues!A:A,match(IFNA(vlookup(B4194,'Special Names'!A:B,2,FALSE),B4194),PlayerValues!E:E,0)),"N/A")</f>
        <v>16596</v>
      </c>
      <c r="B4194" s="4" t="s">
        <v>501</v>
      </c>
      <c r="C4194" s="4" t="s">
        <v>278</v>
      </c>
      <c r="D4194" s="94">
        <v>2612.0</v>
      </c>
    </row>
    <row r="4195">
      <c r="A4195" s="40">
        <f t="array" ref="A4195">IFNA(index(PlayerValues!A:A,match(IFNA(vlookup(B4195,'Special Names'!A:B,2,FALSE),B4195),PlayerValues!E:E,0)),"N/A")</f>
        <v>16747</v>
      </c>
      <c r="B4195" s="4" t="s">
        <v>555</v>
      </c>
      <c r="C4195" s="4" t="s">
        <v>278</v>
      </c>
      <c r="D4195" s="94">
        <v>2611.0</v>
      </c>
    </row>
    <row r="4196">
      <c r="A4196" s="40">
        <f t="array" ref="A4196">IFNA(index(PlayerValues!A:A,match(IFNA(vlookup(B4196,'Special Names'!A:B,2,FALSE),B4196),PlayerValues!E:E,0)),"N/A")</f>
        <v>17098</v>
      </c>
      <c r="B4196" s="4" t="s">
        <v>533</v>
      </c>
      <c r="C4196" s="4" t="s">
        <v>287</v>
      </c>
      <c r="D4196" s="94">
        <v>2611.0</v>
      </c>
    </row>
    <row r="4197">
      <c r="A4197" s="40">
        <f t="array" ref="A4197">IFNA(index(PlayerValues!A:A,match(IFNA(vlookup(B4197,'Special Names'!A:B,2,FALSE),B4197),PlayerValues!E:E,0)),"N/A")</f>
        <v>17511</v>
      </c>
      <c r="B4197" s="4" t="s">
        <v>485</v>
      </c>
      <c r="C4197" s="4" t="s">
        <v>287</v>
      </c>
      <c r="D4197" s="94">
        <v>2601.0</v>
      </c>
    </row>
    <row r="4198">
      <c r="A4198" s="40">
        <f t="array" ref="A4198">IFNA(index(PlayerValues!A:A,match(IFNA(vlookup(B4198,'Special Names'!A:B,2,FALSE),B4198),PlayerValues!E:E,0)),"N/A")</f>
        <v>16164</v>
      </c>
      <c r="B4198" s="4" t="s">
        <v>512</v>
      </c>
      <c r="C4198" s="4" t="s">
        <v>278</v>
      </c>
      <c r="D4198" s="94">
        <v>2598.0</v>
      </c>
    </row>
    <row r="4199">
      <c r="A4199" s="40">
        <f t="array" ref="A4199">IFNA(index(PlayerValues!A:A,match(IFNA(vlookup(B4199,'Special Names'!A:B,2,FALSE),B4199),PlayerValues!E:E,0)),"N/A")</f>
        <v>17466</v>
      </c>
      <c r="B4199" s="4" t="s">
        <v>492</v>
      </c>
      <c r="C4199" s="4" t="s">
        <v>283</v>
      </c>
      <c r="D4199" s="94">
        <v>2596.0</v>
      </c>
    </row>
    <row r="4200">
      <c r="A4200" s="40">
        <f t="array" ref="A4200">IFNA(index(PlayerValues!A:A,match(IFNA(vlookup(B4200,'Special Names'!A:B,2,FALSE),B4200),PlayerValues!E:E,0)),"N/A")</f>
        <v>16178</v>
      </c>
      <c r="B4200" s="4" t="s">
        <v>507</v>
      </c>
      <c r="C4200" s="4" t="s">
        <v>278</v>
      </c>
      <c r="D4200" s="94">
        <v>2590.0</v>
      </c>
    </row>
    <row r="4201">
      <c r="A4201" s="40">
        <f t="array" ref="A4201">IFNA(index(PlayerValues!A:A,match(IFNA(vlookup(B4201,'Special Names'!A:B,2,FALSE),B4201),PlayerValues!E:E,0)),"N/A")</f>
        <v>12616</v>
      </c>
      <c r="B4201" s="4" t="s">
        <v>529</v>
      </c>
      <c r="C4201" s="4" t="s">
        <v>283</v>
      </c>
      <c r="D4201" s="94">
        <v>2578.0</v>
      </c>
    </row>
    <row r="4202">
      <c r="A4202" s="40">
        <f t="array" ref="A4202">IFNA(index(PlayerValues!A:A,match(IFNA(vlookup(B4202,'Special Names'!A:B,2,FALSE),B4202),PlayerValues!E:E,0)),"N/A")</f>
        <v>16204</v>
      </c>
      <c r="B4202" s="4" t="s">
        <v>530</v>
      </c>
      <c r="C4202" s="4" t="s">
        <v>287</v>
      </c>
      <c r="D4202" s="94">
        <v>2578.0</v>
      </c>
    </row>
    <row r="4203">
      <c r="A4203" s="40" t="str">
        <f t="array" ref="A4203">IFNA(index(PlayerValues!A:A,match(IFNA(vlookup(B4203,'Special Names'!A:B,2,FALSE),B4203),PlayerValues!E:E,0)),"N/A")</f>
        <v>N/A</v>
      </c>
      <c r="B4203" s="4" t="s">
        <v>98</v>
      </c>
      <c r="C4203" s="4" t="s">
        <v>325</v>
      </c>
      <c r="D4203" s="94">
        <v>2575.0</v>
      </c>
    </row>
    <row r="4204">
      <c r="A4204" s="40">
        <f t="array" ref="A4204">IFNA(index(PlayerValues!A:A,match(IFNA(vlookup(B4204,'Special Names'!A:B,2,FALSE),B4204),PlayerValues!E:E,0)),"N/A")</f>
        <v>15786</v>
      </c>
      <c r="B4204" s="4" t="s">
        <v>521</v>
      </c>
      <c r="C4204" s="4" t="s">
        <v>287</v>
      </c>
      <c r="D4204" s="94">
        <v>2571.0</v>
      </c>
    </row>
    <row r="4205">
      <c r="A4205" s="40">
        <f t="array" ref="A4205">IFNA(index(PlayerValues!A:A,match(IFNA(vlookup(B4205,'Special Names'!A:B,2,FALSE),B4205),PlayerValues!E:E,0)),"N/A")</f>
        <v>16287</v>
      </c>
      <c r="B4205" s="4" t="s">
        <v>516</v>
      </c>
      <c r="C4205" s="4" t="s">
        <v>287</v>
      </c>
      <c r="D4205" s="94">
        <v>2563.0</v>
      </c>
    </row>
    <row r="4206">
      <c r="A4206" s="40">
        <f t="array" ref="A4206">IFNA(index(PlayerValues!A:A,match(IFNA(vlookup(B4206,'Special Names'!A:B,2,FALSE),B4206),PlayerValues!E:E,0)),"N/A")</f>
        <v>16684</v>
      </c>
      <c r="B4206" s="4" t="s">
        <v>500</v>
      </c>
      <c r="C4206" s="4" t="s">
        <v>287</v>
      </c>
      <c r="D4206" s="94">
        <v>2563.0</v>
      </c>
    </row>
    <row r="4207">
      <c r="A4207" s="40">
        <f t="array" ref="A4207">IFNA(index(PlayerValues!A:A,match(IFNA(vlookup(B4207,'Special Names'!A:B,2,FALSE),B4207),PlayerValues!E:E,0)),"N/A")</f>
        <v>16165</v>
      </c>
      <c r="B4207" s="4" t="s">
        <v>520</v>
      </c>
      <c r="C4207" s="4" t="s">
        <v>278</v>
      </c>
      <c r="D4207" s="94">
        <v>2557.0</v>
      </c>
    </row>
    <row r="4208">
      <c r="A4208" s="40">
        <f t="array" ref="A4208">IFNA(index(PlayerValues!A:A,match(IFNA(vlookup(B4208,'Special Names'!A:B,2,FALSE),B4208),PlayerValues!E:E,0)),"N/A")</f>
        <v>16193</v>
      </c>
      <c r="B4208" s="4" t="s">
        <v>487</v>
      </c>
      <c r="C4208" s="4" t="s">
        <v>287</v>
      </c>
      <c r="D4208" s="94">
        <v>2549.0</v>
      </c>
    </row>
    <row r="4209">
      <c r="A4209" s="40">
        <f t="array" ref="A4209">IFNA(index(PlayerValues!A:A,match(IFNA(vlookup(B4209,'Special Names'!A:B,2,FALSE),B4209),PlayerValues!E:E,0)),"N/A")</f>
        <v>16619</v>
      </c>
      <c r="B4209" s="4" t="s">
        <v>538</v>
      </c>
      <c r="C4209" s="4" t="s">
        <v>287</v>
      </c>
      <c r="D4209" s="94">
        <v>2527.0</v>
      </c>
    </row>
    <row r="4210">
      <c r="A4210" s="40">
        <f t="array" ref="A4210">IFNA(index(PlayerValues!A:A,match(IFNA(vlookup(B4210,'Special Names'!A:B,2,FALSE),B4210),PlayerValues!E:E,0)),"N/A")</f>
        <v>14833</v>
      </c>
      <c r="B4210" s="4" t="s">
        <v>553</v>
      </c>
      <c r="C4210" s="4" t="s">
        <v>287</v>
      </c>
      <c r="D4210" s="94">
        <v>2511.0</v>
      </c>
    </row>
    <row r="4211">
      <c r="A4211" s="40">
        <f t="array" ref="A4211">IFNA(index(PlayerValues!A:A,match(IFNA(vlookup(B4211,'Special Names'!A:B,2,FALSE),B4211),PlayerValues!E:E,0)),"N/A")</f>
        <v>17108</v>
      </c>
      <c r="B4211" s="4" t="s">
        <v>542</v>
      </c>
      <c r="C4211" s="4" t="s">
        <v>298</v>
      </c>
      <c r="D4211" s="94">
        <v>2916.0</v>
      </c>
    </row>
    <row r="4212">
      <c r="A4212" s="40" t="str">
        <f t="array" ref="A4212">IFNA(index(PlayerValues!A:A,match(IFNA(vlookup(B4212,'Special Names'!A:B,2,FALSE),B4212),PlayerValues!E:E,0)),"N/A")</f>
        <v>N/A</v>
      </c>
      <c r="B4212" s="4" t="s">
        <v>99</v>
      </c>
      <c r="C4212" s="4" t="s">
        <v>325</v>
      </c>
      <c r="D4212" s="94">
        <v>2499.0</v>
      </c>
    </row>
    <row r="4213">
      <c r="A4213" s="40">
        <f t="array" ref="A4213">IFNA(index(PlayerValues!A:A,match(IFNA(vlookup(B4213,'Special Names'!A:B,2,FALSE),B4213),PlayerValues!E:E,0)),"N/A")</f>
        <v>17478</v>
      </c>
      <c r="B4213" s="4" t="s">
        <v>527</v>
      </c>
      <c r="C4213" s="4" t="s">
        <v>278</v>
      </c>
      <c r="D4213" s="94">
        <v>2496.0</v>
      </c>
    </row>
    <row r="4214">
      <c r="A4214" s="40">
        <f t="array" ref="A4214">IFNA(index(PlayerValues!A:A,match(IFNA(vlookup(B4214,'Special Names'!A:B,2,FALSE),B4214),PlayerValues!E:E,0)),"N/A")</f>
        <v>17073</v>
      </c>
      <c r="B4214" s="4" t="s">
        <v>547</v>
      </c>
      <c r="C4214" s="4" t="s">
        <v>287</v>
      </c>
      <c r="D4214" s="94">
        <v>2474.0</v>
      </c>
    </row>
    <row r="4215">
      <c r="A4215" s="40">
        <f t="array" ref="A4215">IFNA(index(PlayerValues!A:A,match(IFNA(vlookup(B4215,'Special Names'!A:B,2,FALSE),B4215),PlayerValues!E:E,0)),"N/A")</f>
        <v>17082</v>
      </c>
      <c r="B4215" s="4" t="s">
        <v>498</v>
      </c>
      <c r="C4215" s="4" t="s">
        <v>287</v>
      </c>
      <c r="D4215" s="94">
        <v>2471.0</v>
      </c>
    </row>
    <row r="4216">
      <c r="A4216" s="40">
        <f t="array" ref="A4216">IFNA(index(PlayerValues!A:A,match(IFNA(vlookup(B4216,'Special Names'!A:B,2,FALSE),B4216),PlayerValues!E:E,0)),"N/A")</f>
        <v>17474</v>
      </c>
      <c r="B4216" s="4" t="s">
        <v>513</v>
      </c>
      <c r="C4216" s="4" t="s">
        <v>278</v>
      </c>
      <c r="D4216" s="94">
        <v>2469.0</v>
      </c>
    </row>
    <row r="4217">
      <c r="A4217" s="40">
        <f t="array" ref="A4217">IFNA(index(PlayerValues!A:A,match(IFNA(vlookup(B4217,'Special Names'!A:B,2,FALSE),B4217),PlayerValues!E:E,0)),"N/A")</f>
        <v>17517</v>
      </c>
      <c r="B4217" s="4" t="s">
        <v>454</v>
      </c>
      <c r="C4217" s="4" t="s">
        <v>287</v>
      </c>
      <c r="D4217" s="94">
        <v>2445.0</v>
      </c>
    </row>
    <row r="4218">
      <c r="A4218" s="40">
        <f t="array" ref="A4218">IFNA(index(PlayerValues!A:A,match(IFNA(vlookup(B4218,'Special Names'!A:B,2,FALSE),B4218),PlayerValues!E:E,0)),"N/A")</f>
        <v>14860</v>
      </c>
      <c r="B4218" s="4" t="s">
        <v>554</v>
      </c>
      <c r="C4218" s="4" t="s">
        <v>287</v>
      </c>
      <c r="D4218" s="94">
        <v>2440.0</v>
      </c>
    </row>
    <row r="4219">
      <c r="A4219" s="40">
        <f t="array" ref="A4219">IFNA(index(PlayerValues!A:A,match(IFNA(vlookup(B4219,'Special Names'!A:B,2,FALSE),B4219),PlayerValues!E:E,0)),"N/A")</f>
        <v>16195</v>
      </c>
      <c r="B4219" s="4" t="s">
        <v>509</v>
      </c>
      <c r="C4219" s="4" t="s">
        <v>287</v>
      </c>
      <c r="D4219" s="94">
        <v>2435.0</v>
      </c>
    </row>
    <row r="4220">
      <c r="A4220" s="40">
        <f t="array" ref="A4220">IFNA(index(PlayerValues!A:A,match(IFNA(vlookup(B4220,'Special Names'!A:B,2,FALSE),B4220),PlayerValues!E:E,0)),"N/A")</f>
        <v>17508</v>
      </c>
      <c r="B4220" s="4" t="s">
        <v>534</v>
      </c>
      <c r="C4220" s="4" t="s">
        <v>287</v>
      </c>
      <c r="D4220" s="94">
        <v>2428.0</v>
      </c>
    </row>
    <row r="4221">
      <c r="A4221" s="40">
        <f t="array" ref="A4221">IFNA(index(PlayerValues!A:A,match(IFNA(vlookup(B4221,'Special Names'!A:B,2,FALSE),B4221),PlayerValues!E:E,0)),"N/A")</f>
        <v>17509</v>
      </c>
      <c r="B4221" s="4" t="s">
        <v>551</v>
      </c>
      <c r="C4221" s="4" t="s">
        <v>287</v>
      </c>
      <c r="D4221" s="94">
        <v>2413.0</v>
      </c>
    </row>
    <row r="4222">
      <c r="A4222" s="40">
        <f t="array" ref="A4222">IFNA(index(PlayerValues!A:A,match(IFNA(vlookup(B4222,'Special Names'!A:B,2,FALSE),B4222),PlayerValues!E:E,0)),"N/A")</f>
        <v>17078</v>
      </c>
      <c r="B4222" s="4" t="s">
        <v>543</v>
      </c>
      <c r="C4222" s="4" t="s">
        <v>287</v>
      </c>
      <c r="D4222" s="94">
        <v>2394.0</v>
      </c>
    </row>
    <row r="4223">
      <c r="A4223" s="40">
        <f t="array" ref="A4223">IFNA(index(PlayerValues!A:A,match(IFNA(vlookup(B4223,'Special Names'!A:B,2,FALSE),B4223),PlayerValues!E:E,0)),"N/A")</f>
        <v>15716</v>
      </c>
      <c r="B4223" s="4" t="s">
        <v>545</v>
      </c>
      <c r="C4223" s="4" t="s">
        <v>278</v>
      </c>
      <c r="D4223" s="94">
        <v>2385.0</v>
      </c>
    </row>
    <row r="4224">
      <c r="A4224" s="40">
        <f t="array" ref="A4224">IFNA(index(PlayerValues!A:A,match(IFNA(vlookup(B4224,'Special Names'!A:B,2,FALSE),B4224),PlayerValues!E:E,0)),"N/A")</f>
        <v>16617</v>
      </c>
      <c r="B4224" s="4" t="s">
        <v>541</v>
      </c>
      <c r="C4224" s="4" t="s">
        <v>287</v>
      </c>
      <c r="D4224" s="94">
        <v>2380.0</v>
      </c>
    </row>
    <row r="4225">
      <c r="A4225" s="40">
        <f t="array" ref="A4225">IFNA(index(PlayerValues!A:A,match(IFNA(vlookup(B4225,'Special Names'!A:B,2,FALSE),B4225),PlayerValues!E:E,0)),"N/A")</f>
        <v>12676</v>
      </c>
      <c r="B4225" s="4" t="s">
        <v>537</v>
      </c>
      <c r="C4225" s="4" t="s">
        <v>298</v>
      </c>
      <c r="D4225" s="94">
        <v>2762.0</v>
      </c>
    </row>
    <row r="4226">
      <c r="A4226" s="40" t="str">
        <f t="array" ref="A4226">IFNA(index(PlayerValues!A:A,match(IFNA(vlookup(B4226,'Special Names'!A:B,2,FALSE),B4226),PlayerValues!E:E,0)),"N/A")</f>
        <v>N/A</v>
      </c>
      <c r="B4226" s="4" t="s">
        <v>86</v>
      </c>
      <c r="C4226" s="4" t="s">
        <v>325</v>
      </c>
      <c r="D4226" s="94">
        <v>2359.0</v>
      </c>
    </row>
    <row r="4227">
      <c r="A4227" s="40">
        <f t="array" ref="A4227">IFNA(index(PlayerValues!A:A,match(IFNA(vlookup(B4227,'Special Names'!A:B,2,FALSE),B4227),PlayerValues!E:E,0)),"N/A")</f>
        <v>13319</v>
      </c>
      <c r="B4227" s="4" t="s">
        <v>549</v>
      </c>
      <c r="C4227" s="4" t="s">
        <v>278</v>
      </c>
      <c r="D4227" s="94">
        <v>2356.0</v>
      </c>
    </row>
    <row r="4228">
      <c r="A4228" s="40">
        <f t="array" ref="A4228">IFNA(index(PlayerValues!A:A,match(IFNA(vlookup(B4228,'Special Names'!A:B,2,FALSE),B4228),PlayerValues!E:E,0)),"N/A")</f>
        <v>17106</v>
      </c>
      <c r="B4228" s="4" t="s">
        <v>550</v>
      </c>
      <c r="C4228" s="4" t="s">
        <v>298</v>
      </c>
      <c r="D4228" s="94">
        <v>2726.0</v>
      </c>
    </row>
    <row r="4229">
      <c r="A4229" s="40">
        <f t="array" ref="A4229">IFNA(index(PlayerValues!A:A,match(IFNA(vlookup(B4229,'Special Names'!A:B,2,FALSE),B4229),PlayerValues!E:E,0)),"N/A")</f>
        <v>14861</v>
      </c>
      <c r="B4229" s="4" t="s">
        <v>523</v>
      </c>
      <c r="C4229" s="4" t="s">
        <v>298</v>
      </c>
      <c r="D4229" s="94">
        <v>2715.0</v>
      </c>
    </row>
    <row r="4230">
      <c r="A4230" s="40">
        <f t="array" ref="A4230">IFNA(index(PlayerValues!A:A,match(IFNA(vlookup(B4230,'Special Names'!A:B,2,FALSE),B4230),PlayerValues!E:E,0)),"N/A")</f>
        <v>15331</v>
      </c>
      <c r="B4230" s="4" t="s">
        <v>560</v>
      </c>
      <c r="C4230" s="4" t="s">
        <v>298</v>
      </c>
      <c r="D4230" s="94">
        <v>2700.0</v>
      </c>
    </row>
    <row r="4231">
      <c r="A4231" s="40">
        <f t="array" ref="A4231">IFNA(index(PlayerValues!A:A,match(IFNA(vlookup(B4231,'Special Names'!A:B,2,FALSE),B4231),PlayerValues!E:E,0)),"N/A")</f>
        <v>15802</v>
      </c>
      <c r="B4231" s="4" t="s">
        <v>566</v>
      </c>
      <c r="C4231" s="4" t="s">
        <v>298</v>
      </c>
      <c r="D4231" s="94">
        <v>2697.0</v>
      </c>
    </row>
    <row r="4232">
      <c r="A4232" s="40" t="str">
        <f t="array" ref="A4232">IFNA(index(PlayerValues!A:A,match(IFNA(vlookup(B4232,'Special Names'!A:B,2,FALSE),B4232),PlayerValues!E:E,0)),"N/A")</f>
        <v>N/A</v>
      </c>
      <c r="B4232" s="4" t="s">
        <v>100</v>
      </c>
      <c r="C4232" s="4" t="s">
        <v>325</v>
      </c>
      <c r="D4232" s="94">
        <v>2300.0</v>
      </c>
    </row>
    <row r="4233">
      <c r="A4233" s="40">
        <f t="array" ref="A4233">IFNA(index(PlayerValues!A:A,match(IFNA(vlookup(B4233,'Special Names'!A:B,2,FALSE),B4233),PlayerValues!E:E,0)),"N/A")</f>
        <v>15797</v>
      </c>
      <c r="B4233" s="4" t="s">
        <v>556</v>
      </c>
      <c r="C4233" s="4" t="s">
        <v>298</v>
      </c>
      <c r="D4233" s="94">
        <v>2695.0</v>
      </c>
    </row>
    <row r="4234">
      <c r="A4234" s="40">
        <f t="array" ref="A4234">IFNA(index(PlayerValues!A:A,match(IFNA(vlookup(B4234,'Special Names'!A:B,2,FALSE),B4234),PlayerValues!E:E,0)),"N/A")</f>
        <v>17547</v>
      </c>
      <c r="B4234" s="4" t="s">
        <v>552</v>
      </c>
      <c r="C4234" s="4" t="s">
        <v>298</v>
      </c>
      <c r="D4234" s="94">
        <v>2680.0</v>
      </c>
    </row>
    <row r="4235">
      <c r="A4235" s="40">
        <f t="array" ref="A4235">IFNA(index(PlayerValues!A:A,match(IFNA(vlookup(B4235,'Special Names'!A:B,2,FALSE),B4235),PlayerValues!E:E,0)),"N/A")</f>
        <v>17055</v>
      </c>
      <c r="B4235" s="4" t="s">
        <v>565</v>
      </c>
      <c r="C4235" s="4" t="s">
        <v>278</v>
      </c>
      <c r="D4235" s="94">
        <v>2283.0</v>
      </c>
    </row>
    <row r="4236">
      <c r="A4236" s="40">
        <f t="array" ref="A4236">IFNA(index(PlayerValues!A:A,match(IFNA(vlookup(B4236,'Special Names'!A:B,2,FALSE),B4236),PlayerValues!E:E,0)),"N/A")</f>
        <v>17171</v>
      </c>
      <c r="B4236" s="4" t="s">
        <v>561</v>
      </c>
      <c r="C4236" s="4" t="s">
        <v>287</v>
      </c>
      <c r="D4236" s="94">
        <v>2279.0</v>
      </c>
    </row>
    <row r="4237">
      <c r="A4237" s="40">
        <f t="array" ref="A4237">IFNA(index(PlayerValues!A:A,match(IFNA(vlookup(B4237,'Special Names'!A:B,2,FALSE),B4237),PlayerValues!E:E,0)),"N/A")</f>
        <v>16166</v>
      </c>
      <c r="B4237" s="4" t="s">
        <v>567</v>
      </c>
      <c r="C4237" s="4" t="s">
        <v>278</v>
      </c>
      <c r="D4237" s="94">
        <v>2278.0</v>
      </c>
    </row>
    <row r="4238">
      <c r="A4238" s="40">
        <f t="array" ref="A4238">IFNA(index(PlayerValues!A:A,match(IFNA(vlookup(B4238,'Special Names'!A:B,2,FALSE),B4238),PlayerValues!E:E,0)),"N/A")</f>
        <v>17482</v>
      </c>
      <c r="B4238" s="4" t="s">
        <v>460</v>
      </c>
      <c r="C4238" s="4" t="s">
        <v>278</v>
      </c>
      <c r="D4238" s="94">
        <v>2276.0</v>
      </c>
    </row>
    <row r="4239">
      <c r="A4239" s="40">
        <f t="array" ref="A4239">IFNA(index(PlayerValues!A:A,match(IFNA(vlookup(B4239,'Special Names'!A:B,2,FALSE),B4239),PlayerValues!E:E,0)),"N/A")</f>
        <v>17048</v>
      </c>
      <c r="B4239" s="4" t="s">
        <v>539</v>
      </c>
      <c r="C4239" s="4" t="s">
        <v>278</v>
      </c>
      <c r="D4239" s="94">
        <v>2269.0</v>
      </c>
    </row>
    <row r="4240">
      <c r="A4240" s="40" t="str">
        <f t="array" ref="A4240">IFNA(index(PlayerValues!A:A,match(IFNA(vlookup(B4240,'Special Names'!A:B,2,FALSE),B4240),PlayerValues!E:E,0)),"N/A")</f>
        <v>N/A</v>
      </c>
      <c r="B4240" s="4" t="s">
        <v>557</v>
      </c>
      <c r="C4240" s="4" t="s">
        <v>278</v>
      </c>
      <c r="D4240" s="94">
        <v>2244.0</v>
      </c>
    </row>
    <row r="4241">
      <c r="A4241" s="40" t="str">
        <f t="array" ref="A4241">IFNA(index(PlayerValues!A:A,match(IFNA(vlookup(B4241,'Special Names'!A:B,2,FALSE),B4241),PlayerValues!E:E,0)),"N/A")</f>
        <v>N/A</v>
      </c>
      <c r="B4241" s="4" t="s">
        <v>112</v>
      </c>
      <c r="C4241" s="4" t="s">
        <v>325</v>
      </c>
      <c r="D4241" s="94">
        <v>2238.0</v>
      </c>
    </row>
    <row r="4242">
      <c r="A4242" s="40" t="str">
        <f t="array" ref="A4242">IFNA(index(PlayerValues!A:A,match(IFNA(vlookup(B4242,'Special Names'!A:B,2,FALSE),B4242),PlayerValues!E:E,0)),"N/A")</f>
        <v>N/A</v>
      </c>
      <c r="B4242" s="4" t="s">
        <v>87</v>
      </c>
      <c r="C4242" s="4" t="s">
        <v>325</v>
      </c>
      <c r="D4242" s="94">
        <v>2234.0</v>
      </c>
    </row>
    <row r="4243">
      <c r="A4243" s="40">
        <f t="array" ref="A4243">IFNA(index(PlayerValues!A:A,match(IFNA(vlookup(B4243,'Special Names'!A:B,2,FALSE),B4243),PlayerValues!E:E,0)),"N/A")</f>
        <v>16757</v>
      </c>
      <c r="B4243" s="4" t="s">
        <v>558</v>
      </c>
      <c r="C4243" s="4" t="s">
        <v>278</v>
      </c>
      <c r="D4243" s="94">
        <v>2215.0</v>
      </c>
    </row>
    <row r="4244">
      <c r="A4244" s="40">
        <f t="array" ref="A4244">IFNA(index(PlayerValues!A:A,match(IFNA(vlookup(B4244,'Special Names'!A:B,2,FALSE),B4244),PlayerValues!E:E,0)),"N/A")</f>
        <v>13192</v>
      </c>
      <c r="B4244" s="4" t="s">
        <v>563</v>
      </c>
      <c r="C4244" s="4" t="s">
        <v>298</v>
      </c>
      <c r="D4244" s="94">
        <v>2595.0</v>
      </c>
    </row>
    <row r="4245">
      <c r="A4245" s="40">
        <f t="array" ref="A4245">IFNA(index(PlayerValues!A:A,match(IFNA(vlookup(B4245,'Special Names'!A:B,2,FALSE),B4245),PlayerValues!E:E,0)),"N/A")</f>
        <v>16610</v>
      </c>
      <c r="B4245" s="4" t="s">
        <v>562</v>
      </c>
      <c r="C4245" s="4" t="s">
        <v>278</v>
      </c>
      <c r="D4245" s="94">
        <v>2203.0</v>
      </c>
    </row>
    <row r="4246">
      <c r="A4246" s="40">
        <f t="array" ref="A4246">IFNA(index(PlayerValues!A:A,match(IFNA(vlookup(B4246,'Special Names'!A:B,2,FALSE),B4246),PlayerValues!E:E,0)),"N/A")</f>
        <v>11150</v>
      </c>
      <c r="B4246" s="4" t="s">
        <v>559</v>
      </c>
      <c r="C4246" s="4" t="s">
        <v>283</v>
      </c>
      <c r="D4246" s="94">
        <v>2201.0</v>
      </c>
    </row>
    <row r="4247">
      <c r="A4247" s="40">
        <f t="array" ref="A4247">IFNA(index(PlayerValues!A:A,match(IFNA(vlookup(B4247,'Special Names'!A:B,2,FALSE),B4247),PlayerValues!E:E,0)),"N/A")</f>
        <v>15749</v>
      </c>
      <c r="B4247" s="4" t="s">
        <v>574</v>
      </c>
      <c r="C4247" s="4" t="s">
        <v>278</v>
      </c>
      <c r="D4247" s="94">
        <v>2197.0</v>
      </c>
    </row>
    <row r="4248">
      <c r="A4248" s="40">
        <f t="array" ref="A4248">IFNA(index(PlayerValues!A:A,match(IFNA(vlookup(B4248,'Special Names'!A:B,2,FALSE),B4248),PlayerValues!E:E,0)),"N/A")</f>
        <v>17033</v>
      </c>
      <c r="B4248" s="4" t="s">
        <v>570</v>
      </c>
      <c r="C4248" s="4" t="s">
        <v>283</v>
      </c>
      <c r="D4248" s="94">
        <v>2191.0</v>
      </c>
    </row>
    <row r="4249">
      <c r="A4249" s="40">
        <f t="array" ref="A4249">IFNA(index(PlayerValues!A:A,match(IFNA(vlookup(B4249,'Special Names'!A:B,2,FALSE),B4249),PlayerValues!E:E,0)),"N/A")</f>
        <v>17607</v>
      </c>
      <c r="B4249" s="4" t="s">
        <v>526</v>
      </c>
      <c r="C4249" s="4" t="s">
        <v>298</v>
      </c>
      <c r="D4249" s="94">
        <v>2576.0</v>
      </c>
    </row>
    <row r="4250">
      <c r="A4250" s="40">
        <f t="array" ref="A4250">IFNA(index(PlayerValues!A:A,match(IFNA(vlookup(B4250,'Special Names'!A:B,2,FALSE),B4250),PlayerValues!E:E,0)),"N/A")</f>
        <v>13772</v>
      </c>
      <c r="B4250" s="4" t="s">
        <v>544</v>
      </c>
      <c r="C4250" s="4" t="s">
        <v>298</v>
      </c>
      <c r="D4250" s="94">
        <v>2569.0</v>
      </c>
    </row>
    <row r="4251">
      <c r="A4251" s="40">
        <f t="array" ref="A4251">IFNA(index(PlayerValues!A:A,match(IFNA(vlookup(B4251,'Special Names'!A:B,2,FALSE),B4251),PlayerValues!E:E,0)),"N/A")</f>
        <v>17481</v>
      </c>
      <c r="B4251" s="4" t="s">
        <v>540</v>
      </c>
      <c r="C4251" s="4" t="s">
        <v>278</v>
      </c>
      <c r="D4251" s="94">
        <v>2176.0</v>
      </c>
    </row>
    <row r="4252">
      <c r="A4252" s="40">
        <f t="array" ref="A4252">IFNA(index(PlayerValues!A:A,match(IFNA(vlookup(B4252,'Special Names'!A:B,2,FALSE),B4252),PlayerValues!E:E,0)),"N/A")</f>
        <v>16152</v>
      </c>
      <c r="B4252" s="4" t="s">
        <v>601</v>
      </c>
      <c r="C4252" s="4" t="s">
        <v>283</v>
      </c>
      <c r="D4252" s="94">
        <v>2173.0</v>
      </c>
    </row>
    <row r="4253">
      <c r="A4253" s="40">
        <f t="array" ref="A4253">IFNA(index(PlayerValues!A:A,match(IFNA(vlookup(B4253,'Special Names'!A:B,2,FALSE),B4253),PlayerValues!E:E,0)),"N/A")</f>
        <v>17134</v>
      </c>
      <c r="B4253" s="4" t="s">
        <v>548</v>
      </c>
      <c r="C4253" s="4" t="s">
        <v>287</v>
      </c>
      <c r="D4253" s="94">
        <v>2163.0</v>
      </c>
    </row>
    <row r="4254">
      <c r="A4254" s="40">
        <f t="array" ref="A4254">IFNA(index(PlayerValues!A:A,match(IFNA(vlookup(B4254,'Special Names'!A:B,2,FALSE),B4254),PlayerValues!E:E,0)),"N/A")</f>
        <v>17567</v>
      </c>
      <c r="B4254" s="4" t="s">
        <v>571</v>
      </c>
      <c r="C4254" s="4" t="s">
        <v>298</v>
      </c>
      <c r="D4254" s="94">
        <v>2542.0</v>
      </c>
    </row>
    <row r="4255">
      <c r="A4255" s="40">
        <f t="array" ref="A4255">IFNA(index(PlayerValues!A:A,match(IFNA(vlookup(B4255,'Special Names'!A:B,2,FALSE),B4255),PlayerValues!E:E,0)),"N/A")</f>
        <v>16604</v>
      </c>
      <c r="B4255" s="4" t="s">
        <v>476</v>
      </c>
      <c r="C4255" s="4" t="s">
        <v>278</v>
      </c>
      <c r="D4255" s="94">
        <v>2140.0</v>
      </c>
    </row>
    <row r="4256">
      <c r="A4256" s="40">
        <f t="array" ref="A4256">IFNA(index(PlayerValues!A:A,match(IFNA(vlookup(B4256,'Special Names'!A:B,2,FALSE),B4256),PlayerValues!E:E,0)),"N/A")</f>
        <v>12186</v>
      </c>
      <c r="B4256" s="4" t="s">
        <v>497</v>
      </c>
      <c r="C4256" s="4" t="s">
        <v>287</v>
      </c>
      <c r="D4256" s="94">
        <v>2139.0</v>
      </c>
    </row>
    <row r="4257">
      <c r="A4257" s="40">
        <f t="array" ref="A4257">IFNA(index(PlayerValues!A:A,match(IFNA(vlookup(B4257,'Special Names'!A:B,2,FALSE),B4257),PlayerValues!E:E,0)),"N/A")</f>
        <v>16212</v>
      </c>
      <c r="B4257" s="4" t="s">
        <v>568</v>
      </c>
      <c r="C4257" s="4" t="s">
        <v>298</v>
      </c>
      <c r="D4257" s="94">
        <v>2522.0</v>
      </c>
    </row>
    <row r="4258">
      <c r="A4258" s="40">
        <f t="array" ref="A4258">IFNA(index(PlayerValues!A:A,match(IFNA(vlookup(B4258,'Special Names'!A:B,2,FALSE),B4258),PlayerValues!E:E,0)),"N/A")</f>
        <v>17069</v>
      </c>
      <c r="B4258" s="4" t="s">
        <v>604</v>
      </c>
      <c r="C4258" s="4" t="s">
        <v>278</v>
      </c>
      <c r="D4258" s="94">
        <v>2128.0</v>
      </c>
    </row>
    <row r="4259">
      <c r="A4259" s="40">
        <f t="array" ref="A4259">IFNA(index(PlayerValues!A:A,match(IFNA(vlookup(B4259,'Special Names'!A:B,2,FALSE),B4259),PlayerValues!E:E,0)),"N/A")</f>
        <v>16649</v>
      </c>
      <c r="B4259" s="4" t="s">
        <v>586</v>
      </c>
      <c r="C4259" s="4" t="s">
        <v>298</v>
      </c>
      <c r="D4259" s="94">
        <v>2506.0</v>
      </c>
    </row>
    <row r="4260">
      <c r="A4260" s="40" t="str">
        <f t="array" ref="A4260">IFNA(index(PlayerValues!A:A,match(IFNA(vlookup(B4260,'Special Names'!A:B,2,FALSE),B4260),PlayerValues!E:E,0)),"N/A")</f>
        <v>N/A</v>
      </c>
      <c r="B4260" s="4" t="s">
        <v>113</v>
      </c>
      <c r="C4260" s="4" t="s">
        <v>325</v>
      </c>
      <c r="D4260" s="94">
        <v>2115.0</v>
      </c>
    </row>
    <row r="4261">
      <c r="A4261" s="40">
        <f t="array" ref="A4261">IFNA(index(PlayerValues!A:A,match(IFNA(vlookup(B4261,'Special Names'!A:B,2,FALSE),B4261),PlayerValues!E:E,0)),"N/A")</f>
        <v>16594</v>
      </c>
      <c r="B4261" s="4" t="s">
        <v>607</v>
      </c>
      <c r="C4261" s="4" t="s">
        <v>278</v>
      </c>
      <c r="D4261" s="94">
        <v>2110.0</v>
      </c>
    </row>
    <row r="4262">
      <c r="A4262" s="40">
        <f t="array" ref="A4262">IFNA(index(PlayerValues!A:A,match(IFNA(vlookup(B4262,'Special Names'!A:B,2,FALSE),B4262),PlayerValues!E:E,0)),"N/A")</f>
        <v>17485</v>
      </c>
      <c r="B4262" s="4" t="s">
        <v>522</v>
      </c>
      <c r="C4262" s="4" t="s">
        <v>278</v>
      </c>
      <c r="D4262" s="94">
        <v>2086.0</v>
      </c>
    </row>
    <row r="4263">
      <c r="A4263" s="40">
        <f t="array" ref="A4263">IFNA(index(PlayerValues!A:A,match(IFNA(vlookup(B4263,'Special Names'!A:B,2,FALSE),B4263),PlayerValues!E:E,0)),"N/A")</f>
        <v>17079</v>
      </c>
      <c r="B4263" s="4" t="s">
        <v>572</v>
      </c>
      <c r="C4263" s="4" t="s">
        <v>287</v>
      </c>
      <c r="D4263" s="94">
        <v>2081.0</v>
      </c>
    </row>
    <row r="4264">
      <c r="A4264" s="40">
        <f t="array" ref="A4264">IFNA(index(PlayerValues!A:A,match(IFNA(vlookup(B4264,'Special Names'!A:B,2,FALSE),B4264),PlayerValues!E:E,0)),"N/A")</f>
        <v>16036</v>
      </c>
      <c r="B4264" s="4" t="s">
        <v>592</v>
      </c>
      <c r="C4264" s="4" t="s">
        <v>298</v>
      </c>
      <c r="D4264" s="94">
        <v>2469.0</v>
      </c>
    </row>
    <row r="4265">
      <c r="A4265" s="40">
        <f t="array" ref="A4265">IFNA(index(PlayerValues!A:A,match(IFNA(vlookup(B4265,'Special Names'!A:B,2,FALSE),B4265),PlayerValues!E:E,0)),"N/A")</f>
        <v>17599</v>
      </c>
      <c r="B4265" s="4" t="s">
        <v>496</v>
      </c>
      <c r="C4265" s="4" t="s">
        <v>287</v>
      </c>
      <c r="D4265" s="94">
        <v>2061.0</v>
      </c>
    </row>
    <row r="4266">
      <c r="A4266" s="40">
        <f t="array" ref="A4266">IFNA(index(PlayerValues!A:A,match(IFNA(vlookup(B4266,'Special Names'!A:B,2,FALSE),B4266),PlayerValues!E:E,0)),"N/A")</f>
        <v>17061</v>
      </c>
      <c r="B4266" s="4" t="s">
        <v>580</v>
      </c>
      <c r="C4266" s="4" t="s">
        <v>278</v>
      </c>
      <c r="D4266" s="94">
        <v>2057.0</v>
      </c>
    </row>
    <row r="4267">
      <c r="A4267" s="40">
        <f t="array" ref="A4267">IFNA(index(PlayerValues!A:A,match(IFNA(vlookup(B4267,'Special Names'!A:B,2,FALSE),B4267),PlayerValues!E:E,0)),"N/A")</f>
        <v>17076</v>
      </c>
      <c r="B4267" s="4" t="s">
        <v>585</v>
      </c>
      <c r="C4267" s="4" t="s">
        <v>287</v>
      </c>
      <c r="D4267" s="94">
        <v>2054.0</v>
      </c>
    </row>
    <row r="4268">
      <c r="A4268" s="40">
        <f t="array" ref="A4268">IFNA(index(PlayerValues!A:A,match(IFNA(vlookup(B4268,'Special Names'!A:B,2,FALSE),B4268),PlayerValues!E:E,0)),"N/A")</f>
        <v>17528</v>
      </c>
      <c r="B4268" s="4" t="s">
        <v>579</v>
      </c>
      <c r="C4268" s="4" t="s">
        <v>287</v>
      </c>
      <c r="D4268" s="94">
        <v>2052.0</v>
      </c>
    </row>
    <row r="4269">
      <c r="A4269" s="40">
        <f t="array" ref="A4269">IFNA(index(PlayerValues!A:A,match(IFNA(vlookup(B4269,'Special Names'!A:B,2,FALSE),B4269),PlayerValues!E:E,0)),"N/A")</f>
        <v>16189</v>
      </c>
      <c r="B4269" s="4" t="s">
        <v>582</v>
      </c>
      <c r="C4269" s="4" t="s">
        <v>287</v>
      </c>
      <c r="D4269" s="94">
        <v>2050.0</v>
      </c>
    </row>
    <row r="4270">
      <c r="A4270" s="40">
        <f t="array" ref="A4270">IFNA(index(PlayerValues!A:A,match(IFNA(vlookup(B4270,'Special Names'!A:B,2,FALSE),B4270),PlayerValues!E:E,0)),"N/A")</f>
        <v>17060</v>
      </c>
      <c r="B4270" s="4" t="s">
        <v>603</v>
      </c>
      <c r="C4270" s="4" t="s">
        <v>278</v>
      </c>
      <c r="D4270" s="94">
        <v>2049.0</v>
      </c>
    </row>
    <row r="4271">
      <c r="A4271" s="40" t="str">
        <f t="array" ref="A4271">IFNA(index(PlayerValues!A:A,match(IFNA(vlookup(B4271,'Special Names'!A:B,2,FALSE),B4271),PlayerValues!E:E,0)),"N/A")</f>
        <v>N/A</v>
      </c>
      <c r="B4271" s="4" t="s">
        <v>88</v>
      </c>
      <c r="C4271" s="4" t="s">
        <v>325</v>
      </c>
      <c r="D4271" s="94">
        <v>2038.0</v>
      </c>
    </row>
    <row r="4272">
      <c r="A4272" s="40">
        <f t="array" ref="A4272">IFNA(index(PlayerValues!A:A,match(IFNA(vlookup(B4272,'Special Names'!A:B,2,FALSE),B4272),PlayerValues!E:E,0)),"N/A")</f>
        <v>13132</v>
      </c>
      <c r="B4272" s="4" t="s">
        <v>598</v>
      </c>
      <c r="C4272" s="4" t="s">
        <v>278</v>
      </c>
      <c r="D4272" s="94">
        <v>2037.0</v>
      </c>
    </row>
    <row r="4273">
      <c r="A4273" s="40">
        <f t="array" ref="A4273">IFNA(index(PlayerValues!A:A,match(IFNA(vlookup(B4273,'Special Names'!A:B,2,FALSE),B4273),PlayerValues!E:E,0)),"N/A")</f>
        <v>17468</v>
      </c>
      <c r="B4273" s="4" t="s">
        <v>514</v>
      </c>
      <c r="C4273" s="4" t="s">
        <v>283</v>
      </c>
      <c r="D4273" s="94">
        <v>2014.0</v>
      </c>
    </row>
    <row r="4274">
      <c r="A4274" s="40">
        <f t="array" ref="A4274">IFNA(index(PlayerValues!A:A,match(IFNA(vlookup(B4274,'Special Names'!A:B,2,FALSE),B4274),PlayerValues!E:E,0)),"N/A")</f>
        <v>13113</v>
      </c>
      <c r="B4274" s="4" t="s">
        <v>606</v>
      </c>
      <c r="C4274" s="4" t="s">
        <v>283</v>
      </c>
      <c r="D4274" s="94">
        <v>2009.0</v>
      </c>
    </row>
    <row r="4275">
      <c r="A4275" s="40">
        <f t="array" ref="A4275">IFNA(index(PlayerValues!A:A,match(IFNA(vlookup(B4275,'Special Names'!A:B,2,FALSE),B4275),PlayerValues!E:E,0)),"N/A")</f>
        <v>15238</v>
      </c>
      <c r="B4275" s="4" t="s">
        <v>613</v>
      </c>
      <c r="C4275" s="4" t="s">
        <v>283</v>
      </c>
      <c r="D4275" s="94">
        <v>1999.0</v>
      </c>
    </row>
    <row r="4276">
      <c r="A4276" s="40">
        <f t="array" ref="A4276">IFNA(index(PlayerValues!A:A,match(IFNA(vlookup(B4276,'Special Names'!A:B,2,FALSE),B4276),PlayerValues!E:E,0)),"N/A")</f>
        <v>16778</v>
      </c>
      <c r="B4276" s="4" t="s">
        <v>577</v>
      </c>
      <c r="C4276" s="4" t="s">
        <v>287</v>
      </c>
      <c r="D4276" s="94">
        <v>1998.0</v>
      </c>
    </row>
    <row r="4277">
      <c r="A4277" s="40">
        <f t="array" ref="A4277">IFNA(index(PlayerValues!A:A,match(IFNA(vlookup(B4277,'Special Names'!A:B,2,FALSE),B4277),PlayerValues!E:E,0)),"N/A")</f>
        <v>15293</v>
      </c>
      <c r="B4277" s="4" t="s">
        <v>578</v>
      </c>
      <c r="C4277" s="4" t="s">
        <v>287</v>
      </c>
      <c r="D4277" s="94">
        <v>1997.0</v>
      </c>
    </row>
    <row r="4278">
      <c r="A4278" s="40">
        <f t="array" ref="A4278">IFNA(index(PlayerValues!A:A,match(IFNA(vlookup(B4278,'Special Names'!A:B,2,FALSE),B4278),PlayerValues!E:E,0)),"N/A")</f>
        <v>14974</v>
      </c>
      <c r="B4278" s="4" t="s">
        <v>611</v>
      </c>
      <c r="C4278" s="4" t="s">
        <v>287</v>
      </c>
      <c r="D4278" s="94">
        <v>1988.0</v>
      </c>
    </row>
    <row r="4279">
      <c r="A4279" s="40" t="str">
        <f t="array" ref="A4279">IFNA(index(PlayerValues!A:A,match(IFNA(vlookup(B4279,'Special Names'!A:B,2,FALSE),B4279),PlayerValues!E:E,0)),"N/A")</f>
        <v>N/A</v>
      </c>
      <c r="B4279" s="4" t="s">
        <v>114</v>
      </c>
      <c r="C4279" s="4" t="s">
        <v>325</v>
      </c>
      <c r="D4279" s="94">
        <v>1984.0</v>
      </c>
    </row>
    <row r="4280">
      <c r="A4280" s="40">
        <f t="array" ref="A4280">IFNA(index(PlayerValues!A:A,match(IFNA(vlookup(B4280,'Special Names'!A:B,2,FALSE),B4280),PlayerValues!E:E,0)),"N/A")</f>
        <v>14867</v>
      </c>
      <c r="B4280" s="4" t="s">
        <v>591</v>
      </c>
      <c r="C4280" s="4" t="s">
        <v>298</v>
      </c>
      <c r="D4280" s="94">
        <v>2365.0</v>
      </c>
    </row>
    <row r="4281">
      <c r="A4281" s="40">
        <f t="array" ref="A4281">IFNA(index(PlayerValues!A:A,match(IFNA(vlookup(B4281,'Special Names'!A:B,2,FALSE),B4281),PlayerValues!E:E,0)),"N/A")</f>
        <v>16643</v>
      </c>
      <c r="B4281" s="4" t="s">
        <v>609</v>
      </c>
      <c r="C4281" s="4" t="s">
        <v>298</v>
      </c>
      <c r="D4281" s="94">
        <v>2358.0</v>
      </c>
    </row>
    <row r="4282">
      <c r="A4282" s="40">
        <f t="array" ref="A4282">IFNA(index(PlayerValues!A:A,match(IFNA(vlookup(B4282,'Special Names'!A:B,2,FALSE),B4282),PlayerValues!E:E,0)),"N/A")</f>
        <v>17056</v>
      </c>
      <c r="B4282" s="4" t="s">
        <v>581</v>
      </c>
      <c r="C4282" s="4" t="s">
        <v>278</v>
      </c>
      <c r="D4282" s="94">
        <v>1944.0</v>
      </c>
    </row>
    <row r="4283">
      <c r="A4283" s="40">
        <f t="array" ref="A4283">IFNA(index(PlayerValues!A:A,match(IFNA(vlookup(B4283,'Special Names'!A:B,2,FALSE),B4283),PlayerValues!E:E,0)),"N/A")</f>
        <v>17467</v>
      </c>
      <c r="B4283" s="4" t="s">
        <v>575</v>
      </c>
      <c r="C4283" s="4" t="s">
        <v>283</v>
      </c>
      <c r="D4283" s="94">
        <v>1937.0</v>
      </c>
    </row>
    <row r="4284">
      <c r="A4284" s="40">
        <f t="array" ref="A4284">IFNA(index(PlayerValues!A:A,match(IFNA(vlookup(B4284,'Special Names'!A:B,2,FALSE),B4284),PlayerValues!E:E,0)),"N/A")</f>
        <v>14871</v>
      </c>
      <c r="B4284" s="4" t="s">
        <v>584</v>
      </c>
      <c r="C4284" s="4" t="s">
        <v>298</v>
      </c>
      <c r="D4284" s="94">
        <v>2322.0</v>
      </c>
    </row>
    <row r="4285">
      <c r="A4285" s="40">
        <f t="array" ref="A4285">IFNA(index(PlayerValues!A:A,match(IFNA(vlookup(B4285,'Special Names'!A:B,2,FALSE),B4285),PlayerValues!E:E,0)),"N/A")</f>
        <v>17184</v>
      </c>
      <c r="B4285" s="4" t="s">
        <v>588</v>
      </c>
      <c r="C4285" s="4" t="s">
        <v>287</v>
      </c>
      <c r="D4285" s="94">
        <v>1935.0</v>
      </c>
    </row>
    <row r="4286">
      <c r="A4286" s="40">
        <f t="array" ref="A4286">IFNA(index(PlayerValues!A:A,match(IFNA(vlookup(B4286,'Special Names'!A:B,2,FALSE),B4286),PlayerValues!E:E,0)),"N/A")</f>
        <v>7836</v>
      </c>
      <c r="B4286" s="4" t="s">
        <v>590</v>
      </c>
      <c r="C4286" s="4" t="s">
        <v>283</v>
      </c>
      <c r="D4286" s="94">
        <v>1929.0</v>
      </c>
    </row>
    <row r="4287">
      <c r="A4287" s="40">
        <f t="array" ref="A4287">IFNA(index(PlayerValues!A:A,match(IFNA(vlookup(B4287,'Special Names'!A:B,2,FALSE),B4287),PlayerValues!E:E,0)),"N/A")</f>
        <v>16603</v>
      </c>
      <c r="B4287" s="4" t="s">
        <v>587</v>
      </c>
      <c r="C4287" s="4" t="s">
        <v>278</v>
      </c>
      <c r="D4287" s="94">
        <v>1927.0</v>
      </c>
    </row>
    <row r="4288">
      <c r="A4288" s="40">
        <f t="array" ref="A4288">IFNA(index(PlayerValues!A:A,match(IFNA(vlookup(B4288,'Special Names'!A:B,2,FALSE),B4288),PlayerValues!E:E,0)),"N/A")</f>
        <v>17046</v>
      </c>
      <c r="B4288" s="4" t="s">
        <v>602</v>
      </c>
      <c r="C4288" s="4" t="s">
        <v>278</v>
      </c>
      <c r="D4288" s="94">
        <v>1926.0</v>
      </c>
    </row>
    <row r="4289">
      <c r="A4289" s="40">
        <f t="array" ref="A4289">IFNA(index(PlayerValues!A:A,match(IFNA(vlookup(B4289,'Special Names'!A:B,2,FALSE),B4289),PlayerValues!E:E,0)),"N/A")</f>
        <v>17087</v>
      </c>
      <c r="B4289" s="4" t="s">
        <v>600</v>
      </c>
      <c r="C4289" s="4" t="s">
        <v>287</v>
      </c>
      <c r="D4289" s="94">
        <v>1919.0</v>
      </c>
    </row>
    <row r="4290">
      <c r="A4290" s="40">
        <f t="array" ref="A4290">IFNA(index(PlayerValues!A:A,match(IFNA(vlookup(B4290,'Special Names'!A:B,2,FALSE),B4290),PlayerValues!E:E,0)),"N/A")</f>
        <v>16432</v>
      </c>
      <c r="B4290" s="4" t="s">
        <v>620</v>
      </c>
      <c r="C4290" s="4" t="s">
        <v>278</v>
      </c>
      <c r="D4290" s="94">
        <v>1906.0</v>
      </c>
    </row>
    <row r="4291">
      <c r="A4291" s="40">
        <f t="array" ref="A4291">IFNA(index(PlayerValues!A:A,match(IFNA(vlookup(B4291,'Special Names'!A:B,2,FALSE),B4291),PlayerValues!E:E,0)),"N/A")</f>
        <v>16216</v>
      </c>
      <c r="B4291" s="4" t="s">
        <v>595</v>
      </c>
      <c r="C4291" s="4" t="s">
        <v>298</v>
      </c>
      <c r="D4291" s="94">
        <v>2284.0</v>
      </c>
    </row>
    <row r="4292">
      <c r="A4292" s="40">
        <f t="array" ref="A4292">IFNA(index(PlayerValues!A:A,match(IFNA(vlookup(B4292,'Special Names'!A:B,2,FALSE),B4292),PlayerValues!E:E,0)),"N/A")</f>
        <v>16342</v>
      </c>
      <c r="B4292" s="4" t="s">
        <v>583</v>
      </c>
      <c r="C4292" s="4" t="s">
        <v>287</v>
      </c>
      <c r="D4292" s="94">
        <v>1883.0</v>
      </c>
    </row>
    <row r="4293">
      <c r="A4293" s="40">
        <f t="array" ref="A4293">IFNA(index(PlayerValues!A:A,match(IFNA(vlookup(B4293,'Special Names'!A:B,2,FALSE),B4293),PlayerValues!E:E,0)),"N/A")</f>
        <v>16639</v>
      </c>
      <c r="B4293" s="4" t="s">
        <v>599</v>
      </c>
      <c r="C4293" s="4" t="s">
        <v>287</v>
      </c>
      <c r="D4293" s="94">
        <v>1873.0</v>
      </c>
    </row>
    <row r="4294">
      <c r="A4294" s="40">
        <f t="array" ref="A4294">IFNA(index(PlayerValues!A:A,match(IFNA(vlookup(B4294,'Special Names'!A:B,2,FALSE),B4294),PlayerValues!E:E,0)),"N/A")</f>
        <v>16752</v>
      </c>
      <c r="B4294" s="4" t="s">
        <v>597</v>
      </c>
      <c r="C4294" s="4" t="s">
        <v>278</v>
      </c>
      <c r="D4294" s="94">
        <v>1873.0</v>
      </c>
    </row>
    <row r="4295">
      <c r="A4295" s="40">
        <f t="array" ref="A4295">IFNA(index(PlayerValues!A:A,match(IFNA(vlookup(B4295,'Special Names'!A:B,2,FALSE),B4295),PlayerValues!E:E,0)),"N/A")</f>
        <v>14136</v>
      </c>
      <c r="B4295" s="4" t="s">
        <v>536</v>
      </c>
      <c r="C4295" s="4" t="s">
        <v>287</v>
      </c>
      <c r="D4295" s="94">
        <v>1852.0</v>
      </c>
    </row>
    <row r="4296">
      <c r="A4296" s="40">
        <f t="array" ref="A4296">IFNA(index(PlayerValues!A:A,match(IFNA(vlookup(B4296,'Special Names'!A:B,2,FALSE),B4296),PlayerValues!E:E,0)),"N/A")</f>
        <v>17548</v>
      </c>
      <c r="B4296" s="4" t="s">
        <v>594</v>
      </c>
      <c r="C4296" s="4" t="s">
        <v>298</v>
      </c>
      <c r="D4296" s="94">
        <v>2235.0</v>
      </c>
    </row>
    <row r="4297">
      <c r="A4297" s="40">
        <f t="array" ref="A4297">IFNA(index(PlayerValues!A:A,match(IFNA(vlookup(B4297,'Special Names'!A:B,2,FALSE),B4297),PlayerValues!E:E,0)),"N/A")</f>
        <v>10700</v>
      </c>
      <c r="B4297" s="4" t="s">
        <v>596</v>
      </c>
      <c r="C4297" s="4" t="s">
        <v>283</v>
      </c>
      <c r="D4297" s="94">
        <v>1848.0</v>
      </c>
    </row>
    <row r="4298">
      <c r="A4298" s="40">
        <f t="array" ref="A4298">IFNA(index(PlayerValues!A:A,match(IFNA(vlookup(B4298,'Special Names'!A:B,2,FALSE),B4298),PlayerValues!E:E,0)),"N/A")</f>
        <v>13633</v>
      </c>
      <c r="B4298" s="4" t="s">
        <v>625</v>
      </c>
      <c r="C4298" s="4" t="s">
        <v>287</v>
      </c>
      <c r="D4298" s="94">
        <v>1845.0</v>
      </c>
    </row>
    <row r="4299">
      <c r="A4299" s="40">
        <f t="array" ref="A4299">IFNA(index(PlayerValues!A:A,match(IFNA(vlookup(B4299,'Special Names'!A:B,2,FALSE),B4299),PlayerValues!E:E,0)),"N/A")</f>
        <v>17086</v>
      </c>
      <c r="B4299" s="4" t="s">
        <v>612</v>
      </c>
      <c r="C4299" s="4" t="s">
        <v>287</v>
      </c>
      <c r="D4299" s="94">
        <v>1840.0</v>
      </c>
    </row>
    <row r="4300">
      <c r="A4300" s="40">
        <f t="array" ref="A4300">IFNA(index(PlayerValues!A:A,match(IFNA(vlookup(B4300,'Special Names'!A:B,2,FALSE),B4300),PlayerValues!E:E,0)),"N/A")</f>
        <v>15788</v>
      </c>
      <c r="B4300" s="4" t="s">
        <v>627</v>
      </c>
      <c r="C4300" s="4" t="s">
        <v>287</v>
      </c>
      <c r="D4300" s="94">
        <v>1835.0</v>
      </c>
    </row>
    <row r="4301">
      <c r="A4301" s="40" t="str">
        <f t="array" ref="A4301">IFNA(index(PlayerValues!A:A,match(IFNA(vlookup(B4301,'Special Names'!A:B,2,FALSE),B4301),PlayerValues!E:E,0)),"N/A")</f>
        <v>N/A</v>
      </c>
      <c r="B4301" s="4" t="s">
        <v>101</v>
      </c>
      <c r="C4301" s="4" t="s">
        <v>325</v>
      </c>
      <c r="D4301" s="94">
        <v>1830.0</v>
      </c>
    </row>
    <row r="4302">
      <c r="A4302" s="40">
        <f t="array" ref="A4302">IFNA(index(PlayerValues!A:A,match(IFNA(vlookup(B4302,'Special Names'!A:B,2,FALSE),B4302),PlayerValues!E:E,0)),"N/A")</f>
        <v>13629</v>
      </c>
      <c r="B4302" s="4" t="s">
        <v>619</v>
      </c>
      <c r="C4302" s="4" t="s">
        <v>287</v>
      </c>
      <c r="D4302" s="94">
        <v>1826.0</v>
      </c>
    </row>
    <row r="4303">
      <c r="A4303" s="40">
        <f t="array" ref="A4303">IFNA(index(PlayerValues!A:A,match(IFNA(vlookup(B4303,'Special Names'!A:B,2,FALSE),B4303),PlayerValues!E:E,0)),"N/A")</f>
        <v>17036</v>
      </c>
      <c r="B4303" s="4" t="s">
        <v>617</v>
      </c>
      <c r="C4303" s="4" t="s">
        <v>283</v>
      </c>
      <c r="D4303" s="94">
        <v>1825.0</v>
      </c>
    </row>
    <row r="4304">
      <c r="A4304" s="40">
        <f t="array" ref="A4304">IFNA(index(PlayerValues!A:A,match(IFNA(vlookup(B4304,'Special Names'!A:B,2,FALSE),B4304),PlayerValues!E:E,0)),"N/A")</f>
        <v>16644</v>
      </c>
      <c r="B4304" s="4" t="s">
        <v>640</v>
      </c>
      <c r="C4304" s="4" t="s">
        <v>298</v>
      </c>
      <c r="D4304" s="94">
        <v>2150.0</v>
      </c>
    </row>
    <row r="4305">
      <c r="A4305" s="40">
        <f t="array" ref="A4305">IFNA(index(PlayerValues!A:A,match(IFNA(vlookup(B4305,'Special Names'!A:B,2,FALSE),B4305),PlayerValues!E:E,0)),"N/A")</f>
        <v>17519</v>
      </c>
      <c r="B4305" s="4" t="s">
        <v>593</v>
      </c>
      <c r="C4305" s="4" t="s">
        <v>287</v>
      </c>
      <c r="D4305" s="94">
        <v>1766.0</v>
      </c>
    </row>
    <row r="4306">
      <c r="A4306" s="40">
        <f t="array" ref="A4306">IFNA(index(PlayerValues!A:A,match(IFNA(vlookup(B4306,'Special Names'!A:B,2,FALSE),B4306),PlayerValues!E:E,0)),"N/A")</f>
        <v>13189</v>
      </c>
      <c r="B4306" s="4" t="s">
        <v>626</v>
      </c>
      <c r="C4306" s="4" t="s">
        <v>298</v>
      </c>
      <c r="D4306" s="94">
        <v>2143.0</v>
      </c>
    </row>
    <row r="4307">
      <c r="A4307" s="40" t="str">
        <f t="array" ref="A4307">IFNA(index(PlayerValues!A:A,match(IFNA(vlookup(B4307,'Special Names'!A:B,2,FALSE),B4307),PlayerValues!E:E,0)),"N/A")</f>
        <v>N/A</v>
      </c>
      <c r="B4307" s="4" t="s">
        <v>89</v>
      </c>
      <c r="C4307" s="4" t="s">
        <v>325</v>
      </c>
      <c r="D4307" s="94">
        <v>1761.0</v>
      </c>
    </row>
    <row r="4308">
      <c r="A4308" s="40">
        <f t="array" ref="A4308">IFNA(index(PlayerValues!A:A,match(IFNA(vlookup(B4308,'Special Names'!A:B,2,FALSE),B4308),PlayerValues!E:E,0)),"N/A")</f>
        <v>16215</v>
      </c>
      <c r="B4308" s="4" t="s">
        <v>637</v>
      </c>
      <c r="C4308" s="4" t="s">
        <v>298</v>
      </c>
      <c r="D4308" s="94">
        <v>2130.0</v>
      </c>
    </row>
    <row r="4309">
      <c r="A4309" s="40">
        <f t="array" ref="A4309">IFNA(index(PlayerValues!A:A,match(IFNA(vlookup(B4309,'Special Names'!A:B,2,FALSE),B4309),PlayerValues!E:E,0)),"N/A")</f>
        <v>16191</v>
      </c>
      <c r="B4309" s="4" t="s">
        <v>666</v>
      </c>
      <c r="C4309" s="4" t="s">
        <v>287</v>
      </c>
      <c r="D4309" s="94">
        <v>1748.0</v>
      </c>
    </row>
    <row r="4310">
      <c r="A4310" s="40">
        <f t="array" ref="A4310">IFNA(index(PlayerValues!A:A,match(IFNA(vlookup(B4310,'Special Names'!A:B,2,FALSE),B4310),PlayerValues!E:E,0)),"N/A")</f>
        <v>13146</v>
      </c>
      <c r="B4310" s="4" t="s">
        <v>652</v>
      </c>
      <c r="C4310" s="4" t="s">
        <v>278</v>
      </c>
      <c r="D4310" s="94">
        <v>1747.0</v>
      </c>
    </row>
    <row r="4311">
      <c r="A4311" s="40" t="str">
        <f t="array" ref="A4311">IFNA(index(PlayerValues!A:A,match(IFNA(vlookup(B4311,'Special Names'!A:B,2,FALSE),B4311),PlayerValues!E:E,0)),"N/A")</f>
        <v>N/A</v>
      </c>
      <c r="B4311" s="4" t="s">
        <v>102</v>
      </c>
      <c r="C4311" s="4" t="s">
        <v>325</v>
      </c>
      <c r="D4311" s="94">
        <v>1745.0</v>
      </c>
    </row>
    <row r="4312">
      <c r="A4312" s="40">
        <f t="array" ref="A4312">IFNA(index(PlayerValues!A:A,match(IFNA(vlookup(B4312,'Special Names'!A:B,2,FALSE),B4312),PlayerValues!E:E,0)),"N/A")</f>
        <v>17685</v>
      </c>
      <c r="B4312" s="4" t="s">
        <v>630</v>
      </c>
      <c r="C4312" s="4" t="s">
        <v>278</v>
      </c>
      <c r="D4312" s="94">
        <v>1736.0</v>
      </c>
    </row>
    <row r="4313">
      <c r="A4313" s="40">
        <f t="array" ref="A4313">IFNA(index(PlayerValues!A:A,match(IFNA(vlookup(B4313,'Special Names'!A:B,2,FALSE),B4313),PlayerValues!E:E,0)),"N/A")</f>
        <v>17034</v>
      </c>
      <c r="B4313" s="4" t="s">
        <v>643</v>
      </c>
      <c r="C4313" s="4" t="s">
        <v>283</v>
      </c>
      <c r="D4313" s="94">
        <v>1722.0</v>
      </c>
    </row>
    <row r="4314">
      <c r="A4314" s="40">
        <f t="array" ref="A4314">IFNA(index(PlayerValues!A:A,match(IFNA(vlookup(B4314,'Special Names'!A:B,2,FALSE),B4314),PlayerValues!E:E,0)),"N/A")</f>
        <v>13164</v>
      </c>
      <c r="B4314" s="4" t="s">
        <v>632</v>
      </c>
      <c r="C4314" s="4" t="s">
        <v>287</v>
      </c>
      <c r="D4314" s="94">
        <v>1718.0</v>
      </c>
    </row>
    <row r="4315">
      <c r="A4315" s="40">
        <f t="array" ref="A4315">IFNA(index(PlayerValues!A:A,match(IFNA(vlookup(B4315,'Special Names'!A:B,2,FALSE),B4315),PlayerValues!E:E,0)),"N/A")</f>
        <v>15787</v>
      </c>
      <c r="B4315" s="4" t="s">
        <v>610</v>
      </c>
      <c r="C4315" s="4" t="s">
        <v>287</v>
      </c>
      <c r="D4315" s="94">
        <v>1713.0</v>
      </c>
    </row>
    <row r="4316">
      <c r="A4316" s="40">
        <f t="array" ref="A4316">IFNA(index(PlayerValues!A:A,match(IFNA(vlookup(B4316,'Special Names'!A:B,2,FALSE),B4316),PlayerValues!E:E,0)),"N/A")</f>
        <v>17049</v>
      </c>
      <c r="B4316" s="4" t="s">
        <v>624</v>
      </c>
      <c r="C4316" s="4" t="s">
        <v>278</v>
      </c>
      <c r="D4316" s="94">
        <v>1708.0</v>
      </c>
    </row>
    <row r="4317">
      <c r="A4317" s="40">
        <f t="array" ref="A4317">IFNA(index(PlayerValues!A:A,match(IFNA(vlookup(B4317,'Special Names'!A:B,2,FALSE),B4317),PlayerValues!E:E,0)),"N/A")</f>
        <v>17529</v>
      </c>
      <c r="B4317" s="4" t="s">
        <v>608</v>
      </c>
      <c r="C4317" s="4" t="s">
        <v>287</v>
      </c>
      <c r="D4317" s="94">
        <v>1691.0</v>
      </c>
    </row>
    <row r="4318">
      <c r="A4318" s="40">
        <f t="array" ref="A4318">IFNA(index(PlayerValues!A:A,match(IFNA(vlookup(B4318,'Special Names'!A:B,2,FALSE),B4318),PlayerValues!E:E,0)),"N/A")</f>
        <v>14143</v>
      </c>
      <c r="B4318" s="4" t="s">
        <v>635</v>
      </c>
      <c r="C4318" s="4" t="s">
        <v>298</v>
      </c>
      <c r="D4318" s="94">
        <v>2068.0</v>
      </c>
    </row>
    <row r="4319">
      <c r="A4319" s="40">
        <f t="array" ref="A4319">IFNA(index(PlayerValues!A:A,match(IFNA(vlookup(B4319,'Special Names'!A:B,2,FALSE),B4319),PlayerValues!E:E,0)),"N/A")</f>
        <v>16171</v>
      </c>
      <c r="B4319" s="4" t="s">
        <v>618</v>
      </c>
      <c r="C4319" s="4" t="s">
        <v>278</v>
      </c>
      <c r="D4319" s="94">
        <v>1683.0</v>
      </c>
    </row>
    <row r="4320">
      <c r="A4320" s="40">
        <f t="array" ref="A4320">IFNA(index(PlayerValues!A:A,match(IFNA(vlookup(B4320,'Special Names'!A:B,2,FALSE),B4320),PlayerValues!E:E,0)),"N/A")</f>
        <v>17058</v>
      </c>
      <c r="B4320" s="4" t="s">
        <v>641</v>
      </c>
      <c r="C4320" s="4" t="s">
        <v>278</v>
      </c>
      <c r="D4320" s="94">
        <v>1681.0</v>
      </c>
    </row>
    <row r="4321">
      <c r="A4321" s="40">
        <f t="array" ref="A4321">IFNA(index(PlayerValues!A:A,match(IFNA(vlookup(B4321,'Special Names'!A:B,2,FALSE),B4321),PlayerValues!E:E,0)),"N/A")</f>
        <v>15752</v>
      </c>
      <c r="B4321" s="4" t="s">
        <v>647</v>
      </c>
      <c r="C4321" s="4" t="s">
        <v>287</v>
      </c>
      <c r="D4321" s="94">
        <v>1665.0</v>
      </c>
    </row>
    <row r="4322">
      <c r="A4322" s="40">
        <f t="array" ref="A4322">IFNA(index(PlayerValues!A:A,match(IFNA(vlookup(B4322,'Special Names'!A:B,2,FALSE),B4322),PlayerValues!E:E,0)),"N/A")</f>
        <v>15755</v>
      </c>
      <c r="B4322" s="4" t="s">
        <v>628</v>
      </c>
      <c r="C4322" s="4" t="s">
        <v>287</v>
      </c>
      <c r="D4322" s="94">
        <v>1661.0</v>
      </c>
    </row>
    <row r="4323">
      <c r="A4323" s="40" t="str">
        <f t="array" ref="A4323">IFNA(index(PlayerValues!A:A,match(IFNA(vlookup(B4323,'Special Names'!A:B,2,FALSE),B4323),PlayerValues!E:E,0)),"N/A")</f>
        <v>N/A</v>
      </c>
      <c r="B4323" s="4" t="s">
        <v>115</v>
      </c>
      <c r="C4323" s="4" t="s">
        <v>325</v>
      </c>
      <c r="D4323" s="94">
        <v>1649.0</v>
      </c>
    </row>
    <row r="4324">
      <c r="A4324" s="40">
        <f t="array" ref="A4324">IFNA(index(PlayerValues!A:A,match(IFNA(vlookup(B4324,'Special Names'!A:B,2,FALSE),B4324),PlayerValues!E:E,0)),"N/A")</f>
        <v>16207</v>
      </c>
      <c r="B4324" s="4" t="s">
        <v>636</v>
      </c>
      <c r="C4324" s="4" t="s">
        <v>287</v>
      </c>
      <c r="D4324" s="94">
        <v>1645.0</v>
      </c>
    </row>
    <row r="4325">
      <c r="A4325" s="40" t="str">
        <f t="array" ref="A4325">IFNA(index(PlayerValues!A:A,match(IFNA(vlookup(B4325,'Special Names'!A:B,2,FALSE),B4325),PlayerValues!E:E,0)),"N/A")</f>
        <v>N/A</v>
      </c>
      <c r="B4325" s="4" t="s">
        <v>103</v>
      </c>
      <c r="C4325" s="4" t="s">
        <v>325</v>
      </c>
      <c r="D4325" s="94">
        <v>1645.0</v>
      </c>
    </row>
    <row r="4326">
      <c r="A4326" s="40">
        <f t="array" ref="A4326">IFNA(index(PlayerValues!A:A,match(IFNA(vlookup(B4326,'Special Names'!A:B,2,FALSE),B4326),PlayerValues!E:E,0)),"N/A")</f>
        <v>17521</v>
      </c>
      <c r="B4326" s="4" t="s">
        <v>573</v>
      </c>
      <c r="C4326" s="4" t="s">
        <v>287</v>
      </c>
      <c r="D4326" s="94">
        <v>1642.0</v>
      </c>
    </row>
    <row r="4327">
      <c r="A4327" s="40">
        <f t="array" ref="A4327">IFNA(index(PlayerValues!A:A,match(IFNA(vlookup(B4327,'Special Names'!A:B,2,FALSE),B4327),PlayerValues!E:E,0)),"N/A")</f>
        <v>16608</v>
      </c>
      <c r="B4327" s="4" t="s">
        <v>629</v>
      </c>
      <c r="C4327" s="4" t="s">
        <v>278</v>
      </c>
      <c r="D4327" s="94">
        <v>1640.0</v>
      </c>
    </row>
    <row r="4328">
      <c r="A4328" s="40">
        <f t="array" ref="A4328">IFNA(index(PlayerValues!A:A,match(IFNA(vlookup(B4328,'Special Names'!A:B,2,FALSE),B4328),PlayerValues!E:E,0)),"N/A")</f>
        <v>17096</v>
      </c>
      <c r="B4328" s="4" t="s">
        <v>638</v>
      </c>
      <c r="C4328" s="4" t="s">
        <v>287</v>
      </c>
      <c r="D4328" s="94">
        <v>1628.0</v>
      </c>
    </row>
    <row r="4329">
      <c r="A4329" s="40">
        <f t="array" ref="A4329">IFNA(index(PlayerValues!A:A,match(IFNA(vlookup(B4329,'Special Names'!A:B,2,FALSE),B4329),PlayerValues!E:E,0)),"N/A")</f>
        <v>16201</v>
      </c>
      <c r="B4329" s="4" t="s">
        <v>589</v>
      </c>
      <c r="C4329" s="4" t="s">
        <v>287</v>
      </c>
      <c r="D4329" s="94">
        <v>1610.0</v>
      </c>
    </row>
    <row r="4330">
      <c r="A4330" s="40">
        <f t="array" ref="A4330">IFNA(index(PlayerValues!A:A,match(IFNA(vlookup(B4330,'Special Names'!A:B,2,FALSE),B4330),PlayerValues!E:E,0)),"N/A")</f>
        <v>16585</v>
      </c>
      <c r="B4330" s="4" t="s">
        <v>623</v>
      </c>
      <c r="C4330" s="4" t="s">
        <v>283</v>
      </c>
      <c r="D4330" s="94">
        <v>1597.0</v>
      </c>
    </row>
    <row r="4331">
      <c r="A4331" s="40" t="str">
        <f t="array" ref="A4331">IFNA(index(PlayerValues!A:A,match(IFNA(vlookup(B4331,'Special Names'!A:B,2,FALSE),B4331),PlayerValues!E:E,0)),"N/A")</f>
        <v>N/A</v>
      </c>
      <c r="B4331" s="4" t="s">
        <v>90</v>
      </c>
      <c r="C4331" s="4" t="s">
        <v>325</v>
      </c>
      <c r="D4331" s="94">
        <v>1593.0</v>
      </c>
    </row>
    <row r="4332">
      <c r="A4332" s="40">
        <f t="array" ref="A4332">IFNA(index(PlayerValues!A:A,match(IFNA(vlookup(B4332,'Special Names'!A:B,2,FALSE),B4332),PlayerValues!E:E,0)),"N/A")</f>
        <v>16635</v>
      </c>
      <c r="B4332" s="4" t="s">
        <v>645</v>
      </c>
      <c r="C4332" s="4" t="s">
        <v>287</v>
      </c>
      <c r="D4332" s="94">
        <v>1592.0</v>
      </c>
    </row>
    <row r="4333">
      <c r="A4333" s="40">
        <f t="array" ref="A4333">IFNA(index(PlayerValues!A:A,match(IFNA(vlookup(B4333,'Special Names'!A:B,2,FALSE),B4333),PlayerValues!E:E,0)),"N/A")</f>
        <v>17035</v>
      </c>
      <c r="B4333" s="4" t="s">
        <v>650</v>
      </c>
      <c r="C4333" s="4" t="s">
        <v>283</v>
      </c>
      <c r="D4333" s="94">
        <v>1592.0</v>
      </c>
    </row>
    <row r="4334">
      <c r="A4334" s="40">
        <f t="array" ref="A4334">IFNA(index(PlayerValues!A:A,match(IFNA(vlookup(B4334,'Special Names'!A:B,2,FALSE),B4334),PlayerValues!E:E,0)),"N/A")</f>
        <v>14122</v>
      </c>
      <c r="B4334" s="4" t="s">
        <v>663</v>
      </c>
      <c r="C4334" s="4" t="s">
        <v>287</v>
      </c>
      <c r="D4334" s="94">
        <v>1585.0</v>
      </c>
    </row>
    <row r="4335">
      <c r="A4335" s="40">
        <f t="array" ref="A4335">IFNA(index(PlayerValues!A:A,match(IFNA(vlookup(B4335,'Special Names'!A:B,2,FALSE),B4335),PlayerValues!E:E,0)),"N/A")</f>
        <v>16629</v>
      </c>
      <c r="B4335" s="4" t="s">
        <v>605</v>
      </c>
      <c r="C4335" s="4" t="s">
        <v>287</v>
      </c>
      <c r="D4335" s="94">
        <v>1585.0</v>
      </c>
    </row>
    <row r="4336">
      <c r="A4336" s="40">
        <f t="array" ref="A4336">IFNA(index(PlayerValues!A:A,match(IFNA(vlookup(B4336,'Special Names'!A:B,2,FALSE),B4336),PlayerValues!E:E,0)),"N/A")</f>
        <v>17064</v>
      </c>
      <c r="B4336" s="4" t="s">
        <v>631</v>
      </c>
      <c r="C4336" s="4" t="s">
        <v>278</v>
      </c>
      <c r="D4336" s="94">
        <v>1576.0</v>
      </c>
    </row>
    <row r="4337">
      <c r="A4337" s="40">
        <f t="array" ref="A4337">IFNA(index(PlayerValues!A:A,match(IFNA(vlookup(B4337,'Special Names'!A:B,2,FALSE),B4337),PlayerValues!E:E,0)),"N/A")</f>
        <v>14840</v>
      </c>
      <c r="B4337" s="4" t="s">
        <v>731</v>
      </c>
      <c r="C4337" s="4" t="s">
        <v>287</v>
      </c>
      <c r="D4337" s="94">
        <v>1571.0</v>
      </c>
    </row>
    <row r="4338">
      <c r="A4338" s="40">
        <f t="array" ref="A4338">IFNA(index(PlayerValues!A:A,match(IFNA(vlookup(B4338,'Special Names'!A:B,2,FALSE),B4338),PlayerValues!E:E,0)),"N/A")</f>
        <v>15337</v>
      </c>
      <c r="B4338" s="4" t="s">
        <v>655</v>
      </c>
      <c r="C4338" s="4" t="s">
        <v>298</v>
      </c>
      <c r="D4338" s="94">
        <v>1927.0</v>
      </c>
    </row>
    <row r="4339">
      <c r="A4339" s="40">
        <f t="array" ref="A4339">IFNA(index(PlayerValues!A:A,match(IFNA(vlookup(B4339,'Special Names'!A:B,2,FALSE),B4339),PlayerValues!E:E,0)),"N/A")</f>
        <v>12801</v>
      </c>
      <c r="B4339" s="4" t="s">
        <v>722</v>
      </c>
      <c r="C4339" s="4" t="s">
        <v>287</v>
      </c>
      <c r="D4339" s="94">
        <v>1539.0</v>
      </c>
    </row>
    <row r="4340">
      <c r="A4340" s="40" t="str">
        <f t="array" ref="A4340">IFNA(index(PlayerValues!A:A,match(IFNA(vlookup(B4340,'Special Names'!A:B,2,FALSE),B4340),PlayerValues!E:E,0)),"N/A")</f>
        <v>N/A</v>
      </c>
      <c r="B4340" s="4" t="s">
        <v>91</v>
      </c>
      <c r="C4340" s="4" t="s">
        <v>325</v>
      </c>
      <c r="D4340" s="94">
        <v>1533.0</v>
      </c>
    </row>
    <row r="4341">
      <c r="A4341" s="40" t="str">
        <f t="array" ref="A4341">IFNA(index(PlayerValues!A:A,match(IFNA(vlookup(B4341,'Special Names'!A:B,2,FALSE),B4341),PlayerValues!E:E,0)),"N/A")</f>
        <v>N/A</v>
      </c>
      <c r="B4341" s="4" t="s">
        <v>116</v>
      </c>
      <c r="C4341" s="4" t="s">
        <v>325</v>
      </c>
      <c r="D4341" s="94">
        <v>1523.0</v>
      </c>
    </row>
    <row r="4342">
      <c r="A4342" s="40">
        <f t="array" ref="A4342">IFNA(index(PlayerValues!A:A,match(IFNA(vlookup(B4342,'Special Names'!A:B,2,FALSE),B4342),PlayerValues!E:E,0)),"N/A")</f>
        <v>15319</v>
      </c>
      <c r="B4342" s="4" t="s">
        <v>644</v>
      </c>
      <c r="C4342" s="4" t="s">
        <v>287</v>
      </c>
      <c r="D4342" s="94">
        <v>1520.0</v>
      </c>
    </row>
    <row r="4343">
      <c r="A4343" s="40">
        <f t="array" ref="A4343">IFNA(index(PlayerValues!A:A,match(IFNA(vlookup(B4343,'Special Names'!A:B,2,FALSE),B4343),PlayerValues!E:E,0)),"N/A")</f>
        <v>16595</v>
      </c>
      <c r="B4343" s="4" t="s">
        <v>664</v>
      </c>
      <c r="C4343" s="4" t="s">
        <v>278</v>
      </c>
      <c r="D4343" s="94">
        <v>1515.0</v>
      </c>
    </row>
    <row r="4344">
      <c r="A4344" s="40">
        <f t="array" ref="A4344">IFNA(index(PlayerValues!A:A,match(IFNA(vlookup(B4344,'Special Names'!A:B,2,FALSE),B4344),PlayerValues!E:E,0)),"N/A")</f>
        <v>16601</v>
      </c>
      <c r="B4344" s="4" t="s">
        <v>648</v>
      </c>
      <c r="C4344" s="4" t="s">
        <v>278</v>
      </c>
      <c r="D4344" s="94">
        <v>1513.0</v>
      </c>
    </row>
    <row r="4345">
      <c r="A4345" s="40">
        <f t="array" ref="A4345">IFNA(index(PlayerValues!A:A,match(IFNA(vlookup(B4345,'Special Names'!A:B,2,FALSE),B4345),PlayerValues!E:E,0)),"N/A")</f>
        <v>17465</v>
      </c>
      <c r="B4345" s="4" t="s">
        <v>649</v>
      </c>
      <c r="C4345" s="4" t="s">
        <v>283</v>
      </c>
      <c r="D4345" s="94">
        <v>1500.0</v>
      </c>
    </row>
    <row r="4346">
      <c r="A4346" s="40">
        <f t="array" ref="A4346">IFNA(index(PlayerValues!A:A,match(IFNA(vlookup(B4346,'Special Names'!A:B,2,FALSE),B4346),PlayerValues!E:E,0)),"N/A")</f>
        <v>13672</v>
      </c>
      <c r="B4346" s="4" t="s">
        <v>667</v>
      </c>
      <c r="C4346" s="4" t="s">
        <v>298</v>
      </c>
      <c r="D4346" s="94">
        <v>1871.0</v>
      </c>
    </row>
    <row r="4347">
      <c r="A4347" s="40">
        <f t="array" ref="A4347">IFNA(index(PlayerValues!A:A,match(IFNA(vlookup(B4347,'Special Names'!A:B,2,FALSE),B4347),PlayerValues!E:E,0)),"N/A")</f>
        <v>15301</v>
      </c>
      <c r="B4347" s="4" t="s">
        <v>657</v>
      </c>
      <c r="C4347" s="4" t="s">
        <v>287</v>
      </c>
      <c r="D4347" s="94">
        <v>1495.0</v>
      </c>
    </row>
    <row r="4348">
      <c r="A4348" s="40">
        <f t="array" ref="A4348">IFNA(index(PlayerValues!A:A,match(IFNA(vlookup(B4348,'Special Names'!A:B,2,FALSE),B4348),PlayerValues!E:E,0)),"N/A")</f>
        <v>16387</v>
      </c>
      <c r="B4348" s="4" t="s">
        <v>646</v>
      </c>
      <c r="C4348" s="4" t="s">
        <v>278</v>
      </c>
      <c r="D4348" s="94">
        <v>1494.0</v>
      </c>
    </row>
    <row r="4349">
      <c r="A4349" s="40">
        <f t="array" ref="A4349">IFNA(index(PlayerValues!A:A,match(IFNA(vlookup(B4349,'Special Names'!A:B,2,FALSE),B4349),PlayerValues!E:E,0)),"N/A")</f>
        <v>15738</v>
      </c>
      <c r="B4349" s="4" t="s">
        <v>634</v>
      </c>
      <c r="C4349" s="4" t="s">
        <v>278</v>
      </c>
      <c r="D4349" s="94">
        <v>1485.0</v>
      </c>
    </row>
    <row r="4350">
      <c r="A4350" s="40">
        <f t="array" ref="A4350">IFNA(index(PlayerValues!A:A,match(IFNA(vlookup(B4350,'Special Names'!A:B,2,FALSE),B4350),PlayerValues!E:E,0)),"N/A")</f>
        <v>17652</v>
      </c>
      <c r="B4350" s="4" t="s">
        <v>576</v>
      </c>
      <c r="C4350" s="4" t="s">
        <v>278</v>
      </c>
      <c r="D4350" s="94">
        <v>1479.0</v>
      </c>
    </row>
    <row r="4351">
      <c r="A4351" s="40">
        <f t="array" ref="A4351">IFNA(index(PlayerValues!A:A,match(IFNA(vlookup(B4351,'Special Names'!A:B,2,FALSE),B4351),PlayerValues!E:E,0)),"N/A")</f>
        <v>17234</v>
      </c>
      <c r="B4351" s="4" t="s">
        <v>653</v>
      </c>
      <c r="C4351" s="4" t="s">
        <v>287</v>
      </c>
      <c r="D4351" s="94">
        <v>1463.0</v>
      </c>
    </row>
    <row r="4352">
      <c r="A4352" s="40">
        <f t="array" ref="A4352">IFNA(index(PlayerValues!A:A,match(IFNA(vlookup(B4352,'Special Names'!A:B,2,FALSE),B4352),PlayerValues!E:E,0)),"N/A")</f>
        <v>16586</v>
      </c>
      <c r="B4352" s="4" t="s">
        <v>658</v>
      </c>
      <c r="C4352" s="4" t="s">
        <v>283</v>
      </c>
      <c r="D4352" s="94">
        <v>1461.0</v>
      </c>
    </row>
    <row r="4353">
      <c r="A4353" s="40">
        <f t="array" ref="A4353">IFNA(index(PlayerValues!A:A,match(IFNA(vlookup(B4353,'Special Names'!A:B,2,FALSE),B4353),PlayerValues!E:E,0)),"N/A")</f>
        <v>14086</v>
      </c>
      <c r="B4353" s="4" t="s">
        <v>639</v>
      </c>
      <c r="C4353" s="4" t="s">
        <v>278</v>
      </c>
      <c r="D4353" s="94">
        <v>1459.0</v>
      </c>
    </row>
    <row r="4354">
      <c r="A4354" s="40">
        <f t="array" ref="A4354">IFNA(index(PlayerValues!A:A,match(IFNA(vlookup(B4354,'Special Names'!A:B,2,FALSE),B4354),PlayerValues!E:E,0)),"N/A")</f>
        <v>14105</v>
      </c>
      <c r="B4354" s="4" t="s">
        <v>675</v>
      </c>
      <c r="C4354" s="4" t="s">
        <v>287</v>
      </c>
      <c r="D4354" s="94">
        <v>1442.0</v>
      </c>
    </row>
    <row r="4355">
      <c r="A4355" s="40">
        <f t="array" ref="A4355">IFNA(index(PlayerValues!A:A,match(IFNA(vlookup(B4355,'Special Names'!A:B,2,FALSE),B4355),PlayerValues!E:E,0)),"N/A")</f>
        <v>17205</v>
      </c>
      <c r="B4355" s="4" t="s">
        <v>665</v>
      </c>
      <c r="C4355" s="4" t="s">
        <v>287</v>
      </c>
      <c r="D4355" s="94">
        <v>1440.0</v>
      </c>
    </row>
    <row r="4356">
      <c r="A4356" s="40">
        <f t="array" ref="A4356">IFNA(index(PlayerValues!A:A,match(IFNA(vlookup(B4356,'Special Names'!A:B,2,FALSE),B4356),PlayerValues!E:E,0)),"N/A")</f>
        <v>16688</v>
      </c>
      <c r="B4356" s="4" t="s">
        <v>688</v>
      </c>
      <c r="C4356" s="4" t="s">
        <v>278</v>
      </c>
      <c r="D4356" s="94">
        <v>1427.0</v>
      </c>
    </row>
    <row r="4357">
      <c r="A4357" s="40">
        <f t="array" ref="A4357">IFNA(index(PlayerValues!A:A,match(IFNA(vlookup(B4357,'Special Names'!A:B,2,FALSE),B4357),PlayerValues!E:E,0)),"N/A")</f>
        <v>15713</v>
      </c>
      <c r="B4357" s="4" t="s">
        <v>732</v>
      </c>
      <c r="C4357" s="4" t="s">
        <v>278</v>
      </c>
      <c r="D4357" s="94">
        <v>1421.0</v>
      </c>
    </row>
    <row r="4358">
      <c r="A4358" s="40">
        <f t="array" ref="A4358">IFNA(index(PlayerValues!A:A,match(IFNA(vlookup(B4358,'Special Names'!A:B,2,FALSE),B4358),PlayerValues!E:E,0)),"N/A")</f>
        <v>16621</v>
      </c>
      <c r="B4358" s="4" t="s">
        <v>672</v>
      </c>
      <c r="C4358" s="4" t="s">
        <v>287</v>
      </c>
      <c r="D4358" s="94">
        <v>1410.0</v>
      </c>
    </row>
    <row r="4359">
      <c r="A4359" s="40">
        <f t="array" ref="A4359">IFNA(index(PlayerValues!A:A,match(IFNA(vlookup(B4359,'Special Names'!A:B,2,FALSE),B4359),PlayerValues!E:E,0)),"N/A")</f>
        <v>14137</v>
      </c>
      <c r="B4359" s="4" t="s">
        <v>676</v>
      </c>
      <c r="C4359" s="4" t="s">
        <v>298</v>
      </c>
      <c r="D4359" s="94">
        <v>1778.0</v>
      </c>
    </row>
    <row r="4360">
      <c r="A4360" s="40">
        <f t="array" ref="A4360">IFNA(index(PlayerValues!A:A,match(IFNA(vlookup(B4360,'Special Names'!A:B,2,FALSE),B4360),PlayerValues!E:E,0)),"N/A")</f>
        <v>15759</v>
      </c>
      <c r="B4360" s="4" t="s">
        <v>662</v>
      </c>
      <c r="C4360" s="4" t="s">
        <v>287</v>
      </c>
      <c r="D4360" s="94">
        <v>1406.0</v>
      </c>
    </row>
    <row r="4361">
      <c r="A4361" s="40">
        <f t="array" ref="A4361">IFNA(index(PlayerValues!A:A,match(IFNA(vlookup(B4361,'Special Names'!A:B,2,FALSE),B4361),PlayerValues!E:E,0)),"N/A")</f>
        <v>16633</v>
      </c>
      <c r="B4361" s="4" t="s">
        <v>656</v>
      </c>
      <c r="C4361" s="4" t="s">
        <v>287</v>
      </c>
      <c r="D4361" s="94">
        <v>1402.0</v>
      </c>
    </row>
    <row r="4362">
      <c r="A4362" s="40">
        <f t="array" ref="A4362">IFNA(index(PlayerValues!A:A,match(IFNA(vlookup(B4362,'Special Names'!A:B,2,FALSE),B4362),PlayerValues!E:E,0)),"N/A")</f>
        <v>16788</v>
      </c>
      <c r="B4362" s="4" t="s">
        <v>621</v>
      </c>
      <c r="C4362" s="4" t="s">
        <v>287</v>
      </c>
      <c r="D4362" s="94">
        <v>1400.0</v>
      </c>
    </row>
    <row r="4363">
      <c r="A4363" s="40">
        <f t="array" ref="A4363">IFNA(index(PlayerValues!A:A,match(IFNA(vlookup(B4363,'Special Names'!A:B,2,FALSE),B4363),PlayerValues!E:E,0)),"N/A")</f>
        <v>15292</v>
      </c>
      <c r="B4363" s="4" t="s">
        <v>682</v>
      </c>
      <c r="C4363" s="4" t="s">
        <v>287</v>
      </c>
      <c r="D4363" s="94">
        <v>1396.0</v>
      </c>
    </row>
    <row r="4364">
      <c r="A4364" s="40">
        <f t="array" ref="A4364">IFNA(index(PlayerValues!A:A,match(IFNA(vlookup(B4364,'Special Names'!A:B,2,FALSE),B4364),PlayerValues!E:E,0)),"N/A")</f>
        <v>16631</v>
      </c>
      <c r="B4364" s="4" t="s">
        <v>800</v>
      </c>
      <c r="C4364" s="4" t="s">
        <v>287</v>
      </c>
      <c r="D4364" s="94">
        <v>1393.0</v>
      </c>
    </row>
    <row r="4365">
      <c r="A4365" s="40">
        <f t="array" ref="A4365">IFNA(index(PlayerValues!A:A,match(IFNA(vlookup(B4365,'Special Names'!A:B,2,FALSE),B4365),PlayerValues!E:E,0)),"N/A")</f>
        <v>15873</v>
      </c>
      <c r="B4365" s="4" t="s">
        <v>681</v>
      </c>
      <c r="C4365" s="4" t="s">
        <v>298</v>
      </c>
      <c r="D4365" s="94">
        <v>1755.0</v>
      </c>
    </row>
    <row r="4366">
      <c r="A4366" s="40">
        <f t="array" ref="A4366">IFNA(index(PlayerValues!A:A,match(IFNA(vlookup(B4366,'Special Names'!A:B,2,FALSE),B4366),PlayerValues!E:E,0)),"N/A")</f>
        <v>16175</v>
      </c>
      <c r="B4366" s="4" t="s">
        <v>654</v>
      </c>
      <c r="C4366" s="4" t="s">
        <v>278</v>
      </c>
      <c r="D4366" s="94">
        <v>1377.0</v>
      </c>
    </row>
    <row r="4367">
      <c r="A4367" s="40">
        <f t="array" ref="A4367">IFNA(index(PlayerValues!A:A,match(IFNA(vlookup(B4367,'Special Names'!A:B,2,FALSE),B4367),PlayerValues!E:E,0)),"N/A")</f>
        <v>16645</v>
      </c>
      <c r="B4367" s="4" t="s">
        <v>651</v>
      </c>
      <c r="C4367" s="4" t="s">
        <v>298</v>
      </c>
      <c r="D4367" s="94">
        <v>1736.0</v>
      </c>
    </row>
    <row r="4368">
      <c r="A4368" s="40">
        <f t="array" ref="A4368">IFNA(index(PlayerValues!A:A,match(IFNA(vlookup(B4368,'Special Names'!A:B,2,FALSE),B4368),PlayerValues!E:E,0)),"N/A")</f>
        <v>15777</v>
      </c>
      <c r="B4368" s="4" t="s">
        <v>694</v>
      </c>
      <c r="C4368" s="4" t="s">
        <v>287</v>
      </c>
      <c r="D4368" s="94">
        <v>1352.0</v>
      </c>
    </row>
    <row r="4369">
      <c r="A4369" s="40">
        <f t="array" ref="A4369">IFNA(index(PlayerValues!A:A,match(IFNA(vlookup(B4369,'Special Names'!A:B,2,FALSE),B4369),PlayerValues!E:E,0)),"N/A")</f>
        <v>16642</v>
      </c>
      <c r="B4369" s="4" t="s">
        <v>691</v>
      </c>
      <c r="C4369" s="4" t="s">
        <v>298</v>
      </c>
      <c r="D4369" s="94">
        <v>1715.0</v>
      </c>
    </row>
    <row r="4370">
      <c r="A4370" s="40">
        <f t="array" ref="A4370">IFNA(index(PlayerValues!A:A,match(IFNA(vlookup(B4370,'Special Names'!A:B,2,FALSE),B4370),PlayerValues!E:E,0)),"N/A")</f>
        <v>16390</v>
      </c>
      <c r="B4370" s="4" t="s">
        <v>689</v>
      </c>
      <c r="C4370" s="4" t="s">
        <v>278</v>
      </c>
      <c r="D4370" s="94">
        <v>1330.0</v>
      </c>
    </row>
    <row r="4371">
      <c r="A4371" s="40">
        <f t="array" ref="A4371">IFNA(index(PlayerValues!A:A,match(IFNA(vlookup(B4371,'Special Names'!A:B,2,FALSE),B4371),PlayerValues!E:E,0)),"N/A")</f>
        <v>17054</v>
      </c>
      <c r="B4371" s="4" t="s">
        <v>670</v>
      </c>
      <c r="C4371" s="4" t="s">
        <v>278</v>
      </c>
      <c r="D4371" s="94">
        <v>1323.0</v>
      </c>
    </row>
    <row r="4372">
      <c r="A4372" s="40" t="str">
        <f t="array" ref="A4372">IFNA(index(PlayerValues!A:A,match(IFNA(vlookup(B4372,'Special Names'!A:B,2,FALSE),B4372),PlayerValues!E:E,0)),"N/A")</f>
        <v>N/A</v>
      </c>
      <c r="B4372" s="4" t="s">
        <v>117</v>
      </c>
      <c r="C4372" s="4" t="s">
        <v>325</v>
      </c>
      <c r="D4372" s="94">
        <v>1317.0</v>
      </c>
    </row>
    <row r="4373">
      <c r="A4373" s="40">
        <f t="array" ref="A4373">IFNA(index(PlayerValues!A:A,match(IFNA(vlookup(B4373,'Special Names'!A:B,2,FALSE),B4373),PlayerValues!E:E,0)),"N/A")</f>
        <v>16792</v>
      </c>
      <c r="B4373" s="4" t="s">
        <v>704</v>
      </c>
      <c r="C4373" s="4" t="s">
        <v>287</v>
      </c>
      <c r="D4373" s="94">
        <v>1310.0</v>
      </c>
    </row>
    <row r="4374">
      <c r="A4374" s="40">
        <f t="array" ref="A4374">IFNA(index(PlayerValues!A:A,match(IFNA(vlookup(B4374,'Special Names'!A:B,2,FALSE),B4374),PlayerValues!E:E,0)),"N/A")</f>
        <v>17254</v>
      </c>
      <c r="B4374" s="4" t="s">
        <v>679</v>
      </c>
      <c r="C4374" s="4" t="s">
        <v>287</v>
      </c>
      <c r="D4374" s="94">
        <v>1303.0</v>
      </c>
    </row>
    <row r="4375">
      <c r="A4375" s="40">
        <f t="array" ref="A4375">IFNA(index(PlayerValues!A:A,match(IFNA(vlookup(B4375,'Special Names'!A:B,2,FALSE),B4375),PlayerValues!E:E,0)),"N/A")</f>
        <v>16746</v>
      </c>
      <c r="B4375" s="4" t="s">
        <v>709</v>
      </c>
      <c r="C4375" s="4" t="s">
        <v>278</v>
      </c>
      <c r="D4375" s="94">
        <v>1301.0</v>
      </c>
    </row>
    <row r="4376">
      <c r="A4376" s="40">
        <f t="array" ref="A4376">IFNA(index(PlayerValues!A:A,match(IFNA(vlookup(B4376,'Special Names'!A:B,2,FALSE),B4376),PlayerValues!E:E,0)),"N/A")</f>
        <v>17063</v>
      </c>
      <c r="B4376" s="4" t="s">
        <v>686</v>
      </c>
      <c r="C4376" s="4" t="s">
        <v>278</v>
      </c>
      <c r="D4376" s="94">
        <v>1298.0</v>
      </c>
    </row>
    <row r="4377">
      <c r="A4377" s="40">
        <f t="array" ref="A4377">IFNA(index(PlayerValues!A:A,match(IFNA(vlookup(B4377,'Special Names'!A:B,2,FALSE),B4377),PlayerValues!E:E,0)),"N/A")</f>
        <v>17475</v>
      </c>
      <c r="B4377" s="4" t="s">
        <v>615</v>
      </c>
      <c r="C4377" s="4" t="s">
        <v>278</v>
      </c>
      <c r="D4377" s="94">
        <v>1297.0</v>
      </c>
    </row>
    <row r="4378">
      <c r="A4378" s="40">
        <f t="array" ref="A4378">IFNA(index(PlayerValues!A:A,match(IFNA(vlookup(B4378,'Special Names'!A:B,2,FALSE),B4378),PlayerValues!E:E,0)),"N/A")</f>
        <v>12678</v>
      </c>
      <c r="B4378" s="4" t="s">
        <v>703</v>
      </c>
      <c r="C4378" s="4" t="s">
        <v>298</v>
      </c>
      <c r="D4378" s="94">
        <v>1665.0</v>
      </c>
    </row>
    <row r="4379">
      <c r="A4379" s="40">
        <f t="array" ref="A4379">IFNA(index(PlayerValues!A:A,match(IFNA(vlookup(B4379,'Special Names'!A:B,2,FALSE),B4379),PlayerValues!E:E,0)),"N/A")</f>
        <v>17097</v>
      </c>
      <c r="B4379" s="4" t="s">
        <v>659</v>
      </c>
      <c r="C4379" s="4" t="s">
        <v>287</v>
      </c>
      <c r="D4379" s="94">
        <v>1294.0</v>
      </c>
    </row>
    <row r="4380">
      <c r="A4380" s="40">
        <f t="array" ref="A4380">IFNA(index(PlayerValues!A:A,match(IFNA(vlookup(B4380,'Special Names'!A:B,2,FALSE),B4380),PlayerValues!E:E,0)),"N/A")</f>
        <v>14095</v>
      </c>
      <c r="B4380" s="4" t="s">
        <v>680</v>
      </c>
      <c r="C4380" s="4" t="s">
        <v>278</v>
      </c>
      <c r="D4380" s="94">
        <v>1282.0</v>
      </c>
    </row>
    <row r="4381">
      <c r="A4381" s="40">
        <f t="array" ref="A4381">IFNA(index(PlayerValues!A:A,match(IFNA(vlookup(B4381,'Special Names'!A:B,2,FALSE),B4381),PlayerValues!E:E,0)),"N/A")</f>
        <v>16183</v>
      </c>
      <c r="B4381" s="4" t="s">
        <v>678</v>
      </c>
      <c r="C4381" s="4" t="s">
        <v>287</v>
      </c>
      <c r="D4381" s="94">
        <v>1276.0</v>
      </c>
    </row>
    <row r="4382">
      <c r="A4382" s="40">
        <f t="array" ref="A4382">IFNA(index(PlayerValues!A:A,match(IFNA(vlookup(B4382,'Special Names'!A:B,2,FALSE),B4382),PlayerValues!E:E,0)),"N/A")</f>
        <v>16384</v>
      </c>
      <c r="B4382" s="4" t="s">
        <v>696</v>
      </c>
      <c r="C4382" s="4" t="s">
        <v>283</v>
      </c>
      <c r="D4382" s="94">
        <v>1269.0</v>
      </c>
    </row>
    <row r="4383">
      <c r="A4383" s="40">
        <f t="array" ref="A4383">IFNA(index(PlayerValues!A:A,match(IFNA(vlookup(B4383,'Special Names'!A:B,2,FALSE),B4383),PlayerValues!E:E,0)),"N/A")</f>
        <v>16636</v>
      </c>
      <c r="B4383" s="4" t="s">
        <v>699</v>
      </c>
      <c r="C4383" s="4" t="s">
        <v>287</v>
      </c>
      <c r="D4383" s="94">
        <v>1269.0</v>
      </c>
    </row>
    <row r="4384">
      <c r="A4384" s="40">
        <f t="array" ref="A4384">IFNA(index(PlayerValues!A:A,match(IFNA(vlookup(B4384,'Special Names'!A:B,2,FALSE),B4384),PlayerValues!E:E,0)),"N/A")</f>
        <v>12140</v>
      </c>
      <c r="B4384" s="4" t="s">
        <v>702</v>
      </c>
      <c r="C4384" s="4" t="s">
        <v>283</v>
      </c>
      <c r="D4384" s="94">
        <v>1258.0</v>
      </c>
    </row>
    <row r="4385">
      <c r="A4385" s="40">
        <f t="array" ref="A4385">IFNA(index(PlayerValues!A:A,match(IFNA(vlookup(B4385,'Special Names'!A:B,2,FALSE),B4385),PlayerValues!E:E,0)),"N/A")</f>
        <v>17657</v>
      </c>
      <c r="B4385" s="4" t="s">
        <v>642</v>
      </c>
      <c r="C4385" s="4" t="s">
        <v>283</v>
      </c>
      <c r="D4385" s="94">
        <v>1256.0</v>
      </c>
    </row>
    <row r="4386">
      <c r="A4386" s="40">
        <f t="array" ref="A4386">IFNA(index(PlayerValues!A:A,match(IFNA(vlookup(B4386,'Special Names'!A:B,2,FALSE),B4386),PlayerValues!E:E,0)),"N/A")</f>
        <v>14592</v>
      </c>
      <c r="B4386" s="4" t="s">
        <v>705</v>
      </c>
      <c r="C4386" s="4" t="s">
        <v>287</v>
      </c>
      <c r="D4386" s="94">
        <v>1255.0</v>
      </c>
    </row>
    <row r="4387">
      <c r="A4387" s="40">
        <f t="array" ref="A4387">IFNA(index(PlayerValues!A:A,match(IFNA(vlookup(B4387,'Special Names'!A:B,2,FALSE),B4387),PlayerValues!E:E,0)),"N/A")</f>
        <v>15332</v>
      </c>
      <c r="B4387" s="4" t="s">
        <v>698</v>
      </c>
      <c r="C4387" s="4" t="s">
        <v>298</v>
      </c>
      <c r="D4387" s="94">
        <v>1616.0</v>
      </c>
    </row>
    <row r="4388">
      <c r="A4388" s="40">
        <f t="array" ref="A4388">IFNA(index(PlayerValues!A:A,match(IFNA(vlookup(B4388,'Special Names'!A:B,2,FALSE),B4388),PlayerValues!E:E,0)),"N/A")</f>
        <v>17510</v>
      </c>
      <c r="B4388" s="4" t="s">
        <v>661</v>
      </c>
      <c r="C4388" s="4" t="s">
        <v>287</v>
      </c>
      <c r="D4388" s="94">
        <v>1245.0</v>
      </c>
    </row>
    <row r="4389">
      <c r="A4389" s="40">
        <f t="array" ref="A4389">IFNA(index(PlayerValues!A:A,match(IFNA(vlookup(B4389,'Special Names'!A:B,2,FALSE),B4389),PlayerValues!E:E,0)),"N/A")</f>
        <v>17037</v>
      </c>
      <c r="B4389" s="4" t="s">
        <v>727</v>
      </c>
      <c r="C4389" s="4" t="s">
        <v>283</v>
      </c>
      <c r="D4389" s="94">
        <v>1239.0</v>
      </c>
    </row>
    <row r="4390">
      <c r="A4390" s="40">
        <f t="array" ref="A4390">IFNA(index(PlayerValues!A:A,match(IFNA(vlookup(B4390,'Special Names'!A:B,2,FALSE),B4390),PlayerValues!E:E,0)),"N/A")</f>
        <v>16883</v>
      </c>
      <c r="B4390" s="4" t="s">
        <v>683</v>
      </c>
      <c r="C4390" s="4" t="s">
        <v>287</v>
      </c>
      <c r="D4390" s="94">
        <v>1224.0</v>
      </c>
    </row>
    <row r="4391">
      <c r="A4391" s="40">
        <f t="array" ref="A4391">IFNA(index(PlayerValues!A:A,match(IFNA(vlookup(B4391,'Special Names'!A:B,2,FALSE),B4391),PlayerValues!E:E,0)),"N/A")</f>
        <v>15702</v>
      </c>
      <c r="B4391" s="4" t="s">
        <v>723</v>
      </c>
      <c r="C4391" s="4" t="s">
        <v>283</v>
      </c>
      <c r="D4391" s="94">
        <v>1222.0</v>
      </c>
    </row>
    <row r="4392">
      <c r="A4392" s="40">
        <f t="array" ref="A4392">IFNA(index(PlayerValues!A:A,match(IFNA(vlookup(B4392,'Special Names'!A:B,2,FALSE),B4392),PlayerValues!E:E,0)),"N/A")</f>
        <v>16385</v>
      </c>
      <c r="B4392" s="4" t="s">
        <v>690</v>
      </c>
      <c r="C4392" s="4" t="s">
        <v>278</v>
      </c>
      <c r="D4392" s="94">
        <v>1213.0</v>
      </c>
    </row>
    <row r="4393">
      <c r="A4393" s="40">
        <f t="array" ref="A4393">IFNA(index(PlayerValues!A:A,match(IFNA(vlookup(B4393,'Special Names'!A:B,2,FALSE),B4393),PlayerValues!E:E,0)),"N/A")</f>
        <v>16199</v>
      </c>
      <c r="B4393" s="4" t="s">
        <v>687</v>
      </c>
      <c r="C4393" s="4" t="s">
        <v>287</v>
      </c>
      <c r="D4393" s="94">
        <v>1208.0</v>
      </c>
    </row>
    <row r="4394">
      <c r="A4394" s="40">
        <f t="array" ref="A4394">IFNA(index(PlayerValues!A:A,match(IFNA(vlookup(B4394,'Special Names'!A:B,2,FALSE),B4394),PlayerValues!E:E,0)),"N/A")</f>
        <v>17062</v>
      </c>
      <c r="B4394" s="4" t="s">
        <v>701</v>
      </c>
      <c r="C4394" s="4" t="s">
        <v>278</v>
      </c>
      <c r="D4394" s="94">
        <v>1207.0</v>
      </c>
    </row>
    <row r="4395">
      <c r="A4395" s="40">
        <f t="array" ref="A4395">IFNA(index(PlayerValues!A:A,match(IFNA(vlookup(B4395,'Special Names'!A:B,2,FALSE),B4395),PlayerValues!E:E,0)),"N/A")</f>
        <v>17192</v>
      </c>
      <c r="B4395" s="4" t="s">
        <v>677</v>
      </c>
      <c r="C4395" s="4" t="s">
        <v>287</v>
      </c>
      <c r="D4395" s="94">
        <v>1207.0</v>
      </c>
    </row>
    <row r="4396">
      <c r="A4396" s="40">
        <f t="array" ref="A4396">IFNA(index(PlayerValues!A:A,match(IFNA(vlookup(B4396,'Special Names'!A:B,2,FALSE),B4396),PlayerValues!E:E,0)),"N/A")</f>
        <v>14080</v>
      </c>
      <c r="B4396" s="4" t="s">
        <v>716</v>
      </c>
      <c r="C4396" s="4" t="s">
        <v>278</v>
      </c>
      <c r="D4396" s="94">
        <v>1202.0</v>
      </c>
    </row>
    <row r="4397">
      <c r="A4397" s="40">
        <f t="array" ref="A4397">IFNA(index(PlayerValues!A:A,match(IFNA(vlookup(B4397,'Special Names'!A:B,2,FALSE),B4397),PlayerValues!E:E,0)),"N/A")</f>
        <v>13418</v>
      </c>
      <c r="B4397" s="4" t="s">
        <v>706</v>
      </c>
      <c r="C4397" s="4" t="s">
        <v>287</v>
      </c>
      <c r="D4397" s="94">
        <v>1201.0</v>
      </c>
    </row>
    <row r="4398">
      <c r="A4398" s="40">
        <f t="array" ref="A4398">IFNA(index(PlayerValues!A:A,match(IFNA(vlookup(B4398,'Special Names'!A:B,2,FALSE),B4398),PlayerValues!E:E,0)),"N/A")</f>
        <v>17518</v>
      </c>
      <c r="B4398" s="4" t="s">
        <v>482</v>
      </c>
      <c r="C4398" s="4" t="s">
        <v>287</v>
      </c>
      <c r="D4398" s="94">
        <v>1186.0</v>
      </c>
    </row>
    <row r="4399">
      <c r="A4399" s="40">
        <f t="array" ref="A4399">IFNA(index(PlayerValues!A:A,match(IFNA(vlookup(B4399,'Special Names'!A:B,2,FALSE),B4399),PlayerValues!E:E,0)),"N/A")</f>
        <v>14067</v>
      </c>
      <c r="B4399" s="4" t="s">
        <v>735</v>
      </c>
      <c r="C4399" s="4" t="s">
        <v>283</v>
      </c>
      <c r="D4399" s="94">
        <v>1173.0</v>
      </c>
    </row>
    <row r="4400">
      <c r="A4400" s="40">
        <f t="array" ref="A4400">IFNA(index(PlayerValues!A:A,match(IFNA(vlookup(B4400,'Special Names'!A:B,2,FALSE),B4400),PlayerValues!E:E,0)),"N/A")</f>
        <v>17077</v>
      </c>
      <c r="B4400" s="4" t="s">
        <v>714</v>
      </c>
      <c r="C4400" s="4" t="s">
        <v>287</v>
      </c>
      <c r="D4400" s="94">
        <v>1173.0</v>
      </c>
    </row>
    <row r="4401">
      <c r="A4401" s="40">
        <f t="array" ref="A4401">IFNA(index(PlayerValues!A:A,match(IFNA(vlookup(B4401,'Special Names'!A:B,2,FALSE),B4401),PlayerValues!E:E,0)),"N/A")</f>
        <v>17546</v>
      </c>
      <c r="B4401" s="4" t="s">
        <v>671</v>
      </c>
      <c r="C4401" s="4" t="s">
        <v>298</v>
      </c>
      <c r="D4401" s="94">
        <v>1541.0</v>
      </c>
    </row>
    <row r="4402">
      <c r="A4402" s="40">
        <f t="array" ref="A4402">IFNA(index(PlayerValues!A:A,match(IFNA(vlookup(B4402,'Special Names'!A:B,2,FALSE),B4402),PlayerValues!E:E,0)),"N/A")</f>
        <v>17109</v>
      </c>
      <c r="B4402" s="4" t="s">
        <v>707</v>
      </c>
      <c r="C4402" s="4" t="s">
        <v>298</v>
      </c>
      <c r="D4402" s="94">
        <v>1539.0</v>
      </c>
    </row>
    <row r="4403">
      <c r="A4403" s="40">
        <f t="array" ref="A4403">IFNA(index(PlayerValues!A:A,match(IFNA(vlookup(B4403,'Special Names'!A:B,2,FALSE),B4403),PlayerValues!E:E,0)),"N/A")</f>
        <v>11222</v>
      </c>
      <c r="B4403" s="4" t="s">
        <v>622</v>
      </c>
      <c r="C4403" s="4" t="s">
        <v>287</v>
      </c>
      <c r="D4403" s="94">
        <v>1166.0</v>
      </c>
    </row>
    <row r="4404">
      <c r="A4404" s="40">
        <f t="array" ref="A4404">IFNA(index(PlayerValues!A:A,match(IFNA(vlookup(B4404,'Special Names'!A:B,2,FALSE),B4404),PlayerValues!E:E,0)),"N/A")</f>
        <v>15252</v>
      </c>
      <c r="B4404" s="4" t="s">
        <v>715</v>
      </c>
      <c r="C4404" s="4" t="s">
        <v>283</v>
      </c>
      <c r="D4404" s="94">
        <v>1166.0</v>
      </c>
    </row>
    <row r="4405">
      <c r="A4405" s="40">
        <f t="array" ref="A4405">IFNA(index(PlayerValues!A:A,match(IFNA(vlookup(B4405,'Special Names'!A:B,2,FALSE),B4405),PlayerValues!E:E,0)),"N/A")</f>
        <v>15254</v>
      </c>
      <c r="B4405" s="4" t="s">
        <v>633</v>
      </c>
      <c r="C4405" s="4" t="s">
        <v>278</v>
      </c>
      <c r="D4405" s="94">
        <v>1164.0</v>
      </c>
    </row>
    <row r="4406">
      <c r="A4406" s="40">
        <f t="array" ref="A4406">IFNA(index(PlayerValues!A:A,match(IFNA(vlookup(B4406,'Special Names'!A:B,2,FALSE),B4406),PlayerValues!E:E,0)),"N/A")</f>
        <v>17269</v>
      </c>
      <c r="B4406" s="4" t="s">
        <v>718</v>
      </c>
      <c r="C4406" s="4" t="s">
        <v>287</v>
      </c>
      <c r="D4406" s="94">
        <v>1163.0</v>
      </c>
    </row>
    <row r="4407">
      <c r="A4407" s="40">
        <f t="array" ref="A4407">IFNA(index(PlayerValues!A:A,match(IFNA(vlookup(B4407,'Special Names'!A:B,2,FALSE),B4407),PlayerValues!E:E,0)),"N/A")</f>
        <v>16333</v>
      </c>
      <c r="B4407" s="4" t="s">
        <v>711</v>
      </c>
      <c r="C4407" s="4" t="s">
        <v>298</v>
      </c>
      <c r="D4407" s="94">
        <v>1530.0</v>
      </c>
    </row>
    <row r="4408">
      <c r="A4408" s="40">
        <f t="array" ref="A4408">IFNA(index(PlayerValues!A:A,match(IFNA(vlookup(B4408,'Special Names'!A:B,2,FALSE),B4408),PlayerValues!E:E,0)),"N/A")</f>
        <v>14108</v>
      </c>
      <c r="B4408" s="4" t="s">
        <v>673</v>
      </c>
      <c r="C4408" s="4" t="s">
        <v>287</v>
      </c>
      <c r="D4408" s="94">
        <v>1156.0</v>
      </c>
    </row>
    <row r="4409">
      <c r="A4409" s="40">
        <f t="array" ref="A4409">IFNA(index(PlayerValues!A:A,match(IFNA(vlookup(B4409,'Special Names'!A:B,2,FALSE),B4409),PlayerValues!E:E,0)),"N/A")</f>
        <v>14789</v>
      </c>
      <c r="B4409" s="4" t="s">
        <v>721</v>
      </c>
      <c r="C4409" s="4" t="s">
        <v>283</v>
      </c>
      <c r="D4409" s="94">
        <v>1151.0</v>
      </c>
    </row>
    <row r="4410">
      <c r="A4410" s="40">
        <f t="array" ref="A4410">IFNA(index(PlayerValues!A:A,match(IFNA(vlookup(B4410,'Special Names'!A:B,2,FALSE),B4410),PlayerValues!E:E,0)),"N/A")</f>
        <v>15288</v>
      </c>
      <c r="B4410" s="4" t="s">
        <v>700</v>
      </c>
      <c r="C4410" s="4" t="s">
        <v>287</v>
      </c>
      <c r="D4410" s="94">
        <v>1149.0</v>
      </c>
    </row>
    <row r="4411">
      <c r="A4411" s="40">
        <f t="array" ref="A4411">IFNA(index(PlayerValues!A:A,match(IFNA(vlookup(B4411,'Special Names'!A:B,2,FALSE),B4411),PlayerValues!E:E,0)),"N/A")</f>
        <v>17057</v>
      </c>
      <c r="B4411" s="4" t="s">
        <v>708</v>
      </c>
      <c r="C4411" s="4" t="s">
        <v>278</v>
      </c>
      <c r="D4411" s="94">
        <v>1147.0</v>
      </c>
    </row>
    <row r="4412">
      <c r="A4412" s="40">
        <f t="array" ref="A4412">IFNA(index(PlayerValues!A:A,match(IFNA(vlookup(B4412,'Special Names'!A:B,2,FALSE),B4412),PlayerValues!E:E,0)),"N/A")</f>
        <v>16221</v>
      </c>
      <c r="B4412" s="4" t="s">
        <v>725</v>
      </c>
      <c r="C4412" s="4" t="s">
        <v>298</v>
      </c>
      <c r="D4412" s="94">
        <v>1516.0</v>
      </c>
    </row>
    <row r="4413">
      <c r="A4413" s="40">
        <f t="array" ref="A4413">IFNA(index(PlayerValues!A:A,match(IFNA(vlookup(B4413,'Special Names'!A:B,2,FALSE),B4413),PlayerValues!E:E,0)),"N/A")</f>
        <v>17050</v>
      </c>
      <c r="B4413" s="4" t="s">
        <v>713</v>
      </c>
      <c r="C4413" s="4" t="s">
        <v>278</v>
      </c>
      <c r="D4413" s="94">
        <v>1133.0</v>
      </c>
    </row>
    <row r="4414">
      <c r="A4414" s="40">
        <f t="array" ref="A4414">IFNA(index(PlayerValues!A:A,match(IFNA(vlookup(B4414,'Special Names'!A:B,2,FALSE),B4414),PlayerValues!E:E,0)),"N/A")</f>
        <v>16640</v>
      </c>
      <c r="B4414" s="4" t="s">
        <v>712</v>
      </c>
      <c r="C4414" s="4" t="s">
        <v>287</v>
      </c>
      <c r="D4414" s="94">
        <v>1127.0</v>
      </c>
    </row>
    <row r="4415">
      <c r="A4415" s="40">
        <f t="array" ref="A4415">IFNA(index(PlayerValues!A:A,match(IFNA(vlookup(B4415,'Special Names'!A:B,2,FALSE),B4415),PlayerValues!E:E,0)),"N/A")</f>
        <v>15981</v>
      </c>
      <c r="B4415" s="4" t="s">
        <v>729</v>
      </c>
      <c r="C4415" s="4" t="s">
        <v>287</v>
      </c>
      <c r="D4415" s="94">
        <v>1112.0</v>
      </c>
    </row>
    <row r="4416">
      <c r="A4416" s="40">
        <f t="array" ref="A4416">IFNA(index(PlayerValues!A:A,match(IFNA(vlookup(B4416,'Special Names'!A:B,2,FALSE),B4416),PlayerValues!E:E,0)),"N/A")</f>
        <v>15795</v>
      </c>
      <c r="B4416" s="4" t="s">
        <v>669</v>
      </c>
      <c r="C4416" s="4" t="s">
        <v>298</v>
      </c>
      <c r="D4416" s="94">
        <v>1467.0</v>
      </c>
    </row>
    <row r="4417">
      <c r="A4417" s="40">
        <f t="array" ref="A4417">IFNA(index(PlayerValues!A:A,match(IFNA(vlookup(B4417,'Special Names'!A:B,2,FALSE),B4417),PlayerValues!E:E,0)),"N/A")</f>
        <v>17504</v>
      </c>
      <c r="B4417" s="4" t="s">
        <v>693</v>
      </c>
      <c r="C4417" s="4" t="s">
        <v>287</v>
      </c>
      <c r="D4417" s="94">
        <v>1088.0</v>
      </c>
    </row>
    <row r="4418">
      <c r="A4418" s="40">
        <f t="array" ref="A4418">IFNA(index(PlayerValues!A:A,match(IFNA(vlookup(B4418,'Special Names'!A:B,2,FALSE),B4418),PlayerValues!E:E,0)),"N/A")</f>
        <v>12141</v>
      </c>
      <c r="B4418" s="4" t="s">
        <v>744</v>
      </c>
      <c r="C4418" s="4" t="s">
        <v>283</v>
      </c>
      <c r="D4418" s="94">
        <v>1083.0</v>
      </c>
    </row>
    <row r="4419">
      <c r="A4419" s="40">
        <f t="array" ref="A4419">IFNA(index(PlayerValues!A:A,match(IFNA(vlookup(B4419,'Special Names'!A:B,2,FALSE),B4419),PlayerValues!E:E,0)),"N/A")</f>
        <v>16149</v>
      </c>
      <c r="B4419" s="4" t="s">
        <v>740</v>
      </c>
      <c r="C4419" s="4" t="s">
        <v>283</v>
      </c>
      <c r="D4419" s="94">
        <v>1071.0</v>
      </c>
    </row>
    <row r="4420">
      <c r="A4420" s="40">
        <f t="array" ref="A4420">IFNA(index(PlayerValues!A:A,match(IFNA(vlookup(B4420,'Special Names'!A:B,2,FALSE),B4420),PlayerValues!E:E,0)),"N/A")</f>
        <v>13289</v>
      </c>
      <c r="B4420" s="4" t="s">
        <v>746</v>
      </c>
      <c r="C4420" s="4" t="s">
        <v>287</v>
      </c>
      <c r="D4420" s="94">
        <v>1064.0</v>
      </c>
    </row>
    <row r="4421">
      <c r="A4421" s="40">
        <f t="array" ref="A4421">IFNA(index(PlayerValues!A:A,match(IFNA(vlookup(B4421,'Special Names'!A:B,2,FALSE),B4421),PlayerValues!E:E,0)),"N/A")</f>
        <v>16197</v>
      </c>
      <c r="B4421" s="4" t="s">
        <v>726</v>
      </c>
      <c r="C4421" s="4" t="s">
        <v>287</v>
      </c>
      <c r="D4421" s="94">
        <v>1064.0</v>
      </c>
    </row>
    <row r="4422">
      <c r="A4422" s="40">
        <f t="array" ref="A4422">IFNA(index(PlayerValues!A:A,match(IFNA(vlookup(B4422,'Special Names'!A:B,2,FALSE),B4422),PlayerValues!E:E,0)),"N/A")</f>
        <v>14845</v>
      </c>
      <c r="B4422" s="4" t="s">
        <v>717</v>
      </c>
      <c r="C4422" s="4" t="s">
        <v>287</v>
      </c>
      <c r="D4422" s="94">
        <v>1061.0</v>
      </c>
    </row>
    <row r="4423">
      <c r="A4423" s="40">
        <f t="array" ref="A4423">IFNA(index(PlayerValues!A:A,match(IFNA(vlookup(B4423,'Special Names'!A:B,2,FALSE),B4423),PlayerValues!E:E,0)),"N/A")</f>
        <v>15240</v>
      </c>
      <c r="B4423" s="4" t="s">
        <v>751</v>
      </c>
      <c r="C4423" s="4" t="s">
        <v>283</v>
      </c>
      <c r="D4423" s="94">
        <v>1056.0</v>
      </c>
    </row>
    <row r="4424">
      <c r="A4424" s="40">
        <f t="array" ref="A4424">IFNA(index(PlayerValues!A:A,match(IFNA(vlookup(B4424,'Special Names'!A:B,2,FALSE),B4424),PlayerValues!E:E,0)),"N/A")</f>
        <v>15109</v>
      </c>
      <c r="B4424" s="4" t="s">
        <v>728</v>
      </c>
      <c r="C4424" s="4" t="s">
        <v>287</v>
      </c>
      <c r="D4424" s="94">
        <v>1033.0</v>
      </c>
    </row>
    <row r="4425">
      <c r="A4425" s="40">
        <f t="array" ref="A4425">IFNA(index(PlayerValues!A:A,match(IFNA(vlookup(B4425,'Special Names'!A:B,2,FALSE),B4425),PlayerValues!E:E,0)),"N/A")</f>
        <v>14849</v>
      </c>
      <c r="B4425" s="4" t="s">
        <v>733</v>
      </c>
      <c r="C4425" s="4" t="s">
        <v>287</v>
      </c>
      <c r="D4425" s="94">
        <v>1032.0</v>
      </c>
    </row>
    <row r="4426">
      <c r="A4426" s="40">
        <f t="array" ref="A4426">IFNA(index(PlayerValues!A:A,match(IFNA(vlookup(B4426,'Special Names'!A:B,2,FALSE),B4426),PlayerValues!E:E,0)),"N/A")</f>
        <v>15727</v>
      </c>
      <c r="B4426" s="4" t="s">
        <v>730</v>
      </c>
      <c r="C4426" s="4" t="s">
        <v>278</v>
      </c>
      <c r="D4426" s="94">
        <v>1026.0</v>
      </c>
    </row>
    <row r="4427">
      <c r="A4427" s="40">
        <f t="array" ref="A4427">IFNA(index(PlayerValues!A:A,match(IFNA(vlookup(B4427,'Special Names'!A:B,2,FALSE),B4427),PlayerValues!E:E,0)),"N/A")</f>
        <v>15730</v>
      </c>
      <c r="B4427" s="4" t="s">
        <v>734</v>
      </c>
      <c r="C4427" s="4" t="s">
        <v>278</v>
      </c>
      <c r="D4427" s="94">
        <v>1026.0</v>
      </c>
    </row>
    <row r="4428">
      <c r="A4428" s="40">
        <f t="array" ref="A4428">IFNA(index(PlayerValues!A:A,match(IFNA(vlookup(B4428,'Special Names'!A:B,2,FALSE),B4428),PlayerValues!E:E,0)),"N/A")</f>
        <v>15717</v>
      </c>
      <c r="B4428" s="4" t="s">
        <v>745</v>
      </c>
      <c r="C4428" s="4" t="s">
        <v>278</v>
      </c>
      <c r="D4428" s="94">
        <v>1026.0</v>
      </c>
    </row>
    <row r="4429">
      <c r="A4429" s="40">
        <f t="array" ref="A4429">IFNA(index(PlayerValues!A:A,match(IFNA(vlookup(B4429,'Special Names'!A:B,2,FALSE),B4429),PlayerValues!E:E,0)),"N/A")</f>
        <v>9064</v>
      </c>
      <c r="B4429" s="4" t="s">
        <v>761</v>
      </c>
      <c r="C4429" s="4" t="s">
        <v>283</v>
      </c>
      <c r="D4429" s="94">
        <v>1025.0</v>
      </c>
    </row>
    <row r="4430">
      <c r="A4430" s="40">
        <f t="array" ref="A4430">IFNA(index(PlayerValues!A:A,match(IFNA(vlookup(B4430,'Special Names'!A:B,2,FALSE),B4430),PlayerValues!E:E,0)),"N/A")</f>
        <v>16168</v>
      </c>
      <c r="B4430" s="4" t="s">
        <v>738</v>
      </c>
      <c r="C4430" s="4" t="s">
        <v>278</v>
      </c>
      <c r="D4430" s="94">
        <v>1021.0</v>
      </c>
    </row>
    <row r="4431">
      <c r="A4431" s="40">
        <f t="array" ref="A4431">IFNA(index(PlayerValues!A:A,match(IFNA(vlookup(B4431,'Special Names'!A:B,2,FALSE),B4431),PlayerValues!E:E,0)),"N/A")</f>
        <v>15330</v>
      </c>
      <c r="B4431" s="4" t="s">
        <v>749</v>
      </c>
      <c r="C4431" s="4" t="s">
        <v>298</v>
      </c>
      <c r="D4431" s="94">
        <v>1381.0</v>
      </c>
    </row>
    <row r="4432">
      <c r="A4432" s="40">
        <f t="array" ref="A4432">IFNA(index(PlayerValues!A:A,match(IFNA(vlookup(B4432,'Special Names'!A:B,2,FALSE),B4432),PlayerValues!E:E,0)),"N/A")</f>
        <v>15693</v>
      </c>
      <c r="B4432" s="4" t="s">
        <v>755</v>
      </c>
      <c r="C4432" s="4" t="s">
        <v>283</v>
      </c>
      <c r="D4432" s="94">
        <v>1010.0</v>
      </c>
    </row>
    <row r="4433">
      <c r="A4433" s="40">
        <f t="array" ref="A4433">IFNA(index(PlayerValues!A:A,match(IFNA(vlookup(B4433,'Special Names'!A:B,2,FALSE),B4433),PlayerValues!E:E,0)),"N/A")</f>
        <v>16637</v>
      </c>
      <c r="B4433" s="4" t="s">
        <v>736</v>
      </c>
      <c r="C4433" s="4" t="s">
        <v>287</v>
      </c>
      <c r="D4433" s="94">
        <v>1007.0</v>
      </c>
    </row>
    <row r="4434">
      <c r="A4434" s="40">
        <f t="array" ref="A4434">IFNA(index(PlayerValues!A:A,match(IFNA(vlookup(B4434,'Special Names'!A:B,2,FALSE),B4434),PlayerValues!E:E,0)),"N/A")</f>
        <v>16451</v>
      </c>
      <c r="B4434" s="4" t="s">
        <v>769</v>
      </c>
      <c r="C4434" s="4" t="s">
        <v>287</v>
      </c>
      <c r="D4434" s="94">
        <v>1005.0</v>
      </c>
    </row>
    <row r="4435">
      <c r="A4435" s="40">
        <f t="array" ref="A4435">IFNA(index(PlayerValues!A:A,match(IFNA(vlookup(B4435,'Special Names'!A:B,2,FALSE),B4435),PlayerValues!E:E,0)),"N/A")</f>
        <v>15758</v>
      </c>
      <c r="B4435" s="4" t="s">
        <v>724</v>
      </c>
      <c r="C4435" s="4" t="s">
        <v>287</v>
      </c>
      <c r="D4435" s="94">
        <v>998.0</v>
      </c>
    </row>
    <row r="4436">
      <c r="A4436" s="40">
        <f t="array" ref="A4436">IFNA(index(PlayerValues!A:A,match(IFNA(vlookup(B4436,'Special Names'!A:B,2,FALSE),B4436),PlayerValues!E:E,0)),"N/A")</f>
        <v>16205</v>
      </c>
      <c r="B4436" s="4" t="s">
        <v>742</v>
      </c>
      <c r="C4436" s="4" t="s">
        <v>287</v>
      </c>
      <c r="D4436" s="94">
        <v>997.0</v>
      </c>
    </row>
    <row r="4437">
      <c r="A4437" s="40">
        <f t="array" ref="A4437">IFNA(index(PlayerValues!A:A,match(IFNA(vlookup(B4437,'Special Names'!A:B,2,FALSE),B4437),PlayerValues!E:E,0)),"N/A")</f>
        <v>15692</v>
      </c>
      <c r="B4437" s="4" t="s">
        <v>750</v>
      </c>
      <c r="C4437" s="4" t="s">
        <v>283</v>
      </c>
      <c r="D4437" s="94">
        <v>996.0</v>
      </c>
    </row>
    <row r="4438">
      <c r="A4438" s="40">
        <f t="array" ref="A4438">IFNA(index(PlayerValues!A:A,match(IFNA(vlookup(B4438,'Special Names'!A:B,2,FALSE),B4438),PlayerValues!E:E,0)),"N/A")</f>
        <v>15718</v>
      </c>
      <c r="B4438" s="4" t="s">
        <v>753</v>
      </c>
      <c r="C4438" s="4" t="s">
        <v>278</v>
      </c>
      <c r="D4438" s="94">
        <v>990.0</v>
      </c>
    </row>
    <row r="4439">
      <c r="A4439" s="40">
        <f t="array" ref="A4439">IFNA(index(PlayerValues!A:A,match(IFNA(vlookup(B4439,'Special Names'!A:B,2,FALSE),B4439),PlayerValues!E:E,0)),"N/A")</f>
        <v>16393</v>
      </c>
      <c r="B4439" s="4" t="s">
        <v>768</v>
      </c>
      <c r="C4439" s="4" t="s">
        <v>287</v>
      </c>
      <c r="D4439" s="94">
        <v>983.0</v>
      </c>
    </row>
    <row r="4440">
      <c r="A4440" s="40">
        <f t="array" ref="A4440">IFNA(index(PlayerValues!A:A,match(IFNA(vlookup(B4440,'Special Names'!A:B,2,FALSE),B4440),PlayerValues!E:E,0)),"N/A")</f>
        <v>16170</v>
      </c>
      <c r="B4440" s="4" t="s">
        <v>801</v>
      </c>
      <c r="C4440" s="4" t="s">
        <v>278</v>
      </c>
      <c r="D4440" s="94">
        <v>980.0</v>
      </c>
    </row>
    <row r="4441">
      <c r="A4441" s="40">
        <f t="array" ref="A4441">IFNA(index(PlayerValues!A:A,match(IFNA(vlookup(B4441,'Special Names'!A:B,2,FALSE),B4441),PlayerValues!E:E,0)),"N/A")</f>
        <v>16648</v>
      </c>
      <c r="B4441" s="4" t="s">
        <v>748</v>
      </c>
      <c r="C4441" s="4" t="s">
        <v>298</v>
      </c>
      <c r="D4441" s="94">
        <v>1340.0</v>
      </c>
    </row>
    <row r="4442">
      <c r="A4442" s="40">
        <f t="array" ref="A4442">IFNA(index(PlayerValues!A:A,match(IFNA(vlookup(B4442,'Special Names'!A:B,2,FALSE),B4442),PlayerValues!E:E,0)),"N/A")</f>
        <v>15258</v>
      </c>
      <c r="B4442" s="4" t="s">
        <v>757</v>
      </c>
      <c r="C4442" s="4" t="s">
        <v>278</v>
      </c>
      <c r="D4442" s="94">
        <v>967.0</v>
      </c>
    </row>
    <row r="4443">
      <c r="A4443" s="40">
        <f t="array" ref="A4443">IFNA(index(PlayerValues!A:A,match(IFNA(vlookup(B4443,'Special Names'!A:B,2,FALSE),B4443),PlayerValues!E:E,0)),"N/A")</f>
        <v>17487</v>
      </c>
      <c r="B4443" s="4" t="s">
        <v>692</v>
      </c>
      <c r="C4443" s="4" t="s">
        <v>278</v>
      </c>
      <c r="D4443" s="94">
        <v>967.0</v>
      </c>
    </row>
    <row r="4444">
      <c r="A4444" s="40">
        <f t="array" ref="A4444">IFNA(index(PlayerValues!A:A,match(IFNA(vlookup(B4444,'Special Names'!A:B,2,FALSE),B4444),PlayerValues!E:E,0)),"N/A")</f>
        <v>15239</v>
      </c>
      <c r="B4444" s="4" t="s">
        <v>802</v>
      </c>
      <c r="C4444" s="4" t="s">
        <v>283</v>
      </c>
      <c r="D4444" s="94">
        <v>948.0</v>
      </c>
    </row>
    <row r="4445">
      <c r="A4445" s="40">
        <f t="array" ref="A4445">IFNA(index(PlayerValues!A:A,match(IFNA(vlookup(B4445,'Special Names'!A:B,2,FALSE),B4445),PlayerValues!E:E,0)),"N/A")</f>
        <v>16606</v>
      </c>
      <c r="B4445" s="4" t="s">
        <v>743</v>
      </c>
      <c r="C4445" s="4" t="s">
        <v>278</v>
      </c>
      <c r="D4445" s="94">
        <v>939.0</v>
      </c>
    </row>
    <row r="4446">
      <c r="A4446" s="40">
        <f t="array" ref="A4446">IFNA(index(PlayerValues!A:A,match(IFNA(vlookup(B4446,'Special Names'!A:B,2,FALSE),B4446),PlayerValues!E:E,0)),"N/A")</f>
        <v>17549</v>
      </c>
      <c r="B4446" s="4" t="s">
        <v>720</v>
      </c>
      <c r="C4446" s="4" t="s">
        <v>298</v>
      </c>
      <c r="D4446" s="94">
        <v>1303.0</v>
      </c>
    </row>
    <row r="4447">
      <c r="A4447" s="40">
        <f t="array" ref="A4447">IFNA(index(PlayerValues!A:A,match(IFNA(vlookup(B4447,'Special Names'!A:B,2,FALSE),B4447),PlayerValues!E:E,0)),"N/A")</f>
        <v>16219</v>
      </c>
      <c r="B4447" s="4" t="s">
        <v>739</v>
      </c>
      <c r="C4447" s="4" t="s">
        <v>298</v>
      </c>
      <c r="D4447" s="94">
        <v>1300.0</v>
      </c>
    </row>
    <row r="4448">
      <c r="A4448" s="40">
        <f t="array" ref="A4448">IFNA(index(PlayerValues!A:A,match(IFNA(vlookup(B4448,'Special Names'!A:B,2,FALSE),B4448),PlayerValues!E:E,0)),"N/A")</f>
        <v>16416</v>
      </c>
      <c r="B4448" s="4" t="s">
        <v>752</v>
      </c>
      <c r="C4448" s="4" t="s">
        <v>287</v>
      </c>
      <c r="D4448" s="94">
        <v>929.0</v>
      </c>
    </row>
    <row r="4449">
      <c r="A4449" s="40">
        <f t="array" ref="A4449">IFNA(index(PlayerValues!A:A,match(IFNA(vlookup(B4449,'Special Names'!A:B,2,FALSE),B4449),PlayerValues!E:E,0)),"N/A")</f>
        <v>16678</v>
      </c>
      <c r="B4449" s="4" t="s">
        <v>758</v>
      </c>
      <c r="C4449" s="4" t="s">
        <v>278</v>
      </c>
      <c r="D4449" s="94">
        <v>921.0</v>
      </c>
    </row>
    <row r="4450">
      <c r="A4450" s="40">
        <f t="array" ref="A4450">IFNA(index(PlayerValues!A:A,match(IFNA(vlookup(B4450,'Special Names'!A:B,2,FALSE),B4450),PlayerValues!E:E,0)),"N/A")</f>
        <v>16599</v>
      </c>
      <c r="B4450" s="4" t="s">
        <v>737</v>
      </c>
      <c r="C4450" s="4" t="s">
        <v>278</v>
      </c>
      <c r="D4450" s="94">
        <v>919.0</v>
      </c>
    </row>
    <row r="4451">
      <c r="A4451" s="40">
        <f t="array" ref="A4451">IFNA(index(PlayerValues!A:A,match(IFNA(vlookup(B4451,'Special Names'!A:B,2,FALSE),B4451),PlayerValues!E:E,0)),"N/A")</f>
        <v>16858</v>
      </c>
      <c r="B4451" s="4" t="s">
        <v>754</v>
      </c>
      <c r="C4451" s="4" t="s">
        <v>287</v>
      </c>
      <c r="D4451" s="94">
        <v>916.0</v>
      </c>
    </row>
    <row r="4452">
      <c r="A4452" s="40">
        <f t="array" ref="A4452">IFNA(index(PlayerValues!A:A,match(IFNA(vlookup(B4452,'Special Names'!A:B,2,FALSE),B4452),PlayerValues!E:E,0)),"N/A")</f>
        <v>17479</v>
      </c>
      <c r="B4452" s="4" t="s">
        <v>756</v>
      </c>
      <c r="C4452" s="4" t="s">
        <v>278</v>
      </c>
      <c r="D4452" s="94">
        <v>908.0</v>
      </c>
    </row>
    <row r="4453">
      <c r="A4453" s="40">
        <f t="array" ref="A4453">IFNA(index(PlayerValues!A:A,match(IFNA(vlookup(B4453,'Special Names'!A:B,2,FALSE),B4453),PlayerValues!E:E,0)),"N/A")</f>
        <v>15626</v>
      </c>
      <c r="B4453" s="4" t="s">
        <v>766</v>
      </c>
      <c r="C4453" s="4" t="s">
        <v>298</v>
      </c>
      <c r="D4453" s="94">
        <v>1272.0</v>
      </c>
    </row>
    <row r="4454">
      <c r="A4454" s="40">
        <f t="array" ref="A4454">IFNA(index(PlayerValues!A:A,match(IFNA(vlookup(B4454,'Special Names'!A:B,2,FALSE),B4454),PlayerValues!E:E,0)),"N/A")</f>
        <v>15785</v>
      </c>
      <c r="B4454" s="4" t="s">
        <v>763</v>
      </c>
      <c r="C4454" s="4" t="s">
        <v>287</v>
      </c>
      <c r="D4454" s="94">
        <v>898.0</v>
      </c>
    </row>
    <row r="4455">
      <c r="A4455" s="40">
        <f t="array" ref="A4455">IFNA(index(PlayerValues!A:A,match(IFNA(vlookup(B4455,'Special Names'!A:B,2,FALSE),B4455),PlayerValues!E:E,0)),"N/A")</f>
        <v>15720</v>
      </c>
      <c r="B4455" s="4" t="s">
        <v>795</v>
      </c>
      <c r="C4455" s="4" t="s">
        <v>278</v>
      </c>
      <c r="D4455" s="94">
        <v>897.0</v>
      </c>
    </row>
    <row r="4456">
      <c r="A4456" s="40">
        <f t="array" ref="A4456">IFNA(index(PlayerValues!A:A,match(IFNA(vlookup(B4456,'Special Names'!A:B,2,FALSE),B4456),PlayerValues!E:E,0)),"N/A")</f>
        <v>16623</v>
      </c>
      <c r="B4456" s="4" t="s">
        <v>803</v>
      </c>
      <c r="C4456" s="4" t="s">
        <v>287</v>
      </c>
      <c r="D4456" s="94">
        <v>894.0</v>
      </c>
    </row>
    <row r="4457">
      <c r="A4457" s="40">
        <f t="array" ref="A4457">IFNA(index(PlayerValues!A:A,match(IFNA(vlookup(B4457,'Special Names'!A:B,2,FALSE),B4457),PlayerValues!E:E,0)),"N/A")</f>
        <v>15766</v>
      </c>
      <c r="B4457" s="4" t="s">
        <v>759</v>
      </c>
      <c r="C4457" s="4" t="s">
        <v>287</v>
      </c>
      <c r="D4457" s="94">
        <v>889.0</v>
      </c>
    </row>
    <row r="4458">
      <c r="A4458" s="40">
        <f t="array" ref="A4458">IFNA(index(PlayerValues!A:A,match(IFNA(vlookup(B4458,'Special Names'!A:B,2,FALSE),B4458),PlayerValues!E:E,0)),"N/A")</f>
        <v>17175</v>
      </c>
      <c r="B4458" s="4" t="s">
        <v>747</v>
      </c>
      <c r="C4458" s="4" t="s">
        <v>287</v>
      </c>
      <c r="D4458" s="94">
        <v>880.0</v>
      </c>
    </row>
    <row r="4459">
      <c r="A4459" s="40">
        <f t="array" ref="A4459">IFNA(index(PlayerValues!A:A,match(IFNA(vlookup(B4459,'Special Names'!A:B,2,FALSE),B4459),PlayerValues!E:E,0)),"N/A")</f>
        <v>13193</v>
      </c>
      <c r="B4459" s="4" t="s">
        <v>773</v>
      </c>
      <c r="C4459" s="4" t="s">
        <v>298</v>
      </c>
      <c r="D4459" s="94">
        <v>1235.0</v>
      </c>
    </row>
    <row r="4460">
      <c r="A4460" s="40">
        <f t="array" ref="A4460">IFNA(index(PlayerValues!A:A,match(IFNA(vlookup(B4460,'Special Names'!A:B,2,FALSE),B4460),PlayerValues!E:E,0)),"N/A")</f>
        <v>17654</v>
      </c>
      <c r="B4460" s="4" t="s">
        <v>767</v>
      </c>
      <c r="C4460" s="4" t="s">
        <v>283</v>
      </c>
      <c r="D4460" s="94">
        <v>860.0</v>
      </c>
    </row>
    <row r="4461">
      <c r="A4461" s="40">
        <f t="array" ref="A4461">IFNA(index(PlayerValues!A:A,match(IFNA(vlookup(B4461,'Special Names'!A:B,2,FALSE),B4461),PlayerValues!E:E,0)),"N/A")</f>
        <v>14057</v>
      </c>
      <c r="B4461" s="4" t="s">
        <v>765</v>
      </c>
      <c r="C4461" s="4" t="s">
        <v>283</v>
      </c>
      <c r="D4461" s="94">
        <v>856.0</v>
      </c>
    </row>
    <row r="4462">
      <c r="A4462" s="40">
        <f t="array" ref="A4462">IFNA(index(PlayerValues!A:A,match(IFNA(vlookup(B4462,'Special Names'!A:B,2,FALSE),B4462),PlayerValues!E:E,0)),"N/A")</f>
        <v>17541</v>
      </c>
      <c r="B4462" s="4" t="s">
        <v>616</v>
      </c>
      <c r="C4462" s="4" t="s">
        <v>287</v>
      </c>
      <c r="D4462" s="94">
        <v>856.0</v>
      </c>
    </row>
    <row r="4463">
      <c r="A4463" s="40">
        <f t="array" ref="A4463">IFNA(index(PlayerValues!A:A,match(IFNA(vlookup(B4463,'Special Names'!A:B,2,FALSE),B4463),PlayerValues!E:E,0)),"N/A")</f>
        <v>14118</v>
      </c>
      <c r="B4463" s="4" t="s">
        <v>771</v>
      </c>
      <c r="C4463" s="4" t="s">
        <v>287</v>
      </c>
      <c r="D4463" s="94">
        <v>854.0</v>
      </c>
    </row>
    <row r="4464">
      <c r="A4464" s="40">
        <f t="array" ref="A4464">IFNA(index(PlayerValues!A:A,match(IFNA(vlookup(B4464,'Special Names'!A:B,2,FALSE),B4464),PlayerValues!E:E,0)),"N/A")</f>
        <v>16624</v>
      </c>
      <c r="B4464" s="4" t="s">
        <v>796</v>
      </c>
      <c r="C4464" s="4" t="s">
        <v>287</v>
      </c>
      <c r="D4464" s="94">
        <v>848.0</v>
      </c>
    </row>
    <row r="4465">
      <c r="A4465" s="40">
        <f t="array" ref="A4465">IFNA(index(PlayerValues!A:A,match(IFNA(vlookup(B4465,'Special Names'!A:B,2,FALSE),B4465),PlayerValues!E:E,0)),"N/A")</f>
        <v>17486</v>
      </c>
      <c r="B4465" s="4" t="s">
        <v>695</v>
      </c>
      <c r="C4465" s="4" t="s">
        <v>278</v>
      </c>
      <c r="D4465" s="94">
        <v>843.0</v>
      </c>
    </row>
    <row r="4466">
      <c r="A4466" s="40">
        <f t="array" ref="A4466">IFNA(index(PlayerValues!A:A,match(IFNA(vlookup(B4466,'Special Names'!A:B,2,FALSE),B4466),PlayerValues!E:E,0)),"N/A")</f>
        <v>17627</v>
      </c>
      <c r="B4466" s="4" t="s">
        <v>684</v>
      </c>
      <c r="C4466" s="4" t="s">
        <v>298</v>
      </c>
      <c r="D4466" s="94">
        <v>1209.0</v>
      </c>
    </row>
    <row r="4467">
      <c r="A4467" s="40">
        <f t="array" ref="A4467">IFNA(index(PlayerValues!A:A,match(IFNA(vlookup(B4467,'Special Names'!A:B,2,FALSE),B4467),PlayerValues!E:E,0)),"N/A")</f>
        <v>12785</v>
      </c>
      <c r="B4467" s="4" t="s">
        <v>772</v>
      </c>
      <c r="C4467" s="4" t="s">
        <v>287</v>
      </c>
      <c r="D4467" s="94">
        <v>816.0</v>
      </c>
    </row>
    <row r="4468">
      <c r="A4468" s="40">
        <f t="array" ref="A4468">IFNA(index(PlayerValues!A:A,match(IFNA(vlookup(B4468,'Special Names'!A:B,2,FALSE),B4468),PlayerValues!E:E,0)),"N/A")</f>
        <v>16773</v>
      </c>
      <c r="B4468" s="4" t="s">
        <v>783</v>
      </c>
      <c r="C4468" s="4" t="s">
        <v>278</v>
      </c>
      <c r="D4468" s="94">
        <v>813.0</v>
      </c>
    </row>
    <row r="4469">
      <c r="A4469" s="40">
        <f t="array" ref="A4469">IFNA(index(PlayerValues!A:A,match(IFNA(vlookup(B4469,'Special Names'!A:B,2,FALSE),B4469),PlayerValues!E:E,0)),"N/A")</f>
        <v>14223</v>
      </c>
      <c r="B4469" s="4" t="s">
        <v>785</v>
      </c>
      <c r="C4469" s="4" t="s">
        <v>278</v>
      </c>
      <c r="D4469" s="94">
        <v>806.0</v>
      </c>
    </row>
    <row r="4470">
      <c r="A4470" s="40">
        <f t="array" ref="A4470">IFNA(index(PlayerValues!A:A,match(IFNA(vlookup(B4470,'Special Names'!A:B,2,FALSE),B4470),PlayerValues!E:E,0)),"N/A")</f>
        <v>13133</v>
      </c>
      <c r="B4470" s="4" t="s">
        <v>764</v>
      </c>
      <c r="C4470" s="4" t="s">
        <v>278</v>
      </c>
      <c r="D4470" s="94">
        <v>783.0</v>
      </c>
    </row>
    <row r="4471">
      <c r="A4471" s="40">
        <f t="array" ref="A4471">IFNA(index(PlayerValues!A:A,match(IFNA(vlookup(B4471,'Special Names'!A:B,2,FALSE),B4471),PlayerValues!E:E,0)),"N/A")</f>
        <v>16751</v>
      </c>
      <c r="B4471" s="4" t="s">
        <v>762</v>
      </c>
      <c r="C4471" s="4" t="s">
        <v>287</v>
      </c>
      <c r="D4471" s="94">
        <v>732.0</v>
      </c>
    </row>
    <row r="4472">
      <c r="A4472" s="40">
        <f t="array" ref="A4472">IFNA(index(PlayerValues!A:A,match(IFNA(vlookup(B4472,'Special Names'!A:B,2,FALSE),B4472),PlayerValues!E:E,0)),"N/A")</f>
        <v>16625</v>
      </c>
      <c r="B4472" s="4" t="s">
        <v>778</v>
      </c>
      <c r="C4472" s="4" t="s">
        <v>287</v>
      </c>
      <c r="D4472" s="94">
        <v>729.0</v>
      </c>
    </row>
    <row r="4473">
      <c r="A4473" s="40">
        <f t="array" ref="A4473">IFNA(index(PlayerValues!A:A,match(IFNA(vlookup(B4473,'Special Names'!A:B,2,FALSE),B4473),PlayerValues!E:E,0)),"N/A")</f>
        <v>15263</v>
      </c>
      <c r="B4473" s="4" t="s">
        <v>804</v>
      </c>
      <c r="C4473" s="4" t="s">
        <v>278</v>
      </c>
      <c r="D4473" s="94">
        <v>712.0</v>
      </c>
    </row>
    <row r="4474">
      <c r="A4474" s="40">
        <f t="array" ref="A4474">IFNA(index(PlayerValues!A:A,match(IFNA(vlookup(B4474,'Special Names'!A:B,2,FALSE),B4474),PlayerValues!E:E,0)),"N/A")</f>
        <v>17337</v>
      </c>
      <c r="B4474" s="4" t="s">
        <v>793</v>
      </c>
      <c r="C4474" s="4" t="s">
        <v>278</v>
      </c>
      <c r="D4474" s="94">
        <v>703.0</v>
      </c>
    </row>
    <row r="4475">
      <c r="A4475" s="40">
        <f t="array" ref="A4475">IFNA(index(PlayerValues!A:A,match(IFNA(vlookup(B4475,'Special Names'!A:B,2,FALSE),B4475),PlayerValues!E:E,0)),"N/A")</f>
        <v>17545</v>
      </c>
      <c r="B4475" s="4" t="s">
        <v>719</v>
      </c>
      <c r="C4475" s="4" t="s">
        <v>298</v>
      </c>
      <c r="D4475" s="94">
        <v>1052.0</v>
      </c>
    </row>
    <row r="4476">
      <c r="A4476" s="40">
        <f t="array" ref="A4476">IFNA(index(PlayerValues!A:A,match(IFNA(vlookup(B4476,'Special Names'!A:B,2,FALSE),B4476),PlayerValues!E:E,0)),"N/A")</f>
        <v>15723</v>
      </c>
      <c r="B4476" s="4" t="s">
        <v>798</v>
      </c>
      <c r="C4476" s="4" t="s">
        <v>278</v>
      </c>
      <c r="D4476" s="94">
        <v>636.0</v>
      </c>
    </row>
    <row r="4477">
      <c r="A4477" s="40">
        <f t="array" ref="A4477">IFNA(index(PlayerValues!A:A,match(IFNA(vlookup(B4477,'Special Names'!A:B,2,FALSE),B4477),PlayerValues!E:E,0)),"N/A")</f>
        <v>16299</v>
      </c>
      <c r="B4477" s="4" t="s">
        <v>787</v>
      </c>
      <c r="C4477" s="4" t="s">
        <v>287</v>
      </c>
      <c r="D4477" s="94">
        <v>633.0</v>
      </c>
    </row>
    <row r="4478">
      <c r="A4478" s="40">
        <f t="array" ref="A4478">IFNA(index(PlayerValues!A:A,match(IFNA(vlookup(B4478,'Special Names'!A:B,2,FALSE),B4478),PlayerValues!E:E,0)),"N/A")</f>
        <v>16686</v>
      </c>
      <c r="B4478" s="4" t="s">
        <v>805</v>
      </c>
      <c r="C4478" s="4" t="s">
        <v>287</v>
      </c>
      <c r="D4478" s="94">
        <v>622.0</v>
      </c>
    </row>
    <row r="4479">
      <c r="A4479" s="40">
        <f t="array" ref="A4479">IFNA(index(PlayerValues!A:A,match(IFNA(vlookup(B4479,'Special Names'!A:B,2,FALSE),B4479),PlayerValues!E:E,0)),"N/A")</f>
        <v>13143</v>
      </c>
      <c r="B4479" s="4" t="s">
        <v>786</v>
      </c>
      <c r="C4479" s="4" t="s">
        <v>278</v>
      </c>
      <c r="D4479" s="94">
        <v>621.0</v>
      </c>
    </row>
    <row r="4480">
      <c r="A4480" s="40">
        <f t="array" ref="A4480">IFNA(index(PlayerValues!A:A,match(IFNA(vlookup(B4480,'Special Names'!A:B,2,FALSE),B4480),PlayerValues!E:E,0)),"N/A")</f>
        <v>16957</v>
      </c>
      <c r="B4480" s="4" t="s">
        <v>806</v>
      </c>
      <c r="C4480" s="4" t="s">
        <v>278</v>
      </c>
      <c r="D4480" s="94">
        <v>616.0</v>
      </c>
    </row>
    <row r="4481">
      <c r="A4481" s="40">
        <f t="array" ref="A4481">IFNA(index(PlayerValues!A:A,match(IFNA(vlookup(B4481,'Special Names'!A:B,2,FALSE),B4481),PlayerValues!E:E,0)),"N/A")</f>
        <v>16413</v>
      </c>
      <c r="B4481" s="4" t="s">
        <v>781</v>
      </c>
      <c r="C4481" s="4" t="s">
        <v>287</v>
      </c>
      <c r="D4481" s="94">
        <v>599.0</v>
      </c>
    </row>
    <row r="4482">
      <c r="A4482" s="40">
        <f t="array" ref="A4482">IFNA(index(PlayerValues!A:A,match(IFNA(vlookup(B4482,'Special Names'!A:B,2,FALSE),B4482),PlayerValues!E:E,0)),"N/A")</f>
        <v>14864</v>
      </c>
      <c r="B4482" s="4" t="s">
        <v>789</v>
      </c>
      <c r="C4482" s="4" t="s">
        <v>287</v>
      </c>
      <c r="D4482" s="94">
        <v>593.0</v>
      </c>
    </row>
    <row r="4483">
      <c r="A4483" s="40">
        <f t="array" ref="A4483">IFNA(index(PlayerValues!A:A,match(IFNA(vlookup(B4483,'Special Names'!A:B,2,FALSE),B4483),PlayerValues!E:E,0)),"N/A")</f>
        <v>17038</v>
      </c>
      <c r="B4483" s="4" t="s">
        <v>774</v>
      </c>
      <c r="C4483" s="4" t="s">
        <v>283</v>
      </c>
      <c r="D4483" s="94">
        <v>576.0</v>
      </c>
    </row>
    <row r="4484">
      <c r="A4484" s="40">
        <f t="array" ref="A4484">IFNA(index(PlayerValues!A:A,match(IFNA(vlookup(B4484,'Special Names'!A:B,2,FALSE),B4484),PlayerValues!E:E,0)),"N/A")</f>
        <v>17232</v>
      </c>
      <c r="B4484" s="4" t="s">
        <v>784</v>
      </c>
      <c r="C4484" s="4" t="s">
        <v>287</v>
      </c>
      <c r="D4484" s="94">
        <v>574.0</v>
      </c>
    </row>
    <row r="4485">
      <c r="A4485" s="40">
        <f t="array" ref="A4485">IFNA(index(PlayerValues!A:A,match(IFNA(vlookup(B4485,'Special Names'!A:B,2,FALSE),B4485),PlayerValues!E:E,0)),"N/A")</f>
        <v>17542</v>
      </c>
      <c r="B4485" s="4" t="s">
        <v>685</v>
      </c>
      <c r="C4485" s="4" t="s">
        <v>287</v>
      </c>
      <c r="D4485" s="94">
        <v>558.0</v>
      </c>
    </row>
    <row r="4486">
      <c r="A4486" s="40">
        <f t="array" ref="A4486">IFNA(index(PlayerValues!A:A,match(IFNA(vlookup(B4486,'Special Names'!A:B,2,FALSE),B4486),PlayerValues!E:E,0)),"N/A")</f>
        <v>14805</v>
      </c>
      <c r="B4486" s="4" t="s">
        <v>770</v>
      </c>
      <c r="C4486" s="4" t="s">
        <v>278</v>
      </c>
      <c r="D4486" s="94">
        <v>552.0</v>
      </c>
    </row>
    <row r="4487">
      <c r="A4487" s="40">
        <f t="array" ref="A4487">IFNA(index(PlayerValues!A:A,match(IFNA(vlookup(B4487,'Special Names'!A:B,2,FALSE),B4487),PlayerValues!E:E,0)),"N/A")</f>
        <v>16613</v>
      </c>
      <c r="B4487" s="4" t="s">
        <v>782</v>
      </c>
      <c r="C4487" s="4" t="s">
        <v>278</v>
      </c>
      <c r="D4487" s="94">
        <v>536.0</v>
      </c>
    </row>
    <row r="4488">
      <c r="A4488" s="40">
        <f t="array" ref="A4488">IFNA(index(PlayerValues!A:A,match(IFNA(vlookup(B4488,'Special Names'!A:B,2,FALSE),B4488),PlayerValues!E:E,0)),"N/A")</f>
        <v>15796</v>
      </c>
      <c r="B4488" s="4" t="s">
        <v>794</v>
      </c>
      <c r="C4488" s="4" t="s">
        <v>298</v>
      </c>
      <c r="D4488" s="94">
        <v>877.0</v>
      </c>
    </row>
    <row r="4489">
      <c r="A4489" s="40">
        <f t="array" ref="A4489">IFNA(index(PlayerValues!A:A,match(IFNA(vlookup(B4489,'Special Names'!A:B,2,FALSE),B4489),PlayerValues!E:E,0)),"N/A")</f>
        <v>13176</v>
      </c>
      <c r="B4489" s="4" t="s">
        <v>807</v>
      </c>
      <c r="C4489" s="4" t="s">
        <v>287</v>
      </c>
      <c r="D4489" s="94">
        <v>506.0</v>
      </c>
    </row>
    <row r="4490">
      <c r="A4490" s="40">
        <f t="array" ref="A4490">IFNA(index(PlayerValues!A:A,match(IFNA(vlookup(B4490,'Special Names'!A:B,2,FALSE),B4490),PlayerValues!E:E,0)),"N/A")</f>
        <v>15271</v>
      </c>
      <c r="B4490" s="4" t="s">
        <v>741</v>
      </c>
      <c r="C4490" s="4" t="s">
        <v>278</v>
      </c>
      <c r="D4490" s="94">
        <v>501.0</v>
      </c>
    </row>
    <row r="4491">
      <c r="A4491" s="40">
        <f t="array" ref="A4491">IFNA(index(PlayerValues!A:A,match(IFNA(vlookup(B4491,'Special Names'!A:B,2,FALSE),B4491),PlayerValues!E:E,0)),"N/A")</f>
        <v>17348</v>
      </c>
      <c r="B4491" s="4" t="s">
        <v>797</v>
      </c>
      <c r="C4491" s="4" t="s">
        <v>278</v>
      </c>
      <c r="D4491" s="94">
        <v>501.0</v>
      </c>
    </row>
    <row r="4492">
      <c r="A4492" s="40">
        <f t="array" ref="A4492">IFNA(index(PlayerValues!A:A,match(IFNA(vlookup(B4492,'Special Names'!A:B,2,FALSE),B4492),PlayerValues!E:E,0)),"N/A")</f>
        <v>14858</v>
      </c>
      <c r="B4492" s="4" t="s">
        <v>799</v>
      </c>
      <c r="C4492" s="4" t="s">
        <v>287</v>
      </c>
      <c r="D4492" s="94">
        <v>497.0</v>
      </c>
    </row>
    <row r="4493">
      <c r="A4493" s="40">
        <f t="array" ref="A4493">IFNA(index(PlayerValues!A:A,match(IFNA(vlookup(B4493,'Special Names'!A:B,2,FALSE),B4493),PlayerValues!E:E,0)),"N/A")</f>
        <v>13641</v>
      </c>
      <c r="B4493" s="4" t="s">
        <v>808</v>
      </c>
      <c r="C4493" s="4" t="s">
        <v>287</v>
      </c>
      <c r="D4493" s="94">
        <v>496.0</v>
      </c>
    </row>
    <row r="4494">
      <c r="A4494" s="40">
        <f t="array" ref="A4494">IFNA(index(PlayerValues!A:A,match(IFNA(vlookup(B4494,'Special Names'!A:B,2,FALSE),B4494),PlayerValues!E:E,0)),"N/A")</f>
        <v>14209</v>
      </c>
      <c r="B4494" s="4" t="s">
        <v>809</v>
      </c>
      <c r="C4494" s="4" t="s">
        <v>298</v>
      </c>
      <c r="D4494" s="94">
        <v>836.0</v>
      </c>
    </row>
    <row r="4495">
      <c r="A4495" s="40">
        <f t="array" ref="A4495">IFNA(index(PlayerValues!A:A,match(IFNA(vlookup(B4495,'Special Names'!A:B,2,FALSE),B4495),PlayerValues!E:E,0)),"N/A")</f>
        <v>17243</v>
      </c>
      <c r="B4495" s="4" t="s">
        <v>810</v>
      </c>
      <c r="C4495" s="4" t="s">
        <v>298</v>
      </c>
      <c r="D4495" s="94">
        <v>832.0</v>
      </c>
    </row>
    <row r="4496">
      <c r="A4496" s="40">
        <f t="array" ref="A4496">IFNA(index(PlayerValues!A:A,match(IFNA(vlookup(B4496,'Special Names'!A:B,2,FALSE),B4496),PlayerValues!E:E,0)),"N/A")</f>
        <v>14113</v>
      </c>
      <c r="B4496" s="4" t="s">
        <v>788</v>
      </c>
      <c r="C4496" s="4" t="s">
        <v>287</v>
      </c>
      <c r="D4496" s="94">
        <v>484.0</v>
      </c>
    </row>
    <row r="4497">
      <c r="A4497" s="40">
        <f t="array" ref="A4497">IFNA(index(PlayerValues!A:A,match(IFNA(vlookup(B4497,'Special Names'!A:B,2,FALSE),B4497),PlayerValues!E:E,0)),"N/A")</f>
        <v>10413</v>
      </c>
      <c r="B4497" s="4" t="s">
        <v>811</v>
      </c>
      <c r="C4497" s="4" t="s">
        <v>283</v>
      </c>
      <c r="D4497" s="94">
        <v>482.0</v>
      </c>
    </row>
    <row r="4498">
      <c r="A4498" s="40">
        <f t="array" ref="A4498">IFNA(index(PlayerValues!A:A,match(IFNA(vlookup(B4498,'Special Names'!A:B,2,FALSE),B4498),PlayerValues!E:E,0)),"N/A")</f>
        <v>16176</v>
      </c>
      <c r="B4498" s="4" t="s">
        <v>812</v>
      </c>
      <c r="C4498" s="4" t="s">
        <v>278</v>
      </c>
      <c r="D4498" s="94">
        <v>482.0</v>
      </c>
    </row>
    <row r="4499">
      <c r="A4499" s="40">
        <f t="array" ref="A4499">IFNA(index(PlayerValues!A:A,match(IFNA(vlookup(B4499,'Special Names'!A:B,2,FALSE),B4499),PlayerValues!E:E,0)),"N/A")</f>
        <v>14358</v>
      </c>
      <c r="B4499" s="4" t="s">
        <v>813</v>
      </c>
      <c r="C4499" s="4" t="s">
        <v>283</v>
      </c>
      <c r="D4499" s="94">
        <v>479.0</v>
      </c>
    </row>
    <row r="4500">
      <c r="A4500" s="40">
        <f t="array" ref="A4500">IFNA(index(PlayerValues!A:A,match(IFNA(vlookup(B4500,'Special Names'!A:B,2,FALSE),B4500),PlayerValues!E:E,0)),"N/A")</f>
        <v>17709</v>
      </c>
      <c r="B4500" s="4" t="s">
        <v>814</v>
      </c>
      <c r="C4500" s="4" t="s">
        <v>278</v>
      </c>
      <c r="D4500" s="94">
        <v>9.0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9999.0</v>
      </c>
    </row>
    <row r="4502">
      <c r="A4502" s="40">
        <f t="array" ref="A4502">IFNA(index(PlayerValues!A:A,match(IFNA(vlookup(B4502,'Special Names'!A:B,2,FALSE),B4502),PlayerValues!E:E,0)),"N/A")</f>
        <v>16162</v>
      </c>
      <c r="B4502" s="4" t="s">
        <v>281</v>
      </c>
      <c r="C4502" s="4" t="s">
        <v>278</v>
      </c>
      <c r="D4502" s="94">
        <v>9999.0</v>
      </c>
    </row>
    <row r="4503">
      <c r="A4503" s="40">
        <f t="array" ref="A4503">IFNA(index(PlayerValues!A:A,match(IFNA(vlookup(B4503,'Special Names'!A:B,2,FALSE),B4503),PlayerValues!E:E,0)),"N/A")</f>
        <v>16161</v>
      </c>
      <c r="B4503" s="4" t="s">
        <v>277</v>
      </c>
      <c r="C4503" s="4" t="s">
        <v>278</v>
      </c>
      <c r="D4503" s="94">
        <v>9990.0</v>
      </c>
    </row>
    <row r="4504">
      <c r="A4504" s="40">
        <f t="array" ref="A4504">IFNA(index(PlayerValues!A:A,match(IFNA(vlookup(B4504,'Special Names'!A:B,2,FALSE),B4504),PlayerValues!E:E,0)),"N/A")</f>
        <v>15281</v>
      </c>
      <c r="B4504" s="4" t="s">
        <v>286</v>
      </c>
      <c r="C4504" s="4" t="s">
        <v>287</v>
      </c>
      <c r="D4504" s="94">
        <v>9989.0</v>
      </c>
    </row>
    <row r="4505">
      <c r="A4505" s="40">
        <f t="array" ref="A4505">IFNA(index(PlayerValues!A:A,match(IFNA(vlookup(B4505,'Special Names'!A:B,2,FALSE),B4505),PlayerValues!E:E,0)),"N/A")</f>
        <v>16185</v>
      </c>
      <c r="B4505" s="4" t="s">
        <v>290</v>
      </c>
      <c r="C4505" s="4" t="s">
        <v>287</v>
      </c>
      <c r="D4505" s="94">
        <v>9313.0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9252.0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8785.0</v>
      </c>
    </row>
    <row r="4508">
      <c r="A4508" s="40">
        <f t="array" ref="A4508">IFNA(index(PlayerValues!A:A,match(IFNA(vlookup(B4508,'Special Names'!A:B,2,FALSE),B4508),PlayerValues!E:E,0)),"N/A")</f>
        <v>16641</v>
      </c>
      <c r="B4508" s="4" t="s">
        <v>297</v>
      </c>
      <c r="C4508" s="4" t="s">
        <v>298</v>
      </c>
      <c r="D4508" s="94">
        <v>8999.0</v>
      </c>
    </row>
    <row r="4509">
      <c r="A4509" s="40">
        <f t="array" ref="A4509">IFNA(index(PlayerValues!A:A,match(IFNA(vlookup(B4509,'Special Names'!A:B,2,FALSE),B4509),PlayerValues!E:E,0)),"N/A")</f>
        <v>15287</v>
      </c>
      <c r="B4509" s="4" t="s">
        <v>299</v>
      </c>
      <c r="C4509" s="4" t="s">
        <v>287</v>
      </c>
      <c r="D4509" s="94">
        <v>7867.0</v>
      </c>
    </row>
    <row r="4510">
      <c r="A4510" s="40">
        <f t="array" ref="A4510">IFNA(index(PlayerValues!A:A,match(IFNA(vlookup(B4510,'Special Names'!A:B,2,FALSE),B4510),PlayerValues!E:E,0)),"N/A")</f>
        <v>16579</v>
      </c>
      <c r="B4510" s="4" t="s">
        <v>302</v>
      </c>
      <c r="C4510" s="4" t="s">
        <v>283</v>
      </c>
      <c r="D4510" s="94">
        <v>7834.0</v>
      </c>
    </row>
    <row r="4511">
      <c r="A4511" s="40">
        <f t="array" ref="A4511">IFNA(index(PlayerValues!A:A,match(IFNA(vlookup(B4511,'Special Names'!A:B,2,FALSE),B4511),PlayerValues!E:E,0)),"N/A")</f>
        <v>17042</v>
      </c>
      <c r="B4511" s="4" t="s">
        <v>314</v>
      </c>
      <c r="C4511" s="4" t="s">
        <v>278</v>
      </c>
      <c r="D4511" s="94">
        <v>7647.0</v>
      </c>
    </row>
    <row r="4512">
      <c r="A4512" s="40">
        <f t="array" ref="A4512">IFNA(index(PlayerValues!A:A,match(IFNA(vlookup(B4512,'Special Names'!A:B,2,FALSE),B4512),PlayerValues!E:E,0)),"N/A")</f>
        <v>13593</v>
      </c>
      <c r="B4512" s="4" t="s">
        <v>305</v>
      </c>
      <c r="C4512" s="4" t="s">
        <v>283</v>
      </c>
      <c r="D4512" s="94">
        <v>7630.0</v>
      </c>
    </row>
    <row r="4513">
      <c r="A4513" s="40">
        <f t="array" ref="A4513">IFNA(index(PlayerValues!A:A,match(IFNA(vlookup(B4513,'Special Names'!A:B,2,FALSE),B4513),PlayerValues!E:E,0)),"N/A")</f>
        <v>16581</v>
      </c>
      <c r="B4513" s="4" t="s">
        <v>315</v>
      </c>
      <c r="C4513" s="4" t="s">
        <v>283</v>
      </c>
      <c r="D4513" s="94">
        <v>7629.0</v>
      </c>
    </row>
    <row r="4514">
      <c r="A4514" s="40">
        <f t="array" ref="A4514">IFNA(index(PlayerValues!A:A,match(IFNA(vlookup(B4514,'Special Names'!A:B,2,FALSE),B4514),PlayerValues!E:E,0)),"N/A")</f>
        <v>14836</v>
      </c>
      <c r="B4514" s="4" t="s">
        <v>306</v>
      </c>
      <c r="C4514" s="4" t="s">
        <v>287</v>
      </c>
      <c r="D4514" s="94">
        <v>7614.0</v>
      </c>
    </row>
    <row r="4515">
      <c r="A4515" s="40">
        <f t="array" ref="A4515">IFNA(index(PlayerValues!A:A,match(IFNA(vlookup(B4515,'Special Names'!A:B,2,FALSE),B4515),PlayerValues!E:E,0)),"N/A")</f>
        <v>17472</v>
      </c>
      <c r="B4515" s="4" t="s">
        <v>310</v>
      </c>
      <c r="C4515" s="4" t="s">
        <v>278</v>
      </c>
      <c r="D4515" s="94">
        <v>7468.0</v>
      </c>
    </row>
    <row r="4516">
      <c r="A4516" s="40">
        <f t="array" ref="A4516">IFNA(index(PlayerValues!A:A,match(IFNA(vlookup(B4516,'Special Names'!A:B,2,FALSE),B4516),PlayerValues!E:E,0)),"N/A")</f>
        <v>14777</v>
      </c>
      <c r="B4516" s="4" t="s">
        <v>318</v>
      </c>
      <c r="C4516" s="4" t="s">
        <v>283</v>
      </c>
      <c r="D4516" s="94">
        <v>7426.0</v>
      </c>
    </row>
    <row r="4517">
      <c r="A4517" s="40">
        <f t="array" ref="A4517">IFNA(index(PlayerValues!A:A,match(IFNA(vlookup(B4517,'Special Names'!A:B,2,FALSE),B4517),PlayerValues!E:E,0)),"N/A")</f>
        <v>15794</v>
      </c>
      <c r="B4517" s="4" t="s">
        <v>313</v>
      </c>
      <c r="C4517" s="4" t="s">
        <v>298</v>
      </c>
      <c r="D4517" s="94">
        <v>8169.0</v>
      </c>
    </row>
    <row r="4518">
      <c r="A4518" s="40">
        <f t="array" ref="A4518">IFNA(index(PlayerValues!A:A,match(IFNA(vlookup(B4518,'Special Names'!A:B,2,FALSE),B4518),PlayerValues!E:E,0)),"N/A")</f>
        <v>16615</v>
      </c>
      <c r="B4518" s="4" t="s">
        <v>309</v>
      </c>
      <c r="C4518" s="4" t="s">
        <v>287</v>
      </c>
      <c r="D4518" s="94">
        <v>7230.0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7133.0</v>
      </c>
    </row>
    <row r="4520">
      <c r="A4520" s="40" t="str">
        <f t="array" ref="A4520">IFNA(index(PlayerValues!A:A,match(IFNA(vlookup(B4520,'Special Names'!A:B,2,FALSE),B4520),PlayerValues!E:E,0)),"N/A")</f>
        <v>N/A</v>
      </c>
      <c r="B4520" s="4" t="s">
        <v>92</v>
      </c>
      <c r="C4520" s="4" t="s">
        <v>325</v>
      </c>
      <c r="D4520" s="94">
        <v>7108.0</v>
      </c>
    </row>
    <row r="4521">
      <c r="A4521" s="40">
        <f t="array" ref="A4521">IFNA(index(PlayerValues!A:A,match(IFNA(vlookup(B4521,'Special Names'!A:B,2,FALSE),B4521),PlayerValues!E:E,0)),"N/A")</f>
        <v>14779</v>
      </c>
      <c r="B4521" s="4" t="s">
        <v>327</v>
      </c>
      <c r="C4521" s="4" t="s">
        <v>283</v>
      </c>
      <c r="D4521" s="94">
        <v>7041.0</v>
      </c>
    </row>
    <row r="4522">
      <c r="A4522" s="40">
        <f t="array" ref="A4522">IFNA(index(PlayerValues!A:A,match(IFNA(vlookup(B4522,'Special Names'!A:B,2,FALSE),B4522),PlayerValues!E:E,0)),"N/A")</f>
        <v>15751</v>
      </c>
      <c r="B4522" s="4" t="s">
        <v>328</v>
      </c>
      <c r="C4522" s="4" t="s">
        <v>287</v>
      </c>
      <c r="D4522" s="94">
        <v>7005.0</v>
      </c>
    </row>
    <row r="4523">
      <c r="A4523" s="40">
        <f t="array" ref="A4523">IFNA(index(PlayerValues!A:A,match(IFNA(vlookup(B4523,'Special Names'!A:B,2,FALSE),B4523),PlayerValues!E:E,0)),"N/A")</f>
        <v>17044</v>
      </c>
      <c r="B4523" s="4" t="s">
        <v>322</v>
      </c>
      <c r="C4523" s="4" t="s">
        <v>278</v>
      </c>
      <c r="D4523" s="94">
        <v>6992.0</v>
      </c>
    </row>
    <row r="4524">
      <c r="A4524" s="40">
        <f t="array" ref="A4524">IFNA(index(PlayerValues!A:A,match(IFNA(vlookup(B4524,'Special Names'!A:B,2,FALSE),B4524),PlayerValues!E:E,0)),"N/A")</f>
        <v>16167</v>
      </c>
      <c r="B4524" s="4" t="s">
        <v>323</v>
      </c>
      <c r="C4524" s="4" t="s">
        <v>278</v>
      </c>
      <c r="D4524" s="94">
        <v>6823.0</v>
      </c>
    </row>
    <row r="4525">
      <c r="A4525" s="40">
        <f t="array" ref="A4525">IFNA(index(PlayerValues!A:A,match(IFNA(vlookup(B4525,'Special Names'!A:B,2,FALSE),B4525),PlayerValues!E:E,0)),"N/A")</f>
        <v>17071</v>
      </c>
      <c r="B4525" s="4" t="s">
        <v>341</v>
      </c>
      <c r="C4525" s="4" t="s">
        <v>287</v>
      </c>
      <c r="D4525" s="94">
        <v>6391.0</v>
      </c>
    </row>
    <row r="4526">
      <c r="A4526" s="40">
        <f t="array" ref="A4526">IFNA(index(PlayerValues!A:A,match(IFNA(vlookup(B4526,'Special Names'!A:B,2,FALSE),B4526),PlayerValues!E:E,0)),"N/A")</f>
        <v>17104</v>
      </c>
      <c r="B4526" s="4" t="s">
        <v>333</v>
      </c>
      <c r="C4526" s="4" t="s">
        <v>298</v>
      </c>
      <c r="D4526" s="94">
        <v>7062.0</v>
      </c>
    </row>
    <row r="4527">
      <c r="A4527" s="40">
        <f t="array" ref="A4527">IFNA(index(PlayerValues!A:A,match(IFNA(vlookup(B4527,'Special Names'!A:B,2,FALSE),B4527),PlayerValues!E:E,0)),"N/A")</f>
        <v>13116</v>
      </c>
      <c r="B4527" s="4" t="s">
        <v>345</v>
      </c>
      <c r="C4527" s="4" t="s">
        <v>283</v>
      </c>
      <c r="D4527" s="94">
        <v>6349.0</v>
      </c>
    </row>
    <row r="4528">
      <c r="A4528" s="40">
        <f t="array" ref="A4528">IFNA(index(PlayerValues!A:A,match(IFNA(vlookup(B4528,'Special Names'!A:B,2,FALSE),B4528),PlayerValues!E:E,0)),"N/A")</f>
        <v>17081</v>
      </c>
      <c r="B4528" s="4" t="s">
        <v>340</v>
      </c>
      <c r="C4528" s="4" t="s">
        <v>287</v>
      </c>
      <c r="D4528" s="94">
        <v>6345.0</v>
      </c>
    </row>
    <row r="4529">
      <c r="A4529" s="40">
        <f t="array" ref="A4529">IFNA(index(PlayerValues!A:A,match(IFNA(vlookup(B4529,'Special Names'!A:B,2,FALSE),B4529),PlayerValues!E:E,0)),"N/A")</f>
        <v>15237</v>
      </c>
      <c r="B4529" s="4" t="s">
        <v>336</v>
      </c>
      <c r="C4529" s="4" t="s">
        <v>283</v>
      </c>
      <c r="D4529" s="94">
        <v>6305.0</v>
      </c>
    </row>
    <row r="4530">
      <c r="A4530" s="40">
        <f t="array" ref="A4530">IFNA(index(PlayerValues!A:A,match(IFNA(vlookup(B4530,'Special Names'!A:B,2,FALSE),B4530),PlayerValues!E:E,0)),"N/A")</f>
        <v>17032</v>
      </c>
      <c r="B4530" s="4" t="s">
        <v>348</v>
      </c>
      <c r="C4530" s="4" t="s">
        <v>283</v>
      </c>
      <c r="D4530" s="94">
        <v>6293.0</v>
      </c>
    </row>
    <row r="4531">
      <c r="A4531" s="40">
        <f t="array" ref="A4531">IFNA(index(PlayerValues!A:A,match(IFNA(vlookup(B4531,'Special Names'!A:B,2,FALSE),B4531),PlayerValues!E:E,0)),"N/A")</f>
        <v>14802</v>
      </c>
      <c r="B4531" s="4" t="s">
        <v>332</v>
      </c>
      <c r="C4531" s="4" t="s">
        <v>278</v>
      </c>
      <c r="D4531" s="94">
        <v>6153.0</v>
      </c>
    </row>
    <row r="4532">
      <c r="A4532" s="40">
        <f t="array" ref="A4532">IFNA(index(PlayerValues!A:A,match(IFNA(vlookup(B4532,'Special Names'!A:B,2,FALSE),B4532),PlayerValues!E:E,0)),"N/A")</f>
        <v>14783</v>
      </c>
      <c r="B4532" s="4" t="s">
        <v>342</v>
      </c>
      <c r="C4532" s="4" t="s">
        <v>283</v>
      </c>
      <c r="D4532" s="94">
        <v>6148.0</v>
      </c>
    </row>
    <row r="4533">
      <c r="A4533" s="40">
        <f t="array" ref="A4533">IFNA(index(PlayerValues!A:A,match(IFNA(vlookup(B4533,'Special Names'!A:B,2,FALSE),B4533),PlayerValues!E:E,0)),"N/A")</f>
        <v>15762</v>
      </c>
      <c r="B4533" s="4" t="s">
        <v>337</v>
      </c>
      <c r="C4533" s="4" t="s">
        <v>287</v>
      </c>
      <c r="D4533" s="94">
        <v>6122.0</v>
      </c>
    </row>
    <row r="4534">
      <c r="A4534" s="40">
        <f t="array" ref="A4534">IFNA(index(PlayerValues!A:A,match(IFNA(vlookup(B4534,'Special Names'!A:B,2,FALSE),B4534),PlayerValues!E:E,0)),"N/A")</f>
        <v>15715</v>
      </c>
      <c r="B4534" s="4" t="s">
        <v>331</v>
      </c>
      <c r="C4534" s="4" t="s">
        <v>278</v>
      </c>
      <c r="D4534" s="94">
        <v>6101.0</v>
      </c>
    </row>
    <row r="4535">
      <c r="A4535" s="40">
        <f t="array" ref="A4535">IFNA(index(PlayerValues!A:A,match(IFNA(vlookup(B4535,'Special Names'!A:B,2,FALSE),B4535),PlayerValues!E:E,0)),"N/A")</f>
        <v>16582</v>
      </c>
      <c r="B4535" s="4" t="s">
        <v>343</v>
      </c>
      <c r="C4535" s="4" t="s">
        <v>283</v>
      </c>
      <c r="D4535" s="94">
        <v>5982.0</v>
      </c>
    </row>
    <row r="4536">
      <c r="A4536" s="40">
        <f t="array" ref="A4536">IFNA(index(PlayerValues!A:A,match(IFNA(vlookup(B4536,'Special Names'!A:B,2,FALSE),B4536),PlayerValues!E:E,0)),"N/A")</f>
        <v>17497</v>
      </c>
      <c r="B4536" s="4" t="s">
        <v>365</v>
      </c>
      <c r="C4536" s="4" t="s">
        <v>287</v>
      </c>
      <c r="D4536" s="94">
        <v>5908.0</v>
      </c>
    </row>
    <row r="4537">
      <c r="A4537" s="40">
        <f t="array" ref="A4537">IFNA(index(PlayerValues!A:A,match(IFNA(vlookup(B4537,'Special Names'!A:B,2,FALSE),B4537),PlayerValues!E:E,0)),"N/A")</f>
        <v>17102</v>
      </c>
      <c r="B4537" s="4" t="s">
        <v>344</v>
      </c>
      <c r="C4537" s="4" t="s">
        <v>298</v>
      </c>
      <c r="D4537" s="94">
        <v>6534.0</v>
      </c>
    </row>
    <row r="4538">
      <c r="A4538" s="40">
        <f t="array" ref="A4538">IFNA(index(PlayerValues!A:A,match(IFNA(vlookup(B4538,'Special Names'!A:B,2,FALSE),B4538),PlayerValues!E:E,0)),"N/A")</f>
        <v>15698</v>
      </c>
      <c r="B4538" s="4" t="s">
        <v>358</v>
      </c>
      <c r="C4538" s="4" t="s">
        <v>283</v>
      </c>
      <c r="D4538" s="94">
        <v>5818.0</v>
      </c>
    </row>
    <row r="4539">
      <c r="A4539" s="40" t="str">
        <f t="array" ref="A4539">IFNA(index(PlayerValues!A:A,match(IFNA(vlookup(B4539,'Special Names'!A:B,2,FALSE),B4539),PlayerValues!E:E,0)),"N/A")</f>
        <v>N/A</v>
      </c>
      <c r="B4539" s="4" t="s">
        <v>93</v>
      </c>
      <c r="C4539" s="4" t="s">
        <v>325</v>
      </c>
      <c r="D4539" s="94">
        <v>5655.0</v>
      </c>
    </row>
    <row r="4540">
      <c r="A4540" s="40">
        <f t="array" ref="A4540">IFNA(index(PlayerValues!A:A,match(IFNA(vlookup(B4540,'Special Names'!A:B,2,FALSE),B4540),PlayerValues!E:E,0)),"N/A")</f>
        <v>15711</v>
      </c>
      <c r="B4540" s="4" t="s">
        <v>349</v>
      </c>
      <c r="C4540" s="4" t="s">
        <v>278</v>
      </c>
      <c r="D4540" s="94">
        <v>5601.0</v>
      </c>
    </row>
    <row r="4541">
      <c r="A4541" s="40" t="str">
        <f t="array" ref="A4541">IFNA(index(PlayerValues!A:A,match(IFNA(vlookup(B4541,'Special Names'!A:B,2,FALSE),B4541),PlayerValues!E:E,0)),"N/A")</f>
        <v>N/A</v>
      </c>
      <c r="B4541" s="4" t="s">
        <v>79</v>
      </c>
      <c r="C4541" s="4" t="s">
        <v>325</v>
      </c>
      <c r="D4541" s="94">
        <v>5595.0</v>
      </c>
    </row>
    <row r="4542">
      <c r="A4542" s="40">
        <f t="array" ref="A4542">IFNA(index(PlayerValues!A:A,match(IFNA(vlookup(B4542,'Special Names'!A:B,2,FALSE),B4542),PlayerValues!E:E,0)),"N/A")</f>
        <v>16627</v>
      </c>
      <c r="B4542" s="4" t="s">
        <v>351</v>
      </c>
      <c r="C4542" s="4" t="s">
        <v>287</v>
      </c>
      <c r="D4542" s="94">
        <v>5586.0</v>
      </c>
    </row>
    <row r="4543">
      <c r="A4543" s="40">
        <f t="array" ref="A4543">IFNA(index(PlayerValues!A:A,match(IFNA(vlookup(B4543,'Special Names'!A:B,2,FALSE),B4543),PlayerValues!E:E,0)),"N/A")</f>
        <v>15290</v>
      </c>
      <c r="B4543" s="4" t="s">
        <v>355</v>
      </c>
      <c r="C4543" s="4" t="s">
        <v>287</v>
      </c>
      <c r="D4543" s="94">
        <v>5576.0</v>
      </c>
    </row>
    <row r="4544">
      <c r="A4544" s="40">
        <f t="array" ref="A4544">IFNA(index(PlayerValues!A:A,match(IFNA(vlookup(B4544,'Special Names'!A:B,2,FALSE),B4544),PlayerValues!E:E,0)),"N/A")</f>
        <v>15753</v>
      </c>
      <c r="B4544" s="4" t="s">
        <v>359</v>
      </c>
      <c r="C4544" s="4" t="s">
        <v>287</v>
      </c>
      <c r="D4544" s="94">
        <v>5560.0</v>
      </c>
    </row>
    <row r="4545">
      <c r="A4545" s="40">
        <f t="array" ref="A4545">IFNA(index(PlayerValues!A:A,match(IFNA(vlookup(B4545,'Special Names'!A:B,2,FALSE),B4545),PlayerValues!E:E,0)),"N/A")</f>
        <v>17051</v>
      </c>
      <c r="B4545" s="4" t="s">
        <v>386</v>
      </c>
      <c r="C4545" s="4" t="s">
        <v>278</v>
      </c>
      <c r="D4545" s="94">
        <v>5538.0</v>
      </c>
    </row>
    <row r="4546">
      <c r="A4546" s="40">
        <f t="array" ref="A4546">IFNA(index(PlayerValues!A:A,match(IFNA(vlookup(B4546,'Special Names'!A:B,2,FALSE),B4546),PlayerValues!E:E,0)),"N/A")</f>
        <v>17070</v>
      </c>
      <c r="B4546" s="4" t="s">
        <v>370</v>
      </c>
      <c r="C4546" s="4" t="s">
        <v>287</v>
      </c>
      <c r="D4546" s="94">
        <v>5525.0</v>
      </c>
    </row>
    <row r="4547">
      <c r="A4547" s="40">
        <f t="array" ref="A4547">IFNA(index(PlayerValues!A:A,match(IFNA(vlookup(B4547,'Special Names'!A:B,2,FALSE),B4547),PlayerValues!E:E,0)),"N/A")</f>
        <v>15754</v>
      </c>
      <c r="B4547" s="4" t="s">
        <v>354</v>
      </c>
      <c r="C4547" s="4" t="s">
        <v>287</v>
      </c>
      <c r="D4547" s="94">
        <v>5471.0</v>
      </c>
    </row>
    <row r="4548">
      <c r="A4548" s="40">
        <f t="array" ref="A4548">IFNA(index(PlayerValues!A:A,match(IFNA(vlookup(B4548,'Special Names'!A:B,2,FALSE),B4548),PlayerValues!E:E,0)),"N/A")</f>
        <v>14782</v>
      </c>
      <c r="B4548" s="4" t="s">
        <v>385</v>
      </c>
      <c r="C4548" s="4" t="s">
        <v>283</v>
      </c>
      <c r="D4548" s="94">
        <v>5452.0</v>
      </c>
    </row>
    <row r="4549">
      <c r="A4549" s="40">
        <f t="array" ref="A4549">IFNA(index(PlayerValues!A:A,match(IFNA(vlookup(B4549,'Special Names'!A:B,2,FALSE),B4549),PlayerValues!E:E,0)),"N/A")</f>
        <v>15282</v>
      </c>
      <c r="B4549" s="4" t="s">
        <v>364</v>
      </c>
      <c r="C4549" s="4" t="s">
        <v>287</v>
      </c>
      <c r="D4549" s="94">
        <v>5442.0</v>
      </c>
    </row>
    <row r="4550">
      <c r="A4550" s="40">
        <f t="array" ref="A4550">IFNA(index(PlayerValues!A:A,match(IFNA(vlookup(B4550,'Special Names'!A:B,2,FALSE),B4550),PlayerValues!E:E,0)),"N/A")</f>
        <v>17462</v>
      </c>
      <c r="B4550" s="4" t="s">
        <v>375</v>
      </c>
      <c r="C4550" s="4" t="s">
        <v>283</v>
      </c>
      <c r="D4550" s="94">
        <v>5430.0</v>
      </c>
    </row>
    <row r="4551">
      <c r="A4551" s="40">
        <f t="array" ref="A4551">IFNA(index(PlayerValues!A:A,match(IFNA(vlookup(B4551,'Special Names'!A:B,2,FALSE),B4551),PlayerValues!E:E,0)),"N/A")</f>
        <v>17498</v>
      </c>
      <c r="B4551" s="4" t="s">
        <v>396</v>
      </c>
      <c r="C4551" s="4" t="s">
        <v>287</v>
      </c>
      <c r="D4551" s="94">
        <v>5365.0</v>
      </c>
    </row>
    <row r="4552">
      <c r="A4552" s="40">
        <f t="array" ref="A4552">IFNA(index(PlayerValues!A:A,match(IFNA(vlookup(B4552,'Special Names'!A:B,2,FALSE),B4552),PlayerValues!E:E,0)),"N/A")</f>
        <v>17043</v>
      </c>
      <c r="B4552" s="4" t="s">
        <v>397</v>
      </c>
      <c r="C4552" s="4" t="s">
        <v>278</v>
      </c>
      <c r="D4552" s="94">
        <v>5350.0</v>
      </c>
    </row>
    <row r="4553">
      <c r="A4553" s="40">
        <f t="array" ref="A4553">IFNA(index(PlayerValues!A:A,match(IFNA(vlookup(B4553,'Special Names'!A:B,2,FALSE),B4553),PlayerValues!E:E,0)),"N/A")</f>
        <v>15708</v>
      </c>
      <c r="B4553" s="4" t="s">
        <v>382</v>
      </c>
      <c r="C4553" s="4" t="s">
        <v>278</v>
      </c>
      <c r="D4553" s="94">
        <v>5285.0</v>
      </c>
    </row>
    <row r="4554">
      <c r="A4554" s="40">
        <f t="array" ref="A4554">IFNA(index(PlayerValues!A:A,match(IFNA(vlookup(B4554,'Special Names'!A:B,2,FALSE),B4554),PlayerValues!E:E,0)),"N/A")</f>
        <v>16181</v>
      </c>
      <c r="B4554" s="4" t="s">
        <v>350</v>
      </c>
      <c r="C4554" s="4" t="s">
        <v>278</v>
      </c>
      <c r="D4554" s="94">
        <v>5270.0</v>
      </c>
    </row>
    <row r="4555">
      <c r="A4555" s="40">
        <f t="array" ref="A4555">IFNA(index(PlayerValues!A:A,match(IFNA(vlookup(B4555,'Special Names'!A:B,2,FALSE),B4555),PlayerValues!E:E,0)),"N/A")</f>
        <v>17030</v>
      </c>
      <c r="B4555" s="4" t="s">
        <v>406</v>
      </c>
      <c r="C4555" s="4" t="s">
        <v>283</v>
      </c>
      <c r="D4555" s="94">
        <v>5266.0</v>
      </c>
    </row>
    <row r="4556">
      <c r="A4556" s="40">
        <f t="array" ref="A4556">IFNA(index(PlayerValues!A:A,match(IFNA(vlookup(B4556,'Special Names'!A:B,2,FALSE),B4556),PlayerValues!E:E,0)),"N/A")</f>
        <v>13130</v>
      </c>
      <c r="B4556" s="4" t="s">
        <v>374</v>
      </c>
      <c r="C4556" s="4" t="s">
        <v>278</v>
      </c>
      <c r="D4556" s="94">
        <v>5250.0</v>
      </c>
    </row>
    <row r="4557">
      <c r="A4557" s="40">
        <f t="array" ref="A4557">IFNA(index(PlayerValues!A:A,match(IFNA(vlookup(B4557,'Special Names'!A:B,2,FALSE),B4557),PlayerValues!E:E,0)),"N/A")</f>
        <v>16616</v>
      </c>
      <c r="B4557" s="4" t="s">
        <v>389</v>
      </c>
      <c r="C4557" s="4" t="s">
        <v>287</v>
      </c>
      <c r="D4557" s="94">
        <v>5247.0</v>
      </c>
    </row>
    <row r="4558">
      <c r="A4558" s="40" t="str">
        <f t="array" ref="A4558">IFNA(index(PlayerValues!A:A,match(IFNA(vlookup(B4558,'Special Names'!A:B,2,FALSE),B4558),PlayerValues!E:E,0)),"N/A")</f>
        <v>N/A</v>
      </c>
      <c r="B4558" s="4" t="s">
        <v>104</v>
      </c>
      <c r="C4558" s="4" t="s">
        <v>325</v>
      </c>
      <c r="D4558" s="94">
        <v>5185.0</v>
      </c>
    </row>
    <row r="4559">
      <c r="A4559" s="40">
        <f t="array" ref="A4559">IFNA(index(PlayerValues!A:A,match(IFNA(vlookup(B4559,'Special Names'!A:B,2,FALSE),B4559),PlayerValues!E:E,0)),"N/A")</f>
        <v>13604</v>
      </c>
      <c r="B4559" s="4" t="s">
        <v>378</v>
      </c>
      <c r="C4559" s="4" t="s">
        <v>278</v>
      </c>
      <c r="D4559" s="94">
        <v>5079.0</v>
      </c>
    </row>
    <row r="4560">
      <c r="A4560" s="40">
        <f t="array" ref="A4560">IFNA(index(PlayerValues!A:A,match(IFNA(vlookup(B4560,'Special Names'!A:B,2,FALSE),B4560),PlayerValues!E:E,0)),"N/A")</f>
        <v>14104</v>
      </c>
      <c r="B4560" s="4" t="s">
        <v>379</v>
      </c>
      <c r="C4560" s="4" t="s">
        <v>287</v>
      </c>
      <c r="D4560" s="94">
        <v>5032.0</v>
      </c>
    </row>
    <row r="4561">
      <c r="A4561" s="40">
        <f t="array" ref="A4561">IFNA(index(PlayerValues!A:A,match(IFNA(vlookup(B4561,'Special Names'!A:B,2,FALSE),B4561),PlayerValues!E:E,0)),"N/A")</f>
        <v>17499</v>
      </c>
      <c r="B4561" s="4" t="s">
        <v>402</v>
      </c>
      <c r="C4561" s="4" t="s">
        <v>287</v>
      </c>
      <c r="D4561" s="94">
        <v>5007.0</v>
      </c>
    </row>
    <row r="4562">
      <c r="A4562" s="40">
        <f t="array" ref="A4562">IFNA(index(PlayerValues!A:A,match(IFNA(vlookup(B4562,'Special Names'!A:B,2,FALSE),B4562),PlayerValues!E:E,0)),"N/A")</f>
        <v>16190</v>
      </c>
      <c r="B4562" s="4" t="s">
        <v>371</v>
      </c>
      <c r="C4562" s="4" t="s">
        <v>287</v>
      </c>
      <c r="D4562" s="94">
        <v>4985.0</v>
      </c>
    </row>
    <row r="4563">
      <c r="A4563" s="40">
        <f t="array" ref="A4563">IFNA(index(PlayerValues!A:A,match(IFNA(vlookup(B4563,'Special Names'!A:B,2,FALSE),B4563),PlayerValues!E:E,0)),"N/A")</f>
        <v>16194</v>
      </c>
      <c r="B4563" s="4" t="s">
        <v>398</v>
      </c>
      <c r="C4563" s="4" t="s">
        <v>287</v>
      </c>
      <c r="D4563" s="94">
        <v>4982.0</v>
      </c>
    </row>
    <row r="4564">
      <c r="A4564" s="40">
        <f t="array" ref="A4564">IFNA(index(PlayerValues!A:A,match(IFNA(vlookup(B4564,'Special Names'!A:B,2,FALSE),B4564),PlayerValues!E:E,0)),"N/A")</f>
        <v>14835</v>
      </c>
      <c r="B4564" s="4" t="s">
        <v>392</v>
      </c>
      <c r="C4564" s="4" t="s">
        <v>287</v>
      </c>
      <c r="D4564" s="94">
        <v>4969.0</v>
      </c>
    </row>
    <row r="4565">
      <c r="A4565" s="40">
        <f t="array" ref="A4565">IFNA(index(PlayerValues!A:A,match(IFNA(vlookup(B4565,'Special Names'!A:B,2,FALSE),B4565),PlayerValues!E:E,0)),"N/A")</f>
        <v>16222</v>
      </c>
      <c r="B4565" s="4" t="s">
        <v>393</v>
      </c>
      <c r="C4565" s="4" t="s">
        <v>298</v>
      </c>
      <c r="D4565" s="94">
        <v>5547.0</v>
      </c>
    </row>
    <row r="4566">
      <c r="A4566" s="40">
        <f t="array" ref="A4566">IFNA(index(PlayerValues!A:A,match(IFNA(vlookup(B4566,'Special Names'!A:B,2,FALSE),B4566),PlayerValues!E:E,0)),"N/A")</f>
        <v>15710</v>
      </c>
      <c r="B4566" s="4" t="s">
        <v>395</v>
      </c>
      <c r="C4566" s="4" t="s">
        <v>278</v>
      </c>
      <c r="D4566" s="94">
        <v>4958.0</v>
      </c>
    </row>
    <row r="4567">
      <c r="A4567" s="40">
        <f t="array" ref="A4567">IFNA(index(PlayerValues!A:A,match(IFNA(vlookup(B4567,'Special Names'!A:B,2,FALSE),B4567),PlayerValues!E:E,0)),"N/A")</f>
        <v>12620</v>
      </c>
      <c r="B4567" s="4" t="s">
        <v>394</v>
      </c>
      <c r="C4567" s="4" t="s">
        <v>283</v>
      </c>
      <c r="D4567" s="94">
        <v>4922.0</v>
      </c>
    </row>
    <row r="4568">
      <c r="A4568" s="40">
        <f t="array" ref="A4568">IFNA(index(PlayerValues!A:A,match(IFNA(vlookup(B4568,'Special Names'!A:B,2,FALSE),B4568),PlayerValues!E:E,0)),"N/A")</f>
        <v>15284</v>
      </c>
      <c r="B4568" s="4" t="s">
        <v>390</v>
      </c>
      <c r="C4568" s="4" t="s">
        <v>287</v>
      </c>
      <c r="D4568" s="94">
        <v>4896.0</v>
      </c>
    </row>
    <row r="4569">
      <c r="A4569" s="40">
        <f t="array" ref="A4569">IFNA(index(PlayerValues!A:A,match(IFNA(vlookup(B4569,'Special Names'!A:B,2,FALSE),B4569),PlayerValues!E:E,0)),"N/A")</f>
        <v>16614</v>
      </c>
      <c r="B4569" s="4" t="s">
        <v>403</v>
      </c>
      <c r="C4569" s="4" t="s">
        <v>287</v>
      </c>
      <c r="D4569" s="94">
        <v>4848.0</v>
      </c>
    </row>
    <row r="4570">
      <c r="A4570" s="40" t="str">
        <f t="array" ref="A4570">IFNA(index(PlayerValues!A:A,match(IFNA(vlookup(B4570,'Special Names'!A:B,2,FALSE),B4570),PlayerValues!E:E,0)),"N/A")</f>
        <v>N/A</v>
      </c>
      <c r="B4570" s="4" t="s">
        <v>94</v>
      </c>
      <c r="C4570" s="4" t="s">
        <v>325</v>
      </c>
      <c r="D4570" s="94">
        <v>4847.0</v>
      </c>
    </row>
    <row r="4571">
      <c r="A4571" s="40">
        <f t="array" ref="A4571">IFNA(index(PlayerValues!A:A,match(IFNA(vlookup(B4571,'Special Names'!A:B,2,FALSE),B4571),PlayerValues!E:E,0)),"N/A")</f>
        <v>17039</v>
      </c>
      <c r="B4571" s="4" t="s">
        <v>400</v>
      </c>
      <c r="C4571" s="4" t="s">
        <v>283</v>
      </c>
      <c r="D4571" s="94">
        <v>4837.0</v>
      </c>
    </row>
    <row r="4572">
      <c r="A4572" s="40">
        <f t="array" ref="A4572">IFNA(index(PlayerValues!A:A,match(IFNA(vlookup(B4572,'Special Names'!A:B,2,FALSE),B4572),PlayerValues!E:E,0)),"N/A")</f>
        <v>16618</v>
      </c>
      <c r="B4572" s="4" t="s">
        <v>411</v>
      </c>
      <c r="C4572" s="4" t="s">
        <v>287</v>
      </c>
      <c r="D4572" s="94">
        <v>4823.0</v>
      </c>
    </row>
    <row r="4573">
      <c r="A4573" s="40">
        <f t="array" ref="A4573">IFNA(index(PlayerValues!A:A,match(IFNA(vlookup(B4573,'Special Names'!A:B,2,FALSE),B4573),PlayerValues!E:E,0)),"N/A")</f>
        <v>17473</v>
      </c>
      <c r="B4573" s="4" t="s">
        <v>391</v>
      </c>
      <c r="C4573" s="4" t="s">
        <v>278</v>
      </c>
      <c r="D4573" s="94">
        <v>4791.0</v>
      </c>
    </row>
    <row r="4574">
      <c r="A4574" s="40">
        <f t="array" ref="A4574">IFNA(index(PlayerValues!A:A,match(IFNA(vlookup(B4574,'Special Names'!A:B,2,FALSE),B4574),PlayerValues!E:E,0)),"N/A")</f>
        <v>15756</v>
      </c>
      <c r="B4574" s="4" t="s">
        <v>399</v>
      </c>
      <c r="C4574" s="4" t="s">
        <v>287</v>
      </c>
      <c r="D4574" s="94">
        <v>4775.0</v>
      </c>
    </row>
    <row r="4575">
      <c r="A4575" s="40">
        <f t="array" ref="A4575">IFNA(index(PlayerValues!A:A,match(IFNA(vlookup(B4575,'Special Names'!A:B,2,FALSE),B4575),PlayerValues!E:E,0)),"N/A")</f>
        <v>17045</v>
      </c>
      <c r="B4575" s="4" t="s">
        <v>407</v>
      </c>
      <c r="C4575" s="4" t="s">
        <v>278</v>
      </c>
      <c r="D4575" s="94">
        <v>4771.0</v>
      </c>
    </row>
    <row r="4576">
      <c r="A4576" s="40">
        <f t="array" ref="A4576">IFNA(index(PlayerValues!A:A,match(IFNA(vlookup(B4576,'Special Names'!A:B,2,FALSE),B4576),PlayerValues!E:E,0)),"N/A")</f>
        <v>17103</v>
      </c>
      <c r="B4576" s="4" t="s">
        <v>405</v>
      </c>
      <c r="C4576" s="4" t="s">
        <v>298</v>
      </c>
      <c r="D4576" s="94">
        <v>5304.0</v>
      </c>
    </row>
    <row r="4577">
      <c r="A4577" s="40">
        <f t="array" ref="A4577">IFNA(index(PlayerValues!A:A,match(IFNA(vlookup(B4577,'Special Names'!A:B,2,FALSE),B4577),PlayerValues!E:E,0)),"N/A")</f>
        <v>16598</v>
      </c>
      <c r="B4577" s="4" t="s">
        <v>408</v>
      </c>
      <c r="C4577" s="4" t="s">
        <v>278</v>
      </c>
      <c r="D4577" s="94">
        <v>4695.0</v>
      </c>
    </row>
    <row r="4578">
      <c r="A4578" s="40">
        <f t="array" ref="A4578">IFNA(index(PlayerValues!A:A,match(IFNA(vlookup(B4578,'Special Names'!A:B,2,FALSE),B4578),PlayerValues!E:E,0)),"N/A")</f>
        <v>12611</v>
      </c>
      <c r="B4578" s="4" t="s">
        <v>410</v>
      </c>
      <c r="C4578" s="4" t="s">
        <v>283</v>
      </c>
      <c r="D4578" s="94">
        <v>4678.0</v>
      </c>
    </row>
    <row r="4579">
      <c r="A4579" s="40" t="str">
        <f t="array" ref="A4579">IFNA(index(PlayerValues!A:A,match(IFNA(vlookup(B4579,'Special Names'!A:B,2,FALSE),B4579),PlayerValues!E:E,0)),"N/A")</f>
        <v>N/A</v>
      </c>
      <c r="B4579" s="4" t="s">
        <v>80</v>
      </c>
      <c r="C4579" s="4" t="s">
        <v>325</v>
      </c>
      <c r="D4579" s="94">
        <v>4665.0</v>
      </c>
    </row>
    <row r="4580">
      <c r="A4580" s="40">
        <f t="array" ref="A4580">IFNA(index(PlayerValues!A:A,match(IFNA(vlookup(B4580,'Special Names'!A:B,2,FALSE),B4580),PlayerValues!E:E,0)),"N/A")</f>
        <v>13590</v>
      </c>
      <c r="B4580" s="4" t="s">
        <v>409</v>
      </c>
      <c r="C4580" s="4" t="s">
        <v>283</v>
      </c>
      <c r="D4580" s="94">
        <v>4648.0</v>
      </c>
    </row>
    <row r="4581">
      <c r="A4581" s="40">
        <f t="array" ref="A4581">IFNA(index(PlayerValues!A:A,match(IFNA(vlookup(B4581,'Special Names'!A:B,2,FALSE),B4581),PlayerValues!E:E,0)),"N/A")</f>
        <v>16150</v>
      </c>
      <c r="B4581" s="4" t="s">
        <v>414</v>
      </c>
      <c r="C4581" s="4" t="s">
        <v>283</v>
      </c>
      <c r="D4581" s="94">
        <v>4641.0</v>
      </c>
    </row>
    <row r="4582">
      <c r="A4582" s="40">
        <f t="array" ref="A4582">IFNA(index(PlayerValues!A:A,match(IFNA(vlookup(B4582,'Special Names'!A:B,2,FALSE),B4582),PlayerValues!E:E,0)),"N/A")</f>
        <v>16214</v>
      </c>
      <c r="B4582" s="4" t="s">
        <v>413</v>
      </c>
      <c r="C4582" s="4" t="s">
        <v>298</v>
      </c>
      <c r="D4582" s="94">
        <v>5170.0</v>
      </c>
    </row>
    <row r="4583">
      <c r="A4583" s="40">
        <f t="array" ref="A4583">IFNA(index(PlayerValues!A:A,match(IFNA(vlookup(B4583,'Special Names'!A:B,2,FALSE),B4583),PlayerValues!E:E,0)),"N/A")</f>
        <v>15256</v>
      </c>
      <c r="B4583" s="4" t="s">
        <v>401</v>
      </c>
      <c r="C4583" s="4" t="s">
        <v>278</v>
      </c>
      <c r="D4583" s="94">
        <v>4599.0</v>
      </c>
    </row>
    <row r="4584">
      <c r="A4584" s="40" t="str">
        <f t="array" ref="A4584">IFNA(index(PlayerValues!A:A,match(IFNA(vlookup(B4584,'Special Names'!A:B,2,FALSE),B4584),PlayerValues!E:E,0)),"N/A")</f>
        <v>N/A</v>
      </c>
      <c r="B4584" s="4" t="s">
        <v>105</v>
      </c>
      <c r="C4584" s="4" t="s">
        <v>325</v>
      </c>
      <c r="D4584" s="94">
        <v>4572.0</v>
      </c>
    </row>
    <row r="4585">
      <c r="A4585" s="40">
        <f t="array" ref="A4585">IFNA(index(PlayerValues!A:A,match(IFNA(vlookup(B4585,'Special Names'!A:B,2,FALSE),B4585),PlayerValues!E:E,0)),"N/A")</f>
        <v>15329</v>
      </c>
      <c r="B4585" s="4" t="s">
        <v>416</v>
      </c>
      <c r="C4585" s="4" t="s">
        <v>298</v>
      </c>
      <c r="D4585" s="94">
        <v>4976.0</v>
      </c>
    </row>
    <row r="4586">
      <c r="A4586" s="40">
        <f t="array" ref="A4586">IFNA(index(PlayerValues!A:A,match(IFNA(vlookup(B4586,'Special Names'!A:B,2,FALSE),B4586),PlayerValues!E:E,0)),"N/A")</f>
        <v>13592</v>
      </c>
      <c r="B4586" s="4" t="s">
        <v>418</v>
      </c>
      <c r="C4586" s="4" t="s">
        <v>283</v>
      </c>
      <c r="D4586" s="94">
        <v>4394.0</v>
      </c>
    </row>
    <row r="4587">
      <c r="A4587" s="40">
        <f t="array" ref="A4587">IFNA(index(PlayerValues!A:A,match(IFNA(vlookup(B4587,'Special Names'!A:B,2,FALSE),B4587),PlayerValues!E:E,0)),"N/A")</f>
        <v>15253</v>
      </c>
      <c r="B4587" s="4" t="s">
        <v>415</v>
      </c>
      <c r="C4587" s="4" t="s">
        <v>278</v>
      </c>
      <c r="D4587" s="94">
        <v>4373.0</v>
      </c>
    </row>
    <row r="4588">
      <c r="A4588" s="40">
        <f t="array" ref="A4588">IFNA(index(PlayerValues!A:A,match(IFNA(vlookup(B4588,'Special Names'!A:B,2,FALSE),B4588),PlayerValues!E:E,0)),"N/A")</f>
        <v>17501</v>
      </c>
      <c r="B4588" s="4" t="s">
        <v>404</v>
      </c>
      <c r="C4588" s="4" t="s">
        <v>287</v>
      </c>
      <c r="D4588" s="94">
        <v>4348.0</v>
      </c>
    </row>
    <row r="4589">
      <c r="A4589" s="40">
        <f t="array" ref="A4589">IFNA(index(PlayerValues!A:A,match(IFNA(vlookup(B4589,'Special Names'!A:B,2,FALSE),B4589),PlayerValues!E:E,0)),"N/A")</f>
        <v>12626</v>
      </c>
      <c r="B4589" s="4" t="s">
        <v>419</v>
      </c>
      <c r="C4589" s="4" t="s">
        <v>278</v>
      </c>
      <c r="D4589" s="94">
        <v>4205.0</v>
      </c>
    </row>
    <row r="4590">
      <c r="A4590" s="40">
        <f t="array" ref="A4590">IFNA(index(PlayerValues!A:A,match(IFNA(vlookup(B4590,'Special Names'!A:B,2,FALSE),B4590),PlayerValues!E:E,0)),"N/A")</f>
        <v>17052</v>
      </c>
      <c r="B4590" s="4" t="s">
        <v>417</v>
      </c>
      <c r="C4590" s="4" t="s">
        <v>278</v>
      </c>
      <c r="D4590" s="94">
        <v>4198.0</v>
      </c>
    </row>
    <row r="4591">
      <c r="A4591" s="40">
        <f t="array" ref="A4591">IFNA(index(PlayerValues!A:A,match(IFNA(vlookup(B4591,'Special Names'!A:B,2,FALSE),B4591),PlayerValues!E:E,0)),"N/A")</f>
        <v>14073</v>
      </c>
      <c r="B4591" s="4" t="s">
        <v>464</v>
      </c>
      <c r="C4591" s="4" t="s">
        <v>278</v>
      </c>
      <c r="D4591" s="94">
        <v>4090.0</v>
      </c>
    </row>
    <row r="4592">
      <c r="A4592" s="40">
        <f t="array" ref="A4592">IFNA(index(PlayerValues!A:A,match(IFNA(vlookup(B4592,'Special Names'!A:B,2,FALSE),B4592),PlayerValues!E:E,0)),"N/A")</f>
        <v>17543</v>
      </c>
      <c r="B4592" s="4" t="s">
        <v>436</v>
      </c>
      <c r="C4592" s="4" t="s">
        <v>298</v>
      </c>
      <c r="D4592" s="94">
        <v>4522.0</v>
      </c>
    </row>
    <row r="4593">
      <c r="A4593" s="40">
        <f t="array" ref="A4593">IFNA(index(PlayerValues!A:A,match(IFNA(vlookup(B4593,'Special Names'!A:B,2,FALSE),B4593),PlayerValues!E:E,0)),"N/A")</f>
        <v>14056</v>
      </c>
      <c r="B4593" s="4" t="s">
        <v>423</v>
      </c>
      <c r="C4593" s="4" t="s">
        <v>283</v>
      </c>
      <c r="D4593" s="94">
        <v>3987.0</v>
      </c>
    </row>
    <row r="4594">
      <c r="A4594" s="40" t="str">
        <f t="array" ref="A4594">IFNA(index(PlayerValues!A:A,match(IFNA(vlookup(B4594,'Special Names'!A:B,2,FALSE),B4594),PlayerValues!E:E,0)),"N/A")</f>
        <v>N/A</v>
      </c>
      <c r="B4594" s="4" t="s">
        <v>81</v>
      </c>
      <c r="C4594" s="4" t="s">
        <v>325</v>
      </c>
      <c r="D4594" s="94">
        <v>3962.0</v>
      </c>
    </row>
    <row r="4595">
      <c r="A4595" s="40">
        <f t="array" ref="A4595">IFNA(index(PlayerValues!A:A,match(IFNA(vlookup(B4595,'Special Names'!A:B,2,FALSE),B4595),PlayerValues!E:E,0)),"N/A")</f>
        <v>15789</v>
      </c>
      <c r="B4595" s="4" t="s">
        <v>421</v>
      </c>
      <c r="C4595" s="4" t="s">
        <v>287</v>
      </c>
      <c r="D4595" s="94">
        <v>3950.0</v>
      </c>
    </row>
    <row r="4596">
      <c r="A4596" s="40">
        <f t="array" ref="A4596">IFNA(index(PlayerValues!A:A,match(IFNA(vlookup(B4596,'Special Names'!A:B,2,FALSE),B4596),PlayerValues!E:E,0)),"N/A")</f>
        <v>16148</v>
      </c>
      <c r="B4596" s="4" t="s">
        <v>426</v>
      </c>
      <c r="C4596" s="4" t="s">
        <v>283</v>
      </c>
      <c r="D4596" s="94">
        <v>3939.0</v>
      </c>
    </row>
    <row r="4597">
      <c r="A4597" s="40" t="str">
        <f t="array" ref="A4597">IFNA(index(PlayerValues!A:A,match(IFNA(vlookup(B4597,'Special Names'!A:B,2,FALSE),B4597),PlayerValues!E:E,0)),"N/A")</f>
        <v>N/A</v>
      </c>
      <c r="B4597" s="4" t="s">
        <v>107</v>
      </c>
      <c r="C4597" s="4" t="s">
        <v>325</v>
      </c>
      <c r="D4597" s="94">
        <v>3933.0</v>
      </c>
    </row>
    <row r="4598">
      <c r="A4598" s="40">
        <f t="array" ref="A4598">IFNA(index(PlayerValues!A:A,match(IFNA(vlookup(B4598,'Special Names'!A:B,2,FALSE),B4598),PlayerValues!E:E,0)),"N/A")</f>
        <v>15768</v>
      </c>
      <c r="B4598" s="4" t="s">
        <v>432</v>
      </c>
      <c r="C4598" s="4" t="s">
        <v>287</v>
      </c>
      <c r="D4598" s="94">
        <v>3926.0</v>
      </c>
    </row>
    <row r="4599">
      <c r="A4599" s="40">
        <f t="array" ref="A4599">IFNA(index(PlayerValues!A:A,match(IFNA(vlookup(B4599,'Special Names'!A:B,2,FALSE),B4599),PlayerValues!E:E,0)),"N/A")</f>
        <v>16186</v>
      </c>
      <c r="B4599" s="4" t="s">
        <v>425</v>
      </c>
      <c r="C4599" s="4" t="s">
        <v>287</v>
      </c>
      <c r="D4599" s="94">
        <v>3921.0</v>
      </c>
    </row>
    <row r="4600">
      <c r="A4600" s="40">
        <f t="array" ref="A4600">IFNA(index(PlayerValues!A:A,match(IFNA(vlookup(B4600,'Special Names'!A:B,2,FALSE),B4600),PlayerValues!E:E,0)),"N/A")</f>
        <v>14059</v>
      </c>
      <c r="B4600" s="4" t="s">
        <v>435</v>
      </c>
      <c r="C4600" s="4" t="s">
        <v>283</v>
      </c>
      <c r="D4600" s="94">
        <v>3919.0</v>
      </c>
    </row>
    <row r="4601">
      <c r="A4601" s="40">
        <f t="array" ref="A4601">IFNA(index(PlayerValues!A:A,match(IFNA(vlookup(B4601,'Special Names'!A:B,2,FALSE),B4601),PlayerValues!E:E,0)),"N/A")</f>
        <v>9431</v>
      </c>
      <c r="B4601" s="4" t="s">
        <v>428</v>
      </c>
      <c r="C4601" s="4" t="s">
        <v>283</v>
      </c>
      <c r="D4601" s="94">
        <v>3878.0</v>
      </c>
    </row>
    <row r="4602">
      <c r="A4602" s="40" t="str">
        <f t="array" ref="A4602">IFNA(index(PlayerValues!A:A,match(IFNA(vlookup(B4602,'Special Names'!A:B,2,FALSE),B4602),PlayerValues!E:E,0)),"N/A")</f>
        <v>N/A</v>
      </c>
      <c r="B4602" s="4" t="s">
        <v>95</v>
      </c>
      <c r="C4602" s="4" t="s">
        <v>325</v>
      </c>
      <c r="D4602" s="94">
        <v>3830.0</v>
      </c>
    </row>
    <row r="4603">
      <c r="A4603" s="40">
        <f t="array" ref="A4603">IFNA(index(PlayerValues!A:A,match(IFNA(vlookup(B4603,'Special Names'!A:B,2,FALSE),B4603),PlayerValues!E:E,0)),"N/A")</f>
        <v>15694</v>
      </c>
      <c r="B4603" s="4" t="s">
        <v>434</v>
      </c>
      <c r="C4603" s="4" t="s">
        <v>283</v>
      </c>
      <c r="D4603" s="94">
        <v>3791.0</v>
      </c>
    </row>
    <row r="4604">
      <c r="A4604" s="40">
        <f t="array" ref="A4604">IFNA(index(PlayerValues!A:A,match(IFNA(vlookup(B4604,'Special Names'!A:B,2,FALSE),B4604),PlayerValues!E:E,0)),"N/A")</f>
        <v>16206</v>
      </c>
      <c r="B4604" s="4" t="s">
        <v>431</v>
      </c>
      <c r="C4604" s="4" t="s">
        <v>287</v>
      </c>
      <c r="D4604" s="94">
        <v>3731.0</v>
      </c>
    </row>
    <row r="4605">
      <c r="A4605" s="40">
        <f t="array" ref="A4605">IFNA(index(PlayerValues!A:A,match(IFNA(vlookup(B4605,'Special Names'!A:B,2,FALSE),B4605),PlayerValues!E:E,0)),"N/A")</f>
        <v>14797</v>
      </c>
      <c r="B4605" s="4" t="s">
        <v>420</v>
      </c>
      <c r="C4605" s="4" t="s">
        <v>278</v>
      </c>
      <c r="D4605" s="94">
        <v>3729.0</v>
      </c>
    </row>
    <row r="4606">
      <c r="A4606" s="40">
        <f t="array" ref="A4606">IFNA(index(PlayerValues!A:A,match(IFNA(vlookup(B4606,'Special Names'!A:B,2,FALSE),B4606),PlayerValues!E:E,0)),"N/A")</f>
        <v>16192</v>
      </c>
      <c r="B4606" s="4" t="s">
        <v>412</v>
      </c>
      <c r="C4606" s="4" t="s">
        <v>287</v>
      </c>
      <c r="D4606" s="94">
        <v>3677.0</v>
      </c>
    </row>
    <row r="4607">
      <c r="A4607" s="40">
        <f t="array" ref="A4607">IFNA(index(PlayerValues!A:A,match(IFNA(vlookup(B4607,'Special Names'!A:B,2,FALSE),B4607),PlayerValues!E:E,0)),"N/A")</f>
        <v>16187</v>
      </c>
      <c r="B4607" s="4" t="s">
        <v>441</v>
      </c>
      <c r="C4607" s="4" t="s">
        <v>287</v>
      </c>
      <c r="D4607" s="94">
        <v>3591.0</v>
      </c>
    </row>
    <row r="4608">
      <c r="A4608" s="40">
        <f t="array" ref="A4608">IFNA(index(PlayerValues!A:A,match(IFNA(vlookup(B4608,'Special Names'!A:B,2,FALSE),B4608),PlayerValues!E:E,0)),"N/A")</f>
        <v>16188</v>
      </c>
      <c r="B4608" s="4" t="s">
        <v>439</v>
      </c>
      <c r="C4608" s="4" t="s">
        <v>287</v>
      </c>
      <c r="D4608" s="94">
        <v>3543.0</v>
      </c>
    </row>
    <row r="4609">
      <c r="A4609" s="40">
        <f t="array" ref="A4609">IFNA(index(PlayerValues!A:A,match(IFNA(vlookup(B4609,'Special Names'!A:B,2,FALSE),B4609),PlayerValues!E:E,0)),"N/A")</f>
        <v>13635</v>
      </c>
      <c r="B4609" s="4" t="s">
        <v>424</v>
      </c>
      <c r="C4609" s="4" t="s">
        <v>287</v>
      </c>
      <c r="D4609" s="94">
        <v>3530.0</v>
      </c>
    </row>
    <row r="4610">
      <c r="A4610" s="40">
        <f t="array" ref="A4610">IFNA(index(PlayerValues!A:A,match(IFNA(vlookup(B4610,'Special Names'!A:B,2,FALSE),B4610),PlayerValues!E:E,0)),"N/A")</f>
        <v>17075</v>
      </c>
      <c r="B4610" s="4" t="s">
        <v>429</v>
      </c>
      <c r="C4610" s="4" t="s">
        <v>287</v>
      </c>
      <c r="D4610" s="94">
        <v>3529.0</v>
      </c>
    </row>
    <row r="4611">
      <c r="A4611" s="40">
        <f t="array" ref="A4611">IFNA(index(PlayerValues!A:A,match(IFNA(vlookup(B4611,'Special Names'!A:B,2,FALSE),B4611),PlayerValues!E:E,0)),"N/A")</f>
        <v>17502</v>
      </c>
      <c r="B4611" s="4" t="s">
        <v>451</v>
      </c>
      <c r="C4611" s="4" t="s">
        <v>287</v>
      </c>
      <c r="D4611" s="94">
        <v>3524.0</v>
      </c>
    </row>
    <row r="4612">
      <c r="A4612" s="40">
        <f t="array" ref="A4612">IFNA(index(PlayerValues!A:A,match(IFNA(vlookup(B4612,'Special Names'!A:B,2,FALSE),B4612),PlayerValues!E:E,0)),"N/A")</f>
        <v>16597</v>
      </c>
      <c r="B4612" s="4" t="s">
        <v>427</v>
      </c>
      <c r="C4612" s="4" t="s">
        <v>278</v>
      </c>
      <c r="D4612" s="94">
        <v>3521.0</v>
      </c>
    </row>
    <row r="4613">
      <c r="A4613" s="40">
        <f t="array" ref="A4613">IFNA(index(PlayerValues!A:A,match(IFNA(vlookup(B4613,'Special Names'!A:B,2,FALSE),B4613),PlayerValues!E:E,0)),"N/A")</f>
        <v>17066</v>
      </c>
      <c r="B4613" s="4" t="s">
        <v>446</v>
      </c>
      <c r="C4613" s="4" t="s">
        <v>278</v>
      </c>
      <c r="D4613" s="94">
        <v>3512.0</v>
      </c>
    </row>
    <row r="4614">
      <c r="A4614" s="40">
        <f t="array" ref="A4614">IFNA(index(PlayerValues!A:A,match(IFNA(vlookup(B4614,'Special Names'!A:B,2,FALSE),B4614),PlayerValues!E:E,0)),"N/A")</f>
        <v>14109</v>
      </c>
      <c r="B4614" s="4" t="s">
        <v>437</v>
      </c>
      <c r="C4614" s="4" t="s">
        <v>287</v>
      </c>
      <c r="D4614" s="94">
        <v>3503.0</v>
      </c>
    </row>
    <row r="4615">
      <c r="A4615" s="40">
        <f t="array" ref="A4615">IFNA(index(PlayerValues!A:A,match(IFNA(vlookup(B4615,'Special Names'!A:B,2,FALSE),B4615),PlayerValues!E:E,0)),"N/A")</f>
        <v>17099</v>
      </c>
      <c r="B4615" s="4" t="s">
        <v>474</v>
      </c>
      <c r="C4615" s="4" t="s">
        <v>298</v>
      </c>
      <c r="D4615" s="94">
        <v>3939.0</v>
      </c>
    </row>
    <row r="4616">
      <c r="A4616" s="40">
        <f t="array" ref="A4616">IFNA(index(PlayerValues!A:A,match(IFNA(vlookup(B4616,'Special Names'!A:B,2,FALSE),B4616),PlayerValues!E:E,0)),"N/A")</f>
        <v>17463</v>
      </c>
      <c r="B4616" s="4" t="s">
        <v>433</v>
      </c>
      <c r="C4616" s="4" t="s">
        <v>283</v>
      </c>
      <c r="D4616" s="94">
        <v>3483.0</v>
      </c>
    </row>
    <row r="4617">
      <c r="A4617" s="40">
        <f t="array" ref="A4617">IFNA(index(PlayerValues!A:A,match(IFNA(vlookup(B4617,'Special Names'!A:B,2,FALSE),B4617),PlayerValues!E:E,0)),"N/A")</f>
        <v>14071</v>
      </c>
      <c r="B4617" s="4" t="s">
        <v>440</v>
      </c>
      <c r="C4617" s="4" t="s">
        <v>278</v>
      </c>
      <c r="D4617" s="94">
        <v>3465.0</v>
      </c>
    </row>
    <row r="4618">
      <c r="A4618" s="40">
        <f t="array" ref="A4618">IFNA(index(PlayerValues!A:A,match(IFNA(vlookup(B4618,'Special Names'!A:B,2,FALSE),B4618),PlayerValues!E:E,0)),"N/A")</f>
        <v>11675</v>
      </c>
      <c r="B4618" s="4" t="s">
        <v>438</v>
      </c>
      <c r="C4618" s="4" t="s">
        <v>287</v>
      </c>
      <c r="D4618" s="94">
        <v>3451.0</v>
      </c>
    </row>
    <row r="4619">
      <c r="A4619" s="40">
        <f t="array" ref="A4619">IFNA(index(PlayerValues!A:A,match(IFNA(vlookup(B4619,'Special Names'!A:B,2,FALSE),B4619),PlayerValues!E:E,0)),"N/A")</f>
        <v>16593</v>
      </c>
      <c r="B4619" s="4" t="s">
        <v>442</v>
      </c>
      <c r="C4619" s="4" t="s">
        <v>278</v>
      </c>
      <c r="D4619" s="94">
        <v>3441.0</v>
      </c>
    </row>
    <row r="4620">
      <c r="A4620" s="40">
        <f t="array" ref="A4620">IFNA(index(PlayerValues!A:A,match(IFNA(vlookup(B4620,'Special Names'!A:B,2,FALSE),B4620),PlayerValues!E:E,0)),"N/A")</f>
        <v>14102</v>
      </c>
      <c r="B4620" s="4" t="s">
        <v>444</v>
      </c>
      <c r="C4620" s="4" t="s">
        <v>287</v>
      </c>
      <c r="D4620" s="94">
        <v>3436.0</v>
      </c>
    </row>
    <row r="4621">
      <c r="A4621" s="40">
        <f t="array" ref="A4621">IFNA(index(PlayerValues!A:A,match(IFNA(vlookup(B4621,'Special Names'!A:B,2,FALSE),B4621),PlayerValues!E:E,0)),"N/A")</f>
        <v>17544</v>
      </c>
      <c r="B4621" s="4" t="s">
        <v>470</v>
      </c>
      <c r="C4621" s="4" t="s">
        <v>298</v>
      </c>
      <c r="D4621" s="94">
        <v>3864.0</v>
      </c>
    </row>
    <row r="4622">
      <c r="A4622" s="40">
        <f t="array" ref="A4622">IFNA(index(PlayerValues!A:A,match(IFNA(vlookup(B4622,'Special Names'!A:B,2,FALSE),B4622),PlayerValues!E:E,0)),"N/A")</f>
        <v>15757</v>
      </c>
      <c r="B4622" s="4" t="s">
        <v>449</v>
      </c>
      <c r="C4622" s="4" t="s">
        <v>287</v>
      </c>
      <c r="D4622" s="94">
        <v>3399.0</v>
      </c>
    </row>
    <row r="4623">
      <c r="A4623" s="40">
        <f t="array" ref="A4623">IFNA(index(PlayerValues!A:A,match(IFNA(vlookup(B4623,'Special Names'!A:B,2,FALSE),B4623),PlayerValues!E:E,0)),"N/A")</f>
        <v>15798</v>
      </c>
      <c r="B4623" s="4" t="s">
        <v>443</v>
      </c>
      <c r="C4623" s="4" t="s">
        <v>298</v>
      </c>
      <c r="D4623" s="94">
        <v>3845.0</v>
      </c>
    </row>
    <row r="4624">
      <c r="A4624" s="40">
        <f t="array" ref="A4624">IFNA(index(PlayerValues!A:A,match(IFNA(vlookup(B4624,'Special Names'!A:B,2,FALSE),B4624),PlayerValues!E:E,0)),"N/A")</f>
        <v>17068</v>
      </c>
      <c r="B4624" s="4" t="s">
        <v>450</v>
      </c>
      <c r="C4624" s="4" t="s">
        <v>278</v>
      </c>
      <c r="D4624" s="94">
        <v>3392.0</v>
      </c>
    </row>
    <row r="4625">
      <c r="A4625" s="40">
        <f t="array" ref="A4625">IFNA(index(PlayerValues!A:A,match(IFNA(vlookup(B4625,'Special Names'!A:B,2,FALSE),B4625),PlayerValues!E:E,0)),"N/A")</f>
        <v>16622</v>
      </c>
      <c r="B4625" s="4" t="s">
        <v>517</v>
      </c>
      <c r="C4625" s="4" t="s">
        <v>287</v>
      </c>
      <c r="D4625" s="94">
        <v>3385.0</v>
      </c>
    </row>
    <row r="4626">
      <c r="A4626" s="40" t="str">
        <f t="array" ref="A4626">IFNA(index(PlayerValues!A:A,match(IFNA(vlookup(B4626,'Special Names'!A:B,2,FALSE),B4626),PlayerValues!E:E,0)),"N/A")</f>
        <v>N/A</v>
      </c>
      <c r="B4626" s="4" t="s">
        <v>96</v>
      </c>
      <c r="C4626" s="4" t="s">
        <v>325</v>
      </c>
      <c r="D4626" s="94">
        <v>3384.0</v>
      </c>
    </row>
    <row r="4627">
      <c r="A4627" s="40">
        <f t="array" ref="A4627">IFNA(index(PlayerValues!A:A,match(IFNA(vlookup(B4627,'Special Names'!A:B,2,FALSE),B4627),PlayerValues!E:E,0)),"N/A")</f>
        <v>14842</v>
      </c>
      <c r="B4627" s="4" t="s">
        <v>456</v>
      </c>
      <c r="C4627" s="4" t="s">
        <v>287</v>
      </c>
      <c r="D4627" s="94">
        <v>3379.0</v>
      </c>
    </row>
    <row r="4628">
      <c r="A4628" s="40">
        <f t="array" ref="A4628">IFNA(index(PlayerValues!A:A,match(IFNA(vlookup(B4628,'Special Names'!A:B,2,FALSE),B4628),PlayerValues!E:E,0)),"N/A")</f>
        <v>16169</v>
      </c>
      <c r="B4628" s="4" t="s">
        <v>457</v>
      </c>
      <c r="C4628" s="4" t="s">
        <v>278</v>
      </c>
      <c r="D4628" s="94">
        <v>3371.0</v>
      </c>
    </row>
    <row r="4629">
      <c r="A4629" s="40">
        <f t="array" ref="A4629">IFNA(index(PlayerValues!A:A,match(IFNA(vlookup(B4629,'Special Names'!A:B,2,FALSE),B4629),PlayerValues!E:E,0)),"N/A")</f>
        <v>13299</v>
      </c>
      <c r="B4629" s="4" t="s">
        <v>448</v>
      </c>
      <c r="C4629" s="4" t="s">
        <v>298</v>
      </c>
      <c r="D4629" s="94">
        <v>3822.0</v>
      </c>
    </row>
    <row r="4630">
      <c r="A4630" s="40">
        <f t="array" ref="A4630">IFNA(index(PlayerValues!A:A,match(IFNA(vlookup(B4630,'Special Names'!A:B,2,FALSE),B4630),PlayerValues!E:E,0)),"N/A")</f>
        <v>17074</v>
      </c>
      <c r="B4630" s="4" t="s">
        <v>475</v>
      </c>
      <c r="C4630" s="4" t="s">
        <v>287</v>
      </c>
      <c r="D4630" s="94">
        <v>3369.0</v>
      </c>
    </row>
    <row r="4631">
      <c r="A4631" s="40">
        <f t="array" ref="A4631">IFNA(index(PlayerValues!A:A,match(IFNA(vlookup(B4631,'Special Names'!A:B,2,FALSE),B4631),PlayerValues!E:E,0)),"N/A")</f>
        <v>16184</v>
      </c>
      <c r="B4631" s="4" t="s">
        <v>445</v>
      </c>
      <c r="C4631" s="4" t="s">
        <v>287</v>
      </c>
      <c r="D4631" s="94">
        <v>3365.0</v>
      </c>
    </row>
    <row r="4632">
      <c r="A4632" s="40">
        <f t="array" ref="A4632">IFNA(index(PlayerValues!A:A,match(IFNA(vlookup(B4632,'Special Names'!A:B,2,FALSE),B4632),PlayerValues!E:E,0)),"N/A")</f>
        <v>17083</v>
      </c>
      <c r="B4632" s="4" t="s">
        <v>479</v>
      </c>
      <c r="C4632" s="4" t="s">
        <v>287</v>
      </c>
      <c r="D4632" s="94">
        <v>3365.0</v>
      </c>
    </row>
    <row r="4633">
      <c r="A4633" s="40">
        <f t="array" ref="A4633">IFNA(index(PlayerValues!A:A,match(IFNA(vlookup(B4633,'Special Names'!A:B,2,FALSE),B4633),PlayerValues!E:E,0)),"N/A")</f>
        <v>17500</v>
      </c>
      <c r="B4633" s="4" t="s">
        <v>430</v>
      </c>
      <c r="C4633" s="4" t="s">
        <v>287</v>
      </c>
      <c r="D4633" s="94">
        <v>3357.0</v>
      </c>
    </row>
    <row r="4634">
      <c r="A4634" s="40">
        <f t="array" ref="A4634">IFNA(index(PlayerValues!A:A,match(IFNA(vlookup(B4634,'Special Names'!A:B,2,FALSE),B4634),PlayerValues!E:E,0)),"N/A")</f>
        <v>11671</v>
      </c>
      <c r="B4634" s="4" t="s">
        <v>463</v>
      </c>
      <c r="C4634" s="4" t="s">
        <v>287</v>
      </c>
      <c r="D4634" s="94">
        <v>3322.0</v>
      </c>
    </row>
    <row r="4635">
      <c r="A4635" s="40">
        <f t="array" ref="A4635">IFNA(index(PlayerValues!A:A,match(IFNA(vlookup(B4635,'Special Names'!A:B,2,FALSE),B4635),PlayerValues!E:E,0)),"N/A")</f>
        <v>15742</v>
      </c>
      <c r="B4635" s="4" t="s">
        <v>447</v>
      </c>
      <c r="C4635" s="4" t="s">
        <v>278</v>
      </c>
      <c r="D4635" s="94">
        <v>3320.0</v>
      </c>
    </row>
    <row r="4636">
      <c r="A4636" s="40">
        <f t="array" ref="A4636">IFNA(index(PlayerValues!A:A,match(IFNA(vlookup(B4636,'Special Names'!A:B,2,FALSE),B4636),PlayerValues!E:E,0)),"N/A")</f>
        <v>16620</v>
      </c>
      <c r="B4636" s="4" t="s">
        <v>467</v>
      </c>
      <c r="C4636" s="4" t="s">
        <v>287</v>
      </c>
      <c r="D4636" s="94">
        <v>3312.0</v>
      </c>
    </row>
    <row r="4637">
      <c r="A4637" s="40" t="str">
        <f t="array" ref="A4637">IFNA(index(PlayerValues!A:A,match(IFNA(vlookup(B4637,'Special Names'!A:B,2,FALSE),B4637),PlayerValues!E:E,0)),"N/A")</f>
        <v>N/A</v>
      </c>
      <c r="B4637" s="4" t="s">
        <v>82</v>
      </c>
      <c r="C4637" s="4" t="s">
        <v>325</v>
      </c>
      <c r="D4637" s="94">
        <v>3310.0</v>
      </c>
    </row>
    <row r="4638">
      <c r="A4638" s="40">
        <f t="array" ref="A4638">IFNA(index(PlayerValues!A:A,match(IFNA(vlookup(B4638,'Special Names'!A:B,2,FALSE),B4638),PlayerValues!E:E,0)),"N/A")</f>
        <v>16213</v>
      </c>
      <c r="B4638" s="4" t="s">
        <v>458</v>
      </c>
      <c r="C4638" s="4" t="s">
        <v>298</v>
      </c>
      <c r="D4638" s="94">
        <v>3636.0</v>
      </c>
    </row>
    <row r="4639">
      <c r="A4639" s="40">
        <f t="array" ref="A4639">IFNA(index(PlayerValues!A:A,match(IFNA(vlookup(B4639,'Special Names'!A:B,2,FALSE),B4639),PlayerValues!E:E,0)),"N/A")</f>
        <v>15799</v>
      </c>
      <c r="B4639" s="4" t="s">
        <v>468</v>
      </c>
      <c r="C4639" s="4" t="s">
        <v>298</v>
      </c>
      <c r="D4639" s="94">
        <v>3627.0</v>
      </c>
    </row>
    <row r="4640">
      <c r="A4640" s="40">
        <f t="array" ref="A4640">IFNA(index(PlayerValues!A:A,match(IFNA(vlookup(B4640,'Special Names'!A:B,2,FALSE),B4640),PlayerValues!E:E,0)),"N/A")</f>
        <v>17477</v>
      </c>
      <c r="B4640" s="4" t="s">
        <v>452</v>
      </c>
      <c r="C4640" s="4" t="s">
        <v>278</v>
      </c>
      <c r="D4640" s="94">
        <v>3186.0</v>
      </c>
    </row>
    <row r="4641">
      <c r="A4641" s="40" t="str">
        <f t="array" ref="A4641">IFNA(index(PlayerValues!A:A,match(IFNA(vlookup(B4641,'Special Names'!A:B,2,FALSE),B4641),PlayerValues!E:E,0)),"N/A")</f>
        <v>N/A</v>
      </c>
      <c r="B4641" s="4" t="s">
        <v>108</v>
      </c>
      <c r="C4641" s="4" t="s">
        <v>325</v>
      </c>
      <c r="D4641" s="94">
        <v>3181.0</v>
      </c>
    </row>
    <row r="4642">
      <c r="A4642" s="40">
        <f t="array" ref="A4642">IFNA(index(PlayerValues!A:A,match(IFNA(vlookup(B4642,'Special Names'!A:B,2,FALSE),B4642),PlayerValues!E:E,0)),"N/A")</f>
        <v>15261</v>
      </c>
      <c r="B4642" s="4" t="s">
        <v>466</v>
      </c>
      <c r="C4642" s="4" t="s">
        <v>278</v>
      </c>
      <c r="D4642" s="94">
        <v>3176.0</v>
      </c>
    </row>
    <row r="4643">
      <c r="A4643" s="40">
        <f t="array" ref="A4643">IFNA(index(PlayerValues!A:A,match(IFNA(vlookup(B4643,'Special Names'!A:B,2,FALSE),B4643),PlayerValues!E:E,0)),"N/A")</f>
        <v>16809</v>
      </c>
      <c r="B4643" s="4" t="s">
        <v>455</v>
      </c>
      <c r="C4643" s="4" t="s">
        <v>287</v>
      </c>
      <c r="D4643" s="94">
        <v>3158.0</v>
      </c>
    </row>
    <row r="4644">
      <c r="A4644" s="40" t="str">
        <f t="array" ref="A4644">IFNA(index(PlayerValues!A:A,match(IFNA(vlookup(B4644,'Special Names'!A:B,2,FALSE),B4644),PlayerValues!E:E,0)),"N/A")</f>
        <v>N/A</v>
      </c>
      <c r="B4644" s="4" t="s">
        <v>97</v>
      </c>
      <c r="C4644" s="4" t="s">
        <v>325</v>
      </c>
      <c r="D4644" s="94">
        <v>3132.0</v>
      </c>
    </row>
    <row r="4645">
      <c r="A4645" s="40">
        <f t="array" ref="A4645">IFNA(index(PlayerValues!A:A,match(IFNA(vlookup(B4645,'Special Names'!A:B,2,FALSE),B4645),PlayerValues!E:E,0)),"N/A")</f>
        <v>16269</v>
      </c>
      <c r="B4645" s="4" t="s">
        <v>481</v>
      </c>
      <c r="C4645" s="4" t="s">
        <v>298</v>
      </c>
      <c r="D4645" s="94">
        <v>3536.0</v>
      </c>
    </row>
    <row r="4646">
      <c r="A4646" s="40">
        <f t="array" ref="A4646">IFNA(index(PlayerValues!A:A,match(IFNA(vlookup(B4646,'Special Names'!A:B,2,FALSE),B4646),PlayerValues!E:E,0)),"N/A")</f>
        <v>14823</v>
      </c>
      <c r="B4646" s="4" t="s">
        <v>459</v>
      </c>
      <c r="C4646" s="4" t="s">
        <v>278</v>
      </c>
      <c r="D4646" s="94">
        <v>3090.0</v>
      </c>
    </row>
    <row r="4647">
      <c r="A4647" s="40">
        <f t="array" ref="A4647">IFNA(index(PlayerValues!A:A,match(IFNA(vlookup(B4647,'Special Names'!A:B,2,FALSE),B4647),PlayerValues!E:E,0)),"N/A")</f>
        <v>17514</v>
      </c>
      <c r="B4647" s="4" t="s">
        <v>422</v>
      </c>
      <c r="C4647" s="4" t="s">
        <v>287</v>
      </c>
      <c r="D4647" s="94">
        <v>3075.0</v>
      </c>
    </row>
    <row r="4648">
      <c r="A4648" s="40">
        <f t="array" ref="A4648">IFNA(index(PlayerValues!A:A,match(IFNA(vlookup(B4648,'Special Names'!A:B,2,FALSE),B4648),PlayerValues!E:E,0)),"N/A")</f>
        <v>13630</v>
      </c>
      <c r="B4648" s="4" t="s">
        <v>465</v>
      </c>
      <c r="C4648" s="4" t="s">
        <v>287</v>
      </c>
      <c r="D4648" s="94">
        <v>3058.0</v>
      </c>
    </row>
    <row r="4649">
      <c r="A4649" s="40">
        <f t="array" ref="A4649">IFNA(index(PlayerValues!A:A,match(IFNA(vlookup(B4649,'Special Names'!A:B,2,FALSE),B4649),PlayerValues!E:E,0)),"N/A")</f>
        <v>15259</v>
      </c>
      <c r="B4649" s="4" t="s">
        <v>453</v>
      </c>
      <c r="C4649" s="4" t="s">
        <v>278</v>
      </c>
      <c r="D4649" s="94">
        <v>3050.0</v>
      </c>
    </row>
    <row r="4650">
      <c r="A4650" s="40">
        <f t="array" ref="A4650">IFNA(index(PlayerValues!A:A,match(IFNA(vlookup(B4650,'Special Names'!A:B,2,FALSE),B4650),PlayerValues!E:E,0)),"N/A")</f>
        <v>15779</v>
      </c>
      <c r="B4650" s="4" t="s">
        <v>461</v>
      </c>
      <c r="C4650" s="4" t="s">
        <v>287</v>
      </c>
      <c r="D4650" s="94">
        <v>3033.0</v>
      </c>
    </row>
    <row r="4651">
      <c r="A4651" s="40">
        <f t="array" ref="A4651">IFNA(index(PlayerValues!A:A,match(IFNA(vlookup(B4651,'Special Names'!A:B,2,FALSE),B4651),PlayerValues!E:E,0)),"N/A")</f>
        <v>17512</v>
      </c>
      <c r="B4651" s="4" t="s">
        <v>483</v>
      </c>
      <c r="C4651" s="4" t="s">
        <v>287</v>
      </c>
      <c r="D4651" s="94">
        <v>3028.0</v>
      </c>
    </row>
    <row r="4652">
      <c r="A4652" s="40">
        <f t="array" ref="A4652">IFNA(index(PlayerValues!A:A,match(IFNA(vlookup(B4652,'Special Names'!A:B,2,FALSE),B4652),PlayerValues!E:E,0)),"N/A")</f>
        <v>16628</v>
      </c>
      <c r="B4652" s="4" t="s">
        <v>490</v>
      </c>
      <c r="C4652" s="4" t="s">
        <v>287</v>
      </c>
      <c r="D4652" s="94">
        <v>3026.0</v>
      </c>
    </row>
    <row r="4653">
      <c r="A4653" s="40" t="str">
        <f t="array" ref="A4653">IFNA(index(PlayerValues!A:A,match(IFNA(vlookup(B4653,'Special Names'!A:B,2,FALSE),B4653),PlayerValues!E:E,0)),"N/A")</f>
        <v>N/A</v>
      </c>
      <c r="B4653" s="4" t="s">
        <v>84</v>
      </c>
      <c r="C4653" s="4" t="s">
        <v>325</v>
      </c>
      <c r="D4653" s="94">
        <v>3020.0</v>
      </c>
    </row>
    <row r="4654">
      <c r="A4654" s="40">
        <f t="array" ref="A4654">IFNA(index(PlayerValues!A:A,match(IFNA(vlookup(B4654,'Special Names'!A:B,2,FALSE),B4654),PlayerValues!E:E,0)),"N/A")</f>
        <v>17506</v>
      </c>
      <c r="B4654" s="4" t="s">
        <v>471</v>
      </c>
      <c r="C4654" s="4" t="s">
        <v>287</v>
      </c>
      <c r="D4654" s="94">
        <v>3019.0</v>
      </c>
    </row>
    <row r="4655">
      <c r="A4655" s="40">
        <f t="array" ref="A4655">IFNA(index(PlayerValues!A:A,match(IFNA(vlookup(B4655,'Special Names'!A:B,2,FALSE),B4655),PlayerValues!E:E,0)),"N/A")</f>
        <v>17256</v>
      </c>
      <c r="B4655" s="4" t="s">
        <v>462</v>
      </c>
      <c r="C4655" s="4" t="s">
        <v>278</v>
      </c>
      <c r="D4655" s="94">
        <v>3015.0</v>
      </c>
    </row>
    <row r="4656">
      <c r="A4656" s="40">
        <f t="array" ref="A4656">IFNA(index(PlayerValues!A:A,match(IFNA(vlookup(B4656,'Special Names'!A:B,2,FALSE),B4656),PlayerValues!E:E,0)),"N/A")</f>
        <v>14800</v>
      </c>
      <c r="B4656" s="4" t="s">
        <v>472</v>
      </c>
      <c r="C4656" s="4" t="s">
        <v>278</v>
      </c>
      <c r="D4656" s="94">
        <v>2996.0</v>
      </c>
    </row>
    <row r="4657">
      <c r="A4657" s="40">
        <f t="array" ref="A4657">IFNA(index(PlayerValues!A:A,match(IFNA(vlookup(B4657,'Special Names'!A:B,2,FALSE),B4657),PlayerValues!E:E,0)),"N/A")</f>
        <v>15255</v>
      </c>
      <c r="B4657" s="4" t="s">
        <v>477</v>
      </c>
      <c r="C4657" s="4" t="s">
        <v>278</v>
      </c>
      <c r="D4657" s="94">
        <v>2991.0</v>
      </c>
    </row>
    <row r="4658">
      <c r="A4658" s="40">
        <f t="array" ref="A4658">IFNA(index(PlayerValues!A:A,match(IFNA(vlookup(B4658,'Special Names'!A:B,2,FALSE),B4658),PlayerValues!E:E,0)),"N/A")</f>
        <v>14127</v>
      </c>
      <c r="B4658" s="4" t="s">
        <v>486</v>
      </c>
      <c r="C4658" s="4" t="s">
        <v>287</v>
      </c>
      <c r="D4658" s="94">
        <v>2965.0</v>
      </c>
    </row>
    <row r="4659">
      <c r="A4659" s="40">
        <f t="array" ref="A4659">IFNA(index(PlayerValues!A:A,match(IFNA(vlookup(B4659,'Special Names'!A:B,2,FALSE),B4659),PlayerValues!E:E,0)),"N/A")</f>
        <v>13163</v>
      </c>
      <c r="B4659" s="4" t="s">
        <v>473</v>
      </c>
      <c r="C4659" s="4" t="s">
        <v>287</v>
      </c>
      <c r="D4659" s="94">
        <v>2958.0</v>
      </c>
    </row>
    <row r="4660">
      <c r="A4660" s="40" t="str">
        <f t="array" ref="A4660">IFNA(index(PlayerValues!A:A,match(IFNA(vlookup(B4660,'Special Names'!A:B,2,FALSE),B4660),PlayerValues!E:E,0)),"N/A")</f>
        <v>N/A</v>
      </c>
      <c r="B4660" s="4" t="s">
        <v>109</v>
      </c>
      <c r="C4660" s="4" t="s">
        <v>325</v>
      </c>
      <c r="D4660" s="94">
        <v>2938.0</v>
      </c>
    </row>
    <row r="4661">
      <c r="A4661" s="40">
        <f t="array" ref="A4661">IFNA(index(PlayerValues!A:A,match(IFNA(vlookup(B4661,'Special Names'!A:B,2,FALSE),B4661),PlayerValues!E:E,0)),"N/A")</f>
        <v>17503</v>
      </c>
      <c r="B4661" s="4" t="s">
        <v>480</v>
      </c>
      <c r="C4661" s="4" t="s">
        <v>287</v>
      </c>
      <c r="D4661" s="94">
        <v>2933.0</v>
      </c>
    </row>
    <row r="4662">
      <c r="A4662" s="40">
        <f t="array" ref="A4662">IFNA(index(PlayerValues!A:A,match(IFNA(vlookup(B4662,'Special Names'!A:B,2,FALSE),B4662),PlayerValues!E:E,0)),"N/A")</f>
        <v>17476</v>
      </c>
      <c r="B4662" s="4" t="s">
        <v>494</v>
      </c>
      <c r="C4662" s="4" t="s">
        <v>278</v>
      </c>
      <c r="D4662" s="94">
        <v>2879.0</v>
      </c>
    </row>
    <row r="4663">
      <c r="A4663" s="40">
        <f t="array" ref="A4663">IFNA(index(PlayerValues!A:A,match(IFNA(vlookup(B4663,'Special Names'!A:B,2,FALSE),B4663),PlayerValues!E:E,0)),"N/A")</f>
        <v>15761</v>
      </c>
      <c r="B4663" s="4" t="s">
        <v>491</v>
      </c>
      <c r="C4663" s="4" t="s">
        <v>287</v>
      </c>
      <c r="D4663" s="94">
        <v>2862.0</v>
      </c>
    </row>
    <row r="4664">
      <c r="A4664" s="40">
        <f t="array" ref="A4664">IFNA(index(PlayerValues!A:A,match(IFNA(vlookup(B4664,'Special Names'!A:B,2,FALSE),B4664),PlayerValues!E:E,0)),"N/A")</f>
        <v>14085</v>
      </c>
      <c r="B4664" s="4" t="s">
        <v>489</v>
      </c>
      <c r="C4664" s="4" t="s">
        <v>278</v>
      </c>
      <c r="D4664" s="94">
        <v>2841.0</v>
      </c>
    </row>
    <row r="4665">
      <c r="A4665" s="40">
        <f t="array" ref="A4665">IFNA(index(PlayerValues!A:A,match(IFNA(vlookup(B4665,'Special Names'!A:B,2,FALSE),B4665),PlayerValues!E:E,0)),"N/A")</f>
        <v>16080</v>
      </c>
      <c r="B4665" s="4" t="s">
        <v>499</v>
      </c>
      <c r="C4665" s="4" t="s">
        <v>287</v>
      </c>
      <c r="D4665" s="94">
        <v>2819.0</v>
      </c>
    </row>
    <row r="4666">
      <c r="A4666" s="40">
        <f t="array" ref="A4666">IFNA(index(PlayerValues!A:A,match(IFNA(vlookup(B4666,'Special Names'!A:B,2,FALSE),B4666),PlayerValues!E:E,0)),"N/A")</f>
        <v>15889</v>
      </c>
      <c r="B4666" s="4" t="s">
        <v>503</v>
      </c>
      <c r="C4666" s="4" t="s">
        <v>298</v>
      </c>
      <c r="D4666" s="94">
        <v>3220.0</v>
      </c>
    </row>
    <row r="4667">
      <c r="A4667" s="40">
        <f t="array" ref="A4667">IFNA(index(PlayerValues!A:A,match(IFNA(vlookup(B4667,'Special Names'!A:B,2,FALSE),B4667),PlayerValues!E:E,0)),"N/A")</f>
        <v>16583</v>
      </c>
      <c r="B4667" s="4" t="s">
        <v>493</v>
      </c>
      <c r="C4667" s="4" t="s">
        <v>283</v>
      </c>
      <c r="D4667" s="94">
        <v>2798.0</v>
      </c>
    </row>
    <row r="4668">
      <c r="A4668" s="40" t="str">
        <f t="array" ref="A4668">IFNA(index(PlayerValues!A:A,match(IFNA(vlookup(B4668,'Special Names'!A:B,2,FALSE),B4668),PlayerValues!E:E,0)),"N/A")</f>
        <v>N/A</v>
      </c>
      <c r="B4668" s="4" t="s">
        <v>85</v>
      </c>
      <c r="C4668" s="4" t="s">
        <v>325</v>
      </c>
      <c r="D4668" s="94">
        <v>2797.0</v>
      </c>
    </row>
    <row r="4669">
      <c r="A4669" s="40" t="str">
        <f t="array" ref="A4669">IFNA(index(PlayerValues!A:A,match(IFNA(vlookup(B4669,'Special Names'!A:B,2,FALSE),B4669),PlayerValues!E:E,0)),"N/A")</f>
        <v>N/A</v>
      </c>
      <c r="B4669" s="4" t="s">
        <v>110</v>
      </c>
      <c r="C4669" s="4" t="s">
        <v>325</v>
      </c>
      <c r="D4669" s="94">
        <v>2779.0</v>
      </c>
    </row>
    <row r="4670">
      <c r="A4670" s="40">
        <f t="array" ref="A4670">IFNA(index(PlayerValues!A:A,match(IFNA(vlookup(B4670,'Special Names'!A:B,2,FALSE),B4670),PlayerValues!E:E,0)),"N/A")</f>
        <v>16723</v>
      </c>
      <c r="B4670" s="4" t="s">
        <v>502</v>
      </c>
      <c r="C4670" s="4" t="s">
        <v>298</v>
      </c>
      <c r="D4670" s="94">
        <v>3188.0</v>
      </c>
    </row>
    <row r="4671">
      <c r="A4671" s="40">
        <f t="array" ref="A4671">IFNA(index(PlayerValues!A:A,match(IFNA(vlookup(B4671,'Special Names'!A:B,2,FALSE),B4671),PlayerValues!E:E,0)),"N/A")</f>
        <v>17047</v>
      </c>
      <c r="B4671" s="4" t="s">
        <v>510</v>
      </c>
      <c r="C4671" s="4" t="s">
        <v>278</v>
      </c>
      <c r="D4671" s="94">
        <v>2767.0</v>
      </c>
    </row>
    <row r="4672">
      <c r="A4672" s="40">
        <f t="array" ref="A4672">IFNA(index(PlayerValues!A:A,match(IFNA(vlookup(B4672,'Special Names'!A:B,2,FALSE),B4672),PlayerValues!E:E,0)),"N/A")</f>
        <v>17107</v>
      </c>
      <c r="B4672" s="4" t="s">
        <v>478</v>
      </c>
      <c r="C4672" s="4" t="s">
        <v>298</v>
      </c>
      <c r="D4672" s="94">
        <v>3164.0</v>
      </c>
    </row>
    <row r="4673">
      <c r="A4673" s="40">
        <f t="array" ref="A4673">IFNA(index(PlayerValues!A:A,match(IFNA(vlookup(B4673,'Special Names'!A:B,2,FALSE),B4673),PlayerValues!E:E,0)),"N/A")</f>
        <v>13671</v>
      </c>
      <c r="B4673" s="4" t="s">
        <v>506</v>
      </c>
      <c r="C4673" s="4" t="s">
        <v>298</v>
      </c>
      <c r="D4673" s="94">
        <v>3164.0</v>
      </c>
    </row>
    <row r="4674">
      <c r="A4674" s="40">
        <f t="array" ref="A4674">IFNA(index(PlayerValues!A:A,match(IFNA(vlookup(B4674,'Special Names'!A:B,2,FALSE),B4674),PlayerValues!E:E,0)),"N/A")</f>
        <v>15721</v>
      </c>
      <c r="B4674" s="4" t="s">
        <v>504</v>
      </c>
      <c r="C4674" s="4" t="s">
        <v>278</v>
      </c>
      <c r="D4674" s="94">
        <v>2745.0</v>
      </c>
    </row>
    <row r="4675">
      <c r="A4675" s="40">
        <f t="array" ref="A4675">IFNA(index(PlayerValues!A:A,match(IFNA(vlookup(B4675,'Special Names'!A:B,2,FALSE),B4675),PlayerValues!E:E,0)),"N/A")</f>
        <v>17053</v>
      </c>
      <c r="B4675" s="4" t="s">
        <v>484</v>
      </c>
      <c r="C4675" s="4" t="s">
        <v>278</v>
      </c>
      <c r="D4675" s="94">
        <v>2735.0</v>
      </c>
    </row>
    <row r="4676">
      <c r="A4676" s="40">
        <f t="array" ref="A4676">IFNA(index(PlayerValues!A:A,match(IFNA(vlookup(B4676,'Special Names'!A:B,2,FALSE),B4676),PlayerValues!E:E,0)),"N/A")</f>
        <v>17157</v>
      </c>
      <c r="B4676" s="4" t="s">
        <v>524</v>
      </c>
      <c r="C4676" s="4" t="s">
        <v>287</v>
      </c>
      <c r="D4676" s="94">
        <v>2728.0</v>
      </c>
    </row>
    <row r="4677">
      <c r="A4677" s="40">
        <f t="array" ref="A4677">IFNA(index(PlayerValues!A:A,match(IFNA(vlookup(B4677,'Special Names'!A:B,2,FALSE),B4677),PlayerValues!E:E,0)),"N/A")</f>
        <v>15972</v>
      </c>
      <c r="B4677" s="4" t="s">
        <v>469</v>
      </c>
      <c r="C4677" s="4" t="s">
        <v>278</v>
      </c>
      <c r="D4677" s="94">
        <v>2714.0</v>
      </c>
    </row>
    <row r="4678">
      <c r="A4678" s="40">
        <f t="array" ref="A4678">IFNA(index(PlayerValues!A:A,match(IFNA(vlookup(B4678,'Special Names'!A:B,2,FALSE),B4678),PlayerValues!E:E,0)),"N/A")</f>
        <v>14138</v>
      </c>
      <c r="B4678" s="4" t="s">
        <v>531</v>
      </c>
      <c r="C4678" s="4" t="s">
        <v>298</v>
      </c>
      <c r="D4678" s="94">
        <v>3112.0</v>
      </c>
    </row>
    <row r="4679">
      <c r="A4679" s="40">
        <f t="array" ref="A4679">IFNA(index(PlayerValues!A:A,match(IFNA(vlookup(B4679,'Special Names'!A:B,2,FALSE),B4679),PlayerValues!E:E,0)),"N/A")</f>
        <v>15712</v>
      </c>
      <c r="B4679" s="4" t="s">
        <v>488</v>
      </c>
      <c r="C4679" s="4" t="s">
        <v>278</v>
      </c>
      <c r="D4679" s="94">
        <v>2689.0</v>
      </c>
    </row>
    <row r="4680">
      <c r="A4680" s="40">
        <f t="array" ref="A4680">IFNA(index(PlayerValues!A:A,match(IFNA(vlookup(B4680,'Special Names'!A:B,2,FALSE),B4680),PlayerValues!E:E,0)),"N/A")</f>
        <v>17505</v>
      </c>
      <c r="B4680" s="4" t="s">
        <v>528</v>
      </c>
      <c r="C4680" s="4" t="s">
        <v>287</v>
      </c>
      <c r="D4680" s="94">
        <v>2686.0</v>
      </c>
    </row>
    <row r="4681">
      <c r="A4681" s="40">
        <f t="array" ref="A4681">IFNA(index(PlayerValues!A:A,match(IFNA(vlookup(B4681,'Special Names'!A:B,2,FALSE),B4681),PlayerValues!E:E,0)),"N/A")</f>
        <v>17507</v>
      </c>
      <c r="B4681" s="4" t="s">
        <v>495</v>
      </c>
      <c r="C4681" s="4" t="s">
        <v>287</v>
      </c>
      <c r="D4681" s="94">
        <v>2684.0</v>
      </c>
    </row>
    <row r="4682">
      <c r="A4682" s="40">
        <f t="array" ref="A4682">IFNA(index(PlayerValues!A:A,match(IFNA(vlookup(B4682,'Special Names'!A:B,2,FALSE),B4682),PlayerValues!E:E,0)),"N/A")</f>
        <v>17031</v>
      </c>
      <c r="B4682" s="4" t="s">
        <v>535</v>
      </c>
      <c r="C4682" s="4" t="s">
        <v>283</v>
      </c>
      <c r="D4682" s="94">
        <v>2678.0</v>
      </c>
    </row>
    <row r="4683">
      <c r="A4683" s="40">
        <f t="array" ref="A4683">IFNA(index(PlayerValues!A:A,match(IFNA(vlookup(B4683,'Special Names'!A:B,2,FALSE),B4683),PlayerValues!E:E,0)),"N/A")</f>
        <v>17072</v>
      </c>
      <c r="B4683" s="4" t="s">
        <v>508</v>
      </c>
      <c r="C4683" s="4" t="s">
        <v>287</v>
      </c>
      <c r="D4683" s="94">
        <v>2678.0</v>
      </c>
    </row>
    <row r="4684">
      <c r="A4684" s="40">
        <f t="array" ref="A4684">IFNA(index(PlayerValues!A:A,match(IFNA(vlookup(B4684,'Special Names'!A:B,2,FALSE),B4684),PlayerValues!E:E,0)),"N/A")</f>
        <v>15241</v>
      </c>
      <c r="B4684" s="4" t="s">
        <v>546</v>
      </c>
      <c r="C4684" s="4" t="s">
        <v>283</v>
      </c>
      <c r="D4684" s="94">
        <v>2671.0</v>
      </c>
    </row>
    <row r="4685">
      <c r="A4685" s="40">
        <f t="array" ref="A4685">IFNA(index(PlayerValues!A:A,match(IFNA(vlookup(B4685,'Special Names'!A:B,2,FALSE),B4685),PlayerValues!E:E,0)),"N/A")</f>
        <v>14778</v>
      </c>
      <c r="B4685" s="4" t="s">
        <v>564</v>
      </c>
      <c r="C4685" s="4" t="s">
        <v>283</v>
      </c>
      <c r="D4685" s="94">
        <v>2664.0</v>
      </c>
    </row>
    <row r="4686">
      <c r="A4686" s="40">
        <f t="array" ref="A4686">IFNA(index(PlayerValues!A:A,match(IFNA(vlookup(B4686,'Special Names'!A:B,2,FALSE),B4686),PlayerValues!E:E,0)),"N/A")</f>
        <v>13674</v>
      </c>
      <c r="B4686" s="4" t="s">
        <v>511</v>
      </c>
      <c r="C4686" s="4" t="s">
        <v>298</v>
      </c>
      <c r="D4686" s="94">
        <v>3072.0</v>
      </c>
    </row>
    <row r="4687">
      <c r="A4687" s="40">
        <f t="array" ref="A4687">IFNA(index(PlayerValues!A:A,match(IFNA(vlookup(B4687,'Special Names'!A:B,2,FALSE),B4687),PlayerValues!E:E,0)),"N/A")</f>
        <v>16626</v>
      </c>
      <c r="B4687" s="4" t="s">
        <v>515</v>
      </c>
      <c r="C4687" s="4" t="s">
        <v>287</v>
      </c>
      <c r="D4687" s="94">
        <v>2647.0</v>
      </c>
    </row>
    <row r="4688">
      <c r="A4688" s="40">
        <f t="array" ref="A4688">IFNA(index(PlayerValues!A:A,match(IFNA(vlookup(B4688,'Special Names'!A:B,2,FALSE),B4688),PlayerValues!E:E,0)),"N/A")</f>
        <v>17080</v>
      </c>
      <c r="B4688" s="4" t="s">
        <v>532</v>
      </c>
      <c r="C4688" s="4" t="s">
        <v>287</v>
      </c>
      <c r="D4688" s="94">
        <v>2644.0</v>
      </c>
    </row>
    <row r="4689">
      <c r="A4689" s="40">
        <f t="array" ref="A4689">IFNA(index(PlayerValues!A:A,match(IFNA(vlookup(B4689,'Special Names'!A:B,2,FALSE),B4689),PlayerValues!E:E,0)),"N/A")</f>
        <v>17105</v>
      </c>
      <c r="B4689" s="4" t="s">
        <v>525</v>
      </c>
      <c r="C4689" s="4" t="s">
        <v>298</v>
      </c>
      <c r="D4689" s="94">
        <v>3053.0</v>
      </c>
    </row>
    <row r="4690">
      <c r="A4690" s="40">
        <f t="array" ref="A4690">IFNA(index(PlayerValues!A:A,match(IFNA(vlookup(B4690,'Special Names'!A:B,2,FALSE),B4690),PlayerValues!E:E,0)),"N/A")</f>
        <v>16174</v>
      </c>
      <c r="B4690" s="4" t="s">
        <v>505</v>
      </c>
      <c r="C4690" s="4" t="s">
        <v>278</v>
      </c>
      <c r="D4690" s="94">
        <v>2640.0</v>
      </c>
    </row>
    <row r="4691">
      <c r="A4691" s="40">
        <f t="array" ref="A4691">IFNA(index(PlayerValues!A:A,match(IFNA(vlookup(B4691,'Special Names'!A:B,2,FALSE),B4691),PlayerValues!E:E,0)),"N/A")</f>
        <v>16584</v>
      </c>
      <c r="B4691" s="4" t="s">
        <v>569</v>
      </c>
      <c r="C4691" s="4" t="s">
        <v>283</v>
      </c>
      <c r="D4691" s="94">
        <v>2633.0</v>
      </c>
    </row>
    <row r="4692">
      <c r="A4692" s="40">
        <f t="array" ref="A4692">IFNA(index(PlayerValues!A:A,match(IFNA(vlookup(B4692,'Special Names'!A:B,2,FALSE),B4692),PlayerValues!E:E,0)),"N/A")</f>
        <v>11244</v>
      </c>
      <c r="B4692" s="4" t="s">
        <v>519</v>
      </c>
      <c r="C4692" s="4" t="s">
        <v>298</v>
      </c>
      <c r="D4692" s="94">
        <v>3040.0</v>
      </c>
    </row>
    <row r="4693">
      <c r="A4693" s="40">
        <f t="array" ref="A4693">IFNA(index(PlayerValues!A:A,match(IFNA(vlookup(B4693,'Special Names'!A:B,2,FALSE),B4693),PlayerValues!E:E,0)),"N/A")</f>
        <v>17520</v>
      </c>
      <c r="B4693" s="4" t="s">
        <v>518</v>
      </c>
      <c r="C4693" s="4" t="s">
        <v>287</v>
      </c>
      <c r="D4693" s="94">
        <v>2616.0</v>
      </c>
    </row>
    <row r="4694">
      <c r="A4694" s="40">
        <f t="array" ref="A4694">IFNA(index(PlayerValues!A:A,match(IFNA(vlookup(B4694,'Special Names'!A:B,2,FALSE),B4694),PlayerValues!E:E,0)),"N/A")</f>
        <v>16596</v>
      </c>
      <c r="B4694" s="4" t="s">
        <v>501</v>
      </c>
      <c r="C4694" s="4" t="s">
        <v>278</v>
      </c>
      <c r="D4694" s="94">
        <v>2612.0</v>
      </c>
    </row>
    <row r="4695">
      <c r="A4695" s="40">
        <f t="array" ref="A4695">IFNA(index(PlayerValues!A:A,match(IFNA(vlookup(B4695,'Special Names'!A:B,2,FALSE),B4695),PlayerValues!E:E,0)),"N/A")</f>
        <v>16747</v>
      </c>
      <c r="B4695" s="4" t="s">
        <v>555</v>
      </c>
      <c r="C4695" s="4" t="s">
        <v>278</v>
      </c>
      <c r="D4695" s="94">
        <v>2611.0</v>
      </c>
    </row>
    <row r="4696">
      <c r="A4696" s="40">
        <f t="array" ref="A4696">IFNA(index(PlayerValues!A:A,match(IFNA(vlookup(B4696,'Special Names'!A:B,2,FALSE),B4696),PlayerValues!E:E,0)),"N/A")</f>
        <v>17098</v>
      </c>
      <c r="B4696" s="4" t="s">
        <v>533</v>
      </c>
      <c r="C4696" s="4" t="s">
        <v>287</v>
      </c>
      <c r="D4696" s="94">
        <v>2611.0</v>
      </c>
    </row>
    <row r="4697">
      <c r="A4697" s="40">
        <f t="array" ref="A4697">IFNA(index(PlayerValues!A:A,match(IFNA(vlookup(B4697,'Special Names'!A:B,2,FALSE),B4697),PlayerValues!E:E,0)),"N/A")</f>
        <v>17511</v>
      </c>
      <c r="B4697" s="4" t="s">
        <v>485</v>
      </c>
      <c r="C4697" s="4" t="s">
        <v>287</v>
      </c>
      <c r="D4697" s="94">
        <v>2601.0</v>
      </c>
    </row>
    <row r="4698">
      <c r="A4698" s="40">
        <f t="array" ref="A4698">IFNA(index(PlayerValues!A:A,match(IFNA(vlookup(B4698,'Special Names'!A:B,2,FALSE),B4698),PlayerValues!E:E,0)),"N/A")</f>
        <v>16164</v>
      </c>
      <c r="B4698" s="4" t="s">
        <v>512</v>
      </c>
      <c r="C4698" s="4" t="s">
        <v>278</v>
      </c>
      <c r="D4698" s="94">
        <v>2598.0</v>
      </c>
    </row>
    <row r="4699">
      <c r="A4699" s="40">
        <f t="array" ref="A4699">IFNA(index(PlayerValues!A:A,match(IFNA(vlookup(B4699,'Special Names'!A:B,2,FALSE),B4699),PlayerValues!E:E,0)),"N/A")</f>
        <v>17466</v>
      </c>
      <c r="B4699" s="4" t="s">
        <v>492</v>
      </c>
      <c r="C4699" s="4" t="s">
        <v>283</v>
      </c>
      <c r="D4699" s="94">
        <v>2596.0</v>
      </c>
    </row>
    <row r="4700">
      <c r="A4700" s="40">
        <f t="array" ref="A4700">IFNA(index(PlayerValues!A:A,match(IFNA(vlookup(B4700,'Special Names'!A:B,2,FALSE),B4700),PlayerValues!E:E,0)),"N/A")</f>
        <v>16178</v>
      </c>
      <c r="B4700" s="4" t="s">
        <v>507</v>
      </c>
      <c r="C4700" s="4" t="s">
        <v>278</v>
      </c>
      <c r="D4700" s="94">
        <v>2590.0</v>
      </c>
    </row>
    <row r="4701">
      <c r="A4701" s="40">
        <f t="array" ref="A4701">IFNA(index(PlayerValues!A:A,match(IFNA(vlookup(B4701,'Special Names'!A:B,2,FALSE),B4701),PlayerValues!E:E,0)),"N/A")</f>
        <v>12616</v>
      </c>
      <c r="B4701" s="4" t="s">
        <v>529</v>
      </c>
      <c r="C4701" s="4" t="s">
        <v>283</v>
      </c>
      <c r="D4701" s="94">
        <v>2578.0</v>
      </c>
    </row>
    <row r="4702">
      <c r="A4702" s="40">
        <f t="array" ref="A4702">IFNA(index(PlayerValues!A:A,match(IFNA(vlookup(B4702,'Special Names'!A:B,2,FALSE),B4702),PlayerValues!E:E,0)),"N/A")</f>
        <v>16204</v>
      </c>
      <c r="B4702" s="4" t="s">
        <v>530</v>
      </c>
      <c r="C4702" s="4" t="s">
        <v>287</v>
      </c>
      <c r="D4702" s="94">
        <v>2578.0</v>
      </c>
    </row>
    <row r="4703">
      <c r="A4703" s="40" t="str">
        <f t="array" ref="A4703">IFNA(index(PlayerValues!A:A,match(IFNA(vlookup(B4703,'Special Names'!A:B,2,FALSE),B4703),PlayerValues!E:E,0)),"N/A")</f>
        <v>N/A</v>
      </c>
      <c r="B4703" s="4" t="s">
        <v>98</v>
      </c>
      <c r="C4703" s="4" t="s">
        <v>325</v>
      </c>
      <c r="D4703" s="94">
        <v>2575.0</v>
      </c>
    </row>
    <row r="4704">
      <c r="A4704" s="40">
        <f t="array" ref="A4704">IFNA(index(PlayerValues!A:A,match(IFNA(vlookup(B4704,'Special Names'!A:B,2,FALSE),B4704),PlayerValues!E:E,0)),"N/A")</f>
        <v>15786</v>
      </c>
      <c r="B4704" s="4" t="s">
        <v>521</v>
      </c>
      <c r="C4704" s="4" t="s">
        <v>287</v>
      </c>
      <c r="D4704" s="94">
        <v>2571.0</v>
      </c>
    </row>
    <row r="4705">
      <c r="A4705" s="40">
        <f t="array" ref="A4705">IFNA(index(PlayerValues!A:A,match(IFNA(vlookup(B4705,'Special Names'!A:B,2,FALSE),B4705),PlayerValues!E:E,0)),"N/A")</f>
        <v>16287</v>
      </c>
      <c r="B4705" s="4" t="s">
        <v>516</v>
      </c>
      <c r="C4705" s="4" t="s">
        <v>287</v>
      </c>
      <c r="D4705" s="94">
        <v>2563.0</v>
      </c>
    </row>
    <row r="4706">
      <c r="A4706" s="40">
        <f t="array" ref="A4706">IFNA(index(PlayerValues!A:A,match(IFNA(vlookup(B4706,'Special Names'!A:B,2,FALSE),B4706),PlayerValues!E:E,0)),"N/A")</f>
        <v>16684</v>
      </c>
      <c r="B4706" s="4" t="s">
        <v>500</v>
      </c>
      <c r="C4706" s="4" t="s">
        <v>287</v>
      </c>
      <c r="D4706" s="94">
        <v>2563.0</v>
      </c>
    </row>
    <row r="4707">
      <c r="A4707" s="40">
        <f t="array" ref="A4707">IFNA(index(PlayerValues!A:A,match(IFNA(vlookup(B4707,'Special Names'!A:B,2,FALSE),B4707),PlayerValues!E:E,0)),"N/A")</f>
        <v>16165</v>
      </c>
      <c r="B4707" s="4" t="s">
        <v>520</v>
      </c>
      <c r="C4707" s="4" t="s">
        <v>278</v>
      </c>
      <c r="D4707" s="94">
        <v>2557.0</v>
      </c>
    </row>
    <row r="4708">
      <c r="A4708" s="40">
        <f t="array" ref="A4708">IFNA(index(PlayerValues!A:A,match(IFNA(vlookup(B4708,'Special Names'!A:B,2,FALSE),B4708),PlayerValues!E:E,0)),"N/A")</f>
        <v>16193</v>
      </c>
      <c r="B4708" s="4" t="s">
        <v>487</v>
      </c>
      <c r="C4708" s="4" t="s">
        <v>287</v>
      </c>
      <c r="D4708" s="94">
        <v>2549.0</v>
      </c>
    </row>
    <row r="4709">
      <c r="A4709" s="40">
        <f t="array" ref="A4709">IFNA(index(PlayerValues!A:A,match(IFNA(vlookup(B4709,'Special Names'!A:B,2,FALSE),B4709),PlayerValues!E:E,0)),"N/A")</f>
        <v>16619</v>
      </c>
      <c r="B4709" s="4" t="s">
        <v>538</v>
      </c>
      <c r="C4709" s="4" t="s">
        <v>287</v>
      </c>
      <c r="D4709" s="94">
        <v>2527.0</v>
      </c>
    </row>
    <row r="4710">
      <c r="A4710" s="40">
        <f t="array" ref="A4710">IFNA(index(PlayerValues!A:A,match(IFNA(vlookup(B4710,'Special Names'!A:B,2,FALSE),B4710),PlayerValues!E:E,0)),"N/A")</f>
        <v>14833</v>
      </c>
      <c r="B4710" s="4" t="s">
        <v>553</v>
      </c>
      <c r="C4710" s="4" t="s">
        <v>287</v>
      </c>
      <c r="D4710" s="94">
        <v>2511.0</v>
      </c>
    </row>
    <row r="4711">
      <c r="A4711" s="40">
        <f t="array" ref="A4711">IFNA(index(PlayerValues!A:A,match(IFNA(vlookup(B4711,'Special Names'!A:B,2,FALSE),B4711),PlayerValues!E:E,0)),"N/A")</f>
        <v>17108</v>
      </c>
      <c r="B4711" s="4" t="s">
        <v>542</v>
      </c>
      <c r="C4711" s="4" t="s">
        <v>298</v>
      </c>
      <c r="D4711" s="94">
        <v>2916.0</v>
      </c>
    </row>
    <row r="4712">
      <c r="A4712" s="40" t="str">
        <f t="array" ref="A4712">IFNA(index(PlayerValues!A:A,match(IFNA(vlookup(B4712,'Special Names'!A:B,2,FALSE),B4712),PlayerValues!E:E,0)),"N/A")</f>
        <v>N/A</v>
      </c>
      <c r="B4712" s="4" t="s">
        <v>99</v>
      </c>
      <c r="C4712" s="4" t="s">
        <v>325</v>
      </c>
      <c r="D4712" s="94">
        <v>2499.0</v>
      </c>
    </row>
    <row r="4713">
      <c r="A4713" s="40">
        <f t="array" ref="A4713">IFNA(index(PlayerValues!A:A,match(IFNA(vlookup(B4713,'Special Names'!A:B,2,FALSE),B4713),PlayerValues!E:E,0)),"N/A")</f>
        <v>17478</v>
      </c>
      <c r="B4713" s="4" t="s">
        <v>527</v>
      </c>
      <c r="C4713" s="4" t="s">
        <v>278</v>
      </c>
      <c r="D4713" s="94">
        <v>2496.0</v>
      </c>
    </row>
    <row r="4714">
      <c r="A4714" s="40">
        <f t="array" ref="A4714">IFNA(index(PlayerValues!A:A,match(IFNA(vlookup(B4714,'Special Names'!A:B,2,FALSE),B4714),PlayerValues!E:E,0)),"N/A")</f>
        <v>17073</v>
      </c>
      <c r="B4714" s="4" t="s">
        <v>547</v>
      </c>
      <c r="C4714" s="4" t="s">
        <v>287</v>
      </c>
      <c r="D4714" s="94">
        <v>2474.0</v>
      </c>
    </row>
    <row r="4715">
      <c r="A4715" s="40">
        <f t="array" ref="A4715">IFNA(index(PlayerValues!A:A,match(IFNA(vlookup(B4715,'Special Names'!A:B,2,FALSE),B4715),PlayerValues!E:E,0)),"N/A")</f>
        <v>17082</v>
      </c>
      <c r="B4715" s="4" t="s">
        <v>498</v>
      </c>
      <c r="C4715" s="4" t="s">
        <v>287</v>
      </c>
      <c r="D4715" s="94">
        <v>2471.0</v>
      </c>
    </row>
    <row r="4716">
      <c r="A4716" s="40">
        <f t="array" ref="A4716">IFNA(index(PlayerValues!A:A,match(IFNA(vlookup(B4716,'Special Names'!A:B,2,FALSE),B4716),PlayerValues!E:E,0)),"N/A")</f>
        <v>17474</v>
      </c>
      <c r="B4716" s="4" t="s">
        <v>513</v>
      </c>
      <c r="C4716" s="4" t="s">
        <v>278</v>
      </c>
      <c r="D4716" s="94">
        <v>2469.0</v>
      </c>
    </row>
    <row r="4717">
      <c r="A4717" s="40">
        <f t="array" ref="A4717">IFNA(index(PlayerValues!A:A,match(IFNA(vlookup(B4717,'Special Names'!A:B,2,FALSE),B4717),PlayerValues!E:E,0)),"N/A")</f>
        <v>17517</v>
      </c>
      <c r="B4717" s="4" t="s">
        <v>454</v>
      </c>
      <c r="C4717" s="4" t="s">
        <v>287</v>
      </c>
      <c r="D4717" s="94">
        <v>2445.0</v>
      </c>
    </row>
    <row r="4718">
      <c r="A4718" s="40">
        <f t="array" ref="A4718">IFNA(index(PlayerValues!A:A,match(IFNA(vlookup(B4718,'Special Names'!A:B,2,FALSE),B4718),PlayerValues!E:E,0)),"N/A")</f>
        <v>14860</v>
      </c>
      <c r="B4718" s="4" t="s">
        <v>554</v>
      </c>
      <c r="C4718" s="4" t="s">
        <v>287</v>
      </c>
      <c r="D4718" s="94">
        <v>2440.0</v>
      </c>
    </row>
    <row r="4719">
      <c r="A4719" s="40">
        <f t="array" ref="A4719">IFNA(index(PlayerValues!A:A,match(IFNA(vlookup(B4719,'Special Names'!A:B,2,FALSE),B4719),PlayerValues!E:E,0)),"N/A")</f>
        <v>16195</v>
      </c>
      <c r="B4719" s="4" t="s">
        <v>509</v>
      </c>
      <c r="C4719" s="4" t="s">
        <v>287</v>
      </c>
      <c r="D4719" s="94">
        <v>2435.0</v>
      </c>
    </row>
    <row r="4720">
      <c r="A4720" s="40">
        <f t="array" ref="A4720">IFNA(index(PlayerValues!A:A,match(IFNA(vlookup(B4720,'Special Names'!A:B,2,FALSE),B4720),PlayerValues!E:E,0)),"N/A")</f>
        <v>17508</v>
      </c>
      <c r="B4720" s="4" t="s">
        <v>534</v>
      </c>
      <c r="C4720" s="4" t="s">
        <v>287</v>
      </c>
      <c r="D4720" s="94">
        <v>2428.0</v>
      </c>
    </row>
    <row r="4721">
      <c r="A4721" s="40">
        <f t="array" ref="A4721">IFNA(index(PlayerValues!A:A,match(IFNA(vlookup(B4721,'Special Names'!A:B,2,FALSE),B4721),PlayerValues!E:E,0)),"N/A")</f>
        <v>17509</v>
      </c>
      <c r="B4721" s="4" t="s">
        <v>551</v>
      </c>
      <c r="C4721" s="4" t="s">
        <v>287</v>
      </c>
      <c r="D4721" s="94">
        <v>2413.0</v>
      </c>
    </row>
    <row r="4722">
      <c r="A4722" s="40">
        <f t="array" ref="A4722">IFNA(index(PlayerValues!A:A,match(IFNA(vlookup(B4722,'Special Names'!A:B,2,FALSE),B4722),PlayerValues!E:E,0)),"N/A")</f>
        <v>17078</v>
      </c>
      <c r="B4722" s="4" t="s">
        <v>543</v>
      </c>
      <c r="C4722" s="4" t="s">
        <v>287</v>
      </c>
      <c r="D4722" s="94">
        <v>2394.0</v>
      </c>
    </row>
    <row r="4723">
      <c r="A4723" s="40">
        <f t="array" ref="A4723">IFNA(index(PlayerValues!A:A,match(IFNA(vlookup(B4723,'Special Names'!A:B,2,FALSE),B4723),PlayerValues!E:E,0)),"N/A")</f>
        <v>15716</v>
      </c>
      <c r="B4723" s="4" t="s">
        <v>545</v>
      </c>
      <c r="C4723" s="4" t="s">
        <v>278</v>
      </c>
      <c r="D4723" s="94">
        <v>2385.0</v>
      </c>
    </row>
    <row r="4724">
      <c r="A4724" s="40">
        <f t="array" ref="A4724">IFNA(index(PlayerValues!A:A,match(IFNA(vlookup(B4724,'Special Names'!A:B,2,FALSE),B4724),PlayerValues!E:E,0)),"N/A")</f>
        <v>16617</v>
      </c>
      <c r="B4724" s="4" t="s">
        <v>541</v>
      </c>
      <c r="C4724" s="4" t="s">
        <v>287</v>
      </c>
      <c r="D4724" s="94">
        <v>2380.0</v>
      </c>
    </row>
    <row r="4725">
      <c r="A4725" s="40">
        <f t="array" ref="A4725">IFNA(index(PlayerValues!A:A,match(IFNA(vlookup(B4725,'Special Names'!A:B,2,FALSE),B4725),PlayerValues!E:E,0)),"N/A")</f>
        <v>12676</v>
      </c>
      <c r="B4725" s="4" t="s">
        <v>537</v>
      </c>
      <c r="C4725" s="4" t="s">
        <v>298</v>
      </c>
      <c r="D4725" s="94">
        <v>2762.0</v>
      </c>
    </row>
    <row r="4726">
      <c r="A4726" s="40" t="str">
        <f t="array" ref="A4726">IFNA(index(PlayerValues!A:A,match(IFNA(vlookup(B4726,'Special Names'!A:B,2,FALSE),B4726),PlayerValues!E:E,0)),"N/A")</f>
        <v>N/A</v>
      </c>
      <c r="B4726" s="4" t="s">
        <v>86</v>
      </c>
      <c r="C4726" s="4" t="s">
        <v>325</v>
      </c>
      <c r="D4726" s="94">
        <v>2359.0</v>
      </c>
    </row>
    <row r="4727">
      <c r="A4727" s="40">
        <f t="array" ref="A4727">IFNA(index(PlayerValues!A:A,match(IFNA(vlookup(B4727,'Special Names'!A:B,2,FALSE),B4727),PlayerValues!E:E,0)),"N/A")</f>
        <v>13319</v>
      </c>
      <c r="B4727" s="4" t="s">
        <v>549</v>
      </c>
      <c r="C4727" s="4" t="s">
        <v>278</v>
      </c>
      <c r="D4727" s="94">
        <v>2356.0</v>
      </c>
    </row>
    <row r="4728">
      <c r="A4728" s="40">
        <f t="array" ref="A4728">IFNA(index(PlayerValues!A:A,match(IFNA(vlookup(B4728,'Special Names'!A:B,2,FALSE),B4728),PlayerValues!E:E,0)),"N/A")</f>
        <v>17106</v>
      </c>
      <c r="B4728" s="4" t="s">
        <v>550</v>
      </c>
      <c r="C4728" s="4" t="s">
        <v>298</v>
      </c>
      <c r="D4728" s="94">
        <v>2726.0</v>
      </c>
    </row>
    <row r="4729">
      <c r="A4729" s="40">
        <f t="array" ref="A4729">IFNA(index(PlayerValues!A:A,match(IFNA(vlookup(B4729,'Special Names'!A:B,2,FALSE),B4729),PlayerValues!E:E,0)),"N/A")</f>
        <v>14861</v>
      </c>
      <c r="B4729" s="4" t="s">
        <v>523</v>
      </c>
      <c r="C4729" s="4" t="s">
        <v>298</v>
      </c>
      <c r="D4729" s="94">
        <v>2715.0</v>
      </c>
    </row>
    <row r="4730">
      <c r="A4730" s="40">
        <f t="array" ref="A4730">IFNA(index(PlayerValues!A:A,match(IFNA(vlookup(B4730,'Special Names'!A:B,2,FALSE),B4730),PlayerValues!E:E,0)),"N/A")</f>
        <v>15331</v>
      </c>
      <c r="B4730" s="4" t="s">
        <v>560</v>
      </c>
      <c r="C4730" s="4" t="s">
        <v>298</v>
      </c>
      <c r="D4730" s="94">
        <v>2700.0</v>
      </c>
    </row>
    <row r="4731">
      <c r="A4731" s="40">
        <f t="array" ref="A4731">IFNA(index(PlayerValues!A:A,match(IFNA(vlookup(B4731,'Special Names'!A:B,2,FALSE),B4731),PlayerValues!E:E,0)),"N/A")</f>
        <v>15802</v>
      </c>
      <c r="B4731" s="4" t="s">
        <v>566</v>
      </c>
      <c r="C4731" s="4" t="s">
        <v>298</v>
      </c>
      <c r="D4731" s="94">
        <v>2697.0</v>
      </c>
    </row>
    <row r="4732">
      <c r="A4732" s="40" t="str">
        <f t="array" ref="A4732">IFNA(index(PlayerValues!A:A,match(IFNA(vlookup(B4732,'Special Names'!A:B,2,FALSE),B4732),PlayerValues!E:E,0)),"N/A")</f>
        <v>N/A</v>
      </c>
      <c r="B4732" s="4" t="s">
        <v>100</v>
      </c>
      <c r="C4732" s="4" t="s">
        <v>325</v>
      </c>
      <c r="D4732" s="94">
        <v>2300.0</v>
      </c>
    </row>
    <row r="4733">
      <c r="A4733" s="40">
        <f t="array" ref="A4733">IFNA(index(PlayerValues!A:A,match(IFNA(vlookup(B4733,'Special Names'!A:B,2,FALSE),B4733),PlayerValues!E:E,0)),"N/A")</f>
        <v>15797</v>
      </c>
      <c r="B4733" s="4" t="s">
        <v>556</v>
      </c>
      <c r="C4733" s="4" t="s">
        <v>298</v>
      </c>
      <c r="D4733" s="94">
        <v>2695.0</v>
      </c>
    </row>
    <row r="4734">
      <c r="A4734" s="40">
        <f t="array" ref="A4734">IFNA(index(PlayerValues!A:A,match(IFNA(vlookup(B4734,'Special Names'!A:B,2,FALSE),B4734),PlayerValues!E:E,0)),"N/A")</f>
        <v>17547</v>
      </c>
      <c r="B4734" s="4" t="s">
        <v>552</v>
      </c>
      <c r="C4734" s="4" t="s">
        <v>298</v>
      </c>
      <c r="D4734" s="94">
        <v>2680.0</v>
      </c>
    </row>
    <row r="4735">
      <c r="A4735" s="40">
        <f t="array" ref="A4735">IFNA(index(PlayerValues!A:A,match(IFNA(vlookup(B4735,'Special Names'!A:B,2,FALSE),B4735),PlayerValues!E:E,0)),"N/A")</f>
        <v>17055</v>
      </c>
      <c r="B4735" s="4" t="s">
        <v>565</v>
      </c>
      <c r="C4735" s="4" t="s">
        <v>278</v>
      </c>
      <c r="D4735" s="94">
        <v>2283.0</v>
      </c>
    </row>
    <row r="4736">
      <c r="A4736" s="40">
        <f t="array" ref="A4736">IFNA(index(PlayerValues!A:A,match(IFNA(vlookup(B4736,'Special Names'!A:B,2,FALSE),B4736),PlayerValues!E:E,0)),"N/A")</f>
        <v>17171</v>
      </c>
      <c r="B4736" s="4" t="s">
        <v>561</v>
      </c>
      <c r="C4736" s="4" t="s">
        <v>287</v>
      </c>
      <c r="D4736" s="94">
        <v>2279.0</v>
      </c>
    </row>
    <row r="4737">
      <c r="A4737" s="40">
        <f t="array" ref="A4737">IFNA(index(PlayerValues!A:A,match(IFNA(vlookup(B4737,'Special Names'!A:B,2,FALSE),B4737),PlayerValues!E:E,0)),"N/A")</f>
        <v>16166</v>
      </c>
      <c r="B4737" s="4" t="s">
        <v>567</v>
      </c>
      <c r="C4737" s="4" t="s">
        <v>278</v>
      </c>
      <c r="D4737" s="94">
        <v>2278.0</v>
      </c>
    </row>
    <row r="4738">
      <c r="A4738" s="40">
        <f t="array" ref="A4738">IFNA(index(PlayerValues!A:A,match(IFNA(vlookup(B4738,'Special Names'!A:B,2,FALSE),B4738),PlayerValues!E:E,0)),"N/A")</f>
        <v>17482</v>
      </c>
      <c r="B4738" s="4" t="s">
        <v>460</v>
      </c>
      <c r="C4738" s="4" t="s">
        <v>278</v>
      </c>
      <c r="D4738" s="94">
        <v>2276.0</v>
      </c>
    </row>
    <row r="4739">
      <c r="A4739" s="40">
        <f t="array" ref="A4739">IFNA(index(PlayerValues!A:A,match(IFNA(vlookup(B4739,'Special Names'!A:B,2,FALSE),B4739),PlayerValues!E:E,0)),"N/A")</f>
        <v>17048</v>
      </c>
      <c r="B4739" s="4" t="s">
        <v>539</v>
      </c>
      <c r="C4739" s="4" t="s">
        <v>278</v>
      </c>
      <c r="D4739" s="94">
        <v>2269.0</v>
      </c>
    </row>
    <row r="4740">
      <c r="A4740" s="40" t="str">
        <f t="array" ref="A4740">IFNA(index(PlayerValues!A:A,match(IFNA(vlookup(B4740,'Special Names'!A:B,2,FALSE),B4740),PlayerValues!E:E,0)),"N/A")</f>
        <v>N/A</v>
      </c>
      <c r="B4740" s="4" t="s">
        <v>557</v>
      </c>
      <c r="C4740" s="4" t="s">
        <v>278</v>
      </c>
      <c r="D4740" s="94">
        <v>2244.0</v>
      </c>
    </row>
    <row r="4741">
      <c r="A4741" s="40" t="str">
        <f t="array" ref="A4741">IFNA(index(PlayerValues!A:A,match(IFNA(vlookup(B4741,'Special Names'!A:B,2,FALSE),B4741),PlayerValues!E:E,0)),"N/A")</f>
        <v>N/A</v>
      </c>
      <c r="B4741" s="4" t="s">
        <v>112</v>
      </c>
      <c r="C4741" s="4" t="s">
        <v>325</v>
      </c>
      <c r="D4741" s="94">
        <v>2238.0</v>
      </c>
    </row>
    <row r="4742">
      <c r="A4742" s="40" t="str">
        <f t="array" ref="A4742">IFNA(index(PlayerValues!A:A,match(IFNA(vlookup(B4742,'Special Names'!A:B,2,FALSE),B4742),PlayerValues!E:E,0)),"N/A")</f>
        <v>N/A</v>
      </c>
      <c r="B4742" s="4" t="s">
        <v>87</v>
      </c>
      <c r="C4742" s="4" t="s">
        <v>325</v>
      </c>
      <c r="D4742" s="94">
        <v>2234.0</v>
      </c>
    </row>
    <row r="4743">
      <c r="A4743" s="40">
        <f t="array" ref="A4743">IFNA(index(PlayerValues!A:A,match(IFNA(vlookup(B4743,'Special Names'!A:B,2,FALSE),B4743),PlayerValues!E:E,0)),"N/A")</f>
        <v>16757</v>
      </c>
      <c r="B4743" s="4" t="s">
        <v>558</v>
      </c>
      <c r="C4743" s="4" t="s">
        <v>278</v>
      </c>
      <c r="D4743" s="94">
        <v>2215.0</v>
      </c>
    </row>
    <row r="4744">
      <c r="A4744" s="40">
        <f t="array" ref="A4744">IFNA(index(PlayerValues!A:A,match(IFNA(vlookup(B4744,'Special Names'!A:B,2,FALSE),B4744),PlayerValues!E:E,0)),"N/A")</f>
        <v>13192</v>
      </c>
      <c r="B4744" s="4" t="s">
        <v>563</v>
      </c>
      <c r="C4744" s="4" t="s">
        <v>298</v>
      </c>
      <c r="D4744" s="94">
        <v>2595.0</v>
      </c>
    </row>
    <row r="4745">
      <c r="A4745" s="40">
        <f t="array" ref="A4745">IFNA(index(PlayerValues!A:A,match(IFNA(vlookup(B4745,'Special Names'!A:B,2,FALSE),B4745),PlayerValues!E:E,0)),"N/A")</f>
        <v>16610</v>
      </c>
      <c r="B4745" s="4" t="s">
        <v>562</v>
      </c>
      <c r="C4745" s="4" t="s">
        <v>278</v>
      </c>
      <c r="D4745" s="94">
        <v>2203.0</v>
      </c>
    </row>
    <row r="4746">
      <c r="A4746" s="40">
        <f t="array" ref="A4746">IFNA(index(PlayerValues!A:A,match(IFNA(vlookup(B4746,'Special Names'!A:B,2,FALSE),B4746),PlayerValues!E:E,0)),"N/A")</f>
        <v>11150</v>
      </c>
      <c r="B4746" s="4" t="s">
        <v>559</v>
      </c>
      <c r="C4746" s="4" t="s">
        <v>283</v>
      </c>
      <c r="D4746" s="94">
        <v>2201.0</v>
      </c>
    </row>
    <row r="4747">
      <c r="A4747" s="40">
        <f t="array" ref="A4747">IFNA(index(PlayerValues!A:A,match(IFNA(vlookup(B4747,'Special Names'!A:B,2,FALSE),B4747),PlayerValues!E:E,0)),"N/A")</f>
        <v>15749</v>
      </c>
      <c r="B4747" s="4" t="s">
        <v>574</v>
      </c>
      <c r="C4747" s="4" t="s">
        <v>278</v>
      </c>
      <c r="D4747" s="94">
        <v>2197.0</v>
      </c>
    </row>
    <row r="4748">
      <c r="A4748" s="40">
        <f t="array" ref="A4748">IFNA(index(PlayerValues!A:A,match(IFNA(vlookup(B4748,'Special Names'!A:B,2,FALSE),B4748),PlayerValues!E:E,0)),"N/A")</f>
        <v>17033</v>
      </c>
      <c r="B4748" s="4" t="s">
        <v>570</v>
      </c>
      <c r="C4748" s="4" t="s">
        <v>283</v>
      </c>
      <c r="D4748" s="94">
        <v>2191.0</v>
      </c>
    </row>
    <row r="4749">
      <c r="A4749" s="40">
        <f t="array" ref="A4749">IFNA(index(PlayerValues!A:A,match(IFNA(vlookup(B4749,'Special Names'!A:B,2,FALSE),B4749),PlayerValues!E:E,0)),"N/A")</f>
        <v>17607</v>
      </c>
      <c r="B4749" s="4" t="s">
        <v>526</v>
      </c>
      <c r="C4749" s="4" t="s">
        <v>298</v>
      </c>
      <c r="D4749" s="94">
        <v>2576.0</v>
      </c>
    </row>
    <row r="4750">
      <c r="A4750" s="40">
        <f t="array" ref="A4750">IFNA(index(PlayerValues!A:A,match(IFNA(vlookup(B4750,'Special Names'!A:B,2,FALSE),B4750),PlayerValues!E:E,0)),"N/A")</f>
        <v>13772</v>
      </c>
      <c r="B4750" s="4" t="s">
        <v>544</v>
      </c>
      <c r="C4750" s="4" t="s">
        <v>298</v>
      </c>
      <c r="D4750" s="94">
        <v>2569.0</v>
      </c>
    </row>
    <row r="4751">
      <c r="A4751" s="40">
        <f t="array" ref="A4751">IFNA(index(PlayerValues!A:A,match(IFNA(vlookup(B4751,'Special Names'!A:B,2,FALSE),B4751),PlayerValues!E:E,0)),"N/A")</f>
        <v>17481</v>
      </c>
      <c r="B4751" s="4" t="s">
        <v>540</v>
      </c>
      <c r="C4751" s="4" t="s">
        <v>278</v>
      </c>
      <c r="D4751" s="94">
        <v>2176.0</v>
      </c>
    </row>
    <row r="4752">
      <c r="A4752" s="40">
        <f t="array" ref="A4752">IFNA(index(PlayerValues!A:A,match(IFNA(vlookup(B4752,'Special Names'!A:B,2,FALSE),B4752),PlayerValues!E:E,0)),"N/A")</f>
        <v>16152</v>
      </c>
      <c r="B4752" s="4" t="s">
        <v>601</v>
      </c>
      <c r="C4752" s="4" t="s">
        <v>283</v>
      </c>
      <c r="D4752" s="94">
        <v>2173.0</v>
      </c>
    </row>
    <row r="4753">
      <c r="A4753" s="40">
        <f t="array" ref="A4753">IFNA(index(PlayerValues!A:A,match(IFNA(vlookup(B4753,'Special Names'!A:B,2,FALSE),B4753),PlayerValues!E:E,0)),"N/A")</f>
        <v>17134</v>
      </c>
      <c r="B4753" s="4" t="s">
        <v>548</v>
      </c>
      <c r="C4753" s="4" t="s">
        <v>287</v>
      </c>
      <c r="D4753" s="94">
        <v>2163.0</v>
      </c>
    </row>
    <row r="4754">
      <c r="A4754" s="40">
        <f t="array" ref="A4754">IFNA(index(PlayerValues!A:A,match(IFNA(vlookup(B4754,'Special Names'!A:B,2,FALSE),B4754),PlayerValues!E:E,0)),"N/A")</f>
        <v>17567</v>
      </c>
      <c r="B4754" s="4" t="s">
        <v>571</v>
      </c>
      <c r="C4754" s="4" t="s">
        <v>298</v>
      </c>
      <c r="D4754" s="94">
        <v>2542.0</v>
      </c>
    </row>
    <row r="4755">
      <c r="A4755" s="40">
        <f t="array" ref="A4755">IFNA(index(PlayerValues!A:A,match(IFNA(vlookup(B4755,'Special Names'!A:B,2,FALSE),B4755),PlayerValues!E:E,0)),"N/A")</f>
        <v>16604</v>
      </c>
      <c r="B4755" s="4" t="s">
        <v>476</v>
      </c>
      <c r="C4755" s="4" t="s">
        <v>278</v>
      </c>
      <c r="D4755" s="94">
        <v>2140.0</v>
      </c>
    </row>
    <row r="4756">
      <c r="A4756" s="40">
        <f t="array" ref="A4756">IFNA(index(PlayerValues!A:A,match(IFNA(vlookup(B4756,'Special Names'!A:B,2,FALSE),B4756),PlayerValues!E:E,0)),"N/A")</f>
        <v>12186</v>
      </c>
      <c r="B4756" s="4" t="s">
        <v>497</v>
      </c>
      <c r="C4756" s="4" t="s">
        <v>287</v>
      </c>
      <c r="D4756" s="94">
        <v>2139.0</v>
      </c>
    </row>
    <row r="4757">
      <c r="A4757" s="40">
        <f t="array" ref="A4757">IFNA(index(PlayerValues!A:A,match(IFNA(vlookup(B4757,'Special Names'!A:B,2,FALSE),B4757),PlayerValues!E:E,0)),"N/A")</f>
        <v>16212</v>
      </c>
      <c r="B4757" s="4" t="s">
        <v>568</v>
      </c>
      <c r="C4757" s="4" t="s">
        <v>298</v>
      </c>
      <c r="D4757" s="94">
        <v>2522.0</v>
      </c>
    </row>
    <row r="4758">
      <c r="A4758" s="40">
        <f t="array" ref="A4758">IFNA(index(PlayerValues!A:A,match(IFNA(vlookup(B4758,'Special Names'!A:B,2,FALSE),B4758),PlayerValues!E:E,0)),"N/A")</f>
        <v>17069</v>
      </c>
      <c r="B4758" s="4" t="s">
        <v>604</v>
      </c>
      <c r="C4758" s="4" t="s">
        <v>278</v>
      </c>
      <c r="D4758" s="94">
        <v>2128.0</v>
      </c>
    </row>
    <row r="4759">
      <c r="A4759" s="40">
        <f t="array" ref="A4759">IFNA(index(PlayerValues!A:A,match(IFNA(vlookup(B4759,'Special Names'!A:B,2,FALSE),B4759),PlayerValues!E:E,0)),"N/A")</f>
        <v>16649</v>
      </c>
      <c r="B4759" s="4" t="s">
        <v>586</v>
      </c>
      <c r="C4759" s="4" t="s">
        <v>298</v>
      </c>
      <c r="D4759" s="94">
        <v>2506.0</v>
      </c>
    </row>
    <row r="4760">
      <c r="A4760" s="40" t="str">
        <f t="array" ref="A4760">IFNA(index(PlayerValues!A:A,match(IFNA(vlookup(B4760,'Special Names'!A:B,2,FALSE),B4760),PlayerValues!E:E,0)),"N/A")</f>
        <v>N/A</v>
      </c>
      <c r="B4760" s="4" t="s">
        <v>113</v>
      </c>
      <c r="C4760" s="4" t="s">
        <v>325</v>
      </c>
      <c r="D4760" s="94">
        <v>2115.0</v>
      </c>
    </row>
    <row r="4761">
      <c r="A4761" s="40">
        <f t="array" ref="A4761">IFNA(index(PlayerValues!A:A,match(IFNA(vlookup(B4761,'Special Names'!A:B,2,FALSE),B4761),PlayerValues!E:E,0)),"N/A")</f>
        <v>16594</v>
      </c>
      <c r="B4761" s="4" t="s">
        <v>607</v>
      </c>
      <c r="C4761" s="4" t="s">
        <v>278</v>
      </c>
      <c r="D4761" s="94">
        <v>2110.0</v>
      </c>
    </row>
    <row r="4762">
      <c r="A4762" s="40">
        <f t="array" ref="A4762">IFNA(index(PlayerValues!A:A,match(IFNA(vlookup(B4762,'Special Names'!A:B,2,FALSE),B4762),PlayerValues!E:E,0)),"N/A")</f>
        <v>17485</v>
      </c>
      <c r="B4762" s="4" t="s">
        <v>522</v>
      </c>
      <c r="C4762" s="4" t="s">
        <v>278</v>
      </c>
      <c r="D4762" s="94">
        <v>2086.0</v>
      </c>
    </row>
    <row r="4763">
      <c r="A4763" s="40">
        <f t="array" ref="A4763">IFNA(index(PlayerValues!A:A,match(IFNA(vlookup(B4763,'Special Names'!A:B,2,FALSE),B4763),PlayerValues!E:E,0)),"N/A")</f>
        <v>17079</v>
      </c>
      <c r="B4763" s="4" t="s">
        <v>572</v>
      </c>
      <c r="C4763" s="4" t="s">
        <v>287</v>
      </c>
      <c r="D4763" s="94">
        <v>2081.0</v>
      </c>
    </row>
    <row r="4764">
      <c r="A4764" s="40">
        <f t="array" ref="A4764">IFNA(index(PlayerValues!A:A,match(IFNA(vlookup(B4764,'Special Names'!A:B,2,FALSE),B4764),PlayerValues!E:E,0)),"N/A")</f>
        <v>16036</v>
      </c>
      <c r="B4764" s="4" t="s">
        <v>592</v>
      </c>
      <c r="C4764" s="4" t="s">
        <v>298</v>
      </c>
      <c r="D4764" s="94">
        <v>2469.0</v>
      </c>
    </row>
    <row r="4765">
      <c r="A4765" s="40">
        <f t="array" ref="A4765">IFNA(index(PlayerValues!A:A,match(IFNA(vlookup(B4765,'Special Names'!A:B,2,FALSE),B4765),PlayerValues!E:E,0)),"N/A")</f>
        <v>17599</v>
      </c>
      <c r="B4765" s="4" t="s">
        <v>496</v>
      </c>
      <c r="C4765" s="4" t="s">
        <v>287</v>
      </c>
      <c r="D4765" s="94">
        <v>2061.0</v>
      </c>
    </row>
    <row r="4766">
      <c r="A4766" s="40">
        <f t="array" ref="A4766">IFNA(index(PlayerValues!A:A,match(IFNA(vlookup(B4766,'Special Names'!A:B,2,FALSE),B4766),PlayerValues!E:E,0)),"N/A")</f>
        <v>17061</v>
      </c>
      <c r="B4766" s="4" t="s">
        <v>580</v>
      </c>
      <c r="C4766" s="4" t="s">
        <v>278</v>
      </c>
      <c r="D4766" s="94">
        <v>2057.0</v>
      </c>
    </row>
    <row r="4767">
      <c r="A4767" s="40">
        <f t="array" ref="A4767">IFNA(index(PlayerValues!A:A,match(IFNA(vlookup(B4767,'Special Names'!A:B,2,FALSE),B4767),PlayerValues!E:E,0)),"N/A")</f>
        <v>17076</v>
      </c>
      <c r="B4767" s="4" t="s">
        <v>585</v>
      </c>
      <c r="C4767" s="4" t="s">
        <v>287</v>
      </c>
      <c r="D4767" s="94">
        <v>2054.0</v>
      </c>
    </row>
    <row r="4768">
      <c r="A4768" s="40">
        <f t="array" ref="A4768">IFNA(index(PlayerValues!A:A,match(IFNA(vlookup(B4768,'Special Names'!A:B,2,FALSE),B4768),PlayerValues!E:E,0)),"N/A")</f>
        <v>17528</v>
      </c>
      <c r="B4768" s="4" t="s">
        <v>579</v>
      </c>
      <c r="C4768" s="4" t="s">
        <v>287</v>
      </c>
      <c r="D4768" s="94">
        <v>2052.0</v>
      </c>
    </row>
    <row r="4769">
      <c r="A4769" s="40">
        <f t="array" ref="A4769">IFNA(index(PlayerValues!A:A,match(IFNA(vlookup(B4769,'Special Names'!A:B,2,FALSE),B4769),PlayerValues!E:E,0)),"N/A")</f>
        <v>16189</v>
      </c>
      <c r="B4769" s="4" t="s">
        <v>582</v>
      </c>
      <c r="C4769" s="4" t="s">
        <v>287</v>
      </c>
      <c r="D4769" s="94">
        <v>2050.0</v>
      </c>
    </row>
    <row r="4770">
      <c r="A4770" s="40">
        <f t="array" ref="A4770">IFNA(index(PlayerValues!A:A,match(IFNA(vlookup(B4770,'Special Names'!A:B,2,FALSE),B4770),PlayerValues!E:E,0)),"N/A")</f>
        <v>17060</v>
      </c>
      <c r="B4770" s="4" t="s">
        <v>603</v>
      </c>
      <c r="C4770" s="4" t="s">
        <v>278</v>
      </c>
      <c r="D4770" s="94">
        <v>2049.0</v>
      </c>
    </row>
    <row r="4771">
      <c r="A4771" s="40" t="str">
        <f t="array" ref="A4771">IFNA(index(PlayerValues!A:A,match(IFNA(vlookup(B4771,'Special Names'!A:B,2,FALSE),B4771),PlayerValues!E:E,0)),"N/A")</f>
        <v>N/A</v>
      </c>
      <c r="B4771" s="4" t="s">
        <v>88</v>
      </c>
      <c r="C4771" s="4" t="s">
        <v>325</v>
      </c>
      <c r="D4771" s="94">
        <v>2038.0</v>
      </c>
    </row>
    <row r="4772">
      <c r="A4772" s="40">
        <f t="array" ref="A4772">IFNA(index(PlayerValues!A:A,match(IFNA(vlookup(B4772,'Special Names'!A:B,2,FALSE),B4772),PlayerValues!E:E,0)),"N/A")</f>
        <v>13132</v>
      </c>
      <c r="B4772" s="4" t="s">
        <v>598</v>
      </c>
      <c r="C4772" s="4" t="s">
        <v>278</v>
      </c>
      <c r="D4772" s="94">
        <v>2037.0</v>
      </c>
    </row>
    <row r="4773">
      <c r="A4773" s="40">
        <f t="array" ref="A4773">IFNA(index(PlayerValues!A:A,match(IFNA(vlookup(B4773,'Special Names'!A:B,2,FALSE),B4773),PlayerValues!E:E,0)),"N/A")</f>
        <v>17468</v>
      </c>
      <c r="B4773" s="4" t="s">
        <v>514</v>
      </c>
      <c r="C4773" s="4" t="s">
        <v>283</v>
      </c>
      <c r="D4773" s="94">
        <v>2014.0</v>
      </c>
    </row>
    <row r="4774">
      <c r="A4774" s="40">
        <f t="array" ref="A4774">IFNA(index(PlayerValues!A:A,match(IFNA(vlookup(B4774,'Special Names'!A:B,2,FALSE),B4774),PlayerValues!E:E,0)),"N/A")</f>
        <v>13113</v>
      </c>
      <c r="B4774" s="4" t="s">
        <v>606</v>
      </c>
      <c r="C4774" s="4" t="s">
        <v>283</v>
      </c>
      <c r="D4774" s="94">
        <v>2009.0</v>
      </c>
    </row>
    <row r="4775">
      <c r="A4775" s="40">
        <f t="array" ref="A4775">IFNA(index(PlayerValues!A:A,match(IFNA(vlookup(B4775,'Special Names'!A:B,2,FALSE),B4775),PlayerValues!E:E,0)),"N/A")</f>
        <v>15238</v>
      </c>
      <c r="B4775" s="4" t="s">
        <v>613</v>
      </c>
      <c r="C4775" s="4" t="s">
        <v>283</v>
      </c>
      <c r="D4775" s="94">
        <v>1999.0</v>
      </c>
    </row>
    <row r="4776">
      <c r="A4776" s="40">
        <f t="array" ref="A4776">IFNA(index(PlayerValues!A:A,match(IFNA(vlookup(B4776,'Special Names'!A:B,2,FALSE),B4776),PlayerValues!E:E,0)),"N/A")</f>
        <v>16778</v>
      </c>
      <c r="B4776" s="4" t="s">
        <v>577</v>
      </c>
      <c r="C4776" s="4" t="s">
        <v>287</v>
      </c>
      <c r="D4776" s="94">
        <v>1998.0</v>
      </c>
    </row>
    <row r="4777">
      <c r="A4777" s="40">
        <f t="array" ref="A4777">IFNA(index(PlayerValues!A:A,match(IFNA(vlookup(B4777,'Special Names'!A:B,2,FALSE),B4777),PlayerValues!E:E,0)),"N/A")</f>
        <v>15293</v>
      </c>
      <c r="B4777" s="4" t="s">
        <v>578</v>
      </c>
      <c r="C4777" s="4" t="s">
        <v>287</v>
      </c>
      <c r="D4777" s="94">
        <v>1997.0</v>
      </c>
    </row>
    <row r="4778">
      <c r="A4778" s="40">
        <f t="array" ref="A4778">IFNA(index(PlayerValues!A:A,match(IFNA(vlookup(B4778,'Special Names'!A:B,2,FALSE),B4778),PlayerValues!E:E,0)),"N/A")</f>
        <v>14974</v>
      </c>
      <c r="B4778" s="4" t="s">
        <v>611</v>
      </c>
      <c r="C4778" s="4" t="s">
        <v>287</v>
      </c>
      <c r="D4778" s="94">
        <v>1988.0</v>
      </c>
    </row>
    <row r="4779">
      <c r="A4779" s="40" t="str">
        <f t="array" ref="A4779">IFNA(index(PlayerValues!A:A,match(IFNA(vlookup(B4779,'Special Names'!A:B,2,FALSE),B4779),PlayerValues!E:E,0)),"N/A")</f>
        <v>N/A</v>
      </c>
      <c r="B4779" s="4" t="s">
        <v>114</v>
      </c>
      <c r="C4779" s="4" t="s">
        <v>325</v>
      </c>
      <c r="D4779" s="94">
        <v>1984.0</v>
      </c>
    </row>
    <row r="4780">
      <c r="A4780" s="40">
        <f t="array" ref="A4780">IFNA(index(PlayerValues!A:A,match(IFNA(vlookup(B4780,'Special Names'!A:B,2,FALSE),B4780),PlayerValues!E:E,0)),"N/A")</f>
        <v>14867</v>
      </c>
      <c r="B4780" s="4" t="s">
        <v>591</v>
      </c>
      <c r="C4780" s="4" t="s">
        <v>298</v>
      </c>
      <c r="D4780" s="94">
        <v>2365.0</v>
      </c>
    </row>
    <row r="4781">
      <c r="A4781" s="40">
        <f t="array" ref="A4781">IFNA(index(PlayerValues!A:A,match(IFNA(vlookup(B4781,'Special Names'!A:B,2,FALSE),B4781),PlayerValues!E:E,0)),"N/A")</f>
        <v>16643</v>
      </c>
      <c r="B4781" s="4" t="s">
        <v>609</v>
      </c>
      <c r="C4781" s="4" t="s">
        <v>298</v>
      </c>
      <c r="D4781" s="94">
        <v>2358.0</v>
      </c>
    </row>
    <row r="4782">
      <c r="A4782" s="40">
        <f t="array" ref="A4782">IFNA(index(PlayerValues!A:A,match(IFNA(vlookup(B4782,'Special Names'!A:B,2,FALSE),B4782),PlayerValues!E:E,0)),"N/A")</f>
        <v>17056</v>
      </c>
      <c r="B4782" s="4" t="s">
        <v>581</v>
      </c>
      <c r="C4782" s="4" t="s">
        <v>278</v>
      </c>
      <c r="D4782" s="94">
        <v>1944.0</v>
      </c>
    </row>
    <row r="4783">
      <c r="A4783" s="40">
        <f t="array" ref="A4783">IFNA(index(PlayerValues!A:A,match(IFNA(vlookup(B4783,'Special Names'!A:B,2,FALSE),B4783),PlayerValues!E:E,0)),"N/A")</f>
        <v>17467</v>
      </c>
      <c r="B4783" s="4" t="s">
        <v>575</v>
      </c>
      <c r="C4783" s="4" t="s">
        <v>283</v>
      </c>
      <c r="D4783" s="94">
        <v>1937.0</v>
      </c>
    </row>
    <row r="4784">
      <c r="A4784" s="40">
        <f t="array" ref="A4784">IFNA(index(PlayerValues!A:A,match(IFNA(vlookup(B4784,'Special Names'!A:B,2,FALSE),B4784),PlayerValues!E:E,0)),"N/A")</f>
        <v>14871</v>
      </c>
      <c r="B4784" s="4" t="s">
        <v>584</v>
      </c>
      <c r="C4784" s="4" t="s">
        <v>298</v>
      </c>
      <c r="D4784" s="94">
        <v>2322.0</v>
      </c>
    </row>
    <row r="4785">
      <c r="A4785" s="40">
        <f t="array" ref="A4785">IFNA(index(PlayerValues!A:A,match(IFNA(vlookup(B4785,'Special Names'!A:B,2,FALSE),B4785),PlayerValues!E:E,0)),"N/A")</f>
        <v>17184</v>
      </c>
      <c r="B4785" s="4" t="s">
        <v>588</v>
      </c>
      <c r="C4785" s="4" t="s">
        <v>287</v>
      </c>
      <c r="D4785" s="94">
        <v>1935.0</v>
      </c>
    </row>
    <row r="4786">
      <c r="A4786" s="40">
        <f t="array" ref="A4786">IFNA(index(PlayerValues!A:A,match(IFNA(vlookup(B4786,'Special Names'!A:B,2,FALSE),B4786),PlayerValues!E:E,0)),"N/A")</f>
        <v>7836</v>
      </c>
      <c r="B4786" s="4" t="s">
        <v>590</v>
      </c>
      <c r="C4786" s="4" t="s">
        <v>283</v>
      </c>
      <c r="D4786" s="94">
        <v>1929.0</v>
      </c>
    </row>
    <row r="4787">
      <c r="A4787" s="40">
        <f t="array" ref="A4787">IFNA(index(PlayerValues!A:A,match(IFNA(vlookup(B4787,'Special Names'!A:B,2,FALSE),B4787),PlayerValues!E:E,0)),"N/A")</f>
        <v>16603</v>
      </c>
      <c r="B4787" s="4" t="s">
        <v>587</v>
      </c>
      <c r="C4787" s="4" t="s">
        <v>278</v>
      </c>
      <c r="D4787" s="94">
        <v>1927.0</v>
      </c>
    </row>
    <row r="4788">
      <c r="A4788" s="40">
        <f t="array" ref="A4788">IFNA(index(PlayerValues!A:A,match(IFNA(vlookup(B4788,'Special Names'!A:B,2,FALSE),B4788),PlayerValues!E:E,0)),"N/A")</f>
        <v>17046</v>
      </c>
      <c r="B4788" s="4" t="s">
        <v>602</v>
      </c>
      <c r="C4788" s="4" t="s">
        <v>278</v>
      </c>
      <c r="D4788" s="94">
        <v>1926.0</v>
      </c>
    </row>
    <row r="4789">
      <c r="A4789" s="40">
        <f t="array" ref="A4789">IFNA(index(PlayerValues!A:A,match(IFNA(vlookup(B4789,'Special Names'!A:B,2,FALSE),B4789),PlayerValues!E:E,0)),"N/A")</f>
        <v>17087</v>
      </c>
      <c r="B4789" s="4" t="s">
        <v>600</v>
      </c>
      <c r="C4789" s="4" t="s">
        <v>287</v>
      </c>
      <c r="D4789" s="94">
        <v>1919.0</v>
      </c>
    </row>
    <row r="4790">
      <c r="A4790" s="40">
        <f t="array" ref="A4790">IFNA(index(PlayerValues!A:A,match(IFNA(vlookup(B4790,'Special Names'!A:B,2,FALSE),B4790),PlayerValues!E:E,0)),"N/A")</f>
        <v>16432</v>
      </c>
      <c r="B4790" s="4" t="s">
        <v>620</v>
      </c>
      <c r="C4790" s="4" t="s">
        <v>278</v>
      </c>
      <c r="D4790" s="94">
        <v>1906.0</v>
      </c>
    </row>
    <row r="4791">
      <c r="A4791" s="40">
        <f t="array" ref="A4791">IFNA(index(PlayerValues!A:A,match(IFNA(vlookup(B4791,'Special Names'!A:B,2,FALSE),B4791),PlayerValues!E:E,0)),"N/A")</f>
        <v>16216</v>
      </c>
      <c r="B4791" s="4" t="s">
        <v>595</v>
      </c>
      <c r="C4791" s="4" t="s">
        <v>298</v>
      </c>
      <c r="D4791" s="94">
        <v>2284.0</v>
      </c>
    </row>
    <row r="4792">
      <c r="A4792" s="40">
        <f t="array" ref="A4792">IFNA(index(PlayerValues!A:A,match(IFNA(vlookup(B4792,'Special Names'!A:B,2,FALSE),B4792),PlayerValues!E:E,0)),"N/A")</f>
        <v>16342</v>
      </c>
      <c r="B4792" s="4" t="s">
        <v>583</v>
      </c>
      <c r="C4792" s="4" t="s">
        <v>287</v>
      </c>
      <c r="D4792" s="94">
        <v>1883.0</v>
      </c>
    </row>
    <row r="4793">
      <c r="A4793" s="40">
        <f t="array" ref="A4793">IFNA(index(PlayerValues!A:A,match(IFNA(vlookup(B4793,'Special Names'!A:B,2,FALSE),B4793),PlayerValues!E:E,0)),"N/A")</f>
        <v>16639</v>
      </c>
      <c r="B4793" s="4" t="s">
        <v>599</v>
      </c>
      <c r="C4793" s="4" t="s">
        <v>287</v>
      </c>
      <c r="D4793" s="94">
        <v>1873.0</v>
      </c>
    </row>
    <row r="4794">
      <c r="A4794" s="40">
        <f t="array" ref="A4794">IFNA(index(PlayerValues!A:A,match(IFNA(vlookup(B4794,'Special Names'!A:B,2,FALSE),B4794),PlayerValues!E:E,0)),"N/A")</f>
        <v>16752</v>
      </c>
      <c r="B4794" s="4" t="s">
        <v>597</v>
      </c>
      <c r="C4794" s="4" t="s">
        <v>278</v>
      </c>
      <c r="D4794" s="94">
        <v>1873.0</v>
      </c>
    </row>
    <row r="4795">
      <c r="A4795" s="40">
        <f t="array" ref="A4795">IFNA(index(PlayerValues!A:A,match(IFNA(vlookup(B4795,'Special Names'!A:B,2,FALSE),B4795),PlayerValues!E:E,0)),"N/A")</f>
        <v>14136</v>
      </c>
      <c r="B4795" s="4" t="s">
        <v>536</v>
      </c>
      <c r="C4795" s="4" t="s">
        <v>287</v>
      </c>
      <c r="D4795" s="94">
        <v>1852.0</v>
      </c>
    </row>
    <row r="4796">
      <c r="A4796" s="40">
        <f t="array" ref="A4796">IFNA(index(PlayerValues!A:A,match(IFNA(vlookup(B4796,'Special Names'!A:B,2,FALSE),B4796),PlayerValues!E:E,0)),"N/A")</f>
        <v>17548</v>
      </c>
      <c r="B4796" s="4" t="s">
        <v>594</v>
      </c>
      <c r="C4796" s="4" t="s">
        <v>298</v>
      </c>
      <c r="D4796" s="94">
        <v>2235.0</v>
      </c>
    </row>
    <row r="4797">
      <c r="A4797" s="40">
        <f t="array" ref="A4797">IFNA(index(PlayerValues!A:A,match(IFNA(vlookup(B4797,'Special Names'!A:B,2,FALSE),B4797),PlayerValues!E:E,0)),"N/A")</f>
        <v>10700</v>
      </c>
      <c r="B4797" s="4" t="s">
        <v>596</v>
      </c>
      <c r="C4797" s="4" t="s">
        <v>283</v>
      </c>
      <c r="D4797" s="94">
        <v>1848.0</v>
      </c>
    </row>
    <row r="4798">
      <c r="A4798" s="40">
        <f t="array" ref="A4798">IFNA(index(PlayerValues!A:A,match(IFNA(vlookup(B4798,'Special Names'!A:B,2,FALSE),B4798),PlayerValues!E:E,0)),"N/A")</f>
        <v>13633</v>
      </c>
      <c r="B4798" s="4" t="s">
        <v>625</v>
      </c>
      <c r="C4798" s="4" t="s">
        <v>287</v>
      </c>
      <c r="D4798" s="94">
        <v>1845.0</v>
      </c>
    </row>
    <row r="4799">
      <c r="A4799" s="40">
        <f t="array" ref="A4799">IFNA(index(PlayerValues!A:A,match(IFNA(vlookup(B4799,'Special Names'!A:B,2,FALSE),B4799),PlayerValues!E:E,0)),"N/A")</f>
        <v>17086</v>
      </c>
      <c r="B4799" s="4" t="s">
        <v>612</v>
      </c>
      <c r="C4799" s="4" t="s">
        <v>287</v>
      </c>
      <c r="D4799" s="94">
        <v>1840.0</v>
      </c>
    </row>
    <row r="4800">
      <c r="A4800" s="40">
        <f t="array" ref="A4800">IFNA(index(PlayerValues!A:A,match(IFNA(vlookup(B4800,'Special Names'!A:B,2,FALSE),B4800),PlayerValues!E:E,0)),"N/A")</f>
        <v>15788</v>
      </c>
      <c r="B4800" s="4" t="s">
        <v>627</v>
      </c>
      <c r="C4800" s="4" t="s">
        <v>287</v>
      </c>
      <c r="D4800" s="94">
        <v>1835.0</v>
      </c>
    </row>
    <row r="4801">
      <c r="A4801" s="40" t="str">
        <f t="array" ref="A4801">IFNA(index(PlayerValues!A:A,match(IFNA(vlookup(B4801,'Special Names'!A:B,2,FALSE),B4801),PlayerValues!E:E,0)),"N/A")</f>
        <v>N/A</v>
      </c>
      <c r="B4801" s="4" t="s">
        <v>101</v>
      </c>
      <c r="C4801" s="4" t="s">
        <v>325</v>
      </c>
      <c r="D4801" s="94">
        <v>1830.0</v>
      </c>
    </row>
    <row r="4802">
      <c r="A4802" s="40">
        <f t="array" ref="A4802">IFNA(index(PlayerValues!A:A,match(IFNA(vlookup(B4802,'Special Names'!A:B,2,FALSE),B4802),PlayerValues!E:E,0)),"N/A")</f>
        <v>13629</v>
      </c>
      <c r="B4802" s="4" t="s">
        <v>619</v>
      </c>
      <c r="C4802" s="4" t="s">
        <v>287</v>
      </c>
      <c r="D4802" s="94">
        <v>1826.0</v>
      </c>
    </row>
    <row r="4803">
      <c r="A4803" s="40">
        <f t="array" ref="A4803">IFNA(index(PlayerValues!A:A,match(IFNA(vlookup(B4803,'Special Names'!A:B,2,FALSE),B4803),PlayerValues!E:E,0)),"N/A")</f>
        <v>17036</v>
      </c>
      <c r="B4803" s="4" t="s">
        <v>617</v>
      </c>
      <c r="C4803" s="4" t="s">
        <v>283</v>
      </c>
      <c r="D4803" s="94">
        <v>1825.0</v>
      </c>
    </row>
    <row r="4804">
      <c r="A4804" s="40">
        <f t="array" ref="A4804">IFNA(index(PlayerValues!A:A,match(IFNA(vlookup(B4804,'Special Names'!A:B,2,FALSE),B4804),PlayerValues!E:E,0)),"N/A")</f>
        <v>16644</v>
      </c>
      <c r="B4804" s="4" t="s">
        <v>640</v>
      </c>
      <c r="C4804" s="4" t="s">
        <v>298</v>
      </c>
      <c r="D4804" s="94">
        <v>2150.0</v>
      </c>
    </row>
    <row r="4805">
      <c r="A4805" s="40">
        <f t="array" ref="A4805">IFNA(index(PlayerValues!A:A,match(IFNA(vlookup(B4805,'Special Names'!A:B,2,FALSE),B4805),PlayerValues!E:E,0)),"N/A")</f>
        <v>17519</v>
      </c>
      <c r="B4805" s="4" t="s">
        <v>593</v>
      </c>
      <c r="C4805" s="4" t="s">
        <v>287</v>
      </c>
      <c r="D4805" s="94">
        <v>1766.0</v>
      </c>
    </row>
    <row r="4806">
      <c r="A4806" s="40">
        <f t="array" ref="A4806">IFNA(index(PlayerValues!A:A,match(IFNA(vlookup(B4806,'Special Names'!A:B,2,FALSE),B4806),PlayerValues!E:E,0)),"N/A")</f>
        <v>13189</v>
      </c>
      <c r="B4806" s="4" t="s">
        <v>626</v>
      </c>
      <c r="C4806" s="4" t="s">
        <v>298</v>
      </c>
      <c r="D4806" s="94">
        <v>2143.0</v>
      </c>
    </row>
    <row r="4807">
      <c r="A4807" s="40" t="str">
        <f t="array" ref="A4807">IFNA(index(PlayerValues!A:A,match(IFNA(vlookup(B4807,'Special Names'!A:B,2,FALSE),B4807),PlayerValues!E:E,0)),"N/A")</f>
        <v>N/A</v>
      </c>
      <c r="B4807" s="4" t="s">
        <v>89</v>
      </c>
      <c r="C4807" s="4" t="s">
        <v>325</v>
      </c>
      <c r="D4807" s="94">
        <v>1761.0</v>
      </c>
    </row>
    <row r="4808">
      <c r="A4808" s="40">
        <f t="array" ref="A4808">IFNA(index(PlayerValues!A:A,match(IFNA(vlookup(B4808,'Special Names'!A:B,2,FALSE),B4808),PlayerValues!E:E,0)),"N/A")</f>
        <v>16215</v>
      </c>
      <c r="B4808" s="4" t="s">
        <v>637</v>
      </c>
      <c r="C4808" s="4" t="s">
        <v>298</v>
      </c>
      <c r="D4808" s="94">
        <v>2130.0</v>
      </c>
    </row>
    <row r="4809">
      <c r="A4809" s="40">
        <f t="array" ref="A4809">IFNA(index(PlayerValues!A:A,match(IFNA(vlookup(B4809,'Special Names'!A:B,2,FALSE),B4809),PlayerValues!E:E,0)),"N/A")</f>
        <v>16191</v>
      </c>
      <c r="B4809" s="4" t="s">
        <v>666</v>
      </c>
      <c r="C4809" s="4" t="s">
        <v>287</v>
      </c>
      <c r="D4809" s="94">
        <v>1748.0</v>
      </c>
    </row>
    <row r="4810">
      <c r="A4810" s="40">
        <f t="array" ref="A4810">IFNA(index(PlayerValues!A:A,match(IFNA(vlookup(B4810,'Special Names'!A:B,2,FALSE),B4810),PlayerValues!E:E,0)),"N/A")</f>
        <v>13146</v>
      </c>
      <c r="B4810" s="4" t="s">
        <v>652</v>
      </c>
      <c r="C4810" s="4" t="s">
        <v>278</v>
      </c>
      <c r="D4810" s="94">
        <v>1747.0</v>
      </c>
    </row>
    <row r="4811">
      <c r="A4811" s="40" t="str">
        <f t="array" ref="A4811">IFNA(index(PlayerValues!A:A,match(IFNA(vlookup(B4811,'Special Names'!A:B,2,FALSE),B4811),PlayerValues!E:E,0)),"N/A")</f>
        <v>N/A</v>
      </c>
      <c r="B4811" s="4" t="s">
        <v>102</v>
      </c>
      <c r="C4811" s="4" t="s">
        <v>325</v>
      </c>
      <c r="D4811" s="94">
        <v>1745.0</v>
      </c>
    </row>
    <row r="4812">
      <c r="A4812" s="40">
        <f t="array" ref="A4812">IFNA(index(PlayerValues!A:A,match(IFNA(vlookup(B4812,'Special Names'!A:B,2,FALSE),B4812),PlayerValues!E:E,0)),"N/A")</f>
        <v>17685</v>
      </c>
      <c r="B4812" s="4" t="s">
        <v>630</v>
      </c>
      <c r="C4812" s="4" t="s">
        <v>278</v>
      </c>
      <c r="D4812" s="94">
        <v>1736.0</v>
      </c>
    </row>
    <row r="4813">
      <c r="A4813" s="40">
        <f t="array" ref="A4813">IFNA(index(PlayerValues!A:A,match(IFNA(vlookup(B4813,'Special Names'!A:B,2,FALSE),B4813),PlayerValues!E:E,0)),"N/A")</f>
        <v>17034</v>
      </c>
      <c r="B4813" s="4" t="s">
        <v>643</v>
      </c>
      <c r="C4813" s="4" t="s">
        <v>283</v>
      </c>
      <c r="D4813" s="94">
        <v>1722.0</v>
      </c>
    </row>
    <row r="4814">
      <c r="A4814" s="40">
        <f t="array" ref="A4814">IFNA(index(PlayerValues!A:A,match(IFNA(vlookup(B4814,'Special Names'!A:B,2,FALSE),B4814),PlayerValues!E:E,0)),"N/A")</f>
        <v>13164</v>
      </c>
      <c r="B4814" s="4" t="s">
        <v>632</v>
      </c>
      <c r="C4814" s="4" t="s">
        <v>287</v>
      </c>
      <c r="D4814" s="94">
        <v>1718.0</v>
      </c>
    </row>
    <row r="4815">
      <c r="A4815" s="40">
        <f t="array" ref="A4815">IFNA(index(PlayerValues!A:A,match(IFNA(vlookup(B4815,'Special Names'!A:B,2,FALSE),B4815),PlayerValues!E:E,0)),"N/A")</f>
        <v>15787</v>
      </c>
      <c r="B4815" s="4" t="s">
        <v>610</v>
      </c>
      <c r="C4815" s="4" t="s">
        <v>287</v>
      </c>
      <c r="D4815" s="94">
        <v>1713.0</v>
      </c>
    </row>
    <row r="4816">
      <c r="A4816" s="40">
        <f t="array" ref="A4816">IFNA(index(PlayerValues!A:A,match(IFNA(vlookup(B4816,'Special Names'!A:B,2,FALSE),B4816),PlayerValues!E:E,0)),"N/A")</f>
        <v>17049</v>
      </c>
      <c r="B4816" s="4" t="s">
        <v>624</v>
      </c>
      <c r="C4816" s="4" t="s">
        <v>278</v>
      </c>
      <c r="D4816" s="94">
        <v>1708.0</v>
      </c>
    </row>
    <row r="4817">
      <c r="A4817" s="40">
        <f t="array" ref="A4817">IFNA(index(PlayerValues!A:A,match(IFNA(vlookup(B4817,'Special Names'!A:B,2,FALSE),B4817),PlayerValues!E:E,0)),"N/A")</f>
        <v>17529</v>
      </c>
      <c r="B4817" s="4" t="s">
        <v>608</v>
      </c>
      <c r="C4817" s="4" t="s">
        <v>287</v>
      </c>
      <c r="D4817" s="94">
        <v>1691.0</v>
      </c>
    </row>
    <row r="4818">
      <c r="A4818" s="40">
        <f t="array" ref="A4818">IFNA(index(PlayerValues!A:A,match(IFNA(vlookup(B4818,'Special Names'!A:B,2,FALSE),B4818),PlayerValues!E:E,0)),"N/A")</f>
        <v>14143</v>
      </c>
      <c r="B4818" s="4" t="s">
        <v>635</v>
      </c>
      <c r="C4818" s="4" t="s">
        <v>298</v>
      </c>
      <c r="D4818" s="94">
        <v>2068.0</v>
      </c>
    </row>
    <row r="4819">
      <c r="A4819" s="40">
        <f t="array" ref="A4819">IFNA(index(PlayerValues!A:A,match(IFNA(vlookup(B4819,'Special Names'!A:B,2,FALSE),B4819),PlayerValues!E:E,0)),"N/A")</f>
        <v>16171</v>
      </c>
      <c r="B4819" s="4" t="s">
        <v>618</v>
      </c>
      <c r="C4819" s="4" t="s">
        <v>278</v>
      </c>
      <c r="D4819" s="94">
        <v>1683.0</v>
      </c>
    </row>
    <row r="4820">
      <c r="A4820" s="40">
        <f t="array" ref="A4820">IFNA(index(PlayerValues!A:A,match(IFNA(vlookup(B4820,'Special Names'!A:B,2,FALSE),B4820),PlayerValues!E:E,0)),"N/A")</f>
        <v>17058</v>
      </c>
      <c r="B4820" s="4" t="s">
        <v>641</v>
      </c>
      <c r="C4820" s="4" t="s">
        <v>278</v>
      </c>
      <c r="D4820" s="94">
        <v>1681.0</v>
      </c>
    </row>
    <row r="4821">
      <c r="A4821" s="40">
        <f t="array" ref="A4821">IFNA(index(PlayerValues!A:A,match(IFNA(vlookup(B4821,'Special Names'!A:B,2,FALSE),B4821),PlayerValues!E:E,0)),"N/A")</f>
        <v>15752</v>
      </c>
      <c r="B4821" s="4" t="s">
        <v>647</v>
      </c>
      <c r="C4821" s="4" t="s">
        <v>287</v>
      </c>
      <c r="D4821" s="94">
        <v>1665.0</v>
      </c>
    </row>
    <row r="4822">
      <c r="A4822" s="40">
        <f t="array" ref="A4822">IFNA(index(PlayerValues!A:A,match(IFNA(vlookup(B4822,'Special Names'!A:B,2,FALSE),B4822),PlayerValues!E:E,0)),"N/A")</f>
        <v>15755</v>
      </c>
      <c r="B4822" s="4" t="s">
        <v>628</v>
      </c>
      <c r="C4822" s="4" t="s">
        <v>287</v>
      </c>
      <c r="D4822" s="94">
        <v>1661.0</v>
      </c>
    </row>
    <row r="4823">
      <c r="A4823" s="40" t="str">
        <f t="array" ref="A4823">IFNA(index(PlayerValues!A:A,match(IFNA(vlookup(B4823,'Special Names'!A:B,2,FALSE),B4823),PlayerValues!E:E,0)),"N/A")</f>
        <v>N/A</v>
      </c>
      <c r="B4823" s="4" t="s">
        <v>115</v>
      </c>
      <c r="C4823" s="4" t="s">
        <v>325</v>
      </c>
      <c r="D4823" s="94">
        <v>1649.0</v>
      </c>
    </row>
    <row r="4824">
      <c r="A4824" s="40">
        <f t="array" ref="A4824">IFNA(index(PlayerValues!A:A,match(IFNA(vlookup(B4824,'Special Names'!A:B,2,FALSE),B4824),PlayerValues!E:E,0)),"N/A")</f>
        <v>16207</v>
      </c>
      <c r="B4824" s="4" t="s">
        <v>636</v>
      </c>
      <c r="C4824" s="4" t="s">
        <v>287</v>
      </c>
      <c r="D4824" s="94">
        <v>1645.0</v>
      </c>
    </row>
    <row r="4825">
      <c r="A4825" s="40" t="str">
        <f t="array" ref="A4825">IFNA(index(PlayerValues!A:A,match(IFNA(vlookup(B4825,'Special Names'!A:B,2,FALSE),B4825),PlayerValues!E:E,0)),"N/A")</f>
        <v>N/A</v>
      </c>
      <c r="B4825" s="4" t="s">
        <v>103</v>
      </c>
      <c r="C4825" s="4" t="s">
        <v>325</v>
      </c>
      <c r="D4825" s="94">
        <v>1645.0</v>
      </c>
    </row>
    <row r="4826">
      <c r="A4826" s="40">
        <f t="array" ref="A4826">IFNA(index(PlayerValues!A:A,match(IFNA(vlookup(B4826,'Special Names'!A:B,2,FALSE),B4826),PlayerValues!E:E,0)),"N/A")</f>
        <v>17521</v>
      </c>
      <c r="B4826" s="4" t="s">
        <v>573</v>
      </c>
      <c r="C4826" s="4" t="s">
        <v>287</v>
      </c>
      <c r="D4826" s="94">
        <v>1642.0</v>
      </c>
    </row>
    <row r="4827">
      <c r="A4827" s="40">
        <f t="array" ref="A4827">IFNA(index(PlayerValues!A:A,match(IFNA(vlookup(B4827,'Special Names'!A:B,2,FALSE),B4827),PlayerValues!E:E,0)),"N/A")</f>
        <v>16608</v>
      </c>
      <c r="B4827" s="4" t="s">
        <v>629</v>
      </c>
      <c r="C4827" s="4" t="s">
        <v>278</v>
      </c>
      <c r="D4827" s="94">
        <v>1640.0</v>
      </c>
    </row>
    <row r="4828">
      <c r="A4828" s="40">
        <f t="array" ref="A4828">IFNA(index(PlayerValues!A:A,match(IFNA(vlookup(B4828,'Special Names'!A:B,2,FALSE),B4828),PlayerValues!E:E,0)),"N/A")</f>
        <v>17096</v>
      </c>
      <c r="B4828" s="4" t="s">
        <v>638</v>
      </c>
      <c r="C4828" s="4" t="s">
        <v>287</v>
      </c>
      <c r="D4828" s="94">
        <v>1628.0</v>
      </c>
    </row>
    <row r="4829">
      <c r="A4829" s="40">
        <f t="array" ref="A4829">IFNA(index(PlayerValues!A:A,match(IFNA(vlookup(B4829,'Special Names'!A:B,2,FALSE),B4829),PlayerValues!E:E,0)),"N/A")</f>
        <v>16201</v>
      </c>
      <c r="B4829" s="4" t="s">
        <v>589</v>
      </c>
      <c r="C4829" s="4" t="s">
        <v>287</v>
      </c>
      <c r="D4829" s="94">
        <v>1610.0</v>
      </c>
    </row>
    <row r="4830">
      <c r="A4830" s="40">
        <f t="array" ref="A4830">IFNA(index(PlayerValues!A:A,match(IFNA(vlookup(B4830,'Special Names'!A:B,2,FALSE),B4830),PlayerValues!E:E,0)),"N/A")</f>
        <v>16585</v>
      </c>
      <c r="B4830" s="4" t="s">
        <v>623</v>
      </c>
      <c r="C4830" s="4" t="s">
        <v>283</v>
      </c>
      <c r="D4830" s="94">
        <v>1597.0</v>
      </c>
    </row>
    <row r="4831">
      <c r="A4831" s="40" t="str">
        <f t="array" ref="A4831">IFNA(index(PlayerValues!A:A,match(IFNA(vlookup(B4831,'Special Names'!A:B,2,FALSE),B4831),PlayerValues!E:E,0)),"N/A")</f>
        <v>N/A</v>
      </c>
      <c r="B4831" s="4" t="s">
        <v>90</v>
      </c>
      <c r="C4831" s="4" t="s">
        <v>325</v>
      </c>
      <c r="D4831" s="94">
        <v>1593.0</v>
      </c>
    </row>
    <row r="4832">
      <c r="A4832" s="40">
        <f t="array" ref="A4832">IFNA(index(PlayerValues!A:A,match(IFNA(vlookup(B4832,'Special Names'!A:B,2,FALSE),B4832),PlayerValues!E:E,0)),"N/A")</f>
        <v>16635</v>
      </c>
      <c r="B4832" s="4" t="s">
        <v>645</v>
      </c>
      <c r="C4832" s="4" t="s">
        <v>287</v>
      </c>
      <c r="D4832" s="94">
        <v>1592.0</v>
      </c>
    </row>
    <row r="4833">
      <c r="A4833" s="40">
        <f t="array" ref="A4833">IFNA(index(PlayerValues!A:A,match(IFNA(vlookup(B4833,'Special Names'!A:B,2,FALSE),B4833),PlayerValues!E:E,0)),"N/A")</f>
        <v>17035</v>
      </c>
      <c r="B4833" s="4" t="s">
        <v>650</v>
      </c>
      <c r="C4833" s="4" t="s">
        <v>283</v>
      </c>
      <c r="D4833" s="94">
        <v>1592.0</v>
      </c>
    </row>
    <row r="4834">
      <c r="A4834" s="40">
        <f t="array" ref="A4834">IFNA(index(PlayerValues!A:A,match(IFNA(vlookup(B4834,'Special Names'!A:B,2,FALSE),B4834),PlayerValues!E:E,0)),"N/A")</f>
        <v>14122</v>
      </c>
      <c r="B4834" s="4" t="s">
        <v>663</v>
      </c>
      <c r="C4834" s="4" t="s">
        <v>287</v>
      </c>
      <c r="D4834" s="94">
        <v>1585.0</v>
      </c>
    </row>
    <row r="4835">
      <c r="A4835" s="40">
        <f t="array" ref="A4835">IFNA(index(PlayerValues!A:A,match(IFNA(vlookup(B4835,'Special Names'!A:B,2,FALSE),B4835),PlayerValues!E:E,0)),"N/A")</f>
        <v>16629</v>
      </c>
      <c r="B4835" s="4" t="s">
        <v>605</v>
      </c>
      <c r="C4835" s="4" t="s">
        <v>287</v>
      </c>
      <c r="D4835" s="94">
        <v>1585.0</v>
      </c>
    </row>
    <row r="4836">
      <c r="A4836" s="40">
        <f t="array" ref="A4836">IFNA(index(PlayerValues!A:A,match(IFNA(vlookup(B4836,'Special Names'!A:B,2,FALSE),B4836),PlayerValues!E:E,0)),"N/A")</f>
        <v>17064</v>
      </c>
      <c r="B4836" s="4" t="s">
        <v>631</v>
      </c>
      <c r="C4836" s="4" t="s">
        <v>278</v>
      </c>
      <c r="D4836" s="94">
        <v>1576.0</v>
      </c>
    </row>
    <row r="4837">
      <c r="A4837" s="40">
        <f t="array" ref="A4837">IFNA(index(PlayerValues!A:A,match(IFNA(vlookup(B4837,'Special Names'!A:B,2,FALSE),B4837),PlayerValues!E:E,0)),"N/A")</f>
        <v>14840</v>
      </c>
      <c r="B4837" s="4" t="s">
        <v>731</v>
      </c>
      <c r="C4837" s="4" t="s">
        <v>287</v>
      </c>
      <c r="D4837" s="94">
        <v>1571.0</v>
      </c>
    </row>
    <row r="4838">
      <c r="A4838" s="40">
        <f t="array" ref="A4838">IFNA(index(PlayerValues!A:A,match(IFNA(vlookup(B4838,'Special Names'!A:B,2,FALSE),B4838),PlayerValues!E:E,0)),"N/A")</f>
        <v>15337</v>
      </c>
      <c r="B4838" s="4" t="s">
        <v>655</v>
      </c>
      <c r="C4838" s="4" t="s">
        <v>298</v>
      </c>
      <c r="D4838" s="94">
        <v>1927.0</v>
      </c>
    </row>
    <row r="4839">
      <c r="A4839" s="40">
        <f t="array" ref="A4839">IFNA(index(PlayerValues!A:A,match(IFNA(vlookup(B4839,'Special Names'!A:B,2,FALSE),B4839),PlayerValues!E:E,0)),"N/A")</f>
        <v>12801</v>
      </c>
      <c r="B4839" s="4" t="s">
        <v>722</v>
      </c>
      <c r="C4839" s="4" t="s">
        <v>287</v>
      </c>
      <c r="D4839" s="94">
        <v>1539.0</v>
      </c>
    </row>
    <row r="4840">
      <c r="A4840" s="40" t="str">
        <f t="array" ref="A4840">IFNA(index(PlayerValues!A:A,match(IFNA(vlookup(B4840,'Special Names'!A:B,2,FALSE),B4840),PlayerValues!E:E,0)),"N/A")</f>
        <v>N/A</v>
      </c>
      <c r="B4840" s="4" t="s">
        <v>91</v>
      </c>
      <c r="C4840" s="4" t="s">
        <v>325</v>
      </c>
      <c r="D4840" s="94">
        <v>1533.0</v>
      </c>
    </row>
    <row r="4841">
      <c r="A4841" s="40" t="str">
        <f t="array" ref="A4841">IFNA(index(PlayerValues!A:A,match(IFNA(vlookup(B4841,'Special Names'!A:B,2,FALSE),B4841),PlayerValues!E:E,0)),"N/A")</f>
        <v>N/A</v>
      </c>
      <c r="B4841" s="4" t="s">
        <v>116</v>
      </c>
      <c r="C4841" s="4" t="s">
        <v>325</v>
      </c>
      <c r="D4841" s="94">
        <v>1523.0</v>
      </c>
    </row>
    <row r="4842">
      <c r="A4842" s="40">
        <f t="array" ref="A4842">IFNA(index(PlayerValues!A:A,match(IFNA(vlookup(B4842,'Special Names'!A:B,2,FALSE),B4842),PlayerValues!E:E,0)),"N/A")</f>
        <v>15319</v>
      </c>
      <c r="B4842" s="4" t="s">
        <v>644</v>
      </c>
      <c r="C4842" s="4" t="s">
        <v>287</v>
      </c>
      <c r="D4842" s="94">
        <v>1520.0</v>
      </c>
    </row>
    <row r="4843">
      <c r="A4843" s="40">
        <f t="array" ref="A4843">IFNA(index(PlayerValues!A:A,match(IFNA(vlookup(B4843,'Special Names'!A:B,2,FALSE),B4843),PlayerValues!E:E,0)),"N/A")</f>
        <v>16595</v>
      </c>
      <c r="B4843" s="4" t="s">
        <v>664</v>
      </c>
      <c r="C4843" s="4" t="s">
        <v>278</v>
      </c>
      <c r="D4843" s="94">
        <v>1515.0</v>
      </c>
    </row>
    <row r="4844">
      <c r="A4844" s="40">
        <f t="array" ref="A4844">IFNA(index(PlayerValues!A:A,match(IFNA(vlookup(B4844,'Special Names'!A:B,2,FALSE),B4844),PlayerValues!E:E,0)),"N/A")</f>
        <v>16601</v>
      </c>
      <c r="B4844" s="4" t="s">
        <v>648</v>
      </c>
      <c r="C4844" s="4" t="s">
        <v>278</v>
      </c>
      <c r="D4844" s="94">
        <v>1513.0</v>
      </c>
    </row>
    <row r="4845">
      <c r="A4845" s="40">
        <f t="array" ref="A4845">IFNA(index(PlayerValues!A:A,match(IFNA(vlookup(B4845,'Special Names'!A:B,2,FALSE),B4845),PlayerValues!E:E,0)),"N/A")</f>
        <v>17465</v>
      </c>
      <c r="B4845" s="4" t="s">
        <v>649</v>
      </c>
      <c r="C4845" s="4" t="s">
        <v>283</v>
      </c>
      <c r="D4845" s="94">
        <v>1500.0</v>
      </c>
    </row>
    <row r="4846">
      <c r="A4846" s="40">
        <f t="array" ref="A4846">IFNA(index(PlayerValues!A:A,match(IFNA(vlookup(B4846,'Special Names'!A:B,2,FALSE),B4846),PlayerValues!E:E,0)),"N/A")</f>
        <v>13672</v>
      </c>
      <c r="B4846" s="4" t="s">
        <v>667</v>
      </c>
      <c r="C4846" s="4" t="s">
        <v>298</v>
      </c>
      <c r="D4846" s="94">
        <v>1871.0</v>
      </c>
    </row>
    <row r="4847">
      <c r="A4847" s="40">
        <f t="array" ref="A4847">IFNA(index(PlayerValues!A:A,match(IFNA(vlookup(B4847,'Special Names'!A:B,2,FALSE),B4847),PlayerValues!E:E,0)),"N/A")</f>
        <v>15301</v>
      </c>
      <c r="B4847" s="4" t="s">
        <v>657</v>
      </c>
      <c r="C4847" s="4" t="s">
        <v>287</v>
      </c>
      <c r="D4847" s="94">
        <v>1495.0</v>
      </c>
    </row>
    <row r="4848">
      <c r="A4848" s="40">
        <f t="array" ref="A4848">IFNA(index(PlayerValues!A:A,match(IFNA(vlookup(B4848,'Special Names'!A:B,2,FALSE),B4848),PlayerValues!E:E,0)),"N/A")</f>
        <v>16387</v>
      </c>
      <c r="B4848" s="4" t="s">
        <v>646</v>
      </c>
      <c r="C4848" s="4" t="s">
        <v>278</v>
      </c>
      <c r="D4848" s="94">
        <v>1494.0</v>
      </c>
    </row>
    <row r="4849">
      <c r="A4849" s="40">
        <f t="array" ref="A4849">IFNA(index(PlayerValues!A:A,match(IFNA(vlookup(B4849,'Special Names'!A:B,2,FALSE),B4849),PlayerValues!E:E,0)),"N/A")</f>
        <v>15738</v>
      </c>
      <c r="B4849" s="4" t="s">
        <v>634</v>
      </c>
      <c r="C4849" s="4" t="s">
        <v>278</v>
      </c>
      <c r="D4849" s="94">
        <v>1485.0</v>
      </c>
    </row>
    <row r="4850">
      <c r="A4850" s="40">
        <f t="array" ref="A4850">IFNA(index(PlayerValues!A:A,match(IFNA(vlookup(B4850,'Special Names'!A:B,2,FALSE),B4850),PlayerValues!E:E,0)),"N/A")</f>
        <v>17652</v>
      </c>
      <c r="B4850" s="4" t="s">
        <v>576</v>
      </c>
      <c r="C4850" s="4" t="s">
        <v>278</v>
      </c>
      <c r="D4850" s="94">
        <v>1479.0</v>
      </c>
    </row>
    <row r="4851">
      <c r="A4851" s="40">
        <f t="array" ref="A4851">IFNA(index(PlayerValues!A:A,match(IFNA(vlookup(B4851,'Special Names'!A:B,2,FALSE),B4851),PlayerValues!E:E,0)),"N/A")</f>
        <v>17234</v>
      </c>
      <c r="B4851" s="4" t="s">
        <v>653</v>
      </c>
      <c r="C4851" s="4" t="s">
        <v>287</v>
      </c>
      <c r="D4851" s="94">
        <v>1463.0</v>
      </c>
    </row>
    <row r="4852">
      <c r="A4852" s="40">
        <f t="array" ref="A4852">IFNA(index(PlayerValues!A:A,match(IFNA(vlookup(B4852,'Special Names'!A:B,2,FALSE),B4852),PlayerValues!E:E,0)),"N/A")</f>
        <v>16586</v>
      </c>
      <c r="B4852" s="4" t="s">
        <v>658</v>
      </c>
      <c r="C4852" s="4" t="s">
        <v>283</v>
      </c>
      <c r="D4852" s="94">
        <v>1461.0</v>
      </c>
    </row>
    <row r="4853">
      <c r="A4853" s="40">
        <f t="array" ref="A4853">IFNA(index(PlayerValues!A:A,match(IFNA(vlookup(B4853,'Special Names'!A:B,2,FALSE),B4853),PlayerValues!E:E,0)),"N/A")</f>
        <v>14086</v>
      </c>
      <c r="B4853" s="4" t="s">
        <v>639</v>
      </c>
      <c r="C4853" s="4" t="s">
        <v>278</v>
      </c>
      <c r="D4853" s="94">
        <v>1459.0</v>
      </c>
    </row>
    <row r="4854">
      <c r="A4854" s="40">
        <f t="array" ref="A4854">IFNA(index(PlayerValues!A:A,match(IFNA(vlookup(B4854,'Special Names'!A:B,2,FALSE),B4854),PlayerValues!E:E,0)),"N/A")</f>
        <v>14105</v>
      </c>
      <c r="B4854" s="4" t="s">
        <v>675</v>
      </c>
      <c r="C4854" s="4" t="s">
        <v>287</v>
      </c>
      <c r="D4854" s="94">
        <v>1442.0</v>
      </c>
    </row>
    <row r="4855">
      <c r="A4855" s="40">
        <f t="array" ref="A4855">IFNA(index(PlayerValues!A:A,match(IFNA(vlookup(B4855,'Special Names'!A:B,2,FALSE),B4855),PlayerValues!E:E,0)),"N/A")</f>
        <v>17205</v>
      </c>
      <c r="B4855" s="4" t="s">
        <v>665</v>
      </c>
      <c r="C4855" s="4" t="s">
        <v>287</v>
      </c>
      <c r="D4855" s="94">
        <v>1440.0</v>
      </c>
    </row>
    <row r="4856">
      <c r="A4856" s="40">
        <f t="array" ref="A4856">IFNA(index(PlayerValues!A:A,match(IFNA(vlookup(B4856,'Special Names'!A:B,2,FALSE),B4856),PlayerValues!E:E,0)),"N/A")</f>
        <v>16688</v>
      </c>
      <c r="B4856" s="4" t="s">
        <v>688</v>
      </c>
      <c r="C4856" s="4" t="s">
        <v>278</v>
      </c>
      <c r="D4856" s="94">
        <v>1427.0</v>
      </c>
    </row>
    <row r="4857">
      <c r="A4857" s="40">
        <f t="array" ref="A4857">IFNA(index(PlayerValues!A:A,match(IFNA(vlookup(B4857,'Special Names'!A:B,2,FALSE),B4857),PlayerValues!E:E,0)),"N/A")</f>
        <v>15713</v>
      </c>
      <c r="B4857" s="4" t="s">
        <v>732</v>
      </c>
      <c r="C4857" s="4" t="s">
        <v>278</v>
      </c>
      <c r="D4857" s="94">
        <v>1421.0</v>
      </c>
    </row>
    <row r="4858">
      <c r="A4858" s="40">
        <f t="array" ref="A4858">IFNA(index(PlayerValues!A:A,match(IFNA(vlookup(B4858,'Special Names'!A:B,2,FALSE),B4858),PlayerValues!E:E,0)),"N/A")</f>
        <v>16621</v>
      </c>
      <c r="B4858" s="4" t="s">
        <v>672</v>
      </c>
      <c r="C4858" s="4" t="s">
        <v>287</v>
      </c>
      <c r="D4858" s="94">
        <v>1410.0</v>
      </c>
    </row>
    <row r="4859">
      <c r="A4859" s="40">
        <f t="array" ref="A4859">IFNA(index(PlayerValues!A:A,match(IFNA(vlookup(B4859,'Special Names'!A:B,2,FALSE),B4859),PlayerValues!E:E,0)),"N/A")</f>
        <v>14137</v>
      </c>
      <c r="B4859" s="4" t="s">
        <v>676</v>
      </c>
      <c r="C4859" s="4" t="s">
        <v>298</v>
      </c>
      <c r="D4859" s="94">
        <v>1778.0</v>
      </c>
    </row>
    <row r="4860">
      <c r="A4860" s="40">
        <f t="array" ref="A4860">IFNA(index(PlayerValues!A:A,match(IFNA(vlookup(B4860,'Special Names'!A:B,2,FALSE),B4860),PlayerValues!E:E,0)),"N/A")</f>
        <v>15759</v>
      </c>
      <c r="B4860" s="4" t="s">
        <v>662</v>
      </c>
      <c r="C4860" s="4" t="s">
        <v>287</v>
      </c>
      <c r="D4860" s="94">
        <v>1406.0</v>
      </c>
    </row>
    <row r="4861">
      <c r="A4861" s="40">
        <f t="array" ref="A4861">IFNA(index(PlayerValues!A:A,match(IFNA(vlookup(B4861,'Special Names'!A:B,2,FALSE),B4861),PlayerValues!E:E,0)),"N/A")</f>
        <v>16633</v>
      </c>
      <c r="B4861" s="4" t="s">
        <v>656</v>
      </c>
      <c r="C4861" s="4" t="s">
        <v>287</v>
      </c>
      <c r="D4861" s="94">
        <v>1402.0</v>
      </c>
    </row>
    <row r="4862">
      <c r="A4862" s="40">
        <f t="array" ref="A4862">IFNA(index(PlayerValues!A:A,match(IFNA(vlookup(B4862,'Special Names'!A:B,2,FALSE),B4862),PlayerValues!E:E,0)),"N/A")</f>
        <v>16788</v>
      </c>
      <c r="B4862" s="4" t="s">
        <v>621</v>
      </c>
      <c r="C4862" s="4" t="s">
        <v>287</v>
      </c>
      <c r="D4862" s="94">
        <v>1400.0</v>
      </c>
    </row>
    <row r="4863">
      <c r="A4863" s="40">
        <f t="array" ref="A4863">IFNA(index(PlayerValues!A:A,match(IFNA(vlookup(B4863,'Special Names'!A:B,2,FALSE),B4863),PlayerValues!E:E,0)),"N/A")</f>
        <v>15292</v>
      </c>
      <c r="B4863" s="4" t="s">
        <v>682</v>
      </c>
      <c r="C4863" s="4" t="s">
        <v>287</v>
      </c>
      <c r="D4863" s="94">
        <v>1396.0</v>
      </c>
    </row>
    <row r="4864">
      <c r="A4864" s="40">
        <f t="array" ref="A4864">IFNA(index(PlayerValues!A:A,match(IFNA(vlookup(B4864,'Special Names'!A:B,2,FALSE),B4864),PlayerValues!E:E,0)),"N/A")</f>
        <v>16631</v>
      </c>
      <c r="B4864" s="4" t="s">
        <v>800</v>
      </c>
      <c r="C4864" s="4" t="s">
        <v>287</v>
      </c>
      <c r="D4864" s="94">
        <v>1393.0</v>
      </c>
    </row>
    <row r="4865">
      <c r="A4865" s="40">
        <f t="array" ref="A4865">IFNA(index(PlayerValues!A:A,match(IFNA(vlookup(B4865,'Special Names'!A:B,2,FALSE),B4865),PlayerValues!E:E,0)),"N/A")</f>
        <v>15873</v>
      </c>
      <c r="B4865" s="4" t="s">
        <v>681</v>
      </c>
      <c r="C4865" s="4" t="s">
        <v>298</v>
      </c>
      <c r="D4865" s="94">
        <v>1755.0</v>
      </c>
    </row>
    <row r="4866">
      <c r="A4866" s="40">
        <f t="array" ref="A4866">IFNA(index(PlayerValues!A:A,match(IFNA(vlookup(B4866,'Special Names'!A:B,2,FALSE),B4866),PlayerValues!E:E,0)),"N/A")</f>
        <v>16175</v>
      </c>
      <c r="B4866" s="4" t="s">
        <v>654</v>
      </c>
      <c r="C4866" s="4" t="s">
        <v>278</v>
      </c>
      <c r="D4866" s="94">
        <v>1377.0</v>
      </c>
    </row>
    <row r="4867">
      <c r="A4867" s="40">
        <f t="array" ref="A4867">IFNA(index(PlayerValues!A:A,match(IFNA(vlookup(B4867,'Special Names'!A:B,2,FALSE),B4867),PlayerValues!E:E,0)),"N/A")</f>
        <v>16645</v>
      </c>
      <c r="B4867" s="4" t="s">
        <v>651</v>
      </c>
      <c r="C4867" s="4" t="s">
        <v>298</v>
      </c>
      <c r="D4867" s="94">
        <v>1736.0</v>
      </c>
    </row>
    <row r="4868">
      <c r="A4868" s="40">
        <f t="array" ref="A4868">IFNA(index(PlayerValues!A:A,match(IFNA(vlookup(B4868,'Special Names'!A:B,2,FALSE),B4868),PlayerValues!E:E,0)),"N/A")</f>
        <v>15777</v>
      </c>
      <c r="B4868" s="4" t="s">
        <v>694</v>
      </c>
      <c r="C4868" s="4" t="s">
        <v>287</v>
      </c>
      <c r="D4868" s="94">
        <v>1352.0</v>
      </c>
    </row>
    <row r="4869">
      <c r="A4869" s="40">
        <f t="array" ref="A4869">IFNA(index(PlayerValues!A:A,match(IFNA(vlookup(B4869,'Special Names'!A:B,2,FALSE),B4869),PlayerValues!E:E,0)),"N/A")</f>
        <v>16642</v>
      </c>
      <c r="B4869" s="4" t="s">
        <v>691</v>
      </c>
      <c r="C4869" s="4" t="s">
        <v>298</v>
      </c>
      <c r="D4869" s="94">
        <v>1715.0</v>
      </c>
    </row>
    <row r="4870">
      <c r="A4870" s="40">
        <f t="array" ref="A4870">IFNA(index(PlayerValues!A:A,match(IFNA(vlookup(B4870,'Special Names'!A:B,2,FALSE),B4870),PlayerValues!E:E,0)),"N/A")</f>
        <v>16390</v>
      </c>
      <c r="B4870" s="4" t="s">
        <v>689</v>
      </c>
      <c r="C4870" s="4" t="s">
        <v>278</v>
      </c>
      <c r="D4870" s="94">
        <v>1330.0</v>
      </c>
    </row>
    <row r="4871">
      <c r="A4871" s="40">
        <f t="array" ref="A4871">IFNA(index(PlayerValues!A:A,match(IFNA(vlookup(B4871,'Special Names'!A:B,2,FALSE),B4871),PlayerValues!E:E,0)),"N/A")</f>
        <v>17054</v>
      </c>
      <c r="B4871" s="4" t="s">
        <v>670</v>
      </c>
      <c r="C4871" s="4" t="s">
        <v>278</v>
      </c>
      <c r="D4871" s="94">
        <v>1323.0</v>
      </c>
    </row>
    <row r="4872">
      <c r="A4872" s="40" t="str">
        <f t="array" ref="A4872">IFNA(index(PlayerValues!A:A,match(IFNA(vlookup(B4872,'Special Names'!A:B,2,FALSE),B4872),PlayerValues!E:E,0)),"N/A")</f>
        <v>N/A</v>
      </c>
      <c r="B4872" s="4" t="s">
        <v>117</v>
      </c>
      <c r="C4872" s="4" t="s">
        <v>325</v>
      </c>
      <c r="D4872" s="94">
        <v>1317.0</v>
      </c>
    </row>
    <row r="4873">
      <c r="A4873" s="40">
        <f t="array" ref="A4873">IFNA(index(PlayerValues!A:A,match(IFNA(vlookup(B4873,'Special Names'!A:B,2,FALSE),B4873),PlayerValues!E:E,0)),"N/A")</f>
        <v>16792</v>
      </c>
      <c r="B4873" s="4" t="s">
        <v>704</v>
      </c>
      <c r="C4873" s="4" t="s">
        <v>287</v>
      </c>
      <c r="D4873" s="94">
        <v>1310.0</v>
      </c>
    </row>
    <row r="4874">
      <c r="A4874" s="40">
        <f t="array" ref="A4874">IFNA(index(PlayerValues!A:A,match(IFNA(vlookup(B4874,'Special Names'!A:B,2,FALSE),B4874),PlayerValues!E:E,0)),"N/A")</f>
        <v>17254</v>
      </c>
      <c r="B4874" s="4" t="s">
        <v>679</v>
      </c>
      <c r="C4874" s="4" t="s">
        <v>287</v>
      </c>
      <c r="D4874" s="94">
        <v>1303.0</v>
      </c>
    </row>
    <row r="4875">
      <c r="A4875" s="40">
        <f t="array" ref="A4875">IFNA(index(PlayerValues!A:A,match(IFNA(vlookup(B4875,'Special Names'!A:B,2,FALSE),B4875),PlayerValues!E:E,0)),"N/A")</f>
        <v>16746</v>
      </c>
      <c r="B4875" s="4" t="s">
        <v>709</v>
      </c>
      <c r="C4875" s="4" t="s">
        <v>278</v>
      </c>
      <c r="D4875" s="94">
        <v>1301.0</v>
      </c>
    </row>
    <row r="4876">
      <c r="A4876" s="40">
        <f t="array" ref="A4876">IFNA(index(PlayerValues!A:A,match(IFNA(vlookup(B4876,'Special Names'!A:B,2,FALSE),B4876),PlayerValues!E:E,0)),"N/A")</f>
        <v>17063</v>
      </c>
      <c r="B4876" s="4" t="s">
        <v>686</v>
      </c>
      <c r="C4876" s="4" t="s">
        <v>278</v>
      </c>
      <c r="D4876" s="94">
        <v>1298.0</v>
      </c>
    </row>
    <row r="4877">
      <c r="A4877" s="40">
        <f t="array" ref="A4877">IFNA(index(PlayerValues!A:A,match(IFNA(vlookup(B4877,'Special Names'!A:B,2,FALSE),B4877),PlayerValues!E:E,0)),"N/A")</f>
        <v>17475</v>
      </c>
      <c r="B4877" s="4" t="s">
        <v>615</v>
      </c>
      <c r="C4877" s="4" t="s">
        <v>278</v>
      </c>
      <c r="D4877" s="94">
        <v>1297.0</v>
      </c>
    </row>
    <row r="4878">
      <c r="A4878" s="40">
        <f t="array" ref="A4878">IFNA(index(PlayerValues!A:A,match(IFNA(vlookup(B4878,'Special Names'!A:B,2,FALSE),B4878),PlayerValues!E:E,0)),"N/A")</f>
        <v>12678</v>
      </c>
      <c r="B4878" s="4" t="s">
        <v>703</v>
      </c>
      <c r="C4878" s="4" t="s">
        <v>298</v>
      </c>
      <c r="D4878" s="94">
        <v>1665.0</v>
      </c>
    </row>
    <row r="4879">
      <c r="A4879" s="40">
        <f t="array" ref="A4879">IFNA(index(PlayerValues!A:A,match(IFNA(vlookup(B4879,'Special Names'!A:B,2,FALSE),B4879),PlayerValues!E:E,0)),"N/A")</f>
        <v>17097</v>
      </c>
      <c r="B4879" s="4" t="s">
        <v>659</v>
      </c>
      <c r="C4879" s="4" t="s">
        <v>287</v>
      </c>
      <c r="D4879" s="94">
        <v>1294.0</v>
      </c>
    </row>
    <row r="4880">
      <c r="A4880" s="40">
        <f t="array" ref="A4880">IFNA(index(PlayerValues!A:A,match(IFNA(vlookup(B4880,'Special Names'!A:B,2,FALSE),B4880),PlayerValues!E:E,0)),"N/A")</f>
        <v>14095</v>
      </c>
      <c r="B4880" s="4" t="s">
        <v>680</v>
      </c>
      <c r="C4880" s="4" t="s">
        <v>278</v>
      </c>
      <c r="D4880" s="94">
        <v>1282.0</v>
      </c>
    </row>
    <row r="4881">
      <c r="A4881" s="40">
        <f t="array" ref="A4881">IFNA(index(PlayerValues!A:A,match(IFNA(vlookup(B4881,'Special Names'!A:B,2,FALSE),B4881),PlayerValues!E:E,0)),"N/A")</f>
        <v>16183</v>
      </c>
      <c r="B4881" s="4" t="s">
        <v>678</v>
      </c>
      <c r="C4881" s="4" t="s">
        <v>287</v>
      </c>
      <c r="D4881" s="94">
        <v>1276.0</v>
      </c>
    </row>
    <row r="4882">
      <c r="A4882" s="40">
        <f t="array" ref="A4882">IFNA(index(PlayerValues!A:A,match(IFNA(vlookup(B4882,'Special Names'!A:B,2,FALSE),B4882),PlayerValues!E:E,0)),"N/A")</f>
        <v>16636</v>
      </c>
      <c r="B4882" s="4" t="s">
        <v>699</v>
      </c>
      <c r="C4882" s="4" t="s">
        <v>287</v>
      </c>
      <c r="D4882" s="94">
        <v>1272.0</v>
      </c>
    </row>
    <row r="4883">
      <c r="A4883" s="40">
        <f t="array" ref="A4883">IFNA(index(PlayerValues!A:A,match(IFNA(vlookup(B4883,'Special Names'!A:B,2,FALSE),B4883),PlayerValues!E:E,0)),"N/A")</f>
        <v>16384</v>
      </c>
      <c r="B4883" s="4" t="s">
        <v>696</v>
      </c>
      <c r="C4883" s="4" t="s">
        <v>283</v>
      </c>
      <c r="D4883" s="94">
        <v>1269.0</v>
      </c>
    </row>
    <row r="4884">
      <c r="A4884" s="40">
        <f t="array" ref="A4884">IFNA(index(PlayerValues!A:A,match(IFNA(vlookup(B4884,'Special Names'!A:B,2,FALSE),B4884),PlayerValues!E:E,0)),"N/A")</f>
        <v>12140</v>
      </c>
      <c r="B4884" s="4" t="s">
        <v>702</v>
      </c>
      <c r="C4884" s="4" t="s">
        <v>283</v>
      </c>
      <c r="D4884" s="94">
        <v>1258.0</v>
      </c>
    </row>
    <row r="4885">
      <c r="A4885" s="40">
        <f t="array" ref="A4885">IFNA(index(PlayerValues!A:A,match(IFNA(vlookup(B4885,'Special Names'!A:B,2,FALSE),B4885),PlayerValues!E:E,0)),"N/A")</f>
        <v>17657</v>
      </c>
      <c r="B4885" s="4" t="s">
        <v>642</v>
      </c>
      <c r="C4885" s="4" t="s">
        <v>283</v>
      </c>
      <c r="D4885" s="94">
        <v>1256.0</v>
      </c>
    </row>
    <row r="4886">
      <c r="A4886" s="40">
        <f t="array" ref="A4886">IFNA(index(PlayerValues!A:A,match(IFNA(vlookup(B4886,'Special Names'!A:B,2,FALSE),B4886),PlayerValues!E:E,0)),"N/A")</f>
        <v>14592</v>
      </c>
      <c r="B4886" s="4" t="s">
        <v>705</v>
      </c>
      <c r="C4886" s="4" t="s">
        <v>287</v>
      </c>
      <c r="D4886" s="94">
        <v>1255.0</v>
      </c>
    </row>
    <row r="4887">
      <c r="A4887" s="40">
        <f t="array" ref="A4887">IFNA(index(PlayerValues!A:A,match(IFNA(vlookup(B4887,'Special Names'!A:B,2,FALSE),B4887),PlayerValues!E:E,0)),"N/A")</f>
        <v>15332</v>
      </c>
      <c r="B4887" s="4" t="s">
        <v>698</v>
      </c>
      <c r="C4887" s="4" t="s">
        <v>298</v>
      </c>
      <c r="D4887" s="94">
        <v>1613.0</v>
      </c>
    </row>
    <row r="4888">
      <c r="A4888" s="40">
        <f t="array" ref="A4888">IFNA(index(PlayerValues!A:A,match(IFNA(vlookup(B4888,'Special Names'!A:B,2,FALSE),B4888),PlayerValues!E:E,0)),"N/A")</f>
        <v>17510</v>
      </c>
      <c r="B4888" s="4" t="s">
        <v>661</v>
      </c>
      <c r="C4888" s="4" t="s">
        <v>287</v>
      </c>
      <c r="D4888" s="94">
        <v>1245.0</v>
      </c>
    </row>
    <row r="4889">
      <c r="A4889" s="40">
        <f t="array" ref="A4889">IFNA(index(PlayerValues!A:A,match(IFNA(vlookup(B4889,'Special Names'!A:B,2,FALSE),B4889),PlayerValues!E:E,0)),"N/A")</f>
        <v>17037</v>
      </c>
      <c r="B4889" s="4" t="s">
        <v>727</v>
      </c>
      <c r="C4889" s="4" t="s">
        <v>283</v>
      </c>
      <c r="D4889" s="94">
        <v>1239.0</v>
      </c>
    </row>
    <row r="4890">
      <c r="A4890" s="40">
        <f t="array" ref="A4890">IFNA(index(PlayerValues!A:A,match(IFNA(vlookup(B4890,'Special Names'!A:B,2,FALSE),B4890),PlayerValues!E:E,0)),"N/A")</f>
        <v>16883</v>
      </c>
      <c r="B4890" s="4" t="s">
        <v>683</v>
      </c>
      <c r="C4890" s="4" t="s">
        <v>287</v>
      </c>
      <c r="D4890" s="94">
        <v>1224.0</v>
      </c>
    </row>
    <row r="4891">
      <c r="A4891" s="40">
        <f t="array" ref="A4891">IFNA(index(PlayerValues!A:A,match(IFNA(vlookup(B4891,'Special Names'!A:B,2,FALSE),B4891),PlayerValues!E:E,0)),"N/A")</f>
        <v>15702</v>
      </c>
      <c r="B4891" s="4" t="s">
        <v>723</v>
      </c>
      <c r="C4891" s="4" t="s">
        <v>283</v>
      </c>
      <c r="D4891" s="94">
        <v>1222.0</v>
      </c>
    </row>
    <row r="4892">
      <c r="A4892" s="40">
        <f t="array" ref="A4892">IFNA(index(PlayerValues!A:A,match(IFNA(vlookup(B4892,'Special Names'!A:B,2,FALSE),B4892),PlayerValues!E:E,0)),"N/A")</f>
        <v>16385</v>
      </c>
      <c r="B4892" s="4" t="s">
        <v>690</v>
      </c>
      <c r="C4892" s="4" t="s">
        <v>278</v>
      </c>
      <c r="D4892" s="94">
        <v>1213.0</v>
      </c>
    </row>
    <row r="4893">
      <c r="A4893" s="40">
        <f t="array" ref="A4893">IFNA(index(PlayerValues!A:A,match(IFNA(vlookup(B4893,'Special Names'!A:B,2,FALSE),B4893),PlayerValues!E:E,0)),"N/A")</f>
        <v>16199</v>
      </c>
      <c r="B4893" s="4" t="s">
        <v>687</v>
      </c>
      <c r="C4893" s="4" t="s">
        <v>287</v>
      </c>
      <c r="D4893" s="94">
        <v>1208.0</v>
      </c>
    </row>
    <row r="4894">
      <c r="A4894" s="40">
        <f t="array" ref="A4894">IFNA(index(PlayerValues!A:A,match(IFNA(vlookup(B4894,'Special Names'!A:B,2,FALSE),B4894),PlayerValues!E:E,0)),"N/A")</f>
        <v>17062</v>
      </c>
      <c r="B4894" s="4" t="s">
        <v>701</v>
      </c>
      <c r="C4894" s="4" t="s">
        <v>278</v>
      </c>
      <c r="D4894" s="94">
        <v>1207.0</v>
      </c>
    </row>
    <row r="4895">
      <c r="A4895" s="40">
        <f t="array" ref="A4895">IFNA(index(PlayerValues!A:A,match(IFNA(vlookup(B4895,'Special Names'!A:B,2,FALSE),B4895),PlayerValues!E:E,0)),"N/A")</f>
        <v>17192</v>
      </c>
      <c r="B4895" s="4" t="s">
        <v>677</v>
      </c>
      <c r="C4895" s="4" t="s">
        <v>287</v>
      </c>
      <c r="D4895" s="94">
        <v>1207.0</v>
      </c>
    </row>
    <row r="4896">
      <c r="A4896" s="40">
        <f t="array" ref="A4896">IFNA(index(PlayerValues!A:A,match(IFNA(vlookup(B4896,'Special Names'!A:B,2,FALSE),B4896),PlayerValues!E:E,0)),"N/A")</f>
        <v>14080</v>
      </c>
      <c r="B4896" s="4" t="s">
        <v>716</v>
      </c>
      <c r="C4896" s="4" t="s">
        <v>278</v>
      </c>
      <c r="D4896" s="94">
        <v>1202.0</v>
      </c>
    </row>
    <row r="4897">
      <c r="A4897" s="40">
        <f t="array" ref="A4897">IFNA(index(PlayerValues!A:A,match(IFNA(vlookup(B4897,'Special Names'!A:B,2,FALSE),B4897),PlayerValues!E:E,0)),"N/A")</f>
        <v>13418</v>
      </c>
      <c r="B4897" s="4" t="s">
        <v>706</v>
      </c>
      <c r="C4897" s="4" t="s">
        <v>287</v>
      </c>
      <c r="D4897" s="94">
        <v>1201.0</v>
      </c>
    </row>
    <row r="4898">
      <c r="A4898" s="40">
        <f t="array" ref="A4898">IFNA(index(PlayerValues!A:A,match(IFNA(vlookup(B4898,'Special Names'!A:B,2,FALSE),B4898),PlayerValues!E:E,0)),"N/A")</f>
        <v>17518</v>
      </c>
      <c r="B4898" s="4" t="s">
        <v>482</v>
      </c>
      <c r="C4898" s="4" t="s">
        <v>287</v>
      </c>
      <c r="D4898" s="94">
        <v>1186.0</v>
      </c>
    </row>
    <row r="4899">
      <c r="A4899" s="40">
        <f t="array" ref="A4899">IFNA(index(PlayerValues!A:A,match(IFNA(vlookup(B4899,'Special Names'!A:B,2,FALSE),B4899),PlayerValues!E:E,0)),"N/A")</f>
        <v>14067</v>
      </c>
      <c r="B4899" s="4" t="s">
        <v>735</v>
      </c>
      <c r="C4899" s="4" t="s">
        <v>283</v>
      </c>
      <c r="D4899" s="94">
        <v>1173.0</v>
      </c>
    </row>
    <row r="4900">
      <c r="A4900" s="40">
        <f t="array" ref="A4900">IFNA(index(PlayerValues!A:A,match(IFNA(vlookup(B4900,'Special Names'!A:B,2,FALSE),B4900),PlayerValues!E:E,0)),"N/A")</f>
        <v>17077</v>
      </c>
      <c r="B4900" s="4" t="s">
        <v>714</v>
      </c>
      <c r="C4900" s="4" t="s">
        <v>287</v>
      </c>
      <c r="D4900" s="94">
        <v>1173.0</v>
      </c>
    </row>
    <row r="4901">
      <c r="A4901" s="40">
        <f t="array" ref="A4901">IFNA(index(PlayerValues!A:A,match(IFNA(vlookup(B4901,'Special Names'!A:B,2,FALSE),B4901),PlayerValues!E:E,0)),"N/A")</f>
        <v>17546</v>
      </c>
      <c r="B4901" s="4" t="s">
        <v>671</v>
      </c>
      <c r="C4901" s="4" t="s">
        <v>298</v>
      </c>
      <c r="D4901" s="94">
        <v>1541.0</v>
      </c>
    </row>
    <row r="4902">
      <c r="A4902" s="40">
        <f t="array" ref="A4902">IFNA(index(PlayerValues!A:A,match(IFNA(vlookup(B4902,'Special Names'!A:B,2,FALSE),B4902),PlayerValues!E:E,0)),"N/A")</f>
        <v>17109</v>
      </c>
      <c r="B4902" s="4" t="s">
        <v>707</v>
      </c>
      <c r="C4902" s="4" t="s">
        <v>298</v>
      </c>
      <c r="D4902" s="94">
        <v>1539.0</v>
      </c>
    </row>
    <row r="4903">
      <c r="A4903" s="40">
        <f t="array" ref="A4903">IFNA(index(PlayerValues!A:A,match(IFNA(vlookup(B4903,'Special Names'!A:B,2,FALSE),B4903),PlayerValues!E:E,0)),"N/A")</f>
        <v>11222</v>
      </c>
      <c r="B4903" s="4" t="s">
        <v>622</v>
      </c>
      <c r="C4903" s="4" t="s">
        <v>287</v>
      </c>
      <c r="D4903" s="94">
        <v>1166.0</v>
      </c>
    </row>
    <row r="4904">
      <c r="A4904" s="40">
        <f t="array" ref="A4904">IFNA(index(PlayerValues!A:A,match(IFNA(vlookup(B4904,'Special Names'!A:B,2,FALSE),B4904),PlayerValues!E:E,0)),"N/A")</f>
        <v>15252</v>
      </c>
      <c r="B4904" s="4" t="s">
        <v>715</v>
      </c>
      <c r="C4904" s="4" t="s">
        <v>283</v>
      </c>
      <c r="D4904" s="94">
        <v>1166.0</v>
      </c>
    </row>
    <row r="4905">
      <c r="A4905" s="40">
        <f t="array" ref="A4905">IFNA(index(PlayerValues!A:A,match(IFNA(vlookup(B4905,'Special Names'!A:B,2,FALSE),B4905),PlayerValues!E:E,0)),"N/A")</f>
        <v>15254</v>
      </c>
      <c r="B4905" s="4" t="s">
        <v>633</v>
      </c>
      <c r="C4905" s="4" t="s">
        <v>278</v>
      </c>
      <c r="D4905" s="94">
        <v>1164.0</v>
      </c>
    </row>
    <row r="4906">
      <c r="A4906" s="40">
        <f t="array" ref="A4906">IFNA(index(PlayerValues!A:A,match(IFNA(vlookup(B4906,'Special Names'!A:B,2,FALSE),B4906),PlayerValues!E:E,0)),"N/A")</f>
        <v>17269</v>
      </c>
      <c r="B4906" s="4" t="s">
        <v>718</v>
      </c>
      <c r="C4906" s="4" t="s">
        <v>287</v>
      </c>
      <c r="D4906" s="94">
        <v>1163.0</v>
      </c>
    </row>
    <row r="4907">
      <c r="A4907" s="40">
        <f t="array" ref="A4907">IFNA(index(PlayerValues!A:A,match(IFNA(vlookup(B4907,'Special Names'!A:B,2,FALSE),B4907),PlayerValues!E:E,0)),"N/A")</f>
        <v>16333</v>
      </c>
      <c r="B4907" s="4" t="s">
        <v>711</v>
      </c>
      <c r="C4907" s="4" t="s">
        <v>298</v>
      </c>
      <c r="D4907" s="94">
        <v>1530.0</v>
      </c>
    </row>
    <row r="4908">
      <c r="A4908" s="40">
        <f t="array" ref="A4908">IFNA(index(PlayerValues!A:A,match(IFNA(vlookup(B4908,'Special Names'!A:B,2,FALSE),B4908),PlayerValues!E:E,0)),"N/A")</f>
        <v>14108</v>
      </c>
      <c r="B4908" s="4" t="s">
        <v>673</v>
      </c>
      <c r="C4908" s="4" t="s">
        <v>287</v>
      </c>
      <c r="D4908" s="94">
        <v>1156.0</v>
      </c>
    </row>
    <row r="4909">
      <c r="A4909" s="40">
        <f t="array" ref="A4909">IFNA(index(PlayerValues!A:A,match(IFNA(vlookup(B4909,'Special Names'!A:B,2,FALSE),B4909),PlayerValues!E:E,0)),"N/A")</f>
        <v>14789</v>
      </c>
      <c r="B4909" s="4" t="s">
        <v>721</v>
      </c>
      <c r="C4909" s="4" t="s">
        <v>283</v>
      </c>
      <c r="D4909" s="94">
        <v>1151.0</v>
      </c>
    </row>
    <row r="4910">
      <c r="A4910" s="40">
        <f t="array" ref="A4910">IFNA(index(PlayerValues!A:A,match(IFNA(vlookup(B4910,'Special Names'!A:B,2,FALSE),B4910),PlayerValues!E:E,0)),"N/A")</f>
        <v>15288</v>
      </c>
      <c r="B4910" s="4" t="s">
        <v>700</v>
      </c>
      <c r="C4910" s="4" t="s">
        <v>287</v>
      </c>
      <c r="D4910" s="94">
        <v>1149.0</v>
      </c>
    </row>
    <row r="4911">
      <c r="A4911" s="40">
        <f t="array" ref="A4911">IFNA(index(PlayerValues!A:A,match(IFNA(vlookup(B4911,'Special Names'!A:B,2,FALSE),B4911),PlayerValues!E:E,0)),"N/A")</f>
        <v>17057</v>
      </c>
      <c r="B4911" s="4" t="s">
        <v>708</v>
      </c>
      <c r="C4911" s="4" t="s">
        <v>278</v>
      </c>
      <c r="D4911" s="94">
        <v>1147.0</v>
      </c>
    </row>
    <row r="4912">
      <c r="A4912" s="40">
        <f t="array" ref="A4912">IFNA(index(PlayerValues!A:A,match(IFNA(vlookup(B4912,'Special Names'!A:B,2,FALSE),B4912),PlayerValues!E:E,0)),"N/A")</f>
        <v>16221</v>
      </c>
      <c r="B4912" s="4" t="s">
        <v>725</v>
      </c>
      <c r="C4912" s="4" t="s">
        <v>298</v>
      </c>
      <c r="D4912" s="94">
        <v>1516.0</v>
      </c>
    </row>
    <row r="4913">
      <c r="A4913" s="40">
        <f t="array" ref="A4913">IFNA(index(PlayerValues!A:A,match(IFNA(vlookup(B4913,'Special Names'!A:B,2,FALSE),B4913),PlayerValues!E:E,0)),"N/A")</f>
        <v>17050</v>
      </c>
      <c r="B4913" s="4" t="s">
        <v>713</v>
      </c>
      <c r="C4913" s="4" t="s">
        <v>278</v>
      </c>
      <c r="D4913" s="94">
        <v>1133.0</v>
      </c>
    </row>
    <row r="4914">
      <c r="A4914" s="40">
        <f t="array" ref="A4914">IFNA(index(PlayerValues!A:A,match(IFNA(vlookup(B4914,'Special Names'!A:B,2,FALSE),B4914),PlayerValues!E:E,0)),"N/A")</f>
        <v>16640</v>
      </c>
      <c r="B4914" s="4" t="s">
        <v>712</v>
      </c>
      <c r="C4914" s="4" t="s">
        <v>287</v>
      </c>
      <c r="D4914" s="94">
        <v>1127.0</v>
      </c>
    </row>
    <row r="4915">
      <c r="A4915" s="40">
        <f t="array" ref="A4915">IFNA(index(PlayerValues!A:A,match(IFNA(vlookup(B4915,'Special Names'!A:B,2,FALSE),B4915),PlayerValues!E:E,0)),"N/A")</f>
        <v>15981</v>
      </c>
      <c r="B4915" s="4" t="s">
        <v>729</v>
      </c>
      <c r="C4915" s="4" t="s">
        <v>287</v>
      </c>
      <c r="D4915" s="94">
        <v>1112.0</v>
      </c>
    </row>
    <row r="4916">
      <c r="A4916" s="40">
        <f t="array" ref="A4916">IFNA(index(PlayerValues!A:A,match(IFNA(vlookup(B4916,'Special Names'!A:B,2,FALSE),B4916),PlayerValues!E:E,0)),"N/A")</f>
        <v>15795</v>
      </c>
      <c r="B4916" s="4" t="s">
        <v>669</v>
      </c>
      <c r="C4916" s="4" t="s">
        <v>298</v>
      </c>
      <c r="D4916" s="94">
        <v>1467.0</v>
      </c>
    </row>
    <row r="4917">
      <c r="A4917" s="40">
        <f t="array" ref="A4917">IFNA(index(PlayerValues!A:A,match(IFNA(vlookup(B4917,'Special Names'!A:B,2,FALSE),B4917),PlayerValues!E:E,0)),"N/A")</f>
        <v>17504</v>
      </c>
      <c r="B4917" s="4" t="s">
        <v>693</v>
      </c>
      <c r="C4917" s="4" t="s">
        <v>287</v>
      </c>
      <c r="D4917" s="94">
        <v>1088.0</v>
      </c>
    </row>
    <row r="4918">
      <c r="A4918" s="40">
        <f t="array" ref="A4918">IFNA(index(PlayerValues!A:A,match(IFNA(vlookup(B4918,'Special Names'!A:B,2,FALSE),B4918),PlayerValues!E:E,0)),"N/A")</f>
        <v>12141</v>
      </c>
      <c r="B4918" s="4" t="s">
        <v>744</v>
      </c>
      <c r="C4918" s="4" t="s">
        <v>283</v>
      </c>
      <c r="D4918" s="94">
        <v>1083.0</v>
      </c>
    </row>
    <row r="4919">
      <c r="A4919" s="40">
        <f t="array" ref="A4919">IFNA(index(PlayerValues!A:A,match(IFNA(vlookup(B4919,'Special Names'!A:B,2,FALSE),B4919),PlayerValues!E:E,0)),"N/A")</f>
        <v>16149</v>
      </c>
      <c r="B4919" s="4" t="s">
        <v>740</v>
      </c>
      <c r="C4919" s="4" t="s">
        <v>283</v>
      </c>
      <c r="D4919" s="94">
        <v>1071.0</v>
      </c>
    </row>
    <row r="4920">
      <c r="A4920" s="40">
        <f t="array" ref="A4920">IFNA(index(PlayerValues!A:A,match(IFNA(vlookup(B4920,'Special Names'!A:B,2,FALSE),B4920),PlayerValues!E:E,0)),"N/A")</f>
        <v>13289</v>
      </c>
      <c r="B4920" s="4" t="s">
        <v>746</v>
      </c>
      <c r="C4920" s="4" t="s">
        <v>287</v>
      </c>
      <c r="D4920" s="94">
        <v>1064.0</v>
      </c>
    </row>
    <row r="4921">
      <c r="A4921" s="40">
        <f t="array" ref="A4921">IFNA(index(PlayerValues!A:A,match(IFNA(vlookup(B4921,'Special Names'!A:B,2,FALSE),B4921),PlayerValues!E:E,0)),"N/A")</f>
        <v>16197</v>
      </c>
      <c r="B4921" s="4" t="s">
        <v>726</v>
      </c>
      <c r="C4921" s="4" t="s">
        <v>287</v>
      </c>
      <c r="D4921" s="94">
        <v>1064.0</v>
      </c>
    </row>
    <row r="4922">
      <c r="A4922" s="40">
        <f t="array" ref="A4922">IFNA(index(PlayerValues!A:A,match(IFNA(vlookup(B4922,'Special Names'!A:B,2,FALSE),B4922),PlayerValues!E:E,0)),"N/A")</f>
        <v>14845</v>
      </c>
      <c r="B4922" s="4" t="s">
        <v>717</v>
      </c>
      <c r="C4922" s="4" t="s">
        <v>287</v>
      </c>
      <c r="D4922" s="94">
        <v>1061.0</v>
      </c>
    </row>
    <row r="4923">
      <c r="A4923" s="40">
        <f t="array" ref="A4923">IFNA(index(PlayerValues!A:A,match(IFNA(vlookup(B4923,'Special Names'!A:B,2,FALSE),B4923),PlayerValues!E:E,0)),"N/A")</f>
        <v>15240</v>
      </c>
      <c r="B4923" s="4" t="s">
        <v>751</v>
      </c>
      <c r="C4923" s="4" t="s">
        <v>283</v>
      </c>
      <c r="D4923" s="94">
        <v>1056.0</v>
      </c>
    </row>
    <row r="4924">
      <c r="A4924" s="40">
        <f t="array" ref="A4924">IFNA(index(PlayerValues!A:A,match(IFNA(vlookup(B4924,'Special Names'!A:B,2,FALSE),B4924),PlayerValues!E:E,0)),"N/A")</f>
        <v>15109</v>
      </c>
      <c r="B4924" s="4" t="s">
        <v>728</v>
      </c>
      <c r="C4924" s="4" t="s">
        <v>287</v>
      </c>
      <c r="D4924" s="94">
        <v>1033.0</v>
      </c>
    </row>
    <row r="4925">
      <c r="A4925" s="40">
        <f t="array" ref="A4925">IFNA(index(PlayerValues!A:A,match(IFNA(vlookup(B4925,'Special Names'!A:B,2,FALSE),B4925),PlayerValues!E:E,0)),"N/A")</f>
        <v>14849</v>
      </c>
      <c r="B4925" s="4" t="s">
        <v>733</v>
      </c>
      <c r="C4925" s="4" t="s">
        <v>287</v>
      </c>
      <c r="D4925" s="94">
        <v>1032.0</v>
      </c>
    </row>
    <row r="4926">
      <c r="A4926" s="40">
        <f t="array" ref="A4926">IFNA(index(PlayerValues!A:A,match(IFNA(vlookup(B4926,'Special Names'!A:B,2,FALSE),B4926),PlayerValues!E:E,0)),"N/A")</f>
        <v>15727</v>
      </c>
      <c r="B4926" s="4" t="s">
        <v>730</v>
      </c>
      <c r="C4926" s="4" t="s">
        <v>278</v>
      </c>
      <c r="D4926" s="94">
        <v>1026.0</v>
      </c>
    </row>
    <row r="4927">
      <c r="A4927" s="40">
        <f t="array" ref="A4927">IFNA(index(PlayerValues!A:A,match(IFNA(vlookup(B4927,'Special Names'!A:B,2,FALSE),B4927),PlayerValues!E:E,0)),"N/A")</f>
        <v>15730</v>
      </c>
      <c r="B4927" s="4" t="s">
        <v>734</v>
      </c>
      <c r="C4927" s="4" t="s">
        <v>278</v>
      </c>
      <c r="D4927" s="94">
        <v>1026.0</v>
      </c>
    </row>
    <row r="4928">
      <c r="A4928" s="40">
        <f t="array" ref="A4928">IFNA(index(PlayerValues!A:A,match(IFNA(vlookup(B4928,'Special Names'!A:B,2,FALSE),B4928),PlayerValues!E:E,0)),"N/A")</f>
        <v>15717</v>
      </c>
      <c r="B4928" s="4" t="s">
        <v>745</v>
      </c>
      <c r="C4928" s="4" t="s">
        <v>278</v>
      </c>
      <c r="D4928" s="94">
        <v>1026.0</v>
      </c>
    </row>
    <row r="4929">
      <c r="A4929" s="40">
        <f t="array" ref="A4929">IFNA(index(PlayerValues!A:A,match(IFNA(vlookup(B4929,'Special Names'!A:B,2,FALSE),B4929),PlayerValues!E:E,0)),"N/A")</f>
        <v>9064</v>
      </c>
      <c r="B4929" s="4" t="s">
        <v>761</v>
      </c>
      <c r="C4929" s="4" t="s">
        <v>283</v>
      </c>
      <c r="D4929" s="94">
        <v>1025.0</v>
      </c>
    </row>
    <row r="4930">
      <c r="A4930" s="40">
        <f t="array" ref="A4930">IFNA(index(PlayerValues!A:A,match(IFNA(vlookup(B4930,'Special Names'!A:B,2,FALSE),B4930),PlayerValues!E:E,0)),"N/A")</f>
        <v>16168</v>
      </c>
      <c r="B4930" s="4" t="s">
        <v>738</v>
      </c>
      <c r="C4930" s="4" t="s">
        <v>278</v>
      </c>
      <c r="D4930" s="94">
        <v>1021.0</v>
      </c>
    </row>
    <row r="4931">
      <c r="A4931" s="40">
        <f t="array" ref="A4931">IFNA(index(PlayerValues!A:A,match(IFNA(vlookup(B4931,'Special Names'!A:B,2,FALSE),B4931),PlayerValues!E:E,0)),"N/A")</f>
        <v>15330</v>
      </c>
      <c r="B4931" s="4" t="s">
        <v>749</v>
      </c>
      <c r="C4931" s="4" t="s">
        <v>298</v>
      </c>
      <c r="D4931" s="94">
        <v>1381.0</v>
      </c>
    </row>
    <row r="4932">
      <c r="A4932" s="40">
        <f t="array" ref="A4932">IFNA(index(PlayerValues!A:A,match(IFNA(vlookup(B4932,'Special Names'!A:B,2,FALSE),B4932),PlayerValues!E:E,0)),"N/A")</f>
        <v>15693</v>
      </c>
      <c r="B4932" s="4" t="s">
        <v>755</v>
      </c>
      <c r="C4932" s="4" t="s">
        <v>283</v>
      </c>
      <c r="D4932" s="94">
        <v>1010.0</v>
      </c>
    </row>
    <row r="4933">
      <c r="A4933" s="40">
        <f t="array" ref="A4933">IFNA(index(PlayerValues!A:A,match(IFNA(vlookup(B4933,'Special Names'!A:B,2,FALSE),B4933),PlayerValues!E:E,0)),"N/A")</f>
        <v>16637</v>
      </c>
      <c r="B4933" s="4" t="s">
        <v>736</v>
      </c>
      <c r="C4933" s="4" t="s">
        <v>287</v>
      </c>
      <c r="D4933" s="94">
        <v>1007.0</v>
      </c>
    </row>
    <row r="4934">
      <c r="A4934" s="40">
        <f t="array" ref="A4934">IFNA(index(PlayerValues!A:A,match(IFNA(vlookup(B4934,'Special Names'!A:B,2,FALSE),B4934),PlayerValues!E:E,0)),"N/A")</f>
        <v>16451</v>
      </c>
      <c r="B4934" s="4" t="s">
        <v>769</v>
      </c>
      <c r="C4934" s="4" t="s">
        <v>287</v>
      </c>
      <c r="D4934" s="94">
        <v>1005.0</v>
      </c>
    </row>
    <row r="4935">
      <c r="A4935" s="40">
        <f t="array" ref="A4935">IFNA(index(PlayerValues!A:A,match(IFNA(vlookup(B4935,'Special Names'!A:B,2,FALSE),B4935),PlayerValues!E:E,0)),"N/A")</f>
        <v>15758</v>
      </c>
      <c r="B4935" s="4" t="s">
        <v>724</v>
      </c>
      <c r="C4935" s="4" t="s">
        <v>287</v>
      </c>
      <c r="D4935" s="94">
        <v>998.0</v>
      </c>
    </row>
    <row r="4936">
      <c r="A4936" s="40">
        <f t="array" ref="A4936">IFNA(index(PlayerValues!A:A,match(IFNA(vlookup(B4936,'Special Names'!A:B,2,FALSE),B4936),PlayerValues!E:E,0)),"N/A")</f>
        <v>16205</v>
      </c>
      <c r="B4936" s="4" t="s">
        <v>742</v>
      </c>
      <c r="C4936" s="4" t="s">
        <v>287</v>
      </c>
      <c r="D4936" s="94">
        <v>997.0</v>
      </c>
    </row>
    <row r="4937">
      <c r="A4937" s="40">
        <f t="array" ref="A4937">IFNA(index(PlayerValues!A:A,match(IFNA(vlookup(B4937,'Special Names'!A:B,2,FALSE),B4937),PlayerValues!E:E,0)),"N/A")</f>
        <v>15692</v>
      </c>
      <c r="B4937" s="4" t="s">
        <v>750</v>
      </c>
      <c r="C4937" s="4" t="s">
        <v>283</v>
      </c>
      <c r="D4937" s="94">
        <v>996.0</v>
      </c>
    </row>
    <row r="4938">
      <c r="A4938" s="40">
        <f t="array" ref="A4938">IFNA(index(PlayerValues!A:A,match(IFNA(vlookup(B4938,'Special Names'!A:B,2,FALSE),B4938),PlayerValues!E:E,0)),"N/A")</f>
        <v>15718</v>
      </c>
      <c r="B4938" s="4" t="s">
        <v>753</v>
      </c>
      <c r="C4938" s="4" t="s">
        <v>278</v>
      </c>
      <c r="D4938" s="94">
        <v>990.0</v>
      </c>
    </row>
    <row r="4939">
      <c r="A4939" s="40">
        <f t="array" ref="A4939">IFNA(index(PlayerValues!A:A,match(IFNA(vlookup(B4939,'Special Names'!A:B,2,FALSE),B4939),PlayerValues!E:E,0)),"N/A")</f>
        <v>16393</v>
      </c>
      <c r="B4939" s="4" t="s">
        <v>768</v>
      </c>
      <c r="C4939" s="4" t="s">
        <v>287</v>
      </c>
      <c r="D4939" s="94">
        <v>983.0</v>
      </c>
    </row>
    <row r="4940">
      <c r="A4940" s="40">
        <f t="array" ref="A4940">IFNA(index(PlayerValues!A:A,match(IFNA(vlookup(B4940,'Special Names'!A:B,2,FALSE),B4940),PlayerValues!E:E,0)),"N/A")</f>
        <v>16170</v>
      </c>
      <c r="B4940" s="4" t="s">
        <v>801</v>
      </c>
      <c r="C4940" s="4" t="s">
        <v>278</v>
      </c>
      <c r="D4940" s="94">
        <v>980.0</v>
      </c>
    </row>
    <row r="4941">
      <c r="A4941" s="40">
        <f t="array" ref="A4941">IFNA(index(PlayerValues!A:A,match(IFNA(vlookup(B4941,'Special Names'!A:B,2,FALSE),B4941),PlayerValues!E:E,0)),"N/A")</f>
        <v>16648</v>
      </c>
      <c r="B4941" s="4" t="s">
        <v>748</v>
      </c>
      <c r="C4941" s="4" t="s">
        <v>298</v>
      </c>
      <c r="D4941" s="94">
        <v>1340.0</v>
      </c>
    </row>
    <row r="4942">
      <c r="A4942" s="40">
        <f t="array" ref="A4942">IFNA(index(PlayerValues!A:A,match(IFNA(vlookup(B4942,'Special Names'!A:B,2,FALSE),B4942),PlayerValues!E:E,0)),"N/A")</f>
        <v>15258</v>
      </c>
      <c r="B4942" s="4" t="s">
        <v>757</v>
      </c>
      <c r="C4942" s="4" t="s">
        <v>278</v>
      </c>
      <c r="D4942" s="94">
        <v>967.0</v>
      </c>
    </row>
    <row r="4943">
      <c r="A4943" s="40">
        <f t="array" ref="A4943">IFNA(index(PlayerValues!A:A,match(IFNA(vlookup(B4943,'Special Names'!A:B,2,FALSE),B4943),PlayerValues!E:E,0)),"N/A")</f>
        <v>17487</v>
      </c>
      <c r="B4943" s="4" t="s">
        <v>692</v>
      </c>
      <c r="C4943" s="4" t="s">
        <v>278</v>
      </c>
      <c r="D4943" s="94">
        <v>967.0</v>
      </c>
    </row>
    <row r="4944">
      <c r="A4944" s="40">
        <f t="array" ref="A4944">IFNA(index(PlayerValues!A:A,match(IFNA(vlookup(B4944,'Special Names'!A:B,2,FALSE),B4944),PlayerValues!E:E,0)),"N/A")</f>
        <v>15239</v>
      </c>
      <c r="B4944" s="4" t="s">
        <v>802</v>
      </c>
      <c r="C4944" s="4" t="s">
        <v>283</v>
      </c>
      <c r="D4944" s="94">
        <v>948.0</v>
      </c>
    </row>
    <row r="4945">
      <c r="A4945" s="40">
        <f t="array" ref="A4945">IFNA(index(PlayerValues!A:A,match(IFNA(vlookup(B4945,'Special Names'!A:B,2,FALSE),B4945),PlayerValues!E:E,0)),"N/A")</f>
        <v>16606</v>
      </c>
      <c r="B4945" s="4" t="s">
        <v>743</v>
      </c>
      <c r="C4945" s="4" t="s">
        <v>278</v>
      </c>
      <c r="D4945" s="94">
        <v>939.0</v>
      </c>
    </row>
    <row r="4946">
      <c r="A4946" s="40">
        <f t="array" ref="A4946">IFNA(index(PlayerValues!A:A,match(IFNA(vlookup(B4946,'Special Names'!A:B,2,FALSE),B4946),PlayerValues!E:E,0)),"N/A")</f>
        <v>17549</v>
      </c>
      <c r="B4946" s="4" t="s">
        <v>720</v>
      </c>
      <c r="C4946" s="4" t="s">
        <v>298</v>
      </c>
      <c r="D4946" s="94">
        <v>1303.0</v>
      </c>
    </row>
    <row r="4947">
      <c r="A4947" s="40">
        <f t="array" ref="A4947">IFNA(index(PlayerValues!A:A,match(IFNA(vlookup(B4947,'Special Names'!A:B,2,FALSE),B4947),PlayerValues!E:E,0)),"N/A")</f>
        <v>16219</v>
      </c>
      <c r="B4947" s="4" t="s">
        <v>739</v>
      </c>
      <c r="C4947" s="4" t="s">
        <v>298</v>
      </c>
      <c r="D4947" s="94">
        <v>1300.0</v>
      </c>
    </row>
    <row r="4948">
      <c r="A4948" s="40">
        <f t="array" ref="A4948">IFNA(index(PlayerValues!A:A,match(IFNA(vlookup(B4948,'Special Names'!A:B,2,FALSE),B4948),PlayerValues!E:E,0)),"N/A")</f>
        <v>16416</v>
      </c>
      <c r="B4948" s="4" t="s">
        <v>752</v>
      </c>
      <c r="C4948" s="4" t="s">
        <v>287</v>
      </c>
      <c r="D4948" s="94">
        <v>929.0</v>
      </c>
    </row>
    <row r="4949">
      <c r="A4949" s="40">
        <f t="array" ref="A4949">IFNA(index(PlayerValues!A:A,match(IFNA(vlookup(B4949,'Special Names'!A:B,2,FALSE),B4949),PlayerValues!E:E,0)),"N/A")</f>
        <v>16678</v>
      </c>
      <c r="B4949" s="4" t="s">
        <v>758</v>
      </c>
      <c r="C4949" s="4" t="s">
        <v>278</v>
      </c>
      <c r="D4949" s="94">
        <v>921.0</v>
      </c>
    </row>
    <row r="4950">
      <c r="A4950" s="40">
        <f t="array" ref="A4950">IFNA(index(PlayerValues!A:A,match(IFNA(vlookup(B4950,'Special Names'!A:B,2,FALSE),B4950),PlayerValues!E:E,0)),"N/A")</f>
        <v>16599</v>
      </c>
      <c r="B4950" s="4" t="s">
        <v>737</v>
      </c>
      <c r="C4950" s="4" t="s">
        <v>278</v>
      </c>
      <c r="D4950" s="94">
        <v>919.0</v>
      </c>
    </row>
    <row r="4951">
      <c r="A4951" s="40">
        <f t="array" ref="A4951">IFNA(index(PlayerValues!A:A,match(IFNA(vlookup(B4951,'Special Names'!A:B,2,FALSE),B4951),PlayerValues!E:E,0)),"N/A")</f>
        <v>16858</v>
      </c>
      <c r="B4951" s="4" t="s">
        <v>754</v>
      </c>
      <c r="C4951" s="4" t="s">
        <v>287</v>
      </c>
      <c r="D4951" s="94">
        <v>916.0</v>
      </c>
    </row>
    <row r="4952">
      <c r="A4952" s="40">
        <f t="array" ref="A4952">IFNA(index(PlayerValues!A:A,match(IFNA(vlookup(B4952,'Special Names'!A:B,2,FALSE),B4952),PlayerValues!E:E,0)),"N/A")</f>
        <v>17479</v>
      </c>
      <c r="B4952" s="4" t="s">
        <v>756</v>
      </c>
      <c r="C4952" s="4" t="s">
        <v>278</v>
      </c>
      <c r="D4952" s="94">
        <v>908.0</v>
      </c>
    </row>
    <row r="4953">
      <c r="A4953" s="40">
        <f t="array" ref="A4953">IFNA(index(PlayerValues!A:A,match(IFNA(vlookup(B4953,'Special Names'!A:B,2,FALSE),B4953),PlayerValues!E:E,0)),"N/A")</f>
        <v>15626</v>
      </c>
      <c r="B4953" s="4" t="s">
        <v>766</v>
      </c>
      <c r="C4953" s="4" t="s">
        <v>298</v>
      </c>
      <c r="D4953" s="94">
        <v>1272.0</v>
      </c>
    </row>
    <row r="4954">
      <c r="A4954" s="40">
        <f t="array" ref="A4954">IFNA(index(PlayerValues!A:A,match(IFNA(vlookup(B4954,'Special Names'!A:B,2,FALSE),B4954),PlayerValues!E:E,0)),"N/A")</f>
        <v>15785</v>
      </c>
      <c r="B4954" s="4" t="s">
        <v>763</v>
      </c>
      <c r="C4954" s="4" t="s">
        <v>287</v>
      </c>
      <c r="D4954" s="94">
        <v>898.0</v>
      </c>
    </row>
    <row r="4955">
      <c r="A4955" s="40">
        <f t="array" ref="A4955">IFNA(index(PlayerValues!A:A,match(IFNA(vlookup(B4955,'Special Names'!A:B,2,FALSE),B4955),PlayerValues!E:E,0)),"N/A")</f>
        <v>15720</v>
      </c>
      <c r="B4955" s="4" t="s">
        <v>795</v>
      </c>
      <c r="C4955" s="4" t="s">
        <v>278</v>
      </c>
      <c r="D4955" s="94">
        <v>897.0</v>
      </c>
    </row>
    <row r="4956">
      <c r="A4956" s="40">
        <f t="array" ref="A4956">IFNA(index(PlayerValues!A:A,match(IFNA(vlookup(B4956,'Special Names'!A:B,2,FALSE),B4956),PlayerValues!E:E,0)),"N/A")</f>
        <v>16623</v>
      </c>
      <c r="B4956" s="4" t="s">
        <v>803</v>
      </c>
      <c r="C4956" s="4" t="s">
        <v>287</v>
      </c>
      <c r="D4956" s="94">
        <v>894.0</v>
      </c>
    </row>
    <row r="4957">
      <c r="A4957" s="40">
        <f t="array" ref="A4957">IFNA(index(PlayerValues!A:A,match(IFNA(vlookup(B4957,'Special Names'!A:B,2,FALSE),B4957),PlayerValues!E:E,0)),"N/A")</f>
        <v>15766</v>
      </c>
      <c r="B4957" s="4" t="s">
        <v>759</v>
      </c>
      <c r="C4957" s="4" t="s">
        <v>287</v>
      </c>
      <c r="D4957" s="94">
        <v>889.0</v>
      </c>
    </row>
    <row r="4958">
      <c r="A4958" s="40">
        <f t="array" ref="A4958">IFNA(index(PlayerValues!A:A,match(IFNA(vlookup(B4958,'Special Names'!A:B,2,FALSE),B4958),PlayerValues!E:E,0)),"N/A")</f>
        <v>17175</v>
      </c>
      <c r="B4958" s="4" t="s">
        <v>747</v>
      </c>
      <c r="C4958" s="4" t="s">
        <v>287</v>
      </c>
      <c r="D4958" s="94">
        <v>880.0</v>
      </c>
    </row>
    <row r="4959">
      <c r="A4959" s="40">
        <f t="array" ref="A4959">IFNA(index(PlayerValues!A:A,match(IFNA(vlookup(B4959,'Special Names'!A:B,2,FALSE),B4959),PlayerValues!E:E,0)),"N/A")</f>
        <v>13193</v>
      </c>
      <c r="B4959" s="4" t="s">
        <v>773</v>
      </c>
      <c r="C4959" s="4" t="s">
        <v>298</v>
      </c>
      <c r="D4959" s="94">
        <v>1235.0</v>
      </c>
    </row>
    <row r="4960">
      <c r="A4960" s="40">
        <f t="array" ref="A4960">IFNA(index(PlayerValues!A:A,match(IFNA(vlookup(B4960,'Special Names'!A:B,2,FALSE),B4960),PlayerValues!E:E,0)),"N/A")</f>
        <v>17654</v>
      </c>
      <c r="B4960" s="4" t="s">
        <v>767</v>
      </c>
      <c r="C4960" s="4" t="s">
        <v>283</v>
      </c>
      <c r="D4960" s="94">
        <v>860.0</v>
      </c>
    </row>
    <row r="4961">
      <c r="A4961" s="40">
        <f t="array" ref="A4961">IFNA(index(PlayerValues!A:A,match(IFNA(vlookup(B4961,'Special Names'!A:B,2,FALSE),B4961),PlayerValues!E:E,0)),"N/A")</f>
        <v>14057</v>
      </c>
      <c r="B4961" s="4" t="s">
        <v>765</v>
      </c>
      <c r="C4961" s="4" t="s">
        <v>283</v>
      </c>
      <c r="D4961" s="94">
        <v>856.0</v>
      </c>
    </row>
    <row r="4962">
      <c r="A4962" s="40">
        <f t="array" ref="A4962">IFNA(index(PlayerValues!A:A,match(IFNA(vlookup(B4962,'Special Names'!A:B,2,FALSE),B4962),PlayerValues!E:E,0)),"N/A")</f>
        <v>17541</v>
      </c>
      <c r="B4962" s="4" t="s">
        <v>616</v>
      </c>
      <c r="C4962" s="4" t="s">
        <v>287</v>
      </c>
      <c r="D4962" s="94">
        <v>856.0</v>
      </c>
    </row>
    <row r="4963">
      <c r="A4963" s="40">
        <f t="array" ref="A4963">IFNA(index(PlayerValues!A:A,match(IFNA(vlookup(B4963,'Special Names'!A:B,2,FALSE),B4963),PlayerValues!E:E,0)),"N/A")</f>
        <v>14118</v>
      </c>
      <c r="B4963" s="4" t="s">
        <v>771</v>
      </c>
      <c r="C4963" s="4" t="s">
        <v>287</v>
      </c>
      <c r="D4963" s="94">
        <v>854.0</v>
      </c>
    </row>
    <row r="4964">
      <c r="A4964" s="40">
        <f t="array" ref="A4964">IFNA(index(PlayerValues!A:A,match(IFNA(vlookup(B4964,'Special Names'!A:B,2,FALSE),B4964),PlayerValues!E:E,0)),"N/A")</f>
        <v>16624</v>
      </c>
      <c r="B4964" s="4" t="s">
        <v>796</v>
      </c>
      <c r="C4964" s="4" t="s">
        <v>287</v>
      </c>
      <c r="D4964" s="94">
        <v>848.0</v>
      </c>
    </row>
    <row r="4965">
      <c r="A4965" s="40">
        <f t="array" ref="A4965">IFNA(index(PlayerValues!A:A,match(IFNA(vlookup(B4965,'Special Names'!A:B,2,FALSE),B4965),PlayerValues!E:E,0)),"N/A")</f>
        <v>17486</v>
      </c>
      <c r="B4965" s="4" t="s">
        <v>695</v>
      </c>
      <c r="C4965" s="4" t="s">
        <v>278</v>
      </c>
      <c r="D4965" s="94">
        <v>843.0</v>
      </c>
    </row>
    <row r="4966">
      <c r="A4966" s="40">
        <f t="array" ref="A4966">IFNA(index(PlayerValues!A:A,match(IFNA(vlookup(B4966,'Special Names'!A:B,2,FALSE),B4966),PlayerValues!E:E,0)),"N/A")</f>
        <v>17627</v>
      </c>
      <c r="B4966" s="4" t="s">
        <v>684</v>
      </c>
      <c r="C4966" s="4" t="s">
        <v>298</v>
      </c>
      <c r="D4966" s="94">
        <v>1209.0</v>
      </c>
    </row>
    <row r="4967">
      <c r="A4967" s="40">
        <f t="array" ref="A4967">IFNA(index(PlayerValues!A:A,match(IFNA(vlookup(B4967,'Special Names'!A:B,2,FALSE),B4967),PlayerValues!E:E,0)),"N/A")</f>
        <v>12785</v>
      </c>
      <c r="B4967" s="4" t="s">
        <v>772</v>
      </c>
      <c r="C4967" s="4" t="s">
        <v>287</v>
      </c>
      <c r="D4967" s="94">
        <v>816.0</v>
      </c>
    </row>
    <row r="4968">
      <c r="A4968" s="40">
        <f t="array" ref="A4968">IFNA(index(PlayerValues!A:A,match(IFNA(vlookup(B4968,'Special Names'!A:B,2,FALSE),B4968),PlayerValues!E:E,0)),"N/A")</f>
        <v>16773</v>
      </c>
      <c r="B4968" s="4" t="s">
        <v>783</v>
      </c>
      <c r="C4968" s="4" t="s">
        <v>278</v>
      </c>
      <c r="D4968" s="94">
        <v>813.0</v>
      </c>
    </row>
    <row r="4969">
      <c r="A4969" s="40">
        <f t="array" ref="A4969">IFNA(index(PlayerValues!A:A,match(IFNA(vlookup(B4969,'Special Names'!A:B,2,FALSE),B4969),PlayerValues!E:E,0)),"N/A")</f>
        <v>14223</v>
      </c>
      <c r="B4969" s="4" t="s">
        <v>785</v>
      </c>
      <c r="C4969" s="4" t="s">
        <v>278</v>
      </c>
      <c r="D4969" s="94">
        <v>806.0</v>
      </c>
    </row>
    <row r="4970">
      <c r="A4970" s="40">
        <f t="array" ref="A4970">IFNA(index(PlayerValues!A:A,match(IFNA(vlookup(B4970,'Special Names'!A:B,2,FALSE),B4970),PlayerValues!E:E,0)),"N/A")</f>
        <v>13133</v>
      </c>
      <c r="B4970" s="4" t="s">
        <v>764</v>
      </c>
      <c r="C4970" s="4" t="s">
        <v>278</v>
      </c>
      <c r="D4970" s="94">
        <v>783.0</v>
      </c>
    </row>
    <row r="4971">
      <c r="A4971" s="40">
        <f t="array" ref="A4971">IFNA(index(PlayerValues!A:A,match(IFNA(vlookup(B4971,'Special Names'!A:B,2,FALSE),B4971),PlayerValues!E:E,0)),"N/A")</f>
        <v>16751</v>
      </c>
      <c r="B4971" s="4" t="s">
        <v>762</v>
      </c>
      <c r="C4971" s="4" t="s">
        <v>287</v>
      </c>
      <c r="D4971" s="94">
        <v>732.0</v>
      </c>
    </row>
    <row r="4972">
      <c r="A4972" s="40">
        <f t="array" ref="A4972">IFNA(index(PlayerValues!A:A,match(IFNA(vlookup(B4972,'Special Names'!A:B,2,FALSE),B4972),PlayerValues!E:E,0)),"N/A")</f>
        <v>16625</v>
      </c>
      <c r="B4972" s="4" t="s">
        <v>778</v>
      </c>
      <c r="C4972" s="4" t="s">
        <v>287</v>
      </c>
      <c r="D4972" s="94">
        <v>729.0</v>
      </c>
    </row>
    <row r="4973">
      <c r="A4973" s="40">
        <f t="array" ref="A4973">IFNA(index(PlayerValues!A:A,match(IFNA(vlookup(B4973,'Special Names'!A:B,2,FALSE),B4973),PlayerValues!E:E,0)),"N/A")</f>
        <v>15263</v>
      </c>
      <c r="B4973" s="4" t="s">
        <v>804</v>
      </c>
      <c r="C4973" s="4" t="s">
        <v>278</v>
      </c>
      <c r="D4973" s="94">
        <v>712.0</v>
      </c>
    </row>
    <row r="4974">
      <c r="A4974" s="40">
        <f t="array" ref="A4974">IFNA(index(PlayerValues!A:A,match(IFNA(vlookup(B4974,'Special Names'!A:B,2,FALSE),B4974),PlayerValues!E:E,0)),"N/A")</f>
        <v>17337</v>
      </c>
      <c r="B4974" s="4" t="s">
        <v>793</v>
      </c>
      <c r="C4974" s="4" t="s">
        <v>278</v>
      </c>
      <c r="D4974" s="94">
        <v>703.0</v>
      </c>
    </row>
    <row r="4975">
      <c r="A4975" s="40">
        <f t="array" ref="A4975">IFNA(index(PlayerValues!A:A,match(IFNA(vlookup(B4975,'Special Names'!A:B,2,FALSE),B4975),PlayerValues!E:E,0)),"N/A")</f>
        <v>17545</v>
      </c>
      <c r="B4975" s="4" t="s">
        <v>719</v>
      </c>
      <c r="C4975" s="4" t="s">
        <v>298</v>
      </c>
      <c r="D4975" s="94">
        <v>1052.0</v>
      </c>
    </row>
    <row r="4976">
      <c r="A4976" s="40">
        <f t="array" ref="A4976">IFNA(index(PlayerValues!A:A,match(IFNA(vlookup(B4976,'Special Names'!A:B,2,FALSE),B4976),PlayerValues!E:E,0)),"N/A")</f>
        <v>15723</v>
      </c>
      <c r="B4976" s="4" t="s">
        <v>798</v>
      </c>
      <c r="C4976" s="4" t="s">
        <v>278</v>
      </c>
      <c r="D4976" s="94">
        <v>636.0</v>
      </c>
    </row>
    <row r="4977">
      <c r="A4977" s="40">
        <f t="array" ref="A4977">IFNA(index(PlayerValues!A:A,match(IFNA(vlookup(B4977,'Special Names'!A:B,2,FALSE),B4977),PlayerValues!E:E,0)),"N/A")</f>
        <v>16299</v>
      </c>
      <c r="B4977" s="4" t="s">
        <v>787</v>
      </c>
      <c r="C4977" s="4" t="s">
        <v>287</v>
      </c>
      <c r="D4977" s="94">
        <v>633.0</v>
      </c>
    </row>
    <row r="4978">
      <c r="A4978" s="40">
        <f t="array" ref="A4978">IFNA(index(PlayerValues!A:A,match(IFNA(vlookup(B4978,'Special Names'!A:B,2,FALSE),B4978),PlayerValues!E:E,0)),"N/A")</f>
        <v>16686</v>
      </c>
      <c r="B4978" s="4" t="s">
        <v>805</v>
      </c>
      <c r="C4978" s="4" t="s">
        <v>287</v>
      </c>
      <c r="D4978" s="94">
        <v>622.0</v>
      </c>
    </row>
    <row r="4979">
      <c r="A4979" s="40">
        <f t="array" ref="A4979">IFNA(index(PlayerValues!A:A,match(IFNA(vlookup(B4979,'Special Names'!A:B,2,FALSE),B4979),PlayerValues!E:E,0)),"N/A")</f>
        <v>13143</v>
      </c>
      <c r="B4979" s="4" t="s">
        <v>786</v>
      </c>
      <c r="C4979" s="4" t="s">
        <v>278</v>
      </c>
      <c r="D4979" s="94">
        <v>621.0</v>
      </c>
    </row>
    <row r="4980">
      <c r="A4980" s="40">
        <f t="array" ref="A4980">IFNA(index(PlayerValues!A:A,match(IFNA(vlookup(B4980,'Special Names'!A:B,2,FALSE),B4980),PlayerValues!E:E,0)),"N/A")</f>
        <v>16957</v>
      </c>
      <c r="B4980" s="4" t="s">
        <v>806</v>
      </c>
      <c r="C4980" s="4" t="s">
        <v>278</v>
      </c>
      <c r="D4980" s="94">
        <v>616.0</v>
      </c>
    </row>
    <row r="4981">
      <c r="A4981" s="40">
        <f t="array" ref="A4981">IFNA(index(PlayerValues!A:A,match(IFNA(vlookup(B4981,'Special Names'!A:B,2,FALSE),B4981),PlayerValues!E:E,0)),"N/A")</f>
        <v>16413</v>
      </c>
      <c r="B4981" s="4" t="s">
        <v>781</v>
      </c>
      <c r="C4981" s="4" t="s">
        <v>287</v>
      </c>
      <c r="D4981" s="94">
        <v>599.0</v>
      </c>
    </row>
    <row r="4982">
      <c r="A4982" s="40">
        <f t="array" ref="A4982">IFNA(index(PlayerValues!A:A,match(IFNA(vlookup(B4982,'Special Names'!A:B,2,FALSE),B4982),PlayerValues!E:E,0)),"N/A")</f>
        <v>14864</v>
      </c>
      <c r="B4982" s="4" t="s">
        <v>789</v>
      </c>
      <c r="C4982" s="4" t="s">
        <v>287</v>
      </c>
      <c r="D4982" s="94">
        <v>593.0</v>
      </c>
    </row>
    <row r="4983">
      <c r="A4983" s="40">
        <f t="array" ref="A4983">IFNA(index(PlayerValues!A:A,match(IFNA(vlookup(B4983,'Special Names'!A:B,2,FALSE),B4983),PlayerValues!E:E,0)),"N/A")</f>
        <v>17038</v>
      </c>
      <c r="B4983" s="4" t="s">
        <v>774</v>
      </c>
      <c r="C4983" s="4" t="s">
        <v>283</v>
      </c>
      <c r="D4983" s="94">
        <v>576.0</v>
      </c>
    </row>
    <row r="4984">
      <c r="A4984" s="40">
        <f t="array" ref="A4984">IFNA(index(PlayerValues!A:A,match(IFNA(vlookup(B4984,'Special Names'!A:B,2,FALSE),B4984),PlayerValues!E:E,0)),"N/A")</f>
        <v>17232</v>
      </c>
      <c r="B4984" s="4" t="s">
        <v>784</v>
      </c>
      <c r="C4984" s="4" t="s">
        <v>287</v>
      </c>
      <c r="D4984" s="94">
        <v>574.0</v>
      </c>
    </row>
    <row r="4985">
      <c r="A4985" s="40">
        <f t="array" ref="A4985">IFNA(index(PlayerValues!A:A,match(IFNA(vlookup(B4985,'Special Names'!A:B,2,FALSE),B4985),PlayerValues!E:E,0)),"N/A")</f>
        <v>17542</v>
      </c>
      <c r="B4985" s="4" t="s">
        <v>685</v>
      </c>
      <c r="C4985" s="4" t="s">
        <v>287</v>
      </c>
      <c r="D4985" s="94">
        <v>558.0</v>
      </c>
    </row>
    <row r="4986">
      <c r="A4986" s="40">
        <f t="array" ref="A4986">IFNA(index(PlayerValues!A:A,match(IFNA(vlookup(B4986,'Special Names'!A:B,2,FALSE),B4986),PlayerValues!E:E,0)),"N/A")</f>
        <v>14805</v>
      </c>
      <c r="B4986" s="4" t="s">
        <v>770</v>
      </c>
      <c r="C4986" s="4" t="s">
        <v>278</v>
      </c>
      <c r="D4986" s="94">
        <v>552.0</v>
      </c>
    </row>
    <row r="4987">
      <c r="A4987" s="40">
        <f t="array" ref="A4987">IFNA(index(PlayerValues!A:A,match(IFNA(vlookup(B4987,'Special Names'!A:B,2,FALSE),B4987),PlayerValues!E:E,0)),"N/A")</f>
        <v>16613</v>
      </c>
      <c r="B4987" s="4" t="s">
        <v>782</v>
      </c>
      <c r="C4987" s="4" t="s">
        <v>278</v>
      </c>
      <c r="D4987" s="94">
        <v>536.0</v>
      </c>
    </row>
    <row r="4988">
      <c r="A4988" s="40">
        <f t="array" ref="A4988">IFNA(index(PlayerValues!A:A,match(IFNA(vlookup(B4988,'Special Names'!A:B,2,FALSE),B4988),PlayerValues!E:E,0)),"N/A")</f>
        <v>15796</v>
      </c>
      <c r="B4988" s="4" t="s">
        <v>794</v>
      </c>
      <c r="C4988" s="4" t="s">
        <v>298</v>
      </c>
      <c r="D4988" s="94">
        <v>877.0</v>
      </c>
    </row>
    <row r="4989">
      <c r="A4989" s="40">
        <f t="array" ref="A4989">IFNA(index(PlayerValues!A:A,match(IFNA(vlookup(B4989,'Special Names'!A:B,2,FALSE),B4989),PlayerValues!E:E,0)),"N/A")</f>
        <v>13176</v>
      </c>
      <c r="B4989" s="4" t="s">
        <v>807</v>
      </c>
      <c r="C4989" s="4" t="s">
        <v>287</v>
      </c>
      <c r="D4989" s="94">
        <v>506.0</v>
      </c>
    </row>
    <row r="4990">
      <c r="A4990" s="40">
        <f t="array" ref="A4990">IFNA(index(PlayerValues!A:A,match(IFNA(vlookup(B4990,'Special Names'!A:B,2,FALSE),B4990),PlayerValues!E:E,0)),"N/A")</f>
        <v>15271</v>
      </c>
      <c r="B4990" s="4" t="s">
        <v>741</v>
      </c>
      <c r="C4990" s="4" t="s">
        <v>278</v>
      </c>
      <c r="D4990" s="94">
        <v>501.0</v>
      </c>
    </row>
    <row r="4991">
      <c r="A4991" s="40">
        <f t="array" ref="A4991">IFNA(index(PlayerValues!A:A,match(IFNA(vlookup(B4991,'Special Names'!A:B,2,FALSE),B4991),PlayerValues!E:E,0)),"N/A")</f>
        <v>17348</v>
      </c>
      <c r="B4991" s="4" t="s">
        <v>797</v>
      </c>
      <c r="C4991" s="4" t="s">
        <v>278</v>
      </c>
      <c r="D4991" s="94">
        <v>501.0</v>
      </c>
    </row>
    <row r="4992">
      <c r="A4992" s="40">
        <f t="array" ref="A4992">IFNA(index(PlayerValues!A:A,match(IFNA(vlookup(B4992,'Special Names'!A:B,2,FALSE),B4992),PlayerValues!E:E,0)),"N/A")</f>
        <v>14858</v>
      </c>
      <c r="B4992" s="4" t="s">
        <v>799</v>
      </c>
      <c r="C4992" s="4" t="s">
        <v>287</v>
      </c>
      <c r="D4992" s="94">
        <v>497.0</v>
      </c>
    </row>
    <row r="4993">
      <c r="A4993" s="40">
        <f t="array" ref="A4993">IFNA(index(PlayerValues!A:A,match(IFNA(vlookup(B4993,'Special Names'!A:B,2,FALSE),B4993),PlayerValues!E:E,0)),"N/A")</f>
        <v>13641</v>
      </c>
      <c r="B4993" s="4" t="s">
        <v>808</v>
      </c>
      <c r="C4993" s="4" t="s">
        <v>287</v>
      </c>
      <c r="D4993" s="94">
        <v>496.0</v>
      </c>
    </row>
    <row r="4994">
      <c r="A4994" s="40">
        <f t="array" ref="A4994">IFNA(index(PlayerValues!A:A,match(IFNA(vlookup(B4994,'Special Names'!A:B,2,FALSE),B4994),PlayerValues!E:E,0)),"N/A")</f>
        <v>14209</v>
      </c>
      <c r="B4994" s="4" t="s">
        <v>809</v>
      </c>
      <c r="C4994" s="4" t="s">
        <v>298</v>
      </c>
      <c r="D4994" s="94">
        <v>836.0</v>
      </c>
    </row>
    <row r="4995">
      <c r="A4995" s="40">
        <f t="array" ref="A4995">IFNA(index(PlayerValues!A:A,match(IFNA(vlookup(B4995,'Special Names'!A:B,2,FALSE),B4995),PlayerValues!E:E,0)),"N/A")</f>
        <v>17243</v>
      </c>
      <c r="B4995" s="4" t="s">
        <v>810</v>
      </c>
      <c r="C4995" s="4" t="s">
        <v>298</v>
      </c>
      <c r="D4995" s="94">
        <v>832.0</v>
      </c>
    </row>
    <row r="4996">
      <c r="A4996" s="40">
        <f t="array" ref="A4996">IFNA(index(PlayerValues!A:A,match(IFNA(vlookup(B4996,'Special Names'!A:B,2,FALSE),B4996),PlayerValues!E:E,0)),"N/A")</f>
        <v>14113</v>
      </c>
      <c r="B4996" s="4" t="s">
        <v>788</v>
      </c>
      <c r="C4996" s="4" t="s">
        <v>287</v>
      </c>
      <c r="D4996" s="94">
        <v>484.0</v>
      </c>
    </row>
    <row r="4997">
      <c r="A4997" s="40">
        <f t="array" ref="A4997">IFNA(index(PlayerValues!A:A,match(IFNA(vlookup(B4997,'Special Names'!A:B,2,FALSE),B4997),PlayerValues!E:E,0)),"N/A")</f>
        <v>10413</v>
      </c>
      <c r="B4997" s="4" t="s">
        <v>811</v>
      </c>
      <c r="C4997" s="4" t="s">
        <v>283</v>
      </c>
      <c r="D4997" s="94">
        <v>482.0</v>
      </c>
    </row>
    <row r="4998">
      <c r="A4998" s="40">
        <f t="array" ref="A4998">IFNA(index(PlayerValues!A:A,match(IFNA(vlookup(B4998,'Special Names'!A:B,2,FALSE),B4998),PlayerValues!E:E,0)),"N/A")</f>
        <v>16176</v>
      </c>
      <c r="B4998" s="4" t="s">
        <v>812</v>
      </c>
      <c r="C4998" s="4" t="s">
        <v>278</v>
      </c>
      <c r="D4998" s="94">
        <v>482.0</v>
      </c>
    </row>
    <row r="4999">
      <c r="A4999" s="40">
        <f t="array" ref="A4999">IFNA(index(PlayerValues!A:A,match(IFNA(vlookup(B4999,'Special Names'!A:B,2,FALSE),B4999),PlayerValues!E:E,0)),"N/A")</f>
        <v>14358</v>
      </c>
      <c r="B4999" s="4" t="s">
        <v>813</v>
      </c>
      <c r="C4999" s="4" t="s">
        <v>283</v>
      </c>
      <c r="D4999" s="94">
        <v>479.0</v>
      </c>
    </row>
    <row r="5000">
      <c r="A5000" s="40">
        <f t="array" ref="A5000">IFNA(index(PlayerValues!A:A,match(IFNA(vlookup(B5000,'Special Names'!A:B,2,FALSE),B5000),PlayerValues!E:E,0)),"N/A")</f>
        <v>17709</v>
      </c>
      <c r="B5000" s="4" t="s">
        <v>814</v>
      </c>
      <c r="C5000" s="4" t="s">
        <v>278</v>
      </c>
      <c r="D5000" s="94">
        <v>9.0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16161</v>
      </c>
      <c r="B1" s="4" t="s">
        <v>277</v>
      </c>
      <c r="C1" s="4" t="s">
        <v>278</v>
      </c>
      <c r="D1" s="94">
        <v>9997.0</v>
      </c>
    </row>
    <row r="2">
      <c r="A2" s="40">
        <f t="array" ref="A2">IFNA(index(PlayerValues!A:A,match(IFNA(vlookup(B2,'Special Names'!A:B,2,FALSE),B2),PlayerValues!E:E,0)),"N/A")</f>
        <v>13589</v>
      </c>
      <c r="B2" s="4" t="s">
        <v>282</v>
      </c>
      <c r="C2" s="4" t="s">
        <v>283</v>
      </c>
      <c r="D2" s="94">
        <v>9996.0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9984.0</v>
      </c>
    </row>
    <row r="4">
      <c r="A4" s="40">
        <f t="array" ref="A4">IFNA(index(PlayerValues!A:A,match(IFNA(vlookup(B4,'Special Names'!A:B,2,FALSE),B4),PlayerValues!E:E,0)),"N/A")</f>
        <v>16162</v>
      </c>
      <c r="B4" s="4" t="s">
        <v>281</v>
      </c>
      <c r="C4" s="4" t="s">
        <v>278</v>
      </c>
      <c r="D4" s="94">
        <v>9919.0</v>
      </c>
    </row>
    <row r="5">
      <c r="A5" s="40">
        <f t="array" ref="A5">IFNA(index(PlayerValues!A:A,match(IFNA(vlookup(B5,'Special Names'!A:B,2,FALSE),B5),PlayerValues!E:E,0)),"N/A")</f>
        <v>16185</v>
      </c>
      <c r="B5" s="4" t="s">
        <v>290</v>
      </c>
      <c r="C5" s="4" t="s">
        <v>287</v>
      </c>
      <c r="D5" s="94">
        <v>9590.0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9437.0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8741.0</v>
      </c>
    </row>
    <row r="8">
      <c r="A8" s="40">
        <f t="array" ref="A8">IFNA(index(PlayerValues!A:A,match(IFNA(vlookup(B8,'Special Names'!A:B,2,FALSE),B8),PlayerValues!E:E,0)),"N/A")</f>
        <v>16641</v>
      </c>
      <c r="B8" s="4" t="s">
        <v>297</v>
      </c>
      <c r="C8" s="4" t="s">
        <v>298</v>
      </c>
      <c r="D8" s="94">
        <v>8999.0</v>
      </c>
    </row>
    <row r="9">
      <c r="A9" s="40">
        <f t="array" ref="A9">IFNA(index(PlayerValues!A:A,match(IFNA(vlookup(B9,'Special Names'!A:B,2,FALSE),B9),PlayerValues!E:E,0)),"N/A")</f>
        <v>16579</v>
      </c>
      <c r="B9" s="4" t="s">
        <v>302</v>
      </c>
      <c r="C9" s="4" t="s">
        <v>283</v>
      </c>
      <c r="D9" s="94">
        <v>8035.0</v>
      </c>
    </row>
    <row r="10">
      <c r="A10" s="40">
        <f t="array" ref="A10">IFNA(index(PlayerValues!A:A,match(IFNA(vlookup(B10,'Special Names'!A:B,2,FALSE),B10),PlayerValues!E:E,0)),"N/A")</f>
        <v>15287</v>
      </c>
      <c r="B10" s="4" t="s">
        <v>299</v>
      </c>
      <c r="C10" s="4" t="s">
        <v>287</v>
      </c>
      <c r="D10" s="94">
        <v>7905.0</v>
      </c>
    </row>
    <row r="11">
      <c r="A11" s="40">
        <f t="array" ref="A11">IFNA(index(PlayerValues!A:A,match(IFNA(vlookup(B11,'Special Names'!A:B,2,FALSE),B11),PlayerValues!E:E,0)),"N/A")</f>
        <v>16581</v>
      </c>
      <c r="B11" s="4" t="s">
        <v>315</v>
      </c>
      <c r="C11" s="4" t="s">
        <v>283</v>
      </c>
      <c r="D11" s="94">
        <v>7816.0</v>
      </c>
    </row>
    <row r="12">
      <c r="A12" s="40">
        <f t="array" ref="A12">IFNA(index(PlayerValues!A:A,match(IFNA(vlookup(B12,'Special Names'!A:B,2,FALSE),B12),PlayerValues!E:E,0)),"N/A")</f>
        <v>17042</v>
      </c>
      <c r="B12" s="4" t="s">
        <v>314</v>
      </c>
      <c r="C12" s="4" t="s">
        <v>278</v>
      </c>
      <c r="D12" s="94">
        <v>7673.0</v>
      </c>
    </row>
    <row r="13">
      <c r="A13" s="40">
        <f t="array" ref="A13">IFNA(index(PlayerValues!A:A,match(IFNA(vlookup(B13,'Special Names'!A:B,2,FALSE),B13),PlayerValues!E:E,0)),"N/A")</f>
        <v>14836</v>
      </c>
      <c r="B13" s="4" t="s">
        <v>306</v>
      </c>
      <c r="C13" s="4" t="s">
        <v>287</v>
      </c>
      <c r="D13" s="94">
        <v>7601.0</v>
      </c>
    </row>
    <row r="14">
      <c r="A14" s="40">
        <f t="array" ref="A14">IFNA(index(PlayerValues!A:A,match(IFNA(vlookup(B14,'Special Names'!A:B,2,FALSE),B14),PlayerValues!E:E,0)),"N/A")</f>
        <v>13593</v>
      </c>
      <c r="B14" s="4" t="s">
        <v>305</v>
      </c>
      <c r="C14" s="4" t="s">
        <v>283</v>
      </c>
      <c r="D14" s="94">
        <v>7596.0</v>
      </c>
    </row>
    <row r="15">
      <c r="A15" s="40">
        <f t="array" ref="A15">IFNA(index(PlayerValues!A:A,match(IFNA(vlookup(B15,'Special Names'!A:B,2,FALSE),B15),PlayerValues!E:E,0)),"N/A")</f>
        <v>17472</v>
      </c>
      <c r="B15" s="4" t="s">
        <v>310</v>
      </c>
      <c r="C15" s="4" t="s">
        <v>278</v>
      </c>
      <c r="D15" s="94">
        <v>7589.0</v>
      </c>
    </row>
    <row r="16">
      <c r="A16" s="40">
        <f t="array" ref="A16">IFNA(index(PlayerValues!A:A,match(IFNA(vlookup(B16,'Special Names'!A:B,2,FALSE),B16),PlayerValues!E:E,0)),"N/A")</f>
        <v>16615</v>
      </c>
      <c r="B16" s="4" t="s">
        <v>309</v>
      </c>
      <c r="C16" s="4" t="s">
        <v>287</v>
      </c>
      <c r="D16" s="94">
        <v>7471.0</v>
      </c>
    </row>
    <row r="17">
      <c r="A17" s="40">
        <f t="array" ref="A17">IFNA(index(PlayerValues!A:A,match(IFNA(vlookup(B17,'Special Names'!A:B,2,FALSE),B17),PlayerValues!E:E,0)),"N/A")</f>
        <v>14777</v>
      </c>
      <c r="B17" s="4" t="s">
        <v>318</v>
      </c>
      <c r="C17" s="4" t="s">
        <v>283</v>
      </c>
      <c r="D17" s="94">
        <v>7460.0</v>
      </c>
    </row>
    <row r="18">
      <c r="A18" s="40">
        <f t="array" ref="A18">IFNA(index(PlayerValues!A:A,match(IFNA(vlookup(B18,'Special Names'!A:B,2,FALSE),B18),PlayerValues!E:E,0)),"N/A")</f>
        <v>15794</v>
      </c>
      <c r="B18" s="4" t="s">
        <v>313</v>
      </c>
      <c r="C18" s="4" t="s">
        <v>298</v>
      </c>
      <c r="D18" s="94">
        <v>8138.0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7228.0</v>
      </c>
    </row>
    <row r="20">
      <c r="A20" s="40">
        <f t="array" ref="A20">IFNA(index(PlayerValues!A:A,match(IFNA(vlookup(B20,'Special Names'!A:B,2,FALSE),B20),PlayerValues!E:E,0)),"N/A")</f>
        <v>15751</v>
      </c>
      <c r="B20" s="4" t="s">
        <v>328</v>
      </c>
      <c r="C20" s="4" t="s">
        <v>287</v>
      </c>
      <c r="D20" s="94">
        <v>7177.0</v>
      </c>
    </row>
    <row r="21">
      <c r="A21" s="40" t="str">
        <f t="array" ref="A21">IFNA(index(PlayerValues!A:A,match(IFNA(vlookup(B21,'Special Names'!A:B,2,FALSE),B21),PlayerValues!E:E,0)),"N/A")</f>
        <v>N/A</v>
      </c>
      <c r="B21" s="4" t="s">
        <v>92</v>
      </c>
      <c r="C21" s="4" t="s">
        <v>325</v>
      </c>
      <c r="D21" s="94">
        <v>7064.0</v>
      </c>
    </row>
    <row r="22">
      <c r="A22" s="40">
        <f t="array" ref="A22">IFNA(index(PlayerValues!A:A,match(IFNA(vlookup(B22,'Special Names'!A:B,2,FALSE),B22),PlayerValues!E:E,0)),"N/A")</f>
        <v>14779</v>
      </c>
      <c r="B22" s="4" t="s">
        <v>327</v>
      </c>
      <c r="C22" s="4" t="s">
        <v>283</v>
      </c>
      <c r="D22" s="94">
        <v>6994.0</v>
      </c>
    </row>
    <row r="23">
      <c r="A23" s="40">
        <f t="array" ref="A23">IFNA(index(PlayerValues!A:A,match(IFNA(vlookup(B23,'Special Names'!A:B,2,FALSE),B23),PlayerValues!E:E,0)),"N/A")</f>
        <v>17044</v>
      </c>
      <c r="B23" s="4" t="s">
        <v>322</v>
      </c>
      <c r="C23" s="4" t="s">
        <v>278</v>
      </c>
      <c r="D23" s="94">
        <v>6855.0</v>
      </c>
    </row>
    <row r="24">
      <c r="A24" s="40">
        <f t="array" ref="A24">IFNA(index(PlayerValues!A:A,match(IFNA(vlookup(B24,'Special Names'!A:B,2,FALSE),B24),PlayerValues!E:E,0)),"N/A")</f>
        <v>16167</v>
      </c>
      <c r="B24" s="4" t="s">
        <v>323</v>
      </c>
      <c r="C24" s="4" t="s">
        <v>278</v>
      </c>
      <c r="D24" s="94">
        <v>6836.0</v>
      </c>
    </row>
    <row r="25">
      <c r="A25" s="40">
        <f t="array" ref="A25">IFNA(index(PlayerValues!A:A,match(IFNA(vlookup(B25,'Special Names'!A:B,2,FALSE),B25),PlayerValues!E:E,0)),"N/A")</f>
        <v>13116</v>
      </c>
      <c r="B25" s="4" t="s">
        <v>345</v>
      </c>
      <c r="C25" s="4" t="s">
        <v>283</v>
      </c>
      <c r="D25" s="94">
        <v>6645.0</v>
      </c>
    </row>
    <row r="26">
      <c r="A26" s="40">
        <f t="array" ref="A26">IFNA(index(PlayerValues!A:A,match(IFNA(vlookup(B26,'Special Names'!A:B,2,FALSE),B26),PlayerValues!E:E,0)),"N/A")</f>
        <v>17071</v>
      </c>
      <c r="B26" s="4" t="s">
        <v>341</v>
      </c>
      <c r="C26" s="4" t="s">
        <v>287</v>
      </c>
      <c r="D26" s="94">
        <v>6555.0</v>
      </c>
    </row>
    <row r="27">
      <c r="A27" s="40">
        <f t="array" ref="A27">IFNA(index(PlayerValues!A:A,match(IFNA(vlookup(B27,'Special Names'!A:B,2,FALSE),B27),PlayerValues!E:E,0)),"N/A")</f>
        <v>17032</v>
      </c>
      <c r="B27" s="4" t="s">
        <v>348</v>
      </c>
      <c r="C27" s="4" t="s">
        <v>283</v>
      </c>
      <c r="D27" s="94">
        <v>6449.0</v>
      </c>
    </row>
    <row r="28">
      <c r="A28" s="40">
        <f t="array" ref="A28">IFNA(index(PlayerValues!A:A,match(IFNA(vlookup(B28,'Special Names'!A:B,2,FALSE),B28),PlayerValues!E:E,0)),"N/A")</f>
        <v>15237</v>
      </c>
      <c r="B28" s="4" t="s">
        <v>336</v>
      </c>
      <c r="C28" s="4" t="s">
        <v>283</v>
      </c>
      <c r="D28" s="94">
        <v>6356.0</v>
      </c>
    </row>
    <row r="29">
      <c r="A29" s="40">
        <f t="array" ref="A29">IFNA(index(PlayerValues!A:A,match(IFNA(vlookup(B29,'Special Names'!A:B,2,FALSE),B29),PlayerValues!E:E,0)),"N/A")</f>
        <v>17104</v>
      </c>
      <c r="B29" s="4" t="s">
        <v>333</v>
      </c>
      <c r="C29" s="4" t="s">
        <v>298</v>
      </c>
      <c r="D29" s="94">
        <v>6911.0</v>
      </c>
    </row>
    <row r="30">
      <c r="A30" s="40">
        <f t="array" ref="A30">IFNA(index(PlayerValues!A:A,match(IFNA(vlookup(B30,'Special Names'!A:B,2,FALSE),B30),PlayerValues!E:E,0)),"N/A")</f>
        <v>14783</v>
      </c>
      <c r="B30" s="4" t="s">
        <v>342</v>
      </c>
      <c r="C30" s="4" t="s">
        <v>283</v>
      </c>
      <c r="D30" s="94">
        <v>6171.0</v>
      </c>
    </row>
    <row r="31">
      <c r="A31" s="40">
        <f t="array" ref="A31">IFNA(index(PlayerValues!A:A,match(IFNA(vlookup(B31,'Special Names'!A:B,2,FALSE),B31),PlayerValues!E:E,0)),"N/A")</f>
        <v>16582</v>
      </c>
      <c r="B31" s="4" t="s">
        <v>343</v>
      </c>
      <c r="C31" s="4" t="s">
        <v>283</v>
      </c>
      <c r="D31" s="94">
        <v>6073.0</v>
      </c>
    </row>
    <row r="32">
      <c r="A32" s="40">
        <f t="array" ref="A32">IFNA(index(PlayerValues!A:A,match(IFNA(vlookup(B32,'Special Names'!A:B,2,FALSE),B32),PlayerValues!E:E,0)),"N/A")</f>
        <v>17081</v>
      </c>
      <c r="B32" s="4" t="s">
        <v>340</v>
      </c>
      <c r="C32" s="4" t="s">
        <v>287</v>
      </c>
      <c r="D32" s="94">
        <v>6061.0</v>
      </c>
    </row>
    <row r="33">
      <c r="A33" s="40">
        <f t="array" ref="A33">IFNA(index(PlayerValues!A:A,match(IFNA(vlookup(B33,'Special Names'!A:B,2,FALSE),B33),PlayerValues!E:E,0)),"N/A")</f>
        <v>15715</v>
      </c>
      <c r="B33" s="4" t="s">
        <v>331</v>
      </c>
      <c r="C33" s="4" t="s">
        <v>278</v>
      </c>
      <c r="D33" s="94">
        <v>6044.0</v>
      </c>
    </row>
    <row r="34">
      <c r="A34" s="40">
        <f t="array" ref="A34">IFNA(index(PlayerValues!A:A,match(IFNA(vlookup(B34,'Special Names'!A:B,2,FALSE),B34),PlayerValues!E:E,0)),"N/A")</f>
        <v>14802</v>
      </c>
      <c r="B34" s="4" t="s">
        <v>332</v>
      </c>
      <c r="C34" s="4" t="s">
        <v>278</v>
      </c>
      <c r="D34" s="94">
        <v>6010.0</v>
      </c>
    </row>
    <row r="35">
      <c r="A35" s="40">
        <f t="array" ref="A35">IFNA(index(PlayerValues!A:A,match(IFNA(vlookup(B35,'Special Names'!A:B,2,FALSE),B35),PlayerValues!E:E,0)),"N/A")</f>
        <v>17497</v>
      </c>
      <c r="B35" s="4" t="s">
        <v>365</v>
      </c>
      <c r="C35" s="4" t="s">
        <v>287</v>
      </c>
      <c r="D35" s="94">
        <v>5957.0</v>
      </c>
    </row>
    <row r="36">
      <c r="A36" s="40">
        <f t="array" ref="A36">IFNA(index(PlayerValues!A:A,match(IFNA(vlookup(B36,'Special Names'!A:B,2,FALSE),B36),PlayerValues!E:E,0)),"N/A")</f>
        <v>15762</v>
      </c>
      <c r="B36" s="4" t="s">
        <v>337</v>
      </c>
      <c r="C36" s="4" t="s">
        <v>287</v>
      </c>
      <c r="D36" s="94">
        <v>5924.0</v>
      </c>
    </row>
    <row r="37">
      <c r="A37" s="40">
        <f t="array" ref="A37">IFNA(index(PlayerValues!A:A,match(IFNA(vlookup(B37,'Special Names'!A:B,2,FALSE),B37),PlayerValues!E:E,0)),"N/A")</f>
        <v>17102</v>
      </c>
      <c r="B37" s="4" t="s">
        <v>344</v>
      </c>
      <c r="C37" s="4" t="s">
        <v>298</v>
      </c>
      <c r="D37" s="94">
        <v>6499.0</v>
      </c>
    </row>
    <row r="38">
      <c r="A38" s="40">
        <f t="array" ref="A38">IFNA(index(PlayerValues!A:A,match(IFNA(vlookup(B38,'Special Names'!A:B,2,FALSE),B38),PlayerValues!E:E,0)),"N/A")</f>
        <v>15698</v>
      </c>
      <c r="B38" s="4" t="s">
        <v>358</v>
      </c>
      <c r="C38" s="4" t="s">
        <v>283</v>
      </c>
      <c r="D38" s="94">
        <v>5837.0</v>
      </c>
    </row>
    <row r="39">
      <c r="A39" s="40">
        <f t="array" ref="A39">IFNA(index(PlayerValues!A:A,match(IFNA(vlookup(B39,'Special Names'!A:B,2,FALSE),B39),PlayerValues!E:E,0)),"N/A")</f>
        <v>15753</v>
      </c>
      <c r="B39" s="4" t="s">
        <v>359</v>
      </c>
      <c r="C39" s="4" t="s">
        <v>287</v>
      </c>
      <c r="D39" s="94">
        <v>5683.0</v>
      </c>
    </row>
    <row r="40">
      <c r="A40" s="40" t="str">
        <f t="array" ref="A40">IFNA(index(PlayerValues!A:A,match(IFNA(vlookup(B40,'Special Names'!A:B,2,FALSE),B40),PlayerValues!E:E,0)),"N/A")</f>
        <v>N/A</v>
      </c>
      <c r="B40" s="4" t="s">
        <v>79</v>
      </c>
      <c r="C40" s="4" t="s">
        <v>325</v>
      </c>
      <c r="D40" s="94">
        <v>5602.0</v>
      </c>
    </row>
    <row r="41">
      <c r="A41" s="40" t="str">
        <f t="array" ref="A41">IFNA(index(PlayerValues!A:A,match(IFNA(vlookup(B41,'Special Names'!A:B,2,FALSE),B41),PlayerValues!E:E,0)),"N/A")</f>
        <v>N/A</v>
      </c>
      <c r="B41" s="4" t="s">
        <v>93</v>
      </c>
      <c r="C41" s="4" t="s">
        <v>325</v>
      </c>
      <c r="D41" s="94">
        <v>5601.0</v>
      </c>
    </row>
    <row r="42">
      <c r="A42" s="40">
        <f t="array" ref="A42">IFNA(index(PlayerValues!A:A,match(IFNA(vlookup(B42,'Special Names'!A:B,2,FALSE),B42),PlayerValues!E:E,0)),"N/A")</f>
        <v>15290</v>
      </c>
      <c r="B42" s="4" t="s">
        <v>355</v>
      </c>
      <c r="C42" s="4" t="s">
        <v>287</v>
      </c>
      <c r="D42" s="94">
        <v>5592.0</v>
      </c>
    </row>
    <row r="43">
      <c r="A43" s="40">
        <f t="array" ref="A43">IFNA(index(PlayerValues!A:A,match(IFNA(vlookup(B43,'Special Names'!A:B,2,FALSE),B43),PlayerValues!E:E,0)),"N/A")</f>
        <v>16627</v>
      </c>
      <c r="B43" s="4" t="s">
        <v>351</v>
      </c>
      <c r="C43" s="4" t="s">
        <v>287</v>
      </c>
      <c r="D43" s="94">
        <v>5568.0</v>
      </c>
    </row>
    <row r="44">
      <c r="A44" s="40">
        <f t="array" ref="A44">IFNA(index(PlayerValues!A:A,match(IFNA(vlookup(B44,'Special Names'!A:B,2,FALSE),B44),PlayerValues!E:E,0)),"N/A")</f>
        <v>17462</v>
      </c>
      <c r="B44" s="4" t="s">
        <v>375</v>
      </c>
      <c r="C44" s="4" t="s">
        <v>283</v>
      </c>
      <c r="D44" s="94">
        <v>5535.0</v>
      </c>
    </row>
    <row r="45">
      <c r="A45" s="40">
        <f t="array" ref="A45">IFNA(index(PlayerValues!A:A,match(IFNA(vlookup(B45,'Special Names'!A:B,2,FALSE),B45),PlayerValues!E:E,0)),"N/A")</f>
        <v>15754</v>
      </c>
      <c r="B45" s="4" t="s">
        <v>354</v>
      </c>
      <c r="C45" s="4" t="s">
        <v>287</v>
      </c>
      <c r="D45" s="94">
        <v>5527.0</v>
      </c>
    </row>
    <row r="46">
      <c r="A46" s="40">
        <f t="array" ref="A46">IFNA(index(PlayerValues!A:A,match(IFNA(vlookup(B46,'Special Names'!A:B,2,FALSE),B46),PlayerValues!E:E,0)),"N/A")</f>
        <v>17051</v>
      </c>
      <c r="B46" s="4" t="s">
        <v>386</v>
      </c>
      <c r="C46" s="4" t="s">
        <v>278</v>
      </c>
      <c r="D46" s="94">
        <v>5514.0</v>
      </c>
    </row>
    <row r="47">
      <c r="A47" s="40">
        <f t="array" ref="A47">IFNA(index(PlayerValues!A:A,match(IFNA(vlookup(B47,'Special Names'!A:B,2,FALSE),B47),PlayerValues!E:E,0)),"N/A")</f>
        <v>14782</v>
      </c>
      <c r="B47" s="4" t="s">
        <v>385</v>
      </c>
      <c r="C47" s="4" t="s">
        <v>283</v>
      </c>
      <c r="D47" s="94">
        <v>5513.0</v>
      </c>
    </row>
    <row r="48">
      <c r="A48" s="40">
        <f t="array" ref="A48">IFNA(index(PlayerValues!A:A,match(IFNA(vlookup(B48,'Special Names'!A:B,2,FALSE),B48),PlayerValues!E:E,0)),"N/A")</f>
        <v>17043</v>
      </c>
      <c r="B48" s="4" t="s">
        <v>397</v>
      </c>
      <c r="C48" s="4" t="s">
        <v>278</v>
      </c>
      <c r="D48" s="94">
        <v>5489.0</v>
      </c>
    </row>
    <row r="49">
      <c r="A49" s="40">
        <f t="array" ref="A49">IFNA(index(PlayerValues!A:A,match(IFNA(vlookup(B49,'Special Names'!A:B,2,FALSE),B49),PlayerValues!E:E,0)),"N/A")</f>
        <v>15711</v>
      </c>
      <c r="B49" s="4" t="s">
        <v>349</v>
      </c>
      <c r="C49" s="4" t="s">
        <v>278</v>
      </c>
      <c r="D49" s="94">
        <v>5486.0</v>
      </c>
    </row>
    <row r="50">
      <c r="A50" s="40">
        <f t="array" ref="A50">IFNA(index(PlayerValues!A:A,match(IFNA(vlookup(B50,'Special Names'!A:B,2,FALSE),B50),PlayerValues!E:E,0)),"N/A")</f>
        <v>15282</v>
      </c>
      <c r="B50" s="4" t="s">
        <v>364</v>
      </c>
      <c r="C50" s="4" t="s">
        <v>287</v>
      </c>
      <c r="D50" s="94">
        <v>5453.0</v>
      </c>
    </row>
    <row r="51">
      <c r="A51" s="40">
        <f t="array" ref="A51">IFNA(index(PlayerValues!A:A,match(IFNA(vlookup(B51,'Special Names'!A:B,2,FALSE),B51),PlayerValues!E:E,0)),"N/A")</f>
        <v>17070</v>
      </c>
      <c r="B51" s="4" t="s">
        <v>370</v>
      </c>
      <c r="C51" s="4" t="s">
        <v>287</v>
      </c>
      <c r="D51" s="94">
        <v>5404.0</v>
      </c>
    </row>
    <row r="52">
      <c r="A52" s="40">
        <f t="array" ref="A52">IFNA(index(PlayerValues!A:A,match(IFNA(vlookup(B52,'Special Names'!A:B,2,FALSE),B52),PlayerValues!E:E,0)),"N/A")</f>
        <v>15708</v>
      </c>
      <c r="B52" s="4" t="s">
        <v>382</v>
      </c>
      <c r="C52" s="4" t="s">
        <v>278</v>
      </c>
      <c r="D52" s="94">
        <v>5395.0</v>
      </c>
    </row>
    <row r="53">
      <c r="A53" s="40">
        <f t="array" ref="A53">IFNA(index(PlayerValues!A:A,match(IFNA(vlookup(B53,'Special Names'!A:B,2,FALSE),B53),PlayerValues!E:E,0)),"N/A")</f>
        <v>17498</v>
      </c>
      <c r="B53" s="4" t="s">
        <v>396</v>
      </c>
      <c r="C53" s="4" t="s">
        <v>287</v>
      </c>
      <c r="D53" s="94">
        <v>5394.0</v>
      </c>
    </row>
    <row r="54">
      <c r="A54" s="40">
        <f t="array" ref="A54">IFNA(index(PlayerValues!A:A,match(IFNA(vlookup(B54,'Special Names'!A:B,2,FALSE),B54),PlayerValues!E:E,0)),"N/A")</f>
        <v>17030</v>
      </c>
      <c r="B54" s="4" t="s">
        <v>406</v>
      </c>
      <c r="C54" s="4" t="s">
        <v>283</v>
      </c>
      <c r="D54" s="94">
        <v>5363.0</v>
      </c>
    </row>
    <row r="55">
      <c r="A55" s="40">
        <f t="array" ref="A55">IFNA(index(PlayerValues!A:A,match(IFNA(vlookup(B55,'Special Names'!A:B,2,FALSE),B55),PlayerValues!E:E,0)),"N/A")</f>
        <v>16616</v>
      </c>
      <c r="B55" s="4" t="s">
        <v>389</v>
      </c>
      <c r="C55" s="4" t="s">
        <v>287</v>
      </c>
      <c r="D55" s="94">
        <v>5273.0</v>
      </c>
    </row>
    <row r="56">
      <c r="A56" s="40">
        <f t="array" ref="A56">IFNA(index(PlayerValues!A:A,match(IFNA(vlookup(B56,'Special Names'!A:B,2,FALSE),B56),PlayerValues!E:E,0)),"N/A")</f>
        <v>16181</v>
      </c>
      <c r="B56" s="4" t="s">
        <v>350</v>
      </c>
      <c r="C56" s="4" t="s">
        <v>278</v>
      </c>
      <c r="D56" s="94">
        <v>5125.0</v>
      </c>
    </row>
    <row r="57">
      <c r="A57" s="40">
        <f t="array" ref="A57">IFNA(index(PlayerValues!A:A,match(IFNA(vlookup(B57,'Special Names'!A:B,2,FALSE),B57),PlayerValues!E:E,0)),"N/A")</f>
        <v>17499</v>
      </c>
      <c r="B57" s="4" t="s">
        <v>402</v>
      </c>
      <c r="C57" s="4" t="s">
        <v>287</v>
      </c>
      <c r="D57" s="94">
        <v>5095.0</v>
      </c>
    </row>
    <row r="58">
      <c r="A58" s="40" t="str">
        <f t="array" ref="A58">IFNA(index(PlayerValues!A:A,match(IFNA(vlookup(B58,'Special Names'!A:B,2,FALSE),B58),PlayerValues!E:E,0)),"N/A")</f>
        <v>N/A</v>
      </c>
      <c r="B58" s="4" t="s">
        <v>104</v>
      </c>
      <c r="C58" s="4" t="s">
        <v>325</v>
      </c>
      <c r="D58" s="94">
        <v>5016.0</v>
      </c>
    </row>
    <row r="59">
      <c r="A59" s="40">
        <f t="array" ref="A59">IFNA(index(PlayerValues!A:A,match(IFNA(vlookup(B59,'Special Names'!A:B,2,FALSE),B59),PlayerValues!E:E,0)),"N/A")</f>
        <v>13130</v>
      </c>
      <c r="B59" s="4" t="s">
        <v>374</v>
      </c>
      <c r="C59" s="4" t="s">
        <v>278</v>
      </c>
      <c r="D59" s="94">
        <v>4985.0</v>
      </c>
    </row>
    <row r="60">
      <c r="A60" s="40">
        <f t="array" ref="A60">IFNA(index(PlayerValues!A:A,match(IFNA(vlookup(B60,'Special Names'!A:B,2,FALSE),B60),PlayerValues!E:E,0)),"N/A")</f>
        <v>16614</v>
      </c>
      <c r="B60" s="4" t="s">
        <v>403</v>
      </c>
      <c r="C60" s="4" t="s">
        <v>287</v>
      </c>
      <c r="D60" s="94">
        <v>4968.0</v>
      </c>
    </row>
    <row r="61">
      <c r="A61" s="40">
        <f t="array" ref="A61">IFNA(index(PlayerValues!A:A,match(IFNA(vlookup(B61,'Special Names'!A:B,2,FALSE),B61),PlayerValues!E:E,0)),"N/A")</f>
        <v>14104</v>
      </c>
      <c r="B61" s="4" t="s">
        <v>379</v>
      </c>
      <c r="C61" s="4" t="s">
        <v>287</v>
      </c>
      <c r="D61" s="94">
        <v>4951.0</v>
      </c>
    </row>
    <row r="62">
      <c r="A62" s="40">
        <f t="array" ref="A62">IFNA(index(PlayerValues!A:A,match(IFNA(vlookup(B62,'Special Names'!A:B,2,FALSE),B62),PlayerValues!E:E,0)),"N/A")</f>
        <v>13604</v>
      </c>
      <c r="B62" s="4" t="s">
        <v>378</v>
      </c>
      <c r="C62" s="4" t="s">
        <v>278</v>
      </c>
      <c r="D62" s="94">
        <v>4946.0</v>
      </c>
    </row>
    <row r="63">
      <c r="A63" s="40">
        <f t="array" ref="A63">IFNA(index(PlayerValues!A:A,match(IFNA(vlookup(B63,'Special Names'!A:B,2,FALSE),B63),PlayerValues!E:E,0)),"N/A")</f>
        <v>14835</v>
      </c>
      <c r="B63" s="4" t="s">
        <v>392</v>
      </c>
      <c r="C63" s="4" t="s">
        <v>287</v>
      </c>
      <c r="D63" s="94">
        <v>4938.0</v>
      </c>
    </row>
    <row r="64">
      <c r="A64" s="40" t="str">
        <f t="array" ref="A64">IFNA(index(PlayerValues!A:A,match(IFNA(vlookup(B64,'Special Names'!A:B,2,FALSE),B64),PlayerValues!E:E,0)),"N/A")</f>
        <v>N/A</v>
      </c>
      <c r="B64" s="4" t="s">
        <v>94</v>
      </c>
      <c r="C64" s="4" t="s">
        <v>325</v>
      </c>
      <c r="D64" s="94">
        <v>4931.0</v>
      </c>
    </row>
    <row r="65">
      <c r="A65" s="40">
        <f t="array" ref="A65">IFNA(index(PlayerValues!A:A,match(IFNA(vlookup(B65,'Special Names'!A:B,2,FALSE),B65),PlayerValues!E:E,0)),"N/A")</f>
        <v>16222</v>
      </c>
      <c r="B65" s="4" t="s">
        <v>393</v>
      </c>
      <c r="C65" s="4" t="s">
        <v>298</v>
      </c>
      <c r="D65" s="94">
        <v>5496.0</v>
      </c>
    </row>
    <row r="66">
      <c r="A66" s="40">
        <f t="array" ref="A66">IFNA(index(PlayerValues!A:A,match(IFNA(vlookup(B66,'Special Names'!A:B,2,FALSE),B66),PlayerValues!E:E,0)),"N/A")</f>
        <v>16618</v>
      </c>
      <c r="B66" s="4" t="s">
        <v>411</v>
      </c>
      <c r="C66" s="4" t="s">
        <v>287</v>
      </c>
      <c r="D66" s="94">
        <v>4890.0</v>
      </c>
    </row>
    <row r="67">
      <c r="A67" s="40">
        <f t="array" ref="A67">IFNA(index(PlayerValues!A:A,match(IFNA(vlookup(B67,'Special Names'!A:B,2,FALSE),B67),PlayerValues!E:E,0)),"N/A")</f>
        <v>16190</v>
      </c>
      <c r="B67" s="4" t="s">
        <v>371</v>
      </c>
      <c r="C67" s="4" t="s">
        <v>287</v>
      </c>
      <c r="D67" s="94">
        <v>4888.0</v>
      </c>
    </row>
    <row r="68">
      <c r="A68" s="40">
        <f t="array" ref="A68">IFNA(index(PlayerValues!A:A,match(IFNA(vlookup(B68,'Special Names'!A:B,2,FALSE),B68),PlayerValues!E:E,0)),"N/A")</f>
        <v>12620</v>
      </c>
      <c r="B68" s="4" t="s">
        <v>394</v>
      </c>
      <c r="C68" s="4" t="s">
        <v>283</v>
      </c>
      <c r="D68" s="94">
        <v>4881.0</v>
      </c>
    </row>
    <row r="69">
      <c r="A69" s="40">
        <f t="array" ref="A69">IFNA(index(PlayerValues!A:A,match(IFNA(vlookup(B69,'Special Names'!A:B,2,FALSE),B69),PlayerValues!E:E,0)),"N/A")</f>
        <v>15710</v>
      </c>
      <c r="B69" s="4" t="s">
        <v>395</v>
      </c>
      <c r="C69" s="4" t="s">
        <v>278</v>
      </c>
      <c r="D69" s="94">
        <v>4864.0</v>
      </c>
    </row>
    <row r="70">
      <c r="A70" s="40">
        <f t="array" ref="A70">IFNA(index(PlayerValues!A:A,match(IFNA(vlookup(B70,'Special Names'!A:B,2,FALSE),B70),PlayerValues!E:E,0)),"N/A")</f>
        <v>17473</v>
      </c>
      <c r="B70" s="4" t="s">
        <v>391</v>
      </c>
      <c r="C70" s="4" t="s">
        <v>278</v>
      </c>
      <c r="D70" s="94">
        <v>4856.0</v>
      </c>
    </row>
    <row r="71">
      <c r="A71" s="40">
        <f t="array" ref="A71">IFNA(index(PlayerValues!A:A,match(IFNA(vlookup(B71,'Special Names'!A:B,2,FALSE),B71),PlayerValues!E:E,0)),"N/A")</f>
        <v>17103</v>
      </c>
      <c r="B71" s="4" t="s">
        <v>405</v>
      </c>
      <c r="C71" s="4" t="s">
        <v>298</v>
      </c>
      <c r="D71" s="94">
        <v>5411.0</v>
      </c>
    </row>
    <row r="72">
      <c r="A72" s="40">
        <f t="array" ref="A72">IFNA(index(PlayerValues!A:A,match(IFNA(vlookup(B72,'Special Names'!A:B,2,FALSE),B72),PlayerValues!E:E,0)),"N/A")</f>
        <v>16150</v>
      </c>
      <c r="B72" s="4" t="s">
        <v>414</v>
      </c>
      <c r="C72" s="4" t="s">
        <v>283</v>
      </c>
      <c r="D72" s="94">
        <v>4816.0</v>
      </c>
    </row>
    <row r="73">
      <c r="A73" s="40">
        <f t="array" ref="A73">IFNA(index(PlayerValues!A:A,match(IFNA(vlookup(B73,'Special Names'!A:B,2,FALSE),B73),PlayerValues!E:E,0)),"N/A")</f>
        <v>17039</v>
      </c>
      <c r="B73" s="4" t="s">
        <v>400</v>
      </c>
      <c r="C73" s="4" t="s">
        <v>283</v>
      </c>
      <c r="D73" s="94">
        <v>4816.0</v>
      </c>
    </row>
    <row r="74">
      <c r="A74" s="40">
        <f t="array" ref="A74">IFNA(index(PlayerValues!A:A,match(IFNA(vlookup(B74,'Special Names'!A:B,2,FALSE),B74),PlayerValues!E:E,0)),"N/A")</f>
        <v>17045</v>
      </c>
      <c r="B74" s="4" t="s">
        <v>407</v>
      </c>
      <c r="C74" s="4" t="s">
        <v>278</v>
      </c>
      <c r="D74" s="94">
        <v>4788.0</v>
      </c>
    </row>
    <row r="75">
      <c r="A75" s="40">
        <f t="array" ref="A75">IFNA(index(PlayerValues!A:A,match(IFNA(vlookup(B75,'Special Names'!A:B,2,FALSE),B75),PlayerValues!E:E,0)),"N/A")</f>
        <v>15284</v>
      </c>
      <c r="B75" s="4" t="s">
        <v>390</v>
      </c>
      <c r="C75" s="4" t="s">
        <v>287</v>
      </c>
      <c r="D75" s="94">
        <v>4767.0</v>
      </c>
    </row>
    <row r="76">
      <c r="A76" s="40">
        <f t="array" ref="A76">IFNA(index(PlayerValues!A:A,match(IFNA(vlookup(B76,'Special Names'!A:B,2,FALSE),B76),PlayerValues!E:E,0)),"N/A")</f>
        <v>16598</v>
      </c>
      <c r="B76" s="4" t="s">
        <v>408</v>
      </c>
      <c r="C76" s="4" t="s">
        <v>278</v>
      </c>
      <c r="D76" s="94">
        <v>4722.0</v>
      </c>
    </row>
    <row r="77">
      <c r="A77" s="40">
        <f t="array" ref="A77">IFNA(index(PlayerValues!A:A,match(IFNA(vlookup(B77,'Special Names'!A:B,2,FALSE),B77),PlayerValues!E:E,0)),"N/A")</f>
        <v>13590</v>
      </c>
      <c r="B77" s="4" t="s">
        <v>409</v>
      </c>
      <c r="C77" s="4" t="s">
        <v>283</v>
      </c>
      <c r="D77" s="94">
        <v>4707.0</v>
      </c>
    </row>
    <row r="78">
      <c r="A78" s="40">
        <f t="array" ref="A78">IFNA(index(PlayerValues!A:A,match(IFNA(vlookup(B78,'Special Names'!A:B,2,FALSE),B78),PlayerValues!E:E,0)),"N/A")</f>
        <v>12611</v>
      </c>
      <c r="B78" s="4" t="s">
        <v>410</v>
      </c>
      <c r="C78" s="4" t="s">
        <v>283</v>
      </c>
      <c r="D78" s="94">
        <v>4683.0</v>
      </c>
    </row>
    <row r="79">
      <c r="A79" s="40">
        <f t="array" ref="A79">IFNA(index(PlayerValues!A:A,match(IFNA(vlookup(B79,'Special Names'!A:B,2,FALSE),B79),PlayerValues!E:E,0)),"N/A")</f>
        <v>15756</v>
      </c>
      <c r="B79" s="4" t="s">
        <v>399</v>
      </c>
      <c r="C79" s="4" t="s">
        <v>287</v>
      </c>
      <c r="D79" s="94">
        <v>4678.0</v>
      </c>
    </row>
    <row r="80">
      <c r="A80" s="40">
        <f t="array" ref="A80">IFNA(index(PlayerValues!A:A,match(IFNA(vlookup(B80,'Special Names'!A:B,2,FALSE),B80),PlayerValues!E:E,0)),"N/A")</f>
        <v>16194</v>
      </c>
      <c r="B80" s="4" t="s">
        <v>398</v>
      </c>
      <c r="C80" s="4" t="s">
        <v>287</v>
      </c>
      <c r="D80" s="94">
        <v>4668.0</v>
      </c>
    </row>
    <row r="81">
      <c r="A81" s="40" t="str">
        <f t="array" ref="A81">IFNA(index(PlayerValues!A:A,match(IFNA(vlookup(B81,'Special Names'!A:B,2,FALSE),B81),PlayerValues!E:E,0)),"N/A")</f>
        <v>N/A</v>
      </c>
      <c r="B81" s="4" t="s">
        <v>105</v>
      </c>
      <c r="C81" s="4" t="s">
        <v>325</v>
      </c>
      <c r="D81" s="94">
        <v>4591.0</v>
      </c>
    </row>
    <row r="82">
      <c r="A82" s="40" t="str">
        <f t="array" ref="A82">IFNA(index(PlayerValues!A:A,match(IFNA(vlookup(B82,'Special Names'!A:B,2,FALSE),B82),PlayerValues!E:E,0)),"N/A")</f>
        <v>N/A</v>
      </c>
      <c r="B82" s="4" t="s">
        <v>80</v>
      </c>
      <c r="C82" s="4" t="s">
        <v>325</v>
      </c>
      <c r="D82" s="94">
        <v>4581.0</v>
      </c>
    </row>
    <row r="83">
      <c r="A83" s="40">
        <f t="array" ref="A83">IFNA(index(PlayerValues!A:A,match(IFNA(vlookup(B83,'Special Names'!A:B,2,FALSE),B83),PlayerValues!E:E,0)),"N/A")</f>
        <v>13592</v>
      </c>
      <c r="B83" s="4" t="s">
        <v>418</v>
      </c>
      <c r="C83" s="4" t="s">
        <v>283</v>
      </c>
      <c r="D83" s="94">
        <v>4519.0</v>
      </c>
    </row>
    <row r="84">
      <c r="A84" s="40">
        <f t="array" ref="A84">IFNA(index(PlayerValues!A:A,match(IFNA(vlookup(B84,'Special Names'!A:B,2,FALSE),B84),PlayerValues!E:E,0)),"N/A")</f>
        <v>15329</v>
      </c>
      <c r="B84" s="4" t="s">
        <v>416</v>
      </c>
      <c r="C84" s="4" t="s">
        <v>298</v>
      </c>
      <c r="D84" s="94">
        <v>5040.0</v>
      </c>
    </row>
    <row r="85">
      <c r="A85" s="40">
        <f t="array" ref="A85">IFNA(index(PlayerValues!A:A,match(IFNA(vlookup(B85,'Special Names'!A:B,2,FALSE),B85),PlayerValues!E:E,0)),"N/A")</f>
        <v>15256</v>
      </c>
      <c r="B85" s="4" t="s">
        <v>401</v>
      </c>
      <c r="C85" s="4" t="s">
        <v>278</v>
      </c>
      <c r="D85" s="94">
        <v>4486.0</v>
      </c>
    </row>
    <row r="86">
      <c r="A86" s="40">
        <f t="array" ref="A86">IFNA(index(PlayerValues!A:A,match(IFNA(vlookup(B86,'Special Names'!A:B,2,FALSE),B86),PlayerValues!E:E,0)),"N/A")</f>
        <v>16214</v>
      </c>
      <c r="B86" s="4" t="s">
        <v>413</v>
      </c>
      <c r="C86" s="4" t="s">
        <v>298</v>
      </c>
      <c r="D86" s="94">
        <v>5011.0</v>
      </c>
    </row>
    <row r="87">
      <c r="A87" s="40">
        <f t="array" ref="A87">IFNA(index(PlayerValues!A:A,match(IFNA(vlookup(B87,'Special Names'!A:B,2,FALSE),B87),PlayerValues!E:E,0)),"N/A")</f>
        <v>17501</v>
      </c>
      <c r="B87" s="4" t="s">
        <v>404</v>
      </c>
      <c r="C87" s="4" t="s">
        <v>287</v>
      </c>
      <c r="D87" s="94">
        <v>4470.0</v>
      </c>
    </row>
    <row r="88">
      <c r="A88" s="40">
        <f t="array" ref="A88">IFNA(index(PlayerValues!A:A,match(IFNA(vlookup(B88,'Special Names'!A:B,2,FALSE),B88),PlayerValues!E:E,0)),"N/A")</f>
        <v>15253</v>
      </c>
      <c r="B88" s="4" t="s">
        <v>415</v>
      </c>
      <c r="C88" s="4" t="s">
        <v>278</v>
      </c>
      <c r="D88" s="94">
        <v>4468.0</v>
      </c>
    </row>
    <row r="89">
      <c r="A89" s="40">
        <f t="array" ref="A89">IFNA(index(PlayerValues!A:A,match(IFNA(vlookup(B89,'Special Names'!A:B,2,FALSE),B89),PlayerValues!E:E,0)),"N/A")</f>
        <v>16148</v>
      </c>
      <c r="B89" s="4" t="s">
        <v>426</v>
      </c>
      <c r="C89" s="4" t="s">
        <v>283</v>
      </c>
      <c r="D89" s="94">
        <v>4320.0</v>
      </c>
    </row>
    <row r="90">
      <c r="A90" s="40" t="str">
        <f t="array" ref="A90">IFNA(index(PlayerValues!A:A,match(IFNA(vlookup(B90,'Special Names'!A:B,2,FALSE),B90),PlayerValues!E:E,0)),"N/A")</f>
        <v>N/A</v>
      </c>
      <c r="B90" s="4" t="s">
        <v>107</v>
      </c>
      <c r="C90" s="4" t="s">
        <v>325</v>
      </c>
      <c r="D90" s="94">
        <v>4128.0</v>
      </c>
    </row>
    <row r="91">
      <c r="A91" s="40">
        <f t="array" ref="A91">IFNA(index(PlayerValues!A:A,match(IFNA(vlookup(B91,'Special Names'!A:B,2,FALSE),B91),PlayerValues!E:E,0)),"N/A")</f>
        <v>14056</v>
      </c>
      <c r="B91" s="4" t="s">
        <v>423</v>
      </c>
      <c r="C91" s="4" t="s">
        <v>283</v>
      </c>
      <c r="D91" s="94">
        <v>4123.0</v>
      </c>
    </row>
    <row r="92">
      <c r="A92" s="40">
        <f t="array" ref="A92">IFNA(index(PlayerValues!A:A,match(IFNA(vlookup(B92,'Special Names'!A:B,2,FALSE),B92),PlayerValues!E:E,0)),"N/A")</f>
        <v>17052</v>
      </c>
      <c r="B92" s="4" t="s">
        <v>417</v>
      </c>
      <c r="C92" s="4" t="s">
        <v>278</v>
      </c>
      <c r="D92" s="94">
        <v>4116.0</v>
      </c>
    </row>
    <row r="93">
      <c r="A93" s="40">
        <f t="array" ref="A93">IFNA(index(PlayerValues!A:A,match(IFNA(vlookup(B93,'Special Names'!A:B,2,FALSE),B93),PlayerValues!E:E,0)),"N/A")</f>
        <v>17543</v>
      </c>
      <c r="B93" s="4" t="s">
        <v>436</v>
      </c>
      <c r="C93" s="4" t="s">
        <v>298</v>
      </c>
      <c r="D93" s="94">
        <v>4561.0</v>
      </c>
    </row>
    <row r="94">
      <c r="A94" s="40">
        <f t="array" ref="A94">IFNA(index(PlayerValues!A:A,match(IFNA(vlookup(B94,'Special Names'!A:B,2,FALSE),B94),PlayerValues!E:E,0)),"N/A")</f>
        <v>12626</v>
      </c>
      <c r="B94" s="4" t="s">
        <v>419</v>
      </c>
      <c r="C94" s="4" t="s">
        <v>278</v>
      </c>
      <c r="D94" s="94">
        <v>4005.0</v>
      </c>
    </row>
    <row r="95">
      <c r="A95" s="40">
        <f t="array" ref="A95">IFNA(index(PlayerValues!A:A,match(IFNA(vlookup(B95,'Special Names'!A:B,2,FALSE),B95),PlayerValues!E:E,0)),"N/A")</f>
        <v>15768</v>
      </c>
      <c r="B95" s="4" t="s">
        <v>432</v>
      </c>
      <c r="C95" s="4" t="s">
        <v>287</v>
      </c>
      <c r="D95" s="94">
        <v>3993.0</v>
      </c>
    </row>
    <row r="96">
      <c r="A96" s="40">
        <f t="array" ref="A96">IFNA(index(PlayerValues!A:A,match(IFNA(vlookup(B96,'Special Names'!A:B,2,FALSE),B96),PlayerValues!E:E,0)),"N/A")</f>
        <v>16186</v>
      </c>
      <c r="B96" s="4" t="s">
        <v>425</v>
      </c>
      <c r="C96" s="4" t="s">
        <v>287</v>
      </c>
      <c r="D96" s="94">
        <v>3956.0</v>
      </c>
    </row>
    <row r="97">
      <c r="A97" s="40">
        <f t="array" ref="A97">IFNA(index(PlayerValues!A:A,match(IFNA(vlookup(B97,'Special Names'!A:B,2,FALSE),B97),PlayerValues!E:E,0)),"N/A")</f>
        <v>14059</v>
      </c>
      <c r="B97" s="4" t="s">
        <v>435</v>
      </c>
      <c r="C97" s="4" t="s">
        <v>283</v>
      </c>
      <c r="D97" s="94">
        <v>3929.0</v>
      </c>
    </row>
    <row r="98">
      <c r="A98" s="40">
        <f t="array" ref="A98">IFNA(index(PlayerValues!A:A,match(IFNA(vlookup(B98,'Special Names'!A:B,2,FALSE),B98),PlayerValues!E:E,0)),"N/A")</f>
        <v>15789</v>
      </c>
      <c r="B98" s="4" t="s">
        <v>421</v>
      </c>
      <c r="C98" s="4" t="s">
        <v>287</v>
      </c>
      <c r="D98" s="94">
        <v>3898.0</v>
      </c>
    </row>
    <row r="99">
      <c r="A99" s="40" t="str">
        <f t="array" ref="A99">IFNA(index(PlayerValues!A:A,match(IFNA(vlookup(B99,'Special Names'!A:B,2,FALSE),B99),PlayerValues!E:E,0)),"N/A")</f>
        <v>N/A</v>
      </c>
      <c r="B99" s="4" t="s">
        <v>81</v>
      </c>
      <c r="C99" s="4" t="s">
        <v>325</v>
      </c>
      <c r="D99" s="94">
        <v>3888.0</v>
      </c>
    </row>
    <row r="100">
      <c r="A100" s="40" t="str">
        <f t="array" ref="A100">IFNA(index(PlayerValues!A:A,match(IFNA(vlookup(B100,'Special Names'!A:B,2,FALSE),B100),PlayerValues!E:E,0)),"N/A")</f>
        <v>N/A</v>
      </c>
      <c r="B100" s="4" t="s">
        <v>95</v>
      </c>
      <c r="C100" s="4" t="s">
        <v>325</v>
      </c>
      <c r="D100" s="94">
        <v>3887.0</v>
      </c>
    </row>
    <row r="101">
      <c r="A101" s="40">
        <f t="array" ref="A101">IFNA(index(PlayerValues!A:A,match(IFNA(vlookup(B101,'Special Names'!A:B,2,FALSE),B101),PlayerValues!E:E,0)),"N/A")</f>
        <v>14073</v>
      </c>
      <c r="B101" s="4" t="s">
        <v>464</v>
      </c>
      <c r="C101" s="4" t="s">
        <v>278</v>
      </c>
      <c r="D101" s="94">
        <v>3835.0</v>
      </c>
    </row>
    <row r="102">
      <c r="A102" s="40">
        <f t="array" ref="A102">IFNA(index(PlayerValues!A:A,match(IFNA(vlookup(B102,'Special Names'!A:B,2,FALSE),B102),PlayerValues!E:E,0)),"N/A")</f>
        <v>15694</v>
      </c>
      <c r="B102" s="4" t="s">
        <v>434</v>
      </c>
      <c r="C102" s="4" t="s">
        <v>283</v>
      </c>
      <c r="D102" s="94">
        <v>3820.0</v>
      </c>
    </row>
    <row r="103">
      <c r="A103" s="40">
        <f t="array" ref="A103">IFNA(index(PlayerValues!A:A,match(IFNA(vlookup(B103,'Special Names'!A:B,2,FALSE),B103),PlayerValues!E:E,0)),"N/A")</f>
        <v>9431</v>
      </c>
      <c r="B103" s="4" t="s">
        <v>428</v>
      </c>
      <c r="C103" s="4" t="s">
        <v>283</v>
      </c>
      <c r="D103" s="94">
        <v>3807.0</v>
      </c>
    </row>
    <row r="104">
      <c r="A104" s="40">
        <f t="array" ref="A104">IFNA(index(PlayerValues!A:A,match(IFNA(vlookup(B104,'Special Names'!A:B,2,FALSE),B104),PlayerValues!E:E,0)),"N/A")</f>
        <v>17502</v>
      </c>
      <c r="B104" s="4" t="s">
        <v>451</v>
      </c>
      <c r="C104" s="4" t="s">
        <v>287</v>
      </c>
      <c r="D104" s="94">
        <v>3711.0</v>
      </c>
    </row>
    <row r="105">
      <c r="A105" s="40">
        <f t="array" ref="A105">IFNA(index(PlayerValues!A:A,match(IFNA(vlookup(B105,'Special Names'!A:B,2,FALSE),B105),PlayerValues!E:E,0)),"N/A")</f>
        <v>16192</v>
      </c>
      <c r="B105" s="4" t="s">
        <v>412</v>
      </c>
      <c r="C105" s="4" t="s">
        <v>287</v>
      </c>
      <c r="D105" s="94">
        <v>3687.0</v>
      </c>
    </row>
    <row r="106">
      <c r="A106" s="40">
        <f t="array" ref="A106">IFNA(index(PlayerValues!A:A,match(IFNA(vlookup(B106,'Special Names'!A:B,2,FALSE),B106),PlayerValues!E:E,0)),"N/A")</f>
        <v>16187</v>
      </c>
      <c r="B106" s="4" t="s">
        <v>441</v>
      </c>
      <c r="C106" s="4" t="s">
        <v>287</v>
      </c>
      <c r="D106" s="94">
        <v>3671.0</v>
      </c>
    </row>
    <row r="107">
      <c r="A107" s="40">
        <f t="array" ref="A107">IFNA(index(PlayerValues!A:A,match(IFNA(vlookup(B107,'Special Names'!A:B,2,FALSE),B107),PlayerValues!E:E,0)),"N/A")</f>
        <v>14797</v>
      </c>
      <c r="B107" s="4" t="s">
        <v>420</v>
      </c>
      <c r="C107" s="4" t="s">
        <v>278</v>
      </c>
      <c r="D107" s="94">
        <v>3627.0</v>
      </c>
    </row>
    <row r="108">
      <c r="A108" s="40">
        <f t="array" ref="A108">IFNA(index(PlayerValues!A:A,match(IFNA(vlookup(B108,'Special Names'!A:B,2,FALSE),B108),PlayerValues!E:E,0)),"N/A")</f>
        <v>17075</v>
      </c>
      <c r="B108" s="4" t="s">
        <v>429</v>
      </c>
      <c r="C108" s="4" t="s">
        <v>287</v>
      </c>
      <c r="D108" s="94">
        <v>3622.0</v>
      </c>
    </row>
    <row r="109">
      <c r="A109" s="40">
        <f t="array" ref="A109">IFNA(index(PlayerValues!A:A,match(IFNA(vlookup(B109,'Special Names'!A:B,2,FALSE),B109),PlayerValues!E:E,0)),"N/A")</f>
        <v>13635</v>
      </c>
      <c r="B109" s="4" t="s">
        <v>424</v>
      </c>
      <c r="C109" s="4" t="s">
        <v>287</v>
      </c>
      <c r="D109" s="94">
        <v>3613.0</v>
      </c>
    </row>
    <row r="110">
      <c r="A110" s="40">
        <f t="array" ref="A110">IFNA(index(PlayerValues!A:A,match(IFNA(vlookup(B110,'Special Names'!A:B,2,FALSE),B110),PlayerValues!E:E,0)),"N/A")</f>
        <v>16206</v>
      </c>
      <c r="B110" s="4" t="s">
        <v>431</v>
      </c>
      <c r="C110" s="4" t="s">
        <v>287</v>
      </c>
      <c r="D110" s="94">
        <v>3604.0</v>
      </c>
    </row>
    <row r="111">
      <c r="A111" s="40">
        <f t="array" ref="A111">IFNA(index(PlayerValues!A:A,match(IFNA(vlookup(B111,'Special Names'!A:B,2,FALSE),B111),PlayerValues!E:E,0)),"N/A")</f>
        <v>17099</v>
      </c>
      <c r="B111" s="4" t="s">
        <v>474</v>
      </c>
      <c r="C111" s="4" t="s">
        <v>298</v>
      </c>
      <c r="D111" s="94">
        <v>4064.0</v>
      </c>
    </row>
    <row r="112">
      <c r="A112" s="40">
        <f t="array" ref="A112">IFNA(index(PlayerValues!A:A,match(IFNA(vlookup(B112,'Special Names'!A:B,2,FALSE),B112),PlayerValues!E:E,0)),"N/A")</f>
        <v>17544</v>
      </c>
      <c r="B112" s="4" t="s">
        <v>470</v>
      </c>
      <c r="C112" s="4" t="s">
        <v>298</v>
      </c>
      <c r="D112" s="94">
        <v>4054.0</v>
      </c>
    </row>
    <row r="113">
      <c r="A113" s="40">
        <f t="array" ref="A113">IFNA(index(PlayerValues!A:A,match(IFNA(vlookup(B113,'Special Names'!A:B,2,FALSE),B113),PlayerValues!E:E,0)),"N/A")</f>
        <v>17066</v>
      </c>
      <c r="B113" s="4" t="s">
        <v>446</v>
      </c>
      <c r="C113" s="4" t="s">
        <v>278</v>
      </c>
      <c r="D113" s="94">
        <v>3573.0</v>
      </c>
    </row>
    <row r="114">
      <c r="A114" s="40">
        <f t="array" ref="A114">IFNA(index(PlayerValues!A:A,match(IFNA(vlookup(B114,'Special Names'!A:B,2,FALSE),B114),PlayerValues!E:E,0)),"N/A")</f>
        <v>16188</v>
      </c>
      <c r="B114" s="4" t="s">
        <v>439</v>
      </c>
      <c r="C114" s="4" t="s">
        <v>287</v>
      </c>
      <c r="D114" s="94">
        <v>3570.0</v>
      </c>
    </row>
    <row r="115">
      <c r="A115" s="40">
        <f t="array" ref="A115">IFNA(index(PlayerValues!A:A,match(IFNA(vlookup(B115,'Special Names'!A:B,2,FALSE),B115),PlayerValues!E:E,0)),"N/A")</f>
        <v>17463</v>
      </c>
      <c r="B115" s="4" t="s">
        <v>433</v>
      </c>
      <c r="C115" s="4" t="s">
        <v>283</v>
      </c>
      <c r="D115" s="94">
        <v>3550.0</v>
      </c>
    </row>
    <row r="116">
      <c r="A116" s="40">
        <f t="array" ref="A116">IFNA(index(PlayerValues!A:A,match(IFNA(vlookup(B116,'Special Names'!A:B,2,FALSE),B116),PlayerValues!E:E,0)),"N/A")</f>
        <v>15757</v>
      </c>
      <c r="B116" s="4" t="s">
        <v>449</v>
      </c>
      <c r="C116" s="4" t="s">
        <v>287</v>
      </c>
      <c r="D116" s="94">
        <v>3491.0</v>
      </c>
    </row>
    <row r="117">
      <c r="A117" s="40">
        <f t="array" ref="A117">IFNA(index(PlayerValues!A:A,match(IFNA(vlookup(B117,'Special Names'!A:B,2,FALSE),B117),PlayerValues!E:E,0)),"N/A")</f>
        <v>14109</v>
      </c>
      <c r="B117" s="4" t="s">
        <v>437</v>
      </c>
      <c r="C117" s="4" t="s">
        <v>287</v>
      </c>
      <c r="D117" s="94">
        <v>3486.0</v>
      </c>
    </row>
    <row r="118">
      <c r="A118" s="40">
        <f t="array" ref="A118">IFNA(index(PlayerValues!A:A,match(IFNA(vlookup(B118,'Special Names'!A:B,2,FALSE),B118),PlayerValues!E:E,0)),"N/A")</f>
        <v>17500</v>
      </c>
      <c r="B118" s="4" t="s">
        <v>430</v>
      </c>
      <c r="C118" s="4" t="s">
        <v>287</v>
      </c>
      <c r="D118" s="94">
        <v>3461.0</v>
      </c>
    </row>
    <row r="119">
      <c r="A119" s="40" t="str">
        <f t="array" ref="A119">IFNA(index(PlayerValues!A:A,match(IFNA(vlookup(B119,'Special Names'!A:B,2,FALSE),B119),PlayerValues!E:E,0)),"N/A")</f>
        <v>N/A</v>
      </c>
      <c r="B119" s="4" t="s">
        <v>96</v>
      </c>
      <c r="C119" s="4" t="s">
        <v>325</v>
      </c>
      <c r="D119" s="94">
        <v>3459.0</v>
      </c>
    </row>
    <row r="120">
      <c r="A120" s="40">
        <f t="array" ref="A120">IFNA(index(PlayerValues!A:A,match(IFNA(vlookup(B120,'Special Names'!A:B,2,FALSE),B120),PlayerValues!E:E,0)),"N/A")</f>
        <v>17083</v>
      </c>
      <c r="B120" s="4" t="s">
        <v>479</v>
      </c>
      <c r="C120" s="4" t="s">
        <v>287</v>
      </c>
      <c r="D120" s="94">
        <v>3447.0</v>
      </c>
    </row>
    <row r="121">
      <c r="A121" s="40">
        <f t="array" ref="A121">IFNA(index(PlayerValues!A:A,match(IFNA(vlookup(B121,'Special Names'!A:B,2,FALSE),B121),PlayerValues!E:E,0)),"N/A")</f>
        <v>14102</v>
      </c>
      <c r="B121" s="4" t="s">
        <v>444</v>
      </c>
      <c r="C121" s="4" t="s">
        <v>287</v>
      </c>
      <c r="D121" s="94">
        <v>3439.0</v>
      </c>
    </row>
    <row r="122">
      <c r="A122" s="40">
        <f t="array" ref="A122">IFNA(index(PlayerValues!A:A,match(IFNA(vlookup(B122,'Special Names'!A:B,2,FALSE),B122),PlayerValues!E:E,0)),"N/A")</f>
        <v>16184</v>
      </c>
      <c r="B122" s="4" t="s">
        <v>445</v>
      </c>
      <c r="C122" s="4" t="s">
        <v>287</v>
      </c>
      <c r="D122" s="94">
        <v>3439.0</v>
      </c>
    </row>
    <row r="123">
      <c r="A123" s="40">
        <f t="array" ref="A123">IFNA(index(PlayerValues!A:A,match(IFNA(vlookup(B123,'Special Names'!A:B,2,FALSE),B123),PlayerValues!E:E,0)),"N/A")</f>
        <v>17068</v>
      </c>
      <c r="B123" s="4" t="s">
        <v>450</v>
      </c>
      <c r="C123" s="4" t="s">
        <v>278</v>
      </c>
      <c r="D123" s="94">
        <v>3385.0</v>
      </c>
    </row>
    <row r="124">
      <c r="A124" s="40">
        <f t="array" ref="A124">IFNA(index(PlayerValues!A:A,match(IFNA(vlookup(B124,'Special Names'!A:B,2,FALSE),B124),PlayerValues!E:E,0)),"N/A")</f>
        <v>15798</v>
      </c>
      <c r="B124" s="4" t="s">
        <v>443</v>
      </c>
      <c r="C124" s="4" t="s">
        <v>298</v>
      </c>
      <c r="D124" s="94">
        <v>3830.0</v>
      </c>
    </row>
    <row r="125">
      <c r="A125" s="40">
        <f t="array" ref="A125">IFNA(index(PlayerValues!A:A,match(IFNA(vlookup(B125,'Special Names'!A:B,2,FALSE),B125),PlayerValues!E:E,0)),"N/A")</f>
        <v>14071</v>
      </c>
      <c r="B125" s="4" t="s">
        <v>440</v>
      </c>
      <c r="C125" s="4" t="s">
        <v>278</v>
      </c>
      <c r="D125" s="94">
        <v>3378.0</v>
      </c>
    </row>
    <row r="126">
      <c r="A126" s="40">
        <f t="array" ref="A126">IFNA(index(PlayerValues!A:A,match(IFNA(vlookup(B126,'Special Names'!A:B,2,FALSE),B126),PlayerValues!E:E,0)),"N/A")</f>
        <v>16622</v>
      </c>
      <c r="B126" s="4" t="s">
        <v>517</v>
      </c>
      <c r="C126" s="4" t="s">
        <v>287</v>
      </c>
      <c r="D126" s="94">
        <v>3364.0</v>
      </c>
    </row>
    <row r="127">
      <c r="A127" s="40">
        <f t="array" ref="A127">IFNA(index(PlayerValues!A:A,match(IFNA(vlookup(B127,'Special Names'!A:B,2,FALSE),B127),PlayerValues!E:E,0)),"N/A")</f>
        <v>16169</v>
      </c>
      <c r="B127" s="4" t="s">
        <v>457</v>
      </c>
      <c r="C127" s="4" t="s">
        <v>278</v>
      </c>
      <c r="D127" s="94">
        <v>3362.0</v>
      </c>
    </row>
    <row r="128">
      <c r="A128" s="40">
        <f t="array" ref="A128">IFNA(index(PlayerValues!A:A,match(IFNA(vlookup(B128,'Special Names'!A:B,2,FALSE),B128),PlayerValues!E:E,0)),"N/A")</f>
        <v>14842</v>
      </c>
      <c r="B128" s="4" t="s">
        <v>456</v>
      </c>
      <c r="C128" s="4" t="s">
        <v>287</v>
      </c>
      <c r="D128" s="94">
        <v>3361.0</v>
      </c>
    </row>
    <row r="129">
      <c r="A129" s="40">
        <f t="array" ref="A129">IFNA(index(PlayerValues!A:A,match(IFNA(vlookup(B129,'Special Names'!A:B,2,FALSE),B129),PlayerValues!E:E,0)),"N/A")</f>
        <v>16593</v>
      </c>
      <c r="B129" s="4" t="s">
        <v>442</v>
      </c>
      <c r="C129" s="4" t="s">
        <v>278</v>
      </c>
      <c r="D129" s="94">
        <v>3355.0</v>
      </c>
    </row>
    <row r="130">
      <c r="A130" s="40">
        <f t="array" ref="A130">IFNA(index(PlayerValues!A:A,match(IFNA(vlookup(B130,'Special Names'!A:B,2,FALSE),B130),PlayerValues!E:E,0)),"N/A")</f>
        <v>16620</v>
      </c>
      <c r="B130" s="4" t="s">
        <v>467</v>
      </c>
      <c r="C130" s="4" t="s">
        <v>287</v>
      </c>
      <c r="D130" s="94">
        <v>3333.0</v>
      </c>
    </row>
    <row r="131">
      <c r="A131" s="40">
        <f t="array" ref="A131">IFNA(index(PlayerValues!A:A,match(IFNA(vlookup(B131,'Special Names'!A:B,2,FALSE),B131),PlayerValues!E:E,0)),"N/A")</f>
        <v>11675</v>
      </c>
      <c r="B131" s="4" t="s">
        <v>438</v>
      </c>
      <c r="C131" s="4" t="s">
        <v>287</v>
      </c>
      <c r="D131" s="94">
        <v>3329.0</v>
      </c>
    </row>
    <row r="132">
      <c r="A132" s="40">
        <f t="array" ref="A132">IFNA(index(PlayerValues!A:A,match(IFNA(vlookup(B132,'Special Names'!A:B,2,FALSE),B132),PlayerValues!E:E,0)),"N/A")</f>
        <v>17074</v>
      </c>
      <c r="B132" s="4" t="s">
        <v>475</v>
      </c>
      <c r="C132" s="4" t="s">
        <v>287</v>
      </c>
      <c r="D132" s="94">
        <v>3329.0</v>
      </c>
    </row>
    <row r="133">
      <c r="A133" s="40">
        <f t="array" ref="A133">IFNA(index(PlayerValues!A:A,match(IFNA(vlookup(B133,'Special Names'!A:B,2,FALSE),B133),PlayerValues!E:E,0)),"N/A")</f>
        <v>15261</v>
      </c>
      <c r="B133" s="4" t="s">
        <v>466</v>
      </c>
      <c r="C133" s="4" t="s">
        <v>278</v>
      </c>
      <c r="D133" s="94">
        <v>3325.0</v>
      </c>
    </row>
    <row r="134">
      <c r="A134" s="40">
        <f t="array" ref="A134">IFNA(index(PlayerValues!A:A,match(IFNA(vlookup(B134,'Special Names'!A:B,2,FALSE),B134),PlayerValues!E:E,0)),"N/A")</f>
        <v>16597</v>
      </c>
      <c r="B134" s="4" t="s">
        <v>427</v>
      </c>
      <c r="C134" s="4" t="s">
        <v>278</v>
      </c>
      <c r="D134" s="94">
        <v>3313.0</v>
      </c>
    </row>
    <row r="135">
      <c r="A135" s="40">
        <f t="array" ref="A135">IFNA(index(PlayerValues!A:A,match(IFNA(vlookup(B135,'Special Names'!A:B,2,FALSE),B135),PlayerValues!E:E,0)),"N/A")</f>
        <v>11671</v>
      </c>
      <c r="B135" s="4" t="s">
        <v>463</v>
      </c>
      <c r="C135" s="4" t="s">
        <v>287</v>
      </c>
      <c r="D135" s="94">
        <v>3312.0</v>
      </c>
    </row>
    <row r="136">
      <c r="A136" s="40" t="str">
        <f t="array" ref="A136">IFNA(index(PlayerValues!A:A,match(IFNA(vlookup(B136,'Special Names'!A:B,2,FALSE),B136),PlayerValues!E:E,0)),"N/A")</f>
        <v>N/A</v>
      </c>
      <c r="B136" s="4" t="s">
        <v>82</v>
      </c>
      <c r="C136" s="4" t="s">
        <v>325</v>
      </c>
      <c r="D136" s="94">
        <v>3312.0</v>
      </c>
    </row>
    <row r="137">
      <c r="A137" s="40">
        <f t="array" ref="A137">IFNA(index(PlayerValues!A:A,match(IFNA(vlookup(B137,'Special Names'!A:B,2,FALSE),B137),PlayerValues!E:E,0)),"N/A")</f>
        <v>13299</v>
      </c>
      <c r="B137" s="4" t="s">
        <v>448</v>
      </c>
      <c r="C137" s="4" t="s">
        <v>298</v>
      </c>
      <c r="D137" s="94">
        <v>3728.0</v>
      </c>
    </row>
    <row r="138">
      <c r="A138" s="40" t="str">
        <f t="array" ref="A138">IFNA(index(PlayerValues!A:A,match(IFNA(vlookup(B138,'Special Names'!A:B,2,FALSE),B138),PlayerValues!E:E,0)),"N/A")</f>
        <v>N/A</v>
      </c>
      <c r="B138" s="4" t="s">
        <v>108</v>
      </c>
      <c r="C138" s="4" t="s">
        <v>325</v>
      </c>
      <c r="D138" s="94">
        <v>3216.0</v>
      </c>
    </row>
    <row r="139">
      <c r="A139" s="40">
        <f t="array" ref="A139">IFNA(index(PlayerValues!A:A,match(IFNA(vlookup(B139,'Special Names'!A:B,2,FALSE),B139),PlayerValues!E:E,0)),"N/A")</f>
        <v>15799</v>
      </c>
      <c r="B139" s="4" t="s">
        <v>468</v>
      </c>
      <c r="C139" s="4" t="s">
        <v>298</v>
      </c>
      <c r="D139" s="94">
        <v>3644.0</v>
      </c>
    </row>
    <row r="140">
      <c r="A140" s="40">
        <f t="array" ref="A140">IFNA(index(PlayerValues!A:A,match(IFNA(vlookup(B140,'Special Names'!A:B,2,FALSE),B140),PlayerValues!E:E,0)),"N/A")</f>
        <v>15742</v>
      </c>
      <c r="B140" s="4" t="s">
        <v>447</v>
      </c>
      <c r="C140" s="4" t="s">
        <v>278</v>
      </c>
      <c r="D140" s="94">
        <v>3198.0</v>
      </c>
    </row>
    <row r="141">
      <c r="A141" s="40">
        <f t="array" ref="A141">IFNA(index(PlayerValues!A:A,match(IFNA(vlookup(B141,'Special Names'!A:B,2,FALSE),B141),PlayerValues!E:E,0)),"N/A")</f>
        <v>17477</v>
      </c>
      <c r="B141" s="4" t="s">
        <v>452</v>
      </c>
      <c r="C141" s="4" t="s">
        <v>278</v>
      </c>
      <c r="D141" s="94">
        <v>3180.0</v>
      </c>
    </row>
    <row r="142">
      <c r="A142" s="40" t="str">
        <f t="array" ref="A142">IFNA(index(PlayerValues!A:A,match(IFNA(vlookup(B142,'Special Names'!A:B,2,FALSE),B142),PlayerValues!E:E,0)),"N/A")</f>
        <v>N/A</v>
      </c>
      <c r="B142" s="4" t="s">
        <v>97</v>
      </c>
      <c r="C142" s="4" t="s">
        <v>325</v>
      </c>
      <c r="D142" s="94">
        <v>3173.0</v>
      </c>
    </row>
    <row r="143">
      <c r="A143" s="40">
        <f t="array" ref="A143">IFNA(index(PlayerValues!A:A,match(IFNA(vlookup(B143,'Special Names'!A:B,2,FALSE),B143),PlayerValues!E:E,0)),"N/A")</f>
        <v>16809</v>
      </c>
      <c r="B143" s="4" t="s">
        <v>455</v>
      </c>
      <c r="C143" s="4" t="s">
        <v>287</v>
      </c>
      <c r="D143" s="94">
        <v>3158.0</v>
      </c>
    </row>
    <row r="144">
      <c r="A144" s="40">
        <f t="array" ref="A144">IFNA(index(PlayerValues!A:A,match(IFNA(vlookup(B144,'Special Names'!A:B,2,FALSE),B144),PlayerValues!E:E,0)),"N/A")</f>
        <v>14823</v>
      </c>
      <c r="B144" s="4" t="s">
        <v>459</v>
      </c>
      <c r="C144" s="4" t="s">
        <v>278</v>
      </c>
      <c r="D144" s="94">
        <v>3151.0</v>
      </c>
    </row>
    <row r="145">
      <c r="A145" s="40">
        <f t="array" ref="A145">IFNA(index(PlayerValues!A:A,match(IFNA(vlookup(B145,'Special Names'!A:B,2,FALSE),B145),PlayerValues!E:E,0)),"N/A")</f>
        <v>16213</v>
      </c>
      <c r="B145" s="4" t="s">
        <v>458</v>
      </c>
      <c r="C145" s="4" t="s">
        <v>298</v>
      </c>
      <c r="D145" s="94">
        <v>3570.0</v>
      </c>
    </row>
    <row r="146">
      <c r="A146" s="40">
        <f t="array" ref="A146">IFNA(index(PlayerValues!A:A,match(IFNA(vlookup(B146,'Special Names'!A:B,2,FALSE),B146),PlayerValues!E:E,0)),"N/A")</f>
        <v>13630</v>
      </c>
      <c r="B146" s="4" t="s">
        <v>465</v>
      </c>
      <c r="C146" s="4" t="s">
        <v>287</v>
      </c>
      <c r="D146" s="94">
        <v>3108.0</v>
      </c>
    </row>
    <row r="147">
      <c r="A147" s="40">
        <f t="array" ref="A147">IFNA(index(PlayerValues!A:A,match(IFNA(vlookup(B147,'Special Names'!A:B,2,FALSE),B147),PlayerValues!E:E,0)),"N/A")</f>
        <v>15779</v>
      </c>
      <c r="B147" s="4" t="s">
        <v>461</v>
      </c>
      <c r="C147" s="4" t="s">
        <v>287</v>
      </c>
      <c r="D147" s="94">
        <v>3088.0</v>
      </c>
    </row>
    <row r="148">
      <c r="A148" s="40">
        <f t="array" ref="A148">IFNA(index(PlayerValues!A:A,match(IFNA(vlookup(B148,'Special Names'!A:B,2,FALSE),B148),PlayerValues!E:E,0)),"N/A")</f>
        <v>16583</v>
      </c>
      <c r="B148" s="4" t="s">
        <v>493</v>
      </c>
      <c r="C148" s="4" t="s">
        <v>283</v>
      </c>
      <c r="D148" s="94">
        <v>3075.0</v>
      </c>
    </row>
    <row r="149">
      <c r="A149" s="40">
        <f t="array" ref="A149">IFNA(index(PlayerValues!A:A,match(IFNA(vlookup(B149,'Special Names'!A:B,2,FALSE),B149),PlayerValues!E:E,0)),"N/A")</f>
        <v>16628</v>
      </c>
      <c r="B149" s="4" t="s">
        <v>490</v>
      </c>
      <c r="C149" s="4" t="s">
        <v>287</v>
      </c>
      <c r="D149" s="94">
        <v>3074.0</v>
      </c>
    </row>
    <row r="150">
      <c r="A150" s="40">
        <f t="array" ref="A150">IFNA(index(PlayerValues!A:A,match(IFNA(vlookup(B150,'Special Names'!A:B,2,FALSE),B150),PlayerValues!E:E,0)),"N/A")</f>
        <v>17506</v>
      </c>
      <c r="B150" s="4" t="s">
        <v>471</v>
      </c>
      <c r="C150" s="4" t="s">
        <v>287</v>
      </c>
      <c r="D150" s="94">
        <v>3059.0</v>
      </c>
    </row>
    <row r="151">
      <c r="A151" s="40">
        <f t="array" ref="A151">IFNA(index(PlayerValues!A:A,match(IFNA(vlookup(B151,'Special Names'!A:B,2,FALSE),B151),PlayerValues!E:E,0)),"N/A")</f>
        <v>14127</v>
      </c>
      <c r="B151" s="4" t="s">
        <v>486</v>
      </c>
      <c r="C151" s="4" t="s">
        <v>287</v>
      </c>
      <c r="D151" s="94">
        <v>3056.0</v>
      </c>
    </row>
    <row r="152">
      <c r="A152" s="40">
        <f t="array" ref="A152">IFNA(index(PlayerValues!A:A,match(IFNA(vlookup(B152,'Special Names'!A:B,2,FALSE),B152),PlayerValues!E:E,0)),"N/A")</f>
        <v>17512</v>
      </c>
      <c r="B152" s="4" t="s">
        <v>483</v>
      </c>
      <c r="C152" s="4" t="s">
        <v>287</v>
      </c>
      <c r="D152" s="94">
        <v>3038.0</v>
      </c>
    </row>
    <row r="153">
      <c r="A153" s="40" t="str">
        <f t="array" ref="A153">IFNA(index(PlayerValues!A:A,match(IFNA(vlookup(B153,'Special Names'!A:B,2,FALSE),B153),PlayerValues!E:E,0)),"N/A")</f>
        <v>N/A</v>
      </c>
      <c r="B153" s="4" t="s">
        <v>84</v>
      </c>
      <c r="C153" s="4" t="s">
        <v>325</v>
      </c>
      <c r="D153" s="94">
        <v>2989.0</v>
      </c>
    </row>
    <row r="154">
      <c r="A154" s="40" t="str">
        <f t="array" ref="A154">IFNA(index(PlayerValues!A:A,match(IFNA(vlookup(B154,'Special Names'!A:B,2,FALSE),B154),PlayerValues!E:E,0)),"N/A")</f>
        <v>N/A</v>
      </c>
      <c r="B154" s="4" t="s">
        <v>109</v>
      </c>
      <c r="C154" s="4" t="s">
        <v>325</v>
      </c>
      <c r="D154" s="94">
        <v>2986.0</v>
      </c>
    </row>
    <row r="155">
      <c r="A155" s="40">
        <f t="array" ref="A155">IFNA(index(PlayerValues!A:A,match(IFNA(vlookup(B155,'Special Names'!A:B,2,FALSE),B155),PlayerValues!E:E,0)),"N/A")</f>
        <v>16269</v>
      </c>
      <c r="B155" s="4" t="s">
        <v>481</v>
      </c>
      <c r="C155" s="4" t="s">
        <v>298</v>
      </c>
      <c r="D155" s="94">
        <v>3406.0</v>
      </c>
    </row>
    <row r="156">
      <c r="A156" s="40">
        <f t="array" ref="A156">IFNA(index(PlayerValues!A:A,match(IFNA(vlookup(B156,'Special Names'!A:B,2,FALSE),B156),PlayerValues!E:E,0)),"N/A")</f>
        <v>14800</v>
      </c>
      <c r="B156" s="4" t="s">
        <v>472</v>
      </c>
      <c r="C156" s="4" t="s">
        <v>278</v>
      </c>
      <c r="D156" s="94">
        <v>2965.0</v>
      </c>
    </row>
    <row r="157">
      <c r="A157" s="40">
        <f t="array" ref="A157">IFNA(index(PlayerValues!A:A,match(IFNA(vlookup(B157,'Special Names'!A:B,2,FALSE),B157),PlayerValues!E:E,0)),"N/A")</f>
        <v>17503</v>
      </c>
      <c r="B157" s="4" t="s">
        <v>480</v>
      </c>
      <c r="C157" s="4" t="s">
        <v>287</v>
      </c>
      <c r="D157" s="94">
        <v>2964.0</v>
      </c>
    </row>
    <row r="158">
      <c r="A158" s="40">
        <f t="array" ref="A158">IFNA(index(PlayerValues!A:A,match(IFNA(vlookup(B158,'Special Names'!A:B,2,FALSE),B158),PlayerValues!E:E,0)),"N/A")</f>
        <v>17256</v>
      </c>
      <c r="B158" s="4" t="s">
        <v>462</v>
      </c>
      <c r="C158" s="4" t="s">
        <v>278</v>
      </c>
      <c r="D158" s="94">
        <v>2952.0</v>
      </c>
    </row>
    <row r="159">
      <c r="A159" s="40">
        <f t="array" ref="A159">IFNA(index(PlayerValues!A:A,match(IFNA(vlookup(B159,'Special Names'!A:B,2,FALSE),B159),PlayerValues!E:E,0)),"N/A")</f>
        <v>15259</v>
      </c>
      <c r="B159" s="4" t="s">
        <v>453</v>
      </c>
      <c r="C159" s="4" t="s">
        <v>278</v>
      </c>
      <c r="D159" s="94">
        <v>2943.0</v>
      </c>
    </row>
    <row r="160">
      <c r="A160" s="40">
        <f t="array" ref="A160">IFNA(index(PlayerValues!A:A,match(IFNA(vlookup(B160,'Special Names'!A:B,2,FALSE),B160),PlayerValues!E:E,0)),"N/A")</f>
        <v>15761</v>
      </c>
      <c r="B160" s="4" t="s">
        <v>491</v>
      </c>
      <c r="C160" s="4" t="s">
        <v>287</v>
      </c>
      <c r="D160" s="94">
        <v>2921.0</v>
      </c>
    </row>
    <row r="161">
      <c r="A161" s="40">
        <f t="array" ref="A161">IFNA(index(PlayerValues!A:A,match(IFNA(vlookup(B161,'Special Names'!A:B,2,FALSE),B161),PlayerValues!E:E,0)),"N/A")</f>
        <v>13163</v>
      </c>
      <c r="B161" s="4" t="s">
        <v>473</v>
      </c>
      <c r="C161" s="4" t="s">
        <v>287</v>
      </c>
      <c r="D161" s="94">
        <v>2913.0</v>
      </c>
    </row>
    <row r="162">
      <c r="A162" s="40">
        <f t="array" ref="A162">IFNA(index(PlayerValues!A:A,match(IFNA(vlookup(B162,'Special Names'!A:B,2,FALSE),B162),PlayerValues!E:E,0)),"N/A")</f>
        <v>15255</v>
      </c>
      <c r="B162" s="4" t="s">
        <v>477</v>
      </c>
      <c r="C162" s="4" t="s">
        <v>278</v>
      </c>
      <c r="D162" s="94">
        <v>2912.0</v>
      </c>
    </row>
    <row r="163">
      <c r="A163" s="40">
        <f t="array" ref="A163">IFNA(index(PlayerValues!A:A,match(IFNA(vlookup(B163,'Special Names'!A:B,2,FALSE),B163),PlayerValues!E:E,0)),"N/A")</f>
        <v>17476</v>
      </c>
      <c r="B163" s="4" t="s">
        <v>494</v>
      </c>
      <c r="C163" s="4" t="s">
        <v>278</v>
      </c>
      <c r="D163" s="94">
        <v>2903.0</v>
      </c>
    </row>
    <row r="164">
      <c r="A164" s="40">
        <f t="array" ref="A164">IFNA(index(PlayerValues!A:A,match(IFNA(vlookup(B164,'Special Names'!A:B,2,FALSE),B164),PlayerValues!E:E,0)),"N/A")</f>
        <v>14085</v>
      </c>
      <c r="B164" s="4" t="s">
        <v>489</v>
      </c>
      <c r="C164" s="4" t="s">
        <v>278</v>
      </c>
      <c r="D164" s="94">
        <v>2828.0</v>
      </c>
    </row>
    <row r="165">
      <c r="A165" s="40">
        <f t="array" ref="A165">IFNA(index(PlayerValues!A:A,match(IFNA(vlookup(B165,'Special Names'!A:B,2,FALSE),B165),PlayerValues!E:E,0)),"N/A")</f>
        <v>15889</v>
      </c>
      <c r="B165" s="4" t="s">
        <v>503</v>
      </c>
      <c r="C165" s="4" t="s">
        <v>298</v>
      </c>
      <c r="D165" s="94">
        <v>3225.0</v>
      </c>
    </row>
    <row r="166">
      <c r="A166" s="40" t="str">
        <f t="array" ref="A166">IFNA(index(PlayerValues!A:A,match(IFNA(vlookup(B166,'Special Names'!A:B,2,FALSE),B166),PlayerValues!E:E,0)),"N/A")</f>
        <v>N/A</v>
      </c>
      <c r="B166" s="4" t="s">
        <v>85</v>
      </c>
      <c r="C166" s="4" t="s">
        <v>325</v>
      </c>
      <c r="D166" s="94">
        <v>2809.0</v>
      </c>
    </row>
    <row r="167">
      <c r="A167" s="40" t="str">
        <f t="array" ref="A167">IFNA(index(PlayerValues!A:A,match(IFNA(vlookup(B167,'Special Names'!A:B,2,FALSE),B167),PlayerValues!E:E,0)),"N/A")</f>
        <v>N/A</v>
      </c>
      <c r="B167" s="4" t="s">
        <v>110</v>
      </c>
      <c r="C167" s="4" t="s">
        <v>325</v>
      </c>
      <c r="D167" s="94">
        <v>2799.0</v>
      </c>
    </row>
    <row r="168">
      <c r="A168" s="40">
        <f t="array" ref="A168">IFNA(index(PlayerValues!A:A,match(IFNA(vlookup(B168,'Special Names'!A:B,2,FALSE),B168),PlayerValues!E:E,0)),"N/A")</f>
        <v>17505</v>
      </c>
      <c r="B168" s="4" t="s">
        <v>528</v>
      </c>
      <c r="C168" s="4" t="s">
        <v>287</v>
      </c>
      <c r="D168" s="94">
        <v>2786.0</v>
      </c>
    </row>
    <row r="169">
      <c r="A169" s="40">
        <f t="array" ref="A169">IFNA(index(PlayerValues!A:A,match(IFNA(vlookup(B169,'Special Names'!A:B,2,FALSE),B169),PlayerValues!E:E,0)),"N/A")</f>
        <v>14778</v>
      </c>
      <c r="B169" s="4" t="s">
        <v>564</v>
      </c>
      <c r="C169" s="4" t="s">
        <v>283</v>
      </c>
      <c r="D169" s="94">
        <v>2780.0</v>
      </c>
    </row>
    <row r="170">
      <c r="A170" s="40">
        <f t="array" ref="A170">IFNA(index(PlayerValues!A:A,match(IFNA(vlookup(B170,'Special Names'!A:B,2,FALSE),B170),PlayerValues!E:E,0)),"N/A")</f>
        <v>13671</v>
      </c>
      <c r="B170" s="4" t="s">
        <v>506</v>
      </c>
      <c r="C170" s="4" t="s">
        <v>298</v>
      </c>
      <c r="D170" s="94">
        <v>3189.0</v>
      </c>
    </row>
    <row r="171">
      <c r="A171" s="40">
        <f t="array" ref="A171">IFNA(index(PlayerValues!A:A,match(IFNA(vlookup(B171,'Special Names'!A:B,2,FALSE),B171),PlayerValues!E:E,0)),"N/A")</f>
        <v>16080</v>
      </c>
      <c r="B171" s="4" t="s">
        <v>499</v>
      </c>
      <c r="C171" s="4" t="s">
        <v>287</v>
      </c>
      <c r="D171" s="94">
        <v>2764.0</v>
      </c>
    </row>
    <row r="172">
      <c r="A172" s="40">
        <f t="array" ref="A172">IFNA(index(PlayerValues!A:A,match(IFNA(vlookup(B172,'Special Names'!A:B,2,FALSE),B172),PlayerValues!E:E,0)),"N/A")</f>
        <v>17157</v>
      </c>
      <c r="B172" s="4" t="s">
        <v>524</v>
      </c>
      <c r="C172" s="4" t="s">
        <v>287</v>
      </c>
      <c r="D172" s="94">
        <v>2763.0</v>
      </c>
    </row>
    <row r="173">
      <c r="A173" s="40">
        <f t="array" ref="A173">IFNA(index(PlayerValues!A:A,match(IFNA(vlookup(B173,'Special Names'!A:B,2,FALSE),B173),PlayerValues!E:E,0)),"N/A")</f>
        <v>15721</v>
      </c>
      <c r="B173" s="4" t="s">
        <v>504</v>
      </c>
      <c r="C173" s="4" t="s">
        <v>278</v>
      </c>
      <c r="D173" s="94">
        <v>2753.0</v>
      </c>
    </row>
    <row r="174">
      <c r="A174" s="40">
        <f t="array" ref="A174">IFNA(index(PlayerValues!A:A,match(IFNA(vlookup(B174,'Special Names'!A:B,2,FALSE),B174),PlayerValues!E:E,0)),"N/A")</f>
        <v>16723</v>
      </c>
      <c r="B174" s="4" t="s">
        <v>502</v>
      </c>
      <c r="C174" s="4" t="s">
        <v>298</v>
      </c>
      <c r="D174" s="94">
        <v>3165.0</v>
      </c>
    </row>
    <row r="175">
      <c r="A175" s="40">
        <f t="array" ref="A175">IFNA(index(PlayerValues!A:A,match(IFNA(vlookup(B175,'Special Names'!A:B,2,FALSE),B175),PlayerValues!E:E,0)),"N/A")</f>
        <v>17047</v>
      </c>
      <c r="B175" s="4" t="s">
        <v>510</v>
      </c>
      <c r="C175" s="4" t="s">
        <v>278</v>
      </c>
      <c r="D175" s="94">
        <v>2750.0</v>
      </c>
    </row>
    <row r="176">
      <c r="A176" s="40">
        <f t="array" ref="A176">IFNA(index(PlayerValues!A:A,match(IFNA(vlookup(B176,'Special Names'!A:B,2,FALSE),B176),PlayerValues!E:E,0)),"N/A")</f>
        <v>15712</v>
      </c>
      <c r="B176" s="4" t="s">
        <v>488</v>
      </c>
      <c r="C176" s="4" t="s">
        <v>278</v>
      </c>
      <c r="D176" s="94">
        <v>2744.0</v>
      </c>
    </row>
    <row r="177">
      <c r="A177" s="40">
        <f t="array" ref="A177">IFNA(index(PlayerValues!A:A,match(IFNA(vlookup(B177,'Special Names'!A:B,2,FALSE),B177),PlayerValues!E:E,0)),"N/A")</f>
        <v>17072</v>
      </c>
      <c r="B177" s="4" t="s">
        <v>508</v>
      </c>
      <c r="C177" s="4" t="s">
        <v>287</v>
      </c>
      <c r="D177" s="94">
        <v>2739.0</v>
      </c>
    </row>
    <row r="178">
      <c r="A178" s="40">
        <f t="array" ref="A178">IFNA(index(PlayerValues!A:A,match(IFNA(vlookup(B178,'Special Names'!A:B,2,FALSE),B178),PlayerValues!E:E,0)),"N/A")</f>
        <v>16584</v>
      </c>
      <c r="B178" s="4" t="s">
        <v>569</v>
      </c>
      <c r="C178" s="4" t="s">
        <v>283</v>
      </c>
      <c r="D178" s="94">
        <v>2733.0</v>
      </c>
    </row>
    <row r="179">
      <c r="A179" s="40">
        <f t="array" ref="A179">IFNA(index(PlayerValues!A:A,match(IFNA(vlookup(B179,'Special Names'!A:B,2,FALSE),B179),PlayerValues!E:E,0)),"N/A")</f>
        <v>17053</v>
      </c>
      <c r="B179" s="4" t="s">
        <v>484</v>
      </c>
      <c r="C179" s="4" t="s">
        <v>278</v>
      </c>
      <c r="D179" s="94">
        <v>2726.0</v>
      </c>
    </row>
    <row r="180">
      <c r="A180" s="40">
        <f t="array" ref="A180">IFNA(index(PlayerValues!A:A,match(IFNA(vlookup(B180,'Special Names'!A:B,2,FALSE),B180),PlayerValues!E:E,0)),"N/A")</f>
        <v>17514</v>
      </c>
      <c r="B180" s="4" t="s">
        <v>422</v>
      </c>
      <c r="C180" s="4" t="s">
        <v>287</v>
      </c>
      <c r="D180" s="94">
        <v>2725.0</v>
      </c>
    </row>
    <row r="181">
      <c r="A181" s="40">
        <f t="array" ref="A181">IFNA(index(PlayerValues!A:A,match(IFNA(vlookup(B181,'Special Names'!A:B,2,FALSE),B181),PlayerValues!E:E,0)),"N/A")</f>
        <v>14138</v>
      </c>
      <c r="B181" s="4" t="s">
        <v>531</v>
      </c>
      <c r="C181" s="4" t="s">
        <v>298</v>
      </c>
      <c r="D181" s="94">
        <v>3137.0</v>
      </c>
    </row>
    <row r="182">
      <c r="A182" s="40">
        <f t="array" ref="A182">IFNA(index(PlayerValues!A:A,match(IFNA(vlookup(B182,'Special Names'!A:B,2,FALSE),B182),PlayerValues!E:E,0)),"N/A")</f>
        <v>17080</v>
      </c>
      <c r="B182" s="4" t="s">
        <v>532</v>
      </c>
      <c r="C182" s="4" t="s">
        <v>287</v>
      </c>
      <c r="D182" s="94">
        <v>2720.0</v>
      </c>
    </row>
    <row r="183">
      <c r="A183" s="40">
        <f t="array" ref="A183">IFNA(index(PlayerValues!A:A,match(IFNA(vlookup(B183,'Special Names'!A:B,2,FALSE),B183),PlayerValues!E:E,0)),"N/A")</f>
        <v>17511</v>
      </c>
      <c r="B183" s="4" t="s">
        <v>485</v>
      </c>
      <c r="C183" s="4" t="s">
        <v>287</v>
      </c>
      <c r="D183" s="94">
        <v>2718.0</v>
      </c>
    </row>
    <row r="184">
      <c r="A184" s="40">
        <f t="array" ref="A184">IFNA(index(PlayerValues!A:A,match(IFNA(vlookup(B184,'Special Names'!A:B,2,FALSE),B184),PlayerValues!E:E,0)),"N/A")</f>
        <v>17031</v>
      </c>
      <c r="B184" s="4" t="s">
        <v>535</v>
      </c>
      <c r="C184" s="4" t="s">
        <v>283</v>
      </c>
      <c r="D184" s="94">
        <v>2714.0</v>
      </c>
    </row>
    <row r="185">
      <c r="A185" s="40">
        <f t="array" ref="A185">IFNA(index(PlayerValues!A:A,match(IFNA(vlookup(B185,'Special Names'!A:B,2,FALSE),B185),PlayerValues!E:E,0)),"N/A")</f>
        <v>17507</v>
      </c>
      <c r="B185" s="4" t="s">
        <v>495</v>
      </c>
      <c r="C185" s="4" t="s">
        <v>287</v>
      </c>
      <c r="D185" s="94">
        <v>2703.0</v>
      </c>
    </row>
    <row r="186">
      <c r="A186" s="40">
        <f t="array" ref="A186">IFNA(index(PlayerValues!A:A,match(IFNA(vlookup(B186,'Special Names'!A:B,2,FALSE),B186),PlayerValues!E:E,0)),"N/A")</f>
        <v>15241</v>
      </c>
      <c r="B186" s="4" t="s">
        <v>546</v>
      </c>
      <c r="C186" s="4" t="s">
        <v>283</v>
      </c>
      <c r="D186" s="94">
        <v>2672.0</v>
      </c>
    </row>
    <row r="187">
      <c r="A187" s="40">
        <f t="array" ref="A187">IFNA(index(PlayerValues!A:A,match(IFNA(vlookup(B187,'Special Names'!A:B,2,FALSE),B187),PlayerValues!E:E,0)),"N/A")</f>
        <v>16596</v>
      </c>
      <c r="B187" s="4" t="s">
        <v>501</v>
      </c>
      <c r="C187" s="4" t="s">
        <v>278</v>
      </c>
      <c r="D187" s="94">
        <v>2670.0</v>
      </c>
    </row>
    <row r="188">
      <c r="A188" s="40">
        <f t="array" ref="A188">IFNA(index(PlayerValues!A:A,match(IFNA(vlookup(B188,'Special Names'!A:B,2,FALSE),B188),PlayerValues!E:E,0)),"N/A")</f>
        <v>17107</v>
      </c>
      <c r="B188" s="4" t="s">
        <v>478</v>
      </c>
      <c r="C188" s="4" t="s">
        <v>298</v>
      </c>
      <c r="D188" s="94">
        <v>3081.0</v>
      </c>
    </row>
    <row r="189">
      <c r="A189" s="40">
        <f t="array" ref="A189">IFNA(index(PlayerValues!A:A,match(IFNA(vlookup(B189,'Special Names'!A:B,2,FALSE),B189),PlayerValues!E:E,0)),"N/A")</f>
        <v>15972</v>
      </c>
      <c r="B189" s="4" t="s">
        <v>469</v>
      </c>
      <c r="C189" s="4" t="s">
        <v>278</v>
      </c>
      <c r="D189" s="94">
        <v>2665.0</v>
      </c>
    </row>
    <row r="190">
      <c r="A190" s="40">
        <f t="array" ref="A190">IFNA(index(PlayerValues!A:A,match(IFNA(vlookup(B190,'Special Names'!A:B,2,FALSE),B190),PlayerValues!E:E,0)),"N/A")</f>
        <v>12616</v>
      </c>
      <c r="B190" s="4" t="s">
        <v>529</v>
      </c>
      <c r="C190" s="4" t="s">
        <v>283</v>
      </c>
      <c r="D190" s="94">
        <v>2652.0</v>
      </c>
    </row>
    <row r="191">
      <c r="A191" s="40">
        <f t="array" ref="A191">IFNA(index(PlayerValues!A:A,match(IFNA(vlookup(B191,'Special Names'!A:B,2,FALSE),B191),PlayerValues!E:E,0)),"N/A")</f>
        <v>16747</v>
      </c>
      <c r="B191" s="4" t="s">
        <v>555</v>
      </c>
      <c r="C191" s="4" t="s">
        <v>278</v>
      </c>
      <c r="D191" s="94">
        <v>2651.0</v>
      </c>
    </row>
    <row r="192">
      <c r="A192" s="40">
        <f t="array" ref="A192">IFNA(index(PlayerValues!A:A,match(IFNA(vlookup(B192,'Special Names'!A:B,2,FALSE),B192),PlayerValues!E:E,0)),"N/A")</f>
        <v>17105</v>
      </c>
      <c r="B192" s="4" t="s">
        <v>525</v>
      </c>
      <c r="C192" s="4" t="s">
        <v>298</v>
      </c>
      <c r="D192" s="94">
        <v>3059.0</v>
      </c>
    </row>
    <row r="193">
      <c r="A193" s="40" t="str">
        <f t="array" ref="A193">IFNA(index(PlayerValues!A:A,match(IFNA(vlookup(B193,'Special Names'!A:B,2,FALSE),B193),PlayerValues!E:E,0)),"N/A")</f>
        <v>N/A</v>
      </c>
      <c r="B193" s="4" t="s">
        <v>98</v>
      </c>
      <c r="C193" s="4" t="s">
        <v>325</v>
      </c>
      <c r="D193" s="94">
        <v>2640.0</v>
      </c>
    </row>
    <row r="194">
      <c r="A194" s="40">
        <f t="array" ref="A194">IFNA(index(PlayerValues!A:A,match(IFNA(vlookup(B194,'Special Names'!A:B,2,FALSE),B194),PlayerValues!E:E,0)),"N/A")</f>
        <v>16174</v>
      </c>
      <c r="B194" s="4" t="s">
        <v>505</v>
      </c>
      <c r="C194" s="4" t="s">
        <v>278</v>
      </c>
      <c r="D194" s="94">
        <v>2638.0</v>
      </c>
    </row>
    <row r="195">
      <c r="A195" s="40">
        <f t="array" ref="A195">IFNA(index(PlayerValues!A:A,match(IFNA(vlookup(B195,'Special Names'!A:B,2,FALSE),B195),PlayerValues!E:E,0)),"N/A")</f>
        <v>17098</v>
      </c>
      <c r="B195" s="4" t="s">
        <v>533</v>
      </c>
      <c r="C195" s="4" t="s">
        <v>287</v>
      </c>
      <c r="D195" s="94">
        <v>2637.0</v>
      </c>
    </row>
    <row r="196">
      <c r="A196" s="40">
        <f t="array" ref="A196">IFNA(index(PlayerValues!A:A,match(IFNA(vlookup(B196,'Special Names'!A:B,2,FALSE),B196),PlayerValues!E:E,0)),"N/A")</f>
        <v>14833</v>
      </c>
      <c r="B196" s="4" t="s">
        <v>553</v>
      </c>
      <c r="C196" s="4" t="s">
        <v>287</v>
      </c>
      <c r="D196" s="94">
        <v>2608.0</v>
      </c>
    </row>
    <row r="197">
      <c r="A197" s="40">
        <f t="array" ref="A197">IFNA(index(PlayerValues!A:A,match(IFNA(vlookup(B197,'Special Names'!A:B,2,FALSE),B197),PlayerValues!E:E,0)),"N/A")</f>
        <v>14860</v>
      </c>
      <c r="B197" s="4" t="s">
        <v>554</v>
      </c>
      <c r="C197" s="4" t="s">
        <v>287</v>
      </c>
      <c r="D197" s="94">
        <v>2606.0</v>
      </c>
    </row>
    <row r="198">
      <c r="A198" s="40">
        <f t="array" ref="A198">IFNA(index(PlayerValues!A:A,match(IFNA(vlookup(B198,'Special Names'!A:B,2,FALSE),B198),PlayerValues!E:E,0)),"N/A")</f>
        <v>16165</v>
      </c>
      <c r="B198" s="4" t="s">
        <v>520</v>
      </c>
      <c r="C198" s="4" t="s">
        <v>278</v>
      </c>
      <c r="D198" s="94">
        <v>2597.0</v>
      </c>
    </row>
    <row r="199">
      <c r="A199" s="40">
        <f t="array" ref="A199">IFNA(index(PlayerValues!A:A,match(IFNA(vlookup(B199,'Special Names'!A:B,2,FALSE),B199),PlayerValues!E:E,0)),"N/A")</f>
        <v>16619</v>
      </c>
      <c r="B199" s="4" t="s">
        <v>538</v>
      </c>
      <c r="C199" s="4" t="s">
        <v>287</v>
      </c>
      <c r="D199" s="94">
        <v>2594.0</v>
      </c>
    </row>
    <row r="200">
      <c r="A200" s="40">
        <f t="array" ref="A200">IFNA(index(PlayerValues!A:A,match(IFNA(vlookup(B200,'Special Names'!A:B,2,FALSE),B200),PlayerValues!E:E,0)),"N/A")</f>
        <v>13674</v>
      </c>
      <c r="B200" s="4" t="s">
        <v>511</v>
      </c>
      <c r="C200" s="4" t="s">
        <v>298</v>
      </c>
      <c r="D200" s="94">
        <v>2998.0</v>
      </c>
    </row>
    <row r="201">
      <c r="A201" s="40">
        <f t="array" ref="A201">IFNA(index(PlayerValues!A:A,match(IFNA(vlookup(B201,'Special Names'!A:B,2,FALSE),B201),PlayerValues!E:E,0)),"N/A")</f>
        <v>17478</v>
      </c>
      <c r="B201" s="4" t="s">
        <v>527</v>
      </c>
      <c r="C201" s="4" t="s">
        <v>278</v>
      </c>
      <c r="D201" s="94">
        <v>2585.0</v>
      </c>
    </row>
    <row r="202">
      <c r="A202" s="40">
        <f t="array" ref="A202">IFNA(index(PlayerValues!A:A,match(IFNA(vlookup(B202,'Special Names'!A:B,2,FALSE),B202),PlayerValues!E:E,0)),"N/A")</f>
        <v>17474</v>
      </c>
      <c r="B202" s="4" t="s">
        <v>513</v>
      </c>
      <c r="C202" s="4" t="s">
        <v>278</v>
      </c>
      <c r="D202" s="94">
        <v>2568.0</v>
      </c>
    </row>
    <row r="203">
      <c r="A203" s="40">
        <f t="array" ref="A203">IFNA(index(PlayerValues!A:A,match(IFNA(vlookup(B203,'Special Names'!A:B,2,FALSE),B203),PlayerValues!E:E,0)),"N/A")</f>
        <v>16684</v>
      </c>
      <c r="B203" s="4" t="s">
        <v>500</v>
      </c>
      <c r="C203" s="4" t="s">
        <v>287</v>
      </c>
      <c r="D203" s="94">
        <v>2543.0</v>
      </c>
    </row>
    <row r="204">
      <c r="A204" s="40">
        <f t="array" ref="A204">IFNA(index(PlayerValues!A:A,match(IFNA(vlookup(B204,'Special Names'!A:B,2,FALSE),B204),PlayerValues!E:E,0)),"N/A")</f>
        <v>16626</v>
      </c>
      <c r="B204" s="4" t="s">
        <v>515</v>
      </c>
      <c r="C204" s="4" t="s">
        <v>287</v>
      </c>
      <c r="D204" s="94">
        <v>2542.0</v>
      </c>
    </row>
    <row r="205">
      <c r="A205" s="40">
        <f t="array" ref="A205">IFNA(index(PlayerValues!A:A,match(IFNA(vlookup(B205,'Special Names'!A:B,2,FALSE),B205),PlayerValues!E:E,0)),"N/A")</f>
        <v>16193</v>
      </c>
      <c r="B205" s="4" t="s">
        <v>487</v>
      </c>
      <c r="C205" s="4" t="s">
        <v>287</v>
      </c>
      <c r="D205" s="94">
        <v>2539.0</v>
      </c>
    </row>
    <row r="206">
      <c r="A206" s="40">
        <f t="array" ref="A206">IFNA(index(PlayerValues!A:A,match(IFNA(vlookup(B206,'Special Names'!A:B,2,FALSE),B206),PlayerValues!E:E,0)),"N/A")</f>
        <v>16204</v>
      </c>
      <c r="B206" s="4" t="s">
        <v>530</v>
      </c>
      <c r="C206" s="4" t="s">
        <v>287</v>
      </c>
      <c r="D206" s="94">
        <v>2533.0</v>
      </c>
    </row>
    <row r="207">
      <c r="A207" s="40">
        <f t="array" ref="A207">IFNA(index(PlayerValues!A:A,match(IFNA(vlookup(B207,'Special Names'!A:B,2,FALSE),B207),PlayerValues!E:E,0)),"N/A")</f>
        <v>17520</v>
      </c>
      <c r="B207" s="4" t="s">
        <v>518</v>
      </c>
      <c r="C207" s="4" t="s">
        <v>287</v>
      </c>
      <c r="D207" s="94">
        <v>2526.0</v>
      </c>
    </row>
    <row r="208">
      <c r="A208" s="40" t="str">
        <f t="array" ref="A208">IFNA(index(PlayerValues!A:A,match(IFNA(vlookup(B208,'Special Names'!A:B,2,FALSE),B208),PlayerValues!E:E,0)),"N/A")</f>
        <v>N/A</v>
      </c>
      <c r="B208" s="4" t="s">
        <v>99</v>
      </c>
      <c r="C208" s="4" t="s">
        <v>325</v>
      </c>
      <c r="D208" s="94">
        <v>2518.0</v>
      </c>
    </row>
    <row r="209">
      <c r="A209" s="40">
        <f t="array" ref="A209">IFNA(index(PlayerValues!A:A,match(IFNA(vlookup(B209,'Special Names'!A:B,2,FALSE),B209),PlayerValues!E:E,0)),"N/A")</f>
        <v>11244</v>
      </c>
      <c r="B209" s="4" t="s">
        <v>519</v>
      </c>
      <c r="C209" s="4" t="s">
        <v>298</v>
      </c>
      <c r="D209" s="94">
        <v>2907.0</v>
      </c>
    </row>
    <row r="210">
      <c r="A210" s="40">
        <f t="array" ref="A210">IFNA(index(PlayerValues!A:A,match(IFNA(vlookup(B210,'Special Names'!A:B,2,FALSE),B210),PlayerValues!E:E,0)),"N/A")</f>
        <v>16178</v>
      </c>
      <c r="B210" s="4" t="s">
        <v>507</v>
      </c>
      <c r="C210" s="4" t="s">
        <v>278</v>
      </c>
      <c r="D210" s="94">
        <v>2502.0</v>
      </c>
    </row>
    <row r="211">
      <c r="A211" s="40">
        <f t="array" ref="A211">IFNA(index(PlayerValues!A:A,match(IFNA(vlookup(B211,'Special Names'!A:B,2,FALSE),B211),PlayerValues!E:E,0)),"N/A")</f>
        <v>17078</v>
      </c>
      <c r="B211" s="4" t="s">
        <v>543</v>
      </c>
      <c r="C211" s="4" t="s">
        <v>287</v>
      </c>
      <c r="D211" s="94">
        <v>2489.0</v>
      </c>
    </row>
    <row r="212">
      <c r="A212" s="40">
        <f t="array" ref="A212">IFNA(index(PlayerValues!A:A,match(IFNA(vlookup(B212,'Special Names'!A:B,2,FALSE),B212),PlayerValues!E:E,0)),"N/A")</f>
        <v>16287</v>
      </c>
      <c r="B212" s="4" t="s">
        <v>516</v>
      </c>
      <c r="C212" s="4" t="s">
        <v>287</v>
      </c>
      <c r="D212" s="94">
        <v>2484.0</v>
      </c>
    </row>
    <row r="213">
      <c r="A213" s="40">
        <f t="array" ref="A213">IFNA(index(PlayerValues!A:A,match(IFNA(vlookup(B213,'Special Names'!A:B,2,FALSE),B213),PlayerValues!E:E,0)),"N/A")</f>
        <v>17073</v>
      </c>
      <c r="B213" s="4" t="s">
        <v>547</v>
      </c>
      <c r="C213" s="4" t="s">
        <v>287</v>
      </c>
      <c r="D213" s="94">
        <v>2483.0</v>
      </c>
    </row>
    <row r="214">
      <c r="A214" s="40">
        <f t="array" ref="A214">IFNA(index(PlayerValues!A:A,match(IFNA(vlookup(B214,'Special Names'!A:B,2,FALSE),B214),PlayerValues!E:E,0)),"N/A")</f>
        <v>17509</v>
      </c>
      <c r="B214" s="4" t="s">
        <v>551</v>
      </c>
      <c r="C214" s="4" t="s">
        <v>287</v>
      </c>
      <c r="D214" s="94">
        <v>2483.0</v>
      </c>
    </row>
    <row r="215">
      <c r="A215" s="40">
        <f t="array" ref="A215">IFNA(index(PlayerValues!A:A,match(IFNA(vlookup(B215,'Special Names'!A:B,2,FALSE),B215),PlayerValues!E:E,0)),"N/A")</f>
        <v>16164</v>
      </c>
      <c r="B215" s="4" t="s">
        <v>512</v>
      </c>
      <c r="C215" s="4" t="s">
        <v>278</v>
      </c>
      <c r="D215" s="94">
        <v>2475.0</v>
      </c>
    </row>
    <row r="216">
      <c r="A216" s="40">
        <f t="array" ref="A216">IFNA(index(PlayerValues!A:A,match(IFNA(vlookup(B216,'Special Names'!A:B,2,FALSE),B216),PlayerValues!E:E,0)),"N/A")</f>
        <v>17082</v>
      </c>
      <c r="B216" s="4" t="s">
        <v>498</v>
      </c>
      <c r="C216" s="4" t="s">
        <v>287</v>
      </c>
      <c r="D216" s="94">
        <v>2462.0</v>
      </c>
    </row>
    <row r="217">
      <c r="A217" s="40">
        <f t="array" ref="A217">IFNA(index(PlayerValues!A:A,match(IFNA(vlookup(B217,'Special Names'!A:B,2,FALSE),B217),PlayerValues!E:E,0)),"N/A")</f>
        <v>17508</v>
      </c>
      <c r="B217" s="4" t="s">
        <v>534</v>
      </c>
      <c r="C217" s="4" t="s">
        <v>287</v>
      </c>
      <c r="D217" s="94">
        <v>2445.0</v>
      </c>
    </row>
    <row r="218">
      <c r="A218" s="40">
        <f t="array" ref="A218">IFNA(index(PlayerValues!A:A,match(IFNA(vlookup(B218,'Special Names'!A:B,2,FALSE),B218),PlayerValues!E:E,0)),"N/A")</f>
        <v>15786</v>
      </c>
      <c r="B218" s="4" t="s">
        <v>521</v>
      </c>
      <c r="C218" s="4" t="s">
        <v>287</v>
      </c>
      <c r="D218" s="94">
        <v>2429.0</v>
      </c>
    </row>
    <row r="219">
      <c r="A219" s="40">
        <f t="array" ref="A219">IFNA(index(PlayerValues!A:A,match(IFNA(vlookup(B219,'Special Names'!A:B,2,FALSE),B219),PlayerValues!E:E,0)),"N/A")</f>
        <v>16617</v>
      </c>
      <c r="B219" s="4" t="s">
        <v>541</v>
      </c>
      <c r="C219" s="4" t="s">
        <v>287</v>
      </c>
      <c r="D219" s="94">
        <v>2423.0</v>
      </c>
    </row>
    <row r="220">
      <c r="A220" s="40">
        <f t="array" ref="A220">IFNA(index(PlayerValues!A:A,match(IFNA(vlookup(B220,'Special Names'!A:B,2,FALSE),B220),PlayerValues!E:E,0)),"N/A")</f>
        <v>17108</v>
      </c>
      <c r="B220" s="4" t="s">
        <v>542</v>
      </c>
      <c r="C220" s="4" t="s">
        <v>298</v>
      </c>
      <c r="D220" s="94">
        <v>2822.0</v>
      </c>
    </row>
    <row r="221">
      <c r="A221" s="40">
        <f t="array" ref="A221">IFNA(index(PlayerValues!A:A,match(IFNA(vlookup(B221,'Special Names'!A:B,2,FALSE),B221),PlayerValues!E:E,0)),"N/A")</f>
        <v>13192</v>
      </c>
      <c r="B221" s="4" t="s">
        <v>563</v>
      </c>
      <c r="C221" s="4" t="s">
        <v>298</v>
      </c>
      <c r="D221" s="94">
        <v>2820.0</v>
      </c>
    </row>
    <row r="222">
      <c r="A222" s="40">
        <f t="array" ref="A222">IFNA(index(PlayerValues!A:A,match(IFNA(vlookup(B222,'Special Names'!A:B,2,FALSE),B222),PlayerValues!E:E,0)),"N/A")</f>
        <v>17171</v>
      </c>
      <c r="B222" s="4" t="s">
        <v>561</v>
      </c>
      <c r="C222" s="4" t="s">
        <v>287</v>
      </c>
      <c r="D222" s="94">
        <v>2410.0</v>
      </c>
    </row>
    <row r="223">
      <c r="A223" s="40">
        <f t="array" ref="A223">IFNA(index(PlayerValues!A:A,match(IFNA(vlookup(B223,'Special Names'!A:B,2,FALSE),B223),PlayerValues!E:E,0)),"N/A")</f>
        <v>16195</v>
      </c>
      <c r="B223" s="4" t="s">
        <v>509</v>
      </c>
      <c r="C223" s="4" t="s">
        <v>287</v>
      </c>
      <c r="D223" s="94">
        <v>2401.0</v>
      </c>
    </row>
    <row r="224">
      <c r="A224" s="40" t="str">
        <f t="array" ref="A224">IFNA(index(PlayerValues!A:A,match(IFNA(vlookup(B224,'Special Names'!A:B,2,FALSE),B224),PlayerValues!E:E,0)),"N/A")</f>
        <v>N/A</v>
      </c>
      <c r="B224" s="4" t="s">
        <v>557</v>
      </c>
      <c r="C224" s="4" t="s">
        <v>278</v>
      </c>
      <c r="D224" s="94">
        <v>2384.0</v>
      </c>
    </row>
    <row r="225">
      <c r="A225" s="40">
        <f t="array" ref="A225">IFNA(index(PlayerValues!A:A,match(IFNA(vlookup(B225,'Special Names'!A:B,2,FALSE),B225),PlayerValues!E:E,0)),"N/A")</f>
        <v>17106</v>
      </c>
      <c r="B225" s="4" t="s">
        <v>550</v>
      </c>
      <c r="C225" s="4" t="s">
        <v>298</v>
      </c>
      <c r="D225" s="94">
        <v>2779.0</v>
      </c>
    </row>
    <row r="226">
      <c r="A226" s="40">
        <f t="array" ref="A226">IFNA(index(PlayerValues!A:A,match(IFNA(vlookup(B226,'Special Names'!A:B,2,FALSE),B226),PlayerValues!E:E,0)),"N/A")</f>
        <v>17517</v>
      </c>
      <c r="B226" s="4" t="s">
        <v>454</v>
      </c>
      <c r="C226" s="4" t="s">
        <v>287</v>
      </c>
      <c r="D226" s="94">
        <v>2378.0</v>
      </c>
    </row>
    <row r="227">
      <c r="A227" s="40">
        <f t="array" ref="A227">IFNA(index(PlayerValues!A:A,match(IFNA(vlookup(B227,'Special Names'!A:B,2,FALSE),B227),PlayerValues!E:E,0)),"N/A")</f>
        <v>17134</v>
      </c>
      <c r="B227" s="4" t="s">
        <v>548</v>
      </c>
      <c r="C227" s="4" t="s">
        <v>287</v>
      </c>
      <c r="D227" s="94">
        <v>2369.0</v>
      </c>
    </row>
    <row r="228">
      <c r="A228" s="40">
        <f t="array" ref="A228">IFNA(index(PlayerValues!A:A,match(IFNA(vlookup(B228,'Special Names'!A:B,2,FALSE),B228),PlayerValues!E:E,0)),"N/A")</f>
        <v>17048</v>
      </c>
      <c r="B228" s="4" t="s">
        <v>539</v>
      </c>
      <c r="C228" s="4" t="s">
        <v>278</v>
      </c>
      <c r="D228" s="94">
        <v>2359.0</v>
      </c>
    </row>
    <row r="229">
      <c r="A229" s="40">
        <f t="array" ref="A229">IFNA(index(PlayerValues!A:A,match(IFNA(vlookup(B229,'Special Names'!A:B,2,FALSE),B229),PlayerValues!E:E,0)),"N/A")</f>
        <v>17547</v>
      </c>
      <c r="B229" s="4" t="s">
        <v>552</v>
      </c>
      <c r="C229" s="4" t="s">
        <v>298</v>
      </c>
      <c r="D229" s="94">
        <v>2751.0</v>
      </c>
    </row>
    <row r="230">
      <c r="A230" s="40">
        <f t="array" ref="A230">IFNA(index(PlayerValues!A:A,match(IFNA(vlookup(B230,'Special Names'!A:B,2,FALSE),B230),PlayerValues!E:E,0)),"N/A")</f>
        <v>15716</v>
      </c>
      <c r="B230" s="4" t="s">
        <v>545</v>
      </c>
      <c r="C230" s="4" t="s">
        <v>278</v>
      </c>
      <c r="D230" s="94">
        <v>2344.0</v>
      </c>
    </row>
    <row r="231">
      <c r="A231" s="40">
        <f t="array" ref="A231">IFNA(index(PlayerValues!A:A,match(IFNA(vlookup(B231,'Special Names'!A:B,2,FALSE),B231),PlayerValues!E:E,0)),"N/A")</f>
        <v>15749</v>
      </c>
      <c r="B231" s="4" t="s">
        <v>574</v>
      </c>
      <c r="C231" s="4" t="s">
        <v>278</v>
      </c>
      <c r="D231" s="94">
        <v>2329.0</v>
      </c>
    </row>
    <row r="232">
      <c r="A232" s="40">
        <f t="array" ref="A232">IFNA(index(PlayerValues!A:A,match(IFNA(vlookup(B232,'Special Names'!A:B,2,FALSE),B232),PlayerValues!E:E,0)),"N/A")</f>
        <v>14861</v>
      </c>
      <c r="B232" s="4" t="s">
        <v>523</v>
      </c>
      <c r="C232" s="4" t="s">
        <v>298</v>
      </c>
      <c r="D232" s="94">
        <v>2715.0</v>
      </c>
    </row>
    <row r="233">
      <c r="A233" s="40">
        <f t="array" ref="A233">IFNA(index(PlayerValues!A:A,match(IFNA(vlookup(B233,'Special Names'!A:B,2,FALSE),B233),PlayerValues!E:E,0)),"N/A")</f>
        <v>15802</v>
      </c>
      <c r="B233" s="4" t="s">
        <v>566</v>
      </c>
      <c r="C233" s="4" t="s">
        <v>298</v>
      </c>
      <c r="D233" s="94">
        <v>2711.0</v>
      </c>
    </row>
    <row r="234">
      <c r="A234" s="40">
        <f t="array" ref="A234">IFNA(index(PlayerValues!A:A,match(IFNA(vlookup(B234,'Special Names'!A:B,2,FALSE),B234),PlayerValues!E:E,0)),"N/A")</f>
        <v>13319</v>
      </c>
      <c r="B234" s="4" t="s">
        <v>549</v>
      </c>
      <c r="C234" s="4" t="s">
        <v>278</v>
      </c>
      <c r="D234" s="94">
        <v>2290.0</v>
      </c>
    </row>
    <row r="235">
      <c r="A235" s="40">
        <f t="array" ref="A235">IFNA(index(PlayerValues!A:A,match(IFNA(vlookup(B235,'Special Names'!A:B,2,FALSE),B235),PlayerValues!E:E,0)),"N/A")</f>
        <v>17482</v>
      </c>
      <c r="B235" s="4" t="s">
        <v>460</v>
      </c>
      <c r="C235" s="4" t="s">
        <v>278</v>
      </c>
      <c r="D235" s="94">
        <v>2284.0</v>
      </c>
    </row>
    <row r="236">
      <c r="A236" s="40">
        <f t="array" ref="A236">IFNA(index(PlayerValues!A:A,match(IFNA(vlookup(B236,'Special Names'!A:B,2,FALSE),B236),PlayerValues!E:E,0)),"N/A")</f>
        <v>16166</v>
      </c>
      <c r="B236" s="4" t="s">
        <v>567</v>
      </c>
      <c r="C236" s="4" t="s">
        <v>278</v>
      </c>
      <c r="D236" s="94">
        <v>2278.0</v>
      </c>
    </row>
    <row r="237">
      <c r="A237" s="40" t="str">
        <f t="array" ref="A237">IFNA(index(PlayerValues!A:A,match(IFNA(vlookup(B237,'Special Names'!A:B,2,FALSE),B237),PlayerValues!E:E,0)),"N/A")</f>
        <v>N/A</v>
      </c>
      <c r="B237" s="4" t="s">
        <v>86</v>
      </c>
      <c r="C237" s="4" t="s">
        <v>325</v>
      </c>
      <c r="D237" s="94">
        <v>2278.0</v>
      </c>
    </row>
    <row r="238">
      <c r="A238" s="40">
        <f t="array" ref="A238">IFNA(index(PlayerValues!A:A,match(IFNA(vlookup(B238,'Special Names'!A:B,2,FALSE),B238),PlayerValues!E:E,0)),"N/A")</f>
        <v>11150</v>
      </c>
      <c r="B238" s="4" t="s">
        <v>559</v>
      </c>
      <c r="C238" s="4" t="s">
        <v>283</v>
      </c>
      <c r="D238" s="94">
        <v>2264.0</v>
      </c>
    </row>
    <row r="239">
      <c r="A239" s="40">
        <f t="array" ref="A239">IFNA(index(PlayerValues!A:A,match(IFNA(vlookup(B239,'Special Names'!A:B,2,FALSE),B239),PlayerValues!E:E,0)),"N/A")</f>
        <v>16036</v>
      </c>
      <c r="B239" s="4" t="s">
        <v>592</v>
      </c>
      <c r="C239" s="4" t="s">
        <v>298</v>
      </c>
      <c r="D239" s="94">
        <v>2653.0</v>
      </c>
    </row>
    <row r="240">
      <c r="A240" s="40">
        <f t="array" ref="A240">IFNA(index(PlayerValues!A:A,match(IFNA(vlookup(B240,'Special Names'!A:B,2,FALSE),B240),PlayerValues!E:E,0)),"N/A")</f>
        <v>16594</v>
      </c>
      <c r="B240" s="4" t="s">
        <v>607</v>
      </c>
      <c r="C240" s="4" t="s">
        <v>278</v>
      </c>
      <c r="D240" s="94">
        <v>2248.0</v>
      </c>
    </row>
    <row r="241">
      <c r="A241" s="40" t="str">
        <f t="array" ref="A241">IFNA(index(PlayerValues!A:A,match(IFNA(vlookup(B241,'Special Names'!A:B,2,FALSE),B241),PlayerValues!E:E,0)),"N/A")</f>
        <v>N/A</v>
      </c>
      <c r="B241" s="4" t="s">
        <v>100</v>
      </c>
      <c r="C241" s="4" t="s">
        <v>325</v>
      </c>
      <c r="D241" s="94">
        <v>2241.0</v>
      </c>
    </row>
    <row r="242">
      <c r="A242" s="40">
        <f t="array" ref="A242">IFNA(index(PlayerValues!A:A,match(IFNA(vlookup(B242,'Special Names'!A:B,2,FALSE),B242),PlayerValues!E:E,0)),"N/A")</f>
        <v>17033</v>
      </c>
      <c r="B242" s="4" t="s">
        <v>570</v>
      </c>
      <c r="C242" s="4" t="s">
        <v>283</v>
      </c>
      <c r="D242" s="94">
        <v>2237.0</v>
      </c>
    </row>
    <row r="243">
      <c r="A243" s="40">
        <f t="array" ref="A243">IFNA(index(PlayerValues!A:A,match(IFNA(vlookup(B243,'Special Names'!A:B,2,FALSE),B243),PlayerValues!E:E,0)),"N/A")</f>
        <v>12676</v>
      </c>
      <c r="B243" s="4" t="s">
        <v>537</v>
      </c>
      <c r="C243" s="4" t="s">
        <v>298</v>
      </c>
      <c r="D243" s="94">
        <v>2627.0</v>
      </c>
    </row>
    <row r="244">
      <c r="A244" s="40" t="str">
        <f t="array" ref="A244">IFNA(index(PlayerValues!A:A,match(IFNA(vlookup(B244,'Special Names'!A:B,2,FALSE),B244),PlayerValues!E:E,0)),"N/A")</f>
        <v>N/A</v>
      </c>
      <c r="B244" s="4" t="s">
        <v>112</v>
      </c>
      <c r="C244" s="4" t="s">
        <v>325</v>
      </c>
      <c r="D244" s="94">
        <v>2211.0</v>
      </c>
    </row>
    <row r="245">
      <c r="A245" s="40">
        <f t="array" ref="A245">IFNA(index(PlayerValues!A:A,match(IFNA(vlookup(B245,'Special Names'!A:B,2,FALSE),B245),PlayerValues!E:E,0)),"N/A")</f>
        <v>16152</v>
      </c>
      <c r="B245" s="4" t="s">
        <v>601</v>
      </c>
      <c r="C245" s="4" t="s">
        <v>283</v>
      </c>
      <c r="D245" s="94">
        <v>2204.0</v>
      </c>
    </row>
    <row r="246">
      <c r="A246" s="40">
        <f t="array" ref="A246">IFNA(index(PlayerValues!A:A,match(IFNA(vlookup(B246,'Special Names'!A:B,2,FALSE),B246),PlayerValues!E:E,0)),"N/A")</f>
        <v>16649</v>
      </c>
      <c r="B246" s="4" t="s">
        <v>586</v>
      </c>
      <c r="C246" s="4" t="s">
        <v>298</v>
      </c>
      <c r="D246" s="94">
        <v>2591.0</v>
      </c>
    </row>
    <row r="247">
      <c r="A247" s="40">
        <f t="array" ref="A247">IFNA(index(PlayerValues!A:A,match(IFNA(vlookup(B247,'Special Names'!A:B,2,FALSE),B247),PlayerValues!E:E,0)),"N/A")</f>
        <v>17466</v>
      </c>
      <c r="B247" s="4" t="s">
        <v>492</v>
      </c>
      <c r="C247" s="4" t="s">
        <v>283</v>
      </c>
      <c r="D247" s="94">
        <v>2195.0</v>
      </c>
    </row>
    <row r="248">
      <c r="A248" s="40">
        <f t="array" ref="A248">IFNA(index(PlayerValues!A:A,match(IFNA(vlookup(B248,'Special Names'!A:B,2,FALSE),B248),PlayerValues!E:E,0)),"N/A")</f>
        <v>16212</v>
      </c>
      <c r="B248" s="4" t="s">
        <v>568</v>
      </c>
      <c r="C248" s="4" t="s">
        <v>298</v>
      </c>
      <c r="D248" s="94">
        <v>2584.0</v>
      </c>
    </row>
    <row r="249">
      <c r="A249" s="40">
        <f t="array" ref="A249">IFNA(index(PlayerValues!A:A,match(IFNA(vlookup(B249,'Special Names'!A:B,2,FALSE),B249),PlayerValues!E:E,0)),"N/A")</f>
        <v>15331</v>
      </c>
      <c r="B249" s="4" t="s">
        <v>560</v>
      </c>
      <c r="C249" s="4" t="s">
        <v>298</v>
      </c>
      <c r="D249" s="94">
        <v>2582.0</v>
      </c>
    </row>
    <row r="250">
      <c r="A250" s="40">
        <f t="array" ref="A250">IFNA(index(PlayerValues!A:A,match(IFNA(vlookup(B250,'Special Names'!A:B,2,FALSE),B250),PlayerValues!E:E,0)),"N/A")</f>
        <v>16610</v>
      </c>
      <c r="B250" s="4" t="s">
        <v>562</v>
      </c>
      <c r="C250" s="4" t="s">
        <v>278</v>
      </c>
      <c r="D250" s="94">
        <v>2185.0</v>
      </c>
    </row>
    <row r="251">
      <c r="A251" s="40">
        <f t="array" ref="A251">IFNA(index(PlayerValues!A:A,match(IFNA(vlookup(B251,'Special Names'!A:B,2,FALSE),B251),PlayerValues!E:E,0)),"N/A")</f>
        <v>13772</v>
      </c>
      <c r="B251" s="4" t="s">
        <v>544</v>
      </c>
      <c r="C251" s="4" t="s">
        <v>298</v>
      </c>
      <c r="D251" s="94">
        <v>2567.0</v>
      </c>
    </row>
    <row r="252">
      <c r="A252" s="40">
        <f t="array" ref="A252">IFNA(index(PlayerValues!A:A,match(IFNA(vlookup(B252,'Special Names'!A:B,2,FALSE),B252),PlayerValues!E:E,0)),"N/A")</f>
        <v>13113</v>
      </c>
      <c r="B252" s="4" t="s">
        <v>606</v>
      </c>
      <c r="C252" s="4" t="s">
        <v>283</v>
      </c>
      <c r="D252" s="94">
        <v>2165.0</v>
      </c>
    </row>
    <row r="253">
      <c r="A253" s="40">
        <f t="array" ref="A253">IFNA(index(PlayerValues!A:A,match(IFNA(vlookup(B253,'Special Names'!A:B,2,FALSE),B253),PlayerValues!E:E,0)),"N/A")</f>
        <v>14840</v>
      </c>
      <c r="B253" s="4" t="s">
        <v>731</v>
      </c>
      <c r="C253" s="4" t="s">
        <v>287</v>
      </c>
      <c r="D253" s="94">
        <v>2163.0</v>
      </c>
    </row>
    <row r="254">
      <c r="A254" s="40" t="str">
        <f t="array" ref="A254">IFNA(index(PlayerValues!A:A,match(IFNA(vlookup(B254,'Special Names'!A:B,2,FALSE),B254),PlayerValues!E:E,0)),"N/A")</f>
        <v>N/A</v>
      </c>
      <c r="B254" s="4" t="s">
        <v>87</v>
      </c>
      <c r="C254" s="4" t="s">
        <v>325</v>
      </c>
      <c r="D254" s="94">
        <v>2160.0</v>
      </c>
    </row>
    <row r="255">
      <c r="A255" s="40">
        <f t="array" ref="A255">IFNA(index(PlayerValues!A:A,match(IFNA(vlookup(B255,'Special Names'!A:B,2,FALSE),B255),PlayerValues!E:E,0)),"N/A")</f>
        <v>16604</v>
      </c>
      <c r="B255" s="4" t="s">
        <v>476</v>
      </c>
      <c r="C255" s="4" t="s">
        <v>278</v>
      </c>
      <c r="D255" s="94">
        <v>2155.0</v>
      </c>
    </row>
    <row r="256">
      <c r="A256" s="40">
        <f t="array" ref="A256">IFNA(index(PlayerValues!A:A,match(IFNA(vlookup(B256,'Special Names'!A:B,2,FALSE),B256),PlayerValues!E:E,0)),"N/A")</f>
        <v>16757</v>
      </c>
      <c r="B256" s="4" t="s">
        <v>558</v>
      </c>
      <c r="C256" s="4" t="s">
        <v>278</v>
      </c>
      <c r="D256" s="94">
        <v>2148.0</v>
      </c>
    </row>
    <row r="257">
      <c r="A257" s="40">
        <f t="array" ref="A257">IFNA(index(PlayerValues!A:A,match(IFNA(vlookup(B257,'Special Names'!A:B,2,FALSE),B257),PlayerValues!E:E,0)),"N/A")</f>
        <v>12186</v>
      </c>
      <c r="B257" s="4" t="s">
        <v>497</v>
      </c>
      <c r="C257" s="4" t="s">
        <v>287</v>
      </c>
      <c r="D257" s="94">
        <v>2145.0</v>
      </c>
    </row>
    <row r="258">
      <c r="A258" s="40">
        <f t="array" ref="A258">IFNA(index(PlayerValues!A:A,match(IFNA(vlookup(B258,'Special Names'!A:B,2,FALSE),B258),PlayerValues!E:E,0)),"N/A")</f>
        <v>17055</v>
      </c>
      <c r="B258" s="4" t="s">
        <v>565</v>
      </c>
      <c r="C258" s="4" t="s">
        <v>278</v>
      </c>
      <c r="D258" s="94">
        <v>2129.0</v>
      </c>
    </row>
    <row r="259">
      <c r="A259" s="40" t="str">
        <f t="array" ref="A259">IFNA(index(PlayerValues!A:A,match(IFNA(vlookup(B259,'Special Names'!A:B,2,FALSE),B259),PlayerValues!E:E,0)),"N/A")</f>
        <v>N/A</v>
      </c>
      <c r="B259" s="4" t="s">
        <v>88</v>
      </c>
      <c r="C259" s="4" t="s">
        <v>325</v>
      </c>
      <c r="D259" s="94">
        <v>2124.0</v>
      </c>
    </row>
    <row r="260">
      <c r="A260" s="40">
        <f t="array" ref="A260">IFNA(index(PlayerValues!A:A,match(IFNA(vlookup(B260,'Special Names'!A:B,2,FALSE),B260),PlayerValues!E:E,0)),"N/A")</f>
        <v>16189</v>
      </c>
      <c r="B260" s="4" t="s">
        <v>582</v>
      </c>
      <c r="C260" s="4" t="s">
        <v>287</v>
      </c>
      <c r="D260" s="94">
        <v>2116.0</v>
      </c>
    </row>
    <row r="261">
      <c r="A261" s="40">
        <f t="array" ref="A261">IFNA(index(PlayerValues!A:A,match(IFNA(vlookup(B261,'Special Names'!A:B,2,FALSE),B261),PlayerValues!E:E,0)),"N/A")</f>
        <v>17079</v>
      </c>
      <c r="B261" s="4" t="s">
        <v>572</v>
      </c>
      <c r="C261" s="4" t="s">
        <v>287</v>
      </c>
      <c r="D261" s="94">
        <v>2092.0</v>
      </c>
    </row>
    <row r="262">
      <c r="A262" s="40" t="str">
        <f t="array" ref="A262">IFNA(index(PlayerValues!A:A,match(IFNA(vlookup(B262,'Special Names'!A:B,2,FALSE),B262),PlayerValues!E:E,0)),"N/A")</f>
        <v>N/A</v>
      </c>
      <c r="B262" s="4" t="s">
        <v>113</v>
      </c>
      <c r="C262" s="4" t="s">
        <v>325</v>
      </c>
      <c r="D262" s="94">
        <v>2090.0</v>
      </c>
    </row>
    <row r="263">
      <c r="A263" s="40">
        <f t="array" ref="A263">IFNA(index(PlayerValues!A:A,match(IFNA(vlookup(B263,'Special Names'!A:B,2,FALSE),B263),PlayerValues!E:E,0)),"N/A")</f>
        <v>17060</v>
      </c>
      <c r="B263" s="4" t="s">
        <v>603</v>
      </c>
      <c r="C263" s="4" t="s">
        <v>278</v>
      </c>
      <c r="D263" s="94">
        <v>2066.0</v>
      </c>
    </row>
    <row r="264">
      <c r="A264" s="40">
        <f t="array" ref="A264">IFNA(index(PlayerValues!A:A,match(IFNA(vlookup(B264,'Special Names'!A:B,2,FALSE),B264),PlayerValues!E:E,0)),"N/A")</f>
        <v>17069</v>
      </c>
      <c r="B264" s="4" t="s">
        <v>604</v>
      </c>
      <c r="C264" s="4" t="s">
        <v>278</v>
      </c>
      <c r="D264" s="94">
        <v>2066.0</v>
      </c>
    </row>
    <row r="265">
      <c r="A265" s="40">
        <f t="array" ref="A265">IFNA(index(PlayerValues!A:A,match(IFNA(vlookup(B265,'Special Names'!A:B,2,FALSE),B265),PlayerValues!E:E,0)),"N/A")</f>
        <v>15238</v>
      </c>
      <c r="B265" s="4" t="s">
        <v>613</v>
      </c>
      <c r="C265" s="4" t="s">
        <v>283</v>
      </c>
      <c r="D265" s="94">
        <v>2055.0</v>
      </c>
    </row>
    <row r="266">
      <c r="A266" s="40">
        <f t="array" ref="A266">IFNA(index(PlayerValues!A:A,match(IFNA(vlookup(B266,'Special Names'!A:B,2,FALSE),B266),PlayerValues!E:E,0)),"N/A")</f>
        <v>15293</v>
      </c>
      <c r="B266" s="4" t="s">
        <v>578</v>
      </c>
      <c r="C266" s="4" t="s">
        <v>287</v>
      </c>
      <c r="D266" s="94">
        <v>2052.0</v>
      </c>
    </row>
    <row r="267">
      <c r="A267" s="40">
        <f t="array" ref="A267">IFNA(index(PlayerValues!A:A,match(IFNA(vlookup(B267,'Special Names'!A:B,2,FALSE),B267),PlayerValues!E:E,0)),"N/A")</f>
        <v>17061</v>
      </c>
      <c r="B267" s="4" t="s">
        <v>580</v>
      </c>
      <c r="C267" s="4" t="s">
        <v>278</v>
      </c>
      <c r="D267" s="94">
        <v>2049.0</v>
      </c>
    </row>
    <row r="268">
      <c r="A268" s="40">
        <f t="array" ref="A268">IFNA(index(PlayerValues!A:A,match(IFNA(vlookup(B268,'Special Names'!A:B,2,FALSE),B268),PlayerValues!E:E,0)),"N/A")</f>
        <v>13132</v>
      </c>
      <c r="B268" s="4" t="s">
        <v>598</v>
      </c>
      <c r="C268" s="4" t="s">
        <v>278</v>
      </c>
      <c r="D268" s="94">
        <v>2045.0</v>
      </c>
    </row>
    <row r="269">
      <c r="A269" s="40">
        <f t="array" ref="A269">IFNA(index(PlayerValues!A:A,match(IFNA(vlookup(B269,'Special Names'!A:B,2,FALSE),B269),PlayerValues!E:E,0)),"N/A")</f>
        <v>17056</v>
      </c>
      <c r="B269" s="4" t="s">
        <v>581</v>
      </c>
      <c r="C269" s="4" t="s">
        <v>278</v>
      </c>
      <c r="D269" s="94">
        <v>2034.0</v>
      </c>
    </row>
    <row r="270">
      <c r="A270" s="40">
        <f t="array" ref="A270">IFNA(index(PlayerValues!A:A,match(IFNA(vlookup(B270,'Special Names'!A:B,2,FALSE),B270),PlayerValues!E:E,0)),"N/A")</f>
        <v>17046</v>
      </c>
      <c r="B270" s="4" t="s">
        <v>602</v>
      </c>
      <c r="C270" s="4" t="s">
        <v>278</v>
      </c>
      <c r="D270" s="94">
        <v>2032.0</v>
      </c>
    </row>
    <row r="271">
      <c r="A271" s="40">
        <f t="array" ref="A271">IFNA(index(PlayerValues!A:A,match(IFNA(vlookup(B271,'Special Names'!A:B,2,FALSE),B271),PlayerValues!E:E,0)),"N/A")</f>
        <v>17184</v>
      </c>
      <c r="B271" s="4" t="s">
        <v>588</v>
      </c>
      <c r="C271" s="4" t="s">
        <v>287</v>
      </c>
      <c r="D271" s="94">
        <v>2032.0</v>
      </c>
    </row>
    <row r="272">
      <c r="A272" s="40">
        <f t="array" ref="A272">IFNA(index(PlayerValues!A:A,match(IFNA(vlookup(B272,'Special Names'!A:B,2,FALSE),B272),PlayerValues!E:E,0)),"N/A")</f>
        <v>16432</v>
      </c>
      <c r="B272" s="4" t="s">
        <v>620</v>
      </c>
      <c r="C272" s="4" t="s">
        <v>278</v>
      </c>
      <c r="D272" s="94">
        <v>2029.0</v>
      </c>
    </row>
    <row r="273">
      <c r="A273" s="40">
        <f t="array" ref="A273">IFNA(index(PlayerValues!A:A,match(IFNA(vlookup(B273,'Special Names'!A:B,2,FALSE),B273),PlayerValues!E:E,0)),"N/A")</f>
        <v>14974</v>
      </c>
      <c r="B273" s="4" t="s">
        <v>611</v>
      </c>
      <c r="C273" s="4" t="s">
        <v>287</v>
      </c>
      <c r="D273" s="94">
        <v>2024.0</v>
      </c>
    </row>
    <row r="274">
      <c r="A274" s="40">
        <f t="array" ref="A274">IFNA(index(PlayerValues!A:A,match(IFNA(vlookup(B274,'Special Names'!A:B,2,FALSE),B274),PlayerValues!E:E,0)),"N/A")</f>
        <v>16643</v>
      </c>
      <c r="B274" s="4" t="s">
        <v>609</v>
      </c>
      <c r="C274" s="4" t="s">
        <v>298</v>
      </c>
      <c r="D274" s="94">
        <v>2409.0</v>
      </c>
    </row>
    <row r="275">
      <c r="A275" s="40" t="str">
        <f t="array" ref="A275">IFNA(index(PlayerValues!A:A,match(IFNA(vlookup(B275,'Special Names'!A:B,2,FALSE),B275),PlayerValues!E:E,0)),"N/A")</f>
        <v>N/A</v>
      </c>
      <c r="B275" s="4" t="s">
        <v>114</v>
      </c>
      <c r="C275" s="4" t="s">
        <v>325</v>
      </c>
      <c r="D275" s="94">
        <v>2008.0</v>
      </c>
    </row>
    <row r="276">
      <c r="A276" s="40">
        <f t="array" ref="A276">IFNA(index(PlayerValues!A:A,match(IFNA(vlookup(B276,'Special Names'!A:B,2,FALSE),B276),PlayerValues!E:E,0)),"N/A")</f>
        <v>15797</v>
      </c>
      <c r="B276" s="4" t="s">
        <v>556</v>
      </c>
      <c r="C276" s="4" t="s">
        <v>298</v>
      </c>
      <c r="D276" s="94">
        <v>2391.0</v>
      </c>
    </row>
    <row r="277">
      <c r="A277" s="40">
        <f t="array" ref="A277">IFNA(index(PlayerValues!A:A,match(IFNA(vlookup(B277,'Special Names'!A:B,2,FALSE),B277),PlayerValues!E:E,0)),"N/A")</f>
        <v>14136</v>
      </c>
      <c r="B277" s="4" t="s">
        <v>536</v>
      </c>
      <c r="C277" s="4" t="s">
        <v>287</v>
      </c>
      <c r="D277" s="94">
        <v>1992.0</v>
      </c>
    </row>
    <row r="278">
      <c r="A278" s="40">
        <f t="array" ref="A278">IFNA(index(PlayerValues!A:A,match(IFNA(vlookup(B278,'Special Names'!A:B,2,FALSE),B278),PlayerValues!E:E,0)),"N/A")</f>
        <v>14867</v>
      </c>
      <c r="B278" s="4" t="s">
        <v>591</v>
      </c>
      <c r="C278" s="4" t="s">
        <v>298</v>
      </c>
      <c r="D278" s="94">
        <v>2369.0</v>
      </c>
    </row>
    <row r="279">
      <c r="A279" s="40">
        <f t="array" ref="A279">IFNA(index(PlayerValues!A:A,match(IFNA(vlookup(B279,'Special Names'!A:B,2,FALSE),B279),PlayerValues!E:E,0)),"N/A")</f>
        <v>7836</v>
      </c>
      <c r="B279" s="4" t="s">
        <v>590</v>
      </c>
      <c r="C279" s="4" t="s">
        <v>283</v>
      </c>
      <c r="D279" s="94">
        <v>1981.0</v>
      </c>
    </row>
    <row r="280">
      <c r="A280" s="40">
        <f t="array" ref="A280">IFNA(index(PlayerValues!A:A,match(IFNA(vlookup(B280,'Special Names'!A:B,2,FALSE),B280),PlayerValues!E:E,0)),"N/A")</f>
        <v>17076</v>
      </c>
      <c r="B280" s="4" t="s">
        <v>585</v>
      </c>
      <c r="C280" s="4" t="s">
        <v>287</v>
      </c>
      <c r="D280" s="94">
        <v>1981.0</v>
      </c>
    </row>
    <row r="281">
      <c r="A281" s="40">
        <f t="array" ref="A281">IFNA(index(PlayerValues!A:A,match(IFNA(vlookup(B281,'Special Names'!A:B,2,FALSE),B281),PlayerValues!E:E,0)),"N/A")</f>
        <v>16603</v>
      </c>
      <c r="B281" s="4" t="s">
        <v>587</v>
      </c>
      <c r="C281" s="4" t="s">
        <v>278</v>
      </c>
      <c r="D281" s="94">
        <v>1971.0</v>
      </c>
    </row>
    <row r="282">
      <c r="A282" s="40">
        <f t="array" ref="A282">IFNA(index(PlayerValues!A:A,match(IFNA(vlookup(B282,'Special Names'!A:B,2,FALSE),B282),PlayerValues!E:E,0)),"N/A")</f>
        <v>17036</v>
      </c>
      <c r="B282" s="4" t="s">
        <v>617</v>
      </c>
      <c r="C282" s="4" t="s">
        <v>283</v>
      </c>
      <c r="D282" s="94">
        <v>1946.0</v>
      </c>
    </row>
    <row r="283">
      <c r="A283" s="40">
        <f t="array" ref="A283">IFNA(index(PlayerValues!A:A,match(IFNA(vlookup(B283,'Special Names'!A:B,2,FALSE),B283),PlayerValues!E:E,0)),"N/A")</f>
        <v>16342</v>
      </c>
      <c r="B283" s="4" t="s">
        <v>583</v>
      </c>
      <c r="C283" s="4" t="s">
        <v>287</v>
      </c>
      <c r="D283" s="94">
        <v>1945.0</v>
      </c>
    </row>
    <row r="284">
      <c r="A284" s="40">
        <f t="array" ref="A284">IFNA(index(PlayerValues!A:A,match(IFNA(vlookup(B284,'Special Names'!A:B,2,FALSE),B284),PlayerValues!E:E,0)),"N/A")</f>
        <v>13633</v>
      </c>
      <c r="B284" s="4" t="s">
        <v>625</v>
      </c>
      <c r="C284" s="4" t="s">
        <v>287</v>
      </c>
      <c r="D284" s="94">
        <v>1940.0</v>
      </c>
    </row>
    <row r="285">
      <c r="A285" s="40">
        <f t="array" ref="A285">IFNA(index(PlayerValues!A:A,match(IFNA(vlookup(B285,'Special Names'!A:B,2,FALSE),B285),PlayerValues!E:E,0)),"N/A")</f>
        <v>17087</v>
      </c>
      <c r="B285" s="4" t="s">
        <v>600</v>
      </c>
      <c r="C285" s="4" t="s">
        <v>287</v>
      </c>
      <c r="D285" s="94">
        <v>1927.0</v>
      </c>
    </row>
    <row r="286">
      <c r="A286" s="40">
        <f t="array" ref="A286">IFNA(index(PlayerValues!A:A,match(IFNA(vlookup(B286,'Special Names'!A:B,2,FALSE),B286),PlayerValues!E:E,0)),"N/A")</f>
        <v>17528</v>
      </c>
      <c r="B286" s="4" t="s">
        <v>579</v>
      </c>
      <c r="C286" s="4" t="s">
        <v>287</v>
      </c>
      <c r="D286" s="94">
        <v>1917.0</v>
      </c>
    </row>
    <row r="287">
      <c r="A287" s="40">
        <f t="array" ref="A287">IFNA(index(PlayerValues!A:A,match(IFNA(vlookup(B287,'Special Names'!A:B,2,FALSE),B287),PlayerValues!E:E,0)),"N/A")</f>
        <v>17481</v>
      </c>
      <c r="B287" s="4" t="s">
        <v>540</v>
      </c>
      <c r="C287" s="4" t="s">
        <v>278</v>
      </c>
      <c r="D287" s="94">
        <v>1910.0</v>
      </c>
    </row>
    <row r="288">
      <c r="A288" s="40">
        <f t="array" ref="A288">IFNA(index(PlayerValues!A:A,match(IFNA(vlookup(B288,'Special Names'!A:B,2,FALSE),B288),PlayerValues!E:E,0)),"N/A")</f>
        <v>16639</v>
      </c>
      <c r="B288" s="4" t="s">
        <v>599</v>
      </c>
      <c r="C288" s="4" t="s">
        <v>287</v>
      </c>
      <c r="D288" s="94">
        <v>1908.0</v>
      </c>
    </row>
    <row r="289">
      <c r="A289" s="40">
        <f t="array" ref="A289">IFNA(index(PlayerValues!A:A,match(IFNA(vlookup(B289,'Special Names'!A:B,2,FALSE),B289),PlayerValues!E:E,0)),"N/A")</f>
        <v>10700</v>
      </c>
      <c r="B289" s="4" t="s">
        <v>596</v>
      </c>
      <c r="C289" s="4" t="s">
        <v>283</v>
      </c>
      <c r="D289" s="94">
        <v>1900.0</v>
      </c>
    </row>
    <row r="290">
      <c r="A290" s="40">
        <f t="array" ref="A290">IFNA(index(PlayerValues!A:A,match(IFNA(vlookup(B290,'Special Names'!A:B,2,FALSE),B290),PlayerValues!E:E,0)),"N/A")</f>
        <v>16216</v>
      </c>
      <c r="B290" s="4" t="s">
        <v>595</v>
      </c>
      <c r="C290" s="4" t="s">
        <v>298</v>
      </c>
      <c r="D290" s="94">
        <v>2285.0</v>
      </c>
    </row>
    <row r="291">
      <c r="A291" s="40">
        <f t="array" ref="A291">IFNA(index(PlayerValues!A:A,match(IFNA(vlookup(B291,'Special Names'!A:B,2,FALSE),B291),PlayerValues!E:E,0)),"N/A")</f>
        <v>12801</v>
      </c>
      <c r="B291" s="4" t="s">
        <v>722</v>
      </c>
      <c r="C291" s="4" t="s">
        <v>287</v>
      </c>
      <c r="D291" s="94">
        <v>1871.0</v>
      </c>
    </row>
    <row r="292">
      <c r="A292" s="40">
        <f t="array" ref="A292">IFNA(index(PlayerValues!A:A,match(IFNA(vlookup(B292,'Special Names'!A:B,2,FALSE),B292),PlayerValues!E:E,0)),"N/A")</f>
        <v>13629</v>
      </c>
      <c r="B292" s="4" t="s">
        <v>619</v>
      </c>
      <c r="C292" s="4" t="s">
        <v>287</v>
      </c>
      <c r="D292" s="94">
        <v>1871.0</v>
      </c>
    </row>
    <row r="293">
      <c r="A293" s="40">
        <f t="array" ref="A293">IFNA(index(PlayerValues!A:A,match(IFNA(vlookup(B293,'Special Names'!A:B,2,FALSE),B293),PlayerValues!E:E,0)),"N/A")</f>
        <v>17468</v>
      </c>
      <c r="B293" s="4" t="s">
        <v>514</v>
      </c>
      <c r="C293" s="4" t="s">
        <v>283</v>
      </c>
      <c r="D293" s="94">
        <v>1868.0</v>
      </c>
    </row>
    <row r="294">
      <c r="A294" s="40">
        <f t="array" ref="A294">IFNA(index(PlayerValues!A:A,match(IFNA(vlookup(B294,'Special Names'!A:B,2,FALSE),B294),PlayerValues!E:E,0)),"N/A")</f>
        <v>14871</v>
      </c>
      <c r="B294" s="4" t="s">
        <v>584</v>
      </c>
      <c r="C294" s="4" t="s">
        <v>298</v>
      </c>
      <c r="D294" s="94">
        <v>2248.0</v>
      </c>
    </row>
    <row r="295">
      <c r="A295" s="40">
        <f t="array" ref="A295">IFNA(index(PlayerValues!A:A,match(IFNA(vlookup(B295,'Special Names'!A:B,2,FALSE),B295),PlayerValues!E:E,0)),"N/A")</f>
        <v>17467</v>
      </c>
      <c r="B295" s="4" t="s">
        <v>575</v>
      </c>
      <c r="C295" s="4" t="s">
        <v>283</v>
      </c>
      <c r="D295" s="94">
        <v>1856.0</v>
      </c>
    </row>
    <row r="296">
      <c r="A296" s="40" t="str">
        <f t="array" ref="A296">IFNA(index(PlayerValues!A:A,match(IFNA(vlookup(B296,'Special Names'!A:B,2,FALSE),B296),PlayerValues!E:E,0)),"N/A")</f>
        <v>N/A</v>
      </c>
      <c r="B296" s="4" t="s">
        <v>101</v>
      </c>
      <c r="C296" s="4" t="s">
        <v>325</v>
      </c>
      <c r="D296" s="94">
        <v>1855.0</v>
      </c>
    </row>
    <row r="297">
      <c r="A297" s="40">
        <f t="array" ref="A297">IFNA(index(PlayerValues!A:A,match(IFNA(vlookup(B297,'Special Names'!A:B,2,FALSE),B297),PlayerValues!E:E,0)),"N/A")</f>
        <v>16778</v>
      </c>
      <c r="B297" s="4" t="s">
        <v>577</v>
      </c>
      <c r="C297" s="4" t="s">
        <v>287</v>
      </c>
      <c r="D297" s="94">
        <v>1848.0</v>
      </c>
    </row>
    <row r="298">
      <c r="A298" s="40">
        <f t="array" ref="A298">IFNA(index(PlayerValues!A:A,match(IFNA(vlookup(B298,'Special Names'!A:B,2,FALSE),B298),PlayerValues!E:E,0)),"N/A")</f>
        <v>13189</v>
      </c>
      <c r="B298" s="4" t="s">
        <v>626</v>
      </c>
      <c r="C298" s="4" t="s">
        <v>298</v>
      </c>
      <c r="D298" s="94">
        <v>2205.0</v>
      </c>
    </row>
    <row r="299">
      <c r="A299" s="40">
        <f t="array" ref="A299">IFNA(index(PlayerValues!A:A,match(IFNA(vlookup(B299,'Special Names'!A:B,2,FALSE),B299),PlayerValues!E:E,0)),"N/A")</f>
        <v>17485</v>
      </c>
      <c r="B299" s="4" t="s">
        <v>522</v>
      </c>
      <c r="C299" s="4" t="s">
        <v>278</v>
      </c>
      <c r="D299" s="94">
        <v>1824.0</v>
      </c>
    </row>
    <row r="300">
      <c r="A300" s="40">
        <f t="array" ref="A300">IFNA(index(PlayerValues!A:A,match(IFNA(vlookup(B300,'Special Names'!A:B,2,FALSE),B300),PlayerValues!E:E,0)),"N/A")</f>
        <v>16752</v>
      </c>
      <c r="B300" s="4" t="s">
        <v>597</v>
      </c>
      <c r="C300" s="4" t="s">
        <v>278</v>
      </c>
      <c r="D300" s="94">
        <v>1799.0</v>
      </c>
    </row>
    <row r="301">
      <c r="A301" s="40">
        <f t="array" ref="A301">IFNA(index(PlayerValues!A:A,match(IFNA(vlookup(B301,'Special Names'!A:B,2,FALSE),B301),PlayerValues!E:E,0)),"N/A")</f>
        <v>17086</v>
      </c>
      <c r="B301" s="4" t="s">
        <v>612</v>
      </c>
      <c r="C301" s="4" t="s">
        <v>287</v>
      </c>
      <c r="D301" s="94">
        <v>1799.0</v>
      </c>
    </row>
    <row r="302">
      <c r="A302" s="40">
        <f t="array" ref="A302">IFNA(index(PlayerValues!A:A,match(IFNA(vlookup(B302,'Special Names'!A:B,2,FALSE),B302),PlayerValues!E:E,0)),"N/A")</f>
        <v>15787</v>
      </c>
      <c r="B302" s="4" t="s">
        <v>610</v>
      </c>
      <c r="C302" s="4" t="s">
        <v>287</v>
      </c>
      <c r="D302" s="94">
        <v>1797.0</v>
      </c>
    </row>
    <row r="303">
      <c r="A303" s="40">
        <f t="array" ref="A303">IFNA(index(PlayerValues!A:A,match(IFNA(vlookup(B303,'Special Names'!A:B,2,FALSE),B303),PlayerValues!E:E,0)),"N/A")</f>
        <v>15788</v>
      </c>
      <c r="B303" s="4" t="s">
        <v>627</v>
      </c>
      <c r="C303" s="4" t="s">
        <v>287</v>
      </c>
      <c r="D303" s="94">
        <v>1792.0</v>
      </c>
    </row>
    <row r="304">
      <c r="A304" s="40">
        <f t="array" ref="A304">IFNA(index(PlayerValues!A:A,match(IFNA(vlookup(B304,'Special Names'!A:B,2,FALSE),B304),PlayerValues!E:E,0)),"N/A")</f>
        <v>16215</v>
      </c>
      <c r="B304" s="4" t="s">
        <v>637</v>
      </c>
      <c r="C304" s="4" t="s">
        <v>298</v>
      </c>
      <c r="D304" s="94">
        <v>2166.0</v>
      </c>
    </row>
    <row r="305">
      <c r="A305" s="40">
        <f t="array" ref="A305">IFNA(index(PlayerValues!A:A,match(IFNA(vlookup(B305,'Special Names'!A:B,2,FALSE),B305),PlayerValues!E:E,0)),"N/A")</f>
        <v>16171</v>
      </c>
      <c r="B305" s="4" t="s">
        <v>618</v>
      </c>
      <c r="C305" s="4" t="s">
        <v>278</v>
      </c>
      <c r="D305" s="94">
        <v>1777.0</v>
      </c>
    </row>
    <row r="306">
      <c r="A306" s="40">
        <f t="array" ref="A306">IFNA(index(PlayerValues!A:A,match(IFNA(vlookup(B306,'Special Names'!A:B,2,FALSE),B306),PlayerValues!E:E,0)),"N/A")</f>
        <v>17548</v>
      </c>
      <c r="B306" s="4" t="s">
        <v>594</v>
      </c>
      <c r="C306" s="4" t="s">
        <v>298</v>
      </c>
      <c r="D306" s="94">
        <v>2147.0</v>
      </c>
    </row>
    <row r="307">
      <c r="A307" s="40">
        <f t="array" ref="A307">IFNA(index(PlayerValues!A:A,match(IFNA(vlookup(B307,'Special Names'!A:B,2,FALSE),B307),PlayerValues!E:E,0)),"N/A")</f>
        <v>16644</v>
      </c>
      <c r="B307" s="4" t="s">
        <v>640</v>
      </c>
      <c r="C307" s="4" t="s">
        <v>298</v>
      </c>
      <c r="D307" s="94">
        <v>2146.0</v>
      </c>
    </row>
    <row r="308">
      <c r="A308" s="40">
        <f t="array" ref="A308">IFNA(index(PlayerValues!A:A,match(IFNA(vlookup(B308,'Special Names'!A:B,2,FALSE),B308),PlayerValues!E:E,0)),"N/A")</f>
        <v>13146</v>
      </c>
      <c r="B308" s="4" t="s">
        <v>652</v>
      </c>
      <c r="C308" s="4" t="s">
        <v>278</v>
      </c>
      <c r="D308" s="94">
        <v>1756.0</v>
      </c>
    </row>
    <row r="309">
      <c r="A309" s="40">
        <f t="array" ref="A309">IFNA(index(PlayerValues!A:A,match(IFNA(vlookup(B309,'Special Names'!A:B,2,FALSE),B309),PlayerValues!E:E,0)),"N/A")</f>
        <v>17049</v>
      </c>
      <c r="B309" s="4" t="s">
        <v>624</v>
      </c>
      <c r="C309" s="4" t="s">
        <v>278</v>
      </c>
      <c r="D309" s="94">
        <v>1749.0</v>
      </c>
    </row>
    <row r="310">
      <c r="A310" s="40">
        <f t="array" ref="A310">IFNA(index(PlayerValues!A:A,match(IFNA(vlookup(B310,'Special Names'!A:B,2,FALSE),B310),PlayerValues!E:E,0)),"N/A")</f>
        <v>16191</v>
      </c>
      <c r="B310" s="4" t="s">
        <v>666</v>
      </c>
      <c r="C310" s="4" t="s">
        <v>287</v>
      </c>
      <c r="D310" s="94">
        <v>1745.0</v>
      </c>
    </row>
    <row r="311">
      <c r="A311" s="40" t="str">
        <f t="array" ref="A311">IFNA(index(PlayerValues!A:A,match(IFNA(vlookup(B311,'Special Names'!A:B,2,FALSE),B311),PlayerValues!E:E,0)),"N/A")</f>
        <v>N/A</v>
      </c>
      <c r="B311" s="4" t="s">
        <v>102</v>
      </c>
      <c r="C311" s="4" t="s">
        <v>325</v>
      </c>
      <c r="D311" s="94">
        <v>1738.0</v>
      </c>
    </row>
    <row r="312">
      <c r="A312" s="40">
        <f t="array" ref="A312">IFNA(index(PlayerValues!A:A,match(IFNA(vlookup(B312,'Special Names'!A:B,2,FALSE),B312),PlayerValues!E:E,0)),"N/A")</f>
        <v>13164</v>
      </c>
      <c r="B312" s="4" t="s">
        <v>632</v>
      </c>
      <c r="C312" s="4" t="s">
        <v>287</v>
      </c>
      <c r="D312" s="94">
        <v>1724.0</v>
      </c>
    </row>
    <row r="313">
      <c r="A313" s="40">
        <f t="array" ref="A313">IFNA(index(PlayerValues!A:A,match(IFNA(vlookup(B313,'Special Names'!A:B,2,FALSE),B313),PlayerValues!E:E,0)),"N/A")</f>
        <v>17034</v>
      </c>
      <c r="B313" s="4" t="s">
        <v>643</v>
      </c>
      <c r="C313" s="4" t="s">
        <v>283</v>
      </c>
      <c r="D313" s="94">
        <v>1714.0</v>
      </c>
    </row>
    <row r="314">
      <c r="A314" s="40" t="str">
        <f t="array" ref="A314">IFNA(index(PlayerValues!A:A,match(IFNA(vlookup(B314,'Special Names'!A:B,2,FALSE),B314),PlayerValues!E:E,0)),"N/A")</f>
        <v>N/A</v>
      </c>
      <c r="B314" s="4" t="s">
        <v>89</v>
      </c>
      <c r="C314" s="4" t="s">
        <v>325</v>
      </c>
      <c r="D314" s="94">
        <v>1712.0</v>
      </c>
    </row>
    <row r="315">
      <c r="A315" s="40">
        <f t="array" ref="A315">IFNA(index(PlayerValues!A:A,match(IFNA(vlookup(B315,'Special Names'!A:B,2,FALSE),B315),PlayerValues!E:E,0)),"N/A")</f>
        <v>17035</v>
      </c>
      <c r="B315" s="4" t="s">
        <v>650</v>
      </c>
      <c r="C315" s="4" t="s">
        <v>283</v>
      </c>
      <c r="D315" s="94">
        <v>1704.0</v>
      </c>
    </row>
    <row r="316">
      <c r="A316" s="40">
        <f t="array" ref="A316">IFNA(index(PlayerValues!A:A,match(IFNA(vlookup(B316,'Special Names'!A:B,2,FALSE),B316),PlayerValues!E:E,0)),"N/A")</f>
        <v>14143</v>
      </c>
      <c r="B316" s="4" t="s">
        <v>635</v>
      </c>
      <c r="C316" s="4" t="s">
        <v>298</v>
      </c>
      <c r="D316" s="94">
        <v>2080.0</v>
      </c>
    </row>
    <row r="317">
      <c r="A317" s="40">
        <f t="array" ref="A317">IFNA(index(PlayerValues!A:A,match(IFNA(vlookup(B317,'Special Names'!A:B,2,FALSE),B317),PlayerValues!E:E,0)),"N/A")</f>
        <v>17607</v>
      </c>
      <c r="B317" s="4" t="s">
        <v>526</v>
      </c>
      <c r="C317" s="4" t="s">
        <v>298</v>
      </c>
      <c r="D317" s="94">
        <v>2078.0</v>
      </c>
    </row>
    <row r="318">
      <c r="A318" s="40">
        <f t="array" ref="A318">IFNA(index(PlayerValues!A:A,match(IFNA(vlookup(B318,'Special Names'!A:B,2,FALSE),B318),PlayerValues!E:E,0)),"N/A")</f>
        <v>17567</v>
      </c>
      <c r="B318" s="4" t="s">
        <v>571</v>
      </c>
      <c r="C318" s="4" t="s">
        <v>298</v>
      </c>
      <c r="D318" s="94">
        <v>2078.0</v>
      </c>
    </row>
    <row r="319">
      <c r="A319" s="40">
        <f t="array" ref="A319">IFNA(index(PlayerValues!A:A,match(IFNA(vlookup(B319,'Special Names'!A:B,2,FALSE),B319),PlayerValues!E:E,0)),"N/A")</f>
        <v>16585</v>
      </c>
      <c r="B319" s="4" t="s">
        <v>623</v>
      </c>
      <c r="C319" s="4" t="s">
        <v>283</v>
      </c>
      <c r="D319" s="94">
        <v>1695.0</v>
      </c>
    </row>
    <row r="320">
      <c r="A320" s="40">
        <f t="array" ref="A320">IFNA(index(PlayerValues!A:A,match(IFNA(vlookup(B320,'Special Names'!A:B,2,FALSE),B320),PlayerValues!E:E,0)),"N/A")</f>
        <v>17064</v>
      </c>
      <c r="B320" s="4" t="s">
        <v>631</v>
      </c>
      <c r="C320" s="4" t="s">
        <v>278</v>
      </c>
      <c r="D320" s="94">
        <v>1682.0</v>
      </c>
    </row>
    <row r="321">
      <c r="A321" s="40" t="str">
        <f t="array" ref="A321">IFNA(index(PlayerValues!A:A,match(IFNA(vlookup(B321,'Special Names'!A:B,2,FALSE),B321),PlayerValues!E:E,0)),"N/A")</f>
        <v>N/A</v>
      </c>
      <c r="B321" s="4" t="s">
        <v>103</v>
      </c>
      <c r="C321" s="4" t="s">
        <v>325</v>
      </c>
      <c r="D321" s="94">
        <v>1674.0</v>
      </c>
    </row>
    <row r="322">
      <c r="A322" s="40">
        <f t="array" ref="A322">IFNA(index(PlayerValues!A:A,match(IFNA(vlookup(B322,'Special Names'!A:B,2,FALSE),B322),PlayerValues!E:E,0)),"N/A")</f>
        <v>17058</v>
      </c>
      <c r="B322" s="4" t="s">
        <v>641</v>
      </c>
      <c r="C322" s="4" t="s">
        <v>278</v>
      </c>
      <c r="D322" s="94">
        <v>1665.0</v>
      </c>
    </row>
    <row r="323">
      <c r="A323" s="40">
        <f t="array" ref="A323">IFNA(index(PlayerValues!A:A,match(IFNA(vlookup(B323,'Special Names'!A:B,2,FALSE),B323),PlayerValues!E:E,0)),"N/A")</f>
        <v>17096</v>
      </c>
      <c r="B323" s="4" t="s">
        <v>638</v>
      </c>
      <c r="C323" s="4" t="s">
        <v>287</v>
      </c>
      <c r="D323" s="94">
        <v>1656.0</v>
      </c>
    </row>
    <row r="324">
      <c r="A324" s="40">
        <f t="array" ref="A324">IFNA(index(PlayerValues!A:A,match(IFNA(vlookup(B324,'Special Names'!A:B,2,FALSE),B324),PlayerValues!E:E,0)),"N/A")</f>
        <v>16635</v>
      </c>
      <c r="B324" s="4" t="s">
        <v>645</v>
      </c>
      <c r="C324" s="4" t="s">
        <v>287</v>
      </c>
      <c r="D324" s="94">
        <v>1644.0</v>
      </c>
    </row>
    <row r="325">
      <c r="A325" s="40">
        <f t="array" ref="A325">IFNA(index(PlayerValues!A:A,match(IFNA(vlookup(B325,'Special Names'!A:B,2,FALSE),B325),PlayerValues!E:E,0)),"N/A")</f>
        <v>16207</v>
      </c>
      <c r="B325" s="4" t="s">
        <v>636</v>
      </c>
      <c r="C325" s="4" t="s">
        <v>287</v>
      </c>
      <c r="D325" s="94">
        <v>1643.0</v>
      </c>
    </row>
    <row r="326">
      <c r="A326" s="40" t="str">
        <f t="array" ref="A326">IFNA(index(PlayerValues!A:A,match(IFNA(vlookup(B326,'Special Names'!A:B,2,FALSE),B326),PlayerValues!E:E,0)),"N/A")</f>
        <v>N/A</v>
      </c>
      <c r="B326" s="4" t="s">
        <v>115</v>
      </c>
      <c r="C326" s="4" t="s">
        <v>325</v>
      </c>
      <c r="D326" s="94">
        <v>1642.0</v>
      </c>
    </row>
    <row r="327">
      <c r="A327" s="40">
        <f t="array" ref="A327">IFNA(index(PlayerValues!A:A,match(IFNA(vlookup(B327,'Special Names'!A:B,2,FALSE),B327),PlayerValues!E:E,0)),"N/A")</f>
        <v>17465</v>
      </c>
      <c r="B327" s="4" t="s">
        <v>649</v>
      </c>
      <c r="C327" s="4" t="s">
        <v>283</v>
      </c>
      <c r="D327" s="94">
        <v>1639.0</v>
      </c>
    </row>
    <row r="328">
      <c r="A328" s="40">
        <f t="array" ref="A328">IFNA(index(PlayerValues!A:A,match(IFNA(vlookup(B328,'Special Names'!A:B,2,FALSE),B328),PlayerValues!E:E,0)),"N/A")</f>
        <v>15755</v>
      </c>
      <c r="B328" s="4" t="s">
        <v>628</v>
      </c>
      <c r="C328" s="4" t="s">
        <v>287</v>
      </c>
      <c r="D328" s="94">
        <v>1628.0</v>
      </c>
    </row>
    <row r="329">
      <c r="A329" s="40" t="str">
        <f t="array" ref="A329">IFNA(index(PlayerValues!A:A,match(IFNA(vlookup(B329,'Special Names'!A:B,2,FALSE),B329),PlayerValues!E:E,0)),"N/A")</f>
        <v>N/A</v>
      </c>
      <c r="B329" s="4" t="s">
        <v>90</v>
      </c>
      <c r="C329" s="4" t="s">
        <v>325</v>
      </c>
      <c r="D329" s="94">
        <v>1625.0</v>
      </c>
    </row>
    <row r="330">
      <c r="A330" s="40">
        <f t="array" ref="A330">IFNA(index(PlayerValues!A:A,match(IFNA(vlookup(B330,'Special Names'!A:B,2,FALSE),B330),PlayerValues!E:E,0)),"N/A")</f>
        <v>14105</v>
      </c>
      <c r="B330" s="4" t="s">
        <v>675</v>
      </c>
      <c r="C330" s="4" t="s">
        <v>287</v>
      </c>
      <c r="D330" s="94">
        <v>1620.0</v>
      </c>
    </row>
    <row r="331">
      <c r="A331" s="40">
        <f t="array" ref="A331">IFNA(index(PlayerValues!A:A,match(IFNA(vlookup(B331,'Special Names'!A:B,2,FALSE),B331),PlayerValues!E:E,0)),"N/A")</f>
        <v>16201</v>
      </c>
      <c r="B331" s="4" t="s">
        <v>589</v>
      </c>
      <c r="C331" s="4" t="s">
        <v>287</v>
      </c>
      <c r="D331" s="94">
        <v>1617.0</v>
      </c>
    </row>
    <row r="332">
      <c r="A332" s="40">
        <f t="array" ref="A332">IFNA(index(PlayerValues!A:A,match(IFNA(vlookup(B332,'Special Names'!A:B,2,FALSE),B332),PlayerValues!E:E,0)),"N/A")</f>
        <v>16601</v>
      </c>
      <c r="B332" s="4" t="s">
        <v>648</v>
      </c>
      <c r="C332" s="4" t="s">
        <v>278</v>
      </c>
      <c r="D332" s="94">
        <v>1608.0</v>
      </c>
    </row>
    <row r="333">
      <c r="A333" s="40">
        <f t="array" ref="A333">IFNA(index(PlayerValues!A:A,match(IFNA(vlookup(B333,'Special Names'!A:B,2,FALSE),B333),PlayerValues!E:E,0)),"N/A")</f>
        <v>16586</v>
      </c>
      <c r="B333" s="4" t="s">
        <v>658</v>
      </c>
      <c r="C333" s="4" t="s">
        <v>283</v>
      </c>
      <c r="D333" s="94">
        <v>1582.0</v>
      </c>
    </row>
    <row r="334">
      <c r="A334" s="40" t="str">
        <f t="array" ref="A334">IFNA(index(PlayerValues!A:A,match(IFNA(vlookup(B334,'Special Names'!A:B,2,FALSE),B334),PlayerValues!E:E,0)),"N/A")</f>
        <v>N/A</v>
      </c>
      <c r="B334" s="4" t="s">
        <v>116</v>
      </c>
      <c r="C334" s="4" t="s">
        <v>325</v>
      </c>
      <c r="D334" s="94">
        <v>1576.0</v>
      </c>
    </row>
    <row r="335">
      <c r="A335" s="40">
        <f t="array" ref="A335">IFNA(index(PlayerValues!A:A,match(IFNA(vlookup(B335,'Special Names'!A:B,2,FALSE),B335),PlayerValues!E:E,0)),"N/A")</f>
        <v>16629</v>
      </c>
      <c r="B335" s="4" t="s">
        <v>605</v>
      </c>
      <c r="C335" s="4" t="s">
        <v>287</v>
      </c>
      <c r="D335" s="94">
        <v>1567.0</v>
      </c>
    </row>
    <row r="336">
      <c r="A336" s="40">
        <f t="array" ref="A336">IFNA(index(PlayerValues!A:A,match(IFNA(vlookup(B336,'Special Names'!A:B,2,FALSE),B336),PlayerValues!E:E,0)),"N/A")</f>
        <v>15301</v>
      </c>
      <c r="B336" s="4" t="s">
        <v>657</v>
      </c>
      <c r="C336" s="4" t="s">
        <v>287</v>
      </c>
      <c r="D336" s="94">
        <v>1561.0</v>
      </c>
    </row>
    <row r="337">
      <c r="A337" s="40" t="str">
        <f t="array" ref="A337">IFNA(index(PlayerValues!A:A,match(IFNA(vlookup(B337,'Special Names'!A:B,2,FALSE),B337),PlayerValues!E:E,0)),"N/A")</f>
        <v>N/A</v>
      </c>
      <c r="B337" s="4" t="s">
        <v>91</v>
      </c>
      <c r="C337" s="4" t="s">
        <v>325</v>
      </c>
      <c r="D337" s="94">
        <v>1560.0</v>
      </c>
    </row>
    <row r="338">
      <c r="A338" s="40">
        <f t="array" ref="A338">IFNA(index(PlayerValues!A:A,match(IFNA(vlookup(B338,'Special Names'!A:B,2,FALSE),B338),PlayerValues!E:E,0)),"N/A")</f>
        <v>16633</v>
      </c>
      <c r="B338" s="4" t="s">
        <v>656</v>
      </c>
      <c r="C338" s="4" t="s">
        <v>287</v>
      </c>
      <c r="D338" s="94">
        <v>1560.0</v>
      </c>
    </row>
    <row r="339">
      <c r="A339" s="40">
        <f t="array" ref="A339">IFNA(index(PlayerValues!A:A,match(IFNA(vlookup(B339,'Special Names'!A:B,2,FALSE),B339),PlayerValues!E:E,0)),"N/A")</f>
        <v>15254</v>
      </c>
      <c r="B339" s="4" t="s">
        <v>633</v>
      </c>
      <c r="C339" s="4" t="s">
        <v>278</v>
      </c>
      <c r="D339" s="94">
        <v>1557.0</v>
      </c>
    </row>
    <row r="340">
      <c r="A340" s="40">
        <f t="array" ref="A340">IFNA(index(PlayerValues!A:A,match(IFNA(vlookup(B340,'Special Names'!A:B,2,FALSE),B340),PlayerValues!E:E,0)),"N/A")</f>
        <v>15319</v>
      </c>
      <c r="B340" s="4" t="s">
        <v>644</v>
      </c>
      <c r="C340" s="4" t="s">
        <v>287</v>
      </c>
      <c r="D340" s="94">
        <v>1546.0</v>
      </c>
    </row>
    <row r="341">
      <c r="A341" s="40">
        <f t="array" ref="A341">IFNA(index(PlayerValues!A:A,match(IFNA(vlookup(B341,'Special Names'!A:B,2,FALSE),B341),PlayerValues!E:E,0)),"N/A")</f>
        <v>17529</v>
      </c>
      <c r="B341" s="4" t="s">
        <v>608</v>
      </c>
      <c r="C341" s="4" t="s">
        <v>287</v>
      </c>
      <c r="D341" s="94">
        <v>1545.0</v>
      </c>
    </row>
    <row r="342">
      <c r="A342" s="40">
        <f t="array" ref="A342">IFNA(index(PlayerValues!A:A,match(IFNA(vlookup(B342,'Special Names'!A:B,2,FALSE),B342),PlayerValues!E:E,0)),"N/A")</f>
        <v>17234</v>
      </c>
      <c r="B342" s="4" t="s">
        <v>653</v>
      </c>
      <c r="C342" s="4" t="s">
        <v>287</v>
      </c>
      <c r="D342" s="94">
        <v>1539.0</v>
      </c>
    </row>
    <row r="343">
      <c r="A343" s="40">
        <f t="array" ref="A343">IFNA(index(PlayerValues!A:A,match(IFNA(vlookup(B343,'Special Names'!A:B,2,FALSE),B343),PlayerValues!E:E,0)),"N/A")</f>
        <v>15713</v>
      </c>
      <c r="B343" s="4" t="s">
        <v>732</v>
      </c>
      <c r="C343" s="4" t="s">
        <v>278</v>
      </c>
      <c r="D343" s="94">
        <v>1515.0</v>
      </c>
    </row>
    <row r="344">
      <c r="A344" s="40">
        <f t="array" ref="A344">IFNA(index(PlayerValues!A:A,match(IFNA(vlookup(B344,'Special Names'!A:B,2,FALSE),B344),PlayerValues!E:E,0)),"N/A")</f>
        <v>17205</v>
      </c>
      <c r="B344" s="4" t="s">
        <v>665</v>
      </c>
      <c r="C344" s="4" t="s">
        <v>287</v>
      </c>
      <c r="D344" s="94">
        <v>1514.0</v>
      </c>
    </row>
    <row r="345">
      <c r="A345" s="40">
        <f t="array" ref="A345">IFNA(index(PlayerValues!A:A,match(IFNA(vlookup(B345,'Special Names'!A:B,2,FALSE),B345),PlayerValues!E:E,0)),"N/A")</f>
        <v>14122</v>
      </c>
      <c r="B345" s="4" t="s">
        <v>663</v>
      </c>
      <c r="C345" s="4" t="s">
        <v>287</v>
      </c>
      <c r="D345" s="94">
        <v>1505.0</v>
      </c>
    </row>
    <row r="346">
      <c r="A346" s="40">
        <f t="array" ref="A346">IFNA(index(PlayerValues!A:A,match(IFNA(vlookup(B346,'Special Names'!A:B,2,FALSE),B346),PlayerValues!E:E,0)),"N/A")</f>
        <v>15337</v>
      </c>
      <c r="B346" s="4" t="s">
        <v>655</v>
      </c>
      <c r="C346" s="4" t="s">
        <v>298</v>
      </c>
      <c r="D346" s="94">
        <v>1868.0</v>
      </c>
    </row>
    <row r="347">
      <c r="A347" s="40">
        <f t="array" ref="A347">IFNA(index(PlayerValues!A:A,match(IFNA(vlookup(B347,'Special Names'!A:B,2,FALSE),B347),PlayerValues!E:E,0)),"N/A")</f>
        <v>16595</v>
      </c>
      <c r="B347" s="4" t="s">
        <v>664</v>
      </c>
      <c r="C347" s="4" t="s">
        <v>278</v>
      </c>
      <c r="D347" s="94">
        <v>1494.0</v>
      </c>
    </row>
    <row r="348">
      <c r="A348" s="40">
        <f t="array" ref="A348">IFNA(index(PlayerValues!A:A,match(IFNA(vlookup(B348,'Special Names'!A:B,2,FALSE),B348),PlayerValues!E:E,0)),"N/A")</f>
        <v>16688</v>
      </c>
      <c r="B348" s="4" t="s">
        <v>688</v>
      </c>
      <c r="C348" s="4" t="s">
        <v>278</v>
      </c>
      <c r="D348" s="94">
        <v>1494.0</v>
      </c>
    </row>
    <row r="349">
      <c r="A349" s="40">
        <f t="array" ref="A349">IFNA(index(PlayerValues!A:A,match(IFNA(vlookup(B349,'Special Names'!A:B,2,FALSE),B349),PlayerValues!E:E,0)),"N/A")</f>
        <v>16175</v>
      </c>
      <c r="B349" s="4" t="s">
        <v>654</v>
      </c>
      <c r="C349" s="4" t="s">
        <v>278</v>
      </c>
      <c r="D349" s="94">
        <v>1486.0</v>
      </c>
    </row>
    <row r="350">
      <c r="A350" s="40">
        <f t="array" ref="A350">IFNA(index(PlayerValues!A:A,match(IFNA(vlookup(B350,'Special Names'!A:B,2,FALSE),B350),PlayerValues!E:E,0)),"N/A")</f>
        <v>17054</v>
      </c>
      <c r="B350" s="4" t="s">
        <v>670</v>
      </c>
      <c r="C350" s="4" t="s">
        <v>278</v>
      </c>
      <c r="D350" s="94">
        <v>1477.0</v>
      </c>
    </row>
    <row r="351">
      <c r="A351" s="40">
        <f t="array" ref="A351">IFNA(index(PlayerValues!A:A,match(IFNA(vlookup(B351,'Special Names'!A:B,2,FALSE),B351),PlayerValues!E:E,0)),"N/A")</f>
        <v>15752</v>
      </c>
      <c r="B351" s="4" t="s">
        <v>647</v>
      </c>
      <c r="C351" s="4" t="s">
        <v>287</v>
      </c>
      <c r="D351" s="94">
        <v>1468.0</v>
      </c>
    </row>
    <row r="352">
      <c r="A352" s="40">
        <f t="array" ref="A352">IFNA(index(PlayerValues!A:A,match(IFNA(vlookup(B352,'Special Names'!A:B,2,FALSE),B352),PlayerValues!E:E,0)),"N/A")</f>
        <v>13672</v>
      </c>
      <c r="B352" s="4" t="s">
        <v>667</v>
      </c>
      <c r="C352" s="4" t="s">
        <v>298</v>
      </c>
      <c r="D352" s="94">
        <v>1834.0</v>
      </c>
    </row>
    <row r="353">
      <c r="A353" s="40">
        <f t="array" ref="A353">IFNA(index(PlayerValues!A:A,match(IFNA(vlookup(B353,'Special Names'!A:B,2,FALSE),B353),PlayerValues!E:E,0)),"N/A")</f>
        <v>16788</v>
      </c>
      <c r="B353" s="4" t="s">
        <v>621</v>
      </c>
      <c r="C353" s="4" t="s">
        <v>287</v>
      </c>
      <c r="D353" s="94">
        <v>1452.0</v>
      </c>
    </row>
    <row r="354">
      <c r="A354" s="40">
        <f t="array" ref="A354">IFNA(index(PlayerValues!A:A,match(IFNA(vlookup(B354,'Special Names'!A:B,2,FALSE),B354),PlayerValues!E:E,0)),"N/A")</f>
        <v>15873</v>
      </c>
      <c r="B354" s="4" t="s">
        <v>681</v>
      </c>
      <c r="C354" s="4" t="s">
        <v>298</v>
      </c>
      <c r="D354" s="94">
        <v>1810.0</v>
      </c>
    </row>
    <row r="355">
      <c r="A355" s="40">
        <f t="array" ref="A355">IFNA(index(PlayerValues!A:A,match(IFNA(vlookup(B355,'Special Names'!A:B,2,FALSE),B355),PlayerValues!E:E,0)),"N/A")</f>
        <v>15759</v>
      </c>
      <c r="B355" s="4" t="s">
        <v>662</v>
      </c>
      <c r="C355" s="4" t="s">
        <v>287</v>
      </c>
      <c r="D355" s="94">
        <v>1433.0</v>
      </c>
    </row>
    <row r="356">
      <c r="A356" s="40">
        <f t="array" ref="A356">IFNA(index(PlayerValues!A:A,match(IFNA(vlookup(B356,'Special Names'!A:B,2,FALSE),B356),PlayerValues!E:E,0)),"N/A")</f>
        <v>15777</v>
      </c>
      <c r="B356" s="4" t="s">
        <v>694</v>
      </c>
      <c r="C356" s="4" t="s">
        <v>287</v>
      </c>
      <c r="D356" s="94">
        <v>1422.0</v>
      </c>
    </row>
    <row r="357">
      <c r="A357" s="40">
        <f t="array" ref="A357">IFNA(index(PlayerValues!A:A,match(IFNA(vlookup(B357,'Special Names'!A:B,2,FALSE),B357),PlayerValues!E:E,0)),"N/A")</f>
        <v>16390</v>
      </c>
      <c r="B357" s="4" t="s">
        <v>689</v>
      </c>
      <c r="C357" s="4" t="s">
        <v>278</v>
      </c>
      <c r="D357" s="94">
        <v>1418.0</v>
      </c>
    </row>
    <row r="358">
      <c r="A358" s="40">
        <f t="array" ref="A358">IFNA(index(PlayerValues!A:A,match(IFNA(vlookup(B358,'Special Names'!A:B,2,FALSE),B358),PlayerValues!E:E,0)),"N/A")</f>
        <v>17519</v>
      </c>
      <c r="B358" s="4" t="s">
        <v>593</v>
      </c>
      <c r="C358" s="4" t="s">
        <v>287</v>
      </c>
      <c r="D358" s="94">
        <v>1417.0</v>
      </c>
    </row>
    <row r="359">
      <c r="A359" s="40">
        <f t="array" ref="A359">IFNA(index(PlayerValues!A:A,match(IFNA(vlookup(B359,'Special Names'!A:B,2,FALSE),B359),PlayerValues!E:E,0)),"N/A")</f>
        <v>16621</v>
      </c>
      <c r="B359" s="4" t="s">
        <v>672</v>
      </c>
      <c r="C359" s="4" t="s">
        <v>287</v>
      </c>
      <c r="D359" s="94">
        <v>1411.0</v>
      </c>
    </row>
    <row r="360">
      <c r="A360" s="40">
        <f t="array" ref="A360">IFNA(index(PlayerValues!A:A,match(IFNA(vlookup(B360,'Special Names'!A:B,2,FALSE),B360),PlayerValues!E:E,0)),"N/A")</f>
        <v>14137</v>
      </c>
      <c r="B360" s="4" t="s">
        <v>676</v>
      </c>
      <c r="C360" s="4" t="s">
        <v>298</v>
      </c>
      <c r="D360" s="94">
        <v>1774.0</v>
      </c>
    </row>
    <row r="361">
      <c r="A361" s="40">
        <f t="array" ref="A361">IFNA(index(PlayerValues!A:A,match(IFNA(vlookup(B361,'Special Names'!A:B,2,FALSE),B361),PlayerValues!E:E,0)),"N/A")</f>
        <v>17521</v>
      </c>
      <c r="B361" s="4" t="s">
        <v>573</v>
      </c>
      <c r="C361" s="4" t="s">
        <v>287</v>
      </c>
      <c r="D361" s="94">
        <v>1397.0</v>
      </c>
    </row>
    <row r="362">
      <c r="A362" s="40">
        <f t="array" ref="A362">IFNA(index(PlayerValues!A:A,match(IFNA(vlookup(B362,'Special Names'!A:B,2,FALSE),B362),PlayerValues!E:E,0)),"N/A")</f>
        <v>15738</v>
      </c>
      <c r="B362" s="4" t="s">
        <v>634</v>
      </c>
      <c r="C362" s="4" t="s">
        <v>278</v>
      </c>
      <c r="D362" s="94">
        <v>1396.0</v>
      </c>
    </row>
    <row r="363">
      <c r="A363" s="40">
        <f t="array" ref="A363">IFNA(index(PlayerValues!A:A,match(IFNA(vlookup(B363,'Special Names'!A:B,2,FALSE),B363),PlayerValues!E:E,0)),"N/A")</f>
        <v>16387</v>
      </c>
      <c r="B363" s="4" t="s">
        <v>646</v>
      </c>
      <c r="C363" s="4" t="s">
        <v>278</v>
      </c>
      <c r="D363" s="94">
        <v>1396.0</v>
      </c>
    </row>
    <row r="364">
      <c r="A364" s="40">
        <f t="array" ref="A364">IFNA(index(PlayerValues!A:A,match(IFNA(vlookup(B364,'Special Names'!A:B,2,FALSE),B364),PlayerValues!E:E,0)),"N/A")</f>
        <v>16631</v>
      </c>
      <c r="B364" s="4" t="s">
        <v>800</v>
      </c>
      <c r="C364" s="4" t="s">
        <v>287</v>
      </c>
      <c r="D364" s="94">
        <v>1396.0</v>
      </c>
    </row>
    <row r="365">
      <c r="A365" s="40">
        <f t="array" ref="A365">IFNA(index(PlayerValues!A:A,match(IFNA(vlookup(B365,'Special Names'!A:B,2,FALSE),B365),PlayerValues!E:E,0)),"N/A")</f>
        <v>16642</v>
      </c>
      <c r="B365" s="4" t="s">
        <v>691</v>
      </c>
      <c r="C365" s="4" t="s">
        <v>298</v>
      </c>
      <c r="D365" s="94">
        <v>1765.0</v>
      </c>
    </row>
    <row r="366">
      <c r="A366" s="40">
        <f t="array" ref="A366">IFNA(index(PlayerValues!A:A,match(IFNA(vlookup(B366,'Special Names'!A:B,2,FALSE),B366),PlayerValues!E:E,0)),"N/A")</f>
        <v>16384</v>
      </c>
      <c r="B366" s="4" t="s">
        <v>696</v>
      </c>
      <c r="C366" s="4" t="s">
        <v>283</v>
      </c>
      <c r="D366" s="94">
        <v>1388.0</v>
      </c>
    </row>
    <row r="367">
      <c r="A367" s="40">
        <f t="array" ref="A367">IFNA(index(PlayerValues!A:A,match(IFNA(vlookup(B367,'Special Names'!A:B,2,FALSE),B367),PlayerValues!E:E,0)),"N/A")</f>
        <v>16608</v>
      </c>
      <c r="B367" s="4" t="s">
        <v>629</v>
      </c>
      <c r="C367" s="4" t="s">
        <v>278</v>
      </c>
      <c r="D367" s="94">
        <v>1373.0</v>
      </c>
    </row>
    <row r="368">
      <c r="A368" s="40">
        <f t="array" ref="A368">IFNA(index(PlayerValues!A:A,match(IFNA(vlookup(B368,'Special Names'!A:B,2,FALSE),B368),PlayerValues!E:E,0)),"N/A")</f>
        <v>16792</v>
      </c>
      <c r="B368" s="4" t="s">
        <v>704</v>
      </c>
      <c r="C368" s="4" t="s">
        <v>287</v>
      </c>
      <c r="D368" s="94">
        <v>1367.0</v>
      </c>
    </row>
    <row r="369">
      <c r="A369" s="40">
        <f t="array" ref="A369">IFNA(index(PlayerValues!A:A,match(IFNA(vlookup(B369,'Special Names'!A:B,2,FALSE),B369),PlayerValues!E:E,0)),"N/A")</f>
        <v>17599</v>
      </c>
      <c r="B369" s="4" t="s">
        <v>496</v>
      </c>
      <c r="C369" s="4" t="s">
        <v>287</v>
      </c>
      <c r="D369" s="94">
        <v>1361.0</v>
      </c>
    </row>
    <row r="370">
      <c r="A370" s="40">
        <f t="array" ref="A370">IFNA(index(PlayerValues!A:A,match(IFNA(vlookup(B370,'Special Names'!A:B,2,FALSE),B370),PlayerValues!E:E,0)),"N/A")</f>
        <v>14086</v>
      </c>
      <c r="B370" s="4" t="s">
        <v>639</v>
      </c>
      <c r="C370" s="4" t="s">
        <v>278</v>
      </c>
      <c r="D370" s="94">
        <v>1351.0</v>
      </c>
    </row>
    <row r="371">
      <c r="A371" s="40">
        <f t="array" ref="A371">IFNA(index(PlayerValues!A:A,match(IFNA(vlookup(B371,'Special Names'!A:B,2,FALSE),B371),PlayerValues!E:E,0)),"N/A")</f>
        <v>15292</v>
      </c>
      <c r="B371" s="4" t="s">
        <v>682</v>
      </c>
      <c r="C371" s="4" t="s">
        <v>287</v>
      </c>
      <c r="D371" s="94">
        <v>1347.0</v>
      </c>
    </row>
    <row r="372">
      <c r="A372" s="40">
        <f t="array" ref="A372">IFNA(index(PlayerValues!A:A,match(IFNA(vlookup(B372,'Special Names'!A:B,2,FALSE),B372),PlayerValues!E:E,0)),"N/A")</f>
        <v>17037</v>
      </c>
      <c r="B372" s="4" t="s">
        <v>727</v>
      </c>
      <c r="C372" s="4" t="s">
        <v>283</v>
      </c>
      <c r="D372" s="94">
        <v>1318.0</v>
      </c>
    </row>
    <row r="373">
      <c r="A373" s="40">
        <f t="array" ref="A373">IFNA(index(PlayerValues!A:A,match(IFNA(vlookup(B373,'Special Names'!A:B,2,FALSE),B373),PlayerValues!E:E,0)),"N/A")</f>
        <v>17685</v>
      </c>
      <c r="B373" s="4" t="s">
        <v>630</v>
      </c>
      <c r="C373" s="4" t="s">
        <v>278</v>
      </c>
      <c r="D373" s="94">
        <v>1316.0</v>
      </c>
    </row>
    <row r="374">
      <c r="A374" s="40">
        <f t="array" ref="A374">IFNA(index(PlayerValues!A:A,match(IFNA(vlookup(B374,'Special Names'!A:B,2,FALSE),B374),PlayerValues!E:E,0)),"N/A")</f>
        <v>12140</v>
      </c>
      <c r="B374" s="4" t="s">
        <v>702</v>
      </c>
      <c r="C374" s="4" t="s">
        <v>283</v>
      </c>
      <c r="D374" s="94">
        <v>1312.0</v>
      </c>
    </row>
    <row r="375">
      <c r="A375" s="40">
        <f t="array" ref="A375">IFNA(index(PlayerValues!A:A,match(IFNA(vlookup(B375,'Special Names'!A:B,2,FALSE),B375),PlayerValues!E:E,0)),"N/A")</f>
        <v>17254</v>
      </c>
      <c r="B375" s="4" t="s">
        <v>679</v>
      </c>
      <c r="C375" s="4" t="s">
        <v>287</v>
      </c>
      <c r="D375" s="94">
        <v>1309.0</v>
      </c>
    </row>
    <row r="376">
      <c r="A376" s="40">
        <f t="array" ref="A376">IFNA(index(PlayerValues!A:A,match(IFNA(vlookup(B376,'Special Names'!A:B,2,FALSE),B376),PlayerValues!E:E,0)),"N/A")</f>
        <v>17062</v>
      </c>
      <c r="B376" s="4" t="s">
        <v>701</v>
      </c>
      <c r="C376" s="4" t="s">
        <v>278</v>
      </c>
      <c r="D376" s="94">
        <v>1302.0</v>
      </c>
    </row>
    <row r="377">
      <c r="A377" s="40">
        <f t="array" ref="A377">IFNA(index(PlayerValues!A:A,match(IFNA(vlookup(B377,'Special Names'!A:B,2,FALSE),B377),PlayerValues!E:E,0)),"N/A")</f>
        <v>12678</v>
      </c>
      <c r="B377" s="4" t="s">
        <v>703</v>
      </c>
      <c r="C377" s="4" t="s">
        <v>298</v>
      </c>
      <c r="D377" s="94">
        <v>1653.0</v>
      </c>
    </row>
    <row r="378">
      <c r="A378" s="40">
        <f t="array" ref="A378">IFNA(index(PlayerValues!A:A,match(IFNA(vlookup(B378,'Special Names'!A:B,2,FALSE),B378),PlayerValues!E:E,0)),"N/A")</f>
        <v>13418</v>
      </c>
      <c r="B378" s="4" t="s">
        <v>706</v>
      </c>
      <c r="C378" s="4" t="s">
        <v>287</v>
      </c>
      <c r="D378" s="94">
        <v>1275.0</v>
      </c>
    </row>
    <row r="379">
      <c r="A379" s="40">
        <f t="array" ref="A379">IFNA(index(PlayerValues!A:A,match(IFNA(vlookup(B379,'Special Names'!A:B,2,FALSE),B379),PlayerValues!E:E,0)),"N/A")</f>
        <v>15252</v>
      </c>
      <c r="B379" s="4" t="s">
        <v>715</v>
      </c>
      <c r="C379" s="4" t="s">
        <v>283</v>
      </c>
      <c r="D379" s="94">
        <v>1270.0</v>
      </c>
    </row>
    <row r="380">
      <c r="A380" s="40" t="str">
        <f t="array" ref="A380">IFNA(index(PlayerValues!A:A,match(IFNA(vlookup(B380,'Special Names'!A:B,2,FALSE),B380),PlayerValues!E:E,0)),"N/A")</f>
        <v>N/A</v>
      </c>
      <c r="B380" s="4" t="s">
        <v>117</v>
      </c>
      <c r="C380" s="4" t="s">
        <v>325</v>
      </c>
      <c r="D380" s="94">
        <v>1261.0</v>
      </c>
    </row>
    <row r="381">
      <c r="A381" s="40">
        <f t="array" ref="A381">IFNA(index(PlayerValues!A:A,match(IFNA(vlookup(B381,'Special Names'!A:B,2,FALSE),B381),PlayerValues!E:E,0)),"N/A")</f>
        <v>12141</v>
      </c>
      <c r="B381" s="4" t="s">
        <v>744</v>
      </c>
      <c r="C381" s="4" t="s">
        <v>283</v>
      </c>
      <c r="D381" s="94">
        <v>1257.0</v>
      </c>
    </row>
    <row r="382">
      <c r="A382" s="40">
        <f t="array" ref="A382">IFNA(index(PlayerValues!A:A,match(IFNA(vlookup(B382,'Special Names'!A:B,2,FALSE),B382),PlayerValues!E:E,0)),"N/A")</f>
        <v>16645</v>
      </c>
      <c r="B382" s="4" t="s">
        <v>651</v>
      </c>
      <c r="C382" s="4" t="s">
        <v>298</v>
      </c>
      <c r="D382" s="94">
        <v>1624.0</v>
      </c>
    </row>
    <row r="383">
      <c r="A383" s="40">
        <f t="array" ref="A383">IFNA(index(PlayerValues!A:A,match(IFNA(vlookup(B383,'Special Names'!A:B,2,FALSE),B383),PlayerValues!E:E,0)),"N/A")</f>
        <v>14592</v>
      </c>
      <c r="B383" s="4" t="s">
        <v>705</v>
      </c>
      <c r="C383" s="4" t="s">
        <v>287</v>
      </c>
      <c r="D383" s="94">
        <v>1256.0</v>
      </c>
    </row>
    <row r="384">
      <c r="A384" s="40">
        <f t="array" ref="A384">IFNA(index(PlayerValues!A:A,match(IFNA(vlookup(B384,'Special Names'!A:B,2,FALSE),B384),PlayerValues!E:E,0)),"N/A")</f>
        <v>14080</v>
      </c>
      <c r="B384" s="4" t="s">
        <v>716</v>
      </c>
      <c r="C384" s="4" t="s">
        <v>278</v>
      </c>
      <c r="D384" s="94">
        <v>1246.0</v>
      </c>
    </row>
    <row r="385">
      <c r="A385" s="40">
        <f t="array" ref="A385">IFNA(index(PlayerValues!A:A,match(IFNA(vlookup(B385,'Special Names'!A:B,2,FALSE),B385),PlayerValues!E:E,0)),"N/A")</f>
        <v>15332</v>
      </c>
      <c r="B385" s="4" t="s">
        <v>698</v>
      </c>
      <c r="C385" s="4" t="s">
        <v>298</v>
      </c>
      <c r="D385" s="94">
        <v>1613.0</v>
      </c>
    </row>
    <row r="386">
      <c r="A386" s="40">
        <f t="array" ref="A386">IFNA(index(PlayerValues!A:A,match(IFNA(vlookup(B386,'Special Names'!A:B,2,FALSE),B386),PlayerValues!E:E,0)),"N/A")</f>
        <v>14095</v>
      </c>
      <c r="B386" s="4" t="s">
        <v>680</v>
      </c>
      <c r="C386" s="4" t="s">
        <v>278</v>
      </c>
      <c r="D386" s="94">
        <v>1245.0</v>
      </c>
    </row>
    <row r="387">
      <c r="A387" s="40">
        <f t="array" ref="A387">IFNA(index(PlayerValues!A:A,match(IFNA(vlookup(B387,'Special Names'!A:B,2,FALSE),B387),PlayerValues!E:E,0)),"N/A")</f>
        <v>16149</v>
      </c>
      <c r="B387" s="4" t="s">
        <v>740</v>
      </c>
      <c r="C387" s="4" t="s">
        <v>283</v>
      </c>
      <c r="D387" s="94">
        <v>1239.0</v>
      </c>
    </row>
    <row r="388">
      <c r="A388" s="40">
        <f t="array" ref="A388">IFNA(index(PlayerValues!A:A,match(IFNA(vlookup(B388,'Special Names'!A:B,2,FALSE),B388),PlayerValues!E:E,0)),"N/A")</f>
        <v>11222</v>
      </c>
      <c r="B388" s="4" t="s">
        <v>622</v>
      </c>
      <c r="C388" s="4" t="s">
        <v>287</v>
      </c>
      <c r="D388" s="94">
        <v>1233.0</v>
      </c>
    </row>
    <row r="389">
      <c r="A389" s="40">
        <f t="array" ref="A389">IFNA(index(PlayerValues!A:A,match(IFNA(vlookup(B389,'Special Names'!A:B,2,FALSE),B389),PlayerValues!E:E,0)),"N/A")</f>
        <v>15702</v>
      </c>
      <c r="B389" s="4" t="s">
        <v>723</v>
      </c>
      <c r="C389" s="4" t="s">
        <v>283</v>
      </c>
      <c r="D389" s="94">
        <v>1225.0</v>
      </c>
    </row>
    <row r="390">
      <c r="A390" s="40">
        <f t="array" ref="A390">IFNA(index(PlayerValues!A:A,match(IFNA(vlookup(B390,'Special Names'!A:B,2,FALSE),B390),PlayerValues!E:E,0)),"N/A")</f>
        <v>16636</v>
      </c>
      <c r="B390" s="4" t="s">
        <v>699</v>
      </c>
      <c r="C390" s="4" t="s">
        <v>287</v>
      </c>
      <c r="D390" s="94">
        <v>1224.0</v>
      </c>
    </row>
    <row r="391">
      <c r="A391" s="40">
        <f t="array" ref="A391">IFNA(index(PlayerValues!A:A,match(IFNA(vlookup(B391,'Special Names'!A:B,2,FALSE),B391),PlayerValues!E:E,0)),"N/A")</f>
        <v>17097</v>
      </c>
      <c r="B391" s="4" t="s">
        <v>659</v>
      </c>
      <c r="C391" s="4" t="s">
        <v>287</v>
      </c>
      <c r="D391" s="94">
        <v>1221.0</v>
      </c>
    </row>
    <row r="392">
      <c r="A392" s="40">
        <f t="array" ref="A392">IFNA(index(PlayerValues!A:A,match(IFNA(vlookup(B392,'Special Names'!A:B,2,FALSE),B392),PlayerValues!E:E,0)),"N/A")</f>
        <v>17077</v>
      </c>
      <c r="B392" s="4" t="s">
        <v>714</v>
      </c>
      <c r="C392" s="4" t="s">
        <v>287</v>
      </c>
      <c r="D392" s="94">
        <v>1219.0</v>
      </c>
    </row>
    <row r="393">
      <c r="A393" s="40">
        <f t="array" ref="A393">IFNA(index(PlayerValues!A:A,match(IFNA(vlookup(B393,'Special Names'!A:B,2,FALSE),B393),PlayerValues!E:E,0)),"N/A")</f>
        <v>16746</v>
      </c>
      <c r="B393" s="4" t="s">
        <v>709</v>
      </c>
      <c r="C393" s="4" t="s">
        <v>278</v>
      </c>
      <c r="D393" s="94">
        <v>1213.0</v>
      </c>
    </row>
    <row r="394">
      <c r="A394" s="40">
        <f t="array" ref="A394">IFNA(index(PlayerValues!A:A,match(IFNA(vlookup(B394,'Special Names'!A:B,2,FALSE),B394),PlayerValues!E:E,0)),"N/A")</f>
        <v>16183</v>
      </c>
      <c r="B394" s="4" t="s">
        <v>678</v>
      </c>
      <c r="C394" s="4" t="s">
        <v>287</v>
      </c>
      <c r="D394" s="94">
        <v>1212.0</v>
      </c>
    </row>
    <row r="395">
      <c r="A395" s="40">
        <f t="array" ref="A395">IFNA(index(PlayerValues!A:A,match(IFNA(vlookup(B395,'Special Names'!A:B,2,FALSE),B395),PlayerValues!E:E,0)),"N/A")</f>
        <v>14789</v>
      </c>
      <c r="B395" s="4" t="s">
        <v>721</v>
      </c>
      <c r="C395" s="4" t="s">
        <v>283</v>
      </c>
      <c r="D395" s="94">
        <v>1210.0</v>
      </c>
    </row>
    <row r="396">
      <c r="A396" s="40">
        <f t="array" ref="A396">IFNA(index(PlayerValues!A:A,match(IFNA(vlookup(B396,'Special Names'!A:B,2,FALSE),B396),PlayerValues!E:E,0)),"N/A")</f>
        <v>16333</v>
      </c>
      <c r="B396" s="4" t="s">
        <v>711</v>
      </c>
      <c r="C396" s="4" t="s">
        <v>298</v>
      </c>
      <c r="D396" s="94">
        <v>1566.0</v>
      </c>
    </row>
    <row r="397">
      <c r="A397" s="40">
        <f t="array" ref="A397">IFNA(index(PlayerValues!A:A,match(IFNA(vlookup(B397,'Special Names'!A:B,2,FALSE),B397),PlayerValues!E:E,0)),"N/A")</f>
        <v>17652</v>
      </c>
      <c r="B397" s="4" t="s">
        <v>576</v>
      </c>
      <c r="C397" s="4" t="s">
        <v>278</v>
      </c>
      <c r="D397" s="94">
        <v>1197.0</v>
      </c>
    </row>
    <row r="398">
      <c r="A398" s="40">
        <f t="array" ref="A398">IFNA(index(PlayerValues!A:A,match(IFNA(vlookup(B398,'Special Names'!A:B,2,FALSE),B398),PlayerValues!E:E,0)),"N/A")</f>
        <v>16883</v>
      </c>
      <c r="B398" s="4" t="s">
        <v>683</v>
      </c>
      <c r="C398" s="4" t="s">
        <v>287</v>
      </c>
      <c r="D398" s="94">
        <v>1196.0</v>
      </c>
    </row>
    <row r="399">
      <c r="A399" s="40">
        <f t="array" ref="A399">IFNA(index(PlayerValues!A:A,match(IFNA(vlookup(B399,'Special Names'!A:B,2,FALSE),B399),PlayerValues!E:E,0)),"N/A")</f>
        <v>17269</v>
      </c>
      <c r="B399" s="4" t="s">
        <v>718</v>
      </c>
      <c r="C399" s="4" t="s">
        <v>287</v>
      </c>
      <c r="D399" s="94">
        <v>1192.0</v>
      </c>
    </row>
    <row r="400">
      <c r="A400" s="40">
        <f t="array" ref="A400">IFNA(index(PlayerValues!A:A,match(IFNA(vlookup(B400,'Special Names'!A:B,2,FALSE),B400),PlayerValues!E:E,0)),"N/A")</f>
        <v>17109</v>
      </c>
      <c r="B400" s="4" t="s">
        <v>707</v>
      </c>
      <c r="C400" s="4" t="s">
        <v>298</v>
      </c>
      <c r="D400" s="94">
        <v>1550.0</v>
      </c>
    </row>
    <row r="401">
      <c r="A401" s="40">
        <f t="array" ref="A401">IFNA(index(PlayerValues!A:A,match(IFNA(vlookup(B401,'Special Names'!A:B,2,FALSE),B401),PlayerValues!E:E,0)),"N/A")</f>
        <v>17063</v>
      </c>
      <c r="B401" s="4" t="s">
        <v>686</v>
      </c>
      <c r="C401" s="4" t="s">
        <v>278</v>
      </c>
      <c r="D401" s="94">
        <v>1179.0</v>
      </c>
    </row>
    <row r="402">
      <c r="A402" s="40">
        <f t="array" ref="A402">IFNA(index(PlayerValues!A:A,match(IFNA(vlookup(B402,'Special Names'!A:B,2,FALSE),B402),PlayerValues!E:E,0)),"N/A")</f>
        <v>17546</v>
      </c>
      <c r="B402" s="4" t="s">
        <v>671</v>
      </c>
      <c r="C402" s="4" t="s">
        <v>298</v>
      </c>
      <c r="D402" s="94">
        <v>1534.0</v>
      </c>
    </row>
    <row r="403">
      <c r="A403" s="40">
        <f t="array" ref="A403">IFNA(index(PlayerValues!A:A,match(IFNA(vlookup(B403,'Special Names'!A:B,2,FALSE),B403),PlayerValues!E:E,0)),"N/A")</f>
        <v>17057</v>
      </c>
      <c r="B403" s="4" t="s">
        <v>708</v>
      </c>
      <c r="C403" s="4" t="s">
        <v>278</v>
      </c>
      <c r="D403" s="94">
        <v>1164.0</v>
      </c>
    </row>
    <row r="404">
      <c r="A404" s="40">
        <f t="array" ref="A404">IFNA(index(PlayerValues!A:A,match(IFNA(vlookup(B404,'Special Names'!A:B,2,FALSE),B404),PlayerValues!E:E,0)),"N/A")</f>
        <v>17510</v>
      </c>
      <c r="B404" s="4" t="s">
        <v>661</v>
      </c>
      <c r="C404" s="4" t="s">
        <v>287</v>
      </c>
      <c r="D404" s="94">
        <v>1157.0</v>
      </c>
    </row>
    <row r="405">
      <c r="A405" s="40">
        <f t="array" ref="A405">IFNA(index(PlayerValues!A:A,match(IFNA(vlookup(B405,'Special Names'!A:B,2,FALSE),B405),PlayerValues!E:E,0)),"N/A")</f>
        <v>15288</v>
      </c>
      <c r="B405" s="4" t="s">
        <v>700</v>
      </c>
      <c r="C405" s="4" t="s">
        <v>287</v>
      </c>
      <c r="D405" s="94">
        <v>1153.0</v>
      </c>
    </row>
    <row r="406">
      <c r="A406" s="40">
        <f t="array" ref="A406">IFNA(index(PlayerValues!A:A,match(IFNA(vlookup(B406,'Special Names'!A:B,2,FALSE),B406),PlayerValues!E:E,0)),"N/A")</f>
        <v>16385</v>
      </c>
      <c r="B406" s="4" t="s">
        <v>690</v>
      </c>
      <c r="C406" s="4" t="s">
        <v>278</v>
      </c>
      <c r="D406" s="94">
        <v>1152.0</v>
      </c>
    </row>
    <row r="407">
      <c r="A407" s="40">
        <f t="array" ref="A407">IFNA(index(PlayerValues!A:A,match(IFNA(vlookup(B407,'Special Names'!A:B,2,FALSE),B407),PlayerValues!E:E,0)),"N/A")</f>
        <v>14108</v>
      </c>
      <c r="B407" s="4" t="s">
        <v>673</v>
      </c>
      <c r="C407" s="4" t="s">
        <v>287</v>
      </c>
      <c r="D407" s="94">
        <v>1147.0</v>
      </c>
    </row>
    <row r="408">
      <c r="A408" s="40">
        <f t="array" ref="A408">IFNA(index(PlayerValues!A:A,match(IFNA(vlookup(B408,'Special Names'!A:B,2,FALSE),B408),PlayerValues!E:E,0)),"N/A")</f>
        <v>16221</v>
      </c>
      <c r="B408" s="4" t="s">
        <v>725</v>
      </c>
      <c r="C408" s="4" t="s">
        <v>298</v>
      </c>
      <c r="D408" s="94">
        <v>1516.0</v>
      </c>
    </row>
    <row r="409">
      <c r="A409" s="40">
        <f t="array" ref="A409">IFNA(index(PlayerValues!A:A,match(IFNA(vlookup(B409,'Special Names'!A:B,2,FALSE),B409),PlayerValues!E:E,0)),"N/A")</f>
        <v>16199</v>
      </c>
      <c r="B409" s="4" t="s">
        <v>687</v>
      </c>
      <c r="C409" s="4" t="s">
        <v>287</v>
      </c>
      <c r="D409" s="94">
        <v>1133.0</v>
      </c>
    </row>
    <row r="410">
      <c r="A410" s="40">
        <f t="array" ref="A410">IFNA(index(PlayerValues!A:A,match(IFNA(vlookup(B410,'Special Names'!A:B,2,FALSE),B410),PlayerValues!E:E,0)),"N/A")</f>
        <v>9064</v>
      </c>
      <c r="B410" s="4" t="s">
        <v>761</v>
      </c>
      <c r="C410" s="4" t="s">
        <v>283</v>
      </c>
      <c r="D410" s="94">
        <v>1126.0</v>
      </c>
    </row>
    <row r="411">
      <c r="A411" s="40">
        <f t="array" ref="A411">IFNA(index(PlayerValues!A:A,match(IFNA(vlookup(B411,'Special Names'!A:B,2,FALSE),B411),PlayerValues!E:E,0)),"N/A")</f>
        <v>14067</v>
      </c>
      <c r="B411" s="4" t="s">
        <v>735</v>
      </c>
      <c r="C411" s="4" t="s">
        <v>283</v>
      </c>
      <c r="D411" s="94">
        <v>1123.0</v>
      </c>
    </row>
    <row r="412">
      <c r="A412" s="40">
        <f t="array" ref="A412">IFNA(index(PlayerValues!A:A,match(IFNA(vlookup(B412,'Special Names'!A:B,2,FALSE),B412),PlayerValues!E:E,0)),"N/A")</f>
        <v>15240</v>
      </c>
      <c r="B412" s="4" t="s">
        <v>751</v>
      </c>
      <c r="C412" s="4" t="s">
        <v>283</v>
      </c>
      <c r="D412" s="94">
        <v>1123.0</v>
      </c>
    </row>
    <row r="413">
      <c r="A413" s="40">
        <f t="array" ref="A413">IFNA(index(PlayerValues!A:A,match(IFNA(vlookup(B413,'Special Names'!A:B,2,FALSE),B413),PlayerValues!E:E,0)),"N/A")</f>
        <v>14845</v>
      </c>
      <c r="B413" s="4" t="s">
        <v>717</v>
      </c>
      <c r="C413" s="4" t="s">
        <v>287</v>
      </c>
      <c r="D413" s="94">
        <v>1121.0</v>
      </c>
    </row>
    <row r="414">
      <c r="A414" s="40">
        <f t="array" ref="A414">IFNA(index(PlayerValues!A:A,match(IFNA(vlookup(B414,'Special Names'!A:B,2,FALSE),B414),PlayerValues!E:E,0)),"N/A")</f>
        <v>15981</v>
      </c>
      <c r="B414" s="4" t="s">
        <v>729</v>
      </c>
      <c r="C414" s="4" t="s">
        <v>287</v>
      </c>
      <c r="D414" s="94">
        <v>1114.0</v>
      </c>
    </row>
    <row r="415">
      <c r="A415" s="40">
        <f t="array" ref="A415">IFNA(index(PlayerValues!A:A,match(IFNA(vlookup(B415,'Special Names'!A:B,2,FALSE),B415),PlayerValues!E:E,0)),"N/A")</f>
        <v>16637</v>
      </c>
      <c r="B415" s="4" t="s">
        <v>736</v>
      </c>
      <c r="C415" s="4" t="s">
        <v>287</v>
      </c>
      <c r="D415" s="94">
        <v>1097.0</v>
      </c>
    </row>
    <row r="416">
      <c r="A416" s="40">
        <f t="array" ref="A416">IFNA(index(PlayerValues!A:A,match(IFNA(vlookup(B416,'Special Names'!A:B,2,FALSE),B416),PlayerValues!E:E,0)),"N/A")</f>
        <v>17192</v>
      </c>
      <c r="B416" s="4" t="s">
        <v>677</v>
      </c>
      <c r="C416" s="4" t="s">
        <v>287</v>
      </c>
      <c r="D416" s="94">
        <v>1097.0</v>
      </c>
    </row>
    <row r="417">
      <c r="A417" s="40">
        <f t="array" ref="A417">IFNA(index(PlayerValues!A:A,match(IFNA(vlookup(B417,'Special Names'!A:B,2,FALSE),B417),PlayerValues!E:E,0)),"N/A")</f>
        <v>13289</v>
      </c>
      <c r="B417" s="4" t="s">
        <v>746</v>
      </c>
      <c r="C417" s="4" t="s">
        <v>287</v>
      </c>
      <c r="D417" s="94">
        <v>1095.0</v>
      </c>
    </row>
    <row r="418">
      <c r="A418" s="40">
        <f t="array" ref="A418">IFNA(index(PlayerValues!A:A,match(IFNA(vlookup(B418,'Special Names'!A:B,2,FALSE),B418),PlayerValues!E:E,0)),"N/A")</f>
        <v>16640</v>
      </c>
      <c r="B418" s="4" t="s">
        <v>712</v>
      </c>
      <c r="C418" s="4" t="s">
        <v>287</v>
      </c>
      <c r="D418" s="94">
        <v>1088.0</v>
      </c>
    </row>
    <row r="419">
      <c r="A419" s="40">
        <f t="array" ref="A419">IFNA(index(PlayerValues!A:A,match(IFNA(vlookup(B419,'Special Names'!A:B,2,FALSE),B419),PlayerValues!E:E,0)),"N/A")</f>
        <v>16197</v>
      </c>
      <c r="B419" s="4" t="s">
        <v>726</v>
      </c>
      <c r="C419" s="4" t="s">
        <v>287</v>
      </c>
      <c r="D419" s="94">
        <v>1076.0</v>
      </c>
    </row>
    <row r="420">
      <c r="A420" s="40">
        <f t="array" ref="A420">IFNA(index(PlayerValues!A:A,match(IFNA(vlookup(B420,'Special Names'!A:B,2,FALSE),B420),PlayerValues!E:E,0)),"N/A")</f>
        <v>17050</v>
      </c>
      <c r="B420" s="4" t="s">
        <v>713</v>
      </c>
      <c r="C420" s="4" t="s">
        <v>278</v>
      </c>
      <c r="D420" s="94">
        <v>1076.0</v>
      </c>
    </row>
    <row r="421">
      <c r="A421" s="40">
        <f t="array" ref="A421">IFNA(index(PlayerValues!A:A,match(IFNA(vlookup(B421,'Special Names'!A:B,2,FALSE),B421),PlayerValues!E:E,0)),"N/A")</f>
        <v>15693</v>
      </c>
      <c r="B421" s="4" t="s">
        <v>755</v>
      </c>
      <c r="C421" s="4" t="s">
        <v>283</v>
      </c>
      <c r="D421" s="94">
        <v>1072.0</v>
      </c>
    </row>
    <row r="422">
      <c r="A422" s="40">
        <f t="array" ref="A422">IFNA(index(PlayerValues!A:A,match(IFNA(vlookup(B422,'Special Names'!A:B,2,FALSE),B422),PlayerValues!E:E,0)),"N/A")</f>
        <v>15727</v>
      </c>
      <c r="B422" s="4" t="s">
        <v>730</v>
      </c>
      <c r="C422" s="4" t="s">
        <v>278</v>
      </c>
      <c r="D422" s="94">
        <v>1056.0</v>
      </c>
    </row>
    <row r="423">
      <c r="A423" s="40">
        <f t="array" ref="A423">IFNA(index(PlayerValues!A:A,match(IFNA(vlookup(B423,'Special Names'!A:B,2,FALSE),B423),PlayerValues!E:E,0)),"N/A")</f>
        <v>15692</v>
      </c>
      <c r="B423" s="4" t="s">
        <v>750</v>
      </c>
      <c r="C423" s="4" t="s">
        <v>283</v>
      </c>
      <c r="D423" s="94">
        <v>1050.0</v>
      </c>
    </row>
    <row r="424">
      <c r="A424" s="40">
        <f t="array" ref="A424">IFNA(index(PlayerValues!A:A,match(IFNA(vlookup(B424,'Special Names'!A:B,2,FALSE),B424),PlayerValues!E:E,0)),"N/A")</f>
        <v>13131</v>
      </c>
      <c r="B424" s="4" t="s">
        <v>815</v>
      </c>
      <c r="C424" s="4" t="s">
        <v>278</v>
      </c>
      <c r="D424" s="94">
        <v>1047.0</v>
      </c>
    </row>
    <row r="425">
      <c r="A425" s="40">
        <f t="array" ref="A425">IFNA(index(PlayerValues!A:A,match(IFNA(vlookup(B425,'Special Names'!A:B,2,FALSE),B425),PlayerValues!E:E,0)),"N/A")</f>
        <v>17475</v>
      </c>
      <c r="B425" s="4" t="s">
        <v>615</v>
      </c>
      <c r="C425" s="4" t="s">
        <v>278</v>
      </c>
      <c r="D425" s="94">
        <v>1035.0</v>
      </c>
    </row>
    <row r="426">
      <c r="A426" s="40">
        <f t="array" ref="A426">IFNA(index(PlayerValues!A:A,match(IFNA(vlookup(B426,'Special Names'!A:B,2,FALSE),B426),PlayerValues!E:E,0)),"N/A")</f>
        <v>14849</v>
      </c>
      <c r="B426" s="4" t="s">
        <v>733</v>
      </c>
      <c r="C426" s="4" t="s">
        <v>287</v>
      </c>
      <c r="D426" s="94">
        <v>1034.0</v>
      </c>
    </row>
    <row r="427">
      <c r="A427" s="40">
        <f t="array" ref="A427">IFNA(index(PlayerValues!A:A,match(IFNA(vlookup(B427,'Special Names'!A:B,2,FALSE),B427),PlayerValues!E:E,0)),"N/A")</f>
        <v>15730</v>
      </c>
      <c r="B427" s="4" t="s">
        <v>734</v>
      </c>
      <c r="C427" s="4" t="s">
        <v>278</v>
      </c>
      <c r="D427" s="94">
        <v>1034.0</v>
      </c>
    </row>
    <row r="428">
      <c r="A428" s="40">
        <f t="array" ref="A428">IFNA(index(PlayerValues!A:A,match(IFNA(vlookup(B428,'Special Names'!A:B,2,FALSE),B428),PlayerValues!E:E,0)),"N/A")</f>
        <v>16170</v>
      </c>
      <c r="B428" s="4" t="s">
        <v>801</v>
      </c>
      <c r="C428" s="4" t="s">
        <v>278</v>
      </c>
      <c r="D428" s="94">
        <v>1021.0</v>
      </c>
    </row>
    <row r="429">
      <c r="A429" s="40">
        <f t="array" ref="A429">IFNA(index(PlayerValues!A:A,match(IFNA(vlookup(B429,'Special Names'!A:B,2,FALSE),B429),PlayerValues!E:E,0)),"N/A")</f>
        <v>16393</v>
      </c>
      <c r="B429" s="4" t="s">
        <v>768</v>
      </c>
      <c r="C429" s="4" t="s">
        <v>287</v>
      </c>
      <c r="D429" s="94">
        <v>1020.0</v>
      </c>
    </row>
    <row r="430">
      <c r="A430" s="40">
        <f t="array" ref="A430">IFNA(index(PlayerValues!A:A,match(IFNA(vlookup(B430,'Special Names'!A:B,2,FALSE),B430),PlayerValues!E:E,0)),"N/A")</f>
        <v>15795</v>
      </c>
      <c r="B430" s="4" t="s">
        <v>669</v>
      </c>
      <c r="C430" s="4" t="s">
        <v>298</v>
      </c>
      <c r="D430" s="94">
        <v>1383.0</v>
      </c>
    </row>
    <row r="431">
      <c r="A431" s="40">
        <f t="array" ref="A431">IFNA(index(PlayerValues!A:A,match(IFNA(vlookup(B431,'Special Names'!A:B,2,FALSE),B431),PlayerValues!E:E,0)),"N/A")</f>
        <v>15330</v>
      </c>
      <c r="B431" s="4" t="s">
        <v>749</v>
      </c>
      <c r="C431" s="4" t="s">
        <v>298</v>
      </c>
      <c r="D431" s="94">
        <v>1374.0</v>
      </c>
    </row>
    <row r="432">
      <c r="A432" s="40">
        <f t="array" ref="A432">IFNA(index(PlayerValues!A:A,match(IFNA(vlookup(B432,'Special Names'!A:B,2,FALSE),B432),PlayerValues!E:E,0)),"N/A")</f>
        <v>17657</v>
      </c>
      <c r="B432" s="4" t="s">
        <v>642</v>
      </c>
      <c r="C432" s="4" t="s">
        <v>283</v>
      </c>
      <c r="D432" s="94">
        <v>1008.0</v>
      </c>
    </row>
    <row r="433">
      <c r="A433" s="40">
        <f t="array" ref="A433">IFNA(index(PlayerValues!A:A,match(IFNA(vlookup(B433,'Special Names'!A:B,2,FALSE),B433),PlayerValues!E:E,0)),"N/A")</f>
        <v>16648</v>
      </c>
      <c r="B433" s="4" t="s">
        <v>748</v>
      </c>
      <c r="C433" s="4" t="s">
        <v>298</v>
      </c>
      <c r="D433" s="94">
        <v>1374.0</v>
      </c>
    </row>
    <row r="434">
      <c r="A434" s="40">
        <f t="array" ref="A434">IFNA(index(PlayerValues!A:A,match(IFNA(vlookup(B434,'Special Names'!A:B,2,FALSE),B434),PlayerValues!E:E,0)),"N/A")</f>
        <v>16451</v>
      </c>
      <c r="B434" s="4" t="s">
        <v>769</v>
      </c>
      <c r="C434" s="4" t="s">
        <v>287</v>
      </c>
      <c r="D434" s="94">
        <v>1000.0</v>
      </c>
    </row>
    <row r="435">
      <c r="A435" s="40">
        <f t="array" ref="A435">IFNA(index(PlayerValues!A:A,match(IFNA(vlookup(B435,'Special Names'!A:B,2,FALSE),B435),PlayerValues!E:E,0)),"N/A")</f>
        <v>17175</v>
      </c>
      <c r="B435" s="4" t="s">
        <v>747</v>
      </c>
      <c r="C435" s="4" t="s">
        <v>287</v>
      </c>
      <c r="D435" s="94">
        <v>999.0</v>
      </c>
    </row>
    <row r="436">
      <c r="A436" s="40">
        <f t="array" ref="A436">IFNA(index(PlayerValues!A:A,match(IFNA(vlookup(B436,'Special Names'!A:B,2,FALSE),B436),PlayerValues!E:E,0)),"N/A")</f>
        <v>16168</v>
      </c>
      <c r="B436" s="4" t="s">
        <v>738</v>
      </c>
      <c r="C436" s="4" t="s">
        <v>278</v>
      </c>
      <c r="D436" s="94">
        <v>997.0</v>
      </c>
    </row>
    <row r="437">
      <c r="A437" s="40">
        <f t="array" ref="A437">IFNA(index(PlayerValues!A:A,match(IFNA(vlookup(B437,'Special Names'!A:B,2,FALSE),B437),PlayerValues!E:E,0)),"N/A")</f>
        <v>15717</v>
      </c>
      <c r="B437" s="4" t="s">
        <v>745</v>
      </c>
      <c r="C437" s="4" t="s">
        <v>278</v>
      </c>
      <c r="D437" s="94">
        <v>993.0</v>
      </c>
    </row>
    <row r="438">
      <c r="A438" s="40">
        <f t="array" ref="A438">IFNA(index(PlayerValues!A:A,match(IFNA(vlookup(B438,'Special Names'!A:B,2,FALSE),B438),PlayerValues!E:E,0)),"N/A")</f>
        <v>15109</v>
      </c>
      <c r="B438" s="4" t="s">
        <v>728</v>
      </c>
      <c r="C438" s="4" t="s">
        <v>287</v>
      </c>
      <c r="D438" s="94">
        <v>989.0</v>
      </c>
    </row>
    <row r="439">
      <c r="A439" s="40">
        <f t="array" ref="A439">IFNA(index(PlayerValues!A:A,match(IFNA(vlookup(B439,'Special Names'!A:B,2,FALSE),B439),PlayerValues!E:E,0)),"N/A")</f>
        <v>15766</v>
      </c>
      <c r="B439" s="4" t="s">
        <v>759</v>
      </c>
      <c r="C439" s="4" t="s">
        <v>287</v>
      </c>
      <c r="D439" s="94">
        <v>987.0</v>
      </c>
    </row>
    <row r="440">
      <c r="A440" s="40">
        <f t="array" ref="A440">IFNA(index(PlayerValues!A:A,match(IFNA(vlookup(B440,'Special Names'!A:B,2,FALSE),B440),PlayerValues!E:E,0)),"N/A")</f>
        <v>13193</v>
      </c>
      <c r="B440" s="4" t="s">
        <v>773</v>
      </c>
      <c r="C440" s="4" t="s">
        <v>298</v>
      </c>
      <c r="D440" s="94">
        <v>1346.0</v>
      </c>
    </row>
    <row r="441">
      <c r="A441" s="40">
        <f t="array" ref="A441">IFNA(index(PlayerValues!A:A,match(IFNA(vlookup(B441,'Special Names'!A:B,2,FALSE),B441),PlayerValues!E:E,0)),"N/A")</f>
        <v>15258</v>
      </c>
      <c r="B441" s="4" t="s">
        <v>757</v>
      </c>
      <c r="C441" s="4" t="s">
        <v>278</v>
      </c>
      <c r="D441" s="94">
        <v>976.0</v>
      </c>
    </row>
    <row r="442">
      <c r="A442" s="40">
        <f t="array" ref="A442">IFNA(index(PlayerValues!A:A,match(IFNA(vlookup(B442,'Special Names'!A:B,2,FALSE),B442),PlayerValues!E:E,0)),"N/A")</f>
        <v>15718</v>
      </c>
      <c r="B442" s="4" t="s">
        <v>753</v>
      </c>
      <c r="C442" s="4" t="s">
        <v>278</v>
      </c>
      <c r="D442" s="94">
        <v>976.0</v>
      </c>
    </row>
    <row r="443">
      <c r="A443" s="40">
        <f t="array" ref="A443">IFNA(index(PlayerValues!A:A,match(IFNA(vlookup(B443,'Special Names'!A:B,2,FALSE),B443),PlayerValues!E:E,0)),"N/A")</f>
        <v>15785</v>
      </c>
      <c r="B443" s="4" t="s">
        <v>763</v>
      </c>
      <c r="C443" s="4" t="s">
        <v>287</v>
      </c>
      <c r="D443" s="94">
        <v>975.0</v>
      </c>
    </row>
    <row r="444">
      <c r="A444" s="40">
        <f t="array" ref="A444">IFNA(index(PlayerValues!A:A,match(IFNA(vlookup(B444,'Special Names'!A:B,2,FALSE),B444),PlayerValues!E:E,0)),"N/A")</f>
        <v>15758</v>
      </c>
      <c r="B444" s="4" t="s">
        <v>724</v>
      </c>
      <c r="C444" s="4" t="s">
        <v>287</v>
      </c>
      <c r="D444" s="94">
        <v>964.0</v>
      </c>
    </row>
    <row r="445">
      <c r="A445" s="40">
        <f t="array" ref="A445">IFNA(index(PlayerValues!A:A,match(IFNA(vlookup(B445,'Special Names'!A:B,2,FALSE),B445),PlayerValues!E:E,0)),"N/A")</f>
        <v>16678</v>
      </c>
      <c r="B445" s="4" t="s">
        <v>758</v>
      </c>
      <c r="C445" s="4" t="s">
        <v>278</v>
      </c>
      <c r="D445" s="94">
        <v>963.0</v>
      </c>
    </row>
    <row r="446">
      <c r="A446" s="40">
        <f t="array" ref="A446">IFNA(index(PlayerValues!A:A,match(IFNA(vlookup(B446,'Special Names'!A:B,2,FALSE),B446),PlayerValues!E:E,0)),"N/A")</f>
        <v>17504</v>
      </c>
      <c r="B446" s="4" t="s">
        <v>693</v>
      </c>
      <c r="C446" s="4" t="s">
        <v>287</v>
      </c>
      <c r="D446" s="94">
        <v>952.0</v>
      </c>
    </row>
    <row r="447">
      <c r="A447" s="40">
        <f t="array" ref="A447">IFNA(index(PlayerValues!A:A,match(IFNA(vlookup(B447,'Special Names'!A:B,2,FALSE),B447),PlayerValues!E:E,0)),"N/A")</f>
        <v>14057</v>
      </c>
      <c r="B447" s="4" t="s">
        <v>765</v>
      </c>
      <c r="C447" s="4" t="s">
        <v>283</v>
      </c>
      <c r="D447" s="94">
        <v>951.0</v>
      </c>
    </row>
    <row r="448">
      <c r="A448" s="40">
        <f t="array" ref="A448">IFNA(index(PlayerValues!A:A,match(IFNA(vlookup(B448,'Special Names'!A:B,2,FALSE),B448),PlayerValues!E:E,0)),"N/A")</f>
        <v>15239</v>
      </c>
      <c r="B448" s="4" t="s">
        <v>802</v>
      </c>
      <c r="C448" s="4" t="s">
        <v>283</v>
      </c>
      <c r="D448" s="94">
        <v>942.0</v>
      </c>
    </row>
    <row r="449">
      <c r="A449" s="40">
        <f t="array" ref="A449">IFNA(index(PlayerValues!A:A,match(IFNA(vlookup(B449,'Special Names'!A:B,2,FALSE),B449),PlayerValues!E:E,0)),"N/A")</f>
        <v>16205</v>
      </c>
      <c r="B449" s="4" t="s">
        <v>742</v>
      </c>
      <c r="C449" s="4" t="s">
        <v>287</v>
      </c>
      <c r="D449" s="94">
        <v>941.0</v>
      </c>
    </row>
    <row r="450">
      <c r="A450" s="40">
        <f t="array" ref="A450">IFNA(index(PlayerValues!A:A,match(IFNA(vlookup(B450,'Special Names'!A:B,2,FALSE),B450),PlayerValues!E:E,0)),"N/A")</f>
        <v>14118</v>
      </c>
      <c r="B450" s="4" t="s">
        <v>771</v>
      </c>
      <c r="C450" s="4" t="s">
        <v>287</v>
      </c>
      <c r="D450" s="94">
        <v>937.0</v>
      </c>
    </row>
    <row r="451">
      <c r="A451" s="40">
        <f t="array" ref="A451">IFNA(index(PlayerValues!A:A,match(IFNA(vlookup(B451,'Special Names'!A:B,2,FALSE),B451),PlayerValues!E:E,0)),"N/A")</f>
        <v>11247</v>
      </c>
      <c r="B451" s="4" t="s">
        <v>816</v>
      </c>
      <c r="C451" s="4" t="s">
        <v>298</v>
      </c>
      <c r="D451" s="94">
        <v>1295.0</v>
      </c>
    </row>
    <row r="452">
      <c r="A452" s="40">
        <f t="array" ref="A452">IFNA(index(PlayerValues!A:A,match(IFNA(vlookup(B452,'Special Names'!A:B,2,FALSE),B452),PlayerValues!E:E,0)),"N/A")</f>
        <v>17518</v>
      </c>
      <c r="B452" s="4" t="s">
        <v>482</v>
      </c>
      <c r="C452" s="4" t="s">
        <v>287</v>
      </c>
      <c r="D452" s="94">
        <v>922.0</v>
      </c>
    </row>
    <row r="453">
      <c r="A453" s="40">
        <f t="array" ref="A453">IFNA(index(PlayerValues!A:A,match(IFNA(vlookup(B453,'Special Names'!A:B,2,FALSE),B453),PlayerValues!E:E,0)),"N/A")</f>
        <v>17487</v>
      </c>
      <c r="B453" s="4" t="s">
        <v>692</v>
      </c>
      <c r="C453" s="4" t="s">
        <v>278</v>
      </c>
      <c r="D453" s="94">
        <v>918.0</v>
      </c>
    </row>
    <row r="454">
      <c r="A454" s="40">
        <f t="array" ref="A454">IFNA(index(PlayerValues!A:A,match(IFNA(vlookup(B454,'Special Names'!A:B,2,FALSE),B454),PlayerValues!E:E,0)),"N/A")</f>
        <v>16858</v>
      </c>
      <c r="B454" s="4" t="s">
        <v>754</v>
      </c>
      <c r="C454" s="4" t="s">
        <v>287</v>
      </c>
      <c r="D454" s="94">
        <v>912.0</v>
      </c>
    </row>
    <row r="455">
      <c r="A455" s="40">
        <f t="array" ref="A455">IFNA(index(PlayerValues!A:A,match(IFNA(vlookup(B455,'Special Names'!A:B,2,FALSE),B455),PlayerValues!E:E,0)),"N/A")</f>
        <v>15626</v>
      </c>
      <c r="B455" s="4" t="s">
        <v>766</v>
      </c>
      <c r="C455" s="4" t="s">
        <v>298</v>
      </c>
      <c r="D455" s="94">
        <v>1260.0</v>
      </c>
    </row>
    <row r="456">
      <c r="A456" s="40">
        <f t="array" ref="A456">IFNA(index(PlayerValues!A:A,match(IFNA(vlookup(B456,'Special Names'!A:B,2,FALSE),B456),PlayerValues!E:E,0)),"N/A")</f>
        <v>16219</v>
      </c>
      <c r="B456" s="4" t="s">
        <v>739</v>
      </c>
      <c r="C456" s="4" t="s">
        <v>298</v>
      </c>
      <c r="D456" s="94">
        <v>1250.0</v>
      </c>
    </row>
    <row r="457">
      <c r="A457" s="40">
        <f t="array" ref="A457">IFNA(index(PlayerValues!A:A,match(IFNA(vlookup(B457,'Special Names'!A:B,2,FALSE),B457),PlayerValues!E:E,0)),"N/A")</f>
        <v>17479</v>
      </c>
      <c r="B457" s="4" t="s">
        <v>756</v>
      </c>
      <c r="C457" s="4" t="s">
        <v>278</v>
      </c>
      <c r="D457" s="94">
        <v>884.0</v>
      </c>
    </row>
    <row r="458">
      <c r="A458" s="40">
        <f t="array" ref="A458">IFNA(index(PlayerValues!A:A,match(IFNA(vlookup(B458,'Special Names'!A:B,2,FALSE),B458),PlayerValues!E:E,0)),"N/A")</f>
        <v>15720</v>
      </c>
      <c r="B458" s="4" t="s">
        <v>795</v>
      </c>
      <c r="C458" s="4" t="s">
        <v>278</v>
      </c>
      <c r="D458" s="94">
        <v>874.0</v>
      </c>
    </row>
    <row r="459">
      <c r="A459" s="40">
        <f t="array" ref="A459">IFNA(index(PlayerValues!A:A,match(IFNA(vlookup(B459,'Special Names'!A:B,2,FALSE),B459),PlayerValues!E:E,0)),"N/A")</f>
        <v>16624</v>
      </c>
      <c r="B459" s="4" t="s">
        <v>796</v>
      </c>
      <c r="C459" s="4" t="s">
        <v>287</v>
      </c>
      <c r="D459" s="94">
        <v>872.0</v>
      </c>
    </row>
    <row r="460">
      <c r="A460" s="40">
        <f t="array" ref="A460">IFNA(index(PlayerValues!A:A,match(IFNA(vlookup(B460,'Special Names'!A:B,2,FALSE),B460),PlayerValues!E:E,0)),"N/A")</f>
        <v>16416</v>
      </c>
      <c r="B460" s="4" t="s">
        <v>752</v>
      </c>
      <c r="C460" s="4" t="s">
        <v>287</v>
      </c>
      <c r="D460" s="94">
        <v>863.0</v>
      </c>
    </row>
    <row r="461">
      <c r="A461" s="40">
        <f t="array" ref="A461">IFNA(index(PlayerValues!A:A,match(IFNA(vlookup(B461,'Special Names'!A:B,2,FALSE),B461),PlayerValues!E:E,0)),"N/A")</f>
        <v>17549</v>
      </c>
      <c r="B461" s="4" t="s">
        <v>720</v>
      </c>
      <c r="C461" s="4" t="s">
        <v>298</v>
      </c>
      <c r="D461" s="94">
        <v>1216.0</v>
      </c>
    </row>
    <row r="462">
      <c r="A462" s="40">
        <f t="array" ref="A462">IFNA(index(PlayerValues!A:A,match(IFNA(vlookup(B462,'Special Names'!A:B,2,FALSE),B462),PlayerValues!E:E,0)),"N/A")</f>
        <v>12785</v>
      </c>
      <c r="B462" s="4" t="s">
        <v>772</v>
      </c>
      <c r="C462" s="4" t="s">
        <v>287</v>
      </c>
      <c r="D462" s="94">
        <v>848.0</v>
      </c>
    </row>
    <row r="463">
      <c r="A463" s="40">
        <f t="array" ref="A463">IFNA(index(PlayerValues!A:A,match(IFNA(vlookup(B463,'Special Names'!A:B,2,FALSE),B463),PlayerValues!E:E,0)),"N/A")</f>
        <v>16773</v>
      </c>
      <c r="B463" s="4" t="s">
        <v>783</v>
      </c>
      <c r="C463" s="4" t="s">
        <v>278</v>
      </c>
      <c r="D463" s="94">
        <v>839.0</v>
      </c>
    </row>
    <row r="464">
      <c r="A464" s="40">
        <f t="array" ref="A464">IFNA(index(PlayerValues!A:A,match(IFNA(vlookup(B464,'Special Names'!A:B,2,FALSE),B464),PlayerValues!E:E,0)),"N/A")</f>
        <v>17654</v>
      </c>
      <c r="B464" s="4" t="s">
        <v>767</v>
      </c>
      <c r="C464" s="4" t="s">
        <v>283</v>
      </c>
      <c r="D464" s="94">
        <v>828.0</v>
      </c>
    </row>
    <row r="465">
      <c r="A465" s="40">
        <f t="array" ref="A465">IFNA(index(PlayerValues!A:A,match(IFNA(vlookup(B465,'Special Names'!A:B,2,FALSE),B465),PlayerValues!E:E,0)),"N/A")</f>
        <v>16599</v>
      </c>
      <c r="B465" s="4" t="s">
        <v>737</v>
      </c>
      <c r="C465" s="4" t="s">
        <v>278</v>
      </c>
      <c r="D465" s="94">
        <v>827.0</v>
      </c>
    </row>
    <row r="466">
      <c r="A466" s="40">
        <f t="array" ref="A466">IFNA(index(PlayerValues!A:A,match(IFNA(vlookup(B466,'Special Names'!A:B,2,FALSE),B466),PlayerValues!E:E,0)),"N/A")</f>
        <v>17627</v>
      </c>
      <c r="B466" s="4" t="s">
        <v>684</v>
      </c>
      <c r="C466" s="4" t="s">
        <v>298</v>
      </c>
      <c r="D466" s="94">
        <v>1166.0</v>
      </c>
    </row>
    <row r="467">
      <c r="A467" s="40">
        <f t="array" ref="A467">IFNA(index(PlayerValues!A:A,match(IFNA(vlookup(B467,'Special Names'!A:B,2,FALSE),B467),PlayerValues!E:E,0)),"N/A")</f>
        <v>16623</v>
      </c>
      <c r="B467" s="4" t="s">
        <v>803</v>
      </c>
      <c r="C467" s="4" t="s">
        <v>287</v>
      </c>
      <c r="D467" s="94">
        <v>799.0</v>
      </c>
    </row>
    <row r="468">
      <c r="A468" s="40">
        <f t="array" ref="A468">IFNA(index(PlayerValues!A:A,match(IFNA(vlookup(B468,'Special Names'!A:B,2,FALSE),B468),PlayerValues!E:E,0)),"N/A")</f>
        <v>17486</v>
      </c>
      <c r="B468" s="4" t="s">
        <v>695</v>
      </c>
      <c r="C468" s="4" t="s">
        <v>278</v>
      </c>
      <c r="D468" s="94">
        <v>798.0</v>
      </c>
    </row>
    <row r="469">
      <c r="A469" s="40">
        <f t="array" ref="A469">IFNA(index(PlayerValues!A:A,match(IFNA(vlookup(B469,'Special Names'!A:B,2,FALSE),B469),PlayerValues!E:E,0)),"N/A")</f>
        <v>16606</v>
      </c>
      <c r="B469" s="4" t="s">
        <v>743</v>
      </c>
      <c r="C469" s="4" t="s">
        <v>278</v>
      </c>
      <c r="D469" s="94">
        <v>794.0</v>
      </c>
    </row>
    <row r="470">
      <c r="A470" s="40">
        <f t="array" ref="A470">IFNA(index(PlayerValues!A:A,match(IFNA(vlookup(B470,'Special Names'!A:B,2,FALSE),B470),PlayerValues!E:E,0)),"N/A")</f>
        <v>17337</v>
      </c>
      <c r="B470" s="4" t="s">
        <v>793</v>
      </c>
      <c r="C470" s="4" t="s">
        <v>278</v>
      </c>
      <c r="D470" s="94">
        <v>787.0</v>
      </c>
    </row>
    <row r="471">
      <c r="A471" s="40">
        <f t="array" ref="A471">IFNA(index(PlayerValues!A:A,match(IFNA(vlookup(B471,'Special Names'!A:B,2,FALSE),B471),PlayerValues!E:E,0)),"N/A")</f>
        <v>16751</v>
      </c>
      <c r="B471" s="4" t="s">
        <v>762</v>
      </c>
      <c r="C471" s="4" t="s">
        <v>287</v>
      </c>
      <c r="D471" s="94">
        <v>786.0</v>
      </c>
    </row>
    <row r="472">
      <c r="A472" s="40">
        <f t="array" ref="A472">IFNA(index(PlayerValues!A:A,match(IFNA(vlookup(B472,'Special Names'!A:B,2,FALSE),B472),PlayerValues!E:E,0)),"N/A")</f>
        <v>14223</v>
      </c>
      <c r="B472" s="4" t="s">
        <v>785</v>
      </c>
      <c r="C472" s="4" t="s">
        <v>278</v>
      </c>
      <c r="D472" s="94">
        <v>738.0</v>
      </c>
    </row>
    <row r="473">
      <c r="A473" s="40">
        <f t="array" ref="A473">IFNA(index(PlayerValues!A:A,match(IFNA(vlookup(B473,'Special Names'!A:B,2,FALSE),B473),PlayerValues!E:E,0)),"N/A")</f>
        <v>17541</v>
      </c>
      <c r="B473" s="4" t="s">
        <v>616</v>
      </c>
      <c r="C473" s="4" t="s">
        <v>287</v>
      </c>
      <c r="D473" s="94">
        <v>721.0</v>
      </c>
    </row>
    <row r="474">
      <c r="A474" s="40">
        <f t="array" ref="A474">IFNA(index(PlayerValues!A:A,match(IFNA(vlookup(B474,'Special Names'!A:B,2,FALSE),B474),PlayerValues!E:E,0)),"N/A")</f>
        <v>15723</v>
      </c>
      <c r="B474" s="4" t="s">
        <v>798</v>
      </c>
      <c r="C474" s="4" t="s">
        <v>278</v>
      </c>
      <c r="D474" s="94">
        <v>702.0</v>
      </c>
    </row>
    <row r="475">
      <c r="A475" s="40">
        <f t="array" ref="A475">IFNA(index(PlayerValues!A:A,match(IFNA(vlookup(B475,'Special Names'!A:B,2,FALSE),B475),PlayerValues!E:E,0)),"N/A")</f>
        <v>17545</v>
      </c>
      <c r="B475" s="4" t="s">
        <v>719</v>
      </c>
      <c r="C475" s="4" t="s">
        <v>298</v>
      </c>
      <c r="D475" s="94">
        <v>1051.0</v>
      </c>
    </row>
    <row r="476">
      <c r="A476" s="40">
        <f t="array" ref="A476">IFNA(index(PlayerValues!A:A,match(IFNA(vlookup(B476,'Special Names'!A:B,2,FALSE),B476),PlayerValues!E:E,0)),"N/A")</f>
        <v>16686</v>
      </c>
      <c r="B476" s="4" t="s">
        <v>805</v>
      </c>
      <c r="C476" s="4" t="s">
        <v>287</v>
      </c>
      <c r="D476" s="94">
        <v>613.0</v>
      </c>
    </row>
    <row r="477">
      <c r="A477" s="40">
        <f t="array" ref="A477">IFNA(index(PlayerValues!A:A,match(IFNA(vlookup(B477,'Special Names'!A:B,2,FALSE),B477),PlayerValues!E:E,0)),"N/A")</f>
        <v>13133</v>
      </c>
      <c r="B477" s="4" t="s">
        <v>764</v>
      </c>
      <c r="C477" s="4" t="s">
        <v>278</v>
      </c>
      <c r="D477" s="94">
        <v>599.0</v>
      </c>
    </row>
    <row r="478">
      <c r="A478" s="40">
        <f t="array" ref="A478">IFNA(index(PlayerValues!A:A,match(IFNA(vlookup(B478,'Special Names'!A:B,2,FALSE),B478),PlayerValues!E:E,0)),"N/A")</f>
        <v>13138</v>
      </c>
      <c r="B478" s="4" t="s">
        <v>817</v>
      </c>
      <c r="C478" s="4" t="s">
        <v>278</v>
      </c>
      <c r="D478" s="94">
        <v>597.0</v>
      </c>
    </row>
    <row r="479">
      <c r="A479" s="40">
        <f t="array" ref="A479">IFNA(index(PlayerValues!A:A,match(IFNA(vlookup(B479,'Special Names'!A:B,2,FALSE),B479),PlayerValues!E:E,0)),"N/A")</f>
        <v>14864</v>
      </c>
      <c r="B479" s="4" t="s">
        <v>789</v>
      </c>
      <c r="C479" s="4" t="s">
        <v>287</v>
      </c>
      <c r="D479" s="94">
        <v>595.0</v>
      </c>
    </row>
    <row r="480">
      <c r="A480" s="40">
        <f t="array" ref="A480">IFNA(index(PlayerValues!A:A,match(IFNA(vlookup(B480,'Special Names'!A:B,2,FALSE),B480),PlayerValues!E:E,0)),"N/A")</f>
        <v>16625</v>
      </c>
      <c r="B480" s="4" t="s">
        <v>778</v>
      </c>
      <c r="C480" s="4" t="s">
        <v>287</v>
      </c>
      <c r="D480" s="94">
        <v>554.0</v>
      </c>
    </row>
    <row r="481">
      <c r="A481" s="40">
        <f t="array" ref="A481">IFNA(index(PlayerValues!A:A,match(IFNA(vlookup(B481,'Special Names'!A:B,2,FALSE),B481),PlayerValues!E:E,0)),"N/A")</f>
        <v>14858</v>
      </c>
      <c r="B481" s="4" t="s">
        <v>799</v>
      </c>
      <c r="C481" s="4" t="s">
        <v>287</v>
      </c>
      <c r="D481" s="94">
        <v>548.0</v>
      </c>
    </row>
    <row r="482">
      <c r="A482" s="40">
        <f t="array" ref="A482">IFNA(index(PlayerValues!A:A,match(IFNA(vlookup(B482,'Special Names'!A:B,2,FALSE),B482),PlayerValues!E:E,0)),"N/A")</f>
        <v>16957</v>
      </c>
      <c r="B482" s="4" t="s">
        <v>806</v>
      </c>
      <c r="C482" s="4" t="s">
        <v>278</v>
      </c>
      <c r="D482" s="94">
        <v>543.0</v>
      </c>
    </row>
    <row r="483">
      <c r="A483" s="40">
        <f t="array" ref="A483">IFNA(index(PlayerValues!A:A,match(IFNA(vlookup(B483,'Special Names'!A:B,2,FALSE),B483),PlayerValues!E:E,0)),"N/A")</f>
        <v>15796</v>
      </c>
      <c r="B483" s="4" t="s">
        <v>794</v>
      </c>
      <c r="C483" s="4" t="s">
        <v>298</v>
      </c>
      <c r="D483" s="94">
        <v>884.0</v>
      </c>
    </row>
    <row r="484">
      <c r="A484" s="40">
        <f t="array" ref="A484">IFNA(index(PlayerValues!A:A,match(IFNA(vlookup(B484,'Special Names'!A:B,2,FALSE),B484),PlayerValues!E:E,0)),"N/A")</f>
        <v>14805</v>
      </c>
      <c r="B484" s="4" t="s">
        <v>770</v>
      </c>
      <c r="C484" s="4" t="s">
        <v>278</v>
      </c>
      <c r="D484" s="94">
        <v>536.0</v>
      </c>
    </row>
    <row r="485">
      <c r="A485" s="40">
        <f t="array" ref="A485">IFNA(index(PlayerValues!A:A,match(IFNA(vlookup(B485,'Special Names'!A:B,2,FALSE),B485),PlayerValues!E:E,0)),"N/A")</f>
        <v>13595</v>
      </c>
      <c r="B485" s="4" t="s">
        <v>818</v>
      </c>
      <c r="C485" s="4" t="s">
        <v>283</v>
      </c>
      <c r="D485" s="94">
        <v>533.0</v>
      </c>
    </row>
    <row r="486">
      <c r="A486" s="40">
        <f t="array" ref="A486">IFNA(index(PlayerValues!A:A,match(IFNA(vlookup(B486,'Special Names'!A:B,2,FALSE),B486),PlayerValues!E:E,0)),"N/A")</f>
        <v>17038</v>
      </c>
      <c r="B486" s="4" t="s">
        <v>774</v>
      </c>
      <c r="C486" s="4" t="s">
        <v>283</v>
      </c>
      <c r="D486" s="94">
        <v>530.0</v>
      </c>
    </row>
    <row r="487">
      <c r="A487" s="40">
        <f t="array" ref="A487">IFNA(index(PlayerValues!A:A,match(IFNA(vlookup(B487,'Special Names'!A:B,2,FALSE),B487),PlayerValues!E:E,0)),"N/A")</f>
        <v>16159</v>
      </c>
      <c r="B487" s="4" t="s">
        <v>819</v>
      </c>
      <c r="C487" s="4" t="s">
        <v>283</v>
      </c>
      <c r="D487" s="94">
        <v>508.0</v>
      </c>
    </row>
    <row r="488">
      <c r="A488" s="40">
        <f t="array" ref="A488">IFNA(index(PlayerValues!A:A,match(IFNA(vlookup(B488,'Special Names'!A:B,2,FALSE),B488),PlayerValues!E:E,0)),"N/A")</f>
        <v>17232</v>
      </c>
      <c r="B488" s="4" t="s">
        <v>784</v>
      </c>
      <c r="C488" s="4" t="s">
        <v>287</v>
      </c>
      <c r="D488" s="94">
        <v>508.0</v>
      </c>
    </row>
    <row r="489">
      <c r="A489" s="40">
        <f t="array" ref="A489">IFNA(index(PlayerValues!A:A,match(IFNA(vlookup(B489,'Special Names'!A:B,2,FALSE),B489),PlayerValues!E:E,0)),"N/A")</f>
        <v>15263</v>
      </c>
      <c r="B489" s="4" t="s">
        <v>804</v>
      </c>
      <c r="C489" s="4" t="s">
        <v>278</v>
      </c>
      <c r="D489" s="94">
        <v>506.0</v>
      </c>
    </row>
    <row r="490">
      <c r="A490" s="40">
        <f t="array" ref="A490">IFNA(index(PlayerValues!A:A,match(IFNA(vlookup(B490,'Special Names'!A:B,2,FALSE),B490),PlayerValues!E:E,0)),"N/A")</f>
        <v>16299</v>
      </c>
      <c r="B490" s="4" t="s">
        <v>787</v>
      </c>
      <c r="C490" s="4" t="s">
        <v>287</v>
      </c>
      <c r="D490" s="94">
        <v>506.0</v>
      </c>
    </row>
    <row r="491">
      <c r="A491" s="40">
        <f t="array" ref="A491">IFNA(index(PlayerValues!A:A,match(IFNA(vlookup(B491,'Special Names'!A:B,2,FALSE),B491),PlayerValues!E:E,0)),"N/A")</f>
        <v>14358</v>
      </c>
      <c r="B491" s="4" t="s">
        <v>813</v>
      </c>
      <c r="C491" s="4" t="s">
        <v>283</v>
      </c>
      <c r="D491" s="94">
        <v>502.0</v>
      </c>
    </row>
    <row r="492">
      <c r="A492" s="40">
        <f t="array" ref="A492">IFNA(index(PlayerValues!A:A,match(IFNA(vlookup(B492,'Special Names'!A:B,2,FALSE),B492),PlayerValues!E:E,0)),"N/A")</f>
        <v>17243</v>
      </c>
      <c r="B492" s="4" t="s">
        <v>810</v>
      </c>
      <c r="C492" s="4" t="s">
        <v>298</v>
      </c>
      <c r="D492" s="94">
        <v>848.0</v>
      </c>
    </row>
    <row r="493">
      <c r="A493" s="40">
        <f t="array" ref="A493">IFNA(index(PlayerValues!A:A,match(IFNA(vlookup(B493,'Special Names'!A:B,2,FALSE),B493),PlayerValues!E:E,0)),"N/A")</f>
        <v>14875</v>
      </c>
      <c r="B493" s="4" t="s">
        <v>820</v>
      </c>
      <c r="C493" s="4" t="s">
        <v>298</v>
      </c>
      <c r="D493" s="94">
        <v>844.0</v>
      </c>
    </row>
    <row r="494">
      <c r="A494" s="40">
        <f t="array" ref="A494">IFNA(index(PlayerValues!A:A,match(IFNA(vlookup(B494,'Special Names'!A:B,2,FALSE),B494),PlayerValues!E:E,0)),"N/A")</f>
        <v>17348</v>
      </c>
      <c r="B494" s="4" t="s">
        <v>797</v>
      </c>
      <c r="C494" s="4" t="s">
        <v>278</v>
      </c>
      <c r="D494" s="94">
        <v>498.0</v>
      </c>
    </row>
    <row r="495">
      <c r="A495" s="40">
        <f t="array" ref="A495">IFNA(index(PlayerValues!A:A,match(IFNA(vlookup(B495,'Special Names'!A:B,2,FALSE),B495),PlayerValues!E:E,0)),"N/A")</f>
        <v>15804</v>
      </c>
      <c r="B495" s="4" t="s">
        <v>821</v>
      </c>
      <c r="C495" s="4" t="s">
        <v>298</v>
      </c>
      <c r="D495" s="94">
        <v>843.0</v>
      </c>
    </row>
    <row r="496">
      <c r="A496" s="40">
        <f t="array" ref="A496">IFNA(index(PlayerValues!A:A,match(IFNA(vlookup(B496,'Special Names'!A:B,2,FALSE),B496),PlayerValues!E:E,0)),"N/A")</f>
        <v>15714</v>
      </c>
      <c r="B496" s="4" t="s">
        <v>775</v>
      </c>
      <c r="C496" s="4" t="s">
        <v>278</v>
      </c>
      <c r="D496" s="94">
        <v>491.0</v>
      </c>
    </row>
    <row r="497">
      <c r="A497" s="40">
        <f t="array" ref="A497">IFNA(index(PlayerValues!A:A,match(IFNA(vlookup(B497,'Special Names'!A:B,2,FALSE),B497),PlayerValues!E:E,0)),"N/A")</f>
        <v>14209</v>
      </c>
      <c r="B497" s="4" t="s">
        <v>809</v>
      </c>
      <c r="C497" s="4" t="s">
        <v>298</v>
      </c>
      <c r="D497" s="94">
        <v>838.0</v>
      </c>
    </row>
    <row r="498">
      <c r="A498" s="40">
        <f t="array" ref="A498">IFNA(index(PlayerValues!A:A,match(IFNA(vlookup(B498,'Special Names'!A:B,2,FALSE),B498),PlayerValues!E:E,0)),"N/A")</f>
        <v>15271</v>
      </c>
      <c r="B498" s="4" t="s">
        <v>741</v>
      </c>
      <c r="C498" s="4" t="s">
        <v>278</v>
      </c>
      <c r="D498" s="94">
        <v>489.0</v>
      </c>
    </row>
    <row r="499">
      <c r="A499" s="40">
        <f t="array" ref="A499">IFNA(index(PlayerValues!A:A,match(IFNA(vlookup(B499,'Special Names'!A:B,2,FALSE),B499),PlayerValues!E:E,0)),"N/A")</f>
        <v>10413</v>
      </c>
      <c r="B499" s="4" t="s">
        <v>811</v>
      </c>
      <c r="C499" s="4" t="s">
        <v>283</v>
      </c>
      <c r="D499" s="94">
        <v>488.0</v>
      </c>
    </row>
    <row r="500">
      <c r="A500" s="40">
        <f t="array" ref="A500">IFNA(index(PlayerValues!A:A,match(IFNA(vlookup(B500,'Special Names'!A:B,2,FALSE),B500),PlayerValues!E:E,0)),"N/A")</f>
        <v>17706</v>
      </c>
      <c r="B500" s="4" t="s">
        <v>614</v>
      </c>
      <c r="C500" s="4" t="s">
        <v>287</v>
      </c>
      <c r="D500" s="94">
        <v>211.0</v>
      </c>
    </row>
    <row r="501">
      <c r="A501" s="40">
        <f t="array" ref="A501">IFNA(index(PlayerValues!A:A,match(IFNA(vlookup(B501,'Special Names'!A:B,2,FALSE),B501),PlayerValues!E:E,0)),"N/A")</f>
        <v>16161</v>
      </c>
      <c r="B501" s="4" t="s">
        <v>277</v>
      </c>
      <c r="C501" s="4" t="s">
        <v>278</v>
      </c>
      <c r="D501" s="94">
        <v>9997.0</v>
      </c>
    </row>
    <row r="502">
      <c r="A502" s="40">
        <f t="array" ref="A502">IFNA(index(PlayerValues!A:A,match(IFNA(vlookup(B502,'Special Names'!A:B,2,FALSE),B502),PlayerValues!E:E,0)),"N/A")</f>
        <v>13589</v>
      </c>
      <c r="B502" s="4" t="s">
        <v>282</v>
      </c>
      <c r="C502" s="4" t="s">
        <v>283</v>
      </c>
      <c r="D502" s="94">
        <v>9996.0</v>
      </c>
    </row>
    <row r="503">
      <c r="A503" s="40">
        <f t="array" ref="A503">IFNA(index(PlayerValues!A:A,match(IFNA(vlookup(B503,'Special Names'!A:B,2,FALSE),B503),PlayerValues!E:E,0)),"N/A")</f>
        <v>15281</v>
      </c>
      <c r="B503" s="4" t="s">
        <v>286</v>
      </c>
      <c r="C503" s="4" t="s">
        <v>287</v>
      </c>
      <c r="D503" s="94">
        <v>9984.0</v>
      </c>
    </row>
    <row r="504">
      <c r="A504" s="40">
        <f t="array" ref="A504">IFNA(index(PlayerValues!A:A,match(IFNA(vlookup(B504,'Special Names'!A:B,2,FALSE),B504),PlayerValues!E:E,0)),"N/A")</f>
        <v>16162</v>
      </c>
      <c r="B504" s="4" t="s">
        <v>281</v>
      </c>
      <c r="C504" s="4" t="s">
        <v>278</v>
      </c>
      <c r="D504" s="94">
        <v>9919.0</v>
      </c>
    </row>
    <row r="505">
      <c r="A505" s="40">
        <f t="array" ref="A505">IFNA(index(PlayerValues!A:A,match(IFNA(vlookup(B505,'Special Names'!A:B,2,FALSE),B505),PlayerValues!E:E,0)),"N/A")</f>
        <v>16185</v>
      </c>
      <c r="B505" s="4" t="s">
        <v>290</v>
      </c>
      <c r="C505" s="4" t="s">
        <v>287</v>
      </c>
      <c r="D505" s="94">
        <v>9590.0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9437.0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8741.0</v>
      </c>
    </row>
    <row r="508">
      <c r="A508" s="40">
        <f t="array" ref="A508">IFNA(index(PlayerValues!A:A,match(IFNA(vlookup(B508,'Special Names'!A:B,2,FALSE),B508),PlayerValues!E:E,0)),"N/A")</f>
        <v>16641</v>
      </c>
      <c r="B508" s="4" t="s">
        <v>297</v>
      </c>
      <c r="C508" s="4" t="s">
        <v>298</v>
      </c>
      <c r="D508" s="94">
        <v>8999.0</v>
      </c>
    </row>
    <row r="509">
      <c r="A509" s="40">
        <f t="array" ref="A509">IFNA(index(PlayerValues!A:A,match(IFNA(vlookup(B509,'Special Names'!A:B,2,FALSE),B509),PlayerValues!E:E,0)),"N/A")</f>
        <v>16579</v>
      </c>
      <c r="B509" s="4" t="s">
        <v>302</v>
      </c>
      <c r="C509" s="4" t="s">
        <v>283</v>
      </c>
      <c r="D509" s="94">
        <v>8035.0</v>
      </c>
    </row>
    <row r="510">
      <c r="A510" s="40">
        <f t="array" ref="A510">IFNA(index(PlayerValues!A:A,match(IFNA(vlookup(B510,'Special Names'!A:B,2,FALSE),B510),PlayerValues!E:E,0)),"N/A")</f>
        <v>15287</v>
      </c>
      <c r="B510" s="4" t="s">
        <v>299</v>
      </c>
      <c r="C510" s="4" t="s">
        <v>287</v>
      </c>
      <c r="D510" s="94">
        <v>7905.0</v>
      </c>
    </row>
    <row r="511">
      <c r="A511" s="40">
        <f t="array" ref="A511">IFNA(index(PlayerValues!A:A,match(IFNA(vlookup(B511,'Special Names'!A:B,2,FALSE),B511),PlayerValues!E:E,0)),"N/A")</f>
        <v>16581</v>
      </c>
      <c r="B511" s="4" t="s">
        <v>315</v>
      </c>
      <c r="C511" s="4" t="s">
        <v>283</v>
      </c>
      <c r="D511" s="94">
        <v>7816.0</v>
      </c>
    </row>
    <row r="512">
      <c r="A512" s="40">
        <f t="array" ref="A512">IFNA(index(PlayerValues!A:A,match(IFNA(vlookup(B512,'Special Names'!A:B,2,FALSE),B512),PlayerValues!E:E,0)),"N/A")</f>
        <v>17042</v>
      </c>
      <c r="B512" s="4" t="s">
        <v>314</v>
      </c>
      <c r="C512" s="4" t="s">
        <v>278</v>
      </c>
      <c r="D512" s="94">
        <v>7673.0</v>
      </c>
    </row>
    <row r="513">
      <c r="A513" s="40">
        <f t="array" ref="A513">IFNA(index(PlayerValues!A:A,match(IFNA(vlookup(B513,'Special Names'!A:B,2,FALSE),B513),PlayerValues!E:E,0)),"N/A")</f>
        <v>14836</v>
      </c>
      <c r="B513" s="4" t="s">
        <v>306</v>
      </c>
      <c r="C513" s="4" t="s">
        <v>287</v>
      </c>
      <c r="D513" s="94">
        <v>7601.0</v>
      </c>
    </row>
    <row r="514">
      <c r="A514" s="40">
        <f t="array" ref="A514">IFNA(index(PlayerValues!A:A,match(IFNA(vlookup(B514,'Special Names'!A:B,2,FALSE),B514),PlayerValues!E:E,0)),"N/A")</f>
        <v>13593</v>
      </c>
      <c r="B514" s="4" t="s">
        <v>305</v>
      </c>
      <c r="C514" s="4" t="s">
        <v>283</v>
      </c>
      <c r="D514" s="94">
        <v>7596.0</v>
      </c>
    </row>
    <row r="515">
      <c r="A515" s="40">
        <f t="array" ref="A515">IFNA(index(PlayerValues!A:A,match(IFNA(vlookup(B515,'Special Names'!A:B,2,FALSE),B515),PlayerValues!E:E,0)),"N/A")</f>
        <v>17472</v>
      </c>
      <c r="B515" s="4" t="s">
        <v>310</v>
      </c>
      <c r="C515" s="4" t="s">
        <v>278</v>
      </c>
      <c r="D515" s="94">
        <v>7589.0</v>
      </c>
    </row>
    <row r="516">
      <c r="A516" s="40">
        <f t="array" ref="A516">IFNA(index(PlayerValues!A:A,match(IFNA(vlookup(B516,'Special Names'!A:B,2,FALSE),B516),PlayerValues!E:E,0)),"N/A")</f>
        <v>16615</v>
      </c>
      <c r="B516" s="4" t="s">
        <v>309</v>
      </c>
      <c r="C516" s="4" t="s">
        <v>287</v>
      </c>
      <c r="D516" s="94">
        <v>7471.0</v>
      </c>
    </row>
    <row r="517">
      <c r="A517" s="40">
        <f t="array" ref="A517">IFNA(index(PlayerValues!A:A,match(IFNA(vlookup(B517,'Special Names'!A:B,2,FALSE),B517),PlayerValues!E:E,0)),"N/A")</f>
        <v>14777</v>
      </c>
      <c r="B517" s="4" t="s">
        <v>318</v>
      </c>
      <c r="C517" s="4" t="s">
        <v>283</v>
      </c>
      <c r="D517" s="94">
        <v>7460.0</v>
      </c>
    </row>
    <row r="518">
      <c r="A518" s="40">
        <f t="array" ref="A518">IFNA(index(PlayerValues!A:A,match(IFNA(vlookup(B518,'Special Names'!A:B,2,FALSE),B518),PlayerValues!E:E,0)),"N/A")</f>
        <v>15794</v>
      </c>
      <c r="B518" s="4" t="s">
        <v>313</v>
      </c>
      <c r="C518" s="4" t="s">
        <v>298</v>
      </c>
      <c r="D518" s="94">
        <v>8138.0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7228.0</v>
      </c>
    </row>
    <row r="520">
      <c r="A520" s="40">
        <f t="array" ref="A520">IFNA(index(PlayerValues!A:A,match(IFNA(vlookup(B520,'Special Names'!A:B,2,FALSE),B520),PlayerValues!E:E,0)),"N/A")</f>
        <v>15751</v>
      </c>
      <c r="B520" s="4" t="s">
        <v>328</v>
      </c>
      <c r="C520" s="4" t="s">
        <v>287</v>
      </c>
      <c r="D520" s="94">
        <v>7177.0</v>
      </c>
    </row>
    <row r="521">
      <c r="A521" s="40" t="str">
        <f t="array" ref="A521">IFNA(index(PlayerValues!A:A,match(IFNA(vlookup(B521,'Special Names'!A:B,2,FALSE),B521),PlayerValues!E:E,0)),"N/A")</f>
        <v>N/A</v>
      </c>
      <c r="B521" s="4" t="s">
        <v>92</v>
      </c>
      <c r="C521" s="4" t="s">
        <v>325</v>
      </c>
      <c r="D521" s="94">
        <v>7064.0</v>
      </c>
    </row>
    <row r="522">
      <c r="A522" s="40">
        <f t="array" ref="A522">IFNA(index(PlayerValues!A:A,match(IFNA(vlookup(B522,'Special Names'!A:B,2,FALSE),B522),PlayerValues!E:E,0)),"N/A")</f>
        <v>14779</v>
      </c>
      <c r="B522" s="4" t="s">
        <v>327</v>
      </c>
      <c r="C522" s="4" t="s">
        <v>283</v>
      </c>
      <c r="D522" s="94">
        <v>6994.0</v>
      </c>
    </row>
    <row r="523">
      <c r="A523" s="40">
        <f t="array" ref="A523">IFNA(index(PlayerValues!A:A,match(IFNA(vlookup(B523,'Special Names'!A:B,2,FALSE),B523),PlayerValues!E:E,0)),"N/A")</f>
        <v>17044</v>
      </c>
      <c r="B523" s="4" t="s">
        <v>322</v>
      </c>
      <c r="C523" s="4" t="s">
        <v>278</v>
      </c>
      <c r="D523" s="94">
        <v>6855.0</v>
      </c>
    </row>
    <row r="524">
      <c r="A524" s="40">
        <f t="array" ref="A524">IFNA(index(PlayerValues!A:A,match(IFNA(vlookup(B524,'Special Names'!A:B,2,FALSE),B524),PlayerValues!E:E,0)),"N/A")</f>
        <v>16167</v>
      </c>
      <c r="B524" s="4" t="s">
        <v>323</v>
      </c>
      <c r="C524" s="4" t="s">
        <v>278</v>
      </c>
      <c r="D524" s="94">
        <v>6836.0</v>
      </c>
    </row>
    <row r="525">
      <c r="A525" s="40">
        <f t="array" ref="A525">IFNA(index(PlayerValues!A:A,match(IFNA(vlookup(B525,'Special Names'!A:B,2,FALSE),B525),PlayerValues!E:E,0)),"N/A")</f>
        <v>13116</v>
      </c>
      <c r="B525" s="4" t="s">
        <v>345</v>
      </c>
      <c r="C525" s="4" t="s">
        <v>283</v>
      </c>
      <c r="D525" s="94">
        <v>6645.0</v>
      </c>
    </row>
    <row r="526">
      <c r="A526" s="40">
        <f t="array" ref="A526">IFNA(index(PlayerValues!A:A,match(IFNA(vlookup(B526,'Special Names'!A:B,2,FALSE),B526),PlayerValues!E:E,0)),"N/A")</f>
        <v>17071</v>
      </c>
      <c r="B526" s="4" t="s">
        <v>341</v>
      </c>
      <c r="C526" s="4" t="s">
        <v>287</v>
      </c>
      <c r="D526" s="94">
        <v>6555.0</v>
      </c>
    </row>
    <row r="527">
      <c r="A527" s="40">
        <f t="array" ref="A527">IFNA(index(PlayerValues!A:A,match(IFNA(vlookup(B527,'Special Names'!A:B,2,FALSE),B527),PlayerValues!E:E,0)),"N/A")</f>
        <v>17032</v>
      </c>
      <c r="B527" s="4" t="s">
        <v>348</v>
      </c>
      <c r="C527" s="4" t="s">
        <v>283</v>
      </c>
      <c r="D527" s="94">
        <v>6449.0</v>
      </c>
    </row>
    <row r="528">
      <c r="A528" s="40">
        <f t="array" ref="A528">IFNA(index(PlayerValues!A:A,match(IFNA(vlookup(B528,'Special Names'!A:B,2,FALSE),B528),PlayerValues!E:E,0)),"N/A")</f>
        <v>15237</v>
      </c>
      <c r="B528" s="4" t="s">
        <v>336</v>
      </c>
      <c r="C528" s="4" t="s">
        <v>283</v>
      </c>
      <c r="D528" s="94">
        <v>6356.0</v>
      </c>
    </row>
    <row r="529">
      <c r="A529" s="40">
        <f t="array" ref="A529">IFNA(index(PlayerValues!A:A,match(IFNA(vlookup(B529,'Special Names'!A:B,2,FALSE),B529),PlayerValues!E:E,0)),"N/A")</f>
        <v>17104</v>
      </c>
      <c r="B529" s="4" t="s">
        <v>333</v>
      </c>
      <c r="C529" s="4" t="s">
        <v>298</v>
      </c>
      <c r="D529" s="94">
        <v>6911.0</v>
      </c>
    </row>
    <row r="530">
      <c r="A530" s="40">
        <f t="array" ref="A530">IFNA(index(PlayerValues!A:A,match(IFNA(vlookup(B530,'Special Names'!A:B,2,FALSE),B530),PlayerValues!E:E,0)),"N/A")</f>
        <v>14783</v>
      </c>
      <c r="B530" s="4" t="s">
        <v>342</v>
      </c>
      <c r="C530" s="4" t="s">
        <v>283</v>
      </c>
      <c r="D530" s="94">
        <v>6171.0</v>
      </c>
    </row>
    <row r="531">
      <c r="A531" s="40">
        <f t="array" ref="A531">IFNA(index(PlayerValues!A:A,match(IFNA(vlookup(B531,'Special Names'!A:B,2,FALSE),B531),PlayerValues!E:E,0)),"N/A")</f>
        <v>16582</v>
      </c>
      <c r="B531" s="4" t="s">
        <v>343</v>
      </c>
      <c r="C531" s="4" t="s">
        <v>283</v>
      </c>
      <c r="D531" s="94">
        <v>6073.0</v>
      </c>
    </row>
    <row r="532">
      <c r="A532" s="40">
        <f t="array" ref="A532">IFNA(index(PlayerValues!A:A,match(IFNA(vlookup(B532,'Special Names'!A:B,2,FALSE),B532),PlayerValues!E:E,0)),"N/A")</f>
        <v>17081</v>
      </c>
      <c r="B532" s="4" t="s">
        <v>340</v>
      </c>
      <c r="C532" s="4" t="s">
        <v>287</v>
      </c>
      <c r="D532" s="94">
        <v>6061.0</v>
      </c>
    </row>
    <row r="533">
      <c r="A533" s="40">
        <f t="array" ref="A533">IFNA(index(PlayerValues!A:A,match(IFNA(vlookup(B533,'Special Names'!A:B,2,FALSE),B533),PlayerValues!E:E,0)),"N/A")</f>
        <v>15715</v>
      </c>
      <c r="B533" s="4" t="s">
        <v>331</v>
      </c>
      <c r="C533" s="4" t="s">
        <v>278</v>
      </c>
      <c r="D533" s="94">
        <v>6044.0</v>
      </c>
    </row>
    <row r="534">
      <c r="A534" s="40">
        <f t="array" ref="A534">IFNA(index(PlayerValues!A:A,match(IFNA(vlookup(B534,'Special Names'!A:B,2,FALSE),B534),PlayerValues!E:E,0)),"N/A")</f>
        <v>14802</v>
      </c>
      <c r="B534" s="4" t="s">
        <v>332</v>
      </c>
      <c r="C534" s="4" t="s">
        <v>278</v>
      </c>
      <c r="D534" s="94">
        <v>6010.0</v>
      </c>
    </row>
    <row r="535">
      <c r="A535" s="40">
        <f t="array" ref="A535">IFNA(index(PlayerValues!A:A,match(IFNA(vlookup(B535,'Special Names'!A:B,2,FALSE),B535),PlayerValues!E:E,0)),"N/A")</f>
        <v>17497</v>
      </c>
      <c r="B535" s="4" t="s">
        <v>365</v>
      </c>
      <c r="C535" s="4" t="s">
        <v>287</v>
      </c>
      <c r="D535" s="94">
        <v>5957.0</v>
      </c>
    </row>
    <row r="536">
      <c r="A536" s="40">
        <f t="array" ref="A536">IFNA(index(PlayerValues!A:A,match(IFNA(vlookup(B536,'Special Names'!A:B,2,FALSE),B536),PlayerValues!E:E,0)),"N/A")</f>
        <v>15762</v>
      </c>
      <c r="B536" s="4" t="s">
        <v>337</v>
      </c>
      <c r="C536" s="4" t="s">
        <v>287</v>
      </c>
      <c r="D536" s="94">
        <v>5924.0</v>
      </c>
    </row>
    <row r="537">
      <c r="A537" s="40">
        <f t="array" ref="A537">IFNA(index(PlayerValues!A:A,match(IFNA(vlookup(B537,'Special Names'!A:B,2,FALSE),B537),PlayerValues!E:E,0)),"N/A")</f>
        <v>17102</v>
      </c>
      <c r="B537" s="4" t="s">
        <v>344</v>
      </c>
      <c r="C537" s="4" t="s">
        <v>298</v>
      </c>
      <c r="D537" s="94">
        <v>6499.0</v>
      </c>
    </row>
    <row r="538">
      <c r="A538" s="40">
        <f t="array" ref="A538">IFNA(index(PlayerValues!A:A,match(IFNA(vlookup(B538,'Special Names'!A:B,2,FALSE),B538),PlayerValues!E:E,0)),"N/A")</f>
        <v>15698</v>
      </c>
      <c r="B538" s="4" t="s">
        <v>358</v>
      </c>
      <c r="C538" s="4" t="s">
        <v>283</v>
      </c>
      <c r="D538" s="94">
        <v>5837.0</v>
      </c>
    </row>
    <row r="539">
      <c r="A539" s="40">
        <f t="array" ref="A539">IFNA(index(PlayerValues!A:A,match(IFNA(vlookup(B539,'Special Names'!A:B,2,FALSE),B539),PlayerValues!E:E,0)),"N/A")</f>
        <v>15753</v>
      </c>
      <c r="B539" s="4" t="s">
        <v>359</v>
      </c>
      <c r="C539" s="4" t="s">
        <v>287</v>
      </c>
      <c r="D539" s="94">
        <v>5683.0</v>
      </c>
    </row>
    <row r="540">
      <c r="A540" s="40" t="str">
        <f t="array" ref="A540">IFNA(index(PlayerValues!A:A,match(IFNA(vlookup(B540,'Special Names'!A:B,2,FALSE),B540),PlayerValues!E:E,0)),"N/A")</f>
        <v>N/A</v>
      </c>
      <c r="B540" s="4" t="s">
        <v>79</v>
      </c>
      <c r="C540" s="4" t="s">
        <v>325</v>
      </c>
      <c r="D540" s="94">
        <v>5602.0</v>
      </c>
    </row>
    <row r="541">
      <c r="A541" s="40" t="str">
        <f t="array" ref="A541">IFNA(index(PlayerValues!A:A,match(IFNA(vlookup(B541,'Special Names'!A:B,2,FALSE),B541),PlayerValues!E:E,0)),"N/A")</f>
        <v>N/A</v>
      </c>
      <c r="B541" s="4" t="s">
        <v>93</v>
      </c>
      <c r="C541" s="4" t="s">
        <v>325</v>
      </c>
      <c r="D541" s="94">
        <v>5601.0</v>
      </c>
    </row>
    <row r="542">
      <c r="A542" s="40">
        <f t="array" ref="A542">IFNA(index(PlayerValues!A:A,match(IFNA(vlookup(B542,'Special Names'!A:B,2,FALSE),B542),PlayerValues!E:E,0)),"N/A")</f>
        <v>15290</v>
      </c>
      <c r="B542" s="4" t="s">
        <v>355</v>
      </c>
      <c r="C542" s="4" t="s">
        <v>287</v>
      </c>
      <c r="D542" s="94">
        <v>5592.0</v>
      </c>
    </row>
    <row r="543">
      <c r="A543" s="40">
        <f t="array" ref="A543">IFNA(index(PlayerValues!A:A,match(IFNA(vlookup(B543,'Special Names'!A:B,2,FALSE),B543),PlayerValues!E:E,0)),"N/A")</f>
        <v>16627</v>
      </c>
      <c r="B543" s="4" t="s">
        <v>351</v>
      </c>
      <c r="C543" s="4" t="s">
        <v>287</v>
      </c>
      <c r="D543" s="94">
        <v>5568.0</v>
      </c>
    </row>
    <row r="544">
      <c r="A544" s="40">
        <f t="array" ref="A544">IFNA(index(PlayerValues!A:A,match(IFNA(vlookup(B544,'Special Names'!A:B,2,FALSE),B544),PlayerValues!E:E,0)),"N/A")</f>
        <v>17462</v>
      </c>
      <c r="B544" s="4" t="s">
        <v>375</v>
      </c>
      <c r="C544" s="4" t="s">
        <v>283</v>
      </c>
      <c r="D544" s="94">
        <v>5535.0</v>
      </c>
    </row>
    <row r="545">
      <c r="A545" s="40">
        <f t="array" ref="A545">IFNA(index(PlayerValues!A:A,match(IFNA(vlookup(B545,'Special Names'!A:B,2,FALSE),B545),PlayerValues!E:E,0)),"N/A")</f>
        <v>15754</v>
      </c>
      <c r="B545" s="4" t="s">
        <v>354</v>
      </c>
      <c r="C545" s="4" t="s">
        <v>287</v>
      </c>
      <c r="D545" s="94">
        <v>5527.0</v>
      </c>
    </row>
    <row r="546">
      <c r="A546" s="40">
        <f t="array" ref="A546">IFNA(index(PlayerValues!A:A,match(IFNA(vlookup(B546,'Special Names'!A:B,2,FALSE),B546),PlayerValues!E:E,0)),"N/A")</f>
        <v>17051</v>
      </c>
      <c r="B546" s="4" t="s">
        <v>386</v>
      </c>
      <c r="C546" s="4" t="s">
        <v>278</v>
      </c>
      <c r="D546" s="94">
        <v>5514.0</v>
      </c>
    </row>
    <row r="547">
      <c r="A547" s="40">
        <f t="array" ref="A547">IFNA(index(PlayerValues!A:A,match(IFNA(vlookup(B547,'Special Names'!A:B,2,FALSE),B547),PlayerValues!E:E,0)),"N/A")</f>
        <v>14782</v>
      </c>
      <c r="B547" s="4" t="s">
        <v>385</v>
      </c>
      <c r="C547" s="4" t="s">
        <v>283</v>
      </c>
      <c r="D547" s="94">
        <v>5513.0</v>
      </c>
    </row>
    <row r="548">
      <c r="A548" s="40">
        <f t="array" ref="A548">IFNA(index(PlayerValues!A:A,match(IFNA(vlookup(B548,'Special Names'!A:B,2,FALSE),B548),PlayerValues!E:E,0)),"N/A")</f>
        <v>17043</v>
      </c>
      <c r="B548" s="4" t="s">
        <v>397</v>
      </c>
      <c r="C548" s="4" t="s">
        <v>278</v>
      </c>
      <c r="D548" s="94">
        <v>5489.0</v>
      </c>
    </row>
    <row r="549">
      <c r="A549" s="40">
        <f t="array" ref="A549">IFNA(index(PlayerValues!A:A,match(IFNA(vlookup(B549,'Special Names'!A:B,2,FALSE),B549),PlayerValues!E:E,0)),"N/A")</f>
        <v>15711</v>
      </c>
      <c r="B549" s="4" t="s">
        <v>349</v>
      </c>
      <c r="C549" s="4" t="s">
        <v>278</v>
      </c>
      <c r="D549" s="94">
        <v>5486.0</v>
      </c>
    </row>
    <row r="550">
      <c r="A550" s="40">
        <f t="array" ref="A550">IFNA(index(PlayerValues!A:A,match(IFNA(vlookup(B550,'Special Names'!A:B,2,FALSE),B550),PlayerValues!E:E,0)),"N/A")</f>
        <v>15282</v>
      </c>
      <c r="B550" s="4" t="s">
        <v>364</v>
      </c>
      <c r="C550" s="4" t="s">
        <v>287</v>
      </c>
      <c r="D550" s="94">
        <v>5453.0</v>
      </c>
    </row>
    <row r="551">
      <c r="A551" s="40">
        <f t="array" ref="A551">IFNA(index(PlayerValues!A:A,match(IFNA(vlookup(B551,'Special Names'!A:B,2,FALSE),B551),PlayerValues!E:E,0)),"N/A")</f>
        <v>17070</v>
      </c>
      <c r="B551" s="4" t="s">
        <v>370</v>
      </c>
      <c r="C551" s="4" t="s">
        <v>287</v>
      </c>
      <c r="D551" s="94">
        <v>5404.0</v>
      </c>
    </row>
    <row r="552">
      <c r="A552" s="40">
        <f t="array" ref="A552">IFNA(index(PlayerValues!A:A,match(IFNA(vlookup(B552,'Special Names'!A:B,2,FALSE),B552),PlayerValues!E:E,0)),"N/A")</f>
        <v>15708</v>
      </c>
      <c r="B552" s="4" t="s">
        <v>382</v>
      </c>
      <c r="C552" s="4" t="s">
        <v>278</v>
      </c>
      <c r="D552" s="94">
        <v>5395.0</v>
      </c>
    </row>
    <row r="553">
      <c r="A553" s="40">
        <f t="array" ref="A553">IFNA(index(PlayerValues!A:A,match(IFNA(vlookup(B553,'Special Names'!A:B,2,FALSE),B553),PlayerValues!E:E,0)),"N/A")</f>
        <v>17498</v>
      </c>
      <c r="B553" s="4" t="s">
        <v>396</v>
      </c>
      <c r="C553" s="4" t="s">
        <v>287</v>
      </c>
      <c r="D553" s="94">
        <v>5394.0</v>
      </c>
    </row>
    <row r="554">
      <c r="A554" s="40">
        <f t="array" ref="A554">IFNA(index(PlayerValues!A:A,match(IFNA(vlookup(B554,'Special Names'!A:B,2,FALSE),B554),PlayerValues!E:E,0)),"N/A")</f>
        <v>17030</v>
      </c>
      <c r="B554" s="4" t="s">
        <v>406</v>
      </c>
      <c r="C554" s="4" t="s">
        <v>283</v>
      </c>
      <c r="D554" s="94">
        <v>5363.0</v>
      </c>
    </row>
    <row r="555">
      <c r="A555" s="40">
        <f t="array" ref="A555">IFNA(index(PlayerValues!A:A,match(IFNA(vlookup(B555,'Special Names'!A:B,2,FALSE),B555),PlayerValues!E:E,0)),"N/A")</f>
        <v>16616</v>
      </c>
      <c r="B555" s="4" t="s">
        <v>389</v>
      </c>
      <c r="C555" s="4" t="s">
        <v>287</v>
      </c>
      <c r="D555" s="94">
        <v>5273.0</v>
      </c>
    </row>
    <row r="556">
      <c r="A556" s="40">
        <f t="array" ref="A556">IFNA(index(PlayerValues!A:A,match(IFNA(vlookup(B556,'Special Names'!A:B,2,FALSE),B556),PlayerValues!E:E,0)),"N/A")</f>
        <v>16181</v>
      </c>
      <c r="B556" s="4" t="s">
        <v>350</v>
      </c>
      <c r="C556" s="4" t="s">
        <v>278</v>
      </c>
      <c r="D556" s="94">
        <v>5125.0</v>
      </c>
    </row>
    <row r="557">
      <c r="A557" s="40">
        <f t="array" ref="A557">IFNA(index(PlayerValues!A:A,match(IFNA(vlookup(B557,'Special Names'!A:B,2,FALSE),B557),PlayerValues!E:E,0)),"N/A")</f>
        <v>17499</v>
      </c>
      <c r="B557" s="4" t="s">
        <v>402</v>
      </c>
      <c r="C557" s="4" t="s">
        <v>287</v>
      </c>
      <c r="D557" s="94">
        <v>5095.0</v>
      </c>
    </row>
    <row r="558">
      <c r="A558" s="40" t="str">
        <f t="array" ref="A558">IFNA(index(PlayerValues!A:A,match(IFNA(vlookup(B558,'Special Names'!A:B,2,FALSE),B558),PlayerValues!E:E,0)),"N/A")</f>
        <v>N/A</v>
      </c>
      <c r="B558" s="4" t="s">
        <v>104</v>
      </c>
      <c r="C558" s="4" t="s">
        <v>325</v>
      </c>
      <c r="D558" s="94">
        <v>5016.0</v>
      </c>
    </row>
    <row r="559">
      <c r="A559" s="40">
        <f t="array" ref="A559">IFNA(index(PlayerValues!A:A,match(IFNA(vlookup(B559,'Special Names'!A:B,2,FALSE),B559),PlayerValues!E:E,0)),"N/A")</f>
        <v>13130</v>
      </c>
      <c r="B559" s="4" t="s">
        <v>374</v>
      </c>
      <c r="C559" s="4" t="s">
        <v>278</v>
      </c>
      <c r="D559" s="94">
        <v>4985.0</v>
      </c>
    </row>
    <row r="560">
      <c r="A560" s="40">
        <f t="array" ref="A560">IFNA(index(PlayerValues!A:A,match(IFNA(vlookup(B560,'Special Names'!A:B,2,FALSE),B560),PlayerValues!E:E,0)),"N/A")</f>
        <v>16614</v>
      </c>
      <c r="B560" s="4" t="s">
        <v>403</v>
      </c>
      <c r="C560" s="4" t="s">
        <v>287</v>
      </c>
      <c r="D560" s="94">
        <v>4968.0</v>
      </c>
    </row>
    <row r="561">
      <c r="A561" s="40">
        <f t="array" ref="A561">IFNA(index(PlayerValues!A:A,match(IFNA(vlookup(B561,'Special Names'!A:B,2,FALSE),B561),PlayerValues!E:E,0)),"N/A")</f>
        <v>14104</v>
      </c>
      <c r="B561" s="4" t="s">
        <v>379</v>
      </c>
      <c r="C561" s="4" t="s">
        <v>287</v>
      </c>
      <c r="D561" s="94">
        <v>4951.0</v>
      </c>
    </row>
    <row r="562">
      <c r="A562" s="40">
        <f t="array" ref="A562">IFNA(index(PlayerValues!A:A,match(IFNA(vlookup(B562,'Special Names'!A:B,2,FALSE),B562),PlayerValues!E:E,0)),"N/A")</f>
        <v>13604</v>
      </c>
      <c r="B562" s="4" t="s">
        <v>378</v>
      </c>
      <c r="C562" s="4" t="s">
        <v>278</v>
      </c>
      <c r="D562" s="94">
        <v>4946.0</v>
      </c>
    </row>
    <row r="563">
      <c r="A563" s="40">
        <f t="array" ref="A563">IFNA(index(PlayerValues!A:A,match(IFNA(vlookup(B563,'Special Names'!A:B,2,FALSE),B563),PlayerValues!E:E,0)),"N/A")</f>
        <v>14835</v>
      </c>
      <c r="B563" s="4" t="s">
        <v>392</v>
      </c>
      <c r="C563" s="4" t="s">
        <v>287</v>
      </c>
      <c r="D563" s="94">
        <v>4938.0</v>
      </c>
    </row>
    <row r="564">
      <c r="A564" s="40" t="str">
        <f t="array" ref="A564">IFNA(index(PlayerValues!A:A,match(IFNA(vlookup(B564,'Special Names'!A:B,2,FALSE),B564),PlayerValues!E:E,0)),"N/A")</f>
        <v>N/A</v>
      </c>
      <c r="B564" s="4" t="s">
        <v>94</v>
      </c>
      <c r="C564" s="4" t="s">
        <v>325</v>
      </c>
      <c r="D564" s="94">
        <v>4931.0</v>
      </c>
    </row>
    <row r="565">
      <c r="A565" s="40">
        <f t="array" ref="A565">IFNA(index(PlayerValues!A:A,match(IFNA(vlookup(B565,'Special Names'!A:B,2,FALSE),B565),PlayerValues!E:E,0)),"N/A")</f>
        <v>16222</v>
      </c>
      <c r="B565" s="4" t="s">
        <v>393</v>
      </c>
      <c r="C565" s="4" t="s">
        <v>298</v>
      </c>
      <c r="D565" s="94">
        <v>5496.0</v>
      </c>
    </row>
    <row r="566">
      <c r="A566" s="40">
        <f t="array" ref="A566">IFNA(index(PlayerValues!A:A,match(IFNA(vlookup(B566,'Special Names'!A:B,2,FALSE),B566),PlayerValues!E:E,0)),"N/A")</f>
        <v>16618</v>
      </c>
      <c r="B566" s="4" t="s">
        <v>411</v>
      </c>
      <c r="C566" s="4" t="s">
        <v>287</v>
      </c>
      <c r="D566" s="94">
        <v>4890.0</v>
      </c>
    </row>
    <row r="567">
      <c r="A567" s="40">
        <f t="array" ref="A567">IFNA(index(PlayerValues!A:A,match(IFNA(vlookup(B567,'Special Names'!A:B,2,FALSE),B567),PlayerValues!E:E,0)),"N/A")</f>
        <v>16190</v>
      </c>
      <c r="B567" s="4" t="s">
        <v>371</v>
      </c>
      <c r="C567" s="4" t="s">
        <v>287</v>
      </c>
      <c r="D567" s="94">
        <v>4888.0</v>
      </c>
    </row>
    <row r="568">
      <c r="A568" s="40">
        <f t="array" ref="A568">IFNA(index(PlayerValues!A:A,match(IFNA(vlookup(B568,'Special Names'!A:B,2,FALSE),B568),PlayerValues!E:E,0)),"N/A")</f>
        <v>12620</v>
      </c>
      <c r="B568" s="4" t="s">
        <v>394</v>
      </c>
      <c r="C568" s="4" t="s">
        <v>283</v>
      </c>
      <c r="D568" s="94">
        <v>4881.0</v>
      </c>
    </row>
    <row r="569">
      <c r="A569" s="40">
        <f t="array" ref="A569">IFNA(index(PlayerValues!A:A,match(IFNA(vlookup(B569,'Special Names'!A:B,2,FALSE),B569),PlayerValues!E:E,0)),"N/A")</f>
        <v>15710</v>
      </c>
      <c r="B569" s="4" t="s">
        <v>395</v>
      </c>
      <c r="C569" s="4" t="s">
        <v>278</v>
      </c>
      <c r="D569" s="94">
        <v>4864.0</v>
      </c>
    </row>
    <row r="570">
      <c r="A570" s="40">
        <f t="array" ref="A570">IFNA(index(PlayerValues!A:A,match(IFNA(vlookup(B570,'Special Names'!A:B,2,FALSE),B570),PlayerValues!E:E,0)),"N/A")</f>
        <v>17473</v>
      </c>
      <c r="B570" s="4" t="s">
        <v>391</v>
      </c>
      <c r="C570" s="4" t="s">
        <v>278</v>
      </c>
      <c r="D570" s="94">
        <v>4856.0</v>
      </c>
    </row>
    <row r="571">
      <c r="A571" s="40">
        <f t="array" ref="A571">IFNA(index(PlayerValues!A:A,match(IFNA(vlookup(B571,'Special Names'!A:B,2,FALSE),B571),PlayerValues!E:E,0)),"N/A")</f>
        <v>17103</v>
      </c>
      <c r="B571" s="4" t="s">
        <v>405</v>
      </c>
      <c r="C571" s="4" t="s">
        <v>298</v>
      </c>
      <c r="D571" s="94">
        <v>5411.0</v>
      </c>
    </row>
    <row r="572">
      <c r="A572" s="40">
        <f t="array" ref="A572">IFNA(index(PlayerValues!A:A,match(IFNA(vlookup(B572,'Special Names'!A:B,2,FALSE),B572),PlayerValues!E:E,0)),"N/A")</f>
        <v>16150</v>
      </c>
      <c r="B572" s="4" t="s">
        <v>414</v>
      </c>
      <c r="C572" s="4" t="s">
        <v>283</v>
      </c>
      <c r="D572" s="94">
        <v>4816.0</v>
      </c>
    </row>
    <row r="573">
      <c r="A573" s="40">
        <f t="array" ref="A573">IFNA(index(PlayerValues!A:A,match(IFNA(vlookup(B573,'Special Names'!A:B,2,FALSE),B573),PlayerValues!E:E,0)),"N/A")</f>
        <v>17039</v>
      </c>
      <c r="B573" s="4" t="s">
        <v>400</v>
      </c>
      <c r="C573" s="4" t="s">
        <v>283</v>
      </c>
      <c r="D573" s="94">
        <v>4816.0</v>
      </c>
    </row>
    <row r="574">
      <c r="A574" s="40">
        <f t="array" ref="A574">IFNA(index(PlayerValues!A:A,match(IFNA(vlookup(B574,'Special Names'!A:B,2,FALSE),B574),PlayerValues!E:E,0)),"N/A")</f>
        <v>17045</v>
      </c>
      <c r="B574" s="4" t="s">
        <v>407</v>
      </c>
      <c r="C574" s="4" t="s">
        <v>278</v>
      </c>
      <c r="D574" s="94">
        <v>4788.0</v>
      </c>
    </row>
    <row r="575">
      <c r="A575" s="40">
        <f t="array" ref="A575">IFNA(index(PlayerValues!A:A,match(IFNA(vlookup(B575,'Special Names'!A:B,2,FALSE),B575),PlayerValues!E:E,0)),"N/A")</f>
        <v>15284</v>
      </c>
      <c r="B575" s="4" t="s">
        <v>390</v>
      </c>
      <c r="C575" s="4" t="s">
        <v>287</v>
      </c>
      <c r="D575" s="94">
        <v>4767.0</v>
      </c>
    </row>
    <row r="576">
      <c r="A576" s="40">
        <f t="array" ref="A576">IFNA(index(PlayerValues!A:A,match(IFNA(vlookup(B576,'Special Names'!A:B,2,FALSE),B576),PlayerValues!E:E,0)),"N/A")</f>
        <v>16598</v>
      </c>
      <c r="B576" s="4" t="s">
        <v>408</v>
      </c>
      <c r="C576" s="4" t="s">
        <v>278</v>
      </c>
      <c r="D576" s="94">
        <v>4722.0</v>
      </c>
    </row>
    <row r="577">
      <c r="A577" s="40">
        <f t="array" ref="A577">IFNA(index(PlayerValues!A:A,match(IFNA(vlookup(B577,'Special Names'!A:B,2,FALSE),B577),PlayerValues!E:E,0)),"N/A")</f>
        <v>13590</v>
      </c>
      <c r="B577" s="4" t="s">
        <v>409</v>
      </c>
      <c r="C577" s="4" t="s">
        <v>283</v>
      </c>
      <c r="D577" s="94">
        <v>4707.0</v>
      </c>
    </row>
    <row r="578">
      <c r="A578" s="40">
        <f t="array" ref="A578">IFNA(index(PlayerValues!A:A,match(IFNA(vlookup(B578,'Special Names'!A:B,2,FALSE),B578),PlayerValues!E:E,0)),"N/A")</f>
        <v>12611</v>
      </c>
      <c r="B578" s="4" t="s">
        <v>410</v>
      </c>
      <c r="C578" s="4" t="s">
        <v>283</v>
      </c>
      <c r="D578" s="94">
        <v>4683.0</v>
      </c>
    </row>
    <row r="579">
      <c r="A579" s="40">
        <f t="array" ref="A579">IFNA(index(PlayerValues!A:A,match(IFNA(vlookup(B579,'Special Names'!A:B,2,FALSE),B579),PlayerValues!E:E,0)),"N/A")</f>
        <v>15756</v>
      </c>
      <c r="B579" s="4" t="s">
        <v>399</v>
      </c>
      <c r="C579" s="4" t="s">
        <v>287</v>
      </c>
      <c r="D579" s="94">
        <v>4678.0</v>
      </c>
    </row>
    <row r="580">
      <c r="A580" s="40">
        <f t="array" ref="A580">IFNA(index(PlayerValues!A:A,match(IFNA(vlookup(B580,'Special Names'!A:B,2,FALSE),B580),PlayerValues!E:E,0)),"N/A")</f>
        <v>16194</v>
      </c>
      <c r="B580" s="4" t="s">
        <v>398</v>
      </c>
      <c r="C580" s="4" t="s">
        <v>287</v>
      </c>
      <c r="D580" s="94">
        <v>4668.0</v>
      </c>
    </row>
    <row r="581">
      <c r="A581" s="40" t="str">
        <f t="array" ref="A581">IFNA(index(PlayerValues!A:A,match(IFNA(vlookup(B581,'Special Names'!A:B,2,FALSE),B581),PlayerValues!E:E,0)),"N/A")</f>
        <v>N/A</v>
      </c>
      <c r="B581" s="4" t="s">
        <v>105</v>
      </c>
      <c r="C581" s="4" t="s">
        <v>325</v>
      </c>
      <c r="D581" s="94">
        <v>4591.0</v>
      </c>
    </row>
    <row r="582">
      <c r="A582" s="40" t="str">
        <f t="array" ref="A582">IFNA(index(PlayerValues!A:A,match(IFNA(vlookup(B582,'Special Names'!A:B,2,FALSE),B582),PlayerValues!E:E,0)),"N/A")</f>
        <v>N/A</v>
      </c>
      <c r="B582" s="4" t="s">
        <v>80</v>
      </c>
      <c r="C582" s="4" t="s">
        <v>325</v>
      </c>
      <c r="D582" s="94">
        <v>4581.0</v>
      </c>
    </row>
    <row r="583">
      <c r="A583" s="40">
        <f t="array" ref="A583">IFNA(index(PlayerValues!A:A,match(IFNA(vlookup(B583,'Special Names'!A:B,2,FALSE),B583),PlayerValues!E:E,0)),"N/A")</f>
        <v>13592</v>
      </c>
      <c r="B583" s="4" t="s">
        <v>418</v>
      </c>
      <c r="C583" s="4" t="s">
        <v>283</v>
      </c>
      <c r="D583" s="94">
        <v>4519.0</v>
      </c>
    </row>
    <row r="584">
      <c r="A584" s="40">
        <f t="array" ref="A584">IFNA(index(PlayerValues!A:A,match(IFNA(vlookup(B584,'Special Names'!A:B,2,FALSE),B584),PlayerValues!E:E,0)),"N/A")</f>
        <v>15329</v>
      </c>
      <c r="B584" s="4" t="s">
        <v>416</v>
      </c>
      <c r="C584" s="4" t="s">
        <v>298</v>
      </c>
      <c r="D584" s="94">
        <v>5040.0</v>
      </c>
    </row>
    <row r="585">
      <c r="A585" s="40">
        <f t="array" ref="A585">IFNA(index(PlayerValues!A:A,match(IFNA(vlookup(B585,'Special Names'!A:B,2,FALSE),B585),PlayerValues!E:E,0)),"N/A")</f>
        <v>15256</v>
      </c>
      <c r="B585" s="4" t="s">
        <v>401</v>
      </c>
      <c r="C585" s="4" t="s">
        <v>278</v>
      </c>
      <c r="D585" s="94">
        <v>4486.0</v>
      </c>
    </row>
    <row r="586">
      <c r="A586" s="40">
        <f t="array" ref="A586">IFNA(index(PlayerValues!A:A,match(IFNA(vlookup(B586,'Special Names'!A:B,2,FALSE),B586),PlayerValues!E:E,0)),"N/A")</f>
        <v>16214</v>
      </c>
      <c r="B586" s="4" t="s">
        <v>413</v>
      </c>
      <c r="C586" s="4" t="s">
        <v>298</v>
      </c>
      <c r="D586" s="94">
        <v>5011.0</v>
      </c>
    </row>
    <row r="587">
      <c r="A587" s="40">
        <f t="array" ref="A587">IFNA(index(PlayerValues!A:A,match(IFNA(vlookup(B587,'Special Names'!A:B,2,FALSE),B587),PlayerValues!E:E,0)),"N/A")</f>
        <v>17501</v>
      </c>
      <c r="B587" s="4" t="s">
        <v>404</v>
      </c>
      <c r="C587" s="4" t="s">
        <v>287</v>
      </c>
      <c r="D587" s="94">
        <v>4470.0</v>
      </c>
    </row>
    <row r="588">
      <c r="A588" s="40">
        <f t="array" ref="A588">IFNA(index(PlayerValues!A:A,match(IFNA(vlookup(B588,'Special Names'!A:B,2,FALSE),B588),PlayerValues!E:E,0)),"N/A")</f>
        <v>15253</v>
      </c>
      <c r="B588" s="4" t="s">
        <v>415</v>
      </c>
      <c r="C588" s="4" t="s">
        <v>278</v>
      </c>
      <c r="D588" s="94">
        <v>4468.0</v>
      </c>
    </row>
    <row r="589">
      <c r="A589" s="40">
        <f t="array" ref="A589">IFNA(index(PlayerValues!A:A,match(IFNA(vlookup(B589,'Special Names'!A:B,2,FALSE),B589),PlayerValues!E:E,0)),"N/A")</f>
        <v>16148</v>
      </c>
      <c r="B589" s="4" t="s">
        <v>426</v>
      </c>
      <c r="C589" s="4" t="s">
        <v>283</v>
      </c>
      <c r="D589" s="94">
        <v>4320.0</v>
      </c>
    </row>
    <row r="590">
      <c r="A590" s="40" t="str">
        <f t="array" ref="A590">IFNA(index(PlayerValues!A:A,match(IFNA(vlookup(B590,'Special Names'!A:B,2,FALSE),B590),PlayerValues!E:E,0)),"N/A")</f>
        <v>N/A</v>
      </c>
      <c r="B590" s="4" t="s">
        <v>107</v>
      </c>
      <c r="C590" s="4" t="s">
        <v>325</v>
      </c>
      <c r="D590" s="94">
        <v>4128.0</v>
      </c>
    </row>
    <row r="591">
      <c r="A591" s="40">
        <f t="array" ref="A591">IFNA(index(PlayerValues!A:A,match(IFNA(vlookup(B591,'Special Names'!A:B,2,FALSE),B591),PlayerValues!E:E,0)),"N/A")</f>
        <v>14056</v>
      </c>
      <c r="B591" s="4" t="s">
        <v>423</v>
      </c>
      <c r="C591" s="4" t="s">
        <v>283</v>
      </c>
      <c r="D591" s="94">
        <v>4123.0</v>
      </c>
    </row>
    <row r="592">
      <c r="A592" s="40">
        <f t="array" ref="A592">IFNA(index(PlayerValues!A:A,match(IFNA(vlookup(B592,'Special Names'!A:B,2,FALSE),B592),PlayerValues!E:E,0)),"N/A")</f>
        <v>17052</v>
      </c>
      <c r="B592" s="4" t="s">
        <v>417</v>
      </c>
      <c r="C592" s="4" t="s">
        <v>278</v>
      </c>
      <c r="D592" s="94">
        <v>4116.0</v>
      </c>
    </row>
    <row r="593">
      <c r="A593" s="40">
        <f t="array" ref="A593">IFNA(index(PlayerValues!A:A,match(IFNA(vlookup(B593,'Special Names'!A:B,2,FALSE),B593),PlayerValues!E:E,0)),"N/A")</f>
        <v>17543</v>
      </c>
      <c r="B593" s="4" t="s">
        <v>436</v>
      </c>
      <c r="C593" s="4" t="s">
        <v>298</v>
      </c>
      <c r="D593" s="94">
        <v>4561.0</v>
      </c>
    </row>
    <row r="594">
      <c r="A594" s="40">
        <f t="array" ref="A594">IFNA(index(PlayerValues!A:A,match(IFNA(vlookup(B594,'Special Names'!A:B,2,FALSE),B594),PlayerValues!E:E,0)),"N/A")</f>
        <v>12626</v>
      </c>
      <c r="B594" s="4" t="s">
        <v>419</v>
      </c>
      <c r="C594" s="4" t="s">
        <v>278</v>
      </c>
      <c r="D594" s="94">
        <v>4005.0</v>
      </c>
    </row>
    <row r="595">
      <c r="A595" s="40">
        <f t="array" ref="A595">IFNA(index(PlayerValues!A:A,match(IFNA(vlookup(B595,'Special Names'!A:B,2,FALSE),B595),PlayerValues!E:E,0)),"N/A")</f>
        <v>15768</v>
      </c>
      <c r="B595" s="4" t="s">
        <v>432</v>
      </c>
      <c r="C595" s="4" t="s">
        <v>287</v>
      </c>
      <c r="D595" s="94">
        <v>3993.0</v>
      </c>
    </row>
    <row r="596">
      <c r="A596" s="40">
        <f t="array" ref="A596">IFNA(index(PlayerValues!A:A,match(IFNA(vlookup(B596,'Special Names'!A:B,2,FALSE),B596),PlayerValues!E:E,0)),"N/A")</f>
        <v>16186</v>
      </c>
      <c r="B596" s="4" t="s">
        <v>425</v>
      </c>
      <c r="C596" s="4" t="s">
        <v>287</v>
      </c>
      <c r="D596" s="94">
        <v>3956.0</v>
      </c>
    </row>
    <row r="597">
      <c r="A597" s="40">
        <f t="array" ref="A597">IFNA(index(PlayerValues!A:A,match(IFNA(vlookup(B597,'Special Names'!A:B,2,FALSE),B597),PlayerValues!E:E,0)),"N/A")</f>
        <v>14059</v>
      </c>
      <c r="B597" s="4" t="s">
        <v>435</v>
      </c>
      <c r="C597" s="4" t="s">
        <v>283</v>
      </c>
      <c r="D597" s="94">
        <v>3929.0</v>
      </c>
    </row>
    <row r="598">
      <c r="A598" s="40">
        <f t="array" ref="A598">IFNA(index(PlayerValues!A:A,match(IFNA(vlookup(B598,'Special Names'!A:B,2,FALSE),B598),PlayerValues!E:E,0)),"N/A")</f>
        <v>15789</v>
      </c>
      <c r="B598" s="4" t="s">
        <v>421</v>
      </c>
      <c r="C598" s="4" t="s">
        <v>287</v>
      </c>
      <c r="D598" s="94">
        <v>3898.0</v>
      </c>
    </row>
    <row r="599">
      <c r="A599" s="40" t="str">
        <f t="array" ref="A599">IFNA(index(PlayerValues!A:A,match(IFNA(vlookup(B599,'Special Names'!A:B,2,FALSE),B599),PlayerValues!E:E,0)),"N/A")</f>
        <v>N/A</v>
      </c>
      <c r="B599" s="4" t="s">
        <v>81</v>
      </c>
      <c r="C599" s="4" t="s">
        <v>325</v>
      </c>
      <c r="D599" s="94">
        <v>3888.0</v>
      </c>
    </row>
    <row r="600">
      <c r="A600" s="40" t="str">
        <f t="array" ref="A600">IFNA(index(PlayerValues!A:A,match(IFNA(vlookup(B600,'Special Names'!A:B,2,FALSE),B600),PlayerValues!E:E,0)),"N/A")</f>
        <v>N/A</v>
      </c>
      <c r="B600" s="4" t="s">
        <v>95</v>
      </c>
      <c r="C600" s="4" t="s">
        <v>325</v>
      </c>
      <c r="D600" s="94">
        <v>3887.0</v>
      </c>
    </row>
    <row r="601">
      <c r="A601" s="40">
        <f t="array" ref="A601">IFNA(index(PlayerValues!A:A,match(IFNA(vlookup(B601,'Special Names'!A:B,2,FALSE),B601),PlayerValues!E:E,0)),"N/A")</f>
        <v>14073</v>
      </c>
      <c r="B601" s="4" t="s">
        <v>464</v>
      </c>
      <c r="C601" s="4" t="s">
        <v>278</v>
      </c>
      <c r="D601" s="94">
        <v>3835.0</v>
      </c>
    </row>
    <row r="602">
      <c r="A602" s="40">
        <f t="array" ref="A602">IFNA(index(PlayerValues!A:A,match(IFNA(vlookup(B602,'Special Names'!A:B,2,FALSE),B602),PlayerValues!E:E,0)),"N/A")</f>
        <v>15694</v>
      </c>
      <c r="B602" s="4" t="s">
        <v>434</v>
      </c>
      <c r="C602" s="4" t="s">
        <v>283</v>
      </c>
      <c r="D602" s="94">
        <v>3820.0</v>
      </c>
    </row>
    <row r="603">
      <c r="A603" s="40">
        <f t="array" ref="A603">IFNA(index(PlayerValues!A:A,match(IFNA(vlookup(B603,'Special Names'!A:B,2,FALSE),B603),PlayerValues!E:E,0)),"N/A")</f>
        <v>9431</v>
      </c>
      <c r="B603" s="4" t="s">
        <v>428</v>
      </c>
      <c r="C603" s="4" t="s">
        <v>283</v>
      </c>
      <c r="D603" s="94">
        <v>3807.0</v>
      </c>
    </row>
    <row r="604">
      <c r="A604" s="40">
        <f t="array" ref="A604">IFNA(index(PlayerValues!A:A,match(IFNA(vlookup(B604,'Special Names'!A:B,2,FALSE),B604),PlayerValues!E:E,0)),"N/A")</f>
        <v>17502</v>
      </c>
      <c r="B604" s="4" t="s">
        <v>451</v>
      </c>
      <c r="C604" s="4" t="s">
        <v>287</v>
      </c>
      <c r="D604" s="94">
        <v>3711.0</v>
      </c>
    </row>
    <row r="605">
      <c r="A605" s="40">
        <f t="array" ref="A605">IFNA(index(PlayerValues!A:A,match(IFNA(vlookup(B605,'Special Names'!A:B,2,FALSE),B605),PlayerValues!E:E,0)),"N/A")</f>
        <v>16192</v>
      </c>
      <c r="B605" s="4" t="s">
        <v>412</v>
      </c>
      <c r="C605" s="4" t="s">
        <v>287</v>
      </c>
      <c r="D605" s="94">
        <v>3687.0</v>
      </c>
    </row>
    <row r="606">
      <c r="A606" s="40">
        <f t="array" ref="A606">IFNA(index(PlayerValues!A:A,match(IFNA(vlookup(B606,'Special Names'!A:B,2,FALSE),B606),PlayerValues!E:E,0)),"N/A")</f>
        <v>16187</v>
      </c>
      <c r="B606" s="4" t="s">
        <v>441</v>
      </c>
      <c r="C606" s="4" t="s">
        <v>287</v>
      </c>
      <c r="D606" s="94">
        <v>3671.0</v>
      </c>
    </row>
    <row r="607">
      <c r="A607" s="40">
        <f t="array" ref="A607">IFNA(index(PlayerValues!A:A,match(IFNA(vlookup(B607,'Special Names'!A:B,2,FALSE),B607),PlayerValues!E:E,0)),"N/A")</f>
        <v>14797</v>
      </c>
      <c r="B607" s="4" t="s">
        <v>420</v>
      </c>
      <c r="C607" s="4" t="s">
        <v>278</v>
      </c>
      <c r="D607" s="94">
        <v>3627.0</v>
      </c>
    </row>
    <row r="608">
      <c r="A608" s="40">
        <f t="array" ref="A608">IFNA(index(PlayerValues!A:A,match(IFNA(vlookup(B608,'Special Names'!A:B,2,FALSE),B608),PlayerValues!E:E,0)),"N/A")</f>
        <v>17075</v>
      </c>
      <c r="B608" s="4" t="s">
        <v>429</v>
      </c>
      <c r="C608" s="4" t="s">
        <v>287</v>
      </c>
      <c r="D608" s="94">
        <v>3622.0</v>
      </c>
    </row>
    <row r="609">
      <c r="A609" s="40">
        <f t="array" ref="A609">IFNA(index(PlayerValues!A:A,match(IFNA(vlookup(B609,'Special Names'!A:B,2,FALSE),B609),PlayerValues!E:E,0)),"N/A")</f>
        <v>13635</v>
      </c>
      <c r="B609" s="4" t="s">
        <v>424</v>
      </c>
      <c r="C609" s="4" t="s">
        <v>287</v>
      </c>
      <c r="D609" s="94">
        <v>3613.0</v>
      </c>
    </row>
    <row r="610">
      <c r="A610" s="40">
        <f t="array" ref="A610">IFNA(index(PlayerValues!A:A,match(IFNA(vlookup(B610,'Special Names'!A:B,2,FALSE),B610),PlayerValues!E:E,0)),"N/A")</f>
        <v>16206</v>
      </c>
      <c r="B610" s="4" t="s">
        <v>431</v>
      </c>
      <c r="C610" s="4" t="s">
        <v>287</v>
      </c>
      <c r="D610" s="94">
        <v>3604.0</v>
      </c>
    </row>
    <row r="611">
      <c r="A611" s="40">
        <f t="array" ref="A611">IFNA(index(PlayerValues!A:A,match(IFNA(vlookup(B611,'Special Names'!A:B,2,FALSE),B611),PlayerValues!E:E,0)),"N/A")</f>
        <v>17099</v>
      </c>
      <c r="B611" s="4" t="s">
        <v>474</v>
      </c>
      <c r="C611" s="4" t="s">
        <v>298</v>
      </c>
      <c r="D611" s="94">
        <v>4064.0</v>
      </c>
    </row>
    <row r="612">
      <c r="A612" s="40">
        <f t="array" ref="A612">IFNA(index(PlayerValues!A:A,match(IFNA(vlookup(B612,'Special Names'!A:B,2,FALSE),B612),PlayerValues!E:E,0)),"N/A")</f>
        <v>17544</v>
      </c>
      <c r="B612" s="4" t="s">
        <v>470</v>
      </c>
      <c r="C612" s="4" t="s">
        <v>298</v>
      </c>
      <c r="D612" s="94">
        <v>4054.0</v>
      </c>
    </row>
    <row r="613">
      <c r="A613" s="40">
        <f t="array" ref="A613">IFNA(index(PlayerValues!A:A,match(IFNA(vlookup(B613,'Special Names'!A:B,2,FALSE),B613),PlayerValues!E:E,0)),"N/A")</f>
        <v>17066</v>
      </c>
      <c r="B613" s="4" t="s">
        <v>446</v>
      </c>
      <c r="C613" s="4" t="s">
        <v>278</v>
      </c>
      <c r="D613" s="94">
        <v>3573.0</v>
      </c>
    </row>
    <row r="614">
      <c r="A614" s="40">
        <f t="array" ref="A614">IFNA(index(PlayerValues!A:A,match(IFNA(vlookup(B614,'Special Names'!A:B,2,FALSE),B614),PlayerValues!E:E,0)),"N/A")</f>
        <v>16188</v>
      </c>
      <c r="B614" s="4" t="s">
        <v>439</v>
      </c>
      <c r="C614" s="4" t="s">
        <v>287</v>
      </c>
      <c r="D614" s="94">
        <v>3570.0</v>
      </c>
    </row>
    <row r="615">
      <c r="A615" s="40">
        <f t="array" ref="A615">IFNA(index(PlayerValues!A:A,match(IFNA(vlookup(B615,'Special Names'!A:B,2,FALSE),B615),PlayerValues!E:E,0)),"N/A")</f>
        <v>17463</v>
      </c>
      <c r="B615" s="4" t="s">
        <v>433</v>
      </c>
      <c r="C615" s="4" t="s">
        <v>283</v>
      </c>
      <c r="D615" s="94">
        <v>3550.0</v>
      </c>
    </row>
    <row r="616">
      <c r="A616" s="40">
        <f t="array" ref="A616">IFNA(index(PlayerValues!A:A,match(IFNA(vlookup(B616,'Special Names'!A:B,2,FALSE),B616),PlayerValues!E:E,0)),"N/A")</f>
        <v>15757</v>
      </c>
      <c r="B616" s="4" t="s">
        <v>449</v>
      </c>
      <c r="C616" s="4" t="s">
        <v>287</v>
      </c>
      <c r="D616" s="94">
        <v>3491.0</v>
      </c>
    </row>
    <row r="617">
      <c r="A617" s="40">
        <f t="array" ref="A617">IFNA(index(PlayerValues!A:A,match(IFNA(vlookup(B617,'Special Names'!A:B,2,FALSE),B617),PlayerValues!E:E,0)),"N/A")</f>
        <v>14109</v>
      </c>
      <c r="B617" s="4" t="s">
        <v>437</v>
      </c>
      <c r="C617" s="4" t="s">
        <v>287</v>
      </c>
      <c r="D617" s="94">
        <v>3486.0</v>
      </c>
    </row>
    <row r="618">
      <c r="A618" s="40">
        <f t="array" ref="A618">IFNA(index(PlayerValues!A:A,match(IFNA(vlookup(B618,'Special Names'!A:B,2,FALSE),B618),PlayerValues!E:E,0)),"N/A")</f>
        <v>17500</v>
      </c>
      <c r="B618" s="4" t="s">
        <v>430</v>
      </c>
      <c r="C618" s="4" t="s">
        <v>287</v>
      </c>
      <c r="D618" s="94">
        <v>3461.0</v>
      </c>
    </row>
    <row r="619">
      <c r="A619" s="40" t="str">
        <f t="array" ref="A619">IFNA(index(PlayerValues!A:A,match(IFNA(vlookup(B619,'Special Names'!A:B,2,FALSE),B619),PlayerValues!E:E,0)),"N/A")</f>
        <v>N/A</v>
      </c>
      <c r="B619" s="4" t="s">
        <v>96</v>
      </c>
      <c r="C619" s="4" t="s">
        <v>325</v>
      </c>
      <c r="D619" s="94">
        <v>3459.0</v>
      </c>
    </row>
    <row r="620">
      <c r="A620" s="40">
        <f t="array" ref="A620">IFNA(index(PlayerValues!A:A,match(IFNA(vlookup(B620,'Special Names'!A:B,2,FALSE),B620),PlayerValues!E:E,0)),"N/A")</f>
        <v>17083</v>
      </c>
      <c r="B620" s="4" t="s">
        <v>479</v>
      </c>
      <c r="C620" s="4" t="s">
        <v>287</v>
      </c>
      <c r="D620" s="94">
        <v>3447.0</v>
      </c>
    </row>
    <row r="621">
      <c r="A621" s="40">
        <f t="array" ref="A621">IFNA(index(PlayerValues!A:A,match(IFNA(vlookup(B621,'Special Names'!A:B,2,FALSE),B621),PlayerValues!E:E,0)),"N/A")</f>
        <v>14102</v>
      </c>
      <c r="B621" s="4" t="s">
        <v>444</v>
      </c>
      <c r="C621" s="4" t="s">
        <v>287</v>
      </c>
      <c r="D621" s="94">
        <v>3439.0</v>
      </c>
    </row>
    <row r="622">
      <c r="A622" s="40">
        <f t="array" ref="A622">IFNA(index(PlayerValues!A:A,match(IFNA(vlookup(B622,'Special Names'!A:B,2,FALSE),B622),PlayerValues!E:E,0)),"N/A")</f>
        <v>16184</v>
      </c>
      <c r="B622" s="4" t="s">
        <v>445</v>
      </c>
      <c r="C622" s="4" t="s">
        <v>287</v>
      </c>
      <c r="D622" s="94">
        <v>3439.0</v>
      </c>
    </row>
    <row r="623">
      <c r="A623" s="40">
        <f t="array" ref="A623">IFNA(index(PlayerValues!A:A,match(IFNA(vlookup(B623,'Special Names'!A:B,2,FALSE),B623),PlayerValues!E:E,0)),"N/A")</f>
        <v>17068</v>
      </c>
      <c r="B623" s="4" t="s">
        <v>450</v>
      </c>
      <c r="C623" s="4" t="s">
        <v>278</v>
      </c>
      <c r="D623" s="94">
        <v>3385.0</v>
      </c>
    </row>
    <row r="624">
      <c r="A624" s="40">
        <f t="array" ref="A624">IFNA(index(PlayerValues!A:A,match(IFNA(vlookup(B624,'Special Names'!A:B,2,FALSE),B624),PlayerValues!E:E,0)),"N/A")</f>
        <v>15798</v>
      </c>
      <c r="B624" s="4" t="s">
        <v>443</v>
      </c>
      <c r="C624" s="4" t="s">
        <v>298</v>
      </c>
      <c r="D624" s="94">
        <v>3830.0</v>
      </c>
    </row>
    <row r="625">
      <c r="A625" s="40">
        <f t="array" ref="A625">IFNA(index(PlayerValues!A:A,match(IFNA(vlookup(B625,'Special Names'!A:B,2,FALSE),B625),PlayerValues!E:E,0)),"N/A")</f>
        <v>14071</v>
      </c>
      <c r="B625" s="4" t="s">
        <v>440</v>
      </c>
      <c r="C625" s="4" t="s">
        <v>278</v>
      </c>
      <c r="D625" s="94">
        <v>3378.0</v>
      </c>
    </row>
    <row r="626">
      <c r="A626" s="40">
        <f t="array" ref="A626">IFNA(index(PlayerValues!A:A,match(IFNA(vlookup(B626,'Special Names'!A:B,2,FALSE),B626),PlayerValues!E:E,0)),"N/A")</f>
        <v>16622</v>
      </c>
      <c r="B626" s="4" t="s">
        <v>517</v>
      </c>
      <c r="C626" s="4" t="s">
        <v>287</v>
      </c>
      <c r="D626" s="94">
        <v>3364.0</v>
      </c>
    </row>
    <row r="627">
      <c r="A627" s="40">
        <f t="array" ref="A627">IFNA(index(PlayerValues!A:A,match(IFNA(vlookup(B627,'Special Names'!A:B,2,FALSE),B627),PlayerValues!E:E,0)),"N/A")</f>
        <v>16169</v>
      </c>
      <c r="B627" s="4" t="s">
        <v>457</v>
      </c>
      <c r="C627" s="4" t="s">
        <v>278</v>
      </c>
      <c r="D627" s="94">
        <v>3362.0</v>
      </c>
    </row>
    <row r="628">
      <c r="A628" s="40">
        <f t="array" ref="A628">IFNA(index(PlayerValues!A:A,match(IFNA(vlookup(B628,'Special Names'!A:B,2,FALSE),B628),PlayerValues!E:E,0)),"N/A")</f>
        <v>14842</v>
      </c>
      <c r="B628" s="4" t="s">
        <v>456</v>
      </c>
      <c r="C628" s="4" t="s">
        <v>287</v>
      </c>
      <c r="D628" s="94">
        <v>3361.0</v>
      </c>
    </row>
    <row r="629">
      <c r="A629" s="40">
        <f t="array" ref="A629">IFNA(index(PlayerValues!A:A,match(IFNA(vlookup(B629,'Special Names'!A:B,2,FALSE),B629),PlayerValues!E:E,0)),"N/A")</f>
        <v>16593</v>
      </c>
      <c r="B629" s="4" t="s">
        <v>442</v>
      </c>
      <c r="C629" s="4" t="s">
        <v>278</v>
      </c>
      <c r="D629" s="94">
        <v>3355.0</v>
      </c>
    </row>
    <row r="630">
      <c r="A630" s="40">
        <f t="array" ref="A630">IFNA(index(PlayerValues!A:A,match(IFNA(vlookup(B630,'Special Names'!A:B,2,FALSE),B630),PlayerValues!E:E,0)),"N/A")</f>
        <v>16620</v>
      </c>
      <c r="B630" s="4" t="s">
        <v>467</v>
      </c>
      <c r="C630" s="4" t="s">
        <v>287</v>
      </c>
      <c r="D630" s="94">
        <v>3333.0</v>
      </c>
    </row>
    <row r="631">
      <c r="A631" s="40">
        <f t="array" ref="A631">IFNA(index(PlayerValues!A:A,match(IFNA(vlookup(B631,'Special Names'!A:B,2,FALSE),B631),PlayerValues!E:E,0)),"N/A")</f>
        <v>11675</v>
      </c>
      <c r="B631" s="4" t="s">
        <v>438</v>
      </c>
      <c r="C631" s="4" t="s">
        <v>287</v>
      </c>
      <c r="D631" s="94">
        <v>3329.0</v>
      </c>
    </row>
    <row r="632">
      <c r="A632" s="40">
        <f t="array" ref="A632">IFNA(index(PlayerValues!A:A,match(IFNA(vlookup(B632,'Special Names'!A:B,2,FALSE),B632),PlayerValues!E:E,0)),"N/A")</f>
        <v>17074</v>
      </c>
      <c r="B632" s="4" t="s">
        <v>475</v>
      </c>
      <c r="C632" s="4" t="s">
        <v>287</v>
      </c>
      <c r="D632" s="94">
        <v>3329.0</v>
      </c>
    </row>
    <row r="633">
      <c r="A633" s="40">
        <f t="array" ref="A633">IFNA(index(PlayerValues!A:A,match(IFNA(vlookup(B633,'Special Names'!A:B,2,FALSE),B633),PlayerValues!E:E,0)),"N/A")</f>
        <v>15261</v>
      </c>
      <c r="B633" s="4" t="s">
        <v>466</v>
      </c>
      <c r="C633" s="4" t="s">
        <v>278</v>
      </c>
      <c r="D633" s="94">
        <v>3325.0</v>
      </c>
    </row>
    <row r="634">
      <c r="A634" s="40">
        <f t="array" ref="A634">IFNA(index(PlayerValues!A:A,match(IFNA(vlookup(B634,'Special Names'!A:B,2,FALSE),B634),PlayerValues!E:E,0)),"N/A")</f>
        <v>16597</v>
      </c>
      <c r="B634" s="4" t="s">
        <v>427</v>
      </c>
      <c r="C634" s="4" t="s">
        <v>278</v>
      </c>
      <c r="D634" s="94">
        <v>3313.0</v>
      </c>
    </row>
    <row r="635">
      <c r="A635" s="40">
        <f t="array" ref="A635">IFNA(index(PlayerValues!A:A,match(IFNA(vlookup(B635,'Special Names'!A:B,2,FALSE),B635),PlayerValues!E:E,0)),"N/A")</f>
        <v>11671</v>
      </c>
      <c r="B635" s="4" t="s">
        <v>463</v>
      </c>
      <c r="C635" s="4" t="s">
        <v>287</v>
      </c>
      <c r="D635" s="94">
        <v>3312.0</v>
      </c>
    </row>
    <row r="636">
      <c r="A636" s="40" t="str">
        <f t="array" ref="A636">IFNA(index(PlayerValues!A:A,match(IFNA(vlookup(B636,'Special Names'!A:B,2,FALSE),B636),PlayerValues!E:E,0)),"N/A")</f>
        <v>N/A</v>
      </c>
      <c r="B636" s="4" t="s">
        <v>82</v>
      </c>
      <c r="C636" s="4" t="s">
        <v>325</v>
      </c>
      <c r="D636" s="94">
        <v>3312.0</v>
      </c>
    </row>
    <row r="637">
      <c r="A637" s="40">
        <f t="array" ref="A637">IFNA(index(PlayerValues!A:A,match(IFNA(vlookup(B637,'Special Names'!A:B,2,FALSE),B637),PlayerValues!E:E,0)),"N/A")</f>
        <v>13299</v>
      </c>
      <c r="B637" s="4" t="s">
        <v>448</v>
      </c>
      <c r="C637" s="4" t="s">
        <v>298</v>
      </c>
      <c r="D637" s="94">
        <v>3728.0</v>
      </c>
    </row>
    <row r="638">
      <c r="A638" s="40" t="str">
        <f t="array" ref="A638">IFNA(index(PlayerValues!A:A,match(IFNA(vlookup(B638,'Special Names'!A:B,2,FALSE),B638),PlayerValues!E:E,0)),"N/A")</f>
        <v>N/A</v>
      </c>
      <c r="B638" s="4" t="s">
        <v>108</v>
      </c>
      <c r="C638" s="4" t="s">
        <v>325</v>
      </c>
      <c r="D638" s="94">
        <v>3216.0</v>
      </c>
    </row>
    <row r="639">
      <c r="A639" s="40">
        <f t="array" ref="A639">IFNA(index(PlayerValues!A:A,match(IFNA(vlookup(B639,'Special Names'!A:B,2,FALSE),B639),PlayerValues!E:E,0)),"N/A")</f>
        <v>15799</v>
      </c>
      <c r="B639" s="4" t="s">
        <v>468</v>
      </c>
      <c r="C639" s="4" t="s">
        <v>298</v>
      </c>
      <c r="D639" s="94">
        <v>3644.0</v>
      </c>
    </row>
    <row r="640">
      <c r="A640" s="40">
        <f t="array" ref="A640">IFNA(index(PlayerValues!A:A,match(IFNA(vlookup(B640,'Special Names'!A:B,2,FALSE),B640),PlayerValues!E:E,0)),"N/A")</f>
        <v>15742</v>
      </c>
      <c r="B640" s="4" t="s">
        <v>447</v>
      </c>
      <c r="C640" s="4" t="s">
        <v>278</v>
      </c>
      <c r="D640" s="94">
        <v>3198.0</v>
      </c>
    </row>
    <row r="641">
      <c r="A641" s="40">
        <f t="array" ref="A641">IFNA(index(PlayerValues!A:A,match(IFNA(vlookup(B641,'Special Names'!A:B,2,FALSE),B641),PlayerValues!E:E,0)),"N/A")</f>
        <v>17477</v>
      </c>
      <c r="B641" s="4" t="s">
        <v>452</v>
      </c>
      <c r="C641" s="4" t="s">
        <v>278</v>
      </c>
      <c r="D641" s="94">
        <v>3180.0</v>
      </c>
    </row>
    <row r="642">
      <c r="A642" s="40" t="str">
        <f t="array" ref="A642">IFNA(index(PlayerValues!A:A,match(IFNA(vlookup(B642,'Special Names'!A:B,2,FALSE),B642),PlayerValues!E:E,0)),"N/A")</f>
        <v>N/A</v>
      </c>
      <c r="B642" s="4" t="s">
        <v>97</v>
      </c>
      <c r="C642" s="4" t="s">
        <v>325</v>
      </c>
      <c r="D642" s="94">
        <v>3173.0</v>
      </c>
    </row>
    <row r="643">
      <c r="A643" s="40">
        <f t="array" ref="A643">IFNA(index(PlayerValues!A:A,match(IFNA(vlookup(B643,'Special Names'!A:B,2,FALSE),B643),PlayerValues!E:E,0)),"N/A")</f>
        <v>16809</v>
      </c>
      <c r="B643" s="4" t="s">
        <v>455</v>
      </c>
      <c r="C643" s="4" t="s">
        <v>287</v>
      </c>
      <c r="D643" s="94">
        <v>3158.0</v>
      </c>
    </row>
    <row r="644">
      <c r="A644" s="40">
        <f t="array" ref="A644">IFNA(index(PlayerValues!A:A,match(IFNA(vlookup(B644,'Special Names'!A:B,2,FALSE),B644),PlayerValues!E:E,0)),"N/A")</f>
        <v>14823</v>
      </c>
      <c r="B644" s="4" t="s">
        <v>459</v>
      </c>
      <c r="C644" s="4" t="s">
        <v>278</v>
      </c>
      <c r="D644" s="94">
        <v>3151.0</v>
      </c>
    </row>
    <row r="645">
      <c r="A645" s="40">
        <f t="array" ref="A645">IFNA(index(PlayerValues!A:A,match(IFNA(vlookup(B645,'Special Names'!A:B,2,FALSE),B645),PlayerValues!E:E,0)),"N/A")</f>
        <v>16213</v>
      </c>
      <c r="B645" s="4" t="s">
        <v>458</v>
      </c>
      <c r="C645" s="4" t="s">
        <v>298</v>
      </c>
      <c r="D645" s="94">
        <v>3570.0</v>
      </c>
    </row>
    <row r="646">
      <c r="A646" s="40">
        <f t="array" ref="A646">IFNA(index(PlayerValues!A:A,match(IFNA(vlookup(B646,'Special Names'!A:B,2,FALSE),B646),PlayerValues!E:E,0)),"N/A")</f>
        <v>13630</v>
      </c>
      <c r="B646" s="4" t="s">
        <v>465</v>
      </c>
      <c r="C646" s="4" t="s">
        <v>287</v>
      </c>
      <c r="D646" s="94">
        <v>3108.0</v>
      </c>
    </row>
    <row r="647">
      <c r="A647" s="40">
        <f t="array" ref="A647">IFNA(index(PlayerValues!A:A,match(IFNA(vlookup(B647,'Special Names'!A:B,2,FALSE),B647),PlayerValues!E:E,0)),"N/A")</f>
        <v>15779</v>
      </c>
      <c r="B647" s="4" t="s">
        <v>461</v>
      </c>
      <c r="C647" s="4" t="s">
        <v>287</v>
      </c>
      <c r="D647" s="94">
        <v>3088.0</v>
      </c>
    </row>
    <row r="648">
      <c r="A648" s="40">
        <f t="array" ref="A648">IFNA(index(PlayerValues!A:A,match(IFNA(vlookup(B648,'Special Names'!A:B,2,FALSE),B648),PlayerValues!E:E,0)),"N/A")</f>
        <v>16583</v>
      </c>
      <c r="B648" s="4" t="s">
        <v>493</v>
      </c>
      <c r="C648" s="4" t="s">
        <v>283</v>
      </c>
      <c r="D648" s="94">
        <v>3075.0</v>
      </c>
    </row>
    <row r="649">
      <c r="A649" s="40">
        <f t="array" ref="A649">IFNA(index(PlayerValues!A:A,match(IFNA(vlookup(B649,'Special Names'!A:B,2,FALSE),B649),PlayerValues!E:E,0)),"N/A")</f>
        <v>16628</v>
      </c>
      <c r="B649" s="4" t="s">
        <v>490</v>
      </c>
      <c r="C649" s="4" t="s">
        <v>287</v>
      </c>
      <c r="D649" s="94">
        <v>3074.0</v>
      </c>
    </row>
    <row r="650">
      <c r="A650" s="40">
        <f t="array" ref="A650">IFNA(index(PlayerValues!A:A,match(IFNA(vlookup(B650,'Special Names'!A:B,2,FALSE),B650),PlayerValues!E:E,0)),"N/A")</f>
        <v>17506</v>
      </c>
      <c r="B650" s="4" t="s">
        <v>471</v>
      </c>
      <c r="C650" s="4" t="s">
        <v>287</v>
      </c>
      <c r="D650" s="94">
        <v>3059.0</v>
      </c>
    </row>
    <row r="651">
      <c r="A651" s="40">
        <f t="array" ref="A651">IFNA(index(PlayerValues!A:A,match(IFNA(vlookup(B651,'Special Names'!A:B,2,FALSE),B651),PlayerValues!E:E,0)),"N/A")</f>
        <v>14127</v>
      </c>
      <c r="B651" s="4" t="s">
        <v>486</v>
      </c>
      <c r="C651" s="4" t="s">
        <v>287</v>
      </c>
      <c r="D651" s="94">
        <v>3056.0</v>
      </c>
    </row>
    <row r="652">
      <c r="A652" s="40">
        <f t="array" ref="A652">IFNA(index(PlayerValues!A:A,match(IFNA(vlookup(B652,'Special Names'!A:B,2,FALSE),B652),PlayerValues!E:E,0)),"N/A")</f>
        <v>17512</v>
      </c>
      <c r="B652" s="4" t="s">
        <v>483</v>
      </c>
      <c r="C652" s="4" t="s">
        <v>287</v>
      </c>
      <c r="D652" s="94">
        <v>3038.0</v>
      </c>
    </row>
    <row r="653">
      <c r="A653" s="40" t="str">
        <f t="array" ref="A653">IFNA(index(PlayerValues!A:A,match(IFNA(vlookup(B653,'Special Names'!A:B,2,FALSE),B653),PlayerValues!E:E,0)),"N/A")</f>
        <v>N/A</v>
      </c>
      <c r="B653" s="4" t="s">
        <v>84</v>
      </c>
      <c r="C653" s="4" t="s">
        <v>325</v>
      </c>
      <c r="D653" s="94">
        <v>2989.0</v>
      </c>
    </row>
    <row r="654">
      <c r="A654" s="40" t="str">
        <f t="array" ref="A654">IFNA(index(PlayerValues!A:A,match(IFNA(vlookup(B654,'Special Names'!A:B,2,FALSE),B654),PlayerValues!E:E,0)),"N/A")</f>
        <v>N/A</v>
      </c>
      <c r="B654" s="4" t="s">
        <v>109</v>
      </c>
      <c r="C654" s="4" t="s">
        <v>325</v>
      </c>
      <c r="D654" s="94">
        <v>2986.0</v>
      </c>
    </row>
    <row r="655">
      <c r="A655" s="40">
        <f t="array" ref="A655">IFNA(index(PlayerValues!A:A,match(IFNA(vlookup(B655,'Special Names'!A:B,2,FALSE),B655),PlayerValues!E:E,0)),"N/A")</f>
        <v>16269</v>
      </c>
      <c r="B655" s="4" t="s">
        <v>481</v>
      </c>
      <c r="C655" s="4" t="s">
        <v>298</v>
      </c>
      <c r="D655" s="94">
        <v>3406.0</v>
      </c>
    </row>
    <row r="656">
      <c r="A656" s="40">
        <f t="array" ref="A656">IFNA(index(PlayerValues!A:A,match(IFNA(vlookup(B656,'Special Names'!A:B,2,FALSE),B656),PlayerValues!E:E,0)),"N/A")</f>
        <v>14800</v>
      </c>
      <c r="B656" s="4" t="s">
        <v>472</v>
      </c>
      <c r="C656" s="4" t="s">
        <v>278</v>
      </c>
      <c r="D656" s="94">
        <v>2965.0</v>
      </c>
    </row>
    <row r="657">
      <c r="A657" s="40">
        <f t="array" ref="A657">IFNA(index(PlayerValues!A:A,match(IFNA(vlookup(B657,'Special Names'!A:B,2,FALSE),B657),PlayerValues!E:E,0)),"N/A")</f>
        <v>17503</v>
      </c>
      <c r="B657" s="4" t="s">
        <v>480</v>
      </c>
      <c r="C657" s="4" t="s">
        <v>287</v>
      </c>
      <c r="D657" s="94">
        <v>2964.0</v>
      </c>
    </row>
    <row r="658">
      <c r="A658" s="40">
        <f t="array" ref="A658">IFNA(index(PlayerValues!A:A,match(IFNA(vlookup(B658,'Special Names'!A:B,2,FALSE),B658),PlayerValues!E:E,0)),"N/A")</f>
        <v>17256</v>
      </c>
      <c r="B658" s="4" t="s">
        <v>462</v>
      </c>
      <c r="C658" s="4" t="s">
        <v>278</v>
      </c>
      <c r="D658" s="94">
        <v>2952.0</v>
      </c>
    </row>
    <row r="659">
      <c r="A659" s="40">
        <f t="array" ref="A659">IFNA(index(PlayerValues!A:A,match(IFNA(vlookup(B659,'Special Names'!A:B,2,FALSE),B659),PlayerValues!E:E,0)),"N/A")</f>
        <v>15259</v>
      </c>
      <c r="B659" s="4" t="s">
        <v>453</v>
      </c>
      <c r="C659" s="4" t="s">
        <v>278</v>
      </c>
      <c r="D659" s="94">
        <v>2943.0</v>
      </c>
    </row>
    <row r="660">
      <c r="A660" s="40">
        <f t="array" ref="A660">IFNA(index(PlayerValues!A:A,match(IFNA(vlookup(B660,'Special Names'!A:B,2,FALSE),B660),PlayerValues!E:E,0)),"N/A")</f>
        <v>15761</v>
      </c>
      <c r="B660" s="4" t="s">
        <v>491</v>
      </c>
      <c r="C660" s="4" t="s">
        <v>287</v>
      </c>
      <c r="D660" s="94">
        <v>2921.0</v>
      </c>
    </row>
    <row r="661">
      <c r="A661" s="40">
        <f t="array" ref="A661">IFNA(index(PlayerValues!A:A,match(IFNA(vlookup(B661,'Special Names'!A:B,2,FALSE),B661),PlayerValues!E:E,0)),"N/A")</f>
        <v>13163</v>
      </c>
      <c r="B661" s="4" t="s">
        <v>473</v>
      </c>
      <c r="C661" s="4" t="s">
        <v>287</v>
      </c>
      <c r="D661" s="94">
        <v>2913.0</v>
      </c>
    </row>
    <row r="662">
      <c r="A662" s="40">
        <f t="array" ref="A662">IFNA(index(PlayerValues!A:A,match(IFNA(vlookup(B662,'Special Names'!A:B,2,FALSE),B662),PlayerValues!E:E,0)),"N/A")</f>
        <v>15255</v>
      </c>
      <c r="B662" s="4" t="s">
        <v>477</v>
      </c>
      <c r="C662" s="4" t="s">
        <v>278</v>
      </c>
      <c r="D662" s="94">
        <v>2912.0</v>
      </c>
    </row>
    <row r="663">
      <c r="A663" s="40">
        <f t="array" ref="A663">IFNA(index(PlayerValues!A:A,match(IFNA(vlookup(B663,'Special Names'!A:B,2,FALSE),B663),PlayerValues!E:E,0)),"N/A")</f>
        <v>17476</v>
      </c>
      <c r="B663" s="4" t="s">
        <v>494</v>
      </c>
      <c r="C663" s="4" t="s">
        <v>278</v>
      </c>
      <c r="D663" s="94">
        <v>2903.0</v>
      </c>
    </row>
    <row r="664">
      <c r="A664" s="40">
        <f t="array" ref="A664">IFNA(index(PlayerValues!A:A,match(IFNA(vlookup(B664,'Special Names'!A:B,2,FALSE),B664),PlayerValues!E:E,0)),"N/A")</f>
        <v>14085</v>
      </c>
      <c r="B664" s="4" t="s">
        <v>489</v>
      </c>
      <c r="C664" s="4" t="s">
        <v>278</v>
      </c>
      <c r="D664" s="94">
        <v>2828.0</v>
      </c>
    </row>
    <row r="665">
      <c r="A665" s="40">
        <f t="array" ref="A665">IFNA(index(PlayerValues!A:A,match(IFNA(vlookup(B665,'Special Names'!A:B,2,FALSE),B665),PlayerValues!E:E,0)),"N/A")</f>
        <v>15889</v>
      </c>
      <c r="B665" s="4" t="s">
        <v>503</v>
      </c>
      <c r="C665" s="4" t="s">
        <v>298</v>
      </c>
      <c r="D665" s="94">
        <v>3225.0</v>
      </c>
    </row>
    <row r="666">
      <c r="A666" s="40" t="str">
        <f t="array" ref="A666">IFNA(index(PlayerValues!A:A,match(IFNA(vlookup(B666,'Special Names'!A:B,2,FALSE),B666),PlayerValues!E:E,0)),"N/A")</f>
        <v>N/A</v>
      </c>
      <c r="B666" s="4" t="s">
        <v>85</v>
      </c>
      <c r="C666" s="4" t="s">
        <v>325</v>
      </c>
      <c r="D666" s="94">
        <v>2809.0</v>
      </c>
    </row>
    <row r="667">
      <c r="A667" s="40" t="str">
        <f t="array" ref="A667">IFNA(index(PlayerValues!A:A,match(IFNA(vlookup(B667,'Special Names'!A:B,2,FALSE),B667),PlayerValues!E:E,0)),"N/A")</f>
        <v>N/A</v>
      </c>
      <c r="B667" s="4" t="s">
        <v>110</v>
      </c>
      <c r="C667" s="4" t="s">
        <v>325</v>
      </c>
      <c r="D667" s="94">
        <v>2799.0</v>
      </c>
    </row>
    <row r="668">
      <c r="A668" s="40">
        <f t="array" ref="A668">IFNA(index(PlayerValues!A:A,match(IFNA(vlookup(B668,'Special Names'!A:B,2,FALSE),B668),PlayerValues!E:E,0)),"N/A")</f>
        <v>17505</v>
      </c>
      <c r="B668" s="4" t="s">
        <v>528</v>
      </c>
      <c r="C668" s="4" t="s">
        <v>287</v>
      </c>
      <c r="D668" s="94">
        <v>2786.0</v>
      </c>
    </row>
    <row r="669">
      <c r="A669" s="40">
        <f t="array" ref="A669">IFNA(index(PlayerValues!A:A,match(IFNA(vlookup(B669,'Special Names'!A:B,2,FALSE),B669),PlayerValues!E:E,0)),"N/A")</f>
        <v>14778</v>
      </c>
      <c r="B669" s="4" t="s">
        <v>564</v>
      </c>
      <c r="C669" s="4" t="s">
        <v>283</v>
      </c>
      <c r="D669" s="94">
        <v>2780.0</v>
      </c>
    </row>
    <row r="670">
      <c r="A670" s="40">
        <f t="array" ref="A670">IFNA(index(PlayerValues!A:A,match(IFNA(vlookup(B670,'Special Names'!A:B,2,FALSE),B670),PlayerValues!E:E,0)),"N/A")</f>
        <v>13671</v>
      </c>
      <c r="B670" s="4" t="s">
        <v>506</v>
      </c>
      <c r="C670" s="4" t="s">
        <v>298</v>
      </c>
      <c r="D670" s="94">
        <v>3189.0</v>
      </c>
    </row>
    <row r="671">
      <c r="A671" s="40">
        <f t="array" ref="A671">IFNA(index(PlayerValues!A:A,match(IFNA(vlookup(B671,'Special Names'!A:B,2,FALSE),B671),PlayerValues!E:E,0)),"N/A")</f>
        <v>16080</v>
      </c>
      <c r="B671" s="4" t="s">
        <v>499</v>
      </c>
      <c r="C671" s="4" t="s">
        <v>287</v>
      </c>
      <c r="D671" s="94">
        <v>2764.0</v>
      </c>
    </row>
    <row r="672">
      <c r="A672" s="40">
        <f t="array" ref="A672">IFNA(index(PlayerValues!A:A,match(IFNA(vlookup(B672,'Special Names'!A:B,2,FALSE),B672),PlayerValues!E:E,0)),"N/A")</f>
        <v>17157</v>
      </c>
      <c r="B672" s="4" t="s">
        <v>524</v>
      </c>
      <c r="C672" s="4" t="s">
        <v>287</v>
      </c>
      <c r="D672" s="94">
        <v>2763.0</v>
      </c>
    </row>
    <row r="673">
      <c r="A673" s="40">
        <f t="array" ref="A673">IFNA(index(PlayerValues!A:A,match(IFNA(vlookup(B673,'Special Names'!A:B,2,FALSE),B673),PlayerValues!E:E,0)),"N/A")</f>
        <v>15721</v>
      </c>
      <c r="B673" s="4" t="s">
        <v>504</v>
      </c>
      <c r="C673" s="4" t="s">
        <v>278</v>
      </c>
      <c r="D673" s="94">
        <v>2753.0</v>
      </c>
    </row>
    <row r="674">
      <c r="A674" s="40">
        <f t="array" ref="A674">IFNA(index(PlayerValues!A:A,match(IFNA(vlookup(B674,'Special Names'!A:B,2,FALSE),B674),PlayerValues!E:E,0)),"N/A")</f>
        <v>16723</v>
      </c>
      <c r="B674" s="4" t="s">
        <v>502</v>
      </c>
      <c r="C674" s="4" t="s">
        <v>298</v>
      </c>
      <c r="D674" s="94">
        <v>3165.0</v>
      </c>
    </row>
    <row r="675">
      <c r="A675" s="40">
        <f t="array" ref="A675">IFNA(index(PlayerValues!A:A,match(IFNA(vlookup(B675,'Special Names'!A:B,2,FALSE),B675),PlayerValues!E:E,0)),"N/A")</f>
        <v>17047</v>
      </c>
      <c r="B675" s="4" t="s">
        <v>510</v>
      </c>
      <c r="C675" s="4" t="s">
        <v>278</v>
      </c>
      <c r="D675" s="94">
        <v>2750.0</v>
      </c>
    </row>
    <row r="676">
      <c r="A676" s="40">
        <f t="array" ref="A676">IFNA(index(PlayerValues!A:A,match(IFNA(vlookup(B676,'Special Names'!A:B,2,FALSE),B676),PlayerValues!E:E,0)),"N/A")</f>
        <v>15712</v>
      </c>
      <c r="B676" s="4" t="s">
        <v>488</v>
      </c>
      <c r="C676" s="4" t="s">
        <v>278</v>
      </c>
      <c r="D676" s="94">
        <v>2744.0</v>
      </c>
    </row>
    <row r="677">
      <c r="A677" s="40">
        <f t="array" ref="A677">IFNA(index(PlayerValues!A:A,match(IFNA(vlookup(B677,'Special Names'!A:B,2,FALSE),B677),PlayerValues!E:E,0)),"N/A")</f>
        <v>17072</v>
      </c>
      <c r="B677" s="4" t="s">
        <v>508</v>
      </c>
      <c r="C677" s="4" t="s">
        <v>287</v>
      </c>
      <c r="D677" s="94">
        <v>2739.0</v>
      </c>
    </row>
    <row r="678">
      <c r="A678" s="40">
        <f t="array" ref="A678">IFNA(index(PlayerValues!A:A,match(IFNA(vlookup(B678,'Special Names'!A:B,2,FALSE),B678),PlayerValues!E:E,0)),"N/A")</f>
        <v>16584</v>
      </c>
      <c r="B678" s="4" t="s">
        <v>569</v>
      </c>
      <c r="C678" s="4" t="s">
        <v>283</v>
      </c>
      <c r="D678" s="94">
        <v>2733.0</v>
      </c>
    </row>
    <row r="679">
      <c r="A679" s="40">
        <f t="array" ref="A679">IFNA(index(PlayerValues!A:A,match(IFNA(vlookup(B679,'Special Names'!A:B,2,FALSE),B679),PlayerValues!E:E,0)),"N/A")</f>
        <v>17053</v>
      </c>
      <c r="B679" s="4" t="s">
        <v>484</v>
      </c>
      <c r="C679" s="4" t="s">
        <v>278</v>
      </c>
      <c r="D679" s="94">
        <v>2726.0</v>
      </c>
    </row>
    <row r="680">
      <c r="A680" s="40">
        <f t="array" ref="A680">IFNA(index(PlayerValues!A:A,match(IFNA(vlookup(B680,'Special Names'!A:B,2,FALSE),B680),PlayerValues!E:E,0)),"N/A")</f>
        <v>17514</v>
      </c>
      <c r="B680" s="4" t="s">
        <v>422</v>
      </c>
      <c r="C680" s="4" t="s">
        <v>287</v>
      </c>
      <c r="D680" s="94">
        <v>2725.0</v>
      </c>
    </row>
    <row r="681">
      <c r="A681" s="40">
        <f t="array" ref="A681">IFNA(index(PlayerValues!A:A,match(IFNA(vlookup(B681,'Special Names'!A:B,2,FALSE),B681),PlayerValues!E:E,0)),"N/A")</f>
        <v>14138</v>
      </c>
      <c r="B681" s="4" t="s">
        <v>531</v>
      </c>
      <c r="C681" s="4" t="s">
        <v>298</v>
      </c>
      <c r="D681" s="94">
        <v>3137.0</v>
      </c>
    </row>
    <row r="682">
      <c r="A682" s="40">
        <f t="array" ref="A682">IFNA(index(PlayerValues!A:A,match(IFNA(vlookup(B682,'Special Names'!A:B,2,FALSE),B682),PlayerValues!E:E,0)),"N/A")</f>
        <v>17080</v>
      </c>
      <c r="B682" s="4" t="s">
        <v>532</v>
      </c>
      <c r="C682" s="4" t="s">
        <v>287</v>
      </c>
      <c r="D682" s="94">
        <v>2720.0</v>
      </c>
    </row>
    <row r="683">
      <c r="A683" s="40">
        <f t="array" ref="A683">IFNA(index(PlayerValues!A:A,match(IFNA(vlookup(B683,'Special Names'!A:B,2,FALSE),B683),PlayerValues!E:E,0)),"N/A")</f>
        <v>17511</v>
      </c>
      <c r="B683" s="4" t="s">
        <v>485</v>
      </c>
      <c r="C683" s="4" t="s">
        <v>287</v>
      </c>
      <c r="D683" s="94">
        <v>2718.0</v>
      </c>
    </row>
    <row r="684">
      <c r="A684" s="40">
        <f t="array" ref="A684">IFNA(index(PlayerValues!A:A,match(IFNA(vlookup(B684,'Special Names'!A:B,2,FALSE),B684),PlayerValues!E:E,0)),"N/A")</f>
        <v>17031</v>
      </c>
      <c r="B684" s="4" t="s">
        <v>535</v>
      </c>
      <c r="C684" s="4" t="s">
        <v>283</v>
      </c>
      <c r="D684" s="94">
        <v>2714.0</v>
      </c>
    </row>
    <row r="685">
      <c r="A685" s="40">
        <f t="array" ref="A685">IFNA(index(PlayerValues!A:A,match(IFNA(vlookup(B685,'Special Names'!A:B,2,FALSE),B685),PlayerValues!E:E,0)),"N/A")</f>
        <v>17507</v>
      </c>
      <c r="B685" s="4" t="s">
        <v>495</v>
      </c>
      <c r="C685" s="4" t="s">
        <v>287</v>
      </c>
      <c r="D685" s="94">
        <v>2703.0</v>
      </c>
    </row>
    <row r="686">
      <c r="A686" s="40">
        <f t="array" ref="A686">IFNA(index(PlayerValues!A:A,match(IFNA(vlookup(B686,'Special Names'!A:B,2,FALSE),B686),PlayerValues!E:E,0)),"N/A")</f>
        <v>15241</v>
      </c>
      <c r="B686" s="4" t="s">
        <v>546</v>
      </c>
      <c r="C686" s="4" t="s">
        <v>283</v>
      </c>
      <c r="D686" s="94">
        <v>2672.0</v>
      </c>
    </row>
    <row r="687">
      <c r="A687" s="40">
        <f t="array" ref="A687">IFNA(index(PlayerValues!A:A,match(IFNA(vlookup(B687,'Special Names'!A:B,2,FALSE),B687),PlayerValues!E:E,0)),"N/A")</f>
        <v>16596</v>
      </c>
      <c r="B687" s="4" t="s">
        <v>501</v>
      </c>
      <c r="C687" s="4" t="s">
        <v>278</v>
      </c>
      <c r="D687" s="94">
        <v>2670.0</v>
      </c>
    </row>
    <row r="688">
      <c r="A688" s="40">
        <f t="array" ref="A688">IFNA(index(PlayerValues!A:A,match(IFNA(vlookup(B688,'Special Names'!A:B,2,FALSE),B688),PlayerValues!E:E,0)),"N/A")</f>
        <v>17107</v>
      </c>
      <c r="B688" s="4" t="s">
        <v>478</v>
      </c>
      <c r="C688" s="4" t="s">
        <v>298</v>
      </c>
      <c r="D688" s="94">
        <v>3081.0</v>
      </c>
    </row>
    <row r="689">
      <c r="A689" s="40">
        <f t="array" ref="A689">IFNA(index(PlayerValues!A:A,match(IFNA(vlookup(B689,'Special Names'!A:B,2,FALSE),B689),PlayerValues!E:E,0)),"N/A")</f>
        <v>15972</v>
      </c>
      <c r="B689" s="4" t="s">
        <v>469</v>
      </c>
      <c r="C689" s="4" t="s">
        <v>278</v>
      </c>
      <c r="D689" s="94">
        <v>2665.0</v>
      </c>
    </row>
    <row r="690">
      <c r="A690" s="40">
        <f t="array" ref="A690">IFNA(index(PlayerValues!A:A,match(IFNA(vlookup(B690,'Special Names'!A:B,2,FALSE),B690),PlayerValues!E:E,0)),"N/A")</f>
        <v>12616</v>
      </c>
      <c r="B690" s="4" t="s">
        <v>529</v>
      </c>
      <c r="C690" s="4" t="s">
        <v>283</v>
      </c>
      <c r="D690" s="94">
        <v>2652.0</v>
      </c>
    </row>
    <row r="691">
      <c r="A691" s="40">
        <f t="array" ref="A691">IFNA(index(PlayerValues!A:A,match(IFNA(vlookup(B691,'Special Names'!A:B,2,FALSE),B691),PlayerValues!E:E,0)),"N/A")</f>
        <v>16747</v>
      </c>
      <c r="B691" s="4" t="s">
        <v>555</v>
      </c>
      <c r="C691" s="4" t="s">
        <v>278</v>
      </c>
      <c r="D691" s="94">
        <v>2651.0</v>
      </c>
    </row>
    <row r="692">
      <c r="A692" s="40">
        <f t="array" ref="A692">IFNA(index(PlayerValues!A:A,match(IFNA(vlookup(B692,'Special Names'!A:B,2,FALSE),B692),PlayerValues!E:E,0)),"N/A")</f>
        <v>17105</v>
      </c>
      <c r="B692" s="4" t="s">
        <v>525</v>
      </c>
      <c r="C692" s="4" t="s">
        <v>298</v>
      </c>
      <c r="D692" s="94">
        <v>3059.0</v>
      </c>
    </row>
    <row r="693">
      <c r="A693" s="40" t="str">
        <f t="array" ref="A693">IFNA(index(PlayerValues!A:A,match(IFNA(vlookup(B693,'Special Names'!A:B,2,FALSE),B693),PlayerValues!E:E,0)),"N/A")</f>
        <v>N/A</v>
      </c>
      <c r="B693" s="4" t="s">
        <v>98</v>
      </c>
      <c r="C693" s="4" t="s">
        <v>325</v>
      </c>
      <c r="D693" s="94">
        <v>2640.0</v>
      </c>
    </row>
    <row r="694">
      <c r="A694" s="40">
        <f t="array" ref="A694">IFNA(index(PlayerValues!A:A,match(IFNA(vlookup(B694,'Special Names'!A:B,2,FALSE),B694),PlayerValues!E:E,0)),"N/A")</f>
        <v>16174</v>
      </c>
      <c r="B694" s="4" t="s">
        <v>505</v>
      </c>
      <c r="C694" s="4" t="s">
        <v>278</v>
      </c>
      <c r="D694" s="94">
        <v>2638.0</v>
      </c>
    </row>
    <row r="695">
      <c r="A695" s="40">
        <f t="array" ref="A695">IFNA(index(PlayerValues!A:A,match(IFNA(vlookup(B695,'Special Names'!A:B,2,FALSE),B695),PlayerValues!E:E,0)),"N/A")</f>
        <v>17098</v>
      </c>
      <c r="B695" s="4" t="s">
        <v>533</v>
      </c>
      <c r="C695" s="4" t="s">
        <v>287</v>
      </c>
      <c r="D695" s="94">
        <v>2637.0</v>
      </c>
    </row>
    <row r="696">
      <c r="A696" s="40">
        <f t="array" ref="A696">IFNA(index(PlayerValues!A:A,match(IFNA(vlookup(B696,'Special Names'!A:B,2,FALSE),B696),PlayerValues!E:E,0)),"N/A")</f>
        <v>14833</v>
      </c>
      <c r="B696" s="4" t="s">
        <v>553</v>
      </c>
      <c r="C696" s="4" t="s">
        <v>287</v>
      </c>
      <c r="D696" s="94">
        <v>2608.0</v>
      </c>
    </row>
    <row r="697">
      <c r="A697" s="40">
        <f t="array" ref="A697">IFNA(index(PlayerValues!A:A,match(IFNA(vlookup(B697,'Special Names'!A:B,2,FALSE),B697),PlayerValues!E:E,0)),"N/A")</f>
        <v>14860</v>
      </c>
      <c r="B697" s="4" t="s">
        <v>554</v>
      </c>
      <c r="C697" s="4" t="s">
        <v>287</v>
      </c>
      <c r="D697" s="94">
        <v>2606.0</v>
      </c>
    </row>
    <row r="698">
      <c r="A698" s="40">
        <f t="array" ref="A698">IFNA(index(PlayerValues!A:A,match(IFNA(vlookup(B698,'Special Names'!A:B,2,FALSE),B698),PlayerValues!E:E,0)),"N/A")</f>
        <v>16165</v>
      </c>
      <c r="B698" s="4" t="s">
        <v>520</v>
      </c>
      <c r="C698" s="4" t="s">
        <v>278</v>
      </c>
      <c r="D698" s="94">
        <v>2597.0</v>
      </c>
    </row>
    <row r="699">
      <c r="A699" s="40">
        <f t="array" ref="A699">IFNA(index(PlayerValues!A:A,match(IFNA(vlookup(B699,'Special Names'!A:B,2,FALSE),B699),PlayerValues!E:E,0)),"N/A")</f>
        <v>16619</v>
      </c>
      <c r="B699" s="4" t="s">
        <v>538</v>
      </c>
      <c r="C699" s="4" t="s">
        <v>287</v>
      </c>
      <c r="D699" s="94">
        <v>2594.0</v>
      </c>
    </row>
    <row r="700">
      <c r="A700" s="40">
        <f t="array" ref="A700">IFNA(index(PlayerValues!A:A,match(IFNA(vlookup(B700,'Special Names'!A:B,2,FALSE),B700),PlayerValues!E:E,0)),"N/A")</f>
        <v>13674</v>
      </c>
      <c r="B700" s="4" t="s">
        <v>511</v>
      </c>
      <c r="C700" s="4" t="s">
        <v>298</v>
      </c>
      <c r="D700" s="94">
        <v>2998.0</v>
      </c>
    </row>
    <row r="701">
      <c r="A701" s="40">
        <f t="array" ref="A701">IFNA(index(PlayerValues!A:A,match(IFNA(vlookup(B701,'Special Names'!A:B,2,FALSE),B701),PlayerValues!E:E,0)),"N/A")</f>
        <v>17478</v>
      </c>
      <c r="B701" s="4" t="s">
        <v>527</v>
      </c>
      <c r="C701" s="4" t="s">
        <v>278</v>
      </c>
      <c r="D701" s="94">
        <v>2585.0</v>
      </c>
    </row>
    <row r="702">
      <c r="A702" s="40">
        <f t="array" ref="A702">IFNA(index(PlayerValues!A:A,match(IFNA(vlookup(B702,'Special Names'!A:B,2,FALSE),B702),PlayerValues!E:E,0)),"N/A")</f>
        <v>17474</v>
      </c>
      <c r="B702" s="4" t="s">
        <v>513</v>
      </c>
      <c r="C702" s="4" t="s">
        <v>278</v>
      </c>
      <c r="D702" s="94">
        <v>2568.0</v>
      </c>
    </row>
    <row r="703">
      <c r="A703" s="40">
        <f t="array" ref="A703">IFNA(index(PlayerValues!A:A,match(IFNA(vlookup(B703,'Special Names'!A:B,2,FALSE),B703),PlayerValues!E:E,0)),"N/A")</f>
        <v>16684</v>
      </c>
      <c r="B703" s="4" t="s">
        <v>500</v>
      </c>
      <c r="C703" s="4" t="s">
        <v>287</v>
      </c>
      <c r="D703" s="94">
        <v>2543.0</v>
      </c>
    </row>
    <row r="704">
      <c r="A704" s="40">
        <f t="array" ref="A704">IFNA(index(PlayerValues!A:A,match(IFNA(vlookup(B704,'Special Names'!A:B,2,FALSE),B704),PlayerValues!E:E,0)),"N/A")</f>
        <v>16626</v>
      </c>
      <c r="B704" s="4" t="s">
        <v>515</v>
      </c>
      <c r="C704" s="4" t="s">
        <v>287</v>
      </c>
      <c r="D704" s="94">
        <v>2542.0</v>
      </c>
    </row>
    <row r="705">
      <c r="A705" s="40">
        <f t="array" ref="A705">IFNA(index(PlayerValues!A:A,match(IFNA(vlookup(B705,'Special Names'!A:B,2,FALSE),B705),PlayerValues!E:E,0)),"N/A")</f>
        <v>16193</v>
      </c>
      <c r="B705" s="4" t="s">
        <v>487</v>
      </c>
      <c r="C705" s="4" t="s">
        <v>287</v>
      </c>
      <c r="D705" s="94">
        <v>2539.0</v>
      </c>
    </row>
    <row r="706">
      <c r="A706" s="40">
        <f t="array" ref="A706">IFNA(index(PlayerValues!A:A,match(IFNA(vlookup(B706,'Special Names'!A:B,2,FALSE),B706),PlayerValues!E:E,0)),"N/A")</f>
        <v>16204</v>
      </c>
      <c r="B706" s="4" t="s">
        <v>530</v>
      </c>
      <c r="C706" s="4" t="s">
        <v>287</v>
      </c>
      <c r="D706" s="94">
        <v>2533.0</v>
      </c>
    </row>
    <row r="707">
      <c r="A707" s="40">
        <f t="array" ref="A707">IFNA(index(PlayerValues!A:A,match(IFNA(vlookup(B707,'Special Names'!A:B,2,FALSE),B707),PlayerValues!E:E,0)),"N/A")</f>
        <v>17520</v>
      </c>
      <c r="B707" s="4" t="s">
        <v>518</v>
      </c>
      <c r="C707" s="4" t="s">
        <v>287</v>
      </c>
      <c r="D707" s="94">
        <v>2526.0</v>
      </c>
    </row>
    <row r="708">
      <c r="A708" s="40" t="str">
        <f t="array" ref="A708">IFNA(index(PlayerValues!A:A,match(IFNA(vlookup(B708,'Special Names'!A:B,2,FALSE),B708),PlayerValues!E:E,0)),"N/A")</f>
        <v>N/A</v>
      </c>
      <c r="B708" s="4" t="s">
        <v>99</v>
      </c>
      <c r="C708" s="4" t="s">
        <v>325</v>
      </c>
      <c r="D708" s="94">
        <v>2518.0</v>
      </c>
    </row>
    <row r="709">
      <c r="A709" s="40">
        <f t="array" ref="A709">IFNA(index(PlayerValues!A:A,match(IFNA(vlookup(B709,'Special Names'!A:B,2,FALSE),B709),PlayerValues!E:E,0)),"N/A")</f>
        <v>11244</v>
      </c>
      <c r="B709" s="4" t="s">
        <v>519</v>
      </c>
      <c r="C709" s="4" t="s">
        <v>298</v>
      </c>
      <c r="D709" s="94">
        <v>2907.0</v>
      </c>
    </row>
    <row r="710">
      <c r="A710" s="40">
        <f t="array" ref="A710">IFNA(index(PlayerValues!A:A,match(IFNA(vlookup(B710,'Special Names'!A:B,2,FALSE),B710),PlayerValues!E:E,0)),"N/A")</f>
        <v>16178</v>
      </c>
      <c r="B710" s="4" t="s">
        <v>507</v>
      </c>
      <c r="C710" s="4" t="s">
        <v>278</v>
      </c>
      <c r="D710" s="94">
        <v>2502.0</v>
      </c>
    </row>
    <row r="711">
      <c r="A711" s="40">
        <f t="array" ref="A711">IFNA(index(PlayerValues!A:A,match(IFNA(vlookup(B711,'Special Names'!A:B,2,FALSE),B711),PlayerValues!E:E,0)),"N/A")</f>
        <v>17078</v>
      </c>
      <c r="B711" s="4" t="s">
        <v>543</v>
      </c>
      <c r="C711" s="4" t="s">
        <v>287</v>
      </c>
      <c r="D711" s="94">
        <v>2489.0</v>
      </c>
    </row>
    <row r="712">
      <c r="A712" s="40">
        <f t="array" ref="A712">IFNA(index(PlayerValues!A:A,match(IFNA(vlookup(B712,'Special Names'!A:B,2,FALSE),B712),PlayerValues!E:E,0)),"N/A")</f>
        <v>16287</v>
      </c>
      <c r="B712" s="4" t="s">
        <v>516</v>
      </c>
      <c r="C712" s="4" t="s">
        <v>287</v>
      </c>
      <c r="D712" s="94">
        <v>2484.0</v>
      </c>
    </row>
    <row r="713">
      <c r="A713" s="40">
        <f t="array" ref="A713">IFNA(index(PlayerValues!A:A,match(IFNA(vlookup(B713,'Special Names'!A:B,2,FALSE),B713),PlayerValues!E:E,0)),"N/A")</f>
        <v>17073</v>
      </c>
      <c r="B713" s="4" t="s">
        <v>547</v>
      </c>
      <c r="C713" s="4" t="s">
        <v>287</v>
      </c>
      <c r="D713" s="94">
        <v>2483.0</v>
      </c>
    </row>
    <row r="714">
      <c r="A714" s="40">
        <f t="array" ref="A714">IFNA(index(PlayerValues!A:A,match(IFNA(vlookup(B714,'Special Names'!A:B,2,FALSE),B714),PlayerValues!E:E,0)),"N/A")</f>
        <v>17509</v>
      </c>
      <c r="B714" s="4" t="s">
        <v>551</v>
      </c>
      <c r="C714" s="4" t="s">
        <v>287</v>
      </c>
      <c r="D714" s="94">
        <v>2483.0</v>
      </c>
    </row>
    <row r="715">
      <c r="A715" s="40">
        <f t="array" ref="A715">IFNA(index(PlayerValues!A:A,match(IFNA(vlookup(B715,'Special Names'!A:B,2,FALSE),B715),PlayerValues!E:E,0)),"N/A")</f>
        <v>16164</v>
      </c>
      <c r="B715" s="4" t="s">
        <v>512</v>
      </c>
      <c r="C715" s="4" t="s">
        <v>278</v>
      </c>
      <c r="D715" s="94">
        <v>2475.0</v>
      </c>
    </row>
    <row r="716">
      <c r="A716" s="40">
        <f t="array" ref="A716">IFNA(index(PlayerValues!A:A,match(IFNA(vlookup(B716,'Special Names'!A:B,2,FALSE),B716),PlayerValues!E:E,0)),"N/A")</f>
        <v>17082</v>
      </c>
      <c r="B716" s="4" t="s">
        <v>498</v>
      </c>
      <c r="C716" s="4" t="s">
        <v>287</v>
      </c>
      <c r="D716" s="94">
        <v>2462.0</v>
      </c>
    </row>
    <row r="717">
      <c r="A717" s="40">
        <f t="array" ref="A717">IFNA(index(PlayerValues!A:A,match(IFNA(vlookup(B717,'Special Names'!A:B,2,FALSE),B717),PlayerValues!E:E,0)),"N/A")</f>
        <v>17508</v>
      </c>
      <c r="B717" s="4" t="s">
        <v>534</v>
      </c>
      <c r="C717" s="4" t="s">
        <v>287</v>
      </c>
      <c r="D717" s="94">
        <v>2445.0</v>
      </c>
    </row>
    <row r="718">
      <c r="A718" s="40">
        <f t="array" ref="A718">IFNA(index(PlayerValues!A:A,match(IFNA(vlookup(B718,'Special Names'!A:B,2,FALSE),B718),PlayerValues!E:E,0)),"N/A")</f>
        <v>15786</v>
      </c>
      <c r="B718" s="4" t="s">
        <v>521</v>
      </c>
      <c r="C718" s="4" t="s">
        <v>287</v>
      </c>
      <c r="D718" s="94">
        <v>2429.0</v>
      </c>
    </row>
    <row r="719">
      <c r="A719" s="40">
        <f t="array" ref="A719">IFNA(index(PlayerValues!A:A,match(IFNA(vlookup(B719,'Special Names'!A:B,2,FALSE),B719),PlayerValues!E:E,0)),"N/A")</f>
        <v>16617</v>
      </c>
      <c r="B719" s="4" t="s">
        <v>541</v>
      </c>
      <c r="C719" s="4" t="s">
        <v>287</v>
      </c>
      <c r="D719" s="94">
        <v>2423.0</v>
      </c>
    </row>
    <row r="720">
      <c r="A720" s="40">
        <f t="array" ref="A720">IFNA(index(PlayerValues!A:A,match(IFNA(vlookup(B720,'Special Names'!A:B,2,FALSE),B720),PlayerValues!E:E,0)),"N/A")</f>
        <v>17108</v>
      </c>
      <c r="B720" s="4" t="s">
        <v>542</v>
      </c>
      <c r="C720" s="4" t="s">
        <v>298</v>
      </c>
      <c r="D720" s="94">
        <v>2822.0</v>
      </c>
    </row>
    <row r="721">
      <c r="A721" s="40">
        <f t="array" ref="A721">IFNA(index(PlayerValues!A:A,match(IFNA(vlookup(B721,'Special Names'!A:B,2,FALSE),B721),PlayerValues!E:E,0)),"N/A")</f>
        <v>13192</v>
      </c>
      <c r="B721" s="4" t="s">
        <v>563</v>
      </c>
      <c r="C721" s="4" t="s">
        <v>298</v>
      </c>
      <c r="D721" s="94">
        <v>2820.0</v>
      </c>
    </row>
    <row r="722">
      <c r="A722" s="40">
        <f t="array" ref="A722">IFNA(index(PlayerValues!A:A,match(IFNA(vlookup(B722,'Special Names'!A:B,2,FALSE),B722),PlayerValues!E:E,0)),"N/A")</f>
        <v>17171</v>
      </c>
      <c r="B722" s="4" t="s">
        <v>561</v>
      </c>
      <c r="C722" s="4" t="s">
        <v>287</v>
      </c>
      <c r="D722" s="94">
        <v>2410.0</v>
      </c>
    </row>
    <row r="723">
      <c r="A723" s="40">
        <f t="array" ref="A723">IFNA(index(PlayerValues!A:A,match(IFNA(vlookup(B723,'Special Names'!A:B,2,FALSE),B723),PlayerValues!E:E,0)),"N/A")</f>
        <v>16195</v>
      </c>
      <c r="B723" s="4" t="s">
        <v>509</v>
      </c>
      <c r="C723" s="4" t="s">
        <v>287</v>
      </c>
      <c r="D723" s="94">
        <v>2401.0</v>
      </c>
    </row>
    <row r="724">
      <c r="A724" s="40" t="str">
        <f t="array" ref="A724">IFNA(index(PlayerValues!A:A,match(IFNA(vlookup(B724,'Special Names'!A:B,2,FALSE),B724),PlayerValues!E:E,0)),"N/A")</f>
        <v>N/A</v>
      </c>
      <c r="B724" s="4" t="s">
        <v>557</v>
      </c>
      <c r="C724" s="4" t="s">
        <v>278</v>
      </c>
      <c r="D724" s="94">
        <v>2384.0</v>
      </c>
    </row>
    <row r="725">
      <c r="A725" s="40">
        <f t="array" ref="A725">IFNA(index(PlayerValues!A:A,match(IFNA(vlookup(B725,'Special Names'!A:B,2,FALSE),B725),PlayerValues!E:E,0)),"N/A")</f>
        <v>17106</v>
      </c>
      <c r="B725" s="4" t="s">
        <v>550</v>
      </c>
      <c r="C725" s="4" t="s">
        <v>298</v>
      </c>
      <c r="D725" s="94">
        <v>2779.0</v>
      </c>
    </row>
    <row r="726">
      <c r="A726" s="40">
        <f t="array" ref="A726">IFNA(index(PlayerValues!A:A,match(IFNA(vlookup(B726,'Special Names'!A:B,2,FALSE),B726),PlayerValues!E:E,0)),"N/A")</f>
        <v>17517</v>
      </c>
      <c r="B726" s="4" t="s">
        <v>454</v>
      </c>
      <c r="C726" s="4" t="s">
        <v>287</v>
      </c>
      <c r="D726" s="94">
        <v>2378.0</v>
      </c>
    </row>
    <row r="727">
      <c r="A727" s="40">
        <f t="array" ref="A727">IFNA(index(PlayerValues!A:A,match(IFNA(vlookup(B727,'Special Names'!A:B,2,FALSE),B727),PlayerValues!E:E,0)),"N/A")</f>
        <v>17134</v>
      </c>
      <c r="B727" s="4" t="s">
        <v>548</v>
      </c>
      <c r="C727" s="4" t="s">
        <v>287</v>
      </c>
      <c r="D727" s="94">
        <v>2369.0</v>
      </c>
    </row>
    <row r="728">
      <c r="A728" s="40">
        <f t="array" ref="A728">IFNA(index(PlayerValues!A:A,match(IFNA(vlookup(B728,'Special Names'!A:B,2,FALSE),B728),PlayerValues!E:E,0)),"N/A")</f>
        <v>17048</v>
      </c>
      <c r="B728" s="4" t="s">
        <v>539</v>
      </c>
      <c r="C728" s="4" t="s">
        <v>278</v>
      </c>
      <c r="D728" s="94">
        <v>2359.0</v>
      </c>
    </row>
    <row r="729">
      <c r="A729" s="40">
        <f t="array" ref="A729">IFNA(index(PlayerValues!A:A,match(IFNA(vlookup(B729,'Special Names'!A:B,2,FALSE),B729),PlayerValues!E:E,0)),"N/A")</f>
        <v>17547</v>
      </c>
      <c r="B729" s="4" t="s">
        <v>552</v>
      </c>
      <c r="C729" s="4" t="s">
        <v>298</v>
      </c>
      <c r="D729" s="94">
        <v>2751.0</v>
      </c>
    </row>
    <row r="730">
      <c r="A730" s="40">
        <f t="array" ref="A730">IFNA(index(PlayerValues!A:A,match(IFNA(vlookup(B730,'Special Names'!A:B,2,FALSE),B730),PlayerValues!E:E,0)),"N/A")</f>
        <v>15716</v>
      </c>
      <c r="B730" s="4" t="s">
        <v>545</v>
      </c>
      <c r="C730" s="4" t="s">
        <v>278</v>
      </c>
      <c r="D730" s="94">
        <v>2344.0</v>
      </c>
    </row>
    <row r="731">
      <c r="A731" s="40">
        <f t="array" ref="A731">IFNA(index(PlayerValues!A:A,match(IFNA(vlookup(B731,'Special Names'!A:B,2,FALSE),B731),PlayerValues!E:E,0)),"N/A")</f>
        <v>15749</v>
      </c>
      <c r="B731" s="4" t="s">
        <v>574</v>
      </c>
      <c r="C731" s="4" t="s">
        <v>278</v>
      </c>
      <c r="D731" s="94">
        <v>2329.0</v>
      </c>
    </row>
    <row r="732">
      <c r="A732" s="40">
        <f t="array" ref="A732">IFNA(index(PlayerValues!A:A,match(IFNA(vlookup(B732,'Special Names'!A:B,2,FALSE),B732),PlayerValues!E:E,0)),"N/A")</f>
        <v>14861</v>
      </c>
      <c r="B732" s="4" t="s">
        <v>523</v>
      </c>
      <c r="C732" s="4" t="s">
        <v>298</v>
      </c>
      <c r="D732" s="94">
        <v>2715.0</v>
      </c>
    </row>
    <row r="733">
      <c r="A733" s="40">
        <f t="array" ref="A733">IFNA(index(PlayerValues!A:A,match(IFNA(vlookup(B733,'Special Names'!A:B,2,FALSE),B733),PlayerValues!E:E,0)),"N/A")</f>
        <v>15802</v>
      </c>
      <c r="B733" s="4" t="s">
        <v>566</v>
      </c>
      <c r="C733" s="4" t="s">
        <v>298</v>
      </c>
      <c r="D733" s="94">
        <v>2711.0</v>
      </c>
    </row>
    <row r="734">
      <c r="A734" s="40">
        <f t="array" ref="A734">IFNA(index(PlayerValues!A:A,match(IFNA(vlookup(B734,'Special Names'!A:B,2,FALSE),B734),PlayerValues!E:E,0)),"N/A")</f>
        <v>13319</v>
      </c>
      <c r="B734" s="4" t="s">
        <v>549</v>
      </c>
      <c r="C734" s="4" t="s">
        <v>278</v>
      </c>
      <c r="D734" s="94">
        <v>2290.0</v>
      </c>
    </row>
    <row r="735">
      <c r="A735" s="40">
        <f t="array" ref="A735">IFNA(index(PlayerValues!A:A,match(IFNA(vlookup(B735,'Special Names'!A:B,2,FALSE),B735),PlayerValues!E:E,0)),"N/A")</f>
        <v>17482</v>
      </c>
      <c r="B735" s="4" t="s">
        <v>460</v>
      </c>
      <c r="C735" s="4" t="s">
        <v>278</v>
      </c>
      <c r="D735" s="94">
        <v>2284.0</v>
      </c>
    </row>
    <row r="736">
      <c r="A736" s="40">
        <f t="array" ref="A736">IFNA(index(PlayerValues!A:A,match(IFNA(vlookup(B736,'Special Names'!A:B,2,FALSE),B736),PlayerValues!E:E,0)),"N/A")</f>
        <v>16166</v>
      </c>
      <c r="B736" s="4" t="s">
        <v>567</v>
      </c>
      <c r="C736" s="4" t="s">
        <v>278</v>
      </c>
      <c r="D736" s="94">
        <v>2278.0</v>
      </c>
    </row>
    <row r="737">
      <c r="A737" s="40" t="str">
        <f t="array" ref="A737">IFNA(index(PlayerValues!A:A,match(IFNA(vlookup(B737,'Special Names'!A:B,2,FALSE),B737),PlayerValues!E:E,0)),"N/A")</f>
        <v>N/A</v>
      </c>
      <c r="B737" s="4" t="s">
        <v>86</v>
      </c>
      <c r="C737" s="4" t="s">
        <v>325</v>
      </c>
      <c r="D737" s="94">
        <v>2278.0</v>
      </c>
    </row>
    <row r="738">
      <c r="A738" s="40">
        <f t="array" ref="A738">IFNA(index(PlayerValues!A:A,match(IFNA(vlookup(B738,'Special Names'!A:B,2,FALSE),B738),PlayerValues!E:E,0)),"N/A")</f>
        <v>11150</v>
      </c>
      <c r="B738" s="4" t="s">
        <v>559</v>
      </c>
      <c r="C738" s="4" t="s">
        <v>283</v>
      </c>
      <c r="D738" s="94">
        <v>2264.0</v>
      </c>
    </row>
    <row r="739">
      <c r="A739" s="40">
        <f t="array" ref="A739">IFNA(index(PlayerValues!A:A,match(IFNA(vlookup(B739,'Special Names'!A:B,2,FALSE),B739),PlayerValues!E:E,0)),"N/A")</f>
        <v>16036</v>
      </c>
      <c r="B739" s="4" t="s">
        <v>592</v>
      </c>
      <c r="C739" s="4" t="s">
        <v>298</v>
      </c>
      <c r="D739" s="94">
        <v>2653.0</v>
      </c>
    </row>
    <row r="740">
      <c r="A740" s="40">
        <f t="array" ref="A740">IFNA(index(PlayerValues!A:A,match(IFNA(vlookup(B740,'Special Names'!A:B,2,FALSE),B740),PlayerValues!E:E,0)),"N/A")</f>
        <v>16594</v>
      </c>
      <c r="B740" s="4" t="s">
        <v>607</v>
      </c>
      <c r="C740" s="4" t="s">
        <v>278</v>
      </c>
      <c r="D740" s="94">
        <v>2248.0</v>
      </c>
    </row>
    <row r="741">
      <c r="A741" s="40" t="str">
        <f t="array" ref="A741">IFNA(index(PlayerValues!A:A,match(IFNA(vlookup(B741,'Special Names'!A:B,2,FALSE),B741),PlayerValues!E:E,0)),"N/A")</f>
        <v>N/A</v>
      </c>
      <c r="B741" s="4" t="s">
        <v>100</v>
      </c>
      <c r="C741" s="4" t="s">
        <v>325</v>
      </c>
      <c r="D741" s="94">
        <v>2241.0</v>
      </c>
    </row>
    <row r="742">
      <c r="A742" s="40">
        <f t="array" ref="A742">IFNA(index(PlayerValues!A:A,match(IFNA(vlookup(B742,'Special Names'!A:B,2,FALSE),B742),PlayerValues!E:E,0)),"N/A")</f>
        <v>17033</v>
      </c>
      <c r="B742" s="4" t="s">
        <v>570</v>
      </c>
      <c r="C742" s="4" t="s">
        <v>283</v>
      </c>
      <c r="D742" s="94">
        <v>2237.0</v>
      </c>
    </row>
    <row r="743">
      <c r="A743" s="40">
        <f t="array" ref="A743">IFNA(index(PlayerValues!A:A,match(IFNA(vlookup(B743,'Special Names'!A:B,2,FALSE),B743),PlayerValues!E:E,0)),"N/A")</f>
        <v>12676</v>
      </c>
      <c r="B743" s="4" t="s">
        <v>537</v>
      </c>
      <c r="C743" s="4" t="s">
        <v>298</v>
      </c>
      <c r="D743" s="94">
        <v>2627.0</v>
      </c>
    </row>
    <row r="744">
      <c r="A744" s="40" t="str">
        <f t="array" ref="A744">IFNA(index(PlayerValues!A:A,match(IFNA(vlookup(B744,'Special Names'!A:B,2,FALSE),B744),PlayerValues!E:E,0)),"N/A")</f>
        <v>N/A</v>
      </c>
      <c r="B744" s="4" t="s">
        <v>112</v>
      </c>
      <c r="C744" s="4" t="s">
        <v>325</v>
      </c>
      <c r="D744" s="94">
        <v>2211.0</v>
      </c>
    </row>
    <row r="745">
      <c r="A745" s="40">
        <f t="array" ref="A745">IFNA(index(PlayerValues!A:A,match(IFNA(vlookup(B745,'Special Names'!A:B,2,FALSE),B745),PlayerValues!E:E,0)),"N/A")</f>
        <v>16152</v>
      </c>
      <c r="B745" s="4" t="s">
        <v>601</v>
      </c>
      <c r="C745" s="4" t="s">
        <v>283</v>
      </c>
      <c r="D745" s="94">
        <v>2204.0</v>
      </c>
    </row>
    <row r="746">
      <c r="A746" s="40">
        <f t="array" ref="A746">IFNA(index(PlayerValues!A:A,match(IFNA(vlookup(B746,'Special Names'!A:B,2,FALSE),B746),PlayerValues!E:E,0)),"N/A")</f>
        <v>16649</v>
      </c>
      <c r="B746" s="4" t="s">
        <v>586</v>
      </c>
      <c r="C746" s="4" t="s">
        <v>298</v>
      </c>
      <c r="D746" s="94">
        <v>2591.0</v>
      </c>
    </row>
    <row r="747">
      <c r="A747" s="40">
        <f t="array" ref="A747">IFNA(index(PlayerValues!A:A,match(IFNA(vlookup(B747,'Special Names'!A:B,2,FALSE),B747),PlayerValues!E:E,0)),"N/A")</f>
        <v>17466</v>
      </c>
      <c r="B747" s="4" t="s">
        <v>492</v>
      </c>
      <c r="C747" s="4" t="s">
        <v>283</v>
      </c>
      <c r="D747" s="94">
        <v>2195.0</v>
      </c>
    </row>
    <row r="748">
      <c r="A748" s="40">
        <f t="array" ref="A748">IFNA(index(PlayerValues!A:A,match(IFNA(vlookup(B748,'Special Names'!A:B,2,FALSE),B748),PlayerValues!E:E,0)),"N/A")</f>
        <v>16212</v>
      </c>
      <c r="B748" s="4" t="s">
        <v>568</v>
      </c>
      <c r="C748" s="4" t="s">
        <v>298</v>
      </c>
      <c r="D748" s="94">
        <v>2584.0</v>
      </c>
    </row>
    <row r="749">
      <c r="A749" s="40">
        <f t="array" ref="A749">IFNA(index(PlayerValues!A:A,match(IFNA(vlookup(B749,'Special Names'!A:B,2,FALSE),B749),PlayerValues!E:E,0)),"N/A")</f>
        <v>15331</v>
      </c>
      <c r="B749" s="4" t="s">
        <v>560</v>
      </c>
      <c r="C749" s="4" t="s">
        <v>298</v>
      </c>
      <c r="D749" s="94">
        <v>2582.0</v>
      </c>
    </row>
    <row r="750">
      <c r="A750" s="40">
        <f t="array" ref="A750">IFNA(index(PlayerValues!A:A,match(IFNA(vlookup(B750,'Special Names'!A:B,2,FALSE),B750),PlayerValues!E:E,0)),"N/A")</f>
        <v>16610</v>
      </c>
      <c r="B750" s="4" t="s">
        <v>562</v>
      </c>
      <c r="C750" s="4" t="s">
        <v>278</v>
      </c>
      <c r="D750" s="94">
        <v>2185.0</v>
      </c>
    </row>
    <row r="751">
      <c r="A751" s="40">
        <f t="array" ref="A751">IFNA(index(PlayerValues!A:A,match(IFNA(vlookup(B751,'Special Names'!A:B,2,FALSE),B751),PlayerValues!E:E,0)),"N/A")</f>
        <v>13772</v>
      </c>
      <c r="B751" s="4" t="s">
        <v>544</v>
      </c>
      <c r="C751" s="4" t="s">
        <v>298</v>
      </c>
      <c r="D751" s="94">
        <v>2567.0</v>
      </c>
    </row>
    <row r="752">
      <c r="A752" s="40">
        <f t="array" ref="A752">IFNA(index(PlayerValues!A:A,match(IFNA(vlookup(B752,'Special Names'!A:B,2,FALSE),B752),PlayerValues!E:E,0)),"N/A")</f>
        <v>13113</v>
      </c>
      <c r="B752" s="4" t="s">
        <v>606</v>
      </c>
      <c r="C752" s="4" t="s">
        <v>283</v>
      </c>
      <c r="D752" s="94">
        <v>2165.0</v>
      </c>
    </row>
    <row r="753">
      <c r="A753" s="40">
        <f t="array" ref="A753">IFNA(index(PlayerValues!A:A,match(IFNA(vlookup(B753,'Special Names'!A:B,2,FALSE),B753),PlayerValues!E:E,0)),"N/A")</f>
        <v>14840</v>
      </c>
      <c r="B753" s="4" t="s">
        <v>731</v>
      </c>
      <c r="C753" s="4" t="s">
        <v>287</v>
      </c>
      <c r="D753" s="94">
        <v>2163.0</v>
      </c>
    </row>
    <row r="754">
      <c r="A754" s="40" t="str">
        <f t="array" ref="A754">IFNA(index(PlayerValues!A:A,match(IFNA(vlookup(B754,'Special Names'!A:B,2,FALSE),B754),PlayerValues!E:E,0)),"N/A")</f>
        <v>N/A</v>
      </c>
      <c r="B754" s="4" t="s">
        <v>87</v>
      </c>
      <c r="C754" s="4" t="s">
        <v>325</v>
      </c>
      <c r="D754" s="94">
        <v>2160.0</v>
      </c>
    </row>
    <row r="755">
      <c r="A755" s="40">
        <f t="array" ref="A755">IFNA(index(PlayerValues!A:A,match(IFNA(vlookup(B755,'Special Names'!A:B,2,FALSE),B755),PlayerValues!E:E,0)),"N/A")</f>
        <v>16604</v>
      </c>
      <c r="B755" s="4" t="s">
        <v>476</v>
      </c>
      <c r="C755" s="4" t="s">
        <v>278</v>
      </c>
      <c r="D755" s="94">
        <v>2155.0</v>
      </c>
    </row>
    <row r="756">
      <c r="A756" s="40">
        <f t="array" ref="A756">IFNA(index(PlayerValues!A:A,match(IFNA(vlookup(B756,'Special Names'!A:B,2,FALSE),B756),PlayerValues!E:E,0)),"N/A")</f>
        <v>16757</v>
      </c>
      <c r="B756" s="4" t="s">
        <v>558</v>
      </c>
      <c r="C756" s="4" t="s">
        <v>278</v>
      </c>
      <c r="D756" s="94">
        <v>2148.0</v>
      </c>
    </row>
    <row r="757">
      <c r="A757" s="40">
        <f t="array" ref="A757">IFNA(index(PlayerValues!A:A,match(IFNA(vlookup(B757,'Special Names'!A:B,2,FALSE),B757),PlayerValues!E:E,0)),"N/A")</f>
        <v>12186</v>
      </c>
      <c r="B757" s="4" t="s">
        <v>497</v>
      </c>
      <c r="C757" s="4" t="s">
        <v>287</v>
      </c>
      <c r="D757" s="94">
        <v>2145.0</v>
      </c>
    </row>
    <row r="758">
      <c r="A758" s="40">
        <f t="array" ref="A758">IFNA(index(PlayerValues!A:A,match(IFNA(vlookup(B758,'Special Names'!A:B,2,FALSE),B758),PlayerValues!E:E,0)),"N/A")</f>
        <v>17055</v>
      </c>
      <c r="B758" s="4" t="s">
        <v>565</v>
      </c>
      <c r="C758" s="4" t="s">
        <v>278</v>
      </c>
      <c r="D758" s="94">
        <v>2129.0</v>
      </c>
    </row>
    <row r="759">
      <c r="A759" s="40" t="str">
        <f t="array" ref="A759">IFNA(index(PlayerValues!A:A,match(IFNA(vlookup(B759,'Special Names'!A:B,2,FALSE),B759),PlayerValues!E:E,0)),"N/A")</f>
        <v>N/A</v>
      </c>
      <c r="B759" s="4" t="s">
        <v>88</v>
      </c>
      <c r="C759" s="4" t="s">
        <v>325</v>
      </c>
      <c r="D759" s="94">
        <v>2124.0</v>
      </c>
    </row>
    <row r="760">
      <c r="A760" s="40">
        <f t="array" ref="A760">IFNA(index(PlayerValues!A:A,match(IFNA(vlookup(B760,'Special Names'!A:B,2,FALSE),B760),PlayerValues!E:E,0)),"N/A")</f>
        <v>16189</v>
      </c>
      <c r="B760" s="4" t="s">
        <v>582</v>
      </c>
      <c r="C760" s="4" t="s">
        <v>287</v>
      </c>
      <c r="D760" s="94">
        <v>2116.0</v>
      </c>
    </row>
    <row r="761">
      <c r="A761" s="40">
        <f t="array" ref="A761">IFNA(index(PlayerValues!A:A,match(IFNA(vlookup(B761,'Special Names'!A:B,2,FALSE),B761),PlayerValues!E:E,0)),"N/A")</f>
        <v>17079</v>
      </c>
      <c r="B761" s="4" t="s">
        <v>572</v>
      </c>
      <c r="C761" s="4" t="s">
        <v>287</v>
      </c>
      <c r="D761" s="94">
        <v>2092.0</v>
      </c>
    </row>
    <row r="762">
      <c r="A762" s="40" t="str">
        <f t="array" ref="A762">IFNA(index(PlayerValues!A:A,match(IFNA(vlookup(B762,'Special Names'!A:B,2,FALSE),B762),PlayerValues!E:E,0)),"N/A")</f>
        <v>N/A</v>
      </c>
      <c r="B762" s="4" t="s">
        <v>113</v>
      </c>
      <c r="C762" s="4" t="s">
        <v>325</v>
      </c>
      <c r="D762" s="94">
        <v>2090.0</v>
      </c>
    </row>
    <row r="763">
      <c r="A763" s="40">
        <f t="array" ref="A763">IFNA(index(PlayerValues!A:A,match(IFNA(vlookup(B763,'Special Names'!A:B,2,FALSE),B763),PlayerValues!E:E,0)),"N/A")</f>
        <v>17060</v>
      </c>
      <c r="B763" s="4" t="s">
        <v>603</v>
      </c>
      <c r="C763" s="4" t="s">
        <v>278</v>
      </c>
      <c r="D763" s="94">
        <v>2066.0</v>
      </c>
    </row>
    <row r="764">
      <c r="A764" s="40">
        <f t="array" ref="A764">IFNA(index(PlayerValues!A:A,match(IFNA(vlookup(B764,'Special Names'!A:B,2,FALSE),B764),PlayerValues!E:E,0)),"N/A")</f>
        <v>17069</v>
      </c>
      <c r="B764" s="4" t="s">
        <v>604</v>
      </c>
      <c r="C764" s="4" t="s">
        <v>278</v>
      </c>
      <c r="D764" s="94">
        <v>2066.0</v>
      </c>
    </row>
    <row r="765">
      <c r="A765" s="40">
        <f t="array" ref="A765">IFNA(index(PlayerValues!A:A,match(IFNA(vlookup(B765,'Special Names'!A:B,2,FALSE),B765),PlayerValues!E:E,0)),"N/A")</f>
        <v>15238</v>
      </c>
      <c r="B765" s="4" t="s">
        <v>613</v>
      </c>
      <c r="C765" s="4" t="s">
        <v>283</v>
      </c>
      <c r="D765" s="94">
        <v>2055.0</v>
      </c>
    </row>
    <row r="766">
      <c r="A766" s="40">
        <f t="array" ref="A766">IFNA(index(PlayerValues!A:A,match(IFNA(vlookup(B766,'Special Names'!A:B,2,FALSE),B766),PlayerValues!E:E,0)),"N/A")</f>
        <v>15293</v>
      </c>
      <c r="B766" s="4" t="s">
        <v>578</v>
      </c>
      <c r="C766" s="4" t="s">
        <v>287</v>
      </c>
      <c r="D766" s="94">
        <v>2052.0</v>
      </c>
    </row>
    <row r="767">
      <c r="A767" s="40">
        <f t="array" ref="A767">IFNA(index(PlayerValues!A:A,match(IFNA(vlookup(B767,'Special Names'!A:B,2,FALSE),B767),PlayerValues!E:E,0)),"N/A")</f>
        <v>17061</v>
      </c>
      <c r="B767" s="4" t="s">
        <v>580</v>
      </c>
      <c r="C767" s="4" t="s">
        <v>278</v>
      </c>
      <c r="D767" s="94">
        <v>2049.0</v>
      </c>
    </row>
    <row r="768">
      <c r="A768" s="40">
        <f t="array" ref="A768">IFNA(index(PlayerValues!A:A,match(IFNA(vlookup(B768,'Special Names'!A:B,2,FALSE),B768),PlayerValues!E:E,0)),"N/A")</f>
        <v>13132</v>
      </c>
      <c r="B768" s="4" t="s">
        <v>598</v>
      </c>
      <c r="C768" s="4" t="s">
        <v>278</v>
      </c>
      <c r="D768" s="94">
        <v>2045.0</v>
      </c>
    </row>
    <row r="769">
      <c r="A769" s="40">
        <f t="array" ref="A769">IFNA(index(PlayerValues!A:A,match(IFNA(vlookup(B769,'Special Names'!A:B,2,FALSE),B769),PlayerValues!E:E,0)),"N/A")</f>
        <v>17056</v>
      </c>
      <c r="B769" s="4" t="s">
        <v>581</v>
      </c>
      <c r="C769" s="4" t="s">
        <v>278</v>
      </c>
      <c r="D769" s="94">
        <v>2034.0</v>
      </c>
    </row>
    <row r="770">
      <c r="A770" s="40">
        <f t="array" ref="A770">IFNA(index(PlayerValues!A:A,match(IFNA(vlookup(B770,'Special Names'!A:B,2,FALSE),B770),PlayerValues!E:E,0)),"N/A")</f>
        <v>17046</v>
      </c>
      <c r="B770" s="4" t="s">
        <v>602</v>
      </c>
      <c r="C770" s="4" t="s">
        <v>278</v>
      </c>
      <c r="D770" s="94">
        <v>2032.0</v>
      </c>
    </row>
    <row r="771">
      <c r="A771" s="40">
        <f t="array" ref="A771">IFNA(index(PlayerValues!A:A,match(IFNA(vlookup(B771,'Special Names'!A:B,2,FALSE),B771),PlayerValues!E:E,0)),"N/A")</f>
        <v>17184</v>
      </c>
      <c r="B771" s="4" t="s">
        <v>588</v>
      </c>
      <c r="C771" s="4" t="s">
        <v>287</v>
      </c>
      <c r="D771" s="94">
        <v>2032.0</v>
      </c>
    </row>
    <row r="772">
      <c r="A772" s="40">
        <f t="array" ref="A772">IFNA(index(PlayerValues!A:A,match(IFNA(vlookup(B772,'Special Names'!A:B,2,FALSE),B772),PlayerValues!E:E,0)),"N/A")</f>
        <v>16432</v>
      </c>
      <c r="B772" s="4" t="s">
        <v>620</v>
      </c>
      <c r="C772" s="4" t="s">
        <v>278</v>
      </c>
      <c r="D772" s="94">
        <v>2029.0</v>
      </c>
    </row>
    <row r="773">
      <c r="A773" s="40">
        <f t="array" ref="A773">IFNA(index(PlayerValues!A:A,match(IFNA(vlookup(B773,'Special Names'!A:B,2,FALSE),B773),PlayerValues!E:E,0)),"N/A")</f>
        <v>14974</v>
      </c>
      <c r="B773" s="4" t="s">
        <v>611</v>
      </c>
      <c r="C773" s="4" t="s">
        <v>287</v>
      </c>
      <c r="D773" s="94">
        <v>2024.0</v>
      </c>
    </row>
    <row r="774">
      <c r="A774" s="40">
        <f t="array" ref="A774">IFNA(index(PlayerValues!A:A,match(IFNA(vlookup(B774,'Special Names'!A:B,2,FALSE),B774),PlayerValues!E:E,0)),"N/A")</f>
        <v>16643</v>
      </c>
      <c r="B774" s="4" t="s">
        <v>609</v>
      </c>
      <c r="C774" s="4" t="s">
        <v>298</v>
      </c>
      <c r="D774" s="94">
        <v>2409.0</v>
      </c>
    </row>
    <row r="775">
      <c r="A775" s="40" t="str">
        <f t="array" ref="A775">IFNA(index(PlayerValues!A:A,match(IFNA(vlookup(B775,'Special Names'!A:B,2,FALSE),B775),PlayerValues!E:E,0)),"N/A")</f>
        <v>N/A</v>
      </c>
      <c r="B775" s="4" t="s">
        <v>114</v>
      </c>
      <c r="C775" s="4" t="s">
        <v>325</v>
      </c>
      <c r="D775" s="94">
        <v>2008.0</v>
      </c>
    </row>
    <row r="776">
      <c r="A776" s="40">
        <f t="array" ref="A776">IFNA(index(PlayerValues!A:A,match(IFNA(vlookup(B776,'Special Names'!A:B,2,FALSE),B776),PlayerValues!E:E,0)),"N/A")</f>
        <v>15797</v>
      </c>
      <c r="B776" s="4" t="s">
        <v>556</v>
      </c>
      <c r="C776" s="4" t="s">
        <v>298</v>
      </c>
      <c r="D776" s="94">
        <v>2391.0</v>
      </c>
    </row>
    <row r="777">
      <c r="A777" s="40">
        <f t="array" ref="A777">IFNA(index(PlayerValues!A:A,match(IFNA(vlookup(B777,'Special Names'!A:B,2,FALSE),B777),PlayerValues!E:E,0)),"N/A")</f>
        <v>14136</v>
      </c>
      <c r="B777" s="4" t="s">
        <v>536</v>
      </c>
      <c r="C777" s="4" t="s">
        <v>287</v>
      </c>
      <c r="D777" s="94">
        <v>1992.0</v>
      </c>
    </row>
    <row r="778">
      <c r="A778" s="40">
        <f t="array" ref="A778">IFNA(index(PlayerValues!A:A,match(IFNA(vlookup(B778,'Special Names'!A:B,2,FALSE),B778),PlayerValues!E:E,0)),"N/A")</f>
        <v>14867</v>
      </c>
      <c r="B778" s="4" t="s">
        <v>591</v>
      </c>
      <c r="C778" s="4" t="s">
        <v>298</v>
      </c>
      <c r="D778" s="94">
        <v>2369.0</v>
      </c>
    </row>
    <row r="779">
      <c r="A779" s="40">
        <f t="array" ref="A779">IFNA(index(PlayerValues!A:A,match(IFNA(vlookup(B779,'Special Names'!A:B,2,FALSE),B779),PlayerValues!E:E,0)),"N/A")</f>
        <v>7836</v>
      </c>
      <c r="B779" s="4" t="s">
        <v>590</v>
      </c>
      <c r="C779" s="4" t="s">
        <v>283</v>
      </c>
      <c r="D779" s="94">
        <v>1981.0</v>
      </c>
    </row>
    <row r="780">
      <c r="A780" s="40">
        <f t="array" ref="A780">IFNA(index(PlayerValues!A:A,match(IFNA(vlookup(B780,'Special Names'!A:B,2,FALSE),B780),PlayerValues!E:E,0)),"N/A")</f>
        <v>17076</v>
      </c>
      <c r="B780" s="4" t="s">
        <v>585</v>
      </c>
      <c r="C780" s="4" t="s">
        <v>287</v>
      </c>
      <c r="D780" s="94">
        <v>1981.0</v>
      </c>
    </row>
    <row r="781">
      <c r="A781" s="40">
        <f t="array" ref="A781">IFNA(index(PlayerValues!A:A,match(IFNA(vlookup(B781,'Special Names'!A:B,2,FALSE),B781),PlayerValues!E:E,0)),"N/A")</f>
        <v>16603</v>
      </c>
      <c r="B781" s="4" t="s">
        <v>587</v>
      </c>
      <c r="C781" s="4" t="s">
        <v>278</v>
      </c>
      <c r="D781" s="94">
        <v>1971.0</v>
      </c>
    </row>
    <row r="782">
      <c r="A782" s="40">
        <f t="array" ref="A782">IFNA(index(PlayerValues!A:A,match(IFNA(vlookup(B782,'Special Names'!A:B,2,FALSE),B782),PlayerValues!E:E,0)),"N/A")</f>
        <v>17036</v>
      </c>
      <c r="B782" s="4" t="s">
        <v>617</v>
      </c>
      <c r="C782" s="4" t="s">
        <v>283</v>
      </c>
      <c r="D782" s="94">
        <v>1946.0</v>
      </c>
    </row>
    <row r="783">
      <c r="A783" s="40">
        <f t="array" ref="A783">IFNA(index(PlayerValues!A:A,match(IFNA(vlookup(B783,'Special Names'!A:B,2,FALSE),B783),PlayerValues!E:E,0)),"N/A")</f>
        <v>16342</v>
      </c>
      <c r="B783" s="4" t="s">
        <v>583</v>
      </c>
      <c r="C783" s="4" t="s">
        <v>287</v>
      </c>
      <c r="D783" s="94">
        <v>1945.0</v>
      </c>
    </row>
    <row r="784">
      <c r="A784" s="40">
        <f t="array" ref="A784">IFNA(index(PlayerValues!A:A,match(IFNA(vlookup(B784,'Special Names'!A:B,2,FALSE),B784),PlayerValues!E:E,0)),"N/A")</f>
        <v>13633</v>
      </c>
      <c r="B784" s="4" t="s">
        <v>625</v>
      </c>
      <c r="C784" s="4" t="s">
        <v>287</v>
      </c>
      <c r="D784" s="94">
        <v>1940.0</v>
      </c>
    </row>
    <row r="785">
      <c r="A785" s="40">
        <f t="array" ref="A785">IFNA(index(PlayerValues!A:A,match(IFNA(vlookup(B785,'Special Names'!A:B,2,FALSE),B785),PlayerValues!E:E,0)),"N/A")</f>
        <v>17087</v>
      </c>
      <c r="B785" s="4" t="s">
        <v>600</v>
      </c>
      <c r="C785" s="4" t="s">
        <v>287</v>
      </c>
      <c r="D785" s="94">
        <v>1927.0</v>
      </c>
    </row>
    <row r="786">
      <c r="A786" s="40">
        <f t="array" ref="A786">IFNA(index(PlayerValues!A:A,match(IFNA(vlookup(B786,'Special Names'!A:B,2,FALSE),B786),PlayerValues!E:E,0)),"N/A")</f>
        <v>17528</v>
      </c>
      <c r="B786" s="4" t="s">
        <v>579</v>
      </c>
      <c r="C786" s="4" t="s">
        <v>287</v>
      </c>
      <c r="D786" s="94">
        <v>1917.0</v>
      </c>
    </row>
    <row r="787">
      <c r="A787" s="40">
        <f t="array" ref="A787">IFNA(index(PlayerValues!A:A,match(IFNA(vlookup(B787,'Special Names'!A:B,2,FALSE),B787),PlayerValues!E:E,0)),"N/A")</f>
        <v>17481</v>
      </c>
      <c r="B787" s="4" t="s">
        <v>540</v>
      </c>
      <c r="C787" s="4" t="s">
        <v>278</v>
      </c>
      <c r="D787" s="94">
        <v>1910.0</v>
      </c>
    </row>
    <row r="788">
      <c r="A788" s="40">
        <f t="array" ref="A788">IFNA(index(PlayerValues!A:A,match(IFNA(vlookup(B788,'Special Names'!A:B,2,FALSE),B788),PlayerValues!E:E,0)),"N/A")</f>
        <v>16639</v>
      </c>
      <c r="B788" s="4" t="s">
        <v>599</v>
      </c>
      <c r="C788" s="4" t="s">
        <v>287</v>
      </c>
      <c r="D788" s="94">
        <v>1908.0</v>
      </c>
    </row>
    <row r="789">
      <c r="A789" s="40">
        <f t="array" ref="A789">IFNA(index(PlayerValues!A:A,match(IFNA(vlookup(B789,'Special Names'!A:B,2,FALSE),B789),PlayerValues!E:E,0)),"N/A")</f>
        <v>10700</v>
      </c>
      <c r="B789" s="4" t="s">
        <v>596</v>
      </c>
      <c r="C789" s="4" t="s">
        <v>283</v>
      </c>
      <c r="D789" s="94">
        <v>1900.0</v>
      </c>
    </row>
    <row r="790">
      <c r="A790" s="40">
        <f t="array" ref="A790">IFNA(index(PlayerValues!A:A,match(IFNA(vlookup(B790,'Special Names'!A:B,2,FALSE),B790),PlayerValues!E:E,0)),"N/A")</f>
        <v>16216</v>
      </c>
      <c r="B790" s="4" t="s">
        <v>595</v>
      </c>
      <c r="C790" s="4" t="s">
        <v>298</v>
      </c>
      <c r="D790" s="94">
        <v>2285.0</v>
      </c>
    </row>
    <row r="791">
      <c r="A791" s="40">
        <f t="array" ref="A791">IFNA(index(PlayerValues!A:A,match(IFNA(vlookup(B791,'Special Names'!A:B,2,FALSE),B791),PlayerValues!E:E,0)),"N/A")</f>
        <v>12801</v>
      </c>
      <c r="B791" s="4" t="s">
        <v>722</v>
      </c>
      <c r="C791" s="4" t="s">
        <v>287</v>
      </c>
      <c r="D791" s="94">
        <v>1871.0</v>
      </c>
    </row>
    <row r="792">
      <c r="A792" s="40">
        <f t="array" ref="A792">IFNA(index(PlayerValues!A:A,match(IFNA(vlookup(B792,'Special Names'!A:B,2,FALSE),B792),PlayerValues!E:E,0)),"N/A")</f>
        <v>13629</v>
      </c>
      <c r="B792" s="4" t="s">
        <v>619</v>
      </c>
      <c r="C792" s="4" t="s">
        <v>287</v>
      </c>
      <c r="D792" s="94">
        <v>1871.0</v>
      </c>
    </row>
    <row r="793">
      <c r="A793" s="40">
        <f t="array" ref="A793">IFNA(index(PlayerValues!A:A,match(IFNA(vlookup(B793,'Special Names'!A:B,2,FALSE),B793),PlayerValues!E:E,0)),"N/A")</f>
        <v>17468</v>
      </c>
      <c r="B793" s="4" t="s">
        <v>514</v>
      </c>
      <c r="C793" s="4" t="s">
        <v>283</v>
      </c>
      <c r="D793" s="94">
        <v>1868.0</v>
      </c>
    </row>
    <row r="794">
      <c r="A794" s="40">
        <f t="array" ref="A794">IFNA(index(PlayerValues!A:A,match(IFNA(vlookup(B794,'Special Names'!A:B,2,FALSE),B794),PlayerValues!E:E,0)),"N/A")</f>
        <v>14871</v>
      </c>
      <c r="B794" s="4" t="s">
        <v>584</v>
      </c>
      <c r="C794" s="4" t="s">
        <v>298</v>
      </c>
      <c r="D794" s="94">
        <v>2248.0</v>
      </c>
    </row>
    <row r="795">
      <c r="A795" s="40">
        <f t="array" ref="A795">IFNA(index(PlayerValues!A:A,match(IFNA(vlookup(B795,'Special Names'!A:B,2,FALSE),B795),PlayerValues!E:E,0)),"N/A")</f>
        <v>17467</v>
      </c>
      <c r="B795" s="4" t="s">
        <v>575</v>
      </c>
      <c r="C795" s="4" t="s">
        <v>283</v>
      </c>
      <c r="D795" s="94">
        <v>1856.0</v>
      </c>
    </row>
    <row r="796">
      <c r="A796" s="40" t="str">
        <f t="array" ref="A796">IFNA(index(PlayerValues!A:A,match(IFNA(vlookup(B796,'Special Names'!A:B,2,FALSE),B796),PlayerValues!E:E,0)),"N/A")</f>
        <v>N/A</v>
      </c>
      <c r="B796" s="4" t="s">
        <v>101</v>
      </c>
      <c r="C796" s="4" t="s">
        <v>325</v>
      </c>
      <c r="D796" s="94">
        <v>1855.0</v>
      </c>
    </row>
    <row r="797">
      <c r="A797" s="40">
        <f t="array" ref="A797">IFNA(index(PlayerValues!A:A,match(IFNA(vlookup(B797,'Special Names'!A:B,2,FALSE),B797),PlayerValues!E:E,0)),"N/A")</f>
        <v>16778</v>
      </c>
      <c r="B797" s="4" t="s">
        <v>577</v>
      </c>
      <c r="C797" s="4" t="s">
        <v>287</v>
      </c>
      <c r="D797" s="94">
        <v>1848.0</v>
      </c>
    </row>
    <row r="798">
      <c r="A798" s="40">
        <f t="array" ref="A798">IFNA(index(PlayerValues!A:A,match(IFNA(vlookup(B798,'Special Names'!A:B,2,FALSE),B798),PlayerValues!E:E,0)),"N/A")</f>
        <v>13189</v>
      </c>
      <c r="B798" s="4" t="s">
        <v>626</v>
      </c>
      <c r="C798" s="4" t="s">
        <v>298</v>
      </c>
      <c r="D798" s="94">
        <v>2205.0</v>
      </c>
    </row>
    <row r="799">
      <c r="A799" s="40">
        <f t="array" ref="A799">IFNA(index(PlayerValues!A:A,match(IFNA(vlookup(B799,'Special Names'!A:B,2,FALSE),B799),PlayerValues!E:E,0)),"N/A")</f>
        <v>17485</v>
      </c>
      <c r="B799" s="4" t="s">
        <v>522</v>
      </c>
      <c r="C799" s="4" t="s">
        <v>278</v>
      </c>
      <c r="D799" s="94">
        <v>1824.0</v>
      </c>
    </row>
    <row r="800">
      <c r="A800" s="40">
        <f t="array" ref="A800">IFNA(index(PlayerValues!A:A,match(IFNA(vlookup(B800,'Special Names'!A:B,2,FALSE),B800),PlayerValues!E:E,0)),"N/A")</f>
        <v>16752</v>
      </c>
      <c r="B800" s="4" t="s">
        <v>597</v>
      </c>
      <c r="C800" s="4" t="s">
        <v>278</v>
      </c>
      <c r="D800" s="94">
        <v>1799.0</v>
      </c>
    </row>
    <row r="801">
      <c r="A801" s="40">
        <f t="array" ref="A801">IFNA(index(PlayerValues!A:A,match(IFNA(vlookup(B801,'Special Names'!A:B,2,FALSE),B801),PlayerValues!E:E,0)),"N/A")</f>
        <v>17086</v>
      </c>
      <c r="B801" s="4" t="s">
        <v>612</v>
      </c>
      <c r="C801" s="4" t="s">
        <v>287</v>
      </c>
      <c r="D801" s="94">
        <v>1799.0</v>
      </c>
    </row>
    <row r="802">
      <c r="A802" s="40">
        <f t="array" ref="A802">IFNA(index(PlayerValues!A:A,match(IFNA(vlookup(B802,'Special Names'!A:B,2,FALSE),B802),PlayerValues!E:E,0)),"N/A")</f>
        <v>15787</v>
      </c>
      <c r="B802" s="4" t="s">
        <v>610</v>
      </c>
      <c r="C802" s="4" t="s">
        <v>287</v>
      </c>
      <c r="D802" s="94">
        <v>1797.0</v>
      </c>
    </row>
    <row r="803">
      <c r="A803" s="40">
        <f t="array" ref="A803">IFNA(index(PlayerValues!A:A,match(IFNA(vlookup(B803,'Special Names'!A:B,2,FALSE),B803),PlayerValues!E:E,0)),"N/A")</f>
        <v>15788</v>
      </c>
      <c r="B803" s="4" t="s">
        <v>627</v>
      </c>
      <c r="C803" s="4" t="s">
        <v>287</v>
      </c>
      <c r="D803" s="94">
        <v>1792.0</v>
      </c>
    </row>
    <row r="804">
      <c r="A804" s="40">
        <f t="array" ref="A804">IFNA(index(PlayerValues!A:A,match(IFNA(vlookup(B804,'Special Names'!A:B,2,FALSE),B804),PlayerValues!E:E,0)),"N/A")</f>
        <v>16215</v>
      </c>
      <c r="B804" s="4" t="s">
        <v>637</v>
      </c>
      <c r="C804" s="4" t="s">
        <v>298</v>
      </c>
      <c r="D804" s="94">
        <v>2166.0</v>
      </c>
    </row>
    <row r="805">
      <c r="A805" s="40">
        <f t="array" ref="A805">IFNA(index(PlayerValues!A:A,match(IFNA(vlookup(B805,'Special Names'!A:B,2,FALSE),B805),PlayerValues!E:E,0)),"N/A")</f>
        <v>16171</v>
      </c>
      <c r="B805" s="4" t="s">
        <v>618</v>
      </c>
      <c r="C805" s="4" t="s">
        <v>278</v>
      </c>
      <c r="D805" s="94">
        <v>1777.0</v>
      </c>
    </row>
    <row r="806">
      <c r="A806" s="40">
        <f t="array" ref="A806">IFNA(index(PlayerValues!A:A,match(IFNA(vlookup(B806,'Special Names'!A:B,2,FALSE),B806),PlayerValues!E:E,0)),"N/A")</f>
        <v>17548</v>
      </c>
      <c r="B806" s="4" t="s">
        <v>594</v>
      </c>
      <c r="C806" s="4" t="s">
        <v>298</v>
      </c>
      <c r="D806" s="94">
        <v>2147.0</v>
      </c>
    </row>
    <row r="807">
      <c r="A807" s="40">
        <f t="array" ref="A807">IFNA(index(PlayerValues!A:A,match(IFNA(vlookup(B807,'Special Names'!A:B,2,FALSE),B807),PlayerValues!E:E,0)),"N/A")</f>
        <v>16644</v>
      </c>
      <c r="B807" s="4" t="s">
        <v>640</v>
      </c>
      <c r="C807" s="4" t="s">
        <v>298</v>
      </c>
      <c r="D807" s="94">
        <v>2146.0</v>
      </c>
    </row>
    <row r="808">
      <c r="A808" s="40">
        <f t="array" ref="A808">IFNA(index(PlayerValues!A:A,match(IFNA(vlookup(B808,'Special Names'!A:B,2,FALSE),B808),PlayerValues!E:E,0)),"N/A")</f>
        <v>13146</v>
      </c>
      <c r="B808" s="4" t="s">
        <v>652</v>
      </c>
      <c r="C808" s="4" t="s">
        <v>278</v>
      </c>
      <c r="D808" s="94">
        <v>1756.0</v>
      </c>
    </row>
    <row r="809">
      <c r="A809" s="40">
        <f t="array" ref="A809">IFNA(index(PlayerValues!A:A,match(IFNA(vlookup(B809,'Special Names'!A:B,2,FALSE),B809),PlayerValues!E:E,0)),"N/A")</f>
        <v>17049</v>
      </c>
      <c r="B809" s="4" t="s">
        <v>624</v>
      </c>
      <c r="C809" s="4" t="s">
        <v>278</v>
      </c>
      <c r="D809" s="94">
        <v>1749.0</v>
      </c>
    </row>
    <row r="810">
      <c r="A810" s="40">
        <f t="array" ref="A810">IFNA(index(PlayerValues!A:A,match(IFNA(vlookup(B810,'Special Names'!A:B,2,FALSE),B810),PlayerValues!E:E,0)),"N/A")</f>
        <v>16191</v>
      </c>
      <c r="B810" s="4" t="s">
        <v>666</v>
      </c>
      <c r="C810" s="4" t="s">
        <v>287</v>
      </c>
      <c r="D810" s="94">
        <v>1745.0</v>
      </c>
    </row>
    <row r="811">
      <c r="A811" s="40" t="str">
        <f t="array" ref="A811">IFNA(index(PlayerValues!A:A,match(IFNA(vlookup(B811,'Special Names'!A:B,2,FALSE),B811),PlayerValues!E:E,0)),"N/A")</f>
        <v>N/A</v>
      </c>
      <c r="B811" s="4" t="s">
        <v>102</v>
      </c>
      <c r="C811" s="4" t="s">
        <v>325</v>
      </c>
      <c r="D811" s="94">
        <v>1738.0</v>
      </c>
    </row>
    <row r="812">
      <c r="A812" s="40">
        <f t="array" ref="A812">IFNA(index(PlayerValues!A:A,match(IFNA(vlookup(B812,'Special Names'!A:B,2,FALSE),B812),PlayerValues!E:E,0)),"N/A")</f>
        <v>13164</v>
      </c>
      <c r="B812" s="4" t="s">
        <v>632</v>
      </c>
      <c r="C812" s="4" t="s">
        <v>287</v>
      </c>
      <c r="D812" s="94">
        <v>1724.0</v>
      </c>
    </row>
    <row r="813">
      <c r="A813" s="40">
        <f t="array" ref="A813">IFNA(index(PlayerValues!A:A,match(IFNA(vlookup(B813,'Special Names'!A:B,2,FALSE),B813),PlayerValues!E:E,0)),"N/A")</f>
        <v>17034</v>
      </c>
      <c r="B813" s="4" t="s">
        <v>643</v>
      </c>
      <c r="C813" s="4" t="s">
        <v>283</v>
      </c>
      <c r="D813" s="94">
        <v>1714.0</v>
      </c>
    </row>
    <row r="814">
      <c r="A814" s="40" t="str">
        <f t="array" ref="A814">IFNA(index(PlayerValues!A:A,match(IFNA(vlookup(B814,'Special Names'!A:B,2,FALSE),B814),PlayerValues!E:E,0)),"N/A")</f>
        <v>N/A</v>
      </c>
      <c r="B814" s="4" t="s">
        <v>89</v>
      </c>
      <c r="C814" s="4" t="s">
        <v>325</v>
      </c>
      <c r="D814" s="94">
        <v>1712.0</v>
      </c>
    </row>
    <row r="815">
      <c r="A815" s="40">
        <f t="array" ref="A815">IFNA(index(PlayerValues!A:A,match(IFNA(vlookup(B815,'Special Names'!A:B,2,FALSE),B815),PlayerValues!E:E,0)),"N/A")</f>
        <v>17035</v>
      </c>
      <c r="B815" s="4" t="s">
        <v>650</v>
      </c>
      <c r="C815" s="4" t="s">
        <v>283</v>
      </c>
      <c r="D815" s="94">
        <v>1704.0</v>
      </c>
    </row>
    <row r="816">
      <c r="A816" s="40">
        <f t="array" ref="A816">IFNA(index(PlayerValues!A:A,match(IFNA(vlookup(B816,'Special Names'!A:B,2,FALSE),B816),PlayerValues!E:E,0)),"N/A")</f>
        <v>14143</v>
      </c>
      <c r="B816" s="4" t="s">
        <v>635</v>
      </c>
      <c r="C816" s="4" t="s">
        <v>298</v>
      </c>
      <c r="D816" s="94">
        <v>2080.0</v>
      </c>
    </row>
    <row r="817">
      <c r="A817" s="40">
        <f t="array" ref="A817">IFNA(index(PlayerValues!A:A,match(IFNA(vlookup(B817,'Special Names'!A:B,2,FALSE),B817),PlayerValues!E:E,0)),"N/A")</f>
        <v>17607</v>
      </c>
      <c r="B817" s="4" t="s">
        <v>526</v>
      </c>
      <c r="C817" s="4" t="s">
        <v>298</v>
      </c>
      <c r="D817" s="94">
        <v>2078.0</v>
      </c>
    </row>
    <row r="818">
      <c r="A818" s="40">
        <f t="array" ref="A818">IFNA(index(PlayerValues!A:A,match(IFNA(vlookup(B818,'Special Names'!A:B,2,FALSE),B818),PlayerValues!E:E,0)),"N/A")</f>
        <v>17567</v>
      </c>
      <c r="B818" s="4" t="s">
        <v>571</v>
      </c>
      <c r="C818" s="4" t="s">
        <v>298</v>
      </c>
      <c r="D818" s="94">
        <v>2078.0</v>
      </c>
    </row>
    <row r="819">
      <c r="A819" s="40">
        <f t="array" ref="A819">IFNA(index(PlayerValues!A:A,match(IFNA(vlookup(B819,'Special Names'!A:B,2,FALSE),B819),PlayerValues!E:E,0)),"N/A")</f>
        <v>16585</v>
      </c>
      <c r="B819" s="4" t="s">
        <v>623</v>
      </c>
      <c r="C819" s="4" t="s">
        <v>283</v>
      </c>
      <c r="D819" s="94">
        <v>1695.0</v>
      </c>
    </row>
    <row r="820">
      <c r="A820" s="40">
        <f t="array" ref="A820">IFNA(index(PlayerValues!A:A,match(IFNA(vlookup(B820,'Special Names'!A:B,2,FALSE),B820),PlayerValues!E:E,0)),"N/A")</f>
        <v>17064</v>
      </c>
      <c r="B820" s="4" t="s">
        <v>631</v>
      </c>
      <c r="C820" s="4" t="s">
        <v>278</v>
      </c>
      <c r="D820" s="94">
        <v>1682.0</v>
      </c>
    </row>
    <row r="821">
      <c r="A821" s="40" t="str">
        <f t="array" ref="A821">IFNA(index(PlayerValues!A:A,match(IFNA(vlookup(B821,'Special Names'!A:B,2,FALSE),B821),PlayerValues!E:E,0)),"N/A")</f>
        <v>N/A</v>
      </c>
      <c r="B821" s="4" t="s">
        <v>103</v>
      </c>
      <c r="C821" s="4" t="s">
        <v>325</v>
      </c>
      <c r="D821" s="94">
        <v>1674.0</v>
      </c>
    </row>
    <row r="822">
      <c r="A822" s="40">
        <f t="array" ref="A822">IFNA(index(PlayerValues!A:A,match(IFNA(vlookup(B822,'Special Names'!A:B,2,FALSE),B822),PlayerValues!E:E,0)),"N/A")</f>
        <v>17058</v>
      </c>
      <c r="B822" s="4" t="s">
        <v>641</v>
      </c>
      <c r="C822" s="4" t="s">
        <v>278</v>
      </c>
      <c r="D822" s="94">
        <v>1665.0</v>
      </c>
    </row>
    <row r="823">
      <c r="A823" s="40">
        <f t="array" ref="A823">IFNA(index(PlayerValues!A:A,match(IFNA(vlookup(B823,'Special Names'!A:B,2,FALSE),B823),PlayerValues!E:E,0)),"N/A")</f>
        <v>17096</v>
      </c>
      <c r="B823" s="4" t="s">
        <v>638</v>
      </c>
      <c r="C823" s="4" t="s">
        <v>287</v>
      </c>
      <c r="D823" s="94">
        <v>1656.0</v>
      </c>
    </row>
    <row r="824">
      <c r="A824" s="40">
        <f t="array" ref="A824">IFNA(index(PlayerValues!A:A,match(IFNA(vlookup(B824,'Special Names'!A:B,2,FALSE),B824),PlayerValues!E:E,0)),"N/A")</f>
        <v>16635</v>
      </c>
      <c r="B824" s="4" t="s">
        <v>645</v>
      </c>
      <c r="C824" s="4" t="s">
        <v>287</v>
      </c>
      <c r="D824" s="94">
        <v>1644.0</v>
      </c>
    </row>
    <row r="825">
      <c r="A825" s="40">
        <f t="array" ref="A825">IFNA(index(PlayerValues!A:A,match(IFNA(vlookup(B825,'Special Names'!A:B,2,FALSE),B825),PlayerValues!E:E,0)),"N/A")</f>
        <v>16207</v>
      </c>
      <c r="B825" s="4" t="s">
        <v>636</v>
      </c>
      <c r="C825" s="4" t="s">
        <v>287</v>
      </c>
      <c r="D825" s="94">
        <v>1643.0</v>
      </c>
    </row>
    <row r="826">
      <c r="A826" s="40" t="str">
        <f t="array" ref="A826">IFNA(index(PlayerValues!A:A,match(IFNA(vlookup(B826,'Special Names'!A:B,2,FALSE),B826),PlayerValues!E:E,0)),"N/A")</f>
        <v>N/A</v>
      </c>
      <c r="B826" s="4" t="s">
        <v>115</v>
      </c>
      <c r="C826" s="4" t="s">
        <v>325</v>
      </c>
      <c r="D826" s="94">
        <v>1642.0</v>
      </c>
    </row>
    <row r="827">
      <c r="A827" s="40">
        <f t="array" ref="A827">IFNA(index(PlayerValues!A:A,match(IFNA(vlookup(B827,'Special Names'!A:B,2,FALSE),B827),PlayerValues!E:E,0)),"N/A")</f>
        <v>17465</v>
      </c>
      <c r="B827" s="4" t="s">
        <v>649</v>
      </c>
      <c r="C827" s="4" t="s">
        <v>283</v>
      </c>
      <c r="D827" s="94">
        <v>1639.0</v>
      </c>
    </row>
    <row r="828">
      <c r="A828" s="40">
        <f t="array" ref="A828">IFNA(index(PlayerValues!A:A,match(IFNA(vlookup(B828,'Special Names'!A:B,2,FALSE),B828),PlayerValues!E:E,0)),"N/A")</f>
        <v>15755</v>
      </c>
      <c r="B828" s="4" t="s">
        <v>628</v>
      </c>
      <c r="C828" s="4" t="s">
        <v>287</v>
      </c>
      <c r="D828" s="94">
        <v>1628.0</v>
      </c>
    </row>
    <row r="829">
      <c r="A829" s="40" t="str">
        <f t="array" ref="A829">IFNA(index(PlayerValues!A:A,match(IFNA(vlookup(B829,'Special Names'!A:B,2,FALSE),B829),PlayerValues!E:E,0)),"N/A")</f>
        <v>N/A</v>
      </c>
      <c r="B829" s="4" t="s">
        <v>90</v>
      </c>
      <c r="C829" s="4" t="s">
        <v>325</v>
      </c>
      <c r="D829" s="94">
        <v>1625.0</v>
      </c>
    </row>
    <row r="830">
      <c r="A830" s="40">
        <f t="array" ref="A830">IFNA(index(PlayerValues!A:A,match(IFNA(vlookup(B830,'Special Names'!A:B,2,FALSE),B830),PlayerValues!E:E,0)),"N/A")</f>
        <v>14105</v>
      </c>
      <c r="B830" s="4" t="s">
        <v>675</v>
      </c>
      <c r="C830" s="4" t="s">
        <v>287</v>
      </c>
      <c r="D830" s="94">
        <v>1620.0</v>
      </c>
    </row>
    <row r="831">
      <c r="A831" s="40">
        <f t="array" ref="A831">IFNA(index(PlayerValues!A:A,match(IFNA(vlookup(B831,'Special Names'!A:B,2,FALSE),B831),PlayerValues!E:E,0)),"N/A")</f>
        <v>16201</v>
      </c>
      <c r="B831" s="4" t="s">
        <v>589</v>
      </c>
      <c r="C831" s="4" t="s">
        <v>287</v>
      </c>
      <c r="D831" s="94">
        <v>1617.0</v>
      </c>
    </row>
    <row r="832">
      <c r="A832" s="40">
        <f t="array" ref="A832">IFNA(index(PlayerValues!A:A,match(IFNA(vlookup(B832,'Special Names'!A:B,2,FALSE),B832),PlayerValues!E:E,0)),"N/A")</f>
        <v>16601</v>
      </c>
      <c r="B832" s="4" t="s">
        <v>648</v>
      </c>
      <c r="C832" s="4" t="s">
        <v>278</v>
      </c>
      <c r="D832" s="94">
        <v>1608.0</v>
      </c>
    </row>
    <row r="833">
      <c r="A833" s="40">
        <f t="array" ref="A833">IFNA(index(PlayerValues!A:A,match(IFNA(vlookup(B833,'Special Names'!A:B,2,FALSE),B833),PlayerValues!E:E,0)),"N/A")</f>
        <v>16586</v>
      </c>
      <c r="B833" s="4" t="s">
        <v>658</v>
      </c>
      <c r="C833" s="4" t="s">
        <v>283</v>
      </c>
      <c r="D833" s="94">
        <v>1582.0</v>
      </c>
    </row>
    <row r="834">
      <c r="A834" s="40" t="str">
        <f t="array" ref="A834">IFNA(index(PlayerValues!A:A,match(IFNA(vlookup(B834,'Special Names'!A:B,2,FALSE),B834),PlayerValues!E:E,0)),"N/A")</f>
        <v>N/A</v>
      </c>
      <c r="B834" s="4" t="s">
        <v>116</v>
      </c>
      <c r="C834" s="4" t="s">
        <v>325</v>
      </c>
      <c r="D834" s="94">
        <v>1576.0</v>
      </c>
    </row>
    <row r="835">
      <c r="A835" s="40">
        <f t="array" ref="A835">IFNA(index(PlayerValues!A:A,match(IFNA(vlookup(B835,'Special Names'!A:B,2,FALSE),B835),PlayerValues!E:E,0)),"N/A")</f>
        <v>16629</v>
      </c>
      <c r="B835" s="4" t="s">
        <v>605</v>
      </c>
      <c r="C835" s="4" t="s">
        <v>287</v>
      </c>
      <c r="D835" s="94">
        <v>1567.0</v>
      </c>
    </row>
    <row r="836">
      <c r="A836" s="40">
        <f t="array" ref="A836">IFNA(index(PlayerValues!A:A,match(IFNA(vlookup(B836,'Special Names'!A:B,2,FALSE),B836),PlayerValues!E:E,0)),"N/A")</f>
        <v>15301</v>
      </c>
      <c r="B836" s="4" t="s">
        <v>657</v>
      </c>
      <c r="C836" s="4" t="s">
        <v>287</v>
      </c>
      <c r="D836" s="94">
        <v>1561.0</v>
      </c>
    </row>
    <row r="837">
      <c r="A837" s="40" t="str">
        <f t="array" ref="A837">IFNA(index(PlayerValues!A:A,match(IFNA(vlookup(B837,'Special Names'!A:B,2,FALSE),B837),PlayerValues!E:E,0)),"N/A")</f>
        <v>N/A</v>
      </c>
      <c r="B837" s="4" t="s">
        <v>91</v>
      </c>
      <c r="C837" s="4" t="s">
        <v>325</v>
      </c>
      <c r="D837" s="94">
        <v>1560.0</v>
      </c>
    </row>
    <row r="838">
      <c r="A838" s="40">
        <f t="array" ref="A838">IFNA(index(PlayerValues!A:A,match(IFNA(vlookup(B838,'Special Names'!A:B,2,FALSE),B838),PlayerValues!E:E,0)),"N/A")</f>
        <v>16633</v>
      </c>
      <c r="B838" s="4" t="s">
        <v>656</v>
      </c>
      <c r="C838" s="4" t="s">
        <v>287</v>
      </c>
      <c r="D838" s="94">
        <v>1560.0</v>
      </c>
    </row>
    <row r="839">
      <c r="A839" s="40">
        <f t="array" ref="A839">IFNA(index(PlayerValues!A:A,match(IFNA(vlookup(B839,'Special Names'!A:B,2,FALSE),B839),PlayerValues!E:E,0)),"N/A")</f>
        <v>15254</v>
      </c>
      <c r="B839" s="4" t="s">
        <v>633</v>
      </c>
      <c r="C839" s="4" t="s">
        <v>278</v>
      </c>
      <c r="D839" s="94">
        <v>1557.0</v>
      </c>
    </row>
    <row r="840">
      <c r="A840" s="40">
        <f t="array" ref="A840">IFNA(index(PlayerValues!A:A,match(IFNA(vlookup(B840,'Special Names'!A:B,2,FALSE),B840),PlayerValues!E:E,0)),"N/A")</f>
        <v>15319</v>
      </c>
      <c r="B840" s="4" t="s">
        <v>644</v>
      </c>
      <c r="C840" s="4" t="s">
        <v>287</v>
      </c>
      <c r="D840" s="94">
        <v>1546.0</v>
      </c>
    </row>
    <row r="841">
      <c r="A841" s="40">
        <f t="array" ref="A841">IFNA(index(PlayerValues!A:A,match(IFNA(vlookup(B841,'Special Names'!A:B,2,FALSE),B841),PlayerValues!E:E,0)),"N/A")</f>
        <v>17529</v>
      </c>
      <c r="B841" s="4" t="s">
        <v>608</v>
      </c>
      <c r="C841" s="4" t="s">
        <v>287</v>
      </c>
      <c r="D841" s="94">
        <v>1545.0</v>
      </c>
    </row>
    <row r="842">
      <c r="A842" s="40">
        <f t="array" ref="A842">IFNA(index(PlayerValues!A:A,match(IFNA(vlookup(B842,'Special Names'!A:B,2,FALSE),B842),PlayerValues!E:E,0)),"N/A")</f>
        <v>17234</v>
      </c>
      <c r="B842" s="4" t="s">
        <v>653</v>
      </c>
      <c r="C842" s="4" t="s">
        <v>287</v>
      </c>
      <c r="D842" s="94">
        <v>1539.0</v>
      </c>
    </row>
    <row r="843">
      <c r="A843" s="40">
        <f t="array" ref="A843">IFNA(index(PlayerValues!A:A,match(IFNA(vlookup(B843,'Special Names'!A:B,2,FALSE),B843),PlayerValues!E:E,0)),"N/A")</f>
        <v>15713</v>
      </c>
      <c r="B843" s="4" t="s">
        <v>732</v>
      </c>
      <c r="C843" s="4" t="s">
        <v>278</v>
      </c>
      <c r="D843" s="94">
        <v>1515.0</v>
      </c>
    </row>
    <row r="844">
      <c r="A844" s="40">
        <f t="array" ref="A844">IFNA(index(PlayerValues!A:A,match(IFNA(vlookup(B844,'Special Names'!A:B,2,FALSE),B844),PlayerValues!E:E,0)),"N/A")</f>
        <v>17205</v>
      </c>
      <c r="B844" s="4" t="s">
        <v>665</v>
      </c>
      <c r="C844" s="4" t="s">
        <v>287</v>
      </c>
      <c r="D844" s="94">
        <v>1514.0</v>
      </c>
    </row>
    <row r="845">
      <c r="A845" s="40">
        <f t="array" ref="A845">IFNA(index(PlayerValues!A:A,match(IFNA(vlookup(B845,'Special Names'!A:B,2,FALSE),B845),PlayerValues!E:E,0)),"N/A")</f>
        <v>14122</v>
      </c>
      <c r="B845" s="4" t="s">
        <v>663</v>
      </c>
      <c r="C845" s="4" t="s">
        <v>287</v>
      </c>
      <c r="D845" s="94">
        <v>1505.0</v>
      </c>
    </row>
    <row r="846">
      <c r="A846" s="40">
        <f t="array" ref="A846">IFNA(index(PlayerValues!A:A,match(IFNA(vlookup(B846,'Special Names'!A:B,2,FALSE),B846),PlayerValues!E:E,0)),"N/A")</f>
        <v>15337</v>
      </c>
      <c r="B846" s="4" t="s">
        <v>655</v>
      </c>
      <c r="C846" s="4" t="s">
        <v>298</v>
      </c>
      <c r="D846" s="94">
        <v>1868.0</v>
      </c>
    </row>
    <row r="847">
      <c r="A847" s="40">
        <f t="array" ref="A847">IFNA(index(PlayerValues!A:A,match(IFNA(vlookup(B847,'Special Names'!A:B,2,FALSE),B847),PlayerValues!E:E,0)),"N/A")</f>
        <v>16595</v>
      </c>
      <c r="B847" s="4" t="s">
        <v>664</v>
      </c>
      <c r="C847" s="4" t="s">
        <v>278</v>
      </c>
      <c r="D847" s="94">
        <v>1494.0</v>
      </c>
    </row>
    <row r="848">
      <c r="A848" s="40">
        <f t="array" ref="A848">IFNA(index(PlayerValues!A:A,match(IFNA(vlookup(B848,'Special Names'!A:B,2,FALSE),B848),PlayerValues!E:E,0)),"N/A")</f>
        <v>16688</v>
      </c>
      <c r="B848" s="4" t="s">
        <v>688</v>
      </c>
      <c r="C848" s="4" t="s">
        <v>278</v>
      </c>
      <c r="D848" s="94">
        <v>1494.0</v>
      </c>
    </row>
    <row r="849">
      <c r="A849" s="40">
        <f t="array" ref="A849">IFNA(index(PlayerValues!A:A,match(IFNA(vlookup(B849,'Special Names'!A:B,2,FALSE),B849),PlayerValues!E:E,0)),"N/A")</f>
        <v>16175</v>
      </c>
      <c r="B849" s="4" t="s">
        <v>654</v>
      </c>
      <c r="C849" s="4" t="s">
        <v>278</v>
      </c>
      <c r="D849" s="94">
        <v>1486.0</v>
      </c>
    </row>
    <row r="850">
      <c r="A850" s="40">
        <f t="array" ref="A850">IFNA(index(PlayerValues!A:A,match(IFNA(vlookup(B850,'Special Names'!A:B,2,FALSE),B850),PlayerValues!E:E,0)),"N/A")</f>
        <v>17054</v>
      </c>
      <c r="B850" s="4" t="s">
        <v>670</v>
      </c>
      <c r="C850" s="4" t="s">
        <v>278</v>
      </c>
      <c r="D850" s="94">
        <v>1477.0</v>
      </c>
    </row>
    <row r="851">
      <c r="A851" s="40">
        <f t="array" ref="A851">IFNA(index(PlayerValues!A:A,match(IFNA(vlookup(B851,'Special Names'!A:B,2,FALSE),B851),PlayerValues!E:E,0)),"N/A")</f>
        <v>15752</v>
      </c>
      <c r="B851" s="4" t="s">
        <v>647</v>
      </c>
      <c r="C851" s="4" t="s">
        <v>287</v>
      </c>
      <c r="D851" s="94">
        <v>1468.0</v>
      </c>
    </row>
    <row r="852">
      <c r="A852" s="40">
        <f t="array" ref="A852">IFNA(index(PlayerValues!A:A,match(IFNA(vlookup(B852,'Special Names'!A:B,2,FALSE),B852),PlayerValues!E:E,0)),"N/A")</f>
        <v>13672</v>
      </c>
      <c r="B852" s="4" t="s">
        <v>667</v>
      </c>
      <c r="C852" s="4" t="s">
        <v>298</v>
      </c>
      <c r="D852" s="94">
        <v>1834.0</v>
      </c>
    </row>
    <row r="853">
      <c r="A853" s="40">
        <f t="array" ref="A853">IFNA(index(PlayerValues!A:A,match(IFNA(vlookup(B853,'Special Names'!A:B,2,FALSE),B853),PlayerValues!E:E,0)),"N/A")</f>
        <v>16788</v>
      </c>
      <c r="B853" s="4" t="s">
        <v>621</v>
      </c>
      <c r="C853" s="4" t="s">
        <v>287</v>
      </c>
      <c r="D853" s="94">
        <v>1452.0</v>
      </c>
    </row>
    <row r="854">
      <c r="A854" s="40">
        <f t="array" ref="A854">IFNA(index(PlayerValues!A:A,match(IFNA(vlookup(B854,'Special Names'!A:B,2,FALSE),B854),PlayerValues!E:E,0)),"N/A")</f>
        <v>15873</v>
      </c>
      <c r="B854" s="4" t="s">
        <v>681</v>
      </c>
      <c r="C854" s="4" t="s">
        <v>298</v>
      </c>
      <c r="D854" s="94">
        <v>1810.0</v>
      </c>
    </row>
    <row r="855">
      <c r="A855" s="40">
        <f t="array" ref="A855">IFNA(index(PlayerValues!A:A,match(IFNA(vlookup(B855,'Special Names'!A:B,2,FALSE),B855),PlayerValues!E:E,0)),"N/A")</f>
        <v>15759</v>
      </c>
      <c r="B855" s="4" t="s">
        <v>662</v>
      </c>
      <c r="C855" s="4" t="s">
        <v>287</v>
      </c>
      <c r="D855" s="94">
        <v>1433.0</v>
      </c>
    </row>
    <row r="856">
      <c r="A856" s="40">
        <f t="array" ref="A856">IFNA(index(PlayerValues!A:A,match(IFNA(vlookup(B856,'Special Names'!A:B,2,FALSE),B856),PlayerValues!E:E,0)),"N/A")</f>
        <v>15777</v>
      </c>
      <c r="B856" s="4" t="s">
        <v>694</v>
      </c>
      <c r="C856" s="4" t="s">
        <v>287</v>
      </c>
      <c r="D856" s="94">
        <v>1422.0</v>
      </c>
    </row>
    <row r="857">
      <c r="A857" s="40">
        <f t="array" ref="A857">IFNA(index(PlayerValues!A:A,match(IFNA(vlookup(B857,'Special Names'!A:B,2,FALSE),B857),PlayerValues!E:E,0)),"N/A")</f>
        <v>16390</v>
      </c>
      <c r="B857" s="4" t="s">
        <v>689</v>
      </c>
      <c r="C857" s="4" t="s">
        <v>278</v>
      </c>
      <c r="D857" s="94">
        <v>1418.0</v>
      </c>
    </row>
    <row r="858">
      <c r="A858" s="40">
        <f t="array" ref="A858">IFNA(index(PlayerValues!A:A,match(IFNA(vlookup(B858,'Special Names'!A:B,2,FALSE),B858),PlayerValues!E:E,0)),"N/A")</f>
        <v>17519</v>
      </c>
      <c r="B858" s="4" t="s">
        <v>593</v>
      </c>
      <c r="C858" s="4" t="s">
        <v>287</v>
      </c>
      <c r="D858" s="94">
        <v>1417.0</v>
      </c>
    </row>
    <row r="859">
      <c r="A859" s="40">
        <f t="array" ref="A859">IFNA(index(PlayerValues!A:A,match(IFNA(vlookup(B859,'Special Names'!A:B,2,FALSE),B859),PlayerValues!E:E,0)),"N/A")</f>
        <v>16621</v>
      </c>
      <c r="B859" s="4" t="s">
        <v>672</v>
      </c>
      <c r="C859" s="4" t="s">
        <v>287</v>
      </c>
      <c r="D859" s="94">
        <v>1411.0</v>
      </c>
    </row>
    <row r="860">
      <c r="A860" s="40">
        <f t="array" ref="A860">IFNA(index(PlayerValues!A:A,match(IFNA(vlookup(B860,'Special Names'!A:B,2,FALSE),B860),PlayerValues!E:E,0)),"N/A")</f>
        <v>14137</v>
      </c>
      <c r="B860" s="4" t="s">
        <v>676</v>
      </c>
      <c r="C860" s="4" t="s">
        <v>298</v>
      </c>
      <c r="D860" s="94">
        <v>1774.0</v>
      </c>
    </row>
    <row r="861">
      <c r="A861" s="40">
        <f t="array" ref="A861">IFNA(index(PlayerValues!A:A,match(IFNA(vlookup(B861,'Special Names'!A:B,2,FALSE),B861),PlayerValues!E:E,0)),"N/A")</f>
        <v>17521</v>
      </c>
      <c r="B861" s="4" t="s">
        <v>573</v>
      </c>
      <c r="C861" s="4" t="s">
        <v>287</v>
      </c>
      <c r="D861" s="94">
        <v>1397.0</v>
      </c>
    </row>
    <row r="862">
      <c r="A862" s="40">
        <f t="array" ref="A862">IFNA(index(PlayerValues!A:A,match(IFNA(vlookup(B862,'Special Names'!A:B,2,FALSE),B862),PlayerValues!E:E,0)),"N/A")</f>
        <v>15738</v>
      </c>
      <c r="B862" s="4" t="s">
        <v>634</v>
      </c>
      <c r="C862" s="4" t="s">
        <v>278</v>
      </c>
      <c r="D862" s="94">
        <v>1396.0</v>
      </c>
    </row>
    <row r="863">
      <c r="A863" s="40">
        <f t="array" ref="A863">IFNA(index(PlayerValues!A:A,match(IFNA(vlookup(B863,'Special Names'!A:B,2,FALSE),B863),PlayerValues!E:E,0)),"N/A")</f>
        <v>16387</v>
      </c>
      <c r="B863" s="4" t="s">
        <v>646</v>
      </c>
      <c r="C863" s="4" t="s">
        <v>278</v>
      </c>
      <c r="D863" s="94">
        <v>1396.0</v>
      </c>
    </row>
    <row r="864">
      <c r="A864" s="40">
        <f t="array" ref="A864">IFNA(index(PlayerValues!A:A,match(IFNA(vlookup(B864,'Special Names'!A:B,2,FALSE),B864),PlayerValues!E:E,0)),"N/A")</f>
        <v>16631</v>
      </c>
      <c r="B864" s="4" t="s">
        <v>800</v>
      </c>
      <c r="C864" s="4" t="s">
        <v>287</v>
      </c>
      <c r="D864" s="94">
        <v>1396.0</v>
      </c>
    </row>
    <row r="865">
      <c r="A865" s="40">
        <f t="array" ref="A865">IFNA(index(PlayerValues!A:A,match(IFNA(vlookup(B865,'Special Names'!A:B,2,FALSE),B865),PlayerValues!E:E,0)),"N/A")</f>
        <v>16642</v>
      </c>
      <c r="B865" s="4" t="s">
        <v>691</v>
      </c>
      <c r="C865" s="4" t="s">
        <v>298</v>
      </c>
      <c r="D865" s="94">
        <v>1765.0</v>
      </c>
    </row>
    <row r="866">
      <c r="A866" s="40">
        <f t="array" ref="A866">IFNA(index(PlayerValues!A:A,match(IFNA(vlookup(B866,'Special Names'!A:B,2,FALSE),B866),PlayerValues!E:E,0)),"N/A")</f>
        <v>16384</v>
      </c>
      <c r="B866" s="4" t="s">
        <v>696</v>
      </c>
      <c r="C866" s="4" t="s">
        <v>283</v>
      </c>
      <c r="D866" s="94">
        <v>1388.0</v>
      </c>
    </row>
    <row r="867">
      <c r="A867" s="40">
        <f t="array" ref="A867">IFNA(index(PlayerValues!A:A,match(IFNA(vlookup(B867,'Special Names'!A:B,2,FALSE),B867),PlayerValues!E:E,0)),"N/A")</f>
        <v>16608</v>
      </c>
      <c r="B867" s="4" t="s">
        <v>629</v>
      </c>
      <c r="C867" s="4" t="s">
        <v>278</v>
      </c>
      <c r="D867" s="94">
        <v>1373.0</v>
      </c>
    </row>
    <row r="868">
      <c r="A868" s="40">
        <f t="array" ref="A868">IFNA(index(PlayerValues!A:A,match(IFNA(vlookup(B868,'Special Names'!A:B,2,FALSE),B868),PlayerValues!E:E,0)),"N/A")</f>
        <v>16792</v>
      </c>
      <c r="B868" s="4" t="s">
        <v>704</v>
      </c>
      <c r="C868" s="4" t="s">
        <v>287</v>
      </c>
      <c r="D868" s="94">
        <v>1367.0</v>
      </c>
    </row>
    <row r="869">
      <c r="A869" s="40">
        <f t="array" ref="A869">IFNA(index(PlayerValues!A:A,match(IFNA(vlookup(B869,'Special Names'!A:B,2,FALSE),B869),PlayerValues!E:E,0)),"N/A")</f>
        <v>17599</v>
      </c>
      <c r="B869" s="4" t="s">
        <v>496</v>
      </c>
      <c r="C869" s="4" t="s">
        <v>287</v>
      </c>
      <c r="D869" s="94">
        <v>1361.0</v>
      </c>
    </row>
    <row r="870">
      <c r="A870" s="40">
        <f t="array" ref="A870">IFNA(index(PlayerValues!A:A,match(IFNA(vlookup(B870,'Special Names'!A:B,2,FALSE),B870),PlayerValues!E:E,0)),"N/A")</f>
        <v>14086</v>
      </c>
      <c r="B870" s="4" t="s">
        <v>639</v>
      </c>
      <c r="C870" s="4" t="s">
        <v>278</v>
      </c>
      <c r="D870" s="94">
        <v>1351.0</v>
      </c>
    </row>
    <row r="871">
      <c r="A871" s="40">
        <f t="array" ref="A871">IFNA(index(PlayerValues!A:A,match(IFNA(vlookup(B871,'Special Names'!A:B,2,FALSE),B871),PlayerValues!E:E,0)),"N/A")</f>
        <v>15292</v>
      </c>
      <c r="B871" s="4" t="s">
        <v>682</v>
      </c>
      <c r="C871" s="4" t="s">
        <v>287</v>
      </c>
      <c r="D871" s="94">
        <v>1347.0</v>
      </c>
    </row>
    <row r="872">
      <c r="A872" s="40">
        <f t="array" ref="A872">IFNA(index(PlayerValues!A:A,match(IFNA(vlookup(B872,'Special Names'!A:B,2,FALSE),B872),PlayerValues!E:E,0)),"N/A")</f>
        <v>17037</v>
      </c>
      <c r="B872" s="4" t="s">
        <v>727</v>
      </c>
      <c r="C872" s="4" t="s">
        <v>283</v>
      </c>
      <c r="D872" s="94">
        <v>1318.0</v>
      </c>
    </row>
    <row r="873">
      <c r="A873" s="40">
        <f t="array" ref="A873">IFNA(index(PlayerValues!A:A,match(IFNA(vlookup(B873,'Special Names'!A:B,2,FALSE),B873),PlayerValues!E:E,0)),"N/A")</f>
        <v>17685</v>
      </c>
      <c r="B873" s="4" t="s">
        <v>630</v>
      </c>
      <c r="C873" s="4" t="s">
        <v>278</v>
      </c>
      <c r="D873" s="94">
        <v>1316.0</v>
      </c>
    </row>
    <row r="874">
      <c r="A874" s="40">
        <f t="array" ref="A874">IFNA(index(PlayerValues!A:A,match(IFNA(vlookup(B874,'Special Names'!A:B,2,FALSE),B874),PlayerValues!E:E,0)),"N/A")</f>
        <v>12140</v>
      </c>
      <c r="B874" s="4" t="s">
        <v>702</v>
      </c>
      <c r="C874" s="4" t="s">
        <v>283</v>
      </c>
      <c r="D874" s="94">
        <v>1312.0</v>
      </c>
    </row>
    <row r="875">
      <c r="A875" s="40">
        <f t="array" ref="A875">IFNA(index(PlayerValues!A:A,match(IFNA(vlookup(B875,'Special Names'!A:B,2,FALSE),B875),PlayerValues!E:E,0)),"N/A")</f>
        <v>17254</v>
      </c>
      <c r="B875" s="4" t="s">
        <v>679</v>
      </c>
      <c r="C875" s="4" t="s">
        <v>287</v>
      </c>
      <c r="D875" s="94">
        <v>1309.0</v>
      </c>
    </row>
    <row r="876">
      <c r="A876" s="40">
        <f t="array" ref="A876">IFNA(index(PlayerValues!A:A,match(IFNA(vlookup(B876,'Special Names'!A:B,2,FALSE),B876),PlayerValues!E:E,0)),"N/A")</f>
        <v>17062</v>
      </c>
      <c r="B876" s="4" t="s">
        <v>701</v>
      </c>
      <c r="C876" s="4" t="s">
        <v>278</v>
      </c>
      <c r="D876" s="94">
        <v>1302.0</v>
      </c>
    </row>
    <row r="877">
      <c r="A877" s="40">
        <f t="array" ref="A877">IFNA(index(PlayerValues!A:A,match(IFNA(vlookup(B877,'Special Names'!A:B,2,FALSE),B877),PlayerValues!E:E,0)),"N/A")</f>
        <v>12678</v>
      </c>
      <c r="B877" s="4" t="s">
        <v>703</v>
      </c>
      <c r="C877" s="4" t="s">
        <v>298</v>
      </c>
      <c r="D877" s="94">
        <v>1653.0</v>
      </c>
    </row>
    <row r="878">
      <c r="A878" s="40">
        <f t="array" ref="A878">IFNA(index(PlayerValues!A:A,match(IFNA(vlookup(B878,'Special Names'!A:B,2,FALSE),B878),PlayerValues!E:E,0)),"N/A")</f>
        <v>13418</v>
      </c>
      <c r="B878" s="4" t="s">
        <v>706</v>
      </c>
      <c r="C878" s="4" t="s">
        <v>287</v>
      </c>
      <c r="D878" s="94">
        <v>1275.0</v>
      </c>
    </row>
    <row r="879">
      <c r="A879" s="40">
        <f t="array" ref="A879">IFNA(index(PlayerValues!A:A,match(IFNA(vlookup(B879,'Special Names'!A:B,2,FALSE),B879),PlayerValues!E:E,0)),"N/A")</f>
        <v>15252</v>
      </c>
      <c r="B879" s="4" t="s">
        <v>715</v>
      </c>
      <c r="C879" s="4" t="s">
        <v>283</v>
      </c>
      <c r="D879" s="94">
        <v>1270.0</v>
      </c>
    </row>
    <row r="880">
      <c r="A880" s="40" t="str">
        <f t="array" ref="A880">IFNA(index(PlayerValues!A:A,match(IFNA(vlookup(B880,'Special Names'!A:B,2,FALSE),B880),PlayerValues!E:E,0)),"N/A")</f>
        <v>N/A</v>
      </c>
      <c r="B880" s="4" t="s">
        <v>117</v>
      </c>
      <c r="C880" s="4" t="s">
        <v>325</v>
      </c>
      <c r="D880" s="94">
        <v>1261.0</v>
      </c>
    </row>
    <row r="881">
      <c r="A881" s="40">
        <f t="array" ref="A881">IFNA(index(PlayerValues!A:A,match(IFNA(vlookup(B881,'Special Names'!A:B,2,FALSE),B881),PlayerValues!E:E,0)),"N/A")</f>
        <v>12141</v>
      </c>
      <c r="B881" s="4" t="s">
        <v>744</v>
      </c>
      <c r="C881" s="4" t="s">
        <v>283</v>
      </c>
      <c r="D881" s="94">
        <v>1257.0</v>
      </c>
    </row>
    <row r="882">
      <c r="A882" s="40">
        <f t="array" ref="A882">IFNA(index(PlayerValues!A:A,match(IFNA(vlookup(B882,'Special Names'!A:B,2,FALSE),B882),PlayerValues!E:E,0)),"N/A")</f>
        <v>16645</v>
      </c>
      <c r="B882" s="4" t="s">
        <v>651</v>
      </c>
      <c r="C882" s="4" t="s">
        <v>298</v>
      </c>
      <c r="D882" s="94">
        <v>1624.0</v>
      </c>
    </row>
    <row r="883">
      <c r="A883" s="40">
        <f t="array" ref="A883">IFNA(index(PlayerValues!A:A,match(IFNA(vlookup(B883,'Special Names'!A:B,2,FALSE),B883),PlayerValues!E:E,0)),"N/A")</f>
        <v>14592</v>
      </c>
      <c r="B883" s="4" t="s">
        <v>705</v>
      </c>
      <c r="C883" s="4" t="s">
        <v>287</v>
      </c>
      <c r="D883" s="94">
        <v>1256.0</v>
      </c>
    </row>
    <row r="884">
      <c r="A884" s="40">
        <f t="array" ref="A884">IFNA(index(PlayerValues!A:A,match(IFNA(vlookup(B884,'Special Names'!A:B,2,FALSE),B884),PlayerValues!E:E,0)),"N/A")</f>
        <v>14080</v>
      </c>
      <c r="B884" s="4" t="s">
        <v>716</v>
      </c>
      <c r="C884" s="4" t="s">
        <v>278</v>
      </c>
      <c r="D884" s="94">
        <v>1246.0</v>
      </c>
    </row>
    <row r="885">
      <c r="A885" s="40">
        <f t="array" ref="A885">IFNA(index(PlayerValues!A:A,match(IFNA(vlookup(B885,'Special Names'!A:B,2,FALSE),B885),PlayerValues!E:E,0)),"N/A")</f>
        <v>15332</v>
      </c>
      <c r="B885" s="4" t="s">
        <v>698</v>
      </c>
      <c r="C885" s="4" t="s">
        <v>298</v>
      </c>
      <c r="D885" s="94">
        <v>1613.0</v>
      </c>
    </row>
    <row r="886">
      <c r="A886" s="40">
        <f t="array" ref="A886">IFNA(index(PlayerValues!A:A,match(IFNA(vlookup(B886,'Special Names'!A:B,2,FALSE),B886),PlayerValues!E:E,0)),"N/A")</f>
        <v>14095</v>
      </c>
      <c r="B886" s="4" t="s">
        <v>680</v>
      </c>
      <c r="C886" s="4" t="s">
        <v>278</v>
      </c>
      <c r="D886" s="94">
        <v>1245.0</v>
      </c>
    </row>
    <row r="887">
      <c r="A887" s="40">
        <f t="array" ref="A887">IFNA(index(PlayerValues!A:A,match(IFNA(vlookup(B887,'Special Names'!A:B,2,FALSE),B887),PlayerValues!E:E,0)),"N/A")</f>
        <v>16149</v>
      </c>
      <c r="B887" s="4" t="s">
        <v>740</v>
      </c>
      <c r="C887" s="4" t="s">
        <v>283</v>
      </c>
      <c r="D887" s="94">
        <v>1239.0</v>
      </c>
    </row>
    <row r="888">
      <c r="A888" s="40">
        <f t="array" ref="A888">IFNA(index(PlayerValues!A:A,match(IFNA(vlookup(B888,'Special Names'!A:B,2,FALSE),B888),PlayerValues!E:E,0)),"N/A")</f>
        <v>11222</v>
      </c>
      <c r="B888" s="4" t="s">
        <v>622</v>
      </c>
      <c r="C888" s="4" t="s">
        <v>287</v>
      </c>
      <c r="D888" s="94">
        <v>1233.0</v>
      </c>
    </row>
    <row r="889">
      <c r="A889" s="40">
        <f t="array" ref="A889">IFNA(index(PlayerValues!A:A,match(IFNA(vlookup(B889,'Special Names'!A:B,2,FALSE),B889),PlayerValues!E:E,0)),"N/A")</f>
        <v>15702</v>
      </c>
      <c r="B889" s="4" t="s">
        <v>723</v>
      </c>
      <c r="C889" s="4" t="s">
        <v>283</v>
      </c>
      <c r="D889" s="94">
        <v>1225.0</v>
      </c>
    </row>
    <row r="890">
      <c r="A890" s="40">
        <f t="array" ref="A890">IFNA(index(PlayerValues!A:A,match(IFNA(vlookup(B890,'Special Names'!A:B,2,FALSE),B890),PlayerValues!E:E,0)),"N/A")</f>
        <v>16636</v>
      </c>
      <c r="B890" s="4" t="s">
        <v>699</v>
      </c>
      <c r="C890" s="4" t="s">
        <v>287</v>
      </c>
      <c r="D890" s="94">
        <v>1224.0</v>
      </c>
    </row>
    <row r="891">
      <c r="A891" s="40">
        <f t="array" ref="A891">IFNA(index(PlayerValues!A:A,match(IFNA(vlookup(B891,'Special Names'!A:B,2,FALSE),B891),PlayerValues!E:E,0)),"N/A")</f>
        <v>17097</v>
      </c>
      <c r="B891" s="4" t="s">
        <v>659</v>
      </c>
      <c r="C891" s="4" t="s">
        <v>287</v>
      </c>
      <c r="D891" s="94">
        <v>1221.0</v>
      </c>
    </row>
    <row r="892">
      <c r="A892" s="40">
        <f t="array" ref="A892">IFNA(index(PlayerValues!A:A,match(IFNA(vlookup(B892,'Special Names'!A:B,2,FALSE),B892),PlayerValues!E:E,0)),"N/A")</f>
        <v>17077</v>
      </c>
      <c r="B892" s="4" t="s">
        <v>714</v>
      </c>
      <c r="C892" s="4" t="s">
        <v>287</v>
      </c>
      <c r="D892" s="94">
        <v>1219.0</v>
      </c>
    </row>
    <row r="893">
      <c r="A893" s="40">
        <f t="array" ref="A893">IFNA(index(PlayerValues!A:A,match(IFNA(vlookup(B893,'Special Names'!A:B,2,FALSE),B893),PlayerValues!E:E,0)),"N/A")</f>
        <v>16746</v>
      </c>
      <c r="B893" s="4" t="s">
        <v>709</v>
      </c>
      <c r="C893" s="4" t="s">
        <v>278</v>
      </c>
      <c r="D893" s="94">
        <v>1213.0</v>
      </c>
    </row>
    <row r="894">
      <c r="A894" s="40">
        <f t="array" ref="A894">IFNA(index(PlayerValues!A:A,match(IFNA(vlookup(B894,'Special Names'!A:B,2,FALSE),B894),PlayerValues!E:E,0)),"N/A")</f>
        <v>16183</v>
      </c>
      <c r="B894" s="4" t="s">
        <v>678</v>
      </c>
      <c r="C894" s="4" t="s">
        <v>287</v>
      </c>
      <c r="D894" s="94">
        <v>1212.0</v>
      </c>
    </row>
    <row r="895">
      <c r="A895" s="40">
        <f t="array" ref="A895">IFNA(index(PlayerValues!A:A,match(IFNA(vlookup(B895,'Special Names'!A:B,2,FALSE),B895),PlayerValues!E:E,0)),"N/A")</f>
        <v>14789</v>
      </c>
      <c r="B895" s="4" t="s">
        <v>721</v>
      </c>
      <c r="C895" s="4" t="s">
        <v>283</v>
      </c>
      <c r="D895" s="94">
        <v>1210.0</v>
      </c>
    </row>
    <row r="896">
      <c r="A896" s="40">
        <f t="array" ref="A896">IFNA(index(PlayerValues!A:A,match(IFNA(vlookup(B896,'Special Names'!A:B,2,FALSE),B896),PlayerValues!E:E,0)),"N/A")</f>
        <v>16333</v>
      </c>
      <c r="B896" s="4" t="s">
        <v>711</v>
      </c>
      <c r="C896" s="4" t="s">
        <v>298</v>
      </c>
      <c r="D896" s="94">
        <v>1566.0</v>
      </c>
    </row>
    <row r="897">
      <c r="A897" s="40">
        <f t="array" ref="A897">IFNA(index(PlayerValues!A:A,match(IFNA(vlookup(B897,'Special Names'!A:B,2,FALSE),B897),PlayerValues!E:E,0)),"N/A")</f>
        <v>17652</v>
      </c>
      <c r="B897" s="4" t="s">
        <v>576</v>
      </c>
      <c r="C897" s="4" t="s">
        <v>278</v>
      </c>
      <c r="D897" s="94">
        <v>1197.0</v>
      </c>
    </row>
    <row r="898">
      <c r="A898" s="40">
        <f t="array" ref="A898">IFNA(index(PlayerValues!A:A,match(IFNA(vlookup(B898,'Special Names'!A:B,2,FALSE),B898),PlayerValues!E:E,0)),"N/A")</f>
        <v>16883</v>
      </c>
      <c r="B898" s="4" t="s">
        <v>683</v>
      </c>
      <c r="C898" s="4" t="s">
        <v>287</v>
      </c>
      <c r="D898" s="94">
        <v>1196.0</v>
      </c>
    </row>
    <row r="899">
      <c r="A899" s="40">
        <f t="array" ref="A899">IFNA(index(PlayerValues!A:A,match(IFNA(vlookup(B899,'Special Names'!A:B,2,FALSE),B899),PlayerValues!E:E,0)),"N/A")</f>
        <v>17269</v>
      </c>
      <c r="B899" s="4" t="s">
        <v>718</v>
      </c>
      <c r="C899" s="4" t="s">
        <v>287</v>
      </c>
      <c r="D899" s="94">
        <v>1192.0</v>
      </c>
    </row>
    <row r="900">
      <c r="A900" s="40">
        <f t="array" ref="A900">IFNA(index(PlayerValues!A:A,match(IFNA(vlookup(B900,'Special Names'!A:B,2,FALSE),B900),PlayerValues!E:E,0)),"N/A")</f>
        <v>17109</v>
      </c>
      <c r="B900" s="4" t="s">
        <v>707</v>
      </c>
      <c r="C900" s="4" t="s">
        <v>298</v>
      </c>
      <c r="D900" s="94">
        <v>1550.0</v>
      </c>
    </row>
    <row r="901">
      <c r="A901" s="40">
        <f t="array" ref="A901">IFNA(index(PlayerValues!A:A,match(IFNA(vlookup(B901,'Special Names'!A:B,2,FALSE),B901),PlayerValues!E:E,0)),"N/A")</f>
        <v>17063</v>
      </c>
      <c r="B901" s="4" t="s">
        <v>686</v>
      </c>
      <c r="C901" s="4" t="s">
        <v>278</v>
      </c>
      <c r="D901" s="94">
        <v>1179.0</v>
      </c>
    </row>
    <row r="902">
      <c r="A902" s="40">
        <f t="array" ref="A902">IFNA(index(PlayerValues!A:A,match(IFNA(vlookup(B902,'Special Names'!A:B,2,FALSE),B902),PlayerValues!E:E,0)),"N/A")</f>
        <v>17546</v>
      </c>
      <c r="B902" s="4" t="s">
        <v>671</v>
      </c>
      <c r="C902" s="4" t="s">
        <v>298</v>
      </c>
      <c r="D902" s="94">
        <v>1534.0</v>
      </c>
    </row>
    <row r="903">
      <c r="A903" s="40">
        <f t="array" ref="A903">IFNA(index(PlayerValues!A:A,match(IFNA(vlookup(B903,'Special Names'!A:B,2,FALSE),B903),PlayerValues!E:E,0)),"N/A")</f>
        <v>17057</v>
      </c>
      <c r="B903" s="4" t="s">
        <v>708</v>
      </c>
      <c r="C903" s="4" t="s">
        <v>278</v>
      </c>
      <c r="D903" s="94">
        <v>1164.0</v>
      </c>
    </row>
    <row r="904">
      <c r="A904" s="40">
        <f t="array" ref="A904">IFNA(index(PlayerValues!A:A,match(IFNA(vlookup(B904,'Special Names'!A:B,2,FALSE),B904),PlayerValues!E:E,0)),"N/A")</f>
        <v>17510</v>
      </c>
      <c r="B904" s="4" t="s">
        <v>661</v>
      </c>
      <c r="C904" s="4" t="s">
        <v>287</v>
      </c>
      <c r="D904" s="94">
        <v>1157.0</v>
      </c>
    </row>
    <row r="905">
      <c r="A905" s="40">
        <f t="array" ref="A905">IFNA(index(PlayerValues!A:A,match(IFNA(vlookup(B905,'Special Names'!A:B,2,FALSE),B905),PlayerValues!E:E,0)),"N/A")</f>
        <v>15288</v>
      </c>
      <c r="B905" s="4" t="s">
        <v>700</v>
      </c>
      <c r="C905" s="4" t="s">
        <v>287</v>
      </c>
      <c r="D905" s="94">
        <v>1153.0</v>
      </c>
    </row>
    <row r="906">
      <c r="A906" s="40">
        <f t="array" ref="A906">IFNA(index(PlayerValues!A:A,match(IFNA(vlookup(B906,'Special Names'!A:B,2,FALSE),B906),PlayerValues!E:E,0)),"N/A")</f>
        <v>16385</v>
      </c>
      <c r="B906" s="4" t="s">
        <v>690</v>
      </c>
      <c r="C906" s="4" t="s">
        <v>278</v>
      </c>
      <c r="D906" s="94">
        <v>1152.0</v>
      </c>
    </row>
    <row r="907">
      <c r="A907" s="40">
        <f t="array" ref="A907">IFNA(index(PlayerValues!A:A,match(IFNA(vlookup(B907,'Special Names'!A:B,2,FALSE),B907),PlayerValues!E:E,0)),"N/A")</f>
        <v>14108</v>
      </c>
      <c r="B907" s="4" t="s">
        <v>673</v>
      </c>
      <c r="C907" s="4" t="s">
        <v>287</v>
      </c>
      <c r="D907" s="94">
        <v>1147.0</v>
      </c>
    </row>
    <row r="908">
      <c r="A908" s="40">
        <f t="array" ref="A908">IFNA(index(PlayerValues!A:A,match(IFNA(vlookup(B908,'Special Names'!A:B,2,FALSE),B908),PlayerValues!E:E,0)),"N/A")</f>
        <v>16221</v>
      </c>
      <c r="B908" s="4" t="s">
        <v>725</v>
      </c>
      <c r="C908" s="4" t="s">
        <v>298</v>
      </c>
      <c r="D908" s="94">
        <v>1516.0</v>
      </c>
    </row>
    <row r="909">
      <c r="A909" s="40">
        <f t="array" ref="A909">IFNA(index(PlayerValues!A:A,match(IFNA(vlookup(B909,'Special Names'!A:B,2,FALSE),B909),PlayerValues!E:E,0)),"N/A")</f>
        <v>16199</v>
      </c>
      <c r="B909" s="4" t="s">
        <v>687</v>
      </c>
      <c r="C909" s="4" t="s">
        <v>287</v>
      </c>
      <c r="D909" s="94">
        <v>1133.0</v>
      </c>
    </row>
    <row r="910">
      <c r="A910" s="40">
        <f t="array" ref="A910">IFNA(index(PlayerValues!A:A,match(IFNA(vlookup(B910,'Special Names'!A:B,2,FALSE),B910),PlayerValues!E:E,0)),"N/A")</f>
        <v>9064</v>
      </c>
      <c r="B910" s="4" t="s">
        <v>761</v>
      </c>
      <c r="C910" s="4" t="s">
        <v>283</v>
      </c>
      <c r="D910" s="94">
        <v>1126.0</v>
      </c>
    </row>
    <row r="911">
      <c r="A911" s="40">
        <f t="array" ref="A911">IFNA(index(PlayerValues!A:A,match(IFNA(vlookup(B911,'Special Names'!A:B,2,FALSE),B911),PlayerValues!E:E,0)),"N/A")</f>
        <v>14067</v>
      </c>
      <c r="B911" s="4" t="s">
        <v>735</v>
      </c>
      <c r="C911" s="4" t="s">
        <v>283</v>
      </c>
      <c r="D911" s="94">
        <v>1123.0</v>
      </c>
    </row>
    <row r="912">
      <c r="A912" s="40">
        <f t="array" ref="A912">IFNA(index(PlayerValues!A:A,match(IFNA(vlookup(B912,'Special Names'!A:B,2,FALSE),B912),PlayerValues!E:E,0)),"N/A")</f>
        <v>15240</v>
      </c>
      <c r="B912" s="4" t="s">
        <v>751</v>
      </c>
      <c r="C912" s="4" t="s">
        <v>283</v>
      </c>
      <c r="D912" s="94">
        <v>1123.0</v>
      </c>
    </row>
    <row r="913">
      <c r="A913" s="40">
        <f t="array" ref="A913">IFNA(index(PlayerValues!A:A,match(IFNA(vlookup(B913,'Special Names'!A:B,2,FALSE),B913),PlayerValues!E:E,0)),"N/A")</f>
        <v>14845</v>
      </c>
      <c r="B913" s="4" t="s">
        <v>717</v>
      </c>
      <c r="C913" s="4" t="s">
        <v>287</v>
      </c>
      <c r="D913" s="94">
        <v>1121.0</v>
      </c>
    </row>
    <row r="914">
      <c r="A914" s="40">
        <f t="array" ref="A914">IFNA(index(PlayerValues!A:A,match(IFNA(vlookup(B914,'Special Names'!A:B,2,FALSE),B914),PlayerValues!E:E,0)),"N/A")</f>
        <v>15981</v>
      </c>
      <c r="B914" s="4" t="s">
        <v>729</v>
      </c>
      <c r="C914" s="4" t="s">
        <v>287</v>
      </c>
      <c r="D914" s="94">
        <v>1114.0</v>
      </c>
    </row>
    <row r="915">
      <c r="A915" s="40">
        <f t="array" ref="A915">IFNA(index(PlayerValues!A:A,match(IFNA(vlookup(B915,'Special Names'!A:B,2,FALSE),B915),PlayerValues!E:E,0)),"N/A")</f>
        <v>16637</v>
      </c>
      <c r="B915" s="4" t="s">
        <v>736</v>
      </c>
      <c r="C915" s="4" t="s">
        <v>287</v>
      </c>
      <c r="D915" s="94">
        <v>1097.0</v>
      </c>
    </row>
    <row r="916">
      <c r="A916" s="40">
        <f t="array" ref="A916">IFNA(index(PlayerValues!A:A,match(IFNA(vlookup(B916,'Special Names'!A:B,2,FALSE),B916),PlayerValues!E:E,0)),"N/A")</f>
        <v>17192</v>
      </c>
      <c r="B916" s="4" t="s">
        <v>677</v>
      </c>
      <c r="C916" s="4" t="s">
        <v>287</v>
      </c>
      <c r="D916" s="94">
        <v>1097.0</v>
      </c>
    </row>
    <row r="917">
      <c r="A917" s="40">
        <f t="array" ref="A917">IFNA(index(PlayerValues!A:A,match(IFNA(vlookup(B917,'Special Names'!A:B,2,FALSE),B917),PlayerValues!E:E,0)),"N/A")</f>
        <v>13289</v>
      </c>
      <c r="B917" s="4" t="s">
        <v>746</v>
      </c>
      <c r="C917" s="4" t="s">
        <v>287</v>
      </c>
      <c r="D917" s="94">
        <v>1095.0</v>
      </c>
    </row>
    <row r="918">
      <c r="A918" s="40">
        <f t="array" ref="A918">IFNA(index(PlayerValues!A:A,match(IFNA(vlookup(B918,'Special Names'!A:B,2,FALSE),B918),PlayerValues!E:E,0)),"N/A")</f>
        <v>16640</v>
      </c>
      <c r="B918" s="4" t="s">
        <v>712</v>
      </c>
      <c r="C918" s="4" t="s">
        <v>287</v>
      </c>
      <c r="D918" s="94">
        <v>1088.0</v>
      </c>
    </row>
    <row r="919">
      <c r="A919" s="40">
        <f t="array" ref="A919">IFNA(index(PlayerValues!A:A,match(IFNA(vlookup(B919,'Special Names'!A:B,2,FALSE),B919),PlayerValues!E:E,0)),"N/A")</f>
        <v>16197</v>
      </c>
      <c r="B919" s="4" t="s">
        <v>726</v>
      </c>
      <c r="C919" s="4" t="s">
        <v>287</v>
      </c>
      <c r="D919" s="94">
        <v>1076.0</v>
      </c>
    </row>
    <row r="920">
      <c r="A920" s="40">
        <f t="array" ref="A920">IFNA(index(PlayerValues!A:A,match(IFNA(vlookup(B920,'Special Names'!A:B,2,FALSE),B920),PlayerValues!E:E,0)),"N/A")</f>
        <v>17050</v>
      </c>
      <c r="B920" s="4" t="s">
        <v>713</v>
      </c>
      <c r="C920" s="4" t="s">
        <v>278</v>
      </c>
      <c r="D920" s="94">
        <v>1076.0</v>
      </c>
    </row>
    <row r="921">
      <c r="A921" s="40">
        <f t="array" ref="A921">IFNA(index(PlayerValues!A:A,match(IFNA(vlookup(B921,'Special Names'!A:B,2,FALSE),B921),PlayerValues!E:E,0)),"N/A")</f>
        <v>15693</v>
      </c>
      <c r="B921" s="4" t="s">
        <v>755</v>
      </c>
      <c r="C921" s="4" t="s">
        <v>283</v>
      </c>
      <c r="D921" s="94">
        <v>1072.0</v>
      </c>
    </row>
    <row r="922">
      <c r="A922" s="40">
        <f t="array" ref="A922">IFNA(index(PlayerValues!A:A,match(IFNA(vlookup(B922,'Special Names'!A:B,2,FALSE),B922),PlayerValues!E:E,0)),"N/A")</f>
        <v>15727</v>
      </c>
      <c r="B922" s="4" t="s">
        <v>730</v>
      </c>
      <c r="C922" s="4" t="s">
        <v>278</v>
      </c>
      <c r="D922" s="94">
        <v>1056.0</v>
      </c>
    </row>
    <row r="923">
      <c r="A923" s="40">
        <f t="array" ref="A923">IFNA(index(PlayerValues!A:A,match(IFNA(vlookup(B923,'Special Names'!A:B,2,FALSE),B923),PlayerValues!E:E,0)),"N/A")</f>
        <v>15692</v>
      </c>
      <c r="B923" s="4" t="s">
        <v>750</v>
      </c>
      <c r="C923" s="4" t="s">
        <v>283</v>
      </c>
      <c r="D923" s="94">
        <v>1050.0</v>
      </c>
    </row>
    <row r="924">
      <c r="A924" s="40">
        <f t="array" ref="A924">IFNA(index(PlayerValues!A:A,match(IFNA(vlookup(B924,'Special Names'!A:B,2,FALSE),B924),PlayerValues!E:E,0)),"N/A")</f>
        <v>13131</v>
      </c>
      <c r="B924" s="4" t="s">
        <v>815</v>
      </c>
      <c r="C924" s="4" t="s">
        <v>278</v>
      </c>
      <c r="D924" s="94">
        <v>1047.0</v>
      </c>
    </row>
    <row r="925">
      <c r="A925" s="40">
        <f t="array" ref="A925">IFNA(index(PlayerValues!A:A,match(IFNA(vlookup(B925,'Special Names'!A:B,2,FALSE),B925),PlayerValues!E:E,0)),"N/A")</f>
        <v>17475</v>
      </c>
      <c r="B925" s="4" t="s">
        <v>615</v>
      </c>
      <c r="C925" s="4" t="s">
        <v>278</v>
      </c>
      <c r="D925" s="94">
        <v>1035.0</v>
      </c>
    </row>
    <row r="926">
      <c r="A926" s="40">
        <f t="array" ref="A926">IFNA(index(PlayerValues!A:A,match(IFNA(vlookup(B926,'Special Names'!A:B,2,FALSE),B926),PlayerValues!E:E,0)),"N/A")</f>
        <v>14849</v>
      </c>
      <c r="B926" s="4" t="s">
        <v>733</v>
      </c>
      <c r="C926" s="4" t="s">
        <v>287</v>
      </c>
      <c r="D926" s="94">
        <v>1034.0</v>
      </c>
    </row>
    <row r="927">
      <c r="A927" s="40">
        <f t="array" ref="A927">IFNA(index(PlayerValues!A:A,match(IFNA(vlookup(B927,'Special Names'!A:B,2,FALSE),B927),PlayerValues!E:E,0)),"N/A")</f>
        <v>15730</v>
      </c>
      <c r="B927" s="4" t="s">
        <v>734</v>
      </c>
      <c r="C927" s="4" t="s">
        <v>278</v>
      </c>
      <c r="D927" s="94">
        <v>1034.0</v>
      </c>
    </row>
    <row r="928">
      <c r="A928" s="40">
        <f t="array" ref="A928">IFNA(index(PlayerValues!A:A,match(IFNA(vlookup(B928,'Special Names'!A:B,2,FALSE),B928),PlayerValues!E:E,0)),"N/A")</f>
        <v>16170</v>
      </c>
      <c r="B928" s="4" t="s">
        <v>801</v>
      </c>
      <c r="C928" s="4" t="s">
        <v>278</v>
      </c>
      <c r="D928" s="94">
        <v>1021.0</v>
      </c>
    </row>
    <row r="929">
      <c r="A929" s="40">
        <f t="array" ref="A929">IFNA(index(PlayerValues!A:A,match(IFNA(vlookup(B929,'Special Names'!A:B,2,FALSE),B929),PlayerValues!E:E,0)),"N/A")</f>
        <v>16393</v>
      </c>
      <c r="B929" s="4" t="s">
        <v>768</v>
      </c>
      <c r="C929" s="4" t="s">
        <v>287</v>
      </c>
      <c r="D929" s="94">
        <v>1020.0</v>
      </c>
    </row>
    <row r="930">
      <c r="A930" s="40">
        <f t="array" ref="A930">IFNA(index(PlayerValues!A:A,match(IFNA(vlookup(B930,'Special Names'!A:B,2,FALSE),B930),PlayerValues!E:E,0)),"N/A")</f>
        <v>15795</v>
      </c>
      <c r="B930" s="4" t="s">
        <v>669</v>
      </c>
      <c r="C930" s="4" t="s">
        <v>298</v>
      </c>
      <c r="D930" s="94">
        <v>1383.0</v>
      </c>
    </row>
    <row r="931">
      <c r="A931" s="40">
        <f t="array" ref="A931">IFNA(index(PlayerValues!A:A,match(IFNA(vlookup(B931,'Special Names'!A:B,2,FALSE),B931),PlayerValues!E:E,0)),"N/A")</f>
        <v>15330</v>
      </c>
      <c r="B931" s="4" t="s">
        <v>749</v>
      </c>
      <c r="C931" s="4" t="s">
        <v>298</v>
      </c>
      <c r="D931" s="94">
        <v>1374.0</v>
      </c>
    </row>
    <row r="932">
      <c r="A932" s="40">
        <f t="array" ref="A932">IFNA(index(PlayerValues!A:A,match(IFNA(vlookup(B932,'Special Names'!A:B,2,FALSE),B932),PlayerValues!E:E,0)),"N/A")</f>
        <v>17657</v>
      </c>
      <c r="B932" s="4" t="s">
        <v>642</v>
      </c>
      <c r="C932" s="4" t="s">
        <v>283</v>
      </c>
      <c r="D932" s="94">
        <v>1008.0</v>
      </c>
    </row>
    <row r="933">
      <c r="A933" s="40">
        <f t="array" ref="A933">IFNA(index(PlayerValues!A:A,match(IFNA(vlookup(B933,'Special Names'!A:B,2,FALSE),B933),PlayerValues!E:E,0)),"N/A")</f>
        <v>16648</v>
      </c>
      <c r="B933" s="4" t="s">
        <v>748</v>
      </c>
      <c r="C933" s="4" t="s">
        <v>298</v>
      </c>
      <c r="D933" s="94">
        <v>1374.0</v>
      </c>
    </row>
    <row r="934">
      <c r="A934" s="40">
        <f t="array" ref="A934">IFNA(index(PlayerValues!A:A,match(IFNA(vlookup(B934,'Special Names'!A:B,2,FALSE),B934),PlayerValues!E:E,0)),"N/A")</f>
        <v>16451</v>
      </c>
      <c r="B934" s="4" t="s">
        <v>769</v>
      </c>
      <c r="C934" s="4" t="s">
        <v>287</v>
      </c>
      <c r="D934" s="94">
        <v>1000.0</v>
      </c>
    </row>
    <row r="935">
      <c r="A935" s="40">
        <f t="array" ref="A935">IFNA(index(PlayerValues!A:A,match(IFNA(vlookup(B935,'Special Names'!A:B,2,FALSE),B935),PlayerValues!E:E,0)),"N/A")</f>
        <v>17175</v>
      </c>
      <c r="B935" s="4" t="s">
        <v>747</v>
      </c>
      <c r="C935" s="4" t="s">
        <v>287</v>
      </c>
      <c r="D935" s="94">
        <v>999.0</v>
      </c>
    </row>
    <row r="936">
      <c r="A936" s="40">
        <f t="array" ref="A936">IFNA(index(PlayerValues!A:A,match(IFNA(vlookup(B936,'Special Names'!A:B,2,FALSE),B936),PlayerValues!E:E,0)),"N/A")</f>
        <v>16168</v>
      </c>
      <c r="B936" s="4" t="s">
        <v>738</v>
      </c>
      <c r="C936" s="4" t="s">
        <v>278</v>
      </c>
      <c r="D936" s="94">
        <v>997.0</v>
      </c>
    </row>
    <row r="937">
      <c r="A937" s="40">
        <f t="array" ref="A937">IFNA(index(PlayerValues!A:A,match(IFNA(vlookup(B937,'Special Names'!A:B,2,FALSE),B937),PlayerValues!E:E,0)),"N/A")</f>
        <v>15717</v>
      </c>
      <c r="B937" s="4" t="s">
        <v>745</v>
      </c>
      <c r="C937" s="4" t="s">
        <v>278</v>
      </c>
      <c r="D937" s="94">
        <v>993.0</v>
      </c>
    </row>
    <row r="938">
      <c r="A938" s="40">
        <f t="array" ref="A938">IFNA(index(PlayerValues!A:A,match(IFNA(vlookup(B938,'Special Names'!A:B,2,FALSE),B938),PlayerValues!E:E,0)),"N/A")</f>
        <v>15109</v>
      </c>
      <c r="B938" s="4" t="s">
        <v>728</v>
      </c>
      <c r="C938" s="4" t="s">
        <v>287</v>
      </c>
      <c r="D938" s="94">
        <v>989.0</v>
      </c>
    </row>
    <row r="939">
      <c r="A939" s="40">
        <f t="array" ref="A939">IFNA(index(PlayerValues!A:A,match(IFNA(vlookup(B939,'Special Names'!A:B,2,FALSE),B939),PlayerValues!E:E,0)),"N/A")</f>
        <v>15766</v>
      </c>
      <c r="B939" s="4" t="s">
        <v>759</v>
      </c>
      <c r="C939" s="4" t="s">
        <v>287</v>
      </c>
      <c r="D939" s="94">
        <v>984.0</v>
      </c>
    </row>
    <row r="940">
      <c r="A940" s="40">
        <f t="array" ref="A940">IFNA(index(PlayerValues!A:A,match(IFNA(vlookup(B940,'Special Names'!A:B,2,FALSE),B940),PlayerValues!E:E,0)),"N/A")</f>
        <v>13193</v>
      </c>
      <c r="B940" s="4" t="s">
        <v>773</v>
      </c>
      <c r="C940" s="4" t="s">
        <v>298</v>
      </c>
      <c r="D940" s="94">
        <v>1346.0</v>
      </c>
    </row>
    <row r="941">
      <c r="A941" s="40">
        <f t="array" ref="A941">IFNA(index(PlayerValues!A:A,match(IFNA(vlookup(B941,'Special Names'!A:B,2,FALSE),B941),PlayerValues!E:E,0)),"N/A")</f>
        <v>15785</v>
      </c>
      <c r="B941" s="4" t="s">
        <v>763</v>
      </c>
      <c r="C941" s="4" t="s">
        <v>287</v>
      </c>
      <c r="D941" s="94">
        <v>978.0</v>
      </c>
    </row>
    <row r="942">
      <c r="A942" s="40">
        <f t="array" ref="A942">IFNA(index(PlayerValues!A:A,match(IFNA(vlookup(B942,'Special Names'!A:B,2,FALSE),B942),PlayerValues!E:E,0)),"N/A")</f>
        <v>15258</v>
      </c>
      <c r="B942" s="4" t="s">
        <v>757</v>
      </c>
      <c r="C942" s="4" t="s">
        <v>278</v>
      </c>
      <c r="D942" s="94">
        <v>976.0</v>
      </c>
    </row>
    <row r="943">
      <c r="A943" s="40">
        <f t="array" ref="A943">IFNA(index(PlayerValues!A:A,match(IFNA(vlookup(B943,'Special Names'!A:B,2,FALSE),B943),PlayerValues!E:E,0)),"N/A")</f>
        <v>15718</v>
      </c>
      <c r="B943" s="4" t="s">
        <v>753</v>
      </c>
      <c r="C943" s="4" t="s">
        <v>278</v>
      </c>
      <c r="D943" s="94">
        <v>976.0</v>
      </c>
    </row>
    <row r="944">
      <c r="A944" s="40">
        <f t="array" ref="A944">IFNA(index(PlayerValues!A:A,match(IFNA(vlookup(B944,'Special Names'!A:B,2,FALSE),B944),PlayerValues!E:E,0)),"N/A")</f>
        <v>15758</v>
      </c>
      <c r="B944" s="4" t="s">
        <v>724</v>
      </c>
      <c r="C944" s="4" t="s">
        <v>287</v>
      </c>
      <c r="D944" s="94">
        <v>964.0</v>
      </c>
    </row>
    <row r="945">
      <c r="A945" s="40">
        <f t="array" ref="A945">IFNA(index(PlayerValues!A:A,match(IFNA(vlookup(B945,'Special Names'!A:B,2,FALSE),B945),PlayerValues!E:E,0)),"N/A")</f>
        <v>16678</v>
      </c>
      <c r="B945" s="4" t="s">
        <v>758</v>
      </c>
      <c r="C945" s="4" t="s">
        <v>278</v>
      </c>
      <c r="D945" s="94">
        <v>963.0</v>
      </c>
    </row>
    <row r="946">
      <c r="A946" s="40">
        <f t="array" ref="A946">IFNA(index(PlayerValues!A:A,match(IFNA(vlookup(B946,'Special Names'!A:B,2,FALSE),B946),PlayerValues!E:E,0)),"N/A")</f>
        <v>17504</v>
      </c>
      <c r="B946" s="4" t="s">
        <v>693</v>
      </c>
      <c r="C946" s="4" t="s">
        <v>287</v>
      </c>
      <c r="D946" s="94">
        <v>952.0</v>
      </c>
    </row>
    <row r="947">
      <c r="A947" s="40">
        <f t="array" ref="A947">IFNA(index(PlayerValues!A:A,match(IFNA(vlookup(B947,'Special Names'!A:B,2,FALSE),B947),PlayerValues!E:E,0)),"N/A")</f>
        <v>14057</v>
      </c>
      <c r="B947" s="4" t="s">
        <v>765</v>
      </c>
      <c r="C947" s="4" t="s">
        <v>283</v>
      </c>
      <c r="D947" s="94">
        <v>951.0</v>
      </c>
    </row>
    <row r="948">
      <c r="A948" s="40">
        <f t="array" ref="A948">IFNA(index(PlayerValues!A:A,match(IFNA(vlookup(B948,'Special Names'!A:B,2,FALSE),B948),PlayerValues!E:E,0)),"N/A")</f>
        <v>15239</v>
      </c>
      <c r="B948" s="4" t="s">
        <v>802</v>
      </c>
      <c r="C948" s="4" t="s">
        <v>283</v>
      </c>
      <c r="D948" s="94">
        <v>942.0</v>
      </c>
    </row>
    <row r="949">
      <c r="A949" s="40">
        <f t="array" ref="A949">IFNA(index(PlayerValues!A:A,match(IFNA(vlookup(B949,'Special Names'!A:B,2,FALSE),B949),PlayerValues!E:E,0)),"N/A")</f>
        <v>16205</v>
      </c>
      <c r="B949" s="4" t="s">
        <v>742</v>
      </c>
      <c r="C949" s="4" t="s">
        <v>287</v>
      </c>
      <c r="D949" s="94">
        <v>941.0</v>
      </c>
    </row>
    <row r="950">
      <c r="A950" s="40">
        <f t="array" ref="A950">IFNA(index(PlayerValues!A:A,match(IFNA(vlookup(B950,'Special Names'!A:B,2,FALSE),B950),PlayerValues!E:E,0)),"N/A")</f>
        <v>14118</v>
      </c>
      <c r="B950" s="4" t="s">
        <v>771</v>
      </c>
      <c r="C950" s="4" t="s">
        <v>287</v>
      </c>
      <c r="D950" s="94">
        <v>937.0</v>
      </c>
    </row>
    <row r="951">
      <c r="A951" s="40">
        <f t="array" ref="A951">IFNA(index(PlayerValues!A:A,match(IFNA(vlookup(B951,'Special Names'!A:B,2,FALSE),B951),PlayerValues!E:E,0)),"N/A")</f>
        <v>11247</v>
      </c>
      <c r="B951" s="4" t="s">
        <v>816</v>
      </c>
      <c r="C951" s="4" t="s">
        <v>298</v>
      </c>
      <c r="D951" s="94">
        <v>1295.0</v>
      </c>
    </row>
    <row r="952">
      <c r="A952" s="40">
        <f t="array" ref="A952">IFNA(index(PlayerValues!A:A,match(IFNA(vlookup(B952,'Special Names'!A:B,2,FALSE),B952),PlayerValues!E:E,0)),"N/A")</f>
        <v>17518</v>
      </c>
      <c r="B952" s="4" t="s">
        <v>482</v>
      </c>
      <c r="C952" s="4" t="s">
        <v>287</v>
      </c>
      <c r="D952" s="94">
        <v>922.0</v>
      </c>
    </row>
    <row r="953">
      <c r="A953" s="40">
        <f t="array" ref="A953">IFNA(index(PlayerValues!A:A,match(IFNA(vlookup(B953,'Special Names'!A:B,2,FALSE),B953),PlayerValues!E:E,0)),"N/A")</f>
        <v>17487</v>
      </c>
      <c r="B953" s="4" t="s">
        <v>692</v>
      </c>
      <c r="C953" s="4" t="s">
        <v>278</v>
      </c>
      <c r="D953" s="94">
        <v>918.0</v>
      </c>
    </row>
    <row r="954">
      <c r="A954" s="40">
        <f t="array" ref="A954">IFNA(index(PlayerValues!A:A,match(IFNA(vlookup(B954,'Special Names'!A:B,2,FALSE),B954),PlayerValues!E:E,0)),"N/A")</f>
        <v>16858</v>
      </c>
      <c r="B954" s="4" t="s">
        <v>754</v>
      </c>
      <c r="C954" s="4" t="s">
        <v>287</v>
      </c>
      <c r="D954" s="94">
        <v>912.0</v>
      </c>
    </row>
    <row r="955">
      <c r="A955" s="40">
        <f t="array" ref="A955">IFNA(index(PlayerValues!A:A,match(IFNA(vlookup(B955,'Special Names'!A:B,2,FALSE),B955),PlayerValues!E:E,0)),"N/A")</f>
        <v>15626</v>
      </c>
      <c r="B955" s="4" t="s">
        <v>766</v>
      </c>
      <c r="C955" s="4" t="s">
        <v>298</v>
      </c>
      <c r="D955" s="94">
        <v>1260.0</v>
      </c>
    </row>
    <row r="956">
      <c r="A956" s="40">
        <f t="array" ref="A956">IFNA(index(PlayerValues!A:A,match(IFNA(vlookup(B956,'Special Names'!A:B,2,FALSE),B956),PlayerValues!E:E,0)),"N/A")</f>
        <v>16219</v>
      </c>
      <c r="B956" s="4" t="s">
        <v>739</v>
      </c>
      <c r="C956" s="4" t="s">
        <v>298</v>
      </c>
      <c r="D956" s="94">
        <v>1250.0</v>
      </c>
    </row>
    <row r="957">
      <c r="A957" s="40">
        <f t="array" ref="A957">IFNA(index(PlayerValues!A:A,match(IFNA(vlookup(B957,'Special Names'!A:B,2,FALSE),B957),PlayerValues!E:E,0)),"N/A")</f>
        <v>17479</v>
      </c>
      <c r="B957" s="4" t="s">
        <v>756</v>
      </c>
      <c r="C957" s="4" t="s">
        <v>278</v>
      </c>
      <c r="D957" s="94">
        <v>884.0</v>
      </c>
    </row>
    <row r="958">
      <c r="A958" s="40">
        <f t="array" ref="A958">IFNA(index(PlayerValues!A:A,match(IFNA(vlookup(B958,'Special Names'!A:B,2,FALSE),B958),PlayerValues!E:E,0)),"N/A")</f>
        <v>15720</v>
      </c>
      <c r="B958" s="4" t="s">
        <v>795</v>
      </c>
      <c r="C958" s="4" t="s">
        <v>278</v>
      </c>
      <c r="D958" s="94">
        <v>874.0</v>
      </c>
    </row>
    <row r="959">
      <c r="A959" s="40">
        <f t="array" ref="A959">IFNA(index(PlayerValues!A:A,match(IFNA(vlookup(B959,'Special Names'!A:B,2,FALSE),B959),PlayerValues!E:E,0)),"N/A")</f>
        <v>16624</v>
      </c>
      <c r="B959" s="4" t="s">
        <v>796</v>
      </c>
      <c r="C959" s="4" t="s">
        <v>287</v>
      </c>
      <c r="D959" s="94">
        <v>872.0</v>
      </c>
    </row>
    <row r="960">
      <c r="A960" s="40">
        <f t="array" ref="A960">IFNA(index(PlayerValues!A:A,match(IFNA(vlookup(B960,'Special Names'!A:B,2,FALSE),B960),PlayerValues!E:E,0)),"N/A")</f>
        <v>16416</v>
      </c>
      <c r="B960" s="4" t="s">
        <v>752</v>
      </c>
      <c r="C960" s="4" t="s">
        <v>287</v>
      </c>
      <c r="D960" s="94">
        <v>863.0</v>
      </c>
    </row>
    <row r="961">
      <c r="A961" s="40">
        <f t="array" ref="A961">IFNA(index(PlayerValues!A:A,match(IFNA(vlookup(B961,'Special Names'!A:B,2,FALSE),B961),PlayerValues!E:E,0)),"N/A")</f>
        <v>17549</v>
      </c>
      <c r="B961" s="4" t="s">
        <v>720</v>
      </c>
      <c r="C961" s="4" t="s">
        <v>298</v>
      </c>
      <c r="D961" s="94">
        <v>1216.0</v>
      </c>
    </row>
    <row r="962">
      <c r="A962" s="40">
        <f t="array" ref="A962">IFNA(index(PlayerValues!A:A,match(IFNA(vlookup(B962,'Special Names'!A:B,2,FALSE),B962),PlayerValues!E:E,0)),"N/A")</f>
        <v>12785</v>
      </c>
      <c r="B962" s="4" t="s">
        <v>772</v>
      </c>
      <c r="C962" s="4" t="s">
        <v>287</v>
      </c>
      <c r="D962" s="94">
        <v>848.0</v>
      </c>
    </row>
    <row r="963">
      <c r="A963" s="40">
        <f t="array" ref="A963">IFNA(index(PlayerValues!A:A,match(IFNA(vlookup(B963,'Special Names'!A:B,2,FALSE),B963),PlayerValues!E:E,0)),"N/A")</f>
        <v>16773</v>
      </c>
      <c r="B963" s="4" t="s">
        <v>783</v>
      </c>
      <c r="C963" s="4" t="s">
        <v>278</v>
      </c>
      <c r="D963" s="94">
        <v>839.0</v>
      </c>
    </row>
    <row r="964">
      <c r="A964" s="40">
        <f t="array" ref="A964">IFNA(index(PlayerValues!A:A,match(IFNA(vlookup(B964,'Special Names'!A:B,2,FALSE),B964),PlayerValues!E:E,0)),"N/A")</f>
        <v>17654</v>
      </c>
      <c r="B964" s="4" t="s">
        <v>767</v>
      </c>
      <c r="C964" s="4" t="s">
        <v>283</v>
      </c>
      <c r="D964" s="94">
        <v>828.0</v>
      </c>
    </row>
    <row r="965">
      <c r="A965" s="40">
        <f t="array" ref="A965">IFNA(index(PlayerValues!A:A,match(IFNA(vlookup(B965,'Special Names'!A:B,2,FALSE),B965),PlayerValues!E:E,0)),"N/A")</f>
        <v>16599</v>
      </c>
      <c r="B965" s="4" t="s">
        <v>737</v>
      </c>
      <c r="C965" s="4" t="s">
        <v>278</v>
      </c>
      <c r="D965" s="94">
        <v>827.0</v>
      </c>
    </row>
    <row r="966">
      <c r="A966" s="40">
        <f t="array" ref="A966">IFNA(index(PlayerValues!A:A,match(IFNA(vlookup(B966,'Special Names'!A:B,2,FALSE),B966),PlayerValues!E:E,0)),"N/A")</f>
        <v>17627</v>
      </c>
      <c r="B966" s="4" t="s">
        <v>684</v>
      </c>
      <c r="C966" s="4" t="s">
        <v>298</v>
      </c>
      <c r="D966" s="94">
        <v>1166.0</v>
      </c>
    </row>
    <row r="967">
      <c r="A967" s="40">
        <f t="array" ref="A967">IFNA(index(PlayerValues!A:A,match(IFNA(vlookup(B967,'Special Names'!A:B,2,FALSE),B967),PlayerValues!E:E,0)),"N/A")</f>
        <v>16623</v>
      </c>
      <c r="B967" s="4" t="s">
        <v>803</v>
      </c>
      <c r="C967" s="4" t="s">
        <v>287</v>
      </c>
      <c r="D967" s="94">
        <v>799.0</v>
      </c>
    </row>
    <row r="968">
      <c r="A968" s="40">
        <f t="array" ref="A968">IFNA(index(PlayerValues!A:A,match(IFNA(vlookup(B968,'Special Names'!A:B,2,FALSE),B968),PlayerValues!E:E,0)),"N/A")</f>
        <v>17486</v>
      </c>
      <c r="B968" s="4" t="s">
        <v>695</v>
      </c>
      <c r="C968" s="4" t="s">
        <v>278</v>
      </c>
      <c r="D968" s="94">
        <v>798.0</v>
      </c>
    </row>
    <row r="969">
      <c r="A969" s="40">
        <f t="array" ref="A969">IFNA(index(PlayerValues!A:A,match(IFNA(vlookup(B969,'Special Names'!A:B,2,FALSE),B969),PlayerValues!E:E,0)),"N/A")</f>
        <v>16606</v>
      </c>
      <c r="B969" s="4" t="s">
        <v>743</v>
      </c>
      <c r="C969" s="4" t="s">
        <v>278</v>
      </c>
      <c r="D969" s="94">
        <v>794.0</v>
      </c>
    </row>
    <row r="970">
      <c r="A970" s="40">
        <f t="array" ref="A970">IFNA(index(PlayerValues!A:A,match(IFNA(vlookup(B970,'Special Names'!A:B,2,FALSE),B970),PlayerValues!E:E,0)),"N/A")</f>
        <v>17337</v>
      </c>
      <c r="B970" s="4" t="s">
        <v>793</v>
      </c>
      <c r="C970" s="4" t="s">
        <v>278</v>
      </c>
      <c r="D970" s="94">
        <v>787.0</v>
      </c>
    </row>
    <row r="971">
      <c r="A971" s="40">
        <f t="array" ref="A971">IFNA(index(PlayerValues!A:A,match(IFNA(vlookup(B971,'Special Names'!A:B,2,FALSE),B971),PlayerValues!E:E,0)),"N/A")</f>
        <v>16751</v>
      </c>
      <c r="B971" s="4" t="s">
        <v>762</v>
      </c>
      <c r="C971" s="4" t="s">
        <v>287</v>
      </c>
      <c r="D971" s="94">
        <v>786.0</v>
      </c>
    </row>
    <row r="972">
      <c r="A972" s="40">
        <f t="array" ref="A972">IFNA(index(PlayerValues!A:A,match(IFNA(vlookup(B972,'Special Names'!A:B,2,FALSE),B972),PlayerValues!E:E,0)),"N/A")</f>
        <v>14223</v>
      </c>
      <c r="B972" s="4" t="s">
        <v>785</v>
      </c>
      <c r="C972" s="4" t="s">
        <v>278</v>
      </c>
      <c r="D972" s="94">
        <v>738.0</v>
      </c>
    </row>
    <row r="973">
      <c r="A973" s="40">
        <f t="array" ref="A973">IFNA(index(PlayerValues!A:A,match(IFNA(vlookup(B973,'Special Names'!A:B,2,FALSE),B973),PlayerValues!E:E,0)),"N/A")</f>
        <v>17541</v>
      </c>
      <c r="B973" s="4" t="s">
        <v>616</v>
      </c>
      <c r="C973" s="4" t="s">
        <v>287</v>
      </c>
      <c r="D973" s="94">
        <v>721.0</v>
      </c>
    </row>
    <row r="974">
      <c r="A974" s="40">
        <f t="array" ref="A974">IFNA(index(PlayerValues!A:A,match(IFNA(vlookup(B974,'Special Names'!A:B,2,FALSE),B974),PlayerValues!E:E,0)),"N/A")</f>
        <v>15723</v>
      </c>
      <c r="B974" s="4" t="s">
        <v>798</v>
      </c>
      <c r="C974" s="4" t="s">
        <v>278</v>
      </c>
      <c r="D974" s="94">
        <v>702.0</v>
      </c>
    </row>
    <row r="975">
      <c r="A975" s="40">
        <f t="array" ref="A975">IFNA(index(PlayerValues!A:A,match(IFNA(vlookup(B975,'Special Names'!A:B,2,FALSE),B975),PlayerValues!E:E,0)),"N/A")</f>
        <v>17545</v>
      </c>
      <c r="B975" s="4" t="s">
        <v>719</v>
      </c>
      <c r="C975" s="4" t="s">
        <v>298</v>
      </c>
      <c r="D975" s="94">
        <v>1051.0</v>
      </c>
    </row>
    <row r="976">
      <c r="A976" s="40">
        <f t="array" ref="A976">IFNA(index(PlayerValues!A:A,match(IFNA(vlookup(B976,'Special Names'!A:B,2,FALSE),B976),PlayerValues!E:E,0)),"N/A")</f>
        <v>16686</v>
      </c>
      <c r="B976" s="4" t="s">
        <v>805</v>
      </c>
      <c r="C976" s="4" t="s">
        <v>287</v>
      </c>
      <c r="D976" s="94">
        <v>613.0</v>
      </c>
    </row>
    <row r="977">
      <c r="A977" s="40">
        <f t="array" ref="A977">IFNA(index(PlayerValues!A:A,match(IFNA(vlookup(B977,'Special Names'!A:B,2,FALSE),B977),PlayerValues!E:E,0)),"N/A")</f>
        <v>13133</v>
      </c>
      <c r="B977" s="4" t="s">
        <v>764</v>
      </c>
      <c r="C977" s="4" t="s">
        <v>278</v>
      </c>
      <c r="D977" s="94">
        <v>599.0</v>
      </c>
    </row>
    <row r="978">
      <c r="A978" s="40">
        <f t="array" ref="A978">IFNA(index(PlayerValues!A:A,match(IFNA(vlookup(B978,'Special Names'!A:B,2,FALSE),B978),PlayerValues!E:E,0)),"N/A")</f>
        <v>13138</v>
      </c>
      <c r="B978" s="4" t="s">
        <v>817</v>
      </c>
      <c r="C978" s="4" t="s">
        <v>278</v>
      </c>
      <c r="D978" s="94">
        <v>597.0</v>
      </c>
    </row>
    <row r="979">
      <c r="A979" s="40">
        <f t="array" ref="A979">IFNA(index(PlayerValues!A:A,match(IFNA(vlookup(B979,'Special Names'!A:B,2,FALSE),B979),PlayerValues!E:E,0)),"N/A")</f>
        <v>14864</v>
      </c>
      <c r="B979" s="4" t="s">
        <v>789</v>
      </c>
      <c r="C979" s="4" t="s">
        <v>287</v>
      </c>
      <c r="D979" s="94">
        <v>595.0</v>
      </c>
    </row>
    <row r="980">
      <c r="A980" s="40">
        <f t="array" ref="A980">IFNA(index(PlayerValues!A:A,match(IFNA(vlookup(B980,'Special Names'!A:B,2,FALSE),B980),PlayerValues!E:E,0)),"N/A")</f>
        <v>16625</v>
      </c>
      <c r="B980" s="4" t="s">
        <v>778</v>
      </c>
      <c r="C980" s="4" t="s">
        <v>287</v>
      </c>
      <c r="D980" s="94">
        <v>554.0</v>
      </c>
    </row>
    <row r="981">
      <c r="A981" s="40">
        <f t="array" ref="A981">IFNA(index(PlayerValues!A:A,match(IFNA(vlookup(B981,'Special Names'!A:B,2,FALSE),B981),PlayerValues!E:E,0)),"N/A")</f>
        <v>14858</v>
      </c>
      <c r="B981" s="4" t="s">
        <v>799</v>
      </c>
      <c r="C981" s="4" t="s">
        <v>287</v>
      </c>
      <c r="D981" s="94">
        <v>548.0</v>
      </c>
    </row>
    <row r="982">
      <c r="A982" s="40">
        <f t="array" ref="A982">IFNA(index(PlayerValues!A:A,match(IFNA(vlookup(B982,'Special Names'!A:B,2,FALSE),B982),PlayerValues!E:E,0)),"N/A")</f>
        <v>16957</v>
      </c>
      <c r="B982" s="4" t="s">
        <v>806</v>
      </c>
      <c r="C982" s="4" t="s">
        <v>278</v>
      </c>
      <c r="D982" s="94">
        <v>543.0</v>
      </c>
    </row>
    <row r="983">
      <c r="A983" s="40">
        <f t="array" ref="A983">IFNA(index(PlayerValues!A:A,match(IFNA(vlookup(B983,'Special Names'!A:B,2,FALSE),B983),PlayerValues!E:E,0)),"N/A")</f>
        <v>15796</v>
      </c>
      <c r="B983" s="4" t="s">
        <v>794</v>
      </c>
      <c r="C983" s="4" t="s">
        <v>298</v>
      </c>
      <c r="D983" s="94">
        <v>884.0</v>
      </c>
    </row>
    <row r="984">
      <c r="A984" s="40">
        <f t="array" ref="A984">IFNA(index(PlayerValues!A:A,match(IFNA(vlookup(B984,'Special Names'!A:B,2,FALSE),B984),PlayerValues!E:E,0)),"N/A")</f>
        <v>14805</v>
      </c>
      <c r="B984" s="4" t="s">
        <v>770</v>
      </c>
      <c r="C984" s="4" t="s">
        <v>278</v>
      </c>
      <c r="D984" s="94">
        <v>536.0</v>
      </c>
    </row>
    <row r="985">
      <c r="A985" s="40">
        <f t="array" ref="A985">IFNA(index(PlayerValues!A:A,match(IFNA(vlookup(B985,'Special Names'!A:B,2,FALSE),B985),PlayerValues!E:E,0)),"N/A")</f>
        <v>13595</v>
      </c>
      <c r="B985" s="4" t="s">
        <v>818</v>
      </c>
      <c r="C985" s="4" t="s">
        <v>283</v>
      </c>
      <c r="D985" s="94">
        <v>533.0</v>
      </c>
    </row>
    <row r="986">
      <c r="A986" s="40">
        <f t="array" ref="A986">IFNA(index(PlayerValues!A:A,match(IFNA(vlookup(B986,'Special Names'!A:B,2,FALSE),B986),PlayerValues!E:E,0)),"N/A")</f>
        <v>17038</v>
      </c>
      <c r="B986" s="4" t="s">
        <v>774</v>
      </c>
      <c r="C986" s="4" t="s">
        <v>283</v>
      </c>
      <c r="D986" s="94">
        <v>530.0</v>
      </c>
    </row>
    <row r="987">
      <c r="A987" s="40">
        <f t="array" ref="A987">IFNA(index(PlayerValues!A:A,match(IFNA(vlookup(B987,'Special Names'!A:B,2,FALSE),B987),PlayerValues!E:E,0)),"N/A")</f>
        <v>16159</v>
      </c>
      <c r="B987" s="4" t="s">
        <v>819</v>
      </c>
      <c r="C987" s="4" t="s">
        <v>283</v>
      </c>
      <c r="D987" s="94">
        <v>508.0</v>
      </c>
    </row>
    <row r="988">
      <c r="A988" s="40">
        <f t="array" ref="A988">IFNA(index(PlayerValues!A:A,match(IFNA(vlookup(B988,'Special Names'!A:B,2,FALSE),B988),PlayerValues!E:E,0)),"N/A")</f>
        <v>17232</v>
      </c>
      <c r="B988" s="4" t="s">
        <v>784</v>
      </c>
      <c r="C988" s="4" t="s">
        <v>287</v>
      </c>
      <c r="D988" s="94">
        <v>508.0</v>
      </c>
    </row>
    <row r="989">
      <c r="A989" s="40">
        <f t="array" ref="A989">IFNA(index(PlayerValues!A:A,match(IFNA(vlookup(B989,'Special Names'!A:B,2,FALSE),B989),PlayerValues!E:E,0)),"N/A")</f>
        <v>15263</v>
      </c>
      <c r="B989" s="4" t="s">
        <v>804</v>
      </c>
      <c r="C989" s="4" t="s">
        <v>278</v>
      </c>
      <c r="D989" s="94">
        <v>506.0</v>
      </c>
    </row>
    <row r="990">
      <c r="A990" s="40">
        <f t="array" ref="A990">IFNA(index(PlayerValues!A:A,match(IFNA(vlookup(B990,'Special Names'!A:B,2,FALSE),B990),PlayerValues!E:E,0)),"N/A")</f>
        <v>16299</v>
      </c>
      <c r="B990" s="4" t="s">
        <v>787</v>
      </c>
      <c r="C990" s="4" t="s">
        <v>287</v>
      </c>
      <c r="D990" s="94">
        <v>506.0</v>
      </c>
    </row>
    <row r="991">
      <c r="A991" s="40">
        <f t="array" ref="A991">IFNA(index(PlayerValues!A:A,match(IFNA(vlookup(B991,'Special Names'!A:B,2,FALSE),B991),PlayerValues!E:E,0)),"N/A")</f>
        <v>14358</v>
      </c>
      <c r="B991" s="4" t="s">
        <v>813</v>
      </c>
      <c r="C991" s="4" t="s">
        <v>283</v>
      </c>
      <c r="D991" s="94">
        <v>502.0</v>
      </c>
    </row>
    <row r="992">
      <c r="A992" s="40">
        <f t="array" ref="A992">IFNA(index(PlayerValues!A:A,match(IFNA(vlookup(B992,'Special Names'!A:B,2,FALSE),B992),PlayerValues!E:E,0)),"N/A")</f>
        <v>17243</v>
      </c>
      <c r="B992" s="4" t="s">
        <v>810</v>
      </c>
      <c r="C992" s="4" t="s">
        <v>298</v>
      </c>
      <c r="D992" s="94">
        <v>848.0</v>
      </c>
    </row>
    <row r="993">
      <c r="A993" s="40">
        <f t="array" ref="A993">IFNA(index(PlayerValues!A:A,match(IFNA(vlookup(B993,'Special Names'!A:B,2,FALSE),B993),PlayerValues!E:E,0)),"N/A")</f>
        <v>14875</v>
      </c>
      <c r="B993" s="4" t="s">
        <v>820</v>
      </c>
      <c r="C993" s="4" t="s">
        <v>298</v>
      </c>
      <c r="D993" s="94">
        <v>844.0</v>
      </c>
    </row>
    <row r="994">
      <c r="A994" s="40">
        <f t="array" ref="A994">IFNA(index(PlayerValues!A:A,match(IFNA(vlookup(B994,'Special Names'!A:B,2,FALSE),B994),PlayerValues!E:E,0)),"N/A")</f>
        <v>17348</v>
      </c>
      <c r="B994" s="4" t="s">
        <v>797</v>
      </c>
      <c r="C994" s="4" t="s">
        <v>278</v>
      </c>
      <c r="D994" s="94">
        <v>498.0</v>
      </c>
    </row>
    <row r="995">
      <c r="A995" s="40">
        <f t="array" ref="A995">IFNA(index(PlayerValues!A:A,match(IFNA(vlookup(B995,'Special Names'!A:B,2,FALSE),B995),PlayerValues!E:E,0)),"N/A")</f>
        <v>15804</v>
      </c>
      <c r="B995" s="4" t="s">
        <v>821</v>
      </c>
      <c r="C995" s="4" t="s">
        <v>298</v>
      </c>
      <c r="D995" s="94">
        <v>843.0</v>
      </c>
    </row>
    <row r="996">
      <c r="A996" s="40">
        <f t="array" ref="A996">IFNA(index(PlayerValues!A:A,match(IFNA(vlookup(B996,'Special Names'!A:B,2,FALSE),B996),PlayerValues!E:E,0)),"N/A")</f>
        <v>15714</v>
      </c>
      <c r="B996" s="4" t="s">
        <v>775</v>
      </c>
      <c r="C996" s="4" t="s">
        <v>278</v>
      </c>
      <c r="D996" s="94">
        <v>491.0</v>
      </c>
    </row>
    <row r="997">
      <c r="A997" s="40">
        <f t="array" ref="A997">IFNA(index(PlayerValues!A:A,match(IFNA(vlookup(B997,'Special Names'!A:B,2,FALSE),B997),PlayerValues!E:E,0)),"N/A")</f>
        <v>14209</v>
      </c>
      <c r="B997" s="4" t="s">
        <v>809</v>
      </c>
      <c r="C997" s="4" t="s">
        <v>298</v>
      </c>
      <c r="D997" s="94">
        <v>838.0</v>
      </c>
    </row>
    <row r="998">
      <c r="A998" s="40">
        <f t="array" ref="A998">IFNA(index(PlayerValues!A:A,match(IFNA(vlookup(B998,'Special Names'!A:B,2,FALSE),B998),PlayerValues!E:E,0)),"N/A")</f>
        <v>15271</v>
      </c>
      <c r="B998" s="4" t="s">
        <v>741</v>
      </c>
      <c r="C998" s="4" t="s">
        <v>278</v>
      </c>
      <c r="D998" s="94">
        <v>489.0</v>
      </c>
    </row>
    <row r="999">
      <c r="A999" s="40">
        <f t="array" ref="A999">IFNA(index(PlayerValues!A:A,match(IFNA(vlookup(B999,'Special Names'!A:B,2,FALSE),B999),PlayerValues!E:E,0)),"N/A")</f>
        <v>10413</v>
      </c>
      <c r="B999" s="4" t="s">
        <v>811</v>
      </c>
      <c r="C999" s="4" t="s">
        <v>283</v>
      </c>
      <c r="D999" s="94">
        <v>488.0</v>
      </c>
    </row>
    <row r="1000">
      <c r="A1000" s="40">
        <f t="array" ref="A1000">IFNA(index(PlayerValues!A:A,match(IFNA(vlookup(B1000,'Special Names'!A:B,2,FALSE),B1000),PlayerValues!E:E,0)),"N/A")</f>
        <v>17706</v>
      </c>
      <c r="B1000" s="4" t="s">
        <v>614</v>
      </c>
      <c r="C1000" s="4" t="s">
        <v>287</v>
      </c>
      <c r="D1000" s="94">
        <v>211.0</v>
      </c>
    </row>
    <row r="1001">
      <c r="A1001" s="40">
        <f t="array" ref="A1001">IFNA(index(PlayerValues!A:A,match(IFNA(vlookup(B1001,'Special Names'!A:B,2,FALSE),B1001),PlayerValues!E:E,0)),"N/A")</f>
        <v>16161</v>
      </c>
      <c r="B1001" s="4" t="s">
        <v>277</v>
      </c>
      <c r="C1001" s="4" t="s">
        <v>278</v>
      </c>
      <c r="D1001" s="94">
        <v>9997.0</v>
      </c>
    </row>
    <row r="1002">
      <c r="A1002" s="40">
        <f t="array" ref="A1002">IFNA(index(PlayerValues!A:A,match(IFNA(vlookup(B1002,'Special Names'!A:B,2,FALSE),B1002),PlayerValues!E:E,0)),"N/A")</f>
        <v>13589</v>
      </c>
      <c r="B1002" s="4" t="s">
        <v>282</v>
      </c>
      <c r="C1002" s="4" t="s">
        <v>283</v>
      </c>
      <c r="D1002" s="94">
        <v>9996.0</v>
      </c>
    </row>
    <row r="1003">
      <c r="A1003" s="40">
        <f t="array" ref="A1003">IFNA(index(PlayerValues!A:A,match(IFNA(vlookup(B1003,'Special Names'!A:B,2,FALSE),B1003),PlayerValues!E:E,0)),"N/A")</f>
        <v>15281</v>
      </c>
      <c r="B1003" s="4" t="s">
        <v>286</v>
      </c>
      <c r="C1003" s="4" t="s">
        <v>287</v>
      </c>
      <c r="D1003" s="94">
        <v>9984.0</v>
      </c>
    </row>
    <row r="1004">
      <c r="A1004" s="40">
        <f t="array" ref="A1004">IFNA(index(PlayerValues!A:A,match(IFNA(vlookup(B1004,'Special Names'!A:B,2,FALSE),B1004),PlayerValues!E:E,0)),"N/A")</f>
        <v>16162</v>
      </c>
      <c r="B1004" s="4" t="s">
        <v>281</v>
      </c>
      <c r="C1004" s="4" t="s">
        <v>278</v>
      </c>
      <c r="D1004" s="94">
        <v>9919.0</v>
      </c>
    </row>
    <row r="1005">
      <c r="A1005" s="40">
        <f t="array" ref="A1005">IFNA(index(PlayerValues!A:A,match(IFNA(vlookup(B1005,'Special Names'!A:B,2,FALSE),B1005),PlayerValues!E:E,0)),"N/A")</f>
        <v>16185</v>
      </c>
      <c r="B1005" s="4" t="s">
        <v>290</v>
      </c>
      <c r="C1005" s="4" t="s">
        <v>287</v>
      </c>
      <c r="D1005" s="94">
        <v>9590.0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9437.0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8741.0</v>
      </c>
    </row>
    <row r="1008">
      <c r="A1008" s="40">
        <f t="array" ref="A1008">IFNA(index(PlayerValues!A:A,match(IFNA(vlookup(B1008,'Special Names'!A:B,2,FALSE),B1008),PlayerValues!E:E,0)),"N/A")</f>
        <v>16641</v>
      </c>
      <c r="B1008" s="4" t="s">
        <v>297</v>
      </c>
      <c r="C1008" s="4" t="s">
        <v>298</v>
      </c>
      <c r="D1008" s="94">
        <v>8999.0</v>
      </c>
    </row>
    <row r="1009">
      <c r="A1009" s="40">
        <f t="array" ref="A1009">IFNA(index(PlayerValues!A:A,match(IFNA(vlookup(B1009,'Special Names'!A:B,2,FALSE),B1009),PlayerValues!E:E,0)),"N/A")</f>
        <v>16579</v>
      </c>
      <c r="B1009" s="4" t="s">
        <v>302</v>
      </c>
      <c r="C1009" s="4" t="s">
        <v>283</v>
      </c>
      <c r="D1009" s="94">
        <v>8035.0</v>
      </c>
    </row>
    <row r="1010">
      <c r="A1010" s="40">
        <f t="array" ref="A1010">IFNA(index(PlayerValues!A:A,match(IFNA(vlookup(B1010,'Special Names'!A:B,2,FALSE),B1010),PlayerValues!E:E,0)),"N/A")</f>
        <v>15287</v>
      </c>
      <c r="B1010" s="4" t="s">
        <v>299</v>
      </c>
      <c r="C1010" s="4" t="s">
        <v>287</v>
      </c>
      <c r="D1010" s="94">
        <v>7905.0</v>
      </c>
    </row>
    <row r="1011">
      <c r="A1011" s="40">
        <f t="array" ref="A1011">IFNA(index(PlayerValues!A:A,match(IFNA(vlookup(B1011,'Special Names'!A:B,2,FALSE),B1011),PlayerValues!E:E,0)),"N/A")</f>
        <v>16581</v>
      </c>
      <c r="B1011" s="4" t="s">
        <v>315</v>
      </c>
      <c r="C1011" s="4" t="s">
        <v>283</v>
      </c>
      <c r="D1011" s="94">
        <v>7816.0</v>
      </c>
    </row>
    <row r="1012">
      <c r="A1012" s="40">
        <f t="array" ref="A1012">IFNA(index(PlayerValues!A:A,match(IFNA(vlookup(B1012,'Special Names'!A:B,2,FALSE),B1012),PlayerValues!E:E,0)),"N/A")</f>
        <v>17042</v>
      </c>
      <c r="B1012" s="4" t="s">
        <v>314</v>
      </c>
      <c r="C1012" s="4" t="s">
        <v>278</v>
      </c>
      <c r="D1012" s="94">
        <v>7673.0</v>
      </c>
    </row>
    <row r="1013">
      <c r="A1013" s="40">
        <f t="array" ref="A1013">IFNA(index(PlayerValues!A:A,match(IFNA(vlookup(B1013,'Special Names'!A:B,2,FALSE),B1013),PlayerValues!E:E,0)),"N/A")</f>
        <v>14836</v>
      </c>
      <c r="B1013" s="4" t="s">
        <v>306</v>
      </c>
      <c r="C1013" s="4" t="s">
        <v>287</v>
      </c>
      <c r="D1013" s="94">
        <v>7601.0</v>
      </c>
    </row>
    <row r="1014">
      <c r="A1014" s="40">
        <f t="array" ref="A1014">IFNA(index(PlayerValues!A:A,match(IFNA(vlookup(B1014,'Special Names'!A:B,2,FALSE),B1014),PlayerValues!E:E,0)),"N/A")</f>
        <v>13593</v>
      </c>
      <c r="B1014" s="4" t="s">
        <v>305</v>
      </c>
      <c r="C1014" s="4" t="s">
        <v>283</v>
      </c>
      <c r="D1014" s="94">
        <v>7596.0</v>
      </c>
    </row>
    <row r="1015">
      <c r="A1015" s="40">
        <f t="array" ref="A1015">IFNA(index(PlayerValues!A:A,match(IFNA(vlookup(B1015,'Special Names'!A:B,2,FALSE),B1015),PlayerValues!E:E,0)),"N/A")</f>
        <v>17472</v>
      </c>
      <c r="B1015" s="4" t="s">
        <v>310</v>
      </c>
      <c r="C1015" s="4" t="s">
        <v>278</v>
      </c>
      <c r="D1015" s="94">
        <v>7589.0</v>
      </c>
    </row>
    <row r="1016">
      <c r="A1016" s="40">
        <f t="array" ref="A1016">IFNA(index(PlayerValues!A:A,match(IFNA(vlookup(B1016,'Special Names'!A:B,2,FALSE),B1016),PlayerValues!E:E,0)),"N/A")</f>
        <v>16615</v>
      </c>
      <c r="B1016" s="4" t="s">
        <v>309</v>
      </c>
      <c r="C1016" s="4" t="s">
        <v>287</v>
      </c>
      <c r="D1016" s="94">
        <v>7471.0</v>
      </c>
    </row>
    <row r="1017">
      <c r="A1017" s="40">
        <f t="array" ref="A1017">IFNA(index(PlayerValues!A:A,match(IFNA(vlookup(B1017,'Special Names'!A:B,2,FALSE),B1017),PlayerValues!E:E,0)),"N/A")</f>
        <v>14777</v>
      </c>
      <c r="B1017" s="4" t="s">
        <v>318</v>
      </c>
      <c r="C1017" s="4" t="s">
        <v>283</v>
      </c>
      <c r="D1017" s="94">
        <v>7460.0</v>
      </c>
    </row>
    <row r="1018">
      <c r="A1018" s="40">
        <f t="array" ref="A1018">IFNA(index(PlayerValues!A:A,match(IFNA(vlookup(B1018,'Special Names'!A:B,2,FALSE),B1018),PlayerValues!E:E,0)),"N/A")</f>
        <v>15794</v>
      </c>
      <c r="B1018" s="4" t="s">
        <v>313</v>
      </c>
      <c r="C1018" s="4" t="s">
        <v>298</v>
      </c>
      <c r="D1018" s="94">
        <v>8138.0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7228.0</v>
      </c>
    </row>
    <row r="1020">
      <c r="A1020" s="40">
        <f t="array" ref="A1020">IFNA(index(PlayerValues!A:A,match(IFNA(vlookup(B1020,'Special Names'!A:B,2,FALSE),B1020),PlayerValues!E:E,0)),"N/A")</f>
        <v>15751</v>
      </c>
      <c r="B1020" s="4" t="s">
        <v>328</v>
      </c>
      <c r="C1020" s="4" t="s">
        <v>287</v>
      </c>
      <c r="D1020" s="94">
        <v>7177.0</v>
      </c>
    </row>
    <row r="1021">
      <c r="A1021" s="40" t="str">
        <f t="array" ref="A1021">IFNA(index(PlayerValues!A:A,match(IFNA(vlookup(B1021,'Special Names'!A:B,2,FALSE),B1021),PlayerValues!E:E,0)),"N/A")</f>
        <v>N/A</v>
      </c>
      <c r="B1021" s="4" t="s">
        <v>92</v>
      </c>
      <c r="C1021" s="4" t="s">
        <v>325</v>
      </c>
      <c r="D1021" s="94">
        <v>7064.0</v>
      </c>
    </row>
    <row r="1022">
      <c r="A1022" s="40">
        <f t="array" ref="A1022">IFNA(index(PlayerValues!A:A,match(IFNA(vlookup(B1022,'Special Names'!A:B,2,FALSE),B1022),PlayerValues!E:E,0)),"N/A")</f>
        <v>14779</v>
      </c>
      <c r="B1022" s="4" t="s">
        <v>327</v>
      </c>
      <c r="C1022" s="4" t="s">
        <v>283</v>
      </c>
      <c r="D1022" s="94">
        <v>6994.0</v>
      </c>
    </row>
    <row r="1023">
      <c r="A1023" s="40">
        <f t="array" ref="A1023">IFNA(index(PlayerValues!A:A,match(IFNA(vlookup(B1023,'Special Names'!A:B,2,FALSE),B1023),PlayerValues!E:E,0)),"N/A")</f>
        <v>17044</v>
      </c>
      <c r="B1023" s="4" t="s">
        <v>322</v>
      </c>
      <c r="C1023" s="4" t="s">
        <v>278</v>
      </c>
      <c r="D1023" s="94">
        <v>6855.0</v>
      </c>
    </row>
    <row r="1024">
      <c r="A1024" s="40">
        <f t="array" ref="A1024">IFNA(index(PlayerValues!A:A,match(IFNA(vlookup(B1024,'Special Names'!A:B,2,FALSE),B1024),PlayerValues!E:E,0)),"N/A")</f>
        <v>16167</v>
      </c>
      <c r="B1024" s="4" t="s">
        <v>323</v>
      </c>
      <c r="C1024" s="4" t="s">
        <v>278</v>
      </c>
      <c r="D1024" s="94">
        <v>6836.0</v>
      </c>
    </row>
    <row r="1025">
      <c r="A1025" s="40">
        <f t="array" ref="A1025">IFNA(index(PlayerValues!A:A,match(IFNA(vlookup(B1025,'Special Names'!A:B,2,FALSE),B1025),PlayerValues!E:E,0)),"N/A")</f>
        <v>13116</v>
      </c>
      <c r="B1025" s="4" t="s">
        <v>345</v>
      </c>
      <c r="C1025" s="4" t="s">
        <v>283</v>
      </c>
      <c r="D1025" s="94">
        <v>6645.0</v>
      </c>
    </row>
    <row r="1026">
      <c r="A1026" s="40">
        <f t="array" ref="A1026">IFNA(index(PlayerValues!A:A,match(IFNA(vlookup(B1026,'Special Names'!A:B,2,FALSE),B1026),PlayerValues!E:E,0)),"N/A")</f>
        <v>17071</v>
      </c>
      <c r="B1026" s="4" t="s">
        <v>341</v>
      </c>
      <c r="C1026" s="4" t="s">
        <v>287</v>
      </c>
      <c r="D1026" s="94">
        <v>6555.0</v>
      </c>
    </row>
    <row r="1027">
      <c r="A1027" s="40">
        <f t="array" ref="A1027">IFNA(index(PlayerValues!A:A,match(IFNA(vlookup(B1027,'Special Names'!A:B,2,FALSE),B1027),PlayerValues!E:E,0)),"N/A")</f>
        <v>17032</v>
      </c>
      <c r="B1027" s="4" t="s">
        <v>348</v>
      </c>
      <c r="C1027" s="4" t="s">
        <v>283</v>
      </c>
      <c r="D1027" s="94">
        <v>6449.0</v>
      </c>
    </row>
    <row r="1028">
      <c r="A1028" s="40">
        <f t="array" ref="A1028">IFNA(index(PlayerValues!A:A,match(IFNA(vlookup(B1028,'Special Names'!A:B,2,FALSE),B1028),PlayerValues!E:E,0)),"N/A")</f>
        <v>15237</v>
      </c>
      <c r="B1028" s="4" t="s">
        <v>336</v>
      </c>
      <c r="C1028" s="4" t="s">
        <v>283</v>
      </c>
      <c r="D1028" s="94">
        <v>6356.0</v>
      </c>
    </row>
    <row r="1029">
      <c r="A1029" s="40">
        <f t="array" ref="A1029">IFNA(index(PlayerValues!A:A,match(IFNA(vlookup(B1029,'Special Names'!A:B,2,FALSE),B1029),PlayerValues!E:E,0)),"N/A")</f>
        <v>17104</v>
      </c>
      <c r="B1029" s="4" t="s">
        <v>333</v>
      </c>
      <c r="C1029" s="4" t="s">
        <v>298</v>
      </c>
      <c r="D1029" s="94">
        <v>6911.0</v>
      </c>
    </row>
    <row r="1030">
      <c r="A1030" s="40">
        <f t="array" ref="A1030">IFNA(index(PlayerValues!A:A,match(IFNA(vlookup(B1030,'Special Names'!A:B,2,FALSE),B1030),PlayerValues!E:E,0)),"N/A")</f>
        <v>14783</v>
      </c>
      <c r="B1030" s="4" t="s">
        <v>342</v>
      </c>
      <c r="C1030" s="4" t="s">
        <v>283</v>
      </c>
      <c r="D1030" s="94">
        <v>6171.0</v>
      </c>
    </row>
    <row r="1031">
      <c r="A1031" s="40">
        <f t="array" ref="A1031">IFNA(index(PlayerValues!A:A,match(IFNA(vlookup(B1031,'Special Names'!A:B,2,FALSE),B1031),PlayerValues!E:E,0)),"N/A")</f>
        <v>16582</v>
      </c>
      <c r="B1031" s="4" t="s">
        <v>343</v>
      </c>
      <c r="C1031" s="4" t="s">
        <v>283</v>
      </c>
      <c r="D1031" s="94">
        <v>6073.0</v>
      </c>
    </row>
    <row r="1032">
      <c r="A1032" s="40">
        <f t="array" ref="A1032">IFNA(index(PlayerValues!A:A,match(IFNA(vlookup(B1032,'Special Names'!A:B,2,FALSE),B1032),PlayerValues!E:E,0)),"N/A")</f>
        <v>17081</v>
      </c>
      <c r="B1032" s="4" t="s">
        <v>340</v>
      </c>
      <c r="C1032" s="4" t="s">
        <v>287</v>
      </c>
      <c r="D1032" s="94">
        <v>6061.0</v>
      </c>
    </row>
    <row r="1033">
      <c r="A1033" s="40">
        <f t="array" ref="A1033">IFNA(index(PlayerValues!A:A,match(IFNA(vlookup(B1033,'Special Names'!A:B,2,FALSE),B1033),PlayerValues!E:E,0)),"N/A")</f>
        <v>15715</v>
      </c>
      <c r="B1033" s="4" t="s">
        <v>331</v>
      </c>
      <c r="C1033" s="4" t="s">
        <v>278</v>
      </c>
      <c r="D1033" s="94">
        <v>6044.0</v>
      </c>
    </row>
    <row r="1034">
      <c r="A1034" s="40">
        <f t="array" ref="A1034">IFNA(index(PlayerValues!A:A,match(IFNA(vlookup(B1034,'Special Names'!A:B,2,FALSE),B1034),PlayerValues!E:E,0)),"N/A")</f>
        <v>14802</v>
      </c>
      <c r="B1034" s="4" t="s">
        <v>332</v>
      </c>
      <c r="C1034" s="4" t="s">
        <v>278</v>
      </c>
      <c r="D1034" s="94">
        <v>6010.0</v>
      </c>
    </row>
    <row r="1035">
      <c r="A1035" s="40">
        <f t="array" ref="A1035">IFNA(index(PlayerValues!A:A,match(IFNA(vlookup(B1035,'Special Names'!A:B,2,FALSE),B1035),PlayerValues!E:E,0)),"N/A")</f>
        <v>17497</v>
      </c>
      <c r="B1035" s="4" t="s">
        <v>365</v>
      </c>
      <c r="C1035" s="4" t="s">
        <v>287</v>
      </c>
      <c r="D1035" s="94">
        <v>5957.0</v>
      </c>
    </row>
    <row r="1036">
      <c r="A1036" s="40">
        <f t="array" ref="A1036">IFNA(index(PlayerValues!A:A,match(IFNA(vlookup(B1036,'Special Names'!A:B,2,FALSE),B1036),PlayerValues!E:E,0)),"N/A")</f>
        <v>15762</v>
      </c>
      <c r="B1036" s="4" t="s">
        <v>337</v>
      </c>
      <c r="C1036" s="4" t="s">
        <v>287</v>
      </c>
      <c r="D1036" s="94">
        <v>5924.0</v>
      </c>
    </row>
    <row r="1037">
      <c r="A1037" s="40">
        <f t="array" ref="A1037">IFNA(index(PlayerValues!A:A,match(IFNA(vlookup(B1037,'Special Names'!A:B,2,FALSE),B1037),PlayerValues!E:E,0)),"N/A")</f>
        <v>17102</v>
      </c>
      <c r="B1037" s="4" t="s">
        <v>344</v>
      </c>
      <c r="C1037" s="4" t="s">
        <v>298</v>
      </c>
      <c r="D1037" s="94">
        <v>6499.0</v>
      </c>
    </row>
    <row r="1038">
      <c r="A1038" s="40">
        <f t="array" ref="A1038">IFNA(index(PlayerValues!A:A,match(IFNA(vlookup(B1038,'Special Names'!A:B,2,FALSE),B1038),PlayerValues!E:E,0)),"N/A")</f>
        <v>15698</v>
      </c>
      <c r="B1038" s="4" t="s">
        <v>358</v>
      </c>
      <c r="C1038" s="4" t="s">
        <v>283</v>
      </c>
      <c r="D1038" s="94">
        <v>5837.0</v>
      </c>
    </row>
    <row r="1039">
      <c r="A1039" s="40">
        <f t="array" ref="A1039">IFNA(index(PlayerValues!A:A,match(IFNA(vlookup(B1039,'Special Names'!A:B,2,FALSE),B1039),PlayerValues!E:E,0)),"N/A")</f>
        <v>15753</v>
      </c>
      <c r="B1039" s="4" t="s">
        <v>359</v>
      </c>
      <c r="C1039" s="4" t="s">
        <v>287</v>
      </c>
      <c r="D1039" s="94">
        <v>5683.0</v>
      </c>
    </row>
    <row r="1040">
      <c r="A1040" s="40" t="str">
        <f t="array" ref="A1040">IFNA(index(PlayerValues!A:A,match(IFNA(vlookup(B1040,'Special Names'!A:B,2,FALSE),B1040),PlayerValues!E:E,0)),"N/A")</f>
        <v>N/A</v>
      </c>
      <c r="B1040" s="4" t="s">
        <v>79</v>
      </c>
      <c r="C1040" s="4" t="s">
        <v>325</v>
      </c>
      <c r="D1040" s="94">
        <v>5602.0</v>
      </c>
    </row>
    <row r="1041">
      <c r="A1041" s="40" t="str">
        <f t="array" ref="A1041">IFNA(index(PlayerValues!A:A,match(IFNA(vlookup(B1041,'Special Names'!A:B,2,FALSE),B1041),PlayerValues!E:E,0)),"N/A")</f>
        <v>N/A</v>
      </c>
      <c r="B1041" s="4" t="s">
        <v>93</v>
      </c>
      <c r="C1041" s="4" t="s">
        <v>325</v>
      </c>
      <c r="D1041" s="94">
        <v>5601.0</v>
      </c>
    </row>
    <row r="1042">
      <c r="A1042" s="40">
        <f t="array" ref="A1042">IFNA(index(PlayerValues!A:A,match(IFNA(vlookup(B1042,'Special Names'!A:B,2,FALSE),B1042),PlayerValues!E:E,0)),"N/A")</f>
        <v>15290</v>
      </c>
      <c r="B1042" s="4" t="s">
        <v>355</v>
      </c>
      <c r="C1042" s="4" t="s">
        <v>287</v>
      </c>
      <c r="D1042" s="94">
        <v>5592.0</v>
      </c>
    </row>
    <row r="1043">
      <c r="A1043" s="40">
        <f t="array" ref="A1043">IFNA(index(PlayerValues!A:A,match(IFNA(vlookup(B1043,'Special Names'!A:B,2,FALSE),B1043),PlayerValues!E:E,0)),"N/A")</f>
        <v>16627</v>
      </c>
      <c r="B1043" s="4" t="s">
        <v>351</v>
      </c>
      <c r="C1043" s="4" t="s">
        <v>287</v>
      </c>
      <c r="D1043" s="94">
        <v>5568.0</v>
      </c>
    </row>
    <row r="1044">
      <c r="A1044" s="40">
        <f t="array" ref="A1044">IFNA(index(PlayerValues!A:A,match(IFNA(vlookup(B1044,'Special Names'!A:B,2,FALSE),B1044),PlayerValues!E:E,0)),"N/A")</f>
        <v>17462</v>
      </c>
      <c r="B1044" s="4" t="s">
        <v>375</v>
      </c>
      <c r="C1044" s="4" t="s">
        <v>283</v>
      </c>
      <c r="D1044" s="94">
        <v>5535.0</v>
      </c>
    </row>
    <row r="1045">
      <c r="A1045" s="40">
        <f t="array" ref="A1045">IFNA(index(PlayerValues!A:A,match(IFNA(vlookup(B1045,'Special Names'!A:B,2,FALSE),B1045),PlayerValues!E:E,0)),"N/A")</f>
        <v>15754</v>
      </c>
      <c r="B1045" s="4" t="s">
        <v>354</v>
      </c>
      <c r="C1045" s="4" t="s">
        <v>287</v>
      </c>
      <c r="D1045" s="94">
        <v>5527.0</v>
      </c>
    </row>
    <row r="1046">
      <c r="A1046" s="40">
        <f t="array" ref="A1046">IFNA(index(PlayerValues!A:A,match(IFNA(vlookup(B1046,'Special Names'!A:B,2,FALSE),B1046),PlayerValues!E:E,0)),"N/A")</f>
        <v>17051</v>
      </c>
      <c r="B1046" s="4" t="s">
        <v>386</v>
      </c>
      <c r="C1046" s="4" t="s">
        <v>278</v>
      </c>
      <c r="D1046" s="94">
        <v>5514.0</v>
      </c>
    </row>
    <row r="1047">
      <c r="A1047" s="40">
        <f t="array" ref="A1047">IFNA(index(PlayerValues!A:A,match(IFNA(vlookup(B1047,'Special Names'!A:B,2,FALSE),B1047),PlayerValues!E:E,0)),"N/A")</f>
        <v>14782</v>
      </c>
      <c r="B1047" s="4" t="s">
        <v>385</v>
      </c>
      <c r="C1047" s="4" t="s">
        <v>283</v>
      </c>
      <c r="D1047" s="94">
        <v>5513.0</v>
      </c>
    </row>
    <row r="1048">
      <c r="A1048" s="40">
        <f t="array" ref="A1048">IFNA(index(PlayerValues!A:A,match(IFNA(vlookup(B1048,'Special Names'!A:B,2,FALSE),B1048),PlayerValues!E:E,0)),"N/A")</f>
        <v>17043</v>
      </c>
      <c r="B1048" s="4" t="s">
        <v>397</v>
      </c>
      <c r="C1048" s="4" t="s">
        <v>278</v>
      </c>
      <c r="D1048" s="94">
        <v>5489.0</v>
      </c>
    </row>
    <row r="1049">
      <c r="A1049" s="40">
        <f t="array" ref="A1049">IFNA(index(PlayerValues!A:A,match(IFNA(vlookup(B1049,'Special Names'!A:B,2,FALSE),B1049),PlayerValues!E:E,0)),"N/A")</f>
        <v>15711</v>
      </c>
      <c r="B1049" s="4" t="s">
        <v>349</v>
      </c>
      <c r="C1049" s="4" t="s">
        <v>278</v>
      </c>
      <c r="D1049" s="94">
        <v>5486.0</v>
      </c>
    </row>
    <row r="1050">
      <c r="A1050" s="40">
        <f t="array" ref="A1050">IFNA(index(PlayerValues!A:A,match(IFNA(vlookup(B1050,'Special Names'!A:B,2,FALSE),B1050),PlayerValues!E:E,0)),"N/A")</f>
        <v>15282</v>
      </c>
      <c r="B1050" s="4" t="s">
        <v>364</v>
      </c>
      <c r="C1050" s="4" t="s">
        <v>287</v>
      </c>
      <c r="D1050" s="94">
        <v>5453.0</v>
      </c>
    </row>
    <row r="1051">
      <c r="A1051" s="40">
        <f t="array" ref="A1051">IFNA(index(PlayerValues!A:A,match(IFNA(vlookup(B1051,'Special Names'!A:B,2,FALSE),B1051),PlayerValues!E:E,0)),"N/A")</f>
        <v>17070</v>
      </c>
      <c r="B1051" s="4" t="s">
        <v>370</v>
      </c>
      <c r="C1051" s="4" t="s">
        <v>287</v>
      </c>
      <c r="D1051" s="94">
        <v>5404.0</v>
      </c>
    </row>
    <row r="1052">
      <c r="A1052" s="40">
        <f t="array" ref="A1052">IFNA(index(PlayerValues!A:A,match(IFNA(vlookup(B1052,'Special Names'!A:B,2,FALSE),B1052),PlayerValues!E:E,0)),"N/A")</f>
        <v>15708</v>
      </c>
      <c r="B1052" s="4" t="s">
        <v>382</v>
      </c>
      <c r="C1052" s="4" t="s">
        <v>278</v>
      </c>
      <c r="D1052" s="94">
        <v>5395.0</v>
      </c>
    </row>
    <row r="1053">
      <c r="A1053" s="40">
        <f t="array" ref="A1053">IFNA(index(PlayerValues!A:A,match(IFNA(vlookup(B1053,'Special Names'!A:B,2,FALSE),B1053),PlayerValues!E:E,0)),"N/A")</f>
        <v>17498</v>
      </c>
      <c r="B1053" s="4" t="s">
        <v>396</v>
      </c>
      <c r="C1053" s="4" t="s">
        <v>287</v>
      </c>
      <c r="D1053" s="94">
        <v>5394.0</v>
      </c>
    </row>
    <row r="1054">
      <c r="A1054" s="40">
        <f t="array" ref="A1054">IFNA(index(PlayerValues!A:A,match(IFNA(vlookup(B1054,'Special Names'!A:B,2,FALSE),B1054),PlayerValues!E:E,0)),"N/A")</f>
        <v>17030</v>
      </c>
      <c r="B1054" s="4" t="s">
        <v>406</v>
      </c>
      <c r="C1054" s="4" t="s">
        <v>283</v>
      </c>
      <c r="D1054" s="94">
        <v>5363.0</v>
      </c>
    </row>
    <row r="1055">
      <c r="A1055" s="40">
        <f t="array" ref="A1055">IFNA(index(PlayerValues!A:A,match(IFNA(vlookup(B1055,'Special Names'!A:B,2,FALSE),B1055),PlayerValues!E:E,0)),"N/A")</f>
        <v>16616</v>
      </c>
      <c r="B1055" s="4" t="s">
        <v>389</v>
      </c>
      <c r="C1055" s="4" t="s">
        <v>287</v>
      </c>
      <c r="D1055" s="94">
        <v>5273.0</v>
      </c>
    </row>
    <row r="1056">
      <c r="A1056" s="40">
        <f t="array" ref="A1056">IFNA(index(PlayerValues!A:A,match(IFNA(vlookup(B1056,'Special Names'!A:B,2,FALSE),B1056),PlayerValues!E:E,0)),"N/A")</f>
        <v>16181</v>
      </c>
      <c r="B1056" s="4" t="s">
        <v>350</v>
      </c>
      <c r="C1056" s="4" t="s">
        <v>278</v>
      </c>
      <c r="D1056" s="94">
        <v>5125.0</v>
      </c>
    </row>
    <row r="1057">
      <c r="A1057" s="40">
        <f t="array" ref="A1057">IFNA(index(PlayerValues!A:A,match(IFNA(vlookup(B1057,'Special Names'!A:B,2,FALSE),B1057),PlayerValues!E:E,0)),"N/A")</f>
        <v>17499</v>
      </c>
      <c r="B1057" s="4" t="s">
        <v>402</v>
      </c>
      <c r="C1057" s="4" t="s">
        <v>287</v>
      </c>
      <c r="D1057" s="94">
        <v>5095.0</v>
      </c>
    </row>
    <row r="1058">
      <c r="A1058" s="40" t="str">
        <f t="array" ref="A1058">IFNA(index(PlayerValues!A:A,match(IFNA(vlookup(B1058,'Special Names'!A:B,2,FALSE),B1058),PlayerValues!E:E,0)),"N/A")</f>
        <v>N/A</v>
      </c>
      <c r="B1058" s="4" t="s">
        <v>104</v>
      </c>
      <c r="C1058" s="4" t="s">
        <v>325</v>
      </c>
      <c r="D1058" s="94">
        <v>5016.0</v>
      </c>
    </row>
    <row r="1059">
      <c r="A1059" s="40">
        <f t="array" ref="A1059">IFNA(index(PlayerValues!A:A,match(IFNA(vlookup(B1059,'Special Names'!A:B,2,FALSE),B1059),PlayerValues!E:E,0)),"N/A")</f>
        <v>13130</v>
      </c>
      <c r="B1059" s="4" t="s">
        <v>374</v>
      </c>
      <c r="C1059" s="4" t="s">
        <v>278</v>
      </c>
      <c r="D1059" s="94">
        <v>4985.0</v>
      </c>
    </row>
    <row r="1060">
      <c r="A1060" s="40">
        <f t="array" ref="A1060">IFNA(index(PlayerValues!A:A,match(IFNA(vlookup(B1060,'Special Names'!A:B,2,FALSE),B1060),PlayerValues!E:E,0)),"N/A")</f>
        <v>16614</v>
      </c>
      <c r="B1060" s="4" t="s">
        <v>403</v>
      </c>
      <c r="C1060" s="4" t="s">
        <v>287</v>
      </c>
      <c r="D1060" s="94">
        <v>4968.0</v>
      </c>
    </row>
    <row r="1061">
      <c r="A1061" s="40">
        <f t="array" ref="A1061">IFNA(index(PlayerValues!A:A,match(IFNA(vlookup(B1061,'Special Names'!A:B,2,FALSE),B1061),PlayerValues!E:E,0)),"N/A")</f>
        <v>14104</v>
      </c>
      <c r="B1061" s="4" t="s">
        <v>379</v>
      </c>
      <c r="C1061" s="4" t="s">
        <v>287</v>
      </c>
      <c r="D1061" s="94">
        <v>4951.0</v>
      </c>
    </row>
    <row r="1062">
      <c r="A1062" s="40">
        <f t="array" ref="A1062">IFNA(index(PlayerValues!A:A,match(IFNA(vlookup(B1062,'Special Names'!A:B,2,FALSE),B1062),PlayerValues!E:E,0)),"N/A")</f>
        <v>13604</v>
      </c>
      <c r="B1062" s="4" t="s">
        <v>378</v>
      </c>
      <c r="C1062" s="4" t="s">
        <v>278</v>
      </c>
      <c r="D1062" s="94">
        <v>4946.0</v>
      </c>
    </row>
    <row r="1063">
      <c r="A1063" s="40">
        <f t="array" ref="A1063">IFNA(index(PlayerValues!A:A,match(IFNA(vlookup(B1063,'Special Names'!A:B,2,FALSE),B1063),PlayerValues!E:E,0)),"N/A")</f>
        <v>14835</v>
      </c>
      <c r="B1063" s="4" t="s">
        <v>392</v>
      </c>
      <c r="C1063" s="4" t="s">
        <v>287</v>
      </c>
      <c r="D1063" s="94">
        <v>4938.0</v>
      </c>
    </row>
    <row r="1064">
      <c r="A1064" s="40" t="str">
        <f t="array" ref="A1064">IFNA(index(PlayerValues!A:A,match(IFNA(vlookup(B1064,'Special Names'!A:B,2,FALSE),B1064),PlayerValues!E:E,0)),"N/A")</f>
        <v>N/A</v>
      </c>
      <c r="B1064" s="4" t="s">
        <v>94</v>
      </c>
      <c r="C1064" s="4" t="s">
        <v>325</v>
      </c>
      <c r="D1064" s="94">
        <v>4931.0</v>
      </c>
    </row>
    <row r="1065">
      <c r="A1065" s="40">
        <f t="array" ref="A1065">IFNA(index(PlayerValues!A:A,match(IFNA(vlookup(B1065,'Special Names'!A:B,2,FALSE),B1065),PlayerValues!E:E,0)),"N/A")</f>
        <v>16222</v>
      </c>
      <c r="B1065" s="4" t="s">
        <v>393</v>
      </c>
      <c r="C1065" s="4" t="s">
        <v>298</v>
      </c>
      <c r="D1065" s="94">
        <v>5496.0</v>
      </c>
    </row>
    <row r="1066">
      <c r="A1066" s="40">
        <f t="array" ref="A1066">IFNA(index(PlayerValues!A:A,match(IFNA(vlookup(B1066,'Special Names'!A:B,2,FALSE),B1066),PlayerValues!E:E,0)),"N/A")</f>
        <v>16618</v>
      </c>
      <c r="B1066" s="4" t="s">
        <v>411</v>
      </c>
      <c r="C1066" s="4" t="s">
        <v>287</v>
      </c>
      <c r="D1066" s="94">
        <v>4890.0</v>
      </c>
    </row>
    <row r="1067">
      <c r="A1067" s="40">
        <f t="array" ref="A1067">IFNA(index(PlayerValues!A:A,match(IFNA(vlookup(B1067,'Special Names'!A:B,2,FALSE),B1067),PlayerValues!E:E,0)),"N/A")</f>
        <v>16190</v>
      </c>
      <c r="B1067" s="4" t="s">
        <v>371</v>
      </c>
      <c r="C1067" s="4" t="s">
        <v>287</v>
      </c>
      <c r="D1067" s="94">
        <v>4888.0</v>
      </c>
    </row>
    <row r="1068">
      <c r="A1068" s="40">
        <f t="array" ref="A1068">IFNA(index(PlayerValues!A:A,match(IFNA(vlookup(B1068,'Special Names'!A:B,2,FALSE),B1068),PlayerValues!E:E,0)),"N/A")</f>
        <v>12620</v>
      </c>
      <c r="B1068" s="4" t="s">
        <v>394</v>
      </c>
      <c r="C1068" s="4" t="s">
        <v>283</v>
      </c>
      <c r="D1068" s="94">
        <v>4881.0</v>
      </c>
    </row>
    <row r="1069">
      <c r="A1069" s="40">
        <f t="array" ref="A1069">IFNA(index(PlayerValues!A:A,match(IFNA(vlookup(B1069,'Special Names'!A:B,2,FALSE),B1069),PlayerValues!E:E,0)),"N/A")</f>
        <v>15710</v>
      </c>
      <c r="B1069" s="4" t="s">
        <v>395</v>
      </c>
      <c r="C1069" s="4" t="s">
        <v>278</v>
      </c>
      <c r="D1069" s="94">
        <v>4864.0</v>
      </c>
    </row>
    <row r="1070">
      <c r="A1070" s="40">
        <f t="array" ref="A1070">IFNA(index(PlayerValues!A:A,match(IFNA(vlookup(B1070,'Special Names'!A:B,2,FALSE),B1070),PlayerValues!E:E,0)),"N/A")</f>
        <v>17473</v>
      </c>
      <c r="B1070" s="4" t="s">
        <v>391</v>
      </c>
      <c r="C1070" s="4" t="s">
        <v>278</v>
      </c>
      <c r="D1070" s="94">
        <v>4856.0</v>
      </c>
    </row>
    <row r="1071">
      <c r="A1071" s="40">
        <f t="array" ref="A1071">IFNA(index(PlayerValues!A:A,match(IFNA(vlookup(B1071,'Special Names'!A:B,2,FALSE),B1071),PlayerValues!E:E,0)),"N/A")</f>
        <v>17103</v>
      </c>
      <c r="B1071" s="4" t="s">
        <v>405</v>
      </c>
      <c r="C1071" s="4" t="s">
        <v>298</v>
      </c>
      <c r="D1071" s="94">
        <v>5411.0</v>
      </c>
    </row>
    <row r="1072">
      <c r="A1072" s="40">
        <f t="array" ref="A1072">IFNA(index(PlayerValues!A:A,match(IFNA(vlookup(B1072,'Special Names'!A:B,2,FALSE),B1072),PlayerValues!E:E,0)),"N/A")</f>
        <v>16150</v>
      </c>
      <c r="B1072" s="4" t="s">
        <v>414</v>
      </c>
      <c r="C1072" s="4" t="s">
        <v>283</v>
      </c>
      <c r="D1072" s="94">
        <v>4816.0</v>
      </c>
    </row>
    <row r="1073">
      <c r="A1073" s="40">
        <f t="array" ref="A1073">IFNA(index(PlayerValues!A:A,match(IFNA(vlookup(B1073,'Special Names'!A:B,2,FALSE),B1073),PlayerValues!E:E,0)),"N/A")</f>
        <v>17039</v>
      </c>
      <c r="B1073" s="4" t="s">
        <v>400</v>
      </c>
      <c r="C1073" s="4" t="s">
        <v>283</v>
      </c>
      <c r="D1073" s="94">
        <v>4816.0</v>
      </c>
    </row>
    <row r="1074">
      <c r="A1074" s="40">
        <f t="array" ref="A1074">IFNA(index(PlayerValues!A:A,match(IFNA(vlookup(B1074,'Special Names'!A:B,2,FALSE),B1074),PlayerValues!E:E,0)),"N/A")</f>
        <v>17045</v>
      </c>
      <c r="B1074" s="4" t="s">
        <v>407</v>
      </c>
      <c r="C1074" s="4" t="s">
        <v>278</v>
      </c>
      <c r="D1074" s="94">
        <v>4788.0</v>
      </c>
    </row>
    <row r="1075">
      <c r="A1075" s="40">
        <f t="array" ref="A1075">IFNA(index(PlayerValues!A:A,match(IFNA(vlookup(B1075,'Special Names'!A:B,2,FALSE),B1075),PlayerValues!E:E,0)),"N/A")</f>
        <v>15284</v>
      </c>
      <c r="B1075" s="4" t="s">
        <v>390</v>
      </c>
      <c r="C1075" s="4" t="s">
        <v>287</v>
      </c>
      <c r="D1075" s="94">
        <v>4767.0</v>
      </c>
    </row>
    <row r="1076">
      <c r="A1076" s="40">
        <f t="array" ref="A1076">IFNA(index(PlayerValues!A:A,match(IFNA(vlookup(B1076,'Special Names'!A:B,2,FALSE),B1076),PlayerValues!E:E,0)),"N/A")</f>
        <v>16598</v>
      </c>
      <c r="B1076" s="4" t="s">
        <v>408</v>
      </c>
      <c r="C1076" s="4" t="s">
        <v>278</v>
      </c>
      <c r="D1076" s="94">
        <v>4722.0</v>
      </c>
    </row>
    <row r="1077">
      <c r="A1077" s="40">
        <f t="array" ref="A1077">IFNA(index(PlayerValues!A:A,match(IFNA(vlookup(B1077,'Special Names'!A:B,2,FALSE),B1077),PlayerValues!E:E,0)),"N/A")</f>
        <v>13590</v>
      </c>
      <c r="B1077" s="4" t="s">
        <v>409</v>
      </c>
      <c r="C1077" s="4" t="s">
        <v>283</v>
      </c>
      <c r="D1077" s="94">
        <v>4707.0</v>
      </c>
    </row>
    <row r="1078">
      <c r="A1078" s="40">
        <f t="array" ref="A1078">IFNA(index(PlayerValues!A:A,match(IFNA(vlookup(B1078,'Special Names'!A:B,2,FALSE),B1078),PlayerValues!E:E,0)),"N/A")</f>
        <v>12611</v>
      </c>
      <c r="B1078" s="4" t="s">
        <v>410</v>
      </c>
      <c r="C1078" s="4" t="s">
        <v>283</v>
      </c>
      <c r="D1078" s="94">
        <v>4683.0</v>
      </c>
    </row>
    <row r="1079">
      <c r="A1079" s="40">
        <f t="array" ref="A1079">IFNA(index(PlayerValues!A:A,match(IFNA(vlookup(B1079,'Special Names'!A:B,2,FALSE),B1079),PlayerValues!E:E,0)),"N/A")</f>
        <v>15756</v>
      </c>
      <c r="B1079" s="4" t="s">
        <v>399</v>
      </c>
      <c r="C1079" s="4" t="s">
        <v>287</v>
      </c>
      <c r="D1079" s="94">
        <v>4678.0</v>
      </c>
    </row>
    <row r="1080">
      <c r="A1080" s="40">
        <f t="array" ref="A1080">IFNA(index(PlayerValues!A:A,match(IFNA(vlookup(B1080,'Special Names'!A:B,2,FALSE),B1080),PlayerValues!E:E,0)),"N/A")</f>
        <v>16194</v>
      </c>
      <c r="B1080" s="4" t="s">
        <v>398</v>
      </c>
      <c r="C1080" s="4" t="s">
        <v>287</v>
      </c>
      <c r="D1080" s="94">
        <v>4668.0</v>
      </c>
    </row>
    <row r="1081">
      <c r="A1081" s="40" t="str">
        <f t="array" ref="A1081">IFNA(index(PlayerValues!A:A,match(IFNA(vlookup(B1081,'Special Names'!A:B,2,FALSE),B1081),PlayerValues!E:E,0)),"N/A")</f>
        <v>N/A</v>
      </c>
      <c r="B1081" s="4" t="s">
        <v>105</v>
      </c>
      <c r="C1081" s="4" t="s">
        <v>325</v>
      </c>
      <c r="D1081" s="94">
        <v>4591.0</v>
      </c>
    </row>
    <row r="1082">
      <c r="A1082" s="40" t="str">
        <f t="array" ref="A1082">IFNA(index(PlayerValues!A:A,match(IFNA(vlookup(B1082,'Special Names'!A:B,2,FALSE),B1082),PlayerValues!E:E,0)),"N/A")</f>
        <v>N/A</v>
      </c>
      <c r="B1082" s="4" t="s">
        <v>80</v>
      </c>
      <c r="C1082" s="4" t="s">
        <v>325</v>
      </c>
      <c r="D1082" s="94">
        <v>4581.0</v>
      </c>
    </row>
    <row r="1083">
      <c r="A1083" s="40">
        <f t="array" ref="A1083">IFNA(index(PlayerValues!A:A,match(IFNA(vlookup(B1083,'Special Names'!A:B,2,FALSE),B1083),PlayerValues!E:E,0)),"N/A")</f>
        <v>13592</v>
      </c>
      <c r="B1083" s="4" t="s">
        <v>418</v>
      </c>
      <c r="C1083" s="4" t="s">
        <v>283</v>
      </c>
      <c r="D1083" s="94">
        <v>4519.0</v>
      </c>
    </row>
    <row r="1084">
      <c r="A1084" s="40">
        <f t="array" ref="A1084">IFNA(index(PlayerValues!A:A,match(IFNA(vlookup(B1084,'Special Names'!A:B,2,FALSE),B1084),PlayerValues!E:E,0)),"N/A")</f>
        <v>15329</v>
      </c>
      <c r="B1084" s="4" t="s">
        <v>416</v>
      </c>
      <c r="C1084" s="4" t="s">
        <v>298</v>
      </c>
      <c r="D1084" s="94">
        <v>5040.0</v>
      </c>
    </row>
    <row r="1085">
      <c r="A1085" s="40">
        <f t="array" ref="A1085">IFNA(index(PlayerValues!A:A,match(IFNA(vlookup(B1085,'Special Names'!A:B,2,FALSE),B1085),PlayerValues!E:E,0)),"N/A")</f>
        <v>15256</v>
      </c>
      <c r="B1085" s="4" t="s">
        <v>401</v>
      </c>
      <c r="C1085" s="4" t="s">
        <v>278</v>
      </c>
      <c r="D1085" s="94">
        <v>4486.0</v>
      </c>
    </row>
    <row r="1086">
      <c r="A1086" s="40">
        <f t="array" ref="A1086">IFNA(index(PlayerValues!A:A,match(IFNA(vlookup(B1086,'Special Names'!A:B,2,FALSE),B1086),PlayerValues!E:E,0)),"N/A")</f>
        <v>16214</v>
      </c>
      <c r="B1086" s="4" t="s">
        <v>413</v>
      </c>
      <c r="C1086" s="4" t="s">
        <v>298</v>
      </c>
      <c r="D1086" s="94">
        <v>5011.0</v>
      </c>
    </row>
    <row r="1087">
      <c r="A1087" s="40">
        <f t="array" ref="A1087">IFNA(index(PlayerValues!A:A,match(IFNA(vlookup(B1087,'Special Names'!A:B,2,FALSE),B1087),PlayerValues!E:E,0)),"N/A")</f>
        <v>17501</v>
      </c>
      <c r="B1087" s="4" t="s">
        <v>404</v>
      </c>
      <c r="C1087" s="4" t="s">
        <v>287</v>
      </c>
      <c r="D1087" s="94">
        <v>4470.0</v>
      </c>
    </row>
    <row r="1088">
      <c r="A1088" s="40">
        <f t="array" ref="A1088">IFNA(index(PlayerValues!A:A,match(IFNA(vlookup(B1088,'Special Names'!A:B,2,FALSE),B1088),PlayerValues!E:E,0)),"N/A")</f>
        <v>15253</v>
      </c>
      <c r="B1088" s="4" t="s">
        <v>415</v>
      </c>
      <c r="C1088" s="4" t="s">
        <v>278</v>
      </c>
      <c r="D1088" s="94">
        <v>4468.0</v>
      </c>
    </row>
    <row r="1089">
      <c r="A1089" s="40">
        <f t="array" ref="A1089">IFNA(index(PlayerValues!A:A,match(IFNA(vlookup(B1089,'Special Names'!A:B,2,FALSE),B1089),PlayerValues!E:E,0)),"N/A")</f>
        <v>16148</v>
      </c>
      <c r="B1089" s="4" t="s">
        <v>426</v>
      </c>
      <c r="C1089" s="4" t="s">
        <v>283</v>
      </c>
      <c r="D1089" s="94">
        <v>4320.0</v>
      </c>
    </row>
    <row r="1090">
      <c r="A1090" s="40" t="str">
        <f t="array" ref="A1090">IFNA(index(PlayerValues!A:A,match(IFNA(vlookup(B1090,'Special Names'!A:B,2,FALSE),B1090),PlayerValues!E:E,0)),"N/A")</f>
        <v>N/A</v>
      </c>
      <c r="B1090" s="4" t="s">
        <v>107</v>
      </c>
      <c r="C1090" s="4" t="s">
        <v>325</v>
      </c>
      <c r="D1090" s="94">
        <v>4128.0</v>
      </c>
    </row>
    <row r="1091">
      <c r="A1091" s="40">
        <f t="array" ref="A1091">IFNA(index(PlayerValues!A:A,match(IFNA(vlookup(B1091,'Special Names'!A:B,2,FALSE),B1091),PlayerValues!E:E,0)),"N/A")</f>
        <v>14056</v>
      </c>
      <c r="B1091" s="4" t="s">
        <v>423</v>
      </c>
      <c r="C1091" s="4" t="s">
        <v>283</v>
      </c>
      <c r="D1091" s="94">
        <v>4123.0</v>
      </c>
    </row>
    <row r="1092">
      <c r="A1092" s="40">
        <f t="array" ref="A1092">IFNA(index(PlayerValues!A:A,match(IFNA(vlookup(B1092,'Special Names'!A:B,2,FALSE),B1092),PlayerValues!E:E,0)),"N/A")</f>
        <v>17052</v>
      </c>
      <c r="B1092" s="4" t="s">
        <v>417</v>
      </c>
      <c r="C1092" s="4" t="s">
        <v>278</v>
      </c>
      <c r="D1092" s="94">
        <v>4116.0</v>
      </c>
    </row>
    <row r="1093">
      <c r="A1093" s="40">
        <f t="array" ref="A1093">IFNA(index(PlayerValues!A:A,match(IFNA(vlookup(B1093,'Special Names'!A:B,2,FALSE),B1093),PlayerValues!E:E,0)),"N/A")</f>
        <v>17543</v>
      </c>
      <c r="B1093" s="4" t="s">
        <v>436</v>
      </c>
      <c r="C1093" s="4" t="s">
        <v>298</v>
      </c>
      <c r="D1093" s="94">
        <v>4561.0</v>
      </c>
    </row>
    <row r="1094">
      <c r="A1094" s="40">
        <f t="array" ref="A1094">IFNA(index(PlayerValues!A:A,match(IFNA(vlookup(B1094,'Special Names'!A:B,2,FALSE),B1094),PlayerValues!E:E,0)),"N/A")</f>
        <v>12626</v>
      </c>
      <c r="B1094" s="4" t="s">
        <v>419</v>
      </c>
      <c r="C1094" s="4" t="s">
        <v>278</v>
      </c>
      <c r="D1094" s="94">
        <v>4005.0</v>
      </c>
    </row>
    <row r="1095">
      <c r="A1095" s="40">
        <f t="array" ref="A1095">IFNA(index(PlayerValues!A:A,match(IFNA(vlookup(B1095,'Special Names'!A:B,2,FALSE),B1095),PlayerValues!E:E,0)),"N/A")</f>
        <v>15768</v>
      </c>
      <c r="B1095" s="4" t="s">
        <v>432</v>
      </c>
      <c r="C1095" s="4" t="s">
        <v>287</v>
      </c>
      <c r="D1095" s="94">
        <v>3993.0</v>
      </c>
    </row>
    <row r="1096">
      <c r="A1096" s="40">
        <f t="array" ref="A1096">IFNA(index(PlayerValues!A:A,match(IFNA(vlookup(B1096,'Special Names'!A:B,2,FALSE),B1096),PlayerValues!E:E,0)),"N/A")</f>
        <v>16186</v>
      </c>
      <c r="B1096" s="4" t="s">
        <v>425</v>
      </c>
      <c r="C1096" s="4" t="s">
        <v>287</v>
      </c>
      <c r="D1096" s="94">
        <v>3956.0</v>
      </c>
    </row>
    <row r="1097">
      <c r="A1097" s="40">
        <f t="array" ref="A1097">IFNA(index(PlayerValues!A:A,match(IFNA(vlookup(B1097,'Special Names'!A:B,2,FALSE),B1097),PlayerValues!E:E,0)),"N/A")</f>
        <v>14059</v>
      </c>
      <c r="B1097" s="4" t="s">
        <v>435</v>
      </c>
      <c r="C1097" s="4" t="s">
        <v>283</v>
      </c>
      <c r="D1097" s="94">
        <v>3929.0</v>
      </c>
    </row>
    <row r="1098">
      <c r="A1098" s="40">
        <f t="array" ref="A1098">IFNA(index(PlayerValues!A:A,match(IFNA(vlookup(B1098,'Special Names'!A:B,2,FALSE),B1098),PlayerValues!E:E,0)),"N/A")</f>
        <v>15789</v>
      </c>
      <c r="B1098" s="4" t="s">
        <v>421</v>
      </c>
      <c r="C1098" s="4" t="s">
        <v>287</v>
      </c>
      <c r="D1098" s="94">
        <v>3898.0</v>
      </c>
    </row>
    <row r="1099">
      <c r="A1099" s="40" t="str">
        <f t="array" ref="A1099">IFNA(index(PlayerValues!A:A,match(IFNA(vlookup(B1099,'Special Names'!A:B,2,FALSE),B1099),PlayerValues!E:E,0)),"N/A")</f>
        <v>N/A</v>
      </c>
      <c r="B1099" s="4" t="s">
        <v>81</v>
      </c>
      <c r="C1099" s="4" t="s">
        <v>325</v>
      </c>
      <c r="D1099" s="94">
        <v>3888.0</v>
      </c>
    </row>
    <row r="1100">
      <c r="A1100" s="40" t="str">
        <f t="array" ref="A1100">IFNA(index(PlayerValues!A:A,match(IFNA(vlookup(B1100,'Special Names'!A:B,2,FALSE),B1100),PlayerValues!E:E,0)),"N/A")</f>
        <v>N/A</v>
      </c>
      <c r="B1100" s="4" t="s">
        <v>95</v>
      </c>
      <c r="C1100" s="4" t="s">
        <v>325</v>
      </c>
      <c r="D1100" s="94">
        <v>3887.0</v>
      </c>
    </row>
    <row r="1101">
      <c r="A1101" s="40">
        <f t="array" ref="A1101">IFNA(index(PlayerValues!A:A,match(IFNA(vlookup(B1101,'Special Names'!A:B,2,FALSE),B1101),PlayerValues!E:E,0)),"N/A")</f>
        <v>14073</v>
      </c>
      <c r="B1101" s="4" t="s">
        <v>464</v>
      </c>
      <c r="C1101" s="4" t="s">
        <v>278</v>
      </c>
      <c r="D1101" s="94">
        <v>3835.0</v>
      </c>
    </row>
    <row r="1102">
      <c r="A1102" s="40">
        <f t="array" ref="A1102">IFNA(index(PlayerValues!A:A,match(IFNA(vlookup(B1102,'Special Names'!A:B,2,FALSE),B1102),PlayerValues!E:E,0)),"N/A")</f>
        <v>15694</v>
      </c>
      <c r="B1102" s="4" t="s">
        <v>434</v>
      </c>
      <c r="C1102" s="4" t="s">
        <v>283</v>
      </c>
      <c r="D1102" s="94">
        <v>3820.0</v>
      </c>
    </row>
    <row r="1103">
      <c r="A1103" s="40">
        <f t="array" ref="A1103">IFNA(index(PlayerValues!A:A,match(IFNA(vlookup(B1103,'Special Names'!A:B,2,FALSE),B1103),PlayerValues!E:E,0)),"N/A")</f>
        <v>9431</v>
      </c>
      <c r="B1103" s="4" t="s">
        <v>428</v>
      </c>
      <c r="C1103" s="4" t="s">
        <v>283</v>
      </c>
      <c r="D1103" s="94">
        <v>3807.0</v>
      </c>
    </row>
    <row r="1104">
      <c r="A1104" s="40">
        <f t="array" ref="A1104">IFNA(index(PlayerValues!A:A,match(IFNA(vlookup(B1104,'Special Names'!A:B,2,FALSE),B1104),PlayerValues!E:E,0)),"N/A")</f>
        <v>17502</v>
      </c>
      <c r="B1104" s="4" t="s">
        <v>451</v>
      </c>
      <c r="C1104" s="4" t="s">
        <v>287</v>
      </c>
      <c r="D1104" s="94">
        <v>3711.0</v>
      </c>
    </row>
    <row r="1105">
      <c r="A1105" s="40">
        <f t="array" ref="A1105">IFNA(index(PlayerValues!A:A,match(IFNA(vlookup(B1105,'Special Names'!A:B,2,FALSE),B1105),PlayerValues!E:E,0)),"N/A")</f>
        <v>16192</v>
      </c>
      <c r="B1105" s="4" t="s">
        <v>412</v>
      </c>
      <c r="C1105" s="4" t="s">
        <v>287</v>
      </c>
      <c r="D1105" s="94">
        <v>3687.0</v>
      </c>
    </row>
    <row r="1106">
      <c r="A1106" s="40">
        <f t="array" ref="A1106">IFNA(index(PlayerValues!A:A,match(IFNA(vlookup(B1106,'Special Names'!A:B,2,FALSE),B1106),PlayerValues!E:E,0)),"N/A")</f>
        <v>16187</v>
      </c>
      <c r="B1106" s="4" t="s">
        <v>441</v>
      </c>
      <c r="C1106" s="4" t="s">
        <v>287</v>
      </c>
      <c r="D1106" s="94">
        <v>3671.0</v>
      </c>
    </row>
    <row r="1107">
      <c r="A1107" s="40">
        <f t="array" ref="A1107">IFNA(index(PlayerValues!A:A,match(IFNA(vlookup(B1107,'Special Names'!A:B,2,FALSE),B1107),PlayerValues!E:E,0)),"N/A")</f>
        <v>14797</v>
      </c>
      <c r="B1107" s="4" t="s">
        <v>420</v>
      </c>
      <c r="C1107" s="4" t="s">
        <v>278</v>
      </c>
      <c r="D1107" s="94">
        <v>3627.0</v>
      </c>
    </row>
    <row r="1108">
      <c r="A1108" s="40">
        <f t="array" ref="A1108">IFNA(index(PlayerValues!A:A,match(IFNA(vlookup(B1108,'Special Names'!A:B,2,FALSE),B1108),PlayerValues!E:E,0)),"N/A")</f>
        <v>17075</v>
      </c>
      <c r="B1108" s="4" t="s">
        <v>429</v>
      </c>
      <c r="C1108" s="4" t="s">
        <v>287</v>
      </c>
      <c r="D1108" s="94">
        <v>3622.0</v>
      </c>
    </row>
    <row r="1109">
      <c r="A1109" s="40">
        <f t="array" ref="A1109">IFNA(index(PlayerValues!A:A,match(IFNA(vlookup(B1109,'Special Names'!A:B,2,FALSE),B1109),PlayerValues!E:E,0)),"N/A")</f>
        <v>13635</v>
      </c>
      <c r="B1109" s="4" t="s">
        <v>424</v>
      </c>
      <c r="C1109" s="4" t="s">
        <v>287</v>
      </c>
      <c r="D1109" s="94">
        <v>3613.0</v>
      </c>
    </row>
    <row r="1110">
      <c r="A1110" s="40">
        <f t="array" ref="A1110">IFNA(index(PlayerValues!A:A,match(IFNA(vlookup(B1110,'Special Names'!A:B,2,FALSE),B1110),PlayerValues!E:E,0)),"N/A")</f>
        <v>16206</v>
      </c>
      <c r="B1110" s="4" t="s">
        <v>431</v>
      </c>
      <c r="C1110" s="4" t="s">
        <v>287</v>
      </c>
      <c r="D1110" s="94">
        <v>3604.0</v>
      </c>
    </row>
    <row r="1111">
      <c r="A1111" s="40">
        <f t="array" ref="A1111">IFNA(index(PlayerValues!A:A,match(IFNA(vlookup(B1111,'Special Names'!A:B,2,FALSE),B1111),PlayerValues!E:E,0)),"N/A")</f>
        <v>17099</v>
      </c>
      <c r="B1111" s="4" t="s">
        <v>474</v>
      </c>
      <c r="C1111" s="4" t="s">
        <v>298</v>
      </c>
      <c r="D1111" s="94">
        <v>4064.0</v>
      </c>
    </row>
    <row r="1112">
      <c r="A1112" s="40">
        <f t="array" ref="A1112">IFNA(index(PlayerValues!A:A,match(IFNA(vlookup(B1112,'Special Names'!A:B,2,FALSE),B1112),PlayerValues!E:E,0)),"N/A")</f>
        <v>17544</v>
      </c>
      <c r="B1112" s="4" t="s">
        <v>470</v>
      </c>
      <c r="C1112" s="4" t="s">
        <v>298</v>
      </c>
      <c r="D1112" s="94">
        <v>4054.0</v>
      </c>
    </row>
    <row r="1113">
      <c r="A1113" s="40">
        <f t="array" ref="A1113">IFNA(index(PlayerValues!A:A,match(IFNA(vlookup(B1113,'Special Names'!A:B,2,FALSE),B1113),PlayerValues!E:E,0)),"N/A")</f>
        <v>17066</v>
      </c>
      <c r="B1113" s="4" t="s">
        <v>446</v>
      </c>
      <c r="C1113" s="4" t="s">
        <v>278</v>
      </c>
      <c r="D1113" s="94">
        <v>3573.0</v>
      </c>
    </row>
    <row r="1114">
      <c r="A1114" s="40">
        <f t="array" ref="A1114">IFNA(index(PlayerValues!A:A,match(IFNA(vlookup(B1114,'Special Names'!A:B,2,FALSE),B1114),PlayerValues!E:E,0)),"N/A")</f>
        <v>16188</v>
      </c>
      <c r="B1114" s="4" t="s">
        <v>439</v>
      </c>
      <c r="C1114" s="4" t="s">
        <v>287</v>
      </c>
      <c r="D1114" s="94">
        <v>3570.0</v>
      </c>
    </row>
    <row r="1115">
      <c r="A1115" s="40">
        <f t="array" ref="A1115">IFNA(index(PlayerValues!A:A,match(IFNA(vlookup(B1115,'Special Names'!A:B,2,FALSE),B1115),PlayerValues!E:E,0)),"N/A")</f>
        <v>17463</v>
      </c>
      <c r="B1115" s="4" t="s">
        <v>433</v>
      </c>
      <c r="C1115" s="4" t="s">
        <v>283</v>
      </c>
      <c r="D1115" s="94">
        <v>3550.0</v>
      </c>
    </row>
    <row r="1116">
      <c r="A1116" s="40">
        <f t="array" ref="A1116">IFNA(index(PlayerValues!A:A,match(IFNA(vlookup(B1116,'Special Names'!A:B,2,FALSE),B1116),PlayerValues!E:E,0)),"N/A")</f>
        <v>15757</v>
      </c>
      <c r="B1116" s="4" t="s">
        <v>449</v>
      </c>
      <c r="C1116" s="4" t="s">
        <v>287</v>
      </c>
      <c r="D1116" s="94">
        <v>3491.0</v>
      </c>
    </row>
    <row r="1117">
      <c r="A1117" s="40">
        <f t="array" ref="A1117">IFNA(index(PlayerValues!A:A,match(IFNA(vlookup(B1117,'Special Names'!A:B,2,FALSE),B1117),PlayerValues!E:E,0)),"N/A")</f>
        <v>14109</v>
      </c>
      <c r="B1117" s="4" t="s">
        <v>437</v>
      </c>
      <c r="C1117" s="4" t="s">
        <v>287</v>
      </c>
      <c r="D1117" s="94">
        <v>3486.0</v>
      </c>
    </row>
    <row r="1118">
      <c r="A1118" s="40">
        <f t="array" ref="A1118">IFNA(index(PlayerValues!A:A,match(IFNA(vlookup(B1118,'Special Names'!A:B,2,FALSE),B1118),PlayerValues!E:E,0)),"N/A")</f>
        <v>17500</v>
      </c>
      <c r="B1118" s="4" t="s">
        <v>430</v>
      </c>
      <c r="C1118" s="4" t="s">
        <v>287</v>
      </c>
      <c r="D1118" s="94">
        <v>3461.0</v>
      </c>
    </row>
    <row r="1119">
      <c r="A1119" s="40" t="str">
        <f t="array" ref="A1119">IFNA(index(PlayerValues!A:A,match(IFNA(vlookup(B1119,'Special Names'!A:B,2,FALSE),B1119),PlayerValues!E:E,0)),"N/A")</f>
        <v>N/A</v>
      </c>
      <c r="B1119" s="4" t="s">
        <v>96</v>
      </c>
      <c r="C1119" s="4" t="s">
        <v>325</v>
      </c>
      <c r="D1119" s="94">
        <v>3459.0</v>
      </c>
    </row>
    <row r="1120">
      <c r="A1120" s="40">
        <f t="array" ref="A1120">IFNA(index(PlayerValues!A:A,match(IFNA(vlookup(B1120,'Special Names'!A:B,2,FALSE),B1120),PlayerValues!E:E,0)),"N/A")</f>
        <v>17083</v>
      </c>
      <c r="B1120" s="4" t="s">
        <v>479</v>
      </c>
      <c r="C1120" s="4" t="s">
        <v>287</v>
      </c>
      <c r="D1120" s="94">
        <v>3447.0</v>
      </c>
    </row>
    <row r="1121">
      <c r="A1121" s="40">
        <f t="array" ref="A1121">IFNA(index(PlayerValues!A:A,match(IFNA(vlookup(B1121,'Special Names'!A:B,2,FALSE),B1121),PlayerValues!E:E,0)),"N/A")</f>
        <v>14102</v>
      </c>
      <c r="B1121" s="4" t="s">
        <v>444</v>
      </c>
      <c r="C1121" s="4" t="s">
        <v>287</v>
      </c>
      <c r="D1121" s="94">
        <v>3439.0</v>
      </c>
    </row>
    <row r="1122">
      <c r="A1122" s="40">
        <f t="array" ref="A1122">IFNA(index(PlayerValues!A:A,match(IFNA(vlookup(B1122,'Special Names'!A:B,2,FALSE),B1122),PlayerValues!E:E,0)),"N/A")</f>
        <v>16184</v>
      </c>
      <c r="B1122" s="4" t="s">
        <v>445</v>
      </c>
      <c r="C1122" s="4" t="s">
        <v>287</v>
      </c>
      <c r="D1122" s="94">
        <v>3439.0</v>
      </c>
    </row>
    <row r="1123">
      <c r="A1123" s="40">
        <f t="array" ref="A1123">IFNA(index(PlayerValues!A:A,match(IFNA(vlookup(B1123,'Special Names'!A:B,2,FALSE),B1123),PlayerValues!E:E,0)),"N/A")</f>
        <v>17068</v>
      </c>
      <c r="B1123" s="4" t="s">
        <v>450</v>
      </c>
      <c r="C1123" s="4" t="s">
        <v>278</v>
      </c>
      <c r="D1123" s="94">
        <v>3385.0</v>
      </c>
    </row>
    <row r="1124">
      <c r="A1124" s="40">
        <f t="array" ref="A1124">IFNA(index(PlayerValues!A:A,match(IFNA(vlookup(B1124,'Special Names'!A:B,2,FALSE),B1124),PlayerValues!E:E,0)),"N/A")</f>
        <v>15798</v>
      </c>
      <c r="B1124" s="4" t="s">
        <v>443</v>
      </c>
      <c r="C1124" s="4" t="s">
        <v>298</v>
      </c>
      <c r="D1124" s="94">
        <v>3830.0</v>
      </c>
    </row>
    <row r="1125">
      <c r="A1125" s="40">
        <f t="array" ref="A1125">IFNA(index(PlayerValues!A:A,match(IFNA(vlookup(B1125,'Special Names'!A:B,2,FALSE),B1125),PlayerValues!E:E,0)),"N/A")</f>
        <v>14071</v>
      </c>
      <c r="B1125" s="4" t="s">
        <v>440</v>
      </c>
      <c r="C1125" s="4" t="s">
        <v>278</v>
      </c>
      <c r="D1125" s="94">
        <v>3378.0</v>
      </c>
    </row>
    <row r="1126">
      <c r="A1126" s="40">
        <f t="array" ref="A1126">IFNA(index(PlayerValues!A:A,match(IFNA(vlookup(B1126,'Special Names'!A:B,2,FALSE),B1126),PlayerValues!E:E,0)),"N/A")</f>
        <v>16622</v>
      </c>
      <c r="B1126" s="4" t="s">
        <v>517</v>
      </c>
      <c r="C1126" s="4" t="s">
        <v>287</v>
      </c>
      <c r="D1126" s="94">
        <v>3364.0</v>
      </c>
    </row>
    <row r="1127">
      <c r="A1127" s="40">
        <f t="array" ref="A1127">IFNA(index(PlayerValues!A:A,match(IFNA(vlookup(B1127,'Special Names'!A:B,2,FALSE),B1127),PlayerValues!E:E,0)),"N/A")</f>
        <v>16169</v>
      </c>
      <c r="B1127" s="4" t="s">
        <v>457</v>
      </c>
      <c r="C1127" s="4" t="s">
        <v>278</v>
      </c>
      <c r="D1127" s="94">
        <v>3362.0</v>
      </c>
    </row>
    <row r="1128">
      <c r="A1128" s="40">
        <f t="array" ref="A1128">IFNA(index(PlayerValues!A:A,match(IFNA(vlookup(B1128,'Special Names'!A:B,2,FALSE),B1128),PlayerValues!E:E,0)),"N/A")</f>
        <v>14842</v>
      </c>
      <c r="B1128" s="4" t="s">
        <v>456</v>
      </c>
      <c r="C1128" s="4" t="s">
        <v>287</v>
      </c>
      <c r="D1128" s="94">
        <v>3361.0</v>
      </c>
    </row>
    <row r="1129">
      <c r="A1129" s="40">
        <f t="array" ref="A1129">IFNA(index(PlayerValues!A:A,match(IFNA(vlookup(B1129,'Special Names'!A:B,2,FALSE),B1129),PlayerValues!E:E,0)),"N/A")</f>
        <v>16593</v>
      </c>
      <c r="B1129" s="4" t="s">
        <v>442</v>
      </c>
      <c r="C1129" s="4" t="s">
        <v>278</v>
      </c>
      <c r="D1129" s="94">
        <v>3355.0</v>
      </c>
    </row>
    <row r="1130">
      <c r="A1130" s="40">
        <f t="array" ref="A1130">IFNA(index(PlayerValues!A:A,match(IFNA(vlookup(B1130,'Special Names'!A:B,2,FALSE),B1130),PlayerValues!E:E,0)),"N/A")</f>
        <v>16620</v>
      </c>
      <c r="B1130" s="4" t="s">
        <v>467</v>
      </c>
      <c r="C1130" s="4" t="s">
        <v>287</v>
      </c>
      <c r="D1130" s="94">
        <v>3333.0</v>
      </c>
    </row>
    <row r="1131">
      <c r="A1131" s="40">
        <f t="array" ref="A1131">IFNA(index(PlayerValues!A:A,match(IFNA(vlookup(B1131,'Special Names'!A:B,2,FALSE),B1131),PlayerValues!E:E,0)),"N/A")</f>
        <v>11675</v>
      </c>
      <c r="B1131" s="4" t="s">
        <v>438</v>
      </c>
      <c r="C1131" s="4" t="s">
        <v>287</v>
      </c>
      <c r="D1131" s="94">
        <v>3329.0</v>
      </c>
    </row>
    <row r="1132">
      <c r="A1132" s="40">
        <f t="array" ref="A1132">IFNA(index(PlayerValues!A:A,match(IFNA(vlookup(B1132,'Special Names'!A:B,2,FALSE),B1132),PlayerValues!E:E,0)),"N/A")</f>
        <v>17074</v>
      </c>
      <c r="B1132" s="4" t="s">
        <v>475</v>
      </c>
      <c r="C1132" s="4" t="s">
        <v>287</v>
      </c>
      <c r="D1132" s="94">
        <v>3329.0</v>
      </c>
    </row>
    <row r="1133">
      <c r="A1133" s="40">
        <f t="array" ref="A1133">IFNA(index(PlayerValues!A:A,match(IFNA(vlookup(B1133,'Special Names'!A:B,2,FALSE),B1133),PlayerValues!E:E,0)),"N/A")</f>
        <v>15261</v>
      </c>
      <c r="B1133" s="4" t="s">
        <v>466</v>
      </c>
      <c r="C1133" s="4" t="s">
        <v>278</v>
      </c>
      <c r="D1133" s="94">
        <v>3325.0</v>
      </c>
    </row>
    <row r="1134">
      <c r="A1134" s="40">
        <f t="array" ref="A1134">IFNA(index(PlayerValues!A:A,match(IFNA(vlookup(B1134,'Special Names'!A:B,2,FALSE),B1134),PlayerValues!E:E,0)),"N/A")</f>
        <v>16597</v>
      </c>
      <c r="B1134" s="4" t="s">
        <v>427</v>
      </c>
      <c r="C1134" s="4" t="s">
        <v>278</v>
      </c>
      <c r="D1134" s="94">
        <v>3313.0</v>
      </c>
    </row>
    <row r="1135">
      <c r="A1135" s="40">
        <f t="array" ref="A1135">IFNA(index(PlayerValues!A:A,match(IFNA(vlookup(B1135,'Special Names'!A:B,2,FALSE),B1135),PlayerValues!E:E,0)),"N/A")</f>
        <v>11671</v>
      </c>
      <c r="B1135" s="4" t="s">
        <v>463</v>
      </c>
      <c r="C1135" s="4" t="s">
        <v>287</v>
      </c>
      <c r="D1135" s="94">
        <v>3312.0</v>
      </c>
    </row>
    <row r="1136">
      <c r="A1136" s="40" t="str">
        <f t="array" ref="A1136">IFNA(index(PlayerValues!A:A,match(IFNA(vlookup(B1136,'Special Names'!A:B,2,FALSE),B1136),PlayerValues!E:E,0)),"N/A")</f>
        <v>N/A</v>
      </c>
      <c r="B1136" s="4" t="s">
        <v>82</v>
      </c>
      <c r="C1136" s="4" t="s">
        <v>325</v>
      </c>
      <c r="D1136" s="94">
        <v>3312.0</v>
      </c>
    </row>
    <row r="1137">
      <c r="A1137" s="40">
        <f t="array" ref="A1137">IFNA(index(PlayerValues!A:A,match(IFNA(vlookup(B1137,'Special Names'!A:B,2,FALSE),B1137),PlayerValues!E:E,0)),"N/A")</f>
        <v>13299</v>
      </c>
      <c r="B1137" s="4" t="s">
        <v>448</v>
      </c>
      <c r="C1137" s="4" t="s">
        <v>298</v>
      </c>
      <c r="D1137" s="94">
        <v>3728.0</v>
      </c>
    </row>
    <row r="1138">
      <c r="A1138" s="40" t="str">
        <f t="array" ref="A1138">IFNA(index(PlayerValues!A:A,match(IFNA(vlookup(B1138,'Special Names'!A:B,2,FALSE),B1138),PlayerValues!E:E,0)),"N/A")</f>
        <v>N/A</v>
      </c>
      <c r="B1138" s="4" t="s">
        <v>108</v>
      </c>
      <c r="C1138" s="4" t="s">
        <v>325</v>
      </c>
      <c r="D1138" s="94">
        <v>3216.0</v>
      </c>
    </row>
    <row r="1139">
      <c r="A1139" s="40">
        <f t="array" ref="A1139">IFNA(index(PlayerValues!A:A,match(IFNA(vlookup(B1139,'Special Names'!A:B,2,FALSE),B1139),PlayerValues!E:E,0)),"N/A")</f>
        <v>15799</v>
      </c>
      <c r="B1139" s="4" t="s">
        <v>468</v>
      </c>
      <c r="C1139" s="4" t="s">
        <v>298</v>
      </c>
      <c r="D1139" s="94">
        <v>3644.0</v>
      </c>
    </row>
    <row r="1140">
      <c r="A1140" s="40">
        <f t="array" ref="A1140">IFNA(index(PlayerValues!A:A,match(IFNA(vlookup(B1140,'Special Names'!A:B,2,FALSE),B1140),PlayerValues!E:E,0)),"N/A")</f>
        <v>15742</v>
      </c>
      <c r="B1140" s="4" t="s">
        <v>447</v>
      </c>
      <c r="C1140" s="4" t="s">
        <v>278</v>
      </c>
      <c r="D1140" s="94">
        <v>3198.0</v>
      </c>
    </row>
    <row r="1141">
      <c r="A1141" s="40">
        <f t="array" ref="A1141">IFNA(index(PlayerValues!A:A,match(IFNA(vlookup(B1141,'Special Names'!A:B,2,FALSE),B1141),PlayerValues!E:E,0)),"N/A")</f>
        <v>17477</v>
      </c>
      <c r="B1141" s="4" t="s">
        <v>452</v>
      </c>
      <c r="C1141" s="4" t="s">
        <v>278</v>
      </c>
      <c r="D1141" s="94">
        <v>3180.0</v>
      </c>
    </row>
    <row r="1142">
      <c r="A1142" s="40" t="str">
        <f t="array" ref="A1142">IFNA(index(PlayerValues!A:A,match(IFNA(vlookup(B1142,'Special Names'!A:B,2,FALSE),B1142),PlayerValues!E:E,0)),"N/A")</f>
        <v>N/A</v>
      </c>
      <c r="B1142" s="4" t="s">
        <v>97</v>
      </c>
      <c r="C1142" s="4" t="s">
        <v>325</v>
      </c>
      <c r="D1142" s="94">
        <v>3173.0</v>
      </c>
    </row>
    <row r="1143">
      <c r="A1143" s="40">
        <f t="array" ref="A1143">IFNA(index(PlayerValues!A:A,match(IFNA(vlookup(B1143,'Special Names'!A:B,2,FALSE),B1143),PlayerValues!E:E,0)),"N/A")</f>
        <v>16809</v>
      </c>
      <c r="B1143" s="4" t="s">
        <v>455</v>
      </c>
      <c r="C1143" s="4" t="s">
        <v>287</v>
      </c>
      <c r="D1143" s="94">
        <v>3158.0</v>
      </c>
    </row>
    <row r="1144">
      <c r="A1144" s="40">
        <f t="array" ref="A1144">IFNA(index(PlayerValues!A:A,match(IFNA(vlookup(B1144,'Special Names'!A:B,2,FALSE),B1144),PlayerValues!E:E,0)),"N/A")</f>
        <v>14823</v>
      </c>
      <c r="B1144" s="4" t="s">
        <v>459</v>
      </c>
      <c r="C1144" s="4" t="s">
        <v>278</v>
      </c>
      <c r="D1144" s="94">
        <v>3151.0</v>
      </c>
    </row>
    <row r="1145">
      <c r="A1145" s="40">
        <f t="array" ref="A1145">IFNA(index(PlayerValues!A:A,match(IFNA(vlookup(B1145,'Special Names'!A:B,2,FALSE),B1145),PlayerValues!E:E,0)),"N/A")</f>
        <v>16213</v>
      </c>
      <c r="B1145" s="4" t="s">
        <v>458</v>
      </c>
      <c r="C1145" s="4" t="s">
        <v>298</v>
      </c>
      <c r="D1145" s="94">
        <v>3570.0</v>
      </c>
    </row>
    <row r="1146">
      <c r="A1146" s="40">
        <f t="array" ref="A1146">IFNA(index(PlayerValues!A:A,match(IFNA(vlookup(B1146,'Special Names'!A:B,2,FALSE),B1146),PlayerValues!E:E,0)),"N/A")</f>
        <v>13630</v>
      </c>
      <c r="B1146" s="4" t="s">
        <v>465</v>
      </c>
      <c r="C1146" s="4" t="s">
        <v>287</v>
      </c>
      <c r="D1146" s="94">
        <v>3108.0</v>
      </c>
    </row>
    <row r="1147">
      <c r="A1147" s="40">
        <f t="array" ref="A1147">IFNA(index(PlayerValues!A:A,match(IFNA(vlookup(B1147,'Special Names'!A:B,2,FALSE),B1147),PlayerValues!E:E,0)),"N/A")</f>
        <v>15779</v>
      </c>
      <c r="B1147" s="4" t="s">
        <v>461</v>
      </c>
      <c r="C1147" s="4" t="s">
        <v>287</v>
      </c>
      <c r="D1147" s="94">
        <v>3088.0</v>
      </c>
    </row>
    <row r="1148">
      <c r="A1148" s="40">
        <f t="array" ref="A1148">IFNA(index(PlayerValues!A:A,match(IFNA(vlookup(B1148,'Special Names'!A:B,2,FALSE),B1148),PlayerValues!E:E,0)),"N/A")</f>
        <v>16583</v>
      </c>
      <c r="B1148" s="4" t="s">
        <v>493</v>
      </c>
      <c r="C1148" s="4" t="s">
        <v>283</v>
      </c>
      <c r="D1148" s="94">
        <v>3075.0</v>
      </c>
    </row>
    <row r="1149">
      <c r="A1149" s="40">
        <f t="array" ref="A1149">IFNA(index(PlayerValues!A:A,match(IFNA(vlookup(B1149,'Special Names'!A:B,2,FALSE),B1149),PlayerValues!E:E,0)),"N/A")</f>
        <v>16628</v>
      </c>
      <c r="B1149" s="4" t="s">
        <v>490</v>
      </c>
      <c r="C1149" s="4" t="s">
        <v>287</v>
      </c>
      <c r="D1149" s="94">
        <v>3074.0</v>
      </c>
    </row>
    <row r="1150">
      <c r="A1150" s="40">
        <f t="array" ref="A1150">IFNA(index(PlayerValues!A:A,match(IFNA(vlookup(B1150,'Special Names'!A:B,2,FALSE),B1150),PlayerValues!E:E,0)),"N/A")</f>
        <v>17506</v>
      </c>
      <c r="B1150" s="4" t="s">
        <v>471</v>
      </c>
      <c r="C1150" s="4" t="s">
        <v>287</v>
      </c>
      <c r="D1150" s="94">
        <v>3059.0</v>
      </c>
    </row>
    <row r="1151">
      <c r="A1151" s="40">
        <f t="array" ref="A1151">IFNA(index(PlayerValues!A:A,match(IFNA(vlookup(B1151,'Special Names'!A:B,2,FALSE),B1151),PlayerValues!E:E,0)),"N/A")</f>
        <v>14127</v>
      </c>
      <c r="B1151" s="4" t="s">
        <v>486</v>
      </c>
      <c r="C1151" s="4" t="s">
        <v>287</v>
      </c>
      <c r="D1151" s="94">
        <v>3056.0</v>
      </c>
    </row>
    <row r="1152">
      <c r="A1152" s="40">
        <f t="array" ref="A1152">IFNA(index(PlayerValues!A:A,match(IFNA(vlookup(B1152,'Special Names'!A:B,2,FALSE),B1152),PlayerValues!E:E,0)),"N/A")</f>
        <v>17512</v>
      </c>
      <c r="B1152" s="4" t="s">
        <v>483</v>
      </c>
      <c r="C1152" s="4" t="s">
        <v>287</v>
      </c>
      <c r="D1152" s="94">
        <v>3038.0</v>
      </c>
    </row>
    <row r="1153">
      <c r="A1153" s="40" t="str">
        <f t="array" ref="A1153">IFNA(index(PlayerValues!A:A,match(IFNA(vlookup(B1153,'Special Names'!A:B,2,FALSE),B1153),PlayerValues!E:E,0)),"N/A")</f>
        <v>N/A</v>
      </c>
      <c r="B1153" s="4" t="s">
        <v>84</v>
      </c>
      <c r="C1153" s="4" t="s">
        <v>325</v>
      </c>
      <c r="D1153" s="94">
        <v>2989.0</v>
      </c>
    </row>
    <row r="1154">
      <c r="A1154" s="40" t="str">
        <f t="array" ref="A1154">IFNA(index(PlayerValues!A:A,match(IFNA(vlookup(B1154,'Special Names'!A:B,2,FALSE),B1154),PlayerValues!E:E,0)),"N/A")</f>
        <v>N/A</v>
      </c>
      <c r="B1154" s="4" t="s">
        <v>109</v>
      </c>
      <c r="C1154" s="4" t="s">
        <v>325</v>
      </c>
      <c r="D1154" s="94">
        <v>2986.0</v>
      </c>
    </row>
    <row r="1155">
      <c r="A1155" s="40">
        <f t="array" ref="A1155">IFNA(index(PlayerValues!A:A,match(IFNA(vlookup(B1155,'Special Names'!A:B,2,FALSE),B1155),PlayerValues!E:E,0)),"N/A")</f>
        <v>16269</v>
      </c>
      <c r="B1155" s="4" t="s">
        <v>481</v>
      </c>
      <c r="C1155" s="4" t="s">
        <v>298</v>
      </c>
      <c r="D1155" s="94">
        <v>3406.0</v>
      </c>
    </row>
    <row r="1156">
      <c r="A1156" s="40">
        <f t="array" ref="A1156">IFNA(index(PlayerValues!A:A,match(IFNA(vlookup(B1156,'Special Names'!A:B,2,FALSE),B1156),PlayerValues!E:E,0)),"N/A")</f>
        <v>14800</v>
      </c>
      <c r="B1156" s="4" t="s">
        <v>472</v>
      </c>
      <c r="C1156" s="4" t="s">
        <v>278</v>
      </c>
      <c r="D1156" s="94">
        <v>2965.0</v>
      </c>
    </row>
    <row r="1157">
      <c r="A1157" s="40">
        <f t="array" ref="A1157">IFNA(index(PlayerValues!A:A,match(IFNA(vlookup(B1157,'Special Names'!A:B,2,FALSE),B1157),PlayerValues!E:E,0)),"N/A")</f>
        <v>17503</v>
      </c>
      <c r="B1157" s="4" t="s">
        <v>480</v>
      </c>
      <c r="C1157" s="4" t="s">
        <v>287</v>
      </c>
      <c r="D1157" s="94">
        <v>2964.0</v>
      </c>
    </row>
    <row r="1158">
      <c r="A1158" s="40">
        <f t="array" ref="A1158">IFNA(index(PlayerValues!A:A,match(IFNA(vlookup(B1158,'Special Names'!A:B,2,FALSE),B1158),PlayerValues!E:E,0)),"N/A")</f>
        <v>17256</v>
      </c>
      <c r="B1158" s="4" t="s">
        <v>462</v>
      </c>
      <c r="C1158" s="4" t="s">
        <v>278</v>
      </c>
      <c r="D1158" s="94">
        <v>2952.0</v>
      </c>
    </row>
    <row r="1159">
      <c r="A1159" s="40">
        <f t="array" ref="A1159">IFNA(index(PlayerValues!A:A,match(IFNA(vlookup(B1159,'Special Names'!A:B,2,FALSE),B1159),PlayerValues!E:E,0)),"N/A")</f>
        <v>15259</v>
      </c>
      <c r="B1159" s="4" t="s">
        <v>453</v>
      </c>
      <c r="C1159" s="4" t="s">
        <v>278</v>
      </c>
      <c r="D1159" s="94">
        <v>2943.0</v>
      </c>
    </row>
    <row r="1160">
      <c r="A1160" s="40">
        <f t="array" ref="A1160">IFNA(index(PlayerValues!A:A,match(IFNA(vlookup(B1160,'Special Names'!A:B,2,FALSE),B1160),PlayerValues!E:E,0)),"N/A")</f>
        <v>15761</v>
      </c>
      <c r="B1160" s="4" t="s">
        <v>491</v>
      </c>
      <c r="C1160" s="4" t="s">
        <v>287</v>
      </c>
      <c r="D1160" s="94">
        <v>2921.0</v>
      </c>
    </row>
    <row r="1161">
      <c r="A1161" s="40">
        <f t="array" ref="A1161">IFNA(index(PlayerValues!A:A,match(IFNA(vlookup(B1161,'Special Names'!A:B,2,FALSE),B1161),PlayerValues!E:E,0)),"N/A")</f>
        <v>13163</v>
      </c>
      <c r="B1161" s="4" t="s">
        <v>473</v>
      </c>
      <c r="C1161" s="4" t="s">
        <v>287</v>
      </c>
      <c r="D1161" s="94">
        <v>2913.0</v>
      </c>
    </row>
    <row r="1162">
      <c r="A1162" s="40">
        <f t="array" ref="A1162">IFNA(index(PlayerValues!A:A,match(IFNA(vlookup(B1162,'Special Names'!A:B,2,FALSE),B1162),PlayerValues!E:E,0)),"N/A")</f>
        <v>15255</v>
      </c>
      <c r="B1162" s="4" t="s">
        <v>477</v>
      </c>
      <c r="C1162" s="4" t="s">
        <v>278</v>
      </c>
      <c r="D1162" s="94">
        <v>2912.0</v>
      </c>
    </row>
    <row r="1163">
      <c r="A1163" s="40">
        <f t="array" ref="A1163">IFNA(index(PlayerValues!A:A,match(IFNA(vlookup(B1163,'Special Names'!A:B,2,FALSE),B1163),PlayerValues!E:E,0)),"N/A")</f>
        <v>17476</v>
      </c>
      <c r="B1163" s="4" t="s">
        <v>494</v>
      </c>
      <c r="C1163" s="4" t="s">
        <v>278</v>
      </c>
      <c r="D1163" s="94">
        <v>2903.0</v>
      </c>
    </row>
    <row r="1164">
      <c r="A1164" s="40">
        <f t="array" ref="A1164">IFNA(index(PlayerValues!A:A,match(IFNA(vlookup(B1164,'Special Names'!A:B,2,FALSE),B1164),PlayerValues!E:E,0)),"N/A")</f>
        <v>14085</v>
      </c>
      <c r="B1164" s="4" t="s">
        <v>489</v>
      </c>
      <c r="C1164" s="4" t="s">
        <v>278</v>
      </c>
      <c r="D1164" s="94">
        <v>2828.0</v>
      </c>
    </row>
    <row r="1165">
      <c r="A1165" s="40">
        <f t="array" ref="A1165">IFNA(index(PlayerValues!A:A,match(IFNA(vlookup(B1165,'Special Names'!A:B,2,FALSE),B1165),PlayerValues!E:E,0)),"N/A")</f>
        <v>15889</v>
      </c>
      <c r="B1165" s="4" t="s">
        <v>503</v>
      </c>
      <c r="C1165" s="4" t="s">
        <v>298</v>
      </c>
      <c r="D1165" s="94">
        <v>3225.0</v>
      </c>
    </row>
    <row r="1166">
      <c r="A1166" s="40" t="str">
        <f t="array" ref="A1166">IFNA(index(PlayerValues!A:A,match(IFNA(vlookup(B1166,'Special Names'!A:B,2,FALSE),B1166),PlayerValues!E:E,0)),"N/A")</f>
        <v>N/A</v>
      </c>
      <c r="B1166" s="4" t="s">
        <v>85</v>
      </c>
      <c r="C1166" s="4" t="s">
        <v>325</v>
      </c>
      <c r="D1166" s="94">
        <v>2809.0</v>
      </c>
    </row>
    <row r="1167">
      <c r="A1167" s="40" t="str">
        <f t="array" ref="A1167">IFNA(index(PlayerValues!A:A,match(IFNA(vlookup(B1167,'Special Names'!A:B,2,FALSE),B1167),PlayerValues!E:E,0)),"N/A")</f>
        <v>N/A</v>
      </c>
      <c r="B1167" s="4" t="s">
        <v>110</v>
      </c>
      <c r="C1167" s="4" t="s">
        <v>325</v>
      </c>
      <c r="D1167" s="94">
        <v>2799.0</v>
      </c>
    </row>
    <row r="1168">
      <c r="A1168" s="40">
        <f t="array" ref="A1168">IFNA(index(PlayerValues!A:A,match(IFNA(vlookup(B1168,'Special Names'!A:B,2,FALSE),B1168),PlayerValues!E:E,0)),"N/A")</f>
        <v>17505</v>
      </c>
      <c r="B1168" s="4" t="s">
        <v>528</v>
      </c>
      <c r="C1168" s="4" t="s">
        <v>287</v>
      </c>
      <c r="D1168" s="94">
        <v>2786.0</v>
      </c>
    </row>
    <row r="1169">
      <c r="A1169" s="40">
        <f t="array" ref="A1169">IFNA(index(PlayerValues!A:A,match(IFNA(vlookup(B1169,'Special Names'!A:B,2,FALSE),B1169),PlayerValues!E:E,0)),"N/A")</f>
        <v>14778</v>
      </c>
      <c r="B1169" s="4" t="s">
        <v>564</v>
      </c>
      <c r="C1169" s="4" t="s">
        <v>283</v>
      </c>
      <c r="D1169" s="94">
        <v>2780.0</v>
      </c>
    </row>
    <row r="1170">
      <c r="A1170" s="40">
        <f t="array" ref="A1170">IFNA(index(PlayerValues!A:A,match(IFNA(vlookup(B1170,'Special Names'!A:B,2,FALSE),B1170),PlayerValues!E:E,0)),"N/A")</f>
        <v>13671</v>
      </c>
      <c r="B1170" s="4" t="s">
        <v>506</v>
      </c>
      <c r="C1170" s="4" t="s">
        <v>298</v>
      </c>
      <c r="D1170" s="94">
        <v>3189.0</v>
      </c>
    </row>
    <row r="1171">
      <c r="A1171" s="40">
        <f t="array" ref="A1171">IFNA(index(PlayerValues!A:A,match(IFNA(vlookup(B1171,'Special Names'!A:B,2,FALSE),B1171),PlayerValues!E:E,0)),"N/A")</f>
        <v>16080</v>
      </c>
      <c r="B1171" s="4" t="s">
        <v>499</v>
      </c>
      <c r="C1171" s="4" t="s">
        <v>287</v>
      </c>
      <c r="D1171" s="94">
        <v>2764.0</v>
      </c>
    </row>
    <row r="1172">
      <c r="A1172" s="40">
        <f t="array" ref="A1172">IFNA(index(PlayerValues!A:A,match(IFNA(vlookup(B1172,'Special Names'!A:B,2,FALSE),B1172),PlayerValues!E:E,0)),"N/A")</f>
        <v>17157</v>
      </c>
      <c r="B1172" s="4" t="s">
        <v>524</v>
      </c>
      <c r="C1172" s="4" t="s">
        <v>287</v>
      </c>
      <c r="D1172" s="94">
        <v>2763.0</v>
      </c>
    </row>
    <row r="1173">
      <c r="A1173" s="40">
        <f t="array" ref="A1173">IFNA(index(PlayerValues!A:A,match(IFNA(vlookup(B1173,'Special Names'!A:B,2,FALSE),B1173),PlayerValues!E:E,0)),"N/A")</f>
        <v>15721</v>
      </c>
      <c r="B1173" s="4" t="s">
        <v>504</v>
      </c>
      <c r="C1173" s="4" t="s">
        <v>278</v>
      </c>
      <c r="D1173" s="94">
        <v>2753.0</v>
      </c>
    </row>
    <row r="1174">
      <c r="A1174" s="40">
        <f t="array" ref="A1174">IFNA(index(PlayerValues!A:A,match(IFNA(vlookup(B1174,'Special Names'!A:B,2,FALSE),B1174),PlayerValues!E:E,0)),"N/A")</f>
        <v>16723</v>
      </c>
      <c r="B1174" s="4" t="s">
        <v>502</v>
      </c>
      <c r="C1174" s="4" t="s">
        <v>298</v>
      </c>
      <c r="D1174" s="94">
        <v>3165.0</v>
      </c>
    </row>
    <row r="1175">
      <c r="A1175" s="40">
        <f t="array" ref="A1175">IFNA(index(PlayerValues!A:A,match(IFNA(vlookup(B1175,'Special Names'!A:B,2,FALSE),B1175),PlayerValues!E:E,0)),"N/A")</f>
        <v>17047</v>
      </c>
      <c r="B1175" s="4" t="s">
        <v>510</v>
      </c>
      <c r="C1175" s="4" t="s">
        <v>278</v>
      </c>
      <c r="D1175" s="94">
        <v>2750.0</v>
      </c>
    </row>
    <row r="1176">
      <c r="A1176" s="40">
        <f t="array" ref="A1176">IFNA(index(PlayerValues!A:A,match(IFNA(vlookup(B1176,'Special Names'!A:B,2,FALSE),B1176),PlayerValues!E:E,0)),"N/A")</f>
        <v>15712</v>
      </c>
      <c r="B1176" s="4" t="s">
        <v>488</v>
      </c>
      <c r="C1176" s="4" t="s">
        <v>278</v>
      </c>
      <c r="D1176" s="94">
        <v>2744.0</v>
      </c>
    </row>
    <row r="1177">
      <c r="A1177" s="40">
        <f t="array" ref="A1177">IFNA(index(PlayerValues!A:A,match(IFNA(vlookup(B1177,'Special Names'!A:B,2,FALSE),B1177),PlayerValues!E:E,0)),"N/A")</f>
        <v>17072</v>
      </c>
      <c r="B1177" s="4" t="s">
        <v>508</v>
      </c>
      <c r="C1177" s="4" t="s">
        <v>287</v>
      </c>
      <c r="D1177" s="94">
        <v>2739.0</v>
      </c>
    </row>
    <row r="1178">
      <c r="A1178" s="40">
        <f t="array" ref="A1178">IFNA(index(PlayerValues!A:A,match(IFNA(vlookup(B1178,'Special Names'!A:B,2,FALSE),B1178),PlayerValues!E:E,0)),"N/A")</f>
        <v>16584</v>
      </c>
      <c r="B1178" s="4" t="s">
        <v>569</v>
      </c>
      <c r="C1178" s="4" t="s">
        <v>283</v>
      </c>
      <c r="D1178" s="94">
        <v>2733.0</v>
      </c>
    </row>
    <row r="1179">
      <c r="A1179" s="40">
        <f t="array" ref="A1179">IFNA(index(PlayerValues!A:A,match(IFNA(vlookup(B1179,'Special Names'!A:B,2,FALSE),B1179),PlayerValues!E:E,0)),"N/A")</f>
        <v>17053</v>
      </c>
      <c r="B1179" s="4" t="s">
        <v>484</v>
      </c>
      <c r="C1179" s="4" t="s">
        <v>278</v>
      </c>
      <c r="D1179" s="94">
        <v>2726.0</v>
      </c>
    </row>
    <row r="1180">
      <c r="A1180" s="40">
        <f t="array" ref="A1180">IFNA(index(PlayerValues!A:A,match(IFNA(vlookup(B1180,'Special Names'!A:B,2,FALSE),B1180),PlayerValues!E:E,0)),"N/A")</f>
        <v>17514</v>
      </c>
      <c r="B1180" s="4" t="s">
        <v>422</v>
      </c>
      <c r="C1180" s="4" t="s">
        <v>287</v>
      </c>
      <c r="D1180" s="94">
        <v>2725.0</v>
      </c>
    </row>
    <row r="1181">
      <c r="A1181" s="40">
        <f t="array" ref="A1181">IFNA(index(PlayerValues!A:A,match(IFNA(vlookup(B1181,'Special Names'!A:B,2,FALSE),B1181),PlayerValues!E:E,0)),"N/A")</f>
        <v>14138</v>
      </c>
      <c r="B1181" s="4" t="s">
        <v>531</v>
      </c>
      <c r="C1181" s="4" t="s">
        <v>298</v>
      </c>
      <c r="D1181" s="94">
        <v>3137.0</v>
      </c>
    </row>
    <row r="1182">
      <c r="A1182" s="40">
        <f t="array" ref="A1182">IFNA(index(PlayerValues!A:A,match(IFNA(vlookup(B1182,'Special Names'!A:B,2,FALSE),B1182),PlayerValues!E:E,0)),"N/A")</f>
        <v>17080</v>
      </c>
      <c r="B1182" s="4" t="s">
        <v>532</v>
      </c>
      <c r="C1182" s="4" t="s">
        <v>287</v>
      </c>
      <c r="D1182" s="94">
        <v>2720.0</v>
      </c>
    </row>
    <row r="1183">
      <c r="A1183" s="40">
        <f t="array" ref="A1183">IFNA(index(PlayerValues!A:A,match(IFNA(vlookup(B1183,'Special Names'!A:B,2,FALSE),B1183),PlayerValues!E:E,0)),"N/A")</f>
        <v>17511</v>
      </c>
      <c r="B1183" s="4" t="s">
        <v>485</v>
      </c>
      <c r="C1183" s="4" t="s">
        <v>287</v>
      </c>
      <c r="D1183" s="94">
        <v>2718.0</v>
      </c>
    </row>
    <row r="1184">
      <c r="A1184" s="40">
        <f t="array" ref="A1184">IFNA(index(PlayerValues!A:A,match(IFNA(vlookup(B1184,'Special Names'!A:B,2,FALSE),B1184),PlayerValues!E:E,0)),"N/A")</f>
        <v>17031</v>
      </c>
      <c r="B1184" s="4" t="s">
        <v>535</v>
      </c>
      <c r="C1184" s="4" t="s">
        <v>283</v>
      </c>
      <c r="D1184" s="94">
        <v>2714.0</v>
      </c>
    </row>
    <row r="1185">
      <c r="A1185" s="40">
        <f t="array" ref="A1185">IFNA(index(PlayerValues!A:A,match(IFNA(vlookup(B1185,'Special Names'!A:B,2,FALSE),B1185),PlayerValues!E:E,0)),"N/A")</f>
        <v>17507</v>
      </c>
      <c r="B1185" s="4" t="s">
        <v>495</v>
      </c>
      <c r="C1185" s="4" t="s">
        <v>287</v>
      </c>
      <c r="D1185" s="94">
        <v>2703.0</v>
      </c>
    </row>
    <row r="1186">
      <c r="A1186" s="40">
        <f t="array" ref="A1186">IFNA(index(PlayerValues!A:A,match(IFNA(vlookup(B1186,'Special Names'!A:B,2,FALSE),B1186),PlayerValues!E:E,0)),"N/A")</f>
        <v>15241</v>
      </c>
      <c r="B1186" s="4" t="s">
        <v>546</v>
      </c>
      <c r="C1186" s="4" t="s">
        <v>283</v>
      </c>
      <c r="D1186" s="94">
        <v>2672.0</v>
      </c>
    </row>
    <row r="1187">
      <c r="A1187" s="40">
        <f t="array" ref="A1187">IFNA(index(PlayerValues!A:A,match(IFNA(vlookup(B1187,'Special Names'!A:B,2,FALSE),B1187),PlayerValues!E:E,0)),"N/A")</f>
        <v>16596</v>
      </c>
      <c r="B1187" s="4" t="s">
        <v>501</v>
      </c>
      <c r="C1187" s="4" t="s">
        <v>278</v>
      </c>
      <c r="D1187" s="94">
        <v>2670.0</v>
      </c>
    </row>
    <row r="1188">
      <c r="A1188" s="40">
        <f t="array" ref="A1188">IFNA(index(PlayerValues!A:A,match(IFNA(vlookup(B1188,'Special Names'!A:B,2,FALSE),B1188),PlayerValues!E:E,0)),"N/A")</f>
        <v>17107</v>
      </c>
      <c r="B1188" s="4" t="s">
        <v>478</v>
      </c>
      <c r="C1188" s="4" t="s">
        <v>298</v>
      </c>
      <c r="D1188" s="94">
        <v>3081.0</v>
      </c>
    </row>
    <row r="1189">
      <c r="A1189" s="40">
        <f t="array" ref="A1189">IFNA(index(PlayerValues!A:A,match(IFNA(vlookup(B1189,'Special Names'!A:B,2,FALSE),B1189),PlayerValues!E:E,0)),"N/A")</f>
        <v>15972</v>
      </c>
      <c r="B1189" s="4" t="s">
        <v>469</v>
      </c>
      <c r="C1189" s="4" t="s">
        <v>278</v>
      </c>
      <c r="D1189" s="94">
        <v>2665.0</v>
      </c>
    </row>
    <row r="1190">
      <c r="A1190" s="40">
        <f t="array" ref="A1190">IFNA(index(PlayerValues!A:A,match(IFNA(vlookup(B1190,'Special Names'!A:B,2,FALSE),B1190),PlayerValues!E:E,0)),"N/A")</f>
        <v>12616</v>
      </c>
      <c r="B1190" s="4" t="s">
        <v>529</v>
      </c>
      <c r="C1190" s="4" t="s">
        <v>283</v>
      </c>
      <c r="D1190" s="94">
        <v>2652.0</v>
      </c>
    </row>
    <row r="1191">
      <c r="A1191" s="40">
        <f t="array" ref="A1191">IFNA(index(PlayerValues!A:A,match(IFNA(vlookup(B1191,'Special Names'!A:B,2,FALSE),B1191),PlayerValues!E:E,0)),"N/A")</f>
        <v>16747</v>
      </c>
      <c r="B1191" s="4" t="s">
        <v>555</v>
      </c>
      <c r="C1191" s="4" t="s">
        <v>278</v>
      </c>
      <c r="D1191" s="94">
        <v>2651.0</v>
      </c>
    </row>
    <row r="1192">
      <c r="A1192" s="40">
        <f t="array" ref="A1192">IFNA(index(PlayerValues!A:A,match(IFNA(vlookup(B1192,'Special Names'!A:B,2,FALSE),B1192),PlayerValues!E:E,0)),"N/A")</f>
        <v>17105</v>
      </c>
      <c r="B1192" s="4" t="s">
        <v>525</v>
      </c>
      <c r="C1192" s="4" t="s">
        <v>298</v>
      </c>
      <c r="D1192" s="94">
        <v>3059.0</v>
      </c>
    </row>
    <row r="1193">
      <c r="A1193" s="40" t="str">
        <f t="array" ref="A1193">IFNA(index(PlayerValues!A:A,match(IFNA(vlookup(B1193,'Special Names'!A:B,2,FALSE),B1193),PlayerValues!E:E,0)),"N/A")</f>
        <v>N/A</v>
      </c>
      <c r="B1193" s="4" t="s">
        <v>98</v>
      </c>
      <c r="C1193" s="4" t="s">
        <v>325</v>
      </c>
      <c r="D1193" s="94">
        <v>2640.0</v>
      </c>
    </row>
    <row r="1194">
      <c r="A1194" s="40">
        <f t="array" ref="A1194">IFNA(index(PlayerValues!A:A,match(IFNA(vlookup(B1194,'Special Names'!A:B,2,FALSE),B1194),PlayerValues!E:E,0)),"N/A")</f>
        <v>16174</v>
      </c>
      <c r="B1194" s="4" t="s">
        <v>505</v>
      </c>
      <c r="C1194" s="4" t="s">
        <v>278</v>
      </c>
      <c r="D1194" s="94">
        <v>2638.0</v>
      </c>
    </row>
    <row r="1195">
      <c r="A1195" s="40">
        <f t="array" ref="A1195">IFNA(index(PlayerValues!A:A,match(IFNA(vlookup(B1195,'Special Names'!A:B,2,FALSE),B1195),PlayerValues!E:E,0)),"N/A")</f>
        <v>17098</v>
      </c>
      <c r="B1195" s="4" t="s">
        <v>533</v>
      </c>
      <c r="C1195" s="4" t="s">
        <v>287</v>
      </c>
      <c r="D1195" s="94">
        <v>2637.0</v>
      </c>
    </row>
    <row r="1196">
      <c r="A1196" s="40">
        <f t="array" ref="A1196">IFNA(index(PlayerValues!A:A,match(IFNA(vlookup(B1196,'Special Names'!A:B,2,FALSE),B1196),PlayerValues!E:E,0)),"N/A")</f>
        <v>14833</v>
      </c>
      <c r="B1196" s="4" t="s">
        <v>553</v>
      </c>
      <c r="C1196" s="4" t="s">
        <v>287</v>
      </c>
      <c r="D1196" s="94">
        <v>2608.0</v>
      </c>
    </row>
    <row r="1197">
      <c r="A1197" s="40">
        <f t="array" ref="A1197">IFNA(index(PlayerValues!A:A,match(IFNA(vlookup(B1197,'Special Names'!A:B,2,FALSE),B1197),PlayerValues!E:E,0)),"N/A")</f>
        <v>14860</v>
      </c>
      <c r="B1197" s="4" t="s">
        <v>554</v>
      </c>
      <c r="C1197" s="4" t="s">
        <v>287</v>
      </c>
      <c r="D1197" s="94">
        <v>2606.0</v>
      </c>
    </row>
    <row r="1198">
      <c r="A1198" s="40">
        <f t="array" ref="A1198">IFNA(index(PlayerValues!A:A,match(IFNA(vlookup(B1198,'Special Names'!A:B,2,FALSE),B1198),PlayerValues!E:E,0)),"N/A")</f>
        <v>16165</v>
      </c>
      <c r="B1198" s="4" t="s">
        <v>520</v>
      </c>
      <c r="C1198" s="4" t="s">
        <v>278</v>
      </c>
      <c r="D1198" s="94">
        <v>2597.0</v>
      </c>
    </row>
    <row r="1199">
      <c r="A1199" s="40">
        <f t="array" ref="A1199">IFNA(index(PlayerValues!A:A,match(IFNA(vlookup(B1199,'Special Names'!A:B,2,FALSE),B1199),PlayerValues!E:E,0)),"N/A")</f>
        <v>16619</v>
      </c>
      <c r="B1199" s="4" t="s">
        <v>538</v>
      </c>
      <c r="C1199" s="4" t="s">
        <v>287</v>
      </c>
      <c r="D1199" s="94">
        <v>2594.0</v>
      </c>
    </row>
    <row r="1200">
      <c r="A1200" s="40">
        <f t="array" ref="A1200">IFNA(index(PlayerValues!A:A,match(IFNA(vlookup(B1200,'Special Names'!A:B,2,FALSE),B1200),PlayerValues!E:E,0)),"N/A")</f>
        <v>13674</v>
      </c>
      <c r="B1200" s="4" t="s">
        <v>511</v>
      </c>
      <c r="C1200" s="4" t="s">
        <v>298</v>
      </c>
      <c r="D1200" s="94">
        <v>2998.0</v>
      </c>
    </row>
    <row r="1201">
      <c r="A1201" s="40">
        <f t="array" ref="A1201">IFNA(index(PlayerValues!A:A,match(IFNA(vlookup(B1201,'Special Names'!A:B,2,FALSE),B1201),PlayerValues!E:E,0)),"N/A")</f>
        <v>17478</v>
      </c>
      <c r="B1201" s="4" t="s">
        <v>527</v>
      </c>
      <c r="C1201" s="4" t="s">
        <v>278</v>
      </c>
      <c r="D1201" s="94">
        <v>2585.0</v>
      </c>
    </row>
    <row r="1202">
      <c r="A1202" s="40">
        <f t="array" ref="A1202">IFNA(index(PlayerValues!A:A,match(IFNA(vlookup(B1202,'Special Names'!A:B,2,FALSE),B1202),PlayerValues!E:E,0)),"N/A")</f>
        <v>17474</v>
      </c>
      <c r="B1202" s="4" t="s">
        <v>513</v>
      </c>
      <c r="C1202" s="4" t="s">
        <v>278</v>
      </c>
      <c r="D1202" s="94">
        <v>2568.0</v>
      </c>
    </row>
    <row r="1203">
      <c r="A1203" s="40">
        <f t="array" ref="A1203">IFNA(index(PlayerValues!A:A,match(IFNA(vlookup(B1203,'Special Names'!A:B,2,FALSE),B1203),PlayerValues!E:E,0)),"N/A")</f>
        <v>16684</v>
      </c>
      <c r="B1203" s="4" t="s">
        <v>500</v>
      </c>
      <c r="C1203" s="4" t="s">
        <v>287</v>
      </c>
      <c r="D1203" s="94">
        <v>2543.0</v>
      </c>
    </row>
    <row r="1204">
      <c r="A1204" s="40">
        <f t="array" ref="A1204">IFNA(index(PlayerValues!A:A,match(IFNA(vlookup(B1204,'Special Names'!A:B,2,FALSE),B1204),PlayerValues!E:E,0)),"N/A")</f>
        <v>16626</v>
      </c>
      <c r="B1204" s="4" t="s">
        <v>515</v>
      </c>
      <c r="C1204" s="4" t="s">
        <v>287</v>
      </c>
      <c r="D1204" s="94">
        <v>2542.0</v>
      </c>
    </row>
    <row r="1205">
      <c r="A1205" s="40">
        <f t="array" ref="A1205">IFNA(index(PlayerValues!A:A,match(IFNA(vlookup(B1205,'Special Names'!A:B,2,FALSE),B1205),PlayerValues!E:E,0)),"N/A")</f>
        <v>16193</v>
      </c>
      <c r="B1205" s="4" t="s">
        <v>487</v>
      </c>
      <c r="C1205" s="4" t="s">
        <v>287</v>
      </c>
      <c r="D1205" s="94">
        <v>2539.0</v>
      </c>
    </row>
    <row r="1206">
      <c r="A1206" s="40">
        <f t="array" ref="A1206">IFNA(index(PlayerValues!A:A,match(IFNA(vlookup(B1206,'Special Names'!A:B,2,FALSE),B1206),PlayerValues!E:E,0)),"N/A")</f>
        <v>16204</v>
      </c>
      <c r="B1206" s="4" t="s">
        <v>530</v>
      </c>
      <c r="C1206" s="4" t="s">
        <v>287</v>
      </c>
      <c r="D1206" s="94">
        <v>2533.0</v>
      </c>
    </row>
    <row r="1207">
      <c r="A1207" s="40">
        <f t="array" ref="A1207">IFNA(index(PlayerValues!A:A,match(IFNA(vlookup(B1207,'Special Names'!A:B,2,FALSE),B1207),PlayerValues!E:E,0)),"N/A")</f>
        <v>17520</v>
      </c>
      <c r="B1207" s="4" t="s">
        <v>518</v>
      </c>
      <c r="C1207" s="4" t="s">
        <v>287</v>
      </c>
      <c r="D1207" s="94">
        <v>2526.0</v>
      </c>
    </row>
    <row r="1208">
      <c r="A1208" s="40" t="str">
        <f t="array" ref="A1208">IFNA(index(PlayerValues!A:A,match(IFNA(vlookup(B1208,'Special Names'!A:B,2,FALSE),B1208),PlayerValues!E:E,0)),"N/A")</f>
        <v>N/A</v>
      </c>
      <c r="B1208" s="4" t="s">
        <v>99</v>
      </c>
      <c r="C1208" s="4" t="s">
        <v>325</v>
      </c>
      <c r="D1208" s="94">
        <v>2518.0</v>
      </c>
    </row>
    <row r="1209">
      <c r="A1209" s="40">
        <f t="array" ref="A1209">IFNA(index(PlayerValues!A:A,match(IFNA(vlookup(B1209,'Special Names'!A:B,2,FALSE),B1209),PlayerValues!E:E,0)),"N/A")</f>
        <v>11244</v>
      </c>
      <c r="B1209" s="4" t="s">
        <v>519</v>
      </c>
      <c r="C1209" s="4" t="s">
        <v>298</v>
      </c>
      <c r="D1209" s="94">
        <v>2907.0</v>
      </c>
    </row>
    <row r="1210">
      <c r="A1210" s="40">
        <f t="array" ref="A1210">IFNA(index(PlayerValues!A:A,match(IFNA(vlookup(B1210,'Special Names'!A:B,2,FALSE),B1210),PlayerValues!E:E,0)),"N/A")</f>
        <v>16178</v>
      </c>
      <c r="B1210" s="4" t="s">
        <v>507</v>
      </c>
      <c r="C1210" s="4" t="s">
        <v>278</v>
      </c>
      <c r="D1210" s="94">
        <v>2502.0</v>
      </c>
    </row>
    <row r="1211">
      <c r="A1211" s="40">
        <f t="array" ref="A1211">IFNA(index(PlayerValues!A:A,match(IFNA(vlookup(B1211,'Special Names'!A:B,2,FALSE),B1211),PlayerValues!E:E,0)),"N/A")</f>
        <v>17078</v>
      </c>
      <c r="B1211" s="4" t="s">
        <v>543</v>
      </c>
      <c r="C1211" s="4" t="s">
        <v>287</v>
      </c>
      <c r="D1211" s="94">
        <v>2489.0</v>
      </c>
    </row>
    <row r="1212">
      <c r="A1212" s="40">
        <f t="array" ref="A1212">IFNA(index(PlayerValues!A:A,match(IFNA(vlookup(B1212,'Special Names'!A:B,2,FALSE),B1212),PlayerValues!E:E,0)),"N/A")</f>
        <v>16287</v>
      </c>
      <c r="B1212" s="4" t="s">
        <v>516</v>
      </c>
      <c r="C1212" s="4" t="s">
        <v>287</v>
      </c>
      <c r="D1212" s="94">
        <v>2484.0</v>
      </c>
    </row>
    <row r="1213">
      <c r="A1213" s="40">
        <f t="array" ref="A1213">IFNA(index(PlayerValues!A:A,match(IFNA(vlookup(B1213,'Special Names'!A:B,2,FALSE),B1213),PlayerValues!E:E,0)),"N/A")</f>
        <v>17073</v>
      </c>
      <c r="B1213" s="4" t="s">
        <v>547</v>
      </c>
      <c r="C1213" s="4" t="s">
        <v>287</v>
      </c>
      <c r="D1213" s="94">
        <v>2483.0</v>
      </c>
    </row>
    <row r="1214">
      <c r="A1214" s="40">
        <f t="array" ref="A1214">IFNA(index(PlayerValues!A:A,match(IFNA(vlookup(B1214,'Special Names'!A:B,2,FALSE),B1214),PlayerValues!E:E,0)),"N/A")</f>
        <v>17509</v>
      </c>
      <c r="B1214" s="4" t="s">
        <v>551</v>
      </c>
      <c r="C1214" s="4" t="s">
        <v>287</v>
      </c>
      <c r="D1214" s="94">
        <v>2483.0</v>
      </c>
    </row>
    <row r="1215">
      <c r="A1215" s="40">
        <f t="array" ref="A1215">IFNA(index(PlayerValues!A:A,match(IFNA(vlookup(B1215,'Special Names'!A:B,2,FALSE),B1215),PlayerValues!E:E,0)),"N/A")</f>
        <v>16164</v>
      </c>
      <c r="B1215" s="4" t="s">
        <v>512</v>
      </c>
      <c r="C1215" s="4" t="s">
        <v>278</v>
      </c>
      <c r="D1215" s="94">
        <v>2475.0</v>
      </c>
    </row>
    <row r="1216">
      <c r="A1216" s="40">
        <f t="array" ref="A1216">IFNA(index(PlayerValues!A:A,match(IFNA(vlookup(B1216,'Special Names'!A:B,2,FALSE),B1216),PlayerValues!E:E,0)),"N/A")</f>
        <v>17082</v>
      </c>
      <c r="B1216" s="4" t="s">
        <v>498</v>
      </c>
      <c r="C1216" s="4" t="s">
        <v>287</v>
      </c>
      <c r="D1216" s="94">
        <v>2462.0</v>
      </c>
    </row>
    <row r="1217">
      <c r="A1217" s="40">
        <f t="array" ref="A1217">IFNA(index(PlayerValues!A:A,match(IFNA(vlookup(B1217,'Special Names'!A:B,2,FALSE),B1217),PlayerValues!E:E,0)),"N/A")</f>
        <v>17508</v>
      </c>
      <c r="B1217" s="4" t="s">
        <v>534</v>
      </c>
      <c r="C1217" s="4" t="s">
        <v>287</v>
      </c>
      <c r="D1217" s="94">
        <v>2445.0</v>
      </c>
    </row>
    <row r="1218">
      <c r="A1218" s="40">
        <f t="array" ref="A1218">IFNA(index(PlayerValues!A:A,match(IFNA(vlookup(B1218,'Special Names'!A:B,2,FALSE),B1218),PlayerValues!E:E,0)),"N/A")</f>
        <v>15786</v>
      </c>
      <c r="B1218" s="4" t="s">
        <v>521</v>
      </c>
      <c r="C1218" s="4" t="s">
        <v>287</v>
      </c>
      <c r="D1218" s="94">
        <v>2429.0</v>
      </c>
    </row>
    <row r="1219">
      <c r="A1219" s="40">
        <f t="array" ref="A1219">IFNA(index(PlayerValues!A:A,match(IFNA(vlookup(B1219,'Special Names'!A:B,2,FALSE),B1219),PlayerValues!E:E,0)),"N/A")</f>
        <v>16617</v>
      </c>
      <c r="B1219" s="4" t="s">
        <v>541</v>
      </c>
      <c r="C1219" s="4" t="s">
        <v>287</v>
      </c>
      <c r="D1219" s="94">
        <v>2423.0</v>
      </c>
    </row>
    <row r="1220">
      <c r="A1220" s="40">
        <f t="array" ref="A1220">IFNA(index(PlayerValues!A:A,match(IFNA(vlookup(B1220,'Special Names'!A:B,2,FALSE),B1220),PlayerValues!E:E,0)),"N/A")</f>
        <v>17108</v>
      </c>
      <c r="B1220" s="4" t="s">
        <v>542</v>
      </c>
      <c r="C1220" s="4" t="s">
        <v>298</v>
      </c>
      <c r="D1220" s="94">
        <v>2822.0</v>
      </c>
    </row>
    <row r="1221">
      <c r="A1221" s="40">
        <f t="array" ref="A1221">IFNA(index(PlayerValues!A:A,match(IFNA(vlookup(B1221,'Special Names'!A:B,2,FALSE),B1221),PlayerValues!E:E,0)),"N/A")</f>
        <v>13192</v>
      </c>
      <c r="B1221" s="4" t="s">
        <v>563</v>
      </c>
      <c r="C1221" s="4" t="s">
        <v>298</v>
      </c>
      <c r="D1221" s="94">
        <v>2820.0</v>
      </c>
    </row>
    <row r="1222">
      <c r="A1222" s="40">
        <f t="array" ref="A1222">IFNA(index(PlayerValues!A:A,match(IFNA(vlookup(B1222,'Special Names'!A:B,2,FALSE),B1222),PlayerValues!E:E,0)),"N/A")</f>
        <v>17171</v>
      </c>
      <c r="B1222" s="4" t="s">
        <v>561</v>
      </c>
      <c r="C1222" s="4" t="s">
        <v>287</v>
      </c>
      <c r="D1222" s="94">
        <v>2410.0</v>
      </c>
    </row>
    <row r="1223">
      <c r="A1223" s="40">
        <f t="array" ref="A1223">IFNA(index(PlayerValues!A:A,match(IFNA(vlookup(B1223,'Special Names'!A:B,2,FALSE),B1223),PlayerValues!E:E,0)),"N/A")</f>
        <v>16195</v>
      </c>
      <c r="B1223" s="4" t="s">
        <v>509</v>
      </c>
      <c r="C1223" s="4" t="s">
        <v>287</v>
      </c>
      <c r="D1223" s="94">
        <v>2401.0</v>
      </c>
    </row>
    <row r="1224">
      <c r="A1224" s="40" t="str">
        <f t="array" ref="A1224">IFNA(index(PlayerValues!A:A,match(IFNA(vlookup(B1224,'Special Names'!A:B,2,FALSE),B1224),PlayerValues!E:E,0)),"N/A")</f>
        <v>N/A</v>
      </c>
      <c r="B1224" s="4" t="s">
        <v>557</v>
      </c>
      <c r="C1224" s="4" t="s">
        <v>278</v>
      </c>
      <c r="D1224" s="94">
        <v>2384.0</v>
      </c>
    </row>
    <row r="1225">
      <c r="A1225" s="40">
        <f t="array" ref="A1225">IFNA(index(PlayerValues!A:A,match(IFNA(vlookup(B1225,'Special Names'!A:B,2,FALSE),B1225),PlayerValues!E:E,0)),"N/A")</f>
        <v>17106</v>
      </c>
      <c r="B1225" s="4" t="s">
        <v>550</v>
      </c>
      <c r="C1225" s="4" t="s">
        <v>298</v>
      </c>
      <c r="D1225" s="94">
        <v>2779.0</v>
      </c>
    </row>
    <row r="1226">
      <c r="A1226" s="40">
        <f t="array" ref="A1226">IFNA(index(PlayerValues!A:A,match(IFNA(vlookup(B1226,'Special Names'!A:B,2,FALSE),B1226),PlayerValues!E:E,0)),"N/A")</f>
        <v>17517</v>
      </c>
      <c r="B1226" s="4" t="s">
        <v>454</v>
      </c>
      <c r="C1226" s="4" t="s">
        <v>287</v>
      </c>
      <c r="D1226" s="94">
        <v>2378.0</v>
      </c>
    </row>
    <row r="1227">
      <c r="A1227" s="40">
        <f t="array" ref="A1227">IFNA(index(PlayerValues!A:A,match(IFNA(vlookup(B1227,'Special Names'!A:B,2,FALSE),B1227),PlayerValues!E:E,0)),"N/A")</f>
        <v>17134</v>
      </c>
      <c r="B1227" s="4" t="s">
        <v>548</v>
      </c>
      <c r="C1227" s="4" t="s">
        <v>287</v>
      </c>
      <c r="D1227" s="94">
        <v>2369.0</v>
      </c>
    </row>
    <row r="1228">
      <c r="A1228" s="40">
        <f t="array" ref="A1228">IFNA(index(PlayerValues!A:A,match(IFNA(vlookup(B1228,'Special Names'!A:B,2,FALSE),B1228),PlayerValues!E:E,0)),"N/A")</f>
        <v>17048</v>
      </c>
      <c r="B1228" s="4" t="s">
        <v>539</v>
      </c>
      <c r="C1228" s="4" t="s">
        <v>278</v>
      </c>
      <c r="D1228" s="94">
        <v>2359.0</v>
      </c>
    </row>
    <row r="1229">
      <c r="A1229" s="40">
        <f t="array" ref="A1229">IFNA(index(PlayerValues!A:A,match(IFNA(vlookup(B1229,'Special Names'!A:B,2,FALSE),B1229),PlayerValues!E:E,0)),"N/A")</f>
        <v>17547</v>
      </c>
      <c r="B1229" s="4" t="s">
        <v>552</v>
      </c>
      <c r="C1229" s="4" t="s">
        <v>298</v>
      </c>
      <c r="D1229" s="94">
        <v>2751.0</v>
      </c>
    </row>
    <row r="1230">
      <c r="A1230" s="40">
        <f t="array" ref="A1230">IFNA(index(PlayerValues!A:A,match(IFNA(vlookup(B1230,'Special Names'!A:B,2,FALSE),B1230),PlayerValues!E:E,0)),"N/A")</f>
        <v>15716</v>
      </c>
      <c r="B1230" s="4" t="s">
        <v>545</v>
      </c>
      <c r="C1230" s="4" t="s">
        <v>278</v>
      </c>
      <c r="D1230" s="94">
        <v>2344.0</v>
      </c>
    </row>
    <row r="1231">
      <c r="A1231" s="40">
        <f t="array" ref="A1231">IFNA(index(PlayerValues!A:A,match(IFNA(vlookup(B1231,'Special Names'!A:B,2,FALSE),B1231),PlayerValues!E:E,0)),"N/A")</f>
        <v>15749</v>
      </c>
      <c r="B1231" s="4" t="s">
        <v>574</v>
      </c>
      <c r="C1231" s="4" t="s">
        <v>278</v>
      </c>
      <c r="D1231" s="94">
        <v>2329.0</v>
      </c>
    </row>
    <row r="1232">
      <c r="A1232" s="40">
        <f t="array" ref="A1232">IFNA(index(PlayerValues!A:A,match(IFNA(vlookup(B1232,'Special Names'!A:B,2,FALSE),B1232),PlayerValues!E:E,0)),"N/A")</f>
        <v>14861</v>
      </c>
      <c r="B1232" s="4" t="s">
        <v>523</v>
      </c>
      <c r="C1232" s="4" t="s">
        <v>298</v>
      </c>
      <c r="D1232" s="94">
        <v>2715.0</v>
      </c>
    </row>
    <row r="1233">
      <c r="A1233" s="40">
        <f t="array" ref="A1233">IFNA(index(PlayerValues!A:A,match(IFNA(vlookup(B1233,'Special Names'!A:B,2,FALSE),B1233),PlayerValues!E:E,0)),"N/A")</f>
        <v>15802</v>
      </c>
      <c r="B1233" s="4" t="s">
        <v>566</v>
      </c>
      <c r="C1233" s="4" t="s">
        <v>298</v>
      </c>
      <c r="D1233" s="94">
        <v>2711.0</v>
      </c>
    </row>
    <row r="1234">
      <c r="A1234" s="40">
        <f t="array" ref="A1234">IFNA(index(PlayerValues!A:A,match(IFNA(vlookup(B1234,'Special Names'!A:B,2,FALSE),B1234),PlayerValues!E:E,0)),"N/A")</f>
        <v>13319</v>
      </c>
      <c r="B1234" s="4" t="s">
        <v>549</v>
      </c>
      <c r="C1234" s="4" t="s">
        <v>278</v>
      </c>
      <c r="D1234" s="94">
        <v>2290.0</v>
      </c>
    </row>
    <row r="1235">
      <c r="A1235" s="40">
        <f t="array" ref="A1235">IFNA(index(PlayerValues!A:A,match(IFNA(vlookup(B1235,'Special Names'!A:B,2,FALSE),B1235),PlayerValues!E:E,0)),"N/A")</f>
        <v>17482</v>
      </c>
      <c r="B1235" s="4" t="s">
        <v>460</v>
      </c>
      <c r="C1235" s="4" t="s">
        <v>278</v>
      </c>
      <c r="D1235" s="94">
        <v>2284.0</v>
      </c>
    </row>
    <row r="1236">
      <c r="A1236" s="40">
        <f t="array" ref="A1236">IFNA(index(PlayerValues!A:A,match(IFNA(vlookup(B1236,'Special Names'!A:B,2,FALSE),B1236),PlayerValues!E:E,0)),"N/A")</f>
        <v>16166</v>
      </c>
      <c r="B1236" s="4" t="s">
        <v>567</v>
      </c>
      <c r="C1236" s="4" t="s">
        <v>278</v>
      </c>
      <c r="D1236" s="94">
        <v>2278.0</v>
      </c>
    </row>
    <row r="1237">
      <c r="A1237" s="40" t="str">
        <f t="array" ref="A1237">IFNA(index(PlayerValues!A:A,match(IFNA(vlookup(B1237,'Special Names'!A:B,2,FALSE),B1237),PlayerValues!E:E,0)),"N/A")</f>
        <v>N/A</v>
      </c>
      <c r="B1237" s="4" t="s">
        <v>86</v>
      </c>
      <c r="C1237" s="4" t="s">
        <v>325</v>
      </c>
      <c r="D1237" s="94">
        <v>2278.0</v>
      </c>
    </row>
    <row r="1238">
      <c r="A1238" s="40">
        <f t="array" ref="A1238">IFNA(index(PlayerValues!A:A,match(IFNA(vlookup(B1238,'Special Names'!A:B,2,FALSE),B1238),PlayerValues!E:E,0)),"N/A")</f>
        <v>11150</v>
      </c>
      <c r="B1238" s="4" t="s">
        <v>559</v>
      </c>
      <c r="C1238" s="4" t="s">
        <v>283</v>
      </c>
      <c r="D1238" s="94">
        <v>2264.0</v>
      </c>
    </row>
    <row r="1239">
      <c r="A1239" s="40">
        <f t="array" ref="A1239">IFNA(index(PlayerValues!A:A,match(IFNA(vlookup(B1239,'Special Names'!A:B,2,FALSE),B1239),PlayerValues!E:E,0)),"N/A")</f>
        <v>16036</v>
      </c>
      <c r="B1239" s="4" t="s">
        <v>592</v>
      </c>
      <c r="C1239" s="4" t="s">
        <v>298</v>
      </c>
      <c r="D1239" s="94">
        <v>2653.0</v>
      </c>
    </row>
    <row r="1240">
      <c r="A1240" s="40">
        <f t="array" ref="A1240">IFNA(index(PlayerValues!A:A,match(IFNA(vlookup(B1240,'Special Names'!A:B,2,FALSE),B1240),PlayerValues!E:E,0)),"N/A")</f>
        <v>16594</v>
      </c>
      <c r="B1240" s="4" t="s">
        <v>607</v>
      </c>
      <c r="C1240" s="4" t="s">
        <v>278</v>
      </c>
      <c r="D1240" s="94">
        <v>2248.0</v>
      </c>
    </row>
    <row r="1241">
      <c r="A1241" s="40" t="str">
        <f t="array" ref="A1241">IFNA(index(PlayerValues!A:A,match(IFNA(vlookup(B1241,'Special Names'!A:B,2,FALSE),B1241),PlayerValues!E:E,0)),"N/A")</f>
        <v>N/A</v>
      </c>
      <c r="B1241" s="4" t="s">
        <v>100</v>
      </c>
      <c r="C1241" s="4" t="s">
        <v>325</v>
      </c>
      <c r="D1241" s="94">
        <v>2241.0</v>
      </c>
    </row>
    <row r="1242">
      <c r="A1242" s="40">
        <f t="array" ref="A1242">IFNA(index(PlayerValues!A:A,match(IFNA(vlookup(B1242,'Special Names'!A:B,2,FALSE),B1242),PlayerValues!E:E,0)),"N/A")</f>
        <v>17033</v>
      </c>
      <c r="B1242" s="4" t="s">
        <v>570</v>
      </c>
      <c r="C1242" s="4" t="s">
        <v>283</v>
      </c>
      <c r="D1242" s="94">
        <v>2237.0</v>
      </c>
    </row>
    <row r="1243">
      <c r="A1243" s="40">
        <f t="array" ref="A1243">IFNA(index(PlayerValues!A:A,match(IFNA(vlookup(B1243,'Special Names'!A:B,2,FALSE),B1243),PlayerValues!E:E,0)),"N/A")</f>
        <v>12676</v>
      </c>
      <c r="B1243" s="4" t="s">
        <v>537</v>
      </c>
      <c r="C1243" s="4" t="s">
        <v>298</v>
      </c>
      <c r="D1243" s="94">
        <v>2627.0</v>
      </c>
    </row>
    <row r="1244">
      <c r="A1244" s="40" t="str">
        <f t="array" ref="A1244">IFNA(index(PlayerValues!A:A,match(IFNA(vlookup(B1244,'Special Names'!A:B,2,FALSE),B1244),PlayerValues!E:E,0)),"N/A")</f>
        <v>N/A</v>
      </c>
      <c r="B1244" s="4" t="s">
        <v>112</v>
      </c>
      <c r="C1244" s="4" t="s">
        <v>325</v>
      </c>
      <c r="D1244" s="94">
        <v>2211.0</v>
      </c>
    </row>
    <row r="1245">
      <c r="A1245" s="40">
        <f t="array" ref="A1245">IFNA(index(PlayerValues!A:A,match(IFNA(vlookup(B1245,'Special Names'!A:B,2,FALSE),B1245),PlayerValues!E:E,0)),"N/A")</f>
        <v>16152</v>
      </c>
      <c r="B1245" s="4" t="s">
        <v>601</v>
      </c>
      <c r="C1245" s="4" t="s">
        <v>283</v>
      </c>
      <c r="D1245" s="94">
        <v>2204.0</v>
      </c>
    </row>
    <row r="1246">
      <c r="A1246" s="40">
        <f t="array" ref="A1246">IFNA(index(PlayerValues!A:A,match(IFNA(vlookup(B1246,'Special Names'!A:B,2,FALSE),B1246),PlayerValues!E:E,0)),"N/A")</f>
        <v>16649</v>
      </c>
      <c r="B1246" s="4" t="s">
        <v>586</v>
      </c>
      <c r="C1246" s="4" t="s">
        <v>298</v>
      </c>
      <c r="D1246" s="94">
        <v>2591.0</v>
      </c>
    </row>
    <row r="1247">
      <c r="A1247" s="40">
        <f t="array" ref="A1247">IFNA(index(PlayerValues!A:A,match(IFNA(vlookup(B1247,'Special Names'!A:B,2,FALSE),B1247),PlayerValues!E:E,0)),"N/A")</f>
        <v>17466</v>
      </c>
      <c r="B1247" s="4" t="s">
        <v>492</v>
      </c>
      <c r="C1247" s="4" t="s">
        <v>283</v>
      </c>
      <c r="D1247" s="94">
        <v>2195.0</v>
      </c>
    </row>
    <row r="1248">
      <c r="A1248" s="40">
        <f t="array" ref="A1248">IFNA(index(PlayerValues!A:A,match(IFNA(vlookup(B1248,'Special Names'!A:B,2,FALSE),B1248),PlayerValues!E:E,0)),"N/A")</f>
        <v>16212</v>
      </c>
      <c r="B1248" s="4" t="s">
        <v>568</v>
      </c>
      <c r="C1248" s="4" t="s">
        <v>298</v>
      </c>
      <c r="D1248" s="94">
        <v>2584.0</v>
      </c>
    </row>
    <row r="1249">
      <c r="A1249" s="40">
        <f t="array" ref="A1249">IFNA(index(PlayerValues!A:A,match(IFNA(vlookup(B1249,'Special Names'!A:B,2,FALSE),B1249),PlayerValues!E:E,0)),"N/A")</f>
        <v>15331</v>
      </c>
      <c r="B1249" s="4" t="s">
        <v>560</v>
      </c>
      <c r="C1249" s="4" t="s">
        <v>298</v>
      </c>
      <c r="D1249" s="94">
        <v>2582.0</v>
      </c>
    </row>
    <row r="1250">
      <c r="A1250" s="40">
        <f t="array" ref="A1250">IFNA(index(PlayerValues!A:A,match(IFNA(vlookup(B1250,'Special Names'!A:B,2,FALSE),B1250),PlayerValues!E:E,0)),"N/A")</f>
        <v>16610</v>
      </c>
      <c r="B1250" s="4" t="s">
        <v>562</v>
      </c>
      <c r="C1250" s="4" t="s">
        <v>278</v>
      </c>
      <c r="D1250" s="94">
        <v>2185.0</v>
      </c>
    </row>
    <row r="1251">
      <c r="A1251" s="40">
        <f t="array" ref="A1251">IFNA(index(PlayerValues!A:A,match(IFNA(vlookup(B1251,'Special Names'!A:B,2,FALSE),B1251),PlayerValues!E:E,0)),"N/A")</f>
        <v>13772</v>
      </c>
      <c r="B1251" s="4" t="s">
        <v>544</v>
      </c>
      <c r="C1251" s="4" t="s">
        <v>298</v>
      </c>
      <c r="D1251" s="94">
        <v>2567.0</v>
      </c>
    </row>
    <row r="1252">
      <c r="A1252" s="40">
        <f t="array" ref="A1252">IFNA(index(PlayerValues!A:A,match(IFNA(vlookup(B1252,'Special Names'!A:B,2,FALSE),B1252),PlayerValues!E:E,0)),"N/A")</f>
        <v>13113</v>
      </c>
      <c r="B1252" s="4" t="s">
        <v>606</v>
      </c>
      <c r="C1252" s="4" t="s">
        <v>283</v>
      </c>
      <c r="D1252" s="94">
        <v>2165.0</v>
      </c>
    </row>
    <row r="1253">
      <c r="A1253" s="40">
        <f t="array" ref="A1253">IFNA(index(PlayerValues!A:A,match(IFNA(vlookup(B1253,'Special Names'!A:B,2,FALSE),B1253),PlayerValues!E:E,0)),"N/A")</f>
        <v>14840</v>
      </c>
      <c r="B1253" s="4" t="s">
        <v>731</v>
      </c>
      <c r="C1253" s="4" t="s">
        <v>287</v>
      </c>
      <c r="D1253" s="94">
        <v>2163.0</v>
      </c>
    </row>
    <row r="1254">
      <c r="A1254" s="40" t="str">
        <f t="array" ref="A1254">IFNA(index(PlayerValues!A:A,match(IFNA(vlookup(B1254,'Special Names'!A:B,2,FALSE),B1254),PlayerValues!E:E,0)),"N/A")</f>
        <v>N/A</v>
      </c>
      <c r="B1254" s="4" t="s">
        <v>87</v>
      </c>
      <c r="C1254" s="4" t="s">
        <v>325</v>
      </c>
      <c r="D1254" s="94">
        <v>2160.0</v>
      </c>
    </row>
    <row r="1255">
      <c r="A1255" s="40">
        <f t="array" ref="A1255">IFNA(index(PlayerValues!A:A,match(IFNA(vlookup(B1255,'Special Names'!A:B,2,FALSE),B1255),PlayerValues!E:E,0)),"N/A")</f>
        <v>16604</v>
      </c>
      <c r="B1255" s="4" t="s">
        <v>476</v>
      </c>
      <c r="C1255" s="4" t="s">
        <v>278</v>
      </c>
      <c r="D1255" s="94">
        <v>2155.0</v>
      </c>
    </row>
    <row r="1256">
      <c r="A1256" s="40">
        <f t="array" ref="A1256">IFNA(index(PlayerValues!A:A,match(IFNA(vlookup(B1256,'Special Names'!A:B,2,FALSE),B1256),PlayerValues!E:E,0)),"N/A")</f>
        <v>16757</v>
      </c>
      <c r="B1256" s="4" t="s">
        <v>558</v>
      </c>
      <c r="C1256" s="4" t="s">
        <v>278</v>
      </c>
      <c r="D1256" s="94">
        <v>2148.0</v>
      </c>
    </row>
    <row r="1257">
      <c r="A1257" s="40">
        <f t="array" ref="A1257">IFNA(index(PlayerValues!A:A,match(IFNA(vlookup(B1257,'Special Names'!A:B,2,FALSE),B1257),PlayerValues!E:E,0)),"N/A")</f>
        <v>12186</v>
      </c>
      <c r="B1257" s="4" t="s">
        <v>497</v>
      </c>
      <c r="C1257" s="4" t="s">
        <v>287</v>
      </c>
      <c r="D1257" s="94">
        <v>2145.0</v>
      </c>
    </row>
    <row r="1258">
      <c r="A1258" s="40">
        <f t="array" ref="A1258">IFNA(index(PlayerValues!A:A,match(IFNA(vlookup(B1258,'Special Names'!A:B,2,FALSE),B1258),PlayerValues!E:E,0)),"N/A")</f>
        <v>17055</v>
      </c>
      <c r="B1258" s="4" t="s">
        <v>565</v>
      </c>
      <c r="C1258" s="4" t="s">
        <v>278</v>
      </c>
      <c r="D1258" s="94">
        <v>2129.0</v>
      </c>
    </row>
    <row r="1259">
      <c r="A1259" s="40" t="str">
        <f t="array" ref="A1259">IFNA(index(PlayerValues!A:A,match(IFNA(vlookup(B1259,'Special Names'!A:B,2,FALSE),B1259),PlayerValues!E:E,0)),"N/A")</f>
        <v>N/A</v>
      </c>
      <c r="B1259" s="4" t="s">
        <v>88</v>
      </c>
      <c r="C1259" s="4" t="s">
        <v>325</v>
      </c>
      <c r="D1259" s="94">
        <v>2124.0</v>
      </c>
    </row>
    <row r="1260">
      <c r="A1260" s="40">
        <f t="array" ref="A1260">IFNA(index(PlayerValues!A:A,match(IFNA(vlookup(B1260,'Special Names'!A:B,2,FALSE),B1260),PlayerValues!E:E,0)),"N/A")</f>
        <v>16189</v>
      </c>
      <c r="B1260" s="4" t="s">
        <v>582</v>
      </c>
      <c r="C1260" s="4" t="s">
        <v>287</v>
      </c>
      <c r="D1260" s="94">
        <v>2116.0</v>
      </c>
    </row>
    <row r="1261">
      <c r="A1261" s="40">
        <f t="array" ref="A1261">IFNA(index(PlayerValues!A:A,match(IFNA(vlookup(B1261,'Special Names'!A:B,2,FALSE),B1261),PlayerValues!E:E,0)),"N/A")</f>
        <v>17079</v>
      </c>
      <c r="B1261" s="4" t="s">
        <v>572</v>
      </c>
      <c r="C1261" s="4" t="s">
        <v>287</v>
      </c>
      <c r="D1261" s="94">
        <v>2092.0</v>
      </c>
    </row>
    <row r="1262">
      <c r="A1262" s="40" t="str">
        <f t="array" ref="A1262">IFNA(index(PlayerValues!A:A,match(IFNA(vlookup(B1262,'Special Names'!A:B,2,FALSE),B1262),PlayerValues!E:E,0)),"N/A")</f>
        <v>N/A</v>
      </c>
      <c r="B1262" s="4" t="s">
        <v>113</v>
      </c>
      <c r="C1262" s="4" t="s">
        <v>325</v>
      </c>
      <c r="D1262" s="94">
        <v>2090.0</v>
      </c>
    </row>
    <row r="1263">
      <c r="A1263" s="40">
        <f t="array" ref="A1263">IFNA(index(PlayerValues!A:A,match(IFNA(vlookup(B1263,'Special Names'!A:B,2,FALSE),B1263),PlayerValues!E:E,0)),"N/A")</f>
        <v>17060</v>
      </c>
      <c r="B1263" s="4" t="s">
        <v>603</v>
      </c>
      <c r="C1263" s="4" t="s">
        <v>278</v>
      </c>
      <c r="D1263" s="94">
        <v>2066.0</v>
      </c>
    </row>
    <row r="1264">
      <c r="A1264" s="40">
        <f t="array" ref="A1264">IFNA(index(PlayerValues!A:A,match(IFNA(vlookup(B1264,'Special Names'!A:B,2,FALSE),B1264),PlayerValues!E:E,0)),"N/A")</f>
        <v>17069</v>
      </c>
      <c r="B1264" s="4" t="s">
        <v>604</v>
      </c>
      <c r="C1264" s="4" t="s">
        <v>278</v>
      </c>
      <c r="D1264" s="94">
        <v>2066.0</v>
      </c>
    </row>
    <row r="1265">
      <c r="A1265" s="40">
        <f t="array" ref="A1265">IFNA(index(PlayerValues!A:A,match(IFNA(vlookup(B1265,'Special Names'!A:B,2,FALSE),B1265),PlayerValues!E:E,0)),"N/A")</f>
        <v>15238</v>
      </c>
      <c r="B1265" s="4" t="s">
        <v>613</v>
      </c>
      <c r="C1265" s="4" t="s">
        <v>283</v>
      </c>
      <c r="D1265" s="94">
        <v>2055.0</v>
      </c>
    </row>
    <row r="1266">
      <c r="A1266" s="40">
        <f t="array" ref="A1266">IFNA(index(PlayerValues!A:A,match(IFNA(vlookup(B1266,'Special Names'!A:B,2,FALSE),B1266),PlayerValues!E:E,0)),"N/A")</f>
        <v>15293</v>
      </c>
      <c r="B1266" s="4" t="s">
        <v>578</v>
      </c>
      <c r="C1266" s="4" t="s">
        <v>287</v>
      </c>
      <c r="D1266" s="94">
        <v>2052.0</v>
      </c>
    </row>
    <row r="1267">
      <c r="A1267" s="40">
        <f t="array" ref="A1267">IFNA(index(PlayerValues!A:A,match(IFNA(vlookup(B1267,'Special Names'!A:B,2,FALSE),B1267),PlayerValues!E:E,0)),"N/A")</f>
        <v>17061</v>
      </c>
      <c r="B1267" s="4" t="s">
        <v>580</v>
      </c>
      <c r="C1267" s="4" t="s">
        <v>278</v>
      </c>
      <c r="D1267" s="94">
        <v>2046.0</v>
      </c>
    </row>
    <row r="1268">
      <c r="A1268" s="40">
        <f t="array" ref="A1268">IFNA(index(PlayerValues!A:A,match(IFNA(vlookup(B1268,'Special Names'!A:B,2,FALSE),B1268),PlayerValues!E:E,0)),"N/A")</f>
        <v>13132</v>
      </c>
      <c r="B1268" s="4" t="s">
        <v>598</v>
      </c>
      <c r="C1268" s="4" t="s">
        <v>278</v>
      </c>
      <c r="D1268" s="94">
        <v>2045.0</v>
      </c>
    </row>
    <row r="1269">
      <c r="A1269" s="40">
        <f t="array" ref="A1269">IFNA(index(PlayerValues!A:A,match(IFNA(vlookup(B1269,'Special Names'!A:B,2,FALSE),B1269),PlayerValues!E:E,0)),"N/A")</f>
        <v>17046</v>
      </c>
      <c r="B1269" s="4" t="s">
        <v>602</v>
      </c>
      <c r="C1269" s="4" t="s">
        <v>278</v>
      </c>
      <c r="D1269" s="94">
        <v>2035.0</v>
      </c>
    </row>
    <row r="1270">
      <c r="A1270" s="40">
        <f t="array" ref="A1270">IFNA(index(PlayerValues!A:A,match(IFNA(vlookup(B1270,'Special Names'!A:B,2,FALSE),B1270),PlayerValues!E:E,0)),"N/A")</f>
        <v>17056</v>
      </c>
      <c r="B1270" s="4" t="s">
        <v>581</v>
      </c>
      <c r="C1270" s="4" t="s">
        <v>278</v>
      </c>
      <c r="D1270" s="94">
        <v>2034.0</v>
      </c>
    </row>
    <row r="1271">
      <c r="A1271" s="40">
        <f t="array" ref="A1271">IFNA(index(PlayerValues!A:A,match(IFNA(vlookup(B1271,'Special Names'!A:B,2,FALSE),B1271),PlayerValues!E:E,0)),"N/A")</f>
        <v>17184</v>
      </c>
      <c r="B1271" s="4" t="s">
        <v>588</v>
      </c>
      <c r="C1271" s="4" t="s">
        <v>287</v>
      </c>
      <c r="D1271" s="94">
        <v>2032.0</v>
      </c>
    </row>
    <row r="1272">
      <c r="A1272" s="40">
        <f t="array" ref="A1272">IFNA(index(PlayerValues!A:A,match(IFNA(vlookup(B1272,'Special Names'!A:B,2,FALSE),B1272),PlayerValues!E:E,0)),"N/A")</f>
        <v>16432</v>
      </c>
      <c r="B1272" s="4" t="s">
        <v>620</v>
      </c>
      <c r="C1272" s="4" t="s">
        <v>278</v>
      </c>
      <c r="D1272" s="94">
        <v>2029.0</v>
      </c>
    </row>
    <row r="1273">
      <c r="A1273" s="40">
        <f t="array" ref="A1273">IFNA(index(PlayerValues!A:A,match(IFNA(vlookup(B1273,'Special Names'!A:B,2,FALSE),B1273),PlayerValues!E:E,0)),"N/A")</f>
        <v>14974</v>
      </c>
      <c r="B1273" s="4" t="s">
        <v>611</v>
      </c>
      <c r="C1273" s="4" t="s">
        <v>287</v>
      </c>
      <c r="D1273" s="94">
        <v>2024.0</v>
      </c>
    </row>
    <row r="1274">
      <c r="A1274" s="40">
        <f t="array" ref="A1274">IFNA(index(PlayerValues!A:A,match(IFNA(vlookup(B1274,'Special Names'!A:B,2,FALSE),B1274),PlayerValues!E:E,0)),"N/A")</f>
        <v>16643</v>
      </c>
      <c r="B1274" s="4" t="s">
        <v>609</v>
      </c>
      <c r="C1274" s="4" t="s">
        <v>298</v>
      </c>
      <c r="D1274" s="94">
        <v>2409.0</v>
      </c>
    </row>
    <row r="1275">
      <c r="A1275" s="40" t="str">
        <f t="array" ref="A1275">IFNA(index(PlayerValues!A:A,match(IFNA(vlookup(B1275,'Special Names'!A:B,2,FALSE),B1275),PlayerValues!E:E,0)),"N/A")</f>
        <v>N/A</v>
      </c>
      <c r="B1275" s="4" t="s">
        <v>114</v>
      </c>
      <c r="C1275" s="4" t="s">
        <v>325</v>
      </c>
      <c r="D1275" s="94">
        <v>2008.0</v>
      </c>
    </row>
    <row r="1276">
      <c r="A1276" s="40">
        <f t="array" ref="A1276">IFNA(index(PlayerValues!A:A,match(IFNA(vlookup(B1276,'Special Names'!A:B,2,FALSE),B1276),PlayerValues!E:E,0)),"N/A")</f>
        <v>15797</v>
      </c>
      <c r="B1276" s="4" t="s">
        <v>556</v>
      </c>
      <c r="C1276" s="4" t="s">
        <v>298</v>
      </c>
      <c r="D1276" s="94">
        <v>2391.0</v>
      </c>
    </row>
    <row r="1277">
      <c r="A1277" s="40">
        <f t="array" ref="A1277">IFNA(index(PlayerValues!A:A,match(IFNA(vlookup(B1277,'Special Names'!A:B,2,FALSE),B1277),PlayerValues!E:E,0)),"N/A")</f>
        <v>14136</v>
      </c>
      <c r="B1277" s="4" t="s">
        <v>536</v>
      </c>
      <c r="C1277" s="4" t="s">
        <v>287</v>
      </c>
      <c r="D1277" s="94">
        <v>1992.0</v>
      </c>
    </row>
    <row r="1278">
      <c r="A1278" s="40">
        <f t="array" ref="A1278">IFNA(index(PlayerValues!A:A,match(IFNA(vlookup(B1278,'Special Names'!A:B,2,FALSE),B1278),PlayerValues!E:E,0)),"N/A")</f>
        <v>14867</v>
      </c>
      <c r="B1278" s="4" t="s">
        <v>591</v>
      </c>
      <c r="C1278" s="4" t="s">
        <v>298</v>
      </c>
      <c r="D1278" s="94">
        <v>2369.0</v>
      </c>
    </row>
    <row r="1279">
      <c r="A1279" s="40">
        <f t="array" ref="A1279">IFNA(index(PlayerValues!A:A,match(IFNA(vlookup(B1279,'Special Names'!A:B,2,FALSE),B1279),PlayerValues!E:E,0)),"N/A")</f>
        <v>7836</v>
      </c>
      <c r="B1279" s="4" t="s">
        <v>590</v>
      </c>
      <c r="C1279" s="4" t="s">
        <v>283</v>
      </c>
      <c r="D1279" s="94">
        <v>1981.0</v>
      </c>
    </row>
    <row r="1280">
      <c r="A1280" s="40">
        <f t="array" ref="A1280">IFNA(index(PlayerValues!A:A,match(IFNA(vlookup(B1280,'Special Names'!A:B,2,FALSE),B1280),PlayerValues!E:E,0)),"N/A")</f>
        <v>17076</v>
      </c>
      <c r="B1280" s="4" t="s">
        <v>585</v>
      </c>
      <c r="C1280" s="4" t="s">
        <v>287</v>
      </c>
      <c r="D1280" s="94">
        <v>1981.0</v>
      </c>
    </row>
    <row r="1281">
      <c r="A1281" s="40">
        <f t="array" ref="A1281">IFNA(index(PlayerValues!A:A,match(IFNA(vlookup(B1281,'Special Names'!A:B,2,FALSE),B1281),PlayerValues!E:E,0)),"N/A")</f>
        <v>16603</v>
      </c>
      <c r="B1281" s="4" t="s">
        <v>587</v>
      </c>
      <c r="C1281" s="4" t="s">
        <v>278</v>
      </c>
      <c r="D1281" s="94">
        <v>1971.0</v>
      </c>
    </row>
    <row r="1282">
      <c r="A1282" s="40">
        <f t="array" ref="A1282">IFNA(index(PlayerValues!A:A,match(IFNA(vlookup(B1282,'Special Names'!A:B,2,FALSE),B1282),PlayerValues!E:E,0)),"N/A")</f>
        <v>17036</v>
      </c>
      <c r="B1282" s="4" t="s">
        <v>617</v>
      </c>
      <c r="C1282" s="4" t="s">
        <v>283</v>
      </c>
      <c r="D1282" s="94">
        <v>1946.0</v>
      </c>
    </row>
    <row r="1283">
      <c r="A1283" s="40">
        <f t="array" ref="A1283">IFNA(index(PlayerValues!A:A,match(IFNA(vlookup(B1283,'Special Names'!A:B,2,FALSE),B1283),PlayerValues!E:E,0)),"N/A")</f>
        <v>16342</v>
      </c>
      <c r="B1283" s="4" t="s">
        <v>583</v>
      </c>
      <c r="C1283" s="4" t="s">
        <v>287</v>
      </c>
      <c r="D1283" s="94">
        <v>1945.0</v>
      </c>
    </row>
    <row r="1284">
      <c r="A1284" s="40">
        <f t="array" ref="A1284">IFNA(index(PlayerValues!A:A,match(IFNA(vlookup(B1284,'Special Names'!A:B,2,FALSE),B1284),PlayerValues!E:E,0)),"N/A")</f>
        <v>13633</v>
      </c>
      <c r="B1284" s="4" t="s">
        <v>625</v>
      </c>
      <c r="C1284" s="4" t="s">
        <v>287</v>
      </c>
      <c r="D1284" s="94">
        <v>1940.0</v>
      </c>
    </row>
    <row r="1285">
      <c r="A1285" s="40">
        <f t="array" ref="A1285">IFNA(index(PlayerValues!A:A,match(IFNA(vlookup(B1285,'Special Names'!A:B,2,FALSE),B1285),PlayerValues!E:E,0)),"N/A")</f>
        <v>17087</v>
      </c>
      <c r="B1285" s="4" t="s">
        <v>600</v>
      </c>
      <c r="C1285" s="4" t="s">
        <v>287</v>
      </c>
      <c r="D1285" s="94">
        <v>1927.0</v>
      </c>
    </row>
    <row r="1286">
      <c r="A1286" s="40">
        <f t="array" ref="A1286">IFNA(index(PlayerValues!A:A,match(IFNA(vlookup(B1286,'Special Names'!A:B,2,FALSE),B1286),PlayerValues!E:E,0)),"N/A")</f>
        <v>17528</v>
      </c>
      <c r="B1286" s="4" t="s">
        <v>579</v>
      </c>
      <c r="C1286" s="4" t="s">
        <v>287</v>
      </c>
      <c r="D1286" s="94">
        <v>1917.0</v>
      </c>
    </row>
    <row r="1287">
      <c r="A1287" s="40">
        <f t="array" ref="A1287">IFNA(index(PlayerValues!A:A,match(IFNA(vlookup(B1287,'Special Names'!A:B,2,FALSE),B1287),PlayerValues!E:E,0)),"N/A")</f>
        <v>17481</v>
      </c>
      <c r="B1287" s="4" t="s">
        <v>540</v>
      </c>
      <c r="C1287" s="4" t="s">
        <v>278</v>
      </c>
      <c r="D1287" s="94">
        <v>1910.0</v>
      </c>
    </row>
    <row r="1288">
      <c r="A1288" s="40">
        <f t="array" ref="A1288">IFNA(index(PlayerValues!A:A,match(IFNA(vlookup(B1288,'Special Names'!A:B,2,FALSE),B1288),PlayerValues!E:E,0)),"N/A")</f>
        <v>16639</v>
      </c>
      <c r="B1288" s="4" t="s">
        <v>599</v>
      </c>
      <c r="C1288" s="4" t="s">
        <v>287</v>
      </c>
      <c r="D1288" s="94">
        <v>1908.0</v>
      </c>
    </row>
    <row r="1289">
      <c r="A1289" s="40">
        <f t="array" ref="A1289">IFNA(index(PlayerValues!A:A,match(IFNA(vlookup(B1289,'Special Names'!A:B,2,FALSE),B1289),PlayerValues!E:E,0)),"N/A")</f>
        <v>10700</v>
      </c>
      <c r="B1289" s="4" t="s">
        <v>596</v>
      </c>
      <c r="C1289" s="4" t="s">
        <v>283</v>
      </c>
      <c r="D1289" s="94">
        <v>1900.0</v>
      </c>
    </row>
    <row r="1290">
      <c r="A1290" s="40">
        <f t="array" ref="A1290">IFNA(index(PlayerValues!A:A,match(IFNA(vlookup(B1290,'Special Names'!A:B,2,FALSE),B1290),PlayerValues!E:E,0)),"N/A")</f>
        <v>16216</v>
      </c>
      <c r="B1290" s="4" t="s">
        <v>595</v>
      </c>
      <c r="C1290" s="4" t="s">
        <v>298</v>
      </c>
      <c r="D1290" s="94">
        <v>2285.0</v>
      </c>
    </row>
    <row r="1291">
      <c r="A1291" s="40">
        <f t="array" ref="A1291">IFNA(index(PlayerValues!A:A,match(IFNA(vlookup(B1291,'Special Names'!A:B,2,FALSE),B1291),PlayerValues!E:E,0)),"N/A")</f>
        <v>12801</v>
      </c>
      <c r="B1291" s="4" t="s">
        <v>722</v>
      </c>
      <c r="C1291" s="4" t="s">
        <v>287</v>
      </c>
      <c r="D1291" s="94">
        <v>1871.0</v>
      </c>
    </row>
    <row r="1292">
      <c r="A1292" s="40">
        <f t="array" ref="A1292">IFNA(index(PlayerValues!A:A,match(IFNA(vlookup(B1292,'Special Names'!A:B,2,FALSE),B1292),PlayerValues!E:E,0)),"N/A")</f>
        <v>13629</v>
      </c>
      <c r="B1292" s="4" t="s">
        <v>619</v>
      </c>
      <c r="C1292" s="4" t="s">
        <v>287</v>
      </c>
      <c r="D1292" s="94">
        <v>1871.0</v>
      </c>
    </row>
    <row r="1293">
      <c r="A1293" s="40">
        <f t="array" ref="A1293">IFNA(index(PlayerValues!A:A,match(IFNA(vlookup(B1293,'Special Names'!A:B,2,FALSE),B1293),PlayerValues!E:E,0)),"N/A")</f>
        <v>17468</v>
      </c>
      <c r="B1293" s="4" t="s">
        <v>514</v>
      </c>
      <c r="C1293" s="4" t="s">
        <v>283</v>
      </c>
      <c r="D1293" s="94">
        <v>1868.0</v>
      </c>
    </row>
    <row r="1294">
      <c r="A1294" s="40">
        <f t="array" ref="A1294">IFNA(index(PlayerValues!A:A,match(IFNA(vlookup(B1294,'Special Names'!A:B,2,FALSE),B1294),PlayerValues!E:E,0)),"N/A")</f>
        <v>14871</v>
      </c>
      <c r="B1294" s="4" t="s">
        <v>584</v>
      </c>
      <c r="C1294" s="4" t="s">
        <v>298</v>
      </c>
      <c r="D1294" s="94">
        <v>2248.0</v>
      </c>
    </row>
    <row r="1295">
      <c r="A1295" s="40">
        <f t="array" ref="A1295">IFNA(index(PlayerValues!A:A,match(IFNA(vlookup(B1295,'Special Names'!A:B,2,FALSE),B1295),PlayerValues!E:E,0)),"N/A")</f>
        <v>17467</v>
      </c>
      <c r="B1295" s="4" t="s">
        <v>575</v>
      </c>
      <c r="C1295" s="4" t="s">
        <v>283</v>
      </c>
      <c r="D1295" s="94">
        <v>1856.0</v>
      </c>
    </row>
    <row r="1296">
      <c r="A1296" s="40" t="str">
        <f t="array" ref="A1296">IFNA(index(PlayerValues!A:A,match(IFNA(vlookup(B1296,'Special Names'!A:B,2,FALSE),B1296),PlayerValues!E:E,0)),"N/A")</f>
        <v>N/A</v>
      </c>
      <c r="B1296" s="4" t="s">
        <v>101</v>
      </c>
      <c r="C1296" s="4" t="s">
        <v>325</v>
      </c>
      <c r="D1296" s="94">
        <v>1855.0</v>
      </c>
    </row>
    <row r="1297">
      <c r="A1297" s="40">
        <f t="array" ref="A1297">IFNA(index(PlayerValues!A:A,match(IFNA(vlookup(B1297,'Special Names'!A:B,2,FALSE),B1297),PlayerValues!E:E,0)),"N/A")</f>
        <v>16778</v>
      </c>
      <c r="B1297" s="4" t="s">
        <v>577</v>
      </c>
      <c r="C1297" s="4" t="s">
        <v>287</v>
      </c>
      <c r="D1297" s="94">
        <v>1848.0</v>
      </c>
    </row>
    <row r="1298">
      <c r="A1298" s="40">
        <f t="array" ref="A1298">IFNA(index(PlayerValues!A:A,match(IFNA(vlookup(B1298,'Special Names'!A:B,2,FALSE),B1298),PlayerValues!E:E,0)),"N/A")</f>
        <v>13189</v>
      </c>
      <c r="B1298" s="4" t="s">
        <v>626</v>
      </c>
      <c r="C1298" s="4" t="s">
        <v>298</v>
      </c>
      <c r="D1298" s="94">
        <v>2205.0</v>
      </c>
    </row>
    <row r="1299">
      <c r="A1299" s="40">
        <f t="array" ref="A1299">IFNA(index(PlayerValues!A:A,match(IFNA(vlookup(B1299,'Special Names'!A:B,2,FALSE),B1299),PlayerValues!E:E,0)),"N/A")</f>
        <v>17485</v>
      </c>
      <c r="B1299" s="4" t="s">
        <v>522</v>
      </c>
      <c r="C1299" s="4" t="s">
        <v>278</v>
      </c>
      <c r="D1299" s="94">
        <v>1824.0</v>
      </c>
    </row>
    <row r="1300">
      <c r="A1300" s="40">
        <f t="array" ref="A1300">IFNA(index(PlayerValues!A:A,match(IFNA(vlookup(B1300,'Special Names'!A:B,2,FALSE),B1300),PlayerValues!E:E,0)),"N/A")</f>
        <v>16752</v>
      </c>
      <c r="B1300" s="4" t="s">
        <v>597</v>
      </c>
      <c r="C1300" s="4" t="s">
        <v>278</v>
      </c>
      <c r="D1300" s="94">
        <v>1799.0</v>
      </c>
    </row>
    <row r="1301">
      <c r="A1301" s="40">
        <f t="array" ref="A1301">IFNA(index(PlayerValues!A:A,match(IFNA(vlookup(B1301,'Special Names'!A:B,2,FALSE),B1301),PlayerValues!E:E,0)),"N/A")</f>
        <v>17086</v>
      </c>
      <c r="B1301" s="4" t="s">
        <v>612</v>
      </c>
      <c r="C1301" s="4" t="s">
        <v>287</v>
      </c>
      <c r="D1301" s="94">
        <v>1799.0</v>
      </c>
    </row>
    <row r="1302">
      <c r="A1302" s="40">
        <f t="array" ref="A1302">IFNA(index(PlayerValues!A:A,match(IFNA(vlookup(B1302,'Special Names'!A:B,2,FALSE),B1302),PlayerValues!E:E,0)),"N/A")</f>
        <v>15787</v>
      </c>
      <c r="B1302" s="4" t="s">
        <v>610</v>
      </c>
      <c r="C1302" s="4" t="s">
        <v>287</v>
      </c>
      <c r="D1302" s="94">
        <v>1797.0</v>
      </c>
    </row>
    <row r="1303">
      <c r="A1303" s="40">
        <f t="array" ref="A1303">IFNA(index(PlayerValues!A:A,match(IFNA(vlookup(B1303,'Special Names'!A:B,2,FALSE),B1303),PlayerValues!E:E,0)),"N/A")</f>
        <v>15788</v>
      </c>
      <c r="B1303" s="4" t="s">
        <v>627</v>
      </c>
      <c r="C1303" s="4" t="s">
        <v>287</v>
      </c>
      <c r="D1303" s="94">
        <v>1792.0</v>
      </c>
    </row>
    <row r="1304">
      <c r="A1304" s="40">
        <f t="array" ref="A1304">IFNA(index(PlayerValues!A:A,match(IFNA(vlookup(B1304,'Special Names'!A:B,2,FALSE),B1304),PlayerValues!E:E,0)),"N/A")</f>
        <v>16215</v>
      </c>
      <c r="B1304" s="4" t="s">
        <v>637</v>
      </c>
      <c r="C1304" s="4" t="s">
        <v>298</v>
      </c>
      <c r="D1304" s="94">
        <v>2166.0</v>
      </c>
    </row>
    <row r="1305">
      <c r="A1305" s="40">
        <f t="array" ref="A1305">IFNA(index(PlayerValues!A:A,match(IFNA(vlookup(B1305,'Special Names'!A:B,2,FALSE),B1305),PlayerValues!E:E,0)),"N/A")</f>
        <v>16171</v>
      </c>
      <c r="B1305" s="4" t="s">
        <v>618</v>
      </c>
      <c r="C1305" s="4" t="s">
        <v>278</v>
      </c>
      <c r="D1305" s="94">
        <v>1777.0</v>
      </c>
    </row>
    <row r="1306">
      <c r="A1306" s="40">
        <f t="array" ref="A1306">IFNA(index(PlayerValues!A:A,match(IFNA(vlookup(B1306,'Special Names'!A:B,2,FALSE),B1306),PlayerValues!E:E,0)),"N/A")</f>
        <v>17548</v>
      </c>
      <c r="B1306" s="4" t="s">
        <v>594</v>
      </c>
      <c r="C1306" s="4" t="s">
        <v>298</v>
      </c>
      <c r="D1306" s="94">
        <v>2147.0</v>
      </c>
    </row>
    <row r="1307">
      <c r="A1307" s="40">
        <f t="array" ref="A1307">IFNA(index(PlayerValues!A:A,match(IFNA(vlookup(B1307,'Special Names'!A:B,2,FALSE),B1307),PlayerValues!E:E,0)),"N/A")</f>
        <v>16644</v>
      </c>
      <c r="B1307" s="4" t="s">
        <v>640</v>
      </c>
      <c r="C1307" s="4" t="s">
        <v>298</v>
      </c>
      <c r="D1307" s="94">
        <v>2146.0</v>
      </c>
    </row>
    <row r="1308">
      <c r="A1308" s="40">
        <f t="array" ref="A1308">IFNA(index(PlayerValues!A:A,match(IFNA(vlookup(B1308,'Special Names'!A:B,2,FALSE),B1308),PlayerValues!E:E,0)),"N/A")</f>
        <v>13146</v>
      </c>
      <c r="B1308" s="4" t="s">
        <v>652</v>
      </c>
      <c r="C1308" s="4" t="s">
        <v>278</v>
      </c>
      <c r="D1308" s="94">
        <v>1756.0</v>
      </c>
    </row>
    <row r="1309">
      <c r="A1309" s="40">
        <f t="array" ref="A1309">IFNA(index(PlayerValues!A:A,match(IFNA(vlookup(B1309,'Special Names'!A:B,2,FALSE),B1309),PlayerValues!E:E,0)),"N/A")</f>
        <v>17049</v>
      </c>
      <c r="B1309" s="4" t="s">
        <v>624</v>
      </c>
      <c r="C1309" s="4" t="s">
        <v>278</v>
      </c>
      <c r="D1309" s="94">
        <v>1749.0</v>
      </c>
    </row>
    <row r="1310">
      <c r="A1310" s="40">
        <f t="array" ref="A1310">IFNA(index(PlayerValues!A:A,match(IFNA(vlookup(B1310,'Special Names'!A:B,2,FALSE),B1310),PlayerValues!E:E,0)),"N/A")</f>
        <v>16191</v>
      </c>
      <c r="B1310" s="4" t="s">
        <v>666</v>
      </c>
      <c r="C1310" s="4" t="s">
        <v>287</v>
      </c>
      <c r="D1310" s="94">
        <v>1745.0</v>
      </c>
    </row>
    <row r="1311">
      <c r="A1311" s="40" t="str">
        <f t="array" ref="A1311">IFNA(index(PlayerValues!A:A,match(IFNA(vlookup(B1311,'Special Names'!A:B,2,FALSE),B1311),PlayerValues!E:E,0)),"N/A")</f>
        <v>N/A</v>
      </c>
      <c r="B1311" s="4" t="s">
        <v>102</v>
      </c>
      <c r="C1311" s="4" t="s">
        <v>325</v>
      </c>
      <c r="D1311" s="94">
        <v>1738.0</v>
      </c>
    </row>
    <row r="1312">
      <c r="A1312" s="40">
        <f t="array" ref="A1312">IFNA(index(PlayerValues!A:A,match(IFNA(vlookup(B1312,'Special Names'!A:B,2,FALSE),B1312),PlayerValues!E:E,0)),"N/A")</f>
        <v>13164</v>
      </c>
      <c r="B1312" s="4" t="s">
        <v>632</v>
      </c>
      <c r="C1312" s="4" t="s">
        <v>287</v>
      </c>
      <c r="D1312" s="94">
        <v>1724.0</v>
      </c>
    </row>
    <row r="1313">
      <c r="A1313" s="40">
        <f t="array" ref="A1313">IFNA(index(PlayerValues!A:A,match(IFNA(vlookup(B1313,'Special Names'!A:B,2,FALSE),B1313),PlayerValues!E:E,0)),"N/A")</f>
        <v>17034</v>
      </c>
      <c r="B1313" s="4" t="s">
        <v>643</v>
      </c>
      <c r="C1313" s="4" t="s">
        <v>283</v>
      </c>
      <c r="D1313" s="94">
        <v>1714.0</v>
      </c>
    </row>
    <row r="1314">
      <c r="A1314" s="40" t="str">
        <f t="array" ref="A1314">IFNA(index(PlayerValues!A:A,match(IFNA(vlookup(B1314,'Special Names'!A:B,2,FALSE),B1314),PlayerValues!E:E,0)),"N/A")</f>
        <v>N/A</v>
      </c>
      <c r="B1314" s="4" t="s">
        <v>89</v>
      </c>
      <c r="C1314" s="4" t="s">
        <v>325</v>
      </c>
      <c r="D1314" s="94">
        <v>1712.0</v>
      </c>
    </row>
    <row r="1315">
      <c r="A1315" s="40">
        <f t="array" ref="A1315">IFNA(index(PlayerValues!A:A,match(IFNA(vlookup(B1315,'Special Names'!A:B,2,FALSE),B1315),PlayerValues!E:E,0)),"N/A")</f>
        <v>17035</v>
      </c>
      <c r="B1315" s="4" t="s">
        <v>650</v>
      </c>
      <c r="C1315" s="4" t="s">
        <v>283</v>
      </c>
      <c r="D1315" s="94">
        <v>1704.0</v>
      </c>
    </row>
    <row r="1316">
      <c r="A1316" s="40">
        <f t="array" ref="A1316">IFNA(index(PlayerValues!A:A,match(IFNA(vlookup(B1316,'Special Names'!A:B,2,FALSE),B1316),PlayerValues!E:E,0)),"N/A")</f>
        <v>14143</v>
      </c>
      <c r="B1316" s="4" t="s">
        <v>635</v>
      </c>
      <c r="C1316" s="4" t="s">
        <v>298</v>
      </c>
      <c r="D1316" s="94">
        <v>2080.0</v>
      </c>
    </row>
    <row r="1317">
      <c r="A1317" s="40">
        <f t="array" ref="A1317">IFNA(index(PlayerValues!A:A,match(IFNA(vlookup(B1317,'Special Names'!A:B,2,FALSE),B1317),PlayerValues!E:E,0)),"N/A")</f>
        <v>17607</v>
      </c>
      <c r="B1317" s="4" t="s">
        <v>526</v>
      </c>
      <c r="C1317" s="4" t="s">
        <v>298</v>
      </c>
      <c r="D1317" s="94">
        <v>2078.0</v>
      </c>
    </row>
    <row r="1318">
      <c r="A1318" s="40">
        <f t="array" ref="A1318">IFNA(index(PlayerValues!A:A,match(IFNA(vlookup(B1318,'Special Names'!A:B,2,FALSE),B1318),PlayerValues!E:E,0)),"N/A")</f>
        <v>17567</v>
      </c>
      <c r="B1318" s="4" t="s">
        <v>571</v>
      </c>
      <c r="C1318" s="4" t="s">
        <v>298</v>
      </c>
      <c r="D1318" s="94">
        <v>2078.0</v>
      </c>
    </row>
    <row r="1319">
      <c r="A1319" s="40">
        <f t="array" ref="A1319">IFNA(index(PlayerValues!A:A,match(IFNA(vlookup(B1319,'Special Names'!A:B,2,FALSE),B1319),PlayerValues!E:E,0)),"N/A")</f>
        <v>16585</v>
      </c>
      <c r="B1319" s="4" t="s">
        <v>623</v>
      </c>
      <c r="C1319" s="4" t="s">
        <v>283</v>
      </c>
      <c r="D1319" s="94">
        <v>1695.0</v>
      </c>
    </row>
    <row r="1320">
      <c r="A1320" s="40">
        <f t="array" ref="A1320">IFNA(index(PlayerValues!A:A,match(IFNA(vlookup(B1320,'Special Names'!A:B,2,FALSE),B1320),PlayerValues!E:E,0)),"N/A")</f>
        <v>17064</v>
      </c>
      <c r="B1320" s="4" t="s">
        <v>631</v>
      </c>
      <c r="C1320" s="4" t="s">
        <v>278</v>
      </c>
      <c r="D1320" s="94">
        <v>1682.0</v>
      </c>
    </row>
    <row r="1321">
      <c r="A1321" s="40" t="str">
        <f t="array" ref="A1321">IFNA(index(PlayerValues!A:A,match(IFNA(vlookup(B1321,'Special Names'!A:B,2,FALSE),B1321),PlayerValues!E:E,0)),"N/A")</f>
        <v>N/A</v>
      </c>
      <c r="B1321" s="4" t="s">
        <v>103</v>
      </c>
      <c r="C1321" s="4" t="s">
        <v>325</v>
      </c>
      <c r="D1321" s="94">
        <v>1674.0</v>
      </c>
    </row>
    <row r="1322">
      <c r="A1322" s="40">
        <f t="array" ref="A1322">IFNA(index(PlayerValues!A:A,match(IFNA(vlookup(B1322,'Special Names'!A:B,2,FALSE),B1322),PlayerValues!E:E,0)),"N/A")</f>
        <v>17058</v>
      </c>
      <c r="B1322" s="4" t="s">
        <v>641</v>
      </c>
      <c r="C1322" s="4" t="s">
        <v>278</v>
      </c>
      <c r="D1322" s="94">
        <v>1665.0</v>
      </c>
    </row>
    <row r="1323">
      <c r="A1323" s="40">
        <f t="array" ref="A1323">IFNA(index(PlayerValues!A:A,match(IFNA(vlookup(B1323,'Special Names'!A:B,2,FALSE),B1323),PlayerValues!E:E,0)),"N/A")</f>
        <v>17096</v>
      </c>
      <c r="B1323" s="4" t="s">
        <v>638</v>
      </c>
      <c r="C1323" s="4" t="s">
        <v>287</v>
      </c>
      <c r="D1323" s="94">
        <v>1656.0</v>
      </c>
    </row>
    <row r="1324">
      <c r="A1324" s="40">
        <f t="array" ref="A1324">IFNA(index(PlayerValues!A:A,match(IFNA(vlookup(B1324,'Special Names'!A:B,2,FALSE),B1324),PlayerValues!E:E,0)),"N/A")</f>
        <v>16635</v>
      </c>
      <c r="B1324" s="4" t="s">
        <v>645</v>
      </c>
      <c r="C1324" s="4" t="s">
        <v>287</v>
      </c>
      <c r="D1324" s="94">
        <v>1644.0</v>
      </c>
    </row>
    <row r="1325">
      <c r="A1325" s="40">
        <f t="array" ref="A1325">IFNA(index(PlayerValues!A:A,match(IFNA(vlookup(B1325,'Special Names'!A:B,2,FALSE),B1325),PlayerValues!E:E,0)),"N/A")</f>
        <v>16207</v>
      </c>
      <c r="B1325" s="4" t="s">
        <v>636</v>
      </c>
      <c r="C1325" s="4" t="s">
        <v>287</v>
      </c>
      <c r="D1325" s="94">
        <v>1643.0</v>
      </c>
    </row>
    <row r="1326">
      <c r="A1326" s="40" t="str">
        <f t="array" ref="A1326">IFNA(index(PlayerValues!A:A,match(IFNA(vlookup(B1326,'Special Names'!A:B,2,FALSE),B1326),PlayerValues!E:E,0)),"N/A")</f>
        <v>N/A</v>
      </c>
      <c r="B1326" s="4" t="s">
        <v>115</v>
      </c>
      <c r="C1326" s="4" t="s">
        <v>325</v>
      </c>
      <c r="D1326" s="94">
        <v>1642.0</v>
      </c>
    </row>
    <row r="1327">
      <c r="A1327" s="40">
        <f t="array" ref="A1327">IFNA(index(PlayerValues!A:A,match(IFNA(vlookup(B1327,'Special Names'!A:B,2,FALSE),B1327),PlayerValues!E:E,0)),"N/A")</f>
        <v>17465</v>
      </c>
      <c r="B1327" s="4" t="s">
        <v>649</v>
      </c>
      <c r="C1327" s="4" t="s">
        <v>283</v>
      </c>
      <c r="D1327" s="94">
        <v>1639.0</v>
      </c>
    </row>
    <row r="1328">
      <c r="A1328" s="40">
        <f t="array" ref="A1328">IFNA(index(PlayerValues!A:A,match(IFNA(vlookup(B1328,'Special Names'!A:B,2,FALSE),B1328),PlayerValues!E:E,0)),"N/A")</f>
        <v>15755</v>
      </c>
      <c r="B1328" s="4" t="s">
        <v>628</v>
      </c>
      <c r="C1328" s="4" t="s">
        <v>287</v>
      </c>
      <c r="D1328" s="94">
        <v>1628.0</v>
      </c>
    </row>
    <row r="1329">
      <c r="A1329" s="40" t="str">
        <f t="array" ref="A1329">IFNA(index(PlayerValues!A:A,match(IFNA(vlookup(B1329,'Special Names'!A:B,2,FALSE),B1329),PlayerValues!E:E,0)),"N/A")</f>
        <v>N/A</v>
      </c>
      <c r="B1329" s="4" t="s">
        <v>90</v>
      </c>
      <c r="C1329" s="4" t="s">
        <v>325</v>
      </c>
      <c r="D1329" s="94">
        <v>1625.0</v>
      </c>
    </row>
    <row r="1330">
      <c r="A1330" s="40">
        <f t="array" ref="A1330">IFNA(index(PlayerValues!A:A,match(IFNA(vlookup(B1330,'Special Names'!A:B,2,FALSE),B1330),PlayerValues!E:E,0)),"N/A")</f>
        <v>14105</v>
      </c>
      <c r="B1330" s="4" t="s">
        <v>675</v>
      </c>
      <c r="C1330" s="4" t="s">
        <v>287</v>
      </c>
      <c r="D1330" s="94">
        <v>1620.0</v>
      </c>
    </row>
    <row r="1331">
      <c r="A1331" s="40">
        <f t="array" ref="A1331">IFNA(index(PlayerValues!A:A,match(IFNA(vlookup(B1331,'Special Names'!A:B,2,FALSE),B1331),PlayerValues!E:E,0)),"N/A")</f>
        <v>16201</v>
      </c>
      <c r="B1331" s="4" t="s">
        <v>589</v>
      </c>
      <c r="C1331" s="4" t="s">
        <v>287</v>
      </c>
      <c r="D1331" s="94">
        <v>1617.0</v>
      </c>
    </row>
    <row r="1332">
      <c r="A1332" s="40">
        <f t="array" ref="A1332">IFNA(index(PlayerValues!A:A,match(IFNA(vlookup(B1332,'Special Names'!A:B,2,FALSE),B1332),PlayerValues!E:E,0)),"N/A")</f>
        <v>16601</v>
      </c>
      <c r="B1332" s="4" t="s">
        <v>648</v>
      </c>
      <c r="C1332" s="4" t="s">
        <v>278</v>
      </c>
      <c r="D1332" s="94">
        <v>1608.0</v>
      </c>
    </row>
    <row r="1333">
      <c r="A1333" s="40">
        <f t="array" ref="A1333">IFNA(index(PlayerValues!A:A,match(IFNA(vlookup(B1333,'Special Names'!A:B,2,FALSE),B1333),PlayerValues!E:E,0)),"N/A")</f>
        <v>16586</v>
      </c>
      <c r="B1333" s="4" t="s">
        <v>658</v>
      </c>
      <c r="C1333" s="4" t="s">
        <v>283</v>
      </c>
      <c r="D1333" s="94">
        <v>1582.0</v>
      </c>
    </row>
    <row r="1334">
      <c r="A1334" s="40" t="str">
        <f t="array" ref="A1334">IFNA(index(PlayerValues!A:A,match(IFNA(vlookup(B1334,'Special Names'!A:B,2,FALSE),B1334),PlayerValues!E:E,0)),"N/A")</f>
        <v>N/A</v>
      </c>
      <c r="B1334" s="4" t="s">
        <v>116</v>
      </c>
      <c r="C1334" s="4" t="s">
        <v>325</v>
      </c>
      <c r="D1334" s="94">
        <v>1576.0</v>
      </c>
    </row>
    <row r="1335">
      <c r="A1335" s="40">
        <f t="array" ref="A1335">IFNA(index(PlayerValues!A:A,match(IFNA(vlookup(B1335,'Special Names'!A:B,2,FALSE),B1335),PlayerValues!E:E,0)),"N/A")</f>
        <v>16629</v>
      </c>
      <c r="B1335" s="4" t="s">
        <v>605</v>
      </c>
      <c r="C1335" s="4" t="s">
        <v>287</v>
      </c>
      <c r="D1335" s="94">
        <v>1567.0</v>
      </c>
    </row>
    <row r="1336">
      <c r="A1336" s="40">
        <f t="array" ref="A1336">IFNA(index(PlayerValues!A:A,match(IFNA(vlookup(B1336,'Special Names'!A:B,2,FALSE),B1336),PlayerValues!E:E,0)),"N/A")</f>
        <v>15301</v>
      </c>
      <c r="B1336" s="4" t="s">
        <v>657</v>
      </c>
      <c r="C1336" s="4" t="s">
        <v>287</v>
      </c>
      <c r="D1336" s="94">
        <v>1561.0</v>
      </c>
    </row>
    <row r="1337">
      <c r="A1337" s="40" t="str">
        <f t="array" ref="A1337">IFNA(index(PlayerValues!A:A,match(IFNA(vlookup(B1337,'Special Names'!A:B,2,FALSE),B1337),PlayerValues!E:E,0)),"N/A")</f>
        <v>N/A</v>
      </c>
      <c r="B1337" s="4" t="s">
        <v>91</v>
      </c>
      <c r="C1337" s="4" t="s">
        <v>325</v>
      </c>
      <c r="D1337" s="94">
        <v>1560.0</v>
      </c>
    </row>
    <row r="1338">
      <c r="A1338" s="40">
        <f t="array" ref="A1338">IFNA(index(PlayerValues!A:A,match(IFNA(vlookup(B1338,'Special Names'!A:B,2,FALSE),B1338),PlayerValues!E:E,0)),"N/A")</f>
        <v>16633</v>
      </c>
      <c r="B1338" s="4" t="s">
        <v>656</v>
      </c>
      <c r="C1338" s="4" t="s">
        <v>287</v>
      </c>
      <c r="D1338" s="94">
        <v>1560.0</v>
      </c>
    </row>
    <row r="1339">
      <c r="A1339" s="40">
        <f t="array" ref="A1339">IFNA(index(PlayerValues!A:A,match(IFNA(vlookup(B1339,'Special Names'!A:B,2,FALSE),B1339),PlayerValues!E:E,0)),"N/A")</f>
        <v>15254</v>
      </c>
      <c r="B1339" s="4" t="s">
        <v>633</v>
      </c>
      <c r="C1339" s="4" t="s">
        <v>278</v>
      </c>
      <c r="D1339" s="94">
        <v>1557.0</v>
      </c>
    </row>
    <row r="1340">
      <c r="A1340" s="40">
        <f t="array" ref="A1340">IFNA(index(PlayerValues!A:A,match(IFNA(vlookup(B1340,'Special Names'!A:B,2,FALSE),B1340),PlayerValues!E:E,0)),"N/A")</f>
        <v>15319</v>
      </c>
      <c r="B1340" s="4" t="s">
        <v>644</v>
      </c>
      <c r="C1340" s="4" t="s">
        <v>287</v>
      </c>
      <c r="D1340" s="94">
        <v>1546.0</v>
      </c>
    </row>
    <row r="1341">
      <c r="A1341" s="40">
        <f t="array" ref="A1341">IFNA(index(PlayerValues!A:A,match(IFNA(vlookup(B1341,'Special Names'!A:B,2,FALSE),B1341),PlayerValues!E:E,0)),"N/A")</f>
        <v>17529</v>
      </c>
      <c r="B1341" s="4" t="s">
        <v>608</v>
      </c>
      <c r="C1341" s="4" t="s">
        <v>287</v>
      </c>
      <c r="D1341" s="94">
        <v>1545.0</v>
      </c>
    </row>
    <row r="1342">
      <c r="A1342" s="40">
        <f t="array" ref="A1342">IFNA(index(PlayerValues!A:A,match(IFNA(vlookup(B1342,'Special Names'!A:B,2,FALSE),B1342),PlayerValues!E:E,0)),"N/A")</f>
        <v>17234</v>
      </c>
      <c r="B1342" s="4" t="s">
        <v>653</v>
      </c>
      <c r="C1342" s="4" t="s">
        <v>287</v>
      </c>
      <c r="D1342" s="94">
        <v>1539.0</v>
      </c>
    </row>
    <row r="1343">
      <c r="A1343" s="40">
        <f t="array" ref="A1343">IFNA(index(PlayerValues!A:A,match(IFNA(vlookup(B1343,'Special Names'!A:B,2,FALSE),B1343),PlayerValues!E:E,0)),"N/A")</f>
        <v>15713</v>
      </c>
      <c r="B1343" s="4" t="s">
        <v>732</v>
      </c>
      <c r="C1343" s="4" t="s">
        <v>278</v>
      </c>
      <c r="D1343" s="94">
        <v>1515.0</v>
      </c>
    </row>
    <row r="1344">
      <c r="A1344" s="40">
        <f t="array" ref="A1344">IFNA(index(PlayerValues!A:A,match(IFNA(vlookup(B1344,'Special Names'!A:B,2,FALSE),B1344),PlayerValues!E:E,0)),"N/A")</f>
        <v>17205</v>
      </c>
      <c r="B1344" s="4" t="s">
        <v>665</v>
      </c>
      <c r="C1344" s="4" t="s">
        <v>287</v>
      </c>
      <c r="D1344" s="94">
        <v>1514.0</v>
      </c>
    </row>
    <row r="1345">
      <c r="A1345" s="40">
        <f t="array" ref="A1345">IFNA(index(PlayerValues!A:A,match(IFNA(vlookup(B1345,'Special Names'!A:B,2,FALSE),B1345),PlayerValues!E:E,0)),"N/A")</f>
        <v>14122</v>
      </c>
      <c r="B1345" s="4" t="s">
        <v>663</v>
      </c>
      <c r="C1345" s="4" t="s">
        <v>287</v>
      </c>
      <c r="D1345" s="94">
        <v>1505.0</v>
      </c>
    </row>
    <row r="1346">
      <c r="A1346" s="40">
        <f t="array" ref="A1346">IFNA(index(PlayerValues!A:A,match(IFNA(vlookup(B1346,'Special Names'!A:B,2,FALSE),B1346),PlayerValues!E:E,0)),"N/A")</f>
        <v>15337</v>
      </c>
      <c r="B1346" s="4" t="s">
        <v>655</v>
      </c>
      <c r="C1346" s="4" t="s">
        <v>298</v>
      </c>
      <c r="D1346" s="94">
        <v>1868.0</v>
      </c>
    </row>
    <row r="1347">
      <c r="A1347" s="40">
        <f t="array" ref="A1347">IFNA(index(PlayerValues!A:A,match(IFNA(vlookup(B1347,'Special Names'!A:B,2,FALSE),B1347),PlayerValues!E:E,0)),"N/A")</f>
        <v>16595</v>
      </c>
      <c r="B1347" s="4" t="s">
        <v>664</v>
      </c>
      <c r="C1347" s="4" t="s">
        <v>278</v>
      </c>
      <c r="D1347" s="94">
        <v>1494.0</v>
      </c>
    </row>
    <row r="1348">
      <c r="A1348" s="40">
        <f t="array" ref="A1348">IFNA(index(PlayerValues!A:A,match(IFNA(vlookup(B1348,'Special Names'!A:B,2,FALSE),B1348),PlayerValues!E:E,0)),"N/A")</f>
        <v>16688</v>
      </c>
      <c r="B1348" s="4" t="s">
        <v>688</v>
      </c>
      <c r="C1348" s="4" t="s">
        <v>278</v>
      </c>
      <c r="D1348" s="94">
        <v>1494.0</v>
      </c>
    </row>
    <row r="1349">
      <c r="A1349" s="40">
        <f t="array" ref="A1349">IFNA(index(PlayerValues!A:A,match(IFNA(vlookup(B1349,'Special Names'!A:B,2,FALSE),B1349),PlayerValues!E:E,0)),"N/A")</f>
        <v>16175</v>
      </c>
      <c r="B1349" s="4" t="s">
        <v>654</v>
      </c>
      <c r="C1349" s="4" t="s">
        <v>278</v>
      </c>
      <c r="D1349" s="94">
        <v>1486.0</v>
      </c>
    </row>
    <row r="1350">
      <c r="A1350" s="40">
        <f t="array" ref="A1350">IFNA(index(PlayerValues!A:A,match(IFNA(vlookup(B1350,'Special Names'!A:B,2,FALSE),B1350),PlayerValues!E:E,0)),"N/A")</f>
        <v>17054</v>
      </c>
      <c r="B1350" s="4" t="s">
        <v>670</v>
      </c>
      <c r="C1350" s="4" t="s">
        <v>278</v>
      </c>
      <c r="D1350" s="94">
        <v>1477.0</v>
      </c>
    </row>
    <row r="1351">
      <c r="A1351" s="40">
        <f t="array" ref="A1351">IFNA(index(PlayerValues!A:A,match(IFNA(vlookup(B1351,'Special Names'!A:B,2,FALSE),B1351),PlayerValues!E:E,0)),"N/A")</f>
        <v>15752</v>
      </c>
      <c r="B1351" s="4" t="s">
        <v>647</v>
      </c>
      <c r="C1351" s="4" t="s">
        <v>287</v>
      </c>
      <c r="D1351" s="94">
        <v>1468.0</v>
      </c>
    </row>
    <row r="1352">
      <c r="A1352" s="40">
        <f t="array" ref="A1352">IFNA(index(PlayerValues!A:A,match(IFNA(vlookup(B1352,'Special Names'!A:B,2,FALSE),B1352),PlayerValues!E:E,0)),"N/A")</f>
        <v>13672</v>
      </c>
      <c r="B1352" s="4" t="s">
        <v>667</v>
      </c>
      <c r="C1352" s="4" t="s">
        <v>298</v>
      </c>
      <c r="D1352" s="94">
        <v>1834.0</v>
      </c>
    </row>
    <row r="1353">
      <c r="A1353" s="40">
        <f t="array" ref="A1353">IFNA(index(PlayerValues!A:A,match(IFNA(vlookup(B1353,'Special Names'!A:B,2,FALSE),B1353),PlayerValues!E:E,0)),"N/A")</f>
        <v>16788</v>
      </c>
      <c r="B1353" s="4" t="s">
        <v>621</v>
      </c>
      <c r="C1353" s="4" t="s">
        <v>287</v>
      </c>
      <c r="D1353" s="94">
        <v>1452.0</v>
      </c>
    </row>
    <row r="1354">
      <c r="A1354" s="40">
        <f t="array" ref="A1354">IFNA(index(PlayerValues!A:A,match(IFNA(vlookup(B1354,'Special Names'!A:B,2,FALSE),B1354),PlayerValues!E:E,0)),"N/A")</f>
        <v>15873</v>
      </c>
      <c r="B1354" s="4" t="s">
        <v>681</v>
      </c>
      <c r="C1354" s="4" t="s">
        <v>298</v>
      </c>
      <c r="D1354" s="94">
        <v>1810.0</v>
      </c>
    </row>
    <row r="1355">
      <c r="A1355" s="40">
        <f t="array" ref="A1355">IFNA(index(PlayerValues!A:A,match(IFNA(vlookup(B1355,'Special Names'!A:B,2,FALSE),B1355),PlayerValues!E:E,0)),"N/A")</f>
        <v>15759</v>
      </c>
      <c r="B1355" s="4" t="s">
        <v>662</v>
      </c>
      <c r="C1355" s="4" t="s">
        <v>287</v>
      </c>
      <c r="D1355" s="94">
        <v>1433.0</v>
      </c>
    </row>
    <row r="1356">
      <c r="A1356" s="40">
        <f t="array" ref="A1356">IFNA(index(PlayerValues!A:A,match(IFNA(vlookup(B1356,'Special Names'!A:B,2,FALSE),B1356),PlayerValues!E:E,0)),"N/A")</f>
        <v>15777</v>
      </c>
      <c r="B1356" s="4" t="s">
        <v>694</v>
      </c>
      <c r="C1356" s="4" t="s">
        <v>287</v>
      </c>
      <c r="D1356" s="94">
        <v>1422.0</v>
      </c>
    </row>
    <row r="1357">
      <c r="A1357" s="40">
        <f t="array" ref="A1357">IFNA(index(PlayerValues!A:A,match(IFNA(vlookup(B1357,'Special Names'!A:B,2,FALSE),B1357),PlayerValues!E:E,0)),"N/A")</f>
        <v>16390</v>
      </c>
      <c r="B1357" s="4" t="s">
        <v>689</v>
      </c>
      <c r="C1357" s="4" t="s">
        <v>278</v>
      </c>
      <c r="D1357" s="94">
        <v>1418.0</v>
      </c>
    </row>
    <row r="1358">
      <c r="A1358" s="40">
        <f t="array" ref="A1358">IFNA(index(PlayerValues!A:A,match(IFNA(vlookup(B1358,'Special Names'!A:B,2,FALSE),B1358),PlayerValues!E:E,0)),"N/A")</f>
        <v>17519</v>
      </c>
      <c r="B1358" s="4" t="s">
        <v>593</v>
      </c>
      <c r="C1358" s="4" t="s">
        <v>287</v>
      </c>
      <c r="D1358" s="94">
        <v>1417.0</v>
      </c>
    </row>
    <row r="1359">
      <c r="A1359" s="40">
        <f t="array" ref="A1359">IFNA(index(PlayerValues!A:A,match(IFNA(vlookup(B1359,'Special Names'!A:B,2,FALSE),B1359),PlayerValues!E:E,0)),"N/A")</f>
        <v>16621</v>
      </c>
      <c r="B1359" s="4" t="s">
        <v>672</v>
      </c>
      <c r="C1359" s="4" t="s">
        <v>287</v>
      </c>
      <c r="D1359" s="94">
        <v>1411.0</v>
      </c>
    </row>
    <row r="1360">
      <c r="A1360" s="40">
        <f t="array" ref="A1360">IFNA(index(PlayerValues!A:A,match(IFNA(vlookup(B1360,'Special Names'!A:B,2,FALSE),B1360),PlayerValues!E:E,0)),"N/A")</f>
        <v>14137</v>
      </c>
      <c r="B1360" s="4" t="s">
        <v>676</v>
      </c>
      <c r="C1360" s="4" t="s">
        <v>298</v>
      </c>
      <c r="D1360" s="94">
        <v>1774.0</v>
      </c>
    </row>
    <row r="1361">
      <c r="A1361" s="40">
        <f t="array" ref="A1361">IFNA(index(PlayerValues!A:A,match(IFNA(vlookup(B1361,'Special Names'!A:B,2,FALSE),B1361),PlayerValues!E:E,0)),"N/A")</f>
        <v>17521</v>
      </c>
      <c r="B1361" s="4" t="s">
        <v>573</v>
      </c>
      <c r="C1361" s="4" t="s">
        <v>287</v>
      </c>
      <c r="D1361" s="94">
        <v>1397.0</v>
      </c>
    </row>
    <row r="1362">
      <c r="A1362" s="40">
        <f t="array" ref="A1362">IFNA(index(PlayerValues!A:A,match(IFNA(vlookup(B1362,'Special Names'!A:B,2,FALSE),B1362),PlayerValues!E:E,0)),"N/A")</f>
        <v>15738</v>
      </c>
      <c r="B1362" s="4" t="s">
        <v>634</v>
      </c>
      <c r="C1362" s="4" t="s">
        <v>278</v>
      </c>
      <c r="D1362" s="94">
        <v>1396.0</v>
      </c>
    </row>
    <row r="1363">
      <c r="A1363" s="40">
        <f t="array" ref="A1363">IFNA(index(PlayerValues!A:A,match(IFNA(vlookup(B1363,'Special Names'!A:B,2,FALSE),B1363),PlayerValues!E:E,0)),"N/A")</f>
        <v>16387</v>
      </c>
      <c r="B1363" s="4" t="s">
        <v>646</v>
      </c>
      <c r="C1363" s="4" t="s">
        <v>278</v>
      </c>
      <c r="D1363" s="94">
        <v>1396.0</v>
      </c>
    </row>
    <row r="1364">
      <c r="A1364" s="40">
        <f t="array" ref="A1364">IFNA(index(PlayerValues!A:A,match(IFNA(vlookup(B1364,'Special Names'!A:B,2,FALSE),B1364),PlayerValues!E:E,0)),"N/A")</f>
        <v>16631</v>
      </c>
      <c r="B1364" s="4" t="s">
        <v>800</v>
      </c>
      <c r="C1364" s="4" t="s">
        <v>287</v>
      </c>
      <c r="D1364" s="94">
        <v>1396.0</v>
      </c>
    </row>
    <row r="1365">
      <c r="A1365" s="40">
        <f t="array" ref="A1365">IFNA(index(PlayerValues!A:A,match(IFNA(vlookup(B1365,'Special Names'!A:B,2,FALSE),B1365),PlayerValues!E:E,0)),"N/A")</f>
        <v>16642</v>
      </c>
      <c r="B1365" s="4" t="s">
        <v>691</v>
      </c>
      <c r="C1365" s="4" t="s">
        <v>298</v>
      </c>
      <c r="D1365" s="94">
        <v>1765.0</v>
      </c>
    </row>
    <row r="1366">
      <c r="A1366" s="40">
        <f t="array" ref="A1366">IFNA(index(PlayerValues!A:A,match(IFNA(vlookup(B1366,'Special Names'!A:B,2,FALSE),B1366),PlayerValues!E:E,0)),"N/A")</f>
        <v>16384</v>
      </c>
      <c r="B1366" s="4" t="s">
        <v>696</v>
      </c>
      <c r="C1366" s="4" t="s">
        <v>283</v>
      </c>
      <c r="D1366" s="94">
        <v>1388.0</v>
      </c>
    </row>
    <row r="1367">
      <c r="A1367" s="40">
        <f t="array" ref="A1367">IFNA(index(PlayerValues!A:A,match(IFNA(vlookup(B1367,'Special Names'!A:B,2,FALSE),B1367),PlayerValues!E:E,0)),"N/A")</f>
        <v>16608</v>
      </c>
      <c r="B1367" s="4" t="s">
        <v>629</v>
      </c>
      <c r="C1367" s="4" t="s">
        <v>278</v>
      </c>
      <c r="D1367" s="94">
        <v>1373.0</v>
      </c>
    </row>
    <row r="1368">
      <c r="A1368" s="40">
        <f t="array" ref="A1368">IFNA(index(PlayerValues!A:A,match(IFNA(vlookup(B1368,'Special Names'!A:B,2,FALSE),B1368),PlayerValues!E:E,0)),"N/A")</f>
        <v>16792</v>
      </c>
      <c r="B1368" s="4" t="s">
        <v>704</v>
      </c>
      <c r="C1368" s="4" t="s">
        <v>287</v>
      </c>
      <c r="D1368" s="94">
        <v>1367.0</v>
      </c>
    </row>
    <row r="1369">
      <c r="A1369" s="40">
        <f t="array" ref="A1369">IFNA(index(PlayerValues!A:A,match(IFNA(vlookup(B1369,'Special Names'!A:B,2,FALSE),B1369),PlayerValues!E:E,0)),"N/A")</f>
        <v>17599</v>
      </c>
      <c r="B1369" s="4" t="s">
        <v>496</v>
      </c>
      <c r="C1369" s="4" t="s">
        <v>287</v>
      </c>
      <c r="D1369" s="94">
        <v>1361.0</v>
      </c>
    </row>
    <row r="1370">
      <c r="A1370" s="40">
        <f t="array" ref="A1370">IFNA(index(PlayerValues!A:A,match(IFNA(vlookup(B1370,'Special Names'!A:B,2,FALSE),B1370),PlayerValues!E:E,0)),"N/A")</f>
        <v>14086</v>
      </c>
      <c r="B1370" s="4" t="s">
        <v>639</v>
      </c>
      <c r="C1370" s="4" t="s">
        <v>278</v>
      </c>
      <c r="D1370" s="94">
        <v>1351.0</v>
      </c>
    </row>
    <row r="1371">
      <c r="A1371" s="40">
        <f t="array" ref="A1371">IFNA(index(PlayerValues!A:A,match(IFNA(vlookup(B1371,'Special Names'!A:B,2,FALSE),B1371),PlayerValues!E:E,0)),"N/A")</f>
        <v>15292</v>
      </c>
      <c r="B1371" s="4" t="s">
        <v>682</v>
      </c>
      <c r="C1371" s="4" t="s">
        <v>287</v>
      </c>
      <c r="D1371" s="94">
        <v>1347.0</v>
      </c>
    </row>
    <row r="1372">
      <c r="A1372" s="40">
        <f t="array" ref="A1372">IFNA(index(PlayerValues!A:A,match(IFNA(vlookup(B1372,'Special Names'!A:B,2,FALSE),B1372),PlayerValues!E:E,0)),"N/A")</f>
        <v>17037</v>
      </c>
      <c r="B1372" s="4" t="s">
        <v>727</v>
      </c>
      <c r="C1372" s="4" t="s">
        <v>283</v>
      </c>
      <c r="D1372" s="94">
        <v>1318.0</v>
      </c>
    </row>
    <row r="1373">
      <c r="A1373" s="40">
        <f t="array" ref="A1373">IFNA(index(PlayerValues!A:A,match(IFNA(vlookup(B1373,'Special Names'!A:B,2,FALSE),B1373),PlayerValues!E:E,0)),"N/A")</f>
        <v>17685</v>
      </c>
      <c r="B1373" s="4" t="s">
        <v>630</v>
      </c>
      <c r="C1373" s="4" t="s">
        <v>278</v>
      </c>
      <c r="D1373" s="94">
        <v>1316.0</v>
      </c>
    </row>
    <row r="1374">
      <c r="A1374" s="40">
        <f t="array" ref="A1374">IFNA(index(PlayerValues!A:A,match(IFNA(vlookup(B1374,'Special Names'!A:B,2,FALSE),B1374),PlayerValues!E:E,0)),"N/A")</f>
        <v>12140</v>
      </c>
      <c r="B1374" s="4" t="s">
        <v>702</v>
      </c>
      <c r="C1374" s="4" t="s">
        <v>283</v>
      </c>
      <c r="D1374" s="94">
        <v>1312.0</v>
      </c>
    </row>
    <row r="1375">
      <c r="A1375" s="40">
        <f t="array" ref="A1375">IFNA(index(PlayerValues!A:A,match(IFNA(vlookup(B1375,'Special Names'!A:B,2,FALSE),B1375),PlayerValues!E:E,0)),"N/A")</f>
        <v>17254</v>
      </c>
      <c r="B1375" s="4" t="s">
        <v>679</v>
      </c>
      <c r="C1375" s="4" t="s">
        <v>287</v>
      </c>
      <c r="D1375" s="94">
        <v>1309.0</v>
      </c>
    </row>
    <row r="1376">
      <c r="A1376" s="40">
        <f t="array" ref="A1376">IFNA(index(PlayerValues!A:A,match(IFNA(vlookup(B1376,'Special Names'!A:B,2,FALSE),B1376),PlayerValues!E:E,0)),"N/A")</f>
        <v>17062</v>
      </c>
      <c r="B1376" s="4" t="s">
        <v>701</v>
      </c>
      <c r="C1376" s="4" t="s">
        <v>278</v>
      </c>
      <c r="D1376" s="94">
        <v>1302.0</v>
      </c>
    </row>
    <row r="1377">
      <c r="A1377" s="40">
        <f t="array" ref="A1377">IFNA(index(PlayerValues!A:A,match(IFNA(vlookup(B1377,'Special Names'!A:B,2,FALSE),B1377),PlayerValues!E:E,0)),"N/A")</f>
        <v>12678</v>
      </c>
      <c r="B1377" s="4" t="s">
        <v>703</v>
      </c>
      <c r="C1377" s="4" t="s">
        <v>298</v>
      </c>
      <c r="D1377" s="94">
        <v>1653.0</v>
      </c>
    </row>
    <row r="1378">
      <c r="A1378" s="40">
        <f t="array" ref="A1378">IFNA(index(PlayerValues!A:A,match(IFNA(vlookup(B1378,'Special Names'!A:B,2,FALSE),B1378),PlayerValues!E:E,0)),"N/A")</f>
        <v>13418</v>
      </c>
      <c r="B1378" s="4" t="s">
        <v>706</v>
      </c>
      <c r="C1378" s="4" t="s">
        <v>287</v>
      </c>
      <c r="D1378" s="94">
        <v>1275.0</v>
      </c>
    </row>
    <row r="1379">
      <c r="A1379" s="40">
        <f t="array" ref="A1379">IFNA(index(PlayerValues!A:A,match(IFNA(vlookup(B1379,'Special Names'!A:B,2,FALSE),B1379),PlayerValues!E:E,0)),"N/A")</f>
        <v>15252</v>
      </c>
      <c r="B1379" s="4" t="s">
        <v>715</v>
      </c>
      <c r="C1379" s="4" t="s">
        <v>283</v>
      </c>
      <c r="D1379" s="94">
        <v>1270.0</v>
      </c>
    </row>
    <row r="1380">
      <c r="A1380" s="40" t="str">
        <f t="array" ref="A1380">IFNA(index(PlayerValues!A:A,match(IFNA(vlookup(B1380,'Special Names'!A:B,2,FALSE),B1380),PlayerValues!E:E,0)),"N/A")</f>
        <v>N/A</v>
      </c>
      <c r="B1380" s="4" t="s">
        <v>117</v>
      </c>
      <c r="C1380" s="4" t="s">
        <v>325</v>
      </c>
      <c r="D1380" s="94">
        <v>1261.0</v>
      </c>
    </row>
    <row r="1381">
      <c r="A1381" s="40">
        <f t="array" ref="A1381">IFNA(index(PlayerValues!A:A,match(IFNA(vlookup(B1381,'Special Names'!A:B,2,FALSE),B1381),PlayerValues!E:E,0)),"N/A")</f>
        <v>12141</v>
      </c>
      <c r="B1381" s="4" t="s">
        <v>744</v>
      </c>
      <c r="C1381" s="4" t="s">
        <v>283</v>
      </c>
      <c r="D1381" s="94">
        <v>1257.0</v>
      </c>
    </row>
    <row r="1382">
      <c r="A1382" s="40">
        <f t="array" ref="A1382">IFNA(index(PlayerValues!A:A,match(IFNA(vlookup(B1382,'Special Names'!A:B,2,FALSE),B1382),PlayerValues!E:E,0)),"N/A")</f>
        <v>16645</v>
      </c>
      <c r="B1382" s="4" t="s">
        <v>651</v>
      </c>
      <c r="C1382" s="4" t="s">
        <v>298</v>
      </c>
      <c r="D1382" s="94">
        <v>1624.0</v>
      </c>
    </row>
    <row r="1383">
      <c r="A1383" s="40">
        <f t="array" ref="A1383">IFNA(index(PlayerValues!A:A,match(IFNA(vlookup(B1383,'Special Names'!A:B,2,FALSE),B1383),PlayerValues!E:E,0)),"N/A")</f>
        <v>14592</v>
      </c>
      <c r="B1383" s="4" t="s">
        <v>705</v>
      </c>
      <c r="C1383" s="4" t="s">
        <v>287</v>
      </c>
      <c r="D1383" s="94">
        <v>1256.0</v>
      </c>
    </row>
    <row r="1384">
      <c r="A1384" s="40">
        <f t="array" ref="A1384">IFNA(index(PlayerValues!A:A,match(IFNA(vlookup(B1384,'Special Names'!A:B,2,FALSE),B1384),PlayerValues!E:E,0)),"N/A")</f>
        <v>14080</v>
      </c>
      <c r="B1384" s="4" t="s">
        <v>716</v>
      </c>
      <c r="C1384" s="4" t="s">
        <v>278</v>
      </c>
      <c r="D1384" s="94">
        <v>1246.0</v>
      </c>
    </row>
    <row r="1385">
      <c r="A1385" s="40">
        <f t="array" ref="A1385">IFNA(index(PlayerValues!A:A,match(IFNA(vlookup(B1385,'Special Names'!A:B,2,FALSE),B1385),PlayerValues!E:E,0)),"N/A")</f>
        <v>15332</v>
      </c>
      <c r="B1385" s="4" t="s">
        <v>698</v>
      </c>
      <c r="C1385" s="4" t="s">
        <v>298</v>
      </c>
      <c r="D1385" s="94">
        <v>1613.0</v>
      </c>
    </row>
    <row r="1386">
      <c r="A1386" s="40">
        <f t="array" ref="A1386">IFNA(index(PlayerValues!A:A,match(IFNA(vlookup(B1386,'Special Names'!A:B,2,FALSE),B1386),PlayerValues!E:E,0)),"N/A")</f>
        <v>14095</v>
      </c>
      <c r="B1386" s="4" t="s">
        <v>680</v>
      </c>
      <c r="C1386" s="4" t="s">
        <v>278</v>
      </c>
      <c r="D1386" s="94">
        <v>1245.0</v>
      </c>
    </row>
    <row r="1387">
      <c r="A1387" s="40">
        <f t="array" ref="A1387">IFNA(index(PlayerValues!A:A,match(IFNA(vlookup(B1387,'Special Names'!A:B,2,FALSE),B1387),PlayerValues!E:E,0)),"N/A")</f>
        <v>16149</v>
      </c>
      <c r="B1387" s="4" t="s">
        <v>740</v>
      </c>
      <c r="C1387" s="4" t="s">
        <v>283</v>
      </c>
      <c r="D1387" s="94">
        <v>1239.0</v>
      </c>
    </row>
    <row r="1388">
      <c r="A1388" s="40">
        <f t="array" ref="A1388">IFNA(index(PlayerValues!A:A,match(IFNA(vlookup(B1388,'Special Names'!A:B,2,FALSE),B1388),PlayerValues!E:E,0)),"N/A")</f>
        <v>11222</v>
      </c>
      <c r="B1388" s="4" t="s">
        <v>622</v>
      </c>
      <c r="C1388" s="4" t="s">
        <v>287</v>
      </c>
      <c r="D1388" s="94">
        <v>1233.0</v>
      </c>
    </row>
    <row r="1389">
      <c r="A1389" s="40">
        <f t="array" ref="A1389">IFNA(index(PlayerValues!A:A,match(IFNA(vlookup(B1389,'Special Names'!A:B,2,FALSE),B1389),PlayerValues!E:E,0)),"N/A")</f>
        <v>15702</v>
      </c>
      <c r="B1389" s="4" t="s">
        <v>723</v>
      </c>
      <c r="C1389" s="4" t="s">
        <v>283</v>
      </c>
      <c r="D1389" s="94">
        <v>1225.0</v>
      </c>
    </row>
    <row r="1390">
      <c r="A1390" s="40">
        <f t="array" ref="A1390">IFNA(index(PlayerValues!A:A,match(IFNA(vlookup(B1390,'Special Names'!A:B,2,FALSE),B1390),PlayerValues!E:E,0)),"N/A")</f>
        <v>16636</v>
      </c>
      <c r="B1390" s="4" t="s">
        <v>699</v>
      </c>
      <c r="C1390" s="4" t="s">
        <v>287</v>
      </c>
      <c r="D1390" s="94">
        <v>1224.0</v>
      </c>
    </row>
    <row r="1391">
      <c r="A1391" s="40">
        <f t="array" ref="A1391">IFNA(index(PlayerValues!A:A,match(IFNA(vlookup(B1391,'Special Names'!A:B,2,FALSE),B1391),PlayerValues!E:E,0)),"N/A")</f>
        <v>17097</v>
      </c>
      <c r="B1391" s="4" t="s">
        <v>659</v>
      </c>
      <c r="C1391" s="4" t="s">
        <v>287</v>
      </c>
      <c r="D1391" s="94">
        <v>1221.0</v>
      </c>
    </row>
    <row r="1392">
      <c r="A1392" s="40">
        <f t="array" ref="A1392">IFNA(index(PlayerValues!A:A,match(IFNA(vlookup(B1392,'Special Names'!A:B,2,FALSE),B1392),PlayerValues!E:E,0)),"N/A")</f>
        <v>17077</v>
      </c>
      <c r="B1392" s="4" t="s">
        <v>714</v>
      </c>
      <c r="C1392" s="4" t="s">
        <v>287</v>
      </c>
      <c r="D1392" s="94">
        <v>1219.0</v>
      </c>
    </row>
    <row r="1393">
      <c r="A1393" s="40">
        <f t="array" ref="A1393">IFNA(index(PlayerValues!A:A,match(IFNA(vlookup(B1393,'Special Names'!A:B,2,FALSE),B1393),PlayerValues!E:E,0)),"N/A")</f>
        <v>16746</v>
      </c>
      <c r="B1393" s="4" t="s">
        <v>709</v>
      </c>
      <c r="C1393" s="4" t="s">
        <v>278</v>
      </c>
      <c r="D1393" s="94">
        <v>1213.0</v>
      </c>
    </row>
    <row r="1394">
      <c r="A1394" s="40">
        <f t="array" ref="A1394">IFNA(index(PlayerValues!A:A,match(IFNA(vlookup(B1394,'Special Names'!A:B,2,FALSE),B1394),PlayerValues!E:E,0)),"N/A")</f>
        <v>16183</v>
      </c>
      <c r="B1394" s="4" t="s">
        <v>678</v>
      </c>
      <c r="C1394" s="4" t="s">
        <v>287</v>
      </c>
      <c r="D1394" s="94">
        <v>1212.0</v>
      </c>
    </row>
    <row r="1395">
      <c r="A1395" s="40">
        <f t="array" ref="A1395">IFNA(index(PlayerValues!A:A,match(IFNA(vlookup(B1395,'Special Names'!A:B,2,FALSE),B1395),PlayerValues!E:E,0)),"N/A")</f>
        <v>14789</v>
      </c>
      <c r="B1395" s="4" t="s">
        <v>721</v>
      </c>
      <c r="C1395" s="4" t="s">
        <v>283</v>
      </c>
      <c r="D1395" s="94">
        <v>1210.0</v>
      </c>
    </row>
    <row r="1396">
      <c r="A1396" s="40">
        <f t="array" ref="A1396">IFNA(index(PlayerValues!A:A,match(IFNA(vlookup(B1396,'Special Names'!A:B,2,FALSE),B1396),PlayerValues!E:E,0)),"N/A")</f>
        <v>16333</v>
      </c>
      <c r="B1396" s="4" t="s">
        <v>711</v>
      </c>
      <c r="C1396" s="4" t="s">
        <v>298</v>
      </c>
      <c r="D1396" s="94">
        <v>1566.0</v>
      </c>
    </row>
    <row r="1397">
      <c r="A1397" s="40">
        <f t="array" ref="A1397">IFNA(index(PlayerValues!A:A,match(IFNA(vlookup(B1397,'Special Names'!A:B,2,FALSE),B1397),PlayerValues!E:E,0)),"N/A")</f>
        <v>17652</v>
      </c>
      <c r="B1397" s="4" t="s">
        <v>576</v>
      </c>
      <c r="C1397" s="4" t="s">
        <v>278</v>
      </c>
      <c r="D1397" s="94">
        <v>1197.0</v>
      </c>
    </row>
    <row r="1398">
      <c r="A1398" s="40">
        <f t="array" ref="A1398">IFNA(index(PlayerValues!A:A,match(IFNA(vlookup(B1398,'Special Names'!A:B,2,FALSE),B1398),PlayerValues!E:E,0)),"N/A")</f>
        <v>16883</v>
      </c>
      <c r="B1398" s="4" t="s">
        <v>683</v>
      </c>
      <c r="C1398" s="4" t="s">
        <v>287</v>
      </c>
      <c r="D1398" s="94">
        <v>1196.0</v>
      </c>
    </row>
    <row r="1399">
      <c r="A1399" s="40">
        <f t="array" ref="A1399">IFNA(index(PlayerValues!A:A,match(IFNA(vlookup(B1399,'Special Names'!A:B,2,FALSE),B1399),PlayerValues!E:E,0)),"N/A")</f>
        <v>17269</v>
      </c>
      <c r="B1399" s="4" t="s">
        <v>718</v>
      </c>
      <c r="C1399" s="4" t="s">
        <v>287</v>
      </c>
      <c r="D1399" s="94">
        <v>1192.0</v>
      </c>
    </row>
    <row r="1400">
      <c r="A1400" s="40">
        <f t="array" ref="A1400">IFNA(index(PlayerValues!A:A,match(IFNA(vlookup(B1400,'Special Names'!A:B,2,FALSE),B1400),PlayerValues!E:E,0)),"N/A")</f>
        <v>17109</v>
      </c>
      <c r="B1400" s="4" t="s">
        <v>707</v>
      </c>
      <c r="C1400" s="4" t="s">
        <v>298</v>
      </c>
      <c r="D1400" s="94">
        <v>1550.0</v>
      </c>
    </row>
    <row r="1401">
      <c r="A1401" s="40">
        <f t="array" ref="A1401">IFNA(index(PlayerValues!A:A,match(IFNA(vlookup(B1401,'Special Names'!A:B,2,FALSE),B1401),PlayerValues!E:E,0)),"N/A")</f>
        <v>17063</v>
      </c>
      <c r="B1401" s="4" t="s">
        <v>686</v>
      </c>
      <c r="C1401" s="4" t="s">
        <v>278</v>
      </c>
      <c r="D1401" s="94">
        <v>1179.0</v>
      </c>
    </row>
    <row r="1402">
      <c r="A1402" s="40">
        <f t="array" ref="A1402">IFNA(index(PlayerValues!A:A,match(IFNA(vlookup(B1402,'Special Names'!A:B,2,FALSE),B1402),PlayerValues!E:E,0)),"N/A")</f>
        <v>17546</v>
      </c>
      <c r="B1402" s="4" t="s">
        <v>671</v>
      </c>
      <c r="C1402" s="4" t="s">
        <v>298</v>
      </c>
      <c r="D1402" s="94">
        <v>1534.0</v>
      </c>
    </row>
    <row r="1403">
      <c r="A1403" s="40">
        <f t="array" ref="A1403">IFNA(index(PlayerValues!A:A,match(IFNA(vlookup(B1403,'Special Names'!A:B,2,FALSE),B1403),PlayerValues!E:E,0)),"N/A")</f>
        <v>17057</v>
      </c>
      <c r="B1403" s="4" t="s">
        <v>708</v>
      </c>
      <c r="C1403" s="4" t="s">
        <v>278</v>
      </c>
      <c r="D1403" s="94">
        <v>1164.0</v>
      </c>
    </row>
    <row r="1404">
      <c r="A1404" s="40">
        <f t="array" ref="A1404">IFNA(index(PlayerValues!A:A,match(IFNA(vlookup(B1404,'Special Names'!A:B,2,FALSE),B1404),PlayerValues!E:E,0)),"N/A")</f>
        <v>17510</v>
      </c>
      <c r="B1404" s="4" t="s">
        <v>661</v>
      </c>
      <c r="C1404" s="4" t="s">
        <v>287</v>
      </c>
      <c r="D1404" s="94">
        <v>1157.0</v>
      </c>
    </row>
    <row r="1405">
      <c r="A1405" s="40">
        <f t="array" ref="A1405">IFNA(index(PlayerValues!A:A,match(IFNA(vlookup(B1405,'Special Names'!A:B,2,FALSE),B1405),PlayerValues!E:E,0)),"N/A")</f>
        <v>15288</v>
      </c>
      <c r="B1405" s="4" t="s">
        <v>700</v>
      </c>
      <c r="C1405" s="4" t="s">
        <v>287</v>
      </c>
      <c r="D1405" s="94">
        <v>1153.0</v>
      </c>
    </row>
    <row r="1406">
      <c r="A1406" s="40">
        <f t="array" ref="A1406">IFNA(index(PlayerValues!A:A,match(IFNA(vlookup(B1406,'Special Names'!A:B,2,FALSE),B1406),PlayerValues!E:E,0)),"N/A")</f>
        <v>16385</v>
      </c>
      <c r="B1406" s="4" t="s">
        <v>690</v>
      </c>
      <c r="C1406" s="4" t="s">
        <v>278</v>
      </c>
      <c r="D1406" s="94">
        <v>1152.0</v>
      </c>
    </row>
    <row r="1407">
      <c r="A1407" s="40">
        <f t="array" ref="A1407">IFNA(index(PlayerValues!A:A,match(IFNA(vlookup(B1407,'Special Names'!A:B,2,FALSE),B1407),PlayerValues!E:E,0)),"N/A")</f>
        <v>14108</v>
      </c>
      <c r="B1407" s="4" t="s">
        <v>673</v>
      </c>
      <c r="C1407" s="4" t="s">
        <v>287</v>
      </c>
      <c r="D1407" s="94">
        <v>1147.0</v>
      </c>
    </row>
    <row r="1408">
      <c r="A1408" s="40">
        <f t="array" ref="A1408">IFNA(index(PlayerValues!A:A,match(IFNA(vlookup(B1408,'Special Names'!A:B,2,FALSE),B1408),PlayerValues!E:E,0)),"N/A")</f>
        <v>16221</v>
      </c>
      <c r="B1408" s="4" t="s">
        <v>725</v>
      </c>
      <c r="C1408" s="4" t="s">
        <v>298</v>
      </c>
      <c r="D1408" s="94">
        <v>1516.0</v>
      </c>
    </row>
    <row r="1409">
      <c r="A1409" s="40">
        <f t="array" ref="A1409">IFNA(index(PlayerValues!A:A,match(IFNA(vlookup(B1409,'Special Names'!A:B,2,FALSE),B1409),PlayerValues!E:E,0)),"N/A")</f>
        <v>16199</v>
      </c>
      <c r="B1409" s="4" t="s">
        <v>687</v>
      </c>
      <c r="C1409" s="4" t="s">
        <v>287</v>
      </c>
      <c r="D1409" s="94">
        <v>1133.0</v>
      </c>
    </row>
    <row r="1410">
      <c r="A1410" s="40">
        <f t="array" ref="A1410">IFNA(index(PlayerValues!A:A,match(IFNA(vlookup(B1410,'Special Names'!A:B,2,FALSE),B1410),PlayerValues!E:E,0)),"N/A")</f>
        <v>9064</v>
      </c>
      <c r="B1410" s="4" t="s">
        <v>761</v>
      </c>
      <c r="C1410" s="4" t="s">
        <v>283</v>
      </c>
      <c r="D1410" s="94">
        <v>1126.0</v>
      </c>
    </row>
    <row r="1411">
      <c r="A1411" s="40">
        <f t="array" ref="A1411">IFNA(index(PlayerValues!A:A,match(IFNA(vlookup(B1411,'Special Names'!A:B,2,FALSE),B1411),PlayerValues!E:E,0)),"N/A")</f>
        <v>14067</v>
      </c>
      <c r="B1411" s="4" t="s">
        <v>735</v>
      </c>
      <c r="C1411" s="4" t="s">
        <v>283</v>
      </c>
      <c r="D1411" s="94">
        <v>1123.0</v>
      </c>
    </row>
    <row r="1412">
      <c r="A1412" s="40">
        <f t="array" ref="A1412">IFNA(index(PlayerValues!A:A,match(IFNA(vlookup(B1412,'Special Names'!A:B,2,FALSE),B1412),PlayerValues!E:E,0)),"N/A")</f>
        <v>15240</v>
      </c>
      <c r="B1412" s="4" t="s">
        <v>751</v>
      </c>
      <c r="C1412" s="4" t="s">
        <v>283</v>
      </c>
      <c r="D1412" s="94">
        <v>1123.0</v>
      </c>
    </row>
    <row r="1413">
      <c r="A1413" s="40">
        <f t="array" ref="A1413">IFNA(index(PlayerValues!A:A,match(IFNA(vlookup(B1413,'Special Names'!A:B,2,FALSE),B1413),PlayerValues!E:E,0)),"N/A")</f>
        <v>14845</v>
      </c>
      <c r="B1413" s="4" t="s">
        <v>717</v>
      </c>
      <c r="C1413" s="4" t="s">
        <v>287</v>
      </c>
      <c r="D1413" s="94">
        <v>1121.0</v>
      </c>
    </row>
    <row r="1414">
      <c r="A1414" s="40">
        <f t="array" ref="A1414">IFNA(index(PlayerValues!A:A,match(IFNA(vlookup(B1414,'Special Names'!A:B,2,FALSE),B1414),PlayerValues!E:E,0)),"N/A")</f>
        <v>15981</v>
      </c>
      <c r="B1414" s="4" t="s">
        <v>729</v>
      </c>
      <c r="C1414" s="4" t="s">
        <v>287</v>
      </c>
      <c r="D1414" s="94">
        <v>1114.0</v>
      </c>
    </row>
    <row r="1415">
      <c r="A1415" s="40">
        <f t="array" ref="A1415">IFNA(index(PlayerValues!A:A,match(IFNA(vlookup(B1415,'Special Names'!A:B,2,FALSE),B1415),PlayerValues!E:E,0)),"N/A")</f>
        <v>16637</v>
      </c>
      <c r="B1415" s="4" t="s">
        <v>736</v>
      </c>
      <c r="C1415" s="4" t="s">
        <v>287</v>
      </c>
      <c r="D1415" s="94">
        <v>1097.0</v>
      </c>
    </row>
    <row r="1416">
      <c r="A1416" s="40">
        <f t="array" ref="A1416">IFNA(index(PlayerValues!A:A,match(IFNA(vlookup(B1416,'Special Names'!A:B,2,FALSE),B1416),PlayerValues!E:E,0)),"N/A")</f>
        <v>17192</v>
      </c>
      <c r="B1416" s="4" t="s">
        <v>677</v>
      </c>
      <c r="C1416" s="4" t="s">
        <v>287</v>
      </c>
      <c r="D1416" s="94">
        <v>1097.0</v>
      </c>
    </row>
    <row r="1417">
      <c r="A1417" s="40">
        <f t="array" ref="A1417">IFNA(index(PlayerValues!A:A,match(IFNA(vlookup(B1417,'Special Names'!A:B,2,FALSE),B1417),PlayerValues!E:E,0)),"N/A")</f>
        <v>13289</v>
      </c>
      <c r="B1417" s="4" t="s">
        <v>746</v>
      </c>
      <c r="C1417" s="4" t="s">
        <v>287</v>
      </c>
      <c r="D1417" s="94">
        <v>1095.0</v>
      </c>
    </row>
    <row r="1418">
      <c r="A1418" s="40">
        <f t="array" ref="A1418">IFNA(index(PlayerValues!A:A,match(IFNA(vlookup(B1418,'Special Names'!A:B,2,FALSE),B1418),PlayerValues!E:E,0)),"N/A")</f>
        <v>16640</v>
      </c>
      <c r="B1418" s="4" t="s">
        <v>712</v>
      </c>
      <c r="C1418" s="4" t="s">
        <v>287</v>
      </c>
      <c r="D1418" s="94">
        <v>1088.0</v>
      </c>
    </row>
    <row r="1419">
      <c r="A1419" s="40">
        <f t="array" ref="A1419">IFNA(index(PlayerValues!A:A,match(IFNA(vlookup(B1419,'Special Names'!A:B,2,FALSE),B1419),PlayerValues!E:E,0)),"N/A")</f>
        <v>16197</v>
      </c>
      <c r="B1419" s="4" t="s">
        <v>726</v>
      </c>
      <c r="C1419" s="4" t="s">
        <v>287</v>
      </c>
      <c r="D1419" s="94">
        <v>1076.0</v>
      </c>
    </row>
    <row r="1420">
      <c r="A1420" s="40">
        <f t="array" ref="A1420">IFNA(index(PlayerValues!A:A,match(IFNA(vlookup(B1420,'Special Names'!A:B,2,FALSE),B1420),PlayerValues!E:E,0)),"N/A")</f>
        <v>17050</v>
      </c>
      <c r="B1420" s="4" t="s">
        <v>713</v>
      </c>
      <c r="C1420" s="4" t="s">
        <v>278</v>
      </c>
      <c r="D1420" s="94">
        <v>1076.0</v>
      </c>
    </row>
    <row r="1421">
      <c r="A1421" s="40">
        <f t="array" ref="A1421">IFNA(index(PlayerValues!A:A,match(IFNA(vlookup(B1421,'Special Names'!A:B,2,FALSE),B1421),PlayerValues!E:E,0)),"N/A")</f>
        <v>15693</v>
      </c>
      <c r="B1421" s="4" t="s">
        <v>755</v>
      </c>
      <c r="C1421" s="4" t="s">
        <v>283</v>
      </c>
      <c r="D1421" s="94">
        <v>1072.0</v>
      </c>
    </row>
    <row r="1422">
      <c r="A1422" s="40">
        <f t="array" ref="A1422">IFNA(index(PlayerValues!A:A,match(IFNA(vlookup(B1422,'Special Names'!A:B,2,FALSE),B1422),PlayerValues!E:E,0)),"N/A")</f>
        <v>15727</v>
      </c>
      <c r="B1422" s="4" t="s">
        <v>730</v>
      </c>
      <c r="C1422" s="4" t="s">
        <v>278</v>
      </c>
      <c r="D1422" s="94">
        <v>1056.0</v>
      </c>
    </row>
    <row r="1423">
      <c r="A1423" s="40">
        <f t="array" ref="A1423">IFNA(index(PlayerValues!A:A,match(IFNA(vlookup(B1423,'Special Names'!A:B,2,FALSE),B1423),PlayerValues!E:E,0)),"N/A")</f>
        <v>15692</v>
      </c>
      <c r="B1423" s="4" t="s">
        <v>750</v>
      </c>
      <c r="C1423" s="4" t="s">
        <v>283</v>
      </c>
      <c r="D1423" s="94">
        <v>1050.0</v>
      </c>
    </row>
    <row r="1424">
      <c r="A1424" s="40">
        <f t="array" ref="A1424">IFNA(index(PlayerValues!A:A,match(IFNA(vlookup(B1424,'Special Names'!A:B,2,FALSE),B1424),PlayerValues!E:E,0)),"N/A")</f>
        <v>13131</v>
      </c>
      <c r="B1424" s="4" t="s">
        <v>815</v>
      </c>
      <c r="C1424" s="4" t="s">
        <v>278</v>
      </c>
      <c r="D1424" s="94">
        <v>1047.0</v>
      </c>
    </row>
    <row r="1425">
      <c r="A1425" s="40">
        <f t="array" ref="A1425">IFNA(index(PlayerValues!A:A,match(IFNA(vlookup(B1425,'Special Names'!A:B,2,FALSE),B1425),PlayerValues!E:E,0)),"N/A")</f>
        <v>17475</v>
      </c>
      <c r="B1425" s="4" t="s">
        <v>615</v>
      </c>
      <c r="C1425" s="4" t="s">
        <v>278</v>
      </c>
      <c r="D1425" s="94">
        <v>1035.0</v>
      </c>
    </row>
    <row r="1426">
      <c r="A1426" s="40">
        <f t="array" ref="A1426">IFNA(index(PlayerValues!A:A,match(IFNA(vlookup(B1426,'Special Names'!A:B,2,FALSE),B1426),PlayerValues!E:E,0)),"N/A")</f>
        <v>14849</v>
      </c>
      <c r="B1426" s="4" t="s">
        <v>733</v>
      </c>
      <c r="C1426" s="4" t="s">
        <v>287</v>
      </c>
      <c r="D1426" s="94">
        <v>1034.0</v>
      </c>
    </row>
    <row r="1427">
      <c r="A1427" s="40">
        <f t="array" ref="A1427">IFNA(index(PlayerValues!A:A,match(IFNA(vlookup(B1427,'Special Names'!A:B,2,FALSE),B1427),PlayerValues!E:E,0)),"N/A")</f>
        <v>15730</v>
      </c>
      <c r="B1427" s="4" t="s">
        <v>734</v>
      </c>
      <c r="C1427" s="4" t="s">
        <v>278</v>
      </c>
      <c r="D1427" s="94">
        <v>1034.0</v>
      </c>
    </row>
    <row r="1428">
      <c r="A1428" s="40">
        <f t="array" ref="A1428">IFNA(index(PlayerValues!A:A,match(IFNA(vlookup(B1428,'Special Names'!A:B,2,FALSE),B1428),PlayerValues!E:E,0)),"N/A")</f>
        <v>16170</v>
      </c>
      <c r="B1428" s="4" t="s">
        <v>801</v>
      </c>
      <c r="C1428" s="4" t="s">
        <v>278</v>
      </c>
      <c r="D1428" s="94">
        <v>1021.0</v>
      </c>
    </row>
    <row r="1429">
      <c r="A1429" s="40">
        <f t="array" ref="A1429">IFNA(index(PlayerValues!A:A,match(IFNA(vlookup(B1429,'Special Names'!A:B,2,FALSE),B1429),PlayerValues!E:E,0)),"N/A")</f>
        <v>16393</v>
      </c>
      <c r="B1429" s="4" t="s">
        <v>768</v>
      </c>
      <c r="C1429" s="4" t="s">
        <v>287</v>
      </c>
      <c r="D1429" s="94">
        <v>1020.0</v>
      </c>
    </row>
    <row r="1430">
      <c r="A1430" s="40">
        <f t="array" ref="A1430">IFNA(index(PlayerValues!A:A,match(IFNA(vlookup(B1430,'Special Names'!A:B,2,FALSE),B1430),PlayerValues!E:E,0)),"N/A")</f>
        <v>15795</v>
      </c>
      <c r="B1430" s="4" t="s">
        <v>669</v>
      </c>
      <c r="C1430" s="4" t="s">
        <v>298</v>
      </c>
      <c r="D1430" s="94">
        <v>1383.0</v>
      </c>
    </row>
    <row r="1431">
      <c r="A1431" s="40">
        <f t="array" ref="A1431">IFNA(index(PlayerValues!A:A,match(IFNA(vlookup(B1431,'Special Names'!A:B,2,FALSE),B1431),PlayerValues!E:E,0)),"N/A")</f>
        <v>15330</v>
      </c>
      <c r="B1431" s="4" t="s">
        <v>749</v>
      </c>
      <c r="C1431" s="4" t="s">
        <v>298</v>
      </c>
      <c r="D1431" s="94">
        <v>1374.0</v>
      </c>
    </row>
    <row r="1432">
      <c r="A1432" s="40">
        <f t="array" ref="A1432">IFNA(index(PlayerValues!A:A,match(IFNA(vlookup(B1432,'Special Names'!A:B,2,FALSE),B1432),PlayerValues!E:E,0)),"N/A")</f>
        <v>17657</v>
      </c>
      <c r="B1432" s="4" t="s">
        <v>642</v>
      </c>
      <c r="C1432" s="4" t="s">
        <v>283</v>
      </c>
      <c r="D1432" s="94">
        <v>1008.0</v>
      </c>
    </row>
    <row r="1433">
      <c r="A1433" s="40">
        <f t="array" ref="A1433">IFNA(index(PlayerValues!A:A,match(IFNA(vlookup(B1433,'Special Names'!A:B,2,FALSE),B1433),PlayerValues!E:E,0)),"N/A")</f>
        <v>16648</v>
      </c>
      <c r="B1433" s="4" t="s">
        <v>748</v>
      </c>
      <c r="C1433" s="4" t="s">
        <v>298</v>
      </c>
      <c r="D1433" s="94">
        <v>1374.0</v>
      </c>
    </row>
    <row r="1434">
      <c r="A1434" s="40">
        <f t="array" ref="A1434">IFNA(index(PlayerValues!A:A,match(IFNA(vlookup(B1434,'Special Names'!A:B,2,FALSE),B1434),PlayerValues!E:E,0)),"N/A")</f>
        <v>16451</v>
      </c>
      <c r="B1434" s="4" t="s">
        <v>769</v>
      </c>
      <c r="C1434" s="4" t="s">
        <v>287</v>
      </c>
      <c r="D1434" s="94">
        <v>1000.0</v>
      </c>
    </row>
    <row r="1435">
      <c r="A1435" s="40">
        <f t="array" ref="A1435">IFNA(index(PlayerValues!A:A,match(IFNA(vlookup(B1435,'Special Names'!A:B,2,FALSE),B1435),PlayerValues!E:E,0)),"N/A")</f>
        <v>17175</v>
      </c>
      <c r="B1435" s="4" t="s">
        <v>747</v>
      </c>
      <c r="C1435" s="4" t="s">
        <v>287</v>
      </c>
      <c r="D1435" s="94">
        <v>999.0</v>
      </c>
    </row>
    <row r="1436">
      <c r="A1436" s="40">
        <f t="array" ref="A1436">IFNA(index(PlayerValues!A:A,match(IFNA(vlookup(B1436,'Special Names'!A:B,2,FALSE),B1436),PlayerValues!E:E,0)),"N/A")</f>
        <v>16168</v>
      </c>
      <c r="B1436" s="4" t="s">
        <v>738</v>
      </c>
      <c r="C1436" s="4" t="s">
        <v>278</v>
      </c>
      <c r="D1436" s="94">
        <v>997.0</v>
      </c>
    </row>
    <row r="1437">
      <c r="A1437" s="40">
        <f t="array" ref="A1437">IFNA(index(PlayerValues!A:A,match(IFNA(vlookup(B1437,'Special Names'!A:B,2,FALSE),B1437),PlayerValues!E:E,0)),"N/A")</f>
        <v>15717</v>
      </c>
      <c r="B1437" s="4" t="s">
        <v>745</v>
      </c>
      <c r="C1437" s="4" t="s">
        <v>278</v>
      </c>
      <c r="D1437" s="94">
        <v>993.0</v>
      </c>
    </row>
    <row r="1438">
      <c r="A1438" s="40">
        <f t="array" ref="A1438">IFNA(index(PlayerValues!A:A,match(IFNA(vlookup(B1438,'Special Names'!A:B,2,FALSE),B1438),PlayerValues!E:E,0)),"N/A")</f>
        <v>15109</v>
      </c>
      <c r="B1438" s="4" t="s">
        <v>728</v>
      </c>
      <c r="C1438" s="4" t="s">
        <v>287</v>
      </c>
      <c r="D1438" s="94">
        <v>989.0</v>
      </c>
    </row>
    <row r="1439">
      <c r="A1439" s="40">
        <f t="array" ref="A1439">IFNA(index(PlayerValues!A:A,match(IFNA(vlookup(B1439,'Special Names'!A:B,2,FALSE),B1439),PlayerValues!E:E,0)),"N/A")</f>
        <v>15766</v>
      </c>
      <c r="B1439" s="4" t="s">
        <v>759</v>
      </c>
      <c r="C1439" s="4" t="s">
        <v>287</v>
      </c>
      <c r="D1439" s="94">
        <v>987.0</v>
      </c>
    </row>
    <row r="1440">
      <c r="A1440" s="40">
        <f t="array" ref="A1440">IFNA(index(PlayerValues!A:A,match(IFNA(vlookup(B1440,'Special Names'!A:B,2,FALSE),B1440),PlayerValues!E:E,0)),"N/A")</f>
        <v>13193</v>
      </c>
      <c r="B1440" s="4" t="s">
        <v>773</v>
      </c>
      <c r="C1440" s="4" t="s">
        <v>298</v>
      </c>
      <c r="D1440" s="94">
        <v>1346.0</v>
      </c>
    </row>
    <row r="1441">
      <c r="A1441" s="40">
        <f t="array" ref="A1441">IFNA(index(PlayerValues!A:A,match(IFNA(vlookup(B1441,'Special Names'!A:B,2,FALSE),B1441),PlayerValues!E:E,0)),"N/A")</f>
        <v>15258</v>
      </c>
      <c r="B1441" s="4" t="s">
        <v>757</v>
      </c>
      <c r="C1441" s="4" t="s">
        <v>278</v>
      </c>
      <c r="D1441" s="94">
        <v>976.0</v>
      </c>
    </row>
    <row r="1442">
      <c r="A1442" s="40">
        <f t="array" ref="A1442">IFNA(index(PlayerValues!A:A,match(IFNA(vlookup(B1442,'Special Names'!A:B,2,FALSE),B1442),PlayerValues!E:E,0)),"N/A")</f>
        <v>15718</v>
      </c>
      <c r="B1442" s="4" t="s">
        <v>753</v>
      </c>
      <c r="C1442" s="4" t="s">
        <v>278</v>
      </c>
      <c r="D1442" s="94">
        <v>976.0</v>
      </c>
    </row>
    <row r="1443">
      <c r="A1443" s="40">
        <f t="array" ref="A1443">IFNA(index(PlayerValues!A:A,match(IFNA(vlookup(B1443,'Special Names'!A:B,2,FALSE),B1443),PlayerValues!E:E,0)),"N/A")</f>
        <v>15785</v>
      </c>
      <c r="B1443" s="4" t="s">
        <v>763</v>
      </c>
      <c r="C1443" s="4" t="s">
        <v>287</v>
      </c>
      <c r="D1443" s="94">
        <v>975.0</v>
      </c>
    </row>
    <row r="1444">
      <c r="A1444" s="40">
        <f t="array" ref="A1444">IFNA(index(PlayerValues!A:A,match(IFNA(vlookup(B1444,'Special Names'!A:B,2,FALSE),B1444),PlayerValues!E:E,0)),"N/A")</f>
        <v>15758</v>
      </c>
      <c r="B1444" s="4" t="s">
        <v>724</v>
      </c>
      <c r="C1444" s="4" t="s">
        <v>287</v>
      </c>
      <c r="D1444" s="94">
        <v>964.0</v>
      </c>
    </row>
    <row r="1445">
      <c r="A1445" s="40">
        <f t="array" ref="A1445">IFNA(index(PlayerValues!A:A,match(IFNA(vlookup(B1445,'Special Names'!A:B,2,FALSE),B1445),PlayerValues!E:E,0)),"N/A")</f>
        <v>16678</v>
      </c>
      <c r="B1445" s="4" t="s">
        <v>758</v>
      </c>
      <c r="C1445" s="4" t="s">
        <v>278</v>
      </c>
      <c r="D1445" s="94">
        <v>963.0</v>
      </c>
    </row>
    <row r="1446">
      <c r="A1446" s="40">
        <f t="array" ref="A1446">IFNA(index(PlayerValues!A:A,match(IFNA(vlookup(B1446,'Special Names'!A:B,2,FALSE),B1446),PlayerValues!E:E,0)),"N/A")</f>
        <v>17504</v>
      </c>
      <c r="B1446" s="4" t="s">
        <v>693</v>
      </c>
      <c r="C1446" s="4" t="s">
        <v>287</v>
      </c>
      <c r="D1446" s="94">
        <v>952.0</v>
      </c>
    </row>
    <row r="1447">
      <c r="A1447" s="40">
        <f t="array" ref="A1447">IFNA(index(PlayerValues!A:A,match(IFNA(vlookup(B1447,'Special Names'!A:B,2,FALSE),B1447),PlayerValues!E:E,0)),"N/A")</f>
        <v>14057</v>
      </c>
      <c r="B1447" s="4" t="s">
        <v>765</v>
      </c>
      <c r="C1447" s="4" t="s">
        <v>283</v>
      </c>
      <c r="D1447" s="94">
        <v>951.0</v>
      </c>
    </row>
    <row r="1448">
      <c r="A1448" s="40">
        <f t="array" ref="A1448">IFNA(index(PlayerValues!A:A,match(IFNA(vlookup(B1448,'Special Names'!A:B,2,FALSE),B1448),PlayerValues!E:E,0)),"N/A")</f>
        <v>15239</v>
      </c>
      <c r="B1448" s="4" t="s">
        <v>802</v>
      </c>
      <c r="C1448" s="4" t="s">
        <v>283</v>
      </c>
      <c r="D1448" s="94">
        <v>942.0</v>
      </c>
    </row>
    <row r="1449">
      <c r="A1449" s="40">
        <f t="array" ref="A1449">IFNA(index(PlayerValues!A:A,match(IFNA(vlookup(B1449,'Special Names'!A:B,2,FALSE),B1449),PlayerValues!E:E,0)),"N/A")</f>
        <v>16205</v>
      </c>
      <c r="B1449" s="4" t="s">
        <v>742</v>
      </c>
      <c r="C1449" s="4" t="s">
        <v>287</v>
      </c>
      <c r="D1449" s="94">
        <v>941.0</v>
      </c>
    </row>
    <row r="1450">
      <c r="A1450" s="40">
        <f t="array" ref="A1450">IFNA(index(PlayerValues!A:A,match(IFNA(vlookup(B1450,'Special Names'!A:B,2,FALSE),B1450),PlayerValues!E:E,0)),"N/A")</f>
        <v>14118</v>
      </c>
      <c r="B1450" s="4" t="s">
        <v>771</v>
      </c>
      <c r="C1450" s="4" t="s">
        <v>287</v>
      </c>
      <c r="D1450" s="94">
        <v>937.0</v>
      </c>
    </row>
    <row r="1451">
      <c r="A1451" s="40">
        <f t="array" ref="A1451">IFNA(index(PlayerValues!A:A,match(IFNA(vlookup(B1451,'Special Names'!A:B,2,FALSE),B1451),PlayerValues!E:E,0)),"N/A")</f>
        <v>11247</v>
      </c>
      <c r="B1451" s="4" t="s">
        <v>816</v>
      </c>
      <c r="C1451" s="4" t="s">
        <v>298</v>
      </c>
      <c r="D1451" s="94">
        <v>1295.0</v>
      </c>
    </row>
    <row r="1452">
      <c r="A1452" s="40">
        <f t="array" ref="A1452">IFNA(index(PlayerValues!A:A,match(IFNA(vlookup(B1452,'Special Names'!A:B,2,FALSE),B1452),PlayerValues!E:E,0)),"N/A")</f>
        <v>17518</v>
      </c>
      <c r="B1452" s="4" t="s">
        <v>482</v>
      </c>
      <c r="C1452" s="4" t="s">
        <v>287</v>
      </c>
      <c r="D1452" s="94">
        <v>922.0</v>
      </c>
    </row>
    <row r="1453">
      <c r="A1453" s="40">
        <f t="array" ref="A1453">IFNA(index(PlayerValues!A:A,match(IFNA(vlookup(B1453,'Special Names'!A:B,2,FALSE),B1453),PlayerValues!E:E,0)),"N/A")</f>
        <v>17487</v>
      </c>
      <c r="B1453" s="4" t="s">
        <v>692</v>
      </c>
      <c r="C1453" s="4" t="s">
        <v>278</v>
      </c>
      <c r="D1453" s="94">
        <v>918.0</v>
      </c>
    </row>
    <row r="1454">
      <c r="A1454" s="40">
        <f t="array" ref="A1454">IFNA(index(PlayerValues!A:A,match(IFNA(vlookup(B1454,'Special Names'!A:B,2,FALSE),B1454),PlayerValues!E:E,0)),"N/A")</f>
        <v>16858</v>
      </c>
      <c r="B1454" s="4" t="s">
        <v>754</v>
      </c>
      <c r="C1454" s="4" t="s">
        <v>287</v>
      </c>
      <c r="D1454" s="94">
        <v>912.0</v>
      </c>
    </row>
    <row r="1455">
      <c r="A1455" s="40">
        <f t="array" ref="A1455">IFNA(index(PlayerValues!A:A,match(IFNA(vlookup(B1455,'Special Names'!A:B,2,FALSE),B1455),PlayerValues!E:E,0)),"N/A")</f>
        <v>15626</v>
      </c>
      <c r="B1455" s="4" t="s">
        <v>766</v>
      </c>
      <c r="C1455" s="4" t="s">
        <v>298</v>
      </c>
      <c r="D1455" s="94">
        <v>1260.0</v>
      </c>
    </row>
    <row r="1456">
      <c r="A1456" s="40">
        <f t="array" ref="A1456">IFNA(index(PlayerValues!A:A,match(IFNA(vlookup(B1456,'Special Names'!A:B,2,FALSE),B1456),PlayerValues!E:E,0)),"N/A")</f>
        <v>16219</v>
      </c>
      <c r="B1456" s="4" t="s">
        <v>739</v>
      </c>
      <c r="C1456" s="4" t="s">
        <v>298</v>
      </c>
      <c r="D1456" s="94">
        <v>1250.0</v>
      </c>
    </row>
    <row r="1457">
      <c r="A1457" s="40">
        <f t="array" ref="A1457">IFNA(index(PlayerValues!A:A,match(IFNA(vlookup(B1457,'Special Names'!A:B,2,FALSE),B1457),PlayerValues!E:E,0)),"N/A")</f>
        <v>17479</v>
      </c>
      <c r="B1457" s="4" t="s">
        <v>756</v>
      </c>
      <c r="C1457" s="4" t="s">
        <v>278</v>
      </c>
      <c r="D1457" s="94">
        <v>884.0</v>
      </c>
    </row>
    <row r="1458">
      <c r="A1458" s="40">
        <f t="array" ref="A1458">IFNA(index(PlayerValues!A:A,match(IFNA(vlookup(B1458,'Special Names'!A:B,2,FALSE),B1458),PlayerValues!E:E,0)),"N/A")</f>
        <v>15720</v>
      </c>
      <c r="B1458" s="4" t="s">
        <v>795</v>
      </c>
      <c r="C1458" s="4" t="s">
        <v>278</v>
      </c>
      <c r="D1458" s="94">
        <v>874.0</v>
      </c>
    </row>
    <row r="1459">
      <c r="A1459" s="40">
        <f t="array" ref="A1459">IFNA(index(PlayerValues!A:A,match(IFNA(vlookup(B1459,'Special Names'!A:B,2,FALSE),B1459),PlayerValues!E:E,0)),"N/A")</f>
        <v>16624</v>
      </c>
      <c r="B1459" s="4" t="s">
        <v>796</v>
      </c>
      <c r="C1459" s="4" t="s">
        <v>287</v>
      </c>
      <c r="D1459" s="94">
        <v>872.0</v>
      </c>
    </row>
    <row r="1460">
      <c r="A1460" s="40">
        <f t="array" ref="A1460">IFNA(index(PlayerValues!A:A,match(IFNA(vlookup(B1460,'Special Names'!A:B,2,FALSE),B1460),PlayerValues!E:E,0)),"N/A")</f>
        <v>16416</v>
      </c>
      <c r="B1460" s="4" t="s">
        <v>752</v>
      </c>
      <c r="C1460" s="4" t="s">
        <v>287</v>
      </c>
      <c r="D1460" s="94">
        <v>863.0</v>
      </c>
    </row>
    <row r="1461">
      <c r="A1461" s="40">
        <f t="array" ref="A1461">IFNA(index(PlayerValues!A:A,match(IFNA(vlookup(B1461,'Special Names'!A:B,2,FALSE),B1461),PlayerValues!E:E,0)),"N/A")</f>
        <v>17549</v>
      </c>
      <c r="B1461" s="4" t="s">
        <v>720</v>
      </c>
      <c r="C1461" s="4" t="s">
        <v>298</v>
      </c>
      <c r="D1461" s="94">
        <v>1216.0</v>
      </c>
    </row>
    <row r="1462">
      <c r="A1462" s="40">
        <f t="array" ref="A1462">IFNA(index(PlayerValues!A:A,match(IFNA(vlookup(B1462,'Special Names'!A:B,2,FALSE),B1462),PlayerValues!E:E,0)),"N/A")</f>
        <v>12785</v>
      </c>
      <c r="B1462" s="4" t="s">
        <v>772</v>
      </c>
      <c r="C1462" s="4" t="s">
        <v>287</v>
      </c>
      <c r="D1462" s="94">
        <v>848.0</v>
      </c>
    </row>
    <row r="1463">
      <c r="A1463" s="40">
        <f t="array" ref="A1463">IFNA(index(PlayerValues!A:A,match(IFNA(vlookup(B1463,'Special Names'!A:B,2,FALSE),B1463),PlayerValues!E:E,0)),"N/A")</f>
        <v>16773</v>
      </c>
      <c r="B1463" s="4" t="s">
        <v>783</v>
      </c>
      <c r="C1463" s="4" t="s">
        <v>278</v>
      </c>
      <c r="D1463" s="94">
        <v>839.0</v>
      </c>
    </row>
    <row r="1464">
      <c r="A1464" s="40">
        <f t="array" ref="A1464">IFNA(index(PlayerValues!A:A,match(IFNA(vlookup(B1464,'Special Names'!A:B,2,FALSE),B1464),PlayerValues!E:E,0)),"N/A")</f>
        <v>17654</v>
      </c>
      <c r="B1464" s="4" t="s">
        <v>767</v>
      </c>
      <c r="C1464" s="4" t="s">
        <v>283</v>
      </c>
      <c r="D1464" s="94">
        <v>828.0</v>
      </c>
    </row>
    <row r="1465">
      <c r="A1465" s="40">
        <f t="array" ref="A1465">IFNA(index(PlayerValues!A:A,match(IFNA(vlookup(B1465,'Special Names'!A:B,2,FALSE),B1465),PlayerValues!E:E,0)),"N/A")</f>
        <v>16599</v>
      </c>
      <c r="B1465" s="4" t="s">
        <v>737</v>
      </c>
      <c r="C1465" s="4" t="s">
        <v>278</v>
      </c>
      <c r="D1465" s="94">
        <v>827.0</v>
      </c>
    </row>
    <row r="1466">
      <c r="A1466" s="40">
        <f t="array" ref="A1466">IFNA(index(PlayerValues!A:A,match(IFNA(vlookup(B1466,'Special Names'!A:B,2,FALSE),B1466),PlayerValues!E:E,0)),"N/A")</f>
        <v>17627</v>
      </c>
      <c r="B1466" s="4" t="s">
        <v>684</v>
      </c>
      <c r="C1466" s="4" t="s">
        <v>298</v>
      </c>
      <c r="D1466" s="94">
        <v>1166.0</v>
      </c>
    </row>
    <row r="1467">
      <c r="A1467" s="40">
        <f t="array" ref="A1467">IFNA(index(PlayerValues!A:A,match(IFNA(vlookup(B1467,'Special Names'!A:B,2,FALSE),B1467),PlayerValues!E:E,0)),"N/A")</f>
        <v>16623</v>
      </c>
      <c r="B1467" s="4" t="s">
        <v>803</v>
      </c>
      <c r="C1467" s="4" t="s">
        <v>287</v>
      </c>
      <c r="D1467" s="94">
        <v>799.0</v>
      </c>
    </row>
    <row r="1468">
      <c r="A1468" s="40">
        <f t="array" ref="A1468">IFNA(index(PlayerValues!A:A,match(IFNA(vlookup(B1468,'Special Names'!A:B,2,FALSE),B1468),PlayerValues!E:E,0)),"N/A")</f>
        <v>17486</v>
      </c>
      <c r="B1468" s="4" t="s">
        <v>695</v>
      </c>
      <c r="C1468" s="4" t="s">
        <v>278</v>
      </c>
      <c r="D1468" s="94">
        <v>798.0</v>
      </c>
    </row>
    <row r="1469">
      <c r="A1469" s="40">
        <f t="array" ref="A1469">IFNA(index(PlayerValues!A:A,match(IFNA(vlookup(B1469,'Special Names'!A:B,2,FALSE),B1469),PlayerValues!E:E,0)),"N/A")</f>
        <v>16606</v>
      </c>
      <c r="B1469" s="4" t="s">
        <v>743</v>
      </c>
      <c r="C1469" s="4" t="s">
        <v>278</v>
      </c>
      <c r="D1469" s="94">
        <v>794.0</v>
      </c>
    </row>
    <row r="1470">
      <c r="A1470" s="40">
        <f t="array" ref="A1470">IFNA(index(PlayerValues!A:A,match(IFNA(vlookup(B1470,'Special Names'!A:B,2,FALSE),B1470),PlayerValues!E:E,0)),"N/A")</f>
        <v>17337</v>
      </c>
      <c r="B1470" s="4" t="s">
        <v>793</v>
      </c>
      <c r="C1470" s="4" t="s">
        <v>278</v>
      </c>
      <c r="D1470" s="94">
        <v>787.0</v>
      </c>
    </row>
    <row r="1471">
      <c r="A1471" s="40">
        <f t="array" ref="A1471">IFNA(index(PlayerValues!A:A,match(IFNA(vlookup(B1471,'Special Names'!A:B,2,FALSE),B1471),PlayerValues!E:E,0)),"N/A")</f>
        <v>16751</v>
      </c>
      <c r="B1471" s="4" t="s">
        <v>762</v>
      </c>
      <c r="C1471" s="4" t="s">
        <v>287</v>
      </c>
      <c r="D1471" s="94">
        <v>786.0</v>
      </c>
    </row>
    <row r="1472">
      <c r="A1472" s="40">
        <f t="array" ref="A1472">IFNA(index(PlayerValues!A:A,match(IFNA(vlookup(B1472,'Special Names'!A:B,2,FALSE),B1472),PlayerValues!E:E,0)),"N/A")</f>
        <v>14223</v>
      </c>
      <c r="B1472" s="4" t="s">
        <v>785</v>
      </c>
      <c r="C1472" s="4" t="s">
        <v>278</v>
      </c>
      <c r="D1472" s="94">
        <v>738.0</v>
      </c>
    </row>
    <row r="1473">
      <c r="A1473" s="40">
        <f t="array" ref="A1473">IFNA(index(PlayerValues!A:A,match(IFNA(vlookup(B1473,'Special Names'!A:B,2,FALSE),B1473),PlayerValues!E:E,0)),"N/A")</f>
        <v>17541</v>
      </c>
      <c r="B1473" s="4" t="s">
        <v>616</v>
      </c>
      <c r="C1473" s="4" t="s">
        <v>287</v>
      </c>
      <c r="D1473" s="94">
        <v>721.0</v>
      </c>
    </row>
    <row r="1474">
      <c r="A1474" s="40">
        <f t="array" ref="A1474">IFNA(index(PlayerValues!A:A,match(IFNA(vlookup(B1474,'Special Names'!A:B,2,FALSE),B1474),PlayerValues!E:E,0)),"N/A")</f>
        <v>15723</v>
      </c>
      <c r="B1474" s="4" t="s">
        <v>798</v>
      </c>
      <c r="C1474" s="4" t="s">
        <v>278</v>
      </c>
      <c r="D1474" s="94">
        <v>702.0</v>
      </c>
    </row>
    <row r="1475">
      <c r="A1475" s="40">
        <f t="array" ref="A1475">IFNA(index(PlayerValues!A:A,match(IFNA(vlookup(B1475,'Special Names'!A:B,2,FALSE),B1475),PlayerValues!E:E,0)),"N/A")</f>
        <v>17545</v>
      </c>
      <c r="B1475" s="4" t="s">
        <v>719</v>
      </c>
      <c r="C1475" s="4" t="s">
        <v>298</v>
      </c>
      <c r="D1475" s="94">
        <v>1051.0</v>
      </c>
    </row>
    <row r="1476">
      <c r="A1476" s="40">
        <f t="array" ref="A1476">IFNA(index(PlayerValues!A:A,match(IFNA(vlookup(B1476,'Special Names'!A:B,2,FALSE),B1476),PlayerValues!E:E,0)),"N/A")</f>
        <v>16686</v>
      </c>
      <c r="B1476" s="4" t="s">
        <v>805</v>
      </c>
      <c r="C1476" s="4" t="s">
        <v>287</v>
      </c>
      <c r="D1476" s="94">
        <v>613.0</v>
      </c>
    </row>
    <row r="1477">
      <c r="A1477" s="40">
        <f t="array" ref="A1477">IFNA(index(PlayerValues!A:A,match(IFNA(vlookup(B1477,'Special Names'!A:B,2,FALSE),B1477),PlayerValues!E:E,0)),"N/A")</f>
        <v>13133</v>
      </c>
      <c r="B1477" s="4" t="s">
        <v>764</v>
      </c>
      <c r="C1477" s="4" t="s">
        <v>278</v>
      </c>
      <c r="D1477" s="94">
        <v>599.0</v>
      </c>
    </row>
    <row r="1478">
      <c r="A1478" s="40">
        <f t="array" ref="A1478">IFNA(index(PlayerValues!A:A,match(IFNA(vlookup(B1478,'Special Names'!A:B,2,FALSE),B1478),PlayerValues!E:E,0)),"N/A")</f>
        <v>13138</v>
      </c>
      <c r="B1478" s="4" t="s">
        <v>817</v>
      </c>
      <c r="C1478" s="4" t="s">
        <v>278</v>
      </c>
      <c r="D1478" s="94">
        <v>597.0</v>
      </c>
    </row>
    <row r="1479">
      <c r="A1479" s="40">
        <f t="array" ref="A1479">IFNA(index(PlayerValues!A:A,match(IFNA(vlookup(B1479,'Special Names'!A:B,2,FALSE),B1479),PlayerValues!E:E,0)),"N/A")</f>
        <v>14864</v>
      </c>
      <c r="B1479" s="4" t="s">
        <v>789</v>
      </c>
      <c r="C1479" s="4" t="s">
        <v>287</v>
      </c>
      <c r="D1479" s="94">
        <v>595.0</v>
      </c>
    </row>
    <row r="1480">
      <c r="A1480" s="40">
        <f t="array" ref="A1480">IFNA(index(PlayerValues!A:A,match(IFNA(vlookup(B1480,'Special Names'!A:B,2,FALSE),B1480),PlayerValues!E:E,0)),"N/A")</f>
        <v>16625</v>
      </c>
      <c r="B1480" s="4" t="s">
        <v>778</v>
      </c>
      <c r="C1480" s="4" t="s">
        <v>287</v>
      </c>
      <c r="D1480" s="94">
        <v>554.0</v>
      </c>
    </row>
    <row r="1481">
      <c r="A1481" s="40">
        <f t="array" ref="A1481">IFNA(index(PlayerValues!A:A,match(IFNA(vlookup(B1481,'Special Names'!A:B,2,FALSE),B1481),PlayerValues!E:E,0)),"N/A")</f>
        <v>14858</v>
      </c>
      <c r="B1481" s="4" t="s">
        <v>799</v>
      </c>
      <c r="C1481" s="4" t="s">
        <v>287</v>
      </c>
      <c r="D1481" s="94">
        <v>548.0</v>
      </c>
    </row>
    <row r="1482">
      <c r="A1482" s="40">
        <f t="array" ref="A1482">IFNA(index(PlayerValues!A:A,match(IFNA(vlookup(B1482,'Special Names'!A:B,2,FALSE),B1482),PlayerValues!E:E,0)),"N/A")</f>
        <v>16957</v>
      </c>
      <c r="B1482" s="4" t="s">
        <v>806</v>
      </c>
      <c r="C1482" s="4" t="s">
        <v>278</v>
      </c>
      <c r="D1482" s="94">
        <v>543.0</v>
      </c>
    </row>
    <row r="1483">
      <c r="A1483" s="40">
        <f t="array" ref="A1483">IFNA(index(PlayerValues!A:A,match(IFNA(vlookup(B1483,'Special Names'!A:B,2,FALSE),B1483),PlayerValues!E:E,0)),"N/A")</f>
        <v>15796</v>
      </c>
      <c r="B1483" s="4" t="s">
        <v>794</v>
      </c>
      <c r="C1483" s="4" t="s">
        <v>298</v>
      </c>
      <c r="D1483" s="94">
        <v>884.0</v>
      </c>
    </row>
    <row r="1484">
      <c r="A1484" s="40">
        <f t="array" ref="A1484">IFNA(index(PlayerValues!A:A,match(IFNA(vlookup(B1484,'Special Names'!A:B,2,FALSE),B1484),PlayerValues!E:E,0)),"N/A")</f>
        <v>14805</v>
      </c>
      <c r="B1484" s="4" t="s">
        <v>770</v>
      </c>
      <c r="C1484" s="4" t="s">
        <v>278</v>
      </c>
      <c r="D1484" s="94">
        <v>536.0</v>
      </c>
    </row>
    <row r="1485">
      <c r="A1485" s="40">
        <f t="array" ref="A1485">IFNA(index(PlayerValues!A:A,match(IFNA(vlookup(B1485,'Special Names'!A:B,2,FALSE),B1485),PlayerValues!E:E,0)),"N/A")</f>
        <v>13595</v>
      </c>
      <c r="B1485" s="4" t="s">
        <v>818</v>
      </c>
      <c r="C1485" s="4" t="s">
        <v>283</v>
      </c>
      <c r="D1485" s="94">
        <v>533.0</v>
      </c>
    </row>
    <row r="1486">
      <c r="A1486" s="40">
        <f t="array" ref="A1486">IFNA(index(PlayerValues!A:A,match(IFNA(vlookup(B1486,'Special Names'!A:B,2,FALSE),B1486),PlayerValues!E:E,0)),"N/A")</f>
        <v>17038</v>
      </c>
      <c r="B1486" s="4" t="s">
        <v>774</v>
      </c>
      <c r="C1486" s="4" t="s">
        <v>283</v>
      </c>
      <c r="D1486" s="94">
        <v>530.0</v>
      </c>
    </row>
    <row r="1487">
      <c r="A1487" s="40">
        <f t="array" ref="A1487">IFNA(index(PlayerValues!A:A,match(IFNA(vlookup(B1487,'Special Names'!A:B,2,FALSE),B1487),PlayerValues!E:E,0)),"N/A")</f>
        <v>16159</v>
      </c>
      <c r="B1487" s="4" t="s">
        <v>819</v>
      </c>
      <c r="C1487" s="4" t="s">
        <v>283</v>
      </c>
      <c r="D1487" s="94">
        <v>508.0</v>
      </c>
    </row>
    <row r="1488">
      <c r="A1488" s="40">
        <f t="array" ref="A1488">IFNA(index(PlayerValues!A:A,match(IFNA(vlookup(B1488,'Special Names'!A:B,2,FALSE),B1488),PlayerValues!E:E,0)),"N/A")</f>
        <v>17232</v>
      </c>
      <c r="B1488" s="4" t="s">
        <v>784</v>
      </c>
      <c r="C1488" s="4" t="s">
        <v>287</v>
      </c>
      <c r="D1488" s="94">
        <v>508.0</v>
      </c>
    </row>
    <row r="1489">
      <c r="A1489" s="40">
        <f t="array" ref="A1489">IFNA(index(PlayerValues!A:A,match(IFNA(vlookup(B1489,'Special Names'!A:B,2,FALSE),B1489),PlayerValues!E:E,0)),"N/A")</f>
        <v>15263</v>
      </c>
      <c r="B1489" s="4" t="s">
        <v>804</v>
      </c>
      <c r="C1489" s="4" t="s">
        <v>278</v>
      </c>
      <c r="D1489" s="94">
        <v>506.0</v>
      </c>
    </row>
    <row r="1490">
      <c r="A1490" s="40">
        <f t="array" ref="A1490">IFNA(index(PlayerValues!A:A,match(IFNA(vlookup(B1490,'Special Names'!A:B,2,FALSE),B1490),PlayerValues!E:E,0)),"N/A")</f>
        <v>16299</v>
      </c>
      <c r="B1490" s="4" t="s">
        <v>787</v>
      </c>
      <c r="C1490" s="4" t="s">
        <v>287</v>
      </c>
      <c r="D1490" s="94">
        <v>506.0</v>
      </c>
    </row>
    <row r="1491">
      <c r="A1491" s="40">
        <f t="array" ref="A1491">IFNA(index(PlayerValues!A:A,match(IFNA(vlookup(B1491,'Special Names'!A:B,2,FALSE),B1491),PlayerValues!E:E,0)),"N/A")</f>
        <v>14358</v>
      </c>
      <c r="B1491" s="4" t="s">
        <v>813</v>
      </c>
      <c r="C1491" s="4" t="s">
        <v>283</v>
      </c>
      <c r="D1491" s="94">
        <v>502.0</v>
      </c>
    </row>
    <row r="1492">
      <c r="A1492" s="40">
        <f t="array" ref="A1492">IFNA(index(PlayerValues!A:A,match(IFNA(vlookup(B1492,'Special Names'!A:B,2,FALSE),B1492),PlayerValues!E:E,0)),"N/A")</f>
        <v>17243</v>
      </c>
      <c r="B1492" s="4" t="s">
        <v>810</v>
      </c>
      <c r="C1492" s="4" t="s">
        <v>298</v>
      </c>
      <c r="D1492" s="94">
        <v>848.0</v>
      </c>
    </row>
    <row r="1493">
      <c r="A1493" s="40">
        <f t="array" ref="A1493">IFNA(index(PlayerValues!A:A,match(IFNA(vlookup(B1493,'Special Names'!A:B,2,FALSE),B1493),PlayerValues!E:E,0)),"N/A")</f>
        <v>14875</v>
      </c>
      <c r="B1493" s="4" t="s">
        <v>820</v>
      </c>
      <c r="C1493" s="4" t="s">
        <v>298</v>
      </c>
      <c r="D1493" s="94">
        <v>844.0</v>
      </c>
    </row>
    <row r="1494">
      <c r="A1494" s="40">
        <f t="array" ref="A1494">IFNA(index(PlayerValues!A:A,match(IFNA(vlookup(B1494,'Special Names'!A:B,2,FALSE),B1494),PlayerValues!E:E,0)),"N/A")</f>
        <v>17348</v>
      </c>
      <c r="B1494" s="4" t="s">
        <v>797</v>
      </c>
      <c r="C1494" s="4" t="s">
        <v>278</v>
      </c>
      <c r="D1494" s="94">
        <v>498.0</v>
      </c>
    </row>
    <row r="1495">
      <c r="A1495" s="40">
        <f t="array" ref="A1495">IFNA(index(PlayerValues!A:A,match(IFNA(vlookup(B1495,'Special Names'!A:B,2,FALSE),B1495),PlayerValues!E:E,0)),"N/A")</f>
        <v>15804</v>
      </c>
      <c r="B1495" s="4" t="s">
        <v>821</v>
      </c>
      <c r="C1495" s="4" t="s">
        <v>298</v>
      </c>
      <c r="D1495" s="94">
        <v>843.0</v>
      </c>
    </row>
    <row r="1496">
      <c r="A1496" s="40">
        <f t="array" ref="A1496">IFNA(index(PlayerValues!A:A,match(IFNA(vlookup(B1496,'Special Names'!A:B,2,FALSE),B1496),PlayerValues!E:E,0)),"N/A")</f>
        <v>15714</v>
      </c>
      <c r="B1496" s="4" t="s">
        <v>775</v>
      </c>
      <c r="C1496" s="4" t="s">
        <v>278</v>
      </c>
      <c r="D1496" s="94">
        <v>491.0</v>
      </c>
    </row>
    <row r="1497">
      <c r="A1497" s="40">
        <f t="array" ref="A1497">IFNA(index(PlayerValues!A:A,match(IFNA(vlookup(B1497,'Special Names'!A:B,2,FALSE),B1497),PlayerValues!E:E,0)),"N/A")</f>
        <v>14209</v>
      </c>
      <c r="B1497" s="4" t="s">
        <v>809</v>
      </c>
      <c r="C1497" s="4" t="s">
        <v>298</v>
      </c>
      <c r="D1497" s="94">
        <v>838.0</v>
      </c>
    </row>
    <row r="1498">
      <c r="A1498" s="40">
        <f t="array" ref="A1498">IFNA(index(PlayerValues!A:A,match(IFNA(vlookup(B1498,'Special Names'!A:B,2,FALSE),B1498),PlayerValues!E:E,0)),"N/A")</f>
        <v>15271</v>
      </c>
      <c r="B1498" s="4" t="s">
        <v>741</v>
      </c>
      <c r="C1498" s="4" t="s">
        <v>278</v>
      </c>
      <c r="D1498" s="94">
        <v>489.0</v>
      </c>
    </row>
    <row r="1499">
      <c r="A1499" s="40">
        <f t="array" ref="A1499">IFNA(index(PlayerValues!A:A,match(IFNA(vlookup(B1499,'Special Names'!A:B,2,FALSE),B1499),PlayerValues!E:E,0)),"N/A")</f>
        <v>10413</v>
      </c>
      <c r="B1499" s="4" t="s">
        <v>811</v>
      </c>
      <c r="C1499" s="4" t="s">
        <v>283</v>
      </c>
      <c r="D1499" s="94">
        <v>488.0</v>
      </c>
    </row>
    <row r="1500">
      <c r="A1500" s="40">
        <f t="array" ref="A1500">IFNA(index(PlayerValues!A:A,match(IFNA(vlookup(B1500,'Special Names'!A:B,2,FALSE),B1500),PlayerValues!E:E,0)),"N/A")</f>
        <v>17706</v>
      </c>
      <c r="B1500" s="4" t="s">
        <v>614</v>
      </c>
      <c r="C1500" s="4" t="s">
        <v>287</v>
      </c>
      <c r="D1500" s="94">
        <v>211.0</v>
      </c>
    </row>
    <row r="1501">
      <c r="A1501" s="40">
        <f t="array" ref="A1501">IFNA(index(PlayerValues!A:A,match(IFNA(vlookup(B1501,'Special Names'!A:B,2,FALSE),B1501),PlayerValues!E:E,0)),"N/A")</f>
        <v>16161</v>
      </c>
      <c r="B1501" s="4" t="s">
        <v>277</v>
      </c>
      <c r="C1501" s="4" t="s">
        <v>278</v>
      </c>
      <c r="D1501" s="94">
        <v>9997.0</v>
      </c>
    </row>
    <row r="1502">
      <c r="A1502" s="40">
        <f t="array" ref="A1502">IFNA(index(PlayerValues!A:A,match(IFNA(vlookup(B1502,'Special Names'!A:B,2,FALSE),B1502),PlayerValues!E:E,0)),"N/A")</f>
        <v>13589</v>
      </c>
      <c r="B1502" s="4" t="s">
        <v>282</v>
      </c>
      <c r="C1502" s="4" t="s">
        <v>283</v>
      </c>
      <c r="D1502" s="94">
        <v>9996.0</v>
      </c>
    </row>
    <row r="1503">
      <c r="A1503" s="40">
        <f t="array" ref="A1503">IFNA(index(PlayerValues!A:A,match(IFNA(vlookup(B1503,'Special Names'!A:B,2,FALSE),B1503),PlayerValues!E:E,0)),"N/A")</f>
        <v>15281</v>
      </c>
      <c r="B1503" s="4" t="s">
        <v>286</v>
      </c>
      <c r="C1503" s="4" t="s">
        <v>287</v>
      </c>
      <c r="D1503" s="94">
        <v>9984.0</v>
      </c>
    </row>
    <row r="1504">
      <c r="A1504" s="40">
        <f t="array" ref="A1504">IFNA(index(PlayerValues!A:A,match(IFNA(vlookup(B1504,'Special Names'!A:B,2,FALSE),B1504),PlayerValues!E:E,0)),"N/A")</f>
        <v>16162</v>
      </c>
      <c r="B1504" s="4" t="s">
        <v>281</v>
      </c>
      <c r="C1504" s="4" t="s">
        <v>278</v>
      </c>
      <c r="D1504" s="94">
        <v>9919.0</v>
      </c>
    </row>
    <row r="1505">
      <c r="A1505" s="40">
        <f t="array" ref="A1505">IFNA(index(PlayerValues!A:A,match(IFNA(vlookup(B1505,'Special Names'!A:B,2,FALSE),B1505),PlayerValues!E:E,0)),"N/A")</f>
        <v>16185</v>
      </c>
      <c r="B1505" s="4" t="s">
        <v>290</v>
      </c>
      <c r="C1505" s="4" t="s">
        <v>287</v>
      </c>
      <c r="D1505" s="94">
        <v>9590.0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9437.0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8741.0</v>
      </c>
    </row>
    <row r="1508">
      <c r="A1508" s="40">
        <f t="array" ref="A1508">IFNA(index(PlayerValues!A:A,match(IFNA(vlookup(B1508,'Special Names'!A:B,2,FALSE),B1508),PlayerValues!E:E,0)),"N/A")</f>
        <v>16641</v>
      </c>
      <c r="B1508" s="4" t="s">
        <v>297</v>
      </c>
      <c r="C1508" s="4" t="s">
        <v>298</v>
      </c>
      <c r="D1508" s="94">
        <v>8999.0</v>
      </c>
    </row>
    <row r="1509">
      <c r="A1509" s="40">
        <f t="array" ref="A1509">IFNA(index(PlayerValues!A:A,match(IFNA(vlookup(B1509,'Special Names'!A:B,2,FALSE),B1509),PlayerValues!E:E,0)),"N/A")</f>
        <v>16579</v>
      </c>
      <c r="B1509" s="4" t="s">
        <v>302</v>
      </c>
      <c r="C1509" s="4" t="s">
        <v>283</v>
      </c>
      <c r="D1509" s="94">
        <v>8035.0</v>
      </c>
    </row>
    <row r="1510">
      <c r="A1510" s="40">
        <f t="array" ref="A1510">IFNA(index(PlayerValues!A:A,match(IFNA(vlookup(B1510,'Special Names'!A:B,2,FALSE),B1510),PlayerValues!E:E,0)),"N/A")</f>
        <v>15287</v>
      </c>
      <c r="B1510" s="4" t="s">
        <v>299</v>
      </c>
      <c r="C1510" s="4" t="s">
        <v>287</v>
      </c>
      <c r="D1510" s="94">
        <v>7905.0</v>
      </c>
    </row>
    <row r="1511">
      <c r="A1511" s="40">
        <f t="array" ref="A1511">IFNA(index(PlayerValues!A:A,match(IFNA(vlookup(B1511,'Special Names'!A:B,2,FALSE),B1511),PlayerValues!E:E,0)),"N/A")</f>
        <v>16581</v>
      </c>
      <c r="B1511" s="4" t="s">
        <v>315</v>
      </c>
      <c r="C1511" s="4" t="s">
        <v>283</v>
      </c>
      <c r="D1511" s="94">
        <v>7816.0</v>
      </c>
    </row>
    <row r="1512">
      <c r="A1512" s="40">
        <f t="array" ref="A1512">IFNA(index(PlayerValues!A:A,match(IFNA(vlookup(B1512,'Special Names'!A:B,2,FALSE),B1512),PlayerValues!E:E,0)),"N/A")</f>
        <v>17042</v>
      </c>
      <c r="B1512" s="4" t="s">
        <v>314</v>
      </c>
      <c r="C1512" s="4" t="s">
        <v>278</v>
      </c>
      <c r="D1512" s="94">
        <v>7673.0</v>
      </c>
    </row>
    <row r="1513">
      <c r="A1513" s="40">
        <f t="array" ref="A1513">IFNA(index(PlayerValues!A:A,match(IFNA(vlookup(B1513,'Special Names'!A:B,2,FALSE),B1513),PlayerValues!E:E,0)),"N/A")</f>
        <v>14836</v>
      </c>
      <c r="B1513" s="4" t="s">
        <v>306</v>
      </c>
      <c r="C1513" s="4" t="s">
        <v>287</v>
      </c>
      <c r="D1513" s="94">
        <v>7601.0</v>
      </c>
    </row>
    <row r="1514">
      <c r="A1514" s="40">
        <f t="array" ref="A1514">IFNA(index(PlayerValues!A:A,match(IFNA(vlookup(B1514,'Special Names'!A:B,2,FALSE),B1514),PlayerValues!E:E,0)),"N/A")</f>
        <v>13593</v>
      </c>
      <c r="B1514" s="4" t="s">
        <v>305</v>
      </c>
      <c r="C1514" s="4" t="s">
        <v>283</v>
      </c>
      <c r="D1514" s="94">
        <v>7596.0</v>
      </c>
    </row>
    <row r="1515">
      <c r="A1515" s="40">
        <f t="array" ref="A1515">IFNA(index(PlayerValues!A:A,match(IFNA(vlookup(B1515,'Special Names'!A:B,2,FALSE),B1515),PlayerValues!E:E,0)),"N/A")</f>
        <v>17472</v>
      </c>
      <c r="B1515" s="4" t="s">
        <v>310</v>
      </c>
      <c r="C1515" s="4" t="s">
        <v>278</v>
      </c>
      <c r="D1515" s="94">
        <v>7589.0</v>
      </c>
    </row>
    <row r="1516">
      <c r="A1516" s="40">
        <f t="array" ref="A1516">IFNA(index(PlayerValues!A:A,match(IFNA(vlookup(B1516,'Special Names'!A:B,2,FALSE),B1516),PlayerValues!E:E,0)),"N/A")</f>
        <v>16615</v>
      </c>
      <c r="B1516" s="4" t="s">
        <v>309</v>
      </c>
      <c r="C1516" s="4" t="s">
        <v>287</v>
      </c>
      <c r="D1516" s="94">
        <v>7471.0</v>
      </c>
    </row>
    <row r="1517">
      <c r="A1517" s="40">
        <f t="array" ref="A1517">IFNA(index(PlayerValues!A:A,match(IFNA(vlookup(B1517,'Special Names'!A:B,2,FALSE),B1517),PlayerValues!E:E,0)),"N/A")</f>
        <v>14777</v>
      </c>
      <c r="B1517" s="4" t="s">
        <v>318</v>
      </c>
      <c r="C1517" s="4" t="s">
        <v>283</v>
      </c>
      <c r="D1517" s="94">
        <v>7460.0</v>
      </c>
    </row>
    <row r="1518">
      <c r="A1518" s="40">
        <f t="array" ref="A1518">IFNA(index(PlayerValues!A:A,match(IFNA(vlookup(B1518,'Special Names'!A:B,2,FALSE),B1518),PlayerValues!E:E,0)),"N/A")</f>
        <v>15794</v>
      </c>
      <c r="B1518" s="4" t="s">
        <v>313</v>
      </c>
      <c r="C1518" s="4" t="s">
        <v>298</v>
      </c>
      <c r="D1518" s="94">
        <v>8138.0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7228.0</v>
      </c>
    </row>
    <row r="1520">
      <c r="A1520" s="40">
        <f t="array" ref="A1520">IFNA(index(PlayerValues!A:A,match(IFNA(vlookup(B1520,'Special Names'!A:B,2,FALSE),B1520),PlayerValues!E:E,0)),"N/A")</f>
        <v>15751</v>
      </c>
      <c r="B1520" s="4" t="s">
        <v>328</v>
      </c>
      <c r="C1520" s="4" t="s">
        <v>287</v>
      </c>
      <c r="D1520" s="94">
        <v>7177.0</v>
      </c>
    </row>
    <row r="1521">
      <c r="A1521" s="40" t="str">
        <f t="array" ref="A1521">IFNA(index(PlayerValues!A:A,match(IFNA(vlookup(B1521,'Special Names'!A:B,2,FALSE),B1521),PlayerValues!E:E,0)),"N/A")</f>
        <v>N/A</v>
      </c>
      <c r="B1521" s="4" t="s">
        <v>92</v>
      </c>
      <c r="C1521" s="4" t="s">
        <v>325</v>
      </c>
      <c r="D1521" s="94">
        <v>7064.0</v>
      </c>
    </row>
    <row r="1522">
      <c r="A1522" s="40">
        <f t="array" ref="A1522">IFNA(index(PlayerValues!A:A,match(IFNA(vlookup(B1522,'Special Names'!A:B,2,FALSE),B1522),PlayerValues!E:E,0)),"N/A")</f>
        <v>14779</v>
      </c>
      <c r="B1522" s="4" t="s">
        <v>327</v>
      </c>
      <c r="C1522" s="4" t="s">
        <v>283</v>
      </c>
      <c r="D1522" s="94">
        <v>6994.0</v>
      </c>
    </row>
    <row r="1523">
      <c r="A1523" s="40">
        <f t="array" ref="A1523">IFNA(index(PlayerValues!A:A,match(IFNA(vlookup(B1523,'Special Names'!A:B,2,FALSE),B1523),PlayerValues!E:E,0)),"N/A")</f>
        <v>17044</v>
      </c>
      <c r="B1523" s="4" t="s">
        <v>322</v>
      </c>
      <c r="C1523" s="4" t="s">
        <v>278</v>
      </c>
      <c r="D1523" s="94">
        <v>6855.0</v>
      </c>
    </row>
    <row r="1524">
      <c r="A1524" s="40">
        <f t="array" ref="A1524">IFNA(index(PlayerValues!A:A,match(IFNA(vlookup(B1524,'Special Names'!A:B,2,FALSE),B1524),PlayerValues!E:E,0)),"N/A")</f>
        <v>16167</v>
      </c>
      <c r="B1524" s="4" t="s">
        <v>323</v>
      </c>
      <c r="C1524" s="4" t="s">
        <v>278</v>
      </c>
      <c r="D1524" s="94">
        <v>6836.0</v>
      </c>
    </row>
    <row r="1525">
      <c r="A1525" s="40">
        <f t="array" ref="A1525">IFNA(index(PlayerValues!A:A,match(IFNA(vlookup(B1525,'Special Names'!A:B,2,FALSE),B1525),PlayerValues!E:E,0)),"N/A")</f>
        <v>13116</v>
      </c>
      <c r="B1525" s="4" t="s">
        <v>345</v>
      </c>
      <c r="C1525" s="4" t="s">
        <v>283</v>
      </c>
      <c r="D1525" s="94">
        <v>6645.0</v>
      </c>
    </row>
    <row r="1526">
      <c r="A1526" s="40">
        <f t="array" ref="A1526">IFNA(index(PlayerValues!A:A,match(IFNA(vlookup(B1526,'Special Names'!A:B,2,FALSE),B1526),PlayerValues!E:E,0)),"N/A")</f>
        <v>17071</v>
      </c>
      <c r="B1526" s="4" t="s">
        <v>341</v>
      </c>
      <c r="C1526" s="4" t="s">
        <v>287</v>
      </c>
      <c r="D1526" s="94">
        <v>6555.0</v>
      </c>
    </row>
    <row r="1527">
      <c r="A1527" s="40">
        <f t="array" ref="A1527">IFNA(index(PlayerValues!A:A,match(IFNA(vlookup(B1527,'Special Names'!A:B,2,FALSE),B1527),PlayerValues!E:E,0)),"N/A")</f>
        <v>17032</v>
      </c>
      <c r="B1527" s="4" t="s">
        <v>348</v>
      </c>
      <c r="C1527" s="4" t="s">
        <v>283</v>
      </c>
      <c r="D1527" s="94">
        <v>6449.0</v>
      </c>
    </row>
    <row r="1528">
      <c r="A1528" s="40">
        <f t="array" ref="A1528">IFNA(index(PlayerValues!A:A,match(IFNA(vlookup(B1528,'Special Names'!A:B,2,FALSE),B1528),PlayerValues!E:E,0)),"N/A")</f>
        <v>15237</v>
      </c>
      <c r="B1528" s="4" t="s">
        <v>336</v>
      </c>
      <c r="C1528" s="4" t="s">
        <v>283</v>
      </c>
      <c r="D1528" s="94">
        <v>6356.0</v>
      </c>
    </row>
    <row r="1529">
      <c r="A1529" s="40">
        <f t="array" ref="A1529">IFNA(index(PlayerValues!A:A,match(IFNA(vlookup(B1529,'Special Names'!A:B,2,FALSE),B1529),PlayerValues!E:E,0)),"N/A")</f>
        <v>17104</v>
      </c>
      <c r="B1529" s="4" t="s">
        <v>333</v>
      </c>
      <c r="C1529" s="4" t="s">
        <v>298</v>
      </c>
      <c r="D1529" s="94">
        <v>6911.0</v>
      </c>
    </row>
    <row r="1530">
      <c r="A1530" s="40">
        <f t="array" ref="A1530">IFNA(index(PlayerValues!A:A,match(IFNA(vlookup(B1530,'Special Names'!A:B,2,FALSE),B1530),PlayerValues!E:E,0)),"N/A")</f>
        <v>14783</v>
      </c>
      <c r="B1530" s="4" t="s">
        <v>342</v>
      </c>
      <c r="C1530" s="4" t="s">
        <v>283</v>
      </c>
      <c r="D1530" s="94">
        <v>6171.0</v>
      </c>
    </row>
    <row r="1531">
      <c r="A1531" s="40">
        <f t="array" ref="A1531">IFNA(index(PlayerValues!A:A,match(IFNA(vlookup(B1531,'Special Names'!A:B,2,FALSE),B1531),PlayerValues!E:E,0)),"N/A")</f>
        <v>16582</v>
      </c>
      <c r="B1531" s="4" t="s">
        <v>343</v>
      </c>
      <c r="C1531" s="4" t="s">
        <v>283</v>
      </c>
      <c r="D1531" s="94">
        <v>6073.0</v>
      </c>
    </row>
    <row r="1532">
      <c r="A1532" s="40">
        <f t="array" ref="A1532">IFNA(index(PlayerValues!A:A,match(IFNA(vlookup(B1532,'Special Names'!A:B,2,FALSE),B1532),PlayerValues!E:E,0)),"N/A")</f>
        <v>17081</v>
      </c>
      <c r="B1532" s="4" t="s">
        <v>340</v>
      </c>
      <c r="C1532" s="4" t="s">
        <v>287</v>
      </c>
      <c r="D1532" s="94">
        <v>6061.0</v>
      </c>
    </row>
    <row r="1533">
      <c r="A1533" s="40">
        <f t="array" ref="A1533">IFNA(index(PlayerValues!A:A,match(IFNA(vlookup(B1533,'Special Names'!A:B,2,FALSE),B1533),PlayerValues!E:E,0)),"N/A")</f>
        <v>15715</v>
      </c>
      <c r="B1533" s="4" t="s">
        <v>331</v>
      </c>
      <c r="C1533" s="4" t="s">
        <v>278</v>
      </c>
      <c r="D1533" s="94">
        <v>6044.0</v>
      </c>
    </row>
    <row r="1534">
      <c r="A1534" s="40">
        <f t="array" ref="A1534">IFNA(index(PlayerValues!A:A,match(IFNA(vlookup(B1534,'Special Names'!A:B,2,FALSE),B1534),PlayerValues!E:E,0)),"N/A")</f>
        <v>14802</v>
      </c>
      <c r="B1534" s="4" t="s">
        <v>332</v>
      </c>
      <c r="C1534" s="4" t="s">
        <v>278</v>
      </c>
      <c r="D1534" s="94">
        <v>6010.0</v>
      </c>
    </row>
    <row r="1535">
      <c r="A1535" s="40">
        <f t="array" ref="A1535">IFNA(index(PlayerValues!A:A,match(IFNA(vlookup(B1535,'Special Names'!A:B,2,FALSE),B1535),PlayerValues!E:E,0)),"N/A")</f>
        <v>17497</v>
      </c>
      <c r="B1535" s="4" t="s">
        <v>365</v>
      </c>
      <c r="C1535" s="4" t="s">
        <v>287</v>
      </c>
      <c r="D1535" s="94">
        <v>5957.0</v>
      </c>
    </row>
    <row r="1536">
      <c r="A1536" s="40">
        <f t="array" ref="A1536">IFNA(index(PlayerValues!A:A,match(IFNA(vlookup(B1536,'Special Names'!A:B,2,FALSE),B1536),PlayerValues!E:E,0)),"N/A")</f>
        <v>15762</v>
      </c>
      <c r="B1536" s="4" t="s">
        <v>337</v>
      </c>
      <c r="C1536" s="4" t="s">
        <v>287</v>
      </c>
      <c r="D1536" s="94">
        <v>5924.0</v>
      </c>
    </row>
    <row r="1537">
      <c r="A1537" s="40">
        <f t="array" ref="A1537">IFNA(index(PlayerValues!A:A,match(IFNA(vlookup(B1537,'Special Names'!A:B,2,FALSE),B1537),PlayerValues!E:E,0)),"N/A")</f>
        <v>17102</v>
      </c>
      <c r="B1537" s="4" t="s">
        <v>344</v>
      </c>
      <c r="C1537" s="4" t="s">
        <v>298</v>
      </c>
      <c r="D1537" s="94">
        <v>6499.0</v>
      </c>
    </row>
    <row r="1538">
      <c r="A1538" s="40">
        <f t="array" ref="A1538">IFNA(index(PlayerValues!A:A,match(IFNA(vlookup(B1538,'Special Names'!A:B,2,FALSE),B1538),PlayerValues!E:E,0)),"N/A")</f>
        <v>15698</v>
      </c>
      <c r="B1538" s="4" t="s">
        <v>358</v>
      </c>
      <c r="C1538" s="4" t="s">
        <v>283</v>
      </c>
      <c r="D1538" s="94">
        <v>5837.0</v>
      </c>
    </row>
    <row r="1539">
      <c r="A1539" s="40">
        <f t="array" ref="A1539">IFNA(index(PlayerValues!A:A,match(IFNA(vlookup(B1539,'Special Names'!A:B,2,FALSE),B1539),PlayerValues!E:E,0)),"N/A")</f>
        <v>15753</v>
      </c>
      <c r="B1539" s="4" t="s">
        <v>359</v>
      </c>
      <c r="C1539" s="4" t="s">
        <v>287</v>
      </c>
      <c r="D1539" s="94">
        <v>5683.0</v>
      </c>
    </row>
    <row r="1540">
      <c r="A1540" s="40" t="str">
        <f t="array" ref="A1540">IFNA(index(PlayerValues!A:A,match(IFNA(vlookup(B1540,'Special Names'!A:B,2,FALSE),B1540),PlayerValues!E:E,0)),"N/A")</f>
        <v>N/A</v>
      </c>
      <c r="B1540" s="4" t="s">
        <v>79</v>
      </c>
      <c r="C1540" s="4" t="s">
        <v>325</v>
      </c>
      <c r="D1540" s="94">
        <v>5602.0</v>
      </c>
    </row>
    <row r="1541">
      <c r="A1541" s="40" t="str">
        <f t="array" ref="A1541">IFNA(index(PlayerValues!A:A,match(IFNA(vlookup(B1541,'Special Names'!A:B,2,FALSE),B1541),PlayerValues!E:E,0)),"N/A")</f>
        <v>N/A</v>
      </c>
      <c r="B1541" s="4" t="s">
        <v>93</v>
      </c>
      <c r="C1541" s="4" t="s">
        <v>325</v>
      </c>
      <c r="D1541" s="94">
        <v>5601.0</v>
      </c>
    </row>
    <row r="1542">
      <c r="A1542" s="40">
        <f t="array" ref="A1542">IFNA(index(PlayerValues!A:A,match(IFNA(vlookup(B1542,'Special Names'!A:B,2,FALSE),B1542),PlayerValues!E:E,0)),"N/A")</f>
        <v>15290</v>
      </c>
      <c r="B1542" s="4" t="s">
        <v>355</v>
      </c>
      <c r="C1542" s="4" t="s">
        <v>287</v>
      </c>
      <c r="D1542" s="94">
        <v>5592.0</v>
      </c>
    </row>
    <row r="1543">
      <c r="A1543" s="40">
        <f t="array" ref="A1543">IFNA(index(PlayerValues!A:A,match(IFNA(vlookup(B1543,'Special Names'!A:B,2,FALSE),B1543),PlayerValues!E:E,0)),"N/A")</f>
        <v>16627</v>
      </c>
      <c r="B1543" s="4" t="s">
        <v>351</v>
      </c>
      <c r="C1543" s="4" t="s">
        <v>287</v>
      </c>
      <c r="D1543" s="94">
        <v>5568.0</v>
      </c>
    </row>
    <row r="1544">
      <c r="A1544" s="40">
        <f t="array" ref="A1544">IFNA(index(PlayerValues!A:A,match(IFNA(vlookup(B1544,'Special Names'!A:B,2,FALSE),B1544),PlayerValues!E:E,0)),"N/A")</f>
        <v>17462</v>
      </c>
      <c r="B1544" s="4" t="s">
        <v>375</v>
      </c>
      <c r="C1544" s="4" t="s">
        <v>283</v>
      </c>
      <c r="D1544" s="94">
        <v>5535.0</v>
      </c>
    </row>
    <row r="1545">
      <c r="A1545" s="40">
        <f t="array" ref="A1545">IFNA(index(PlayerValues!A:A,match(IFNA(vlookup(B1545,'Special Names'!A:B,2,FALSE),B1545),PlayerValues!E:E,0)),"N/A")</f>
        <v>15754</v>
      </c>
      <c r="B1545" s="4" t="s">
        <v>354</v>
      </c>
      <c r="C1545" s="4" t="s">
        <v>287</v>
      </c>
      <c r="D1545" s="94">
        <v>5527.0</v>
      </c>
    </row>
    <row r="1546">
      <c r="A1546" s="40">
        <f t="array" ref="A1546">IFNA(index(PlayerValues!A:A,match(IFNA(vlookup(B1546,'Special Names'!A:B,2,FALSE),B1546),PlayerValues!E:E,0)),"N/A")</f>
        <v>17051</v>
      </c>
      <c r="B1546" s="4" t="s">
        <v>386</v>
      </c>
      <c r="C1546" s="4" t="s">
        <v>278</v>
      </c>
      <c r="D1546" s="94">
        <v>5514.0</v>
      </c>
    </row>
    <row r="1547">
      <c r="A1547" s="40">
        <f t="array" ref="A1547">IFNA(index(PlayerValues!A:A,match(IFNA(vlookup(B1547,'Special Names'!A:B,2,FALSE),B1547),PlayerValues!E:E,0)),"N/A")</f>
        <v>14782</v>
      </c>
      <c r="B1547" s="4" t="s">
        <v>385</v>
      </c>
      <c r="C1547" s="4" t="s">
        <v>283</v>
      </c>
      <c r="D1547" s="94">
        <v>5513.0</v>
      </c>
    </row>
    <row r="1548">
      <c r="A1548" s="40">
        <f t="array" ref="A1548">IFNA(index(PlayerValues!A:A,match(IFNA(vlookup(B1548,'Special Names'!A:B,2,FALSE),B1548),PlayerValues!E:E,0)),"N/A")</f>
        <v>17043</v>
      </c>
      <c r="B1548" s="4" t="s">
        <v>397</v>
      </c>
      <c r="C1548" s="4" t="s">
        <v>278</v>
      </c>
      <c r="D1548" s="94">
        <v>5489.0</v>
      </c>
    </row>
    <row r="1549">
      <c r="A1549" s="40">
        <f t="array" ref="A1549">IFNA(index(PlayerValues!A:A,match(IFNA(vlookup(B1549,'Special Names'!A:B,2,FALSE),B1549),PlayerValues!E:E,0)),"N/A")</f>
        <v>15711</v>
      </c>
      <c r="B1549" s="4" t="s">
        <v>349</v>
      </c>
      <c r="C1549" s="4" t="s">
        <v>278</v>
      </c>
      <c r="D1549" s="94">
        <v>5486.0</v>
      </c>
    </row>
    <row r="1550">
      <c r="A1550" s="40">
        <f t="array" ref="A1550">IFNA(index(PlayerValues!A:A,match(IFNA(vlookup(B1550,'Special Names'!A:B,2,FALSE),B1550),PlayerValues!E:E,0)),"N/A")</f>
        <v>15282</v>
      </c>
      <c r="B1550" s="4" t="s">
        <v>364</v>
      </c>
      <c r="C1550" s="4" t="s">
        <v>287</v>
      </c>
      <c r="D1550" s="94">
        <v>5453.0</v>
      </c>
    </row>
    <row r="1551">
      <c r="A1551" s="40">
        <f t="array" ref="A1551">IFNA(index(PlayerValues!A:A,match(IFNA(vlookup(B1551,'Special Names'!A:B,2,FALSE),B1551),PlayerValues!E:E,0)),"N/A")</f>
        <v>17070</v>
      </c>
      <c r="B1551" s="4" t="s">
        <v>370</v>
      </c>
      <c r="C1551" s="4" t="s">
        <v>287</v>
      </c>
      <c r="D1551" s="94">
        <v>5404.0</v>
      </c>
    </row>
    <row r="1552">
      <c r="A1552" s="40">
        <f t="array" ref="A1552">IFNA(index(PlayerValues!A:A,match(IFNA(vlookup(B1552,'Special Names'!A:B,2,FALSE),B1552),PlayerValues!E:E,0)),"N/A")</f>
        <v>15708</v>
      </c>
      <c r="B1552" s="4" t="s">
        <v>382</v>
      </c>
      <c r="C1552" s="4" t="s">
        <v>278</v>
      </c>
      <c r="D1552" s="94">
        <v>5395.0</v>
      </c>
    </row>
    <row r="1553">
      <c r="A1553" s="40">
        <f t="array" ref="A1553">IFNA(index(PlayerValues!A:A,match(IFNA(vlookup(B1553,'Special Names'!A:B,2,FALSE),B1553),PlayerValues!E:E,0)),"N/A")</f>
        <v>17498</v>
      </c>
      <c r="B1553" s="4" t="s">
        <v>396</v>
      </c>
      <c r="C1553" s="4" t="s">
        <v>287</v>
      </c>
      <c r="D1553" s="94">
        <v>5394.0</v>
      </c>
    </row>
    <row r="1554">
      <c r="A1554" s="40">
        <f t="array" ref="A1554">IFNA(index(PlayerValues!A:A,match(IFNA(vlookup(B1554,'Special Names'!A:B,2,FALSE),B1554),PlayerValues!E:E,0)),"N/A")</f>
        <v>17030</v>
      </c>
      <c r="B1554" s="4" t="s">
        <v>406</v>
      </c>
      <c r="C1554" s="4" t="s">
        <v>283</v>
      </c>
      <c r="D1554" s="94">
        <v>5363.0</v>
      </c>
    </row>
    <row r="1555">
      <c r="A1555" s="40">
        <f t="array" ref="A1555">IFNA(index(PlayerValues!A:A,match(IFNA(vlookup(B1555,'Special Names'!A:B,2,FALSE),B1555),PlayerValues!E:E,0)),"N/A")</f>
        <v>16616</v>
      </c>
      <c r="B1555" s="4" t="s">
        <v>389</v>
      </c>
      <c r="C1555" s="4" t="s">
        <v>287</v>
      </c>
      <c r="D1555" s="94">
        <v>5273.0</v>
      </c>
    </row>
    <row r="1556">
      <c r="A1556" s="40">
        <f t="array" ref="A1556">IFNA(index(PlayerValues!A:A,match(IFNA(vlookup(B1556,'Special Names'!A:B,2,FALSE),B1556),PlayerValues!E:E,0)),"N/A")</f>
        <v>16181</v>
      </c>
      <c r="B1556" s="4" t="s">
        <v>350</v>
      </c>
      <c r="C1556" s="4" t="s">
        <v>278</v>
      </c>
      <c r="D1556" s="94">
        <v>5125.0</v>
      </c>
    </row>
    <row r="1557">
      <c r="A1557" s="40">
        <f t="array" ref="A1557">IFNA(index(PlayerValues!A:A,match(IFNA(vlookup(B1557,'Special Names'!A:B,2,FALSE),B1557),PlayerValues!E:E,0)),"N/A")</f>
        <v>17499</v>
      </c>
      <c r="B1557" s="4" t="s">
        <v>402</v>
      </c>
      <c r="C1557" s="4" t="s">
        <v>287</v>
      </c>
      <c r="D1557" s="94">
        <v>5095.0</v>
      </c>
    </row>
    <row r="1558">
      <c r="A1558" s="40" t="str">
        <f t="array" ref="A1558">IFNA(index(PlayerValues!A:A,match(IFNA(vlookup(B1558,'Special Names'!A:B,2,FALSE),B1558),PlayerValues!E:E,0)),"N/A")</f>
        <v>N/A</v>
      </c>
      <c r="B1558" s="4" t="s">
        <v>104</v>
      </c>
      <c r="C1558" s="4" t="s">
        <v>325</v>
      </c>
      <c r="D1558" s="94">
        <v>5016.0</v>
      </c>
    </row>
    <row r="1559">
      <c r="A1559" s="40">
        <f t="array" ref="A1559">IFNA(index(PlayerValues!A:A,match(IFNA(vlookup(B1559,'Special Names'!A:B,2,FALSE),B1559),PlayerValues!E:E,0)),"N/A")</f>
        <v>13130</v>
      </c>
      <c r="B1559" s="4" t="s">
        <v>374</v>
      </c>
      <c r="C1559" s="4" t="s">
        <v>278</v>
      </c>
      <c r="D1559" s="94">
        <v>4985.0</v>
      </c>
    </row>
    <row r="1560">
      <c r="A1560" s="40">
        <f t="array" ref="A1560">IFNA(index(PlayerValues!A:A,match(IFNA(vlookup(B1560,'Special Names'!A:B,2,FALSE),B1560),PlayerValues!E:E,0)),"N/A")</f>
        <v>16614</v>
      </c>
      <c r="B1560" s="4" t="s">
        <v>403</v>
      </c>
      <c r="C1560" s="4" t="s">
        <v>287</v>
      </c>
      <c r="D1560" s="94">
        <v>4968.0</v>
      </c>
    </row>
    <row r="1561">
      <c r="A1561" s="40">
        <f t="array" ref="A1561">IFNA(index(PlayerValues!A:A,match(IFNA(vlookup(B1561,'Special Names'!A:B,2,FALSE),B1561),PlayerValues!E:E,0)),"N/A")</f>
        <v>14104</v>
      </c>
      <c r="B1561" s="4" t="s">
        <v>379</v>
      </c>
      <c r="C1561" s="4" t="s">
        <v>287</v>
      </c>
      <c r="D1561" s="94">
        <v>4951.0</v>
      </c>
    </row>
    <row r="1562">
      <c r="A1562" s="40">
        <f t="array" ref="A1562">IFNA(index(PlayerValues!A:A,match(IFNA(vlookup(B1562,'Special Names'!A:B,2,FALSE),B1562),PlayerValues!E:E,0)),"N/A")</f>
        <v>13604</v>
      </c>
      <c r="B1562" s="4" t="s">
        <v>378</v>
      </c>
      <c r="C1562" s="4" t="s">
        <v>278</v>
      </c>
      <c r="D1562" s="94">
        <v>4946.0</v>
      </c>
    </row>
    <row r="1563">
      <c r="A1563" s="40">
        <f t="array" ref="A1563">IFNA(index(PlayerValues!A:A,match(IFNA(vlookup(B1563,'Special Names'!A:B,2,FALSE),B1563),PlayerValues!E:E,0)),"N/A")</f>
        <v>14835</v>
      </c>
      <c r="B1563" s="4" t="s">
        <v>392</v>
      </c>
      <c r="C1563" s="4" t="s">
        <v>287</v>
      </c>
      <c r="D1563" s="94">
        <v>4938.0</v>
      </c>
    </row>
    <row r="1564">
      <c r="A1564" s="40" t="str">
        <f t="array" ref="A1564">IFNA(index(PlayerValues!A:A,match(IFNA(vlookup(B1564,'Special Names'!A:B,2,FALSE),B1564),PlayerValues!E:E,0)),"N/A")</f>
        <v>N/A</v>
      </c>
      <c r="B1564" s="4" t="s">
        <v>94</v>
      </c>
      <c r="C1564" s="4" t="s">
        <v>325</v>
      </c>
      <c r="D1564" s="94">
        <v>4931.0</v>
      </c>
    </row>
    <row r="1565">
      <c r="A1565" s="40">
        <f t="array" ref="A1565">IFNA(index(PlayerValues!A:A,match(IFNA(vlookup(B1565,'Special Names'!A:B,2,FALSE),B1565),PlayerValues!E:E,0)),"N/A")</f>
        <v>16222</v>
      </c>
      <c r="B1565" s="4" t="s">
        <v>393</v>
      </c>
      <c r="C1565" s="4" t="s">
        <v>298</v>
      </c>
      <c r="D1565" s="94">
        <v>5496.0</v>
      </c>
    </row>
    <row r="1566">
      <c r="A1566" s="40">
        <f t="array" ref="A1566">IFNA(index(PlayerValues!A:A,match(IFNA(vlookup(B1566,'Special Names'!A:B,2,FALSE),B1566),PlayerValues!E:E,0)),"N/A")</f>
        <v>16618</v>
      </c>
      <c r="B1566" s="4" t="s">
        <v>411</v>
      </c>
      <c r="C1566" s="4" t="s">
        <v>287</v>
      </c>
      <c r="D1566" s="94">
        <v>4890.0</v>
      </c>
    </row>
    <row r="1567">
      <c r="A1567" s="40">
        <f t="array" ref="A1567">IFNA(index(PlayerValues!A:A,match(IFNA(vlookup(B1567,'Special Names'!A:B,2,FALSE),B1567),PlayerValues!E:E,0)),"N/A")</f>
        <v>16190</v>
      </c>
      <c r="B1567" s="4" t="s">
        <v>371</v>
      </c>
      <c r="C1567" s="4" t="s">
        <v>287</v>
      </c>
      <c r="D1567" s="94">
        <v>4888.0</v>
      </c>
    </row>
    <row r="1568">
      <c r="A1568" s="40">
        <f t="array" ref="A1568">IFNA(index(PlayerValues!A:A,match(IFNA(vlookup(B1568,'Special Names'!A:B,2,FALSE),B1568),PlayerValues!E:E,0)),"N/A")</f>
        <v>12620</v>
      </c>
      <c r="B1568" s="4" t="s">
        <v>394</v>
      </c>
      <c r="C1568" s="4" t="s">
        <v>283</v>
      </c>
      <c r="D1568" s="94">
        <v>4881.0</v>
      </c>
    </row>
    <row r="1569">
      <c r="A1569" s="40">
        <f t="array" ref="A1569">IFNA(index(PlayerValues!A:A,match(IFNA(vlookup(B1569,'Special Names'!A:B,2,FALSE),B1569),PlayerValues!E:E,0)),"N/A")</f>
        <v>15710</v>
      </c>
      <c r="B1569" s="4" t="s">
        <v>395</v>
      </c>
      <c r="C1569" s="4" t="s">
        <v>278</v>
      </c>
      <c r="D1569" s="94">
        <v>4864.0</v>
      </c>
    </row>
    <row r="1570">
      <c r="A1570" s="40">
        <f t="array" ref="A1570">IFNA(index(PlayerValues!A:A,match(IFNA(vlookup(B1570,'Special Names'!A:B,2,FALSE),B1570),PlayerValues!E:E,0)),"N/A")</f>
        <v>17473</v>
      </c>
      <c r="B1570" s="4" t="s">
        <v>391</v>
      </c>
      <c r="C1570" s="4" t="s">
        <v>278</v>
      </c>
      <c r="D1570" s="94">
        <v>4856.0</v>
      </c>
    </row>
    <row r="1571">
      <c r="A1571" s="40">
        <f t="array" ref="A1571">IFNA(index(PlayerValues!A:A,match(IFNA(vlookup(B1571,'Special Names'!A:B,2,FALSE),B1571),PlayerValues!E:E,0)),"N/A")</f>
        <v>17103</v>
      </c>
      <c r="B1571" s="4" t="s">
        <v>405</v>
      </c>
      <c r="C1571" s="4" t="s">
        <v>298</v>
      </c>
      <c r="D1571" s="94">
        <v>5411.0</v>
      </c>
    </row>
    <row r="1572">
      <c r="A1572" s="40">
        <f t="array" ref="A1572">IFNA(index(PlayerValues!A:A,match(IFNA(vlookup(B1572,'Special Names'!A:B,2,FALSE),B1572),PlayerValues!E:E,0)),"N/A")</f>
        <v>16150</v>
      </c>
      <c r="B1572" s="4" t="s">
        <v>414</v>
      </c>
      <c r="C1572" s="4" t="s">
        <v>283</v>
      </c>
      <c r="D1572" s="94">
        <v>4816.0</v>
      </c>
    </row>
    <row r="1573">
      <c r="A1573" s="40">
        <f t="array" ref="A1573">IFNA(index(PlayerValues!A:A,match(IFNA(vlookup(B1573,'Special Names'!A:B,2,FALSE),B1573),PlayerValues!E:E,0)),"N/A")</f>
        <v>17039</v>
      </c>
      <c r="B1573" s="4" t="s">
        <v>400</v>
      </c>
      <c r="C1573" s="4" t="s">
        <v>283</v>
      </c>
      <c r="D1573" s="94">
        <v>4816.0</v>
      </c>
    </row>
    <row r="1574">
      <c r="A1574" s="40">
        <f t="array" ref="A1574">IFNA(index(PlayerValues!A:A,match(IFNA(vlookup(B1574,'Special Names'!A:B,2,FALSE),B1574),PlayerValues!E:E,0)),"N/A")</f>
        <v>17045</v>
      </c>
      <c r="B1574" s="4" t="s">
        <v>407</v>
      </c>
      <c r="C1574" s="4" t="s">
        <v>278</v>
      </c>
      <c r="D1574" s="94">
        <v>4788.0</v>
      </c>
    </row>
    <row r="1575">
      <c r="A1575" s="40">
        <f t="array" ref="A1575">IFNA(index(PlayerValues!A:A,match(IFNA(vlookup(B1575,'Special Names'!A:B,2,FALSE),B1575),PlayerValues!E:E,0)),"N/A")</f>
        <v>15284</v>
      </c>
      <c r="B1575" s="4" t="s">
        <v>390</v>
      </c>
      <c r="C1575" s="4" t="s">
        <v>287</v>
      </c>
      <c r="D1575" s="94">
        <v>4767.0</v>
      </c>
    </row>
    <row r="1576">
      <c r="A1576" s="40">
        <f t="array" ref="A1576">IFNA(index(PlayerValues!A:A,match(IFNA(vlookup(B1576,'Special Names'!A:B,2,FALSE),B1576),PlayerValues!E:E,0)),"N/A")</f>
        <v>16598</v>
      </c>
      <c r="B1576" s="4" t="s">
        <v>408</v>
      </c>
      <c r="C1576" s="4" t="s">
        <v>278</v>
      </c>
      <c r="D1576" s="94">
        <v>4722.0</v>
      </c>
    </row>
    <row r="1577">
      <c r="A1577" s="40">
        <f t="array" ref="A1577">IFNA(index(PlayerValues!A:A,match(IFNA(vlookup(B1577,'Special Names'!A:B,2,FALSE),B1577),PlayerValues!E:E,0)),"N/A")</f>
        <v>13590</v>
      </c>
      <c r="B1577" s="4" t="s">
        <v>409</v>
      </c>
      <c r="C1577" s="4" t="s">
        <v>283</v>
      </c>
      <c r="D1577" s="94">
        <v>4707.0</v>
      </c>
    </row>
    <row r="1578">
      <c r="A1578" s="40">
        <f t="array" ref="A1578">IFNA(index(PlayerValues!A:A,match(IFNA(vlookup(B1578,'Special Names'!A:B,2,FALSE),B1578),PlayerValues!E:E,0)),"N/A")</f>
        <v>12611</v>
      </c>
      <c r="B1578" s="4" t="s">
        <v>410</v>
      </c>
      <c r="C1578" s="4" t="s">
        <v>283</v>
      </c>
      <c r="D1578" s="94">
        <v>4683.0</v>
      </c>
    </row>
    <row r="1579">
      <c r="A1579" s="40">
        <f t="array" ref="A1579">IFNA(index(PlayerValues!A:A,match(IFNA(vlookup(B1579,'Special Names'!A:B,2,FALSE),B1579),PlayerValues!E:E,0)),"N/A")</f>
        <v>15756</v>
      </c>
      <c r="B1579" s="4" t="s">
        <v>399</v>
      </c>
      <c r="C1579" s="4" t="s">
        <v>287</v>
      </c>
      <c r="D1579" s="94">
        <v>4678.0</v>
      </c>
    </row>
    <row r="1580">
      <c r="A1580" s="40">
        <f t="array" ref="A1580">IFNA(index(PlayerValues!A:A,match(IFNA(vlookup(B1580,'Special Names'!A:B,2,FALSE),B1580),PlayerValues!E:E,0)),"N/A")</f>
        <v>16194</v>
      </c>
      <c r="B1580" s="4" t="s">
        <v>398</v>
      </c>
      <c r="C1580" s="4" t="s">
        <v>287</v>
      </c>
      <c r="D1580" s="94">
        <v>4668.0</v>
      </c>
    </row>
    <row r="1581">
      <c r="A1581" s="40" t="str">
        <f t="array" ref="A1581">IFNA(index(PlayerValues!A:A,match(IFNA(vlookup(B1581,'Special Names'!A:B,2,FALSE),B1581),PlayerValues!E:E,0)),"N/A")</f>
        <v>N/A</v>
      </c>
      <c r="B1581" s="4" t="s">
        <v>105</v>
      </c>
      <c r="C1581" s="4" t="s">
        <v>325</v>
      </c>
      <c r="D1581" s="94">
        <v>4591.0</v>
      </c>
    </row>
    <row r="1582">
      <c r="A1582" s="40" t="str">
        <f t="array" ref="A1582">IFNA(index(PlayerValues!A:A,match(IFNA(vlookup(B1582,'Special Names'!A:B,2,FALSE),B1582),PlayerValues!E:E,0)),"N/A")</f>
        <v>N/A</v>
      </c>
      <c r="B1582" s="4" t="s">
        <v>80</v>
      </c>
      <c r="C1582" s="4" t="s">
        <v>325</v>
      </c>
      <c r="D1582" s="94">
        <v>4581.0</v>
      </c>
    </row>
    <row r="1583">
      <c r="A1583" s="40">
        <f t="array" ref="A1583">IFNA(index(PlayerValues!A:A,match(IFNA(vlookup(B1583,'Special Names'!A:B,2,FALSE),B1583),PlayerValues!E:E,0)),"N/A")</f>
        <v>13592</v>
      </c>
      <c r="B1583" s="4" t="s">
        <v>418</v>
      </c>
      <c r="C1583" s="4" t="s">
        <v>283</v>
      </c>
      <c r="D1583" s="94">
        <v>4519.0</v>
      </c>
    </row>
    <row r="1584">
      <c r="A1584" s="40">
        <f t="array" ref="A1584">IFNA(index(PlayerValues!A:A,match(IFNA(vlookup(B1584,'Special Names'!A:B,2,FALSE),B1584),PlayerValues!E:E,0)),"N/A")</f>
        <v>15329</v>
      </c>
      <c r="B1584" s="4" t="s">
        <v>416</v>
      </c>
      <c r="C1584" s="4" t="s">
        <v>298</v>
      </c>
      <c r="D1584" s="94">
        <v>5040.0</v>
      </c>
    </row>
    <row r="1585">
      <c r="A1585" s="40">
        <f t="array" ref="A1585">IFNA(index(PlayerValues!A:A,match(IFNA(vlookup(B1585,'Special Names'!A:B,2,FALSE),B1585),PlayerValues!E:E,0)),"N/A")</f>
        <v>15256</v>
      </c>
      <c r="B1585" s="4" t="s">
        <v>401</v>
      </c>
      <c r="C1585" s="4" t="s">
        <v>278</v>
      </c>
      <c r="D1585" s="94">
        <v>4486.0</v>
      </c>
    </row>
    <row r="1586">
      <c r="A1586" s="40">
        <f t="array" ref="A1586">IFNA(index(PlayerValues!A:A,match(IFNA(vlookup(B1586,'Special Names'!A:B,2,FALSE),B1586),PlayerValues!E:E,0)),"N/A")</f>
        <v>16214</v>
      </c>
      <c r="B1586" s="4" t="s">
        <v>413</v>
      </c>
      <c r="C1586" s="4" t="s">
        <v>298</v>
      </c>
      <c r="D1586" s="94">
        <v>5011.0</v>
      </c>
    </row>
    <row r="1587">
      <c r="A1587" s="40">
        <f t="array" ref="A1587">IFNA(index(PlayerValues!A:A,match(IFNA(vlookup(B1587,'Special Names'!A:B,2,FALSE),B1587),PlayerValues!E:E,0)),"N/A")</f>
        <v>17501</v>
      </c>
      <c r="B1587" s="4" t="s">
        <v>404</v>
      </c>
      <c r="C1587" s="4" t="s">
        <v>287</v>
      </c>
      <c r="D1587" s="94">
        <v>4470.0</v>
      </c>
    </row>
    <row r="1588">
      <c r="A1588" s="40">
        <f t="array" ref="A1588">IFNA(index(PlayerValues!A:A,match(IFNA(vlookup(B1588,'Special Names'!A:B,2,FALSE),B1588),PlayerValues!E:E,0)),"N/A")</f>
        <v>15253</v>
      </c>
      <c r="B1588" s="4" t="s">
        <v>415</v>
      </c>
      <c r="C1588" s="4" t="s">
        <v>278</v>
      </c>
      <c r="D1588" s="94">
        <v>4468.0</v>
      </c>
    </row>
    <row r="1589">
      <c r="A1589" s="40">
        <f t="array" ref="A1589">IFNA(index(PlayerValues!A:A,match(IFNA(vlookup(B1589,'Special Names'!A:B,2,FALSE),B1589),PlayerValues!E:E,0)),"N/A")</f>
        <v>16148</v>
      </c>
      <c r="B1589" s="4" t="s">
        <v>426</v>
      </c>
      <c r="C1589" s="4" t="s">
        <v>283</v>
      </c>
      <c r="D1589" s="94">
        <v>4320.0</v>
      </c>
    </row>
    <row r="1590">
      <c r="A1590" s="40" t="str">
        <f t="array" ref="A1590">IFNA(index(PlayerValues!A:A,match(IFNA(vlookup(B1590,'Special Names'!A:B,2,FALSE),B1590),PlayerValues!E:E,0)),"N/A")</f>
        <v>N/A</v>
      </c>
      <c r="B1590" s="4" t="s">
        <v>107</v>
      </c>
      <c r="C1590" s="4" t="s">
        <v>325</v>
      </c>
      <c r="D1590" s="94">
        <v>4128.0</v>
      </c>
    </row>
    <row r="1591">
      <c r="A1591" s="40">
        <f t="array" ref="A1591">IFNA(index(PlayerValues!A:A,match(IFNA(vlookup(B1591,'Special Names'!A:B,2,FALSE),B1591),PlayerValues!E:E,0)),"N/A")</f>
        <v>14056</v>
      </c>
      <c r="B1591" s="4" t="s">
        <v>423</v>
      </c>
      <c r="C1591" s="4" t="s">
        <v>283</v>
      </c>
      <c r="D1591" s="94">
        <v>4123.0</v>
      </c>
    </row>
    <row r="1592">
      <c r="A1592" s="40">
        <f t="array" ref="A1592">IFNA(index(PlayerValues!A:A,match(IFNA(vlookup(B1592,'Special Names'!A:B,2,FALSE),B1592),PlayerValues!E:E,0)),"N/A")</f>
        <v>17052</v>
      </c>
      <c r="B1592" s="4" t="s">
        <v>417</v>
      </c>
      <c r="C1592" s="4" t="s">
        <v>278</v>
      </c>
      <c r="D1592" s="94">
        <v>4116.0</v>
      </c>
    </row>
    <row r="1593">
      <c r="A1593" s="40">
        <f t="array" ref="A1593">IFNA(index(PlayerValues!A:A,match(IFNA(vlookup(B1593,'Special Names'!A:B,2,FALSE),B1593),PlayerValues!E:E,0)),"N/A")</f>
        <v>17543</v>
      </c>
      <c r="B1593" s="4" t="s">
        <v>436</v>
      </c>
      <c r="C1593" s="4" t="s">
        <v>298</v>
      </c>
      <c r="D1593" s="94">
        <v>4561.0</v>
      </c>
    </row>
    <row r="1594">
      <c r="A1594" s="40">
        <f t="array" ref="A1594">IFNA(index(PlayerValues!A:A,match(IFNA(vlookup(B1594,'Special Names'!A:B,2,FALSE),B1594),PlayerValues!E:E,0)),"N/A")</f>
        <v>12626</v>
      </c>
      <c r="B1594" s="4" t="s">
        <v>419</v>
      </c>
      <c r="C1594" s="4" t="s">
        <v>278</v>
      </c>
      <c r="D1594" s="94">
        <v>4005.0</v>
      </c>
    </row>
    <row r="1595">
      <c r="A1595" s="40">
        <f t="array" ref="A1595">IFNA(index(PlayerValues!A:A,match(IFNA(vlookup(B1595,'Special Names'!A:B,2,FALSE),B1595),PlayerValues!E:E,0)),"N/A")</f>
        <v>15768</v>
      </c>
      <c r="B1595" s="4" t="s">
        <v>432</v>
      </c>
      <c r="C1595" s="4" t="s">
        <v>287</v>
      </c>
      <c r="D1595" s="94">
        <v>3993.0</v>
      </c>
    </row>
    <row r="1596">
      <c r="A1596" s="40">
        <f t="array" ref="A1596">IFNA(index(PlayerValues!A:A,match(IFNA(vlookup(B1596,'Special Names'!A:B,2,FALSE),B1596),PlayerValues!E:E,0)),"N/A")</f>
        <v>16186</v>
      </c>
      <c r="B1596" s="4" t="s">
        <v>425</v>
      </c>
      <c r="C1596" s="4" t="s">
        <v>287</v>
      </c>
      <c r="D1596" s="94">
        <v>3956.0</v>
      </c>
    </row>
    <row r="1597">
      <c r="A1597" s="40">
        <f t="array" ref="A1597">IFNA(index(PlayerValues!A:A,match(IFNA(vlookup(B1597,'Special Names'!A:B,2,FALSE),B1597),PlayerValues!E:E,0)),"N/A")</f>
        <v>14059</v>
      </c>
      <c r="B1597" s="4" t="s">
        <v>435</v>
      </c>
      <c r="C1597" s="4" t="s">
        <v>283</v>
      </c>
      <c r="D1597" s="94">
        <v>3929.0</v>
      </c>
    </row>
    <row r="1598">
      <c r="A1598" s="40">
        <f t="array" ref="A1598">IFNA(index(PlayerValues!A:A,match(IFNA(vlookup(B1598,'Special Names'!A:B,2,FALSE),B1598),PlayerValues!E:E,0)),"N/A")</f>
        <v>15789</v>
      </c>
      <c r="B1598" s="4" t="s">
        <v>421</v>
      </c>
      <c r="C1598" s="4" t="s">
        <v>287</v>
      </c>
      <c r="D1598" s="94">
        <v>3898.0</v>
      </c>
    </row>
    <row r="1599">
      <c r="A1599" s="40" t="str">
        <f t="array" ref="A1599">IFNA(index(PlayerValues!A:A,match(IFNA(vlookup(B1599,'Special Names'!A:B,2,FALSE),B1599),PlayerValues!E:E,0)),"N/A")</f>
        <v>N/A</v>
      </c>
      <c r="B1599" s="4" t="s">
        <v>81</v>
      </c>
      <c r="C1599" s="4" t="s">
        <v>325</v>
      </c>
      <c r="D1599" s="94">
        <v>3888.0</v>
      </c>
    </row>
    <row r="1600">
      <c r="A1600" s="40" t="str">
        <f t="array" ref="A1600">IFNA(index(PlayerValues!A:A,match(IFNA(vlookup(B1600,'Special Names'!A:B,2,FALSE),B1600),PlayerValues!E:E,0)),"N/A")</f>
        <v>N/A</v>
      </c>
      <c r="B1600" s="4" t="s">
        <v>95</v>
      </c>
      <c r="C1600" s="4" t="s">
        <v>325</v>
      </c>
      <c r="D1600" s="94">
        <v>3887.0</v>
      </c>
    </row>
    <row r="1601">
      <c r="A1601" s="40">
        <f t="array" ref="A1601">IFNA(index(PlayerValues!A:A,match(IFNA(vlookup(B1601,'Special Names'!A:B,2,FALSE),B1601),PlayerValues!E:E,0)),"N/A")</f>
        <v>14073</v>
      </c>
      <c r="B1601" s="4" t="s">
        <v>464</v>
      </c>
      <c r="C1601" s="4" t="s">
        <v>278</v>
      </c>
      <c r="D1601" s="94">
        <v>3835.0</v>
      </c>
    </row>
    <row r="1602">
      <c r="A1602" s="40">
        <f t="array" ref="A1602">IFNA(index(PlayerValues!A:A,match(IFNA(vlookup(B1602,'Special Names'!A:B,2,FALSE),B1602),PlayerValues!E:E,0)),"N/A")</f>
        <v>15694</v>
      </c>
      <c r="B1602" s="4" t="s">
        <v>434</v>
      </c>
      <c r="C1602" s="4" t="s">
        <v>283</v>
      </c>
      <c r="D1602" s="94">
        <v>3820.0</v>
      </c>
    </row>
    <row r="1603">
      <c r="A1603" s="40">
        <f t="array" ref="A1603">IFNA(index(PlayerValues!A:A,match(IFNA(vlookup(B1603,'Special Names'!A:B,2,FALSE),B1603),PlayerValues!E:E,0)),"N/A")</f>
        <v>9431</v>
      </c>
      <c r="B1603" s="4" t="s">
        <v>428</v>
      </c>
      <c r="C1603" s="4" t="s">
        <v>283</v>
      </c>
      <c r="D1603" s="94">
        <v>3807.0</v>
      </c>
    </row>
    <row r="1604">
      <c r="A1604" s="40">
        <f t="array" ref="A1604">IFNA(index(PlayerValues!A:A,match(IFNA(vlookup(B1604,'Special Names'!A:B,2,FALSE),B1604),PlayerValues!E:E,0)),"N/A")</f>
        <v>17502</v>
      </c>
      <c r="B1604" s="4" t="s">
        <v>451</v>
      </c>
      <c r="C1604" s="4" t="s">
        <v>287</v>
      </c>
      <c r="D1604" s="94">
        <v>3711.0</v>
      </c>
    </row>
    <row r="1605">
      <c r="A1605" s="40">
        <f t="array" ref="A1605">IFNA(index(PlayerValues!A:A,match(IFNA(vlookup(B1605,'Special Names'!A:B,2,FALSE),B1605),PlayerValues!E:E,0)),"N/A")</f>
        <v>16192</v>
      </c>
      <c r="B1605" s="4" t="s">
        <v>412</v>
      </c>
      <c r="C1605" s="4" t="s">
        <v>287</v>
      </c>
      <c r="D1605" s="94">
        <v>3687.0</v>
      </c>
    </row>
    <row r="1606">
      <c r="A1606" s="40">
        <f t="array" ref="A1606">IFNA(index(PlayerValues!A:A,match(IFNA(vlookup(B1606,'Special Names'!A:B,2,FALSE),B1606),PlayerValues!E:E,0)),"N/A")</f>
        <v>16187</v>
      </c>
      <c r="B1606" s="4" t="s">
        <v>441</v>
      </c>
      <c r="C1606" s="4" t="s">
        <v>287</v>
      </c>
      <c r="D1606" s="94">
        <v>3671.0</v>
      </c>
    </row>
    <row r="1607">
      <c r="A1607" s="40">
        <f t="array" ref="A1607">IFNA(index(PlayerValues!A:A,match(IFNA(vlookup(B1607,'Special Names'!A:B,2,FALSE),B1607),PlayerValues!E:E,0)),"N/A")</f>
        <v>14797</v>
      </c>
      <c r="B1607" s="4" t="s">
        <v>420</v>
      </c>
      <c r="C1607" s="4" t="s">
        <v>278</v>
      </c>
      <c r="D1607" s="94">
        <v>3627.0</v>
      </c>
    </row>
    <row r="1608">
      <c r="A1608" s="40">
        <f t="array" ref="A1608">IFNA(index(PlayerValues!A:A,match(IFNA(vlookup(B1608,'Special Names'!A:B,2,FALSE),B1608),PlayerValues!E:E,0)),"N/A")</f>
        <v>17075</v>
      </c>
      <c r="B1608" s="4" t="s">
        <v>429</v>
      </c>
      <c r="C1608" s="4" t="s">
        <v>287</v>
      </c>
      <c r="D1608" s="94">
        <v>3622.0</v>
      </c>
    </row>
    <row r="1609">
      <c r="A1609" s="40">
        <f t="array" ref="A1609">IFNA(index(PlayerValues!A:A,match(IFNA(vlookup(B1609,'Special Names'!A:B,2,FALSE),B1609),PlayerValues!E:E,0)),"N/A")</f>
        <v>13635</v>
      </c>
      <c r="B1609" s="4" t="s">
        <v>424</v>
      </c>
      <c r="C1609" s="4" t="s">
        <v>287</v>
      </c>
      <c r="D1609" s="94">
        <v>3613.0</v>
      </c>
    </row>
    <row r="1610">
      <c r="A1610" s="40">
        <f t="array" ref="A1610">IFNA(index(PlayerValues!A:A,match(IFNA(vlookup(B1610,'Special Names'!A:B,2,FALSE),B1610),PlayerValues!E:E,0)),"N/A")</f>
        <v>16206</v>
      </c>
      <c r="B1610" s="4" t="s">
        <v>431</v>
      </c>
      <c r="C1610" s="4" t="s">
        <v>287</v>
      </c>
      <c r="D1610" s="94">
        <v>3604.0</v>
      </c>
    </row>
    <row r="1611">
      <c r="A1611" s="40">
        <f t="array" ref="A1611">IFNA(index(PlayerValues!A:A,match(IFNA(vlookup(B1611,'Special Names'!A:B,2,FALSE),B1611),PlayerValues!E:E,0)),"N/A")</f>
        <v>17099</v>
      </c>
      <c r="B1611" s="4" t="s">
        <v>474</v>
      </c>
      <c r="C1611" s="4" t="s">
        <v>298</v>
      </c>
      <c r="D1611" s="94">
        <v>4064.0</v>
      </c>
    </row>
    <row r="1612">
      <c r="A1612" s="40">
        <f t="array" ref="A1612">IFNA(index(PlayerValues!A:A,match(IFNA(vlookup(B1612,'Special Names'!A:B,2,FALSE),B1612),PlayerValues!E:E,0)),"N/A")</f>
        <v>17544</v>
      </c>
      <c r="B1612" s="4" t="s">
        <v>470</v>
      </c>
      <c r="C1612" s="4" t="s">
        <v>298</v>
      </c>
      <c r="D1612" s="94">
        <v>4054.0</v>
      </c>
    </row>
    <row r="1613">
      <c r="A1613" s="40">
        <f t="array" ref="A1613">IFNA(index(PlayerValues!A:A,match(IFNA(vlookup(B1613,'Special Names'!A:B,2,FALSE),B1613),PlayerValues!E:E,0)),"N/A")</f>
        <v>17066</v>
      </c>
      <c r="B1613" s="4" t="s">
        <v>446</v>
      </c>
      <c r="C1613" s="4" t="s">
        <v>278</v>
      </c>
      <c r="D1613" s="94">
        <v>3573.0</v>
      </c>
    </row>
    <row r="1614">
      <c r="A1614" s="40">
        <f t="array" ref="A1614">IFNA(index(PlayerValues!A:A,match(IFNA(vlookup(B1614,'Special Names'!A:B,2,FALSE),B1614),PlayerValues!E:E,0)),"N/A")</f>
        <v>16188</v>
      </c>
      <c r="B1614" s="4" t="s">
        <v>439</v>
      </c>
      <c r="C1614" s="4" t="s">
        <v>287</v>
      </c>
      <c r="D1614" s="94">
        <v>3570.0</v>
      </c>
    </row>
    <row r="1615">
      <c r="A1615" s="40">
        <f t="array" ref="A1615">IFNA(index(PlayerValues!A:A,match(IFNA(vlookup(B1615,'Special Names'!A:B,2,FALSE),B1615),PlayerValues!E:E,0)),"N/A")</f>
        <v>17463</v>
      </c>
      <c r="B1615" s="4" t="s">
        <v>433</v>
      </c>
      <c r="C1615" s="4" t="s">
        <v>283</v>
      </c>
      <c r="D1615" s="94">
        <v>3550.0</v>
      </c>
    </row>
    <row r="1616">
      <c r="A1616" s="40">
        <f t="array" ref="A1616">IFNA(index(PlayerValues!A:A,match(IFNA(vlookup(B1616,'Special Names'!A:B,2,FALSE),B1616),PlayerValues!E:E,0)),"N/A")</f>
        <v>15757</v>
      </c>
      <c r="B1616" s="4" t="s">
        <v>449</v>
      </c>
      <c r="C1616" s="4" t="s">
        <v>287</v>
      </c>
      <c r="D1616" s="94">
        <v>3491.0</v>
      </c>
    </row>
    <row r="1617">
      <c r="A1617" s="40">
        <f t="array" ref="A1617">IFNA(index(PlayerValues!A:A,match(IFNA(vlookup(B1617,'Special Names'!A:B,2,FALSE),B1617),PlayerValues!E:E,0)),"N/A")</f>
        <v>14109</v>
      </c>
      <c r="B1617" s="4" t="s">
        <v>437</v>
      </c>
      <c r="C1617" s="4" t="s">
        <v>287</v>
      </c>
      <c r="D1617" s="94">
        <v>3486.0</v>
      </c>
    </row>
    <row r="1618">
      <c r="A1618" s="40">
        <f t="array" ref="A1618">IFNA(index(PlayerValues!A:A,match(IFNA(vlookup(B1618,'Special Names'!A:B,2,FALSE),B1618),PlayerValues!E:E,0)),"N/A")</f>
        <v>17500</v>
      </c>
      <c r="B1618" s="4" t="s">
        <v>430</v>
      </c>
      <c r="C1618" s="4" t="s">
        <v>287</v>
      </c>
      <c r="D1618" s="94">
        <v>3461.0</v>
      </c>
    </row>
    <row r="1619">
      <c r="A1619" s="40" t="str">
        <f t="array" ref="A1619">IFNA(index(PlayerValues!A:A,match(IFNA(vlookup(B1619,'Special Names'!A:B,2,FALSE),B1619),PlayerValues!E:E,0)),"N/A")</f>
        <v>N/A</v>
      </c>
      <c r="B1619" s="4" t="s">
        <v>96</v>
      </c>
      <c r="C1619" s="4" t="s">
        <v>325</v>
      </c>
      <c r="D1619" s="94">
        <v>3459.0</v>
      </c>
    </row>
    <row r="1620">
      <c r="A1620" s="40">
        <f t="array" ref="A1620">IFNA(index(PlayerValues!A:A,match(IFNA(vlookup(B1620,'Special Names'!A:B,2,FALSE),B1620),PlayerValues!E:E,0)),"N/A")</f>
        <v>17083</v>
      </c>
      <c r="B1620" s="4" t="s">
        <v>479</v>
      </c>
      <c r="C1620" s="4" t="s">
        <v>287</v>
      </c>
      <c r="D1620" s="94">
        <v>3447.0</v>
      </c>
    </row>
    <row r="1621">
      <c r="A1621" s="40">
        <f t="array" ref="A1621">IFNA(index(PlayerValues!A:A,match(IFNA(vlookup(B1621,'Special Names'!A:B,2,FALSE),B1621),PlayerValues!E:E,0)),"N/A")</f>
        <v>14102</v>
      </c>
      <c r="B1621" s="4" t="s">
        <v>444</v>
      </c>
      <c r="C1621" s="4" t="s">
        <v>287</v>
      </c>
      <c r="D1621" s="94">
        <v>3439.0</v>
      </c>
    </row>
    <row r="1622">
      <c r="A1622" s="40">
        <f t="array" ref="A1622">IFNA(index(PlayerValues!A:A,match(IFNA(vlookup(B1622,'Special Names'!A:B,2,FALSE),B1622),PlayerValues!E:E,0)),"N/A")</f>
        <v>16184</v>
      </c>
      <c r="B1622" s="4" t="s">
        <v>445</v>
      </c>
      <c r="C1622" s="4" t="s">
        <v>287</v>
      </c>
      <c r="D1622" s="94">
        <v>3439.0</v>
      </c>
    </row>
    <row r="1623">
      <c r="A1623" s="40">
        <f t="array" ref="A1623">IFNA(index(PlayerValues!A:A,match(IFNA(vlookup(B1623,'Special Names'!A:B,2,FALSE),B1623),PlayerValues!E:E,0)),"N/A")</f>
        <v>17068</v>
      </c>
      <c r="B1623" s="4" t="s">
        <v>450</v>
      </c>
      <c r="C1623" s="4" t="s">
        <v>278</v>
      </c>
      <c r="D1623" s="94">
        <v>3385.0</v>
      </c>
    </row>
    <row r="1624">
      <c r="A1624" s="40">
        <f t="array" ref="A1624">IFNA(index(PlayerValues!A:A,match(IFNA(vlookup(B1624,'Special Names'!A:B,2,FALSE),B1624),PlayerValues!E:E,0)),"N/A")</f>
        <v>15798</v>
      </c>
      <c r="B1624" s="4" t="s">
        <v>443</v>
      </c>
      <c r="C1624" s="4" t="s">
        <v>298</v>
      </c>
      <c r="D1624" s="94">
        <v>3830.0</v>
      </c>
    </row>
    <row r="1625">
      <c r="A1625" s="40">
        <f t="array" ref="A1625">IFNA(index(PlayerValues!A:A,match(IFNA(vlookup(B1625,'Special Names'!A:B,2,FALSE),B1625),PlayerValues!E:E,0)),"N/A")</f>
        <v>14071</v>
      </c>
      <c r="B1625" s="4" t="s">
        <v>440</v>
      </c>
      <c r="C1625" s="4" t="s">
        <v>278</v>
      </c>
      <c r="D1625" s="94">
        <v>3378.0</v>
      </c>
    </row>
    <row r="1626">
      <c r="A1626" s="40">
        <f t="array" ref="A1626">IFNA(index(PlayerValues!A:A,match(IFNA(vlookup(B1626,'Special Names'!A:B,2,FALSE),B1626),PlayerValues!E:E,0)),"N/A")</f>
        <v>16622</v>
      </c>
      <c r="B1626" s="4" t="s">
        <v>517</v>
      </c>
      <c r="C1626" s="4" t="s">
        <v>287</v>
      </c>
      <c r="D1626" s="94">
        <v>3364.0</v>
      </c>
    </row>
    <row r="1627">
      <c r="A1627" s="40">
        <f t="array" ref="A1627">IFNA(index(PlayerValues!A:A,match(IFNA(vlookup(B1627,'Special Names'!A:B,2,FALSE),B1627),PlayerValues!E:E,0)),"N/A")</f>
        <v>16169</v>
      </c>
      <c r="B1627" s="4" t="s">
        <v>457</v>
      </c>
      <c r="C1627" s="4" t="s">
        <v>278</v>
      </c>
      <c r="D1627" s="94">
        <v>3362.0</v>
      </c>
    </row>
    <row r="1628">
      <c r="A1628" s="40">
        <f t="array" ref="A1628">IFNA(index(PlayerValues!A:A,match(IFNA(vlookup(B1628,'Special Names'!A:B,2,FALSE),B1628),PlayerValues!E:E,0)),"N/A")</f>
        <v>14842</v>
      </c>
      <c r="B1628" s="4" t="s">
        <v>456</v>
      </c>
      <c r="C1628" s="4" t="s">
        <v>287</v>
      </c>
      <c r="D1628" s="94">
        <v>3361.0</v>
      </c>
    </row>
    <row r="1629">
      <c r="A1629" s="40">
        <f t="array" ref="A1629">IFNA(index(PlayerValues!A:A,match(IFNA(vlookup(B1629,'Special Names'!A:B,2,FALSE),B1629),PlayerValues!E:E,0)),"N/A")</f>
        <v>16593</v>
      </c>
      <c r="B1629" s="4" t="s">
        <v>442</v>
      </c>
      <c r="C1629" s="4" t="s">
        <v>278</v>
      </c>
      <c r="D1629" s="94">
        <v>3355.0</v>
      </c>
    </row>
    <row r="1630">
      <c r="A1630" s="40">
        <f t="array" ref="A1630">IFNA(index(PlayerValues!A:A,match(IFNA(vlookup(B1630,'Special Names'!A:B,2,FALSE),B1630),PlayerValues!E:E,0)),"N/A")</f>
        <v>16620</v>
      </c>
      <c r="B1630" s="4" t="s">
        <v>467</v>
      </c>
      <c r="C1630" s="4" t="s">
        <v>287</v>
      </c>
      <c r="D1630" s="94">
        <v>3333.0</v>
      </c>
    </row>
    <row r="1631">
      <c r="A1631" s="40">
        <f t="array" ref="A1631">IFNA(index(PlayerValues!A:A,match(IFNA(vlookup(B1631,'Special Names'!A:B,2,FALSE),B1631),PlayerValues!E:E,0)),"N/A")</f>
        <v>11675</v>
      </c>
      <c r="B1631" s="4" t="s">
        <v>438</v>
      </c>
      <c r="C1631" s="4" t="s">
        <v>287</v>
      </c>
      <c r="D1631" s="94">
        <v>3329.0</v>
      </c>
    </row>
    <row r="1632">
      <c r="A1632" s="40">
        <f t="array" ref="A1632">IFNA(index(PlayerValues!A:A,match(IFNA(vlookup(B1632,'Special Names'!A:B,2,FALSE),B1632),PlayerValues!E:E,0)),"N/A")</f>
        <v>17074</v>
      </c>
      <c r="B1632" s="4" t="s">
        <v>475</v>
      </c>
      <c r="C1632" s="4" t="s">
        <v>287</v>
      </c>
      <c r="D1632" s="94">
        <v>3329.0</v>
      </c>
    </row>
    <row r="1633">
      <c r="A1633" s="40">
        <f t="array" ref="A1633">IFNA(index(PlayerValues!A:A,match(IFNA(vlookup(B1633,'Special Names'!A:B,2,FALSE),B1633),PlayerValues!E:E,0)),"N/A")</f>
        <v>15261</v>
      </c>
      <c r="B1633" s="4" t="s">
        <v>466</v>
      </c>
      <c r="C1633" s="4" t="s">
        <v>278</v>
      </c>
      <c r="D1633" s="94">
        <v>3325.0</v>
      </c>
    </row>
    <row r="1634">
      <c r="A1634" s="40">
        <f t="array" ref="A1634">IFNA(index(PlayerValues!A:A,match(IFNA(vlookup(B1634,'Special Names'!A:B,2,FALSE),B1634),PlayerValues!E:E,0)),"N/A")</f>
        <v>16597</v>
      </c>
      <c r="B1634" s="4" t="s">
        <v>427</v>
      </c>
      <c r="C1634" s="4" t="s">
        <v>278</v>
      </c>
      <c r="D1634" s="94">
        <v>3313.0</v>
      </c>
    </row>
    <row r="1635">
      <c r="A1635" s="40">
        <f t="array" ref="A1635">IFNA(index(PlayerValues!A:A,match(IFNA(vlookup(B1635,'Special Names'!A:B,2,FALSE),B1635),PlayerValues!E:E,0)),"N/A")</f>
        <v>11671</v>
      </c>
      <c r="B1635" s="4" t="s">
        <v>463</v>
      </c>
      <c r="C1635" s="4" t="s">
        <v>287</v>
      </c>
      <c r="D1635" s="94">
        <v>3312.0</v>
      </c>
    </row>
    <row r="1636">
      <c r="A1636" s="40" t="str">
        <f t="array" ref="A1636">IFNA(index(PlayerValues!A:A,match(IFNA(vlookup(B1636,'Special Names'!A:B,2,FALSE),B1636),PlayerValues!E:E,0)),"N/A")</f>
        <v>N/A</v>
      </c>
      <c r="B1636" s="4" t="s">
        <v>82</v>
      </c>
      <c r="C1636" s="4" t="s">
        <v>325</v>
      </c>
      <c r="D1636" s="94">
        <v>3312.0</v>
      </c>
    </row>
    <row r="1637">
      <c r="A1637" s="40">
        <f t="array" ref="A1637">IFNA(index(PlayerValues!A:A,match(IFNA(vlookup(B1637,'Special Names'!A:B,2,FALSE),B1637),PlayerValues!E:E,0)),"N/A")</f>
        <v>13299</v>
      </c>
      <c r="B1637" s="4" t="s">
        <v>448</v>
      </c>
      <c r="C1637" s="4" t="s">
        <v>298</v>
      </c>
      <c r="D1637" s="94">
        <v>3728.0</v>
      </c>
    </row>
    <row r="1638">
      <c r="A1638" s="40" t="str">
        <f t="array" ref="A1638">IFNA(index(PlayerValues!A:A,match(IFNA(vlookup(B1638,'Special Names'!A:B,2,FALSE),B1638),PlayerValues!E:E,0)),"N/A")</f>
        <v>N/A</v>
      </c>
      <c r="B1638" s="4" t="s">
        <v>108</v>
      </c>
      <c r="C1638" s="4" t="s">
        <v>325</v>
      </c>
      <c r="D1638" s="94">
        <v>3216.0</v>
      </c>
    </row>
    <row r="1639">
      <c r="A1639" s="40">
        <f t="array" ref="A1639">IFNA(index(PlayerValues!A:A,match(IFNA(vlookup(B1639,'Special Names'!A:B,2,FALSE),B1639),PlayerValues!E:E,0)),"N/A")</f>
        <v>15799</v>
      </c>
      <c r="B1639" s="4" t="s">
        <v>468</v>
      </c>
      <c r="C1639" s="4" t="s">
        <v>298</v>
      </c>
      <c r="D1639" s="94">
        <v>3644.0</v>
      </c>
    </row>
    <row r="1640">
      <c r="A1640" s="40">
        <f t="array" ref="A1640">IFNA(index(PlayerValues!A:A,match(IFNA(vlookup(B1640,'Special Names'!A:B,2,FALSE),B1640),PlayerValues!E:E,0)),"N/A")</f>
        <v>15742</v>
      </c>
      <c r="B1640" s="4" t="s">
        <v>447</v>
      </c>
      <c r="C1640" s="4" t="s">
        <v>278</v>
      </c>
      <c r="D1640" s="94">
        <v>3198.0</v>
      </c>
    </row>
    <row r="1641">
      <c r="A1641" s="40">
        <f t="array" ref="A1641">IFNA(index(PlayerValues!A:A,match(IFNA(vlookup(B1641,'Special Names'!A:B,2,FALSE),B1641),PlayerValues!E:E,0)),"N/A")</f>
        <v>17477</v>
      </c>
      <c r="B1641" s="4" t="s">
        <v>452</v>
      </c>
      <c r="C1641" s="4" t="s">
        <v>278</v>
      </c>
      <c r="D1641" s="94">
        <v>3180.0</v>
      </c>
    </row>
    <row r="1642">
      <c r="A1642" s="40" t="str">
        <f t="array" ref="A1642">IFNA(index(PlayerValues!A:A,match(IFNA(vlookup(B1642,'Special Names'!A:B,2,FALSE),B1642),PlayerValues!E:E,0)),"N/A")</f>
        <v>N/A</v>
      </c>
      <c r="B1642" s="4" t="s">
        <v>97</v>
      </c>
      <c r="C1642" s="4" t="s">
        <v>325</v>
      </c>
      <c r="D1642" s="94">
        <v>3173.0</v>
      </c>
    </row>
    <row r="1643">
      <c r="A1643" s="40">
        <f t="array" ref="A1643">IFNA(index(PlayerValues!A:A,match(IFNA(vlookup(B1643,'Special Names'!A:B,2,FALSE),B1643),PlayerValues!E:E,0)),"N/A")</f>
        <v>16809</v>
      </c>
      <c r="B1643" s="4" t="s">
        <v>455</v>
      </c>
      <c r="C1643" s="4" t="s">
        <v>287</v>
      </c>
      <c r="D1643" s="94">
        <v>3158.0</v>
      </c>
    </row>
    <row r="1644">
      <c r="A1644" s="40">
        <f t="array" ref="A1644">IFNA(index(PlayerValues!A:A,match(IFNA(vlookup(B1644,'Special Names'!A:B,2,FALSE),B1644),PlayerValues!E:E,0)),"N/A")</f>
        <v>14823</v>
      </c>
      <c r="B1644" s="4" t="s">
        <v>459</v>
      </c>
      <c r="C1644" s="4" t="s">
        <v>278</v>
      </c>
      <c r="D1644" s="94">
        <v>3151.0</v>
      </c>
    </row>
    <row r="1645">
      <c r="A1645" s="40">
        <f t="array" ref="A1645">IFNA(index(PlayerValues!A:A,match(IFNA(vlookup(B1645,'Special Names'!A:B,2,FALSE),B1645),PlayerValues!E:E,0)),"N/A")</f>
        <v>16213</v>
      </c>
      <c r="B1645" s="4" t="s">
        <v>458</v>
      </c>
      <c r="C1645" s="4" t="s">
        <v>298</v>
      </c>
      <c r="D1645" s="94">
        <v>3570.0</v>
      </c>
    </row>
    <row r="1646">
      <c r="A1646" s="40">
        <f t="array" ref="A1646">IFNA(index(PlayerValues!A:A,match(IFNA(vlookup(B1646,'Special Names'!A:B,2,FALSE),B1646),PlayerValues!E:E,0)),"N/A")</f>
        <v>13630</v>
      </c>
      <c r="B1646" s="4" t="s">
        <v>465</v>
      </c>
      <c r="C1646" s="4" t="s">
        <v>287</v>
      </c>
      <c r="D1646" s="94">
        <v>3108.0</v>
      </c>
    </row>
    <row r="1647">
      <c r="A1647" s="40">
        <f t="array" ref="A1647">IFNA(index(PlayerValues!A:A,match(IFNA(vlookup(B1647,'Special Names'!A:B,2,FALSE),B1647),PlayerValues!E:E,0)),"N/A")</f>
        <v>15779</v>
      </c>
      <c r="B1647" s="4" t="s">
        <v>461</v>
      </c>
      <c r="C1647" s="4" t="s">
        <v>287</v>
      </c>
      <c r="D1647" s="94">
        <v>3088.0</v>
      </c>
    </row>
    <row r="1648">
      <c r="A1648" s="40">
        <f t="array" ref="A1648">IFNA(index(PlayerValues!A:A,match(IFNA(vlookup(B1648,'Special Names'!A:B,2,FALSE),B1648),PlayerValues!E:E,0)),"N/A")</f>
        <v>16583</v>
      </c>
      <c r="B1648" s="4" t="s">
        <v>493</v>
      </c>
      <c r="C1648" s="4" t="s">
        <v>283</v>
      </c>
      <c r="D1648" s="94">
        <v>3075.0</v>
      </c>
    </row>
    <row r="1649">
      <c r="A1649" s="40">
        <f t="array" ref="A1649">IFNA(index(PlayerValues!A:A,match(IFNA(vlookup(B1649,'Special Names'!A:B,2,FALSE),B1649),PlayerValues!E:E,0)),"N/A")</f>
        <v>16628</v>
      </c>
      <c r="B1649" s="4" t="s">
        <v>490</v>
      </c>
      <c r="C1649" s="4" t="s">
        <v>287</v>
      </c>
      <c r="D1649" s="94">
        <v>3074.0</v>
      </c>
    </row>
    <row r="1650">
      <c r="A1650" s="40">
        <f t="array" ref="A1650">IFNA(index(PlayerValues!A:A,match(IFNA(vlookup(B1650,'Special Names'!A:B,2,FALSE),B1650),PlayerValues!E:E,0)),"N/A")</f>
        <v>17506</v>
      </c>
      <c r="B1650" s="4" t="s">
        <v>471</v>
      </c>
      <c r="C1650" s="4" t="s">
        <v>287</v>
      </c>
      <c r="D1650" s="94">
        <v>3059.0</v>
      </c>
    </row>
    <row r="1651">
      <c r="A1651" s="40">
        <f t="array" ref="A1651">IFNA(index(PlayerValues!A:A,match(IFNA(vlookup(B1651,'Special Names'!A:B,2,FALSE),B1651),PlayerValues!E:E,0)),"N/A")</f>
        <v>14127</v>
      </c>
      <c r="B1651" s="4" t="s">
        <v>486</v>
      </c>
      <c r="C1651" s="4" t="s">
        <v>287</v>
      </c>
      <c r="D1651" s="94">
        <v>3056.0</v>
      </c>
    </row>
    <row r="1652">
      <c r="A1652" s="40">
        <f t="array" ref="A1652">IFNA(index(PlayerValues!A:A,match(IFNA(vlookup(B1652,'Special Names'!A:B,2,FALSE),B1652),PlayerValues!E:E,0)),"N/A")</f>
        <v>17512</v>
      </c>
      <c r="B1652" s="4" t="s">
        <v>483</v>
      </c>
      <c r="C1652" s="4" t="s">
        <v>287</v>
      </c>
      <c r="D1652" s="94">
        <v>3038.0</v>
      </c>
    </row>
    <row r="1653">
      <c r="A1653" s="40" t="str">
        <f t="array" ref="A1653">IFNA(index(PlayerValues!A:A,match(IFNA(vlookup(B1653,'Special Names'!A:B,2,FALSE),B1653),PlayerValues!E:E,0)),"N/A")</f>
        <v>N/A</v>
      </c>
      <c r="B1653" s="4" t="s">
        <v>84</v>
      </c>
      <c r="C1653" s="4" t="s">
        <v>325</v>
      </c>
      <c r="D1653" s="94">
        <v>2989.0</v>
      </c>
    </row>
    <row r="1654">
      <c r="A1654" s="40" t="str">
        <f t="array" ref="A1654">IFNA(index(PlayerValues!A:A,match(IFNA(vlookup(B1654,'Special Names'!A:B,2,FALSE),B1654),PlayerValues!E:E,0)),"N/A")</f>
        <v>N/A</v>
      </c>
      <c r="B1654" s="4" t="s">
        <v>109</v>
      </c>
      <c r="C1654" s="4" t="s">
        <v>325</v>
      </c>
      <c r="D1654" s="94">
        <v>2986.0</v>
      </c>
    </row>
    <row r="1655">
      <c r="A1655" s="40">
        <f t="array" ref="A1655">IFNA(index(PlayerValues!A:A,match(IFNA(vlookup(B1655,'Special Names'!A:B,2,FALSE),B1655),PlayerValues!E:E,0)),"N/A")</f>
        <v>16269</v>
      </c>
      <c r="B1655" s="4" t="s">
        <v>481</v>
      </c>
      <c r="C1655" s="4" t="s">
        <v>298</v>
      </c>
      <c r="D1655" s="94">
        <v>3406.0</v>
      </c>
    </row>
    <row r="1656">
      <c r="A1656" s="40">
        <f t="array" ref="A1656">IFNA(index(PlayerValues!A:A,match(IFNA(vlookup(B1656,'Special Names'!A:B,2,FALSE),B1656),PlayerValues!E:E,0)),"N/A")</f>
        <v>14800</v>
      </c>
      <c r="B1656" s="4" t="s">
        <v>472</v>
      </c>
      <c r="C1656" s="4" t="s">
        <v>278</v>
      </c>
      <c r="D1656" s="94">
        <v>2965.0</v>
      </c>
    </row>
    <row r="1657">
      <c r="A1657" s="40">
        <f t="array" ref="A1657">IFNA(index(PlayerValues!A:A,match(IFNA(vlookup(B1657,'Special Names'!A:B,2,FALSE),B1657),PlayerValues!E:E,0)),"N/A")</f>
        <v>17503</v>
      </c>
      <c r="B1657" s="4" t="s">
        <v>480</v>
      </c>
      <c r="C1657" s="4" t="s">
        <v>287</v>
      </c>
      <c r="D1657" s="94">
        <v>2964.0</v>
      </c>
    </row>
    <row r="1658">
      <c r="A1658" s="40">
        <f t="array" ref="A1658">IFNA(index(PlayerValues!A:A,match(IFNA(vlookup(B1658,'Special Names'!A:B,2,FALSE),B1658),PlayerValues!E:E,0)),"N/A")</f>
        <v>17256</v>
      </c>
      <c r="B1658" s="4" t="s">
        <v>462</v>
      </c>
      <c r="C1658" s="4" t="s">
        <v>278</v>
      </c>
      <c r="D1658" s="94">
        <v>2952.0</v>
      </c>
    </row>
    <row r="1659">
      <c r="A1659" s="40">
        <f t="array" ref="A1659">IFNA(index(PlayerValues!A:A,match(IFNA(vlookup(B1659,'Special Names'!A:B,2,FALSE),B1659),PlayerValues!E:E,0)),"N/A")</f>
        <v>15259</v>
      </c>
      <c r="B1659" s="4" t="s">
        <v>453</v>
      </c>
      <c r="C1659" s="4" t="s">
        <v>278</v>
      </c>
      <c r="D1659" s="94">
        <v>2943.0</v>
      </c>
    </row>
    <row r="1660">
      <c r="A1660" s="40">
        <f t="array" ref="A1660">IFNA(index(PlayerValues!A:A,match(IFNA(vlookup(B1660,'Special Names'!A:B,2,FALSE),B1660),PlayerValues!E:E,0)),"N/A")</f>
        <v>15761</v>
      </c>
      <c r="B1660" s="4" t="s">
        <v>491</v>
      </c>
      <c r="C1660" s="4" t="s">
        <v>287</v>
      </c>
      <c r="D1660" s="94">
        <v>2921.0</v>
      </c>
    </row>
    <row r="1661">
      <c r="A1661" s="40">
        <f t="array" ref="A1661">IFNA(index(PlayerValues!A:A,match(IFNA(vlookup(B1661,'Special Names'!A:B,2,FALSE),B1661),PlayerValues!E:E,0)),"N/A")</f>
        <v>13163</v>
      </c>
      <c r="B1661" s="4" t="s">
        <v>473</v>
      </c>
      <c r="C1661" s="4" t="s">
        <v>287</v>
      </c>
      <c r="D1661" s="94">
        <v>2913.0</v>
      </c>
    </row>
    <row r="1662">
      <c r="A1662" s="40">
        <f t="array" ref="A1662">IFNA(index(PlayerValues!A:A,match(IFNA(vlookup(B1662,'Special Names'!A:B,2,FALSE),B1662),PlayerValues!E:E,0)),"N/A")</f>
        <v>15255</v>
      </c>
      <c r="B1662" s="4" t="s">
        <v>477</v>
      </c>
      <c r="C1662" s="4" t="s">
        <v>278</v>
      </c>
      <c r="D1662" s="94">
        <v>2912.0</v>
      </c>
    </row>
    <row r="1663">
      <c r="A1663" s="40">
        <f t="array" ref="A1663">IFNA(index(PlayerValues!A:A,match(IFNA(vlookup(B1663,'Special Names'!A:B,2,FALSE),B1663),PlayerValues!E:E,0)),"N/A")</f>
        <v>17476</v>
      </c>
      <c r="B1663" s="4" t="s">
        <v>494</v>
      </c>
      <c r="C1663" s="4" t="s">
        <v>278</v>
      </c>
      <c r="D1663" s="94">
        <v>2903.0</v>
      </c>
    </row>
    <row r="1664">
      <c r="A1664" s="40">
        <f t="array" ref="A1664">IFNA(index(PlayerValues!A:A,match(IFNA(vlookup(B1664,'Special Names'!A:B,2,FALSE),B1664),PlayerValues!E:E,0)),"N/A")</f>
        <v>14085</v>
      </c>
      <c r="B1664" s="4" t="s">
        <v>489</v>
      </c>
      <c r="C1664" s="4" t="s">
        <v>278</v>
      </c>
      <c r="D1664" s="94">
        <v>2828.0</v>
      </c>
    </row>
    <row r="1665">
      <c r="A1665" s="40">
        <f t="array" ref="A1665">IFNA(index(PlayerValues!A:A,match(IFNA(vlookup(B1665,'Special Names'!A:B,2,FALSE),B1665),PlayerValues!E:E,0)),"N/A")</f>
        <v>15889</v>
      </c>
      <c r="B1665" s="4" t="s">
        <v>503</v>
      </c>
      <c r="C1665" s="4" t="s">
        <v>298</v>
      </c>
      <c r="D1665" s="94">
        <v>3225.0</v>
      </c>
    </row>
    <row r="1666">
      <c r="A1666" s="40" t="str">
        <f t="array" ref="A1666">IFNA(index(PlayerValues!A:A,match(IFNA(vlookup(B1666,'Special Names'!A:B,2,FALSE),B1666),PlayerValues!E:E,0)),"N/A")</f>
        <v>N/A</v>
      </c>
      <c r="B1666" s="4" t="s">
        <v>85</v>
      </c>
      <c r="C1666" s="4" t="s">
        <v>325</v>
      </c>
      <c r="D1666" s="94">
        <v>2809.0</v>
      </c>
    </row>
    <row r="1667">
      <c r="A1667" s="40" t="str">
        <f t="array" ref="A1667">IFNA(index(PlayerValues!A:A,match(IFNA(vlookup(B1667,'Special Names'!A:B,2,FALSE),B1667),PlayerValues!E:E,0)),"N/A")</f>
        <v>N/A</v>
      </c>
      <c r="B1667" s="4" t="s">
        <v>110</v>
      </c>
      <c r="C1667" s="4" t="s">
        <v>325</v>
      </c>
      <c r="D1667" s="94">
        <v>2799.0</v>
      </c>
    </row>
    <row r="1668">
      <c r="A1668" s="40">
        <f t="array" ref="A1668">IFNA(index(PlayerValues!A:A,match(IFNA(vlookup(B1668,'Special Names'!A:B,2,FALSE),B1668),PlayerValues!E:E,0)),"N/A")</f>
        <v>17505</v>
      </c>
      <c r="B1668" s="4" t="s">
        <v>528</v>
      </c>
      <c r="C1668" s="4" t="s">
        <v>287</v>
      </c>
      <c r="D1668" s="94">
        <v>2786.0</v>
      </c>
    </row>
    <row r="1669">
      <c r="A1669" s="40">
        <f t="array" ref="A1669">IFNA(index(PlayerValues!A:A,match(IFNA(vlookup(B1669,'Special Names'!A:B,2,FALSE),B1669),PlayerValues!E:E,0)),"N/A")</f>
        <v>14778</v>
      </c>
      <c r="B1669" s="4" t="s">
        <v>564</v>
      </c>
      <c r="C1669" s="4" t="s">
        <v>283</v>
      </c>
      <c r="D1669" s="94">
        <v>2780.0</v>
      </c>
    </row>
    <row r="1670">
      <c r="A1670" s="40">
        <f t="array" ref="A1670">IFNA(index(PlayerValues!A:A,match(IFNA(vlookup(B1670,'Special Names'!A:B,2,FALSE),B1670),PlayerValues!E:E,0)),"N/A")</f>
        <v>13671</v>
      </c>
      <c r="B1670" s="4" t="s">
        <v>506</v>
      </c>
      <c r="C1670" s="4" t="s">
        <v>298</v>
      </c>
      <c r="D1670" s="94">
        <v>3189.0</v>
      </c>
    </row>
    <row r="1671">
      <c r="A1671" s="40">
        <f t="array" ref="A1671">IFNA(index(PlayerValues!A:A,match(IFNA(vlookup(B1671,'Special Names'!A:B,2,FALSE),B1671),PlayerValues!E:E,0)),"N/A")</f>
        <v>16080</v>
      </c>
      <c r="B1671" s="4" t="s">
        <v>499</v>
      </c>
      <c r="C1671" s="4" t="s">
        <v>287</v>
      </c>
      <c r="D1671" s="94">
        <v>2764.0</v>
      </c>
    </row>
    <row r="1672">
      <c r="A1672" s="40">
        <f t="array" ref="A1672">IFNA(index(PlayerValues!A:A,match(IFNA(vlookup(B1672,'Special Names'!A:B,2,FALSE),B1672),PlayerValues!E:E,0)),"N/A")</f>
        <v>17157</v>
      </c>
      <c r="B1672" s="4" t="s">
        <v>524</v>
      </c>
      <c r="C1672" s="4" t="s">
        <v>287</v>
      </c>
      <c r="D1672" s="94">
        <v>2763.0</v>
      </c>
    </row>
    <row r="1673">
      <c r="A1673" s="40">
        <f t="array" ref="A1673">IFNA(index(PlayerValues!A:A,match(IFNA(vlookup(B1673,'Special Names'!A:B,2,FALSE),B1673),PlayerValues!E:E,0)),"N/A")</f>
        <v>15721</v>
      </c>
      <c r="B1673" s="4" t="s">
        <v>504</v>
      </c>
      <c r="C1673" s="4" t="s">
        <v>278</v>
      </c>
      <c r="D1673" s="94">
        <v>2753.0</v>
      </c>
    </row>
    <row r="1674">
      <c r="A1674" s="40">
        <f t="array" ref="A1674">IFNA(index(PlayerValues!A:A,match(IFNA(vlookup(B1674,'Special Names'!A:B,2,FALSE),B1674),PlayerValues!E:E,0)),"N/A")</f>
        <v>16723</v>
      </c>
      <c r="B1674" s="4" t="s">
        <v>502</v>
      </c>
      <c r="C1674" s="4" t="s">
        <v>298</v>
      </c>
      <c r="D1674" s="94">
        <v>3165.0</v>
      </c>
    </row>
    <row r="1675">
      <c r="A1675" s="40">
        <f t="array" ref="A1675">IFNA(index(PlayerValues!A:A,match(IFNA(vlookup(B1675,'Special Names'!A:B,2,FALSE),B1675),PlayerValues!E:E,0)),"N/A")</f>
        <v>17047</v>
      </c>
      <c r="B1675" s="4" t="s">
        <v>510</v>
      </c>
      <c r="C1675" s="4" t="s">
        <v>278</v>
      </c>
      <c r="D1675" s="94">
        <v>2750.0</v>
      </c>
    </row>
    <row r="1676">
      <c r="A1676" s="40">
        <f t="array" ref="A1676">IFNA(index(PlayerValues!A:A,match(IFNA(vlookup(B1676,'Special Names'!A:B,2,FALSE),B1676),PlayerValues!E:E,0)),"N/A")</f>
        <v>15712</v>
      </c>
      <c r="B1676" s="4" t="s">
        <v>488</v>
      </c>
      <c r="C1676" s="4" t="s">
        <v>278</v>
      </c>
      <c r="D1676" s="94">
        <v>2744.0</v>
      </c>
    </row>
    <row r="1677">
      <c r="A1677" s="40">
        <f t="array" ref="A1677">IFNA(index(PlayerValues!A:A,match(IFNA(vlookup(B1677,'Special Names'!A:B,2,FALSE),B1677),PlayerValues!E:E,0)),"N/A")</f>
        <v>17072</v>
      </c>
      <c r="B1677" s="4" t="s">
        <v>508</v>
      </c>
      <c r="C1677" s="4" t="s">
        <v>287</v>
      </c>
      <c r="D1677" s="94">
        <v>2739.0</v>
      </c>
    </row>
    <row r="1678">
      <c r="A1678" s="40">
        <f t="array" ref="A1678">IFNA(index(PlayerValues!A:A,match(IFNA(vlookup(B1678,'Special Names'!A:B,2,FALSE),B1678),PlayerValues!E:E,0)),"N/A")</f>
        <v>16584</v>
      </c>
      <c r="B1678" s="4" t="s">
        <v>569</v>
      </c>
      <c r="C1678" s="4" t="s">
        <v>283</v>
      </c>
      <c r="D1678" s="94">
        <v>2733.0</v>
      </c>
    </row>
    <row r="1679">
      <c r="A1679" s="40">
        <f t="array" ref="A1679">IFNA(index(PlayerValues!A:A,match(IFNA(vlookup(B1679,'Special Names'!A:B,2,FALSE),B1679),PlayerValues!E:E,0)),"N/A")</f>
        <v>17053</v>
      </c>
      <c r="B1679" s="4" t="s">
        <v>484</v>
      </c>
      <c r="C1679" s="4" t="s">
        <v>278</v>
      </c>
      <c r="D1679" s="94">
        <v>2726.0</v>
      </c>
    </row>
    <row r="1680">
      <c r="A1680" s="40">
        <f t="array" ref="A1680">IFNA(index(PlayerValues!A:A,match(IFNA(vlookup(B1680,'Special Names'!A:B,2,FALSE),B1680),PlayerValues!E:E,0)),"N/A")</f>
        <v>17514</v>
      </c>
      <c r="B1680" s="4" t="s">
        <v>422</v>
      </c>
      <c r="C1680" s="4" t="s">
        <v>287</v>
      </c>
      <c r="D1680" s="94">
        <v>2725.0</v>
      </c>
    </row>
    <row r="1681">
      <c r="A1681" s="40">
        <f t="array" ref="A1681">IFNA(index(PlayerValues!A:A,match(IFNA(vlookup(B1681,'Special Names'!A:B,2,FALSE),B1681),PlayerValues!E:E,0)),"N/A")</f>
        <v>14138</v>
      </c>
      <c r="B1681" s="4" t="s">
        <v>531</v>
      </c>
      <c r="C1681" s="4" t="s">
        <v>298</v>
      </c>
      <c r="D1681" s="94">
        <v>3137.0</v>
      </c>
    </row>
    <row r="1682">
      <c r="A1682" s="40">
        <f t="array" ref="A1682">IFNA(index(PlayerValues!A:A,match(IFNA(vlookup(B1682,'Special Names'!A:B,2,FALSE),B1682),PlayerValues!E:E,0)),"N/A")</f>
        <v>17080</v>
      </c>
      <c r="B1682" s="4" t="s">
        <v>532</v>
      </c>
      <c r="C1682" s="4" t="s">
        <v>287</v>
      </c>
      <c r="D1682" s="94">
        <v>2720.0</v>
      </c>
    </row>
    <row r="1683">
      <c r="A1683" s="40">
        <f t="array" ref="A1683">IFNA(index(PlayerValues!A:A,match(IFNA(vlookup(B1683,'Special Names'!A:B,2,FALSE),B1683),PlayerValues!E:E,0)),"N/A")</f>
        <v>17511</v>
      </c>
      <c r="B1683" s="4" t="s">
        <v>485</v>
      </c>
      <c r="C1683" s="4" t="s">
        <v>287</v>
      </c>
      <c r="D1683" s="94">
        <v>2718.0</v>
      </c>
    </row>
    <row r="1684">
      <c r="A1684" s="40">
        <f t="array" ref="A1684">IFNA(index(PlayerValues!A:A,match(IFNA(vlookup(B1684,'Special Names'!A:B,2,FALSE),B1684),PlayerValues!E:E,0)),"N/A")</f>
        <v>17031</v>
      </c>
      <c r="B1684" s="4" t="s">
        <v>535</v>
      </c>
      <c r="C1684" s="4" t="s">
        <v>283</v>
      </c>
      <c r="D1684" s="94">
        <v>2714.0</v>
      </c>
    </row>
    <row r="1685">
      <c r="A1685" s="40">
        <f t="array" ref="A1685">IFNA(index(PlayerValues!A:A,match(IFNA(vlookup(B1685,'Special Names'!A:B,2,FALSE),B1685),PlayerValues!E:E,0)),"N/A")</f>
        <v>17507</v>
      </c>
      <c r="B1685" s="4" t="s">
        <v>495</v>
      </c>
      <c r="C1685" s="4" t="s">
        <v>287</v>
      </c>
      <c r="D1685" s="94">
        <v>2703.0</v>
      </c>
    </row>
    <row r="1686">
      <c r="A1686" s="40">
        <f t="array" ref="A1686">IFNA(index(PlayerValues!A:A,match(IFNA(vlookup(B1686,'Special Names'!A:B,2,FALSE),B1686),PlayerValues!E:E,0)),"N/A")</f>
        <v>15241</v>
      </c>
      <c r="B1686" s="4" t="s">
        <v>546</v>
      </c>
      <c r="C1686" s="4" t="s">
        <v>283</v>
      </c>
      <c r="D1686" s="94">
        <v>2672.0</v>
      </c>
    </row>
    <row r="1687">
      <c r="A1687" s="40">
        <f t="array" ref="A1687">IFNA(index(PlayerValues!A:A,match(IFNA(vlookup(B1687,'Special Names'!A:B,2,FALSE),B1687),PlayerValues!E:E,0)),"N/A")</f>
        <v>16596</v>
      </c>
      <c r="B1687" s="4" t="s">
        <v>501</v>
      </c>
      <c r="C1687" s="4" t="s">
        <v>278</v>
      </c>
      <c r="D1687" s="94">
        <v>2670.0</v>
      </c>
    </row>
    <row r="1688">
      <c r="A1688" s="40">
        <f t="array" ref="A1688">IFNA(index(PlayerValues!A:A,match(IFNA(vlookup(B1688,'Special Names'!A:B,2,FALSE),B1688),PlayerValues!E:E,0)),"N/A")</f>
        <v>17107</v>
      </c>
      <c r="B1688" s="4" t="s">
        <v>478</v>
      </c>
      <c r="C1688" s="4" t="s">
        <v>298</v>
      </c>
      <c r="D1688" s="94">
        <v>3081.0</v>
      </c>
    </row>
    <row r="1689">
      <c r="A1689" s="40">
        <f t="array" ref="A1689">IFNA(index(PlayerValues!A:A,match(IFNA(vlookup(B1689,'Special Names'!A:B,2,FALSE),B1689),PlayerValues!E:E,0)),"N/A")</f>
        <v>15972</v>
      </c>
      <c r="B1689" s="4" t="s">
        <v>469</v>
      </c>
      <c r="C1689" s="4" t="s">
        <v>278</v>
      </c>
      <c r="D1689" s="94">
        <v>2665.0</v>
      </c>
    </row>
    <row r="1690">
      <c r="A1690" s="40">
        <f t="array" ref="A1690">IFNA(index(PlayerValues!A:A,match(IFNA(vlookup(B1690,'Special Names'!A:B,2,FALSE),B1690),PlayerValues!E:E,0)),"N/A")</f>
        <v>12616</v>
      </c>
      <c r="B1690" s="4" t="s">
        <v>529</v>
      </c>
      <c r="C1690" s="4" t="s">
        <v>283</v>
      </c>
      <c r="D1690" s="94">
        <v>2652.0</v>
      </c>
    </row>
    <row r="1691">
      <c r="A1691" s="40">
        <f t="array" ref="A1691">IFNA(index(PlayerValues!A:A,match(IFNA(vlookup(B1691,'Special Names'!A:B,2,FALSE),B1691),PlayerValues!E:E,0)),"N/A")</f>
        <v>16747</v>
      </c>
      <c r="B1691" s="4" t="s">
        <v>555</v>
      </c>
      <c r="C1691" s="4" t="s">
        <v>278</v>
      </c>
      <c r="D1691" s="94">
        <v>2651.0</v>
      </c>
    </row>
    <row r="1692">
      <c r="A1692" s="40">
        <f t="array" ref="A1692">IFNA(index(PlayerValues!A:A,match(IFNA(vlookup(B1692,'Special Names'!A:B,2,FALSE),B1692),PlayerValues!E:E,0)),"N/A")</f>
        <v>17105</v>
      </c>
      <c r="B1692" s="4" t="s">
        <v>525</v>
      </c>
      <c r="C1692" s="4" t="s">
        <v>298</v>
      </c>
      <c r="D1692" s="94">
        <v>3059.0</v>
      </c>
    </row>
    <row r="1693">
      <c r="A1693" s="40" t="str">
        <f t="array" ref="A1693">IFNA(index(PlayerValues!A:A,match(IFNA(vlookup(B1693,'Special Names'!A:B,2,FALSE),B1693),PlayerValues!E:E,0)),"N/A")</f>
        <v>N/A</v>
      </c>
      <c r="B1693" s="4" t="s">
        <v>98</v>
      </c>
      <c r="C1693" s="4" t="s">
        <v>325</v>
      </c>
      <c r="D1693" s="94">
        <v>2640.0</v>
      </c>
    </row>
    <row r="1694">
      <c r="A1694" s="40">
        <f t="array" ref="A1694">IFNA(index(PlayerValues!A:A,match(IFNA(vlookup(B1694,'Special Names'!A:B,2,FALSE),B1694),PlayerValues!E:E,0)),"N/A")</f>
        <v>16174</v>
      </c>
      <c r="B1694" s="4" t="s">
        <v>505</v>
      </c>
      <c r="C1694" s="4" t="s">
        <v>278</v>
      </c>
      <c r="D1694" s="94">
        <v>2638.0</v>
      </c>
    </row>
    <row r="1695">
      <c r="A1695" s="40">
        <f t="array" ref="A1695">IFNA(index(PlayerValues!A:A,match(IFNA(vlookup(B1695,'Special Names'!A:B,2,FALSE),B1695),PlayerValues!E:E,0)),"N/A")</f>
        <v>17098</v>
      </c>
      <c r="B1695" s="4" t="s">
        <v>533</v>
      </c>
      <c r="C1695" s="4" t="s">
        <v>287</v>
      </c>
      <c r="D1695" s="94">
        <v>2637.0</v>
      </c>
    </row>
    <row r="1696">
      <c r="A1696" s="40">
        <f t="array" ref="A1696">IFNA(index(PlayerValues!A:A,match(IFNA(vlookup(B1696,'Special Names'!A:B,2,FALSE),B1696),PlayerValues!E:E,0)),"N/A")</f>
        <v>14833</v>
      </c>
      <c r="B1696" s="4" t="s">
        <v>553</v>
      </c>
      <c r="C1696" s="4" t="s">
        <v>287</v>
      </c>
      <c r="D1696" s="94">
        <v>2608.0</v>
      </c>
    </row>
    <row r="1697">
      <c r="A1697" s="40">
        <f t="array" ref="A1697">IFNA(index(PlayerValues!A:A,match(IFNA(vlookup(B1697,'Special Names'!A:B,2,FALSE),B1697),PlayerValues!E:E,0)),"N/A")</f>
        <v>14860</v>
      </c>
      <c r="B1697" s="4" t="s">
        <v>554</v>
      </c>
      <c r="C1697" s="4" t="s">
        <v>287</v>
      </c>
      <c r="D1697" s="94">
        <v>2606.0</v>
      </c>
    </row>
    <row r="1698">
      <c r="A1698" s="40">
        <f t="array" ref="A1698">IFNA(index(PlayerValues!A:A,match(IFNA(vlookup(B1698,'Special Names'!A:B,2,FALSE),B1698),PlayerValues!E:E,0)),"N/A")</f>
        <v>16165</v>
      </c>
      <c r="B1698" s="4" t="s">
        <v>520</v>
      </c>
      <c r="C1698" s="4" t="s">
        <v>278</v>
      </c>
      <c r="D1698" s="94">
        <v>2597.0</v>
      </c>
    </row>
    <row r="1699">
      <c r="A1699" s="40">
        <f t="array" ref="A1699">IFNA(index(PlayerValues!A:A,match(IFNA(vlookup(B1699,'Special Names'!A:B,2,FALSE),B1699),PlayerValues!E:E,0)),"N/A")</f>
        <v>16619</v>
      </c>
      <c r="B1699" s="4" t="s">
        <v>538</v>
      </c>
      <c r="C1699" s="4" t="s">
        <v>287</v>
      </c>
      <c r="D1699" s="94">
        <v>2594.0</v>
      </c>
    </row>
    <row r="1700">
      <c r="A1700" s="40">
        <f t="array" ref="A1700">IFNA(index(PlayerValues!A:A,match(IFNA(vlookup(B1700,'Special Names'!A:B,2,FALSE),B1700),PlayerValues!E:E,0)),"N/A")</f>
        <v>13674</v>
      </c>
      <c r="B1700" s="4" t="s">
        <v>511</v>
      </c>
      <c r="C1700" s="4" t="s">
        <v>298</v>
      </c>
      <c r="D1700" s="94">
        <v>2998.0</v>
      </c>
    </row>
    <row r="1701">
      <c r="A1701" s="40">
        <f t="array" ref="A1701">IFNA(index(PlayerValues!A:A,match(IFNA(vlookup(B1701,'Special Names'!A:B,2,FALSE),B1701),PlayerValues!E:E,0)),"N/A")</f>
        <v>17478</v>
      </c>
      <c r="B1701" s="4" t="s">
        <v>527</v>
      </c>
      <c r="C1701" s="4" t="s">
        <v>278</v>
      </c>
      <c r="D1701" s="94">
        <v>2585.0</v>
      </c>
    </row>
    <row r="1702">
      <c r="A1702" s="40">
        <f t="array" ref="A1702">IFNA(index(PlayerValues!A:A,match(IFNA(vlookup(B1702,'Special Names'!A:B,2,FALSE),B1702),PlayerValues!E:E,0)),"N/A")</f>
        <v>17474</v>
      </c>
      <c r="B1702" s="4" t="s">
        <v>513</v>
      </c>
      <c r="C1702" s="4" t="s">
        <v>278</v>
      </c>
      <c r="D1702" s="94">
        <v>2568.0</v>
      </c>
    </row>
    <row r="1703">
      <c r="A1703" s="40">
        <f t="array" ref="A1703">IFNA(index(PlayerValues!A:A,match(IFNA(vlookup(B1703,'Special Names'!A:B,2,FALSE),B1703),PlayerValues!E:E,0)),"N/A")</f>
        <v>16684</v>
      </c>
      <c r="B1703" s="4" t="s">
        <v>500</v>
      </c>
      <c r="C1703" s="4" t="s">
        <v>287</v>
      </c>
      <c r="D1703" s="94">
        <v>2543.0</v>
      </c>
    </row>
    <row r="1704">
      <c r="A1704" s="40">
        <f t="array" ref="A1704">IFNA(index(PlayerValues!A:A,match(IFNA(vlookup(B1704,'Special Names'!A:B,2,FALSE),B1704),PlayerValues!E:E,0)),"N/A")</f>
        <v>16626</v>
      </c>
      <c r="B1704" s="4" t="s">
        <v>515</v>
      </c>
      <c r="C1704" s="4" t="s">
        <v>287</v>
      </c>
      <c r="D1704" s="94">
        <v>2542.0</v>
      </c>
    </row>
    <row r="1705">
      <c r="A1705" s="40">
        <f t="array" ref="A1705">IFNA(index(PlayerValues!A:A,match(IFNA(vlookup(B1705,'Special Names'!A:B,2,FALSE),B1705),PlayerValues!E:E,0)),"N/A")</f>
        <v>16193</v>
      </c>
      <c r="B1705" s="4" t="s">
        <v>487</v>
      </c>
      <c r="C1705" s="4" t="s">
        <v>287</v>
      </c>
      <c r="D1705" s="94">
        <v>2539.0</v>
      </c>
    </row>
    <row r="1706">
      <c r="A1706" s="40">
        <f t="array" ref="A1706">IFNA(index(PlayerValues!A:A,match(IFNA(vlookup(B1706,'Special Names'!A:B,2,FALSE),B1706),PlayerValues!E:E,0)),"N/A")</f>
        <v>16204</v>
      </c>
      <c r="B1706" s="4" t="s">
        <v>530</v>
      </c>
      <c r="C1706" s="4" t="s">
        <v>287</v>
      </c>
      <c r="D1706" s="94">
        <v>2533.0</v>
      </c>
    </row>
    <row r="1707">
      <c r="A1707" s="40">
        <f t="array" ref="A1707">IFNA(index(PlayerValues!A:A,match(IFNA(vlookup(B1707,'Special Names'!A:B,2,FALSE),B1707),PlayerValues!E:E,0)),"N/A")</f>
        <v>17520</v>
      </c>
      <c r="B1707" s="4" t="s">
        <v>518</v>
      </c>
      <c r="C1707" s="4" t="s">
        <v>287</v>
      </c>
      <c r="D1707" s="94">
        <v>2526.0</v>
      </c>
    </row>
    <row r="1708">
      <c r="A1708" s="40" t="str">
        <f t="array" ref="A1708">IFNA(index(PlayerValues!A:A,match(IFNA(vlookup(B1708,'Special Names'!A:B,2,FALSE),B1708),PlayerValues!E:E,0)),"N/A")</f>
        <v>N/A</v>
      </c>
      <c r="B1708" s="4" t="s">
        <v>99</v>
      </c>
      <c r="C1708" s="4" t="s">
        <v>325</v>
      </c>
      <c r="D1708" s="94">
        <v>2518.0</v>
      </c>
    </row>
    <row r="1709">
      <c r="A1709" s="40">
        <f t="array" ref="A1709">IFNA(index(PlayerValues!A:A,match(IFNA(vlookup(B1709,'Special Names'!A:B,2,FALSE),B1709),PlayerValues!E:E,0)),"N/A")</f>
        <v>11244</v>
      </c>
      <c r="B1709" s="4" t="s">
        <v>519</v>
      </c>
      <c r="C1709" s="4" t="s">
        <v>298</v>
      </c>
      <c r="D1709" s="94">
        <v>2907.0</v>
      </c>
    </row>
    <row r="1710">
      <c r="A1710" s="40">
        <f t="array" ref="A1710">IFNA(index(PlayerValues!A:A,match(IFNA(vlookup(B1710,'Special Names'!A:B,2,FALSE),B1710),PlayerValues!E:E,0)),"N/A")</f>
        <v>16178</v>
      </c>
      <c r="B1710" s="4" t="s">
        <v>507</v>
      </c>
      <c r="C1710" s="4" t="s">
        <v>278</v>
      </c>
      <c r="D1710" s="94">
        <v>2502.0</v>
      </c>
    </row>
    <row r="1711">
      <c r="A1711" s="40">
        <f t="array" ref="A1711">IFNA(index(PlayerValues!A:A,match(IFNA(vlookup(B1711,'Special Names'!A:B,2,FALSE),B1711),PlayerValues!E:E,0)),"N/A")</f>
        <v>17078</v>
      </c>
      <c r="B1711" s="4" t="s">
        <v>543</v>
      </c>
      <c r="C1711" s="4" t="s">
        <v>287</v>
      </c>
      <c r="D1711" s="94">
        <v>2489.0</v>
      </c>
    </row>
    <row r="1712">
      <c r="A1712" s="40">
        <f t="array" ref="A1712">IFNA(index(PlayerValues!A:A,match(IFNA(vlookup(B1712,'Special Names'!A:B,2,FALSE),B1712),PlayerValues!E:E,0)),"N/A")</f>
        <v>16287</v>
      </c>
      <c r="B1712" s="4" t="s">
        <v>516</v>
      </c>
      <c r="C1712" s="4" t="s">
        <v>287</v>
      </c>
      <c r="D1712" s="94">
        <v>2484.0</v>
      </c>
    </row>
    <row r="1713">
      <c r="A1713" s="40">
        <f t="array" ref="A1713">IFNA(index(PlayerValues!A:A,match(IFNA(vlookup(B1713,'Special Names'!A:B,2,FALSE),B1713),PlayerValues!E:E,0)),"N/A")</f>
        <v>17073</v>
      </c>
      <c r="B1713" s="4" t="s">
        <v>547</v>
      </c>
      <c r="C1713" s="4" t="s">
        <v>287</v>
      </c>
      <c r="D1713" s="94">
        <v>2483.0</v>
      </c>
    </row>
    <row r="1714">
      <c r="A1714" s="40">
        <f t="array" ref="A1714">IFNA(index(PlayerValues!A:A,match(IFNA(vlookup(B1714,'Special Names'!A:B,2,FALSE),B1714),PlayerValues!E:E,0)),"N/A")</f>
        <v>17509</v>
      </c>
      <c r="B1714" s="4" t="s">
        <v>551</v>
      </c>
      <c r="C1714" s="4" t="s">
        <v>287</v>
      </c>
      <c r="D1714" s="94">
        <v>2483.0</v>
      </c>
    </row>
    <row r="1715">
      <c r="A1715" s="40">
        <f t="array" ref="A1715">IFNA(index(PlayerValues!A:A,match(IFNA(vlookup(B1715,'Special Names'!A:B,2,FALSE),B1715),PlayerValues!E:E,0)),"N/A")</f>
        <v>16164</v>
      </c>
      <c r="B1715" s="4" t="s">
        <v>512</v>
      </c>
      <c r="C1715" s="4" t="s">
        <v>278</v>
      </c>
      <c r="D1715" s="94">
        <v>2475.0</v>
      </c>
    </row>
    <row r="1716">
      <c r="A1716" s="40">
        <f t="array" ref="A1716">IFNA(index(PlayerValues!A:A,match(IFNA(vlookup(B1716,'Special Names'!A:B,2,FALSE),B1716),PlayerValues!E:E,0)),"N/A")</f>
        <v>17082</v>
      </c>
      <c r="B1716" s="4" t="s">
        <v>498</v>
      </c>
      <c r="C1716" s="4" t="s">
        <v>287</v>
      </c>
      <c r="D1716" s="94">
        <v>2462.0</v>
      </c>
    </row>
    <row r="1717">
      <c r="A1717" s="40">
        <f t="array" ref="A1717">IFNA(index(PlayerValues!A:A,match(IFNA(vlookup(B1717,'Special Names'!A:B,2,FALSE),B1717),PlayerValues!E:E,0)),"N/A")</f>
        <v>17508</v>
      </c>
      <c r="B1717" s="4" t="s">
        <v>534</v>
      </c>
      <c r="C1717" s="4" t="s">
        <v>287</v>
      </c>
      <c r="D1717" s="94">
        <v>2445.0</v>
      </c>
    </row>
    <row r="1718">
      <c r="A1718" s="40">
        <f t="array" ref="A1718">IFNA(index(PlayerValues!A:A,match(IFNA(vlookup(B1718,'Special Names'!A:B,2,FALSE),B1718),PlayerValues!E:E,0)),"N/A")</f>
        <v>15786</v>
      </c>
      <c r="B1718" s="4" t="s">
        <v>521</v>
      </c>
      <c r="C1718" s="4" t="s">
        <v>287</v>
      </c>
      <c r="D1718" s="94">
        <v>2429.0</v>
      </c>
    </row>
    <row r="1719">
      <c r="A1719" s="40">
        <f t="array" ref="A1719">IFNA(index(PlayerValues!A:A,match(IFNA(vlookup(B1719,'Special Names'!A:B,2,FALSE),B1719),PlayerValues!E:E,0)),"N/A")</f>
        <v>16617</v>
      </c>
      <c r="B1719" s="4" t="s">
        <v>541</v>
      </c>
      <c r="C1719" s="4" t="s">
        <v>287</v>
      </c>
      <c r="D1719" s="94">
        <v>2423.0</v>
      </c>
    </row>
    <row r="1720">
      <c r="A1720" s="40">
        <f t="array" ref="A1720">IFNA(index(PlayerValues!A:A,match(IFNA(vlookup(B1720,'Special Names'!A:B,2,FALSE),B1720),PlayerValues!E:E,0)),"N/A")</f>
        <v>17108</v>
      </c>
      <c r="B1720" s="4" t="s">
        <v>542</v>
      </c>
      <c r="C1720" s="4" t="s">
        <v>298</v>
      </c>
      <c r="D1720" s="94">
        <v>2822.0</v>
      </c>
    </row>
    <row r="1721">
      <c r="A1721" s="40">
        <f t="array" ref="A1721">IFNA(index(PlayerValues!A:A,match(IFNA(vlookup(B1721,'Special Names'!A:B,2,FALSE),B1721),PlayerValues!E:E,0)),"N/A")</f>
        <v>13192</v>
      </c>
      <c r="B1721" s="4" t="s">
        <v>563</v>
      </c>
      <c r="C1721" s="4" t="s">
        <v>298</v>
      </c>
      <c r="D1721" s="94">
        <v>2820.0</v>
      </c>
    </row>
    <row r="1722">
      <c r="A1722" s="40">
        <f t="array" ref="A1722">IFNA(index(PlayerValues!A:A,match(IFNA(vlookup(B1722,'Special Names'!A:B,2,FALSE),B1722),PlayerValues!E:E,0)),"N/A")</f>
        <v>17171</v>
      </c>
      <c r="B1722" s="4" t="s">
        <v>561</v>
      </c>
      <c r="C1722" s="4" t="s">
        <v>287</v>
      </c>
      <c r="D1722" s="94">
        <v>2410.0</v>
      </c>
    </row>
    <row r="1723">
      <c r="A1723" s="40">
        <f t="array" ref="A1723">IFNA(index(PlayerValues!A:A,match(IFNA(vlookup(B1723,'Special Names'!A:B,2,FALSE),B1723),PlayerValues!E:E,0)),"N/A")</f>
        <v>16195</v>
      </c>
      <c r="B1723" s="4" t="s">
        <v>509</v>
      </c>
      <c r="C1723" s="4" t="s">
        <v>287</v>
      </c>
      <c r="D1723" s="94">
        <v>2401.0</v>
      </c>
    </row>
    <row r="1724">
      <c r="A1724" s="40" t="str">
        <f t="array" ref="A1724">IFNA(index(PlayerValues!A:A,match(IFNA(vlookup(B1724,'Special Names'!A:B,2,FALSE),B1724),PlayerValues!E:E,0)),"N/A")</f>
        <v>N/A</v>
      </c>
      <c r="B1724" s="4" t="s">
        <v>557</v>
      </c>
      <c r="C1724" s="4" t="s">
        <v>278</v>
      </c>
      <c r="D1724" s="94">
        <v>2384.0</v>
      </c>
    </row>
    <row r="1725">
      <c r="A1725" s="40">
        <f t="array" ref="A1725">IFNA(index(PlayerValues!A:A,match(IFNA(vlookup(B1725,'Special Names'!A:B,2,FALSE),B1725),PlayerValues!E:E,0)),"N/A")</f>
        <v>17106</v>
      </c>
      <c r="B1725" s="4" t="s">
        <v>550</v>
      </c>
      <c r="C1725" s="4" t="s">
        <v>298</v>
      </c>
      <c r="D1725" s="94">
        <v>2779.0</v>
      </c>
    </row>
    <row r="1726">
      <c r="A1726" s="40">
        <f t="array" ref="A1726">IFNA(index(PlayerValues!A:A,match(IFNA(vlookup(B1726,'Special Names'!A:B,2,FALSE),B1726),PlayerValues!E:E,0)),"N/A")</f>
        <v>17517</v>
      </c>
      <c r="B1726" s="4" t="s">
        <v>454</v>
      </c>
      <c r="C1726" s="4" t="s">
        <v>287</v>
      </c>
      <c r="D1726" s="94">
        <v>2378.0</v>
      </c>
    </row>
    <row r="1727">
      <c r="A1727" s="40">
        <f t="array" ref="A1727">IFNA(index(PlayerValues!A:A,match(IFNA(vlookup(B1727,'Special Names'!A:B,2,FALSE),B1727),PlayerValues!E:E,0)),"N/A")</f>
        <v>17134</v>
      </c>
      <c r="B1727" s="4" t="s">
        <v>548</v>
      </c>
      <c r="C1727" s="4" t="s">
        <v>287</v>
      </c>
      <c r="D1727" s="94">
        <v>2369.0</v>
      </c>
    </row>
    <row r="1728">
      <c r="A1728" s="40">
        <f t="array" ref="A1728">IFNA(index(PlayerValues!A:A,match(IFNA(vlookup(B1728,'Special Names'!A:B,2,FALSE),B1728),PlayerValues!E:E,0)),"N/A")</f>
        <v>17048</v>
      </c>
      <c r="B1728" s="4" t="s">
        <v>539</v>
      </c>
      <c r="C1728" s="4" t="s">
        <v>278</v>
      </c>
      <c r="D1728" s="94">
        <v>2359.0</v>
      </c>
    </row>
    <row r="1729">
      <c r="A1729" s="40">
        <f t="array" ref="A1729">IFNA(index(PlayerValues!A:A,match(IFNA(vlookup(B1729,'Special Names'!A:B,2,FALSE),B1729),PlayerValues!E:E,0)),"N/A")</f>
        <v>17547</v>
      </c>
      <c r="B1729" s="4" t="s">
        <v>552</v>
      </c>
      <c r="C1729" s="4" t="s">
        <v>298</v>
      </c>
      <c r="D1729" s="94">
        <v>2751.0</v>
      </c>
    </row>
    <row r="1730">
      <c r="A1730" s="40">
        <f t="array" ref="A1730">IFNA(index(PlayerValues!A:A,match(IFNA(vlookup(B1730,'Special Names'!A:B,2,FALSE),B1730),PlayerValues!E:E,0)),"N/A")</f>
        <v>15716</v>
      </c>
      <c r="B1730" s="4" t="s">
        <v>545</v>
      </c>
      <c r="C1730" s="4" t="s">
        <v>278</v>
      </c>
      <c r="D1730" s="94">
        <v>2344.0</v>
      </c>
    </row>
    <row r="1731">
      <c r="A1731" s="40">
        <f t="array" ref="A1731">IFNA(index(PlayerValues!A:A,match(IFNA(vlookup(B1731,'Special Names'!A:B,2,FALSE),B1731),PlayerValues!E:E,0)),"N/A")</f>
        <v>15749</v>
      </c>
      <c r="B1731" s="4" t="s">
        <v>574</v>
      </c>
      <c r="C1731" s="4" t="s">
        <v>278</v>
      </c>
      <c r="D1731" s="94">
        <v>2329.0</v>
      </c>
    </row>
    <row r="1732">
      <c r="A1732" s="40">
        <f t="array" ref="A1732">IFNA(index(PlayerValues!A:A,match(IFNA(vlookup(B1732,'Special Names'!A:B,2,FALSE),B1732),PlayerValues!E:E,0)),"N/A")</f>
        <v>14861</v>
      </c>
      <c r="B1732" s="4" t="s">
        <v>523</v>
      </c>
      <c r="C1732" s="4" t="s">
        <v>298</v>
      </c>
      <c r="D1732" s="94">
        <v>2715.0</v>
      </c>
    </row>
    <row r="1733">
      <c r="A1733" s="40">
        <f t="array" ref="A1733">IFNA(index(PlayerValues!A:A,match(IFNA(vlookup(B1733,'Special Names'!A:B,2,FALSE),B1733),PlayerValues!E:E,0)),"N/A")</f>
        <v>15802</v>
      </c>
      <c r="B1733" s="4" t="s">
        <v>566</v>
      </c>
      <c r="C1733" s="4" t="s">
        <v>298</v>
      </c>
      <c r="D1733" s="94">
        <v>2711.0</v>
      </c>
    </row>
    <row r="1734">
      <c r="A1734" s="40">
        <f t="array" ref="A1734">IFNA(index(PlayerValues!A:A,match(IFNA(vlookup(B1734,'Special Names'!A:B,2,FALSE),B1734),PlayerValues!E:E,0)),"N/A")</f>
        <v>13319</v>
      </c>
      <c r="B1734" s="4" t="s">
        <v>549</v>
      </c>
      <c r="C1734" s="4" t="s">
        <v>278</v>
      </c>
      <c r="D1734" s="94">
        <v>2290.0</v>
      </c>
    </row>
    <row r="1735">
      <c r="A1735" s="40">
        <f t="array" ref="A1735">IFNA(index(PlayerValues!A:A,match(IFNA(vlookup(B1735,'Special Names'!A:B,2,FALSE),B1735),PlayerValues!E:E,0)),"N/A")</f>
        <v>17482</v>
      </c>
      <c r="B1735" s="4" t="s">
        <v>460</v>
      </c>
      <c r="C1735" s="4" t="s">
        <v>278</v>
      </c>
      <c r="D1735" s="94">
        <v>2284.0</v>
      </c>
    </row>
    <row r="1736">
      <c r="A1736" s="40">
        <f t="array" ref="A1736">IFNA(index(PlayerValues!A:A,match(IFNA(vlookup(B1736,'Special Names'!A:B,2,FALSE),B1736),PlayerValues!E:E,0)),"N/A")</f>
        <v>16166</v>
      </c>
      <c r="B1736" s="4" t="s">
        <v>567</v>
      </c>
      <c r="C1736" s="4" t="s">
        <v>278</v>
      </c>
      <c r="D1736" s="94">
        <v>2278.0</v>
      </c>
    </row>
    <row r="1737">
      <c r="A1737" s="40" t="str">
        <f t="array" ref="A1737">IFNA(index(PlayerValues!A:A,match(IFNA(vlookup(B1737,'Special Names'!A:B,2,FALSE),B1737),PlayerValues!E:E,0)),"N/A")</f>
        <v>N/A</v>
      </c>
      <c r="B1737" s="4" t="s">
        <v>86</v>
      </c>
      <c r="C1737" s="4" t="s">
        <v>325</v>
      </c>
      <c r="D1737" s="94">
        <v>2278.0</v>
      </c>
    </row>
    <row r="1738">
      <c r="A1738" s="40">
        <f t="array" ref="A1738">IFNA(index(PlayerValues!A:A,match(IFNA(vlookup(B1738,'Special Names'!A:B,2,FALSE),B1738),PlayerValues!E:E,0)),"N/A")</f>
        <v>11150</v>
      </c>
      <c r="B1738" s="4" t="s">
        <v>559</v>
      </c>
      <c r="C1738" s="4" t="s">
        <v>283</v>
      </c>
      <c r="D1738" s="94">
        <v>2264.0</v>
      </c>
    </row>
    <row r="1739">
      <c r="A1739" s="40">
        <f t="array" ref="A1739">IFNA(index(PlayerValues!A:A,match(IFNA(vlookup(B1739,'Special Names'!A:B,2,FALSE),B1739),PlayerValues!E:E,0)),"N/A")</f>
        <v>16036</v>
      </c>
      <c r="B1739" s="4" t="s">
        <v>592</v>
      </c>
      <c r="C1739" s="4" t="s">
        <v>298</v>
      </c>
      <c r="D1739" s="94">
        <v>2653.0</v>
      </c>
    </row>
    <row r="1740">
      <c r="A1740" s="40">
        <f t="array" ref="A1740">IFNA(index(PlayerValues!A:A,match(IFNA(vlookup(B1740,'Special Names'!A:B,2,FALSE),B1740),PlayerValues!E:E,0)),"N/A")</f>
        <v>16594</v>
      </c>
      <c r="B1740" s="4" t="s">
        <v>607</v>
      </c>
      <c r="C1740" s="4" t="s">
        <v>278</v>
      </c>
      <c r="D1740" s="94">
        <v>2248.0</v>
      </c>
    </row>
    <row r="1741">
      <c r="A1741" s="40" t="str">
        <f t="array" ref="A1741">IFNA(index(PlayerValues!A:A,match(IFNA(vlookup(B1741,'Special Names'!A:B,2,FALSE),B1741),PlayerValues!E:E,0)),"N/A")</f>
        <v>N/A</v>
      </c>
      <c r="B1741" s="4" t="s">
        <v>100</v>
      </c>
      <c r="C1741" s="4" t="s">
        <v>325</v>
      </c>
      <c r="D1741" s="94">
        <v>2241.0</v>
      </c>
    </row>
    <row r="1742">
      <c r="A1742" s="40">
        <f t="array" ref="A1742">IFNA(index(PlayerValues!A:A,match(IFNA(vlookup(B1742,'Special Names'!A:B,2,FALSE),B1742),PlayerValues!E:E,0)),"N/A")</f>
        <v>17033</v>
      </c>
      <c r="B1742" s="4" t="s">
        <v>570</v>
      </c>
      <c r="C1742" s="4" t="s">
        <v>283</v>
      </c>
      <c r="D1742" s="94">
        <v>2237.0</v>
      </c>
    </row>
    <row r="1743">
      <c r="A1743" s="40">
        <f t="array" ref="A1743">IFNA(index(PlayerValues!A:A,match(IFNA(vlookup(B1743,'Special Names'!A:B,2,FALSE),B1743),PlayerValues!E:E,0)),"N/A")</f>
        <v>12676</v>
      </c>
      <c r="B1743" s="4" t="s">
        <v>537</v>
      </c>
      <c r="C1743" s="4" t="s">
        <v>298</v>
      </c>
      <c r="D1743" s="94">
        <v>2627.0</v>
      </c>
    </row>
    <row r="1744">
      <c r="A1744" s="40" t="str">
        <f t="array" ref="A1744">IFNA(index(PlayerValues!A:A,match(IFNA(vlookup(B1744,'Special Names'!A:B,2,FALSE),B1744),PlayerValues!E:E,0)),"N/A")</f>
        <v>N/A</v>
      </c>
      <c r="B1744" s="4" t="s">
        <v>112</v>
      </c>
      <c r="C1744" s="4" t="s">
        <v>325</v>
      </c>
      <c r="D1744" s="94">
        <v>2211.0</v>
      </c>
    </row>
    <row r="1745">
      <c r="A1745" s="40">
        <f t="array" ref="A1745">IFNA(index(PlayerValues!A:A,match(IFNA(vlookup(B1745,'Special Names'!A:B,2,FALSE),B1745),PlayerValues!E:E,0)),"N/A")</f>
        <v>16152</v>
      </c>
      <c r="B1745" s="4" t="s">
        <v>601</v>
      </c>
      <c r="C1745" s="4" t="s">
        <v>283</v>
      </c>
      <c r="D1745" s="94">
        <v>2204.0</v>
      </c>
    </row>
    <row r="1746">
      <c r="A1746" s="40">
        <f t="array" ref="A1746">IFNA(index(PlayerValues!A:A,match(IFNA(vlookup(B1746,'Special Names'!A:B,2,FALSE),B1746),PlayerValues!E:E,0)),"N/A")</f>
        <v>16649</v>
      </c>
      <c r="B1746" s="4" t="s">
        <v>586</v>
      </c>
      <c r="C1746" s="4" t="s">
        <v>298</v>
      </c>
      <c r="D1746" s="94">
        <v>2591.0</v>
      </c>
    </row>
    <row r="1747">
      <c r="A1747" s="40">
        <f t="array" ref="A1747">IFNA(index(PlayerValues!A:A,match(IFNA(vlookup(B1747,'Special Names'!A:B,2,FALSE),B1747),PlayerValues!E:E,0)),"N/A")</f>
        <v>17466</v>
      </c>
      <c r="B1747" s="4" t="s">
        <v>492</v>
      </c>
      <c r="C1747" s="4" t="s">
        <v>283</v>
      </c>
      <c r="D1747" s="94">
        <v>2195.0</v>
      </c>
    </row>
    <row r="1748">
      <c r="A1748" s="40">
        <f t="array" ref="A1748">IFNA(index(PlayerValues!A:A,match(IFNA(vlookup(B1748,'Special Names'!A:B,2,FALSE),B1748),PlayerValues!E:E,0)),"N/A")</f>
        <v>16212</v>
      </c>
      <c r="B1748" s="4" t="s">
        <v>568</v>
      </c>
      <c r="C1748" s="4" t="s">
        <v>298</v>
      </c>
      <c r="D1748" s="94">
        <v>2584.0</v>
      </c>
    </row>
    <row r="1749">
      <c r="A1749" s="40">
        <f t="array" ref="A1749">IFNA(index(PlayerValues!A:A,match(IFNA(vlookup(B1749,'Special Names'!A:B,2,FALSE),B1749),PlayerValues!E:E,0)),"N/A")</f>
        <v>15331</v>
      </c>
      <c r="B1749" s="4" t="s">
        <v>560</v>
      </c>
      <c r="C1749" s="4" t="s">
        <v>298</v>
      </c>
      <c r="D1749" s="94">
        <v>2582.0</v>
      </c>
    </row>
    <row r="1750">
      <c r="A1750" s="40">
        <f t="array" ref="A1750">IFNA(index(PlayerValues!A:A,match(IFNA(vlookup(B1750,'Special Names'!A:B,2,FALSE),B1750),PlayerValues!E:E,0)),"N/A")</f>
        <v>16610</v>
      </c>
      <c r="B1750" s="4" t="s">
        <v>562</v>
      </c>
      <c r="C1750" s="4" t="s">
        <v>278</v>
      </c>
      <c r="D1750" s="94">
        <v>2185.0</v>
      </c>
    </row>
    <row r="1751">
      <c r="A1751" s="40">
        <f t="array" ref="A1751">IFNA(index(PlayerValues!A:A,match(IFNA(vlookup(B1751,'Special Names'!A:B,2,FALSE),B1751),PlayerValues!E:E,0)),"N/A")</f>
        <v>13772</v>
      </c>
      <c r="B1751" s="4" t="s">
        <v>544</v>
      </c>
      <c r="C1751" s="4" t="s">
        <v>298</v>
      </c>
      <c r="D1751" s="94">
        <v>2567.0</v>
      </c>
    </row>
    <row r="1752">
      <c r="A1752" s="40">
        <f t="array" ref="A1752">IFNA(index(PlayerValues!A:A,match(IFNA(vlookup(B1752,'Special Names'!A:B,2,FALSE),B1752),PlayerValues!E:E,0)),"N/A")</f>
        <v>13113</v>
      </c>
      <c r="B1752" s="4" t="s">
        <v>606</v>
      </c>
      <c r="C1752" s="4" t="s">
        <v>283</v>
      </c>
      <c r="D1752" s="94">
        <v>2165.0</v>
      </c>
    </row>
    <row r="1753">
      <c r="A1753" s="40">
        <f t="array" ref="A1753">IFNA(index(PlayerValues!A:A,match(IFNA(vlookup(B1753,'Special Names'!A:B,2,FALSE),B1753),PlayerValues!E:E,0)),"N/A")</f>
        <v>14840</v>
      </c>
      <c r="B1753" s="4" t="s">
        <v>731</v>
      </c>
      <c r="C1753" s="4" t="s">
        <v>287</v>
      </c>
      <c r="D1753" s="94">
        <v>2163.0</v>
      </c>
    </row>
    <row r="1754">
      <c r="A1754" s="40" t="str">
        <f t="array" ref="A1754">IFNA(index(PlayerValues!A:A,match(IFNA(vlookup(B1754,'Special Names'!A:B,2,FALSE),B1754),PlayerValues!E:E,0)),"N/A")</f>
        <v>N/A</v>
      </c>
      <c r="B1754" s="4" t="s">
        <v>87</v>
      </c>
      <c r="C1754" s="4" t="s">
        <v>325</v>
      </c>
      <c r="D1754" s="94">
        <v>2160.0</v>
      </c>
    </row>
    <row r="1755">
      <c r="A1755" s="40">
        <f t="array" ref="A1755">IFNA(index(PlayerValues!A:A,match(IFNA(vlookup(B1755,'Special Names'!A:B,2,FALSE),B1755),PlayerValues!E:E,0)),"N/A")</f>
        <v>16604</v>
      </c>
      <c r="B1755" s="4" t="s">
        <v>476</v>
      </c>
      <c r="C1755" s="4" t="s">
        <v>278</v>
      </c>
      <c r="D1755" s="94">
        <v>2155.0</v>
      </c>
    </row>
    <row r="1756">
      <c r="A1756" s="40">
        <f t="array" ref="A1756">IFNA(index(PlayerValues!A:A,match(IFNA(vlookup(B1756,'Special Names'!A:B,2,FALSE),B1756),PlayerValues!E:E,0)),"N/A")</f>
        <v>16757</v>
      </c>
      <c r="B1756" s="4" t="s">
        <v>558</v>
      </c>
      <c r="C1756" s="4" t="s">
        <v>278</v>
      </c>
      <c r="D1756" s="94">
        <v>2148.0</v>
      </c>
    </row>
    <row r="1757">
      <c r="A1757" s="40">
        <f t="array" ref="A1757">IFNA(index(PlayerValues!A:A,match(IFNA(vlookup(B1757,'Special Names'!A:B,2,FALSE),B1757),PlayerValues!E:E,0)),"N/A")</f>
        <v>12186</v>
      </c>
      <c r="B1757" s="4" t="s">
        <v>497</v>
      </c>
      <c r="C1757" s="4" t="s">
        <v>287</v>
      </c>
      <c r="D1757" s="94">
        <v>2145.0</v>
      </c>
    </row>
    <row r="1758">
      <c r="A1758" s="40">
        <f t="array" ref="A1758">IFNA(index(PlayerValues!A:A,match(IFNA(vlookup(B1758,'Special Names'!A:B,2,FALSE),B1758),PlayerValues!E:E,0)),"N/A")</f>
        <v>17055</v>
      </c>
      <c r="B1758" s="4" t="s">
        <v>565</v>
      </c>
      <c r="C1758" s="4" t="s">
        <v>278</v>
      </c>
      <c r="D1758" s="94">
        <v>2129.0</v>
      </c>
    </row>
    <row r="1759">
      <c r="A1759" s="40" t="str">
        <f t="array" ref="A1759">IFNA(index(PlayerValues!A:A,match(IFNA(vlookup(B1759,'Special Names'!A:B,2,FALSE),B1759),PlayerValues!E:E,0)),"N/A")</f>
        <v>N/A</v>
      </c>
      <c r="B1759" s="4" t="s">
        <v>88</v>
      </c>
      <c r="C1759" s="4" t="s">
        <v>325</v>
      </c>
      <c r="D1759" s="94">
        <v>2124.0</v>
      </c>
    </row>
    <row r="1760">
      <c r="A1760" s="40">
        <f t="array" ref="A1760">IFNA(index(PlayerValues!A:A,match(IFNA(vlookup(B1760,'Special Names'!A:B,2,FALSE),B1760),PlayerValues!E:E,0)),"N/A")</f>
        <v>16189</v>
      </c>
      <c r="B1760" s="4" t="s">
        <v>582</v>
      </c>
      <c r="C1760" s="4" t="s">
        <v>287</v>
      </c>
      <c r="D1760" s="94">
        <v>2116.0</v>
      </c>
    </row>
    <row r="1761">
      <c r="A1761" s="40">
        <f t="array" ref="A1761">IFNA(index(PlayerValues!A:A,match(IFNA(vlookup(B1761,'Special Names'!A:B,2,FALSE),B1761),PlayerValues!E:E,0)),"N/A")</f>
        <v>17079</v>
      </c>
      <c r="B1761" s="4" t="s">
        <v>572</v>
      </c>
      <c r="C1761" s="4" t="s">
        <v>287</v>
      </c>
      <c r="D1761" s="94">
        <v>2092.0</v>
      </c>
    </row>
    <row r="1762">
      <c r="A1762" s="40" t="str">
        <f t="array" ref="A1762">IFNA(index(PlayerValues!A:A,match(IFNA(vlookup(B1762,'Special Names'!A:B,2,FALSE),B1762),PlayerValues!E:E,0)),"N/A")</f>
        <v>N/A</v>
      </c>
      <c r="B1762" s="4" t="s">
        <v>113</v>
      </c>
      <c r="C1762" s="4" t="s">
        <v>325</v>
      </c>
      <c r="D1762" s="94">
        <v>2090.0</v>
      </c>
    </row>
    <row r="1763">
      <c r="A1763" s="40">
        <f t="array" ref="A1763">IFNA(index(PlayerValues!A:A,match(IFNA(vlookup(B1763,'Special Names'!A:B,2,FALSE),B1763),PlayerValues!E:E,0)),"N/A")</f>
        <v>17060</v>
      </c>
      <c r="B1763" s="4" t="s">
        <v>603</v>
      </c>
      <c r="C1763" s="4" t="s">
        <v>278</v>
      </c>
      <c r="D1763" s="94">
        <v>2066.0</v>
      </c>
    </row>
    <row r="1764">
      <c r="A1764" s="40">
        <f t="array" ref="A1764">IFNA(index(PlayerValues!A:A,match(IFNA(vlookup(B1764,'Special Names'!A:B,2,FALSE),B1764),PlayerValues!E:E,0)),"N/A")</f>
        <v>17069</v>
      </c>
      <c r="B1764" s="4" t="s">
        <v>604</v>
      </c>
      <c r="C1764" s="4" t="s">
        <v>278</v>
      </c>
      <c r="D1764" s="94">
        <v>2066.0</v>
      </c>
    </row>
    <row r="1765">
      <c r="A1765" s="40">
        <f t="array" ref="A1765">IFNA(index(PlayerValues!A:A,match(IFNA(vlookup(B1765,'Special Names'!A:B,2,FALSE),B1765),PlayerValues!E:E,0)),"N/A")</f>
        <v>15238</v>
      </c>
      <c r="B1765" s="4" t="s">
        <v>613</v>
      </c>
      <c r="C1765" s="4" t="s">
        <v>283</v>
      </c>
      <c r="D1765" s="94">
        <v>2055.0</v>
      </c>
    </row>
    <row r="1766">
      <c r="A1766" s="40">
        <f t="array" ref="A1766">IFNA(index(PlayerValues!A:A,match(IFNA(vlookup(B1766,'Special Names'!A:B,2,FALSE),B1766),PlayerValues!E:E,0)),"N/A")</f>
        <v>15293</v>
      </c>
      <c r="B1766" s="4" t="s">
        <v>578</v>
      </c>
      <c r="C1766" s="4" t="s">
        <v>287</v>
      </c>
      <c r="D1766" s="94">
        <v>2052.0</v>
      </c>
    </row>
    <row r="1767">
      <c r="A1767" s="40">
        <f t="array" ref="A1767">IFNA(index(PlayerValues!A:A,match(IFNA(vlookup(B1767,'Special Names'!A:B,2,FALSE),B1767),PlayerValues!E:E,0)),"N/A")</f>
        <v>17061</v>
      </c>
      <c r="B1767" s="4" t="s">
        <v>580</v>
      </c>
      <c r="C1767" s="4" t="s">
        <v>278</v>
      </c>
      <c r="D1767" s="94">
        <v>2049.0</v>
      </c>
    </row>
    <row r="1768">
      <c r="A1768" s="40">
        <f t="array" ref="A1768">IFNA(index(PlayerValues!A:A,match(IFNA(vlookup(B1768,'Special Names'!A:B,2,FALSE),B1768),PlayerValues!E:E,0)),"N/A")</f>
        <v>13132</v>
      </c>
      <c r="B1768" s="4" t="s">
        <v>598</v>
      </c>
      <c r="C1768" s="4" t="s">
        <v>278</v>
      </c>
      <c r="D1768" s="94">
        <v>2045.0</v>
      </c>
    </row>
    <row r="1769">
      <c r="A1769" s="40">
        <f t="array" ref="A1769">IFNA(index(PlayerValues!A:A,match(IFNA(vlookup(B1769,'Special Names'!A:B,2,FALSE),B1769),PlayerValues!E:E,0)),"N/A")</f>
        <v>17056</v>
      </c>
      <c r="B1769" s="4" t="s">
        <v>581</v>
      </c>
      <c r="C1769" s="4" t="s">
        <v>278</v>
      </c>
      <c r="D1769" s="94">
        <v>2034.0</v>
      </c>
    </row>
    <row r="1770">
      <c r="A1770" s="40">
        <f t="array" ref="A1770">IFNA(index(PlayerValues!A:A,match(IFNA(vlookup(B1770,'Special Names'!A:B,2,FALSE),B1770),PlayerValues!E:E,0)),"N/A")</f>
        <v>17046</v>
      </c>
      <c r="B1770" s="4" t="s">
        <v>602</v>
      </c>
      <c r="C1770" s="4" t="s">
        <v>278</v>
      </c>
      <c r="D1770" s="94">
        <v>2032.0</v>
      </c>
    </row>
    <row r="1771">
      <c r="A1771" s="40">
        <f t="array" ref="A1771">IFNA(index(PlayerValues!A:A,match(IFNA(vlookup(B1771,'Special Names'!A:B,2,FALSE),B1771),PlayerValues!E:E,0)),"N/A")</f>
        <v>17184</v>
      </c>
      <c r="B1771" s="4" t="s">
        <v>588</v>
      </c>
      <c r="C1771" s="4" t="s">
        <v>287</v>
      </c>
      <c r="D1771" s="94">
        <v>2032.0</v>
      </c>
    </row>
    <row r="1772">
      <c r="A1772" s="40">
        <f t="array" ref="A1772">IFNA(index(PlayerValues!A:A,match(IFNA(vlookup(B1772,'Special Names'!A:B,2,FALSE),B1772),PlayerValues!E:E,0)),"N/A")</f>
        <v>16432</v>
      </c>
      <c r="B1772" s="4" t="s">
        <v>620</v>
      </c>
      <c r="C1772" s="4" t="s">
        <v>278</v>
      </c>
      <c r="D1772" s="94">
        <v>2029.0</v>
      </c>
    </row>
    <row r="1773">
      <c r="A1773" s="40">
        <f t="array" ref="A1773">IFNA(index(PlayerValues!A:A,match(IFNA(vlookup(B1773,'Special Names'!A:B,2,FALSE),B1773),PlayerValues!E:E,0)),"N/A")</f>
        <v>14974</v>
      </c>
      <c r="B1773" s="4" t="s">
        <v>611</v>
      </c>
      <c r="C1773" s="4" t="s">
        <v>287</v>
      </c>
      <c r="D1773" s="94">
        <v>2024.0</v>
      </c>
    </row>
    <row r="1774">
      <c r="A1774" s="40">
        <f t="array" ref="A1774">IFNA(index(PlayerValues!A:A,match(IFNA(vlookup(B1774,'Special Names'!A:B,2,FALSE),B1774),PlayerValues!E:E,0)),"N/A")</f>
        <v>16643</v>
      </c>
      <c r="B1774" s="4" t="s">
        <v>609</v>
      </c>
      <c r="C1774" s="4" t="s">
        <v>298</v>
      </c>
      <c r="D1774" s="94">
        <v>2409.0</v>
      </c>
    </row>
    <row r="1775">
      <c r="A1775" s="40" t="str">
        <f t="array" ref="A1775">IFNA(index(PlayerValues!A:A,match(IFNA(vlookup(B1775,'Special Names'!A:B,2,FALSE),B1775),PlayerValues!E:E,0)),"N/A")</f>
        <v>N/A</v>
      </c>
      <c r="B1775" s="4" t="s">
        <v>114</v>
      </c>
      <c r="C1775" s="4" t="s">
        <v>325</v>
      </c>
      <c r="D1775" s="94">
        <v>2008.0</v>
      </c>
    </row>
    <row r="1776">
      <c r="A1776" s="40">
        <f t="array" ref="A1776">IFNA(index(PlayerValues!A:A,match(IFNA(vlookup(B1776,'Special Names'!A:B,2,FALSE),B1776),PlayerValues!E:E,0)),"N/A")</f>
        <v>15797</v>
      </c>
      <c r="B1776" s="4" t="s">
        <v>556</v>
      </c>
      <c r="C1776" s="4" t="s">
        <v>298</v>
      </c>
      <c r="D1776" s="94">
        <v>2391.0</v>
      </c>
    </row>
    <row r="1777">
      <c r="A1777" s="40">
        <f t="array" ref="A1777">IFNA(index(PlayerValues!A:A,match(IFNA(vlookup(B1777,'Special Names'!A:B,2,FALSE),B1777),PlayerValues!E:E,0)),"N/A")</f>
        <v>14136</v>
      </c>
      <c r="B1777" s="4" t="s">
        <v>536</v>
      </c>
      <c r="C1777" s="4" t="s">
        <v>287</v>
      </c>
      <c r="D1777" s="94">
        <v>1992.0</v>
      </c>
    </row>
    <row r="1778">
      <c r="A1778" s="40">
        <f t="array" ref="A1778">IFNA(index(PlayerValues!A:A,match(IFNA(vlookup(B1778,'Special Names'!A:B,2,FALSE),B1778),PlayerValues!E:E,0)),"N/A")</f>
        <v>14867</v>
      </c>
      <c r="B1778" s="4" t="s">
        <v>591</v>
      </c>
      <c r="C1778" s="4" t="s">
        <v>298</v>
      </c>
      <c r="D1778" s="94">
        <v>2369.0</v>
      </c>
    </row>
    <row r="1779">
      <c r="A1779" s="40">
        <f t="array" ref="A1779">IFNA(index(PlayerValues!A:A,match(IFNA(vlookup(B1779,'Special Names'!A:B,2,FALSE),B1779),PlayerValues!E:E,0)),"N/A")</f>
        <v>7836</v>
      </c>
      <c r="B1779" s="4" t="s">
        <v>590</v>
      </c>
      <c r="C1779" s="4" t="s">
        <v>283</v>
      </c>
      <c r="D1779" s="94">
        <v>1981.0</v>
      </c>
    </row>
    <row r="1780">
      <c r="A1780" s="40">
        <f t="array" ref="A1780">IFNA(index(PlayerValues!A:A,match(IFNA(vlookup(B1780,'Special Names'!A:B,2,FALSE),B1780),PlayerValues!E:E,0)),"N/A")</f>
        <v>17076</v>
      </c>
      <c r="B1780" s="4" t="s">
        <v>585</v>
      </c>
      <c r="C1780" s="4" t="s">
        <v>287</v>
      </c>
      <c r="D1780" s="94">
        <v>1981.0</v>
      </c>
    </row>
    <row r="1781">
      <c r="A1781" s="40">
        <f t="array" ref="A1781">IFNA(index(PlayerValues!A:A,match(IFNA(vlookup(B1781,'Special Names'!A:B,2,FALSE),B1781),PlayerValues!E:E,0)),"N/A")</f>
        <v>16603</v>
      </c>
      <c r="B1781" s="4" t="s">
        <v>587</v>
      </c>
      <c r="C1781" s="4" t="s">
        <v>278</v>
      </c>
      <c r="D1781" s="94">
        <v>1971.0</v>
      </c>
    </row>
    <row r="1782">
      <c r="A1782" s="40">
        <f t="array" ref="A1782">IFNA(index(PlayerValues!A:A,match(IFNA(vlookup(B1782,'Special Names'!A:B,2,FALSE),B1782),PlayerValues!E:E,0)),"N/A")</f>
        <v>17036</v>
      </c>
      <c r="B1782" s="4" t="s">
        <v>617</v>
      </c>
      <c r="C1782" s="4" t="s">
        <v>283</v>
      </c>
      <c r="D1782" s="94">
        <v>1946.0</v>
      </c>
    </row>
    <row r="1783">
      <c r="A1783" s="40">
        <f t="array" ref="A1783">IFNA(index(PlayerValues!A:A,match(IFNA(vlookup(B1783,'Special Names'!A:B,2,FALSE),B1783),PlayerValues!E:E,0)),"N/A")</f>
        <v>16342</v>
      </c>
      <c r="B1783" s="4" t="s">
        <v>583</v>
      </c>
      <c r="C1783" s="4" t="s">
        <v>287</v>
      </c>
      <c r="D1783" s="94">
        <v>1945.0</v>
      </c>
    </row>
    <row r="1784">
      <c r="A1784" s="40">
        <f t="array" ref="A1784">IFNA(index(PlayerValues!A:A,match(IFNA(vlookup(B1784,'Special Names'!A:B,2,FALSE),B1784),PlayerValues!E:E,0)),"N/A")</f>
        <v>13633</v>
      </c>
      <c r="B1784" s="4" t="s">
        <v>625</v>
      </c>
      <c r="C1784" s="4" t="s">
        <v>287</v>
      </c>
      <c r="D1784" s="94">
        <v>1940.0</v>
      </c>
    </row>
    <row r="1785">
      <c r="A1785" s="40">
        <f t="array" ref="A1785">IFNA(index(PlayerValues!A:A,match(IFNA(vlookup(B1785,'Special Names'!A:B,2,FALSE),B1785),PlayerValues!E:E,0)),"N/A")</f>
        <v>17087</v>
      </c>
      <c r="B1785" s="4" t="s">
        <v>600</v>
      </c>
      <c r="C1785" s="4" t="s">
        <v>287</v>
      </c>
      <c r="D1785" s="94">
        <v>1927.0</v>
      </c>
    </row>
    <row r="1786">
      <c r="A1786" s="40">
        <f t="array" ref="A1786">IFNA(index(PlayerValues!A:A,match(IFNA(vlookup(B1786,'Special Names'!A:B,2,FALSE),B1786),PlayerValues!E:E,0)),"N/A")</f>
        <v>17528</v>
      </c>
      <c r="B1786" s="4" t="s">
        <v>579</v>
      </c>
      <c r="C1786" s="4" t="s">
        <v>287</v>
      </c>
      <c r="D1786" s="94">
        <v>1917.0</v>
      </c>
    </row>
    <row r="1787">
      <c r="A1787" s="40">
        <f t="array" ref="A1787">IFNA(index(PlayerValues!A:A,match(IFNA(vlookup(B1787,'Special Names'!A:B,2,FALSE),B1787),PlayerValues!E:E,0)),"N/A")</f>
        <v>17481</v>
      </c>
      <c r="B1787" s="4" t="s">
        <v>540</v>
      </c>
      <c r="C1787" s="4" t="s">
        <v>278</v>
      </c>
      <c r="D1787" s="94">
        <v>1910.0</v>
      </c>
    </row>
    <row r="1788">
      <c r="A1788" s="40">
        <f t="array" ref="A1788">IFNA(index(PlayerValues!A:A,match(IFNA(vlookup(B1788,'Special Names'!A:B,2,FALSE),B1788),PlayerValues!E:E,0)),"N/A")</f>
        <v>16639</v>
      </c>
      <c r="B1788" s="4" t="s">
        <v>599</v>
      </c>
      <c r="C1788" s="4" t="s">
        <v>287</v>
      </c>
      <c r="D1788" s="94">
        <v>1908.0</v>
      </c>
    </row>
    <row r="1789">
      <c r="A1789" s="40">
        <f t="array" ref="A1789">IFNA(index(PlayerValues!A:A,match(IFNA(vlookup(B1789,'Special Names'!A:B,2,FALSE),B1789),PlayerValues!E:E,0)),"N/A")</f>
        <v>10700</v>
      </c>
      <c r="B1789" s="4" t="s">
        <v>596</v>
      </c>
      <c r="C1789" s="4" t="s">
        <v>283</v>
      </c>
      <c r="D1789" s="94">
        <v>1900.0</v>
      </c>
    </row>
    <row r="1790">
      <c r="A1790" s="40">
        <f t="array" ref="A1790">IFNA(index(PlayerValues!A:A,match(IFNA(vlookup(B1790,'Special Names'!A:B,2,FALSE),B1790),PlayerValues!E:E,0)),"N/A")</f>
        <v>16216</v>
      </c>
      <c r="B1790" s="4" t="s">
        <v>595</v>
      </c>
      <c r="C1790" s="4" t="s">
        <v>298</v>
      </c>
      <c r="D1790" s="94">
        <v>2285.0</v>
      </c>
    </row>
    <row r="1791">
      <c r="A1791" s="40">
        <f t="array" ref="A1791">IFNA(index(PlayerValues!A:A,match(IFNA(vlookup(B1791,'Special Names'!A:B,2,FALSE),B1791),PlayerValues!E:E,0)),"N/A")</f>
        <v>12801</v>
      </c>
      <c r="B1791" s="4" t="s">
        <v>722</v>
      </c>
      <c r="C1791" s="4" t="s">
        <v>287</v>
      </c>
      <c r="D1791" s="94">
        <v>1871.0</v>
      </c>
    </row>
    <row r="1792">
      <c r="A1792" s="40">
        <f t="array" ref="A1792">IFNA(index(PlayerValues!A:A,match(IFNA(vlookup(B1792,'Special Names'!A:B,2,FALSE),B1792),PlayerValues!E:E,0)),"N/A")</f>
        <v>13629</v>
      </c>
      <c r="B1792" s="4" t="s">
        <v>619</v>
      </c>
      <c r="C1792" s="4" t="s">
        <v>287</v>
      </c>
      <c r="D1792" s="94">
        <v>1871.0</v>
      </c>
    </row>
    <row r="1793">
      <c r="A1793" s="40">
        <f t="array" ref="A1793">IFNA(index(PlayerValues!A:A,match(IFNA(vlookup(B1793,'Special Names'!A:B,2,FALSE),B1793),PlayerValues!E:E,0)),"N/A")</f>
        <v>17468</v>
      </c>
      <c r="B1793" s="4" t="s">
        <v>514</v>
      </c>
      <c r="C1793" s="4" t="s">
        <v>283</v>
      </c>
      <c r="D1793" s="94">
        <v>1868.0</v>
      </c>
    </row>
    <row r="1794">
      <c r="A1794" s="40">
        <f t="array" ref="A1794">IFNA(index(PlayerValues!A:A,match(IFNA(vlookup(B1794,'Special Names'!A:B,2,FALSE),B1794),PlayerValues!E:E,0)),"N/A")</f>
        <v>14871</v>
      </c>
      <c r="B1794" s="4" t="s">
        <v>584</v>
      </c>
      <c r="C1794" s="4" t="s">
        <v>298</v>
      </c>
      <c r="D1794" s="94">
        <v>2248.0</v>
      </c>
    </row>
    <row r="1795">
      <c r="A1795" s="40">
        <f t="array" ref="A1795">IFNA(index(PlayerValues!A:A,match(IFNA(vlookup(B1795,'Special Names'!A:B,2,FALSE),B1795),PlayerValues!E:E,0)),"N/A")</f>
        <v>17467</v>
      </c>
      <c r="B1795" s="4" t="s">
        <v>575</v>
      </c>
      <c r="C1795" s="4" t="s">
        <v>283</v>
      </c>
      <c r="D1795" s="94">
        <v>1856.0</v>
      </c>
    </row>
    <row r="1796">
      <c r="A1796" s="40" t="str">
        <f t="array" ref="A1796">IFNA(index(PlayerValues!A:A,match(IFNA(vlookup(B1796,'Special Names'!A:B,2,FALSE),B1796),PlayerValues!E:E,0)),"N/A")</f>
        <v>N/A</v>
      </c>
      <c r="B1796" s="4" t="s">
        <v>101</v>
      </c>
      <c r="C1796" s="4" t="s">
        <v>325</v>
      </c>
      <c r="D1796" s="94">
        <v>1855.0</v>
      </c>
    </row>
    <row r="1797">
      <c r="A1797" s="40">
        <f t="array" ref="A1797">IFNA(index(PlayerValues!A:A,match(IFNA(vlookup(B1797,'Special Names'!A:B,2,FALSE),B1797),PlayerValues!E:E,0)),"N/A")</f>
        <v>16778</v>
      </c>
      <c r="B1797" s="4" t="s">
        <v>577</v>
      </c>
      <c r="C1797" s="4" t="s">
        <v>287</v>
      </c>
      <c r="D1797" s="94">
        <v>1848.0</v>
      </c>
    </row>
    <row r="1798">
      <c r="A1798" s="40">
        <f t="array" ref="A1798">IFNA(index(PlayerValues!A:A,match(IFNA(vlookup(B1798,'Special Names'!A:B,2,FALSE),B1798),PlayerValues!E:E,0)),"N/A")</f>
        <v>13189</v>
      </c>
      <c r="B1798" s="4" t="s">
        <v>626</v>
      </c>
      <c r="C1798" s="4" t="s">
        <v>298</v>
      </c>
      <c r="D1798" s="94">
        <v>2205.0</v>
      </c>
    </row>
    <row r="1799">
      <c r="A1799" s="40">
        <f t="array" ref="A1799">IFNA(index(PlayerValues!A:A,match(IFNA(vlookup(B1799,'Special Names'!A:B,2,FALSE),B1799),PlayerValues!E:E,0)),"N/A")</f>
        <v>17485</v>
      </c>
      <c r="B1799" s="4" t="s">
        <v>522</v>
      </c>
      <c r="C1799" s="4" t="s">
        <v>278</v>
      </c>
      <c r="D1799" s="94">
        <v>1824.0</v>
      </c>
    </row>
    <row r="1800">
      <c r="A1800" s="40">
        <f t="array" ref="A1800">IFNA(index(PlayerValues!A:A,match(IFNA(vlookup(B1800,'Special Names'!A:B,2,FALSE),B1800),PlayerValues!E:E,0)),"N/A")</f>
        <v>16752</v>
      </c>
      <c r="B1800" s="4" t="s">
        <v>597</v>
      </c>
      <c r="C1800" s="4" t="s">
        <v>278</v>
      </c>
      <c r="D1800" s="94">
        <v>1799.0</v>
      </c>
    </row>
    <row r="1801">
      <c r="A1801" s="40">
        <f t="array" ref="A1801">IFNA(index(PlayerValues!A:A,match(IFNA(vlookup(B1801,'Special Names'!A:B,2,FALSE),B1801),PlayerValues!E:E,0)),"N/A")</f>
        <v>17086</v>
      </c>
      <c r="B1801" s="4" t="s">
        <v>612</v>
      </c>
      <c r="C1801" s="4" t="s">
        <v>287</v>
      </c>
      <c r="D1801" s="94">
        <v>1799.0</v>
      </c>
    </row>
    <row r="1802">
      <c r="A1802" s="40">
        <f t="array" ref="A1802">IFNA(index(PlayerValues!A:A,match(IFNA(vlookup(B1802,'Special Names'!A:B,2,FALSE),B1802),PlayerValues!E:E,0)),"N/A")</f>
        <v>15787</v>
      </c>
      <c r="B1802" s="4" t="s">
        <v>610</v>
      </c>
      <c r="C1802" s="4" t="s">
        <v>287</v>
      </c>
      <c r="D1802" s="94">
        <v>1797.0</v>
      </c>
    </row>
    <row r="1803">
      <c r="A1803" s="40">
        <f t="array" ref="A1803">IFNA(index(PlayerValues!A:A,match(IFNA(vlookup(B1803,'Special Names'!A:B,2,FALSE),B1803),PlayerValues!E:E,0)),"N/A")</f>
        <v>15788</v>
      </c>
      <c r="B1803" s="4" t="s">
        <v>627</v>
      </c>
      <c r="C1803" s="4" t="s">
        <v>287</v>
      </c>
      <c r="D1803" s="94">
        <v>1792.0</v>
      </c>
    </row>
    <row r="1804">
      <c r="A1804" s="40">
        <f t="array" ref="A1804">IFNA(index(PlayerValues!A:A,match(IFNA(vlookup(B1804,'Special Names'!A:B,2,FALSE),B1804),PlayerValues!E:E,0)),"N/A")</f>
        <v>16215</v>
      </c>
      <c r="B1804" s="4" t="s">
        <v>637</v>
      </c>
      <c r="C1804" s="4" t="s">
        <v>298</v>
      </c>
      <c r="D1804" s="94">
        <v>2166.0</v>
      </c>
    </row>
    <row r="1805">
      <c r="A1805" s="40">
        <f t="array" ref="A1805">IFNA(index(PlayerValues!A:A,match(IFNA(vlookup(B1805,'Special Names'!A:B,2,FALSE),B1805),PlayerValues!E:E,0)),"N/A")</f>
        <v>16171</v>
      </c>
      <c r="B1805" s="4" t="s">
        <v>618</v>
      </c>
      <c r="C1805" s="4" t="s">
        <v>278</v>
      </c>
      <c r="D1805" s="94">
        <v>1777.0</v>
      </c>
    </row>
    <row r="1806">
      <c r="A1806" s="40">
        <f t="array" ref="A1806">IFNA(index(PlayerValues!A:A,match(IFNA(vlookup(B1806,'Special Names'!A:B,2,FALSE),B1806),PlayerValues!E:E,0)),"N/A")</f>
        <v>17548</v>
      </c>
      <c r="B1806" s="4" t="s">
        <v>594</v>
      </c>
      <c r="C1806" s="4" t="s">
        <v>298</v>
      </c>
      <c r="D1806" s="94">
        <v>2147.0</v>
      </c>
    </row>
    <row r="1807">
      <c r="A1807" s="40">
        <f t="array" ref="A1807">IFNA(index(PlayerValues!A:A,match(IFNA(vlookup(B1807,'Special Names'!A:B,2,FALSE),B1807),PlayerValues!E:E,0)),"N/A")</f>
        <v>16644</v>
      </c>
      <c r="B1807" s="4" t="s">
        <v>640</v>
      </c>
      <c r="C1807" s="4" t="s">
        <v>298</v>
      </c>
      <c r="D1807" s="94">
        <v>2146.0</v>
      </c>
    </row>
    <row r="1808">
      <c r="A1808" s="40">
        <f t="array" ref="A1808">IFNA(index(PlayerValues!A:A,match(IFNA(vlookup(B1808,'Special Names'!A:B,2,FALSE),B1808),PlayerValues!E:E,0)),"N/A")</f>
        <v>13146</v>
      </c>
      <c r="B1808" s="4" t="s">
        <v>652</v>
      </c>
      <c r="C1808" s="4" t="s">
        <v>278</v>
      </c>
      <c r="D1808" s="94">
        <v>1756.0</v>
      </c>
    </row>
    <row r="1809">
      <c r="A1809" s="40">
        <f t="array" ref="A1809">IFNA(index(PlayerValues!A:A,match(IFNA(vlookup(B1809,'Special Names'!A:B,2,FALSE),B1809),PlayerValues!E:E,0)),"N/A")</f>
        <v>17049</v>
      </c>
      <c r="B1809" s="4" t="s">
        <v>624</v>
      </c>
      <c r="C1809" s="4" t="s">
        <v>278</v>
      </c>
      <c r="D1809" s="94">
        <v>1749.0</v>
      </c>
    </row>
    <row r="1810">
      <c r="A1810" s="40">
        <f t="array" ref="A1810">IFNA(index(PlayerValues!A:A,match(IFNA(vlookup(B1810,'Special Names'!A:B,2,FALSE),B1810),PlayerValues!E:E,0)),"N/A")</f>
        <v>16191</v>
      </c>
      <c r="B1810" s="4" t="s">
        <v>666</v>
      </c>
      <c r="C1810" s="4" t="s">
        <v>287</v>
      </c>
      <c r="D1810" s="94">
        <v>1745.0</v>
      </c>
    </row>
    <row r="1811">
      <c r="A1811" s="40" t="str">
        <f t="array" ref="A1811">IFNA(index(PlayerValues!A:A,match(IFNA(vlookup(B1811,'Special Names'!A:B,2,FALSE),B1811),PlayerValues!E:E,0)),"N/A")</f>
        <v>N/A</v>
      </c>
      <c r="B1811" s="4" t="s">
        <v>102</v>
      </c>
      <c r="C1811" s="4" t="s">
        <v>325</v>
      </c>
      <c r="D1811" s="94">
        <v>1738.0</v>
      </c>
    </row>
    <row r="1812">
      <c r="A1812" s="40">
        <f t="array" ref="A1812">IFNA(index(PlayerValues!A:A,match(IFNA(vlookup(B1812,'Special Names'!A:B,2,FALSE),B1812),PlayerValues!E:E,0)),"N/A")</f>
        <v>13164</v>
      </c>
      <c r="B1812" s="4" t="s">
        <v>632</v>
      </c>
      <c r="C1812" s="4" t="s">
        <v>287</v>
      </c>
      <c r="D1812" s="94">
        <v>1724.0</v>
      </c>
    </row>
    <row r="1813">
      <c r="A1813" s="40">
        <f t="array" ref="A1813">IFNA(index(PlayerValues!A:A,match(IFNA(vlookup(B1813,'Special Names'!A:B,2,FALSE),B1813),PlayerValues!E:E,0)),"N/A")</f>
        <v>17034</v>
      </c>
      <c r="B1813" s="4" t="s">
        <v>643</v>
      </c>
      <c r="C1813" s="4" t="s">
        <v>283</v>
      </c>
      <c r="D1813" s="94">
        <v>1714.0</v>
      </c>
    </row>
    <row r="1814">
      <c r="A1814" s="40" t="str">
        <f t="array" ref="A1814">IFNA(index(PlayerValues!A:A,match(IFNA(vlookup(B1814,'Special Names'!A:B,2,FALSE),B1814),PlayerValues!E:E,0)),"N/A")</f>
        <v>N/A</v>
      </c>
      <c r="B1814" s="4" t="s">
        <v>89</v>
      </c>
      <c r="C1814" s="4" t="s">
        <v>325</v>
      </c>
      <c r="D1814" s="94">
        <v>1712.0</v>
      </c>
    </row>
    <row r="1815">
      <c r="A1815" s="40">
        <f t="array" ref="A1815">IFNA(index(PlayerValues!A:A,match(IFNA(vlookup(B1815,'Special Names'!A:B,2,FALSE),B1815),PlayerValues!E:E,0)),"N/A")</f>
        <v>17035</v>
      </c>
      <c r="B1815" s="4" t="s">
        <v>650</v>
      </c>
      <c r="C1815" s="4" t="s">
        <v>283</v>
      </c>
      <c r="D1815" s="94">
        <v>1704.0</v>
      </c>
    </row>
    <row r="1816">
      <c r="A1816" s="40">
        <f t="array" ref="A1816">IFNA(index(PlayerValues!A:A,match(IFNA(vlookup(B1816,'Special Names'!A:B,2,FALSE),B1816),PlayerValues!E:E,0)),"N/A")</f>
        <v>14143</v>
      </c>
      <c r="B1816" s="4" t="s">
        <v>635</v>
      </c>
      <c r="C1816" s="4" t="s">
        <v>298</v>
      </c>
      <c r="D1816" s="94">
        <v>2080.0</v>
      </c>
    </row>
    <row r="1817">
      <c r="A1817" s="40">
        <f t="array" ref="A1817">IFNA(index(PlayerValues!A:A,match(IFNA(vlookup(B1817,'Special Names'!A:B,2,FALSE),B1817),PlayerValues!E:E,0)),"N/A")</f>
        <v>17607</v>
      </c>
      <c r="B1817" s="4" t="s">
        <v>526</v>
      </c>
      <c r="C1817" s="4" t="s">
        <v>298</v>
      </c>
      <c r="D1817" s="94">
        <v>2078.0</v>
      </c>
    </row>
    <row r="1818">
      <c r="A1818" s="40">
        <f t="array" ref="A1818">IFNA(index(PlayerValues!A:A,match(IFNA(vlookup(B1818,'Special Names'!A:B,2,FALSE),B1818),PlayerValues!E:E,0)),"N/A")</f>
        <v>17567</v>
      </c>
      <c r="B1818" s="4" t="s">
        <v>571</v>
      </c>
      <c r="C1818" s="4" t="s">
        <v>298</v>
      </c>
      <c r="D1818" s="94">
        <v>2078.0</v>
      </c>
    </row>
    <row r="1819">
      <c r="A1819" s="40">
        <f t="array" ref="A1819">IFNA(index(PlayerValues!A:A,match(IFNA(vlookup(B1819,'Special Names'!A:B,2,FALSE),B1819),PlayerValues!E:E,0)),"N/A")</f>
        <v>16585</v>
      </c>
      <c r="B1819" s="4" t="s">
        <v>623</v>
      </c>
      <c r="C1819" s="4" t="s">
        <v>283</v>
      </c>
      <c r="D1819" s="94">
        <v>1695.0</v>
      </c>
    </row>
    <row r="1820">
      <c r="A1820" s="40">
        <f t="array" ref="A1820">IFNA(index(PlayerValues!A:A,match(IFNA(vlookup(B1820,'Special Names'!A:B,2,FALSE),B1820),PlayerValues!E:E,0)),"N/A")</f>
        <v>17064</v>
      </c>
      <c r="B1820" s="4" t="s">
        <v>631</v>
      </c>
      <c r="C1820" s="4" t="s">
        <v>278</v>
      </c>
      <c r="D1820" s="94">
        <v>1682.0</v>
      </c>
    </row>
    <row r="1821">
      <c r="A1821" s="40" t="str">
        <f t="array" ref="A1821">IFNA(index(PlayerValues!A:A,match(IFNA(vlookup(B1821,'Special Names'!A:B,2,FALSE),B1821),PlayerValues!E:E,0)),"N/A")</f>
        <v>N/A</v>
      </c>
      <c r="B1821" s="4" t="s">
        <v>103</v>
      </c>
      <c r="C1821" s="4" t="s">
        <v>325</v>
      </c>
      <c r="D1821" s="94">
        <v>1674.0</v>
      </c>
    </row>
    <row r="1822">
      <c r="A1822" s="40">
        <f t="array" ref="A1822">IFNA(index(PlayerValues!A:A,match(IFNA(vlookup(B1822,'Special Names'!A:B,2,FALSE),B1822),PlayerValues!E:E,0)),"N/A")</f>
        <v>17058</v>
      </c>
      <c r="B1822" s="4" t="s">
        <v>641</v>
      </c>
      <c r="C1822" s="4" t="s">
        <v>278</v>
      </c>
      <c r="D1822" s="94">
        <v>1665.0</v>
      </c>
    </row>
    <row r="1823">
      <c r="A1823" s="40">
        <f t="array" ref="A1823">IFNA(index(PlayerValues!A:A,match(IFNA(vlookup(B1823,'Special Names'!A:B,2,FALSE),B1823),PlayerValues!E:E,0)),"N/A")</f>
        <v>17096</v>
      </c>
      <c r="B1823" s="4" t="s">
        <v>638</v>
      </c>
      <c r="C1823" s="4" t="s">
        <v>287</v>
      </c>
      <c r="D1823" s="94">
        <v>1656.0</v>
      </c>
    </row>
    <row r="1824">
      <c r="A1824" s="40">
        <f t="array" ref="A1824">IFNA(index(PlayerValues!A:A,match(IFNA(vlookup(B1824,'Special Names'!A:B,2,FALSE),B1824),PlayerValues!E:E,0)),"N/A")</f>
        <v>16635</v>
      </c>
      <c r="B1824" s="4" t="s">
        <v>645</v>
      </c>
      <c r="C1824" s="4" t="s">
        <v>287</v>
      </c>
      <c r="D1824" s="94">
        <v>1644.0</v>
      </c>
    </row>
    <row r="1825">
      <c r="A1825" s="40">
        <f t="array" ref="A1825">IFNA(index(PlayerValues!A:A,match(IFNA(vlookup(B1825,'Special Names'!A:B,2,FALSE),B1825),PlayerValues!E:E,0)),"N/A")</f>
        <v>16207</v>
      </c>
      <c r="B1825" s="4" t="s">
        <v>636</v>
      </c>
      <c r="C1825" s="4" t="s">
        <v>287</v>
      </c>
      <c r="D1825" s="94">
        <v>1643.0</v>
      </c>
    </row>
    <row r="1826">
      <c r="A1826" s="40" t="str">
        <f t="array" ref="A1826">IFNA(index(PlayerValues!A:A,match(IFNA(vlookup(B1826,'Special Names'!A:B,2,FALSE),B1826),PlayerValues!E:E,0)),"N/A")</f>
        <v>N/A</v>
      </c>
      <c r="B1826" s="4" t="s">
        <v>115</v>
      </c>
      <c r="C1826" s="4" t="s">
        <v>325</v>
      </c>
      <c r="D1826" s="94">
        <v>1642.0</v>
      </c>
    </row>
    <row r="1827">
      <c r="A1827" s="40">
        <f t="array" ref="A1827">IFNA(index(PlayerValues!A:A,match(IFNA(vlookup(B1827,'Special Names'!A:B,2,FALSE),B1827),PlayerValues!E:E,0)),"N/A")</f>
        <v>17465</v>
      </c>
      <c r="B1827" s="4" t="s">
        <v>649</v>
      </c>
      <c r="C1827" s="4" t="s">
        <v>283</v>
      </c>
      <c r="D1827" s="94">
        <v>1639.0</v>
      </c>
    </row>
    <row r="1828">
      <c r="A1828" s="40">
        <f t="array" ref="A1828">IFNA(index(PlayerValues!A:A,match(IFNA(vlookup(B1828,'Special Names'!A:B,2,FALSE),B1828),PlayerValues!E:E,0)),"N/A")</f>
        <v>15755</v>
      </c>
      <c r="B1828" s="4" t="s">
        <v>628</v>
      </c>
      <c r="C1828" s="4" t="s">
        <v>287</v>
      </c>
      <c r="D1828" s="94">
        <v>1628.0</v>
      </c>
    </row>
    <row r="1829">
      <c r="A1829" s="40" t="str">
        <f t="array" ref="A1829">IFNA(index(PlayerValues!A:A,match(IFNA(vlookup(B1829,'Special Names'!A:B,2,FALSE),B1829),PlayerValues!E:E,0)),"N/A")</f>
        <v>N/A</v>
      </c>
      <c r="B1829" s="4" t="s">
        <v>90</v>
      </c>
      <c r="C1829" s="4" t="s">
        <v>325</v>
      </c>
      <c r="D1829" s="94">
        <v>1625.0</v>
      </c>
    </row>
    <row r="1830">
      <c r="A1830" s="40">
        <f t="array" ref="A1830">IFNA(index(PlayerValues!A:A,match(IFNA(vlookup(B1830,'Special Names'!A:B,2,FALSE),B1830),PlayerValues!E:E,0)),"N/A")</f>
        <v>14105</v>
      </c>
      <c r="B1830" s="4" t="s">
        <v>675</v>
      </c>
      <c r="C1830" s="4" t="s">
        <v>287</v>
      </c>
      <c r="D1830" s="94">
        <v>1620.0</v>
      </c>
    </row>
    <row r="1831">
      <c r="A1831" s="40">
        <f t="array" ref="A1831">IFNA(index(PlayerValues!A:A,match(IFNA(vlookup(B1831,'Special Names'!A:B,2,FALSE),B1831),PlayerValues!E:E,0)),"N/A")</f>
        <v>16201</v>
      </c>
      <c r="B1831" s="4" t="s">
        <v>589</v>
      </c>
      <c r="C1831" s="4" t="s">
        <v>287</v>
      </c>
      <c r="D1831" s="94">
        <v>1617.0</v>
      </c>
    </row>
    <row r="1832">
      <c r="A1832" s="40">
        <f t="array" ref="A1832">IFNA(index(PlayerValues!A:A,match(IFNA(vlookup(B1832,'Special Names'!A:B,2,FALSE),B1832),PlayerValues!E:E,0)),"N/A")</f>
        <v>16601</v>
      </c>
      <c r="B1832" s="4" t="s">
        <v>648</v>
      </c>
      <c r="C1832" s="4" t="s">
        <v>278</v>
      </c>
      <c r="D1832" s="94">
        <v>1608.0</v>
      </c>
    </row>
    <row r="1833">
      <c r="A1833" s="40">
        <f t="array" ref="A1833">IFNA(index(PlayerValues!A:A,match(IFNA(vlookup(B1833,'Special Names'!A:B,2,FALSE),B1833),PlayerValues!E:E,0)),"N/A")</f>
        <v>16586</v>
      </c>
      <c r="B1833" s="4" t="s">
        <v>658</v>
      </c>
      <c r="C1833" s="4" t="s">
        <v>283</v>
      </c>
      <c r="D1833" s="94">
        <v>1582.0</v>
      </c>
    </row>
    <row r="1834">
      <c r="A1834" s="40" t="str">
        <f t="array" ref="A1834">IFNA(index(PlayerValues!A:A,match(IFNA(vlookup(B1834,'Special Names'!A:B,2,FALSE),B1834),PlayerValues!E:E,0)),"N/A")</f>
        <v>N/A</v>
      </c>
      <c r="B1834" s="4" t="s">
        <v>116</v>
      </c>
      <c r="C1834" s="4" t="s">
        <v>325</v>
      </c>
      <c r="D1834" s="94">
        <v>1576.0</v>
      </c>
    </row>
    <row r="1835">
      <c r="A1835" s="40">
        <f t="array" ref="A1835">IFNA(index(PlayerValues!A:A,match(IFNA(vlookup(B1835,'Special Names'!A:B,2,FALSE),B1835),PlayerValues!E:E,0)),"N/A")</f>
        <v>16629</v>
      </c>
      <c r="B1835" s="4" t="s">
        <v>605</v>
      </c>
      <c r="C1835" s="4" t="s">
        <v>287</v>
      </c>
      <c r="D1835" s="94">
        <v>1567.0</v>
      </c>
    </row>
    <row r="1836">
      <c r="A1836" s="40">
        <f t="array" ref="A1836">IFNA(index(PlayerValues!A:A,match(IFNA(vlookup(B1836,'Special Names'!A:B,2,FALSE),B1836),PlayerValues!E:E,0)),"N/A")</f>
        <v>15301</v>
      </c>
      <c r="B1836" s="4" t="s">
        <v>657</v>
      </c>
      <c r="C1836" s="4" t="s">
        <v>287</v>
      </c>
      <c r="D1836" s="94">
        <v>1561.0</v>
      </c>
    </row>
    <row r="1837">
      <c r="A1837" s="40" t="str">
        <f t="array" ref="A1837">IFNA(index(PlayerValues!A:A,match(IFNA(vlookup(B1837,'Special Names'!A:B,2,FALSE),B1837),PlayerValues!E:E,0)),"N/A")</f>
        <v>N/A</v>
      </c>
      <c r="B1837" s="4" t="s">
        <v>91</v>
      </c>
      <c r="C1837" s="4" t="s">
        <v>325</v>
      </c>
      <c r="D1837" s="94">
        <v>1560.0</v>
      </c>
    </row>
    <row r="1838">
      <c r="A1838" s="40">
        <f t="array" ref="A1838">IFNA(index(PlayerValues!A:A,match(IFNA(vlookup(B1838,'Special Names'!A:B,2,FALSE),B1838),PlayerValues!E:E,0)),"N/A")</f>
        <v>16633</v>
      </c>
      <c r="B1838" s="4" t="s">
        <v>656</v>
      </c>
      <c r="C1838" s="4" t="s">
        <v>287</v>
      </c>
      <c r="D1838" s="94">
        <v>1560.0</v>
      </c>
    </row>
    <row r="1839">
      <c r="A1839" s="40">
        <f t="array" ref="A1839">IFNA(index(PlayerValues!A:A,match(IFNA(vlookup(B1839,'Special Names'!A:B,2,FALSE),B1839),PlayerValues!E:E,0)),"N/A")</f>
        <v>15254</v>
      </c>
      <c r="B1839" s="4" t="s">
        <v>633</v>
      </c>
      <c r="C1839" s="4" t="s">
        <v>278</v>
      </c>
      <c r="D1839" s="94">
        <v>1557.0</v>
      </c>
    </row>
    <row r="1840">
      <c r="A1840" s="40">
        <f t="array" ref="A1840">IFNA(index(PlayerValues!A:A,match(IFNA(vlookup(B1840,'Special Names'!A:B,2,FALSE),B1840),PlayerValues!E:E,0)),"N/A")</f>
        <v>15319</v>
      </c>
      <c r="B1840" s="4" t="s">
        <v>644</v>
      </c>
      <c r="C1840" s="4" t="s">
        <v>287</v>
      </c>
      <c r="D1840" s="94">
        <v>1546.0</v>
      </c>
    </row>
    <row r="1841">
      <c r="A1841" s="40">
        <f t="array" ref="A1841">IFNA(index(PlayerValues!A:A,match(IFNA(vlookup(B1841,'Special Names'!A:B,2,FALSE),B1841),PlayerValues!E:E,0)),"N/A")</f>
        <v>17529</v>
      </c>
      <c r="B1841" s="4" t="s">
        <v>608</v>
      </c>
      <c r="C1841" s="4" t="s">
        <v>287</v>
      </c>
      <c r="D1841" s="94">
        <v>1545.0</v>
      </c>
    </row>
    <row r="1842">
      <c r="A1842" s="40">
        <f t="array" ref="A1842">IFNA(index(PlayerValues!A:A,match(IFNA(vlookup(B1842,'Special Names'!A:B,2,FALSE),B1842),PlayerValues!E:E,0)),"N/A")</f>
        <v>17234</v>
      </c>
      <c r="B1842" s="4" t="s">
        <v>653</v>
      </c>
      <c r="C1842" s="4" t="s">
        <v>287</v>
      </c>
      <c r="D1842" s="94">
        <v>1539.0</v>
      </c>
    </row>
    <row r="1843">
      <c r="A1843" s="40">
        <f t="array" ref="A1843">IFNA(index(PlayerValues!A:A,match(IFNA(vlookup(B1843,'Special Names'!A:B,2,FALSE),B1843),PlayerValues!E:E,0)),"N/A")</f>
        <v>15713</v>
      </c>
      <c r="B1843" s="4" t="s">
        <v>732</v>
      </c>
      <c r="C1843" s="4" t="s">
        <v>278</v>
      </c>
      <c r="D1843" s="94">
        <v>1515.0</v>
      </c>
    </row>
    <row r="1844">
      <c r="A1844" s="40">
        <f t="array" ref="A1844">IFNA(index(PlayerValues!A:A,match(IFNA(vlookup(B1844,'Special Names'!A:B,2,FALSE),B1844),PlayerValues!E:E,0)),"N/A")</f>
        <v>17205</v>
      </c>
      <c r="B1844" s="4" t="s">
        <v>665</v>
      </c>
      <c r="C1844" s="4" t="s">
        <v>287</v>
      </c>
      <c r="D1844" s="94">
        <v>1514.0</v>
      </c>
    </row>
    <row r="1845">
      <c r="A1845" s="40">
        <f t="array" ref="A1845">IFNA(index(PlayerValues!A:A,match(IFNA(vlookup(B1845,'Special Names'!A:B,2,FALSE),B1845),PlayerValues!E:E,0)),"N/A")</f>
        <v>14122</v>
      </c>
      <c r="B1845" s="4" t="s">
        <v>663</v>
      </c>
      <c r="C1845" s="4" t="s">
        <v>287</v>
      </c>
      <c r="D1845" s="94">
        <v>1505.0</v>
      </c>
    </row>
    <row r="1846">
      <c r="A1846" s="40">
        <f t="array" ref="A1846">IFNA(index(PlayerValues!A:A,match(IFNA(vlookup(B1846,'Special Names'!A:B,2,FALSE),B1846),PlayerValues!E:E,0)),"N/A")</f>
        <v>15337</v>
      </c>
      <c r="B1846" s="4" t="s">
        <v>655</v>
      </c>
      <c r="C1846" s="4" t="s">
        <v>298</v>
      </c>
      <c r="D1846" s="94">
        <v>1868.0</v>
      </c>
    </row>
    <row r="1847">
      <c r="A1847" s="40">
        <f t="array" ref="A1847">IFNA(index(PlayerValues!A:A,match(IFNA(vlookup(B1847,'Special Names'!A:B,2,FALSE),B1847),PlayerValues!E:E,0)),"N/A")</f>
        <v>16595</v>
      </c>
      <c r="B1847" s="4" t="s">
        <v>664</v>
      </c>
      <c r="C1847" s="4" t="s">
        <v>278</v>
      </c>
      <c r="D1847" s="94">
        <v>1494.0</v>
      </c>
    </row>
    <row r="1848">
      <c r="A1848" s="40">
        <f t="array" ref="A1848">IFNA(index(PlayerValues!A:A,match(IFNA(vlookup(B1848,'Special Names'!A:B,2,FALSE),B1848),PlayerValues!E:E,0)),"N/A")</f>
        <v>16688</v>
      </c>
      <c r="B1848" s="4" t="s">
        <v>688</v>
      </c>
      <c r="C1848" s="4" t="s">
        <v>278</v>
      </c>
      <c r="D1848" s="94">
        <v>1494.0</v>
      </c>
    </row>
    <row r="1849">
      <c r="A1849" s="40">
        <f t="array" ref="A1849">IFNA(index(PlayerValues!A:A,match(IFNA(vlookup(B1849,'Special Names'!A:B,2,FALSE),B1849),PlayerValues!E:E,0)),"N/A")</f>
        <v>16175</v>
      </c>
      <c r="B1849" s="4" t="s">
        <v>654</v>
      </c>
      <c r="C1849" s="4" t="s">
        <v>278</v>
      </c>
      <c r="D1849" s="94">
        <v>1486.0</v>
      </c>
    </row>
    <row r="1850">
      <c r="A1850" s="40">
        <f t="array" ref="A1850">IFNA(index(PlayerValues!A:A,match(IFNA(vlookup(B1850,'Special Names'!A:B,2,FALSE),B1850),PlayerValues!E:E,0)),"N/A")</f>
        <v>17054</v>
      </c>
      <c r="B1850" s="4" t="s">
        <v>670</v>
      </c>
      <c r="C1850" s="4" t="s">
        <v>278</v>
      </c>
      <c r="D1850" s="94">
        <v>1477.0</v>
      </c>
    </row>
    <row r="1851">
      <c r="A1851" s="40">
        <f t="array" ref="A1851">IFNA(index(PlayerValues!A:A,match(IFNA(vlookup(B1851,'Special Names'!A:B,2,FALSE),B1851),PlayerValues!E:E,0)),"N/A")</f>
        <v>15752</v>
      </c>
      <c r="B1851" s="4" t="s">
        <v>647</v>
      </c>
      <c r="C1851" s="4" t="s">
        <v>287</v>
      </c>
      <c r="D1851" s="94">
        <v>1468.0</v>
      </c>
    </row>
    <row r="1852">
      <c r="A1852" s="40">
        <f t="array" ref="A1852">IFNA(index(PlayerValues!A:A,match(IFNA(vlookup(B1852,'Special Names'!A:B,2,FALSE),B1852),PlayerValues!E:E,0)),"N/A")</f>
        <v>13672</v>
      </c>
      <c r="B1852" s="4" t="s">
        <v>667</v>
      </c>
      <c r="C1852" s="4" t="s">
        <v>298</v>
      </c>
      <c r="D1852" s="94">
        <v>1834.0</v>
      </c>
    </row>
    <row r="1853">
      <c r="A1853" s="40">
        <f t="array" ref="A1853">IFNA(index(PlayerValues!A:A,match(IFNA(vlookup(B1853,'Special Names'!A:B,2,FALSE),B1853),PlayerValues!E:E,0)),"N/A")</f>
        <v>16788</v>
      </c>
      <c r="B1853" s="4" t="s">
        <v>621</v>
      </c>
      <c r="C1853" s="4" t="s">
        <v>287</v>
      </c>
      <c r="D1853" s="94">
        <v>1452.0</v>
      </c>
    </row>
    <row r="1854">
      <c r="A1854" s="40">
        <f t="array" ref="A1854">IFNA(index(PlayerValues!A:A,match(IFNA(vlookup(B1854,'Special Names'!A:B,2,FALSE),B1854),PlayerValues!E:E,0)),"N/A")</f>
        <v>15873</v>
      </c>
      <c r="B1854" s="4" t="s">
        <v>681</v>
      </c>
      <c r="C1854" s="4" t="s">
        <v>298</v>
      </c>
      <c r="D1854" s="94">
        <v>1810.0</v>
      </c>
    </row>
    <row r="1855">
      <c r="A1855" s="40">
        <f t="array" ref="A1855">IFNA(index(PlayerValues!A:A,match(IFNA(vlookup(B1855,'Special Names'!A:B,2,FALSE),B1855),PlayerValues!E:E,0)),"N/A")</f>
        <v>15759</v>
      </c>
      <c r="B1855" s="4" t="s">
        <v>662</v>
      </c>
      <c r="C1855" s="4" t="s">
        <v>287</v>
      </c>
      <c r="D1855" s="94">
        <v>1433.0</v>
      </c>
    </row>
    <row r="1856">
      <c r="A1856" s="40">
        <f t="array" ref="A1856">IFNA(index(PlayerValues!A:A,match(IFNA(vlookup(B1856,'Special Names'!A:B,2,FALSE),B1856),PlayerValues!E:E,0)),"N/A")</f>
        <v>15777</v>
      </c>
      <c r="B1856" s="4" t="s">
        <v>694</v>
      </c>
      <c r="C1856" s="4" t="s">
        <v>287</v>
      </c>
      <c r="D1856" s="94">
        <v>1422.0</v>
      </c>
    </row>
    <row r="1857">
      <c r="A1857" s="40">
        <f t="array" ref="A1857">IFNA(index(PlayerValues!A:A,match(IFNA(vlookup(B1857,'Special Names'!A:B,2,FALSE),B1857),PlayerValues!E:E,0)),"N/A")</f>
        <v>16390</v>
      </c>
      <c r="B1857" s="4" t="s">
        <v>689</v>
      </c>
      <c r="C1857" s="4" t="s">
        <v>278</v>
      </c>
      <c r="D1857" s="94">
        <v>1418.0</v>
      </c>
    </row>
    <row r="1858">
      <c r="A1858" s="40">
        <f t="array" ref="A1858">IFNA(index(PlayerValues!A:A,match(IFNA(vlookup(B1858,'Special Names'!A:B,2,FALSE),B1858),PlayerValues!E:E,0)),"N/A")</f>
        <v>17519</v>
      </c>
      <c r="B1858" s="4" t="s">
        <v>593</v>
      </c>
      <c r="C1858" s="4" t="s">
        <v>287</v>
      </c>
      <c r="D1858" s="94">
        <v>1417.0</v>
      </c>
    </row>
    <row r="1859">
      <c r="A1859" s="40">
        <f t="array" ref="A1859">IFNA(index(PlayerValues!A:A,match(IFNA(vlookup(B1859,'Special Names'!A:B,2,FALSE),B1859),PlayerValues!E:E,0)),"N/A")</f>
        <v>16621</v>
      </c>
      <c r="B1859" s="4" t="s">
        <v>672</v>
      </c>
      <c r="C1859" s="4" t="s">
        <v>287</v>
      </c>
      <c r="D1859" s="94">
        <v>1411.0</v>
      </c>
    </row>
    <row r="1860">
      <c r="A1860" s="40">
        <f t="array" ref="A1860">IFNA(index(PlayerValues!A:A,match(IFNA(vlookup(B1860,'Special Names'!A:B,2,FALSE),B1860),PlayerValues!E:E,0)),"N/A")</f>
        <v>14137</v>
      </c>
      <c r="B1860" s="4" t="s">
        <v>676</v>
      </c>
      <c r="C1860" s="4" t="s">
        <v>298</v>
      </c>
      <c r="D1860" s="94">
        <v>1774.0</v>
      </c>
    </row>
    <row r="1861">
      <c r="A1861" s="40">
        <f t="array" ref="A1861">IFNA(index(PlayerValues!A:A,match(IFNA(vlookup(B1861,'Special Names'!A:B,2,FALSE),B1861),PlayerValues!E:E,0)),"N/A")</f>
        <v>17521</v>
      </c>
      <c r="B1861" s="4" t="s">
        <v>573</v>
      </c>
      <c r="C1861" s="4" t="s">
        <v>287</v>
      </c>
      <c r="D1861" s="94">
        <v>1397.0</v>
      </c>
    </row>
    <row r="1862">
      <c r="A1862" s="40">
        <f t="array" ref="A1862">IFNA(index(PlayerValues!A:A,match(IFNA(vlookup(B1862,'Special Names'!A:B,2,FALSE),B1862),PlayerValues!E:E,0)),"N/A")</f>
        <v>15738</v>
      </c>
      <c r="B1862" s="4" t="s">
        <v>634</v>
      </c>
      <c r="C1862" s="4" t="s">
        <v>278</v>
      </c>
      <c r="D1862" s="94">
        <v>1396.0</v>
      </c>
    </row>
    <row r="1863">
      <c r="A1863" s="40">
        <f t="array" ref="A1863">IFNA(index(PlayerValues!A:A,match(IFNA(vlookup(B1863,'Special Names'!A:B,2,FALSE),B1863),PlayerValues!E:E,0)),"N/A")</f>
        <v>16387</v>
      </c>
      <c r="B1863" s="4" t="s">
        <v>646</v>
      </c>
      <c r="C1863" s="4" t="s">
        <v>278</v>
      </c>
      <c r="D1863" s="94">
        <v>1396.0</v>
      </c>
    </row>
    <row r="1864">
      <c r="A1864" s="40">
        <f t="array" ref="A1864">IFNA(index(PlayerValues!A:A,match(IFNA(vlookup(B1864,'Special Names'!A:B,2,FALSE),B1864),PlayerValues!E:E,0)),"N/A")</f>
        <v>16631</v>
      </c>
      <c r="B1864" s="4" t="s">
        <v>800</v>
      </c>
      <c r="C1864" s="4" t="s">
        <v>287</v>
      </c>
      <c r="D1864" s="94">
        <v>1396.0</v>
      </c>
    </row>
    <row r="1865">
      <c r="A1865" s="40">
        <f t="array" ref="A1865">IFNA(index(PlayerValues!A:A,match(IFNA(vlookup(B1865,'Special Names'!A:B,2,FALSE),B1865),PlayerValues!E:E,0)),"N/A")</f>
        <v>16642</v>
      </c>
      <c r="B1865" s="4" t="s">
        <v>691</v>
      </c>
      <c r="C1865" s="4" t="s">
        <v>298</v>
      </c>
      <c r="D1865" s="94">
        <v>1765.0</v>
      </c>
    </row>
    <row r="1866">
      <c r="A1866" s="40">
        <f t="array" ref="A1866">IFNA(index(PlayerValues!A:A,match(IFNA(vlookup(B1866,'Special Names'!A:B,2,FALSE),B1866),PlayerValues!E:E,0)),"N/A")</f>
        <v>16384</v>
      </c>
      <c r="B1866" s="4" t="s">
        <v>696</v>
      </c>
      <c r="C1866" s="4" t="s">
        <v>283</v>
      </c>
      <c r="D1866" s="94">
        <v>1388.0</v>
      </c>
    </row>
    <row r="1867">
      <c r="A1867" s="40">
        <f t="array" ref="A1867">IFNA(index(PlayerValues!A:A,match(IFNA(vlookup(B1867,'Special Names'!A:B,2,FALSE),B1867),PlayerValues!E:E,0)),"N/A")</f>
        <v>16608</v>
      </c>
      <c r="B1867" s="4" t="s">
        <v>629</v>
      </c>
      <c r="C1867" s="4" t="s">
        <v>278</v>
      </c>
      <c r="D1867" s="94">
        <v>1373.0</v>
      </c>
    </row>
    <row r="1868">
      <c r="A1868" s="40">
        <f t="array" ref="A1868">IFNA(index(PlayerValues!A:A,match(IFNA(vlookup(B1868,'Special Names'!A:B,2,FALSE),B1868),PlayerValues!E:E,0)),"N/A")</f>
        <v>16792</v>
      </c>
      <c r="B1868" s="4" t="s">
        <v>704</v>
      </c>
      <c r="C1868" s="4" t="s">
        <v>287</v>
      </c>
      <c r="D1868" s="94">
        <v>1367.0</v>
      </c>
    </row>
    <row r="1869">
      <c r="A1869" s="40">
        <f t="array" ref="A1869">IFNA(index(PlayerValues!A:A,match(IFNA(vlookup(B1869,'Special Names'!A:B,2,FALSE),B1869),PlayerValues!E:E,0)),"N/A")</f>
        <v>17599</v>
      </c>
      <c r="B1869" s="4" t="s">
        <v>496</v>
      </c>
      <c r="C1869" s="4" t="s">
        <v>287</v>
      </c>
      <c r="D1869" s="94">
        <v>1361.0</v>
      </c>
    </row>
    <row r="1870">
      <c r="A1870" s="40">
        <f t="array" ref="A1870">IFNA(index(PlayerValues!A:A,match(IFNA(vlookup(B1870,'Special Names'!A:B,2,FALSE),B1870),PlayerValues!E:E,0)),"N/A")</f>
        <v>14086</v>
      </c>
      <c r="B1870" s="4" t="s">
        <v>639</v>
      </c>
      <c r="C1870" s="4" t="s">
        <v>278</v>
      </c>
      <c r="D1870" s="94">
        <v>1351.0</v>
      </c>
    </row>
    <row r="1871">
      <c r="A1871" s="40">
        <f t="array" ref="A1871">IFNA(index(PlayerValues!A:A,match(IFNA(vlookup(B1871,'Special Names'!A:B,2,FALSE),B1871),PlayerValues!E:E,0)),"N/A")</f>
        <v>15292</v>
      </c>
      <c r="B1871" s="4" t="s">
        <v>682</v>
      </c>
      <c r="C1871" s="4" t="s">
        <v>287</v>
      </c>
      <c r="D1871" s="94">
        <v>1347.0</v>
      </c>
    </row>
    <row r="1872">
      <c r="A1872" s="40">
        <f t="array" ref="A1872">IFNA(index(PlayerValues!A:A,match(IFNA(vlookup(B1872,'Special Names'!A:B,2,FALSE),B1872),PlayerValues!E:E,0)),"N/A")</f>
        <v>17037</v>
      </c>
      <c r="B1872" s="4" t="s">
        <v>727</v>
      </c>
      <c r="C1872" s="4" t="s">
        <v>283</v>
      </c>
      <c r="D1872" s="94">
        <v>1318.0</v>
      </c>
    </row>
    <row r="1873">
      <c r="A1873" s="40">
        <f t="array" ref="A1873">IFNA(index(PlayerValues!A:A,match(IFNA(vlookup(B1873,'Special Names'!A:B,2,FALSE),B1873),PlayerValues!E:E,0)),"N/A")</f>
        <v>17685</v>
      </c>
      <c r="B1873" s="4" t="s">
        <v>630</v>
      </c>
      <c r="C1873" s="4" t="s">
        <v>278</v>
      </c>
      <c r="D1873" s="94">
        <v>1316.0</v>
      </c>
    </row>
    <row r="1874">
      <c r="A1874" s="40">
        <f t="array" ref="A1874">IFNA(index(PlayerValues!A:A,match(IFNA(vlookup(B1874,'Special Names'!A:B,2,FALSE),B1874),PlayerValues!E:E,0)),"N/A")</f>
        <v>12140</v>
      </c>
      <c r="B1874" s="4" t="s">
        <v>702</v>
      </c>
      <c r="C1874" s="4" t="s">
        <v>283</v>
      </c>
      <c r="D1874" s="94">
        <v>1312.0</v>
      </c>
    </row>
    <row r="1875">
      <c r="A1875" s="40">
        <f t="array" ref="A1875">IFNA(index(PlayerValues!A:A,match(IFNA(vlookup(B1875,'Special Names'!A:B,2,FALSE),B1875),PlayerValues!E:E,0)),"N/A")</f>
        <v>17254</v>
      </c>
      <c r="B1875" s="4" t="s">
        <v>679</v>
      </c>
      <c r="C1875" s="4" t="s">
        <v>287</v>
      </c>
      <c r="D1875" s="94">
        <v>1309.0</v>
      </c>
    </row>
    <row r="1876">
      <c r="A1876" s="40">
        <f t="array" ref="A1876">IFNA(index(PlayerValues!A:A,match(IFNA(vlookup(B1876,'Special Names'!A:B,2,FALSE),B1876),PlayerValues!E:E,0)),"N/A")</f>
        <v>17062</v>
      </c>
      <c r="B1876" s="4" t="s">
        <v>701</v>
      </c>
      <c r="C1876" s="4" t="s">
        <v>278</v>
      </c>
      <c r="D1876" s="94">
        <v>1302.0</v>
      </c>
    </row>
    <row r="1877">
      <c r="A1877" s="40">
        <f t="array" ref="A1877">IFNA(index(PlayerValues!A:A,match(IFNA(vlookup(B1877,'Special Names'!A:B,2,FALSE),B1877),PlayerValues!E:E,0)),"N/A")</f>
        <v>12678</v>
      </c>
      <c r="B1877" s="4" t="s">
        <v>703</v>
      </c>
      <c r="C1877" s="4" t="s">
        <v>298</v>
      </c>
      <c r="D1877" s="94">
        <v>1653.0</v>
      </c>
    </row>
    <row r="1878">
      <c r="A1878" s="40">
        <f t="array" ref="A1878">IFNA(index(PlayerValues!A:A,match(IFNA(vlookup(B1878,'Special Names'!A:B,2,FALSE),B1878),PlayerValues!E:E,0)),"N/A")</f>
        <v>13418</v>
      </c>
      <c r="B1878" s="4" t="s">
        <v>706</v>
      </c>
      <c r="C1878" s="4" t="s">
        <v>287</v>
      </c>
      <c r="D1878" s="94">
        <v>1275.0</v>
      </c>
    </row>
    <row r="1879">
      <c r="A1879" s="40">
        <f t="array" ref="A1879">IFNA(index(PlayerValues!A:A,match(IFNA(vlookup(B1879,'Special Names'!A:B,2,FALSE),B1879),PlayerValues!E:E,0)),"N/A")</f>
        <v>15252</v>
      </c>
      <c r="B1879" s="4" t="s">
        <v>715</v>
      </c>
      <c r="C1879" s="4" t="s">
        <v>283</v>
      </c>
      <c r="D1879" s="94">
        <v>1270.0</v>
      </c>
    </row>
    <row r="1880">
      <c r="A1880" s="40" t="str">
        <f t="array" ref="A1880">IFNA(index(PlayerValues!A:A,match(IFNA(vlookup(B1880,'Special Names'!A:B,2,FALSE),B1880),PlayerValues!E:E,0)),"N/A")</f>
        <v>N/A</v>
      </c>
      <c r="B1880" s="4" t="s">
        <v>117</v>
      </c>
      <c r="C1880" s="4" t="s">
        <v>325</v>
      </c>
      <c r="D1880" s="94">
        <v>1261.0</v>
      </c>
    </row>
    <row r="1881">
      <c r="A1881" s="40">
        <f t="array" ref="A1881">IFNA(index(PlayerValues!A:A,match(IFNA(vlookup(B1881,'Special Names'!A:B,2,FALSE),B1881),PlayerValues!E:E,0)),"N/A")</f>
        <v>12141</v>
      </c>
      <c r="B1881" s="4" t="s">
        <v>744</v>
      </c>
      <c r="C1881" s="4" t="s">
        <v>283</v>
      </c>
      <c r="D1881" s="94">
        <v>1257.0</v>
      </c>
    </row>
    <row r="1882">
      <c r="A1882" s="40">
        <f t="array" ref="A1882">IFNA(index(PlayerValues!A:A,match(IFNA(vlookup(B1882,'Special Names'!A:B,2,FALSE),B1882),PlayerValues!E:E,0)),"N/A")</f>
        <v>16645</v>
      </c>
      <c r="B1882" s="4" t="s">
        <v>651</v>
      </c>
      <c r="C1882" s="4" t="s">
        <v>298</v>
      </c>
      <c r="D1882" s="94">
        <v>1624.0</v>
      </c>
    </row>
    <row r="1883">
      <c r="A1883" s="40">
        <f t="array" ref="A1883">IFNA(index(PlayerValues!A:A,match(IFNA(vlookup(B1883,'Special Names'!A:B,2,FALSE),B1883),PlayerValues!E:E,0)),"N/A")</f>
        <v>14592</v>
      </c>
      <c r="B1883" s="4" t="s">
        <v>705</v>
      </c>
      <c r="C1883" s="4" t="s">
        <v>287</v>
      </c>
      <c r="D1883" s="94">
        <v>1256.0</v>
      </c>
    </row>
    <row r="1884">
      <c r="A1884" s="40">
        <f t="array" ref="A1884">IFNA(index(PlayerValues!A:A,match(IFNA(vlookup(B1884,'Special Names'!A:B,2,FALSE),B1884),PlayerValues!E:E,0)),"N/A")</f>
        <v>14080</v>
      </c>
      <c r="B1884" s="4" t="s">
        <v>716</v>
      </c>
      <c r="C1884" s="4" t="s">
        <v>278</v>
      </c>
      <c r="D1884" s="94">
        <v>1246.0</v>
      </c>
    </row>
    <row r="1885">
      <c r="A1885" s="40">
        <f t="array" ref="A1885">IFNA(index(PlayerValues!A:A,match(IFNA(vlookup(B1885,'Special Names'!A:B,2,FALSE),B1885),PlayerValues!E:E,0)),"N/A")</f>
        <v>15332</v>
      </c>
      <c r="B1885" s="4" t="s">
        <v>698</v>
      </c>
      <c r="C1885" s="4" t="s">
        <v>298</v>
      </c>
      <c r="D1885" s="94">
        <v>1613.0</v>
      </c>
    </row>
    <row r="1886">
      <c r="A1886" s="40">
        <f t="array" ref="A1886">IFNA(index(PlayerValues!A:A,match(IFNA(vlookup(B1886,'Special Names'!A:B,2,FALSE),B1886),PlayerValues!E:E,0)),"N/A")</f>
        <v>14095</v>
      </c>
      <c r="B1886" s="4" t="s">
        <v>680</v>
      </c>
      <c r="C1886" s="4" t="s">
        <v>278</v>
      </c>
      <c r="D1886" s="94">
        <v>1245.0</v>
      </c>
    </row>
    <row r="1887">
      <c r="A1887" s="40">
        <f t="array" ref="A1887">IFNA(index(PlayerValues!A:A,match(IFNA(vlookup(B1887,'Special Names'!A:B,2,FALSE),B1887),PlayerValues!E:E,0)),"N/A")</f>
        <v>16149</v>
      </c>
      <c r="B1887" s="4" t="s">
        <v>740</v>
      </c>
      <c r="C1887" s="4" t="s">
        <v>283</v>
      </c>
      <c r="D1887" s="94">
        <v>1239.0</v>
      </c>
    </row>
    <row r="1888">
      <c r="A1888" s="40">
        <f t="array" ref="A1888">IFNA(index(PlayerValues!A:A,match(IFNA(vlookup(B1888,'Special Names'!A:B,2,FALSE),B1888),PlayerValues!E:E,0)),"N/A")</f>
        <v>11222</v>
      </c>
      <c r="B1888" s="4" t="s">
        <v>622</v>
      </c>
      <c r="C1888" s="4" t="s">
        <v>287</v>
      </c>
      <c r="D1888" s="94">
        <v>1233.0</v>
      </c>
    </row>
    <row r="1889">
      <c r="A1889" s="40">
        <f t="array" ref="A1889">IFNA(index(PlayerValues!A:A,match(IFNA(vlookup(B1889,'Special Names'!A:B,2,FALSE),B1889),PlayerValues!E:E,0)),"N/A")</f>
        <v>15702</v>
      </c>
      <c r="B1889" s="4" t="s">
        <v>723</v>
      </c>
      <c r="C1889" s="4" t="s">
        <v>283</v>
      </c>
      <c r="D1889" s="94">
        <v>1225.0</v>
      </c>
    </row>
    <row r="1890">
      <c r="A1890" s="40">
        <f t="array" ref="A1890">IFNA(index(PlayerValues!A:A,match(IFNA(vlookup(B1890,'Special Names'!A:B,2,FALSE),B1890),PlayerValues!E:E,0)),"N/A")</f>
        <v>16636</v>
      </c>
      <c r="B1890" s="4" t="s">
        <v>699</v>
      </c>
      <c r="C1890" s="4" t="s">
        <v>287</v>
      </c>
      <c r="D1890" s="94">
        <v>1224.0</v>
      </c>
    </row>
    <row r="1891">
      <c r="A1891" s="40">
        <f t="array" ref="A1891">IFNA(index(PlayerValues!A:A,match(IFNA(vlookup(B1891,'Special Names'!A:B,2,FALSE),B1891),PlayerValues!E:E,0)),"N/A")</f>
        <v>17097</v>
      </c>
      <c r="B1891" s="4" t="s">
        <v>659</v>
      </c>
      <c r="C1891" s="4" t="s">
        <v>287</v>
      </c>
      <c r="D1891" s="94">
        <v>1221.0</v>
      </c>
    </row>
    <row r="1892">
      <c r="A1892" s="40">
        <f t="array" ref="A1892">IFNA(index(PlayerValues!A:A,match(IFNA(vlookup(B1892,'Special Names'!A:B,2,FALSE),B1892),PlayerValues!E:E,0)),"N/A")</f>
        <v>17077</v>
      </c>
      <c r="B1892" s="4" t="s">
        <v>714</v>
      </c>
      <c r="C1892" s="4" t="s">
        <v>287</v>
      </c>
      <c r="D1892" s="94">
        <v>1219.0</v>
      </c>
    </row>
    <row r="1893">
      <c r="A1893" s="40">
        <f t="array" ref="A1893">IFNA(index(PlayerValues!A:A,match(IFNA(vlookup(B1893,'Special Names'!A:B,2,FALSE),B1893),PlayerValues!E:E,0)),"N/A")</f>
        <v>16746</v>
      </c>
      <c r="B1893" s="4" t="s">
        <v>709</v>
      </c>
      <c r="C1893" s="4" t="s">
        <v>278</v>
      </c>
      <c r="D1893" s="94">
        <v>1213.0</v>
      </c>
    </row>
    <row r="1894">
      <c r="A1894" s="40">
        <f t="array" ref="A1894">IFNA(index(PlayerValues!A:A,match(IFNA(vlookup(B1894,'Special Names'!A:B,2,FALSE),B1894),PlayerValues!E:E,0)),"N/A")</f>
        <v>16183</v>
      </c>
      <c r="B1894" s="4" t="s">
        <v>678</v>
      </c>
      <c r="C1894" s="4" t="s">
        <v>287</v>
      </c>
      <c r="D1894" s="94">
        <v>1212.0</v>
      </c>
    </row>
    <row r="1895">
      <c r="A1895" s="40">
        <f t="array" ref="A1895">IFNA(index(PlayerValues!A:A,match(IFNA(vlookup(B1895,'Special Names'!A:B,2,FALSE),B1895),PlayerValues!E:E,0)),"N/A")</f>
        <v>14789</v>
      </c>
      <c r="B1895" s="4" t="s">
        <v>721</v>
      </c>
      <c r="C1895" s="4" t="s">
        <v>283</v>
      </c>
      <c r="D1895" s="94">
        <v>1210.0</v>
      </c>
    </row>
    <row r="1896">
      <c r="A1896" s="40">
        <f t="array" ref="A1896">IFNA(index(PlayerValues!A:A,match(IFNA(vlookup(B1896,'Special Names'!A:B,2,FALSE),B1896),PlayerValues!E:E,0)),"N/A")</f>
        <v>16333</v>
      </c>
      <c r="B1896" s="4" t="s">
        <v>711</v>
      </c>
      <c r="C1896" s="4" t="s">
        <v>298</v>
      </c>
      <c r="D1896" s="94">
        <v>1566.0</v>
      </c>
    </row>
    <row r="1897">
      <c r="A1897" s="40">
        <f t="array" ref="A1897">IFNA(index(PlayerValues!A:A,match(IFNA(vlookup(B1897,'Special Names'!A:B,2,FALSE),B1897),PlayerValues!E:E,0)),"N/A")</f>
        <v>17652</v>
      </c>
      <c r="B1897" s="4" t="s">
        <v>576</v>
      </c>
      <c r="C1897" s="4" t="s">
        <v>278</v>
      </c>
      <c r="D1897" s="94">
        <v>1197.0</v>
      </c>
    </row>
    <row r="1898">
      <c r="A1898" s="40">
        <f t="array" ref="A1898">IFNA(index(PlayerValues!A:A,match(IFNA(vlookup(B1898,'Special Names'!A:B,2,FALSE),B1898),PlayerValues!E:E,0)),"N/A")</f>
        <v>16883</v>
      </c>
      <c r="B1898" s="4" t="s">
        <v>683</v>
      </c>
      <c r="C1898" s="4" t="s">
        <v>287</v>
      </c>
      <c r="D1898" s="94">
        <v>1196.0</v>
      </c>
    </row>
    <row r="1899">
      <c r="A1899" s="40">
        <f t="array" ref="A1899">IFNA(index(PlayerValues!A:A,match(IFNA(vlookup(B1899,'Special Names'!A:B,2,FALSE),B1899),PlayerValues!E:E,0)),"N/A")</f>
        <v>17269</v>
      </c>
      <c r="B1899" s="4" t="s">
        <v>718</v>
      </c>
      <c r="C1899" s="4" t="s">
        <v>287</v>
      </c>
      <c r="D1899" s="94">
        <v>1192.0</v>
      </c>
    </row>
    <row r="1900">
      <c r="A1900" s="40">
        <f t="array" ref="A1900">IFNA(index(PlayerValues!A:A,match(IFNA(vlookup(B1900,'Special Names'!A:B,2,FALSE),B1900),PlayerValues!E:E,0)),"N/A")</f>
        <v>17109</v>
      </c>
      <c r="B1900" s="4" t="s">
        <v>707</v>
      </c>
      <c r="C1900" s="4" t="s">
        <v>298</v>
      </c>
      <c r="D1900" s="94">
        <v>1550.0</v>
      </c>
    </row>
    <row r="1901">
      <c r="A1901" s="40">
        <f t="array" ref="A1901">IFNA(index(PlayerValues!A:A,match(IFNA(vlookup(B1901,'Special Names'!A:B,2,FALSE),B1901),PlayerValues!E:E,0)),"N/A")</f>
        <v>17063</v>
      </c>
      <c r="B1901" s="4" t="s">
        <v>686</v>
      </c>
      <c r="C1901" s="4" t="s">
        <v>278</v>
      </c>
      <c r="D1901" s="94">
        <v>1179.0</v>
      </c>
    </row>
    <row r="1902">
      <c r="A1902" s="40">
        <f t="array" ref="A1902">IFNA(index(PlayerValues!A:A,match(IFNA(vlookup(B1902,'Special Names'!A:B,2,FALSE),B1902),PlayerValues!E:E,0)),"N/A")</f>
        <v>17546</v>
      </c>
      <c r="B1902" s="4" t="s">
        <v>671</v>
      </c>
      <c r="C1902" s="4" t="s">
        <v>298</v>
      </c>
      <c r="D1902" s="94">
        <v>1534.0</v>
      </c>
    </row>
    <row r="1903">
      <c r="A1903" s="40">
        <f t="array" ref="A1903">IFNA(index(PlayerValues!A:A,match(IFNA(vlookup(B1903,'Special Names'!A:B,2,FALSE),B1903),PlayerValues!E:E,0)),"N/A")</f>
        <v>17057</v>
      </c>
      <c r="B1903" s="4" t="s">
        <v>708</v>
      </c>
      <c r="C1903" s="4" t="s">
        <v>278</v>
      </c>
      <c r="D1903" s="94">
        <v>1164.0</v>
      </c>
    </row>
    <row r="1904">
      <c r="A1904" s="40">
        <f t="array" ref="A1904">IFNA(index(PlayerValues!A:A,match(IFNA(vlookup(B1904,'Special Names'!A:B,2,FALSE),B1904),PlayerValues!E:E,0)),"N/A")</f>
        <v>17510</v>
      </c>
      <c r="B1904" s="4" t="s">
        <v>661</v>
      </c>
      <c r="C1904" s="4" t="s">
        <v>287</v>
      </c>
      <c r="D1904" s="94">
        <v>1157.0</v>
      </c>
    </row>
    <row r="1905">
      <c r="A1905" s="40">
        <f t="array" ref="A1905">IFNA(index(PlayerValues!A:A,match(IFNA(vlookup(B1905,'Special Names'!A:B,2,FALSE),B1905),PlayerValues!E:E,0)),"N/A")</f>
        <v>15288</v>
      </c>
      <c r="B1905" s="4" t="s">
        <v>700</v>
      </c>
      <c r="C1905" s="4" t="s">
        <v>287</v>
      </c>
      <c r="D1905" s="94">
        <v>1153.0</v>
      </c>
    </row>
    <row r="1906">
      <c r="A1906" s="40">
        <f t="array" ref="A1906">IFNA(index(PlayerValues!A:A,match(IFNA(vlookup(B1906,'Special Names'!A:B,2,FALSE),B1906),PlayerValues!E:E,0)),"N/A")</f>
        <v>16385</v>
      </c>
      <c r="B1906" s="4" t="s">
        <v>690</v>
      </c>
      <c r="C1906" s="4" t="s">
        <v>278</v>
      </c>
      <c r="D1906" s="94">
        <v>1152.0</v>
      </c>
    </row>
    <row r="1907">
      <c r="A1907" s="40">
        <f t="array" ref="A1907">IFNA(index(PlayerValues!A:A,match(IFNA(vlookup(B1907,'Special Names'!A:B,2,FALSE),B1907),PlayerValues!E:E,0)),"N/A")</f>
        <v>14108</v>
      </c>
      <c r="B1907" s="4" t="s">
        <v>673</v>
      </c>
      <c r="C1907" s="4" t="s">
        <v>287</v>
      </c>
      <c r="D1907" s="94">
        <v>1147.0</v>
      </c>
    </row>
    <row r="1908">
      <c r="A1908" s="40">
        <f t="array" ref="A1908">IFNA(index(PlayerValues!A:A,match(IFNA(vlookup(B1908,'Special Names'!A:B,2,FALSE),B1908),PlayerValues!E:E,0)),"N/A")</f>
        <v>16221</v>
      </c>
      <c r="B1908" s="4" t="s">
        <v>725</v>
      </c>
      <c r="C1908" s="4" t="s">
        <v>298</v>
      </c>
      <c r="D1908" s="94">
        <v>1516.0</v>
      </c>
    </row>
    <row r="1909">
      <c r="A1909" s="40">
        <f t="array" ref="A1909">IFNA(index(PlayerValues!A:A,match(IFNA(vlookup(B1909,'Special Names'!A:B,2,FALSE),B1909),PlayerValues!E:E,0)),"N/A")</f>
        <v>16199</v>
      </c>
      <c r="B1909" s="4" t="s">
        <v>687</v>
      </c>
      <c r="C1909" s="4" t="s">
        <v>287</v>
      </c>
      <c r="D1909" s="94">
        <v>1133.0</v>
      </c>
    </row>
    <row r="1910">
      <c r="A1910" s="40">
        <f t="array" ref="A1910">IFNA(index(PlayerValues!A:A,match(IFNA(vlookup(B1910,'Special Names'!A:B,2,FALSE),B1910),PlayerValues!E:E,0)),"N/A")</f>
        <v>9064</v>
      </c>
      <c r="B1910" s="4" t="s">
        <v>761</v>
      </c>
      <c r="C1910" s="4" t="s">
        <v>283</v>
      </c>
      <c r="D1910" s="94">
        <v>1126.0</v>
      </c>
    </row>
    <row r="1911">
      <c r="A1911" s="40">
        <f t="array" ref="A1911">IFNA(index(PlayerValues!A:A,match(IFNA(vlookup(B1911,'Special Names'!A:B,2,FALSE),B1911),PlayerValues!E:E,0)),"N/A")</f>
        <v>14067</v>
      </c>
      <c r="B1911" s="4" t="s">
        <v>735</v>
      </c>
      <c r="C1911" s="4" t="s">
        <v>283</v>
      </c>
      <c r="D1911" s="94">
        <v>1123.0</v>
      </c>
    </row>
    <row r="1912">
      <c r="A1912" s="40">
        <f t="array" ref="A1912">IFNA(index(PlayerValues!A:A,match(IFNA(vlookup(B1912,'Special Names'!A:B,2,FALSE),B1912),PlayerValues!E:E,0)),"N/A")</f>
        <v>15240</v>
      </c>
      <c r="B1912" s="4" t="s">
        <v>751</v>
      </c>
      <c r="C1912" s="4" t="s">
        <v>283</v>
      </c>
      <c r="D1912" s="94">
        <v>1123.0</v>
      </c>
    </row>
    <row r="1913">
      <c r="A1913" s="40">
        <f t="array" ref="A1913">IFNA(index(PlayerValues!A:A,match(IFNA(vlookup(B1913,'Special Names'!A:B,2,FALSE),B1913),PlayerValues!E:E,0)),"N/A")</f>
        <v>14845</v>
      </c>
      <c r="B1913" s="4" t="s">
        <v>717</v>
      </c>
      <c r="C1913" s="4" t="s">
        <v>287</v>
      </c>
      <c r="D1913" s="94">
        <v>1121.0</v>
      </c>
    </row>
    <row r="1914">
      <c r="A1914" s="40">
        <f t="array" ref="A1914">IFNA(index(PlayerValues!A:A,match(IFNA(vlookup(B1914,'Special Names'!A:B,2,FALSE),B1914),PlayerValues!E:E,0)),"N/A")</f>
        <v>15981</v>
      </c>
      <c r="B1914" s="4" t="s">
        <v>729</v>
      </c>
      <c r="C1914" s="4" t="s">
        <v>287</v>
      </c>
      <c r="D1914" s="94">
        <v>1114.0</v>
      </c>
    </row>
    <row r="1915">
      <c r="A1915" s="40">
        <f t="array" ref="A1915">IFNA(index(PlayerValues!A:A,match(IFNA(vlookup(B1915,'Special Names'!A:B,2,FALSE),B1915),PlayerValues!E:E,0)),"N/A")</f>
        <v>16637</v>
      </c>
      <c r="B1915" s="4" t="s">
        <v>736</v>
      </c>
      <c r="C1915" s="4" t="s">
        <v>287</v>
      </c>
      <c r="D1915" s="94">
        <v>1097.0</v>
      </c>
    </row>
    <row r="1916">
      <c r="A1916" s="40">
        <f t="array" ref="A1916">IFNA(index(PlayerValues!A:A,match(IFNA(vlookup(B1916,'Special Names'!A:B,2,FALSE),B1916),PlayerValues!E:E,0)),"N/A")</f>
        <v>17192</v>
      </c>
      <c r="B1916" s="4" t="s">
        <v>677</v>
      </c>
      <c r="C1916" s="4" t="s">
        <v>287</v>
      </c>
      <c r="D1916" s="94">
        <v>1097.0</v>
      </c>
    </row>
    <row r="1917">
      <c r="A1917" s="40">
        <f t="array" ref="A1917">IFNA(index(PlayerValues!A:A,match(IFNA(vlookup(B1917,'Special Names'!A:B,2,FALSE),B1917),PlayerValues!E:E,0)),"N/A")</f>
        <v>13289</v>
      </c>
      <c r="B1917" s="4" t="s">
        <v>746</v>
      </c>
      <c r="C1917" s="4" t="s">
        <v>287</v>
      </c>
      <c r="D1917" s="94">
        <v>1095.0</v>
      </c>
    </row>
    <row r="1918">
      <c r="A1918" s="40">
        <f t="array" ref="A1918">IFNA(index(PlayerValues!A:A,match(IFNA(vlookup(B1918,'Special Names'!A:B,2,FALSE),B1918),PlayerValues!E:E,0)),"N/A")</f>
        <v>16640</v>
      </c>
      <c r="B1918" s="4" t="s">
        <v>712</v>
      </c>
      <c r="C1918" s="4" t="s">
        <v>287</v>
      </c>
      <c r="D1918" s="94">
        <v>1088.0</v>
      </c>
    </row>
    <row r="1919">
      <c r="A1919" s="40">
        <f t="array" ref="A1919">IFNA(index(PlayerValues!A:A,match(IFNA(vlookup(B1919,'Special Names'!A:B,2,FALSE),B1919),PlayerValues!E:E,0)),"N/A")</f>
        <v>16197</v>
      </c>
      <c r="B1919" s="4" t="s">
        <v>726</v>
      </c>
      <c r="C1919" s="4" t="s">
        <v>287</v>
      </c>
      <c r="D1919" s="94">
        <v>1076.0</v>
      </c>
    </row>
    <row r="1920">
      <c r="A1920" s="40">
        <f t="array" ref="A1920">IFNA(index(PlayerValues!A:A,match(IFNA(vlookup(B1920,'Special Names'!A:B,2,FALSE),B1920),PlayerValues!E:E,0)),"N/A")</f>
        <v>17050</v>
      </c>
      <c r="B1920" s="4" t="s">
        <v>713</v>
      </c>
      <c r="C1920" s="4" t="s">
        <v>278</v>
      </c>
      <c r="D1920" s="94">
        <v>1076.0</v>
      </c>
    </row>
    <row r="1921">
      <c r="A1921" s="40">
        <f t="array" ref="A1921">IFNA(index(PlayerValues!A:A,match(IFNA(vlookup(B1921,'Special Names'!A:B,2,FALSE),B1921),PlayerValues!E:E,0)),"N/A")</f>
        <v>15693</v>
      </c>
      <c r="B1921" s="4" t="s">
        <v>755</v>
      </c>
      <c r="C1921" s="4" t="s">
        <v>283</v>
      </c>
      <c r="D1921" s="94">
        <v>1072.0</v>
      </c>
    </row>
    <row r="1922">
      <c r="A1922" s="40">
        <f t="array" ref="A1922">IFNA(index(PlayerValues!A:A,match(IFNA(vlookup(B1922,'Special Names'!A:B,2,FALSE),B1922),PlayerValues!E:E,0)),"N/A")</f>
        <v>15727</v>
      </c>
      <c r="B1922" s="4" t="s">
        <v>730</v>
      </c>
      <c r="C1922" s="4" t="s">
        <v>278</v>
      </c>
      <c r="D1922" s="94">
        <v>1056.0</v>
      </c>
    </row>
    <row r="1923">
      <c r="A1923" s="40">
        <f t="array" ref="A1923">IFNA(index(PlayerValues!A:A,match(IFNA(vlookup(B1923,'Special Names'!A:B,2,FALSE),B1923),PlayerValues!E:E,0)),"N/A")</f>
        <v>15692</v>
      </c>
      <c r="B1923" s="4" t="s">
        <v>750</v>
      </c>
      <c r="C1923" s="4" t="s">
        <v>283</v>
      </c>
      <c r="D1923" s="94">
        <v>1050.0</v>
      </c>
    </row>
    <row r="1924">
      <c r="A1924" s="40">
        <f t="array" ref="A1924">IFNA(index(PlayerValues!A:A,match(IFNA(vlookup(B1924,'Special Names'!A:B,2,FALSE),B1924),PlayerValues!E:E,0)),"N/A")</f>
        <v>13131</v>
      </c>
      <c r="B1924" s="4" t="s">
        <v>815</v>
      </c>
      <c r="C1924" s="4" t="s">
        <v>278</v>
      </c>
      <c r="D1924" s="94">
        <v>1047.0</v>
      </c>
    </row>
    <row r="1925">
      <c r="A1925" s="40">
        <f t="array" ref="A1925">IFNA(index(PlayerValues!A:A,match(IFNA(vlookup(B1925,'Special Names'!A:B,2,FALSE),B1925),PlayerValues!E:E,0)),"N/A")</f>
        <v>17475</v>
      </c>
      <c r="B1925" s="4" t="s">
        <v>615</v>
      </c>
      <c r="C1925" s="4" t="s">
        <v>278</v>
      </c>
      <c r="D1925" s="94">
        <v>1035.0</v>
      </c>
    </row>
    <row r="1926">
      <c r="A1926" s="40">
        <f t="array" ref="A1926">IFNA(index(PlayerValues!A:A,match(IFNA(vlookup(B1926,'Special Names'!A:B,2,FALSE),B1926),PlayerValues!E:E,0)),"N/A")</f>
        <v>14849</v>
      </c>
      <c r="B1926" s="4" t="s">
        <v>733</v>
      </c>
      <c r="C1926" s="4" t="s">
        <v>287</v>
      </c>
      <c r="D1926" s="94">
        <v>1034.0</v>
      </c>
    </row>
    <row r="1927">
      <c r="A1927" s="40">
        <f t="array" ref="A1927">IFNA(index(PlayerValues!A:A,match(IFNA(vlookup(B1927,'Special Names'!A:B,2,FALSE),B1927),PlayerValues!E:E,0)),"N/A")</f>
        <v>15730</v>
      </c>
      <c r="B1927" s="4" t="s">
        <v>734</v>
      </c>
      <c r="C1927" s="4" t="s">
        <v>278</v>
      </c>
      <c r="D1927" s="94">
        <v>1034.0</v>
      </c>
    </row>
    <row r="1928">
      <c r="A1928" s="40">
        <f t="array" ref="A1928">IFNA(index(PlayerValues!A:A,match(IFNA(vlookup(B1928,'Special Names'!A:B,2,FALSE),B1928),PlayerValues!E:E,0)),"N/A")</f>
        <v>16170</v>
      </c>
      <c r="B1928" s="4" t="s">
        <v>801</v>
      </c>
      <c r="C1928" s="4" t="s">
        <v>278</v>
      </c>
      <c r="D1928" s="94">
        <v>1021.0</v>
      </c>
    </row>
    <row r="1929">
      <c r="A1929" s="40">
        <f t="array" ref="A1929">IFNA(index(PlayerValues!A:A,match(IFNA(vlookup(B1929,'Special Names'!A:B,2,FALSE),B1929),PlayerValues!E:E,0)),"N/A")</f>
        <v>16393</v>
      </c>
      <c r="B1929" s="4" t="s">
        <v>768</v>
      </c>
      <c r="C1929" s="4" t="s">
        <v>287</v>
      </c>
      <c r="D1929" s="94">
        <v>1020.0</v>
      </c>
    </row>
    <row r="1930">
      <c r="A1930" s="40">
        <f t="array" ref="A1930">IFNA(index(PlayerValues!A:A,match(IFNA(vlookup(B1930,'Special Names'!A:B,2,FALSE),B1930),PlayerValues!E:E,0)),"N/A")</f>
        <v>15795</v>
      </c>
      <c r="B1930" s="4" t="s">
        <v>669</v>
      </c>
      <c r="C1930" s="4" t="s">
        <v>298</v>
      </c>
      <c r="D1930" s="94">
        <v>1383.0</v>
      </c>
    </row>
    <row r="1931">
      <c r="A1931" s="40">
        <f t="array" ref="A1931">IFNA(index(PlayerValues!A:A,match(IFNA(vlookup(B1931,'Special Names'!A:B,2,FALSE),B1931),PlayerValues!E:E,0)),"N/A")</f>
        <v>15330</v>
      </c>
      <c r="B1931" s="4" t="s">
        <v>749</v>
      </c>
      <c r="C1931" s="4" t="s">
        <v>298</v>
      </c>
      <c r="D1931" s="94">
        <v>1374.0</v>
      </c>
    </row>
    <row r="1932">
      <c r="A1932" s="40">
        <f t="array" ref="A1932">IFNA(index(PlayerValues!A:A,match(IFNA(vlookup(B1932,'Special Names'!A:B,2,FALSE),B1932),PlayerValues!E:E,0)),"N/A")</f>
        <v>17657</v>
      </c>
      <c r="B1932" s="4" t="s">
        <v>642</v>
      </c>
      <c r="C1932" s="4" t="s">
        <v>283</v>
      </c>
      <c r="D1932" s="94">
        <v>1008.0</v>
      </c>
    </row>
    <row r="1933">
      <c r="A1933" s="40">
        <f t="array" ref="A1933">IFNA(index(PlayerValues!A:A,match(IFNA(vlookup(B1933,'Special Names'!A:B,2,FALSE),B1933),PlayerValues!E:E,0)),"N/A")</f>
        <v>16648</v>
      </c>
      <c r="B1933" s="4" t="s">
        <v>748</v>
      </c>
      <c r="C1933" s="4" t="s">
        <v>298</v>
      </c>
      <c r="D1933" s="94">
        <v>1374.0</v>
      </c>
    </row>
    <row r="1934">
      <c r="A1934" s="40">
        <f t="array" ref="A1934">IFNA(index(PlayerValues!A:A,match(IFNA(vlookup(B1934,'Special Names'!A:B,2,FALSE),B1934),PlayerValues!E:E,0)),"N/A")</f>
        <v>16451</v>
      </c>
      <c r="B1934" s="4" t="s">
        <v>769</v>
      </c>
      <c r="C1934" s="4" t="s">
        <v>287</v>
      </c>
      <c r="D1934" s="94">
        <v>1000.0</v>
      </c>
    </row>
    <row r="1935">
      <c r="A1935" s="40">
        <f t="array" ref="A1935">IFNA(index(PlayerValues!A:A,match(IFNA(vlookup(B1935,'Special Names'!A:B,2,FALSE),B1935),PlayerValues!E:E,0)),"N/A")</f>
        <v>17175</v>
      </c>
      <c r="B1935" s="4" t="s">
        <v>747</v>
      </c>
      <c r="C1935" s="4" t="s">
        <v>287</v>
      </c>
      <c r="D1935" s="94">
        <v>999.0</v>
      </c>
    </row>
    <row r="1936">
      <c r="A1936" s="40">
        <f t="array" ref="A1936">IFNA(index(PlayerValues!A:A,match(IFNA(vlookup(B1936,'Special Names'!A:B,2,FALSE),B1936),PlayerValues!E:E,0)),"N/A")</f>
        <v>16168</v>
      </c>
      <c r="B1936" s="4" t="s">
        <v>738</v>
      </c>
      <c r="C1936" s="4" t="s">
        <v>278</v>
      </c>
      <c r="D1936" s="94">
        <v>997.0</v>
      </c>
    </row>
    <row r="1937">
      <c r="A1937" s="40">
        <f t="array" ref="A1937">IFNA(index(PlayerValues!A:A,match(IFNA(vlookup(B1937,'Special Names'!A:B,2,FALSE),B1937),PlayerValues!E:E,0)),"N/A")</f>
        <v>15717</v>
      </c>
      <c r="B1937" s="4" t="s">
        <v>745</v>
      </c>
      <c r="C1937" s="4" t="s">
        <v>278</v>
      </c>
      <c r="D1937" s="94">
        <v>993.0</v>
      </c>
    </row>
    <row r="1938">
      <c r="A1938" s="40">
        <f t="array" ref="A1938">IFNA(index(PlayerValues!A:A,match(IFNA(vlookup(B1938,'Special Names'!A:B,2,FALSE),B1938),PlayerValues!E:E,0)),"N/A")</f>
        <v>15109</v>
      </c>
      <c r="B1938" s="4" t="s">
        <v>728</v>
      </c>
      <c r="C1938" s="4" t="s">
        <v>287</v>
      </c>
      <c r="D1938" s="94">
        <v>989.0</v>
      </c>
    </row>
    <row r="1939">
      <c r="A1939" s="40">
        <f t="array" ref="A1939">IFNA(index(PlayerValues!A:A,match(IFNA(vlookup(B1939,'Special Names'!A:B,2,FALSE),B1939),PlayerValues!E:E,0)),"N/A")</f>
        <v>15766</v>
      </c>
      <c r="B1939" s="4" t="s">
        <v>759</v>
      </c>
      <c r="C1939" s="4" t="s">
        <v>287</v>
      </c>
      <c r="D1939" s="94">
        <v>987.0</v>
      </c>
    </row>
    <row r="1940">
      <c r="A1940" s="40">
        <f t="array" ref="A1940">IFNA(index(PlayerValues!A:A,match(IFNA(vlookup(B1940,'Special Names'!A:B,2,FALSE),B1940),PlayerValues!E:E,0)),"N/A")</f>
        <v>13193</v>
      </c>
      <c r="B1940" s="4" t="s">
        <v>773</v>
      </c>
      <c r="C1940" s="4" t="s">
        <v>298</v>
      </c>
      <c r="D1940" s="94">
        <v>1346.0</v>
      </c>
    </row>
    <row r="1941">
      <c r="A1941" s="40">
        <f t="array" ref="A1941">IFNA(index(PlayerValues!A:A,match(IFNA(vlookup(B1941,'Special Names'!A:B,2,FALSE),B1941),PlayerValues!E:E,0)),"N/A")</f>
        <v>15258</v>
      </c>
      <c r="B1941" s="4" t="s">
        <v>757</v>
      </c>
      <c r="C1941" s="4" t="s">
        <v>278</v>
      </c>
      <c r="D1941" s="94">
        <v>976.0</v>
      </c>
    </row>
    <row r="1942">
      <c r="A1942" s="40">
        <f t="array" ref="A1942">IFNA(index(PlayerValues!A:A,match(IFNA(vlookup(B1942,'Special Names'!A:B,2,FALSE),B1942),PlayerValues!E:E,0)),"N/A")</f>
        <v>15718</v>
      </c>
      <c r="B1942" s="4" t="s">
        <v>753</v>
      </c>
      <c r="C1942" s="4" t="s">
        <v>278</v>
      </c>
      <c r="D1942" s="94">
        <v>976.0</v>
      </c>
    </row>
    <row r="1943">
      <c r="A1943" s="40">
        <f t="array" ref="A1943">IFNA(index(PlayerValues!A:A,match(IFNA(vlookup(B1943,'Special Names'!A:B,2,FALSE),B1943),PlayerValues!E:E,0)),"N/A")</f>
        <v>15785</v>
      </c>
      <c r="B1943" s="4" t="s">
        <v>763</v>
      </c>
      <c r="C1943" s="4" t="s">
        <v>287</v>
      </c>
      <c r="D1943" s="94">
        <v>975.0</v>
      </c>
    </row>
    <row r="1944">
      <c r="A1944" s="40">
        <f t="array" ref="A1944">IFNA(index(PlayerValues!A:A,match(IFNA(vlookup(B1944,'Special Names'!A:B,2,FALSE),B1944),PlayerValues!E:E,0)),"N/A")</f>
        <v>15758</v>
      </c>
      <c r="B1944" s="4" t="s">
        <v>724</v>
      </c>
      <c r="C1944" s="4" t="s">
        <v>287</v>
      </c>
      <c r="D1944" s="94">
        <v>964.0</v>
      </c>
    </row>
    <row r="1945">
      <c r="A1945" s="40">
        <f t="array" ref="A1945">IFNA(index(PlayerValues!A:A,match(IFNA(vlookup(B1945,'Special Names'!A:B,2,FALSE),B1945),PlayerValues!E:E,0)),"N/A")</f>
        <v>16678</v>
      </c>
      <c r="B1945" s="4" t="s">
        <v>758</v>
      </c>
      <c r="C1945" s="4" t="s">
        <v>278</v>
      </c>
      <c r="D1945" s="94">
        <v>963.0</v>
      </c>
    </row>
    <row r="1946">
      <c r="A1946" s="40">
        <f t="array" ref="A1946">IFNA(index(PlayerValues!A:A,match(IFNA(vlookup(B1946,'Special Names'!A:B,2,FALSE),B1946),PlayerValues!E:E,0)),"N/A")</f>
        <v>17504</v>
      </c>
      <c r="B1946" s="4" t="s">
        <v>693</v>
      </c>
      <c r="C1946" s="4" t="s">
        <v>287</v>
      </c>
      <c r="D1946" s="94">
        <v>952.0</v>
      </c>
    </row>
    <row r="1947">
      <c r="A1947" s="40">
        <f t="array" ref="A1947">IFNA(index(PlayerValues!A:A,match(IFNA(vlookup(B1947,'Special Names'!A:B,2,FALSE),B1947),PlayerValues!E:E,0)),"N/A")</f>
        <v>14057</v>
      </c>
      <c r="B1947" s="4" t="s">
        <v>765</v>
      </c>
      <c r="C1947" s="4" t="s">
        <v>283</v>
      </c>
      <c r="D1947" s="94">
        <v>951.0</v>
      </c>
    </row>
    <row r="1948">
      <c r="A1948" s="40">
        <f t="array" ref="A1948">IFNA(index(PlayerValues!A:A,match(IFNA(vlookup(B1948,'Special Names'!A:B,2,FALSE),B1948),PlayerValues!E:E,0)),"N/A")</f>
        <v>15239</v>
      </c>
      <c r="B1948" s="4" t="s">
        <v>802</v>
      </c>
      <c r="C1948" s="4" t="s">
        <v>283</v>
      </c>
      <c r="D1948" s="94">
        <v>942.0</v>
      </c>
    </row>
    <row r="1949">
      <c r="A1949" s="40">
        <f t="array" ref="A1949">IFNA(index(PlayerValues!A:A,match(IFNA(vlookup(B1949,'Special Names'!A:B,2,FALSE),B1949),PlayerValues!E:E,0)),"N/A")</f>
        <v>16205</v>
      </c>
      <c r="B1949" s="4" t="s">
        <v>742</v>
      </c>
      <c r="C1949" s="4" t="s">
        <v>287</v>
      </c>
      <c r="D1949" s="94">
        <v>941.0</v>
      </c>
    </row>
    <row r="1950">
      <c r="A1950" s="40">
        <f t="array" ref="A1950">IFNA(index(PlayerValues!A:A,match(IFNA(vlookup(B1950,'Special Names'!A:B,2,FALSE),B1950),PlayerValues!E:E,0)),"N/A")</f>
        <v>14118</v>
      </c>
      <c r="B1950" s="4" t="s">
        <v>771</v>
      </c>
      <c r="C1950" s="4" t="s">
        <v>287</v>
      </c>
      <c r="D1950" s="94">
        <v>937.0</v>
      </c>
    </row>
    <row r="1951">
      <c r="A1951" s="40">
        <f t="array" ref="A1951">IFNA(index(PlayerValues!A:A,match(IFNA(vlookup(B1951,'Special Names'!A:B,2,FALSE),B1951),PlayerValues!E:E,0)),"N/A")</f>
        <v>11247</v>
      </c>
      <c r="B1951" s="4" t="s">
        <v>816</v>
      </c>
      <c r="C1951" s="4" t="s">
        <v>298</v>
      </c>
      <c r="D1951" s="94">
        <v>1295.0</v>
      </c>
    </row>
    <row r="1952">
      <c r="A1952" s="40">
        <f t="array" ref="A1952">IFNA(index(PlayerValues!A:A,match(IFNA(vlookup(B1952,'Special Names'!A:B,2,FALSE),B1952),PlayerValues!E:E,0)),"N/A")</f>
        <v>17518</v>
      </c>
      <c r="B1952" s="4" t="s">
        <v>482</v>
      </c>
      <c r="C1952" s="4" t="s">
        <v>287</v>
      </c>
      <c r="D1952" s="94">
        <v>922.0</v>
      </c>
    </row>
    <row r="1953">
      <c r="A1953" s="40">
        <f t="array" ref="A1953">IFNA(index(PlayerValues!A:A,match(IFNA(vlookup(B1953,'Special Names'!A:B,2,FALSE),B1953),PlayerValues!E:E,0)),"N/A")</f>
        <v>17487</v>
      </c>
      <c r="B1953" s="4" t="s">
        <v>692</v>
      </c>
      <c r="C1953" s="4" t="s">
        <v>278</v>
      </c>
      <c r="D1953" s="94">
        <v>918.0</v>
      </c>
    </row>
    <row r="1954">
      <c r="A1954" s="40">
        <f t="array" ref="A1954">IFNA(index(PlayerValues!A:A,match(IFNA(vlookup(B1954,'Special Names'!A:B,2,FALSE),B1954),PlayerValues!E:E,0)),"N/A")</f>
        <v>16858</v>
      </c>
      <c r="B1954" s="4" t="s">
        <v>754</v>
      </c>
      <c r="C1954" s="4" t="s">
        <v>287</v>
      </c>
      <c r="D1954" s="94">
        <v>912.0</v>
      </c>
    </row>
    <row r="1955">
      <c r="A1955" s="40">
        <f t="array" ref="A1955">IFNA(index(PlayerValues!A:A,match(IFNA(vlookup(B1955,'Special Names'!A:B,2,FALSE),B1955),PlayerValues!E:E,0)),"N/A")</f>
        <v>15626</v>
      </c>
      <c r="B1955" s="4" t="s">
        <v>766</v>
      </c>
      <c r="C1955" s="4" t="s">
        <v>298</v>
      </c>
      <c r="D1955" s="94">
        <v>1260.0</v>
      </c>
    </row>
    <row r="1956">
      <c r="A1956" s="40">
        <f t="array" ref="A1956">IFNA(index(PlayerValues!A:A,match(IFNA(vlookup(B1956,'Special Names'!A:B,2,FALSE),B1956),PlayerValues!E:E,0)),"N/A")</f>
        <v>16219</v>
      </c>
      <c r="B1956" s="4" t="s">
        <v>739</v>
      </c>
      <c r="C1956" s="4" t="s">
        <v>298</v>
      </c>
      <c r="D1956" s="94">
        <v>1250.0</v>
      </c>
    </row>
    <row r="1957">
      <c r="A1957" s="40">
        <f t="array" ref="A1957">IFNA(index(PlayerValues!A:A,match(IFNA(vlookup(B1957,'Special Names'!A:B,2,FALSE),B1957),PlayerValues!E:E,0)),"N/A")</f>
        <v>17479</v>
      </c>
      <c r="B1957" s="4" t="s">
        <v>756</v>
      </c>
      <c r="C1957" s="4" t="s">
        <v>278</v>
      </c>
      <c r="D1957" s="94">
        <v>884.0</v>
      </c>
    </row>
    <row r="1958">
      <c r="A1958" s="40">
        <f t="array" ref="A1958">IFNA(index(PlayerValues!A:A,match(IFNA(vlookup(B1958,'Special Names'!A:B,2,FALSE),B1958),PlayerValues!E:E,0)),"N/A")</f>
        <v>15720</v>
      </c>
      <c r="B1958" s="4" t="s">
        <v>795</v>
      </c>
      <c r="C1958" s="4" t="s">
        <v>278</v>
      </c>
      <c r="D1958" s="94">
        <v>874.0</v>
      </c>
    </row>
    <row r="1959">
      <c r="A1959" s="40">
        <f t="array" ref="A1959">IFNA(index(PlayerValues!A:A,match(IFNA(vlookup(B1959,'Special Names'!A:B,2,FALSE),B1959),PlayerValues!E:E,0)),"N/A")</f>
        <v>16624</v>
      </c>
      <c r="B1959" s="4" t="s">
        <v>796</v>
      </c>
      <c r="C1959" s="4" t="s">
        <v>287</v>
      </c>
      <c r="D1959" s="94">
        <v>872.0</v>
      </c>
    </row>
    <row r="1960">
      <c r="A1960" s="40">
        <f t="array" ref="A1960">IFNA(index(PlayerValues!A:A,match(IFNA(vlookup(B1960,'Special Names'!A:B,2,FALSE),B1960),PlayerValues!E:E,0)),"N/A")</f>
        <v>16416</v>
      </c>
      <c r="B1960" s="4" t="s">
        <v>752</v>
      </c>
      <c r="C1960" s="4" t="s">
        <v>287</v>
      </c>
      <c r="D1960" s="94">
        <v>863.0</v>
      </c>
    </row>
    <row r="1961">
      <c r="A1961" s="40">
        <f t="array" ref="A1961">IFNA(index(PlayerValues!A:A,match(IFNA(vlookup(B1961,'Special Names'!A:B,2,FALSE),B1961),PlayerValues!E:E,0)),"N/A")</f>
        <v>17549</v>
      </c>
      <c r="B1961" s="4" t="s">
        <v>720</v>
      </c>
      <c r="C1961" s="4" t="s">
        <v>298</v>
      </c>
      <c r="D1961" s="94">
        <v>1216.0</v>
      </c>
    </row>
    <row r="1962">
      <c r="A1962" s="40">
        <f t="array" ref="A1962">IFNA(index(PlayerValues!A:A,match(IFNA(vlookup(B1962,'Special Names'!A:B,2,FALSE),B1962),PlayerValues!E:E,0)),"N/A")</f>
        <v>12785</v>
      </c>
      <c r="B1962" s="4" t="s">
        <v>772</v>
      </c>
      <c r="C1962" s="4" t="s">
        <v>287</v>
      </c>
      <c r="D1962" s="94">
        <v>848.0</v>
      </c>
    </row>
    <row r="1963">
      <c r="A1963" s="40">
        <f t="array" ref="A1963">IFNA(index(PlayerValues!A:A,match(IFNA(vlookup(B1963,'Special Names'!A:B,2,FALSE),B1963),PlayerValues!E:E,0)),"N/A")</f>
        <v>16773</v>
      </c>
      <c r="B1963" s="4" t="s">
        <v>783</v>
      </c>
      <c r="C1963" s="4" t="s">
        <v>278</v>
      </c>
      <c r="D1963" s="94">
        <v>839.0</v>
      </c>
    </row>
    <row r="1964">
      <c r="A1964" s="40">
        <f t="array" ref="A1964">IFNA(index(PlayerValues!A:A,match(IFNA(vlookup(B1964,'Special Names'!A:B,2,FALSE),B1964),PlayerValues!E:E,0)),"N/A")</f>
        <v>17654</v>
      </c>
      <c r="B1964" s="4" t="s">
        <v>767</v>
      </c>
      <c r="C1964" s="4" t="s">
        <v>283</v>
      </c>
      <c r="D1964" s="94">
        <v>828.0</v>
      </c>
    </row>
    <row r="1965">
      <c r="A1965" s="40">
        <f t="array" ref="A1965">IFNA(index(PlayerValues!A:A,match(IFNA(vlookup(B1965,'Special Names'!A:B,2,FALSE),B1965),PlayerValues!E:E,0)),"N/A")</f>
        <v>16599</v>
      </c>
      <c r="B1965" s="4" t="s">
        <v>737</v>
      </c>
      <c r="C1965" s="4" t="s">
        <v>278</v>
      </c>
      <c r="D1965" s="94">
        <v>827.0</v>
      </c>
    </row>
    <row r="1966">
      <c r="A1966" s="40">
        <f t="array" ref="A1966">IFNA(index(PlayerValues!A:A,match(IFNA(vlookup(B1966,'Special Names'!A:B,2,FALSE),B1966),PlayerValues!E:E,0)),"N/A")</f>
        <v>17627</v>
      </c>
      <c r="B1966" s="4" t="s">
        <v>684</v>
      </c>
      <c r="C1966" s="4" t="s">
        <v>298</v>
      </c>
      <c r="D1966" s="94">
        <v>1166.0</v>
      </c>
    </row>
    <row r="1967">
      <c r="A1967" s="40">
        <f t="array" ref="A1967">IFNA(index(PlayerValues!A:A,match(IFNA(vlookup(B1967,'Special Names'!A:B,2,FALSE),B1967),PlayerValues!E:E,0)),"N/A")</f>
        <v>16623</v>
      </c>
      <c r="B1967" s="4" t="s">
        <v>803</v>
      </c>
      <c r="C1967" s="4" t="s">
        <v>287</v>
      </c>
      <c r="D1967" s="94">
        <v>799.0</v>
      </c>
    </row>
    <row r="1968">
      <c r="A1968" s="40">
        <f t="array" ref="A1968">IFNA(index(PlayerValues!A:A,match(IFNA(vlookup(B1968,'Special Names'!A:B,2,FALSE),B1968),PlayerValues!E:E,0)),"N/A")</f>
        <v>17486</v>
      </c>
      <c r="B1968" s="4" t="s">
        <v>695</v>
      </c>
      <c r="C1968" s="4" t="s">
        <v>278</v>
      </c>
      <c r="D1968" s="94">
        <v>798.0</v>
      </c>
    </row>
    <row r="1969">
      <c r="A1969" s="40">
        <f t="array" ref="A1969">IFNA(index(PlayerValues!A:A,match(IFNA(vlookup(B1969,'Special Names'!A:B,2,FALSE),B1969),PlayerValues!E:E,0)),"N/A")</f>
        <v>16606</v>
      </c>
      <c r="B1969" s="4" t="s">
        <v>743</v>
      </c>
      <c r="C1969" s="4" t="s">
        <v>278</v>
      </c>
      <c r="D1969" s="94">
        <v>794.0</v>
      </c>
    </row>
    <row r="1970">
      <c r="A1970" s="40">
        <f t="array" ref="A1970">IFNA(index(PlayerValues!A:A,match(IFNA(vlookup(B1970,'Special Names'!A:B,2,FALSE),B1970),PlayerValues!E:E,0)),"N/A")</f>
        <v>17337</v>
      </c>
      <c r="B1970" s="4" t="s">
        <v>793</v>
      </c>
      <c r="C1970" s="4" t="s">
        <v>278</v>
      </c>
      <c r="D1970" s="94">
        <v>787.0</v>
      </c>
    </row>
    <row r="1971">
      <c r="A1971" s="40">
        <f t="array" ref="A1971">IFNA(index(PlayerValues!A:A,match(IFNA(vlookup(B1971,'Special Names'!A:B,2,FALSE),B1971),PlayerValues!E:E,0)),"N/A")</f>
        <v>16751</v>
      </c>
      <c r="B1971" s="4" t="s">
        <v>762</v>
      </c>
      <c r="C1971" s="4" t="s">
        <v>287</v>
      </c>
      <c r="D1971" s="94">
        <v>786.0</v>
      </c>
    </row>
    <row r="1972">
      <c r="A1972" s="40">
        <f t="array" ref="A1972">IFNA(index(PlayerValues!A:A,match(IFNA(vlookup(B1972,'Special Names'!A:B,2,FALSE),B1972),PlayerValues!E:E,0)),"N/A")</f>
        <v>14223</v>
      </c>
      <c r="B1972" s="4" t="s">
        <v>785</v>
      </c>
      <c r="C1972" s="4" t="s">
        <v>278</v>
      </c>
      <c r="D1972" s="94">
        <v>738.0</v>
      </c>
    </row>
    <row r="1973">
      <c r="A1973" s="40">
        <f t="array" ref="A1973">IFNA(index(PlayerValues!A:A,match(IFNA(vlookup(B1973,'Special Names'!A:B,2,FALSE),B1973),PlayerValues!E:E,0)),"N/A")</f>
        <v>17541</v>
      </c>
      <c r="B1973" s="4" t="s">
        <v>616</v>
      </c>
      <c r="C1973" s="4" t="s">
        <v>287</v>
      </c>
      <c r="D1973" s="94">
        <v>721.0</v>
      </c>
    </row>
    <row r="1974">
      <c r="A1974" s="40">
        <f t="array" ref="A1974">IFNA(index(PlayerValues!A:A,match(IFNA(vlookup(B1974,'Special Names'!A:B,2,FALSE),B1974),PlayerValues!E:E,0)),"N/A")</f>
        <v>15723</v>
      </c>
      <c r="B1974" s="4" t="s">
        <v>798</v>
      </c>
      <c r="C1974" s="4" t="s">
        <v>278</v>
      </c>
      <c r="D1974" s="94">
        <v>702.0</v>
      </c>
    </row>
    <row r="1975">
      <c r="A1975" s="40">
        <f t="array" ref="A1975">IFNA(index(PlayerValues!A:A,match(IFNA(vlookup(B1975,'Special Names'!A:B,2,FALSE),B1975),PlayerValues!E:E,0)),"N/A")</f>
        <v>17545</v>
      </c>
      <c r="B1975" s="4" t="s">
        <v>719</v>
      </c>
      <c r="C1975" s="4" t="s">
        <v>298</v>
      </c>
      <c r="D1975" s="94">
        <v>1051.0</v>
      </c>
    </row>
    <row r="1976">
      <c r="A1976" s="40">
        <f t="array" ref="A1976">IFNA(index(PlayerValues!A:A,match(IFNA(vlookup(B1976,'Special Names'!A:B,2,FALSE),B1976),PlayerValues!E:E,0)),"N/A")</f>
        <v>16686</v>
      </c>
      <c r="B1976" s="4" t="s">
        <v>805</v>
      </c>
      <c r="C1976" s="4" t="s">
        <v>287</v>
      </c>
      <c r="D1976" s="94">
        <v>613.0</v>
      </c>
    </row>
    <row r="1977">
      <c r="A1977" s="40">
        <f t="array" ref="A1977">IFNA(index(PlayerValues!A:A,match(IFNA(vlookup(B1977,'Special Names'!A:B,2,FALSE),B1977),PlayerValues!E:E,0)),"N/A")</f>
        <v>13133</v>
      </c>
      <c r="B1977" s="4" t="s">
        <v>764</v>
      </c>
      <c r="C1977" s="4" t="s">
        <v>278</v>
      </c>
      <c r="D1977" s="94">
        <v>599.0</v>
      </c>
    </row>
    <row r="1978">
      <c r="A1978" s="40">
        <f t="array" ref="A1978">IFNA(index(PlayerValues!A:A,match(IFNA(vlookup(B1978,'Special Names'!A:B,2,FALSE),B1978),PlayerValues!E:E,0)),"N/A")</f>
        <v>13138</v>
      </c>
      <c r="B1978" s="4" t="s">
        <v>817</v>
      </c>
      <c r="C1978" s="4" t="s">
        <v>278</v>
      </c>
      <c r="D1978" s="94">
        <v>597.0</v>
      </c>
    </row>
    <row r="1979">
      <c r="A1979" s="40">
        <f t="array" ref="A1979">IFNA(index(PlayerValues!A:A,match(IFNA(vlookup(B1979,'Special Names'!A:B,2,FALSE),B1979),PlayerValues!E:E,0)),"N/A")</f>
        <v>14864</v>
      </c>
      <c r="B1979" s="4" t="s">
        <v>789</v>
      </c>
      <c r="C1979" s="4" t="s">
        <v>287</v>
      </c>
      <c r="D1979" s="94">
        <v>595.0</v>
      </c>
    </row>
    <row r="1980">
      <c r="A1980" s="40">
        <f t="array" ref="A1980">IFNA(index(PlayerValues!A:A,match(IFNA(vlookup(B1980,'Special Names'!A:B,2,FALSE),B1980),PlayerValues!E:E,0)),"N/A")</f>
        <v>16625</v>
      </c>
      <c r="B1980" s="4" t="s">
        <v>778</v>
      </c>
      <c r="C1980" s="4" t="s">
        <v>287</v>
      </c>
      <c r="D1980" s="94">
        <v>554.0</v>
      </c>
    </row>
    <row r="1981">
      <c r="A1981" s="40">
        <f t="array" ref="A1981">IFNA(index(PlayerValues!A:A,match(IFNA(vlookup(B1981,'Special Names'!A:B,2,FALSE),B1981),PlayerValues!E:E,0)),"N/A")</f>
        <v>14858</v>
      </c>
      <c r="B1981" s="4" t="s">
        <v>799</v>
      </c>
      <c r="C1981" s="4" t="s">
        <v>287</v>
      </c>
      <c r="D1981" s="94">
        <v>548.0</v>
      </c>
    </row>
    <row r="1982">
      <c r="A1982" s="40">
        <f t="array" ref="A1982">IFNA(index(PlayerValues!A:A,match(IFNA(vlookup(B1982,'Special Names'!A:B,2,FALSE),B1982),PlayerValues!E:E,0)),"N/A")</f>
        <v>16957</v>
      </c>
      <c r="B1982" s="4" t="s">
        <v>806</v>
      </c>
      <c r="C1982" s="4" t="s">
        <v>278</v>
      </c>
      <c r="D1982" s="94">
        <v>543.0</v>
      </c>
    </row>
    <row r="1983">
      <c r="A1983" s="40">
        <f t="array" ref="A1983">IFNA(index(PlayerValues!A:A,match(IFNA(vlookup(B1983,'Special Names'!A:B,2,FALSE),B1983),PlayerValues!E:E,0)),"N/A")</f>
        <v>15796</v>
      </c>
      <c r="B1983" s="4" t="s">
        <v>794</v>
      </c>
      <c r="C1983" s="4" t="s">
        <v>298</v>
      </c>
      <c r="D1983" s="94">
        <v>884.0</v>
      </c>
    </row>
    <row r="1984">
      <c r="A1984" s="40">
        <f t="array" ref="A1984">IFNA(index(PlayerValues!A:A,match(IFNA(vlookup(B1984,'Special Names'!A:B,2,FALSE),B1984),PlayerValues!E:E,0)),"N/A")</f>
        <v>14805</v>
      </c>
      <c r="B1984" s="4" t="s">
        <v>770</v>
      </c>
      <c r="C1984" s="4" t="s">
        <v>278</v>
      </c>
      <c r="D1984" s="94">
        <v>536.0</v>
      </c>
    </row>
    <row r="1985">
      <c r="A1985" s="40">
        <f t="array" ref="A1985">IFNA(index(PlayerValues!A:A,match(IFNA(vlookup(B1985,'Special Names'!A:B,2,FALSE),B1985),PlayerValues!E:E,0)),"N/A")</f>
        <v>13595</v>
      </c>
      <c r="B1985" s="4" t="s">
        <v>818</v>
      </c>
      <c r="C1985" s="4" t="s">
        <v>283</v>
      </c>
      <c r="D1985" s="94">
        <v>533.0</v>
      </c>
    </row>
    <row r="1986">
      <c r="A1986" s="40">
        <f t="array" ref="A1986">IFNA(index(PlayerValues!A:A,match(IFNA(vlookup(B1986,'Special Names'!A:B,2,FALSE),B1986),PlayerValues!E:E,0)),"N/A")</f>
        <v>17038</v>
      </c>
      <c r="B1986" s="4" t="s">
        <v>774</v>
      </c>
      <c r="C1986" s="4" t="s">
        <v>283</v>
      </c>
      <c r="D1986" s="94">
        <v>530.0</v>
      </c>
    </row>
    <row r="1987">
      <c r="A1987" s="40">
        <f t="array" ref="A1987">IFNA(index(PlayerValues!A:A,match(IFNA(vlookup(B1987,'Special Names'!A:B,2,FALSE),B1987),PlayerValues!E:E,0)),"N/A")</f>
        <v>16159</v>
      </c>
      <c r="B1987" s="4" t="s">
        <v>819</v>
      </c>
      <c r="C1987" s="4" t="s">
        <v>283</v>
      </c>
      <c r="D1987" s="94">
        <v>508.0</v>
      </c>
    </row>
    <row r="1988">
      <c r="A1988" s="40">
        <f t="array" ref="A1988">IFNA(index(PlayerValues!A:A,match(IFNA(vlookup(B1988,'Special Names'!A:B,2,FALSE),B1988),PlayerValues!E:E,0)),"N/A")</f>
        <v>17232</v>
      </c>
      <c r="B1988" s="4" t="s">
        <v>784</v>
      </c>
      <c r="C1988" s="4" t="s">
        <v>287</v>
      </c>
      <c r="D1988" s="94">
        <v>508.0</v>
      </c>
    </row>
    <row r="1989">
      <c r="A1989" s="40">
        <f t="array" ref="A1989">IFNA(index(PlayerValues!A:A,match(IFNA(vlookup(B1989,'Special Names'!A:B,2,FALSE),B1989),PlayerValues!E:E,0)),"N/A")</f>
        <v>15263</v>
      </c>
      <c r="B1989" s="4" t="s">
        <v>804</v>
      </c>
      <c r="C1989" s="4" t="s">
        <v>278</v>
      </c>
      <c r="D1989" s="94">
        <v>506.0</v>
      </c>
    </row>
    <row r="1990">
      <c r="A1990" s="40">
        <f t="array" ref="A1990">IFNA(index(PlayerValues!A:A,match(IFNA(vlookup(B1990,'Special Names'!A:B,2,FALSE),B1990),PlayerValues!E:E,0)),"N/A")</f>
        <v>16299</v>
      </c>
      <c r="B1990" s="4" t="s">
        <v>787</v>
      </c>
      <c r="C1990" s="4" t="s">
        <v>287</v>
      </c>
      <c r="D1990" s="94">
        <v>506.0</v>
      </c>
    </row>
    <row r="1991">
      <c r="A1991" s="40">
        <f t="array" ref="A1991">IFNA(index(PlayerValues!A:A,match(IFNA(vlookup(B1991,'Special Names'!A:B,2,FALSE),B1991),PlayerValues!E:E,0)),"N/A")</f>
        <v>14358</v>
      </c>
      <c r="B1991" s="4" t="s">
        <v>813</v>
      </c>
      <c r="C1991" s="4" t="s">
        <v>283</v>
      </c>
      <c r="D1991" s="94">
        <v>502.0</v>
      </c>
    </row>
    <row r="1992">
      <c r="A1992" s="40">
        <f t="array" ref="A1992">IFNA(index(PlayerValues!A:A,match(IFNA(vlookup(B1992,'Special Names'!A:B,2,FALSE),B1992),PlayerValues!E:E,0)),"N/A")</f>
        <v>17243</v>
      </c>
      <c r="B1992" s="4" t="s">
        <v>810</v>
      </c>
      <c r="C1992" s="4" t="s">
        <v>298</v>
      </c>
      <c r="D1992" s="94">
        <v>848.0</v>
      </c>
    </row>
    <row r="1993">
      <c r="A1993" s="40">
        <f t="array" ref="A1993">IFNA(index(PlayerValues!A:A,match(IFNA(vlookup(B1993,'Special Names'!A:B,2,FALSE),B1993),PlayerValues!E:E,0)),"N/A")</f>
        <v>14875</v>
      </c>
      <c r="B1993" s="4" t="s">
        <v>820</v>
      </c>
      <c r="C1993" s="4" t="s">
        <v>298</v>
      </c>
      <c r="D1993" s="94">
        <v>844.0</v>
      </c>
    </row>
    <row r="1994">
      <c r="A1994" s="40">
        <f t="array" ref="A1994">IFNA(index(PlayerValues!A:A,match(IFNA(vlookup(B1994,'Special Names'!A:B,2,FALSE),B1994),PlayerValues!E:E,0)),"N/A")</f>
        <v>17348</v>
      </c>
      <c r="B1994" s="4" t="s">
        <v>797</v>
      </c>
      <c r="C1994" s="4" t="s">
        <v>278</v>
      </c>
      <c r="D1994" s="94">
        <v>498.0</v>
      </c>
    </row>
    <row r="1995">
      <c r="A1995" s="40">
        <f t="array" ref="A1995">IFNA(index(PlayerValues!A:A,match(IFNA(vlookup(B1995,'Special Names'!A:B,2,FALSE),B1995),PlayerValues!E:E,0)),"N/A")</f>
        <v>15804</v>
      </c>
      <c r="B1995" s="4" t="s">
        <v>821</v>
      </c>
      <c r="C1995" s="4" t="s">
        <v>298</v>
      </c>
      <c r="D1995" s="94">
        <v>843.0</v>
      </c>
    </row>
    <row r="1996">
      <c r="A1996" s="40">
        <f t="array" ref="A1996">IFNA(index(PlayerValues!A:A,match(IFNA(vlookup(B1996,'Special Names'!A:B,2,FALSE),B1996),PlayerValues!E:E,0)),"N/A")</f>
        <v>15714</v>
      </c>
      <c r="B1996" s="4" t="s">
        <v>775</v>
      </c>
      <c r="C1996" s="4" t="s">
        <v>278</v>
      </c>
      <c r="D1996" s="94">
        <v>491.0</v>
      </c>
    </row>
    <row r="1997">
      <c r="A1997" s="40">
        <f t="array" ref="A1997">IFNA(index(PlayerValues!A:A,match(IFNA(vlookup(B1997,'Special Names'!A:B,2,FALSE),B1997),PlayerValues!E:E,0)),"N/A")</f>
        <v>14209</v>
      </c>
      <c r="B1997" s="4" t="s">
        <v>809</v>
      </c>
      <c r="C1997" s="4" t="s">
        <v>298</v>
      </c>
      <c r="D1997" s="94">
        <v>838.0</v>
      </c>
    </row>
    <row r="1998">
      <c r="A1998" s="40">
        <f t="array" ref="A1998">IFNA(index(PlayerValues!A:A,match(IFNA(vlookup(B1998,'Special Names'!A:B,2,FALSE),B1998),PlayerValues!E:E,0)),"N/A")</f>
        <v>15271</v>
      </c>
      <c r="B1998" s="4" t="s">
        <v>741</v>
      </c>
      <c r="C1998" s="4" t="s">
        <v>278</v>
      </c>
      <c r="D1998" s="94">
        <v>489.0</v>
      </c>
    </row>
    <row r="1999">
      <c r="A1999" s="40">
        <f t="array" ref="A1999">IFNA(index(PlayerValues!A:A,match(IFNA(vlookup(B1999,'Special Names'!A:B,2,FALSE),B1999),PlayerValues!E:E,0)),"N/A")</f>
        <v>10413</v>
      </c>
      <c r="B1999" s="4" t="s">
        <v>811</v>
      </c>
      <c r="C1999" s="4" t="s">
        <v>283</v>
      </c>
      <c r="D1999" s="94">
        <v>488.0</v>
      </c>
    </row>
    <row r="2000">
      <c r="A2000" s="40">
        <f t="array" ref="A2000">IFNA(index(PlayerValues!A:A,match(IFNA(vlookup(B2000,'Special Names'!A:B,2,FALSE),B2000),PlayerValues!E:E,0)),"N/A")</f>
        <v>17706</v>
      </c>
      <c r="B2000" s="4" t="s">
        <v>614</v>
      </c>
      <c r="C2000" s="4" t="s">
        <v>287</v>
      </c>
      <c r="D2000" s="94">
        <v>211.0</v>
      </c>
    </row>
    <row r="2001">
      <c r="A2001" s="40">
        <f t="array" ref="A2001">IFNA(index(PlayerValues!A:A,match(IFNA(vlookup(B2001,'Special Names'!A:B,2,FALSE),B2001),PlayerValues!E:E,0)),"N/A")</f>
        <v>16161</v>
      </c>
      <c r="B2001" s="4" t="s">
        <v>277</v>
      </c>
      <c r="C2001" s="4" t="s">
        <v>278</v>
      </c>
      <c r="D2001" s="94">
        <v>9997.0</v>
      </c>
    </row>
    <row r="2002">
      <c r="A2002" s="40">
        <f t="array" ref="A2002">IFNA(index(PlayerValues!A:A,match(IFNA(vlookup(B2002,'Special Names'!A:B,2,FALSE),B2002),PlayerValues!E:E,0)),"N/A")</f>
        <v>13589</v>
      </c>
      <c r="B2002" s="4" t="s">
        <v>282</v>
      </c>
      <c r="C2002" s="4" t="s">
        <v>283</v>
      </c>
      <c r="D2002" s="94">
        <v>9996.0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9984.0</v>
      </c>
    </row>
    <row r="2004">
      <c r="A2004" s="40">
        <f t="array" ref="A2004">IFNA(index(PlayerValues!A:A,match(IFNA(vlookup(B2004,'Special Names'!A:B,2,FALSE),B2004),PlayerValues!E:E,0)),"N/A")</f>
        <v>16162</v>
      </c>
      <c r="B2004" s="4" t="s">
        <v>281</v>
      </c>
      <c r="C2004" s="4" t="s">
        <v>278</v>
      </c>
      <c r="D2004" s="94">
        <v>9919.0</v>
      </c>
    </row>
    <row r="2005">
      <c r="A2005" s="40">
        <f t="array" ref="A2005">IFNA(index(PlayerValues!A:A,match(IFNA(vlookup(B2005,'Special Names'!A:B,2,FALSE),B2005),PlayerValues!E:E,0)),"N/A")</f>
        <v>16185</v>
      </c>
      <c r="B2005" s="4" t="s">
        <v>290</v>
      </c>
      <c r="C2005" s="4" t="s">
        <v>287</v>
      </c>
      <c r="D2005" s="94">
        <v>9590.0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9437.0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8741.0</v>
      </c>
    </row>
    <row r="2008">
      <c r="A2008" s="40">
        <f t="array" ref="A2008">IFNA(index(PlayerValues!A:A,match(IFNA(vlookup(B2008,'Special Names'!A:B,2,FALSE),B2008),PlayerValues!E:E,0)),"N/A")</f>
        <v>16641</v>
      </c>
      <c r="B2008" s="4" t="s">
        <v>297</v>
      </c>
      <c r="C2008" s="4" t="s">
        <v>298</v>
      </c>
      <c r="D2008" s="94">
        <v>8999.0</v>
      </c>
    </row>
    <row r="2009">
      <c r="A2009" s="40">
        <f t="array" ref="A2009">IFNA(index(PlayerValues!A:A,match(IFNA(vlookup(B2009,'Special Names'!A:B,2,FALSE),B2009),PlayerValues!E:E,0)),"N/A")</f>
        <v>16579</v>
      </c>
      <c r="B2009" s="4" t="s">
        <v>302</v>
      </c>
      <c r="C2009" s="4" t="s">
        <v>283</v>
      </c>
      <c r="D2009" s="94">
        <v>8035.0</v>
      </c>
    </row>
    <row r="2010">
      <c r="A2010" s="40">
        <f t="array" ref="A2010">IFNA(index(PlayerValues!A:A,match(IFNA(vlookup(B2010,'Special Names'!A:B,2,FALSE),B2010),PlayerValues!E:E,0)),"N/A")</f>
        <v>15287</v>
      </c>
      <c r="B2010" s="4" t="s">
        <v>299</v>
      </c>
      <c r="C2010" s="4" t="s">
        <v>287</v>
      </c>
      <c r="D2010" s="94">
        <v>7905.0</v>
      </c>
    </row>
    <row r="2011">
      <c r="A2011" s="40">
        <f t="array" ref="A2011">IFNA(index(PlayerValues!A:A,match(IFNA(vlookup(B2011,'Special Names'!A:B,2,FALSE),B2011),PlayerValues!E:E,0)),"N/A")</f>
        <v>16581</v>
      </c>
      <c r="B2011" s="4" t="s">
        <v>315</v>
      </c>
      <c r="C2011" s="4" t="s">
        <v>283</v>
      </c>
      <c r="D2011" s="94">
        <v>7816.0</v>
      </c>
    </row>
    <row r="2012">
      <c r="A2012" s="40">
        <f t="array" ref="A2012">IFNA(index(PlayerValues!A:A,match(IFNA(vlookup(B2012,'Special Names'!A:B,2,FALSE),B2012),PlayerValues!E:E,0)),"N/A")</f>
        <v>17042</v>
      </c>
      <c r="B2012" s="4" t="s">
        <v>314</v>
      </c>
      <c r="C2012" s="4" t="s">
        <v>278</v>
      </c>
      <c r="D2012" s="94">
        <v>7673.0</v>
      </c>
    </row>
    <row r="2013">
      <c r="A2013" s="40">
        <f t="array" ref="A2013">IFNA(index(PlayerValues!A:A,match(IFNA(vlookup(B2013,'Special Names'!A:B,2,FALSE),B2013),PlayerValues!E:E,0)),"N/A")</f>
        <v>14836</v>
      </c>
      <c r="B2013" s="4" t="s">
        <v>306</v>
      </c>
      <c r="C2013" s="4" t="s">
        <v>287</v>
      </c>
      <c r="D2013" s="94">
        <v>7601.0</v>
      </c>
    </row>
    <row r="2014">
      <c r="A2014" s="40">
        <f t="array" ref="A2014">IFNA(index(PlayerValues!A:A,match(IFNA(vlookup(B2014,'Special Names'!A:B,2,FALSE),B2014),PlayerValues!E:E,0)),"N/A")</f>
        <v>13593</v>
      </c>
      <c r="B2014" s="4" t="s">
        <v>305</v>
      </c>
      <c r="C2014" s="4" t="s">
        <v>283</v>
      </c>
      <c r="D2014" s="94">
        <v>7596.0</v>
      </c>
    </row>
    <row r="2015">
      <c r="A2015" s="40">
        <f t="array" ref="A2015">IFNA(index(PlayerValues!A:A,match(IFNA(vlookup(B2015,'Special Names'!A:B,2,FALSE),B2015),PlayerValues!E:E,0)),"N/A")</f>
        <v>17472</v>
      </c>
      <c r="B2015" s="4" t="s">
        <v>310</v>
      </c>
      <c r="C2015" s="4" t="s">
        <v>278</v>
      </c>
      <c r="D2015" s="94">
        <v>7589.0</v>
      </c>
    </row>
    <row r="2016">
      <c r="A2016" s="40">
        <f t="array" ref="A2016">IFNA(index(PlayerValues!A:A,match(IFNA(vlookup(B2016,'Special Names'!A:B,2,FALSE),B2016),PlayerValues!E:E,0)),"N/A")</f>
        <v>16615</v>
      </c>
      <c r="B2016" s="4" t="s">
        <v>309</v>
      </c>
      <c r="C2016" s="4" t="s">
        <v>287</v>
      </c>
      <c r="D2016" s="94">
        <v>7471.0</v>
      </c>
    </row>
    <row r="2017">
      <c r="A2017" s="40">
        <f t="array" ref="A2017">IFNA(index(PlayerValues!A:A,match(IFNA(vlookup(B2017,'Special Names'!A:B,2,FALSE),B2017),PlayerValues!E:E,0)),"N/A")</f>
        <v>14777</v>
      </c>
      <c r="B2017" s="4" t="s">
        <v>318</v>
      </c>
      <c r="C2017" s="4" t="s">
        <v>283</v>
      </c>
      <c r="D2017" s="94">
        <v>7460.0</v>
      </c>
    </row>
    <row r="2018">
      <c r="A2018" s="40">
        <f t="array" ref="A2018">IFNA(index(PlayerValues!A:A,match(IFNA(vlookup(B2018,'Special Names'!A:B,2,FALSE),B2018),PlayerValues!E:E,0)),"N/A")</f>
        <v>15794</v>
      </c>
      <c r="B2018" s="4" t="s">
        <v>313</v>
      </c>
      <c r="C2018" s="4" t="s">
        <v>298</v>
      </c>
      <c r="D2018" s="94">
        <v>8138.0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7228.0</v>
      </c>
    </row>
    <row r="2020">
      <c r="A2020" s="40">
        <f t="array" ref="A2020">IFNA(index(PlayerValues!A:A,match(IFNA(vlookup(B2020,'Special Names'!A:B,2,FALSE),B2020),PlayerValues!E:E,0)),"N/A")</f>
        <v>15751</v>
      </c>
      <c r="B2020" s="4" t="s">
        <v>328</v>
      </c>
      <c r="C2020" s="4" t="s">
        <v>287</v>
      </c>
      <c r="D2020" s="94">
        <v>7177.0</v>
      </c>
    </row>
    <row r="2021">
      <c r="A2021" s="40" t="str">
        <f t="array" ref="A2021">IFNA(index(PlayerValues!A:A,match(IFNA(vlookup(B2021,'Special Names'!A:B,2,FALSE),B2021),PlayerValues!E:E,0)),"N/A")</f>
        <v>N/A</v>
      </c>
      <c r="B2021" s="4" t="s">
        <v>92</v>
      </c>
      <c r="C2021" s="4" t="s">
        <v>325</v>
      </c>
      <c r="D2021" s="94">
        <v>7064.0</v>
      </c>
    </row>
    <row r="2022">
      <c r="A2022" s="40">
        <f t="array" ref="A2022">IFNA(index(PlayerValues!A:A,match(IFNA(vlookup(B2022,'Special Names'!A:B,2,FALSE),B2022),PlayerValues!E:E,0)),"N/A")</f>
        <v>14779</v>
      </c>
      <c r="B2022" s="4" t="s">
        <v>327</v>
      </c>
      <c r="C2022" s="4" t="s">
        <v>283</v>
      </c>
      <c r="D2022" s="94">
        <v>6994.0</v>
      </c>
    </row>
    <row r="2023">
      <c r="A2023" s="40">
        <f t="array" ref="A2023">IFNA(index(PlayerValues!A:A,match(IFNA(vlookup(B2023,'Special Names'!A:B,2,FALSE),B2023),PlayerValues!E:E,0)),"N/A")</f>
        <v>17044</v>
      </c>
      <c r="B2023" s="4" t="s">
        <v>322</v>
      </c>
      <c r="C2023" s="4" t="s">
        <v>278</v>
      </c>
      <c r="D2023" s="94">
        <v>6855.0</v>
      </c>
    </row>
    <row r="2024">
      <c r="A2024" s="40">
        <f t="array" ref="A2024">IFNA(index(PlayerValues!A:A,match(IFNA(vlookup(B2024,'Special Names'!A:B,2,FALSE),B2024),PlayerValues!E:E,0)),"N/A")</f>
        <v>16167</v>
      </c>
      <c r="B2024" s="4" t="s">
        <v>323</v>
      </c>
      <c r="C2024" s="4" t="s">
        <v>278</v>
      </c>
      <c r="D2024" s="94">
        <v>6836.0</v>
      </c>
    </row>
    <row r="2025">
      <c r="A2025" s="40">
        <f t="array" ref="A2025">IFNA(index(PlayerValues!A:A,match(IFNA(vlookup(B2025,'Special Names'!A:B,2,FALSE),B2025),PlayerValues!E:E,0)),"N/A")</f>
        <v>13116</v>
      </c>
      <c r="B2025" s="4" t="s">
        <v>345</v>
      </c>
      <c r="C2025" s="4" t="s">
        <v>283</v>
      </c>
      <c r="D2025" s="94">
        <v>6645.0</v>
      </c>
    </row>
    <row r="2026">
      <c r="A2026" s="40">
        <f t="array" ref="A2026">IFNA(index(PlayerValues!A:A,match(IFNA(vlookup(B2026,'Special Names'!A:B,2,FALSE),B2026),PlayerValues!E:E,0)),"N/A")</f>
        <v>17071</v>
      </c>
      <c r="B2026" s="4" t="s">
        <v>341</v>
      </c>
      <c r="C2026" s="4" t="s">
        <v>287</v>
      </c>
      <c r="D2026" s="94">
        <v>6555.0</v>
      </c>
    </row>
    <row r="2027">
      <c r="A2027" s="40">
        <f t="array" ref="A2027">IFNA(index(PlayerValues!A:A,match(IFNA(vlookup(B2027,'Special Names'!A:B,2,FALSE),B2027),PlayerValues!E:E,0)),"N/A")</f>
        <v>17032</v>
      </c>
      <c r="B2027" s="4" t="s">
        <v>348</v>
      </c>
      <c r="C2027" s="4" t="s">
        <v>283</v>
      </c>
      <c r="D2027" s="94">
        <v>6449.0</v>
      </c>
    </row>
    <row r="2028">
      <c r="A2028" s="40">
        <f t="array" ref="A2028">IFNA(index(PlayerValues!A:A,match(IFNA(vlookup(B2028,'Special Names'!A:B,2,FALSE),B2028),PlayerValues!E:E,0)),"N/A")</f>
        <v>15237</v>
      </c>
      <c r="B2028" s="4" t="s">
        <v>336</v>
      </c>
      <c r="C2028" s="4" t="s">
        <v>283</v>
      </c>
      <c r="D2028" s="94">
        <v>6356.0</v>
      </c>
    </row>
    <row r="2029">
      <c r="A2029" s="40">
        <f t="array" ref="A2029">IFNA(index(PlayerValues!A:A,match(IFNA(vlookup(B2029,'Special Names'!A:B,2,FALSE),B2029),PlayerValues!E:E,0)),"N/A")</f>
        <v>17104</v>
      </c>
      <c r="B2029" s="4" t="s">
        <v>333</v>
      </c>
      <c r="C2029" s="4" t="s">
        <v>298</v>
      </c>
      <c r="D2029" s="94">
        <v>6911.0</v>
      </c>
    </row>
    <row r="2030">
      <c r="A2030" s="40">
        <f t="array" ref="A2030">IFNA(index(PlayerValues!A:A,match(IFNA(vlookup(B2030,'Special Names'!A:B,2,FALSE),B2030),PlayerValues!E:E,0)),"N/A")</f>
        <v>14783</v>
      </c>
      <c r="B2030" s="4" t="s">
        <v>342</v>
      </c>
      <c r="C2030" s="4" t="s">
        <v>283</v>
      </c>
      <c r="D2030" s="94">
        <v>6171.0</v>
      </c>
    </row>
    <row r="2031">
      <c r="A2031" s="40">
        <f t="array" ref="A2031">IFNA(index(PlayerValues!A:A,match(IFNA(vlookup(B2031,'Special Names'!A:B,2,FALSE),B2031),PlayerValues!E:E,0)),"N/A")</f>
        <v>16582</v>
      </c>
      <c r="B2031" s="4" t="s">
        <v>343</v>
      </c>
      <c r="C2031" s="4" t="s">
        <v>283</v>
      </c>
      <c r="D2031" s="94">
        <v>6073.0</v>
      </c>
    </row>
    <row r="2032">
      <c r="A2032" s="40">
        <f t="array" ref="A2032">IFNA(index(PlayerValues!A:A,match(IFNA(vlookup(B2032,'Special Names'!A:B,2,FALSE),B2032),PlayerValues!E:E,0)),"N/A")</f>
        <v>17081</v>
      </c>
      <c r="B2032" s="4" t="s">
        <v>340</v>
      </c>
      <c r="C2032" s="4" t="s">
        <v>287</v>
      </c>
      <c r="D2032" s="94">
        <v>6061.0</v>
      </c>
    </row>
    <row r="2033">
      <c r="A2033" s="40">
        <f t="array" ref="A2033">IFNA(index(PlayerValues!A:A,match(IFNA(vlookup(B2033,'Special Names'!A:B,2,FALSE),B2033),PlayerValues!E:E,0)),"N/A")</f>
        <v>15715</v>
      </c>
      <c r="B2033" s="4" t="s">
        <v>331</v>
      </c>
      <c r="C2033" s="4" t="s">
        <v>278</v>
      </c>
      <c r="D2033" s="94">
        <v>6044.0</v>
      </c>
    </row>
    <row r="2034">
      <c r="A2034" s="40">
        <f t="array" ref="A2034">IFNA(index(PlayerValues!A:A,match(IFNA(vlookup(B2034,'Special Names'!A:B,2,FALSE),B2034),PlayerValues!E:E,0)),"N/A")</f>
        <v>14802</v>
      </c>
      <c r="B2034" s="4" t="s">
        <v>332</v>
      </c>
      <c r="C2034" s="4" t="s">
        <v>278</v>
      </c>
      <c r="D2034" s="94">
        <v>6010.0</v>
      </c>
    </row>
    <row r="2035">
      <c r="A2035" s="40">
        <f t="array" ref="A2035">IFNA(index(PlayerValues!A:A,match(IFNA(vlookup(B2035,'Special Names'!A:B,2,FALSE),B2035),PlayerValues!E:E,0)),"N/A")</f>
        <v>17497</v>
      </c>
      <c r="B2035" s="4" t="s">
        <v>365</v>
      </c>
      <c r="C2035" s="4" t="s">
        <v>287</v>
      </c>
      <c r="D2035" s="94">
        <v>5957.0</v>
      </c>
    </row>
    <row r="2036">
      <c r="A2036" s="40">
        <f t="array" ref="A2036">IFNA(index(PlayerValues!A:A,match(IFNA(vlookup(B2036,'Special Names'!A:B,2,FALSE),B2036),PlayerValues!E:E,0)),"N/A")</f>
        <v>15762</v>
      </c>
      <c r="B2036" s="4" t="s">
        <v>337</v>
      </c>
      <c r="C2036" s="4" t="s">
        <v>287</v>
      </c>
      <c r="D2036" s="94">
        <v>5924.0</v>
      </c>
    </row>
    <row r="2037">
      <c r="A2037" s="40">
        <f t="array" ref="A2037">IFNA(index(PlayerValues!A:A,match(IFNA(vlookup(B2037,'Special Names'!A:B,2,FALSE),B2037),PlayerValues!E:E,0)),"N/A")</f>
        <v>17102</v>
      </c>
      <c r="B2037" s="4" t="s">
        <v>344</v>
      </c>
      <c r="C2037" s="4" t="s">
        <v>298</v>
      </c>
      <c r="D2037" s="94">
        <v>6499.0</v>
      </c>
    </row>
    <row r="2038">
      <c r="A2038" s="40">
        <f t="array" ref="A2038">IFNA(index(PlayerValues!A:A,match(IFNA(vlookup(B2038,'Special Names'!A:B,2,FALSE),B2038),PlayerValues!E:E,0)),"N/A")</f>
        <v>15698</v>
      </c>
      <c r="B2038" s="4" t="s">
        <v>358</v>
      </c>
      <c r="C2038" s="4" t="s">
        <v>283</v>
      </c>
      <c r="D2038" s="94">
        <v>5837.0</v>
      </c>
    </row>
    <row r="2039">
      <c r="A2039" s="40">
        <f t="array" ref="A2039">IFNA(index(PlayerValues!A:A,match(IFNA(vlookup(B2039,'Special Names'!A:B,2,FALSE),B2039),PlayerValues!E:E,0)),"N/A")</f>
        <v>15753</v>
      </c>
      <c r="B2039" s="4" t="s">
        <v>359</v>
      </c>
      <c r="C2039" s="4" t="s">
        <v>287</v>
      </c>
      <c r="D2039" s="94">
        <v>5683.0</v>
      </c>
    </row>
    <row r="2040">
      <c r="A2040" s="40" t="str">
        <f t="array" ref="A2040">IFNA(index(PlayerValues!A:A,match(IFNA(vlookup(B2040,'Special Names'!A:B,2,FALSE),B2040),PlayerValues!E:E,0)),"N/A")</f>
        <v>N/A</v>
      </c>
      <c r="B2040" s="4" t="s">
        <v>79</v>
      </c>
      <c r="C2040" s="4" t="s">
        <v>325</v>
      </c>
      <c r="D2040" s="94">
        <v>5602.0</v>
      </c>
    </row>
    <row r="2041">
      <c r="A2041" s="40" t="str">
        <f t="array" ref="A2041">IFNA(index(PlayerValues!A:A,match(IFNA(vlookup(B2041,'Special Names'!A:B,2,FALSE),B2041),PlayerValues!E:E,0)),"N/A")</f>
        <v>N/A</v>
      </c>
      <c r="B2041" s="4" t="s">
        <v>93</v>
      </c>
      <c r="C2041" s="4" t="s">
        <v>325</v>
      </c>
      <c r="D2041" s="94">
        <v>5601.0</v>
      </c>
    </row>
    <row r="2042">
      <c r="A2042" s="40">
        <f t="array" ref="A2042">IFNA(index(PlayerValues!A:A,match(IFNA(vlookup(B2042,'Special Names'!A:B,2,FALSE),B2042),PlayerValues!E:E,0)),"N/A")</f>
        <v>15290</v>
      </c>
      <c r="B2042" s="4" t="s">
        <v>355</v>
      </c>
      <c r="C2042" s="4" t="s">
        <v>287</v>
      </c>
      <c r="D2042" s="94">
        <v>5592.0</v>
      </c>
    </row>
    <row r="2043">
      <c r="A2043" s="40">
        <f t="array" ref="A2043">IFNA(index(PlayerValues!A:A,match(IFNA(vlookup(B2043,'Special Names'!A:B,2,FALSE),B2043),PlayerValues!E:E,0)),"N/A")</f>
        <v>16627</v>
      </c>
      <c r="B2043" s="4" t="s">
        <v>351</v>
      </c>
      <c r="C2043" s="4" t="s">
        <v>287</v>
      </c>
      <c r="D2043" s="94">
        <v>5568.0</v>
      </c>
    </row>
    <row r="2044">
      <c r="A2044" s="40">
        <f t="array" ref="A2044">IFNA(index(PlayerValues!A:A,match(IFNA(vlookup(B2044,'Special Names'!A:B,2,FALSE),B2044),PlayerValues!E:E,0)),"N/A")</f>
        <v>17462</v>
      </c>
      <c r="B2044" s="4" t="s">
        <v>375</v>
      </c>
      <c r="C2044" s="4" t="s">
        <v>283</v>
      </c>
      <c r="D2044" s="94">
        <v>5535.0</v>
      </c>
    </row>
    <row r="2045">
      <c r="A2045" s="40">
        <f t="array" ref="A2045">IFNA(index(PlayerValues!A:A,match(IFNA(vlookup(B2045,'Special Names'!A:B,2,FALSE),B2045),PlayerValues!E:E,0)),"N/A")</f>
        <v>15754</v>
      </c>
      <c r="B2045" s="4" t="s">
        <v>354</v>
      </c>
      <c r="C2045" s="4" t="s">
        <v>287</v>
      </c>
      <c r="D2045" s="94">
        <v>5527.0</v>
      </c>
    </row>
    <row r="2046">
      <c r="A2046" s="40">
        <f t="array" ref="A2046">IFNA(index(PlayerValues!A:A,match(IFNA(vlookup(B2046,'Special Names'!A:B,2,FALSE),B2046),PlayerValues!E:E,0)),"N/A")</f>
        <v>17051</v>
      </c>
      <c r="B2046" s="4" t="s">
        <v>386</v>
      </c>
      <c r="C2046" s="4" t="s">
        <v>278</v>
      </c>
      <c r="D2046" s="94">
        <v>5514.0</v>
      </c>
    </row>
    <row r="2047">
      <c r="A2047" s="40">
        <f t="array" ref="A2047">IFNA(index(PlayerValues!A:A,match(IFNA(vlookup(B2047,'Special Names'!A:B,2,FALSE),B2047),PlayerValues!E:E,0)),"N/A")</f>
        <v>14782</v>
      </c>
      <c r="B2047" s="4" t="s">
        <v>385</v>
      </c>
      <c r="C2047" s="4" t="s">
        <v>283</v>
      </c>
      <c r="D2047" s="94">
        <v>5513.0</v>
      </c>
    </row>
    <row r="2048">
      <c r="A2048" s="40">
        <f t="array" ref="A2048">IFNA(index(PlayerValues!A:A,match(IFNA(vlookup(B2048,'Special Names'!A:B,2,FALSE),B2048),PlayerValues!E:E,0)),"N/A")</f>
        <v>17043</v>
      </c>
      <c r="B2048" s="4" t="s">
        <v>397</v>
      </c>
      <c r="C2048" s="4" t="s">
        <v>278</v>
      </c>
      <c r="D2048" s="94">
        <v>5489.0</v>
      </c>
    </row>
    <row r="2049">
      <c r="A2049" s="40">
        <f t="array" ref="A2049">IFNA(index(PlayerValues!A:A,match(IFNA(vlookup(B2049,'Special Names'!A:B,2,FALSE),B2049),PlayerValues!E:E,0)),"N/A")</f>
        <v>15711</v>
      </c>
      <c r="B2049" s="4" t="s">
        <v>349</v>
      </c>
      <c r="C2049" s="4" t="s">
        <v>278</v>
      </c>
      <c r="D2049" s="94">
        <v>5486.0</v>
      </c>
    </row>
    <row r="2050">
      <c r="A2050" s="40">
        <f t="array" ref="A2050">IFNA(index(PlayerValues!A:A,match(IFNA(vlookup(B2050,'Special Names'!A:B,2,FALSE),B2050),PlayerValues!E:E,0)),"N/A")</f>
        <v>15282</v>
      </c>
      <c r="B2050" s="4" t="s">
        <v>364</v>
      </c>
      <c r="C2050" s="4" t="s">
        <v>287</v>
      </c>
      <c r="D2050" s="94">
        <v>5453.0</v>
      </c>
    </row>
    <row r="2051">
      <c r="A2051" s="40">
        <f t="array" ref="A2051">IFNA(index(PlayerValues!A:A,match(IFNA(vlookup(B2051,'Special Names'!A:B,2,FALSE),B2051),PlayerValues!E:E,0)),"N/A")</f>
        <v>17070</v>
      </c>
      <c r="B2051" s="4" t="s">
        <v>370</v>
      </c>
      <c r="C2051" s="4" t="s">
        <v>287</v>
      </c>
      <c r="D2051" s="94">
        <v>5404.0</v>
      </c>
    </row>
    <row r="2052">
      <c r="A2052" s="40">
        <f t="array" ref="A2052">IFNA(index(PlayerValues!A:A,match(IFNA(vlookup(B2052,'Special Names'!A:B,2,FALSE),B2052),PlayerValues!E:E,0)),"N/A")</f>
        <v>15708</v>
      </c>
      <c r="B2052" s="4" t="s">
        <v>382</v>
      </c>
      <c r="C2052" s="4" t="s">
        <v>278</v>
      </c>
      <c r="D2052" s="94">
        <v>5395.0</v>
      </c>
    </row>
    <row r="2053">
      <c r="A2053" s="40">
        <f t="array" ref="A2053">IFNA(index(PlayerValues!A:A,match(IFNA(vlookup(B2053,'Special Names'!A:B,2,FALSE),B2053),PlayerValues!E:E,0)),"N/A")</f>
        <v>17498</v>
      </c>
      <c r="B2053" s="4" t="s">
        <v>396</v>
      </c>
      <c r="C2053" s="4" t="s">
        <v>287</v>
      </c>
      <c r="D2053" s="94">
        <v>5394.0</v>
      </c>
    </row>
    <row r="2054">
      <c r="A2054" s="40">
        <f t="array" ref="A2054">IFNA(index(PlayerValues!A:A,match(IFNA(vlookup(B2054,'Special Names'!A:B,2,FALSE),B2054),PlayerValues!E:E,0)),"N/A")</f>
        <v>17030</v>
      </c>
      <c r="B2054" s="4" t="s">
        <v>406</v>
      </c>
      <c r="C2054" s="4" t="s">
        <v>283</v>
      </c>
      <c r="D2054" s="94">
        <v>5363.0</v>
      </c>
    </row>
    <row r="2055">
      <c r="A2055" s="40">
        <f t="array" ref="A2055">IFNA(index(PlayerValues!A:A,match(IFNA(vlookup(B2055,'Special Names'!A:B,2,FALSE),B2055),PlayerValues!E:E,0)),"N/A")</f>
        <v>16616</v>
      </c>
      <c r="B2055" s="4" t="s">
        <v>389</v>
      </c>
      <c r="C2055" s="4" t="s">
        <v>287</v>
      </c>
      <c r="D2055" s="94">
        <v>5273.0</v>
      </c>
    </row>
    <row r="2056">
      <c r="A2056" s="40">
        <f t="array" ref="A2056">IFNA(index(PlayerValues!A:A,match(IFNA(vlookup(B2056,'Special Names'!A:B,2,FALSE),B2056),PlayerValues!E:E,0)),"N/A")</f>
        <v>16181</v>
      </c>
      <c r="B2056" s="4" t="s">
        <v>350</v>
      </c>
      <c r="C2056" s="4" t="s">
        <v>278</v>
      </c>
      <c r="D2056" s="94">
        <v>5125.0</v>
      </c>
    </row>
    <row r="2057">
      <c r="A2057" s="40">
        <f t="array" ref="A2057">IFNA(index(PlayerValues!A:A,match(IFNA(vlookup(B2057,'Special Names'!A:B,2,FALSE),B2057),PlayerValues!E:E,0)),"N/A")</f>
        <v>17499</v>
      </c>
      <c r="B2057" s="4" t="s">
        <v>402</v>
      </c>
      <c r="C2057" s="4" t="s">
        <v>287</v>
      </c>
      <c r="D2057" s="94">
        <v>5095.0</v>
      </c>
    </row>
    <row r="2058">
      <c r="A2058" s="40" t="str">
        <f t="array" ref="A2058">IFNA(index(PlayerValues!A:A,match(IFNA(vlookup(B2058,'Special Names'!A:B,2,FALSE),B2058),PlayerValues!E:E,0)),"N/A")</f>
        <v>N/A</v>
      </c>
      <c r="B2058" s="4" t="s">
        <v>104</v>
      </c>
      <c r="C2058" s="4" t="s">
        <v>325</v>
      </c>
      <c r="D2058" s="94">
        <v>5016.0</v>
      </c>
    </row>
    <row r="2059">
      <c r="A2059" s="40">
        <f t="array" ref="A2059">IFNA(index(PlayerValues!A:A,match(IFNA(vlookup(B2059,'Special Names'!A:B,2,FALSE),B2059),PlayerValues!E:E,0)),"N/A")</f>
        <v>13130</v>
      </c>
      <c r="B2059" s="4" t="s">
        <v>374</v>
      </c>
      <c r="C2059" s="4" t="s">
        <v>278</v>
      </c>
      <c r="D2059" s="94">
        <v>4985.0</v>
      </c>
    </row>
    <row r="2060">
      <c r="A2060" s="40">
        <f t="array" ref="A2060">IFNA(index(PlayerValues!A:A,match(IFNA(vlookup(B2060,'Special Names'!A:B,2,FALSE),B2060),PlayerValues!E:E,0)),"N/A")</f>
        <v>16614</v>
      </c>
      <c r="B2060" s="4" t="s">
        <v>403</v>
      </c>
      <c r="C2060" s="4" t="s">
        <v>287</v>
      </c>
      <c r="D2060" s="94">
        <v>4968.0</v>
      </c>
    </row>
    <row r="2061">
      <c r="A2061" s="40">
        <f t="array" ref="A2061">IFNA(index(PlayerValues!A:A,match(IFNA(vlookup(B2061,'Special Names'!A:B,2,FALSE),B2061),PlayerValues!E:E,0)),"N/A")</f>
        <v>14104</v>
      </c>
      <c r="B2061" s="4" t="s">
        <v>379</v>
      </c>
      <c r="C2061" s="4" t="s">
        <v>287</v>
      </c>
      <c r="D2061" s="94">
        <v>4951.0</v>
      </c>
    </row>
    <row r="2062">
      <c r="A2062" s="40">
        <f t="array" ref="A2062">IFNA(index(PlayerValues!A:A,match(IFNA(vlookup(B2062,'Special Names'!A:B,2,FALSE),B2062),PlayerValues!E:E,0)),"N/A")</f>
        <v>13604</v>
      </c>
      <c r="B2062" s="4" t="s">
        <v>378</v>
      </c>
      <c r="C2062" s="4" t="s">
        <v>278</v>
      </c>
      <c r="D2062" s="94">
        <v>4946.0</v>
      </c>
    </row>
    <row r="2063">
      <c r="A2063" s="40">
        <f t="array" ref="A2063">IFNA(index(PlayerValues!A:A,match(IFNA(vlookup(B2063,'Special Names'!A:B,2,FALSE),B2063),PlayerValues!E:E,0)),"N/A")</f>
        <v>14835</v>
      </c>
      <c r="B2063" s="4" t="s">
        <v>392</v>
      </c>
      <c r="C2063" s="4" t="s">
        <v>287</v>
      </c>
      <c r="D2063" s="94">
        <v>4938.0</v>
      </c>
    </row>
    <row r="2064">
      <c r="A2064" s="40" t="str">
        <f t="array" ref="A2064">IFNA(index(PlayerValues!A:A,match(IFNA(vlookup(B2064,'Special Names'!A:B,2,FALSE),B2064),PlayerValues!E:E,0)),"N/A")</f>
        <v>N/A</v>
      </c>
      <c r="B2064" s="4" t="s">
        <v>94</v>
      </c>
      <c r="C2064" s="4" t="s">
        <v>325</v>
      </c>
      <c r="D2064" s="94">
        <v>4931.0</v>
      </c>
    </row>
    <row r="2065">
      <c r="A2065" s="40">
        <f t="array" ref="A2065">IFNA(index(PlayerValues!A:A,match(IFNA(vlookup(B2065,'Special Names'!A:B,2,FALSE),B2065),PlayerValues!E:E,0)),"N/A")</f>
        <v>16222</v>
      </c>
      <c r="B2065" s="4" t="s">
        <v>393</v>
      </c>
      <c r="C2065" s="4" t="s">
        <v>298</v>
      </c>
      <c r="D2065" s="94">
        <v>5496.0</v>
      </c>
    </row>
    <row r="2066">
      <c r="A2066" s="40">
        <f t="array" ref="A2066">IFNA(index(PlayerValues!A:A,match(IFNA(vlookup(B2066,'Special Names'!A:B,2,FALSE),B2066),PlayerValues!E:E,0)),"N/A")</f>
        <v>16618</v>
      </c>
      <c r="B2066" s="4" t="s">
        <v>411</v>
      </c>
      <c r="C2066" s="4" t="s">
        <v>287</v>
      </c>
      <c r="D2066" s="94">
        <v>4890.0</v>
      </c>
    </row>
    <row r="2067">
      <c r="A2067" s="40">
        <f t="array" ref="A2067">IFNA(index(PlayerValues!A:A,match(IFNA(vlookup(B2067,'Special Names'!A:B,2,FALSE),B2067),PlayerValues!E:E,0)),"N/A")</f>
        <v>16190</v>
      </c>
      <c r="B2067" s="4" t="s">
        <v>371</v>
      </c>
      <c r="C2067" s="4" t="s">
        <v>287</v>
      </c>
      <c r="D2067" s="94">
        <v>4888.0</v>
      </c>
    </row>
    <row r="2068">
      <c r="A2068" s="40">
        <f t="array" ref="A2068">IFNA(index(PlayerValues!A:A,match(IFNA(vlookup(B2068,'Special Names'!A:B,2,FALSE),B2068),PlayerValues!E:E,0)),"N/A")</f>
        <v>12620</v>
      </c>
      <c r="B2068" s="4" t="s">
        <v>394</v>
      </c>
      <c r="C2068" s="4" t="s">
        <v>283</v>
      </c>
      <c r="D2068" s="94">
        <v>4881.0</v>
      </c>
    </row>
    <row r="2069">
      <c r="A2069" s="40">
        <f t="array" ref="A2069">IFNA(index(PlayerValues!A:A,match(IFNA(vlookup(B2069,'Special Names'!A:B,2,FALSE),B2069),PlayerValues!E:E,0)),"N/A")</f>
        <v>15710</v>
      </c>
      <c r="B2069" s="4" t="s">
        <v>395</v>
      </c>
      <c r="C2069" s="4" t="s">
        <v>278</v>
      </c>
      <c r="D2069" s="94">
        <v>4864.0</v>
      </c>
    </row>
    <row r="2070">
      <c r="A2070" s="40">
        <f t="array" ref="A2070">IFNA(index(PlayerValues!A:A,match(IFNA(vlookup(B2070,'Special Names'!A:B,2,FALSE),B2070),PlayerValues!E:E,0)),"N/A")</f>
        <v>17473</v>
      </c>
      <c r="B2070" s="4" t="s">
        <v>391</v>
      </c>
      <c r="C2070" s="4" t="s">
        <v>278</v>
      </c>
      <c r="D2070" s="94">
        <v>4856.0</v>
      </c>
    </row>
    <row r="2071">
      <c r="A2071" s="40">
        <f t="array" ref="A2071">IFNA(index(PlayerValues!A:A,match(IFNA(vlookup(B2071,'Special Names'!A:B,2,FALSE),B2071),PlayerValues!E:E,0)),"N/A")</f>
        <v>17103</v>
      </c>
      <c r="B2071" s="4" t="s">
        <v>405</v>
      </c>
      <c r="C2071" s="4" t="s">
        <v>298</v>
      </c>
      <c r="D2071" s="94">
        <v>5411.0</v>
      </c>
    </row>
    <row r="2072">
      <c r="A2072" s="40">
        <f t="array" ref="A2072">IFNA(index(PlayerValues!A:A,match(IFNA(vlookup(B2072,'Special Names'!A:B,2,FALSE),B2072),PlayerValues!E:E,0)),"N/A")</f>
        <v>16150</v>
      </c>
      <c r="B2072" s="4" t="s">
        <v>414</v>
      </c>
      <c r="C2072" s="4" t="s">
        <v>283</v>
      </c>
      <c r="D2072" s="94">
        <v>4816.0</v>
      </c>
    </row>
    <row r="2073">
      <c r="A2073" s="40">
        <f t="array" ref="A2073">IFNA(index(PlayerValues!A:A,match(IFNA(vlookup(B2073,'Special Names'!A:B,2,FALSE),B2073),PlayerValues!E:E,0)),"N/A")</f>
        <v>17039</v>
      </c>
      <c r="B2073" s="4" t="s">
        <v>400</v>
      </c>
      <c r="C2073" s="4" t="s">
        <v>283</v>
      </c>
      <c r="D2073" s="94">
        <v>4816.0</v>
      </c>
    </row>
    <row r="2074">
      <c r="A2074" s="40">
        <f t="array" ref="A2074">IFNA(index(PlayerValues!A:A,match(IFNA(vlookup(B2074,'Special Names'!A:B,2,FALSE),B2074),PlayerValues!E:E,0)),"N/A")</f>
        <v>17045</v>
      </c>
      <c r="B2074" s="4" t="s">
        <v>407</v>
      </c>
      <c r="C2074" s="4" t="s">
        <v>278</v>
      </c>
      <c r="D2074" s="94">
        <v>4788.0</v>
      </c>
    </row>
    <row r="2075">
      <c r="A2075" s="40">
        <f t="array" ref="A2075">IFNA(index(PlayerValues!A:A,match(IFNA(vlookup(B2075,'Special Names'!A:B,2,FALSE),B2075),PlayerValues!E:E,0)),"N/A")</f>
        <v>15284</v>
      </c>
      <c r="B2075" s="4" t="s">
        <v>390</v>
      </c>
      <c r="C2075" s="4" t="s">
        <v>287</v>
      </c>
      <c r="D2075" s="94">
        <v>4767.0</v>
      </c>
    </row>
    <row r="2076">
      <c r="A2076" s="40">
        <f t="array" ref="A2076">IFNA(index(PlayerValues!A:A,match(IFNA(vlookup(B2076,'Special Names'!A:B,2,FALSE),B2076),PlayerValues!E:E,0)),"N/A")</f>
        <v>16598</v>
      </c>
      <c r="B2076" s="4" t="s">
        <v>408</v>
      </c>
      <c r="C2076" s="4" t="s">
        <v>278</v>
      </c>
      <c r="D2076" s="94">
        <v>4722.0</v>
      </c>
    </row>
    <row r="2077">
      <c r="A2077" s="40">
        <f t="array" ref="A2077">IFNA(index(PlayerValues!A:A,match(IFNA(vlookup(B2077,'Special Names'!A:B,2,FALSE),B2077),PlayerValues!E:E,0)),"N/A")</f>
        <v>13590</v>
      </c>
      <c r="B2077" s="4" t="s">
        <v>409</v>
      </c>
      <c r="C2077" s="4" t="s">
        <v>283</v>
      </c>
      <c r="D2077" s="94">
        <v>4707.0</v>
      </c>
    </row>
    <row r="2078">
      <c r="A2078" s="40">
        <f t="array" ref="A2078">IFNA(index(PlayerValues!A:A,match(IFNA(vlookup(B2078,'Special Names'!A:B,2,FALSE),B2078),PlayerValues!E:E,0)),"N/A")</f>
        <v>12611</v>
      </c>
      <c r="B2078" s="4" t="s">
        <v>410</v>
      </c>
      <c r="C2078" s="4" t="s">
        <v>283</v>
      </c>
      <c r="D2078" s="94">
        <v>4683.0</v>
      </c>
    </row>
    <row r="2079">
      <c r="A2079" s="40">
        <f t="array" ref="A2079">IFNA(index(PlayerValues!A:A,match(IFNA(vlookup(B2079,'Special Names'!A:B,2,FALSE),B2079),PlayerValues!E:E,0)),"N/A")</f>
        <v>15756</v>
      </c>
      <c r="B2079" s="4" t="s">
        <v>399</v>
      </c>
      <c r="C2079" s="4" t="s">
        <v>287</v>
      </c>
      <c r="D2079" s="94">
        <v>4678.0</v>
      </c>
    </row>
    <row r="2080">
      <c r="A2080" s="40">
        <f t="array" ref="A2080">IFNA(index(PlayerValues!A:A,match(IFNA(vlookup(B2080,'Special Names'!A:B,2,FALSE),B2080),PlayerValues!E:E,0)),"N/A")</f>
        <v>16194</v>
      </c>
      <c r="B2080" s="4" t="s">
        <v>398</v>
      </c>
      <c r="C2080" s="4" t="s">
        <v>287</v>
      </c>
      <c r="D2080" s="94">
        <v>4668.0</v>
      </c>
    </row>
    <row r="2081">
      <c r="A2081" s="40" t="str">
        <f t="array" ref="A2081">IFNA(index(PlayerValues!A:A,match(IFNA(vlookup(B2081,'Special Names'!A:B,2,FALSE),B2081),PlayerValues!E:E,0)),"N/A")</f>
        <v>N/A</v>
      </c>
      <c r="B2081" s="4" t="s">
        <v>105</v>
      </c>
      <c r="C2081" s="4" t="s">
        <v>325</v>
      </c>
      <c r="D2081" s="94">
        <v>4591.0</v>
      </c>
    </row>
    <row r="2082">
      <c r="A2082" s="40" t="str">
        <f t="array" ref="A2082">IFNA(index(PlayerValues!A:A,match(IFNA(vlookup(B2082,'Special Names'!A:B,2,FALSE),B2082),PlayerValues!E:E,0)),"N/A")</f>
        <v>N/A</v>
      </c>
      <c r="B2082" s="4" t="s">
        <v>80</v>
      </c>
      <c r="C2082" s="4" t="s">
        <v>325</v>
      </c>
      <c r="D2082" s="94">
        <v>4581.0</v>
      </c>
    </row>
    <row r="2083">
      <c r="A2083" s="40">
        <f t="array" ref="A2083">IFNA(index(PlayerValues!A:A,match(IFNA(vlookup(B2083,'Special Names'!A:B,2,FALSE),B2083),PlayerValues!E:E,0)),"N/A")</f>
        <v>13592</v>
      </c>
      <c r="B2083" s="4" t="s">
        <v>418</v>
      </c>
      <c r="C2083" s="4" t="s">
        <v>283</v>
      </c>
      <c r="D2083" s="94">
        <v>4519.0</v>
      </c>
    </row>
    <row r="2084">
      <c r="A2084" s="40">
        <f t="array" ref="A2084">IFNA(index(PlayerValues!A:A,match(IFNA(vlookup(B2084,'Special Names'!A:B,2,FALSE),B2084),PlayerValues!E:E,0)),"N/A")</f>
        <v>15329</v>
      </c>
      <c r="B2084" s="4" t="s">
        <v>416</v>
      </c>
      <c r="C2084" s="4" t="s">
        <v>298</v>
      </c>
      <c r="D2084" s="94">
        <v>5040.0</v>
      </c>
    </row>
    <row r="2085">
      <c r="A2085" s="40">
        <f t="array" ref="A2085">IFNA(index(PlayerValues!A:A,match(IFNA(vlookup(B2085,'Special Names'!A:B,2,FALSE),B2085),PlayerValues!E:E,0)),"N/A")</f>
        <v>15256</v>
      </c>
      <c r="B2085" s="4" t="s">
        <v>401</v>
      </c>
      <c r="C2085" s="4" t="s">
        <v>278</v>
      </c>
      <c r="D2085" s="94">
        <v>4486.0</v>
      </c>
    </row>
    <row r="2086">
      <c r="A2086" s="40">
        <f t="array" ref="A2086">IFNA(index(PlayerValues!A:A,match(IFNA(vlookup(B2086,'Special Names'!A:B,2,FALSE),B2086),PlayerValues!E:E,0)),"N/A")</f>
        <v>16214</v>
      </c>
      <c r="B2086" s="4" t="s">
        <v>413</v>
      </c>
      <c r="C2086" s="4" t="s">
        <v>298</v>
      </c>
      <c r="D2086" s="94">
        <v>5011.0</v>
      </c>
    </row>
    <row r="2087">
      <c r="A2087" s="40">
        <f t="array" ref="A2087">IFNA(index(PlayerValues!A:A,match(IFNA(vlookup(B2087,'Special Names'!A:B,2,FALSE),B2087),PlayerValues!E:E,0)),"N/A")</f>
        <v>17501</v>
      </c>
      <c r="B2087" s="4" t="s">
        <v>404</v>
      </c>
      <c r="C2087" s="4" t="s">
        <v>287</v>
      </c>
      <c r="D2087" s="94">
        <v>4470.0</v>
      </c>
    </row>
    <row r="2088">
      <c r="A2088" s="40">
        <f t="array" ref="A2088">IFNA(index(PlayerValues!A:A,match(IFNA(vlookup(B2088,'Special Names'!A:B,2,FALSE),B2088),PlayerValues!E:E,0)),"N/A")</f>
        <v>15253</v>
      </c>
      <c r="B2088" s="4" t="s">
        <v>415</v>
      </c>
      <c r="C2088" s="4" t="s">
        <v>278</v>
      </c>
      <c r="D2088" s="94">
        <v>4468.0</v>
      </c>
    </row>
    <row r="2089">
      <c r="A2089" s="40">
        <f t="array" ref="A2089">IFNA(index(PlayerValues!A:A,match(IFNA(vlookup(B2089,'Special Names'!A:B,2,FALSE),B2089),PlayerValues!E:E,0)),"N/A")</f>
        <v>16148</v>
      </c>
      <c r="B2089" s="4" t="s">
        <v>426</v>
      </c>
      <c r="C2089" s="4" t="s">
        <v>283</v>
      </c>
      <c r="D2089" s="94">
        <v>4320.0</v>
      </c>
    </row>
    <row r="2090">
      <c r="A2090" s="40" t="str">
        <f t="array" ref="A2090">IFNA(index(PlayerValues!A:A,match(IFNA(vlookup(B2090,'Special Names'!A:B,2,FALSE),B2090),PlayerValues!E:E,0)),"N/A")</f>
        <v>N/A</v>
      </c>
      <c r="B2090" s="4" t="s">
        <v>107</v>
      </c>
      <c r="C2090" s="4" t="s">
        <v>325</v>
      </c>
      <c r="D2090" s="94">
        <v>4128.0</v>
      </c>
    </row>
    <row r="2091">
      <c r="A2091" s="40">
        <f t="array" ref="A2091">IFNA(index(PlayerValues!A:A,match(IFNA(vlookup(B2091,'Special Names'!A:B,2,FALSE),B2091),PlayerValues!E:E,0)),"N/A")</f>
        <v>14056</v>
      </c>
      <c r="B2091" s="4" t="s">
        <v>423</v>
      </c>
      <c r="C2091" s="4" t="s">
        <v>283</v>
      </c>
      <c r="D2091" s="94">
        <v>4123.0</v>
      </c>
    </row>
    <row r="2092">
      <c r="A2092" s="40">
        <f t="array" ref="A2092">IFNA(index(PlayerValues!A:A,match(IFNA(vlookup(B2092,'Special Names'!A:B,2,FALSE),B2092),PlayerValues!E:E,0)),"N/A")</f>
        <v>17052</v>
      </c>
      <c r="B2092" s="4" t="s">
        <v>417</v>
      </c>
      <c r="C2092" s="4" t="s">
        <v>278</v>
      </c>
      <c r="D2092" s="94">
        <v>4116.0</v>
      </c>
    </row>
    <row r="2093">
      <c r="A2093" s="40">
        <f t="array" ref="A2093">IFNA(index(PlayerValues!A:A,match(IFNA(vlookup(B2093,'Special Names'!A:B,2,FALSE),B2093),PlayerValues!E:E,0)),"N/A")</f>
        <v>17543</v>
      </c>
      <c r="B2093" s="4" t="s">
        <v>436</v>
      </c>
      <c r="C2093" s="4" t="s">
        <v>298</v>
      </c>
      <c r="D2093" s="94">
        <v>4561.0</v>
      </c>
    </row>
    <row r="2094">
      <c r="A2094" s="40">
        <f t="array" ref="A2094">IFNA(index(PlayerValues!A:A,match(IFNA(vlookup(B2094,'Special Names'!A:B,2,FALSE),B2094),PlayerValues!E:E,0)),"N/A")</f>
        <v>12626</v>
      </c>
      <c r="B2094" s="4" t="s">
        <v>419</v>
      </c>
      <c r="C2094" s="4" t="s">
        <v>278</v>
      </c>
      <c r="D2094" s="94">
        <v>4005.0</v>
      </c>
    </row>
    <row r="2095">
      <c r="A2095" s="40">
        <f t="array" ref="A2095">IFNA(index(PlayerValues!A:A,match(IFNA(vlookup(B2095,'Special Names'!A:B,2,FALSE),B2095),PlayerValues!E:E,0)),"N/A")</f>
        <v>15768</v>
      </c>
      <c r="B2095" s="4" t="s">
        <v>432</v>
      </c>
      <c r="C2095" s="4" t="s">
        <v>287</v>
      </c>
      <c r="D2095" s="94">
        <v>3993.0</v>
      </c>
    </row>
    <row r="2096">
      <c r="A2096" s="40">
        <f t="array" ref="A2096">IFNA(index(PlayerValues!A:A,match(IFNA(vlookup(B2096,'Special Names'!A:B,2,FALSE),B2096),PlayerValues!E:E,0)),"N/A")</f>
        <v>16186</v>
      </c>
      <c r="B2096" s="4" t="s">
        <v>425</v>
      </c>
      <c r="C2096" s="4" t="s">
        <v>287</v>
      </c>
      <c r="D2096" s="94">
        <v>3956.0</v>
      </c>
    </row>
    <row r="2097">
      <c r="A2097" s="40">
        <f t="array" ref="A2097">IFNA(index(PlayerValues!A:A,match(IFNA(vlookup(B2097,'Special Names'!A:B,2,FALSE),B2097),PlayerValues!E:E,0)),"N/A")</f>
        <v>14059</v>
      </c>
      <c r="B2097" s="4" t="s">
        <v>435</v>
      </c>
      <c r="C2097" s="4" t="s">
        <v>283</v>
      </c>
      <c r="D2097" s="94">
        <v>3929.0</v>
      </c>
    </row>
    <row r="2098">
      <c r="A2098" s="40">
        <f t="array" ref="A2098">IFNA(index(PlayerValues!A:A,match(IFNA(vlookup(B2098,'Special Names'!A:B,2,FALSE),B2098),PlayerValues!E:E,0)),"N/A")</f>
        <v>15789</v>
      </c>
      <c r="B2098" s="4" t="s">
        <v>421</v>
      </c>
      <c r="C2098" s="4" t="s">
        <v>287</v>
      </c>
      <c r="D2098" s="94">
        <v>3898.0</v>
      </c>
    </row>
    <row r="2099">
      <c r="A2099" s="40" t="str">
        <f t="array" ref="A2099">IFNA(index(PlayerValues!A:A,match(IFNA(vlookup(B2099,'Special Names'!A:B,2,FALSE),B2099),PlayerValues!E:E,0)),"N/A")</f>
        <v>N/A</v>
      </c>
      <c r="B2099" s="4" t="s">
        <v>81</v>
      </c>
      <c r="C2099" s="4" t="s">
        <v>325</v>
      </c>
      <c r="D2099" s="94">
        <v>3888.0</v>
      </c>
    </row>
    <row r="2100">
      <c r="A2100" s="40" t="str">
        <f t="array" ref="A2100">IFNA(index(PlayerValues!A:A,match(IFNA(vlookup(B2100,'Special Names'!A:B,2,FALSE),B2100),PlayerValues!E:E,0)),"N/A")</f>
        <v>N/A</v>
      </c>
      <c r="B2100" s="4" t="s">
        <v>95</v>
      </c>
      <c r="C2100" s="4" t="s">
        <v>325</v>
      </c>
      <c r="D2100" s="94">
        <v>3887.0</v>
      </c>
    </row>
    <row r="2101">
      <c r="A2101" s="40">
        <f t="array" ref="A2101">IFNA(index(PlayerValues!A:A,match(IFNA(vlookup(B2101,'Special Names'!A:B,2,FALSE),B2101),PlayerValues!E:E,0)),"N/A")</f>
        <v>14073</v>
      </c>
      <c r="B2101" s="4" t="s">
        <v>464</v>
      </c>
      <c r="C2101" s="4" t="s">
        <v>278</v>
      </c>
      <c r="D2101" s="94">
        <v>3835.0</v>
      </c>
    </row>
    <row r="2102">
      <c r="A2102" s="40">
        <f t="array" ref="A2102">IFNA(index(PlayerValues!A:A,match(IFNA(vlookup(B2102,'Special Names'!A:B,2,FALSE),B2102),PlayerValues!E:E,0)),"N/A")</f>
        <v>15694</v>
      </c>
      <c r="B2102" s="4" t="s">
        <v>434</v>
      </c>
      <c r="C2102" s="4" t="s">
        <v>283</v>
      </c>
      <c r="D2102" s="94">
        <v>3820.0</v>
      </c>
    </row>
    <row r="2103">
      <c r="A2103" s="40">
        <f t="array" ref="A2103">IFNA(index(PlayerValues!A:A,match(IFNA(vlookup(B2103,'Special Names'!A:B,2,FALSE),B2103),PlayerValues!E:E,0)),"N/A")</f>
        <v>9431</v>
      </c>
      <c r="B2103" s="4" t="s">
        <v>428</v>
      </c>
      <c r="C2103" s="4" t="s">
        <v>283</v>
      </c>
      <c r="D2103" s="94">
        <v>3807.0</v>
      </c>
    </row>
    <row r="2104">
      <c r="A2104" s="40">
        <f t="array" ref="A2104">IFNA(index(PlayerValues!A:A,match(IFNA(vlookup(B2104,'Special Names'!A:B,2,FALSE),B2104),PlayerValues!E:E,0)),"N/A")</f>
        <v>17502</v>
      </c>
      <c r="B2104" s="4" t="s">
        <v>451</v>
      </c>
      <c r="C2104" s="4" t="s">
        <v>287</v>
      </c>
      <c r="D2104" s="94">
        <v>3711.0</v>
      </c>
    </row>
    <row r="2105">
      <c r="A2105" s="40">
        <f t="array" ref="A2105">IFNA(index(PlayerValues!A:A,match(IFNA(vlookup(B2105,'Special Names'!A:B,2,FALSE),B2105),PlayerValues!E:E,0)),"N/A")</f>
        <v>16192</v>
      </c>
      <c r="B2105" s="4" t="s">
        <v>412</v>
      </c>
      <c r="C2105" s="4" t="s">
        <v>287</v>
      </c>
      <c r="D2105" s="94">
        <v>3687.0</v>
      </c>
    </row>
    <row r="2106">
      <c r="A2106" s="40">
        <f t="array" ref="A2106">IFNA(index(PlayerValues!A:A,match(IFNA(vlookup(B2106,'Special Names'!A:B,2,FALSE),B2106),PlayerValues!E:E,0)),"N/A")</f>
        <v>16187</v>
      </c>
      <c r="B2106" s="4" t="s">
        <v>441</v>
      </c>
      <c r="C2106" s="4" t="s">
        <v>287</v>
      </c>
      <c r="D2106" s="94">
        <v>3671.0</v>
      </c>
    </row>
    <row r="2107">
      <c r="A2107" s="40">
        <f t="array" ref="A2107">IFNA(index(PlayerValues!A:A,match(IFNA(vlookup(B2107,'Special Names'!A:B,2,FALSE),B2107),PlayerValues!E:E,0)),"N/A")</f>
        <v>14797</v>
      </c>
      <c r="B2107" s="4" t="s">
        <v>420</v>
      </c>
      <c r="C2107" s="4" t="s">
        <v>278</v>
      </c>
      <c r="D2107" s="94">
        <v>3627.0</v>
      </c>
    </row>
    <row r="2108">
      <c r="A2108" s="40">
        <f t="array" ref="A2108">IFNA(index(PlayerValues!A:A,match(IFNA(vlookup(B2108,'Special Names'!A:B,2,FALSE),B2108),PlayerValues!E:E,0)),"N/A")</f>
        <v>17075</v>
      </c>
      <c r="B2108" s="4" t="s">
        <v>429</v>
      </c>
      <c r="C2108" s="4" t="s">
        <v>287</v>
      </c>
      <c r="D2108" s="94">
        <v>3622.0</v>
      </c>
    </row>
    <row r="2109">
      <c r="A2109" s="40">
        <f t="array" ref="A2109">IFNA(index(PlayerValues!A:A,match(IFNA(vlookup(B2109,'Special Names'!A:B,2,FALSE),B2109),PlayerValues!E:E,0)),"N/A")</f>
        <v>13635</v>
      </c>
      <c r="B2109" s="4" t="s">
        <v>424</v>
      </c>
      <c r="C2109" s="4" t="s">
        <v>287</v>
      </c>
      <c r="D2109" s="94">
        <v>3613.0</v>
      </c>
    </row>
    <row r="2110">
      <c r="A2110" s="40">
        <f t="array" ref="A2110">IFNA(index(PlayerValues!A:A,match(IFNA(vlookup(B2110,'Special Names'!A:B,2,FALSE),B2110),PlayerValues!E:E,0)),"N/A")</f>
        <v>16206</v>
      </c>
      <c r="B2110" s="4" t="s">
        <v>431</v>
      </c>
      <c r="C2110" s="4" t="s">
        <v>287</v>
      </c>
      <c r="D2110" s="94">
        <v>3604.0</v>
      </c>
    </row>
    <row r="2111">
      <c r="A2111" s="40">
        <f t="array" ref="A2111">IFNA(index(PlayerValues!A:A,match(IFNA(vlookup(B2111,'Special Names'!A:B,2,FALSE),B2111),PlayerValues!E:E,0)),"N/A")</f>
        <v>17099</v>
      </c>
      <c r="B2111" s="4" t="s">
        <v>474</v>
      </c>
      <c r="C2111" s="4" t="s">
        <v>298</v>
      </c>
      <c r="D2111" s="94">
        <v>4064.0</v>
      </c>
    </row>
    <row r="2112">
      <c r="A2112" s="40">
        <f t="array" ref="A2112">IFNA(index(PlayerValues!A:A,match(IFNA(vlookup(B2112,'Special Names'!A:B,2,FALSE),B2112),PlayerValues!E:E,0)),"N/A")</f>
        <v>17544</v>
      </c>
      <c r="B2112" s="4" t="s">
        <v>470</v>
      </c>
      <c r="C2112" s="4" t="s">
        <v>298</v>
      </c>
      <c r="D2112" s="94">
        <v>4054.0</v>
      </c>
    </row>
    <row r="2113">
      <c r="A2113" s="40">
        <f t="array" ref="A2113">IFNA(index(PlayerValues!A:A,match(IFNA(vlookup(B2113,'Special Names'!A:B,2,FALSE),B2113),PlayerValues!E:E,0)),"N/A")</f>
        <v>17066</v>
      </c>
      <c r="B2113" s="4" t="s">
        <v>446</v>
      </c>
      <c r="C2113" s="4" t="s">
        <v>278</v>
      </c>
      <c r="D2113" s="94">
        <v>3573.0</v>
      </c>
    </row>
    <row r="2114">
      <c r="A2114" s="40">
        <f t="array" ref="A2114">IFNA(index(PlayerValues!A:A,match(IFNA(vlookup(B2114,'Special Names'!A:B,2,FALSE),B2114),PlayerValues!E:E,0)),"N/A")</f>
        <v>16188</v>
      </c>
      <c r="B2114" s="4" t="s">
        <v>439</v>
      </c>
      <c r="C2114" s="4" t="s">
        <v>287</v>
      </c>
      <c r="D2114" s="94">
        <v>3570.0</v>
      </c>
    </row>
    <row r="2115">
      <c r="A2115" s="40">
        <f t="array" ref="A2115">IFNA(index(PlayerValues!A:A,match(IFNA(vlookup(B2115,'Special Names'!A:B,2,FALSE),B2115),PlayerValues!E:E,0)),"N/A")</f>
        <v>17463</v>
      </c>
      <c r="B2115" s="4" t="s">
        <v>433</v>
      </c>
      <c r="C2115" s="4" t="s">
        <v>283</v>
      </c>
      <c r="D2115" s="94">
        <v>3550.0</v>
      </c>
    </row>
    <row r="2116">
      <c r="A2116" s="40">
        <f t="array" ref="A2116">IFNA(index(PlayerValues!A:A,match(IFNA(vlookup(B2116,'Special Names'!A:B,2,FALSE),B2116),PlayerValues!E:E,0)),"N/A")</f>
        <v>15757</v>
      </c>
      <c r="B2116" s="4" t="s">
        <v>449</v>
      </c>
      <c r="C2116" s="4" t="s">
        <v>287</v>
      </c>
      <c r="D2116" s="94">
        <v>3491.0</v>
      </c>
    </row>
    <row r="2117">
      <c r="A2117" s="40">
        <f t="array" ref="A2117">IFNA(index(PlayerValues!A:A,match(IFNA(vlookup(B2117,'Special Names'!A:B,2,FALSE),B2117),PlayerValues!E:E,0)),"N/A")</f>
        <v>14109</v>
      </c>
      <c r="B2117" s="4" t="s">
        <v>437</v>
      </c>
      <c r="C2117" s="4" t="s">
        <v>287</v>
      </c>
      <c r="D2117" s="94">
        <v>3486.0</v>
      </c>
    </row>
    <row r="2118">
      <c r="A2118" s="40">
        <f t="array" ref="A2118">IFNA(index(PlayerValues!A:A,match(IFNA(vlookup(B2118,'Special Names'!A:B,2,FALSE),B2118),PlayerValues!E:E,0)),"N/A")</f>
        <v>17500</v>
      </c>
      <c r="B2118" s="4" t="s">
        <v>430</v>
      </c>
      <c r="C2118" s="4" t="s">
        <v>287</v>
      </c>
      <c r="D2118" s="94">
        <v>3461.0</v>
      </c>
    </row>
    <row r="2119">
      <c r="A2119" s="40" t="str">
        <f t="array" ref="A2119">IFNA(index(PlayerValues!A:A,match(IFNA(vlookup(B2119,'Special Names'!A:B,2,FALSE),B2119),PlayerValues!E:E,0)),"N/A")</f>
        <v>N/A</v>
      </c>
      <c r="B2119" s="4" t="s">
        <v>96</v>
      </c>
      <c r="C2119" s="4" t="s">
        <v>325</v>
      </c>
      <c r="D2119" s="94">
        <v>3459.0</v>
      </c>
    </row>
    <row r="2120">
      <c r="A2120" s="40">
        <f t="array" ref="A2120">IFNA(index(PlayerValues!A:A,match(IFNA(vlookup(B2120,'Special Names'!A:B,2,FALSE),B2120),PlayerValues!E:E,0)),"N/A")</f>
        <v>17083</v>
      </c>
      <c r="B2120" s="4" t="s">
        <v>479</v>
      </c>
      <c r="C2120" s="4" t="s">
        <v>287</v>
      </c>
      <c r="D2120" s="94">
        <v>3447.0</v>
      </c>
    </row>
    <row r="2121">
      <c r="A2121" s="40">
        <f t="array" ref="A2121">IFNA(index(PlayerValues!A:A,match(IFNA(vlookup(B2121,'Special Names'!A:B,2,FALSE),B2121),PlayerValues!E:E,0)),"N/A")</f>
        <v>14102</v>
      </c>
      <c r="B2121" s="4" t="s">
        <v>444</v>
      </c>
      <c r="C2121" s="4" t="s">
        <v>287</v>
      </c>
      <c r="D2121" s="94">
        <v>3439.0</v>
      </c>
    </row>
    <row r="2122">
      <c r="A2122" s="40">
        <f t="array" ref="A2122">IFNA(index(PlayerValues!A:A,match(IFNA(vlookup(B2122,'Special Names'!A:B,2,FALSE),B2122),PlayerValues!E:E,0)),"N/A")</f>
        <v>16184</v>
      </c>
      <c r="B2122" s="4" t="s">
        <v>445</v>
      </c>
      <c r="C2122" s="4" t="s">
        <v>287</v>
      </c>
      <c r="D2122" s="94">
        <v>3439.0</v>
      </c>
    </row>
    <row r="2123">
      <c r="A2123" s="40">
        <f t="array" ref="A2123">IFNA(index(PlayerValues!A:A,match(IFNA(vlookup(B2123,'Special Names'!A:B,2,FALSE),B2123),PlayerValues!E:E,0)),"N/A")</f>
        <v>17068</v>
      </c>
      <c r="B2123" s="4" t="s">
        <v>450</v>
      </c>
      <c r="C2123" s="4" t="s">
        <v>278</v>
      </c>
      <c r="D2123" s="94">
        <v>3385.0</v>
      </c>
    </row>
    <row r="2124">
      <c r="A2124" s="40">
        <f t="array" ref="A2124">IFNA(index(PlayerValues!A:A,match(IFNA(vlookup(B2124,'Special Names'!A:B,2,FALSE),B2124),PlayerValues!E:E,0)),"N/A")</f>
        <v>15798</v>
      </c>
      <c r="B2124" s="4" t="s">
        <v>443</v>
      </c>
      <c r="C2124" s="4" t="s">
        <v>298</v>
      </c>
      <c r="D2124" s="94">
        <v>3830.0</v>
      </c>
    </row>
    <row r="2125">
      <c r="A2125" s="40">
        <f t="array" ref="A2125">IFNA(index(PlayerValues!A:A,match(IFNA(vlookup(B2125,'Special Names'!A:B,2,FALSE),B2125),PlayerValues!E:E,0)),"N/A")</f>
        <v>14071</v>
      </c>
      <c r="B2125" s="4" t="s">
        <v>440</v>
      </c>
      <c r="C2125" s="4" t="s">
        <v>278</v>
      </c>
      <c r="D2125" s="94">
        <v>3378.0</v>
      </c>
    </row>
    <row r="2126">
      <c r="A2126" s="40">
        <f t="array" ref="A2126">IFNA(index(PlayerValues!A:A,match(IFNA(vlookup(B2126,'Special Names'!A:B,2,FALSE),B2126),PlayerValues!E:E,0)),"N/A")</f>
        <v>16622</v>
      </c>
      <c r="B2126" s="4" t="s">
        <v>517</v>
      </c>
      <c r="C2126" s="4" t="s">
        <v>287</v>
      </c>
      <c r="D2126" s="94">
        <v>3364.0</v>
      </c>
    </row>
    <row r="2127">
      <c r="A2127" s="40">
        <f t="array" ref="A2127">IFNA(index(PlayerValues!A:A,match(IFNA(vlookup(B2127,'Special Names'!A:B,2,FALSE),B2127),PlayerValues!E:E,0)),"N/A")</f>
        <v>16169</v>
      </c>
      <c r="B2127" s="4" t="s">
        <v>457</v>
      </c>
      <c r="C2127" s="4" t="s">
        <v>278</v>
      </c>
      <c r="D2127" s="94">
        <v>3362.0</v>
      </c>
    </row>
    <row r="2128">
      <c r="A2128" s="40">
        <f t="array" ref="A2128">IFNA(index(PlayerValues!A:A,match(IFNA(vlookup(B2128,'Special Names'!A:B,2,FALSE),B2128),PlayerValues!E:E,0)),"N/A")</f>
        <v>14842</v>
      </c>
      <c r="B2128" s="4" t="s">
        <v>456</v>
      </c>
      <c r="C2128" s="4" t="s">
        <v>287</v>
      </c>
      <c r="D2128" s="94">
        <v>3361.0</v>
      </c>
    </row>
    <row r="2129">
      <c r="A2129" s="40">
        <f t="array" ref="A2129">IFNA(index(PlayerValues!A:A,match(IFNA(vlookup(B2129,'Special Names'!A:B,2,FALSE),B2129),PlayerValues!E:E,0)),"N/A")</f>
        <v>16593</v>
      </c>
      <c r="B2129" s="4" t="s">
        <v>442</v>
      </c>
      <c r="C2129" s="4" t="s">
        <v>278</v>
      </c>
      <c r="D2129" s="94">
        <v>3355.0</v>
      </c>
    </row>
    <row r="2130">
      <c r="A2130" s="40">
        <f t="array" ref="A2130">IFNA(index(PlayerValues!A:A,match(IFNA(vlookup(B2130,'Special Names'!A:B,2,FALSE),B2130),PlayerValues!E:E,0)),"N/A")</f>
        <v>16620</v>
      </c>
      <c r="B2130" s="4" t="s">
        <v>467</v>
      </c>
      <c r="C2130" s="4" t="s">
        <v>287</v>
      </c>
      <c r="D2130" s="94">
        <v>3333.0</v>
      </c>
    </row>
    <row r="2131">
      <c r="A2131" s="40">
        <f t="array" ref="A2131">IFNA(index(PlayerValues!A:A,match(IFNA(vlookup(B2131,'Special Names'!A:B,2,FALSE),B2131),PlayerValues!E:E,0)),"N/A")</f>
        <v>11675</v>
      </c>
      <c r="B2131" s="4" t="s">
        <v>438</v>
      </c>
      <c r="C2131" s="4" t="s">
        <v>287</v>
      </c>
      <c r="D2131" s="94">
        <v>3329.0</v>
      </c>
    </row>
    <row r="2132">
      <c r="A2132" s="40">
        <f t="array" ref="A2132">IFNA(index(PlayerValues!A:A,match(IFNA(vlookup(B2132,'Special Names'!A:B,2,FALSE),B2132),PlayerValues!E:E,0)),"N/A")</f>
        <v>17074</v>
      </c>
      <c r="B2132" s="4" t="s">
        <v>475</v>
      </c>
      <c r="C2132" s="4" t="s">
        <v>287</v>
      </c>
      <c r="D2132" s="94">
        <v>3329.0</v>
      </c>
    </row>
    <row r="2133">
      <c r="A2133" s="40">
        <f t="array" ref="A2133">IFNA(index(PlayerValues!A:A,match(IFNA(vlookup(B2133,'Special Names'!A:B,2,FALSE),B2133),PlayerValues!E:E,0)),"N/A")</f>
        <v>15261</v>
      </c>
      <c r="B2133" s="4" t="s">
        <v>466</v>
      </c>
      <c r="C2133" s="4" t="s">
        <v>278</v>
      </c>
      <c r="D2133" s="94">
        <v>3325.0</v>
      </c>
    </row>
    <row r="2134">
      <c r="A2134" s="40">
        <f t="array" ref="A2134">IFNA(index(PlayerValues!A:A,match(IFNA(vlookup(B2134,'Special Names'!A:B,2,FALSE),B2134),PlayerValues!E:E,0)),"N/A")</f>
        <v>16597</v>
      </c>
      <c r="B2134" s="4" t="s">
        <v>427</v>
      </c>
      <c r="C2134" s="4" t="s">
        <v>278</v>
      </c>
      <c r="D2134" s="94">
        <v>3313.0</v>
      </c>
    </row>
    <row r="2135">
      <c r="A2135" s="40">
        <f t="array" ref="A2135">IFNA(index(PlayerValues!A:A,match(IFNA(vlookup(B2135,'Special Names'!A:B,2,FALSE),B2135),PlayerValues!E:E,0)),"N/A")</f>
        <v>11671</v>
      </c>
      <c r="B2135" s="4" t="s">
        <v>463</v>
      </c>
      <c r="C2135" s="4" t="s">
        <v>287</v>
      </c>
      <c r="D2135" s="94">
        <v>3312.0</v>
      </c>
    </row>
    <row r="2136">
      <c r="A2136" s="40" t="str">
        <f t="array" ref="A2136">IFNA(index(PlayerValues!A:A,match(IFNA(vlookup(B2136,'Special Names'!A:B,2,FALSE),B2136),PlayerValues!E:E,0)),"N/A")</f>
        <v>N/A</v>
      </c>
      <c r="B2136" s="4" t="s">
        <v>82</v>
      </c>
      <c r="C2136" s="4" t="s">
        <v>325</v>
      </c>
      <c r="D2136" s="94">
        <v>3312.0</v>
      </c>
    </row>
    <row r="2137">
      <c r="A2137" s="40">
        <f t="array" ref="A2137">IFNA(index(PlayerValues!A:A,match(IFNA(vlookup(B2137,'Special Names'!A:B,2,FALSE),B2137),PlayerValues!E:E,0)),"N/A")</f>
        <v>13299</v>
      </c>
      <c r="B2137" s="4" t="s">
        <v>448</v>
      </c>
      <c r="C2137" s="4" t="s">
        <v>298</v>
      </c>
      <c r="D2137" s="94">
        <v>3728.0</v>
      </c>
    </row>
    <row r="2138">
      <c r="A2138" s="40" t="str">
        <f t="array" ref="A2138">IFNA(index(PlayerValues!A:A,match(IFNA(vlookup(B2138,'Special Names'!A:B,2,FALSE),B2138),PlayerValues!E:E,0)),"N/A")</f>
        <v>N/A</v>
      </c>
      <c r="B2138" s="4" t="s">
        <v>108</v>
      </c>
      <c r="C2138" s="4" t="s">
        <v>325</v>
      </c>
      <c r="D2138" s="94">
        <v>3216.0</v>
      </c>
    </row>
    <row r="2139">
      <c r="A2139" s="40">
        <f t="array" ref="A2139">IFNA(index(PlayerValues!A:A,match(IFNA(vlookup(B2139,'Special Names'!A:B,2,FALSE),B2139),PlayerValues!E:E,0)),"N/A")</f>
        <v>15799</v>
      </c>
      <c r="B2139" s="4" t="s">
        <v>468</v>
      </c>
      <c r="C2139" s="4" t="s">
        <v>298</v>
      </c>
      <c r="D2139" s="94">
        <v>3644.0</v>
      </c>
    </row>
    <row r="2140">
      <c r="A2140" s="40">
        <f t="array" ref="A2140">IFNA(index(PlayerValues!A:A,match(IFNA(vlookup(B2140,'Special Names'!A:B,2,FALSE),B2140),PlayerValues!E:E,0)),"N/A")</f>
        <v>15742</v>
      </c>
      <c r="B2140" s="4" t="s">
        <v>447</v>
      </c>
      <c r="C2140" s="4" t="s">
        <v>278</v>
      </c>
      <c r="D2140" s="94">
        <v>3198.0</v>
      </c>
    </row>
    <row r="2141">
      <c r="A2141" s="40">
        <f t="array" ref="A2141">IFNA(index(PlayerValues!A:A,match(IFNA(vlookup(B2141,'Special Names'!A:B,2,FALSE),B2141),PlayerValues!E:E,0)),"N/A")</f>
        <v>17477</v>
      </c>
      <c r="B2141" s="4" t="s">
        <v>452</v>
      </c>
      <c r="C2141" s="4" t="s">
        <v>278</v>
      </c>
      <c r="D2141" s="94">
        <v>3180.0</v>
      </c>
    </row>
    <row r="2142">
      <c r="A2142" s="40" t="str">
        <f t="array" ref="A2142">IFNA(index(PlayerValues!A:A,match(IFNA(vlookup(B2142,'Special Names'!A:B,2,FALSE),B2142),PlayerValues!E:E,0)),"N/A")</f>
        <v>N/A</v>
      </c>
      <c r="B2142" s="4" t="s">
        <v>97</v>
      </c>
      <c r="C2142" s="4" t="s">
        <v>325</v>
      </c>
      <c r="D2142" s="94">
        <v>3173.0</v>
      </c>
    </row>
    <row r="2143">
      <c r="A2143" s="40">
        <f t="array" ref="A2143">IFNA(index(PlayerValues!A:A,match(IFNA(vlookup(B2143,'Special Names'!A:B,2,FALSE),B2143),PlayerValues!E:E,0)),"N/A")</f>
        <v>16809</v>
      </c>
      <c r="B2143" s="4" t="s">
        <v>455</v>
      </c>
      <c r="C2143" s="4" t="s">
        <v>287</v>
      </c>
      <c r="D2143" s="94">
        <v>3158.0</v>
      </c>
    </row>
    <row r="2144">
      <c r="A2144" s="40">
        <f t="array" ref="A2144">IFNA(index(PlayerValues!A:A,match(IFNA(vlookup(B2144,'Special Names'!A:B,2,FALSE),B2144),PlayerValues!E:E,0)),"N/A")</f>
        <v>14823</v>
      </c>
      <c r="B2144" s="4" t="s">
        <v>459</v>
      </c>
      <c r="C2144" s="4" t="s">
        <v>278</v>
      </c>
      <c r="D2144" s="94">
        <v>3151.0</v>
      </c>
    </row>
    <row r="2145">
      <c r="A2145" s="40">
        <f t="array" ref="A2145">IFNA(index(PlayerValues!A:A,match(IFNA(vlookup(B2145,'Special Names'!A:B,2,FALSE),B2145),PlayerValues!E:E,0)),"N/A")</f>
        <v>16213</v>
      </c>
      <c r="B2145" s="4" t="s">
        <v>458</v>
      </c>
      <c r="C2145" s="4" t="s">
        <v>298</v>
      </c>
      <c r="D2145" s="94">
        <v>3570.0</v>
      </c>
    </row>
    <row r="2146">
      <c r="A2146" s="40">
        <f t="array" ref="A2146">IFNA(index(PlayerValues!A:A,match(IFNA(vlookup(B2146,'Special Names'!A:B,2,FALSE),B2146),PlayerValues!E:E,0)),"N/A")</f>
        <v>13630</v>
      </c>
      <c r="B2146" s="4" t="s">
        <v>465</v>
      </c>
      <c r="C2146" s="4" t="s">
        <v>287</v>
      </c>
      <c r="D2146" s="94">
        <v>3108.0</v>
      </c>
    </row>
    <row r="2147">
      <c r="A2147" s="40">
        <f t="array" ref="A2147">IFNA(index(PlayerValues!A:A,match(IFNA(vlookup(B2147,'Special Names'!A:B,2,FALSE),B2147),PlayerValues!E:E,0)),"N/A")</f>
        <v>15779</v>
      </c>
      <c r="B2147" s="4" t="s">
        <v>461</v>
      </c>
      <c r="C2147" s="4" t="s">
        <v>287</v>
      </c>
      <c r="D2147" s="94">
        <v>3088.0</v>
      </c>
    </row>
    <row r="2148">
      <c r="A2148" s="40">
        <f t="array" ref="A2148">IFNA(index(PlayerValues!A:A,match(IFNA(vlookup(B2148,'Special Names'!A:B,2,FALSE),B2148),PlayerValues!E:E,0)),"N/A")</f>
        <v>16583</v>
      </c>
      <c r="B2148" s="4" t="s">
        <v>493</v>
      </c>
      <c r="C2148" s="4" t="s">
        <v>283</v>
      </c>
      <c r="D2148" s="94">
        <v>3075.0</v>
      </c>
    </row>
    <row r="2149">
      <c r="A2149" s="40">
        <f t="array" ref="A2149">IFNA(index(PlayerValues!A:A,match(IFNA(vlookup(B2149,'Special Names'!A:B,2,FALSE),B2149),PlayerValues!E:E,0)),"N/A")</f>
        <v>16628</v>
      </c>
      <c r="B2149" s="4" t="s">
        <v>490</v>
      </c>
      <c r="C2149" s="4" t="s">
        <v>287</v>
      </c>
      <c r="D2149" s="94">
        <v>3074.0</v>
      </c>
    </row>
    <row r="2150">
      <c r="A2150" s="40">
        <f t="array" ref="A2150">IFNA(index(PlayerValues!A:A,match(IFNA(vlookup(B2150,'Special Names'!A:B,2,FALSE),B2150),PlayerValues!E:E,0)),"N/A")</f>
        <v>17506</v>
      </c>
      <c r="B2150" s="4" t="s">
        <v>471</v>
      </c>
      <c r="C2150" s="4" t="s">
        <v>287</v>
      </c>
      <c r="D2150" s="94">
        <v>3059.0</v>
      </c>
    </row>
    <row r="2151">
      <c r="A2151" s="40">
        <f t="array" ref="A2151">IFNA(index(PlayerValues!A:A,match(IFNA(vlookup(B2151,'Special Names'!A:B,2,FALSE),B2151),PlayerValues!E:E,0)),"N/A")</f>
        <v>14127</v>
      </c>
      <c r="B2151" s="4" t="s">
        <v>486</v>
      </c>
      <c r="C2151" s="4" t="s">
        <v>287</v>
      </c>
      <c r="D2151" s="94">
        <v>3056.0</v>
      </c>
    </row>
    <row r="2152">
      <c r="A2152" s="40">
        <f t="array" ref="A2152">IFNA(index(PlayerValues!A:A,match(IFNA(vlookup(B2152,'Special Names'!A:B,2,FALSE),B2152),PlayerValues!E:E,0)),"N/A")</f>
        <v>17512</v>
      </c>
      <c r="B2152" s="4" t="s">
        <v>483</v>
      </c>
      <c r="C2152" s="4" t="s">
        <v>287</v>
      </c>
      <c r="D2152" s="94">
        <v>3038.0</v>
      </c>
    </row>
    <row r="2153">
      <c r="A2153" s="40" t="str">
        <f t="array" ref="A2153">IFNA(index(PlayerValues!A:A,match(IFNA(vlookup(B2153,'Special Names'!A:B,2,FALSE),B2153),PlayerValues!E:E,0)),"N/A")</f>
        <v>N/A</v>
      </c>
      <c r="B2153" s="4" t="s">
        <v>84</v>
      </c>
      <c r="C2153" s="4" t="s">
        <v>325</v>
      </c>
      <c r="D2153" s="94">
        <v>2989.0</v>
      </c>
    </row>
    <row r="2154">
      <c r="A2154" s="40" t="str">
        <f t="array" ref="A2154">IFNA(index(PlayerValues!A:A,match(IFNA(vlookup(B2154,'Special Names'!A:B,2,FALSE),B2154),PlayerValues!E:E,0)),"N/A")</f>
        <v>N/A</v>
      </c>
      <c r="B2154" s="4" t="s">
        <v>109</v>
      </c>
      <c r="C2154" s="4" t="s">
        <v>325</v>
      </c>
      <c r="D2154" s="94">
        <v>2986.0</v>
      </c>
    </row>
    <row r="2155">
      <c r="A2155" s="40">
        <f t="array" ref="A2155">IFNA(index(PlayerValues!A:A,match(IFNA(vlookup(B2155,'Special Names'!A:B,2,FALSE),B2155),PlayerValues!E:E,0)),"N/A")</f>
        <v>16269</v>
      </c>
      <c r="B2155" s="4" t="s">
        <v>481</v>
      </c>
      <c r="C2155" s="4" t="s">
        <v>298</v>
      </c>
      <c r="D2155" s="94">
        <v>3406.0</v>
      </c>
    </row>
    <row r="2156">
      <c r="A2156" s="40">
        <f t="array" ref="A2156">IFNA(index(PlayerValues!A:A,match(IFNA(vlookup(B2156,'Special Names'!A:B,2,FALSE),B2156),PlayerValues!E:E,0)),"N/A")</f>
        <v>14800</v>
      </c>
      <c r="B2156" s="4" t="s">
        <v>472</v>
      </c>
      <c r="C2156" s="4" t="s">
        <v>278</v>
      </c>
      <c r="D2156" s="94">
        <v>2965.0</v>
      </c>
    </row>
    <row r="2157">
      <c r="A2157" s="40">
        <f t="array" ref="A2157">IFNA(index(PlayerValues!A:A,match(IFNA(vlookup(B2157,'Special Names'!A:B,2,FALSE),B2157),PlayerValues!E:E,0)),"N/A")</f>
        <v>17503</v>
      </c>
      <c r="B2157" s="4" t="s">
        <v>480</v>
      </c>
      <c r="C2157" s="4" t="s">
        <v>287</v>
      </c>
      <c r="D2157" s="94">
        <v>2964.0</v>
      </c>
    </row>
    <row r="2158">
      <c r="A2158" s="40">
        <f t="array" ref="A2158">IFNA(index(PlayerValues!A:A,match(IFNA(vlookup(B2158,'Special Names'!A:B,2,FALSE),B2158),PlayerValues!E:E,0)),"N/A")</f>
        <v>17256</v>
      </c>
      <c r="B2158" s="4" t="s">
        <v>462</v>
      </c>
      <c r="C2158" s="4" t="s">
        <v>278</v>
      </c>
      <c r="D2158" s="94">
        <v>2952.0</v>
      </c>
    </row>
    <row r="2159">
      <c r="A2159" s="40">
        <f t="array" ref="A2159">IFNA(index(PlayerValues!A:A,match(IFNA(vlookup(B2159,'Special Names'!A:B,2,FALSE),B2159),PlayerValues!E:E,0)),"N/A")</f>
        <v>15259</v>
      </c>
      <c r="B2159" s="4" t="s">
        <v>453</v>
      </c>
      <c r="C2159" s="4" t="s">
        <v>278</v>
      </c>
      <c r="D2159" s="94">
        <v>2943.0</v>
      </c>
    </row>
    <row r="2160">
      <c r="A2160" s="40">
        <f t="array" ref="A2160">IFNA(index(PlayerValues!A:A,match(IFNA(vlookup(B2160,'Special Names'!A:B,2,FALSE),B2160),PlayerValues!E:E,0)),"N/A")</f>
        <v>15761</v>
      </c>
      <c r="B2160" s="4" t="s">
        <v>491</v>
      </c>
      <c r="C2160" s="4" t="s">
        <v>287</v>
      </c>
      <c r="D2160" s="94">
        <v>2921.0</v>
      </c>
    </row>
    <row r="2161">
      <c r="A2161" s="40">
        <f t="array" ref="A2161">IFNA(index(PlayerValues!A:A,match(IFNA(vlookup(B2161,'Special Names'!A:B,2,FALSE),B2161),PlayerValues!E:E,0)),"N/A")</f>
        <v>13163</v>
      </c>
      <c r="B2161" s="4" t="s">
        <v>473</v>
      </c>
      <c r="C2161" s="4" t="s">
        <v>287</v>
      </c>
      <c r="D2161" s="94">
        <v>2913.0</v>
      </c>
    </row>
    <row r="2162">
      <c r="A2162" s="40">
        <f t="array" ref="A2162">IFNA(index(PlayerValues!A:A,match(IFNA(vlookup(B2162,'Special Names'!A:B,2,FALSE),B2162),PlayerValues!E:E,0)),"N/A")</f>
        <v>15255</v>
      </c>
      <c r="B2162" s="4" t="s">
        <v>477</v>
      </c>
      <c r="C2162" s="4" t="s">
        <v>278</v>
      </c>
      <c r="D2162" s="94">
        <v>2912.0</v>
      </c>
    </row>
    <row r="2163">
      <c r="A2163" s="40">
        <f t="array" ref="A2163">IFNA(index(PlayerValues!A:A,match(IFNA(vlookup(B2163,'Special Names'!A:B,2,FALSE),B2163),PlayerValues!E:E,0)),"N/A")</f>
        <v>17476</v>
      </c>
      <c r="B2163" s="4" t="s">
        <v>494</v>
      </c>
      <c r="C2163" s="4" t="s">
        <v>278</v>
      </c>
      <c r="D2163" s="94">
        <v>2903.0</v>
      </c>
    </row>
    <row r="2164">
      <c r="A2164" s="40">
        <f t="array" ref="A2164">IFNA(index(PlayerValues!A:A,match(IFNA(vlookup(B2164,'Special Names'!A:B,2,FALSE),B2164),PlayerValues!E:E,0)),"N/A")</f>
        <v>14085</v>
      </c>
      <c r="B2164" s="4" t="s">
        <v>489</v>
      </c>
      <c r="C2164" s="4" t="s">
        <v>278</v>
      </c>
      <c r="D2164" s="94">
        <v>2828.0</v>
      </c>
    </row>
    <row r="2165">
      <c r="A2165" s="40">
        <f t="array" ref="A2165">IFNA(index(PlayerValues!A:A,match(IFNA(vlookup(B2165,'Special Names'!A:B,2,FALSE),B2165),PlayerValues!E:E,0)),"N/A")</f>
        <v>15889</v>
      </c>
      <c r="B2165" s="4" t="s">
        <v>503</v>
      </c>
      <c r="C2165" s="4" t="s">
        <v>298</v>
      </c>
      <c r="D2165" s="94">
        <v>3225.0</v>
      </c>
    </row>
    <row r="2166">
      <c r="A2166" s="40" t="str">
        <f t="array" ref="A2166">IFNA(index(PlayerValues!A:A,match(IFNA(vlookup(B2166,'Special Names'!A:B,2,FALSE),B2166),PlayerValues!E:E,0)),"N/A")</f>
        <v>N/A</v>
      </c>
      <c r="B2166" s="4" t="s">
        <v>85</v>
      </c>
      <c r="C2166" s="4" t="s">
        <v>325</v>
      </c>
      <c r="D2166" s="94">
        <v>2809.0</v>
      </c>
    </row>
    <row r="2167">
      <c r="A2167" s="40" t="str">
        <f t="array" ref="A2167">IFNA(index(PlayerValues!A:A,match(IFNA(vlookup(B2167,'Special Names'!A:B,2,FALSE),B2167),PlayerValues!E:E,0)),"N/A")</f>
        <v>N/A</v>
      </c>
      <c r="B2167" s="4" t="s">
        <v>110</v>
      </c>
      <c r="C2167" s="4" t="s">
        <v>325</v>
      </c>
      <c r="D2167" s="94">
        <v>2799.0</v>
      </c>
    </row>
    <row r="2168">
      <c r="A2168" s="40">
        <f t="array" ref="A2168">IFNA(index(PlayerValues!A:A,match(IFNA(vlookup(B2168,'Special Names'!A:B,2,FALSE),B2168),PlayerValues!E:E,0)),"N/A")</f>
        <v>17505</v>
      </c>
      <c r="B2168" s="4" t="s">
        <v>528</v>
      </c>
      <c r="C2168" s="4" t="s">
        <v>287</v>
      </c>
      <c r="D2168" s="94">
        <v>2786.0</v>
      </c>
    </row>
    <row r="2169">
      <c r="A2169" s="40">
        <f t="array" ref="A2169">IFNA(index(PlayerValues!A:A,match(IFNA(vlookup(B2169,'Special Names'!A:B,2,FALSE),B2169),PlayerValues!E:E,0)),"N/A")</f>
        <v>14778</v>
      </c>
      <c r="B2169" s="4" t="s">
        <v>564</v>
      </c>
      <c r="C2169" s="4" t="s">
        <v>283</v>
      </c>
      <c r="D2169" s="94">
        <v>2780.0</v>
      </c>
    </row>
    <row r="2170">
      <c r="A2170" s="40">
        <f t="array" ref="A2170">IFNA(index(PlayerValues!A:A,match(IFNA(vlookup(B2170,'Special Names'!A:B,2,FALSE),B2170),PlayerValues!E:E,0)),"N/A")</f>
        <v>13671</v>
      </c>
      <c r="B2170" s="4" t="s">
        <v>506</v>
      </c>
      <c r="C2170" s="4" t="s">
        <v>298</v>
      </c>
      <c r="D2170" s="94">
        <v>3189.0</v>
      </c>
    </row>
    <row r="2171">
      <c r="A2171" s="40">
        <f t="array" ref="A2171">IFNA(index(PlayerValues!A:A,match(IFNA(vlookup(B2171,'Special Names'!A:B,2,FALSE),B2171),PlayerValues!E:E,0)),"N/A")</f>
        <v>16080</v>
      </c>
      <c r="B2171" s="4" t="s">
        <v>499</v>
      </c>
      <c r="C2171" s="4" t="s">
        <v>287</v>
      </c>
      <c r="D2171" s="94">
        <v>2764.0</v>
      </c>
    </row>
    <row r="2172">
      <c r="A2172" s="40">
        <f t="array" ref="A2172">IFNA(index(PlayerValues!A:A,match(IFNA(vlookup(B2172,'Special Names'!A:B,2,FALSE),B2172),PlayerValues!E:E,0)),"N/A")</f>
        <v>17157</v>
      </c>
      <c r="B2172" s="4" t="s">
        <v>524</v>
      </c>
      <c r="C2172" s="4" t="s">
        <v>287</v>
      </c>
      <c r="D2172" s="94">
        <v>2763.0</v>
      </c>
    </row>
    <row r="2173">
      <c r="A2173" s="40">
        <f t="array" ref="A2173">IFNA(index(PlayerValues!A:A,match(IFNA(vlookup(B2173,'Special Names'!A:B,2,FALSE),B2173),PlayerValues!E:E,0)),"N/A")</f>
        <v>15721</v>
      </c>
      <c r="B2173" s="4" t="s">
        <v>504</v>
      </c>
      <c r="C2173" s="4" t="s">
        <v>278</v>
      </c>
      <c r="D2173" s="94">
        <v>2753.0</v>
      </c>
    </row>
    <row r="2174">
      <c r="A2174" s="40">
        <f t="array" ref="A2174">IFNA(index(PlayerValues!A:A,match(IFNA(vlookup(B2174,'Special Names'!A:B,2,FALSE),B2174),PlayerValues!E:E,0)),"N/A")</f>
        <v>16723</v>
      </c>
      <c r="B2174" s="4" t="s">
        <v>502</v>
      </c>
      <c r="C2174" s="4" t="s">
        <v>298</v>
      </c>
      <c r="D2174" s="94">
        <v>3165.0</v>
      </c>
    </row>
    <row r="2175">
      <c r="A2175" s="40">
        <f t="array" ref="A2175">IFNA(index(PlayerValues!A:A,match(IFNA(vlookup(B2175,'Special Names'!A:B,2,FALSE),B2175),PlayerValues!E:E,0)),"N/A")</f>
        <v>17047</v>
      </c>
      <c r="B2175" s="4" t="s">
        <v>510</v>
      </c>
      <c r="C2175" s="4" t="s">
        <v>278</v>
      </c>
      <c r="D2175" s="94">
        <v>2750.0</v>
      </c>
    </row>
    <row r="2176">
      <c r="A2176" s="40">
        <f t="array" ref="A2176">IFNA(index(PlayerValues!A:A,match(IFNA(vlookup(B2176,'Special Names'!A:B,2,FALSE),B2176),PlayerValues!E:E,0)),"N/A")</f>
        <v>15712</v>
      </c>
      <c r="B2176" s="4" t="s">
        <v>488</v>
      </c>
      <c r="C2176" s="4" t="s">
        <v>278</v>
      </c>
      <c r="D2176" s="94">
        <v>2744.0</v>
      </c>
    </row>
    <row r="2177">
      <c r="A2177" s="40">
        <f t="array" ref="A2177">IFNA(index(PlayerValues!A:A,match(IFNA(vlookup(B2177,'Special Names'!A:B,2,FALSE),B2177),PlayerValues!E:E,0)),"N/A")</f>
        <v>17072</v>
      </c>
      <c r="B2177" s="4" t="s">
        <v>508</v>
      </c>
      <c r="C2177" s="4" t="s">
        <v>287</v>
      </c>
      <c r="D2177" s="94">
        <v>2739.0</v>
      </c>
    </row>
    <row r="2178">
      <c r="A2178" s="40">
        <f t="array" ref="A2178">IFNA(index(PlayerValues!A:A,match(IFNA(vlookup(B2178,'Special Names'!A:B,2,FALSE),B2178),PlayerValues!E:E,0)),"N/A")</f>
        <v>16584</v>
      </c>
      <c r="B2178" s="4" t="s">
        <v>569</v>
      </c>
      <c r="C2178" s="4" t="s">
        <v>283</v>
      </c>
      <c r="D2178" s="94">
        <v>2733.0</v>
      </c>
    </row>
    <row r="2179">
      <c r="A2179" s="40">
        <f t="array" ref="A2179">IFNA(index(PlayerValues!A:A,match(IFNA(vlookup(B2179,'Special Names'!A:B,2,FALSE),B2179),PlayerValues!E:E,0)),"N/A")</f>
        <v>17053</v>
      </c>
      <c r="B2179" s="4" t="s">
        <v>484</v>
      </c>
      <c r="C2179" s="4" t="s">
        <v>278</v>
      </c>
      <c r="D2179" s="94">
        <v>2726.0</v>
      </c>
    </row>
    <row r="2180">
      <c r="A2180" s="40">
        <f t="array" ref="A2180">IFNA(index(PlayerValues!A:A,match(IFNA(vlookup(B2180,'Special Names'!A:B,2,FALSE),B2180),PlayerValues!E:E,0)),"N/A")</f>
        <v>17514</v>
      </c>
      <c r="B2180" s="4" t="s">
        <v>422</v>
      </c>
      <c r="C2180" s="4" t="s">
        <v>287</v>
      </c>
      <c r="D2180" s="94">
        <v>2725.0</v>
      </c>
    </row>
    <row r="2181">
      <c r="A2181" s="40">
        <f t="array" ref="A2181">IFNA(index(PlayerValues!A:A,match(IFNA(vlookup(B2181,'Special Names'!A:B,2,FALSE),B2181),PlayerValues!E:E,0)),"N/A")</f>
        <v>14138</v>
      </c>
      <c r="B2181" s="4" t="s">
        <v>531</v>
      </c>
      <c r="C2181" s="4" t="s">
        <v>298</v>
      </c>
      <c r="D2181" s="94">
        <v>3137.0</v>
      </c>
    </row>
    <row r="2182">
      <c r="A2182" s="40">
        <f t="array" ref="A2182">IFNA(index(PlayerValues!A:A,match(IFNA(vlookup(B2182,'Special Names'!A:B,2,FALSE),B2182),PlayerValues!E:E,0)),"N/A")</f>
        <v>17080</v>
      </c>
      <c r="B2182" s="4" t="s">
        <v>532</v>
      </c>
      <c r="C2182" s="4" t="s">
        <v>287</v>
      </c>
      <c r="D2182" s="94">
        <v>2720.0</v>
      </c>
    </row>
    <row r="2183">
      <c r="A2183" s="40">
        <f t="array" ref="A2183">IFNA(index(PlayerValues!A:A,match(IFNA(vlookup(B2183,'Special Names'!A:B,2,FALSE),B2183),PlayerValues!E:E,0)),"N/A")</f>
        <v>17511</v>
      </c>
      <c r="B2183" s="4" t="s">
        <v>485</v>
      </c>
      <c r="C2183" s="4" t="s">
        <v>287</v>
      </c>
      <c r="D2183" s="94">
        <v>2718.0</v>
      </c>
    </row>
    <row r="2184">
      <c r="A2184" s="40">
        <f t="array" ref="A2184">IFNA(index(PlayerValues!A:A,match(IFNA(vlookup(B2184,'Special Names'!A:B,2,FALSE),B2184),PlayerValues!E:E,0)),"N/A")</f>
        <v>17031</v>
      </c>
      <c r="B2184" s="4" t="s">
        <v>535</v>
      </c>
      <c r="C2184" s="4" t="s">
        <v>283</v>
      </c>
      <c r="D2184" s="94">
        <v>2714.0</v>
      </c>
    </row>
    <row r="2185">
      <c r="A2185" s="40">
        <f t="array" ref="A2185">IFNA(index(PlayerValues!A:A,match(IFNA(vlookup(B2185,'Special Names'!A:B,2,FALSE),B2185),PlayerValues!E:E,0)),"N/A")</f>
        <v>17507</v>
      </c>
      <c r="B2185" s="4" t="s">
        <v>495</v>
      </c>
      <c r="C2185" s="4" t="s">
        <v>287</v>
      </c>
      <c r="D2185" s="94">
        <v>2703.0</v>
      </c>
    </row>
    <row r="2186">
      <c r="A2186" s="40">
        <f t="array" ref="A2186">IFNA(index(PlayerValues!A:A,match(IFNA(vlookup(B2186,'Special Names'!A:B,2,FALSE),B2186),PlayerValues!E:E,0)),"N/A")</f>
        <v>15241</v>
      </c>
      <c r="B2186" s="4" t="s">
        <v>546</v>
      </c>
      <c r="C2186" s="4" t="s">
        <v>283</v>
      </c>
      <c r="D2186" s="94">
        <v>2672.0</v>
      </c>
    </row>
    <row r="2187">
      <c r="A2187" s="40">
        <f t="array" ref="A2187">IFNA(index(PlayerValues!A:A,match(IFNA(vlookup(B2187,'Special Names'!A:B,2,FALSE),B2187),PlayerValues!E:E,0)),"N/A")</f>
        <v>16596</v>
      </c>
      <c r="B2187" s="4" t="s">
        <v>501</v>
      </c>
      <c r="C2187" s="4" t="s">
        <v>278</v>
      </c>
      <c r="D2187" s="94">
        <v>2670.0</v>
      </c>
    </row>
    <row r="2188">
      <c r="A2188" s="40">
        <f t="array" ref="A2188">IFNA(index(PlayerValues!A:A,match(IFNA(vlookup(B2188,'Special Names'!A:B,2,FALSE),B2188),PlayerValues!E:E,0)),"N/A")</f>
        <v>17107</v>
      </c>
      <c r="B2188" s="4" t="s">
        <v>478</v>
      </c>
      <c r="C2188" s="4" t="s">
        <v>298</v>
      </c>
      <c r="D2188" s="94">
        <v>3081.0</v>
      </c>
    </row>
    <row r="2189">
      <c r="A2189" s="40">
        <f t="array" ref="A2189">IFNA(index(PlayerValues!A:A,match(IFNA(vlookup(B2189,'Special Names'!A:B,2,FALSE),B2189),PlayerValues!E:E,0)),"N/A")</f>
        <v>15972</v>
      </c>
      <c r="B2189" s="4" t="s">
        <v>469</v>
      </c>
      <c r="C2189" s="4" t="s">
        <v>278</v>
      </c>
      <c r="D2189" s="94">
        <v>2665.0</v>
      </c>
    </row>
    <row r="2190">
      <c r="A2190" s="40">
        <f t="array" ref="A2190">IFNA(index(PlayerValues!A:A,match(IFNA(vlookup(B2190,'Special Names'!A:B,2,FALSE),B2190),PlayerValues!E:E,0)),"N/A")</f>
        <v>12616</v>
      </c>
      <c r="B2190" s="4" t="s">
        <v>529</v>
      </c>
      <c r="C2190" s="4" t="s">
        <v>283</v>
      </c>
      <c r="D2190" s="94">
        <v>2652.0</v>
      </c>
    </row>
    <row r="2191">
      <c r="A2191" s="40">
        <f t="array" ref="A2191">IFNA(index(PlayerValues!A:A,match(IFNA(vlookup(B2191,'Special Names'!A:B,2,FALSE),B2191),PlayerValues!E:E,0)),"N/A")</f>
        <v>16747</v>
      </c>
      <c r="B2191" s="4" t="s">
        <v>555</v>
      </c>
      <c r="C2191" s="4" t="s">
        <v>278</v>
      </c>
      <c r="D2191" s="94">
        <v>2651.0</v>
      </c>
    </row>
    <row r="2192">
      <c r="A2192" s="40">
        <f t="array" ref="A2192">IFNA(index(PlayerValues!A:A,match(IFNA(vlookup(B2192,'Special Names'!A:B,2,FALSE),B2192),PlayerValues!E:E,0)),"N/A")</f>
        <v>17105</v>
      </c>
      <c r="B2192" s="4" t="s">
        <v>525</v>
      </c>
      <c r="C2192" s="4" t="s">
        <v>298</v>
      </c>
      <c r="D2192" s="94">
        <v>3059.0</v>
      </c>
    </row>
    <row r="2193">
      <c r="A2193" s="40" t="str">
        <f t="array" ref="A2193">IFNA(index(PlayerValues!A:A,match(IFNA(vlookup(B2193,'Special Names'!A:B,2,FALSE),B2193),PlayerValues!E:E,0)),"N/A")</f>
        <v>N/A</v>
      </c>
      <c r="B2193" s="4" t="s">
        <v>98</v>
      </c>
      <c r="C2193" s="4" t="s">
        <v>325</v>
      </c>
      <c r="D2193" s="94">
        <v>2640.0</v>
      </c>
    </row>
    <row r="2194">
      <c r="A2194" s="40">
        <f t="array" ref="A2194">IFNA(index(PlayerValues!A:A,match(IFNA(vlookup(B2194,'Special Names'!A:B,2,FALSE),B2194),PlayerValues!E:E,0)),"N/A")</f>
        <v>16174</v>
      </c>
      <c r="B2194" s="4" t="s">
        <v>505</v>
      </c>
      <c r="C2194" s="4" t="s">
        <v>278</v>
      </c>
      <c r="D2194" s="94">
        <v>2638.0</v>
      </c>
    </row>
    <row r="2195">
      <c r="A2195" s="40">
        <f t="array" ref="A2195">IFNA(index(PlayerValues!A:A,match(IFNA(vlookup(B2195,'Special Names'!A:B,2,FALSE),B2195),PlayerValues!E:E,0)),"N/A")</f>
        <v>17098</v>
      </c>
      <c r="B2195" s="4" t="s">
        <v>533</v>
      </c>
      <c r="C2195" s="4" t="s">
        <v>287</v>
      </c>
      <c r="D2195" s="94">
        <v>2637.0</v>
      </c>
    </row>
    <row r="2196">
      <c r="A2196" s="40">
        <f t="array" ref="A2196">IFNA(index(PlayerValues!A:A,match(IFNA(vlookup(B2196,'Special Names'!A:B,2,FALSE),B2196),PlayerValues!E:E,0)),"N/A")</f>
        <v>14833</v>
      </c>
      <c r="B2196" s="4" t="s">
        <v>553</v>
      </c>
      <c r="C2196" s="4" t="s">
        <v>287</v>
      </c>
      <c r="D2196" s="94">
        <v>2608.0</v>
      </c>
    </row>
    <row r="2197">
      <c r="A2197" s="40">
        <f t="array" ref="A2197">IFNA(index(PlayerValues!A:A,match(IFNA(vlookup(B2197,'Special Names'!A:B,2,FALSE),B2197),PlayerValues!E:E,0)),"N/A")</f>
        <v>14860</v>
      </c>
      <c r="B2197" s="4" t="s">
        <v>554</v>
      </c>
      <c r="C2197" s="4" t="s">
        <v>287</v>
      </c>
      <c r="D2197" s="94">
        <v>2606.0</v>
      </c>
    </row>
    <row r="2198">
      <c r="A2198" s="40">
        <f t="array" ref="A2198">IFNA(index(PlayerValues!A:A,match(IFNA(vlookup(B2198,'Special Names'!A:B,2,FALSE),B2198),PlayerValues!E:E,0)),"N/A")</f>
        <v>16165</v>
      </c>
      <c r="B2198" s="4" t="s">
        <v>520</v>
      </c>
      <c r="C2198" s="4" t="s">
        <v>278</v>
      </c>
      <c r="D2198" s="94">
        <v>2597.0</v>
      </c>
    </row>
    <row r="2199">
      <c r="A2199" s="40">
        <f t="array" ref="A2199">IFNA(index(PlayerValues!A:A,match(IFNA(vlookup(B2199,'Special Names'!A:B,2,FALSE),B2199),PlayerValues!E:E,0)),"N/A")</f>
        <v>16619</v>
      </c>
      <c r="B2199" s="4" t="s">
        <v>538</v>
      </c>
      <c r="C2199" s="4" t="s">
        <v>287</v>
      </c>
      <c r="D2199" s="94">
        <v>2594.0</v>
      </c>
    </row>
    <row r="2200">
      <c r="A2200" s="40">
        <f t="array" ref="A2200">IFNA(index(PlayerValues!A:A,match(IFNA(vlookup(B2200,'Special Names'!A:B,2,FALSE),B2200),PlayerValues!E:E,0)),"N/A")</f>
        <v>13674</v>
      </c>
      <c r="B2200" s="4" t="s">
        <v>511</v>
      </c>
      <c r="C2200" s="4" t="s">
        <v>298</v>
      </c>
      <c r="D2200" s="94">
        <v>2998.0</v>
      </c>
    </row>
    <row r="2201">
      <c r="A2201" s="40">
        <f t="array" ref="A2201">IFNA(index(PlayerValues!A:A,match(IFNA(vlookup(B2201,'Special Names'!A:B,2,FALSE),B2201),PlayerValues!E:E,0)),"N/A")</f>
        <v>17478</v>
      </c>
      <c r="B2201" s="4" t="s">
        <v>527</v>
      </c>
      <c r="C2201" s="4" t="s">
        <v>278</v>
      </c>
      <c r="D2201" s="94">
        <v>2585.0</v>
      </c>
    </row>
    <row r="2202">
      <c r="A2202" s="40">
        <f t="array" ref="A2202">IFNA(index(PlayerValues!A:A,match(IFNA(vlookup(B2202,'Special Names'!A:B,2,FALSE),B2202),PlayerValues!E:E,0)),"N/A")</f>
        <v>17474</v>
      </c>
      <c r="B2202" s="4" t="s">
        <v>513</v>
      </c>
      <c r="C2202" s="4" t="s">
        <v>278</v>
      </c>
      <c r="D2202" s="94">
        <v>2568.0</v>
      </c>
    </row>
    <row r="2203">
      <c r="A2203" s="40">
        <f t="array" ref="A2203">IFNA(index(PlayerValues!A:A,match(IFNA(vlookup(B2203,'Special Names'!A:B,2,FALSE),B2203),PlayerValues!E:E,0)),"N/A")</f>
        <v>16684</v>
      </c>
      <c r="B2203" s="4" t="s">
        <v>500</v>
      </c>
      <c r="C2203" s="4" t="s">
        <v>287</v>
      </c>
      <c r="D2203" s="94">
        <v>2543.0</v>
      </c>
    </row>
    <row r="2204">
      <c r="A2204" s="40">
        <f t="array" ref="A2204">IFNA(index(PlayerValues!A:A,match(IFNA(vlookup(B2204,'Special Names'!A:B,2,FALSE),B2204),PlayerValues!E:E,0)),"N/A")</f>
        <v>16626</v>
      </c>
      <c r="B2204" s="4" t="s">
        <v>515</v>
      </c>
      <c r="C2204" s="4" t="s">
        <v>287</v>
      </c>
      <c r="D2204" s="94">
        <v>2542.0</v>
      </c>
    </row>
    <row r="2205">
      <c r="A2205" s="40">
        <f t="array" ref="A2205">IFNA(index(PlayerValues!A:A,match(IFNA(vlookup(B2205,'Special Names'!A:B,2,FALSE),B2205),PlayerValues!E:E,0)),"N/A")</f>
        <v>16193</v>
      </c>
      <c r="B2205" s="4" t="s">
        <v>487</v>
      </c>
      <c r="C2205" s="4" t="s">
        <v>287</v>
      </c>
      <c r="D2205" s="94">
        <v>2539.0</v>
      </c>
    </row>
    <row r="2206">
      <c r="A2206" s="40">
        <f t="array" ref="A2206">IFNA(index(PlayerValues!A:A,match(IFNA(vlookup(B2206,'Special Names'!A:B,2,FALSE),B2206),PlayerValues!E:E,0)),"N/A")</f>
        <v>16204</v>
      </c>
      <c r="B2206" s="4" t="s">
        <v>530</v>
      </c>
      <c r="C2206" s="4" t="s">
        <v>287</v>
      </c>
      <c r="D2206" s="94">
        <v>2533.0</v>
      </c>
    </row>
    <row r="2207">
      <c r="A2207" s="40">
        <f t="array" ref="A2207">IFNA(index(PlayerValues!A:A,match(IFNA(vlookup(B2207,'Special Names'!A:B,2,FALSE),B2207),PlayerValues!E:E,0)),"N/A")</f>
        <v>17520</v>
      </c>
      <c r="B2207" s="4" t="s">
        <v>518</v>
      </c>
      <c r="C2207" s="4" t="s">
        <v>287</v>
      </c>
      <c r="D2207" s="94">
        <v>2526.0</v>
      </c>
    </row>
    <row r="2208">
      <c r="A2208" s="40" t="str">
        <f t="array" ref="A2208">IFNA(index(PlayerValues!A:A,match(IFNA(vlookup(B2208,'Special Names'!A:B,2,FALSE),B2208),PlayerValues!E:E,0)),"N/A")</f>
        <v>N/A</v>
      </c>
      <c r="B2208" s="4" t="s">
        <v>99</v>
      </c>
      <c r="C2208" s="4" t="s">
        <v>325</v>
      </c>
      <c r="D2208" s="94">
        <v>2518.0</v>
      </c>
    </row>
    <row r="2209">
      <c r="A2209" s="40">
        <f t="array" ref="A2209">IFNA(index(PlayerValues!A:A,match(IFNA(vlookup(B2209,'Special Names'!A:B,2,FALSE),B2209),PlayerValues!E:E,0)),"N/A")</f>
        <v>11244</v>
      </c>
      <c r="B2209" s="4" t="s">
        <v>519</v>
      </c>
      <c r="C2209" s="4" t="s">
        <v>298</v>
      </c>
      <c r="D2209" s="94">
        <v>2907.0</v>
      </c>
    </row>
    <row r="2210">
      <c r="A2210" s="40">
        <f t="array" ref="A2210">IFNA(index(PlayerValues!A:A,match(IFNA(vlookup(B2210,'Special Names'!A:B,2,FALSE),B2210),PlayerValues!E:E,0)),"N/A")</f>
        <v>16178</v>
      </c>
      <c r="B2210" s="4" t="s">
        <v>507</v>
      </c>
      <c r="C2210" s="4" t="s">
        <v>278</v>
      </c>
      <c r="D2210" s="94">
        <v>2502.0</v>
      </c>
    </row>
    <row r="2211">
      <c r="A2211" s="40">
        <f t="array" ref="A2211">IFNA(index(PlayerValues!A:A,match(IFNA(vlookup(B2211,'Special Names'!A:B,2,FALSE),B2211),PlayerValues!E:E,0)),"N/A")</f>
        <v>17078</v>
      </c>
      <c r="B2211" s="4" t="s">
        <v>543</v>
      </c>
      <c r="C2211" s="4" t="s">
        <v>287</v>
      </c>
      <c r="D2211" s="94">
        <v>2489.0</v>
      </c>
    </row>
    <row r="2212">
      <c r="A2212" s="40">
        <f t="array" ref="A2212">IFNA(index(PlayerValues!A:A,match(IFNA(vlookup(B2212,'Special Names'!A:B,2,FALSE),B2212),PlayerValues!E:E,0)),"N/A")</f>
        <v>16287</v>
      </c>
      <c r="B2212" s="4" t="s">
        <v>516</v>
      </c>
      <c r="C2212" s="4" t="s">
        <v>287</v>
      </c>
      <c r="D2212" s="94">
        <v>2484.0</v>
      </c>
    </row>
    <row r="2213">
      <c r="A2213" s="40">
        <f t="array" ref="A2213">IFNA(index(PlayerValues!A:A,match(IFNA(vlookup(B2213,'Special Names'!A:B,2,FALSE),B2213),PlayerValues!E:E,0)),"N/A")</f>
        <v>17073</v>
      </c>
      <c r="B2213" s="4" t="s">
        <v>547</v>
      </c>
      <c r="C2213" s="4" t="s">
        <v>287</v>
      </c>
      <c r="D2213" s="94">
        <v>2483.0</v>
      </c>
    </row>
    <row r="2214">
      <c r="A2214" s="40">
        <f t="array" ref="A2214">IFNA(index(PlayerValues!A:A,match(IFNA(vlookup(B2214,'Special Names'!A:B,2,FALSE),B2214),PlayerValues!E:E,0)),"N/A")</f>
        <v>17509</v>
      </c>
      <c r="B2214" s="4" t="s">
        <v>551</v>
      </c>
      <c r="C2214" s="4" t="s">
        <v>287</v>
      </c>
      <c r="D2214" s="94">
        <v>2483.0</v>
      </c>
    </row>
    <row r="2215">
      <c r="A2215" s="40">
        <f t="array" ref="A2215">IFNA(index(PlayerValues!A:A,match(IFNA(vlookup(B2215,'Special Names'!A:B,2,FALSE),B2215),PlayerValues!E:E,0)),"N/A")</f>
        <v>16164</v>
      </c>
      <c r="B2215" s="4" t="s">
        <v>512</v>
      </c>
      <c r="C2215" s="4" t="s">
        <v>278</v>
      </c>
      <c r="D2215" s="94">
        <v>2475.0</v>
      </c>
    </row>
    <row r="2216">
      <c r="A2216" s="40">
        <f t="array" ref="A2216">IFNA(index(PlayerValues!A:A,match(IFNA(vlookup(B2216,'Special Names'!A:B,2,FALSE),B2216),PlayerValues!E:E,0)),"N/A")</f>
        <v>17082</v>
      </c>
      <c r="B2216" s="4" t="s">
        <v>498</v>
      </c>
      <c r="C2216" s="4" t="s">
        <v>287</v>
      </c>
      <c r="D2216" s="94">
        <v>2462.0</v>
      </c>
    </row>
    <row r="2217">
      <c r="A2217" s="40">
        <f t="array" ref="A2217">IFNA(index(PlayerValues!A:A,match(IFNA(vlookup(B2217,'Special Names'!A:B,2,FALSE),B2217),PlayerValues!E:E,0)),"N/A")</f>
        <v>17508</v>
      </c>
      <c r="B2217" s="4" t="s">
        <v>534</v>
      </c>
      <c r="C2217" s="4" t="s">
        <v>287</v>
      </c>
      <c r="D2217" s="94">
        <v>2445.0</v>
      </c>
    </row>
    <row r="2218">
      <c r="A2218" s="40">
        <f t="array" ref="A2218">IFNA(index(PlayerValues!A:A,match(IFNA(vlookup(B2218,'Special Names'!A:B,2,FALSE),B2218),PlayerValues!E:E,0)),"N/A")</f>
        <v>15786</v>
      </c>
      <c r="B2218" s="4" t="s">
        <v>521</v>
      </c>
      <c r="C2218" s="4" t="s">
        <v>287</v>
      </c>
      <c r="D2218" s="94">
        <v>2429.0</v>
      </c>
    </row>
    <row r="2219">
      <c r="A2219" s="40">
        <f t="array" ref="A2219">IFNA(index(PlayerValues!A:A,match(IFNA(vlookup(B2219,'Special Names'!A:B,2,FALSE),B2219),PlayerValues!E:E,0)),"N/A")</f>
        <v>16617</v>
      </c>
      <c r="B2219" s="4" t="s">
        <v>541</v>
      </c>
      <c r="C2219" s="4" t="s">
        <v>287</v>
      </c>
      <c r="D2219" s="94">
        <v>2423.0</v>
      </c>
    </row>
    <row r="2220">
      <c r="A2220" s="40">
        <f t="array" ref="A2220">IFNA(index(PlayerValues!A:A,match(IFNA(vlookup(B2220,'Special Names'!A:B,2,FALSE),B2220),PlayerValues!E:E,0)),"N/A")</f>
        <v>17108</v>
      </c>
      <c r="B2220" s="4" t="s">
        <v>542</v>
      </c>
      <c r="C2220" s="4" t="s">
        <v>298</v>
      </c>
      <c r="D2220" s="94">
        <v>2822.0</v>
      </c>
    </row>
    <row r="2221">
      <c r="A2221" s="40">
        <f t="array" ref="A2221">IFNA(index(PlayerValues!A:A,match(IFNA(vlookup(B2221,'Special Names'!A:B,2,FALSE),B2221),PlayerValues!E:E,0)),"N/A")</f>
        <v>13192</v>
      </c>
      <c r="B2221" s="4" t="s">
        <v>563</v>
      </c>
      <c r="C2221" s="4" t="s">
        <v>298</v>
      </c>
      <c r="D2221" s="94">
        <v>2820.0</v>
      </c>
    </row>
    <row r="2222">
      <c r="A2222" s="40">
        <f t="array" ref="A2222">IFNA(index(PlayerValues!A:A,match(IFNA(vlookup(B2222,'Special Names'!A:B,2,FALSE),B2222),PlayerValues!E:E,0)),"N/A")</f>
        <v>17171</v>
      </c>
      <c r="B2222" s="4" t="s">
        <v>561</v>
      </c>
      <c r="C2222" s="4" t="s">
        <v>287</v>
      </c>
      <c r="D2222" s="94">
        <v>2410.0</v>
      </c>
    </row>
    <row r="2223">
      <c r="A2223" s="40">
        <f t="array" ref="A2223">IFNA(index(PlayerValues!A:A,match(IFNA(vlookup(B2223,'Special Names'!A:B,2,FALSE),B2223),PlayerValues!E:E,0)),"N/A")</f>
        <v>16195</v>
      </c>
      <c r="B2223" s="4" t="s">
        <v>509</v>
      </c>
      <c r="C2223" s="4" t="s">
        <v>287</v>
      </c>
      <c r="D2223" s="94">
        <v>2401.0</v>
      </c>
    </row>
    <row r="2224">
      <c r="A2224" s="40" t="str">
        <f t="array" ref="A2224">IFNA(index(PlayerValues!A:A,match(IFNA(vlookup(B2224,'Special Names'!A:B,2,FALSE),B2224),PlayerValues!E:E,0)),"N/A")</f>
        <v>N/A</v>
      </c>
      <c r="B2224" s="4" t="s">
        <v>557</v>
      </c>
      <c r="C2224" s="4" t="s">
        <v>278</v>
      </c>
      <c r="D2224" s="94">
        <v>2384.0</v>
      </c>
    </row>
    <row r="2225">
      <c r="A2225" s="40">
        <f t="array" ref="A2225">IFNA(index(PlayerValues!A:A,match(IFNA(vlookup(B2225,'Special Names'!A:B,2,FALSE),B2225),PlayerValues!E:E,0)),"N/A")</f>
        <v>17106</v>
      </c>
      <c r="B2225" s="4" t="s">
        <v>550</v>
      </c>
      <c r="C2225" s="4" t="s">
        <v>298</v>
      </c>
      <c r="D2225" s="94">
        <v>2779.0</v>
      </c>
    </row>
    <row r="2226">
      <c r="A2226" s="40">
        <f t="array" ref="A2226">IFNA(index(PlayerValues!A:A,match(IFNA(vlookup(B2226,'Special Names'!A:B,2,FALSE),B2226),PlayerValues!E:E,0)),"N/A")</f>
        <v>17517</v>
      </c>
      <c r="B2226" s="4" t="s">
        <v>454</v>
      </c>
      <c r="C2226" s="4" t="s">
        <v>287</v>
      </c>
      <c r="D2226" s="94">
        <v>2378.0</v>
      </c>
    </row>
    <row r="2227">
      <c r="A2227" s="40">
        <f t="array" ref="A2227">IFNA(index(PlayerValues!A:A,match(IFNA(vlookup(B2227,'Special Names'!A:B,2,FALSE),B2227),PlayerValues!E:E,0)),"N/A")</f>
        <v>17134</v>
      </c>
      <c r="B2227" s="4" t="s">
        <v>548</v>
      </c>
      <c r="C2227" s="4" t="s">
        <v>287</v>
      </c>
      <c r="D2227" s="94">
        <v>2369.0</v>
      </c>
    </row>
    <row r="2228">
      <c r="A2228" s="40">
        <f t="array" ref="A2228">IFNA(index(PlayerValues!A:A,match(IFNA(vlookup(B2228,'Special Names'!A:B,2,FALSE),B2228),PlayerValues!E:E,0)),"N/A")</f>
        <v>17048</v>
      </c>
      <c r="B2228" s="4" t="s">
        <v>539</v>
      </c>
      <c r="C2228" s="4" t="s">
        <v>278</v>
      </c>
      <c r="D2228" s="94">
        <v>2359.0</v>
      </c>
    </row>
    <row r="2229">
      <c r="A2229" s="40">
        <f t="array" ref="A2229">IFNA(index(PlayerValues!A:A,match(IFNA(vlookup(B2229,'Special Names'!A:B,2,FALSE),B2229),PlayerValues!E:E,0)),"N/A")</f>
        <v>17547</v>
      </c>
      <c r="B2229" s="4" t="s">
        <v>552</v>
      </c>
      <c r="C2229" s="4" t="s">
        <v>298</v>
      </c>
      <c r="D2229" s="94">
        <v>2751.0</v>
      </c>
    </row>
    <row r="2230">
      <c r="A2230" s="40">
        <f t="array" ref="A2230">IFNA(index(PlayerValues!A:A,match(IFNA(vlookup(B2230,'Special Names'!A:B,2,FALSE),B2230),PlayerValues!E:E,0)),"N/A")</f>
        <v>15716</v>
      </c>
      <c r="B2230" s="4" t="s">
        <v>545</v>
      </c>
      <c r="C2230" s="4" t="s">
        <v>278</v>
      </c>
      <c r="D2230" s="94">
        <v>2344.0</v>
      </c>
    </row>
    <row r="2231">
      <c r="A2231" s="40">
        <f t="array" ref="A2231">IFNA(index(PlayerValues!A:A,match(IFNA(vlookup(B2231,'Special Names'!A:B,2,FALSE),B2231),PlayerValues!E:E,0)),"N/A")</f>
        <v>15749</v>
      </c>
      <c r="B2231" s="4" t="s">
        <v>574</v>
      </c>
      <c r="C2231" s="4" t="s">
        <v>278</v>
      </c>
      <c r="D2231" s="94">
        <v>2329.0</v>
      </c>
    </row>
    <row r="2232">
      <c r="A2232" s="40">
        <f t="array" ref="A2232">IFNA(index(PlayerValues!A:A,match(IFNA(vlookup(B2232,'Special Names'!A:B,2,FALSE),B2232),PlayerValues!E:E,0)),"N/A")</f>
        <v>14861</v>
      </c>
      <c r="B2232" s="4" t="s">
        <v>523</v>
      </c>
      <c r="C2232" s="4" t="s">
        <v>298</v>
      </c>
      <c r="D2232" s="94">
        <v>2715.0</v>
      </c>
    </row>
    <row r="2233">
      <c r="A2233" s="40">
        <f t="array" ref="A2233">IFNA(index(PlayerValues!A:A,match(IFNA(vlookup(B2233,'Special Names'!A:B,2,FALSE),B2233),PlayerValues!E:E,0)),"N/A")</f>
        <v>15802</v>
      </c>
      <c r="B2233" s="4" t="s">
        <v>566</v>
      </c>
      <c r="C2233" s="4" t="s">
        <v>298</v>
      </c>
      <c r="D2233" s="94">
        <v>2711.0</v>
      </c>
    </row>
    <row r="2234">
      <c r="A2234" s="40">
        <f t="array" ref="A2234">IFNA(index(PlayerValues!A:A,match(IFNA(vlookup(B2234,'Special Names'!A:B,2,FALSE),B2234),PlayerValues!E:E,0)),"N/A")</f>
        <v>13319</v>
      </c>
      <c r="B2234" s="4" t="s">
        <v>549</v>
      </c>
      <c r="C2234" s="4" t="s">
        <v>278</v>
      </c>
      <c r="D2234" s="94">
        <v>2290.0</v>
      </c>
    </row>
    <row r="2235">
      <c r="A2235" s="40">
        <f t="array" ref="A2235">IFNA(index(PlayerValues!A:A,match(IFNA(vlookup(B2235,'Special Names'!A:B,2,FALSE),B2235),PlayerValues!E:E,0)),"N/A")</f>
        <v>17482</v>
      </c>
      <c r="B2235" s="4" t="s">
        <v>460</v>
      </c>
      <c r="C2235" s="4" t="s">
        <v>278</v>
      </c>
      <c r="D2235" s="94">
        <v>2284.0</v>
      </c>
    </row>
    <row r="2236">
      <c r="A2236" s="40">
        <f t="array" ref="A2236">IFNA(index(PlayerValues!A:A,match(IFNA(vlookup(B2236,'Special Names'!A:B,2,FALSE),B2236),PlayerValues!E:E,0)),"N/A")</f>
        <v>16166</v>
      </c>
      <c r="B2236" s="4" t="s">
        <v>567</v>
      </c>
      <c r="C2236" s="4" t="s">
        <v>278</v>
      </c>
      <c r="D2236" s="94">
        <v>2278.0</v>
      </c>
    </row>
    <row r="2237">
      <c r="A2237" s="40" t="str">
        <f t="array" ref="A2237">IFNA(index(PlayerValues!A:A,match(IFNA(vlookup(B2237,'Special Names'!A:B,2,FALSE),B2237),PlayerValues!E:E,0)),"N/A")</f>
        <v>N/A</v>
      </c>
      <c r="B2237" s="4" t="s">
        <v>86</v>
      </c>
      <c r="C2237" s="4" t="s">
        <v>325</v>
      </c>
      <c r="D2237" s="94">
        <v>2278.0</v>
      </c>
    </row>
    <row r="2238">
      <c r="A2238" s="40">
        <f t="array" ref="A2238">IFNA(index(PlayerValues!A:A,match(IFNA(vlookup(B2238,'Special Names'!A:B,2,FALSE),B2238),PlayerValues!E:E,0)),"N/A")</f>
        <v>11150</v>
      </c>
      <c r="B2238" s="4" t="s">
        <v>559</v>
      </c>
      <c r="C2238" s="4" t="s">
        <v>283</v>
      </c>
      <c r="D2238" s="94">
        <v>2264.0</v>
      </c>
    </row>
    <row r="2239">
      <c r="A2239" s="40">
        <f t="array" ref="A2239">IFNA(index(PlayerValues!A:A,match(IFNA(vlookup(B2239,'Special Names'!A:B,2,FALSE),B2239),PlayerValues!E:E,0)),"N/A")</f>
        <v>16036</v>
      </c>
      <c r="B2239" s="4" t="s">
        <v>592</v>
      </c>
      <c r="C2239" s="4" t="s">
        <v>298</v>
      </c>
      <c r="D2239" s="94">
        <v>2653.0</v>
      </c>
    </row>
    <row r="2240">
      <c r="A2240" s="40">
        <f t="array" ref="A2240">IFNA(index(PlayerValues!A:A,match(IFNA(vlookup(B2240,'Special Names'!A:B,2,FALSE),B2240),PlayerValues!E:E,0)),"N/A")</f>
        <v>16594</v>
      </c>
      <c r="B2240" s="4" t="s">
        <v>607</v>
      </c>
      <c r="C2240" s="4" t="s">
        <v>278</v>
      </c>
      <c r="D2240" s="94">
        <v>2248.0</v>
      </c>
    </row>
    <row r="2241">
      <c r="A2241" s="40" t="str">
        <f t="array" ref="A2241">IFNA(index(PlayerValues!A:A,match(IFNA(vlookup(B2241,'Special Names'!A:B,2,FALSE),B2241),PlayerValues!E:E,0)),"N/A")</f>
        <v>N/A</v>
      </c>
      <c r="B2241" s="4" t="s">
        <v>100</v>
      </c>
      <c r="C2241" s="4" t="s">
        <v>325</v>
      </c>
      <c r="D2241" s="94">
        <v>2241.0</v>
      </c>
    </row>
    <row r="2242">
      <c r="A2242" s="40">
        <f t="array" ref="A2242">IFNA(index(PlayerValues!A:A,match(IFNA(vlookup(B2242,'Special Names'!A:B,2,FALSE),B2242),PlayerValues!E:E,0)),"N/A")</f>
        <v>17033</v>
      </c>
      <c r="B2242" s="4" t="s">
        <v>570</v>
      </c>
      <c r="C2242" s="4" t="s">
        <v>283</v>
      </c>
      <c r="D2242" s="94">
        <v>2237.0</v>
      </c>
    </row>
    <row r="2243">
      <c r="A2243" s="40">
        <f t="array" ref="A2243">IFNA(index(PlayerValues!A:A,match(IFNA(vlookup(B2243,'Special Names'!A:B,2,FALSE),B2243),PlayerValues!E:E,0)),"N/A")</f>
        <v>12676</v>
      </c>
      <c r="B2243" s="4" t="s">
        <v>537</v>
      </c>
      <c r="C2243" s="4" t="s">
        <v>298</v>
      </c>
      <c r="D2243" s="94">
        <v>2627.0</v>
      </c>
    </row>
    <row r="2244">
      <c r="A2244" s="40" t="str">
        <f t="array" ref="A2244">IFNA(index(PlayerValues!A:A,match(IFNA(vlookup(B2244,'Special Names'!A:B,2,FALSE),B2244),PlayerValues!E:E,0)),"N/A")</f>
        <v>N/A</v>
      </c>
      <c r="B2244" s="4" t="s">
        <v>112</v>
      </c>
      <c r="C2244" s="4" t="s">
        <v>325</v>
      </c>
      <c r="D2244" s="94">
        <v>2211.0</v>
      </c>
    </row>
    <row r="2245">
      <c r="A2245" s="40">
        <f t="array" ref="A2245">IFNA(index(PlayerValues!A:A,match(IFNA(vlookup(B2245,'Special Names'!A:B,2,FALSE),B2245),PlayerValues!E:E,0)),"N/A")</f>
        <v>16152</v>
      </c>
      <c r="B2245" s="4" t="s">
        <v>601</v>
      </c>
      <c r="C2245" s="4" t="s">
        <v>283</v>
      </c>
      <c r="D2245" s="94">
        <v>2204.0</v>
      </c>
    </row>
    <row r="2246">
      <c r="A2246" s="40">
        <f t="array" ref="A2246">IFNA(index(PlayerValues!A:A,match(IFNA(vlookup(B2246,'Special Names'!A:B,2,FALSE),B2246),PlayerValues!E:E,0)),"N/A")</f>
        <v>16649</v>
      </c>
      <c r="B2246" s="4" t="s">
        <v>586</v>
      </c>
      <c r="C2246" s="4" t="s">
        <v>298</v>
      </c>
      <c r="D2246" s="94">
        <v>2591.0</v>
      </c>
    </row>
    <row r="2247">
      <c r="A2247" s="40">
        <f t="array" ref="A2247">IFNA(index(PlayerValues!A:A,match(IFNA(vlookup(B2247,'Special Names'!A:B,2,FALSE),B2247),PlayerValues!E:E,0)),"N/A")</f>
        <v>17466</v>
      </c>
      <c r="B2247" s="4" t="s">
        <v>492</v>
      </c>
      <c r="C2247" s="4" t="s">
        <v>283</v>
      </c>
      <c r="D2247" s="94">
        <v>2195.0</v>
      </c>
    </row>
    <row r="2248">
      <c r="A2248" s="40">
        <f t="array" ref="A2248">IFNA(index(PlayerValues!A:A,match(IFNA(vlookup(B2248,'Special Names'!A:B,2,FALSE),B2248),PlayerValues!E:E,0)),"N/A")</f>
        <v>16212</v>
      </c>
      <c r="B2248" s="4" t="s">
        <v>568</v>
      </c>
      <c r="C2248" s="4" t="s">
        <v>298</v>
      </c>
      <c r="D2248" s="94">
        <v>2584.0</v>
      </c>
    </row>
    <row r="2249">
      <c r="A2249" s="40">
        <f t="array" ref="A2249">IFNA(index(PlayerValues!A:A,match(IFNA(vlookup(B2249,'Special Names'!A:B,2,FALSE),B2249),PlayerValues!E:E,0)),"N/A")</f>
        <v>15331</v>
      </c>
      <c r="B2249" s="4" t="s">
        <v>560</v>
      </c>
      <c r="C2249" s="4" t="s">
        <v>298</v>
      </c>
      <c r="D2249" s="94">
        <v>2582.0</v>
      </c>
    </row>
    <row r="2250">
      <c r="A2250" s="40">
        <f t="array" ref="A2250">IFNA(index(PlayerValues!A:A,match(IFNA(vlookup(B2250,'Special Names'!A:B,2,FALSE),B2250),PlayerValues!E:E,0)),"N/A")</f>
        <v>16610</v>
      </c>
      <c r="B2250" s="4" t="s">
        <v>562</v>
      </c>
      <c r="C2250" s="4" t="s">
        <v>278</v>
      </c>
      <c r="D2250" s="94">
        <v>2185.0</v>
      </c>
    </row>
    <row r="2251">
      <c r="A2251" s="40">
        <f t="array" ref="A2251">IFNA(index(PlayerValues!A:A,match(IFNA(vlookup(B2251,'Special Names'!A:B,2,FALSE),B2251),PlayerValues!E:E,0)),"N/A")</f>
        <v>13772</v>
      </c>
      <c r="B2251" s="4" t="s">
        <v>544</v>
      </c>
      <c r="C2251" s="4" t="s">
        <v>298</v>
      </c>
      <c r="D2251" s="94">
        <v>2567.0</v>
      </c>
    </row>
    <row r="2252">
      <c r="A2252" s="40">
        <f t="array" ref="A2252">IFNA(index(PlayerValues!A:A,match(IFNA(vlookup(B2252,'Special Names'!A:B,2,FALSE),B2252),PlayerValues!E:E,0)),"N/A")</f>
        <v>13113</v>
      </c>
      <c r="B2252" s="4" t="s">
        <v>606</v>
      </c>
      <c r="C2252" s="4" t="s">
        <v>283</v>
      </c>
      <c r="D2252" s="94">
        <v>2165.0</v>
      </c>
    </row>
    <row r="2253">
      <c r="A2253" s="40">
        <f t="array" ref="A2253">IFNA(index(PlayerValues!A:A,match(IFNA(vlookup(B2253,'Special Names'!A:B,2,FALSE),B2253),PlayerValues!E:E,0)),"N/A")</f>
        <v>14840</v>
      </c>
      <c r="B2253" s="4" t="s">
        <v>731</v>
      </c>
      <c r="C2253" s="4" t="s">
        <v>287</v>
      </c>
      <c r="D2253" s="94">
        <v>2163.0</v>
      </c>
    </row>
    <row r="2254">
      <c r="A2254" s="40" t="str">
        <f t="array" ref="A2254">IFNA(index(PlayerValues!A:A,match(IFNA(vlookup(B2254,'Special Names'!A:B,2,FALSE),B2254),PlayerValues!E:E,0)),"N/A")</f>
        <v>N/A</v>
      </c>
      <c r="B2254" s="4" t="s">
        <v>87</v>
      </c>
      <c r="C2254" s="4" t="s">
        <v>325</v>
      </c>
      <c r="D2254" s="94">
        <v>2160.0</v>
      </c>
    </row>
    <row r="2255">
      <c r="A2255" s="40">
        <f t="array" ref="A2255">IFNA(index(PlayerValues!A:A,match(IFNA(vlookup(B2255,'Special Names'!A:B,2,FALSE),B2255),PlayerValues!E:E,0)),"N/A")</f>
        <v>16604</v>
      </c>
      <c r="B2255" s="4" t="s">
        <v>476</v>
      </c>
      <c r="C2255" s="4" t="s">
        <v>278</v>
      </c>
      <c r="D2255" s="94">
        <v>2155.0</v>
      </c>
    </row>
    <row r="2256">
      <c r="A2256" s="40">
        <f t="array" ref="A2256">IFNA(index(PlayerValues!A:A,match(IFNA(vlookup(B2256,'Special Names'!A:B,2,FALSE),B2256),PlayerValues!E:E,0)),"N/A")</f>
        <v>16757</v>
      </c>
      <c r="B2256" s="4" t="s">
        <v>558</v>
      </c>
      <c r="C2256" s="4" t="s">
        <v>278</v>
      </c>
      <c r="D2256" s="94">
        <v>2148.0</v>
      </c>
    </row>
    <row r="2257">
      <c r="A2257" s="40">
        <f t="array" ref="A2257">IFNA(index(PlayerValues!A:A,match(IFNA(vlookup(B2257,'Special Names'!A:B,2,FALSE),B2257),PlayerValues!E:E,0)),"N/A")</f>
        <v>12186</v>
      </c>
      <c r="B2257" s="4" t="s">
        <v>497</v>
      </c>
      <c r="C2257" s="4" t="s">
        <v>287</v>
      </c>
      <c r="D2257" s="94">
        <v>2145.0</v>
      </c>
    </row>
    <row r="2258">
      <c r="A2258" s="40">
        <f t="array" ref="A2258">IFNA(index(PlayerValues!A:A,match(IFNA(vlookup(B2258,'Special Names'!A:B,2,FALSE),B2258),PlayerValues!E:E,0)),"N/A")</f>
        <v>17055</v>
      </c>
      <c r="B2258" s="4" t="s">
        <v>565</v>
      </c>
      <c r="C2258" s="4" t="s">
        <v>278</v>
      </c>
      <c r="D2258" s="94">
        <v>2129.0</v>
      </c>
    </row>
    <row r="2259">
      <c r="A2259" s="40" t="str">
        <f t="array" ref="A2259">IFNA(index(PlayerValues!A:A,match(IFNA(vlookup(B2259,'Special Names'!A:B,2,FALSE),B2259),PlayerValues!E:E,0)),"N/A")</f>
        <v>N/A</v>
      </c>
      <c r="B2259" s="4" t="s">
        <v>88</v>
      </c>
      <c r="C2259" s="4" t="s">
        <v>325</v>
      </c>
      <c r="D2259" s="94">
        <v>2124.0</v>
      </c>
    </row>
    <row r="2260">
      <c r="A2260" s="40">
        <f t="array" ref="A2260">IFNA(index(PlayerValues!A:A,match(IFNA(vlookup(B2260,'Special Names'!A:B,2,FALSE),B2260),PlayerValues!E:E,0)),"N/A")</f>
        <v>16189</v>
      </c>
      <c r="B2260" s="4" t="s">
        <v>582</v>
      </c>
      <c r="C2260" s="4" t="s">
        <v>287</v>
      </c>
      <c r="D2260" s="94">
        <v>2116.0</v>
      </c>
    </row>
    <row r="2261">
      <c r="A2261" s="40">
        <f t="array" ref="A2261">IFNA(index(PlayerValues!A:A,match(IFNA(vlookup(B2261,'Special Names'!A:B,2,FALSE),B2261),PlayerValues!E:E,0)),"N/A")</f>
        <v>17079</v>
      </c>
      <c r="B2261" s="4" t="s">
        <v>572</v>
      </c>
      <c r="C2261" s="4" t="s">
        <v>287</v>
      </c>
      <c r="D2261" s="94">
        <v>2092.0</v>
      </c>
    </row>
    <row r="2262">
      <c r="A2262" s="40" t="str">
        <f t="array" ref="A2262">IFNA(index(PlayerValues!A:A,match(IFNA(vlookup(B2262,'Special Names'!A:B,2,FALSE),B2262),PlayerValues!E:E,0)),"N/A")</f>
        <v>N/A</v>
      </c>
      <c r="B2262" s="4" t="s">
        <v>113</v>
      </c>
      <c r="C2262" s="4" t="s">
        <v>325</v>
      </c>
      <c r="D2262" s="94">
        <v>2090.0</v>
      </c>
    </row>
    <row r="2263">
      <c r="A2263" s="40">
        <f t="array" ref="A2263">IFNA(index(PlayerValues!A:A,match(IFNA(vlookup(B2263,'Special Names'!A:B,2,FALSE),B2263),PlayerValues!E:E,0)),"N/A")</f>
        <v>17060</v>
      </c>
      <c r="B2263" s="4" t="s">
        <v>603</v>
      </c>
      <c r="C2263" s="4" t="s">
        <v>278</v>
      </c>
      <c r="D2263" s="94">
        <v>2066.0</v>
      </c>
    </row>
    <row r="2264">
      <c r="A2264" s="40">
        <f t="array" ref="A2264">IFNA(index(PlayerValues!A:A,match(IFNA(vlookup(B2264,'Special Names'!A:B,2,FALSE),B2264),PlayerValues!E:E,0)),"N/A")</f>
        <v>17069</v>
      </c>
      <c r="B2264" s="4" t="s">
        <v>604</v>
      </c>
      <c r="C2264" s="4" t="s">
        <v>278</v>
      </c>
      <c r="D2264" s="94">
        <v>2066.0</v>
      </c>
    </row>
    <row r="2265">
      <c r="A2265" s="40">
        <f t="array" ref="A2265">IFNA(index(PlayerValues!A:A,match(IFNA(vlookup(B2265,'Special Names'!A:B,2,FALSE),B2265),PlayerValues!E:E,0)),"N/A")</f>
        <v>15238</v>
      </c>
      <c r="B2265" s="4" t="s">
        <v>613</v>
      </c>
      <c r="C2265" s="4" t="s">
        <v>283</v>
      </c>
      <c r="D2265" s="94">
        <v>2055.0</v>
      </c>
    </row>
    <row r="2266">
      <c r="A2266" s="40">
        <f t="array" ref="A2266">IFNA(index(PlayerValues!A:A,match(IFNA(vlookup(B2266,'Special Names'!A:B,2,FALSE),B2266),PlayerValues!E:E,0)),"N/A")</f>
        <v>15293</v>
      </c>
      <c r="B2266" s="4" t="s">
        <v>578</v>
      </c>
      <c r="C2266" s="4" t="s">
        <v>287</v>
      </c>
      <c r="D2266" s="94">
        <v>2052.0</v>
      </c>
    </row>
    <row r="2267">
      <c r="A2267" s="40">
        <f t="array" ref="A2267">IFNA(index(PlayerValues!A:A,match(IFNA(vlookup(B2267,'Special Names'!A:B,2,FALSE),B2267),PlayerValues!E:E,0)),"N/A")</f>
        <v>17061</v>
      </c>
      <c r="B2267" s="4" t="s">
        <v>580</v>
      </c>
      <c r="C2267" s="4" t="s">
        <v>278</v>
      </c>
      <c r="D2267" s="94">
        <v>2049.0</v>
      </c>
    </row>
    <row r="2268">
      <c r="A2268" s="40">
        <f t="array" ref="A2268">IFNA(index(PlayerValues!A:A,match(IFNA(vlookup(B2268,'Special Names'!A:B,2,FALSE),B2268),PlayerValues!E:E,0)),"N/A")</f>
        <v>13132</v>
      </c>
      <c r="B2268" s="4" t="s">
        <v>598</v>
      </c>
      <c r="C2268" s="4" t="s">
        <v>278</v>
      </c>
      <c r="D2268" s="94">
        <v>2045.0</v>
      </c>
    </row>
    <row r="2269">
      <c r="A2269" s="40">
        <f t="array" ref="A2269">IFNA(index(PlayerValues!A:A,match(IFNA(vlookup(B2269,'Special Names'!A:B,2,FALSE),B2269),PlayerValues!E:E,0)),"N/A")</f>
        <v>17056</v>
      </c>
      <c r="B2269" s="4" t="s">
        <v>581</v>
      </c>
      <c r="C2269" s="4" t="s">
        <v>278</v>
      </c>
      <c r="D2269" s="94">
        <v>2034.0</v>
      </c>
    </row>
    <row r="2270">
      <c r="A2270" s="40">
        <f t="array" ref="A2270">IFNA(index(PlayerValues!A:A,match(IFNA(vlookup(B2270,'Special Names'!A:B,2,FALSE),B2270),PlayerValues!E:E,0)),"N/A")</f>
        <v>17046</v>
      </c>
      <c r="B2270" s="4" t="s">
        <v>602</v>
      </c>
      <c r="C2270" s="4" t="s">
        <v>278</v>
      </c>
      <c r="D2270" s="94">
        <v>2032.0</v>
      </c>
    </row>
    <row r="2271">
      <c r="A2271" s="40">
        <f t="array" ref="A2271">IFNA(index(PlayerValues!A:A,match(IFNA(vlookup(B2271,'Special Names'!A:B,2,FALSE),B2271),PlayerValues!E:E,0)),"N/A")</f>
        <v>17184</v>
      </c>
      <c r="B2271" s="4" t="s">
        <v>588</v>
      </c>
      <c r="C2271" s="4" t="s">
        <v>287</v>
      </c>
      <c r="D2271" s="94">
        <v>2032.0</v>
      </c>
    </row>
    <row r="2272">
      <c r="A2272" s="40">
        <f t="array" ref="A2272">IFNA(index(PlayerValues!A:A,match(IFNA(vlookup(B2272,'Special Names'!A:B,2,FALSE),B2272),PlayerValues!E:E,0)),"N/A")</f>
        <v>16432</v>
      </c>
      <c r="B2272" s="4" t="s">
        <v>620</v>
      </c>
      <c r="C2272" s="4" t="s">
        <v>278</v>
      </c>
      <c r="D2272" s="94">
        <v>2029.0</v>
      </c>
    </row>
    <row r="2273">
      <c r="A2273" s="40">
        <f t="array" ref="A2273">IFNA(index(PlayerValues!A:A,match(IFNA(vlookup(B2273,'Special Names'!A:B,2,FALSE),B2273),PlayerValues!E:E,0)),"N/A")</f>
        <v>14974</v>
      </c>
      <c r="B2273" s="4" t="s">
        <v>611</v>
      </c>
      <c r="C2273" s="4" t="s">
        <v>287</v>
      </c>
      <c r="D2273" s="94">
        <v>2024.0</v>
      </c>
    </row>
    <row r="2274">
      <c r="A2274" s="40">
        <f t="array" ref="A2274">IFNA(index(PlayerValues!A:A,match(IFNA(vlookup(B2274,'Special Names'!A:B,2,FALSE),B2274),PlayerValues!E:E,0)),"N/A")</f>
        <v>16643</v>
      </c>
      <c r="B2274" s="4" t="s">
        <v>609</v>
      </c>
      <c r="C2274" s="4" t="s">
        <v>298</v>
      </c>
      <c r="D2274" s="94">
        <v>2409.0</v>
      </c>
    </row>
    <row r="2275">
      <c r="A2275" s="40" t="str">
        <f t="array" ref="A2275">IFNA(index(PlayerValues!A:A,match(IFNA(vlookup(B2275,'Special Names'!A:B,2,FALSE),B2275),PlayerValues!E:E,0)),"N/A")</f>
        <v>N/A</v>
      </c>
      <c r="B2275" s="4" t="s">
        <v>114</v>
      </c>
      <c r="C2275" s="4" t="s">
        <v>325</v>
      </c>
      <c r="D2275" s="94">
        <v>2008.0</v>
      </c>
    </row>
    <row r="2276">
      <c r="A2276" s="40">
        <f t="array" ref="A2276">IFNA(index(PlayerValues!A:A,match(IFNA(vlookup(B2276,'Special Names'!A:B,2,FALSE),B2276),PlayerValues!E:E,0)),"N/A")</f>
        <v>15797</v>
      </c>
      <c r="B2276" s="4" t="s">
        <v>556</v>
      </c>
      <c r="C2276" s="4" t="s">
        <v>298</v>
      </c>
      <c r="D2276" s="94">
        <v>2391.0</v>
      </c>
    </row>
    <row r="2277">
      <c r="A2277" s="40">
        <f t="array" ref="A2277">IFNA(index(PlayerValues!A:A,match(IFNA(vlookup(B2277,'Special Names'!A:B,2,FALSE),B2277),PlayerValues!E:E,0)),"N/A")</f>
        <v>14136</v>
      </c>
      <c r="B2277" s="4" t="s">
        <v>536</v>
      </c>
      <c r="C2277" s="4" t="s">
        <v>287</v>
      </c>
      <c r="D2277" s="94">
        <v>1992.0</v>
      </c>
    </row>
    <row r="2278">
      <c r="A2278" s="40">
        <f t="array" ref="A2278">IFNA(index(PlayerValues!A:A,match(IFNA(vlookup(B2278,'Special Names'!A:B,2,FALSE),B2278),PlayerValues!E:E,0)),"N/A")</f>
        <v>14867</v>
      </c>
      <c r="B2278" s="4" t="s">
        <v>591</v>
      </c>
      <c r="C2278" s="4" t="s">
        <v>298</v>
      </c>
      <c r="D2278" s="94">
        <v>2369.0</v>
      </c>
    </row>
    <row r="2279">
      <c r="A2279" s="40">
        <f t="array" ref="A2279">IFNA(index(PlayerValues!A:A,match(IFNA(vlookup(B2279,'Special Names'!A:B,2,FALSE),B2279),PlayerValues!E:E,0)),"N/A")</f>
        <v>7836</v>
      </c>
      <c r="B2279" s="4" t="s">
        <v>590</v>
      </c>
      <c r="C2279" s="4" t="s">
        <v>283</v>
      </c>
      <c r="D2279" s="94">
        <v>1981.0</v>
      </c>
    </row>
    <row r="2280">
      <c r="A2280" s="40">
        <f t="array" ref="A2280">IFNA(index(PlayerValues!A:A,match(IFNA(vlookup(B2280,'Special Names'!A:B,2,FALSE),B2280),PlayerValues!E:E,0)),"N/A")</f>
        <v>17076</v>
      </c>
      <c r="B2280" s="4" t="s">
        <v>585</v>
      </c>
      <c r="C2280" s="4" t="s">
        <v>287</v>
      </c>
      <c r="D2280" s="94">
        <v>1981.0</v>
      </c>
    </row>
    <row r="2281">
      <c r="A2281" s="40">
        <f t="array" ref="A2281">IFNA(index(PlayerValues!A:A,match(IFNA(vlookup(B2281,'Special Names'!A:B,2,FALSE),B2281),PlayerValues!E:E,0)),"N/A")</f>
        <v>16603</v>
      </c>
      <c r="B2281" s="4" t="s">
        <v>587</v>
      </c>
      <c r="C2281" s="4" t="s">
        <v>278</v>
      </c>
      <c r="D2281" s="94">
        <v>1971.0</v>
      </c>
    </row>
    <row r="2282">
      <c r="A2282" s="40">
        <f t="array" ref="A2282">IFNA(index(PlayerValues!A:A,match(IFNA(vlookup(B2282,'Special Names'!A:B,2,FALSE),B2282),PlayerValues!E:E,0)),"N/A")</f>
        <v>17036</v>
      </c>
      <c r="B2282" s="4" t="s">
        <v>617</v>
      </c>
      <c r="C2282" s="4" t="s">
        <v>283</v>
      </c>
      <c r="D2282" s="94">
        <v>1946.0</v>
      </c>
    </row>
    <row r="2283">
      <c r="A2283" s="40">
        <f t="array" ref="A2283">IFNA(index(PlayerValues!A:A,match(IFNA(vlookup(B2283,'Special Names'!A:B,2,FALSE),B2283),PlayerValues!E:E,0)),"N/A")</f>
        <v>16342</v>
      </c>
      <c r="B2283" s="4" t="s">
        <v>583</v>
      </c>
      <c r="C2283" s="4" t="s">
        <v>287</v>
      </c>
      <c r="D2283" s="94">
        <v>1945.0</v>
      </c>
    </row>
    <row r="2284">
      <c r="A2284" s="40">
        <f t="array" ref="A2284">IFNA(index(PlayerValues!A:A,match(IFNA(vlookup(B2284,'Special Names'!A:B,2,FALSE),B2284),PlayerValues!E:E,0)),"N/A")</f>
        <v>13633</v>
      </c>
      <c r="B2284" s="4" t="s">
        <v>625</v>
      </c>
      <c r="C2284" s="4" t="s">
        <v>287</v>
      </c>
      <c r="D2284" s="94">
        <v>1940.0</v>
      </c>
    </row>
    <row r="2285">
      <c r="A2285" s="40">
        <f t="array" ref="A2285">IFNA(index(PlayerValues!A:A,match(IFNA(vlookup(B2285,'Special Names'!A:B,2,FALSE),B2285),PlayerValues!E:E,0)),"N/A")</f>
        <v>17087</v>
      </c>
      <c r="B2285" s="4" t="s">
        <v>600</v>
      </c>
      <c r="C2285" s="4" t="s">
        <v>287</v>
      </c>
      <c r="D2285" s="94">
        <v>1927.0</v>
      </c>
    </row>
    <row r="2286">
      <c r="A2286" s="40">
        <f t="array" ref="A2286">IFNA(index(PlayerValues!A:A,match(IFNA(vlookup(B2286,'Special Names'!A:B,2,FALSE),B2286),PlayerValues!E:E,0)),"N/A")</f>
        <v>17528</v>
      </c>
      <c r="B2286" s="4" t="s">
        <v>579</v>
      </c>
      <c r="C2286" s="4" t="s">
        <v>287</v>
      </c>
      <c r="D2286" s="94">
        <v>1917.0</v>
      </c>
    </row>
    <row r="2287">
      <c r="A2287" s="40">
        <f t="array" ref="A2287">IFNA(index(PlayerValues!A:A,match(IFNA(vlookup(B2287,'Special Names'!A:B,2,FALSE),B2287),PlayerValues!E:E,0)),"N/A")</f>
        <v>17481</v>
      </c>
      <c r="B2287" s="4" t="s">
        <v>540</v>
      </c>
      <c r="C2287" s="4" t="s">
        <v>278</v>
      </c>
      <c r="D2287" s="94">
        <v>1910.0</v>
      </c>
    </row>
    <row r="2288">
      <c r="A2288" s="40">
        <f t="array" ref="A2288">IFNA(index(PlayerValues!A:A,match(IFNA(vlookup(B2288,'Special Names'!A:B,2,FALSE),B2288),PlayerValues!E:E,0)),"N/A")</f>
        <v>16639</v>
      </c>
      <c r="B2288" s="4" t="s">
        <v>599</v>
      </c>
      <c r="C2288" s="4" t="s">
        <v>287</v>
      </c>
      <c r="D2288" s="94">
        <v>1908.0</v>
      </c>
    </row>
    <row r="2289">
      <c r="A2289" s="40">
        <f t="array" ref="A2289">IFNA(index(PlayerValues!A:A,match(IFNA(vlookup(B2289,'Special Names'!A:B,2,FALSE),B2289),PlayerValues!E:E,0)),"N/A")</f>
        <v>10700</v>
      </c>
      <c r="B2289" s="4" t="s">
        <v>596</v>
      </c>
      <c r="C2289" s="4" t="s">
        <v>283</v>
      </c>
      <c r="D2289" s="94">
        <v>1900.0</v>
      </c>
    </row>
    <row r="2290">
      <c r="A2290" s="40">
        <f t="array" ref="A2290">IFNA(index(PlayerValues!A:A,match(IFNA(vlookup(B2290,'Special Names'!A:B,2,FALSE),B2290),PlayerValues!E:E,0)),"N/A")</f>
        <v>16216</v>
      </c>
      <c r="B2290" s="4" t="s">
        <v>595</v>
      </c>
      <c r="C2290" s="4" t="s">
        <v>298</v>
      </c>
      <c r="D2290" s="94">
        <v>2285.0</v>
      </c>
    </row>
    <row r="2291">
      <c r="A2291" s="40">
        <f t="array" ref="A2291">IFNA(index(PlayerValues!A:A,match(IFNA(vlookup(B2291,'Special Names'!A:B,2,FALSE),B2291),PlayerValues!E:E,0)),"N/A")</f>
        <v>12801</v>
      </c>
      <c r="B2291" s="4" t="s">
        <v>722</v>
      </c>
      <c r="C2291" s="4" t="s">
        <v>287</v>
      </c>
      <c r="D2291" s="94">
        <v>1871.0</v>
      </c>
    </row>
    <row r="2292">
      <c r="A2292" s="40">
        <f t="array" ref="A2292">IFNA(index(PlayerValues!A:A,match(IFNA(vlookup(B2292,'Special Names'!A:B,2,FALSE),B2292),PlayerValues!E:E,0)),"N/A")</f>
        <v>13629</v>
      </c>
      <c r="B2292" s="4" t="s">
        <v>619</v>
      </c>
      <c r="C2292" s="4" t="s">
        <v>287</v>
      </c>
      <c r="D2292" s="94">
        <v>1871.0</v>
      </c>
    </row>
    <row r="2293">
      <c r="A2293" s="40">
        <f t="array" ref="A2293">IFNA(index(PlayerValues!A:A,match(IFNA(vlookup(B2293,'Special Names'!A:B,2,FALSE),B2293),PlayerValues!E:E,0)),"N/A")</f>
        <v>17468</v>
      </c>
      <c r="B2293" s="4" t="s">
        <v>514</v>
      </c>
      <c r="C2293" s="4" t="s">
        <v>283</v>
      </c>
      <c r="D2293" s="94">
        <v>1868.0</v>
      </c>
    </row>
    <row r="2294">
      <c r="A2294" s="40">
        <f t="array" ref="A2294">IFNA(index(PlayerValues!A:A,match(IFNA(vlookup(B2294,'Special Names'!A:B,2,FALSE),B2294),PlayerValues!E:E,0)),"N/A")</f>
        <v>14871</v>
      </c>
      <c r="B2294" s="4" t="s">
        <v>584</v>
      </c>
      <c r="C2294" s="4" t="s">
        <v>298</v>
      </c>
      <c r="D2294" s="94">
        <v>2248.0</v>
      </c>
    </row>
    <row r="2295">
      <c r="A2295" s="40">
        <f t="array" ref="A2295">IFNA(index(PlayerValues!A:A,match(IFNA(vlookup(B2295,'Special Names'!A:B,2,FALSE),B2295),PlayerValues!E:E,0)),"N/A")</f>
        <v>17467</v>
      </c>
      <c r="B2295" s="4" t="s">
        <v>575</v>
      </c>
      <c r="C2295" s="4" t="s">
        <v>283</v>
      </c>
      <c r="D2295" s="94">
        <v>1856.0</v>
      </c>
    </row>
    <row r="2296">
      <c r="A2296" s="40" t="str">
        <f t="array" ref="A2296">IFNA(index(PlayerValues!A:A,match(IFNA(vlookup(B2296,'Special Names'!A:B,2,FALSE),B2296),PlayerValues!E:E,0)),"N/A")</f>
        <v>N/A</v>
      </c>
      <c r="B2296" s="4" t="s">
        <v>101</v>
      </c>
      <c r="C2296" s="4" t="s">
        <v>325</v>
      </c>
      <c r="D2296" s="94">
        <v>1855.0</v>
      </c>
    </row>
    <row r="2297">
      <c r="A2297" s="40">
        <f t="array" ref="A2297">IFNA(index(PlayerValues!A:A,match(IFNA(vlookup(B2297,'Special Names'!A:B,2,FALSE),B2297),PlayerValues!E:E,0)),"N/A")</f>
        <v>16778</v>
      </c>
      <c r="B2297" s="4" t="s">
        <v>577</v>
      </c>
      <c r="C2297" s="4" t="s">
        <v>287</v>
      </c>
      <c r="D2297" s="94">
        <v>1848.0</v>
      </c>
    </row>
    <row r="2298">
      <c r="A2298" s="40">
        <f t="array" ref="A2298">IFNA(index(PlayerValues!A:A,match(IFNA(vlookup(B2298,'Special Names'!A:B,2,FALSE),B2298),PlayerValues!E:E,0)),"N/A")</f>
        <v>13189</v>
      </c>
      <c r="B2298" s="4" t="s">
        <v>626</v>
      </c>
      <c r="C2298" s="4" t="s">
        <v>298</v>
      </c>
      <c r="D2298" s="94">
        <v>2205.0</v>
      </c>
    </row>
    <row r="2299">
      <c r="A2299" s="40">
        <f t="array" ref="A2299">IFNA(index(PlayerValues!A:A,match(IFNA(vlookup(B2299,'Special Names'!A:B,2,FALSE),B2299),PlayerValues!E:E,0)),"N/A")</f>
        <v>17485</v>
      </c>
      <c r="B2299" s="4" t="s">
        <v>522</v>
      </c>
      <c r="C2299" s="4" t="s">
        <v>278</v>
      </c>
      <c r="D2299" s="94">
        <v>1824.0</v>
      </c>
    </row>
    <row r="2300">
      <c r="A2300" s="40">
        <f t="array" ref="A2300">IFNA(index(PlayerValues!A:A,match(IFNA(vlookup(B2300,'Special Names'!A:B,2,FALSE),B2300),PlayerValues!E:E,0)),"N/A")</f>
        <v>16752</v>
      </c>
      <c r="B2300" s="4" t="s">
        <v>597</v>
      </c>
      <c r="C2300" s="4" t="s">
        <v>278</v>
      </c>
      <c r="D2300" s="94">
        <v>1799.0</v>
      </c>
    </row>
    <row r="2301">
      <c r="A2301" s="40">
        <f t="array" ref="A2301">IFNA(index(PlayerValues!A:A,match(IFNA(vlookup(B2301,'Special Names'!A:B,2,FALSE),B2301),PlayerValues!E:E,0)),"N/A")</f>
        <v>17086</v>
      </c>
      <c r="B2301" s="4" t="s">
        <v>612</v>
      </c>
      <c r="C2301" s="4" t="s">
        <v>287</v>
      </c>
      <c r="D2301" s="94">
        <v>1799.0</v>
      </c>
    </row>
    <row r="2302">
      <c r="A2302" s="40">
        <f t="array" ref="A2302">IFNA(index(PlayerValues!A:A,match(IFNA(vlookup(B2302,'Special Names'!A:B,2,FALSE),B2302),PlayerValues!E:E,0)),"N/A")</f>
        <v>15787</v>
      </c>
      <c r="B2302" s="4" t="s">
        <v>610</v>
      </c>
      <c r="C2302" s="4" t="s">
        <v>287</v>
      </c>
      <c r="D2302" s="94">
        <v>1797.0</v>
      </c>
    </row>
    <row r="2303">
      <c r="A2303" s="40">
        <f t="array" ref="A2303">IFNA(index(PlayerValues!A:A,match(IFNA(vlookup(B2303,'Special Names'!A:B,2,FALSE),B2303),PlayerValues!E:E,0)),"N/A")</f>
        <v>15788</v>
      </c>
      <c r="B2303" s="4" t="s">
        <v>627</v>
      </c>
      <c r="C2303" s="4" t="s">
        <v>287</v>
      </c>
      <c r="D2303" s="94">
        <v>1792.0</v>
      </c>
    </row>
    <row r="2304">
      <c r="A2304" s="40">
        <f t="array" ref="A2304">IFNA(index(PlayerValues!A:A,match(IFNA(vlookup(B2304,'Special Names'!A:B,2,FALSE),B2304),PlayerValues!E:E,0)),"N/A")</f>
        <v>16215</v>
      </c>
      <c r="B2304" s="4" t="s">
        <v>637</v>
      </c>
      <c r="C2304" s="4" t="s">
        <v>298</v>
      </c>
      <c r="D2304" s="94">
        <v>2166.0</v>
      </c>
    </row>
    <row r="2305">
      <c r="A2305" s="40">
        <f t="array" ref="A2305">IFNA(index(PlayerValues!A:A,match(IFNA(vlookup(B2305,'Special Names'!A:B,2,FALSE),B2305),PlayerValues!E:E,0)),"N/A")</f>
        <v>16171</v>
      </c>
      <c r="B2305" s="4" t="s">
        <v>618</v>
      </c>
      <c r="C2305" s="4" t="s">
        <v>278</v>
      </c>
      <c r="D2305" s="94">
        <v>1777.0</v>
      </c>
    </row>
    <row r="2306">
      <c r="A2306" s="40">
        <f t="array" ref="A2306">IFNA(index(PlayerValues!A:A,match(IFNA(vlookup(B2306,'Special Names'!A:B,2,FALSE),B2306),PlayerValues!E:E,0)),"N/A")</f>
        <v>17548</v>
      </c>
      <c r="B2306" s="4" t="s">
        <v>594</v>
      </c>
      <c r="C2306" s="4" t="s">
        <v>298</v>
      </c>
      <c r="D2306" s="94">
        <v>2147.0</v>
      </c>
    </row>
    <row r="2307">
      <c r="A2307" s="40">
        <f t="array" ref="A2307">IFNA(index(PlayerValues!A:A,match(IFNA(vlookup(B2307,'Special Names'!A:B,2,FALSE),B2307),PlayerValues!E:E,0)),"N/A")</f>
        <v>16644</v>
      </c>
      <c r="B2307" s="4" t="s">
        <v>640</v>
      </c>
      <c r="C2307" s="4" t="s">
        <v>298</v>
      </c>
      <c r="D2307" s="94">
        <v>2146.0</v>
      </c>
    </row>
    <row r="2308">
      <c r="A2308" s="40">
        <f t="array" ref="A2308">IFNA(index(PlayerValues!A:A,match(IFNA(vlookup(B2308,'Special Names'!A:B,2,FALSE),B2308),PlayerValues!E:E,0)),"N/A")</f>
        <v>13146</v>
      </c>
      <c r="B2308" s="4" t="s">
        <v>652</v>
      </c>
      <c r="C2308" s="4" t="s">
        <v>278</v>
      </c>
      <c r="D2308" s="94">
        <v>1756.0</v>
      </c>
    </row>
    <row r="2309">
      <c r="A2309" s="40">
        <f t="array" ref="A2309">IFNA(index(PlayerValues!A:A,match(IFNA(vlookup(B2309,'Special Names'!A:B,2,FALSE),B2309),PlayerValues!E:E,0)),"N/A")</f>
        <v>17049</v>
      </c>
      <c r="B2309" s="4" t="s">
        <v>624</v>
      </c>
      <c r="C2309" s="4" t="s">
        <v>278</v>
      </c>
      <c r="D2309" s="94">
        <v>1749.0</v>
      </c>
    </row>
    <row r="2310">
      <c r="A2310" s="40">
        <f t="array" ref="A2310">IFNA(index(PlayerValues!A:A,match(IFNA(vlookup(B2310,'Special Names'!A:B,2,FALSE),B2310),PlayerValues!E:E,0)),"N/A")</f>
        <v>16191</v>
      </c>
      <c r="B2310" s="4" t="s">
        <v>666</v>
      </c>
      <c r="C2310" s="4" t="s">
        <v>287</v>
      </c>
      <c r="D2310" s="94">
        <v>1745.0</v>
      </c>
    </row>
    <row r="2311">
      <c r="A2311" s="40" t="str">
        <f t="array" ref="A2311">IFNA(index(PlayerValues!A:A,match(IFNA(vlookup(B2311,'Special Names'!A:B,2,FALSE),B2311),PlayerValues!E:E,0)),"N/A")</f>
        <v>N/A</v>
      </c>
      <c r="B2311" s="4" t="s">
        <v>102</v>
      </c>
      <c r="C2311" s="4" t="s">
        <v>325</v>
      </c>
      <c r="D2311" s="94">
        <v>1738.0</v>
      </c>
    </row>
    <row r="2312">
      <c r="A2312" s="40">
        <f t="array" ref="A2312">IFNA(index(PlayerValues!A:A,match(IFNA(vlookup(B2312,'Special Names'!A:B,2,FALSE),B2312),PlayerValues!E:E,0)),"N/A")</f>
        <v>13164</v>
      </c>
      <c r="B2312" s="4" t="s">
        <v>632</v>
      </c>
      <c r="C2312" s="4" t="s">
        <v>287</v>
      </c>
      <c r="D2312" s="94">
        <v>1724.0</v>
      </c>
    </row>
    <row r="2313">
      <c r="A2313" s="40">
        <f t="array" ref="A2313">IFNA(index(PlayerValues!A:A,match(IFNA(vlookup(B2313,'Special Names'!A:B,2,FALSE),B2313),PlayerValues!E:E,0)),"N/A")</f>
        <v>17034</v>
      </c>
      <c r="B2313" s="4" t="s">
        <v>643</v>
      </c>
      <c r="C2313" s="4" t="s">
        <v>283</v>
      </c>
      <c r="D2313" s="94">
        <v>1714.0</v>
      </c>
    </row>
    <row r="2314">
      <c r="A2314" s="40" t="str">
        <f t="array" ref="A2314">IFNA(index(PlayerValues!A:A,match(IFNA(vlookup(B2314,'Special Names'!A:B,2,FALSE),B2314),PlayerValues!E:E,0)),"N/A")</f>
        <v>N/A</v>
      </c>
      <c r="B2314" s="4" t="s">
        <v>89</v>
      </c>
      <c r="C2314" s="4" t="s">
        <v>325</v>
      </c>
      <c r="D2314" s="94">
        <v>1712.0</v>
      </c>
    </row>
    <row r="2315">
      <c r="A2315" s="40">
        <f t="array" ref="A2315">IFNA(index(PlayerValues!A:A,match(IFNA(vlookup(B2315,'Special Names'!A:B,2,FALSE),B2315),PlayerValues!E:E,0)),"N/A")</f>
        <v>17035</v>
      </c>
      <c r="B2315" s="4" t="s">
        <v>650</v>
      </c>
      <c r="C2315" s="4" t="s">
        <v>283</v>
      </c>
      <c r="D2315" s="94">
        <v>1704.0</v>
      </c>
    </row>
    <row r="2316">
      <c r="A2316" s="40">
        <f t="array" ref="A2316">IFNA(index(PlayerValues!A:A,match(IFNA(vlookup(B2316,'Special Names'!A:B,2,FALSE),B2316),PlayerValues!E:E,0)),"N/A")</f>
        <v>14143</v>
      </c>
      <c r="B2316" s="4" t="s">
        <v>635</v>
      </c>
      <c r="C2316" s="4" t="s">
        <v>298</v>
      </c>
      <c r="D2316" s="94">
        <v>2080.0</v>
      </c>
    </row>
    <row r="2317">
      <c r="A2317" s="40">
        <f t="array" ref="A2317">IFNA(index(PlayerValues!A:A,match(IFNA(vlookup(B2317,'Special Names'!A:B,2,FALSE),B2317),PlayerValues!E:E,0)),"N/A")</f>
        <v>17607</v>
      </c>
      <c r="B2317" s="4" t="s">
        <v>526</v>
      </c>
      <c r="C2317" s="4" t="s">
        <v>298</v>
      </c>
      <c r="D2317" s="94">
        <v>2078.0</v>
      </c>
    </row>
    <row r="2318">
      <c r="A2318" s="40">
        <f t="array" ref="A2318">IFNA(index(PlayerValues!A:A,match(IFNA(vlookup(B2318,'Special Names'!A:B,2,FALSE),B2318),PlayerValues!E:E,0)),"N/A")</f>
        <v>17567</v>
      </c>
      <c r="B2318" s="4" t="s">
        <v>571</v>
      </c>
      <c r="C2318" s="4" t="s">
        <v>298</v>
      </c>
      <c r="D2318" s="94">
        <v>2078.0</v>
      </c>
    </row>
    <row r="2319">
      <c r="A2319" s="40">
        <f t="array" ref="A2319">IFNA(index(PlayerValues!A:A,match(IFNA(vlookup(B2319,'Special Names'!A:B,2,FALSE),B2319),PlayerValues!E:E,0)),"N/A")</f>
        <v>16585</v>
      </c>
      <c r="B2319" s="4" t="s">
        <v>623</v>
      </c>
      <c r="C2319" s="4" t="s">
        <v>283</v>
      </c>
      <c r="D2319" s="94">
        <v>1695.0</v>
      </c>
    </row>
    <row r="2320">
      <c r="A2320" s="40">
        <f t="array" ref="A2320">IFNA(index(PlayerValues!A:A,match(IFNA(vlookup(B2320,'Special Names'!A:B,2,FALSE),B2320),PlayerValues!E:E,0)),"N/A")</f>
        <v>17064</v>
      </c>
      <c r="B2320" s="4" t="s">
        <v>631</v>
      </c>
      <c r="C2320" s="4" t="s">
        <v>278</v>
      </c>
      <c r="D2320" s="94">
        <v>1682.0</v>
      </c>
    </row>
    <row r="2321">
      <c r="A2321" s="40" t="str">
        <f t="array" ref="A2321">IFNA(index(PlayerValues!A:A,match(IFNA(vlookup(B2321,'Special Names'!A:B,2,FALSE),B2321),PlayerValues!E:E,0)),"N/A")</f>
        <v>N/A</v>
      </c>
      <c r="B2321" s="4" t="s">
        <v>103</v>
      </c>
      <c r="C2321" s="4" t="s">
        <v>325</v>
      </c>
      <c r="D2321" s="94">
        <v>1674.0</v>
      </c>
    </row>
    <row r="2322">
      <c r="A2322" s="40">
        <f t="array" ref="A2322">IFNA(index(PlayerValues!A:A,match(IFNA(vlookup(B2322,'Special Names'!A:B,2,FALSE),B2322),PlayerValues!E:E,0)),"N/A")</f>
        <v>17058</v>
      </c>
      <c r="B2322" s="4" t="s">
        <v>641</v>
      </c>
      <c r="C2322" s="4" t="s">
        <v>278</v>
      </c>
      <c r="D2322" s="94">
        <v>1665.0</v>
      </c>
    </row>
    <row r="2323">
      <c r="A2323" s="40">
        <f t="array" ref="A2323">IFNA(index(PlayerValues!A:A,match(IFNA(vlookup(B2323,'Special Names'!A:B,2,FALSE),B2323),PlayerValues!E:E,0)),"N/A")</f>
        <v>17096</v>
      </c>
      <c r="B2323" s="4" t="s">
        <v>638</v>
      </c>
      <c r="C2323" s="4" t="s">
        <v>287</v>
      </c>
      <c r="D2323" s="94">
        <v>1656.0</v>
      </c>
    </row>
    <row r="2324">
      <c r="A2324" s="40">
        <f t="array" ref="A2324">IFNA(index(PlayerValues!A:A,match(IFNA(vlookup(B2324,'Special Names'!A:B,2,FALSE),B2324),PlayerValues!E:E,0)),"N/A")</f>
        <v>16635</v>
      </c>
      <c r="B2324" s="4" t="s">
        <v>645</v>
      </c>
      <c r="C2324" s="4" t="s">
        <v>287</v>
      </c>
      <c r="D2324" s="94">
        <v>1644.0</v>
      </c>
    </row>
    <row r="2325">
      <c r="A2325" s="40">
        <f t="array" ref="A2325">IFNA(index(PlayerValues!A:A,match(IFNA(vlookup(B2325,'Special Names'!A:B,2,FALSE),B2325),PlayerValues!E:E,0)),"N/A")</f>
        <v>16207</v>
      </c>
      <c r="B2325" s="4" t="s">
        <v>636</v>
      </c>
      <c r="C2325" s="4" t="s">
        <v>287</v>
      </c>
      <c r="D2325" s="94">
        <v>1643.0</v>
      </c>
    </row>
    <row r="2326">
      <c r="A2326" s="40" t="str">
        <f t="array" ref="A2326">IFNA(index(PlayerValues!A:A,match(IFNA(vlookup(B2326,'Special Names'!A:B,2,FALSE),B2326),PlayerValues!E:E,0)),"N/A")</f>
        <v>N/A</v>
      </c>
      <c r="B2326" s="4" t="s">
        <v>115</v>
      </c>
      <c r="C2326" s="4" t="s">
        <v>325</v>
      </c>
      <c r="D2326" s="94">
        <v>1642.0</v>
      </c>
    </row>
    <row r="2327">
      <c r="A2327" s="40">
        <f t="array" ref="A2327">IFNA(index(PlayerValues!A:A,match(IFNA(vlookup(B2327,'Special Names'!A:B,2,FALSE),B2327),PlayerValues!E:E,0)),"N/A")</f>
        <v>17465</v>
      </c>
      <c r="B2327" s="4" t="s">
        <v>649</v>
      </c>
      <c r="C2327" s="4" t="s">
        <v>283</v>
      </c>
      <c r="D2327" s="94">
        <v>1639.0</v>
      </c>
    </row>
    <row r="2328">
      <c r="A2328" s="40">
        <f t="array" ref="A2328">IFNA(index(PlayerValues!A:A,match(IFNA(vlookup(B2328,'Special Names'!A:B,2,FALSE),B2328),PlayerValues!E:E,0)),"N/A")</f>
        <v>15755</v>
      </c>
      <c r="B2328" s="4" t="s">
        <v>628</v>
      </c>
      <c r="C2328" s="4" t="s">
        <v>287</v>
      </c>
      <c r="D2328" s="94">
        <v>1628.0</v>
      </c>
    </row>
    <row r="2329">
      <c r="A2329" s="40" t="str">
        <f t="array" ref="A2329">IFNA(index(PlayerValues!A:A,match(IFNA(vlookup(B2329,'Special Names'!A:B,2,FALSE),B2329),PlayerValues!E:E,0)),"N/A")</f>
        <v>N/A</v>
      </c>
      <c r="B2329" s="4" t="s">
        <v>90</v>
      </c>
      <c r="C2329" s="4" t="s">
        <v>325</v>
      </c>
      <c r="D2329" s="94">
        <v>1625.0</v>
      </c>
    </row>
    <row r="2330">
      <c r="A2330" s="40">
        <f t="array" ref="A2330">IFNA(index(PlayerValues!A:A,match(IFNA(vlookup(B2330,'Special Names'!A:B,2,FALSE),B2330),PlayerValues!E:E,0)),"N/A")</f>
        <v>14105</v>
      </c>
      <c r="B2330" s="4" t="s">
        <v>675</v>
      </c>
      <c r="C2330" s="4" t="s">
        <v>287</v>
      </c>
      <c r="D2330" s="94">
        <v>1620.0</v>
      </c>
    </row>
    <row r="2331">
      <c r="A2331" s="40">
        <f t="array" ref="A2331">IFNA(index(PlayerValues!A:A,match(IFNA(vlookup(B2331,'Special Names'!A:B,2,FALSE),B2331),PlayerValues!E:E,0)),"N/A")</f>
        <v>16201</v>
      </c>
      <c r="B2331" s="4" t="s">
        <v>589</v>
      </c>
      <c r="C2331" s="4" t="s">
        <v>287</v>
      </c>
      <c r="D2331" s="94">
        <v>1617.0</v>
      </c>
    </row>
    <row r="2332">
      <c r="A2332" s="40">
        <f t="array" ref="A2332">IFNA(index(PlayerValues!A:A,match(IFNA(vlookup(B2332,'Special Names'!A:B,2,FALSE),B2332),PlayerValues!E:E,0)),"N/A")</f>
        <v>16601</v>
      </c>
      <c r="B2332" s="4" t="s">
        <v>648</v>
      </c>
      <c r="C2332" s="4" t="s">
        <v>278</v>
      </c>
      <c r="D2332" s="94">
        <v>1608.0</v>
      </c>
    </row>
    <row r="2333">
      <c r="A2333" s="40">
        <f t="array" ref="A2333">IFNA(index(PlayerValues!A:A,match(IFNA(vlookup(B2333,'Special Names'!A:B,2,FALSE),B2333),PlayerValues!E:E,0)),"N/A")</f>
        <v>16586</v>
      </c>
      <c r="B2333" s="4" t="s">
        <v>658</v>
      </c>
      <c r="C2333" s="4" t="s">
        <v>283</v>
      </c>
      <c r="D2333" s="94">
        <v>1582.0</v>
      </c>
    </row>
    <row r="2334">
      <c r="A2334" s="40" t="str">
        <f t="array" ref="A2334">IFNA(index(PlayerValues!A:A,match(IFNA(vlookup(B2334,'Special Names'!A:B,2,FALSE),B2334),PlayerValues!E:E,0)),"N/A")</f>
        <v>N/A</v>
      </c>
      <c r="B2334" s="4" t="s">
        <v>116</v>
      </c>
      <c r="C2334" s="4" t="s">
        <v>325</v>
      </c>
      <c r="D2334" s="94">
        <v>1576.0</v>
      </c>
    </row>
    <row r="2335">
      <c r="A2335" s="40">
        <f t="array" ref="A2335">IFNA(index(PlayerValues!A:A,match(IFNA(vlookup(B2335,'Special Names'!A:B,2,FALSE),B2335),PlayerValues!E:E,0)),"N/A")</f>
        <v>16629</v>
      </c>
      <c r="B2335" s="4" t="s">
        <v>605</v>
      </c>
      <c r="C2335" s="4" t="s">
        <v>287</v>
      </c>
      <c r="D2335" s="94">
        <v>1567.0</v>
      </c>
    </row>
    <row r="2336">
      <c r="A2336" s="40">
        <f t="array" ref="A2336">IFNA(index(PlayerValues!A:A,match(IFNA(vlookup(B2336,'Special Names'!A:B,2,FALSE),B2336),PlayerValues!E:E,0)),"N/A")</f>
        <v>15301</v>
      </c>
      <c r="B2336" s="4" t="s">
        <v>657</v>
      </c>
      <c r="C2336" s="4" t="s">
        <v>287</v>
      </c>
      <c r="D2336" s="94">
        <v>1561.0</v>
      </c>
    </row>
    <row r="2337">
      <c r="A2337" s="40" t="str">
        <f t="array" ref="A2337">IFNA(index(PlayerValues!A:A,match(IFNA(vlookup(B2337,'Special Names'!A:B,2,FALSE),B2337),PlayerValues!E:E,0)),"N/A")</f>
        <v>N/A</v>
      </c>
      <c r="B2337" s="4" t="s">
        <v>91</v>
      </c>
      <c r="C2337" s="4" t="s">
        <v>325</v>
      </c>
      <c r="D2337" s="94">
        <v>1560.0</v>
      </c>
    </row>
    <row r="2338">
      <c r="A2338" s="40">
        <f t="array" ref="A2338">IFNA(index(PlayerValues!A:A,match(IFNA(vlookup(B2338,'Special Names'!A:B,2,FALSE),B2338),PlayerValues!E:E,0)),"N/A")</f>
        <v>16633</v>
      </c>
      <c r="B2338" s="4" t="s">
        <v>656</v>
      </c>
      <c r="C2338" s="4" t="s">
        <v>287</v>
      </c>
      <c r="D2338" s="94">
        <v>1560.0</v>
      </c>
    </row>
    <row r="2339">
      <c r="A2339" s="40">
        <f t="array" ref="A2339">IFNA(index(PlayerValues!A:A,match(IFNA(vlookup(B2339,'Special Names'!A:B,2,FALSE),B2339),PlayerValues!E:E,0)),"N/A")</f>
        <v>15254</v>
      </c>
      <c r="B2339" s="4" t="s">
        <v>633</v>
      </c>
      <c r="C2339" s="4" t="s">
        <v>278</v>
      </c>
      <c r="D2339" s="94">
        <v>1557.0</v>
      </c>
    </row>
    <row r="2340">
      <c r="A2340" s="40">
        <f t="array" ref="A2340">IFNA(index(PlayerValues!A:A,match(IFNA(vlookup(B2340,'Special Names'!A:B,2,FALSE),B2340),PlayerValues!E:E,0)),"N/A")</f>
        <v>15319</v>
      </c>
      <c r="B2340" s="4" t="s">
        <v>644</v>
      </c>
      <c r="C2340" s="4" t="s">
        <v>287</v>
      </c>
      <c r="D2340" s="94">
        <v>1546.0</v>
      </c>
    </row>
    <row r="2341">
      <c r="A2341" s="40">
        <f t="array" ref="A2341">IFNA(index(PlayerValues!A:A,match(IFNA(vlookup(B2341,'Special Names'!A:B,2,FALSE),B2341),PlayerValues!E:E,0)),"N/A")</f>
        <v>17529</v>
      </c>
      <c r="B2341" s="4" t="s">
        <v>608</v>
      </c>
      <c r="C2341" s="4" t="s">
        <v>287</v>
      </c>
      <c r="D2341" s="94">
        <v>1545.0</v>
      </c>
    </row>
    <row r="2342">
      <c r="A2342" s="40">
        <f t="array" ref="A2342">IFNA(index(PlayerValues!A:A,match(IFNA(vlookup(B2342,'Special Names'!A:B,2,FALSE),B2342),PlayerValues!E:E,0)),"N/A")</f>
        <v>17234</v>
      </c>
      <c r="B2342" s="4" t="s">
        <v>653</v>
      </c>
      <c r="C2342" s="4" t="s">
        <v>287</v>
      </c>
      <c r="D2342" s="94">
        <v>1539.0</v>
      </c>
    </row>
    <row r="2343">
      <c r="A2343" s="40">
        <f t="array" ref="A2343">IFNA(index(PlayerValues!A:A,match(IFNA(vlookup(B2343,'Special Names'!A:B,2,FALSE),B2343),PlayerValues!E:E,0)),"N/A")</f>
        <v>15713</v>
      </c>
      <c r="B2343" s="4" t="s">
        <v>732</v>
      </c>
      <c r="C2343" s="4" t="s">
        <v>278</v>
      </c>
      <c r="D2343" s="94">
        <v>1515.0</v>
      </c>
    </row>
    <row r="2344">
      <c r="A2344" s="40">
        <f t="array" ref="A2344">IFNA(index(PlayerValues!A:A,match(IFNA(vlookup(B2344,'Special Names'!A:B,2,FALSE),B2344),PlayerValues!E:E,0)),"N/A")</f>
        <v>17205</v>
      </c>
      <c r="B2344" s="4" t="s">
        <v>665</v>
      </c>
      <c r="C2344" s="4" t="s">
        <v>287</v>
      </c>
      <c r="D2344" s="94">
        <v>1514.0</v>
      </c>
    </row>
    <row r="2345">
      <c r="A2345" s="40">
        <f t="array" ref="A2345">IFNA(index(PlayerValues!A:A,match(IFNA(vlookup(B2345,'Special Names'!A:B,2,FALSE),B2345),PlayerValues!E:E,0)),"N/A")</f>
        <v>14122</v>
      </c>
      <c r="B2345" s="4" t="s">
        <v>663</v>
      </c>
      <c r="C2345" s="4" t="s">
        <v>287</v>
      </c>
      <c r="D2345" s="94">
        <v>1505.0</v>
      </c>
    </row>
    <row r="2346">
      <c r="A2346" s="40">
        <f t="array" ref="A2346">IFNA(index(PlayerValues!A:A,match(IFNA(vlookup(B2346,'Special Names'!A:B,2,FALSE),B2346),PlayerValues!E:E,0)),"N/A")</f>
        <v>15337</v>
      </c>
      <c r="B2346" s="4" t="s">
        <v>655</v>
      </c>
      <c r="C2346" s="4" t="s">
        <v>298</v>
      </c>
      <c r="D2346" s="94">
        <v>1868.0</v>
      </c>
    </row>
    <row r="2347">
      <c r="A2347" s="40">
        <f t="array" ref="A2347">IFNA(index(PlayerValues!A:A,match(IFNA(vlookup(B2347,'Special Names'!A:B,2,FALSE),B2347),PlayerValues!E:E,0)),"N/A")</f>
        <v>16595</v>
      </c>
      <c r="B2347" s="4" t="s">
        <v>664</v>
      </c>
      <c r="C2347" s="4" t="s">
        <v>278</v>
      </c>
      <c r="D2347" s="94">
        <v>1494.0</v>
      </c>
    </row>
    <row r="2348">
      <c r="A2348" s="40">
        <f t="array" ref="A2348">IFNA(index(PlayerValues!A:A,match(IFNA(vlookup(B2348,'Special Names'!A:B,2,FALSE),B2348),PlayerValues!E:E,0)),"N/A")</f>
        <v>16688</v>
      </c>
      <c r="B2348" s="4" t="s">
        <v>688</v>
      </c>
      <c r="C2348" s="4" t="s">
        <v>278</v>
      </c>
      <c r="D2348" s="94">
        <v>1494.0</v>
      </c>
    </row>
    <row r="2349">
      <c r="A2349" s="40">
        <f t="array" ref="A2349">IFNA(index(PlayerValues!A:A,match(IFNA(vlookup(B2349,'Special Names'!A:B,2,FALSE),B2349),PlayerValues!E:E,0)),"N/A")</f>
        <v>16175</v>
      </c>
      <c r="B2349" s="4" t="s">
        <v>654</v>
      </c>
      <c r="C2349" s="4" t="s">
        <v>278</v>
      </c>
      <c r="D2349" s="94">
        <v>1486.0</v>
      </c>
    </row>
    <row r="2350">
      <c r="A2350" s="40">
        <f t="array" ref="A2350">IFNA(index(PlayerValues!A:A,match(IFNA(vlookup(B2350,'Special Names'!A:B,2,FALSE),B2350),PlayerValues!E:E,0)),"N/A")</f>
        <v>17054</v>
      </c>
      <c r="B2350" s="4" t="s">
        <v>670</v>
      </c>
      <c r="C2350" s="4" t="s">
        <v>278</v>
      </c>
      <c r="D2350" s="94">
        <v>1477.0</v>
      </c>
    </row>
    <row r="2351">
      <c r="A2351" s="40">
        <f t="array" ref="A2351">IFNA(index(PlayerValues!A:A,match(IFNA(vlookup(B2351,'Special Names'!A:B,2,FALSE),B2351),PlayerValues!E:E,0)),"N/A")</f>
        <v>15752</v>
      </c>
      <c r="B2351" s="4" t="s">
        <v>647</v>
      </c>
      <c r="C2351" s="4" t="s">
        <v>287</v>
      </c>
      <c r="D2351" s="94">
        <v>1468.0</v>
      </c>
    </row>
    <row r="2352">
      <c r="A2352" s="40">
        <f t="array" ref="A2352">IFNA(index(PlayerValues!A:A,match(IFNA(vlookup(B2352,'Special Names'!A:B,2,FALSE),B2352),PlayerValues!E:E,0)),"N/A")</f>
        <v>13672</v>
      </c>
      <c r="B2352" s="4" t="s">
        <v>667</v>
      </c>
      <c r="C2352" s="4" t="s">
        <v>298</v>
      </c>
      <c r="D2352" s="94">
        <v>1834.0</v>
      </c>
    </row>
    <row r="2353">
      <c r="A2353" s="40">
        <f t="array" ref="A2353">IFNA(index(PlayerValues!A:A,match(IFNA(vlookup(B2353,'Special Names'!A:B,2,FALSE),B2353),PlayerValues!E:E,0)),"N/A")</f>
        <v>16788</v>
      </c>
      <c r="B2353" s="4" t="s">
        <v>621</v>
      </c>
      <c r="C2353" s="4" t="s">
        <v>287</v>
      </c>
      <c r="D2353" s="94">
        <v>1452.0</v>
      </c>
    </row>
    <row r="2354">
      <c r="A2354" s="40">
        <f t="array" ref="A2354">IFNA(index(PlayerValues!A:A,match(IFNA(vlookup(B2354,'Special Names'!A:B,2,FALSE),B2354),PlayerValues!E:E,0)),"N/A")</f>
        <v>15873</v>
      </c>
      <c r="B2354" s="4" t="s">
        <v>681</v>
      </c>
      <c r="C2354" s="4" t="s">
        <v>298</v>
      </c>
      <c r="D2354" s="94">
        <v>1810.0</v>
      </c>
    </row>
    <row r="2355">
      <c r="A2355" s="40">
        <f t="array" ref="A2355">IFNA(index(PlayerValues!A:A,match(IFNA(vlookup(B2355,'Special Names'!A:B,2,FALSE),B2355),PlayerValues!E:E,0)),"N/A")</f>
        <v>15759</v>
      </c>
      <c r="B2355" s="4" t="s">
        <v>662</v>
      </c>
      <c r="C2355" s="4" t="s">
        <v>287</v>
      </c>
      <c r="D2355" s="94">
        <v>1433.0</v>
      </c>
    </row>
    <row r="2356">
      <c r="A2356" s="40">
        <f t="array" ref="A2356">IFNA(index(PlayerValues!A:A,match(IFNA(vlookup(B2356,'Special Names'!A:B,2,FALSE),B2356),PlayerValues!E:E,0)),"N/A")</f>
        <v>15777</v>
      </c>
      <c r="B2356" s="4" t="s">
        <v>694</v>
      </c>
      <c r="C2356" s="4" t="s">
        <v>287</v>
      </c>
      <c r="D2356" s="94">
        <v>1422.0</v>
      </c>
    </row>
    <row r="2357">
      <c r="A2357" s="40">
        <f t="array" ref="A2357">IFNA(index(PlayerValues!A:A,match(IFNA(vlookup(B2357,'Special Names'!A:B,2,FALSE),B2357),PlayerValues!E:E,0)),"N/A")</f>
        <v>16390</v>
      </c>
      <c r="B2357" s="4" t="s">
        <v>689</v>
      </c>
      <c r="C2357" s="4" t="s">
        <v>278</v>
      </c>
      <c r="D2357" s="94">
        <v>1418.0</v>
      </c>
    </row>
    <row r="2358">
      <c r="A2358" s="40">
        <f t="array" ref="A2358">IFNA(index(PlayerValues!A:A,match(IFNA(vlookup(B2358,'Special Names'!A:B,2,FALSE),B2358),PlayerValues!E:E,0)),"N/A")</f>
        <v>17519</v>
      </c>
      <c r="B2358" s="4" t="s">
        <v>593</v>
      </c>
      <c r="C2358" s="4" t="s">
        <v>287</v>
      </c>
      <c r="D2358" s="94">
        <v>1417.0</v>
      </c>
    </row>
    <row r="2359">
      <c r="A2359" s="40">
        <f t="array" ref="A2359">IFNA(index(PlayerValues!A:A,match(IFNA(vlookup(B2359,'Special Names'!A:B,2,FALSE),B2359),PlayerValues!E:E,0)),"N/A")</f>
        <v>16621</v>
      </c>
      <c r="B2359" s="4" t="s">
        <v>672</v>
      </c>
      <c r="C2359" s="4" t="s">
        <v>287</v>
      </c>
      <c r="D2359" s="94">
        <v>1411.0</v>
      </c>
    </row>
    <row r="2360">
      <c r="A2360" s="40">
        <f t="array" ref="A2360">IFNA(index(PlayerValues!A:A,match(IFNA(vlookup(B2360,'Special Names'!A:B,2,FALSE),B2360),PlayerValues!E:E,0)),"N/A")</f>
        <v>14137</v>
      </c>
      <c r="B2360" s="4" t="s">
        <v>676</v>
      </c>
      <c r="C2360" s="4" t="s">
        <v>298</v>
      </c>
      <c r="D2360" s="94">
        <v>1774.0</v>
      </c>
    </row>
    <row r="2361">
      <c r="A2361" s="40">
        <f t="array" ref="A2361">IFNA(index(PlayerValues!A:A,match(IFNA(vlookup(B2361,'Special Names'!A:B,2,FALSE),B2361),PlayerValues!E:E,0)),"N/A")</f>
        <v>17521</v>
      </c>
      <c r="B2361" s="4" t="s">
        <v>573</v>
      </c>
      <c r="C2361" s="4" t="s">
        <v>287</v>
      </c>
      <c r="D2361" s="94">
        <v>1397.0</v>
      </c>
    </row>
    <row r="2362">
      <c r="A2362" s="40">
        <f t="array" ref="A2362">IFNA(index(PlayerValues!A:A,match(IFNA(vlookup(B2362,'Special Names'!A:B,2,FALSE),B2362),PlayerValues!E:E,0)),"N/A")</f>
        <v>15738</v>
      </c>
      <c r="B2362" s="4" t="s">
        <v>634</v>
      </c>
      <c r="C2362" s="4" t="s">
        <v>278</v>
      </c>
      <c r="D2362" s="94">
        <v>1396.0</v>
      </c>
    </row>
    <row r="2363">
      <c r="A2363" s="40">
        <f t="array" ref="A2363">IFNA(index(PlayerValues!A:A,match(IFNA(vlookup(B2363,'Special Names'!A:B,2,FALSE),B2363),PlayerValues!E:E,0)),"N/A")</f>
        <v>16387</v>
      </c>
      <c r="B2363" s="4" t="s">
        <v>646</v>
      </c>
      <c r="C2363" s="4" t="s">
        <v>278</v>
      </c>
      <c r="D2363" s="94">
        <v>1396.0</v>
      </c>
    </row>
    <row r="2364">
      <c r="A2364" s="40">
        <f t="array" ref="A2364">IFNA(index(PlayerValues!A:A,match(IFNA(vlookup(B2364,'Special Names'!A:B,2,FALSE),B2364),PlayerValues!E:E,0)),"N/A")</f>
        <v>16631</v>
      </c>
      <c r="B2364" s="4" t="s">
        <v>800</v>
      </c>
      <c r="C2364" s="4" t="s">
        <v>287</v>
      </c>
      <c r="D2364" s="94">
        <v>1396.0</v>
      </c>
    </row>
    <row r="2365">
      <c r="A2365" s="40">
        <f t="array" ref="A2365">IFNA(index(PlayerValues!A:A,match(IFNA(vlookup(B2365,'Special Names'!A:B,2,FALSE),B2365),PlayerValues!E:E,0)),"N/A")</f>
        <v>16642</v>
      </c>
      <c r="B2365" s="4" t="s">
        <v>691</v>
      </c>
      <c r="C2365" s="4" t="s">
        <v>298</v>
      </c>
      <c r="D2365" s="94">
        <v>1765.0</v>
      </c>
    </row>
    <row r="2366">
      <c r="A2366" s="40">
        <f t="array" ref="A2366">IFNA(index(PlayerValues!A:A,match(IFNA(vlookup(B2366,'Special Names'!A:B,2,FALSE),B2366),PlayerValues!E:E,0)),"N/A")</f>
        <v>16384</v>
      </c>
      <c r="B2366" s="4" t="s">
        <v>696</v>
      </c>
      <c r="C2366" s="4" t="s">
        <v>283</v>
      </c>
      <c r="D2366" s="94">
        <v>1388.0</v>
      </c>
    </row>
    <row r="2367">
      <c r="A2367" s="40">
        <f t="array" ref="A2367">IFNA(index(PlayerValues!A:A,match(IFNA(vlookup(B2367,'Special Names'!A:B,2,FALSE),B2367),PlayerValues!E:E,0)),"N/A")</f>
        <v>16608</v>
      </c>
      <c r="B2367" s="4" t="s">
        <v>629</v>
      </c>
      <c r="C2367" s="4" t="s">
        <v>278</v>
      </c>
      <c r="D2367" s="94">
        <v>1373.0</v>
      </c>
    </row>
    <row r="2368">
      <c r="A2368" s="40">
        <f t="array" ref="A2368">IFNA(index(PlayerValues!A:A,match(IFNA(vlookup(B2368,'Special Names'!A:B,2,FALSE),B2368),PlayerValues!E:E,0)),"N/A")</f>
        <v>16792</v>
      </c>
      <c r="B2368" s="4" t="s">
        <v>704</v>
      </c>
      <c r="C2368" s="4" t="s">
        <v>287</v>
      </c>
      <c r="D2368" s="94">
        <v>1367.0</v>
      </c>
    </row>
    <row r="2369">
      <c r="A2369" s="40">
        <f t="array" ref="A2369">IFNA(index(PlayerValues!A:A,match(IFNA(vlookup(B2369,'Special Names'!A:B,2,FALSE),B2369),PlayerValues!E:E,0)),"N/A")</f>
        <v>17599</v>
      </c>
      <c r="B2369" s="4" t="s">
        <v>496</v>
      </c>
      <c r="C2369" s="4" t="s">
        <v>287</v>
      </c>
      <c r="D2369" s="94">
        <v>1361.0</v>
      </c>
    </row>
    <row r="2370">
      <c r="A2370" s="40">
        <f t="array" ref="A2370">IFNA(index(PlayerValues!A:A,match(IFNA(vlookup(B2370,'Special Names'!A:B,2,FALSE),B2370),PlayerValues!E:E,0)),"N/A")</f>
        <v>14086</v>
      </c>
      <c r="B2370" s="4" t="s">
        <v>639</v>
      </c>
      <c r="C2370" s="4" t="s">
        <v>278</v>
      </c>
      <c r="D2370" s="94">
        <v>1351.0</v>
      </c>
    </row>
    <row r="2371">
      <c r="A2371" s="40">
        <f t="array" ref="A2371">IFNA(index(PlayerValues!A:A,match(IFNA(vlookup(B2371,'Special Names'!A:B,2,FALSE),B2371),PlayerValues!E:E,0)),"N/A")</f>
        <v>15292</v>
      </c>
      <c r="B2371" s="4" t="s">
        <v>682</v>
      </c>
      <c r="C2371" s="4" t="s">
        <v>287</v>
      </c>
      <c r="D2371" s="94">
        <v>1347.0</v>
      </c>
    </row>
    <row r="2372">
      <c r="A2372" s="40">
        <f t="array" ref="A2372">IFNA(index(PlayerValues!A:A,match(IFNA(vlookup(B2372,'Special Names'!A:B,2,FALSE),B2372),PlayerValues!E:E,0)),"N/A")</f>
        <v>17037</v>
      </c>
      <c r="B2372" s="4" t="s">
        <v>727</v>
      </c>
      <c r="C2372" s="4" t="s">
        <v>283</v>
      </c>
      <c r="D2372" s="94">
        <v>1318.0</v>
      </c>
    </row>
    <row r="2373">
      <c r="A2373" s="40">
        <f t="array" ref="A2373">IFNA(index(PlayerValues!A:A,match(IFNA(vlookup(B2373,'Special Names'!A:B,2,FALSE),B2373),PlayerValues!E:E,0)),"N/A")</f>
        <v>17685</v>
      </c>
      <c r="B2373" s="4" t="s">
        <v>630</v>
      </c>
      <c r="C2373" s="4" t="s">
        <v>278</v>
      </c>
      <c r="D2373" s="94">
        <v>1316.0</v>
      </c>
    </row>
    <row r="2374">
      <c r="A2374" s="40">
        <f t="array" ref="A2374">IFNA(index(PlayerValues!A:A,match(IFNA(vlookup(B2374,'Special Names'!A:B,2,FALSE),B2374),PlayerValues!E:E,0)),"N/A")</f>
        <v>12140</v>
      </c>
      <c r="B2374" s="4" t="s">
        <v>702</v>
      </c>
      <c r="C2374" s="4" t="s">
        <v>283</v>
      </c>
      <c r="D2374" s="94">
        <v>1312.0</v>
      </c>
    </row>
    <row r="2375">
      <c r="A2375" s="40">
        <f t="array" ref="A2375">IFNA(index(PlayerValues!A:A,match(IFNA(vlookup(B2375,'Special Names'!A:B,2,FALSE),B2375),PlayerValues!E:E,0)),"N/A")</f>
        <v>17254</v>
      </c>
      <c r="B2375" s="4" t="s">
        <v>679</v>
      </c>
      <c r="C2375" s="4" t="s">
        <v>287</v>
      </c>
      <c r="D2375" s="94">
        <v>1309.0</v>
      </c>
    </row>
    <row r="2376">
      <c r="A2376" s="40">
        <f t="array" ref="A2376">IFNA(index(PlayerValues!A:A,match(IFNA(vlookup(B2376,'Special Names'!A:B,2,FALSE),B2376),PlayerValues!E:E,0)),"N/A")</f>
        <v>17062</v>
      </c>
      <c r="B2376" s="4" t="s">
        <v>701</v>
      </c>
      <c r="C2376" s="4" t="s">
        <v>278</v>
      </c>
      <c r="D2376" s="94">
        <v>1302.0</v>
      </c>
    </row>
    <row r="2377">
      <c r="A2377" s="40">
        <f t="array" ref="A2377">IFNA(index(PlayerValues!A:A,match(IFNA(vlookup(B2377,'Special Names'!A:B,2,FALSE),B2377),PlayerValues!E:E,0)),"N/A")</f>
        <v>12678</v>
      </c>
      <c r="B2377" s="4" t="s">
        <v>703</v>
      </c>
      <c r="C2377" s="4" t="s">
        <v>298</v>
      </c>
      <c r="D2377" s="94">
        <v>1653.0</v>
      </c>
    </row>
    <row r="2378">
      <c r="A2378" s="40">
        <f t="array" ref="A2378">IFNA(index(PlayerValues!A:A,match(IFNA(vlookup(B2378,'Special Names'!A:B,2,FALSE),B2378),PlayerValues!E:E,0)),"N/A")</f>
        <v>13418</v>
      </c>
      <c r="B2378" s="4" t="s">
        <v>706</v>
      </c>
      <c r="C2378" s="4" t="s">
        <v>287</v>
      </c>
      <c r="D2378" s="94">
        <v>1275.0</v>
      </c>
    </row>
    <row r="2379">
      <c r="A2379" s="40">
        <f t="array" ref="A2379">IFNA(index(PlayerValues!A:A,match(IFNA(vlookup(B2379,'Special Names'!A:B,2,FALSE),B2379),PlayerValues!E:E,0)),"N/A")</f>
        <v>15252</v>
      </c>
      <c r="B2379" s="4" t="s">
        <v>715</v>
      </c>
      <c r="C2379" s="4" t="s">
        <v>283</v>
      </c>
      <c r="D2379" s="94">
        <v>1270.0</v>
      </c>
    </row>
    <row r="2380">
      <c r="A2380" s="40" t="str">
        <f t="array" ref="A2380">IFNA(index(PlayerValues!A:A,match(IFNA(vlookup(B2380,'Special Names'!A:B,2,FALSE),B2380),PlayerValues!E:E,0)),"N/A")</f>
        <v>N/A</v>
      </c>
      <c r="B2380" s="4" t="s">
        <v>117</v>
      </c>
      <c r="C2380" s="4" t="s">
        <v>325</v>
      </c>
      <c r="D2380" s="94">
        <v>1261.0</v>
      </c>
    </row>
    <row r="2381">
      <c r="A2381" s="40">
        <f t="array" ref="A2381">IFNA(index(PlayerValues!A:A,match(IFNA(vlookup(B2381,'Special Names'!A:B,2,FALSE),B2381),PlayerValues!E:E,0)),"N/A")</f>
        <v>12141</v>
      </c>
      <c r="B2381" s="4" t="s">
        <v>744</v>
      </c>
      <c r="C2381" s="4" t="s">
        <v>283</v>
      </c>
      <c r="D2381" s="94">
        <v>1257.0</v>
      </c>
    </row>
    <row r="2382">
      <c r="A2382" s="40">
        <f t="array" ref="A2382">IFNA(index(PlayerValues!A:A,match(IFNA(vlookup(B2382,'Special Names'!A:B,2,FALSE),B2382),PlayerValues!E:E,0)),"N/A")</f>
        <v>16645</v>
      </c>
      <c r="B2382" s="4" t="s">
        <v>651</v>
      </c>
      <c r="C2382" s="4" t="s">
        <v>298</v>
      </c>
      <c r="D2382" s="94">
        <v>1624.0</v>
      </c>
    </row>
    <row r="2383">
      <c r="A2383" s="40">
        <f t="array" ref="A2383">IFNA(index(PlayerValues!A:A,match(IFNA(vlookup(B2383,'Special Names'!A:B,2,FALSE),B2383),PlayerValues!E:E,0)),"N/A")</f>
        <v>14592</v>
      </c>
      <c r="B2383" s="4" t="s">
        <v>705</v>
      </c>
      <c r="C2383" s="4" t="s">
        <v>287</v>
      </c>
      <c r="D2383" s="94">
        <v>1256.0</v>
      </c>
    </row>
    <row r="2384">
      <c r="A2384" s="40">
        <f t="array" ref="A2384">IFNA(index(PlayerValues!A:A,match(IFNA(vlookup(B2384,'Special Names'!A:B,2,FALSE),B2384),PlayerValues!E:E,0)),"N/A")</f>
        <v>14080</v>
      </c>
      <c r="B2384" s="4" t="s">
        <v>716</v>
      </c>
      <c r="C2384" s="4" t="s">
        <v>278</v>
      </c>
      <c r="D2384" s="94">
        <v>1246.0</v>
      </c>
    </row>
    <row r="2385">
      <c r="A2385" s="40">
        <f t="array" ref="A2385">IFNA(index(PlayerValues!A:A,match(IFNA(vlookup(B2385,'Special Names'!A:B,2,FALSE),B2385),PlayerValues!E:E,0)),"N/A")</f>
        <v>15332</v>
      </c>
      <c r="B2385" s="4" t="s">
        <v>698</v>
      </c>
      <c r="C2385" s="4" t="s">
        <v>298</v>
      </c>
      <c r="D2385" s="94">
        <v>1613.0</v>
      </c>
    </row>
    <row r="2386">
      <c r="A2386" s="40">
        <f t="array" ref="A2386">IFNA(index(PlayerValues!A:A,match(IFNA(vlookup(B2386,'Special Names'!A:B,2,FALSE),B2386),PlayerValues!E:E,0)),"N/A")</f>
        <v>14095</v>
      </c>
      <c r="B2386" s="4" t="s">
        <v>680</v>
      </c>
      <c r="C2386" s="4" t="s">
        <v>278</v>
      </c>
      <c r="D2386" s="94">
        <v>1245.0</v>
      </c>
    </row>
    <row r="2387">
      <c r="A2387" s="40">
        <f t="array" ref="A2387">IFNA(index(PlayerValues!A:A,match(IFNA(vlookup(B2387,'Special Names'!A:B,2,FALSE),B2387),PlayerValues!E:E,0)),"N/A")</f>
        <v>16149</v>
      </c>
      <c r="B2387" s="4" t="s">
        <v>740</v>
      </c>
      <c r="C2387" s="4" t="s">
        <v>283</v>
      </c>
      <c r="D2387" s="94">
        <v>1239.0</v>
      </c>
    </row>
    <row r="2388">
      <c r="A2388" s="40">
        <f t="array" ref="A2388">IFNA(index(PlayerValues!A:A,match(IFNA(vlookup(B2388,'Special Names'!A:B,2,FALSE),B2388),PlayerValues!E:E,0)),"N/A")</f>
        <v>11222</v>
      </c>
      <c r="B2388" s="4" t="s">
        <v>622</v>
      </c>
      <c r="C2388" s="4" t="s">
        <v>287</v>
      </c>
      <c r="D2388" s="94">
        <v>1233.0</v>
      </c>
    </row>
    <row r="2389">
      <c r="A2389" s="40">
        <f t="array" ref="A2389">IFNA(index(PlayerValues!A:A,match(IFNA(vlookup(B2389,'Special Names'!A:B,2,FALSE),B2389),PlayerValues!E:E,0)),"N/A")</f>
        <v>15702</v>
      </c>
      <c r="B2389" s="4" t="s">
        <v>723</v>
      </c>
      <c r="C2389" s="4" t="s">
        <v>283</v>
      </c>
      <c r="D2389" s="94">
        <v>1225.0</v>
      </c>
    </row>
    <row r="2390">
      <c r="A2390" s="40">
        <f t="array" ref="A2390">IFNA(index(PlayerValues!A:A,match(IFNA(vlookup(B2390,'Special Names'!A:B,2,FALSE),B2390),PlayerValues!E:E,0)),"N/A")</f>
        <v>16636</v>
      </c>
      <c r="B2390" s="4" t="s">
        <v>699</v>
      </c>
      <c r="C2390" s="4" t="s">
        <v>287</v>
      </c>
      <c r="D2390" s="94">
        <v>1224.0</v>
      </c>
    </row>
    <row r="2391">
      <c r="A2391" s="40">
        <f t="array" ref="A2391">IFNA(index(PlayerValues!A:A,match(IFNA(vlookup(B2391,'Special Names'!A:B,2,FALSE),B2391),PlayerValues!E:E,0)),"N/A")</f>
        <v>17097</v>
      </c>
      <c r="B2391" s="4" t="s">
        <v>659</v>
      </c>
      <c r="C2391" s="4" t="s">
        <v>287</v>
      </c>
      <c r="D2391" s="94">
        <v>1221.0</v>
      </c>
    </row>
    <row r="2392">
      <c r="A2392" s="40">
        <f t="array" ref="A2392">IFNA(index(PlayerValues!A:A,match(IFNA(vlookup(B2392,'Special Names'!A:B,2,FALSE),B2392),PlayerValues!E:E,0)),"N/A")</f>
        <v>17077</v>
      </c>
      <c r="B2392" s="4" t="s">
        <v>714</v>
      </c>
      <c r="C2392" s="4" t="s">
        <v>287</v>
      </c>
      <c r="D2392" s="94">
        <v>1219.0</v>
      </c>
    </row>
    <row r="2393">
      <c r="A2393" s="40">
        <f t="array" ref="A2393">IFNA(index(PlayerValues!A:A,match(IFNA(vlookup(B2393,'Special Names'!A:B,2,FALSE),B2393),PlayerValues!E:E,0)),"N/A")</f>
        <v>16746</v>
      </c>
      <c r="B2393" s="4" t="s">
        <v>709</v>
      </c>
      <c r="C2393" s="4" t="s">
        <v>278</v>
      </c>
      <c r="D2393" s="94">
        <v>1213.0</v>
      </c>
    </row>
    <row r="2394">
      <c r="A2394" s="40">
        <f t="array" ref="A2394">IFNA(index(PlayerValues!A:A,match(IFNA(vlookup(B2394,'Special Names'!A:B,2,FALSE),B2394),PlayerValues!E:E,0)),"N/A")</f>
        <v>16183</v>
      </c>
      <c r="B2394" s="4" t="s">
        <v>678</v>
      </c>
      <c r="C2394" s="4" t="s">
        <v>287</v>
      </c>
      <c r="D2394" s="94">
        <v>1212.0</v>
      </c>
    </row>
    <row r="2395">
      <c r="A2395" s="40">
        <f t="array" ref="A2395">IFNA(index(PlayerValues!A:A,match(IFNA(vlookup(B2395,'Special Names'!A:B,2,FALSE),B2395),PlayerValues!E:E,0)),"N/A")</f>
        <v>14789</v>
      </c>
      <c r="B2395" s="4" t="s">
        <v>721</v>
      </c>
      <c r="C2395" s="4" t="s">
        <v>283</v>
      </c>
      <c r="D2395" s="94">
        <v>1210.0</v>
      </c>
    </row>
    <row r="2396">
      <c r="A2396" s="40">
        <f t="array" ref="A2396">IFNA(index(PlayerValues!A:A,match(IFNA(vlookup(B2396,'Special Names'!A:B,2,FALSE),B2396),PlayerValues!E:E,0)),"N/A")</f>
        <v>16333</v>
      </c>
      <c r="B2396" s="4" t="s">
        <v>711</v>
      </c>
      <c r="C2396" s="4" t="s">
        <v>298</v>
      </c>
      <c r="D2396" s="94">
        <v>1566.0</v>
      </c>
    </row>
    <row r="2397">
      <c r="A2397" s="40">
        <f t="array" ref="A2397">IFNA(index(PlayerValues!A:A,match(IFNA(vlookup(B2397,'Special Names'!A:B,2,FALSE),B2397),PlayerValues!E:E,0)),"N/A")</f>
        <v>17652</v>
      </c>
      <c r="B2397" s="4" t="s">
        <v>576</v>
      </c>
      <c r="C2397" s="4" t="s">
        <v>278</v>
      </c>
      <c r="D2397" s="94">
        <v>1197.0</v>
      </c>
    </row>
    <row r="2398">
      <c r="A2398" s="40">
        <f t="array" ref="A2398">IFNA(index(PlayerValues!A:A,match(IFNA(vlookup(B2398,'Special Names'!A:B,2,FALSE),B2398),PlayerValues!E:E,0)),"N/A")</f>
        <v>16883</v>
      </c>
      <c r="B2398" s="4" t="s">
        <v>683</v>
      </c>
      <c r="C2398" s="4" t="s">
        <v>287</v>
      </c>
      <c r="D2398" s="94">
        <v>1196.0</v>
      </c>
    </row>
    <row r="2399">
      <c r="A2399" s="40">
        <f t="array" ref="A2399">IFNA(index(PlayerValues!A:A,match(IFNA(vlookup(B2399,'Special Names'!A:B,2,FALSE),B2399),PlayerValues!E:E,0)),"N/A")</f>
        <v>17269</v>
      </c>
      <c r="B2399" s="4" t="s">
        <v>718</v>
      </c>
      <c r="C2399" s="4" t="s">
        <v>287</v>
      </c>
      <c r="D2399" s="94">
        <v>1192.0</v>
      </c>
    </row>
    <row r="2400">
      <c r="A2400" s="40">
        <f t="array" ref="A2400">IFNA(index(PlayerValues!A:A,match(IFNA(vlookup(B2400,'Special Names'!A:B,2,FALSE),B2400),PlayerValues!E:E,0)),"N/A")</f>
        <v>17109</v>
      </c>
      <c r="B2400" s="4" t="s">
        <v>707</v>
      </c>
      <c r="C2400" s="4" t="s">
        <v>298</v>
      </c>
      <c r="D2400" s="94">
        <v>1550.0</v>
      </c>
    </row>
    <row r="2401">
      <c r="A2401" s="40">
        <f t="array" ref="A2401">IFNA(index(PlayerValues!A:A,match(IFNA(vlookup(B2401,'Special Names'!A:B,2,FALSE),B2401),PlayerValues!E:E,0)),"N/A")</f>
        <v>17063</v>
      </c>
      <c r="B2401" s="4" t="s">
        <v>686</v>
      </c>
      <c r="C2401" s="4" t="s">
        <v>278</v>
      </c>
      <c r="D2401" s="94">
        <v>1179.0</v>
      </c>
    </row>
    <row r="2402">
      <c r="A2402" s="40">
        <f t="array" ref="A2402">IFNA(index(PlayerValues!A:A,match(IFNA(vlookup(B2402,'Special Names'!A:B,2,FALSE),B2402),PlayerValues!E:E,0)),"N/A")</f>
        <v>17546</v>
      </c>
      <c r="B2402" s="4" t="s">
        <v>671</v>
      </c>
      <c r="C2402" s="4" t="s">
        <v>298</v>
      </c>
      <c r="D2402" s="94">
        <v>1534.0</v>
      </c>
    </row>
    <row r="2403">
      <c r="A2403" s="40">
        <f t="array" ref="A2403">IFNA(index(PlayerValues!A:A,match(IFNA(vlookup(B2403,'Special Names'!A:B,2,FALSE),B2403),PlayerValues!E:E,0)),"N/A")</f>
        <v>17057</v>
      </c>
      <c r="B2403" s="4" t="s">
        <v>708</v>
      </c>
      <c r="C2403" s="4" t="s">
        <v>278</v>
      </c>
      <c r="D2403" s="94">
        <v>1164.0</v>
      </c>
    </row>
    <row r="2404">
      <c r="A2404" s="40">
        <f t="array" ref="A2404">IFNA(index(PlayerValues!A:A,match(IFNA(vlookup(B2404,'Special Names'!A:B,2,FALSE),B2404),PlayerValues!E:E,0)),"N/A")</f>
        <v>17510</v>
      </c>
      <c r="B2404" s="4" t="s">
        <v>661</v>
      </c>
      <c r="C2404" s="4" t="s">
        <v>287</v>
      </c>
      <c r="D2404" s="94">
        <v>1157.0</v>
      </c>
    </row>
    <row r="2405">
      <c r="A2405" s="40">
        <f t="array" ref="A2405">IFNA(index(PlayerValues!A:A,match(IFNA(vlookup(B2405,'Special Names'!A:B,2,FALSE),B2405),PlayerValues!E:E,0)),"N/A")</f>
        <v>15288</v>
      </c>
      <c r="B2405" s="4" t="s">
        <v>700</v>
      </c>
      <c r="C2405" s="4" t="s">
        <v>287</v>
      </c>
      <c r="D2405" s="94">
        <v>1153.0</v>
      </c>
    </row>
    <row r="2406">
      <c r="A2406" s="40">
        <f t="array" ref="A2406">IFNA(index(PlayerValues!A:A,match(IFNA(vlookup(B2406,'Special Names'!A:B,2,FALSE),B2406),PlayerValues!E:E,0)),"N/A")</f>
        <v>16385</v>
      </c>
      <c r="B2406" s="4" t="s">
        <v>690</v>
      </c>
      <c r="C2406" s="4" t="s">
        <v>278</v>
      </c>
      <c r="D2406" s="94">
        <v>1152.0</v>
      </c>
    </row>
    <row r="2407">
      <c r="A2407" s="40">
        <f t="array" ref="A2407">IFNA(index(PlayerValues!A:A,match(IFNA(vlookup(B2407,'Special Names'!A:B,2,FALSE),B2407),PlayerValues!E:E,0)),"N/A")</f>
        <v>14108</v>
      </c>
      <c r="B2407" s="4" t="s">
        <v>673</v>
      </c>
      <c r="C2407" s="4" t="s">
        <v>287</v>
      </c>
      <c r="D2407" s="94">
        <v>1147.0</v>
      </c>
    </row>
    <row r="2408">
      <c r="A2408" s="40">
        <f t="array" ref="A2408">IFNA(index(PlayerValues!A:A,match(IFNA(vlookup(B2408,'Special Names'!A:B,2,FALSE),B2408),PlayerValues!E:E,0)),"N/A")</f>
        <v>16221</v>
      </c>
      <c r="B2408" s="4" t="s">
        <v>725</v>
      </c>
      <c r="C2408" s="4" t="s">
        <v>298</v>
      </c>
      <c r="D2408" s="94">
        <v>1516.0</v>
      </c>
    </row>
    <row r="2409">
      <c r="A2409" s="40">
        <f t="array" ref="A2409">IFNA(index(PlayerValues!A:A,match(IFNA(vlookup(B2409,'Special Names'!A:B,2,FALSE),B2409),PlayerValues!E:E,0)),"N/A")</f>
        <v>16199</v>
      </c>
      <c r="B2409" s="4" t="s">
        <v>687</v>
      </c>
      <c r="C2409" s="4" t="s">
        <v>287</v>
      </c>
      <c r="D2409" s="94">
        <v>1133.0</v>
      </c>
    </row>
    <row r="2410">
      <c r="A2410" s="40">
        <f t="array" ref="A2410">IFNA(index(PlayerValues!A:A,match(IFNA(vlookup(B2410,'Special Names'!A:B,2,FALSE),B2410),PlayerValues!E:E,0)),"N/A")</f>
        <v>9064</v>
      </c>
      <c r="B2410" s="4" t="s">
        <v>761</v>
      </c>
      <c r="C2410" s="4" t="s">
        <v>283</v>
      </c>
      <c r="D2410" s="94">
        <v>1126.0</v>
      </c>
    </row>
    <row r="2411">
      <c r="A2411" s="40">
        <f t="array" ref="A2411">IFNA(index(PlayerValues!A:A,match(IFNA(vlookup(B2411,'Special Names'!A:B,2,FALSE),B2411),PlayerValues!E:E,0)),"N/A")</f>
        <v>14067</v>
      </c>
      <c r="B2411" s="4" t="s">
        <v>735</v>
      </c>
      <c r="C2411" s="4" t="s">
        <v>283</v>
      </c>
      <c r="D2411" s="94">
        <v>1123.0</v>
      </c>
    </row>
    <row r="2412">
      <c r="A2412" s="40">
        <f t="array" ref="A2412">IFNA(index(PlayerValues!A:A,match(IFNA(vlookup(B2412,'Special Names'!A:B,2,FALSE),B2412),PlayerValues!E:E,0)),"N/A")</f>
        <v>15240</v>
      </c>
      <c r="B2412" s="4" t="s">
        <v>751</v>
      </c>
      <c r="C2412" s="4" t="s">
        <v>283</v>
      </c>
      <c r="D2412" s="94">
        <v>1123.0</v>
      </c>
    </row>
    <row r="2413">
      <c r="A2413" s="40">
        <f t="array" ref="A2413">IFNA(index(PlayerValues!A:A,match(IFNA(vlookup(B2413,'Special Names'!A:B,2,FALSE),B2413),PlayerValues!E:E,0)),"N/A")</f>
        <v>14845</v>
      </c>
      <c r="B2413" s="4" t="s">
        <v>717</v>
      </c>
      <c r="C2413" s="4" t="s">
        <v>287</v>
      </c>
      <c r="D2413" s="94">
        <v>1121.0</v>
      </c>
    </row>
    <row r="2414">
      <c r="A2414" s="40">
        <f t="array" ref="A2414">IFNA(index(PlayerValues!A:A,match(IFNA(vlookup(B2414,'Special Names'!A:B,2,FALSE),B2414),PlayerValues!E:E,0)),"N/A")</f>
        <v>15981</v>
      </c>
      <c r="B2414" s="4" t="s">
        <v>729</v>
      </c>
      <c r="C2414" s="4" t="s">
        <v>287</v>
      </c>
      <c r="D2414" s="94">
        <v>1114.0</v>
      </c>
    </row>
    <row r="2415">
      <c r="A2415" s="40">
        <f t="array" ref="A2415">IFNA(index(PlayerValues!A:A,match(IFNA(vlookup(B2415,'Special Names'!A:B,2,FALSE),B2415),PlayerValues!E:E,0)),"N/A")</f>
        <v>16637</v>
      </c>
      <c r="B2415" s="4" t="s">
        <v>736</v>
      </c>
      <c r="C2415" s="4" t="s">
        <v>287</v>
      </c>
      <c r="D2415" s="94">
        <v>1097.0</v>
      </c>
    </row>
    <row r="2416">
      <c r="A2416" s="40">
        <f t="array" ref="A2416">IFNA(index(PlayerValues!A:A,match(IFNA(vlookup(B2416,'Special Names'!A:B,2,FALSE),B2416),PlayerValues!E:E,0)),"N/A")</f>
        <v>17192</v>
      </c>
      <c r="B2416" s="4" t="s">
        <v>677</v>
      </c>
      <c r="C2416" s="4" t="s">
        <v>287</v>
      </c>
      <c r="D2416" s="94">
        <v>1097.0</v>
      </c>
    </row>
    <row r="2417">
      <c r="A2417" s="40">
        <f t="array" ref="A2417">IFNA(index(PlayerValues!A:A,match(IFNA(vlookup(B2417,'Special Names'!A:B,2,FALSE),B2417),PlayerValues!E:E,0)),"N/A")</f>
        <v>13289</v>
      </c>
      <c r="B2417" s="4" t="s">
        <v>746</v>
      </c>
      <c r="C2417" s="4" t="s">
        <v>287</v>
      </c>
      <c r="D2417" s="94">
        <v>1095.0</v>
      </c>
    </row>
    <row r="2418">
      <c r="A2418" s="40">
        <f t="array" ref="A2418">IFNA(index(PlayerValues!A:A,match(IFNA(vlookup(B2418,'Special Names'!A:B,2,FALSE),B2418),PlayerValues!E:E,0)),"N/A")</f>
        <v>16640</v>
      </c>
      <c r="B2418" s="4" t="s">
        <v>712</v>
      </c>
      <c r="C2418" s="4" t="s">
        <v>287</v>
      </c>
      <c r="D2418" s="94">
        <v>1088.0</v>
      </c>
    </row>
    <row r="2419">
      <c r="A2419" s="40">
        <f t="array" ref="A2419">IFNA(index(PlayerValues!A:A,match(IFNA(vlookup(B2419,'Special Names'!A:B,2,FALSE),B2419),PlayerValues!E:E,0)),"N/A")</f>
        <v>16197</v>
      </c>
      <c r="B2419" s="4" t="s">
        <v>726</v>
      </c>
      <c r="C2419" s="4" t="s">
        <v>287</v>
      </c>
      <c r="D2419" s="94">
        <v>1076.0</v>
      </c>
    </row>
    <row r="2420">
      <c r="A2420" s="40">
        <f t="array" ref="A2420">IFNA(index(PlayerValues!A:A,match(IFNA(vlookup(B2420,'Special Names'!A:B,2,FALSE),B2420),PlayerValues!E:E,0)),"N/A")</f>
        <v>17050</v>
      </c>
      <c r="B2420" s="4" t="s">
        <v>713</v>
      </c>
      <c r="C2420" s="4" t="s">
        <v>278</v>
      </c>
      <c r="D2420" s="94">
        <v>1076.0</v>
      </c>
    </row>
    <row r="2421">
      <c r="A2421" s="40">
        <f t="array" ref="A2421">IFNA(index(PlayerValues!A:A,match(IFNA(vlookup(B2421,'Special Names'!A:B,2,FALSE),B2421),PlayerValues!E:E,0)),"N/A")</f>
        <v>15693</v>
      </c>
      <c r="B2421" s="4" t="s">
        <v>755</v>
      </c>
      <c r="C2421" s="4" t="s">
        <v>283</v>
      </c>
      <c r="D2421" s="94">
        <v>1072.0</v>
      </c>
    </row>
    <row r="2422">
      <c r="A2422" s="40">
        <f t="array" ref="A2422">IFNA(index(PlayerValues!A:A,match(IFNA(vlookup(B2422,'Special Names'!A:B,2,FALSE),B2422),PlayerValues!E:E,0)),"N/A")</f>
        <v>15727</v>
      </c>
      <c r="B2422" s="4" t="s">
        <v>730</v>
      </c>
      <c r="C2422" s="4" t="s">
        <v>278</v>
      </c>
      <c r="D2422" s="94">
        <v>1056.0</v>
      </c>
    </row>
    <row r="2423">
      <c r="A2423" s="40">
        <f t="array" ref="A2423">IFNA(index(PlayerValues!A:A,match(IFNA(vlookup(B2423,'Special Names'!A:B,2,FALSE),B2423),PlayerValues!E:E,0)),"N/A")</f>
        <v>15692</v>
      </c>
      <c r="B2423" s="4" t="s">
        <v>750</v>
      </c>
      <c r="C2423" s="4" t="s">
        <v>283</v>
      </c>
      <c r="D2423" s="94">
        <v>1050.0</v>
      </c>
    </row>
    <row r="2424">
      <c r="A2424" s="40">
        <f t="array" ref="A2424">IFNA(index(PlayerValues!A:A,match(IFNA(vlookup(B2424,'Special Names'!A:B,2,FALSE),B2424),PlayerValues!E:E,0)),"N/A")</f>
        <v>13131</v>
      </c>
      <c r="B2424" s="4" t="s">
        <v>815</v>
      </c>
      <c r="C2424" s="4" t="s">
        <v>278</v>
      </c>
      <c r="D2424" s="94">
        <v>1047.0</v>
      </c>
    </row>
    <row r="2425">
      <c r="A2425" s="40">
        <f t="array" ref="A2425">IFNA(index(PlayerValues!A:A,match(IFNA(vlookup(B2425,'Special Names'!A:B,2,FALSE),B2425),PlayerValues!E:E,0)),"N/A")</f>
        <v>17475</v>
      </c>
      <c r="B2425" s="4" t="s">
        <v>615</v>
      </c>
      <c r="C2425" s="4" t="s">
        <v>278</v>
      </c>
      <c r="D2425" s="94">
        <v>1035.0</v>
      </c>
    </row>
    <row r="2426">
      <c r="A2426" s="40">
        <f t="array" ref="A2426">IFNA(index(PlayerValues!A:A,match(IFNA(vlookup(B2426,'Special Names'!A:B,2,FALSE),B2426),PlayerValues!E:E,0)),"N/A")</f>
        <v>14849</v>
      </c>
      <c r="B2426" s="4" t="s">
        <v>733</v>
      </c>
      <c r="C2426" s="4" t="s">
        <v>287</v>
      </c>
      <c r="D2426" s="94">
        <v>1034.0</v>
      </c>
    </row>
    <row r="2427">
      <c r="A2427" s="40">
        <f t="array" ref="A2427">IFNA(index(PlayerValues!A:A,match(IFNA(vlookup(B2427,'Special Names'!A:B,2,FALSE),B2427),PlayerValues!E:E,0)),"N/A")</f>
        <v>15730</v>
      </c>
      <c r="B2427" s="4" t="s">
        <v>734</v>
      </c>
      <c r="C2427" s="4" t="s">
        <v>278</v>
      </c>
      <c r="D2427" s="94">
        <v>1034.0</v>
      </c>
    </row>
    <row r="2428">
      <c r="A2428" s="40">
        <f t="array" ref="A2428">IFNA(index(PlayerValues!A:A,match(IFNA(vlookup(B2428,'Special Names'!A:B,2,FALSE),B2428),PlayerValues!E:E,0)),"N/A")</f>
        <v>16170</v>
      </c>
      <c r="B2428" s="4" t="s">
        <v>801</v>
      </c>
      <c r="C2428" s="4" t="s">
        <v>278</v>
      </c>
      <c r="D2428" s="94">
        <v>1021.0</v>
      </c>
    </row>
    <row r="2429">
      <c r="A2429" s="40">
        <f t="array" ref="A2429">IFNA(index(PlayerValues!A:A,match(IFNA(vlookup(B2429,'Special Names'!A:B,2,FALSE),B2429),PlayerValues!E:E,0)),"N/A")</f>
        <v>16393</v>
      </c>
      <c r="B2429" s="4" t="s">
        <v>768</v>
      </c>
      <c r="C2429" s="4" t="s">
        <v>287</v>
      </c>
      <c r="D2429" s="94">
        <v>1020.0</v>
      </c>
    </row>
    <row r="2430">
      <c r="A2430" s="40">
        <f t="array" ref="A2430">IFNA(index(PlayerValues!A:A,match(IFNA(vlookup(B2430,'Special Names'!A:B,2,FALSE),B2430),PlayerValues!E:E,0)),"N/A")</f>
        <v>15795</v>
      </c>
      <c r="B2430" s="4" t="s">
        <v>669</v>
      </c>
      <c r="C2430" s="4" t="s">
        <v>298</v>
      </c>
      <c r="D2430" s="94">
        <v>1383.0</v>
      </c>
    </row>
    <row r="2431">
      <c r="A2431" s="40">
        <f t="array" ref="A2431">IFNA(index(PlayerValues!A:A,match(IFNA(vlookup(B2431,'Special Names'!A:B,2,FALSE),B2431),PlayerValues!E:E,0)),"N/A")</f>
        <v>15330</v>
      </c>
      <c r="B2431" s="4" t="s">
        <v>749</v>
      </c>
      <c r="C2431" s="4" t="s">
        <v>298</v>
      </c>
      <c r="D2431" s="94">
        <v>1374.0</v>
      </c>
    </row>
    <row r="2432">
      <c r="A2432" s="40">
        <f t="array" ref="A2432">IFNA(index(PlayerValues!A:A,match(IFNA(vlookup(B2432,'Special Names'!A:B,2,FALSE),B2432),PlayerValues!E:E,0)),"N/A")</f>
        <v>17657</v>
      </c>
      <c r="B2432" s="4" t="s">
        <v>642</v>
      </c>
      <c r="C2432" s="4" t="s">
        <v>283</v>
      </c>
      <c r="D2432" s="94">
        <v>1008.0</v>
      </c>
    </row>
    <row r="2433">
      <c r="A2433" s="40">
        <f t="array" ref="A2433">IFNA(index(PlayerValues!A:A,match(IFNA(vlookup(B2433,'Special Names'!A:B,2,FALSE),B2433),PlayerValues!E:E,0)),"N/A")</f>
        <v>16648</v>
      </c>
      <c r="B2433" s="4" t="s">
        <v>748</v>
      </c>
      <c r="C2433" s="4" t="s">
        <v>298</v>
      </c>
      <c r="D2433" s="94">
        <v>1374.0</v>
      </c>
    </row>
    <row r="2434">
      <c r="A2434" s="40">
        <f t="array" ref="A2434">IFNA(index(PlayerValues!A:A,match(IFNA(vlookup(B2434,'Special Names'!A:B,2,FALSE),B2434),PlayerValues!E:E,0)),"N/A")</f>
        <v>16451</v>
      </c>
      <c r="B2434" s="4" t="s">
        <v>769</v>
      </c>
      <c r="C2434" s="4" t="s">
        <v>287</v>
      </c>
      <c r="D2434" s="94">
        <v>1000.0</v>
      </c>
    </row>
    <row r="2435">
      <c r="A2435" s="40">
        <f t="array" ref="A2435">IFNA(index(PlayerValues!A:A,match(IFNA(vlookup(B2435,'Special Names'!A:B,2,FALSE),B2435),PlayerValues!E:E,0)),"N/A")</f>
        <v>17175</v>
      </c>
      <c r="B2435" s="4" t="s">
        <v>747</v>
      </c>
      <c r="C2435" s="4" t="s">
        <v>287</v>
      </c>
      <c r="D2435" s="94">
        <v>999.0</v>
      </c>
    </row>
    <row r="2436">
      <c r="A2436" s="40">
        <f t="array" ref="A2436">IFNA(index(PlayerValues!A:A,match(IFNA(vlookup(B2436,'Special Names'!A:B,2,FALSE),B2436),PlayerValues!E:E,0)),"N/A")</f>
        <v>16168</v>
      </c>
      <c r="B2436" s="4" t="s">
        <v>738</v>
      </c>
      <c r="C2436" s="4" t="s">
        <v>278</v>
      </c>
      <c r="D2436" s="94">
        <v>997.0</v>
      </c>
    </row>
    <row r="2437">
      <c r="A2437" s="40">
        <f t="array" ref="A2437">IFNA(index(PlayerValues!A:A,match(IFNA(vlookup(B2437,'Special Names'!A:B,2,FALSE),B2437),PlayerValues!E:E,0)),"N/A")</f>
        <v>15717</v>
      </c>
      <c r="B2437" s="4" t="s">
        <v>745</v>
      </c>
      <c r="C2437" s="4" t="s">
        <v>278</v>
      </c>
      <c r="D2437" s="94">
        <v>993.0</v>
      </c>
    </row>
    <row r="2438">
      <c r="A2438" s="40">
        <f t="array" ref="A2438">IFNA(index(PlayerValues!A:A,match(IFNA(vlookup(B2438,'Special Names'!A:B,2,FALSE),B2438),PlayerValues!E:E,0)),"N/A")</f>
        <v>15109</v>
      </c>
      <c r="B2438" s="4" t="s">
        <v>728</v>
      </c>
      <c r="C2438" s="4" t="s">
        <v>287</v>
      </c>
      <c r="D2438" s="94">
        <v>989.0</v>
      </c>
    </row>
    <row r="2439">
      <c r="A2439" s="40">
        <f t="array" ref="A2439">IFNA(index(PlayerValues!A:A,match(IFNA(vlookup(B2439,'Special Names'!A:B,2,FALSE),B2439),PlayerValues!E:E,0)),"N/A")</f>
        <v>15766</v>
      </c>
      <c r="B2439" s="4" t="s">
        <v>759</v>
      </c>
      <c r="C2439" s="4" t="s">
        <v>287</v>
      </c>
      <c r="D2439" s="94">
        <v>984.0</v>
      </c>
    </row>
    <row r="2440">
      <c r="A2440" s="40">
        <f t="array" ref="A2440">IFNA(index(PlayerValues!A:A,match(IFNA(vlookup(B2440,'Special Names'!A:B,2,FALSE),B2440),PlayerValues!E:E,0)),"N/A")</f>
        <v>13193</v>
      </c>
      <c r="B2440" s="4" t="s">
        <v>773</v>
      </c>
      <c r="C2440" s="4" t="s">
        <v>298</v>
      </c>
      <c r="D2440" s="94">
        <v>1346.0</v>
      </c>
    </row>
    <row r="2441">
      <c r="A2441" s="40">
        <f t="array" ref="A2441">IFNA(index(PlayerValues!A:A,match(IFNA(vlookup(B2441,'Special Names'!A:B,2,FALSE),B2441),PlayerValues!E:E,0)),"N/A")</f>
        <v>15785</v>
      </c>
      <c r="B2441" s="4" t="s">
        <v>763</v>
      </c>
      <c r="C2441" s="4" t="s">
        <v>287</v>
      </c>
      <c r="D2441" s="94">
        <v>978.0</v>
      </c>
    </row>
    <row r="2442">
      <c r="A2442" s="40">
        <f t="array" ref="A2442">IFNA(index(PlayerValues!A:A,match(IFNA(vlookup(B2442,'Special Names'!A:B,2,FALSE),B2442),PlayerValues!E:E,0)),"N/A")</f>
        <v>15258</v>
      </c>
      <c r="B2442" s="4" t="s">
        <v>757</v>
      </c>
      <c r="C2442" s="4" t="s">
        <v>278</v>
      </c>
      <c r="D2442" s="94">
        <v>976.0</v>
      </c>
    </row>
    <row r="2443">
      <c r="A2443" s="40">
        <f t="array" ref="A2443">IFNA(index(PlayerValues!A:A,match(IFNA(vlookup(B2443,'Special Names'!A:B,2,FALSE),B2443),PlayerValues!E:E,0)),"N/A")</f>
        <v>15718</v>
      </c>
      <c r="B2443" s="4" t="s">
        <v>753</v>
      </c>
      <c r="C2443" s="4" t="s">
        <v>278</v>
      </c>
      <c r="D2443" s="94">
        <v>976.0</v>
      </c>
    </row>
    <row r="2444">
      <c r="A2444" s="40">
        <f t="array" ref="A2444">IFNA(index(PlayerValues!A:A,match(IFNA(vlookup(B2444,'Special Names'!A:B,2,FALSE),B2444),PlayerValues!E:E,0)),"N/A")</f>
        <v>15758</v>
      </c>
      <c r="B2444" s="4" t="s">
        <v>724</v>
      </c>
      <c r="C2444" s="4" t="s">
        <v>287</v>
      </c>
      <c r="D2444" s="94">
        <v>964.0</v>
      </c>
    </row>
    <row r="2445">
      <c r="A2445" s="40">
        <f t="array" ref="A2445">IFNA(index(PlayerValues!A:A,match(IFNA(vlookup(B2445,'Special Names'!A:B,2,FALSE),B2445),PlayerValues!E:E,0)),"N/A")</f>
        <v>16678</v>
      </c>
      <c r="B2445" s="4" t="s">
        <v>758</v>
      </c>
      <c r="C2445" s="4" t="s">
        <v>278</v>
      </c>
      <c r="D2445" s="94">
        <v>963.0</v>
      </c>
    </row>
    <row r="2446">
      <c r="A2446" s="40">
        <f t="array" ref="A2446">IFNA(index(PlayerValues!A:A,match(IFNA(vlookup(B2446,'Special Names'!A:B,2,FALSE),B2446),PlayerValues!E:E,0)),"N/A")</f>
        <v>17504</v>
      </c>
      <c r="B2446" s="4" t="s">
        <v>693</v>
      </c>
      <c r="C2446" s="4" t="s">
        <v>287</v>
      </c>
      <c r="D2446" s="94">
        <v>952.0</v>
      </c>
    </row>
    <row r="2447">
      <c r="A2447" s="40">
        <f t="array" ref="A2447">IFNA(index(PlayerValues!A:A,match(IFNA(vlookup(B2447,'Special Names'!A:B,2,FALSE),B2447),PlayerValues!E:E,0)),"N/A")</f>
        <v>14057</v>
      </c>
      <c r="B2447" s="4" t="s">
        <v>765</v>
      </c>
      <c r="C2447" s="4" t="s">
        <v>283</v>
      </c>
      <c r="D2447" s="94">
        <v>951.0</v>
      </c>
    </row>
    <row r="2448">
      <c r="A2448" s="40">
        <f t="array" ref="A2448">IFNA(index(PlayerValues!A:A,match(IFNA(vlookup(B2448,'Special Names'!A:B,2,FALSE),B2448),PlayerValues!E:E,0)),"N/A")</f>
        <v>15239</v>
      </c>
      <c r="B2448" s="4" t="s">
        <v>802</v>
      </c>
      <c r="C2448" s="4" t="s">
        <v>283</v>
      </c>
      <c r="D2448" s="94">
        <v>942.0</v>
      </c>
    </row>
    <row r="2449">
      <c r="A2449" s="40">
        <f t="array" ref="A2449">IFNA(index(PlayerValues!A:A,match(IFNA(vlookup(B2449,'Special Names'!A:B,2,FALSE),B2449),PlayerValues!E:E,0)),"N/A")</f>
        <v>16205</v>
      </c>
      <c r="B2449" s="4" t="s">
        <v>742</v>
      </c>
      <c r="C2449" s="4" t="s">
        <v>287</v>
      </c>
      <c r="D2449" s="94">
        <v>941.0</v>
      </c>
    </row>
    <row r="2450">
      <c r="A2450" s="40">
        <f t="array" ref="A2450">IFNA(index(PlayerValues!A:A,match(IFNA(vlookup(B2450,'Special Names'!A:B,2,FALSE),B2450),PlayerValues!E:E,0)),"N/A")</f>
        <v>14118</v>
      </c>
      <c r="B2450" s="4" t="s">
        <v>771</v>
      </c>
      <c r="C2450" s="4" t="s">
        <v>287</v>
      </c>
      <c r="D2450" s="94">
        <v>937.0</v>
      </c>
    </row>
    <row r="2451">
      <c r="A2451" s="40">
        <f t="array" ref="A2451">IFNA(index(PlayerValues!A:A,match(IFNA(vlookup(B2451,'Special Names'!A:B,2,FALSE),B2451),PlayerValues!E:E,0)),"N/A")</f>
        <v>11247</v>
      </c>
      <c r="B2451" s="4" t="s">
        <v>816</v>
      </c>
      <c r="C2451" s="4" t="s">
        <v>298</v>
      </c>
      <c r="D2451" s="94">
        <v>1295.0</v>
      </c>
    </row>
    <row r="2452">
      <c r="A2452" s="40">
        <f t="array" ref="A2452">IFNA(index(PlayerValues!A:A,match(IFNA(vlookup(B2452,'Special Names'!A:B,2,FALSE),B2452),PlayerValues!E:E,0)),"N/A")</f>
        <v>17518</v>
      </c>
      <c r="B2452" s="4" t="s">
        <v>482</v>
      </c>
      <c r="C2452" s="4" t="s">
        <v>287</v>
      </c>
      <c r="D2452" s="94">
        <v>922.0</v>
      </c>
    </row>
    <row r="2453">
      <c r="A2453" s="40">
        <f t="array" ref="A2453">IFNA(index(PlayerValues!A:A,match(IFNA(vlookup(B2453,'Special Names'!A:B,2,FALSE),B2453),PlayerValues!E:E,0)),"N/A")</f>
        <v>17487</v>
      </c>
      <c r="B2453" s="4" t="s">
        <v>692</v>
      </c>
      <c r="C2453" s="4" t="s">
        <v>278</v>
      </c>
      <c r="D2453" s="94">
        <v>918.0</v>
      </c>
    </row>
    <row r="2454">
      <c r="A2454" s="40">
        <f t="array" ref="A2454">IFNA(index(PlayerValues!A:A,match(IFNA(vlookup(B2454,'Special Names'!A:B,2,FALSE),B2454),PlayerValues!E:E,0)),"N/A")</f>
        <v>16858</v>
      </c>
      <c r="B2454" s="4" t="s">
        <v>754</v>
      </c>
      <c r="C2454" s="4" t="s">
        <v>287</v>
      </c>
      <c r="D2454" s="94">
        <v>912.0</v>
      </c>
    </row>
    <row r="2455">
      <c r="A2455" s="40">
        <f t="array" ref="A2455">IFNA(index(PlayerValues!A:A,match(IFNA(vlookup(B2455,'Special Names'!A:B,2,FALSE),B2455),PlayerValues!E:E,0)),"N/A")</f>
        <v>15626</v>
      </c>
      <c r="B2455" s="4" t="s">
        <v>766</v>
      </c>
      <c r="C2455" s="4" t="s">
        <v>298</v>
      </c>
      <c r="D2455" s="94">
        <v>1260.0</v>
      </c>
    </row>
    <row r="2456">
      <c r="A2456" s="40">
        <f t="array" ref="A2456">IFNA(index(PlayerValues!A:A,match(IFNA(vlookup(B2456,'Special Names'!A:B,2,FALSE),B2456),PlayerValues!E:E,0)),"N/A")</f>
        <v>16219</v>
      </c>
      <c r="B2456" s="4" t="s">
        <v>739</v>
      </c>
      <c r="C2456" s="4" t="s">
        <v>298</v>
      </c>
      <c r="D2456" s="94">
        <v>1250.0</v>
      </c>
    </row>
    <row r="2457">
      <c r="A2457" s="40">
        <f t="array" ref="A2457">IFNA(index(PlayerValues!A:A,match(IFNA(vlookup(B2457,'Special Names'!A:B,2,FALSE),B2457),PlayerValues!E:E,0)),"N/A")</f>
        <v>17479</v>
      </c>
      <c r="B2457" s="4" t="s">
        <v>756</v>
      </c>
      <c r="C2457" s="4" t="s">
        <v>278</v>
      </c>
      <c r="D2457" s="94">
        <v>884.0</v>
      </c>
    </row>
    <row r="2458">
      <c r="A2458" s="40">
        <f t="array" ref="A2458">IFNA(index(PlayerValues!A:A,match(IFNA(vlookup(B2458,'Special Names'!A:B,2,FALSE),B2458),PlayerValues!E:E,0)),"N/A")</f>
        <v>15720</v>
      </c>
      <c r="B2458" s="4" t="s">
        <v>795</v>
      </c>
      <c r="C2458" s="4" t="s">
        <v>278</v>
      </c>
      <c r="D2458" s="94">
        <v>874.0</v>
      </c>
    </row>
    <row r="2459">
      <c r="A2459" s="40">
        <f t="array" ref="A2459">IFNA(index(PlayerValues!A:A,match(IFNA(vlookup(B2459,'Special Names'!A:B,2,FALSE),B2459),PlayerValues!E:E,0)),"N/A")</f>
        <v>16624</v>
      </c>
      <c r="B2459" s="4" t="s">
        <v>796</v>
      </c>
      <c r="C2459" s="4" t="s">
        <v>287</v>
      </c>
      <c r="D2459" s="94">
        <v>872.0</v>
      </c>
    </row>
    <row r="2460">
      <c r="A2460" s="40">
        <f t="array" ref="A2460">IFNA(index(PlayerValues!A:A,match(IFNA(vlookup(B2460,'Special Names'!A:B,2,FALSE),B2460),PlayerValues!E:E,0)),"N/A")</f>
        <v>16416</v>
      </c>
      <c r="B2460" s="4" t="s">
        <v>752</v>
      </c>
      <c r="C2460" s="4" t="s">
        <v>287</v>
      </c>
      <c r="D2460" s="94">
        <v>863.0</v>
      </c>
    </row>
    <row r="2461">
      <c r="A2461" s="40">
        <f t="array" ref="A2461">IFNA(index(PlayerValues!A:A,match(IFNA(vlookup(B2461,'Special Names'!A:B,2,FALSE),B2461),PlayerValues!E:E,0)),"N/A")</f>
        <v>17549</v>
      </c>
      <c r="B2461" s="4" t="s">
        <v>720</v>
      </c>
      <c r="C2461" s="4" t="s">
        <v>298</v>
      </c>
      <c r="D2461" s="94">
        <v>1216.0</v>
      </c>
    </row>
    <row r="2462">
      <c r="A2462" s="40">
        <f t="array" ref="A2462">IFNA(index(PlayerValues!A:A,match(IFNA(vlookup(B2462,'Special Names'!A:B,2,FALSE),B2462),PlayerValues!E:E,0)),"N/A")</f>
        <v>12785</v>
      </c>
      <c r="B2462" s="4" t="s">
        <v>772</v>
      </c>
      <c r="C2462" s="4" t="s">
        <v>287</v>
      </c>
      <c r="D2462" s="94">
        <v>848.0</v>
      </c>
    </row>
    <row r="2463">
      <c r="A2463" s="40">
        <f t="array" ref="A2463">IFNA(index(PlayerValues!A:A,match(IFNA(vlookup(B2463,'Special Names'!A:B,2,FALSE),B2463),PlayerValues!E:E,0)),"N/A")</f>
        <v>16773</v>
      </c>
      <c r="B2463" s="4" t="s">
        <v>783</v>
      </c>
      <c r="C2463" s="4" t="s">
        <v>278</v>
      </c>
      <c r="D2463" s="94">
        <v>839.0</v>
      </c>
    </row>
    <row r="2464">
      <c r="A2464" s="40">
        <f t="array" ref="A2464">IFNA(index(PlayerValues!A:A,match(IFNA(vlookup(B2464,'Special Names'!A:B,2,FALSE),B2464),PlayerValues!E:E,0)),"N/A")</f>
        <v>17654</v>
      </c>
      <c r="B2464" s="4" t="s">
        <v>767</v>
      </c>
      <c r="C2464" s="4" t="s">
        <v>283</v>
      </c>
      <c r="D2464" s="94">
        <v>828.0</v>
      </c>
    </row>
    <row r="2465">
      <c r="A2465" s="40">
        <f t="array" ref="A2465">IFNA(index(PlayerValues!A:A,match(IFNA(vlookup(B2465,'Special Names'!A:B,2,FALSE),B2465),PlayerValues!E:E,0)),"N/A")</f>
        <v>16599</v>
      </c>
      <c r="B2465" s="4" t="s">
        <v>737</v>
      </c>
      <c r="C2465" s="4" t="s">
        <v>278</v>
      </c>
      <c r="D2465" s="94">
        <v>827.0</v>
      </c>
    </row>
    <row r="2466">
      <c r="A2466" s="40">
        <f t="array" ref="A2466">IFNA(index(PlayerValues!A:A,match(IFNA(vlookup(B2466,'Special Names'!A:B,2,FALSE),B2466),PlayerValues!E:E,0)),"N/A")</f>
        <v>17627</v>
      </c>
      <c r="B2466" s="4" t="s">
        <v>684</v>
      </c>
      <c r="C2466" s="4" t="s">
        <v>298</v>
      </c>
      <c r="D2466" s="94">
        <v>1166.0</v>
      </c>
    </row>
    <row r="2467">
      <c r="A2467" s="40">
        <f t="array" ref="A2467">IFNA(index(PlayerValues!A:A,match(IFNA(vlookup(B2467,'Special Names'!A:B,2,FALSE),B2467),PlayerValues!E:E,0)),"N/A")</f>
        <v>16623</v>
      </c>
      <c r="B2467" s="4" t="s">
        <v>803</v>
      </c>
      <c r="C2467" s="4" t="s">
        <v>287</v>
      </c>
      <c r="D2467" s="94">
        <v>799.0</v>
      </c>
    </row>
    <row r="2468">
      <c r="A2468" s="40">
        <f t="array" ref="A2468">IFNA(index(PlayerValues!A:A,match(IFNA(vlookup(B2468,'Special Names'!A:B,2,FALSE),B2468),PlayerValues!E:E,0)),"N/A")</f>
        <v>17486</v>
      </c>
      <c r="B2468" s="4" t="s">
        <v>695</v>
      </c>
      <c r="C2468" s="4" t="s">
        <v>278</v>
      </c>
      <c r="D2468" s="94">
        <v>798.0</v>
      </c>
    </row>
    <row r="2469">
      <c r="A2469" s="40">
        <f t="array" ref="A2469">IFNA(index(PlayerValues!A:A,match(IFNA(vlookup(B2469,'Special Names'!A:B,2,FALSE),B2469),PlayerValues!E:E,0)),"N/A")</f>
        <v>16606</v>
      </c>
      <c r="B2469" s="4" t="s">
        <v>743</v>
      </c>
      <c r="C2469" s="4" t="s">
        <v>278</v>
      </c>
      <c r="D2469" s="94">
        <v>794.0</v>
      </c>
    </row>
    <row r="2470">
      <c r="A2470" s="40">
        <f t="array" ref="A2470">IFNA(index(PlayerValues!A:A,match(IFNA(vlookup(B2470,'Special Names'!A:B,2,FALSE),B2470),PlayerValues!E:E,0)),"N/A")</f>
        <v>17337</v>
      </c>
      <c r="B2470" s="4" t="s">
        <v>793</v>
      </c>
      <c r="C2470" s="4" t="s">
        <v>278</v>
      </c>
      <c r="D2470" s="94">
        <v>787.0</v>
      </c>
    </row>
    <row r="2471">
      <c r="A2471" s="40">
        <f t="array" ref="A2471">IFNA(index(PlayerValues!A:A,match(IFNA(vlookup(B2471,'Special Names'!A:B,2,FALSE),B2471),PlayerValues!E:E,0)),"N/A")</f>
        <v>16751</v>
      </c>
      <c r="B2471" s="4" t="s">
        <v>762</v>
      </c>
      <c r="C2471" s="4" t="s">
        <v>287</v>
      </c>
      <c r="D2471" s="94">
        <v>786.0</v>
      </c>
    </row>
    <row r="2472">
      <c r="A2472" s="40">
        <f t="array" ref="A2472">IFNA(index(PlayerValues!A:A,match(IFNA(vlookup(B2472,'Special Names'!A:B,2,FALSE),B2472),PlayerValues!E:E,0)),"N/A")</f>
        <v>14223</v>
      </c>
      <c r="B2472" s="4" t="s">
        <v>785</v>
      </c>
      <c r="C2472" s="4" t="s">
        <v>278</v>
      </c>
      <c r="D2472" s="94">
        <v>738.0</v>
      </c>
    </row>
    <row r="2473">
      <c r="A2473" s="40">
        <f t="array" ref="A2473">IFNA(index(PlayerValues!A:A,match(IFNA(vlookup(B2473,'Special Names'!A:B,2,FALSE),B2473),PlayerValues!E:E,0)),"N/A")</f>
        <v>17541</v>
      </c>
      <c r="B2473" s="4" t="s">
        <v>616</v>
      </c>
      <c r="C2473" s="4" t="s">
        <v>287</v>
      </c>
      <c r="D2473" s="94">
        <v>721.0</v>
      </c>
    </row>
    <row r="2474">
      <c r="A2474" s="40">
        <f t="array" ref="A2474">IFNA(index(PlayerValues!A:A,match(IFNA(vlookup(B2474,'Special Names'!A:B,2,FALSE),B2474),PlayerValues!E:E,0)),"N/A")</f>
        <v>15723</v>
      </c>
      <c r="B2474" s="4" t="s">
        <v>798</v>
      </c>
      <c r="C2474" s="4" t="s">
        <v>278</v>
      </c>
      <c r="D2474" s="94">
        <v>702.0</v>
      </c>
    </row>
    <row r="2475">
      <c r="A2475" s="40">
        <f t="array" ref="A2475">IFNA(index(PlayerValues!A:A,match(IFNA(vlookup(B2475,'Special Names'!A:B,2,FALSE),B2475),PlayerValues!E:E,0)),"N/A")</f>
        <v>17545</v>
      </c>
      <c r="B2475" s="4" t="s">
        <v>719</v>
      </c>
      <c r="C2475" s="4" t="s">
        <v>298</v>
      </c>
      <c r="D2475" s="94">
        <v>1051.0</v>
      </c>
    </row>
    <row r="2476">
      <c r="A2476" s="40">
        <f t="array" ref="A2476">IFNA(index(PlayerValues!A:A,match(IFNA(vlookup(B2476,'Special Names'!A:B,2,FALSE),B2476),PlayerValues!E:E,0)),"N/A")</f>
        <v>16686</v>
      </c>
      <c r="B2476" s="4" t="s">
        <v>805</v>
      </c>
      <c r="C2476" s="4" t="s">
        <v>287</v>
      </c>
      <c r="D2476" s="94">
        <v>613.0</v>
      </c>
    </row>
    <row r="2477">
      <c r="A2477" s="40">
        <f t="array" ref="A2477">IFNA(index(PlayerValues!A:A,match(IFNA(vlookup(B2477,'Special Names'!A:B,2,FALSE),B2477),PlayerValues!E:E,0)),"N/A")</f>
        <v>13133</v>
      </c>
      <c r="B2477" s="4" t="s">
        <v>764</v>
      </c>
      <c r="C2477" s="4" t="s">
        <v>278</v>
      </c>
      <c r="D2477" s="94">
        <v>599.0</v>
      </c>
    </row>
    <row r="2478">
      <c r="A2478" s="40">
        <f t="array" ref="A2478">IFNA(index(PlayerValues!A:A,match(IFNA(vlookup(B2478,'Special Names'!A:B,2,FALSE),B2478),PlayerValues!E:E,0)),"N/A")</f>
        <v>13138</v>
      </c>
      <c r="B2478" s="4" t="s">
        <v>817</v>
      </c>
      <c r="C2478" s="4" t="s">
        <v>278</v>
      </c>
      <c r="D2478" s="94">
        <v>597.0</v>
      </c>
    </row>
    <row r="2479">
      <c r="A2479" s="40">
        <f t="array" ref="A2479">IFNA(index(PlayerValues!A:A,match(IFNA(vlookup(B2479,'Special Names'!A:B,2,FALSE),B2479),PlayerValues!E:E,0)),"N/A")</f>
        <v>14864</v>
      </c>
      <c r="B2479" s="4" t="s">
        <v>789</v>
      </c>
      <c r="C2479" s="4" t="s">
        <v>287</v>
      </c>
      <c r="D2479" s="94">
        <v>595.0</v>
      </c>
    </row>
    <row r="2480">
      <c r="A2480" s="40">
        <f t="array" ref="A2480">IFNA(index(PlayerValues!A:A,match(IFNA(vlookup(B2480,'Special Names'!A:B,2,FALSE),B2480),PlayerValues!E:E,0)),"N/A")</f>
        <v>16625</v>
      </c>
      <c r="B2480" s="4" t="s">
        <v>778</v>
      </c>
      <c r="C2480" s="4" t="s">
        <v>287</v>
      </c>
      <c r="D2480" s="94">
        <v>554.0</v>
      </c>
    </row>
    <row r="2481">
      <c r="A2481" s="40">
        <f t="array" ref="A2481">IFNA(index(PlayerValues!A:A,match(IFNA(vlookup(B2481,'Special Names'!A:B,2,FALSE),B2481),PlayerValues!E:E,0)),"N/A")</f>
        <v>14858</v>
      </c>
      <c r="B2481" s="4" t="s">
        <v>799</v>
      </c>
      <c r="C2481" s="4" t="s">
        <v>287</v>
      </c>
      <c r="D2481" s="94">
        <v>548.0</v>
      </c>
    </row>
    <row r="2482">
      <c r="A2482" s="40">
        <f t="array" ref="A2482">IFNA(index(PlayerValues!A:A,match(IFNA(vlookup(B2482,'Special Names'!A:B,2,FALSE),B2482),PlayerValues!E:E,0)),"N/A")</f>
        <v>16957</v>
      </c>
      <c r="B2482" s="4" t="s">
        <v>806</v>
      </c>
      <c r="C2482" s="4" t="s">
        <v>278</v>
      </c>
      <c r="D2482" s="94">
        <v>543.0</v>
      </c>
    </row>
    <row r="2483">
      <c r="A2483" s="40">
        <f t="array" ref="A2483">IFNA(index(PlayerValues!A:A,match(IFNA(vlookup(B2483,'Special Names'!A:B,2,FALSE),B2483),PlayerValues!E:E,0)),"N/A")</f>
        <v>15796</v>
      </c>
      <c r="B2483" s="4" t="s">
        <v>794</v>
      </c>
      <c r="C2483" s="4" t="s">
        <v>298</v>
      </c>
      <c r="D2483" s="94">
        <v>884.0</v>
      </c>
    </row>
    <row r="2484">
      <c r="A2484" s="40">
        <f t="array" ref="A2484">IFNA(index(PlayerValues!A:A,match(IFNA(vlookup(B2484,'Special Names'!A:B,2,FALSE),B2484),PlayerValues!E:E,0)),"N/A")</f>
        <v>14805</v>
      </c>
      <c r="B2484" s="4" t="s">
        <v>770</v>
      </c>
      <c r="C2484" s="4" t="s">
        <v>278</v>
      </c>
      <c r="D2484" s="94">
        <v>536.0</v>
      </c>
    </row>
    <row r="2485">
      <c r="A2485" s="40">
        <f t="array" ref="A2485">IFNA(index(PlayerValues!A:A,match(IFNA(vlookup(B2485,'Special Names'!A:B,2,FALSE),B2485),PlayerValues!E:E,0)),"N/A")</f>
        <v>13595</v>
      </c>
      <c r="B2485" s="4" t="s">
        <v>818</v>
      </c>
      <c r="C2485" s="4" t="s">
        <v>283</v>
      </c>
      <c r="D2485" s="94">
        <v>533.0</v>
      </c>
    </row>
    <row r="2486">
      <c r="A2486" s="40">
        <f t="array" ref="A2486">IFNA(index(PlayerValues!A:A,match(IFNA(vlookup(B2486,'Special Names'!A:B,2,FALSE),B2486),PlayerValues!E:E,0)),"N/A")</f>
        <v>17038</v>
      </c>
      <c r="B2486" s="4" t="s">
        <v>774</v>
      </c>
      <c r="C2486" s="4" t="s">
        <v>283</v>
      </c>
      <c r="D2486" s="94">
        <v>530.0</v>
      </c>
    </row>
    <row r="2487">
      <c r="A2487" s="40">
        <f t="array" ref="A2487">IFNA(index(PlayerValues!A:A,match(IFNA(vlookup(B2487,'Special Names'!A:B,2,FALSE),B2487),PlayerValues!E:E,0)),"N/A")</f>
        <v>16159</v>
      </c>
      <c r="B2487" s="4" t="s">
        <v>819</v>
      </c>
      <c r="C2487" s="4" t="s">
        <v>283</v>
      </c>
      <c r="D2487" s="94">
        <v>508.0</v>
      </c>
    </row>
    <row r="2488">
      <c r="A2488" s="40">
        <f t="array" ref="A2488">IFNA(index(PlayerValues!A:A,match(IFNA(vlookup(B2488,'Special Names'!A:B,2,FALSE),B2488),PlayerValues!E:E,0)),"N/A")</f>
        <v>17232</v>
      </c>
      <c r="B2488" s="4" t="s">
        <v>784</v>
      </c>
      <c r="C2488" s="4" t="s">
        <v>287</v>
      </c>
      <c r="D2488" s="94">
        <v>508.0</v>
      </c>
    </row>
    <row r="2489">
      <c r="A2489" s="40">
        <f t="array" ref="A2489">IFNA(index(PlayerValues!A:A,match(IFNA(vlookup(B2489,'Special Names'!A:B,2,FALSE),B2489),PlayerValues!E:E,0)),"N/A")</f>
        <v>15263</v>
      </c>
      <c r="B2489" s="4" t="s">
        <v>804</v>
      </c>
      <c r="C2489" s="4" t="s">
        <v>278</v>
      </c>
      <c r="D2489" s="94">
        <v>506.0</v>
      </c>
    </row>
    <row r="2490">
      <c r="A2490" s="40">
        <f t="array" ref="A2490">IFNA(index(PlayerValues!A:A,match(IFNA(vlookup(B2490,'Special Names'!A:B,2,FALSE),B2490),PlayerValues!E:E,0)),"N/A")</f>
        <v>16299</v>
      </c>
      <c r="B2490" s="4" t="s">
        <v>787</v>
      </c>
      <c r="C2490" s="4" t="s">
        <v>287</v>
      </c>
      <c r="D2490" s="94">
        <v>506.0</v>
      </c>
    </row>
    <row r="2491">
      <c r="A2491" s="40">
        <f t="array" ref="A2491">IFNA(index(PlayerValues!A:A,match(IFNA(vlookup(B2491,'Special Names'!A:B,2,FALSE),B2491),PlayerValues!E:E,0)),"N/A")</f>
        <v>14358</v>
      </c>
      <c r="B2491" s="4" t="s">
        <v>813</v>
      </c>
      <c r="C2491" s="4" t="s">
        <v>283</v>
      </c>
      <c r="D2491" s="94">
        <v>502.0</v>
      </c>
    </row>
    <row r="2492">
      <c r="A2492" s="40">
        <f t="array" ref="A2492">IFNA(index(PlayerValues!A:A,match(IFNA(vlookup(B2492,'Special Names'!A:B,2,FALSE),B2492),PlayerValues!E:E,0)),"N/A")</f>
        <v>17243</v>
      </c>
      <c r="B2492" s="4" t="s">
        <v>810</v>
      </c>
      <c r="C2492" s="4" t="s">
        <v>298</v>
      </c>
      <c r="D2492" s="94">
        <v>848.0</v>
      </c>
    </row>
    <row r="2493">
      <c r="A2493" s="40">
        <f t="array" ref="A2493">IFNA(index(PlayerValues!A:A,match(IFNA(vlookup(B2493,'Special Names'!A:B,2,FALSE),B2493),PlayerValues!E:E,0)),"N/A")</f>
        <v>14875</v>
      </c>
      <c r="B2493" s="4" t="s">
        <v>820</v>
      </c>
      <c r="C2493" s="4" t="s">
        <v>298</v>
      </c>
      <c r="D2493" s="94">
        <v>844.0</v>
      </c>
    </row>
    <row r="2494">
      <c r="A2494" s="40">
        <f t="array" ref="A2494">IFNA(index(PlayerValues!A:A,match(IFNA(vlookup(B2494,'Special Names'!A:B,2,FALSE),B2494),PlayerValues!E:E,0)),"N/A")</f>
        <v>17348</v>
      </c>
      <c r="B2494" s="4" t="s">
        <v>797</v>
      </c>
      <c r="C2494" s="4" t="s">
        <v>278</v>
      </c>
      <c r="D2494" s="94">
        <v>498.0</v>
      </c>
    </row>
    <row r="2495">
      <c r="A2495" s="40">
        <f t="array" ref="A2495">IFNA(index(PlayerValues!A:A,match(IFNA(vlookup(B2495,'Special Names'!A:B,2,FALSE),B2495),PlayerValues!E:E,0)),"N/A")</f>
        <v>15804</v>
      </c>
      <c r="B2495" s="4" t="s">
        <v>821</v>
      </c>
      <c r="C2495" s="4" t="s">
        <v>298</v>
      </c>
      <c r="D2495" s="94">
        <v>843.0</v>
      </c>
    </row>
    <row r="2496">
      <c r="A2496" s="40">
        <f t="array" ref="A2496">IFNA(index(PlayerValues!A:A,match(IFNA(vlookup(B2496,'Special Names'!A:B,2,FALSE),B2496),PlayerValues!E:E,0)),"N/A")</f>
        <v>15714</v>
      </c>
      <c r="B2496" s="4" t="s">
        <v>775</v>
      </c>
      <c r="C2496" s="4" t="s">
        <v>278</v>
      </c>
      <c r="D2496" s="94">
        <v>491.0</v>
      </c>
    </row>
    <row r="2497">
      <c r="A2497" s="40">
        <f t="array" ref="A2497">IFNA(index(PlayerValues!A:A,match(IFNA(vlookup(B2497,'Special Names'!A:B,2,FALSE),B2497),PlayerValues!E:E,0)),"N/A")</f>
        <v>14209</v>
      </c>
      <c r="B2497" s="4" t="s">
        <v>809</v>
      </c>
      <c r="C2497" s="4" t="s">
        <v>298</v>
      </c>
      <c r="D2497" s="94">
        <v>838.0</v>
      </c>
    </row>
    <row r="2498">
      <c r="A2498" s="40">
        <f t="array" ref="A2498">IFNA(index(PlayerValues!A:A,match(IFNA(vlookup(B2498,'Special Names'!A:B,2,FALSE),B2498),PlayerValues!E:E,0)),"N/A")</f>
        <v>15271</v>
      </c>
      <c r="B2498" s="4" t="s">
        <v>741</v>
      </c>
      <c r="C2498" s="4" t="s">
        <v>278</v>
      </c>
      <c r="D2498" s="94">
        <v>489.0</v>
      </c>
    </row>
    <row r="2499">
      <c r="A2499" s="40">
        <f t="array" ref="A2499">IFNA(index(PlayerValues!A:A,match(IFNA(vlookup(B2499,'Special Names'!A:B,2,FALSE),B2499),PlayerValues!E:E,0)),"N/A")</f>
        <v>10413</v>
      </c>
      <c r="B2499" s="4" t="s">
        <v>811</v>
      </c>
      <c r="C2499" s="4" t="s">
        <v>283</v>
      </c>
      <c r="D2499" s="94">
        <v>488.0</v>
      </c>
    </row>
    <row r="2500">
      <c r="A2500" s="40">
        <f t="array" ref="A2500">IFNA(index(PlayerValues!A:A,match(IFNA(vlookup(B2500,'Special Names'!A:B,2,FALSE),B2500),PlayerValues!E:E,0)),"N/A")</f>
        <v>17706</v>
      </c>
      <c r="B2500" s="4" t="s">
        <v>614</v>
      </c>
      <c r="C2500" s="4" t="s">
        <v>287</v>
      </c>
      <c r="D2500" s="94">
        <v>211.0</v>
      </c>
    </row>
    <row r="2501">
      <c r="A2501" s="40">
        <f t="array" ref="A2501">IFNA(index(PlayerValues!A:A,match(IFNA(vlookup(B2501,'Special Names'!A:B,2,FALSE),B2501),PlayerValues!E:E,0)),"N/A")</f>
        <v>16161</v>
      </c>
      <c r="B2501" s="4" t="s">
        <v>277</v>
      </c>
      <c r="C2501" s="4" t="s">
        <v>278</v>
      </c>
      <c r="D2501" s="94">
        <v>9997.0</v>
      </c>
    </row>
    <row r="2502">
      <c r="A2502" s="40">
        <f t="array" ref="A2502">IFNA(index(PlayerValues!A:A,match(IFNA(vlookup(B2502,'Special Names'!A:B,2,FALSE),B2502),PlayerValues!E:E,0)),"N/A")</f>
        <v>13589</v>
      </c>
      <c r="B2502" s="4" t="s">
        <v>282</v>
      </c>
      <c r="C2502" s="4" t="s">
        <v>283</v>
      </c>
      <c r="D2502" s="94">
        <v>9996.0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9984.0</v>
      </c>
    </row>
    <row r="2504">
      <c r="A2504" s="40">
        <f t="array" ref="A2504">IFNA(index(PlayerValues!A:A,match(IFNA(vlookup(B2504,'Special Names'!A:B,2,FALSE),B2504),PlayerValues!E:E,0)),"N/A")</f>
        <v>16162</v>
      </c>
      <c r="B2504" s="4" t="s">
        <v>281</v>
      </c>
      <c r="C2504" s="4" t="s">
        <v>278</v>
      </c>
      <c r="D2504" s="94">
        <v>9919.0</v>
      </c>
    </row>
    <row r="2505">
      <c r="A2505" s="40">
        <f t="array" ref="A2505">IFNA(index(PlayerValues!A:A,match(IFNA(vlookup(B2505,'Special Names'!A:B,2,FALSE),B2505),PlayerValues!E:E,0)),"N/A")</f>
        <v>16185</v>
      </c>
      <c r="B2505" s="4" t="s">
        <v>290</v>
      </c>
      <c r="C2505" s="4" t="s">
        <v>287</v>
      </c>
      <c r="D2505" s="94">
        <v>9590.0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9437.0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8741.0</v>
      </c>
    </row>
    <row r="2508">
      <c r="A2508" s="40">
        <f t="array" ref="A2508">IFNA(index(PlayerValues!A:A,match(IFNA(vlookup(B2508,'Special Names'!A:B,2,FALSE),B2508),PlayerValues!E:E,0)),"N/A")</f>
        <v>16641</v>
      </c>
      <c r="B2508" s="4" t="s">
        <v>297</v>
      </c>
      <c r="C2508" s="4" t="s">
        <v>298</v>
      </c>
      <c r="D2508" s="94">
        <v>8999.0</v>
      </c>
    </row>
    <row r="2509">
      <c r="A2509" s="40">
        <f t="array" ref="A2509">IFNA(index(PlayerValues!A:A,match(IFNA(vlookup(B2509,'Special Names'!A:B,2,FALSE),B2509),PlayerValues!E:E,0)),"N/A")</f>
        <v>16579</v>
      </c>
      <c r="B2509" s="4" t="s">
        <v>302</v>
      </c>
      <c r="C2509" s="4" t="s">
        <v>283</v>
      </c>
      <c r="D2509" s="94">
        <v>8035.0</v>
      </c>
    </row>
    <row r="2510">
      <c r="A2510" s="40">
        <f t="array" ref="A2510">IFNA(index(PlayerValues!A:A,match(IFNA(vlookup(B2510,'Special Names'!A:B,2,FALSE),B2510),PlayerValues!E:E,0)),"N/A")</f>
        <v>15287</v>
      </c>
      <c r="B2510" s="4" t="s">
        <v>299</v>
      </c>
      <c r="C2510" s="4" t="s">
        <v>287</v>
      </c>
      <c r="D2510" s="94">
        <v>7905.0</v>
      </c>
    </row>
    <row r="2511">
      <c r="A2511" s="40">
        <f t="array" ref="A2511">IFNA(index(PlayerValues!A:A,match(IFNA(vlookup(B2511,'Special Names'!A:B,2,FALSE),B2511),PlayerValues!E:E,0)),"N/A")</f>
        <v>16581</v>
      </c>
      <c r="B2511" s="4" t="s">
        <v>315</v>
      </c>
      <c r="C2511" s="4" t="s">
        <v>283</v>
      </c>
      <c r="D2511" s="94">
        <v>7816.0</v>
      </c>
    </row>
    <row r="2512">
      <c r="A2512" s="40">
        <f t="array" ref="A2512">IFNA(index(PlayerValues!A:A,match(IFNA(vlookup(B2512,'Special Names'!A:B,2,FALSE),B2512),PlayerValues!E:E,0)),"N/A")</f>
        <v>17042</v>
      </c>
      <c r="B2512" s="4" t="s">
        <v>314</v>
      </c>
      <c r="C2512" s="4" t="s">
        <v>278</v>
      </c>
      <c r="D2512" s="94">
        <v>7673.0</v>
      </c>
    </row>
    <row r="2513">
      <c r="A2513" s="40">
        <f t="array" ref="A2513">IFNA(index(PlayerValues!A:A,match(IFNA(vlookup(B2513,'Special Names'!A:B,2,FALSE),B2513),PlayerValues!E:E,0)),"N/A")</f>
        <v>14836</v>
      </c>
      <c r="B2513" s="4" t="s">
        <v>306</v>
      </c>
      <c r="C2513" s="4" t="s">
        <v>287</v>
      </c>
      <c r="D2513" s="94">
        <v>7601.0</v>
      </c>
    </row>
    <row r="2514">
      <c r="A2514" s="40">
        <f t="array" ref="A2514">IFNA(index(PlayerValues!A:A,match(IFNA(vlookup(B2514,'Special Names'!A:B,2,FALSE),B2514),PlayerValues!E:E,0)),"N/A")</f>
        <v>13593</v>
      </c>
      <c r="B2514" s="4" t="s">
        <v>305</v>
      </c>
      <c r="C2514" s="4" t="s">
        <v>283</v>
      </c>
      <c r="D2514" s="94">
        <v>7596.0</v>
      </c>
    </row>
    <row r="2515">
      <c r="A2515" s="40">
        <f t="array" ref="A2515">IFNA(index(PlayerValues!A:A,match(IFNA(vlookup(B2515,'Special Names'!A:B,2,FALSE),B2515),PlayerValues!E:E,0)),"N/A")</f>
        <v>17472</v>
      </c>
      <c r="B2515" s="4" t="s">
        <v>310</v>
      </c>
      <c r="C2515" s="4" t="s">
        <v>278</v>
      </c>
      <c r="D2515" s="94">
        <v>7589.0</v>
      </c>
    </row>
    <row r="2516">
      <c r="A2516" s="40">
        <f t="array" ref="A2516">IFNA(index(PlayerValues!A:A,match(IFNA(vlookup(B2516,'Special Names'!A:B,2,FALSE),B2516),PlayerValues!E:E,0)),"N/A")</f>
        <v>16615</v>
      </c>
      <c r="B2516" s="4" t="s">
        <v>309</v>
      </c>
      <c r="C2516" s="4" t="s">
        <v>287</v>
      </c>
      <c r="D2516" s="94">
        <v>7471.0</v>
      </c>
    </row>
    <row r="2517">
      <c r="A2517" s="40">
        <f t="array" ref="A2517">IFNA(index(PlayerValues!A:A,match(IFNA(vlookup(B2517,'Special Names'!A:B,2,FALSE),B2517),PlayerValues!E:E,0)),"N/A")</f>
        <v>14777</v>
      </c>
      <c r="B2517" s="4" t="s">
        <v>318</v>
      </c>
      <c r="C2517" s="4" t="s">
        <v>283</v>
      </c>
      <c r="D2517" s="94">
        <v>7460.0</v>
      </c>
    </row>
    <row r="2518">
      <c r="A2518" s="40">
        <f t="array" ref="A2518">IFNA(index(PlayerValues!A:A,match(IFNA(vlookup(B2518,'Special Names'!A:B,2,FALSE),B2518),PlayerValues!E:E,0)),"N/A")</f>
        <v>15794</v>
      </c>
      <c r="B2518" s="4" t="s">
        <v>313</v>
      </c>
      <c r="C2518" s="4" t="s">
        <v>298</v>
      </c>
      <c r="D2518" s="94">
        <v>8138.0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7228.0</v>
      </c>
    </row>
    <row r="2520">
      <c r="A2520" s="40">
        <f t="array" ref="A2520">IFNA(index(PlayerValues!A:A,match(IFNA(vlookup(B2520,'Special Names'!A:B,2,FALSE),B2520),PlayerValues!E:E,0)),"N/A")</f>
        <v>15751</v>
      </c>
      <c r="B2520" s="4" t="s">
        <v>328</v>
      </c>
      <c r="C2520" s="4" t="s">
        <v>287</v>
      </c>
      <c r="D2520" s="94">
        <v>7177.0</v>
      </c>
    </row>
    <row r="2521">
      <c r="A2521" s="40" t="str">
        <f t="array" ref="A2521">IFNA(index(PlayerValues!A:A,match(IFNA(vlookup(B2521,'Special Names'!A:B,2,FALSE),B2521),PlayerValues!E:E,0)),"N/A")</f>
        <v>N/A</v>
      </c>
      <c r="B2521" s="4" t="s">
        <v>92</v>
      </c>
      <c r="C2521" s="4" t="s">
        <v>325</v>
      </c>
      <c r="D2521" s="94">
        <v>7064.0</v>
      </c>
    </row>
    <row r="2522">
      <c r="A2522" s="40">
        <f t="array" ref="A2522">IFNA(index(PlayerValues!A:A,match(IFNA(vlookup(B2522,'Special Names'!A:B,2,FALSE),B2522),PlayerValues!E:E,0)),"N/A")</f>
        <v>14779</v>
      </c>
      <c r="B2522" s="4" t="s">
        <v>327</v>
      </c>
      <c r="C2522" s="4" t="s">
        <v>283</v>
      </c>
      <c r="D2522" s="94">
        <v>6994.0</v>
      </c>
    </row>
    <row r="2523">
      <c r="A2523" s="40">
        <f t="array" ref="A2523">IFNA(index(PlayerValues!A:A,match(IFNA(vlookup(B2523,'Special Names'!A:B,2,FALSE),B2523),PlayerValues!E:E,0)),"N/A")</f>
        <v>17044</v>
      </c>
      <c r="B2523" s="4" t="s">
        <v>322</v>
      </c>
      <c r="C2523" s="4" t="s">
        <v>278</v>
      </c>
      <c r="D2523" s="94">
        <v>6855.0</v>
      </c>
    </row>
    <row r="2524">
      <c r="A2524" s="40">
        <f t="array" ref="A2524">IFNA(index(PlayerValues!A:A,match(IFNA(vlookup(B2524,'Special Names'!A:B,2,FALSE),B2524),PlayerValues!E:E,0)),"N/A")</f>
        <v>16167</v>
      </c>
      <c r="B2524" s="4" t="s">
        <v>323</v>
      </c>
      <c r="C2524" s="4" t="s">
        <v>278</v>
      </c>
      <c r="D2524" s="94">
        <v>6836.0</v>
      </c>
    </row>
    <row r="2525">
      <c r="A2525" s="40">
        <f t="array" ref="A2525">IFNA(index(PlayerValues!A:A,match(IFNA(vlookup(B2525,'Special Names'!A:B,2,FALSE),B2525),PlayerValues!E:E,0)),"N/A")</f>
        <v>13116</v>
      </c>
      <c r="B2525" s="4" t="s">
        <v>345</v>
      </c>
      <c r="C2525" s="4" t="s">
        <v>283</v>
      </c>
      <c r="D2525" s="94">
        <v>6645.0</v>
      </c>
    </row>
    <row r="2526">
      <c r="A2526" s="40">
        <f t="array" ref="A2526">IFNA(index(PlayerValues!A:A,match(IFNA(vlookup(B2526,'Special Names'!A:B,2,FALSE),B2526),PlayerValues!E:E,0)),"N/A")</f>
        <v>17071</v>
      </c>
      <c r="B2526" s="4" t="s">
        <v>341</v>
      </c>
      <c r="C2526" s="4" t="s">
        <v>287</v>
      </c>
      <c r="D2526" s="94">
        <v>6555.0</v>
      </c>
    </row>
    <row r="2527">
      <c r="A2527" s="40">
        <f t="array" ref="A2527">IFNA(index(PlayerValues!A:A,match(IFNA(vlookup(B2527,'Special Names'!A:B,2,FALSE),B2527),PlayerValues!E:E,0)),"N/A")</f>
        <v>17032</v>
      </c>
      <c r="B2527" s="4" t="s">
        <v>348</v>
      </c>
      <c r="C2527" s="4" t="s">
        <v>283</v>
      </c>
      <c r="D2527" s="94">
        <v>6449.0</v>
      </c>
    </row>
    <row r="2528">
      <c r="A2528" s="40">
        <f t="array" ref="A2528">IFNA(index(PlayerValues!A:A,match(IFNA(vlookup(B2528,'Special Names'!A:B,2,FALSE),B2528),PlayerValues!E:E,0)),"N/A")</f>
        <v>15237</v>
      </c>
      <c r="B2528" s="4" t="s">
        <v>336</v>
      </c>
      <c r="C2528" s="4" t="s">
        <v>283</v>
      </c>
      <c r="D2528" s="94">
        <v>6356.0</v>
      </c>
    </row>
    <row r="2529">
      <c r="A2529" s="40">
        <f t="array" ref="A2529">IFNA(index(PlayerValues!A:A,match(IFNA(vlookup(B2529,'Special Names'!A:B,2,FALSE),B2529),PlayerValues!E:E,0)),"N/A")</f>
        <v>17104</v>
      </c>
      <c r="B2529" s="4" t="s">
        <v>333</v>
      </c>
      <c r="C2529" s="4" t="s">
        <v>298</v>
      </c>
      <c r="D2529" s="94">
        <v>6911.0</v>
      </c>
    </row>
    <row r="2530">
      <c r="A2530" s="40">
        <f t="array" ref="A2530">IFNA(index(PlayerValues!A:A,match(IFNA(vlookup(B2530,'Special Names'!A:B,2,FALSE),B2530),PlayerValues!E:E,0)),"N/A")</f>
        <v>14783</v>
      </c>
      <c r="B2530" s="4" t="s">
        <v>342</v>
      </c>
      <c r="C2530" s="4" t="s">
        <v>283</v>
      </c>
      <c r="D2530" s="94">
        <v>6171.0</v>
      </c>
    </row>
    <row r="2531">
      <c r="A2531" s="40">
        <f t="array" ref="A2531">IFNA(index(PlayerValues!A:A,match(IFNA(vlookup(B2531,'Special Names'!A:B,2,FALSE),B2531),PlayerValues!E:E,0)),"N/A")</f>
        <v>16582</v>
      </c>
      <c r="B2531" s="4" t="s">
        <v>343</v>
      </c>
      <c r="C2531" s="4" t="s">
        <v>283</v>
      </c>
      <c r="D2531" s="94">
        <v>6073.0</v>
      </c>
    </row>
    <row r="2532">
      <c r="A2532" s="40">
        <f t="array" ref="A2532">IFNA(index(PlayerValues!A:A,match(IFNA(vlookup(B2532,'Special Names'!A:B,2,FALSE),B2532),PlayerValues!E:E,0)),"N/A")</f>
        <v>17081</v>
      </c>
      <c r="B2532" s="4" t="s">
        <v>340</v>
      </c>
      <c r="C2532" s="4" t="s">
        <v>287</v>
      </c>
      <c r="D2532" s="94">
        <v>6061.0</v>
      </c>
    </row>
    <row r="2533">
      <c r="A2533" s="40">
        <f t="array" ref="A2533">IFNA(index(PlayerValues!A:A,match(IFNA(vlookup(B2533,'Special Names'!A:B,2,FALSE),B2533),PlayerValues!E:E,0)),"N/A")</f>
        <v>15715</v>
      </c>
      <c r="B2533" s="4" t="s">
        <v>331</v>
      </c>
      <c r="C2533" s="4" t="s">
        <v>278</v>
      </c>
      <c r="D2533" s="94">
        <v>6044.0</v>
      </c>
    </row>
    <row r="2534">
      <c r="A2534" s="40">
        <f t="array" ref="A2534">IFNA(index(PlayerValues!A:A,match(IFNA(vlookup(B2534,'Special Names'!A:B,2,FALSE),B2534),PlayerValues!E:E,0)),"N/A")</f>
        <v>14802</v>
      </c>
      <c r="B2534" s="4" t="s">
        <v>332</v>
      </c>
      <c r="C2534" s="4" t="s">
        <v>278</v>
      </c>
      <c r="D2534" s="94">
        <v>6010.0</v>
      </c>
    </row>
    <row r="2535">
      <c r="A2535" s="40">
        <f t="array" ref="A2535">IFNA(index(PlayerValues!A:A,match(IFNA(vlookup(B2535,'Special Names'!A:B,2,FALSE),B2535),PlayerValues!E:E,0)),"N/A")</f>
        <v>17497</v>
      </c>
      <c r="B2535" s="4" t="s">
        <v>365</v>
      </c>
      <c r="C2535" s="4" t="s">
        <v>287</v>
      </c>
      <c r="D2535" s="94">
        <v>5957.0</v>
      </c>
    </row>
    <row r="2536">
      <c r="A2536" s="40">
        <f t="array" ref="A2536">IFNA(index(PlayerValues!A:A,match(IFNA(vlookup(B2536,'Special Names'!A:B,2,FALSE),B2536),PlayerValues!E:E,0)),"N/A")</f>
        <v>15762</v>
      </c>
      <c r="B2536" s="4" t="s">
        <v>337</v>
      </c>
      <c r="C2536" s="4" t="s">
        <v>287</v>
      </c>
      <c r="D2536" s="94">
        <v>5924.0</v>
      </c>
    </row>
    <row r="2537">
      <c r="A2537" s="40">
        <f t="array" ref="A2537">IFNA(index(PlayerValues!A:A,match(IFNA(vlookup(B2537,'Special Names'!A:B,2,FALSE),B2537),PlayerValues!E:E,0)),"N/A")</f>
        <v>17102</v>
      </c>
      <c r="B2537" s="4" t="s">
        <v>344</v>
      </c>
      <c r="C2537" s="4" t="s">
        <v>298</v>
      </c>
      <c r="D2537" s="94">
        <v>6499.0</v>
      </c>
    </row>
    <row r="2538">
      <c r="A2538" s="40">
        <f t="array" ref="A2538">IFNA(index(PlayerValues!A:A,match(IFNA(vlookup(B2538,'Special Names'!A:B,2,FALSE),B2538),PlayerValues!E:E,0)),"N/A")</f>
        <v>15698</v>
      </c>
      <c r="B2538" s="4" t="s">
        <v>358</v>
      </c>
      <c r="C2538" s="4" t="s">
        <v>283</v>
      </c>
      <c r="D2538" s="94">
        <v>5837.0</v>
      </c>
    </row>
    <row r="2539">
      <c r="A2539" s="40">
        <f t="array" ref="A2539">IFNA(index(PlayerValues!A:A,match(IFNA(vlookup(B2539,'Special Names'!A:B,2,FALSE),B2539),PlayerValues!E:E,0)),"N/A")</f>
        <v>15753</v>
      </c>
      <c r="B2539" s="4" t="s">
        <v>359</v>
      </c>
      <c r="C2539" s="4" t="s">
        <v>287</v>
      </c>
      <c r="D2539" s="94">
        <v>5683.0</v>
      </c>
    </row>
    <row r="2540">
      <c r="A2540" s="40" t="str">
        <f t="array" ref="A2540">IFNA(index(PlayerValues!A:A,match(IFNA(vlookup(B2540,'Special Names'!A:B,2,FALSE),B2540),PlayerValues!E:E,0)),"N/A")</f>
        <v>N/A</v>
      </c>
      <c r="B2540" s="4" t="s">
        <v>79</v>
      </c>
      <c r="C2540" s="4" t="s">
        <v>325</v>
      </c>
      <c r="D2540" s="94">
        <v>5602.0</v>
      </c>
    </row>
    <row r="2541">
      <c r="A2541" s="40" t="str">
        <f t="array" ref="A2541">IFNA(index(PlayerValues!A:A,match(IFNA(vlookup(B2541,'Special Names'!A:B,2,FALSE),B2541),PlayerValues!E:E,0)),"N/A")</f>
        <v>N/A</v>
      </c>
      <c r="B2541" s="4" t="s">
        <v>93</v>
      </c>
      <c r="C2541" s="4" t="s">
        <v>325</v>
      </c>
      <c r="D2541" s="94">
        <v>5601.0</v>
      </c>
    </row>
    <row r="2542">
      <c r="A2542" s="40">
        <f t="array" ref="A2542">IFNA(index(PlayerValues!A:A,match(IFNA(vlookup(B2542,'Special Names'!A:B,2,FALSE),B2542),PlayerValues!E:E,0)),"N/A")</f>
        <v>15290</v>
      </c>
      <c r="B2542" s="4" t="s">
        <v>355</v>
      </c>
      <c r="C2542" s="4" t="s">
        <v>287</v>
      </c>
      <c r="D2542" s="94">
        <v>5592.0</v>
      </c>
    </row>
    <row r="2543">
      <c r="A2543" s="40">
        <f t="array" ref="A2543">IFNA(index(PlayerValues!A:A,match(IFNA(vlookup(B2543,'Special Names'!A:B,2,FALSE),B2543),PlayerValues!E:E,0)),"N/A")</f>
        <v>16627</v>
      </c>
      <c r="B2543" s="4" t="s">
        <v>351</v>
      </c>
      <c r="C2543" s="4" t="s">
        <v>287</v>
      </c>
      <c r="D2543" s="94">
        <v>5568.0</v>
      </c>
    </row>
    <row r="2544">
      <c r="A2544" s="40">
        <f t="array" ref="A2544">IFNA(index(PlayerValues!A:A,match(IFNA(vlookup(B2544,'Special Names'!A:B,2,FALSE),B2544),PlayerValues!E:E,0)),"N/A")</f>
        <v>17462</v>
      </c>
      <c r="B2544" s="4" t="s">
        <v>375</v>
      </c>
      <c r="C2544" s="4" t="s">
        <v>283</v>
      </c>
      <c r="D2544" s="94">
        <v>5535.0</v>
      </c>
    </row>
    <row r="2545">
      <c r="A2545" s="40">
        <f t="array" ref="A2545">IFNA(index(PlayerValues!A:A,match(IFNA(vlookup(B2545,'Special Names'!A:B,2,FALSE),B2545),PlayerValues!E:E,0)),"N/A")</f>
        <v>15754</v>
      </c>
      <c r="B2545" s="4" t="s">
        <v>354</v>
      </c>
      <c r="C2545" s="4" t="s">
        <v>287</v>
      </c>
      <c r="D2545" s="94">
        <v>5527.0</v>
      </c>
    </row>
    <row r="2546">
      <c r="A2546" s="40">
        <f t="array" ref="A2546">IFNA(index(PlayerValues!A:A,match(IFNA(vlookup(B2546,'Special Names'!A:B,2,FALSE),B2546),PlayerValues!E:E,0)),"N/A")</f>
        <v>17051</v>
      </c>
      <c r="B2546" s="4" t="s">
        <v>386</v>
      </c>
      <c r="C2546" s="4" t="s">
        <v>278</v>
      </c>
      <c r="D2546" s="94">
        <v>5514.0</v>
      </c>
    </row>
    <row r="2547">
      <c r="A2547" s="40">
        <f t="array" ref="A2547">IFNA(index(PlayerValues!A:A,match(IFNA(vlookup(B2547,'Special Names'!A:B,2,FALSE),B2547),PlayerValues!E:E,0)),"N/A")</f>
        <v>14782</v>
      </c>
      <c r="B2547" s="4" t="s">
        <v>385</v>
      </c>
      <c r="C2547" s="4" t="s">
        <v>283</v>
      </c>
      <c r="D2547" s="94">
        <v>5513.0</v>
      </c>
    </row>
    <row r="2548">
      <c r="A2548" s="40">
        <f t="array" ref="A2548">IFNA(index(PlayerValues!A:A,match(IFNA(vlookup(B2548,'Special Names'!A:B,2,FALSE),B2548),PlayerValues!E:E,0)),"N/A")</f>
        <v>17043</v>
      </c>
      <c r="B2548" s="4" t="s">
        <v>397</v>
      </c>
      <c r="C2548" s="4" t="s">
        <v>278</v>
      </c>
      <c r="D2548" s="94">
        <v>5489.0</v>
      </c>
    </row>
    <row r="2549">
      <c r="A2549" s="40">
        <f t="array" ref="A2549">IFNA(index(PlayerValues!A:A,match(IFNA(vlookup(B2549,'Special Names'!A:B,2,FALSE),B2549),PlayerValues!E:E,0)),"N/A")</f>
        <v>15711</v>
      </c>
      <c r="B2549" s="4" t="s">
        <v>349</v>
      </c>
      <c r="C2549" s="4" t="s">
        <v>278</v>
      </c>
      <c r="D2549" s="94">
        <v>5486.0</v>
      </c>
    </row>
    <row r="2550">
      <c r="A2550" s="40">
        <f t="array" ref="A2550">IFNA(index(PlayerValues!A:A,match(IFNA(vlookup(B2550,'Special Names'!A:B,2,FALSE),B2550),PlayerValues!E:E,0)),"N/A")</f>
        <v>15282</v>
      </c>
      <c r="B2550" s="4" t="s">
        <v>364</v>
      </c>
      <c r="C2550" s="4" t="s">
        <v>287</v>
      </c>
      <c r="D2550" s="94">
        <v>5453.0</v>
      </c>
    </row>
    <row r="2551">
      <c r="A2551" s="40">
        <f t="array" ref="A2551">IFNA(index(PlayerValues!A:A,match(IFNA(vlookup(B2551,'Special Names'!A:B,2,FALSE),B2551),PlayerValues!E:E,0)),"N/A")</f>
        <v>17070</v>
      </c>
      <c r="B2551" s="4" t="s">
        <v>370</v>
      </c>
      <c r="C2551" s="4" t="s">
        <v>287</v>
      </c>
      <c r="D2551" s="94">
        <v>5404.0</v>
      </c>
    </row>
    <row r="2552">
      <c r="A2552" s="40">
        <f t="array" ref="A2552">IFNA(index(PlayerValues!A:A,match(IFNA(vlookup(B2552,'Special Names'!A:B,2,FALSE),B2552),PlayerValues!E:E,0)),"N/A")</f>
        <v>15708</v>
      </c>
      <c r="B2552" s="4" t="s">
        <v>382</v>
      </c>
      <c r="C2552" s="4" t="s">
        <v>278</v>
      </c>
      <c r="D2552" s="94">
        <v>5395.0</v>
      </c>
    </row>
    <row r="2553">
      <c r="A2553" s="40">
        <f t="array" ref="A2553">IFNA(index(PlayerValues!A:A,match(IFNA(vlookup(B2553,'Special Names'!A:B,2,FALSE),B2553),PlayerValues!E:E,0)),"N/A")</f>
        <v>17498</v>
      </c>
      <c r="B2553" s="4" t="s">
        <v>396</v>
      </c>
      <c r="C2553" s="4" t="s">
        <v>287</v>
      </c>
      <c r="D2553" s="94">
        <v>5394.0</v>
      </c>
    </row>
    <row r="2554">
      <c r="A2554" s="40">
        <f t="array" ref="A2554">IFNA(index(PlayerValues!A:A,match(IFNA(vlookup(B2554,'Special Names'!A:B,2,FALSE),B2554),PlayerValues!E:E,0)),"N/A")</f>
        <v>17030</v>
      </c>
      <c r="B2554" s="4" t="s">
        <v>406</v>
      </c>
      <c r="C2554" s="4" t="s">
        <v>283</v>
      </c>
      <c r="D2554" s="94">
        <v>5363.0</v>
      </c>
    </row>
    <row r="2555">
      <c r="A2555" s="40">
        <f t="array" ref="A2555">IFNA(index(PlayerValues!A:A,match(IFNA(vlookup(B2555,'Special Names'!A:B,2,FALSE),B2555),PlayerValues!E:E,0)),"N/A")</f>
        <v>16616</v>
      </c>
      <c r="B2555" s="4" t="s">
        <v>389</v>
      </c>
      <c r="C2555" s="4" t="s">
        <v>287</v>
      </c>
      <c r="D2555" s="94">
        <v>5273.0</v>
      </c>
    </row>
    <row r="2556">
      <c r="A2556" s="40">
        <f t="array" ref="A2556">IFNA(index(PlayerValues!A:A,match(IFNA(vlookup(B2556,'Special Names'!A:B,2,FALSE),B2556),PlayerValues!E:E,0)),"N/A")</f>
        <v>16181</v>
      </c>
      <c r="B2556" s="4" t="s">
        <v>350</v>
      </c>
      <c r="C2556" s="4" t="s">
        <v>278</v>
      </c>
      <c r="D2556" s="94">
        <v>5125.0</v>
      </c>
    </row>
    <row r="2557">
      <c r="A2557" s="40">
        <f t="array" ref="A2557">IFNA(index(PlayerValues!A:A,match(IFNA(vlookup(B2557,'Special Names'!A:B,2,FALSE),B2557),PlayerValues!E:E,0)),"N/A")</f>
        <v>17499</v>
      </c>
      <c r="B2557" s="4" t="s">
        <v>402</v>
      </c>
      <c r="C2557" s="4" t="s">
        <v>287</v>
      </c>
      <c r="D2557" s="94">
        <v>5095.0</v>
      </c>
    </row>
    <row r="2558">
      <c r="A2558" s="40" t="str">
        <f t="array" ref="A2558">IFNA(index(PlayerValues!A:A,match(IFNA(vlookup(B2558,'Special Names'!A:B,2,FALSE),B2558),PlayerValues!E:E,0)),"N/A")</f>
        <v>N/A</v>
      </c>
      <c r="B2558" s="4" t="s">
        <v>104</v>
      </c>
      <c r="C2558" s="4" t="s">
        <v>325</v>
      </c>
      <c r="D2558" s="94">
        <v>5016.0</v>
      </c>
    </row>
    <row r="2559">
      <c r="A2559" s="40">
        <f t="array" ref="A2559">IFNA(index(PlayerValues!A:A,match(IFNA(vlookup(B2559,'Special Names'!A:B,2,FALSE),B2559),PlayerValues!E:E,0)),"N/A")</f>
        <v>13130</v>
      </c>
      <c r="B2559" s="4" t="s">
        <v>374</v>
      </c>
      <c r="C2559" s="4" t="s">
        <v>278</v>
      </c>
      <c r="D2559" s="94">
        <v>4985.0</v>
      </c>
    </row>
    <row r="2560">
      <c r="A2560" s="40">
        <f t="array" ref="A2560">IFNA(index(PlayerValues!A:A,match(IFNA(vlookup(B2560,'Special Names'!A:B,2,FALSE),B2560),PlayerValues!E:E,0)),"N/A")</f>
        <v>16614</v>
      </c>
      <c r="B2560" s="4" t="s">
        <v>403</v>
      </c>
      <c r="C2560" s="4" t="s">
        <v>287</v>
      </c>
      <c r="D2560" s="94">
        <v>4968.0</v>
      </c>
    </row>
    <row r="2561">
      <c r="A2561" s="40">
        <f t="array" ref="A2561">IFNA(index(PlayerValues!A:A,match(IFNA(vlookup(B2561,'Special Names'!A:B,2,FALSE),B2561),PlayerValues!E:E,0)),"N/A")</f>
        <v>14104</v>
      </c>
      <c r="B2561" s="4" t="s">
        <v>379</v>
      </c>
      <c r="C2561" s="4" t="s">
        <v>287</v>
      </c>
      <c r="D2561" s="94">
        <v>4951.0</v>
      </c>
    </row>
    <row r="2562">
      <c r="A2562" s="40">
        <f t="array" ref="A2562">IFNA(index(PlayerValues!A:A,match(IFNA(vlookup(B2562,'Special Names'!A:B,2,FALSE),B2562),PlayerValues!E:E,0)),"N/A")</f>
        <v>13604</v>
      </c>
      <c r="B2562" s="4" t="s">
        <v>378</v>
      </c>
      <c r="C2562" s="4" t="s">
        <v>278</v>
      </c>
      <c r="D2562" s="94">
        <v>4946.0</v>
      </c>
    </row>
    <row r="2563">
      <c r="A2563" s="40">
        <f t="array" ref="A2563">IFNA(index(PlayerValues!A:A,match(IFNA(vlookup(B2563,'Special Names'!A:B,2,FALSE),B2563),PlayerValues!E:E,0)),"N/A")</f>
        <v>14835</v>
      </c>
      <c r="B2563" s="4" t="s">
        <v>392</v>
      </c>
      <c r="C2563" s="4" t="s">
        <v>287</v>
      </c>
      <c r="D2563" s="94">
        <v>4938.0</v>
      </c>
    </row>
    <row r="2564">
      <c r="A2564" s="40" t="str">
        <f t="array" ref="A2564">IFNA(index(PlayerValues!A:A,match(IFNA(vlookup(B2564,'Special Names'!A:B,2,FALSE),B2564),PlayerValues!E:E,0)),"N/A")</f>
        <v>N/A</v>
      </c>
      <c r="B2564" s="4" t="s">
        <v>94</v>
      </c>
      <c r="C2564" s="4" t="s">
        <v>325</v>
      </c>
      <c r="D2564" s="94">
        <v>4931.0</v>
      </c>
    </row>
    <row r="2565">
      <c r="A2565" s="40">
        <f t="array" ref="A2565">IFNA(index(PlayerValues!A:A,match(IFNA(vlookup(B2565,'Special Names'!A:B,2,FALSE),B2565),PlayerValues!E:E,0)),"N/A")</f>
        <v>16222</v>
      </c>
      <c r="B2565" s="4" t="s">
        <v>393</v>
      </c>
      <c r="C2565" s="4" t="s">
        <v>298</v>
      </c>
      <c r="D2565" s="94">
        <v>5496.0</v>
      </c>
    </row>
    <row r="2566">
      <c r="A2566" s="40">
        <f t="array" ref="A2566">IFNA(index(PlayerValues!A:A,match(IFNA(vlookup(B2566,'Special Names'!A:B,2,FALSE),B2566),PlayerValues!E:E,0)),"N/A")</f>
        <v>16618</v>
      </c>
      <c r="B2566" s="4" t="s">
        <v>411</v>
      </c>
      <c r="C2566" s="4" t="s">
        <v>287</v>
      </c>
      <c r="D2566" s="94">
        <v>4890.0</v>
      </c>
    </row>
    <row r="2567">
      <c r="A2567" s="40">
        <f t="array" ref="A2567">IFNA(index(PlayerValues!A:A,match(IFNA(vlookup(B2567,'Special Names'!A:B,2,FALSE),B2567),PlayerValues!E:E,0)),"N/A")</f>
        <v>16190</v>
      </c>
      <c r="B2567" s="4" t="s">
        <v>371</v>
      </c>
      <c r="C2567" s="4" t="s">
        <v>287</v>
      </c>
      <c r="D2567" s="94">
        <v>4888.0</v>
      </c>
    </row>
    <row r="2568">
      <c r="A2568" s="40">
        <f t="array" ref="A2568">IFNA(index(PlayerValues!A:A,match(IFNA(vlookup(B2568,'Special Names'!A:B,2,FALSE),B2568),PlayerValues!E:E,0)),"N/A")</f>
        <v>12620</v>
      </c>
      <c r="B2568" s="4" t="s">
        <v>394</v>
      </c>
      <c r="C2568" s="4" t="s">
        <v>283</v>
      </c>
      <c r="D2568" s="94">
        <v>4881.0</v>
      </c>
    </row>
    <row r="2569">
      <c r="A2569" s="40">
        <f t="array" ref="A2569">IFNA(index(PlayerValues!A:A,match(IFNA(vlookup(B2569,'Special Names'!A:B,2,FALSE),B2569),PlayerValues!E:E,0)),"N/A")</f>
        <v>15710</v>
      </c>
      <c r="B2569" s="4" t="s">
        <v>395</v>
      </c>
      <c r="C2569" s="4" t="s">
        <v>278</v>
      </c>
      <c r="D2569" s="94">
        <v>4864.0</v>
      </c>
    </row>
    <row r="2570">
      <c r="A2570" s="40">
        <f t="array" ref="A2570">IFNA(index(PlayerValues!A:A,match(IFNA(vlookup(B2570,'Special Names'!A:B,2,FALSE),B2570),PlayerValues!E:E,0)),"N/A")</f>
        <v>17473</v>
      </c>
      <c r="B2570" s="4" t="s">
        <v>391</v>
      </c>
      <c r="C2570" s="4" t="s">
        <v>278</v>
      </c>
      <c r="D2570" s="94">
        <v>4856.0</v>
      </c>
    </row>
    <row r="2571">
      <c r="A2571" s="40">
        <f t="array" ref="A2571">IFNA(index(PlayerValues!A:A,match(IFNA(vlookup(B2571,'Special Names'!A:B,2,FALSE),B2571),PlayerValues!E:E,0)),"N/A")</f>
        <v>17103</v>
      </c>
      <c r="B2571" s="4" t="s">
        <v>405</v>
      </c>
      <c r="C2571" s="4" t="s">
        <v>298</v>
      </c>
      <c r="D2571" s="94">
        <v>5411.0</v>
      </c>
    </row>
    <row r="2572">
      <c r="A2572" s="40">
        <f t="array" ref="A2572">IFNA(index(PlayerValues!A:A,match(IFNA(vlookup(B2572,'Special Names'!A:B,2,FALSE),B2572),PlayerValues!E:E,0)),"N/A")</f>
        <v>16150</v>
      </c>
      <c r="B2572" s="4" t="s">
        <v>414</v>
      </c>
      <c r="C2572" s="4" t="s">
        <v>283</v>
      </c>
      <c r="D2572" s="94">
        <v>4816.0</v>
      </c>
    </row>
    <row r="2573">
      <c r="A2573" s="40">
        <f t="array" ref="A2573">IFNA(index(PlayerValues!A:A,match(IFNA(vlookup(B2573,'Special Names'!A:B,2,FALSE),B2573),PlayerValues!E:E,0)),"N/A")</f>
        <v>17039</v>
      </c>
      <c r="B2573" s="4" t="s">
        <v>400</v>
      </c>
      <c r="C2573" s="4" t="s">
        <v>283</v>
      </c>
      <c r="D2573" s="94">
        <v>4816.0</v>
      </c>
    </row>
    <row r="2574">
      <c r="A2574" s="40">
        <f t="array" ref="A2574">IFNA(index(PlayerValues!A:A,match(IFNA(vlookup(B2574,'Special Names'!A:B,2,FALSE),B2574),PlayerValues!E:E,0)),"N/A")</f>
        <v>17045</v>
      </c>
      <c r="B2574" s="4" t="s">
        <v>407</v>
      </c>
      <c r="C2574" s="4" t="s">
        <v>278</v>
      </c>
      <c r="D2574" s="94">
        <v>4788.0</v>
      </c>
    </row>
    <row r="2575">
      <c r="A2575" s="40">
        <f t="array" ref="A2575">IFNA(index(PlayerValues!A:A,match(IFNA(vlookup(B2575,'Special Names'!A:B,2,FALSE),B2575),PlayerValues!E:E,0)),"N/A")</f>
        <v>15284</v>
      </c>
      <c r="B2575" s="4" t="s">
        <v>390</v>
      </c>
      <c r="C2575" s="4" t="s">
        <v>287</v>
      </c>
      <c r="D2575" s="94">
        <v>4767.0</v>
      </c>
    </row>
    <row r="2576">
      <c r="A2576" s="40">
        <f t="array" ref="A2576">IFNA(index(PlayerValues!A:A,match(IFNA(vlookup(B2576,'Special Names'!A:B,2,FALSE),B2576),PlayerValues!E:E,0)),"N/A")</f>
        <v>16598</v>
      </c>
      <c r="B2576" s="4" t="s">
        <v>408</v>
      </c>
      <c r="C2576" s="4" t="s">
        <v>278</v>
      </c>
      <c r="D2576" s="94">
        <v>4722.0</v>
      </c>
    </row>
    <row r="2577">
      <c r="A2577" s="40">
        <f t="array" ref="A2577">IFNA(index(PlayerValues!A:A,match(IFNA(vlookup(B2577,'Special Names'!A:B,2,FALSE),B2577),PlayerValues!E:E,0)),"N/A")</f>
        <v>13590</v>
      </c>
      <c r="B2577" s="4" t="s">
        <v>409</v>
      </c>
      <c r="C2577" s="4" t="s">
        <v>283</v>
      </c>
      <c r="D2577" s="94">
        <v>4707.0</v>
      </c>
    </row>
    <row r="2578">
      <c r="A2578" s="40">
        <f t="array" ref="A2578">IFNA(index(PlayerValues!A:A,match(IFNA(vlookup(B2578,'Special Names'!A:B,2,FALSE),B2578),PlayerValues!E:E,0)),"N/A")</f>
        <v>12611</v>
      </c>
      <c r="B2578" s="4" t="s">
        <v>410</v>
      </c>
      <c r="C2578" s="4" t="s">
        <v>283</v>
      </c>
      <c r="D2578" s="94">
        <v>4683.0</v>
      </c>
    </row>
    <row r="2579">
      <c r="A2579" s="40">
        <f t="array" ref="A2579">IFNA(index(PlayerValues!A:A,match(IFNA(vlookup(B2579,'Special Names'!A:B,2,FALSE),B2579),PlayerValues!E:E,0)),"N/A")</f>
        <v>15756</v>
      </c>
      <c r="B2579" s="4" t="s">
        <v>399</v>
      </c>
      <c r="C2579" s="4" t="s">
        <v>287</v>
      </c>
      <c r="D2579" s="94">
        <v>4678.0</v>
      </c>
    </row>
    <row r="2580">
      <c r="A2580" s="40">
        <f t="array" ref="A2580">IFNA(index(PlayerValues!A:A,match(IFNA(vlookup(B2580,'Special Names'!A:B,2,FALSE),B2580),PlayerValues!E:E,0)),"N/A")</f>
        <v>16194</v>
      </c>
      <c r="B2580" s="4" t="s">
        <v>398</v>
      </c>
      <c r="C2580" s="4" t="s">
        <v>287</v>
      </c>
      <c r="D2580" s="94">
        <v>4668.0</v>
      </c>
    </row>
    <row r="2581">
      <c r="A2581" s="40" t="str">
        <f t="array" ref="A2581">IFNA(index(PlayerValues!A:A,match(IFNA(vlookup(B2581,'Special Names'!A:B,2,FALSE),B2581),PlayerValues!E:E,0)),"N/A")</f>
        <v>N/A</v>
      </c>
      <c r="B2581" s="4" t="s">
        <v>105</v>
      </c>
      <c r="C2581" s="4" t="s">
        <v>325</v>
      </c>
      <c r="D2581" s="94">
        <v>4591.0</v>
      </c>
    </row>
    <row r="2582">
      <c r="A2582" s="40" t="str">
        <f t="array" ref="A2582">IFNA(index(PlayerValues!A:A,match(IFNA(vlookup(B2582,'Special Names'!A:B,2,FALSE),B2582),PlayerValues!E:E,0)),"N/A")</f>
        <v>N/A</v>
      </c>
      <c r="B2582" s="4" t="s">
        <v>80</v>
      </c>
      <c r="C2582" s="4" t="s">
        <v>325</v>
      </c>
      <c r="D2582" s="94">
        <v>4581.0</v>
      </c>
    </row>
    <row r="2583">
      <c r="A2583" s="40">
        <f t="array" ref="A2583">IFNA(index(PlayerValues!A:A,match(IFNA(vlookup(B2583,'Special Names'!A:B,2,FALSE),B2583),PlayerValues!E:E,0)),"N/A")</f>
        <v>13592</v>
      </c>
      <c r="B2583" s="4" t="s">
        <v>418</v>
      </c>
      <c r="C2583" s="4" t="s">
        <v>283</v>
      </c>
      <c r="D2583" s="94">
        <v>4519.0</v>
      </c>
    </row>
    <row r="2584">
      <c r="A2584" s="40">
        <f t="array" ref="A2584">IFNA(index(PlayerValues!A:A,match(IFNA(vlookup(B2584,'Special Names'!A:B,2,FALSE),B2584),PlayerValues!E:E,0)),"N/A")</f>
        <v>15329</v>
      </c>
      <c r="B2584" s="4" t="s">
        <v>416</v>
      </c>
      <c r="C2584" s="4" t="s">
        <v>298</v>
      </c>
      <c r="D2584" s="94">
        <v>5040.0</v>
      </c>
    </row>
    <row r="2585">
      <c r="A2585" s="40">
        <f t="array" ref="A2585">IFNA(index(PlayerValues!A:A,match(IFNA(vlookup(B2585,'Special Names'!A:B,2,FALSE),B2585),PlayerValues!E:E,0)),"N/A")</f>
        <v>15256</v>
      </c>
      <c r="B2585" s="4" t="s">
        <v>401</v>
      </c>
      <c r="C2585" s="4" t="s">
        <v>278</v>
      </c>
      <c r="D2585" s="94">
        <v>4486.0</v>
      </c>
    </row>
    <row r="2586">
      <c r="A2586" s="40">
        <f t="array" ref="A2586">IFNA(index(PlayerValues!A:A,match(IFNA(vlookup(B2586,'Special Names'!A:B,2,FALSE),B2586),PlayerValues!E:E,0)),"N/A")</f>
        <v>16214</v>
      </c>
      <c r="B2586" s="4" t="s">
        <v>413</v>
      </c>
      <c r="C2586" s="4" t="s">
        <v>298</v>
      </c>
      <c r="D2586" s="94">
        <v>5011.0</v>
      </c>
    </row>
    <row r="2587">
      <c r="A2587" s="40">
        <f t="array" ref="A2587">IFNA(index(PlayerValues!A:A,match(IFNA(vlookup(B2587,'Special Names'!A:B,2,FALSE),B2587),PlayerValues!E:E,0)),"N/A")</f>
        <v>17501</v>
      </c>
      <c r="B2587" s="4" t="s">
        <v>404</v>
      </c>
      <c r="C2587" s="4" t="s">
        <v>287</v>
      </c>
      <c r="D2587" s="94">
        <v>4470.0</v>
      </c>
    </row>
    <row r="2588">
      <c r="A2588" s="40">
        <f t="array" ref="A2588">IFNA(index(PlayerValues!A:A,match(IFNA(vlookup(B2588,'Special Names'!A:B,2,FALSE),B2588),PlayerValues!E:E,0)),"N/A")</f>
        <v>15253</v>
      </c>
      <c r="B2588" s="4" t="s">
        <v>415</v>
      </c>
      <c r="C2588" s="4" t="s">
        <v>278</v>
      </c>
      <c r="D2588" s="94">
        <v>4468.0</v>
      </c>
    </row>
    <row r="2589">
      <c r="A2589" s="40">
        <f t="array" ref="A2589">IFNA(index(PlayerValues!A:A,match(IFNA(vlookup(B2589,'Special Names'!A:B,2,FALSE),B2589),PlayerValues!E:E,0)),"N/A")</f>
        <v>16148</v>
      </c>
      <c r="B2589" s="4" t="s">
        <v>426</v>
      </c>
      <c r="C2589" s="4" t="s">
        <v>283</v>
      </c>
      <c r="D2589" s="94">
        <v>4320.0</v>
      </c>
    </row>
    <row r="2590">
      <c r="A2590" s="40" t="str">
        <f t="array" ref="A2590">IFNA(index(PlayerValues!A:A,match(IFNA(vlookup(B2590,'Special Names'!A:B,2,FALSE),B2590),PlayerValues!E:E,0)),"N/A")</f>
        <v>N/A</v>
      </c>
      <c r="B2590" s="4" t="s">
        <v>107</v>
      </c>
      <c r="C2590" s="4" t="s">
        <v>325</v>
      </c>
      <c r="D2590" s="94">
        <v>4128.0</v>
      </c>
    </row>
    <row r="2591">
      <c r="A2591" s="40">
        <f t="array" ref="A2591">IFNA(index(PlayerValues!A:A,match(IFNA(vlookup(B2591,'Special Names'!A:B,2,FALSE),B2591),PlayerValues!E:E,0)),"N/A")</f>
        <v>14056</v>
      </c>
      <c r="B2591" s="4" t="s">
        <v>423</v>
      </c>
      <c r="C2591" s="4" t="s">
        <v>283</v>
      </c>
      <c r="D2591" s="94">
        <v>4123.0</v>
      </c>
    </row>
    <row r="2592">
      <c r="A2592" s="40">
        <f t="array" ref="A2592">IFNA(index(PlayerValues!A:A,match(IFNA(vlookup(B2592,'Special Names'!A:B,2,FALSE),B2592),PlayerValues!E:E,0)),"N/A")</f>
        <v>17052</v>
      </c>
      <c r="B2592" s="4" t="s">
        <v>417</v>
      </c>
      <c r="C2592" s="4" t="s">
        <v>278</v>
      </c>
      <c r="D2592" s="94">
        <v>4116.0</v>
      </c>
    </row>
    <row r="2593">
      <c r="A2593" s="40">
        <f t="array" ref="A2593">IFNA(index(PlayerValues!A:A,match(IFNA(vlookup(B2593,'Special Names'!A:B,2,FALSE),B2593),PlayerValues!E:E,0)),"N/A")</f>
        <v>17543</v>
      </c>
      <c r="B2593" s="4" t="s">
        <v>436</v>
      </c>
      <c r="C2593" s="4" t="s">
        <v>298</v>
      </c>
      <c r="D2593" s="94">
        <v>4561.0</v>
      </c>
    </row>
    <row r="2594">
      <c r="A2594" s="40">
        <f t="array" ref="A2594">IFNA(index(PlayerValues!A:A,match(IFNA(vlookup(B2594,'Special Names'!A:B,2,FALSE),B2594),PlayerValues!E:E,0)),"N/A")</f>
        <v>12626</v>
      </c>
      <c r="B2594" s="4" t="s">
        <v>419</v>
      </c>
      <c r="C2594" s="4" t="s">
        <v>278</v>
      </c>
      <c r="D2594" s="94">
        <v>4005.0</v>
      </c>
    </row>
    <row r="2595">
      <c r="A2595" s="40">
        <f t="array" ref="A2595">IFNA(index(PlayerValues!A:A,match(IFNA(vlookup(B2595,'Special Names'!A:B,2,FALSE),B2595),PlayerValues!E:E,0)),"N/A")</f>
        <v>15768</v>
      </c>
      <c r="B2595" s="4" t="s">
        <v>432</v>
      </c>
      <c r="C2595" s="4" t="s">
        <v>287</v>
      </c>
      <c r="D2595" s="94">
        <v>3993.0</v>
      </c>
    </row>
    <row r="2596">
      <c r="A2596" s="40">
        <f t="array" ref="A2596">IFNA(index(PlayerValues!A:A,match(IFNA(vlookup(B2596,'Special Names'!A:B,2,FALSE),B2596),PlayerValues!E:E,0)),"N/A")</f>
        <v>16186</v>
      </c>
      <c r="B2596" s="4" t="s">
        <v>425</v>
      </c>
      <c r="C2596" s="4" t="s">
        <v>287</v>
      </c>
      <c r="D2596" s="94">
        <v>3956.0</v>
      </c>
    </row>
    <row r="2597">
      <c r="A2597" s="40">
        <f t="array" ref="A2597">IFNA(index(PlayerValues!A:A,match(IFNA(vlookup(B2597,'Special Names'!A:B,2,FALSE),B2597),PlayerValues!E:E,0)),"N/A")</f>
        <v>14059</v>
      </c>
      <c r="B2597" s="4" t="s">
        <v>435</v>
      </c>
      <c r="C2597" s="4" t="s">
        <v>283</v>
      </c>
      <c r="D2597" s="94">
        <v>3929.0</v>
      </c>
    </row>
    <row r="2598">
      <c r="A2598" s="40">
        <f t="array" ref="A2598">IFNA(index(PlayerValues!A:A,match(IFNA(vlookup(B2598,'Special Names'!A:B,2,FALSE),B2598),PlayerValues!E:E,0)),"N/A")</f>
        <v>15789</v>
      </c>
      <c r="B2598" s="4" t="s">
        <v>421</v>
      </c>
      <c r="C2598" s="4" t="s">
        <v>287</v>
      </c>
      <c r="D2598" s="94">
        <v>3898.0</v>
      </c>
    </row>
    <row r="2599">
      <c r="A2599" s="40" t="str">
        <f t="array" ref="A2599">IFNA(index(PlayerValues!A:A,match(IFNA(vlookup(B2599,'Special Names'!A:B,2,FALSE),B2599),PlayerValues!E:E,0)),"N/A")</f>
        <v>N/A</v>
      </c>
      <c r="B2599" s="4" t="s">
        <v>81</v>
      </c>
      <c r="C2599" s="4" t="s">
        <v>325</v>
      </c>
      <c r="D2599" s="94">
        <v>3888.0</v>
      </c>
    </row>
    <row r="2600">
      <c r="A2600" s="40" t="str">
        <f t="array" ref="A2600">IFNA(index(PlayerValues!A:A,match(IFNA(vlookup(B2600,'Special Names'!A:B,2,FALSE),B2600),PlayerValues!E:E,0)),"N/A")</f>
        <v>N/A</v>
      </c>
      <c r="B2600" s="4" t="s">
        <v>95</v>
      </c>
      <c r="C2600" s="4" t="s">
        <v>325</v>
      </c>
      <c r="D2600" s="94">
        <v>3887.0</v>
      </c>
    </row>
    <row r="2601">
      <c r="A2601" s="40">
        <f t="array" ref="A2601">IFNA(index(PlayerValues!A:A,match(IFNA(vlookup(B2601,'Special Names'!A:B,2,FALSE),B2601),PlayerValues!E:E,0)),"N/A")</f>
        <v>14073</v>
      </c>
      <c r="B2601" s="4" t="s">
        <v>464</v>
      </c>
      <c r="C2601" s="4" t="s">
        <v>278</v>
      </c>
      <c r="D2601" s="94">
        <v>3835.0</v>
      </c>
    </row>
    <row r="2602">
      <c r="A2602" s="40">
        <f t="array" ref="A2602">IFNA(index(PlayerValues!A:A,match(IFNA(vlookup(B2602,'Special Names'!A:B,2,FALSE),B2602),PlayerValues!E:E,0)),"N/A")</f>
        <v>15694</v>
      </c>
      <c r="B2602" s="4" t="s">
        <v>434</v>
      </c>
      <c r="C2602" s="4" t="s">
        <v>283</v>
      </c>
      <c r="D2602" s="94">
        <v>3820.0</v>
      </c>
    </row>
    <row r="2603">
      <c r="A2603" s="40">
        <f t="array" ref="A2603">IFNA(index(PlayerValues!A:A,match(IFNA(vlookup(B2603,'Special Names'!A:B,2,FALSE),B2603),PlayerValues!E:E,0)),"N/A")</f>
        <v>9431</v>
      </c>
      <c r="B2603" s="4" t="s">
        <v>428</v>
      </c>
      <c r="C2603" s="4" t="s">
        <v>283</v>
      </c>
      <c r="D2603" s="94">
        <v>3807.0</v>
      </c>
    </row>
    <row r="2604">
      <c r="A2604" s="40">
        <f t="array" ref="A2604">IFNA(index(PlayerValues!A:A,match(IFNA(vlookup(B2604,'Special Names'!A:B,2,FALSE),B2604),PlayerValues!E:E,0)),"N/A")</f>
        <v>17502</v>
      </c>
      <c r="B2604" s="4" t="s">
        <v>451</v>
      </c>
      <c r="C2604" s="4" t="s">
        <v>287</v>
      </c>
      <c r="D2604" s="94">
        <v>3711.0</v>
      </c>
    </row>
    <row r="2605">
      <c r="A2605" s="40">
        <f t="array" ref="A2605">IFNA(index(PlayerValues!A:A,match(IFNA(vlookup(B2605,'Special Names'!A:B,2,FALSE),B2605),PlayerValues!E:E,0)),"N/A")</f>
        <v>16192</v>
      </c>
      <c r="B2605" s="4" t="s">
        <v>412</v>
      </c>
      <c r="C2605" s="4" t="s">
        <v>287</v>
      </c>
      <c r="D2605" s="94">
        <v>3687.0</v>
      </c>
    </row>
    <row r="2606">
      <c r="A2606" s="40">
        <f t="array" ref="A2606">IFNA(index(PlayerValues!A:A,match(IFNA(vlookup(B2606,'Special Names'!A:B,2,FALSE),B2606),PlayerValues!E:E,0)),"N/A")</f>
        <v>16187</v>
      </c>
      <c r="B2606" s="4" t="s">
        <v>441</v>
      </c>
      <c r="C2606" s="4" t="s">
        <v>287</v>
      </c>
      <c r="D2606" s="94">
        <v>3671.0</v>
      </c>
    </row>
    <row r="2607">
      <c r="A2607" s="40">
        <f t="array" ref="A2607">IFNA(index(PlayerValues!A:A,match(IFNA(vlookup(B2607,'Special Names'!A:B,2,FALSE),B2607),PlayerValues!E:E,0)),"N/A")</f>
        <v>14797</v>
      </c>
      <c r="B2607" s="4" t="s">
        <v>420</v>
      </c>
      <c r="C2607" s="4" t="s">
        <v>278</v>
      </c>
      <c r="D2607" s="94">
        <v>3627.0</v>
      </c>
    </row>
    <row r="2608">
      <c r="A2608" s="40">
        <f t="array" ref="A2608">IFNA(index(PlayerValues!A:A,match(IFNA(vlookup(B2608,'Special Names'!A:B,2,FALSE),B2608),PlayerValues!E:E,0)),"N/A")</f>
        <v>17075</v>
      </c>
      <c r="B2608" s="4" t="s">
        <v>429</v>
      </c>
      <c r="C2608" s="4" t="s">
        <v>287</v>
      </c>
      <c r="D2608" s="94">
        <v>3622.0</v>
      </c>
    </row>
    <row r="2609">
      <c r="A2609" s="40">
        <f t="array" ref="A2609">IFNA(index(PlayerValues!A:A,match(IFNA(vlookup(B2609,'Special Names'!A:B,2,FALSE),B2609),PlayerValues!E:E,0)),"N/A")</f>
        <v>13635</v>
      </c>
      <c r="B2609" s="4" t="s">
        <v>424</v>
      </c>
      <c r="C2609" s="4" t="s">
        <v>287</v>
      </c>
      <c r="D2609" s="94">
        <v>3613.0</v>
      </c>
    </row>
    <row r="2610">
      <c r="A2610" s="40">
        <f t="array" ref="A2610">IFNA(index(PlayerValues!A:A,match(IFNA(vlookup(B2610,'Special Names'!A:B,2,FALSE),B2610),PlayerValues!E:E,0)),"N/A")</f>
        <v>16206</v>
      </c>
      <c r="B2610" s="4" t="s">
        <v>431</v>
      </c>
      <c r="C2610" s="4" t="s">
        <v>287</v>
      </c>
      <c r="D2610" s="94">
        <v>3604.0</v>
      </c>
    </row>
    <row r="2611">
      <c r="A2611" s="40">
        <f t="array" ref="A2611">IFNA(index(PlayerValues!A:A,match(IFNA(vlookup(B2611,'Special Names'!A:B,2,FALSE),B2611),PlayerValues!E:E,0)),"N/A")</f>
        <v>17099</v>
      </c>
      <c r="B2611" s="4" t="s">
        <v>474</v>
      </c>
      <c r="C2611" s="4" t="s">
        <v>298</v>
      </c>
      <c r="D2611" s="94">
        <v>4064.0</v>
      </c>
    </row>
    <row r="2612">
      <c r="A2612" s="40">
        <f t="array" ref="A2612">IFNA(index(PlayerValues!A:A,match(IFNA(vlookup(B2612,'Special Names'!A:B,2,FALSE),B2612),PlayerValues!E:E,0)),"N/A")</f>
        <v>17544</v>
      </c>
      <c r="B2612" s="4" t="s">
        <v>470</v>
      </c>
      <c r="C2612" s="4" t="s">
        <v>298</v>
      </c>
      <c r="D2612" s="94">
        <v>4054.0</v>
      </c>
    </row>
    <row r="2613">
      <c r="A2613" s="40">
        <f t="array" ref="A2613">IFNA(index(PlayerValues!A:A,match(IFNA(vlookup(B2613,'Special Names'!A:B,2,FALSE),B2613),PlayerValues!E:E,0)),"N/A")</f>
        <v>17066</v>
      </c>
      <c r="B2613" s="4" t="s">
        <v>446</v>
      </c>
      <c r="C2613" s="4" t="s">
        <v>278</v>
      </c>
      <c r="D2613" s="94">
        <v>3573.0</v>
      </c>
    </row>
    <row r="2614">
      <c r="A2614" s="40">
        <f t="array" ref="A2614">IFNA(index(PlayerValues!A:A,match(IFNA(vlookup(B2614,'Special Names'!A:B,2,FALSE),B2614),PlayerValues!E:E,0)),"N/A")</f>
        <v>16188</v>
      </c>
      <c r="B2614" s="4" t="s">
        <v>439</v>
      </c>
      <c r="C2614" s="4" t="s">
        <v>287</v>
      </c>
      <c r="D2614" s="94">
        <v>3570.0</v>
      </c>
    </row>
    <row r="2615">
      <c r="A2615" s="40">
        <f t="array" ref="A2615">IFNA(index(PlayerValues!A:A,match(IFNA(vlookup(B2615,'Special Names'!A:B,2,FALSE),B2615),PlayerValues!E:E,0)),"N/A")</f>
        <v>17463</v>
      </c>
      <c r="B2615" s="4" t="s">
        <v>433</v>
      </c>
      <c r="C2615" s="4" t="s">
        <v>283</v>
      </c>
      <c r="D2615" s="94">
        <v>3550.0</v>
      </c>
    </row>
    <row r="2616">
      <c r="A2616" s="40">
        <f t="array" ref="A2616">IFNA(index(PlayerValues!A:A,match(IFNA(vlookup(B2616,'Special Names'!A:B,2,FALSE),B2616),PlayerValues!E:E,0)),"N/A")</f>
        <v>15757</v>
      </c>
      <c r="B2616" s="4" t="s">
        <v>449</v>
      </c>
      <c r="C2616" s="4" t="s">
        <v>287</v>
      </c>
      <c r="D2616" s="94">
        <v>3491.0</v>
      </c>
    </row>
    <row r="2617">
      <c r="A2617" s="40">
        <f t="array" ref="A2617">IFNA(index(PlayerValues!A:A,match(IFNA(vlookup(B2617,'Special Names'!A:B,2,FALSE),B2617),PlayerValues!E:E,0)),"N/A")</f>
        <v>14109</v>
      </c>
      <c r="B2617" s="4" t="s">
        <v>437</v>
      </c>
      <c r="C2617" s="4" t="s">
        <v>287</v>
      </c>
      <c r="D2617" s="94">
        <v>3486.0</v>
      </c>
    </row>
    <row r="2618">
      <c r="A2618" s="40">
        <f t="array" ref="A2618">IFNA(index(PlayerValues!A:A,match(IFNA(vlookup(B2618,'Special Names'!A:B,2,FALSE),B2618),PlayerValues!E:E,0)),"N/A")</f>
        <v>17500</v>
      </c>
      <c r="B2618" s="4" t="s">
        <v>430</v>
      </c>
      <c r="C2618" s="4" t="s">
        <v>287</v>
      </c>
      <c r="D2618" s="94">
        <v>3461.0</v>
      </c>
    </row>
    <row r="2619">
      <c r="A2619" s="40" t="str">
        <f t="array" ref="A2619">IFNA(index(PlayerValues!A:A,match(IFNA(vlookup(B2619,'Special Names'!A:B,2,FALSE),B2619),PlayerValues!E:E,0)),"N/A")</f>
        <v>N/A</v>
      </c>
      <c r="B2619" s="4" t="s">
        <v>96</v>
      </c>
      <c r="C2619" s="4" t="s">
        <v>325</v>
      </c>
      <c r="D2619" s="94">
        <v>3459.0</v>
      </c>
    </row>
    <row r="2620">
      <c r="A2620" s="40">
        <f t="array" ref="A2620">IFNA(index(PlayerValues!A:A,match(IFNA(vlookup(B2620,'Special Names'!A:B,2,FALSE),B2620),PlayerValues!E:E,0)),"N/A")</f>
        <v>17083</v>
      </c>
      <c r="B2620" s="4" t="s">
        <v>479</v>
      </c>
      <c r="C2620" s="4" t="s">
        <v>287</v>
      </c>
      <c r="D2620" s="94">
        <v>3447.0</v>
      </c>
    </row>
    <row r="2621">
      <c r="A2621" s="40">
        <f t="array" ref="A2621">IFNA(index(PlayerValues!A:A,match(IFNA(vlookup(B2621,'Special Names'!A:B,2,FALSE),B2621),PlayerValues!E:E,0)),"N/A")</f>
        <v>14102</v>
      </c>
      <c r="B2621" s="4" t="s">
        <v>444</v>
      </c>
      <c r="C2621" s="4" t="s">
        <v>287</v>
      </c>
      <c r="D2621" s="94">
        <v>3439.0</v>
      </c>
    </row>
    <row r="2622">
      <c r="A2622" s="40">
        <f t="array" ref="A2622">IFNA(index(PlayerValues!A:A,match(IFNA(vlookup(B2622,'Special Names'!A:B,2,FALSE),B2622),PlayerValues!E:E,0)),"N/A")</f>
        <v>16184</v>
      </c>
      <c r="B2622" s="4" t="s">
        <v>445</v>
      </c>
      <c r="C2622" s="4" t="s">
        <v>287</v>
      </c>
      <c r="D2622" s="94">
        <v>3439.0</v>
      </c>
    </row>
    <row r="2623">
      <c r="A2623" s="40">
        <f t="array" ref="A2623">IFNA(index(PlayerValues!A:A,match(IFNA(vlookup(B2623,'Special Names'!A:B,2,FALSE),B2623),PlayerValues!E:E,0)),"N/A")</f>
        <v>17068</v>
      </c>
      <c r="B2623" s="4" t="s">
        <v>450</v>
      </c>
      <c r="C2623" s="4" t="s">
        <v>278</v>
      </c>
      <c r="D2623" s="94">
        <v>3385.0</v>
      </c>
    </row>
    <row r="2624">
      <c r="A2624" s="40">
        <f t="array" ref="A2624">IFNA(index(PlayerValues!A:A,match(IFNA(vlookup(B2624,'Special Names'!A:B,2,FALSE),B2624),PlayerValues!E:E,0)),"N/A")</f>
        <v>15798</v>
      </c>
      <c r="B2624" s="4" t="s">
        <v>443</v>
      </c>
      <c r="C2624" s="4" t="s">
        <v>298</v>
      </c>
      <c r="D2624" s="94">
        <v>3830.0</v>
      </c>
    </row>
    <row r="2625">
      <c r="A2625" s="40">
        <f t="array" ref="A2625">IFNA(index(PlayerValues!A:A,match(IFNA(vlookup(B2625,'Special Names'!A:B,2,FALSE),B2625),PlayerValues!E:E,0)),"N/A")</f>
        <v>14071</v>
      </c>
      <c r="B2625" s="4" t="s">
        <v>440</v>
      </c>
      <c r="C2625" s="4" t="s">
        <v>278</v>
      </c>
      <c r="D2625" s="94">
        <v>3378.0</v>
      </c>
    </row>
    <row r="2626">
      <c r="A2626" s="40">
        <f t="array" ref="A2626">IFNA(index(PlayerValues!A:A,match(IFNA(vlookup(B2626,'Special Names'!A:B,2,FALSE),B2626),PlayerValues!E:E,0)),"N/A")</f>
        <v>16622</v>
      </c>
      <c r="B2626" s="4" t="s">
        <v>517</v>
      </c>
      <c r="C2626" s="4" t="s">
        <v>287</v>
      </c>
      <c r="D2626" s="94">
        <v>3364.0</v>
      </c>
    </row>
    <row r="2627">
      <c r="A2627" s="40">
        <f t="array" ref="A2627">IFNA(index(PlayerValues!A:A,match(IFNA(vlookup(B2627,'Special Names'!A:B,2,FALSE),B2627),PlayerValues!E:E,0)),"N/A")</f>
        <v>16169</v>
      </c>
      <c r="B2627" s="4" t="s">
        <v>457</v>
      </c>
      <c r="C2627" s="4" t="s">
        <v>278</v>
      </c>
      <c r="D2627" s="94">
        <v>3362.0</v>
      </c>
    </row>
    <row r="2628">
      <c r="A2628" s="40">
        <f t="array" ref="A2628">IFNA(index(PlayerValues!A:A,match(IFNA(vlookup(B2628,'Special Names'!A:B,2,FALSE),B2628),PlayerValues!E:E,0)),"N/A")</f>
        <v>14842</v>
      </c>
      <c r="B2628" s="4" t="s">
        <v>456</v>
      </c>
      <c r="C2628" s="4" t="s">
        <v>287</v>
      </c>
      <c r="D2628" s="94">
        <v>3361.0</v>
      </c>
    </row>
    <row r="2629">
      <c r="A2629" s="40">
        <f t="array" ref="A2629">IFNA(index(PlayerValues!A:A,match(IFNA(vlookup(B2629,'Special Names'!A:B,2,FALSE),B2629),PlayerValues!E:E,0)),"N/A")</f>
        <v>16593</v>
      </c>
      <c r="B2629" s="4" t="s">
        <v>442</v>
      </c>
      <c r="C2629" s="4" t="s">
        <v>278</v>
      </c>
      <c r="D2629" s="94">
        <v>3355.0</v>
      </c>
    </row>
    <row r="2630">
      <c r="A2630" s="40">
        <f t="array" ref="A2630">IFNA(index(PlayerValues!A:A,match(IFNA(vlookup(B2630,'Special Names'!A:B,2,FALSE),B2630),PlayerValues!E:E,0)),"N/A")</f>
        <v>16620</v>
      </c>
      <c r="B2630" s="4" t="s">
        <v>467</v>
      </c>
      <c r="C2630" s="4" t="s">
        <v>287</v>
      </c>
      <c r="D2630" s="94">
        <v>3333.0</v>
      </c>
    </row>
    <row r="2631">
      <c r="A2631" s="40">
        <f t="array" ref="A2631">IFNA(index(PlayerValues!A:A,match(IFNA(vlookup(B2631,'Special Names'!A:B,2,FALSE),B2631),PlayerValues!E:E,0)),"N/A")</f>
        <v>11675</v>
      </c>
      <c r="B2631" s="4" t="s">
        <v>438</v>
      </c>
      <c r="C2631" s="4" t="s">
        <v>287</v>
      </c>
      <c r="D2631" s="94">
        <v>3329.0</v>
      </c>
    </row>
    <row r="2632">
      <c r="A2632" s="40">
        <f t="array" ref="A2632">IFNA(index(PlayerValues!A:A,match(IFNA(vlookup(B2632,'Special Names'!A:B,2,FALSE),B2632),PlayerValues!E:E,0)),"N/A")</f>
        <v>17074</v>
      </c>
      <c r="B2632" s="4" t="s">
        <v>475</v>
      </c>
      <c r="C2632" s="4" t="s">
        <v>287</v>
      </c>
      <c r="D2632" s="94">
        <v>3329.0</v>
      </c>
    </row>
    <row r="2633">
      <c r="A2633" s="40">
        <f t="array" ref="A2633">IFNA(index(PlayerValues!A:A,match(IFNA(vlookup(B2633,'Special Names'!A:B,2,FALSE),B2633),PlayerValues!E:E,0)),"N/A")</f>
        <v>15261</v>
      </c>
      <c r="B2633" s="4" t="s">
        <v>466</v>
      </c>
      <c r="C2633" s="4" t="s">
        <v>278</v>
      </c>
      <c r="D2633" s="94">
        <v>3325.0</v>
      </c>
    </row>
    <row r="2634">
      <c r="A2634" s="40">
        <f t="array" ref="A2634">IFNA(index(PlayerValues!A:A,match(IFNA(vlookup(B2634,'Special Names'!A:B,2,FALSE),B2634),PlayerValues!E:E,0)),"N/A")</f>
        <v>16597</v>
      </c>
      <c r="B2634" s="4" t="s">
        <v>427</v>
      </c>
      <c r="C2634" s="4" t="s">
        <v>278</v>
      </c>
      <c r="D2634" s="94">
        <v>3313.0</v>
      </c>
    </row>
    <row r="2635">
      <c r="A2635" s="40">
        <f t="array" ref="A2635">IFNA(index(PlayerValues!A:A,match(IFNA(vlookup(B2635,'Special Names'!A:B,2,FALSE),B2635),PlayerValues!E:E,0)),"N/A")</f>
        <v>11671</v>
      </c>
      <c r="B2635" s="4" t="s">
        <v>463</v>
      </c>
      <c r="C2635" s="4" t="s">
        <v>287</v>
      </c>
      <c r="D2635" s="94">
        <v>3312.0</v>
      </c>
    </row>
    <row r="2636">
      <c r="A2636" s="40" t="str">
        <f t="array" ref="A2636">IFNA(index(PlayerValues!A:A,match(IFNA(vlookup(B2636,'Special Names'!A:B,2,FALSE),B2636),PlayerValues!E:E,0)),"N/A")</f>
        <v>N/A</v>
      </c>
      <c r="B2636" s="4" t="s">
        <v>82</v>
      </c>
      <c r="C2636" s="4" t="s">
        <v>325</v>
      </c>
      <c r="D2636" s="94">
        <v>3312.0</v>
      </c>
    </row>
    <row r="2637">
      <c r="A2637" s="40">
        <f t="array" ref="A2637">IFNA(index(PlayerValues!A:A,match(IFNA(vlookup(B2637,'Special Names'!A:B,2,FALSE),B2637),PlayerValues!E:E,0)),"N/A")</f>
        <v>13299</v>
      </c>
      <c r="B2637" s="4" t="s">
        <v>448</v>
      </c>
      <c r="C2637" s="4" t="s">
        <v>298</v>
      </c>
      <c r="D2637" s="94">
        <v>3728.0</v>
      </c>
    </row>
    <row r="2638">
      <c r="A2638" s="40" t="str">
        <f t="array" ref="A2638">IFNA(index(PlayerValues!A:A,match(IFNA(vlookup(B2638,'Special Names'!A:B,2,FALSE),B2638),PlayerValues!E:E,0)),"N/A")</f>
        <v>N/A</v>
      </c>
      <c r="B2638" s="4" t="s">
        <v>108</v>
      </c>
      <c r="C2638" s="4" t="s">
        <v>325</v>
      </c>
      <c r="D2638" s="94">
        <v>3216.0</v>
      </c>
    </row>
    <row r="2639">
      <c r="A2639" s="40">
        <f t="array" ref="A2639">IFNA(index(PlayerValues!A:A,match(IFNA(vlookup(B2639,'Special Names'!A:B,2,FALSE),B2639),PlayerValues!E:E,0)),"N/A")</f>
        <v>15799</v>
      </c>
      <c r="B2639" s="4" t="s">
        <v>468</v>
      </c>
      <c r="C2639" s="4" t="s">
        <v>298</v>
      </c>
      <c r="D2639" s="94">
        <v>3644.0</v>
      </c>
    </row>
    <row r="2640">
      <c r="A2640" s="40">
        <f t="array" ref="A2640">IFNA(index(PlayerValues!A:A,match(IFNA(vlookup(B2640,'Special Names'!A:B,2,FALSE),B2640),PlayerValues!E:E,0)),"N/A")</f>
        <v>15742</v>
      </c>
      <c r="B2640" s="4" t="s">
        <v>447</v>
      </c>
      <c r="C2640" s="4" t="s">
        <v>278</v>
      </c>
      <c r="D2640" s="94">
        <v>3198.0</v>
      </c>
    </row>
    <row r="2641">
      <c r="A2641" s="40">
        <f t="array" ref="A2641">IFNA(index(PlayerValues!A:A,match(IFNA(vlookup(B2641,'Special Names'!A:B,2,FALSE),B2641),PlayerValues!E:E,0)),"N/A")</f>
        <v>17477</v>
      </c>
      <c r="B2641" s="4" t="s">
        <v>452</v>
      </c>
      <c r="C2641" s="4" t="s">
        <v>278</v>
      </c>
      <c r="D2641" s="94">
        <v>3180.0</v>
      </c>
    </row>
    <row r="2642">
      <c r="A2642" s="40" t="str">
        <f t="array" ref="A2642">IFNA(index(PlayerValues!A:A,match(IFNA(vlookup(B2642,'Special Names'!A:B,2,FALSE),B2642),PlayerValues!E:E,0)),"N/A")</f>
        <v>N/A</v>
      </c>
      <c r="B2642" s="4" t="s">
        <v>97</v>
      </c>
      <c r="C2642" s="4" t="s">
        <v>325</v>
      </c>
      <c r="D2642" s="94">
        <v>3173.0</v>
      </c>
    </row>
    <row r="2643">
      <c r="A2643" s="40">
        <f t="array" ref="A2643">IFNA(index(PlayerValues!A:A,match(IFNA(vlookup(B2643,'Special Names'!A:B,2,FALSE),B2643),PlayerValues!E:E,0)),"N/A")</f>
        <v>16809</v>
      </c>
      <c r="B2643" s="4" t="s">
        <v>455</v>
      </c>
      <c r="C2643" s="4" t="s">
        <v>287</v>
      </c>
      <c r="D2643" s="94">
        <v>3158.0</v>
      </c>
    </row>
    <row r="2644">
      <c r="A2644" s="40">
        <f t="array" ref="A2644">IFNA(index(PlayerValues!A:A,match(IFNA(vlookup(B2644,'Special Names'!A:B,2,FALSE),B2644),PlayerValues!E:E,0)),"N/A")</f>
        <v>14823</v>
      </c>
      <c r="B2644" s="4" t="s">
        <v>459</v>
      </c>
      <c r="C2644" s="4" t="s">
        <v>278</v>
      </c>
      <c r="D2644" s="94">
        <v>3151.0</v>
      </c>
    </row>
    <row r="2645">
      <c r="A2645" s="40">
        <f t="array" ref="A2645">IFNA(index(PlayerValues!A:A,match(IFNA(vlookup(B2645,'Special Names'!A:B,2,FALSE),B2645),PlayerValues!E:E,0)),"N/A")</f>
        <v>16213</v>
      </c>
      <c r="B2645" s="4" t="s">
        <v>458</v>
      </c>
      <c r="C2645" s="4" t="s">
        <v>298</v>
      </c>
      <c r="D2645" s="94">
        <v>3570.0</v>
      </c>
    </row>
    <row r="2646">
      <c r="A2646" s="40">
        <f t="array" ref="A2646">IFNA(index(PlayerValues!A:A,match(IFNA(vlookup(B2646,'Special Names'!A:B,2,FALSE),B2646),PlayerValues!E:E,0)),"N/A")</f>
        <v>13630</v>
      </c>
      <c r="B2646" s="4" t="s">
        <v>465</v>
      </c>
      <c r="C2646" s="4" t="s">
        <v>287</v>
      </c>
      <c r="D2646" s="94">
        <v>3108.0</v>
      </c>
    </row>
    <row r="2647">
      <c r="A2647" s="40">
        <f t="array" ref="A2647">IFNA(index(PlayerValues!A:A,match(IFNA(vlookup(B2647,'Special Names'!A:B,2,FALSE),B2647),PlayerValues!E:E,0)),"N/A")</f>
        <v>15779</v>
      </c>
      <c r="B2647" s="4" t="s">
        <v>461</v>
      </c>
      <c r="C2647" s="4" t="s">
        <v>287</v>
      </c>
      <c r="D2647" s="94">
        <v>3088.0</v>
      </c>
    </row>
    <row r="2648">
      <c r="A2648" s="40">
        <f t="array" ref="A2648">IFNA(index(PlayerValues!A:A,match(IFNA(vlookup(B2648,'Special Names'!A:B,2,FALSE),B2648),PlayerValues!E:E,0)),"N/A")</f>
        <v>16583</v>
      </c>
      <c r="B2648" s="4" t="s">
        <v>493</v>
      </c>
      <c r="C2648" s="4" t="s">
        <v>283</v>
      </c>
      <c r="D2648" s="94">
        <v>3075.0</v>
      </c>
    </row>
    <row r="2649">
      <c r="A2649" s="40">
        <f t="array" ref="A2649">IFNA(index(PlayerValues!A:A,match(IFNA(vlookup(B2649,'Special Names'!A:B,2,FALSE),B2649),PlayerValues!E:E,0)),"N/A")</f>
        <v>16628</v>
      </c>
      <c r="B2649" s="4" t="s">
        <v>490</v>
      </c>
      <c r="C2649" s="4" t="s">
        <v>287</v>
      </c>
      <c r="D2649" s="94">
        <v>3074.0</v>
      </c>
    </row>
    <row r="2650">
      <c r="A2650" s="40">
        <f t="array" ref="A2650">IFNA(index(PlayerValues!A:A,match(IFNA(vlookup(B2650,'Special Names'!A:B,2,FALSE),B2650),PlayerValues!E:E,0)),"N/A")</f>
        <v>17506</v>
      </c>
      <c r="B2650" s="4" t="s">
        <v>471</v>
      </c>
      <c r="C2650" s="4" t="s">
        <v>287</v>
      </c>
      <c r="D2650" s="94">
        <v>3059.0</v>
      </c>
    </row>
    <row r="2651">
      <c r="A2651" s="40">
        <f t="array" ref="A2651">IFNA(index(PlayerValues!A:A,match(IFNA(vlookup(B2651,'Special Names'!A:B,2,FALSE),B2651),PlayerValues!E:E,0)),"N/A")</f>
        <v>14127</v>
      </c>
      <c r="B2651" s="4" t="s">
        <v>486</v>
      </c>
      <c r="C2651" s="4" t="s">
        <v>287</v>
      </c>
      <c r="D2651" s="94">
        <v>3056.0</v>
      </c>
    </row>
    <row r="2652">
      <c r="A2652" s="40">
        <f t="array" ref="A2652">IFNA(index(PlayerValues!A:A,match(IFNA(vlookup(B2652,'Special Names'!A:B,2,FALSE),B2652),PlayerValues!E:E,0)),"N/A")</f>
        <v>17512</v>
      </c>
      <c r="B2652" s="4" t="s">
        <v>483</v>
      </c>
      <c r="C2652" s="4" t="s">
        <v>287</v>
      </c>
      <c r="D2652" s="94">
        <v>3038.0</v>
      </c>
    </row>
    <row r="2653">
      <c r="A2653" s="40" t="str">
        <f t="array" ref="A2653">IFNA(index(PlayerValues!A:A,match(IFNA(vlookup(B2653,'Special Names'!A:B,2,FALSE),B2653),PlayerValues!E:E,0)),"N/A")</f>
        <v>N/A</v>
      </c>
      <c r="B2653" s="4" t="s">
        <v>84</v>
      </c>
      <c r="C2653" s="4" t="s">
        <v>325</v>
      </c>
      <c r="D2653" s="94">
        <v>2989.0</v>
      </c>
    </row>
    <row r="2654">
      <c r="A2654" s="40" t="str">
        <f t="array" ref="A2654">IFNA(index(PlayerValues!A:A,match(IFNA(vlookup(B2654,'Special Names'!A:B,2,FALSE),B2654),PlayerValues!E:E,0)),"N/A")</f>
        <v>N/A</v>
      </c>
      <c r="B2654" s="4" t="s">
        <v>109</v>
      </c>
      <c r="C2654" s="4" t="s">
        <v>325</v>
      </c>
      <c r="D2654" s="94">
        <v>2986.0</v>
      </c>
    </row>
    <row r="2655">
      <c r="A2655" s="40">
        <f t="array" ref="A2655">IFNA(index(PlayerValues!A:A,match(IFNA(vlookup(B2655,'Special Names'!A:B,2,FALSE),B2655),PlayerValues!E:E,0)),"N/A")</f>
        <v>16269</v>
      </c>
      <c r="B2655" s="4" t="s">
        <v>481</v>
      </c>
      <c r="C2655" s="4" t="s">
        <v>298</v>
      </c>
      <c r="D2655" s="94">
        <v>3406.0</v>
      </c>
    </row>
    <row r="2656">
      <c r="A2656" s="40">
        <f t="array" ref="A2656">IFNA(index(PlayerValues!A:A,match(IFNA(vlookup(B2656,'Special Names'!A:B,2,FALSE),B2656),PlayerValues!E:E,0)),"N/A")</f>
        <v>14800</v>
      </c>
      <c r="B2656" s="4" t="s">
        <v>472</v>
      </c>
      <c r="C2656" s="4" t="s">
        <v>278</v>
      </c>
      <c r="D2656" s="94">
        <v>2965.0</v>
      </c>
    </row>
    <row r="2657">
      <c r="A2657" s="40">
        <f t="array" ref="A2657">IFNA(index(PlayerValues!A:A,match(IFNA(vlookup(B2657,'Special Names'!A:B,2,FALSE),B2657),PlayerValues!E:E,0)),"N/A")</f>
        <v>17503</v>
      </c>
      <c r="B2657" s="4" t="s">
        <v>480</v>
      </c>
      <c r="C2657" s="4" t="s">
        <v>287</v>
      </c>
      <c r="D2657" s="94">
        <v>2964.0</v>
      </c>
    </row>
    <row r="2658">
      <c r="A2658" s="40">
        <f t="array" ref="A2658">IFNA(index(PlayerValues!A:A,match(IFNA(vlookup(B2658,'Special Names'!A:B,2,FALSE),B2658),PlayerValues!E:E,0)),"N/A")</f>
        <v>17256</v>
      </c>
      <c r="B2658" s="4" t="s">
        <v>462</v>
      </c>
      <c r="C2658" s="4" t="s">
        <v>278</v>
      </c>
      <c r="D2658" s="94">
        <v>2952.0</v>
      </c>
    </row>
    <row r="2659">
      <c r="A2659" s="40">
        <f t="array" ref="A2659">IFNA(index(PlayerValues!A:A,match(IFNA(vlookup(B2659,'Special Names'!A:B,2,FALSE),B2659),PlayerValues!E:E,0)),"N/A")</f>
        <v>15259</v>
      </c>
      <c r="B2659" s="4" t="s">
        <v>453</v>
      </c>
      <c r="C2659" s="4" t="s">
        <v>278</v>
      </c>
      <c r="D2659" s="94">
        <v>2943.0</v>
      </c>
    </row>
    <row r="2660">
      <c r="A2660" s="40">
        <f t="array" ref="A2660">IFNA(index(PlayerValues!A:A,match(IFNA(vlookup(B2660,'Special Names'!A:B,2,FALSE),B2660),PlayerValues!E:E,0)),"N/A")</f>
        <v>15761</v>
      </c>
      <c r="B2660" s="4" t="s">
        <v>491</v>
      </c>
      <c r="C2660" s="4" t="s">
        <v>287</v>
      </c>
      <c r="D2660" s="94">
        <v>2921.0</v>
      </c>
    </row>
    <row r="2661">
      <c r="A2661" s="40">
        <f t="array" ref="A2661">IFNA(index(PlayerValues!A:A,match(IFNA(vlookup(B2661,'Special Names'!A:B,2,FALSE),B2661),PlayerValues!E:E,0)),"N/A")</f>
        <v>13163</v>
      </c>
      <c r="B2661" s="4" t="s">
        <v>473</v>
      </c>
      <c r="C2661" s="4" t="s">
        <v>287</v>
      </c>
      <c r="D2661" s="94">
        <v>2913.0</v>
      </c>
    </row>
    <row r="2662">
      <c r="A2662" s="40">
        <f t="array" ref="A2662">IFNA(index(PlayerValues!A:A,match(IFNA(vlookup(B2662,'Special Names'!A:B,2,FALSE),B2662),PlayerValues!E:E,0)),"N/A")</f>
        <v>15255</v>
      </c>
      <c r="B2662" s="4" t="s">
        <v>477</v>
      </c>
      <c r="C2662" s="4" t="s">
        <v>278</v>
      </c>
      <c r="D2662" s="94">
        <v>2912.0</v>
      </c>
    </row>
    <row r="2663">
      <c r="A2663" s="40">
        <f t="array" ref="A2663">IFNA(index(PlayerValues!A:A,match(IFNA(vlookup(B2663,'Special Names'!A:B,2,FALSE),B2663),PlayerValues!E:E,0)),"N/A")</f>
        <v>17476</v>
      </c>
      <c r="B2663" s="4" t="s">
        <v>494</v>
      </c>
      <c r="C2663" s="4" t="s">
        <v>278</v>
      </c>
      <c r="D2663" s="94">
        <v>2903.0</v>
      </c>
    </row>
    <row r="2664">
      <c r="A2664" s="40">
        <f t="array" ref="A2664">IFNA(index(PlayerValues!A:A,match(IFNA(vlookup(B2664,'Special Names'!A:B,2,FALSE),B2664),PlayerValues!E:E,0)),"N/A")</f>
        <v>14085</v>
      </c>
      <c r="B2664" s="4" t="s">
        <v>489</v>
      </c>
      <c r="C2664" s="4" t="s">
        <v>278</v>
      </c>
      <c r="D2664" s="94">
        <v>2828.0</v>
      </c>
    </row>
    <row r="2665">
      <c r="A2665" s="40">
        <f t="array" ref="A2665">IFNA(index(PlayerValues!A:A,match(IFNA(vlookup(B2665,'Special Names'!A:B,2,FALSE),B2665),PlayerValues!E:E,0)),"N/A")</f>
        <v>15889</v>
      </c>
      <c r="B2665" s="4" t="s">
        <v>503</v>
      </c>
      <c r="C2665" s="4" t="s">
        <v>298</v>
      </c>
      <c r="D2665" s="94">
        <v>3225.0</v>
      </c>
    </row>
    <row r="2666">
      <c r="A2666" s="40" t="str">
        <f t="array" ref="A2666">IFNA(index(PlayerValues!A:A,match(IFNA(vlookup(B2666,'Special Names'!A:B,2,FALSE),B2666),PlayerValues!E:E,0)),"N/A")</f>
        <v>N/A</v>
      </c>
      <c r="B2666" s="4" t="s">
        <v>85</v>
      </c>
      <c r="C2666" s="4" t="s">
        <v>325</v>
      </c>
      <c r="D2666" s="94">
        <v>2809.0</v>
      </c>
    </row>
    <row r="2667">
      <c r="A2667" s="40" t="str">
        <f t="array" ref="A2667">IFNA(index(PlayerValues!A:A,match(IFNA(vlookup(B2667,'Special Names'!A:B,2,FALSE),B2667),PlayerValues!E:E,0)),"N/A")</f>
        <v>N/A</v>
      </c>
      <c r="B2667" s="4" t="s">
        <v>110</v>
      </c>
      <c r="C2667" s="4" t="s">
        <v>325</v>
      </c>
      <c r="D2667" s="94">
        <v>2799.0</v>
      </c>
    </row>
    <row r="2668">
      <c r="A2668" s="40">
        <f t="array" ref="A2668">IFNA(index(PlayerValues!A:A,match(IFNA(vlookup(B2668,'Special Names'!A:B,2,FALSE),B2668),PlayerValues!E:E,0)),"N/A")</f>
        <v>17505</v>
      </c>
      <c r="B2668" s="4" t="s">
        <v>528</v>
      </c>
      <c r="C2668" s="4" t="s">
        <v>287</v>
      </c>
      <c r="D2668" s="94">
        <v>2786.0</v>
      </c>
    </row>
    <row r="2669">
      <c r="A2669" s="40">
        <f t="array" ref="A2669">IFNA(index(PlayerValues!A:A,match(IFNA(vlookup(B2669,'Special Names'!A:B,2,FALSE),B2669),PlayerValues!E:E,0)),"N/A")</f>
        <v>14778</v>
      </c>
      <c r="B2669" s="4" t="s">
        <v>564</v>
      </c>
      <c r="C2669" s="4" t="s">
        <v>283</v>
      </c>
      <c r="D2669" s="94">
        <v>2780.0</v>
      </c>
    </row>
    <row r="2670">
      <c r="A2670" s="40">
        <f t="array" ref="A2670">IFNA(index(PlayerValues!A:A,match(IFNA(vlookup(B2670,'Special Names'!A:B,2,FALSE),B2670),PlayerValues!E:E,0)),"N/A")</f>
        <v>13671</v>
      </c>
      <c r="B2670" s="4" t="s">
        <v>506</v>
      </c>
      <c r="C2670" s="4" t="s">
        <v>298</v>
      </c>
      <c r="D2670" s="94">
        <v>3189.0</v>
      </c>
    </row>
    <row r="2671">
      <c r="A2671" s="40">
        <f t="array" ref="A2671">IFNA(index(PlayerValues!A:A,match(IFNA(vlookup(B2671,'Special Names'!A:B,2,FALSE),B2671),PlayerValues!E:E,0)),"N/A")</f>
        <v>16080</v>
      </c>
      <c r="B2671" s="4" t="s">
        <v>499</v>
      </c>
      <c r="C2671" s="4" t="s">
        <v>287</v>
      </c>
      <c r="D2671" s="94">
        <v>2764.0</v>
      </c>
    </row>
    <row r="2672">
      <c r="A2672" s="40">
        <f t="array" ref="A2672">IFNA(index(PlayerValues!A:A,match(IFNA(vlookup(B2672,'Special Names'!A:B,2,FALSE),B2672),PlayerValues!E:E,0)),"N/A")</f>
        <v>17157</v>
      </c>
      <c r="B2672" s="4" t="s">
        <v>524</v>
      </c>
      <c r="C2672" s="4" t="s">
        <v>287</v>
      </c>
      <c r="D2672" s="94">
        <v>2763.0</v>
      </c>
    </row>
    <row r="2673">
      <c r="A2673" s="40">
        <f t="array" ref="A2673">IFNA(index(PlayerValues!A:A,match(IFNA(vlookup(B2673,'Special Names'!A:B,2,FALSE),B2673),PlayerValues!E:E,0)),"N/A")</f>
        <v>15721</v>
      </c>
      <c r="B2673" s="4" t="s">
        <v>504</v>
      </c>
      <c r="C2673" s="4" t="s">
        <v>278</v>
      </c>
      <c r="D2673" s="94">
        <v>2753.0</v>
      </c>
    </row>
    <row r="2674">
      <c r="A2674" s="40">
        <f t="array" ref="A2674">IFNA(index(PlayerValues!A:A,match(IFNA(vlookup(B2674,'Special Names'!A:B,2,FALSE),B2674),PlayerValues!E:E,0)),"N/A")</f>
        <v>16723</v>
      </c>
      <c r="B2674" s="4" t="s">
        <v>502</v>
      </c>
      <c r="C2674" s="4" t="s">
        <v>298</v>
      </c>
      <c r="D2674" s="94">
        <v>3165.0</v>
      </c>
    </row>
    <row r="2675">
      <c r="A2675" s="40">
        <f t="array" ref="A2675">IFNA(index(PlayerValues!A:A,match(IFNA(vlookup(B2675,'Special Names'!A:B,2,FALSE),B2675),PlayerValues!E:E,0)),"N/A")</f>
        <v>17047</v>
      </c>
      <c r="B2675" s="4" t="s">
        <v>510</v>
      </c>
      <c r="C2675" s="4" t="s">
        <v>278</v>
      </c>
      <c r="D2675" s="94">
        <v>2750.0</v>
      </c>
    </row>
    <row r="2676">
      <c r="A2676" s="40">
        <f t="array" ref="A2676">IFNA(index(PlayerValues!A:A,match(IFNA(vlookup(B2676,'Special Names'!A:B,2,FALSE),B2676),PlayerValues!E:E,0)),"N/A")</f>
        <v>15712</v>
      </c>
      <c r="B2676" s="4" t="s">
        <v>488</v>
      </c>
      <c r="C2676" s="4" t="s">
        <v>278</v>
      </c>
      <c r="D2676" s="94">
        <v>2744.0</v>
      </c>
    </row>
    <row r="2677">
      <c r="A2677" s="40">
        <f t="array" ref="A2677">IFNA(index(PlayerValues!A:A,match(IFNA(vlookup(B2677,'Special Names'!A:B,2,FALSE),B2677),PlayerValues!E:E,0)),"N/A")</f>
        <v>17072</v>
      </c>
      <c r="B2677" s="4" t="s">
        <v>508</v>
      </c>
      <c r="C2677" s="4" t="s">
        <v>287</v>
      </c>
      <c r="D2677" s="94">
        <v>2739.0</v>
      </c>
    </row>
    <row r="2678">
      <c r="A2678" s="40">
        <f t="array" ref="A2678">IFNA(index(PlayerValues!A:A,match(IFNA(vlookup(B2678,'Special Names'!A:B,2,FALSE),B2678),PlayerValues!E:E,0)),"N/A")</f>
        <v>16584</v>
      </c>
      <c r="B2678" s="4" t="s">
        <v>569</v>
      </c>
      <c r="C2678" s="4" t="s">
        <v>283</v>
      </c>
      <c r="D2678" s="94">
        <v>2733.0</v>
      </c>
    </row>
    <row r="2679">
      <c r="A2679" s="40">
        <f t="array" ref="A2679">IFNA(index(PlayerValues!A:A,match(IFNA(vlookup(B2679,'Special Names'!A:B,2,FALSE),B2679),PlayerValues!E:E,0)),"N/A")</f>
        <v>17053</v>
      </c>
      <c r="B2679" s="4" t="s">
        <v>484</v>
      </c>
      <c r="C2679" s="4" t="s">
        <v>278</v>
      </c>
      <c r="D2679" s="94">
        <v>2726.0</v>
      </c>
    </row>
    <row r="2680">
      <c r="A2680" s="40">
        <f t="array" ref="A2680">IFNA(index(PlayerValues!A:A,match(IFNA(vlookup(B2680,'Special Names'!A:B,2,FALSE),B2680),PlayerValues!E:E,0)),"N/A")</f>
        <v>17514</v>
      </c>
      <c r="B2680" s="4" t="s">
        <v>422</v>
      </c>
      <c r="C2680" s="4" t="s">
        <v>287</v>
      </c>
      <c r="D2680" s="94">
        <v>2725.0</v>
      </c>
    </row>
    <row r="2681">
      <c r="A2681" s="40">
        <f t="array" ref="A2681">IFNA(index(PlayerValues!A:A,match(IFNA(vlookup(B2681,'Special Names'!A:B,2,FALSE),B2681),PlayerValues!E:E,0)),"N/A")</f>
        <v>14138</v>
      </c>
      <c r="B2681" s="4" t="s">
        <v>531</v>
      </c>
      <c r="C2681" s="4" t="s">
        <v>298</v>
      </c>
      <c r="D2681" s="94">
        <v>3137.0</v>
      </c>
    </row>
    <row r="2682">
      <c r="A2682" s="40">
        <f t="array" ref="A2682">IFNA(index(PlayerValues!A:A,match(IFNA(vlookup(B2682,'Special Names'!A:B,2,FALSE),B2682),PlayerValues!E:E,0)),"N/A")</f>
        <v>17080</v>
      </c>
      <c r="B2682" s="4" t="s">
        <v>532</v>
      </c>
      <c r="C2682" s="4" t="s">
        <v>287</v>
      </c>
      <c r="D2682" s="94">
        <v>2720.0</v>
      </c>
    </row>
    <row r="2683">
      <c r="A2683" s="40">
        <f t="array" ref="A2683">IFNA(index(PlayerValues!A:A,match(IFNA(vlookup(B2683,'Special Names'!A:B,2,FALSE),B2683),PlayerValues!E:E,0)),"N/A")</f>
        <v>17511</v>
      </c>
      <c r="B2683" s="4" t="s">
        <v>485</v>
      </c>
      <c r="C2683" s="4" t="s">
        <v>287</v>
      </c>
      <c r="D2683" s="94">
        <v>2718.0</v>
      </c>
    </row>
    <row r="2684">
      <c r="A2684" s="40">
        <f t="array" ref="A2684">IFNA(index(PlayerValues!A:A,match(IFNA(vlookup(B2684,'Special Names'!A:B,2,FALSE),B2684),PlayerValues!E:E,0)),"N/A")</f>
        <v>17031</v>
      </c>
      <c r="B2684" s="4" t="s">
        <v>535</v>
      </c>
      <c r="C2684" s="4" t="s">
        <v>283</v>
      </c>
      <c r="D2684" s="94">
        <v>2714.0</v>
      </c>
    </row>
    <row r="2685">
      <c r="A2685" s="40">
        <f t="array" ref="A2685">IFNA(index(PlayerValues!A:A,match(IFNA(vlookup(B2685,'Special Names'!A:B,2,FALSE),B2685),PlayerValues!E:E,0)),"N/A")</f>
        <v>17507</v>
      </c>
      <c r="B2685" s="4" t="s">
        <v>495</v>
      </c>
      <c r="C2685" s="4" t="s">
        <v>287</v>
      </c>
      <c r="D2685" s="94">
        <v>2703.0</v>
      </c>
    </row>
    <row r="2686">
      <c r="A2686" s="40">
        <f t="array" ref="A2686">IFNA(index(PlayerValues!A:A,match(IFNA(vlookup(B2686,'Special Names'!A:B,2,FALSE),B2686),PlayerValues!E:E,0)),"N/A")</f>
        <v>15241</v>
      </c>
      <c r="B2686" s="4" t="s">
        <v>546</v>
      </c>
      <c r="C2686" s="4" t="s">
        <v>283</v>
      </c>
      <c r="D2686" s="94">
        <v>2672.0</v>
      </c>
    </row>
    <row r="2687">
      <c r="A2687" s="40">
        <f t="array" ref="A2687">IFNA(index(PlayerValues!A:A,match(IFNA(vlookup(B2687,'Special Names'!A:B,2,FALSE),B2687),PlayerValues!E:E,0)),"N/A")</f>
        <v>16596</v>
      </c>
      <c r="B2687" s="4" t="s">
        <v>501</v>
      </c>
      <c r="C2687" s="4" t="s">
        <v>278</v>
      </c>
      <c r="D2687" s="94">
        <v>2670.0</v>
      </c>
    </row>
    <row r="2688">
      <c r="A2688" s="40">
        <f t="array" ref="A2688">IFNA(index(PlayerValues!A:A,match(IFNA(vlookup(B2688,'Special Names'!A:B,2,FALSE),B2688),PlayerValues!E:E,0)),"N/A")</f>
        <v>17107</v>
      </c>
      <c r="B2688" s="4" t="s">
        <v>478</v>
      </c>
      <c r="C2688" s="4" t="s">
        <v>298</v>
      </c>
      <c r="D2688" s="94">
        <v>3081.0</v>
      </c>
    </row>
    <row r="2689">
      <c r="A2689" s="40">
        <f t="array" ref="A2689">IFNA(index(PlayerValues!A:A,match(IFNA(vlookup(B2689,'Special Names'!A:B,2,FALSE),B2689),PlayerValues!E:E,0)),"N/A")</f>
        <v>15972</v>
      </c>
      <c r="B2689" s="4" t="s">
        <v>469</v>
      </c>
      <c r="C2689" s="4" t="s">
        <v>278</v>
      </c>
      <c r="D2689" s="94">
        <v>2665.0</v>
      </c>
    </row>
    <row r="2690">
      <c r="A2690" s="40">
        <f t="array" ref="A2690">IFNA(index(PlayerValues!A:A,match(IFNA(vlookup(B2690,'Special Names'!A:B,2,FALSE),B2690),PlayerValues!E:E,0)),"N/A")</f>
        <v>12616</v>
      </c>
      <c r="B2690" s="4" t="s">
        <v>529</v>
      </c>
      <c r="C2690" s="4" t="s">
        <v>283</v>
      </c>
      <c r="D2690" s="94">
        <v>2652.0</v>
      </c>
    </row>
    <row r="2691">
      <c r="A2691" s="40">
        <f t="array" ref="A2691">IFNA(index(PlayerValues!A:A,match(IFNA(vlookup(B2691,'Special Names'!A:B,2,FALSE),B2691),PlayerValues!E:E,0)),"N/A")</f>
        <v>16747</v>
      </c>
      <c r="B2691" s="4" t="s">
        <v>555</v>
      </c>
      <c r="C2691" s="4" t="s">
        <v>278</v>
      </c>
      <c r="D2691" s="94">
        <v>2651.0</v>
      </c>
    </row>
    <row r="2692">
      <c r="A2692" s="40">
        <f t="array" ref="A2692">IFNA(index(PlayerValues!A:A,match(IFNA(vlookup(B2692,'Special Names'!A:B,2,FALSE),B2692),PlayerValues!E:E,0)),"N/A")</f>
        <v>17105</v>
      </c>
      <c r="B2692" s="4" t="s">
        <v>525</v>
      </c>
      <c r="C2692" s="4" t="s">
        <v>298</v>
      </c>
      <c r="D2692" s="94">
        <v>3059.0</v>
      </c>
    </row>
    <row r="2693">
      <c r="A2693" s="40" t="str">
        <f t="array" ref="A2693">IFNA(index(PlayerValues!A:A,match(IFNA(vlookup(B2693,'Special Names'!A:B,2,FALSE),B2693),PlayerValues!E:E,0)),"N/A")</f>
        <v>N/A</v>
      </c>
      <c r="B2693" s="4" t="s">
        <v>98</v>
      </c>
      <c r="C2693" s="4" t="s">
        <v>325</v>
      </c>
      <c r="D2693" s="94">
        <v>2640.0</v>
      </c>
    </row>
    <row r="2694">
      <c r="A2694" s="40">
        <f t="array" ref="A2694">IFNA(index(PlayerValues!A:A,match(IFNA(vlookup(B2694,'Special Names'!A:B,2,FALSE),B2694),PlayerValues!E:E,0)),"N/A")</f>
        <v>16174</v>
      </c>
      <c r="B2694" s="4" t="s">
        <v>505</v>
      </c>
      <c r="C2694" s="4" t="s">
        <v>278</v>
      </c>
      <c r="D2694" s="94">
        <v>2638.0</v>
      </c>
    </row>
    <row r="2695">
      <c r="A2695" s="40">
        <f t="array" ref="A2695">IFNA(index(PlayerValues!A:A,match(IFNA(vlookup(B2695,'Special Names'!A:B,2,FALSE),B2695),PlayerValues!E:E,0)),"N/A")</f>
        <v>17098</v>
      </c>
      <c r="B2695" s="4" t="s">
        <v>533</v>
      </c>
      <c r="C2695" s="4" t="s">
        <v>287</v>
      </c>
      <c r="D2695" s="94">
        <v>2637.0</v>
      </c>
    </row>
    <row r="2696">
      <c r="A2696" s="40">
        <f t="array" ref="A2696">IFNA(index(PlayerValues!A:A,match(IFNA(vlookup(B2696,'Special Names'!A:B,2,FALSE),B2696),PlayerValues!E:E,0)),"N/A")</f>
        <v>14833</v>
      </c>
      <c r="B2696" s="4" t="s">
        <v>553</v>
      </c>
      <c r="C2696" s="4" t="s">
        <v>287</v>
      </c>
      <c r="D2696" s="94">
        <v>2608.0</v>
      </c>
    </row>
    <row r="2697">
      <c r="A2697" s="40">
        <f t="array" ref="A2697">IFNA(index(PlayerValues!A:A,match(IFNA(vlookup(B2697,'Special Names'!A:B,2,FALSE),B2697),PlayerValues!E:E,0)),"N/A")</f>
        <v>14860</v>
      </c>
      <c r="B2697" s="4" t="s">
        <v>554</v>
      </c>
      <c r="C2697" s="4" t="s">
        <v>287</v>
      </c>
      <c r="D2697" s="94">
        <v>2606.0</v>
      </c>
    </row>
    <row r="2698">
      <c r="A2698" s="40">
        <f t="array" ref="A2698">IFNA(index(PlayerValues!A:A,match(IFNA(vlookup(B2698,'Special Names'!A:B,2,FALSE),B2698),PlayerValues!E:E,0)),"N/A")</f>
        <v>16165</v>
      </c>
      <c r="B2698" s="4" t="s">
        <v>520</v>
      </c>
      <c r="C2698" s="4" t="s">
        <v>278</v>
      </c>
      <c r="D2698" s="94">
        <v>2597.0</v>
      </c>
    </row>
    <row r="2699">
      <c r="A2699" s="40">
        <f t="array" ref="A2699">IFNA(index(PlayerValues!A:A,match(IFNA(vlookup(B2699,'Special Names'!A:B,2,FALSE),B2699),PlayerValues!E:E,0)),"N/A")</f>
        <v>16619</v>
      </c>
      <c r="B2699" s="4" t="s">
        <v>538</v>
      </c>
      <c r="C2699" s="4" t="s">
        <v>287</v>
      </c>
      <c r="D2699" s="94">
        <v>2594.0</v>
      </c>
    </row>
    <row r="2700">
      <c r="A2700" s="40">
        <f t="array" ref="A2700">IFNA(index(PlayerValues!A:A,match(IFNA(vlookup(B2700,'Special Names'!A:B,2,FALSE),B2700),PlayerValues!E:E,0)),"N/A")</f>
        <v>13674</v>
      </c>
      <c r="B2700" s="4" t="s">
        <v>511</v>
      </c>
      <c r="C2700" s="4" t="s">
        <v>298</v>
      </c>
      <c r="D2700" s="94">
        <v>2998.0</v>
      </c>
    </row>
    <row r="2701">
      <c r="A2701" s="40">
        <f t="array" ref="A2701">IFNA(index(PlayerValues!A:A,match(IFNA(vlookup(B2701,'Special Names'!A:B,2,FALSE),B2701),PlayerValues!E:E,0)),"N/A")</f>
        <v>17478</v>
      </c>
      <c r="B2701" s="4" t="s">
        <v>527</v>
      </c>
      <c r="C2701" s="4" t="s">
        <v>278</v>
      </c>
      <c r="D2701" s="94">
        <v>2585.0</v>
      </c>
    </row>
    <row r="2702">
      <c r="A2702" s="40">
        <f t="array" ref="A2702">IFNA(index(PlayerValues!A:A,match(IFNA(vlookup(B2702,'Special Names'!A:B,2,FALSE),B2702),PlayerValues!E:E,0)),"N/A")</f>
        <v>17474</v>
      </c>
      <c r="B2702" s="4" t="s">
        <v>513</v>
      </c>
      <c r="C2702" s="4" t="s">
        <v>278</v>
      </c>
      <c r="D2702" s="94">
        <v>2568.0</v>
      </c>
    </row>
    <row r="2703">
      <c r="A2703" s="40">
        <f t="array" ref="A2703">IFNA(index(PlayerValues!A:A,match(IFNA(vlookup(B2703,'Special Names'!A:B,2,FALSE),B2703),PlayerValues!E:E,0)),"N/A")</f>
        <v>16684</v>
      </c>
      <c r="B2703" s="4" t="s">
        <v>500</v>
      </c>
      <c r="C2703" s="4" t="s">
        <v>287</v>
      </c>
      <c r="D2703" s="94">
        <v>2543.0</v>
      </c>
    </row>
    <row r="2704">
      <c r="A2704" s="40">
        <f t="array" ref="A2704">IFNA(index(PlayerValues!A:A,match(IFNA(vlookup(B2704,'Special Names'!A:B,2,FALSE),B2704),PlayerValues!E:E,0)),"N/A")</f>
        <v>16626</v>
      </c>
      <c r="B2704" s="4" t="s">
        <v>515</v>
      </c>
      <c r="C2704" s="4" t="s">
        <v>287</v>
      </c>
      <c r="D2704" s="94">
        <v>2542.0</v>
      </c>
    </row>
    <row r="2705">
      <c r="A2705" s="40">
        <f t="array" ref="A2705">IFNA(index(PlayerValues!A:A,match(IFNA(vlookup(B2705,'Special Names'!A:B,2,FALSE),B2705),PlayerValues!E:E,0)),"N/A")</f>
        <v>16193</v>
      </c>
      <c r="B2705" s="4" t="s">
        <v>487</v>
      </c>
      <c r="C2705" s="4" t="s">
        <v>287</v>
      </c>
      <c r="D2705" s="94">
        <v>2539.0</v>
      </c>
    </row>
    <row r="2706">
      <c r="A2706" s="40">
        <f t="array" ref="A2706">IFNA(index(PlayerValues!A:A,match(IFNA(vlookup(B2706,'Special Names'!A:B,2,FALSE),B2706),PlayerValues!E:E,0)),"N/A")</f>
        <v>16204</v>
      </c>
      <c r="B2706" s="4" t="s">
        <v>530</v>
      </c>
      <c r="C2706" s="4" t="s">
        <v>287</v>
      </c>
      <c r="D2706" s="94">
        <v>2533.0</v>
      </c>
    </row>
    <row r="2707">
      <c r="A2707" s="40">
        <f t="array" ref="A2707">IFNA(index(PlayerValues!A:A,match(IFNA(vlookup(B2707,'Special Names'!A:B,2,FALSE),B2707),PlayerValues!E:E,0)),"N/A")</f>
        <v>17520</v>
      </c>
      <c r="B2707" s="4" t="s">
        <v>518</v>
      </c>
      <c r="C2707" s="4" t="s">
        <v>287</v>
      </c>
      <c r="D2707" s="94">
        <v>2526.0</v>
      </c>
    </row>
    <row r="2708">
      <c r="A2708" s="40" t="str">
        <f t="array" ref="A2708">IFNA(index(PlayerValues!A:A,match(IFNA(vlookup(B2708,'Special Names'!A:B,2,FALSE),B2708),PlayerValues!E:E,0)),"N/A")</f>
        <v>N/A</v>
      </c>
      <c r="B2708" s="4" t="s">
        <v>99</v>
      </c>
      <c r="C2708" s="4" t="s">
        <v>325</v>
      </c>
      <c r="D2708" s="94">
        <v>2518.0</v>
      </c>
    </row>
    <row r="2709">
      <c r="A2709" s="40">
        <f t="array" ref="A2709">IFNA(index(PlayerValues!A:A,match(IFNA(vlookup(B2709,'Special Names'!A:B,2,FALSE),B2709),PlayerValues!E:E,0)),"N/A")</f>
        <v>11244</v>
      </c>
      <c r="B2709" s="4" t="s">
        <v>519</v>
      </c>
      <c r="C2709" s="4" t="s">
        <v>298</v>
      </c>
      <c r="D2709" s="94">
        <v>2907.0</v>
      </c>
    </row>
    <row r="2710">
      <c r="A2710" s="40">
        <f t="array" ref="A2710">IFNA(index(PlayerValues!A:A,match(IFNA(vlookup(B2710,'Special Names'!A:B,2,FALSE),B2710),PlayerValues!E:E,0)),"N/A")</f>
        <v>16178</v>
      </c>
      <c r="B2710" s="4" t="s">
        <v>507</v>
      </c>
      <c r="C2710" s="4" t="s">
        <v>278</v>
      </c>
      <c r="D2710" s="94">
        <v>2502.0</v>
      </c>
    </row>
    <row r="2711">
      <c r="A2711" s="40">
        <f t="array" ref="A2711">IFNA(index(PlayerValues!A:A,match(IFNA(vlookup(B2711,'Special Names'!A:B,2,FALSE),B2711),PlayerValues!E:E,0)),"N/A")</f>
        <v>17078</v>
      </c>
      <c r="B2711" s="4" t="s">
        <v>543</v>
      </c>
      <c r="C2711" s="4" t="s">
        <v>287</v>
      </c>
      <c r="D2711" s="94">
        <v>2489.0</v>
      </c>
    </row>
    <row r="2712">
      <c r="A2712" s="40">
        <f t="array" ref="A2712">IFNA(index(PlayerValues!A:A,match(IFNA(vlookup(B2712,'Special Names'!A:B,2,FALSE),B2712),PlayerValues!E:E,0)),"N/A")</f>
        <v>16287</v>
      </c>
      <c r="B2712" s="4" t="s">
        <v>516</v>
      </c>
      <c r="C2712" s="4" t="s">
        <v>287</v>
      </c>
      <c r="D2712" s="94">
        <v>2484.0</v>
      </c>
    </row>
    <row r="2713">
      <c r="A2713" s="40">
        <f t="array" ref="A2713">IFNA(index(PlayerValues!A:A,match(IFNA(vlookup(B2713,'Special Names'!A:B,2,FALSE),B2713),PlayerValues!E:E,0)),"N/A")</f>
        <v>17073</v>
      </c>
      <c r="B2713" s="4" t="s">
        <v>547</v>
      </c>
      <c r="C2713" s="4" t="s">
        <v>287</v>
      </c>
      <c r="D2713" s="94">
        <v>2483.0</v>
      </c>
    </row>
    <row r="2714">
      <c r="A2714" s="40">
        <f t="array" ref="A2714">IFNA(index(PlayerValues!A:A,match(IFNA(vlookup(B2714,'Special Names'!A:B,2,FALSE),B2714),PlayerValues!E:E,0)),"N/A")</f>
        <v>17509</v>
      </c>
      <c r="B2714" s="4" t="s">
        <v>551</v>
      </c>
      <c r="C2714" s="4" t="s">
        <v>287</v>
      </c>
      <c r="D2714" s="94">
        <v>2483.0</v>
      </c>
    </row>
    <row r="2715">
      <c r="A2715" s="40">
        <f t="array" ref="A2715">IFNA(index(PlayerValues!A:A,match(IFNA(vlookup(B2715,'Special Names'!A:B,2,FALSE),B2715),PlayerValues!E:E,0)),"N/A")</f>
        <v>16164</v>
      </c>
      <c r="B2715" s="4" t="s">
        <v>512</v>
      </c>
      <c r="C2715" s="4" t="s">
        <v>278</v>
      </c>
      <c r="D2715" s="94">
        <v>2475.0</v>
      </c>
    </row>
    <row r="2716">
      <c r="A2716" s="40">
        <f t="array" ref="A2716">IFNA(index(PlayerValues!A:A,match(IFNA(vlookup(B2716,'Special Names'!A:B,2,FALSE),B2716),PlayerValues!E:E,0)),"N/A")</f>
        <v>17082</v>
      </c>
      <c r="B2716" s="4" t="s">
        <v>498</v>
      </c>
      <c r="C2716" s="4" t="s">
        <v>287</v>
      </c>
      <c r="D2716" s="94">
        <v>2462.0</v>
      </c>
    </row>
    <row r="2717">
      <c r="A2717" s="40">
        <f t="array" ref="A2717">IFNA(index(PlayerValues!A:A,match(IFNA(vlookup(B2717,'Special Names'!A:B,2,FALSE),B2717),PlayerValues!E:E,0)),"N/A")</f>
        <v>17508</v>
      </c>
      <c r="B2717" s="4" t="s">
        <v>534</v>
      </c>
      <c r="C2717" s="4" t="s">
        <v>287</v>
      </c>
      <c r="D2717" s="94">
        <v>2445.0</v>
      </c>
    </row>
    <row r="2718">
      <c r="A2718" s="40">
        <f t="array" ref="A2718">IFNA(index(PlayerValues!A:A,match(IFNA(vlookup(B2718,'Special Names'!A:B,2,FALSE),B2718),PlayerValues!E:E,0)),"N/A")</f>
        <v>15786</v>
      </c>
      <c r="B2718" s="4" t="s">
        <v>521</v>
      </c>
      <c r="C2718" s="4" t="s">
        <v>287</v>
      </c>
      <c r="D2718" s="94">
        <v>2429.0</v>
      </c>
    </row>
    <row r="2719">
      <c r="A2719" s="40">
        <f t="array" ref="A2719">IFNA(index(PlayerValues!A:A,match(IFNA(vlookup(B2719,'Special Names'!A:B,2,FALSE),B2719),PlayerValues!E:E,0)),"N/A")</f>
        <v>16617</v>
      </c>
      <c r="B2719" s="4" t="s">
        <v>541</v>
      </c>
      <c r="C2719" s="4" t="s">
        <v>287</v>
      </c>
      <c r="D2719" s="94">
        <v>2423.0</v>
      </c>
    </row>
    <row r="2720">
      <c r="A2720" s="40">
        <f t="array" ref="A2720">IFNA(index(PlayerValues!A:A,match(IFNA(vlookup(B2720,'Special Names'!A:B,2,FALSE),B2720),PlayerValues!E:E,0)),"N/A")</f>
        <v>17108</v>
      </c>
      <c r="B2720" s="4" t="s">
        <v>542</v>
      </c>
      <c r="C2720" s="4" t="s">
        <v>298</v>
      </c>
      <c r="D2720" s="94">
        <v>2822.0</v>
      </c>
    </row>
    <row r="2721">
      <c r="A2721" s="40">
        <f t="array" ref="A2721">IFNA(index(PlayerValues!A:A,match(IFNA(vlookup(B2721,'Special Names'!A:B,2,FALSE),B2721),PlayerValues!E:E,0)),"N/A")</f>
        <v>13192</v>
      </c>
      <c r="B2721" s="4" t="s">
        <v>563</v>
      </c>
      <c r="C2721" s="4" t="s">
        <v>298</v>
      </c>
      <c r="D2721" s="94">
        <v>2820.0</v>
      </c>
    </row>
    <row r="2722">
      <c r="A2722" s="40">
        <f t="array" ref="A2722">IFNA(index(PlayerValues!A:A,match(IFNA(vlookup(B2722,'Special Names'!A:B,2,FALSE),B2722),PlayerValues!E:E,0)),"N/A")</f>
        <v>17171</v>
      </c>
      <c r="B2722" s="4" t="s">
        <v>561</v>
      </c>
      <c r="C2722" s="4" t="s">
        <v>287</v>
      </c>
      <c r="D2722" s="94">
        <v>2410.0</v>
      </c>
    </row>
    <row r="2723">
      <c r="A2723" s="40">
        <f t="array" ref="A2723">IFNA(index(PlayerValues!A:A,match(IFNA(vlookup(B2723,'Special Names'!A:B,2,FALSE),B2723),PlayerValues!E:E,0)),"N/A")</f>
        <v>16195</v>
      </c>
      <c r="B2723" s="4" t="s">
        <v>509</v>
      </c>
      <c r="C2723" s="4" t="s">
        <v>287</v>
      </c>
      <c r="D2723" s="94">
        <v>2401.0</v>
      </c>
    </row>
    <row r="2724">
      <c r="A2724" s="40" t="str">
        <f t="array" ref="A2724">IFNA(index(PlayerValues!A:A,match(IFNA(vlookup(B2724,'Special Names'!A:B,2,FALSE),B2724),PlayerValues!E:E,0)),"N/A")</f>
        <v>N/A</v>
      </c>
      <c r="B2724" s="4" t="s">
        <v>557</v>
      </c>
      <c r="C2724" s="4" t="s">
        <v>278</v>
      </c>
      <c r="D2724" s="94">
        <v>2384.0</v>
      </c>
    </row>
    <row r="2725">
      <c r="A2725" s="40">
        <f t="array" ref="A2725">IFNA(index(PlayerValues!A:A,match(IFNA(vlookup(B2725,'Special Names'!A:B,2,FALSE),B2725),PlayerValues!E:E,0)),"N/A")</f>
        <v>17106</v>
      </c>
      <c r="B2725" s="4" t="s">
        <v>550</v>
      </c>
      <c r="C2725" s="4" t="s">
        <v>298</v>
      </c>
      <c r="D2725" s="94">
        <v>2779.0</v>
      </c>
    </row>
    <row r="2726">
      <c r="A2726" s="40">
        <f t="array" ref="A2726">IFNA(index(PlayerValues!A:A,match(IFNA(vlookup(B2726,'Special Names'!A:B,2,FALSE),B2726),PlayerValues!E:E,0)),"N/A")</f>
        <v>17517</v>
      </c>
      <c r="B2726" s="4" t="s">
        <v>454</v>
      </c>
      <c r="C2726" s="4" t="s">
        <v>287</v>
      </c>
      <c r="D2726" s="94">
        <v>2378.0</v>
      </c>
    </row>
    <row r="2727">
      <c r="A2727" s="40">
        <f t="array" ref="A2727">IFNA(index(PlayerValues!A:A,match(IFNA(vlookup(B2727,'Special Names'!A:B,2,FALSE),B2727),PlayerValues!E:E,0)),"N/A")</f>
        <v>17134</v>
      </c>
      <c r="B2727" s="4" t="s">
        <v>548</v>
      </c>
      <c r="C2727" s="4" t="s">
        <v>287</v>
      </c>
      <c r="D2727" s="94">
        <v>2369.0</v>
      </c>
    </row>
    <row r="2728">
      <c r="A2728" s="40">
        <f t="array" ref="A2728">IFNA(index(PlayerValues!A:A,match(IFNA(vlookup(B2728,'Special Names'!A:B,2,FALSE),B2728),PlayerValues!E:E,0)),"N/A")</f>
        <v>17048</v>
      </c>
      <c r="B2728" s="4" t="s">
        <v>539</v>
      </c>
      <c r="C2728" s="4" t="s">
        <v>278</v>
      </c>
      <c r="D2728" s="94">
        <v>2359.0</v>
      </c>
    </row>
    <row r="2729">
      <c r="A2729" s="40">
        <f t="array" ref="A2729">IFNA(index(PlayerValues!A:A,match(IFNA(vlookup(B2729,'Special Names'!A:B,2,FALSE),B2729),PlayerValues!E:E,0)),"N/A")</f>
        <v>17547</v>
      </c>
      <c r="B2729" s="4" t="s">
        <v>552</v>
      </c>
      <c r="C2729" s="4" t="s">
        <v>298</v>
      </c>
      <c r="D2729" s="94">
        <v>2751.0</v>
      </c>
    </row>
    <row r="2730">
      <c r="A2730" s="40">
        <f t="array" ref="A2730">IFNA(index(PlayerValues!A:A,match(IFNA(vlookup(B2730,'Special Names'!A:B,2,FALSE),B2730),PlayerValues!E:E,0)),"N/A")</f>
        <v>15716</v>
      </c>
      <c r="B2730" s="4" t="s">
        <v>545</v>
      </c>
      <c r="C2730" s="4" t="s">
        <v>278</v>
      </c>
      <c r="D2730" s="94">
        <v>2344.0</v>
      </c>
    </row>
    <row r="2731">
      <c r="A2731" s="40">
        <f t="array" ref="A2731">IFNA(index(PlayerValues!A:A,match(IFNA(vlookup(B2731,'Special Names'!A:B,2,FALSE),B2731),PlayerValues!E:E,0)),"N/A")</f>
        <v>15749</v>
      </c>
      <c r="B2731" s="4" t="s">
        <v>574</v>
      </c>
      <c r="C2731" s="4" t="s">
        <v>278</v>
      </c>
      <c r="D2731" s="94">
        <v>2329.0</v>
      </c>
    </row>
    <row r="2732">
      <c r="A2732" s="40">
        <f t="array" ref="A2732">IFNA(index(PlayerValues!A:A,match(IFNA(vlookup(B2732,'Special Names'!A:B,2,FALSE),B2732),PlayerValues!E:E,0)),"N/A")</f>
        <v>14861</v>
      </c>
      <c r="B2732" s="4" t="s">
        <v>523</v>
      </c>
      <c r="C2732" s="4" t="s">
        <v>298</v>
      </c>
      <c r="D2732" s="94">
        <v>2715.0</v>
      </c>
    </row>
    <row r="2733">
      <c r="A2733" s="40">
        <f t="array" ref="A2733">IFNA(index(PlayerValues!A:A,match(IFNA(vlookup(B2733,'Special Names'!A:B,2,FALSE),B2733),PlayerValues!E:E,0)),"N/A")</f>
        <v>15802</v>
      </c>
      <c r="B2733" s="4" t="s">
        <v>566</v>
      </c>
      <c r="C2733" s="4" t="s">
        <v>298</v>
      </c>
      <c r="D2733" s="94">
        <v>2711.0</v>
      </c>
    </row>
    <row r="2734">
      <c r="A2734" s="40">
        <f t="array" ref="A2734">IFNA(index(PlayerValues!A:A,match(IFNA(vlookup(B2734,'Special Names'!A:B,2,FALSE),B2734),PlayerValues!E:E,0)),"N/A")</f>
        <v>13319</v>
      </c>
      <c r="B2734" s="4" t="s">
        <v>549</v>
      </c>
      <c r="C2734" s="4" t="s">
        <v>278</v>
      </c>
      <c r="D2734" s="94">
        <v>2290.0</v>
      </c>
    </row>
    <row r="2735">
      <c r="A2735" s="40">
        <f t="array" ref="A2735">IFNA(index(PlayerValues!A:A,match(IFNA(vlookup(B2735,'Special Names'!A:B,2,FALSE),B2735),PlayerValues!E:E,0)),"N/A")</f>
        <v>17482</v>
      </c>
      <c r="B2735" s="4" t="s">
        <v>460</v>
      </c>
      <c r="C2735" s="4" t="s">
        <v>278</v>
      </c>
      <c r="D2735" s="94">
        <v>2284.0</v>
      </c>
    </row>
    <row r="2736">
      <c r="A2736" s="40">
        <f t="array" ref="A2736">IFNA(index(PlayerValues!A:A,match(IFNA(vlookup(B2736,'Special Names'!A:B,2,FALSE),B2736),PlayerValues!E:E,0)),"N/A")</f>
        <v>16166</v>
      </c>
      <c r="B2736" s="4" t="s">
        <v>567</v>
      </c>
      <c r="C2736" s="4" t="s">
        <v>278</v>
      </c>
      <c r="D2736" s="94">
        <v>2278.0</v>
      </c>
    </row>
    <row r="2737">
      <c r="A2737" s="40" t="str">
        <f t="array" ref="A2737">IFNA(index(PlayerValues!A:A,match(IFNA(vlookup(B2737,'Special Names'!A:B,2,FALSE),B2737),PlayerValues!E:E,0)),"N/A")</f>
        <v>N/A</v>
      </c>
      <c r="B2737" s="4" t="s">
        <v>86</v>
      </c>
      <c r="C2737" s="4" t="s">
        <v>325</v>
      </c>
      <c r="D2737" s="94">
        <v>2278.0</v>
      </c>
    </row>
    <row r="2738">
      <c r="A2738" s="40">
        <f t="array" ref="A2738">IFNA(index(PlayerValues!A:A,match(IFNA(vlookup(B2738,'Special Names'!A:B,2,FALSE),B2738),PlayerValues!E:E,0)),"N/A")</f>
        <v>11150</v>
      </c>
      <c r="B2738" s="4" t="s">
        <v>559</v>
      </c>
      <c r="C2738" s="4" t="s">
        <v>283</v>
      </c>
      <c r="D2738" s="94">
        <v>2264.0</v>
      </c>
    </row>
    <row r="2739">
      <c r="A2739" s="40">
        <f t="array" ref="A2739">IFNA(index(PlayerValues!A:A,match(IFNA(vlookup(B2739,'Special Names'!A:B,2,FALSE),B2739),PlayerValues!E:E,0)),"N/A")</f>
        <v>16036</v>
      </c>
      <c r="B2739" s="4" t="s">
        <v>592</v>
      </c>
      <c r="C2739" s="4" t="s">
        <v>298</v>
      </c>
      <c r="D2739" s="94">
        <v>2653.0</v>
      </c>
    </row>
    <row r="2740">
      <c r="A2740" s="40">
        <f t="array" ref="A2740">IFNA(index(PlayerValues!A:A,match(IFNA(vlookup(B2740,'Special Names'!A:B,2,FALSE),B2740),PlayerValues!E:E,0)),"N/A")</f>
        <v>16594</v>
      </c>
      <c r="B2740" s="4" t="s">
        <v>607</v>
      </c>
      <c r="C2740" s="4" t="s">
        <v>278</v>
      </c>
      <c r="D2740" s="94">
        <v>2248.0</v>
      </c>
    </row>
    <row r="2741">
      <c r="A2741" s="40" t="str">
        <f t="array" ref="A2741">IFNA(index(PlayerValues!A:A,match(IFNA(vlookup(B2741,'Special Names'!A:B,2,FALSE),B2741),PlayerValues!E:E,0)),"N/A")</f>
        <v>N/A</v>
      </c>
      <c r="B2741" s="4" t="s">
        <v>100</v>
      </c>
      <c r="C2741" s="4" t="s">
        <v>325</v>
      </c>
      <c r="D2741" s="94">
        <v>2241.0</v>
      </c>
    </row>
    <row r="2742">
      <c r="A2742" s="40">
        <f t="array" ref="A2742">IFNA(index(PlayerValues!A:A,match(IFNA(vlookup(B2742,'Special Names'!A:B,2,FALSE),B2742),PlayerValues!E:E,0)),"N/A")</f>
        <v>17033</v>
      </c>
      <c r="B2742" s="4" t="s">
        <v>570</v>
      </c>
      <c r="C2742" s="4" t="s">
        <v>283</v>
      </c>
      <c r="D2742" s="94">
        <v>2237.0</v>
      </c>
    </row>
    <row r="2743">
      <c r="A2743" s="40">
        <f t="array" ref="A2743">IFNA(index(PlayerValues!A:A,match(IFNA(vlookup(B2743,'Special Names'!A:B,2,FALSE),B2743),PlayerValues!E:E,0)),"N/A")</f>
        <v>12676</v>
      </c>
      <c r="B2743" s="4" t="s">
        <v>537</v>
      </c>
      <c r="C2743" s="4" t="s">
        <v>298</v>
      </c>
      <c r="D2743" s="94">
        <v>2627.0</v>
      </c>
    </row>
    <row r="2744">
      <c r="A2744" s="40" t="str">
        <f t="array" ref="A2744">IFNA(index(PlayerValues!A:A,match(IFNA(vlookup(B2744,'Special Names'!A:B,2,FALSE),B2744),PlayerValues!E:E,0)),"N/A")</f>
        <v>N/A</v>
      </c>
      <c r="B2744" s="4" t="s">
        <v>112</v>
      </c>
      <c r="C2744" s="4" t="s">
        <v>325</v>
      </c>
      <c r="D2744" s="94">
        <v>2211.0</v>
      </c>
    </row>
    <row r="2745">
      <c r="A2745" s="40">
        <f t="array" ref="A2745">IFNA(index(PlayerValues!A:A,match(IFNA(vlookup(B2745,'Special Names'!A:B,2,FALSE),B2745),PlayerValues!E:E,0)),"N/A")</f>
        <v>16152</v>
      </c>
      <c r="B2745" s="4" t="s">
        <v>601</v>
      </c>
      <c r="C2745" s="4" t="s">
        <v>283</v>
      </c>
      <c r="D2745" s="94">
        <v>2204.0</v>
      </c>
    </row>
    <row r="2746">
      <c r="A2746" s="40">
        <f t="array" ref="A2746">IFNA(index(PlayerValues!A:A,match(IFNA(vlookup(B2746,'Special Names'!A:B,2,FALSE),B2746),PlayerValues!E:E,0)),"N/A")</f>
        <v>16649</v>
      </c>
      <c r="B2746" s="4" t="s">
        <v>586</v>
      </c>
      <c r="C2746" s="4" t="s">
        <v>298</v>
      </c>
      <c r="D2746" s="94">
        <v>2591.0</v>
      </c>
    </row>
    <row r="2747">
      <c r="A2747" s="40">
        <f t="array" ref="A2747">IFNA(index(PlayerValues!A:A,match(IFNA(vlookup(B2747,'Special Names'!A:B,2,FALSE),B2747),PlayerValues!E:E,0)),"N/A")</f>
        <v>17466</v>
      </c>
      <c r="B2747" s="4" t="s">
        <v>492</v>
      </c>
      <c r="C2747" s="4" t="s">
        <v>283</v>
      </c>
      <c r="D2747" s="94">
        <v>2195.0</v>
      </c>
    </row>
    <row r="2748">
      <c r="A2748" s="40">
        <f t="array" ref="A2748">IFNA(index(PlayerValues!A:A,match(IFNA(vlookup(B2748,'Special Names'!A:B,2,FALSE),B2748),PlayerValues!E:E,0)),"N/A")</f>
        <v>16212</v>
      </c>
      <c r="B2748" s="4" t="s">
        <v>568</v>
      </c>
      <c r="C2748" s="4" t="s">
        <v>298</v>
      </c>
      <c r="D2748" s="94">
        <v>2584.0</v>
      </c>
    </row>
    <row r="2749">
      <c r="A2749" s="40">
        <f t="array" ref="A2749">IFNA(index(PlayerValues!A:A,match(IFNA(vlookup(B2749,'Special Names'!A:B,2,FALSE),B2749),PlayerValues!E:E,0)),"N/A")</f>
        <v>15331</v>
      </c>
      <c r="B2749" s="4" t="s">
        <v>560</v>
      </c>
      <c r="C2749" s="4" t="s">
        <v>298</v>
      </c>
      <c r="D2749" s="94">
        <v>2582.0</v>
      </c>
    </row>
    <row r="2750">
      <c r="A2750" s="40">
        <f t="array" ref="A2750">IFNA(index(PlayerValues!A:A,match(IFNA(vlookup(B2750,'Special Names'!A:B,2,FALSE),B2750),PlayerValues!E:E,0)),"N/A")</f>
        <v>16610</v>
      </c>
      <c r="B2750" s="4" t="s">
        <v>562</v>
      </c>
      <c r="C2750" s="4" t="s">
        <v>278</v>
      </c>
      <c r="D2750" s="94">
        <v>2185.0</v>
      </c>
    </row>
    <row r="2751">
      <c r="A2751" s="40">
        <f t="array" ref="A2751">IFNA(index(PlayerValues!A:A,match(IFNA(vlookup(B2751,'Special Names'!A:B,2,FALSE),B2751),PlayerValues!E:E,0)),"N/A")</f>
        <v>13772</v>
      </c>
      <c r="B2751" s="4" t="s">
        <v>544</v>
      </c>
      <c r="C2751" s="4" t="s">
        <v>298</v>
      </c>
      <c r="D2751" s="94">
        <v>2567.0</v>
      </c>
    </row>
    <row r="2752">
      <c r="A2752" s="40">
        <f t="array" ref="A2752">IFNA(index(PlayerValues!A:A,match(IFNA(vlookup(B2752,'Special Names'!A:B,2,FALSE),B2752),PlayerValues!E:E,0)),"N/A")</f>
        <v>13113</v>
      </c>
      <c r="B2752" s="4" t="s">
        <v>606</v>
      </c>
      <c r="C2752" s="4" t="s">
        <v>283</v>
      </c>
      <c r="D2752" s="94">
        <v>2165.0</v>
      </c>
    </row>
    <row r="2753">
      <c r="A2753" s="40">
        <f t="array" ref="A2753">IFNA(index(PlayerValues!A:A,match(IFNA(vlookup(B2753,'Special Names'!A:B,2,FALSE),B2753),PlayerValues!E:E,0)),"N/A")</f>
        <v>14840</v>
      </c>
      <c r="B2753" s="4" t="s">
        <v>731</v>
      </c>
      <c r="C2753" s="4" t="s">
        <v>287</v>
      </c>
      <c r="D2753" s="94">
        <v>2163.0</v>
      </c>
    </row>
    <row r="2754">
      <c r="A2754" s="40" t="str">
        <f t="array" ref="A2754">IFNA(index(PlayerValues!A:A,match(IFNA(vlookup(B2754,'Special Names'!A:B,2,FALSE),B2754),PlayerValues!E:E,0)),"N/A")</f>
        <v>N/A</v>
      </c>
      <c r="B2754" s="4" t="s">
        <v>87</v>
      </c>
      <c r="C2754" s="4" t="s">
        <v>325</v>
      </c>
      <c r="D2754" s="94">
        <v>2160.0</v>
      </c>
    </row>
    <row r="2755">
      <c r="A2755" s="40">
        <f t="array" ref="A2755">IFNA(index(PlayerValues!A:A,match(IFNA(vlookup(B2755,'Special Names'!A:B,2,FALSE),B2755),PlayerValues!E:E,0)),"N/A")</f>
        <v>16604</v>
      </c>
      <c r="B2755" s="4" t="s">
        <v>476</v>
      </c>
      <c r="C2755" s="4" t="s">
        <v>278</v>
      </c>
      <c r="D2755" s="94">
        <v>2155.0</v>
      </c>
    </row>
    <row r="2756">
      <c r="A2756" s="40">
        <f t="array" ref="A2756">IFNA(index(PlayerValues!A:A,match(IFNA(vlookup(B2756,'Special Names'!A:B,2,FALSE),B2756),PlayerValues!E:E,0)),"N/A")</f>
        <v>16757</v>
      </c>
      <c r="B2756" s="4" t="s">
        <v>558</v>
      </c>
      <c r="C2756" s="4" t="s">
        <v>278</v>
      </c>
      <c r="D2756" s="94">
        <v>2148.0</v>
      </c>
    </row>
    <row r="2757">
      <c r="A2757" s="40">
        <f t="array" ref="A2757">IFNA(index(PlayerValues!A:A,match(IFNA(vlookup(B2757,'Special Names'!A:B,2,FALSE),B2757),PlayerValues!E:E,0)),"N/A")</f>
        <v>12186</v>
      </c>
      <c r="B2757" s="4" t="s">
        <v>497</v>
      </c>
      <c r="C2757" s="4" t="s">
        <v>287</v>
      </c>
      <c r="D2757" s="94">
        <v>2145.0</v>
      </c>
    </row>
    <row r="2758">
      <c r="A2758" s="40">
        <f t="array" ref="A2758">IFNA(index(PlayerValues!A:A,match(IFNA(vlookup(B2758,'Special Names'!A:B,2,FALSE),B2758),PlayerValues!E:E,0)),"N/A")</f>
        <v>17055</v>
      </c>
      <c r="B2758" s="4" t="s">
        <v>565</v>
      </c>
      <c r="C2758" s="4" t="s">
        <v>278</v>
      </c>
      <c r="D2758" s="94">
        <v>2129.0</v>
      </c>
    </row>
    <row r="2759">
      <c r="A2759" s="40" t="str">
        <f t="array" ref="A2759">IFNA(index(PlayerValues!A:A,match(IFNA(vlookup(B2759,'Special Names'!A:B,2,FALSE),B2759),PlayerValues!E:E,0)),"N/A")</f>
        <v>N/A</v>
      </c>
      <c r="B2759" s="4" t="s">
        <v>88</v>
      </c>
      <c r="C2759" s="4" t="s">
        <v>325</v>
      </c>
      <c r="D2759" s="94">
        <v>2124.0</v>
      </c>
    </row>
    <row r="2760">
      <c r="A2760" s="40">
        <f t="array" ref="A2760">IFNA(index(PlayerValues!A:A,match(IFNA(vlookup(B2760,'Special Names'!A:B,2,FALSE),B2760),PlayerValues!E:E,0)),"N/A")</f>
        <v>16189</v>
      </c>
      <c r="B2760" s="4" t="s">
        <v>582</v>
      </c>
      <c r="C2760" s="4" t="s">
        <v>287</v>
      </c>
      <c r="D2760" s="94">
        <v>2116.0</v>
      </c>
    </row>
    <row r="2761">
      <c r="A2761" s="40">
        <f t="array" ref="A2761">IFNA(index(PlayerValues!A:A,match(IFNA(vlookup(B2761,'Special Names'!A:B,2,FALSE),B2761),PlayerValues!E:E,0)),"N/A")</f>
        <v>17079</v>
      </c>
      <c r="B2761" s="4" t="s">
        <v>572</v>
      </c>
      <c r="C2761" s="4" t="s">
        <v>287</v>
      </c>
      <c r="D2761" s="94">
        <v>2092.0</v>
      </c>
    </row>
    <row r="2762">
      <c r="A2762" s="40" t="str">
        <f t="array" ref="A2762">IFNA(index(PlayerValues!A:A,match(IFNA(vlookup(B2762,'Special Names'!A:B,2,FALSE),B2762),PlayerValues!E:E,0)),"N/A")</f>
        <v>N/A</v>
      </c>
      <c r="B2762" s="4" t="s">
        <v>113</v>
      </c>
      <c r="C2762" s="4" t="s">
        <v>325</v>
      </c>
      <c r="D2762" s="94">
        <v>2090.0</v>
      </c>
    </row>
    <row r="2763">
      <c r="A2763" s="40">
        <f t="array" ref="A2763">IFNA(index(PlayerValues!A:A,match(IFNA(vlookup(B2763,'Special Names'!A:B,2,FALSE),B2763),PlayerValues!E:E,0)),"N/A")</f>
        <v>17060</v>
      </c>
      <c r="B2763" s="4" t="s">
        <v>603</v>
      </c>
      <c r="C2763" s="4" t="s">
        <v>278</v>
      </c>
      <c r="D2763" s="94">
        <v>2066.0</v>
      </c>
    </row>
    <row r="2764">
      <c r="A2764" s="40">
        <f t="array" ref="A2764">IFNA(index(PlayerValues!A:A,match(IFNA(vlookup(B2764,'Special Names'!A:B,2,FALSE),B2764),PlayerValues!E:E,0)),"N/A")</f>
        <v>17069</v>
      </c>
      <c r="B2764" s="4" t="s">
        <v>604</v>
      </c>
      <c r="C2764" s="4" t="s">
        <v>278</v>
      </c>
      <c r="D2764" s="94">
        <v>2066.0</v>
      </c>
    </row>
    <row r="2765">
      <c r="A2765" s="40">
        <f t="array" ref="A2765">IFNA(index(PlayerValues!A:A,match(IFNA(vlookup(B2765,'Special Names'!A:B,2,FALSE),B2765),PlayerValues!E:E,0)),"N/A")</f>
        <v>15238</v>
      </c>
      <c r="B2765" s="4" t="s">
        <v>613</v>
      </c>
      <c r="C2765" s="4" t="s">
        <v>283</v>
      </c>
      <c r="D2765" s="94">
        <v>2055.0</v>
      </c>
    </row>
    <row r="2766">
      <c r="A2766" s="40">
        <f t="array" ref="A2766">IFNA(index(PlayerValues!A:A,match(IFNA(vlookup(B2766,'Special Names'!A:B,2,FALSE),B2766),PlayerValues!E:E,0)),"N/A")</f>
        <v>15293</v>
      </c>
      <c r="B2766" s="4" t="s">
        <v>578</v>
      </c>
      <c r="C2766" s="4" t="s">
        <v>287</v>
      </c>
      <c r="D2766" s="94">
        <v>2052.0</v>
      </c>
    </row>
    <row r="2767">
      <c r="A2767" s="40">
        <f t="array" ref="A2767">IFNA(index(PlayerValues!A:A,match(IFNA(vlookup(B2767,'Special Names'!A:B,2,FALSE),B2767),PlayerValues!E:E,0)),"N/A")</f>
        <v>17061</v>
      </c>
      <c r="B2767" s="4" t="s">
        <v>580</v>
      </c>
      <c r="C2767" s="4" t="s">
        <v>278</v>
      </c>
      <c r="D2767" s="94">
        <v>2049.0</v>
      </c>
    </row>
    <row r="2768">
      <c r="A2768" s="40">
        <f t="array" ref="A2768">IFNA(index(PlayerValues!A:A,match(IFNA(vlookup(B2768,'Special Names'!A:B,2,FALSE),B2768),PlayerValues!E:E,0)),"N/A")</f>
        <v>13132</v>
      </c>
      <c r="B2768" s="4" t="s">
        <v>598</v>
      </c>
      <c r="C2768" s="4" t="s">
        <v>278</v>
      </c>
      <c r="D2768" s="94">
        <v>2045.0</v>
      </c>
    </row>
    <row r="2769">
      <c r="A2769" s="40">
        <f t="array" ref="A2769">IFNA(index(PlayerValues!A:A,match(IFNA(vlookup(B2769,'Special Names'!A:B,2,FALSE),B2769),PlayerValues!E:E,0)),"N/A")</f>
        <v>17056</v>
      </c>
      <c r="B2769" s="4" t="s">
        <v>581</v>
      </c>
      <c r="C2769" s="4" t="s">
        <v>278</v>
      </c>
      <c r="D2769" s="94">
        <v>2034.0</v>
      </c>
    </row>
    <row r="2770">
      <c r="A2770" s="40">
        <f t="array" ref="A2770">IFNA(index(PlayerValues!A:A,match(IFNA(vlookup(B2770,'Special Names'!A:B,2,FALSE),B2770),PlayerValues!E:E,0)),"N/A")</f>
        <v>17046</v>
      </c>
      <c r="B2770" s="4" t="s">
        <v>602</v>
      </c>
      <c r="C2770" s="4" t="s">
        <v>278</v>
      </c>
      <c r="D2770" s="94">
        <v>2032.0</v>
      </c>
    </row>
    <row r="2771">
      <c r="A2771" s="40">
        <f t="array" ref="A2771">IFNA(index(PlayerValues!A:A,match(IFNA(vlookup(B2771,'Special Names'!A:B,2,FALSE),B2771),PlayerValues!E:E,0)),"N/A")</f>
        <v>17184</v>
      </c>
      <c r="B2771" s="4" t="s">
        <v>588</v>
      </c>
      <c r="C2771" s="4" t="s">
        <v>287</v>
      </c>
      <c r="D2771" s="94">
        <v>2032.0</v>
      </c>
    </row>
    <row r="2772">
      <c r="A2772" s="40">
        <f t="array" ref="A2772">IFNA(index(PlayerValues!A:A,match(IFNA(vlookup(B2772,'Special Names'!A:B,2,FALSE),B2772),PlayerValues!E:E,0)),"N/A")</f>
        <v>16432</v>
      </c>
      <c r="B2772" s="4" t="s">
        <v>620</v>
      </c>
      <c r="C2772" s="4" t="s">
        <v>278</v>
      </c>
      <c r="D2772" s="94">
        <v>2029.0</v>
      </c>
    </row>
    <row r="2773">
      <c r="A2773" s="40">
        <f t="array" ref="A2773">IFNA(index(PlayerValues!A:A,match(IFNA(vlookup(B2773,'Special Names'!A:B,2,FALSE),B2773),PlayerValues!E:E,0)),"N/A")</f>
        <v>14974</v>
      </c>
      <c r="B2773" s="4" t="s">
        <v>611</v>
      </c>
      <c r="C2773" s="4" t="s">
        <v>287</v>
      </c>
      <c r="D2773" s="94">
        <v>2024.0</v>
      </c>
    </row>
    <row r="2774">
      <c r="A2774" s="40">
        <f t="array" ref="A2774">IFNA(index(PlayerValues!A:A,match(IFNA(vlookup(B2774,'Special Names'!A:B,2,FALSE),B2774),PlayerValues!E:E,0)),"N/A")</f>
        <v>16643</v>
      </c>
      <c r="B2774" s="4" t="s">
        <v>609</v>
      </c>
      <c r="C2774" s="4" t="s">
        <v>298</v>
      </c>
      <c r="D2774" s="94">
        <v>2409.0</v>
      </c>
    </row>
    <row r="2775">
      <c r="A2775" s="40" t="str">
        <f t="array" ref="A2775">IFNA(index(PlayerValues!A:A,match(IFNA(vlookup(B2775,'Special Names'!A:B,2,FALSE),B2775),PlayerValues!E:E,0)),"N/A")</f>
        <v>N/A</v>
      </c>
      <c r="B2775" s="4" t="s">
        <v>114</v>
      </c>
      <c r="C2775" s="4" t="s">
        <v>325</v>
      </c>
      <c r="D2775" s="94">
        <v>2008.0</v>
      </c>
    </row>
    <row r="2776">
      <c r="A2776" s="40">
        <f t="array" ref="A2776">IFNA(index(PlayerValues!A:A,match(IFNA(vlookup(B2776,'Special Names'!A:B,2,FALSE),B2776),PlayerValues!E:E,0)),"N/A")</f>
        <v>15797</v>
      </c>
      <c r="B2776" s="4" t="s">
        <v>556</v>
      </c>
      <c r="C2776" s="4" t="s">
        <v>298</v>
      </c>
      <c r="D2776" s="94">
        <v>2391.0</v>
      </c>
    </row>
    <row r="2777">
      <c r="A2777" s="40">
        <f t="array" ref="A2777">IFNA(index(PlayerValues!A:A,match(IFNA(vlookup(B2777,'Special Names'!A:B,2,FALSE),B2777),PlayerValues!E:E,0)),"N/A")</f>
        <v>14136</v>
      </c>
      <c r="B2777" s="4" t="s">
        <v>536</v>
      </c>
      <c r="C2777" s="4" t="s">
        <v>287</v>
      </c>
      <c r="D2777" s="94">
        <v>1992.0</v>
      </c>
    </row>
    <row r="2778">
      <c r="A2778" s="40">
        <f t="array" ref="A2778">IFNA(index(PlayerValues!A:A,match(IFNA(vlookup(B2778,'Special Names'!A:B,2,FALSE),B2778),PlayerValues!E:E,0)),"N/A")</f>
        <v>14867</v>
      </c>
      <c r="B2778" s="4" t="s">
        <v>591</v>
      </c>
      <c r="C2778" s="4" t="s">
        <v>298</v>
      </c>
      <c r="D2778" s="94">
        <v>2369.0</v>
      </c>
    </row>
    <row r="2779">
      <c r="A2779" s="40">
        <f t="array" ref="A2779">IFNA(index(PlayerValues!A:A,match(IFNA(vlookup(B2779,'Special Names'!A:B,2,FALSE),B2779),PlayerValues!E:E,0)),"N/A")</f>
        <v>7836</v>
      </c>
      <c r="B2779" s="4" t="s">
        <v>590</v>
      </c>
      <c r="C2779" s="4" t="s">
        <v>283</v>
      </c>
      <c r="D2779" s="94">
        <v>1981.0</v>
      </c>
    </row>
    <row r="2780">
      <c r="A2780" s="40">
        <f t="array" ref="A2780">IFNA(index(PlayerValues!A:A,match(IFNA(vlookup(B2780,'Special Names'!A:B,2,FALSE),B2780),PlayerValues!E:E,0)),"N/A")</f>
        <v>17076</v>
      </c>
      <c r="B2780" s="4" t="s">
        <v>585</v>
      </c>
      <c r="C2780" s="4" t="s">
        <v>287</v>
      </c>
      <c r="D2780" s="94">
        <v>1981.0</v>
      </c>
    </row>
    <row r="2781">
      <c r="A2781" s="40">
        <f t="array" ref="A2781">IFNA(index(PlayerValues!A:A,match(IFNA(vlookup(B2781,'Special Names'!A:B,2,FALSE),B2781),PlayerValues!E:E,0)),"N/A")</f>
        <v>16603</v>
      </c>
      <c r="B2781" s="4" t="s">
        <v>587</v>
      </c>
      <c r="C2781" s="4" t="s">
        <v>278</v>
      </c>
      <c r="D2781" s="94">
        <v>1971.0</v>
      </c>
    </row>
    <row r="2782">
      <c r="A2782" s="40">
        <f t="array" ref="A2782">IFNA(index(PlayerValues!A:A,match(IFNA(vlookup(B2782,'Special Names'!A:B,2,FALSE),B2782),PlayerValues!E:E,0)),"N/A")</f>
        <v>17036</v>
      </c>
      <c r="B2782" s="4" t="s">
        <v>617</v>
      </c>
      <c r="C2782" s="4" t="s">
        <v>283</v>
      </c>
      <c r="D2782" s="94">
        <v>1946.0</v>
      </c>
    </row>
    <row r="2783">
      <c r="A2783" s="40">
        <f t="array" ref="A2783">IFNA(index(PlayerValues!A:A,match(IFNA(vlookup(B2783,'Special Names'!A:B,2,FALSE),B2783),PlayerValues!E:E,0)),"N/A")</f>
        <v>16342</v>
      </c>
      <c r="B2783" s="4" t="s">
        <v>583</v>
      </c>
      <c r="C2783" s="4" t="s">
        <v>287</v>
      </c>
      <c r="D2783" s="94">
        <v>1945.0</v>
      </c>
    </row>
    <row r="2784">
      <c r="A2784" s="40">
        <f t="array" ref="A2784">IFNA(index(PlayerValues!A:A,match(IFNA(vlookup(B2784,'Special Names'!A:B,2,FALSE),B2784),PlayerValues!E:E,0)),"N/A")</f>
        <v>13633</v>
      </c>
      <c r="B2784" s="4" t="s">
        <v>625</v>
      </c>
      <c r="C2784" s="4" t="s">
        <v>287</v>
      </c>
      <c r="D2784" s="94">
        <v>1940.0</v>
      </c>
    </row>
    <row r="2785">
      <c r="A2785" s="40">
        <f t="array" ref="A2785">IFNA(index(PlayerValues!A:A,match(IFNA(vlookup(B2785,'Special Names'!A:B,2,FALSE),B2785),PlayerValues!E:E,0)),"N/A")</f>
        <v>17087</v>
      </c>
      <c r="B2785" s="4" t="s">
        <v>600</v>
      </c>
      <c r="C2785" s="4" t="s">
        <v>287</v>
      </c>
      <c r="D2785" s="94">
        <v>1927.0</v>
      </c>
    </row>
    <row r="2786">
      <c r="A2786" s="40">
        <f t="array" ref="A2786">IFNA(index(PlayerValues!A:A,match(IFNA(vlookup(B2786,'Special Names'!A:B,2,FALSE),B2786),PlayerValues!E:E,0)),"N/A")</f>
        <v>17528</v>
      </c>
      <c r="B2786" s="4" t="s">
        <v>579</v>
      </c>
      <c r="C2786" s="4" t="s">
        <v>287</v>
      </c>
      <c r="D2786" s="94">
        <v>1917.0</v>
      </c>
    </row>
    <row r="2787">
      <c r="A2787" s="40">
        <f t="array" ref="A2787">IFNA(index(PlayerValues!A:A,match(IFNA(vlookup(B2787,'Special Names'!A:B,2,FALSE),B2787),PlayerValues!E:E,0)),"N/A")</f>
        <v>17481</v>
      </c>
      <c r="B2787" s="4" t="s">
        <v>540</v>
      </c>
      <c r="C2787" s="4" t="s">
        <v>278</v>
      </c>
      <c r="D2787" s="94">
        <v>1910.0</v>
      </c>
    </row>
    <row r="2788">
      <c r="A2788" s="40">
        <f t="array" ref="A2788">IFNA(index(PlayerValues!A:A,match(IFNA(vlookup(B2788,'Special Names'!A:B,2,FALSE),B2788),PlayerValues!E:E,0)),"N/A")</f>
        <v>16639</v>
      </c>
      <c r="B2788" s="4" t="s">
        <v>599</v>
      </c>
      <c r="C2788" s="4" t="s">
        <v>287</v>
      </c>
      <c r="D2788" s="94">
        <v>1908.0</v>
      </c>
    </row>
    <row r="2789">
      <c r="A2789" s="40">
        <f t="array" ref="A2789">IFNA(index(PlayerValues!A:A,match(IFNA(vlookup(B2789,'Special Names'!A:B,2,FALSE),B2789),PlayerValues!E:E,0)),"N/A")</f>
        <v>10700</v>
      </c>
      <c r="B2789" s="4" t="s">
        <v>596</v>
      </c>
      <c r="C2789" s="4" t="s">
        <v>283</v>
      </c>
      <c r="D2789" s="94">
        <v>1900.0</v>
      </c>
    </row>
    <row r="2790">
      <c r="A2790" s="40">
        <f t="array" ref="A2790">IFNA(index(PlayerValues!A:A,match(IFNA(vlookup(B2790,'Special Names'!A:B,2,FALSE),B2790),PlayerValues!E:E,0)),"N/A")</f>
        <v>16216</v>
      </c>
      <c r="B2790" s="4" t="s">
        <v>595</v>
      </c>
      <c r="C2790" s="4" t="s">
        <v>298</v>
      </c>
      <c r="D2790" s="94">
        <v>2285.0</v>
      </c>
    </row>
    <row r="2791">
      <c r="A2791" s="40">
        <f t="array" ref="A2791">IFNA(index(PlayerValues!A:A,match(IFNA(vlookup(B2791,'Special Names'!A:B,2,FALSE),B2791),PlayerValues!E:E,0)),"N/A")</f>
        <v>12801</v>
      </c>
      <c r="B2791" s="4" t="s">
        <v>722</v>
      </c>
      <c r="C2791" s="4" t="s">
        <v>287</v>
      </c>
      <c r="D2791" s="94">
        <v>1871.0</v>
      </c>
    </row>
    <row r="2792">
      <c r="A2792" s="40">
        <f t="array" ref="A2792">IFNA(index(PlayerValues!A:A,match(IFNA(vlookup(B2792,'Special Names'!A:B,2,FALSE),B2792),PlayerValues!E:E,0)),"N/A")</f>
        <v>13629</v>
      </c>
      <c r="B2792" s="4" t="s">
        <v>619</v>
      </c>
      <c r="C2792" s="4" t="s">
        <v>287</v>
      </c>
      <c r="D2792" s="94">
        <v>1871.0</v>
      </c>
    </row>
    <row r="2793">
      <c r="A2793" s="40">
        <f t="array" ref="A2793">IFNA(index(PlayerValues!A:A,match(IFNA(vlookup(B2793,'Special Names'!A:B,2,FALSE),B2793),PlayerValues!E:E,0)),"N/A")</f>
        <v>17468</v>
      </c>
      <c r="B2793" s="4" t="s">
        <v>514</v>
      </c>
      <c r="C2793" s="4" t="s">
        <v>283</v>
      </c>
      <c r="D2793" s="94">
        <v>1868.0</v>
      </c>
    </row>
    <row r="2794">
      <c r="A2794" s="40">
        <f t="array" ref="A2794">IFNA(index(PlayerValues!A:A,match(IFNA(vlookup(B2794,'Special Names'!A:B,2,FALSE),B2794),PlayerValues!E:E,0)),"N/A")</f>
        <v>14871</v>
      </c>
      <c r="B2794" s="4" t="s">
        <v>584</v>
      </c>
      <c r="C2794" s="4" t="s">
        <v>298</v>
      </c>
      <c r="D2794" s="94">
        <v>2248.0</v>
      </c>
    </row>
    <row r="2795">
      <c r="A2795" s="40">
        <f t="array" ref="A2795">IFNA(index(PlayerValues!A:A,match(IFNA(vlookup(B2795,'Special Names'!A:B,2,FALSE),B2795),PlayerValues!E:E,0)),"N/A")</f>
        <v>17467</v>
      </c>
      <c r="B2795" s="4" t="s">
        <v>575</v>
      </c>
      <c r="C2795" s="4" t="s">
        <v>283</v>
      </c>
      <c r="D2795" s="94">
        <v>1856.0</v>
      </c>
    </row>
    <row r="2796">
      <c r="A2796" s="40" t="str">
        <f t="array" ref="A2796">IFNA(index(PlayerValues!A:A,match(IFNA(vlookup(B2796,'Special Names'!A:B,2,FALSE),B2796),PlayerValues!E:E,0)),"N/A")</f>
        <v>N/A</v>
      </c>
      <c r="B2796" s="4" t="s">
        <v>101</v>
      </c>
      <c r="C2796" s="4" t="s">
        <v>325</v>
      </c>
      <c r="D2796" s="94">
        <v>1855.0</v>
      </c>
    </row>
    <row r="2797">
      <c r="A2797" s="40">
        <f t="array" ref="A2797">IFNA(index(PlayerValues!A:A,match(IFNA(vlookup(B2797,'Special Names'!A:B,2,FALSE),B2797),PlayerValues!E:E,0)),"N/A")</f>
        <v>16778</v>
      </c>
      <c r="B2797" s="4" t="s">
        <v>577</v>
      </c>
      <c r="C2797" s="4" t="s">
        <v>287</v>
      </c>
      <c r="D2797" s="94">
        <v>1848.0</v>
      </c>
    </row>
    <row r="2798">
      <c r="A2798" s="40">
        <f t="array" ref="A2798">IFNA(index(PlayerValues!A:A,match(IFNA(vlookup(B2798,'Special Names'!A:B,2,FALSE),B2798),PlayerValues!E:E,0)),"N/A")</f>
        <v>13189</v>
      </c>
      <c r="B2798" s="4" t="s">
        <v>626</v>
      </c>
      <c r="C2798" s="4" t="s">
        <v>298</v>
      </c>
      <c r="D2798" s="94">
        <v>2205.0</v>
      </c>
    </row>
    <row r="2799">
      <c r="A2799" s="40">
        <f t="array" ref="A2799">IFNA(index(PlayerValues!A:A,match(IFNA(vlookup(B2799,'Special Names'!A:B,2,FALSE),B2799),PlayerValues!E:E,0)),"N/A")</f>
        <v>17485</v>
      </c>
      <c r="B2799" s="4" t="s">
        <v>522</v>
      </c>
      <c r="C2799" s="4" t="s">
        <v>278</v>
      </c>
      <c r="D2799" s="94">
        <v>1824.0</v>
      </c>
    </row>
    <row r="2800">
      <c r="A2800" s="40">
        <f t="array" ref="A2800">IFNA(index(PlayerValues!A:A,match(IFNA(vlookup(B2800,'Special Names'!A:B,2,FALSE),B2800),PlayerValues!E:E,0)),"N/A")</f>
        <v>16752</v>
      </c>
      <c r="B2800" s="4" t="s">
        <v>597</v>
      </c>
      <c r="C2800" s="4" t="s">
        <v>278</v>
      </c>
      <c r="D2800" s="94">
        <v>1799.0</v>
      </c>
    </row>
    <row r="2801">
      <c r="A2801" s="40">
        <f t="array" ref="A2801">IFNA(index(PlayerValues!A:A,match(IFNA(vlookup(B2801,'Special Names'!A:B,2,FALSE),B2801),PlayerValues!E:E,0)),"N/A")</f>
        <v>17086</v>
      </c>
      <c r="B2801" s="4" t="s">
        <v>612</v>
      </c>
      <c r="C2801" s="4" t="s">
        <v>287</v>
      </c>
      <c r="D2801" s="94">
        <v>1799.0</v>
      </c>
    </row>
    <row r="2802">
      <c r="A2802" s="40">
        <f t="array" ref="A2802">IFNA(index(PlayerValues!A:A,match(IFNA(vlookup(B2802,'Special Names'!A:B,2,FALSE),B2802),PlayerValues!E:E,0)),"N/A")</f>
        <v>15787</v>
      </c>
      <c r="B2802" s="4" t="s">
        <v>610</v>
      </c>
      <c r="C2802" s="4" t="s">
        <v>287</v>
      </c>
      <c r="D2802" s="94">
        <v>1797.0</v>
      </c>
    </row>
    <row r="2803">
      <c r="A2803" s="40">
        <f t="array" ref="A2803">IFNA(index(PlayerValues!A:A,match(IFNA(vlookup(B2803,'Special Names'!A:B,2,FALSE),B2803),PlayerValues!E:E,0)),"N/A")</f>
        <v>15788</v>
      </c>
      <c r="B2803" s="4" t="s">
        <v>627</v>
      </c>
      <c r="C2803" s="4" t="s">
        <v>287</v>
      </c>
      <c r="D2803" s="94">
        <v>1792.0</v>
      </c>
    </row>
    <row r="2804">
      <c r="A2804" s="40">
        <f t="array" ref="A2804">IFNA(index(PlayerValues!A:A,match(IFNA(vlookup(B2804,'Special Names'!A:B,2,FALSE),B2804),PlayerValues!E:E,0)),"N/A")</f>
        <v>16215</v>
      </c>
      <c r="B2804" s="4" t="s">
        <v>637</v>
      </c>
      <c r="C2804" s="4" t="s">
        <v>298</v>
      </c>
      <c r="D2804" s="94">
        <v>2166.0</v>
      </c>
    </row>
    <row r="2805">
      <c r="A2805" s="40">
        <f t="array" ref="A2805">IFNA(index(PlayerValues!A:A,match(IFNA(vlookup(B2805,'Special Names'!A:B,2,FALSE),B2805),PlayerValues!E:E,0)),"N/A")</f>
        <v>16171</v>
      </c>
      <c r="B2805" s="4" t="s">
        <v>618</v>
      </c>
      <c r="C2805" s="4" t="s">
        <v>278</v>
      </c>
      <c r="D2805" s="94">
        <v>1777.0</v>
      </c>
    </row>
    <row r="2806">
      <c r="A2806" s="40">
        <f t="array" ref="A2806">IFNA(index(PlayerValues!A:A,match(IFNA(vlookup(B2806,'Special Names'!A:B,2,FALSE),B2806),PlayerValues!E:E,0)),"N/A")</f>
        <v>17548</v>
      </c>
      <c r="B2806" s="4" t="s">
        <v>594</v>
      </c>
      <c r="C2806" s="4" t="s">
        <v>298</v>
      </c>
      <c r="D2806" s="94">
        <v>2147.0</v>
      </c>
    </row>
    <row r="2807">
      <c r="A2807" s="40">
        <f t="array" ref="A2807">IFNA(index(PlayerValues!A:A,match(IFNA(vlookup(B2807,'Special Names'!A:B,2,FALSE),B2807),PlayerValues!E:E,0)),"N/A")</f>
        <v>16644</v>
      </c>
      <c r="B2807" s="4" t="s">
        <v>640</v>
      </c>
      <c r="C2807" s="4" t="s">
        <v>298</v>
      </c>
      <c r="D2807" s="94">
        <v>2146.0</v>
      </c>
    </row>
    <row r="2808">
      <c r="A2808" s="40">
        <f t="array" ref="A2808">IFNA(index(PlayerValues!A:A,match(IFNA(vlookup(B2808,'Special Names'!A:B,2,FALSE),B2808),PlayerValues!E:E,0)),"N/A")</f>
        <v>13146</v>
      </c>
      <c r="B2808" s="4" t="s">
        <v>652</v>
      </c>
      <c r="C2808" s="4" t="s">
        <v>278</v>
      </c>
      <c r="D2808" s="94">
        <v>1756.0</v>
      </c>
    </row>
    <row r="2809">
      <c r="A2809" s="40">
        <f t="array" ref="A2809">IFNA(index(PlayerValues!A:A,match(IFNA(vlookup(B2809,'Special Names'!A:B,2,FALSE),B2809),PlayerValues!E:E,0)),"N/A")</f>
        <v>17049</v>
      </c>
      <c r="B2809" s="4" t="s">
        <v>624</v>
      </c>
      <c r="C2809" s="4" t="s">
        <v>278</v>
      </c>
      <c r="D2809" s="94">
        <v>1749.0</v>
      </c>
    </row>
    <row r="2810">
      <c r="A2810" s="40">
        <f t="array" ref="A2810">IFNA(index(PlayerValues!A:A,match(IFNA(vlookup(B2810,'Special Names'!A:B,2,FALSE),B2810),PlayerValues!E:E,0)),"N/A")</f>
        <v>16191</v>
      </c>
      <c r="B2810" s="4" t="s">
        <v>666</v>
      </c>
      <c r="C2810" s="4" t="s">
        <v>287</v>
      </c>
      <c r="D2810" s="94">
        <v>1745.0</v>
      </c>
    </row>
    <row r="2811">
      <c r="A2811" s="40" t="str">
        <f t="array" ref="A2811">IFNA(index(PlayerValues!A:A,match(IFNA(vlookup(B2811,'Special Names'!A:B,2,FALSE),B2811),PlayerValues!E:E,0)),"N/A")</f>
        <v>N/A</v>
      </c>
      <c r="B2811" s="4" t="s">
        <v>102</v>
      </c>
      <c r="C2811" s="4" t="s">
        <v>325</v>
      </c>
      <c r="D2811" s="94">
        <v>1738.0</v>
      </c>
    </row>
    <row r="2812">
      <c r="A2812" s="40">
        <f t="array" ref="A2812">IFNA(index(PlayerValues!A:A,match(IFNA(vlookup(B2812,'Special Names'!A:B,2,FALSE),B2812),PlayerValues!E:E,0)),"N/A")</f>
        <v>13164</v>
      </c>
      <c r="B2812" s="4" t="s">
        <v>632</v>
      </c>
      <c r="C2812" s="4" t="s">
        <v>287</v>
      </c>
      <c r="D2812" s="94">
        <v>1724.0</v>
      </c>
    </row>
    <row r="2813">
      <c r="A2813" s="40">
        <f t="array" ref="A2813">IFNA(index(PlayerValues!A:A,match(IFNA(vlookup(B2813,'Special Names'!A:B,2,FALSE),B2813),PlayerValues!E:E,0)),"N/A")</f>
        <v>17034</v>
      </c>
      <c r="B2813" s="4" t="s">
        <v>643</v>
      </c>
      <c r="C2813" s="4" t="s">
        <v>283</v>
      </c>
      <c r="D2813" s="94">
        <v>1714.0</v>
      </c>
    </row>
    <row r="2814">
      <c r="A2814" s="40" t="str">
        <f t="array" ref="A2814">IFNA(index(PlayerValues!A:A,match(IFNA(vlookup(B2814,'Special Names'!A:B,2,FALSE),B2814),PlayerValues!E:E,0)),"N/A")</f>
        <v>N/A</v>
      </c>
      <c r="B2814" s="4" t="s">
        <v>89</v>
      </c>
      <c r="C2814" s="4" t="s">
        <v>325</v>
      </c>
      <c r="D2814" s="94">
        <v>1712.0</v>
      </c>
    </row>
    <row r="2815">
      <c r="A2815" s="40">
        <f t="array" ref="A2815">IFNA(index(PlayerValues!A:A,match(IFNA(vlookup(B2815,'Special Names'!A:B,2,FALSE),B2815),PlayerValues!E:E,0)),"N/A")</f>
        <v>17035</v>
      </c>
      <c r="B2815" s="4" t="s">
        <v>650</v>
      </c>
      <c r="C2815" s="4" t="s">
        <v>283</v>
      </c>
      <c r="D2815" s="94">
        <v>1704.0</v>
      </c>
    </row>
    <row r="2816">
      <c r="A2816" s="40">
        <f t="array" ref="A2816">IFNA(index(PlayerValues!A:A,match(IFNA(vlookup(B2816,'Special Names'!A:B,2,FALSE),B2816),PlayerValues!E:E,0)),"N/A")</f>
        <v>14143</v>
      </c>
      <c r="B2816" s="4" t="s">
        <v>635</v>
      </c>
      <c r="C2816" s="4" t="s">
        <v>298</v>
      </c>
      <c r="D2816" s="94">
        <v>2080.0</v>
      </c>
    </row>
    <row r="2817">
      <c r="A2817" s="40">
        <f t="array" ref="A2817">IFNA(index(PlayerValues!A:A,match(IFNA(vlookup(B2817,'Special Names'!A:B,2,FALSE),B2817),PlayerValues!E:E,0)),"N/A")</f>
        <v>17607</v>
      </c>
      <c r="B2817" s="4" t="s">
        <v>526</v>
      </c>
      <c r="C2817" s="4" t="s">
        <v>298</v>
      </c>
      <c r="D2817" s="94">
        <v>2078.0</v>
      </c>
    </row>
    <row r="2818">
      <c r="A2818" s="40">
        <f t="array" ref="A2818">IFNA(index(PlayerValues!A:A,match(IFNA(vlookup(B2818,'Special Names'!A:B,2,FALSE),B2818),PlayerValues!E:E,0)),"N/A")</f>
        <v>17567</v>
      </c>
      <c r="B2818" s="4" t="s">
        <v>571</v>
      </c>
      <c r="C2818" s="4" t="s">
        <v>298</v>
      </c>
      <c r="D2818" s="94">
        <v>2078.0</v>
      </c>
    </row>
    <row r="2819">
      <c r="A2819" s="40">
        <f t="array" ref="A2819">IFNA(index(PlayerValues!A:A,match(IFNA(vlookup(B2819,'Special Names'!A:B,2,FALSE),B2819),PlayerValues!E:E,0)),"N/A")</f>
        <v>16585</v>
      </c>
      <c r="B2819" s="4" t="s">
        <v>623</v>
      </c>
      <c r="C2819" s="4" t="s">
        <v>283</v>
      </c>
      <c r="D2819" s="94">
        <v>1695.0</v>
      </c>
    </row>
    <row r="2820">
      <c r="A2820" s="40">
        <f t="array" ref="A2820">IFNA(index(PlayerValues!A:A,match(IFNA(vlookup(B2820,'Special Names'!A:B,2,FALSE),B2820),PlayerValues!E:E,0)),"N/A")</f>
        <v>17064</v>
      </c>
      <c r="B2820" s="4" t="s">
        <v>631</v>
      </c>
      <c r="C2820" s="4" t="s">
        <v>278</v>
      </c>
      <c r="D2820" s="94">
        <v>1682.0</v>
      </c>
    </row>
    <row r="2821">
      <c r="A2821" s="40" t="str">
        <f t="array" ref="A2821">IFNA(index(PlayerValues!A:A,match(IFNA(vlookup(B2821,'Special Names'!A:B,2,FALSE),B2821),PlayerValues!E:E,0)),"N/A")</f>
        <v>N/A</v>
      </c>
      <c r="B2821" s="4" t="s">
        <v>103</v>
      </c>
      <c r="C2821" s="4" t="s">
        <v>325</v>
      </c>
      <c r="D2821" s="94">
        <v>1674.0</v>
      </c>
    </row>
    <row r="2822">
      <c r="A2822" s="40">
        <f t="array" ref="A2822">IFNA(index(PlayerValues!A:A,match(IFNA(vlookup(B2822,'Special Names'!A:B,2,FALSE),B2822),PlayerValues!E:E,0)),"N/A")</f>
        <v>17058</v>
      </c>
      <c r="B2822" s="4" t="s">
        <v>641</v>
      </c>
      <c r="C2822" s="4" t="s">
        <v>278</v>
      </c>
      <c r="D2822" s="94">
        <v>1665.0</v>
      </c>
    </row>
    <row r="2823">
      <c r="A2823" s="40">
        <f t="array" ref="A2823">IFNA(index(PlayerValues!A:A,match(IFNA(vlookup(B2823,'Special Names'!A:B,2,FALSE),B2823),PlayerValues!E:E,0)),"N/A")</f>
        <v>17096</v>
      </c>
      <c r="B2823" s="4" t="s">
        <v>638</v>
      </c>
      <c r="C2823" s="4" t="s">
        <v>287</v>
      </c>
      <c r="D2823" s="94">
        <v>1656.0</v>
      </c>
    </row>
    <row r="2824">
      <c r="A2824" s="40">
        <f t="array" ref="A2824">IFNA(index(PlayerValues!A:A,match(IFNA(vlookup(B2824,'Special Names'!A:B,2,FALSE),B2824),PlayerValues!E:E,0)),"N/A")</f>
        <v>16635</v>
      </c>
      <c r="B2824" s="4" t="s">
        <v>645</v>
      </c>
      <c r="C2824" s="4" t="s">
        <v>287</v>
      </c>
      <c r="D2824" s="94">
        <v>1644.0</v>
      </c>
    </row>
    <row r="2825">
      <c r="A2825" s="40">
        <f t="array" ref="A2825">IFNA(index(PlayerValues!A:A,match(IFNA(vlookup(B2825,'Special Names'!A:B,2,FALSE),B2825),PlayerValues!E:E,0)),"N/A")</f>
        <v>16207</v>
      </c>
      <c r="B2825" s="4" t="s">
        <v>636</v>
      </c>
      <c r="C2825" s="4" t="s">
        <v>287</v>
      </c>
      <c r="D2825" s="94">
        <v>1643.0</v>
      </c>
    </row>
    <row r="2826">
      <c r="A2826" s="40" t="str">
        <f t="array" ref="A2826">IFNA(index(PlayerValues!A:A,match(IFNA(vlookup(B2826,'Special Names'!A:B,2,FALSE),B2826),PlayerValues!E:E,0)),"N/A")</f>
        <v>N/A</v>
      </c>
      <c r="B2826" s="4" t="s">
        <v>115</v>
      </c>
      <c r="C2826" s="4" t="s">
        <v>325</v>
      </c>
      <c r="D2826" s="94">
        <v>1642.0</v>
      </c>
    </row>
    <row r="2827">
      <c r="A2827" s="40">
        <f t="array" ref="A2827">IFNA(index(PlayerValues!A:A,match(IFNA(vlookup(B2827,'Special Names'!A:B,2,FALSE),B2827),PlayerValues!E:E,0)),"N/A")</f>
        <v>17465</v>
      </c>
      <c r="B2827" s="4" t="s">
        <v>649</v>
      </c>
      <c r="C2827" s="4" t="s">
        <v>283</v>
      </c>
      <c r="D2827" s="94">
        <v>1639.0</v>
      </c>
    </row>
    <row r="2828">
      <c r="A2828" s="40">
        <f t="array" ref="A2828">IFNA(index(PlayerValues!A:A,match(IFNA(vlookup(B2828,'Special Names'!A:B,2,FALSE),B2828),PlayerValues!E:E,0)),"N/A")</f>
        <v>15755</v>
      </c>
      <c r="B2828" s="4" t="s">
        <v>628</v>
      </c>
      <c r="C2828" s="4" t="s">
        <v>287</v>
      </c>
      <c r="D2828" s="94">
        <v>1628.0</v>
      </c>
    </row>
    <row r="2829">
      <c r="A2829" s="40" t="str">
        <f t="array" ref="A2829">IFNA(index(PlayerValues!A:A,match(IFNA(vlookup(B2829,'Special Names'!A:B,2,FALSE),B2829),PlayerValues!E:E,0)),"N/A")</f>
        <v>N/A</v>
      </c>
      <c r="B2829" s="4" t="s">
        <v>90</v>
      </c>
      <c r="C2829" s="4" t="s">
        <v>325</v>
      </c>
      <c r="D2829" s="94">
        <v>1625.0</v>
      </c>
    </row>
    <row r="2830">
      <c r="A2830" s="40">
        <f t="array" ref="A2830">IFNA(index(PlayerValues!A:A,match(IFNA(vlookup(B2830,'Special Names'!A:B,2,FALSE),B2830),PlayerValues!E:E,0)),"N/A")</f>
        <v>14105</v>
      </c>
      <c r="B2830" s="4" t="s">
        <v>675</v>
      </c>
      <c r="C2830" s="4" t="s">
        <v>287</v>
      </c>
      <c r="D2830" s="94">
        <v>1620.0</v>
      </c>
    </row>
    <row r="2831">
      <c r="A2831" s="40">
        <f t="array" ref="A2831">IFNA(index(PlayerValues!A:A,match(IFNA(vlookup(B2831,'Special Names'!A:B,2,FALSE),B2831),PlayerValues!E:E,0)),"N/A")</f>
        <v>16201</v>
      </c>
      <c r="B2831" s="4" t="s">
        <v>589</v>
      </c>
      <c r="C2831" s="4" t="s">
        <v>287</v>
      </c>
      <c r="D2831" s="94">
        <v>1617.0</v>
      </c>
    </row>
    <row r="2832">
      <c r="A2832" s="40">
        <f t="array" ref="A2832">IFNA(index(PlayerValues!A:A,match(IFNA(vlookup(B2832,'Special Names'!A:B,2,FALSE),B2832),PlayerValues!E:E,0)),"N/A")</f>
        <v>16601</v>
      </c>
      <c r="B2832" s="4" t="s">
        <v>648</v>
      </c>
      <c r="C2832" s="4" t="s">
        <v>278</v>
      </c>
      <c r="D2832" s="94">
        <v>1608.0</v>
      </c>
    </row>
    <row r="2833">
      <c r="A2833" s="40">
        <f t="array" ref="A2833">IFNA(index(PlayerValues!A:A,match(IFNA(vlookup(B2833,'Special Names'!A:B,2,FALSE),B2833),PlayerValues!E:E,0)),"N/A")</f>
        <v>16586</v>
      </c>
      <c r="B2833" s="4" t="s">
        <v>658</v>
      </c>
      <c r="C2833" s="4" t="s">
        <v>283</v>
      </c>
      <c r="D2833" s="94">
        <v>1582.0</v>
      </c>
    </row>
    <row r="2834">
      <c r="A2834" s="40" t="str">
        <f t="array" ref="A2834">IFNA(index(PlayerValues!A:A,match(IFNA(vlookup(B2834,'Special Names'!A:B,2,FALSE),B2834),PlayerValues!E:E,0)),"N/A")</f>
        <v>N/A</v>
      </c>
      <c r="B2834" s="4" t="s">
        <v>116</v>
      </c>
      <c r="C2834" s="4" t="s">
        <v>325</v>
      </c>
      <c r="D2834" s="94">
        <v>1576.0</v>
      </c>
    </row>
    <row r="2835">
      <c r="A2835" s="40">
        <f t="array" ref="A2835">IFNA(index(PlayerValues!A:A,match(IFNA(vlookup(B2835,'Special Names'!A:B,2,FALSE),B2835),PlayerValues!E:E,0)),"N/A")</f>
        <v>16629</v>
      </c>
      <c r="B2835" s="4" t="s">
        <v>605</v>
      </c>
      <c r="C2835" s="4" t="s">
        <v>287</v>
      </c>
      <c r="D2835" s="94">
        <v>1567.0</v>
      </c>
    </row>
    <row r="2836">
      <c r="A2836" s="40">
        <f t="array" ref="A2836">IFNA(index(PlayerValues!A:A,match(IFNA(vlookup(B2836,'Special Names'!A:B,2,FALSE),B2836),PlayerValues!E:E,0)),"N/A")</f>
        <v>15301</v>
      </c>
      <c r="B2836" s="4" t="s">
        <v>657</v>
      </c>
      <c r="C2836" s="4" t="s">
        <v>287</v>
      </c>
      <c r="D2836" s="94">
        <v>1561.0</v>
      </c>
    </row>
    <row r="2837">
      <c r="A2837" s="40" t="str">
        <f t="array" ref="A2837">IFNA(index(PlayerValues!A:A,match(IFNA(vlookup(B2837,'Special Names'!A:B,2,FALSE),B2837),PlayerValues!E:E,0)),"N/A")</f>
        <v>N/A</v>
      </c>
      <c r="B2837" s="4" t="s">
        <v>91</v>
      </c>
      <c r="C2837" s="4" t="s">
        <v>325</v>
      </c>
      <c r="D2837" s="94">
        <v>1560.0</v>
      </c>
    </row>
    <row r="2838">
      <c r="A2838" s="40">
        <f t="array" ref="A2838">IFNA(index(PlayerValues!A:A,match(IFNA(vlookup(B2838,'Special Names'!A:B,2,FALSE),B2838),PlayerValues!E:E,0)),"N/A")</f>
        <v>16633</v>
      </c>
      <c r="B2838" s="4" t="s">
        <v>656</v>
      </c>
      <c r="C2838" s="4" t="s">
        <v>287</v>
      </c>
      <c r="D2838" s="94">
        <v>1560.0</v>
      </c>
    </row>
    <row r="2839">
      <c r="A2839" s="40">
        <f t="array" ref="A2839">IFNA(index(PlayerValues!A:A,match(IFNA(vlookup(B2839,'Special Names'!A:B,2,FALSE),B2839),PlayerValues!E:E,0)),"N/A")</f>
        <v>15254</v>
      </c>
      <c r="B2839" s="4" t="s">
        <v>633</v>
      </c>
      <c r="C2839" s="4" t="s">
        <v>278</v>
      </c>
      <c r="D2839" s="94">
        <v>1557.0</v>
      </c>
    </row>
    <row r="2840">
      <c r="A2840" s="40">
        <f t="array" ref="A2840">IFNA(index(PlayerValues!A:A,match(IFNA(vlookup(B2840,'Special Names'!A:B,2,FALSE),B2840),PlayerValues!E:E,0)),"N/A")</f>
        <v>15319</v>
      </c>
      <c r="B2840" s="4" t="s">
        <v>644</v>
      </c>
      <c r="C2840" s="4" t="s">
        <v>287</v>
      </c>
      <c r="D2840" s="94">
        <v>1546.0</v>
      </c>
    </row>
    <row r="2841">
      <c r="A2841" s="40">
        <f t="array" ref="A2841">IFNA(index(PlayerValues!A:A,match(IFNA(vlookup(B2841,'Special Names'!A:B,2,FALSE),B2841),PlayerValues!E:E,0)),"N/A")</f>
        <v>17529</v>
      </c>
      <c r="B2841" s="4" t="s">
        <v>608</v>
      </c>
      <c r="C2841" s="4" t="s">
        <v>287</v>
      </c>
      <c r="D2841" s="94">
        <v>1545.0</v>
      </c>
    </row>
    <row r="2842">
      <c r="A2842" s="40">
        <f t="array" ref="A2842">IFNA(index(PlayerValues!A:A,match(IFNA(vlookup(B2842,'Special Names'!A:B,2,FALSE),B2842),PlayerValues!E:E,0)),"N/A")</f>
        <v>17234</v>
      </c>
      <c r="B2842" s="4" t="s">
        <v>653</v>
      </c>
      <c r="C2842" s="4" t="s">
        <v>287</v>
      </c>
      <c r="D2842" s="94">
        <v>1539.0</v>
      </c>
    </row>
    <row r="2843">
      <c r="A2843" s="40">
        <f t="array" ref="A2843">IFNA(index(PlayerValues!A:A,match(IFNA(vlookup(B2843,'Special Names'!A:B,2,FALSE),B2843),PlayerValues!E:E,0)),"N/A")</f>
        <v>15713</v>
      </c>
      <c r="B2843" s="4" t="s">
        <v>732</v>
      </c>
      <c r="C2843" s="4" t="s">
        <v>278</v>
      </c>
      <c r="D2843" s="94">
        <v>1515.0</v>
      </c>
    </row>
    <row r="2844">
      <c r="A2844" s="40">
        <f t="array" ref="A2844">IFNA(index(PlayerValues!A:A,match(IFNA(vlookup(B2844,'Special Names'!A:B,2,FALSE),B2844),PlayerValues!E:E,0)),"N/A")</f>
        <v>17205</v>
      </c>
      <c r="B2844" s="4" t="s">
        <v>665</v>
      </c>
      <c r="C2844" s="4" t="s">
        <v>287</v>
      </c>
      <c r="D2844" s="94">
        <v>1514.0</v>
      </c>
    </row>
    <row r="2845">
      <c r="A2845" s="40">
        <f t="array" ref="A2845">IFNA(index(PlayerValues!A:A,match(IFNA(vlookup(B2845,'Special Names'!A:B,2,FALSE),B2845),PlayerValues!E:E,0)),"N/A")</f>
        <v>14122</v>
      </c>
      <c r="B2845" s="4" t="s">
        <v>663</v>
      </c>
      <c r="C2845" s="4" t="s">
        <v>287</v>
      </c>
      <c r="D2845" s="94">
        <v>1505.0</v>
      </c>
    </row>
    <row r="2846">
      <c r="A2846" s="40">
        <f t="array" ref="A2846">IFNA(index(PlayerValues!A:A,match(IFNA(vlookup(B2846,'Special Names'!A:B,2,FALSE),B2846),PlayerValues!E:E,0)),"N/A")</f>
        <v>15337</v>
      </c>
      <c r="B2846" s="4" t="s">
        <v>655</v>
      </c>
      <c r="C2846" s="4" t="s">
        <v>298</v>
      </c>
      <c r="D2846" s="94">
        <v>1868.0</v>
      </c>
    </row>
    <row r="2847">
      <c r="A2847" s="40">
        <f t="array" ref="A2847">IFNA(index(PlayerValues!A:A,match(IFNA(vlookup(B2847,'Special Names'!A:B,2,FALSE),B2847),PlayerValues!E:E,0)),"N/A")</f>
        <v>16595</v>
      </c>
      <c r="B2847" s="4" t="s">
        <v>664</v>
      </c>
      <c r="C2847" s="4" t="s">
        <v>278</v>
      </c>
      <c r="D2847" s="94">
        <v>1494.0</v>
      </c>
    </row>
    <row r="2848">
      <c r="A2848" s="40">
        <f t="array" ref="A2848">IFNA(index(PlayerValues!A:A,match(IFNA(vlookup(B2848,'Special Names'!A:B,2,FALSE),B2848),PlayerValues!E:E,0)),"N/A")</f>
        <v>16688</v>
      </c>
      <c r="B2848" s="4" t="s">
        <v>688</v>
      </c>
      <c r="C2848" s="4" t="s">
        <v>278</v>
      </c>
      <c r="D2848" s="94">
        <v>1494.0</v>
      </c>
    </row>
    <row r="2849">
      <c r="A2849" s="40">
        <f t="array" ref="A2849">IFNA(index(PlayerValues!A:A,match(IFNA(vlookup(B2849,'Special Names'!A:B,2,FALSE),B2849),PlayerValues!E:E,0)),"N/A")</f>
        <v>16175</v>
      </c>
      <c r="B2849" s="4" t="s">
        <v>654</v>
      </c>
      <c r="C2849" s="4" t="s">
        <v>278</v>
      </c>
      <c r="D2849" s="94">
        <v>1486.0</v>
      </c>
    </row>
    <row r="2850">
      <c r="A2850" s="40">
        <f t="array" ref="A2850">IFNA(index(PlayerValues!A:A,match(IFNA(vlookup(B2850,'Special Names'!A:B,2,FALSE),B2850),PlayerValues!E:E,0)),"N/A")</f>
        <v>17054</v>
      </c>
      <c r="B2850" s="4" t="s">
        <v>670</v>
      </c>
      <c r="C2850" s="4" t="s">
        <v>278</v>
      </c>
      <c r="D2850" s="94">
        <v>1477.0</v>
      </c>
    </row>
    <row r="2851">
      <c r="A2851" s="40">
        <f t="array" ref="A2851">IFNA(index(PlayerValues!A:A,match(IFNA(vlookup(B2851,'Special Names'!A:B,2,FALSE),B2851),PlayerValues!E:E,0)),"N/A")</f>
        <v>15752</v>
      </c>
      <c r="B2851" s="4" t="s">
        <v>647</v>
      </c>
      <c r="C2851" s="4" t="s">
        <v>287</v>
      </c>
      <c r="D2851" s="94">
        <v>1468.0</v>
      </c>
    </row>
    <row r="2852">
      <c r="A2852" s="40">
        <f t="array" ref="A2852">IFNA(index(PlayerValues!A:A,match(IFNA(vlookup(B2852,'Special Names'!A:B,2,FALSE),B2852),PlayerValues!E:E,0)),"N/A")</f>
        <v>13672</v>
      </c>
      <c r="B2852" s="4" t="s">
        <v>667</v>
      </c>
      <c r="C2852" s="4" t="s">
        <v>298</v>
      </c>
      <c r="D2852" s="94">
        <v>1834.0</v>
      </c>
    </row>
    <row r="2853">
      <c r="A2853" s="40">
        <f t="array" ref="A2853">IFNA(index(PlayerValues!A:A,match(IFNA(vlookup(B2853,'Special Names'!A:B,2,FALSE),B2853),PlayerValues!E:E,0)),"N/A")</f>
        <v>16788</v>
      </c>
      <c r="B2853" s="4" t="s">
        <v>621</v>
      </c>
      <c r="C2853" s="4" t="s">
        <v>287</v>
      </c>
      <c r="D2853" s="94">
        <v>1452.0</v>
      </c>
    </row>
    <row r="2854">
      <c r="A2854" s="40">
        <f t="array" ref="A2854">IFNA(index(PlayerValues!A:A,match(IFNA(vlookup(B2854,'Special Names'!A:B,2,FALSE),B2854),PlayerValues!E:E,0)),"N/A")</f>
        <v>15873</v>
      </c>
      <c r="B2854" s="4" t="s">
        <v>681</v>
      </c>
      <c r="C2854" s="4" t="s">
        <v>298</v>
      </c>
      <c r="D2854" s="94">
        <v>1810.0</v>
      </c>
    </row>
    <row r="2855">
      <c r="A2855" s="40">
        <f t="array" ref="A2855">IFNA(index(PlayerValues!A:A,match(IFNA(vlookup(B2855,'Special Names'!A:B,2,FALSE),B2855),PlayerValues!E:E,0)),"N/A")</f>
        <v>15759</v>
      </c>
      <c r="B2855" s="4" t="s">
        <v>662</v>
      </c>
      <c r="C2855" s="4" t="s">
        <v>287</v>
      </c>
      <c r="D2855" s="94">
        <v>1433.0</v>
      </c>
    </row>
    <row r="2856">
      <c r="A2856" s="40">
        <f t="array" ref="A2856">IFNA(index(PlayerValues!A:A,match(IFNA(vlookup(B2856,'Special Names'!A:B,2,FALSE),B2856),PlayerValues!E:E,0)),"N/A")</f>
        <v>15777</v>
      </c>
      <c r="B2856" s="4" t="s">
        <v>694</v>
      </c>
      <c r="C2856" s="4" t="s">
        <v>287</v>
      </c>
      <c r="D2856" s="94">
        <v>1422.0</v>
      </c>
    </row>
    <row r="2857">
      <c r="A2857" s="40">
        <f t="array" ref="A2857">IFNA(index(PlayerValues!A:A,match(IFNA(vlookup(B2857,'Special Names'!A:B,2,FALSE),B2857),PlayerValues!E:E,0)),"N/A")</f>
        <v>16390</v>
      </c>
      <c r="B2857" s="4" t="s">
        <v>689</v>
      </c>
      <c r="C2857" s="4" t="s">
        <v>278</v>
      </c>
      <c r="D2857" s="94">
        <v>1418.0</v>
      </c>
    </row>
    <row r="2858">
      <c r="A2858" s="40">
        <f t="array" ref="A2858">IFNA(index(PlayerValues!A:A,match(IFNA(vlookup(B2858,'Special Names'!A:B,2,FALSE),B2858),PlayerValues!E:E,0)),"N/A")</f>
        <v>17519</v>
      </c>
      <c r="B2858" s="4" t="s">
        <v>593</v>
      </c>
      <c r="C2858" s="4" t="s">
        <v>287</v>
      </c>
      <c r="D2858" s="94">
        <v>1417.0</v>
      </c>
    </row>
    <row r="2859">
      <c r="A2859" s="40">
        <f t="array" ref="A2859">IFNA(index(PlayerValues!A:A,match(IFNA(vlookup(B2859,'Special Names'!A:B,2,FALSE),B2859),PlayerValues!E:E,0)),"N/A")</f>
        <v>16621</v>
      </c>
      <c r="B2859" s="4" t="s">
        <v>672</v>
      </c>
      <c r="C2859" s="4" t="s">
        <v>287</v>
      </c>
      <c r="D2859" s="94">
        <v>1411.0</v>
      </c>
    </row>
    <row r="2860">
      <c r="A2860" s="40">
        <f t="array" ref="A2860">IFNA(index(PlayerValues!A:A,match(IFNA(vlookup(B2860,'Special Names'!A:B,2,FALSE),B2860),PlayerValues!E:E,0)),"N/A")</f>
        <v>14137</v>
      </c>
      <c r="B2860" s="4" t="s">
        <v>676</v>
      </c>
      <c r="C2860" s="4" t="s">
        <v>298</v>
      </c>
      <c r="D2860" s="94">
        <v>1774.0</v>
      </c>
    </row>
    <row r="2861">
      <c r="A2861" s="40">
        <f t="array" ref="A2861">IFNA(index(PlayerValues!A:A,match(IFNA(vlookup(B2861,'Special Names'!A:B,2,FALSE),B2861),PlayerValues!E:E,0)),"N/A")</f>
        <v>17521</v>
      </c>
      <c r="B2861" s="4" t="s">
        <v>573</v>
      </c>
      <c r="C2861" s="4" t="s">
        <v>287</v>
      </c>
      <c r="D2861" s="94">
        <v>1397.0</v>
      </c>
    </row>
    <row r="2862">
      <c r="A2862" s="40">
        <f t="array" ref="A2862">IFNA(index(PlayerValues!A:A,match(IFNA(vlookup(B2862,'Special Names'!A:B,2,FALSE),B2862),PlayerValues!E:E,0)),"N/A")</f>
        <v>15738</v>
      </c>
      <c r="B2862" s="4" t="s">
        <v>634</v>
      </c>
      <c r="C2862" s="4" t="s">
        <v>278</v>
      </c>
      <c r="D2862" s="94">
        <v>1396.0</v>
      </c>
    </row>
    <row r="2863">
      <c r="A2863" s="40">
        <f t="array" ref="A2863">IFNA(index(PlayerValues!A:A,match(IFNA(vlookup(B2863,'Special Names'!A:B,2,FALSE),B2863),PlayerValues!E:E,0)),"N/A")</f>
        <v>16387</v>
      </c>
      <c r="B2863" s="4" t="s">
        <v>646</v>
      </c>
      <c r="C2863" s="4" t="s">
        <v>278</v>
      </c>
      <c r="D2863" s="94">
        <v>1396.0</v>
      </c>
    </row>
    <row r="2864">
      <c r="A2864" s="40">
        <f t="array" ref="A2864">IFNA(index(PlayerValues!A:A,match(IFNA(vlookup(B2864,'Special Names'!A:B,2,FALSE),B2864),PlayerValues!E:E,0)),"N/A")</f>
        <v>16631</v>
      </c>
      <c r="B2864" s="4" t="s">
        <v>800</v>
      </c>
      <c r="C2864" s="4" t="s">
        <v>287</v>
      </c>
      <c r="D2864" s="94">
        <v>1396.0</v>
      </c>
    </row>
    <row r="2865">
      <c r="A2865" s="40">
        <f t="array" ref="A2865">IFNA(index(PlayerValues!A:A,match(IFNA(vlookup(B2865,'Special Names'!A:B,2,FALSE),B2865),PlayerValues!E:E,0)),"N/A")</f>
        <v>16642</v>
      </c>
      <c r="B2865" s="4" t="s">
        <v>691</v>
      </c>
      <c r="C2865" s="4" t="s">
        <v>298</v>
      </c>
      <c r="D2865" s="94">
        <v>1765.0</v>
      </c>
    </row>
    <row r="2866">
      <c r="A2866" s="40">
        <f t="array" ref="A2866">IFNA(index(PlayerValues!A:A,match(IFNA(vlookup(B2866,'Special Names'!A:B,2,FALSE),B2866),PlayerValues!E:E,0)),"N/A")</f>
        <v>16384</v>
      </c>
      <c r="B2866" s="4" t="s">
        <v>696</v>
      </c>
      <c r="C2866" s="4" t="s">
        <v>283</v>
      </c>
      <c r="D2866" s="94">
        <v>1388.0</v>
      </c>
    </row>
    <row r="2867">
      <c r="A2867" s="40">
        <f t="array" ref="A2867">IFNA(index(PlayerValues!A:A,match(IFNA(vlookup(B2867,'Special Names'!A:B,2,FALSE),B2867),PlayerValues!E:E,0)),"N/A")</f>
        <v>16608</v>
      </c>
      <c r="B2867" s="4" t="s">
        <v>629</v>
      </c>
      <c r="C2867" s="4" t="s">
        <v>278</v>
      </c>
      <c r="D2867" s="94">
        <v>1373.0</v>
      </c>
    </row>
    <row r="2868">
      <c r="A2868" s="40">
        <f t="array" ref="A2868">IFNA(index(PlayerValues!A:A,match(IFNA(vlookup(B2868,'Special Names'!A:B,2,FALSE),B2868),PlayerValues!E:E,0)),"N/A")</f>
        <v>16792</v>
      </c>
      <c r="B2868" s="4" t="s">
        <v>704</v>
      </c>
      <c r="C2868" s="4" t="s">
        <v>287</v>
      </c>
      <c r="D2868" s="94">
        <v>1367.0</v>
      </c>
    </row>
    <row r="2869">
      <c r="A2869" s="40">
        <f t="array" ref="A2869">IFNA(index(PlayerValues!A:A,match(IFNA(vlookup(B2869,'Special Names'!A:B,2,FALSE),B2869),PlayerValues!E:E,0)),"N/A")</f>
        <v>17599</v>
      </c>
      <c r="B2869" s="4" t="s">
        <v>496</v>
      </c>
      <c r="C2869" s="4" t="s">
        <v>287</v>
      </c>
      <c r="D2869" s="94">
        <v>1361.0</v>
      </c>
    </row>
    <row r="2870">
      <c r="A2870" s="40">
        <f t="array" ref="A2870">IFNA(index(PlayerValues!A:A,match(IFNA(vlookup(B2870,'Special Names'!A:B,2,FALSE),B2870),PlayerValues!E:E,0)),"N/A")</f>
        <v>14086</v>
      </c>
      <c r="B2870" s="4" t="s">
        <v>639</v>
      </c>
      <c r="C2870" s="4" t="s">
        <v>278</v>
      </c>
      <c r="D2870" s="94">
        <v>1351.0</v>
      </c>
    </row>
    <row r="2871">
      <c r="A2871" s="40">
        <f t="array" ref="A2871">IFNA(index(PlayerValues!A:A,match(IFNA(vlookup(B2871,'Special Names'!A:B,2,FALSE),B2871),PlayerValues!E:E,0)),"N/A")</f>
        <v>15292</v>
      </c>
      <c r="B2871" s="4" t="s">
        <v>682</v>
      </c>
      <c r="C2871" s="4" t="s">
        <v>287</v>
      </c>
      <c r="D2871" s="94">
        <v>1347.0</v>
      </c>
    </row>
    <row r="2872">
      <c r="A2872" s="40">
        <f t="array" ref="A2872">IFNA(index(PlayerValues!A:A,match(IFNA(vlookup(B2872,'Special Names'!A:B,2,FALSE),B2872),PlayerValues!E:E,0)),"N/A")</f>
        <v>17037</v>
      </c>
      <c r="B2872" s="4" t="s">
        <v>727</v>
      </c>
      <c r="C2872" s="4" t="s">
        <v>283</v>
      </c>
      <c r="D2872" s="94">
        <v>1318.0</v>
      </c>
    </row>
    <row r="2873">
      <c r="A2873" s="40">
        <f t="array" ref="A2873">IFNA(index(PlayerValues!A:A,match(IFNA(vlookup(B2873,'Special Names'!A:B,2,FALSE),B2873),PlayerValues!E:E,0)),"N/A")</f>
        <v>17685</v>
      </c>
      <c r="B2873" s="4" t="s">
        <v>630</v>
      </c>
      <c r="C2873" s="4" t="s">
        <v>278</v>
      </c>
      <c r="D2873" s="94">
        <v>1316.0</v>
      </c>
    </row>
    <row r="2874">
      <c r="A2874" s="40">
        <f t="array" ref="A2874">IFNA(index(PlayerValues!A:A,match(IFNA(vlookup(B2874,'Special Names'!A:B,2,FALSE),B2874),PlayerValues!E:E,0)),"N/A")</f>
        <v>12140</v>
      </c>
      <c r="B2874" s="4" t="s">
        <v>702</v>
      </c>
      <c r="C2874" s="4" t="s">
        <v>283</v>
      </c>
      <c r="D2874" s="94">
        <v>1312.0</v>
      </c>
    </row>
    <row r="2875">
      <c r="A2875" s="40">
        <f t="array" ref="A2875">IFNA(index(PlayerValues!A:A,match(IFNA(vlookup(B2875,'Special Names'!A:B,2,FALSE),B2875),PlayerValues!E:E,0)),"N/A")</f>
        <v>17254</v>
      </c>
      <c r="B2875" s="4" t="s">
        <v>679</v>
      </c>
      <c r="C2875" s="4" t="s">
        <v>287</v>
      </c>
      <c r="D2875" s="94">
        <v>1309.0</v>
      </c>
    </row>
    <row r="2876">
      <c r="A2876" s="40">
        <f t="array" ref="A2876">IFNA(index(PlayerValues!A:A,match(IFNA(vlookup(B2876,'Special Names'!A:B,2,FALSE),B2876),PlayerValues!E:E,0)),"N/A")</f>
        <v>17062</v>
      </c>
      <c r="B2876" s="4" t="s">
        <v>701</v>
      </c>
      <c r="C2876" s="4" t="s">
        <v>278</v>
      </c>
      <c r="D2876" s="94">
        <v>1302.0</v>
      </c>
    </row>
    <row r="2877">
      <c r="A2877" s="40">
        <f t="array" ref="A2877">IFNA(index(PlayerValues!A:A,match(IFNA(vlookup(B2877,'Special Names'!A:B,2,FALSE),B2877),PlayerValues!E:E,0)),"N/A")</f>
        <v>12678</v>
      </c>
      <c r="B2877" s="4" t="s">
        <v>703</v>
      </c>
      <c r="C2877" s="4" t="s">
        <v>298</v>
      </c>
      <c r="D2877" s="94">
        <v>1653.0</v>
      </c>
    </row>
    <row r="2878">
      <c r="A2878" s="40">
        <f t="array" ref="A2878">IFNA(index(PlayerValues!A:A,match(IFNA(vlookup(B2878,'Special Names'!A:B,2,FALSE),B2878),PlayerValues!E:E,0)),"N/A")</f>
        <v>13418</v>
      </c>
      <c r="B2878" s="4" t="s">
        <v>706</v>
      </c>
      <c r="C2878" s="4" t="s">
        <v>287</v>
      </c>
      <c r="D2878" s="94">
        <v>1275.0</v>
      </c>
    </row>
    <row r="2879">
      <c r="A2879" s="40">
        <f t="array" ref="A2879">IFNA(index(PlayerValues!A:A,match(IFNA(vlookup(B2879,'Special Names'!A:B,2,FALSE),B2879),PlayerValues!E:E,0)),"N/A")</f>
        <v>15252</v>
      </c>
      <c r="B2879" s="4" t="s">
        <v>715</v>
      </c>
      <c r="C2879" s="4" t="s">
        <v>283</v>
      </c>
      <c r="D2879" s="94">
        <v>1270.0</v>
      </c>
    </row>
    <row r="2880">
      <c r="A2880" s="40" t="str">
        <f t="array" ref="A2880">IFNA(index(PlayerValues!A:A,match(IFNA(vlookup(B2880,'Special Names'!A:B,2,FALSE),B2880),PlayerValues!E:E,0)),"N/A")</f>
        <v>N/A</v>
      </c>
      <c r="B2880" s="4" t="s">
        <v>117</v>
      </c>
      <c r="C2880" s="4" t="s">
        <v>325</v>
      </c>
      <c r="D2880" s="94">
        <v>1261.0</v>
      </c>
    </row>
    <row r="2881">
      <c r="A2881" s="40">
        <f t="array" ref="A2881">IFNA(index(PlayerValues!A:A,match(IFNA(vlookup(B2881,'Special Names'!A:B,2,FALSE),B2881),PlayerValues!E:E,0)),"N/A")</f>
        <v>12141</v>
      </c>
      <c r="B2881" s="4" t="s">
        <v>744</v>
      </c>
      <c r="C2881" s="4" t="s">
        <v>283</v>
      </c>
      <c r="D2881" s="94">
        <v>1257.0</v>
      </c>
    </row>
    <row r="2882">
      <c r="A2882" s="40">
        <f t="array" ref="A2882">IFNA(index(PlayerValues!A:A,match(IFNA(vlookup(B2882,'Special Names'!A:B,2,FALSE),B2882),PlayerValues!E:E,0)),"N/A")</f>
        <v>16645</v>
      </c>
      <c r="B2882" s="4" t="s">
        <v>651</v>
      </c>
      <c r="C2882" s="4" t="s">
        <v>298</v>
      </c>
      <c r="D2882" s="94">
        <v>1624.0</v>
      </c>
    </row>
    <row r="2883">
      <c r="A2883" s="40">
        <f t="array" ref="A2883">IFNA(index(PlayerValues!A:A,match(IFNA(vlookup(B2883,'Special Names'!A:B,2,FALSE),B2883),PlayerValues!E:E,0)),"N/A")</f>
        <v>14592</v>
      </c>
      <c r="B2883" s="4" t="s">
        <v>705</v>
      </c>
      <c r="C2883" s="4" t="s">
        <v>287</v>
      </c>
      <c r="D2883" s="94">
        <v>1256.0</v>
      </c>
    </row>
    <row r="2884">
      <c r="A2884" s="40">
        <f t="array" ref="A2884">IFNA(index(PlayerValues!A:A,match(IFNA(vlookup(B2884,'Special Names'!A:B,2,FALSE),B2884),PlayerValues!E:E,0)),"N/A")</f>
        <v>14080</v>
      </c>
      <c r="B2884" s="4" t="s">
        <v>716</v>
      </c>
      <c r="C2884" s="4" t="s">
        <v>278</v>
      </c>
      <c r="D2884" s="94">
        <v>1246.0</v>
      </c>
    </row>
    <row r="2885">
      <c r="A2885" s="40">
        <f t="array" ref="A2885">IFNA(index(PlayerValues!A:A,match(IFNA(vlookup(B2885,'Special Names'!A:B,2,FALSE),B2885),PlayerValues!E:E,0)),"N/A")</f>
        <v>15332</v>
      </c>
      <c r="B2885" s="4" t="s">
        <v>698</v>
      </c>
      <c r="C2885" s="4" t="s">
        <v>298</v>
      </c>
      <c r="D2885" s="94">
        <v>1613.0</v>
      </c>
    </row>
    <row r="2886">
      <c r="A2886" s="40">
        <f t="array" ref="A2886">IFNA(index(PlayerValues!A:A,match(IFNA(vlookup(B2886,'Special Names'!A:B,2,FALSE),B2886),PlayerValues!E:E,0)),"N/A")</f>
        <v>14095</v>
      </c>
      <c r="B2886" s="4" t="s">
        <v>680</v>
      </c>
      <c r="C2886" s="4" t="s">
        <v>278</v>
      </c>
      <c r="D2886" s="94">
        <v>1245.0</v>
      </c>
    </row>
    <row r="2887">
      <c r="A2887" s="40">
        <f t="array" ref="A2887">IFNA(index(PlayerValues!A:A,match(IFNA(vlookup(B2887,'Special Names'!A:B,2,FALSE),B2887),PlayerValues!E:E,0)),"N/A")</f>
        <v>16149</v>
      </c>
      <c r="B2887" s="4" t="s">
        <v>740</v>
      </c>
      <c r="C2887" s="4" t="s">
        <v>283</v>
      </c>
      <c r="D2887" s="94">
        <v>1239.0</v>
      </c>
    </row>
    <row r="2888">
      <c r="A2888" s="40">
        <f t="array" ref="A2888">IFNA(index(PlayerValues!A:A,match(IFNA(vlookup(B2888,'Special Names'!A:B,2,FALSE),B2888),PlayerValues!E:E,0)),"N/A")</f>
        <v>11222</v>
      </c>
      <c r="B2888" s="4" t="s">
        <v>622</v>
      </c>
      <c r="C2888" s="4" t="s">
        <v>287</v>
      </c>
      <c r="D2888" s="94">
        <v>1233.0</v>
      </c>
    </row>
    <row r="2889">
      <c r="A2889" s="40">
        <f t="array" ref="A2889">IFNA(index(PlayerValues!A:A,match(IFNA(vlookup(B2889,'Special Names'!A:B,2,FALSE),B2889),PlayerValues!E:E,0)),"N/A")</f>
        <v>15702</v>
      </c>
      <c r="B2889" s="4" t="s">
        <v>723</v>
      </c>
      <c r="C2889" s="4" t="s">
        <v>283</v>
      </c>
      <c r="D2889" s="94">
        <v>1225.0</v>
      </c>
    </row>
    <row r="2890">
      <c r="A2890" s="40">
        <f t="array" ref="A2890">IFNA(index(PlayerValues!A:A,match(IFNA(vlookup(B2890,'Special Names'!A:B,2,FALSE),B2890),PlayerValues!E:E,0)),"N/A")</f>
        <v>16636</v>
      </c>
      <c r="B2890" s="4" t="s">
        <v>699</v>
      </c>
      <c r="C2890" s="4" t="s">
        <v>287</v>
      </c>
      <c r="D2890" s="94">
        <v>1224.0</v>
      </c>
    </row>
    <row r="2891">
      <c r="A2891" s="40">
        <f t="array" ref="A2891">IFNA(index(PlayerValues!A:A,match(IFNA(vlookup(B2891,'Special Names'!A:B,2,FALSE),B2891),PlayerValues!E:E,0)),"N/A")</f>
        <v>17097</v>
      </c>
      <c r="B2891" s="4" t="s">
        <v>659</v>
      </c>
      <c r="C2891" s="4" t="s">
        <v>287</v>
      </c>
      <c r="D2891" s="94">
        <v>1221.0</v>
      </c>
    </row>
    <row r="2892">
      <c r="A2892" s="40">
        <f t="array" ref="A2892">IFNA(index(PlayerValues!A:A,match(IFNA(vlookup(B2892,'Special Names'!A:B,2,FALSE),B2892),PlayerValues!E:E,0)),"N/A")</f>
        <v>17077</v>
      </c>
      <c r="B2892" s="4" t="s">
        <v>714</v>
      </c>
      <c r="C2892" s="4" t="s">
        <v>287</v>
      </c>
      <c r="D2892" s="94">
        <v>1219.0</v>
      </c>
    </row>
    <row r="2893">
      <c r="A2893" s="40">
        <f t="array" ref="A2893">IFNA(index(PlayerValues!A:A,match(IFNA(vlookup(B2893,'Special Names'!A:B,2,FALSE),B2893),PlayerValues!E:E,0)),"N/A")</f>
        <v>16746</v>
      </c>
      <c r="B2893" s="4" t="s">
        <v>709</v>
      </c>
      <c r="C2893" s="4" t="s">
        <v>278</v>
      </c>
      <c r="D2893" s="94">
        <v>1213.0</v>
      </c>
    </row>
    <row r="2894">
      <c r="A2894" s="40">
        <f t="array" ref="A2894">IFNA(index(PlayerValues!A:A,match(IFNA(vlookup(B2894,'Special Names'!A:B,2,FALSE),B2894),PlayerValues!E:E,0)),"N/A")</f>
        <v>16183</v>
      </c>
      <c r="B2894" s="4" t="s">
        <v>678</v>
      </c>
      <c r="C2894" s="4" t="s">
        <v>287</v>
      </c>
      <c r="D2894" s="94">
        <v>1212.0</v>
      </c>
    </row>
    <row r="2895">
      <c r="A2895" s="40">
        <f t="array" ref="A2895">IFNA(index(PlayerValues!A:A,match(IFNA(vlookup(B2895,'Special Names'!A:B,2,FALSE),B2895),PlayerValues!E:E,0)),"N/A")</f>
        <v>14789</v>
      </c>
      <c r="B2895" s="4" t="s">
        <v>721</v>
      </c>
      <c r="C2895" s="4" t="s">
        <v>283</v>
      </c>
      <c r="D2895" s="94">
        <v>1210.0</v>
      </c>
    </row>
    <row r="2896">
      <c r="A2896" s="40">
        <f t="array" ref="A2896">IFNA(index(PlayerValues!A:A,match(IFNA(vlookup(B2896,'Special Names'!A:B,2,FALSE),B2896),PlayerValues!E:E,0)),"N/A")</f>
        <v>16333</v>
      </c>
      <c r="B2896" s="4" t="s">
        <v>711</v>
      </c>
      <c r="C2896" s="4" t="s">
        <v>298</v>
      </c>
      <c r="D2896" s="94">
        <v>1566.0</v>
      </c>
    </row>
    <row r="2897">
      <c r="A2897" s="40">
        <f t="array" ref="A2897">IFNA(index(PlayerValues!A:A,match(IFNA(vlookup(B2897,'Special Names'!A:B,2,FALSE),B2897),PlayerValues!E:E,0)),"N/A")</f>
        <v>17652</v>
      </c>
      <c r="B2897" s="4" t="s">
        <v>576</v>
      </c>
      <c r="C2897" s="4" t="s">
        <v>278</v>
      </c>
      <c r="D2897" s="94">
        <v>1197.0</v>
      </c>
    </row>
    <row r="2898">
      <c r="A2898" s="40">
        <f t="array" ref="A2898">IFNA(index(PlayerValues!A:A,match(IFNA(vlookup(B2898,'Special Names'!A:B,2,FALSE),B2898),PlayerValues!E:E,0)),"N/A")</f>
        <v>16883</v>
      </c>
      <c r="B2898" s="4" t="s">
        <v>683</v>
      </c>
      <c r="C2898" s="4" t="s">
        <v>287</v>
      </c>
      <c r="D2898" s="94">
        <v>1196.0</v>
      </c>
    </row>
    <row r="2899">
      <c r="A2899" s="40">
        <f t="array" ref="A2899">IFNA(index(PlayerValues!A:A,match(IFNA(vlookup(B2899,'Special Names'!A:B,2,FALSE),B2899),PlayerValues!E:E,0)),"N/A")</f>
        <v>17269</v>
      </c>
      <c r="B2899" s="4" t="s">
        <v>718</v>
      </c>
      <c r="C2899" s="4" t="s">
        <v>287</v>
      </c>
      <c r="D2899" s="94">
        <v>1192.0</v>
      </c>
    </row>
    <row r="2900">
      <c r="A2900" s="40">
        <f t="array" ref="A2900">IFNA(index(PlayerValues!A:A,match(IFNA(vlookup(B2900,'Special Names'!A:B,2,FALSE),B2900),PlayerValues!E:E,0)),"N/A")</f>
        <v>17109</v>
      </c>
      <c r="B2900" s="4" t="s">
        <v>707</v>
      </c>
      <c r="C2900" s="4" t="s">
        <v>298</v>
      </c>
      <c r="D2900" s="94">
        <v>1550.0</v>
      </c>
    </row>
    <row r="2901">
      <c r="A2901" s="40">
        <f t="array" ref="A2901">IFNA(index(PlayerValues!A:A,match(IFNA(vlookup(B2901,'Special Names'!A:B,2,FALSE),B2901),PlayerValues!E:E,0)),"N/A")</f>
        <v>17063</v>
      </c>
      <c r="B2901" s="4" t="s">
        <v>686</v>
      </c>
      <c r="C2901" s="4" t="s">
        <v>278</v>
      </c>
      <c r="D2901" s="94">
        <v>1179.0</v>
      </c>
    </row>
    <row r="2902">
      <c r="A2902" s="40">
        <f t="array" ref="A2902">IFNA(index(PlayerValues!A:A,match(IFNA(vlookup(B2902,'Special Names'!A:B,2,FALSE),B2902),PlayerValues!E:E,0)),"N/A")</f>
        <v>17546</v>
      </c>
      <c r="B2902" s="4" t="s">
        <v>671</v>
      </c>
      <c r="C2902" s="4" t="s">
        <v>298</v>
      </c>
      <c r="D2902" s="94">
        <v>1534.0</v>
      </c>
    </row>
    <row r="2903">
      <c r="A2903" s="40">
        <f t="array" ref="A2903">IFNA(index(PlayerValues!A:A,match(IFNA(vlookup(B2903,'Special Names'!A:B,2,FALSE),B2903),PlayerValues!E:E,0)),"N/A")</f>
        <v>17057</v>
      </c>
      <c r="B2903" s="4" t="s">
        <v>708</v>
      </c>
      <c r="C2903" s="4" t="s">
        <v>278</v>
      </c>
      <c r="D2903" s="94">
        <v>1164.0</v>
      </c>
    </row>
    <row r="2904">
      <c r="A2904" s="40">
        <f t="array" ref="A2904">IFNA(index(PlayerValues!A:A,match(IFNA(vlookup(B2904,'Special Names'!A:B,2,FALSE),B2904),PlayerValues!E:E,0)),"N/A")</f>
        <v>17510</v>
      </c>
      <c r="B2904" s="4" t="s">
        <v>661</v>
      </c>
      <c r="C2904" s="4" t="s">
        <v>287</v>
      </c>
      <c r="D2904" s="94">
        <v>1157.0</v>
      </c>
    </row>
    <row r="2905">
      <c r="A2905" s="40">
        <f t="array" ref="A2905">IFNA(index(PlayerValues!A:A,match(IFNA(vlookup(B2905,'Special Names'!A:B,2,FALSE),B2905),PlayerValues!E:E,0)),"N/A")</f>
        <v>15288</v>
      </c>
      <c r="B2905" s="4" t="s">
        <v>700</v>
      </c>
      <c r="C2905" s="4" t="s">
        <v>287</v>
      </c>
      <c r="D2905" s="94">
        <v>1153.0</v>
      </c>
    </row>
    <row r="2906">
      <c r="A2906" s="40">
        <f t="array" ref="A2906">IFNA(index(PlayerValues!A:A,match(IFNA(vlookup(B2906,'Special Names'!A:B,2,FALSE),B2906),PlayerValues!E:E,0)),"N/A")</f>
        <v>16385</v>
      </c>
      <c r="B2906" s="4" t="s">
        <v>690</v>
      </c>
      <c r="C2906" s="4" t="s">
        <v>278</v>
      </c>
      <c r="D2906" s="94">
        <v>1152.0</v>
      </c>
    </row>
    <row r="2907">
      <c r="A2907" s="40">
        <f t="array" ref="A2907">IFNA(index(PlayerValues!A:A,match(IFNA(vlookup(B2907,'Special Names'!A:B,2,FALSE),B2907),PlayerValues!E:E,0)),"N/A")</f>
        <v>14108</v>
      </c>
      <c r="B2907" s="4" t="s">
        <v>673</v>
      </c>
      <c r="C2907" s="4" t="s">
        <v>287</v>
      </c>
      <c r="D2907" s="94">
        <v>1147.0</v>
      </c>
    </row>
    <row r="2908">
      <c r="A2908" s="40">
        <f t="array" ref="A2908">IFNA(index(PlayerValues!A:A,match(IFNA(vlookup(B2908,'Special Names'!A:B,2,FALSE),B2908),PlayerValues!E:E,0)),"N/A")</f>
        <v>16221</v>
      </c>
      <c r="B2908" s="4" t="s">
        <v>725</v>
      </c>
      <c r="C2908" s="4" t="s">
        <v>298</v>
      </c>
      <c r="D2908" s="94">
        <v>1516.0</v>
      </c>
    </row>
    <row r="2909">
      <c r="A2909" s="40">
        <f t="array" ref="A2909">IFNA(index(PlayerValues!A:A,match(IFNA(vlookup(B2909,'Special Names'!A:B,2,FALSE),B2909),PlayerValues!E:E,0)),"N/A")</f>
        <v>16199</v>
      </c>
      <c r="B2909" s="4" t="s">
        <v>687</v>
      </c>
      <c r="C2909" s="4" t="s">
        <v>287</v>
      </c>
      <c r="D2909" s="94">
        <v>1133.0</v>
      </c>
    </row>
    <row r="2910">
      <c r="A2910" s="40">
        <f t="array" ref="A2910">IFNA(index(PlayerValues!A:A,match(IFNA(vlookup(B2910,'Special Names'!A:B,2,FALSE),B2910),PlayerValues!E:E,0)),"N/A")</f>
        <v>9064</v>
      </c>
      <c r="B2910" s="4" t="s">
        <v>761</v>
      </c>
      <c r="C2910" s="4" t="s">
        <v>283</v>
      </c>
      <c r="D2910" s="94">
        <v>1126.0</v>
      </c>
    </row>
    <row r="2911">
      <c r="A2911" s="40">
        <f t="array" ref="A2911">IFNA(index(PlayerValues!A:A,match(IFNA(vlookup(B2911,'Special Names'!A:B,2,FALSE),B2911),PlayerValues!E:E,0)),"N/A")</f>
        <v>14067</v>
      </c>
      <c r="B2911" s="4" t="s">
        <v>735</v>
      </c>
      <c r="C2911" s="4" t="s">
        <v>283</v>
      </c>
      <c r="D2911" s="94">
        <v>1123.0</v>
      </c>
    </row>
    <row r="2912">
      <c r="A2912" s="40">
        <f t="array" ref="A2912">IFNA(index(PlayerValues!A:A,match(IFNA(vlookup(B2912,'Special Names'!A:B,2,FALSE),B2912),PlayerValues!E:E,0)),"N/A")</f>
        <v>15240</v>
      </c>
      <c r="B2912" s="4" t="s">
        <v>751</v>
      </c>
      <c r="C2912" s="4" t="s">
        <v>283</v>
      </c>
      <c r="D2912" s="94">
        <v>1123.0</v>
      </c>
    </row>
    <row r="2913">
      <c r="A2913" s="40">
        <f t="array" ref="A2913">IFNA(index(PlayerValues!A:A,match(IFNA(vlookup(B2913,'Special Names'!A:B,2,FALSE),B2913),PlayerValues!E:E,0)),"N/A")</f>
        <v>14845</v>
      </c>
      <c r="B2913" s="4" t="s">
        <v>717</v>
      </c>
      <c r="C2913" s="4" t="s">
        <v>287</v>
      </c>
      <c r="D2913" s="94">
        <v>1121.0</v>
      </c>
    </row>
    <row r="2914">
      <c r="A2914" s="40">
        <f t="array" ref="A2914">IFNA(index(PlayerValues!A:A,match(IFNA(vlookup(B2914,'Special Names'!A:B,2,FALSE),B2914),PlayerValues!E:E,0)),"N/A")</f>
        <v>15981</v>
      </c>
      <c r="B2914" s="4" t="s">
        <v>729</v>
      </c>
      <c r="C2914" s="4" t="s">
        <v>287</v>
      </c>
      <c r="D2914" s="94">
        <v>1114.0</v>
      </c>
    </row>
    <row r="2915">
      <c r="A2915" s="40">
        <f t="array" ref="A2915">IFNA(index(PlayerValues!A:A,match(IFNA(vlookup(B2915,'Special Names'!A:B,2,FALSE),B2915),PlayerValues!E:E,0)),"N/A")</f>
        <v>16637</v>
      </c>
      <c r="B2915" s="4" t="s">
        <v>736</v>
      </c>
      <c r="C2915" s="4" t="s">
        <v>287</v>
      </c>
      <c r="D2915" s="94">
        <v>1097.0</v>
      </c>
    </row>
    <row r="2916">
      <c r="A2916" s="40">
        <f t="array" ref="A2916">IFNA(index(PlayerValues!A:A,match(IFNA(vlookup(B2916,'Special Names'!A:B,2,FALSE),B2916),PlayerValues!E:E,0)),"N/A")</f>
        <v>17192</v>
      </c>
      <c r="B2916" s="4" t="s">
        <v>677</v>
      </c>
      <c r="C2916" s="4" t="s">
        <v>287</v>
      </c>
      <c r="D2916" s="94">
        <v>1097.0</v>
      </c>
    </row>
    <row r="2917">
      <c r="A2917" s="40">
        <f t="array" ref="A2917">IFNA(index(PlayerValues!A:A,match(IFNA(vlookup(B2917,'Special Names'!A:B,2,FALSE),B2917),PlayerValues!E:E,0)),"N/A")</f>
        <v>13289</v>
      </c>
      <c r="B2917" s="4" t="s">
        <v>746</v>
      </c>
      <c r="C2917" s="4" t="s">
        <v>287</v>
      </c>
      <c r="D2917" s="94">
        <v>1095.0</v>
      </c>
    </row>
    <row r="2918">
      <c r="A2918" s="40">
        <f t="array" ref="A2918">IFNA(index(PlayerValues!A:A,match(IFNA(vlookup(B2918,'Special Names'!A:B,2,FALSE),B2918),PlayerValues!E:E,0)),"N/A")</f>
        <v>16640</v>
      </c>
      <c r="B2918" s="4" t="s">
        <v>712</v>
      </c>
      <c r="C2918" s="4" t="s">
        <v>287</v>
      </c>
      <c r="D2918" s="94">
        <v>1088.0</v>
      </c>
    </row>
    <row r="2919">
      <c r="A2919" s="40">
        <f t="array" ref="A2919">IFNA(index(PlayerValues!A:A,match(IFNA(vlookup(B2919,'Special Names'!A:B,2,FALSE),B2919),PlayerValues!E:E,0)),"N/A")</f>
        <v>16197</v>
      </c>
      <c r="B2919" s="4" t="s">
        <v>726</v>
      </c>
      <c r="C2919" s="4" t="s">
        <v>287</v>
      </c>
      <c r="D2919" s="94">
        <v>1076.0</v>
      </c>
    </row>
    <row r="2920">
      <c r="A2920" s="40">
        <f t="array" ref="A2920">IFNA(index(PlayerValues!A:A,match(IFNA(vlookup(B2920,'Special Names'!A:B,2,FALSE),B2920),PlayerValues!E:E,0)),"N/A")</f>
        <v>17050</v>
      </c>
      <c r="B2920" s="4" t="s">
        <v>713</v>
      </c>
      <c r="C2920" s="4" t="s">
        <v>278</v>
      </c>
      <c r="D2920" s="94">
        <v>1076.0</v>
      </c>
    </row>
    <row r="2921">
      <c r="A2921" s="40">
        <f t="array" ref="A2921">IFNA(index(PlayerValues!A:A,match(IFNA(vlookup(B2921,'Special Names'!A:B,2,FALSE),B2921),PlayerValues!E:E,0)),"N/A")</f>
        <v>15693</v>
      </c>
      <c r="B2921" s="4" t="s">
        <v>755</v>
      </c>
      <c r="C2921" s="4" t="s">
        <v>283</v>
      </c>
      <c r="D2921" s="94">
        <v>1072.0</v>
      </c>
    </row>
    <row r="2922">
      <c r="A2922" s="40">
        <f t="array" ref="A2922">IFNA(index(PlayerValues!A:A,match(IFNA(vlookup(B2922,'Special Names'!A:B,2,FALSE),B2922),PlayerValues!E:E,0)),"N/A")</f>
        <v>15727</v>
      </c>
      <c r="B2922" s="4" t="s">
        <v>730</v>
      </c>
      <c r="C2922" s="4" t="s">
        <v>278</v>
      </c>
      <c r="D2922" s="94">
        <v>1056.0</v>
      </c>
    </row>
    <row r="2923">
      <c r="A2923" s="40">
        <f t="array" ref="A2923">IFNA(index(PlayerValues!A:A,match(IFNA(vlookup(B2923,'Special Names'!A:B,2,FALSE),B2923),PlayerValues!E:E,0)),"N/A")</f>
        <v>15692</v>
      </c>
      <c r="B2923" s="4" t="s">
        <v>750</v>
      </c>
      <c r="C2923" s="4" t="s">
        <v>283</v>
      </c>
      <c r="D2923" s="94">
        <v>1050.0</v>
      </c>
    </row>
    <row r="2924">
      <c r="A2924" s="40">
        <f t="array" ref="A2924">IFNA(index(PlayerValues!A:A,match(IFNA(vlookup(B2924,'Special Names'!A:B,2,FALSE),B2924),PlayerValues!E:E,0)),"N/A")</f>
        <v>13131</v>
      </c>
      <c r="B2924" s="4" t="s">
        <v>815</v>
      </c>
      <c r="C2924" s="4" t="s">
        <v>278</v>
      </c>
      <c r="D2924" s="94">
        <v>1047.0</v>
      </c>
    </row>
    <row r="2925">
      <c r="A2925" s="40">
        <f t="array" ref="A2925">IFNA(index(PlayerValues!A:A,match(IFNA(vlookup(B2925,'Special Names'!A:B,2,FALSE),B2925),PlayerValues!E:E,0)),"N/A")</f>
        <v>17475</v>
      </c>
      <c r="B2925" s="4" t="s">
        <v>615</v>
      </c>
      <c r="C2925" s="4" t="s">
        <v>278</v>
      </c>
      <c r="D2925" s="94">
        <v>1035.0</v>
      </c>
    </row>
    <row r="2926">
      <c r="A2926" s="40">
        <f t="array" ref="A2926">IFNA(index(PlayerValues!A:A,match(IFNA(vlookup(B2926,'Special Names'!A:B,2,FALSE),B2926),PlayerValues!E:E,0)),"N/A")</f>
        <v>14849</v>
      </c>
      <c r="B2926" s="4" t="s">
        <v>733</v>
      </c>
      <c r="C2926" s="4" t="s">
        <v>287</v>
      </c>
      <c r="D2926" s="94">
        <v>1034.0</v>
      </c>
    </row>
    <row r="2927">
      <c r="A2927" s="40">
        <f t="array" ref="A2927">IFNA(index(PlayerValues!A:A,match(IFNA(vlookup(B2927,'Special Names'!A:B,2,FALSE),B2927),PlayerValues!E:E,0)),"N/A")</f>
        <v>15730</v>
      </c>
      <c r="B2927" s="4" t="s">
        <v>734</v>
      </c>
      <c r="C2927" s="4" t="s">
        <v>278</v>
      </c>
      <c r="D2927" s="94">
        <v>1034.0</v>
      </c>
    </row>
    <row r="2928">
      <c r="A2928" s="40">
        <f t="array" ref="A2928">IFNA(index(PlayerValues!A:A,match(IFNA(vlookup(B2928,'Special Names'!A:B,2,FALSE),B2928),PlayerValues!E:E,0)),"N/A")</f>
        <v>16170</v>
      </c>
      <c r="B2928" s="4" t="s">
        <v>801</v>
      </c>
      <c r="C2928" s="4" t="s">
        <v>278</v>
      </c>
      <c r="D2928" s="94">
        <v>1021.0</v>
      </c>
    </row>
    <row r="2929">
      <c r="A2929" s="40">
        <f t="array" ref="A2929">IFNA(index(PlayerValues!A:A,match(IFNA(vlookup(B2929,'Special Names'!A:B,2,FALSE),B2929),PlayerValues!E:E,0)),"N/A")</f>
        <v>16393</v>
      </c>
      <c r="B2929" s="4" t="s">
        <v>768</v>
      </c>
      <c r="C2929" s="4" t="s">
        <v>287</v>
      </c>
      <c r="D2929" s="94">
        <v>1020.0</v>
      </c>
    </row>
    <row r="2930">
      <c r="A2930" s="40">
        <f t="array" ref="A2930">IFNA(index(PlayerValues!A:A,match(IFNA(vlookup(B2930,'Special Names'!A:B,2,FALSE),B2930),PlayerValues!E:E,0)),"N/A")</f>
        <v>15795</v>
      </c>
      <c r="B2930" s="4" t="s">
        <v>669</v>
      </c>
      <c r="C2930" s="4" t="s">
        <v>298</v>
      </c>
      <c r="D2930" s="94">
        <v>1383.0</v>
      </c>
    </row>
    <row r="2931">
      <c r="A2931" s="40">
        <f t="array" ref="A2931">IFNA(index(PlayerValues!A:A,match(IFNA(vlookup(B2931,'Special Names'!A:B,2,FALSE),B2931),PlayerValues!E:E,0)),"N/A")</f>
        <v>15330</v>
      </c>
      <c r="B2931" s="4" t="s">
        <v>749</v>
      </c>
      <c r="C2931" s="4" t="s">
        <v>298</v>
      </c>
      <c r="D2931" s="94">
        <v>1374.0</v>
      </c>
    </row>
    <row r="2932">
      <c r="A2932" s="40">
        <f t="array" ref="A2932">IFNA(index(PlayerValues!A:A,match(IFNA(vlookup(B2932,'Special Names'!A:B,2,FALSE),B2932),PlayerValues!E:E,0)),"N/A")</f>
        <v>17657</v>
      </c>
      <c r="B2932" s="4" t="s">
        <v>642</v>
      </c>
      <c r="C2932" s="4" t="s">
        <v>283</v>
      </c>
      <c r="D2932" s="94">
        <v>1008.0</v>
      </c>
    </row>
    <row r="2933">
      <c r="A2933" s="40">
        <f t="array" ref="A2933">IFNA(index(PlayerValues!A:A,match(IFNA(vlookup(B2933,'Special Names'!A:B,2,FALSE),B2933),PlayerValues!E:E,0)),"N/A")</f>
        <v>16648</v>
      </c>
      <c r="B2933" s="4" t="s">
        <v>748</v>
      </c>
      <c r="C2933" s="4" t="s">
        <v>298</v>
      </c>
      <c r="D2933" s="94">
        <v>1374.0</v>
      </c>
    </row>
    <row r="2934">
      <c r="A2934" s="40">
        <f t="array" ref="A2934">IFNA(index(PlayerValues!A:A,match(IFNA(vlookup(B2934,'Special Names'!A:B,2,FALSE),B2934),PlayerValues!E:E,0)),"N/A")</f>
        <v>16451</v>
      </c>
      <c r="B2934" s="4" t="s">
        <v>769</v>
      </c>
      <c r="C2934" s="4" t="s">
        <v>287</v>
      </c>
      <c r="D2934" s="94">
        <v>1000.0</v>
      </c>
    </row>
    <row r="2935">
      <c r="A2935" s="40">
        <f t="array" ref="A2935">IFNA(index(PlayerValues!A:A,match(IFNA(vlookup(B2935,'Special Names'!A:B,2,FALSE),B2935),PlayerValues!E:E,0)),"N/A")</f>
        <v>17175</v>
      </c>
      <c r="B2935" s="4" t="s">
        <v>747</v>
      </c>
      <c r="C2935" s="4" t="s">
        <v>287</v>
      </c>
      <c r="D2935" s="94">
        <v>999.0</v>
      </c>
    </row>
    <row r="2936">
      <c r="A2936" s="40">
        <f t="array" ref="A2936">IFNA(index(PlayerValues!A:A,match(IFNA(vlookup(B2936,'Special Names'!A:B,2,FALSE),B2936),PlayerValues!E:E,0)),"N/A")</f>
        <v>16168</v>
      </c>
      <c r="B2936" s="4" t="s">
        <v>738</v>
      </c>
      <c r="C2936" s="4" t="s">
        <v>278</v>
      </c>
      <c r="D2936" s="94">
        <v>997.0</v>
      </c>
    </row>
    <row r="2937">
      <c r="A2937" s="40">
        <f t="array" ref="A2937">IFNA(index(PlayerValues!A:A,match(IFNA(vlookup(B2937,'Special Names'!A:B,2,FALSE),B2937),PlayerValues!E:E,0)),"N/A")</f>
        <v>15717</v>
      </c>
      <c r="B2937" s="4" t="s">
        <v>745</v>
      </c>
      <c r="C2937" s="4" t="s">
        <v>278</v>
      </c>
      <c r="D2937" s="94">
        <v>993.0</v>
      </c>
    </row>
    <row r="2938">
      <c r="A2938" s="40">
        <f t="array" ref="A2938">IFNA(index(PlayerValues!A:A,match(IFNA(vlookup(B2938,'Special Names'!A:B,2,FALSE),B2938),PlayerValues!E:E,0)),"N/A")</f>
        <v>15109</v>
      </c>
      <c r="B2938" s="4" t="s">
        <v>728</v>
      </c>
      <c r="C2938" s="4" t="s">
        <v>287</v>
      </c>
      <c r="D2938" s="94">
        <v>989.0</v>
      </c>
    </row>
    <row r="2939">
      <c r="A2939" s="40">
        <f t="array" ref="A2939">IFNA(index(PlayerValues!A:A,match(IFNA(vlookup(B2939,'Special Names'!A:B,2,FALSE),B2939),PlayerValues!E:E,0)),"N/A")</f>
        <v>15766</v>
      </c>
      <c r="B2939" s="4" t="s">
        <v>759</v>
      </c>
      <c r="C2939" s="4" t="s">
        <v>287</v>
      </c>
      <c r="D2939" s="94">
        <v>984.0</v>
      </c>
    </row>
    <row r="2940">
      <c r="A2940" s="40">
        <f t="array" ref="A2940">IFNA(index(PlayerValues!A:A,match(IFNA(vlookup(B2940,'Special Names'!A:B,2,FALSE),B2940),PlayerValues!E:E,0)),"N/A")</f>
        <v>13193</v>
      </c>
      <c r="B2940" s="4" t="s">
        <v>773</v>
      </c>
      <c r="C2940" s="4" t="s">
        <v>298</v>
      </c>
      <c r="D2940" s="94">
        <v>1346.0</v>
      </c>
    </row>
    <row r="2941">
      <c r="A2941" s="40">
        <f t="array" ref="A2941">IFNA(index(PlayerValues!A:A,match(IFNA(vlookup(B2941,'Special Names'!A:B,2,FALSE),B2941),PlayerValues!E:E,0)),"N/A")</f>
        <v>15785</v>
      </c>
      <c r="B2941" s="4" t="s">
        <v>763</v>
      </c>
      <c r="C2941" s="4" t="s">
        <v>287</v>
      </c>
      <c r="D2941" s="94">
        <v>978.0</v>
      </c>
    </row>
    <row r="2942">
      <c r="A2942" s="40">
        <f t="array" ref="A2942">IFNA(index(PlayerValues!A:A,match(IFNA(vlookup(B2942,'Special Names'!A:B,2,FALSE),B2942),PlayerValues!E:E,0)),"N/A")</f>
        <v>15258</v>
      </c>
      <c r="B2942" s="4" t="s">
        <v>757</v>
      </c>
      <c r="C2942" s="4" t="s">
        <v>278</v>
      </c>
      <c r="D2942" s="94">
        <v>976.0</v>
      </c>
    </row>
    <row r="2943">
      <c r="A2943" s="40">
        <f t="array" ref="A2943">IFNA(index(PlayerValues!A:A,match(IFNA(vlookup(B2943,'Special Names'!A:B,2,FALSE),B2943),PlayerValues!E:E,0)),"N/A")</f>
        <v>15718</v>
      </c>
      <c r="B2943" s="4" t="s">
        <v>753</v>
      </c>
      <c r="C2943" s="4" t="s">
        <v>278</v>
      </c>
      <c r="D2943" s="94">
        <v>976.0</v>
      </c>
    </row>
    <row r="2944">
      <c r="A2944" s="40">
        <f t="array" ref="A2944">IFNA(index(PlayerValues!A:A,match(IFNA(vlookup(B2944,'Special Names'!A:B,2,FALSE),B2944),PlayerValues!E:E,0)),"N/A")</f>
        <v>15758</v>
      </c>
      <c r="B2944" s="4" t="s">
        <v>724</v>
      </c>
      <c r="C2944" s="4" t="s">
        <v>287</v>
      </c>
      <c r="D2944" s="94">
        <v>964.0</v>
      </c>
    </row>
    <row r="2945">
      <c r="A2945" s="40">
        <f t="array" ref="A2945">IFNA(index(PlayerValues!A:A,match(IFNA(vlookup(B2945,'Special Names'!A:B,2,FALSE),B2945),PlayerValues!E:E,0)),"N/A")</f>
        <v>16678</v>
      </c>
      <c r="B2945" s="4" t="s">
        <v>758</v>
      </c>
      <c r="C2945" s="4" t="s">
        <v>278</v>
      </c>
      <c r="D2945" s="94">
        <v>963.0</v>
      </c>
    </row>
    <row r="2946">
      <c r="A2946" s="40">
        <f t="array" ref="A2946">IFNA(index(PlayerValues!A:A,match(IFNA(vlookup(B2946,'Special Names'!A:B,2,FALSE),B2946),PlayerValues!E:E,0)),"N/A")</f>
        <v>17504</v>
      </c>
      <c r="B2946" s="4" t="s">
        <v>693</v>
      </c>
      <c r="C2946" s="4" t="s">
        <v>287</v>
      </c>
      <c r="D2946" s="94">
        <v>952.0</v>
      </c>
    </row>
    <row r="2947">
      <c r="A2947" s="40">
        <f t="array" ref="A2947">IFNA(index(PlayerValues!A:A,match(IFNA(vlookup(B2947,'Special Names'!A:B,2,FALSE),B2947),PlayerValues!E:E,0)),"N/A")</f>
        <v>14057</v>
      </c>
      <c r="B2947" s="4" t="s">
        <v>765</v>
      </c>
      <c r="C2947" s="4" t="s">
        <v>283</v>
      </c>
      <c r="D2947" s="94">
        <v>951.0</v>
      </c>
    </row>
    <row r="2948">
      <c r="A2948" s="40">
        <f t="array" ref="A2948">IFNA(index(PlayerValues!A:A,match(IFNA(vlookup(B2948,'Special Names'!A:B,2,FALSE),B2948),PlayerValues!E:E,0)),"N/A")</f>
        <v>15239</v>
      </c>
      <c r="B2948" s="4" t="s">
        <v>802</v>
      </c>
      <c r="C2948" s="4" t="s">
        <v>283</v>
      </c>
      <c r="D2948" s="94">
        <v>942.0</v>
      </c>
    </row>
    <row r="2949">
      <c r="A2949" s="40">
        <f t="array" ref="A2949">IFNA(index(PlayerValues!A:A,match(IFNA(vlookup(B2949,'Special Names'!A:B,2,FALSE),B2949),PlayerValues!E:E,0)),"N/A")</f>
        <v>16205</v>
      </c>
      <c r="B2949" s="4" t="s">
        <v>742</v>
      </c>
      <c r="C2949" s="4" t="s">
        <v>287</v>
      </c>
      <c r="D2949" s="94">
        <v>941.0</v>
      </c>
    </row>
    <row r="2950">
      <c r="A2950" s="40">
        <f t="array" ref="A2950">IFNA(index(PlayerValues!A:A,match(IFNA(vlookup(B2950,'Special Names'!A:B,2,FALSE),B2950),PlayerValues!E:E,0)),"N/A")</f>
        <v>14118</v>
      </c>
      <c r="B2950" s="4" t="s">
        <v>771</v>
      </c>
      <c r="C2950" s="4" t="s">
        <v>287</v>
      </c>
      <c r="D2950" s="94">
        <v>937.0</v>
      </c>
    </row>
    <row r="2951">
      <c r="A2951" s="40">
        <f t="array" ref="A2951">IFNA(index(PlayerValues!A:A,match(IFNA(vlookup(B2951,'Special Names'!A:B,2,FALSE),B2951),PlayerValues!E:E,0)),"N/A")</f>
        <v>11247</v>
      </c>
      <c r="B2951" s="4" t="s">
        <v>816</v>
      </c>
      <c r="C2951" s="4" t="s">
        <v>298</v>
      </c>
      <c r="D2951" s="94">
        <v>1295.0</v>
      </c>
    </row>
    <row r="2952">
      <c r="A2952" s="40">
        <f t="array" ref="A2952">IFNA(index(PlayerValues!A:A,match(IFNA(vlookup(B2952,'Special Names'!A:B,2,FALSE),B2952),PlayerValues!E:E,0)),"N/A")</f>
        <v>17518</v>
      </c>
      <c r="B2952" s="4" t="s">
        <v>482</v>
      </c>
      <c r="C2952" s="4" t="s">
        <v>287</v>
      </c>
      <c r="D2952" s="94">
        <v>922.0</v>
      </c>
    </row>
    <row r="2953">
      <c r="A2953" s="40">
        <f t="array" ref="A2953">IFNA(index(PlayerValues!A:A,match(IFNA(vlookup(B2953,'Special Names'!A:B,2,FALSE),B2953),PlayerValues!E:E,0)),"N/A")</f>
        <v>17487</v>
      </c>
      <c r="B2953" s="4" t="s">
        <v>692</v>
      </c>
      <c r="C2953" s="4" t="s">
        <v>278</v>
      </c>
      <c r="D2953" s="94">
        <v>918.0</v>
      </c>
    </row>
    <row r="2954">
      <c r="A2954" s="40">
        <f t="array" ref="A2954">IFNA(index(PlayerValues!A:A,match(IFNA(vlookup(B2954,'Special Names'!A:B,2,FALSE),B2954),PlayerValues!E:E,0)),"N/A")</f>
        <v>16858</v>
      </c>
      <c r="B2954" s="4" t="s">
        <v>754</v>
      </c>
      <c r="C2954" s="4" t="s">
        <v>287</v>
      </c>
      <c r="D2954" s="94">
        <v>912.0</v>
      </c>
    </row>
    <row r="2955">
      <c r="A2955" s="40">
        <f t="array" ref="A2955">IFNA(index(PlayerValues!A:A,match(IFNA(vlookup(B2955,'Special Names'!A:B,2,FALSE),B2955),PlayerValues!E:E,0)),"N/A")</f>
        <v>15626</v>
      </c>
      <c r="B2955" s="4" t="s">
        <v>766</v>
      </c>
      <c r="C2955" s="4" t="s">
        <v>298</v>
      </c>
      <c r="D2955" s="94">
        <v>1260.0</v>
      </c>
    </row>
    <row r="2956">
      <c r="A2956" s="40">
        <f t="array" ref="A2956">IFNA(index(PlayerValues!A:A,match(IFNA(vlookup(B2956,'Special Names'!A:B,2,FALSE),B2956),PlayerValues!E:E,0)),"N/A")</f>
        <v>16219</v>
      </c>
      <c r="B2956" s="4" t="s">
        <v>739</v>
      </c>
      <c r="C2956" s="4" t="s">
        <v>298</v>
      </c>
      <c r="D2956" s="94">
        <v>1250.0</v>
      </c>
    </row>
    <row r="2957">
      <c r="A2957" s="40">
        <f t="array" ref="A2957">IFNA(index(PlayerValues!A:A,match(IFNA(vlookup(B2957,'Special Names'!A:B,2,FALSE),B2957),PlayerValues!E:E,0)),"N/A")</f>
        <v>17479</v>
      </c>
      <c r="B2957" s="4" t="s">
        <v>756</v>
      </c>
      <c r="C2957" s="4" t="s">
        <v>278</v>
      </c>
      <c r="D2957" s="94">
        <v>884.0</v>
      </c>
    </row>
    <row r="2958">
      <c r="A2958" s="40">
        <f t="array" ref="A2958">IFNA(index(PlayerValues!A:A,match(IFNA(vlookup(B2958,'Special Names'!A:B,2,FALSE),B2958),PlayerValues!E:E,0)),"N/A")</f>
        <v>15720</v>
      </c>
      <c r="B2958" s="4" t="s">
        <v>795</v>
      </c>
      <c r="C2958" s="4" t="s">
        <v>278</v>
      </c>
      <c r="D2958" s="94">
        <v>874.0</v>
      </c>
    </row>
    <row r="2959">
      <c r="A2959" s="40">
        <f t="array" ref="A2959">IFNA(index(PlayerValues!A:A,match(IFNA(vlookup(B2959,'Special Names'!A:B,2,FALSE),B2959),PlayerValues!E:E,0)),"N/A")</f>
        <v>16624</v>
      </c>
      <c r="B2959" s="4" t="s">
        <v>796</v>
      </c>
      <c r="C2959" s="4" t="s">
        <v>287</v>
      </c>
      <c r="D2959" s="94">
        <v>872.0</v>
      </c>
    </row>
    <row r="2960">
      <c r="A2960" s="40">
        <f t="array" ref="A2960">IFNA(index(PlayerValues!A:A,match(IFNA(vlookup(B2960,'Special Names'!A:B,2,FALSE),B2960),PlayerValues!E:E,0)),"N/A")</f>
        <v>16416</v>
      </c>
      <c r="B2960" s="4" t="s">
        <v>752</v>
      </c>
      <c r="C2960" s="4" t="s">
        <v>287</v>
      </c>
      <c r="D2960" s="94">
        <v>863.0</v>
      </c>
    </row>
    <row r="2961">
      <c r="A2961" s="40">
        <f t="array" ref="A2961">IFNA(index(PlayerValues!A:A,match(IFNA(vlookup(B2961,'Special Names'!A:B,2,FALSE),B2961),PlayerValues!E:E,0)),"N/A")</f>
        <v>17549</v>
      </c>
      <c r="B2961" s="4" t="s">
        <v>720</v>
      </c>
      <c r="C2961" s="4" t="s">
        <v>298</v>
      </c>
      <c r="D2961" s="94">
        <v>1216.0</v>
      </c>
    </row>
    <row r="2962">
      <c r="A2962" s="40">
        <f t="array" ref="A2962">IFNA(index(PlayerValues!A:A,match(IFNA(vlookup(B2962,'Special Names'!A:B,2,FALSE),B2962),PlayerValues!E:E,0)),"N/A")</f>
        <v>12785</v>
      </c>
      <c r="B2962" s="4" t="s">
        <v>772</v>
      </c>
      <c r="C2962" s="4" t="s">
        <v>287</v>
      </c>
      <c r="D2962" s="94">
        <v>848.0</v>
      </c>
    </row>
    <row r="2963">
      <c r="A2963" s="40">
        <f t="array" ref="A2963">IFNA(index(PlayerValues!A:A,match(IFNA(vlookup(B2963,'Special Names'!A:B,2,FALSE),B2963),PlayerValues!E:E,0)),"N/A")</f>
        <v>16773</v>
      </c>
      <c r="B2963" s="4" t="s">
        <v>783</v>
      </c>
      <c r="C2963" s="4" t="s">
        <v>278</v>
      </c>
      <c r="D2963" s="94">
        <v>839.0</v>
      </c>
    </row>
    <row r="2964">
      <c r="A2964" s="40">
        <f t="array" ref="A2964">IFNA(index(PlayerValues!A:A,match(IFNA(vlookup(B2964,'Special Names'!A:B,2,FALSE),B2964),PlayerValues!E:E,0)),"N/A")</f>
        <v>17654</v>
      </c>
      <c r="B2964" s="4" t="s">
        <v>767</v>
      </c>
      <c r="C2964" s="4" t="s">
        <v>283</v>
      </c>
      <c r="D2964" s="94">
        <v>828.0</v>
      </c>
    </row>
    <row r="2965">
      <c r="A2965" s="40">
        <f t="array" ref="A2965">IFNA(index(PlayerValues!A:A,match(IFNA(vlookup(B2965,'Special Names'!A:B,2,FALSE),B2965),PlayerValues!E:E,0)),"N/A")</f>
        <v>16599</v>
      </c>
      <c r="B2965" s="4" t="s">
        <v>737</v>
      </c>
      <c r="C2965" s="4" t="s">
        <v>278</v>
      </c>
      <c r="D2965" s="94">
        <v>827.0</v>
      </c>
    </row>
    <row r="2966">
      <c r="A2966" s="40">
        <f t="array" ref="A2966">IFNA(index(PlayerValues!A:A,match(IFNA(vlookup(B2966,'Special Names'!A:B,2,FALSE),B2966),PlayerValues!E:E,0)),"N/A")</f>
        <v>17627</v>
      </c>
      <c r="B2966" s="4" t="s">
        <v>684</v>
      </c>
      <c r="C2966" s="4" t="s">
        <v>298</v>
      </c>
      <c r="D2966" s="94">
        <v>1166.0</v>
      </c>
    </row>
    <row r="2967">
      <c r="A2967" s="40">
        <f t="array" ref="A2967">IFNA(index(PlayerValues!A:A,match(IFNA(vlookup(B2967,'Special Names'!A:B,2,FALSE),B2967),PlayerValues!E:E,0)),"N/A")</f>
        <v>16623</v>
      </c>
      <c r="B2967" s="4" t="s">
        <v>803</v>
      </c>
      <c r="C2967" s="4" t="s">
        <v>287</v>
      </c>
      <c r="D2967" s="94">
        <v>799.0</v>
      </c>
    </row>
    <row r="2968">
      <c r="A2968" s="40">
        <f t="array" ref="A2968">IFNA(index(PlayerValues!A:A,match(IFNA(vlookup(B2968,'Special Names'!A:B,2,FALSE),B2968),PlayerValues!E:E,0)),"N/A")</f>
        <v>17486</v>
      </c>
      <c r="B2968" s="4" t="s">
        <v>695</v>
      </c>
      <c r="C2968" s="4" t="s">
        <v>278</v>
      </c>
      <c r="D2968" s="94">
        <v>798.0</v>
      </c>
    </row>
    <row r="2969">
      <c r="A2969" s="40">
        <f t="array" ref="A2969">IFNA(index(PlayerValues!A:A,match(IFNA(vlookup(B2969,'Special Names'!A:B,2,FALSE),B2969),PlayerValues!E:E,0)),"N/A")</f>
        <v>16606</v>
      </c>
      <c r="B2969" s="4" t="s">
        <v>743</v>
      </c>
      <c r="C2969" s="4" t="s">
        <v>278</v>
      </c>
      <c r="D2969" s="94">
        <v>794.0</v>
      </c>
    </row>
    <row r="2970">
      <c r="A2970" s="40">
        <f t="array" ref="A2970">IFNA(index(PlayerValues!A:A,match(IFNA(vlookup(B2970,'Special Names'!A:B,2,FALSE),B2970),PlayerValues!E:E,0)),"N/A")</f>
        <v>17337</v>
      </c>
      <c r="B2970" s="4" t="s">
        <v>793</v>
      </c>
      <c r="C2970" s="4" t="s">
        <v>278</v>
      </c>
      <c r="D2970" s="94">
        <v>787.0</v>
      </c>
    </row>
    <row r="2971">
      <c r="A2971" s="40">
        <f t="array" ref="A2971">IFNA(index(PlayerValues!A:A,match(IFNA(vlookup(B2971,'Special Names'!A:B,2,FALSE),B2971),PlayerValues!E:E,0)),"N/A")</f>
        <v>16751</v>
      </c>
      <c r="B2971" s="4" t="s">
        <v>762</v>
      </c>
      <c r="C2971" s="4" t="s">
        <v>287</v>
      </c>
      <c r="D2971" s="94">
        <v>786.0</v>
      </c>
    </row>
    <row r="2972">
      <c r="A2972" s="40">
        <f t="array" ref="A2972">IFNA(index(PlayerValues!A:A,match(IFNA(vlookup(B2972,'Special Names'!A:B,2,FALSE),B2972),PlayerValues!E:E,0)),"N/A")</f>
        <v>14223</v>
      </c>
      <c r="B2972" s="4" t="s">
        <v>785</v>
      </c>
      <c r="C2972" s="4" t="s">
        <v>278</v>
      </c>
      <c r="D2972" s="94">
        <v>738.0</v>
      </c>
    </row>
    <row r="2973">
      <c r="A2973" s="40">
        <f t="array" ref="A2973">IFNA(index(PlayerValues!A:A,match(IFNA(vlookup(B2973,'Special Names'!A:B,2,FALSE),B2973),PlayerValues!E:E,0)),"N/A")</f>
        <v>17541</v>
      </c>
      <c r="B2973" s="4" t="s">
        <v>616</v>
      </c>
      <c r="C2973" s="4" t="s">
        <v>287</v>
      </c>
      <c r="D2973" s="94">
        <v>721.0</v>
      </c>
    </row>
    <row r="2974">
      <c r="A2974" s="40">
        <f t="array" ref="A2974">IFNA(index(PlayerValues!A:A,match(IFNA(vlookup(B2974,'Special Names'!A:B,2,FALSE),B2974),PlayerValues!E:E,0)),"N/A")</f>
        <v>15723</v>
      </c>
      <c r="B2974" s="4" t="s">
        <v>798</v>
      </c>
      <c r="C2974" s="4" t="s">
        <v>278</v>
      </c>
      <c r="D2974" s="94">
        <v>702.0</v>
      </c>
    </row>
    <row r="2975">
      <c r="A2975" s="40">
        <f t="array" ref="A2975">IFNA(index(PlayerValues!A:A,match(IFNA(vlookup(B2975,'Special Names'!A:B,2,FALSE),B2975),PlayerValues!E:E,0)),"N/A")</f>
        <v>17545</v>
      </c>
      <c r="B2975" s="4" t="s">
        <v>719</v>
      </c>
      <c r="C2975" s="4" t="s">
        <v>298</v>
      </c>
      <c r="D2975" s="94">
        <v>1051.0</v>
      </c>
    </row>
    <row r="2976">
      <c r="A2976" s="40">
        <f t="array" ref="A2976">IFNA(index(PlayerValues!A:A,match(IFNA(vlookup(B2976,'Special Names'!A:B,2,FALSE),B2976),PlayerValues!E:E,0)),"N/A")</f>
        <v>16686</v>
      </c>
      <c r="B2976" s="4" t="s">
        <v>805</v>
      </c>
      <c r="C2976" s="4" t="s">
        <v>287</v>
      </c>
      <c r="D2976" s="94">
        <v>613.0</v>
      </c>
    </row>
    <row r="2977">
      <c r="A2977" s="40">
        <f t="array" ref="A2977">IFNA(index(PlayerValues!A:A,match(IFNA(vlookup(B2977,'Special Names'!A:B,2,FALSE),B2977),PlayerValues!E:E,0)),"N/A")</f>
        <v>13133</v>
      </c>
      <c r="B2977" s="4" t="s">
        <v>764</v>
      </c>
      <c r="C2977" s="4" t="s">
        <v>278</v>
      </c>
      <c r="D2977" s="94">
        <v>599.0</v>
      </c>
    </row>
    <row r="2978">
      <c r="A2978" s="40">
        <f t="array" ref="A2978">IFNA(index(PlayerValues!A:A,match(IFNA(vlookup(B2978,'Special Names'!A:B,2,FALSE),B2978),PlayerValues!E:E,0)),"N/A")</f>
        <v>13138</v>
      </c>
      <c r="B2978" s="4" t="s">
        <v>817</v>
      </c>
      <c r="C2978" s="4" t="s">
        <v>278</v>
      </c>
      <c r="D2978" s="94">
        <v>597.0</v>
      </c>
    </row>
    <row r="2979">
      <c r="A2979" s="40">
        <f t="array" ref="A2979">IFNA(index(PlayerValues!A:A,match(IFNA(vlookup(B2979,'Special Names'!A:B,2,FALSE),B2979),PlayerValues!E:E,0)),"N/A")</f>
        <v>14864</v>
      </c>
      <c r="B2979" s="4" t="s">
        <v>789</v>
      </c>
      <c r="C2979" s="4" t="s">
        <v>287</v>
      </c>
      <c r="D2979" s="94">
        <v>595.0</v>
      </c>
    </row>
    <row r="2980">
      <c r="A2980" s="40">
        <f t="array" ref="A2980">IFNA(index(PlayerValues!A:A,match(IFNA(vlookup(B2980,'Special Names'!A:B,2,FALSE),B2980),PlayerValues!E:E,0)),"N/A")</f>
        <v>16625</v>
      </c>
      <c r="B2980" s="4" t="s">
        <v>778</v>
      </c>
      <c r="C2980" s="4" t="s">
        <v>287</v>
      </c>
      <c r="D2980" s="94">
        <v>554.0</v>
      </c>
    </row>
    <row r="2981">
      <c r="A2981" s="40">
        <f t="array" ref="A2981">IFNA(index(PlayerValues!A:A,match(IFNA(vlookup(B2981,'Special Names'!A:B,2,FALSE),B2981),PlayerValues!E:E,0)),"N/A")</f>
        <v>14858</v>
      </c>
      <c r="B2981" s="4" t="s">
        <v>799</v>
      </c>
      <c r="C2981" s="4" t="s">
        <v>287</v>
      </c>
      <c r="D2981" s="94">
        <v>548.0</v>
      </c>
    </row>
    <row r="2982">
      <c r="A2982" s="40">
        <f t="array" ref="A2982">IFNA(index(PlayerValues!A:A,match(IFNA(vlookup(B2982,'Special Names'!A:B,2,FALSE),B2982),PlayerValues!E:E,0)),"N/A")</f>
        <v>16957</v>
      </c>
      <c r="B2982" s="4" t="s">
        <v>806</v>
      </c>
      <c r="C2982" s="4" t="s">
        <v>278</v>
      </c>
      <c r="D2982" s="94">
        <v>543.0</v>
      </c>
    </row>
    <row r="2983">
      <c r="A2983" s="40">
        <f t="array" ref="A2983">IFNA(index(PlayerValues!A:A,match(IFNA(vlookup(B2983,'Special Names'!A:B,2,FALSE),B2983),PlayerValues!E:E,0)),"N/A")</f>
        <v>15796</v>
      </c>
      <c r="B2983" s="4" t="s">
        <v>794</v>
      </c>
      <c r="C2983" s="4" t="s">
        <v>298</v>
      </c>
      <c r="D2983" s="94">
        <v>884.0</v>
      </c>
    </row>
    <row r="2984">
      <c r="A2984" s="40">
        <f t="array" ref="A2984">IFNA(index(PlayerValues!A:A,match(IFNA(vlookup(B2984,'Special Names'!A:B,2,FALSE),B2984),PlayerValues!E:E,0)),"N/A")</f>
        <v>14805</v>
      </c>
      <c r="B2984" s="4" t="s">
        <v>770</v>
      </c>
      <c r="C2984" s="4" t="s">
        <v>278</v>
      </c>
      <c r="D2984" s="94">
        <v>536.0</v>
      </c>
    </row>
    <row r="2985">
      <c r="A2985" s="40">
        <f t="array" ref="A2985">IFNA(index(PlayerValues!A:A,match(IFNA(vlookup(B2985,'Special Names'!A:B,2,FALSE),B2985),PlayerValues!E:E,0)),"N/A")</f>
        <v>13595</v>
      </c>
      <c r="B2985" s="4" t="s">
        <v>818</v>
      </c>
      <c r="C2985" s="4" t="s">
        <v>283</v>
      </c>
      <c r="D2985" s="94">
        <v>533.0</v>
      </c>
    </row>
    <row r="2986">
      <c r="A2986" s="40">
        <f t="array" ref="A2986">IFNA(index(PlayerValues!A:A,match(IFNA(vlookup(B2986,'Special Names'!A:B,2,FALSE),B2986),PlayerValues!E:E,0)),"N/A")</f>
        <v>17038</v>
      </c>
      <c r="B2986" s="4" t="s">
        <v>774</v>
      </c>
      <c r="C2986" s="4" t="s">
        <v>283</v>
      </c>
      <c r="D2986" s="94">
        <v>530.0</v>
      </c>
    </row>
    <row r="2987">
      <c r="A2987" s="40">
        <f t="array" ref="A2987">IFNA(index(PlayerValues!A:A,match(IFNA(vlookup(B2987,'Special Names'!A:B,2,FALSE),B2987),PlayerValues!E:E,0)),"N/A")</f>
        <v>16159</v>
      </c>
      <c r="B2987" s="4" t="s">
        <v>819</v>
      </c>
      <c r="C2987" s="4" t="s">
        <v>283</v>
      </c>
      <c r="D2987" s="94">
        <v>508.0</v>
      </c>
    </row>
    <row r="2988">
      <c r="A2988" s="40">
        <f t="array" ref="A2988">IFNA(index(PlayerValues!A:A,match(IFNA(vlookup(B2988,'Special Names'!A:B,2,FALSE),B2988),PlayerValues!E:E,0)),"N/A")</f>
        <v>17232</v>
      </c>
      <c r="B2988" s="4" t="s">
        <v>784</v>
      </c>
      <c r="C2988" s="4" t="s">
        <v>287</v>
      </c>
      <c r="D2988" s="94">
        <v>508.0</v>
      </c>
    </row>
    <row r="2989">
      <c r="A2989" s="40">
        <f t="array" ref="A2989">IFNA(index(PlayerValues!A:A,match(IFNA(vlookup(B2989,'Special Names'!A:B,2,FALSE),B2989),PlayerValues!E:E,0)),"N/A")</f>
        <v>15263</v>
      </c>
      <c r="B2989" s="4" t="s">
        <v>804</v>
      </c>
      <c r="C2989" s="4" t="s">
        <v>278</v>
      </c>
      <c r="D2989" s="94">
        <v>506.0</v>
      </c>
    </row>
    <row r="2990">
      <c r="A2990" s="40">
        <f t="array" ref="A2990">IFNA(index(PlayerValues!A:A,match(IFNA(vlookup(B2990,'Special Names'!A:B,2,FALSE),B2990),PlayerValues!E:E,0)),"N/A")</f>
        <v>16299</v>
      </c>
      <c r="B2990" s="4" t="s">
        <v>787</v>
      </c>
      <c r="C2990" s="4" t="s">
        <v>287</v>
      </c>
      <c r="D2990" s="94">
        <v>506.0</v>
      </c>
    </row>
    <row r="2991">
      <c r="A2991" s="40">
        <f t="array" ref="A2991">IFNA(index(PlayerValues!A:A,match(IFNA(vlookup(B2991,'Special Names'!A:B,2,FALSE),B2991),PlayerValues!E:E,0)),"N/A")</f>
        <v>14358</v>
      </c>
      <c r="B2991" s="4" t="s">
        <v>813</v>
      </c>
      <c r="C2991" s="4" t="s">
        <v>283</v>
      </c>
      <c r="D2991" s="94">
        <v>502.0</v>
      </c>
    </row>
    <row r="2992">
      <c r="A2992" s="40">
        <f t="array" ref="A2992">IFNA(index(PlayerValues!A:A,match(IFNA(vlookup(B2992,'Special Names'!A:B,2,FALSE),B2992),PlayerValues!E:E,0)),"N/A")</f>
        <v>17243</v>
      </c>
      <c r="B2992" s="4" t="s">
        <v>810</v>
      </c>
      <c r="C2992" s="4" t="s">
        <v>298</v>
      </c>
      <c r="D2992" s="94">
        <v>848.0</v>
      </c>
    </row>
    <row r="2993">
      <c r="A2993" s="40">
        <f t="array" ref="A2993">IFNA(index(PlayerValues!A:A,match(IFNA(vlookup(B2993,'Special Names'!A:B,2,FALSE),B2993),PlayerValues!E:E,0)),"N/A")</f>
        <v>14875</v>
      </c>
      <c r="B2993" s="4" t="s">
        <v>820</v>
      </c>
      <c r="C2993" s="4" t="s">
        <v>298</v>
      </c>
      <c r="D2993" s="94">
        <v>844.0</v>
      </c>
    </row>
    <row r="2994">
      <c r="A2994" s="40">
        <f t="array" ref="A2994">IFNA(index(PlayerValues!A:A,match(IFNA(vlookup(B2994,'Special Names'!A:B,2,FALSE),B2994),PlayerValues!E:E,0)),"N/A")</f>
        <v>17348</v>
      </c>
      <c r="B2994" s="4" t="s">
        <v>797</v>
      </c>
      <c r="C2994" s="4" t="s">
        <v>278</v>
      </c>
      <c r="D2994" s="94">
        <v>498.0</v>
      </c>
    </row>
    <row r="2995">
      <c r="A2995" s="40">
        <f t="array" ref="A2995">IFNA(index(PlayerValues!A:A,match(IFNA(vlookup(B2995,'Special Names'!A:B,2,FALSE),B2995),PlayerValues!E:E,0)),"N/A")</f>
        <v>15804</v>
      </c>
      <c r="B2995" s="4" t="s">
        <v>821</v>
      </c>
      <c r="C2995" s="4" t="s">
        <v>298</v>
      </c>
      <c r="D2995" s="94">
        <v>843.0</v>
      </c>
    </row>
    <row r="2996">
      <c r="A2996" s="40">
        <f t="array" ref="A2996">IFNA(index(PlayerValues!A:A,match(IFNA(vlookup(B2996,'Special Names'!A:B,2,FALSE),B2996),PlayerValues!E:E,0)),"N/A")</f>
        <v>15714</v>
      </c>
      <c r="B2996" s="4" t="s">
        <v>775</v>
      </c>
      <c r="C2996" s="4" t="s">
        <v>278</v>
      </c>
      <c r="D2996" s="94">
        <v>491.0</v>
      </c>
    </row>
    <row r="2997">
      <c r="A2997" s="40">
        <f t="array" ref="A2997">IFNA(index(PlayerValues!A:A,match(IFNA(vlookup(B2997,'Special Names'!A:B,2,FALSE),B2997),PlayerValues!E:E,0)),"N/A")</f>
        <v>14209</v>
      </c>
      <c r="B2997" s="4" t="s">
        <v>809</v>
      </c>
      <c r="C2997" s="4" t="s">
        <v>298</v>
      </c>
      <c r="D2997" s="94">
        <v>838.0</v>
      </c>
    </row>
    <row r="2998">
      <c r="A2998" s="40">
        <f t="array" ref="A2998">IFNA(index(PlayerValues!A:A,match(IFNA(vlookup(B2998,'Special Names'!A:B,2,FALSE),B2998),PlayerValues!E:E,0)),"N/A")</f>
        <v>15271</v>
      </c>
      <c r="B2998" s="4" t="s">
        <v>741</v>
      </c>
      <c r="C2998" s="4" t="s">
        <v>278</v>
      </c>
      <c r="D2998" s="94">
        <v>489.0</v>
      </c>
    </row>
    <row r="2999">
      <c r="A2999" s="40">
        <f t="array" ref="A2999">IFNA(index(PlayerValues!A:A,match(IFNA(vlookup(B2999,'Special Names'!A:B,2,FALSE),B2999),PlayerValues!E:E,0)),"N/A")</f>
        <v>10413</v>
      </c>
      <c r="B2999" s="4" t="s">
        <v>811</v>
      </c>
      <c r="C2999" s="4" t="s">
        <v>283</v>
      </c>
      <c r="D2999" s="94">
        <v>488.0</v>
      </c>
    </row>
    <row r="3000">
      <c r="A3000" s="40">
        <f t="array" ref="A3000">IFNA(index(PlayerValues!A:A,match(IFNA(vlookup(B3000,'Special Names'!A:B,2,FALSE),B3000),PlayerValues!E:E,0)),"N/A")</f>
        <v>17706</v>
      </c>
      <c r="B3000" s="4" t="s">
        <v>614</v>
      </c>
      <c r="C3000" s="4" t="s">
        <v>287</v>
      </c>
      <c r="D3000" s="94">
        <v>211.0</v>
      </c>
    </row>
    <row r="3001">
      <c r="A3001" s="40">
        <f t="array" ref="A3001">IFNA(index(PlayerValues!A:A,match(IFNA(vlookup(B3001,'Special Names'!A:B,2,FALSE),B3001),PlayerValues!E:E,0)),"N/A")</f>
        <v>16161</v>
      </c>
      <c r="B3001" s="4" t="s">
        <v>277</v>
      </c>
      <c r="C3001" s="4" t="s">
        <v>278</v>
      </c>
      <c r="D3001" s="94">
        <v>9997.0</v>
      </c>
    </row>
    <row r="3002">
      <c r="A3002" s="40">
        <f t="array" ref="A3002">IFNA(index(PlayerValues!A:A,match(IFNA(vlookup(B3002,'Special Names'!A:B,2,FALSE),B3002),PlayerValues!E:E,0)),"N/A")</f>
        <v>13589</v>
      </c>
      <c r="B3002" s="4" t="s">
        <v>282</v>
      </c>
      <c r="C3002" s="4" t="s">
        <v>283</v>
      </c>
      <c r="D3002" s="94">
        <v>9996.0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9984.0</v>
      </c>
    </row>
    <row r="3004">
      <c r="A3004" s="40">
        <f t="array" ref="A3004">IFNA(index(PlayerValues!A:A,match(IFNA(vlookup(B3004,'Special Names'!A:B,2,FALSE),B3004),PlayerValues!E:E,0)),"N/A")</f>
        <v>16162</v>
      </c>
      <c r="B3004" s="4" t="s">
        <v>281</v>
      </c>
      <c r="C3004" s="4" t="s">
        <v>278</v>
      </c>
      <c r="D3004" s="94">
        <v>9919.0</v>
      </c>
    </row>
    <row r="3005">
      <c r="A3005" s="40">
        <f t="array" ref="A3005">IFNA(index(PlayerValues!A:A,match(IFNA(vlookup(B3005,'Special Names'!A:B,2,FALSE),B3005),PlayerValues!E:E,0)),"N/A")</f>
        <v>16185</v>
      </c>
      <c r="B3005" s="4" t="s">
        <v>290</v>
      </c>
      <c r="C3005" s="4" t="s">
        <v>287</v>
      </c>
      <c r="D3005" s="94">
        <v>9590.0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9437.0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8741.0</v>
      </c>
    </row>
    <row r="3008">
      <c r="A3008" s="40">
        <f t="array" ref="A3008">IFNA(index(PlayerValues!A:A,match(IFNA(vlookup(B3008,'Special Names'!A:B,2,FALSE),B3008),PlayerValues!E:E,0)),"N/A")</f>
        <v>16641</v>
      </c>
      <c r="B3008" s="4" t="s">
        <v>297</v>
      </c>
      <c r="C3008" s="4" t="s">
        <v>298</v>
      </c>
      <c r="D3008" s="94">
        <v>8999.0</v>
      </c>
    </row>
    <row r="3009">
      <c r="A3009" s="40">
        <f t="array" ref="A3009">IFNA(index(PlayerValues!A:A,match(IFNA(vlookup(B3009,'Special Names'!A:B,2,FALSE),B3009),PlayerValues!E:E,0)),"N/A")</f>
        <v>16579</v>
      </c>
      <c r="B3009" s="4" t="s">
        <v>302</v>
      </c>
      <c r="C3009" s="4" t="s">
        <v>283</v>
      </c>
      <c r="D3009" s="94">
        <v>8035.0</v>
      </c>
    </row>
    <row r="3010">
      <c r="A3010" s="40">
        <f t="array" ref="A3010">IFNA(index(PlayerValues!A:A,match(IFNA(vlookup(B3010,'Special Names'!A:B,2,FALSE),B3010),PlayerValues!E:E,0)),"N/A")</f>
        <v>15287</v>
      </c>
      <c r="B3010" s="4" t="s">
        <v>299</v>
      </c>
      <c r="C3010" s="4" t="s">
        <v>287</v>
      </c>
      <c r="D3010" s="94">
        <v>7905.0</v>
      </c>
    </row>
    <row r="3011">
      <c r="A3011" s="40">
        <f t="array" ref="A3011">IFNA(index(PlayerValues!A:A,match(IFNA(vlookup(B3011,'Special Names'!A:B,2,FALSE),B3011),PlayerValues!E:E,0)),"N/A")</f>
        <v>16581</v>
      </c>
      <c r="B3011" s="4" t="s">
        <v>315</v>
      </c>
      <c r="C3011" s="4" t="s">
        <v>283</v>
      </c>
      <c r="D3011" s="94">
        <v>7816.0</v>
      </c>
    </row>
    <row r="3012">
      <c r="A3012" s="40">
        <f t="array" ref="A3012">IFNA(index(PlayerValues!A:A,match(IFNA(vlookup(B3012,'Special Names'!A:B,2,FALSE),B3012),PlayerValues!E:E,0)),"N/A")</f>
        <v>17042</v>
      </c>
      <c r="B3012" s="4" t="s">
        <v>314</v>
      </c>
      <c r="C3012" s="4" t="s">
        <v>278</v>
      </c>
      <c r="D3012" s="94">
        <v>7673.0</v>
      </c>
    </row>
    <row r="3013">
      <c r="A3013" s="40">
        <f t="array" ref="A3013">IFNA(index(PlayerValues!A:A,match(IFNA(vlookup(B3013,'Special Names'!A:B,2,FALSE),B3013),PlayerValues!E:E,0)),"N/A")</f>
        <v>14836</v>
      </c>
      <c r="B3013" s="4" t="s">
        <v>306</v>
      </c>
      <c r="C3013" s="4" t="s">
        <v>287</v>
      </c>
      <c r="D3013" s="94">
        <v>7601.0</v>
      </c>
    </row>
    <row r="3014">
      <c r="A3014" s="40">
        <f t="array" ref="A3014">IFNA(index(PlayerValues!A:A,match(IFNA(vlookup(B3014,'Special Names'!A:B,2,FALSE),B3014),PlayerValues!E:E,0)),"N/A")</f>
        <v>13593</v>
      </c>
      <c r="B3014" s="4" t="s">
        <v>305</v>
      </c>
      <c r="C3014" s="4" t="s">
        <v>283</v>
      </c>
      <c r="D3014" s="94">
        <v>7596.0</v>
      </c>
    </row>
    <row r="3015">
      <c r="A3015" s="40">
        <f t="array" ref="A3015">IFNA(index(PlayerValues!A:A,match(IFNA(vlookup(B3015,'Special Names'!A:B,2,FALSE),B3015),PlayerValues!E:E,0)),"N/A")</f>
        <v>17472</v>
      </c>
      <c r="B3015" s="4" t="s">
        <v>310</v>
      </c>
      <c r="C3015" s="4" t="s">
        <v>278</v>
      </c>
      <c r="D3015" s="94">
        <v>7589.0</v>
      </c>
    </row>
    <row r="3016">
      <c r="A3016" s="40">
        <f t="array" ref="A3016">IFNA(index(PlayerValues!A:A,match(IFNA(vlookup(B3016,'Special Names'!A:B,2,FALSE),B3016),PlayerValues!E:E,0)),"N/A")</f>
        <v>16615</v>
      </c>
      <c r="B3016" s="4" t="s">
        <v>309</v>
      </c>
      <c r="C3016" s="4" t="s">
        <v>287</v>
      </c>
      <c r="D3016" s="94">
        <v>7471.0</v>
      </c>
    </row>
    <row r="3017">
      <c r="A3017" s="40">
        <f t="array" ref="A3017">IFNA(index(PlayerValues!A:A,match(IFNA(vlookup(B3017,'Special Names'!A:B,2,FALSE),B3017),PlayerValues!E:E,0)),"N/A")</f>
        <v>14777</v>
      </c>
      <c r="B3017" s="4" t="s">
        <v>318</v>
      </c>
      <c r="C3017" s="4" t="s">
        <v>283</v>
      </c>
      <c r="D3017" s="94">
        <v>7460.0</v>
      </c>
    </row>
    <row r="3018">
      <c r="A3018" s="40">
        <f t="array" ref="A3018">IFNA(index(PlayerValues!A:A,match(IFNA(vlookup(B3018,'Special Names'!A:B,2,FALSE),B3018),PlayerValues!E:E,0)),"N/A")</f>
        <v>15794</v>
      </c>
      <c r="B3018" s="4" t="s">
        <v>313</v>
      </c>
      <c r="C3018" s="4" t="s">
        <v>298</v>
      </c>
      <c r="D3018" s="94">
        <v>8138.0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7228.0</v>
      </c>
    </row>
    <row r="3020">
      <c r="A3020" s="40">
        <f t="array" ref="A3020">IFNA(index(PlayerValues!A:A,match(IFNA(vlookup(B3020,'Special Names'!A:B,2,FALSE),B3020),PlayerValues!E:E,0)),"N/A")</f>
        <v>15751</v>
      </c>
      <c r="B3020" s="4" t="s">
        <v>328</v>
      </c>
      <c r="C3020" s="4" t="s">
        <v>287</v>
      </c>
      <c r="D3020" s="94">
        <v>7177.0</v>
      </c>
    </row>
    <row r="3021">
      <c r="A3021" s="40" t="str">
        <f t="array" ref="A3021">IFNA(index(PlayerValues!A:A,match(IFNA(vlookup(B3021,'Special Names'!A:B,2,FALSE),B3021),PlayerValues!E:E,0)),"N/A")</f>
        <v>N/A</v>
      </c>
      <c r="B3021" s="4" t="s">
        <v>92</v>
      </c>
      <c r="C3021" s="4" t="s">
        <v>325</v>
      </c>
      <c r="D3021" s="94">
        <v>7064.0</v>
      </c>
    </row>
    <row r="3022">
      <c r="A3022" s="40">
        <f t="array" ref="A3022">IFNA(index(PlayerValues!A:A,match(IFNA(vlookup(B3022,'Special Names'!A:B,2,FALSE),B3022),PlayerValues!E:E,0)),"N/A")</f>
        <v>14779</v>
      </c>
      <c r="B3022" s="4" t="s">
        <v>327</v>
      </c>
      <c r="C3022" s="4" t="s">
        <v>283</v>
      </c>
      <c r="D3022" s="94">
        <v>6994.0</v>
      </c>
    </row>
    <row r="3023">
      <c r="A3023" s="40">
        <f t="array" ref="A3023">IFNA(index(PlayerValues!A:A,match(IFNA(vlookup(B3023,'Special Names'!A:B,2,FALSE),B3023),PlayerValues!E:E,0)),"N/A")</f>
        <v>17044</v>
      </c>
      <c r="B3023" s="4" t="s">
        <v>322</v>
      </c>
      <c r="C3023" s="4" t="s">
        <v>278</v>
      </c>
      <c r="D3023" s="94">
        <v>6855.0</v>
      </c>
    </row>
    <row r="3024">
      <c r="A3024" s="40">
        <f t="array" ref="A3024">IFNA(index(PlayerValues!A:A,match(IFNA(vlookup(B3024,'Special Names'!A:B,2,FALSE),B3024),PlayerValues!E:E,0)),"N/A")</f>
        <v>16167</v>
      </c>
      <c r="B3024" s="4" t="s">
        <v>323</v>
      </c>
      <c r="C3024" s="4" t="s">
        <v>278</v>
      </c>
      <c r="D3024" s="94">
        <v>6836.0</v>
      </c>
    </row>
    <row r="3025">
      <c r="A3025" s="40">
        <f t="array" ref="A3025">IFNA(index(PlayerValues!A:A,match(IFNA(vlookup(B3025,'Special Names'!A:B,2,FALSE),B3025),PlayerValues!E:E,0)),"N/A")</f>
        <v>13116</v>
      </c>
      <c r="B3025" s="4" t="s">
        <v>345</v>
      </c>
      <c r="C3025" s="4" t="s">
        <v>283</v>
      </c>
      <c r="D3025" s="94">
        <v>6645.0</v>
      </c>
    </row>
    <row r="3026">
      <c r="A3026" s="40">
        <f t="array" ref="A3026">IFNA(index(PlayerValues!A:A,match(IFNA(vlookup(B3026,'Special Names'!A:B,2,FALSE),B3026),PlayerValues!E:E,0)),"N/A")</f>
        <v>17071</v>
      </c>
      <c r="B3026" s="4" t="s">
        <v>341</v>
      </c>
      <c r="C3026" s="4" t="s">
        <v>287</v>
      </c>
      <c r="D3026" s="94">
        <v>6555.0</v>
      </c>
    </row>
    <row r="3027">
      <c r="A3027" s="40">
        <f t="array" ref="A3027">IFNA(index(PlayerValues!A:A,match(IFNA(vlookup(B3027,'Special Names'!A:B,2,FALSE),B3027),PlayerValues!E:E,0)),"N/A")</f>
        <v>17032</v>
      </c>
      <c r="B3027" s="4" t="s">
        <v>348</v>
      </c>
      <c r="C3027" s="4" t="s">
        <v>283</v>
      </c>
      <c r="D3027" s="94">
        <v>6449.0</v>
      </c>
    </row>
    <row r="3028">
      <c r="A3028" s="40">
        <f t="array" ref="A3028">IFNA(index(PlayerValues!A:A,match(IFNA(vlookup(B3028,'Special Names'!A:B,2,FALSE),B3028),PlayerValues!E:E,0)),"N/A")</f>
        <v>15237</v>
      </c>
      <c r="B3028" s="4" t="s">
        <v>336</v>
      </c>
      <c r="C3028" s="4" t="s">
        <v>283</v>
      </c>
      <c r="D3028" s="94">
        <v>6356.0</v>
      </c>
    </row>
    <row r="3029">
      <c r="A3029" s="40">
        <f t="array" ref="A3029">IFNA(index(PlayerValues!A:A,match(IFNA(vlookup(B3029,'Special Names'!A:B,2,FALSE),B3029),PlayerValues!E:E,0)),"N/A")</f>
        <v>17104</v>
      </c>
      <c r="B3029" s="4" t="s">
        <v>333</v>
      </c>
      <c r="C3029" s="4" t="s">
        <v>298</v>
      </c>
      <c r="D3029" s="94">
        <v>6911.0</v>
      </c>
    </row>
    <row r="3030">
      <c r="A3030" s="40">
        <f t="array" ref="A3030">IFNA(index(PlayerValues!A:A,match(IFNA(vlookup(B3030,'Special Names'!A:B,2,FALSE),B3030),PlayerValues!E:E,0)),"N/A")</f>
        <v>14783</v>
      </c>
      <c r="B3030" s="4" t="s">
        <v>342</v>
      </c>
      <c r="C3030" s="4" t="s">
        <v>283</v>
      </c>
      <c r="D3030" s="94">
        <v>6171.0</v>
      </c>
    </row>
    <row r="3031">
      <c r="A3031" s="40">
        <f t="array" ref="A3031">IFNA(index(PlayerValues!A:A,match(IFNA(vlookup(B3031,'Special Names'!A:B,2,FALSE),B3031),PlayerValues!E:E,0)),"N/A")</f>
        <v>16582</v>
      </c>
      <c r="B3031" s="4" t="s">
        <v>343</v>
      </c>
      <c r="C3031" s="4" t="s">
        <v>283</v>
      </c>
      <c r="D3031" s="94">
        <v>6073.0</v>
      </c>
    </row>
    <row r="3032">
      <c r="A3032" s="40">
        <f t="array" ref="A3032">IFNA(index(PlayerValues!A:A,match(IFNA(vlookup(B3032,'Special Names'!A:B,2,FALSE),B3032),PlayerValues!E:E,0)),"N/A")</f>
        <v>17081</v>
      </c>
      <c r="B3032" s="4" t="s">
        <v>340</v>
      </c>
      <c r="C3032" s="4" t="s">
        <v>287</v>
      </c>
      <c r="D3032" s="94">
        <v>6061.0</v>
      </c>
    </row>
    <row r="3033">
      <c r="A3033" s="40">
        <f t="array" ref="A3033">IFNA(index(PlayerValues!A:A,match(IFNA(vlookup(B3033,'Special Names'!A:B,2,FALSE),B3033),PlayerValues!E:E,0)),"N/A")</f>
        <v>15715</v>
      </c>
      <c r="B3033" s="4" t="s">
        <v>331</v>
      </c>
      <c r="C3033" s="4" t="s">
        <v>278</v>
      </c>
      <c r="D3033" s="94">
        <v>6044.0</v>
      </c>
    </row>
    <row r="3034">
      <c r="A3034" s="40">
        <f t="array" ref="A3034">IFNA(index(PlayerValues!A:A,match(IFNA(vlookup(B3034,'Special Names'!A:B,2,FALSE),B3034),PlayerValues!E:E,0)),"N/A")</f>
        <v>14802</v>
      </c>
      <c r="B3034" s="4" t="s">
        <v>332</v>
      </c>
      <c r="C3034" s="4" t="s">
        <v>278</v>
      </c>
      <c r="D3034" s="94">
        <v>6010.0</v>
      </c>
    </row>
    <row r="3035">
      <c r="A3035" s="40">
        <f t="array" ref="A3035">IFNA(index(PlayerValues!A:A,match(IFNA(vlookup(B3035,'Special Names'!A:B,2,FALSE),B3035),PlayerValues!E:E,0)),"N/A")</f>
        <v>17497</v>
      </c>
      <c r="B3035" s="4" t="s">
        <v>365</v>
      </c>
      <c r="C3035" s="4" t="s">
        <v>287</v>
      </c>
      <c r="D3035" s="94">
        <v>5957.0</v>
      </c>
    </row>
    <row r="3036">
      <c r="A3036" s="40">
        <f t="array" ref="A3036">IFNA(index(PlayerValues!A:A,match(IFNA(vlookup(B3036,'Special Names'!A:B,2,FALSE),B3036),PlayerValues!E:E,0)),"N/A")</f>
        <v>15762</v>
      </c>
      <c r="B3036" s="4" t="s">
        <v>337</v>
      </c>
      <c r="C3036" s="4" t="s">
        <v>287</v>
      </c>
      <c r="D3036" s="94">
        <v>5924.0</v>
      </c>
    </row>
    <row r="3037">
      <c r="A3037" s="40">
        <f t="array" ref="A3037">IFNA(index(PlayerValues!A:A,match(IFNA(vlookup(B3037,'Special Names'!A:B,2,FALSE),B3037),PlayerValues!E:E,0)),"N/A")</f>
        <v>17102</v>
      </c>
      <c r="B3037" s="4" t="s">
        <v>344</v>
      </c>
      <c r="C3037" s="4" t="s">
        <v>298</v>
      </c>
      <c r="D3037" s="94">
        <v>6499.0</v>
      </c>
    </row>
    <row r="3038">
      <c r="A3038" s="40">
        <f t="array" ref="A3038">IFNA(index(PlayerValues!A:A,match(IFNA(vlookup(B3038,'Special Names'!A:B,2,FALSE),B3038),PlayerValues!E:E,0)),"N/A")</f>
        <v>15698</v>
      </c>
      <c r="B3038" s="4" t="s">
        <v>358</v>
      </c>
      <c r="C3038" s="4" t="s">
        <v>283</v>
      </c>
      <c r="D3038" s="94">
        <v>5837.0</v>
      </c>
    </row>
    <row r="3039">
      <c r="A3039" s="40">
        <f t="array" ref="A3039">IFNA(index(PlayerValues!A:A,match(IFNA(vlookup(B3039,'Special Names'!A:B,2,FALSE),B3039),PlayerValues!E:E,0)),"N/A")</f>
        <v>15753</v>
      </c>
      <c r="B3039" s="4" t="s">
        <v>359</v>
      </c>
      <c r="C3039" s="4" t="s">
        <v>287</v>
      </c>
      <c r="D3039" s="94">
        <v>5683.0</v>
      </c>
    </row>
    <row r="3040">
      <c r="A3040" s="40" t="str">
        <f t="array" ref="A3040">IFNA(index(PlayerValues!A:A,match(IFNA(vlookup(B3040,'Special Names'!A:B,2,FALSE),B3040),PlayerValues!E:E,0)),"N/A")</f>
        <v>N/A</v>
      </c>
      <c r="B3040" s="4" t="s">
        <v>79</v>
      </c>
      <c r="C3040" s="4" t="s">
        <v>325</v>
      </c>
      <c r="D3040" s="94">
        <v>5602.0</v>
      </c>
    </row>
    <row r="3041">
      <c r="A3041" s="40" t="str">
        <f t="array" ref="A3041">IFNA(index(PlayerValues!A:A,match(IFNA(vlookup(B3041,'Special Names'!A:B,2,FALSE),B3041),PlayerValues!E:E,0)),"N/A")</f>
        <v>N/A</v>
      </c>
      <c r="B3041" s="4" t="s">
        <v>93</v>
      </c>
      <c r="C3041" s="4" t="s">
        <v>325</v>
      </c>
      <c r="D3041" s="94">
        <v>5601.0</v>
      </c>
    </row>
    <row r="3042">
      <c r="A3042" s="40">
        <f t="array" ref="A3042">IFNA(index(PlayerValues!A:A,match(IFNA(vlookup(B3042,'Special Names'!A:B,2,FALSE),B3042),PlayerValues!E:E,0)),"N/A")</f>
        <v>15290</v>
      </c>
      <c r="B3042" s="4" t="s">
        <v>355</v>
      </c>
      <c r="C3042" s="4" t="s">
        <v>287</v>
      </c>
      <c r="D3042" s="94">
        <v>5592.0</v>
      </c>
    </row>
    <row r="3043">
      <c r="A3043" s="40">
        <f t="array" ref="A3043">IFNA(index(PlayerValues!A:A,match(IFNA(vlookup(B3043,'Special Names'!A:B,2,FALSE),B3043),PlayerValues!E:E,0)),"N/A")</f>
        <v>16627</v>
      </c>
      <c r="B3043" s="4" t="s">
        <v>351</v>
      </c>
      <c r="C3043" s="4" t="s">
        <v>287</v>
      </c>
      <c r="D3043" s="94">
        <v>5568.0</v>
      </c>
    </row>
    <row r="3044">
      <c r="A3044" s="40">
        <f t="array" ref="A3044">IFNA(index(PlayerValues!A:A,match(IFNA(vlookup(B3044,'Special Names'!A:B,2,FALSE),B3044),PlayerValues!E:E,0)),"N/A")</f>
        <v>17462</v>
      </c>
      <c r="B3044" s="4" t="s">
        <v>375</v>
      </c>
      <c r="C3044" s="4" t="s">
        <v>283</v>
      </c>
      <c r="D3044" s="94">
        <v>5535.0</v>
      </c>
    </row>
    <row r="3045">
      <c r="A3045" s="40">
        <f t="array" ref="A3045">IFNA(index(PlayerValues!A:A,match(IFNA(vlookup(B3045,'Special Names'!A:B,2,FALSE),B3045),PlayerValues!E:E,0)),"N/A")</f>
        <v>15754</v>
      </c>
      <c r="B3045" s="4" t="s">
        <v>354</v>
      </c>
      <c r="C3045" s="4" t="s">
        <v>287</v>
      </c>
      <c r="D3045" s="94">
        <v>5527.0</v>
      </c>
    </row>
    <row r="3046">
      <c r="A3046" s="40">
        <f t="array" ref="A3046">IFNA(index(PlayerValues!A:A,match(IFNA(vlookup(B3046,'Special Names'!A:B,2,FALSE),B3046),PlayerValues!E:E,0)),"N/A")</f>
        <v>17051</v>
      </c>
      <c r="B3046" s="4" t="s">
        <v>386</v>
      </c>
      <c r="C3046" s="4" t="s">
        <v>278</v>
      </c>
      <c r="D3046" s="94">
        <v>5514.0</v>
      </c>
    </row>
    <row r="3047">
      <c r="A3047" s="40">
        <f t="array" ref="A3047">IFNA(index(PlayerValues!A:A,match(IFNA(vlookup(B3047,'Special Names'!A:B,2,FALSE),B3047),PlayerValues!E:E,0)),"N/A")</f>
        <v>14782</v>
      </c>
      <c r="B3047" s="4" t="s">
        <v>385</v>
      </c>
      <c r="C3047" s="4" t="s">
        <v>283</v>
      </c>
      <c r="D3047" s="94">
        <v>5513.0</v>
      </c>
    </row>
    <row r="3048">
      <c r="A3048" s="40">
        <f t="array" ref="A3048">IFNA(index(PlayerValues!A:A,match(IFNA(vlookup(B3048,'Special Names'!A:B,2,FALSE),B3048),PlayerValues!E:E,0)),"N/A")</f>
        <v>17043</v>
      </c>
      <c r="B3048" s="4" t="s">
        <v>397</v>
      </c>
      <c r="C3048" s="4" t="s">
        <v>278</v>
      </c>
      <c r="D3048" s="94">
        <v>5489.0</v>
      </c>
    </row>
    <row r="3049">
      <c r="A3049" s="40">
        <f t="array" ref="A3049">IFNA(index(PlayerValues!A:A,match(IFNA(vlookup(B3049,'Special Names'!A:B,2,FALSE),B3049),PlayerValues!E:E,0)),"N/A")</f>
        <v>15711</v>
      </c>
      <c r="B3049" s="4" t="s">
        <v>349</v>
      </c>
      <c r="C3049" s="4" t="s">
        <v>278</v>
      </c>
      <c r="D3049" s="94">
        <v>5486.0</v>
      </c>
    </row>
    <row r="3050">
      <c r="A3050" s="40">
        <f t="array" ref="A3050">IFNA(index(PlayerValues!A:A,match(IFNA(vlookup(B3050,'Special Names'!A:B,2,FALSE),B3050),PlayerValues!E:E,0)),"N/A")</f>
        <v>15282</v>
      </c>
      <c r="B3050" s="4" t="s">
        <v>364</v>
      </c>
      <c r="C3050" s="4" t="s">
        <v>287</v>
      </c>
      <c r="D3050" s="94">
        <v>5453.0</v>
      </c>
    </row>
    <row r="3051">
      <c r="A3051" s="40">
        <f t="array" ref="A3051">IFNA(index(PlayerValues!A:A,match(IFNA(vlookup(B3051,'Special Names'!A:B,2,FALSE),B3051),PlayerValues!E:E,0)),"N/A")</f>
        <v>17070</v>
      </c>
      <c r="B3051" s="4" t="s">
        <v>370</v>
      </c>
      <c r="C3051" s="4" t="s">
        <v>287</v>
      </c>
      <c r="D3051" s="94">
        <v>5404.0</v>
      </c>
    </row>
    <row r="3052">
      <c r="A3052" s="40">
        <f t="array" ref="A3052">IFNA(index(PlayerValues!A:A,match(IFNA(vlookup(B3052,'Special Names'!A:B,2,FALSE),B3052),PlayerValues!E:E,0)),"N/A")</f>
        <v>15708</v>
      </c>
      <c r="B3052" s="4" t="s">
        <v>382</v>
      </c>
      <c r="C3052" s="4" t="s">
        <v>278</v>
      </c>
      <c r="D3052" s="94">
        <v>5395.0</v>
      </c>
    </row>
    <row r="3053">
      <c r="A3053" s="40">
        <f t="array" ref="A3053">IFNA(index(PlayerValues!A:A,match(IFNA(vlookup(B3053,'Special Names'!A:B,2,FALSE),B3053),PlayerValues!E:E,0)),"N/A")</f>
        <v>17498</v>
      </c>
      <c r="B3053" s="4" t="s">
        <v>396</v>
      </c>
      <c r="C3053" s="4" t="s">
        <v>287</v>
      </c>
      <c r="D3053" s="94">
        <v>5394.0</v>
      </c>
    </row>
    <row r="3054">
      <c r="A3054" s="40">
        <f t="array" ref="A3054">IFNA(index(PlayerValues!A:A,match(IFNA(vlookup(B3054,'Special Names'!A:B,2,FALSE),B3054),PlayerValues!E:E,0)),"N/A")</f>
        <v>17030</v>
      </c>
      <c r="B3054" s="4" t="s">
        <v>406</v>
      </c>
      <c r="C3054" s="4" t="s">
        <v>283</v>
      </c>
      <c r="D3054" s="94">
        <v>5363.0</v>
      </c>
    </row>
    <row r="3055">
      <c r="A3055" s="40">
        <f t="array" ref="A3055">IFNA(index(PlayerValues!A:A,match(IFNA(vlookup(B3055,'Special Names'!A:B,2,FALSE),B3055),PlayerValues!E:E,0)),"N/A")</f>
        <v>16616</v>
      </c>
      <c r="B3055" s="4" t="s">
        <v>389</v>
      </c>
      <c r="C3055" s="4" t="s">
        <v>287</v>
      </c>
      <c r="D3055" s="94">
        <v>5273.0</v>
      </c>
    </row>
    <row r="3056">
      <c r="A3056" s="40">
        <f t="array" ref="A3056">IFNA(index(PlayerValues!A:A,match(IFNA(vlookup(B3056,'Special Names'!A:B,2,FALSE),B3056),PlayerValues!E:E,0)),"N/A")</f>
        <v>16181</v>
      </c>
      <c r="B3056" s="4" t="s">
        <v>350</v>
      </c>
      <c r="C3056" s="4" t="s">
        <v>278</v>
      </c>
      <c r="D3056" s="94">
        <v>5125.0</v>
      </c>
    </row>
    <row r="3057">
      <c r="A3057" s="40">
        <f t="array" ref="A3057">IFNA(index(PlayerValues!A:A,match(IFNA(vlookup(B3057,'Special Names'!A:B,2,FALSE),B3057),PlayerValues!E:E,0)),"N/A")</f>
        <v>17499</v>
      </c>
      <c r="B3057" s="4" t="s">
        <v>402</v>
      </c>
      <c r="C3057" s="4" t="s">
        <v>287</v>
      </c>
      <c r="D3057" s="94">
        <v>5095.0</v>
      </c>
    </row>
    <row r="3058">
      <c r="A3058" s="40" t="str">
        <f t="array" ref="A3058">IFNA(index(PlayerValues!A:A,match(IFNA(vlookup(B3058,'Special Names'!A:B,2,FALSE),B3058),PlayerValues!E:E,0)),"N/A")</f>
        <v>N/A</v>
      </c>
      <c r="B3058" s="4" t="s">
        <v>104</v>
      </c>
      <c r="C3058" s="4" t="s">
        <v>325</v>
      </c>
      <c r="D3058" s="94">
        <v>5016.0</v>
      </c>
    </row>
    <row r="3059">
      <c r="A3059" s="40">
        <f t="array" ref="A3059">IFNA(index(PlayerValues!A:A,match(IFNA(vlookup(B3059,'Special Names'!A:B,2,FALSE),B3059),PlayerValues!E:E,0)),"N/A")</f>
        <v>13130</v>
      </c>
      <c r="B3059" s="4" t="s">
        <v>374</v>
      </c>
      <c r="C3059" s="4" t="s">
        <v>278</v>
      </c>
      <c r="D3059" s="94">
        <v>4985.0</v>
      </c>
    </row>
    <row r="3060">
      <c r="A3060" s="40">
        <f t="array" ref="A3060">IFNA(index(PlayerValues!A:A,match(IFNA(vlookup(B3060,'Special Names'!A:B,2,FALSE),B3060),PlayerValues!E:E,0)),"N/A")</f>
        <v>16614</v>
      </c>
      <c r="B3060" s="4" t="s">
        <v>403</v>
      </c>
      <c r="C3060" s="4" t="s">
        <v>287</v>
      </c>
      <c r="D3060" s="94">
        <v>4968.0</v>
      </c>
    </row>
    <row r="3061">
      <c r="A3061" s="40">
        <f t="array" ref="A3061">IFNA(index(PlayerValues!A:A,match(IFNA(vlookup(B3061,'Special Names'!A:B,2,FALSE),B3061),PlayerValues!E:E,0)),"N/A")</f>
        <v>14104</v>
      </c>
      <c r="B3061" s="4" t="s">
        <v>379</v>
      </c>
      <c r="C3061" s="4" t="s">
        <v>287</v>
      </c>
      <c r="D3061" s="94">
        <v>4951.0</v>
      </c>
    </row>
    <row r="3062">
      <c r="A3062" s="40">
        <f t="array" ref="A3062">IFNA(index(PlayerValues!A:A,match(IFNA(vlookup(B3062,'Special Names'!A:B,2,FALSE),B3062),PlayerValues!E:E,0)),"N/A")</f>
        <v>13604</v>
      </c>
      <c r="B3062" s="4" t="s">
        <v>378</v>
      </c>
      <c r="C3062" s="4" t="s">
        <v>278</v>
      </c>
      <c r="D3062" s="94">
        <v>4946.0</v>
      </c>
    </row>
    <row r="3063">
      <c r="A3063" s="40">
        <f t="array" ref="A3063">IFNA(index(PlayerValues!A:A,match(IFNA(vlookup(B3063,'Special Names'!A:B,2,FALSE),B3063),PlayerValues!E:E,0)),"N/A")</f>
        <v>14835</v>
      </c>
      <c r="B3063" s="4" t="s">
        <v>392</v>
      </c>
      <c r="C3063" s="4" t="s">
        <v>287</v>
      </c>
      <c r="D3063" s="94">
        <v>4938.0</v>
      </c>
    </row>
    <row r="3064">
      <c r="A3064" s="40" t="str">
        <f t="array" ref="A3064">IFNA(index(PlayerValues!A:A,match(IFNA(vlookup(B3064,'Special Names'!A:B,2,FALSE),B3064),PlayerValues!E:E,0)),"N/A")</f>
        <v>N/A</v>
      </c>
      <c r="B3064" s="4" t="s">
        <v>94</v>
      </c>
      <c r="C3064" s="4" t="s">
        <v>325</v>
      </c>
      <c r="D3064" s="94">
        <v>4931.0</v>
      </c>
    </row>
    <row r="3065">
      <c r="A3065" s="40">
        <f t="array" ref="A3065">IFNA(index(PlayerValues!A:A,match(IFNA(vlookup(B3065,'Special Names'!A:B,2,FALSE),B3065),PlayerValues!E:E,0)),"N/A")</f>
        <v>16222</v>
      </c>
      <c r="B3065" s="4" t="s">
        <v>393</v>
      </c>
      <c r="C3065" s="4" t="s">
        <v>298</v>
      </c>
      <c r="D3065" s="94">
        <v>5496.0</v>
      </c>
    </row>
    <row r="3066">
      <c r="A3066" s="40">
        <f t="array" ref="A3066">IFNA(index(PlayerValues!A:A,match(IFNA(vlookup(B3066,'Special Names'!A:B,2,FALSE),B3066),PlayerValues!E:E,0)),"N/A")</f>
        <v>16618</v>
      </c>
      <c r="B3066" s="4" t="s">
        <v>411</v>
      </c>
      <c r="C3066" s="4" t="s">
        <v>287</v>
      </c>
      <c r="D3066" s="94">
        <v>4890.0</v>
      </c>
    </row>
    <row r="3067">
      <c r="A3067" s="40">
        <f t="array" ref="A3067">IFNA(index(PlayerValues!A:A,match(IFNA(vlookup(B3067,'Special Names'!A:B,2,FALSE),B3067),PlayerValues!E:E,0)),"N/A")</f>
        <v>16190</v>
      </c>
      <c r="B3067" s="4" t="s">
        <v>371</v>
      </c>
      <c r="C3067" s="4" t="s">
        <v>287</v>
      </c>
      <c r="D3067" s="94">
        <v>4888.0</v>
      </c>
    </row>
    <row r="3068">
      <c r="A3068" s="40">
        <f t="array" ref="A3068">IFNA(index(PlayerValues!A:A,match(IFNA(vlookup(B3068,'Special Names'!A:B,2,FALSE),B3068),PlayerValues!E:E,0)),"N/A")</f>
        <v>12620</v>
      </c>
      <c r="B3068" s="4" t="s">
        <v>394</v>
      </c>
      <c r="C3068" s="4" t="s">
        <v>283</v>
      </c>
      <c r="D3068" s="94">
        <v>4881.0</v>
      </c>
    </row>
    <row r="3069">
      <c r="A3069" s="40">
        <f t="array" ref="A3069">IFNA(index(PlayerValues!A:A,match(IFNA(vlookup(B3069,'Special Names'!A:B,2,FALSE),B3069),PlayerValues!E:E,0)),"N/A")</f>
        <v>15710</v>
      </c>
      <c r="B3069" s="4" t="s">
        <v>395</v>
      </c>
      <c r="C3069" s="4" t="s">
        <v>278</v>
      </c>
      <c r="D3069" s="94">
        <v>4864.0</v>
      </c>
    </row>
    <row r="3070">
      <c r="A3070" s="40">
        <f t="array" ref="A3070">IFNA(index(PlayerValues!A:A,match(IFNA(vlookup(B3070,'Special Names'!A:B,2,FALSE),B3070),PlayerValues!E:E,0)),"N/A")</f>
        <v>17473</v>
      </c>
      <c r="B3070" s="4" t="s">
        <v>391</v>
      </c>
      <c r="C3070" s="4" t="s">
        <v>278</v>
      </c>
      <c r="D3070" s="94">
        <v>4856.0</v>
      </c>
    </row>
    <row r="3071">
      <c r="A3071" s="40">
        <f t="array" ref="A3071">IFNA(index(PlayerValues!A:A,match(IFNA(vlookup(B3071,'Special Names'!A:B,2,FALSE),B3071),PlayerValues!E:E,0)),"N/A")</f>
        <v>17103</v>
      </c>
      <c r="B3071" s="4" t="s">
        <v>405</v>
      </c>
      <c r="C3071" s="4" t="s">
        <v>298</v>
      </c>
      <c r="D3071" s="94">
        <v>5411.0</v>
      </c>
    </row>
    <row r="3072">
      <c r="A3072" s="40">
        <f t="array" ref="A3072">IFNA(index(PlayerValues!A:A,match(IFNA(vlookup(B3072,'Special Names'!A:B,2,FALSE),B3072),PlayerValues!E:E,0)),"N/A")</f>
        <v>16150</v>
      </c>
      <c r="B3072" s="4" t="s">
        <v>414</v>
      </c>
      <c r="C3072" s="4" t="s">
        <v>283</v>
      </c>
      <c r="D3072" s="94">
        <v>4816.0</v>
      </c>
    </row>
    <row r="3073">
      <c r="A3073" s="40">
        <f t="array" ref="A3073">IFNA(index(PlayerValues!A:A,match(IFNA(vlookup(B3073,'Special Names'!A:B,2,FALSE),B3073),PlayerValues!E:E,0)),"N/A")</f>
        <v>17039</v>
      </c>
      <c r="B3073" s="4" t="s">
        <v>400</v>
      </c>
      <c r="C3073" s="4" t="s">
        <v>283</v>
      </c>
      <c r="D3073" s="94">
        <v>4816.0</v>
      </c>
    </row>
    <row r="3074">
      <c r="A3074" s="40">
        <f t="array" ref="A3074">IFNA(index(PlayerValues!A:A,match(IFNA(vlookup(B3074,'Special Names'!A:B,2,FALSE),B3074),PlayerValues!E:E,0)),"N/A")</f>
        <v>17045</v>
      </c>
      <c r="B3074" s="4" t="s">
        <v>407</v>
      </c>
      <c r="C3074" s="4" t="s">
        <v>278</v>
      </c>
      <c r="D3074" s="94">
        <v>4788.0</v>
      </c>
    </row>
    <row r="3075">
      <c r="A3075" s="40">
        <f t="array" ref="A3075">IFNA(index(PlayerValues!A:A,match(IFNA(vlookup(B3075,'Special Names'!A:B,2,FALSE),B3075),PlayerValues!E:E,0)),"N/A")</f>
        <v>15284</v>
      </c>
      <c r="B3075" s="4" t="s">
        <v>390</v>
      </c>
      <c r="C3075" s="4" t="s">
        <v>287</v>
      </c>
      <c r="D3075" s="94">
        <v>4767.0</v>
      </c>
    </row>
    <row r="3076">
      <c r="A3076" s="40">
        <f t="array" ref="A3076">IFNA(index(PlayerValues!A:A,match(IFNA(vlookup(B3076,'Special Names'!A:B,2,FALSE),B3076),PlayerValues!E:E,0)),"N/A")</f>
        <v>16598</v>
      </c>
      <c r="B3076" s="4" t="s">
        <v>408</v>
      </c>
      <c r="C3076" s="4" t="s">
        <v>278</v>
      </c>
      <c r="D3076" s="94">
        <v>4722.0</v>
      </c>
    </row>
    <row r="3077">
      <c r="A3077" s="40">
        <f t="array" ref="A3077">IFNA(index(PlayerValues!A:A,match(IFNA(vlookup(B3077,'Special Names'!A:B,2,FALSE),B3077),PlayerValues!E:E,0)),"N/A")</f>
        <v>13590</v>
      </c>
      <c r="B3077" s="4" t="s">
        <v>409</v>
      </c>
      <c r="C3077" s="4" t="s">
        <v>283</v>
      </c>
      <c r="D3077" s="94">
        <v>4707.0</v>
      </c>
    </row>
    <row r="3078">
      <c r="A3078" s="40">
        <f t="array" ref="A3078">IFNA(index(PlayerValues!A:A,match(IFNA(vlookup(B3078,'Special Names'!A:B,2,FALSE),B3078),PlayerValues!E:E,0)),"N/A")</f>
        <v>12611</v>
      </c>
      <c r="B3078" s="4" t="s">
        <v>410</v>
      </c>
      <c r="C3078" s="4" t="s">
        <v>283</v>
      </c>
      <c r="D3078" s="94">
        <v>4683.0</v>
      </c>
    </row>
    <row r="3079">
      <c r="A3079" s="40">
        <f t="array" ref="A3079">IFNA(index(PlayerValues!A:A,match(IFNA(vlookup(B3079,'Special Names'!A:B,2,FALSE),B3079),PlayerValues!E:E,0)),"N/A")</f>
        <v>15756</v>
      </c>
      <c r="B3079" s="4" t="s">
        <v>399</v>
      </c>
      <c r="C3079" s="4" t="s">
        <v>287</v>
      </c>
      <c r="D3079" s="94">
        <v>4678.0</v>
      </c>
    </row>
    <row r="3080">
      <c r="A3080" s="40">
        <f t="array" ref="A3080">IFNA(index(PlayerValues!A:A,match(IFNA(vlookup(B3080,'Special Names'!A:B,2,FALSE),B3080),PlayerValues!E:E,0)),"N/A")</f>
        <v>16194</v>
      </c>
      <c r="B3080" s="4" t="s">
        <v>398</v>
      </c>
      <c r="C3080" s="4" t="s">
        <v>287</v>
      </c>
      <c r="D3080" s="94">
        <v>4668.0</v>
      </c>
    </row>
    <row r="3081">
      <c r="A3081" s="40" t="str">
        <f t="array" ref="A3081">IFNA(index(PlayerValues!A:A,match(IFNA(vlookup(B3081,'Special Names'!A:B,2,FALSE),B3081),PlayerValues!E:E,0)),"N/A")</f>
        <v>N/A</v>
      </c>
      <c r="B3081" s="4" t="s">
        <v>105</v>
      </c>
      <c r="C3081" s="4" t="s">
        <v>325</v>
      </c>
      <c r="D3081" s="94">
        <v>4591.0</v>
      </c>
    </row>
    <row r="3082">
      <c r="A3082" s="40" t="str">
        <f t="array" ref="A3082">IFNA(index(PlayerValues!A:A,match(IFNA(vlookup(B3082,'Special Names'!A:B,2,FALSE),B3082),PlayerValues!E:E,0)),"N/A")</f>
        <v>N/A</v>
      </c>
      <c r="B3082" s="4" t="s">
        <v>80</v>
      </c>
      <c r="C3082" s="4" t="s">
        <v>325</v>
      </c>
      <c r="D3082" s="94">
        <v>4581.0</v>
      </c>
    </row>
    <row r="3083">
      <c r="A3083" s="40">
        <f t="array" ref="A3083">IFNA(index(PlayerValues!A:A,match(IFNA(vlookup(B3083,'Special Names'!A:B,2,FALSE),B3083),PlayerValues!E:E,0)),"N/A")</f>
        <v>13592</v>
      </c>
      <c r="B3083" s="4" t="s">
        <v>418</v>
      </c>
      <c r="C3083" s="4" t="s">
        <v>283</v>
      </c>
      <c r="D3083" s="94">
        <v>4519.0</v>
      </c>
    </row>
    <row r="3084">
      <c r="A3084" s="40">
        <f t="array" ref="A3084">IFNA(index(PlayerValues!A:A,match(IFNA(vlookup(B3084,'Special Names'!A:B,2,FALSE),B3084),PlayerValues!E:E,0)),"N/A")</f>
        <v>15329</v>
      </c>
      <c r="B3084" s="4" t="s">
        <v>416</v>
      </c>
      <c r="C3084" s="4" t="s">
        <v>298</v>
      </c>
      <c r="D3084" s="94">
        <v>5040.0</v>
      </c>
    </row>
    <row r="3085">
      <c r="A3085" s="40">
        <f t="array" ref="A3085">IFNA(index(PlayerValues!A:A,match(IFNA(vlookup(B3085,'Special Names'!A:B,2,FALSE),B3085),PlayerValues!E:E,0)),"N/A")</f>
        <v>15256</v>
      </c>
      <c r="B3085" s="4" t="s">
        <v>401</v>
      </c>
      <c r="C3085" s="4" t="s">
        <v>278</v>
      </c>
      <c r="D3085" s="94">
        <v>4486.0</v>
      </c>
    </row>
    <row r="3086">
      <c r="A3086" s="40">
        <f t="array" ref="A3086">IFNA(index(PlayerValues!A:A,match(IFNA(vlookup(B3086,'Special Names'!A:B,2,FALSE),B3086),PlayerValues!E:E,0)),"N/A")</f>
        <v>16214</v>
      </c>
      <c r="B3086" s="4" t="s">
        <v>413</v>
      </c>
      <c r="C3086" s="4" t="s">
        <v>298</v>
      </c>
      <c r="D3086" s="94">
        <v>5011.0</v>
      </c>
    </row>
    <row r="3087">
      <c r="A3087" s="40">
        <f t="array" ref="A3087">IFNA(index(PlayerValues!A:A,match(IFNA(vlookup(B3087,'Special Names'!A:B,2,FALSE),B3087),PlayerValues!E:E,0)),"N/A")</f>
        <v>17501</v>
      </c>
      <c r="B3087" s="4" t="s">
        <v>404</v>
      </c>
      <c r="C3087" s="4" t="s">
        <v>287</v>
      </c>
      <c r="D3087" s="94">
        <v>4470.0</v>
      </c>
    </row>
    <row r="3088">
      <c r="A3088" s="40">
        <f t="array" ref="A3088">IFNA(index(PlayerValues!A:A,match(IFNA(vlookup(B3088,'Special Names'!A:B,2,FALSE),B3088),PlayerValues!E:E,0)),"N/A")</f>
        <v>15253</v>
      </c>
      <c r="B3088" s="4" t="s">
        <v>415</v>
      </c>
      <c r="C3088" s="4" t="s">
        <v>278</v>
      </c>
      <c r="D3088" s="94">
        <v>4468.0</v>
      </c>
    </row>
    <row r="3089">
      <c r="A3089" s="40">
        <f t="array" ref="A3089">IFNA(index(PlayerValues!A:A,match(IFNA(vlookup(B3089,'Special Names'!A:B,2,FALSE),B3089),PlayerValues!E:E,0)),"N/A")</f>
        <v>16148</v>
      </c>
      <c r="B3089" s="4" t="s">
        <v>426</v>
      </c>
      <c r="C3089" s="4" t="s">
        <v>283</v>
      </c>
      <c r="D3089" s="94">
        <v>4320.0</v>
      </c>
    </row>
    <row r="3090">
      <c r="A3090" s="40" t="str">
        <f t="array" ref="A3090">IFNA(index(PlayerValues!A:A,match(IFNA(vlookup(B3090,'Special Names'!A:B,2,FALSE),B3090),PlayerValues!E:E,0)),"N/A")</f>
        <v>N/A</v>
      </c>
      <c r="B3090" s="4" t="s">
        <v>107</v>
      </c>
      <c r="C3090" s="4" t="s">
        <v>325</v>
      </c>
      <c r="D3090" s="94">
        <v>4128.0</v>
      </c>
    </row>
    <row r="3091">
      <c r="A3091" s="40">
        <f t="array" ref="A3091">IFNA(index(PlayerValues!A:A,match(IFNA(vlookup(B3091,'Special Names'!A:B,2,FALSE),B3091),PlayerValues!E:E,0)),"N/A")</f>
        <v>14056</v>
      </c>
      <c r="B3091" s="4" t="s">
        <v>423</v>
      </c>
      <c r="C3091" s="4" t="s">
        <v>283</v>
      </c>
      <c r="D3091" s="94">
        <v>4123.0</v>
      </c>
    </row>
    <row r="3092">
      <c r="A3092" s="40">
        <f t="array" ref="A3092">IFNA(index(PlayerValues!A:A,match(IFNA(vlookup(B3092,'Special Names'!A:B,2,FALSE),B3092),PlayerValues!E:E,0)),"N/A")</f>
        <v>17052</v>
      </c>
      <c r="B3092" s="4" t="s">
        <v>417</v>
      </c>
      <c r="C3092" s="4" t="s">
        <v>278</v>
      </c>
      <c r="D3092" s="94">
        <v>4116.0</v>
      </c>
    </row>
    <row r="3093">
      <c r="A3093" s="40">
        <f t="array" ref="A3093">IFNA(index(PlayerValues!A:A,match(IFNA(vlookup(B3093,'Special Names'!A:B,2,FALSE),B3093),PlayerValues!E:E,0)),"N/A")</f>
        <v>17543</v>
      </c>
      <c r="B3093" s="4" t="s">
        <v>436</v>
      </c>
      <c r="C3093" s="4" t="s">
        <v>298</v>
      </c>
      <c r="D3093" s="94">
        <v>4561.0</v>
      </c>
    </row>
    <row r="3094">
      <c r="A3094" s="40">
        <f t="array" ref="A3094">IFNA(index(PlayerValues!A:A,match(IFNA(vlookup(B3094,'Special Names'!A:B,2,FALSE),B3094),PlayerValues!E:E,0)),"N/A")</f>
        <v>12626</v>
      </c>
      <c r="B3094" s="4" t="s">
        <v>419</v>
      </c>
      <c r="C3094" s="4" t="s">
        <v>278</v>
      </c>
      <c r="D3094" s="94">
        <v>4005.0</v>
      </c>
    </row>
    <row r="3095">
      <c r="A3095" s="40">
        <f t="array" ref="A3095">IFNA(index(PlayerValues!A:A,match(IFNA(vlookup(B3095,'Special Names'!A:B,2,FALSE),B3095),PlayerValues!E:E,0)),"N/A")</f>
        <v>15768</v>
      </c>
      <c r="B3095" s="4" t="s">
        <v>432</v>
      </c>
      <c r="C3095" s="4" t="s">
        <v>287</v>
      </c>
      <c r="D3095" s="94">
        <v>3993.0</v>
      </c>
    </row>
    <row r="3096">
      <c r="A3096" s="40">
        <f t="array" ref="A3096">IFNA(index(PlayerValues!A:A,match(IFNA(vlookup(B3096,'Special Names'!A:B,2,FALSE),B3096),PlayerValues!E:E,0)),"N/A")</f>
        <v>16186</v>
      </c>
      <c r="B3096" s="4" t="s">
        <v>425</v>
      </c>
      <c r="C3096" s="4" t="s">
        <v>287</v>
      </c>
      <c r="D3096" s="94">
        <v>3956.0</v>
      </c>
    </row>
    <row r="3097">
      <c r="A3097" s="40">
        <f t="array" ref="A3097">IFNA(index(PlayerValues!A:A,match(IFNA(vlookup(B3097,'Special Names'!A:B,2,FALSE),B3097),PlayerValues!E:E,0)),"N/A")</f>
        <v>14059</v>
      </c>
      <c r="B3097" s="4" t="s">
        <v>435</v>
      </c>
      <c r="C3097" s="4" t="s">
        <v>283</v>
      </c>
      <c r="D3097" s="94">
        <v>3929.0</v>
      </c>
    </row>
    <row r="3098">
      <c r="A3098" s="40">
        <f t="array" ref="A3098">IFNA(index(PlayerValues!A:A,match(IFNA(vlookup(B3098,'Special Names'!A:B,2,FALSE),B3098),PlayerValues!E:E,0)),"N/A")</f>
        <v>15789</v>
      </c>
      <c r="B3098" s="4" t="s">
        <v>421</v>
      </c>
      <c r="C3098" s="4" t="s">
        <v>287</v>
      </c>
      <c r="D3098" s="94">
        <v>3898.0</v>
      </c>
    </row>
    <row r="3099">
      <c r="A3099" s="40" t="str">
        <f t="array" ref="A3099">IFNA(index(PlayerValues!A:A,match(IFNA(vlookup(B3099,'Special Names'!A:B,2,FALSE),B3099),PlayerValues!E:E,0)),"N/A")</f>
        <v>N/A</v>
      </c>
      <c r="B3099" s="4" t="s">
        <v>81</v>
      </c>
      <c r="C3099" s="4" t="s">
        <v>325</v>
      </c>
      <c r="D3099" s="94">
        <v>3888.0</v>
      </c>
    </row>
    <row r="3100">
      <c r="A3100" s="40" t="str">
        <f t="array" ref="A3100">IFNA(index(PlayerValues!A:A,match(IFNA(vlookup(B3100,'Special Names'!A:B,2,FALSE),B3100),PlayerValues!E:E,0)),"N/A")</f>
        <v>N/A</v>
      </c>
      <c r="B3100" s="4" t="s">
        <v>95</v>
      </c>
      <c r="C3100" s="4" t="s">
        <v>325</v>
      </c>
      <c r="D3100" s="94">
        <v>3887.0</v>
      </c>
    </row>
    <row r="3101">
      <c r="A3101" s="40">
        <f t="array" ref="A3101">IFNA(index(PlayerValues!A:A,match(IFNA(vlookup(B3101,'Special Names'!A:B,2,FALSE),B3101),PlayerValues!E:E,0)),"N/A")</f>
        <v>14073</v>
      </c>
      <c r="B3101" s="4" t="s">
        <v>464</v>
      </c>
      <c r="C3101" s="4" t="s">
        <v>278</v>
      </c>
      <c r="D3101" s="94">
        <v>3835.0</v>
      </c>
    </row>
    <row r="3102">
      <c r="A3102" s="40">
        <f t="array" ref="A3102">IFNA(index(PlayerValues!A:A,match(IFNA(vlookup(B3102,'Special Names'!A:B,2,FALSE),B3102),PlayerValues!E:E,0)),"N/A")</f>
        <v>15694</v>
      </c>
      <c r="B3102" s="4" t="s">
        <v>434</v>
      </c>
      <c r="C3102" s="4" t="s">
        <v>283</v>
      </c>
      <c r="D3102" s="94">
        <v>3820.0</v>
      </c>
    </row>
    <row r="3103">
      <c r="A3103" s="40">
        <f t="array" ref="A3103">IFNA(index(PlayerValues!A:A,match(IFNA(vlookup(B3103,'Special Names'!A:B,2,FALSE),B3103),PlayerValues!E:E,0)),"N/A")</f>
        <v>9431</v>
      </c>
      <c r="B3103" s="4" t="s">
        <v>428</v>
      </c>
      <c r="C3103" s="4" t="s">
        <v>283</v>
      </c>
      <c r="D3103" s="94">
        <v>3807.0</v>
      </c>
    </row>
    <row r="3104">
      <c r="A3104" s="40">
        <f t="array" ref="A3104">IFNA(index(PlayerValues!A:A,match(IFNA(vlookup(B3104,'Special Names'!A:B,2,FALSE),B3104),PlayerValues!E:E,0)),"N/A")</f>
        <v>17502</v>
      </c>
      <c r="B3104" s="4" t="s">
        <v>451</v>
      </c>
      <c r="C3104" s="4" t="s">
        <v>287</v>
      </c>
      <c r="D3104" s="94">
        <v>3711.0</v>
      </c>
    </row>
    <row r="3105">
      <c r="A3105" s="40">
        <f t="array" ref="A3105">IFNA(index(PlayerValues!A:A,match(IFNA(vlookup(B3105,'Special Names'!A:B,2,FALSE),B3105),PlayerValues!E:E,0)),"N/A")</f>
        <v>16192</v>
      </c>
      <c r="B3105" s="4" t="s">
        <v>412</v>
      </c>
      <c r="C3105" s="4" t="s">
        <v>287</v>
      </c>
      <c r="D3105" s="94">
        <v>3687.0</v>
      </c>
    </row>
    <row r="3106">
      <c r="A3106" s="40">
        <f t="array" ref="A3106">IFNA(index(PlayerValues!A:A,match(IFNA(vlookup(B3106,'Special Names'!A:B,2,FALSE),B3106),PlayerValues!E:E,0)),"N/A")</f>
        <v>16187</v>
      </c>
      <c r="B3106" s="4" t="s">
        <v>441</v>
      </c>
      <c r="C3106" s="4" t="s">
        <v>287</v>
      </c>
      <c r="D3106" s="94">
        <v>3671.0</v>
      </c>
    </row>
    <row r="3107">
      <c r="A3107" s="40">
        <f t="array" ref="A3107">IFNA(index(PlayerValues!A:A,match(IFNA(vlookup(B3107,'Special Names'!A:B,2,FALSE),B3107),PlayerValues!E:E,0)),"N/A")</f>
        <v>14797</v>
      </c>
      <c r="B3107" s="4" t="s">
        <v>420</v>
      </c>
      <c r="C3107" s="4" t="s">
        <v>278</v>
      </c>
      <c r="D3107" s="94">
        <v>3627.0</v>
      </c>
    </row>
    <row r="3108">
      <c r="A3108" s="40">
        <f t="array" ref="A3108">IFNA(index(PlayerValues!A:A,match(IFNA(vlookup(B3108,'Special Names'!A:B,2,FALSE),B3108),PlayerValues!E:E,0)),"N/A")</f>
        <v>17075</v>
      </c>
      <c r="B3108" s="4" t="s">
        <v>429</v>
      </c>
      <c r="C3108" s="4" t="s">
        <v>287</v>
      </c>
      <c r="D3108" s="94">
        <v>3622.0</v>
      </c>
    </row>
    <row r="3109">
      <c r="A3109" s="40">
        <f t="array" ref="A3109">IFNA(index(PlayerValues!A:A,match(IFNA(vlookup(B3109,'Special Names'!A:B,2,FALSE),B3109),PlayerValues!E:E,0)),"N/A")</f>
        <v>13635</v>
      </c>
      <c r="B3109" s="4" t="s">
        <v>424</v>
      </c>
      <c r="C3109" s="4" t="s">
        <v>287</v>
      </c>
      <c r="D3109" s="94">
        <v>3613.0</v>
      </c>
    </row>
    <row r="3110">
      <c r="A3110" s="40">
        <f t="array" ref="A3110">IFNA(index(PlayerValues!A:A,match(IFNA(vlookup(B3110,'Special Names'!A:B,2,FALSE),B3110),PlayerValues!E:E,0)),"N/A")</f>
        <v>16206</v>
      </c>
      <c r="B3110" s="4" t="s">
        <v>431</v>
      </c>
      <c r="C3110" s="4" t="s">
        <v>287</v>
      </c>
      <c r="D3110" s="94">
        <v>3604.0</v>
      </c>
    </row>
    <row r="3111">
      <c r="A3111" s="40">
        <f t="array" ref="A3111">IFNA(index(PlayerValues!A:A,match(IFNA(vlookup(B3111,'Special Names'!A:B,2,FALSE),B3111),PlayerValues!E:E,0)),"N/A")</f>
        <v>17099</v>
      </c>
      <c r="B3111" s="4" t="s">
        <v>474</v>
      </c>
      <c r="C3111" s="4" t="s">
        <v>298</v>
      </c>
      <c r="D3111" s="94">
        <v>4064.0</v>
      </c>
    </row>
    <row r="3112">
      <c r="A3112" s="40">
        <f t="array" ref="A3112">IFNA(index(PlayerValues!A:A,match(IFNA(vlookup(B3112,'Special Names'!A:B,2,FALSE),B3112),PlayerValues!E:E,0)),"N/A")</f>
        <v>17544</v>
      </c>
      <c r="B3112" s="4" t="s">
        <v>470</v>
      </c>
      <c r="C3112" s="4" t="s">
        <v>298</v>
      </c>
      <c r="D3112" s="94">
        <v>4054.0</v>
      </c>
    </row>
    <row r="3113">
      <c r="A3113" s="40">
        <f t="array" ref="A3113">IFNA(index(PlayerValues!A:A,match(IFNA(vlookup(B3113,'Special Names'!A:B,2,FALSE),B3113),PlayerValues!E:E,0)),"N/A")</f>
        <v>17066</v>
      </c>
      <c r="B3113" s="4" t="s">
        <v>446</v>
      </c>
      <c r="C3113" s="4" t="s">
        <v>278</v>
      </c>
      <c r="D3113" s="94">
        <v>3573.0</v>
      </c>
    </row>
    <row r="3114">
      <c r="A3114" s="40">
        <f t="array" ref="A3114">IFNA(index(PlayerValues!A:A,match(IFNA(vlookup(B3114,'Special Names'!A:B,2,FALSE),B3114),PlayerValues!E:E,0)),"N/A")</f>
        <v>16188</v>
      </c>
      <c r="B3114" s="4" t="s">
        <v>439</v>
      </c>
      <c r="C3114" s="4" t="s">
        <v>287</v>
      </c>
      <c r="D3114" s="94">
        <v>3570.0</v>
      </c>
    </row>
    <row r="3115">
      <c r="A3115" s="40">
        <f t="array" ref="A3115">IFNA(index(PlayerValues!A:A,match(IFNA(vlookup(B3115,'Special Names'!A:B,2,FALSE),B3115),PlayerValues!E:E,0)),"N/A")</f>
        <v>17463</v>
      </c>
      <c r="B3115" s="4" t="s">
        <v>433</v>
      </c>
      <c r="C3115" s="4" t="s">
        <v>283</v>
      </c>
      <c r="D3115" s="94">
        <v>3550.0</v>
      </c>
    </row>
    <row r="3116">
      <c r="A3116" s="40">
        <f t="array" ref="A3116">IFNA(index(PlayerValues!A:A,match(IFNA(vlookup(B3116,'Special Names'!A:B,2,FALSE),B3116),PlayerValues!E:E,0)),"N/A")</f>
        <v>15757</v>
      </c>
      <c r="B3116" s="4" t="s">
        <v>449</v>
      </c>
      <c r="C3116" s="4" t="s">
        <v>287</v>
      </c>
      <c r="D3116" s="94">
        <v>3491.0</v>
      </c>
    </row>
    <row r="3117">
      <c r="A3117" s="40">
        <f t="array" ref="A3117">IFNA(index(PlayerValues!A:A,match(IFNA(vlookup(B3117,'Special Names'!A:B,2,FALSE),B3117),PlayerValues!E:E,0)),"N/A")</f>
        <v>14109</v>
      </c>
      <c r="B3117" s="4" t="s">
        <v>437</v>
      </c>
      <c r="C3117" s="4" t="s">
        <v>287</v>
      </c>
      <c r="D3117" s="94">
        <v>3486.0</v>
      </c>
    </row>
    <row r="3118">
      <c r="A3118" s="40">
        <f t="array" ref="A3118">IFNA(index(PlayerValues!A:A,match(IFNA(vlookup(B3118,'Special Names'!A:B,2,FALSE),B3118),PlayerValues!E:E,0)),"N/A")</f>
        <v>17500</v>
      </c>
      <c r="B3118" s="4" t="s">
        <v>430</v>
      </c>
      <c r="C3118" s="4" t="s">
        <v>287</v>
      </c>
      <c r="D3118" s="94">
        <v>3461.0</v>
      </c>
    </row>
    <row r="3119">
      <c r="A3119" s="40" t="str">
        <f t="array" ref="A3119">IFNA(index(PlayerValues!A:A,match(IFNA(vlookup(B3119,'Special Names'!A:B,2,FALSE),B3119),PlayerValues!E:E,0)),"N/A")</f>
        <v>N/A</v>
      </c>
      <c r="B3119" s="4" t="s">
        <v>96</v>
      </c>
      <c r="C3119" s="4" t="s">
        <v>325</v>
      </c>
      <c r="D3119" s="94">
        <v>3459.0</v>
      </c>
    </row>
    <row r="3120">
      <c r="A3120" s="40">
        <f t="array" ref="A3120">IFNA(index(PlayerValues!A:A,match(IFNA(vlookup(B3120,'Special Names'!A:B,2,FALSE),B3120),PlayerValues!E:E,0)),"N/A")</f>
        <v>17083</v>
      </c>
      <c r="B3120" s="4" t="s">
        <v>479</v>
      </c>
      <c r="C3120" s="4" t="s">
        <v>287</v>
      </c>
      <c r="D3120" s="94">
        <v>3447.0</v>
      </c>
    </row>
    <row r="3121">
      <c r="A3121" s="40">
        <f t="array" ref="A3121">IFNA(index(PlayerValues!A:A,match(IFNA(vlookup(B3121,'Special Names'!A:B,2,FALSE),B3121),PlayerValues!E:E,0)),"N/A")</f>
        <v>14102</v>
      </c>
      <c r="B3121" s="4" t="s">
        <v>444</v>
      </c>
      <c r="C3121" s="4" t="s">
        <v>287</v>
      </c>
      <c r="D3121" s="94">
        <v>3439.0</v>
      </c>
    </row>
    <row r="3122">
      <c r="A3122" s="40">
        <f t="array" ref="A3122">IFNA(index(PlayerValues!A:A,match(IFNA(vlookup(B3122,'Special Names'!A:B,2,FALSE),B3122),PlayerValues!E:E,0)),"N/A")</f>
        <v>16184</v>
      </c>
      <c r="B3122" s="4" t="s">
        <v>445</v>
      </c>
      <c r="C3122" s="4" t="s">
        <v>287</v>
      </c>
      <c r="D3122" s="94">
        <v>3439.0</v>
      </c>
    </row>
    <row r="3123">
      <c r="A3123" s="40">
        <f t="array" ref="A3123">IFNA(index(PlayerValues!A:A,match(IFNA(vlookup(B3123,'Special Names'!A:B,2,FALSE),B3123),PlayerValues!E:E,0)),"N/A")</f>
        <v>17068</v>
      </c>
      <c r="B3123" s="4" t="s">
        <v>450</v>
      </c>
      <c r="C3123" s="4" t="s">
        <v>278</v>
      </c>
      <c r="D3123" s="94">
        <v>3385.0</v>
      </c>
    </row>
    <row r="3124">
      <c r="A3124" s="40">
        <f t="array" ref="A3124">IFNA(index(PlayerValues!A:A,match(IFNA(vlookup(B3124,'Special Names'!A:B,2,FALSE),B3124),PlayerValues!E:E,0)),"N/A")</f>
        <v>15798</v>
      </c>
      <c r="B3124" s="4" t="s">
        <v>443</v>
      </c>
      <c r="C3124" s="4" t="s">
        <v>298</v>
      </c>
      <c r="D3124" s="94">
        <v>3830.0</v>
      </c>
    </row>
    <row r="3125">
      <c r="A3125" s="40">
        <f t="array" ref="A3125">IFNA(index(PlayerValues!A:A,match(IFNA(vlookup(B3125,'Special Names'!A:B,2,FALSE),B3125),PlayerValues!E:E,0)),"N/A")</f>
        <v>14071</v>
      </c>
      <c r="B3125" s="4" t="s">
        <v>440</v>
      </c>
      <c r="C3125" s="4" t="s">
        <v>278</v>
      </c>
      <c r="D3125" s="94">
        <v>3378.0</v>
      </c>
    </row>
    <row r="3126">
      <c r="A3126" s="40">
        <f t="array" ref="A3126">IFNA(index(PlayerValues!A:A,match(IFNA(vlookup(B3126,'Special Names'!A:B,2,FALSE),B3126),PlayerValues!E:E,0)),"N/A")</f>
        <v>16622</v>
      </c>
      <c r="B3126" s="4" t="s">
        <v>517</v>
      </c>
      <c r="C3126" s="4" t="s">
        <v>287</v>
      </c>
      <c r="D3126" s="94">
        <v>3364.0</v>
      </c>
    </row>
    <row r="3127">
      <c r="A3127" s="40">
        <f t="array" ref="A3127">IFNA(index(PlayerValues!A:A,match(IFNA(vlookup(B3127,'Special Names'!A:B,2,FALSE),B3127),PlayerValues!E:E,0)),"N/A")</f>
        <v>16169</v>
      </c>
      <c r="B3127" s="4" t="s">
        <v>457</v>
      </c>
      <c r="C3127" s="4" t="s">
        <v>278</v>
      </c>
      <c r="D3127" s="94">
        <v>3362.0</v>
      </c>
    </row>
    <row r="3128">
      <c r="A3128" s="40">
        <f t="array" ref="A3128">IFNA(index(PlayerValues!A:A,match(IFNA(vlookup(B3128,'Special Names'!A:B,2,FALSE),B3128),PlayerValues!E:E,0)),"N/A")</f>
        <v>14842</v>
      </c>
      <c r="B3128" s="4" t="s">
        <v>456</v>
      </c>
      <c r="C3128" s="4" t="s">
        <v>287</v>
      </c>
      <c r="D3128" s="94">
        <v>3361.0</v>
      </c>
    </row>
    <row r="3129">
      <c r="A3129" s="40">
        <f t="array" ref="A3129">IFNA(index(PlayerValues!A:A,match(IFNA(vlookup(B3129,'Special Names'!A:B,2,FALSE),B3129),PlayerValues!E:E,0)),"N/A")</f>
        <v>16593</v>
      </c>
      <c r="B3129" s="4" t="s">
        <v>442</v>
      </c>
      <c r="C3129" s="4" t="s">
        <v>278</v>
      </c>
      <c r="D3129" s="94">
        <v>3355.0</v>
      </c>
    </row>
    <row r="3130">
      <c r="A3130" s="40">
        <f t="array" ref="A3130">IFNA(index(PlayerValues!A:A,match(IFNA(vlookup(B3130,'Special Names'!A:B,2,FALSE),B3130),PlayerValues!E:E,0)),"N/A")</f>
        <v>16620</v>
      </c>
      <c r="B3130" s="4" t="s">
        <v>467</v>
      </c>
      <c r="C3130" s="4" t="s">
        <v>287</v>
      </c>
      <c r="D3130" s="94">
        <v>3333.0</v>
      </c>
    </row>
    <row r="3131">
      <c r="A3131" s="40">
        <f t="array" ref="A3131">IFNA(index(PlayerValues!A:A,match(IFNA(vlookup(B3131,'Special Names'!A:B,2,FALSE),B3131),PlayerValues!E:E,0)),"N/A")</f>
        <v>11675</v>
      </c>
      <c r="B3131" s="4" t="s">
        <v>438</v>
      </c>
      <c r="C3131" s="4" t="s">
        <v>287</v>
      </c>
      <c r="D3131" s="94">
        <v>3329.0</v>
      </c>
    </row>
    <row r="3132">
      <c r="A3132" s="40">
        <f t="array" ref="A3132">IFNA(index(PlayerValues!A:A,match(IFNA(vlookup(B3132,'Special Names'!A:B,2,FALSE),B3132),PlayerValues!E:E,0)),"N/A")</f>
        <v>17074</v>
      </c>
      <c r="B3132" s="4" t="s">
        <v>475</v>
      </c>
      <c r="C3132" s="4" t="s">
        <v>287</v>
      </c>
      <c r="D3132" s="94">
        <v>3329.0</v>
      </c>
    </row>
    <row r="3133">
      <c r="A3133" s="40">
        <f t="array" ref="A3133">IFNA(index(PlayerValues!A:A,match(IFNA(vlookup(B3133,'Special Names'!A:B,2,FALSE),B3133),PlayerValues!E:E,0)),"N/A")</f>
        <v>15261</v>
      </c>
      <c r="B3133" s="4" t="s">
        <v>466</v>
      </c>
      <c r="C3133" s="4" t="s">
        <v>278</v>
      </c>
      <c r="D3133" s="94">
        <v>3325.0</v>
      </c>
    </row>
    <row r="3134">
      <c r="A3134" s="40">
        <f t="array" ref="A3134">IFNA(index(PlayerValues!A:A,match(IFNA(vlookup(B3134,'Special Names'!A:B,2,FALSE),B3134),PlayerValues!E:E,0)),"N/A")</f>
        <v>16597</v>
      </c>
      <c r="B3134" s="4" t="s">
        <v>427</v>
      </c>
      <c r="C3134" s="4" t="s">
        <v>278</v>
      </c>
      <c r="D3134" s="94">
        <v>3313.0</v>
      </c>
    </row>
    <row r="3135">
      <c r="A3135" s="40">
        <f t="array" ref="A3135">IFNA(index(PlayerValues!A:A,match(IFNA(vlookup(B3135,'Special Names'!A:B,2,FALSE),B3135),PlayerValues!E:E,0)),"N/A")</f>
        <v>11671</v>
      </c>
      <c r="B3135" s="4" t="s">
        <v>463</v>
      </c>
      <c r="C3135" s="4" t="s">
        <v>287</v>
      </c>
      <c r="D3135" s="94">
        <v>3312.0</v>
      </c>
    </row>
    <row r="3136">
      <c r="A3136" s="40" t="str">
        <f t="array" ref="A3136">IFNA(index(PlayerValues!A:A,match(IFNA(vlookup(B3136,'Special Names'!A:B,2,FALSE),B3136),PlayerValues!E:E,0)),"N/A")</f>
        <v>N/A</v>
      </c>
      <c r="B3136" s="4" t="s">
        <v>82</v>
      </c>
      <c r="C3136" s="4" t="s">
        <v>325</v>
      </c>
      <c r="D3136" s="94">
        <v>3312.0</v>
      </c>
    </row>
    <row r="3137">
      <c r="A3137" s="40">
        <f t="array" ref="A3137">IFNA(index(PlayerValues!A:A,match(IFNA(vlookup(B3137,'Special Names'!A:B,2,FALSE),B3137),PlayerValues!E:E,0)),"N/A")</f>
        <v>13299</v>
      </c>
      <c r="B3137" s="4" t="s">
        <v>448</v>
      </c>
      <c r="C3137" s="4" t="s">
        <v>298</v>
      </c>
      <c r="D3137" s="94">
        <v>3728.0</v>
      </c>
    </row>
    <row r="3138">
      <c r="A3138" s="40" t="str">
        <f t="array" ref="A3138">IFNA(index(PlayerValues!A:A,match(IFNA(vlookup(B3138,'Special Names'!A:B,2,FALSE),B3138),PlayerValues!E:E,0)),"N/A")</f>
        <v>N/A</v>
      </c>
      <c r="B3138" s="4" t="s">
        <v>108</v>
      </c>
      <c r="C3138" s="4" t="s">
        <v>325</v>
      </c>
      <c r="D3138" s="94">
        <v>3216.0</v>
      </c>
    </row>
    <row r="3139">
      <c r="A3139" s="40">
        <f t="array" ref="A3139">IFNA(index(PlayerValues!A:A,match(IFNA(vlookup(B3139,'Special Names'!A:B,2,FALSE),B3139),PlayerValues!E:E,0)),"N/A")</f>
        <v>15799</v>
      </c>
      <c r="B3139" s="4" t="s">
        <v>468</v>
      </c>
      <c r="C3139" s="4" t="s">
        <v>298</v>
      </c>
      <c r="D3139" s="94">
        <v>3644.0</v>
      </c>
    </row>
    <row r="3140">
      <c r="A3140" s="40">
        <f t="array" ref="A3140">IFNA(index(PlayerValues!A:A,match(IFNA(vlookup(B3140,'Special Names'!A:B,2,FALSE),B3140),PlayerValues!E:E,0)),"N/A")</f>
        <v>15742</v>
      </c>
      <c r="B3140" s="4" t="s">
        <v>447</v>
      </c>
      <c r="C3140" s="4" t="s">
        <v>278</v>
      </c>
      <c r="D3140" s="94">
        <v>3198.0</v>
      </c>
    </row>
    <row r="3141">
      <c r="A3141" s="40">
        <f t="array" ref="A3141">IFNA(index(PlayerValues!A:A,match(IFNA(vlookup(B3141,'Special Names'!A:B,2,FALSE),B3141),PlayerValues!E:E,0)),"N/A")</f>
        <v>17477</v>
      </c>
      <c r="B3141" s="4" t="s">
        <v>452</v>
      </c>
      <c r="C3141" s="4" t="s">
        <v>278</v>
      </c>
      <c r="D3141" s="94">
        <v>3180.0</v>
      </c>
    </row>
    <row r="3142">
      <c r="A3142" s="40" t="str">
        <f t="array" ref="A3142">IFNA(index(PlayerValues!A:A,match(IFNA(vlookup(B3142,'Special Names'!A:B,2,FALSE),B3142),PlayerValues!E:E,0)),"N/A")</f>
        <v>N/A</v>
      </c>
      <c r="B3142" s="4" t="s">
        <v>97</v>
      </c>
      <c r="C3142" s="4" t="s">
        <v>325</v>
      </c>
      <c r="D3142" s="94">
        <v>3173.0</v>
      </c>
    </row>
    <row r="3143">
      <c r="A3143" s="40">
        <f t="array" ref="A3143">IFNA(index(PlayerValues!A:A,match(IFNA(vlookup(B3143,'Special Names'!A:B,2,FALSE),B3143),PlayerValues!E:E,0)),"N/A")</f>
        <v>16809</v>
      </c>
      <c r="B3143" s="4" t="s">
        <v>455</v>
      </c>
      <c r="C3143" s="4" t="s">
        <v>287</v>
      </c>
      <c r="D3143" s="94">
        <v>3158.0</v>
      </c>
    </row>
    <row r="3144">
      <c r="A3144" s="40">
        <f t="array" ref="A3144">IFNA(index(PlayerValues!A:A,match(IFNA(vlookup(B3144,'Special Names'!A:B,2,FALSE),B3144),PlayerValues!E:E,0)),"N/A")</f>
        <v>14823</v>
      </c>
      <c r="B3144" s="4" t="s">
        <v>459</v>
      </c>
      <c r="C3144" s="4" t="s">
        <v>278</v>
      </c>
      <c r="D3144" s="94">
        <v>3151.0</v>
      </c>
    </row>
    <row r="3145">
      <c r="A3145" s="40">
        <f t="array" ref="A3145">IFNA(index(PlayerValues!A:A,match(IFNA(vlookup(B3145,'Special Names'!A:B,2,FALSE),B3145),PlayerValues!E:E,0)),"N/A")</f>
        <v>16213</v>
      </c>
      <c r="B3145" s="4" t="s">
        <v>458</v>
      </c>
      <c r="C3145" s="4" t="s">
        <v>298</v>
      </c>
      <c r="D3145" s="94">
        <v>3570.0</v>
      </c>
    </row>
    <row r="3146">
      <c r="A3146" s="40">
        <f t="array" ref="A3146">IFNA(index(PlayerValues!A:A,match(IFNA(vlookup(B3146,'Special Names'!A:B,2,FALSE),B3146),PlayerValues!E:E,0)),"N/A")</f>
        <v>13630</v>
      </c>
      <c r="B3146" s="4" t="s">
        <v>465</v>
      </c>
      <c r="C3146" s="4" t="s">
        <v>287</v>
      </c>
      <c r="D3146" s="94">
        <v>3108.0</v>
      </c>
    </row>
    <row r="3147">
      <c r="A3147" s="40">
        <f t="array" ref="A3147">IFNA(index(PlayerValues!A:A,match(IFNA(vlookup(B3147,'Special Names'!A:B,2,FALSE),B3147),PlayerValues!E:E,0)),"N/A")</f>
        <v>15779</v>
      </c>
      <c r="B3147" s="4" t="s">
        <v>461</v>
      </c>
      <c r="C3147" s="4" t="s">
        <v>287</v>
      </c>
      <c r="D3147" s="94">
        <v>3088.0</v>
      </c>
    </row>
    <row r="3148">
      <c r="A3148" s="40">
        <f t="array" ref="A3148">IFNA(index(PlayerValues!A:A,match(IFNA(vlookup(B3148,'Special Names'!A:B,2,FALSE),B3148),PlayerValues!E:E,0)),"N/A")</f>
        <v>16583</v>
      </c>
      <c r="B3148" s="4" t="s">
        <v>493</v>
      </c>
      <c r="C3148" s="4" t="s">
        <v>283</v>
      </c>
      <c r="D3148" s="94">
        <v>3075.0</v>
      </c>
    </row>
    <row r="3149">
      <c r="A3149" s="40">
        <f t="array" ref="A3149">IFNA(index(PlayerValues!A:A,match(IFNA(vlookup(B3149,'Special Names'!A:B,2,FALSE),B3149),PlayerValues!E:E,0)),"N/A")</f>
        <v>16628</v>
      </c>
      <c r="B3149" s="4" t="s">
        <v>490</v>
      </c>
      <c r="C3149" s="4" t="s">
        <v>287</v>
      </c>
      <c r="D3149" s="94">
        <v>3074.0</v>
      </c>
    </row>
    <row r="3150">
      <c r="A3150" s="40">
        <f t="array" ref="A3150">IFNA(index(PlayerValues!A:A,match(IFNA(vlookup(B3150,'Special Names'!A:B,2,FALSE),B3150),PlayerValues!E:E,0)),"N/A")</f>
        <v>17506</v>
      </c>
      <c r="B3150" s="4" t="s">
        <v>471</v>
      </c>
      <c r="C3150" s="4" t="s">
        <v>287</v>
      </c>
      <c r="D3150" s="94">
        <v>3059.0</v>
      </c>
    </row>
    <row r="3151">
      <c r="A3151" s="40">
        <f t="array" ref="A3151">IFNA(index(PlayerValues!A:A,match(IFNA(vlookup(B3151,'Special Names'!A:B,2,FALSE),B3151),PlayerValues!E:E,0)),"N/A")</f>
        <v>14127</v>
      </c>
      <c r="B3151" s="4" t="s">
        <v>486</v>
      </c>
      <c r="C3151" s="4" t="s">
        <v>287</v>
      </c>
      <c r="D3151" s="94">
        <v>3056.0</v>
      </c>
    </row>
    <row r="3152">
      <c r="A3152" s="40">
        <f t="array" ref="A3152">IFNA(index(PlayerValues!A:A,match(IFNA(vlookup(B3152,'Special Names'!A:B,2,FALSE),B3152),PlayerValues!E:E,0)),"N/A")</f>
        <v>17512</v>
      </c>
      <c r="B3152" s="4" t="s">
        <v>483</v>
      </c>
      <c r="C3152" s="4" t="s">
        <v>287</v>
      </c>
      <c r="D3152" s="94">
        <v>3038.0</v>
      </c>
    </row>
    <row r="3153">
      <c r="A3153" s="40" t="str">
        <f t="array" ref="A3153">IFNA(index(PlayerValues!A:A,match(IFNA(vlookup(B3153,'Special Names'!A:B,2,FALSE),B3153),PlayerValues!E:E,0)),"N/A")</f>
        <v>N/A</v>
      </c>
      <c r="B3153" s="4" t="s">
        <v>84</v>
      </c>
      <c r="C3153" s="4" t="s">
        <v>325</v>
      </c>
      <c r="D3153" s="94">
        <v>2989.0</v>
      </c>
    </row>
    <row r="3154">
      <c r="A3154" s="40" t="str">
        <f t="array" ref="A3154">IFNA(index(PlayerValues!A:A,match(IFNA(vlookup(B3154,'Special Names'!A:B,2,FALSE),B3154),PlayerValues!E:E,0)),"N/A")</f>
        <v>N/A</v>
      </c>
      <c r="B3154" s="4" t="s">
        <v>109</v>
      </c>
      <c r="C3154" s="4" t="s">
        <v>325</v>
      </c>
      <c r="D3154" s="94">
        <v>2986.0</v>
      </c>
    </row>
    <row r="3155">
      <c r="A3155" s="40">
        <f t="array" ref="A3155">IFNA(index(PlayerValues!A:A,match(IFNA(vlookup(B3155,'Special Names'!A:B,2,FALSE),B3155),PlayerValues!E:E,0)),"N/A")</f>
        <v>16269</v>
      </c>
      <c r="B3155" s="4" t="s">
        <v>481</v>
      </c>
      <c r="C3155" s="4" t="s">
        <v>298</v>
      </c>
      <c r="D3155" s="94">
        <v>3406.0</v>
      </c>
    </row>
    <row r="3156">
      <c r="A3156" s="40">
        <f t="array" ref="A3156">IFNA(index(PlayerValues!A:A,match(IFNA(vlookup(B3156,'Special Names'!A:B,2,FALSE),B3156),PlayerValues!E:E,0)),"N/A")</f>
        <v>14800</v>
      </c>
      <c r="B3156" s="4" t="s">
        <v>472</v>
      </c>
      <c r="C3156" s="4" t="s">
        <v>278</v>
      </c>
      <c r="D3156" s="94">
        <v>2965.0</v>
      </c>
    </row>
    <row r="3157">
      <c r="A3157" s="40">
        <f t="array" ref="A3157">IFNA(index(PlayerValues!A:A,match(IFNA(vlookup(B3157,'Special Names'!A:B,2,FALSE),B3157),PlayerValues!E:E,0)),"N/A")</f>
        <v>17503</v>
      </c>
      <c r="B3157" s="4" t="s">
        <v>480</v>
      </c>
      <c r="C3157" s="4" t="s">
        <v>287</v>
      </c>
      <c r="D3157" s="94">
        <v>2964.0</v>
      </c>
    </row>
    <row r="3158">
      <c r="A3158" s="40">
        <f t="array" ref="A3158">IFNA(index(PlayerValues!A:A,match(IFNA(vlookup(B3158,'Special Names'!A:B,2,FALSE),B3158),PlayerValues!E:E,0)),"N/A")</f>
        <v>17256</v>
      </c>
      <c r="B3158" s="4" t="s">
        <v>462</v>
      </c>
      <c r="C3158" s="4" t="s">
        <v>278</v>
      </c>
      <c r="D3158" s="94">
        <v>2952.0</v>
      </c>
    </row>
    <row r="3159">
      <c r="A3159" s="40">
        <f t="array" ref="A3159">IFNA(index(PlayerValues!A:A,match(IFNA(vlookup(B3159,'Special Names'!A:B,2,FALSE),B3159),PlayerValues!E:E,0)),"N/A")</f>
        <v>15259</v>
      </c>
      <c r="B3159" s="4" t="s">
        <v>453</v>
      </c>
      <c r="C3159" s="4" t="s">
        <v>278</v>
      </c>
      <c r="D3159" s="94">
        <v>2943.0</v>
      </c>
    </row>
    <row r="3160">
      <c r="A3160" s="40">
        <f t="array" ref="A3160">IFNA(index(PlayerValues!A:A,match(IFNA(vlookup(B3160,'Special Names'!A:B,2,FALSE),B3160),PlayerValues!E:E,0)),"N/A")</f>
        <v>15761</v>
      </c>
      <c r="B3160" s="4" t="s">
        <v>491</v>
      </c>
      <c r="C3160" s="4" t="s">
        <v>287</v>
      </c>
      <c r="D3160" s="94">
        <v>2921.0</v>
      </c>
    </row>
    <row r="3161">
      <c r="A3161" s="40">
        <f t="array" ref="A3161">IFNA(index(PlayerValues!A:A,match(IFNA(vlookup(B3161,'Special Names'!A:B,2,FALSE),B3161),PlayerValues!E:E,0)),"N/A")</f>
        <v>13163</v>
      </c>
      <c r="B3161" s="4" t="s">
        <v>473</v>
      </c>
      <c r="C3161" s="4" t="s">
        <v>287</v>
      </c>
      <c r="D3161" s="94">
        <v>2913.0</v>
      </c>
    </row>
    <row r="3162">
      <c r="A3162" s="40">
        <f t="array" ref="A3162">IFNA(index(PlayerValues!A:A,match(IFNA(vlookup(B3162,'Special Names'!A:B,2,FALSE),B3162),PlayerValues!E:E,0)),"N/A")</f>
        <v>15255</v>
      </c>
      <c r="B3162" s="4" t="s">
        <v>477</v>
      </c>
      <c r="C3162" s="4" t="s">
        <v>278</v>
      </c>
      <c r="D3162" s="94">
        <v>2912.0</v>
      </c>
    </row>
    <row r="3163">
      <c r="A3163" s="40">
        <f t="array" ref="A3163">IFNA(index(PlayerValues!A:A,match(IFNA(vlookup(B3163,'Special Names'!A:B,2,FALSE),B3163),PlayerValues!E:E,0)),"N/A")</f>
        <v>17476</v>
      </c>
      <c r="B3163" s="4" t="s">
        <v>494</v>
      </c>
      <c r="C3163" s="4" t="s">
        <v>278</v>
      </c>
      <c r="D3163" s="94">
        <v>2903.0</v>
      </c>
    </row>
    <row r="3164">
      <c r="A3164" s="40">
        <f t="array" ref="A3164">IFNA(index(PlayerValues!A:A,match(IFNA(vlookup(B3164,'Special Names'!A:B,2,FALSE),B3164),PlayerValues!E:E,0)),"N/A")</f>
        <v>14085</v>
      </c>
      <c r="B3164" s="4" t="s">
        <v>489</v>
      </c>
      <c r="C3164" s="4" t="s">
        <v>278</v>
      </c>
      <c r="D3164" s="94">
        <v>2828.0</v>
      </c>
    </row>
    <row r="3165">
      <c r="A3165" s="40">
        <f t="array" ref="A3165">IFNA(index(PlayerValues!A:A,match(IFNA(vlookup(B3165,'Special Names'!A:B,2,FALSE),B3165),PlayerValues!E:E,0)),"N/A")</f>
        <v>15889</v>
      </c>
      <c r="B3165" s="4" t="s">
        <v>503</v>
      </c>
      <c r="C3165" s="4" t="s">
        <v>298</v>
      </c>
      <c r="D3165" s="94">
        <v>3225.0</v>
      </c>
    </row>
    <row r="3166">
      <c r="A3166" s="40" t="str">
        <f t="array" ref="A3166">IFNA(index(PlayerValues!A:A,match(IFNA(vlookup(B3166,'Special Names'!A:B,2,FALSE),B3166),PlayerValues!E:E,0)),"N/A")</f>
        <v>N/A</v>
      </c>
      <c r="B3166" s="4" t="s">
        <v>85</v>
      </c>
      <c r="C3166" s="4" t="s">
        <v>325</v>
      </c>
      <c r="D3166" s="94">
        <v>2809.0</v>
      </c>
    </row>
    <row r="3167">
      <c r="A3167" s="40" t="str">
        <f t="array" ref="A3167">IFNA(index(PlayerValues!A:A,match(IFNA(vlookup(B3167,'Special Names'!A:B,2,FALSE),B3167),PlayerValues!E:E,0)),"N/A")</f>
        <v>N/A</v>
      </c>
      <c r="B3167" s="4" t="s">
        <v>110</v>
      </c>
      <c r="C3167" s="4" t="s">
        <v>325</v>
      </c>
      <c r="D3167" s="94">
        <v>2799.0</v>
      </c>
    </row>
    <row r="3168">
      <c r="A3168" s="40">
        <f t="array" ref="A3168">IFNA(index(PlayerValues!A:A,match(IFNA(vlookup(B3168,'Special Names'!A:B,2,FALSE),B3168),PlayerValues!E:E,0)),"N/A")</f>
        <v>17505</v>
      </c>
      <c r="B3168" s="4" t="s">
        <v>528</v>
      </c>
      <c r="C3168" s="4" t="s">
        <v>287</v>
      </c>
      <c r="D3168" s="94">
        <v>2786.0</v>
      </c>
    </row>
    <row r="3169">
      <c r="A3169" s="40">
        <f t="array" ref="A3169">IFNA(index(PlayerValues!A:A,match(IFNA(vlookup(B3169,'Special Names'!A:B,2,FALSE),B3169),PlayerValues!E:E,0)),"N/A")</f>
        <v>14778</v>
      </c>
      <c r="B3169" s="4" t="s">
        <v>564</v>
      </c>
      <c r="C3169" s="4" t="s">
        <v>283</v>
      </c>
      <c r="D3169" s="94">
        <v>2780.0</v>
      </c>
    </row>
    <row r="3170">
      <c r="A3170" s="40">
        <f t="array" ref="A3170">IFNA(index(PlayerValues!A:A,match(IFNA(vlookup(B3170,'Special Names'!A:B,2,FALSE),B3170),PlayerValues!E:E,0)),"N/A")</f>
        <v>13671</v>
      </c>
      <c r="B3170" s="4" t="s">
        <v>506</v>
      </c>
      <c r="C3170" s="4" t="s">
        <v>298</v>
      </c>
      <c r="D3170" s="94">
        <v>3189.0</v>
      </c>
    </row>
    <row r="3171">
      <c r="A3171" s="40">
        <f t="array" ref="A3171">IFNA(index(PlayerValues!A:A,match(IFNA(vlookup(B3171,'Special Names'!A:B,2,FALSE),B3171),PlayerValues!E:E,0)),"N/A")</f>
        <v>16080</v>
      </c>
      <c r="B3171" s="4" t="s">
        <v>499</v>
      </c>
      <c r="C3171" s="4" t="s">
        <v>287</v>
      </c>
      <c r="D3171" s="94">
        <v>2764.0</v>
      </c>
    </row>
    <row r="3172">
      <c r="A3172" s="40">
        <f t="array" ref="A3172">IFNA(index(PlayerValues!A:A,match(IFNA(vlookup(B3172,'Special Names'!A:B,2,FALSE),B3172),PlayerValues!E:E,0)),"N/A")</f>
        <v>17157</v>
      </c>
      <c r="B3172" s="4" t="s">
        <v>524</v>
      </c>
      <c r="C3172" s="4" t="s">
        <v>287</v>
      </c>
      <c r="D3172" s="94">
        <v>2763.0</v>
      </c>
    </row>
    <row r="3173">
      <c r="A3173" s="40">
        <f t="array" ref="A3173">IFNA(index(PlayerValues!A:A,match(IFNA(vlookup(B3173,'Special Names'!A:B,2,FALSE),B3173),PlayerValues!E:E,0)),"N/A")</f>
        <v>15721</v>
      </c>
      <c r="B3173" s="4" t="s">
        <v>504</v>
      </c>
      <c r="C3173" s="4" t="s">
        <v>278</v>
      </c>
      <c r="D3173" s="94">
        <v>2753.0</v>
      </c>
    </row>
    <row r="3174">
      <c r="A3174" s="40">
        <f t="array" ref="A3174">IFNA(index(PlayerValues!A:A,match(IFNA(vlookup(B3174,'Special Names'!A:B,2,FALSE),B3174),PlayerValues!E:E,0)),"N/A")</f>
        <v>16723</v>
      </c>
      <c r="B3174" s="4" t="s">
        <v>502</v>
      </c>
      <c r="C3174" s="4" t="s">
        <v>298</v>
      </c>
      <c r="D3174" s="94">
        <v>3165.0</v>
      </c>
    </row>
    <row r="3175">
      <c r="A3175" s="40">
        <f t="array" ref="A3175">IFNA(index(PlayerValues!A:A,match(IFNA(vlookup(B3175,'Special Names'!A:B,2,FALSE),B3175),PlayerValues!E:E,0)),"N/A")</f>
        <v>17047</v>
      </c>
      <c r="B3175" s="4" t="s">
        <v>510</v>
      </c>
      <c r="C3175" s="4" t="s">
        <v>278</v>
      </c>
      <c r="D3175" s="94">
        <v>2750.0</v>
      </c>
    </row>
    <row r="3176">
      <c r="A3176" s="40">
        <f t="array" ref="A3176">IFNA(index(PlayerValues!A:A,match(IFNA(vlookup(B3176,'Special Names'!A:B,2,FALSE),B3176),PlayerValues!E:E,0)),"N/A")</f>
        <v>15712</v>
      </c>
      <c r="B3176" s="4" t="s">
        <v>488</v>
      </c>
      <c r="C3176" s="4" t="s">
        <v>278</v>
      </c>
      <c r="D3176" s="94">
        <v>2744.0</v>
      </c>
    </row>
    <row r="3177">
      <c r="A3177" s="40">
        <f t="array" ref="A3177">IFNA(index(PlayerValues!A:A,match(IFNA(vlookup(B3177,'Special Names'!A:B,2,FALSE),B3177),PlayerValues!E:E,0)),"N/A")</f>
        <v>17072</v>
      </c>
      <c r="B3177" s="4" t="s">
        <v>508</v>
      </c>
      <c r="C3177" s="4" t="s">
        <v>287</v>
      </c>
      <c r="D3177" s="94">
        <v>2739.0</v>
      </c>
    </row>
    <row r="3178">
      <c r="A3178" s="40">
        <f t="array" ref="A3178">IFNA(index(PlayerValues!A:A,match(IFNA(vlookup(B3178,'Special Names'!A:B,2,FALSE),B3178),PlayerValues!E:E,0)),"N/A")</f>
        <v>16584</v>
      </c>
      <c r="B3178" s="4" t="s">
        <v>569</v>
      </c>
      <c r="C3178" s="4" t="s">
        <v>283</v>
      </c>
      <c r="D3178" s="94">
        <v>2733.0</v>
      </c>
    </row>
    <row r="3179">
      <c r="A3179" s="40">
        <f t="array" ref="A3179">IFNA(index(PlayerValues!A:A,match(IFNA(vlookup(B3179,'Special Names'!A:B,2,FALSE),B3179),PlayerValues!E:E,0)),"N/A")</f>
        <v>17053</v>
      </c>
      <c r="B3179" s="4" t="s">
        <v>484</v>
      </c>
      <c r="C3179" s="4" t="s">
        <v>278</v>
      </c>
      <c r="D3179" s="94">
        <v>2726.0</v>
      </c>
    </row>
    <row r="3180">
      <c r="A3180" s="40">
        <f t="array" ref="A3180">IFNA(index(PlayerValues!A:A,match(IFNA(vlookup(B3180,'Special Names'!A:B,2,FALSE),B3180),PlayerValues!E:E,0)),"N/A")</f>
        <v>17514</v>
      </c>
      <c r="B3180" s="4" t="s">
        <v>422</v>
      </c>
      <c r="C3180" s="4" t="s">
        <v>287</v>
      </c>
      <c r="D3180" s="94">
        <v>2725.0</v>
      </c>
    </row>
    <row r="3181">
      <c r="A3181" s="40">
        <f t="array" ref="A3181">IFNA(index(PlayerValues!A:A,match(IFNA(vlookup(B3181,'Special Names'!A:B,2,FALSE),B3181),PlayerValues!E:E,0)),"N/A")</f>
        <v>14138</v>
      </c>
      <c r="B3181" s="4" t="s">
        <v>531</v>
      </c>
      <c r="C3181" s="4" t="s">
        <v>298</v>
      </c>
      <c r="D3181" s="94">
        <v>3137.0</v>
      </c>
    </row>
    <row r="3182">
      <c r="A3182" s="40">
        <f t="array" ref="A3182">IFNA(index(PlayerValues!A:A,match(IFNA(vlookup(B3182,'Special Names'!A:B,2,FALSE),B3182),PlayerValues!E:E,0)),"N/A")</f>
        <v>17080</v>
      </c>
      <c r="B3182" s="4" t="s">
        <v>532</v>
      </c>
      <c r="C3182" s="4" t="s">
        <v>287</v>
      </c>
      <c r="D3182" s="94">
        <v>2720.0</v>
      </c>
    </row>
    <row r="3183">
      <c r="A3183" s="40">
        <f t="array" ref="A3183">IFNA(index(PlayerValues!A:A,match(IFNA(vlookup(B3183,'Special Names'!A:B,2,FALSE),B3183),PlayerValues!E:E,0)),"N/A")</f>
        <v>17511</v>
      </c>
      <c r="B3183" s="4" t="s">
        <v>485</v>
      </c>
      <c r="C3183" s="4" t="s">
        <v>287</v>
      </c>
      <c r="D3183" s="94">
        <v>2718.0</v>
      </c>
    </row>
    <row r="3184">
      <c r="A3184" s="40">
        <f t="array" ref="A3184">IFNA(index(PlayerValues!A:A,match(IFNA(vlookup(B3184,'Special Names'!A:B,2,FALSE),B3184),PlayerValues!E:E,0)),"N/A")</f>
        <v>17031</v>
      </c>
      <c r="B3184" s="4" t="s">
        <v>535</v>
      </c>
      <c r="C3184" s="4" t="s">
        <v>283</v>
      </c>
      <c r="D3184" s="94">
        <v>2714.0</v>
      </c>
    </row>
    <row r="3185">
      <c r="A3185" s="40">
        <f t="array" ref="A3185">IFNA(index(PlayerValues!A:A,match(IFNA(vlookup(B3185,'Special Names'!A:B,2,FALSE),B3185),PlayerValues!E:E,0)),"N/A")</f>
        <v>17507</v>
      </c>
      <c r="B3185" s="4" t="s">
        <v>495</v>
      </c>
      <c r="C3185" s="4" t="s">
        <v>287</v>
      </c>
      <c r="D3185" s="94">
        <v>2703.0</v>
      </c>
    </row>
    <row r="3186">
      <c r="A3186" s="40">
        <f t="array" ref="A3186">IFNA(index(PlayerValues!A:A,match(IFNA(vlookup(B3186,'Special Names'!A:B,2,FALSE),B3186),PlayerValues!E:E,0)),"N/A")</f>
        <v>15241</v>
      </c>
      <c r="B3186" s="4" t="s">
        <v>546</v>
      </c>
      <c r="C3186" s="4" t="s">
        <v>283</v>
      </c>
      <c r="D3186" s="94">
        <v>2672.0</v>
      </c>
    </row>
    <row r="3187">
      <c r="A3187" s="40">
        <f t="array" ref="A3187">IFNA(index(PlayerValues!A:A,match(IFNA(vlookup(B3187,'Special Names'!A:B,2,FALSE),B3187),PlayerValues!E:E,0)),"N/A")</f>
        <v>16596</v>
      </c>
      <c r="B3187" s="4" t="s">
        <v>501</v>
      </c>
      <c r="C3187" s="4" t="s">
        <v>278</v>
      </c>
      <c r="D3187" s="94">
        <v>2670.0</v>
      </c>
    </row>
    <row r="3188">
      <c r="A3188" s="40">
        <f t="array" ref="A3188">IFNA(index(PlayerValues!A:A,match(IFNA(vlookup(B3188,'Special Names'!A:B,2,FALSE),B3188),PlayerValues!E:E,0)),"N/A")</f>
        <v>17107</v>
      </c>
      <c r="B3188" s="4" t="s">
        <v>478</v>
      </c>
      <c r="C3188" s="4" t="s">
        <v>298</v>
      </c>
      <c r="D3188" s="94">
        <v>3081.0</v>
      </c>
    </row>
    <row r="3189">
      <c r="A3189" s="40">
        <f t="array" ref="A3189">IFNA(index(PlayerValues!A:A,match(IFNA(vlookup(B3189,'Special Names'!A:B,2,FALSE),B3189),PlayerValues!E:E,0)),"N/A")</f>
        <v>15972</v>
      </c>
      <c r="B3189" s="4" t="s">
        <v>469</v>
      </c>
      <c r="C3189" s="4" t="s">
        <v>278</v>
      </c>
      <c r="D3189" s="94">
        <v>2665.0</v>
      </c>
    </row>
    <row r="3190">
      <c r="A3190" s="40">
        <f t="array" ref="A3190">IFNA(index(PlayerValues!A:A,match(IFNA(vlookup(B3190,'Special Names'!A:B,2,FALSE),B3190),PlayerValues!E:E,0)),"N/A")</f>
        <v>12616</v>
      </c>
      <c r="B3190" s="4" t="s">
        <v>529</v>
      </c>
      <c r="C3190" s="4" t="s">
        <v>283</v>
      </c>
      <c r="D3190" s="94">
        <v>2652.0</v>
      </c>
    </row>
    <row r="3191">
      <c r="A3191" s="40">
        <f t="array" ref="A3191">IFNA(index(PlayerValues!A:A,match(IFNA(vlookup(B3191,'Special Names'!A:B,2,FALSE),B3191),PlayerValues!E:E,0)),"N/A")</f>
        <v>16747</v>
      </c>
      <c r="B3191" s="4" t="s">
        <v>555</v>
      </c>
      <c r="C3191" s="4" t="s">
        <v>278</v>
      </c>
      <c r="D3191" s="94">
        <v>2651.0</v>
      </c>
    </row>
    <row r="3192">
      <c r="A3192" s="40">
        <f t="array" ref="A3192">IFNA(index(PlayerValues!A:A,match(IFNA(vlookup(B3192,'Special Names'!A:B,2,FALSE),B3192),PlayerValues!E:E,0)),"N/A")</f>
        <v>17105</v>
      </c>
      <c r="B3192" s="4" t="s">
        <v>525</v>
      </c>
      <c r="C3192" s="4" t="s">
        <v>298</v>
      </c>
      <c r="D3192" s="94">
        <v>3059.0</v>
      </c>
    </row>
    <row r="3193">
      <c r="A3193" s="40" t="str">
        <f t="array" ref="A3193">IFNA(index(PlayerValues!A:A,match(IFNA(vlookup(B3193,'Special Names'!A:B,2,FALSE),B3193),PlayerValues!E:E,0)),"N/A")</f>
        <v>N/A</v>
      </c>
      <c r="B3193" s="4" t="s">
        <v>98</v>
      </c>
      <c r="C3193" s="4" t="s">
        <v>325</v>
      </c>
      <c r="D3193" s="94">
        <v>2640.0</v>
      </c>
    </row>
    <row r="3194">
      <c r="A3194" s="40">
        <f t="array" ref="A3194">IFNA(index(PlayerValues!A:A,match(IFNA(vlookup(B3194,'Special Names'!A:B,2,FALSE),B3194),PlayerValues!E:E,0)),"N/A")</f>
        <v>16174</v>
      </c>
      <c r="B3194" s="4" t="s">
        <v>505</v>
      </c>
      <c r="C3194" s="4" t="s">
        <v>278</v>
      </c>
      <c r="D3194" s="94">
        <v>2638.0</v>
      </c>
    </row>
    <row r="3195">
      <c r="A3195" s="40">
        <f t="array" ref="A3195">IFNA(index(PlayerValues!A:A,match(IFNA(vlookup(B3195,'Special Names'!A:B,2,FALSE),B3195),PlayerValues!E:E,0)),"N/A")</f>
        <v>17098</v>
      </c>
      <c r="B3195" s="4" t="s">
        <v>533</v>
      </c>
      <c r="C3195" s="4" t="s">
        <v>287</v>
      </c>
      <c r="D3195" s="94">
        <v>2637.0</v>
      </c>
    </row>
    <row r="3196">
      <c r="A3196" s="40">
        <f t="array" ref="A3196">IFNA(index(PlayerValues!A:A,match(IFNA(vlookup(B3196,'Special Names'!A:B,2,FALSE),B3196),PlayerValues!E:E,0)),"N/A")</f>
        <v>14833</v>
      </c>
      <c r="B3196" s="4" t="s">
        <v>553</v>
      </c>
      <c r="C3196" s="4" t="s">
        <v>287</v>
      </c>
      <c r="D3196" s="94">
        <v>2608.0</v>
      </c>
    </row>
    <row r="3197">
      <c r="A3197" s="40">
        <f t="array" ref="A3197">IFNA(index(PlayerValues!A:A,match(IFNA(vlookup(B3197,'Special Names'!A:B,2,FALSE),B3197),PlayerValues!E:E,0)),"N/A")</f>
        <v>14860</v>
      </c>
      <c r="B3197" s="4" t="s">
        <v>554</v>
      </c>
      <c r="C3197" s="4" t="s">
        <v>287</v>
      </c>
      <c r="D3197" s="94">
        <v>2606.0</v>
      </c>
    </row>
    <row r="3198">
      <c r="A3198" s="40">
        <f t="array" ref="A3198">IFNA(index(PlayerValues!A:A,match(IFNA(vlookup(B3198,'Special Names'!A:B,2,FALSE),B3198),PlayerValues!E:E,0)),"N/A")</f>
        <v>16165</v>
      </c>
      <c r="B3198" s="4" t="s">
        <v>520</v>
      </c>
      <c r="C3198" s="4" t="s">
        <v>278</v>
      </c>
      <c r="D3198" s="94">
        <v>2597.0</v>
      </c>
    </row>
    <row r="3199">
      <c r="A3199" s="40">
        <f t="array" ref="A3199">IFNA(index(PlayerValues!A:A,match(IFNA(vlookup(B3199,'Special Names'!A:B,2,FALSE),B3199),PlayerValues!E:E,0)),"N/A")</f>
        <v>16619</v>
      </c>
      <c r="B3199" s="4" t="s">
        <v>538</v>
      </c>
      <c r="C3199" s="4" t="s">
        <v>287</v>
      </c>
      <c r="D3199" s="94">
        <v>2594.0</v>
      </c>
    </row>
    <row r="3200">
      <c r="A3200" s="40">
        <f t="array" ref="A3200">IFNA(index(PlayerValues!A:A,match(IFNA(vlookup(B3200,'Special Names'!A:B,2,FALSE),B3200),PlayerValues!E:E,0)),"N/A")</f>
        <v>13674</v>
      </c>
      <c r="B3200" s="4" t="s">
        <v>511</v>
      </c>
      <c r="C3200" s="4" t="s">
        <v>298</v>
      </c>
      <c r="D3200" s="94">
        <v>2998.0</v>
      </c>
    </row>
    <row r="3201">
      <c r="A3201" s="40">
        <f t="array" ref="A3201">IFNA(index(PlayerValues!A:A,match(IFNA(vlookup(B3201,'Special Names'!A:B,2,FALSE),B3201),PlayerValues!E:E,0)),"N/A")</f>
        <v>17478</v>
      </c>
      <c r="B3201" s="4" t="s">
        <v>527</v>
      </c>
      <c r="C3201" s="4" t="s">
        <v>278</v>
      </c>
      <c r="D3201" s="94">
        <v>2585.0</v>
      </c>
    </row>
    <row r="3202">
      <c r="A3202" s="40">
        <f t="array" ref="A3202">IFNA(index(PlayerValues!A:A,match(IFNA(vlookup(B3202,'Special Names'!A:B,2,FALSE),B3202),PlayerValues!E:E,0)),"N/A")</f>
        <v>17474</v>
      </c>
      <c r="B3202" s="4" t="s">
        <v>513</v>
      </c>
      <c r="C3202" s="4" t="s">
        <v>278</v>
      </c>
      <c r="D3202" s="94">
        <v>2568.0</v>
      </c>
    </row>
    <row r="3203">
      <c r="A3203" s="40">
        <f t="array" ref="A3203">IFNA(index(PlayerValues!A:A,match(IFNA(vlookup(B3203,'Special Names'!A:B,2,FALSE),B3203),PlayerValues!E:E,0)),"N/A")</f>
        <v>16684</v>
      </c>
      <c r="B3203" s="4" t="s">
        <v>500</v>
      </c>
      <c r="C3203" s="4" t="s">
        <v>287</v>
      </c>
      <c r="D3203" s="94">
        <v>2543.0</v>
      </c>
    </row>
    <row r="3204">
      <c r="A3204" s="40">
        <f t="array" ref="A3204">IFNA(index(PlayerValues!A:A,match(IFNA(vlookup(B3204,'Special Names'!A:B,2,FALSE),B3204),PlayerValues!E:E,0)),"N/A")</f>
        <v>16626</v>
      </c>
      <c r="B3204" s="4" t="s">
        <v>515</v>
      </c>
      <c r="C3204" s="4" t="s">
        <v>287</v>
      </c>
      <c r="D3204" s="94">
        <v>2542.0</v>
      </c>
    </row>
    <row r="3205">
      <c r="A3205" s="40">
        <f t="array" ref="A3205">IFNA(index(PlayerValues!A:A,match(IFNA(vlookup(B3205,'Special Names'!A:B,2,FALSE),B3205),PlayerValues!E:E,0)),"N/A")</f>
        <v>16193</v>
      </c>
      <c r="B3205" s="4" t="s">
        <v>487</v>
      </c>
      <c r="C3205" s="4" t="s">
        <v>287</v>
      </c>
      <c r="D3205" s="94">
        <v>2539.0</v>
      </c>
    </row>
    <row r="3206">
      <c r="A3206" s="40">
        <f t="array" ref="A3206">IFNA(index(PlayerValues!A:A,match(IFNA(vlookup(B3206,'Special Names'!A:B,2,FALSE),B3206),PlayerValues!E:E,0)),"N/A")</f>
        <v>16204</v>
      </c>
      <c r="B3206" s="4" t="s">
        <v>530</v>
      </c>
      <c r="C3206" s="4" t="s">
        <v>287</v>
      </c>
      <c r="D3206" s="94">
        <v>2533.0</v>
      </c>
    </row>
    <row r="3207">
      <c r="A3207" s="40">
        <f t="array" ref="A3207">IFNA(index(PlayerValues!A:A,match(IFNA(vlookup(B3207,'Special Names'!A:B,2,FALSE),B3207),PlayerValues!E:E,0)),"N/A")</f>
        <v>17520</v>
      </c>
      <c r="B3207" s="4" t="s">
        <v>518</v>
      </c>
      <c r="C3207" s="4" t="s">
        <v>287</v>
      </c>
      <c r="D3207" s="94">
        <v>2526.0</v>
      </c>
    </row>
    <row r="3208">
      <c r="A3208" s="40" t="str">
        <f t="array" ref="A3208">IFNA(index(PlayerValues!A:A,match(IFNA(vlookup(B3208,'Special Names'!A:B,2,FALSE),B3208),PlayerValues!E:E,0)),"N/A")</f>
        <v>N/A</v>
      </c>
      <c r="B3208" s="4" t="s">
        <v>99</v>
      </c>
      <c r="C3208" s="4" t="s">
        <v>325</v>
      </c>
      <c r="D3208" s="94">
        <v>2518.0</v>
      </c>
    </row>
    <row r="3209">
      <c r="A3209" s="40">
        <f t="array" ref="A3209">IFNA(index(PlayerValues!A:A,match(IFNA(vlookup(B3209,'Special Names'!A:B,2,FALSE),B3209),PlayerValues!E:E,0)),"N/A")</f>
        <v>11244</v>
      </c>
      <c r="B3209" s="4" t="s">
        <v>519</v>
      </c>
      <c r="C3209" s="4" t="s">
        <v>298</v>
      </c>
      <c r="D3209" s="94">
        <v>2907.0</v>
      </c>
    </row>
    <row r="3210">
      <c r="A3210" s="40">
        <f t="array" ref="A3210">IFNA(index(PlayerValues!A:A,match(IFNA(vlookup(B3210,'Special Names'!A:B,2,FALSE),B3210),PlayerValues!E:E,0)),"N/A")</f>
        <v>16178</v>
      </c>
      <c r="B3210" s="4" t="s">
        <v>507</v>
      </c>
      <c r="C3210" s="4" t="s">
        <v>278</v>
      </c>
      <c r="D3210" s="94">
        <v>2502.0</v>
      </c>
    </row>
    <row r="3211">
      <c r="A3211" s="40">
        <f t="array" ref="A3211">IFNA(index(PlayerValues!A:A,match(IFNA(vlookup(B3211,'Special Names'!A:B,2,FALSE),B3211),PlayerValues!E:E,0)),"N/A")</f>
        <v>17078</v>
      </c>
      <c r="B3211" s="4" t="s">
        <v>543</v>
      </c>
      <c r="C3211" s="4" t="s">
        <v>287</v>
      </c>
      <c r="D3211" s="94">
        <v>2489.0</v>
      </c>
    </row>
    <row r="3212">
      <c r="A3212" s="40">
        <f t="array" ref="A3212">IFNA(index(PlayerValues!A:A,match(IFNA(vlookup(B3212,'Special Names'!A:B,2,FALSE),B3212),PlayerValues!E:E,0)),"N/A")</f>
        <v>16287</v>
      </c>
      <c r="B3212" s="4" t="s">
        <v>516</v>
      </c>
      <c r="C3212" s="4" t="s">
        <v>287</v>
      </c>
      <c r="D3212" s="94">
        <v>2484.0</v>
      </c>
    </row>
    <row r="3213">
      <c r="A3213" s="40">
        <f t="array" ref="A3213">IFNA(index(PlayerValues!A:A,match(IFNA(vlookup(B3213,'Special Names'!A:B,2,FALSE),B3213),PlayerValues!E:E,0)),"N/A")</f>
        <v>17073</v>
      </c>
      <c r="B3213" s="4" t="s">
        <v>547</v>
      </c>
      <c r="C3213" s="4" t="s">
        <v>287</v>
      </c>
      <c r="D3213" s="94">
        <v>2483.0</v>
      </c>
    </row>
    <row r="3214">
      <c r="A3214" s="40">
        <f t="array" ref="A3214">IFNA(index(PlayerValues!A:A,match(IFNA(vlookup(B3214,'Special Names'!A:B,2,FALSE),B3214),PlayerValues!E:E,0)),"N/A")</f>
        <v>17509</v>
      </c>
      <c r="B3214" s="4" t="s">
        <v>551</v>
      </c>
      <c r="C3214" s="4" t="s">
        <v>287</v>
      </c>
      <c r="D3214" s="94">
        <v>2483.0</v>
      </c>
    </row>
    <row r="3215">
      <c r="A3215" s="40">
        <f t="array" ref="A3215">IFNA(index(PlayerValues!A:A,match(IFNA(vlookup(B3215,'Special Names'!A:B,2,FALSE),B3215),PlayerValues!E:E,0)),"N/A")</f>
        <v>16164</v>
      </c>
      <c r="B3215" s="4" t="s">
        <v>512</v>
      </c>
      <c r="C3215" s="4" t="s">
        <v>278</v>
      </c>
      <c r="D3215" s="94">
        <v>2475.0</v>
      </c>
    </row>
    <row r="3216">
      <c r="A3216" s="40">
        <f t="array" ref="A3216">IFNA(index(PlayerValues!A:A,match(IFNA(vlookup(B3216,'Special Names'!A:B,2,FALSE),B3216),PlayerValues!E:E,0)),"N/A")</f>
        <v>17082</v>
      </c>
      <c r="B3216" s="4" t="s">
        <v>498</v>
      </c>
      <c r="C3216" s="4" t="s">
        <v>287</v>
      </c>
      <c r="D3216" s="94">
        <v>2462.0</v>
      </c>
    </row>
    <row r="3217">
      <c r="A3217" s="40">
        <f t="array" ref="A3217">IFNA(index(PlayerValues!A:A,match(IFNA(vlookup(B3217,'Special Names'!A:B,2,FALSE),B3217),PlayerValues!E:E,0)),"N/A")</f>
        <v>17508</v>
      </c>
      <c r="B3217" s="4" t="s">
        <v>534</v>
      </c>
      <c r="C3217" s="4" t="s">
        <v>287</v>
      </c>
      <c r="D3217" s="94">
        <v>2445.0</v>
      </c>
    </row>
    <row r="3218">
      <c r="A3218" s="40">
        <f t="array" ref="A3218">IFNA(index(PlayerValues!A:A,match(IFNA(vlookup(B3218,'Special Names'!A:B,2,FALSE),B3218),PlayerValues!E:E,0)),"N/A")</f>
        <v>15786</v>
      </c>
      <c r="B3218" s="4" t="s">
        <v>521</v>
      </c>
      <c r="C3218" s="4" t="s">
        <v>287</v>
      </c>
      <c r="D3218" s="94">
        <v>2429.0</v>
      </c>
    </row>
    <row r="3219">
      <c r="A3219" s="40">
        <f t="array" ref="A3219">IFNA(index(PlayerValues!A:A,match(IFNA(vlookup(B3219,'Special Names'!A:B,2,FALSE),B3219),PlayerValues!E:E,0)),"N/A")</f>
        <v>16617</v>
      </c>
      <c r="B3219" s="4" t="s">
        <v>541</v>
      </c>
      <c r="C3219" s="4" t="s">
        <v>287</v>
      </c>
      <c r="D3219" s="94">
        <v>2423.0</v>
      </c>
    </row>
    <row r="3220">
      <c r="A3220" s="40">
        <f t="array" ref="A3220">IFNA(index(PlayerValues!A:A,match(IFNA(vlookup(B3220,'Special Names'!A:B,2,FALSE),B3220),PlayerValues!E:E,0)),"N/A")</f>
        <v>17108</v>
      </c>
      <c r="B3220" s="4" t="s">
        <v>542</v>
      </c>
      <c r="C3220" s="4" t="s">
        <v>298</v>
      </c>
      <c r="D3220" s="94">
        <v>2822.0</v>
      </c>
    </row>
    <row r="3221">
      <c r="A3221" s="40">
        <f t="array" ref="A3221">IFNA(index(PlayerValues!A:A,match(IFNA(vlookup(B3221,'Special Names'!A:B,2,FALSE),B3221),PlayerValues!E:E,0)),"N/A")</f>
        <v>13192</v>
      </c>
      <c r="B3221" s="4" t="s">
        <v>563</v>
      </c>
      <c r="C3221" s="4" t="s">
        <v>298</v>
      </c>
      <c r="D3221" s="94">
        <v>2820.0</v>
      </c>
    </row>
    <row r="3222">
      <c r="A3222" s="40">
        <f t="array" ref="A3222">IFNA(index(PlayerValues!A:A,match(IFNA(vlookup(B3222,'Special Names'!A:B,2,FALSE),B3222),PlayerValues!E:E,0)),"N/A")</f>
        <v>17171</v>
      </c>
      <c r="B3222" s="4" t="s">
        <v>561</v>
      </c>
      <c r="C3222" s="4" t="s">
        <v>287</v>
      </c>
      <c r="D3222" s="94">
        <v>2410.0</v>
      </c>
    </row>
    <row r="3223">
      <c r="A3223" s="40">
        <f t="array" ref="A3223">IFNA(index(PlayerValues!A:A,match(IFNA(vlookup(B3223,'Special Names'!A:B,2,FALSE),B3223),PlayerValues!E:E,0)),"N/A")</f>
        <v>16195</v>
      </c>
      <c r="B3223" s="4" t="s">
        <v>509</v>
      </c>
      <c r="C3223" s="4" t="s">
        <v>287</v>
      </c>
      <c r="D3223" s="94">
        <v>2401.0</v>
      </c>
    </row>
    <row r="3224">
      <c r="A3224" s="40" t="str">
        <f t="array" ref="A3224">IFNA(index(PlayerValues!A:A,match(IFNA(vlookup(B3224,'Special Names'!A:B,2,FALSE),B3224),PlayerValues!E:E,0)),"N/A")</f>
        <v>N/A</v>
      </c>
      <c r="B3224" s="4" t="s">
        <v>557</v>
      </c>
      <c r="C3224" s="4" t="s">
        <v>278</v>
      </c>
      <c r="D3224" s="94">
        <v>2384.0</v>
      </c>
    </row>
    <row r="3225">
      <c r="A3225" s="40">
        <f t="array" ref="A3225">IFNA(index(PlayerValues!A:A,match(IFNA(vlookup(B3225,'Special Names'!A:B,2,FALSE),B3225),PlayerValues!E:E,0)),"N/A")</f>
        <v>17106</v>
      </c>
      <c r="B3225" s="4" t="s">
        <v>550</v>
      </c>
      <c r="C3225" s="4" t="s">
        <v>298</v>
      </c>
      <c r="D3225" s="94">
        <v>2779.0</v>
      </c>
    </row>
    <row r="3226">
      <c r="A3226" s="40">
        <f t="array" ref="A3226">IFNA(index(PlayerValues!A:A,match(IFNA(vlookup(B3226,'Special Names'!A:B,2,FALSE),B3226),PlayerValues!E:E,0)),"N/A")</f>
        <v>17517</v>
      </c>
      <c r="B3226" s="4" t="s">
        <v>454</v>
      </c>
      <c r="C3226" s="4" t="s">
        <v>287</v>
      </c>
      <c r="D3226" s="94">
        <v>2378.0</v>
      </c>
    </row>
    <row r="3227">
      <c r="A3227" s="40">
        <f t="array" ref="A3227">IFNA(index(PlayerValues!A:A,match(IFNA(vlookup(B3227,'Special Names'!A:B,2,FALSE),B3227),PlayerValues!E:E,0)),"N/A")</f>
        <v>17134</v>
      </c>
      <c r="B3227" s="4" t="s">
        <v>548</v>
      </c>
      <c r="C3227" s="4" t="s">
        <v>287</v>
      </c>
      <c r="D3227" s="94">
        <v>2369.0</v>
      </c>
    </row>
    <row r="3228">
      <c r="A3228" s="40">
        <f t="array" ref="A3228">IFNA(index(PlayerValues!A:A,match(IFNA(vlookup(B3228,'Special Names'!A:B,2,FALSE),B3228),PlayerValues!E:E,0)),"N/A")</f>
        <v>17048</v>
      </c>
      <c r="B3228" s="4" t="s">
        <v>539</v>
      </c>
      <c r="C3228" s="4" t="s">
        <v>278</v>
      </c>
      <c r="D3228" s="94">
        <v>2359.0</v>
      </c>
    </row>
    <row r="3229">
      <c r="A3229" s="40">
        <f t="array" ref="A3229">IFNA(index(PlayerValues!A:A,match(IFNA(vlookup(B3229,'Special Names'!A:B,2,FALSE),B3229),PlayerValues!E:E,0)),"N/A")</f>
        <v>17547</v>
      </c>
      <c r="B3229" s="4" t="s">
        <v>552</v>
      </c>
      <c r="C3229" s="4" t="s">
        <v>298</v>
      </c>
      <c r="D3229" s="94">
        <v>2751.0</v>
      </c>
    </row>
    <row r="3230">
      <c r="A3230" s="40">
        <f t="array" ref="A3230">IFNA(index(PlayerValues!A:A,match(IFNA(vlookup(B3230,'Special Names'!A:B,2,FALSE),B3230),PlayerValues!E:E,0)),"N/A")</f>
        <v>15716</v>
      </c>
      <c r="B3230" s="4" t="s">
        <v>545</v>
      </c>
      <c r="C3230" s="4" t="s">
        <v>278</v>
      </c>
      <c r="D3230" s="94">
        <v>2344.0</v>
      </c>
    </row>
    <row r="3231">
      <c r="A3231" s="40">
        <f t="array" ref="A3231">IFNA(index(PlayerValues!A:A,match(IFNA(vlookup(B3231,'Special Names'!A:B,2,FALSE),B3231),PlayerValues!E:E,0)),"N/A")</f>
        <v>15749</v>
      </c>
      <c r="B3231" s="4" t="s">
        <v>574</v>
      </c>
      <c r="C3231" s="4" t="s">
        <v>278</v>
      </c>
      <c r="D3231" s="94">
        <v>2329.0</v>
      </c>
    </row>
    <row r="3232">
      <c r="A3232" s="40">
        <f t="array" ref="A3232">IFNA(index(PlayerValues!A:A,match(IFNA(vlookup(B3232,'Special Names'!A:B,2,FALSE),B3232),PlayerValues!E:E,0)),"N/A")</f>
        <v>14861</v>
      </c>
      <c r="B3232" s="4" t="s">
        <v>523</v>
      </c>
      <c r="C3232" s="4" t="s">
        <v>298</v>
      </c>
      <c r="D3232" s="94">
        <v>2715.0</v>
      </c>
    </row>
    <row r="3233">
      <c r="A3233" s="40">
        <f t="array" ref="A3233">IFNA(index(PlayerValues!A:A,match(IFNA(vlookup(B3233,'Special Names'!A:B,2,FALSE),B3233),PlayerValues!E:E,0)),"N/A")</f>
        <v>15802</v>
      </c>
      <c r="B3233" s="4" t="s">
        <v>566</v>
      </c>
      <c r="C3233" s="4" t="s">
        <v>298</v>
      </c>
      <c r="D3233" s="94">
        <v>2711.0</v>
      </c>
    </row>
    <row r="3234">
      <c r="A3234" s="40">
        <f t="array" ref="A3234">IFNA(index(PlayerValues!A:A,match(IFNA(vlookup(B3234,'Special Names'!A:B,2,FALSE),B3234),PlayerValues!E:E,0)),"N/A")</f>
        <v>13319</v>
      </c>
      <c r="B3234" s="4" t="s">
        <v>549</v>
      </c>
      <c r="C3234" s="4" t="s">
        <v>278</v>
      </c>
      <c r="D3234" s="94">
        <v>2290.0</v>
      </c>
    </row>
    <row r="3235">
      <c r="A3235" s="40">
        <f t="array" ref="A3235">IFNA(index(PlayerValues!A:A,match(IFNA(vlookup(B3235,'Special Names'!A:B,2,FALSE),B3235),PlayerValues!E:E,0)),"N/A")</f>
        <v>17482</v>
      </c>
      <c r="B3235" s="4" t="s">
        <v>460</v>
      </c>
      <c r="C3235" s="4" t="s">
        <v>278</v>
      </c>
      <c r="D3235" s="94">
        <v>2284.0</v>
      </c>
    </row>
    <row r="3236">
      <c r="A3236" s="40">
        <f t="array" ref="A3236">IFNA(index(PlayerValues!A:A,match(IFNA(vlookup(B3236,'Special Names'!A:B,2,FALSE),B3236),PlayerValues!E:E,0)),"N/A")</f>
        <v>16166</v>
      </c>
      <c r="B3236" s="4" t="s">
        <v>567</v>
      </c>
      <c r="C3236" s="4" t="s">
        <v>278</v>
      </c>
      <c r="D3236" s="94">
        <v>2278.0</v>
      </c>
    </row>
    <row r="3237">
      <c r="A3237" s="40" t="str">
        <f t="array" ref="A3237">IFNA(index(PlayerValues!A:A,match(IFNA(vlookup(B3237,'Special Names'!A:B,2,FALSE),B3237),PlayerValues!E:E,0)),"N/A")</f>
        <v>N/A</v>
      </c>
      <c r="B3237" s="4" t="s">
        <v>86</v>
      </c>
      <c r="C3237" s="4" t="s">
        <v>325</v>
      </c>
      <c r="D3237" s="94">
        <v>2278.0</v>
      </c>
    </row>
    <row r="3238">
      <c r="A3238" s="40">
        <f t="array" ref="A3238">IFNA(index(PlayerValues!A:A,match(IFNA(vlookup(B3238,'Special Names'!A:B,2,FALSE),B3238),PlayerValues!E:E,0)),"N/A")</f>
        <v>11150</v>
      </c>
      <c r="B3238" s="4" t="s">
        <v>559</v>
      </c>
      <c r="C3238" s="4" t="s">
        <v>283</v>
      </c>
      <c r="D3238" s="94">
        <v>2264.0</v>
      </c>
    </row>
    <row r="3239">
      <c r="A3239" s="40">
        <f t="array" ref="A3239">IFNA(index(PlayerValues!A:A,match(IFNA(vlookup(B3239,'Special Names'!A:B,2,FALSE),B3239),PlayerValues!E:E,0)),"N/A")</f>
        <v>16036</v>
      </c>
      <c r="B3239" s="4" t="s">
        <v>592</v>
      </c>
      <c r="C3239" s="4" t="s">
        <v>298</v>
      </c>
      <c r="D3239" s="94">
        <v>2653.0</v>
      </c>
    </row>
    <row r="3240">
      <c r="A3240" s="40">
        <f t="array" ref="A3240">IFNA(index(PlayerValues!A:A,match(IFNA(vlookup(B3240,'Special Names'!A:B,2,FALSE),B3240),PlayerValues!E:E,0)),"N/A")</f>
        <v>16594</v>
      </c>
      <c r="B3240" s="4" t="s">
        <v>607</v>
      </c>
      <c r="C3240" s="4" t="s">
        <v>278</v>
      </c>
      <c r="D3240" s="94">
        <v>2248.0</v>
      </c>
    </row>
    <row r="3241">
      <c r="A3241" s="40" t="str">
        <f t="array" ref="A3241">IFNA(index(PlayerValues!A:A,match(IFNA(vlookup(B3241,'Special Names'!A:B,2,FALSE),B3241),PlayerValues!E:E,0)),"N/A")</f>
        <v>N/A</v>
      </c>
      <c r="B3241" s="4" t="s">
        <v>100</v>
      </c>
      <c r="C3241" s="4" t="s">
        <v>325</v>
      </c>
      <c r="D3241" s="94">
        <v>2241.0</v>
      </c>
    </row>
    <row r="3242">
      <c r="A3242" s="40">
        <f t="array" ref="A3242">IFNA(index(PlayerValues!A:A,match(IFNA(vlookup(B3242,'Special Names'!A:B,2,FALSE),B3242),PlayerValues!E:E,0)),"N/A")</f>
        <v>17033</v>
      </c>
      <c r="B3242" s="4" t="s">
        <v>570</v>
      </c>
      <c r="C3242" s="4" t="s">
        <v>283</v>
      </c>
      <c r="D3242" s="94">
        <v>2237.0</v>
      </c>
    </row>
    <row r="3243">
      <c r="A3243" s="40">
        <f t="array" ref="A3243">IFNA(index(PlayerValues!A:A,match(IFNA(vlookup(B3243,'Special Names'!A:B,2,FALSE),B3243),PlayerValues!E:E,0)),"N/A")</f>
        <v>12676</v>
      </c>
      <c r="B3243" s="4" t="s">
        <v>537</v>
      </c>
      <c r="C3243" s="4" t="s">
        <v>298</v>
      </c>
      <c r="D3243" s="94">
        <v>2627.0</v>
      </c>
    </row>
    <row r="3244">
      <c r="A3244" s="40" t="str">
        <f t="array" ref="A3244">IFNA(index(PlayerValues!A:A,match(IFNA(vlookup(B3244,'Special Names'!A:B,2,FALSE),B3244),PlayerValues!E:E,0)),"N/A")</f>
        <v>N/A</v>
      </c>
      <c r="B3244" s="4" t="s">
        <v>112</v>
      </c>
      <c r="C3244" s="4" t="s">
        <v>325</v>
      </c>
      <c r="D3244" s="94">
        <v>2211.0</v>
      </c>
    </row>
    <row r="3245">
      <c r="A3245" s="40">
        <f t="array" ref="A3245">IFNA(index(PlayerValues!A:A,match(IFNA(vlookup(B3245,'Special Names'!A:B,2,FALSE),B3245),PlayerValues!E:E,0)),"N/A")</f>
        <v>16152</v>
      </c>
      <c r="B3245" s="4" t="s">
        <v>601</v>
      </c>
      <c r="C3245" s="4" t="s">
        <v>283</v>
      </c>
      <c r="D3245" s="94">
        <v>2204.0</v>
      </c>
    </row>
    <row r="3246">
      <c r="A3246" s="40">
        <f t="array" ref="A3246">IFNA(index(PlayerValues!A:A,match(IFNA(vlookup(B3246,'Special Names'!A:B,2,FALSE),B3246),PlayerValues!E:E,0)),"N/A")</f>
        <v>16649</v>
      </c>
      <c r="B3246" s="4" t="s">
        <v>586</v>
      </c>
      <c r="C3246" s="4" t="s">
        <v>298</v>
      </c>
      <c r="D3246" s="94">
        <v>2591.0</v>
      </c>
    </row>
    <row r="3247">
      <c r="A3247" s="40">
        <f t="array" ref="A3247">IFNA(index(PlayerValues!A:A,match(IFNA(vlookup(B3247,'Special Names'!A:B,2,FALSE),B3247),PlayerValues!E:E,0)),"N/A")</f>
        <v>17466</v>
      </c>
      <c r="B3247" s="4" t="s">
        <v>492</v>
      </c>
      <c r="C3247" s="4" t="s">
        <v>283</v>
      </c>
      <c r="D3247" s="94">
        <v>2195.0</v>
      </c>
    </row>
    <row r="3248">
      <c r="A3248" s="40">
        <f t="array" ref="A3248">IFNA(index(PlayerValues!A:A,match(IFNA(vlookup(B3248,'Special Names'!A:B,2,FALSE),B3248),PlayerValues!E:E,0)),"N/A")</f>
        <v>16212</v>
      </c>
      <c r="B3248" s="4" t="s">
        <v>568</v>
      </c>
      <c r="C3248" s="4" t="s">
        <v>298</v>
      </c>
      <c r="D3248" s="94">
        <v>2584.0</v>
      </c>
    </row>
    <row r="3249">
      <c r="A3249" s="40">
        <f t="array" ref="A3249">IFNA(index(PlayerValues!A:A,match(IFNA(vlookup(B3249,'Special Names'!A:B,2,FALSE),B3249),PlayerValues!E:E,0)),"N/A")</f>
        <v>15331</v>
      </c>
      <c r="B3249" s="4" t="s">
        <v>560</v>
      </c>
      <c r="C3249" s="4" t="s">
        <v>298</v>
      </c>
      <c r="D3249" s="94">
        <v>2582.0</v>
      </c>
    </row>
    <row r="3250">
      <c r="A3250" s="40">
        <f t="array" ref="A3250">IFNA(index(PlayerValues!A:A,match(IFNA(vlookup(B3250,'Special Names'!A:B,2,FALSE),B3250),PlayerValues!E:E,0)),"N/A")</f>
        <v>16610</v>
      </c>
      <c r="B3250" s="4" t="s">
        <v>562</v>
      </c>
      <c r="C3250" s="4" t="s">
        <v>278</v>
      </c>
      <c r="D3250" s="94">
        <v>2185.0</v>
      </c>
    </row>
    <row r="3251">
      <c r="A3251" s="40">
        <f t="array" ref="A3251">IFNA(index(PlayerValues!A:A,match(IFNA(vlookup(B3251,'Special Names'!A:B,2,FALSE),B3251),PlayerValues!E:E,0)),"N/A")</f>
        <v>13772</v>
      </c>
      <c r="B3251" s="4" t="s">
        <v>544</v>
      </c>
      <c r="C3251" s="4" t="s">
        <v>298</v>
      </c>
      <c r="D3251" s="94">
        <v>2567.0</v>
      </c>
    </row>
    <row r="3252">
      <c r="A3252" s="40">
        <f t="array" ref="A3252">IFNA(index(PlayerValues!A:A,match(IFNA(vlookup(B3252,'Special Names'!A:B,2,FALSE),B3252),PlayerValues!E:E,0)),"N/A")</f>
        <v>13113</v>
      </c>
      <c r="B3252" s="4" t="s">
        <v>606</v>
      </c>
      <c r="C3252" s="4" t="s">
        <v>283</v>
      </c>
      <c r="D3252" s="94">
        <v>2165.0</v>
      </c>
    </row>
    <row r="3253">
      <c r="A3253" s="40">
        <f t="array" ref="A3253">IFNA(index(PlayerValues!A:A,match(IFNA(vlookup(B3253,'Special Names'!A:B,2,FALSE),B3253),PlayerValues!E:E,0)),"N/A")</f>
        <v>14840</v>
      </c>
      <c r="B3253" s="4" t="s">
        <v>731</v>
      </c>
      <c r="C3253" s="4" t="s">
        <v>287</v>
      </c>
      <c r="D3253" s="94">
        <v>2163.0</v>
      </c>
    </row>
    <row r="3254">
      <c r="A3254" s="40" t="str">
        <f t="array" ref="A3254">IFNA(index(PlayerValues!A:A,match(IFNA(vlookup(B3254,'Special Names'!A:B,2,FALSE),B3254),PlayerValues!E:E,0)),"N/A")</f>
        <v>N/A</v>
      </c>
      <c r="B3254" s="4" t="s">
        <v>87</v>
      </c>
      <c r="C3254" s="4" t="s">
        <v>325</v>
      </c>
      <c r="D3254" s="94">
        <v>2160.0</v>
      </c>
    </row>
    <row r="3255">
      <c r="A3255" s="40">
        <f t="array" ref="A3255">IFNA(index(PlayerValues!A:A,match(IFNA(vlookup(B3255,'Special Names'!A:B,2,FALSE),B3255),PlayerValues!E:E,0)),"N/A")</f>
        <v>16604</v>
      </c>
      <c r="B3255" s="4" t="s">
        <v>476</v>
      </c>
      <c r="C3255" s="4" t="s">
        <v>278</v>
      </c>
      <c r="D3255" s="94">
        <v>2155.0</v>
      </c>
    </row>
    <row r="3256">
      <c r="A3256" s="40">
        <f t="array" ref="A3256">IFNA(index(PlayerValues!A:A,match(IFNA(vlookup(B3256,'Special Names'!A:B,2,FALSE),B3256),PlayerValues!E:E,0)),"N/A")</f>
        <v>16757</v>
      </c>
      <c r="B3256" s="4" t="s">
        <v>558</v>
      </c>
      <c r="C3256" s="4" t="s">
        <v>278</v>
      </c>
      <c r="D3256" s="94">
        <v>2148.0</v>
      </c>
    </row>
    <row r="3257">
      <c r="A3257" s="40">
        <f t="array" ref="A3257">IFNA(index(PlayerValues!A:A,match(IFNA(vlookup(B3257,'Special Names'!A:B,2,FALSE),B3257),PlayerValues!E:E,0)),"N/A")</f>
        <v>12186</v>
      </c>
      <c r="B3257" s="4" t="s">
        <v>497</v>
      </c>
      <c r="C3257" s="4" t="s">
        <v>287</v>
      </c>
      <c r="D3257" s="94">
        <v>2145.0</v>
      </c>
    </row>
    <row r="3258">
      <c r="A3258" s="40">
        <f t="array" ref="A3258">IFNA(index(PlayerValues!A:A,match(IFNA(vlookup(B3258,'Special Names'!A:B,2,FALSE),B3258),PlayerValues!E:E,0)),"N/A")</f>
        <v>17055</v>
      </c>
      <c r="B3258" s="4" t="s">
        <v>565</v>
      </c>
      <c r="C3258" s="4" t="s">
        <v>278</v>
      </c>
      <c r="D3258" s="94">
        <v>2129.0</v>
      </c>
    </row>
    <row r="3259">
      <c r="A3259" s="40" t="str">
        <f t="array" ref="A3259">IFNA(index(PlayerValues!A:A,match(IFNA(vlookup(B3259,'Special Names'!A:B,2,FALSE),B3259),PlayerValues!E:E,0)),"N/A")</f>
        <v>N/A</v>
      </c>
      <c r="B3259" s="4" t="s">
        <v>88</v>
      </c>
      <c r="C3259" s="4" t="s">
        <v>325</v>
      </c>
      <c r="D3259" s="94">
        <v>2124.0</v>
      </c>
    </row>
    <row r="3260">
      <c r="A3260" s="40">
        <f t="array" ref="A3260">IFNA(index(PlayerValues!A:A,match(IFNA(vlookup(B3260,'Special Names'!A:B,2,FALSE),B3260),PlayerValues!E:E,0)),"N/A")</f>
        <v>16189</v>
      </c>
      <c r="B3260" s="4" t="s">
        <v>582</v>
      </c>
      <c r="C3260" s="4" t="s">
        <v>287</v>
      </c>
      <c r="D3260" s="94">
        <v>2116.0</v>
      </c>
    </row>
    <row r="3261">
      <c r="A3261" s="40">
        <f t="array" ref="A3261">IFNA(index(PlayerValues!A:A,match(IFNA(vlookup(B3261,'Special Names'!A:B,2,FALSE),B3261),PlayerValues!E:E,0)),"N/A")</f>
        <v>17079</v>
      </c>
      <c r="B3261" s="4" t="s">
        <v>572</v>
      </c>
      <c r="C3261" s="4" t="s">
        <v>287</v>
      </c>
      <c r="D3261" s="94">
        <v>2092.0</v>
      </c>
    </row>
    <row r="3262">
      <c r="A3262" s="40" t="str">
        <f t="array" ref="A3262">IFNA(index(PlayerValues!A:A,match(IFNA(vlookup(B3262,'Special Names'!A:B,2,FALSE),B3262),PlayerValues!E:E,0)),"N/A")</f>
        <v>N/A</v>
      </c>
      <c r="B3262" s="4" t="s">
        <v>113</v>
      </c>
      <c r="C3262" s="4" t="s">
        <v>325</v>
      </c>
      <c r="D3262" s="94">
        <v>2090.0</v>
      </c>
    </row>
    <row r="3263">
      <c r="A3263" s="40">
        <f t="array" ref="A3263">IFNA(index(PlayerValues!A:A,match(IFNA(vlookup(B3263,'Special Names'!A:B,2,FALSE),B3263),PlayerValues!E:E,0)),"N/A")</f>
        <v>17060</v>
      </c>
      <c r="B3263" s="4" t="s">
        <v>603</v>
      </c>
      <c r="C3263" s="4" t="s">
        <v>278</v>
      </c>
      <c r="D3263" s="94">
        <v>2066.0</v>
      </c>
    </row>
    <row r="3264">
      <c r="A3264" s="40">
        <f t="array" ref="A3264">IFNA(index(PlayerValues!A:A,match(IFNA(vlookup(B3264,'Special Names'!A:B,2,FALSE),B3264),PlayerValues!E:E,0)),"N/A")</f>
        <v>17069</v>
      </c>
      <c r="B3264" s="4" t="s">
        <v>604</v>
      </c>
      <c r="C3264" s="4" t="s">
        <v>278</v>
      </c>
      <c r="D3264" s="94">
        <v>2066.0</v>
      </c>
    </row>
    <row r="3265">
      <c r="A3265" s="40">
        <f t="array" ref="A3265">IFNA(index(PlayerValues!A:A,match(IFNA(vlookup(B3265,'Special Names'!A:B,2,FALSE),B3265),PlayerValues!E:E,0)),"N/A")</f>
        <v>15238</v>
      </c>
      <c r="B3265" s="4" t="s">
        <v>613</v>
      </c>
      <c r="C3265" s="4" t="s">
        <v>283</v>
      </c>
      <c r="D3265" s="94">
        <v>2055.0</v>
      </c>
    </row>
    <row r="3266">
      <c r="A3266" s="40">
        <f t="array" ref="A3266">IFNA(index(PlayerValues!A:A,match(IFNA(vlookup(B3266,'Special Names'!A:B,2,FALSE),B3266),PlayerValues!E:E,0)),"N/A")</f>
        <v>15293</v>
      </c>
      <c r="B3266" s="4" t="s">
        <v>578</v>
      </c>
      <c r="C3266" s="4" t="s">
        <v>287</v>
      </c>
      <c r="D3266" s="94">
        <v>2052.0</v>
      </c>
    </row>
    <row r="3267">
      <c r="A3267" s="40">
        <f t="array" ref="A3267">IFNA(index(PlayerValues!A:A,match(IFNA(vlookup(B3267,'Special Names'!A:B,2,FALSE),B3267),PlayerValues!E:E,0)),"N/A")</f>
        <v>17061</v>
      </c>
      <c r="B3267" s="4" t="s">
        <v>580</v>
      </c>
      <c r="C3267" s="4" t="s">
        <v>278</v>
      </c>
      <c r="D3267" s="94">
        <v>2046.0</v>
      </c>
    </row>
    <row r="3268">
      <c r="A3268" s="40">
        <f t="array" ref="A3268">IFNA(index(PlayerValues!A:A,match(IFNA(vlookup(B3268,'Special Names'!A:B,2,FALSE),B3268),PlayerValues!E:E,0)),"N/A")</f>
        <v>13132</v>
      </c>
      <c r="B3268" s="4" t="s">
        <v>598</v>
      </c>
      <c r="C3268" s="4" t="s">
        <v>278</v>
      </c>
      <c r="D3268" s="94">
        <v>2045.0</v>
      </c>
    </row>
    <row r="3269">
      <c r="A3269" s="40">
        <f t="array" ref="A3269">IFNA(index(PlayerValues!A:A,match(IFNA(vlookup(B3269,'Special Names'!A:B,2,FALSE),B3269),PlayerValues!E:E,0)),"N/A")</f>
        <v>17046</v>
      </c>
      <c r="B3269" s="4" t="s">
        <v>602</v>
      </c>
      <c r="C3269" s="4" t="s">
        <v>278</v>
      </c>
      <c r="D3269" s="94">
        <v>2035.0</v>
      </c>
    </row>
    <row r="3270">
      <c r="A3270" s="40">
        <f t="array" ref="A3270">IFNA(index(PlayerValues!A:A,match(IFNA(vlookup(B3270,'Special Names'!A:B,2,FALSE),B3270),PlayerValues!E:E,0)),"N/A")</f>
        <v>17056</v>
      </c>
      <c r="B3270" s="4" t="s">
        <v>581</v>
      </c>
      <c r="C3270" s="4" t="s">
        <v>278</v>
      </c>
      <c r="D3270" s="94">
        <v>2034.0</v>
      </c>
    </row>
    <row r="3271">
      <c r="A3271" s="40">
        <f t="array" ref="A3271">IFNA(index(PlayerValues!A:A,match(IFNA(vlookup(B3271,'Special Names'!A:B,2,FALSE),B3271),PlayerValues!E:E,0)),"N/A")</f>
        <v>17184</v>
      </c>
      <c r="B3271" s="4" t="s">
        <v>588</v>
      </c>
      <c r="C3271" s="4" t="s">
        <v>287</v>
      </c>
      <c r="D3271" s="94">
        <v>2032.0</v>
      </c>
    </row>
    <row r="3272">
      <c r="A3272" s="40">
        <f t="array" ref="A3272">IFNA(index(PlayerValues!A:A,match(IFNA(vlookup(B3272,'Special Names'!A:B,2,FALSE),B3272),PlayerValues!E:E,0)),"N/A")</f>
        <v>16432</v>
      </c>
      <c r="B3272" s="4" t="s">
        <v>620</v>
      </c>
      <c r="C3272" s="4" t="s">
        <v>278</v>
      </c>
      <c r="D3272" s="94">
        <v>2029.0</v>
      </c>
    </row>
    <row r="3273">
      <c r="A3273" s="40">
        <f t="array" ref="A3273">IFNA(index(PlayerValues!A:A,match(IFNA(vlookup(B3273,'Special Names'!A:B,2,FALSE),B3273),PlayerValues!E:E,0)),"N/A")</f>
        <v>14974</v>
      </c>
      <c r="B3273" s="4" t="s">
        <v>611</v>
      </c>
      <c r="C3273" s="4" t="s">
        <v>287</v>
      </c>
      <c r="D3273" s="94">
        <v>2024.0</v>
      </c>
    </row>
    <row r="3274">
      <c r="A3274" s="40">
        <f t="array" ref="A3274">IFNA(index(PlayerValues!A:A,match(IFNA(vlookup(B3274,'Special Names'!A:B,2,FALSE),B3274),PlayerValues!E:E,0)),"N/A")</f>
        <v>16643</v>
      </c>
      <c r="B3274" s="4" t="s">
        <v>609</v>
      </c>
      <c r="C3274" s="4" t="s">
        <v>298</v>
      </c>
      <c r="D3274" s="94">
        <v>2409.0</v>
      </c>
    </row>
    <row r="3275">
      <c r="A3275" s="40" t="str">
        <f t="array" ref="A3275">IFNA(index(PlayerValues!A:A,match(IFNA(vlookup(B3275,'Special Names'!A:B,2,FALSE),B3275),PlayerValues!E:E,0)),"N/A")</f>
        <v>N/A</v>
      </c>
      <c r="B3275" s="4" t="s">
        <v>114</v>
      </c>
      <c r="C3275" s="4" t="s">
        <v>325</v>
      </c>
      <c r="D3275" s="94">
        <v>2008.0</v>
      </c>
    </row>
    <row r="3276">
      <c r="A3276" s="40">
        <f t="array" ref="A3276">IFNA(index(PlayerValues!A:A,match(IFNA(vlookup(B3276,'Special Names'!A:B,2,FALSE),B3276),PlayerValues!E:E,0)),"N/A")</f>
        <v>15797</v>
      </c>
      <c r="B3276" s="4" t="s">
        <v>556</v>
      </c>
      <c r="C3276" s="4" t="s">
        <v>298</v>
      </c>
      <c r="D3276" s="94">
        <v>2391.0</v>
      </c>
    </row>
    <row r="3277">
      <c r="A3277" s="40">
        <f t="array" ref="A3277">IFNA(index(PlayerValues!A:A,match(IFNA(vlookup(B3277,'Special Names'!A:B,2,FALSE),B3277),PlayerValues!E:E,0)),"N/A")</f>
        <v>14136</v>
      </c>
      <c r="B3277" s="4" t="s">
        <v>536</v>
      </c>
      <c r="C3277" s="4" t="s">
        <v>287</v>
      </c>
      <c r="D3277" s="94">
        <v>1992.0</v>
      </c>
    </row>
    <row r="3278">
      <c r="A3278" s="40">
        <f t="array" ref="A3278">IFNA(index(PlayerValues!A:A,match(IFNA(vlookup(B3278,'Special Names'!A:B,2,FALSE),B3278),PlayerValues!E:E,0)),"N/A")</f>
        <v>14867</v>
      </c>
      <c r="B3278" s="4" t="s">
        <v>591</v>
      </c>
      <c r="C3278" s="4" t="s">
        <v>298</v>
      </c>
      <c r="D3278" s="94">
        <v>2369.0</v>
      </c>
    </row>
    <row r="3279">
      <c r="A3279" s="40">
        <f t="array" ref="A3279">IFNA(index(PlayerValues!A:A,match(IFNA(vlookup(B3279,'Special Names'!A:B,2,FALSE),B3279),PlayerValues!E:E,0)),"N/A")</f>
        <v>7836</v>
      </c>
      <c r="B3279" s="4" t="s">
        <v>590</v>
      </c>
      <c r="C3279" s="4" t="s">
        <v>283</v>
      </c>
      <c r="D3279" s="94">
        <v>1981.0</v>
      </c>
    </row>
    <row r="3280">
      <c r="A3280" s="40">
        <f t="array" ref="A3280">IFNA(index(PlayerValues!A:A,match(IFNA(vlookup(B3280,'Special Names'!A:B,2,FALSE),B3280),PlayerValues!E:E,0)),"N/A")</f>
        <v>17076</v>
      </c>
      <c r="B3280" s="4" t="s">
        <v>585</v>
      </c>
      <c r="C3280" s="4" t="s">
        <v>287</v>
      </c>
      <c r="D3280" s="94">
        <v>1981.0</v>
      </c>
    </row>
    <row r="3281">
      <c r="A3281" s="40">
        <f t="array" ref="A3281">IFNA(index(PlayerValues!A:A,match(IFNA(vlookup(B3281,'Special Names'!A:B,2,FALSE),B3281),PlayerValues!E:E,0)),"N/A")</f>
        <v>16603</v>
      </c>
      <c r="B3281" s="4" t="s">
        <v>587</v>
      </c>
      <c r="C3281" s="4" t="s">
        <v>278</v>
      </c>
      <c r="D3281" s="94">
        <v>1971.0</v>
      </c>
    </row>
    <row r="3282">
      <c r="A3282" s="40">
        <f t="array" ref="A3282">IFNA(index(PlayerValues!A:A,match(IFNA(vlookup(B3282,'Special Names'!A:B,2,FALSE),B3282),PlayerValues!E:E,0)),"N/A")</f>
        <v>17036</v>
      </c>
      <c r="B3282" s="4" t="s">
        <v>617</v>
      </c>
      <c r="C3282" s="4" t="s">
        <v>283</v>
      </c>
      <c r="D3282" s="94">
        <v>1946.0</v>
      </c>
    </row>
    <row r="3283">
      <c r="A3283" s="40">
        <f t="array" ref="A3283">IFNA(index(PlayerValues!A:A,match(IFNA(vlookup(B3283,'Special Names'!A:B,2,FALSE),B3283),PlayerValues!E:E,0)),"N/A")</f>
        <v>16342</v>
      </c>
      <c r="B3283" s="4" t="s">
        <v>583</v>
      </c>
      <c r="C3283" s="4" t="s">
        <v>287</v>
      </c>
      <c r="D3283" s="94">
        <v>1945.0</v>
      </c>
    </row>
    <row r="3284">
      <c r="A3284" s="40">
        <f t="array" ref="A3284">IFNA(index(PlayerValues!A:A,match(IFNA(vlookup(B3284,'Special Names'!A:B,2,FALSE),B3284),PlayerValues!E:E,0)),"N/A")</f>
        <v>13633</v>
      </c>
      <c r="B3284" s="4" t="s">
        <v>625</v>
      </c>
      <c r="C3284" s="4" t="s">
        <v>287</v>
      </c>
      <c r="D3284" s="94">
        <v>1940.0</v>
      </c>
    </row>
    <row r="3285">
      <c r="A3285" s="40">
        <f t="array" ref="A3285">IFNA(index(PlayerValues!A:A,match(IFNA(vlookup(B3285,'Special Names'!A:B,2,FALSE),B3285),PlayerValues!E:E,0)),"N/A")</f>
        <v>17087</v>
      </c>
      <c r="B3285" s="4" t="s">
        <v>600</v>
      </c>
      <c r="C3285" s="4" t="s">
        <v>287</v>
      </c>
      <c r="D3285" s="94">
        <v>1927.0</v>
      </c>
    </row>
    <row r="3286">
      <c r="A3286" s="40">
        <f t="array" ref="A3286">IFNA(index(PlayerValues!A:A,match(IFNA(vlookup(B3286,'Special Names'!A:B,2,FALSE),B3286),PlayerValues!E:E,0)),"N/A")</f>
        <v>17528</v>
      </c>
      <c r="B3286" s="4" t="s">
        <v>579</v>
      </c>
      <c r="C3286" s="4" t="s">
        <v>287</v>
      </c>
      <c r="D3286" s="94">
        <v>1917.0</v>
      </c>
    </row>
    <row r="3287">
      <c r="A3287" s="40">
        <f t="array" ref="A3287">IFNA(index(PlayerValues!A:A,match(IFNA(vlookup(B3287,'Special Names'!A:B,2,FALSE),B3287),PlayerValues!E:E,0)),"N/A")</f>
        <v>17481</v>
      </c>
      <c r="B3287" s="4" t="s">
        <v>540</v>
      </c>
      <c r="C3287" s="4" t="s">
        <v>278</v>
      </c>
      <c r="D3287" s="94">
        <v>1910.0</v>
      </c>
    </row>
    <row r="3288">
      <c r="A3288" s="40">
        <f t="array" ref="A3288">IFNA(index(PlayerValues!A:A,match(IFNA(vlookup(B3288,'Special Names'!A:B,2,FALSE),B3288),PlayerValues!E:E,0)),"N/A")</f>
        <v>16639</v>
      </c>
      <c r="B3288" s="4" t="s">
        <v>599</v>
      </c>
      <c r="C3288" s="4" t="s">
        <v>287</v>
      </c>
      <c r="D3288" s="94">
        <v>1908.0</v>
      </c>
    </row>
    <row r="3289">
      <c r="A3289" s="40">
        <f t="array" ref="A3289">IFNA(index(PlayerValues!A:A,match(IFNA(vlookup(B3289,'Special Names'!A:B,2,FALSE),B3289),PlayerValues!E:E,0)),"N/A")</f>
        <v>10700</v>
      </c>
      <c r="B3289" s="4" t="s">
        <v>596</v>
      </c>
      <c r="C3289" s="4" t="s">
        <v>283</v>
      </c>
      <c r="D3289" s="94">
        <v>1900.0</v>
      </c>
    </row>
    <row r="3290">
      <c r="A3290" s="40">
        <f t="array" ref="A3290">IFNA(index(PlayerValues!A:A,match(IFNA(vlookup(B3290,'Special Names'!A:B,2,FALSE),B3290),PlayerValues!E:E,0)),"N/A")</f>
        <v>16216</v>
      </c>
      <c r="B3290" s="4" t="s">
        <v>595</v>
      </c>
      <c r="C3290" s="4" t="s">
        <v>298</v>
      </c>
      <c r="D3290" s="94">
        <v>2285.0</v>
      </c>
    </row>
    <row r="3291">
      <c r="A3291" s="40">
        <f t="array" ref="A3291">IFNA(index(PlayerValues!A:A,match(IFNA(vlookup(B3291,'Special Names'!A:B,2,FALSE),B3291),PlayerValues!E:E,0)),"N/A")</f>
        <v>12801</v>
      </c>
      <c r="B3291" s="4" t="s">
        <v>722</v>
      </c>
      <c r="C3291" s="4" t="s">
        <v>287</v>
      </c>
      <c r="D3291" s="94">
        <v>1871.0</v>
      </c>
    </row>
    <row r="3292">
      <c r="A3292" s="40">
        <f t="array" ref="A3292">IFNA(index(PlayerValues!A:A,match(IFNA(vlookup(B3292,'Special Names'!A:B,2,FALSE),B3292),PlayerValues!E:E,0)),"N/A")</f>
        <v>13629</v>
      </c>
      <c r="B3292" s="4" t="s">
        <v>619</v>
      </c>
      <c r="C3292" s="4" t="s">
        <v>287</v>
      </c>
      <c r="D3292" s="94">
        <v>1871.0</v>
      </c>
    </row>
    <row r="3293">
      <c r="A3293" s="40">
        <f t="array" ref="A3293">IFNA(index(PlayerValues!A:A,match(IFNA(vlookup(B3293,'Special Names'!A:B,2,FALSE),B3293),PlayerValues!E:E,0)),"N/A")</f>
        <v>17468</v>
      </c>
      <c r="B3293" s="4" t="s">
        <v>514</v>
      </c>
      <c r="C3293" s="4" t="s">
        <v>283</v>
      </c>
      <c r="D3293" s="94">
        <v>1868.0</v>
      </c>
    </row>
    <row r="3294">
      <c r="A3294" s="40">
        <f t="array" ref="A3294">IFNA(index(PlayerValues!A:A,match(IFNA(vlookup(B3294,'Special Names'!A:B,2,FALSE),B3294),PlayerValues!E:E,0)),"N/A")</f>
        <v>14871</v>
      </c>
      <c r="B3294" s="4" t="s">
        <v>584</v>
      </c>
      <c r="C3294" s="4" t="s">
        <v>298</v>
      </c>
      <c r="D3294" s="94">
        <v>2248.0</v>
      </c>
    </row>
    <row r="3295">
      <c r="A3295" s="40">
        <f t="array" ref="A3295">IFNA(index(PlayerValues!A:A,match(IFNA(vlookup(B3295,'Special Names'!A:B,2,FALSE),B3295),PlayerValues!E:E,0)),"N/A")</f>
        <v>17467</v>
      </c>
      <c r="B3295" s="4" t="s">
        <v>575</v>
      </c>
      <c r="C3295" s="4" t="s">
        <v>283</v>
      </c>
      <c r="D3295" s="94">
        <v>1856.0</v>
      </c>
    </row>
    <row r="3296">
      <c r="A3296" s="40" t="str">
        <f t="array" ref="A3296">IFNA(index(PlayerValues!A:A,match(IFNA(vlookup(B3296,'Special Names'!A:B,2,FALSE),B3296),PlayerValues!E:E,0)),"N/A")</f>
        <v>N/A</v>
      </c>
      <c r="B3296" s="4" t="s">
        <v>101</v>
      </c>
      <c r="C3296" s="4" t="s">
        <v>325</v>
      </c>
      <c r="D3296" s="94">
        <v>1855.0</v>
      </c>
    </row>
    <row r="3297">
      <c r="A3297" s="40">
        <f t="array" ref="A3297">IFNA(index(PlayerValues!A:A,match(IFNA(vlookup(B3297,'Special Names'!A:B,2,FALSE),B3297),PlayerValues!E:E,0)),"N/A")</f>
        <v>16778</v>
      </c>
      <c r="B3297" s="4" t="s">
        <v>577</v>
      </c>
      <c r="C3297" s="4" t="s">
        <v>287</v>
      </c>
      <c r="D3297" s="94">
        <v>1848.0</v>
      </c>
    </row>
    <row r="3298">
      <c r="A3298" s="40">
        <f t="array" ref="A3298">IFNA(index(PlayerValues!A:A,match(IFNA(vlookup(B3298,'Special Names'!A:B,2,FALSE),B3298),PlayerValues!E:E,0)),"N/A")</f>
        <v>13189</v>
      </c>
      <c r="B3298" s="4" t="s">
        <v>626</v>
      </c>
      <c r="C3298" s="4" t="s">
        <v>298</v>
      </c>
      <c r="D3298" s="94">
        <v>2205.0</v>
      </c>
    </row>
    <row r="3299">
      <c r="A3299" s="40">
        <f t="array" ref="A3299">IFNA(index(PlayerValues!A:A,match(IFNA(vlookup(B3299,'Special Names'!A:B,2,FALSE),B3299),PlayerValues!E:E,0)),"N/A")</f>
        <v>17485</v>
      </c>
      <c r="B3299" s="4" t="s">
        <v>522</v>
      </c>
      <c r="C3299" s="4" t="s">
        <v>278</v>
      </c>
      <c r="D3299" s="94">
        <v>1824.0</v>
      </c>
    </row>
    <row r="3300">
      <c r="A3300" s="40">
        <f t="array" ref="A3300">IFNA(index(PlayerValues!A:A,match(IFNA(vlookup(B3300,'Special Names'!A:B,2,FALSE),B3300),PlayerValues!E:E,0)),"N/A")</f>
        <v>16752</v>
      </c>
      <c r="B3300" s="4" t="s">
        <v>597</v>
      </c>
      <c r="C3300" s="4" t="s">
        <v>278</v>
      </c>
      <c r="D3300" s="94">
        <v>1799.0</v>
      </c>
    </row>
    <row r="3301">
      <c r="A3301" s="40">
        <f t="array" ref="A3301">IFNA(index(PlayerValues!A:A,match(IFNA(vlookup(B3301,'Special Names'!A:B,2,FALSE),B3301),PlayerValues!E:E,0)),"N/A")</f>
        <v>17086</v>
      </c>
      <c r="B3301" s="4" t="s">
        <v>612</v>
      </c>
      <c r="C3301" s="4" t="s">
        <v>287</v>
      </c>
      <c r="D3301" s="94">
        <v>1799.0</v>
      </c>
    </row>
    <row r="3302">
      <c r="A3302" s="40">
        <f t="array" ref="A3302">IFNA(index(PlayerValues!A:A,match(IFNA(vlookup(B3302,'Special Names'!A:B,2,FALSE),B3302),PlayerValues!E:E,0)),"N/A")</f>
        <v>15787</v>
      </c>
      <c r="B3302" s="4" t="s">
        <v>610</v>
      </c>
      <c r="C3302" s="4" t="s">
        <v>287</v>
      </c>
      <c r="D3302" s="94">
        <v>1797.0</v>
      </c>
    </row>
    <row r="3303">
      <c r="A3303" s="40">
        <f t="array" ref="A3303">IFNA(index(PlayerValues!A:A,match(IFNA(vlookup(B3303,'Special Names'!A:B,2,FALSE),B3303),PlayerValues!E:E,0)),"N/A")</f>
        <v>15788</v>
      </c>
      <c r="B3303" s="4" t="s">
        <v>627</v>
      </c>
      <c r="C3303" s="4" t="s">
        <v>287</v>
      </c>
      <c r="D3303" s="94">
        <v>1792.0</v>
      </c>
    </row>
    <row r="3304">
      <c r="A3304" s="40">
        <f t="array" ref="A3304">IFNA(index(PlayerValues!A:A,match(IFNA(vlookup(B3304,'Special Names'!A:B,2,FALSE),B3304),PlayerValues!E:E,0)),"N/A")</f>
        <v>16215</v>
      </c>
      <c r="B3304" s="4" t="s">
        <v>637</v>
      </c>
      <c r="C3304" s="4" t="s">
        <v>298</v>
      </c>
      <c r="D3304" s="94">
        <v>2166.0</v>
      </c>
    </row>
    <row r="3305">
      <c r="A3305" s="40">
        <f t="array" ref="A3305">IFNA(index(PlayerValues!A:A,match(IFNA(vlookup(B3305,'Special Names'!A:B,2,FALSE),B3305),PlayerValues!E:E,0)),"N/A")</f>
        <v>16171</v>
      </c>
      <c r="B3305" s="4" t="s">
        <v>618</v>
      </c>
      <c r="C3305" s="4" t="s">
        <v>278</v>
      </c>
      <c r="D3305" s="94">
        <v>1777.0</v>
      </c>
    </row>
    <row r="3306">
      <c r="A3306" s="40">
        <f t="array" ref="A3306">IFNA(index(PlayerValues!A:A,match(IFNA(vlookup(B3306,'Special Names'!A:B,2,FALSE),B3306),PlayerValues!E:E,0)),"N/A")</f>
        <v>17548</v>
      </c>
      <c r="B3306" s="4" t="s">
        <v>594</v>
      </c>
      <c r="C3306" s="4" t="s">
        <v>298</v>
      </c>
      <c r="D3306" s="94">
        <v>2147.0</v>
      </c>
    </row>
    <row r="3307">
      <c r="A3307" s="40">
        <f t="array" ref="A3307">IFNA(index(PlayerValues!A:A,match(IFNA(vlookup(B3307,'Special Names'!A:B,2,FALSE),B3307),PlayerValues!E:E,0)),"N/A")</f>
        <v>16644</v>
      </c>
      <c r="B3307" s="4" t="s">
        <v>640</v>
      </c>
      <c r="C3307" s="4" t="s">
        <v>298</v>
      </c>
      <c r="D3307" s="94">
        <v>2146.0</v>
      </c>
    </row>
    <row r="3308">
      <c r="A3308" s="40">
        <f t="array" ref="A3308">IFNA(index(PlayerValues!A:A,match(IFNA(vlookup(B3308,'Special Names'!A:B,2,FALSE),B3308),PlayerValues!E:E,0)),"N/A")</f>
        <v>13146</v>
      </c>
      <c r="B3308" s="4" t="s">
        <v>652</v>
      </c>
      <c r="C3308" s="4" t="s">
        <v>278</v>
      </c>
      <c r="D3308" s="94">
        <v>1756.0</v>
      </c>
    </row>
    <row r="3309">
      <c r="A3309" s="40">
        <f t="array" ref="A3309">IFNA(index(PlayerValues!A:A,match(IFNA(vlookup(B3309,'Special Names'!A:B,2,FALSE),B3309),PlayerValues!E:E,0)),"N/A")</f>
        <v>17049</v>
      </c>
      <c r="B3309" s="4" t="s">
        <v>624</v>
      </c>
      <c r="C3309" s="4" t="s">
        <v>278</v>
      </c>
      <c r="D3309" s="94">
        <v>1749.0</v>
      </c>
    </row>
    <row r="3310">
      <c r="A3310" s="40">
        <f t="array" ref="A3310">IFNA(index(PlayerValues!A:A,match(IFNA(vlookup(B3310,'Special Names'!A:B,2,FALSE),B3310),PlayerValues!E:E,0)),"N/A")</f>
        <v>16191</v>
      </c>
      <c r="B3310" s="4" t="s">
        <v>666</v>
      </c>
      <c r="C3310" s="4" t="s">
        <v>287</v>
      </c>
      <c r="D3310" s="94">
        <v>1745.0</v>
      </c>
    </row>
    <row r="3311">
      <c r="A3311" s="40" t="str">
        <f t="array" ref="A3311">IFNA(index(PlayerValues!A:A,match(IFNA(vlookup(B3311,'Special Names'!A:B,2,FALSE),B3311),PlayerValues!E:E,0)),"N/A")</f>
        <v>N/A</v>
      </c>
      <c r="B3311" s="4" t="s">
        <v>102</v>
      </c>
      <c r="C3311" s="4" t="s">
        <v>325</v>
      </c>
      <c r="D3311" s="94">
        <v>1738.0</v>
      </c>
    </row>
    <row r="3312">
      <c r="A3312" s="40">
        <f t="array" ref="A3312">IFNA(index(PlayerValues!A:A,match(IFNA(vlookup(B3312,'Special Names'!A:B,2,FALSE),B3312),PlayerValues!E:E,0)),"N/A")</f>
        <v>13164</v>
      </c>
      <c r="B3312" s="4" t="s">
        <v>632</v>
      </c>
      <c r="C3312" s="4" t="s">
        <v>287</v>
      </c>
      <c r="D3312" s="94">
        <v>1724.0</v>
      </c>
    </row>
    <row r="3313">
      <c r="A3313" s="40">
        <f t="array" ref="A3313">IFNA(index(PlayerValues!A:A,match(IFNA(vlookup(B3313,'Special Names'!A:B,2,FALSE),B3313),PlayerValues!E:E,0)),"N/A")</f>
        <v>17034</v>
      </c>
      <c r="B3313" s="4" t="s">
        <v>643</v>
      </c>
      <c r="C3313" s="4" t="s">
        <v>283</v>
      </c>
      <c r="D3313" s="94">
        <v>1714.0</v>
      </c>
    </row>
    <row r="3314">
      <c r="A3314" s="40" t="str">
        <f t="array" ref="A3314">IFNA(index(PlayerValues!A:A,match(IFNA(vlookup(B3314,'Special Names'!A:B,2,FALSE),B3314),PlayerValues!E:E,0)),"N/A")</f>
        <v>N/A</v>
      </c>
      <c r="B3314" s="4" t="s">
        <v>89</v>
      </c>
      <c r="C3314" s="4" t="s">
        <v>325</v>
      </c>
      <c r="D3314" s="94">
        <v>1712.0</v>
      </c>
    </row>
    <row r="3315">
      <c r="A3315" s="40">
        <f t="array" ref="A3315">IFNA(index(PlayerValues!A:A,match(IFNA(vlookup(B3315,'Special Names'!A:B,2,FALSE),B3315),PlayerValues!E:E,0)),"N/A")</f>
        <v>17035</v>
      </c>
      <c r="B3315" s="4" t="s">
        <v>650</v>
      </c>
      <c r="C3315" s="4" t="s">
        <v>283</v>
      </c>
      <c r="D3315" s="94">
        <v>1704.0</v>
      </c>
    </row>
    <row r="3316">
      <c r="A3316" s="40">
        <f t="array" ref="A3316">IFNA(index(PlayerValues!A:A,match(IFNA(vlookup(B3316,'Special Names'!A:B,2,FALSE),B3316),PlayerValues!E:E,0)),"N/A")</f>
        <v>14143</v>
      </c>
      <c r="B3316" s="4" t="s">
        <v>635</v>
      </c>
      <c r="C3316" s="4" t="s">
        <v>298</v>
      </c>
      <c r="D3316" s="94">
        <v>2080.0</v>
      </c>
    </row>
    <row r="3317">
      <c r="A3317" s="40">
        <f t="array" ref="A3317">IFNA(index(PlayerValues!A:A,match(IFNA(vlookup(B3317,'Special Names'!A:B,2,FALSE),B3317),PlayerValues!E:E,0)),"N/A")</f>
        <v>17607</v>
      </c>
      <c r="B3317" s="4" t="s">
        <v>526</v>
      </c>
      <c r="C3317" s="4" t="s">
        <v>298</v>
      </c>
      <c r="D3317" s="94">
        <v>2078.0</v>
      </c>
    </row>
    <row r="3318">
      <c r="A3318" s="40">
        <f t="array" ref="A3318">IFNA(index(PlayerValues!A:A,match(IFNA(vlookup(B3318,'Special Names'!A:B,2,FALSE),B3318),PlayerValues!E:E,0)),"N/A")</f>
        <v>17567</v>
      </c>
      <c r="B3318" s="4" t="s">
        <v>571</v>
      </c>
      <c r="C3318" s="4" t="s">
        <v>298</v>
      </c>
      <c r="D3318" s="94">
        <v>2078.0</v>
      </c>
    </row>
    <row r="3319">
      <c r="A3319" s="40">
        <f t="array" ref="A3319">IFNA(index(PlayerValues!A:A,match(IFNA(vlookup(B3319,'Special Names'!A:B,2,FALSE),B3319),PlayerValues!E:E,0)),"N/A")</f>
        <v>16585</v>
      </c>
      <c r="B3319" s="4" t="s">
        <v>623</v>
      </c>
      <c r="C3319" s="4" t="s">
        <v>283</v>
      </c>
      <c r="D3319" s="94">
        <v>1695.0</v>
      </c>
    </row>
    <row r="3320">
      <c r="A3320" s="40">
        <f t="array" ref="A3320">IFNA(index(PlayerValues!A:A,match(IFNA(vlookup(B3320,'Special Names'!A:B,2,FALSE),B3320),PlayerValues!E:E,0)),"N/A")</f>
        <v>17064</v>
      </c>
      <c r="B3320" s="4" t="s">
        <v>631</v>
      </c>
      <c r="C3320" s="4" t="s">
        <v>278</v>
      </c>
      <c r="D3320" s="94">
        <v>1682.0</v>
      </c>
    </row>
    <row r="3321">
      <c r="A3321" s="40" t="str">
        <f t="array" ref="A3321">IFNA(index(PlayerValues!A:A,match(IFNA(vlookup(B3321,'Special Names'!A:B,2,FALSE),B3321),PlayerValues!E:E,0)),"N/A")</f>
        <v>N/A</v>
      </c>
      <c r="B3321" s="4" t="s">
        <v>103</v>
      </c>
      <c r="C3321" s="4" t="s">
        <v>325</v>
      </c>
      <c r="D3321" s="94">
        <v>1674.0</v>
      </c>
    </row>
    <row r="3322">
      <c r="A3322" s="40">
        <f t="array" ref="A3322">IFNA(index(PlayerValues!A:A,match(IFNA(vlookup(B3322,'Special Names'!A:B,2,FALSE),B3322),PlayerValues!E:E,0)),"N/A")</f>
        <v>17058</v>
      </c>
      <c r="B3322" s="4" t="s">
        <v>641</v>
      </c>
      <c r="C3322" s="4" t="s">
        <v>278</v>
      </c>
      <c r="D3322" s="94">
        <v>1665.0</v>
      </c>
    </row>
    <row r="3323">
      <c r="A3323" s="40">
        <f t="array" ref="A3323">IFNA(index(PlayerValues!A:A,match(IFNA(vlookup(B3323,'Special Names'!A:B,2,FALSE),B3323),PlayerValues!E:E,0)),"N/A")</f>
        <v>17096</v>
      </c>
      <c r="B3323" s="4" t="s">
        <v>638</v>
      </c>
      <c r="C3323" s="4" t="s">
        <v>287</v>
      </c>
      <c r="D3323" s="94">
        <v>1656.0</v>
      </c>
    </row>
    <row r="3324">
      <c r="A3324" s="40">
        <f t="array" ref="A3324">IFNA(index(PlayerValues!A:A,match(IFNA(vlookup(B3324,'Special Names'!A:B,2,FALSE),B3324),PlayerValues!E:E,0)),"N/A")</f>
        <v>16635</v>
      </c>
      <c r="B3324" s="4" t="s">
        <v>645</v>
      </c>
      <c r="C3324" s="4" t="s">
        <v>287</v>
      </c>
      <c r="D3324" s="94">
        <v>1644.0</v>
      </c>
    </row>
    <row r="3325">
      <c r="A3325" s="40">
        <f t="array" ref="A3325">IFNA(index(PlayerValues!A:A,match(IFNA(vlookup(B3325,'Special Names'!A:B,2,FALSE),B3325),PlayerValues!E:E,0)),"N/A")</f>
        <v>16207</v>
      </c>
      <c r="B3325" s="4" t="s">
        <v>636</v>
      </c>
      <c r="C3325" s="4" t="s">
        <v>287</v>
      </c>
      <c r="D3325" s="94">
        <v>1643.0</v>
      </c>
    </row>
    <row r="3326">
      <c r="A3326" s="40" t="str">
        <f t="array" ref="A3326">IFNA(index(PlayerValues!A:A,match(IFNA(vlookup(B3326,'Special Names'!A:B,2,FALSE),B3326),PlayerValues!E:E,0)),"N/A")</f>
        <v>N/A</v>
      </c>
      <c r="B3326" s="4" t="s">
        <v>115</v>
      </c>
      <c r="C3326" s="4" t="s">
        <v>325</v>
      </c>
      <c r="D3326" s="94">
        <v>1642.0</v>
      </c>
    </row>
    <row r="3327">
      <c r="A3327" s="40">
        <f t="array" ref="A3327">IFNA(index(PlayerValues!A:A,match(IFNA(vlookup(B3327,'Special Names'!A:B,2,FALSE),B3327),PlayerValues!E:E,0)),"N/A")</f>
        <v>17465</v>
      </c>
      <c r="B3327" s="4" t="s">
        <v>649</v>
      </c>
      <c r="C3327" s="4" t="s">
        <v>283</v>
      </c>
      <c r="D3327" s="94">
        <v>1639.0</v>
      </c>
    </row>
    <row r="3328">
      <c r="A3328" s="40">
        <f t="array" ref="A3328">IFNA(index(PlayerValues!A:A,match(IFNA(vlookup(B3328,'Special Names'!A:B,2,FALSE),B3328),PlayerValues!E:E,0)),"N/A")</f>
        <v>15755</v>
      </c>
      <c r="B3328" s="4" t="s">
        <v>628</v>
      </c>
      <c r="C3328" s="4" t="s">
        <v>287</v>
      </c>
      <c r="D3328" s="94">
        <v>1628.0</v>
      </c>
    </row>
    <row r="3329">
      <c r="A3329" s="40" t="str">
        <f t="array" ref="A3329">IFNA(index(PlayerValues!A:A,match(IFNA(vlookup(B3329,'Special Names'!A:B,2,FALSE),B3329),PlayerValues!E:E,0)),"N/A")</f>
        <v>N/A</v>
      </c>
      <c r="B3329" s="4" t="s">
        <v>90</v>
      </c>
      <c r="C3329" s="4" t="s">
        <v>325</v>
      </c>
      <c r="D3329" s="94">
        <v>1625.0</v>
      </c>
    </row>
    <row r="3330">
      <c r="A3330" s="40">
        <f t="array" ref="A3330">IFNA(index(PlayerValues!A:A,match(IFNA(vlookup(B3330,'Special Names'!A:B,2,FALSE),B3330),PlayerValues!E:E,0)),"N/A")</f>
        <v>14105</v>
      </c>
      <c r="B3330" s="4" t="s">
        <v>675</v>
      </c>
      <c r="C3330" s="4" t="s">
        <v>287</v>
      </c>
      <c r="D3330" s="94">
        <v>1620.0</v>
      </c>
    </row>
    <row r="3331">
      <c r="A3331" s="40">
        <f t="array" ref="A3331">IFNA(index(PlayerValues!A:A,match(IFNA(vlookup(B3331,'Special Names'!A:B,2,FALSE),B3331),PlayerValues!E:E,0)),"N/A")</f>
        <v>16201</v>
      </c>
      <c r="B3331" s="4" t="s">
        <v>589</v>
      </c>
      <c r="C3331" s="4" t="s">
        <v>287</v>
      </c>
      <c r="D3331" s="94">
        <v>1617.0</v>
      </c>
    </row>
    <row r="3332">
      <c r="A3332" s="40">
        <f t="array" ref="A3332">IFNA(index(PlayerValues!A:A,match(IFNA(vlookup(B3332,'Special Names'!A:B,2,FALSE),B3332),PlayerValues!E:E,0)),"N/A")</f>
        <v>16601</v>
      </c>
      <c r="B3332" s="4" t="s">
        <v>648</v>
      </c>
      <c r="C3332" s="4" t="s">
        <v>278</v>
      </c>
      <c r="D3332" s="94">
        <v>1608.0</v>
      </c>
    </row>
    <row r="3333">
      <c r="A3333" s="40">
        <f t="array" ref="A3333">IFNA(index(PlayerValues!A:A,match(IFNA(vlookup(B3333,'Special Names'!A:B,2,FALSE),B3333),PlayerValues!E:E,0)),"N/A")</f>
        <v>16586</v>
      </c>
      <c r="B3333" s="4" t="s">
        <v>658</v>
      </c>
      <c r="C3333" s="4" t="s">
        <v>283</v>
      </c>
      <c r="D3333" s="94">
        <v>1582.0</v>
      </c>
    </row>
    <row r="3334">
      <c r="A3334" s="40" t="str">
        <f t="array" ref="A3334">IFNA(index(PlayerValues!A:A,match(IFNA(vlookup(B3334,'Special Names'!A:B,2,FALSE),B3334),PlayerValues!E:E,0)),"N/A")</f>
        <v>N/A</v>
      </c>
      <c r="B3334" s="4" t="s">
        <v>116</v>
      </c>
      <c r="C3334" s="4" t="s">
        <v>325</v>
      </c>
      <c r="D3334" s="94">
        <v>1576.0</v>
      </c>
    </row>
    <row r="3335">
      <c r="A3335" s="40">
        <f t="array" ref="A3335">IFNA(index(PlayerValues!A:A,match(IFNA(vlookup(B3335,'Special Names'!A:B,2,FALSE),B3335),PlayerValues!E:E,0)),"N/A")</f>
        <v>16629</v>
      </c>
      <c r="B3335" s="4" t="s">
        <v>605</v>
      </c>
      <c r="C3335" s="4" t="s">
        <v>287</v>
      </c>
      <c r="D3335" s="94">
        <v>1567.0</v>
      </c>
    </row>
    <row r="3336">
      <c r="A3336" s="40">
        <f t="array" ref="A3336">IFNA(index(PlayerValues!A:A,match(IFNA(vlookup(B3336,'Special Names'!A:B,2,FALSE),B3336),PlayerValues!E:E,0)),"N/A")</f>
        <v>15301</v>
      </c>
      <c r="B3336" s="4" t="s">
        <v>657</v>
      </c>
      <c r="C3336" s="4" t="s">
        <v>287</v>
      </c>
      <c r="D3336" s="94">
        <v>1561.0</v>
      </c>
    </row>
    <row r="3337">
      <c r="A3337" s="40" t="str">
        <f t="array" ref="A3337">IFNA(index(PlayerValues!A:A,match(IFNA(vlookup(B3337,'Special Names'!A:B,2,FALSE),B3337),PlayerValues!E:E,0)),"N/A")</f>
        <v>N/A</v>
      </c>
      <c r="B3337" s="4" t="s">
        <v>91</v>
      </c>
      <c r="C3337" s="4" t="s">
        <v>325</v>
      </c>
      <c r="D3337" s="94">
        <v>1560.0</v>
      </c>
    </row>
    <row r="3338">
      <c r="A3338" s="40">
        <f t="array" ref="A3338">IFNA(index(PlayerValues!A:A,match(IFNA(vlookup(B3338,'Special Names'!A:B,2,FALSE),B3338),PlayerValues!E:E,0)),"N/A")</f>
        <v>16633</v>
      </c>
      <c r="B3338" s="4" t="s">
        <v>656</v>
      </c>
      <c r="C3338" s="4" t="s">
        <v>287</v>
      </c>
      <c r="D3338" s="94">
        <v>1560.0</v>
      </c>
    </row>
    <row r="3339">
      <c r="A3339" s="40">
        <f t="array" ref="A3339">IFNA(index(PlayerValues!A:A,match(IFNA(vlookup(B3339,'Special Names'!A:B,2,FALSE),B3339),PlayerValues!E:E,0)),"N/A")</f>
        <v>15254</v>
      </c>
      <c r="B3339" s="4" t="s">
        <v>633</v>
      </c>
      <c r="C3339" s="4" t="s">
        <v>278</v>
      </c>
      <c r="D3339" s="94">
        <v>1557.0</v>
      </c>
    </row>
    <row r="3340">
      <c r="A3340" s="40">
        <f t="array" ref="A3340">IFNA(index(PlayerValues!A:A,match(IFNA(vlookup(B3340,'Special Names'!A:B,2,FALSE),B3340),PlayerValues!E:E,0)),"N/A")</f>
        <v>15319</v>
      </c>
      <c r="B3340" s="4" t="s">
        <v>644</v>
      </c>
      <c r="C3340" s="4" t="s">
        <v>287</v>
      </c>
      <c r="D3340" s="94">
        <v>1546.0</v>
      </c>
    </row>
    <row r="3341">
      <c r="A3341" s="40">
        <f t="array" ref="A3341">IFNA(index(PlayerValues!A:A,match(IFNA(vlookup(B3341,'Special Names'!A:B,2,FALSE),B3341),PlayerValues!E:E,0)),"N/A")</f>
        <v>17529</v>
      </c>
      <c r="B3341" s="4" t="s">
        <v>608</v>
      </c>
      <c r="C3341" s="4" t="s">
        <v>287</v>
      </c>
      <c r="D3341" s="94">
        <v>1545.0</v>
      </c>
    </row>
    <row r="3342">
      <c r="A3342" s="40">
        <f t="array" ref="A3342">IFNA(index(PlayerValues!A:A,match(IFNA(vlookup(B3342,'Special Names'!A:B,2,FALSE),B3342),PlayerValues!E:E,0)),"N/A")</f>
        <v>17234</v>
      </c>
      <c r="B3342" s="4" t="s">
        <v>653</v>
      </c>
      <c r="C3342" s="4" t="s">
        <v>287</v>
      </c>
      <c r="D3342" s="94">
        <v>1539.0</v>
      </c>
    </row>
    <row r="3343">
      <c r="A3343" s="40">
        <f t="array" ref="A3343">IFNA(index(PlayerValues!A:A,match(IFNA(vlookup(B3343,'Special Names'!A:B,2,FALSE),B3343),PlayerValues!E:E,0)),"N/A")</f>
        <v>15713</v>
      </c>
      <c r="B3343" s="4" t="s">
        <v>732</v>
      </c>
      <c r="C3343" s="4" t="s">
        <v>278</v>
      </c>
      <c r="D3343" s="94">
        <v>1515.0</v>
      </c>
    </row>
    <row r="3344">
      <c r="A3344" s="40">
        <f t="array" ref="A3344">IFNA(index(PlayerValues!A:A,match(IFNA(vlookup(B3344,'Special Names'!A:B,2,FALSE),B3344),PlayerValues!E:E,0)),"N/A")</f>
        <v>17205</v>
      </c>
      <c r="B3344" s="4" t="s">
        <v>665</v>
      </c>
      <c r="C3344" s="4" t="s">
        <v>287</v>
      </c>
      <c r="D3344" s="94">
        <v>1514.0</v>
      </c>
    </row>
    <row r="3345">
      <c r="A3345" s="40">
        <f t="array" ref="A3345">IFNA(index(PlayerValues!A:A,match(IFNA(vlookup(B3345,'Special Names'!A:B,2,FALSE),B3345),PlayerValues!E:E,0)),"N/A")</f>
        <v>14122</v>
      </c>
      <c r="B3345" s="4" t="s">
        <v>663</v>
      </c>
      <c r="C3345" s="4" t="s">
        <v>287</v>
      </c>
      <c r="D3345" s="94">
        <v>1505.0</v>
      </c>
    </row>
    <row r="3346">
      <c r="A3346" s="40">
        <f t="array" ref="A3346">IFNA(index(PlayerValues!A:A,match(IFNA(vlookup(B3346,'Special Names'!A:B,2,FALSE),B3346),PlayerValues!E:E,0)),"N/A")</f>
        <v>15337</v>
      </c>
      <c r="B3346" s="4" t="s">
        <v>655</v>
      </c>
      <c r="C3346" s="4" t="s">
        <v>298</v>
      </c>
      <c r="D3346" s="94">
        <v>1868.0</v>
      </c>
    </row>
    <row r="3347">
      <c r="A3347" s="40">
        <f t="array" ref="A3347">IFNA(index(PlayerValues!A:A,match(IFNA(vlookup(B3347,'Special Names'!A:B,2,FALSE),B3347),PlayerValues!E:E,0)),"N/A")</f>
        <v>16595</v>
      </c>
      <c r="B3347" s="4" t="s">
        <v>664</v>
      </c>
      <c r="C3347" s="4" t="s">
        <v>278</v>
      </c>
      <c r="D3347" s="94">
        <v>1494.0</v>
      </c>
    </row>
    <row r="3348">
      <c r="A3348" s="40">
        <f t="array" ref="A3348">IFNA(index(PlayerValues!A:A,match(IFNA(vlookup(B3348,'Special Names'!A:B,2,FALSE),B3348),PlayerValues!E:E,0)),"N/A")</f>
        <v>16688</v>
      </c>
      <c r="B3348" s="4" t="s">
        <v>688</v>
      </c>
      <c r="C3348" s="4" t="s">
        <v>278</v>
      </c>
      <c r="D3348" s="94">
        <v>1494.0</v>
      </c>
    </row>
    <row r="3349">
      <c r="A3349" s="40">
        <f t="array" ref="A3349">IFNA(index(PlayerValues!A:A,match(IFNA(vlookup(B3349,'Special Names'!A:B,2,FALSE),B3349),PlayerValues!E:E,0)),"N/A")</f>
        <v>16175</v>
      </c>
      <c r="B3349" s="4" t="s">
        <v>654</v>
      </c>
      <c r="C3349" s="4" t="s">
        <v>278</v>
      </c>
      <c r="D3349" s="94">
        <v>1486.0</v>
      </c>
    </row>
    <row r="3350">
      <c r="A3350" s="40">
        <f t="array" ref="A3350">IFNA(index(PlayerValues!A:A,match(IFNA(vlookup(B3350,'Special Names'!A:B,2,FALSE),B3350),PlayerValues!E:E,0)),"N/A")</f>
        <v>17054</v>
      </c>
      <c r="B3350" s="4" t="s">
        <v>670</v>
      </c>
      <c r="C3350" s="4" t="s">
        <v>278</v>
      </c>
      <c r="D3350" s="94">
        <v>1477.0</v>
      </c>
    </row>
    <row r="3351">
      <c r="A3351" s="40">
        <f t="array" ref="A3351">IFNA(index(PlayerValues!A:A,match(IFNA(vlookup(B3351,'Special Names'!A:B,2,FALSE),B3351),PlayerValues!E:E,0)),"N/A")</f>
        <v>15752</v>
      </c>
      <c r="B3351" s="4" t="s">
        <v>647</v>
      </c>
      <c r="C3351" s="4" t="s">
        <v>287</v>
      </c>
      <c r="D3351" s="94">
        <v>1468.0</v>
      </c>
    </row>
    <row r="3352">
      <c r="A3352" s="40">
        <f t="array" ref="A3352">IFNA(index(PlayerValues!A:A,match(IFNA(vlookup(B3352,'Special Names'!A:B,2,FALSE),B3352),PlayerValues!E:E,0)),"N/A")</f>
        <v>13672</v>
      </c>
      <c r="B3352" s="4" t="s">
        <v>667</v>
      </c>
      <c r="C3352" s="4" t="s">
        <v>298</v>
      </c>
      <c r="D3352" s="94">
        <v>1834.0</v>
      </c>
    </row>
    <row r="3353">
      <c r="A3353" s="40">
        <f t="array" ref="A3353">IFNA(index(PlayerValues!A:A,match(IFNA(vlookup(B3353,'Special Names'!A:B,2,FALSE),B3353),PlayerValues!E:E,0)),"N/A")</f>
        <v>16788</v>
      </c>
      <c r="B3353" s="4" t="s">
        <v>621</v>
      </c>
      <c r="C3353" s="4" t="s">
        <v>287</v>
      </c>
      <c r="D3353" s="94">
        <v>1452.0</v>
      </c>
    </row>
    <row r="3354">
      <c r="A3354" s="40">
        <f t="array" ref="A3354">IFNA(index(PlayerValues!A:A,match(IFNA(vlookup(B3354,'Special Names'!A:B,2,FALSE),B3354),PlayerValues!E:E,0)),"N/A")</f>
        <v>15873</v>
      </c>
      <c r="B3354" s="4" t="s">
        <v>681</v>
      </c>
      <c r="C3354" s="4" t="s">
        <v>298</v>
      </c>
      <c r="D3354" s="94">
        <v>1810.0</v>
      </c>
    </row>
    <row r="3355">
      <c r="A3355" s="40">
        <f t="array" ref="A3355">IFNA(index(PlayerValues!A:A,match(IFNA(vlookup(B3355,'Special Names'!A:B,2,FALSE),B3355),PlayerValues!E:E,0)),"N/A")</f>
        <v>15759</v>
      </c>
      <c r="B3355" s="4" t="s">
        <v>662</v>
      </c>
      <c r="C3355" s="4" t="s">
        <v>287</v>
      </c>
      <c r="D3355" s="94">
        <v>1433.0</v>
      </c>
    </row>
    <row r="3356">
      <c r="A3356" s="40">
        <f t="array" ref="A3356">IFNA(index(PlayerValues!A:A,match(IFNA(vlookup(B3356,'Special Names'!A:B,2,FALSE),B3356),PlayerValues!E:E,0)),"N/A")</f>
        <v>15777</v>
      </c>
      <c r="B3356" s="4" t="s">
        <v>694</v>
      </c>
      <c r="C3356" s="4" t="s">
        <v>287</v>
      </c>
      <c r="D3356" s="94">
        <v>1422.0</v>
      </c>
    </row>
    <row r="3357">
      <c r="A3357" s="40">
        <f t="array" ref="A3357">IFNA(index(PlayerValues!A:A,match(IFNA(vlookup(B3357,'Special Names'!A:B,2,FALSE),B3357),PlayerValues!E:E,0)),"N/A")</f>
        <v>16390</v>
      </c>
      <c r="B3357" s="4" t="s">
        <v>689</v>
      </c>
      <c r="C3357" s="4" t="s">
        <v>278</v>
      </c>
      <c r="D3357" s="94">
        <v>1418.0</v>
      </c>
    </row>
    <row r="3358">
      <c r="A3358" s="40">
        <f t="array" ref="A3358">IFNA(index(PlayerValues!A:A,match(IFNA(vlookup(B3358,'Special Names'!A:B,2,FALSE),B3358),PlayerValues!E:E,0)),"N/A")</f>
        <v>17519</v>
      </c>
      <c r="B3358" s="4" t="s">
        <v>593</v>
      </c>
      <c r="C3358" s="4" t="s">
        <v>287</v>
      </c>
      <c r="D3358" s="94">
        <v>1417.0</v>
      </c>
    </row>
    <row r="3359">
      <c r="A3359" s="40">
        <f t="array" ref="A3359">IFNA(index(PlayerValues!A:A,match(IFNA(vlookup(B3359,'Special Names'!A:B,2,FALSE),B3359),PlayerValues!E:E,0)),"N/A")</f>
        <v>16621</v>
      </c>
      <c r="B3359" s="4" t="s">
        <v>672</v>
      </c>
      <c r="C3359" s="4" t="s">
        <v>287</v>
      </c>
      <c r="D3359" s="94">
        <v>1411.0</v>
      </c>
    </row>
    <row r="3360">
      <c r="A3360" s="40">
        <f t="array" ref="A3360">IFNA(index(PlayerValues!A:A,match(IFNA(vlookup(B3360,'Special Names'!A:B,2,FALSE),B3360),PlayerValues!E:E,0)),"N/A")</f>
        <v>14137</v>
      </c>
      <c r="B3360" s="4" t="s">
        <v>676</v>
      </c>
      <c r="C3360" s="4" t="s">
        <v>298</v>
      </c>
      <c r="D3360" s="94">
        <v>1774.0</v>
      </c>
    </row>
    <row r="3361">
      <c r="A3361" s="40">
        <f t="array" ref="A3361">IFNA(index(PlayerValues!A:A,match(IFNA(vlookup(B3361,'Special Names'!A:B,2,FALSE),B3361),PlayerValues!E:E,0)),"N/A")</f>
        <v>17521</v>
      </c>
      <c r="B3361" s="4" t="s">
        <v>573</v>
      </c>
      <c r="C3361" s="4" t="s">
        <v>287</v>
      </c>
      <c r="D3361" s="94">
        <v>1397.0</v>
      </c>
    </row>
    <row r="3362">
      <c r="A3362" s="40">
        <f t="array" ref="A3362">IFNA(index(PlayerValues!A:A,match(IFNA(vlookup(B3362,'Special Names'!A:B,2,FALSE),B3362),PlayerValues!E:E,0)),"N/A")</f>
        <v>15738</v>
      </c>
      <c r="B3362" s="4" t="s">
        <v>634</v>
      </c>
      <c r="C3362" s="4" t="s">
        <v>278</v>
      </c>
      <c r="D3362" s="94">
        <v>1396.0</v>
      </c>
    </row>
    <row r="3363">
      <c r="A3363" s="40">
        <f t="array" ref="A3363">IFNA(index(PlayerValues!A:A,match(IFNA(vlookup(B3363,'Special Names'!A:B,2,FALSE),B3363),PlayerValues!E:E,0)),"N/A")</f>
        <v>16387</v>
      </c>
      <c r="B3363" s="4" t="s">
        <v>646</v>
      </c>
      <c r="C3363" s="4" t="s">
        <v>278</v>
      </c>
      <c r="D3363" s="94">
        <v>1396.0</v>
      </c>
    </row>
    <row r="3364">
      <c r="A3364" s="40">
        <f t="array" ref="A3364">IFNA(index(PlayerValues!A:A,match(IFNA(vlookup(B3364,'Special Names'!A:B,2,FALSE),B3364),PlayerValues!E:E,0)),"N/A")</f>
        <v>16631</v>
      </c>
      <c r="B3364" s="4" t="s">
        <v>800</v>
      </c>
      <c r="C3364" s="4" t="s">
        <v>287</v>
      </c>
      <c r="D3364" s="94">
        <v>1396.0</v>
      </c>
    </row>
    <row r="3365">
      <c r="A3365" s="40">
        <f t="array" ref="A3365">IFNA(index(PlayerValues!A:A,match(IFNA(vlookup(B3365,'Special Names'!A:B,2,FALSE),B3365),PlayerValues!E:E,0)),"N/A")</f>
        <v>16642</v>
      </c>
      <c r="B3365" s="4" t="s">
        <v>691</v>
      </c>
      <c r="C3365" s="4" t="s">
        <v>298</v>
      </c>
      <c r="D3365" s="94">
        <v>1765.0</v>
      </c>
    </row>
    <row r="3366">
      <c r="A3366" s="40">
        <f t="array" ref="A3366">IFNA(index(PlayerValues!A:A,match(IFNA(vlookup(B3366,'Special Names'!A:B,2,FALSE),B3366),PlayerValues!E:E,0)),"N/A")</f>
        <v>16384</v>
      </c>
      <c r="B3366" s="4" t="s">
        <v>696</v>
      </c>
      <c r="C3366" s="4" t="s">
        <v>283</v>
      </c>
      <c r="D3366" s="94">
        <v>1388.0</v>
      </c>
    </row>
    <row r="3367">
      <c r="A3367" s="40">
        <f t="array" ref="A3367">IFNA(index(PlayerValues!A:A,match(IFNA(vlookup(B3367,'Special Names'!A:B,2,FALSE),B3367),PlayerValues!E:E,0)),"N/A")</f>
        <v>16608</v>
      </c>
      <c r="B3367" s="4" t="s">
        <v>629</v>
      </c>
      <c r="C3367" s="4" t="s">
        <v>278</v>
      </c>
      <c r="D3367" s="94">
        <v>1373.0</v>
      </c>
    </row>
    <row r="3368">
      <c r="A3368" s="40">
        <f t="array" ref="A3368">IFNA(index(PlayerValues!A:A,match(IFNA(vlookup(B3368,'Special Names'!A:B,2,FALSE),B3368),PlayerValues!E:E,0)),"N/A")</f>
        <v>16792</v>
      </c>
      <c r="B3368" s="4" t="s">
        <v>704</v>
      </c>
      <c r="C3368" s="4" t="s">
        <v>287</v>
      </c>
      <c r="D3368" s="94">
        <v>1367.0</v>
      </c>
    </row>
    <row r="3369">
      <c r="A3369" s="40">
        <f t="array" ref="A3369">IFNA(index(PlayerValues!A:A,match(IFNA(vlookup(B3369,'Special Names'!A:B,2,FALSE),B3369),PlayerValues!E:E,0)),"N/A")</f>
        <v>17599</v>
      </c>
      <c r="B3369" s="4" t="s">
        <v>496</v>
      </c>
      <c r="C3369" s="4" t="s">
        <v>287</v>
      </c>
      <c r="D3369" s="94">
        <v>1361.0</v>
      </c>
    </row>
    <row r="3370">
      <c r="A3370" s="40">
        <f t="array" ref="A3370">IFNA(index(PlayerValues!A:A,match(IFNA(vlookup(B3370,'Special Names'!A:B,2,FALSE),B3370),PlayerValues!E:E,0)),"N/A")</f>
        <v>14086</v>
      </c>
      <c r="B3370" s="4" t="s">
        <v>639</v>
      </c>
      <c r="C3370" s="4" t="s">
        <v>278</v>
      </c>
      <c r="D3370" s="94">
        <v>1351.0</v>
      </c>
    </row>
    <row r="3371">
      <c r="A3371" s="40">
        <f t="array" ref="A3371">IFNA(index(PlayerValues!A:A,match(IFNA(vlookup(B3371,'Special Names'!A:B,2,FALSE),B3371),PlayerValues!E:E,0)),"N/A")</f>
        <v>15292</v>
      </c>
      <c r="B3371" s="4" t="s">
        <v>682</v>
      </c>
      <c r="C3371" s="4" t="s">
        <v>287</v>
      </c>
      <c r="D3371" s="94">
        <v>1347.0</v>
      </c>
    </row>
    <row r="3372">
      <c r="A3372" s="40">
        <f t="array" ref="A3372">IFNA(index(PlayerValues!A:A,match(IFNA(vlookup(B3372,'Special Names'!A:B,2,FALSE),B3372),PlayerValues!E:E,0)),"N/A")</f>
        <v>17037</v>
      </c>
      <c r="B3372" s="4" t="s">
        <v>727</v>
      </c>
      <c r="C3372" s="4" t="s">
        <v>283</v>
      </c>
      <c r="D3372" s="94">
        <v>1318.0</v>
      </c>
    </row>
    <row r="3373">
      <c r="A3373" s="40">
        <f t="array" ref="A3373">IFNA(index(PlayerValues!A:A,match(IFNA(vlookup(B3373,'Special Names'!A:B,2,FALSE),B3373),PlayerValues!E:E,0)),"N/A")</f>
        <v>17685</v>
      </c>
      <c r="B3373" s="4" t="s">
        <v>630</v>
      </c>
      <c r="C3373" s="4" t="s">
        <v>278</v>
      </c>
      <c r="D3373" s="94">
        <v>1316.0</v>
      </c>
    </row>
    <row r="3374">
      <c r="A3374" s="40">
        <f t="array" ref="A3374">IFNA(index(PlayerValues!A:A,match(IFNA(vlookup(B3374,'Special Names'!A:B,2,FALSE),B3374),PlayerValues!E:E,0)),"N/A")</f>
        <v>12140</v>
      </c>
      <c r="B3374" s="4" t="s">
        <v>702</v>
      </c>
      <c r="C3374" s="4" t="s">
        <v>283</v>
      </c>
      <c r="D3374" s="94">
        <v>1312.0</v>
      </c>
    </row>
    <row r="3375">
      <c r="A3375" s="40">
        <f t="array" ref="A3375">IFNA(index(PlayerValues!A:A,match(IFNA(vlookup(B3375,'Special Names'!A:B,2,FALSE),B3375),PlayerValues!E:E,0)),"N/A")</f>
        <v>17254</v>
      </c>
      <c r="B3375" s="4" t="s">
        <v>679</v>
      </c>
      <c r="C3375" s="4" t="s">
        <v>287</v>
      </c>
      <c r="D3375" s="94">
        <v>1309.0</v>
      </c>
    </row>
    <row r="3376">
      <c r="A3376" s="40">
        <f t="array" ref="A3376">IFNA(index(PlayerValues!A:A,match(IFNA(vlookup(B3376,'Special Names'!A:B,2,FALSE),B3376),PlayerValues!E:E,0)),"N/A")</f>
        <v>17062</v>
      </c>
      <c r="B3376" s="4" t="s">
        <v>701</v>
      </c>
      <c r="C3376" s="4" t="s">
        <v>278</v>
      </c>
      <c r="D3376" s="94">
        <v>1302.0</v>
      </c>
    </row>
    <row r="3377">
      <c r="A3377" s="40">
        <f t="array" ref="A3377">IFNA(index(PlayerValues!A:A,match(IFNA(vlookup(B3377,'Special Names'!A:B,2,FALSE),B3377),PlayerValues!E:E,0)),"N/A")</f>
        <v>12678</v>
      </c>
      <c r="B3377" s="4" t="s">
        <v>703</v>
      </c>
      <c r="C3377" s="4" t="s">
        <v>298</v>
      </c>
      <c r="D3377" s="94">
        <v>1653.0</v>
      </c>
    </row>
    <row r="3378">
      <c r="A3378" s="40">
        <f t="array" ref="A3378">IFNA(index(PlayerValues!A:A,match(IFNA(vlookup(B3378,'Special Names'!A:B,2,FALSE),B3378),PlayerValues!E:E,0)),"N/A")</f>
        <v>13418</v>
      </c>
      <c r="B3378" s="4" t="s">
        <v>706</v>
      </c>
      <c r="C3378" s="4" t="s">
        <v>287</v>
      </c>
      <c r="D3378" s="94">
        <v>1275.0</v>
      </c>
    </row>
    <row r="3379">
      <c r="A3379" s="40">
        <f t="array" ref="A3379">IFNA(index(PlayerValues!A:A,match(IFNA(vlookup(B3379,'Special Names'!A:B,2,FALSE),B3379),PlayerValues!E:E,0)),"N/A")</f>
        <v>15252</v>
      </c>
      <c r="B3379" s="4" t="s">
        <v>715</v>
      </c>
      <c r="C3379" s="4" t="s">
        <v>283</v>
      </c>
      <c r="D3379" s="94">
        <v>1270.0</v>
      </c>
    </row>
    <row r="3380">
      <c r="A3380" s="40" t="str">
        <f t="array" ref="A3380">IFNA(index(PlayerValues!A:A,match(IFNA(vlookup(B3380,'Special Names'!A:B,2,FALSE),B3380),PlayerValues!E:E,0)),"N/A")</f>
        <v>N/A</v>
      </c>
      <c r="B3380" s="4" t="s">
        <v>117</v>
      </c>
      <c r="C3380" s="4" t="s">
        <v>325</v>
      </c>
      <c r="D3380" s="94">
        <v>1261.0</v>
      </c>
    </row>
    <row r="3381">
      <c r="A3381" s="40">
        <f t="array" ref="A3381">IFNA(index(PlayerValues!A:A,match(IFNA(vlookup(B3381,'Special Names'!A:B,2,FALSE),B3381),PlayerValues!E:E,0)),"N/A")</f>
        <v>12141</v>
      </c>
      <c r="B3381" s="4" t="s">
        <v>744</v>
      </c>
      <c r="C3381" s="4" t="s">
        <v>283</v>
      </c>
      <c r="D3381" s="94">
        <v>1257.0</v>
      </c>
    </row>
    <row r="3382">
      <c r="A3382" s="40">
        <f t="array" ref="A3382">IFNA(index(PlayerValues!A:A,match(IFNA(vlookup(B3382,'Special Names'!A:B,2,FALSE),B3382),PlayerValues!E:E,0)),"N/A")</f>
        <v>16645</v>
      </c>
      <c r="B3382" s="4" t="s">
        <v>651</v>
      </c>
      <c r="C3382" s="4" t="s">
        <v>298</v>
      </c>
      <c r="D3382" s="94">
        <v>1624.0</v>
      </c>
    </row>
    <row r="3383">
      <c r="A3383" s="40">
        <f t="array" ref="A3383">IFNA(index(PlayerValues!A:A,match(IFNA(vlookup(B3383,'Special Names'!A:B,2,FALSE),B3383),PlayerValues!E:E,0)),"N/A")</f>
        <v>14592</v>
      </c>
      <c r="B3383" s="4" t="s">
        <v>705</v>
      </c>
      <c r="C3383" s="4" t="s">
        <v>287</v>
      </c>
      <c r="D3383" s="94">
        <v>1256.0</v>
      </c>
    </row>
    <row r="3384">
      <c r="A3384" s="40">
        <f t="array" ref="A3384">IFNA(index(PlayerValues!A:A,match(IFNA(vlookup(B3384,'Special Names'!A:B,2,FALSE),B3384),PlayerValues!E:E,0)),"N/A")</f>
        <v>14080</v>
      </c>
      <c r="B3384" s="4" t="s">
        <v>716</v>
      </c>
      <c r="C3384" s="4" t="s">
        <v>278</v>
      </c>
      <c r="D3384" s="94">
        <v>1246.0</v>
      </c>
    </row>
    <row r="3385">
      <c r="A3385" s="40">
        <f t="array" ref="A3385">IFNA(index(PlayerValues!A:A,match(IFNA(vlookup(B3385,'Special Names'!A:B,2,FALSE),B3385),PlayerValues!E:E,0)),"N/A")</f>
        <v>15332</v>
      </c>
      <c r="B3385" s="4" t="s">
        <v>698</v>
      </c>
      <c r="C3385" s="4" t="s">
        <v>298</v>
      </c>
      <c r="D3385" s="94">
        <v>1613.0</v>
      </c>
    </row>
    <row r="3386">
      <c r="A3386" s="40">
        <f t="array" ref="A3386">IFNA(index(PlayerValues!A:A,match(IFNA(vlookup(B3386,'Special Names'!A:B,2,FALSE),B3386),PlayerValues!E:E,0)),"N/A")</f>
        <v>14095</v>
      </c>
      <c r="B3386" s="4" t="s">
        <v>680</v>
      </c>
      <c r="C3386" s="4" t="s">
        <v>278</v>
      </c>
      <c r="D3386" s="94">
        <v>1245.0</v>
      </c>
    </row>
    <row r="3387">
      <c r="A3387" s="40">
        <f t="array" ref="A3387">IFNA(index(PlayerValues!A:A,match(IFNA(vlookup(B3387,'Special Names'!A:B,2,FALSE),B3387),PlayerValues!E:E,0)),"N/A")</f>
        <v>16149</v>
      </c>
      <c r="B3387" s="4" t="s">
        <v>740</v>
      </c>
      <c r="C3387" s="4" t="s">
        <v>283</v>
      </c>
      <c r="D3387" s="94">
        <v>1239.0</v>
      </c>
    </row>
    <row r="3388">
      <c r="A3388" s="40">
        <f t="array" ref="A3388">IFNA(index(PlayerValues!A:A,match(IFNA(vlookup(B3388,'Special Names'!A:B,2,FALSE),B3388),PlayerValues!E:E,0)),"N/A")</f>
        <v>11222</v>
      </c>
      <c r="B3388" s="4" t="s">
        <v>622</v>
      </c>
      <c r="C3388" s="4" t="s">
        <v>287</v>
      </c>
      <c r="D3388" s="94">
        <v>1233.0</v>
      </c>
    </row>
    <row r="3389">
      <c r="A3389" s="40">
        <f t="array" ref="A3389">IFNA(index(PlayerValues!A:A,match(IFNA(vlookup(B3389,'Special Names'!A:B,2,FALSE),B3389),PlayerValues!E:E,0)),"N/A")</f>
        <v>15702</v>
      </c>
      <c r="B3389" s="4" t="s">
        <v>723</v>
      </c>
      <c r="C3389" s="4" t="s">
        <v>283</v>
      </c>
      <c r="D3389" s="94">
        <v>1225.0</v>
      </c>
    </row>
    <row r="3390">
      <c r="A3390" s="40">
        <f t="array" ref="A3390">IFNA(index(PlayerValues!A:A,match(IFNA(vlookup(B3390,'Special Names'!A:B,2,FALSE),B3390),PlayerValues!E:E,0)),"N/A")</f>
        <v>16636</v>
      </c>
      <c r="B3390" s="4" t="s">
        <v>699</v>
      </c>
      <c r="C3390" s="4" t="s">
        <v>287</v>
      </c>
      <c r="D3390" s="94">
        <v>1224.0</v>
      </c>
    </row>
    <row r="3391">
      <c r="A3391" s="40">
        <f t="array" ref="A3391">IFNA(index(PlayerValues!A:A,match(IFNA(vlookup(B3391,'Special Names'!A:B,2,FALSE),B3391),PlayerValues!E:E,0)),"N/A")</f>
        <v>17097</v>
      </c>
      <c r="B3391" s="4" t="s">
        <v>659</v>
      </c>
      <c r="C3391" s="4" t="s">
        <v>287</v>
      </c>
      <c r="D3391" s="94">
        <v>1221.0</v>
      </c>
    </row>
    <row r="3392">
      <c r="A3392" s="40">
        <f t="array" ref="A3392">IFNA(index(PlayerValues!A:A,match(IFNA(vlookup(B3392,'Special Names'!A:B,2,FALSE),B3392),PlayerValues!E:E,0)),"N/A")</f>
        <v>17077</v>
      </c>
      <c r="B3392" s="4" t="s">
        <v>714</v>
      </c>
      <c r="C3392" s="4" t="s">
        <v>287</v>
      </c>
      <c r="D3392" s="94">
        <v>1219.0</v>
      </c>
    </row>
    <row r="3393">
      <c r="A3393" s="40">
        <f t="array" ref="A3393">IFNA(index(PlayerValues!A:A,match(IFNA(vlookup(B3393,'Special Names'!A:B,2,FALSE),B3393),PlayerValues!E:E,0)),"N/A")</f>
        <v>16746</v>
      </c>
      <c r="B3393" s="4" t="s">
        <v>709</v>
      </c>
      <c r="C3393" s="4" t="s">
        <v>278</v>
      </c>
      <c r="D3393" s="94">
        <v>1213.0</v>
      </c>
    </row>
    <row r="3394">
      <c r="A3394" s="40">
        <f t="array" ref="A3394">IFNA(index(PlayerValues!A:A,match(IFNA(vlookup(B3394,'Special Names'!A:B,2,FALSE),B3394),PlayerValues!E:E,0)),"N/A")</f>
        <v>16183</v>
      </c>
      <c r="B3394" s="4" t="s">
        <v>678</v>
      </c>
      <c r="C3394" s="4" t="s">
        <v>287</v>
      </c>
      <c r="D3394" s="94">
        <v>1212.0</v>
      </c>
    </row>
    <row r="3395">
      <c r="A3395" s="40">
        <f t="array" ref="A3395">IFNA(index(PlayerValues!A:A,match(IFNA(vlookup(B3395,'Special Names'!A:B,2,FALSE),B3395),PlayerValues!E:E,0)),"N/A")</f>
        <v>14789</v>
      </c>
      <c r="B3395" s="4" t="s">
        <v>721</v>
      </c>
      <c r="C3395" s="4" t="s">
        <v>283</v>
      </c>
      <c r="D3395" s="94">
        <v>1210.0</v>
      </c>
    </row>
    <row r="3396">
      <c r="A3396" s="40">
        <f t="array" ref="A3396">IFNA(index(PlayerValues!A:A,match(IFNA(vlookup(B3396,'Special Names'!A:B,2,FALSE),B3396),PlayerValues!E:E,0)),"N/A")</f>
        <v>16333</v>
      </c>
      <c r="B3396" s="4" t="s">
        <v>711</v>
      </c>
      <c r="C3396" s="4" t="s">
        <v>298</v>
      </c>
      <c r="D3396" s="94">
        <v>1566.0</v>
      </c>
    </row>
    <row r="3397">
      <c r="A3397" s="40">
        <f t="array" ref="A3397">IFNA(index(PlayerValues!A:A,match(IFNA(vlookup(B3397,'Special Names'!A:B,2,FALSE),B3397),PlayerValues!E:E,0)),"N/A")</f>
        <v>17652</v>
      </c>
      <c r="B3397" s="4" t="s">
        <v>576</v>
      </c>
      <c r="C3397" s="4" t="s">
        <v>278</v>
      </c>
      <c r="D3397" s="94">
        <v>1197.0</v>
      </c>
    </row>
    <row r="3398">
      <c r="A3398" s="40">
        <f t="array" ref="A3398">IFNA(index(PlayerValues!A:A,match(IFNA(vlookup(B3398,'Special Names'!A:B,2,FALSE),B3398),PlayerValues!E:E,0)),"N/A")</f>
        <v>16883</v>
      </c>
      <c r="B3398" s="4" t="s">
        <v>683</v>
      </c>
      <c r="C3398" s="4" t="s">
        <v>287</v>
      </c>
      <c r="D3398" s="94">
        <v>1196.0</v>
      </c>
    </row>
    <row r="3399">
      <c r="A3399" s="40">
        <f t="array" ref="A3399">IFNA(index(PlayerValues!A:A,match(IFNA(vlookup(B3399,'Special Names'!A:B,2,FALSE),B3399),PlayerValues!E:E,0)),"N/A")</f>
        <v>17269</v>
      </c>
      <c r="B3399" s="4" t="s">
        <v>718</v>
      </c>
      <c r="C3399" s="4" t="s">
        <v>287</v>
      </c>
      <c r="D3399" s="94">
        <v>1192.0</v>
      </c>
    </row>
    <row r="3400">
      <c r="A3400" s="40">
        <f t="array" ref="A3400">IFNA(index(PlayerValues!A:A,match(IFNA(vlookup(B3400,'Special Names'!A:B,2,FALSE),B3400),PlayerValues!E:E,0)),"N/A")</f>
        <v>17109</v>
      </c>
      <c r="B3400" s="4" t="s">
        <v>707</v>
      </c>
      <c r="C3400" s="4" t="s">
        <v>298</v>
      </c>
      <c r="D3400" s="94">
        <v>1550.0</v>
      </c>
    </row>
    <row r="3401">
      <c r="A3401" s="40">
        <f t="array" ref="A3401">IFNA(index(PlayerValues!A:A,match(IFNA(vlookup(B3401,'Special Names'!A:B,2,FALSE),B3401),PlayerValues!E:E,0)),"N/A")</f>
        <v>17063</v>
      </c>
      <c r="B3401" s="4" t="s">
        <v>686</v>
      </c>
      <c r="C3401" s="4" t="s">
        <v>278</v>
      </c>
      <c r="D3401" s="94">
        <v>1179.0</v>
      </c>
    </row>
    <row r="3402">
      <c r="A3402" s="40">
        <f t="array" ref="A3402">IFNA(index(PlayerValues!A:A,match(IFNA(vlookup(B3402,'Special Names'!A:B,2,FALSE),B3402),PlayerValues!E:E,0)),"N/A")</f>
        <v>17546</v>
      </c>
      <c r="B3402" s="4" t="s">
        <v>671</v>
      </c>
      <c r="C3402" s="4" t="s">
        <v>298</v>
      </c>
      <c r="D3402" s="94">
        <v>1534.0</v>
      </c>
    </row>
    <row r="3403">
      <c r="A3403" s="40">
        <f t="array" ref="A3403">IFNA(index(PlayerValues!A:A,match(IFNA(vlookup(B3403,'Special Names'!A:B,2,FALSE),B3403),PlayerValues!E:E,0)),"N/A")</f>
        <v>17057</v>
      </c>
      <c r="B3403" s="4" t="s">
        <v>708</v>
      </c>
      <c r="C3403" s="4" t="s">
        <v>278</v>
      </c>
      <c r="D3403" s="94">
        <v>1164.0</v>
      </c>
    </row>
    <row r="3404">
      <c r="A3404" s="40">
        <f t="array" ref="A3404">IFNA(index(PlayerValues!A:A,match(IFNA(vlookup(B3404,'Special Names'!A:B,2,FALSE),B3404),PlayerValues!E:E,0)),"N/A")</f>
        <v>17510</v>
      </c>
      <c r="B3404" s="4" t="s">
        <v>661</v>
      </c>
      <c r="C3404" s="4" t="s">
        <v>287</v>
      </c>
      <c r="D3404" s="94">
        <v>1157.0</v>
      </c>
    </row>
    <row r="3405">
      <c r="A3405" s="40">
        <f t="array" ref="A3405">IFNA(index(PlayerValues!A:A,match(IFNA(vlookup(B3405,'Special Names'!A:B,2,FALSE),B3405),PlayerValues!E:E,0)),"N/A")</f>
        <v>15288</v>
      </c>
      <c r="B3405" s="4" t="s">
        <v>700</v>
      </c>
      <c r="C3405" s="4" t="s">
        <v>287</v>
      </c>
      <c r="D3405" s="94">
        <v>1153.0</v>
      </c>
    </row>
    <row r="3406">
      <c r="A3406" s="40">
        <f t="array" ref="A3406">IFNA(index(PlayerValues!A:A,match(IFNA(vlookup(B3406,'Special Names'!A:B,2,FALSE),B3406),PlayerValues!E:E,0)),"N/A")</f>
        <v>16385</v>
      </c>
      <c r="B3406" s="4" t="s">
        <v>690</v>
      </c>
      <c r="C3406" s="4" t="s">
        <v>278</v>
      </c>
      <c r="D3406" s="94">
        <v>1152.0</v>
      </c>
    </row>
    <row r="3407">
      <c r="A3407" s="40">
        <f t="array" ref="A3407">IFNA(index(PlayerValues!A:A,match(IFNA(vlookup(B3407,'Special Names'!A:B,2,FALSE),B3407),PlayerValues!E:E,0)),"N/A")</f>
        <v>14108</v>
      </c>
      <c r="B3407" s="4" t="s">
        <v>673</v>
      </c>
      <c r="C3407" s="4" t="s">
        <v>287</v>
      </c>
      <c r="D3407" s="94">
        <v>1147.0</v>
      </c>
    </row>
    <row r="3408">
      <c r="A3408" s="40">
        <f t="array" ref="A3408">IFNA(index(PlayerValues!A:A,match(IFNA(vlookup(B3408,'Special Names'!A:B,2,FALSE),B3408),PlayerValues!E:E,0)),"N/A")</f>
        <v>16221</v>
      </c>
      <c r="B3408" s="4" t="s">
        <v>725</v>
      </c>
      <c r="C3408" s="4" t="s">
        <v>298</v>
      </c>
      <c r="D3408" s="94">
        <v>1516.0</v>
      </c>
    </row>
    <row r="3409">
      <c r="A3409" s="40">
        <f t="array" ref="A3409">IFNA(index(PlayerValues!A:A,match(IFNA(vlookup(B3409,'Special Names'!A:B,2,FALSE),B3409),PlayerValues!E:E,0)),"N/A")</f>
        <v>16199</v>
      </c>
      <c r="B3409" s="4" t="s">
        <v>687</v>
      </c>
      <c r="C3409" s="4" t="s">
        <v>287</v>
      </c>
      <c r="D3409" s="94">
        <v>1133.0</v>
      </c>
    </row>
    <row r="3410">
      <c r="A3410" s="40">
        <f t="array" ref="A3410">IFNA(index(PlayerValues!A:A,match(IFNA(vlookup(B3410,'Special Names'!A:B,2,FALSE),B3410),PlayerValues!E:E,0)),"N/A")</f>
        <v>9064</v>
      </c>
      <c r="B3410" s="4" t="s">
        <v>761</v>
      </c>
      <c r="C3410" s="4" t="s">
        <v>283</v>
      </c>
      <c r="D3410" s="94">
        <v>1126.0</v>
      </c>
    </row>
    <row r="3411">
      <c r="A3411" s="40">
        <f t="array" ref="A3411">IFNA(index(PlayerValues!A:A,match(IFNA(vlookup(B3411,'Special Names'!A:B,2,FALSE),B3411),PlayerValues!E:E,0)),"N/A")</f>
        <v>14067</v>
      </c>
      <c r="B3411" s="4" t="s">
        <v>735</v>
      </c>
      <c r="C3411" s="4" t="s">
        <v>283</v>
      </c>
      <c r="D3411" s="94">
        <v>1123.0</v>
      </c>
    </row>
    <row r="3412">
      <c r="A3412" s="40">
        <f t="array" ref="A3412">IFNA(index(PlayerValues!A:A,match(IFNA(vlookup(B3412,'Special Names'!A:B,2,FALSE),B3412),PlayerValues!E:E,0)),"N/A")</f>
        <v>15240</v>
      </c>
      <c r="B3412" s="4" t="s">
        <v>751</v>
      </c>
      <c r="C3412" s="4" t="s">
        <v>283</v>
      </c>
      <c r="D3412" s="94">
        <v>1123.0</v>
      </c>
    </row>
    <row r="3413">
      <c r="A3413" s="40">
        <f t="array" ref="A3413">IFNA(index(PlayerValues!A:A,match(IFNA(vlookup(B3413,'Special Names'!A:B,2,FALSE),B3413),PlayerValues!E:E,0)),"N/A")</f>
        <v>14845</v>
      </c>
      <c r="B3413" s="4" t="s">
        <v>717</v>
      </c>
      <c r="C3413" s="4" t="s">
        <v>287</v>
      </c>
      <c r="D3413" s="94">
        <v>1121.0</v>
      </c>
    </row>
    <row r="3414">
      <c r="A3414" s="40">
        <f t="array" ref="A3414">IFNA(index(PlayerValues!A:A,match(IFNA(vlookup(B3414,'Special Names'!A:B,2,FALSE),B3414),PlayerValues!E:E,0)),"N/A")</f>
        <v>15981</v>
      </c>
      <c r="B3414" s="4" t="s">
        <v>729</v>
      </c>
      <c r="C3414" s="4" t="s">
        <v>287</v>
      </c>
      <c r="D3414" s="94">
        <v>1114.0</v>
      </c>
    </row>
    <row r="3415">
      <c r="A3415" s="40">
        <f t="array" ref="A3415">IFNA(index(PlayerValues!A:A,match(IFNA(vlookup(B3415,'Special Names'!A:B,2,FALSE),B3415),PlayerValues!E:E,0)),"N/A")</f>
        <v>16637</v>
      </c>
      <c r="B3415" s="4" t="s">
        <v>736</v>
      </c>
      <c r="C3415" s="4" t="s">
        <v>287</v>
      </c>
      <c r="D3415" s="94">
        <v>1097.0</v>
      </c>
    </row>
    <row r="3416">
      <c r="A3416" s="40">
        <f t="array" ref="A3416">IFNA(index(PlayerValues!A:A,match(IFNA(vlookup(B3416,'Special Names'!A:B,2,FALSE),B3416),PlayerValues!E:E,0)),"N/A")</f>
        <v>17192</v>
      </c>
      <c r="B3416" s="4" t="s">
        <v>677</v>
      </c>
      <c r="C3416" s="4" t="s">
        <v>287</v>
      </c>
      <c r="D3416" s="94">
        <v>1097.0</v>
      </c>
    </row>
    <row r="3417">
      <c r="A3417" s="40">
        <f t="array" ref="A3417">IFNA(index(PlayerValues!A:A,match(IFNA(vlookup(B3417,'Special Names'!A:B,2,FALSE),B3417),PlayerValues!E:E,0)),"N/A")</f>
        <v>13289</v>
      </c>
      <c r="B3417" s="4" t="s">
        <v>746</v>
      </c>
      <c r="C3417" s="4" t="s">
        <v>287</v>
      </c>
      <c r="D3417" s="94">
        <v>1095.0</v>
      </c>
    </row>
    <row r="3418">
      <c r="A3418" s="40">
        <f t="array" ref="A3418">IFNA(index(PlayerValues!A:A,match(IFNA(vlookup(B3418,'Special Names'!A:B,2,FALSE),B3418),PlayerValues!E:E,0)),"N/A")</f>
        <v>16640</v>
      </c>
      <c r="B3418" s="4" t="s">
        <v>712</v>
      </c>
      <c r="C3418" s="4" t="s">
        <v>287</v>
      </c>
      <c r="D3418" s="94">
        <v>1088.0</v>
      </c>
    </row>
    <row r="3419">
      <c r="A3419" s="40">
        <f t="array" ref="A3419">IFNA(index(PlayerValues!A:A,match(IFNA(vlookup(B3419,'Special Names'!A:B,2,FALSE),B3419),PlayerValues!E:E,0)),"N/A")</f>
        <v>16197</v>
      </c>
      <c r="B3419" s="4" t="s">
        <v>726</v>
      </c>
      <c r="C3419" s="4" t="s">
        <v>287</v>
      </c>
      <c r="D3419" s="94">
        <v>1076.0</v>
      </c>
    </row>
    <row r="3420">
      <c r="A3420" s="40">
        <f t="array" ref="A3420">IFNA(index(PlayerValues!A:A,match(IFNA(vlookup(B3420,'Special Names'!A:B,2,FALSE),B3420),PlayerValues!E:E,0)),"N/A")</f>
        <v>17050</v>
      </c>
      <c r="B3420" s="4" t="s">
        <v>713</v>
      </c>
      <c r="C3420" s="4" t="s">
        <v>278</v>
      </c>
      <c r="D3420" s="94">
        <v>1076.0</v>
      </c>
    </row>
    <row r="3421">
      <c r="A3421" s="40">
        <f t="array" ref="A3421">IFNA(index(PlayerValues!A:A,match(IFNA(vlookup(B3421,'Special Names'!A:B,2,FALSE),B3421),PlayerValues!E:E,0)),"N/A")</f>
        <v>15693</v>
      </c>
      <c r="B3421" s="4" t="s">
        <v>755</v>
      </c>
      <c r="C3421" s="4" t="s">
        <v>283</v>
      </c>
      <c r="D3421" s="94">
        <v>1072.0</v>
      </c>
    </row>
    <row r="3422">
      <c r="A3422" s="40">
        <f t="array" ref="A3422">IFNA(index(PlayerValues!A:A,match(IFNA(vlookup(B3422,'Special Names'!A:B,2,FALSE),B3422),PlayerValues!E:E,0)),"N/A")</f>
        <v>15727</v>
      </c>
      <c r="B3422" s="4" t="s">
        <v>730</v>
      </c>
      <c r="C3422" s="4" t="s">
        <v>278</v>
      </c>
      <c r="D3422" s="94">
        <v>1056.0</v>
      </c>
    </row>
    <row r="3423">
      <c r="A3423" s="40">
        <f t="array" ref="A3423">IFNA(index(PlayerValues!A:A,match(IFNA(vlookup(B3423,'Special Names'!A:B,2,FALSE),B3423),PlayerValues!E:E,0)),"N/A")</f>
        <v>15692</v>
      </c>
      <c r="B3423" s="4" t="s">
        <v>750</v>
      </c>
      <c r="C3423" s="4" t="s">
        <v>283</v>
      </c>
      <c r="D3423" s="94">
        <v>1050.0</v>
      </c>
    </row>
    <row r="3424">
      <c r="A3424" s="40">
        <f t="array" ref="A3424">IFNA(index(PlayerValues!A:A,match(IFNA(vlookup(B3424,'Special Names'!A:B,2,FALSE),B3424),PlayerValues!E:E,0)),"N/A")</f>
        <v>13131</v>
      </c>
      <c r="B3424" s="4" t="s">
        <v>815</v>
      </c>
      <c r="C3424" s="4" t="s">
        <v>278</v>
      </c>
      <c r="D3424" s="94">
        <v>1047.0</v>
      </c>
    </row>
    <row r="3425">
      <c r="A3425" s="40">
        <f t="array" ref="A3425">IFNA(index(PlayerValues!A:A,match(IFNA(vlookup(B3425,'Special Names'!A:B,2,FALSE),B3425),PlayerValues!E:E,0)),"N/A")</f>
        <v>17475</v>
      </c>
      <c r="B3425" s="4" t="s">
        <v>615</v>
      </c>
      <c r="C3425" s="4" t="s">
        <v>278</v>
      </c>
      <c r="D3425" s="94">
        <v>1035.0</v>
      </c>
    </row>
    <row r="3426">
      <c r="A3426" s="40">
        <f t="array" ref="A3426">IFNA(index(PlayerValues!A:A,match(IFNA(vlookup(B3426,'Special Names'!A:B,2,FALSE),B3426),PlayerValues!E:E,0)),"N/A")</f>
        <v>14849</v>
      </c>
      <c r="B3426" s="4" t="s">
        <v>733</v>
      </c>
      <c r="C3426" s="4" t="s">
        <v>287</v>
      </c>
      <c r="D3426" s="94">
        <v>1034.0</v>
      </c>
    </row>
    <row r="3427">
      <c r="A3427" s="40">
        <f t="array" ref="A3427">IFNA(index(PlayerValues!A:A,match(IFNA(vlookup(B3427,'Special Names'!A:B,2,FALSE),B3427),PlayerValues!E:E,0)),"N/A")</f>
        <v>15730</v>
      </c>
      <c r="B3427" s="4" t="s">
        <v>734</v>
      </c>
      <c r="C3427" s="4" t="s">
        <v>278</v>
      </c>
      <c r="D3427" s="94">
        <v>1034.0</v>
      </c>
    </row>
    <row r="3428">
      <c r="A3428" s="40">
        <f t="array" ref="A3428">IFNA(index(PlayerValues!A:A,match(IFNA(vlookup(B3428,'Special Names'!A:B,2,FALSE),B3428),PlayerValues!E:E,0)),"N/A")</f>
        <v>16170</v>
      </c>
      <c r="B3428" s="4" t="s">
        <v>801</v>
      </c>
      <c r="C3428" s="4" t="s">
        <v>278</v>
      </c>
      <c r="D3428" s="94">
        <v>1021.0</v>
      </c>
    </row>
    <row r="3429">
      <c r="A3429" s="40">
        <f t="array" ref="A3429">IFNA(index(PlayerValues!A:A,match(IFNA(vlookup(B3429,'Special Names'!A:B,2,FALSE),B3429),PlayerValues!E:E,0)),"N/A")</f>
        <v>16393</v>
      </c>
      <c r="B3429" s="4" t="s">
        <v>768</v>
      </c>
      <c r="C3429" s="4" t="s">
        <v>287</v>
      </c>
      <c r="D3429" s="94">
        <v>1020.0</v>
      </c>
    </row>
    <row r="3430">
      <c r="A3430" s="40">
        <f t="array" ref="A3430">IFNA(index(PlayerValues!A:A,match(IFNA(vlookup(B3430,'Special Names'!A:B,2,FALSE),B3430),PlayerValues!E:E,0)),"N/A")</f>
        <v>15795</v>
      </c>
      <c r="B3430" s="4" t="s">
        <v>669</v>
      </c>
      <c r="C3430" s="4" t="s">
        <v>298</v>
      </c>
      <c r="D3430" s="94">
        <v>1383.0</v>
      </c>
    </row>
    <row r="3431">
      <c r="A3431" s="40">
        <f t="array" ref="A3431">IFNA(index(PlayerValues!A:A,match(IFNA(vlookup(B3431,'Special Names'!A:B,2,FALSE),B3431),PlayerValues!E:E,0)),"N/A")</f>
        <v>15330</v>
      </c>
      <c r="B3431" s="4" t="s">
        <v>749</v>
      </c>
      <c r="C3431" s="4" t="s">
        <v>298</v>
      </c>
      <c r="D3431" s="94">
        <v>1374.0</v>
      </c>
    </row>
    <row r="3432">
      <c r="A3432" s="40">
        <f t="array" ref="A3432">IFNA(index(PlayerValues!A:A,match(IFNA(vlookup(B3432,'Special Names'!A:B,2,FALSE),B3432),PlayerValues!E:E,0)),"N/A")</f>
        <v>17657</v>
      </c>
      <c r="B3432" s="4" t="s">
        <v>642</v>
      </c>
      <c r="C3432" s="4" t="s">
        <v>283</v>
      </c>
      <c r="D3432" s="94">
        <v>1008.0</v>
      </c>
    </row>
    <row r="3433">
      <c r="A3433" s="40">
        <f t="array" ref="A3433">IFNA(index(PlayerValues!A:A,match(IFNA(vlookup(B3433,'Special Names'!A:B,2,FALSE),B3433),PlayerValues!E:E,0)),"N/A")</f>
        <v>16648</v>
      </c>
      <c r="B3433" s="4" t="s">
        <v>748</v>
      </c>
      <c r="C3433" s="4" t="s">
        <v>298</v>
      </c>
      <c r="D3433" s="94">
        <v>1374.0</v>
      </c>
    </row>
    <row r="3434">
      <c r="A3434" s="40">
        <f t="array" ref="A3434">IFNA(index(PlayerValues!A:A,match(IFNA(vlookup(B3434,'Special Names'!A:B,2,FALSE),B3434),PlayerValues!E:E,0)),"N/A")</f>
        <v>16451</v>
      </c>
      <c r="B3434" s="4" t="s">
        <v>769</v>
      </c>
      <c r="C3434" s="4" t="s">
        <v>287</v>
      </c>
      <c r="D3434" s="94">
        <v>1000.0</v>
      </c>
    </row>
    <row r="3435">
      <c r="A3435" s="40">
        <f t="array" ref="A3435">IFNA(index(PlayerValues!A:A,match(IFNA(vlookup(B3435,'Special Names'!A:B,2,FALSE),B3435),PlayerValues!E:E,0)),"N/A")</f>
        <v>17175</v>
      </c>
      <c r="B3435" s="4" t="s">
        <v>747</v>
      </c>
      <c r="C3435" s="4" t="s">
        <v>287</v>
      </c>
      <c r="D3435" s="94">
        <v>999.0</v>
      </c>
    </row>
    <row r="3436">
      <c r="A3436" s="40">
        <f t="array" ref="A3436">IFNA(index(PlayerValues!A:A,match(IFNA(vlookup(B3436,'Special Names'!A:B,2,FALSE),B3436),PlayerValues!E:E,0)),"N/A")</f>
        <v>16168</v>
      </c>
      <c r="B3436" s="4" t="s">
        <v>738</v>
      </c>
      <c r="C3436" s="4" t="s">
        <v>278</v>
      </c>
      <c r="D3436" s="94">
        <v>997.0</v>
      </c>
    </row>
    <row r="3437">
      <c r="A3437" s="40">
        <f t="array" ref="A3437">IFNA(index(PlayerValues!A:A,match(IFNA(vlookup(B3437,'Special Names'!A:B,2,FALSE),B3437),PlayerValues!E:E,0)),"N/A")</f>
        <v>15717</v>
      </c>
      <c r="B3437" s="4" t="s">
        <v>745</v>
      </c>
      <c r="C3437" s="4" t="s">
        <v>278</v>
      </c>
      <c r="D3437" s="94">
        <v>993.0</v>
      </c>
    </row>
    <row r="3438">
      <c r="A3438" s="40">
        <f t="array" ref="A3438">IFNA(index(PlayerValues!A:A,match(IFNA(vlookup(B3438,'Special Names'!A:B,2,FALSE),B3438),PlayerValues!E:E,0)),"N/A")</f>
        <v>15109</v>
      </c>
      <c r="B3438" s="4" t="s">
        <v>728</v>
      </c>
      <c r="C3438" s="4" t="s">
        <v>287</v>
      </c>
      <c r="D3438" s="94">
        <v>989.0</v>
      </c>
    </row>
    <row r="3439">
      <c r="A3439" s="40">
        <f t="array" ref="A3439">IFNA(index(PlayerValues!A:A,match(IFNA(vlookup(B3439,'Special Names'!A:B,2,FALSE),B3439),PlayerValues!E:E,0)),"N/A")</f>
        <v>15766</v>
      </c>
      <c r="B3439" s="4" t="s">
        <v>759</v>
      </c>
      <c r="C3439" s="4" t="s">
        <v>287</v>
      </c>
      <c r="D3439" s="94">
        <v>987.0</v>
      </c>
    </row>
    <row r="3440">
      <c r="A3440" s="40">
        <f t="array" ref="A3440">IFNA(index(PlayerValues!A:A,match(IFNA(vlookup(B3440,'Special Names'!A:B,2,FALSE),B3440),PlayerValues!E:E,0)),"N/A")</f>
        <v>13193</v>
      </c>
      <c r="B3440" s="4" t="s">
        <v>773</v>
      </c>
      <c r="C3440" s="4" t="s">
        <v>298</v>
      </c>
      <c r="D3440" s="94">
        <v>1346.0</v>
      </c>
    </row>
    <row r="3441">
      <c r="A3441" s="40">
        <f t="array" ref="A3441">IFNA(index(PlayerValues!A:A,match(IFNA(vlookup(B3441,'Special Names'!A:B,2,FALSE),B3441),PlayerValues!E:E,0)),"N/A")</f>
        <v>15258</v>
      </c>
      <c r="B3441" s="4" t="s">
        <v>757</v>
      </c>
      <c r="C3441" s="4" t="s">
        <v>278</v>
      </c>
      <c r="D3441" s="94">
        <v>976.0</v>
      </c>
    </row>
    <row r="3442">
      <c r="A3442" s="40">
        <f t="array" ref="A3442">IFNA(index(PlayerValues!A:A,match(IFNA(vlookup(B3442,'Special Names'!A:B,2,FALSE),B3442),PlayerValues!E:E,0)),"N/A")</f>
        <v>15718</v>
      </c>
      <c r="B3442" s="4" t="s">
        <v>753</v>
      </c>
      <c r="C3442" s="4" t="s">
        <v>278</v>
      </c>
      <c r="D3442" s="94">
        <v>976.0</v>
      </c>
    </row>
    <row r="3443">
      <c r="A3443" s="40">
        <f t="array" ref="A3443">IFNA(index(PlayerValues!A:A,match(IFNA(vlookup(B3443,'Special Names'!A:B,2,FALSE),B3443),PlayerValues!E:E,0)),"N/A")</f>
        <v>15785</v>
      </c>
      <c r="B3443" s="4" t="s">
        <v>763</v>
      </c>
      <c r="C3443" s="4" t="s">
        <v>287</v>
      </c>
      <c r="D3443" s="94">
        <v>975.0</v>
      </c>
    </row>
    <row r="3444">
      <c r="A3444" s="40">
        <f t="array" ref="A3444">IFNA(index(PlayerValues!A:A,match(IFNA(vlookup(B3444,'Special Names'!A:B,2,FALSE),B3444),PlayerValues!E:E,0)),"N/A")</f>
        <v>15758</v>
      </c>
      <c r="B3444" s="4" t="s">
        <v>724</v>
      </c>
      <c r="C3444" s="4" t="s">
        <v>287</v>
      </c>
      <c r="D3444" s="94">
        <v>964.0</v>
      </c>
    </row>
    <row r="3445">
      <c r="A3445" s="40">
        <f t="array" ref="A3445">IFNA(index(PlayerValues!A:A,match(IFNA(vlookup(B3445,'Special Names'!A:B,2,FALSE),B3445),PlayerValues!E:E,0)),"N/A")</f>
        <v>16678</v>
      </c>
      <c r="B3445" s="4" t="s">
        <v>758</v>
      </c>
      <c r="C3445" s="4" t="s">
        <v>278</v>
      </c>
      <c r="D3445" s="94">
        <v>963.0</v>
      </c>
    </row>
    <row r="3446">
      <c r="A3446" s="40">
        <f t="array" ref="A3446">IFNA(index(PlayerValues!A:A,match(IFNA(vlookup(B3446,'Special Names'!A:B,2,FALSE),B3446),PlayerValues!E:E,0)),"N/A")</f>
        <v>17504</v>
      </c>
      <c r="B3446" s="4" t="s">
        <v>693</v>
      </c>
      <c r="C3446" s="4" t="s">
        <v>287</v>
      </c>
      <c r="D3446" s="94">
        <v>952.0</v>
      </c>
    </row>
    <row r="3447">
      <c r="A3447" s="40">
        <f t="array" ref="A3447">IFNA(index(PlayerValues!A:A,match(IFNA(vlookup(B3447,'Special Names'!A:B,2,FALSE),B3447),PlayerValues!E:E,0)),"N/A")</f>
        <v>14057</v>
      </c>
      <c r="B3447" s="4" t="s">
        <v>765</v>
      </c>
      <c r="C3447" s="4" t="s">
        <v>283</v>
      </c>
      <c r="D3447" s="94">
        <v>951.0</v>
      </c>
    </row>
    <row r="3448">
      <c r="A3448" s="40">
        <f t="array" ref="A3448">IFNA(index(PlayerValues!A:A,match(IFNA(vlookup(B3448,'Special Names'!A:B,2,FALSE),B3448),PlayerValues!E:E,0)),"N/A")</f>
        <v>15239</v>
      </c>
      <c r="B3448" s="4" t="s">
        <v>802</v>
      </c>
      <c r="C3448" s="4" t="s">
        <v>283</v>
      </c>
      <c r="D3448" s="94">
        <v>942.0</v>
      </c>
    </row>
    <row r="3449">
      <c r="A3449" s="40">
        <f t="array" ref="A3449">IFNA(index(PlayerValues!A:A,match(IFNA(vlookup(B3449,'Special Names'!A:B,2,FALSE),B3449),PlayerValues!E:E,0)),"N/A")</f>
        <v>16205</v>
      </c>
      <c r="B3449" s="4" t="s">
        <v>742</v>
      </c>
      <c r="C3449" s="4" t="s">
        <v>287</v>
      </c>
      <c r="D3449" s="94">
        <v>941.0</v>
      </c>
    </row>
    <row r="3450">
      <c r="A3450" s="40">
        <f t="array" ref="A3450">IFNA(index(PlayerValues!A:A,match(IFNA(vlookup(B3450,'Special Names'!A:B,2,FALSE),B3450),PlayerValues!E:E,0)),"N/A")</f>
        <v>14118</v>
      </c>
      <c r="B3450" s="4" t="s">
        <v>771</v>
      </c>
      <c r="C3450" s="4" t="s">
        <v>287</v>
      </c>
      <c r="D3450" s="94">
        <v>937.0</v>
      </c>
    </row>
    <row r="3451">
      <c r="A3451" s="40">
        <f t="array" ref="A3451">IFNA(index(PlayerValues!A:A,match(IFNA(vlookup(B3451,'Special Names'!A:B,2,FALSE),B3451),PlayerValues!E:E,0)),"N/A")</f>
        <v>11247</v>
      </c>
      <c r="B3451" s="4" t="s">
        <v>816</v>
      </c>
      <c r="C3451" s="4" t="s">
        <v>298</v>
      </c>
      <c r="D3451" s="94">
        <v>1295.0</v>
      </c>
    </row>
    <row r="3452">
      <c r="A3452" s="40">
        <f t="array" ref="A3452">IFNA(index(PlayerValues!A:A,match(IFNA(vlookup(B3452,'Special Names'!A:B,2,FALSE),B3452),PlayerValues!E:E,0)),"N/A")</f>
        <v>17518</v>
      </c>
      <c r="B3452" s="4" t="s">
        <v>482</v>
      </c>
      <c r="C3452" s="4" t="s">
        <v>287</v>
      </c>
      <c r="D3452" s="94">
        <v>922.0</v>
      </c>
    </row>
    <row r="3453">
      <c r="A3453" s="40">
        <f t="array" ref="A3453">IFNA(index(PlayerValues!A:A,match(IFNA(vlookup(B3453,'Special Names'!A:B,2,FALSE),B3453),PlayerValues!E:E,0)),"N/A")</f>
        <v>17487</v>
      </c>
      <c r="B3453" s="4" t="s">
        <v>692</v>
      </c>
      <c r="C3453" s="4" t="s">
        <v>278</v>
      </c>
      <c r="D3453" s="94">
        <v>918.0</v>
      </c>
    </row>
    <row r="3454">
      <c r="A3454" s="40">
        <f t="array" ref="A3454">IFNA(index(PlayerValues!A:A,match(IFNA(vlookup(B3454,'Special Names'!A:B,2,FALSE),B3454),PlayerValues!E:E,0)),"N/A")</f>
        <v>16858</v>
      </c>
      <c r="B3454" s="4" t="s">
        <v>754</v>
      </c>
      <c r="C3454" s="4" t="s">
        <v>287</v>
      </c>
      <c r="D3454" s="94">
        <v>912.0</v>
      </c>
    </row>
    <row r="3455">
      <c r="A3455" s="40">
        <f t="array" ref="A3455">IFNA(index(PlayerValues!A:A,match(IFNA(vlookup(B3455,'Special Names'!A:B,2,FALSE),B3455),PlayerValues!E:E,0)),"N/A")</f>
        <v>15626</v>
      </c>
      <c r="B3455" s="4" t="s">
        <v>766</v>
      </c>
      <c r="C3455" s="4" t="s">
        <v>298</v>
      </c>
      <c r="D3455" s="94">
        <v>1260.0</v>
      </c>
    </row>
    <row r="3456">
      <c r="A3456" s="40">
        <f t="array" ref="A3456">IFNA(index(PlayerValues!A:A,match(IFNA(vlookup(B3456,'Special Names'!A:B,2,FALSE),B3456),PlayerValues!E:E,0)),"N/A")</f>
        <v>16219</v>
      </c>
      <c r="B3456" s="4" t="s">
        <v>739</v>
      </c>
      <c r="C3456" s="4" t="s">
        <v>298</v>
      </c>
      <c r="D3456" s="94">
        <v>1250.0</v>
      </c>
    </row>
    <row r="3457">
      <c r="A3457" s="40">
        <f t="array" ref="A3457">IFNA(index(PlayerValues!A:A,match(IFNA(vlookup(B3457,'Special Names'!A:B,2,FALSE),B3457),PlayerValues!E:E,0)),"N/A")</f>
        <v>17479</v>
      </c>
      <c r="B3457" s="4" t="s">
        <v>756</v>
      </c>
      <c r="C3457" s="4" t="s">
        <v>278</v>
      </c>
      <c r="D3457" s="94">
        <v>884.0</v>
      </c>
    </row>
    <row r="3458">
      <c r="A3458" s="40">
        <f t="array" ref="A3458">IFNA(index(PlayerValues!A:A,match(IFNA(vlookup(B3458,'Special Names'!A:B,2,FALSE),B3458),PlayerValues!E:E,0)),"N/A")</f>
        <v>15720</v>
      </c>
      <c r="B3458" s="4" t="s">
        <v>795</v>
      </c>
      <c r="C3458" s="4" t="s">
        <v>278</v>
      </c>
      <c r="D3458" s="94">
        <v>874.0</v>
      </c>
    </row>
    <row r="3459">
      <c r="A3459" s="40">
        <f t="array" ref="A3459">IFNA(index(PlayerValues!A:A,match(IFNA(vlookup(B3459,'Special Names'!A:B,2,FALSE),B3459),PlayerValues!E:E,0)),"N/A")</f>
        <v>16624</v>
      </c>
      <c r="B3459" s="4" t="s">
        <v>796</v>
      </c>
      <c r="C3459" s="4" t="s">
        <v>287</v>
      </c>
      <c r="D3459" s="94">
        <v>872.0</v>
      </c>
    </row>
    <row r="3460">
      <c r="A3460" s="40">
        <f t="array" ref="A3460">IFNA(index(PlayerValues!A:A,match(IFNA(vlookup(B3460,'Special Names'!A:B,2,FALSE),B3460),PlayerValues!E:E,0)),"N/A")</f>
        <v>16416</v>
      </c>
      <c r="B3460" s="4" t="s">
        <v>752</v>
      </c>
      <c r="C3460" s="4" t="s">
        <v>287</v>
      </c>
      <c r="D3460" s="94">
        <v>863.0</v>
      </c>
    </row>
    <row r="3461">
      <c r="A3461" s="40">
        <f t="array" ref="A3461">IFNA(index(PlayerValues!A:A,match(IFNA(vlookup(B3461,'Special Names'!A:B,2,FALSE),B3461),PlayerValues!E:E,0)),"N/A")</f>
        <v>17549</v>
      </c>
      <c r="B3461" s="4" t="s">
        <v>720</v>
      </c>
      <c r="C3461" s="4" t="s">
        <v>298</v>
      </c>
      <c r="D3461" s="94">
        <v>1216.0</v>
      </c>
    </row>
    <row r="3462">
      <c r="A3462" s="40">
        <f t="array" ref="A3462">IFNA(index(PlayerValues!A:A,match(IFNA(vlookup(B3462,'Special Names'!A:B,2,FALSE),B3462),PlayerValues!E:E,0)),"N/A")</f>
        <v>12785</v>
      </c>
      <c r="B3462" s="4" t="s">
        <v>772</v>
      </c>
      <c r="C3462" s="4" t="s">
        <v>287</v>
      </c>
      <c r="D3462" s="94">
        <v>848.0</v>
      </c>
    </row>
    <row r="3463">
      <c r="A3463" s="40">
        <f t="array" ref="A3463">IFNA(index(PlayerValues!A:A,match(IFNA(vlookup(B3463,'Special Names'!A:B,2,FALSE),B3463),PlayerValues!E:E,0)),"N/A")</f>
        <v>16773</v>
      </c>
      <c r="B3463" s="4" t="s">
        <v>783</v>
      </c>
      <c r="C3463" s="4" t="s">
        <v>278</v>
      </c>
      <c r="D3463" s="94">
        <v>839.0</v>
      </c>
    </row>
    <row r="3464">
      <c r="A3464" s="40">
        <f t="array" ref="A3464">IFNA(index(PlayerValues!A:A,match(IFNA(vlookup(B3464,'Special Names'!A:B,2,FALSE),B3464),PlayerValues!E:E,0)),"N/A")</f>
        <v>17654</v>
      </c>
      <c r="B3464" s="4" t="s">
        <v>767</v>
      </c>
      <c r="C3464" s="4" t="s">
        <v>283</v>
      </c>
      <c r="D3464" s="94">
        <v>828.0</v>
      </c>
    </row>
    <row r="3465">
      <c r="A3465" s="40">
        <f t="array" ref="A3465">IFNA(index(PlayerValues!A:A,match(IFNA(vlookup(B3465,'Special Names'!A:B,2,FALSE),B3465),PlayerValues!E:E,0)),"N/A")</f>
        <v>16599</v>
      </c>
      <c r="B3465" s="4" t="s">
        <v>737</v>
      </c>
      <c r="C3465" s="4" t="s">
        <v>278</v>
      </c>
      <c r="D3465" s="94">
        <v>827.0</v>
      </c>
    </row>
    <row r="3466">
      <c r="A3466" s="40">
        <f t="array" ref="A3466">IFNA(index(PlayerValues!A:A,match(IFNA(vlookup(B3466,'Special Names'!A:B,2,FALSE),B3466),PlayerValues!E:E,0)),"N/A")</f>
        <v>17627</v>
      </c>
      <c r="B3466" s="4" t="s">
        <v>684</v>
      </c>
      <c r="C3466" s="4" t="s">
        <v>298</v>
      </c>
      <c r="D3466" s="94">
        <v>1166.0</v>
      </c>
    </row>
    <row r="3467">
      <c r="A3467" s="40">
        <f t="array" ref="A3467">IFNA(index(PlayerValues!A:A,match(IFNA(vlookup(B3467,'Special Names'!A:B,2,FALSE),B3467),PlayerValues!E:E,0)),"N/A")</f>
        <v>16623</v>
      </c>
      <c r="B3467" s="4" t="s">
        <v>803</v>
      </c>
      <c r="C3467" s="4" t="s">
        <v>287</v>
      </c>
      <c r="D3467" s="94">
        <v>799.0</v>
      </c>
    </row>
    <row r="3468">
      <c r="A3468" s="40">
        <f t="array" ref="A3468">IFNA(index(PlayerValues!A:A,match(IFNA(vlookup(B3468,'Special Names'!A:B,2,FALSE),B3468),PlayerValues!E:E,0)),"N/A")</f>
        <v>17486</v>
      </c>
      <c r="B3468" s="4" t="s">
        <v>695</v>
      </c>
      <c r="C3468" s="4" t="s">
        <v>278</v>
      </c>
      <c r="D3468" s="94">
        <v>798.0</v>
      </c>
    </row>
    <row r="3469">
      <c r="A3469" s="40">
        <f t="array" ref="A3469">IFNA(index(PlayerValues!A:A,match(IFNA(vlookup(B3469,'Special Names'!A:B,2,FALSE),B3469),PlayerValues!E:E,0)),"N/A")</f>
        <v>16606</v>
      </c>
      <c r="B3469" s="4" t="s">
        <v>743</v>
      </c>
      <c r="C3469" s="4" t="s">
        <v>278</v>
      </c>
      <c r="D3469" s="94">
        <v>794.0</v>
      </c>
    </row>
    <row r="3470">
      <c r="A3470" s="40">
        <f t="array" ref="A3470">IFNA(index(PlayerValues!A:A,match(IFNA(vlookup(B3470,'Special Names'!A:B,2,FALSE),B3470),PlayerValues!E:E,0)),"N/A")</f>
        <v>17337</v>
      </c>
      <c r="B3470" s="4" t="s">
        <v>793</v>
      </c>
      <c r="C3470" s="4" t="s">
        <v>278</v>
      </c>
      <c r="D3470" s="94">
        <v>787.0</v>
      </c>
    </row>
    <row r="3471">
      <c r="A3471" s="40">
        <f t="array" ref="A3471">IFNA(index(PlayerValues!A:A,match(IFNA(vlookup(B3471,'Special Names'!A:B,2,FALSE),B3471),PlayerValues!E:E,0)),"N/A")</f>
        <v>16751</v>
      </c>
      <c r="B3471" s="4" t="s">
        <v>762</v>
      </c>
      <c r="C3471" s="4" t="s">
        <v>287</v>
      </c>
      <c r="D3471" s="94">
        <v>786.0</v>
      </c>
    </row>
    <row r="3472">
      <c r="A3472" s="40">
        <f t="array" ref="A3472">IFNA(index(PlayerValues!A:A,match(IFNA(vlookup(B3472,'Special Names'!A:B,2,FALSE),B3472),PlayerValues!E:E,0)),"N/A")</f>
        <v>14223</v>
      </c>
      <c r="B3472" s="4" t="s">
        <v>785</v>
      </c>
      <c r="C3472" s="4" t="s">
        <v>278</v>
      </c>
      <c r="D3472" s="94">
        <v>738.0</v>
      </c>
    </row>
    <row r="3473">
      <c r="A3473" s="40">
        <f t="array" ref="A3473">IFNA(index(PlayerValues!A:A,match(IFNA(vlookup(B3473,'Special Names'!A:B,2,FALSE),B3473),PlayerValues!E:E,0)),"N/A")</f>
        <v>17541</v>
      </c>
      <c r="B3473" s="4" t="s">
        <v>616</v>
      </c>
      <c r="C3473" s="4" t="s">
        <v>287</v>
      </c>
      <c r="D3473" s="94">
        <v>721.0</v>
      </c>
    </row>
    <row r="3474">
      <c r="A3474" s="40">
        <f t="array" ref="A3474">IFNA(index(PlayerValues!A:A,match(IFNA(vlookup(B3474,'Special Names'!A:B,2,FALSE),B3474),PlayerValues!E:E,0)),"N/A")</f>
        <v>15723</v>
      </c>
      <c r="B3474" s="4" t="s">
        <v>798</v>
      </c>
      <c r="C3474" s="4" t="s">
        <v>278</v>
      </c>
      <c r="D3474" s="94">
        <v>702.0</v>
      </c>
    </row>
    <row r="3475">
      <c r="A3475" s="40">
        <f t="array" ref="A3475">IFNA(index(PlayerValues!A:A,match(IFNA(vlookup(B3475,'Special Names'!A:B,2,FALSE),B3475),PlayerValues!E:E,0)),"N/A")</f>
        <v>17545</v>
      </c>
      <c r="B3475" s="4" t="s">
        <v>719</v>
      </c>
      <c r="C3475" s="4" t="s">
        <v>298</v>
      </c>
      <c r="D3475" s="94">
        <v>1051.0</v>
      </c>
    </row>
    <row r="3476">
      <c r="A3476" s="40">
        <f t="array" ref="A3476">IFNA(index(PlayerValues!A:A,match(IFNA(vlookup(B3476,'Special Names'!A:B,2,FALSE),B3476),PlayerValues!E:E,0)),"N/A")</f>
        <v>16686</v>
      </c>
      <c r="B3476" s="4" t="s">
        <v>805</v>
      </c>
      <c r="C3476" s="4" t="s">
        <v>287</v>
      </c>
      <c r="D3476" s="94">
        <v>613.0</v>
      </c>
    </row>
    <row r="3477">
      <c r="A3477" s="40">
        <f t="array" ref="A3477">IFNA(index(PlayerValues!A:A,match(IFNA(vlookup(B3477,'Special Names'!A:B,2,FALSE),B3477),PlayerValues!E:E,0)),"N/A")</f>
        <v>13133</v>
      </c>
      <c r="B3477" s="4" t="s">
        <v>764</v>
      </c>
      <c r="C3477" s="4" t="s">
        <v>278</v>
      </c>
      <c r="D3477" s="94">
        <v>599.0</v>
      </c>
    </row>
    <row r="3478">
      <c r="A3478" s="40">
        <f t="array" ref="A3478">IFNA(index(PlayerValues!A:A,match(IFNA(vlookup(B3478,'Special Names'!A:B,2,FALSE),B3478),PlayerValues!E:E,0)),"N/A")</f>
        <v>13138</v>
      </c>
      <c r="B3478" s="4" t="s">
        <v>817</v>
      </c>
      <c r="C3478" s="4" t="s">
        <v>278</v>
      </c>
      <c r="D3478" s="94">
        <v>597.0</v>
      </c>
    </row>
    <row r="3479">
      <c r="A3479" s="40">
        <f t="array" ref="A3479">IFNA(index(PlayerValues!A:A,match(IFNA(vlookup(B3479,'Special Names'!A:B,2,FALSE),B3479),PlayerValues!E:E,0)),"N/A")</f>
        <v>14864</v>
      </c>
      <c r="B3479" s="4" t="s">
        <v>789</v>
      </c>
      <c r="C3479" s="4" t="s">
        <v>287</v>
      </c>
      <c r="D3479" s="94">
        <v>595.0</v>
      </c>
    </row>
    <row r="3480">
      <c r="A3480" s="40">
        <f t="array" ref="A3480">IFNA(index(PlayerValues!A:A,match(IFNA(vlookup(B3480,'Special Names'!A:B,2,FALSE),B3480),PlayerValues!E:E,0)),"N/A")</f>
        <v>16625</v>
      </c>
      <c r="B3480" s="4" t="s">
        <v>778</v>
      </c>
      <c r="C3480" s="4" t="s">
        <v>287</v>
      </c>
      <c r="D3480" s="94">
        <v>554.0</v>
      </c>
    </row>
    <row r="3481">
      <c r="A3481" s="40">
        <f t="array" ref="A3481">IFNA(index(PlayerValues!A:A,match(IFNA(vlookup(B3481,'Special Names'!A:B,2,FALSE),B3481),PlayerValues!E:E,0)),"N/A")</f>
        <v>14858</v>
      </c>
      <c r="B3481" s="4" t="s">
        <v>799</v>
      </c>
      <c r="C3481" s="4" t="s">
        <v>287</v>
      </c>
      <c r="D3481" s="94">
        <v>548.0</v>
      </c>
    </row>
    <row r="3482">
      <c r="A3482" s="40">
        <f t="array" ref="A3482">IFNA(index(PlayerValues!A:A,match(IFNA(vlookup(B3482,'Special Names'!A:B,2,FALSE),B3482),PlayerValues!E:E,0)),"N/A")</f>
        <v>16957</v>
      </c>
      <c r="B3482" s="4" t="s">
        <v>806</v>
      </c>
      <c r="C3482" s="4" t="s">
        <v>278</v>
      </c>
      <c r="D3482" s="94">
        <v>543.0</v>
      </c>
    </row>
    <row r="3483">
      <c r="A3483" s="40">
        <f t="array" ref="A3483">IFNA(index(PlayerValues!A:A,match(IFNA(vlookup(B3483,'Special Names'!A:B,2,FALSE),B3483),PlayerValues!E:E,0)),"N/A")</f>
        <v>15796</v>
      </c>
      <c r="B3483" s="4" t="s">
        <v>794</v>
      </c>
      <c r="C3483" s="4" t="s">
        <v>298</v>
      </c>
      <c r="D3483" s="94">
        <v>884.0</v>
      </c>
    </row>
    <row r="3484">
      <c r="A3484" s="40">
        <f t="array" ref="A3484">IFNA(index(PlayerValues!A:A,match(IFNA(vlookup(B3484,'Special Names'!A:B,2,FALSE),B3484),PlayerValues!E:E,0)),"N/A")</f>
        <v>14805</v>
      </c>
      <c r="B3484" s="4" t="s">
        <v>770</v>
      </c>
      <c r="C3484" s="4" t="s">
        <v>278</v>
      </c>
      <c r="D3484" s="94">
        <v>536.0</v>
      </c>
    </row>
    <row r="3485">
      <c r="A3485" s="40">
        <f t="array" ref="A3485">IFNA(index(PlayerValues!A:A,match(IFNA(vlookup(B3485,'Special Names'!A:B,2,FALSE),B3485),PlayerValues!E:E,0)),"N/A")</f>
        <v>13595</v>
      </c>
      <c r="B3485" s="4" t="s">
        <v>818</v>
      </c>
      <c r="C3485" s="4" t="s">
        <v>283</v>
      </c>
      <c r="D3485" s="94">
        <v>533.0</v>
      </c>
    </row>
    <row r="3486">
      <c r="A3486" s="40">
        <f t="array" ref="A3486">IFNA(index(PlayerValues!A:A,match(IFNA(vlookup(B3486,'Special Names'!A:B,2,FALSE),B3486),PlayerValues!E:E,0)),"N/A")</f>
        <v>17038</v>
      </c>
      <c r="B3486" s="4" t="s">
        <v>774</v>
      </c>
      <c r="C3486" s="4" t="s">
        <v>283</v>
      </c>
      <c r="D3486" s="94">
        <v>530.0</v>
      </c>
    </row>
    <row r="3487">
      <c r="A3487" s="40">
        <f t="array" ref="A3487">IFNA(index(PlayerValues!A:A,match(IFNA(vlookup(B3487,'Special Names'!A:B,2,FALSE),B3487),PlayerValues!E:E,0)),"N/A")</f>
        <v>16159</v>
      </c>
      <c r="B3487" s="4" t="s">
        <v>819</v>
      </c>
      <c r="C3487" s="4" t="s">
        <v>283</v>
      </c>
      <c r="D3487" s="94">
        <v>508.0</v>
      </c>
    </row>
    <row r="3488">
      <c r="A3488" s="40">
        <f t="array" ref="A3488">IFNA(index(PlayerValues!A:A,match(IFNA(vlookup(B3488,'Special Names'!A:B,2,FALSE),B3488),PlayerValues!E:E,0)),"N/A")</f>
        <v>17232</v>
      </c>
      <c r="B3488" s="4" t="s">
        <v>784</v>
      </c>
      <c r="C3488" s="4" t="s">
        <v>287</v>
      </c>
      <c r="D3488" s="94">
        <v>508.0</v>
      </c>
    </row>
    <row r="3489">
      <c r="A3489" s="40">
        <f t="array" ref="A3489">IFNA(index(PlayerValues!A:A,match(IFNA(vlookup(B3489,'Special Names'!A:B,2,FALSE),B3489),PlayerValues!E:E,0)),"N/A")</f>
        <v>15263</v>
      </c>
      <c r="B3489" s="4" t="s">
        <v>804</v>
      </c>
      <c r="C3489" s="4" t="s">
        <v>278</v>
      </c>
      <c r="D3489" s="94">
        <v>506.0</v>
      </c>
    </row>
    <row r="3490">
      <c r="A3490" s="40">
        <f t="array" ref="A3490">IFNA(index(PlayerValues!A:A,match(IFNA(vlookup(B3490,'Special Names'!A:B,2,FALSE),B3490),PlayerValues!E:E,0)),"N/A")</f>
        <v>16299</v>
      </c>
      <c r="B3490" s="4" t="s">
        <v>787</v>
      </c>
      <c r="C3490" s="4" t="s">
        <v>287</v>
      </c>
      <c r="D3490" s="94">
        <v>506.0</v>
      </c>
    </row>
    <row r="3491">
      <c r="A3491" s="40">
        <f t="array" ref="A3491">IFNA(index(PlayerValues!A:A,match(IFNA(vlookup(B3491,'Special Names'!A:B,2,FALSE),B3491),PlayerValues!E:E,0)),"N/A")</f>
        <v>14358</v>
      </c>
      <c r="B3491" s="4" t="s">
        <v>813</v>
      </c>
      <c r="C3491" s="4" t="s">
        <v>283</v>
      </c>
      <c r="D3491" s="94">
        <v>502.0</v>
      </c>
    </row>
    <row r="3492">
      <c r="A3492" s="40">
        <f t="array" ref="A3492">IFNA(index(PlayerValues!A:A,match(IFNA(vlookup(B3492,'Special Names'!A:B,2,FALSE),B3492),PlayerValues!E:E,0)),"N/A")</f>
        <v>17243</v>
      </c>
      <c r="B3492" s="4" t="s">
        <v>810</v>
      </c>
      <c r="C3492" s="4" t="s">
        <v>298</v>
      </c>
      <c r="D3492" s="94">
        <v>848.0</v>
      </c>
    </row>
    <row r="3493">
      <c r="A3493" s="40">
        <f t="array" ref="A3493">IFNA(index(PlayerValues!A:A,match(IFNA(vlookup(B3493,'Special Names'!A:B,2,FALSE),B3493),PlayerValues!E:E,0)),"N/A")</f>
        <v>14875</v>
      </c>
      <c r="B3493" s="4" t="s">
        <v>820</v>
      </c>
      <c r="C3493" s="4" t="s">
        <v>298</v>
      </c>
      <c r="D3493" s="94">
        <v>844.0</v>
      </c>
    </row>
    <row r="3494">
      <c r="A3494" s="40">
        <f t="array" ref="A3494">IFNA(index(PlayerValues!A:A,match(IFNA(vlookup(B3494,'Special Names'!A:B,2,FALSE),B3494),PlayerValues!E:E,0)),"N/A")</f>
        <v>17348</v>
      </c>
      <c r="B3494" s="4" t="s">
        <v>797</v>
      </c>
      <c r="C3494" s="4" t="s">
        <v>278</v>
      </c>
      <c r="D3494" s="94">
        <v>498.0</v>
      </c>
    </row>
    <row r="3495">
      <c r="A3495" s="40">
        <f t="array" ref="A3495">IFNA(index(PlayerValues!A:A,match(IFNA(vlookup(B3495,'Special Names'!A:B,2,FALSE),B3495),PlayerValues!E:E,0)),"N/A")</f>
        <v>15804</v>
      </c>
      <c r="B3495" s="4" t="s">
        <v>821</v>
      </c>
      <c r="C3495" s="4" t="s">
        <v>298</v>
      </c>
      <c r="D3495" s="94">
        <v>843.0</v>
      </c>
    </row>
    <row r="3496">
      <c r="A3496" s="40">
        <f t="array" ref="A3496">IFNA(index(PlayerValues!A:A,match(IFNA(vlookup(B3496,'Special Names'!A:B,2,FALSE),B3496),PlayerValues!E:E,0)),"N/A")</f>
        <v>15714</v>
      </c>
      <c r="B3496" s="4" t="s">
        <v>775</v>
      </c>
      <c r="C3496" s="4" t="s">
        <v>278</v>
      </c>
      <c r="D3496" s="94">
        <v>491.0</v>
      </c>
    </row>
    <row r="3497">
      <c r="A3497" s="40">
        <f t="array" ref="A3497">IFNA(index(PlayerValues!A:A,match(IFNA(vlookup(B3497,'Special Names'!A:B,2,FALSE),B3497),PlayerValues!E:E,0)),"N/A")</f>
        <v>14209</v>
      </c>
      <c r="B3497" s="4" t="s">
        <v>809</v>
      </c>
      <c r="C3497" s="4" t="s">
        <v>298</v>
      </c>
      <c r="D3497" s="94">
        <v>838.0</v>
      </c>
    </row>
    <row r="3498">
      <c r="A3498" s="40">
        <f t="array" ref="A3498">IFNA(index(PlayerValues!A:A,match(IFNA(vlookup(B3498,'Special Names'!A:B,2,FALSE),B3498),PlayerValues!E:E,0)),"N/A")</f>
        <v>15271</v>
      </c>
      <c r="B3498" s="4" t="s">
        <v>741</v>
      </c>
      <c r="C3498" s="4" t="s">
        <v>278</v>
      </c>
      <c r="D3498" s="94">
        <v>489.0</v>
      </c>
    </row>
    <row r="3499">
      <c r="A3499" s="40">
        <f t="array" ref="A3499">IFNA(index(PlayerValues!A:A,match(IFNA(vlookup(B3499,'Special Names'!A:B,2,FALSE),B3499),PlayerValues!E:E,0)),"N/A")</f>
        <v>10413</v>
      </c>
      <c r="B3499" s="4" t="s">
        <v>811</v>
      </c>
      <c r="C3499" s="4" t="s">
        <v>283</v>
      </c>
      <c r="D3499" s="94">
        <v>488.0</v>
      </c>
    </row>
    <row r="3500">
      <c r="A3500" s="40">
        <f t="array" ref="A3500">IFNA(index(PlayerValues!A:A,match(IFNA(vlookup(B3500,'Special Names'!A:B,2,FALSE),B3500),PlayerValues!E:E,0)),"N/A")</f>
        <v>17706</v>
      </c>
      <c r="B3500" s="4" t="s">
        <v>614</v>
      </c>
      <c r="C3500" s="4" t="s">
        <v>287</v>
      </c>
      <c r="D3500" s="94">
        <v>211.0</v>
      </c>
    </row>
    <row r="3501">
      <c r="A3501" s="40">
        <f t="array" ref="A3501">IFNA(index(PlayerValues!A:A,match(IFNA(vlookup(B3501,'Special Names'!A:B,2,FALSE),B3501),PlayerValues!E:E,0)),"N/A")</f>
        <v>16161</v>
      </c>
      <c r="B3501" s="4" t="s">
        <v>277</v>
      </c>
      <c r="C3501" s="4" t="s">
        <v>278</v>
      </c>
      <c r="D3501" s="94">
        <v>9997.0</v>
      </c>
    </row>
    <row r="3502">
      <c r="A3502" s="40">
        <f t="array" ref="A3502">IFNA(index(PlayerValues!A:A,match(IFNA(vlookup(B3502,'Special Names'!A:B,2,FALSE),B3502),PlayerValues!E:E,0)),"N/A")</f>
        <v>13589</v>
      </c>
      <c r="B3502" s="4" t="s">
        <v>282</v>
      </c>
      <c r="C3502" s="4" t="s">
        <v>283</v>
      </c>
      <c r="D3502" s="94">
        <v>9996.0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9984.0</v>
      </c>
    </row>
    <row r="3504">
      <c r="A3504" s="40">
        <f t="array" ref="A3504">IFNA(index(PlayerValues!A:A,match(IFNA(vlookup(B3504,'Special Names'!A:B,2,FALSE),B3504),PlayerValues!E:E,0)),"N/A")</f>
        <v>16162</v>
      </c>
      <c r="B3504" s="4" t="s">
        <v>281</v>
      </c>
      <c r="C3504" s="4" t="s">
        <v>278</v>
      </c>
      <c r="D3504" s="94">
        <v>9919.0</v>
      </c>
    </row>
    <row r="3505">
      <c r="A3505" s="40">
        <f t="array" ref="A3505">IFNA(index(PlayerValues!A:A,match(IFNA(vlookup(B3505,'Special Names'!A:B,2,FALSE),B3505),PlayerValues!E:E,0)),"N/A")</f>
        <v>16185</v>
      </c>
      <c r="B3505" s="4" t="s">
        <v>290</v>
      </c>
      <c r="C3505" s="4" t="s">
        <v>287</v>
      </c>
      <c r="D3505" s="94">
        <v>9590.0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9437.0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8741.0</v>
      </c>
    </row>
    <row r="3508">
      <c r="A3508" s="40">
        <f t="array" ref="A3508">IFNA(index(PlayerValues!A:A,match(IFNA(vlookup(B3508,'Special Names'!A:B,2,FALSE),B3508),PlayerValues!E:E,0)),"N/A")</f>
        <v>16641</v>
      </c>
      <c r="B3508" s="4" t="s">
        <v>297</v>
      </c>
      <c r="C3508" s="4" t="s">
        <v>298</v>
      </c>
      <c r="D3508" s="94">
        <v>8999.0</v>
      </c>
    </row>
    <row r="3509">
      <c r="A3509" s="40">
        <f t="array" ref="A3509">IFNA(index(PlayerValues!A:A,match(IFNA(vlookup(B3509,'Special Names'!A:B,2,FALSE),B3509),PlayerValues!E:E,0)),"N/A")</f>
        <v>16579</v>
      </c>
      <c r="B3509" s="4" t="s">
        <v>302</v>
      </c>
      <c r="C3509" s="4" t="s">
        <v>283</v>
      </c>
      <c r="D3509" s="94">
        <v>8035.0</v>
      </c>
    </row>
    <row r="3510">
      <c r="A3510" s="40">
        <f t="array" ref="A3510">IFNA(index(PlayerValues!A:A,match(IFNA(vlookup(B3510,'Special Names'!A:B,2,FALSE),B3510),PlayerValues!E:E,0)),"N/A")</f>
        <v>15287</v>
      </c>
      <c r="B3510" s="4" t="s">
        <v>299</v>
      </c>
      <c r="C3510" s="4" t="s">
        <v>287</v>
      </c>
      <c r="D3510" s="94">
        <v>7905.0</v>
      </c>
    </row>
    <row r="3511">
      <c r="A3511" s="40">
        <f t="array" ref="A3511">IFNA(index(PlayerValues!A:A,match(IFNA(vlookup(B3511,'Special Names'!A:B,2,FALSE),B3511),PlayerValues!E:E,0)),"N/A")</f>
        <v>16581</v>
      </c>
      <c r="B3511" s="4" t="s">
        <v>315</v>
      </c>
      <c r="C3511" s="4" t="s">
        <v>283</v>
      </c>
      <c r="D3511" s="94">
        <v>7816.0</v>
      </c>
    </row>
    <row r="3512">
      <c r="A3512" s="40">
        <f t="array" ref="A3512">IFNA(index(PlayerValues!A:A,match(IFNA(vlookup(B3512,'Special Names'!A:B,2,FALSE),B3512),PlayerValues!E:E,0)),"N/A")</f>
        <v>17042</v>
      </c>
      <c r="B3512" s="4" t="s">
        <v>314</v>
      </c>
      <c r="C3512" s="4" t="s">
        <v>278</v>
      </c>
      <c r="D3512" s="94">
        <v>7673.0</v>
      </c>
    </row>
    <row r="3513">
      <c r="A3513" s="40">
        <f t="array" ref="A3513">IFNA(index(PlayerValues!A:A,match(IFNA(vlookup(B3513,'Special Names'!A:B,2,FALSE),B3513),PlayerValues!E:E,0)),"N/A")</f>
        <v>14836</v>
      </c>
      <c r="B3513" s="4" t="s">
        <v>306</v>
      </c>
      <c r="C3513" s="4" t="s">
        <v>287</v>
      </c>
      <c r="D3513" s="94">
        <v>7601.0</v>
      </c>
    </row>
    <row r="3514">
      <c r="A3514" s="40">
        <f t="array" ref="A3514">IFNA(index(PlayerValues!A:A,match(IFNA(vlookup(B3514,'Special Names'!A:B,2,FALSE),B3514),PlayerValues!E:E,0)),"N/A")</f>
        <v>13593</v>
      </c>
      <c r="B3514" s="4" t="s">
        <v>305</v>
      </c>
      <c r="C3514" s="4" t="s">
        <v>283</v>
      </c>
      <c r="D3514" s="94">
        <v>7596.0</v>
      </c>
    </row>
    <row r="3515">
      <c r="A3515" s="40">
        <f t="array" ref="A3515">IFNA(index(PlayerValues!A:A,match(IFNA(vlookup(B3515,'Special Names'!A:B,2,FALSE),B3515),PlayerValues!E:E,0)),"N/A")</f>
        <v>17472</v>
      </c>
      <c r="B3515" s="4" t="s">
        <v>310</v>
      </c>
      <c r="C3515" s="4" t="s">
        <v>278</v>
      </c>
      <c r="D3515" s="94">
        <v>7589.0</v>
      </c>
    </row>
    <row r="3516">
      <c r="A3516" s="40">
        <f t="array" ref="A3516">IFNA(index(PlayerValues!A:A,match(IFNA(vlookup(B3516,'Special Names'!A:B,2,FALSE),B3516),PlayerValues!E:E,0)),"N/A")</f>
        <v>16615</v>
      </c>
      <c r="B3516" s="4" t="s">
        <v>309</v>
      </c>
      <c r="C3516" s="4" t="s">
        <v>287</v>
      </c>
      <c r="D3516" s="94">
        <v>7471.0</v>
      </c>
    </row>
    <row r="3517">
      <c r="A3517" s="40">
        <f t="array" ref="A3517">IFNA(index(PlayerValues!A:A,match(IFNA(vlookup(B3517,'Special Names'!A:B,2,FALSE),B3517),PlayerValues!E:E,0)),"N/A")</f>
        <v>14777</v>
      </c>
      <c r="B3517" s="4" t="s">
        <v>318</v>
      </c>
      <c r="C3517" s="4" t="s">
        <v>283</v>
      </c>
      <c r="D3517" s="94">
        <v>7460.0</v>
      </c>
    </row>
    <row r="3518">
      <c r="A3518" s="40">
        <f t="array" ref="A3518">IFNA(index(PlayerValues!A:A,match(IFNA(vlookup(B3518,'Special Names'!A:B,2,FALSE),B3518),PlayerValues!E:E,0)),"N/A")</f>
        <v>15794</v>
      </c>
      <c r="B3518" s="4" t="s">
        <v>313</v>
      </c>
      <c r="C3518" s="4" t="s">
        <v>298</v>
      </c>
      <c r="D3518" s="94">
        <v>8138.0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7228.0</v>
      </c>
    </row>
    <row r="3520">
      <c r="A3520" s="40">
        <f t="array" ref="A3520">IFNA(index(PlayerValues!A:A,match(IFNA(vlookup(B3520,'Special Names'!A:B,2,FALSE),B3520),PlayerValues!E:E,0)),"N/A")</f>
        <v>15751</v>
      </c>
      <c r="B3520" s="4" t="s">
        <v>328</v>
      </c>
      <c r="C3520" s="4" t="s">
        <v>287</v>
      </c>
      <c r="D3520" s="94">
        <v>7177.0</v>
      </c>
    </row>
    <row r="3521">
      <c r="A3521" s="40" t="str">
        <f t="array" ref="A3521">IFNA(index(PlayerValues!A:A,match(IFNA(vlookup(B3521,'Special Names'!A:B,2,FALSE),B3521),PlayerValues!E:E,0)),"N/A")</f>
        <v>N/A</v>
      </c>
      <c r="B3521" s="4" t="s">
        <v>92</v>
      </c>
      <c r="C3521" s="4" t="s">
        <v>325</v>
      </c>
      <c r="D3521" s="94">
        <v>7064.0</v>
      </c>
    </row>
    <row r="3522">
      <c r="A3522" s="40">
        <f t="array" ref="A3522">IFNA(index(PlayerValues!A:A,match(IFNA(vlookup(B3522,'Special Names'!A:B,2,FALSE),B3522),PlayerValues!E:E,0)),"N/A")</f>
        <v>14779</v>
      </c>
      <c r="B3522" s="4" t="s">
        <v>327</v>
      </c>
      <c r="C3522" s="4" t="s">
        <v>283</v>
      </c>
      <c r="D3522" s="94">
        <v>6994.0</v>
      </c>
    </row>
    <row r="3523">
      <c r="A3523" s="40">
        <f t="array" ref="A3523">IFNA(index(PlayerValues!A:A,match(IFNA(vlookup(B3523,'Special Names'!A:B,2,FALSE),B3523),PlayerValues!E:E,0)),"N/A")</f>
        <v>17044</v>
      </c>
      <c r="B3523" s="4" t="s">
        <v>322</v>
      </c>
      <c r="C3523" s="4" t="s">
        <v>278</v>
      </c>
      <c r="D3523" s="94">
        <v>6855.0</v>
      </c>
    </row>
    <row r="3524">
      <c r="A3524" s="40">
        <f t="array" ref="A3524">IFNA(index(PlayerValues!A:A,match(IFNA(vlookup(B3524,'Special Names'!A:B,2,FALSE),B3524),PlayerValues!E:E,0)),"N/A")</f>
        <v>16167</v>
      </c>
      <c r="B3524" s="4" t="s">
        <v>323</v>
      </c>
      <c r="C3524" s="4" t="s">
        <v>278</v>
      </c>
      <c r="D3524" s="94">
        <v>6836.0</v>
      </c>
    </row>
    <row r="3525">
      <c r="A3525" s="40">
        <f t="array" ref="A3525">IFNA(index(PlayerValues!A:A,match(IFNA(vlookup(B3525,'Special Names'!A:B,2,FALSE),B3525),PlayerValues!E:E,0)),"N/A")</f>
        <v>13116</v>
      </c>
      <c r="B3525" s="4" t="s">
        <v>345</v>
      </c>
      <c r="C3525" s="4" t="s">
        <v>283</v>
      </c>
      <c r="D3525" s="94">
        <v>6645.0</v>
      </c>
    </row>
    <row r="3526">
      <c r="A3526" s="40">
        <f t="array" ref="A3526">IFNA(index(PlayerValues!A:A,match(IFNA(vlookup(B3526,'Special Names'!A:B,2,FALSE),B3526),PlayerValues!E:E,0)),"N/A")</f>
        <v>17071</v>
      </c>
      <c r="B3526" s="4" t="s">
        <v>341</v>
      </c>
      <c r="C3526" s="4" t="s">
        <v>287</v>
      </c>
      <c r="D3526" s="94">
        <v>6555.0</v>
      </c>
    </row>
    <row r="3527">
      <c r="A3527" s="40">
        <f t="array" ref="A3527">IFNA(index(PlayerValues!A:A,match(IFNA(vlookup(B3527,'Special Names'!A:B,2,FALSE),B3527),PlayerValues!E:E,0)),"N/A")</f>
        <v>17032</v>
      </c>
      <c r="B3527" s="4" t="s">
        <v>348</v>
      </c>
      <c r="C3527" s="4" t="s">
        <v>283</v>
      </c>
      <c r="D3527" s="94">
        <v>6449.0</v>
      </c>
    </row>
    <row r="3528">
      <c r="A3528" s="40">
        <f t="array" ref="A3528">IFNA(index(PlayerValues!A:A,match(IFNA(vlookup(B3528,'Special Names'!A:B,2,FALSE),B3528),PlayerValues!E:E,0)),"N/A")</f>
        <v>15237</v>
      </c>
      <c r="B3528" s="4" t="s">
        <v>336</v>
      </c>
      <c r="C3528" s="4" t="s">
        <v>283</v>
      </c>
      <c r="D3528" s="94">
        <v>6356.0</v>
      </c>
    </row>
    <row r="3529">
      <c r="A3529" s="40">
        <f t="array" ref="A3529">IFNA(index(PlayerValues!A:A,match(IFNA(vlookup(B3529,'Special Names'!A:B,2,FALSE),B3529),PlayerValues!E:E,0)),"N/A")</f>
        <v>17104</v>
      </c>
      <c r="B3529" s="4" t="s">
        <v>333</v>
      </c>
      <c r="C3529" s="4" t="s">
        <v>298</v>
      </c>
      <c r="D3529" s="94">
        <v>6911.0</v>
      </c>
    </row>
    <row r="3530">
      <c r="A3530" s="40">
        <f t="array" ref="A3530">IFNA(index(PlayerValues!A:A,match(IFNA(vlookup(B3530,'Special Names'!A:B,2,FALSE),B3530),PlayerValues!E:E,0)),"N/A")</f>
        <v>14783</v>
      </c>
      <c r="B3530" s="4" t="s">
        <v>342</v>
      </c>
      <c r="C3530" s="4" t="s">
        <v>283</v>
      </c>
      <c r="D3530" s="94">
        <v>6171.0</v>
      </c>
    </row>
    <row r="3531">
      <c r="A3531" s="40">
        <f t="array" ref="A3531">IFNA(index(PlayerValues!A:A,match(IFNA(vlookup(B3531,'Special Names'!A:B,2,FALSE),B3531),PlayerValues!E:E,0)),"N/A")</f>
        <v>16582</v>
      </c>
      <c r="B3531" s="4" t="s">
        <v>343</v>
      </c>
      <c r="C3531" s="4" t="s">
        <v>283</v>
      </c>
      <c r="D3531" s="94">
        <v>6073.0</v>
      </c>
    </row>
    <row r="3532">
      <c r="A3532" s="40">
        <f t="array" ref="A3532">IFNA(index(PlayerValues!A:A,match(IFNA(vlookup(B3532,'Special Names'!A:B,2,FALSE),B3532),PlayerValues!E:E,0)),"N/A")</f>
        <v>17081</v>
      </c>
      <c r="B3532" s="4" t="s">
        <v>340</v>
      </c>
      <c r="C3532" s="4" t="s">
        <v>287</v>
      </c>
      <c r="D3532" s="94">
        <v>6061.0</v>
      </c>
    </row>
    <row r="3533">
      <c r="A3533" s="40">
        <f t="array" ref="A3533">IFNA(index(PlayerValues!A:A,match(IFNA(vlookup(B3533,'Special Names'!A:B,2,FALSE),B3533),PlayerValues!E:E,0)),"N/A")</f>
        <v>15715</v>
      </c>
      <c r="B3533" s="4" t="s">
        <v>331</v>
      </c>
      <c r="C3533" s="4" t="s">
        <v>278</v>
      </c>
      <c r="D3533" s="94">
        <v>6044.0</v>
      </c>
    </row>
    <row r="3534">
      <c r="A3534" s="40">
        <f t="array" ref="A3534">IFNA(index(PlayerValues!A:A,match(IFNA(vlookup(B3534,'Special Names'!A:B,2,FALSE),B3534),PlayerValues!E:E,0)),"N/A")</f>
        <v>14802</v>
      </c>
      <c r="B3534" s="4" t="s">
        <v>332</v>
      </c>
      <c r="C3534" s="4" t="s">
        <v>278</v>
      </c>
      <c r="D3534" s="94">
        <v>6010.0</v>
      </c>
    </row>
    <row r="3535">
      <c r="A3535" s="40">
        <f t="array" ref="A3535">IFNA(index(PlayerValues!A:A,match(IFNA(vlookup(B3535,'Special Names'!A:B,2,FALSE),B3535),PlayerValues!E:E,0)),"N/A")</f>
        <v>17497</v>
      </c>
      <c r="B3535" s="4" t="s">
        <v>365</v>
      </c>
      <c r="C3535" s="4" t="s">
        <v>287</v>
      </c>
      <c r="D3535" s="94">
        <v>5957.0</v>
      </c>
    </row>
    <row r="3536">
      <c r="A3536" s="40">
        <f t="array" ref="A3536">IFNA(index(PlayerValues!A:A,match(IFNA(vlookup(B3536,'Special Names'!A:B,2,FALSE),B3536),PlayerValues!E:E,0)),"N/A")</f>
        <v>15762</v>
      </c>
      <c r="B3536" s="4" t="s">
        <v>337</v>
      </c>
      <c r="C3536" s="4" t="s">
        <v>287</v>
      </c>
      <c r="D3536" s="94">
        <v>5924.0</v>
      </c>
    </row>
    <row r="3537">
      <c r="A3537" s="40">
        <f t="array" ref="A3537">IFNA(index(PlayerValues!A:A,match(IFNA(vlookup(B3537,'Special Names'!A:B,2,FALSE),B3537),PlayerValues!E:E,0)),"N/A")</f>
        <v>17102</v>
      </c>
      <c r="B3537" s="4" t="s">
        <v>344</v>
      </c>
      <c r="C3537" s="4" t="s">
        <v>298</v>
      </c>
      <c r="D3537" s="94">
        <v>6499.0</v>
      </c>
    </row>
    <row r="3538">
      <c r="A3538" s="40">
        <f t="array" ref="A3538">IFNA(index(PlayerValues!A:A,match(IFNA(vlookup(B3538,'Special Names'!A:B,2,FALSE),B3538),PlayerValues!E:E,0)),"N/A")</f>
        <v>15698</v>
      </c>
      <c r="B3538" s="4" t="s">
        <v>358</v>
      </c>
      <c r="C3538" s="4" t="s">
        <v>283</v>
      </c>
      <c r="D3538" s="94">
        <v>5837.0</v>
      </c>
    </row>
    <row r="3539">
      <c r="A3539" s="40">
        <f t="array" ref="A3539">IFNA(index(PlayerValues!A:A,match(IFNA(vlookup(B3539,'Special Names'!A:B,2,FALSE),B3539),PlayerValues!E:E,0)),"N/A")</f>
        <v>15753</v>
      </c>
      <c r="B3539" s="4" t="s">
        <v>359</v>
      </c>
      <c r="C3539" s="4" t="s">
        <v>287</v>
      </c>
      <c r="D3539" s="94">
        <v>5683.0</v>
      </c>
    </row>
    <row r="3540">
      <c r="A3540" s="40" t="str">
        <f t="array" ref="A3540">IFNA(index(PlayerValues!A:A,match(IFNA(vlookup(B3540,'Special Names'!A:B,2,FALSE),B3540),PlayerValues!E:E,0)),"N/A")</f>
        <v>N/A</v>
      </c>
      <c r="B3540" s="4" t="s">
        <v>79</v>
      </c>
      <c r="C3540" s="4" t="s">
        <v>325</v>
      </c>
      <c r="D3540" s="94">
        <v>5602.0</v>
      </c>
    </row>
    <row r="3541">
      <c r="A3541" s="40" t="str">
        <f t="array" ref="A3541">IFNA(index(PlayerValues!A:A,match(IFNA(vlookup(B3541,'Special Names'!A:B,2,FALSE),B3541),PlayerValues!E:E,0)),"N/A")</f>
        <v>N/A</v>
      </c>
      <c r="B3541" s="4" t="s">
        <v>93</v>
      </c>
      <c r="C3541" s="4" t="s">
        <v>325</v>
      </c>
      <c r="D3541" s="94">
        <v>5601.0</v>
      </c>
    </row>
    <row r="3542">
      <c r="A3542" s="40">
        <f t="array" ref="A3542">IFNA(index(PlayerValues!A:A,match(IFNA(vlookup(B3542,'Special Names'!A:B,2,FALSE),B3542),PlayerValues!E:E,0)),"N/A")</f>
        <v>15290</v>
      </c>
      <c r="B3542" s="4" t="s">
        <v>355</v>
      </c>
      <c r="C3542" s="4" t="s">
        <v>287</v>
      </c>
      <c r="D3542" s="94">
        <v>5592.0</v>
      </c>
    </row>
    <row r="3543">
      <c r="A3543" s="40">
        <f t="array" ref="A3543">IFNA(index(PlayerValues!A:A,match(IFNA(vlookup(B3543,'Special Names'!A:B,2,FALSE),B3543),PlayerValues!E:E,0)),"N/A")</f>
        <v>16627</v>
      </c>
      <c r="B3543" s="4" t="s">
        <v>351</v>
      </c>
      <c r="C3543" s="4" t="s">
        <v>287</v>
      </c>
      <c r="D3543" s="94">
        <v>5568.0</v>
      </c>
    </row>
    <row r="3544">
      <c r="A3544" s="40">
        <f t="array" ref="A3544">IFNA(index(PlayerValues!A:A,match(IFNA(vlookup(B3544,'Special Names'!A:B,2,FALSE),B3544),PlayerValues!E:E,0)),"N/A")</f>
        <v>17462</v>
      </c>
      <c r="B3544" s="4" t="s">
        <v>375</v>
      </c>
      <c r="C3544" s="4" t="s">
        <v>283</v>
      </c>
      <c r="D3544" s="94">
        <v>5535.0</v>
      </c>
    </row>
    <row r="3545">
      <c r="A3545" s="40">
        <f t="array" ref="A3545">IFNA(index(PlayerValues!A:A,match(IFNA(vlookup(B3545,'Special Names'!A:B,2,FALSE),B3545),PlayerValues!E:E,0)),"N/A")</f>
        <v>15754</v>
      </c>
      <c r="B3545" s="4" t="s">
        <v>354</v>
      </c>
      <c r="C3545" s="4" t="s">
        <v>287</v>
      </c>
      <c r="D3545" s="94">
        <v>5527.0</v>
      </c>
    </row>
    <row r="3546">
      <c r="A3546" s="40">
        <f t="array" ref="A3546">IFNA(index(PlayerValues!A:A,match(IFNA(vlookup(B3546,'Special Names'!A:B,2,FALSE),B3546),PlayerValues!E:E,0)),"N/A")</f>
        <v>17051</v>
      </c>
      <c r="B3546" s="4" t="s">
        <v>386</v>
      </c>
      <c r="C3546" s="4" t="s">
        <v>278</v>
      </c>
      <c r="D3546" s="94">
        <v>5514.0</v>
      </c>
    </row>
    <row r="3547">
      <c r="A3547" s="40">
        <f t="array" ref="A3547">IFNA(index(PlayerValues!A:A,match(IFNA(vlookup(B3547,'Special Names'!A:B,2,FALSE),B3547),PlayerValues!E:E,0)),"N/A")</f>
        <v>14782</v>
      </c>
      <c r="B3547" s="4" t="s">
        <v>385</v>
      </c>
      <c r="C3547" s="4" t="s">
        <v>283</v>
      </c>
      <c r="D3547" s="94">
        <v>5513.0</v>
      </c>
    </row>
    <row r="3548">
      <c r="A3548" s="40">
        <f t="array" ref="A3548">IFNA(index(PlayerValues!A:A,match(IFNA(vlookup(B3548,'Special Names'!A:B,2,FALSE),B3548),PlayerValues!E:E,0)),"N/A")</f>
        <v>17043</v>
      </c>
      <c r="B3548" s="4" t="s">
        <v>397</v>
      </c>
      <c r="C3548" s="4" t="s">
        <v>278</v>
      </c>
      <c r="D3548" s="94">
        <v>5489.0</v>
      </c>
    </row>
    <row r="3549">
      <c r="A3549" s="40">
        <f t="array" ref="A3549">IFNA(index(PlayerValues!A:A,match(IFNA(vlookup(B3549,'Special Names'!A:B,2,FALSE),B3549),PlayerValues!E:E,0)),"N/A")</f>
        <v>15711</v>
      </c>
      <c r="B3549" s="4" t="s">
        <v>349</v>
      </c>
      <c r="C3549" s="4" t="s">
        <v>278</v>
      </c>
      <c r="D3549" s="94">
        <v>5486.0</v>
      </c>
    </row>
    <row r="3550">
      <c r="A3550" s="40">
        <f t="array" ref="A3550">IFNA(index(PlayerValues!A:A,match(IFNA(vlookup(B3550,'Special Names'!A:B,2,FALSE),B3550),PlayerValues!E:E,0)),"N/A")</f>
        <v>15282</v>
      </c>
      <c r="B3550" s="4" t="s">
        <v>364</v>
      </c>
      <c r="C3550" s="4" t="s">
        <v>287</v>
      </c>
      <c r="D3550" s="94">
        <v>5453.0</v>
      </c>
    </row>
    <row r="3551">
      <c r="A3551" s="40">
        <f t="array" ref="A3551">IFNA(index(PlayerValues!A:A,match(IFNA(vlookup(B3551,'Special Names'!A:B,2,FALSE),B3551),PlayerValues!E:E,0)),"N/A")</f>
        <v>17070</v>
      </c>
      <c r="B3551" s="4" t="s">
        <v>370</v>
      </c>
      <c r="C3551" s="4" t="s">
        <v>287</v>
      </c>
      <c r="D3551" s="94">
        <v>5404.0</v>
      </c>
    </row>
    <row r="3552">
      <c r="A3552" s="40">
        <f t="array" ref="A3552">IFNA(index(PlayerValues!A:A,match(IFNA(vlookup(B3552,'Special Names'!A:B,2,FALSE),B3552),PlayerValues!E:E,0)),"N/A")</f>
        <v>15708</v>
      </c>
      <c r="B3552" s="4" t="s">
        <v>382</v>
      </c>
      <c r="C3552" s="4" t="s">
        <v>278</v>
      </c>
      <c r="D3552" s="94">
        <v>5395.0</v>
      </c>
    </row>
    <row r="3553">
      <c r="A3553" s="40">
        <f t="array" ref="A3553">IFNA(index(PlayerValues!A:A,match(IFNA(vlookup(B3553,'Special Names'!A:B,2,FALSE),B3553),PlayerValues!E:E,0)),"N/A")</f>
        <v>17498</v>
      </c>
      <c r="B3553" s="4" t="s">
        <v>396</v>
      </c>
      <c r="C3553" s="4" t="s">
        <v>287</v>
      </c>
      <c r="D3553" s="94">
        <v>5394.0</v>
      </c>
    </row>
    <row r="3554">
      <c r="A3554" s="40">
        <f t="array" ref="A3554">IFNA(index(PlayerValues!A:A,match(IFNA(vlookup(B3554,'Special Names'!A:B,2,FALSE),B3554),PlayerValues!E:E,0)),"N/A")</f>
        <v>17030</v>
      </c>
      <c r="B3554" s="4" t="s">
        <v>406</v>
      </c>
      <c r="C3554" s="4" t="s">
        <v>283</v>
      </c>
      <c r="D3554" s="94">
        <v>5363.0</v>
      </c>
    </row>
    <row r="3555">
      <c r="A3555" s="40">
        <f t="array" ref="A3555">IFNA(index(PlayerValues!A:A,match(IFNA(vlookup(B3555,'Special Names'!A:B,2,FALSE),B3555),PlayerValues!E:E,0)),"N/A")</f>
        <v>16616</v>
      </c>
      <c r="B3555" s="4" t="s">
        <v>389</v>
      </c>
      <c r="C3555" s="4" t="s">
        <v>287</v>
      </c>
      <c r="D3555" s="94">
        <v>5273.0</v>
      </c>
    </row>
    <row r="3556">
      <c r="A3556" s="40">
        <f t="array" ref="A3556">IFNA(index(PlayerValues!A:A,match(IFNA(vlookup(B3556,'Special Names'!A:B,2,FALSE),B3556),PlayerValues!E:E,0)),"N/A")</f>
        <v>16181</v>
      </c>
      <c r="B3556" s="4" t="s">
        <v>350</v>
      </c>
      <c r="C3556" s="4" t="s">
        <v>278</v>
      </c>
      <c r="D3556" s="94">
        <v>5125.0</v>
      </c>
    </row>
    <row r="3557">
      <c r="A3557" s="40">
        <f t="array" ref="A3557">IFNA(index(PlayerValues!A:A,match(IFNA(vlookup(B3557,'Special Names'!A:B,2,FALSE),B3557),PlayerValues!E:E,0)),"N/A")</f>
        <v>17499</v>
      </c>
      <c r="B3557" s="4" t="s">
        <v>402</v>
      </c>
      <c r="C3557" s="4" t="s">
        <v>287</v>
      </c>
      <c r="D3557" s="94">
        <v>5095.0</v>
      </c>
    </row>
    <row r="3558">
      <c r="A3558" s="40" t="str">
        <f t="array" ref="A3558">IFNA(index(PlayerValues!A:A,match(IFNA(vlookup(B3558,'Special Names'!A:B,2,FALSE),B3558),PlayerValues!E:E,0)),"N/A")</f>
        <v>N/A</v>
      </c>
      <c r="B3558" s="4" t="s">
        <v>104</v>
      </c>
      <c r="C3558" s="4" t="s">
        <v>325</v>
      </c>
      <c r="D3558" s="94">
        <v>5016.0</v>
      </c>
    </row>
    <row r="3559">
      <c r="A3559" s="40">
        <f t="array" ref="A3559">IFNA(index(PlayerValues!A:A,match(IFNA(vlookup(B3559,'Special Names'!A:B,2,FALSE),B3559),PlayerValues!E:E,0)),"N/A")</f>
        <v>13130</v>
      </c>
      <c r="B3559" s="4" t="s">
        <v>374</v>
      </c>
      <c r="C3559" s="4" t="s">
        <v>278</v>
      </c>
      <c r="D3559" s="94">
        <v>4985.0</v>
      </c>
    </row>
    <row r="3560">
      <c r="A3560" s="40">
        <f t="array" ref="A3560">IFNA(index(PlayerValues!A:A,match(IFNA(vlookup(B3560,'Special Names'!A:B,2,FALSE),B3560),PlayerValues!E:E,0)),"N/A")</f>
        <v>16614</v>
      </c>
      <c r="B3560" s="4" t="s">
        <v>403</v>
      </c>
      <c r="C3560" s="4" t="s">
        <v>287</v>
      </c>
      <c r="D3560" s="94">
        <v>4968.0</v>
      </c>
    </row>
    <row r="3561">
      <c r="A3561" s="40">
        <f t="array" ref="A3561">IFNA(index(PlayerValues!A:A,match(IFNA(vlookup(B3561,'Special Names'!A:B,2,FALSE),B3561),PlayerValues!E:E,0)),"N/A")</f>
        <v>14104</v>
      </c>
      <c r="B3561" s="4" t="s">
        <v>379</v>
      </c>
      <c r="C3561" s="4" t="s">
        <v>287</v>
      </c>
      <c r="D3561" s="94">
        <v>4951.0</v>
      </c>
    </row>
    <row r="3562">
      <c r="A3562" s="40">
        <f t="array" ref="A3562">IFNA(index(PlayerValues!A:A,match(IFNA(vlookup(B3562,'Special Names'!A:B,2,FALSE),B3562),PlayerValues!E:E,0)),"N/A")</f>
        <v>13604</v>
      </c>
      <c r="B3562" s="4" t="s">
        <v>378</v>
      </c>
      <c r="C3562" s="4" t="s">
        <v>278</v>
      </c>
      <c r="D3562" s="94">
        <v>4946.0</v>
      </c>
    </row>
    <row r="3563">
      <c r="A3563" s="40">
        <f t="array" ref="A3563">IFNA(index(PlayerValues!A:A,match(IFNA(vlookup(B3563,'Special Names'!A:B,2,FALSE),B3563),PlayerValues!E:E,0)),"N/A")</f>
        <v>14835</v>
      </c>
      <c r="B3563" s="4" t="s">
        <v>392</v>
      </c>
      <c r="C3563" s="4" t="s">
        <v>287</v>
      </c>
      <c r="D3563" s="94">
        <v>4938.0</v>
      </c>
    </row>
    <row r="3564">
      <c r="A3564" s="40" t="str">
        <f t="array" ref="A3564">IFNA(index(PlayerValues!A:A,match(IFNA(vlookup(B3564,'Special Names'!A:B,2,FALSE),B3564),PlayerValues!E:E,0)),"N/A")</f>
        <v>N/A</v>
      </c>
      <c r="B3564" s="4" t="s">
        <v>94</v>
      </c>
      <c r="C3564" s="4" t="s">
        <v>325</v>
      </c>
      <c r="D3564" s="94">
        <v>4931.0</v>
      </c>
    </row>
    <row r="3565">
      <c r="A3565" s="40">
        <f t="array" ref="A3565">IFNA(index(PlayerValues!A:A,match(IFNA(vlookup(B3565,'Special Names'!A:B,2,FALSE),B3565),PlayerValues!E:E,0)),"N/A")</f>
        <v>16222</v>
      </c>
      <c r="B3565" s="4" t="s">
        <v>393</v>
      </c>
      <c r="C3565" s="4" t="s">
        <v>298</v>
      </c>
      <c r="D3565" s="94">
        <v>5496.0</v>
      </c>
    </row>
    <row r="3566">
      <c r="A3566" s="40">
        <f t="array" ref="A3566">IFNA(index(PlayerValues!A:A,match(IFNA(vlookup(B3566,'Special Names'!A:B,2,FALSE),B3566),PlayerValues!E:E,0)),"N/A")</f>
        <v>16618</v>
      </c>
      <c r="B3566" s="4" t="s">
        <v>411</v>
      </c>
      <c r="C3566" s="4" t="s">
        <v>287</v>
      </c>
      <c r="D3566" s="94">
        <v>4890.0</v>
      </c>
    </row>
    <row r="3567">
      <c r="A3567" s="40">
        <f t="array" ref="A3567">IFNA(index(PlayerValues!A:A,match(IFNA(vlookup(B3567,'Special Names'!A:B,2,FALSE),B3567),PlayerValues!E:E,0)),"N/A")</f>
        <v>16190</v>
      </c>
      <c r="B3567" s="4" t="s">
        <v>371</v>
      </c>
      <c r="C3567" s="4" t="s">
        <v>287</v>
      </c>
      <c r="D3567" s="94">
        <v>4888.0</v>
      </c>
    </row>
    <row r="3568">
      <c r="A3568" s="40">
        <f t="array" ref="A3568">IFNA(index(PlayerValues!A:A,match(IFNA(vlookup(B3568,'Special Names'!A:B,2,FALSE),B3568),PlayerValues!E:E,0)),"N/A")</f>
        <v>12620</v>
      </c>
      <c r="B3568" s="4" t="s">
        <v>394</v>
      </c>
      <c r="C3568" s="4" t="s">
        <v>283</v>
      </c>
      <c r="D3568" s="94">
        <v>4881.0</v>
      </c>
    </row>
    <row r="3569">
      <c r="A3569" s="40">
        <f t="array" ref="A3569">IFNA(index(PlayerValues!A:A,match(IFNA(vlookup(B3569,'Special Names'!A:B,2,FALSE),B3569),PlayerValues!E:E,0)),"N/A")</f>
        <v>15710</v>
      </c>
      <c r="B3569" s="4" t="s">
        <v>395</v>
      </c>
      <c r="C3569" s="4" t="s">
        <v>278</v>
      </c>
      <c r="D3569" s="94">
        <v>4864.0</v>
      </c>
    </row>
    <row r="3570">
      <c r="A3570" s="40">
        <f t="array" ref="A3570">IFNA(index(PlayerValues!A:A,match(IFNA(vlookup(B3570,'Special Names'!A:B,2,FALSE),B3570),PlayerValues!E:E,0)),"N/A")</f>
        <v>17473</v>
      </c>
      <c r="B3570" s="4" t="s">
        <v>391</v>
      </c>
      <c r="C3570" s="4" t="s">
        <v>278</v>
      </c>
      <c r="D3570" s="94">
        <v>4856.0</v>
      </c>
    </row>
    <row r="3571">
      <c r="A3571" s="40">
        <f t="array" ref="A3571">IFNA(index(PlayerValues!A:A,match(IFNA(vlookup(B3571,'Special Names'!A:B,2,FALSE),B3571),PlayerValues!E:E,0)),"N/A")</f>
        <v>17103</v>
      </c>
      <c r="B3571" s="4" t="s">
        <v>405</v>
      </c>
      <c r="C3571" s="4" t="s">
        <v>298</v>
      </c>
      <c r="D3571" s="94">
        <v>5411.0</v>
      </c>
    </row>
    <row r="3572">
      <c r="A3572" s="40">
        <f t="array" ref="A3572">IFNA(index(PlayerValues!A:A,match(IFNA(vlookup(B3572,'Special Names'!A:B,2,FALSE),B3572),PlayerValues!E:E,0)),"N/A")</f>
        <v>16150</v>
      </c>
      <c r="B3572" s="4" t="s">
        <v>414</v>
      </c>
      <c r="C3572" s="4" t="s">
        <v>283</v>
      </c>
      <c r="D3572" s="94">
        <v>4816.0</v>
      </c>
    </row>
    <row r="3573">
      <c r="A3573" s="40">
        <f t="array" ref="A3573">IFNA(index(PlayerValues!A:A,match(IFNA(vlookup(B3573,'Special Names'!A:B,2,FALSE),B3573),PlayerValues!E:E,0)),"N/A")</f>
        <v>17039</v>
      </c>
      <c r="B3573" s="4" t="s">
        <v>400</v>
      </c>
      <c r="C3573" s="4" t="s">
        <v>283</v>
      </c>
      <c r="D3573" s="94">
        <v>4816.0</v>
      </c>
    </row>
    <row r="3574">
      <c r="A3574" s="40">
        <f t="array" ref="A3574">IFNA(index(PlayerValues!A:A,match(IFNA(vlookup(B3574,'Special Names'!A:B,2,FALSE),B3574),PlayerValues!E:E,0)),"N/A")</f>
        <v>17045</v>
      </c>
      <c r="B3574" s="4" t="s">
        <v>407</v>
      </c>
      <c r="C3574" s="4" t="s">
        <v>278</v>
      </c>
      <c r="D3574" s="94">
        <v>4788.0</v>
      </c>
    </row>
    <row r="3575">
      <c r="A3575" s="40">
        <f t="array" ref="A3575">IFNA(index(PlayerValues!A:A,match(IFNA(vlookup(B3575,'Special Names'!A:B,2,FALSE),B3575),PlayerValues!E:E,0)),"N/A")</f>
        <v>15284</v>
      </c>
      <c r="B3575" s="4" t="s">
        <v>390</v>
      </c>
      <c r="C3575" s="4" t="s">
        <v>287</v>
      </c>
      <c r="D3575" s="94">
        <v>4767.0</v>
      </c>
    </row>
    <row r="3576">
      <c r="A3576" s="40">
        <f t="array" ref="A3576">IFNA(index(PlayerValues!A:A,match(IFNA(vlookup(B3576,'Special Names'!A:B,2,FALSE),B3576),PlayerValues!E:E,0)),"N/A")</f>
        <v>16598</v>
      </c>
      <c r="B3576" s="4" t="s">
        <v>408</v>
      </c>
      <c r="C3576" s="4" t="s">
        <v>278</v>
      </c>
      <c r="D3576" s="94">
        <v>4722.0</v>
      </c>
    </row>
    <row r="3577">
      <c r="A3577" s="40">
        <f t="array" ref="A3577">IFNA(index(PlayerValues!A:A,match(IFNA(vlookup(B3577,'Special Names'!A:B,2,FALSE),B3577),PlayerValues!E:E,0)),"N/A")</f>
        <v>13590</v>
      </c>
      <c r="B3577" s="4" t="s">
        <v>409</v>
      </c>
      <c r="C3577" s="4" t="s">
        <v>283</v>
      </c>
      <c r="D3577" s="94">
        <v>4707.0</v>
      </c>
    </row>
    <row r="3578">
      <c r="A3578" s="40">
        <f t="array" ref="A3578">IFNA(index(PlayerValues!A:A,match(IFNA(vlookup(B3578,'Special Names'!A:B,2,FALSE),B3578),PlayerValues!E:E,0)),"N/A")</f>
        <v>12611</v>
      </c>
      <c r="B3578" s="4" t="s">
        <v>410</v>
      </c>
      <c r="C3578" s="4" t="s">
        <v>283</v>
      </c>
      <c r="D3578" s="94">
        <v>4683.0</v>
      </c>
    </row>
    <row r="3579">
      <c r="A3579" s="40">
        <f t="array" ref="A3579">IFNA(index(PlayerValues!A:A,match(IFNA(vlookup(B3579,'Special Names'!A:B,2,FALSE),B3579),PlayerValues!E:E,0)),"N/A")</f>
        <v>15756</v>
      </c>
      <c r="B3579" s="4" t="s">
        <v>399</v>
      </c>
      <c r="C3579" s="4" t="s">
        <v>287</v>
      </c>
      <c r="D3579" s="94">
        <v>4678.0</v>
      </c>
    </row>
    <row r="3580">
      <c r="A3580" s="40">
        <f t="array" ref="A3580">IFNA(index(PlayerValues!A:A,match(IFNA(vlookup(B3580,'Special Names'!A:B,2,FALSE),B3580),PlayerValues!E:E,0)),"N/A")</f>
        <v>16194</v>
      </c>
      <c r="B3580" s="4" t="s">
        <v>398</v>
      </c>
      <c r="C3580" s="4" t="s">
        <v>287</v>
      </c>
      <c r="D3580" s="94">
        <v>4668.0</v>
      </c>
    </row>
    <row r="3581">
      <c r="A3581" s="40" t="str">
        <f t="array" ref="A3581">IFNA(index(PlayerValues!A:A,match(IFNA(vlookup(B3581,'Special Names'!A:B,2,FALSE),B3581),PlayerValues!E:E,0)),"N/A")</f>
        <v>N/A</v>
      </c>
      <c r="B3581" s="4" t="s">
        <v>105</v>
      </c>
      <c r="C3581" s="4" t="s">
        <v>325</v>
      </c>
      <c r="D3581" s="94">
        <v>4591.0</v>
      </c>
    </row>
    <row r="3582">
      <c r="A3582" s="40" t="str">
        <f t="array" ref="A3582">IFNA(index(PlayerValues!A:A,match(IFNA(vlookup(B3582,'Special Names'!A:B,2,FALSE),B3582),PlayerValues!E:E,0)),"N/A")</f>
        <v>N/A</v>
      </c>
      <c r="B3582" s="4" t="s">
        <v>80</v>
      </c>
      <c r="C3582" s="4" t="s">
        <v>325</v>
      </c>
      <c r="D3582" s="94">
        <v>4581.0</v>
      </c>
    </row>
    <row r="3583">
      <c r="A3583" s="40">
        <f t="array" ref="A3583">IFNA(index(PlayerValues!A:A,match(IFNA(vlookup(B3583,'Special Names'!A:B,2,FALSE),B3583),PlayerValues!E:E,0)),"N/A")</f>
        <v>13592</v>
      </c>
      <c r="B3583" s="4" t="s">
        <v>418</v>
      </c>
      <c r="C3583" s="4" t="s">
        <v>283</v>
      </c>
      <c r="D3583" s="94">
        <v>4519.0</v>
      </c>
    </row>
    <row r="3584">
      <c r="A3584" s="40">
        <f t="array" ref="A3584">IFNA(index(PlayerValues!A:A,match(IFNA(vlookup(B3584,'Special Names'!A:B,2,FALSE),B3584),PlayerValues!E:E,0)),"N/A")</f>
        <v>15329</v>
      </c>
      <c r="B3584" s="4" t="s">
        <v>416</v>
      </c>
      <c r="C3584" s="4" t="s">
        <v>298</v>
      </c>
      <c r="D3584" s="94">
        <v>5040.0</v>
      </c>
    </row>
    <row r="3585">
      <c r="A3585" s="40">
        <f t="array" ref="A3585">IFNA(index(PlayerValues!A:A,match(IFNA(vlookup(B3585,'Special Names'!A:B,2,FALSE),B3585),PlayerValues!E:E,0)),"N/A")</f>
        <v>15256</v>
      </c>
      <c r="B3585" s="4" t="s">
        <v>401</v>
      </c>
      <c r="C3585" s="4" t="s">
        <v>278</v>
      </c>
      <c r="D3585" s="94">
        <v>4486.0</v>
      </c>
    </row>
    <row r="3586">
      <c r="A3586" s="40">
        <f t="array" ref="A3586">IFNA(index(PlayerValues!A:A,match(IFNA(vlookup(B3586,'Special Names'!A:B,2,FALSE),B3586),PlayerValues!E:E,0)),"N/A")</f>
        <v>16214</v>
      </c>
      <c r="B3586" s="4" t="s">
        <v>413</v>
      </c>
      <c r="C3586" s="4" t="s">
        <v>298</v>
      </c>
      <c r="D3586" s="94">
        <v>5011.0</v>
      </c>
    </row>
    <row r="3587">
      <c r="A3587" s="40">
        <f t="array" ref="A3587">IFNA(index(PlayerValues!A:A,match(IFNA(vlookup(B3587,'Special Names'!A:B,2,FALSE),B3587),PlayerValues!E:E,0)),"N/A")</f>
        <v>17501</v>
      </c>
      <c r="B3587" s="4" t="s">
        <v>404</v>
      </c>
      <c r="C3587" s="4" t="s">
        <v>287</v>
      </c>
      <c r="D3587" s="94">
        <v>4470.0</v>
      </c>
    </row>
    <row r="3588">
      <c r="A3588" s="40">
        <f t="array" ref="A3588">IFNA(index(PlayerValues!A:A,match(IFNA(vlookup(B3588,'Special Names'!A:B,2,FALSE),B3588),PlayerValues!E:E,0)),"N/A")</f>
        <v>15253</v>
      </c>
      <c r="B3588" s="4" t="s">
        <v>415</v>
      </c>
      <c r="C3588" s="4" t="s">
        <v>278</v>
      </c>
      <c r="D3588" s="94">
        <v>4468.0</v>
      </c>
    </row>
    <row r="3589">
      <c r="A3589" s="40">
        <f t="array" ref="A3589">IFNA(index(PlayerValues!A:A,match(IFNA(vlookup(B3589,'Special Names'!A:B,2,FALSE),B3589),PlayerValues!E:E,0)),"N/A")</f>
        <v>16148</v>
      </c>
      <c r="B3589" s="4" t="s">
        <v>426</v>
      </c>
      <c r="C3589" s="4" t="s">
        <v>283</v>
      </c>
      <c r="D3589" s="94">
        <v>4320.0</v>
      </c>
    </row>
    <row r="3590">
      <c r="A3590" s="40" t="str">
        <f t="array" ref="A3590">IFNA(index(PlayerValues!A:A,match(IFNA(vlookup(B3590,'Special Names'!A:B,2,FALSE),B3590),PlayerValues!E:E,0)),"N/A")</f>
        <v>N/A</v>
      </c>
      <c r="B3590" s="4" t="s">
        <v>107</v>
      </c>
      <c r="C3590" s="4" t="s">
        <v>325</v>
      </c>
      <c r="D3590" s="94">
        <v>4128.0</v>
      </c>
    </row>
    <row r="3591">
      <c r="A3591" s="40">
        <f t="array" ref="A3591">IFNA(index(PlayerValues!A:A,match(IFNA(vlookup(B3591,'Special Names'!A:B,2,FALSE),B3591),PlayerValues!E:E,0)),"N/A")</f>
        <v>14056</v>
      </c>
      <c r="B3591" s="4" t="s">
        <v>423</v>
      </c>
      <c r="C3591" s="4" t="s">
        <v>283</v>
      </c>
      <c r="D3591" s="94">
        <v>4123.0</v>
      </c>
    </row>
    <row r="3592">
      <c r="A3592" s="40">
        <f t="array" ref="A3592">IFNA(index(PlayerValues!A:A,match(IFNA(vlookup(B3592,'Special Names'!A:B,2,FALSE),B3592),PlayerValues!E:E,0)),"N/A")</f>
        <v>17052</v>
      </c>
      <c r="B3592" s="4" t="s">
        <v>417</v>
      </c>
      <c r="C3592" s="4" t="s">
        <v>278</v>
      </c>
      <c r="D3592" s="94">
        <v>4116.0</v>
      </c>
    </row>
    <row r="3593">
      <c r="A3593" s="40">
        <f t="array" ref="A3593">IFNA(index(PlayerValues!A:A,match(IFNA(vlookup(B3593,'Special Names'!A:B,2,FALSE),B3593),PlayerValues!E:E,0)),"N/A")</f>
        <v>17543</v>
      </c>
      <c r="B3593" s="4" t="s">
        <v>436</v>
      </c>
      <c r="C3593" s="4" t="s">
        <v>298</v>
      </c>
      <c r="D3593" s="94">
        <v>4561.0</v>
      </c>
    </row>
    <row r="3594">
      <c r="A3594" s="40">
        <f t="array" ref="A3594">IFNA(index(PlayerValues!A:A,match(IFNA(vlookup(B3594,'Special Names'!A:B,2,FALSE),B3594),PlayerValues!E:E,0)),"N/A")</f>
        <v>12626</v>
      </c>
      <c r="B3594" s="4" t="s">
        <v>419</v>
      </c>
      <c r="C3594" s="4" t="s">
        <v>278</v>
      </c>
      <c r="D3594" s="94">
        <v>4005.0</v>
      </c>
    </row>
    <row r="3595">
      <c r="A3595" s="40">
        <f t="array" ref="A3595">IFNA(index(PlayerValues!A:A,match(IFNA(vlookup(B3595,'Special Names'!A:B,2,FALSE),B3595),PlayerValues!E:E,0)),"N/A")</f>
        <v>15768</v>
      </c>
      <c r="B3595" s="4" t="s">
        <v>432</v>
      </c>
      <c r="C3595" s="4" t="s">
        <v>287</v>
      </c>
      <c r="D3595" s="94">
        <v>3993.0</v>
      </c>
    </row>
    <row r="3596">
      <c r="A3596" s="40">
        <f t="array" ref="A3596">IFNA(index(PlayerValues!A:A,match(IFNA(vlookup(B3596,'Special Names'!A:B,2,FALSE),B3596),PlayerValues!E:E,0)),"N/A")</f>
        <v>16186</v>
      </c>
      <c r="B3596" s="4" t="s">
        <v>425</v>
      </c>
      <c r="C3596" s="4" t="s">
        <v>287</v>
      </c>
      <c r="D3596" s="94">
        <v>3956.0</v>
      </c>
    </row>
    <row r="3597">
      <c r="A3597" s="40">
        <f t="array" ref="A3597">IFNA(index(PlayerValues!A:A,match(IFNA(vlookup(B3597,'Special Names'!A:B,2,FALSE),B3597),PlayerValues!E:E,0)),"N/A")</f>
        <v>14059</v>
      </c>
      <c r="B3597" s="4" t="s">
        <v>435</v>
      </c>
      <c r="C3597" s="4" t="s">
        <v>283</v>
      </c>
      <c r="D3597" s="94">
        <v>3929.0</v>
      </c>
    </row>
    <row r="3598">
      <c r="A3598" s="40">
        <f t="array" ref="A3598">IFNA(index(PlayerValues!A:A,match(IFNA(vlookup(B3598,'Special Names'!A:B,2,FALSE),B3598),PlayerValues!E:E,0)),"N/A")</f>
        <v>15789</v>
      </c>
      <c r="B3598" s="4" t="s">
        <v>421</v>
      </c>
      <c r="C3598" s="4" t="s">
        <v>287</v>
      </c>
      <c r="D3598" s="94">
        <v>3898.0</v>
      </c>
    </row>
    <row r="3599">
      <c r="A3599" s="40" t="str">
        <f t="array" ref="A3599">IFNA(index(PlayerValues!A:A,match(IFNA(vlookup(B3599,'Special Names'!A:B,2,FALSE),B3599),PlayerValues!E:E,0)),"N/A")</f>
        <v>N/A</v>
      </c>
      <c r="B3599" s="4" t="s">
        <v>81</v>
      </c>
      <c r="C3599" s="4" t="s">
        <v>325</v>
      </c>
      <c r="D3599" s="94">
        <v>3888.0</v>
      </c>
    </row>
    <row r="3600">
      <c r="A3600" s="40" t="str">
        <f t="array" ref="A3600">IFNA(index(PlayerValues!A:A,match(IFNA(vlookup(B3600,'Special Names'!A:B,2,FALSE),B3600),PlayerValues!E:E,0)),"N/A")</f>
        <v>N/A</v>
      </c>
      <c r="B3600" s="4" t="s">
        <v>95</v>
      </c>
      <c r="C3600" s="4" t="s">
        <v>325</v>
      </c>
      <c r="D3600" s="94">
        <v>3887.0</v>
      </c>
    </row>
    <row r="3601">
      <c r="A3601" s="40">
        <f t="array" ref="A3601">IFNA(index(PlayerValues!A:A,match(IFNA(vlookup(B3601,'Special Names'!A:B,2,FALSE),B3601),PlayerValues!E:E,0)),"N/A")</f>
        <v>14073</v>
      </c>
      <c r="B3601" s="4" t="s">
        <v>464</v>
      </c>
      <c r="C3601" s="4" t="s">
        <v>278</v>
      </c>
      <c r="D3601" s="94">
        <v>3835.0</v>
      </c>
    </row>
    <row r="3602">
      <c r="A3602" s="40">
        <f t="array" ref="A3602">IFNA(index(PlayerValues!A:A,match(IFNA(vlookup(B3602,'Special Names'!A:B,2,FALSE),B3602),PlayerValues!E:E,0)),"N/A")</f>
        <v>15694</v>
      </c>
      <c r="B3602" s="4" t="s">
        <v>434</v>
      </c>
      <c r="C3602" s="4" t="s">
        <v>283</v>
      </c>
      <c r="D3602" s="94">
        <v>3820.0</v>
      </c>
    </row>
    <row r="3603">
      <c r="A3603" s="40">
        <f t="array" ref="A3603">IFNA(index(PlayerValues!A:A,match(IFNA(vlookup(B3603,'Special Names'!A:B,2,FALSE),B3603),PlayerValues!E:E,0)),"N/A")</f>
        <v>9431</v>
      </c>
      <c r="B3603" s="4" t="s">
        <v>428</v>
      </c>
      <c r="C3603" s="4" t="s">
        <v>283</v>
      </c>
      <c r="D3603" s="94">
        <v>3807.0</v>
      </c>
    </row>
    <row r="3604">
      <c r="A3604" s="40">
        <f t="array" ref="A3604">IFNA(index(PlayerValues!A:A,match(IFNA(vlookup(B3604,'Special Names'!A:B,2,FALSE),B3604),PlayerValues!E:E,0)),"N/A")</f>
        <v>17502</v>
      </c>
      <c r="B3604" s="4" t="s">
        <v>451</v>
      </c>
      <c r="C3604" s="4" t="s">
        <v>287</v>
      </c>
      <c r="D3604" s="94">
        <v>3711.0</v>
      </c>
    </row>
    <row r="3605">
      <c r="A3605" s="40">
        <f t="array" ref="A3605">IFNA(index(PlayerValues!A:A,match(IFNA(vlookup(B3605,'Special Names'!A:B,2,FALSE),B3605),PlayerValues!E:E,0)),"N/A")</f>
        <v>16192</v>
      </c>
      <c r="B3605" s="4" t="s">
        <v>412</v>
      </c>
      <c r="C3605" s="4" t="s">
        <v>287</v>
      </c>
      <c r="D3605" s="94">
        <v>3687.0</v>
      </c>
    </row>
    <row r="3606">
      <c r="A3606" s="40">
        <f t="array" ref="A3606">IFNA(index(PlayerValues!A:A,match(IFNA(vlookup(B3606,'Special Names'!A:B,2,FALSE),B3606),PlayerValues!E:E,0)),"N/A")</f>
        <v>16187</v>
      </c>
      <c r="B3606" s="4" t="s">
        <v>441</v>
      </c>
      <c r="C3606" s="4" t="s">
        <v>287</v>
      </c>
      <c r="D3606" s="94">
        <v>3671.0</v>
      </c>
    </row>
    <row r="3607">
      <c r="A3607" s="40">
        <f t="array" ref="A3607">IFNA(index(PlayerValues!A:A,match(IFNA(vlookup(B3607,'Special Names'!A:B,2,FALSE),B3607),PlayerValues!E:E,0)),"N/A")</f>
        <v>14797</v>
      </c>
      <c r="B3607" s="4" t="s">
        <v>420</v>
      </c>
      <c r="C3607" s="4" t="s">
        <v>278</v>
      </c>
      <c r="D3607" s="94">
        <v>3627.0</v>
      </c>
    </row>
    <row r="3608">
      <c r="A3608" s="40">
        <f t="array" ref="A3608">IFNA(index(PlayerValues!A:A,match(IFNA(vlookup(B3608,'Special Names'!A:B,2,FALSE),B3608),PlayerValues!E:E,0)),"N/A")</f>
        <v>17075</v>
      </c>
      <c r="B3608" s="4" t="s">
        <v>429</v>
      </c>
      <c r="C3608" s="4" t="s">
        <v>287</v>
      </c>
      <c r="D3608" s="94">
        <v>3622.0</v>
      </c>
    </row>
    <row r="3609">
      <c r="A3609" s="40">
        <f t="array" ref="A3609">IFNA(index(PlayerValues!A:A,match(IFNA(vlookup(B3609,'Special Names'!A:B,2,FALSE),B3609),PlayerValues!E:E,0)),"N/A")</f>
        <v>13635</v>
      </c>
      <c r="B3609" s="4" t="s">
        <v>424</v>
      </c>
      <c r="C3609" s="4" t="s">
        <v>287</v>
      </c>
      <c r="D3609" s="94">
        <v>3613.0</v>
      </c>
    </row>
    <row r="3610">
      <c r="A3610" s="40">
        <f t="array" ref="A3610">IFNA(index(PlayerValues!A:A,match(IFNA(vlookup(B3610,'Special Names'!A:B,2,FALSE),B3610),PlayerValues!E:E,0)),"N/A")</f>
        <v>16206</v>
      </c>
      <c r="B3610" s="4" t="s">
        <v>431</v>
      </c>
      <c r="C3610" s="4" t="s">
        <v>287</v>
      </c>
      <c r="D3610" s="94">
        <v>3604.0</v>
      </c>
    </row>
    <row r="3611">
      <c r="A3611" s="40">
        <f t="array" ref="A3611">IFNA(index(PlayerValues!A:A,match(IFNA(vlookup(B3611,'Special Names'!A:B,2,FALSE),B3611),PlayerValues!E:E,0)),"N/A")</f>
        <v>17099</v>
      </c>
      <c r="B3611" s="4" t="s">
        <v>474</v>
      </c>
      <c r="C3611" s="4" t="s">
        <v>298</v>
      </c>
      <c r="D3611" s="94">
        <v>4064.0</v>
      </c>
    </row>
    <row r="3612">
      <c r="A3612" s="40">
        <f t="array" ref="A3612">IFNA(index(PlayerValues!A:A,match(IFNA(vlookup(B3612,'Special Names'!A:B,2,FALSE),B3612),PlayerValues!E:E,0)),"N/A")</f>
        <v>17544</v>
      </c>
      <c r="B3612" s="4" t="s">
        <v>470</v>
      </c>
      <c r="C3612" s="4" t="s">
        <v>298</v>
      </c>
      <c r="D3612" s="94">
        <v>4054.0</v>
      </c>
    </row>
    <row r="3613">
      <c r="A3613" s="40">
        <f t="array" ref="A3613">IFNA(index(PlayerValues!A:A,match(IFNA(vlookup(B3613,'Special Names'!A:B,2,FALSE),B3613),PlayerValues!E:E,0)),"N/A")</f>
        <v>17066</v>
      </c>
      <c r="B3613" s="4" t="s">
        <v>446</v>
      </c>
      <c r="C3613" s="4" t="s">
        <v>278</v>
      </c>
      <c r="D3613" s="94">
        <v>3573.0</v>
      </c>
    </row>
    <row r="3614">
      <c r="A3614" s="40">
        <f t="array" ref="A3614">IFNA(index(PlayerValues!A:A,match(IFNA(vlookup(B3614,'Special Names'!A:B,2,FALSE),B3614),PlayerValues!E:E,0)),"N/A")</f>
        <v>16188</v>
      </c>
      <c r="B3614" s="4" t="s">
        <v>439</v>
      </c>
      <c r="C3614" s="4" t="s">
        <v>287</v>
      </c>
      <c r="D3614" s="94">
        <v>3570.0</v>
      </c>
    </row>
    <row r="3615">
      <c r="A3615" s="40">
        <f t="array" ref="A3615">IFNA(index(PlayerValues!A:A,match(IFNA(vlookup(B3615,'Special Names'!A:B,2,FALSE),B3615),PlayerValues!E:E,0)),"N/A")</f>
        <v>17463</v>
      </c>
      <c r="B3615" s="4" t="s">
        <v>433</v>
      </c>
      <c r="C3615" s="4" t="s">
        <v>283</v>
      </c>
      <c r="D3615" s="94">
        <v>3550.0</v>
      </c>
    </row>
    <row r="3616">
      <c r="A3616" s="40">
        <f t="array" ref="A3616">IFNA(index(PlayerValues!A:A,match(IFNA(vlookup(B3616,'Special Names'!A:B,2,FALSE),B3616),PlayerValues!E:E,0)),"N/A")</f>
        <v>15757</v>
      </c>
      <c r="B3616" s="4" t="s">
        <v>449</v>
      </c>
      <c r="C3616" s="4" t="s">
        <v>287</v>
      </c>
      <c r="D3616" s="94">
        <v>3491.0</v>
      </c>
    </row>
    <row r="3617">
      <c r="A3617" s="40">
        <f t="array" ref="A3617">IFNA(index(PlayerValues!A:A,match(IFNA(vlookup(B3617,'Special Names'!A:B,2,FALSE),B3617),PlayerValues!E:E,0)),"N/A")</f>
        <v>14109</v>
      </c>
      <c r="B3617" s="4" t="s">
        <v>437</v>
      </c>
      <c r="C3617" s="4" t="s">
        <v>287</v>
      </c>
      <c r="D3617" s="94">
        <v>3486.0</v>
      </c>
    </row>
    <row r="3618">
      <c r="A3618" s="40">
        <f t="array" ref="A3618">IFNA(index(PlayerValues!A:A,match(IFNA(vlookup(B3618,'Special Names'!A:B,2,FALSE),B3618),PlayerValues!E:E,0)),"N/A")</f>
        <v>17500</v>
      </c>
      <c r="B3618" s="4" t="s">
        <v>430</v>
      </c>
      <c r="C3618" s="4" t="s">
        <v>287</v>
      </c>
      <c r="D3618" s="94">
        <v>3461.0</v>
      </c>
    </row>
    <row r="3619">
      <c r="A3619" s="40" t="str">
        <f t="array" ref="A3619">IFNA(index(PlayerValues!A:A,match(IFNA(vlookup(B3619,'Special Names'!A:B,2,FALSE),B3619),PlayerValues!E:E,0)),"N/A")</f>
        <v>N/A</v>
      </c>
      <c r="B3619" s="4" t="s">
        <v>96</v>
      </c>
      <c r="C3619" s="4" t="s">
        <v>325</v>
      </c>
      <c r="D3619" s="94">
        <v>3459.0</v>
      </c>
    </row>
    <row r="3620">
      <c r="A3620" s="40">
        <f t="array" ref="A3620">IFNA(index(PlayerValues!A:A,match(IFNA(vlookup(B3620,'Special Names'!A:B,2,FALSE),B3620),PlayerValues!E:E,0)),"N/A")</f>
        <v>17083</v>
      </c>
      <c r="B3620" s="4" t="s">
        <v>479</v>
      </c>
      <c r="C3620" s="4" t="s">
        <v>287</v>
      </c>
      <c r="D3620" s="94">
        <v>3447.0</v>
      </c>
    </row>
    <row r="3621">
      <c r="A3621" s="40">
        <f t="array" ref="A3621">IFNA(index(PlayerValues!A:A,match(IFNA(vlookup(B3621,'Special Names'!A:B,2,FALSE),B3621),PlayerValues!E:E,0)),"N/A")</f>
        <v>14102</v>
      </c>
      <c r="B3621" s="4" t="s">
        <v>444</v>
      </c>
      <c r="C3621" s="4" t="s">
        <v>287</v>
      </c>
      <c r="D3621" s="94">
        <v>3439.0</v>
      </c>
    </row>
    <row r="3622">
      <c r="A3622" s="40">
        <f t="array" ref="A3622">IFNA(index(PlayerValues!A:A,match(IFNA(vlookup(B3622,'Special Names'!A:B,2,FALSE),B3622),PlayerValues!E:E,0)),"N/A")</f>
        <v>16184</v>
      </c>
      <c r="B3622" s="4" t="s">
        <v>445</v>
      </c>
      <c r="C3622" s="4" t="s">
        <v>287</v>
      </c>
      <c r="D3622" s="94">
        <v>3439.0</v>
      </c>
    </row>
    <row r="3623">
      <c r="A3623" s="40">
        <f t="array" ref="A3623">IFNA(index(PlayerValues!A:A,match(IFNA(vlookup(B3623,'Special Names'!A:B,2,FALSE),B3623),PlayerValues!E:E,0)),"N/A")</f>
        <v>17068</v>
      </c>
      <c r="B3623" s="4" t="s">
        <v>450</v>
      </c>
      <c r="C3623" s="4" t="s">
        <v>278</v>
      </c>
      <c r="D3623" s="94">
        <v>3385.0</v>
      </c>
    </row>
    <row r="3624">
      <c r="A3624" s="40">
        <f t="array" ref="A3624">IFNA(index(PlayerValues!A:A,match(IFNA(vlookup(B3624,'Special Names'!A:B,2,FALSE),B3624),PlayerValues!E:E,0)),"N/A")</f>
        <v>15798</v>
      </c>
      <c r="B3624" s="4" t="s">
        <v>443</v>
      </c>
      <c r="C3624" s="4" t="s">
        <v>298</v>
      </c>
      <c r="D3624" s="94">
        <v>3830.0</v>
      </c>
    </row>
    <row r="3625">
      <c r="A3625" s="40">
        <f t="array" ref="A3625">IFNA(index(PlayerValues!A:A,match(IFNA(vlookup(B3625,'Special Names'!A:B,2,FALSE),B3625),PlayerValues!E:E,0)),"N/A")</f>
        <v>14071</v>
      </c>
      <c r="B3625" s="4" t="s">
        <v>440</v>
      </c>
      <c r="C3625" s="4" t="s">
        <v>278</v>
      </c>
      <c r="D3625" s="94">
        <v>3378.0</v>
      </c>
    </row>
    <row r="3626">
      <c r="A3626" s="40">
        <f t="array" ref="A3626">IFNA(index(PlayerValues!A:A,match(IFNA(vlookup(B3626,'Special Names'!A:B,2,FALSE),B3626),PlayerValues!E:E,0)),"N/A")</f>
        <v>16622</v>
      </c>
      <c r="B3626" s="4" t="s">
        <v>517</v>
      </c>
      <c r="C3626" s="4" t="s">
        <v>287</v>
      </c>
      <c r="D3626" s="94">
        <v>3364.0</v>
      </c>
    </row>
    <row r="3627">
      <c r="A3627" s="40">
        <f t="array" ref="A3627">IFNA(index(PlayerValues!A:A,match(IFNA(vlookup(B3627,'Special Names'!A:B,2,FALSE),B3627),PlayerValues!E:E,0)),"N/A")</f>
        <v>16169</v>
      </c>
      <c r="B3627" s="4" t="s">
        <v>457</v>
      </c>
      <c r="C3627" s="4" t="s">
        <v>278</v>
      </c>
      <c r="D3627" s="94">
        <v>3362.0</v>
      </c>
    </row>
    <row r="3628">
      <c r="A3628" s="40">
        <f t="array" ref="A3628">IFNA(index(PlayerValues!A:A,match(IFNA(vlookup(B3628,'Special Names'!A:B,2,FALSE),B3628),PlayerValues!E:E,0)),"N/A")</f>
        <v>14842</v>
      </c>
      <c r="B3628" s="4" t="s">
        <v>456</v>
      </c>
      <c r="C3628" s="4" t="s">
        <v>287</v>
      </c>
      <c r="D3628" s="94">
        <v>3361.0</v>
      </c>
    </row>
    <row r="3629">
      <c r="A3629" s="40">
        <f t="array" ref="A3629">IFNA(index(PlayerValues!A:A,match(IFNA(vlookup(B3629,'Special Names'!A:B,2,FALSE),B3629),PlayerValues!E:E,0)),"N/A")</f>
        <v>16593</v>
      </c>
      <c r="B3629" s="4" t="s">
        <v>442</v>
      </c>
      <c r="C3629" s="4" t="s">
        <v>278</v>
      </c>
      <c r="D3629" s="94">
        <v>3355.0</v>
      </c>
    </row>
    <row r="3630">
      <c r="A3630" s="40">
        <f t="array" ref="A3630">IFNA(index(PlayerValues!A:A,match(IFNA(vlookup(B3630,'Special Names'!A:B,2,FALSE),B3630),PlayerValues!E:E,0)),"N/A")</f>
        <v>16620</v>
      </c>
      <c r="B3630" s="4" t="s">
        <v>467</v>
      </c>
      <c r="C3630" s="4" t="s">
        <v>287</v>
      </c>
      <c r="D3630" s="94">
        <v>3333.0</v>
      </c>
    </row>
    <row r="3631">
      <c r="A3631" s="40">
        <f t="array" ref="A3631">IFNA(index(PlayerValues!A:A,match(IFNA(vlookup(B3631,'Special Names'!A:B,2,FALSE),B3631),PlayerValues!E:E,0)),"N/A")</f>
        <v>11675</v>
      </c>
      <c r="B3631" s="4" t="s">
        <v>438</v>
      </c>
      <c r="C3631" s="4" t="s">
        <v>287</v>
      </c>
      <c r="D3631" s="94">
        <v>3329.0</v>
      </c>
    </row>
    <row r="3632">
      <c r="A3632" s="40">
        <f t="array" ref="A3632">IFNA(index(PlayerValues!A:A,match(IFNA(vlookup(B3632,'Special Names'!A:B,2,FALSE),B3632),PlayerValues!E:E,0)),"N/A")</f>
        <v>17074</v>
      </c>
      <c r="B3632" s="4" t="s">
        <v>475</v>
      </c>
      <c r="C3632" s="4" t="s">
        <v>287</v>
      </c>
      <c r="D3632" s="94">
        <v>3329.0</v>
      </c>
    </row>
    <row r="3633">
      <c r="A3633" s="40">
        <f t="array" ref="A3633">IFNA(index(PlayerValues!A:A,match(IFNA(vlookup(B3633,'Special Names'!A:B,2,FALSE),B3633),PlayerValues!E:E,0)),"N/A")</f>
        <v>15261</v>
      </c>
      <c r="B3633" s="4" t="s">
        <v>466</v>
      </c>
      <c r="C3633" s="4" t="s">
        <v>278</v>
      </c>
      <c r="D3633" s="94">
        <v>3325.0</v>
      </c>
    </row>
    <row r="3634">
      <c r="A3634" s="40">
        <f t="array" ref="A3634">IFNA(index(PlayerValues!A:A,match(IFNA(vlookup(B3634,'Special Names'!A:B,2,FALSE),B3634),PlayerValues!E:E,0)),"N/A")</f>
        <v>16597</v>
      </c>
      <c r="B3634" s="4" t="s">
        <v>427</v>
      </c>
      <c r="C3634" s="4" t="s">
        <v>278</v>
      </c>
      <c r="D3634" s="94">
        <v>3313.0</v>
      </c>
    </row>
    <row r="3635">
      <c r="A3635" s="40">
        <f t="array" ref="A3635">IFNA(index(PlayerValues!A:A,match(IFNA(vlookup(B3635,'Special Names'!A:B,2,FALSE),B3635),PlayerValues!E:E,0)),"N/A")</f>
        <v>11671</v>
      </c>
      <c r="B3635" s="4" t="s">
        <v>463</v>
      </c>
      <c r="C3635" s="4" t="s">
        <v>287</v>
      </c>
      <c r="D3635" s="94">
        <v>3312.0</v>
      </c>
    </row>
    <row r="3636">
      <c r="A3636" s="40" t="str">
        <f t="array" ref="A3636">IFNA(index(PlayerValues!A:A,match(IFNA(vlookup(B3636,'Special Names'!A:B,2,FALSE),B3636),PlayerValues!E:E,0)),"N/A")</f>
        <v>N/A</v>
      </c>
      <c r="B3636" s="4" t="s">
        <v>82</v>
      </c>
      <c r="C3636" s="4" t="s">
        <v>325</v>
      </c>
      <c r="D3636" s="94">
        <v>3312.0</v>
      </c>
    </row>
    <row r="3637">
      <c r="A3637" s="40">
        <f t="array" ref="A3637">IFNA(index(PlayerValues!A:A,match(IFNA(vlookup(B3637,'Special Names'!A:B,2,FALSE),B3637),PlayerValues!E:E,0)),"N/A")</f>
        <v>13299</v>
      </c>
      <c r="B3637" s="4" t="s">
        <v>448</v>
      </c>
      <c r="C3637" s="4" t="s">
        <v>298</v>
      </c>
      <c r="D3637" s="94">
        <v>3728.0</v>
      </c>
    </row>
    <row r="3638">
      <c r="A3638" s="40" t="str">
        <f t="array" ref="A3638">IFNA(index(PlayerValues!A:A,match(IFNA(vlookup(B3638,'Special Names'!A:B,2,FALSE),B3638),PlayerValues!E:E,0)),"N/A")</f>
        <v>N/A</v>
      </c>
      <c r="B3638" s="4" t="s">
        <v>108</v>
      </c>
      <c r="C3638" s="4" t="s">
        <v>325</v>
      </c>
      <c r="D3638" s="94">
        <v>3216.0</v>
      </c>
    </row>
    <row r="3639">
      <c r="A3639" s="40">
        <f t="array" ref="A3639">IFNA(index(PlayerValues!A:A,match(IFNA(vlookup(B3639,'Special Names'!A:B,2,FALSE),B3639),PlayerValues!E:E,0)),"N/A")</f>
        <v>15799</v>
      </c>
      <c r="B3639" s="4" t="s">
        <v>468</v>
      </c>
      <c r="C3639" s="4" t="s">
        <v>298</v>
      </c>
      <c r="D3639" s="94">
        <v>3644.0</v>
      </c>
    </row>
    <row r="3640">
      <c r="A3640" s="40">
        <f t="array" ref="A3640">IFNA(index(PlayerValues!A:A,match(IFNA(vlookup(B3640,'Special Names'!A:B,2,FALSE),B3640),PlayerValues!E:E,0)),"N/A")</f>
        <v>15742</v>
      </c>
      <c r="B3640" s="4" t="s">
        <v>447</v>
      </c>
      <c r="C3640" s="4" t="s">
        <v>278</v>
      </c>
      <c r="D3640" s="94">
        <v>3198.0</v>
      </c>
    </row>
    <row r="3641">
      <c r="A3641" s="40">
        <f t="array" ref="A3641">IFNA(index(PlayerValues!A:A,match(IFNA(vlookup(B3641,'Special Names'!A:B,2,FALSE),B3641),PlayerValues!E:E,0)),"N/A")</f>
        <v>17477</v>
      </c>
      <c r="B3641" s="4" t="s">
        <v>452</v>
      </c>
      <c r="C3641" s="4" t="s">
        <v>278</v>
      </c>
      <c r="D3641" s="94">
        <v>3180.0</v>
      </c>
    </row>
    <row r="3642">
      <c r="A3642" s="40" t="str">
        <f t="array" ref="A3642">IFNA(index(PlayerValues!A:A,match(IFNA(vlookup(B3642,'Special Names'!A:B,2,FALSE),B3642),PlayerValues!E:E,0)),"N/A")</f>
        <v>N/A</v>
      </c>
      <c r="B3642" s="4" t="s">
        <v>97</v>
      </c>
      <c r="C3642" s="4" t="s">
        <v>325</v>
      </c>
      <c r="D3642" s="94">
        <v>3173.0</v>
      </c>
    </row>
    <row r="3643">
      <c r="A3643" s="40">
        <f t="array" ref="A3643">IFNA(index(PlayerValues!A:A,match(IFNA(vlookup(B3643,'Special Names'!A:B,2,FALSE),B3643),PlayerValues!E:E,0)),"N/A")</f>
        <v>16809</v>
      </c>
      <c r="B3643" s="4" t="s">
        <v>455</v>
      </c>
      <c r="C3643" s="4" t="s">
        <v>287</v>
      </c>
      <c r="D3643" s="94">
        <v>3158.0</v>
      </c>
    </row>
    <row r="3644">
      <c r="A3644" s="40">
        <f t="array" ref="A3644">IFNA(index(PlayerValues!A:A,match(IFNA(vlookup(B3644,'Special Names'!A:B,2,FALSE),B3644),PlayerValues!E:E,0)),"N/A")</f>
        <v>14823</v>
      </c>
      <c r="B3644" s="4" t="s">
        <v>459</v>
      </c>
      <c r="C3644" s="4" t="s">
        <v>278</v>
      </c>
      <c r="D3644" s="94">
        <v>3151.0</v>
      </c>
    </row>
    <row r="3645">
      <c r="A3645" s="40">
        <f t="array" ref="A3645">IFNA(index(PlayerValues!A:A,match(IFNA(vlookup(B3645,'Special Names'!A:B,2,FALSE),B3645),PlayerValues!E:E,0)),"N/A")</f>
        <v>16213</v>
      </c>
      <c r="B3645" s="4" t="s">
        <v>458</v>
      </c>
      <c r="C3645" s="4" t="s">
        <v>298</v>
      </c>
      <c r="D3645" s="94">
        <v>3570.0</v>
      </c>
    </row>
    <row r="3646">
      <c r="A3646" s="40">
        <f t="array" ref="A3646">IFNA(index(PlayerValues!A:A,match(IFNA(vlookup(B3646,'Special Names'!A:B,2,FALSE),B3646),PlayerValues!E:E,0)),"N/A")</f>
        <v>13630</v>
      </c>
      <c r="B3646" s="4" t="s">
        <v>465</v>
      </c>
      <c r="C3646" s="4" t="s">
        <v>287</v>
      </c>
      <c r="D3646" s="94">
        <v>3108.0</v>
      </c>
    </row>
    <row r="3647">
      <c r="A3647" s="40">
        <f t="array" ref="A3647">IFNA(index(PlayerValues!A:A,match(IFNA(vlookup(B3647,'Special Names'!A:B,2,FALSE),B3647),PlayerValues!E:E,0)),"N/A")</f>
        <v>15779</v>
      </c>
      <c r="B3647" s="4" t="s">
        <v>461</v>
      </c>
      <c r="C3647" s="4" t="s">
        <v>287</v>
      </c>
      <c r="D3647" s="94">
        <v>3088.0</v>
      </c>
    </row>
    <row r="3648">
      <c r="A3648" s="40">
        <f t="array" ref="A3648">IFNA(index(PlayerValues!A:A,match(IFNA(vlookup(B3648,'Special Names'!A:B,2,FALSE),B3648),PlayerValues!E:E,0)),"N/A")</f>
        <v>16583</v>
      </c>
      <c r="B3648" s="4" t="s">
        <v>493</v>
      </c>
      <c r="C3648" s="4" t="s">
        <v>283</v>
      </c>
      <c r="D3648" s="94">
        <v>3075.0</v>
      </c>
    </row>
    <row r="3649">
      <c r="A3649" s="40">
        <f t="array" ref="A3649">IFNA(index(PlayerValues!A:A,match(IFNA(vlookup(B3649,'Special Names'!A:B,2,FALSE),B3649),PlayerValues!E:E,0)),"N/A")</f>
        <v>16628</v>
      </c>
      <c r="B3649" s="4" t="s">
        <v>490</v>
      </c>
      <c r="C3649" s="4" t="s">
        <v>287</v>
      </c>
      <c r="D3649" s="94">
        <v>3074.0</v>
      </c>
    </row>
    <row r="3650">
      <c r="A3650" s="40">
        <f t="array" ref="A3650">IFNA(index(PlayerValues!A:A,match(IFNA(vlookup(B3650,'Special Names'!A:B,2,FALSE),B3650),PlayerValues!E:E,0)),"N/A")</f>
        <v>17506</v>
      </c>
      <c r="B3650" s="4" t="s">
        <v>471</v>
      </c>
      <c r="C3650" s="4" t="s">
        <v>287</v>
      </c>
      <c r="D3650" s="94">
        <v>3059.0</v>
      </c>
    </row>
    <row r="3651">
      <c r="A3651" s="40">
        <f t="array" ref="A3651">IFNA(index(PlayerValues!A:A,match(IFNA(vlookup(B3651,'Special Names'!A:B,2,FALSE),B3651),PlayerValues!E:E,0)),"N/A")</f>
        <v>14127</v>
      </c>
      <c r="B3651" s="4" t="s">
        <v>486</v>
      </c>
      <c r="C3651" s="4" t="s">
        <v>287</v>
      </c>
      <c r="D3651" s="94">
        <v>3056.0</v>
      </c>
    </row>
    <row r="3652">
      <c r="A3652" s="40">
        <f t="array" ref="A3652">IFNA(index(PlayerValues!A:A,match(IFNA(vlookup(B3652,'Special Names'!A:B,2,FALSE),B3652),PlayerValues!E:E,0)),"N/A")</f>
        <v>17512</v>
      </c>
      <c r="B3652" s="4" t="s">
        <v>483</v>
      </c>
      <c r="C3652" s="4" t="s">
        <v>287</v>
      </c>
      <c r="D3652" s="94">
        <v>3038.0</v>
      </c>
    </row>
    <row r="3653">
      <c r="A3653" s="40" t="str">
        <f t="array" ref="A3653">IFNA(index(PlayerValues!A:A,match(IFNA(vlookup(B3653,'Special Names'!A:B,2,FALSE),B3653),PlayerValues!E:E,0)),"N/A")</f>
        <v>N/A</v>
      </c>
      <c r="B3653" s="4" t="s">
        <v>84</v>
      </c>
      <c r="C3653" s="4" t="s">
        <v>325</v>
      </c>
      <c r="D3653" s="94">
        <v>2989.0</v>
      </c>
    </row>
    <row r="3654">
      <c r="A3654" s="40" t="str">
        <f t="array" ref="A3654">IFNA(index(PlayerValues!A:A,match(IFNA(vlookup(B3654,'Special Names'!A:B,2,FALSE),B3654),PlayerValues!E:E,0)),"N/A")</f>
        <v>N/A</v>
      </c>
      <c r="B3654" s="4" t="s">
        <v>109</v>
      </c>
      <c r="C3654" s="4" t="s">
        <v>325</v>
      </c>
      <c r="D3654" s="94">
        <v>2986.0</v>
      </c>
    </row>
    <row r="3655">
      <c r="A3655" s="40">
        <f t="array" ref="A3655">IFNA(index(PlayerValues!A:A,match(IFNA(vlookup(B3655,'Special Names'!A:B,2,FALSE),B3655),PlayerValues!E:E,0)),"N/A")</f>
        <v>16269</v>
      </c>
      <c r="B3655" s="4" t="s">
        <v>481</v>
      </c>
      <c r="C3655" s="4" t="s">
        <v>298</v>
      </c>
      <c r="D3655" s="94">
        <v>3406.0</v>
      </c>
    </row>
    <row r="3656">
      <c r="A3656" s="40">
        <f t="array" ref="A3656">IFNA(index(PlayerValues!A:A,match(IFNA(vlookup(B3656,'Special Names'!A:B,2,FALSE),B3656),PlayerValues!E:E,0)),"N/A")</f>
        <v>14800</v>
      </c>
      <c r="B3656" s="4" t="s">
        <v>472</v>
      </c>
      <c r="C3656" s="4" t="s">
        <v>278</v>
      </c>
      <c r="D3656" s="94">
        <v>2965.0</v>
      </c>
    </row>
    <row r="3657">
      <c r="A3657" s="40">
        <f t="array" ref="A3657">IFNA(index(PlayerValues!A:A,match(IFNA(vlookup(B3657,'Special Names'!A:B,2,FALSE),B3657),PlayerValues!E:E,0)),"N/A")</f>
        <v>17503</v>
      </c>
      <c r="B3657" s="4" t="s">
        <v>480</v>
      </c>
      <c r="C3657" s="4" t="s">
        <v>287</v>
      </c>
      <c r="D3657" s="94">
        <v>2964.0</v>
      </c>
    </row>
    <row r="3658">
      <c r="A3658" s="40">
        <f t="array" ref="A3658">IFNA(index(PlayerValues!A:A,match(IFNA(vlookup(B3658,'Special Names'!A:B,2,FALSE),B3658),PlayerValues!E:E,0)),"N/A")</f>
        <v>17256</v>
      </c>
      <c r="B3658" s="4" t="s">
        <v>462</v>
      </c>
      <c r="C3658" s="4" t="s">
        <v>278</v>
      </c>
      <c r="D3658" s="94">
        <v>2952.0</v>
      </c>
    </row>
    <row r="3659">
      <c r="A3659" s="40">
        <f t="array" ref="A3659">IFNA(index(PlayerValues!A:A,match(IFNA(vlookup(B3659,'Special Names'!A:B,2,FALSE),B3659),PlayerValues!E:E,0)),"N/A")</f>
        <v>15259</v>
      </c>
      <c r="B3659" s="4" t="s">
        <v>453</v>
      </c>
      <c r="C3659" s="4" t="s">
        <v>278</v>
      </c>
      <c r="D3659" s="94">
        <v>2943.0</v>
      </c>
    </row>
    <row r="3660">
      <c r="A3660" s="40">
        <f t="array" ref="A3660">IFNA(index(PlayerValues!A:A,match(IFNA(vlookup(B3660,'Special Names'!A:B,2,FALSE),B3660),PlayerValues!E:E,0)),"N/A")</f>
        <v>15761</v>
      </c>
      <c r="B3660" s="4" t="s">
        <v>491</v>
      </c>
      <c r="C3660" s="4" t="s">
        <v>287</v>
      </c>
      <c r="D3660" s="94">
        <v>2921.0</v>
      </c>
    </row>
    <row r="3661">
      <c r="A3661" s="40">
        <f t="array" ref="A3661">IFNA(index(PlayerValues!A:A,match(IFNA(vlookup(B3661,'Special Names'!A:B,2,FALSE),B3661),PlayerValues!E:E,0)),"N/A")</f>
        <v>13163</v>
      </c>
      <c r="B3661" s="4" t="s">
        <v>473</v>
      </c>
      <c r="C3661" s="4" t="s">
        <v>287</v>
      </c>
      <c r="D3661" s="94">
        <v>2913.0</v>
      </c>
    </row>
    <row r="3662">
      <c r="A3662" s="40">
        <f t="array" ref="A3662">IFNA(index(PlayerValues!A:A,match(IFNA(vlookup(B3662,'Special Names'!A:B,2,FALSE),B3662),PlayerValues!E:E,0)),"N/A")</f>
        <v>15255</v>
      </c>
      <c r="B3662" s="4" t="s">
        <v>477</v>
      </c>
      <c r="C3662" s="4" t="s">
        <v>278</v>
      </c>
      <c r="D3662" s="94">
        <v>2912.0</v>
      </c>
    </row>
    <row r="3663">
      <c r="A3663" s="40">
        <f t="array" ref="A3663">IFNA(index(PlayerValues!A:A,match(IFNA(vlookup(B3663,'Special Names'!A:B,2,FALSE),B3663),PlayerValues!E:E,0)),"N/A")</f>
        <v>17476</v>
      </c>
      <c r="B3663" s="4" t="s">
        <v>494</v>
      </c>
      <c r="C3663" s="4" t="s">
        <v>278</v>
      </c>
      <c r="D3663" s="94">
        <v>2903.0</v>
      </c>
    </row>
    <row r="3664">
      <c r="A3664" s="40">
        <f t="array" ref="A3664">IFNA(index(PlayerValues!A:A,match(IFNA(vlookup(B3664,'Special Names'!A:B,2,FALSE),B3664),PlayerValues!E:E,0)),"N/A")</f>
        <v>14085</v>
      </c>
      <c r="B3664" s="4" t="s">
        <v>489</v>
      </c>
      <c r="C3664" s="4" t="s">
        <v>278</v>
      </c>
      <c r="D3664" s="94">
        <v>2828.0</v>
      </c>
    </row>
    <row r="3665">
      <c r="A3665" s="40">
        <f t="array" ref="A3665">IFNA(index(PlayerValues!A:A,match(IFNA(vlookup(B3665,'Special Names'!A:B,2,FALSE),B3665),PlayerValues!E:E,0)),"N/A")</f>
        <v>15889</v>
      </c>
      <c r="B3665" s="4" t="s">
        <v>503</v>
      </c>
      <c r="C3665" s="4" t="s">
        <v>298</v>
      </c>
      <c r="D3665" s="94">
        <v>3225.0</v>
      </c>
    </row>
    <row r="3666">
      <c r="A3666" s="40" t="str">
        <f t="array" ref="A3666">IFNA(index(PlayerValues!A:A,match(IFNA(vlookup(B3666,'Special Names'!A:B,2,FALSE),B3666),PlayerValues!E:E,0)),"N/A")</f>
        <v>N/A</v>
      </c>
      <c r="B3666" s="4" t="s">
        <v>85</v>
      </c>
      <c r="C3666" s="4" t="s">
        <v>325</v>
      </c>
      <c r="D3666" s="94">
        <v>2809.0</v>
      </c>
    </row>
    <row r="3667">
      <c r="A3667" s="40" t="str">
        <f t="array" ref="A3667">IFNA(index(PlayerValues!A:A,match(IFNA(vlookup(B3667,'Special Names'!A:B,2,FALSE),B3667),PlayerValues!E:E,0)),"N/A")</f>
        <v>N/A</v>
      </c>
      <c r="B3667" s="4" t="s">
        <v>110</v>
      </c>
      <c r="C3667" s="4" t="s">
        <v>325</v>
      </c>
      <c r="D3667" s="94">
        <v>2799.0</v>
      </c>
    </row>
    <row r="3668">
      <c r="A3668" s="40">
        <f t="array" ref="A3668">IFNA(index(PlayerValues!A:A,match(IFNA(vlookup(B3668,'Special Names'!A:B,2,FALSE),B3668),PlayerValues!E:E,0)),"N/A")</f>
        <v>17505</v>
      </c>
      <c r="B3668" s="4" t="s">
        <v>528</v>
      </c>
      <c r="C3668" s="4" t="s">
        <v>287</v>
      </c>
      <c r="D3668" s="94">
        <v>2786.0</v>
      </c>
    </row>
    <row r="3669">
      <c r="A3669" s="40">
        <f t="array" ref="A3669">IFNA(index(PlayerValues!A:A,match(IFNA(vlookup(B3669,'Special Names'!A:B,2,FALSE),B3669),PlayerValues!E:E,0)),"N/A")</f>
        <v>14778</v>
      </c>
      <c r="B3669" s="4" t="s">
        <v>564</v>
      </c>
      <c r="C3669" s="4" t="s">
        <v>283</v>
      </c>
      <c r="D3669" s="94">
        <v>2780.0</v>
      </c>
    </row>
    <row r="3670">
      <c r="A3670" s="40">
        <f t="array" ref="A3670">IFNA(index(PlayerValues!A:A,match(IFNA(vlookup(B3670,'Special Names'!A:B,2,FALSE),B3670),PlayerValues!E:E,0)),"N/A")</f>
        <v>13671</v>
      </c>
      <c r="B3670" s="4" t="s">
        <v>506</v>
      </c>
      <c r="C3670" s="4" t="s">
        <v>298</v>
      </c>
      <c r="D3670" s="94">
        <v>3189.0</v>
      </c>
    </row>
    <row r="3671">
      <c r="A3671" s="40">
        <f t="array" ref="A3671">IFNA(index(PlayerValues!A:A,match(IFNA(vlookup(B3671,'Special Names'!A:B,2,FALSE),B3671),PlayerValues!E:E,0)),"N/A")</f>
        <v>16080</v>
      </c>
      <c r="B3671" s="4" t="s">
        <v>499</v>
      </c>
      <c r="C3671" s="4" t="s">
        <v>287</v>
      </c>
      <c r="D3671" s="94">
        <v>2764.0</v>
      </c>
    </row>
    <row r="3672">
      <c r="A3672" s="40">
        <f t="array" ref="A3672">IFNA(index(PlayerValues!A:A,match(IFNA(vlookup(B3672,'Special Names'!A:B,2,FALSE),B3672),PlayerValues!E:E,0)),"N/A")</f>
        <v>17157</v>
      </c>
      <c r="B3672" s="4" t="s">
        <v>524</v>
      </c>
      <c r="C3672" s="4" t="s">
        <v>287</v>
      </c>
      <c r="D3672" s="94">
        <v>2763.0</v>
      </c>
    </row>
    <row r="3673">
      <c r="A3673" s="40">
        <f t="array" ref="A3673">IFNA(index(PlayerValues!A:A,match(IFNA(vlookup(B3673,'Special Names'!A:B,2,FALSE),B3673),PlayerValues!E:E,0)),"N/A")</f>
        <v>15721</v>
      </c>
      <c r="B3673" s="4" t="s">
        <v>504</v>
      </c>
      <c r="C3673" s="4" t="s">
        <v>278</v>
      </c>
      <c r="D3673" s="94">
        <v>2753.0</v>
      </c>
    </row>
    <row r="3674">
      <c r="A3674" s="40">
        <f t="array" ref="A3674">IFNA(index(PlayerValues!A:A,match(IFNA(vlookup(B3674,'Special Names'!A:B,2,FALSE),B3674),PlayerValues!E:E,0)),"N/A")</f>
        <v>16723</v>
      </c>
      <c r="B3674" s="4" t="s">
        <v>502</v>
      </c>
      <c r="C3674" s="4" t="s">
        <v>298</v>
      </c>
      <c r="D3674" s="94">
        <v>3165.0</v>
      </c>
    </row>
    <row r="3675">
      <c r="A3675" s="40">
        <f t="array" ref="A3675">IFNA(index(PlayerValues!A:A,match(IFNA(vlookup(B3675,'Special Names'!A:B,2,FALSE),B3675),PlayerValues!E:E,0)),"N/A")</f>
        <v>17047</v>
      </c>
      <c r="B3675" s="4" t="s">
        <v>510</v>
      </c>
      <c r="C3675" s="4" t="s">
        <v>278</v>
      </c>
      <c r="D3675" s="94">
        <v>2750.0</v>
      </c>
    </row>
    <row r="3676">
      <c r="A3676" s="40">
        <f t="array" ref="A3676">IFNA(index(PlayerValues!A:A,match(IFNA(vlookup(B3676,'Special Names'!A:B,2,FALSE),B3676),PlayerValues!E:E,0)),"N/A")</f>
        <v>15712</v>
      </c>
      <c r="B3676" s="4" t="s">
        <v>488</v>
      </c>
      <c r="C3676" s="4" t="s">
        <v>278</v>
      </c>
      <c r="D3676" s="94">
        <v>2744.0</v>
      </c>
    </row>
    <row r="3677">
      <c r="A3677" s="40">
        <f t="array" ref="A3677">IFNA(index(PlayerValues!A:A,match(IFNA(vlookup(B3677,'Special Names'!A:B,2,FALSE),B3677),PlayerValues!E:E,0)),"N/A")</f>
        <v>17072</v>
      </c>
      <c r="B3677" s="4" t="s">
        <v>508</v>
      </c>
      <c r="C3677" s="4" t="s">
        <v>287</v>
      </c>
      <c r="D3677" s="94">
        <v>2739.0</v>
      </c>
    </row>
    <row r="3678">
      <c r="A3678" s="40">
        <f t="array" ref="A3678">IFNA(index(PlayerValues!A:A,match(IFNA(vlookup(B3678,'Special Names'!A:B,2,FALSE),B3678),PlayerValues!E:E,0)),"N/A")</f>
        <v>16584</v>
      </c>
      <c r="B3678" s="4" t="s">
        <v>569</v>
      </c>
      <c r="C3678" s="4" t="s">
        <v>283</v>
      </c>
      <c r="D3678" s="94">
        <v>2733.0</v>
      </c>
    </row>
    <row r="3679">
      <c r="A3679" s="40">
        <f t="array" ref="A3679">IFNA(index(PlayerValues!A:A,match(IFNA(vlookup(B3679,'Special Names'!A:B,2,FALSE),B3679),PlayerValues!E:E,0)),"N/A")</f>
        <v>17053</v>
      </c>
      <c r="B3679" s="4" t="s">
        <v>484</v>
      </c>
      <c r="C3679" s="4" t="s">
        <v>278</v>
      </c>
      <c r="D3679" s="94">
        <v>2726.0</v>
      </c>
    </row>
    <row r="3680">
      <c r="A3680" s="40">
        <f t="array" ref="A3680">IFNA(index(PlayerValues!A:A,match(IFNA(vlookup(B3680,'Special Names'!A:B,2,FALSE),B3680),PlayerValues!E:E,0)),"N/A")</f>
        <v>17514</v>
      </c>
      <c r="B3680" s="4" t="s">
        <v>422</v>
      </c>
      <c r="C3680" s="4" t="s">
        <v>287</v>
      </c>
      <c r="D3680" s="94">
        <v>2725.0</v>
      </c>
    </row>
    <row r="3681">
      <c r="A3681" s="40">
        <f t="array" ref="A3681">IFNA(index(PlayerValues!A:A,match(IFNA(vlookup(B3681,'Special Names'!A:B,2,FALSE),B3681),PlayerValues!E:E,0)),"N/A")</f>
        <v>14138</v>
      </c>
      <c r="B3681" s="4" t="s">
        <v>531</v>
      </c>
      <c r="C3681" s="4" t="s">
        <v>298</v>
      </c>
      <c r="D3681" s="94">
        <v>3137.0</v>
      </c>
    </row>
    <row r="3682">
      <c r="A3682" s="40">
        <f t="array" ref="A3682">IFNA(index(PlayerValues!A:A,match(IFNA(vlookup(B3682,'Special Names'!A:B,2,FALSE),B3682),PlayerValues!E:E,0)),"N/A")</f>
        <v>17080</v>
      </c>
      <c r="B3682" s="4" t="s">
        <v>532</v>
      </c>
      <c r="C3682" s="4" t="s">
        <v>287</v>
      </c>
      <c r="D3682" s="94">
        <v>2720.0</v>
      </c>
    </row>
    <row r="3683">
      <c r="A3683" s="40">
        <f t="array" ref="A3683">IFNA(index(PlayerValues!A:A,match(IFNA(vlookup(B3683,'Special Names'!A:B,2,FALSE),B3683),PlayerValues!E:E,0)),"N/A")</f>
        <v>17511</v>
      </c>
      <c r="B3683" s="4" t="s">
        <v>485</v>
      </c>
      <c r="C3683" s="4" t="s">
        <v>287</v>
      </c>
      <c r="D3683" s="94">
        <v>2718.0</v>
      </c>
    </row>
    <row r="3684">
      <c r="A3684" s="40">
        <f t="array" ref="A3684">IFNA(index(PlayerValues!A:A,match(IFNA(vlookup(B3684,'Special Names'!A:B,2,FALSE),B3684),PlayerValues!E:E,0)),"N/A")</f>
        <v>17031</v>
      </c>
      <c r="B3684" s="4" t="s">
        <v>535</v>
      </c>
      <c r="C3684" s="4" t="s">
        <v>283</v>
      </c>
      <c r="D3684" s="94">
        <v>2714.0</v>
      </c>
    </row>
    <row r="3685">
      <c r="A3685" s="40">
        <f t="array" ref="A3685">IFNA(index(PlayerValues!A:A,match(IFNA(vlookup(B3685,'Special Names'!A:B,2,FALSE),B3685),PlayerValues!E:E,0)),"N/A")</f>
        <v>17507</v>
      </c>
      <c r="B3685" s="4" t="s">
        <v>495</v>
      </c>
      <c r="C3685" s="4" t="s">
        <v>287</v>
      </c>
      <c r="D3685" s="94">
        <v>2703.0</v>
      </c>
    </row>
    <row r="3686">
      <c r="A3686" s="40">
        <f t="array" ref="A3686">IFNA(index(PlayerValues!A:A,match(IFNA(vlookup(B3686,'Special Names'!A:B,2,FALSE),B3686),PlayerValues!E:E,0)),"N/A")</f>
        <v>15241</v>
      </c>
      <c r="B3686" s="4" t="s">
        <v>546</v>
      </c>
      <c r="C3686" s="4" t="s">
        <v>283</v>
      </c>
      <c r="D3686" s="94">
        <v>2672.0</v>
      </c>
    </row>
    <row r="3687">
      <c r="A3687" s="40">
        <f t="array" ref="A3687">IFNA(index(PlayerValues!A:A,match(IFNA(vlookup(B3687,'Special Names'!A:B,2,FALSE),B3687),PlayerValues!E:E,0)),"N/A")</f>
        <v>16596</v>
      </c>
      <c r="B3687" s="4" t="s">
        <v>501</v>
      </c>
      <c r="C3687" s="4" t="s">
        <v>278</v>
      </c>
      <c r="D3687" s="94">
        <v>2670.0</v>
      </c>
    </row>
    <row r="3688">
      <c r="A3688" s="40">
        <f t="array" ref="A3688">IFNA(index(PlayerValues!A:A,match(IFNA(vlookup(B3688,'Special Names'!A:B,2,FALSE),B3688),PlayerValues!E:E,0)),"N/A")</f>
        <v>17107</v>
      </c>
      <c r="B3688" s="4" t="s">
        <v>478</v>
      </c>
      <c r="C3688" s="4" t="s">
        <v>298</v>
      </c>
      <c r="D3688" s="94">
        <v>3081.0</v>
      </c>
    </row>
    <row r="3689">
      <c r="A3689" s="40">
        <f t="array" ref="A3689">IFNA(index(PlayerValues!A:A,match(IFNA(vlookup(B3689,'Special Names'!A:B,2,FALSE),B3689),PlayerValues!E:E,0)),"N/A")</f>
        <v>15972</v>
      </c>
      <c r="B3689" s="4" t="s">
        <v>469</v>
      </c>
      <c r="C3689" s="4" t="s">
        <v>278</v>
      </c>
      <c r="D3689" s="94">
        <v>2665.0</v>
      </c>
    </row>
    <row r="3690">
      <c r="A3690" s="40">
        <f t="array" ref="A3690">IFNA(index(PlayerValues!A:A,match(IFNA(vlookup(B3690,'Special Names'!A:B,2,FALSE),B3690),PlayerValues!E:E,0)),"N/A")</f>
        <v>12616</v>
      </c>
      <c r="B3690" s="4" t="s">
        <v>529</v>
      </c>
      <c r="C3690" s="4" t="s">
        <v>283</v>
      </c>
      <c r="D3690" s="94">
        <v>2652.0</v>
      </c>
    </row>
    <row r="3691">
      <c r="A3691" s="40">
        <f t="array" ref="A3691">IFNA(index(PlayerValues!A:A,match(IFNA(vlookup(B3691,'Special Names'!A:B,2,FALSE),B3691),PlayerValues!E:E,0)),"N/A")</f>
        <v>16747</v>
      </c>
      <c r="B3691" s="4" t="s">
        <v>555</v>
      </c>
      <c r="C3691" s="4" t="s">
        <v>278</v>
      </c>
      <c r="D3691" s="94">
        <v>2651.0</v>
      </c>
    </row>
    <row r="3692">
      <c r="A3692" s="40">
        <f t="array" ref="A3692">IFNA(index(PlayerValues!A:A,match(IFNA(vlookup(B3692,'Special Names'!A:B,2,FALSE),B3692),PlayerValues!E:E,0)),"N/A")</f>
        <v>17105</v>
      </c>
      <c r="B3692" s="4" t="s">
        <v>525</v>
      </c>
      <c r="C3692" s="4" t="s">
        <v>298</v>
      </c>
      <c r="D3692" s="94">
        <v>3059.0</v>
      </c>
    </row>
    <row r="3693">
      <c r="A3693" s="40" t="str">
        <f t="array" ref="A3693">IFNA(index(PlayerValues!A:A,match(IFNA(vlookup(B3693,'Special Names'!A:B,2,FALSE),B3693),PlayerValues!E:E,0)),"N/A")</f>
        <v>N/A</v>
      </c>
      <c r="B3693" s="4" t="s">
        <v>98</v>
      </c>
      <c r="C3693" s="4" t="s">
        <v>325</v>
      </c>
      <c r="D3693" s="94">
        <v>2640.0</v>
      </c>
    </row>
    <row r="3694">
      <c r="A3694" s="40">
        <f t="array" ref="A3694">IFNA(index(PlayerValues!A:A,match(IFNA(vlookup(B3694,'Special Names'!A:B,2,FALSE),B3694),PlayerValues!E:E,0)),"N/A")</f>
        <v>16174</v>
      </c>
      <c r="B3694" s="4" t="s">
        <v>505</v>
      </c>
      <c r="C3694" s="4" t="s">
        <v>278</v>
      </c>
      <c r="D3694" s="94">
        <v>2638.0</v>
      </c>
    </row>
    <row r="3695">
      <c r="A3695" s="40">
        <f t="array" ref="A3695">IFNA(index(PlayerValues!A:A,match(IFNA(vlookup(B3695,'Special Names'!A:B,2,FALSE),B3695),PlayerValues!E:E,0)),"N/A")</f>
        <v>17098</v>
      </c>
      <c r="B3695" s="4" t="s">
        <v>533</v>
      </c>
      <c r="C3695" s="4" t="s">
        <v>287</v>
      </c>
      <c r="D3695" s="94">
        <v>2637.0</v>
      </c>
    </row>
    <row r="3696">
      <c r="A3696" s="40">
        <f t="array" ref="A3696">IFNA(index(PlayerValues!A:A,match(IFNA(vlookup(B3696,'Special Names'!A:B,2,FALSE),B3696),PlayerValues!E:E,0)),"N/A")</f>
        <v>14833</v>
      </c>
      <c r="B3696" s="4" t="s">
        <v>553</v>
      </c>
      <c r="C3696" s="4" t="s">
        <v>287</v>
      </c>
      <c r="D3696" s="94">
        <v>2608.0</v>
      </c>
    </row>
    <row r="3697">
      <c r="A3697" s="40">
        <f t="array" ref="A3697">IFNA(index(PlayerValues!A:A,match(IFNA(vlookup(B3697,'Special Names'!A:B,2,FALSE),B3697),PlayerValues!E:E,0)),"N/A")</f>
        <v>14860</v>
      </c>
      <c r="B3697" s="4" t="s">
        <v>554</v>
      </c>
      <c r="C3697" s="4" t="s">
        <v>287</v>
      </c>
      <c r="D3697" s="94">
        <v>2606.0</v>
      </c>
    </row>
    <row r="3698">
      <c r="A3698" s="40">
        <f t="array" ref="A3698">IFNA(index(PlayerValues!A:A,match(IFNA(vlookup(B3698,'Special Names'!A:B,2,FALSE),B3698),PlayerValues!E:E,0)),"N/A")</f>
        <v>16165</v>
      </c>
      <c r="B3698" s="4" t="s">
        <v>520</v>
      </c>
      <c r="C3698" s="4" t="s">
        <v>278</v>
      </c>
      <c r="D3698" s="94">
        <v>2597.0</v>
      </c>
    </row>
    <row r="3699">
      <c r="A3699" s="40">
        <f t="array" ref="A3699">IFNA(index(PlayerValues!A:A,match(IFNA(vlookup(B3699,'Special Names'!A:B,2,FALSE),B3699),PlayerValues!E:E,0)),"N/A")</f>
        <v>16619</v>
      </c>
      <c r="B3699" s="4" t="s">
        <v>538</v>
      </c>
      <c r="C3699" s="4" t="s">
        <v>287</v>
      </c>
      <c r="D3699" s="94">
        <v>2594.0</v>
      </c>
    </row>
    <row r="3700">
      <c r="A3700" s="40">
        <f t="array" ref="A3700">IFNA(index(PlayerValues!A:A,match(IFNA(vlookup(B3700,'Special Names'!A:B,2,FALSE),B3700),PlayerValues!E:E,0)),"N/A")</f>
        <v>13674</v>
      </c>
      <c r="B3700" s="4" t="s">
        <v>511</v>
      </c>
      <c r="C3700" s="4" t="s">
        <v>298</v>
      </c>
      <c r="D3700" s="94">
        <v>2998.0</v>
      </c>
    </row>
    <row r="3701">
      <c r="A3701" s="40">
        <f t="array" ref="A3701">IFNA(index(PlayerValues!A:A,match(IFNA(vlookup(B3701,'Special Names'!A:B,2,FALSE),B3701),PlayerValues!E:E,0)),"N/A")</f>
        <v>17478</v>
      </c>
      <c r="B3701" s="4" t="s">
        <v>527</v>
      </c>
      <c r="C3701" s="4" t="s">
        <v>278</v>
      </c>
      <c r="D3701" s="94">
        <v>2585.0</v>
      </c>
    </row>
    <row r="3702">
      <c r="A3702" s="40">
        <f t="array" ref="A3702">IFNA(index(PlayerValues!A:A,match(IFNA(vlookup(B3702,'Special Names'!A:B,2,FALSE),B3702),PlayerValues!E:E,0)),"N/A")</f>
        <v>17474</v>
      </c>
      <c r="B3702" s="4" t="s">
        <v>513</v>
      </c>
      <c r="C3702" s="4" t="s">
        <v>278</v>
      </c>
      <c r="D3702" s="94">
        <v>2568.0</v>
      </c>
    </row>
    <row r="3703">
      <c r="A3703" s="40">
        <f t="array" ref="A3703">IFNA(index(PlayerValues!A:A,match(IFNA(vlookup(B3703,'Special Names'!A:B,2,FALSE),B3703),PlayerValues!E:E,0)),"N/A")</f>
        <v>16684</v>
      </c>
      <c r="B3703" s="4" t="s">
        <v>500</v>
      </c>
      <c r="C3703" s="4" t="s">
        <v>287</v>
      </c>
      <c r="D3703" s="94">
        <v>2543.0</v>
      </c>
    </row>
    <row r="3704">
      <c r="A3704" s="40">
        <f t="array" ref="A3704">IFNA(index(PlayerValues!A:A,match(IFNA(vlookup(B3704,'Special Names'!A:B,2,FALSE),B3704),PlayerValues!E:E,0)),"N/A")</f>
        <v>16626</v>
      </c>
      <c r="B3704" s="4" t="s">
        <v>515</v>
      </c>
      <c r="C3704" s="4" t="s">
        <v>287</v>
      </c>
      <c r="D3704" s="94">
        <v>2542.0</v>
      </c>
    </row>
    <row r="3705">
      <c r="A3705" s="40">
        <f t="array" ref="A3705">IFNA(index(PlayerValues!A:A,match(IFNA(vlookup(B3705,'Special Names'!A:B,2,FALSE),B3705),PlayerValues!E:E,0)),"N/A")</f>
        <v>16193</v>
      </c>
      <c r="B3705" s="4" t="s">
        <v>487</v>
      </c>
      <c r="C3705" s="4" t="s">
        <v>287</v>
      </c>
      <c r="D3705" s="94">
        <v>2539.0</v>
      </c>
    </row>
    <row r="3706">
      <c r="A3706" s="40">
        <f t="array" ref="A3706">IFNA(index(PlayerValues!A:A,match(IFNA(vlookup(B3706,'Special Names'!A:B,2,FALSE),B3706),PlayerValues!E:E,0)),"N/A")</f>
        <v>16204</v>
      </c>
      <c r="B3706" s="4" t="s">
        <v>530</v>
      </c>
      <c r="C3706" s="4" t="s">
        <v>287</v>
      </c>
      <c r="D3706" s="94">
        <v>2533.0</v>
      </c>
    </row>
    <row r="3707">
      <c r="A3707" s="40">
        <f t="array" ref="A3707">IFNA(index(PlayerValues!A:A,match(IFNA(vlookup(B3707,'Special Names'!A:B,2,FALSE),B3707),PlayerValues!E:E,0)),"N/A")</f>
        <v>17520</v>
      </c>
      <c r="B3707" s="4" t="s">
        <v>518</v>
      </c>
      <c r="C3707" s="4" t="s">
        <v>287</v>
      </c>
      <c r="D3707" s="94">
        <v>2526.0</v>
      </c>
    </row>
    <row r="3708">
      <c r="A3708" s="40" t="str">
        <f t="array" ref="A3708">IFNA(index(PlayerValues!A:A,match(IFNA(vlookup(B3708,'Special Names'!A:B,2,FALSE),B3708),PlayerValues!E:E,0)),"N/A")</f>
        <v>N/A</v>
      </c>
      <c r="B3708" s="4" t="s">
        <v>99</v>
      </c>
      <c r="C3708" s="4" t="s">
        <v>325</v>
      </c>
      <c r="D3708" s="94">
        <v>2518.0</v>
      </c>
    </row>
    <row r="3709">
      <c r="A3709" s="40">
        <f t="array" ref="A3709">IFNA(index(PlayerValues!A:A,match(IFNA(vlookup(B3709,'Special Names'!A:B,2,FALSE),B3709),PlayerValues!E:E,0)),"N/A")</f>
        <v>11244</v>
      </c>
      <c r="B3709" s="4" t="s">
        <v>519</v>
      </c>
      <c r="C3709" s="4" t="s">
        <v>298</v>
      </c>
      <c r="D3709" s="94">
        <v>2907.0</v>
      </c>
    </row>
    <row r="3710">
      <c r="A3710" s="40">
        <f t="array" ref="A3710">IFNA(index(PlayerValues!A:A,match(IFNA(vlookup(B3710,'Special Names'!A:B,2,FALSE),B3710),PlayerValues!E:E,0)),"N/A")</f>
        <v>16178</v>
      </c>
      <c r="B3710" s="4" t="s">
        <v>507</v>
      </c>
      <c r="C3710" s="4" t="s">
        <v>278</v>
      </c>
      <c r="D3710" s="94">
        <v>2502.0</v>
      </c>
    </row>
    <row r="3711">
      <c r="A3711" s="40">
        <f t="array" ref="A3711">IFNA(index(PlayerValues!A:A,match(IFNA(vlookup(B3711,'Special Names'!A:B,2,FALSE),B3711),PlayerValues!E:E,0)),"N/A")</f>
        <v>17078</v>
      </c>
      <c r="B3711" s="4" t="s">
        <v>543</v>
      </c>
      <c r="C3711" s="4" t="s">
        <v>287</v>
      </c>
      <c r="D3711" s="94">
        <v>2489.0</v>
      </c>
    </row>
    <row r="3712">
      <c r="A3712" s="40">
        <f t="array" ref="A3712">IFNA(index(PlayerValues!A:A,match(IFNA(vlookup(B3712,'Special Names'!A:B,2,FALSE),B3712),PlayerValues!E:E,0)),"N/A")</f>
        <v>16287</v>
      </c>
      <c r="B3712" s="4" t="s">
        <v>516</v>
      </c>
      <c r="C3712" s="4" t="s">
        <v>287</v>
      </c>
      <c r="D3712" s="94">
        <v>2484.0</v>
      </c>
    </row>
    <row r="3713">
      <c r="A3713" s="40">
        <f t="array" ref="A3713">IFNA(index(PlayerValues!A:A,match(IFNA(vlookup(B3713,'Special Names'!A:B,2,FALSE),B3713),PlayerValues!E:E,0)),"N/A")</f>
        <v>17073</v>
      </c>
      <c r="B3713" s="4" t="s">
        <v>547</v>
      </c>
      <c r="C3713" s="4" t="s">
        <v>287</v>
      </c>
      <c r="D3713" s="94">
        <v>2483.0</v>
      </c>
    </row>
    <row r="3714">
      <c r="A3714" s="40">
        <f t="array" ref="A3714">IFNA(index(PlayerValues!A:A,match(IFNA(vlookup(B3714,'Special Names'!A:B,2,FALSE),B3714),PlayerValues!E:E,0)),"N/A")</f>
        <v>17509</v>
      </c>
      <c r="B3714" s="4" t="s">
        <v>551</v>
      </c>
      <c r="C3714" s="4" t="s">
        <v>287</v>
      </c>
      <c r="D3714" s="94">
        <v>2483.0</v>
      </c>
    </row>
    <row r="3715">
      <c r="A3715" s="40">
        <f t="array" ref="A3715">IFNA(index(PlayerValues!A:A,match(IFNA(vlookup(B3715,'Special Names'!A:B,2,FALSE),B3715),PlayerValues!E:E,0)),"N/A")</f>
        <v>16164</v>
      </c>
      <c r="B3715" s="4" t="s">
        <v>512</v>
      </c>
      <c r="C3715" s="4" t="s">
        <v>278</v>
      </c>
      <c r="D3715" s="94">
        <v>2475.0</v>
      </c>
    </row>
    <row r="3716">
      <c r="A3716" s="40">
        <f t="array" ref="A3716">IFNA(index(PlayerValues!A:A,match(IFNA(vlookup(B3716,'Special Names'!A:B,2,FALSE),B3716),PlayerValues!E:E,0)),"N/A")</f>
        <v>17082</v>
      </c>
      <c r="B3716" s="4" t="s">
        <v>498</v>
      </c>
      <c r="C3716" s="4" t="s">
        <v>287</v>
      </c>
      <c r="D3716" s="94">
        <v>2462.0</v>
      </c>
    </row>
    <row r="3717">
      <c r="A3717" s="40">
        <f t="array" ref="A3717">IFNA(index(PlayerValues!A:A,match(IFNA(vlookup(B3717,'Special Names'!A:B,2,FALSE),B3717),PlayerValues!E:E,0)),"N/A")</f>
        <v>17508</v>
      </c>
      <c r="B3717" s="4" t="s">
        <v>534</v>
      </c>
      <c r="C3717" s="4" t="s">
        <v>287</v>
      </c>
      <c r="D3717" s="94">
        <v>2445.0</v>
      </c>
    </row>
    <row r="3718">
      <c r="A3718" s="40">
        <f t="array" ref="A3718">IFNA(index(PlayerValues!A:A,match(IFNA(vlookup(B3718,'Special Names'!A:B,2,FALSE),B3718),PlayerValues!E:E,0)),"N/A")</f>
        <v>15786</v>
      </c>
      <c r="B3718" s="4" t="s">
        <v>521</v>
      </c>
      <c r="C3718" s="4" t="s">
        <v>287</v>
      </c>
      <c r="D3718" s="94">
        <v>2429.0</v>
      </c>
    </row>
    <row r="3719">
      <c r="A3719" s="40">
        <f t="array" ref="A3719">IFNA(index(PlayerValues!A:A,match(IFNA(vlookup(B3719,'Special Names'!A:B,2,FALSE),B3719),PlayerValues!E:E,0)),"N/A")</f>
        <v>16617</v>
      </c>
      <c r="B3719" s="4" t="s">
        <v>541</v>
      </c>
      <c r="C3719" s="4" t="s">
        <v>287</v>
      </c>
      <c r="D3719" s="94">
        <v>2423.0</v>
      </c>
    </row>
    <row r="3720">
      <c r="A3720" s="40">
        <f t="array" ref="A3720">IFNA(index(PlayerValues!A:A,match(IFNA(vlookup(B3720,'Special Names'!A:B,2,FALSE),B3720),PlayerValues!E:E,0)),"N/A")</f>
        <v>17108</v>
      </c>
      <c r="B3720" s="4" t="s">
        <v>542</v>
      </c>
      <c r="C3720" s="4" t="s">
        <v>298</v>
      </c>
      <c r="D3720" s="94">
        <v>2822.0</v>
      </c>
    </row>
    <row r="3721">
      <c r="A3721" s="40">
        <f t="array" ref="A3721">IFNA(index(PlayerValues!A:A,match(IFNA(vlookup(B3721,'Special Names'!A:B,2,FALSE),B3721),PlayerValues!E:E,0)),"N/A")</f>
        <v>13192</v>
      </c>
      <c r="B3721" s="4" t="s">
        <v>563</v>
      </c>
      <c r="C3721" s="4" t="s">
        <v>298</v>
      </c>
      <c r="D3721" s="94">
        <v>2820.0</v>
      </c>
    </row>
    <row r="3722">
      <c r="A3722" s="40">
        <f t="array" ref="A3722">IFNA(index(PlayerValues!A:A,match(IFNA(vlookup(B3722,'Special Names'!A:B,2,FALSE),B3722),PlayerValues!E:E,0)),"N/A")</f>
        <v>17171</v>
      </c>
      <c r="B3722" s="4" t="s">
        <v>561</v>
      </c>
      <c r="C3722" s="4" t="s">
        <v>287</v>
      </c>
      <c r="D3722" s="94">
        <v>2410.0</v>
      </c>
    </row>
    <row r="3723">
      <c r="A3723" s="40">
        <f t="array" ref="A3723">IFNA(index(PlayerValues!A:A,match(IFNA(vlookup(B3723,'Special Names'!A:B,2,FALSE),B3723),PlayerValues!E:E,0)),"N/A")</f>
        <v>16195</v>
      </c>
      <c r="B3723" s="4" t="s">
        <v>509</v>
      </c>
      <c r="C3723" s="4" t="s">
        <v>287</v>
      </c>
      <c r="D3723" s="94">
        <v>2401.0</v>
      </c>
    </row>
    <row r="3724">
      <c r="A3724" s="40" t="str">
        <f t="array" ref="A3724">IFNA(index(PlayerValues!A:A,match(IFNA(vlookup(B3724,'Special Names'!A:B,2,FALSE),B3724),PlayerValues!E:E,0)),"N/A")</f>
        <v>N/A</v>
      </c>
      <c r="B3724" s="4" t="s">
        <v>557</v>
      </c>
      <c r="C3724" s="4" t="s">
        <v>278</v>
      </c>
      <c r="D3724" s="94">
        <v>2384.0</v>
      </c>
    </row>
    <row r="3725">
      <c r="A3725" s="40">
        <f t="array" ref="A3725">IFNA(index(PlayerValues!A:A,match(IFNA(vlookup(B3725,'Special Names'!A:B,2,FALSE),B3725),PlayerValues!E:E,0)),"N/A")</f>
        <v>17106</v>
      </c>
      <c r="B3725" s="4" t="s">
        <v>550</v>
      </c>
      <c r="C3725" s="4" t="s">
        <v>298</v>
      </c>
      <c r="D3725" s="94">
        <v>2779.0</v>
      </c>
    </row>
    <row r="3726">
      <c r="A3726" s="40">
        <f t="array" ref="A3726">IFNA(index(PlayerValues!A:A,match(IFNA(vlookup(B3726,'Special Names'!A:B,2,FALSE),B3726),PlayerValues!E:E,0)),"N/A")</f>
        <v>17517</v>
      </c>
      <c r="B3726" s="4" t="s">
        <v>454</v>
      </c>
      <c r="C3726" s="4" t="s">
        <v>287</v>
      </c>
      <c r="D3726" s="94">
        <v>2378.0</v>
      </c>
    </row>
    <row r="3727">
      <c r="A3727" s="40">
        <f t="array" ref="A3727">IFNA(index(PlayerValues!A:A,match(IFNA(vlookup(B3727,'Special Names'!A:B,2,FALSE),B3727),PlayerValues!E:E,0)),"N/A")</f>
        <v>17134</v>
      </c>
      <c r="B3727" s="4" t="s">
        <v>548</v>
      </c>
      <c r="C3727" s="4" t="s">
        <v>287</v>
      </c>
      <c r="D3727" s="94">
        <v>2369.0</v>
      </c>
    </row>
    <row r="3728">
      <c r="A3728" s="40">
        <f t="array" ref="A3728">IFNA(index(PlayerValues!A:A,match(IFNA(vlookup(B3728,'Special Names'!A:B,2,FALSE),B3728),PlayerValues!E:E,0)),"N/A")</f>
        <v>17048</v>
      </c>
      <c r="B3728" s="4" t="s">
        <v>539</v>
      </c>
      <c r="C3728" s="4" t="s">
        <v>278</v>
      </c>
      <c r="D3728" s="94">
        <v>2359.0</v>
      </c>
    </row>
    <row r="3729">
      <c r="A3729" s="40">
        <f t="array" ref="A3729">IFNA(index(PlayerValues!A:A,match(IFNA(vlookup(B3729,'Special Names'!A:B,2,FALSE),B3729),PlayerValues!E:E,0)),"N/A")</f>
        <v>17547</v>
      </c>
      <c r="B3729" s="4" t="s">
        <v>552</v>
      </c>
      <c r="C3729" s="4" t="s">
        <v>298</v>
      </c>
      <c r="D3729" s="94">
        <v>2751.0</v>
      </c>
    </row>
    <row r="3730">
      <c r="A3730" s="40">
        <f t="array" ref="A3730">IFNA(index(PlayerValues!A:A,match(IFNA(vlookup(B3730,'Special Names'!A:B,2,FALSE),B3730),PlayerValues!E:E,0)),"N/A")</f>
        <v>15716</v>
      </c>
      <c r="B3730" s="4" t="s">
        <v>545</v>
      </c>
      <c r="C3730" s="4" t="s">
        <v>278</v>
      </c>
      <c r="D3730" s="94">
        <v>2344.0</v>
      </c>
    </row>
    <row r="3731">
      <c r="A3731" s="40">
        <f t="array" ref="A3731">IFNA(index(PlayerValues!A:A,match(IFNA(vlookup(B3731,'Special Names'!A:B,2,FALSE),B3731),PlayerValues!E:E,0)),"N/A")</f>
        <v>15749</v>
      </c>
      <c r="B3731" s="4" t="s">
        <v>574</v>
      </c>
      <c r="C3731" s="4" t="s">
        <v>278</v>
      </c>
      <c r="D3731" s="94">
        <v>2329.0</v>
      </c>
    </row>
    <row r="3732">
      <c r="A3732" s="40">
        <f t="array" ref="A3732">IFNA(index(PlayerValues!A:A,match(IFNA(vlookup(B3732,'Special Names'!A:B,2,FALSE),B3732),PlayerValues!E:E,0)),"N/A")</f>
        <v>14861</v>
      </c>
      <c r="B3732" s="4" t="s">
        <v>523</v>
      </c>
      <c r="C3732" s="4" t="s">
        <v>298</v>
      </c>
      <c r="D3732" s="94">
        <v>2715.0</v>
      </c>
    </row>
    <row r="3733">
      <c r="A3733" s="40">
        <f t="array" ref="A3733">IFNA(index(PlayerValues!A:A,match(IFNA(vlookup(B3733,'Special Names'!A:B,2,FALSE),B3733),PlayerValues!E:E,0)),"N/A")</f>
        <v>15802</v>
      </c>
      <c r="B3733" s="4" t="s">
        <v>566</v>
      </c>
      <c r="C3733" s="4" t="s">
        <v>298</v>
      </c>
      <c r="D3733" s="94">
        <v>2711.0</v>
      </c>
    </row>
    <row r="3734">
      <c r="A3734" s="40">
        <f t="array" ref="A3734">IFNA(index(PlayerValues!A:A,match(IFNA(vlookup(B3734,'Special Names'!A:B,2,FALSE),B3734),PlayerValues!E:E,0)),"N/A")</f>
        <v>13319</v>
      </c>
      <c r="B3734" s="4" t="s">
        <v>549</v>
      </c>
      <c r="C3734" s="4" t="s">
        <v>278</v>
      </c>
      <c r="D3734" s="94">
        <v>2290.0</v>
      </c>
    </row>
    <row r="3735">
      <c r="A3735" s="40">
        <f t="array" ref="A3735">IFNA(index(PlayerValues!A:A,match(IFNA(vlookup(B3735,'Special Names'!A:B,2,FALSE),B3735),PlayerValues!E:E,0)),"N/A")</f>
        <v>17482</v>
      </c>
      <c r="B3735" s="4" t="s">
        <v>460</v>
      </c>
      <c r="C3735" s="4" t="s">
        <v>278</v>
      </c>
      <c r="D3735" s="94">
        <v>2284.0</v>
      </c>
    </row>
    <row r="3736">
      <c r="A3736" s="40">
        <f t="array" ref="A3736">IFNA(index(PlayerValues!A:A,match(IFNA(vlookup(B3736,'Special Names'!A:B,2,FALSE),B3736),PlayerValues!E:E,0)),"N/A")</f>
        <v>16166</v>
      </c>
      <c r="B3736" s="4" t="s">
        <v>567</v>
      </c>
      <c r="C3736" s="4" t="s">
        <v>278</v>
      </c>
      <c r="D3736" s="94">
        <v>2278.0</v>
      </c>
    </row>
    <row r="3737">
      <c r="A3737" s="40" t="str">
        <f t="array" ref="A3737">IFNA(index(PlayerValues!A:A,match(IFNA(vlookup(B3737,'Special Names'!A:B,2,FALSE),B3737),PlayerValues!E:E,0)),"N/A")</f>
        <v>N/A</v>
      </c>
      <c r="B3737" s="4" t="s">
        <v>86</v>
      </c>
      <c r="C3737" s="4" t="s">
        <v>325</v>
      </c>
      <c r="D3737" s="94">
        <v>2278.0</v>
      </c>
    </row>
    <row r="3738">
      <c r="A3738" s="40">
        <f t="array" ref="A3738">IFNA(index(PlayerValues!A:A,match(IFNA(vlookup(B3738,'Special Names'!A:B,2,FALSE),B3738),PlayerValues!E:E,0)),"N/A")</f>
        <v>11150</v>
      </c>
      <c r="B3738" s="4" t="s">
        <v>559</v>
      </c>
      <c r="C3738" s="4" t="s">
        <v>283</v>
      </c>
      <c r="D3738" s="94">
        <v>2264.0</v>
      </c>
    </row>
    <row r="3739">
      <c r="A3739" s="40">
        <f t="array" ref="A3739">IFNA(index(PlayerValues!A:A,match(IFNA(vlookup(B3739,'Special Names'!A:B,2,FALSE),B3739),PlayerValues!E:E,0)),"N/A")</f>
        <v>16036</v>
      </c>
      <c r="B3739" s="4" t="s">
        <v>592</v>
      </c>
      <c r="C3739" s="4" t="s">
        <v>298</v>
      </c>
      <c r="D3739" s="94">
        <v>2653.0</v>
      </c>
    </row>
    <row r="3740">
      <c r="A3740" s="40">
        <f t="array" ref="A3740">IFNA(index(PlayerValues!A:A,match(IFNA(vlookup(B3740,'Special Names'!A:B,2,FALSE),B3740),PlayerValues!E:E,0)),"N/A")</f>
        <v>16594</v>
      </c>
      <c r="B3740" s="4" t="s">
        <v>607</v>
      </c>
      <c r="C3740" s="4" t="s">
        <v>278</v>
      </c>
      <c r="D3740" s="94">
        <v>2248.0</v>
      </c>
    </row>
    <row r="3741">
      <c r="A3741" s="40" t="str">
        <f t="array" ref="A3741">IFNA(index(PlayerValues!A:A,match(IFNA(vlookup(B3741,'Special Names'!A:B,2,FALSE),B3741),PlayerValues!E:E,0)),"N/A")</f>
        <v>N/A</v>
      </c>
      <c r="B3741" s="4" t="s">
        <v>100</v>
      </c>
      <c r="C3741" s="4" t="s">
        <v>325</v>
      </c>
      <c r="D3741" s="94">
        <v>2241.0</v>
      </c>
    </row>
    <row r="3742">
      <c r="A3742" s="40">
        <f t="array" ref="A3742">IFNA(index(PlayerValues!A:A,match(IFNA(vlookup(B3742,'Special Names'!A:B,2,FALSE),B3742),PlayerValues!E:E,0)),"N/A")</f>
        <v>17033</v>
      </c>
      <c r="B3742" s="4" t="s">
        <v>570</v>
      </c>
      <c r="C3742" s="4" t="s">
        <v>283</v>
      </c>
      <c r="D3742" s="94">
        <v>2237.0</v>
      </c>
    </row>
    <row r="3743">
      <c r="A3743" s="40">
        <f t="array" ref="A3743">IFNA(index(PlayerValues!A:A,match(IFNA(vlookup(B3743,'Special Names'!A:B,2,FALSE),B3743),PlayerValues!E:E,0)),"N/A")</f>
        <v>12676</v>
      </c>
      <c r="B3743" s="4" t="s">
        <v>537</v>
      </c>
      <c r="C3743" s="4" t="s">
        <v>298</v>
      </c>
      <c r="D3743" s="94">
        <v>2627.0</v>
      </c>
    </row>
    <row r="3744">
      <c r="A3744" s="40" t="str">
        <f t="array" ref="A3744">IFNA(index(PlayerValues!A:A,match(IFNA(vlookup(B3744,'Special Names'!A:B,2,FALSE),B3744),PlayerValues!E:E,0)),"N/A")</f>
        <v>N/A</v>
      </c>
      <c r="B3744" s="4" t="s">
        <v>112</v>
      </c>
      <c r="C3744" s="4" t="s">
        <v>325</v>
      </c>
      <c r="D3744" s="94">
        <v>2211.0</v>
      </c>
    </row>
    <row r="3745">
      <c r="A3745" s="40">
        <f t="array" ref="A3745">IFNA(index(PlayerValues!A:A,match(IFNA(vlookup(B3745,'Special Names'!A:B,2,FALSE),B3745),PlayerValues!E:E,0)),"N/A")</f>
        <v>16152</v>
      </c>
      <c r="B3745" s="4" t="s">
        <v>601</v>
      </c>
      <c r="C3745" s="4" t="s">
        <v>283</v>
      </c>
      <c r="D3745" s="94">
        <v>2204.0</v>
      </c>
    </row>
    <row r="3746">
      <c r="A3746" s="40">
        <f t="array" ref="A3746">IFNA(index(PlayerValues!A:A,match(IFNA(vlookup(B3746,'Special Names'!A:B,2,FALSE),B3746),PlayerValues!E:E,0)),"N/A")</f>
        <v>16649</v>
      </c>
      <c r="B3746" s="4" t="s">
        <v>586</v>
      </c>
      <c r="C3746" s="4" t="s">
        <v>298</v>
      </c>
      <c r="D3746" s="94">
        <v>2591.0</v>
      </c>
    </row>
    <row r="3747">
      <c r="A3747" s="40">
        <f t="array" ref="A3747">IFNA(index(PlayerValues!A:A,match(IFNA(vlookup(B3747,'Special Names'!A:B,2,FALSE),B3747),PlayerValues!E:E,0)),"N/A")</f>
        <v>17466</v>
      </c>
      <c r="B3747" s="4" t="s">
        <v>492</v>
      </c>
      <c r="C3747" s="4" t="s">
        <v>283</v>
      </c>
      <c r="D3747" s="94">
        <v>2195.0</v>
      </c>
    </row>
    <row r="3748">
      <c r="A3748" s="40">
        <f t="array" ref="A3748">IFNA(index(PlayerValues!A:A,match(IFNA(vlookup(B3748,'Special Names'!A:B,2,FALSE),B3748),PlayerValues!E:E,0)),"N/A")</f>
        <v>16212</v>
      </c>
      <c r="B3748" s="4" t="s">
        <v>568</v>
      </c>
      <c r="C3748" s="4" t="s">
        <v>298</v>
      </c>
      <c r="D3748" s="94">
        <v>2584.0</v>
      </c>
    </row>
    <row r="3749">
      <c r="A3749" s="40">
        <f t="array" ref="A3749">IFNA(index(PlayerValues!A:A,match(IFNA(vlookup(B3749,'Special Names'!A:B,2,FALSE),B3749),PlayerValues!E:E,0)),"N/A")</f>
        <v>15331</v>
      </c>
      <c r="B3749" s="4" t="s">
        <v>560</v>
      </c>
      <c r="C3749" s="4" t="s">
        <v>298</v>
      </c>
      <c r="D3749" s="94">
        <v>2582.0</v>
      </c>
    </row>
    <row r="3750">
      <c r="A3750" s="40">
        <f t="array" ref="A3750">IFNA(index(PlayerValues!A:A,match(IFNA(vlookup(B3750,'Special Names'!A:B,2,FALSE),B3750),PlayerValues!E:E,0)),"N/A")</f>
        <v>16610</v>
      </c>
      <c r="B3750" s="4" t="s">
        <v>562</v>
      </c>
      <c r="C3750" s="4" t="s">
        <v>278</v>
      </c>
      <c r="D3750" s="94">
        <v>2185.0</v>
      </c>
    </row>
    <row r="3751">
      <c r="A3751" s="40">
        <f t="array" ref="A3751">IFNA(index(PlayerValues!A:A,match(IFNA(vlookup(B3751,'Special Names'!A:B,2,FALSE),B3751),PlayerValues!E:E,0)),"N/A")</f>
        <v>13772</v>
      </c>
      <c r="B3751" s="4" t="s">
        <v>544</v>
      </c>
      <c r="C3751" s="4" t="s">
        <v>298</v>
      </c>
      <c r="D3751" s="94">
        <v>2567.0</v>
      </c>
    </row>
    <row r="3752">
      <c r="A3752" s="40">
        <f t="array" ref="A3752">IFNA(index(PlayerValues!A:A,match(IFNA(vlookup(B3752,'Special Names'!A:B,2,FALSE),B3752),PlayerValues!E:E,0)),"N/A")</f>
        <v>13113</v>
      </c>
      <c r="B3752" s="4" t="s">
        <v>606</v>
      </c>
      <c r="C3752" s="4" t="s">
        <v>283</v>
      </c>
      <c r="D3752" s="94">
        <v>2165.0</v>
      </c>
    </row>
    <row r="3753">
      <c r="A3753" s="40">
        <f t="array" ref="A3753">IFNA(index(PlayerValues!A:A,match(IFNA(vlookup(B3753,'Special Names'!A:B,2,FALSE),B3753),PlayerValues!E:E,0)),"N/A")</f>
        <v>14840</v>
      </c>
      <c r="B3753" s="4" t="s">
        <v>731</v>
      </c>
      <c r="C3753" s="4" t="s">
        <v>287</v>
      </c>
      <c r="D3753" s="94">
        <v>2163.0</v>
      </c>
    </row>
    <row r="3754">
      <c r="A3754" s="40" t="str">
        <f t="array" ref="A3754">IFNA(index(PlayerValues!A:A,match(IFNA(vlookup(B3754,'Special Names'!A:B,2,FALSE),B3754),PlayerValues!E:E,0)),"N/A")</f>
        <v>N/A</v>
      </c>
      <c r="B3754" s="4" t="s">
        <v>87</v>
      </c>
      <c r="C3754" s="4" t="s">
        <v>325</v>
      </c>
      <c r="D3754" s="94">
        <v>2160.0</v>
      </c>
    </row>
    <row r="3755">
      <c r="A3755" s="40">
        <f t="array" ref="A3755">IFNA(index(PlayerValues!A:A,match(IFNA(vlookup(B3755,'Special Names'!A:B,2,FALSE),B3755),PlayerValues!E:E,0)),"N/A")</f>
        <v>16604</v>
      </c>
      <c r="B3755" s="4" t="s">
        <v>476</v>
      </c>
      <c r="C3755" s="4" t="s">
        <v>278</v>
      </c>
      <c r="D3755" s="94">
        <v>2155.0</v>
      </c>
    </row>
    <row r="3756">
      <c r="A3756" s="40">
        <f t="array" ref="A3756">IFNA(index(PlayerValues!A:A,match(IFNA(vlookup(B3756,'Special Names'!A:B,2,FALSE),B3756),PlayerValues!E:E,0)),"N/A")</f>
        <v>16757</v>
      </c>
      <c r="B3756" s="4" t="s">
        <v>558</v>
      </c>
      <c r="C3756" s="4" t="s">
        <v>278</v>
      </c>
      <c r="D3756" s="94">
        <v>2148.0</v>
      </c>
    </row>
    <row r="3757">
      <c r="A3757" s="40">
        <f t="array" ref="A3757">IFNA(index(PlayerValues!A:A,match(IFNA(vlookup(B3757,'Special Names'!A:B,2,FALSE),B3757),PlayerValues!E:E,0)),"N/A")</f>
        <v>12186</v>
      </c>
      <c r="B3757" s="4" t="s">
        <v>497</v>
      </c>
      <c r="C3757" s="4" t="s">
        <v>287</v>
      </c>
      <c r="D3757" s="94">
        <v>2145.0</v>
      </c>
    </row>
    <row r="3758">
      <c r="A3758" s="40">
        <f t="array" ref="A3758">IFNA(index(PlayerValues!A:A,match(IFNA(vlookup(B3758,'Special Names'!A:B,2,FALSE),B3758),PlayerValues!E:E,0)),"N/A")</f>
        <v>17055</v>
      </c>
      <c r="B3758" s="4" t="s">
        <v>565</v>
      </c>
      <c r="C3758" s="4" t="s">
        <v>278</v>
      </c>
      <c r="D3758" s="94">
        <v>2129.0</v>
      </c>
    </row>
    <row r="3759">
      <c r="A3759" s="40" t="str">
        <f t="array" ref="A3759">IFNA(index(PlayerValues!A:A,match(IFNA(vlookup(B3759,'Special Names'!A:B,2,FALSE),B3759),PlayerValues!E:E,0)),"N/A")</f>
        <v>N/A</v>
      </c>
      <c r="B3759" s="4" t="s">
        <v>88</v>
      </c>
      <c r="C3759" s="4" t="s">
        <v>325</v>
      </c>
      <c r="D3759" s="94">
        <v>2124.0</v>
      </c>
    </row>
    <row r="3760">
      <c r="A3760" s="40">
        <f t="array" ref="A3760">IFNA(index(PlayerValues!A:A,match(IFNA(vlookup(B3760,'Special Names'!A:B,2,FALSE),B3760),PlayerValues!E:E,0)),"N/A")</f>
        <v>16189</v>
      </c>
      <c r="B3760" s="4" t="s">
        <v>582</v>
      </c>
      <c r="C3760" s="4" t="s">
        <v>287</v>
      </c>
      <c r="D3760" s="94">
        <v>2116.0</v>
      </c>
    </row>
    <row r="3761">
      <c r="A3761" s="40">
        <f t="array" ref="A3761">IFNA(index(PlayerValues!A:A,match(IFNA(vlookup(B3761,'Special Names'!A:B,2,FALSE),B3761),PlayerValues!E:E,0)),"N/A")</f>
        <v>17079</v>
      </c>
      <c r="B3761" s="4" t="s">
        <v>572</v>
      </c>
      <c r="C3761" s="4" t="s">
        <v>287</v>
      </c>
      <c r="D3761" s="94">
        <v>2092.0</v>
      </c>
    </row>
    <row r="3762">
      <c r="A3762" s="40" t="str">
        <f t="array" ref="A3762">IFNA(index(PlayerValues!A:A,match(IFNA(vlookup(B3762,'Special Names'!A:B,2,FALSE),B3762),PlayerValues!E:E,0)),"N/A")</f>
        <v>N/A</v>
      </c>
      <c r="B3762" s="4" t="s">
        <v>113</v>
      </c>
      <c r="C3762" s="4" t="s">
        <v>325</v>
      </c>
      <c r="D3762" s="94">
        <v>2090.0</v>
      </c>
    </row>
    <row r="3763">
      <c r="A3763" s="40">
        <f t="array" ref="A3763">IFNA(index(PlayerValues!A:A,match(IFNA(vlookup(B3763,'Special Names'!A:B,2,FALSE),B3763),PlayerValues!E:E,0)),"N/A")</f>
        <v>17060</v>
      </c>
      <c r="B3763" s="4" t="s">
        <v>603</v>
      </c>
      <c r="C3763" s="4" t="s">
        <v>278</v>
      </c>
      <c r="D3763" s="94">
        <v>2066.0</v>
      </c>
    </row>
    <row r="3764">
      <c r="A3764" s="40">
        <f t="array" ref="A3764">IFNA(index(PlayerValues!A:A,match(IFNA(vlookup(B3764,'Special Names'!A:B,2,FALSE),B3764),PlayerValues!E:E,0)),"N/A")</f>
        <v>17069</v>
      </c>
      <c r="B3764" s="4" t="s">
        <v>604</v>
      </c>
      <c r="C3764" s="4" t="s">
        <v>278</v>
      </c>
      <c r="D3764" s="94">
        <v>2066.0</v>
      </c>
    </row>
    <row r="3765">
      <c r="A3765" s="40">
        <f t="array" ref="A3765">IFNA(index(PlayerValues!A:A,match(IFNA(vlookup(B3765,'Special Names'!A:B,2,FALSE),B3765),PlayerValues!E:E,0)),"N/A")</f>
        <v>15238</v>
      </c>
      <c r="B3765" s="4" t="s">
        <v>613</v>
      </c>
      <c r="C3765" s="4" t="s">
        <v>283</v>
      </c>
      <c r="D3765" s="94">
        <v>2055.0</v>
      </c>
    </row>
    <row r="3766">
      <c r="A3766" s="40">
        <f t="array" ref="A3766">IFNA(index(PlayerValues!A:A,match(IFNA(vlookup(B3766,'Special Names'!A:B,2,FALSE),B3766),PlayerValues!E:E,0)),"N/A")</f>
        <v>15293</v>
      </c>
      <c r="B3766" s="4" t="s">
        <v>578</v>
      </c>
      <c r="C3766" s="4" t="s">
        <v>287</v>
      </c>
      <c r="D3766" s="94">
        <v>2052.0</v>
      </c>
    </row>
    <row r="3767">
      <c r="A3767" s="40">
        <f t="array" ref="A3767">IFNA(index(PlayerValues!A:A,match(IFNA(vlookup(B3767,'Special Names'!A:B,2,FALSE),B3767),PlayerValues!E:E,0)),"N/A")</f>
        <v>17061</v>
      </c>
      <c r="B3767" s="4" t="s">
        <v>580</v>
      </c>
      <c r="C3767" s="4" t="s">
        <v>278</v>
      </c>
      <c r="D3767" s="94">
        <v>2049.0</v>
      </c>
    </row>
    <row r="3768">
      <c r="A3768" s="40">
        <f t="array" ref="A3768">IFNA(index(PlayerValues!A:A,match(IFNA(vlookup(B3768,'Special Names'!A:B,2,FALSE),B3768),PlayerValues!E:E,0)),"N/A")</f>
        <v>13132</v>
      </c>
      <c r="B3768" s="4" t="s">
        <v>598</v>
      </c>
      <c r="C3768" s="4" t="s">
        <v>278</v>
      </c>
      <c r="D3768" s="94">
        <v>2045.0</v>
      </c>
    </row>
    <row r="3769">
      <c r="A3769" s="40">
        <f t="array" ref="A3769">IFNA(index(PlayerValues!A:A,match(IFNA(vlookup(B3769,'Special Names'!A:B,2,FALSE),B3769),PlayerValues!E:E,0)),"N/A")</f>
        <v>17056</v>
      </c>
      <c r="B3769" s="4" t="s">
        <v>581</v>
      </c>
      <c r="C3769" s="4" t="s">
        <v>278</v>
      </c>
      <c r="D3769" s="94">
        <v>2034.0</v>
      </c>
    </row>
    <row r="3770">
      <c r="A3770" s="40">
        <f t="array" ref="A3770">IFNA(index(PlayerValues!A:A,match(IFNA(vlookup(B3770,'Special Names'!A:B,2,FALSE),B3770),PlayerValues!E:E,0)),"N/A")</f>
        <v>17046</v>
      </c>
      <c r="B3770" s="4" t="s">
        <v>602</v>
      </c>
      <c r="C3770" s="4" t="s">
        <v>278</v>
      </c>
      <c r="D3770" s="94">
        <v>2032.0</v>
      </c>
    </row>
    <row r="3771">
      <c r="A3771" s="40">
        <f t="array" ref="A3771">IFNA(index(PlayerValues!A:A,match(IFNA(vlookup(B3771,'Special Names'!A:B,2,FALSE),B3771),PlayerValues!E:E,0)),"N/A")</f>
        <v>17184</v>
      </c>
      <c r="B3771" s="4" t="s">
        <v>588</v>
      </c>
      <c r="C3771" s="4" t="s">
        <v>287</v>
      </c>
      <c r="D3771" s="94">
        <v>2032.0</v>
      </c>
    </row>
    <row r="3772">
      <c r="A3772" s="40">
        <f t="array" ref="A3772">IFNA(index(PlayerValues!A:A,match(IFNA(vlookup(B3772,'Special Names'!A:B,2,FALSE),B3772),PlayerValues!E:E,0)),"N/A")</f>
        <v>16432</v>
      </c>
      <c r="B3772" s="4" t="s">
        <v>620</v>
      </c>
      <c r="C3772" s="4" t="s">
        <v>278</v>
      </c>
      <c r="D3772" s="94">
        <v>2029.0</v>
      </c>
    </row>
    <row r="3773">
      <c r="A3773" s="40">
        <f t="array" ref="A3773">IFNA(index(PlayerValues!A:A,match(IFNA(vlookup(B3773,'Special Names'!A:B,2,FALSE),B3773),PlayerValues!E:E,0)),"N/A")</f>
        <v>14974</v>
      </c>
      <c r="B3773" s="4" t="s">
        <v>611</v>
      </c>
      <c r="C3773" s="4" t="s">
        <v>287</v>
      </c>
      <c r="D3773" s="94">
        <v>2024.0</v>
      </c>
    </row>
    <row r="3774">
      <c r="A3774" s="40">
        <f t="array" ref="A3774">IFNA(index(PlayerValues!A:A,match(IFNA(vlookup(B3774,'Special Names'!A:B,2,FALSE),B3774),PlayerValues!E:E,0)),"N/A")</f>
        <v>16643</v>
      </c>
      <c r="B3774" s="4" t="s">
        <v>609</v>
      </c>
      <c r="C3774" s="4" t="s">
        <v>298</v>
      </c>
      <c r="D3774" s="94">
        <v>2409.0</v>
      </c>
    </row>
    <row r="3775">
      <c r="A3775" s="40" t="str">
        <f t="array" ref="A3775">IFNA(index(PlayerValues!A:A,match(IFNA(vlookup(B3775,'Special Names'!A:B,2,FALSE),B3775),PlayerValues!E:E,0)),"N/A")</f>
        <v>N/A</v>
      </c>
      <c r="B3775" s="4" t="s">
        <v>114</v>
      </c>
      <c r="C3775" s="4" t="s">
        <v>325</v>
      </c>
      <c r="D3775" s="94">
        <v>2008.0</v>
      </c>
    </row>
    <row r="3776">
      <c r="A3776" s="40">
        <f t="array" ref="A3776">IFNA(index(PlayerValues!A:A,match(IFNA(vlookup(B3776,'Special Names'!A:B,2,FALSE),B3776),PlayerValues!E:E,0)),"N/A")</f>
        <v>15797</v>
      </c>
      <c r="B3776" s="4" t="s">
        <v>556</v>
      </c>
      <c r="C3776" s="4" t="s">
        <v>298</v>
      </c>
      <c r="D3776" s="94">
        <v>2391.0</v>
      </c>
    </row>
    <row r="3777">
      <c r="A3777" s="40">
        <f t="array" ref="A3777">IFNA(index(PlayerValues!A:A,match(IFNA(vlookup(B3777,'Special Names'!A:B,2,FALSE),B3777),PlayerValues!E:E,0)),"N/A")</f>
        <v>14136</v>
      </c>
      <c r="B3777" s="4" t="s">
        <v>536</v>
      </c>
      <c r="C3777" s="4" t="s">
        <v>287</v>
      </c>
      <c r="D3777" s="94">
        <v>1992.0</v>
      </c>
    </row>
    <row r="3778">
      <c r="A3778" s="40">
        <f t="array" ref="A3778">IFNA(index(PlayerValues!A:A,match(IFNA(vlookup(B3778,'Special Names'!A:B,2,FALSE),B3778),PlayerValues!E:E,0)),"N/A")</f>
        <v>14867</v>
      </c>
      <c r="B3778" s="4" t="s">
        <v>591</v>
      </c>
      <c r="C3778" s="4" t="s">
        <v>298</v>
      </c>
      <c r="D3778" s="94">
        <v>2369.0</v>
      </c>
    </row>
    <row r="3779">
      <c r="A3779" s="40">
        <f t="array" ref="A3779">IFNA(index(PlayerValues!A:A,match(IFNA(vlookup(B3779,'Special Names'!A:B,2,FALSE),B3779),PlayerValues!E:E,0)),"N/A")</f>
        <v>7836</v>
      </c>
      <c r="B3779" s="4" t="s">
        <v>590</v>
      </c>
      <c r="C3779" s="4" t="s">
        <v>283</v>
      </c>
      <c r="D3779" s="94">
        <v>1981.0</v>
      </c>
    </row>
    <row r="3780">
      <c r="A3780" s="40">
        <f t="array" ref="A3780">IFNA(index(PlayerValues!A:A,match(IFNA(vlookup(B3780,'Special Names'!A:B,2,FALSE),B3780),PlayerValues!E:E,0)),"N/A")</f>
        <v>17076</v>
      </c>
      <c r="B3780" s="4" t="s">
        <v>585</v>
      </c>
      <c r="C3780" s="4" t="s">
        <v>287</v>
      </c>
      <c r="D3780" s="94">
        <v>1981.0</v>
      </c>
    </row>
    <row r="3781">
      <c r="A3781" s="40">
        <f t="array" ref="A3781">IFNA(index(PlayerValues!A:A,match(IFNA(vlookup(B3781,'Special Names'!A:B,2,FALSE),B3781),PlayerValues!E:E,0)),"N/A")</f>
        <v>16603</v>
      </c>
      <c r="B3781" s="4" t="s">
        <v>587</v>
      </c>
      <c r="C3781" s="4" t="s">
        <v>278</v>
      </c>
      <c r="D3781" s="94">
        <v>1971.0</v>
      </c>
    </row>
    <row r="3782">
      <c r="A3782" s="40">
        <f t="array" ref="A3782">IFNA(index(PlayerValues!A:A,match(IFNA(vlookup(B3782,'Special Names'!A:B,2,FALSE),B3782),PlayerValues!E:E,0)),"N/A")</f>
        <v>17036</v>
      </c>
      <c r="B3782" s="4" t="s">
        <v>617</v>
      </c>
      <c r="C3782" s="4" t="s">
        <v>283</v>
      </c>
      <c r="D3782" s="94">
        <v>1946.0</v>
      </c>
    </row>
    <row r="3783">
      <c r="A3783" s="40">
        <f t="array" ref="A3783">IFNA(index(PlayerValues!A:A,match(IFNA(vlookup(B3783,'Special Names'!A:B,2,FALSE),B3783),PlayerValues!E:E,0)),"N/A")</f>
        <v>16342</v>
      </c>
      <c r="B3783" s="4" t="s">
        <v>583</v>
      </c>
      <c r="C3783" s="4" t="s">
        <v>287</v>
      </c>
      <c r="D3783" s="94">
        <v>1945.0</v>
      </c>
    </row>
    <row r="3784">
      <c r="A3784" s="40">
        <f t="array" ref="A3784">IFNA(index(PlayerValues!A:A,match(IFNA(vlookup(B3784,'Special Names'!A:B,2,FALSE),B3784),PlayerValues!E:E,0)),"N/A")</f>
        <v>13633</v>
      </c>
      <c r="B3784" s="4" t="s">
        <v>625</v>
      </c>
      <c r="C3784" s="4" t="s">
        <v>287</v>
      </c>
      <c r="D3784" s="94">
        <v>1940.0</v>
      </c>
    </row>
    <row r="3785">
      <c r="A3785" s="40">
        <f t="array" ref="A3785">IFNA(index(PlayerValues!A:A,match(IFNA(vlookup(B3785,'Special Names'!A:B,2,FALSE),B3785),PlayerValues!E:E,0)),"N/A")</f>
        <v>17087</v>
      </c>
      <c r="B3785" s="4" t="s">
        <v>600</v>
      </c>
      <c r="C3785" s="4" t="s">
        <v>287</v>
      </c>
      <c r="D3785" s="94">
        <v>1927.0</v>
      </c>
    </row>
    <row r="3786">
      <c r="A3786" s="40">
        <f t="array" ref="A3786">IFNA(index(PlayerValues!A:A,match(IFNA(vlookup(B3786,'Special Names'!A:B,2,FALSE),B3786),PlayerValues!E:E,0)),"N/A")</f>
        <v>17528</v>
      </c>
      <c r="B3786" s="4" t="s">
        <v>579</v>
      </c>
      <c r="C3786" s="4" t="s">
        <v>287</v>
      </c>
      <c r="D3786" s="94">
        <v>1917.0</v>
      </c>
    </row>
    <row r="3787">
      <c r="A3787" s="40">
        <f t="array" ref="A3787">IFNA(index(PlayerValues!A:A,match(IFNA(vlookup(B3787,'Special Names'!A:B,2,FALSE),B3787),PlayerValues!E:E,0)),"N/A")</f>
        <v>17481</v>
      </c>
      <c r="B3787" s="4" t="s">
        <v>540</v>
      </c>
      <c r="C3787" s="4" t="s">
        <v>278</v>
      </c>
      <c r="D3787" s="94">
        <v>1910.0</v>
      </c>
    </row>
    <row r="3788">
      <c r="A3788" s="40">
        <f t="array" ref="A3788">IFNA(index(PlayerValues!A:A,match(IFNA(vlookup(B3788,'Special Names'!A:B,2,FALSE),B3788),PlayerValues!E:E,0)),"N/A")</f>
        <v>16639</v>
      </c>
      <c r="B3788" s="4" t="s">
        <v>599</v>
      </c>
      <c r="C3788" s="4" t="s">
        <v>287</v>
      </c>
      <c r="D3788" s="94">
        <v>1908.0</v>
      </c>
    </row>
    <row r="3789">
      <c r="A3789" s="40">
        <f t="array" ref="A3789">IFNA(index(PlayerValues!A:A,match(IFNA(vlookup(B3789,'Special Names'!A:B,2,FALSE),B3789),PlayerValues!E:E,0)),"N/A")</f>
        <v>10700</v>
      </c>
      <c r="B3789" s="4" t="s">
        <v>596</v>
      </c>
      <c r="C3789" s="4" t="s">
        <v>283</v>
      </c>
      <c r="D3789" s="94">
        <v>1900.0</v>
      </c>
    </row>
    <row r="3790">
      <c r="A3790" s="40">
        <f t="array" ref="A3790">IFNA(index(PlayerValues!A:A,match(IFNA(vlookup(B3790,'Special Names'!A:B,2,FALSE),B3790),PlayerValues!E:E,0)),"N/A")</f>
        <v>16216</v>
      </c>
      <c r="B3790" s="4" t="s">
        <v>595</v>
      </c>
      <c r="C3790" s="4" t="s">
        <v>298</v>
      </c>
      <c r="D3790" s="94">
        <v>2285.0</v>
      </c>
    </row>
    <row r="3791">
      <c r="A3791" s="40">
        <f t="array" ref="A3791">IFNA(index(PlayerValues!A:A,match(IFNA(vlookup(B3791,'Special Names'!A:B,2,FALSE),B3791),PlayerValues!E:E,0)),"N/A")</f>
        <v>12801</v>
      </c>
      <c r="B3791" s="4" t="s">
        <v>722</v>
      </c>
      <c r="C3791" s="4" t="s">
        <v>287</v>
      </c>
      <c r="D3791" s="94">
        <v>1871.0</v>
      </c>
    </row>
    <row r="3792">
      <c r="A3792" s="40">
        <f t="array" ref="A3792">IFNA(index(PlayerValues!A:A,match(IFNA(vlookup(B3792,'Special Names'!A:B,2,FALSE),B3792),PlayerValues!E:E,0)),"N/A")</f>
        <v>13629</v>
      </c>
      <c r="B3792" s="4" t="s">
        <v>619</v>
      </c>
      <c r="C3792" s="4" t="s">
        <v>287</v>
      </c>
      <c r="D3792" s="94">
        <v>1871.0</v>
      </c>
    </row>
    <row r="3793">
      <c r="A3793" s="40">
        <f t="array" ref="A3793">IFNA(index(PlayerValues!A:A,match(IFNA(vlookup(B3793,'Special Names'!A:B,2,FALSE),B3793),PlayerValues!E:E,0)),"N/A")</f>
        <v>17468</v>
      </c>
      <c r="B3793" s="4" t="s">
        <v>514</v>
      </c>
      <c r="C3793" s="4" t="s">
        <v>283</v>
      </c>
      <c r="D3793" s="94">
        <v>1868.0</v>
      </c>
    </row>
    <row r="3794">
      <c r="A3794" s="40">
        <f t="array" ref="A3794">IFNA(index(PlayerValues!A:A,match(IFNA(vlookup(B3794,'Special Names'!A:B,2,FALSE),B3794),PlayerValues!E:E,0)),"N/A")</f>
        <v>14871</v>
      </c>
      <c r="B3794" s="4" t="s">
        <v>584</v>
      </c>
      <c r="C3794" s="4" t="s">
        <v>298</v>
      </c>
      <c r="D3794" s="94">
        <v>2248.0</v>
      </c>
    </row>
    <row r="3795">
      <c r="A3795" s="40">
        <f t="array" ref="A3795">IFNA(index(PlayerValues!A:A,match(IFNA(vlookup(B3795,'Special Names'!A:B,2,FALSE),B3795),PlayerValues!E:E,0)),"N/A")</f>
        <v>17467</v>
      </c>
      <c r="B3795" s="4" t="s">
        <v>575</v>
      </c>
      <c r="C3795" s="4" t="s">
        <v>283</v>
      </c>
      <c r="D3795" s="94">
        <v>1856.0</v>
      </c>
    </row>
    <row r="3796">
      <c r="A3796" s="40" t="str">
        <f t="array" ref="A3796">IFNA(index(PlayerValues!A:A,match(IFNA(vlookup(B3796,'Special Names'!A:B,2,FALSE),B3796),PlayerValues!E:E,0)),"N/A")</f>
        <v>N/A</v>
      </c>
      <c r="B3796" s="4" t="s">
        <v>101</v>
      </c>
      <c r="C3796" s="4" t="s">
        <v>325</v>
      </c>
      <c r="D3796" s="94">
        <v>1855.0</v>
      </c>
    </row>
    <row r="3797">
      <c r="A3797" s="40">
        <f t="array" ref="A3797">IFNA(index(PlayerValues!A:A,match(IFNA(vlookup(B3797,'Special Names'!A:B,2,FALSE),B3797),PlayerValues!E:E,0)),"N/A")</f>
        <v>16778</v>
      </c>
      <c r="B3797" s="4" t="s">
        <v>577</v>
      </c>
      <c r="C3797" s="4" t="s">
        <v>287</v>
      </c>
      <c r="D3797" s="94">
        <v>1848.0</v>
      </c>
    </row>
    <row r="3798">
      <c r="A3798" s="40">
        <f t="array" ref="A3798">IFNA(index(PlayerValues!A:A,match(IFNA(vlookup(B3798,'Special Names'!A:B,2,FALSE),B3798),PlayerValues!E:E,0)),"N/A")</f>
        <v>13189</v>
      </c>
      <c r="B3798" s="4" t="s">
        <v>626</v>
      </c>
      <c r="C3798" s="4" t="s">
        <v>298</v>
      </c>
      <c r="D3798" s="94">
        <v>2205.0</v>
      </c>
    </row>
    <row r="3799">
      <c r="A3799" s="40">
        <f t="array" ref="A3799">IFNA(index(PlayerValues!A:A,match(IFNA(vlookup(B3799,'Special Names'!A:B,2,FALSE),B3799),PlayerValues!E:E,0)),"N/A")</f>
        <v>17485</v>
      </c>
      <c r="B3799" s="4" t="s">
        <v>522</v>
      </c>
      <c r="C3799" s="4" t="s">
        <v>278</v>
      </c>
      <c r="D3799" s="94">
        <v>1824.0</v>
      </c>
    </row>
    <row r="3800">
      <c r="A3800" s="40">
        <f t="array" ref="A3800">IFNA(index(PlayerValues!A:A,match(IFNA(vlookup(B3800,'Special Names'!A:B,2,FALSE),B3800),PlayerValues!E:E,0)),"N/A")</f>
        <v>16752</v>
      </c>
      <c r="B3800" s="4" t="s">
        <v>597</v>
      </c>
      <c r="C3800" s="4" t="s">
        <v>278</v>
      </c>
      <c r="D3800" s="94">
        <v>1799.0</v>
      </c>
    </row>
    <row r="3801">
      <c r="A3801" s="40">
        <f t="array" ref="A3801">IFNA(index(PlayerValues!A:A,match(IFNA(vlookup(B3801,'Special Names'!A:B,2,FALSE),B3801),PlayerValues!E:E,0)),"N/A")</f>
        <v>17086</v>
      </c>
      <c r="B3801" s="4" t="s">
        <v>612</v>
      </c>
      <c r="C3801" s="4" t="s">
        <v>287</v>
      </c>
      <c r="D3801" s="94">
        <v>1799.0</v>
      </c>
    </row>
    <row r="3802">
      <c r="A3802" s="40">
        <f t="array" ref="A3802">IFNA(index(PlayerValues!A:A,match(IFNA(vlookup(B3802,'Special Names'!A:B,2,FALSE),B3802),PlayerValues!E:E,0)),"N/A")</f>
        <v>15787</v>
      </c>
      <c r="B3802" s="4" t="s">
        <v>610</v>
      </c>
      <c r="C3802" s="4" t="s">
        <v>287</v>
      </c>
      <c r="D3802" s="94">
        <v>1797.0</v>
      </c>
    </row>
    <row r="3803">
      <c r="A3803" s="40">
        <f t="array" ref="A3803">IFNA(index(PlayerValues!A:A,match(IFNA(vlookup(B3803,'Special Names'!A:B,2,FALSE),B3803),PlayerValues!E:E,0)),"N/A")</f>
        <v>15788</v>
      </c>
      <c r="B3803" s="4" t="s">
        <v>627</v>
      </c>
      <c r="C3803" s="4" t="s">
        <v>287</v>
      </c>
      <c r="D3803" s="94">
        <v>1792.0</v>
      </c>
    </row>
    <row r="3804">
      <c r="A3804" s="40">
        <f t="array" ref="A3804">IFNA(index(PlayerValues!A:A,match(IFNA(vlookup(B3804,'Special Names'!A:B,2,FALSE),B3804),PlayerValues!E:E,0)),"N/A")</f>
        <v>16215</v>
      </c>
      <c r="B3804" s="4" t="s">
        <v>637</v>
      </c>
      <c r="C3804" s="4" t="s">
        <v>298</v>
      </c>
      <c r="D3804" s="94">
        <v>2166.0</v>
      </c>
    </row>
    <row r="3805">
      <c r="A3805" s="40">
        <f t="array" ref="A3805">IFNA(index(PlayerValues!A:A,match(IFNA(vlookup(B3805,'Special Names'!A:B,2,FALSE),B3805),PlayerValues!E:E,0)),"N/A")</f>
        <v>16171</v>
      </c>
      <c r="B3805" s="4" t="s">
        <v>618</v>
      </c>
      <c r="C3805" s="4" t="s">
        <v>278</v>
      </c>
      <c r="D3805" s="94">
        <v>1777.0</v>
      </c>
    </row>
    <row r="3806">
      <c r="A3806" s="40">
        <f t="array" ref="A3806">IFNA(index(PlayerValues!A:A,match(IFNA(vlookup(B3806,'Special Names'!A:B,2,FALSE),B3806),PlayerValues!E:E,0)),"N/A")</f>
        <v>17548</v>
      </c>
      <c r="B3806" s="4" t="s">
        <v>594</v>
      </c>
      <c r="C3806" s="4" t="s">
        <v>298</v>
      </c>
      <c r="D3806" s="94">
        <v>2147.0</v>
      </c>
    </row>
    <row r="3807">
      <c r="A3807" s="40">
        <f t="array" ref="A3807">IFNA(index(PlayerValues!A:A,match(IFNA(vlookup(B3807,'Special Names'!A:B,2,FALSE),B3807),PlayerValues!E:E,0)),"N/A")</f>
        <v>16644</v>
      </c>
      <c r="B3807" s="4" t="s">
        <v>640</v>
      </c>
      <c r="C3807" s="4" t="s">
        <v>298</v>
      </c>
      <c r="D3807" s="94">
        <v>2146.0</v>
      </c>
    </row>
    <row r="3808">
      <c r="A3808" s="40">
        <f t="array" ref="A3808">IFNA(index(PlayerValues!A:A,match(IFNA(vlookup(B3808,'Special Names'!A:B,2,FALSE),B3808),PlayerValues!E:E,0)),"N/A")</f>
        <v>13146</v>
      </c>
      <c r="B3808" s="4" t="s">
        <v>652</v>
      </c>
      <c r="C3808" s="4" t="s">
        <v>278</v>
      </c>
      <c r="D3808" s="94">
        <v>1756.0</v>
      </c>
    </row>
    <row r="3809">
      <c r="A3809" s="40">
        <f t="array" ref="A3809">IFNA(index(PlayerValues!A:A,match(IFNA(vlookup(B3809,'Special Names'!A:B,2,FALSE),B3809),PlayerValues!E:E,0)),"N/A")</f>
        <v>17049</v>
      </c>
      <c r="B3809" s="4" t="s">
        <v>624</v>
      </c>
      <c r="C3809" s="4" t="s">
        <v>278</v>
      </c>
      <c r="D3809" s="94">
        <v>1749.0</v>
      </c>
    </row>
    <row r="3810">
      <c r="A3810" s="40">
        <f t="array" ref="A3810">IFNA(index(PlayerValues!A:A,match(IFNA(vlookup(B3810,'Special Names'!A:B,2,FALSE),B3810),PlayerValues!E:E,0)),"N/A")</f>
        <v>16191</v>
      </c>
      <c r="B3810" s="4" t="s">
        <v>666</v>
      </c>
      <c r="C3810" s="4" t="s">
        <v>287</v>
      </c>
      <c r="D3810" s="94">
        <v>1745.0</v>
      </c>
    </row>
    <row r="3811">
      <c r="A3811" s="40" t="str">
        <f t="array" ref="A3811">IFNA(index(PlayerValues!A:A,match(IFNA(vlookup(B3811,'Special Names'!A:B,2,FALSE),B3811),PlayerValues!E:E,0)),"N/A")</f>
        <v>N/A</v>
      </c>
      <c r="B3811" s="4" t="s">
        <v>102</v>
      </c>
      <c r="C3811" s="4" t="s">
        <v>325</v>
      </c>
      <c r="D3811" s="94">
        <v>1738.0</v>
      </c>
    </row>
    <row r="3812">
      <c r="A3812" s="40">
        <f t="array" ref="A3812">IFNA(index(PlayerValues!A:A,match(IFNA(vlookup(B3812,'Special Names'!A:B,2,FALSE),B3812),PlayerValues!E:E,0)),"N/A")</f>
        <v>13164</v>
      </c>
      <c r="B3812" s="4" t="s">
        <v>632</v>
      </c>
      <c r="C3812" s="4" t="s">
        <v>287</v>
      </c>
      <c r="D3812" s="94">
        <v>1724.0</v>
      </c>
    </row>
    <row r="3813">
      <c r="A3813" s="40">
        <f t="array" ref="A3813">IFNA(index(PlayerValues!A:A,match(IFNA(vlookup(B3813,'Special Names'!A:B,2,FALSE),B3813),PlayerValues!E:E,0)),"N/A")</f>
        <v>17034</v>
      </c>
      <c r="B3813" s="4" t="s">
        <v>643</v>
      </c>
      <c r="C3813" s="4" t="s">
        <v>283</v>
      </c>
      <c r="D3813" s="94">
        <v>1714.0</v>
      </c>
    </row>
    <row r="3814">
      <c r="A3814" s="40" t="str">
        <f t="array" ref="A3814">IFNA(index(PlayerValues!A:A,match(IFNA(vlookup(B3814,'Special Names'!A:B,2,FALSE),B3814),PlayerValues!E:E,0)),"N/A")</f>
        <v>N/A</v>
      </c>
      <c r="B3814" s="4" t="s">
        <v>89</v>
      </c>
      <c r="C3814" s="4" t="s">
        <v>325</v>
      </c>
      <c r="D3814" s="94">
        <v>1712.0</v>
      </c>
    </row>
    <row r="3815">
      <c r="A3815" s="40">
        <f t="array" ref="A3815">IFNA(index(PlayerValues!A:A,match(IFNA(vlookup(B3815,'Special Names'!A:B,2,FALSE),B3815),PlayerValues!E:E,0)),"N/A")</f>
        <v>17035</v>
      </c>
      <c r="B3815" s="4" t="s">
        <v>650</v>
      </c>
      <c r="C3815" s="4" t="s">
        <v>283</v>
      </c>
      <c r="D3815" s="94">
        <v>1704.0</v>
      </c>
    </row>
    <row r="3816">
      <c r="A3816" s="40">
        <f t="array" ref="A3816">IFNA(index(PlayerValues!A:A,match(IFNA(vlookup(B3816,'Special Names'!A:B,2,FALSE),B3816),PlayerValues!E:E,0)),"N/A")</f>
        <v>14143</v>
      </c>
      <c r="B3816" s="4" t="s">
        <v>635</v>
      </c>
      <c r="C3816" s="4" t="s">
        <v>298</v>
      </c>
      <c r="D3816" s="94">
        <v>2080.0</v>
      </c>
    </row>
    <row r="3817">
      <c r="A3817" s="40">
        <f t="array" ref="A3817">IFNA(index(PlayerValues!A:A,match(IFNA(vlookup(B3817,'Special Names'!A:B,2,FALSE),B3817),PlayerValues!E:E,0)),"N/A")</f>
        <v>17607</v>
      </c>
      <c r="B3817" s="4" t="s">
        <v>526</v>
      </c>
      <c r="C3817" s="4" t="s">
        <v>298</v>
      </c>
      <c r="D3817" s="94">
        <v>2078.0</v>
      </c>
    </row>
    <row r="3818">
      <c r="A3818" s="40">
        <f t="array" ref="A3818">IFNA(index(PlayerValues!A:A,match(IFNA(vlookup(B3818,'Special Names'!A:B,2,FALSE),B3818),PlayerValues!E:E,0)),"N/A")</f>
        <v>17567</v>
      </c>
      <c r="B3818" s="4" t="s">
        <v>571</v>
      </c>
      <c r="C3818" s="4" t="s">
        <v>298</v>
      </c>
      <c r="D3818" s="94">
        <v>2078.0</v>
      </c>
    </row>
    <row r="3819">
      <c r="A3819" s="40">
        <f t="array" ref="A3819">IFNA(index(PlayerValues!A:A,match(IFNA(vlookup(B3819,'Special Names'!A:B,2,FALSE),B3819),PlayerValues!E:E,0)),"N/A")</f>
        <v>16585</v>
      </c>
      <c r="B3819" s="4" t="s">
        <v>623</v>
      </c>
      <c r="C3819" s="4" t="s">
        <v>283</v>
      </c>
      <c r="D3819" s="94">
        <v>1695.0</v>
      </c>
    </row>
    <row r="3820">
      <c r="A3820" s="40">
        <f t="array" ref="A3820">IFNA(index(PlayerValues!A:A,match(IFNA(vlookup(B3820,'Special Names'!A:B,2,FALSE),B3820),PlayerValues!E:E,0)),"N/A")</f>
        <v>17064</v>
      </c>
      <c r="B3820" s="4" t="s">
        <v>631</v>
      </c>
      <c r="C3820" s="4" t="s">
        <v>278</v>
      </c>
      <c r="D3820" s="94">
        <v>1682.0</v>
      </c>
    </row>
    <row r="3821">
      <c r="A3821" s="40" t="str">
        <f t="array" ref="A3821">IFNA(index(PlayerValues!A:A,match(IFNA(vlookup(B3821,'Special Names'!A:B,2,FALSE),B3821),PlayerValues!E:E,0)),"N/A")</f>
        <v>N/A</v>
      </c>
      <c r="B3821" s="4" t="s">
        <v>103</v>
      </c>
      <c r="C3821" s="4" t="s">
        <v>325</v>
      </c>
      <c r="D3821" s="94">
        <v>1674.0</v>
      </c>
    </row>
    <row r="3822">
      <c r="A3822" s="40">
        <f t="array" ref="A3822">IFNA(index(PlayerValues!A:A,match(IFNA(vlookup(B3822,'Special Names'!A:B,2,FALSE),B3822),PlayerValues!E:E,0)),"N/A")</f>
        <v>17058</v>
      </c>
      <c r="B3822" s="4" t="s">
        <v>641</v>
      </c>
      <c r="C3822" s="4" t="s">
        <v>278</v>
      </c>
      <c r="D3822" s="94">
        <v>1665.0</v>
      </c>
    </row>
    <row r="3823">
      <c r="A3823" s="40">
        <f t="array" ref="A3823">IFNA(index(PlayerValues!A:A,match(IFNA(vlookup(B3823,'Special Names'!A:B,2,FALSE),B3823),PlayerValues!E:E,0)),"N/A")</f>
        <v>17096</v>
      </c>
      <c r="B3823" s="4" t="s">
        <v>638</v>
      </c>
      <c r="C3823" s="4" t="s">
        <v>287</v>
      </c>
      <c r="D3823" s="94">
        <v>1656.0</v>
      </c>
    </row>
    <row r="3824">
      <c r="A3824" s="40">
        <f t="array" ref="A3824">IFNA(index(PlayerValues!A:A,match(IFNA(vlookup(B3824,'Special Names'!A:B,2,FALSE),B3824),PlayerValues!E:E,0)),"N/A")</f>
        <v>16635</v>
      </c>
      <c r="B3824" s="4" t="s">
        <v>645</v>
      </c>
      <c r="C3824" s="4" t="s">
        <v>287</v>
      </c>
      <c r="D3824" s="94">
        <v>1644.0</v>
      </c>
    </row>
    <row r="3825">
      <c r="A3825" s="40">
        <f t="array" ref="A3825">IFNA(index(PlayerValues!A:A,match(IFNA(vlookup(B3825,'Special Names'!A:B,2,FALSE),B3825),PlayerValues!E:E,0)),"N/A")</f>
        <v>16207</v>
      </c>
      <c r="B3825" s="4" t="s">
        <v>636</v>
      </c>
      <c r="C3825" s="4" t="s">
        <v>287</v>
      </c>
      <c r="D3825" s="94">
        <v>1643.0</v>
      </c>
    </row>
    <row r="3826">
      <c r="A3826" s="40" t="str">
        <f t="array" ref="A3826">IFNA(index(PlayerValues!A:A,match(IFNA(vlookup(B3826,'Special Names'!A:B,2,FALSE),B3826),PlayerValues!E:E,0)),"N/A")</f>
        <v>N/A</v>
      </c>
      <c r="B3826" s="4" t="s">
        <v>115</v>
      </c>
      <c r="C3826" s="4" t="s">
        <v>325</v>
      </c>
      <c r="D3826" s="94">
        <v>1642.0</v>
      </c>
    </row>
    <row r="3827">
      <c r="A3827" s="40">
        <f t="array" ref="A3827">IFNA(index(PlayerValues!A:A,match(IFNA(vlookup(B3827,'Special Names'!A:B,2,FALSE),B3827),PlayerValues!E:E,0)),"N/A")</f>
        <v>17465</v>
      </c>
      <c r="B3827" s="4" t="s">
        <v>649</v>
      </c>
      <c r="C3827" s="4" t="s">
        <v>283</v>
      </c>
      <c r="D3827" s="94">
        <v>1639.0</v>
      </c>
    </row>
    <row r="3828">
      <c r="A3828" s="40">
        <f t="array" ref="A3828">IFNA(index(PlayerValues!A:A,match(IFNA(vlookup(B3828,'Special Names'!A:B,2,FALSE),B3828),PlayerValues!E:E,0)),"N/A")</f>
        <v>15755</v>
      </c>
      <c r="B3828" s="4" t="s">
        <v>628</v>
      </c>
      <c r="C3828" s="4" t="s">
        <v>287</v>
      </c>
      <c r="D3828" s="94">
        <v>1628.0</v>
      </c>
    </row>
    <row r="3829">
      <c r="A3829" s="40" t="str">
        <f t="array" ref="A3829">IFNA(index(PlayerValues!A:A,match(IFNA(vlookup(B3829,'Special Names'!A:B,2,FALSE),B3829),PlayerValues!E:E,0)),"N/A")</f>
        <v>N/A</v>
      </c>
      <c r="B3829" s="4" t="s">
        <v>90</v>
      </c>
      <c r="C3829" s="4" t="s">
        <v>325</v>
      </c>
      <c r="D3829" s="94">
        <v>1625.0</v>
      </c>
    </row>
    <row r="3830">
      <c r="A3830" s="40">
        <f t="array" ref="A3830">IFNA(index(PlayerValues!A:A,match(IFNA(vlookup(B3830,'Special Names'!A:B,2,FALSE),B3830),PlayerValues!E:E,0)),"N/A")</f>
        <v>14105</v>
      </c>
      <c r="B3830" s="4" t="s">
        <v>675</v>
      </c>
      <c r="C3830" s="4" t="s">
        <v>287</v>
      </c>
      <c r="D3830" s="94">
        <v>1620.0</v>
      </c>
    </row>
    <row r="3831">
      <c r="A3831" s="40">
        <f t="array" ref="A3831">IFNA(index(PlayerValues!A:A,match(IFNA(vlookup(B3831,'Special Names'!A:B,2,FALSE),B3831),PlayerValues!E:E,0)),"N/A")</f>
        <v>16201</v>
      </c>
      <c r="B3831" s="4" t="s">
        <v>589</v>
      </c>
      <c r="C3831" s="4" t="s">
        <v>287</v>
      </c>
      <c r="D3831" s="94">
        <v>1617.0</v>
      </c>
    </row>
    <row r="3832">
      <c r="A3832" s="40">
        <f t="array" ref="A3832">IFNA(index(PlayerValues!A:A,match(IFNA(vlookup(B3832,'Special Names'!A:B,2,FALSE),B3832),PlayerValues!E:E,0)),"N/A")</f>
        <v>16601</v>
      </c>
      <c r="B3832" s="4" t="s">
        <v>648</v>
      </c>
      <c r="C3832" s="4" t="s">
        <v>278</v>
      </c>
      <c r="D3832" s="94">
        <v>1608.0</v>
      </c>
    </row>
    <row r="3833">
      <c r="A3833" s="40">
        <f t="array" ref="A3833">IFNA(index(PlayerValues!A:A,match(IFNA(vlookup(B3833,'Special Names'!A:B,2,FALSE),B3833),PlayerValues!E:E,0)),"N/A")</f>
        <v>16586</v>
      </c>
      <c r="B3833" s="4" t="s">
        <v>658</v>
      </c>
      <c r="C3833" s="4" t="s">
        <v>283</v>
      </c>
      <c r="D3833" s="94">
        <v>1582.0</v>
      </c>
    </row>
    <row r="3834">
      <c r="A3834" s="40" t="str">
        <f t="array" ref="A3834">IFNA(index(PlayerValues!A:A,match(IFNA(vlookup(B3834,'Special Names'!A:B,2,FALSE),B3834),PlayerValues!E:E,0)),"N/A")</f>
        <v>N/A</v>
      </c>
      <c r="B3834" s="4" t="s">
        <v>116</v>
      </c>
      <c r="C3834" s="4" t="s">
        <v>325</v>
      </c>
      <c r="D3834" s="94">
        <v>1576.0</v>
      </c>
    </row>
    <row r="3835">
      <c r="A3835" s="40">
        <f t="array" ref="A3835">IFNA(index(PlayerValues!A:A,match(IFNA(vlookup(B3835,'Special Names'!A:B,2,FALSE),B3835),PlayerValues!E:E,0)),"N/A")</f>
        <v>16629</v>
      </c>
      <c r="B3835" s="4" t="s">
        <v>605</v>
      </c>
      <c r="C3835" s="4" t="s">
        <v>287</v>
      </c>
      <c r="D3835" s="94">
        <v>1567.0</v>
      </c>
    </row>
    <row r="3836">
      <c r="A3836" s="40">
        <f t="array" ref="A3836">IFNA(index(PlayerValues!A:A,match(IFNA(vlookup(B3836,'Special Names'!A:B,2,FALSE),B3836),PlayerValues!E:E,0)),"N/A")</f>
        <v>15301</v>
      </c>
      <c r="B3836" s="4" t="s">
        <v>657</v>
      </c>
      <c r="C3836" s="4" t="s">
        <v>287</v>
      </c>
      <c r="D3836" s="94">
        <v>1561.0</v>
      </c>
    </row>
    <row r="3837">
      <c r="A3837" s="40" t="str">
        <f t="array" ref="A3837">IFNA(index(PlayerValues!A:A,match(IFNA(vlookup(B3837,'Special Names'!A:B,2,FALSE),B3837),PlayerValues!E:E,0)),"N/A")</f>
        <v>N/A</v>
      </c>
      <c r="B3837" s="4" t="s">
        <v>91</v>
      </c>
      <c r="C3837" s="4" t="s">
        <v>325</v>
      </c>
      <c r="D3837" s="94">
        <v>1560.0</v>
      </c>
    </row>
    <row r="3838">
      <c r="A3838" s="40">
        <f t="array" ref="A3838">IFNA(index(PlayerValues!A:A,match(IFNA(vlookup(B3838,'Special Names'!A:B,2,FALSE),B3838),PlayerValues!E:E,0)),"N/A")</f>
        <v>16633</v>
      </c>
      <c r="B3838" s="4" t="s">
        <v>656</v>
      </c>
      <c r="C3838" s="4" t="s">
        <v>287</v>
      </c>
      <c r="D3838" s="94">
        <v>1560.0</v>
      </c>
    </row>
    <row r="3839">
      <c r="A3839" s="40">
        <f t="array" ref="A3839">IFNA(index(PlayerValues!A:A,match(IFNA(vlookup(B3839,'Special Names'!A:B,2,FALSE),B3839),PlayerValues!E:E,0)),"N/A")</f>
        <v>15254</v>
      </c>
      <c r="B3839" s="4" t="s">
        <v>633</v>
      </c>
      <c r="C3839" s="4" t="s">
        <v>278</v>
      </c>
      <c r="D3839" s="94">
        <v>1557.0</v>
      </c>
    </row>
    <row r="3840">
      <c r="A3840" s="40">
        <f t="array" ref="A3840">IFNA(index(PlayerValues!A:A,match(IFNA(vlookup(B3840,'Special Names'!A:B,2,FALSE),B3840),PlayerValues!E:E,0)),"N/A")</f>
        <v>15319</v>
      </c>
      <c r="B3840" s="4" t="s">
        <v>644</v>
      </c>
      <c r="C3840" s="4" t="s">
        <v>287</v>
      </c>
      <c r="D3840" s="94">
        <v>1546.0</v>
      </c>
    </row>
    <row r="3841">
      <c r="A3841" s="40">
        <f t="array" ref="A3841">IFNA(index(PlayerValues!A:A,match(IFNA(vlookup(B3841,'Special Names'!A:B,2,FALSE),B3841),PlayerValues!E:E,0)),"N/A")</f>
        <v>17529</v>
      </c>
      <c r="B3841" s="4" t="s">
        <v>608</v>
      </c>
      <c r="C3841" s="4" t="s">
        <v>287</v>
      </c>
      <c r="D3841" s="94">
        <v>1545.0</v>
      </c>
    </row>
    <row r="3842">
      <c r="A3842" s="40">
        <f t="array" ref="A3842">IFNA(index(PlayerValues!A:A,match(IFNA(vlookup(B3842,'Special Names'!A:B,2,FALSE),B3842),PlayerValues!E:E,0)),"N/A")</f>
        <v>17234</v>
      </c>
      <c r="B3842" s="4" t="s">
        <v>653</v>
      </c>
      <c r="C3842" s="4" t="s">
        <v>287</v>
      </c>
      <c r="D3842" s="94">
        <v>1539.0</v>
      </c>
    </row>
    <row r="3843">
      <c r="A3843" s="40">
        <f t="array" ref="A3843">IFNA(index(PlayerValues!A:A,match(IFNA(vlookup(B3843,'Special Names'!A:B,2,FALSE),B3843),PlayerValues!E:E,0)),"N/A")</f>
        <v>15713</v>
      </c>
      <c r="B3843" s="4" t="s">
        <v>732</v>
      </c>
      <c r="C3843" s="4" t="s">
        <v>278</v>
      </c>
      <c r="D3843" s="94">
        <v>1515.0</v>
      </c>
    </row>
    <row r="3844">
      <c r="A3844" s="40">
        <f t="array" ref="A3844">IFNA(index(PlayerValues!A:A,match(IFNA(vlookup(B3844,'Special Names'!A:B,2,FALSE),B3844),PlayerValues!E:E,0)),"N/A")</f>
        <v>17205</v>
      </c>
      <c r="B3844" s="4" t="s">
        <v>665</v>
      </c>
      <c r="C3844" s="4" t="s">
        <v>287</v>
      </c>
      <c r="D3844" s="94">
        <v>1514.0</v>
      </c>
    </row>
    <row r="3845">
      <c r="A3845" s="40">
        <f t="array" ref="A3845">IFNA(index(PlayerValues!A:A,match(IFNA(vlookup(B3845,'Special Names'!A:B,2,FALSE),B3845),PlayerValues!E:E,0)),"N/A")</f>
        <v>14122</v>
      </c>
      <c r="B3845" s="4" t="s">
        <v>663</v>
      </c>
      <c r="C3845" s="4" t="s">
        <v>287</v>
      </c>
      <c r="D3845" s="94">
        <v>1505.0</v>
      </c>
    </row>
    <row r="3846">
      <c r="A3846" s="40">
        <f t="array" ref="A3846">IFNA(index(PlayerValues!A:A,match(IFNA(vlookup(B3846,'Special Names'!A:B,2,FALSE),B3846),PlayerValues!E:E,0)),"N/A")</f>
        <v>15337</v>
      </c>
      <c r="B3846" s="4" t="s">
        <v>655</v>
      </c>
      <c r="C3846" s="4" t="s">
        <v>298</v>
      </c>
      <c r="D3846" s="94">
        <v>1868.0</v>
      </c>
    </row>
    <row r="3847">
      <c r="A3847" s="40">
        <f t="array" ref="A3847">IFNA(index(PlayerValues!A:A,match(IFNA(vlookup(B3847,'Special Names'!A:B,2,FALSE),B3847),PlayerValues!E:E,0)),"N/A")</f>
        <v>16595</v>
      </c>
      <c r="B3847" s="4" t="s">
        <v>664</v>
      </c>
      <c r="C3847" s="4" t="s">
        <v>278</v>
      </c>
      <c r="D3847" s="94">
        <v>1494.0</v>
      </c>
    </row>
    <row r="3848">
      <c r="A3848" s="40">
        <f t="array" ref="A3848">IFNA(index(PlayerValues!A:A,match(IFNA(vlookup(B3848,'Special Names'!A:B,2,FALSE),B3848),PlayerValues!E:E,0)),"N/A")</f>
        <v>16688</v>
      </c>
      <c r="B3848" s="4" t="s">
        <v>688</v>
      </c>
      <c r="C3848" s="4" t="s">
        <v>278</v>
      </c>
      <c r="D3848" s="94">
        <v>1494.0</v>
      </c>
    </row>
    <row r="3849">
      <c r="A3849" s="40">
        <f t="array" ref="A3849">IFNA(index(PlayerValues!A:A,match(IFNA(vlookup(B3849,'Special Names'!A:B,2,FALSE),B3849),PlayerValues!E:E,0)),"N/A")</f>
        <v>16175</v>
      </c>
      <c r="B3849" s="4" t="s">
        <v>654</v>
      </c>
      <c r="C3849" s="4" t="s">
        <v>278</v>
      </c>
      <c r="D3849" s="94">
        <v>1486.0</v>
      </c>
    </row>
    <row r="3850">
      <c r="A3850" s="40">
        <f t="array" ref="A3850">IFNA(index(PlayerValues!A:A,match(IFNA(vlookup(B3850,'Special Names'!A:B,2,FALSE),B3850),PlayerValues!E:E,0)),"N/A")</f>
        <v>17054</v>
      </c>
      <c r="B3850" s="4" t="s">
        <v>670</v>
      </c>
      <c r="C3850" s="4" t="s">
        <v>278</v>
      </c>
      <c r="D3850" s="94">
        <v>1477.0</v>
      </c>
    </row>
    <row r="3851">
      <c r="A3851" s="40">
        <f t="array" ref="A3851">IFNA(index(PlayerValues!A:A,match(IFNA(vlookup(B3851,'Special Names'!A:B,2,FALSE),B3851),PlayerValues!E:E,0)),"N/A")</f>
        <v>15752</v>
      </c>
      <c r="B3851" s="4" t="s">
        <v>647</v>
      </c>
      <c r="C3851" s="4" t="s">
        <v>287</v>
      </c>
      <c r="D3851" s="94">
        <v>1468.0</v>
      </c>
    </row>
    <row r="3852">
      <c r="A3852" s="40">
        <f t="array" ref="A3852">IFNA(index(PlayerValues!A:A,match(IFNA(vlookup(B3852,'Special Names'!A:B,2,FALSE),B3852),PlayerValues!E:E,0)),"N/A")</f>
        <v>13672</v>
      </c>
      <c r="B3852" s="4" t="s">
        <v>667</v>
      </c>
      <c r="C3852" s="4" t="s">
        <v>298</v>
      </c>
      <c r="D3852" s="94">
        <v>1834.0</v>
      </c>
    </row>
    <row r="3853">
      <c r="A3853" s="40">
        <f t="array" ref="A3853">IFNA(index(PlayerValues!A:A,match(IFNA(vlookup(B3853,'Special Names'!A:B,2,FALSE),B3853),PlayerValues!E:E,0)),"N/A")</f>
        <v>16788</v>
      </c>
      <c r="B3853" s="4" t="s">
        <v>621</v>
      </c>
      <c r="C3853" s="4" t="s">
        <v>287</v>
      </c>
      <c r="D3853" s="94">
        <v>1452.0</v>
      </c>
    </row>
    <row r="3854">
      <c r="A3854" s="40">
        <f t="array" ref="A3854">IFNA(index(PlayerValues!A:A,match(IFNA(vlookup(B3854,'Special Names'!A:B,2,FALSE),B3854),PlayerValues!E:E,0)),"N/A")</f>
        <v>15873</v>
      </c>
      <c r="B3854" s="4" t="s">
        <v>681</v>
      </c>
      <c r="C3854" s="4" t="s">
        <v>298</v>
      </c>
      <c r="D3854" s="94">
        <v>1810.0</v>
      </c>
    </row>
    <row r="3855">
      <c r="A3855" s="40">
        <f t="array" ref="A3855">IFNA(index(PlayerValues!A:A,match(IFNA(vlookup(B3855,'Special Names'!A:B,2,FALSE),B3855),PlayerValues!E:E,0)),"N/A")</f>
        <v>15759</v>
      </c>
      <c r="B3855" s="4" t="s">
        <v>662</v>
      </c>
      <c r="C3855" s="4" t="s">
        <v>287</v>
      </c>
      <c r="D3855" s="94">
        <v>1433.0</v>
      </c>
    </row>
    <row r="3856">
      <c r="A3856" s="40">
        <f t="array" ref="A3856">IFNA(index(PlayerValues!A:A,match(IFNA(vlookup(B3856,'Special Names'!A:B,2,FALSE),B3856),PlayerValues!E:E,0)),"N/A")</f>
        <v>15777</v>
      </c>
      <c r="B3856" s="4" t="s">
        <v>694</v>
      </c>
      <c r="C3856" s="4" t="s">
        <v>287</v>
      </c>
      <c r="D3856" s="94">
        <v>1422.0</v>
      </c>
    </row>
    <row r="3857">
      <c r="A3857" s="40">
        <f t="array" ref="A3857">IFNA(index(PlayerValues!A:A,match(IFNA(vlookup(B3857,'Special Names'!A:B,2,FALSE),B3857),PlayerValues!E:E,0)),"N/A")</f>
        <v>16390</v>
      </c>
      <c r="B3857" s="4" t="s">
        <v>689</v>
      </c>
      <c r="C3857" s="4" t="s">
        <v>278</v>
      </c>
      <c r="D3857" s="94">
        <v>1418.0</v>
      </c>
    </row>
    <row r="3858">
      <c r="A3858" s="40">
        <f t="array" ref="A3858">IFNA(index(PlayerValues!A:A,match(IFNA(vlookup(B3858,'Special Names'!A:B,2,FALSE),B3858),PlayerValues!E:E,0)),"N/A")</f>
        <v>17519</v>
      </c>
      <c r="B3858" s="4" t="s">
        <v>593</v>
      </c>
      <c r="C3858" s="4" t="s">
        <v>287</v>
      </c>
      <c r="D3858" s="94">
        <v>1417.0</v>
      </c>
    </row>
    <row r="3859">
      <c r="A3859" s="40">
        <f t="array" ref="A3859">IFNA(index(PlayerValues!A:A,match(IFNA(vlookup(B3859,'Special Names'!A:B,2,FALSE),B3859),PlayerValues!E:E,0)),"N/A")</f>
        <v>16621</v>
      </c>
      <c r="B3859" s="4" t="s">
        <v>672</v>
      </c>
      <c r="C3859" s="4" t="s">
        <v>287</v>
      </c>
      <c r="D3859" s="94">
        <v>1411.0</v>
      </c>
    </row>
    <row r="3860">
      <c r="A3860" s="40">
        <f t="array" ref="A3860">IFNA(index(PlayerValues!A:A,match(IFNA(vlookup(B3860,'Special Names'!A:B,2,FALSE),B3860),PlayerValues!E:E,0)),"N/A")</f>
        <v>14137</v>
      </c>
      <c r="B3860" s="4" t="s">
        <v>676</v>
      </c>
      <c r="C3860" s="4" t="s">
        <v>298</v>
      </c>
      <c r="D3860" s="94">
        <v>1774.0</v>
      </c>
    </row>
    <row r="3861">
      <c r="A3861" s="40">
        <f t="array" ref="A3861">IFNA(index(PlayerValues!A:A,match(IFNA(vlookup(B3861,'Special Names'!A:B,2,FALSE),B3861),PlayerValues!E:E,0)),"N/A")</f>
        <v>17521</v>
      </c>
      <c r="B3861" s="4" t="s">
        <v>573</v>
      </c>
      <c r="C3861" s="4" t="s">
        <v>287</v>
      </c>
      <c r="D3861" s="94">
        <v>1397.0</v>
      </c>
    </row>
    <row r="3862">
      <c r="A3862" s="40">
        <f t="array" ref="A3862">IFNA(index(PlayerValues!A:A,match(IFNA(vlookup(B3862,'Special Names'!A:B,2,FALSE),B3862),PlayerValues!E:E,0)),"N/A")</f>
        <v>15738</v>
      </c>
      <c r="B3862" s="4" t="s">
        <v>634</v>
      </c>
      <c r="C3862" s="4" t="s">
        <v>278</v>
      </c>
      <c r="D3862" s="94">
        <v>1396.0</v>
      </c>
    </row>
    <row r="3863">
      <c r="A3863" s="40">
        <f t="array" ref="A3863">IFNA(index(PlayerValues!A:A,match(IFNA(vlookup(B3863,'Special Names'!A:B,2,FALSE),B3863),PlayerValues!E:E,0)),"N/A")</f>
        <v>16387</v>
      </c>
      <c r="B3863" s="4" t="s">
        <v>646</v>
      </c>
      <c r="C3863" s="4" t="s">
        <v>278</v>
      </c>
      <c r="D3863" s="94">
        <v>1396.0</v>
      </c>
    </row>
    <row r="3864">
      <c r="A3864" s="40">
        <f t="array" ref="A3864">IFNA(index(PlayerValues!A:A,match(IFNA(vlookup(B3864,'Special Names'!A:B,2,FALSE),B3864),PlayerValues!E:E,0)),"N/A")</f>
        <v>16631</v>
      </c>
      <c r="B3864" s="4" t="s">
        <v>800</v>
      </c>
      <c r="C3864" s="4" t="s">
        <v>287</v>
      </c>
      <c r="D3864" s="94">
        <v>1396.0</v>
      </c>
    </row>
    <row r="3865">
      <c r="A3865" s="40">
        <f t="array" ref="A3865">IFNA(index(PlayerValues!A:A,match(IFNA(vlookup(B3865,'Special Names'!A:B,2,FALSE),B3865),PlayerValues!E:E,0)),"N/A")</f>
        <v>16642</v>
      </c>
      <c r="B3865" s="4" t="s">
        <v>691</v>
      </c>
      <c r="C3865" s="4" t="s">
        <v>298</v>
      </c>
      <c r="D3865" s="94">
        <v>1765.0</v>
      </c>
    </row>
    <row r="3866">
      <c r="A3866" s="40">
        <f t="array" ref="A3866">IFNA(index(PlayerValues!A:A,match(IFNA(vlookup(B3866,'Special Names'!A:B,2,FALSE),B3866),PlayerValues!E:E,0)),"N/A")</f>
        <v>16384</v>
      </c>
      <c r="B3866" s="4" t="s">
        <v>696</v>
      </c>
      <c r="C3866" s="4" t="s">
        <v>283</v>
      </c>
      <c r="D3866" s="94">
        <v>1388.0</v>
      </c>
    </row>
    <row r="3867">
      <c r="A3867" s="40">
        <f t="array" ref="A3867">IFNA(index(PlayerValues!A:A,match(IFNA(vlookup(B3867,'Special Names'!A:B,2,FALSE),B3867),PlayerValues!E:E,0)),"N/A")</f>
        <v>16608</v>
      </c>
      <c r="B3867" s="4" t="s">
        <v>629</v>
      </c>
      <c r="C3867" s="4" t="s">
        <v>278</v>
      </c>
      <c r="D3867" s="94">
        <v>1373.0</v>
      </c>
    </row>
    <row r="3868">
      <c r="A3868" s="40">
        <f t="array" ref="A3868">IFNA(index(PlayerValues!A:A,match(IFNA(vlookup(B3868,'Special Names'!A:B,2,FALSE),B3868),PlayerValues!E:E,0)),"N/A")</f>
        <v>16792</v>
      </c>
      <c r="B3868" s="4" t="s">
        <v>704</v>
      </c>
      <c r="C3868" s="4" t="s">
        <v>287</v>
      </c>
      <c r="D3868" s="94">
        <v>1367.0</v>
      </c>
    </row>
    <row r="3869">
      <c r="A3869" s="40">
        <f t="array" ref="A3869">IFNA(index(PlayerValues!A:A,match(IFNA(vlookup(B3869,'Special Names'!A:B,2,FALSE),B3869),PlayerValues!E:E,0)),"N/A")</f>
        <v>17599</v>
      </c>
      <c r="B3869" s="4" t="s">
        <v>496</v>
      </c>
      <c r="C3869" s="4" t="s">
        <v>287</v>
      </c>
      <c r="D3869" s="94">
        <v>1361.0</v>
      </c>
    </row>
    <row r="3870">
      <c r="A3870" s="40">
        <f t="array" ref="A3870">IFNA(index(PlayerValues!A:A,match(IFNA(vlookup(B3870,'Special Names'!A:B,2,FALSE),B3870),PlayerValues!E:E,0)),"N/A")</f>
        <v>14086</v>
      </c>
      <c r="B3870" s="4" t="s">
        <v>639</v>
      </c>
      <c r="C3870" s="4" t="s">
        <v>278</v>
      </c>
      <c r="D3870" s="94">
        <v>1351.0</v>
      </c>
    </row>
    <row r="3871">
      <c r="A3871" s="40">
        <f t="array" ref="A3871">IFNA(index(PlayerValues!A:A,match(IFNA(vlookup(B3871,'Special Names'!A:B,2,FALSE),B3871),PlayerValues!E:E,0)),"N/A")</f>
        <v>15292</v>
      </c>
      <c r="B3871" s="4" t="s">
        <v>682</v>
      </c>
      <c r="C3871" s="4" t="s">
        <v>287</v>
      </c>
      <c r="D3871" s="94">
        <v>1347.0</v>
      </c>
    </row>
    <row r="3872">
      <c r="A3872" s="40">
        <f t="array" ref="A3872">IFNA(index(PlayerValues!A:A,match(IFNA(vlookup(B3872,'Special Names'!A:B,2,FALSE),B3872),PlayerValues!E:E,0)),"N/A")</f>
        <v>17037</v>
      </c>
      <c r="B3872" s="4" t="s">
        <v>727</v>
      </c>
      <c r="C3872" s="4" t="s">
        <v>283</v>
      </c>
      <c r="D3872" s="94">
        <v>1318.0</v>
      </c>
    </row>
    <row r="3873">
      <c r="A3873" s="40">
        <f t="array" ref="A3873">IFNA(index(PlayerValues!A:A,match(IFNA(vlookup(B3873,'Special Names'!A:B,2,FALSE),B3873),PlayerValues!E:E,0)),"N/A")</f>
        <v>17685</v>
      </c>
      <c r="B3873" s="4" t="s">
        <v>630</v>
      </c>
      <c r="C3873" s="4" t="s">
        <v>278</v>
      </c>
      <c r="D3873" s="94">
        <v>1316.0</v>
      </c>
    </row>
    <row r="3874">
      <c r="A3874" s="40">
        <f t="array" ref="A3874">IFNA(index(PlayerValues!A:A,match(IFNA(vlookup(B3874,'Special Names'!A:B,2,FALSE),B3874),PlayerValues!E:E,0)),"N/A")</f>
        <v>12140</v>
      </c>
      <c r="B3874" s="4" t="s">
        <v>702</v>
      </c>
      <c r="C3874" s="4" t="s">
        <v>283</v>
      </c>
      <c r="D3874" s="94">
        <v>1312.0</v>
      </c>
    </row>
    <row r="3875">
      <c r="A3875" s="40">
        <f t="array" ref="A3875">IFNA(index(PlayerValues!A:A,match(IFNA(vlookup(B3875,'Special Names'!A:B,2,FALSE),B3875),PlayerValues!E:E,0)),"N/A")</f>
        <v>17254</v>
      </c>
      <c r="B3875" s="4" t="s">
        <v>679</v>
      </c>
      <c r="C3875" s="4" t="s">
        <v>287</v>
      </c>
      <c r="D3875" s="94">
        <v>1309.0</v>
      </c>
    </row>
    <row r="3876">
      <c r="A3876" s="40">
        <f t="array" ref="A3876">IFNA(index(PlayerValues!A:A,match(IFNA(vlookup(B3876,'Special Names'!A:B,2,FALSE),B3876),PlayerValues!E:E,0)),"N/A")</f>
        <v>17062</v>
      </c>
      <c r="B3876" s="4" t="s">
        <v>701</v>
      </c>
      <c r="C3876" s="4" t="s">
        <v>278</v>
      </c>
      <c r="D3876" s="94">
        <v>1302.0</v>
      </c>
    </row>
    <row r="3877">
      <c r="A3877" s="40">
        <f t="array" ref="A3877">IFNA(index(PlayerValues!A:A,match(IFNA(vlookup(B3877,'Special Names'!A:B,2,FALSE),B3877),PlayerValues!E:E,0)),"N/A")</f>
        <v>12678</v>
      </c>
      <c r="B3877" s="4" t="s">
        <v>703</v>
      </c>
      <c r="C3877" s="4" t="s">
        <v>298</v>
      </c>
      <c r="D3877" s="94">
        <v>1653.0</v>
      </c>
    </row>
    <row r="3878">
      <c r="A3878" s="40">
        <f t="array" ref="A3878">IFNA(index(PlayerValues!A:A,match(IFNA(vlookup(B3878,'Special Names'!A:B,2,FALSE),B3878),PlayerValues!E:E,0)),"N/A")</f>
        <v>13418</v>
      </c>
      <c r="B3878" s="4" t="s">
        <v>706</v>
      </c>
      <c r="C3878" s="4" t="s">
        <v>287</v>
      </c>
      <c r="D3878" s="94">
        <v>1275.0</v>
      </c>
    </row>
    <row r="3879">
      <c r="A3879" s="40">
        <f t="array" ref="A3879">IFNA(index(PlayerValues!A:A,match(IFNA(vlookup(B3879,'Special Names'!A:B,2,FALSE),B3879),PlayerValues!E:E,0)),"N/A")</f>
        <v>15252</v>
      </c>
      <c r="B3879" s="4" t="s">
        <v>715</v>
      </c>
      <c r="C3879" s="4" t="s">
        <v>283</v>
      </c>
      <c r="D3879" s="94">
        <v>1270.0</v>
      </c>
    </row>
    <row r="3880">
      <c r="A3880" s="40" t="str">
        <f t="array" ref="A3880">IFNA(index(PlayerValues!A:A,match(IFNA(vlookup(B3880,'Special Names'!A:B,2,FALSE),B3880),PlayerValues!E:E,0)),"N/A")</f>
        <v>N/A</v>
      </c>
      <c r="B3880" s="4" t="s">
        <v>117</v>
      </c>
      <c r="C3880" s="4" t="s">
        <v>325</v>
      </c>
      <c r="D3880" s="94">
        <v>1261.0</v>
      </c>
    </row>
    <row r="3881">
      <c r="A3881" s="40">
        <f t="array" ref="A3881">IFNA(index(PlayerValues!A:A,match(IFNA(vlookup(B3881,'Special Names'!A:B,2,FALSE),B3881),PlayerValues!E:E,0)),"N/A")</f>
        <v>12141</v>
      </c>
      <c r="B3881" s="4" t="s">
        <v>744</v>
      </c>
      <c r="C3881" s="4" t="s">
        <v>283</v>
      </c>
      <c r="D3881" s="94">
        <v>1257.0</v>
      </c>
    </row>
    <row r="3882">
      <c r="A3882" s="40">
        <f t="array" ref="A3882">IFNA(index(PlayerValues!A:A,match(IFNA(vlookup(B3882,'Special Names'!A:B,2,FALSE),B3882),PlayerValues!E:E,0)),"N/A")</f>
        <v>16645</v>
      </c>
      <c r="B3882" s="4" t="s">
        <v>651</v>
      </c>
      <c r="C3882" s="4" t="s">
        <v>298</v>
      </c>
      <c r="D3882" s="94">
        <v>1624.0</v>
      </c>
    </row>
    <row r="3883">
      <c r="A3883" s="40">
        <f t="array" ref="A3883">IFNA(index(PlayerValues!A:A,match(IFNA(vlookup(B3883,'Special Names'!A:B,2,FALSE),B3883),PlayerValues!E:E,0)),"N/A")</f>
        <v>14592</v>
      </c>
      <c r="B3883" s="4" t="s">
        <v>705</v>
      </c>
      <c r="C3883" s="4" t="s">
        <v>287</v>
      </c>
      <c r="D3883" s="94">
        <v>1256.0</v>
      </c>
    </row>
    <row r="3884">
      <c r="A3884" s="40">
        <f t="array" ref="A3884">IFNA(index(PlayerValues!A:A,match(IFNA(vlookup(B3884,'Special Names'!A:B,2,FALSE),B3884),PlayerValues!E:E,0)),"N/A")</f>
        <v>14080</v>
      </c>
      <c r="B3884" s="4" t="s">
        <v>716</v>
      </c>
      <c r="C3884" s="4" t="s">
        <v>278</v>
      </c>
      <c r="D3884" s="94">
        <v>1246.0</v>
      </c>
    </row>
    <row r="3885">
      <c r="A3885" s="40">
        <f t="array" ref="A3885">IFNA(index(PlayerValues!A:A,match(IFNA(vlookup(B3885,'Special Names'!A:B,2,FALSE),B3885),PlayerValues!E:E,0)),"N/A")</f>
        <v>15332</v>
      </c>
      <c r="B3885" s="4" t="s">
        <v>698</v>
      </c>
      <c r="C3885" s="4" t="s">
        <v>298</v>
      </c>
      <c r="D3885" s="94">
        <v>1613.0</v>
      </c>
    </row>
    <row r="3886">
      <c r="A3886" s="40">
        <f t="array" ref="A3886">IFNA(index(PlayerValues!A:A,match(IFNA(vlookup(B3886,'Special Names'!A:B,2,FALSE),B3886),PlayerValues!E:E,0)),"N/A")</f>
        <v>14095</v>
      </c>
      <c r="B3886" s="4" t="s">
        <v>680</v>
      </c>
      <c r="C3886" s="4" t="s">
        <v>278</v>
      </c>
      <c r="D3886" s="94">
        <v>1245.0</v>
      </c>
    </row>
    <row r="3887">
      <c r="A3887" s="40">
        <f t="array" ref="A3887">IFNA(index(PlayerValues!A:A,match(IFNA(vlookup(B3887,'Special Names'!A:B,2,FALSE),B3887),PlayerValues!E:E,0)),"N/A")</f>
        <v>16149</v>
      </c>
      <c r="B3887" s="4" t="s">
        <v>740</v>
      </c>
      <c r="C3887" s="4" t="s">
        <v>283</v>
      </c>
      <c r="D3887" s="94">
        <v>1239.0</v>
      </c>
    </row>
    <row r="3888">
      <c r="A3888" s="40">
        <f t="array" ref="A3888">IFNA(index(PlayerValues!A:A,match(IFNA(vlookup(B3888,'Special Names'!A:B,2,FALSE),B3888),PlayerValues!E:E,0)),"N/A")</f>
        <v>11222</v>
      </c>
      <c r="B3888" s="4" t="s">
        <v>622</v>
      </c>
      <c r="C3888" s="4" t="s">
        <v>287</v>
      </c>
      <c r="D3888" s="94">
        <v>1233.0</v>
      </c>
    </row>
    <row r="3889">
      <c r="A3889" s="40">
        <f t="array" ref="A3889">IFNA(index(PlayerValues!A:A,match(IFNA(vlookup(B3889,'Special Names'!A:B,2,FALSE),B3889),PlayerValues!E:E,0)),"N/A")</f>
        <v>15702</v>
      </c>
      <c r="B3889" s="4" t="s">
        <v>723</v>
      </c>
      <c r="C3889" s="4" t="s">
        <v>283</v>
      </c>
      <c r="D3889" s="94">
        <v>1225.0</v>
      </c>
    </row>
    <row r="3890">
      <c r="A3890" s="40">
        <f t="array" ref="A3890">IFNA(index(PlayerValues!A:A,match(IFNA(vlookup(B3890,'Special Names'!A:B,2,FALSE),B3890),PlayerValues!E:E,0)),"N/A")</f>
        <v>16636</v>
      </c>
      <c r="B3890" s="4" t="s">
        <v>699</v>
      </c>
      <c r="C3890" s="4" t="s">
        <v>287</v>
      </c>
      <c r="D3890" s="94">
        <v>1224.0</v>
      </c>
    </row>
    <row r="3891">
      <c r="A3891" s="40">
        <f t="array" ref="A3891">IFNA(index(PlayerValues!A:A,match(IFNA(vlookup(B3891,'Special Names'!A:B,2,FALSE),B3891),PlayerValues!E:E,0)),"N/A")</f>
        <v>17097</v>
      </c>
      <c r="B3891" s="4" t="s">
        <v>659</v>
      </c>
      <c r="C3891" s="4" t="s">
        <v>287</v>
      </c>
      <c r="D3891" s="94">
        <v>1221.0</v>
      </c>
    </row>
    <row r="3892">
      <c r="A3892" s="40">
        <f t="array" ref="A3892">IFNA(index(PlayerValues!A:A,match(IFNA(vlookup(B3892,'Special Names'!A:B,2,FALSE),B3892),PlayerValues!E:E,0)),"N/A")</f>
        <v>17077</v>
      </c>
      <c r="B3892" s="4" t="s">
        <v>714</v>
      </c>
      <c r="C3892" s="4" t="s">
        <v>287</v>
      </c>
      <c r="D3892" s="94">
        <v>1219.0</v>
      </c>
    </row>
    <row r="3893">
      <c r="A3893" s="40">
        <f t="array" ref="A3893">IFNA(index(PlayerValues!A:A,match(IFNA(vlookup(B3893,'Special Names'!A:B,2,FALSE),B3893),PlayerValues!E:E,0)),"N/A")</f>
        <v>16746</v>
      </c>
      <c r="B3893" s="4" t="s">
        <v>709</v>
      </c>
      <c r="C3893" s="4" t="s">
        <v>278</v>
      </c>
      <c r="D3893" s="94">
        <v>1213.0</v>
      </c>
    </row>
    <row r="3894">
      <c r="A3894" s="40">
        <f t="array" ref="A3894">IFNA(index(PlayerValues!A:A,match(IFNA(vlookup(B3894,'Special Names'!A:B,2,FALSE),B3894),PlayerValues!E:E,0)),"N/A")</f>
        <v>16183</v>
      </c>
      <c r="B3894" s="4" t="s">
        <v>678</v>
      </c>
      <c r="C3894" s="4" t="s">
        <v>287</v>
      </c>
      <c r="D3894" s="94">
        <v>1212.0</v>
      </c>
    </row>
    <row r="3895">
      <c r="A3895" s="40">
        <f t="array" ref="A3895">IFNA(index(PlayerValues!A:A,match(IFNA(vlookup(B3895,'Special Names'!A:B,2,FALSE),B3895),PlayerValues!E:E,0)),"N/A")</f>
        <v>14789</v>
      </c>
      <c r="B3895" s="4" t="s">
        <v>721</v>
      </c>
      <c r="C3895" s="4" t="s">
        <v>283</v>
      </c>
      <c r="D3895" s="94">
        <v>1210.0</v>
      </c>
    </row>
    <row r="3896">
      <c r="A3896" s="40">
        <f t="array" ref="A3896">IFNA(index(PlayerValues!A:A,match(IFNA(vlookup(B3896,'Special Names'!A:B,2,FALSE),B3896),PlayerValues!E:E,0)),"N/A")</f>
        <v>16333</v>
      </c>
      <c r="B3896" s="4" t="s">
        <v>711</v>
      </c>
      <c r="C3896" s="4" t="s">
        <v>298</v>
      </c>
      <c r="D3896" s="94">
        <v>1566.0</v>
      </c>
    </row>
    <row r="3897">
      <c r="A3897" s="40">
        <f t="array" ref="A3897">IFNA(index(PlayerValues!A:A,match(IFNA(vlookup(B3897,'Special Names'!A:B,2,FALSE),B3897),PlayerValues!E:E,0)),"N/A")</f>
        <v>17652</v>
      </c>
      <c r="B3897" s="4" t="s">
        <v>576</v>
      </c>
      <c r="C3897" s="4" t="s">
        <v>278</v>
      </c>
      <c r="D3897" s="94">
        <v>1197.0</v>
      </c>
    </row>
    <row r="3898">
      <c r="A3898" s="40">
        <f t="array" ref="A3898">IFNA(index(PlayerValues!A:A,match(IFNA(vlookup(B3898,'Special Names'!A:B,2,FALSE),B3898),PlayerValues!E:E,0)),"N/A")</f>
        <v>16883</v>
      </c>
      <c r="B3898" s="4" t="s">
        <v>683</v>
      </c>
      <c r="C3898" s="4" t="s">
        <v>287</v>
      </c>
      <c r="D3898" s="94">
        <v>1196.0</v>
      </c>
    </row>
    <row r="3899">
      <c r="A3899" s="40">
        <f t="array" ref="A3899">IFNA(index(PlayerValues!A:A,match(IFNA(vlookup(B3899,'Special Names'!A:B,2,FALSE),B3899),PlayerValues!E:E,0)),"N/A")</f>
        <v>17269</v>
      </c>
      <c r="B3899" s="4" t="s">
        <v>718</v>
      </c>
      <c r="C3899" s="4" t="s">
        <v>287</v>
      </c>
      <c r="D3899" s="94">
        <v>1192.0</v>
      </c>
    </row>
    <row r="3900">
      <c r="A3900" s="40">
        <f t="array" ref="A3900">IFNA(index(PlayerValues!A:A,match(IFNA(vlookup(B3900,'Special Names'!A:B,2,FALSE),B3900),PlayerValues!E:E,0)),"N/A")</f>
        <v>17109</v>
      </c>
      <c r="B3900" s="4" t="s">
        <v>707</v>
      </c>
      <c r="C3900" s="4" t="s">
        <v>298</v>
      </c>
      <c r="D3900" s="94">
        <v>1550.0</v>
      </c>
    </row>
    <row r="3901">
      <c r="A3901" s="40">
        <f t="array" ref="A3901">IFNA(index(PlayerValues!A:A,match(IFNA(vlookup(B3901,'Special Names'!A:B,2,FALSE),B3901),PlayerValues!E:E,0)),"N/A")</f>
        <v>17063</v>
      </c>
      <c r="B3901" s="4" t="s">
        <v>686</v>
      </c>
      <c r="C3901" s="4" t="s">
        <v>278</v>
      </c>
      <c r="D3901" s="94">
        <v>1179.0</v>
      </c>
    </row>
    <row r="3902">
      <c r="A3902" s="40">
        <f t="array" ref="A3902">IFNA(index(PlayerValues!A:A,match(IFNA(vlookup(B3902,'Special Names'!A:B,2,FALSE),B3902),PlayerValues!E:E,0)),"N/A")</f>
        <v>17546</v>
      </c>
      <c r="B3902" s="4" t="s">
        <v>671</v>
      </c>
      <c r="C3902" s="4" t="s">
        <v>298</v>
      </c>
      <c r="D3902" s="94">
        <v>1534.0</v>
      </c>
    </row>
    <row r="3903">
      <c r="A3903" s="40">
        <f t="array" ref="A3903">IFNA(index(PlayerValues!A:A,match(IFNA(vlookup(B3903,'Special Names'!A:B,2,FALSE),B3903),PlayerValues!E:E,0)),"N/A")</f>
        <v>17057</v>
      </c>
      <c r="B3903" s="4" t="s">
        <v>708</v>
      </c>
      <c r="C3903" s="4" t="s">
        <v>278</v>
      </c>
      <c r="D3903" s="94">
        <v>1164.0</v>
      </c>
    </row>
    <row r="3904">
      <c r="A3904" s="40">
        <f t="array" ref="A3904">IFNA(index(PlayerValues!A:A,match(IFNA(vlookup(B3904,'Special Names'!A:B,2,FALSE),B3904),PlayerValues!E:E,0)),"N/A")</f>
        <v>17510</v>
      </c>
      <c r="B3904" s="4" t="s">
        <v>661</v>
      </c>
      <c r="C3904" s="4" t="s">
        <v>287</v>
      </c>
      <c r="D3904" s="94">
        <v>1157.0</v>
      </c>
    </row>
    <row r="3905">
      <c r="A3905" s="40">
        <f t="array" ref="A3905">IFNA(index(PlayerValues!A:A,match(IFNA(vlookup(B3905,'Special Names'!A:B,2,FALSE),B3905),PlayerValues!E:E,0)),"N/A")</f>
        <v>15288</v>
      </c>
      <c r="B3905" s="4" t="s">
        <v>700</v>
      </c>
      <c r="C3905" s="4" t="s">
        <v>287</v>
      </c>
      <c r="D3905" s="94">
        <v>1153.0</v>
      </c>
    </row>
    <row r="3906">
      <c r="A3906" s="40">
        <f t="array" ref="A3906">IFNA(index(PlayerValues!A:A,match(IFNA(vlookup(B3906,'Special Names'!A:B,2,FALSE),B3906),PlayerValues!E:E,0)),"N/A")</f>
        <v>16385</v>
      </c>
      <c r="B3906" s="4" t="s">
        <v>690</v>
      </c>
      <c r="C3906" s="4" t="s">
        <v>278</v>
      </c>
      <c r="D3906" s="94">
        <v>1152.0</v>
      </c>
    </row>
    <row r="3907">
      <c r="A3907" s="40">
        <f t="array" ref="A3907">IFNA(index(PlayerValues!A:A,match(IFNA(vlookup(B3907,'Special Names'!A:B,2,FALSE),B3907),PlayerValues!E:E,0)),"N/A")</f>
        <v>14108</v>
      </c>
      <c r="B3907" s="4" t="s">
        <v>673</v>
      </c>
      <c r="C3907" s="4" t="s">
        <v>287</v>
      </c>
      <c r="D3907" s="94">
        <v>1147.0</v>
      </c>
    </row>
    <row r="3908">
      <c r="A3908" s="40">
        <f t="array" ref="A3908">IFNA(index(PlayerValues!A:A,match(IFNA(vlookup(B3908,'Special Names'!A:B,2,FALSE),B3908),PlayerValues!E:E,0)),"N/A")</f>
        <v>16221</v>
      </c>
      <c r="B3908" s="4" t="s">
        <v>725</v>
      </c>
      <c r="C3908" s="4" t="s">
        <v>298</v>
      </c>
      <c r="D3908" s="94">
        <v>1516.0</v>
      </c>
    </row>
    <row r="3909">
      <c r="A3909" s="40">
        <f t="array" ref="A3909">IFNA(index(PlayerValues!A:A,match(IFNA(vlookup(B3909,'Special Names'!A:B,2,FALSE),B3909),PlayerValues!E:E,0)),"N/A")</f>
        <v>16199</v>
      </c>
      <c r="B3909" s="4" t="s">
        <v>687</v>
      </c>
      <c r="C3909" s="4" t="s">
        <v>287</v>
      </c>
      <c r="D3909" s="94">
        <v>1133.0</v>
      </c>
    </row>
    <row r="3910">
      <c r="A3910" s="40">
        <f t="array" ref="A3910">IFNA(index(PlayerValues!A:A,match(IFNA(vlookup(B3910,'Special Names'!A:B,2,FALSE),B3910),PlayerValues!E:E,0)),"N/A")</f>
        <v>9064</v>
      </c>
      <c r="B3910" s="4" t="s">
        <v>761</v>
      </c>
      <c r="C3910" s="4" t="s">
        <v>283</v>
      </c>
      <c r="D3910" s="94">
        <v>1126.0</v>
      </c>
    </row>
    <row r="3911">
      <c r="A3911" s="40">
        <f t="array" ref="A3911">IFNA(index(PlayerValues!A:A,match(IFNA(vlookup(B3911,'Special Names'!A:B,2,FALSE),B3911),PlayerValues!E:E,0)),"N/A")</f>
        <v>14067</v>
      </c>
      <c r="B3911" s="4" t="s">
        <v>735</v>
      </c>
      <c r="C3911" s="4" t="s">
        <v>283</v>
      </c>
      <c r="D3911" s="94">
        <v>1123.0</v>
      </c>
    </row>
    <row r="3912">
      <c r="A3912" s="40">
        <f t="array" ref="A3912">IFNA(index(PlayerValues!A:A,match(IFNA(vlookup(B3912,'Special Names'!A:B,2,FALSE),B3912),PlayerValues!E:E,0)),"N/A")</f>
        <v>15240</v>
      </c>
      <c r="B3912" s="4" t="s">
        <v>751</v>
      </c>
      <c r="C3912" s="4" t="s">
        <v>283</v>
      </c>
      <c r="D3912" s="94">
        <v>1123.0</v>
      </c>
    </row>
    <row r="3913">
      <c r="A3913" s="40">
        <f t="array" ref="A3913">IFNA(index(PlayerValues!A:A,match(IFNA(vlookup(B3913,'Special Names'!A:B,2,FALSE),B3913),PlayerValues!E:E,0)),"N/A")</f>
        <v>14845</v>
      </c>
      <c r="B3913" s="4" t="s">
        <v>717</v>
      </c>
      <c r="C3913" s="4" t="s">
        <v>287</v>
      </c>
      <c r="D3913" s="94">
        <v>1121.0</v>
      </c>
    </row>
    <row r="3914">
      <c r="A3914" s="40">
        <f t="array" ref="A3914">IFNA(index(PlayerValues!A:A,match(IFNA(vlookup(B3914,'Special Names'!A:B,2,FALSE),B3914),PlayerValues!E:E,0)),"N/A")</f>
        <v>15981</v>
      </c>
      <c r="B3914" s="4" t="s">
        <v>729</v>
      </c>
      <c r="C3914" s="4" t="s">
        <v>287</v>
      </c>
      <c r="D3914" s="94">
        <v>1114.0</v>
      </c>
    </row>
    <row r="3915">
      <c r="A3915" s="40">
        <f t="array" ref="A3915">IFNA(index(PlayerValues!A:A,match(IFNA(vlookup(B3915,'Special Names'!A:B,2,FALSE),B3915),PlayerValues!E:E,0)),"N/A")</f>
        <v>16637</v>
      </c>
      <c r="B3915" s="4" t="s">
        <v>736</v>
      </c>
      <c r="C3915" s="4" t="s">
        <v>287</v>
      </c>
      <c r="D3915" s="94">
        <v>1097.0</v>
      </c>
    </row>
    <row r="3916">
      <c r="A3916" s="40">
        <f t="array" ref="A3916">IFNA(index(PlayerValues!A:A,match(IFNA(vlookup(B3916,'Special Names'!A:B,2,FALSE),B3916),PlayerValues!E:E,0)),"N/A")</f>
        <v>17192</v>
      </c>
      <c r="B3916" s="4" t="s">
        <v>677</v>
      </c>
      <c r="C3916" s="4" t="s">
        <v>287</v>
      </c>
      <c r="D3916" s="94">
        <v>1097.0</v>
      </c>
    </row>
    <row r="3917">
      <c r="A3917" s="40">
        <f t="array" ref="A3917">IFNA(index(PlayerValues!A:A,match(IFNA(vlookup(B3917,'Special Names'!A:B,2,FALSE),B3917),PlayerValues!E:E,0)),"N/A")</f>
        <v>13289</v>
      </c>
      <c r="B3917" s="4" t="s">
        <v>746</v>
      </c>
      <c r="C3917" s="4" t="s">
        <v>287</v>
      </c>
      <c r="D3917" s="94">
        <v>1095.0</v>
      </c>
    </row>
    <row r="3918">
      <c r="A3918" s="40">
        <f t="array" ref="A3918">IFNA(index(PlayerValues!A:A,match(IFNA(vlookup(B3918,'Special Names'!A:B,2,FALSE),B3918),PlayerValues!E:E,0)),"N/A")</f>
        <v>16640</v>
      </c>
      <c r="B3918" s="4" t="s">
        <v>712</v>
      </c>
      <c r="C3918" s="4" t="s">
        <v>287</v>
      </c>
      <c r="D3918" s="94">
        <v>1088.0</v>
      </c>
    </row>
    <row r="3919">
      <c r="A3919" s="40">
        <f t="array" ref="A3919">IFNA(index(PlayerValues!A:A,match(IFNA(vlookup(B3919,'Special Names'!A:B,2,FALSE),B3919),PlayerValues!E:E,0)),"N/A")</f>
        <v>16197</v>
      </c>
      <c r="B3919" s="4" t="s">
        <v>726</v>
      </c>
      <c r="C3919" s="4" t="s">
        <v>287</v>
      </c>
      <c r="D3919" s="94">
        <v>1076.0</v>
      </c>
    </row>
    <row r="3920">
      <c r="A3920" s="40">
        <f t="array" ref="A3920">IFNA(index(PlayerValues!A:A,match(IFNA(vlookup(B3920,'Special Names'!A:B,2,FALSE),B3920),PlayerValues!E:E,0)),"N/A")</f>
        <v>17050</v>
      </c>
      <c r="B3920" s="4" t="s">
        <v>713</v>
      </c>
      <c r="C3920" s="4" t="s">
        <v>278</v>
      </c>
      <c r="D3920" s="94">
        <v>1076.0</v>
      </c>
    </row>
    <row r="3921">
      <c r="A3921" s="40">
        <f t="array" ref="A3921">IFNA(index(PlayerValues!A:A,match(IFNA(vlookup(B3921,'Special Names'!A:B,2,FALSE),B3921),PlayerValues!E:E,0)),"N/A")</f>
        <v>15693</v>
      </c>
      <c r="B3921" s="4" t="s">
        <v>755</v>
      </c>
      <c r="C3921" s="4" t="s">
        <v>283</v>
      </c>
      <c r="D3921" s="94">
        <v>1072.0</v>
      </c>
    </row>
    <row r="3922">
      <c r="A3922" s="40">
        <f t="array" ref="A3922">IFNA(index(PlayerValues!A:A,match(IFNA(vlookup(B3922,'Special Names'!A:B,2,FALSE),B3922),PlayerValues!E:E,0)),"N/A")</f>
        <v>15727</v>
      </c>
      <c r="B3922" s="4" t="s">
        <v>730</v>
      </c>
      <c r="C3922" s="4" t="s">
        <v>278</v>
      </c>
      <c r="D3922" s="94">
        <v>1056.0</v>
      </c>
    </row>
    <row r="3923">
      <c r="A3923" s="40">
        <f t="array" ref="A3923">IFNA(index(PlayerValues!A:A,match(IFNA(vlookup(B3923,'Special Names'!A:B,2,FALSE),B3923),PlayerValues!E:E,0)),"N/A")</f>
        <v>15692</v>
      </c>
      <c r="B3923" s="4" t="s">
        <v>750</v>
      </c>
      <c r="C3923" s="4" t="s">
        <v>283</v>
      </c>
      <c r="D3923" s="94">
        <v>1050.0</v>
      </c>
    </row>
    <row r="3924">
      <c r="A3924" s="40">
        <f t="array" ref="A3924">IFNA(index(PlayerValues!A:A,match(IFNA(vlookup(B3924,'Special Names'!A:B,2,FALSE),B3924),PlayerValues!E:E,0)),"N/A")</f>
        <v>13131</v>
      </c>
      <c r="B3924" s="4" t="s">
        <v>815</v>
      </c>
      <c r="C3924" s="4" t="s">
        <v>278</v>
      </c>
      <c r="D3924" s="94">
        <v>1047.0</v>
      </c>
    </row>
    <row r="3925">
      <c r="A3925" s="40">
        <f t="array" ref="A3925">IFNA(index(PlayerValues!A:A,match(IFNA(vlookup(B3925,'Special Names'!A:B,2,FALSE),B3925),PlayerValues!E:E,0)),"N/A")</f>
        <v>17475</v>
      </c>
      <c r="B3925" s="4" t="s">
        <v>615</v>
      </c>
      <c r="C3925" s="4" t="s">
        <v>278</v>
      </c>
      <c r="D3925" s="94">
        <v>1035.0</v>
      </c>
    </row>
    <row r="3926">
      <c r="A3926" s="40">
        <f t="array" ref="A3926">IFNA(index(PlayerValues!A:A,match(IFNA(vlookup(B3926,'Special Names'!A:B,2,FALSE),B3926),PlayerValues!E:E,0)),"N/A")</f>
        <v>14849</v>
      </c>
      <c r="B3926" s="4" t="s">
        <v>733</v>
      </c>
      <c r="C3926" s="4" t="s">
        <v>287</v>
      </c>
      <c r="D3926" s="94">
        <v>1034.0</v>
      </c>
    </row>
    <row r="3927">
      <c r="A3927" s="40">
        <f t="array" ref="A3927">IFNA(index(PlayerValues!A:A,match(IFNA(vlookup(B3927,'Special Names'!A:B,2,FALSE),B3927),PlayerValues!E:E,0)),"N/A")</f>
        <v>15730</v>
      </c>
      <c r="B3927" s="4" t="s">
        <v>734</v>
      </c>
      <c r="C3927" s="4" t="s">
        <v>278</v>
      </c>
      <c r="D3927" s="94">
        <v>1034.0</v>
      </c>
    </row>
    <row r="3928">
      <c r="A3928" s="40">
        <f t="array" ref="A3928">IFNA(index(PlayerValues!A:A,match(IFNA(vlookup(B3928,'Special Names'!A:B,2,FALSE),B3928),PlayerValues!E:E,0)),"N/A")</f>
        <v>16170</v>
      </c>
      <c r="B3928" s="4" t="s">
        <v>801</v>
      </c>
      <c r="C3928" s="4" t="s">
        <v>278</v>
      </c>
      <c r="D3928" s="94">
        <v>1021.0</v>
      </c>
    </row>
    <row r="3929">
      <c r="A3929" s="40">
        <f t="array" ref="A3929">IFNA(index(PlayerValues!A:A,match(IFNA(vlookup(B3929,'Special Names'!A:B,2,FALSE),B3929),PlayerValues!E:E,0)),"N/A")</f>
        <v>16393</v>
      </c>
      <c r="B3929" s="4" t="s">
        <v>768</v>
      </c>
      <c r="C3929" s="4" t="s">
        <v>287</v>
      </c>
      <c r="D3929" s="94">
        <v>1020.0</v>
      </c>
    </row>
    <row r="3930">
      <c r="A3930" s="40">
        <f t="array" ref="A3930">IFNA(index(PlayerValues!A:A,match(IFNA(vlookup(B3930,'Special Names'!A:B,2,FALSE),B3930),PlayerValues!E:E,0)),"N/A")</f>
        <v>15795</v>
      </c>
      <c r="B3930" s="4" t="s">
        <v>669</v>
      </c>
      <c r="C3930" s="4" t="s">
        <v>298</v>
      </c>
      <c r="D3930" s="94">
        <v>1383.0</v>
      </c>
    </row>
    <row r="3931">
      <c r="A3931" s="40">
        <f t="array" ref="A3931">IFNA(index(PlayerValues!A:A,match(IFNA(vlookup(B3931,'Special Names'!A:B,2,FALSE),B3931),PlayerValues!E:E,0)),"N/A")</f>
        <v>15330</v>
      </c>
      <c r="B3931" s="4" t="s">
        <v>749</v>
      </c>
      <c r="C3931" s="4" t="s">
        <v>298</v>
      </c>
      <c r="D3931" s="94">
        <v>1374.0</v>
      </c>
    </row>
    <row r="3932">
      <c r="A3932" s="40">
        <f t="array" ref="A3932">IFNA(index(PlayerValues!A:A,match(IFNA(vlookup(B3932,'Special Names'!A:B,2,FALSE),B3932),PlayerValues!E:E,0)),"N/A")</f>
        <v>17657</v>
      </c>
      <c r="B3932" s="4" t="s">
        <v>642</v>
      </c>
      <c r="C3932" s="4" t="s">
        <v>283</v>
      </c>
      <c r="D3932" s="94">
        <v>1008.0</v>
      </c>
    </row>
    <row r="3933">
      <c r="A3933" s="40">
        <f t="array" ref="A3933">IFNA(index(PlayerValues!A:A,match(IFNA(vlookup(B3933,'Special Names'!A:B,2,FALSE),B3933),PlayerValues!E:E,0)),"N/A")</f>
        <v>16648</v>
      </c>
      <c r="B3933" s="4" t="s">
        <v>748</v>
      </c>
      <c r="C3933" s="4" t="s">
        <v>298</v>
      </c>
      <c r="D3933" s="94">
        <v>1374.0</v>
      </c>
    </row>
    <row r="3934">
      <c r="A3934" s="40">
        <f t="array" ref="A3934">IFNA(index(PlayerValues!A:A,match(IFNA(vlookup(B3934,'Special Names'!A:B,2,FALSE),B3934),PlayerValues!E:E,0)),"N/A")</f>
        <v>16451</v>
      </c>
      <c r="B3934" s="4" t="s">
        <v>769</v>
      </c>
      <c r="C3934" s="4" t="s">
        <v>287</v>
      </c>
      <c r="D3934" s="94">
        <v>1000.0</v>
      </c>
    </row>
    <row r="3935">
      <c r="A3935" s="40">
        <f t="array" ref="A3935">IFNA(index(PlayerValues!A:A,match(IFNA(vlookup(B3935,'Special Names'!A:B,2,FALSE),B3935),PlayerValues!E:E,0)),"N/A")</f>
        <v>17175</v>
      </c>
      <c r="B3935" s="4" t="s">
        <v>747</v>
      </c>
      <c r="C3935" s="4" t="s">
        <v>287</v>
      </c>
      <c r="D3935" s="94">
        <v>999.0</v>
      </c>
    </row>
    <row r="3936">
      <c r="A3936" s="40">
        <f t="array" ref="A3936">IFNA(index(PlayerValues!A:A,match(IFNA(vlookup(B3936,'Special Names'!A:B,2,FALSE),B3936),PlayerValues!E:E,0)),"N/A")</f>
        <v>16168</v>
      </c>
      <c r="B3936" s="4" t="s">
        <v>738</v>
      </c>
      <c r="C3936" s="4" t="s">
        <v>278</v>
      </c>
      <c r="D3936" s="94">
        <v>997.0</v>
      </c>
    </row>
    <row r="3937">
      <c r="A3937" s="40">
        <f t="array" ref="A3937">IFNA(index(PlayerValues!A:A,match(IFNA(vlookup(B3937,'Special Names'!A:B,2,FALSE),B3937),PlayerValues!E:E,0)),"N/A")</f>
        <v>15717</v>
      </c>
      <c r="B3937" s="4" t="s">
        <v>745</v>
      </c>
      <c r="C3937" s="4" t="s">
        <v>278</v>
      </c>
      <c r="D3937" s="94">
        <v>993.0</v>
      </c>
    </row>
    <row r="3938">
      <c r="A3938" s="40">
        <f t="array" ref="A3938">IFNA(index(PlayerValues!A:A,match(IFNA(vlookup(B3938,'Special Names'!A:B,2,FALSE),B3938),PlayerValues!E:E,0)),"N/A")</f>
        <v>15109</v>
      </c>
      <c r="B3938" s="4" t="s">
        <v>728</v>
      </c>
      <c r="C3938" s="4" t="s">
        <v>287</v>
      </c>
      <c r="D3938" s="94">
        <v>989.0</v>
      </c>
    </row>
    <row r="3939">
      <c r="A3939" s="40">
        <f t="array" ref="A3939">IFNA(index(PlayerValues!A:A,match(IFNA(vlookup(B3939,'Special Names'!A:B,2,FALSE),B3939),PlayerValues!E:E,0)),"N/A")</f>
        <v>15766</v>
      </c>
      <c r="B3939" s="4" t="s">
        <v>759</v>
      </c>
      <c r="C3939" s="4" t="s">
        <v>287</v>
      </c>
      <c r="D3939" s="94">
        <v>984.0</v>
      </c>
    </row>
    <row r="3940">
      <c r="A3940" s="40">
        <f t="array" ref="A3940">IFNA(index(PlayerValues!A:A,match(IFNA(vlookup(B3940,'Special Names'!A:B,2,FALSE),B3940),PlayerValues!E:E,0)),"N/A")</f>
        <v>13193</v>
      </c>
      <c r="B3940" s="4" t="s">
        <v>773</v>
      </c>
      <c r="C3940" s="4" t="s">
        <v>298</v>
      </c>
      <c r="D3940" s="94">
        <v>1346.0</v>
      </c>
    </row>
    <row r="3941">
      <c r="A3941" s="40">
        <f t="array" ref="A3941">IFNA(index(PlayerValues!A:A,match(IFNA(vlookup(B3941,'Special Names'!A:B,2,FALSE),B3941),PlayerValues!E:E,0)),"N/A")</f>
        <v>15785</v>
      </c>
      <c r="B3941" s="4" t="s">
        <v>763</v>
      </c>
      <c r="C3941" s="4" t="s">
        <v>287</v>
      </c>
      <c r="D3941" s="94">
        <v>978.0</v>
      </c>
    </row>
    <row r="3942">
      <c r="A3942" s="40">
        <f t="array" ref="A3942">IFNA(index(PlayerValues!A:A,match(IFNA(vlookup(B3942,'Special Names'!A:B,2,FALSE),B3942),PlayerValues!E:E,0)),"N/A")</f>
        <v>15258</v>
      </c>
      <c r="B3942" s="4" t="s">
        <v>757</v>
      </c>
      <c r="C3942" s="4" t="s">
        <v>278</v>
      </c>
      <c r="D3942" s="94">
        <v>976.0</v>
      </c>
    </row>
    <row r="3943">
      <c r="A3943" s="40">
        <f t="array" ref="A3943">IFNA(index(PlayerValues!A:A,match(IFNA(vlookup(B3943,'Special Names'!A:B,2,FALSE),B3943),PlayerValues!E:E,0)),"N/A")</f>
        <v>15718</v>
      </c>
      <c r="B3943" s="4" t="s">
        <v>753</v>
      </c>
      <c r="C3943" s="4" t="s">
        <v>278</v>
      </c>
      <c r="D3943" s="94">
        <v>976.0</v>
      </c>
    </row>
    <row r="3944">
      <c r="A3944" s="40">
        <f t="array" ref="A3944">IFNA(index(PlayerValues!A:A,match(IFNA(vlookup(B3944,'Special Names'!A:B,2,FALSE),B3944),PlayerValues!E:E,0)),"N/A")</f>
        <v>15758</v>
      </c>
      <c r="B3944" s="4" t="s">
        <v>724</v>
      </c>
      <c r="C3944" s="4" t="s">
        <v>287</v>
      </c>
      <c r="D3944" s="94">
        <v>964.0</v>
      </c>
    </row>
    <row r="3945">
      <c r="A3945" s="40">
        <f t="array" ref="A3945">IFNA(index(PlayerValues!A:A,match(IFNA(vlookup(B3945,'Special Names'!A:B,2,FALSE),B3945),PlayerValues!E:E,0)),"N/A")</f>
        <v>16678</v>
      </c>
      <c r="B3945" s="4" t="s">
        <v>758</v>
      </c>
      <c r="C3945" s="4" t="s">
        <v>278</v>
      </c>
      <c r="D3945" s="94">
        <v>963.0</v>
      </c>
    </row>
    <row r="3946">
      <c r="A3946" s="40">
        <f t="array" ref="A3946">IFNA(index(PlayerValues!A:A,match(IFNA(vlookup(B3946,'Special Names'!A:B,2,FALSE),B3946),PlayerValues!E:E,0)),"N/A")</f>
        <v>17504</v>
      </c>
      <c r="B3946" s="4" t="s">
        <v>693</v>
      </c>
      <c r="C3946" s="4" t="s">
        <v>287</v>
      </c>
      <c r="D3946" s="94">
        <v>952.0</v>
      </c>
    </row>
    <row r="3947">
      <c r="A3947" s="40">
        <f t="array" ref="A3947">IFNA(index(PlayerValues!A:A,match(IFNA(vlookup(B3947,'Special Names'!A:B,2,FALSE),B3947),PlayerValues!E:E,0)),"N/A")</f>
        <v>14057</v>
      </c>
      <c r="B3947" s="4" t="s">
        <v>765</v>
      </c>
      <c r="C3947" s="4" t="s">
        <v>283</v>
      </c>
      <c r="D3947" s="94">
        <v>951.0</v>
      </c>
    </row>
    <row r="3948">
      <c r="A3948" s="40">
        <f t="array" ref="A3948">IFNA(index(PlayerValues!A:A,match(IFNA(vlookup(B3948,'Special Names'!A:B,2,FALSE),B3948),PlayerValues!E:E,0)),"N/A")</f>
        <v>15239</v>
      </c>
      <c r="B3948" s="4" t="s">
        <v>802</v>
      </c>
      <c r="C3948" s="4" t="s">
        <v>283</v>
      </c>
      <c r="D3948" s="94">
        <v>942.0</v>
      </c>
    </row>
    <row r="3949">
      <c r="A3949" s="40">
        <f t="array" ref="A3949">IFNA(index(PlayerValues!A:A,match(IFNA(vlookup(B3949,'Special Names'!A:B,2,FALSE),B3949),PlayerValues!E:E,0)),"N/A")</f>
        <v>16205</v>
      </c>
      <c r="B3949" s="4" t="s">
        <v>742</v>
      </c>
      <c r="C3949" s="4" t="s">
        <v>287</v>
      </c>
      <c r="D3949" s="94">
        <v>941.0</v>
      </c>
    </row>
    <row r="3950">
      <c r="A3950" s="40">
        <f t="array" ref="A3950">IFNA(index(PlayerValues!A:A,match(IFNA(vlookup(B3950,'Special Names'!A:B,2,FALSE),B3950),PlayerValues!E:E,0)),"N/A")</f>
        <v>14118</v>
      </c>
      <c r="B3950" s="4" t="s">
        <v>771</v>
      </c>
      <c r="C3950" s="4" t="s">
        <v>287</v>
      </c>
      <c r="D3950" s="94">
        <v>937.0</v>
      </c>
    </row>
    <row r="3951">
      <c r="A3951" s="40">
        <f t="array" ref="A3951">IFNA(index(PlayerValues!A:A,match(IFNA(vlookup(B3951,'Special Names'!A:B,2,FALSE),B3951),PlayerValues!E:E,0)),"N/A")</f>
        <v>11247</v>
      </c>
      <c r="B3951" s="4" t="s">
        <v>816</v>
      </c>
      <c r="C3951" s="4" t="s">
        <v>298</v>
      </c>
      <c r="D3951" s="94">
        <v>1295.0</v>
      </c>
    </row>
    <row r="3952">
      <c r="A3952" s="40">
        <f t="array" ref="A3952">IFNA(index(PlayerValues!A:A,match(IFNA(vlookup(B3952,'Special Names'!A:B,2,FALSE),B3952),PlayerValues!E:E,0)),"N/A")</f>
        <v>17518</v>
      </c>
      <c r="B3952" s="4" t="s">
        <v>482</v>
      </c>
      <c r="C3952" s="4" t="s">
        <v>287</v>
      </c>
      <c r="D3952" s="94">
        <v>922.0</v>
      </c>
    </row>
    <row r="3953">
      <c r="A3953" s="40">
        <f t="array" ref="A3953">IFNA(index(PlayerValues!A:A,match(IFNA(vlookup(B3953,'Special Names'!A:B,2,FALSE),B3953),PlayerValues!E:E,0)),"N/A")</f>
        <v>17487</v>
      </c>
      <c r="B3953" s="4" t="s">
        <v>692</v>
      </c>
      <c r="C3953" s="4" t="s">
        <v>278</v>
      </c>
      <c r="D3953" s="94">
        <v>918.0</v>
      </c>
    </row>
    <row r="3954">
      <c r="A3954" s="40">
        <f t="array" ref="A3954">IFNA(index(PlayerValues!A:A,match(IFNA(vlookup(B3954,'Special Names'!A:B,2,FALSE),B3954),PlayerValues!E:E,0)),"N/A")</f>
        <v>16858</v>
      </c>
      <c r="B3954" s="4" t="s">
        <v>754</v>
      </c>
      <c r="C3954" s="4" t="s">
        <v>287</v>
      </c>
      <c r="D3954" s="94">
        <v>912.0</v>
      </c>
    </row>
    <row r="3955">
      <c r="A3955" s="40">
        <f t="array" ref="A3955">IFNA(index(PlayerValues!A:A,match(IFNA(vlookup(B3955,'Special Names'!A:B,2,FALSE),B3955),PlayerValues!E:E,0)),"N/A")</f>
        <v>15626</v>
      </c>
      <c r="B3955" s="4" t="s">
        <v>766</v>
      </c>
      <c r="C3955" s="4" t="s">
        <v>298</v>
      </c>
      <c r="D3955" s="94">
        <v>1260.0</v>
      </c>
    </row>
    <row r="3956">
      <c r="A3956" s="40">
        <f t="array" ref="A3956">IFNA(index(PlayerValues!A:A,match(IFNA(vlookup(B3956,'Special Names'!A:B,2,FALSE),B3956),PlayerValues!E:E,0)),"N/A")</f>
        <v>16219</v>
      </c>
      <c r="B3956" s="4" t="s">
        <v>739</v>
      </c>
      <c r="C3956" s="4" t="s">
        <v>298</v>
      </c>
      <c r="D3956" s="94">
        <v>1250.0</v>
      </c>
    </row>
    <row r="3957">
      <c r="A3957" s="40">
        <f t="array" ref="A3957">IFNA(index(PlayerValues!A:A,match(IFNA(vlookup(B3957,'Special Names'!A:B,2,FALSE),B3957),PlayerValues!E:E,0)),"N/A")</f>
        <v>17479</v>
      </c>
      <c r="B3957" s="4" t="s">
        <v>756</v>
      </c>
      <c r="C3957" s="4" t="s">
        <v>278</v>
      </c>
      <c r="D3957" s="94">
        <v>884.0</v>
      </c>
    </row>
    <row r="3958">
      <c r="A3958" s="40">
        <f t="array" ref="A3958">IFNA(index(PlayerValues!A:A,match(IFNA(vlookup(B3958,'Special Names'!A:B,2,FALSE),B3958),PlayerValues!E:E,0)),"N/A")</f>
        <v>15720</v>
      </c>
      <c r="B3958" s="4" t="s">
        <v>795</v>
      </c>
      <c r="C3958" s="4" t="s">
        <v>278</v>
      </c>
      <c r="D3958" s="94">
        <v>874.0</v>
      </c>
    </row>
    <row r="3959">
      <c r="A3959" s="40">
        <f t="array" ref="A3959">IFNA(index(PlayerValues!A:A,match(IFNA(vlookup(B3959,'Special Names'!A:B,2,FALSE),B3959),PlayerValues!E:E,0)),"N/A")</f>
        <v>16624</v>
      </c>
      <c r="B3959" s="4" t="s">
        <v>796</v>
      </c>
      <c r="C3959" s="4" t="s">
        <v>287</v>
      </c>
      <c r="D3959" s="94">
        <v>872.0</v>
      </c>
    </row>
    <row r="3960">
      <c r="A3960" s="40">
        <f t="array" ref="A3960">IFNA(index(PlayerValues!A:A,match(IFNA(vlookup(B3960,'Special Names'!A:B,2,FALSE),B3960),PlayerValues!E:E,0)),"N/A")</f>
        <v>16416</v>
      </c>
      <c r="B3960" s="4" t="s">
        <v>752</v>
      </c>
      <c r="C3960" s="4" t="s">
        <v>287</v>
      </c>
      <c r="D3960" s="94">
        <v>863.0</v>
      </c>
    </row>
    <row r="3961">
      <c r="A3961" s="40">
        <f t="array" ref="A3961">IFNA(index(PlayerValues!A:A,match(IFNA(vlookup(B3961,'Special Names'!A:B,2,FALSE),B3961),PlayerValues!E:E,0)),"N/A")</f>
        <v>17549</v>
      </c>
      <c r="B3961" s="4" t="s">
        <v>720</v>
      </c>
      <c r="C3961" s="4" t="s">
        <v>298</v>
      </c>
      <c r="D3961" s="94">
        <v>1216.0</v>
      </c>
    </row>
    <row r="3962">
      <c r="A3962" s="40">
        <f t="array" ref="A3962">IFNA(index(PlayerValues!A:A,match(IFNA(vlookup(B3962,'Special Names'!A:B,2,FALSE),B3962),PlayerValues!E:E,0)),"N/A")</f>
        <v>12785</v>
      </c>
      <c r="B3962" s="4" t="s">
        <v>772</v>
      </c>
      <c r="C3962" s="4" t="s">
        <v>287</v>
      </c>
      <c r="D3962" s="94">
        <v>848.0</v>
      </c>
    </row>
    <row r="3963">
      <c r="A3963" s="40">
        <f t="array" ref="A3963">IFNA(index(PlayerValues!A:A,match(IFNA(vlookup(B3963,'Special Names'!A:B,2,FALSE),B3963),PlayerValues!E:E,0)),"N/A")</f>
        <v>16773</v>
      </c>
      <c r="B3963" s="4" t="s">
        <v>783</v>
      </c>
      <c r="C3963" s="4" t="s">
        <v>278</v>
      </c>
      <c r="D3963" s="94">
        <v>839.0</v>
      </c>
    </row>
    <row r="3964">
      <c r="A3964" s="40">
        <f t="array" ref="A3964">IFNA(index(PlayerValues!A:A,match(IFNA(vlookup(B3964,'Special Names'!A:B,2,FALSE),B3964),PlayerValues!E:E,0)),"N/A")</f>
        <v>17654</v>
      </c>
      <c r="B3964" s="4" t="s">
        <v>767</v>
      </c>
      <c r="C3964" s="4" t="s">
        <v>283</v>
      </c>
      <c r="D3964" s="94">
        <v>828.0</v>
      </c>
    </row>
    <row r="3965">
      <c r="A3965" s="40">
        <f t="array" ref="A3965">IFNA(index(PlayerValues!A:A,match(IFNA(vlookup(B3965,'Special Names'!A:B,2,FALSE),B3965),PlayerValues!E:E,0)),"N/A")</f>
        <v>16599</v>
      </c>
      <c r="B3965" s="4" t="s">
        <v>737</v>
      </c>
      <c r="C3965" s="4" t="s">
        <v>278</v>
      </c>
      <c r="D3965" s="94">
        <v>827.0</v>
      </c>
    </row>
    <row r="3966">
      <c r="A3966" s="40">
        <f t="array" ref="A3966">IFNA(index(PlayerValues!A:A,match(IFNA(vlookup(B3966,'Special Names'!A:B,2,FALSE),B3966),PlayerValues!E:E,0)),"N/A")</f>
        <v>17627</v>
      </c>
      <c r="B3966" s="4" t="s">
        <v>684</v>
      </c>
      <c r="C3966" s="4" t="s">
        <v>298</v>
      </c>
      <c r="D3966" s="94">
        <v>1166.0</v>
      </c>
    </row>
    <row r="3967">
      <c r="A3967" s="40">
        <f t="array" ref="A3967">IFNA(index(PlayerValues!A:A,match(IFNA(vlookup(B3967,'Special Names'!A:B,2,FALSE),B3967),PlayerValues!E:E,0)),"N/A")</f>
        <v>16623</v>
      </c>
      <c r="B3967" s="4" t="s">
        <v>803</v>
      </c>
      <c r="C3967" s="4" t="s">
        <v>287</v>
      </c>
      <c r="D3967" s="94">
        <v>799.0</v>
      </c>
    </row>
    <row r="3968">
      <c r="A3968" s="40">
        <f t="array" ref="A3968">IFNA(index(PlayerValues!A:A,match(IFNA(vlookup(B3968,'Special Names'!A:B,2,FALSE),B3968),PlayerValues!E:E,0)),"N/A")</f>
        <v>17486</v>
      </c>
      <c r="B3968" s="4" t="s">
        <v>695</v>
      </c>
      <c r="C3968" s="4" t="s">
        <v>278</v>
      </c>
      <c r="D3968" s="94">
        <v>798.0</v>
      </c>
    </row>
    <row r="3969">
      <c r="A3969" s="40">
        <f t="array" ref="A3969">IFNA(index(PlayerValues!A:A,match(IFNA(vlookup(B3969,'Special Names'!A:B,2,FALSE),B3969),PlayerValues!E:E,0)),"N/A")</f>
        <v>16606</v>
      </c>
      <c r="B3969" s="4" t="s">
        <v>743</v>
      </c>
      <c r="C3969" s="4" t="s">
        <v>278</v>
      </c>
      <c r="D3969" s="94">
        <v>794.0</v>
      </c>
    </row>
    <row r="3970">
      <c r="A3970" s="40">
        <f t="array" ref="A3970">IFNA(index(PlayerValues!A:A,match(IFNA(vlookup(B3970,'Special Names'!A:B,2,FALSE),B3970),PlayerValues!E:E,0)),"N/A")</f>
        <v>17337</v>
      </c>
      <c r="B3970" s="4" t="s">
        <v>793</v>
      </c>
      <c r="C3970" s="4" t="s">
        <v>278</v>
      </c>
      <c r="D3970" s="94">
        <v>787.0</v>
      </c>
    </row>
    <row r="3971">
      <c r="A3971" s="40">
        <f t="array" ref="A3971">IFNA(index(PlayerValues!A:A,match(IFNA(vlookup(B3971,'Special Names'!A:B,2,FALSE),B3971),PlayerValues!E:E,0)),"N/A")</f>
        <v>16751</v>
      </c>
      <c r="B3971" s="4" t="s">
        <v>762</v>
      </c>
      <c r="C3971" s="4" t="s">
        <v>287</v>
      </c>
      <c r="D3971" s="94">
        <v>786.0</v>
      </c>
    </row>
    <row r="3972">
      <c r="A3972" s="40">
        <f t="array" ref="A3972">IFNA(index(PlayerValues!A:A,match(IFNA(vlookup(B3972,'Special Names'!A:B,2,FALSE),B3972),PlayerValues!E:E,0)),"N/A")</f>
        <v>14223</v>
      </c>
      <c r="B3972" s="4" t="s">
        <v>785</v>
      </c>
      <c r="C3972" s="4" t="s">
        <v>278</v>
      </c>
      <c r="D3972" s="94">
        <v>738.0</v>
      </c>
    </row>
    <row r="3973">
      <c r="A3973" s="40">
        <f t="array" ref="A3973">IFNA(index(PlayerValues!A:A,match(IFNA(vlookup(B3973,'Special Names'!A:B,2,FALSE),B3973),PlayerValues!E:E,0)),"N/A")</f>
        <v>17541</v>
      </c>
      <c r="B3973" s="4" t="s">
        <v>616</v>
      </c>
      <c r="C3973" s="4" t="s">
        <v>287</v>
      </c>
      <c r="D3973" s="94">
        <v>721.0</v>
      </c>
    </row>
    <row r="3974">
      <c r="A3974" s="40">
        <f t="array" ref="A3974">IFNA(index(PlayerValues!A:A,match(IFNA(vlookup(B3974,'Special Names'!A:B,2,FALSE),B3974),PlayerValues!E:E,0)),"N/A")</f>
        <v>15723</v>
      </c>
      <c r="B3974" s="4" t="s">
        <v>798</v>
      </c>
      <c r="C3974" s="4" t="s">
        <v>278</v>
      </c>
      <c r="D3974" s="94">
        <v>702.0</v>
      </c>
    </row>
    <row r="3975">
      <c r="A3975" s="40">
        <f t="array" ref="A3975">IFNA(index(PlayerValues!A:A,match(IFNA(vlookup(B3975,'Special Names'!A:B,2,FALSE),B3975),PlayerValues!E:E,0)),"N/A")</f>
        <v>17545</v>
      </c>
      <c r="B3975" s="4" t="s">
        <v>719</v>
      </c>
      <c r="C3975" s="4" t="s">
        <v>298</v>
      </c>
      <c r="D3975" s="94">
        <v>1051.0</v>
      </c>
    </row>
    <row r="3976">
      <c r="A3976" s="40">
        <f t="array" ref="A3976">IFNA(index(PlayerValues!A:A,match(IFNA(vlookup(B3976,'Special Names'!A:B,2,FALSE),B3976),PlayerValues!E:E,0)),"N/A")</f>
        <v>16686</v>
      </c>
      <c r="B3976" s="4" t="s">
        <v>805</v>
      </c>
      <c r="C3976" s="4" t="s">
        <v>287</v>
      </c>
      <c r="D3976" s="94">
        <v>613.0</v>
      </c>
    </row>
    <row r="3977">
      <c r="A3977" s="40">
        <f t="array" ref="A3977">IFNA(index(PlayerValues!A:A,match(IFNA(vlookup(B3977,'Special Names'!A:B,2,FALSE),B3977),PlayerValues!E:E,0)),"N/A")</f>
        <v>13133</v>
      </c>
      <c r="B3977" s="4" t="s">
        <v>764</v>
      </c>
      <c r="C3977" s="4" t="s">
        <v>278</v>
      </c>
      <c r="D3977" s="94">
        <v>599.0</v>
      </c>
    </row>
    <row r="3978">
      <c r="A3978" s="40">
        <f t="array" ref="A3978">IFNA(index(PlayerValues!A:A,match(IFNA(vlookup(B3978,'Special Names'!A:B,2,FALSE),B3978),PlayerValues!E:E,0)),"N/A")</f>
        <v>13138</v>
      </c>
      <c r="B3978" s="4" t="s">
        <v>817</v>
      </c>
      <c r="C3978" s="4" t="s">
        <v>278</v>
      </c>
      <c r="D3978" s="94">
        <v>597.0</v>
      </c>
    </row>
    <row r="3979">
      <c r="A3979" s="40">
        <f t="array" ref="A3979">IFNA(index(PlayerValues!A:A,match(IFNA(vlookup(B3979,'Special Names'!A:B,2,FALSE),B3979),PlayerValues!E:E,0)),"N/A")</f>
        <v>14864</v>
      </c>
      <c r="B3979" s="4" t="s">
        <v>789</v>
      </c>
      <c r="C3979" s="4" t="s">
        <v>287</v>
      </c>
      <c r="D3979" s="94">
        <v>595.0</v>
      </c>
    </row>
    <row r="3980">
      <c r="A3980" s="40">
        <f t="array" ref="A3980">IFNA(index(PlayerValues!A:A,match(IFNA(vlookup(B3980,'Special Names'!A:B,2,FALSE),B3980),PlayerValues!E:E,0)),"N/A")</f>
        <v>16625</v>
      </c>
      <c r="B3980" s="4" t="s">
        <v>778</v>
      </c>
      <c r="C3980" s="4" t="s">
        <v>287</v>
      </c>
      <c r="D3980" s="94">
        <v>554.0</v>
      </c>
    </row>
    <row r="3981">
      <c r="A3981" s="40">
        <f t="array" ref="A3981">IFNA(index(PlayerValues!A:A,match(IFNA(vlookup(B3981,'Special Names'!A:B,2,FALSE),B3981),PlayerValues!E:E,0)),"N/A")</f>
        <v>14858</v>
      </c>
      <c r="B3981" s="4" t="s">
        <v>799</v>
      </c>
      <c r="C3981" s="4" t="s">
        <v>287</v>
      </c>
      <c r="D3981" s="94">
        <v>548.0</v>
      </c>
    </row>
    <row r="3982">
      <c r="A3982" s="40">
        <f t="array" ref="A3982">IFNA(index(PlayerValues!A:A,match(IFNA(vlookup(B3982,'Special Names'!A:B,2,FALSE),B3982),PlayerValues!E:E,0)),"N/A")</f>
        <v>16957</v>
      </c>
      <c r="B3982" s="4" t="s">
        <v>806</v>
      </c>
      <c r="C3982" s="4" t="s">
        <v>278</v>
      </c>
      <c r="D3982" s="94">
        <v>543.0</v>
      </c>
    </row>
    <row r="3983">
      <c r="A3983" s="40">
        <f t="array" ref="A3983">IFNA(index(PlayerValues!A:A,match(IFNA(vlookup(B3983,'Special Names'!A:B,2,FALSE),B3983),PlayerValues!E:E,0)),"N/A")</f>
        <v>15796</v>
      </c>
      <c r="B3983" s="4" t="s">
        <v>794</v>
      </c>
      <c r="C3983" s="4" t="s">
        <v>298</v>
      </c>
      <c r="D3983" s="94">
        <v>884.0</v>
      </c>
    </row>
    <row r="3984">
      <c r="A3984" s="40">
        <f t="array" ref="A3984">IFNA(index(PlayerValues!A:A,match(IFNA(vlookup(B3984,'Special Names'!A:B,2,FALSE),B3984),PlayerValues!E:E,0)),"N/A")</f>
        <v>14805</v>
      </c>
      <c r="B3984" s="4" t="s">
        <v>770</v>
      </c>
      <c r="C3984" s="4" t="s">
        <v>278</v>
      </c>
      <c r="D3984" s="94">
        <v>536.0</v>
      </c>
    </row>
    <row r="3985">
      <c r="A3985" s="40">
        <f t="array" ref="A3985">IFNA(index(PlayerValues!A:A,match(IFNA(vlookup(B3985,'Special Names'!A:B,2,FALSE),B3985),PlayerValues!E:E,0)),"N/A")</f>
        <v>13595</v>
      </c>
      <c r="B3985" s="4" t="s">
        <v>818</v>
      </c>
      <c r="C3985" s="4" t="s">
        <v>283</v>
      </c>
      <c r="D3985" s="94">
        <v>533.0</v>
      </c>
    </row>
    <row r="3986">
      <c r="A3986" s="40">
        <f t="array" ref="A3986">IFNA(index(PlayerValues!A:A,match(IFNA(vlookup(B3986,'Special Names'!A:B,2,FALSE),B3986),PlayerValues!E:E,0)),"N/A")</f>
        <v>17038</v>
      </c>
      <c r="B3986" s="4" t="s">
        <v>774</v>
      </c>
      <c r="C3986" s="4" t="s">
        <v>283</v>
      </c>
      <c r="D3986" s="94">
        <v>530.0</v>
      </c>
    </row>
    <row r="3987">
      <c r="A3987" s="40">
        <f t="array" ref="A3987">IFNA(index(PlayerValues!A:A,match(IFNA(vlookup(B3987,'Special Names'!A:B,2,FALSE),B3987),PlayerValues!E:E,0)),"N/A")</f>
        <v>16159</v>
      </c>
      <c r="B3987" s="4" t="s">
        <v>819</v>
      </c>
      <c r="C3987" s="4" t="s">
        <v>283</v>
      </c>
      <c r="D3987" s="94">
        <v>508.0</v>
      </c>
    </row>
    <row r="3988">
      <c r="A3988" s="40">
        <f t="array" ref="A3988">IFNA(index(PlayerValues!A:A,match(IFNA(vlookup(B3988,'Special Names'!A:B,2,FALSE),B3988),PlayerValues!E:E,0)),"N/A")</f>
        <v>17232</v>
      </c>
      <c r="B3988" s="4" t="s">
        <v>784</v>
      </c>
      <c r="C3988" s="4" t="s">
        <v>287</v>
      </c>
      <c r="D3988" s="94">
        <v>508.0</v>
      </c>
    </row>
    <row r="3989">
      <c r="A3989" s="40">
        <f t="array" ref="A3989">IFNA(index(PlayerValues!A:A,match(IFNA(vlookup(B3989,'Special Names'!A:B,2,FALSE),B3989),PlayerValues!E:E,0)),"N/A")</f>
        <v>15263</v>
      </c>
      <c r="B3989" s="4" t="s">
        <v>804</v>
      </c>
      <c r="C3989" s="4" t="s">
        <v>278</v>
      </c>
      <c r="D3989" s="94">
        <v>506.0</v>
      </c>
    </row>
    <row r="3990">
      <c r="A3990" s="40">
        <f t="array" ref="A3990">IFNA(index(PlayerValues!A:A,match(IFNA(vlookup(B3990,'Special Names'!A:B,2,FALSE),B3990),PlayerValues!E:E,0)),"N/A")</f>
        <v>16299</v>
      </c>
      <c r="B3990" s="4" t="s">
        <v>787</v>
      </c>
      <c r="C3990" s="4" t="s">
        <v>287</v>
      </c>
      <c r="D3990" s="94">
        <v>506.0</v>
      </c>
    </row>
    <row r="3991">
      <c r="A3991" s="40">
        <f t="array" ref="A3991">IFNA(index(PlayerValues!A:A,match(IFNA(vlookup(B3991,'Special Names'!A:B,2,FALSE),B3991),PlayerValues!E:E,0)),"N/A")</f>
        <v>14358</v>
      </c>
      <c r="B3991" s="4" t="s">
        <v>813</v>
      </c>
      <c r="C3991" s="4" t="s">
        <v>283</v>
      </c>
      <c r="D3991" s="94">
        <v>502.0</v>
      </c>
    </row>
    <row r="3992">
      <c r="A3992" s="40">
        <f t="array" ref="A3992">IFNA(index(PlayerValues!A:A,match(IFNA(vlookup(B3992,'Special Names'!A:B,2,FALSE),B3992),PlayerValues!E:E,0)),"N/A")</f>
        <v>17243</v>
      </c>
      <c r="B3992" s="4" t="s">
        <v>810</v>
      </c>
      <c r="C3992" s="4" t="s">
        <v>298</v>
      </c>
      <c r="D3992" s="94">
        <v>848.0</v>
      </c>
    </row>
    <row r="3993">
      <c r="A3993" s="40">
        <f t="array" ref="A3993">IFNA(index(PlayerValues!A:A,match(IFNA(vlookup(B3993,'Special Names'!A:B,2,FALSE),B3993),PlayerValues!E:E,0)),"N/A")</f>
        <v>14875</v>
      </c>
      <c r="B3993" s="4" t="s">
        <v>820</v>
      </c>
      <c r="C3993" s="4" t="s">
        <v>298</v>
      </c>
      <c r="D3993" s="94">
        <v>844.0</v>
      </c>
    </row>
    <row r="3994">
      <c r="A3994" s="40">
        <f t="array" ref="A3994">IFNA(index(PlayerValues!A:A,match(IFNA(vlookup(B3994,'Special Names'!A:B,2,FALSE),B3994),PlayerValues!E:E,0)),"N/A")</f>
        <v>17348</v>
      </c>
      <c r="B3994" s="4" t="s">
        <v>797</v>
      </c>
      <c r="C3994" s="4" t="s">
        <v>278</v>
      </c>
      <c r="D3994" s="94">
        <v>498.0</v>
      </c>
    </row>
    <row r="3995">
      <c r="A3995" s="40">
        <f t="array" ref="A3995">IFNA(index(PlayerValues!A:A,match(IFNA(vlookup(B3995,'Special Names'!A:B,2,FALSE),B3995),PlayerValues!E:E,0)),"N/A")</f>
        <v>15804</v>
      </c>
      <c r="B3995" s="4" t="s">
        <v>821</v>
      </c>
      <c r="C3995" s="4" t="s">
        <v>298</v>
      </c>
      <c r="D3995" s="94">
        <v>843.0</v>
      </c>
    </row>
    <row r="3996">
      <c r="A3996" s="40">
        <f t="array" ref="A3996">IFNA(index(PlayerValues!A:A,match(IFNA(vlookup(B3996,'Special Names'!A:B,2,FALSE),B3996),PlayerValues!E:E,0)),"N/A")</f>
        <v>15714</v>
      </c>
      <c r="B3996" s="4" t="s">
        <v>775</v>
      </c>
      <c r="C3996" s="4" t="s">
        <v>278</v>
      </c>
      <c r="D3996" s="94">
        <v>491.0</v>
      </c>
    </row>
    <row r="3997">
      <c r="A3997" s="40">
        <f t="array" ref="A3997">IFNA(index(PlayerValues!A:A,match(IFNA(vlookup(B3997,'Special Names'!A:B,2,FALSE),B3997),PlayerValues!E:E,0)),"N/A")</f>
        <v>14209</v>
      </c>
      <c r="B3997" s="4" t="s">
        <v>809</v>
      </c>
      <c r="C3997" s="4" t="s">
        <v>298</v>
      </c>
      <c r="D3997" s="94">
        <v>838.0</v>
      </c>
    </row>
    <row r="3998">
      <c r="A3998" s="40">
        <f t="array" ref="A3998">IFNA(index(PlayerValues!A:A,match(IFNA(vlookup(B3998,'Special Names'!A:B,2,FALSE),B3998),PlayerValues!E:E,0)),"N/A")</f>
        <v>15271</v>
      </c>
      <c r="B3998" s="4" t="s">
        <v>741</v>
      </c>
      <c r="C3998" s="4" t="s">
        <v>278</v>
      </c>
      <c r="D3998" s="94">
        <v>489.0</v>
      </c>
    </row>
    <row r="3999">
      <c r="A3999" s="40">
        <f t="array" ref="A3999">IFNA(index(PlayerValues!A:A,match(IFNA(vlookup(B3999,'Special Names'!A:B,2,FALSE),B3999),PlayerValues!E:E,0)),"N/A")</f>
        <v>10413</v>
      </c>
      <c r="B3999" s="4" t="s">
        <v>811</v>
      </c>
      <c r="C3999" s="4" t="s">
        <v>283</v>
      </c>
      <c r="D3999" s="94">
        <v>488.0</v>
      </c>
    </row>
    <row r="4000">
      <c r="A4000" s="40">
        <f t="array" ref="A4000">IFNA(index(PlayerValues!A:A,match(IFNA(vlookup(B4000,'Special Names'!A:B,2,FALSE),B4000),PlayerValues!E:E,0)),"N/A")</f>
        <v>17706</v>
      </c>
      <c r="B4000" s="4" t="s">
        <v>614</v>
      </c>
      <c r="C4000" s="4" t="s">
        <v>287</v>
      </c>
      <c r="D4000" s="94">
        <v>211.0</v>
      </c>
    </row>
    <row r="4001">
      <c r="A4001" s="40">
        <f t="array" ref="A4001">IFNA(index(PlayerValues!A:A,match(IFNA(vlookup(B4001,'Special Names'!A:B,2,FALSE),B4001),PlayerValues!E:E,0)),"N/A")</f>
        <v>16161</v>
      </c>
      <c r="B4001" s="4" t="s">
        <v>277</v>
      </c>
      <c r="C4001" s="4" t="s">
        <v>278</v>
      </c>
      <c r="D4001" s="94">
        <v>9997.0</v>
      </c>
    </row>
    <row r="4002">
      <c r="A4002" s="40">
        <f t="array" ref="A4002">IFNA(index(PlayerValues!A:A,match(IFNA(vlookup(B4002,'Special Names'!A:B,2,FALSE),B4002),PlayerValues!E:E,0)),"N/A")</f>
        <v>13589</v>
      </c>
      <c r="B4002" s="4" t="s">
        <v>282</v>
      </c>
      <c r="C4002" s="4" t="s">
        <v>283</v>
      </c>
      <c r="D4002" s="94">
        <v>9996.0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9984.0</v>
      </c>
    </row>
    <row r="4004">
      <c r="A4004" s="40">
        <f t="array" ref="A4004">IFNA(index(PlayerValues!A:A,match(IFNA(vlookup(B4004,'Special Names'!A:B,2,FALSE),B4004),PlayerValues!E:E,0)),"N/A")</f>
        <v>16162</v>
      </c>
      <c r="B4004" s="4" t="s">
        <v>281</v>
      </c>
      <c r="C4004" s="4" t="s">
        <v>278</v>
      </c>
      <c r="D4004" s="94">
        <v>9919.0</v>
      </c>
    </row>
    <row r="4005">
      <c r="A4005" s="40">
        <f t="array" ref="A4005">IFNA(index(PlayerValues!A:A,match(IFNA(vlookup(B4005,'Special Names'!A:B,2,FALSE),B4005),PlayerValues!E:E,0)),"N/A")</f>
        <v>16185</v>
      </c>
      <c r="B4005" s="4" t="s">
        <v>290</v>
      </c>
      <c r="C4005" s="4" t="s">
        <v>287</v>
      </c>
      <c r="D4005" s="94">
        <v>9590.0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9437.0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8741.0</v>
      </c>
    </row>
    <row r="4008">
      <c r="A4008" s="40">
        <f t="array" ref="A4008">IFNA(index(PlayerValues!A:A,match(IFNA(vlookup(B4008,'Special Names'!A:B,2,FALSE),B4008),PlayerValues!E:E,0)),"N/A")</f>
        <v>16641</v>
      </c>
      <c r="B4008" s="4" t="s">
        <v>297</v>
      </c>
      <c r="C4008" s="4" t="s">
        <v>298</v>
      </c>
      <c r="D4008" s="94">
        <v>8999.0</v>
      </c>
    </row>
    <row r="4009">
      <c r="A4009" s="40">
        <f t="array" ref="A4009">IFNA(index(PlayerValues!A:A,match(IFNA(vlookup(B4009,'Special Names'!A:B,2,FALSE),B4009),PlayerValues!E:E,0)),"N/A")</f>
        <v>16579</v>
      </c>
      <c r="B4009" s="4" t="s">
        <v>302</v>
      </c>
      <c r="C4009" s="4" t="s">
        <v>283</v>
      </c>
      <c r="D4009" s="94">
        <v>8035.0</v>
      </c>
    </row>
    <row r="4010">
      <c r="A4010" s="40">
        <f t="array" ref="A4010">IFNA(index(PlayerValues!A:A,match(IFNA(vlookup(B4010,'Special Names'!A:B,2,FALSE),B4010),PlayerValues!E:E,0)),"N/A")</f>
        <v>15287</v>
      </c>
      <c r="B4010" s="4" t="s">
        <v>299</v>
      </c>
      <c r="C4010" s="4" t="s">
        <v>287</v>
      </c>
      <c r="D4010" s="94">
        <v>7905.0</v>
      </c>
    </row>
    <row r="4011">
      <c r="A4011" s="40">
        <f t="array" ref="A4011">IFNA(index(PlayerValues!A:A,match(IFNA(vlookup(B4011,'Special Names'!A:B,2,FALSE),B4011),PlayerValues!E:E,0)),"N/A")</f>
        <v>16581</v>
      </c>
      <c r="B4011" s="4" t="s">
        <v>315</v>
      </c>
      <c r="C4011" s="4" t="s">
        <v>283</v>
      </c>
      <c r="D4011" s="94">
        <v>7816.0</v>
      </c>
    </row>
    <row r="4012">
      <c r="A4012" s="40">
        <f t="array" ref="A4012">IFNA(index(PlayerValues!A:A,match(IFNA(vlookup(B4012,'Special Names'!A:B,2,FALSE),B4012),PlayerValues!E:E,0)),"N/A")</f>
        <v>17042</v>
      </c>
      <c r="B4012" s="4" t="s">
        <v>314</v>
      </c>
      <c r="C4012" s="4" t="s">
        <v>278</v>
      </c>
      <c r="D4012" s="94">
        <v>7673.0</v>
      </c>
    </row>
    <row r="4013">
      <c r="A4013" s="40">
        <f t="array" ref="A4013">IFNA(index(PlayerValues!A:A,match(IFNA(vlookup(B4013,'Special Names'!A:B,2,FALSE),B4013),PlayerValues!E:E,0)),"N/A")</f>
        <v>14836</v>
      </c>
      <c r="B4013" s="4" t="s">
        <v>306</v>
      </c>
      <c r="C4013" s="4" t="s">
        <v>287</v>
      </c>
      <c r="D4013" s="94">
        <v>7601.0</v>
      </c>
    </row>
    <row r="4014">
      <c r="A4014" s="40">
        <f t="array" ref="A4014">IFNA(index(PlayerValues!A:A,match(IFNA(vlookup(B4014,'Special Names'!A:B,2,FALSE),B4014),PlayerValues!E:E,0)),"N/A")</f>
        <v>13593</v>
      </c>
      <c r="B4014" s="4" t="s">
        <v>305</v>
      </c>
      <c r="C4014" s="4" t="s">
        <v>283</v>
      </c>
      <c r="D4014" s="94">
        <v>7596.0</v>
      </c>
    </row>
    <row r="4015">
      <c r="A4015" s="40">
        <f t="array" ref="A4015">IFNA(index(PlayerValues!A:A,match(IFNA(vlookup(B4015,'Special Names'!A:B,2,FALSE),B4015),PlayerValues!E:E,0)),"N/A")</f>
        <v>17472</v>
      </c>
      <c r="B4015" s="4" t="s">
        <v>310</v>
      </c>
      <c r="C4015" s="4" t="s">
        <v>278</v>
      </c>
      <c r="D4015" s="94">
        <v>7589.0</v>
      </c>
    </row>
    <row r="4016">
      <c r="A4016" s="40">
        <f t="array" ref="A4016">IFNA(index(PlayerValues!A:A,match(IFNA(vlookup(B4016,'Special Names'!A:B,2,FALSE),B4016),PlayerValues!E:E,0)),"N/A")</f>
        <v>16615</v>
      </c>
      <c r="B4016" s="4" t="s">
        <v>309</v>
      </c>
      <c r="C4016" s="4" t="s">
        <v>287</v>
      </c>
      <c r="D4016" s="94">
        <v>7471.0</v>
      </c>
    </row>
    <row r="4017">
      <c r="A4017" s="40">
        <f t="array" ref="A4017">IFNA(index(PlayerValues!A:A,match(IFNA(vlookup(B4017,'Special Names'!A:B,2,FALSE),B4017),PlayerValues!E:E,0)),"N/A")</f>
        <v>14777</v>
      </c>
      <c r="B4017" s="4" t="s">
        <v>318</v>
      </c>
      <c r="C4017" s="4" t="s">
        <v>283</v>
      </c>
      <c r="D4017" s="94">
        <v>7460.0</v>
      </c>
    </row>
    <row r="4018">
      <c r="A4018" s="40">
        <f t="array" ref="A4018">IFNA(index(PlayerValues!A:A,match(IFNA(vlookup(B4018,'Special Names'!A:B,2,FALSE),B4018),PlayerValues!E:E,0)),"N/A")</f>
        <v>15794</v>
      </c>
      <c r="B4018" s="4" t="s">
        <v>313</v>
      </c>
      <c r="C4018" s="4" t="s">
        <v>298</v>
      </c>
      <c r="D4018" s="94">
        <v>8138.0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7228.0</v>
      </c>
    </row>
    <row r="4020">
      <c r="A4020" s="40">
        <f t="array" ref="A4020">IFNA(index(PlayerValues!A:A,match(IFNA(vlookup(B4020,'Special Names'!A:B,2,FALSE),B4020),PlayerValues!E:E,0)),"N/A")</f>
        <v>15751</v>
      </c>
      <c r="B4020" s="4" t="s">
        <v>328</v>
      </c>
      <c r="C4020" s="4" t="s">
        <v>287</v>
      </c>
      <c r="D4020" s="94">
        <v>7177.0</v>
      </c>
    </row>
    <row r="4021">
      <c r="A4021" s="40" t="str">
        <f t="array" ref="A4021">IFNA(index(PlayerValues!A:A,match(IFNA(vlookup(B4021,'Special Names'!A:B,2,FALSE),B4021),PlayerValues!E:E,0)),"N/A")</f>
        <v>N/A</v>
      </c>
      <c r="B4021" s="4" t="s">
        <v>92</v>
      </c>
      <c r="C4021" s="4" t="s">
        <v>325</v>
      </c>
      <c r="D4021" s="94">
        <v>7064.0</v>
      </c>
    </row>
    <row r="4022">
      <c r="A4022" s="40">
        <f t="array" ref="A4022">IFNA(index(PlayerValues!A:A,match(IFNA(vlookup(B4022,'Special Names'!A:B,2,FALSE),B4022),PlayerValues!E:E,0)),"N/A")</f>
        <v>14779</v>
      </c>
      <c r="B4022" s="4" t="s">
        <v>327</v>
      </c>
      <c r="C4022" s="4" t="s">
        <v>283</v>
      </c>
      <c r="D4022" s="94">
        <v>6994.0</v>
      </c>
    </row>
    <row r="4023">
      <c r="A4023" s="40">
        <f t="array" ref="A4023">IFNA(index(PlayerValues!A:A,match(IFNA(vlookup(B4023,'Special Names'!A:B,2,FALSE),B4023),PlayerValues!E:E,0)),"N/A")</f>
        <v>17044</v>
      </c>
      <c r="B4023" s="4" t="s">
        <v>322</v>
      </c>
      <c r="C4023" s="4" t="s">
        <v>278</v>
      </c>
      <c r="D4023" s="94">
        <v>6855.0</v>
      </c>
    </row>
    <row r="4024">
      <c r="A4024" s="40">
        <f t="array" ref="A4024">IFNA(index(PlayerValues!A:A,match(IFNA(vlookup(B4024,'Special Names'!A:B,2,FALSE),B4024),PlayerValues!E:E,0)),"N/A")</f>
        <v>16167</v>
      </c>
      <c r="B4024" s="4" t="s">
        <v>323</v>
      </c>
      <c r="C4024" s="4" t="s">
        <v>278</v>
      </c>
      <c r="D4024" s="94">
        <v>6836.0</v>
      </c>
    </row>
    <row r="4025">
      <c r="A4025" s="40">
        <f t="array" ref="A4025">IFNA(index(PlayerValues!A:A,match(IFNA(vlookup(B4025,'Special Names'!A:B,2,FALSE),B4025),PlayerValues!E:E,0)),"N/A")</f>
        <v>13116</v>
      </c>
      <c r="B4025" s="4" t="s">
        <v>345</v>
      </c>
      <c r="C4025" s="4" t="s">
        <v>283</v>
      </c>
      <c r="D4025" s="94">
        <v>6645.0</v>
      </c>
    </row>
    <row r="4026">
      <c r="A4026" s="40">
        <f t="array" ref="A4026">IFNA(index(PlayerValues!A:A,match(IFNA(vlookup(B4026,'Special Names'!A:B,2,FALSE),B4026),PlayerValues!E:E,0)),"N/A")</f>
        <v>17071</v>
      </c>
      <c r="B4026" s="4" t="s">
        <v>341</v>
      </c>
      <c r="C4026" s="4" t="s">
        <v>287</v>
      </c>
      <c r="D4026" s="94">
        <v>6555.0</v>
      </c>
    </row>
    <row r="4027">
      <c r="A4027" s="40">
        <f t="array" ref="A4027">IFNA(index(PlayerValues!A:A,match(IFNA(vlookup(B4027,'Special Names'!A:B,2,FALSE),B4027),PlayerValues!E:E,0)),"N/A")</f>
        <v>17032</v>
      </c>
      <c r="B4027" s="4" t="s">
        <v>348</v>
      </c>
      <c r="C4027" s="4" t="s">
        <v>283</v>
      </c>
      <c r="D4027" s="94">
        <v>6449.0</v>
      </c>
    </row>
    <row r="4028">
      <c r="A4028" s="40">
        <f t="array" ref="A4028">IFNA(index(PlayerValues!A:A,match(IFNA(vlookup(B4028,'Special Names'!A:B,2,FALSE),B4028),PlayerValues!E:E,0)),"N/A")</f>
        <v>15237</v>
      </c>
      <c r="B4028" s="4" t="s">
        <v>336</v>
      </c>
      <c r="C4028" s="4" t="s">
        <v>283</v>
      </c>
      <c r="D4028" s="94">
        <v>6356.0</v>
      </c>
    </row>
    <row r="4029">
      <c r="A4029" s="40">
        <f t="array" ref="A4029">IFNA(index(PlayerValues!A:A,match(IFNA(vlookup(B4029,'Special Names'!A:B,2,FALSE),B4029),PlayerValues!E:E,0)),"N/A")</f>
        <v>17104</v>
      </c>
      <c r="B4029" s="4" t="s">
        <v>333</v>
      </c>
      <c r="C4029" s="4" t="s">
        <v>298</v>
      </c>
      <c r="D4029" s="94">
        <v>6911.0</v>
      </c>
    </row>
    <row r="4030">
      <c r="A4030" s="40">
        <f t="array" ref="A4030">IFNA(index(PlayerValues!A:A,match(IFNA(vlookup(B4030,'Special Names'!A:B,2,FALSE),B4030),PlayerValues!E:E,0)),"N/A")</f>
        <v>14783</v>
      </c>
      <c r="B4030" s="4" t="s">
        <v>342</v>
      </c>
      <c r="C4030" s="4" t="s">
        <v>283</v>
      </c>
      <c r="D4030" s="94">
        <v>6171.0</v>
      </c>
    </row>
    <row r="4031">
      <c r="A4031" s="40">
        <f t="array" ref="A4031">IFNA(index(PlayerValues!A:A,match(IFNA(vlookup(B4031,'Special Names'!A:B,2,FALSE),B4031),PlayerValues!E:E,0)),"N/A")</f>
        <v>16582</v>
      </c>
      <c r="B4031" s="4" t="s">
        <v>343</v>
      </c>
      <c r="C4031" s="4" t="s">
        <v>283</v>
      </c>
      <c r="D4031" s="94">
        <v>6073.0</v>
      </c>
    </row>
    <row r="4032">
      <c r="A4032" s="40">
        <f t="array" ref="A4032">IFNA(index(PlayerValues!A:A,match(IFNA(vlookup(B4032,'Special Names'!A:B,2,FALSE),B4032),PlayerValues!E:E,0)),"N/A")</f>
        <v>17081</v>
      </c>
      <c r="B4032" s="4" t="s">
        <v>340</v>
      </c>
      <c r="C4032" s="4" t="s">
        <v>287</v>
      </c>
      <c r="D4032" s="94">
        <v>6061.0</v>
      </c>
    </row>
    <row r="4033">
      <c r="A4033" s="40">
        <f t="array" ref="A4033">IFNA(index(PlayerValues!A:A,match(IFNA(vlookup(B4033,'Special Names'!A:B,2,FALSE),B4033),PlayerValues!E:E,0)),"N/A")</f>
        <v>15715</v>
      </c>
      <c r="B4033" s="4" t="s">
        <v>331</v>
      </c>
      <c r="C4033" s="4" t="s">
        <v>278</v>
      </c>
      <c r="D4033" s="94">
        <v>6044.0</v>
      </c>
    </row>
    <row r="4034">
      <c r="A4034" s="40">
        <f t="array" ref="A4034">IFNA(index(PlayerValues!A:A,match(IFNA(vlookup(B4034,'Special Names'!A:B,2,FALSE),B4034),PlayerValues!E:E,0)),"N/A")</f>
        <v>14802</v>
      </c>
      <c r="B4034" s="4" t="s">
        <v>332</v>
      </c>
      <c r="C4034" s="4" t="s">
        <v>278</v>
      </c>
      <c r="D4034" s="94">
        <v>6010.0</v>
      </c>
    </row>
    <row r="4035">
      <c r="A4035" s="40">
        <f t="array" ref="A4035">IFNA(index(PlayerValues!A:A,match(IFNA(vlookup(B4035,'Special Names'!A:B,2,FALSE),B4035),PlayerValues!E:E,0)),"N/A")</f>
        <v>17497</v>
      </c>
      <c r="B4035" s="4" t="s">
        <v>365</v>
      </c>
      <c r="C4035" s="4" t="s">
        <v>287</v>
      </c>
      <c r="D4035" s="94">
        <v>5957.0</v>
      </c>
    </row>
    <row r="4036">
      <c r="A4036" s="40">
        <f t="array" ref="A4036">IFNA(index(PlayerValues!A:A,match(IFNA(vlookup(B4036,'Special Names'!A:B,2,FALSE),B4036),PlayerValues!E:E,0)),"N/A")</f>
        <v>15762</v>
      </c>
      <c r="B4036" s="4" t="s">
        <v>337</v>
      </c>
      <c r="C4036" s="4" t="s">
        <v>287</v>
      </c>
      <c r="D4036" s="94">
        <v>5924.0</v>
      </c>
    </row>
    <row r="4037">
      <c r="A4037" s="40">
        <f t="array" ref="A4037">IFNA(index(PlayerValues!A:A,match(IFNA(vlookup(B4037,'Special Names'!A:B,2,FALSE),B4037),PlayerValues!E:E,0)),"N/A")</f>
        <v>17102</v>
      </c>
      <c r="B4037" s="4" t="s">
        <v>344</v>
      </c>
      <c r="C4037" s="4" t="s">
        <v>298</v>
      </c>
      <c r="D4037" s="94">
        <v>6499.0</v>
      </c>
    </row>
    <row r="4038">
      <c r="A4038" s="40">
        <f t="array" ref="A4038">IFNA(index(PlayerValues!A:A,match(IFNA(vlookup(B4038,'Special Names'!A:B,2,FALSE),B4038),PlayerValues!E:E,0)),"N/A")</f>
        <v>15698</v>
      </c>
      <c r="B4038" s="4" t="s">
        <v>358</v>
      </c>
      <c r="C4038" s="4" t="s">
        <v>283</v>
      </c>
      <c r="D4038" s="94">
        <v>5837.0</v>
      </c>
    </row>
    <row r="4039">
      <c r="A4039" s="40">
        <f t="array" ref="A4039">IFNA(index(PlayerValues!A:A,match(IFNA(vlookup(B4039,'Special Names'!A:B,2,FALSE),B4039),PlayerValues!E:E,0)),"N/A")</f>
        <v>15753</v>
      </c>
      <c r="B4039" s="4" t="s">
        <v>359</v>
      </c>
      <c r="C4039" s="4" t="s">
        <v>287</v>
      </c>
      <c r="D4039" s="94">
        <v>5683.0</v>
      </c>
    </row>
    <row r="4040">
      <c r="A4040" s="40" t="str">
        <f t="array" ref="A4040">IFNA(index(PlayerValues!A:A,match(IFNA(vlookup(B4040,'Special Names'!A:B,2,FALSE),B4040),PlayerValues!E:E,0)),"N/A")</f>
        <v>N/A</v>
      </c>
      <c r="B4040" s="4" t="s">
        <v>79</v>
      </c>
      <c r="C4040" s="4" t="s">
        <v>325</v>
      </c>
      <c r="D4040" s="94">
        <v>5602.0</v>
      </c>
    </row>
    <row r="4041">
      <c r="A4041" s="40" t="str">
        <f t="array" ref="A4041">IFNA(index(PlayerValues!A:A,match(IFNA(vlookup(B4041,'Special Names'!A:B,2,FALSE),B4041),PlayerValues!E:E,0)),"N/A")</f>
        <v>N/A</v>
      </c>
      <c r="B4041" s="4" t="s">
        <v>93</v>
      </c>
      <c r="C4041" s="4" t="s">
        <v>325</v>
      </c>
      <c r="D4041" s="94">
        <v>5601.0</v>
      </c>
    </row>
    <row r="4042">
      <c r="A4042" s="40">
        <f t="array" ref="A4042">IFNA(index(PlayerValues!A:A,match(IFNA(vlookup(B4042,'Special Names'!A:B,2,FALSE),B4042),PlayerValues!E:E,0)),"N/A")</f>
        <v>15290</v>
      </c>
      <c r="B4042" s="4" t="s">
        <v>355</v>
      </c>
      <c r="C4042" s="4" t="s">
        <v>287</v>
      </c>
      <c r="D4042" s="94">
        <v>5592.0</v>
      </c>
    </row>
    <row r="4043">
      <c r="A4043" s="40">
        <f t="array" ref="A4043">IFNA(index(PlayerValues!A:A,match(IFNA(vlookup(B4043,'Special Names'!A:B,2,FALSE),B4043),PlayerValues!E:E,0)),"N/A")</f>
        <v>16627</v>
      </c>
      <c r="B4043" s="4" t="s">
        <v>351</v>
      </c>
      <c r="C4043" s="4" t="s">
        <v>287</v>
      </c>
      <c r="D4043" s="94">
        <v>5568.0</v>
      </c>
    </row>
    <row r="4044">
      <c r="A4044" s="40">
        <f t="array" ref="A4044">IFNA(index(PlayerValues!A:A,match(IFNA(vlookup(B4044,'Special Names'!A:B,2,FALSE),B4044),PlayerValues!E:E,0)),"N/A")</f>
        <v>17462</v>
      </c>
      <c r="B4044" s="4" t="s">
        <v>375</v>
      </c>
      <c r="C4044" s="4" t="s">
        <v>283</v>
      </c>
      <c r="D4044" s="94">
        <v>5535.0</v>
      </c>
    </row>
    <row r="4045">
      <c r="A4045" s="40">
        <f t="array" ref="A4045">IFNA(index(PlayerValues!A:A,match(IFNA(vlookup(B4045,'Special Names'!A:B,2,FALSE),B4045),PlayerValues!E:E,0)),"N/A")</f>
        <v>15754</v>
      </c>
      <c r="B4045" s="4" t="s">
        <v>354</v>
      </c>
      <c r="C4045" s="4" t="s">
        <v>287</v>
      </c>
      <c r="D4045" s="94">
        <v>5527.0</v>
      </c>
    </row>
    <row r="4046">
      <c r="A4046" s="40">
        <f t="array" ref="A4046">IFNA(index(PlayerValues!A:A,match(IFNA(vlookup(B4046,'Special Names'!A:B,2,FALSE),B4046),PlayerValues!E:E,0)),"N/A")</f>
        <v>17051</v>
      </c>
      <c r="B4046" s="4" t="s">
        <v>386</v>
      </c>
      <c r="C4046" s="4" t="s">
        <v>278</v>
      </c>
      <c r="D4046" s="94">
        <v>5514.0</v>
      </c>
    </row>
    <row r="4047">
      <c r="A4047" s="40">
        <f t="array" ref="A4047">IFNA(index(PlayerValues!A:A,match(IFNA(vlookup(B4047,'Special Names'!A:B,2,FALSE),B4047),PlayerValues!E:E,0)),"N/A")</f>
        <v>14782</v>
      </c>
      <c r="B4047" s="4" t="s">
        <v>385</v>
      </c>
      <c r="C4047" s="4" t="s">
        <v>283</v>
      </c>
      <c r="D4047" s="94">
        <v>5513.0</v>
      </c>
    </row>
    <row r="4048">
      <c r="A4048" s="40">
        <f t="array" ref="A4048">IFNA(index(PlayerValues!A:A,match(IFNA(vlookup(B4048,'Special Names'!A:B,2,FALSE),B4048),PlayerValues!E:E,0)),"N/A")</f>
        <v>17043</v>
      </c>
      <c r="B4048" s="4" t="s">
        <v>397</v>
      </c>
      <c r="C4048" s="4" t="s">
        <v>278</v>
      </c>
      <c r="D4048" s="94">
        <v>5489.0</v>
      </c>
    </row>
    <row r="4049">
      <c r="A4049" s="40">
        <f t="array" ref="A4049">IFNA(index(PlayerValues!A:A,match(IFNA(vlookup(B4049,'Special Names'!A:B,2,FALSE),B4049),PlayerValues!E:E,0)),"N/A")</f>
        <v>15711</v>
      </c>
      <c r="B4049" s="4" t="s">
        <v>349</v>
      </c>
      <c r="C4049" s="4" t="s">
        <v>278</v>
      </c>
      <c r="D4049" s="94">
        <v>5486.0</v>
      </c>
    </row>
    <row r="4050">
      <c r="A4050" s="40">
        <f t="array" ref="A4050">IFNA(index(PlayerValues!A:A,match(IFNA(vlookup(B4050,'Special Names'!A:B,2,FALSE),B4050),PlayerValues!E:E,0)),"N/A")</f>
        <v>15282</v>
      </c>
      <c r="B4050" s="4" t="s">
        <v>364</v>
      </c>
      <c r="C4050" s="4" t="s">
        <v>287</v>
      </c>
      <c r="D4050" s="94">
        <v>5453.0</v>
      </c>
    </row>
    <row r="4051">
      <c r="A4051" s="40">
        <f t="array" ref="A4051">IFNA(index(PlayerValues!A:A,match(IFNA(vlookup(B4051,'Special Names'!A:B,2,FALSE),B4051),PlayerValues!E:E,0)),"N/A")</f>
        <v>17070</v>
      </c>
      <c r="B4051" s="4" t="s">
        <v>370</v>
      </c>
      <c r="C4051" s="4" t="s">
        <v>287</v>
      </c>
      <c r="D4051" s="94">
        <v>5404.0</v>
      </c>
    </row>
    <row r="4052">
      <c r="A4052" s="40">
        <f t="array" ref="A4052">IFNA(index(PlayerValues!A:A,match(IFNA(vlookup(B4052,'Special Names'!A:B,2,FALSE),B4052),PlayerValues!E:E,0)),"N/A")</f>
        <v>15708</v>
      </c>
      <c r="B4052" s="4" t="s">
        <v>382</v>
      </c>
      <c r="C4052" s="4" t="s">
        <v>278</v>
      </c>
      <c r="D4052" s="94">
        <v>5395.0</v>
      </c>
    </row>
    <row r="4053">
      <c r="A4053" s="40">
        <f t="array" ref="A4053">IFNA(index(PlayerValues!A:A,match(IFNA(vlookup(B4053,'Special Names'!A:B,2,FALSE),B4053),PlayerValues!E:E,0)),"N/A")</f>
        <v>17498</v>
      </c>
      <c r="B4053" s="4" t="s">
        <v>396</v>
      </c>
      <c r="C4053" s="4" t="s">
        <v>287</v>
      </c>
      <c r="D4053" s="94">
        <v>5394.0</v>
      </c>
    </row>
    <row r="4054">
      <c r="A4054" s="40">
        <f t="array" ref="A4054">IFNA(index(PlayerValues!A:A,match(IFNA(vlookup(B4054,'Special Names'!A:B,2,FALSE),B4054),PlayerValues!E:E,0)),"N/A")</f>
        <v>17030</v>
      </c>
      <c r="B4054" s="4" t="s">
        <v>406</v>
      </c>
      <c r="C4054" s="4" t="s">
        <v>283</v>
      </c>
      <c r="D4054" s="94">
        <v>5363.0</v>
      </c>
    </row>
    <row r="4055">
      <c r="A4055" s="40">
        <f t="array" ref="A4055">IFNA(index(PlayerValues!A:A,match(IFNA(vlookup(B4055,'Special Names'!A:B,2,FALSE),B4055),PlayerValues!E:E,0)),"N/A")</f>
        <v>16616</v>
      </c>
      <c r="B4055" s="4" t="s">
        <v>389</v>
      </c>
      <c r="C4055" s="4" t="s">
        <v>287</v>
      </c>
      <c r="D4055" s="94">
        <v>5273.0</v>
      </c>
    </row>
    <row r="4056">
      <c r="A4056" s="40">
        <f t="array" ref="A4056">IFNA(index(PlayerValues!A:A,match(IFNA(vlookup(B4056,'Special Names'!A:B,2,FALSE),B4056),PlayerValues!E:E,0)),"N/A")</f>
        <v>16181</v>
      </c>
      <c r="B4056" s="4" t="s">
        <v>350</v>
      </c>
      <c r="C4056" s="4" t="s">
        <v>278</v>
      </c>
      <c r="D4056" s="94">
        <v>5125.0</v>
      </c>
    </row>
    <row r="4057">
      <c r="A4057" s="40">
        <f t="array" ref="A4057">IFNA(index(PlayerValues!A:A,match(IFNA(vlookup(B4057,'Special Names'!A:B,2,FALSE),B4057),PlayerValues!E:E,0)),"N/A")</f>
        <v>17499</v>
      </c>
      <c r="B4057" s="4" t="s">
        <v>402</v>
      </c>
      <c r="C4057" s="4" t="s">
        <v>287</v>
      </c>
      <c r="D4057" s="94">
        <v>5095.0</v>
      </c>
    </row>
    <row r="4058">
      <c r="A4058" s="40" t="str">
        <f t="array" ref="A4058">IFNA(index(PlayerValues!A:A,match(IFNA(vlookup(B4058,'Special Names'!A:B,2,FALSE),B4058),PlayerValues!E:E,0)),"N/A")</f>
        <v>N/A</v>
      </c>
      <c r="B4058" s="4" t="s">
        <v>104</v>
      </c>
      <c r="C4058" s="4" t="s">
        <v>325</v>
      </c>
      <c r="D4058" s="94">
        <v>5016.0</v>
      </c>
    </row>
    <row r="4059">
      <c r="A4059" s="40">
        <f t="array" ref="A4059">IFNA(index(PlayerValues!A:A,match(IFNA(vlookup(B4059,'Special Names'!A:B,2,FALSE),B4059),PlayerValues!E:E,0)),"N/A")</f>
        <v>13130</v>
      </c>
      <c r="B4059" s="4" t="s">
        <v>374</v>
      </c>
      <c r="C4059" s="4" t="s">
        <v>278</v>
      </c>
      <c r="D4059" s="94">
        <v>4985.0</v>
      </c>
    </row>
    <row r="4060">
      <c r="A4060" s="40">
        <f t="array" ref="A4060">IFNA(index(PlayerValues!A:A,match(IFNA(vlookup(B4060,'Special Names'!A:B,2,FALSE),B4060),PlayerValues!E:E,0)),"N/A")</f>
        <v>16614</v>
      </c>
      <c r="B4060" s="4" t="s">
        <v>403</v>
      </c>
      <c r="C4060" s="4" t="s">
        <v>287</v>
      </c>
      <c r="D4060" s="94">
        <v>4968.0</v>
      </c>
    </row>
    <row r="4061">
      <c r="A4061" s="40">
        <f t="array" ref="A4061">IFNA(index(PlayerValues!A:A,match(IFNA(vlookup(B4061,'Special Names'!A:B,2,FALSE),B4061),PlayerValues!E:E,0)),"N/A")</f>
        <v>14104</v>
      </c>
      <c r="B4061" s="4" t="s">
        <v>379</v>
      </c>
      <c r="C4061" s="4" t="s">
        <v>287</v>
      </c>
      <c r="D4061" s="94">
        <v>4951.0</v>
      </c>
    </row>
    <row r="4062">
      <c r="A4062" s="40">
        <f t="array" ref="A4062">IFNA(index(PlayerValues!A:A,match(IFNA(vlookup(B4062,'Special Names'!A:B,2,FALSE),B4062),PlayerValues!E:E,0)),"N/A")</f>
        <v>13604</v>
      </c>
      <c r="B4062" s="4" t="s">
        <v>378</v>
      </c>
      <c r="C4062" s="4" t="s">
        <v>278</v>
      </c>
      <c r="D4062" s="94">
        <v>4946.0</v>
      </c>
    </row>
    <row r="4063">
      <c r="A4063" s="40">
        <f t="array" ref="A4063">IFNA(index(PlayerValues!A:A,match(IFNA(vlookup(B4063,'Special Names'!A:B,2,FALSE),B4063),PlayerValues!E:E,0)),"N/A")</f>
        <v>14835</v>
      </c>
      <c r="B4063" s="4" t="s">
        <v>392</v>
      </c>
      <c r="C4063" s="4" t="s">
        <v>287</v>
      </c>
      <c r="D4063" s="94">
        <v>4938.0</v>
      </c>
    </row>
    <row r="4064">
      <c r="A4064" s="40" t="str">
        <f t="array" ref="A4064">IFNA(index(PlayerValues!A:A,match(IFNA(vlookup(B4064,'Special Names'!A:B,2,FALSE),B4064),PlayerValues!E:E,0)),"N/A")</f>
        <v>N/A</v>
      </c>
      <c r="B4064" s="4" t="s">
        <v>94</v>
      </c>
      <c r="C4064" s="4" t="s">
        <v>325</v>
      </c>
      <c r="D4064" s="94">
        <v>4931.0</v>
      </c>
    </row>
    <row r="4065">
      <c r="A4065" s="40">
        <f t="array" ref="A4065">IFNA(index(PlayerValues!A:A,match(IFNA(vlookup(B4065,'Special Names'!A:B,2,FALSE),B4065),PlayerValues!E:E,0)),"N/A")</f>
        <v>16222</v>
      </c>
      <c r="B4065" s="4" t="s">
        <v>393</v>
      </c>
      <c r="C4065" s="4" t="s">
        <v>298</v>
      </c>
      <c r="D4065" s="94">
        <v>5496.0</v>
      </c>
    </row>
    <row r="4066">
      <c r="A4066" s="40">
        <f t="array" ref="A4066">IFNA(index(PlayerValues!A:A,match(IFNA(vlookup(B4066,'Special Names'!A:B,2,FALSE),B4066),PlayerValues!E:E,0)),"N/A")</f>
        <v>16618</v>
      </c>
      <c r="B4066" s="4" t="s">
        <v>411</v>
      </c>
      <c r="C4066" s="4" t="s">
        <v>287</v>
      </c>
      <c r="D4066" s="94">
        <v>4890.0</v>
      </c>
    </row>
    <row r="4067">
      <c r="A4067" s="40">
        <f t="array" ref="A4067">IFNA(index(PlayerValues!A:A,match(IFNA(vlookup(B4067,'Special Names'!A:B,2,FALSE),B4067),PlayerValues!E:E,0)),"N/A")</f>
        <v>16190</v>
      </c>
      <c r="B4067" s="4" t="s">
        <v>371</v>
      </c>
      <c r="C4067" s="4" t="s">
        <v>287</v>
      </c>
      <c r="D4067" s="94">
        <v>4888.0</v>
      </c>
    </row>
    <row r="4068">
      <c r="A4068" s="40">
        <f t="array" ref="A4068">IFNA(index(PlayerValues!A:A,match(IFNA(vlookup(B4068,'Special Names'!A:B,2,FALSE),B4068),PlayerValues!E:E,0)),"N/A")</f>
        <v>12620</v>
      </c>
      <c r="B4068" s="4" t="s">
        <v>394</v>
      </c>
      <c r="C4068" s="4" t="s">
        <v>283</v>
      </c>
      <c r="D4068" s="94">
        <v>4881.0</v>
      </c>
    </row>
    <row r="4069">
      <c r="A4069" s="40">
        <f t="array" ref="A4069">IFNA(index(PlayerValues!A:A,match(IFNA(vlookup(B4069,'Special Names'!A:B,2,FALSE),B4069),PlayerValues!E:E,0)),"N/A")</f>
        <v>15710</v>
      </c>
      <c r="B4069" s="4" t="s">
        <v>395</v>
      </c>
      <c r="C4069" s="4" t="s">
        <v>278</v>
      </c>
      <c r="D4069" s="94">
        <v>4864.0</v>
      </c>
    </row>
    <row r="4070">
      <c r="A4070" s="40">
        <f t="array" ref="A4070">IFNA(index(PlayerValues!A:A,match(IFNA(vlookup(B4070,'Special Names'!A:B,2,FALSE),B4070),PlayerValues!E:E,0)),"N/A")</f>
        <v>17473</v>
      </c>
      <c r="B4070" s="4" t="s">
        <v>391</v>
      </c>
      <c r="C4070" s="4" t="s">
        <v>278</v>
      </c>
      <c r="D4070" s="94">
        <v>4856.0</v>
      </c>
    </row>
    <row r="4071">
      <c r="A4071" s="40">
        <f t="array" ref="A4071">IFNA(index(PlayerValues!A:A,match(IFNA(vlookup(B4071,'Special Names'!A:B,2,FALSE),B4071),PlayerValues!E:E,0)),"N/A")</f>
        <v>17103</v>
      </c>
      <c r="B4071" s="4" t="s">
        <v>405</v>
      </c>
      <c r="C4071" s="4" t="s">
        <v>298</v>
      </c>
      <c r="D4071" s="94">
        <v>5411.0</v>
      </c>
    </row>
    <row r="4072">
      <c r="A4072" s="40">
        <f t="array" ref="A4072">IFNA(index(PlayerValues!A:A,match(IFNA(vlookup(B4072,'Special Names'!A:B,2,FALSE),B4072),PlayerValues!E:E,0)),"N/A")</f>
        <v>16150</v>
      </c>
      <c r="B4072" s="4" t="s">
        <v>414</v>
      </c>
      <c r="C4072" s="4" t="s">
        <v>283</v>
      </c>
      <c r="D4072" s="94">
        <v>4816.0</v>
      </c>
    </row>
    <row r="4073">
      <c r="A4073" s="40">
        <f t="array" ref="A4073">IFNA(index(PlayerValues!A:A,match(IFNA(vlookup(B4073,'Special Names'!A:B,2,FALSE),B4073),PlayerValues!E:E,0)),"N/A")</f>
        <v>17039</v>
      </c>
      <c r="B4073" s="4" t="s">
        <v>400</v>
      </c>
      <c r="C4073" s="4" t="s">
        <v>283</v>
      </c>
      <c r="D4073" s="94">
        <v>4816.0</v>
      </c>
    </row>
    <row r="4074">
      <c r="A4074" s="40">
        <f t="array" ref="A4074">IFNA(index(PlayerValues!A:A,match(IFNA(vlookup(B4074,'Special Names'!A:B,2,FALSE),B4074),PlayerValues!E:E,0)),"N/A")</f>
        <v>17045</v>
      </c>
      <c r="B4074" s="4" t="s">
        <v>407</v>
      </c>
      <c r="C4074" s="4" t="s">
        <v>278</v>
      </c>
      <c r="D4074" s="94">
        <v>4788.0</v>
      </c>
    </row>
    <row r="4075">
      <c r="A4075" s="40">
        <f t="array" ref="A4075">IFNA(index(PlayerValues!A:A,match(IFNA(vlookup(B4075,'Special Names'!A:B,2,FALSE),B4075),PlayerValues!E:E,0)),"N/A")</f>
        <v>15284</v>
      </c>
      <c r="B4075" s="4" t="s">
        <v>390</v>
      </c>
      <c r="C4075" s="4" t="s">
        <v>287</v>
      </c>
      <c r="D4075" s="94">
        <v>4767.0</v>
      </c>
    </row>
    <row r="4076">
      <c r="A4076" s="40">
        <f t="array" ref="A4076">IFNA(index(PlayerValues!A:A,match(IFNA(vlookup(B4076,'Special Names'!A:B,2,FALSE),B4076),PlayerValues!E:E,0)),"N/A")</f>
        <v>16598</v>
      </c>
      <c r="B4076" s="4" t="s">
        <v>408</v>
      </c>
      <c r="C4076" s="4" t="s">
        <v>278</v>
      </c>
      <c r="D4076" s="94">
        <v>4722.0</v>
      </c>
    </row>
    <row r="4077">
      <c r="A4077" s="40">
        <f t="array" ref="A4077">IFNA(index(PlayerValues!A:A,match(IFNA(vlookup(B4077,'Special Names'!A:B,2,FALSE),B4077),PlayerValues!E:E,0)),"N/A")</f>
        <v>13590</v>
      </c>
      <c r="B4077" s="4" t="s">
        <v>409</v>
      </c>
      <c r="C4077" s="4" t="s">
        <v>283</v>
      </c>
      <c r="D4077" s="94">
        <v>4707.0</v>
      </c>
    </row>
    <row r="4078">
      <c r="A4078" s="40">
        <f t="array" ref="A4078">IFNA(index(PlayerValues!A:A,match(IFNA(vlookup(B4078,'Special Names'!A:B,2,FALSE),B4078),PlayerValues!E:E,0)),"N/A")</f>
        <v>12611</v>
      </c>
      <c r="B4078" s="4" t="s">
        <v>410</v>
      </c>
      <c r="C4078" s="4" t="s">
        <v>283</v>
      </c>
      <c r="D4078" s="94">
        <v>4683.0</v>
      </c>
    </row>
    <row r="4079">
      <c r="A4079" s="40">
        <f t="array" ref="A4079">IFNA(index(PlayerValues!A:A,match(IFNA(vlookup(B4079,'Special Names'!A:B,2,FALSE),B4079),PlayerValues!E:E,0)),"N/A")</f>
        <v>15756</v>
      </c>
      <c r="B4079" s="4" t="s">
        <v>399</v>
      </c>
      <c r="C4079" s="4" t="s">
        <v>287</v>
      </c>
      <c r="D4079" s="94">
        <v>4678.0</v>
      </c>
    </row>
    <row r="4080">
      <c r="A4080" s="40">
        <f t="array" ref="A4080">IFNA(index(PlayerValues!A:A,match(IFNA(vlookup(B4080,'Special Names'!A:B,2,FALSE),B4080),PlayerValues!E:E,0)),"N/A")</f>
        <v>16194</v>
      </c>
      <c r="B4080" s="4" t="s">
        <v>398</v>
      </c>
      <c r="C4080" s="4" t="s">
        <v>287</v>
      </c>
      <c r="D4080" s="94">
        <v>4668.0</v>
      </c>
    </row>
    <row r="4081">
      <c r="A4081" s="40" t="str">
        <f t="array" ref="A4081">IFNA(index(PlayerValues!A:A,match(IFNA(vlookup(B4081,'Special Names'!A:B,2,FALSE),B4081),PlayerValues!E:E,0)),"N/A")</f>
        <v>N/A</v>
      </c>
      <c r="B4081" s="4" t="s">
        <v>105</v>
      </c>
      <c r="C4081" s="4" t="s">
        <v>325</v>
      </c>
      <c r="D4081" s="94">
        <v>4591.0</v>
      </c>
    </row>
    <row r="4082">
      <c r="A4082" s="40" t="str">
        <f t="array" ref="A4082">IFNA(index(PlayerValues!A:A,match(IFNA(vlookup(B4082,'Special Names'!A:B,2,FALSE),B4082),PlayerValues!E:E,0)),"N/A")</f>
        <v>N/A</v>
      </c>
      <c r="B4082" s="4" t="s">
        <v>80</v>
      </c>
      <c r="C4082" s="4" t="s">
        <v>325</v>
      </c>
      <c r="D4082" s="94">
        <v>4581.0</v>
      </c>
    </row>
    <row r="4083">
      <c r="A4083" s="40">
        <f t="array" ref="A4083">IFNA(index(PlayerValues!A:A,match(IFNA(vlookup(B4083,'Special Names'!A:B,2,FALSE),B4083),PlayerValues!E:E,0)),"N/A")</f>
        <v>13592</v>
      </c>
      <c r="B4083" s="4" t="s">
        <v>418</v>
      </c>
      <c r="C4083" s="4" t="s">
        <v>283</v>
      </c>
      <c r="D4083" s="94">
        <v>4519.0</v>
      </c>
    </row>
    <row r="4084">
      <c r="A4084" s="40">
        <f t="array" ref="A4084">IFNA(index(PlayerValues!A:A,match(IFNA(vlookup(B4084,'Special Names'!A:B,2,FALSE),B4084),PlayerValues!E:E,0)),"N/A")</f>
        <v>15329</v>
      </c>
      <c r="B4084" s="4" t="s">
        <v>416</v>
      </c>
      <c r="C4084" s="4" t="s">
        <v>298</v>
      </c>
      <c r="D4084" s="94">
        <v>5040.0</v>
      </c>
    </row>
    <row r="4085">
      <c r="A4085" s="40">
        <f t="array" ref="A4085">IFNA(index(PlayerValues!A:A,match(IFNA(vlookup(B4085,'Special Names'!A:B,2,FALSE),B4085),PlayerValues!E:E,0)),"N/A")</f>
        <v>15256</v>
      </c>
      <c r="B4085" s="4" t="s">
        <v>401</v>
      </c>
      <c r="C4085" s="4" t="s">
        <v>278</v>
      </c>
      <c r="D4085" s="94">
        <v>4486.0</v>
      </c>
    </row>
    <row r="4086">
      <c r="A4086" s="40">
        <f t="array" ref="A4086">IFNA(index(PlayerValues!A:A,match(IFNA(vlookup(B4086,'Special Names'!A:B,2,FALSE),B4086),PlayerValues!E:E,0)),"N/A")</f>
        <v>16214</v>
      </c>
      <c r="B4086" s="4" t="s">
        <v>413</v>
      </c>
      <c r="C4086" s="4" t="s">
        <v>298</v>
      </c>
      <c r="D4086" s="94">
        <v>5011.0</v>
      </c>
    </row>
    <row r="4087">
      <c r="A4087" s="40">
        <f t="array" ref="A4087">IFNA(index(PlayerValues!A:A,match(IFNA(vlookup(B4087,'Special Names'!A:B,2,FALSE),B4087),PlayerValues!E:E,0)),"N/A")</f>
        <v>17501</v>
      </c>
      <c r="B4087" s="4" t="s">
        <v>404</v>
      </c>
      <c r="C4087" s="4" t="s">
        <v>287</v>
      </c>
      <c r="D4087" s="94">
        <v>4470.0</v>
      </c>
    </row>
    <row r="4088">
      <c r="A4088" s="40">
        <f t="array" ref="A4088">IFNA(index(PlayerValues!A:A,match(IFNA(vlookup(B4088,'Special Names'!A:B,2,FALSE),B4088),PlayerValues!E:E,0)),"N/A")</f>
        <v>15253</v>
      </c>
      <c r="B4088" s="4" t="s">
        <v>415</v>
      </c>
      <c r="C4088" s="4" t="s">
        <v>278</v>
      </c>
      <c r="D4088" s="94">
        <v>4468.0</v>
      </c>
    </row>
    <row r="4089">
      <c r="A4089" s="40">
        <f t="array" ref="A4089">IFNA(index(PlayerValues!A:A,match(IFNA(vlookup(B4089,'Special Names'!A:B,2,FALSE),B4089),PlayerValues!E:E,0)),"N/A")</f>
        <v>16148</v>
      </c>
      <c r="B4089" s="4" t="s">
        <v>426</v>
      </c>
      <c r="C4089" s="4" t="s">
        <v>283</v>
      </c>
      <c r="D4089" s="94">
        <v>4320.0</v>
      </c>
    </row>
    <row r="4090">
      <c r="A4090" s="40" t="str">
        <f t="array" ref="A4090">IFNA(index(PlayerValues!A:A,match(IFNA(vlookup(B4090,'Special Names'!A:B,2,FALSE),B4090),PlayerValues!E:E,0)),"N/A")</f>
        <v>N/A</v>
      </c>
      <c r="B4090" s="4" t="s">
        <v>107</v>
      </c>
      <c r="C4090" s="4" t="s">
        <v>325</v>
      </c>
      <c r="D4090" s="94">
        <v>4128.0</v>
      </c>
    </row>
    <row r="4091">
      <c r="A4091" s="40">
        <f t="array" ref="A4091">IFNA(index(PlayerValues!A:A,match(IFNA(vlookup(B4091,'Special Names'!A:B,2,FALSE),B4091),PlayerValues!E:E,0)),"N/A")</f>
        <v>14056</v>
      </c>
      <c r="B4091" s="4" t="s">
        <v>423</v>
      </c>
      <c r="C4091" s="4" t="s">
        <v>283</v>
      </c>
      <c r="D4091" s="94">
        <v>4123.0</v>
      </c>
    </row>
    <row r="4092">
      <c r="A4092" s="40">
        <f t="array" ref="A4092">IFNA(index(PlayerValues!A:A,match(IFNA(vlookup(B4092,'Special Names'!A:B,2,FALSE),B4092),PlayerValues!E:E,0)),"N/A")</f>
        <v>17052</v>
      </c>
      <c r="B4092" s="4" t="s">
        <v>417</v>
      </c>
      <c r="C4092" s="4" t="s">
        <v>278</v>
      </c>
      <c r="D4092" s="94">
        <v>4116.0</v>
      </c>
    </row>
    <row r="4093">
      <c r="A4093" s="40">
        <f t="array" ref="A4093">IFNA(index(PlayerValues!A:A,match(IFNA(vlookup(B4093,'Special Names'!A:B,2,FALSE),B4093),PlayerValues!E:E,0)),"N/A")</f>
        <v>17543</v>
      </c>
      <c r="B4093" s="4" t="s">
        <v>436</v>
      </c>
      <c r="C4093" s="4" t="s">
        <v>298</v>
      </c>
      <c r="D4093" s="94">
        <v>4561.0</v>
      </c>
    </row>
    <row r="4094">
      <c r="A4094" s="40">
        <f t="array" ref="A4094">IFNA(index(PlayerValues!A:A,match(IFNA(vlookup(B4094,'Special Names'!A:B,2,FALSE),B4094),PlayerValues!E:E,0)),"N/A")</f>
        <v>12626</v>
      </c>
      <c r="B4094" s="4" t="s">
        <v>419</v>
      </c>
      <c r="C4094" s="4" t="s">
        <v>278</v>
      </c>
      <c r="D4094" s="94">
        <v>4005.0</v>
      </c>
    </row>
    <row r="4095">
      <c r="A4095" s="40">
        <f t="array" ref="A4095">IFNA(index(PlayerValues!A:A,match(IFNA(vlookup(B4095,'Special Names'!A:B,2,FALSE),B4095),PlayerValues!E:E,0)),"N/A")</f>
        <v>15768</v>
      </c>
      <c r="B4095" s="4" t="s">
        <v>432</v>
      </c>
      <c r="C4095" s="4" t="s">
        <v>287</v>
      </c>
      <c r="D4095" s="94">
        <v>3993.0</v>
      </c>
    </row>
    <row r="4096">
      <c r="A4096" s="40">
        <f t="array" ref="A4096">IFNA(index(PlayerValues!A:A,match(IFNA(vlookup(B4096,'Special Names'!A:B,2,FALSE),B4096),PlayerValues!E:E,0)),"N/A")</f>
        <v>16186</v>
      </c>
      <c r="B4096" s="4" t="s">
        <v>425</v>
      </c>
      <c r="C4096" s="4" t="s">
        <v>287</v>
      </c>
      <c r="D4096" s="94">
        <v>3956.0</v>
      </c>
    </row>
    <row r="4097">
      <c r="A4097" s="40">
        <f t="array" ref="A4097">IFNA(index(PlayerValues!A:A,match(IFNA(vlookup(B4097,'Special Names'!A:B,2,FALSE),B4097),PlayerValues!E:E,0)),"N/A")</f>
        <v>14059</v>
      </c>
      <c r="B4097" s="4" t="s">
        <v>435</v>
      </c>
      <c r="C4097" s="4" t="s">
        <v>283</v>
      </c>
      <c r="D4097" s="94">
        <v>3929.0</v>
      </c>
    </row>
    <row r="4098">
      <c r="A4098" s="40">
        <f t="array" ref="A4098">IFNA(index(PlayerValues!A:A,match(IFNA(vlookup(B4098,'Special Names'!A:B,2,FALSE),B4098),PlayerValues!E:E,0)),"N/A")</f>
        <v>15789</v>
      </c>
      <c r="B4098" s="4" t="s">
        <v>421</v>
      </c>
      <c r="C4098" s="4" t="s">
        <v>287</v>
      </c>
      <c r="D4098" s="94">
        <v>3898.0</v>
      </c>
    </row>
    <row r="4099">
      <c r="A4099" s="40" t="str">
        <f t="array" ref="A4099">IFNA(index(PlayerValues!A:A,match(IFNA(vlookup(B4099,'Special Names'!A:B,2,FALSE),B4099),PlayerValues!E:E,0)),"N/A")</f>
        <v>N/A</v>
      </c>
      <c r="B4099" s="4" t="s">
        <v>81</v>
      </c>
      <c r="C4099" s="4" t="s">
        <v>325</v>
      </c>
      <c r="D4099" s="94">
        <v>3888.0</v>
      </c>
    </row>
    <row r="4100">
      <c r="A4100" s="40" t="str">
        <f t="array" ref="A4100">IFNA(index(PlayerValues!A:A,match(IFNA(vlookup(B4100,'Special Names'!A:B,2,FALSE),B4100),PlayerValues!E:E,0)),"N/A")</f>
        <v>N/A</v>
      </c>
      <c r="B4100" s="4" t="s">
        <v>95</v>
      </c>
      <c r="C4100" s="4" t="s">
        <v>325</v>
      </c>
      <c r="D4100" s="94">
        <v>3887.0</v>
      </c>
    </row>
    <row r="4101">
      <c r="A4101" s="40">
        <f t="array" ref="A4101">IFNA(index(PlayerValues!A:A,match(IFNA(vlookup(B4101,'Special Names'!A:B,2,FALSE),B4101),PlayerValues!E:E,0)),"N/A")</f>
        <v>14073</v>
      </c>
      <c r="B4101" s="4" t="s">
        <v>464</v>
      </c>
      <c r="C4101" s="4" t="s">
        <v>278</v>
      </c>
      <c r="D4101" s="94">
        <v>3835.0</v>
      </c>
    </row>
    <row r="4102">
      <c r="A4102" s="40">
        <f t="array" ref="A4102">IFNA(index(PlayerValues!A:A,match(IFNA(vlookup(B4102,'Special Names'!A:B,2,FALSE),B4102),PlayerValues!E:E,0)),"N/A")</f>
        <v>15694</v>
      </c>
      <c r="B4102" s="4" t="s">
        <v>434</v>
      </c>
      <c r="C4102" s="4" t="s">
        <v>283</v>
      </c>
      <c r="D4102" s="94">
        <v>3820.0</v>
      </c>
    </row>
    <row r="4103">
      <c r="A4103" s="40">
        <f t="array" ref="A4103">IFNA(index(PlayerValues!A:A,match(IFNA(vlookup(B4103,'Special Names'!A:B,2,FALSE),B4103),PlayerValues!E:E,0)),"N/A")</f>
        <v>9431</v>
      </c>
      <c r="B4103" s="4" t="s">
        <v>428</v>
      </c>
      <c r="C4103" s="4" t="s">
        <v>283</v>
      </c>
      <c r="D4103" s="94">
        <v>3807.0</v>
      </c>
    </row>
    <row r="4104">
      <c r="A4104" s="40">
        <f t="array" ref="A4104">IFNA(index(PlayerValues!A:A,match(IFNA(vlookup(B4104,'Special Names'!A:B,2,FALSE),B4104),PlayerValues!E:E,0)),"N/A")</f>
        <v>17502</v>
      </c>
      <c r="B4104" s="4" t="s">
        <v>451</v>
      </c>
      <c r="C4104" s="4" t="s">
        <v>287</v>
      </c>
      <c r="D4104" s="94">
        <v>3711.0</v>
      </c>
    </row>
    <row r="4105">
      <c r="A4105" s="40">
        <f t="array" ref="A4105">IFNA(index(PlayerValues!A:A,match(IFNA(vlookup(B4105,'Special Names'!A:B,2,FALSE),B4105),PlayerValues!E:E,0)),"N/A")</f>
        <v>16192</v>
      </c>
      <c r="B4105" s="4" t="s">
        <v>412</v>
      </c>
      <c r="C4105" s="4" t="s">
        <v>287</v>
      </c>
      <c r="D4105" s="94">
        <v>3687.0</v>
      </c>
    </row>
    <row r="4106">
      <c r="A4106" s="40">
        <f t="array" ref="A4106">IFNA(index(PlayerValues!A:A,match(IFNA(vlookup(B4106,'Special Names'!A:B,2,FALSE),B4106),PlayerValues!E:E,0)),"N/A")</f>
        <v>16187</v>
      </c>
      <c r="B4106" s="4" t="s">
        <v>441</v>
      </c>
      <c r="C4106" s="4" t="s">
        <v>287</v>
      </c>
      <c r="D4106" s="94">
        <v>3671.0</v>
      </c>
    </row>
    <row r="4107">
      <c r="A4107" s="40">
        <f t="array" ref="A4107">IFNA(index(PlayerValues!A:A,match(IFNA(vlookup(B4107,'Special Names'!A:B,2,FALSE),B4107),PlayerValues!E:E,0)),"N/A")</f>
        <v>14797</v>
      </c>
      <c r="B4107" s="4" t="s">
        <v>420</v>
      </c>
      <c r="C4107" s="4" t="s">
        <v>278</v>
      </c>
      <c r="D4107" s="94">
        <v>3627.0</v>
      </c>
    </row>
    <row r="4108">
      <c r="A4108" s="40">
        <f t="array" ref="A4108">IFNA(index(PlayerValues!A:A,match(IFNA(vlookup(B4108,'Special Names'!A:B,2,FALSE),B4108),PlayerValues!E:E,0)),"N/A")</f>
        <v>17075</v>
      </c>
      <c r="B4108" s="4" t="s">
        <v>429</v>
      </c>
      <c r="C4108" s="4" t="s">
        <v>287</v>
      </c>
      <c r="D4108" s="94">
        <v>3622.0</v>
      </c>
    </row>
    <row r="4109">
      <c r="A4109" s="40">
        <f t="array" ref="A4109">IFNA(index(PlayerValues!A:A,match(IFNA(vlookup(B4109,'Special Names'!A:B,2,FALSE),B4109),PlayerValues!E:E,0)),"N/A")</f>
        <v>13635</v>
      </c>
      <c r="B4109" s="4" t="s">
        <v>424</v>
      </c>
      <c r="C4109" s="4" t="s">
        <v>287</v>
      </c>
      <c r="D4109" s="94">
        <v>3613.0</v>
      </c>
    </row>
    <row r="4110">
      <c r="A4110" s="40">
        <f t="array" ref="A4110">IFNA(index(PlayerValues!A:A,match(IFNA(vlookup(B4110,'Special Names'!A:B,2,FALSE),B4110),PlayerValues!E:E,0)),"N/A")</f>
        <v>16206</v>
      </c>
      <c r="B4110" s="4" t="s">
        <v>431</v>
      </c>
      <c r="C4110" s="4" t="s">
        <v>287</v>
      </c>
      <c r="D4110" s="94">
        <v>3604.0</v>
      </c>
    </row>
    <row r="4111">
      <c r="A4111" s="40">
        <f t="array" ref="A4111">IFNA(index(PlayerValues!A:A,match(IFNA(vlookup(B4111,'Special Names'!A:B,2,FALSE),B4111),PlayerValues!E:E,0)),"N/A")</f>
        <v>17099</v>
      </c>
      <c r="B4111" s="4" t="s">
        <v>474</v>
      </c>
      <c r="C4111" s="4" t="s">
        <v>298</v>
      </c>
      <c r="D4111" s="94">
        <v>4064.0</v>
      </c>
    </row>
    <row r="4112">
      <c r="A4112" s="40">
        <f t="array" ref="A4112">IFNA(index(PlayerValues!A:A,match(IFNA(vlookup(B4112,'Special Names'!A:B,2,FALSE),B4112),PlayerValues!E:E,0)),"N/A")</f>
        <v>17544</v>
      </c>
      <c r="B4112" s="4" t="s">
        <v>470</v>
      </c>
      <c r="C4112" s="4" t="s">
        <v>298</v>
      </c>
      <c r="D4112" s="94">
        <v>4054.0</v>
      </c>
    </row>
    <row r="4113">
      <c r="A4113" s="40">
        <f t="array" ref="A4113">IFNA(index(PlayerValues!A:A,match(IFNA(vlookup(B4113,'Special Names'!A:B,2,FALSE),B4113),PlayerValues!E:E,0)),"N/A")</f>
        <v>17066</v>
      </c>
      <c r="B4113" s="4" t="s">
        <v>446</v>
      </c>
      <c r="C4113" s="4" t="s">
        <v>278</v>
      </c>
      <c r="D4113" s="94">
        <v>3573.0</v>
      </c>
    </row>
    <row r="4114">
      <c r="A4114" s="40">
        <f t="array" ref="A4114">IFNA(index(PlayerValues!A:A,match(IFNA(vlookup(B4114,'Special Names'!A:B,2,FALSE),B4114),PlayerValues!E:E,0)),"N/A")</f>
        <v>16188</v>
      </c>
      <c r="B4114" s="4" t="s">
        <v>439</v>
      </c>
      <c r="C4114" s="4" t="s">
        <v>287</v>
      </c>
      <c r="D4114" s="94">
        <v>3570.0</v>
      </c>
    </row>
    <row r="4115">
      <c r="A4115" s="40">
        <f t="array" ref="A4115">IFNA(index(PlayerValues!A:A,match(IFNA(vlookup(B4115,'Special Names'!A:B,2,FALSE),B4115),PlayerValues!E:E,0)),"N/A")</f>
        <v>17463</v>
      </c>
      <c r="B4115" s="4" t="s">
        <v>433</v>
      </c>
      <c r="C4115" s="4" t="s">
        <v>283</v>
      </c>
      <c r="D4115" s="94">
        <v>3550.0</v>
      </c>
    </row>
    <row r="4116">
      <c r="A4116" s="40">
        <f t="array" ref="A4116">IFNA(index(PlayerValues!A:A,match(IFNA(vlookup(B4116,'Special Names'!A:B,2,FALSE),B4116),PlayerValues!E:E,0)),"N/A")</f>
        <v>15757</v>
      </c>
      <c r="B4116" s="4" t="s">
        <v>449</v>
      </c>
      <c r="C4116" s="4" t="s">
        <v>287</v>
      </c>
      <c r="D4116" s="94">
        <v>3491.0</v>
      </c>
    </row>
    <row r="4117">
      <c r="A4117" s="40">
        <f t="array" ref="A4117">IFNA(index(PlayerValues!A:A,match(IFNA(vlookup(B4117,'Special Names'!A:B,2,FALSE),B4117),PlayerValues!E:E,0)),"N/A")</f>
        <v>14109</v>
      </c>
      <c r="B4117" s="4" t="s">
        <v>437</v>
      </c>
      <c r="C4117" s="4" t="s">
        <v>287</v>
      </c>
      <c r="D4117" s="94">
        <v>3486.0</v>
      </c>
    </row>
    <row r="4118">
      <c r="A4118" s="40">
        <f t="array" ref="A4118">IFNA(index(PlayerValues!A:A,match(IFNA(vlookup(B4118,'Special Names'!A:B,2,FALSE),B4118),PlayerValues!E:E,0)),"N/A")</f>
        <v>17500</v>
      </c>
      <c r="B4118" s="4" t="s">
        <v>430</v>
      </c>
      <c r="C4118" s="4" t="s">
        <v>287</v>
      </c>
      <c r="D4118" s="94">
        <v>3461.0</v>
      </c>
    </row>
    <row r="4119">
      <c r="A4119" s="40" t="str">
        <f t="array" ref="A4119">IFNA(index(PlayerValues!A:A,match(IFNA(vlookup(B4119,'Special Names'!A:B,2,FALSE),B4119),PlayerValues!E:E,0)),"N/A")</f>
        <v>N/A</v>
      </c>
      <c r="B4119" s="4" t="s">
        <v>96</v>
      </c>
      <c r="C4119" s="4" t="s">
        <v>325</v>
      </c>
      <c r="D4119" s="94">
        <v>3459.0</v>
      </c>
    </row>
    <row r="4120">
      <c r="A4120" s="40">
        <f t="array" ref="A4120">IFNA(index(PlayerValues!A:A,match(IFNA(vlookup(B4120,'Special Names'!A:B,2,FALSE),B4120),PlayerValues!E:E,0)),"N/A")</f>
        <v>17083</v>
      </c>
      <c r="B4120" s="4" t="s">
        <v>479</v>
      </c>
      <c r="C4120" s="4" t="s">
        <v>287</v>
      </c>
      <c r="D4120" s="94">
        <v>3447.0</v>
      </c>
    </row>
    <row r="4121">
      <c r="A4121" s="40">
        <f t="array" ref="A4121">IFNA(index(PlayerValues!A:A,match(IFNA(vlookup(B4121,'Special Names'!A:B,2,FALSE),B4121),PlayerValues!E:E,0)),"N/A")</f>
        <v>14102</v>
      </c>
      <c r="B4121" s="4" t="s">
        <v>444</v>
      </c>
      <c r="C4121" s="4" t="s">
        <v>287</v>
      </c>
      <c r="D4121" s="94">
        <v>3439.0</v>
      </c>
    </row>
    <row r="4122">
      <c r="A4122" s="40">
        <f t="array" ref="A4122">IFNA(index(PlayerValues!A:A,match(IFNA(vlookup(B4122,'Special Names'!A:B,2,FALSE),B4122),PlayerValues!E:E,0)),"N/A")</f>
        <v>16184</v>
      </c>
      <c r="B4122" s="4" t="s">
        <v>445</v>
      </c>
      <c r="C4122" s="4" t="s">
        <v>287</v>
      </c>
      <c r="D4122" s="94">
        <v>3439.0</v>
      </c>
    </row>
    <row r="4123">
      <c r="A4123" s="40">
        <f t="array" ref="A4123">IFNA(index(PlayerValues!A:A,match(IFNA(vlookup(B4123,'Special Names'!A:B,2,FALSE),B4123),PlayerValues!E:E,0)),"N/A")</f>
        <v>17068</v>
      </c>
      <c r="B4123" s="4" t="s">
        <v>450</v>
      </c>
      <c r="C4123" s="4" t="s">
        <v>278</v>
      </c>
      <c r="D4123" s="94">
        <v>3385.0</v>
      </c>
    </row>
    <row r="4124">
      <c r="A4124" s="40">
        <f t="array" ref="A4124">IFNA(index(PlayerValues!A:A,match(IFNA(vlookup(B4124,'Special Names'!A:B,2,FALSE),B4124),PlayerValues!E:E,0)),"N/A")</f>
        <v>15798</v>
      </c>
      <c r="B4124" s="4" t="s">
        <v>443</v>
      </c>
      <c r="C4124" s="4" t="s">
        <v>298</v>
      </c>
      <c r="D4124" s="94">
        <v>3830.0</v>
      </c>
    </row>
    <row r="4125">
      <c r="A4125" s="40">
        <f t="array" ref="A4125">IFNA(index(PlayerValues!A:A,match(IFNA(vlookup(B4125,'Special Names'!A:B,2,FALSE),B4125),PlayerValues!E:E,0)),"N/A")</f>
        <v>14071</v>
      </c>
      <c r="B4125" s="4" t="s">
        <v>440</v>
      </c>
      <c r="C4125" s="4" t="s">
        <v>278</v>
      </c>
      <c r="D4125" s="94">
        <v>3378.0</v>
      </c>
    </row>
    <row r="4126">
      <c r="A4126" s="40">
        <f t="array" ref="A4126">IFNA(index(PlayerValues!A:A,match(IFNA(vlookup(B4126,'Special Names'!A:B,2,FALSE),B4126),PlayerValues!E:E,0)),"N/A")</f>
        <v>16622</v>
      </c>
      <c r="B4126" s="4" t="s">
        <v>517</v>
      </c>
      <c r="C4126" s="4" t="s">
        <v>287</v>
      </c>
      <c r="D4126" s="94">
        <v>3364.0</v>
      </c>
    </row>
    <row r="4127">
      <c r="A4127" s="40">
        <f t="array" ref="A4127">IFNA(index(PlayerValues!A:A,match(IFNA(vlookup(B4127,'Special Names'!A:B,2,FALSE),B4127),PlayerValues!E:E,0)),"N/A")</f>
        <v>16169</v>
      </c>
      <c r="B4127" s="4" t="s">
        <v>457</v>
      </c>
      <c r="C4127" s="4" t="s">
        <v>278</v>
      </c>
      <c r="D4127" s="94">
        <v>3362.0</v>
      </c>
    </row>
    <row r="4128">
      <c r="A4128" s="40">
        <f t="array" ref="A4128">IFNA(index(PlayerValues!A:A,match(IFNA(vlookup(B4128,'Special Names'!A:B,2,FALSE),B4128),PlayerValues!E:E,0)),"N/A")</f>
        <v>14842</v>
      </c>
      <c r="B4128" s="4" t="s">
        <v>456</v>
      </c>
      <c r="C4128" s="4" t="s">
        <v>287</v>
      </c>
      <c r="D4128" s="94">
        <v>3361.0</v>
      </c>
    </row>
    <row r="4129">
      <c r="A4129" s="40">
        <f t="array" ref="A4129">IFNA(index(PlayerValues!A:A,match(IFNA(vlookup(B4129,'Special Names'!A:B,2,FALSE),B4129),PlayerValues!E:E,0)),"N/A")</f>
        <v>16593</v>
      </c>
      <c r="B4129" s="4" t="s">
        <v>442</v>
      </c>
      <c r="C4129" s="4" t="s">
        <v>278</v>
      </c>
      <c r="D4129" s="94">
        <v>3355.0</v>
      </c>
    </row>
    <row r="4130">
      <c r="A4130" s="40">
        <f t="array" ref="A4130">IFNA(index(PlayerValues!A:A,match(IFNA(vlookup(B4130,'Special Names'!A:B,2,FALSE),B4130),PlayerValues!E:E,0)),"N/A")</f>
        <v>16620</v>
      </c>
      <c r="B4130" s="4" t="s">
        <v>467</v>
      </c>
      <c r="C4130" s="4" t="s">
        <v>287</v>
      </c>
      <c r="D4130" s="94">
        <v>3333.0</v>
      </c>
    </row>
    <row r="4131">
      <c r="A4131" s="40">
        <f t="array" ref="A4131">IFNA(index(PlayerValues!A:A,match(IFNA(vlookup(B4131,'Special Names'!A:B,2,FALSE),B4131),PlayerValues!E:E,0)),"N/A")</f>
        <v>11675</v>
      </c>
      <c r="B4131" s="4" t="s">
        <v>438</v>
      </c>
      <c r="C4131" s="4" t="s">
        <v>287</v>
      </c>
      <c r="D4131" s="94">
        <v>3329.0</v>
      </c>
    </row>
    <row r="4132">
      <c r="A4132" s="40">
        <f t="array" ref="A4132">IFNA(index(PlayerValues!A:A,match(IFNA(vlookup(B4132,'Special Names'!A:B,2,FALSE),B4132),PlayerValues!E:E,0)),"N/A")</f>
        <v>17074</v>
      </c>
      <c r="B4132" s="4" t="s">
        <v>475</v>
      </c>
      <c r="C4132" s="4" t="s">
        <v>287</v>
      </c>
      <c r="D4132" s="94">
        <v>3329.0</v>
      </c>
    </row>
    <row r="4133">
      <c r="A4133" s="40">
        <f t="array" ref="A4133">IFNA(index(PlayerValues!A:A,match(IFNA(vlookup(B4133,'Special Names'!A:B,2,FALSE),B4133),PlayerValues!E:E,0)),"N/A")</f>
        <v>15261</v>
      </c>
      <c r="B4133" s="4" t="s">
        <v>466</v>
      </c>
      <c r="C4133" s="4" t="s">
        <v>278</v>
      </c>
      <c r="D4133" s="94">
        <v>3325.0</v>
      </c>
    </row>
    <row r="4134">
      <c r="A4134" s="40">
        <f t="array" ref="A4134">IFNA(index(PlayerValues!A:A,match(IFNA(vlookup(B4134,'Special Names'!A:B,2,FALSE),B4134),PlayerValues!E:E,0)),"N/A")</f>
        <v>16597</v>
      </c>
      <c r="B4134" s="4" t="s">
        <v>427</v>
      </c>
      <c r="C4134" s="4" t="s">
        <v>278</v>
      </c>
      <c r="D4134" s="94">
        <v>3313.0</v>
      </c>
    </row>
    <row r="4135">
      <c r="A4135" s="40">
        <f t="array" ref="A4135">IFNA(index(PlayerValues!A:A,match(IFNA(vlookup(B4135,'Special Names'!A:B,2,FALSE),B4135),PlayerValues!E:E,0)),"N/A")</f>
        <v>11671</v>
      </c>
      <c r="B4135" s="4" t="s">
        <v>463</v>
      </c>
      <c r="C4135" s="4" t="s">
        <v>287</v>
      </c>
      <c r="D4135" s="94">
        <v>3312.0</v>
      </c>
    </row>
    <row r="4136">
      <c r="A4136" s="40" t="str">
        <f t="array" ref="A4136">IFNA(index(PlayerValues!A:A,match(IFNA(vlookup(B4136,'Special Names'!A:B,2,FALSE),B4136),PlayerValues!E:E,0)),"N/A")</f>
        <v>N/A</v>
      </c>
      <c r="B4136" s="4" t="s">
        <v>82</v>
      </c>
      <c r="C4136" s="4" t="s">
        <v>325</v>
      </c>
      <c r="D4136" s="94">
        <v>3312.0</v>
      </c>
    </row>
    <row r="4137">
      <c r="A4137" s="40">
        <f t="array" ref="A4137">IFNA(index(PlayerValues!A:A,match(IFNA(vlookup(B4137,'Special Names'!A:B,2,FALSE),B4137),PlayerValues!E:E,0)),"N/A")</f>
        <v>13299</v>
      </c>
      <c r="B4137" s="4" t="s">
        <v>448</v>
      </c>
      <c r="C4137" s="4" t="s">
        <v>298</v>
      </c>
      <c r="D4137" s="94">
        <v>3728.0</v>
      </c>
    </row>
    <row r="4138">
      <c r="A4138" s="40" t="str">
        <f t="array" ref="A4138">IFNA(index(PlayerValues!A:A,match(IFNA(vlookup(B4138,'Special Names'!A:B,2,FALSE),B4138),PlayerValues!E:E,0)),"N/A")</f>
        <v>N/A</v>
      </c>
      <c r="B4138" s="4" t="s">
        <v>108</v>
      </c>
      <c r="C4138" s="4" t="s">
        <v>325</v>
      </c>
      <c r="D4138" s="94">
        <v>3216.0</v>
      </c>
    </row>
    <row r="4139">
      <c r="A4139" s="40">
        <f t="array" ref="A4139">IFNA(index(PlayerValues!A:A,match(IFNA(vlookup(B4139,'Special Names'!A:B,2,FALSE),B4139),PlayerValues!E:E,0)),"N/A")</f>
        <v>15799</v>
      </c>
      <c r="B4139" s="4" t="s">
        <v>468</v>
      </c>
      <c r="C4139" s="4" t="s">
        <v>298</v>
      </c>
      <c r="D4139" s="94">
        <v>3644.0</v>
      </c>
    </row>
    <row r="4140">
      <c r="A4140" s="40">
        <f t="array" ref="A4140">IFNA(index(PlayerValues!A:A,match(IFNA(vlookup(B4140,'Special Names'!A:B,2,FALSE),B4140),PlayerValues!E:E,0)),"N/A")</f>
        <v>15742</v>
      </c>
      <c r="B4140" s="4" t="s">
        <v>447</v>
      </c>
      <c r="C4140" s="4" t="s">
        <v>278</v>
      </c>
      <c r="D4140" s="94">
        <v>3198.0</v>
      </c>
    </row>
    <row r="4141">
      <c r="A4141" s="40">
        <f t="array" ref="A4141">IFNA(index(PlayerValues!A:A,match(IFNA(vlookup(B4141,'Special Names'!A:B,2,FALSE),B4141),PlayerValues!E:E,0)),"N/A")</f>
        <v>17477</v>
      </c>
      <c r="B4141" s="4" t="s">
        <v>452</v>
      </c>
      <c r="C4141" s="4" t="s">
        <v>278</v>
      </c>
      <c r="D4141" s="94">
        <v>3180.0</v>
      </c>
    </row>
    <row r="4142">
      <c r="A4142" s="40" t="str">
        <f t="array" ref="A4142">IFNA(index(PlayerValues!A:A,match(IFNA(vlookup(B4142,'Special Names'!A:B,2,FALSE),B4142),PlayerValues!E:E,0)),"N/A")</f>
        <v>N/A</v>
      </c>
      <c r="B4142" s="4" t="s">
        <v>97</v>
      </c>
      <c r="C4142" s="4" t="s">
        <v>325</v>
      </c>
      <c r="D4142" s="94">
        <v>3173.0</v>
      </c>
    </row>
    <row r="4143">
      <c r="A4143" s="40">
        <f t="array" ref="A4143">IFNA(index(PlayerValues!A:A,match(IFNA(vlookup(B4143,'Special Names'!A:B,2,FALSE),B4143),PlayerValues!E:E,0)),"N/A")</f>
        <v>16809</v>
      </c>
      <c r="B4143" s="4" t="s">
        <v>455</v>
      </c>
      <c r="C4143" s="4" t="s">
        <v>287</v>
      </c>
      <c r="D4143" s="94">
        <v>3158.0</v>
      </c>
    </row>
    <row r="4144">
      <c r="A4144" s="40">
        <f t="array" ref="A4144">IFNA(index(PlayerValues!A:A,match(IFNA(vlookup(B4144,'Special Names'!A:B,2,FALSE),B4144),PlayerValues!E:E,0)),"N/A")</f>
        <v>14823</v>
      </c>
      <c r="B4144" s="4" t="s">
        <v>459</v>
      </c>
      <c r="C4144" s="4" t="s">
        <v>278</v>
      </c>
      <c r="D4144" s="94">
        <v>3151.0</v>
      </c>
    </row>
    <row r="4145">
      <c r="A4145" s="40">
        <f t="array" ref="A4145">IFNA(index(PlayerValues!A:A,match(IFNA(vlookup(B4145,'Special Names'!A:B,2,FALSE),B4145),PlayerValues!E:E,0)),"N/A")</f>
        <v>16213</v>
      </c>
      <c r="B4145" s="4" t="s">
        <v>458</v>
      </c>
      <c r="C4145" s="4" t="s">
        <v>298</v>
      </c>
      <c r="D4145" s="94">
        <v>3570.0</v>
      </c>
    </row>
    <row r="4146">
      <c r="A4146" s="40">
        <f t="array" ref="A4146">IFNA(index(PlayerValues!A:A,match(IFNA(vlookup(B4146,'Special Names'!A:B,2,FALSE),B4146),PlayerValues!E:E,0)),"N/A")</f>
        <v>13630</v>
      </c>
      <c r="B4146" s="4" t="s">
        <v>465</v>
      </c>
      <c r="C4146" s="4" t="s">
        <v>287</v>
      </c>
      <c r="D4146" s="94">
        <v>3108.0</v>
      </c>
    </row>
    <row r="4147">
      <c r="A4147" s="40">
        <f t="array" ref="A4147">IFNA(index(PlayerValues!A:A,match(IFNA(vlookup(B4147,'Special Names'!A:B,2,FALSE),B4147),PlayerValues!E:E,0)),"N/A")</f>
        <v>15779</v>
      </c>
      <c r="B4147" s="4" t="s">
        <v>461</v>
      </c>
      <c r="C4147" s="4" t="s">
        <v>287</v>
      </c>
      <c r="D4147" s="94">
        <v>3088.0</v>
      </c>
    </row>
    <row r="4148">
      <c r="A4148" s="40">
        <f t="array" ref="A4148">IFNA(index(PlayerValues!A:A,match(IFNA(vlookup(B4148,'Special Names'!A:B,2,FALSE),B4148),PlayerValues!E:E,0)),"N/A")</f>
        <v>16583</v>
      </c>
      <c r="B4148" s="4" t="s">
        <v>493</v>
      </c>
      <c r="C4148" s="4" t="s">
        <v>283</v>
      </c>
      <c r="D4148" s="94">
        <v>3075.0</v>
      </c>
    </row>
    <row r="4149">
      <c r="A4149" s="40">
        <f t="array" ref="A4149">IFNA(index(PlayerValues!A:A,match(IFNA(vlookup(B4149,'Special Names'!A:B,2,FALSE),B4149),PlayerValues!E:E,0)),"N/A")</f>
        <v>16628</v>
      </c>
      <c r="B4149" s="4" t="s">
        <v>490</v>
      </c>
      <c r="C4149" s="4" t="s">
        <v>287</v>
      </c>
      <c r="D4149" s="94">
        <v>3074.0</v>
      </c>
    </row>
    <row r="4150">
      <c r="A4150" s="40">
        <f t="array" ref="A4150">IFNA(index(PlayerValues!A:A,match(IFNA(vlookup(B4150,'Special Names'!A:B,2,FALSE),B4150),PlayerValues!E:E,0)),"N/A")</f>
        <v>17506</v>
      </c>
      <c r="B4150" s="4" t="s">
        <v>471</v>
      </c>
      <c r="C4150" s="4" t="s">
        <v>287</v>
      </c>
      <c r="D4150" s="94">
        <v>3059.0</v>
      </c>
    </row>
    <row r="4151">
      <c r="A4151" s="40">
        <f t="array" ref="A4151">IFNA(index(PlayerValues!A:A,match(IFNA(vlookup(B4151,'Special Names'!A:B,2,FALSE),B4151),PlayerValues!E:E,0)),"N/A")</f>
        <v>14127</v>
      </c>
      <c r="B4151" s="4" t="s">
        <v>486</v>
      </c>
      <c r="C4151" s="4" t="s">
        <v>287</v>
      </c>
      <c r="D4151" s="94">
        <v>3056.0</v>
      </c>
    </row>
    <row r="4152">
      <c r="A4152" s="40">
        <f t="array" ref="A4152">IFNA(index(PlayerValues!A:A,match(IFNA(vlookup(B4152,'Special Names'!A:B,2,FALSE),B4152),PlayerValues!E:E,0)),"N/A")</f>
        <v>17512</v>
      </c>
      <c r="B4152" s="4" t="s">
        <v>483</v>
      </c>
      <c r="C4152" s="4" t="s">
        <v>287</v>
      </c>
      <c r="D4152" s="94">
        <v>3038.0</v>
      </c>
    </row>
    <row r="4153">
      <c r="A4153" s="40" t="str">
        <f t="array" ref="A4153">IFNA(index(PlayerValues!A:A,match(IFNA(vlookup(B4153,'Special Names'!A:B,2,FALSE),B4153),PlayerValues!E:E,0)),"N/A")</f>
        <v>N/A</v>
      </c>
      <c r="B4153" s="4" t="s">
        <v>84</v>
      </c>
      <c r="C4153" s="4" t="s">
        <v>325</v>
      </c>
      <c r="D4153" s="94">
        <v>2989.0</v>
      </c>
    </row>
    <row r="4154">
      <c r="A4154" s="40" t="str">
        <f t="array" ref="A4154">IFNA(index(PlayerValues!A:A,match(IFNA(vlookup(B4154,'Special Names'!A:B,2,FALSE),B4154),PlayerValues!E:E,0)),"N/A")</f>
        <v>N/A</v>
      </c>
      <c r="B4154" s="4" t="s">
        <v>109</v>
      </c>
      <c r="C4154" s="4" t="s">
        <v>325</v>
      </c>
      <c r="D4154" s="94">
        <v>2986.0</v>
      </c>
    </row>
    <row r="4155">
      <c r="A4155" s="40">
        <f t="array" ref="A4155">IFNA(index(PlayerValues!A:A,match(IFNA(vlookup(B4155,'Special Names'!A:B,2,FALSE),B4155),PlayerValues!E:E,0)),"N/A")</f>
        <v>16269</v>
      </c>
      <c r="B4155" s="4" t="s">
        <v>481</v>
      </c>
      <c r="C4155" s="4" t="s">
        <v>298</v>
      </c>
      <c r="D4155" s="94">
        <v>3406.0</v>
      </c>
    </row>
    <row r="4156">
      <c r="A4156" s="40">
        <f t="array" ref="A4156">IFNA(index(PlayerValues!A:A,match(IFNA(vlookup(B4156,'Special Names'!A:B,2,FALSE),B4156),PlayerValues!E:E,0)),"N/A")</f>
        <v>14800</v>
      </c>
      <c r="B4156" s="4" t="s">
        <v>472</v>
      </c>
      <c r="C4156" s="4" t="s">
        <v>278</v>
      </c>
      <c r="D4156" s="94">
        <v>2965.0</v>
      </c>
    </row>
    <row r="4157">
      <c r="A4157" s="40">
        <f t="array" ref="A4157">IFNA(index(PlayerValues!A:A,match(IFNA(vlookup(B4157,'Special Names'!A:B,2,FALSE),B4157),PlayerValues!E:E,0)),"N/A")</f>
        <v>17503</v>
      </c>
      <c r="B4157" s="4" t="s">
        <v>480</v>
      </c>
      <c r="C4157" s="4" t="s">
        <v>287</v>
      </c>
      <c r="D4157" s="94">
        <v>2964.0</v>
      </c>
    </row>
    <row r="4158">
      <c r="A4158" s="40">
        <f t="array" ref="A4158">IFNA(index(PlayerValues!A:A,match(IFNA(vlookup(B4158,'Special Names'!A:B,2,FALSE),B4158),PlayerValues!E:E,0)),"N/A")</f>
        <v>17256</v>
      </c>
      <c r="B4158" s="4" t="s">
        <v>462</v>
      </c>
      <c r="C4158" s="4" t="s">
        <v>278</v>
      </c>
      <c r="D4158" s="94">
        <v>2952.0</v>
      </c>
    </row>
    <row r="4159">
      <c r="A4159" s="40">
        <f t="array" ref="A4159">IFNA(index(PlayerValues!A:A,match(IFNA(vlookup(B4159,'Special Names'!A:B,2,FALSE),B4159),PlayerValues!E:E,0)),"N/A")</f>
        <v>15259</v>
      </c>
      <c r="B4159" s="4" t="s">
        <v>453</v>
      </c>
      <c r="C4159" s="4" t="s">
        <v>278</v>
      </c>
      <c r="D4159" s="94">
        <v>2943.0</v>
      </c>
    </row>
    <row r="4160">
      <c r="A4160" s="40">
        <f t="array" ref="A4160">IFNA(index(PlayerValues!A:A,match(IFNA(vlookup(B4160,'Special Names'!A:B,2,FALSE),B4160),PlayerValues!E:E,0)),"N/A")</f>
        <v>15761</v>
      </c>
      <c r="B4160" s="4" t="s">
        <v>491</v>
      </c>
      <c r="C4160" s="4" t="s">
        <v>287</v>
      </c>
      <c r="D4160" s="94">
        <v>2921.0</v>
      </c>
    </row>
    <row r="4161">
      <c r="A4161" s="40">
        <f t="array" ref="A4161">IFNA(index(PlayerValues!A:A,match(IFNA(vlookup(B4161,'Special Names'!A:B,2,FALSE),B4161),PlayerValues!E:E,0)),"N/A")</f>
        <v>13163</v>
      </c>
      <c r="B4161" s="4" t="s">
        <v>473</v>
      </c>
      <c r="C4161" s="4" t="s">
        <v>287</v>
      </c>
      <c r="D4161" s="94">
        <v>2913.0</v>
      </c>
    </row>
    <row r="4162">
      <c r="A4162" s="40">
        <f t="array" ref="A4162">IFNA(index(PlayerValues!A:A,match(IFNA(vlookup(B4162,'Special Names'!A:B,2,FALSE),B4162),PlayerValues!E:E,0)),"N/A")</f>
        <v>15255</v>
      </c>
      <c r="B4162" s="4" t="s">
        <v>477</v>
      </c>
      <c r="C4162" s="4" t="s">
        <v>278</v>
      </c>
      <c r="D4162" s="94">
        <v>2912.0</v>
      </c>
    </row>
    <row r="4163">
      <c r="A4163" s="40">
        <f t="array" ref="A4163">IFNA(index(PlayerValues!A:A,match(IFNA(vlookup(B4163,'Special Names'!A:B,2,FALSE),B4163),PlayerValues!E:E,0)),"N/A")</f>
        <v>17476</v>
      </c>
      <c r="B4163" s="4" t="s">
        <v>494</v>
      </c>
      <c r="C4163" s="4" t="s">
        <v>278</v>
      </c>
      <c r="D4163" s="94">
        <v>2903.0</v>
      </c>
    </row>
    <row r="4164">
      <c r="A4164" s="40">
        <f t="array" ref="A4164">IFNA(index(PlayerValues!A:A,match(IFNA(vlookup(B4164,'Special Names'!A:B,2,FALSE),B4164),PlayerValues!E:E,0)),"N/A")</f>
        <v>14085</v>
      </c>
      <c r="B4164" s="4" t="s">
        <v>489</v>
      </c>
      <c r="C4164" s="4" t="s">
        <v>278</v>
      </c>
      <c r="D4164" s="94">
        <v>2828.0</v>
      </c>
    </row>
    <row r="4165">
      <c r="A4165" s="40">
        <f t="array" ref="A4165">IFNA(index(PlayerValues!A:A,match(IFNA(vlookup(B4165,'Special Names'!A:B,2,FALSE),B4165),PlayerValues!E:E,0)),"N/A")</f>
        <v>15889</v>
      </c>
      <c r="B4165" s="4" t="s">
        <v>503</v>
      </c>
      <c r="C4165" s="4" t="s">
        <v>298</v>
      </c>
      <c r="D4165" s="94">
        <v>3225.0</v>
      </c>
    </row>
    <row r="4166">
      <c r="A4166" s="40" t="str">
        <f t="array" ref="A4166">IFNA(index(PlayerValues!A:A,match(IFNA(vlookup(B4166,'Special Names'!A:B,2,FALSE),B4166),PlayerValues!E:E,0)),"N/A")</f>
        <v>N/A</v>
      </c>
      <c r="B4166" s="4" t="s">
        <v>85</v>
      </c>
      <c r="C4166" s="4" t="s">
        <v>325</v>
      </c>
      <c r="D4166" s="94">
        <v>2809.0</v>
      </c>
    </row>
    <row r="4167">
      <c r="A4167" s="40" t="str">
        <f t="array" ref="A4167">IFNA(index(PlayerValues!A:A,match(IFNA(vlookup(B4167,'Special Names'!A:B,2,FALSE),B4167),PlayerValues!E:E,0)),"N/A")</f>
        <v>N/A</v>
      </c>
      <c r="B4167" s="4" t="s">
        <v>110</v>
      </c>
      <c r="C4167" s="4" t="s">
        <v>325</v>
      </c>
      <c r="D4167" s="94">
        <v>2799.0</v>
      </c>
    </row>
    <row r="4168">
      <c r="A4168" s="40">
        <f t="array" ref="A4168">IFNA(index(PlayerValues!A:A,match(IFNA(vlookup(B4168,'Special Names'!A:B,2,FALSE),B4168),PlayerValues!E:E,0)),"N/A")</f>
        <v>17505</v>
      </c>
      <c r="B4168" s="4" t="s">
        <v>528</v>
      </c>
      <c r="C4168" s="4" t="s">
        <v>287</v>
      </c>
      <c r="D4168" s="94">
        <v>2786.0</v>
      </c>
    </row>
    <row r="4169">
      <c r="A4169" s="40">
        <f t="array" ref="A4169">IFNA(index(PlayerValues!A:A,match(IFNA(vlookup(B4169,'Special Names'!A:B,2,FALSE),B4169),PlayerValues!E:E,0)),"N/A")</f>
        <v>14778</v>
      </c>
      <c r="B4169" s="4" t="s">
        <v>564</v>
      </c>
      <c r="C4169" s="4" t="s">
        <v>283</v>
      </c>
      <c r="D4169" s="94">
        <v>2780.0</v>
      </c>
    </row>
    <row r="4170">
      <c r="A4170" s="40">
        <f t="array" ref="A4170">IFNA(index(PlayerValues!A:A,match(IFNA(vlookup(B4170,'Special Names'!A:B,2,FALSE),B4170),PlayerValues!E:E,0)),"N/A")</f>
        <v>13671</v>
      </c>
      <c r="B4170" s="4" t="s">
        <v>506</v>
      </c>
      <c r="C4170" s="4" t="s">
        <v>298</v>
      </c>
      <c r="D4170" s="94">
        <v>3189.0</v>
      </c>
    </row>
    <row r="4171">
      <c r="A4171" s="40">
        <f t="array" ref="A4171">IFNA(index(PlayerValues!A:A,match(IFNA(vlookup(B4171,'Special Names'!A:B,2,FALSE),B4171),PlayerValues!E:E,0)),"N/A")</f>
        <v>16080</v>
      </c>
      <c r="B4171" s="4" t="s">
        <v>499</v>
      </c>
      <c r="C4171" s="4" t="s">
        <v>287</v>
      </c>
      <c r="D4171" s="94">
        <v>2764.0</v>
      </c>
    </row>
    <row r="4172">
      <c r="A4172" s="40">
        <f t="array" ref="A4172">IFNA(index(PlayerValues!A:A,match(IFNA(vlookup(B4172,'Special Names'!A:B,2,FALSE),B4172),PlayerValues!E:E,0)),"N/A")</f>
        <v>17157</v>
      </c>
      <c r="B4172" s="4" t="s">
        <v>524</v>
      </c>
      <c r="C4172" s="4" t="s">
        <v>287</v>
      </c>
      <c r="D4172" s="94">
        <v>2763.0</v>
      </c>
    </row>
    <row r="4173">
      <c r="A4173" s="40">
        <f t="array" ref="A4173">IFNA(index(PlayerValues!A:A,match(IFNA(vlookup(B4173,'Special Names'!A:B,2,FALSE),B4173),PlayerValues!E:E,0)),"N/A")</f>
        <v>15721</v>
      </c>
      <c r="B4173" s="4" t="s">
        <v>504</v>
      </c>
      <c r="C4173" s="4" t="s">
        <v>278</v>
      </c>
      <c r="D4173" s="94">
        <v>2753.0</v>
      </c>
    </row>
    <row r="4174">
      <c r="A4174" s="40">
        <f t="array" ref="A4174">IFNA(index(PlayerValues!A:A,match(IFNA(vlookup(B4174,'Special Names'!A:B,2,FALSE),B4174),PlayerValues!E:E,0)),"N/A")</f>
        <v>16723</v>
      </c>
      <c r="B4174" s="4" t="s">
        <v>502</v>
      </c>
      <c r="C4174" s="4" t="s">
        <v>298</v>
      </c>
      <c r="D4174" s="94">
        <v>3165.0</v>
      </c>
    </row>
    <row r="4175">
      <c r="A4175" s="40">
        <f t="array" ref="A4175">IFNA(index(PlayerValues!A:A,match(IFNA(vlookup(B4175,'Special Names'!A:B,2,FALSE),B4175),PlayerValues!E:E,0)),"N/A")</f>
        <v>17047</v>
      </c>
      <c r="B4175" s="4" t="s">
        <v>510</v>
      </c>
      <c r="C4175" s="4" t="s">
        <v>278</v>
      </c>
      <c r="D4175" s="94">
        <v>2750.0</v>
      </c>
    </row>
    <row r="4176">
      <c r="A4176" s="40">
        <f t="array" ref="A4176">IFNA(index(PlayerValues!A:A,match(IFNA(vlookup(B4176,'Special Names'!A:B,2,FALSE),B4176),PlayerValues!E:E,0)),"N/A")</f>
        <v>15712</v>
      </c>
      <c r="B4176" s="4" t="s">
        <v>488</v>
      </c>
      <c r="C4176" s="4" t="s">
        <v>278</v>
      </c>
      <c r="D4176" s="94">
        <v>2744.0</v>
      </c>
    </row>
    <row r="4177">
      <c r="A4177" s="40">
        <f t="array" ref="A4177">IFNA(index(PlayerValues!A:A,match(IFNA(vlookup(B4177,'Special Names'!A:B,2,FALSE),B4177),PlayerValues!E:E,0)),"N/A")</f>
        <v>17072</v>
      </c>
      <c r="B4177" s="4" t="s">
        <v>508</v>
      </c>
      <c r="C4177" s="4" t="s">
        <v>287</v>
      </c>
      <c r="D4177" s="94">
        <v>2739.0</v>
      </c>
    </row>
    <row r="4178">
      <c r="A4178" s="40">
        <f t="array" ref="A4178">IFNA(index(PlayerValues!A:A,match(IFNA(vlookup(B4178,'Special Names'!A:B,2,FALSE),B4178),PlayerValues!E:E,0)),"N/A")</f>
        <v>16584</v>
      </c>
      <c r="B4178" s="4" t="s">
        <v>569</v>
      </c>
      <c r="C4178" s="4" t="s">
        <v>283</v>
      </c>
      <c r="D4178" s="94">
        <v>2733.0</v>
      </c>
    </row>
    <row r="4179">
      <c r="A4179" s="40">
        <f t="array" ref="A4179">IFNA(index(PlayerValues!A:A,match(IFNA(vlookup(B4179,'Special Names'!A:B,2,FALSE),B4179),PlayerValues!E:E,0)),"N/A")</f>
        <v>17053</v>
      </c>
      <c r="B4179" s="4" t="s">
        <v>484</v>
      </c>
      <c r="C4179" s="4" t="s">
        <v>278</v>
      </c>
      <c r="D4179" s="94">
        <v>2726.0</v>
      </c>
    </row>
    <row r="4180">
      <c r="A4180" s="40">
        <f t="array" ref="A4180">IFNA(index(PlayerValues!A:A,match(IFNA(vlookup(B4180,'Special Names'!A:B,2,FALSE),B4180),PlayerValues!E:E,0)),"N/A")</f>
        <v>17514</v>
      </c>
      <c r="B4180" s="4" t="s">
        <v>422</v>
      </c>
      <c r="C4180" s="4" t="s">
        <v>287</v>
      </c>
      <c r="D4180" s="94">
        <v>2725.0</v>
      </c>
    </row>
    <row r="4181">
      <c r="A4181" s="40">
        <f t="array" ref="A4181">IFNA(index(PlayerValues!A:A,match(IFNA(vlookup(B4181,'Special Names'!A:B,2,FALSE),B4181),PlayerValues!E:E,0)),"N/A")</f>
        <v>14138</v>
      </c>
      <c r="B4181" s="4" t="s">
        <v>531</v>
      </c>
      <c r="C4181" s="4" t="s">
        <v>298</v>
      </c>
      <c r="D4181" s="94">
        <v>3137.0</v>
      </c>
    </row>
    <row r="4182">
      <c r="A4182" s="40">
        <f t="array" ref="A4182">IFNA(index(PlayerValues!A:A,match(IFNA(vlookup(B4182,'Special Names'!A:B,2,FALSE),B4182),PlayerValues!E:E,0)),"N/A")</f>
        <v>17080</v>
      </c>
      <c r="B4182" s="4" t="s">
        <v>532</v>
      </c>
      <c r="C4182" s="4" t="s">
        <v>287</v>
      </c>
      <c r="D4182" s="94">
        <v>2720.0</v>
      </c>
    </row>
    <row r="4183">
      <c r="A4183" s="40">
        <f t="array" ref="A4183">IFNA(index(PlayerValues!A:A,match(IFNA(vlookup(B4183,'Special Names'!A:B,2,FALSE),B4183),PlayerValues!E:E,0)),"N/A")</f>
        <v>17511</v>
      </c>
      <c r="B4183" s="4" t="s">
        <v>485</v>
      </c>
      <c r="C4183" s="4" t="s">
        <v>287</v>
      </c>
      <c r="D4183" s="94">
        <v>2718.0</v>
      </c>
    </row>
    <row r="4184">
      <c r="A4184" s="40">
        <f t="array" ref="A4184">IFNA(index(PlayerValues!A:A,match(IFNA(vlookup(B4184,'Special Names'!A:B,2,FALSE),B4184),PlayerValues!E:E,0)),"N/A")</f>
        <v>17031</v>
      </c>
      <c r="B4184" s="4" t="s">
        <v>535</v>
      </c>
      <c r="C4184" s="4" t="s">
        <v>283</v>
      </c>
      <c r="D4184" s="94">
        <v>2714.0</v>
      </c>
    </row>
    <row r="4185">
      <c r="A4185" s="40">
        <f t="array" ref="A4185">IFNA(index(PlayerValues!A:A,match(IFNA(vlookup(B4185,'Special Names'!A:B,2,FALSE),B4185),PlayerValues!E:E,0)),"N/A")</f>
        <v>17507</v>
      </c>
      <c r="B4185" s="4" t="s">
        <v>495</v>
      </c>
      <c r="C4185" s="4" t="s">
        <v>287</v>
      </c>
      <c r="D4185" s="94">
        <v>2703.0</v>
      </c>
    </row>
    <row r="4186">
      <c r="A4186" s="40">
        <f t="array" ref="A4186">IFNA(index(PlayerValues!A:A,match(IFNA(vlookup(B4186,'Special Names'!A:B,2,FALSE),B4186),PlayerValues!E:E,0)),"N/A")</f>
        <v>15241</v>
      </c>
      <c r="B4186" s="4" t="s">
        <v>546</v>
      </c>
      <c r="C4186" s="4" t="s">
        <v>283</v>
      </c>
      <c r="D4186" s="94">
        <v>2672.0</v>
      </c>
    </row>
    <row r="4187">
      <c r="A4187" s="40">
        <f t="array" ref="A4187">IFNA(index(PlayerValues!A:A,match(IFNA(vlookup(B4187,'Special Names'!A:B,2,FALSE),B4187),PlayerValues!E:E,0)),"N/A")</f>
        <v>16596</v>
      </c>
      <c r="B4187" s="4" t="s">
        <v>501</v>
      </c>
      <c r="C4187" s="4" t="s">
        <v>278</v>
      </c>
      <c r="D4187" s="94">
        <v>2670.0</v>
      </c>
    </row>
    <row r="4188">
      <c r="A4188" s="40">
        <f t="array" ref="A4188">IFNA(index(PlayerValues!A:A,match(IFNA(vlookup(B4188,'Special Names'!A:B,2,FALSE),B4188),PlayerValues!E:E,0)),"N/A")</f>
        <v>17107</v>
      </c>
      <c r="B4188" s="4" t="s">
        <v>478</v>
      </c>
      <c r="C4188" s="4" t="s">
        <v>298</v>
      </c>
      <c r="D4188" s="94">
        <v>3081.0</v>
      </c>
    </row>
    <row r="4189">
      <c r="A4189" s="40">
        <f t="array" ref="A4189">IFNA(index(PlayerValues!A:A,match(IFNA(vlookup(B4189,'Special Names'!A:B,2,FALSE),B4189),PlayerValues!E:E,0)),"N/A")</f>
        <v>15972</v>
      </c>
      <c r="B4189" s="4" t="s">
        <v>469</v>
      </c>
      <c r="C4189" s="4" t="s">
        <v>278</v>
      </c>
      <c r="D4189" s="94">
        <v>2665.0</v>
      </c>
    </row>
    <row r="4190">
      <c r="A4190" s="40">
        <f t="array" ref="A4190">IFNA(index(PlayerValues!A:A,match(IFNA(vlookup(B4190,'Special Names'!A:B,2,FALSE),B4190),PlayerValues!E:E,0)),"N/A")</f>
        <v>12616</v>
      </c>
      <c r="B4190" s="4" t="s">
        <v>529</v>
      </c>
      <c r="C4190" s="4" t="s">
        <v>283</v>
      </c>
      <c r="D4190" s="94">
        <v>2652.0</v>
      </c>
    </row>
    <row r="4191">
      <c r="A4191" s="40">
        <f t="array" ref="A4191">IFNA(index(PlayerValues!A:A,match(IFNA(vlookup(B4191,'Special Names'!A:B,2,FALSE),B4191),PlayerValues!E:E,0)),"N/A")</f>
        <v>16747</v>
      </c>
      <c r="B4191" s="4" t="s">
        <v>555</v>
      </c>
      <c r="C4191" s="4" t="s">
        <v>278</v>
      </c>
      <c r="D4191" s="94">
        <v>2651.0</v>
      </c>
    </row>
    <row r="4192">
      <c r="A4192" s="40">
        <f t="array" ref="A4192">IFNA(index(PlayerValues!A:A,match(IFNA(vlookup(B4192,'Special Names'!A:B,2,FALSE),B4192),PlayerValues!E:E,0)),"N/A")</f>
        <v>17105</v>
      </c>
      <c r="B4192" s="4" t="s">
        <v>525</v>
      </c>
      <c r="C4192" s="4" t="s">
        <v>298</v>
      </c>
      <c r="D4192" s="94">
        <v>3059.0</v>
      </c>
    </row>
    <row r="4193">
      <c r="A4193" s="40" t="str">
        <f t="array" ref="A4193">IFNA(index(PlayerValues!A:A,match(IFNA(vlookup(B4193,'Special Names'!A:B,2,FALSE),B4193),PlayerValues!E:E,0)),"N/A")</f>
        <v>N/A</v>
      </c>
      <c r="B4193" s="4" t="s">
        <v>98</v>
      </c>
      <c r="C4193" s="4" t="s">
        <v>325</v>
      </c>
      <c r="D4193" s="94">
        <v>2640.0</v>
      </c>
    </row>
    <row r="4194">
      <c r="A4194" s="40">
        <f t="array" ref="A4194">IFNA(index(PlayerValues!A:A,match(IFNA(vlookup(B4194,'Special Names'!A:B,2,FALSE),B4194),PlayerValues!E:E,0)),"N/A")</f>
        <v>16174</v>
      </c>
      <c r="B4194" s="4" t="s">
        <v>505</v>
      </c>
      <c r="C4194" s="4" t="s">
        <v>278</v>
      </c>
      <c r="D4194" s="94">
        <v>2638.0</v>
      </c>
    </row>
    <row r="4195">
      <c r="A4195" s="40">
        <f t="array" ref="A4195">IFNA(index(PlayerValues!A:A,match(IFNA(vlookup(B4195,'Special Names'!A:B,2,FALSE),B4195),PlayerValues!E:E,0)),"N/A")</f>
        <v>17098</v>
      </c>
      <c r="B4195" s="4" t="s">
        <v>533</v>
      </c>
      <c r="C4195" s="4" t="s">
        <v>287</v>
      </c>
      <c r="D4195" s="94">
        <v>2637.0</v>
      </c>
    </row>
    <row r="4196">
      <c r="A4196" s="40">
        <f t="array" ref="A4196">IFNA(index(PlayerValues!A:A,match(IFNA(vlookup(B4196,'Special Names'!A:B,2,FALSE),B4196),PlayerValues!E:E,0)),"N/A")</f>
        <v>14833</v>
      </c>
      <c r="B4196" s="4" t="s">
        <v>553</v>
      </c>
      <c r="C4196" s="4" t="s">
        <v>287</v>
      </c>
      <c r="D4196" s="94">
        <v>2608.0</v>
      </c>
    </row>
    <row r="4197">
      <c r="A4197" s="40">
        <f t="array" ref="A4197">IFNA(index(PlayerValues!A:A,match(IFNA(vlookup(B4197,'Special Names'!A:B,2,FALSE),B4197),PlayerValues!E:E,0)),"N/A")</f>
        <v>14860</v>
      </c>
      <c r="B4197" s="4" t="s">
        <v>554</v>
      </c>
      <c r="C4197" s="4" t="s">
        <v>287</v>
      </c>
      <c r="D4197" s="94">
        <v>2606.0</v>
      </c>
    </row>
    <row r="4198">
      <c r="A4198" s="40">
        <f t="array" ref="A4198">IFNA(index(PlayerValues!A:A,match(IFNA(vlookup(B4198,'Special Names'!A:B,2,FALSE),B4198),PlayerValues!E:E,0)),"N/A")</f>
        <v>16165</v>
      </c>
      <c r="B4198" s="4" t="s">
        <v>520</v>
      </c>
      <c r="C4198" s="4" t="s">
        <v>278</v>
      </c>
      <c r="D4198" s="94">
        <v>2597.0</v>
      </c>
    </row>
    <row r="4199">
      <c r="A4199" s="40">
        <f t="array" ref="A4199">IFNA(index(PlayerValues!A:A,match(IFNA(vlookup(B4199,'Special Names'!A:B,2,FALSE),B4199),PlayerValues!E:E,0)),"N/A")</f>
        <v>16619</v>
      </c>
      <c r="B4199" s="4" t="s">
        <v>538</v>
      </c>
      <c r="C4199" s="4" t="s">
        <v>287</v>
      </c>
      <c r="D4199" s="94">
        <v>2594.0</v>
      </c>
    </row>
    <row r="4200">
      <c r="A4200" s="40">
        <f t="array" ref="A4200">IFNA(index(PlayerValues!A:A,match(IFNA(vlookup(B4200,'Special Names'!A:B,2,FALSE),B4200),PlayerValues!E:E,0)),"N/A")</f>
        <v>13674</v>
      </c>
      <c r="B4200" s="4" t="s">
        <v>511</v>
      </c>
      <c r="C4200" s="4" t="s">
        <v>298</v>
      </c>
      <c r="D4200" s="94">
        <v>2998.0</v>
      </c>
    </row>
    <row r="4201">
      <c r="A4201" s="40">
        <f t="array" ref="A4201">IFNA(index(PlayerValues!A:A,match(IFNA(vlookup(B4201,'Special Names'!A:B,2,FALSE),B4201),PlayerValues!E:E,0)),"N/A")</f>
        <v>17478</v>
      </c>
      <c r="B4201" s="4" t="s">
        <v>527</v>
      </c>
      <c r="C4201" s="4" t="s">
        <v>278</v>
      </c>
      <c r="D4201" s="94">
        <v>2585.0</v>
      </c>
    </row>
    <row r="4202">
      <c r="A4202" s="40">
        <f t="array" ref="A4202">IFNA(index(PlayerValues!A:A,match(IFNA(vlookup(B4202,'Special Names'!A:B,2,FALSE),B4202),PlayerValues!E:E,0)),"N/A")</f>
        <v>17474</v>
      </c>
      <c r="B4202" s="4" t="s">
        <v>513</v>
      </c>
      <c r="C4202" s="4" t="s">
        <v>278</v>
      </c>
      <c r="D4202" s="94">
        <v>2568.0</v>
      </c>
    </row>
    <row r="4203">
      <c r="A4203" s="40">
        <f t="array" ref="A4203">IFNA(index(PlayerValues!A:A,match(IFNA(vlookup(B4203,'Special Names'!A:B,2,FALSE),B4203),PlayerValues!E:E,0)),"N/A")</f>
        <v>16684</v>
      </c>
      <c r="B4203" s="4" t="s">
        <v>500</v>
      </c>
      <c r="C4203" s="4" t="s">
        <v>287</v>
      </c>
      <c r="D4203" s="94">
        <v>2543.0</v>
      </c>
    </row>
    <row r="4204">
      <c r="A4204" s="40">
        <f t="array" ref="A4204">IFNA(index(PlayerValues!A:A,match(IFNA(vlookup(B4204,'Special Names'!A:B,2,FALSE),B4204),PlayerValues!E:E,0)),"N/A")</f>
        <v>16626</v>
      </c>
      <c r="B4204" s="4" t="s">
        <v>515</v>
      </c>
      <c r="C4204" s="4" t="s">
        <v>287</v>
      </c>
      <c r="D4204" s="94">
        <v>2542.0</v>
      </c>
    </row>
    <row r="4205">
      <c r="A4205" s="40">
        <f t="array" ref="A4205">IFNA(index(PlayerValues!A:A,match(IFNA(vlookup(B4205,'Special Names'!A:B,2,FALSE),B4205),PlayerValues!E:E,0)),"N/A")</f>
        <v>16193</v>
      </c>
      <c r="B4205" s="4" t="s">
        <v>487</v>
      </c>
      <c r="C4205" s="4" t="s">
        <v>287</v>
      </c>
      <c r="D4205" s="94">
        <v>2539.0</v>
      </c>
    </row>
    <row r="4206">
      <c r="A4206" s="40">
        <f t="array" ref="A4206">IFNA(index(PlayerValues!A:A,match(IFNA(vlookup(B4206,'Special Names'!A:B,2,FALSE),B4206),PlayerValues!E:E,0)),"N/A")</f>
        <v>16204</v>
      </c>
      <c r="B4206" s="4" t="s">
        <v>530</v>
      </c>
      <c r="C4206" s="4" t="s">
        <v>287</v>
      </c>
      <c r="D4206" s="94">
        <v>2533.0</v>
      </c>
    </row>
    <row r="4207">
      <c r="A4207" s="40">
        <f t="array" ref="A4207">IFNA(index(PlayerValues!A:A,match(IFNA(vlookup(B4207,'Special Names'!A:B,2,FALSE),B4207),PlayerValues!E:E,0)),"N/A")</f>
        <v>17520</v>
      </c>
      <c r="B4207" s="4" t="s">
        <v>518</v>
      </c>
      <c r="C4207" s="4" t="s">
        <v>287</v>
      </c>
      <c r="D4207" s="94">
        <v>2526.0</v>
      </c>
    </row>
    <row r="4208">
      <c r="A4208" s="40" t="str">
        <f t="array" ref="A4208">IFNA(index(PlayerValues!A:A,match(IFNA(vlookup(B4208,'Special Names'!A:B,2,FALSE),B4208),PlayerValues!E:E,0)),"N/A")</f>
        <v>N/A</v>
      </c>
      <c r="B4208" s="4" t="s">
        <v>99</v>
      </c>
      <c r="C4208" s="4" t="s">
        <v>325</v>
      </c>
      <c r="D4208" s="94">
        <v>2518.0</v>
      </c>
    </row>
    <row r="4209">
      <c r="A4209" s="40">
        <f t="array" ref="A4209">IFNA(index(PlayerValues!A:A,match(IFNA(vlookup(B4209,'Special Names'!A:B,2,FALSE),B4209),PlayerValues!E:E,0)),"N/A")</f>
        <v>11244</v>
      </c>
      <c r="B4209" s="4" t="s">
        <v>519</v>
      </c>
      <c r="C4209" s="4" t="s">
        <v>298</v>
      </c>
      <c r="D4209" s="94">
        <v>2907.0</v>
      </c>
    </row>
    <row r="4210">
      <c r="A4210" s="40">
        <f t="array" ref="A4210">IFNA(index(PlayerValues!A:A,match(IFNA(vlookup(B4210,'Special Names'!A:B,2,FALSE),B4210),PlayerValues!E:E,0)),"N/A")</f>
        <v>16178</v>
      </c>
      <c r="B4210" s="4" t="s">
        <v>507</v>
      </c>
      <c r="C4210" s="4" t="s">
        <v>278</v>
      </c>
      <c r="D4210" s="94">
        <v>2502.0</v>
      </c>
    </row>
    <row r="4211">
      <c r="A4211" s="40">
        <f t="array" ref="A4211">IFNA(index(PlayerValues!A:A,match(IFNA(vlookup(B4211,'Special Names'!A:B,2,FALSE),B4211),PlayerValues!E:E,0)),"N/A")</f>
        <v>17078</v>
      </c>
      <c r="B4211" s="4" t="s">
        <v>543</v>
      </c>
      <c r="C4211" s="4" t="s">
        <v>287</v>
      </c>
      <c r="D4211" s="94">
        <v>2489.0</v>
      </c>
    </row>
    <row r="4212">
      <c r="A4212" s="40">
        <f t="array" ref="A4212">IFNA(index(PlayerValues!A:A,match(IFNA(vlookup(B4212,'Special Names'!A:B,2,FALSE),B4212),PlayerValues!E:E,0)),"N/A")</f>
        <v>16287</v>
      </c>
      <c r="B4212" s="4" t="s">
        <v>516</v>
      </c>
      <c r="C4212" s="4" t="s">
        <v>287</v>
      </c>
      <c r="D4212" s="94">
        <v>2484.0</v>
      </c>
    </row>
    <row r="4213">
      <c r="A4213" s="40">
        <f t="array" ref="A4213">IFNA(index(PlayerValues!A:A,match(IFNA(vlookup(B4213,'Special Names'!A:B,2,FALSE),B4213),PlayerValues!E:E,0)),"N/A")</f>
        <v>17073</v>
      </c>
      <c r="B4213" s="4" t="s">
        <v>547</v>
      </c>
      <c r="C4213" s="4" t="s">
        <v>287</v>
      </c>
      <c r="D4213" s="94">
        <v>2483.0</v>
      </c>
    </row>
    <row r="4214">
      <c r="A4214" s="40">
        <f t="array" ref="A4214">IFNA(index(PlayerValues!A:A,match(IFNA(vlookup(B4214,'Special Names'!A:B,2,FALSE),B4214),PlayerValues!E:E,0)),"N/A")</f>
        <v>17509</v>
      </c>
      <c r="B4214" s="4" t="s">
        <v>551</v>
      </c>
      <c r="C4214" s="4" t="s">
        <v>287</v>
      </c>
      <c r="D4214" s="94">
        <v>2483.0</v>
      </c>
    </row>
    <row r="4215">
      <c r="A4215" s="40">
        <f t="array" ref="A4215">IFNA(index(PlayerValues!A:A,match(IFNA(vlookup(B4215,'Special Names'!A:B,2,FALSE),B4215),PlayerValues!E:E,0)),"N/A")</f>
        <v>16164</v>
      </c>
      <c r="B4215" s="4" t="s">
        <v>512</v>
      </c>
      <c r="C4215" s="4" t="s">
        <v>278</v>
      </c>
      <c r="D4215" s="94">
        <v>2475.0</v>
      </c>
    </row>
    <row r="4216">
      <c r="A4216" s="40">
        <f t="array" ref="A4216">IFNA(index(PlayerValues!A:A,match(IFNA(vlookup(B4216,'Special Names'!A:B,2,FALSE),B4216),PlayerValues!E:E,0)),"N/A")</f>
        <v>17082</v>
      </c>
      <c r="B4216" s="4" t="s">
        <v>498</v>
      </c>
      <c r="C4216" s="4" t="s">
        <v>287</v>
      </c>
      <c r="D4216" s="94">
        <v>2462.0</v>
      </c>
    </row>
    <row r="4217">
      <c r="A4217" s="40">
        <f t="array" ref="A4217">IFNA(index(PlayerValues!A:A,match(IFNA(vlookup(B4217,'Special Names'!A:B,2,FALSE),B4217),PlayerValues!E:E,0)),"N/A")</f>
        <v>17508</v>
      </c>
      <c r="B4217" s="4" t="s">
        <v>534</v>
      </c>
      <c r="C4217" s="4" t="s">
        <v>287</v>
      </c>
      <c r="D4217" s="94">
        <v>2445.0</v>
      </c>
    </row>
    <row r="4218">
      <c r="A4218" s="40">
        <f t="array" ref="A4218">IFNA(index(PlayerValues!A:A,match(IFNA(vlookup(B4218,'Special Names'!A:B,2,FALSE),B4218),PlayerValues!E:E,0)),"N/A")</f>
        <v>15786</v>
      </c>
      <c r="B4218" s="4" t="s">
        <v>521</v>
      </c>
      <c r="C4218" s="4" t="s">
        <v>287</v>
      </c>
      <c r="D4218" s="94">
        <v>2429.0</v>
      </c>
    </row>
    <row r="4219">
      <c r="A4219" s="40">
        <f t="array" ref="A4219">IFNA(index(PlayerValues!A:A,match(IFNA(vlookup(B4219,'Special Names'!A:B,2,FALSE),B4219),PlayerValues!E:E,0)),"N/A")</f>
        <v>16617</v>
      </c>
      <c r="B4219" s="4" t="s">
        <v>541</v>
      </c>
      <c r="C4219" s="4" t="s">
        <v>287</v>
      </c>
      <c r="D4219" s="94">
        <v>2423.0</v>
      </c>
    </row>
    <row r="4220">
      <c r="A4220" s="40">
        <f t="array" ref="A4220">IFNA(index(PlayerValues!A:A,match(IFNA(vlookup(B4220,'Special Names'!A:B,2,FALSE),B4220),PlayerValues!E:E,0)),"N/A")</f>
        <v>17108</v>
      </c>
      <c r="B4220" s="4" t="s">
        <v>542</v>
      </c>
      <c r="C4220" s="4" t="s">
        <v>298</v>
      </c>
      <c r="D4220" s="94">
        <v>2822.0</v>
      </c>
    </row>
    <row r="4221">
      <c r="A4221" s="40">
        <f t="array" ref="A4221">IFNA(index(PlayerValues!A:A,match(IFNA(vlookup(B4221,'Special Names'!A:B,2,FALSE),B4221),PlayerValues!E:E,0)),"N/A")</f>
        <v>13192</v>
      </c>
      <c r="B4221" s="4" t="s">
        <v>563</v>
      </c>
      <c r="C4221" s="4" t="s">
        <v>298</v>
      </c>
      <c r="D4221" s="94">
        <v>2820.0</v>
      </c>
    </row>
    <row r="4222">
      <c r="A4222" s="40">
        <f t="array" ref="A4222">IFNA(index(PlayerValues!A:A,match(IFNA(vlookup(B4222,'Special Names'!A:B,2,FALSE),B4222),PlayerValues!E:E,0)),"N/A")</f>
        <v>17171</v>
      </c>
      <c r="B4222" s="4" t="s">
        <v>561</v>
      </c>
      <c r="C4222" s="4" t="s">
        <v>287</v>
      </c>
      <c r="D4222" s="94">
        <v>2410.0</v>
      </c>
    </row>
    <row r="4223">
      <c r="A4223" s="40">
        <f t="array" ref="A4223">IFNA(index(PlayerValues!A:A,match(IFNA(vlookup(B4223,'Special Names'!A:B,2,FALSE),B4223),PlayerValues!E:E,0)),"N/A")</f>
        <v>16195</v>
      </c>
      <c r="B4223" s="4" t="s">
        <v>509</v>
      </c>
      <c r="C4223" s="4" t="s">
        <v>287</v>
      </c>
      <c r="D4223" s="94">
        <v>2401.0</v>
      </c>
    </row>
    <row r="4224">
      <c r="A4224" s="40" t="str">
        <f t="array" ref="A4224">IFNA(index(PlayerValues!A:A,match(IFNA(vlookup(B4224,'Special Names'!A:B,2,FALSE),B4224),PlayerValues!E:E,0)),"N/A")</f>
        <v>N/A</v>
      </c>
      <c r="B4224" s="4" t="s">
        <v>557</v>
      </c>
      <c r="C4224" s="4" t="s">
        <v>278</v>
      </c>
      <c r="D4224" s="94">
        <v>2384.0</v>
      </c>
    </row>
    <row r="4225">
      <c r="A4225" s="40">
        <f t="array" ref="A4225">IFNA(index(PlayerValues!A:A,match(IFNA(vlookup(B4225,'Special Names'!A:B,2,FALSE),B4225),PlayerValues!E:E,0)),"N/A")</f>
        <v>17106</v>
      </c>
      <c r="B4225" s="4" t="s">
        <v>550</v>
      </c>
      <c r="C4225" s="4" t="s">
        <v>298</v>
      </c>
      <c r="D4225" s="94">
        <v>2779.0</v>
      </c>
    </row>
    <row r="4226">
      <c r="A4226" s="40">
        <f t="array" ref="A4226">IFNA(index(PlayerValues!A:A,match(IFNA(vlookup(B4226,'Special Names'!A:B,2,FALSE),B4226),PlayerValues!E:E,0)),"N/A")</f>
        <v>17517</v>
      </c>
      <c r="B4226" s="4" t="s">
        <v>454</v>
      </c>
      <c r="C4226" s="4" t="s">
        <v>287</v>
      </c>
      <c r="D4226" s="94">
        <v>2378.0</v>
      </c>
    </row>
    <row r="4227">
      <c r="A4227" s="40">
        <f t="array" ref="A4227">IFNA(index(PlayerValues!A:A,match(IFNA(vlookup(B4227,'Special Names'!A:B,2,FALSE),B4227),PlayerValues!E:E,0)),"N/A")</f>
        <v>17134</v>
      </c>
      <c r="B4227" s="4" t="s">
        <v>548</v>
      </c>
      <c r="C4227" s="4" t="s">
        <v>287</v>
      </c>
      <c r="D4227" s="94">
        <v>2369.0</v>
      </c>
    </row>
    <row r="4228">
      <c r="A4228" s="40">
        <f t="array" ref="A4228">IFNA(index(PlayerValues!A:A,match(IFNA(vlookup(B4228,'Special Names'!A:B,2,FALSE),B4228),PlayerValues!E:E,0)),"N/A")</f>
        <v>17048</v>
      </c>
      <c r="B4228" s="4" t="s">
        <v>539</v>
      </c>
      <c r="C4228" s="4" t="s">
        <v>278</v>
      </c>
      <c r="D4228" s="94">
        <v>2359.0</v>
      </c>
    </row>
    <row r="4229">
      <c r="A4229" s="40">
        <f t="array" ref="A4229">IFNA(index(PlayerValues!A:A,match(IFNA(vlookup(B4229,'Special Names'!A:B,2,FALSE),B4229),PlayerValues!E:E,0)),"N/A")</f>
        <v>17547</v>
      </c>
      <c r="B4229" s="4" t="s">
        <v>552</v>
      </c>
      <c r="C4229" s="4" t="s">
        <v>298</v>
      </c>
      <c r="D4229" s="94">
        <v>2751.0</v>
      </c>
    </row>
    <row r="4230">
      <c r="A4230" s="40">
        <f t="array" ref="A4230">IFNA(index(PlayerValues!A:A,match(IFNA(vlookup(B4230,'Special Names'!A:B,2,FALSE),B4230),PlayerValues!E:E,0)),"N/A")</f>
        <v>15716</v>
      </c>
      <c r="B4230" s="4" t="s">
        <v>545</v>
      </c>
      <c r="C4230" s="4" t="s">
        <v>278</v>
      </c>
      <c r="D4230" s="94">
        <v>2344.0</v>
      </c>
    </row>
    <row r="4231">
      <c r="A4231" s="40">
        <f t="array" ref="A4231">IFNA(index(PlayerValues!A:A,match(IFNA(vlookup(B4231,'Special Names'!A:B,2,FALSE),B4231),PlayerValues!E:E,0)),"N/A")</f>
        <v>15749</v>
      </c>
      <c r="B4231" s="4" t="s">
        <v>574</v>
      </c>
      <c r="C4231" s="4" t="s">
        <v>278</v>
      </c>
      <c r="D4231" s="94">
        <v>2329.0</v>
      </c>
    </row>
    <row r="4232">
      <c r="A4232" s="40">
        <f t="array" ref="A4232">IFNA(index(PlayerValues!A:A,match(IFNA(vlookup(B4232,'Special Names'!A:B,2,FALSE),B4232),PlayerValues!E:E,0)),"N/A")</f>
        <v>14861</v>
      </c>
      <c r="B4232" s="4" t="s">
        <v>523</v>
      </c>
      <c r="C4232" s="4" t="s">
        <v>298</v>
      </c>
      <c r="D4232" s="94">
        <v>2715.0</v>
      </c>
    </row>
    <row r="4233">
      <c r="A4233" s="40">
        <f t="array" ref="A4233">IFNA(index(PlayerValues!A:A,match(IFNA(vlookup(B4233,'Special Names'!A:B,2,FALSE),B4233),PlayerValues!E:E,0)),"N/A")</f>
        <v>15802</v>
      </c>
      <c r="B4233" s="4" t="s">
        <v>566</v>
      </c>
      <c r="C4233" s="4" t="s">
        <v>298</v>
      </c>
      <c r="D4233" s="94">
        <v>2711.0</v>
      </c>
    </row>
    <row r="4234">
      <c r="A4234" s="40">
        <f t="array" ref="A4234">IFNA(index(PlayerValues!A:A,match(IFNA(vlookup(B4234,'Special Names'!A:B,2,FALSE),B4234),PlayerValues!E:E,0)),"N/A")</f>
        <v>13319</v>
      </c>
      <c r="B4234" s="4" t="s">
        <v>549</v>
      </c>
      <c r="C4234" s="4" t="s">
        <v>278</v>
      </c>
      <c r="D4234" s="94">
        <v>2290.0</v>
      </c>
    </row>
    <row r="4235">
      <c r="A4235" s="40">
        <f t="array" ref="A4235">IFNA(index(PlayerValues!A:A,match(IFNA(vlookup(B4235,'Special Names'!A:B,2,FALSE),B4235),PlayerValues!E:E,0)),"N/A")</f>
        <v>17482</v>
      </c>
      <c r="B4235" s="4" t="s">
        <v>460</v>
      </c>
      <c r="C4235" s="4" t="s">
        <v>278</v>
      </c>
      <c r="D4235" s="94">
        <v>2284.0</v>
      </c>
    </row>
    <row r="4236">
      <c r="A4236" s="40">
        <f t="array" ref="A4236">IFNA(index(PlayerValues!A:A,match(IFNA(vlookup(B4236,'Special Names'!A:B,2,FALSE),B4236),PlayerValues!E:E,0)),"N/A")</f>
        <v>16166</v>
      </c>
      <c r="B4236" s="4" t="s">
        <v>567</v>
      </c>
      <c r="C4236" s="4" t="s">
        <v>278</v>
      </c>
      <c r="D4236" s="94">
        <v>2278.0</v>
      </c>
    </row>
    <row r="4237">
      <c r="A4237" s="40" t="str">
        <f t="array" ref="A4237">IFNA(index(PlayerValues!A:A,match(IFNA(vlookup(B4237,'Special Names'!A:B,2,FALSE),B4237),PlayerValues!E:E,0)),"N/A")</f>
        <v>N/A</v>
      </c>
      <c r="B4237" s="4" t="s">
        <v>86</v>
      </c>
      <c r="C4237" s="4" t="s">
        <v>325</v>
      </c>
      <c r="D4237" s="94">
        <v>2278.0</v>
      </c>
    </row>
    <row r="4238">
      <c r="A4238" s="40">
        <f t="array" ref="A4238">IFNA(index(PlayerValues!A:A,match(IFNA(vlookup(B4238,'Special Names'!A:B,2,FALSE),B4238),PlayerValues!E:E,0)),"N/A")</f>
        <v>11150</v>
      </c>
      <c r="B4238" s="4" t="s">
        <v>559</v>
      </c>
      <c r="C4238" s="4" t="s">
        <v>283</v>
      </c>
      <c r="D4238" s="94">
        <v>2264.0</v>
      </c>
    </row>
    <row r="4239">
      <c r="A4239" s="40">
        <f t="array" ref="A4239">IFNA(index(PlayerValues!A:A,match(IFNA(vlookup(B4239,'Special Names'!A:B,2,FALSE),B4239),PlayerValues!E:E,0)),"N/A")</f>
        <v>16036</v>
      </c>
      <c r="B4239" s="4" t="s">
        <v>592</v>
      </c>
      <c r="C4239" s="4" t="s">
        <v>298</v>
      </c>
      <c r="D4239" s="94">
        <v>2653.0</v>
      </c>
    </row>
    <row r="4240">
      <c r="A4240" s="40">
        <f t="array" ref="A4240">IFNA(index(PlayerValues!A:A,match(IFNA(vlookup(B4240,'Special Names'!A:B,2,FALSE),B4240),PlayerValues!E:E,0)),"N/A")</f>
        <v>16594</v>
      </c>
      <c r="B4240" s="4" t="s">
        <v>607</v>
      </c>
      <c r="C4240" s="4" t="s">
        <v>278</v>
      </c>
      <c r="D4240" s="94">
        <v>2248.0</v>
      </c>
    </row>
    <row r="4241">
      <c r="A4241" s="40" t="str">
        <f t="array" ref="A4241">IFNA(index(PlayerValues!A:A,match(IFNA(vlookup(B4241,'Special Names'!A:B,2,FALSE),B4241),PlayerValues!E:E,0)),"N/A")</f>
        <v>N/A</v>
      </c>
      <c r="B4241" s="4" t="s">
        <v>100</v>
      </c>
      <c r="C4241" s="4" t="s">
        <v>325</v>
      </c>
      <c r="D4241" s="94">
        <v>2241.0</v>
      </c>
    </row>
    <row r="4242">
      <c r="A4242" s="40">
        <f t="array" ref="A4242">IFNA(index(PlayerValues!A:A,match(IFNA(vlookup(B4242,'Special Names'!A:B,2,FALSE),B4242),PlayerValues!E:E,0)),"N/A")</f>
        <v>17033</v>
      </c>
      <c r="B4242" s="4" t="s">
        <v>570</v>
      </c>
      <c r="C4242" s="4" t="s">
        <v>283</v>
      </c>
      <c r="D4242" s="94">
        <v>2237.0</v>
      </c>
    </row>
    <row r="4243">
      <c r="A4243" s="40">
        <f t="array" ref="A4243">IFNA(index(PlayerValues!A:A,match(IFNA(vlookup(B4243,'Special Names'!A:B,2,FALSE),B4243),PlayerValues!E:E,0)),"N/A")</f>
        <v>12676</v>
      </c>
      <c r="B4243" s="4" t="s">
        <v>537</v>
      </c>
      <c r="C4243" s="4" t="s">
        <v>298</v>
      </c>
      <c r="D4243" s="94">
        <v>2627.0</v>
      </c>
    </row>
    <row r="4244">
      <c r="A4244" s="40" t="str">
        <f t="array" ref="A4244">IFNA(index(PlayerValues!A:A,match(IFNA(vlookup(B4244,'Special Names'!A:B,2,FALSE),B4244),PlayerValues!E:E,0)),"N/A")</f>
        <v>N/A</v>
      </c>
      <c r="B4244" s="4" t="s">
        <v>112</v>
      </c>
      <c r="C4244" s="4" t="s">
        <v>325</v>
      </c>
      <c r="D4244" s="94">
        <v>2211.0</v>
      </c>
    </row>
    <row r="4245">
      <c r="A4245" s="40">
        <f t="array" ref="A4245">IFNA(index(PlayerValues!A:A,match(IFNA(vlookup(B4245,'Special Names'!A:B,2,FALSE),B4245),PlayerValues!E:E,0)),"N/A")</f>
        <v>16152</v>
      </c>
      <c r="B4245" s="4" t="s">
        <v>601</v>
      </c>
      <c r="C4245" s="4" t="s">
        <v>283</v>
      </c>
      <c r="D4245" s="94">
        <v>2204.0</v>
      </c>
    </row>
    <row r="4246">
      <c r="A4246" s="40">
        <f t="array" ref="A4246">IFNA(index(PlayerValues!A:A,match(IFNA(vlookup(B4246,'Special Names'!A:B,2,FALSE),B4246),PlayerValues!E:E,0)),"N/A")</f>
        <v>16649</v>
      </c>
      <c r="B4246" s="4" t="s">
        <v>586</v>
      </c>
      <c r="C4246" s="4" t="s">
        <v>298</v>
      </c>
      <c r="D4246" s="94">
        <v>2591.0</v>
      </c>
    </row>
    <row r="4247">
      <c r="A4247" s="40">
        <f t="array" ref="A4247">IFNA(index(PlayerValues!A:A,match(IFNA(vlookup(B4247,'Special Names'!A:B,2,FALSE),B4247),PlayerValues!E:E,0)),"N/A")</f>
        <v>17466</v>
      </c>
      <c r="B4247" s="4" t="s">
        <v>492</v>
      </c>
      <c r="C4247" s="4" t="s">
        <v>283</v>
      </c>
      <c r="D4247" s="94">
        <v>2195.0</v>
      </c>
    </row>
    <row r="4248">
      <c r="A4248" s="40">
        <f t="array" ref="A4248">IFNA(index(PlayerValues!A:A,match(IFNA(vlookup(B4248,'Special Names'!A:B,2,FALSE),B4248),PlayerValues!E:E,0)),"N/A")</f>
        <v>16212</v>
      </c>
      <c r="B4248" s="4" t="s">
        <v>568</v>
      </c>
      <c r="C4248" s="4" t="s">
        <v>298</v>
      </c>
      <c r="D4248" s="94">
        <v>2584.0</v>
      </c>
    </row>
    <row r="4249">
      <c r="A4249" s="40">
        <f t="array" ref="A4249">IFNA(index(PlayerValues!A:A,match(IFNA(vlookup(B4249,'Special Names'!A:B,2,FALSE),B4249),PlayerValues!E:E,0)),"N/A")</f>
        <v>15331</v>
      </c>
      <c r="B4249" s="4" t="s">
        <v>560</v>
      </c>
      <c r="C4249" s="4" t="s">
        <v>298</v>
      </c>
      <c r="D4249" s="94">
        <v>2582.0</v>
      </c>
    </row>
    <row r="4250">
      <c r="A4250" s="40">
        <f t="array" ref="A4250">IFNA(index(PlayerValues!A:A,match(IFNA(vlookup(B4250,'Special Names'!A:B,2,FALSE),B4250),PlayerValues!E:E,0)),"N/A")</f>
        <v>16610</v>
      </c>
      <c r="B4250" s="4" t="s">
        <v>562</v>
      </c>
      <c r="C4250" s="4" t="s">
        <v>278</v>
      </c>
      <c r="D4250" s="94">
        <v>2185.0</v>
      </c>
    </row>
    <row r="4251">
      <c r="A4251" s="40">
        <f t="array" ref="A4251">IFNA(index(PlayerValues!A:A,match(IFNA(vlookup(B4251,'Special Names'!A:B,2,FALSE),B4251),PlayerValues!E:E,0)),"N/A")</f>
        <v>13772</v>
      </c>
      <c r="B4251" s="4" t="s">
        <v>544</v>
      </c>
      <c r="C4251" s="4" t="s">
        <v>298</v>
      </c>
      <c r="D4251" s="94">
        <v>2567.0</v>
      </c>
    </row>
    <row r="4252">
      <c r="A4252" s="40">
        <f t="array" ref="A4252">IFNA(index(PlayerValues!A:A,match(IFNA(vlookup(B4252,'Special Names'!A:B,2,FALSE),B4252),PlayerValues!E:E,0)),"N/A")</f>
        <v>13113</v>
      </c>
      <c r="B4252" s="4" t="s">
        <v>606</v>
      </c>
      <c r="C4252" s="4" t="s">
        <v>283</v>
      </c>
      <c r="D4252" s="94">
        <v>2165.0</v>
      </c>
    </row>
    <row r="4253">
      <c r="A4253" s="40">
        <f t="array" ref="A4253">IFNA(index(PlayerValues!A:A,match(IFNA(vlookup(B4253,'Special Names'!A:B,2,FALSE),B4253),PlayerValues!E:E,0)),"N/A")</f>
        <v>14840</v>
      </c>
      <c r="B4253" s="4" t="s">
        <v>731</v>
      </c>
      <c r="C4253" s="4" t="s">
        <v>287</v>
      </c>
      <c r="D4253" s="94">
        <v>2163.0</v>
      </c>
    </row>
    <row r="4254">
      <c r="A4254" s="40" t="str">
        <f t="array" ref="A4254">IFNA(index(PlayerValues!A:A,match(IFNA(vlookup(B4254,'Special Names'!A:B,2,FALSE),B4254),PlayerValues!E:E,0)),"N/A")</f>
        <v>N/A</v>
      </c>
      <c r="B4254" s="4" t="s">
        <v>87</v>
      </c>
      <c r="C4254" s="4" t="s">
        <v>325</v>
      </c>
      <c r="D4254" s="94">
        <v>2160.0</v>
      </c>
    </row>
    <row r="4255">
      <c r="A4255" s="40">
        <f t="array" ref="A4255">IFNA(index(PlayerValues!A:A,match(IFNA(vlookup(B4255,'Special Names'!A:B,2,FALSE),B4255),PlayerValues!E:E,0)),"N/A")</f>
        <v>16604</v>
      </c>
      <c r="B4255" s="4" t="s">
        <v>476</v>
      </c>
      <c r="C4255" s="4" t="s">
        <v>278</v>
      </c>
      <c r="D4255" s="94">
        <v>2155.0</v>
      </c>
    </row>
    <row r="4256">
      <c r="A4256" s="40">
        <f t="array" ref="A4256">IFNA(index(PlayerValues!A:A,match(IFNA(vlookup(B4256,'Special Names'!A:B,2,FALSE),B4256),PlayerValues!E:E,0)),"N/A")</f>
        <v>16757</v>
      </c>
      <c r="B4256" s="4" t="s">
        <v>558</v>
      </c>
      <c r="C4256" s="4" t="s">
        <v>278</v>
      </c>
      <c r="D4256" s="94">
        <v>2148.0</v>
      </c>
    </row>
    <row r="4257">
      <c r="A4257" s="40">
        <f t="array" ref="A4257">IFNA(index(PlayerValues!A:A,match(IFNA(vlookup(B4257,'Special Names'!A:B,2,FALSE),B4257),PlayerValues!E:E,0)),"N/A")</f>
        <v>12186</v>
      </c>
      <c r="B4257" s="4" t="s">
        <v>497</v>
      </c>
      <c r="C4257" s="4" t="s">
        <v>287</v>
      </c>
      <c r="D4257" s="94">
        <v>2145.0</v>
      </c>
    </row>
    <row r="4258">
      <c r="A4258" s="40">
        <f t="array" ref="A4258">IFNA(index(PlayerValues!A:A,match(IFNA(vlookup(B4258,'Special Names'!A:B,2,FALSE),B4258),PlayerValues!E:E,0)),"N/A")</f>
        <v>17055</v>
      </c>
      <c r="B4258" s="4" t="s">
        <v>565</v>
      </c>
      <c r="C4258" s="4" t="s">
        <v>278</v>
      </c>
      <c r="D4258" s="94">
        <v>2129.0</v>
      </c>
    </row>
    <row r="4259">
      <c r="A4259" s="40" t="str">
        <f t="array" ref="A4259">IFNA(index(PlayerValues!A:A,match(IFNA(vlookup(B4259,'Special Names'!A:B,2,FALSE),B4259),PlayerValues!E:E,0)),"N/A")</f>
        <v>N/A</v>
      </c>
      <c r="B4259" s="4" t="s">
        <v>88</v>
      </c>
      <c r="C4259" s="4" t="s">
        <v>325</v>
      </c>
      <c r="D4259" s="94">
        <v>2124.0</v>
      </c>
    </row>
    <row r="4260">
      <c r="A4260" s="40">
        <f t="array" ref="A4260">IFNA(index(PlayerValues!A:A,match(IFNA(vlookup(B4260,'Special Names'!A:B,2,FALSE),B4260),PlayerValues!E:E,0)),"N/A")</f>
        <v>16189</v>
      </c>
      <c r="B4260" s="4" t="s">
        <v>582</v>
      </c>
      <c r="C4260" s="4" t="s">
        <v>287</v>
      </c>
      <c r="D4260" s="94">
        <v>2116.0</v>
      </c>
    </row>
    <row r="4261">
      <c r="A4261" s="40">
        <f t="array" ref="A4261">IFNA(index(PlayerValues!A:A,match(IFNA(vlookup(B4261,'Special Names'!A:B,2,FALSE),B4261),PlayerValues!E:E,0)),"N/A")</f>
        <v>17079</v>
      </c>
      <c r="B4261" s="4" t="s">
        <v>572</v>
      </c>
      <c r="C4261" s="4" t="s">
        <v>287</v>
      </c>
      <c r="D4261" s="94">
        <v>2092.0</v>
      </c>
    </row>
    <row r="4262">
      <c r="A4262" s="40" t="str">
        <f t="array" ref="A4262">IFNA(index(PlayerValues!A:A,match(IFNA(vlookup(B4262,'Special Names'!A:B,2,FALSE),B4262),PlayerValues!E:E,0)),"N/A")</f>
        <v>N/A</v>
      </c>
      <c r="B4262" s="4" t="s">
        <v>113</v>
      </c>
      <c r="C4262" s="4" t="s">
        <v>325</v>
      </c>
      <c r="D4262" s="94">
        <v>2090.0</v>
      </c>
    </row>
    <row r="4263">
      <c r="A4263" s="40">
        <f t="array" ref="A4263">IFNA(index(PlayerValues!A:A,match(IFNA(vlookup(B4263,'Special Names'!A:B,2,FALSE),B4263),PlayerValues!E:E,0)),"N/A")</f>
        <v>17060</v>
      </c>
      <c r="B4263" s="4" t="s">
        <v>603</v>
      </c>
      <c r="C4263" s="4" t="s">
        <v>278</v>
      </c>
      <c r="D4263" s="94">
        <v>2066.0</v>
      </c>
    </row>
    <row r="4264">
      <c r="A4264" s="40">
        <f t="array" ref="A4264">IFNA(index(PlayerValues!A:A,match(IFNA(vlookup(B4264,'Special Names'!A:B,2,FALSE),B4264),PlayerValues!E:E,0)),"N/A")</f>
        <v>17069</v>
      </c>
      <c r="B4264" s="4" t="s">
        <v>604</v>
      </c>
      <c r="C4264" s="4" t="s">
        <v>278</v>
      </c>
      <c r="D4264" s="94">
        <v>2066.0</v>
      </c>
    </row>
    <row r="4265">
      <c r="A4265" s="40">
        <f t="array" ref="A4265">IFNA(index(PlayerValues!A:A,match(IFNA(vlookup(B4265,'Special Names'!A:B,2,FALSE),B4265),PlayerValues!E:E,0)),"N/A")</f>
        <v>15238</v>
      </c>
      <c r="B4265" s="4" t="s">
        <v>613</v>
      </c>
      <c r="C4265" s="4" t="s">
        <v>283</v>
      </c>
      <c r="D4265" s="94">
        <v>2055.0</v>
      </c>
    </row>
    <row r="4266">
      <c r="A4266" s="40">
        <f t="array" ref="A4266">IFNA(index(PlayerValues!A:A,match(IFNA(vlookup(B4266,'Special Names'!A:B,2,FALSE),B4266),PlayerValues!E:E,0)),"N/A")</f>
        <v>15293</v>
      </c>
      <c r="B4266" s="4" t="s">
        <v>578</v>
      </c>
      <c r="C4266" s="4" t="s">
        <v>287</v>
      </c>
      <c r="D4266" s="94">
        <v>2052.0</v>
      </c>
    </row>
    <row r="4267">
      <c r="A4267" s="40">
        <f t="array" ref="A4267">IFNA(index(PlayerValues!A:A,match(IFNA(vlookup(B4267,'Special Names'!A:B,2,FALSE),B4267),PlayerValues!E:E,0)),"N/A")</f>
        <v>17061</v>
      </c>
      <c r="B4267" s="4" t="s">
        <v>580</v>
      </c>
      <c r="C4267" s="4" t="s">
        <v>278</v>
      </c>
      <c r="D4267" s="94">
        <v>2049.0</v>
      </c>
    </row>
    <row r="4268">
      <c r="A4268" s="40">
        <f t="array" ref="A4268">IFNA(index(PlayerValues!A:A,match(IFNA(vlookup(B4268,'Special Names'!A:B,2,FALSE),B4268),PlayerValues!E:E,0)),"N/A")</f>
        <v>13132</v>
      </c>
      <c r="B4268" s="4" t="s">
        <v>598</v>
      </c>
      <c r="C4268" s="4" t="s">
        <v>278</v>
      </c>
      <c r="D4268" s="94">
        <v>2045.0</v>
      </c>
    </row>
    <row r="4269">
      <c r="A4269" s="40">
        <f t="array" ref="A4269">IFNA(index(PlayerValues!A:A,match(IFNA(vlookup(B4269,'Special Names'!A:B,2,FALSE),B4269),PlayerValues!E:E,0)),"N/A")</f>
        <v>17056</v>
      </c>
      <c r="B4269" s="4" t="s">
        <v>581</v>
      </c>
      <c r="C4269" s="4" t="s">
        <v>278</v>
      </c>
      <c r="D4269" s="94">
        <v>2034.0</v>
      </c>
    </row>
    <row r="4270">
      <c r="A4270" s="40">
        <f t="array" ref="A4270">IFNA(index(PlayerValues!A:A,match(IFNA(vlookup(B4270,'Special Names'!A:B,2,FALSE),B4270),PlayerValues!E:E,0)),"N/A")</f>
        <v>17046</v>
      </c>
      <c r="B4270" s="4" t="s">
        <v>602</v>
      </c>
      <c r="C4270" s="4" t="s">
        <v>278</v>
      </c>
      <c r="D4270" s="94">
        <v>2032.0</v>
      </c>
    </row>
    <row r="4271">
      <c r="A4271" s="40">
        <f t="array" ref="A4271">IFNA(index(PlayerValues!A:A,match(IFNA(vlookup(B4271,'Special Names'!A:B,2,FALSE),B4271),PlayerValues!E:E,0)),"N/A")</f>
        <v>17184</v>
      </c>
      <c r="B4271" s="4" t="s">
        <v>588</v>
      </c>
      <c r="C4271" s="4" t="s">
        <v>287</v>
      </c>
      <c r="D4271" s="94">
        <v>2032.0</v>
      </c>
    </row>
    <row r="4272">
      <c r="A4272" s="40">
        <f t="array" ref="A4272">IFNA(index(PlayerValues!A:A,match(IFNA(vlookup(B4272,'Special Names'!A:B,2,FALSE),B4272),PlayerValues!E:E,0)),"N/A")</f>
        <v>16432</v>
      </c>
      <c r="B4272" s="4" t="s">
        <v>620</v>
      </c>
      <c r="C4272" s="4" t="s">
        <v>278</v>
      </c>
      <c r="D4272" s="94">
        <v>2029.0</v>
      </c>
    </row>
    <row r="4273">
      <c r="A4273" s="40">
        <f t="array" ref="A4273">IFNA(index(PlayerValues!A:A,match(IFNA(vlookup(B4273,'Special Names'!A:B,2,FALSE),B4273),PlayerValues!E:E,0)),"N/A")</f>
        <v>14974</v>
      </c>
      <c r="B4273" s="4" t="s">
        <v>611</v>
      </c>
      <c r="C4273" s="4" t="s">
        <v>287</v>
      </c>
      <c r="D4273" s="94">
        <v>2024.0</v>
      </c>
    </row>
    <row r="4274">
      <c r="A4274" s="40">
        <f t="array" ref="A4274">IFNA(index(PlayerValues!A:A,match(IFNA(vlookup(B4274,'Special Names'!A:B,2,FALSE),B4274),PlayerValues!E:E,0)),"N/A")</f>
        <v>16643</v>
      </c>
      <c r="B4274" s="4" t="s">
        <v>609</v>
      </c>
      <c r="C4274" s="4" t="s">
        <v>298</v>
      </c>
      <c r="D4274" s="94">
        <v>2409.0</v>
      </c>
    </row>
    <row r="4275">
      <c r="A4275" s="40" t="str">
        <f t="array" ref="A4275">IFNA(index(PlayerValues!A:A,match(IFNA(vlookup(B4275,'Special Names'!A:B,2,FALSE),B4275),PlayerValues!E:E,0)),"N/A")</f>
        <v>N/A</v>
      </c>
      <c r="B4275" s="4" t="s">
        <v>114</v>
      </c>
      <c r="C4275" s="4" t="s">
        <v>325</v>
      </c>
      <c r="D4275" s="94">
        <v>2008.0</v>
      </c>
    </row>
    <row r="4276">
      <c r="A4276" s="40">
        <f t="array" ref="A4276">IFNA(index(PlayerValues!A:A,match(IFNA(vlookup(B4276,'Special Names'!A:B,2,FALSE),B4276),PlayerValues!E:E,0)),"N/A")</f>
        <v>15797</v>
      </c>
      <c r="B4276" s="4" t="s">
        <v>556</v>
      </c>
      <c r="C4276" s="4" t="s">
        <v>298</v>
      </c>
      <c r="D4276" s="94">
        <v>2391.0</v>
      </c>
    </row>
    <row r="4277">
      <c r="A4277" s="40">
        <f t="array" ref="A4277">IFNA(index(PlayerValues!A:A,match(IFNA(vlookup(B4277,'Special Names'!A:B,2,FALSE),B4277),PlayerValues!E:E,0)),"N/A")</f>
        <v>14136</v>
      </c>
      <c r="B4277" s="4" t="s">
        <v>536</v>
      </c>
      <c r="C4277" s="4" t="s">
        <v>287</v>
      </c>
      <c r="D4277" s="94">
        <v>1992.0</v>
      </c>
    </row>
    <row r="4278">
      <c r="A4278" s="40">
        <f t="array" ref="A4278">IFNA(index(PlayerValues!A:A,match(IFNA(vlookup(B4278,'Special Names'!A:B,2,FALSE),B4278),PlayerValues!E:E,0)),"N/A")</f>
        <v>14867</v>
      </c>
      <c r="B4278" s="4" t="s">
        <v>591</v>
      </c>
      <c r="C4278" s="4" t="s">
        <v>298</v>
      </c>
      <c r="D4278" s="94">
        <v>2369.0</v>
      </c>
    </row>
    <row r="4279">
      <c r="A4279" s="40">
        <f t="array" ref="A4279">IFNA(index(PlayerValues!A:A,match(IFNA(vlookup(B4279,'Special Names'!A:B,2,FALSE),B4279),PlayerValues!E:E,0)),"N/A")</f>
        <v>7836</v>
      </c>
      <c r="B4279" s="4" t="s">
        <v>590</v>
      </c>
      <c r="C4279" s="4" t="s">
        <v>283</v>
      </c>
      <c r="D4279" s="94">
        <v>1981.0</v>
      </c>
    </row>
    <row r="4280">
      <c r="A4280" s="40">
        <f t="array" ref="A4280">IFNA(index(PlayerValues!A:A,match(IFNA(vlookup(B4280,'Special Names'!A:B,2,FALSE),B4280),PlayerValues!E:E,0)),"N/A")</f>
        <v>17076</v>
      </c>
      <c r="B4280" s="4" t="s">
        <v>585</v>
      </c>
      <c r="C4280" s="4" t="s">
        <v>287</v>
      </c>
      <c r="D4280" s="94">
        <v>1981.0</v>
      </c>
    </row>
    <row r="4281">
      <c r="A4281" s="40">
        <f t="array" ref="A4281">IFNA(index(PlayerValues!A:A,match(IFNA(vlookup(B4281,'Special Names'!A:B,2,FALSE),B4281),PlayerValues!E:E,0)),"N/A")</f>
        <v>16603</v>
      </c>
      <c r="B4281" s="4" t="s">
        <v>587</v>
      </c>
      <c r="C4281" s="4" t="s">
        <v>278</v>
      </c>
      <c r="D4281" s="94">
        <v>1971.0</v>
      </c>
    </row>
    <row r="4282">
      <c r="A4282" s="40">
        <f t="array" ref="A4282">IFNA(index(PlayerValues!A:A,match(IFNA(vlookup(B4282,'Special Names'!A:B,2,FALSE),B4282),PlayerValues!E:E,0)),"N/A")</f>
        <v>17036</v>
      </c>
      <c r="B4282" s="4" t="s">
        <v>617</v>
      </c>
      <c r="C4282" s="4" t="s">
        <v>283</v>
      </c>
      <c r="D4282" s="94">
        <v>1946.0</v>
      </c>
    </row>
    <row r="4283">
      <c r="A4283" s="40">
        <f t="array" ref="A4283">IFNA(index(PlayerValues!A:A,match(IFNA(vlookup(B4283,'Special Names'!A:B,2,FALSE),B4283),PlayerValues!E:E,0)),"N/A")</f>
        <v>16342</v>
      </c>
      <c r="B4283" s="4" t="s">
        <v>583</v>
      </c>
      <c r="C4283" s="4" t="s">
        <v>287</v>
      </c>
      <c r="D4283" s="94">
        <v>1945.0</v>
      </c>
    </row>
    <row r="4284">
      <c r="A4284" s="40">
        <f t="array" ref="A4284">IFNA(index(PlayerValues!A:A,match(IFNA(vlookup(B4284,'Special Names'!A:B,2,FALSE),B4284),PlayerValues!E:E,0)),"N/A")</f>
        <v>13633</v>
      </c>
      <c r="B4284" s="4" t="s">
        <v>625</v>
      </c>
      <c r="C4284" s="4" t="s">
        <v>287</v>
      </c>
      <c r="D4284" s="94">
        <v>1940.0</v>
      </c>
    </row>
    <row r="4285">
      <c r="A4285" s="40">
        <f t="array" ref="A4285">IFNA(index(PlayerValues!A:A,match(IFNA(vlookup(B4285,'Special Names'!A:B,2,FALSE),B4285),PlayerValues!E:E,0)),"N/A")</f>
        <v>17087</v>
      </c>
      <c r="B4285" s="4" t="s">
        <v>600</v>
      </c>
      <c r="C4285" s="4" t="s">
        <v>287</v>
      </c>
      <c r="D4285" s="94">
        <v>1927.0</v>
      </c>
    </row>
    <row r="4286">
      <c r="A4286" s="40">
        <f t="array" ref="A4286">IFNA(index(PlayerValues!A:A,match(IFNA(vlookup(B4286,'Special Names'!A:B,2,FALSE),B4286),PlayerValues!E:E,0)),"N/A")</f>
        <v>17528</v>
      </c>
      <c r="B4286" s="4" t="s">
        <v>579</v>
      </c>
      <c r="C4286" s="4" t="s">
        <v>287</v>
      </c>
      <c r="D4286" s="94">
        <v>1917.0</v>
      </c>
    </row>
    <row r="4287">
      <c r="A4287" s="40">
        <f t="array" ref="A4287">IFNA(index(PlayerValues!A:A,match(IFNA(vlookup(B4287,'Special Names'!A:B,2,FALSE),B4287),PlayerValues!E:E,0)),"N/A")</f>
        <v>17481</v>
      </c>
      <c r="B4287" s="4" t="s">
        <v>540</v>
      </c>
      <c r="C4287" s="4" t="s">
        <v>278</v>
      </c>
      <c r="D4287" s="94">
        <v>1910.0</v>
      </c>
    </row>
    <row r="4288">
      <c r="A4288" s="40">
        <f t="array" ref="A4288">IFNA(index(PlayerValues!A:A,match(IFNA(vlookup(B4288,'Special Names'!A:B,2,FALSE),B4288),PlayerValues!E:E,0)),"N/A")</f>
        <v>16639</v>
      </c>
      <c r="B4288" s="4" t="s">
        <v>599</v>
      </c>
      <c r="C4288" s="4" t="s">
        <v>287</v>
      </c>
      <c r="D4288" s="94">
        <v>1908.0</v>
      </c>
    </row>
    <row r="4289">
      <c r="A4289" s="40">
        <f t="array" ref="A4289">IFNA(index(PlayerValues!A:A,match(IFNA(vlookup(B4289,'Special Names'!A:B,2,FALSE),B4289),PlayerValues!E:E,0)),"N/A")</f>
        <v>10700</v>
      </c>
      <c r="B4289" s="4" t="s">
        <v>596</v>
      </c>
      <c r="C4289" s="4" t="s">
        <v>283</v>
      </c>
      <c r="D4289" s="94">
        <v>1900.0</v>
      </c>
    </row>
    <row r="4290">
      <c r="A4290" s="40">
        <f t="array" ref="A4290">IFNA(index(PlayerValues!A:A,match(IFNA(vlookup(B4290,'Special Names'!A:B,2,FALSE),B4290),PlayerValues!E:E,0)),"N/A")</f>
        <v>16216</v>
      </c>
      <c r="B4290" s="4" t="s">
        <v>595</v>
      </c>
      <c r="C4290" s="4" t="s">
        <v>298</v>
      </c>
      <c r="D4290" s="94">
        <v>2285.0</v>
      </c>
    </row>
    <row r="4291">
      <c r="A4291" s="40">
        <f t="array" ref="A4291">IFNA(index(PlayerValues!A:A,match(IFNA(vlookup(B4291,'Special Names'!A:B,2,FALSE),B4291),PlayerValues!E:E,0)),"N/A")</f>
        <v>12801</v>
      </c>
      <c r="B4291" s="4" t="s">
        <v>722</v>
      </c>
      <c r="C4291" s="4" t="s">
        <v>287</v>
      </c>
      <c r="D4291" s="94">
        <v>1871.0</v>
      </c>
    </row>
    <row r="4292">
      <c r="A4292" s="40">
        <f t="array" ref="A4292">IFNA(index(PlayerValues!A:A,match(IFNA(vlookup(B4292,'Special Names'!A:B,2,FALSE),B4292),PlayerValues!E:E,0)),"N/A")</f>
        <v>13629</v>
      </c>
      <c r="B4292" s="4" t="s">
        <v>619</v>
      </c>
      <c r="C4292" s="4" t="s">
        <v>287</v>
      </c>
      <c r="D4292" s="94">
        <v>1871.0</v>
      </c>
    </row>
    <row r="4293">
      <c r="A4293" s="40">
        <f t="array" ref="A4293">IFNA(index(PlayerValues!A:A,match(IFNA(vlookup(B4293,'Special Names'!A:B,2,FALSE),B4293),PlayerValues!E:E,0)),"N/A")</f>
        <v>17468</v>
      </c>
      <c r="B4293" s="4" t="s">
        <v>514</v>
      </c>
      <c r="C4293" s="4" t="s">
        <v>283</v>
      </c>
      <c r="D4293" s="94">
        <v>1868.0</v>
      </c>
    </row>
    <row r="4294">
      <c r="A4294" s="40">
        <f t="array" ref="A4294">IFNA(index(PlayerValues!A:A,match(IFNA(vlookup(B4294,'Special Names'!A:B,2,FALSE),B4294),PlayerValues!E:E,0)),"N/A")</f>
        <v>14871</v>
      </c>
      <c r="B4294" s="4" t="s">
        <v>584</v>
      </c>
      <c r="C4294" s="4" t="s">
        <v>298</v>
      </c>
      <c r="D4294" s="94">
        <v>2248.0</v>
      </c>
    </row>
    <row r="4295">
      <c r="A4295" s="40">
        <f t="array" ref="A4295">IFNA(index(PlayerValues!A:A,match(IFNA(vlookup(B4295,'Special Names'!A:B,2,FALSE),B4295),PlayerValues!E:E,0)),"N/A")</f>
        <v>17467</v>
      </c>
      <c r="B4295" s="4" t="s">
        <v>575</v>
      </c>
      <c r="C4295" s="4" t="s">
        <v>283</v>
      </c>
      <c r="D4295" s="94">
        <v>1856.0</v>
      </c>
    </row>
    <row r="4296">
      <c r="A4296" s="40" t="str">
        <f t="array" ref="A4296">IFNA(index(PlayerValues!A:A,match(IFNA(vlookup(B4296,'Special Names'!A:B,2,FALSE),B4296),PlayerValues!E:E,0)),"N/A")</f>
        <v>N/A</v>
      </c>
      <c r="B4296" s="4" t="s">
        <v>101</v>
      </c>
      <c r="C4296" s="4" t="s">
        <v>325</v>
      </c>
      <c r="D4296" s="94">
        <v>1855.0</v>
      </c>
    </row>
    <row r="4297">
      <c r="A4297" s="40">
        <f t="array" ref="A4297">IFNA(index(PlayerValues!A:A,match(IFNA(vlookup(B4297,'Special Names'!A:B,2,FALSE),B4297),PlayerValues!E:E,0)),"N/A")</f>
        <v>16778</v>
      </c>
      <c r="B4297" s="4" t="s">
        <v>577</v>
      </c>
      <c r="C4297" s="4" t="s">
        <v>287</v>
      </c>
      <c r="D4297" s="94">
        <v>1848.0</v>
      </c>
    </row>
    <row r="4298">
      <c r="A4298" s="40">
        <f t="array" ref="A4298">IFNA(index(PlayerValues!A:A,match(IFNA(vlookup(B4298,'Special Names'!A:B,2,FALSE),B4298),PlayerValues!E:E,0)),"N/A")</f>
        <v>13189</v>
      </c>
      <c r="B4298" s="4" t="s">
        <v>626</v>
      </c>
      <c r="C4298" s="4" t="s">
        <v>298</v>
      </c>
      <c r="D4298" s="94">
        <v>2205.0</v>
      </c>
    </row>
    <row r="4299">
      <c r="A4299" s="40">
        <f t="array" ref="A4299">IFNA(index(PlayerValues!A:A,match(IFNA(vlookup(B4299,'Special Names'!A:B,2,FALSE),B4299),PlayerValues!E:E,0)),"N/A")</f>
        <v>17485</v>
      </c>
      <c r="B4299" s="4" t="s">
        <v>522</v>
      </c>
      <c r="C4299" s="4" t="s">
        <v>278</v>
      </c>
      <c r="D4299" s="94">
        <v>1824.0</v>
      </c>
    </row>
    <row r="4300">
      <c r="A4300" s="40">
        <f t="array" ref="A4300">IFNA(index(PlayerValues!A:A,match(IFNA(vlookup(B4300,'Special Names'!A:B,2,FALSE),B4300),PlayerValues!E:E,0)),"N/A")</f>
        <v>16752</v>
      </c>
      <c r="B4300" s="4" t="s">
        <v>597</v>
      </c>
      <c r="C4300" s="4" t="s">
        <v>278</v>
      </c>
      <c r="D4300" s="94">
        <v>1799.0</v>
      </c>
    </row>
    <row r="4301">
      <c r="A4301" s="40">
        <f t="array" ref="A4301">IFNA(index(PlayerValues!A:A,match(IFNA(vlookup(B4301,'Special Names'!A:B,2,FALSE),B4301),PlayerValues!E:E,0)),"N/A")</f>
        <v>17086</v>
      </c>
      <c r="B4301" s="4" t="s">
        <v>612</v>
      </c>
      <c r="C4301" s="4" t="s">
        <v>287</v>
      </c>
      <c r="D4301" s="94">
        <v>1799.0</v>
      </c>
    </row>
    <row r="4302">
      <c r="A4302" s="40">
        <f t="array" ref="A4302">IFNA(index(PlayerValues!A:A,match(IFNA(vlookup(B4302,'Special Names'!A:B,2,FALSE),B4302),PlayerValues!E:E,0)),"N/A")</f>
        <v>15787</v>
      </c>
      <c r="B4302" s="4" t="s">
        <v>610</v>
      </c>
      <c r="C4302" s="4" t="s">
        <v>287</v>
      </c>
      <c r="D4302" s="94">
        <v>1797.0</v>
      </c>
    </row>
    <row r="4303">
      <c r="A4303" s="40">
        <f t="array" ref="A4303">IFNA(index(PlayerValues!A:A,match(IFNA(vlookup(B4303,'Special Names'!A:B,2,FALSE),B4303),PlayerValues!E:E,0)),"N/A")</f>
        <v>15788</v>
      </c>
      <c r="B4303" s="4" t="s">
        <v>627</v>
      </c>
      <c r="C4303" s="4" t="s">
        <v>287</v>
      </c>
      <c r="D4303" s="94">
        <v>1792.0</v>
      </c>
    </row>
    <row r="4304">
      <c r="A4304" s="40">
        <f t="array" ref="A4304">IFNA(index(PlayerValues!A:A,match(IFNA(vlookup(B4304,'Special Names'!A:B,2,FALSE),B4304),PlayerValues!E:E,0)),"N/A")</f>
        <v>16215</v>
      </c>
      <c r="B4304" s="4" t="s">
        <v>637</v>
      </c>
      <c r="C4304" s="4" t="s">
        <v>298</v>
      </c>
      <c r="D4304" s="94">
        <v>2166.0</v>
      </c>
    </row>
    <row r="4305">
      <c r="A4305" s="40">
        <f t="array" ref="A4305">IFNA(index(PlayerValues!A:A,match(IFNA(vlookup(B4305,'Special Names'!A:B,2,FALSE),B4305),PlayerValues!E:E,0)),"N/A")</f>
        <v>16171</v>
      </c>
      <c r="B4305" s="4" t="s">
        <v>618</v>
      </c>
      <c r="C4305" s="4" t="s">
        <v>278</v>
      </c>
      <c r="D4305" s="94">
        <v>1777.0</v>
      </c>
    </row>
    <row r="4306">
      <c r="A4306" s="40">
        <f t="array" ref="A4306">IFNA(index(PlayerValues!A:A,match(IFNA(vlookup(B4306,'Special Names'!A:B,2,FALSE),B4306),PlayerValues!E:E,0)),"N/A")</f>
        <v>17548</v>
      </c>
      <c r="B4306" s="4" t="s">
        <v>594</v>
      </c>
      <c r="C4306" s="4" t="s">
        <v>298</v>
      </c>
      <c r="D4306" s="94">
        <v>2147.0</v>
      </c>
    </row>
    <row r="4307">
      <c r="A4307" s="40">
        <f t="array" ref="A4307">IFNA(index(PlayerValues!A:A,match(IFNA(vlookup(B4307,'Special Names'!A:B,2,FALSE),B4307),PlayerValues!E:E,0)),"N/A")</f>
        <v>16644</v>
      </c>
      <c r="B4307" s="4" t="s">
        <v>640</v>
      </c>
      <c r="C4307" s="4" t="s">
        <v>298</v>
      </c>
      <c r="D4307" s="94">
        <v>2146.0</v>
      </c>
    </row>
    <row r="4308">
      <c r="A4308" s="40">
        <f t="array" ref="A4308">IFNA(index(PlayerValues!A:A,match(IFNA(vlookup(B4308,'Special Names'!A:B,2,FALSE),B4308),PlayerValues!E:E,0)),"N/A")</f>
        <v>13146</v>
      </c>
      <c r="B4308" s="4" t="s">
        <v>652</v>
      </c>
      <c r="C4308" s="4" t="s">
        <v>278</v>
      </c>
      <c r="D4308" s="94">
        <v>1756.0</v>
      </c>
    </row>
    <row r="4309">
      <c r="A4309" s="40">
        <f t="array" ref="A4309">IFNA(index(PlayerValues!A:A,match(IFNA(vlookup(B4309,'Special Names'!A:B,2,FALSE),B4309),PlayerValues!E:E,0)),"N/A")</f>
        <v>17049</v>
      </c>
      <c r="B4309" s="4" t="s">
        <v>624</v>
      </c>
      <c r="C4309" s="4" t="s">
        <v>278</v>
      </c>
      <c r="D4309" s="94">
        <v>1749.0</v>
      </c>
    </row>
    <row r="4310">
      <c r="A4310" s="40">
        <f t="array" ref="A4310">IFNA(index(PlayerValues!A:A,match(IFNA(vlookup(B4310,'Special Names'!A:B,2,FALSE),B4310),PlayerValues!E:E,0)),"N/A")</f>
        <v>16191</v>
      </c>
      <c r="B4310" s="4" t="s">
        <v>666</v>
      </c>
      <c r="C4310" s="4" t="s">
        <v>287</v>
      </c>
      <c r="D4310" s="94">
        <v>1745.0</v>
      </c>
    </row>
    <row r="4311">
      <c r="A4311" s="40" t="str">
        <f t="array" ref="A4311">IFNA(index(PlayerValues!A:A,match(IFNA(vlookup(B4311,'Special Names'!A:B,2,FALSE),B4311),PlayerValues!E:E,0)),"N/A")</f>
        <v>N/A</v>
      </c>
      <c r="B4311" s="4" t="s">
        <v>102</v>
      </c>
      <c r="C4311" s="4" t="s">
        <v>325</v>
      </c>
      <c r="D4311" s="94">
        <v>1738.0</v>
      </c>
    </row>
    <row r="4312">
      <c r="A4312" s="40">
        <f t="array" ref="A4312">IFNA(index(PlayerValues!A:A,match(IFNA(vlookup(B4312,'Special Names'!A:B,2,FALSE),B4312),PlayerValues!E:E,0)),"N/A")</f>
        <v>13164</v>
      </c>
      <c r="B4312" s="4" t="s">
        <v>632</v>
      </c>
      <c r="C4312" s="4" t="s">
        <v>287</v>
      </c>
      <c r="D4312" s="94">
        <v>1724.0</v>
      </c>
    </row>
    <row r="4313">
      <c r="A4313" s="40">
        <f t="array" ref="A4313">IFNA(index(PlayerValues!A:A,match(IFNA(vlookup(B4313,'Special Names'!A:B,2,FALSE),B4313),PlayerValues!E:E,0)),"N/A")</f>
        <v>17034</v>
      </c>
      <c r="B4313" s="4" t="s">
        <v>643</v>
      </c>
      <c r="C4313" s="4" t="s">
        <v>283</v>
      </c>
      <c r="D4313" s="94">
        <v>1714.0</v>
      </c>
    </row>
    <row r="4314">
      <c r="A4314" s="40" t="str">
        <f t="array" ref="A4314">IFNA(index(PlayerValues!A:A,match(IFNA(vlookup(B4314,'Special Names'!A:B,2,FALSE),B4314),PlayerValues!E:E,0)),"N/A")</f>
        <v>N/A</v>
      </c>
      <c r="B4314" s="4" t="s">
        <v>89</v>
      </c>
      <c r="C4314" s="4" t="s">
        <v>325</v>
      </c>
      <c r="D4314" s="94">
        <v>1712.0</v>
      </c>
    </row>
    <row r="4315">
      <c r="A4315" s="40">
        <f t="array" ref="A4315">IFNA(index(PlayerValues!A:A,match(IFNA(vlookup(B4315,'Special Names'!A:B,2,FALSE),B4315),PlayerValues!E:E,0)),"N/A")</f>
        <v>17035</v>
      </c>
      <c r="B4315" s="4" t="s">
        <v>650</v>
      </c>
      <c r="C4315" s="4" t="s">
        <v>283</v>
      </c>
      <c r="D4315" s="94">
        <v>1704.0</v>
      </c>
    </row>
    <row r="4316">
      <c r="A4316" s="40">
        <f t="array" ref="A4316">IFNA(index(PlayerValues!A:A,match(IFNA(vlookup(B4316,'Special Names'!A:B,2,FALSE),B4316),PlayerValues!E:E,0)),"N/A")</f>
        <v>14143</v>
      </c>
      <c r="B4316" s="4" t="s">
        <v>635</v>
      </c>
      <c r="C4316" s="4" t="s">
        <v>298</v>
      </c>
      <c r="D4316" s="94">
        <v>2080.0</v>
      </c>
    </row>
    <row r="4317">
      <c r="A4317" s="40">
        <f t="array" ref="A4317">IFNA(index(PlayerValues!A:A,match(IFNA(vlookup(B4317,'Special Names'!A:B,2,FALSE),B4317),PlayerValues!E:E,0)),"N/A")</f>
        <v>17607</v>
      </c>
      <c r="B4317" s="4" t="s">
        <v>526</v>
      </c>
      <c r="C4317" s="4" t="s">
        <v>298</v>
      </c>
      <c r="D4317" s="94">
        <v>2078.0</v>
      </c>
    </row>
    <row r="4318">
      <c r="A4318" s="40">
        <f t="array" ref="A4318">IFNA(index(PlayerValues!A:A,match(IFNA(vlookup(B4318,'Special Names'!A:B,2,FALSE),B4318),PlayerValues!E:E,0)),"N/A")</f>
        <v>17567</v>
      </c>
      <c r="B4318" s="4" t="s">
        <v>571</v>
      </c>
      <c r="C4318" s="4" t="s">
        <v>298</v>
      </c>
      <c r="D4318" s="94">
        <v>2078.0</v>
      </c>
    </row>
    <row r="4319">
      <c r="A4319" s="40">
        <f t="array" ref="A4319">IFNA(index(PlayerValues!A:A,match(IFNA(vlookup(B4319,'Special Names'!A:B,2,FALSE),B4319),PlayerValues!E:E,0)),"N/A")</f>
        <v>16585</v>
      </c>
      <c r="B4319" s="4" t="s">
        <v>623</v>
      </c>
      <c r="C4319" s="4" t="s">
        <v>283</v>
      </c>
      <c r="D4319" s="94">
        <v>1695.0</v>
      </c>
    </row>
    <row r="4320">
      <c r="A4320" s="40">
        <f t="array" ref="A4320">IFNA(index(PlayerValues!A:A,match(IFNA(vlookup(B4320,'Special Names'!A:B,2,FALSE),B4320),PlayerValues!E:E,0)),"N/A")</f>
        <v>17064</v>
      </c>
      <c r="B4320" s="4" t="s">
        <v>631</v>
      </c>
      <c r="C4320" s="4" t="s">
        <v>278</v>
      </c>
      <c r="D4320" s="94">
        <v>1682.0</v>
      </c>
    </row>
    <row r="4321">
      <c r="A4321" s="40" t="str">
        <f t="array" ref="A4321">IFNA(index(PlayerValues!A:A,match(IFNA(vlookup(B4321,'Special Names'!A:B,2,FALSE),B4321),PlayerValues!E:E,0)),"N/A")</f>
        <v>N/A</v>
      </c>
      <c r="B4321" s="4" t="s">
        <v>103</v>
      </c>
      <c r="C4321" s="4" t="s">
        <v>325</v>
      </c>
      <c r="D4321" s="94">
        <v>1674.0</v>
      </c>
    </row>
    <row r="4322">
      <c r="A4322" s="40">
        <f t="array" ref="A4322">IFNA(index(PlayerValues!A:A,match(IFNA(vlookup(B4322,'Special Names'!A:B,2,FALSE),B4322),PlayerValues!E:E,0)),"N/A")</f>
        <v>17058</v>
      </c>
      <c r="B4322" s="4" t="s">
        <v>641</v>
      </c>
      <c r="C4322" s="4" t="s">
        <v>278</v>
      </c>
      <c r="D4322" s="94">
        <v>1665.0</v>
      </c>
    </row>
    <row r="4323">
      <c r="A4323" s="40">
        <f t="array" ref="A4323">IFNA(index(PlayerValues!A:A,match(IFNA(vlookup(B4323,'Special Names'!A:B,2,FALSE),B4323),PlayerValues!E:E,0)),"N/A")</f>
        <v>17096</v>
      </c>
      <c r="B4323" s="4" t="s">
        <v>638</v>
      </c>
      <c r="C4323" s="4" t="s">
        <v>287</v>
      </c>
      <c r="D4323" s="94">
        <v>1656.0</v>
      </c>
    </row>
    <row r="4324">
      <c r="A4324" s="40">
        <f t="array" ref="A4324">IFNA(index(PlayerValues!A:A,match(IFNA(vlookup(B4324,'Special Names'!A:B,2,FALSE),B4324),PlayerValues!E:E,0)),"N/A")</f>
        <v>16635</v>
      </c>
      <c r="B4324" s="4" t="s">
        <v>645</v>
      </c>
      <c r="C4324" s="4" t="s">
        <v>287</v>
      </c>
      <c r="D4324" s="94">
        <v>1644.0</v>
      </c>
    </row>
    <row r="4325">
      <c r="A4325" s="40">
        <f t="array" ref="A4325">IFNA(index(PlayerValues!A:A,match(IFNA(vlookup(B4325,'Special Names'!A:B,2,FALSE),B4325),PlayerValues!E:E,0)),"N/A")</f>
        <v>16207</v>
      </c>
      <c r="B4325" s="4" t="s">
        <v>636</v>
      </c>
      <c r="C4325" s="4" t="s">
        <v>287</v>
      </c>
      <c r="D4325" s="94">
        <v>1643.0</v>
      </c>
    </row>
    <row r="4326">
      <c r="A4326" s="40" t="str">
        <f t="array" ref="A4326">IFNA(index(PlayerValues!A:A,match(IFNA(vlookup(B4326,'Special Names'!A:B,2,FALSE),B4326),PlayerValues!E:E,0)),"N/A")</f>
        <v>N/A</v>
      </c>
      <c r="B4326" s="4" t="s">
        <v>115</v>
      </c>
      <c r="C4326" s="4" t="s">
        <v>325</v>
      </c>
      <c r="D4326" s="94">
        <v>1642.0</v>
      </c>
    </row>
    <row r="4327">
      <c r="A4327" s="40">
        <f t="array" ref="A4327">IFNA(index(PlayerValues!A:A,match(IFNA(vlookup(B4327,'Special Names'!A:B,2,FALSE),B4327),PlayerValues!E:E,0)),"N/A")</f>
        <v>17465</v>
      </c>
      <c r="B4327" s="4" t="s">
        <v>649</v>
      </c>
      <c r="C4327" s="4" t="s">
        <v>283</v>
      </c>
      <c r="D4327" s="94">
        <v>1639.0</v>
      </c>
    </row>
    <row r="4328">
      <c r="A4328" s="40">
        <f t="array" ref="A4328">IFNA(index(PlayerValues!A:A,match(IFNA(vlookup(B4328,'Special Names'!A:B,2,FALSE),B4328),PlayerValues!E:E,0)),"N/A")</f>
        <v>15755</v>
      </c>
      <c r="B4328" s="4" t="s">
        <v>628</v>
      </c>
      <c r="C4328" s="4" t="s">
        <v>287</v>
      </c>
      <c r="D4328" s="94">
        <v>1628.0</v>
      </c>
    </row>
    <row r="4329">
      <c r="A4329" s="40" t="str">
        <f t="array" ref="A4329">IFNA(index(PlayerValues!A:A,match(IFNA(vlookup(B4329,'Special Names'!A:B,2,FALSE),B4329),PlayerValues!E:E,0)),"N/A")</f>
        <v>N/A</v>
      </c>
      <c r="B4329" s="4" t="s">
        <v>90</v>
      </c>
      <c r="C4329" s="4" t="s">
        <v>325</v>
      </c>
      <c r="D4329" s="94">
        <v>1625.0</v>
      </c>
    </row>
    <row r="4330">
      <c r="A4330" s="40">
        <f t="array" ref="A4330">IFNA(index(PlayerValues!A:A,match(IFNA(vlookup(B4330,'Special Names'!A:B,2,FALSE),B4330),PlayerValues!E:E,0)),"N/A")</f>
        <v>14105</v>
      </c>
      <c r="B4330" s="4" t="s">
        <v>675</v>
      </c>
      <c r="C4330" s="4" t="s">
        <v>287</v>
      </c>
      <c r="D4330" s="94">
        <v>1620.0</v>
      </c>
    </row>
    <row r="4331">
      <c r="A4331" s="40">
        <f t="array" ref="A4331">IFNA(index(PlayerValues!A:A,match(IFNA(vlookup(B4331,'Special Names'!A:B,2,FALSE),B4331),PlayerValues!E:E,0)),"N/A")</f>
        <v>16201</v>
      </c>
      <c r="B4331" s="4" t="s">
        <v>589</v>
      </c>
      <c r="C4331" s="4" t="s">
        <v>287</v>
      </c>
      <c r="D4331" s="94">
        <v>1617.0</v>
      </c>
    </row>
    <row r="4332">
      <c r="A4332" s="40">
        <f t="array" ref="A4332">IFNA(index(PlayerValues!A:A,match(IFNA(vlookup(B4332,'Special Names'!A:B,2,FALSE),B4332),PlayerValues!E:E,0)),"N/A")</f>
        <v>16601</v>
      </c>
      <c r="B4332" s="4" t="s">
        <v>648</v>
      </c>
      <c r="C4332" s="4" t="s">
        <v>278</v>
      </c>
      <c r="D4332" s="94">
        <v>1608.0</v>
      </c>
    </row>
    <row r="4333">
      <c r="A4333" s="40">
        <f t="array" ref="A4333">IFNA(index(PlayerValues!A:A,match(IFNA(vlookup(B4333,'Special Names'!A:B,2,FALSE),B4333),PlayerValues!E:E,0)),"N/A")</f>
        <v>16586</v>
      </c>
      <c r="B4333" s="4" t="s">
        <v>658</v>
      </c>
      <c r="C4333" s="4" t="s">
        <v>283</v>
      </c>
      <c r="D4333" s="94">
        <v>1582.0</v>
      </c>
    </row>
    <row r="4334">
      <c r="A4334" s="40" t="str">
        <f t="array" ref="A4334">IFNA(index(PlayerValues!A:A,match(IFNA(vlookup(B4334,'Special Names'!A:B,2,FALSE),B4334),PlayerValues!E:E,0)),"N/A")</f>
        <v>N/A</v>
      </c>
      <c r="B4334" s="4" t="s">
        <v>116</v>
      </c>
      <c r="C4334" s="4" t="s">
        <v>325</v>
      </c>
      <c r="D4334" s="94">
        <v>1576.0</v>
      </c>
    </row>
    <row r="4335">
      <c r="A4335" s="40">
        <f t="array" ref="A4335">IFNA(index(PlayerValues!A:A,match(IFNA(vlookup(B4335,'Special Names'!A:B,2,FALSE),B4335),PlayerValues!E:E,0)),"N/A")</f>
        <v>16629</v>
      </c>
      <c r="B4335" s="4" t="s">
        <v>605</v>
      </c>
      <c r="C4335" s="4" t="s">
        <v>287</v>
      </c>
      <c r="D4335" s="94">
        <v>1567.0</v>
      </c>
    </row>
    <row r="4336">
      <c r="A4336" s="40">
        <f t="array" ref="A4336">IFNA(index(PlayerValues!A:A,match(IFNA(vlookup(B4336,'Special Names'!A:B,2,FALSE),B4336),PlayerValues!E:E,0)),"N/A")</f>
        <v>15301</v>
      </c>
      <c r="B4336" s="4" t="s">
        <v>657</v>
      </c>
      <c r="C4336" s="4" t="s">
        <v>287</v>
      </c>
      <c r="D4336" s="94">
        <v>1561.0</v>
      </c>
    </row>
    <row r="4337">
      <c r="A4337" s="40" t="str">
        <f t="array" ref="A4337">IFNA(index(PlayerValues!A:A,match(IFNA(vlookup(B4337,'Special Names'!A:B,2,FALSE),B4337),PlayerValues!E:E,0)),"N/A")</f>
        <v>N/A</v>
      </c>
      <c r="B4337" s="4" t="s">
        <v>91</v>
      </c>
      <c r="C4337" s="4" t="s">
        <v>325</v>
      </c>
      <c r="D4337" s="94">
        <v>1560.0</v>
      </c>
    </row>
    <row r="4338">
      <c r="A4338" s="40">
        <f t="array" ref="A4338">IFNA(index(PlayerValues!A:A,match(IFNA(vlookup(B4338,'Special Names'!A:B,2,FALSE),B4338),PlayerValues!E:E,0)),"N/A")</f>
        <v>16633</v>
      </c>
      <c r="B4338" s="4" t="s">
        <v>656</v>
      </c>
      <c r="C4338" s="4" t="s">
        <v>287</v>
      </c>
      <c r="D4338" s="94">
        <v>1560.0</v>
      </c>
    </row>
    <row r="4339">
      <c r="A4339" s="40">
        <f t="array" ref="A4339">IFNA(index(PlayerValues!A:A,match(IFNA(vlookup(B4339,'Special Names'!A:B,2,FALSE),B4339),PlayerValues!E:E,0)),"N/A")</f>
        <v>15254</v>
      </c>
      <c r="B4339" s="4" t="s">
        <v>633</v>
      </c>
      <c r="C4339" s="4" t="s">
        <v>278</v>
      </c>
      <c r="D4339" s="94">
        <v>1557.0</v>
      </c>
    </row>
    <row r="4340">
      <c r="A4340" s="40">
        <f t="array" ref="A4340">IFNA(index(PlayerValues!A:A,match(IFNA(vlookup(B4340,'Special Names'!A:B,2,FALSE),B4340),PlayerValues!E:E,0)),"N/A")</f>
        <v>15319</v>
      </c>
      <c r="B4340" s="4" t="s">
        <v>644</v>
      </c>
      <c r="C4340" s="4" t="s">
        <v>287</v>
      </c>
      <c r="D4340" s="94">
        <v>1546.0</v>
      </c>
    </row>
    <row r="4341">
      <c r="A4341" s="40">
        <f t="array" ref="A4341">IFNA(index(PlayerValues!A:A,match(IFNA(vlookup(B4341,'Special Names'!A:B,2,FALSE),B4341),PlayerValues!E:E,0)),"N/A")</f>
        <v>17529</v>
      </c>
      <c r="B4341" s="4" t="s">
        <v>608</v>
      </c>
      <c r="C4341" s="4" t="s">
        <v>287</v>
      </c>
      <c r="D4341" s="94">
        <v>1545.0</v>
      </c>
    </row>
    <row r="4342">
      <c r="A4342" s="40">
        <f t="array" ref="A4342">IFNA(index(PlayerValues!A:A,match(IFNA(vlookup(B4342,'Special Names'!A:B,2,FALSE),B4342),PlayerValues!E:E,0)),"N/A")</f>
        <v>17234</v>
      </c>
      <c r="B4342" s="4" t="s">
        <v>653</v>
      </c>
      <c r="C4342" s="4" t="s">
        <v>287</v>
      </c>
      <c r="D4342" s="94">
        <v>1539.0</v>
      </c>
    </row>
    <row r="4343">
      <c r="A4343" s="40">
        <f t="array" ref="A4343">IFNA(index(PlayerValues!A:A,match(IFNA(vlookup(B4343,'Special Names'!A:B,2,FALSE),B4343),PlayerValues!E:E,0)),"N/A")</f>
        <v>15713</v>
      </c>
      <c r="B4343" s="4" t="s">
        <v>732</v>
      </c>
      <c r="C4343" s="4" t="s">
        <v>278</v>
      </c>
      <c r="D4343" s="94">
        <v>1515.0</v>
      </c>
    </row>
    <row r="4344">
      <c r="A4344" s="40">
        <f t="array" ref="A4344">IFNA(index(PlayerValues!A:A,match(IFNA(vlookup(B4344,'Special Names'!A:B,2,FALSE),B4344),PlayerValues!E:E,0)),"N/A")</f>
        <v>17205</v>
      </c>
      <c r="B4344" s="4" t="s">
        <v>665</v>
      </c>
      <c r="C4344" s="4" t="s">
        <v>287</v>
      </c>
      <c r="D4344" s="94">
        <v>1514.0</v>
      </c>
    </row>
    <row r="4345">
      <c r="A4345" s="40">
        <f t="array" ref="A4345">IFNA(index(PlayerValues!A:A,match(IFNA(vlookup(B4345,'Special Names'!A:B,2,FALSE),B4345),PlayerValues!E:E,0)),"N/A")</f>
        <v>14122</v>
      </c>
      <c r="B4345" s="4" t="s">
        <v>663</v>
      </c>
      <c r="C4345" s="4" t="s">
        <v>287</v>
      </c>
      <c r="D4345" s="94">
        <v>1505.0</v>
      </c>
    </row>
    <row r="4346">
      <c r="A4346" s="40">
        <f t="array" ref="A4346">IFNA(index(PlayerValues!A:A,match(IFNA(vlookup(B4346,'Special Names'!A:B,2,FALSE),B4346),PlayerValues!E:E,0)),"N/A")</f>
        <v>15337</v>
      </c>
      <c r="B4346" s="4" t="s">
        <v>655</v>
      </c>
      <c r="C4346" s="4" t="s">
        <v>298</v>
      </c>
      <c r="D4346" s="94">
        <v>1868.0</v>
      </c>
    </row>
    <row r="4347">
      <c r="A4347" s="40">
        <f t="array" ref="A4347">IFNA(index(PlayerValues!A:A,match(IFNA(vlookup(B4347,'Special Names'!A:B,2,FALSE),B4347),PlayerValues!E:E,0)),"N/A")</f>
        <v>16595</v>
      </c>
      <c r="B4347" s="4" t="s">
        <v>664</v>
      </c>
      <c r="C4347" s="4" t="s">
        <v>278</v>
      </c>
      <c r="D4347" s="94">
        <v>1494.0</v>
      </c>
    </row>
    <row r="4348">
      <c r="A4348" s="40">
        <f t="array" ref="A4348">IFNA(index(PlayerValues!A:A,match(IFNA(vlookup(B4348,'Special Names'!A:B,2,FALSE),B4348),PlayerValues!E:E,0)),"N/A")</f>
        <v>16688</v>
      </c>
      <c r="B4348" s="4" t="s">
        <v>688</v>
      </c>
      <c r="C4348" s="4" t="s">
        <v>278</v>
      </c>
      <c r="D4348" s="94">
        <v>1494.0</v>
      </c>
    </row>
    <row r="4349">
      <c r="A4349" s="40">
        <f t="array" ref="A4349">IFNA(index(PlayerValues!A:A,match(IFNA(vlookup(B4349,'Special Names'!A:B,2,FALSE),B4349),PlayerValues!E:E,0)),"N/A")</f>
        <v>16175</v>
      </c>
      <c r="B4349" s="4" t="s">
        <v>654</v>
      </c>
      <c r="C4349" s="4" t="s">
        <v>278</v>
      </c>
      <c r="D4349" s="94">
        <v>1486.0</v>
      </c>
    </row>
    <row r="4350">
      <c r="A4350" s="40">
        <f t="array" ref="A4350">IFNA(index(PlayerValues!A:A,match(IFNA(vlookup(B4350,'Special Names'!A:B,2,FALSE),B4350),PlayerValues!E:E,0)),"N/A")</f>
        <v>17054</v>
      </c>
      <c r="B4350" s="4" t="s">
        <v>670</v>
      </c>
      <c r="C4350" s="4" t="s">
        <v>278</v>
      </c>
      <c r="D4350" s="94">
        <v>1477.0</v>
      </c>
    </row>
    <row r="4351">
      <c r="A4351" s="40">
        <f t="array" ref="A4351">IFNA(index(PlayerValues!A:A,match(IFNA(vlookup(B4351,'Special Names'!A:B,2,FALSE),B4351),PlayerValues!E:E,0)),"N/A")</f>
        <v>15752</v>
      </c>
      <c r="B4351" s="4" t="s">
        <v>647</v>
      </c>
      <c r="C4351" s="4" t="s">
        <v>287</v>
      </c>
      <c r="D4351" s="94">
        <v>1468.0</v>
      </c>
    </row>
    <row r="4352">
      <c r="A4352" s="40">
        <f t="array" ref="A4352">IFNA(index(PlayerValues!A:A,match(IFNA(vlookup(B4352,'Special Names'!A:B,2,FALSE),B4352),PlayerValues!E:E,0)),"N/A")</f>
        <v>13672</v>
      </c>
      <c r="B4352" s="4" t="s">
        <v>667</v>
      </c>
      <c r="C4352" s="4" t="s">
        <v>298</v>
      </c>
      <c r="D4352" s="94">
        <v>1834.0</v>
      </c>
    </row>
    <row r="4353">
      <c r="A4353" s="40">
        <f t="array" ref="A4353">IFNA(index(PlayerValues!A:A,match(IFNA(vlookup(B4353,'Special Names'!A:B,2,FALSE),B4353),PlayerValues!E:E,0)),"N/A")</f>
        <v>16788</v>
      </c>
      <c r="B4353" s="4" t="s">
        <v>621</v>
      </c>
      <c r="C4353" s="4" t="s">
        <v>287</v>
      </c>
      <c r="D4353" s="94">
        <v>1452.0</v>
      </c>
    </row>
    <row r="4354">
      <c r="A4354" s="40">
        <f t="array" ref="A4354">IFNA(index(PlayerValues!A:A,match(IFNA(vlookup(B4354,'Special Names'!A:B,2,FALSE),B4354),PlayerValues!E:E,0)),"N/A")</f>
        <v>15873</v>
      </c>
      <c r="B4354" s="4" t="s">
        <v>681</v>
      </c>
      <c r="C4354" s="4" t="s">
        <v>298</v>
      </c>
      <c r="D4354" s="94">
        <v>1810.0</v>
      </c>
    </row>
    <row r="4355">
      <c r="A4355" s="40">
        <f t="array" ref="A4355">IFNA(index(PlayerValues!A:A,match(IFNA(vlookup(B4355,'Special Names'!A:B,2,FALSE),B4355),PlayerValues!E:E,0)),"N/A")</f>
        <v>15759</v>
      </c>
      <c r="B4355" s="4" t="s">
        <v>662</v>
      </c>
      <c r="C4355" s="4" t="s">
        <v>287</v>
      </c>
      <c r="D4355" s="94">
        <v>1433.0</v>
      </c>
    </row>
    <row r="4356">
      <c r="A4356" s="40">
        <f t="array" ref="A4356">IFNA(index(PlayerValues!A:A,match(IFNA(vlookup(B4356,'Special Names'!A:B,2,FALSE),B4356),PlayerValues!E:E,0)),"N/A")</f>
        <v>15777</v>
      </c>
      <c r="B4356" s="4" t="s">
        <v>694</v>
      </c>
      <c r="C4356" s="4" t="s">
        <v>287</v>
      </c>
      <c r="D4356" s="94">
        <v>1422.0</v>
      </c>
    </row>
    <row r="4357">
      <c r="A4357" s="40">
        <f t="array" ref="A4357">IFNA(index(PlayerValues!A:A,match(IFNA(vlookup(B4357,'Special Names'!A:B,2,FALSE),B4357),PlayerValues!E:E,0)),"N/A")</f>
        <v>16390</v>
      </c>
      <c r="B4357" s="4" t="s">
        <v>689</v>
      </c>
      <c r="C4357" s="4" t="s">
        <v>278</v>
      </c>
      <c r="D4357" s="94">
        <v>1418.0</v>
      </c>
    </row>
    <row r="4358">
      <c r="A4358" s="40">
        <f t="array" ref="A4358">IFNA(index(PlayerValues!A:A,match(IFNA(vlookup(B4358,'Special Names'!A:B,2,FALSE),B4358),PlayerValues!E:E,0)),"N/A")</f>
        <v>17519</v>
      </c>
      <c r="B4358" s="4" t="s">
        <v>593</v>
      </c>
      <c r="C4358" s="4" t="s">
        <v>287</v>
      </c>
      <c r="D4358" s="94">
        <v>1417.0</v>
      </c>
    </row>
    <row r="4359">
      <c r="A4359" s="40">
        <f t="array" ref="A4359">IFNA(index(PlayerValues!A:A,match(IFNA(vlookup(B4359,'Special Names'!A:B,2,FALSE),B4359),PlayerValues!E:E,0)),"N/A")</f>
        <v>16621</v>
      </c>
      <c r="B4359" s="4" t="s">
        <v>672</v>
      </c>
      <c r="C4359" s="4" t="s">
        <v>287</v>
      </c>
      <c r="D4359" s="94">
        <v>1411.0</v>
      </c>
    </row>
    <row r="4360">
      <c r="A4360" s="40">
        <f t="array" ref="A4360">IFNA(index(PlayerValues!A:A,match(IFNA(vlookup(B4360,'Special Names'!A:B,2,FALSE),B4360),PlayerValues!E:E,0)),"N/A")</f>
        <v>14137</v>
      </c>
      <c r="B4360" s="4" t="s">
        <v>676</v>
      </c>
      <c r="C4360" s="4" t="s">
        <v>298</v>
      </c>
      <c r="D4360" s="94">
        <v>1774.0</v>
      </c>
    </row>
    <row r="4361">
      <c r="A4361" s="40">
        <f t="array" ref="A4361">IFNA(index(PlayerValues!A:A,match(IFNA(vlookup(B4361,'Special Names'!A:B,2,FALSE),B4361),PlayerValues!E:E,0)),"N/A")</f>
        <v>17521</v>
      </c>
      <c r="B4361" s="4" t="s">
        <v>573</v>
      </c>
      <c r="C4361" s="4" t="s">
        <v>287</v>
      </c>
      <c r="D4361" s="94">
        <v>1397.0</v>
      </c>
    </row>
    <row r="4362">
      <c r="A4362" s="40">
        <f t="array" ref="A4362">IFNA(index(PlayerValues!A:A,match(IFNA(vlookup(B4362,'Special Names'!A:B,2,FALSE),B4362),PlayerValues!E:E,0)),"N/A")</f>
        <v>15738</v>
      </c>
      <c r="B4362" s="4" t="s">
        <v>634</v>
      </c>
      <c r="C4362" s="4" t="s">
        <v>278</v>
      </c>
      <c r="D4362" s="94">
        <v>1396.0</v>
      </c>
    </row>
    <row r="4363">
      <c r="A4363" s="40">
        <f t="array" ref="A4363">IFNA(index(PlayerValues!A:A,match(IFNA(vlookup(B4363,'Special Names'!A:B,2,FALSE),B4363),PlayerValues!E:E,0)),"N/A")</f>
        <v>16387</v>
      </c>
      <c r="B4363" s="4" t="s">
        <v>646</v>
      </c>
      <c r="C4363" s="4" t="s">
        <v>278</v>
      </c>
      <c r="D4363" s="94">
        <v>1396.0</v>
      </c>
    </row>
    <row r="4364">
      <c r="A4364" s="40">
        <f t="array" ref="A4364">IFNA(index(PlayerValues!A:A,match(IFNA(vlookup(B4364,'Special Names'!A:B,2,FALSE),B4364),PlayerValues!E:E,0)),"N/A")</f>
        <v>16631</v>
      </c>
      <c r="B4364" s="4" t="s">
        <v>800</v>
      </c>
      <c r="C4364" s="4" t="s">
        <v>287</v>
      </c>
      <c r="D4364" s="94">
        <v>1396.0</v>
      </c>
    </row>
    <row r="4365">
      <c r="A4365" s="40">
        <f t="array" ref="A4365">IFNA(index(PlayerValues!A:A,match(IFNA(vlookup(B4365,'Special Names'!A:B,2,FALSE),B4365),PlayerValues!E:E,0)),"N/A")</f>
        <v>16642</v>
      </c>
      <c r="B4365" s="4" t="s">
        <v>691</v>
      </c>
      <c r="C4365" s="4" t="s">
        <v>298</v>
      </c>
      <c r="D4365" s="94">
        <v>1765.0</v>
      </c>
    </row>
    <row r="4366">
      <c r="A4366" s="40">
        <f t="array" ref="A4366">IFNA(index(PlayerValues!A:A,match(IFNA(vlookup(B4366,'Special Names'!A:B,2,FALSE),B4366),PlayerValues!E:E,0)),"N/A")</f>
        <v>16384</v>
      </c>
      <c r="B4366" s="4" t="s">
        <v>696</v>
      </c>
      <c r="C4366" s="4" t="s">
        <v>283</v>
      </c>
      <c r="D4366" s="94">
        <v>1388.0</v>
      </c>
    </row>
    <row r="4367">
      <c r="A4367" s="40">
        <f t="array" ref="A4367">IFNA(index(PlayerValues!A:A,match(IFNA(vlookup(B4367,'Special Names'!A:B,2,FALSE),B4367),PlayerValues!E:E,0)),"N/A")</f>
        <v>16608</v>
      </c>
      <c r="B4367" s="4" t="s">
        <v>629</v>
      </c>
      <c r="C4367" s="4" t="s">
        <v>278</v>
      </c>
      <c r="D4367" s="94">
        <v>1373.0</v>
      </c>
    </row>
    <row r="4368">
      <c r="A4368" s="40">
        <f t="array" ref="A4368">IFNA(index(PlayerValues!A:A,match(IFNA(vlookup(B4368,'Special Names'!A:B,2,FALSE),B4368),PlayerValues!E:E,0)),"N/A")</f>
        <v>16792</v>
      </c>
      <c r="B4368" s="4" t="s">
        <v>704</v>
      </c>
      <c r="C4368" s="4" t="s">
        <v>287</v>
      </c>
      <c r="D4368" s="94">
        <v>1367.0</v>
      </c>
    </row>
    <row r="4369">
      <c r="A4369" s="40">
        <f t="array" ref="A4369">IFNA(index(PlayerValues!A:A,match(IFNA(vlookup(B4369,'Special Names'!A:B,2,FALSE),B4369),PlayerValues!E:E,0)),"N/A")</f>
        <v>17599</v>
      </c>
      <c r="B4369" s="4" t="s">
        <v>496</v>
      </c>
      <c r="C4369" s="4" t="s">
        <v>287</v>
      </c>
      <c r="D4369" s="94">
        <v>1361.0</v>
      </c>
    </row>
    <row r="4370">
      <c r="A4370" s="40">
        <f t="array" ref="A4370">IFNA(index(PlayerValues!A:A,match(IFNA(vlookup(B4370,'Special Names'!A:B,2,FALSE),B4370),PlayerValues!E:E,0)),"N/A")</f>
        <v>14086</v>
      </c>
      <c r="B4370" s="4" t="s">
        <v>639</v>
      </c>
      <c r="C4370" s="4" t="s">
        <v>278</v>
      </c>
      <c r="D4370" s="94">
        <v>1351.0</v>
      </c>
    </row>
    <row r="4371">
      <c r="A4371" s="40">
        <f t="array" ref="A4371">IFNA(index(PlayerValues!A:A,match(IFNA(vlookup(B4371,'Special Names'!A:B,2,FALSE),B4371),PlayerValues!E:E,0)),"N/A")</f>
        <v>15292</v>
      </c>
      <c r="B4371" s="4" t="s">
        <v>682</v>
      </c>
      <c r="C4371" s="4" t="s">
        <v>287</v>
      </c>
      <c r="D4371" s="94">
        <v>1347.0</v>
      </c>
    </row>
    <row r="4372">
      <c r="A4372" s="40">
        <f t="array" ref="A4372">IFNA(index(PlayerValues!A:A,match(IFNA(vlookup(B4372,'Special Names'!A:B,2,FALSE),B4372),PlayerValues!E:E,0)),"N/A")</f>
        <v>17037</v>
      </c>
      <c r="B4372" s="4" t="s">
        <v>727</v>
      </c>
      <c r="C4372" s="4" t="s">
        <v>283</v>
      </c>
      <c r="D4372" s="94">
        <v>1318.0</v>
      </c>
    </row>
    <row r="4373">
      <c r="A4373" s="40">
        <f t="array" ref="A4373">IFNA(index(PlayerValues!A:A,match(IFNA(vlookup(B4373,'Special Names'!A:B,2,FALSE),B4373),PlayerValues!E:E,0)),"N/A")</f>
        <v>17685</v>
      </c>
      <c r="B4373" s="4" t="s">
        <v>630</v>
      </c>
      <c r="C4373" s="4" t="s">
        <v>278</v>
      </c>
      <c r="D4373" s="94">
        <v>1316.0</v>
      </c>
    </row>
    <row r="4374">
      <c r="A4374" s="40">
        <f t="array" ref="A4374">IFNA(index(PlayerValues!A:A,match(IFNA(vlookup(B4374,'Special Names'!A:B,2,FALSE),B4374),PlayerValues!E:E,0)),"N/A")</f>
        <v>12140</v>
      </c>
      <c r="B4374" s="4" t="s">
        <v>702</v>
      </c>
      <c r="C4374" s="4" t="s">
        <v>283</v>
      </c>
      <c r="D4374" s="94">
        <v>1312.0</v>
      </c>
    </row>
    <row r="4375">
      <c r="A4375" s="40">
        <f t="array" ref="A4375">IFNA(index(PlayerValues!A:A,match(IFNA(vlookup(B4375,'Special Names'!A:B,2,FALSE),B4375),PlayerValues!E:E,0)),"N/A")</f>
        <v>17254</v>
      </c>
      <c r="B4375" s="4" t="s">
        <v>679</v>
      </c>
      <c r="C4375" s="4" t="s">
        <v>287</v>
      </c>
      <c r="D4375" s="94">
        <v>1309.0</v>
      </c>
    </row>
    <row r="4376">
      <c r="A4376" s="40">
        <f t="array" ref="A4376">IFNA(index(PlayerValues!A:A,match(IFNA(vlookup(B4376,'Special Names'!A:B,2,FALSE),B4376),PlayerValues!E:E,0)),"N/A")</f>
        <v>17062</v>
      </c>
      <c r="B4376" s="4" t="s">
        <v>701</v>
      </c>
      <c r="C4376" s="4" t="s">
        <v>278</v>
      </c>
      <c r="D4376" s="94">
        <v>1302.0</v>
      </c>
    </row>
    <row r="4377">
      <c r="A4377" s="40">
        <f t="array" ref="A4377">IFNA(index(PlayerValues!A:A,match(IFNA(vlookup(B4377,'Special Names'!A:B,2,FALSE),B4377),PlayerValues!E:E,0)),"N/A")</f>
        <v>12678</v>
      </c>
      <c r="B4377" s="4" t="s">
        <v>703</v>
      </c>
      <c r="C4377" s="4" t="s">
        <v>298</v>
      </c>
      <c r="D4377" s="94">
        <v>1653.0</v>
      </c>
    </row>
    <row r="4378">
      <c r="A4378" s="40">
        <f t="array" ref="A4378">IFNA(index(PlayerValues!A:A,match(IFNA(vlookup(B4378,'Special Names'!A:B,2,FALSE),B4378),PlayerValues!E:E,0)),"N/A")</f>
        <v>13418</v>
      </c>
      <c r="B4378" s="4" t="s">
        <v>706</v>
      </c>
      <c r="C4378" s="4" t="s">
        <v>287</v>
      </c>
      <c r="D4378" s="94">
        <v>1275.0</v>
      </c>
    </row>
    <row r="4379">
      <c r="A4379" s="40">
        <f t="array" ref="A4379">IFNA(index(PlayerValues!A:A,match(IFNA(vlookup(B4379,'Special Names'!A:B,2,FALSE),B4379),PlayerValues!E:E,0)),"N/A")</f>
        <v>15252</v>
      </c>
      <c r="B4379" s="4" t="s">
        <v>715</v>
      </c>
      <c r="C4379" s="4" t="s">
        <v>283</v>
      </c>
      <c r="D4379" s="94">
        <v>1270.0</v>
      </c>
    </row>
    <row r="4380">
      <c r="A4380" s="40" t="str">
        <f t="array" ref="A4380">IFNA(index(PlayerValues!A:A,match(IFNA(vlookup(B4380,'Special Names'!A:B,2,FALSE),B4380),PlayerValues!E:E,0)),"N/A")</f>
        <v>N/A</v>
      </c>
      <c r="B4380" s="4" t="s">
        <v>117</v>
      </c>
      <c r="C4380" s="4" t="s">
        <v>325</v>
      </c>
      <c r="D4380" s="94">
        <v>1261.0</v>
      </c>
    </row>
    <row r="4381">
      <c r="A4381" s="40">
        <f t="array" ref="A4381">IFNA(index(PlayerValues!A:A,match(IFNA(vlookup(B4381,'Special Names'!A:B,2,FALSE),B4381),PlayerValues!E:E,0)),"N/A")</f>
        <v>12141</v>
      </c>
      <c r="B4381" s="4" t="s">
        <v>744</v>
      </c>
      <c r="C4381" s="4" t="s">
        <v>283</v>
      </c>
      <c r="D4381" s="94">
        <v>1257.0</v>
      </c>
    </row>
    <row r="4382">
      <c r="A4382" s="40">
        <f t="array" ref="A4382">IFNA(index(PlayerValues!A:A,match(IFNA(vlookup(B4382,'Special Names'!A:B,2,FALSE),B4382),PlayerValues!E:E,0)),"N/A")</f>
        <v>16645</v>
      </c>
      <c r="B4382" s="4" t="s">
        <v>651</v>
      </c>
      <c r="C4382" s="4" t="s">
        <v>298</v>
      </c>
      <c r="D4382" s="94">
        <v>1624.0</v>
      </c>
    </row>
    <row r="4383">
      <c r="A4383" s="40">
        <f t="array" ref="A4383">IFNA(index(PlayerValues!A:A,match(IFNA(vlookup(B4383,'Special Names'!A:B,2,FALSE),B4383),PlayerValues!E:E,0)),"N/A")</f>
        <v>14592</v>
      </c>
      <c r="B4383" s="4" t="s">
        <v>705</v>
      </c>
      <c r="C4383" s="4" t="s">
        <v>287</v>
      </c>
      <c r="D4383" s="94">
        <v>1256.0</v>
      </c>
    </row>
    <row r="4384">
      <c r="A4384" s="40">
        <f t="array" ref="A4384">IFNA(index(PlayerValues!A:A,match(IFNA(vlookup(B4384,'Special Names'!A:B,2,FALSE),B4384),PlayerValues!E:E,0)),"N/A")</f>
        <v>14080</v>
      </c>
      <c r="B4384" s="4" t="s">
        <v>716</v>
      </c>
      <c r="C4384" s="4" t="s">
        <v>278</v>
      </c>
      <c r="D4384" s="94">
        <v>1246.0</v>
      </c>
    </row>
    <row r="4385">
      <c r="A4385" s="40">
        <f t="array" ref="A4385">IFNA(index(PlayerValues!A:A,match(IFNA(vlookup(B4385,'Special Names'!A:B,2,FALSE),B4385),PlayerValues!E:E,0)),"N/A")</f>
        <v>15332</v>
      </c>
      <c r="B4385" s="4" t="s">
        <v>698</v>
      </c>
      <c r="C4385" s="4" t="s">
        <v>298</v>
      </c>
      <c r="D4385" s="94">
        <v>1613.0</v>
      </c>
    </row>
    <row r="4386">
      <c r="A4386" s="40">
        <f t="array" ref="A4386">IFNA(index(PlayerValues!A:A,match(IFNA(vlookup(B4386,'Special Names'!A:B,2,FALSE),B4386),PlayerValues!E:E,0)),"N/A")</f>
        <v>14095</v>
      </c>
      <c r="B4386" s="4" t="s">
        <v>680</v>
      </c>
      <c r="C4386" s="4" t="s">
        <v>278</v>
      </c>
      <c r="D4386" s="94">
        <v>1245.0</v>
      </c>
    </row>
    <row r="4387">
      <c r="A4387" s="40">
        <f t="array" ref="A4387">IFNA(index(PlayerValues!A:A,match(IFNA(vlookup(B4387,'Special Names'!A:B,2,FALSE),B4387),PlayerValues!E:E,0)),"N/A")</f>
        <v>16149</v>
      </c>
      <c r="B4387" s="4" t="s">
        <v>740</v>
      </c>
      <c r="C4387" s="4" t="s">
        <v>283</v>
      </c>
      <c r="D4387" s="94">
        <v>1239.0</v>
      </c>
    </row>
    <row r="4388">
      <c r="A4388" s="40">
        <f t="array" ref="A4388">IFNA(index(PlayerValues!A:A,match(IFNA(vlookup(B4388,'Special Names'!A:B,2,FALSE),B4388),PlayerValues!E:E,0)),"N/A")</f>
        <v>11222</v>
      </c>
      <c r="B4388" s="4" t="s">
        <v>622</v>
      </c>
      <c r="C4388" s="4" t="s">
        <v>287</v>
      </c>
      <c r="D4388" s="94">
        <v>1233.0</v>
      </c>
    </row>
    <row r="4389">
      <c r="A4389" s="40">
        <f t="array" ref="A4389">IFNA(index(PlayerValues!A:A,match(IFNA(vlookup(B4389,'Special Names'!A:B,2,FALSE),B4389),PlayerValues!E:E,0)),"N/A")</f>
        <v>15702</v>
      </c>
      <c r="B4389" s="4" t="s">
        <v>723</v>
      </c>
      <c r="C4389" s="4" t="s">
        <v>283</v>
      </c>
      <c r="D4389" s="94">
        <v>1225.0</v>
      </c>
    </row>
    <row r="4390">
      <c r="A4390" s="40">
        <f t="array" ref="A4390">IFNA(index(PlayerValues!A:A,match(IFNA(vlookup(B4390,'Special Names'!A:B,2,FALSE),B4390),PlayerValues!E:E,0)),"N/A")</f>
        <v>16636</v>
      </c>
      <c r="B4390" s="4" t="s">
        <v>699</v>
      </c>
      <c r="C4390" s="4" t="s">
        <v>287</v>
      </c>
      <c r="D4390" s="94">
        <v>1224.0</v>
      </c>
    </row>
    <row r="4391">
      <c r="A4391" s="40">
        <f t="array" ref="A4391">IFNA(index(PlayerValues!A:A,match(IFNA(vlookup(B4391,'Special Names'!A:B,2,FALSE),B4391),PlayerValues!E:E,0)),"N/A")</f>
        <v>17097</v>
      </c>
      <c r="B4391" s="4" t="s">
        <v>659</v>
      </c>
      <c r="C4391" s="4" t="s">
        <v>287</v>
      </c>
      <c r="D4391" s="94">
        <v>1221.0</v>
      </c>
    </row>
    <row r="4392">
      <c r="A4392" s="40">
        <f t="array" ref="A4392">IFNA(index(PlayerValues!A:A,match(IFNA(vlookup(B4392,'Special Names'!A:B,2,FALSE),B4392),PlayerValues!E:E,0)),"N/A")</f>
        <v>17077</v>
      </c>
      <c r="B4392" s="4" t="s">
        <v>714</v>
      </c>
      <c r="C4392" s="4" t="s">
        <v>287</v>
      </c>
      <c r="D4392" s="94">
        <v>1219.0</v>
      </c>
    </row>
    <row r="4393">
      <c r="A4393" s="40">
        <f t="array" ref="A4393">IFNA(index(PlayerValues!A:A,match(IFNA(vlookup(B4393,'Special Names'!A:B,2,FALSE),B4393),PlayerValues!E:E,0)),"N/A")</f>
        <v>16746</v>
      </c>
      <c r="B4393" s="4" t="s">
        <v>709</v>
      </c>
      <c r="C4393" s="4" t="s">
        <v>278</v>
      </c>
      <c r="D4393" s="94">
        <v>1213.0</v>
      </c>
    </row>
    <row r="4394">
      <c r="A4394" s="40">
        <f t="array" ref="A4394">IFNA(index(PlayerValues!A:A,match(IFNA(vlookup(B4394,'Special Names'!A:B,2,FALSE),B4394),PlayerValues!E:E,0)),"N/A")</f>
        <v>16183</v>
      </c>
      <c r="B4394" s="4" t="s">
        <v>678</v>
      </c>
      <c r="C4394" s="4" t="s">
        <v>287</v>
      </c>
      <c r="D4394" s="94">
        <v>1212.0</v>
      </c>
    </row>
    <row r="4395">
      <c r="A4395" s="40">
        <f t="array" ref="A4395">IFNA(index(PlayerValues!A:A,match(IFNA(vlookup(B4395,'Special Names'!A:B,2,FALSE),B4395),PlayerValues!E:E,0)),"N/A")</f>
        <v>14789</v>
      </c>
      <c r="B4395" s="4" t="s">
        <v>721</v>
      </c>
      <c r="C4395" s="4" t="s">
        <v>283</v>
      </c>
      <c r="D4395" s="94">
        <v>1210.0</v>
      </c>
    </row>
    <row r="4396">
      <c r="A4396" s="40">
        <f t="array" ref="A4396">IFNA(index(PlayerValues!A:A,match(IFNA(vlookup(B4396,'Special Names'!A:B,2,FALSE),B4396),PlayerValues!E:E,0)),"N/A")</f>
        <v>16333</v>
      </c>
      <c r="B4396" s="4" t="s">
        <v>711</v>
      </c>
      <c r="C4396" s="4" t="s">
        <v>298</v>
      </c>
      <c r="D4396" s="94">
        <v>1566.0</v>
      </c>
    </row>
    <row r="4397">
      <c r="A4397" s="40">
        <f t="array" ref="A4397">IFNA(index(PlayerValues!A:A,match(IFNA(vlookup(B4397,'Special Names'!A:B,2,FALSE),B4397),PlayerValues!E:E,0)),"N/A")</f>
        <v>17652</v>
      </c>
      <c r="B4397" s="4" t="s">
        <v>576</v>
      </c>
      <c r="C4397" s="4" t="s">
        <v>278</v>
      </c>
      <c r="D4397" s="94">
        <v>1197.0</v>
      </c>
    </row>
    <row r="4398">
      <c r="A4398" s="40">
        <f t="array" ref="A4398">IFNA(index(PlayerValues!A:A,match(IFNA(vlookup(B4398,'Special Names'!A:B,2,FALSE),B4398),PlayerValues!E:E,0)),"N/A")</f>
        <v>16883</v>
      </c>
      <c r="B4398" s="4" t="s">
        <v>683</v>
      </c>
      <c r="C4398" s="4" t="s">
        <v>287</v>
      </c>
      <c r="D4398" s="94">
        <v>1196.0</v>
      </c>
    </row>
    <row r="4399">
      <c r="A4399" s="40">
        <f t="array" ref="A4399">IFNA(index(PlayerValues!A:A,match(IFNA(vlookup(B4399,'Special Names'!A:B,2,FALSE),B4399),PlayerValues!E:E,0)),"N/A")</f>
        <v>17269</v>
      </c>
      <c r="B4399" s="4" t="s">
        <v>718</v>
      </c>
      <c r="C4399" s="4" t="s">
        <v>287</v>
      </c>
      <c r="D4399" s="94">
        <v>1192.0</v>
      </c>
    </row>
    <row r="4400">
      <c r="A4400" s="40">
        <f t="array" ref="A4400">IFNA(index(PlayerValues!A:A,match(IFNA(vlookup(B4400,'Special Names'!A:B,2,FALSE),B4400),PlayerValues!E:E,0)),"N/A")</f>
        <v>17109</v>
      </c>
      <c r="B4400" s="4" t="s">
        <v>707</v>
      </c>
      <c r="C4400" s="4" t="s">
        <v>298</v>
      </c>
      <c r="D4400" s="94">
        <v>1550.0</v>
      </c>
    </row>
    <row r="4401">
      <c r="A4401" s="40">
        <f t="array" ref="A4401">IFNA(index(PlayerValues!A:A,match(IFNA(vlookup(B4401,'Special Names'!A:B,2,FALSE),B4401),PlayerValues!E:E,0)),"N/A")</f>
        <v>17063</v>
      </c>
      <c r="B4401" s="4" t="s">
        <v>686</v>
      </c>
      <c r="C4401" s="4" t="s">
        <v>278</v>
      </c>
      <c r="D4401" s="94">
        <v>1179.0</v>
      </c>
    </row>
    <row r="4402">
      <c r="A4402" s="40">
        <f t="array" ref="A4402">IFNA(index(PlayerValues!A:A,match(IFNA(vlookup(B4402,'Special Names'!A:B,2,FALSE),B4402),PlayerValues!E:E,0)),"N/A")</f>
        <v>17546</v>
      </c>
      <c r="B4402" s="4" t="s">
        <v>671</v>
      </c>
      <c r="C4402" s="4" t="s">
        <v>298</v>
      </c>
      <c r="D4402" s="94">
        <v>1534.0</v>
      </c>
    </row>
    <row r="4403">
      <c r="A4403" s="40">
        <f t="array" ref="A4403">IFNA(index(PlayerValues!A:A,match(IFNA(vlookup(B4403,'Special Names'!A:B,2,FALSE),B4403),PlayerValues!E:E,0)),"N/A")</f>
        <v>17057</v>
      </c>
      <c r="B4403" s="4" t="s">
        <v>708</v>
      </c>
      <c r="C4403" s="4" t="s">
        <v>278</v>
      </c>
      <c r="D4403" s="94">
        <v>1164.0</v>
      </c>
    </row>
    <row r="4404">
      <c r="A4404" s="40">
        <f t="array" ref="A4404">IFNA(index(PlayerValues!A:A,match(IFNA(vlookup(B4404,'Special Names'!A:B,2,FALSE),B4404),PlayerValues!E:E,0)),"N/A")</f>
        <v>17510</v>
      </c>
      <c r="B4404" s="4" t="s">
        <v>661</v>
      </c>
      <c r="C4404" s="4" t="s">
        <v>287</v>
      </c>
      <c r="D4404" s="94">
        <v>1157.0</v>
      </c>
    </row>
    <row r="4405">
      <c r="A4405" s="40">
        <f t="array" ref="A4405">IFNA(index(PlayerValues!A:A,match(IFNA(vlookup(B4405,'Special Names'!A:B,2,FALSE),B4405),PlayerValues!E:E,0)),"N/A")</f>
        <v>15288</v>
      </c>
      <c r="B4405" s="4" t="s">
        <v>700</v>
      </c>
      <c r="C4405" s="4" t="s">
        <v>287</v>
      </c>
      <c r="D4405" s="94">
        <v>1153.0</v>
      </c>
    </row>
    <row r="4406">
      <c r="A4406" s="40">
        <f t="array" ref="A4406">IFNA(index(PlayerValues!A:A,match(IFNA(vlookup(B4406,'Special Names'!A:B,2,FALSE),B4406),PlayerValues!E:E,0)),"N/A")</f>
        <v>16385</v>
      </c>
      <c r="B4406" s="4" t="s">
        <v>690</v>
      </c>
      <c r="C4406" s="4" t="s">
        <v>278</v>
      </c>
      <c r="D4406" s="94">
        <v>1152.0</v>
      </c>
    </row>
    <row r="4407">
      <c r="A4407" s="40">
        <f t="array" ref="A4407">IFNA(index(PlayerValues!A:A,match(IFNA(vlookup(B4407,'Special Names'!A:B,2,FALSE),B4407),PlayerValues!E:E,0)),"N/A")</f>
        <v>14108</v>
      </c>
      <c r="B4407" s="4" t="s">
        <v>673</v>
      </c>
      <c r="C4407" s="4" t="s">
        <v>287</v>
      </c>
      <c r="D4407" s="94">
        <v>1147.0</v>
      </c>
    </row>
    <row r="4408">
      <c r="A4408" s="40">
        <f t="array" ref="A4408">IFNA(index(PlayerValues!A:A,match(IFNA(vlookup(B4408,'Special Names'!A:B,2,FALSE),B4408),PlayerValues!E:E,0)),"N/A")</f>
        <v>16221</v>
      </c>
      <c r="B4408" s="4" t="s">
        <v>725</v>
      </c>
      <c r="C4408" s="4" t="s">
        <v>298</v>
      </c>
      <c r="D4408" s="94">
        <v>1516.0</v>
      </c>
    </row>
    <row r="4409">
      <c r="A4409" s="40">
        <f t="array" ref="A4409">IFNA(index(PlayerValues!A:A,match(IFNA(vlookup(B4409,'Special Names'!A:B,2,FALSE),B4409),PlayerValues!E:E,0)),"N/A")</f>
        <v>16199</v>
      </c>
      <c r="B4409" s="4" t="s">
        <v>687</v>
      </c>
      <c r="C4409" s="4" t="s">
        <v>287</v>
      </c>
      <c r="D4409" s="94">
        <v>1133.0</v>
      </c>
    </row>
    <row r="4410">
      <c r="A4410" s="40">
        <f t="array" ref="A4410">IFNA(index(PlayerValues!A:A,match(IFNA(vlookup(B4410,'Special Names'!A:B,2,FALSE),B4410),PlayerValues!E:E,0)),"N/A")</f>
        <v>9064</v>
      </c>
      <c r="B4410" s="4" t="s">
        <v>761</v>
      </c>
      <c r="C4410" s="4" t="s">
        <v>283</v>
      </c>
      <c r="D4410" s="94">
        <v>1126.0</v>
      </c>
    </row>
    <row r="4411">
      <c r="A4411" s="40">
        <f t="array" ref="A4411">IFNA(index(PlayerValues!A:A,match(IFNA(vlookup(B4411,'Special Names'!A:B,2,FALSE),B4411),PlayerValues!E:E,0)),"N/A")</f>
        <v>14067</v>
      </c>
      <c r="B4411" s="4" t="s">
        <v>735</v>
      </c>
      <c r="C4411" s="4" t="s">
        <v>283</v>
      </c>
      <c r="D4411" s="94">
        <v>1123.0</v>
      </c>
    </row>
    <row r="4412">
      <c r="A4412" s="40">
        <f t="array" ref="A4412">IFNA(index(PlayerValues!A:A,match(IFNA(vlookup(B4412,'Special Names'!A:B,2,FALSE),B4412),PlayerValues!E:E,0)),"N/A")</f>
        <v>15240</v>
      </c>
      <c r="B4412" s="4" t="s">
        <v>751</v>
      </c>
      <c r="C4412" s="4" t="s">
        <v>283</v>
      </c>
      <c r="D4412" s="94">
        <v>1123.0</v>
      </c>
    </row>
    <row r="4413">
      <c r="A4413" s="40">
        <f t="array" ref="A4413">IFNA(index(PlayerValues!A:A,match(IFNA(vlookup(B4413,'Special Names'!A:B,2,FALSE),B4413),PlayerValues!E:E,0)),"N/A")</f>
        <v>14845</v>
      </c>
      <c r="B4413" s="4" t="s">
        <v>717</v>
      </c>
      <c r="C4413" s="4" t="s">
        <v>287</v>
      </c>
      <c r="D4413" s="94">
        <v>1121.0</v>
      </c>
    </row>
    <row r="4414">
      <c r="A4414" s="40">
        <f t="array" ref="A4414">IFNA(index(PlayerValues!A:A,match(IFNA(vlookup(B4414,'Special Names'!A:B,2,FALSE),B4414),PlayerValues!E:E,0)),"N/A")</f>
        <v>15981</v>
      </c>
      <c r="B4414" s="4" t="s">
        <v>729</v>
      </c>
      <c r="C4414" s="4" t="s">
        <v>287</v>
      </c>
      <c r="D4414" s="94">
        <v>1114.0</v>
      </c>
    </row>
    <row r="4415">
      <c r="A4415" s="40">
        <f t="array" ref="A4415">IFNA(index(PlayerValues!A:A,match(IFNA(vlookup(B4415,'Special Names'!A:B,2,FALSE),B4415),PlayerValues!E:E,0)),"N/A")</f>
        <v>16637</v>
      </c>
      <c r="B4415" s="4" t="s">
        <v>736</v>
      </c>
      <c r="C4415" s="4" t="s">
        <v>287</v>
      </c>
      <c r="D4415" s="94">
        <v>1097.0</v>
      </c>
    </row>
    <row r="4416">
      <c r="A4416" s="40">
        <f t="array" ref="A4416">IFNA(index(PlayerValues!A:A,match(IFNA(vlookup(B4416,'Special Names'!A:B,2,FALSE),B4416),PlayerValues!E:E,0)),"N/A")</f>
        <v>17192</v>
      </c>
      <c r="B4416" s="4" t="s">
        <v>677</v>
      </c>
      <c r="C4416" s="4" t="s">
        <v>287</v>
      </c>
      <c r="D4416" s="94">
        <v>1097.0</v>
      </c>
    </row>
    <row r="4417">
      <c r="A4417" s="40">
        <f t="array" ref="A4417">IFNA(index(PlayerValues!A:A,match(IFNA(vlookup(B4417,'Special Names'!A:B,2,FALSE),B4417),PlayerValues!E:E,0)),"N/A")</f>
        <v>13289</v>
      </c>
      <c r="B4417" s="4" t="s">
        <v>746</v>
      </c>
      <c r="C4417" s="4" t="s">
        <v>287</v>
      </c>
      <c r="D4417" s="94">
        <v>1095.0</v>
      </c>
    </row>
    <row r="4418">
      <c r="A4418" s="40">
        <f t="array" ref="A4418">IFNA(index(PlayerValues!A:A,match(IFNA(vlookup(B4418,'Special Names'!A:B,2,FALSE),B4418),PlayerValues!E:E,0)),"N/A")</f>
        <v>16640</v>
      </c>
      <c r="B4418" s="4" t="s">
        <v>712</v>
      </c>
      <c r="C4418" s="4" t="s">
        <v>287</v>
      </c>
      <c r="D4418" s="94">
        <v>1088.0</v>
      </c>
    </row>
    <row r="4419">
      <c r="A4419" s="40">
        <f t="array" ref="A4419">IFNA(index(PlayerValues!A:A,match(IFNA(vlookup(B4419,'Special Names'!A:B,2,FALSE),B4419),PlayerValues!E:E,0)),"N/A")</f>
        <v>16197</v>
      </c>
      <c r="B4419" s="4" t="s">
        <v>726</v>
      </c>
      <c r="C4419" s="4" t="s">
        <v>287</v>
      </c>
      <c r="D4419" s="94">
        <v>1076.0</v>
      </c>
    </row>
    <row r="4420">
      <c r="A4420" s="40">
        <f t="array" ref="A4420">IFNA(index(PlayerValues!A:A,match(IFNA(vlookup(B4420,'Special Names'!A:B,2,FALSE),B4420),PlayerValues!E:E,0)),"N/A")</f>
        <v>17050</v>
      </c>
      <c r="B4420" s="4" t="s">
        <v>713</v>
      </c>
      <c r="C4420" s="4" t="s">
        <v>278</v>
      </c>
      <c r="D4420" s="94">
        <v>1076.0</v>
      </c>
    </row>
    <row r="4421">
      <c r="A4421" s="40">
        <f t="array" ref="A4421">IFNA(index(PlayerValues!A:A,match(IFNA(vlookup(B4421,'Special Names'!A:B,2,FALSE),B4421),PlayerValues!E:E,0)),"N/A")</f>
        <v>15693</v>
      </c>
      <c r="B4421" s="4" t="s">
        <v>755</v>
      </c>
      <c r="C4421" s="4" t="s">
        <v>283</v>
      </c>
      <c r="D4421" s="94">
        <v>1072.0</v>
      </c>
    </row>
    <row r="4422">
      <c r="A4422" s="40">
        <f t="array" ref="A4422">IFNA(index(PlayerValues!A:A,match(IFNA(vlookup(B4422,'Special Names'!A:B,2,FALSE),B4422),PlayerValues!E:E,0)),"N/A")</f>
        <v>15727</v>
      </c>
      <c r="B4422" s="4" t="s">
        <v>730</v>
      </c>
      <c r="C4422" s="4" t="s">
        <v>278</v>
      </c>
      <c r="D4422" s="94">
        <v>1056.0</v>
      </c>
    </row>
    <row r="4423">
      <c r="A4423" s="40">
        <f t="array" ref="A4423">IFNA(index(PlayerValues!A:A,match(IFNA(vlookup(B4423,'Special Names'!A:B,2,FALSE),B4423),PlayerValues!E:E,0)),"N/A")</f>
        <v>15692</v>
      </c>
      <c r="B4423" s="4" t="s">
        <v>750</v>
      </c>
      <c r="C4423" s="4" t="s">
        <v>283</v>
      </c>
      <c r="D4423" s="94">
        <v>1050.0</v>
      </c>
    </row>
    <row r="4424">
      <c r="A4424" s="40">
        <f t="array" ref="A4424">IFNA(index(PlayerValues!A:A,match(IFNA(vlookup(B4424,'Special Names'!A:B,2,FALSE),B4424),PlayerValues!E:E,0)),"N/A")</f>
        <v>13131</v>
      </c>
      <c r="B4424" s="4" t="s">
        <v>815</v>
      </c>
      <c r="C4424" s="4" t="s">
        <v>278</v>
      </c>
      <c r="D4424" s="94">
        <v>1047.0</v>
      </c>
    </row>
    <row r="4425">
      <c r="A4425" s="40">
        <f t="array" ref="A4425">IFNA(index(PlayerValues!A:A,match(IFNA(vlookup(B4425,'Special Names'!A:B,2,FALSE),B4425),PlayerValues!E:E,0)),"N/A")</f>
        <v>17475</v>
      </c>
      <c r="B4425" s="4" t="s">
        <v>615</v>
      </c>
      <c r="C4425" s="4" t="s">
        <v>278</v>
      </c>
      <c r="D4425" s="94">
        <v>1035.0</v>
      </c>
    </row>
    <row r="4426">
      <c r="A4426" s="40">
        <f t="array" ref="A4426">IFNA(index(PlayerValues!A:A,match(IFNA(vlookup(B4426,'Special Names'!A:B,2,FALSE),B4426),PlayerValues!E:E,0)),"N/A")</f>
        <v>14849</v>
      </c>
      <c r="B4426" s="4" t="s">
        <v>733</v>
      </c>
      <c r="C4426" s="4" t="s">
        <v>287</v>
      </c>
      <c r="D4426" s="94">
        <v>1034.0</v>
      </c>
    </row>
    <row r="4427">
      <c r="A4427" s="40">
        <f t="array" ref="A4427">IFNA(index(PlayerValues!A:A,match(IFNA(vlookup(B4427,'Special Names'!A:B,2,FALSE),B4427),PlayerValues!E:E,0)),"N/A")</f>
        <v>15730</v>
      </c>
      <c r="B4427" s="4" t="s">
        <v>734</v>
      </c>
      <c r="C4427" s="4" t="s">
        <v>278</v>
      </c>
      <c r="D4427" s="94">
        <v>1034.0</v>
      </c>
    </row>
    <row r="4428">
      <c r="A4428" s="40">
        <f t="array" ref="A4428">IFNA(index(PlayerValues!A:A,match(IFNA(vlookup(B4428,'Special Names'!A:B,2,FALSE),B4428),PlayerValues!E:E,0)),"N/A")</f>
        <v>16170</v>
      </c>
      <c r="B4428" s="4" t="s">
        <v>801</v>
      </c>
      <c r="C4428" s="4" t="s">
        <v>278</v>
      </c>
      <c r="D4428" s="94">
        <v>1021.0</v>
      </c>
    </row>
    <row r="4429">
      <c r="A4429" s="40">
        <f t="array" ref="A4429">IFNA(index(PlayerValues!A:A,match(IFNA(vlookup(B4429,'Special Names'!A:B,2,FALSE),B4429),PlayerValues!E:E,0)),"N/A")</f>
        <v>16393</v>
      </c>
      <c r="B4429" s="4" t="s">
        <v>768</v>
      </c>
      <c r="C4429" s="4" t="s">
        <v>287</v>
      </c>
      <c r="D4429" s="94">
        <v>1020.0</v>
      </c>
    </row>
    <row r="4430">
      <c r="A4430" s="40">
        <f t="array" ref="A4430">IFNA(index(PlayerValues!A:A,match(IFNA(vlookup(B4430,'Special Names'!A:B,2,FALSE),B4430),PlayerValues!E:E,0)),"N/A")</f>
        <v>15795</v>
      </c>
      <c r="B4430" s="4" t="s">
        <v>669</v>
      </c>
      <c r="C4430" s="4" t="s">
        <v>298</v>
      </c>
      <c r="D4430" s="94">
        <v>1383.0</v>
      </c>
    </row>
    <row r="4431">
      <c r="A4431" s="40">
        <f t="array" ref="A4431">IFNA(index(PlayerValues!A:A,match(IFNA(vlookup(B4431,'Special Names'!A:B,2,FALSE),B4431),PlayerValues!E:E,0)),"N/A")</f>
        <v>15330</v>
      </c>
      <c r="B4431" s="4" t="s">
        <v>749</v>
      </c>
      <c r="C4431" s="4" t="s">
        <v>298</v>
      </c>
      <c r="D4431" s="94">
        <v>1374.0</v>
      </c>
    </row>
    <row r="4432">
      <c r="A4432" s="40">
        <f t="array" ref="A4432">IFNA(index(PlayerValues!A:A,match(IFNA(vlookup(B4432,'Special Names'!A:B,2,FALSE),B4432),PlayerValues!E:E,0)),"N/A")</f>
        <v>17657</v>
      </c>
      <c r="B4432" s="4" t="s">
        <v>642</v>
      </c>
      <c r="C4432" s="4" t="s">
        <v>283</v>
      </c>
      <c r="D4432" s="94">
        <v>1008.0</v>
      </c>
    </row>
    <row r="4433">
      <c r="A4433" s="40">
        <f t="array" ref="A4433">IFNA(index(PlayerValues!A:A,match(IFNA(vlookup(B4433,'Special Names'!A:B,2,FALSE),B4433),PlayerValues!E:E,0)),"N/A")</f>
        <v>16648</v>
      </c>
      <c r="B4433" s="4" t="s">
        <v>748</v>
      </c>
      <c r="C4433" s="4" t="s">
        <v>298</v>
      </c>
      <c r="D4433" s="94">
        <v>1374.0</v>
      </c>
    </row>
    <row r="4434">
      <c r="A4434" s="40">
        <f t="array" ref="A4434">IFNA(index(PlayerValues!A:A,match(IFNA(vlookup(B4434,'Special Names'!A:B,2,FALSE),B4434),PlayerValues!E:E,0)),"N/A")</f>
        <v>16451</v>
      </c>
      <c r="B4434" s="4" t="s">
        <v>769</v>
      </c>
      <c r="C4434" s="4" t="s">
        <v>287</v>
      </c>
      <c r="D4434" s="94">
        <v>1000.0</v>
      </c>
    </row>
    <row r="4435">
      <c r="A4435" s="40">
        <f t="array" ref="A4435">IFNA(index(PlayerValues!A:A,match(IFNA(vlookup(B4435,'Special Names'!A:B,2,FALSE),B4435),PlayerValues!E:E,0)),"N/A")</f>
        <v>17175</v>
      </c>
      <c r="B4435" s="4" t="s">
        <v>747</v>
      </c>
      <c r="C4435" s="4" t="s">
        <v>287</v>
      </c>
      <c r="D4435" s="94">
        <v>999.0</v>
      </c>
    </row>
    <row r="4436">
      <c r="A4436" s="40">
        <f t="array" ref="A4436">IFNA(index(PlayerValues!A:A,match(IFNA(vlookup(B4436,'Special Names'!A:B,2,FALSE),B4436),PlayerValues!E:E,0)),"N/A")</f>
        <v>16168</v>
      </c>
      <c r="B4436" s="4" t="s">
        <v>738</v>
      </c>
      <c r="C4436" s="4" t="s">
        <v>278</v>
      </c>
      <c r="D4436" s="94">
        <v>997.0</v>
      </c>
    </row>
    <row r="4437">
      <c r="A4437" s="40">
        <f t="array" ref="A4437">IFNA(index(PlayerValues!A:A,match(IFNA(vlookup(B4437,'Special Names'!A:B,2,FALSE),B4437),PlayerValues!E:E,0)),"N/A")</f>
        <v>15717</v>
      </c>
      <c r="B4437" s="4" t="s">
        <v>745</v>
      </c>
      <c r="C4437" s="4" t="s">
        <v>278</v>
      </c>
      <c r="D4437" s="94">
        <v>993.0</v>
      </c>
    </row>
    <row r="4438">
      <c r="A4438" s="40">
        <f t="array" ref="A4438">IFNA(index(PlayerValues!A:A,match(IFNA(vlookup(B4438,'Special Names'!A:B,2,FALSE),B4438),PlayerValues!E:E,0)),"N/A")</f>
        <v>15109</v>
      </c>
      <c r="B4438" s="4" t="s">
        <v>728</v>
      </c>
      <c r="C4438" s="4" t="s">
        <v>287</v>
      </c>
      <c r="D4438" s="94">
        <v>989.0</v>
      </c>
    </row>
    <row r="4439">
      <c r="A4439" s="40">
        <f t="array" ref="A4439">IFNA(index(PlayerValues!A:A,match(IFNA(vlookup(B4439,'Special Names'!A:B,2,FALSE),B4439),PlayerValues!E:E,0)),"N/A")</f>
        <v>15766</v>
      </c>
      <c r="B4439" s="4" t="s">
        <v>759</v>
      </c>
      <c r="C4439" s="4" t="s">
        <v>287</v>
      </c>
      <c r="D4439" s="94">
        <v>984.0</v>
      </c>
    </row>
    <row r="4440">
      <c r="A4440" s="40">
        <f t="array" ref="A4440">IFNA(index(PlayerValues!A:A,match(IFNA(vlookup(B4440,'Special Names'!A:B,2,FALSE),B4440),PlayerValues!E:E,0)),"N/A")</f>
        <v>13193</v>
      </c>
      <c r="B4440" s="4" t="s">
        <v>773</v>
      </c>
      <c r="C4440" s="4" t="s">
        <v>298</v>
      </c>
      <c r="D4440" s="94">
        <v>1346.0</v>
      </c>
    </row>
    <row r="4441">
      <c r="A4441" s="40">
        <f t="array" ref="A4441">IFNA(index(PlayerValues!A:A,match(IFNA(vlookup(B4441,'Special Names'!A:B,2,FALSE),B4441),PlayerValues!E:E,0)),"N/A")</f>
        <v>15785</v>
      </c>
      <c r="B4441" s="4" t="s">
        <v>763</v>
      </c>
      <c r="C4441" s="4" t="s">
        <v>287</v>
      </c>
      <c r="D4441" s="94">
        <v>978.0</v>
      </c>
    </row>
    <row r="4442">
      <c r="A4442" s="40">
        <f t="array" ref="A4442">IFNA(index(PlayerValues!A:A,match(IFNA(vlookup(B4442,'Special Names'!A:B,2,FALSE),B4442),PlayerValues!E:E,0)),"N/A")</f>
        <v>15258</v>
      </c>
      <c r="B4442" s="4" t="s">
        <v>757</v>
      </c>
      <c r="C4442" s="4" t="s">
        <v>278</v>
      </c>
      <c r="D4442" s="94">
        <v>976.0</v>
      </c>
    </row>
    <row r="4443">
      <c r="A4443" s="40">
        <f t="array" ref="A4443">IFNA(index(PlayerValues!A:A,match(IFNA(vlookup(B4443,'Special Names'!A:B,2,FALSE),B4443),PlayerValues!E:E,0)),"N/A")</f>
        <v>15718</v>
      </c>
      <c r="B4443" s="4" t="s">
        <v>753</v>
      </c>
      <c r="C4443" s="4" t="s">
        <v>278</v>
      </c>
      <c r="D4443" s="94">
        <v>976.0</v>
      </c>
    </row>
    <row r="4444">
      <c r="A4444" s="40">
        <f t="array" ref="A4444">IFNA(index(PlayerValues!A:A,match(IFNA(vlookup(B4444,'Special Names'!A:B,2,FALSE),B4444),PlayerValues!E:E,0)),"N/A")</f>
        <v>15758</v>
      </c>
      <c r="B4444" s="4" t="s">
        <v>724</v>
      </c>
      <c r="C4444" s="4" t="s">
        <v>287</v>
      </c>
      <c r="D4444" s="94">
        <v>964.0</v>
      </c>
    </row>
    <row r="4445">
      <c r="A4445" s="40">
        <f t="array" ref="A4445">IFNA(index(PlayerValues!A:A,match(IFNA(vlookup(B4445,'Special Names'!A:B,2,FALSE),B4445),PlayerValues!E:E,0)),"N/A")</f>
        <v>16678</v>
      </c>
      <c r="B4445" s="4" t="s">
        <v>758</v>
      </c>
      <c r="C4445" s="4" t="s">
        <v>278</v>
      </c>
      <c r="D4445" s="94">
        <v>963.0</v>
      </c>
    </row>
    <row r="4446">
      <c r="A4446" s="40">
        <f t="array" ref="A4446">IFNA(index(PlayerValues!A:A,match(IFNA(vlookup(B4446,'Special Names'!A:B,2,FALSE),B4446),PlayerValues!E:E,0)),"N/A")</f>
        <v>17504</v>
      </c>
      <c r="B4446" s="4" t="s">
        <v>693</v>
      </c>
      <c r="C4446" s="4" t="s">
        <v>287</v>
      </c>
      <c r="D4446" s="94">
        <v>952.0</v>
      </c>
    </row>
    <row r="4447">
      <c r="A4447" s="40">
        <f t="array" ref="A4447">IFNA(index(PlayerValues!A:A,match(IFNA(vlookup(B4447,'Special Names'!A:B,2,FALSE),B4447),PlayerValues!E:E,0)),"N/A")</f>
        <v>14057</v>
      </c>
      <c r="B4447" s="4" t="s">
        <v>765</v>
      </c>
      <c r="C4447" s="4" t="s">
        <v>283</v>
      </c>
      <c r="D4447" s="94">
        <v>951.0</v>
      </c>
    </row>
    <row r="4448">
      <c r="A4448" s="40">
        <f t="array" ref="A4448">IFNA(index(PlayerValues!A:A,match(IFNA(vlookup(B4448,'Special Names'!A:B,2,FALSE),B4448),PlayerValues!E:E,0)),"N/A")</f>
        <v>15239</v>
      </c>
      <c r="B4448" s="4" t="s">
        <v>802</v>
      </c>
      <c r="C4448" s="4" t="s">
        <v>283</v>
      </c>
      <c r="D4448" s="94">
        <v>942.0</v>
      </c>
    </row>
    <row r="4449">
      <c r="A4449" s="40">
        <f t="array" ref="A4449">IFNA(index(PlayerValues!A:A,match(IFNA(vlookup(B4449,'Special Names'!A:B,2,FALSE),B4449),PlayerValues!E:E,0)),"N/A")</f>
        <v>16205</v>
      </c>
      <c r="B4449" s="4" t="s">
        <v>742</v>
      </c>
      <c r="C4449" s="4" t="s">
        <v>287</v>
      </c>
      <c r="D4449" s="94">
        <v>941.0</v>
      </c>
    </row>
    <row r="4450">
      <c r="A4450" s="40">
        <f t="array" ref="A4450">IFNA(index(PlayerValues!A:A,match(IFNA(vlookup(B4450,'Special Names'!A:B,2,FALSE),B4450),PlayerValues!E:E,0)),"N/A")</f>
        <v>14118</v>
      </c>
      <c r="B4450" s="4" t="s">
        <v>771</v>
      </c>
      <c r="C4450" s="4" t="s">
        <v>287</v>
      </c>
      <c r="D4450" s="94">
        <v>937.0</v>
      </c>
    </row>
    <row r="4451">
      <c r="A4451" s="40">
        <f t="array" ref="A4451">IFNA(index(PlayerValues!A:A,match(IFNA(vlookup(B4451,'Special Names'!A:B,2,FALSE),B4451),PlayerValues!E:E,0)),"N/A")</f>
        <v>11247</v>
      </c>
      <c r="B4451" s="4" t="s">
        <v>816</v>
      </c>
      <c r="C4451" s="4" t="s">
        <v>298</v>
      </c>
      <c r="D4451" s="94">
        <v>1295.0</v>
      </c>
    </row>
    <row r="4452">
      <c r="A4452" s="40">
        <f t="array" ref="A4452">IFNA(index(PlayerValues!A:A,match(IFNA(vlookup(B4452,'Special Names'!A:B,2,FALSE),B4452),PlayerValues!E:E,0)),"N/A")</f>
        <v>17518</v>
      </c>
      <c r="B4452" s="4" t="s">
        <v>482</v>
      </c>
      <c r="C4452" s="4" t="s">
        <v>287</v>
      </c>
      <c r="D4452" s="94">
        <v>922.0</v>
      </c>
    </row>
    <row r="4453">
      <c r="A4453" s="40">
        <f t="array" ref="A4453">IFNA(index(PlayerValues!A:A,match(IFNA(vlookup(B4453,'Special Names'!A:B,2,FALSE),B4453),PlayerValues!E:E,0)),"N/A")</f>
        <v>17487</v>
      </c>
      <c r="B4453" s="4" t="s">
        <v>692</v>
      </c>
      <c r="C4453" s="4" t="s">
        <v>278</v>
      </c>
      <c r="D4453" s="94">
        <v>918.0</v>
      </c>
    </row>
    <row r="4454">
      <c r="A4454" s="40">
        <f t="array" ref="A4454">IFNA(index(PlayerValues!A:A,match(IFNA(vlookup(B4454,'Special Names'!A:B,2,FALSE),B4454),PlayerValues!E:E,0)),"N/A")</f>
        <v>16858</v>
      </c>
      <c r="B4454" s="4" t="s">
        <v>754</v>
      </c>
      <c r="C4454" s="4" t="s">
        <v>287</v>
      </c>
      <c r="D4454" s="94">
        <v>912.0</v>
      </c>
    </row>
    <row r="4455">
      <c r="A4455" s="40">
        <f t="array" ref="A4455">IFNA(index(PlayerValues!A:A,match(IFNA(vlookup(B4455,'Special Names'!A:B,2,FALSE),B4455),PlayerValues!E:E,0)),"N/A")</f>
        <v>15626</v>
      </c>
      <c r="B4455" s="4" t="s">
        <v>766</v>
      </c>
      <c r="C4455" s="4" t="s">
        <v>298</v>
      </c>
      <c r="D4455" s="94">
        <v>1260.0</v>
      </c>
    </row>
    <row r="4456">
      <c r="A4456" s="40">
        <f t="array" ref="A4456">IFNA(index(PlayerValues!A:A,match(IFNA(vlookup(B4456,'Special Names'!A:B,2,FALSE),B4456),PlayerValues!E:E,0)),"N/A")</f>
        <v>16219</v>
      </c>
      <c r="B4456" s="4" t="s">
        <v>739</v>
      </c>
      <c r="C4456" s="4" t="s">
        <v>298</v>
      </c>
      <c r="D4456" s="94">
        <v>1250.0</v>
      </c>
    </row>
    <row r="4457">
      <c r="A4457" s="40">
        <f t="array" ref="A4457">IFNA(index(PlayerValues!A:A,match(IFNA(vlookup(B4457,'Special Names'!A:B,2,FALSE),B4457),PlayerValues!E:E,0)),"N/A")</f>
        <v>17479</v>
      </c>
      <c r="B4457" s="4" t="s">
        <v>756</v>
      </c>
      <c r="C4457" s="4" t="s">
        <v>278</v>
      </c>
      <c r="D4457" s="94">
        <v>884.0</v>
      </c>
    </row>
    <row r="4458">
      <c r="A4458" s="40">
        <f t="array" ref="A4458">IFNA(index(PlayerValues!A:A,match(IFNA(vlookup(B4458,'Special Names'!A:B,2,FALSE),B4458),PlayerValues!E:E,0)),"N/A")</f>
        <v>15720</v>
      </c>
      <c r="B4458" s="4" t="s">
        <v>795</v>
      </c>
      <c r="C4458" s="4" t="s">
        <v>278</v>
      </c>
      <c r="D4458" s="94">
        <v>874.0</v>
      </c>
    </row>
    <row r="4459">
      <c r="A4459" s="40">
        <f t="array" ref="A4459">IFNA(index(PlayerValues!A:A,match(IFNA(vlookup(B4459,'Special Names'!A:B,2,FALSE),B4459),PlayerValues!E:E,0)),"N/A")</f>
        <v>16624</v>
      </c>
      <c r="B4459" s="4" t="s">
        <v>796</v>
      </c>
      <c r="C4459" s="4" t="s">
        <v>287</v>
      </c>
      <c r="D4459" s="94">
        <v>872.0</v>
      </c>
    </row>
    <row r="4460">
      <c r="A4460" s="40">
        <f t="array" ref="A4460">IFNA(index(PlayerValues!A:A,match(IFNA(vlookup(B4460,'Special Names'!A:B,2,FALSE),B4460),PlayerValues!E:E,0)),"N/A")</f>
        <v>16416</v>
      </c>
      <c r="B4460" s="4" t="s">
        <v>752</v>
      </c>
      <c r="C4460" s="4" t="s">
        <v>287</v>
      </c>
      <c r="D4460" s="94">
        <v>863.0</v>
      </c>
    </row>
    <row r="4461">
      <c r="A4461" s="40">
        <f t="array" ref="A4461">IFNA(index(PlayerValues!A:A,match(IFNA(vlookup(B4461,'Special Names'!A:B,2,FALSE),B4461),PlayerValues!E:E,0)),"N/A")</f>
        <v>17549</v>
      </c>
      <c r="B4461" s="4" t="s">
        <v>720</v>
      </c>
      <c r="C4461" s="4" t="s">
        <v>298</v>
      </c>
      <c r="D4461" s="94">
        <v>1216.0</v>
      </c>
    </row>
    <row r="4462">
      <c r="A4462" s="40">
        <f t="array" ref="A4462">IFNA(index(PlayerValues!A:A,match(IFNA(vlookup(B4462,'Special Names'!A:B,2,FALSE),B4462),PlayerValues!E:E,0)),"N/A")</f>
        <v>12785</v>
      </c>
      <c r="B4462" s="4" t="s">
        <v>772</v>
      </c>
      <c r="C4462" s="4" t="s">
        <v>287</v>
      </c>
      <c r="D4462" s="94">
        <v>848.0</v>
      </c>
    </row>
    <row r="4463">
      <c r="A4463" s="40">
        <f t="array" ref="A4463">IFNA(index(PlayerValues!A:A,match(IFNA(vlookup(B4463,'Special Names'!A:B,2,FALSE),B4463),PlayerValues!E:E,0)),"N/A")</f>
        <v>16773</v>
      </c>
      <c r="B4463" s="4" t="s">
        <v>783</v>
      </c>
      <c r="C4463" s="4" t="s">
        <v>278</v>
      </c>
      <c r="D4463" s="94">
        <v>839.0</v>
      </c>
    </row>
    <row r="4464">
      <c r="A4464" s="40">
        <f t="array" ref="A4464">IFNA(index(PlayerValues!A:A,match(IFNA(vlookup(B4464,'Special Names'!A:B,2,FALSE),B4464),PlayerValues!E:E,0)),"N/A")</f>
        <v>17654</v>
      </c>
      <c r="B4464" s="4" t="s">
        <v>767</v>
      </c>
      <c r="C4464" s="4" t="s">
        <v>283</v>
      </c>
      <c r="D4464" s="94">
        <v>828.0</v>
      </c>
    </row>
    <row r="4465">
      <c r="A4465" s="40">
        <f t="array" ref="A4465">IFNA(index(PlayerValues!A:A,match(IFNA(vlookup(B4465,'Special Names'!A:B,2,FALSE),B4465),PlayerValues!E:E,0)),"N/A")</f>
        <v>16599</v>
      </c>
      <c r="B4465" s="4" t="s">
        <v>737</v>
      </c>
      <c r="C4465" s="4" t="s">
        <v>278</v>
      </c>
      <c r="D4465" s="94">
        <v>827.0</v>
      </c>
    </row>
    <row r="4466">
      <c r="A4466" s="40">
        <f t="array" ref="A4466">IFNA(index(PlayerValues!A:A,match(IFNA(vlookup(B4466,'Special Names'!A:B,2,FALSE),B4466),PlayerValues!E:E,0)),"N/A")</f>
        <v>17627</v>
      </c>
      <c r="B4466" s="4" t="s">
        <v>684</v>
      </c>
      <c r="C4466" s="4" t="s">
        <v>298</v>
      </c>
      <c r="D4466" s="94">
        <v>1166.0</v>
      </c>
    </row>
    <row r="4467">
      <c r="A4467" s="40">
        <f t="array" ref="A4467">IFNA(index(PlayerValues!A:A,match(IFNA(vlookup(B4467,'Special Names'!A:B,2,FALSE),B4467),PlayerValues!E:E,0)),"N/A")</f>
        <v>16623</v>
      </c>
      <c r="B4467" s="4" t="s">
        <v>803</v>
      </c>
      <c r="C4467" s="4" t="s">
        <v>287</v>
      </c>
      <c r="D4467" s="94">
        <v>799.0</v>
      </c>
    </row>
    <row r="4468">
      <c r="A4468" s="40">
        <f t="array" ref="A4468">IFNA(index(PlayerValues!A:A,match(IFNA(vlookup(B4468,'Special Names'!A:B,2,FALSE),B4468),PlayerValues!E:E,0)),"N/A")</f>
        <v>17486</v>
      </c>
      <c r="B4468" s="4" t="s">
        <v>695</v>
      </c>
      <c r="C4468" s="4" t="s">
        <v>278</v>
      </c>
      <c r="D4468" s="94">
        <v>798.0</v>
      </c>
    </row>
    <row r="4469">
      <c r="A4469" s="40">
        <f t="array" ref="A4469">IFNA(index(PlayerValues!A:A,match(IFNA(vlookup(B4469,'Special Names'!A:B,2,FALSE),B4469),PlayerValues!E:E,0)),"N/A")</f>
        <v>16606</v>
      </c>
      <c r="B4469" s="4" t="s">
        <v>743</v>
      </c>
      <c r="C4469" s="4" t="s">
        <v>278</v>
      </c>
      <c r="D4469" s="94">
        <v>794.0</v>
      </c>
    </row>
    <row r="4470">
      <c r="A4470" s="40">
        <f t="array" ref="A4470">IFNA(index(PlayerValues!A:A,match(IFNA(vlookup(B4470,'Special Names'!A:B,2,FALSE),B4470),PlayerValues!E:E,0)),"N/A")</f>
        <v>17337</v>
      </c>
      <c r="B4470" s="4" t="s">
        <v>793</v>
      </c>
      <c r="C4470" s="4" t="s">
        <v>278</v>
      </c>
      <c r="D4470" s="94">
        <v>787.0</v>
      </c>
    </row>
    <row r="4471">
      <c r="A4471" s="40">
        <f t="array" ref="A4471">IFNA(index(PlayerValues!A:A,match(IFNA(vlookup(B4471,'Special Names'!A:B,2,FALSE),B4471),PlayerValues!E:E,0)),"N/A")</f>
        <v>16751</v>
      </c>
      <c r="B4471" s="4" t="s">
        <v>762</v>
      </c>
      <c r="C4471" s="4" t="s">
        <v>287</v>
      </c>
      <c r="D4471" s="94">
        <v>786.0</v>
      </c>
    </row>
    <row r="4472">
      <c r="A4472" s="40">
        <f t="array" ref="A4472">IFNA(index(PlayerValues!A:A,match(IFNA(vlookup(B4472,'Special Names'!A:B,2,FALSE),B4472),PlayerValues!E:E,0)),"N/A")</f>
        <v>14223</v>
      </c>
      <c r="B4472" s="4" t="s">
        <v>785</v>
      </c>
      <c r="C4472" s="4" t="s">
        <v>278</v>
      </c>
      <c r="D4472" s="94">
        <v>738.0</v>
      </c>
    </row>
    <row r="4473">
      <c r="A4473" s="40">
        <f t="array" ref="A4473">IFNA(index(PlayerValues!A:A,match(IFNA(vlookup(B4473,'Special Names'!A:B,2,FALSE),B4473),PlayerValues!E:E,0)),"N/A")</f>
        <v>17541</v>
      </c>
      <c r="B4473" s="4" t="s">
        <v>616</v>
      </c>
      <c r="C4473" s="4" t="s">
        <v>287</v>
      </c>
      <c r="D4473" s="94">
        <v>721.0</v>
      </c>
    </row>
    <row r="4474">
      <c r="A4474" s="40">
        <f t="array" ref="A4474">IFNA(index(PlayerValues!A:A,match(IFNA(vlookup(B4474,'Special Names'!A:B,2,FALSE),B4474),PlayerValues!E:E,0)),"N/A")</f>
        <v>15723</v>
      </c>
      <c r="B4474" s="4" t="s">
        <v>798</v>
      </c>
      <c r="C4474" s="4" t="s">
        <v>278</v>
      </c>
      <c r="D4474" s="94">
        <v>702.0</v>
      </c>
    </row>
    <row r="4475">
      <c r="A4475" s="40">
        <f t="array" ref="A4475">IFNA(index(PlayerValues!A:A,match(IFNA(vlookup(B4475,'Special Names'!A:B,2,FALSE),B4475),PlayerValues!E:E,0)),"N/A")</f>
        <v>17545</v>
      </c>
      <c r="B4475" s="4" t="s">
        <v>719</v>
      </c>
      <c r="C4475" s="4" t="s">
        <v>298</v>
      </c>
      <c r="D4475" s="94">
        <v>1051.0</v>
      </c>
    </row>
    <row r="4476">
      <c r="A4476" s="40">
        <f t="array" ref="A4476">IFNA(index(PlayerValues!A:A,match(IFNA(vlookup(B4476,'Special Names'!A:B,2,FALSE),B4476),PlayerValues!E:E,0)),"N/A")</f>
        <v>16686</v>
      </c>
      <c r="B4476" s="4" t="s">
        <v>805</v>
      </c>
      <c r="C4476" s="4" t="s">
        <v>287</v>
      </c>
      <c r="D4476" s="94">
        <v>613.0</v>
      </c>
    </row>
    <row r="4477">
      <c r="A4477" s="40">
        <f t="array" ref="A4477">IFNA(index(PlayerValues!A:A,match(IFNA(vlookup(B4477,'Special Names'!A:B,2,FALSE),B4477),PlayerValues!E:E,0)),"N/A")</f>
        <v>13133</v>
      </c>
      <c r="B4477" s="4" t="s">
        <v>764</v>
      </c>
      <c r="C4477" s="4" t="s">
        <v>278</v>
      </c>
      <c r="D4477" s="94">
        <v>599.0</v>
      </c>
    </row>
    <row r="4478">
      <c r="A4478" s="40">
        <f t="array" ref="A4478">IFNA(index(PlayerValues!A:A,match(IFNA(vlookup(B4478,'Special Names'!A:B,2,FALSE),B4478),PlayerValues!E:E,0)),"N/A")</f>
        <v>13138</v>
      </c>
      <c r="B4478" s="4" t="s">
        <v>817</v>
      </c>
      <c r="C4478" s="4" t="s">
        <v>278</v>
      </c>
      <c r="D4478" s="94">
        <v>597.0</v>
      </c>
    </row>
    <row r="4479">
      <c r="A4479" s="40">
        <f t="array" ref="A4479">IFNA(index(PlayerValues!A:A,match(IFNA(vlookup(B4479,'Special Names'!A:B,2,FALSE),B4479),PlayerValues!E:E,0)),"N/A")</f>
        <v>14864</v>
      </c>
      <c r="B4479" s="4" t="s">
        <v>789</v>
      </c>
      <c r="C4479" s="4" t="s">
        <v>287</v>
      </c>
      <c r="D4479" s="94">
        <v>595.0</v>
      </c>
    </row>
    <row r="4480">
      <c r="A4480" s="40">
        <f t="array" ref="A4480">IFNA(index(PlayerValues!A:A,match(IFNA(vlookup(B4480,'Special Names'!A:B,2,FALSE),B4480),PlayerValues!E:E,0)),"N/A")</f>
        <v>16625</v>
      </c>
      <c r="B4480" s="4" t="s">
        <v>778</v>
      </c>
      <c r="C4480" s="4" t="s">
        <v>287</v>
      </c>
      <c r="D4480" s="94">
        <v>554.0</v>
      </c>
    </row>
    <row r="4481">
      <c r="A4481" s="40">
        <f t="array" ref="A4481">IFNA(index(PlayerValues!A:A,match(IFNA(vlookup(B4481,'Special Names'!A:B,2,FALSE),B4481),PlayerValues!E:E,0)),"N/A")</f>
        <v>14858</v>
      </c>
      <c r="B4481" s="4" t="s">
        <v>799</v>
      </c>
      <c r="C4481" s="4" t="s">
        <v>287</v>
      </c>
      <c r="D4481" s="94">
        <v>548.0</v>
      </c>
    </row>
    <row r="4482">
      <c r="A4482" s="40">
        <f t="array" ref="A4482">IFNA(index(PlayerValues!A:A,match(IFNA(vlookup(B4482,'Special Names'!A:B,2,FALSE),B4482),PlayerValues!E:E,0)),"N/A")</f>
        <v>16957</v>
      </c>
      <c r="B4482" s="4" t="s">
        <v>806</v>
      </c>
      <c r="C4482" s="4" t="s">
        <v>278</v>
      </c>
      <c r="D4482" s="94">
        <v>543.0</v>
      </c>
    </row>
    <row r="4483">
      <c r="A4483" s="40">
        <f t="array" ref="A4483">IFNA(index(PlayerValues!A:A,match(IFNA(vlookup(B4483,'Special Names'!A:B,2,FALSE),B4483),PlayerValues!E:E,0)),"N/A")</f>
        <v>15796</v>
      </c>
      <c r="B4483" s="4" t="s">
        <v>794</v>
      </c>
      <c r="C4483" s="4" t="s">
        <v>298</v>
      </c>
      <c r="D4483" s="94">
        <v>884.0</v>
      </c>
    </row>
    <row r="4484">
      <c r="A4484" s="40">
        <f t="array" ref="A4484">IFNA(index(PlayerValues!A:A,match(IFNA(vlookup(B4484,'Special Names'!A:B,2,FALSE),B4484),PlayerValues!E:E,0)),"N/A")</f>
        <v>14805</v>
      </c>
      <c r="B4484" s="4" t="s">
        <v>770</v>
      </c>
      <c r="C4484" s="4" t="s">
        <v>278</v>
      </c>
      <c r="D4484" s="94">
        <v>536.0</v>
      </c>
    </row>
    <row r="4485">
      <c r="A4485" s="40">
        <f t="array" ref="A4485">IFNA(index(PlayerValues!A:A,match(IFNA(vlookup(B4485,'Special Names'!A:B,2,FALSE),B4485),PlayerValues!E:E,0)),"N/A")</f>
        <v>13595</v>
      </c>
      <c r="B4485" s="4" t="s">
        <v>818</v>
      </c>
      <c r="C4485" s="4" t="s">
        <v>283</v>
      </c>
      <c r="D4485" s="94">
        <v>533.0</v>
      </c>
    </row>
    <row r="4486">
      <c r="A4486" s="40">
        <f t="array" ref="A4486">IFNA(index(PlayerValues!A:A,match(IFNA(vlookup(B4486,'Special Names'!A:B,2,FALSE),B4486),PlayerValues!E:E,0)),"N/A")</f>
        <v>17038</v>
      </c>
      <c r="B4486" s="4" t="s">
        <v>774</v>
      </c>
      <c r="C4486" s="4" t="s">
        <v>283</v>
      </c>
      <c r="D4486" s="94">
        <v>530.0</v>
      </c>
    </row>
    <row r="4487">
      <c r="A4487" s="40">
        <f t="array" ref="A4487">IFNA(index(PlayerValues!A:A,match(IFNA(vlookup(B4487,'Special Names'!A:B,2,FALSE),B4487),PlayerValues!E:E,0)),"N/A")</f>
        <v>16159</v>
      </c>
      <c r="B4487" s="4" t="s">
        <v>819</v>
      </c>
      <c r="C4487" s="4" t="s">
        <v>283</v>
      </c>
      <c r="D4487" s="94">
        <v>508.0</v>
      </c>
    </row>
    <row r="4488">
      <c r="A4488" s="40">
        <f t="array" ref="A4488">IFNA(index(PlayerValues!A:A,match(IFNA(vlookup(B4488,'Special Names'!A:B,2,FALSE),B4488),PlayerValues!E:E,0)),"N/A")</f>
        <v>17232</v>
      </c>
      <c r="B4488" s="4" t="s">
        <v>784</v>
      </c>
      <c r="C4488" s="4" t="s">
        <v>287</v>
      </c>
      <c r="D4488" s="94">
        <v>508.0</v>
      </c>
    </row>
    <row r="4489">
      <c r="A4489" s="40">
        <f t="array" ref="A4489">IFNA(index(PlayerValues!A:A,match(IFNA(vlookup(B4489,'Special Names'!A:B,2,FALSE),B4489),PlayerValues!E:E,0)),"N/A")</f>
        <v>15263</v>
      </c>
      <c r="B4489" s="4" t="s">
        <v>804</v>
      </c>
      <c r="C4489" s="4" t="s">
        <v>278</v>
      </c>
      <c r="D4489" s="94">
        <v>506.0</v>
      </c>
    </row>
    <row r="4490">
      <c r="A4490" s="40">
        <f t="array" ref="A4490">IFNA(index(PlayerValues!A:A,match(IFNA(vlookup(B4490,'Special Names'!A:B,2,FALSE),B4490),PlayerValues!E:E,0)),"N/A")</f>
        <v>16299</v>
      </c>
      <c r="B4490" s="4" t="s">
        <v>787</v>
      </c>
      <c r="C4490" s="4" t="s">
        <v>287</v>
      </c>
      <c r="D4490" s="94">
        <v>506.0</v>
      </c>
    </row>
    <row r="4491">
      <c r="A4491" s="40">
        <f t="array" ref="A4491">IFNA(index(PlayerValues!A:A,match(IFNA(vlookup(B4491,'Special Names'!A:B,2,FALSE),B4491),PlayerValues!E:E,0)),"N/A")</f>
        <v>14358</v>
      </c>
      <c r="B4491" s="4" t="s">
        <v>813</v>
      </c>
      <c r="C4491" s="4" t="s">
        <v>283</v>
      </c>
      <c r="D4491" s="94">
        <v>502.0</v>
      </c>
    </row>
    <row r="4492">
      <c r="A4492" s="40">
        <f t="array" ref="A4492">IFNA(index(PlayerValues!A:A,match(IFNA(vlookup(B4492,'Special Names'!A:B,2,FALSE),B4492),PlayerValues!E:E,0)),"N/A")</f>
        <v>17243</v>
      </c>
      <c r="B4492" s="4" t="s">
        <v>810</v>
      </c>
      <c r="C4492" s="4" t="s">
        <v>298</v>
      </c>
      <c r="D4492" s="94">
        <v>848.0</v>
      </c>
    </row>
    <row r="4493">
      <c r="A4493" s="40">
        <f t="array" ref="A4493">IFNA(index(PlayerValues!A:A,match(IFNA(vlookup(B4493,'Special Names'!A:B,2,FALSE),B4493),PlayerValues!E:E,0)),"N/A")</f>
        <v>14875</v>
      </c>
      <c r="B4493" s="4" t="s">
        <v>820</v>
      </c>
      <c r="C4493" s="4" t="s">
        <v>298</v>
      </c>
      <c r="D4493" s="94">
        <v>844.0</v>
      </c>
    </row>
    <row r="4494">
      <c r="A4494" s="40">
        <f t="array" ref="A4494">IFNA(index(PlayerValues!A:A,match(IFNA(vlookup(B4494,'Special Names'!A:B,2,FALSE),B4494),PlayerValues!E:E,0)),"N/A")</f>
        <v>17348</v>
      </c>
      <c r="B4494" s="4" t="s">
        <v>797</v>
      </c>
      <c r="C4494" s="4" t="s">
        <v>278</v>
      </c>
      <c r="D4494" s="94">
        <v>498.0</v>
      </c>
    </row>
    <row r="4495">
      <c r="A4495" s="40">
        <f t="array" ref="A4495">IFNA(index(PlayerValues!A:A,match(IFNA(vlookup(B4495,'Special Names'!A:B,2,FALSE),B4495),PlayerValues!E:E,0)),"N/A")</f>
        <v>15804</v>
      </c>
      <c r="B4495" s="4" t="s">
        <v>821</v>
      </c>
      <c r="C4495" s="4" t="s">
        <v>298</v>
      </c>
      <c r="D4495" s="94">
        <v>843.0</v>
      </c>
    </row>
    <row r="4496">
      <c r="A4496" s="40">
        <f t="array" ref="A4496">IFNA(index(PlayerValues!A:A,match(IFNA(vlookup(B4496,'Special Names'!A:B,2,FALSE),B4496),PlayerValues!E:E,0)),"N/A")</f>
        <v>15714</v>
      </c>
      <c r="B4496" s="4" t="s">
        <v>775</v>
      </c>
      <c r="C4496" s="4" t="s">
        <v>278</v>
      </c>
      <c r="D4496" s="94">
        <v>491.0</v>
      </c>
    </row>
    <row r="4497">
      <c r="A4497" s="40">
        <f t="array" ref="A4497">IFNA(index(PlayerValues!A:A,match(IFNA(vlookup(B4497,'Special Names'!A:B,2,FALSE),B4497),PlayerValues!E:E,0)),"N/A")</f>
        <v>14209</v>
      </c>
      <c r="B4497" s="4" t="s">
        <v>809</v>
      </c>
      <c r="C4497" s="4" t="s">
        <v>298</v>
      </c>
      <c r="D4497" s="94">
        <v>838.0</v>
      </c>
    </row>
    <row r="4498">
      <c r="A4498" s="40">
        <f t="array" ref="A4498">IFNA(index(PlayerValues!A:A,match(IFNA(vlookup(B4498,'Special Names'!A:B,2,FALSE),B4498),PlayerValues!E:E,0)),"N/A")</f>
        <v>15271</v>
      </c>
      <c r="B4498" s="4" t="s">
        <v>741</v>
      </c>
      <c r="C4498" s="4" t="s">
        <v>278</v>
      </c>
      <c r="D4498" s="94">
        <v>489.0</v>
      </c>
    </row>
    <row r="4499">
      <c r="A4499" s="40">
        <f t="array" ref="A4499">IFNA(index(PlayerValues!A:A,match(IFNA(vlookup(B4499,'Special Names'!A:B,2,FALSE),B4499),PlayerValues!E:E,0)),"N/A")</f>
        <v>10413</v>
      </c>
      <c r="B4499" s="4" t="s">
        <v>811</v>
      </c>
      <c r="C4499" s="4" t="s">
        <v>283</v>
      </c>
      <c r="D4499" s="94">
        <v>488.0</v>
      </c>
    </row>
    <row r="4500">
      <c r="A4500" s="40">
        <f t="array" ref="A4500">IFNA(index(PlayerValues!A:A,match(IFNA(vlookup(B4500,'Special Names'!A:B,2,FALSE),B4500),PlayerValues!E:E,0)),"N/A")</f>
        <v>17706</v>
      </c>
      <c r="B4500" s="4" t="s">
        <v>614</v>
      </c>
      <c r="C4500" s="4" t="s">
        <v>287</v>
      </c>
      <c r="D4500" s="94">
        <v>211.0</v>
      </c>
    </row>
    <row r="4501">
      <c r="A4501" s="40">
        <f t="array" ref="A4501">IFNA(index(PlayerValues!A:A,match(IFNA(vlookup(B4501,'Special Names'!A:B,2,FALSE),B4501),PlayerValues!E:E,0)),"N/A")</f>
        <v>16161</v>
      </c>
      <c r="B4501" s="4" t="s">
        <v>277</v>
      </c>
      <c r="C4501" s="4" t="s">
        <v>278</v>
      </c>
      <c r="D4501" s="94">
        <v>9997.0</v>
      </c>
    </row>
    <row r="4502">
      <c r="A4502" s="40">
        <f t="array" ref="A4502">IFNA(index(PlayerValues!A:A,match(IFNA(vlookup(B4502,'Special Names'!A:B,2,FALSE),B4502),PlayerValues!E:E,0)),"N/A")</f>
        <v>13589</v>
      </c>
      <c r="B4502" s="4" t="s">
        <v>282</v>
      </c>
      <c r="C4502" s="4" t="s">
        <v>283</v>
      </c>
      <c r="D4502" s="94">
        <v>9996.0</v>
      </c>
    </row>
    <row r="4503">
      <c r="A4503" s="40">
        <f t="array" ref="A4503">IFNA(index(PlayerValues!A:A,match(IFNA(vlookup(B4503,'Special Names'!A:B,2,FALSE),B4503),PlayerValues!E:E,0)),"N/A")</f>
        <v>15281</v>
      </c>
      <c r="B4503" s="4" t="s">
        <v>286</v>
      </c>
      <c r="C4503" s="4" t="s">
        <v>287</v>
      </c>
      <c r="D4503" s="94">
        <v>9984.0</v>
      </c>
    </row>
    <row r="4504">
      <c r="A4504" s="40">
        <f t="array" ref="A4504">IFNA(index(PlayerValues!A:A,match(IFNA(vlookup(B4504,'Special Names'!A:B,2,FALSE),B4504),PlayerValues!E:E,0)),"N/A")</f>
        <v>16162</v>
      </c>
      <c r="B4504" s="4" t="s">
        <v>281</v>
      </c>
      <c r="C4504" s="4" t="s">
        <v>278</v>
      </c>
      <c r="D4504" s="94">
        <v>9919.0</v>
      </c>
    </row>
    <row r="4505">
      <c r="A4505" s="40">
        <f t="array" ref="A4505">IFNA(index(PlayerValues!A:A,match(IFNA(vlookup(B4505,'Special Names'!A:B,2,FALSE),B4505),PlayerValues!E:E,0)),"N/A")</f>
        <v>16185</v>
      </c>
      <c r="B4505" s="4" t="s">
        <v>290</v>
      </c>
      <c r="C4505" s="4" t="s">
        <v>287</v>
      </c>
      <c r="D4505" s="94">
        <v>9590.0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9437.0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8741.0</v>
      </c>
    </row>
    <row r="4508">
      <c r="A4508" s="40">
        <f t="array" ref="A4508">IFNA(index(PlayerValues!A:A,match(IFNA(vlookup(B4508,'Special Names'!A:B,2,FALSE),B4508),PlayerValues!E:E,0)),"N/A")</f>
        <v>16641</v>
      </c>
      <c r="B4508" s="4" t="s">
        <v>297</v>
      </c>
      <c r="C4508" s="4" t="s">
        <v>298</v>
      </c>
      <c r="D4508" s="94">
        <v>8999.0</v>
      </c>
    </row>
    <row r="4509">
      <c r="A4509" s="40">
        <f t="array" ref="A4509">IFNA(index(PlayerValues!A:A,match(IFNA(vlookup(B4509,'Special Names'!A:B,2,FALSE),B4509),PlayerValues!E:E,0)),"N/A")</f>
        <v>16579</v>
      </c>
      <c r="B4509" s="4" t="s">
        <v>302</v>
      </c>
      <c r="C4509" s="4" t="s">
        <v>283</v>
      </c>
      <c r="D4509" s="94">
        <v>8035.0</v>
      </c>
    </row>
    <row r="4510">
      <c r="A4510" s="40">
        <f t="array" ref="A4510">IFNA(index(PlayerValues!A:A,match(IFNA(vlookup(B4510,'Special Names'!A:B,2,FALSE),B4510),PlayerValues!E:E,0)),"N/A")</f>
        <v>15287</v>
      </c>
      <c r="B4510" s="4" t="s">
        <v>299</v>
      </c>
      <c r="C4510" s="4" t="s">
        <v>287</v>
      </c>
      <c r="D4510" s="94">
        <v>7905.0</v>
      </c>
    </row>
    <row r="4511">
      <c r="A4511" s="40">
        <f t="array" ref="A4511">IFNA(index(PlayerValues!A:A,match(IFNA(vlookup(B4511,'Special Names'!A:B,2,FALSE),B4511),PlayerValues!E:E,0)),"N/A")</f>
        <v>16581</v>
      </c>
      <c r="B4511" s="4" t="s">
        <v>315</v>
      </c>
      <c r="C4511" s="4" t="s">
        <v>283</v>
      </c>
      <c r="D4511" s="94">
        <v>7816.0</v>
      </c>
    </row>
    <row r="4512">
      <c r="A4512" s="40">
        <f t="array" ref="A4512">IFNA(index(PlayerValues!A:A,match(IFNA(vlookup(B4512,'Special Names'!A:B,2,FALSE),B4512),PlayerValues!E:E,0)),"N/A")</f>
        <v>17042</v>
      </c>
      <c r="B4512" s="4" t="s">
        <v>314</v>
      </c>
      <c r="C4512" s="4" t="s">
        <v>278</v>
      </c>
      <c r="D4512" s="94">
        <v>7673.0</v>
      </c>
    </row>
    <row r="4513">
      <c r="A4513" s="40">
        <f t="array" ref="A4513">IFNA(index(PlayerValues!A:A,match(IFNA(vlookup(B4513,'Special Names'!A:B,2,FALSE),B4513),PlayerValues!E:E,0)),"N/A")</f>
        <v>14836</v>
      </c>
      <c r="B4513" s="4" t="s">
        <v>306</v>
      </c>
      <c r="C4513" s="4" t="s">
        <v>287</v>
      </c>
      <c r="D4513" s="94">
        <v>7601.0</v>
      </c>
    </row>
    <row r="4514">
      <c r="A4514" s="40">
        <f t="array" ref="A4514">IFNA(index(PlayerValues!A:A,match(IFNA(vlookup(B4514,'Special Names'!A:B,2,FALSE),B4514),PlayerValues!E:E,0)),"N/A")</f>
        <v>13593</v>
      </c>
      <c r="B4514" s="4" t="s">
        <v>305</v>
      </c>
      <c r="C4514" s="4" t="s">
        <v>283</v>
      </c>
      <c r="D4514" s="94">
        <v>7596.0</v>
      </c>
    </row>
    <row r="4515">
      <c r="A4515" s="40">
        <f t="array" ref="A4515">IFNA(index(PlayerValues!A:A,match(IFNA(vlookup(B4515,'Special Names'!A:B,2,FALSE),B4515),PlayerValues!E:E,0)),"N/A")</f>
        <v>17472</v>
      </c>
      <c r="B4515" s="4" t="s">
        <v>310</v>
      </c>
      <c r="C4515" s="4" t="s">
        <v>278</v>
      </c>
      <c r="D4515" s="94">
        <v>7589.0</v>
      </c>
    </row>
    <row r="4516">
      <c r="A4516" s="40">
        <f t="array" ref="A4516">IFNA(index(PlayerValues!A:A,match(IFNA(vlookup(B4516,'Special Names'!A:B,2,FALSE),B4516),PlayerValues!E:E,0)),"N/A")</f>
        <v>16615</v>
      </c>
      <c r="B4516" s="4" t="s">
        <v>309</v>
      </c>
      <c r="C4516" s="4" t="s">
        <v>287</v>
      </c>
      <c r="D4516" s="94">
        <v>7471.0</v>
      </c>
    </row>
    <row r="4517">
      <c r="A4517" s="40">
        <f t="array" ref="A4517">IFNA(index(PlayerValues!A:A,match(IFNA(vlookup(B4517,'Special Names'!A:B,2,FALSE),B4517),PlayerValues!E:E,0)),"N/A")</f>
        <v>14777</v>
      </c>
      <c r="B4517" s="4" t="s">
        <v>318</v>
      </c>
      <c r="C4517" s="4" t="s">
        <v>283</v>
      </c>
      <c r="D4517" s="94">
        <v>7460.0</v>
      </c>
    </row>
    <row r="4518">
      <c r="A4518" s="40">
        <f t="array" ref="A4518">IFNA(index(PlayerValues!A:A,match(IFNA(vlookup(B4518,'Special Names'!A:B,2,FALSE),B4518),PlayerValues!E:E,0)),"N/A")</f>
        <v>15794</v>
      </c>
      <c r="B4518" s="4" t="s">
        <v>313</v>
      </c>
      <c r="C4518" s="4" t="s">
        <v>298</v>
      </c>
      <c r="D4518" s="94">
        <v>8138.0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7228.0</v>
      </c>
    </row>
    <row r="4520">
      <c r="A4520" s="40">
        <f t="array" ref="A4520">IFNA(index(PlayerValues!A:A,match(IFNA(vlookup(B4520,'Special Names'!A:B,2,FALSE),B4520),PlayerValues!E:E,0)),"N/A")</f>
        <v>15751</v>
      </c>
      <c r="B4520" s="4" t="s">
        <v>328</v>
      </c>
      <c r="C4520" s="4" t="s">
        <v>287</v>
      </c>
      <c r="D4520" s="94">
        <v>7177.0</v>
      </c>
    </row>
    <row r="4521">
      <c r="A4521" s="40" t="str">
        <f t="array" ref="A4521">IFNA(index(PlayerValues!A:A,match(IFNA(vlookup(B4521,'Special Names'!A:B,2,FALSE),B4521),PlayerValues!E:E,0)),"N/A")</f>
        <v>N/A</v>
      </c>
      <c r="B4521" s="4" t="s">
        <v>92</v>
      </c>
      <c r="C4521" s="4" t="s">
        <v>325</v>
      </c>
      <c r="D4521" s="94">
        <v>7064.0</v>
      </c>
    </row>
    <row r="4522">
      <c r="A4522" s="40">
        <f t="array" ref="A4522">IFNA(index(PlayerValues!A:A,match(IFNA(vlookup(B4522,'Special Names'!A:B,2,FALSE),B4522),PlayerValues!E:E,0)),"N/A")</f>
        <v>14779</v>
      </c>
      <c r="B4522" s="4" t="s">
        <v>327</v>
      </c>
      <c r="C4522" s="4" t="s">
        <v>283</v>
      </c>
      <c r="D4522" s="94">
        <v>6994.0</v>
      </c>
    </row>
    <row r="4523">
      <c r="A4523" s="40">
        <f t="array" ref="A4523">IFNA(index(PlayerValues!A:A,match(IFNA(vlookup(B4523,'Special Names'!A:B,2,FALSE),B4523),PlayerValues!E:E,0)),"N/A")</f>
        <v>17044</v>
      </c>
      <c r="B4523" s="4" t="s">
        <v>322</v>
      </c>
      <c r="C4523" s="4" t="s">
        <v>278</v>
      </c>
      <c r="D4523" s="94">
        <v>6855.0</v>
      </c>
    </row>
    <row r="4524">
      <c r="A4524" s="40">
        <f t="array" ref="A4524">IFNA(index(PlayerValues!A:A,match(IFNA(vlookup(B4524,'Special Names'!A:B,2,FALSE),B4524),PlayerValues!E:E,0)),"N/A")</f>
        <v>16167</v>
      </c>
      <c r="B4524" s="4" t="s">
        <v>323</v>
      </c>
      <c r="C4524" s="4" t="s">
        <v>278</v>
      </c>
      <c r="D4524" s="94">
        <v>6836.0</v>
      </c>
    </row>
    <row r="4525">
      <c r="A4525" s="40">
        <f t="array" ref="A4525">IFNA(index(PlayerValues!A:A,match(IFNA(vlookup(B4525,'Special Names'!A:B,2,FALSE),B4525),PlayerValues!E:E,0)),"N/A")</f>
        <v>13116</v>
      </c>
      <c r="B4525" s="4" t="s">
        <v>345</v>
      </c>
      <c r="C4525" s="4" t="s">
        <v>283</v>
      </c>
      <c r="D4525" s="94">
        <v>6645.0</v>
      </c>
    </row>
    <row r="4526">
      <c r="A4526" s="40">
        <f t="array" ref="A4526">IFNA(index(PlayerValues!A:A,match(IFNA(vlookup(B4526,'Special Names'!A:B,2,FALSE),B4526),PlayerValues!E:E,0)),"N/A")</f>
        <v>17071</v>
      </c>
      <c r="B4526" s="4" t="s">
        <v>341</v>
      </c>
      <c r="C4526" s="4" t="s">
        <v>287</v>
      </c>
      <c r="D4526" s="94">
        <v>6555.0</v>
      </c>
    </row>
    <row r="4527">
      <c r="A4527" s="40">
        <f t="array" ref="A4527">IFNA(index(PlayerValues!A:A,match(IFNA(vlookup(B4527,'Special Names'!A:B,2,FALSE),B4527),PlayerValues!E:E,0)),"N/A")</f>
        <v>17032</v>
      </c>
      <c r="B4527" s="4" t="s">
        <v>348</v>
      </c>
      <c r="C4527" s="4" t="s">
        <v>283</v>
      </c>
      <c r="D4527" s="94">
        <v>6449.0</v>
      </c>
    </row>
    <row r="4528">
      <c r="A4528" s="40">
        <f t="array" ref="A4528">IFNA(index(PlayerValues!A:A,match(IFNA(vlookup(B4528,'Special Names'!A:B,2,FALSE),B4528),PlayerValues!E:E,0)),"N/A")</f>
        <v>15237</v>
      </c>
      <c r="B4528" s="4" t="s">
        <v>336</v>
      </c>
      <c r="C4528" s="4" t="s">
        <v>283</v>
      </c>
      <c r="D4528" s="94">
        <v>6356.0</v>
      </c>
    </row>
    <row r="4529">
      <c r="A4529" s="40">
        <f t="array" ref="A4529">IFNA(index(PlayerValues!A:A,match(IFNA(vlookup(B4529,'Special Names'!A:B,2,FALSE),B4529),PlayerValues!E:E,0)),"N/A")</f>
        <v>17104</v>
      </c>
      <c r="B4529" s="4" t="s">
        <v>333</v>
      </c>
      <c r="C4529" s="4" t="s">
        <v>298</v>
      </c>
      <c r="D4529" s="94">
        <v>6911.0</v>
      </c>
    </row>
    <row r="4530">
      <c r="A4530" s="40">
        <f t="array" ref="A4530">IFNA(index(PlayerValues!A:A,match(IFNA(vlookup(B4530,'Special Names'!A:B,2,FALSE),B4530),PlayerValues!E:E,0)),"N/A")</f>
        <v>14783</v>
      </c>
      <c r="B4530" s="4" t="s">
        <v>342</v>
      </c>
      <c r="C4530" s="4" t="s">
        <v>283</v>
      </c>
      <c r="D4530" s="94">
        <v>6171.0</v>
      </c>
    </row>
    <row r="4531">
      <c r="A4531" s="40">
        <f t="array" ref="A4531">IFNA(index(PlayerValues!A:A,match(IFNA(vlookup(B4531,'Special Names'!A:B,2,FALSE),B4531),PlayerValues!E:E,0)),"N/A")</f>
        <v>16582</v>
      </c>
      <c r="B4531" s="4" t="s">
        <v>343</v>
      </c>
      <c r="C4531" s="4" t="s">
        <v>283</v>
      </c>
      <c r="D4531" s="94">
        <v>6073.0</v>
      </c>
    </row>
    <row r="4532">
      <c r="A4532" s="40">
        <f t="array" ref="A4532">IFNA(index(PlayerValues!A:A,match(IFNA(vlookup(B4532,'Special Names'!A:B,2,FALSE),B4532),PlayerValues!E:E,0)),"N/A")</f>
        <v>17081</v>
      </c>
      <c r="B4532" s="4" t="s">
        <v>340</v>
      </c>
      <c r="C4532" s="4" t="s">
        <v>287</v>
      </c>
      <c r="D4532" s="94">
        <v>6061.0</v>
      </c>
    </row>
    <row r="4533">
      <c r="A4533" s="40">
        <f t="array" ref="A4533">IFNA(index(PlayerValues!A:A,match(IFNA(vlookup(B4533,'Special Names'!A:B,2,FALSE),B4533),PlayerValues!E:E,0)),"N/A")</f>
        <v>15715</v>
      </c>
      <c r="B4533" s="4" t="s">
        <v>331</v>
      </c>
      <c r="C4533" s="4" t="s">
        <v>278</v>
      </c>
      <c r="D4533" s="94">
        <v>6044.0</v>
      </c>
    </row>
    <row r="4534">
      <c r="A4534" s="40">
        <f t="array" ref="A4534">IFNA(index(PlayerValues!A:A,match(IFNA(vlookup(B4534,'Special Names'!A:B,2,FALSE),B4534),PlayerValues!E:E,0)),"N/A")</f>
        <v>14802</v>
      </c>
      <c r="B4534" s="4" t="s">
        <v>332</v>
      </c>
      <c r="C4534" s="4" t="s">
        <v>278</v>
      </c>
      <c r="D4534" s="94">
        <v>6010.0</v>
      </c>
    </row>
    <row r="4535">
      <c r="A4535" s="40">
        <f t="array" ref="A4535">IFNA(index(PlayerValues!A:A,match(IFNA(vlookup(B4535,'Special Names'!A:B,2,FALSE),B4535),PlayerValues!E:E,0)),"N/A")</f>
        <v>17497</v>
      </c>
      <c r="B4535" s="4" t="s">
        <v>365</v>
      </c>
      <c r="C4535" s="4" t="s">
        <v>287</v>
      </c>
      <c r="D4535" s="94">
        <v>5957.0</v>
      </c>
    </row>
    <row r="4536">
      <c r="A4536" s="40">
        <f t="array" ref="A4536">IFNA(index(PlayerValues!A:A,match(IFNA(vlookup(B4536,'Special Names'!A:B,2,FALSE),B4536),PlayerValues!E:E,0)),"N/A")</f>
        <v>15762</v>
      </c>
      <c r="B4536" s="4" t="s">
        <v>337</v>
      </c>
      <c r="C4536" s="4" t="s">
        <v>287</v>
      </c>
      <c r="D4536" s="94">
        <v>5924.0</v>
      </c>
    </row>
    <row r="4537">
      <c r="A4537" s="40">
        <f t="array" ref="A4537">IFNA(index(PlayerValues!A:A,match(IFNA(vlookup(B4537,'Special Names'!A:B,2,FALSE),B4537),PlayerValues!E:E,0)),"N/A")</f>
        <v>17102</v>
      </c>
      <c r="B4537" s="4" t="s">
        <v>344</v>
      </c>
      <c r="C4537" s="4" t="s">
        <v>298</v>
      </c>
      <c r="D4537" s="94">
        <v>6499.0</v>
      </c>
    </row>
    <row r="4538">
      <c r="A4538" s="40">
        <f t="array" ref="A4538">IFNA(index(PlayerValues!A:A,match(IFNA(vlookup(B4538,'Special Names'!A:B,2,FALSE),B4538),PlayerValues!E:E,0)),"N/A")</f>
        <v>15698</v>
      </c>
      <c r="B4538" s="4" t="s">
        <v>358</v>
      </c>
      <c r="C4538" s="4" t="s">
        <v>283</v>
      </c>
      <c r="D4538" s="94">
        <v>5837.0</v>
      </c>
    </row>
    <row r="4539">
      <c r="A4539" s="40">
        <f t="array" ref="A4539">IFNA(index(PlayerValues!A:A,match(IFNA(vlookup(B4539,'Special Names'!A:B,2,FALSE),B4539),PlayerValues!E:E,0)),"N/A")</f>
        <v>15753</v>
      </c>
      <c r="B4539" s="4" t="s">
        <v>359</v>
      </c>
      <c r="C4539" s="4" t="s">
        <v>287</v>
      </c>
      <c r="D4539" s="94">
        <v>5683.0</v>
      </c>
    </row>
    <row r="4540">
      <c r="A4540" s="40" t="str">
        <f t="array" ref="A4540">IFNA(index(PlayerValues!A:A,match(IFNA(vlookup(B4540,'Special Names'!A:B,2,FALSE),B4540),PlayerValues!E:E,0)),"N/A")</f>
        <v>N/A</v>
      </c>
      <c r="B4540" s="4" t="s">
        <v>79</v>
      </c>
      <c r="C4540" s="4" t="s">
        <v>325</v>
      </c>
      <c r="D4540" s="94">
        <v>5602.0</v>
      </c>
    </row>
    <row r="4541">
      <c r="A4541" s="40" t="str">
        <f t="array" ref="A4541">IFNA(index(PlayerValues!A:A,match(IFNA(vlookup(B4541,'Special Names'!A:B,2,FALSE),B4541),PlayerValues!E:E,0)),"N/A")</f>
        <v>N/A</v>
      </c>
      <c r="B4541" s="4" t="s">
        <v>93</v>
      </c>
      <c r="C4541" s="4" t="s">
        <v>325</v>
      </c>
      <c r="D4541" s="94">
        <v>5601.0</v>
      </c>
    </row>
    <row r="4542">
      <c r="A4542" s="40">
        <f t="array" ref="A4542">IFNA(index(PlayerValues!A:A,match(IFNA(vlookup(B4542,'Special Names'!A:B,2,FALSE),B4542),PlayerValues!E:E,0)),"N/A")</f>
        <v>15290</v>
      </c>
      <c r="B4542" s="4" t="s">
        <v>355</v>
      </c>
      <c r="C4542" s="4" t="s">
        <v>287</v>
      </c>
      <c r="D4542" s="94">
        <v>5592.0</v>
      </c>
    </row>
    <row r="4543">
      <c r="A4543" s="40">
        <f t="array" ref="A4543">IFNA(index(PlayerValues!A:A,match(IFNA(vlookup(B4543,'Special Names'!A:B,2,FALSE),B4543),PlayerValues!E:E,0)),"N/A")</f>
        <v>16627</v>
      </c>
      <c r="B4543" s="4" t="s">
        <v>351</v>
      </c>
      <c r="C4543" s="4" t="s">
        <v>287</v>
      </c>
      <c r="D4543" s="94">
        <v>5568.0</v>
      </c>
    </row>
    <row r="4544">
      <c r="A4544" s="40">
        <f t="array" ref="A4544">IFNA(index(PlayerValues!A:A,match(IFNA(vlookup(B4544,'Special Names'!A:B,2,FALSE),B4544),PlayerValues!E:E,0)),"N/A")</f>
        <v>17462</v>
      </c>
      <c r="B4544" s="4" t="s">
        <v>375</v>
      </c>
      <c r="C4544" s="4" t="s">
        <v>283</v>
      </c>
      <c r="D4544" s="94">
        <v>5535.0</v>
      </c>
    </row>
    <row r="4545">
      <c r="A4545" s="40">
        <f t="array" ref="A4545">IFNA(index(PlayerValues!A:A,match(IFNA(vlookup(B4545,'Special Names'!A:B,2,FALSE),B4545),PlayerValues!E:E,0)),"N/A")</f>
        <v>15754</v>
      </c>
      <c r="B4545" s="4" t="s">
        <v>354</v>
      </c>
      <c r="C4545" s="4" t="s">
        <v>287</v>
      </c>
      <c r="D4545" s="94">
        <v>5527.0</v>
      </c>
    </row>
    <row r="4546">
      <c r="A4546" s="40">
        <f t="array" ref="A4546">IFNA(index(PlayerValues!A:A,match(IFNA(vlookup(B4546,'Special Names'!A:B,2,FALSE),B4546),PlayerValues!E:E,0)),"N/A")</f>
        <v>17051</v>
      </c>
      <c r="B4546" s="4" t="s">
        <v>386</v>
      </c>
      <c r="C4546" s="4" t="s">
        <v>278</v>
      </c>
      <c r="D4546" s="94">
        <v>5514.0</v>
      </c>
    </row>
    <row r="4547">
      <c r="A4547" s="40">
        <f t="array" ref="A4547">IFNA(index(PlayerValues!A:A,match(IFNA(vlookup(B4547,'Special Names'!A:B,2,FALSE),B4547),PlayerValues!E:E,0)),"N/A")</f>
        <v>14782</v>
      </c>
      <c r="B4547" s="4" t="s">
        <v>385</v>
      </c>
      <c r="C4547" s="4" t="s">
        <v>283</v>
      </c>
      <c r="D4547" s="94">
        <v>5513.0</v>
      </c>
    </row>
    <row r="4548">
      <c r="A4548" s="40">
        <f t="array" ref="A4548">IFNA(index(PlayerValues!A:A,match(IFNA(vlookup(B4548,'Special Names'!A:B,2,FALSE),B4548),PlayerValues!E:E,0)),"N/A")</f>
        <v>17043</v>
      </c>
      <c r="B4548" s="4" t="s">
        <v>397</v>
      </c>
      <c r="C4548" s="4" t="s">
        <v>278</v>
      </c>
      <c r="D4548" s="94">
        <v>5489.0</v>
      </c>
    </row>
    <row r="4549">
      <c r="A4549" s="40">
        <f t="array" ref="A4549">IFNA(index(PlayerValues!A:A,match(IFNA(vlookup(B4549,'Special Names'!A:B,2,FALSE),B4549),PlayerValues!E:E,0)),"N/A")</f>
        <v>15711</v>
      </c>
      <c r="B4549" s="4" t="s">
        <v>349</v>
      </c>
      <c r="C4549" s="4" t="s">
        <v>278</v>
      </c>
      <c r="D4549" s="94">
        <v>5486.0</v>
      </c>
    </row>
    <row r="4550">
      <c r="A4550" s="40">
        <f t="array" ref="A4550">IFNA(index(PlayerValues!A:A,match(IFNA(vlookup(B4550,'Special Names'!A:B,2,FALSE),B4550),PlayerValues!E:E,0)),"N/A")</f>
        <v>15282</v>
      </c>
      <c r="B4550" s="4" t="s">
        <v>364</v>
      </c>
      <c r="C4550" s="4" t="s">
        <v>287</v>
      </c>
      <c r="D4550" s="94">
        <v>5453.0</v>
      </c>
    </row>
    <row r="4551">
      <c r="A4551" s="40">
        <f t="array" ref="A4551">IFNA(index(PlayerValues!A:A,match(IFNA(vlookup(B4551,'Special Names'!A:B,2,FALSE),B4551),PlayerValues!E:E,0)),"N/A")</f>
        <v>17070</v>
      </c>
      <c r="B4551" s="4" t="s">
        <v>370</v>
      </c>
      <c r="C4551" s="4" t="s">
        <v>287</v>
      </c>
      <c r="D4551" s="94">
        <v>5404.0</v>
      </c>
    </row>
    <row r="4552">
      <c r="A4552" s="40">
        <f t="array" ref="A4552">IFNA(index(PlayerValues!A:A,match(IFNA(vlookup(B4552,'Special Names'!A:B,2,FALSE),B4552),PlayerValues!E:E,0)),"N/A")</f>
        <v>15708</v>
      </c>
      <c r="B4552" s="4" t="s">
        <v>382</v>
      </c>
      <c r="C4552" s="4" t="s">
        <v>278</v>
      </c>
      <c r="D4552" s="94">
        <v>5395.0</v>
      </c>
    </row>
    <row r="4553">
      <c r="A4553" s="40">
        <f t="array" ref="A4553">IFNA(index(PlayerValues!A:A,match(IFNA(vlookup(B4553,'Special Names'!A:B,2,FALSE),B4553),PlayerValues!E:E,0)),"N/A")</f>
        <v>17498</v>
      </c>
      <c r="B4553" s="4" t="s">
        <v>396</v>
      </c>
      <c r="C4553" s="4" t="s">
        <v>287</v>
      </c>
      <c r="D4553" s="94">
        <v>5394.0</v>
      </c>
    </row>
    <row r="4554">
      <c r="A4554" s="40">
        <f t="array" ref="A4554">IFNA(index(PlayerValues!A:A,match(IFNA(vlookup(B4554,'Special Names'!A:B,2,FALSE),B4554),PlayerValues!E:E,0)),"N/A")</f>
        <v>17030</v>
      </c>
      <c r="B4554" s="4" t="s">
        <v>406</v>
      </c>
      <c r="C4554" s="4" t="s">
        <v>283</v>
      </c>
      <c r="D4554" s="94">
        <v>5363.0</v>
      </c>
    </row>
    <row r="4555">
      <c r="A4555" s="40">
        <f t="array" ref="A4555">IFNA(index(PlayerValues!A:A,match(IFNA(vlookup(B4555,'Special Names'!A:B,2,FALSE),B4555),PlayerValues!E:E,0)),"N/A")</f>
        <v>16616</v>
      </c>
      <c r="B4555" s="4" t="s">
        <v>389</v>
      </c>
      <c r="C4555" s="4" t="s">
        <v>287</v>
      </c>
      <c r="D4555" s="94">
        <v>5273.0</v>
      </c>
    </row>
    <row r="4556">
      <c r="A4556" s="40">
        <f t="array" ref="A4556">IFNA(index(PlayerValues!A:A,match(IFNA(vlookup(B4556,'Special Names'!A:B,2,FALSE),B4556),PlayerValues!E:E,0)),"N/A")</f>
        <v>16181</v>
      </c>
      <c r="B4556" s="4" t="s">
        <v>350</v>
      </c>
      <c r="C4556" s="4" t="s">
        <v>278</v>
      </c>
      <c r="D4556" s="94">
        <v>5125.0</v>
      </c>
    </row>
    <row r="4557">
      <c r="A4557" s="40">
        <f t="array" ref="A4557">IFNA(index(PlayerValues!A:A,match(IFNA(vlookup(B4557,'Special Names'!A:B,2,FALSE),B4557),PlayerValues!E:E,0)),"N/A")</f>
        <v>17499</v>
      </c>
      <c r="B4557" s="4" t="s">
        <v>402</v>
      </c>
      <c r="C4557" s="4" t="s">
        <v>287</v>
      </c>
      <c r="D4557" s="94">
        <v>5095.0</v>
      </c>
    </row>
    <row r="4558">
      <c r="A4558" s="40" t="str">
        <f t="array" ref="A4558">IFNA(index(PlayerValues!A:A,match(IFNA(vlookup(B4558,'Special Names'!A:B,2,FALSE),B4558),PlayerValues!E:E,0)),"N/A")</f>
        <v>N/A</v>
      </c>
      <c r="B4558" s="4" t="s">
        <v>104</v>
      </c>
      <c r="C4558" s="4" t="s">
        <v>325</v>
      </c>
      <c r="D4558" s="94">
        <v>5016.0</v>
      </c>
    </row>
    <row r="4559">
      <c r="A4559" s="40">
        <f t="array" ref="A4559">IFNA(index(PlayerValues!A:A,match(IFNA(vlookup(B4559,'Special Names'!A:B,2,FALSE),B4559),PlayerValues!E:E,0)),"N/A")</f>
        <v>13130</v>
      </c>
      <c r="B4559" s="4" t="s">
        <v>374</v>
      </c>
      <c r="C4559" s="4" t="s">
        <v>278</v>
      </c>
      <c r="D4559" s="94">
        <v>4985.0</v>
      </c>
    </row>
    <row r="4560">
      <c r="A4560" s="40">
        <f t="array" ref="A4560">IFNA(index(PlayerValues!A:A,match(IFNA(vlookup(B4560,'Special Names'!A:B,2,FALSE),B4560),PlayerValues!E:E,0)),"N/A")</f>
        <v>16614</v>
      </c>
      <c r="B4560" s="4" t="s">
        <v>403</v>
      </c>
      <c r="C4560" s="4" t="s">
        <v>287</v>
      </c>
      <c r="D4560" s="94">
        <v>4968.0</v>
      </c>
    </row>
    <row r="4561">
      <c r="A4561" s="40">
        <f t="array" ref="A4561">IFNA(index(PlayerValues!A:A,match(IFNA(vlookup(B4561,'Special Names'!A:B,2,FALSE),B4561),PlayerValues!E:E,0)),"N/A")</f>
        <v>14104</v>
      </c>
      <c r="B4561" s="4" t="s">
        <v>379</v>
      </c>
      <c r="C4561" s="4" t="s">
        <v>287</v>
      </c>
      <c r="D4561" s="94">
        <v>4951.0</v>
      </c>
    </row>
    <row r="4562">
      <c r="A4562" s="40">
        <f t="array" ref="A4562">IFNA(index(PlayerValues!A:A,match(IFNA(vlookup(B4562,'Special Names'!A:B,2,FALSE),B4562),PlayerValues!E:E,0)),"N/A")</f>
        <v>13604</v>
      </c>
      <c r="B4562" s="4" t="s">
        <v>378</v>
      </c>
      <c r="C4562" s="4" t="s">
        <v>278</v>
      </c>
      <c r="D4562" s="94">
        <v>4946.0</v>
      </c>
    </row>
    <row r="4563">
      <c r="A4563" s="40">
        <f t="array" ref="A4563">IFNA(index(PlayerValues!A:A,match(IFNA(vlookup(B4563,'Special Names'!A:B,2,FALSE),B4563),PlayerValues!E:E,0)),"N/A")</f>
        <v>14835</v>
      </c>
      <c r="B4563" s="4" t="s">
        <v>392</v>
      </c>
      <c r="C4563" s="4" t="s">
        <v>287</v>
      </c>
      <c r="D4563" s="94">
        <v>4938.0</v>
      </c>
    </row>
    <row r="4564">
      <c r="A4564" s="40" t="str">
        <f t="array" ref="A4564">IFNA(index(PlayerValues!A:A,match(IFNA(vlookup(B4564,'Special Names'!A:B,2,FALSE),B4564),PlayerValues!E:E,0)),"N/A")</f>
        <v>N/A</v>
      </c>
      <c r="B4564" s="4" t="s">
        <v>94</v>
      </c>
      <c r="C4564" s="4" t="s">
        <v>325</v>
      </c>
      <c r="D4564" s="94">
        <v>4931.0</v>
      </c>
    </row>
    <row r="4565">
      <c r="A4565" s="40">
        <f t="array" ref="A4565">IFNA(index(PlayerValues!A:A,match(IFNA(vlookup(B4565,'Special Names'!A:B,2,FALSE),B4565),PlayerValues!E:E,0)),"N/A")</f>
        <v>16222</v>
      </c>
      <c r="B4565" s="4" t="s">
        <v>393</v>
      </c>
      <c r="C4565" s="4" t="s">
        <v>298</v>
      </c>
      <c r="D4565" s="94">
        <v>5496.0</v>
      </c>
    </row>
    <row r="4566">
      <c r="A4566" s="40">
        <f t="array" ref="A4566">IFNA(index(PlayerValues!A:A,match(IFNA(vlookup(B4566,'Special Names'!A:B,2,FALSE),B4566),PlayerValues!E:E,0)),"N/A")</f>
        <v>16618</v>
      </c>
      <c r="B4566" s="4" t="s">
        <v>411</v>
      </c>
      <c r="C4566" s="4" t="s">
        <v>287</v>
      </c>
      <c r="D4566" s="94">
        <v>4890.0</v>
      </c>
    </row>
    <row r="4567">
      <c r="A4567" s="40">
        <f t="array" ref="A4567">IFNA(index(PlayerValues!A:A,match(IFNA(vlookup(B4567,'Special Names'!A:B,2,FALSE),B4567),PlayerValues!E:E,0)),"N/A")</f>
        <v>16190</v>
      </c>
      <c r="B4567" s="4" t="s">
        <v>371</v>
      </c>
      <c r="C4567" s="4" t="s">
        <v>287</v>
      </c>
      <c r="D4567" s="94">
        <v>4888.0</v>
      </c>
    </row>
    <row r="4568">
      <c r="A4568" s="40">
        <f t="array" ref="A4568">IFNA(index(PlayerValues!A:A,match(IFNA(vlookup(B4568,'Special Names'!A:B,2,FALSE),B4568),PlayerValues!E:E,0)),"N/A")</f>
        <v>12620</v>
      </c>
      <c r="B4568" s="4" t="s">
        <v>394</v>
      </c>
      <c r="C4568" s="4" t="s">
        <v>283</v>
      </c>
      <c r="D4568" s="94">
        <v>4881.0</v>
      </c>
    </row>
    <row r="4569">
      <c r="A4569" s="40">
        <f t="array" ref="A4569">IFNA(index(PlayerValues!A:A,match(IFNA(vlookup(B4569,'Special Names'!A:B,2,FALSE),B4569),PlayerValues!E:E,0)),"N/A")</f>
        <v>15710</v>
      </c>
      <c r="B4569" s="4" t="s">
        <v>395</v>
      </c>
      <c r="C4569" s="4" t="s">
        <v>278</v>
      </c>
      <c r="D4569" s="94">
        <v>4864.0</v>
      </c>
    </row>
    <row r="4570">
      <c r="A4570" s="40">
        <f t="array" ref="A4570">IFNA(index(PlayerValues!A:A,match(IFNA(vlookup(B4570,'Special Names'!A:B,2,FALSE),B4570),PlayerValues!E:E,0)),"N/A")</f>
        <v>17473</v>
      </c>
      <c r="B4570" s="4" t="s">
        <v>391</v>
      </c>
      <c r="C4570" s="4" t="s">
        <v>278</v>
      </c>
      <c r="D4570" s="94">
        <v>4856.0</v>
      </c>
    </row>
    <row r="4571">
      <c r="A4571" s="40">
        <f t="array" ref="A4571">IFNA(index(PlayerValues!A:A,match(IFNA(vlookup(B4571,'Special Names'!A:B,2,FALSE),B4571),PlayerValues!E:E,0)),"N/A")</f>
        <v>17103</v>
      </c>
      <c r="B4571" s="4" t="s">
        <v>405</v>
      </c>
      <c r="C4571" s="4" t="s">
        <v>298</v>
      </c>
      <c r="D4571" s="94">
        <v>5411.0</v>
      </c>
    </row>
    <row r="4572">
      <c r="A4572" s="40">
        <f t="array" ref="A4572">IFNA(index(PlayerValues!A:A,match(IFNA(vlookup(B4572,'Special Names'!A:B,2,FALSE),B4572),PlayerValues!E:E,0)),"N/A")</f>
        <v>16150</v>
      </c>
      <c r="B4572" s="4" t="s">
        <v>414</v>
      </c>
      <c r="C4572" s="4" t="s">
        <v>283</v>
      </c>
      <c r="D4572" s="94">
        <v>4816.0</v>
      </c>
    </row>
    <row r="4573">
      <c r="A4573" s="40">
        <f t="array" ref="A4573">IFNA(index(PlayerValues!A:A,match(IFNA(vlookup(B4573,'Special Names'!A:B,2,FALSE),B4573),PlayerValues!E:E,0)),"N/A")</f>
        <v>17039</v>
      </c>
      <c r="B4573" s="4" t="s">
        <v>400</v>
      </c>
      <c r="C4573" s="4" t="s">
        <v>283</v>
      </c>
      <c r="D4573" s="94">
        <v>4816.0</v>
      </c>
    </row>
    <row r="4574">
      <c r="A4574" s="40">
        <f t="array" ref="A4574">IFNA(index(PlayerValues!A:A,match(IFNA(vlookup(B4574,'Special Names'!A:B,2,FALSE),B4574),PlayerValues!E:E,0)),"N/A")</f>
        <v>17045</v>
      </c>
      <c r="B4574" s="4" t="s">
        <v>407</v>
      </c>
      <c r="C4574" s="4" t="s">
        <v>278</v>
      </c>
      <c r="D4574" s="94">
        <v>4788.0</v>
      </c>
    </row>
    <row r="4575">
      <c r="A4575" s="40">
        <f t="array" ref="A4575">IFNA(index(PlayerValues!A:A,match(IFNA(vlookup(B4575,'Special Names'!A:B,2,FALSE),B4575),PlayerValues!E:E,0)),"N/A")</f>
        <v>15284</v>
      </c>
      <c r="B4575" s="4" t="s">
        <v>390</v>
      </c>
      <c r="C4575" s="4" t="s">
        <v>287</v>
      </c>
      <c r="D4575" s="94">
        <v>4767.0</v>
      </c>
    </row>
    <row r="4576">
      <c r="A4576" s="40">
        <f t="array" ref="A4576">IFNA(index(PlayerValues!A:A,match(IFNA(vlookup(B4576,'Special Names'!A:B,2,FALSE),B4576),PlayerValues!E:E,0)),"N/A")</f>
        <v>16598</v>
      </c>
      <c r="B4576" s="4" t="s">
        <v>408</v>
      </c>
      <c r="C4576" s="4" t="s">
        <v>278</v>
      </c>
      <c r="D4576" s="94">
        <v>4722.0</v>
      </c>
    </row>
    <row r="4577">
      <c r="A4577" s="40">
        <f t="array" ref="A4577">IFNA(index(PlayerValues!A:A,match(IFNA(vlookup(B4577,'Special Names'!A:B,2,FALSE),B4577),PlayerValues!E:E,0)),"N/A")</f>
        <v>13590</v>
      </c>
      <c r="B4577" s="4" t="s">
        <v>409</v>
      </c>
      <c r="C4577" s="4" t="s">
        <v>283</v>
      </c>
      <c r="D4577" s="94">
        <v>4707.0</v>
      </c>
    </row>
    <row r="4578">
      <c r="A4578" s="40">
        <f t="array" ref="A4578">IFNA(index(PlayerValues!A:A,match(IFNA(vlookup(B4578,'Special Names'!A:B,2,FALSE),B4578),PlayerValues!E:E,0)),"N/A")</f>
        <v>12611</v>
      </c>
      <c r="B4578" s="4" t="s">
        <v>410</v>
      </c>
      <c r="C4578" s="4" t="s">
        <v>283</v>
      </c>
      <c r="D4578" s="94">
        <v>4683.0</v>
      </c>
    </row>
    <row r="4579">
      <c r="A4579" s="40">
        <f t="array" ref="A4579">IFNA(index(PlayerValues!A:A,match(IFNA(vlookup(B4579,'Special Names'!A:B,2,FALSE),B4579),PlayerValues!E:E,0)),"N/A")</f>
        <v>15756</v>
      </c>
      <c r="B4579" s="4" t="s">
        <v>399</v>
      </c>
      <c r="C4579" s="4" t="s">
        <v>287</v>
      </c>
      <c r="D4579" s="94">
        <v>4678.0</v>
      </c>
    </row>
    <row r="4580">
      <c r="A4580" s="40">
        <f t="array" ref="A4580">IFNA(index(PlayerValues!A:A,match(IFNA(vlookup(B4580,'Special Names'!A:B,2,FALSE),B4580),PlayerValues!E:E,0)),"N/A")</f>
        <v>16194</v>
      </c>
      <c r="B4580" s="4" t="s">
        <v>398</v>
      </c>
      <c r="C4580" s="4" t="s">
        <v>287</v>
      </c>
      <c r="D4580" s="94">
        <v>4668.0</v>
      </c>
    </row>
    <row r="4581">
      <c r="A4581" s="40" t="str">
        <f t="array" ref="A4581">IFNA(index(PlayerValues!A:A,match(IFNA(vlookup(B4581,'Special Names'!A:B,2,FALSE),B4581),PlayerValues!E:E,0)),"N/A")</f>
        <v>N/A</v>
      </c>
      <c r="B4581" s="4" t="s">
        <v>105</v>
      </c>
      <c r="C4581" s="4" t="s">
        <v>325</v>
      </c>
      <c r="D4581" s="94">
        <v>4591.0</v>
      </c>
    </row>
    <row r="4582">
      <c r="A4582" s="40" t="str">
        <f t="array" ref="A4582">IFNA(index(PlayerValues!A:A,match(IFNA(vlookup(B4582,'Special Names'!A:B,2,FALSE),B4582),PlayerValues!E:E,0)),"N/A")</f>
        <v>N/A</v>
      </c>
      <c r="B4582" s="4" t="s">
        <v>80</v>
      </c>
      <c r="C4582" s="4" t="s">
        <v>325</v>
      </c>
      <c r="D4582" s="94">
        <v>4581.0</v>
      </c>
    </row>
    <row r="4583">
      <c r="A4583" s="40">
        <f t="array" ref="A4583">IFNA(index(PlayerValues!A:A,match(IFNA(vlookup(B4583,'Special Names'!A:B,2,FALSE),B4583),PlayerValues!E:E,0)),"N/A")</f>
        <v>13592</v>
      </c>
      <c r="B4583" s="4" t="s">
        <v>418</v>
      </c>
      <c r="C4583" s="4" t="s">
        <v>283</v>
      </c>
      <c r="D4583" s="94">
        <v>4519.0</v>
      </c>
    </row>
    <row r="4584">
      <c r="A4584" s="40">
        <f t="array" ref="A4584">IFNA(index(PlayerValues!A:A,match(IFNA(vlookup(B4584,'Special Names'!A:B,2,FALSE),B4584),PlayerValues!E:E,0)),"N/A")</f>
        <v>15329</v>
      </c>
      <c r="B4584" s="4" t="s">
        <v>416</v>
      </c>
      <c r="C4584" s="4" t="s">
        <v>298</v>
      </c>
      <c r="D4584" s="94">
        <v>5040.0</v>
      </c>
    </row>
    <row r="4585">
      <c r="A4585" s="40">
        <f t="array" ref="A4585">IFNA(index(PlayerValues!A:A,match(IFNA(vlookup(B4585,'Special Names'!A:B,2,FALSE),B4585),PlayerValues!E:E,0)),"N/A")</f>
        <v>15256</v>
      </c>
      <c r="B4585" s="4" t="s">
        <v>401</v>
      </c>
      <c r="C4585" s="4" t="s">
        <v>278</v>
      </c>
      <c r="D4585" s="94">
        <v>4486.0</v>
      </c>
    </row>
    <row r="4586">
      <c r="A4586" s="40">
        <f t="array" ref="A4586">IFNA(index(PlayerValues!A:A,match(IFNA(vlookup(B4586,'Special Names'!A:B,2,FALSE),B4586),PlayerValues!E:E,0)),"N/A")</f>
        <v>16214</v>
      </c>
      <c r="B4586" s="4" t="s">
        <v>413</v>
      </c>
      <c r="C4586" s="4" t="s">
        <v>298</v>
      </c>
      <c r="D4586" s="94">
        <v>5011.0</v>
      </c>
    </row>
    <row r="4587">
      <c r="A4587" s="40">
        <f t="array" ref="A4587">IFNA(index(PlayerValues!A:A,match(IFNA(vlookup(B4587,'Special Names'!A:B,2,FALSE),B4587),PlayerValues!E:E,0)),"N/A")</f>
        <v>17501</v>
      </c>
      <c r="B4587" s="4" t="s">
        <v>404</v>
      </c>
      <c r="C4587" s="4" t="s">
        <v>287</v>
      </c>
      <c r="D4587" s="94">
        <v>4470.0</v>
      </c>
    </row>
    <row r="4588">
      <c r="A4588" s="40">
        <f t="array" ref="A4588">IFNA(index(PlayerValues!A:A,match(IFNA(vlookup(B4588,'Special Names'!A:B,2,FALSE),B4588),PlayerValues!E:E,0)),"N/A")</f>
        <v>15253</v>
      </c>
      <c r="B4588" s="4" t="s">
        <v>415</v>
      </c>
      <c r="C4588" s="4" t="s">
        <v>278</v>
      </c>
      <c r="D4588" s="94">
        <v>4468.0</v>
      </c>
    </row>
    <row r="4589">
      <c r="A4589" s="40">
        <f t="array" ref="A4589">IFNA(index(PlayerValues!A:A,match(IFNA(vlookup(B4589,'Special Names'!A:B,2,FALSE),B4589),PlayerValues!E:E,0)),"N/A")</f>
        <v>16148</v>
      </c>
      <c r="B4589" s="4" t="s">
        <v>426</v>
      </c>
      <c r="C4589" s="4" t="s">
        <v>283</v>
      </c>
      <c r="D4589" s="94">
        <v>4320.0</v>
      </c>
    </row>
    <row r="4590">
      <c r="A4590" s="40" t="str">
        <f t="array" ref="A4590">IFNA(index(PlayerValues!A:A,match(IFNA(vlookup(B4590,'Special Names'!A:B,2,FALSE),B4590),PlayerValues!E:E,0)),"N/A")</f>
        <v>N/A</v>
      </c>
      <c r="B4590" s="4" t="s">
        <v>107</v>
      </c>
      <c r="C4590" s="4" t="s">
        <v>325</v>
      </c>
      <c r="D4590" s="94">
        <v>4128.0</v>
      </c>
    </row>
    <row r="4591">
      <c r="A4591" s="40">
        <f t="array" ref="A4591">IFNA(index(PlayerValues!A:A,match(IFNA(vlookup(B4591,'Special Names'!A:B,2,FALSE),B4591),PlayerValues!E:E,0)),"N/A")</f>
        <v>14056</v>
      </c>
      <c r="B4591" s="4" t="s">
        <v>423</v>
      </c>
      <c r="C4591" s="4" t="s">
        <v>283</v>
      </c>
      <c r="D4591" s="94">
        <v>4123.0</v>
      </c>
    </row>
    <row r="4592">
      <c r="A4592" s="40">
        <f t="array" ref="A4592">IFNA(index(PlayerValues!A:A,match(IFNA(vlookup(B4592,'Special Names'!A:B,2,FALSE),B4592),PlayerValues!E:E,0)),"N/A")</f>
        <v>17052</v>
      </c>
      <c r="B4592" s="4" t="s">
        <v>417</v>
      </c>
      <c r="C4592" s="4" t="s">
        <v>278</v>
      </c>
      <c r="D4592" s="94">
        <v>4116.0</v>
      </c>
    </row>
    <row r="4593">
      <c r="A4593" s="40">
        <f t="array" ref="A4593">IFNA(index(PlayerValues!A:A,match(IFNA(vlookup(B4593,'Special Names'!A:B,2,FALSE),B4593),PlayerValues!E:E,0)),"N/A")</f>
        <v>17543</v>
      </c>
      <c r="B4593" s="4" t="s">
        <v>436</v>
      </c>
      <c r="C4593" s="4" t="s">
        <v>298</v>
      </c>
      <c r="D4593" s="94">
        <v>4561.0</v>
      </c>
    </row>
    <row r="4594">
      <c r="A4594" s="40">
        <f t="array" ref="A4594">IFNA(index(PlayerValues!A:A,match(IFNA(vlookup(B4594,'Special Names'!A:B,2,FALSE),B4594),PlayerValues!E:E,0)),"N/A")</f>
        <v>12626</v>
      </c>
      <c r="B4594" s="4" t="s">
        <v>419</v>
      </c>
      <c r="C4594" s="4" t="s">
        <v>278</v>
      </c>
      <c r="D4594" s="94">
        <v>4005.0</v>
      </c>
    </row>
    <row r="4595">
      <c r="A4595" s="40">
        <f t="array" ref="A4595">IFNA(index(PlayerValues!A:A,match(IFNA(vlookup(B4595,'Special Names'!A:B,2,FALSE),B4595),PlayerValues!E:E,0)),"N/A")</f>
        <v>15768</v>
      </c>
      <c r="B4595" s="4" t="s">
        <v>432</v>
      </c>
      <c r="C4595" s="4" t="s">
        <v>287</v>
      </c>
      <c r="D4595" s="94">
        <v>3993.0</v>
      </c>
    </row>
    <row r="4596">
      <c r="A4596" s="40">
        <f t="array" ref="A4596">IFNA(index(PlayerValues!A:A,match(IFNA(vlookup(B4596,'Special Names'!A:B,2,FALSE),B4596),PlayerValues!E:E,0)),"N/A")</f>
        <v>16186</v>
      </c>
      <c r="B4596" s="4" t="s">
        <v>425</v>
      </c>
      <c r="C4596" s="4" t="s">
        <v>287</v>
      </c>
      <c r="D4596" s="94">
        <v>3956.0</v>
      </c>
    </row>
    <row r="4597">
      <c r="A4597" s="40">
        <f t="array" ref="A4597">IFNA(index(PlayerValues!A:A,match(IFNA(vlookup(B4597,'Special Names'!A:B,2,FALSE),B4597),PlayerValues!E:E,0)),"N/A")</f>
        <v>14059</v>
      </c>
      <c r="B4597" s="4" t="s">
        <v>435</v>
      </c>
      <c r="C4597" s="4" t="s">
        <v>283</v>
      </c>
      <c r="D4597" s="94">
        <v>3929.0</v>
      </c>
    </row>
    <row r="4598">
      <c r="A4598" s="40">
        <f t="array" ref="A4598">IFNA(index(PlayerValues!A:A,match(IFNA(vlookup(B4598,'Special Names'!A:B,2,FALSE),B4598),PlayerValues!E:E,0)),"N/A")</f>
        <v>15789</v>
      </c>
      <c r="B4598" s="4" t="s">
        <v>421</v>
      </c>
      <c r="C4598" s="4" t="s">
        <v>287</v>
      </c>
      <c r="D4598" s="94">
        <v>3898.0</v>
      </c>
    </row>
    <row r="4599">
      <c r="A4599" s="40" t="str">
        <f t="array" ref="A4599">IFNA(index(PlayerValues!A:A,match(IFNA(vlookup(B4599,'Special Names'!A:B,2,FALSE),B4599),PlayerValues!E:E,0)),"N/A")</f>
        <v>N/A</v>
      </c>
      <c r="B4599" s="4" t="s">
        <v>81</v>
      </c>
      <c r="C4599" s="4" t="s">
        <v>325</v>
      </c>
      <c r="D4599" s="94">
        <v>3888.0</v>
      </c>
    </row>
    <row r="4600">
      <c r="A4600" s="40" t="str">
        <f t="array" ref="A4600">IFNA(index(PlayerValues!A:A,match(IFNA(vlookup(B4600,'Special Names'!A:B,2,FALSE),B4600),PlayerValues!E:E,0)),"N/A")</f>
        <v>N/A</v>
      </c>
      <c r="B4600" s="4" t="s">
        <v>95</v>
      </c>
      <c r="C4600" s="4" t="s">
        <v>325</v>
      </c>
      <c r="D4600" s="94">
        <v>3887.0</v>
      </c>
    </row>
    <row r="4601">
      <c r="A4601" s="40">
        <f t="array" ref="A4601">IFNA(index(PlayerValues!A:A,match(IFNA(vlookup(B4601,'Special Names'!A:B,2,FALSE),B4601),PlayerValues!E:E,0)),"N/A")</f>
        <v>14073</v>
      </c>
      <c r="B4601" s="4" t="s">
        <v>464</v>
      </c>
      <c r="C4601" s="4" t="s">
        <v>278</v>
      </c>
      <c r="D4601" s="94">
        <v>3835.0</v>
      </c>
    </row>
    <row r="4602">
      <c r="A4602" s="40">
        <f t="array" ref="A4602">IFNA(index(PlayerValues!A:A,match(IFNA(vlookup(B4602,'Special Names'!A:B,2,FALSE),B4602),PlayerValues!E:E,0)),"N/A")</f>
        <v>15694</v>
      </c>
      <c r="B4602" s="4" t="s">
        <v>434</v>
      </c>
      <c r="C4602" s="4" t="s">
        <v>283</v>
      </c>
      <c r="D4602" s="94">
        <v>3820.0</v>
      </c>
    </row>
    <row r="4603">
      <c r="A4603" s="40">
        <f t="array" ref="A4603">IFNA(index(PlayerValues!A:A,match(IFNA(vlookup(B4603,'Special Names'!A:B,2,FALSE),B4603),PlayerValues!E:E,0)),"N/A")</f>
        <v>9431</v>
      </c>
      <c r="B4603" s="4" t="s">
        <v>428</v>
      </c>
      <c r="C4603" s="4" t="s">
        <v>283</v>
      </c>
      <c r="D4603" s="94">
        <v>3807.0</v>
      </c>
    </row>
    <row r="4604">
      <c r="A4604" s="40">
        <f t="array" ref="A4604">IFNA(index(PlayerValues!A:A,match(IFNA(vlookup(B4604,'Special Names'!A:B,2,FALSE),B4604),PlayerValues!E:E,0)),"N/A")</f>
        <v>17502</v>
      </c>
      <c r="B4604" s="4" t="s">
        <v>451</v>
      </c>
      <c r="C4604" s="4" t="s">
        <v>287</v>
      </c>
      <c r="D4604" s="94">
        <v>3711.0</v>
      </c>
    </row>
    <row r="4605">
      <c r="A4605" s="40">
        <f t="array" ref="A4605">IFNA(index(PlayerValues!A:A,match(IFNA(vlookup(B4605,'Special Names'!A:B,2,FALSE),B4605),PlayerValues!E:E,0)),"N/A")</f>
        <v>16192</v>
      </c>
      <c r="B4605" s="4" t="s">
        <v>412</v>
      </c>
      <c r="C4605" s="4" t="s">
        <v>287</v>
      </c>
      <c r="D4605" s="94">
        <v>3687.0</v>
      </c>
    </row>
    <row r="4606">
      <c r="A4606" s="40">
        <f t="array" ref="A4606">IFNA(index(PlayerValues!A:A,match(IFNA(vlookup(B4606,'Special Names'!A:B,2,FALSE),B4606),PlayerValues!E:E,0)),"N/A")</f>
        <v>16187</v>
      </c>
      <c r="B4606" s="4" t="s">
        <v>441</v>
      </c>
      <c r="C4606" s="4" t="s">
        <v>287</v>
      </c>
      <c r="D4606" s="94">
        <v>3671.0</v>
      </c>
    </row>
    <row r="4607">
      <c r="A4607" s="40">
        <f t="array" ref="A4607">IFNA(index(PlayerValues!A:A,match(IFNA(vlookup(B4607,'Special Names'!A:B,2,FALSE),B4607),PlayerValues!E:E,0)),"N/A")</f>
        <v>14797</v>
      </c>
      <c r="B4607" s="4" t="s">
        <v>420</v>
      </c>
      <c r="C4607" s="4" t="s">
        <v>278</v>
      </c>
      <c r="D4607" s="94">
        <v>3627.0</v>
      </c>
    </row>
    <row r="4608">
      <c r="A4608" s="40">
        <f t="array" ref="A4608">IFNA(index(PlayerValues!A:A,match(IFNA(vlookup(B4608,'Special Names'!A:B,2,FALSE),B4608),PlayerValues!E:E,0)),"N/A")</f>
        <v>17075</v>
      </c>
      <c r="B4608" s="4" t="s">
        <v>429</v>
      </c>
      <c r="C4608" s="4" t="s">
        <v>287</v>
      </c>
      <c r="D4608" s="94">
        <v>3622.0</v>
      </c>
    </row>
    <row r="4609">
      <c r="A4609" s="40">
        <f t="array" ref="A4609">IFNA(index(PlayerValues!A:A,match(IFNA(vlookup(B4609,'Special Names'!A:B,2,FALSE),B4609),PlayerValues!E:E,0)),"N/A")</f>
        <v>13635</v>
      </c>
      <c r="B4609" s="4" t="s">
        <v>424</v>
      </c>
      <c r="C4609" s="4" t="s">
        <v>287</v>
      </c>
      <c r="D4609" s="94">
        <v>3613.0</v>
      </c>
    </row>
    <row r="4610">
      <c r="A4610" s="40">
        <f t="array" ref="A4610">IFNA(index(PlayerValues!A:A,match(IFNA(vlookup(B4610,'Special Names'!A:B,2,FALSE),B4610),PlayerValues!E:E,0)),"N/A")</f>
        <v>16206</v>
      </c>
      <c r="B4610" s="4" t="s">
        <v>431</v>
      </c>
      <c r="C4610" s="4" t="s">
        <v>287</v>
      </c>
      <c r="D4610" s="94">
        <v>3604.0</v>
      </c>
    </row>
    <row r="4611">
      <c r="A4611" s="40">
        <f t="array" ref="A4611">IFNA(index(PlayerValues!A:A,match(IFNA(vlookup(B4611,'Special Names'!A:B,2,FALSE),B4611),PlayerValues!E:E,0)),"N/A")</f>
        <v>17099</v>
      </c>
      <c r="B4611" s="4" t="s">
        <v>474</v>
      </c>
      <c r="C4611" s="4" t="s">
        <v>298</v>
      </c>
      <c r="D4611" s="94">
        <v>4064.0</v>
      </c>
    </row>
    <row r="4612">
      <c r="A4612" s="40">
        <f t="array" ref="A4612">IFNA(index(PlayerValues!A:A,match(IFNA(vlookup(B4612,'Special Names'!A:B,2,FALSE),B4612),PlayerValues!E:E,0)),"N/A")</f>
        <v>17544</v>
      </c>
      <c r="B4612" s="4" t="s">
        <v>470</v>
      </c>
      <c r="C4612" s="4" t="s">
        <v>298</v>
      </c>
      <c r="D4612" s="94">
        <v>4054.0</v>
      </c>
    </row>
    <row r="4613">
      <c r="A4613" s="40">
        <f t="array" ref="A4613">IFNA(index(PlayerValues!A:A,match(IFNA(vlookup(B4613,'Special Names'!A:B,2,FALSE),B4613),PlayerValues!E:E,0)),"N/A")</f>
        <v>17066</v>
      </c>
      <c r="B4613" s="4" t="s">
        <v>446</v>
      </c>
      <c r="C4613" s="4" t="s">
        <v>278</v>
      </c>
      <c r="D4613" s="94">
        <v>3573.0</v>
      </c>
    </row>
    <row r="4614">
      <c r="A4614" s="40">
        <f t="array" ref="A4614">IFNA(index(PlayerValues!A:A,match(IFNA(vlookup(B4614,'Special Names'!A:B,2,FALSE),B4614),PlayerValues!E:E,0)),"N/A")</f>
        <v>16188</v>
      </c>
      <c r="B4614" s="4" t="s">
        <v>439</v>
      </c>
      <c r="C4614" s="4" t="s">
        <v>287</v>
      </c>
      <c r="D4614" s="94">
        <v>3570.0</v>
      </c>
    </row>
    <row r="4615">
      <c r="A4615" s="40">
        <f t="array" ref="A4615">IFNA(index(PlayerValues!A:A,match(IFNA(vlookup(B4615,'Special Names'!A:B,2,FALSE),B4615),PlayerValues!E:E,0)),"N/A")</f>
        <v>17463</v>
      </c>
      <c r="B4615" s="4" t="s">
        <v>433</v>
      </c>
      <c r="C4615" s="4" t="s">
        <v>283</v>
      </c>
      <c r="D4615" s="94">
        <v>3550.0</v>
      </c>
    </row>
    <row r="4616">
      <c r="A4616" s="40">
        <f t="array" ref="A4616">IFNA(index(PlayerValues!A:A,match(IFNA(vlookup(B4616,'Special Names'!A:B,2,FALSE),B4616),PlayerValues!E:E,0)),"N/A")</f>
        <v>15757</v>
      </c>
      <c r="B4616" s="4" t="s">
        <v>449</v>
      </c>
      <c r="C4616" s="4" t="s">
        <v>287</v>
      </c>
      <c r="D4616" s="94">
        <v>3491.0</v>
      </c>
    </row>
    <row r="4617">
      <c r="A4617" s="40">
        <f t="array" ref="A4617">IFNA(index(PlayerValues!A:A,match(IFNA(vlookup(B4617,'Special Names'!A:B,2,FALSE),B4617),PlayerValues!E:E,0)),"N/A")</f>
        <v>14109</v>
      </c>
      <c r="B4617" s="4" t="s">
        <v>437</v>
      </c>
      <c r="C4617" s="4" t="s">
        <v>287</v>
      </c>
      <c r="D4617" s="94">
        <v>3486.0</v>
      </c>
    </row>
    <row r="4618">
      <c r="A4618" s="40">
        <f t="array" ref="A4618">IFNA(index(PlayerValues!A:A,match(IFNA(vlookup(B4618,'Special Names'!A:B,2,FALSE),B4618),PlayerValues!E:E,0)),"N/A")</f>
        <v>17500</v>
      </c>
      <c r="B4618" s="4" t="s">
        <v>430</v>
      </c>
      <c r="C4618" s="4" t="s">
        <v>287</v>
      </c>
      <c r="D4618" s="94">
        <v>3461.0</v>
      </c>
    </row>
    <row r="4619">
      <c r="A4619" s="40" t="str">
        <f t="array" ref="A4619">IFNA(index(PlayerValues!A:A,match(IFNA(vlookup(B4619,'Special Names'!A:B,2,FALSE),B4619),PlayerValues!E:E,0)),"N/A")</f>
        <v>N/A</v>
      </c>
      <c r="B4619" s="4" t="s">
        <v>96</v>
      </c>
      <c r="C4619" s="4" t="s">
        <v>325</v>
      </c>
      <c r="D4619" s="94">
        <v>3459.0</v>
      </c>
    </row>
    <row r="4620">
      <c r="A4620" s="40">
        <f t="array" ref="A4620">IFNA(index(PlayerValues!A:A,match(IFNA(vlookup(B4620,'Special Names'!A:B,2,FALSE),B4620),PlayerValues!E:E,0)),"N/A")</f>
        <v>17083</v>
      </c>
      <c r="B4620" s="4" t="s">
        <v>479</v>
      </c>
      <c r="C4620" s="4" t="s">
        <v>287</v>
      </c>
      <c r="D4620" s="94">
        <v>3447.0</v>
      </c>
    </row>
    <row r="4621">
      <c r="A4621" s="40">
        <f t="array" ref="A4621">IFNA(index(PlayerValues!A:A,match(IFNA(vlookup(B4621,'Special Names'!A:B,2,FALSE),B4621),PlayerValues!E:E,0)),"N/A")</f>
        <v>14102</v>
      </c>
      <c r="B4621" s="4" t="s">
        <v>444</v>
      </c>
      <c r="C4621" s="4" t="s">
        <v>287</v>
      </c>
      <c r="D4621" s="94">
        <v>3439.0</v>
      </c>
    </row>
    <row r="4622">
      <c r="A4622" s="40">
        <f t="array" ref="A4622">IFNA(index(PlayerValues!A:A,match(IFNA(vlookup(B4622,'Special Names'!A:B,2,FALSE),B4622),PlayerValues!E:E,0)),"N/A")</f>
        <v>16184</v>
      </c>
      <c r="B4622" s="4" t="s">
        <v>445</v>
      </c>
      <c r="C4622" s="4" t="s">
        <v>287</v>
      </c>
      <c r="D4622" s="94">
        <v>3439.0</v>
      </c>
    </row>
    <row r="4623">
      <c r="A4623" s="40">
        <f t="array" ref="A4623">IFNA(index(PlayerValues!A:A,match(IFNA(vlookup(B4623,'Special Names'!A:B,2,FALSE),B4623),PlayerValues!E:E,0)),"N/A")</f>
        <v>17068</v>
      </c>
      <c r="B4623" s="4" t="s">
        <v>450</v>
      </c>
      <c r="C4623" s="4" t="s">
        <v>278</v>
      </c>
      <c r="D4623" s="94">
        <v>3385.0</v>
      </c>
    </row>
    <row r="4624">
      <c r="A4624" s="40">
        <f t="array" ref="A4624">IFNA(index(PlayerValues!A:A,match(IFNA(vlookup(B4624,'Special Names'!A:B,2,FALSE),B4624),PlayerValues!E:E,0)),"N/A")</f>
        <v>15798</v>
      </c>
      <c r="B4624" s="4" t="s">
        <v>443</v>
      </c>
      <c r="C4624" s="4" t="s">
        <v>298</v>
      </c>
      <c r="D4624" s="94">
        <v>3830.0</v>
      </c>
    </row>
    <row r="4625">
      <c r="A4625" s="40">
        <f t="array" ref="A4625">IFNA(index(PlayerValues!A:A,match(IFNA(vlookup(B4625,'Special Names'!A:B,2,FALSE),B4625),PlayerValues!E:E,0)),"N/A")</f>
        <v>14071</v>
      </c>
      <c r="B4625" s="4" t="s">
        <v>440</v>
      </c>
      <c r="C4625" s="4" t="s">
        <v>278</v>
      </c>
      <c r="D4625" s="94">
        <v>3378.0</v>
      </c>
    </row>
    <row r="4626">
      <c r="A4626" s="40">
        <f t="array" ref="A4626">IFNA(index(PlayerValues!A:A,match(IFNA(vlookup(B4626,'Special Names'!A:B,2,FALSE),B4626),PlayerValues!E:E,0)),"N/A")</f>
        <v>16622</v>
      </c>
      <c r="B4626" s="4" t="s">
        <v>517</v>
      </c>
      <c r="C4626" s="4" t="s">
        <v>287</v>
      </c>
      <c r="D4626" s="94">
        <v>3364.0</v>
      </c>
    </row>
    <row r="4627">
      <c r="A4627" s="40">
        <f t="array" ref="A4627">IFNA(index(PlayerValues!A:A,match(IFNA(vlookup(B4627,'Special Names'!A:B,2,FALSE),B4627),PlayerValues!E:E,0)),"N/A")</f>
        <v>16169</v>
      </c>
      <c r="B4627" s="4" t="s">
        <v>457</v>
      </c>
      <c r="C4627" s="4" t="s">
        <v>278</v>
      </c>
      <c r="D4627" s="94">
        <v>3362.0</v>
      </c>
    </row>
    <row r="4628">
      <c r="A4628" s="40">
        <f t="array" ref="A4628">IFNA(index(PlayerValues!A:A,match(IFNA(vlookup(B4628,'Special Names'!A:B,2,FALSE),B4628),PlayerValues!E:E,0)),"N/A")</f>
        <v>14842</v>
      </c>
      <c r="B4628" s="4" t="s">
        <v>456</v>
      </c>
      <c r="C4628" s="4" t="s">
        <v>287</v>
      </c>
      <c r="D4628" s="94">
        <v>3361.0</v>
      </c>
    </row>
    <row r="4629">
      <c r="A4629" s="40">
        <f t="array" ref="A4629">IFNA(index(PlayerValues!A:A,match(IFNA(vlookup(B4629,'Special Names'!A:B,2,FALSE),B4629),PlayerValues!E:E,0)),"N/A")</f>
        <v>16593</v>
      </c>
      <c r="B4629" s="4" t="s">
        <v>442</v>
      </c>
      <c r="C4629" s="4" t="s">
        <v>278</v>
      </c>
      <c r="D4629" s="94">
        <v>3355.0</v>
      </c>
    </row>
    <row r="4630">
      <c r="A4630" s="40">
        <f t="array" ref="A4630">IFNA(index(PlayerValues!A:A,match(IFNA(vlookup(B4630,'Special Names'!A:B,2,FALSE),B4630),PlayerValues!E:E,0)),"N/A")</f>
        <v>16620</v>
      </c>
      <c r="B4630" s="4" t="s">
        <v>467</v>
      </c>
      <c r="C4630" s="4" t="s">
        <v>287</v>
      </c>
      <c r="D4630" s="94">
        <v>3333.0</v>
      </c>
    </row>
    <row r="4631">
      <c r="A4631" s="40">
        <f t="array" ref="A4631">IFNA(index(PlayerValues!A:A,match(IFNA(vlookup(B4631,'Special Names'!A:B,2,FALSE),B4631),PlayerValues!E:E,0)),"N/A")</f>
        <v>11675</v>
      </c>
      <c r="B4631" s="4" t="s">
        <v>438</v>
      </c>
      <c r="C4631" s="4" t="s">
        <v>287</v>
      </c>
      <c r="D4631" s="94">
        <v>3329.0</v>
      </c>
    </row>
    <row r="4632">
      <c r="A4632" s="40">
        <f t="array" ref="A4632">IFNA(index(PlayerValues!A:A,match(IFNA(vlookup(B4632,'Special Names'!A:B,2,FALSE),B4632),PlayerValues!E:E,0)),"N/A")</f>
        <v>17074</v>
      </c>
      <c r="B4632" s="4" t="s">
        <v>475</v>
      </c>
      <c r="C4632" s="4" t="s">
        <v>287</v>
      </c>
      <c r="D4632" s="94">
        <v>3329.0</v>
      </c>
    </row>
    <row r="4633">
      <c r="A4633" s="40">
        <f t="array" ref="A4633">IFNA(index(PlayerValues!A:A,match(IFNA(vlookup(B4633,'Special Names'!A:B,2,FALSE),B4633),PlayerValues!E:E,0)),"N/A")</f>
        <v>15261</v>
      </c>
      <c r="B4633" s="4" t="s">
        <v>466</v>
      </c>
      <c r="C4633" s="4" t="s">
        <v>278</v>
      </c>
      <c r="D4633" s="94">
        <v>3325.0</v>
      </c>
    </row>
    <row r="4634">
      <c r="A4634" s="40">
        <f t="array" ref="A4634">IFNA(index(PlayerValues!A:A,match(IFNA(vlookup(B4634,'Special Names'!A:B,2,FALSE),B4634),PlayerValues!E:E,0)),"N/A")</f>
        <v>16597</v>
      </c>
      <c r="B4634" s="4" t="s">
        <v>427</v>
      </c>
      <c r="C4634" s="4" t="s">
        <v>278</v>
      </c>
      <c r="D4634" s="94">
        <v>3313.0</v>
      </c>
    </row>
    <row r="4635">
      <c r="A4635" s="40">
        <f t="array" ref="A4635">IFNA(index(PlayerValues!A:A,match(IFNA(vlookup(B4635,'Special Names'!A:B,2,FALSE),B4635),PlayerValues!E:E,0)),"N/A")</f>
        <v>11671</v>
      </c>
      <c r="B4635" s="4" t="s">
        <v>463</v>
      </c>
      <c r="C4635" s="4" t="s">
        <v>287</v>
      </c>
      <c r="D4635" s="94">
        <v>3312.0</v>
      </c>
    </row>
    <row r="4636">
      <c r="A4636" s="40" t="str">
        <f t="array" ref="A4636">IFNA(index(PlayerValues!A:A,match(IFNA(vlookup(B4636,'Special Names'!A:B,2,FALSE),B4636),PlayerValues!E:E,0)),"N/A")</f>
        <v>N/A</v>
      </c>
      <c r="B4636" s="4" t="s">
        <v>82</v>
      </c>
      <c r="C4636" s="4" t="s">
        <v>325</v>
      </c>
      <c r="D4636" s="94">
        <v>3312.0</v>
      </c>
    </row>
    <row r="4637">
      <c r="A4637" s="40">
        <f t="array" ref="A4637">IFNA(index(PlayerValues!A:A,match(IFNA(vlookup(B4637,'Special Names'!A:B,2,FALSE),B4637),PlayerValues!E:E,0)),"N/A")</f>
        <v>13299</v>
      </c>
      <c r="B4637" s="4" t="s">
        <v>448</v>
      </c>
      <c r="C4637" s="4" t="s">
        <v>298</v>
      </c>
      <c r="D4637" s="94">
        <v>3728.0</v>
      </c>
    </row>
    <row r="4638">
      <c r="A4638" s="40" t="str">
        <f t="array" ref="A4638">IFNA(index(PlayerValues!A:A,match(IFNA(vlookup(B4638,'Special Names'!A:B,2,FALSE),B4638),PlayerValues!E:E,0)),"N/A")</f>
        <v>N/A</v>
      </c>
      <c r="B4638" s="4" t="s">
        <v>108</v>
      </c>
      <c r="C4638" s="4" t="s">
        <v>325</v>
      </c>
      <c r="D4638" s="94">
        <v>3216.0</v>
      </c>
    </row>
    <row r="4639">
      <c r="A4639" s="40">
        <f t="array" ref="A4639">IFNA(index(PlayerValues!A:A,match(IFNA(vlookup(B4639,'Special Names'!A:B,2,FALSE),B4639),PlayerValues!E:E,0)),"N/A")</f>
        <v>15799</v>
      </c>
      <c r="B4639" s="4" t="s">
        <v>468</v>
      </c>
      <c r="C4639" s="4" t="s">
        <v>298</v>
      </c>
      <c r="D4639" s="94">
        <v>3644.0</v>
      </c>
    </row>
    <row r="4640">
      <c r="A4640" s="40">
        <f t="array" ref="A4640">IFNA(index(PlayerValues!A:A,match(IFNA(vlookup(B4640,'Special Names'!A:B,2,FALSE),B4640),PlayerValues!E:E,0)),"N/A")</f>
        <v>15742</v>
      </c>
      <c r="B4640" s="4" t="s">
        <v>447</v>
      </c>
      <c r="C4640" s="4" t="s">
        <v>278</v>
      </c>
      <c r="D4640" s="94">
        <v>3198.0</v>
      </c>
    </row>
    <row r="4641">
      <c r="A4641" s="40">
        <f t="array" ref="A4641">IFNA(index(PlayerValues!A:A,match(IFNA(vlookup(B4641,'Special Names'!A:B,2,FALSE),B4641),PlayerValues!E:E,0)),"N/A")</f>
        <v>17477</v>
      </c>
      <c r="B4641" s="4" t="s">
        <v>452</v>
      </c>
      <c r="C4641" s="4" t="s">
        <v>278</v>
      </c>
      <c r="D4641" s="94">
        <v>3180.0</v>
      </c>
    </row>
    <row r="4642">
      <c r="A4642" s="40" t="str">
        <f t="array" ref="A4642">IFNA(index(PlayerValues!A:A,match(IFNA(vlookup(B4642,'Special Names'!A:B,2,FALSE),B4642),PlayerValues!E:E,0)),"N/A")</f>
        <v>N/A</v>
      </c>
      <c r="B4642" s="4" t="s">
        <v>97</v>
      </c>
      <c r="C4642" s="4" t="s">
        <v>325</v>
      </c>
      <c r="D4642" s="94">
        <v>3173.0</v>
      </c>
    </row>
    <row r="4643">
      <c r="A4643" s="40">
        <f t="array" ref="A4643">IFNA(index(PlayerValues!A:A,match(IFNA(vlookup(B4643,'Special Names'!A:B,2,FALSE),B4643),PlayerValues!E:E,0)),"N/A")</f>
        <v>16809</v>
      </c>
      <c r="B4643" s="4" t="s">
        <v>455</v>
      </c>
      <c r="C4643" s="4" t="s">
        <v>287</v>
      </c>
      <c r="D4643" s="94">
        <v>3158.0</v>
      </c>
    </row>
    <row r="4644">
      <c r="A4644" s="40">
        <f t="array" ref="A4644">IFNA(index(PlayerValues!A:A,match(IFNA(vlookup(B4644,'Special Names'!A:B,2,FALSE),B4644),PlayerValues!E:E,0)),"N/A")</f>
        <v>14823</v>
      </c>
      <c r="B4644" s="4" t="s">
        <v>459</v>
      </c>
      <c r="C4644" s="4" t="s">
        <v>278</v>
      </c>
      <c r="D4644" s="94">
        <v>3151.0</v>
      </c>
    </row>
    <row r="4645">
      <c r="A4645" s="40">
        <f t="array" ref="A4645">IFNA(index(PlayerValues!A:A,match(IFNA(vlookup(B4645,'Special Names'!A:B,2,FALSE),B4645),PlayerValues!E:E,0)),"N/A")</f>
        <v>16213</v>
      </c>
      <c r="B4645" s="4" t="s">
        <v>458</v>
      </c>
      <c r="C4645" s="4" t="s">
        <v>298</v>
      </c>
      <c r="D4645" s="94">
        <v>3570.0</v>
      </c>
    </row>
    <row r="4646">
      <c r="A4646" s="40">
        <f t="array" ref="A4646">IFNA(index(PlayerValues!A:A,match(IFNA(vlookup(B4646,'Special Names'!A:B,2,FALSE),B4646),PlayerValues!E:E,0)),"N/A")</f>
        <v>13630</v>
      </c>
      <c r="B4646" s="4" t="s">
        <v>465</v>
      </c>
      <c r="C4646" s="4" t="s">
        <v>287</v>
      </c>
      <c r="D4646" s="94">
        <v>3108.0</v>
      </c>
    </row>
    <row r="4647">
      <c r="A4647" s="40">
        <f t="array" ref="A4647">IFNA(index(PlayerValues!A:A,match(IFNA(vlookup(B4647,'Special Names'!A:B,2,FALSE),B4647),PlayerValues!E:E,0)),"N/A")</f>
        <v>15779</v>
      </c>
      <c r="B4647" s="4" t="s">
        <v>461</v>
      </c>
      <c r="C4647" s="4" t="s">
        <v>287</v>
      </c>
      <c r="D4647" s="94">
        <v>3088.0</v>
      </c>
    </row>
    <row r="4648">
      <c r="A4648" s="40">
        <f t="array" ref="A4648">IFNA(index(PlayerValues!A:A,match(IFNA(vlookup(B4648,'Special Names'!A:B,2,FALSE),B4648),PlayerValues!E:E,0)),"N/A")</f>
        <v>16583</v>
      </c>
      <c r="B4648" s="4" t="s">
        <v>493</v>
      </c>
      <c r="C4648" s="4" t="s">
        <v>283</v>
      </c>
      <c r="D4648" s="94">
        <v>3075.0</v>
      </c>
    </row>
    <row r="4649">
      <c r="A4649" s="40">
        <f t="array" ref="A4649">IFNA(index(PlayerValues!A:A,match(IFNA(vlookup(B4649,'Special Names'!A:B,2,FALSE),B4649),PlayerValues!E:E,0)),"N/A")</f>
        <v>16628</v>
      </c>
      <c r="B4649" s="4" t="s">
        <v>490</v>
      </c>
      <c r="C4649" s="4" t="s">
        <v>287</v>
      </c>
      <c r="D4649" s="94">
        <v>3074.0</v>
      </c>
    </row>
    <row r="4650">
      <c r="A4650" s="40">
        <f t="array" ref="A4650">IFNA(index(PlayerValues!A:A,match(IFNA(vlookup(B4650,'Special Names'!A:B,2,FALSE),B4650),PlayerValues!E:E,0)),"N/A")</f>
        <v>17506</v>
      </c>
      <c r="B4650" s="4" t="s">
        <v>471</v>
      </c>
      <c r="C4650" s="4" t="s">
        <v>287</v>
      </c>
      <c r="D4650" s="94">
        <v>3059.0</v>
      </c>
    </row>
    <row r="4651">
      <c r="A4651" s="40">
        <f t="array" ref="A4651">IFNA(index(PlayerValues!A:A,match(IFNA(vlookup(B4651,'Special Names'!A:B,2,FALSE),B4651),PlayerValues!E:E,0)),"N/A")</f>
        <v>14127</v>
      </c>
      <c r="B4651" s="4" t="s">
        <v>486</v>
      </c>
      <c r="C4651" s="4" t="s">
        <v>287</v>
      </c>
      <c r="D4651" s="94">
        <v>3056.0</v>
      </c>
    </row>
    <row r="4652">
      <c r="A4652" s="40">
        <f t="array" ref="A4652">IFNA(index(PlayerValues!A:A,match(IFNA(vlookup(B4652,'Special Names'!A:B,2,FALSE),B4652),PlayerValues!E:E,0)),"N/A")</f>
        <v>17512</v>
      </c>
      <c r="B4652" s="4" t="s">
        <v>483</v>
      </c>
      <c r="C4652" s="4" t="s">
        <v>287</v>
      </c>
      <c r="D4652" s="94">
        <v>3038.0</v>
      </c>
    </row>
    <row r="4653">
      <c r="A4653" s="40" t="str">
        <f t="array" ref="A4653">IFNA(index(PlayerValues!A:A,match(IFNA(vlookup(B4653,'Special Names'!A:B,2,FALSE),B4653),PlayerValues!E:E,0)),"N/A")</f>
        <v>N/A</v>
      </c>
      <c r="B4653" s="4" t="s">
        <v>84</v>
      </c>
      <c r="C4653" s="4" t="s">
        <v>325</v>
      </c>
      <c r="D4653" s="94">
        <v>2989.0</v>
      </c>
    </row>
    <row r="4654">
      <c r="A4654" s="40" t="str">
        <f t="array" ref="A4654">IFNA(index(PlayerValues!A:A,match(IFNA(vlookup(B4654,'Special Names'!A:B,2,FALSE),B4654),PlayerValues!E:E,0)),"N/A")</f>
        <v>N/A</v>
      </c>
      <c r="B4654" s="4" t="s">
        <v>109</v>
      </c>
      <c r="C4654" s="4" t="s">
        <v>325</v>
      </c>
      <c r="D4654" s="94">
        <v>2986.0</v>
      </c>
    </row>
    <row r="4655">
      <c r="A4655" s="40">
        <f t="array" ref="A4655">IFNA(index(PlayerValues!A:A,match(IFNA(vlookup(B4655,'Special Names'!A:B,2,FALSE),B4655),PlayerValues!E:E,0)),"N/A")</f>
        <v>16269</v>
      </c>
      <c r="B4655" s="4" t="s">
        <v>481</v>
      </c>
      <c r="C4655" s="4" t="s">
        <v>298</v>
      </c>
      <c r="D4655" s="94">
        <v>3406.0</v>
      </c>
    </row>
    <row r="4656">
      <c r="A4656" s="40">
        <f t="array" ref="A4656">IFNA(index(PlayerValues!A:A,match(IFNA(vlookup(B4656,'Special Names'!A:B,2,FALSE),B4656),PlayerValues!E:E,0)),"N/A")</f>
        <v>14800</v>
      </c>
      <c r="B4656" s="4" t="s">
        <v>472</v>
      </c>
      <c r="C4656" s="4" t="s">
        <v>278</v>
      </c>
      <c r="D4656" s="94">
        <v>2965.0</v>
      </c>
    </row>
    <row r="4657">
      <c r="A4657" s="40">
        <f t="array" ref="A4657">IFNA(index(PlayerValues!A:A,match(IFNA(vlookup(B4657,'Special Names'!A:B,2,FALSE),B4657),PlayerValues!E:E,0)),"N/A")</f>
        <v>17503</v>
      </c>
      <c r="B4657" s="4" t="s">
        <v>480</v>
      </c>
      <c r="C4657" s="4" t="s">
        <v>287</v>
      </c>
      <c r="D4657" s="94">
        <v>2964.0</v>
      </c>
    </row>
    <row r="4658">
      <c r="A4658" s="40">
        <f t="array" ref="A4658">IFNA(index(PlayerValues!A:A,match(IFNA(vlookup(B4658,'Special Names'!A:B,2,FALSE),B4658),PlayerValues!E:E,0)),"N/A")</f>
        <v>17256</v>
      </c>
      <c r="B4658" s="4" t="s">
        <v>462</v>
      </c>
      <c r="C4658" s="4" t="s">
        <v>278</v>
      </c>
      <c r="D4658" s="94">
        <v>2952.0</v>
      </c>
    </row>
    <row r="4659">
      <c r="A4659" s="40">
        <f t="array" ref="A4659">IFNA(index(PlayerValues!A:A,match(IFNA(vlookup(B4659,'Special Names'!A:B,2,FALSE),B4659),PlayerValues!E:E,0)),"N/A")</f>
        <v>15259</v>
      </c>
      <c r="B4659" s="4" t="s">
        <v>453</v>
      </c>
      <c r="C4659" s="4" t="s">
        <v>278</v>
      </c>
      <c r="D4659" s="94">
        <v>2943.0</v>
      </c>
    </row>
    <row r="4660">
      <c r="A4660" s="40">
        <f t="array" ref="A4660">IFNA(index(PlayerValues!A:A,match(IFNA(vlookup(B4660,'Special Names'!A:B,2,FALSE),B4660),PlayerValues!E:E,0)),"N/A")</f>
        <v>15761</v>
      </c>
      <c r="B4660" s="4" t="s">
        <v>491</v>
      </c>
      <c r="C4660" s="4" t="s">
        <v>287</v>
      </c>
      <c r="D4660" s="94">
        <v>2921.0</v>
      </c>
    </row>
    <row r="4661">
      <c r="A4661" s="40">
        <f t="array" ref="A4661">IFNA(index(PlayerValues!A:A,match(IFNA(vlookup(B4661,'Special Names'!A:B,2,FALSE),B4661),PlayerValues!E:E,0)),"N/A")</f>
        <v>13163</v>
      </c>
      <c r="B4661" s="4" t="s">
        <v>473</v>
      </c>
      <c r="C4661" s="4" t="s">
        <v>287</v>
      </c>
      <c r="D4661" s="94">
        <v>2913.0</v>
      </c>
    </row>
    <row r="4662">
      <c r="A4662" s="40">
        <f t="array" ref="A4662">IFNA(index(PlayerValues!A:A,match(IFNA(vlookup(B4662,'Special Names'!A:B,2,FALSE),B4662),PlayerValues!E:E,0)),"N/A")</f>
        <v>15255</v>
      </c>
      <c r="B4662" s="4" t="s">
        <v>477</v>
      </c>
      <c r="C4662" s="4" t="s">
        <v>278</v>
      </c>
      <c r="D4662" s="94">
        <v>2912.0</v>
      </c>
    </row>
    <row r="4663">
      <c r="A4663" s="40">
        <f t="array" ref="A4663">IFNA(index(PlayerValues!A:A,match(IFNA(vlookup(B4663,'Special Names'!A:B,2,FALSE),B4663),PlayerValues!E:E,0)),"N/A")</f>
        <v>17476</v>
      </c>
      <c r="B4663" s="4" t="s">
        <v>494</v>
      </c>
      <c r="C4663" s="4" t="s">
        <v>278</v>
      </c>
      <c r="D4663" s="94">
        <v>2903.0</v>
      </c>
    </row>
    <row r="4664">
      <c r="A4664" s="40">
        <f t="array" ref="A4664">IFNA(index(PlayerValues!A:A,match(IFNA(vlookup(B4664,'Special Names'!A:B,2,FALSE),B4664),PlayerValues!E:E,0)),"N/A")</f>
        <v>14085</v>
      </c>
      <c r="B4664" s="4" t="s">
        <v>489</v>
      </c>
      <c r="C4664" s="4" t="s">
        <v>278</v>
      </c>
      <c r="D4664" s="94">
        <v>2828.0</v>
      </c>
    </row>
    <row r="4665">
      <c r="A4665" s="40">
        <f t="array" ref="A4665">IFNA(index(PlayerValues!A:A,match(IFNA(vlookup(B4665,'Special Names'!A:B,2,FALSE),B4665),PlayerValues!E:E,0)),"N/A")</f>
        <v>15889</v>
      </c>
      <c r="B4665" s="4" t="s">
        <v>503</v>
      </c>
      <c r="C4665" s="4" t="s">
        <v>298</v>
      </c>
      <c r="D4665" s="94">
        <v>3225.0</v>
      </c>
    </row>
    <row r="4666">
      <c r="A4666" s="40" t="str">
        <f t="array" ref="A4666">IFNA(index(PlayerValues!A:A,match(IFNA(vlookup(B4666,'Special Names'!A:B,2,FALSE),B4666),PlayerValues!E:E,0)),"N/A")</f>
        <v>N/A</v>
      </c>
      <c r="B4666" s="4" t="s">
        <v>85</v>
      </c>
      <c r="C4666" s="4" t="s">
        <v>325</v>
      </c>
      <c r="D4666" s="94">
        <v>2809.0</v>
      </c>
    </row>
    <row r="4667">
      <c r="A4667" s="40" t="str">
        <f t="array" ref="A4667">IFNA(index(PlayerValues!A:A,match(IFNA(vlookup(B4667,'Special Names'!A:B,2,FALSE),B4667),PlayerValues!E:E,0)),"N/A")</f>
        <v>N/A</v>
      </c>
      <c r="B4667" s="4" t="s">
        <v>110</v>
      </c>
      <c r="C4667" s="4" t="s">
        <v>325</v>
      </c>
      <c r="D4667" s="94">
        <v>2799.0</v>
      </c>
    </row>
    <row r="4668">
      <c r="A4668" s="40">
        <f t="array" ref="A4668">IFNA(index(PlayerValues!A:A,match(IFNA(vlookup(B4668,'Special Names'!A:B,2,FALSE),B4668),PlayerValues!E:E,0)),"N/A")</f>
        <v>17505</v>
      </c>
      <c r="B4668" s="4" t="s">
        <v>528</v>
      </c>
      <c r="C4668" s="4" t="s">
        <v>287</v>
      </c>
      <c r="D4668" s="94">
        <v>2786.0</v>
      </c>
    </row>
    <row r="4669">
      <c r="A4669" s="40">
        <f t="array" ref="A4669">IFNA(index(PlayerValues!A:A,match(IFNA(vlookup(B4669,'Special Names'!A:B,2,FALSE),B4669),PlayerValues!E:E,0)),"N/A")</f>
        <v>14778</v>
      </c>
      <c r="B4669" s="4" t="s">
        <v>564</v>
      </c>
      <c r="C4669" s="4" t="s">
        <v>283</v>
      </c>
      <c r="D4669" s="94">
        <v>2780.0</v>
      </c>
    </row>
    <row r="4670">
      <c r="A4670" s="40">
        <f t="array" ref="A4670">IFNA(index(PlayerValues!A:A,match(IFNA(vlookup(B4670,'Special Names'!A:B,2,FALSE),B4670),PlayerValues!E:E,0)),"N/A")</f>
        <v>13671</v>
      </c>
      <c r="B4670" s="4" t="s">
        <v>506</v>
      </c>
      <c r="C4670" s="4" t="s">
        <v>298</v>
      </c>
      <c r="D4670" s="94">
        <v>3189.0</v>
      </c>
    </row>
    <row r="4671">
      <c r="A4671" s="40">
        <f t="array" ref="A4671">IFNA(index(PlayerValues!A:A,match(IFNA(vlookup(B4671,'Special Names'!A:B,2,FALSE),B4671),PlayerValues!E:E,0)),"N/A")</f>
        <v>16080</v>
      </c>
      <c r="B4671" s="4" t="s">
        <v>499</v>
      </c>
      <c r="C4671" s="4" t="s">
        <v>287</v>
      </c>
      <c r="D4671" s="94">
        <v>2764.0</v>
      </c>
    </row>
    <row r="4672">
      <c r="A4672" s="40">
        <f t="array" ref="A4672">IFNA(index(PlayerValues!A:A,match(IFNA(vlookup(B4672,'Special Names'!A:B,2,FALSE),B4672),PlayerValues!E:E,0)),"N/A")</f>
        <v>17157</v>
      </c>
      <c r="B4672" s="4" t="s">
        <v>524</v>
      </c>
      <c r="C4672" s="4" t="s">
        <v>287</v>
      </c>
      <c r="D4672" s="94">
        <v>2763.0</v>
      </c>
    </row>
    <row r="4673">
      <c r="A4673" s="40">
        <f t="array" ref="A4673">IFNA(index(PlayerValues!A:A,match(IFNA(vlookup(B4673,'Special Names'!A:B,2,FALSE),B4673),PlayerValues!E:E,0)),"N/A")</f>
        <v>15721</v>
      </c>
      <c r="B4673" s="4" t="s">
        <v>504</v>
      </c>
      <c r="C4673" s="4" t="s">
        <v>278</v>
      </c>
      <c r="D4673" s="94">
        <v>2753.0</v>
      </c>
    </row>
    <row r="4674">
      <c r="A4674" s="40">
        <f t="array" ref="A4674">IFNA(index(PlayerValues!A:A,match(IFNA(vlookup(B4674,'Special Names'!A:B,2,FALSE),B4674),PlayerValues!E:E,0)),"N/A")</f>
        <v>16723</v>
      </c>
      <c r="B4674" s="4" t="s">
        <v>502</v>
      </c>
      <c r="C4674" s="4" t="s">
        <v>298</v>
      </c>
      <c r="D4674" s="94">
        <v>3165.0</v>
      </c>
    </row>
    <row r="4675">
      <c r="A4675" s="40">
        <f t="array" ref="A4675">IFNA(index(PlayerValues!A:A,match(IFNA(vlookup(B4675,'Special Names'!A:B,2,FALSE),B4675),PlayerValues!E:E,0)),"N/A")</f>
        <v>17047</v>
      </c>
      <c r="B4675" s="4" t="s">
        <v>510</v>
      </c>
      <c r="C4675" s="4" t="s">
        <v>278</v>
      </c>
      <c r="D4675" s="94">
        <v>2750.0</v>
      </c>
    </row>
    <row r="4676">
      <c r="A4676" s="40">
        <f t="array" ref="A4676">IFNA(index(PlayerValues!A:A,match(IFNA(vlookup(B4676,'Special Names'!A:B,2,FALSE),B4676),PlayerValues!E:E,0)),"N/A")</f>
        <v>15712</v>
      </c>
      <c r="B4676" s="4" t="s">
        <v>488</v>
      </c>
      <c r="C4676" s="4" t="s">
        <v>278</v>
      </c>
      <c r="D4676" s="94">
        <v>2744.0</v>
      </c>
    </row>
    <row r="4677">
      <c r="A4677" s="40">
        <f t="array" ref="A4677">IFNA(index(PlayerValues!A:A,match(IFNA(vlookup(B4677,'Special Names'!A:B,2,FALSE),B4677),PlayerValues!E:E,0)),"N/A")</f>
        <v>17072</v>
      </c>
      <c r="B4677" s="4" t="s">
        <v>508</v>
      </c>
      <c r="C4677" s="4" t="s">
        <v>287</v>
      </c>
      <c r="D4677" s="94">
        <v>2739.0</v>
      </c>
    </row>
    <row r="4678">
      <c r="A4678" s="40">
        <f t="array" ref="A4678">IFNA(index(PlayerValues!A:A,match(IFNA(vlookup(B4678,'Special Names'!A:B,2,FALSE),B4678),PlayerValues!E:E,0)),"N/A")</f>
        <v>16584</v>
      </c>
      <c r="B4678" s="4" t="s">
        <v>569</v>
      </c>
      <c r="C4678" s="4" t="s">
        <v>283</v>
      </c>
      <c r="D4678" s="94">
        <v>2733.0</v>
      </c>
    </row>
    <row r="4679">
      <c r="A4679" s="40">
        <f t="array" ref="A4679">IFNA(index(PlayerValues!A:A,match(IFNA(vlookup(B4679,'Special Names'!A:B,2,FALSE),B4679),PlayerValues!E:E,0)),"N/A")</f>
        <v>17053</v>
      </c>
      <c r="B4679" s="4" t="s">
        <v>484</v>
      </c>
      <c r="C4679" s="4" t="s">
        <v>278</v>
      </c>
      <c r="D4679" s="94">
        <v>2726.0</v>
      </c>
    </row>
    <row r="4680">
      <c r="A4680" s="40">
        <f t="array" ref="A4680">IFNA(index(PlayerValues!A:A,match(IFNA(vlookup(B4680,'Special Names'!A:B,2,FALSE),B4680),PlayerValues!E:E,0)),"N/A")</f>
        <v>17514</v>
      </c>
      <c r="B4680" s="4" t="s">
        <v>422</v>
      </c>
      <c r="C4680" s="4" t="s">
        <v>287</v>
      </c>
      <c r="D4680" s="94">
        <v>2725.0</v>
      </c>
    </row>
    <row r="4681">
      <c r="A4681" s="40">
        <f t="array" ref="A4681">IFNA(index(PlayerValues!A:A,match(IFNA(vlookup(B4681,'Special Names'!A:B,2,FALSE),B4681),PlayerValues!E:E,0)),"N/A")</f>
        <v>14138</v>
      </c>
      <c r="B4681" s="4" t="s">
        <v>531</v>
      </c>
      <c r="C4681" s="4" t="s">
        <v>298</v>
      </c>
      <c r="D4681" s="94">
        <v>3137.0</v>
      </c>
    </row>
    <row r="4682">
      <c r="A4682" s="40">
        <f t="array" ref="A4682">IFNA(index(PlayerValues!A:A,match(IFNA(vlookup(B4682,'Special Names'!A:B,2,FALSE),B4682),PlayerValues!E:E,0)),"N/A")</f>
        <v>17080</v>
      </c>
      <c r="B4682" s="4" t="s">
        <v>532</v>
      </c>
      <c r="C4682" s="4" t="s">
        <v>287</v>
      </c>
      <c r="D4682" s="94">
        <v>2720.0</v>
      </c>
    </row>
    <row r="4683">
      <c r="A4683" s="40">
        <f t="array" ref="A4683">IFNA(index(PlayerValues!A:A,match(IFNA(vlookup(B4683,'Special Names'!A:B,2,FALSE),B4683),PlayerValues!E:E,0)),"N/A")</f>
        <v>17511</v>
      </c>
      <c r="B4683" s="4" t="s">
        <v>485</v>
      </c>
      <c r="C4683" s="4" t="s">
        <v>287</v>
      </c>
      <c r="D4683" s="94">
        <v>2718.0</v>
      </c>
    </row>
    <row r="4684">
      <c r="A4684" s="40">
        <f t="array" ref="A4684">IFNA(index(PlayerValues!A:A,match(IFNA(vlookup(B4684,'Special Names'!A:B,2,FALSE),B4684),PlayerValues!E:E,0)),"N/A")</f>
        <v>17031</v>
      </c>
      <c r="B4684" s="4" t="s">
        <v>535</v>
      </c>
      <c r="C4684" s="4" t="s">
        <v>283</v>
      </c>
      <c r="D4684" s="94">
        <v>2714.0</v>
      </c>
    </row>
    <row r="4685">
      <c r="A4685" s="40">
        <f t="array" ref="A4685">IFNA(index(PlayerValues!A:A,match(IFNA(vlookup(B4685,'Special Names'!A:B,2,FALSE),B4685),PlayerValues!E:E,0)),"N/A")</f>
        <v>17507</v>
      </c>
      <c r="B4685" s="4" t="s">
        <v>495</v>
      </c>
      <c r="C4685" s="4" t="s">
        <v>287</v>
      </c>
      <c r="D4685" s="94">
        <v>2703.0</v>
      </c>
    </row>
    <row r="4686">
      <c r="A4686" s="40">
        <f t="array" ref="A4686">IFNA(index(PlayerValues!A:A,match(IFNA(vlookup(B4686,'Special Names'!A:B,2,FALSE),B4686),PlayerValues!E:E,0)),"N/A")</f>
        <v>15241</v>
      </c>
      <c r="B4686" s="4" t="s">
        <v>546</v>
      </c>
      <c r="C4686" s="4" t="s">
        <v>283</v>
      </c>
      <c r="D4686" s="94">
        <v>2672.0</v>
      </c>
    </row>
    <row r="4687">
      <c r="A4687" s="40">
        <f t="array" ref="A4687">IFNA(index(PlayerValues!A:A,match(IFNA(vlookup(B4687,'Special Names'!A:B,2,FALSE),B4687),PlayerValues!E:E,0)),"N/A")</f>
        <v>16596</v>
      </c>
      <c r="B4687" s="4" t="s">
        <v>501</v>
      </c>
      <c r="C4687" s="4" t="s">
        <v>278</v>
      </c>
      <c r="D4687" s="94">
        <v>2670.0</v>
      </c>
    </row>
    <row r="4688">
      <c r="A4688" s="40">
        <f t="array" ref="A4688">IFNA(index(PlayerValues!A:A,match(IFNA(vlookup(B4688,'Special Names'!A:B,2,FALSE),B4688),PlayerValues!E:E,0)),"N/A")</f>
        <v>17107</v>
      </c>
      <c r="B4688" s="4" t="s">
        <v>478</v>
      </c>
      <c r="C4688" s="4" t="s">
        <v>298</v>
      </c>
      <c r="D4688" s="94">
        <v>3081.0</v>
      </c>
    </row>
    <row r="4689">
      <c r="A4689" s="40">
        <f t="array" ref="A4689">IFNA(index(PlayerValues!A:A,match(IFNA(vlookup(B4689,'Special Names'!A:B,2,FALSE),B4689),PlayerValues!E:E,0)),"N/A")</f>
        <v>15972</v>
      </c>
      <c r="B4689" s="4" t="s">
        <v>469</v>
      </c>
      <c r="C4689" s="4" t="s">
        <v>278</v>
      </c>
      <c r="D4689" s="94">
        <v>2665.0</v>
      </c>
    </row>
    <row r="4690">
      <c r="A4690" s="40">
        <f t="array" ref="A4690">IFNA(index(PlayerValues!A:A,match(IFNA(vlookup(B4690,'Special Names'!A:B,2,FALSE),B4690),PlayerValues!E:E,0)),"N/A")</f>
        <v>12616</v>
      </c>
      <c r="B4690" s="4" t="s">
        <v>529</v>
      </c>
      <c r="C4690" s="4" t="s">
        <v>283</v>
      </c>
      <c r="D4690" s="94">
        <v>2652.0</v>
      </c>
    </row>
    <row r="4691">
      <c r="A4691" s="40">
        <f t="array" ref="A4691">IFNA(index(PlayerValues!A:A,match(IFNA(vlookup(B4691,'Special Names'!A:B,2,FALSE),B4691),PlayerValues!E:E,0)),"N/A")</f>
        <v>16747</v>
      </c>
      <c r="B4691" s="4" t="s">
        <v>555</v>
      </c>
      <c r="C4691" s="4" t="s">
        <v>278</v>
      </c>
      <c r="D4691" s="94">
        <v>2651.0</v>
      </c>
    </row>
    <row r="4692">
      <c r="A4692" s="40">
        <f t="array" ref="A4692">IFNA(index(PlayerValues!A:A,match(IFNA(vlookup(B4692,'Special Names'!A:B,2,FALSE),B4692),PlayerValues!E:E,0)),"N/A")</f>
        <v>17105</v>
      </c>
      <c r="B4692" s="4" t="s">
        <v>525</v>
      </c>
      <c r="C4692" s="4" t="s">
        <v>298</v>
      </c>
      <c r="D4692" s="94">
        <v>3059.0</v>
      </c>
    </row>
    <row r="4693">
      <c r="A4693" s="40" t="str">
        <f t="array" ref="A4693">IFNA(index(PlayerValues!A:A,match(IFNA(vlookup(B4693,'Special Names'!A:B,2,FALSE),B4693),PlayerValues!E:E,0)),"N/A")</f>
        <v>N/A</v>
      </c>
      <c r="B4693" s="4" t="s">
        <v>98</v>
      </c>
      <c r="C4693" s="4" t="s">
        <v>325</v>
      </c>
      <c r="D4693" s="94">
        <v>2640.0</v>
      </c>
    </row>
    <row r="4694">
      <c r="A4694" s="40">
        <f t="array" ref="A4694">IFNA(index(PlayerValues!A:A,match(IFNA(vlookup(B4694,'Special Names'!A:B,2,FALSE),B4694),PlayerValues!E:E,0)),"N/A")</f>
        <v>16174</v>
      </c>
      <c r="B4694" s="4" t="s">
        <v>505</v>
      </c>
      <c r="C4694" s="4" t="s">
        <v>278</v>
      </c>
      <c r="D4694" s="94">
        <v>2638.0</v>
      </c>
    </row>
    <row r="4695">
      <c r="A4695" s="40">
        <f t="array" ref="A4695">IFNA(index(PlayerValues!A:A,match(IFNA(vlookup(B4695,'Special Names'!A:B,2,FALSE),B4695),PlayerValues!E:E,0)),"N/A")</f>
        <v>17098</v>
      </c>
      <c r="B4695" s="4" t="s">
        <v>533</v>
      </c>
      <c r="C4695" s="4" t="s">
        <v>287</v>
      </c>
      <c r="D4695" s="94">
        <v>2637.0</v>
      </c>
    </row>
    <row r="4696">
      <c r="A4696" s="40">
        <f t="array" ref="A4696">IFNA(index(PlayerValues!A:A,match(IFNA(vlookup(B4696,'Special Names'!A:B,2,FALSE),B4696),PlayerValues!E:E,0)),"N/A")</f>
        <v>14833</v>
      </c>
      <c r="B4696" s="4" t="s">
        <v>553</v>
      </c>
      <c r="C4696" s="4" t="s">
        <v>287</v>
      </c>
      <c r="D4696" s="94">
        <v>2608.0</v>
      </c>
    </row>
    <row r="4697">
      <c r="A4697" s="40">
        <f t="array" ref="A4697">IFNA(index(PlayerValues!A:A,match(IFNA(vlookup(B4697,'Special Names'!A:B,2,FALSE),B4697),PlayerValues!E:E,0)),"N/A")</f>
        <v>14860</v>
      </c>
      <c r="B4697" s="4" t="s">
        <v>554</v>
      </c>
      <c r="C4697" s="4" t="s">
        <v>287</v>
      </c>
      <c r="D4697" s="94">
        <v>2606.0</v>
      </c>
    </row>
    <row r="4698">
      <c r="A4698" s="40">
        <f t="array" ref="A4698">IFNA(index(PlayerValues!A:A,match(IFNA(vlookup(B4698,'Special Names'!A:B,2,FALSE),B4698),PlayerValues!E:E,0)),"N/A")</f>
        <v>16165</v>
      </c>
      <c r="B4698" s="4" t="s">
        <v>520</v>
      </c>
      <c r="C4698" s="4" t="s">
        <v>278</v>
      </c>
      <c r="D4698" s="94">
        <v>2597.0</v>
      </c>
    </row>
    <row r="4699">
      <c r="A4699" s="40">
        <f t="array" ref="A4699">IFNA(index(PlayerValues!A:A,match(IFNA(vlookup(B4699,'Special Names'!A:B,2,FALSE),B4699),PlayerValues!E:E,0)),"N/A")</f>
        <v>16619</v>
      </c>
      <c r="B4699" s="4" t="s">
        <v>538</v>
      </c>
      <c r="C4699" s="4" t="s">
        <v>287</v>
      </c>
      <c r="D4699" s="94">
        <v>2594.0</v>
      </c>
    </row>
    <row r="4700">
      <c r="A4700" s="40">
        <f t="array" ref="A4700">IFNA(index(PlayerValues!A:A,match(IFNA(vlookup(B4700,'Special Names'!A:B,2,FALSE),B4700),PlayerValues!E:E,0)),"N/A")</f>
        <v>13674</v>
      </c>
      <c r="B4700" s="4" t="s">
        <v>511</v>
      </c>
      <c r="C4700" s="4" t="s">
        <v>298</v>
      </c>
      <c r="D4700" s="94">
        <v>2998.0</v>
      </c>
    </row>
    <row r="4701">
      <c r="A4701" s="40">
        <f t="array" ref="A4701">IFNA(index(PlayerValues!A:A,match(IFNA(vlookup(B4701,'Special Names'!A:B,2,FALSE),B4701),PlayerValues!E:E,0)),"N/A")</f>
        <v>17478</v>
      </c>
      <c r="B4701" s="4" t="s">
        <v>527</v>
      </c>
      <c r="C4701" s="4" t="s">
        <v>278</v>
      </c>
      <c r="D4701" s="94">
        <v>2585.0</v>
      </c>
    </row>
    <row r="4702">
      <c r="A4702" s="40">
        <f t="array" ref="A4702">IFNA(index(PlayerValues!A:A,match(IFNA(vlookup(B4702,'Special Names'!A:B,2,FALSE),B4702),PlayerValues!E:E,0)),"N/A")</f>
        <v>17474</v>
      </c>
      <c r="B4702" s="4" t="s">
        <v>513</v>
      </c>
      <c r="C4702" s="4" t="s">
        <v>278</v>
      </c>
      <c r="D4702" s="94">
        <v>2568.0</v>
      </c>
    </row>
    <row r="4703">
      <c r="A4703" s="40">
        <f t="array" ref="A4703">IFNA(index(PlayerValues!A:A,match(IFNA(vlookup(B4703,'Special Names'!A:B,2,FALSE),B4703),PlayerValues!E:E,0)),"N/A")</f>
        <v>16684</v>
      </c>
      <c r="B4703" s="4" t="s">
        <v>500</v>
      </c>
      <c r="C4703" s="4" t="s">
        <v>287</v>
      </c>
      <c r="D4703" s="94">
        <v>2543.0</v>
      </c>
    </row>
    <row r="4704">
      <c r="A4704" s="40">
        <f t="array" ref="A4704">IFNA(index(PlayerValues!A:A,match(IFNA(vlookup(B4704,'Special Names'!A:B,2,FALSE),B4704),PlayerValues!E:E,0)),"N/A")</f>
        <v>16626</v>
      </c>
      <c r="B4704" s="4" t="s">
        <v>515</v>
      </c>
      <c r="C4704" s="4" t="s">
        <v>287</v>
      </c>
      <c r="D4704" s="94">
        <v>2542.0</v>
      </c>
    </row>
    <row r="4705">
      <c r="A4705" s="40">
        <f t="array" ref="A4705">IFNA(index(PlayerValues!A:A,match(IFNA(vlookup(B4705,'Special Names'!A:B,2,FALSE),B4705),PlayerValues!E:E,0)),"N/A")</f>
        <v>16193</v>
      </c>
      <c r="B4705" s="4" t="s">
        <v>487</v>
      </c>
      <c r="C4705" s="4" t="s">
        <v>287</v>
      </c>
      <c r="D4705" s="94">
        <v>2539.0</v>
      </c>
    </row>
    <row r="4706">
      <c r="A4706" s="40">
        <f t="array" ref="A4706">IFNA(index(PlayerValues!A:A,match(IFNA(vlookup(B4706,'Special Names'!A:B,2,FALSE),B4706),PlayerValues!E:E,0)),"N/A")</f>
        <v>16204</v>
      </c>
      <c r="B4706" s="4" t="s">
        <v>530</v>
      </c>
      <c r="C4706" s="4" t="s">
        <v>287</v>
      </c>
      <c r="D4706" s="94">
        <v>2533.0</v>
      </c>
    </row>
    <row r="4707">
      <c r="A4707" s="40">
        <f t="array" ref="A4707">IFNA(index(PlayerValues!A:A,match(IFNA(vlookup(B4707,'Special Names'!A:B,2,FALSE),B4707),PlayerValues!E:E,0)),"N/A")</f>
        <v>17520</v>
      </c>
      <c r="B4707" s="4" t="s">
        <v>518</v>
      </c>
      <c r="C4707" s="4" t="s">
        <v>287</v>
      </c>
      <c r="D4707" s="94">
        <v>2526.0</v>
      </c>
    </row>
    <row r="4708">
      <c r="A4708" s="40" t="str">
        <f t="array" ref="A4708">IFNA(index(PlayerValues!A:A,match(IFNA(vlookup(B4708,'Special Names'!A:B,2,FALSE),B4708),PlayerValues!E:E,0)),"N/A")</f>
        <v>N/A</v>
      </c>
      <c r="B4708" s="4" t="s">
        <v>99</v>
      </c>
      <c r="C4708" s="4" t="s">
        <v>325</v>
      </c>
      <c r="D4708" s="94">
        <v>2518.0</v>
      </c>
    </row>
    <row r="4709">
      <c r="A4709" s="40">
        <f t="array" ref="A4709">IFNA(index(PlayerValues!A:A,match(IFNA(vlookup(B4709,'Special Names'!A:B,2,FALSE),B4709),PlayerValues!E:E,0)),"N/A")</f>
        <v>11244</v>
      </c>
      <c r="B4709" s="4" t="s">
        <v>519</v>
      </c>
      <c r="C4709" s="4" t="s">
        <v>298</v>
      </c>
      <c r="D4709" s="94">
        <v>2907.0</v>
      </c>
    </row>
    <row r="4710">
      <c r="A4710" s="40">
        <f t="array" ref="A4710">IFNA(index(PlayerValues!A:A,match(IFNA(vlookup(B4710,'Special Names'!A:B,2,FALSE),B4710),PlayerValues!E:E,0)),"N/A")</f>
        <v>16178</v>
      </c>
      <c r="B4710" s="4" t="s">
        <v>507</v>
      </c>
      <c r="C4710" s="4" t="s">
        <v>278</v>
      </c>
      <c r="D4710" s="94">
        <v>2502.0</v>
      </c>
    </row>
    <row r="4711">
      <c r="A4711" s="40">
        <f t="array" ref="A4711">IFNA(index(PlayerValues!A:A,match(IFNA(vlookup(B4711,'Special Names'!A:B,2,FALSE),B4711),PlayerValues!E:E,0)),"N/A")</f>
        <v>17078</v>
      </c>
      <c r="B4711" s="4" t="s">
        <v>543</v>
      </c>
      <c r="C4711" s="4" t="s">
        <v>287</v>
      </c>
      <c r="D4711" s="94">
        <v>2489.0</v>
      </c>
    </row>
    <row r="4712">
      <c r="A4712" s="40">
        <f t="array" ref="A4712">IFNA(index(PlayerValues!A:A,match(IFNA(vlookup(B4712,'Special Names'!A:B,2,FALSE),B4712),PlayerValues!E:E,0)),"N/A")</f>
        <v>16287</v>
      </c>
      <c r="B4712" s="4" t="s">
        <v>516</v>
      </c>
      <c r="C4712" s="4" t="s">
        <v>287</v>
      </c>
      <c r="D4712" s="94">
        <v>2484.0</v>
      </c>
    </row>
    <row r="4713">
      <c r="A4713" s="40">
        <f t="array" ref="A4713">IFNA(index(PlayerValues!A:A,match(IFNA(vlookup(B4713,'Special Names'!A:B,2,FALSE),B4713),PlayerValues!E:E,0)),"N/A")</f>
        <v>17073</v>
      </c>
      <c r="B4713" s="4" t="s">
        <v>547</v>
      </c>
      <c r="C4713" s="4" t="s">
        <v>287</v>
      </c>
      <c r="D4713" s="94">
        <v>2483.0</v>
      </c>
    </row>
    <row r="4714">
      <c r="A4714" s="40">
        <f t="array" ref="A4714">IFNA(index(PlayerValues!A:A,match(IFNA(vlookup(B4714,'Special Names'!A:B,2,FALSE),B4714),PlayerValues!E:E,0)),"N/A")</f>
        <v>17509</v>
      </c>
      <c r="B4714" s="4" t="s">
        <v>551</v>
      </c>
      <c r="C4714" s="4" t="s">
        <v>287</v>
      </c>
      <c r="D4714" s="94">
        <v>2483.0</v>
      </c>
    </row>
    <row r="4715">
      <c r="A4715" s="40">
        <f t="array" ref="A4715">IFNA(index(PlayerValues!A:A,match(IFNA(vlookup(B4715,'Special Names'!A:B,2,FALSE),B4715),PlayerValues!E:E,0)),"N/A")</f>
        <v>16164</v>
      </c>
      <c r="B4715" s="4" t="s">
        <v>512</v>
      </c>
      <c r="C4715" s="4" t="s">
        <v>278</v>
      </c>
      <c r="D4715" s="94">
        <v>2475.0</v>
      </c>
    </row>
    <row r="4716">
      <c r="A4716" s="40">
        <f t="array" ref="A4716">IFNA(index(PlayerValues!A:A,match(IFNA(vlookup(B4716,'Special Names'!A:B,2,FALSE),B4716),PlayerValues!E:E,0)),"N/A")</f>
        <v>17082</v>
      </c>
      <c r="B4716" s="4" t="s">
        <v>498</v>
      </c>
      <c r="C4716" s="4" t="s">
        <v>287</v>
      </c>
      <c r="D4716" s="94">
        <v>2462.0</v>
      </c>
    </row>
    <row r="4717">
      <c r="A4717" s="40">
        <f t="array" ref="A4717">IFNA(index(PlayerValues!A:A,match(IFNA(vlookup(B4717,'Special Names'!A:B,2,FALSE),B4717),PlayerValues!E:E,0)),"N/A")</f>
        <v>17508</v>
      </c>
      <c r="B4717" s="4" t="s">
        <v>534</v>
      </c>
      <c r="C4717" s="4" t="s">
        <v>287</v>
      </c>
      <c r="D4717" s="94">
        <v>2445.0</v>
      </c>
    </row>
    <row r="4718">
      <c r="A4718" s="40">
        <f t="array" ref="A4718">IFNA(index(PlayerValues!A:A,match(IFNA(vlookup(B4718,'Special Names'!A:B,2,FALSE),B4718),PlayerValues!E:E,0)),"N/A")</f>
        <v>15786</v>
      </c>
      <c r="B4718" s="4" t="s">
        <v>521</v>
      </c>
      <c r="C4718" s="4" t="s">
        <v>287</v>
      </c>
      <c r="D4718" s="94">
        <v>2429.0</v>
      </c>
    </row>
    <row r="4719">
      <c r="A4719" s="40">
        <f t="array" ref="A4719">IFNA(index(PlayerValues!A:A,match(IFNA(vlookup(B4719,'Special Names'!A:B,2,FALSE),B4719),PlayerValues!E:E,0)),"N/A")</f>
        <v>16617</v>
      </c>
      <c r="B4719" s="4" t="s">
        <v>541</v>
      </c>
      <c r="C4719" s="4" t="s">
        <v>287</v>
      </c>
      <c r="D4719" s="94">
        <v>2423.0</v>
      </c>
    </row>
    <row r="4720">
      <c r="A4720" s="40">
        <f t="array" ref="A4720">IFNA(index(PlayerValues!A:A,match(IFNA(vlookup(B4720,'Special Names'!A:B,2,FALSE),B4720),PlayerValues!E:E,0)),"N/A")</f>
        <v>17108</v>
      </c>
      <c r="B4720" s="4" t="s">
        <v>542</v>
      </c>
      <c r="C4720" s="4" t="s">
        <v>298</v>
      </c>
      <c r="D4720" s="94">
        <v>2822.0</v>
      </c>
    </row>
    <row r="4721">
      <c r="A4721" s="40">
        <f t="array" ref="A4721">IFNA(index(PlayerValues!A:A,match(IFNA(vlookup(B4721,'Special Names'!A:B,2,FALSE),B4721),PlayerValues!E:E,0)),"N/A")</f>
        <v>13192</v>
      </c>
      <c r="B4721" s="4" t="s">
        <v>563</v>
      </c>
      <c r="C4721" s="4" t="s">
        <v>298</v>
      </c>
      <c r="D4721" s="94">
        <v>2820.0</v>
      </c>
    </row>
    <row r="4722">
      <c r="A4722" s="40">
        <f t="array" ref="A4722">IFNA(index(PlayerValues!A:A,match(IFNA(vlookup(B4722,'Special Names'!A:B,2,FALSE),B4722),PlayerValues!E:E,0)),"N/A")</f>
        <v>17171</v>
      </c>
      <c r="B4722" s="4" t="s">
        <v>561</v>
      </c>
      <c r="C4722" s="4" t="s">
        <v>287</v>
      </c>
      <c r="D4722" s="94">
        <v>2410.0</v>
      </c>
    </row>
    <row r="4723">
      <c r="A4723" s="40">
        <f t="array" ref="A4723">IFNA(index(PlayerValues!A:A,match(IFNA(vlookup(B4723,'Special Names'!A:B,2,FALSE),B4723),PlayerValues!E:E,0)),"N/A")</f>
        <v>16195</v>
      </c>
      <c r="B4723" s="4" t="s">
        <v>509</v>
      </c>
      <c r="C4723" s="4" t="s">
        <v>287</v>
      </c>
      <c r="D4723" s="94">
        <v>2401.0</v>
      </c>
    </row>
    <row r="4724">
      <c r="A4724" s="40" t="str">
        <f t="array" ref="A4724">IFNA(index(PlayerValues!A:A,match(IFNA(vlookup(B4724,'Special Names'!A:B,2,FALSE),B4724),PlayerValues!E:E,0)),"N/A")</f>
        <v>N/A</v>
      </c>
      <c r="B4724" s="4" t="s">
        <v>557</v>
      </c>
      <c r="C4724" s="4" t="s">
        <v>278</v>
      </c>
      <c r="D4724" s="94">
        <v>2384.0</v>
      </c>
    </row>
    <row r="4725">
      <c r="A4725" s="40">
        <f t="array" ref="A4725">IFNA(index(PlayerValues!A:A,match(IFNA(vlookup(B4725,'Special Names'!A:B,2,FALSE),B4725),PlayerValues!E:E,0)),"N/A")</f>
        <v>17106</v>
      </c>
      <c r="B4725" s="4" t="s">
        <v>550</v>
      </c>
      <c r="C4725" s="4" t="s">
        <v>298</v>
      </c>
      <c r="D4725" s="94">
        <v>2779.0</v>
      </c>
    </row>
    <row r="4726">
      <c r="A4726" s="40">
        <f t="array" ref="A4726">IFNA(index(PlayerValues!A:A,match(IFNA(vlookup(B4726,'Special Names'!A:B,2,FALSE),B4726),PlayerValues!E:E,0)),"N/A")</f>
        <v>17517</v>
      </c>
      <c r="B4726" s="4" t="s">
        <v>454</v>
      </c>
      <c r="C4726" s="4" t="s">
        <v>287</v>
      </c>
      <c r="D4726" s="94">
        <v>2378.0</v>
      </c>
    </row>
    <row r="4727">
      <c r="A4727" s="40">
        <f t="array" ref="A4727">IFNA(index(PlayerValues!A:A,match(IFNA(vlookup(B4727,'Special Names'!A:B,2,FALSE),B4727),PlayerValues!E:E,0)),"N/A")</f>
        <v>17134</v>
      </c>
      <c r="B4727" s="4" t="s">
        <v>548</v>
      </c>
      <c r="C4727" s="4" t="s">
        <v>287</v>
      </c>
      <c r="D4727" s="94">
        <v>2369.0</v>
      </c>
    </row>
    <row r="4728">
      <c r="A4728" s="40">
        <f t="array" ref="A4728">IFNA(index(PlayerValues!A:A,match(IFNA(vlookup(B4728,'Special Names'!A:B,2,FALSE),B4728),PlayerValues!E:E,0)),"N/A")</f>
        <v>17048</v>
      </c>
      <c r="B4728" s="4" t="s">
        <v>539</v>
      </c>
      <c r="C4728" s="4" t="s">
        <v>278</v>
      </c>
      <c r="D4728" s="94">
        <v>2359.0</v>
      </c>
    </row>
    <row r="4729">
      <c r="A4729" s="40">
        <f t="array" ref="A4729">IFNA(index(PlayerValues!A:A,match(IFNA(vlookup(B4729,'Special Names'!A:B,2,FALSE),B4729),PlayerValues!E:E,0)),"N/A")</f>
        <v>17547</v>
      </c>
      <c r="B4729" s="4" t="s">
        <v>552</v>
      </c>
      <c r="C4729" s="4" t="s">
        <v>298</v>
      </c>
      <c r="D4729" s="94">
        <v>2751.0</v>
      </c>
    </row>
    <row r="4730">
      <c r="A4730" s="40">
        <f t="array" ref="A4730">IFNA(index(PlayerValues!A:A,match(IFNA(vlookup(B4730,'Special Names'!A:B,2,FALSE),B4730),PlayerValues!E:E,0)),"N/A")</f>
        <v>15716</v>
      </c>
      <c r="B4730" s="4" t="s">
        <v>545</v>
      </c>
      <c r="C4730" s="4" t="s">
        <v>278</v>
      </c>
      <c r="D4730" s="94">
        <v>2344.0</v>
      </c>
    </row>
    <row r="4731">
      <c r="A4731" s="40">
        <f t="array" ref="A4731">IFNA(index(PlayerValues!A:A,match(IFNA(vlookup(B4731,'Special Names'!A:B,2,FALSE),B4731),PlayerValues!E:E,0)),"N/A")</f>
        <v>15749</v>
      </c>
      <c r="B4731" s="4" t="s">
        <v>574</v>
      </c>
      <c r="C4731" s="4" t="s">
        <v>278</v>
      </c>
      <c r="D4731" s="94">
        <v>2329.0</v>
      </c>
    </row>
    <row r="4732">
      <c r="A4732" s="40">
        <f t="array" ref="A4732">IFNA(index(PlayerValues!A:A,match(IFNA(vlookup(B4732,'Special Names'!A:B,2,FALSE),B4732),PlayerValues!E:E,0)),"N/A")</f>
        <v>14861</v>
      </c>
      <c r="B4732" s="4" t="s">
        <v>523</v>
      </c>
      <c r="C4732" s="4" t="s">
        <v>298</v>
      </c>
      <c r="D4732" s="94">
        <v>2715.0</v>
      </c>
    </row>
    <row r="4733">
      <c r="A4733" s="40">
        <f t="array" ref="A4733">IFNA(index(PlayerValues!A:A,match(IFNA(vlookup(B4733,'Special Names'!A:B,2,FALSE),B4733),PlayerValues!E:E,0)),"N/A")</f>
        <v>15802</v>
      </c>
      <c r="B4733" s="4" t="s">
        <v>566</v>
      </c>
      <c r="C4733" s="4" t="s">
        <v>298</v>
      </c>
      <c r="D4733" s="94">
        <v>2711.0</v>
      </c>
    </row>
    <row r="4734">
      <c r="A4734" s="40">
        <f t="array" ref="A4734">IFNA(index(PlayerValues!A:A,match(IFNA(vlookup(B4734,'Special Names'!A:B,2,FALSE),B4734),PlayerValues!E:E,0)),"N/A")</f>
        <v>13319</v>
      </c>
      <c r="B4734" s="4" t="s">
        <v>549</v>
      </c>
      <c r="C4734" s="4" t="s">
        <v>278</v>
      </c>
      <c r="D4734" s="94">
        <v>2290.0</v>
      </c>
    </row>
    <row r="4735">
      <c r="A4735" s="40">
        <f t="array" ref="A4735">IFNA(index(PlayerValues!A:A,match(IFNA(vlookup(B4735,'Special Names'!A:B,2,FALSE),B4735),PlayerValues!E:E,0)),"N/A")</f>
        <v>17482</v>
      </c>
      <c r="B4735" s="4" t="s">
        <v>460</v>
      </c>
      <c r="C4735" s="4" t="s">
        <v>278</v>
      </c>
      <c r="D4735" s="94">
        <v>2284.0</v>
      </c>
    </row>
    <row r="4736">
      <c r="A4736" s="40">
        <f t="array" ref="A4736">IFNA(index(PlayerValues!A:A,match(IFNA(vlookup(B4736,'Special Names'!A:B,2,FALSE),B4736),PlayerValues!E:E,0)),"N/A")</f>
        <v>16166</v>
      </c>
      <c r="B4736" s="4" t="s">
        <v>567</v>
      </c>
      <c r="C4736" s="4" t="s">
        <v>278</v>
      </c>
      <c r="D4736" s="94">
        <v>2278.0</v>
      </c>
    </row>
    <row r="4737">
      <c r="A4737" s="40" t="str">
        <f t="array" ref="A4737">IFNA(index(PlayerValues!A:A,match(IFNA(vlookup(B4737,'Special Names'!A:B,2,FALSE),B4737),PlayerValues!E:E,0)),"N/A")</f>
        <v>N/A</v>
      </c>
      <c r="B4737" s="4" t="s">
        <v>86</v>
      </c>
      <c r="C4737" s="4" t="s">
        <v>325</v>
      </c>
      <c r="D4737" s="94">
        <v>2278.0</v>
      </c>
    </row>
    <row r="4738">
      <c r="A4738" s="40">
        <f t="array" ref="A4738">IFNA(index(PlayerValues!A:A,match(IFNA(vlookup(B4738,'Special Names'!A:B,2,FALSE),B4738),PlayerValues!E:E,0)),"N/A")</f>
        <v>11150</v>
      </c>
      <c r="B4738" s="4" t="s">
        <v>559</v>
      </c>
      <c r="C4738" s="4" t="s">
        <v>283</v>
      </c>
      <c r="D4738" s="94">
        <v>2264.0</v>
      </c>
    </row>
    <row r="4739">
      <c r="A4739" s="40">
        <f t="array" ref="A4739">IFNA(index(PlayerValues!A:A,match(IFNA(vlookup(B4739,'Special Names'!A:B,2,FALSE),B4739),PlayerValues!E:E,0)),"N/A")</f>
        <v>16036</v>
      </c>
      <c r="B4739" s="4" t="s">
        <v>592</v>
      </c>
      <c r="C4739" s="4" t="s">
        <v>298</v>
      </c>
      <c r="D4739" s="94">
        <v>2653.0</v>
      </c>
    </row>
    <row r="4740">
      <c r="A4740" s="40">
        <f t="array" ref="A4740">IFNA(index(PlayerValues!A:A,match(IFNA(vlookup(B4740,'Special Names'!A:B,2,FALSE),B4740),PlayerValues!E:E,0)),"N/A")</f>
        <v>16594</v>
      </c>
      <c r="B4740" s="4" t="s">
        <v>607</v>
      </c>
      <c r="C4740" s="4" t="s">
        <v>278</v>
      </c>
      <c r="D4740" s="94">
        <v>2248.0</v>
      </c>
    </row>
    <row r="4741">
      <c r="A4741" s="40" t="str">
        <f t="array" ref="A4741">IFNA(index(PlayerValues!A:A,match(IFNA(vlookup(B4741,'Special Names'!A:B,2,FALSE),B4741),PlayerValues!E:E,0)),"N/A")</f>
        <v>N/A</v>
      </c>
      <c r="B4741" s="4" t="s">
        <v>100</v>
      </c>
      <c r="C4741" s="4" t="s">
        <v>325</v>
      </c>
      <c r="D4741" s="94">
        <v>2241.0</v>
      </c>
    </row>
    <row r="4742">
      <c r="A4742" s="40">
        <f t="array" ref="A4742">IFNA(index(PlayerValues!A:A,match(IFNA(vlookup(B4742,'Special Names'!A:B,2,FALSE),B4742),PlayerValues!E:E,0)),"N/A")</f>
        <v>17033</v>
      </c>
      <c r="B4742" s="4" t="s">
        <v>570</v>
      </c>
      <c r="C4742" s="4" t="s">
        <v>283</v>
      </c>
      <c r="D4742" s="94">
        <v>2237.0</v>
      </c>
    </row>
    <row r="4743">
      <c r="A4743" s="40">
        <f t="array" ref="A4743">IFNA(index(PlayerValues!A:A,match(IFNA(vlookup(B4743,'Special Names'!A:B,2,FALSE),B4743),PlayerValues!E:E,0)),"N/A")</f>
        <v>12676</v>
      </c>
      <c r="B4743" s="4" t="s">
        <v>537</v>
      </c>
      <c r="C4743" s="4" t="s">
        <v>298</v>
      </c>
      <c r="D4743" s="94">
        <v>2627.0</v>
      </c>
    </row>
    <row r="4744">
      <c r="A4744" s="40" t="str">
        <f t="array" ref="A4744">IFNA(index(PlayerValues!A:A,match(IFNA(vlookup(B4744,'Special Names'!A:B,2,FALSE),B4744),PlayerValues!E:E,0)),"N/A")</f>
        <v>N/A</v>
      </c>
      <c r="B4744" s="4" t="s">
        <v>112</v>
      </c>
      <c r="C4744" s="4" t="s">
        <v>325</v>
      </c>
      <c r="D4744" s="94">
        <v>2211.0</v>
      </c>
    </row>
    <row r="4745">
      <c r="A4745" s="40">
        <f t="array" ref="A4745">IFNA(index(PlayerValues!A:A,match(IFNA(vlookup(B4745,'Special Names'!A:B,2,FALSE),B4745),PlayerValues!E:E,0)),"N/A")</f>
        <v>16152</v>
      </c>
      <c r="B4745" s="4" t="s">
        <v>601</v>
      </c>
      <c r="C4745" s="4" t="s">
        <v>283</v>
      </c>
      <c r="D4745" s="94">
        <v>2204.0</v>
      </c>
    </row>
    <row r="4746">
      <c r="A4746" s="40">
        <f t="array" ref="A4746">IFNA(index(PlayerValues!A:A,match(IFNA(vlookup(B4746,'Special Names'!A:B,2,FALSE),B4746),PlayerValues!E:E,0)),"N/A")</f>
        <v>16649</v>
      </c>
      <c r="B4746" s="4" t="s">
        <v>586</v>
      </c>
      <c r="C4746" s="4" t="s">
        <v>298</v>
      </c>
      <c r="D4746" s="94">
        <v>2591.0</v>
      </c>
    </row>
    <row r="4747">
      <c r="A4747" s="40">
        <f t="array" ref="A4747">IFNA(index(PlayerValues!A:A,match(IFNA(vlookup(B4747,'Special Names'!A:B,2,FALSE),B4747),PlayerValues!E:E,0)),"N/A")</f>
        <v>17466</v>
      </c>
      <c r="B4747" s="4" t="s">
        <v>492</v>
      </c>
      <c r="C4747" s="4" t="s">
        <v>283</v>
      </c>
      <c r="D4747" s="94">
        <v>2195.0</v>
      </c>
    </row>
    <row r="4748">
      <c r="A4748" s="40">
        <f t="array" ref="A4748">IFNA(index(PlayerValues!A:A,match(IFNA(vlookup(B4748,'Special Names'!A:B,2,FALSE),B4748),PlayerValues!E:E,0)),"N/A")</f>
        <v>16212</v>
      </c>
      <c r="B4748" s="4" t="s">
        <v>568</v>
      </c>
      <c r="C4748" s="4" t="s">
        <v>298</v>
      </c>
      <c r="D4748" s="94">
        <v>2584.0</v>
      </c>
    </row>
    <row r="4749">
      <c r="A4749" s="40">
        <f t="array" ref="A4749">IFNA(index(PlayerValues!A:A,match(IFNA(vlookup(B4749,'Special Names'!A:B,2,FALSE),B4749),PlayerValues!E:E,0)),"N/A")</f>
        <v>15331</v>
      </c>
      <c r="B4749" s="4" t="s">
        <v>560</v>
      </c>
      <c r="C4749" s="4" t="s">
        <v>298</v>
      </c>
      <c r="D4749" s="94">
        <v>2582.0</v>
      </c>
    </row>
    <row r="4750">
      <c r="A4750" s="40">
        <f t="array" ref="A4750">IFNA(index(PlayerValues!A:A,match(IFNA(vlookup(B4750,'Special Names'!A:B,2,FALSE),B4750),PlayerValues!E:E,0)),"N/A")</f>
        <v>16610</v>
      </c>
      <c r="B4750" s="4" t="s">
        <v>562</v>
      </c>
      <c r="C4750" s="4" t="s">
        <v>278</v>
      </c>
      <c r="D4750" s="94">
        <v>2185.0</v>
      </c>
    </row>
    <row r="4751">
      <c r="A4751" s="40">
        <f t="array" ref="A4751">IFNA(index(PlayerValues!A:A,match(IFNA(vlookup(B4751,'Special Names'!A:B,2,FALSE),B4751),PlayerValues!E:E,0)),"N/A")</f>
        <v>13772</v>
      </c>
      <c r="B4751" s="4" t="s">
        <v>544</v>
      </c>
      <c r="C4751" s="4" t="s">
        <v>298</v>
      </c>
      <c r="D4751" s="94">
        <v>2567.0</v>
      </c>
    </row>
    <row r="4752">
      <c r="A4752" s="40">
        <f t="array" ref="A4752">IFNA(index(PlayerValues!A:A,match(IFNA(vlookup(B4752,'Special Names'!A:B,2,FALSE),B4752),PlayerValues!E:E,0)),"N/A")</f>
        <v>13113</v>
      </c>
      <c r="B4752" s="4" t="s">
        <v>606</v>
      </c>
      <c r="C4752" s="4" t="s">
        <v>283</v>
      </c>
      <c r="D4752" s="94">
        <v>2165.0</v>
      </c>
    </row>
    <row r="4753">
      <c r="A4753" s="40">
        <f t="array" ref="A4753">IFNA(index(PlayerValues!A:A,match(IFNA(vlookup(B4753,'Special Names'!A:B,2,FALSE),B4753),PlayerValues!E:E,0)),"N/A")</f>
        <v>14840</v>
      </c>
      <c r="B4753" s="4" t="s">
        <v>731</v>
      </c>
      <c r="C4753" s="4" t="s">
        <v>287</v>
      </c>
      <c r="D4753" s="94">
        <v>2163.0</v>
      </c>
    </row>
    <row r="4754">
      <c r="A4754" s="40" t="str">
        <f t="array" ref="A4754">IFNA(index(PlayerValues!A:A,match(IFNA(vlookup(B4754,'Special Names'!A:B,2,FALSE),B4754),PlayerValues!E:E,0)),"N/A")</f>
        <v>N/A</v>
      </c>
      <c r="B4754" s="4" t="s">
        <v>87</v>
      </c>
      <c r="C4754" s="4" t="s">
        <v>325</v>
      </c>
      <c r="D4754" s="94">
        <v>2160.0</v>
      </c>
    </row>
    <row r="4755">
      <c r="A4755" s="40">
        <f t="array" ref="A4755">IFNA(index(PlayerValues!A:A,match(IFNA(vlookup(B4755,'Special Names'!A:B,2,FALSE),B4755),PlayerValues!E:E,0)),"N/A")</f>
        <v>16604</v>
      </c>
      <c r="B4755" s="4" t="s">
        <v>476</v>
      </c>
      <c r="C4755" s="4" t="s">
        <v>278</v>
      </c>
      <c r="D4755" s="94">
        <v>2155.0</v>
      </c>
    </row>
    <row r="4756">
      <c r="A4756" s="40">
        <f t="array" ref="A4756">IFNA(index(PlayerValues!A:A,match(IFNA(vlookup(B4756,'Special Names'!A:B,2,FALSE),B4756),PlayerValues!E:E,0)),"N/A")</f>
        <v>16757</v>
      </c>
      <c r="B4756" s="4" t="s">
        <v>558</v>
      </c>
      <c r="C4756" s="4" t="s">
        <v>278</v>
      </c>
      <c r="D4756" s="94">
        <v>2148.0</v>
      </c>
    </row>
    <row r="4757">
      <c r="A4757" s="40">
        <f t="array" ref="A4757">IFNA(index(PlayerValues!A:A,match(IFNA(vlookup(B4757,'Special Names'!A:B,2,FALSE),B4757),PlayerValues!E:E,0)),"N/A")</f>
        <v>12186</v>
      </c>
      <c r="B4757" s="4" t="s">
        <v>497</v>
      </c>
      <c r="C4757" s="4" t="s">
        <v>287</v>
      </c>
      <c r="D4757" s="94">
        <v>2145.0</v>
      </c>
    </row>
    <row r="4758">
      <c r="A4758" s="40">
        <f t="array" ref="A4758">IFNA(index(PlayerValues!A:A,match(IFNA(vlookup(B4758,'Special Names'!A:B,2,FALSE),B4758),PlayerValues!E:E,0)),"N/A")</f>
        <v>17055</v>
      </c>
      <c r="B4758" s="4" t="s">
        <v>565</v>
      </c>
      <c r="C4758" s="4" t="s">
        <v>278</v>
      </c>
      <c r="D4758" s="94">
        <v>2129.0</v>
      </c>
    </row>
    <row r="4759">
      <c r="A4759" s="40" t="str">
        <f t="array" ref="A4759">IFNA(index(PlayerValues!A:A,match(IFNA(vlookup(B4759,'Special Names'!A:B,2,FALSE),B4759),PlayerValues!E:E,0)),"N/A")</f>
        <v>N/A</v>
      </c>
      <c r="B4759" s="4" t="s">
        <v>88</v>
      </c>
      <c r="C4759" s="4" t="s">
        <v>325</v>
      </c>
      <c r="D4759" s="94">
        <v>2124.0</v>
      </c>
    </row>
    <row r="4760">
      <c r="A4760" s="40">
        <f t="array" ref="A4760">IFNA(index(PlayerValues!A:A,match(IFNA(vlookup(B4760,'Special Names'!A:B,2,FALSE),B4760),PlayerValues!E:E,0)),"N/A")</f>
        <v>16189</v>
      </c>
      <c r="B4760" s="4" t="s">
        <v>582</v>
      </c>
      <c r="C4760" s="4" t="s">
        <v>287</v>
      </c>
      <c r="D4760" s="94">
        <v>2116.0</v>
      </c>
    </row>
    <row r="4761">
      <c r="A4761" s="40">
        <f t="array" ref="A4761">IFNA(index(PlayerValues!A:A,match(IFNA(vlookup(B4761,'Special Names'!A:B,2,FALSE),B4761),PlayerValues!E:E,0)),"N/A")</f>
        <v>17079</v>
      </c>
      <c r="B4761" s="4" t="s">
        <v>572</v>
      </c>
      <c r="C4761" s="4" t="s">
        <v>287</v>
      </c>
      <c r="D4761" s="94">
        <v>2092.0</v>
      </c>
    </row>
    <row r="4762">
      <c r="A4762" s="40" t="str">
        <f t="array" ref="A4762">IFNA(index(PlayerValues!A:A,match(IFNA(vlookup(B4762,'Special Names'!A:B,2,FALSE),B4762),PlayerValues!E:E,0)),"N/A")</f>
        <v>N/A</v>
      </c>
      <c r="B4762" s="4" t="s">
        <v>113</v>
      </c>
      <c r="C4762" s="4" t="s">
        <v>325</v>
      </c>
      <c r="D4762" s="94">
        <v>2090.0</v>
      </c>
    </row>
    <row r="4763">
      <c r="A4763" s="40">
        <f t="array" ref="A4763">IFNA(index(PlayerValues!A:A,match(IFNA(vlookup(B4763,'Special Names'!A:B,2,FALSE),B4763),PlayerValues!E:E,0)),"N/A")</f>
        <v>17060</v>
      </c>
      <c r="B4763" s="4" t="s">
        <v>603</v>
      </c>
      <c r="C4763" s="4" t="s">
        <v>278</v>
      </c>
      <c r="D4763" s="94">
        <v>2066.0</v>
      </c>
    </row>
    <row r="4764">
      <c r="A4764" s="40">
        <f t="array" ref="A4764">IFNA(index(PlayerValues!A:A,match(IFNA(vlookup(B4764,'Special Names'!A:B,2,FALSE),B4764),PlayerValues!E:E,0)),"N/A")</f>
        <v>17069</v>
      </c>
      <c r="B4764" s="4" t="s">
        <v>604</v>
      </c>
      <c r="C4764" s="4" t="s">
        <v>278</v>
      </c>
      <c r="D4764" s="94">
        <v>2066.0</v>
      </c>
    </row>
    <row r="4765">
      <c r="A4765" s="40">
        <f t="array" ref="A4765">IFNA(index(PlayerValues!A:A,match(IFNA(vlookup(B4765,'Special Names'!A:B,2,FALSE),B4765),PlayerValues!E:E,0)),"N/A")</f>
        <v>15238</v>
      </c>
      <c r="B4765" s="4" t="s">
        <v>613</v>
      </c>
      <c r="C4765" s="4" t="s">
        <v>283</v>
      </c>
      <c r="D4765" s="94">
        <v>2055.0</v>
      </c>
    </row>
    <row r="4766">
      <c r="A4766" s="40">
        <f t="array" ref="A4766">IFNA(index(PlayerValues!A:A,match(IFNA(vlookup(B4766,'Special Names'!A:B,2,FALSE),B4766),PlayerValues!E:E,0)),"N/A")</f>
        <v>15293</v>
      </c>
      <c r="B4766" s="4" t="s">
        <v>578</v>
      </c>
      <c r="C4766" s="4" t="s">
        <v>287</v>
      </c>
      <c r="D4766" s="94">
        <v>2052.0</v>
      </c>
    </row>
    <row r="4767">
      <c r="A4767" s="40">
        <f t="array" ref="A4767">IFNA(index(PlayerValues!A:A,match(IFNA(vlookup(B4767,'Special Names'!A:B,2,FALSE),B4767),PlayerValues!E:E,0)),"N/A")</f>
        <v>17061</v>
      </c>
      <c r="B4767" s="4" t="s">
        <v>580</v>
      </c>
      <c r="C4767" s="4" t="s">
        <v>278</v>
      </c>
      <c r="D4767" s="94">
        <v>2049.0</v>
      </c>
    </row>
    <row r="4768">
      <c r="A4768" s="40">
        <f t="array" ref="A4768">IFNA(index(PlayerValues!A:A,match(IFNA(vlookup(B4768,'Special Names'!A:B,2,FALSE),B4768),PlayerValues!E:E,0)),"N/A")</f>
        <v>13132</v>
      </c>
      <c r="B4768" s="4" t="s">
        <v>598</v>
      </c>
      <c r="C4768" s="4" t="s">
        <v>278</v>
      </c>
      <c r="D4768" s="94">
        <v>2045.0</v>
      </c>
    </row>
    <row r="4769">
      <c r="A4769" s="40">
        <f t="array" ref="A4769">IFNA(index(PlayerValues!A:A,match(IFNA(vlookup(B4769,'Special Names'!A:B,2,FALSE),B4769),PlayerValues!E:E,0)),"N/A")</f>
        <v>17056</v>
      </c>
      <c r="B4769" s="4" t="s">
        <v>581</v>
      </c>
      <c r="C4769" s="4" t="s">
        <v>278</v>
      </c>
      <c r="D4769" s="94">
        <v>2034.0</v>
      </c>
    </row>
    <row r="4770">
      <c r="A4770" s="40">
        <f t="array" ref="A4770">IFNA(index(PlayerValues!A:A,match(IFNA(vlookup(B4770,'Special Names'!A:B,2,FALSE),B4770),PlayerValues!E:E,0)),"N/A")</f>
        <v>17046</v>
      </c>
      <c r="B4770" s="4" t="s">
        <v>602</v>
      </c>
      <c r="C4770" s="4" t="s">
        <v>278</v>
      </c>
      <c r="D4770" s="94">
        <v>2032.0</v>
      </c>
    </row>
    <row r="4771">
      <c r="A4771" s="40">
        <f t="array" ref="A4771">IFNA(index(PlayerValues!A:A,match(IFNA(vlookup(B4771,'Special Names'!A:B,2,FALSE),B4771),PlayerValues!E:E,0)),"N/A")</f>
        <v>17184</v>
      </c>
      <c r="B4771" s="4" t="s">
        <v>588</v>
      </c>
      <c r="C4771" s="4" t="s">
        <v>287</v>
      </c>
      <c r="D4771" s="94">
        <v>2032.0</v>
      </c>
    </row>
    <row r="4772">
      <c r="A4772" s="40">
        <f t="array" ref="A4772">IFNA(index(PlayerValues!A:A,match(IFNA(vlookup(B4772,'Special Names'!A:B,2,FALSE),B4772),PlayerValues!E:E,0)),"N/A")</f>
        <v>16432</v>
      </c>
      <c r="B4772" s="4" t="s">
        <v>620</v>
      </c>
      <c r="C4772" s="4" t="s">
        <v>278</v>
      </c>
      <c r="D4772" s="94">
        <v>2029.0</v>
      </c>
    </row>
    <row r="4773">
      <c r="A4773" s="40">
        <f t="array" ref="A4773">IFNA(index(PlayerValues!A:A,match(IFNA(vlookup(B4773,'Special Names'!A:B,2,FALSE),B4773),PlayerValues!E:E,0)),"N/A")</f>
        <v>14974</v>
      </c>
      <c r="B4773" s="4" t="s">
        <v>611</v>
      </c>
      <c r="C4773" s="4" t="s">
        <v>287</v>
      </c>
      <c r="D4773" s="94">
        <v>2024.0</v>
      </c>
    </row>
    <row r="4774">
      <c r="A4774" s="40">
        <f t="array" ref="A4774">IFNA(index(PlayerValues!A:A,match(IFNA(vlookup(B4774,'Special Names'!A:B,2,FALSE),B4774),PlayerValues!E:E,0)),"N/A")</f>
        <v>16643</v>
      </c>
      <c r="B4774" s="4" t="s">
        <v>609</v>
      </c>
      <c r="C4774" s="4" t="s">
        <v>298</v>
      </c>
      <c r="D4774" s="94">
        <v>2409.0</v>
      </c>
    </row>
    <row r="4775">
      <c r="A4775" s="40" t="str">
        <f t="array" ref="A4775">IFNA(index(PlayerValues!A:A,match(IFNA(vlookup(B4775,'Special Names'!A:B,2,FALSE),B4775),PlayerValues!E:E,0)),"N/A")</f>
        <v>N/A</v>
      </c>
      <c r="B4775" s="4" t="s">
        <v>114</v>
      </c>
      <c r="C4775" s="4" t="s">
        <v>325</v>
      </c>
      <c r="D4775" s="94">
        <v>2008.0</v>
      </c>
    </row>
    <row r="4776">
      <c r="A4776" s="40">
        <f t="array" ref="A4776">IFNA(index(PlayerValues!A:A,match(IFNA(vlookup(B4776,'Special Names'!A:B,2,FALSE),B4776),PlayerValues!E:E,0)),"N/A")</f>
        <v>15797</v>
      </c>
      <c r="B4776" s="4" t="s">
        <v>556</v>
      </c>
      <c r="C4776" s="4" t="s">
        <v>298</v>
      </c>
      <c r="D4776" s="94">
        <v>2391.0</v>
      </c>
    </row>
    <row r="4777">
      <c r="A4777" s="40">
        <f t="array" ref="A4777">IFNA(index(PlayerValues!A:A,match(IFNA(vlookup(B4777,'Special Names'!A:B,2,FALSE),B4777),PlayerValues!E:E,0)),"N/A")</f>
        <v>14136</v>
      </c>
      <c r="B4777" s="4" t="s">
        <v>536</v>
      </c>
      <c r="C4777" s="4" t="s">
        <v>287</v>
      </c>
      <c r="D4777" s="94">
        <v>1992.0</v>
      </c>
    </row>
    <row r="4778">
      <c r="A4778" s="40">
        <f t="array" ref="A4778">IFNA(index(PlayerValues!A:A,match(IFNA(vlookup(B4778,'Special Names'!A:B,2,FALSE),B4778),PlayerValues!E:E,0)),"N/A")</f>
        <v>14867</v>
      </c>
      <c r="B4778" s="4" t="s">
        <v>591</v>
      </c>
      <c r="C4778" s="4" t="s">
        <v>298</v>
      </c>
      <c r="D4778" s="94">
        <v>2369.0</v>
      </c>
    </row>
    <row r="4779">
      <c r="A4779" s="40">
        <f t="array" ref="A4779">IFNA(index(PlayerValues!A:A,match(IFNA(vlookup(B4779,'Special Names'!A:B,2,FALSE),B4779),PlayerValues!E:E,0)),"N/A")</f>
        <v>7836</v>
      </c>
      <c r="B4779" s="4" t="s">
        <v>590</v>
      </c>
      <c r="C4779" s="4" t="s">
        <v>283</v>
      </c>
      <c r="D4779" s="94">
        <v>1981.0</v>
      </c>
    </row>
    <row r="4780">
      <c r="A4780" s="40">
        <f t="array" ref="A4780">IFNA(index(PlayerValues!A:A,match(IFNA(vlookup(B4780,'Special Names'!A:B,2,FALSE),B4780),PlayerValues!E:E,0)),"N/A")</f>
        <v>17076</v>
      </c>
      <c r="B4780" s="4" t="s">
        <v>585</v>
      </c>
      <c r="C4780" s="4" t="s">
        <v>287</v>
      </c>
      <c r="D4780" s="94">
        <v>1981.0</v>
      </c>
    </row>
    <row r="4781">
      <c r="A4781" s="40">
        <f t="array" ref="A4781">IFNA(index(PlayerValues!A:A,match(IFNA(vlookup(B4781,'Special Names'!A:B,2,FALSE),B4781),PlayerValues!E:E,0)),"N/A")</f>
        <v>16603</v>
      </c>
      <c r="B4781" s="4" t="s">
        <v>587</v>
      </c>
      <c r="C4781" s="4" t="s">
        <v>278</v>
      </c>
      <c r="D4781" s="94">
        <v>1971.0</v>
      </c>
    </row>
    <row r="4782">
      <c r="A4782" s="40">
        <f t="array" ref="A4782">IFNA(index(PlayerValues!A:A,match(IFNA(vlookup(B4782,'Special Names'!A:B,2,FALSE),B4782),PlayerValues!E:E,0)),"N/A")</f>
        <v>17036</v>
      </c>
      <c r="B4782" s="4" t="s">
        <v>617</v>
      </c>
      <c r="C4782" s="4" t="s">
        <v>283</v>
      </c>
      <c r="D4782" s="94">
        <v>1946.0</v>
      </c>
    </row>
    <row r="4783">
      <c r="A4783" s="40">
        <f t="array" ref="A4783">IFNA(index(PlayerValues!A:A,match(IFNA(vlookup(B4783,'Special Names'!A:B,2,FALSE),B4783),PlayerValues!E:E,0)),"N/A")</f>
        <v>16342</v>
      </c>
      <c r="B4783" s="4" t="s">
        <v>583</v>
      </c>
      <c r="C4783" s="4" t="s">
        <v>287</v>
      </c>
      <c r="D4783" s="94">
        <v>1945.0</v>
      </c>
    </row>
    <row r="4784">
      <c r="A4784" s="40">
        <f t="array" ref="A4784">IFNA(index(PlayerValues!A:A,match(IFNA(vlookup(B4784,'Special Names'!A:B,2,FALSE),B4784),PlayerValues!E:E,0)),"N/A")</f>
        <v>13633</v>
      </c>
      <c r="B4784" s="4" t="s">
        <v>625</v>
      </c>
      <c r="C4784" s="4" t="s">
        <v>287</v>
      </c>
      <c r="D4784" s="94">
        <v>1940.0</v>
      </c>
    </row>
    <row r="4785">
      <c r="A4785" s="40">
        <f t="array" ref="A4785">IFNA(index(PlayerValues!A:A,match(IFNA(vlookup(B4785,'Special Names'!A:B,2,FALSE),B4785),PlayerValues!E:E,0)),"N/A")</f>
        <v>17087</v>
      </c>
      <c r="B4785" s="4" t="s">
        <v>600</v>
      </c>
      <c r="C4785" s="4" t="s">
        <v>287</v>
      </c>
      <c r="D4785" s="94">
        <v>1927.0</v>
      </c>
    </row>
    <row r="4786">
      <c r="A4786" s="40">
        <f t="array" ref="A4786">IFNA(index(PlayerValues!A:A,match(IFNA(vlookup(B4786,'Special Names'!A:B,2,FALSE),B4786),PlayerValues!E:E,0)),"N/A")</f>
        <v>17528</v>
      </c>
      <c r="B4786" s="4" t="s">
        <v>579</v>
      </c>
      <c r="C4786" s="4" t="s">
        <v>287</v>
      </c>
      <c r="D4786" s="94">
        <v>1917.0</v>
      </c>
    </row>
    <row r="4787">
      <c r="A4787" s="40">
        <f t="array" ref="A4787">IFNA(index(PlayerValues!A:A,match(IFNA(vlookup(B4787,'Special Names'!A:B,2,FALSE),B4787),PlayerValues!E:E,0)),"N/A")</f>
        <v>17481</v>
      </c>
      <c r="B4787" s="4" t="s">
        <v>540</v>
      </c>
      <c r="C4787" s="4" t="s">
        <v>278</v>
      </c>
      <c r="D4787" s="94">
        <v>1910.0</v>
      </c>
    </row>
    <row r="4788">
      <c r="A4788" s="40">
        <f t="array" ref="A4788">IFNA(index(PlayerValues!A:A,match(IFNA(vlookup(B4788,'Special Names'!A:B,2,FALSE),B4788),PlayerValues!E:E,0)),"N/A")</f>
        <v>16639</v>
      </c>
      <c r="B4788" s="4" t="s">
        <v>599</v>
      </c>
      <c r="C4788" s="4" t="s">
        <v>287</v>
      </c>
      <c r="D4788" s="94">
        <v>1908.0</v>
      </c>
    </row>
    <row r="4789">
      <c r="A4789" s="40">
        <f t="array" ref="A4789">IFNA(index(PlayerValues!A:A,match(IFNA(vlookup(B4789,'Special Names'!A:B,2,FALSE),B4789),PlayerValues!E:E,0)),"N/A")</f>
        <v>10700</v>
      </c>
      <c r="B4789" s="4" t="s">
        <v>596</v>
      </c>
      <c r="C4789" s="4" t="s">
        <v>283</v>
      </c>
      <c r="D4789" s="94">
        <v>1900.0</v>
      </c>
    </row>
    <row r="4790">
      <c r="A4790" s="40">
        <f t="array" ref="A4790">IFNA(index(PlayerValues!A:A,match(IFNA(vlookup(B4790,'Special Names'!A:B,2,FALSE),B4790),PlayerValues!E:E,0)),"N/A")</f>
        <v>16216</v>
      </c>
      <c r="B4790" s="4" t="s">
        <v>595</v>
      </c>
      <c r="C4790" s="4" t="s">
        <v>298</v>
      </c>
      <c r="D4790" s="94">
        <v>2285.0</v>
      </c>
    </row>
    <row r="4791">
      <c r="A4791" s="40">
        <f t="array" ref="A4791">IFNA(index(PlayerValues!A:A,match(IFNA(vlookup(B4791,'Special Names'!A:B,2,FALSE),B4791),PlayerValues!E:E,0)),"N/A")</f>
        <v>12801</v>
      </c>
      <c r="B4791" s="4" t="s">
        <v>722</v>
      </c>
      <c r="C4791" s="4" t="s">
        <v>287</v>
      </c>
      <c r="D4791" s="94">
        <v>1871.0</v>
      </c>
    </row>
    <row r="4792">
      <c r="A4792" s="40">
        <f t="array" ref="A4792">IFNA(index(PlayerValues!A:A,match(IFNA(vlookup(B4792,'Special Names'!A:B,2,FALSE),B4792),PlayerValues!E:E,0)),"N/A")</f>
        <v>13629</v>
      </c>
      <c r="B4792" s="4" t="s">
        <v>619</v>
      </c>
      <c r="C4792" s="4" t="s">
        <v>287</v>
      </c>
      <c r="D4792" s="94">
        <v>1871.0</v>
      </c>
    </row>
    <row r="4793">
      <c r="A4793" s="40">
        <f t="array" ref="A4793">IFNA(index(PlayerValues!A:A,match(IFNA(vlookup(B4793,'Special Names'!A:B,2,FALSE),B4793),PlayerValues!E:E,0)),"N/A")</f>
        <v>17468</v>
      </c>
      <c r="B4793" s="4" t="s">
        <v>514</v>
      </c>
      <c r="C4793" s="4" t="s">
        <v>283</v>
      </c>
      <c r="D4793" s="94">
        <v>1868.0</v>
      </c>
    </row>
    <row r="4794">
      <c r="A4794" s="40">
        <f t="array" ref="A4794">IFNA(index(PlayerValues!A:A,match(IFNA(vlookup(B4794,'Special Names'!A:B,2,FALSE),B4794),PlayerValues!E:E,0)),"N/A")</f>
        <v>14871</v>
      </c>
      <c r="B4794" s="4" t="s">
        <v>584</v>
      </c>
      <c r="C4794" s="4" t="s">
        <v>298</v>
      </c>
      <c r="D4794" s="94">
        <v>2248.0</v>
      </c>
    </row>
    <row r="4795">
      <c r="A4795" s="40">
        <f t="array" ref="A4795">IFNA(index(PlayerValues!A:A,match(IFNA(vlookup(B4795,'Special Names'!A:B,2,FALSE),B4795),PlayerValues!E:E,0)),"N/A")</f>
        <v>17467</v>
      </c>
      <c r="B4795" s="4" t="s">
        <v>575</v>
      </c>
      <c r="C4795" s="4" t="s">
        <v>283</v>
      </c>
      <c r="D4795" s="94">
        <v>1856.0</v>
      </c>
    </row>
    <row r="4796">
      <c r="A4796" s="40" t="str">
        <f t="array" ref="A4796">IFNA(index(PlayerValues!A:A,match(IFNA(vlookup(B4796,'Special Names'!A:B,2,FALSE),B4796),PlayerValues!E:E,0)),"N/A")</f>
        <v>N/A</v>
      </c>
      <c r="B4796" s="4" t="s">
        <v>101</v>
      </c>
      <c r="C4796" s="4" t="s">
        <v>325</v>
      </c>
      <c r="D4796" s="94">
        <v>1855.0</v>
      </c>
    </row>
    <row r="4797">
      <c r="A4797" s="40">
        <f t="array" ref="A4797">IFNA(index(PlayerValues!A:A,match(IFNA(vlookup(B4797,'Special Names'!A:B,2,FALSE),B4797),PlayerValues!E:E,0)),"N/A")</f>
        <v>16778</v>
      </c>
      <c r="B4797" s="4" t="s">
        <v>577</v>
      </c>
      <c r="C4797" s="4" t="s">
        <v>287</v>
      </c>
      <c r="D4797" s="94">
        <v>1848.0</v>
      </c>
    </row>
    <row r="4798">
      <c r="A4798" s="40">
        <f t="array" ref="A4798">IFNA(index(PlayerValues!A:A,match(IFNA(vlookup(B4798,'Special Names'!A:B,2,FALSE),B4798),PlayerValues!E:E,0)),"N/A")</f>
        <v>13189</v>
      </c>
      <c r="B4798" s="4" t="s">
        <v>626</v>
      </c>
      <c r="C4798" s="4" t="s">
        <v>298</v>
      </c>
      <c r="D4798" s="94">
        <v>2205.0</v>
      </c>
    </row>
    <row r="4799">
      <c r="A4799" s="40">
        <f t="array" ref="A4799">IFNA(index(PlayerValues!A:A,match(IFNA(vlookup(B4799,'Special Names'!A:B,2,FALSE),B4799),PlayerValues!E:E,0)),"N/A")</f>
        <v>17485</v>
      </c>
      <c r="B4799" s="4" t="s">
        <v>522</v>
      </c>
      <c r="C4799" s="4" t="s">
        <v>278</v>
      </c>
      <c r="D4799" s="94">
        <v>1824.0</v>
      </c>
    </row>
    <row r="4800">
      <c r="A4800" s="40">
        <f t="array" ref="A4800">IFNA(index(PlayerValues!A:A,match(IFNA(vlookup(B4800,'Special Names'!A:B,2,FALSE),B4800),PlayerValues!E:E,0)),"N/A")</f>
        <v>16752</v>
      </c>
      <c r="B4800" s="4" t="s">
        <v>597</v>
      </c>
      <c r="C4800" s="4" t="s">
        <v>278</v>
      </c>
      <c r="D4800" s="94">
        <v>1799.0</v>
      </c>
    </row>
    <row r="4801">
      <c r="A4801" s="40">
        <f t="array" ref="A4801">IFNA(index(PlayerValues!A:A,match(IFNA(vlookup(B4801,'Special Names'!A:B,2,FALSE),B4801),PlayerValues!E:E,0)),"N/A")</f>
        <v>17086</v>
      </c>
      <c r="B4801" s="4" t="s">
        <v>612</v>
      </c>
      <c r="C4801" s="4" t="s">
        <v>287</v>
      </c>
      <c r="D4801" s="94">
        <v>1799.0</v>
      </c>
    </row>
    <row r="4802">
      <c r="A4802" s="40">
        <f t="array" ref="A4802">IFNA(index(PlayerValues!A:A,match(IFNA(vlookup(B4802,'Special Names'!A:B,2,FALSE),B4802),PlayerValues!E:E,0)),"N/A")</f>
        <v>15787</v>
      </c>
      <c r="B4802" s="4" t="s">
        <v>610</v>
      </c>
      <c r="C4802" s="4" t="s">
        <v>287</v>
      </c>
      <c r="D4802" s="94">
        <v>1797.0</v>
      </c>
    </row>
    <row r="4803">
      <c r="A4803" s="40">
        <f t="array" ref="A4803">IFNA(index(PlayerValues!A:A,match(IFNA(vlookup(B4803,'Special Names'!A:B,2,FALSE),B4803),PlayerValues!E:E,0)),"N/A")</f>
        <v>15788</v>
      </c>
      <c r="B4803" s="4" t="s">
        <v>627</v>
      </c>
      <c r="C4803" s="4" t="s">
        <v>287</v>
      </c>
      <c r="D4803" s="94">
        <v>1792.0</v>
      </c>
    </row>
    <row r="4804">
      <c r="A4804" s="40">
        <f t="array" ref="A4804">IFNA(index(PlayerValues!A:A,match(IFNA(vlookup(B4804,'Special Names'!A:B,2,FALSE),B4804),PlayerValues!E:E,0)),"N/A")</f>
        <v>16215</v>
      </c>
      <c r="B4804" s="4" t="s">
        <v>637</v>
      </c>
      <c r="C4804" s="4" t="s">
        <v>298</v>
      </c>
      <c r="D4804" s="94">
        <v>2166.0</v>
      </c>
    </row>
    <row r="4805">
      <c r="A4805" s="40">
        <f t="array" ref="A4805">IFNA(index(PlayerValues!A:A,match(IFNA(vlookup(B4805,'Special Names'!A:B,2,FALSE),B4805),PlayerValues!E:E,0)),"N/A")</f>
        <v>16171</v>
      </c>
      <c r="B4805" s="4" t="s">
        <v>618</v>
      </c>
      <c r="C4805" s="4" t="s">
        <v>278</v>
      </c>
      <c r="D4805" s="94">
        <v>1777.0</v>
      </c>
    </row>
    <row r="4806">
      <c r="A4806" s="40">
        <f t="array" ref="A4806">IFNA(index(PlayerValues!A:A,match(IFNA(vlookup(B4806,'Special Names'!A:B,2,FALSE),B4806),PlayerValues!E:E,0)),"N/A")</f>
        <v>17548</v>
      </c>
      <c r="B4806" s="4" t="s">
        <v>594</v>
      </c>
      <c r="C4806" s="4" t="s">
        <v>298</v>
      </c>
      <c r="D4806" s="94">
        <v>2147.0</v>
      </c>
    </row>
    <row r="4807">
      <c r="A4807" s="40">
        <f t="array" ref="A4807">IFNA(index(PlayerValues!A:A,match(IFNA(vlookup(B4807,'Special Names'!A:B,2,FALSE),B4807),PlayerValues!E:E,0)),"N/A")</f>
        <v>16644</v>
      </c>
      <c r="B4807" s="4" t="s">
        <v>640</v>
      </c>
      <c r="C4807" s="4" t="s">
        <v>298</v>
      </c>
      <c r="D4807" s="94">
        <v>2146.0</v>
      </c>
    </row>
    <row r="4808">
      <c r="A4808" s="40">
        <f t="array" ref="A4808">IFNA(index(PlayerValues!A:A,match(IFNA(vlookup(B4808,'Special Names'!A:B,2,FALSE),B4808),PlayerValues!E:E,0)),"N/A")</f>
        <v>13146</v>
      </c>
      <c r="B4808" s="4" t="s">
        <v>652</v>
      </c>
      <c r="C4808" s="4" t="s">
        <v>278</v>
      </c>
      <c r="D4808" s="94">
        <v>1756.0</v>
      </c>
    </row>
    <row r="4809">
      <c r="A4809" s="40">
        <f t="array" ref="A4809">IFNA(index(PlayerValues!A:A,match(IFNA(vlookup(B4809,'Special Names'!A:B,2,FALSE),B4809),PlayerValues!E:E,0)),"N/A")</f>
        <v>17049</v>
      </c>
      <c r="B4809" s="4" t="s">
        <v>624</v>
      </c>
      <c r="C4809" s="4" t="s">
        <v>278</v>
      </c>
      <c r="D4809" s="94">
        <v>1749.0</v>
      </c>
    </row>
    <row r="4810">
      <c r="A4810" s="40">
        <f t="array" ref="A4810">IFNA(index(PlayerValues!A:A,match(IFNA(vlookup(B4810,'Special Names'!A:B,2,FALSE),B4810),PlayerValues!E:E,0)),"N/A")</f>
        <v>16191</v>
      </c>
      <c r="B4810" s="4" t="s">
        <v>666</v>
      </c>
      <c r="C4810" s="4" t="s">
        <v>287</v>
      </c>
      <c r="D4810" s="94">
        <v>1745.0</v>
      </c>
    </row>
    <row r="4811">
      <c r="A4811" s="40" t="str">
        <f t="array" ref="A4811">IFNA(index(PlayerValues!A:A,match(IFNA(vlookup(B4811,'Special Names'!A:B,2,FALSE),B4811),PlayerValues!E:E,0)),"N/A")</f>
        <v>N/A</v>
      </c>
      <c r="B4811" s="4" t="s">
        <v>102</v>
      </c>
      <c r="C4811" s="4" t="s">
        <v>325</v>
      </c>
      <c r="D4811" s="94">
        <v>1738.0</v>
      </c>
    </row>
    <row r="4812">
      <c r="A4812" s="40">
        <f t="array" ref="A4812">IFNA(index(PlayerValues!A:A,match(IFNA(vlookup(B4812,'Special Names'!A:B,2,FALSE),B4812),PlayerValues!E:E,0)),"N/A")</f>
        <v>13164</v>
      </c>
      <c r="B4812" s="4" t="s">
        <v>632</v>
      </c>
      <c r="C4812" s="4" t="s">
        <v>287</v>
      </c>
      <c r="D4812" s="94">
        <v>1724.0</v>
      </c>
    </row>
    <row r="4813">
      <c r="A4813" s="40">
        <f t="array" ref="A4813">IFNA(index(PlayerValues!A:A,match(IFNA(vlookup(B4813,'Special Names'!A:B,2,FALSE),B4813),PlayerValues!E:E,0)),"N/A")</f>
        <v>17034</v>
      </c>
      <c r="B4813" s="4" t="s">
        <v>643</v>
      </c>
      <c r="C4813" s="4" t="s">
        <v>283</v>
      </c>
      <c r="D4813" s="94">
        <v>1714.0</v>
      </c>
    </row>
    <row r="4814">
      <c r="A4814" s="40" t="str">
        <f t="array" ref="A4814">IFNA(index(PlayerValues!A:A,match(IFNA(vlookup(B4814,'Special Names'!A:B,2,FALSE),B4814),PlayerValues!E:E,0)),"N/A")</f>
        <v>N/A</v>
      </c>
      <c r="B4814" s="4" t="s">
        <v>89</v>
      </c>
      <c r="C4814" s="4" t="s">
        <v>325</v>
      </c>
      <c r="D4814" s="94">
        <v>1712.0</v>
      </c>
    </row>
    <row r="4815">
      <c r="A4815" s="40">
        <f t="array" ref="A4815">IFNA(index(PlayerValues!A:A,match(IFNA(vlookup(B4815,'Special Names'!A:B,2,FALSE),B4815),PlayerValues!E:E,0)),"N/A")</f>
        <v>17035</v>
      </c>
      <c r="B4815" s="4" t="s">
        <v>650</v>
      </c>
      <c r="C4815" s="4" t="s">
        <v>283</v>
      </c>
      <c r="D4815" s="94">
        <v>1704.0</v>
      </c>
    </row>
    <row r="4816">
      <c r="A4816" s="40">
        <f t="array" ref="A4816">IFNA(index(PlayerValues!A:A,match(IFNA(vlookup(B4816,'Special Names'!A:B,2,FALSE),B4816),PlayerValues!E:E,0)),"N/A")</f>
        <v>14143</v>
      </c>
      <c r="B4816" s="4" t="s">
        <v>635</v>
      </c>
      <c r="C4816" s="4" t="s">
        <v>298</v>
      </c>
      <c r="D4816" s="94">
        <v>2080.0</v>
      </c>
    </row>
    <row r="4817">
      <c r="A4817" s="40">
        <f t="array" ref="A4817">IFNA(index(PlayerValues!A:A,match(IFNA(vlookup(B4817,'Special Names'!A:B,2,FALSE),B4817),PlayerValues!E:E,0)),"N/A")</f>
        <v>17607</v>
      </c>
      <c r="B4817" s="4" t="s">
        <v>526</v>
      </c>
      <c r="C4817" s="4" t="s">
        <v>298</v>
      </c>
      <c r="D4817" s="94">
        <v>2078.0</v>
      </c>
    </row>
    <row r="4818">
      <c r="A4818" s="40">
        <f t="array" ref="A4818">IFNA(index(PlayerValues!A:A,match(IFNA(vlookup(B4818,'Special Names'!A:B,2,FALSE),B4818),PlayerValues!E:E,0)),"N/A")</f>
        <v>17567</v>
      </c>
      <c r="B4818" s="4" t="s">
        <v>571</v>
      </c>
      <c r="C4818" s="4" t="s">
        <v>298</v>
      </c>
      <c r="D4818" s="94">
        <v>2078.0</v>
      </c>
    </row>
    <row r="4819">
      <c r="A4819" s="40">
        <f t="array" ref="A4819">IFNA(index(PlayerValues!A:A,match(IFNA(vlookup(B4819,'Special Names'!A:B,2,FALSE),B4819),PlayerValues!E:E,0)),"N/A")</f>
        <v>16585</v>
      </c>
      <c r="B4819" s="4" t="s">
        <v>623</v>
      </c>
      <c r="C4819" s="4" t="s">
        <v>283</v>
      </c>
      <c r="D4819" s="94">
        <v>1695.0</v>
      </c>
    </row>
    <row r="4820">
      <c r="A4820" s="40">
        <f t="array" ref="A4820">IFNA(index(PlayerValues!A:A,match(IFNA(vlookup(B4820,'Special Names'!A:B,2,FALSE),B4820),PlayerValues!E:E,0)),"N/A")</f>
        <v>17064</v>
      </c>
      <c r="B4820" s="4" t="s">
        <v>631</v>
      </c>
      <c r="C4820" s="4" t="s">
        <v>278</v>
      </c>
      <c r="D4820" s="94">
        <v>1682.0</v>
      </c>
    </row>
    <row r="4821">
      <c r="A4821" s="40" t="str">
        <f t="array" ref="A4821">IFNA(index(PlayerValues!A:A,match(IFNA(vlookup(B4821,'Special Names'!A:B,2,FALSE),B4821),PlayerValues!E:E,0)),"N/A")</f>
        <v>N/A</v>
      </c>
      <c r="B4821" s="4" t="s">
        <v>103</v>
      </c>
      <c r="C4821" s="4" t="s">
        <v>325</v>
      </c>
      <c r="D4821" s="94">
        <v>1674.0</v>
      </c>
    </row>
    <row r="4822">
      <c r="A4822" s="40">
        <f t="array" ref="A4822">IFNA(index(PlayerValues!A:A,match(IFNA(vlookup(B4822,'Special Names'!A:B,2,FALSE),B4822),PlayerValues!E:E,0)),"N/A")</f>
        <v>17058</v>
      </c>
      <c r="B4822" s="4" t="s">
        <v>641</v>
      </c>
      <c r="C4822" s="4" t="s">
        <v>278</v>
      </c>
      <c r="D4822" s="94">
        <v>1665.0</v>
      </c>
    </row>
    <row r="4823">
      <c r="A4823" s="40">
        <f t="array" ref="A4823">IFNA(index(PlayerValues!A:A,match(IFNA(vlookup(B4823,'Special Names'!A:B,2,FALSE),B4823),PlayerValues!E:E,0)),"N/A")</f>
        <v>17096</v>
      </c>
      <c r="B4823" s="4" t="s">
        <v>638</v>
      </c>
      <c r="C4823" s="4" t="s">
        <v>287</v>
      </c>
      <c r="D4823" s="94">
        <v>1656.0</v>
      </c>
    </row>
    <row r="4824">
      <c r="A4824" s="40">
        <f t="array" ref="A4824">IFNA(index(PlayerValues!A:A,match(IFNA(vlookup(B4824,'Special Names'!A:B,2,FALSE),B4824),PlayerValues!E:E,0)),"N/A")</f>
        <v>16635</v>
      </c>
      <c r="B4824" s="4" t="s">
        <v>645</v>
      </c>
      <c r="C4824" s="4" t="s">
        <v>287</v>
      </c>
      <c r="D4824" s="94">
        <v>1644.0</v>
      </c>
    </row>
    <row r="4825">
      <c r="A4825" s="40">
        <f t="array" ref="A4825">IFNA(index(PlayerValues!A:A,match(IFNA(vlookup(B4825,'Special Names'!A:B,2,FALSE),B4825),PlayerValues!E:E,0)),"N/A")</f>
        <v>16207</v>
      </c>
      <c r="B4825" s="4" t="s">
        <v>636</v>
      </c>
      <c r="C4825" s="4" t="s">
        <v>287</v>
      </c>
      <c r="D4825" s="94">
        <v>1643.0</v>
      </c>
    </row>
    <row r="4826">
      <c r="A4826" s="40" t="str">
        <f t="array" ref="A4826">IFNA(index(PlayerValues!A:A,match(IFNA(vlookup(B4826,'Special Names'!A:B,2,FALSE),B4826),PlayerValues!E:E,0)),"N/A")</f>
        <v>N/A</v>
      </c>
      <c r="B4826" s="4" t="s">
        <v>115</v>
      </c>
      <c r="C4826" s="4" t="s">
        <v>325</v>
      </c>
      <c r="D4826" s="94">
        <v>1642.0</v>
      </c>
    </row>
    <row r="4827">
      <c r="A4827" s="40">
        <f t="array" ref="A4827">IFNA(index(PlayerValues!A:A,match(IFNA(vlookup(B4827,'Special Names'!A:B,2,FALSE),B4827),PlayerValues!E:E,0)),"N/A")</f>
        <v>17465</v>
      </c>
      <c r="B4827" s="4" t="s">
        <v>649</v>
      </c>
      <c r="C4827" s="4" t="s">
        <v>283</v>
      </c>
      <c r="D4827" s="94">
        <v>1639.0</v>
      </c>
    </row>
    <row r="4828">
      <c r="A4828" s="40">
        <f t="array" ref="A4828">IFNA(index(PlayerValues!A:A,match(IFNA(vlookup(B4828,'Special Names'!A:B,2,FALSE),B4828),PlayerValues!E:E,0)),"N/A")</f>
        <v>15755</v>
      </c>
      <c r="B4828" s="4" t="s">
        <v>628</v>
      </c>
      <c r="C4828" s="4" t="s">
        <v>287</v>
      </c>
      <c r="D4828" s="94">
        <v>1628.0</v>
      </c>
    </row>
    <row r="4829">
      <c r="A4829" s="40" t="str">
        <f t="array" ref="A4829">IFNA(index(PlayerValues!A:A,match(IFNA(vlookup(B4829,'Special Names'!A:B,2,FALSE),B4829),PlayerValues!E:E,0)),"N/A")</f>
        <v>N/A</v>
      </c>
      <c r="B4829" s="4" t="s">
        <v>90</v>
      </c>
      <c r="C4829" s="4" t="s">
        <v>325</v>
      </c>
      <c r="D4829" s="94">
        <v>1625.0</v>
      </c>
    </row>
    <row r="4830">
      <c r="A4830" s="40">
        <f t="array" ref="A4830">IFNA(index(PlayerValues!A:A,match(IFNA(vlookup(B4830,'Special Names'!A:B,2,FALSE),B4830),PlayerValues!E:E,0)),"N/A")</f>
        <v>14105</v>
      </c>
      <c r="B4830" s="4" t="s">
        <v>675</v>
      </c>
      <c r="C4830" s="4" t="s">
        <v>287</v>
      </c>
      <c r="D4830" s="94">
        <v>1620.0</v>
      </c>
    </row>
    <row r="4831">
      <c r="A4831" s="40">
        <f t="array" ref="A4831">IFNA(index(PlayerValues!A:A,match(IFNA(vlookup(B4831,'Special Names'!A:B,2,FALSE),B4831),PlayerValues!E:E,0)),"N/A")</f>
        <v>16201</v>
      </c>
      <c r="B4831" s="4" t="s">
        <v>589</v>
      </c>
      <c r="C4831" s="4" t="s">
        <v>287</v>
      </c>
      <c r="D4831" s="94">
        <v>1617.0</v>
      </c>
    </row>
    <row r="4832">
      <c r="A4832" s="40">
        <f t="array" ref="A4832">IFNA(index(PlayerValues!A:A,match(IFNA(vlookup(B4832,'Special Names'!A:B,2,FALSE),B4832),PlayerValues!E:E,0)),"N/A")</f>
        <v>16601</v>
      </c>
      <c r="B4832" s="4" t="s">
        <v>648</v>
      </c>
      <c r="C4832" s="4" t="s">
        <v>278</v>
      </c>
      <c r="D4832" s="94">
        <v>1608.0</v>
      </c>
    </row>
    <row r="4833">
      <c r="A4833" s="40">
        <f t="array" ref="A4833">IFNA(index(PlayerValues!A:A,match(IFNA(vlookup(B4833,'Special Names'!A:B,2,FALSE),B4833),PlayerValues!E:E,0)),"N/A")</f>
        <v>16586</v>
      </c>
      <c r="B4833" s="4" t="s">
        <v>658</v>
      </c>
      <c r="C4833" s="4" t="s">
        <v>283</v>
      </c>
      <c r="D4833" s="94">
        <v>1582.0</v>
      </c>
    </row>
    <row r="4834">
      <c r="A4834" s="40" t="str">
        <f t="array" ref="A4834">IFNA(index(PlayerValues!A:A,match(IFNA(vlookup(B4834,'Special Names'!A:B,2,FALSE),B4834),PlayerValues!E:E,0)),"N/A")</f>
        <v>N/A</v>
      </c>
      <c r="B4834" s="4" t="s">
        <v>116</v>
      </c>
      <c r="C4834" s="4" t="s">
        <v>325</v>
      </c>
      <c r="D4834" s="94">
        <v>1576.0</v>
      </c>
    </row>
    <row r="4835">
      <c r="A4835" s="40">
        <f t="array" ref="A4835">IFNA(index(PlayerValues!A:A,match(IFNA(vlookup(B4835,'Special Names'!A:B,2,FALSE),B4835),PlayerValues!E:E,0)),"N/A")</f>
        <v>16629</v>
      </c>
      <c r="B4835" s="4" t="s">
        <v>605</v>
      </c>
      <c r="C4835" s="4" t="s">
        <v>287</v>
      </c>
      <c r="D4835" s="94">
        <v>1567.0</v>
      </c>
    </row>
    <row r="4836">
      <c r="A4836" s="40">
        <f t="array" ref="A4836">IFNA(index(PlayerValues!A:A,match(IFNA(vlookup(B4836,'Special Names'!A:B,2,FALSE),B4836),PlayerValues!E:E,0)),"N/A")</f>
        <v>15301</v>
      </c>
      <c r="B4836" s="4" t="s">
        <v>657</v>
      </c>
      <c r="C4836" s="4" t="s">
        <v>287</v>
      </c>
      <c r="D4836" s="94">
        <v>1561.0</v>
      </c>
    </row>
    <row r="4837">
      <c r="A4837" s="40" t="str">
        <f t="array" ref="A4837">IFNA(index(PlayerValues!A:A,match(IFNA(vlookup(B4837,'Special Names'!A:B,2,FALSE),B4837),PlayerValues!E:E,0)),"N/A")</f>
        <v>N/A</v>
      </c>
      <c r="B4837" s="4" t="s">
        <v>91</v>
      </c>
      <c r="C4837" s="4" t="s">
        <v>325</v>
      </c>
      <c r="D4837" s="94">
        <v>1560.0</v>
      </c>
    </row>
    <row r="4838">
      <c r="A4838" s="40">
        <f t="array" ref="A4838">IFNA(index(PlayerValues!A:A,match(IFNA(vlookup(B4838,'Special Names'!A:B,2,FALSE),B4838),PlayerValues!E:E,0)),"N/A")</f>
        <v>16633</v>
      </c>
      <c r="B4838" s="4" t="s">
        <v>656</v>
      </c>
      <c r="C4838" s="4" t="s">
        <v>287</v>
      </c>
      <c r="D4838" s="94">
        <v>1560.0</v>
      </c>
    </row>
    <row r="4839">
      <c r="A4839" s="40">
        <f t="array" ref="A4839">IFNA(index(PlayerValues!A:A,match(IFNA(vlookup(B4839,'Special Names'!A:B,2,FALSE),B4839),PlayerValues!E:E,0)),"N/A")</f>
        <v>15254</v>
      </c>
      <c r="B4839" s="4" t="s">
        <v>633</v>
      </c>
      <c r="C4839" s="4" t="s">
        <v>278</v>
      </c>
      <c r="D4839" s="94">
        <v>1557.0</v>
      </c>
    </row>
    <row r="4840">
      <c r="A4840" s="40">
        <f t="array" ref="A4840">IFNA(index(PlayerValues!A:A,match(IFNA(vlookup(B4840,'Special Names'!A:B,2,FALSE),B4840),PlayerValues!E:E,0)),"N/A")</f>
        <v>15319</v>
      </c>
      <c r="B4840" s="4" t="s">
        <v>644</v>
      </c>
      <c r="C4840" s="4" t="s">
        <v>287</v>
      </c>
      <c r="D4840" s="94">
        <v>1546.0</v>
      </c>
    </row>
    <row r="4841">
      <c r="A4841" s="40">
        <f t="array" ref="A4841">IFNA(index(PlayerValues!A:A,match(IFNA(vlookup(B4841,'Special Names'!A:B,2,FALSE),B4841),PlayerValues!E:E,0)),"N/A")</f>
        <v>17529</v>
      </c>
      <c r="B4841" s="4" t="s">
        <v>608</v>
      </c>
      <c r="C4841" s="4" t="s">
        <v>287</v>
      </c>
      <c r="D4841" s="94">
        <v>1545.0</v>
      </c>
    </row>
    <row r="4842">
      <c r="A4842" s="40">
        <f t="array" ref="A4842">IFNA(index(PlayerValues!A:A,match(IFNA(vlookup(B4842,'Special Names'!A:B,2,FALSE),B4842),PlayerValues!E:E,0)),"N/A")</f>
        <v>17234</v>
      </c>
      <c r="B4842" s="4" t="s">
        <v>653</v>
      </c>
      <c r="C4842" s="4" t="s">
        <v>287</v>
      </c>
      <c r="D4842" s="94">
        <v>1539.0</v>
      </c>
    </row>
    <row r="4843">
      <c r="A4843" s="40">
        <f t="array" ref="A4843">IFNA(index(PlayerValues!A:A,match(IFNA(vlookup(B4843,'Special Names'!A:B,2,FALSE),B4843),PlayerValues!E:E,0)),"N/A")</f>
        <v>15713</v>
      </c>
      <c r="B4843" s="4" t="s">
        <v>732</v>
      </c>
      <c r="C4843" s="4" t="s">
        <v>278</v>
      </c>
      <c r="D4843" s="94">
        <v>1515.0</v>
      </c>
    </row>
    <row r="4844">
      <c r="A4844" s="40">
        <f t="array" ref="A4844">IFNA(index(PlayerValues!A:A,match(IFNA(vlookup(B4844,'Special Names'!A:B,2,FALSE),B4844),PlayerValues!E:E,0)),"N/A")</f>
        <v>17205</v>
      </c>
      <c r="B4844" s="4" t="s">
        <v>665</v>
      </c>
      <c r="C4844" s="4" t="s">
        <v>287</v>
      </c>
      <c r="D4844" s="94">
        <v>1514.0</v>
      </c>
    </row>
    <row r="4845">
      <c r="A4845" s="40">
        <f t="array" ref="A4845">IFNA(index(PlayerValues!A:A,match(IFNA(vlookup(B4845,'Special Names'!A:B,2,FALSE),B4845),PlayerValues!E:E,0)),"N/A")</f>
        <v>14122</v>
      </c>
      <c r="B4845" s="4" t="s">
        <v>663</v>
      </c>
      <c r="C4845" s="4" t="s">
        <v>287</v>
      </c>
      <c r="D4845" s="94">
        <v>1505.0</v>
      </c>
    </row>
    <row r="4846">
      <c r="A4846" s="40">
        <f t="array" ref="A4846">IFNA(index(PlayerValues!A:A,match(IFNA(vlookup(B4846,'Special Names'!A:B,2,FALSE),B4846),PlayerValues!E:E,0)),"N/A")</f>
        <v>15337</v>
      </c>
      <c r="B4846" s="4" t="s">
        <v>655</v>
      </c>
      <c r="C4846" s="4" t="s">
        <v>298</v>
      </c>
      <c r="D4846" s="94">
        <v>1868.0</v>
      </c>
    </row>
    <row r="4847">
      <c r="A4847" s="40">
        <f t="array" ref="A4847">IFNA(index(PlayerValues!A:A,match(IFNA(vlookup(B4847,'Special Names'!A:B,2,FALSE),B4847),PlayerValues!E:E,0)),"N/A")</f>
        <v>16595</v>
      </c>
      <c r="B4847" s="4" t="s">
        <v>664</v>
      </c>
      <c r="C4847" s="4" t="s">
        <v>278</v>
      </c>
      <c r="D4847" s="94">
        <v>1494.0</v>
      </c>
    </row>
    <row r="4848">
      <c r="A4848" s="40">
        <f t="array" ref="A4848">IFNA(index(PlayerValues!A:A,match(IFNA(vlookup(B4848,'Special Names'!A:B,2,FALSE),B4848),PlayerValues!E:E,0)),"N/A")</f>
        <v>16688</v>
      </c>
      <c r="B4848" s="4" t="s">
        <v>688</v>
      </c>
      <c r="C4848" s="4" t="s">
        <v>278</v>
      </c>
      <c r="D4848" s="94">
        <v>1494.0</v>
      </c>
    </row>
    <row r="4849">
      <c r="A4849" s="40">
        <f t="array" ref="A4849">IFNA(index(PlayerValues!A:A,match(IFNA(vlookup(B4849,'Special Names'!A:B,2,FALSE),B4849),PlayerValues!E:E,0)),"N/A")</f>
        <v>16175</v>
      </c>
      <c r="B4849" s="4" t="s">
        <v>654</v>
      </c>
      <c r="C4849" s="4" t="s">
        <v>278</v>
      </c>
      <c r="D4849" s="94">
        <v>1486.0</v>
      </c>
    </row>
    <row r="4850">
      <c r="A4850" s="40">
        <f t="array" ref="A4850">IFNA(index(PlayerValues!A:A,match(IFNA(vlookup(B4850,'Special Names'!A:B,2,FALSE),B4850),PlayerValues!E:E,0)),"N/A")</f>
        <v>17054</v>
      </c>
      <c r="B4850" s="4" t="s">
        <v>670</v>
      </c>
      <c r="C4850" s="4" t="s">
        <v>278</v>
      </c>
      <c r="D4850" s="94">
        <v>1477.0</v>
      </c>
    </row>
    <row r="4851">
      <c r="A4851" s="40">
        <f t="array" ref="A4851">IFNA(index(PlayerValues!A:A,match(IFNA(vlookup(B4851,'Special Names'!A:B,2,FALSE),B4851),PlayerValues!E:E,0)),"N/A")</f>
        <v>15752</v>
      </c>
      <c r="B4851" s="4" t="s">
        <v>647</v>
      </c>
      <c r="C4851" s="4" t="s">
        <v>287</v>
      </c>
      <c r="D4851" s="94">
        <v>1468.0</v>
      </c>
    </row>
    <row r="4852">
      <c r="A4852" s="40">
        <f t="array" ref="A4852">IFNA(index(PlayerValues!A:A,match(IFNA(vlookup(B4852,'Special Names'!A:B,2,FALSE),B4852),PlayerValues!E:E,0)),"N/A")</f>
        <v>13672</v>
      </c>
      <c r="B4852" s="4" t="s">
        <v>667</v>
      </c>
      <c r="C4852" s="4" t="s">
        <v>298</v>
      </c>
      <c r="D4852" s="94">
        <v>1834.0</v>
      </c>
    </row>
    <row r="4853">
      <c r="A4853" s="40">
        <f t="array" ref="A4853">IFNA(index(PlayerValues!A:A,match(IFNA(vlookup(B4853,'Special Names'!A:B,2,FALSE),B4853),PlayerValues!E:E,0)),"N/A")</f>
        <v>16788</v>
      </c>
      <c r="B4853" s="4" t="s">
        <v>621</v>
      </c>
      <c r="C4853" s="4" t="s">
        <v>287</v>
      </c>
      <c r="D4853" s="94">
        <v>1452.0</v>
      </c>
    </row>
    <row r="4854">
      <c r="A4854" s="40">
        <f t="array" ref="A4854">IFNA(index(PlayerValues!A:A,match(IFNA(vlookup(B4854,'Special Names'!A:B,2,FALSE),B4854),PlayerValues!E:E,0)),"N/A")</f>
        <v>15873</v>
      </c>
      <c r="B4854" s="4" t="s">
        <v>681</v>
      </c>
      <c r="C4854" s="4" t="s">
        <v>298</v>
      </c>
      <c r="D4854" s="94">
        <v>1810.0</v>
      </c>
    </row>
    <row r="4855">
      <c r="A4855" s="40">
        <f t="array" ref="A4855">IFNA(index(PlayerValues!A:A,match(IFNA(vlookup(B4855,'Special Names'!A:B,2,FALSE),B4855),PlayerValues!E:E,0)),"N/A")</f>
        <v>15759</v>
      </c>
      <c r="B4855" s="4" t="s">
        <v>662</v>
      </c>
      <c r="C4855" s="4" t="s">
        <v>287</v>
      </c>
      <c r="D4855" s="94">
        <v>1433.0</v>
      </c>
    </row>
    <row r="4856">
      <c r="A4856" s="40">
        <f t="array" ref="A4856">IFNA(index(PlayerValues!A:A,match(IFNA(vlookup(B4856,'Special Names'!A:B,2,FALSE),B4856),PlayerValues!E:E,0)),"N/A")</f>
        <v>15777</v>
      </c>
      <c r="B4856" s="4" t="s">
        <v>694</v>
      </c>
      <c r="C4856" s="4" t="s">
        <v>287</v>
      </c>
      <c r="D4856" s="94">
        <v>1422.0</v>
      </c>
    </row>
    <row r="4857">
      <c r="A4857" s="40">
        <f t="array" ref="A4857">IFNA(index(PlayerValues!A:A,match(IFNA(vlookup(B4857,'Special Names'!A:B,2,FALSE),B4857),PlayerValues!E:E,0)),"N/A")</f>
        <v>16390</v>
      </c>
      <c r="B4857" s="4" t="s">
        <v>689</v>
      </c>
      <c r="C4857" s="4" t="s">
        <v>278</v>
      </c>
      <c r="D4857" s="94">
        <v>1418.0</v>
      </c>
    </row>
    <row r="4858">
      <c r="A4858" s="40">
        <f t="array" ref="A4858">IFNA(index(PlayerValues!A:A,match(IFNA(vlookup(B4858,'Special Names'!A:B,2,FALSE),B4858),PlayerValues!E:E,0)),"N/A")</f>
        <v>17519</v>
      </c>
      <c r="B4858" s="4" t="s">
        <v>593</v>
      </c>
      <c r="C4858" s="4" t="s">
        <v>287</v>
      </c>
      <c r="D4858" s="94">
        <v>1417.0</v>
      </c>
    </row>
    <row r="4859">
      <c r="A4859" s="40">
        <f t="array" ref="A4859">IFNA(index(PlayerValues!A:A,match(IFNA(vlookup(B4859,'Special Names'!A:B,2,FALSE),B4859),PlayerValues!E:E,0)),"N/A")</f>
        <v>16621</v>
      </c>
      <c r="B4859" s="4" t="s">
        <v>672</v>
      </c>
      <c r="C4859" s="4" t="s">
        <v>287</v>
      </c>
      <c r="D4859" s="94">
        <v>1411.0</v>
      </c>
    </row>
    <row r="4860">
      <c r="A4860" s="40">
        <f t="array" ref="A4860">IFNA(index(PlayerValues!A:A,match(IFNA(vlookup(B4860,'Special Names'!A:B,2,FALSE),B4860),PlayerValues!E:E,0)),"N/A")</f>
        <v>14137</v>
      </c>
      <c r="B4860" s="4" t="s">
        <v>676</v>
      </c>
      <c r="C4860" s="4" t="s">
        <v>298</v>
      </c>
      <c r="D4860" s="94">
        <v>1774.0</v>
      </c>
    </row>
    <row r="4861">
      <c r="A4861" s="40">
        <f t="array" ref="A4861">IFNA(index(PlayerValues!A:A,match(IFNA(vlookup(B4861,'Special Names'!A:B,2,FALSE),B4861),PlayerValues!E:E,0)),"N/A")</f>
        <v>17521</v>
      </c>
      <c r="B4861" s="4" t="s">
        <v>573</v>
      </c>
      <c r="C4861" s="4" t="s">
        <v>287</v>
      </c>
      <c r="D4861" s="94">
        <v>1397.0</v>
      </c>
    </row>
    <row r="4862">
      <c r="A4862" s="40">
        <f t="array" ref="A4862">IFNA(index(PlayerValues!A:A,match(IFNA(vlookup(B4862,'Special Names'!A:B,2,FALSE),B4862),PlayerValues!E:E,0)),"N/A")</f>
        <v>15738</v>
      </c>
      <c r="B4862" s="4" t="s">
        <v>634</v>
      </c>
      <c r="C4862" s="4" t="s">
        <v>278</v>
      </c>
      <c r="D4862" s="94">
        <v>1396.0</v>
      </c>
    </row>
    <row r="4863">
      <c r="A4863" s="40">
        <f t="array" ref="A4863">IFNA(index(PlayerValues!A:A,match(IFNA(vlookup(B4863,'Special Names'!A:B,2,FALSE),B4863),PlayerValues!E:E,0)),"N/A")</f>
        <v>16387</v>
      </c>
      <c r="B4863" s="4" t="s">
        <v>646</v>
      </c>
      <c r="C4863" s="4" t="s">
        <v>278</v>
      </c>
      <c r="D4863" s="94">
        <v>1396.0</v>
      </c>
    </row>
    <row r="4864">
      <c r="A4864" s="40">
        <f t="array" ref="A4864">IFNA(index(PlayerValues!A:A,match(IFNA(vlookup(B4864,'Special Names'!A:B,2,FALSE),B4864),PlayerValues!E:E,0)),"N/A")</f>
        <v>16631</v>
      </c>
      <c r="B4864" s="4" t="s">
        <v>800</v>
      </c>
      <c r="C4864" s="4" t="s">
        <v>287</v>
      </c>
      <c r="D4864" s="94">
        <v>1396.0</v>
      </c>
    </row>
    <row r="4865">
      <c r="A4865" s="40">
        <f t="array" ref="A4865">IFNA(index(PlayerValues!A:A,match(IFNA(vlookup(B4865,'Special Names'!A:B,2,FALSE),B4865),PlayerValues!E:E,0)),"N/A")</f>
        <v>16642</v>
      </c>
      <c r="B4865" s="4" t="s">
        <v>691</v>
      </c>
      <c r="C4865" s="4" t="s">
        <v>298</v>
      </c>
      <c r="D4865" s="94">
        <v>1765.0</v>
      </c>
    </row>
    <row r="4866">
      <c r="A4866" s="40">
        <f t="array" ref="A4866">IFNA(index(PlayerValues!A:A,match(IFNA(vlookup(B4866,'Special Names'!A:B,2,FALSE),B4866),PlayerValues!E:E,0)),"N/A")</f>
        <v>16384</v>
      </c>
      <c r="B4866" s="4" t="s">
        <v>696</v>
      </c>
      <c r="C4866" s="4" t="s">
        <v>283</v>
      </c>
      <c r="D4866" s="94">
        <v>1388.0</v>
      </c>
    </row>
    <row r="4867">
      <c r="A4867" s="40">
        <f t="array" ref="A4867">IFNA(index(PlayerValues!A:A,match(IFNA(vlookup(B4867,'Special Names'!A:B,2,FALSE),B4867),PlayerValues!E:E,0)),"N/A")</f>
        <v>16608</v>
      </c>
      <c r="B4867" s="4" t="s">
        <v>629</v>
      </c>
      <c r="C4867" s="4" t="s">
        <v>278</v>
      </c>
      <c r="D4867" s="94">
        <v>1373.0</v>
      </c>
    </row>
    <row r="4868">
      <c r="A4868" s="40">
        <f t="array" ref="A4868">IFNA(index(PlayerValues!A:A,match(IFNA(vlookup(B4868,'Special Names'!A:B,2,FALSE),B4868),PlayerValues!E:E,0)),"N/A")</f>
        <v>16792</v>
      </c>
      <c r="B4868" s="4" t="s">
        <v>704</v>
      </c>
      <c r="C4868" s="4" t="s">
        <v>287</v>
      </c>
      <c r="D4868" s="94">
        <v>1367.0</v>
      </c>
    </row>
    <row r="4869">
      <c r="A4869" s="40">
        <f t="array" ref="A4869">IFNA(index(PlayerValues!A:A,match(IFNA(vlookup(B4869,'Special Names'!A:B,2,FALSE),B4869),PlayerValues!E:E,0)),"N/A")</f>
        <v>17599</v>
      </c>
      <c r="B4869" s="4" t="s">
        <v>496</v>
      </c>
      <c r="C4869" s="4" t="s">
        <v>287</v>
      </c>
      <c r="D4869" s="94">
        <v>1361.0</v>
      </c>
    </row>
    <row r="4870">
      <c r="A4870" s="40">
        <f t="array" ref="A4870">IFNA(index(PlayerValues!A:A,match(IFNA(vlookup(B4870,'Special Names'!A:B,2,FALSE),B4870),PlayerValues!E:E,0)),"N/A")</f>
        <v>14086</v>
      </c>
      <c r="B4870" s="4" t="s">
        <v>639</v>
      </c>
      <c r="C4870" s="4" t="s">
        <v>278</v>
      </c>
      <c r="D4870" s="94">
        <v>1351.0</v>
      </c>
    </row>
    <row r="4871">
      <c r="A4871" s="40">
        <f t="array" ref="A4871">IFNA(index(PlayerValues!A:A,match(IFNA(vlookup(B4871,'Special Names'!A:B,2,FALSE),B4871),PlayerValues!E:E,0)),"N/A")</f>
        <v>15292</v>
      </c>
      <c r="B4871" s="4" t="s">
        <v>682</v>
      </c>
      <c r="C4871" s="4" t="s">
        <v>287</v>
      </c>
      <c r="D4871" s="94">
        <v>1347.0</v>
      </c>
    </row>
    <row r="4872">
      <c r="A4872" s="40">
        <f t="array" ref="A4872">IFNA(index(PlayerValues!A:A,match(IFNA(vlookup(B4872,'Special Names'!A:B,2,FALSE),B4872),PlayerValues!E:E,0)),"N/A")</f>
        <v>17037</v>
      </c>
      <c r="B4872" s="4" t="s">
        <v>727</v>
      </c>
      <c r="C4872" s="4" t="s">
        <v>283</v>
      </c>
      <c r="D4872" s="94">
        <v>1318.0</v>
      </c>
    </row>
    <row r="4873">
      <c r="A4873" s="40">
        <f t="array" ref="A4873">IFNA(index(PlayerValues!A:A,match(IFNA(vlookup(B4873,'Special Names'!A:B,2,FALSE),B4873),PlayerValues!E:E,0)),"N/A")</f>
        <v>17685</v>
      </c>
      <c r="B4873" s="4" t="s">
        <v>630</v>
      </c>
      <c r="C4873" s="4" t="s">
        <v>278</v>
      </c>
      <c r="D4873" s="94">
        <v>1316.0</v>
      </c>
    </row>
    <row r="4874">
      <c r="A4874" s="40">
        <f t="array" ref="A4874">IFNA(index(PlayerValues!A:A,match(IFNA(vlookup(B4874,'Special Names'!A:B,2,FALSE),B4874),PlayerValues!E:E,0)),"N/A")</f>
        <v>12140</v>
      </c>
      <c r="B4874" s="4" t="s">
        <v>702</v>
      </c>
      <c r="C4874" s="4" t="s">
        <v>283</v>
      </c>
      <c r="D4874" s="94">
        <v>1312.0</v>
      </c>
    </row>
    <row r="4875">
      <c r="A4875" s="40">
        <f t="array" ref="A4875">IFNA(index(PlayerValues!A:A,match(IFNA(vlookup(B4875,'Special Names'!A:B,2,FALSE),B4875),PlayerValues!E:E,0)),"N/A")</f>
        <v>17254</v>
      </c>
      <c r="B4875" s="4" t="s">
        <v>679</v>
      </c>
      <c r="C4875" s="4" t="s">
        <v>287</v>
      </c>
      <c r="D4875" s="94">
        <v>1309.0</v>
      </c>
    </row>
    <row r="4876">
      <c r="A4876" s="40">
        <f t="array" ref="A4876">IFNA(index(PlayerValues!A:A,match(IFNA(vlookup(B4876,'Special Names'!A:B,2,FALSE),B4876),PlayerValues!E:E,0)),"N/A")</f>
        <v>17062</v>
      </c>
      <c r="B4876" s="4" t="s">
        <v>701</v>
      </c>
      <c r="C4876" s="4" t="s">
        <v>278</v>
      </c>
      <c r="D4876" s="94">
        <v>1302.0</v>
      </c>
    </row>
    <row r="4877">
      <c r="A4877" s="40">
        <f t="array" ref="A4877">IFNA(index(PlayerValues!A:A,match(IFNA(vlookup(B4877,'Special Names'!A:B,2,FALSE),B4877),PlayerValues!E:E,0)),"N/A")</f>
        <v>12678</v>
      </c>
      <c r="B4877" s="4" t="s">
        <v>703</v>
      </c>
      <c r="C4877" s="4" t="s">
        <v>298</v>
      </c>
      <c r="D4877" s="94">
        <v>1653.0</v>
      </c>
    </row>
    <row r="4878">
      <c r="A4878" s="40">
        <f t="array" ref="A4878">IFNA(index(PlayerValues!A:A,match(IFNA(vlookup(B4878,'Special Names'!A:B,2,FALSE),B4878),PlayerValues!E:E,0)),"N/A")</f>
        <v>13418</v>
      </c>
      <c r="B4878" s="4" t="s">
        <v>706</v>
      </c>
      <c r="C4878" s="4" t="s">
        <v>287</v>
      </c>
      <c r="D4878" s="94">
        <v>1275.0</v>
      </c>
    </row>
    <row r="4879">
      <c r="A4879" s="40">
        <f t="array" ref="A4879">IFNA(index(PlayerValues!A:A,match(IFNA(vlookup(B4879,'Special Names'!A:B,2,FALSE),B4879),PlayerValues!E:E,0)),"N/A")</f>
        <v>15252</v>
      </c>
      <c r="B4879" s="4" t="s">
        <v>715</v>
      </c>
      <c r="C4879" s="4" t="s">
        <v>283</v>
      </c>
      <c r="D4879" s="94">
        <v>1270.0</v>
      </c>
    </row>
    <row r="4880">
      <c r="A4880" s="40" t="str">
        <f t="array" ref="A4880">IFNA(index(PlayerValues!A:A,match(IFNA(vlookup(B4880,'Special Names'!A:B,2,FALSE),B4880),PlayerValues!E:E,0)),"N/A")</f>
        <v>N/A</v>
      </c>
      <c r="B4880" s="4" t="s">
        <v>117</v>
      </c>
      <c r="C4880" s="4" t="s">
        <v>325</v>
      </c>
      <c r="D4880" s="94">
        <v>1261.0</v>
      </c>
    </row>
    <row r="4881">
      <c r="A4881" s="40">
        <f t="array" ref="A4881">IFNA(index(PlayerValues!A:A,match(IFNA(vlookup(B4881,'Special Names'!A:B,2,FALSE),B4881),PlayerValues!E:E,0)),"N/A")</f>
        <v>12141</v>
      </c>
      <c r="B4881" s="4" t="s">
        <v>744</v>
      </c>
      <c r="C4881" s="4" t="s">
        <v>283</v>
      </c>
      <c r="D4881" s="94">
        <v>1257.0</v>
      </c>
    </row>
    <row r="4882">
      <c r="A4882" s="40">
        <f t="array" ref="A4882">IFNA(index(PlayerValues!A:A,match(IFNA(vlookup(B4882,'Special Names'!A:B,2,FALSE),B4882),PlayerValues!E:E,0)),"N/A")</f>
        <v>16645</v>
      </c>
      <c r="B4882" s="4" t="s">
        <v>651</v>
      </c>
      <c r="C4882" s="4" t="s">
        <v>298</v>
      </c>
      <c r="D4882" s="94">
        <v>1624.0</v>
      </c>
    </row>
    <row r="4883">
      <c r="A4883" s="40">
        <f t="array" ref="A4883">IFNA(index(PlayerValues!A:A,match(IFNA(vlookup(B4883,'Special Names'!A:B,2,FALSE),B4883),PlayerValues!E:E,0)),"N/A")</f>
        <v>14592</v>
      </c>
      <c r="B4883" s="4" t="s">
        <v>705</v>
      </c>
      <c r="C4883" s="4" t="s">
        <v>287</v>
      </c>
      <c r="D4883" s="94">
        <v>1256.0</v>
      </c>
    </row>
    <row r="4884">
      <c r="A4884" s="40">
        <f t="array" ref="A4884">IFNA(index(PlayerValues!A:A,match(IFNA(vlookup(B4884,'Special Names'!A:B,2,FALSE),B4884),PlayerValues!E:E,0)),"N/A")</f>
        <v>14080</v>
      </c>
      <c r="B4884" s="4" t="s">
        <v>716</v>
      </c>
      <c r="C4884" s="4" t="s">
        <v>278</v>
      </c>
      <c r="D4884" s="94">
        <v>1246.0</v>
      </c>
    </row>
    <row r="4885">
      <c r="A4885" s="40">
        <f t="array" ref="A4885">IFNA(index(PlayerValues!A:A,match(IFNA(vlookup(B4885,'Special Names'!A:B,2,FALSE),B4885),PlayerValues!E:E,0)),"N/A")</f>
        <v>15332</v>
      </c>
      <c r="B4885" s="4" t="s">
        <v>698</v>
      </c>
      <c r="C4885" s="4" t="s">
        <v>298</v>
      </c>
      <c r="D4885" s="94">
        <v>1613.0</v>
      </c>
    </row>
    <row r="4886">
      <c r="A4886" s="40">
        <f t="array" ref="A4886">IFNA(index(PlayerValues!A:A,match(IFNA(vlookup(B4886,'Special Names'!A:B,2,FALSE),B4886),PlayerValues!E:E,0)),"N/A")</f>
        <v>14095</v>
      </c>
      <c r="B4886" s="4" t="s">
        <v>680</v>
      </c>
      <c r="C4886" s="4" t="s">
        <v>278</v>
      </c>
      <c r="D4886" s="94">
        <v>1245.0</v>
      </c>
    </row>
    <row r="4887">
      <c r="A4887" s="40">
        <f t="array" ref="A4887">IFNA(index(PlayerValues!A:A,match(IFNA(vlookup(B4887,'Special Names'!A:B,2,FALSE),B4887),PlayerValues!E:E,0)),"N/A")</f>
        <v>16149</v>
      </c>
      <c r="B4887" s="4" t="s">
        <v>740</v>
      </c>
      <c r="C4887" s="4" t="s">
        <v>283</v>
      </c>
      <c r="D4887" s="94">
        <v>1239.0</v>
      </c>
    </row>
    <row r="4888">
      <c r="A4888" s="40">
        <f t="array" ref="A4888">IFNA(index(PlayerValues!A:A,match(IFNA(vlookup(B4888,'Special Names'!A:B,2,FALSE),B4888),PlayerValues!E:E,0)),"N/A")</f>
        <v>11222</v>
      </c>
      <c r="B4888" s="4" t="s">
        <v>622</v>
      </c>
      <c r="C4888" s="4" t="s">
        <v>287</v>
      </c>
      <c r="D4888" s="94">
        <v>1233.0</v>
      </c>
    </row>
    <row r="4889">
      <c r="A4889" s="40">
        <f t="array" ref="A4889">IFNA(index(PlayerValues!A:A,match(IFNA(vlookup(B4889,'Special Names'!A:B,2,FALSE),B4889),PlayerValues!E:E,0)),"N/A")</f>
        <v>15702</v>
      </c>
      <c r="B4889" s="4" t="s">
        <v>723</v>
      </c>
      <c r="C4889" s="4" t="s">
        <v>283</v>
      </c>
      <c r="D4889" s="94">
        <v>1225.0</v>
      </c>
    </row>
    <row r="4890">
      <c r="A4890" s="40">
        <f t="array" ref="A4890">IFNA(index(PlayerValues!A:A,match(IFNA(vlookup(B4890,'Special Names'!A:B,2,FALSE),B4890),PlayerValues!E:E,0)),"N/A")</f>
        <v>16636</v>
      </c>
      <c r="B4890" s="4" t="s">
        <v>699</v>
      </c>
      <c r="C4890" s="4" t="s">
        <v>287</v>
      </c>
      <c r="D4890" s="94">
        <v>1224.0</v>
      </c>
    </row>
    <row r="4891">
      <c r="A4891" s="40">
        <f t="array" ref="A4891">IFNA(index(PlayerValues!A:A,match(IFNA(vlookup(B4891,'Special Names'!A:B,2,FALSE),B4891),PlayerValues!E:E,0)),"N/A")</f>
        <v>17097</v>
      </c>
      <c r="B4891" s="4" t="s">
        <v>659</v>
      </c>
      <c r="C4891" s="4" t="s">
        <v>287</v>
      </c>
      <c r="D4891" s="94">
        <v>1221.0</v>
      </c>
    </row>
    <row r="4892">
      <c r="A4892" s="40">
        <f t="array" ref="A4892">IFNA(index(PlayerValues!A:A,match(IFNA(vlookup(B4892,'Special Names'!A:B,2,FALSE),B4892),PlayerValues!E:E,0)),"N/A")</f>
        <v>17077</v>
      </c>
      <c r="B4892" s="4" t="s">
        <v>714</v>
      </c>
      <c r="C4892" s="4" t="s">
        <v>287</v>
      </c>
      <c r="D4892" s="94">
        <v>1219.0</v>
      </c>
    </row>
    <row r="4893">
      <c r="A4893" s="40">
        <f t="array" ref="A4893">IFNA(index(PlayerValues!A:A,match(IFNA(vlookup(B4893,'Special Names'!A:B,2,FALSE),B4893),PlayerValues!E:E,0)),"N/A")</f>
        <v>16746</v>
      </c>
      <c r="B4893" s="4" t="s">
        <v>709</v>
      </c>
      <c r="C4893" s="4" t="s">
        <v>278</v>
      </c>
      <c r="D4893" s="94">
        <v>1213.0</v>
      </c>
    </row>
    <row r="4894">
      <c r="A4894" s="40">
        <f t="array" ref="A4894">IFNA(index(PlayerValues!A:A,match(IFNA(vlookup(B4894,'Special Names'!A:B,2,FALSE),B4894),PlayerValues!E:E,0)),"N/A")</f>
        <v>16183</v>
      </c>
      <c r="B4894" s="4" t="s">
        <v>678</v>
      </c>
      <c r="C4894" s="4" t="s">
        <v>287</v>
      </c>
      <c r="D4894" s="94">
        <v>1212.0</v>
      </c>
    </row>
    <row r="4895">
      <c r="A4895" s="40">
        <f t="array" ref="A4895">IFNA(index(PlayerValues!A:A,match(IFNA(vlookup(B4895,'Special Names'!A:B,2,FALSE),B4895),PlayerValues!E:E,0)),"N/A")</f>
        <v>14789</v>
      </c>
      <c r="B4895" s="4" t="s">
        <v>721</v>
      </c>
      <c r="C4895" s="4" t="s">
        <v>283</v>
      </c>
      <c r="D4895" s="94">
        <v>1210.0</v>
      </c>
    </row>
    <row r="4896">
      <c r="A4896" s="40">
        <f t="array" ref="A4896">IFNA(index(PlayerValues!A:A,match(IFNA(vlookup(B4896,'Special Names'!A:B,2,FALSE),B4896),PlayerValues!E:E,0)),"N/A")</f>
        <v>16333</v>
      </c>
      <c r="B4896" s="4" t="s">
        <v>711</v>
      </c>
      <c r="C4896" s="4" t="s">
        <v>298</v>
      </c>
      <c r="D4896" s="94">
        <v>1566.0</v>
      </c>
    </row>
    <row r="4897">
      <c r="A4897" s="40">
        <f t="array" ref="A4897">IFNA(index(PlayerValues!A:A,match(IFNA(vlookup(B4897,'Special Names'!A:B,2,FALSE),B4897),PlayerValues!E:E,0)),"N/A")</f>
        <v>17652</v>
      </c>
      <c r="B4897" s="4" t="s">
        <v>576</v>
      </c>
      <c r="C4897" s="4" t="s">
        <v>278</v>
      </c>
      <c r="D4897" s="94">
        <v>1197.0</v>
      </c>
    </row>
    <row r="4898">
      <c r="A4898" s="40">
        <f t="array" ref="A4898">IFNA(index(PlayerValues!A:A,match(IFNA(vlookup(B4898,'Special Names'!A:B,2,FALSE),B4898),PlayerValues!E:E,0)),"N/A")</f>
        <v>16883</v>
      </c>
      <c r="B4898" s="4" t="s">
        <v>683</v>
      </c>
      <c r="C4898" s="4" t="s">
        <v>287</v>
      </c>
      <c r="D4898" s="94">
        <v>1196.0</v>
      </c>
    </row>
    <row r="4899">
      <c r="A4899" s="40">
        <f t="array" ref="A4899">IFNA(index(PlayerValues!A:A,match(IFNA(vlookup(B4899,'Special Names'!A:B,2,FALSE),B4899),PlayerValues!E:E,0)),"N/A")</f>
        <v>17269</v>
      </c>
      <c r="B4899" s="4" t="s">
        <v>718</v>
      </c>
      <c r="C4899" s="4" t="s">
        <v>287</v>
      </c>
      <c r="D4899" s="94">
        <v>1192.0</v>
      </c>
    </row>
    <row r="4900">
      <c r="A4900" s="40">
        <f t="array" ref="A4900">IFNA(index(PlayerValues!A:A,match(IFNA(vlookup(B4900,'Special Names'!A:B,2,FALSE),B4900),PlayerValues!E:E,0)),"N/A")</f>
        <v>17109</v>
      </c>
      <c r="B4900" s="4" t="s">
        <v>707</v>
      </c>
      <c r="C4900" s="4" t="s">
        <v>298</v>
      </c>
      <c r="D4900" s="94">
        <v>1550.0</v>
      </c>
    </row>
    <row r="4901">
      <c r="A4901" s="40">
        <f t="array" ref="A4901">IFNA(index(PlayerValues!A:A,match(IFNA(vlookup(B4901,'Special Names'!A:B,2,FALSE),B4901),PlayerValues!E:E,0)),"N/A")</f>
        <v>17063</v>
      </c>
      <c r="B4901" s="4" t="s">
        <v>686</v>
      </c>
      <c r="C4901" s="4" t="s">
        <v>278</v>
      </c>
      <c r="D4901" s="94">
        <v>1179.0</v>
      </c>
    </row>
    <row r="4902">
      <c r="A4902" s="40">
        <f t="array" ref="A4902">IFNA(index(PlayerValues!A:A,match(IFNA(vlookup(B4902,'Special Names'!A:B,2,FALSE),B4902),PlayerValues!E:E,0)),"N/A")</f>
        <v>17546</v>
      </c>
      <c r="B4902" s="4" t="s">
        <v>671</v>
      </c>
      <c r="C4902" s="4" t="s">
        <v>298</v>
      </c>
      <c r="D4902" s="94">
        <v>1534.0</v>
      </c>
    </row>
    <row r="4903">
      <c r="A4903" s="40">
        <f t="array" ref="A4903">IFNA(index(PlayerValues!A:A,match(IFNA(vlookup(B4903,'Special Names'!A:B,2,FALSE),B4903),PlayerValues!E:E,0)),"N/A")</f>
        <v>17057</v>
      </c>
      <c r="B4903" s="4" t="s">
        <v>708</v>
      </c>
      <c r="C4903" s="4" t="s">
        <v>278</v>
      </c>
      <c r="D4903" s="94">
        <v>1164.0</v>
      </c>
    </row>
    <row r="4904">
      <c r="A4904" s="40">
        <f t="array" ref="A4904">IFNA(index(PlayerValues!A:A,match(IFNA(vlookup(B4904,'Special Names'!A:B,2,FALSE),B4904),PlayerValues!E:E,0)),"N/A")</f>
        <v>17510</v>
      </c>
      <c r="B4904" s="4" t="s">
        <v>661</v>
      </c>
      <c r="C4904" s="4" t="s">
        <v>287</v>
      </c>
      <c r="D4904" s="94">
        <v>1157.0</v>
      </c>
    </row>
    <row r="4905">
      <c r="A4905" s="40">
        <f t="array" ref="A4905">IFNA(index(PlayerValues!A:A,match(IFNA(vlookup(B4905,'Special Names'!A:B,2,FALSE),B4905),PlayerValues!E:E,0)),"N/A")</f>
        <v>15288</v>
      </c>
      <c r="B4905" s="4" t="s">
        <v>700</v>
      </c>
      <c r="C4905" s="4" t="s">
        <v>287</v>
      </c>
      <c r="D4905" s="94">
        <v>1153.0</v>
      </c>
    </row>
    <row r="4906">
      <c r="A4906" s="40">
        <f t="array" ref="A4906">IFNA(index(PlayerValues!A:A,match(IFNA(vlookup(B4906,'Special Names'!A:B,2,FALSE),B4906),PlayerValues!E:E,0)),"N/A")</f>
        <v>16385</v>
      </c>
      <c r="B4906" s="4" t="s">
        <v>690</v>
      </c>
      <c r="C4906" s="4" t="s">
        <v>278</v>
      </c>
      <c r="D4906" s="94">
        <v>1152.0</v>
      </c>
    </row>
    <row r="4907">
      <c r="A4907" s="40">
        <f t="array" ref="A4907">IFNA(index(PlayerValues!A:A,match(IFNA(vlookup(B4907,'Special Names'!A:B,2,FALSE),B4907),PlayerValues!E:E,0)),"N/A")</f>
        <v>14108</v>
      </c>
      <c r="B4907" s="4" t="s">
        <v>673</v>
      </c>
      <c r="C4907" s="4" t="s">
        <v>287</v>
      </c>
      <c r="D4907" s="94">
        <v>1147.0</v>
      </c>
    </row>
    <row r="4908">
      <c r="A4908" s="40">
        <f t="array" ref="A4908">IFNA(index(PlayerValues!A:A,match(IFNA(vlookup(B4908,'Special Names'!A:B,2,FALSE),B4908),PlayerValues!E:E,0)),"N/A")</f>
        <v>16221</v>
      </c>
      <c r="B4908" s="4" t="s">
        <v>725</v>
      </c>
      <c r="C4908" s="4" t="s">
        <v>298</v>
      </c>
      <c r="D4908" s="94">
        <v>1516.0</v>
      </c>
    </row>
    <row r="4909">
      <c r="A4909" s="40">
        <f t="array" ref="A4909">IFNA(index(PlayerValues!A:A,match(IFNA(vlookup(B4909,'Special Names'!A:B,2,FALSE),B4909),PlayerValues!E:E,0)),"N/A")</f>
        <v>16199</v>
      </c>
      <c r="B4909" s="4" t="s">
        <v>687</v>
      </c>
      <c r="C4909" s="4" t="s">
        <v>287</v>
      </c>
      <c r="D4909" s="94">
        <v>1133.0</v>
      </c>
    </row>
    <row r="4910">
      <c r="A4910" s="40">
        <f t="array" ref="A4910">IFNA(index(PlayerValues!A:A,match(IFNA(vlookup(B4910,'Special Names'!A:B,2,FALSE),B4910),PlayerValues!E:E,0)),"N/A")</f>
        <v>9064</v>
      </c>
      <c r="B4910" s="4" t="s">
        <v>761</v>
      </c>
      <c r="C4910" s="4" t="s">
        <v>283</v>
      </c>
      <c r="D4910" s="94">
        <v>1126.0</v>
      </c>
    </row>
    <row r="4911">
      <c r="A4911" s="40">
        <f t="array" ref="A4911">IFNA(index(PlayerValues!A:A,match(IFNA(vlookup(B4911,'Special Names'!A:B,2,FALSE),B4911),PlayerValues!E:E,0)),"N/A")</f>
        <v>14067</v>
      </c>
      <c r="B4911" s="4" t="s">
        <v>735</v>
      </c>
      <c r="C4911" s="4" t="s">
        <v>283</v>
      </c>
      <c r="D4911" s="94">
        <v>1123.0</v>
      </c>
    </row>
    <row r="4912">
      <c r="A4912" s="40">
        <f t="array" ref="A4912">IFNA(index(PlayerValues!A:A,match(IFNA(vlookup(B4912,'Special Names'!A:B,2,FALSE),B4912),PlayerValues!E:E,0)),"N/A")</f>
        <v>15240</v>
      </c>
      <c r="B4912" s="4" t="s">
        <v>751</v>
      </c>
      <c r="C4912" s="4" t="s">
        <v>283</v>
      </c>
      <c r="D4912" s="94">
        <v>1123.0</v>
      </c>
    </row>
    <row r="4913">
      <c r="A4913" s="40">
        <f t="array" ref="A4913">IFNA(index(PlayerValues!A:A,match(IFNA(vlookup(B4913,'Special Names'!A:B,2,FALSE),B4913),PlayerValues!E:E,0)),"N/A")</f>
        <v>14845</v>
      </c>
      <c r="B4913" s="4" t="s">
        <v>717</v>
      </c>
      <c r="C4913" s="4" t="s">
        <v>287</v>
      </c>
      <c r="D4913" s="94">
        <v>1121.0</v>
      </c>
    </row>
    <row r="4914">
      <c r="A4914" s="40">
        <f t="array" ref="A4914">IFNA(index(PlayerValues!A:A,match(IFNA(vlookup(B4914,'Special Names'!A:B,2,FALSE),B4914),PlayerValues!E:E,0)),"N/A")</f>
        <v>15981</v>
      </c>
      <c r="B4914" s="4" t="s">
        <v>729</v>
      </c>
      <c r="C4914" s="4" t="s">
        <v>287</v>
      </c>
      <c r="D4914" s="94">
        <v>1114.0</v>
      </c>
    </row>
    <row r="4915">
      <c r="A4915" s="40">
        <f t="array" ref="A4915">IFNA(index(PlayerValues!A:A,match(IFNA(vlookup(B4915,'Special Names'!A:B,2,FALSE),B4915),PlayerValues!E:E,0)),"N/A")</f>
        <v>16637</v>
      </c>
      <c r="B4915" s="4" t="s">
        <v>736</v>
      </c>
      <c r="C4915" s="4" t="s">
        <v>287</v>
      </c>
      <c r="D4915" s="94">
        <v>1097.0</v>
      </c>
    </row>
    <row r="4916">
      <c r="A4916" s="40">
        <f t="array" ref="A4916">IFNA(index(PlayerValues!A:A,match(IFNA(vlookup(B4916,'Special Names'!A:B,2,FALSE),B4916),PlayerValues!E:E,0)),"N/A")</f>
        <v>17192</v>
      </c>
      <c r="B4916" s="4" t="s">
        <v>677</v>
      </c>
      <c r="C4916" s="4" t="s">
        <v>287</v>
      </c>
      <c r="D4916" s="94">
        <v>1097.0</v>
      </c>
    </row>
    <row r="4917">
      <c r="A4917" s="40">
        <f t="array" ref="A4917">IFNA(index(PlayerValues!A:A,match(IFNA(vlookup(B4917,'Special Names'!A:B,2,FALSE),B4917),PlayerValues!E:E,0)),"N/A")</f>
        <v>13289</v>
      </c>
      <c r="B4917" s="4" t="s">
        <v>746</v>
      </c>
      <c r="C4917" s="4" t="s">
        <v>287</v>
      </c>
      <c r="D4917" s="94">
        <v>1095.0</v>
      </c>
    </row>
    <row r="4918">
      <c r="A4918" s="40">
        <f t="array" ref="A4918">IFNA(index(PlayerValues!A:A,match(IFNA(vlookup(B4918,'Special Names'!A:B,2,FALSE),B4918),PlayerValues!E:E,0)),"N/A")</f>
        <v>16640</v>
      </c>
      <c r="B4918" s="4" t="s">
        <v>712</v>
      </c>
      <c r="C4918" s="4" t="s">
        <v>287</v>
      </c>
      <c r="D4918" s="94">
        <v>1088.0</v>
      </c>
    </row>
    <row r="4919">
      <c r="A4919" s="40">
        <f t="array" ref="A4919">IFNA(index(PlayerValues!A:A,match(IFNA(vlookup(B4919,'Special Names'!A:B,2,FALSE),B4919),PlayerValues!E:E,0)),"N/A")</f>
        <v>16197</v>
      </c>
      <c r="B4919" s="4" t="s">
        <v>726</v>
      </c>
      <c r="C4919" s="4" t="s">
        <v>287</v>
      </c>
      <c r="D4919" s="94">
        <v>1076.0</v>
      </c>
    </row>
    <row r="4920">
      <c r="A4920" s="40">
        <f t="array" ref="A4920">IFNA(index(PlayerValues!A:A,match(IFNA(vlookup(B4920,'Special Names'!A:B,2,FALSE),B4920),PlayerValues!E:E,0)),"N/A")</f>
        <v>17050</v>
      </c>
      <c r="B4920" s="4" t="s">
        <v>713</v>
      </c>
      <c r="C4920" s="4" t="s">
        <v>278</v>
      </c>
      <c r="D4920" s="94">
        <v>1076.0</v>
      </c>
    </row>
    <row r="4921">
      <c r="A4921" s="40">
        <f t="array" ref="A4921">IFNA(index(PlayerValues!A:A,match(IFNA(vlookup(B4921,'Special Names'!A:B,2,FALSE),B4921),PlayerValues!E:E,0)),"N/A")</f>
        <v>15693</v>
      </c>
      <c r="B4921" s="4" t="s">
        <v>755</v>
      </c>
      <c r="C4921" s="4" t="s">
        <v>283</v>
      </c>
      <c r="D4921" s="94">
        <v>1072.0</v>
      </c>
    </row>
    <row r="4922">
      <c r="A4922" s="40">
        <f t="array" ref="A4922">IFNA(index(PlayerValues!A:A,match(IFNA(vlookup(B4922,'Special Names'!A:B,2,FALSE),B4922),PlayerValues!E:E,0)),"N/A")</f>
        <v>15727</v>
      </c>
      <c r="B4922" s="4" t="s">
        <v>730</v>
      </c>
      <c r="C4922" s="4" t="s">
        <v>278</v>
      </c>
      <c r="D4922" s="94">
        <v>1056.0</v>
      </c>
    </row>
    <row r="4923">
      <c r="A4923" s="40">
        <f t="array" ref="A4923">IFNA(index(PlayerValues!A:A,match(IFNA(vlookup(B4923,'Special Names'!A:B,2,FALSE),B4923),PlayerValues!E:E,0)),"N/A")</f>
        <v>15692</v>
      </c>
      <c r="B4923" s="4" t="s">
        <v>750</v>
      </c>
      <c r="C4923" s="4" t="s">
        <v>283</v>
      </c>
      <c r="D4923" s="94">
        <v>1050.0</v>
      </c>
    </row>
    <row r="4924">
      <c r="A4924" s="40">
        <f t="array" ref="A4924">IFNA(index(PlayerValues!A:A,match(IFNA(vlookup(B4924,'Special Names'!A:B,2,FALSE),B4924),PlayerValues!E:E,0)),"N/A")</f>
        <v>13131</v>
      </c>
      <c r="B4924" s="4" t="s">
        <v>815</v>
      </c>
      <c r="C4924" s="4" t="s">
        <v>278</v>
      </c>
      <c r="D4924" s="94">
        <v>1047.0</v>
      </c>
    </row>
    <row r="4925">
      <c r="A4925" s="40">
        <f t="array" ref="A4925">IFNA(index(PlayerValues!A:A,match(IFNA(vlookup(B4925,'Special Names'!A:B,2,FALSE),B4925),PlayerValues!E:E,0)),"N/A")</f>
        <v>17475</v>
      </c>
      <c r="B4925" s="4" t="s">
        <v>615</v>
      </c>
      <c r="C4925" s="4" t="s">
        <v>278</v>
      </c>
      <c r="D4925" s="94">
        <v>1035.0</v>
      </c>
    </row>
    <row r="4926">
      <c r="A4926" s="40">
        <f t="array" ref="A4926">IFNA(index(PlayerValues!A:A,match(IFNA(vlookup(B4926,'Special Names'!A:B,2,FALSE),B4926),PlayerValues!E:E,0)),"N/A")</f>
        <v>14849</v>
      </c>
      <c r="B4926" s="4" t="s">
        <v>733</v>
      </c>
      <c r="C4926" s="4" t="s">
        <v>287</v>
      </c>
      <c r="D4926" s="94">
        <v>1034.0</v>
      </c>
    </row>
    <row r="4927">
      <c r="A4927" s="40">
        <f t="array" ref="A4927">IFNA(index(PlayerValues!A:A,match(IFNA(vlookup(B4927,'Special Names'!A:B,2,FALSE),B4927),PlayerValues!E:E,0)),"N/A")</f>
        <v>15730</v>
      </c>
      <c r="B4927" s="4" t="s">
        <v>734</v>
      </c>
      <c r="C4927" s="4" t="s">
        <v>278</v>
      </c>
      <c r="D4927" s="94">
        <v>1034.0</v>
      </c>
    </row>
    <row r="4928">
      <c r="A4928" s="40">
        <f t="array" ref="A4928">IFNA(index(PlayerValues!A:A,match(IFNA(vlookup(B4928,'Special Names'!A:B,2,FALSE),B4928),PlayerValues!E:E,0)),"N/A")</f>
        <v>16170</v>
      </c>
      <c r="B4928" s="4" t="s">
        <v>801</v>
      </c>
      <c r="C4928" s="4" t="s">
        <v>278</v>
      </c>
      <c r="D4928" s="94">
        <v>1021.0</v>
      </c>
    </row>
    <row r="4929">
      <c r="A4929" s="40">
        <f t="array" ref="A4929">IFNA(index(PlayerValues!A:A,match(IFNA(vlookup(B4929,'Special Names'!A:B,2,FALSE),B4929),PlayerValues!E:E,0)),"N/A")</f>
        <v>16393</v>
      </c>
      <c r="B4929" s="4" t="s">
        <v>768</v>
      </c>
      <c r="C4929" s="4" t="s">
        <v>287</v>
      </c>
      <c r="D4929" s="94">
        <v>1020.0</v>
      </c>
    </row>
    <row r="4930">
      <c r="A4930" s="40">
        <f t="array" ref="A4930">IFNA(index(PlayerValues!A:A,match(IFNA(vlookup(B4930,'Special Names'!A:B,2,FALSE),B4930),PlayerValues!E:E,0)),"N/A")</f>
        <v>15795</v>
      </c>
      <c r="B4930" s="4" t="s">
        <v>669</v>
      </c>
      <c r="C4930" s="4" t="s">
        <v>298</v>
      </c>
      <c r="D4930" s="94">
        <v>1383.0</v>
      </c>
    </row>
    <row r="4931">
      <c r="A4931" s="40">
        <f t="array" ref="A4931">IFNA(index(PlayerValues!A:A,match(IFNA(vlookup(B4931,'Special Names'!A:B,2,FALSE),B4931),PlayerValues!E:E,0)),"N/A")</f>
        <v>15330</v>
      </c>
      <c r="B4931" s="4" t="s">
        <v>749</v>
      </c>
      <c r="C4931" s="4" t="s">
        <v>298</v>
      </c>
      <c r="D4931" s="94">
        <v>1374.0</v>
      </c>
    </row>
    <row r="4932">
      <c r="A4932" s="40">
        <f t="array" ref="A4932">IFNA(index(PlayerValues!A:A,match(IFNA(vlookup(B4932,'Special Names'!A:B,2,FALSE),B4932),PlayerValues!E:E,0)),"N/A")</f>
        <v>17657</v>
      </c>
      <c r="B4932" s="4" t="s">
        <v>642</v>
      </c>
      <c r="C4932" s="4" t="s">
        <v>283</v>
      </c>
      <c r="D4932" s="94">
        <v>1008.0</v>
      </c>
    </row>
    <row r="4933">
      <c r="A4933" s="40">
        <f t="array" ref="A4933">IFNA(index(PlayerValues!A:A,match(IFNA(vlookup(B4933,'Special Names'!A:B,2,FALSE),B4933),PlayerValues!E:E,0)),"N/A")</f>
        <v>16648</v>
      </c>
      <c r="B4933" s="4" t="s">
        <v>748</v>
      </c>
      <c r="C4933" s="4" t="s">
        <v>298</v>
      </c>
      <c r="D4933" s="94">
        <v>1374.0</v>
      </c>
    </row>
    <row r="4934">
      <c r="A4934" s="40">
        <f t="array" ref="A4934">IFNA(index(PlayerValues!A:A,match(IFNA(vlookup(B4934,'Special Names'!A:B,2,FALSE),B4934),PlayerValues!E:E,0)),"N/A")</f>
        <v>16451</v>
      </c>
      <c r="B4934" s="4" t="s">
        <v>769</v>
      </c>
      <c r="C4934" s="4" t="s">
        <v>287</v>
      </c>
      <c r="D4934" s="94">
        <v>1000.0</v>
      </c>
    </row>
    <row r="4935">
      <c r="A4935" s="40">
        <f t="array" ref="A4935">IFNA(index(PlayerValues!A:A,match(IFNA(vlookup(B4935,'Special Names'!A:B,2,FALSE),B4935),PlayerValues!E:E,0)),"N/A")</f>
        <v>17175</v>
      </c>
      <c r="B4935" s="4" t="s">
        <v>747</v>
      </c>
      <c r="C4935" s="4" t="s">
        <v>287</v>
      </c>
      <c r="D4935" s="94">
        <v>999.0</v>
      </c>
    </row>
    <row r="4936">
      <c r="A4936" s="40">
        <f t="array" ref="A4936">IFNA(index(PlayerValues!A:A,match(IFNA(vlookup(B4936,'Special Names'!A:B,2,FALSE),B4936),PlayerValues!E:E,0)),"N/A")</f>
        <v>16168</v>
      </c>
      <c r="B4936" s="4" t="s">
        <v>738</v>
      </c>
      <c r="C4936" s="4" t="s">
        <v>278</v>
      </c>
      <c r="D4936" s="94">
        <v>997.0</v>
      </c>
    </row>
    <row r="4937">
      <c r="A4937" s="40">
        <f t="array" ref="A4937">IFNA(index(PlayerValues!A:A,match(IFNA(vlookup(B4937,'Special Names'!A:B,2,FALSE),B4937),PlayerValues!E:E,0)),"N/A")</f>
        <v>15717</v>
      </c>
      <c r="B4937" s="4" t="s">
        <v>745</v>
      </c>
      <c r="C4937" s="4" t="s">
        <v>278</v>
      </c>
      <c r="D4937" s="94">
        <v>993.0</v>
      </c>
    </row>
    <row r="4938">
      <c r="A4938" s="40">
        <f t="array" ref="A4938">IFNA(index(PlayerValues!A:A,match(IFNA(vlookup(B4938,'Special Names'!A:B,2,FALSE),B4938),PlayerValues!E:E,0)),"N/A")</f>
        <v>15109</v>
      </c>
      <c r="B4938" s="4" t="s">
        <v>728</v>
      </c>
      <c r="C4938" s="4" t="s">
        <v>287</v>
      </c>
      <c r="D4938" s="94">
        <v>989.0</v>
      </c>
    </row>
    <row r="4939">
      <c r="A4939" s="40">
        <f t="array" ref="A4939">IFNA(index(PlayerValues!A:A,match(IFNA(vlookup(B4939,'Special Names'!A:B,2,FALSE),B4939),PlayerValues!E:E,0)),"N/A")</f>
        <v>15766</v>
      </c>
      <c r="B4939" s="4" t="s">
        <v>759</v>
      </c>
      <c r="C4939" s="4" t="s">
        <v>287</v>
      </c>
      <c r="D4939" s="94">
        <v>987.0</v>
      </c>
    </row>
    <row r="4940">
      <c r="A4940" s="40">
        <f t="array" ref="A4940">IFNA(index(PlayerValues!A:A,match(IFNA(vlookup(B4940,'Special Names'!A:B,2,FALSE),B4940),PlayerValues!E:E,0)),"N/A")</f>
        <v>13193</v>
      </c>
      <c r="B4940" s="4" t="s">
        <v>773</v>
      </c>
      <c r="C4940" s="4" t="s">
        <v>298</v>
      </c>
      <c r="D4940" s="94">
        <v>1346.0</v>
      </c>
    </row>
    <row r="4941">
      <c r="A4941" s="40">
        <f t="array" ref="A4941">IFNA(index(PlayerValues!A:A,match(IFNA(vlookup(B4941,'Special Names'!A:B,2,FALSE),B4941),PlayerValues!E:E,0)),"N/A")</f>
        <v>15258</v>
      </c>
      <c r="B4941" s="4" t="s">
        <v>757</v>
      </c>
      <c r="C4941" s="4" t="s">
        <v>278</v>
      </c>
      <c r="D4941" s="94">
        <v>976.0</v>
      </c>
    </row>
    <row r="4942">
      <c r="A4942" s="40">
        <f t="array" ref="A4942">IFNA(index(PlayerValues!A:A,match(IFNA(vlookup(B4942,'Special Names'!A:B,2,FALSE),B4942),PlayerValues!E:E,0)),"N/A")</f>
        <v>15718</v>
      </c>
      <c r="B4942" s="4" t="s">
        <v>753</v>
      </c>
      <c r="C4942" s="4" t="s">
        <v>278</v>
      </c>
      <c r="D4942" s="94">
        <v>976.0</v>
      </c>
    </row>
    <row r="4943">
      <c r="A4943" s="40">
        <f t="array" ref="A4943">IFNA(index(PlayerValues!A:A,match(IFNA(vlookup(B4943,'Special Names'!A:B,2,FALSE),B4943),PlayerValues!E:E,0)),"N/A")</f>
        <v>15785</v>
      </c>
      <c r="B4943" s="4" t="s">
        <v>763</v>
      </c>
      <c r="C4943" s="4" t="s">
        <v>287</v>
      </c>
      <c r="D4943" s="94">
        <v>975.0</v>
      </c>
    </row>
    <row r="4944">
      <c r="A4944" s="40">
        <f t="array" ref="A4944">IFNA(index(PlayerValues!A:A,match(IFNA(vlookup(B4944,'Special Names'!A:B,2,FALSE),B4944),PlayerValues!E:E,0)),"N/A")</f>
        <v>15758</v>
      </c>
      <c r="B4944" s="4" t="s">
        <v>724</v>
      </c>
      <c r="C4944" s="4" t="s">
        <v>287</v>
      </c>
      <c r="D4944" s="94">
        <v>964.0</v>
      </c>
    </row>
    <row r="4945">
      <c r="A4945" s="40">
        <f t="array" ref="A4945">IFNA(index(PlayerValues!A:A,match(IFNA(vlookup(B4945,'Special Names'!A:B,2,FALSE),B4945),PlayerValues!E:E,0)),"N/A")</f>
        <v>16678</v>
      </c>
      <c r="B4945" s="4" t="s">
        <v>758</v>
      </c>
      <c r="C4945" s="4" t="s">
        <v>278</v>
      </c>
      <c r="D4945" s="94">
        <v>963.0</v>
      </c>
    </row>
    <row r="4946">
      <c r="A4946" s="40">
        <f t="array" ref="A4946">IFNA(index(PlayerValues!A:A,match(IFNA(vlookup(B4946,'Special Names'!A:B,2,FALSE),B4946),PlayerValues!E:E,0)),"N/A")</f>
        <v>17504</v>
      </c>
      <c r="B4946" s="4" t="s">
        <v>693</v>
      </c>
      <c r="C4946" s="4" t="s">
        <v>287</v>
      </c>
      <c r="D4946" s="94">
        <v>952.0</v>
      </c>
    </row>
    <row r="4947">
      <c r="A4947" s="40">
        <f t="array" ref="A4947">IFNA(index(PlayerValues!A:A,match(IFNA(vlookup(B4947,'Special Names'!A:B,2,FALSE),B4947),PlayerValues!E:E,0)),"N/A")</f>
        <v>14057</v>
      </c>
      <c r="B4947" s="4" t="s">
        <v>765</v>
      </c>
      <c r="C4947" s="4" t="s">
        <v>283</v>
      </c>
      <c r="D4947" s="94">
        <v>951.0</v>
      </c>
    </row>
    <row r="4948">
      <c r="A4948" s="40">
        <f t="array" ref="A4948">IFNA(index(PlayerValues!A:A,match(IFNA(vlookup(B4948,'Special Names'!A:B,2,FALSE),B4948),PlayerValues!E:E,0)),"N/A")</f>
        <v>15239</v>
      </c>
      <c r="B4948" s="4" t="s">
        <v>802</v>
      </c>
      <c r="C4948" s="4" t="s">
        <v>283</v>
      </c>
      <c r="D4948" s="94">
        <v>942.0</v>
      </c>
    </row>
    <row r="4949">
      <c r="A4949" s="40">
        <f t="array" ref="A4949">IFNA(index(PlayerValues!A:A,match(IFNA(vlookup(B4949,'Special Names'!A:B,2,FALSE),B4949),PlayerValues!E:E,0)),"N/A")</f>
        <v>16205</v>
      </c>
      <c r="B4949" s="4" t="s">
        <v>742</v>
      </c>
      <c r="C4949" s="4" t="s">
        <v>287</v>
      </c>
      <c r="D4949" s="94">
        <v>941.0</v>
      </c>
    </row>
    <row r="4950">
      <c r="A4950" s="40">
        <f t="array" ref="A4950">IFNA(index(PlayerValues!A:A,match(IFNA(vlookup(B4950,'Special Names'!A:B,2,FALSE),B4950),PlayerValues!E:E,0)),"N/A")</f>
        <v>14118</v>
      </c>
      <c r="B4950" s="4" t="s">
        <v>771</v>
      </c>
      <c r="C4950" s="4" t="s">
        <v>287</v>
      </c>
      <c r="D4950" s="94">
        <v>937.0</v>
      </c>
    </row>
    <row r="4951">
      <c r="A4951" s="40">
        <f t="array" ref="A4951">IFNA(index(PlayerValues!A:A,match(IFNA(vlookup(B4951,'Special Names'!A:B,2,FALSE),B4951),PlayerValues!E:E,0)),"N/A")</f>
        <v>11247</v>
      </c>
      <c r="B4951" s="4" t="s">
        <v>816</v>
      </c>
      <c r="C4951" s="4" t="s">
        <v>298</v>
      </c>
      <c r="D4951" s="94">
        <v>1295.0</v>
      </c>
    </row>
    <row r="4952">
      <c r="A4952" s="40">
        <f t="array" ref="A4952">IFNA(index(PlayerValues!A:A,match(IFNA(vlookup(B4952,'Special Names'!A:B,2,FALSE),B4952),PlayerValues!E:E,0)),"N/A")</f>
        <v>17518</v>
      </c>
      <c r="B4952" s="4" t="s">
        <v>482</v>
      </c>
      <c r="C4952" s="4" t="s">
        <v>287</v>
      </c>
      <c r="D4952" s="94">
        <v>922.0</v>
      </c>
    </row>
    <row r="4953">
      <c r="A4953" s="40">
        <f t="array" ref="A4953">IFNA(index(PlayerValues!A:A,match(IFNA(vlookup(B4953,'Special Names'!A:B,2,FALSE),B4953),PlayerValues!E:E,0)),"N/A")</f>
        <v>17487</v>
      </c>
      <c r="B4953" s="4" t="s">
        <v>692</v>
      </c>
      <c r="C4953" s="4" t="s">
        <v>278</v>
      </c>
      <c r="D4953" s="94">
        <v>918.0</v>
      </c>
    </row>
    <row r="4954">
      <c r="A4954" s="40">
        <f t="array" ref="A4954">IFNA(index(PlayerValues!A:A,match(IFNA(vlookup(B4954,'Special Names'!A:B,2,FALSE),B4954),PlayerValues!E:E,0)),"N/A")</f>
        <v>16858</v>
      </c>
      <c r="B4954" s="4" t="s">
        <v>754</v>
      </c>
      <c r="C4954" s="4" t="s">
        <v>287</v>
      </c>
      <c r="D4954" s="94">
        <v>912.0</v>
      </c>
    </row>
    <row r="4955">
      <c r="A4955" s="40">
        <f t="array" ref="A4955">IFNA(index(PlayerValues!A:A,match(IFNA(vlookup(B4955,'Special Names'!A:B,2,FALSE),B4955),PlayerValues!E:E,0)),"N/A")</f>
        <v>15626</v>
      </c>
      <c r="B4955" s="4" t="s">
        <v>766</v>
      </c>
      <c r="C4955" s="4" t="s">
        <v>298</v>
      </c>
      <c r="D4955" s="94">
        <v>1260.0</v>
      </c>
    </row>
    <row r="4956">
      <c r="A4956" s="40">
        <f t="array" ref="A4956">IFNA(index(PlayerValues!A:A,match(IFNA(vlookup(B4956,'Special Names'!A:B,2,FALSE),B4956),PlayerValues!E:E,0)),"N/A")</f>
        <v>16219</v>
      </c>
      <c r="B4956" s="4" t="s">
        <v>739</v>
      </c>
      <c r="C4956" s="4" t="s">
        <v>298</v>
      </c>
      <c r="D4956" s="94">
        <v>1250.0</v>
      </c>
    </row>
    <row r="4957">
      <c r="A4957" s="40">
        <f t="array" ref="A4957">IFNA(index(PlayerValues!A:A,match(IFNA(vlookup(B4957,'Special Names'!A:B,2,FALSE),B4957),PlayerValues!E:E,0)),"N/A")</f>
        <v>17479</v>
      </c>
      <c r="B4957" s="4" t="s">
        <v>756</v>
      </c>
      <c r="C4957" s="4" t="s">
        <v>278</v>
      </c>
      <c r="D4957" s="94">
        <v>884.0</v>
      </c>
    </row>
    <row r="4958">
      <c r="A4958" s="40">
        <f t="array" ref="A4958">IFNA(index(PlayerValues!A:A,match(IFNA(vlookup(B4958,'Special Names'!A:B,2,FALSE),B4958),PlayerValues!E:E,0)),"N/A")</f>
        <v>15720</v>
      </c>
      <c r="B4958" s="4" t="s">
        <v>795</v>
      </c>
      <c r="C4958" s="4" t="s">
        <v>278</v>
      </c>
      <c r="D4958" s="94">
        <v>874.0</v>
      </c>
    </row>
    <row r="4959">
      <c r="A4959" s="40">
        <f t="array" ref="A4959">IFNA(index(PlayerValues!A:A,match(IFNA(vlookup(B4959,'Special Names'!A:B,2,FALSE),B4959),PlayerValues!E:E,0)),"N/A")</f>
        <v>16624</v>
      </c>
      <c r="B4959" s="4" t="s">
        <v>796</v>
      </c>
      <c r="C4959" s="4" t="s">
        <v>287</v>
      </c>
      <c r="D4959" s="94">
        <v>872.0</v>
      </c>
    </row>
    <row r="4960">
      <c r="A4960" s="40">
        <f t="array" ref="A4960">IFNA(index(PlayerValues!A:A,match(IFNA(vlookup(B4960,'Special Names'!A:B,2,FALSE),B4960),PlayerValues!E:E,0)),"N/A")</f>
        <v>16416</v>
      </c>
      <c r="B4960" s="4" t="s">
        <v>752</v>
      </c>
      <c r="C4960" s="4" t="s">
        <v>287</v>
      </c>
      <c r="D4960" s="94">
        <v>863.0</v>
      </c>
    </row>
    <row r="4961">
      <c r="A4961" s="40">
        <f t="array" ref="A4961">IFNA(index(PlayerValues!A:A,match(IFNA(vlookup(B4961,'Special Names'!A:B,2,FALSE),B4961),PlayerValues!E:E,0)),"N/A")</f>
        <v>17549</v>
      </c>
      <c r="B4961" s="4" t="s">
        <v>720</v>
      </c>
      <c r="C4961" s="4" t="s">
        <v>298</v>
      </c>
      <c r="D4961" s="94">
        <v>1216.0</v>
      </c>
    </row>
    <row r="4962">
      <c r="A4962" s="40">
        <f t="array" ref="A4962">IFNA(index(PlayerValues!A:A,match(IFNA(vlookup(B4962,'Special Names'!A:B,2,FALSE),B4962),PlayerValues!E:E,0)),"N/A")</f>
        <v>12785</v>
      </c>
      <c r="B4962" s="4" t="s">
        <v>772</v>
      </c>
      <c r="C4962" s="4" t="s">
        <v>287</v>
      </c>
      <c r="D4962" s="94">
        <v>848.0</v>
      </c>
    </row>
    <row r="4963">
      <c r="A4963" s="40">
        <f t="array" ref="A4963">IFNA(index(PlayerValues!A:A,match(IFNA(vlookup(B4963,'Special Names'!A:B,2,FALSE),B4963),PlayerValues!E:E,0)),"N/A")</f>
        <v>16773</v>
      </c>
      <c r="B4963" s="4" t="s">
        <v>783</v>
      </c>
      <c r="C4963" s="4" t="s">
        <v>278</v>
      </c>
      <c r="D4963" s="94">
        <v>839.0</v>
      </c>
    </row>
    <row r="4964">
      <c r="A4964" s="40">
        <f t="array" ref="A4964">IFNA(index(PlayerValues!A:A,match(IFNA(vlookup(B4964,'Special Names'!A:B,2,FALSE),B4964),PlayerValues!E:E,0)),"N/A")</f>
        <v>17654</v>
      </c>
      <c r="B4964" s="4" t="s">
        <v>767</v>
      </c>
      <c r="C4964" s="4" t="s">
        <v>283</v>
      </c>
      <c r="D4964" s="94">
        <v>828.0</v>
      </c>
    </row>
    <row r="4965">
      <c r="A4965" s="40">
        <f t="array" ref="A4965">IFNA(index(PlayerValues!A:A,match(IFNA(vlookup(B4965,'Special Names'!A:B,2,FALSE),B4965),PlayerValues!E:E,0)),"N/A")</f>
        <v>16599</v>
      </c>
      <c r="B4965" s="4" t="s">
        <v>737</v>
      </c>
      <c r="C4965" s="4" t="s">
        <v>278</v>
      </c>
      <c r="D4965" s="94">
        <v>827.0</v>
      </c>
    </row>
    <row r="4966">
      <c r="A4966" s="40">
        <f t="array" ref="A4966">IFNA(index(PlayerValues!A:A,match(IFNA(vlookup(B4966,'Special Names'!A:B,2,FALSE),B4966),PlayerValues!E:E,0)),"N/A")</f>
        <v>17627</v>
      </c>
      <c r="B4966" s="4" t="s">
        <v>684</v>
      </c>
      <c r="C4966" s="4" t="s">
        <v>298</v>
      </c>
      <c r="D4966" s="94">
        <v>1166.0</v>
      </c>
    </row>
    <row r="4967">
      <c r="A4967" s="40">
        <f t="array" ref="A4967">IFNA(index(PlayerValues!A:A,match(IFNA(vlookup(B4967,'Special Names'!A:B,2,FALSE),B4967),PlayerValues!E:E,0)),"N/A")</f>
        <v>16623</v>
      </c>
      <c r="B4967" s="4" t="s">
        <v>803</v>
      </c>
      <c r="C4967" s="4" t="s">
        <v>287</v>
      </c>
      <c r="D4967" s="94">
        <v>799.0</v>
      </c>
    </row>
    <row r="4968">
      <c r="A4968" s="40">
        <f t="array" ref="A4968">IFNA(index(PlayerValues!A:A,match(IFNA(vlookup(B4968,'Special Names'!A:B,2,FALSE),B4968),PlayerValues!E:E,0)),"N/A")</f>
        <v>17486</v>
      </c>
      <c r="B4968" s="4" t="s">
        <v>695</v>
      </c>
      <c r="C4968" s="4" t="s">
        <v>278</v>
      </c>
      <c r="D4968" s="94">
        <v>798.0</v>
      </c>
    </row>
    <row r="4969">
      <c r="A4969" s="40">
        <f t="array" ref="A4969">IFNA(index(PlayerValues!A:A,match(IFNA(vlookup(B4969,'Special Names'!A:B,2,FALSE),B4969),PlayerValues!E:E,0)),"N/A")</f>
        <v>16606</v>
      </c>
      <c r="B4969" s="4" t="s">
        <v>743</v>
      </c>
      <c r="C4969" s="4" t="s">
        <v>278</v>
      </c>
      <c r="D4969" s="94">
        <v>794.0</v>
      </c>
    </row>
    <row r="4970">
      <c r="A4970" s="40">
        <f t="array" ref="A4970">IFNA(index(PlayerValues!A:A,match(IFNA(vlookup(B4970,'Special Names'!A:B,2,FALSE),B4970),PlayerValues!E:E,0)),"N/A")</f>
        <v>17337</v>
      </c>
      <c r="B4970" s="4" t="s">
        <v>793</v>
      </c>
      <c r="C4970" s="4" t="s">
        <v>278</v>
      </c>
      <c r="D4970" s="94">
        <v>787.0</v>
      </c>
    </row>
    <row r="4971">
      <c r="A4971" s="40">
        <f t="array" ref="A4971">IFNA(index(PlayerValues!A:A,match(IFNA(vlookup(B4971,'Special Names'!A:B,2,FALSE),B4971),PlayerValues!E:E,0)),"N/A")</f>
        <v>16751</v>
      </c>
      <c r="B4971" s="4" t="s">
        <v>762</v>
      </c>
      <c r="C4971" s="4" t="s">
        <v>287</v>
      </c>
      <c r="D4971" s="94">
        <v>786.0</v>
      </c>
    </row>
    <row r="4972">
      <c r="A4972" s="40">
        <f t="array" ref="A4972">IFNA(index(PlayerValues!A:A,match(IFNA(vlookup(B4972,'Special Names'!A:B,2,FALSE),B4972),PlayerValues!E:E,0)),"N/A")</f>
        <v>14223</v>
      </c>
      <c r="B4972" s="4" t="s">
        <v>785</v>
      </c>
      <c r="C4972" s="4" t="s">
        <v>278</v>
      </c>
      <c r="D4972" s="94">
        <v>738.0</v>
      </c>
    </row>
    <row r="4973">
      <c r="A4973" s="40">
        <f t="array" ref="A4973">IFNA(index(PlayerValues!A:A,match(IFNA(vlookup(B4973,'Special Names'!A:B,2,FALSE),B4973),PlayerValues!E:E,0)),"N/A")</f>
        <v>17541</v>
      </c>
      <c r="B4973" s="4" t="s">
        <v>616</v>
      </c>
      <c r="C4973" s="4" t="s">
        <v>287</v>
      </c>
      <c r="D4973" s="94">
        <v>721.0</v>
      </c>
    </row>
    <row r="4974">
      <c r="A4974" s="40">
        <f t="array" ref="A4974">IFNA(index(PlayerValues!A:A,match(IFNA(vlookup(B4974,'Special Names'!A:B,2,FALSE),B4974),PlayerValues!E:E,0)),"N/A")</f>
        <v>15723</v>
      </c>
      <c r="B4974" s="4" t="s">
        <v>798</v>
      </c>
      <c r="C4974" s="4" t="s">
        <v>278</v>
      </c>
      <c r="D4974" s="94">
        <v>702.0</v>
      </c>
    </row>
    <row r="4975">
      <c r="A4975" s="40">
        <f t="array" ref="A4975">IFNA(index(PlayerValues!A:A,match(IFNA(vlookup(B4975,'Special Names'!A:B,2,FALSE),B4975),PlayerValues!E:E,0)),"N/A")</f>
        <v>17545</v>
      </c>
      <c r="B4975" s="4" t="s">
        <v>719</v>
      </c>
      <c r="C4975" s="4" t="s">
        <v>298</v>
      </c>
      <c r="D4975" s="94">
        <v>1051.0</v>
      </c>
    </row>
    <row r="4976">
      <c r="A4976" s="40">
        <f t="array" ref="A4976">IFNA(index(PlayerValues!A:A,match(IFNA(vlookup(B4976,'Special Names'!A:B,2,FALSE),B4976),PlayerValues!E:E,0)),"N/A")</f>
        <v>16686</v>
      </c>
      <c r="B4976" s="4" t="s">
        <v>805</v>
      </c>
      <c r="C4976" s="4" t="s">
        <v>287</v>
      </c>
      <c r="D4976" s="94">
        <v>613.0</v>
      </c>
    </row>
    <row r="4977">
      <c r="A4977" s="40">
        <f t="array" ref="A4977">IFNA(index(PlayerValues!A:A,match(IFNA(vlookup(B4977,'Special Names'!A:B,2,FALSE),B4977),PlayerValues!E:E,0)),"N/A")</f>
        <v>13133</v>
      </c>
      <c r="B4977" s="4" t="s">
        <v>764</v>
      </c>
      <c r="C4977" s="4" t="s">
        <v>278</v>
      </c>
      <c r="D4977" s="94">
        <v>599.0</v>
      </c>
    </row>
    <row r="4978">
      <c r="A4978" s="40">
        <f t="array" ref="A4978">IFNA(index(PlayerValues!A:A,match(IFNA(vlookup(B4978,'Special Names'!A:B,2,FALSE),B4978),PlayerValues!E:E,0)),"N/A")</f>
        <v>13138</v>
      </c>
      <c r="B4978" s="4" t="s">
        <v>817</v>
      </c>
      <c r="C4978" s="4" t="s">
        <v>278</v>
      </c>
      <c r="D4978" s="94">
        <v>597.0</v>
      </c>
    </row>
    <row r="4979">
      <c r="A4979" s="40">
        <f t="array" ref="A4979">IFNA(index(PlayerValues!A:A,match(IFNA(vlookup(B4979,'Special Names'!A:B,2,FALSE),B4979),PlayerValues!E:E,0)),"N/A")</f>
        <v>14864</v>
      </c>
      <c r="B4979" s="4" t="s">
        <v>789</v>
      </c>
      <c r="C4979" s="4" t="s">
        <v>287</v>
      </c>
      <c r="D4979" s="94">
        <v>595.0</v>
      </c>
    </row>
    <row r="4980">
      <c r="A4980" s="40">
        <f t="array" ref="A4980">IFNA(index(PlayerValues!A:A,match(IFNA(vlookup(B4980,'Special Names'!A:B,2,FALSE),B4980),PlayerValues!E:E,0)),"N/A")</f>
        <v>16625</v>
      </c>
      <c r="B4980" s="4" t="s">
        <v>778</v>
      </c>
      <c r="C4980" s="4" t="s">
        <v>287</v>
      </c>
      <c r="D4980" s="94">
        <v>554.0</v>
      </c>
    </row>
    <row r="4981">
      <c r="A4981" s="40">
        <f t="array" ref="A4981">IFNA(index(PlayerValues!A:A,match(IFNA(vlookup(B4981,'Special Names'!A:B,2,FALSE),B4981),PlayerValues!E:E,0)),"N/A")</f>
        <v>14858</v>
      </c>
      <c r="B4981" s="4" t="s">
        <v>799</v>
      </c>
      <c r="C4981" s="4" t="s">
        <v>287</v>
      </c>
      <c r="D4981" s="94">
        <v>548.0</v>
      </c>
    </row>
    <row r="4982">
      <c r="A4982" s="40">
        <f t="array" ref="A4982">IFNA(index(PlayerValues!A:A,match(IFNA(vlookup(B4982,'Special Names'!A:B,2,FALSE),B4982),PlayerValues!E:E,0)),"N/A")</f>
        <v>16957</v>
      </c>
      <c r="B4982" s="4" t="s">
        <v>806</v>
      </c>
      <c r="C4982" s="4" t="s">
        <v>278</v>
      </c>
      <c r="D4982" s="94">
        <v>543.0</v>
      </c>
    </row>
    <row r="4983">
      <c r="A4983" s="40">
        <f t="array" ref="A4983">IFNA(index(PlayerValues!A:A,match(IFNA(vlookup(B4983,'Special Names'!A:B,2,FALSE),B4983),PlayerValues!E:E,0)),"N/A")</f>
        <v>15796</v>
      </c>
      <c r="B4983" s="4" t="s">
        <v>794</v>
      </c>
      <c r="C4983" s="4" t="s">
        <v>298</v>
      </c>
      <c r="D4983" s="94">
        <v>884.0</v>
      </c>
    </row>
    <row r="4984">
      <c r="A4984" s="40">
        <f t="array" ref="A4984">IFNA(index(PlayerValues!A:A,match(IFNA(vlookup(B4984,'Special Names'!A:B,2,FALSE),B4984),PlayerValues!E:E,0)),"N/A")</f>
        <v>14805</v>
      </c>
      <c r="B4984" s="4" t="s">
        <v>770</v>
      </c>
      <c r="C4984" s="4" t="s">
        <v>278</v>
      </c>
      <c r="D4984" s="94">
        <v>536.0</v>
      </c>
    </row>
    <row r="4985">
      <c r="A4985" s="40">
        <f t="array" ref="A4985">IFNA(index(PlayerValues!A:A,match(IFNA(vlookup(B4985,'Special Names'!A:B,2,FALSE),B4985),PlayerValues!E:E,0)),"N/A")</f>
        <v>13595</v>
      </c>
      <c r="B4985" s="4" t="s">
        <v>818</v>
      </c>
      <c r="C4985" s="4" t="s">
        <v>283</v>
      </c>
      <c r="D4985" s="94">
        <v>533.0</v>
      </c>
    </row>
    <row r="4986">
      <c r="A4986" s="40">
        <f t="array" ref="A4986">IFNA(index(PlayerValues!A:A,match(IFNA(vlookup(B4986,'Special Names'!A:B,2,FALSE),B4986),PlayerValues!E:E,0)),"N/A")</f>
        <v>17038</v>
      </c>
      <c r="B4986" s="4" t="s">
        <v>774</v>
      </c>
      <c r="C4986" s="4" t="s">
        <v>283</v>
      </c>
      <c r="D4986" s="94">
        <v>530.0</v>
      </c>
    </row>
    <row r="4987">
      <c r="A4987" s="40">
        <f t="array" ref="A4987">IFNA(index(PlayerValues!A:A,match(IFNA(vlookup(B4987,'Special Names'!A:B,2,FALSE),B4987),PlayerValues!E:E,0)),"N/A")</f>
        <v>16159</v>
      </c>
      <c r="B4987" s="4" t="s">
        <v>819</v>
      </c>
      <c r="C4987" s="4" t="s">
        <v>283</v>
      </c>
      <c r="D4987" s="94">
        <v>508.0</v>
      </c>
    </row>
    <row r="4988">
      <c r="A4988" s="40">
        <f t="array" ref="A4988">IFNA(index(PlayerValues!A:A,match(IFNA(vlookup(B4988,'Special Names'!A:B,2,FALSE),B4988),PlayerValues!E:E,0)),"N/A")</f>
        <v>17232</v>
      </c>
      <c r="B4988" s="4" t="s">
        <v>784</v>
      </c>
      <c r="C4988" s="4" t="s">
        <v>287</v>
      </c>
      <c r="D4988" s="94">
        <v>508.0</v>
      </c>
    </row>
    <row r="4989">
      <c r="A4989" s="40">
        <f t="array" ref="A4989">IFNA(index(PlayerValues!A:A,match(IFNA(vlookup(B4989,'Special Names'!A:B,2,FALSE),B4989),PlayerValues!E:E,0)),"N/A")</f>
        <v>15263</v>
      </c>
      <c r="B4989" s="4" t="s">
        <v>804</v>
      </c>
      <c r="C4989" s="4" t="s">
        <v>278</v>
      </c>
      <c r="D4989" s="94">
        <v>506.0</v>
      </c>
    </row>
    <row r="4990">
      <c r="A4990" s="40">
        <f t="array" ref="A4990">IFNA(index(PlayerValues!A:A,match(IFNA(vlookup(B4990,'Special Names'!A:B,2,FALSE),B4990),PlayerValues!E:E,0)),"N/A")</f>
        <v>16299</v>
      </c>
      <c r="B4990" s="4" t="s">
        <v>787</v>
      </c>
      <c r="C4990" s="4" t="s">
        <v>287</v>
      </c>
      <c r="D4990" s="94">
        <v>506.0</v>
      </c>
    </row>
    <row r="4991">
      <c r="A4991" s="40">
        <f t="array" ref="A4991">IFNA(index(PlayerValues!A:A,match(IFNA(vlookup(B4991,'Special Names'!A:B,2,FALSE),B4991),PlayerValues!E:E,0)),"N/A")</f>
        <v>14358</v>
      </c>
      <c r="B4991" s="4" t="s">
        <v>813</v>
      </c>
      <c r="C4991" s="4" t="s">
        <v>283</v>
      </c>
      <c r="D4991" s="94">
        <v>502.0</v>
      </c>
    </row>
    <row r="4992">
      <c r="A4992" s="40">
        <f t="array" ref="A4992">IFNA(index(PlayerValues!A:A,match(IFNA(vlookup(B4992,'Special Names'!A:B,2,FALSE),B4992),PlayerValues!E:E,0)),"N/A")</f>
        <v>17243</v>
      </c>
      <c r="B4992" s="4" t="s">
        <v>810</v>
      </c>
      <c r="C4992" s="4" t="s">
        <v>298</v>
      </c>
      <c r="D4992" s="94">
        <v>848.0</v>
      </c>
    </row>
    <row r="4993">
      <c r="A4993" s="40">
        <f t="array" ref="A4993">IFNA(index(PlayerValues!A:A,match(IFNA(vlookup(B4993,'Special Names'!A:B,2,FALSE),B4993),PlayerValues!E:E,0)),"N/A")</f>
        <v>14875</v>
      </c>
      <c r="B4993" s="4" t="s">
        <v>820</v>
      </c>
      <c r="C4993" s="4" t="s">
        <v>298</v>
      </c>
      <c r="D4993" s="94">
        <v>844.0</v>
      </c>
    </row>
    <row r="4994">
      <c r="A4994" s="40">
        <f t="array" ref="A4994">IFNA(index(PlayerValues!A:A,match(IFNA(vlookup(B4994,'Special Names'!A:B,2,FALSE),B4994),PlayerValues!E:E,0)),"N/A")</f>
        <v>17348</v>
      </c>
      <c r="B4994" s="4" t="s">
        <v>797</v>
      </c>
      <c r="C4994" s="4" t="s">
        <v>278</v>
      </c>
      <c r="D4994" s="94">
        <v>498.0</v>
      </c>
    </row>
    <row r="4995">
      <c r="A4995" s="40">
        <f t="array" ref="A4995">IFNA(index(PlayerValues!A:A,match(IFNA(vlookup(B4995,'Special Names'!A:B,2,FALSE),B4995),PlayerValues!E:E,0)),"N/A")</f>
        <v>15804</v>
      </c>
      <c r="B4995" s="4" t="s">
        <v>821</v>
      </c>
      <c r="C4995" s="4" t="s">
        <v>298</v>
      </c>
      <c r="D4995" s="94">
        <v>843.0</v>
      </c>
    </row>
    <row r="4996">
      <c r="A4996" s="40">
        <f t="array" ref="A4996">IFNA(index(PlayerValues!A:A,match(IFNA(vlookup(B4996,'Special Names'!A:B,2,FALSE),B4996),PlayerValues!E:E,0)),"N/A")</f>
        <v>15714</v>
      </c>
      <c r="B4996" s="4" t="s">
        <v>775</v>
      </c>
      <c r="C4996" s="4" t="s">
        <v>278</v>
      </c>
      <c r="D4996" s="94">
        <v>491.0</v>
      </c>
    </row>
    <row r="4997">
      <c r="A4997" s="40">
        <f t="array" ref="A4997">IFNA(index(PlayerValues!A:A,match(IFNA(vlookup(B4997,'Special Names'!A:B,2,FALSE),B4997),PlayerValues!E:E,0)),"N/A")</f>
        <v>14209</v>
      </c>
      <c r="B4997" s="4" t="s">
        <v>809</v>
      </c>
      <c r="C4997" s="4" t="s">
        <v>298</v>
      </c>
      <c r="D4997" s="94">
        <v>838.0</v>
      </c>
    </row>
    <row r="4998">
      <c r="A4998" s="40">
        <f t="array" ref="A4998">IFNA(index(PlayerValues!A:A,match(IFNA(vlookup(B4998,'Special Names'!A:B,2,FALSE),B4998),PlayerValues!E:E,0)),"N/A")</f>
        <v>15271</v>
      </c>
      <c r="B4998" s="4" t="s">
        <v>741</v>
      </c>
      <c r="C4998" s="4" t="s">
        <v>278</v>
      </c>
      <c r="D4998" s="94">
        <v>489.0</v>
      </c>
    </row>
    <row r="4999">
      <c r="A4999" s="40">
        <f t="array" ref="A4999">IFNA(index(PlayerValues!A:A,match(IFNA(vlookup(B4999,'Special Names'!A:B,2,FALSE),B4999),PlayerValues!E:E,0)),"N/A")</f>
        <v>10413</v>
      </c>
      <c r="B4999" s="4" t="s">
        <v>811</v>
      </c>
      <c r="C4999" s="4" t="s">
        <v>283</v>
      </c>
      <c r="D4999" s="94">
        <v>488.0</v>
      </c>
    </row>
    <row r="5000">
      <c r="A5000" s="40">
        <f t="array" ref="A5000">IFNA(index(PlayerValues!A:A,match(IFNA(vlookup(B5000,'Special Names'!A:B,2,FALSE),B5000),PlayerValues!E:E,0)),"N/A")</f>
        <v>17706</v>
      </c>
      <c r="B5000" s="4" t="s">
        <v>614</v>
      </c>
      <c r="C5000" s="4" t="s">
        <v>287</v>
      </c>
      <c r="D5000" s="94">
        <v>211.0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13589</v>
      </c>
      <c r="B1" s="4" t="s">
        <v>282</v>
      </c>
      <c r="C1" s="4" t="s">
        <v>283</v>
      </c>
      <c r="D1" s="94">
        <v>9995.0</v>
      </c>
    </row>
    <row r="2">
      <c r="A2" s="40">
        <f t="array" ref="A2">IFNA(index(PlayerValues!A:A,match(IFNA(vlookup(B2,'Special Names'!A:B,2,FALSE),B2),PlayerValues!E:E,0)),"N/A")</f>
        <v>16161</v>
      </c>
      <c r="B2" s="4" t="s">
        <v>277</v>
      </c>
      <c r="C2" s="4" t="s">
        <v>278</v>
      </c>
      <c r="D2" s="94">
        <v>9992.0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9968.0</v>
      </c>
    </row>
    <row r="4">
      <c r="A4" s="40">
        <f t="array" ref="A4">IFNA(index(PlayerValues!A:A,match(IFNA(vlookup(B4,'Special Names'!A:B,2,FALSE),B4),PlayerValues!E:E,0)),"N/A")</f>
        <v>16185</v>
      </c>
      <c r="B4" s="4" t="s">
        <v>290</v>
      </c>
      <c r="C4" s="4" t="s">
        <v>287</v>
      </c>
      <c r="D4" s="94">
        <v>9831.0</v>
      </c>
    </row>
    <row r="5">
      <c r="A5" s="40">
        <f t="array" ref="A5">IFNA(index(PlayerValues!A:A,match(IFNA(vlookup(B5,'Special Names'!A:B,2,FALSE),B5),PlayerValues!E:E,0)),"N/A")</f>
        <v>16162</v>
      </c>
      <c r="B5" s="4" t="s">
        <v>281</v>
      </c>
      <c r="C5" s="4" t="s">
        <v>278</v>
      </c>
      <c r="D5" s="94">
        <v>9654.0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9386.0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8603.0</v>
      </c>
    </row>
    <row r="8">
      <c r="A8" s="40">
        <f t="array" ref="A8">IFNA(index(PlayerValues!A:A,match(IFNA(vlookup(B8,'Special Names'!A:B,2,FALSE),B8),PlayerValues!E:E,0)),"N/A")</f>
        <v>16641</v>
      </c>
      <c r="B8" s="4" t="s">
        <v>297</v>
      </c>
      <c r="C8" s="4" t="s">
        <v>298</v>
      </c>
      <c r="D8" s="94">
        <v>8907.0</v>
      </c>
    </row>
    <row r="9">
      <c r="A9" s="40">
        <f t="array" ref="A9">IFNA(index(PlayerValues!A:A,match(IFNA(vlookup(B9,'Special Names'!A:B,2,FALSE),B9),PlayerValues!E:E,0)),"N/A")</f>
        <v>16579</v>
      </c>
      <c r="B9" s="4" t="s">
        <v>302</v>
      </c>
      <c r="C9" s="4" t="s">
        <v>283</v>
      </c>
      <c r="D9" s="94">
        <v>7945.0</v>
      </c>
    </row>
    <row r="10">
      <c r="A10" s="40">
        <f t="array" ref="A10">IFNA(index(PlayerValues!A:A,match(IFNA(vlookup(B10,'Special Names'!A:B,2,FALSE),B10),PlayerValues!E:E,0)),"N/A")</f>
        <v>16581</v>
      </c>
      <c r="B10" s="4" t="s">
        <v>315</v>
      </c>
      <c r="C10" s="4" t="s">
        <v>283</v>
      </c>
      <c r="D10" s="94">
        <v>7848.0</v>
      </c>
    </row>
    <row r="11">
      <c r="A11" s="40">
        <f t="array" ref="A11">IFNA(index(PlayerValues!A:A,match(IFNA(vlookup(B11,'Special Names'!A:B,2,FALSE),B11),PlayerValues!E:E,0)),"N/A")</f>
        <v>15287</v>
      </c>
      <c r="B11" s="4" t="s">
        <v>299</v>
      </c>
      <c r="C11" s="4" t="s">
        <v>287</v>
      </c>
      <c r="D11" s="94">
        <v>7845.0</v>
      </c>
    </row>
    <row r="12">
      <c r="A12" s="40">
        <f t="array" ref="A12">IFNA(index(PlayerValues!A:A,match(IFNA(vlookup(B12,'Special Names'!A:B,2,FALSE),B12),PlayerValues!E:E,0)),"N/A")</f>
        <v>14836</v>
      </c>
      <c r="B12" s="4" t="s">
        <v>306</v>
      </c>
      <c r="C12" s="4" t="s">
        <v>287</v>
      </c>
      <c r="D12" s="94">
        <v>7789.0</v>
      </c>
    </row>
    <row r="13">
      <c r="A13" s="40">
        <f t="array" ref="A13">IFNA(index(PlayerValues!A:A,match(IFNA(vlookup(B13,'Special Names'!A:B,2,FALSE),B13),PlayerValues!E:E,0)),"N/A")</f>
        <v>13593</v>
      </c>
      <c r="B13" s="4" t="s">
        <v>305</v>
      </c>
      <c r="C13" s="4" t="s">
        <v>283</v>
      </c>
      <c r="D13" s="94">
        <v>7650.0</v>
      </c>
    </row>
    <row r="14">
      <c r="A14" s="40">
        <f t="array" ref="A14">IFNA(index(PlayerValues!A:A,match(IFNA(vlookup(B14,'Special Names'!A:B,2,FALSE),B14),PlayerValues!E:E,0)),"N/A")</f>
        <v>17472</v>
      </c>
      <c r="B14" s="4" t="s">
        <v>310</v>
      </c>
      <c r="C14" s="4" t="s">
        <v>278</v>
      </c>
      <c r="D14" s="94">
        <v>7649.0</v>
      </c>
    </row>
    <row r="15">
      <c r="A15" s="40">
        <f t="array" ref="A15">IFNA(index(PlayerValues!A:A,match(IFNA(vlookup(B15,'Special Names'!A:B,2,FALSE),B15),PlayerValues!E:E,0)),"N/A")</f>
        <v>16615</v>
      </c>
      <c r="B15" s="4" t="s">
        <v>309</v>
      </c>
      <c r="C15" s="4" t="s">
        <v>287</v>
      </c>
      <c r="D15" s="94">
        <v>7645.0</v>
      </c>
    </row>
    <row r="16">
      <c r="A16" s="40">
        <f t="array" ref="A16">IFNA(index(PlayerValues!A:A,match(IFNA(vlookup(B16,'Special Names'!A:B,2,FALSE),B16),PlayerValues!E:E,0)),"N/A")</f>
        <v>17042</v>
      </c>
      <c r="B16" s="4" t="s">
        <v>314</v>
      </c>
      <c r="C16" s="4" t="s">
        <v>278</v>
      </c>
      <c r="D16" s="94">
        <v>7576.0</v>
      </c>
    </row>
    <row r="17">
      <c r="A17" s="40">
        <f t="array" ref="A17">IFNA(index(PlayerValues!A:A,match(IFNA(vlookup(B17,'Special Names'!A:B,2,FALSE),B17),PlayerValues!E:E,0)),"N/A")</f>
        <v>15794</v>
      </c>
      <c r="B17" s="4" t="s">
        <v>313</v>
      </c>
      <c r="C17" s="4" t="s">
        <v>298</v>
      </c>
      <c r="D17" s="94">
        <v>8368.0</v>
      </c>
    </row>
    <row r="18">
      <c r="A18" s="40">
        <f t="array" ref="A18">IFNA(index(PlayerValues!A:A,match(IFNA(vlookup(B18,'Special Names'!A:B,2,FALSE),B18),PlayerValues!E:E,0)),"N/A")</f>
        <v>14777</v>
      </c>
      <c r="B18" s="4" t="s">
        <v>318</v>
      </c>
      <c r="C18" s="4" t="s">
        <v>283</v>
      </c>
      <c r="D18" s="94">
        <v>7440.0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7260.0</v>
      </c>
    </row>
    <row r="20">
      <c r="A20" s="40" t="str">
        <f t="array" ref="A20">IFNA(index(PlayerValues!A:A,match(IFNA(vlookup(B20,'Special Names'!A:B,2,FALSE),B20),PlayerValues!E:E,0)),"N/A")</f>
        <v>N/A</v>
      </c>
      <c r="B20" s="4" t="s">
        <v>92</v>
      </c>
      <c r="C20" s="4" t="s">
        <v>325</v>
      </c>
      <c r="D20" s="94">
        <v>7142.0</v>
      </c>
    </row>
    <row r="21">
      <c r="A21" s="40">
        <f t="array" ref="A21">IFNA(index(PlayerValues!A:A,match(IFNA(vlookup(B21,'Special Names'!A:B,2,FALSE),B21),PlayerValues!E:E,0)),"N/A")</f>
        <v>15751</v>
      </c>
      <c r="B21" s="4" t="s">
        <v>328</v>
      </c>
      <c r="C21" s="4" t="s">
        <v>287</v>
      </c>
      <c r="D21" s="94">
        <v>6935.0</v>
      </c>
    </row>
    <row r="22">
      <c r="A22" s="40">
        <f t="array" ref="A22">IFNA(index(PlayerValues!A:A,match(IFNA(vlookup(B22,'Special Names'!A:B,2,FALSE),B22),PlayerValues!E:E,0)),"N/A")</f>
        <v>16167</v>
      </c>
      <c r="B22" s="4" t="s">
        <v>323</v>
      </c>
      <c r="C22" s="4" t="s">
        <v>278</v>
      </c>
      <c r="D22" s="94">
        <v>6914.0</v>
      </c>
    </row>
    <row r="23">
      <c r="A23" s="40">
        <f t="array" ref="A23">IFNA(index(PlayerValues!A:A,match(IFNA(vlookup(B23,'Special Names'!A:B,2,FALSE),B23),PlayerValues!E:E,0)),"N/A")</f>
        <v>14779</v>
      </c>
      <c r="B23" s="4" t="s">
        <v>327</v>
      </c>
      <c r="C23" s="4" t="s">
        <v>283</v>
      </c>
      <c r="D23" s="94">
        <v>6838.0</v>
      </c>
    </row>
    <row r="24">
      <c r="A24" s="40">
        <f t="array" ref="A24">IFNA(index(PlayerValues!A:A,match(IFNA(vlookup(B24,'Special Names'!A:B,2,FALSE),B24),PlayerValues!E:E,0)),"N/A")</f>
        <v>17044</v>
      </c>
      <c r="B24" s="4" t="s">
        <v>322</v>
      </c>
      <c r="C24" s="4" t="s">
        <v>278</v>
      </c>
      <c r="D24" s="94">
        <v>6810.0</v>
      </c>
    </row>
    <row r="25">
      <c r="A25" s="40">
        <f t="array" ref="A25">IFNA(index(PlayerValues!A:A,match(IFNA(vlookup(B25,'Special Names'!A:B,2,FALSE),B25),PlayerValues!E:E,0)),"N/A")</f>
        <v>13116</v>
      </c>
      <c r="B25" s="4" t="s">
        <v>345</v>
      </c>
      <c r="C25" s="4" t="s">
        <v>283</v>
      </c>
      <c r="D25" s="94">
        <v>6688.0</v>
      </c>
    </row>
    <row r="26">
      <c r="A26" s="40">
        <f t="array" ref="A26">IFNA(index(PlayerValues!A:A,match(IFNA(vlookup(B26,'Special Names'!A:B,2,FALSE),B26),PlayerValues!E:E,0)),"N/A")</f>
        <v>17032</v>
      </c>
      <c r="B26" s="4" t="s">
        <v>348</v>
      </c>
      <c r="C26" s="4" t="s">
        <v>283</v>
      </c>
      <c r="D26" s="94">
        <v>6606.0</v>
      </c>
    </row>
    <row r="27">
      <c r="A27" s="40">
        <f t="array" ref="A27">IFNA(index(PlayerValues!A:A,match(IFNA(vlookup(B27,'Special Names'!A:B,2,FALSE),B27),PlayerValues!E:E,0)),"N/A")</f>
        <v>17071</v>
      </c>
      <c r="B27" s="4" t="s">
        <v>341</v>
      </c>
      <c r="C27" s="4" t="s">
        <v>287</v>
      </c>
      <c r="D27" s="94">
        <v>6553.0</v>
      </c>
    </row>
    <row r="28">
      <c r="A28" s="40">
        <f t="array" ref="A28">IFNA(index(PlayerValues!A:A,match(IFNA(vlookup(B28,'Special Names'!A:B,2,FALSE),B28),PlayerValues!E:E,0)),"N/A")</f>
        <v>15237</v>
      </c>
      <c r="B28" s="4" t="s">
        <v>336</v>
      </c>
      <c r="C28" s="4" t="s">
        <v>283</v>
      </c>
      <c r="D28" s="94">
        <v>6373.0</v>
      </c>
    </row>
    <row r="29">
      <c r="A29" s="40">
        <f t="array" ref="A29">IFNA(index(PlayerValues!A:A,match(IFNA(vlookup(B29,'Special Names'!A:B,2,FALSE),B29),PlayerValues!E:E,0)),"N/A")</f>
        <v>14783</v>
      </c>
      <c r="B29" s="4" t="s">
        <v>342</v>
      </c>
      <c r="C29" s="4" t="s">
        <v>283</v>
      </c>
      <c r="D29" s="94">
        <v>6173.0</v>
      </c>
    </row>
    <row r="30">
      <c r="A30" s="40">
        <f t="array" ref="A30">IFNA(index(PlayerValues!A:A,match(IFNA(vlookup(B30,'Special Names'!A:B,2,FALSE),B30),PlayerValues!E:E,0)),"N/A")</f>
        <v>17104</v>
      </c>
      <c r="B30" s="4" t="s">
        <v>333</v>
      </c>
      <c r="C30" s="4" t="s">
        <v>298</v>
      </c>
      <c r="D30" s="94">
        <v>6788.0</v>
      </c>
    </row>
    <row r="31">
      <c r="A31" s="40">
        <f t="array" ref="A31">IFNA(index(PlayerValues!A:A,match(IFNA(vlookup(B31,'Special Names'!A:B,2,FALSE),B31),PlayerValues!E:E,0)),"N/A")</f>
        <v>17081</v>
      </c>
      <c r="B31" s="4" t="s">
        <v>340</v>
      </c>
      <c r="C31" s="4" t="s">
        <v>287</v>
      </c>
      <c r="D31" s="94">
        <v>6086.0</v>
      </c>
    </row>
    <row r="32">
      <c r="A32" s="40">
        <f t="array" ref="A32">IFNA(index(PlayerValues!A:A,match(IFNA(vlookup(B32,'Special Names'!A:B,2,FALSE),B32),PlayerValues!E:E,0)),"N/A")</f>
        <v>16582</v>
      </c>
      <c r="B32" s="4" t="s">
        <v>343</v>
      </c>
      <c r="C32" s="4" t="s">
        <v>283</v>
      </c>
      <c r="D32" s="94">
        <v>6030.0</v>
      </c>
    </row>
    <row r="33">
      <c r="A33" s="40">
        <f t="array" ref="A33">IFNA(index(PlayerValues!A:A,match(IFNA(vlookup(B33,'Special Names'!A:B,2,FALSE),B33),PlayerValues!E:E,0)),"N/A")</f>
        <v>14802</v>
      </c>
      <c r="B33" s="4" t="s">
        <v>332</v>
      </c>
      <c r="C33" s="4" t="s">
        <v>278</v>
      </c>
      <c r="D33" s="94">
        <v>6027.0</v>
      </c>
    </row>
    <row r="34">
      <c r="A34" s="40">
        <f t="array" ref="A34">IFNA(index(PlayerValues!A:A,match(IFNA(vlookup(B34,'Special Names'!A:B,2,FALSE),B34),PlayerValues!E:E,0)),"N/A")</f>
        <v>15715</v>
      </c>
      <c r="B34" s="4" t="s">
        <v>331</v>
      </c>
      <c r="C34" s="4" t="s">
        <v>278</v>
      </c>
      <c r="D34" s="94">
        <v>5983.0</v>
      </c>
    </row>
    <row r="35">
      <c r="A35" s="40">
        <f t="array" ref="A35">IFNA(index(PlayerValues!A:A,match(IFNA(vlookup(B35,'Special Names'!A:B,2,FALSE),B35),PlayerValues!E:E,0)),"N/A")</f>
        <v>17497</v>
      </c>
      <c r="B35" s="4" t="s">
        <v>365</v>
      </c>
      <c r="C35" s="4" t="s">
        <v>287</v>
      </c>
      <c r="D35" s="94">
        <v>5931.0</v>
      </c>
    </row>
    <row r="36">
      <c r="A36" s="40">
        <f t="array" ref="A36">IFNA(index(PlayerValues!A:A,match(IFNA(vlookup(B36,'Special Names'!A:B,2,FALSE),B36),PlayerValues!E:E,0)),"N/A")</f>
        <v>15762</v>
      </c>
      <c r="B36" s="4" t="s">
        <v>337</v>
      </c>
      <c r="C36" s="4" t="s">
        <v>287</v>
      </c>
      <c r="D36" s="94">
        <v>5893.0</v>
      </c>
    </row>
    <row r="37">
      <c r="A37" s="40">
        <f t="array" ref="A37">IFNA(index(PlayerValues!A:A,match(IFNA(vlookup(B37,'Special Names'!A:B,2,FALSE),B37),PlayerValues!E:E,0)),"N/A")</f>
        <v>15698</v>
      </c>
      <c r="B37" s="4" t="s">
        <v>358</v>
      </c>
      <c r="C37" s="4" t="s">
        <v>283</v>
      </c>
      <c r="D37" s="94">
        <v>5853.0</v>
      </c>
    </row>
    <row r="38">
      <c r="A38" s="40">
        <f t="array" ref="A38">IFNA(index(PlayerValues!A:A,match(IFNA(vlookup(B38,'Special Names'!A:B,2,FALSE),B38),PlayerValues!E:E,0)),"N/A")</f>
        <v>17102</v>
      </c>
      <c r="B38" s="4" t="s">
        <v>344</v>
      </c>
      <c r="C38" s="4" t="s">
        <v>298</v>
      </c>
      <c r="D38" s="94">
        <v>6424.0</v>
      </c>
    </row>
    <row r="39">
      <c r="A39" s="40">
        <f t="array" ref="A39">IFNA(index(PlayerValues!A:A,match(IFNA(vlookup(B39,'Special Names'!A:B,2,FALSE),B39),PlayerValues!E:E,0)),"N/A")</f>
        <v>15753</v>
      </c>
      <c r="B39" s="4" t="s">
        <v>359</v>
      </c>
      <c r="C39" s="4" t="s">
        <v>287</v>
      </c>
      <c r="D39" s="94">
        <v>5691.0</v>
      </c>
    </row>
    <row r="40">
      <c r="A40" s="40" t="str">
        <f t="array" ref="A40">IFNA(index(PlayerValues!A:A,match(IFNA(vlookup(B40,'Special Names'!A:B,2,FALSE),B40),PlayerValues!E:E,0)),"N/A")</f>
        <v>N/A</v>
      </c>
      <c r="B40" s="4" t="s">
        <v>93</v>
      </c>
      <c r="C40" s="4" t="s">
        <v>325</v>
      </c>
      <c r="D40" s="94">
        <v>5667.0</v>
      </c>
    </row>
    <row r="41">
      <c r="A41" s="40" t="str">
        <f t="array" ref="A41">IFNA(index(PlayerValues!A:A,match(IFNA(vlookup(B41,'Special Names'!A:B,2,FALSE),B41),PlayerValues!E:E,0)),"N/A")</f>
        <v>N/A</v>
      </c>
      <c r="B41" s="4" t="s">
        <v>79</v>
      </c>
      <c r="C41" s="4" t="s">
        <v>325</v>
      </c>
      <c r="D41" s="94">
        <v>5648.0</v>
      </c>
    </row>
    <row r="42">
      <c r="A42" s="40">
        <f t="array" ref="A42">IFNA(index(PlayerValues!A:A,match(IFNA(vlookup(B42,'Special Names'!A:B,2,FALSE),B42),PlayerValues!E:E,0)),"N/A")</f>
        <v>14782</v>
      </c>
      <c r="B42" s="4" t="s">
        <v>385</v>
      </c>
      <c r="C42" s="4" t="s">
        <v>283</v>
      </c>
      <c r="D42" s="94">
        <v>5616.0</v>
      </c>
    </row>
    <row r="43">
      <c r="A43" s="40">
        <f t="array" ref="A43">IFNA(index(PlayerValues!A:A,match(IFNA(vlookup(B43,'Special Names'!A:B,2,FALSE),B43),PlayerValues!E:E,0)),"N/A")</f>
        <v>17462</v>
      </c>
      <c r="B43" s="4" t="s">
        <v>375</v>
      </c>
      <c r="C43" s="4" t="s">
        <v>283</v>
      </c>
      <c r="D43" s="94">
        <v>5613.0</v>
      </c>
    </row>
    <row r="44">
      <c r="A44" s="40">
        <f t="array" ref="A44">IFNA(index(PlayerValues!A:A,match(IFNA(vlookup(B44,'Special Names'!A:B,2,FALSE),B44),PlayerValues!E:E,0)),"N/A")</f>
        <v>15290</v>
      </c>
      <c r="B44" s="4" t="s">
        <v>355</v>
      </c>
      <c r="C44" s="4" t="s">
        <v>287</v>
      </c>
      <c r="D44" s="94">
        <v>5585.0</v>
      </c>
    </row>
    <row r="45">
      <c r="A45" s="40">
        <f t="array" ref="A45">IFNA(index(PlayerValues!A:A,match(IFNA(vlookup(B45,'Special Names'!A:B,2,FALSE),B45),PlayerValues!E:E,0)),"N/A")</f>
        <v>17051</v>
      </c>
      <c r="B45" s="4" t="s">
        <v>386</v>
      </c>
      <c r="C45" s="4" t="s">
        <v>278</v>
      </c>
      <c r="D45" s="94">
        <v>5519.0</v>
      </c>
    </row>
    <row r="46">
      <c r="A46" s="40">
        <f t="array" ref="A46">IFNA(index(PlayerValues!A:A,match(IFNA(vlookup(B46,'Special Names'!A:B,2,FALSE),B46),PlayerValues!E:E,0)),"N/A")</f>
        <v>15754</v>
      </c>
      <c r="B46" s="4" t="s">
        <v>354</v>
      </c>
      <c r="C46" s="4" t="s">
        <v>287</v>
      </c>
      <c r="D46" s="94">
        <v>5506.0</v>
      </c>
    </row>
    <row r="47">
      <c r="A47" s="40">
        <f t="array" ref="A47">IFNA(index(PlayerValues!A:A,match(IFNA(vlookup(B47,'Special Names'!A:B,2,FALSE),B47),PlayerValues!E:E,0)),"N/A")</f>
        <v>16616</v>
      </c>
      <c r="B47" s="4" t="s">
        <v>389</v>
      </c>
      <c r="C47" s="4" t="s">
        <v>287</v>
      </c>
      <c r="D47" s="94">
        <v>5461.0</v>
      </c>
    </row>
    <row r="48">
      <c r="A48" s="40">
        <f t="array" ref="A48">IFNA(index(PlayerValues!A:A,match(IFNA(vlookup(B48,'Special Names'!A:B,2,FALSE),B48),PlayerValues!E:E,0)),"N/A")</f>
        <v>17030</v>
      </c>
      <c r="B48" s="4" t="s">
        <v>406</v>
      </c>
      <c r="C48" s="4" t="s">
        <v>283</v>
      </c>
      <c r="D48" s="94">
        <v>5445.0</v>
      </c>
    </row>
    <row r="49">
      <c r="A49" s="40">
        <f t="array" ref="A49">IFNA(index(PlayerValues!A:A,match(IFNA(vlookup(B49,'Special Names'!A:B,2,FALSE),B49),PlayerValues!E:E,0)),"N/A")</f>
        <v>15708</v>
      </c>
      <c r="B49" s="4" t="s">
        <v>382</v>
      </c>
      <c r="C49" s="4" t="s">
        <v>278</v>
      </c>
      <c r="D49" s="94">
        <v>5433.0</v>
      </c>
    </row>
    <row r="50">
      <c r="A50" s="40">
        <f t="array" ref="A50">IFNA(index(PlayerValues!A:A,match(IFNA(vlookup(B50,'Special Names'!A:B,2,FALSE),B50),PlayerValues!E:E,0)),"N/A")</f>
        <v>17498</v>
      </c>
      <c r="B50" s="4" t="s">
        <v>396</v>
      </c>
      <c r="C50" s="4" t="s">
        <v>287</v>
      </c>
      <c r="D50" s="94">
        <v>5426.0</v>
      </c>
    </row>
    <row r="51">
      <c r="A51" s="40">
        <f t="array" ref="A51">IFNA(index(PlayerValues!A:A,match(IFNA(vlookup(B51,'Special Names'!A:B,2,FALSE),B51),PlayerValues!E:E,0)),"N/A")</f>
        <v>15711</v>
      </c>
      <c r="B51" s="4" t="s">
        <v>349</v>
      </c>
      <c r="C51" s="4" t="s">
        <v>278</v>
      </c>
      <c r="D51" s="94">
        <v>5421.0</v>
      </c>
    </row>
    <row r="52">
      <c r="A52" s="40">
        <f t="array" ref="A52">IFNA(index(PlayerValues!A:A,match(IFNA(vlookup(B52,'Special Names'!A:B,2,FALSE),B52),PlayerValues!E:E,0)),"N/A")</f>
        <v>16627</v>
      </c>
      <c r="B52" s="4" t="s">
        <v>351</v>
      </c>
      <c r="C52" s="4" t="s">
        <v>287</v>
      </c>
      <c r="D52" s="94">
        <v>5412.0</v>
      </c>
    </row>
    <row r="53">
      <c r="A53" s="40">
        <f t="array" ref="A53">IFNA(index(PlayerValues!A:A,match(IFNA(vlookup(B53,'Special Names'!A:B,2,FALSE),B53),PlayerValues!E:E,0)),"N/A")</f>
        <v>17043</v>
      </c>
      <c r="B53" s="4" t="s">
        <v>397</v>
      </c>
      <c r="C53" s="4" t="s">
        <v>278</v>
      </c>
      <c r="D53" s="94">
        <v>5394.0</v>
      </c>
    </row>
    <row r="54">
      <c r="A54" s="40">
        <f t="array" ref="A54">IFNA(index(PlayerValues!A:A,match(IFNA(vlookup(B54,'Special Names'!A:B,2,FALSE),B54),PlayerValues!E:E,0)),"N/A")</f>
        <v>17070</v>
      </c>
      <c r="B54" s="4" t="s">
        <v>370</v>
      </c>
      <c r="C54" s="4" t="s">
        <v>287</v>
      </c>
      <c r="D54" s="94">
        <v>5291.0</v>
      </c>
    </row>
    <row r="55">
      <c r="A55" s="40">
        <f t="array" ref="A55">IFNA(index(PlayerValues!A:A,match(IFNA(vlookup(B55,'Special Names'!A:B,2,FALSE),B55),PlayerValues!E:E,0)),"N/A")</f>
        <v>15282</v>
      </c>
      <c r="B55" s="4" t="s">
        <v>364</v>
      </c>
      <c r="C55" s="4" t="s">
        <v>287</v>
      </c>
      <c r="D55" s="94">
        <v>5259.0</v>
      </c>
    </row>
    <row r="56">
      <c r="A56" s="40">
        <f t="array" ref="A56">IFNA(index(PlayerValues!A:A,match(IFNA(vlookup(B56,'Special Names'!A:B,2,FALSE),B56),PlayerValues!E:E,0)),"N/A")</f>
        <v>17499</v>
      </c>
      <c r="B56" s="4" t="s">
        <v>402</v>
      </c>
      <c r="C56" s="4" t="s">
        <v>287</v>
      </c>
      <c r="D56" s="94">
        <v>5085.0</v>
      </c>
    </row>
    <row r="57">
      <c r="A57" s="40">
        <f t="array" ref="A57">IFNA(index(PlayerValues!A:A,match(IFNA(vlookup(B57,'Special Names'!A:B,2,FALSE),B57),PlayerValues!E:E,0)),"N/A")</f>
        <v>16614</v>
      </c>
      <c r="B57" s="4" t="s">
        <v>403</v>
      </c>
      <c r="C57" s="4" t="s">
        <v>287</v>
      </c>
      <c r="D57" s="94">
        <v>5062.0</v>
      </c>
    </row>
    <row r="58">
      <c r="A58" s="40">
        <f t="array" ref="A58">IFNA(index(PlayerValues!A:A,match(IFNA(vlookup(B58,'Special Names'!A:B,2,FALSE),B58),PlayerValues!E:E,0)),"N/A")</f>
        <v>13130</v>
      </c>
      <c r="B58" s="4" t="s">
        <v>374</v>
      </c>
      <c r="C58" s="4" t="s">
        <v>278</v>
      </c>
      <c r="D58" s="94">
        <v>5021.0</v>
      </c>
    </row>
    <row r="59">
      <c r="A59" s="40" t="str">
        <f t="array" ref="A59">IFNA(index(PlayerValues!A:A,match(IFNA(vlookup(B59,'Special Names'!A:B,2,FALSE),B59),PlayerValues!E:E,0)),"N/A")</f>
        <v>N/A</v>
      </c>
      <c r="B59" s="4" t="s">
        <v>104</v>
      </c>
      <c r="C59" s="4" t="s">
        <v>325</v>
      </c>
      <c r="D59" s="94">
        <v>5001.0</v>
      </c>
    </row>
    <row r="60">
      <c r="A60" s="40">
        <f t="array" ref="A60">IFNA(index(PlayerValues!A:A,match(IFNA(vlookup(B60,'Special Names'!A:B,2,FALSE),B60),PlayerValues!E:E,0)),"N/A")</f>
        <v>16181</v>
      </c>
      <c r="B60" s="4" t="s">
        <v>350</v>
      </c>
      <c r="C60" s="4" t="s">
        <v>278</v>
      </c>
      <c r="D60" s="94">
        <v>4982.0</v>
      </c>
    </row>
    <row r="61">
      <c r="A61" s="40" t="str">
        <f t="array" ref="A61">IFNA(index(PlayerValues!A:A,match(IFNA(vlookup(B61,'Special Names'!A:B,2,FALSE),B61),PlayerValues!E:E,0)),"N/A")</f>
        <v>N/A</v>
      </c>
      <c r="B61" s="4" t="s">
        <v>94</v>
      </c>
      <c r="C61" s="4" t="s">
        <v>325</v>
      </c>
      <c r="D61" s="94">
        <v>4974.0</v>
      </c>
    </row>
    <row r="62">
      <c r="A62" s="40">
        <f t="array" ref="A62">IFNA(index(PlayerValues!A:A,match(IFNA(vlookup(B62,'Special Names'!A:B,2,FALSE),B62),PlayerValues!E:E,0)),"N/A")</f>
        <v>12620</v>
      </c>
      <c r="B62" s="4" t="s">
        <v>394</v>
      </c>
      <c r="C62" s="4" t="s">
        <v>283</v>
      </c>
      <c r="D62" s="94">
        <v>4972.0</v>
      </c>
    </row>
    <row r="63">
      <c r="A63" s="40">
        <f t="array" ref="A63">IFNA(index(PlayerValues!A:A,match(IFNA(vlookup(B63,'Special Names'!A:B,2,FALSE),B63),PlayerValues!E:E,0)),"N/A")</f>
        <v>17039</v>
      </c>
      <c r="B63" s="4" t="s">
        <v>400</v>
      </c>
      <c r="C63" s="4" t="s">
        <v>283</v>
      </c>
      <c r="D63" s="94">
        <v>4930.0</v>
      </c>
    </row>
    <row r="64">
      <c r="A64" s="40">
        <f t="array" ref="A64">IFNA(index(PlayerValues!A:A,match(IFNA(vlookup(B64,'Special Names'!A:B,2,FALSE),B64),PlayerValues!E:E,0)),"N/A")</f>
        <v>14835</v>
      </c>
      <c r="B64" s="4" t="s">
        <v>392</v>
      </c>
      <c r="C64" s="4" t="s">
        <v>287</v>
      </c>
      <c r="D64" s="94">
        <v>4927.0</v>
      </c>
    </row>
    <row r="65">
      <c r="A65" s="40">
        <f t="array" ref="A65">IFNA(index(PlayerValues!A:A,match(IFNA(vlookup(B65,'Special Names'!A:B,2,FALSE),B65),PlayerValues!E:E,0)),"N/A")</f>
        <v>13604</v>
      </c>
      <c r="B65" s="4" t="s">
        <v>378</v>
      </c>
      <c r="C65" s="4" t="s">
        <v>278</v>
      </c>
      <c r="D65" s="94">
        <v>4913.0</v>
      </c>
    </row>
    <row r="66">
      <c r="A66" s="40">
        <f t="array" ref="A66">IFNA(index(PlayerValues!A:A,match(IFNA(vlookup(B66,'Special Names'!A:B,2,FALSE),B66),PlayerValues!E:E,0)),"N/A")</f>
        <v>16222</v>
      </c>
      <c r="B66" s="4" t="s">
        <v>393</v>
      </c>
      <c r="C66" s="4" t="s">
        <v>298</v>
      </c>
      <c r="D66" s="94">
        <v>5469.0</v>
      </c>
    </row>
    <row r="67">
      <c r="A67" s="40">
        <f t="array" ref="A67">IFNA(index(PlayerValues!A:A,match(IFNA(vlookup(B67,'Special Names'!A:B,2,FALSE),B67),PlayerValues!E:E,0)),"N/A")</f>
        <v>16150</v>
      </c>
      <c r="B67" s="4" t="s">
        <v>414</v>
      </c>
      <c r="C67" s="4" t="s">
        <v>283</v>
      </c>
      <c r="D67" s="94">
        <v>4893.0</v>
      </c>
    </row>
    <row r="68">
      <c r="A68" s="40">
        <f t="array" ref="A68">IFNA(index(PlayerValues!A:A,match(IFNA(vlookup(B68,'Special Names'!A:B,2,FALSE),B68),PlayerValues!E:E,0)),"N/A")</f>
        <v>17103</v>
      </c>
      <c r="B68" s="4" t="s">
        <v>405</v>
      </c>
      <c r="C68" s="4" t="s">
        <v>298</v>
      </c>
      <c r="D68" s="94">
        <v>5458.0</v>
      </c>
    </row>
    <row r="69">
      <c r="A69" s="40">
        <f t="array" ref="A69">IFNA(index(PlayerValues!A:A,match(IFNA(vlookup(B69,'Special Names'!A:B,2,FALSE),B69),PlayerValues!E:E,0)),"N/A")</f>
        <v>15710</v>
      </c>
      <c r="B69" s="4" t="s">
        <v>395</v>
      </c>
      <c r="C69" s="4" t="s">
        <v>278</v>
      </c>
      <c r="D69" s="94">
        <v>4848.0</v>
      </c>
    </row>
    <row r="70">
      <c r="A70" s="40">
        <f t="array" ref="A70">IFNA(index(PlayerValues!A:A,match(IFNA(vlookup(B70,'Special Names'!A:B,2,FALSE),B70),PlayerValues!E:E,0)),"N/A")</f>
        <v>16618</v>
      </c>
      <c r="B70" s="4" t="s">
        <v>411</v>
      </c>
      <c r="C70" s="4" t="s">
        <v>287</v>
      </c>
      <c r="D70" s="94">
        <v>4840.0</v>
      </c>
    </row>
    <row r="71">
      <c r="A71" s="40">
        <f t="array" ref="A71">IFNA(index(PlayerValues!A:A,match(IFNA(vlookup(B71,'Special Names'!A:B,2,FALSE),B71),PlayerValues!E:E,0)),"N/A")</f>
        <v>14104</v>
      </c>
      <c r="B71" s="4" t="s">
        <v>379</v>
      </c>
      <c r="C71" s="4" t="s">
        <v>287</v>
      </c>
      <c r="D71" s="94">
        <v>4837.0</v>
      </c>
    </row>
    <row r="72">
      <c r="A72" s="40">
        <f t="array" ref="A72">IFNA(index(PlayerValues!A:A,match(IFNA(vlookup(B72,'Special Names'!A:B,2,FALSE),B72),PlayerValues!E:E,0)),"N/A")</f>
        <v>17473</v>
      </c>
      <c r="B72" s="4" t="s">
        <v>391</v>
      </c>
      <c r="C72" s="4" t="s">
        <v>278</v>
      </c>
      <c r="D72" s="94">
        <v>4835.0</v>
      </c>
    </row>
    <row r="73">
      <c r="A73" s="40">
        <f t="array" ref="A73">IFNA(index(PlayerValues!A:A,match(IFNA(vlookup(B73,'Special Names'!A:B,2,FALSE),B73),PlayerValues!E:E,0)),"N/A")</f>
        <v>13590</v>
      </c>
      <c r="B73" s="4" t="s">
        <v>409</v>
      </c>
      <c r="C73" s="4" t="s">
        <v>283</v>
      </c>
      <c r="D73" s="94">
        <v>4826.0</v>
      </c>
    </row>
    <row r="74">
      <c r="A74" s="40">
        <f t="array" ref="A74">IFNA(index(PlayerValues!A:A,match(IFNA(vlookup(B74,'Special Names'!A:B,2,FALSE),B74),PlayerValues!E:E,0)),"N/A")</f>
        <v>15284</v>
      </c>
      <c r="B74" s="4" t="s">
        <v>390</v>
      </c>
      <c r="C74" s="4" t="s">
        <v>287</v>
      </c>
      <c r="D74" s="94">
        <v>4824.0</v>
      </c>
    </row>
    <row r="75">
      <c r="A75" s="40">
        <f t="array" ref="A75">IFNA(index(PlayerValues!A:A,match(IFNA(vlookup(B75,'Special Names'!A:B,2,FALSE),B75),PlayerValues!E:E,0)),"N/A")</f>
        <v>16598</v>
      </c>
      <c r="B75" s="4" t="s">
        <v>408</v>
      </c>
      <c r="C75" s="4" t="s">
        <v>278</v>
      </c>
      <c r="D75" s="94">
        <v>4823.0</v>
      </c>
    </row>
    <row r="76">
      <c r="A76" s="40">
        <f t="array" ref="A76">IFNA(index(PlayerValues!A:A,match(IFNA(vlookup(B76,'Special Names'!A:B,2,FALSE),B76),PlayerValues!E:E,0)),"N/A")</f>
        <v>16190</v>
      </c>
      <c r="B76" s="4" t="s">
        <v>371</v>
      </c>
      <c r="C76" s="4" t="s">
        <v>287</v>
      </c>
      <c r="D76" s="94">
        <v>4782.0</v>
      </c>
    </row>
    <row r="77">
      <c r="A77" s="40">
        <f t="array" ref="A77">IFNA(index(PlayerValues!A:A,match(IFNA(vlookup(B77,'Special Names'!A:B,2,FALSE),B77),PlayerValues!E:E,0)),"N/A")</f>
        <v>17045</v>
      </c>
      <c r="B77" s="4" t="s">
        <v>407</v>
      </c>
      <c r="C77" s="4" t="s">
        <v>278</v>
      </c>
      <c r="D77" s="94">
        <v>4714.0</v>
      </c>
    </row>
    <row r="78">
      <c r="A78" s="40">
        <f t="array" ref="A78">IFNA(index(PlayerValues!A:A,match(IFNA(vlookup(B78,'Special Names'!A:B,2,FALSE),B78),PlayerValues!E:E,0)),"N/A")</f>
        <v>12611</v>
      </c>
      <c r="B78" s="4" t="s">
        <v>410</v>
      </c>
      <c r="C78" s="4" t="s">
        <v>283</v>
      </c>
      <c r="D78" s="94">
        <v>4670.0</v>
      </c>
    </row>
    <row r="79">
      <c r="A79" s="40">
        <f t="array" ref="A79">IFNA(index(PlayerValues!A:A,match(IFNA(vlookup(B79,'Special Names'!A:B,2,FALSE),B79),PlayerValues!E:E,0)),"N/A")</f>
        <v>15756</v>
      </c>
      <c r="B79" s="4" t="s">
        <v>399</v>
      </c>
      <c r="C79" s="4" t="s">
        <v>287</v>
      </c>
      <c r="D79" s="94">
        <v>4670.0</v>
      </c>
    </row>
    <row r="80">
      <c r="A80" s="40">
        <f t="array" ref="A80">IFNA(index(PlayerValues!A:A,match(IFNA(vlookup(B80,'Special Names'!A:B,2,FALSE),B80),PlayerValues!E:E,0)),"N/A")</f>
        <v>13592</v>
      </c>
      <c r="B80" s="4" t="s">
        <v>418</v>
      </c>
      <c r="C80" s="4" t="s">
        <v>283</v>
      </c>
      <c r="D80" s="94">
        <v>4639.0</v>
      </c>
    </row>
    <row r="81">
      <c r="A81" s="40" t="str">
        <f t="array" ref="A81">IFNA(index(PlayerValues!A:A,match(IFNA(vlookup(B81,'Special Names'!A:B,2,FALSE),B81),PlayerValues!E:E,0)),"N/A")</f>
        <v>N/A</v>
      </c>
      <c r="B81" s="4" t="s">
        <v>80</v>
      </c>
      <c r="C81" s="4" t="s">
        <v>325</v>
      </c>
      <c r="D81" s="94">
        <v>4564.0</v>
      </c>
    </row>
    <row r="82">
      <c r="A82" s="40">
        <f t="array" ref="A82">IFNA(index(PlayerValues!A:A,match(IFNA(vlookup(B82,'Special Names'!A:B,2,FALSE),B82),PlayerValues!E:E,0)),"N/A")</f>
        <v>16214</v>
      </c>
      <c r="B82" s="4" t="s">
        <v>413</v>
      </c>
      <c r="C82" s="4" t="s">
        <v>298</v>
      </c>
      <c r="D82" s="94">
        <v>5096.0</v>
      </c>
    </row>
    <row r="83">
      <c r="A83" s="40">
        <f t="array" ref="A83">IFNA(index(PlayerValues!A:A,match(IFNA(vlookup(B83,'Special Names'!A:B,2,FALSE),B83),PlayerValues!E:E,0)),"N/A")</f>
        <v>15256</v>
      </c>
      <c r="B83" s="4" t="s">
        <v>401</v>
      </c>
      <c r="C83" s="4" t="s">
        <v>278</v>
      </c>
      <c r="D83" s="94">
        <v>4543.0</v>
      </c>
    </row>
    <row r="84">
      <c r="A84" s="40" t="str">
        <f t="array" ref="A84">IFNA(index(PlayerValues!A:A,match(IFNA(vlookup(B84,'Special Names'!A:B,2,FALSE),B84),PlayerValues!E:E,0)),"N/A")</f>
        <v>N/A</v>
      </c>
      <c r="B84" s="4" t="s">
        <v>105</v>
      </c>
      <c r="C84" s="4" t="s">
        <v>325</v>
      </c>
      <c r="D84" s="94">
        <v>4512.0</v>
      </c>
    </row>
    <row r="85">
      <c r="A85" s="40">
        <f t="array" ref="A85">IFNA(index(PlayerValues!A:A,match(IFNA(vlookup(B85,'Special Names'!A:B,2,FALSE),B85),PlayerValues!E:E,0)),"N/A")</f>
        <v>17501</v>
      </c>
      <c r="B85" s="4" t="s">
        <v>404</v>
      </c>
      <c r="C85" s="4" t="s">
        <v>287</v>
      </c>
      <c r="D85" s="94">
        <v>4505.0</v>
      </c>
    </row>
    <row r="86">
      <c r="A86" s="40">
        <f t="array" ref="A86">IFNA(index(PlayerValues!A:A,match(IFNA(vlookup(B86,'Special Names'!A:B,2,FALSE),B86),PlayerValues!E:E,0)),"N/A")</f>
        <v>15253</v>
      </c>
      <c r="B86" s="4" t="s">
        <v>415</v>
      </c>
      <c r="C86" s="4" t="s">
        <v>278</v>
      </c>
      <c r="D86" s="94">
        <v>4503.0</v>
      </c>
    </row>
    <row r="87">
      <c r="A87" s="40">
        <f t="array" ref="A87">IFNA(index(PlayerValues!A:A,match(IFNA(vlookup(B87,'Special Names'!A:B,2,FALSE),B87),PlayerValues!E:E,0)),"N/A")</f>
        <v>16194</v>
      </c>
      <c r="B87" s="4" t="s">
        <v>398</v>
      </c>
      <c r="C87" s="4" t="s">
        <v>287</v>
      </c>
      <c r="D87" s="94">
        <v>4482.0</v>
      </c>
    </row>
    <row r="88">
      <c r="A88" s="40">
        <f t="array" ref="A88">IFNA(index(PlayerValues!A:A,match(IFNA(vlookup(B88,'Special Names'!A:B,2,FALSE),B88),PlayerValues!E:E,0)),"N/A")</f>
        <v>16148</v>
      </c>
      <c r="B88" s="4" t="s">
        <v>426</v>
      </c>
      <c r="C88" s="4" t="s">
        <v>283</v>
      </c>
      <c r="D88" s="94">
        <v>4464.0</v>
      </c>
    </row>
    <row r="89">
      <c r="A89" s="40">
        <f t="array" ref="A89">IFNA(index(PlayerValues!A:A,match(IFNA(vlookup(B89,'Special Names'!A:B,2,FALSE),B89),PlayerValues!E:E,0)),"N/A")</f>
        <v>15329</v>
      </c>
      <c r="B89" s="4" t="s">
        <v>416</v>
      </c>
      <c r="C89" s="4" t="s">
        <v>298</v>
      </c>
      <c r="D89" s="94">
        <v>4984.0</v>
      </c>
    </row>
    <row r="90">
      <c r="A90" s="40">
        <f t="array" ref="A90">IFNA(index(PlayerValues!A:A,match(IFNA(vlookup(B90,'Special Names'!A:B,2,FALSE),B90),PlayerValues!E:E,0)),"N/A")</f>
        <v>17543</v>
      </c>
      <c r="B90" s="4" t="s">
        <v>436</v>
      </c>
      <c r="C90" s="4" t="s">
        <v>298</v>
      </c>
      <c r="D90" s="94">
        <v>4666.0</v>
      </c>
    </row>
    <row r="91">
      <c r="A91" s="40">
        <f t="array" ref="A91">IFNA(index(PlayerValues!A:A,match(IFNA(vlookup(B91,'Special Names'!A:B,2,FALSE),B91),PlayerValues!E:E,0)),"N/A")</f>
        <v>14056</v>
      </c>
      <c r="B91" s="4" t="s">
        <v>423</v>
      </c>
      <c r="C91" s="4" t="s">
        <v>283</v>
      </c>
      <c r="D91" s="94">
        <v>4094.0</v>
      </c>
    </row>
    <row r="92">
      <c r="A92" s="40" t="str">
        <f t="array" ref="A92">IFNA(index(PlayerValues!A:A,match(IFNA(vlookup(B92,'Special Names'!A:B,2,FALSE),B92),PlayerValues!E:E,0)),"N/A")</f>
        <v>N/A</v>
      </c>
      <c r="B92" s="4" t="s">
        <v>107</v>
      </c>
      <c r="C92" s="4" t="s">
        <v>325</v>
      </c>
      <c r="D92" s="94">
        <v>4091.0</v>
      </c>
    </row>
    <row r="93">
      <c r="A93" s="40">
        <f t="array" ref="A93">IFNA(index(PlayerValues!A:A,match(IFNA(vlookup(B93,'Special Names'!A:B,2,FALSE),B93),PlayerValues!E:E,0)),"N/A")</f>
        <v>15768</v>
      </c>
      <c r="B93" s="4" t="s">
        <v>432</v>
      </c>
      <c r="C93" s="4" t="s">
        <v>287</v>
      </c>
      <c r="D93" s="94">
        <v>4079.0</v>
      </c>
    </row>
    <row r="94">
      <c r="A94" s="40">
        <f t="array" ref="A94">IFNA(index(PlayerValues!A:A,match(IFNA(vlookup(B94,'Special Names'!A:B,2,FALSE),B94),PlayerValues!E:E,0)),"N/A")</f>
        <v>16186</v>
      </c>
      <c r="B94" s="4" t="s">
        <v>425</v>
      </c>
      <c r="C94" s="4" t="s">
        <v>287</v>
      </c>
      <c r="D94" s="94">
        <v>4016.0</v>
      </c>
    </row>
    <row r="95">
      <c r="A95" s="40">
        <f t="array" ref="A95">IFNA(index(PlayerValues!A:A,match(IFNA(vlookup(B95,'Special Names'!A:B,2,FALSE),B95),PlayerValues!E:E,0)),"N/A")</f>
        <v>12626</v>
      </c>
      <c r="B95" s="4" t="s">
        <v>419</v>
      </c>
      <c r="C95" s="4" t="s">
        <v>278</v>
      </c>
      <c r="D95" s="94">
        <v>3965.0</v>
      </c>
    </row>
    <row r="96">
      <c r="A96" s="40">
        <f t="array" ref="A96">IFNA(index(PlayerValues!A:A,match(IFNA(vlookup(B96,'Special Names'!A:B,2,FALSE),B96),PlayerValues!E:E,0)),"N/A")</f>
        <v>15694</v>
      </c>
      <c r="B96" s="4" t="s">
        <v>434</v>
      </c>
      <c r="C96" s="4" t="s">
        <v>283</v>
      </c>
      <c r="D96" s="94">
        <v>3959.0</v>
      </c>
    </row>
    <row r="97">
      <c r="A97" s="40" t="str">
        <f t="array" ref="A97">IFNA(index(PlayerValues!A:A,match(IFNA(vlookup(B97,'Special Names'!A:B,2,FALSE),B97),PlayerValues!E:E,0)),"N/A")</f>
        <v>N/A</v>
      </c>
      <c r="B97" s="4" t="s">
        <v>81</v>
      </c>
      <c r="C97" s="4" t="s">
        <v>325</v>
      </c>
      <c r="D97" s="94">
        <v>3954.0</v>
      </c>
    </row>
    <row r="98">
      <c r="A98" s="40">
        <f t="array" ref="A98">IFNA(index(PlayerValues!A:A,match(IFNA(vlookup(B98,'Special Names'!A:B,2,FALSE),B98),PlayerValues!E:E,0)),"N/A")</f>
        <v>14059</v>
      </c>
      <c r="B98" s="4" t="s">
        <v>435</v>
      </c>
      <c r="C98" s="4" t="s">
        <v>283</v>
      </c>
      <c r="D98" s="94">
        <v>3951.0</v>
      </c>
    </row>
    <row r="99">
      <c r="A99" s="40">
        <f t="array" ref="A99">IFNA(index(PlayerValues!A:A,match(IFNA(vlookup(B99,'Special Names'!A:B,2,FALSE),B99),PlayerValues!E:E,0)),"N/A")</f>
        <v>17052</v>
      </c>
      <c r="B99" s="4" t="s">
        <v>417</v>
      </c>
      <c r="C99" s="4" t="s">
        <v>278</v>
      </c>
      <c r="D99" s="94">
        <v>3916.0</v>
      </c>
    </row>
    <row r="100">
      <c r="A100" s="40" t="str">
        <f t="array" ref="A100">IFNA(index(PlayerValues!A:A,match(IFNA(vlookup(B100,'Special Names'!A:B,2,FALSE),B100),PlayerValues!E:E,0)),"N/A")</f>
        <v>N/A</v>
      </c>
      <c r="B100" s="4" t="s">
        <v>95</v>
      </c>
      <c r="C100" s="4" t="s">
        <v>325</v>
      </c>
      <c r="D100" s="94">
        <v>3909.0</v>
      </c>
    </row>
    <row r="101">
      <c r="A101" s="40">
        <f t="array" ref="A101">IFNA(index(PlayerValues!A:A,match(IFNA(vlookup(B101,'Special Names'!A:B,2,FALSE),B101),PlayerValues!E:E,0)),"N/A")</f>
        <v>17502</v>
      </c>
      <c r="B101" s="4" t="s">
        <v>451</v>
      </c>
      <c r="C101" s="4" t="s">
        <v>287</v>
      </c>
      <c r="D101" s="94">
        <v>3827.0</v>
      </c>
    </row>
    <row r="102">
      <c r="A102" s="40">
        <f t="array" ref="A102">IFNA(index(PlayerValues!A:A,match(IFNA(vlookup(B102,'Special Names'!A:B,2,FALSE),B102),PlayerValues!E:E,0)),"N/A")</f>
        <v>15789</v>
      </c>
      <c r="B102" s="4" t="s">
        <v>421</v>
      </c>
      <c r="C102" s="4" t="s">
        <v>287</v>
      </c>
      <c r="D102" s="94">
        <v>3742.0</v>
      </c>
    </row>
    <row r="103">
      <c r="A103" s="40">
        <f t="array" ref="A103">IFNA(index(PlayerValues!A:A,match(IFNA(vlookup(B103,'Special Names'!A:B,2,FALSE),B103),PlayerValues!E:E,0)),"N/A")</f>
        <v>9431</v>
      </c>
      <c r="B103" s="4" t="s">
        <v>428</v>
      </c>
      <c r="C103" s="4" t="s">
        <v>283</v>
      </c>
      <c r="D103" s="94">
        <v>3737.0</v>
      </c>
    </row>
    <row r="104">
      <c r="A104" s="40">
        <f t="array" ref="A104">IFNA(index(PlayerValues!A:A,match(IFNA(vlookup(B104,'Special Names'!A:B,2,FALSE),B104),PlayerValues!E:E,0)),"N/A")</f>
        <v>13635</v>
      </c>
      <c r="B104" s="4" t="s">
        <v>424</v>
      </c>
      <c r="C104" s="4" t="s">
        <v>287</v>
      </c>
      <c r="D104" s="94">
        <v>3716.0</v>
      </c>
    </row>
    <row r="105">
      <c r="A105" s="40">
        <f t="array" ref="A105">IFNA(index(PlayerValues!A:A,match(IFNA(vlookup(B105,'Special Names'!A:B,2,FALSE),B105),PlayerValues!E:E,0)),"N/A")</f>
        <v>17075</v>
      </c>
      <c r="B105" s="4" t="s">
        <v>429</v>
      </c>
      <c r="C105" s="4" t="s">
        <v>287</v>
      </c>
      <c r="D105" s="94">
        <v>3710.0</v>
      </c>
    </row>
    <row r="106">
      <c r="A106" s="40">
        <f t="array" ref="A106">IFNA(index(PlayerValues!A:A,match(IFNA(vlookup(B106,'Special Names'!A:B,2,FALSE),B106),PlayerValues!E:E,0)),"N/A")</f>
        <v>17544</v>
      </c>
      <c r="B106" s="4" t="s">
        <v>470</v>
      </c>
      <c r="C106" s="4" t="s">
        <v>298</v>
      </c>
      <c r="D106" s="94">
        <v>4183.0</v>
      </c>
    </row>
    <row r="107">
      <c r="A107" s="40">
        <f t="array" ref="A107">IFNA(index(PlayerValues!A:A,match(IFNA(vlookup(B107,'Special Names'!A:B,2,FALSE),B107),PlayerValues!E:E,0)),"N/A")</f>
        <v>17066</v>
      </c>
      <c r="B107" s="4" t="s">
        <v>446</v>
      </c>
      <c r="C107" s="4" t="s">
        <v>278</v>
      </c>
      <c r="D107" s="94">
        <v>3669.0</v>
      </c>
    </row>
    <row r="108">
      <c r="A108" s="40">
        <f t="array" ref="A108">IFNA(index(PlayerValues!A:A,match(IFNA(vlookup(B108,'Special Names'!A:B,2,FALSE),B108),PlayerValues!E:E,0)),"N/A")</f>
        <v>17463</v>
      </c>
      <c r="B108" s="4" t="s">
        <v>433</v>
      </c>
      <c r="C108" s="4" t="s">
        <v>283</v>
      </c>
      <c r="D108" s="94">
        <v>3669.0</v>
      </c>
    </row>
    <row r="109">
      <c r="A109" s="40">
        <f t="array" ref="A109">IFNA(index(PlayerValues!A:A,match(IFNA(vlookup(B109,'Special Names'!A:B,2,FALSE),B109),PlayerValues!E:E,0)),"N/A")</f>
        <v>16206</v>
      </c>
      <c r="B109" s="4" t="s">
        <v>431</v>
      </c>
      <c r="C109" s="4" t="s">
        <v>287</v>
      </c>
      <c r="D109" s="94">
        <v>3646.0</v>
      </c>
    </row>
    <row r="110">
      <c r="A110" s="40">
        <f t="array" ref="A110">IFNA(index(PlayerValues!A:A,match(IFNA(vlookup(B110,'Special Names'!A:B,2,FALSE),B110),PlayerValues!E:E,0)),"N/A")</f>
        <v>17099</v>
      </c>
      <c r="B110" s="4" t="s">
        <v>474</v>
      </c>
      <c r="C110" s="4" t="s">
        <v>298</v>
      </c>
      <c r="D110" s="94">
        <v>4100.0</v>
      </c>
    </row>
    <row r="111">
      <c r="A111" s="40">
        <f t="array" ref="A111">IFNA(index(PlayerValues!A:A,match(IFNA(vlookup(B111,'Special Names'!A:B,2,FALSE),B111),PlayerValues!E:E,0)),"N/A")</f>
        <v>16187</v>
      </c>
      <c r="B111" s="4" t="s">
        <v>441</v>
      </c>
      <c r="C111" s="4" t="s">
        <v>287</v>
      </c>
      <c r="D111" s="94">
        <v>3598.0</v>
      </c>
    </row>
    <row r="112">
      <c r="A112" s="40">
        <f t="array" ref="A112">IFNA(index(PlayerValues!A:A,match(IFNA(vlookup(B112,'Special Names'!A:B,2,FALSE),B112),PlayerValues!E:E,0)),"N/A")</f>
        <v>15757</v>
      </c>
      <c r="B112" s="4" t="s">
        <v>449</v>
      </c>
      <c r="C112" s="4" t="s">
        <v>287</v>
      </c>
      <c r="D112" s="94">
        <v>3594.0</v>
      </c>
    </row>
    <row r="113">
      <c r="A113" s="40">
        <f t="array" ref="A113">IFNA(index(PlayerValues!A:A,match(IFNA(vlookup(B113,'Special Names'!A:B,2,FALSE),B113),PlayerValues!E:E,0)),"N/A")</f>
        <v>14073</v>
      </c>
      <c r="B113" s="4" t="s">
        <v>464</v>
      </c>
      <c r="C113" s="4" t="s">
        <v>278</v>
      </c>
      <c r="D113" s="94">
        <v>3553.0</v>
      </c>
    </row>
    <row r="114">
      <c r="A114" s="40">
        <f t="array" ref="A114">IFNA(index(PlayerValues!A:A,match(IFNA(vlookup(B114,'Special Names'!A:B,2,FALSE),B114),PlayerValues!E:E,0)),"N/A")</f>
        <v>14797</v>
      </c>
      <c r="B114" s="4" t="s">
        <v>420</v>
      </c>
      <c r="C114" s="4" t="s">
        <v>278</v>
      </c>
      <c r="D114" s="94">
        <v>3553.0</v>
      </c>
    </row>
    <row r="115">
      <c r="A115" s="40">
        <f t="array" ref="A115">IFNA(index(PlayerValues!A:A,match(IFNA(vlookup(B115,'Special Names'!A:B,2,FALSE),B115),PlayerValues!E:E,0)),"N/A")</f>
        <v>16192</v>
      </c>
      <c r="B115" s="4" t="s">
        <v>412</v>
      </c>
      <c r="C115" s="4" t="s">
        <v>287</v>
      </c>
      <c r="D115" s="94">
        <v>3550.0</v>
      </c>
    </row>
    <row r="116">
      <c r="A116" s="40">
        <f t="array" ref="A116">IFNA(index(PlayerValues!A:A,match(IFNA(vlookup(B116,'Special Names'!A:B,2,FALSE),B116),PlayerValues!E:E,0)),"N/A")</f>
        <v>14102</v>
      </c>
      <c r="B116" s="4" t="s">
        <v>444</v>
      </c>
      <c r="C116" s="4" t="s">
        <v>287</v>
      </c>
      <c r="D116" s="94">
        <v>3523.0</v>
      </c>
    </row>
    <row r="117">
      <c r="A117" s="40" t="str">
        <f t="array" ref="A117">IFNA(index(PlayerValues!A:A,match(IFNA(vlookup(B117,'Special Names'!A:B,2,FALSE),B117),PlayerValues!E:E,0)),"N/A")</f>
        <v>N/A</v>
      </c>
      <c r="B117" s="4" t="s">
        <v>96</v>
      </c>
      <c r="C117" s="4" t="s">
        <v>325</v>
      </c>
      <c r="D117" s="94">
        <v>3488.0</v>
      </c>
    </row>
    <row r="118">
      <c r="A118" s="40">
        <f t="array" ref="A118">IFNA(index(PlayerValues!A:A,match(IFNA(vlookup(B118,'Special Names'!A:B,2,FALSE),B118),PlayerValues!E:E,0)),"N/A")</f>
        <v>14109</v>
      </c>
      <c r="B118" s="4" t="s">
        <v>437</v>
      </c>
      <c r="C118" s="4" t="s">
        <v>287</v>
      </c>
      <c r="D118" s="94">
        <v>3461.0</v>
      </c>
    </row>
    <row r="119">
      <c r="A119" s="40">
        <f t="array" ref="A119">IFNA(index(PlayerValues!A:A,match(IFNA(vlookup(B119,'Special Names'!A:B,2,FALSE),B119),PlayerValues!E:E,0)),"N/A")</f>
        <v>16184</v>
      </c>
      <c r="B119" s="4" t="s">
        <v>445</v>
      </c>
      <c r="C119" s="4" t="s">
        <v>287</v>
      </c>
      <c r="D119" s="94">
        <v>3459.0</v>
      </c>
    </row>
    <row r="120">
      <c r="A120" s="40">
        <f t="array" ref="A120">IFNA(index(PlayerValues!A:A,match(IFNA(vlookup(B120,'Special Names'!A:B,2,FALSE),B120),PlayerValues!E:E,0)),"N/A")</f>
        <v>16622</v>
      </c>
      <c r="B120" s="4" t="s">
        <v>517</v>
      </c>
      <c r="C120" s="4" t="s">
        <v>287</v>
      </c>
      <c r="D120" s="94">
        <v>3454.0</v>
      </c>
    </row>
    <row r="121">
      <c r="A121" s="40">
        <f t="array" ref="A121">IFNA(index(PlayerValues!A:A,match(IFNA(vlookup(B121,'Special Names'!A:B,2,FALSE),B121),PlayerValues!E:E,0)),"N/A")</f>
        <v>17068</v>
      </c>
      <c r="B121" s="4" t="s">
        <v>450</v>
      </c>
      <c r="C121" s="4" t="s">
        <v>278</v>
      </c>
      <c r="D121" s="94">
        <v>3436.0</v>
      </c>
    </row>
    <row r="122">
      <c r="A122" s="40">
        <f t="array" ref="A122">IFNA(index(PlayerValues!A:A,match(IFNA(vlookup(B122,'Special Names'!A:B,2,FALSE),B122),PlayerValues!E:E,0)),"N/A")</f>
        <v>17500</v>
      </c>
      <c r="B122" s="4" t="s">
        <v>430</v>
      </c>
      <c r="C122" s="4" t="s">
        <v>287</v>
      </c>
      <c r="D122" s="94">
        <v>3435.0</v>
      </c>
    </row>
    <row r="123">
      <c r="A123" s="40">
        <f t="array" ref="A123">IFNA(index(PlayerValues!A:A,match(IFNA(vlookup(B123,'Special Names'!A:B,2,FALSE),B123),PlayerValues!E:E,0)),"N/A")</f>
        <v>15798</v>
      </c>
      <c r="B123" s="4" t="s">
        <v>443</v>
      </c>
      <c r="C123" s="4" t="s">
        <v>298</v>
      </c>
      <c r="D123" s="94">
        <v>3830.0</v>
      </c>
    </row>
    <row r="124">
      <c r="A124" s="40">
        <f t="array" ref="A124">IFNA(index(PlayerValues!A:A,match(IFNA(vlookup(B124,'Special Names'!A:B,2,FALSE),B124),PlayerValues!E:E,0)),"N/A")</f>
        <v>16169</v>
      </c>
      <c r="B124" s="4" t="s">
        <v>457</v>
      </c>
      <c r="C124" s="4" t="s">
        <v>278</v>
      </c>
      <c r="D124" s="94">
        <v>3375.0</v>
      </c>
    </row>
    <row r="125">
      <c r="A125" s="40">
        <f t="array" ref="A125">IFNA(index(PlayerValues!A:A,match(IFNA(vlookup(B125,'Special Names'!A:B,2,FALSE),B125),PlayerValues!E:E,0)),"N/A")</f>
        <v>17083</v>
      </c>
      <c r="B125" s="4" t="s">
        <v>479</v>
      </c>
      <c r="C125" s="4" t="s">
        <v>287</v>
      </c>
      <c r="D125" s="94">
        <v>3373.0</v>
      </c>
    </row>
    <row r="126">
      <c r="A126" s="40">
        <f t="array" ref="A126">IFNA(index(PlayerValues!A:A,match(IFNA(vlookup(B126,'Special Names'!A:B,2,FALSE),B126),PlayerValues!E:E,0)),"N/A")</f>
        <v>14071</v>
      </c>
      <c r="B126" s="4" t="s">
        <v>440</v>
      </c>
      <c r="C126" s="4" t="s">
        <v>278</v>
      </c>
      <c r="D126" s="94">
        <v>3370.0</v>
      </c>
    </row>
    <row r="127">
      <c r="A127" s="40">
        <f t="array" ref="A127">IFNA(index(PlayerValues!A:A,match(IFNA(vlookup(B127,'Special Names'!A:B,2,FALSE),B127),PlayerValues!E:E,0)),"N/A")</f>
        <v>17074</v>
      </c>
      <c r="B127" s="4" t="s">
        <v>475</v>
      </c>
      <c r="C127" s="4" t="s">
        <v>287</v>
      </c>
      <c r="D127" s="94">
        <v>3368.0</v>
      </c>
    </row>
    <row r="128">
      <c r="A128" s="40">
        <f t="array" ref="A128">IFNA(index(PlayerValues!A:A,match(IFNA(vlookup(B128,'Special Names'!A:B,2,FALSE),B128),PlayerValues!E:E,0)),"N/A")</f>
        <v>16620</v>
      </c>
      <c r="B128" s="4" t="s">
        <v>467</v>
      </c>
      <c r="C128" s="4" t="s">
        <v>287</v>
      </c>
      <c r="D128" s="94">
        <v>3363.0</v>
      </c>
    </row>
    <row r="129">
      <c r="A129" s="40">
        <f t="array" ref="A129">IFNA(index(PlayerValues!A:A,match(IFNA(vlookup(B129,'Special Names'!A:B,2,FALSE),B129),PlayerValues!E:E,0)),"N/A")</f>
        <v>14842</v>
      </c>
      <c r="B129" s="4" t="s">
        <v>456</v>
      </c>
      <c r="C129" s="4" t="s">
        <v>287</v>
      </c>
      <c r="D129" s="94">
        <v>3361.0</v>
      </c>
    </row>
    <row r="130">
      <c r="A130" s="40">
        <f t="array" ref="A130">IFNA(index(PlayerValues!A:A,match(IFNA(vlookup(B130,'Special Names'!A:B,2,FALSE),B130),PlayerValues!E:E,0)),"N/A")</f>
        <v>16188</v>
      </c>
      <c r="B130" s="4" t="s">
        <v>439</v>
      </c>
      <c r="C130" s="4" t="s">
        <v>287</v>
      </c>
      <c r="D130" s="94">
        <v>3352.0</v>
      </c>
    </row>
    <row r="131">
      <c r="A131" s="40">
        <f t="array" ref="A131">IFNA(index(PlayerValues!A:A,match(IFNA(vlookup(B131,'Special Names'!A:B,2,FALSE),B131),PlayerValues!E:E,0)),"N/A")</f>
        <v>15261</v>
      </c>
      <c r="B131" s="4" t="s">
        <v>466</v>
      </c>
      <c r="C131" s="4" t="s">
        <v>278</v>
      </c>
      <c r="D131" s="94">
        <v>3326.0</v>
      </c>
    </row>
    <row r="132">
      <c r="A132" s="40" t="str">
        <f t="array" ref="A132">IFNA(index(PlayerValues!A:A,match(IFNA(vlookup(B132,'Special Names'!A:B,2,FALSE),B132),PlayerValues!E:E,0)),"N/A")</f>
        <v>N/A</v>
      </c>
      <c r="B132" s="4" t="s">
        <v>82</v>
      </c>
      <c r="C132" s="4" t="s">
        <v>325</v>
      </c>
      <c r="D132" s="94">
        <v>3295.0</v>
      </c>
    </row>
    <row r="133">
      <c r="A133" s="40">
        <f t="array" ref="A133">IFNA(index(PlayerValues!A:A,match(IFNA(vlookup(B133,'Special Names'!A:B,2,FALSE),B133),PlayerValues!E:E,0)),"N/A")</f>
        <v>16593</v>
      </c>
      <c r="B133" s="4" t="s">
        <v>442</v>
      </c>
      <c r="C133" s="4" t="s">
        <v>278</v>
      </c>
      <c r="D133" s="94">
        <v>3285.0</v>
      </c>
    </row>
    <row r="134">
      <c r="A134" s="40">
        <f t="array" ref="A134">IFNA(index(PlayerValues!A:A,match(IFNA(vlookup(B134,'Special Names'!A:B,2,FALSE),B134),PlayerValues!E:E,0)),"N/A")</f>
        <v>11671</v>
      </c>
      <c r="B134" s="4" t="s">
        <v>463</v>
      </c>
      <c r="C134" s="4" t="s">
        <v>287</v>
      </c>
      <c r="D134" s="94">
        <v>3279.0</v>
      </c>
    </row>
    <row r="135">
      <c r="A135" s="40">
        <f t="array" ref="A135">IFNA(index(PlayerValues!A:A,match(IFNA(vlookup(B135,'Special Names'!A:B,2,FALSE),B135),PlayerValues!E:E,0)),"N/A")</f>
        <v>11675</v>
      </c>
      <c r="B135" s="4" t="s">
        <v>438</v>
      </c>
      <c r="C135" s="4" t="s">
        <v>287</v>
      </c>
      <c r="D135" s="94">
        <v>3279.0</v>
      </c>
    </row>
    <row r="136">
      <c r="A136" s="40">
        <f t="array" ref="A136">IFNA(index(PlayerValues!A:A,match(IFNA(vlookup(B136,'Special Names'!A:B,2,FALSE),B136),PlayerValues!E:E,0)),"N/A")</f>
        <v>16213</v>
      </c>
      <c r="B136" s="4" t="s">
        <v>458</v>
      </c>
      <c r="C136" s="4" t="s">
        <v>298</v>
      </c>
      <c r="D136" s="94">
        <v>3683.0</v>
      </c>
    </row>
    <row r="137">
      <c r="A137" s="40">
        <f t="array" ref="A137">IFNA(index(PlayerValues!A:A,match(IFNA(vlookup(B137,'Special Names'!A:B,2,FALSE),B137),PlayerValues!E:E,0)),"N/A")</f>
        <v>13299</v>
      </c>
      <c r="B137" s="4" t="s">
        <v>448</v>
      </c>
      <c r="C137" s="4" t="s">
        <v>298</v>
      </c>
      <c r="D137" s="94">
        <v>3674.0</v>
      </c>
    </row>
    <row r="138">
      <c r="A138" s="40">
        <f t="array" ref="A138">IFNA(index(PlayerValues!A:A,match(IFNA(vlookup(B138,'Special Names'!A:B,2,FALSE),B138),PlayerValues!E:E,0)),"N/A")</f>
        <v>15779</v>
      </c>
      <c r="B138" s="4" t="s">
        <v>461</v>
      </c>
      <c r="C138" s="4" t="s">
        <v>287</v>
      </c>
      <c r="D138" s="94">
        <v>3221.0</v>
      </c>
    </row>
    <row r="139">
      <c r="A139" s="40">
        <f t="array" ref="A139">IFNA(index(PlayerValues!A:A,match(IFNA(vlookup(B139,'Special Names'!A:B,2,FALSE),B139),PlayerValues!E:E,0)),"N/A")</f>
        <v>15799</v>
      </c>
      <c r="B139" s="4" t="s">
        <v>468</v>
      </c>
      <c r="C139" s="4" t="s">
        <v>298</v>
      </c>
      <c r="D139" s="94">
        <v>3658.0</v>
      </c>
    </row>
    <row r="140">
      <c r="A140" s="40">
        <f t="array" ref="A140">IFNA(index(PlayerValues!A:A,match(IFNA(vlookup(B140,'Special Names'!A:B,2,FALSE),B140),PlayerValues!E:E,0)),"N/A")</f>
        <v>16597</v>
      </c>
      <c r="B140" s="4" t="s">
        <v>427</v>
      </c>
      <c r="C140" s="4" t="s">
        <v>278</v>
      </c>
      <c r="D140" s="94">
        <v>3200.0</v>
      </c>
    </row>
    <row r="141">
      <c r="A141" s="40">
        <f t="array" ref="A141">IFNA(index(PlayerValues!A:A,match(IFNA(vlookup(B141,'Special Names'!A:B,2,FALSE),B141),PlayerValues!E:E,0)),"N/A")</f>
        <v>14823</v>
      </c>
      <c r="B141" s="4" t="s">
        <v>459</v>
      </c>
      <c r="C141" s="4" t="s">
        <v>278</v>
      </c>
      <c r="D141" s="94">
        <v>3193.0</v>
      </c>
    </row>
    <row r="142">
      <c r="A142" s="40" t="str">
        <f t="array" ref="A142">IFNA(index(PlayerValues!A:A,match(IFNA(vlookup(B142,'Special Names'!A:B,2,FALSE),B142),PlayerValues!E:E,0)),"N/A")</f>
        <v>N/A</v>
      </c>
      <c r="B142" s="4" t="s">
        <v>108</v>
      </c>
      <c r="C142" s="4" t="s">
        <v>325</v>
      </c>
      <c r="D142" s="94">
        <v>3178.0</v>
      </c>
    </row>
    <row r="143">
      <c r="A143" s="40">
        <f t="array" ref="A143">IFNA(index(PlayerValues!A:A,match(IFNA(vlookup(B143,'Special Names'!A:B,2,FALSE),B143),PlayerValues!E:E,0)),"N/A")</f>
        <v>17477</v>
      </c>
      <c r="B143" s="4" t="s">
        <v>452</v>
      </c>
      <c r="C143" s="4" t="s">
        <v>278</v>
      </c>
      <c r="D143" s="94">
        <v>3161.0</v>
      </c>
    </row>
    <row r="144">
      <c r="A144" s="40">
        <f t="array" ref="A144">IFNA(index(PlayerValues!A:A,match(IFNA(vlookup(B144,'Special Names'!A:B,2,FALSE),B144),PlayerValues!E:E,0)),"N/A")</f>
        <v>15742</v>
      </c>
      <c r="B144" s="4" t="s">
        <v>447</v>
      </c>
      <c r="C144" s="4" t="s">
        <v>278</v>
      </c>
      <c r="D144" s="94">
        <v>3159.0</v>
      </c>
    </row>
    <row r="145">
      <c r="A145" s="40">
        <f t="array" ref="A145">IFNA(index(PlayerValues!A:A,match(IFNA(vlookup(B145,'Special Names'!A:B,2,FALSE),B145),PlayerValues!E:E,0)),"N/A")</f>
        <v>16583</v>
      </c>
      <c r="B145" s="4" t="s">
        <v>493</v>
      </c>
      <c r="C145" s="4" t="s">
        <v>283</v>
      </c>
      <c r="D145" s="94">
        <v>3157.0</v>
      </c>
    </row>
    <row r="146">
      <c r="A146" s="40" t="str">
        <f t="array" ref="A146">IFNA(index(PlayerValues!A:A,match(IFNA(vlookup(B146,'Special Names'!A:B,2,FALSE),B146),PlayerValues!E:E,0)),"N/A")</f>
        <v>N/A</v>
      </c>
      <c r="B146" s="4" t="s">
        <v>97</v>
      </c>
      <c r="C146" s="4" t="s">
        <v>325</v>
      </c>
      <c r="D146" s="94">
        <v>3155.0</v>
      </c>
    </row>
    <row r="147">
      <c r="A147" s="40">
        <f t="array" ref="A147">IFNA(index(PlayerValues!A:A,match(IFNA(vlookup(B147,'Special Names'!A:B,2,FALSE),B147),PlayerValues!E:E,0)),"N/A")</f>
        <v>13630</v>
      </c>
      <c r="B147" s="4" t="s">
        <v>465</v>
      </c>
      <c r="C147" s="4" t="s">
        <v>287</v>
      </c>
      <c r="D147" s="94">
        <v>3152.0</v>
      </c>
    </row>
    <row r="148">
      <c r="A148" s="40">
        <f t="array" ref="A148">IFNA(index(PlayerValues!A:A,match(IFNA(vlookup(B148,'Special Names'!A:B,2,FALSE),B148),PlayerValues!E:E,0)),"N/A")</f>
        <v>14127</v>
      </c>
      <c r="B148" s="4" t="s">
        <v>486</v>
      </c>
      <c r="C148" s="4" t="s">
        <v>287</v>
      </c>
      <c r="D148" s="94">
        <v>3139.0</v>
      </c>
    </row>
    <row r="149">
      <c r="A149" s="40">
        <f t="array" ref="A149">IFNA(index(PlayerValues!A:A,match(IFNA(vlookup(B149,'Special Names'!A:B,2,FALSE),B149),PlayerValues!E:E,0)),"N/A")</f>
        <v>16809</v>
      </c>
      <c r="B149" s="4" t="s">
        <v>455</v>
      </c>
      <c r="C149" s="4" t="s">
        <v>287</v>
      </c>
      <c r="D149" s="94">
        <v>3068.0</v>
      </c>
    </row>
    <row r="150">
      <c r="A150" s="40">
        <f t="array" ref="A150">IFNA(index(PlayerValues!A:A,match(IFNA(vlookup(B150,'Special Names'!A:B,2,FALSE),B150),PlayerValues!E:E,0)),"N/A")</f>
        <v>16269</v>
      </c>
      <c r="B150" s="4" t="s">
        <v>481</v>
      </c>
      <c r="C150" s="4" t="s">
        <v>298</v>
      </c>
      <c r="D150" s="94">
        <v>3435.0</v>
      </c>
    </row>
    <row r="151">
      <c r="A151" s="40">
        <f t="array" ref="A151">IFNA(index(PlayerValues!A:A,match(IFNA(vlookup(B151,'Special Names'!A:B,2,FALSE),B151),PlayerValues!E:E,0)),"N/A")</f>
        <v>17506</v>
      </c>
      <c r="B151" s="4" t="s">
        <v>471</v>
      </c>
      <c r="C151" s="4" t="s">
        <v>287</v>
      </c>
      <c r="D151" s="94">
        <v>2999.0</v>
      </c>
    </row>
    <row r="152">
      <c r="A152" s="40">
        <f t="array" ref="A152">IFNA(index(PlayerValues!A:A,match(IFNA(vlookup(B152,'Special Names'!A:B,2,FALSE),B152),PlayerValues!E:E,0)),"N/A")</f>
        <v>15761</v>
      </c>
      <c r="B152" s="4" t="s">
        <v>491</v>
      </c>
      <c r="C152" s="4" t="s">
        <v>287</v>
      </c>
      <c r="D152" s="94">
        <v>2990.0</v>
      </c>
    </row>
    <row r="153">
      <c r="A153" s="40" t="str">
        <f t="array" ref="A153">IFNA(index(PlayerValues!A:A,match(IFNA(vlookup(B153,'Special Names'!A:B,2,FALSE),B153),PlayerValues!E:E,0)),"N/A")</f>
        <v>N/A</v>
      </c>
      <c r="B153" s="4" t="s">
        <v>109</v>
      </c>
      <c r="C153" s="4" t="s">
        <v>325</v>
      </c>
      <c r="D153" s="94">
        <v>2979.0</v>
      </c>
    </row>
    <row r="154">
      <c r="A154" s="40">
        <f t="array" ref="A154">IFNA(index(PlayerValues!A:A,match(IFNA(vlookup(B154,'Special Names'!A:B,2,FALSE),B154),PlayerValues!E:E,0)),"N/A")</f>
        <v>14800</v>
      </c>
      <c r="B154" s="4" t="s">
        <v>472</v>
      </c>
      <c r="C154" s="4" t="s">
        <v>278</v>
      </c>
      <c r="D154" s="94">
        <v>2966.0</v>
      </c>
    </row>
    <row r="155">
      <c r="A155" s="40">
        <f t="array" ref="A155">IFNA(index(PlayerValues!A:A,match(IFNA(vlookup(B155,'Special Names'!A:B,2,FALSE),B155),PlayerValues!E:E,0)),"N/A")</f>
        <v>17512</v>
      </c>
      <c r="B155" s="4" t="s">
        <v>483</v>
      </c>
      <c r="C155" s="4" t="s">
        <v>287</v>
      </c>
      <c r="D155" s="94">
        <v>2966.0</v>
      </c>
    </row>
    <row r="156">
      <c r="A156" s="40">
        <f t="array" ref="A156">IFNA(index(PlayerValues!A:A,match(IFNA(vlookup(B156,'Special Names'!A:B,2,FALSE),B156),PlayerValues!E:E,0)),"N/A")</f>
        <v>17503</v>
      </c>
      <c r="B156" s="4" t="s">
        <v>480</v>
      </c>
      <c r="C156" s="4" t="s">
        <v>287</v>
      </c>
      <c r="D156" s="94">
        <v>2964.0</v>
      </c>
    </row>
    <row r="157">
      <c r="A157" s="40">
        <f t="array" ref="A157">IFNA(index(PlayerValues!A:A,match(IFNA(vlookup(B157,'Special Names'!A:B,2,FALSE),B157),PlayerValues!E:E,0)),"N/A")</f>
        <v>13163</v>
      </c>
      <c r="B157" s="4" t="s">
        <v>473</v>
      </c>
      <c r="C157" s="4" t="s">
        <v>287</v>
      </c>
      <c r="D157" s="94">
        <v>2962.0</v>
      </c>
    </row>
    <row r="158">
      <c r="A158" s="40">
        <f t="array" ref="A158">IFNA(index(PlayerValues!A:A,match(IFNA(vlookup(B158,'Special Names'!A:B,2,FALSE),B158),PlayerValues!E:E,0)),"N/A")</f>
        <v>16628</v>
      </c>
      <c r="B158" s="4" t="s">
        <v>490</v>
      </c>
      <c r="C158" s="4" t="s">
        <v>287</v>
      </c>
      <c r="D158" s="94">
        <v>2957.0</v>
      </c>
    </row>
    <row r="159">
      <c r="A159" s="40" t="str">
        <f t="array" ref="A159">IFNA(index(PlayerValues!A:A,match(IFNA(vlookup(B159,'Special Names'!A:B,2,FALSE),B159),PlayerValues!E:E,0)),"N/A")</f>
        <v>N/A</v>
      </c>
      <c r="B159" s="4" t="s">
        <v>84</v>
      </c>
      <c r="C159" s="4" t="s">
        <v>325</v>
      </c>
      <c r="D159" s="94">
        <v>2953.0</v>
      </c>
    </row>
    <row r="160">
      <c r="A160" s="40">
        <f t="array" ref="A160">IFNA(index(PlayerValues!A:A,match(IFNA(vlookup(B160,'Special Names'!A:B,2,FALSE),B160),PlayerValues!E:E,0)),"N/A")</f>
        <v>17476</v>
      </c>
      <c r="B160" s="4" t="s">
        <v>494</v>
      </c>
      <c r="C160" s="4" t="s">
        <v>278</v>
      </c>
      <c r="D160" s="94">
        <v>2944.0</v>
      </c>
    </row>
    <row r="161">
      <c r="A161" s="40">
        <f t="array" ref="A161">IFNA(index(PlayerValues!A:A,match(IFNA(vlookup(B161,'Special Names'!A:B,2,FALSE),B161),PlayerValues!E:E,0)),"N/A")</f>
        <v>17256</v>
      </c>
      <c r="B161" s="4" t="s">
        <v>462</v>
      </c>
      <c r="C161" s="4" t="s">
        <v>278</v>
      </c>
      <c r="D161" s="94">
        <v>2938.0</v>
      </c>
    </row>
    <row r="162">
      <c r="A162" s="40">
        <f t="array" ref="A162">IFNA(index(PlayerValues!A:A,match(IFNA(vlookup(B162,'Special Names'!A:B,2,FALSE),B162),PlayerValues!E:E,0)),"N/A")</f>
        <v>15259</v>
      </c>
      <c r="B162" s="4" t="s">
        <v>453</v>
      </c>
      <c r="C162" s="4" t="s">
        <v>278</v>
      </c>
      <c r="D162" s="94">
        <v>2917.0</v>
      </c>
    </row>
    <row r="163">
      <c r="A163" s="40">
        <f t="array" ref="A163">IFNA(index(PlayerValues!A:A,match(IFNA(vlookup(B163,'Special Names'!A:B,2,FALSE),B163),PlayerValues!E:E,0)),"N/A")</f>
        <v>16080</v>
      </c>
      <c r="B163" s="4" t="s">
        <v>499</v>
      </c>
      <c r="C163" s="4" t="s">
        <v>287</v>
      </c>
      <c r="D163" s="94">
        <v>2887.0</v>
      </c>
    </row>
    <row r="164">
      <c r="A164" s="40">
        <f t="array" ref="A164">IFNA(index(PlayerValues!A:A,match(IFNA(vlookup(B164,'Special Names'!A:B,2,FALSE),B164),PlayerValues!E:E,0)),"N/A")</f>
        <v>16584</v>
      </c>
      <c r="B164" s="4" t="s">
        <v>569</v>
      </c>
      <c r="C164" s="4" t="s">
        <v>283</v>
      </c>
      <c r="D164" s="94">
        <v>2853.0</v>
      </c>
    </row>
    <row r="165">
      <c r="A165" s="40" t="str">
        <f t="array" ref="A165">IFNA(index(PlayerValues!A:A,match(IFNA(vlookup(B165,'Special Names'!A:B,2,FALSE),B165),PlayerValues!E:E,0)),"N/A")</f>
        <v>N/A</v>
      </c>
      <c r="B165" s="4" t="s">
        <v>85</v>
      </c>
      <c r="C165" s="4" t="s">
        <v>325</v>
      </c>
      <c r="D165" s="94">
        <v>2833.0</v>
      </c>
    </row>
    <row r="166">
      <c r="A166" s="40">
        <f t="array" ref="A166">IFNA(index(PlayerValues!A:A,match(IFNA(vlookup(B166,'Special Names'!A:B,2,FALSE),B166),PlayerValues!E:E,0)),"N/A")</f>
        <v>15255</v>
      </c>
      <c r="B166" s="4" t="s">
        <v>477</v>
      </c>
      <c r="C166" s="4" t="s">
        <v>278</v>
      </c>
      <c r="D166" s="94">
        <v>2829.0</v>
      </c>
    </row>
    <row r="167">
      <c r="A167" s="40" t="str">
        <f t="array" ref="A167">IFNA(index(PlayerValues!A:A,match(IFNA(vlookup(B167,'Special Names'!A:B,2,FALSE),B167),PlayerValues!E:E,0)),"N/A")</f>
        <v>N/A</v>
      </c>
      <c r="B167" s="4" t="s">
        <v>110</v>
      </c>
      <c r="C167" s="4" t="s">
        <v>325</v>
      </c>
      <c r="D167" s="94">
        <v>2819.0</v>
      </c>
    </row>
    <row r="168">
      <c r="A168" s="40">
        <f t="array" ref="A168">IFNA(index(PlayerValues!A:A,match(IFNA(vlookup(B168,'Special Names'!A:B,2,FALSE),B168),PlayerValues!E:E,0)),"N/A")</f>
        <v>17157</v>
      </c>
      <c r="B168" s="4" t="s">
        <v>524</v>
      </c>
      <c r="C168" s="4" t="s">
        <v>287</v>
      </c>
      <c r="D168" s="94">
        <v>2810.0</v>
      </c>
    </row>
    <row r="169">
      <c r="A169" s="40">
        <f t="array" ref="A169">IFNA(index(PlayerValues!A:A,match(IFNA(vlookup(B169,'Special Names'!A:B,2,FALSE),B169),PlayerValues!E:E,0)),"N/A")</f>
        <v>17053</v>
      </c>
      <c r="B169" s="4" t="s">
        <v>484</v>
      </c>
      <c r="C169" s="4" t="s">
        <v>278</v>
      </c>
      <c r="D169" s="94">
        <v>2806.0</v>
      </c>
    </row>
    <row r="170">
      <c r="A170" s="40">
        <f t="array" ref="A170">IFNA(index(PlayerValues!A:A,match(IFNA(vlookup(B170,'Special Names'!A:B,2,FALSE),B170),PlayerValues!E:E,0)),"N/A")</f>
        <v>14085</v>
      </c>
      <c r="B170" s="4" t="s">
        <v>489</v>
      </c>
      <c r="C170" s="4" t="s">
        <v>278</v>
      </c>
      <c r="D170" s="94">
        <v>2797.0</v>
      </c>
    </row>
    <row r="171">
      <c r="A171" s="40">
        <f t="array" ref="A171">IFNA(index(PlayerValues!A:A,match(IFNA(vlookup(B171,'Special Names'!A:B,2,FALSE),B171),PlayerValues!E:E,0)),"N/A")</f>
        <v>14138</v>
      </c>
      <c r="B171" s="4" t="s">
        <v>531</v>
      </c>
      <c r="C171" s="4" t="s">
        <v>298</v>
      </c>
      <c r="D171" s="94">
        <v>3210.0</v>
      </c>
    </row>
    <row r="172">
      <c r="A172" s="40">
        <f t="array" ref="A172">IFNA(index(PlayerValues!A:A,match(IFNA(vlookup(B172,'Special Names'!A:B,2,FALSE),B172),PlayerValues!E:E,0)),"N/A")</f>
        <v>17505</v>
      </c>
      <c r="B172" s="4" t="s">
        <v>528</v>
      </c>
      <c r="C172" s="4" t="s">
        <v>287</v>
      </c>
      <c r="D172" s="94">
        <v>2783.0</v>
      </c>
    </row>
    <row r="173">
      <c r="A173" s="40">
        <f t="array" ref="A173">IFNA(index(PlayerValues!A:A,match(IFNA(vlookup(B173,'Special Names'!A:B,2,FALSE),B173),PlayerValues!E:E,0)),"N/A")</f>
        <v>17072</v>
      </c>
      <c r="B173" s="4" t="s">
        <v>508</v>
      </c>
      <c r="C173" s="4" t="s">
        <v>287</v>
      </c>
      <c r="D173" s="94">
        <v>2767.0</v>
      </c>
    </row>
    <row r="174">
      <c r="A174" s="40">
        <f t="array" ref="A174">IFNA(index(PlayerValues!A:A,match(IFNA(vlookup(B174,'Special Names'!A:B,2,FALSE),B174),PlayerValues!E:E,0)),"N/A")</f>
        <v>16723</v>
      </c>
      <c r="B174" s="4" t="s">
        <v>502</v>
      </c>
      <c r="C174" s="4" t="s">
        <v>298</v>
      </c>
      <c r="D174" s="94">
        <v>3180.0</v>
      </c>
    </row>
    <row r="175">
      <c r="A175" s="40">
        <f t="array" ref="A175">IFNA(index(PlayerValues!A:A,match(IFNA(vlookup(B175,'Special Names'!A:B,2,FALSE),B175),PlayerValues!E:E,0)),"N/A")</f>
        <v>13671</v>
      </c>
      <c r="B175" s="4" t="s">
        <v>506</v>
      </c>
      <c r="C175" s="4" t="s">
        <v>298</v>
      </c>
      <c r="D175" s="94">
        <v>3176.0</v>
      </c>
    </row>
    <row r="176">
      <c r="A176" s="40">
        <f t="array" ref="A176">IFNA(index(PlayerValues!A:A,match(IFNA(vlookup(B176,'Special Names'!A:B,2,FALSE),B176),PlayerValues!E:E,0)),"N/A")</f>
        <v>17031</v>
      </c>
      <c r="B176" s="4" t="s">
        <v>535</v>
      </c>
      <c r="C176" s="4" t="s">
        <v>283</v>
      </c>
      <c r="D176" s="94">
        <v>2749.0</v>
      </c>
    </row>
    <row r="177">
      <c r="A177" s="40">
        <f t="array" ref="A177">IFNA(index(PlayerValues!A:A,match(IFNA(vlookup(B177,'Special Names'!A:B,2,FALSE),B177),PlayerValues!E:E,0)),"N/A")</f>
        <v>17047</v>
      </c>
      <c r="B177" s="4" t="s">
        <v>510</v>
      </c>
      <c r="C177" s="4" t="s">
        <v>278</v>
      </c>
      <c r="D177" s="94">
        <v>2748.0</v>
      </c>
    </row>
    <row r="178">
      <c r="A178" s="40">
        <f t="array" ref="A178">IFNA(index(PlayerValues!A:A,match(IFNA(vlookup(B178,'Special Names'!A:B,2,FALSE),B178),PlayerValues!E:E,0)),"N/A")</f>
        <v>15889</v>
      </c>
      <c r="B178" s="4" t="s">
        <v>503</v>
      </c>
      <c r="C178" s="4" t="s">
        <v>298</v>
      </c>
      <c r="D178" s="94">
        <v>3146.0</v>
      </c>
    </row>
    <row r="179">
      <c r="A179" s="40">
        <f t="array" ref="A179">IFNA(index(PlayerValues!A:A,match(IFNA(vlookup(B179,'Special Names'!A:B,2,FALSE),B179),PlayerValues!E:E,0)),"N/A")</f>
        <v>14778</v>
      </c>
      <c r="B179" s="4" t="s">
        <v>564</v>
      </c>
      <c r="C179" s="4" t="s">
        <v>283</v>
      </c>
      <c r="D179" s="94">
        <v>2733.0</v>
      </c>
    </row>
    <row r="180">
      <c r="A180" s="40">
        <f t="array" ref="A180">IFNA(index(PlayerValues!A:A,match(IFNA(vlookup(B180,'Special Names'!A:B,2,FALSE),B180),PlayerValues!E:E,0)),"N/A")</f>
        <v>15721</v>
      </c>
      <c r="B180" s="4" t="s">
        <v>504</v>
      </c>
      <c r="C180" s="4" t="s">
        <v>278</v>
      </c>
      <c r="D180" s="94">
        <v>2732.0</v>
      </c>
    </row>
    <row r="181">
      <c r="A181" s="40">
        <f t="array" ref="A181">IFNA(index(PlayerValues!A:A,match(IFNA(vlookup(B181,'Special Names'!A:B,2,FALSE),B181),PlayerValues!E:E,0)),"N/A")</f>
        <v>15712</v>
      </c>
      <c r="B181" s="4" t="s">
        <v>488</v>
      </c>
      <c r="C181" s="4" t="s">
        <v>278</v>
      </c>
      <c r="D181" s="94">
        <v>2729.0</v>
      </c>
    </row>
    <row r="182">
      <c r="A182" s="40">
        <f t="array" ref="A182">IFNA(index(PlayerValues!A:A,match(IFNA(vlookup(B182,'Special Names'!A:B,2,FALSE),B182),PlayerValues!E:E,0)),"N/A")</f>
        <v>17098</v>
      </c>
      <c r="B182" s="4" t="s">
        <v>533</v>
      </c>
      <c r="C182" s="4" t="s">
        <v>287</v>
      </c>
      <c r="D182" s="94">
        <v>2706.0</v>
      </c>
    </row>
    <row r="183">
      <c r="A183" s="40">
        <f t="array" ref="A183">IFNA(index(PlayerValues!A:A,match(IFNA(vlookup(B183,'Special Names'!A:B,2,FALSE),B183),PlayerValues!E:E,0)),"N/A")</f>
        <v>17507</v>
      </c>
      <c r="B183" s="4" t="s">
        <v>495</v>
      </c>
      <c r="C183" s="4" t="s">
        <v>287</v>
      </c>
      <c r="D183" s="94">
        <v>2695.0</v>
      </c>
    </row>
    <row r="184">
      <c r="A184" s="40">
        <f t="array" ref="A184">IFNA(index(PlayerValues!A:A,match(IFNA(vlookup(B184,'Special Names'!A:B,2,FALSE),B184),PlayerValues!E:E,0)),"N/A")</f>
        <v>17511</v>
      </c>
      <c r="B184" s="4" t="s">
        <v>485</v>
      </c>
      <c r="C184" s="4" t="s">
        <v>287</v>
      </c>
      <c r="D184" s="94">
        <v>2690.0</v>
      </c>
    </row>
    <row r="185">
      <c r="A185" s="40">
        <f t="array" ref="A185">IFNA(index(PlayerValues!A:A,match(IFNA(vlookup(B185,'Special Names'!A:B,2,FALSE),B185),PlayerValues!E:E,0)),"N/A")</f>
        <v>14860</v>
      </c>
      <c r="B185" s="4" t="s">
        <v>554</v>
      </c>
      <c r="C185" s="4" t="s">
        <v>287</v>
      </c>
      <c r="D185" s="94">
        <v>2689.0</v>
      </c>
    </row>
    <row r="186">
      <c r="A186" s="40">
        <f t="array" ref="A186">IFNA(index(PlayerValues!A:A,match(IFNA(vlookup(B186,'Special Names'!A:B,2,FALSE),B186),PlayerValues!E:E,0)),"N/A")</f>
        <v>12616</v>
      </c>
      <c r="B186" s="4" t="s">
        <v>529</v>
      </c>
      <c r="C186" s="4" t="s">
        <v>283</v>
      </c>
      <c r="D186" s="94">
        <v>2688.0</v>
      </c>
    </row>
    <row r="187">
      <c r="A187" s="40">
        <f t="array" ref="A187">IFNA(index(PlayerValues!A:A,match(IFNA(vlookup(B187,'Special Names'!A:B,2,FALSE),B187),PlayerValues!E:E,0)),"N/A")</f>
        <v>16747</v>
      </c>
      <c r="B187" s="4" t="s">
        <v>555</v>
      </c>
      <c r="C187" s="4" t="s">
        <v>278</v>
      </c>
      <c r="D187" s="94">
        <v>2678.0</v>
      </c>
    </row>
    <row r="188">
      <c r="A188" s="40">
        <f t="array" ref="A188">IFNA(index(PlayerValues!A:A,match(IFNA(vlookup(B188,'Special Names'!A:B,2,FALSE),B188),PlayerValues!E:E,0)),"N/A")</f>
        <v>17080</v>
      </c>
      <c r="B188" s="4" t="s">
        <v>532</v>
      </c>
      <c r="C188" s="4" t="s">
        <v>287</v>
      </c>
      <c r="D188" s="94">
        <v>2674.0</v>
      </c>
    </row>
    <row r="189">
      <c r="A189" s="40">
        <f t="array" ref="A189">IFNA(index(PlayerValues!A:A,match(IFNA(vlookup(B189,'Special Names'!A:B,2,FALSE),B189),PlayerValues!E:E,0)),"N/A")</f>
        <v>17105</v>
      </c>
      <c r="B189" s="4" t="s">
        <v>525</v>
      </c>
      <c r="C189" s="4" t="s">
        <v>298</v>
      </c>
      <c r="D189" s="94">
        <v>3083.0</v>
      </c>
    </row>
    <row r="190">
      <c r="A190" s="40">
        <f t="array" ref="A190">IFNA(index(PlayerValues!A:A,match(IFNA(vlookup(B190,'Special Names'!A:B,2,FALSE),B190),PlayerValues!E:E,0)),"N/A")</f>
        <v>16193</v>
      </c>
      <c r="B190" s="4" t="s">
        <v>487</v>
      </c>
      <c r="C190" s="4" t="s">
        <v>287</v>
      </c>
      <c r="D190" s="94">
        <v>2668.0</v>
      </c>
    </row>
    <row r="191">
      <c r="A191" s="40">
        <f t="array" ref="A191">IFNA(index(PlayerValues!A:A,match(IFNA(vlookup(B191,'Special Names'!A:B,2,FALSE),B191),PlayerValues!E:E,0)),"N/A")</f>
        <v>16596</v>
      </c>
      <c r="B191" s="4" t="s">
        <v>501</v>
      </c>
      <c r="C191" s="4" t="s">
        <v>278</v>
      </c>
      <c r="D191" s="94">
        <v>2661.0</v>
      </c>
    </row>
    <row r="192">
      <c r="A192" s="40">
        <f t="array" ref="A192">IFNA(index(PlayerValues!A:A,match(IFNA(vlookup(B192,'Special Names'!A:B,2,FALSE),B192),PlayerValues!E:E,0)),"N/A")</f>
        <v>15241</v>
      </c>
      <c r="B192" s="4" t="s">
        <v>546</v>
      </c>
      <c r="C192" s="4" t="s">
        <v>283</v>
      </c>
      <c r="D192" s="94">
        <v>2658.0</v>
      </c>
    </row>
    <row r="193">
      <c r="A193" s="40">
        <f t="array" ref="A193">IFNA(index(PlayerValues!A:A,match(IFNA(vlookup(B193,'Special Names'!A:B,2,FALSE),B193),PlayerValues!E:E,0)),"N/A")</f>
        <v>16619</v>
      </c>
      <c r="B193" s="4" t="s">
        <v>538</v>
      </c>
      <c r="C193" s="4" t="s">
        <v>287</v>
      </c>
      <c r="D193" s="94">
        <v>2658.0</v>
      </c>
    </row>
    <row r="194">
      <c r="A194" s="40">
        <f t="array" ref="A194">IFNA(index(PlayerValues!A:A,match(IFNA(vlookup(B194,'Special Names'!A:B,2,FALSE),B194),PlayerValues!E:E,0)),"N/A")</f>
        <v>15972</v>
      </c>
      <c r="B194" s="4" t="s">
        <v>469</v>
      </c>
      <c r="C194" s="4" t="s">
        <v>278</v>
      </c>
      <c r="D194" s="94">
        <v>2656.0</v>
      </c>
    </row>
    <row r="195">
      <c r="A195" s="40">
        <f t="array" ref="A195">IFNA(index(PlayerValues!A:A,match(IFNA(vlookup(B195,'Special Names'!A:B,2,FALSE),B195),PlayerValues!E:E,0)),"N/A")</f>
        <v>14833</v>
      </c>
      <c r="B195" s="4" t="s">
        <v>553</v>
      </c>
      <c r="C195" s="4" t="s">
        <v>287</v>
      </c>
      <c r="D195" s="94">
        <v>2627.0</v>
      </c>
    </row>
    <row r="196">
      <c r="A196" s="40">
        <f t="array" ref="A196">IFNA(index(PlayerValues!A:A,match(IFNA(vlookup(B196,'Special Names'!A:B,2,FALSE),B196),PlayerValues!E:E,0)),"N/A")</f>
        <v>17107</v>
      </c>
      <c r="B196" s="4" t="s">
        <v>478</v>
      </c>
      <c r="C196" s="4" t="s">
        <v>298</v>
      </c>
      <c r="D196" s="94">
        <v>3034.0</v>
      </c>
    </row>
    <row r="197">
      <c r="A197" s="40" t="str">
        <f t="array" ref="A197">IFNA(index(PlayerValues!A:A,match(IFNA(vlookup(B197,'Special Names'!A:B,2,FALSE),B197),PlayerValues!E:E,0)),"N/A")</f>
        <v>N/A</v>
      </c>
      <c r="B197" s="4" t="s">
        <v>98</v>
      </c>
      <c r="C197" s="4" t="s">
        <v>325</v>
      </c>
      <c r="D197" s="94">
        <v>2623.0</v>
      </c>
    </row>
    <row r="198">
      <c r="A198" s="40">
        <f t="array" ref="A198">IFNA(index(PlayerValues!A:A,match(IFNA(vlookup(B198,'Special Names'!A:B,2,FALSE),B198),PlayerValues!E:E,0)),"N/A")</f>
        <v>17073</v>
      </c>
      <c r="B198" s="4" t="s">
        <v>547</v>
      </c>
      <c r="C198" s="4" t="s">
        <v>287</v>
      </c>
      <c r="D198" s="94">
        <v>2611.0</v>
      </c>
    </row>
    <row r="199">
      <c r="A199" s="40">
        <f t="array" ref="A199">IFNA(index(PlayerValues!A:A,match(IFNA(vlookup(B199,'Special Names'!A:B,2,FALSE),B199),PlayerValues!E:E,0)),"N/A")</f>
        <v>17509</v>
      </c>
      <c r="B199" s="4" t="s">
        <v>551</v>
      </c>
      <c r="C199" s="4" t="s">
        <v>287</v>
      </c>
      <c r="D199" s="94">
        <v>2609.0</v>
      </c>
    </row>
    <row r="200">
      <c r="A200" s="40">
        <f t="array" ref="A200">IFNA(index(PlayerValues!A:A,match(IFNA(vlookup(B200,'Special Names'!A:B,2,FALSE),B200),PlayerValues!E:E,0)),"N/A")</f>
        <v>16165</v>
      </c>
      <c r="B200" s="4" t="s">
        <v>520</v>
      </c>
      <c r="C200" s="4" t="s">
        <v>278</v>
      </c>
      <c r="D200" s="94">
        <v>2600.0</v>
      </c>
    </row>
    <row r="201">
      <c r="A201" s="40">
        <f t="array" ref="A201">IFNA(index(PlayerValues!A:A,match(IFNA(vlookup(B201,'Special Names'!A:B,2,FALSE),B201),PlayerValues!E:E,0)),"N/A")</f>
        <v>16174</v>
      </c>
      <c r="B201" s="4" t="s">
        <v>505</v>
      </c>
      <c r="C201" s="4" t="s">
        <v>278</v>
      </c>
      <c r="D201" s="94">
        <v>2595.0</v>
      </c>
    </row>
    <row r="202">
      <c r="A202" s="40">
        <f t="array" ref="A202">IFNA(index(PlayerValues!A:A,match(IFNA(vlookup(B202,'Special Names'!A:B,2,FALSE),B202),PlayerValues!E:E,0)),"N/A")</f>
        <v>17474</v>
      </c>
      <c r="B202" s="4" t="s">
        <v>513</v>
      </c>
      <c r="C202" s="4" t="s">
        <v>278</v>
      </c>
      <c r="D202" s="94">
        <v>2594.0</v>
      </c>
    </row>
    <row r="203">
      <c r="A203" s="40">
        <f t="array" ref="A203">IFNA(index(PlayerValues!A:A,match(IFNA(vlookup(B203,'Special Names'!A:B,2,FALSE),B203),PlayerValues!E:E,0)),"N/A")</f>
        <v>13674</v>
      </c>
      <c r="B203" s="4" t="s">
        <v>511</v>
      </c>
      <c r="C203" s="4" t="s">
        <v>298</v>
      </c>
      <c r="D203" s="94">
        <v>2978.0</v>
      </c>
    </row>
    <row r="204">
      <c r="A204" s="40">
        <f t="array" ref="A204">IFNA(index(PlayerValues!A:A,match(IFNA(vlookup(B204,'Special Names'!A:B,2,FALSE),B204),PlayerValues!E:E,0)),"N/A")</f>
        <v>16204</v>
      </c>
      <c r="B204" s="4" t="s">
        <v>530</v>
      </c>
      <c r="C204" s="4" t="s">
        <v>287</v>
      </c>
      <c r="D204" s="94">
        <v>2541.0</v>
      </c>
    </row>
    <row r="205">
      <c r="A205" s="40">
        <f t="array" ref="A205">IFNA(index(PlayerValues!A:A,match(IFNA(vlookup(B205,'Special Names'!A:B,2,FALSE),B205),PlayerValues!E:E,0)),"N/A")</f>
        <v>17478</v>
      </c>
      <c r="B205" s="4" t="s">
        <v>527</v>
      </c>
      <c r="C205" s="4" t="s">
        <v>278</v>
      </c>
      <c r="D205" s="94">
        <v>2528.0</v>
      </c>
    </row>
    <row r="206">
      <c r="A206" s="40">
        <f t="array" ref="A206">IFNA(index(PlayerValues!A:A,match(IFNA(vlookup(B206,'Special Names'!A:B,2,FALSE),B206),PlayerValues!E:E,0)),"N/A")</f>
        <v>17108</v>
      </c>
      <c r="B206" s="4" t="s">
        <v>542</v>
      </c>
      <c r="C206" s="4" t="s">
        <v>298</v>
      </c>
      <c r="D206" s="94">
        <v>2925.0</v>
      </c>
    </row>
    <row r="207">
      <c r="A207" s="40">
        <f t="array" ref="A207">IFNA(index(PlayerValues!A:A,match(IFNA(vlookup(B207,'Special Names'!A:B,2,FALSE),B207),PlayerValues!E:E,0)),"N/A")</f>
        <v>17078</v>
      </c>
      <c r="B207" s="4" t="s">
        <v>543</v>
      </c>
      <c r="C207" s="4" t="s">
        <v>287</v>
      </c>
      <c r="D207" s="94">
        <v>2518.0</v>
      </c>
    </row>
    <row r="208">
      <c r="A208" s="40">
        <f t="array" ref="A208">IFNA(index(PlayerValues!A:A,match(IFNA(vlookup(B208,'Special Names'!A:B,2,FALSE),B208),PlayerValues!E:E,0)),"N/A")</f>
        <v>17082</v>
      </c>
      <c r="B208" s="4" t="s">
        <v>498</v>
      </c>
      <c r="C208" s="4" t="s">
        <v>287</v>
      </c>
      <c r="D208" s="94">
        <v>2516.0</v>
      </c>
    </row>
    <row r="209">
      <c r="A209" s="40">
        <f t="array" ref="A209">IFNA(index(PlayerValues!A:A,match(IFNA(vlookup(B209,'Special Names'!A:B,2,FALSE),B209),PlayerValues!E:E,0)),"N/A")</f>
        <v>17508</v>
      </c>
      <c r="B209" s="4" t="s">
        <v>534</v>
      </c>
      <c r="C209" s="4" t="s">
        <v>287</v>
      </c>
      <c r="D209" s="94">
        <v>2506.0</v>
      </c>
    </row>
    <row r="210">
      <c r="A210" s="40">
        <f t="array" ref="A210">IFNA(index(PlayerValues!A:A,match(IFNA(vlookup(B210,'Special Names'!A:B,2,FALSE),B210),PlayerValues!E:E,0)),"N/A")</f>
        <v>16617</v>
      </c>
      <c r="B210" s="4" t="s">
        <v>541</v>
      </c>
      <c r="C210" s="4" t="s">
        <v>287</v>
      </c>
      <c r="D210" s="94">
        <v>2490.0</v>
      </c>
    </row>
    <row r="211">
      <c r="A211" s="40">
        <f t="array" ref="A211">IFNA(index(PlayerValues!A:A,match(IFNA(vlookup(B211,'Special Names'!A:B,2,FALSE),B211),PlayerValues!E:E,0)),"N/A")</f>
        <v>16684</v>
      </c>
      <c r="B211" s="4" t="s">
        <v>500</v>
      </c>
      <c r="C211" s="4" t="s">
        <v>287</v>
      </c>
      <c r="D211" s="94">
        <v>2490.0</v>
      </c>
    </row>
    <row r="212">
      <c r="A212" s="40">
        <f t="array" ref="A212">IFNA(index(PlayerValues!A:A,match(IFNA(vlookup(B212,'Special Names'!A:B,2,FALSE),B212),PlayerValues!E:E,0)),"N/A")</f>
        <v>13192</v>
      </c>
      <c r="B212" s="4" t="s">
        <v>563</v>
      </c>
      <c r="C212" s="4" t="s">
        <v>298</v>
      </c>
      <c r="D212" s="94">
        <v>2864.0</v>
      </c>
    </row>
    <row r="213">
      <c r="A213" s="40">
        <f t="array" ref="A213">IFNA(index(PlayerValues!A:A,match(IFNA(vlookup(B213,'Special Names'!A:B,2,FALSE),B213),PlayerValues!E:E,0)),"N/A")</f>
        <v>17171</v>
      </c>
      <c r="B213" s="4" t="s">
        <v>561</v>
      </c>
      <c r="C213" s="4" t="s">
        <v>287</v>
      </c>
      <c r="D213" s="94">
        <v>2451.0</v>
      </c>
    </row>
    <row r="214">
      <c r="A214" s="40" t="str">
        <f t="array" ref="A214">IFNA(index(PlayerValues!A:A,match(IFNA(vlookup(B214,'Special Names'!A:B,2,FALSE),B214),PlayerValues!E:E,0)),"N/A")</f>
        <v>N/A</v>
      </c>
      <c r="B214" s="4" t="s">
        <v>99</v>
      </c>
      <c r="C214" s="4" t="s">
        <v>325</v>
      </c>
      <c r="D214" s="94">
        <v>2447.0</v>
      </c>
    </row>
    <row r="215">
      <c r="A215" s="40">
        <f t="array" ref="A215">IFNA(index(PlayerValues!A:A,match(IFNA(vlookup(B215,'Special Names'!A:B,2,FALSE),B215),PlayerValues!E:E,0)),"N/A")</f>
        <v>16626</v>
      </c>
      <c r="B215" s="4" t="s">
        <v>515</v>
      </c>
      <c r="C215" s="4" t="s">
        <v>287</v>
      </c>
      <c r="D215" s="94">
        <v>2445.0</v>
      </c>
    </row>
    <row r="216">
      <c r="A216" s="40">
        <f t="array" ref="A216">IFNA(index(PlayerValues!A:A,match(IFNA(vlookup(B216,'Special Names'!A:B,2,FALSE),B216),PlayerValues!E:E,0)),"N/A")</f>
        <v>11244</v>
      </c>
      <c r="B216" s="4" t="s">
        <v>519</v>
      </c>
      <c r="C216" s="4" t="s">
        <v>298</v>
      </c>
      <c r="D216" s="94">
        <v>2846.0</v>
      </c>
    </row>
    <row r="217">
      <c r="A217" s="40">
        <f t="array" ref="A217">IFNA(index(PlayerValues!A:A,match(IFNA(vlookup(B217,'Special Names'!A:B,2,FALSE),B217),PlayerValues!E:E,0)),"N/A")</f>
        <v>17134</v>
      </c>
      <c r="B217" s="4" t="s">
        <v>548</v>
      </c>
      <c r="C217" s="4" t="s">
        <v>287</v>
      </c>
      <c r="D217" s="94">
        <v>2443.0</v>
      </c>
    </row>
    <row r="218">
      <c r="A218" s="40">
        <f t="array" ref="A218">IFNA(index(PlayerValues!A:A,match(IFNA(vlookup(B218,'Special Names'!A:B,2,FALSE),B218),PlayerValues!E:E,0)),"N/A")</f>
        <v>16287</v>
      </c>
      <c r="B218" s="4" t="s">
        <v>516</v>
      </c>
      <c r="C218" s="4" t="s">
        <v>287</v>
      </c>
      <c r="D218" s="94">
        <v>2439.0</v>
      </c>
    </row>
    <row r="219">
      <c r="A219" s="40">
        <f t="array" ref="A219">IFNA(index(PlayerValues!A:A,match(IFNA(vlookup(B219,'Special Names'!A:B,2,FALSE),B219),PlayerValues!E:E,0)),"N/A")</f>
        <v>16164</v>
      </c>
      <c r="B219" s="4" t="s">
        <v>512</v>
      </c>
      <c r="C219" s="4" t="s">
        <v>278</v>
      </c>
      <c r="D219" s="94">
        <v>2434.0</v>
      </c>
    </row>
    <row r="220">
      <c r="A220" s="40">
        <f t="array" ref="A220">IFNA(index(PlayerValues!A:A,match(IFNA(vlookup(B220,'Special Names'!A:B,2,FALSE),B220),PlayerValues!E:E,0)),"N/A")</f>
        <v>17482</v>
      </c>
      <c r="B220" s="4" t="s">
        <v>460</v>
      </c>
      <c r="C220" s="4" t="s">
        <v>278</v>
      </c>
      <c r="D220" s="94">
        <v>2408.0</v>
      </c>
    </row>
    <row r="221">
      <c r="A221" s="40">
        <f t="array" ref="A221">IFNA(index(PlayerValues!A:A,match(IFNA(vlookup(B221,'Special Names'!A:B,2,FALSE),B221),PlayerValues!E:E,0)),"N/A")</f>
        <v>16178</v>
      </c>
      <c r="B221" s="4" t="s">
        <v>507</v>
      </c>
      <c r="C221" s="4" t="s">
        <v>278</v>
      </c>
      <c r="D221" s="94">
        <v>2406.0</v>
      </c>
    </row>
    <row r="222">
      <c r="A222" s="40">
        <f t="array" ref="A222">IFNA(index(PlayerValues!A:A,match(IFNA(vlookup(B222,'Special Names'!A:B,2,FALSE),B222),PlayerValues!E:E,0)),"N/A")</f>
        <v>17514</v>
      </c>
      <c r="B222" s="4" t="s">
        <v>422</v>
      </c>
      <c r="C222" s="4" t="s">
        <v>287</v>
      </c>
      <c r="D222" s="94">
        <v>2405.0</v>
      </c>
    </row>
    <row r="223">
      <c r="A223" s="40">
        <f t="array" ref="A223">IFNA(index(PlayerValues!A:A,match(IFNA(vlookup(B223,'Special Names'!A:B,2,FALSE),B223),PlayerValues!E:E,0)),"N/A")</f>
        <v>17048</v>
      </c>
      <c r="B223" s="4" t="s">
        <v>539</v>
      </c>
      <c r="C223" s="4" t="s">
        <v>278</v>
      </c>
      <c r="D223" s="94">
        <v>2393.0</v>
      </c>
    </row>
    <row r="224">
      <c r="A224" s="40">
        <f t="array" ref="A224">IFNA(index(PlayerValues!A:A,match(IFNA(vlookup(B224,'Special Names'!A:B,2,FALSE),B224),PlayerValues!E:E,0)),"N/A")</f>
        <v>15716</v>
      </c>
      <c r="B224" s="4" t="s">
        <v>545</v>
      </c>
      <c r="C224" s="4" t="s">
        <v>278</v>
      </c>
      <c r="D224" s="94">
        <v>2385.0</v>
      </c>
    </row>
    <row r="225">
      <c r="A225" s="40">
        <f t="array" ref="A225">IFNA(index(PlayerValues!A:A,match(IFNA(vlookup(B225,'Special Names'!A:B,2,FALSE),B225),PlayerValues!E:E,0)),"N/A")</f>
        <v>17517</v>
      </c>
      <c r="B225" s="4" t="s">
        <v>454</v>
      </c>
      <c r="C225" s="4" t="s">
        <v>287</v>
      </c>
      <c r="D225" s="94">
        <v>2385.0</v>
      </c>
    </row>
    <row r="226">
      <c r="A226" s="40">
        <f t="array" ref="A226">IFNA(index(PlayerValues!A:A,match(IFNA(vlookup(B226,'Special Names'!A:B,2,FALSE),B226),PlayerValues!E:E,0)),"N/A")</f>
        <v>16195</v>
      </c>
      <c r="B226" s="4" t="s">
        <v>509</v>
      </c>
      <c r="C226" s="4" t="s">
        <v>287</v>
      </c>
      <c r="D226" s="94">
        <v>2381.0</v>
      </c>
    </row>
    <row r="227">
      <c r="A227" s="40">
        <f t="array" ref="A227">IFNA(index(PlayerValues!A:A,match(IFNA(vlookup(B227,'Special Names'!A:B,2,FALSE),B227),PlayerValues!E:E,0)),"N/A")</f>
        <v>15786</v>
      </c>
      <c r="B227" s="4" t="s">
        <v>521</v>
      </c>
      <c r="C227" s="4" t="s">
        <v>287</v>
      </c>
      <c r="D227" s="94">
        <v>2372.0</v>
      </c>
    </row>
    <row r="228">
      <c r="A228" s="40">
        <f t="array" ref="A228">IFNA(index(PlayerValues!A:A,match(IFNA(vlookup(B228,'Special Names'!A:B,2,FALSE),B228),PlayerValues!E:E,0)),"N/A")</f>
        <v>17106</v>
      </c>
      <c r="B228" s="4" t="s">
        <v>550</v>
      </c>
      <c r="C228" s="4" t="s">
        <v>298</v>
      </c>
      <c r="D228" s="94">
        <v>2754.0</v>
      </c>
    </row>
    <row r="229">
      <c r="A229" s="40">
        <f t="array" ref="A229">IFNA(index(PlayerValues!A:A,match(IFNA(vlookup(B229,'Special Names'!A:B,2,FALSE),B229),PlayerValues!E:E,0)),"N/A")</f>
        <v>15749</v>
      </c>
      <c r="B229" s="4" t="s">
        <v>574</v>
      </c>
      <c r="C229" s="4" t="s">
        <v>278</v>
      </c>
      <c r="D229" s="94">
        <v>2353.0</v>
      </c>
    </row>
    <row r="230">
      <c r="A230" s="40">
        <f t="array" ref="A230">IFNA(index(PlayerValues!A:A,match(IFNA(vlookup(B230,'Special Names'!A:B,2,FALSE),B230),PlayerValues!E:E,0)),"N/A")</f>
        <v>15802</v>
      </c>
      <c r="B230" s="4" t="s">
        <v>566</v>
      </c>
      <c r="C230" s="4" t="s">
        <v>298</v>
      </c>
      <c r="D230" s="94">
        <v>2739.0</v>
      </c>
    </row>
    <row r="231">
      <c r="A231" s="40">
        <f t="array" ref="A231">IFNA(index(PlayerValues!A:A,match(IFNA(vlookup(B231,'Special Names'!A:B,2,FALSE),B231),PlayerValues!E:E,0)),"N/A")</f>
        <v>14861</v>
      </c>
      <c r="B231" s="4" t="s">
        <v>523</v>
      </c>
      <c r="C231" s="4" t="s">
        <v>298</v>
      </c>
      <c r="D231" s="94">
        <v>2734.0</v>
      </c>
    </row>
    <row r="232">
      <c r="A232" s="40" t="str">
        <f t="array" ref="A232">IFNA(index(PlayerValues!A:A,match(IFNA(vlookup(B232,'Special Names'!A:B,2,FALSE),B232),PlayerValues!E:E,0)),"N/A")</f>
        <v>N/A</v>
      </c>
      <c r="B232" s="4" t="s">
        <v>557</v>
      </c>
      <c r="C232" s="4" t="s">
        <v>278</v>
      </c>
      <c r="D232" s="94">
        <v>2334.0</v>
      </c>
    </row>
    <row r="233">
      <c r="A233" s="40">
        <f t="array" ref="A233">IFNA(index(PlayerValues!A:A,match(IFNA(vlookup(B233,'Special Names'!A:B,2,FALSE),B233),PlayerValues!E:E,0)),"N/A")</f>
        <v>14840</v>
      </c>
      <c r="B233" s="4" t="s">
        <v>731</v>
      </c>
      <c r="C233" s="4" t="s">
        <v>287</v>
      </c>
      <c r="D233" s="94">
        <v>2308.0</v>
      </c>
    </row>
    <row r="234">
      <c r="A234" s="40">
        <f t="array" ref="A234">IFNA(index(PlayerValues!A:A,match(IFNA(vlookup(B234,'Special Names'!A:B,2,FALSE),B234),PlayerValues!E:E,0)),"N/A")</f>
        <v>16036</v>
      </c>
      <c r="B234" s="4" t="s">
        <v>592</v>
      </c>
      <c r="C234" s="4" t="s">
        <v>298</v>
      </c>
      <c r="D234" s="94">
        <v>2688.0</v>
      </c>
    </row>
    <row r="235">
      <c r="A235" s="40">
        <f t="array" ref="A235">IFNA(index(PlayerValues!A:A,match(IFNA(vlookup(B235,'Special Names'!A:B,2,FALSE),B235),PlayerValues!E:E,0)),"N/A")</f>
        <v>16152</v>
      </c>
      <c r="B235" s="4" t="s">
        <v>601</v>
      </c>
      <c r="C235" s="4" t="s">
        <v>283</v>
      </c>
      <c r="D235" s="94">
        <v>2283.0</v>
      </c>
    </row>
    <row r="236">
      <c r="A236" s="40">
        <f t="array" ref="A236">IFNA(index(PlayerValues!A:A,match(IFNA(vlookup(B236,'Special Names'!A:B,2,FALSE),B236),PlayerValues!E:E,0)),"N/A")</f>
        <v>16594</v>
      </c>
      <c r="B236" s="4" t="s">
        <v>607</v>
      </c>
      <c r="C236" s="4" t="s">
        <v>278</v>
      </c>
      <c r="D236" s="94">
        <v>2273.0</v>
      </c>
    </row>
    <row r="237">
      <c r="A237" s="40">
        <f t="array" ref="A237">IFNA(index(PlayerValues!A:A,match(IFNA(vlookup(B237,'Special Names'!A:B,2,FALSE),B237),PlayerValues!E:E,0)),"N/A")</f>
        <v>17547</v>
      </c>
      <c r="B237" s="4" t="s">
        <v>552</v>
      </c>
      <c r="C237" s="4" t="s">
        <v>298</v>
      </c>
      <c r="D237" s="94">
        <v>2661.0</v>
      </c>
    </row>
    <row r="238">
      <c r="A238" s="40">
        <f t="array" ref="A238">IFNA(index(PlayerValues!A:A,match(IFNA(vlookup(B238,'Special Names'!A:B,2,FALSE),B238),PlayerValues!E:E,0)),"N/A")</f>
        <v>17520</v>
      </c>
      <c r="B238" s="4" t="s">
        <v>518</v>
      </c>
      <c r="C238" s="4" t="s">
        <v>287</v>
      </c>
      <c r="D238" s="94">
        <v>2253.0</v>
      </c>
    </row>
    <row r="239">
      <c r="A239" s="40" t="str">
        <f t="array" ref="A239">IFNA(index(PlayerValues!A:A,match(IFNA(vlookup(B239,'Special Names'!A:B,2,FALSE),B239),PlayerValues!E:E,0)),"N/A")</f>
        <v>N/A</v>
      </c>
      <c r="B239" s="4" t="s">
        <v>86</v>
      </c>
      <c r="C239" s="4" t="s">
        <v>325</v>
      </c>
      <c r="D239" s="94">
        <v>2252.0</v>
      </c>
    </row>
    <row r="240">
      <c r="A240" s="40">
        <f t="array" ref="A240">IFNA(index(PlayerValues!A:A,match(IFNA(vlookup(B240,'Special Names'!A:B,2,FALSE),B240),PlayerValues!E:E,0)),"N/A")</f>
        <v>17033</v>
      </c>
      <c r="B240" s="4" t="s">
        <v>570</v>
      </c>
      <c r="C240" s="4" t="s">
        <v>283</v>
      </c>
      <c r="D240" s="94">
        <v>2249.0</v>
      </c>
    </row>
    <row r="241">
      <c r="A241" s="40">
        <f t="array" ref="A241">IFNA(index(PlayerValues!A:A,match(IFNA(vlookup(B241,'Special Names'!A:B,2,FALSE),B241),PlayerValues!E:E,0)),"N/A")</f>
        <v>12676</v>
      </c>
      <c r="B241" s="4" t="s">
        <v>537</v>
      </c>
      <c r="C241" s="4" t="s">
        <v>298</v>
      </c>
      <c r="D241" s="94">
        <v>2634.0</v>
      </c>
    </row>
    <row r="242">
      <c r="A242" s="40">
        <f t="array" ref="A242">IFNA(index(PlayerValues!A:A,match(IFNA(vlookup(B242,'Special Names'!A:B,2,FALSE),B242),PlayerValues!E:E,0)),"N/A")</f>
        <v>13772</v>
      </c>
      <c r="B242" s="4" t="s">
        <v>544</v>
      </c>
      <c r="C242" s="4" t="s">
        <v>298</v>
      </c>
      <c r="D242" s="94">
        <v>2634.0</v>
      </c>
    </row>
    <row r="243">
      <c r="A243" s="40">
        <f t="array" ref="A243">IFNA(index(PlayerValues!A:A,match(IFNA(vlookup(B243,'Special Names'!A:B,2,FALSE),B243),PlayerValues!E:E,0)),"N/A")</f>
        <v>11150</v>
      </c>
      <c r="B243" s="4" t="s">
        <v>559</v>
      </c>
      <c r="C243" s="4" t="s">
        <v>283</v>
      </c>
      <c r="D243" s="94">
        <v>2239.0</v>
      </c>
    </row>
    <row r="244">
      <c r="A244" s="40">
        <f t="array" ref="A244">IFNA(index(PlayerValues!A:A,match(IFNA(vlookup(B244,'Special Names'!A:B,2,FALSE),B244),PlayerValues!E:E,0)),"N/A")</f>
        <v>15331</v>
      </c>
      <c r="B244" s="4" t="s">
        <v>560</v>
      </c>
      <c r="C244" s="4" t="s">
        <v>298</v>
      </c>
      <c r="D244" s="94">
        <v>2634.0</v>
      </c>
    </row>
    <row r="245">
      <c r="A245" s="40">
        <f t="array" ref="A245">IFNA(index(PlayerValues!A:A,match(IFNA(vlookup(B245,'Special Names'!A:B,2,FALSE),B245),PlayerValues!E:E,0)),"N/A")</f>
        <v>16610</v>
      </c>
      <c r="B245" s="4" t="s">
        <v>562</v>
      </c>
      <c r="C245" s="4" t="s">
        <v>278</v>
      </c>
      <c r="D245" s="94">
        <v>2238.0</v>
      </c>
    </row>
    <row r="246">
      <c r="A246" s="40" t="str">
        <f t="array" ref="A246">IFNA(index(PlayerValues!A:A,match(IFNA(vlookup(B246,'Special Names'!A:B,2,FALSE),B246),PlayerValues!E:E,0)),"N/A")</f>
        <v>N/A</v>
      </c>
      <c r="B246" s="4" t="s">
        <v>100</v>
      </c>
      <c r="C246" s="4" t="s">
        <v>325</v>
      </c>
      <c r="D246" s="94">
        <v>2234.0</v>
      </c>
    </row>
    <row r="247">
      <c r="A247" s="40">
        <f t="array" ref="A247">IFNA(index(PlayerValues!A:A,match(IFNA(vlookup(B247,'Special Names'!A:B,2,FALSE),B247),PlayerValues!E:E,0)),"N/A")</f>
        <v>16649</v>
      </c>
      <c r="B247" s="4" t="s">
        <v>586</v>
      </c>
      <c r="C247" s="4" t="s">
        <v>298</v>
      </c>
      <c r="D247" s="94">
        <v>2624.0</v>
      </c>
    </row>
    <row r="248">
      <c r="A248" s="40">
        <f t="array" ref="A248">IFNA(index(PlayerValues!A:A,match(IFNA(vlookup(B248,'Special Names'!A:B,2,FALSE),B248),PlayerValues!E:E,0)),"N/A")</f>
        <v>13319</v>
      </c>
      <c r="B248" s="4" t="s">
        <v>549</v>
      </c>
      <c r="C248" s="4" t="s">
        <v>278</v>
      </c>
      <c r="D248" s="94">
        <v>2217.0</v>
      </c>
    </row>
    <row r="249">
      <c r="A249" s="40">
        <f t="array" ref="A249">IFNA(index(PlayerValues!A:A,match(IFNA(vlookup(B249,'Special Names'!A:B,2,FALSE),B249),PlayerValues!E:E,0)),"N/A")</f>
        <v>16757</v>
      </c>
      <c r="B249" s="4" t="s">
        <v>558</v>
      </c>
      <c r="C249" s="4" t="s">
        <v>278</v>
      </c>
      <c r="D249" s="94">
        <v>2179.0</v>
      </c>
    </row>
    <row r="250">
      <c r="A250" s="40" t="str">
        <f t="array" ref="A250">IFNA(index(PlayerValues!A:A,match(IFNA(vlookup(B250,'Special Names'!A:B,2,FALSE),B250),PlayerValues!E:E,0)),"N/A")</f>
        <v>N/A</v>
      </c>
      <c r="B250" s="4" t="s">
        <v>112</v>
      </c>
      <c r="C250" s="4" t="s">
        <v>325</v>
      </c>
      <c r="D250" s="94">
        <v>2176.0</v>
      </c>
    </row>
    <row r="251">
      <c r="A251" s="40">
        <f t="array" ref="A251">IFNA(index(PlayerValues!A:A,match(IFNA(vlookup(B251,'Special Names'!A:B,2,FALSE),B251),PlayerValues!E:E,0)),"N/A")</f>
        <v>12186</v>
      </c>
      <c r="B251" s="4" t="s">
        <v>497</v>
      </c>
      <c r="C251" s="4" t="s">
        <v>287</v>
      </c>
      <c r="D251" s="94">
        <v>2172.0</v>
      </c>
    </row>
    <row r="252">
      <c r="A252" s="40">
        <f t="array" ref="A252">IFNA(index(PlayerValues!A:A,match(IFNA(vlookup(B252,'Special Names'!A:B,2,FALSE),B252),PlayerValues!E:E,0)),"N/A")</f>
        <v>16166</v>
      </c>
      <c r="B252" s="4" t="s">
        <v>567</v>
      </c>
      <c r="C252" s="4" t="s">
        <v>278</v>
      </c>
      <c r="D252" s="94">
        <v>2163.0</v>
      </c>
    </row>
    <row r="253">
      <c r="A253" s="40">
        <f t="array" ref="A253">IFNA(index(PlayerValues!A:A,match(IFNA(vlookup(B253,'Special Names'!A:B,2,FALSE),B253),PlayerValues!E:E,0)),"N/A")</f>
        <v>14136</v>
      </c>
      <c r="B253" s="4" t="s">
        <v>536</v>
      </c>
      <c r="C253" s="4" t="s">
        <v>287</v>
      </c>
      <c r="D253" s="94">
        <v>2154.0</v>
      </c>
    </row>
    <row r="254">
      <c r="A254" s="40" t="str">
        <f t="array" ref="A254">IFNA(index(PlayerValues!A:A,match(IFNA(vlookup(B254,'Special Names'!A:B,2,FALSE),B254),PlayerValues!E:E,0)),"N/A")</f>
        <v>N/A</v>
      </c>
      <c r="B254" s="4" t="s">
        <v>87</v>
      </c>
      <c r="C254" s="4" t="s">
        <v>325</v>
      </c>
      <c r="D254" s="94">
        <v>2146.0</v>
      </c>
    </row>
    <row r="255">
      <c r="A255" s="40">
        <f t="array" ref="A255">IFNA(index(PlayerValues!A:A,match(IFNA(vlookup(B255,'Special Names'!A:B,2,FALSE),B255),PlayerValues!E:E,0)),"N/A")</f>
        <v>17079</v>
      </c>
      <c r="B255" s="4" t="s">
        <v>572</v>
      </c>
      <c r="C255" s="4" t="s">
        <v>287</v>
      </c>
      <c r="D255" s="94">
        <v>2140.0</v>
      </c>
    </row>
    <row r="256">
      <c r="A256" s="40">
        <f t="array" ref="A256">IFNA(index(PlayerValues!A:A,match(IFNA(vlookup(B256,'Special Names'!A:B,2,FALSE),B256),PlayerValues!E:E,0)),"N/A")</f>
        <v>13113</v>
      </c>
      <c r="B256" s="4" t="s">
        <v>606</v>
      </c>
      <c r="C256" s="4" t="s">
        <v>283</v>
      </c>
      <c r="D256" s="94">
        <v>2134.0</v>
      </c>
    </row>
    <row r="257">
      <c r="A257" s="40">
        <f t="array" ref="A257">IFNA(index(PlayerValues!A:A,match(IFNA(vlookup(B257,'Special Names'!A:B,2,FALSE),B257),PlayerValues!E:E,0)),"N/A")</f>
        <v>17055</v>
      </c>
      <c r="B257" s="4" t="s">
        <v>565</v>
      </c>
      <c r="C257" s="4" t="s">
        <v>278</v>
      </c>
      <c r="D257" s="94">
        <v>2122.0</v>
      </c>
    </row>
    <row r="258">
      <c r="A258" s="40">
        <f t="array" ref="A258">IFNA(index(PlayerValues!A:A,match(IFNA(vlookup(B258,'Special Names'!A:B,2,FALSE),B258),PlayerValues!E:E,0)),"N/A")</f>
        <v>16212</v>
      </c>
      <c r="B258" s="4" t="s">
        <v>568</v>
      </c>
      <c r="C258" s="4" t="s">
        <v>298</v>
      </c>
      <c r="D258" s="94">
        <v>2494.0</v>
      </c>
    </row>
    <row r="259">
      <c r="A259" s="40" t="str">
        <f t="array" ref="A259">IFNA(index(PlayerValues!A:A,match(IFNA(vlookup(B259,'Special Names'!A:B,2,FALSE),B259),PlayerValues!E:E,0)),"N/A")</f>
        <v>N/A</v>
      </c>
      <c r="B259" s="4" t="s">
        <v>113</v>
      </c>
      <c r="C259" s="4" t="s">
        <v>325</v>
      </c>
      <c r="D259" s="94">
        <v>2101.0</v>
      </c>
    </row>
    <row r="260">
      <c r="A260" s="40">
        <f t="array" ref="A260">IFNA(index(PlayerValues!A:A,match(IFNA(vlookup(B260,'Special Names'!A:B,2,FALSE),B260),PlayerValues!E:E,0)),"N/A")</f>
        <v>16189</v>
      </c>
      <c r="B260" s="4" t="s">
        <v>582</v>
      </c>
      <c r="C260" s="4" t="s">
        <v>287</v>
      </c>
      <c r="D260" s="94">
        <v>2097.0</v>
      </c>
    </row>
    <row r="261">
      <c r="A261" s="40">
        <f t="array" ref="A261">IFNA(index(PlayerValues!A:A,match(IFNA(vlookup(B261,'Special Names'!A:B,2,FALSE),B261),PlayerValues!E:E,0)),"N/A")</f>
        <v>14974</v>
      </c>
      <c r="B261" s="4" t="s">
        <v>611</v>
      </c>
      <c r="C261" s="4" t="s">
        <v>287</v>
      </c>
      <c r="D261" s="94">
        <v>2091.0</v>
      </c>
    </row>
    <row r="262">
      <c r="A262" s="40">
        <f t="array" ref="A262">IFNA(index(PlayerValues!A:A,match(IFNA(vlookup(B262,'Special Names'!A:B,2,FALSE),B262),PlayerValues!E:E,0)),"N/A")</f>
        <v>17046</v>
      </c>
      <c r="B262" s="4" t="s">
        <v>602</v>
      </c>
      <c r="C262" s="4" t="s">
        <v>278</v>
      </c>
      <c r="D262" s="94">
        <v>2089.0</v>
      </c>
    </row>
    <row r="263">
      <c r="A263" s="40" t="str">
        <f t="array" ref="A263">IFNA(index(PlayerValues!A:A,match(IFNA(vlookup(B263,'Special Names'!A:B,2,FALSE),B263),PlayerValues!E:E,0)),"N/A")</f>
        <v>N/A</v>
      </c>
      <c r="B263" s="4" t="s">
        <v>88</v>
      </c>
      <c r="C263" s="4" t="s">
        <v>325</v>
      </c>
      <c r="D263" s="94">
        <v>2083.0</v>
      </c>
    </row>
    <row r="264">
      <c r="A264" s="40">
        <f t="array" ref="A264">IFNA(index(PlayerValues!A:A,match(IFNA(vlookup(B264,'Special Names'!A:B,2,FALSE),B264),PlayerValues!E:E,0)),"N/A")</f>
        <v>13132</v>
      </c>
      <c r="B264" s="4" t="s">
        <v>598</v>
      </c>
      <c r="C264" s="4" t="s">
        <v>278</v>
      </c>
      <c r="D264" s="94">
        <v>2079.0</v>
      </c>
    </row>
    <row r="265">
      <c r="A265" s="40">
        <f t="array" ref="A265">IFNA(index(PlayerValues!A:A,match(IFNA(vlookup(B265,'Special Names'!A:B,2,FALSE),B265),PlayerValues!E:E,0)),"N/A")</f>
        <v>16432</v>
      </c>
      <c r="B265" s="4" t="s">
        <v>620</v>
      </c>
      <c r="C265" s="4" t="s">
        <v>278</v>
      </c>
      <c r="D265" s="94">
        <v>2074.0</v>
      </c>
    </row>
    <row r="266">
      <c r="A266" s="40">
        <f t="array" ref="A266">IFNA(index(PlayerValues!A:A,match(IFNA(vlookup(B266,'Special Names'!A:B,2,FALSE),B266),PlayerValues!E:E,0)),"N/A")</f>
        <v>17056</v>
      </c>
      <c r="B266" s="4" t="s">
        <v>581</v>
      </c>
      <c r="C266" s="4" t="s">
        <v>278</v>
      </c>
      <c r="D266" s="94">
        <v>2072.0</v>
      </c>
    </row>
    <row r="267">
      <c r="A267" s="40">
        <f t="array" ref="A267">IFNA(index(PlayerValues!A:A,match(IFNA(vlookup(B267,'Special Names'!A:B,2,FALSE),B267),PlayerValues!E:E,0)),"N/A")</f>
        <v>15238</v>
      </c>
      <c r="B267" s="4" t="s">
        <v>613</v>
      </c>
      <c r="C267" s="4" t="s">
        <v>283</v>
      </c>
      <c r="D267" s="94">
        <v>2070.0</v>
      </c>
    </row>
    <row r="268">
      <c r="A268" s="40">
        <f t="array" ref="A268">IFNA(index(PlayerValues!A:A,match(IFNA(vlookup(B268,'Special Names'!A:B,2,FALSE),B268),PlayerValues!E:E,0)),"N/A")</f>
        <v>16643</v>
      </c>
      <c r="B268" s="4" t="s">
        <v>609</v>
      </c>
      <c r="C268" s="4" t="s">
        <v>298</v>
      </c>
      <c r="D268" s="94">
        <v>2454.0</v>
      </c>
    </row>
    <row r="269">
      <c r="A269" s="40">
        <f t="array" ref="A269">IFNA(index(PlayerValues!A:A,match(IFNA(vlookup(B269,'Special Names'!A:B,2,FALSE),B269),PlayerValues!E:E,0)),"N/A")</f>
        <v>15293</v>
      </c>
      <c r="B269" s="4" t="s">
        <v>578</v>
      </c>
      <c r="C269" s="4" t="s">
        <v>287</v>
      </c>
      <c r="D269" s="94">
        <v>2062.0</v>
      </c>
    </row>
    <row r="270">
      <c r="A270" s="40">
        <f t="array" ref="A270">IFNA(index(PlayerValues!A:A,match(IFNA(vlookup(B270,'Special Names'!A:B,2,FALSE),B270),PlayerValues!E:E,0)),"N/A")</f>
        <v>17060</v>
      </c>
      <c r="B270" s="4" t="s">
        <v>603</v>
      </c>
      <c r="C270" s="4" t="s">
        <v>278</v>
      </c>
      <c r="D270" s="94">
        <v>2046.0</v>
      </c>
    </row>
    <row r="271">
      <c r="A271" s="40">
        <f t="array" ref="A271">IFNA(index(PlayerValues!A:A,match(IFNA(vlookup(B271,'Special Names'!A:B,2,FALSE),B271),PlayerValues!E:E,0)),"N/A")</f>
        <v>17069</v>
      </c>
      <c r="B271" s="4" t="s">
        <v>604</v>
      </c>
      <c r="C271" s="4" t="s">
        <v>278</v>
      </c>
      <c r="D271" s="94">
        <v>2038.0</v>
      </c>
    </row>
    <row r="272">
      <c r="A272" s="40">
        <f t="array" ref="A272">IFNA(index(PlayerValues!A:A,match(IFNA(vlookup(B272,'Special Names'!A:B,2,FALSE),B272),PlayerValues!E:E,0)),"N/A")</f>
        <v>17061</v>
      </c>
      <c r="B272" s="4" t="s">
        <v>580</v>
      </c>
      <c r="C272" s="4" t="s">
        <v>278</v>
      </c>
      <c r="D272" s="94">
        <v>2033.0</v>
      </c>
    </row>
    <row r="273">
      <c r="A273" s="40">
        <f t="array" ref="A273">IFNA(index(PlayerValues!A:A,match(IFNA(vlookup(B273,'Special Names'!A:B,2,FALSE),B273),PlayerValues!E:E,0)),"N/A")</f>
        <v>12801</v>
      </c>
      <c r="B273" s="4" t="s">
        <v>722</v>
      </c>
      <c r="C273" s="4" t="s">
        <v>287</v>
      </c>
      <c r="D273" s="94">
        <v>2025.0</v>
      </c>
    </row>
    <row r="274">
      <c r="A274" s="40">
        <f t="array" ref="A274">IFNA(index(PlayerValues!A:A,match(IFNA(vlookup(B274,'Special Names'!A:B,2,FALSE),B274),PlayerValues!E:E,0)),"N/A")</f>
        <v>16342</v>
      </c>
      <c r="B274" s="4" t="s">
        <v>583</v>
      </c>
      <c r="C274" s="4" t="s">
        <v>287</v>
      </c>
      <c r="D274" s="94">
        <v>2018.0</v>
      </c>
    </row>
    <row r="275">
      <c r="A275" s="40">
        <f t="array" ref="A275">IFNA(index(PlayerValues!A:A,match(IFNA(vlookup(B275,'Special Names'!A:B,2,FALSE),B275),PlayerValues!E:E,0)),"N/A")</f>
        <v>17087</v>
      </c>
      <c r="B275" s="4" t="s">
        <v>600</v>
      </c>
      <c r="C275" s="4" t="s">
        <v>287</v>
      </c>
      <c r="D275" s="94">
        <v>2016.0</v>
      </c>
    </row>
    <row r="276">
      <c r="A276" s="40">
        <f t="array" ref="A276">IFNA(index(PlayerValues!A:A,match(IFNA(vlookup(B276,'Special Names'!A:B,2,FALSE),B276),PlayerValues!E:E,0)),"N/A")</f>
        <v>17076</v>
      </c>
      <c r="B276" s="4" t="s">
        <v>585</v>
      </c>
      <c r="C276" s="4" t="s">
        <v>287</v>
      </c>
      <c r="D276" s="94">
        <v>2004.0</v>
      </c>
    </row>
    <row r="277">
      <c r="A277" s="40" t="str">
        <f t="array" ref="A277">IFNA(index(PlayerValues!A:A,match(IFNA(vlookup(B277,'Special Names'!A:B,2,FALSE),B277),PlayerValues!E:E,0)),"N/A")</f>
        <v>N/A</v>
      </c>
      <c r="B277" s="4" t="s">
        <v>114</v>
      </c>
      <c r="C277" s="4" t="s">
        <v>325</v>
      </c>
      <c r="D277" s="94">
        <v>1992.0</v>
      </c>
    </row>
    <row r="278">
      <c r="A278" s="40">
        <f t="array" ref="A278">IFNA(index(PlayerValues!A:A,match(IFNA(vlookup(B278,'Special Names'!A:B,2,FALSE),B278),PlayerValues!E:E,0)),"N/A")</f>
        <v>13633</v>
      </c>
      <c r="B278" s="4" t="s">
        <v>625</v>
      </c>
      <c r="C278" s="4" t="s">
        <v>287</v>
      </c>
      <c r="D278" s="94">
        <v>1987.0</v>
      </c>
    </row>
    <row r="279">
      <c r="A279" s="40">
        <f t="array" ref="A279">IFNA(index(PlayerValues!A:A,match(IFNA(vlookup(B279,'Special Names'!A:B,2,FALSE),B279),PlayerValues!E:E,0)),"N/A")</f>
        <v>10700</v>
      </c>
      <c r="B279" s="4" t="s">
        <v>596</v>
      </c>
      <c r="C279" s="4" t="s">
        <v>283</v>
      </c>
      <c r="D279" s="94">
        <v>1978.0</v>
      </c>
    </row>
    <row r="280">
      <c r="A280" s="40">
        <f t="array" ref="A280">IFNA(index(PlayerValues!A:A,match(IFNA(vlookup(B280,'Special Names'!A:B,2,FALSE),B280),PlayerValues!E:E,0)),"N/A")</f>
        <v>16603</v>
      </c>
      <c r="B280" s="4" t="s">
        <v>587</v>
      </c>
      <c r="C280" s="4" t="s">
        <v>278</v>
      </c>
      <c r="D280" s="94">
        <v>1974.0</v>
      </c>
    </row>
    <row r="281">
      <c r="A281" s="40">
        <f t="array" ref="A281">IFNA(index(PlayerValues!A:A,match(IFNA(vlookup(B281,'Special Names'!A:B,2,FALSE),B281),PlayerValues!E:E,0)),"N/A")</f>
        <v>14867</v>
      </c>
      <c r="B281" s="4" t="s">
        <v>591</v>
      </c>
      <c r="C281" s="4" t="s">
        <v>298</v>
      </c>
      <c r="D281" s="94">
        <v>2361.0</v>
      </c>
    </row>
    <row r="282">
      <c r="A282" s="40">
        <f t="array" ref="A282">IFNA(index(PlayerValues!A:A,match(IFNA(vlookup(B282,'Special Names'!A:B,2,FALSE),B282),PlayerValues!E:E,0)),"N/A")</f>
        <v>17036</v>
      </c>
      <c r="B282" s="4" t="s">
        <v>617</v>
      </c>
      <c r="C282" s="4" t="s">
        <v>283</v>
      </c>
      <c r="D282" s="94">
        <v>1970.0</v>
      </c>
    </row>
    <row r="283">
      <c r="A283" s="40">
        <f t="array" ref="A283">IFNA(index(PlayerValues!A:A,match(IFNA(vlookup(B283,'Special Names'!A:B,2,FALSE),B283),PlayerValues!E:E,0)),"N/A")</f>
        <v>17184</v>
      </c>
      <c r="B283" s="4" t="s">
        <v>588</v>
      </c>
      <c r="C283" s="4" t="s">
        <v>287</v>
      </c>
      <c r="D283" s="94">
        <v>1953.0</v>
      </c>
    </row>
    <row r="284">
      <c r="A284" s="40">
        <f t="array" ref="A284">IFNA(index(PlayerValues!A:A,match(IFNA(vlookup(B284,'Special Names'!A:B,2,FALSE),B284),PlayerValues!E:E,0)),"N/A")</f>
        <v>16639</v>
      </c>
      <c r="B284" s="4" t="s">
        <v>599</v>
      </c>
      <c r="C284" s="4" t="s">
        <v>287</v>
      </c>
      <c r="D284" s="94">
        <v>1944.0</v>
      </c>
    </row>
    <row r="285">
      <c r="A285" s="40">
        <f t="array" ref="A285">IFNA(index(PlayerValues!A:A,match(IFNA(vlookup(B285,'Special Names'!A:B,2,FALSE),B285),PlayerValues!E:E,0)),"N/A")</f>
        <v>16604</v>
      </c>
      <c r="B285" s="4" t="s">
        <v>476</v>
      </c>
      <c r="C285" s="4" t="s">
        <v>278</v>
      </c>
      <c r="D285" s="94">
        <v>1935.0</v>
      </c>
    </row>
    <row r="286">
      <c r="A286" s="40" t="str">
        <f t="array" ref="A286">IFNA(index(PlayerValues!A:A,match(IFNA(vlookup(B286,'Special Names'!A:B,2,FALSE),B286),PlayerValues!E:E,0)),"N/A")</f>
        <v>N/A</v>
      </c>
      <c r="B286" s="4" t="s">
        <v>101</v>
      </c>
      <c r="C286" s="4" t="s">
        <v>325</v>
      </c>
      <c r="D286" s="94">
        <v>1920.0</v>
      </c>
    </row>
    <row r="287">
      <c r="A287" s="40">
        <f t="array" ref="A287">IFNA(index(PlayerValues!A:A,match(IFNA(vlookup(B287,'Special Names'!A:B,2,FALSE),B287),PlayerValues!E:E,0)),"N/A")</f>
        <v>7836</v>
      </c>
      <c r="B287" s="4" t="s">
        <v>590</v>
      </c>
      <c r="C287" s="4" t="s">
        <v>283</v>
      </c>
      <c r="D287" s="94">
        <v>1889.0</v>
      </c>
    </row>
    <row r="288">
      <c r="A288" s="40">
        <f t="array" ref="A288">IFNA(index(PlayerValues!A:A,match(IFNA(vlookup(B288,'Special Names'!A:B,2,FALSE),B288),PlayerValues!E:E,0)),"N/A")</f>
        <v>13189</v>
      </c>
      <c r="B288" s="4" t="s">
        <v>626</v>
      </c>
      <c r="C288" s="4" t="s">
        <v>298</v>
      </c>
      <c r="D288" s="94">
        <v>2260.0</v>
      </c>
    </row>
    <row r="289">
      <c r="A289" s="40">
        <f t="array" ref="A289">IFNA(index(PlayerValues!A:A,match(IFNA(vlookup(B289,'Special Names'!A:B,2,FALSE),B289),PlayerValues!E:E,0)),"N/A")</f>
        <v>13629</v>
      </c>
      <c r="B289" s="4" t="s">
        <v>619</v>
      </c>
      <c r="C289" s="4" t="s">
        <v>287</v>
      </c>
      <c r="D289" s="94">
        <v>1868.0</v>
      </c>
    </row>
    <row r="290">
      <c r="A290" s="40">
        <f t="array" ref="A290">IFNA(index(PlayerValues!A:A,match(IFNA(vlookup(B290,'Special Names'!A:B,2,FALSE),B290),PlayerValues!E:E,0)),"N/A")</f>
        <v>14871</v>
      </c>
      <c r="B290" s="4" t="s">
        <v>584</v>
      </c>
      <c r="C290" s="4" t="s">
        <v>298</v>
      </c>
      <c r="D290" s="94">
        <v>2248.0</v>
      </c>
    </row>
    <row r="291">
      <c r="A291" s="40">
        <f t="array" ref="A291">IFNA(index(PlayerValues!A:A,match(IFNA(vlookup(B291,'Special Names'!A:B,2,FALSE),B291),PlayerValues!E:E,0)),"N/A")</f>
        <v>16191</v>
      </c>
      <c r="B291" s="4" t="s">
        <v>666</v>
      </c>
      <c r="C291" s="4" t="s">
        <v>287</v>
      </c>
      <c r="D291" s="94">
        <v>1860.0</v>
      </c>
    </row>
    <row r="292">
      <c r="A292" s="40">
        <f t="array" ref="A292">IFNA(index(PlayerValues!A:A,match(IFNA(vlookup(B292,'Special Names'!A:B,2,FALSE),B292),PlayerValues!E:E,0)),"N/A")</f>
        <v>17086</v>
      </c>
      <c r="B292" s="4" t="s">
        <v>612</v>
      </c>
      <c r="C292" s="4" t="s">
        <v>287</v>
      </c>
      <c r="D292" s="94">
        <v>1859.0</v>
      </c>
    </row>
    <row r="293">
      <c r="A293" s="40">
        <f t="array" ref="A293">IFNA(index(PlayerValues!A:A,match(IFNA(vlookup(B293,'Special Names'!A:B,2,FALSE),B293),PlayerValues!E:E,0)),"N/A")</f>
        <v>17049</v>
      </c>
      <c r="B293" s="4" t="s">
        <v>624</v>
      </c>
      <c r="C293" s="4" t="s">
        <v>278</v>
      </c>
      <c r="D293" s="94">
        <v>1854.0</v>
      </c>
    </row>
    <row r="294">
      <c r="A294" s="40">
        <f t="array" ref="A294">IFNA(index(PlayerValues!A:A,match(IFNA(vlookup(B294,'Special Names'!A:B,2,FALSE),B294),PlayerValues!E:E,0)),"N/A")</f>
        <v>16171</v>
      </c>
      <c r="B294" s="4" t="s">
        <v>618</v>
      </c>
      <c r="C294" s="4" t="s">
        <v>278</v>
      </c>
      <c r="D294" s="94">
        <v>1853.0</v>
      </c>
    </row>
    <row r="295">
      <c r="A295" s="40">
        <f t="array" ref="A295">IFNA(index(PlayerValues!A:A,match(IFNA(vlookup(B295,'Special Names'!A:B,2,FALSE),B295),PlayerValues!E:E,0)),"N/A")</f>
        <v>16215</v>
      </c>
      <c r="B295" s="4" t="s">
        <v>637</v>
      </c>
      <c r="C295" s="4" t="s">
        <v>298</v>
      </c>
      <c r="D295" s="94">
        <v>2224.0</v>
      </c>
    </row>
    <row r="296">
      <c r="A296" s="40">
        <f t="array" ref="A296">IFNA(index(PlayerValues!A:A,match(IFNA(vlookup(B296,'Special Names'!A:B,2,FALSE),B296),PlayerValues!E:E,0)),"N/A")</f>
        <v>16752</v>
      </c>
      <c r="B296" s="4" t="s">
        <v>597</v>
      </c>
      <c r="C296" s="4" t="s">
        <v>278</v>
      </c>
      <c r="D296" s="94">
        <v>1842.0</v>
      </c>
    </row>
    <row r="297">
      <c r="A297" s="40">
        <f t="array" ref="A297">IFNA(index(PlayerValues!A:A,match(IFNA(vlookup(B297,'Special Names'!A:B,2,FALSE),B297),PlayerValues!E:E,0)),"N/A")</f>
        <v>15787</v>
      </c>
      <c r="B297" s="4" t="s">
        <v>610</v>
      </c>
      <c r="C297" s="4" t="s">
        <v>287</v>
      </c>
      <c r="D297" s="94">
        <v>1838.0</v>
      </c>
    </row>
    <row r="298">
      <c r="A298" s="40">
        <f t="array" ref="A298">IFNA(index(PlayerValues!A:A,match(IFNA(vlookup(B298,'Special Names'!A:B,2,FALSE),B298),PlayerValues!E:E,0)),"N/A")</f>
        <v>15797</v>
      </c>
      <c r="B298" s="4" t="s">
        <v>556</v>
      </c>
      <c r="C298" s="4" t="s">
        <v>298</v>
      </c>
      <c r="D298" s="94">
        <v>2206.0</v>
      </c>
    </row>
    <row r="299">
      <c r="A299" s="40">
        <f t="array" ref="A299">IFNA(index(PlayerValues!A:A,match(IFNA(vlookup(B299,'Special Names'!A:B,2,FALSE),B299),PlayerValues!E:E,0)),"N/A")</f>
        <v>16216</v>
      </c>
      <c r="B299" s="4" t="s">
        <v>595</v>
      </c>
      <c r="C299" s="4" t="s">
        <v>298</v>
      </c>
      <c r="D299" s="94">
        <v>2195.0</v>
      </c>
    </row>
    <row r="300">
      <c r="A300" s="40">
        <f t="array" ref="A300">IFNA(index(PlayerValues!A:A,match(IFNA(vlookup(B300,'Special Names'!A:B,2,FALSE),B300),PlayerValues!E:E,0)),"N/A")</f>
        <v>13146</v>
      </c>
      <c r="B300" s="4" t="s">
        <v>652</v>
      </c>
      <c r="C300" s="4" t="s">
        <v>278</v>
      </c>
      <c r="D300" s="94">
        <v>1806.0</v>
      </c>
    </row>
    <row r="301">
      <c r="A301" s="40">
        <f t="array" ref="A301">IFNA(index(PlayerValues!A:A,match(IFNA(vlookup(B301,'Special Names'!A:B,2,FALSE),B301),PlayerValues!E:E,0)),"N/A")</f>
        <v>15788</v>
      </c>
      <c r="B301" s="4" t="s">
        <v>627</v>
      </c>
      <c r="C301" s="4" t="s">
        <v>287</v>
      </c>
      <c r="D301" s="94">
        <v>1801.0</v>
      </c>
    </row>
    <row r="302">
      <c r="A302" s="40">
        <f t="array" ref="A302">IFNA(index(PlayerValues!A:A,match(IFNA(vlookup(B302,'Special Names'!A:B,2,FALSE),B302),PlayerValues!E:E,0)),"N/A")</f>
        <v>17034</v>
      </c>
      <c r="B302" s="4" t="s">
        <v>643</v>
      </c>
      <c r="C302" s="4" t="s">
        <v>283</v>
      </c>
      <c r="D302" s="94">
        <v>1801.0</v>
      </c>
    </row>
    <row r="303">
      <c r="A303" s="40">
        <f t="array" ref="A303">IFNA(index(PlayerValues!A:A,match(IFNA(vlookup(B303,'Special Names'!A:B,2,FALSE),B303),PlayerValues!E:E,0)),"N/A")</f>
        <v>17467</v>
      </c>
      <c r="B303" s="4" t="s">
        <v>575</v>
      </c>
      <c r="C303" s="4" t="s">
        <v>283</v>
      </c>
      <c r="D303" s="94">
        <v>1797.0</v>
      </c>
    </row>
    <row r="304">
      <c r="A304" s="40">
        <f t="array" ref="A304">IFNA(index(PlayerValues!A:A,match(IFNA(vlookup(B304,'Special Names'!A:B,2,FALSE),B304),PlayerValues!E:E,0)),"N/A")</f>
        <v>14143</v>
      </c>
      <c r="B304" s="4" t="s">
        <v>635</v>
      </c>
      <c r="C304" s="4" t="s">
        <v>298</v>
      </c>
      <c r="D304" s="94">
        <v>2159.0</v>
      </c>
    </row>
    <row r="305">
      <c r="A305" s="40">
        <f t="array" ref="A305">IFNA(index(PlayerValues!A:A,match(IFNA(vlookup(B305,'Special Names'!A:B,2,FALSE),B305),PlayerValues!E:E,0)),"N/A")</f>
        <v>16778</v>
      </c>
      <c r="B305" s="4" t="s">
        <v>577</v>
      </c>
      <c r="C305" s="4" t="s">
        <v>287</v>
      </c>
      <c r="D305" s="94">
        <v>1761.0</v>
      </c>
    </row>
    <row r="306">
      <c r="A306" s="40">
        <f t="array" ref="A306">IFNA(index(PlayerValues!A:A,match(IFNA(vlookup(B306,'Special Names'!A:B,2,FALSE),B306),PlayerValues!E:E,0)),"N/A")</f>
        <v>13164</v>
      </c>
      <c r="B306" s="4" t="s">
        <v>632</v>
      </c>
      <c r="C306" s="4" t="s">
        <v>287</v>
      </c>
      <c r="D306" s="94">
        <v>1753.0</v>
      </c>
    </row>
    <row r="307">
      <c r="A307" s="40">
        <f t="array" ref="A307">IFNA(index(PlayerValues!A:A,match(IFNA(vlookup(B307,'Special Names'!A:B,2,FALSE),B307),PlayerValues!E:E,0)),"N/A")</f>
        <v>17035</v>
      </c>
      <c r="B307" s="4" t="s">
        <v>650</v>
      </c>
      <c r="C307" s="4" t="s">
        <v>283</v>
      </c>
      <c r="D307" s="94">
        <v>1749.0</v>
      </c>
    </row>
    <row r="308">
      <c r="A308" s="40">
        <f t="array" ref="A308">IFNA(index(PlayerValues!A:A,match(IFNA(vlookup(B308,'Special Names'!A:B,2,FALSE),B308),PlayerValues!E:E,0)),"N/A")</f>
        <v>17481</v>
      </c>
      <c r="B308" s="4" t="s">
        <v>540</v>
      </c>
      <c r="C308" s="4" t="s">
        <v>278</v>
      </c>
      <c r="D308" s="94">
        <v>1749.0</v>
      </c>
    </row>
    <row r="309">
      <c r="A309" s="40">
        <f t="array" ref="A309">IFNA(index(PlayerValues!A:A,match(IFNA(vlookup(B309,'Special Names'!A:B,2,FALSE),B309),PlayerValues!E:E,0)),"N/A")</f>
        <v>16644</v>
      </c>
      <c r="B309" s="4" t="s">
        <v>640</v>
      </c>
      <c r="C309" s="4" t="s">
        <v>298</v>
      </c>
      <c r="D309" s="94">
        <v>2124.0</v>
      </c>
    </row>
    <row r="310">
      <c r="A310" s="40" t="str">
        <f t="array" ref="A310">IFNA(index(PlayerValues!A:A,match(IFNA(vlookup(B310,'Special Names'!A:B,2,FALSE),B310),PlayerValues!E:E,0)),"N/A")</f>
        <v>N/A</v>
      </c>
      <c r="B310" s="4" t="s">
        <v>102</v>
      </c>
      <c r="C310" s="4" t="s">
        <v>325</v>
      </c>
      <c r="D310" s="94">
        <v>1738.0</v>
      </c>
    </row>
    <row r="311">
      <c r="A311" s="40">
        <f t="array" ref="A311">IFNA(index(PlayerValues!A:A,match(IFNA(vlookup(B311,'Special Names'!A:B,2,FALSE),B311),PlayerValues!E:E,0)),"N/A")</f>
        <v>14105</v>
      </c>
      <c r="B311" s="4" t="s">
        <v>675</v>
      </c>
      <c r="C311" s="4" t="s">
        <v>287</v>
      </c>
      <c r="D311" s="94">
        <v>1735.0</v>
      </c>
    </row>
    <row r="312">
      <c r="A312" s="40">
        <f t="array" ref="A312">IFNA(index(PlayerValues!A:A,match(IFNA(vlookup(B312,'Special Names'!A:B,2,FALSE),B312),PlayerValues!E:E,0)),"N/A")</f>
        <v>17528</v>
      </c>
      <c r="B312" s="4" t="s">
        <v>579</v>
      </c>
      <c r="C312" s="4" t="s">
        <v>287</v>
      </c>
      <c r="D312" s="94">
        <v>1731.0</v>
      </c>
    </row>
    <row r="313">
      <c r="A313" s="40">
        <f t="array" ref="A313">IFNA(index(PlayerValues!A:A,match(IFNA(vlookup(B313,'Special Names'!A:B,2,FALSE),B313),PlayerValues!E:E,0)),"N/A")</f>
        <v>17466</v>
      </c>
      <c r="B313" s="4" t="s">
        <v>492</v>
      </c>
      <c r="C313" s="4" t="s">
        <v>283</v>
      </c>
      <c r="D313" s="94">
        <v>1725.0</v>
      </c>
    </row>
    <row r="314">
      <c r="A314" s="40">
        <f t="array" ref="A314">IFNA(index(PlayerValues!A:A,match(IFNA(vlookup(B314,'Special Names'!A:B,2,FALSE),B314),PlayerValues!E:E,0)),"N/A")</f>
        <v>16635</v>
      </c>
      <c r="B314" s="4" t="s">
        <v>645</v>
      </c>
      <c r="C314" s="4" t="s">
        <v>287</v>
      </c>
      <c r="D314" s="94">
        <v>1710.0</v>
      </c>
    </row>
    <row r="315">
      <c r="A315" s="40">
        <f t="array" ref="A315">IFNA(index(PlayerValues!A:A,match(IFNA(vlookup(B315,'Special Names'!A:B,2,FALSE),B315),PlayerValues!E:E,0)),"N/A")</f>
        <v>16201</v>
      </c>
      <c r="B315" s="4" t="s">
        <v>589</v>
      </c>
      <c r="C315" s="4" t="s">
        <v>287</v>
      </c>
      <c r="D315" s="94">
        <v>1709.0</v>
      </c>
    </row>
    <row r="316">
      <c r="A316" s="40">
        <f t="array" ref="A316">IFNA(index(PlayerValues!A:A,match(IFNA(vlookup(B316,'Special Names'!A:B,2,FALSE),B316),PlayerValues!E:E,0)),"N/A")</f>
        <v>16585</v>
      </c>
      <c r="B316" s="4" t="s">
        <v>623</v>
      </c>
      <c r="C316" s="4" t="s">
        <v>283</v>
      </c>
      <c r="D316" s="94">
        <v>1707.0</v>
      </c>
    </row>
    <row r="317">
      <c r="A317" s="40" t="str">
        <f t="array" ref="A317">IFNA(index(PlayerValues!A:A,match(IFNA(vlookup(B317,'Special Names'!A:B,2,FALSE),B317),PlayerValues!E:E,0)),"N/A")</f>
        <v>N/A</v>
      </c>
      <c r="B317" s="4" t="s">
        <v>89</v>
      </c>
      <c r="C317" s="4" t="s">
        <v>325</v>
      </c>
      <c r="D317" s="94">
        <v>1705.0</v>
      </c>
    </row>
    <row r="318">
      <c r="A318" s="40">
        <f t="array" ref="A318">IFNA(index(PlayerValues!A:A,match(IFNA(vlookup(B318,'Special Names'!A:B,2,FALSE),B318),PlayerValues!E:E,0)),"N/A")</f>
        <v>17096</v>
      </c>
      <c r="B318" s="4" t="s">
        <v>638</v>
      </c>
      <c r="C318" s="4" t="s">
        <v>287</v>
      </c>
      <c r="D318" s="94">
        <v>1693.0</v>
      </c>
    </row>
    <row r="319">
      <c r="A319" s="40">
        <f t="array" ref="A319">IFNA(index(PlayerValues!A:A,match(IFNA(vlookup(B319,'Special Names'!A:B,2,FALSE),B319),PlayerValues!E:E,0)),"N/A")</f>
        <v>17465</v>
      </c>
      <c r="B319" s="4" t="s">
        <v>649</v>
      </c>
      <c r="C319" s="4" t="s">
        <v>283</v>
      </c>
      <c r="D319" s="94">
        <v>1693.0</v>
      </c>
    </row>
    <row r="320">
      <c r="A320" s="40" t="str">
        <f t="array" ref="A320">IFNA(index(PlayerValues!A:A,match(IFNA(vlookup(B320,'Special Names'!A:B,2,FALSE),B320),PlayerValues!E:E,0)),"N/A")</f>
        <v>N/A</v>
      </c>
      <c r="B320" s="4" t="s">
        <v>103</v>
      </c>
      <c r="C320" s="4" t="s">
        <v>325</v>
      </c>
      <c r="D320" s="94">
        <v>1691.0</v>
      </c>
    </row>
    <row r="321">
      <c r="A321" s="40">
        <f t="array" ref="A321">IFNA(index(PlayerValues!A:A,match(IFNA(vlookup(B321,'Special Names'!A:B,2,FALSE),B321),PlayerValues!E:E,0)),"N/A")</f>
        <v>15755</v>
      </c>
      <c r="B321" s="4" t="s">
        <v>628</v>
      </c>
      <c r="C321" s="4" t="s">
        <v>287</v>
      </c>
      <c r="D321" s="94">
        <v>1687.0</v>
      </c>
    </row>
    <row r="322">
      <c r="A322" s="40">
        <f t="array" ref="A322">IFNA(index(PlayerValues!A:A,match(IFNA(vlookup(B322,'Special Names'!A:B,2,FALSE),B322),PlayerValues!E:E,0)),"N/A")</f>
        <v>15254</v>
      </c>
      <c r="B322" s="4" t="s">
        <v>633</v>
      </c>
      <c r="C322" s="4" t="s">
        <v>278</v>
      </c>
      <c r="D322" s="94">
        <v>1685.0</v>
      </c>
    </row>
    <row r="323">
      <c r="A323" s="40">
        <f t="array" ref="A323">IFNA(index(PlayerValues!A:A,match(IFNA(vlookup(B323,'Special Names'!A:B,2,FALSE),B323),PlayerValues!E:E,0)),"N/A")</f>
        <v>17064</v>
      </c>
      <c r="B323" s="4" t="s">
        <v>631</v>
      </c>
      <c r="C323" s="4" t="s">
        <v>278</v>
      </c>
      <c r="D323" s="94">
        <v>1668.0</v>
      </c>
    </row>
    <row r="324">
      <c r="A324" s="40">
        <f t="array" ref="A324">IFNA(index(PlayerValues!A:A,match(IFNA(vlookup(B324,'Special Names'!A:B,2,FALSE),B324),PlayerValues!E:E,0)),"N/A")</f>
        <v>16601</v>
      </c>
      <c r="B324" s="4" t="s">
        <v>648</v>
      </c>
      <c r="C324" s="4" t="s">
        <v>278</v>
      </c>
      <c r="D324" s="94">
        <v>1658.0</v>
      </c>
    </row>
    <row r="325">
      <c r="A325" s="40">
        <f t="array" ref="A325">IFNA(index(PlayerValues!A:A,match(IFNA(vlookup(B325,'Special Names'!A:B,2,FALSE),B325),PlayerValues!E:E,0)),"N/A")</f>
        <v>17058</v>
      </c>
      <c r="B325" s="4" t="s">
        <v>641</v>
      </c>
      <c r="C325" s="4" t="s">
        <v>278</v>
      </c>
      <c r="D325" s="94">
        <v>1655.0</v>
      </c>
    </row>
    <row r="326">
      <c r="A326" s="40">
        <f t="array" ref="A326">IFNA(index(PlayerValues!A:A,match(IFNA(vlookup(B326,'Special Names'!A:B,2,FALSE),B326),PlayerValues!E:E,0)),"N/A")</f>
        <v>16586</v>
      </c>
      <c r="B326" s="4" t="s">
        <v>658</v>
      </c>
      <c r="C326" s="4" t="s">
        <v>283</v>
      </c>
      <c r="D326" s="94">
        <v>1653.0</v>
      </c>
    </row>
    <row r="327">
      <c r="A327" s="40">
        <f t="array" ref="A327">IFNA(index(PlayerValues!A:A,match(IFNA(vlookup(B327,'Special Names'!A:B,2,FALSE),B327),PlayerValues!E:E,0)),"N/A")</f>
        <v>16207</v>
      </c>
      <c r="B327" s="4" t="s">
        <v>636</v>
      </c>
      <c r="C327" s="4" t="s">
        <v>287</v>
      </c>
      <c r="D327" s="94">
        <v>1643.0</v>
      </c>
    </row>
    <row r="328">
      <c r="A328" s="40">
        <f t="array" ref="A328">IFNA(index(PlayerValues!A:A,match(IFNA(vlookup(B328,'Special Names'!A:B,2,FALSE),B328),PlayerValues!E:E,0)),"N/A")</f>
        <v>15301</v>
      </c>
      <c r="B328" s="4" t="s">
        <v>657</v>
      </c>
      <c r="C328" s="4" t="s">
        <v>287</v>
      </c>
      <c r="D328" s="94">
        <v>1624.0</v>
      </c>
    </row>
    <row r="329">
      <c r="A329" s="40" t="str">
        <f t="array" ref="A329">IFNA(index(PlayerValues!A:A,match(IFNA(vlookup(B329,'Special Names'!A:B,2,FALSE),B329),PlayerValues!E:E,0)),"N/A")</f>
        <v>N/A</v>
      </c>
      <c r="B329" s="4" t="s">
        <v>115</v>
      </c>
      <c r="C329" s="4" t="s">
        <v>325</v>
      </c>
      <c r="D329" s="94">
        <v>1615.0</v>
      </c>
    </row>
    <row r="330">
      <c r="A330" s="40">
        <f t="array" ref="A330">IFNA(index(PlayerValues!A:A,match(IFNA(vlookup(B330,'Special Names'!A:B,2,FALSE),B330),PlayerValues!E:E,0)),"N/A")</f>
        <v>16629</v>
      </c>
      <c r="B330" s="4" t="s">
        <v>605</v>
      </c>
      <c r="C330" s="4" t="s">
        <v>287</v>
      </c>
      <c r="D330" s="94">
        <v>1613.0</v>
      </c>
    </row>
    <row r="331">
      <c r="A331" s="40">
        <f t="array" ref="A331">IFNA(index(PlayerValues!A:A,match(IFNA(vlookup(B331,'Special Names'!A:B,2,FALSE),B331),PlayerValues!E:E,0)),"N/A")</f>
        <v>15319</v>
      </c>
      <c r="B331" s="4" t="s">
        <v>644</v>
      </c>
      <c r="C331" s="4" t="s">
        <v>287</v>
      </c>
      <c r="D331" s="94">
        <v>1610.0</v>
      </c>
    </row>
    <row r="332">
      <c r="A332" s="40" t="str">
        <f t="array" ref="A332">IFNA(index(PlayerValues!A:A,match(IFNA(vlookup(B332,'Special Names'!A:B,2,FALSE),B332),PlayerValues!E:E,0)),"N/A")</f>
        <v>N/A</v>
      </c>
      <c r="B332" s="4" t="s">
        <v>90</v>
      </c>
      <c r="C332" s="4" t="s">
        <v>325</v>
      </c>
      <c r="D332" s="94">
        <v>1600.0</v>
      </c>
    </row>
    <row r="333">
      <c r="A333" s="40">
        <f t="array" ref="A333">IFNA(index(PlayerValues!A:A,match(IFNA(vlookup(B333,'Special Names'!A:B,2,FALSE),B333),PlayerValues!E:E,0)),"N/A")</f>
        <v>16688</v>
      </c>
      <c r="B333" s="4" t="s">
        <v>688</v>
      </c>
      <c r="C333" s="4" t="s">
        <v>278</v>
      </c>
      <c r="D333" s="94">
        <v>1592.0</v>
      </c>
    </row>
    <row r="334">
      <c r="A334" s="40">
        <f t="array" ref="A334">IFNA(index(PlayerValues!A:A,match(IFNA(vlookup(B334,'Special Names'!A:B,2,FALSE),B334),PlayerValues!E:E,0)),"N/A")</f>
        <v>15713</v>
      </c>
      <c r="B334" s="4" t="s">
        <v>732</v>
      </c>
      <c r="C334" s="4" t="s">
        <v>278</v>
      </c>
      <c r="D334" s="94">
        <v>1568.0</v>
      </c>
    </row>
    <row r="335">
      <c r="A335" s="40">
        <f t="array" ref="A335">IFNA(index(PlayerValues!A:A,match(IFNA(vlookup(B335,'Special Names'!A:B,2,FALSE),B335),PlayerValues!E:E,0)),"N/A")</f>
        <v>16595</v>
      </c>
      <c r="B335" s="4" t="s">
        <v>664</v>
      </c>
      <c r="C335" s="4" t="s">
        <v>278</v>
      </c>
      <c r="D335" s="94">
        <v>1565.0</v>
      </c>
    </row>
    <row r="336">
      <c r="A336" s="40">
        <f t="array" ref="A336">IFNA(index(PlayerValues!A:A,match(IFNA(vlookup(B336,'Special Names'!A:B,2,FALSE),B336),PlayerValues!E:E,0)),"N/A")</f>
        <v>17205</v>
      </c>
      <c r="B336" s="4" t="s">
        <v>665</v>
      </c>
      <c r="C336" s="4" t="s">
        <v>287</v>
      </c>
      <c r="D336" s="94">
        <v>1564.0</v>
      </c>
    </row>
    <row r="337">
      <c r="A337" s="40">
        <f t="array" ref="A337">IFNA(index(PlayerValues!A:A,match(IFNA(vlookup(B337,'Special Names'!A:B,2,FALSE),B337),PlayerValues!E:E,0)),"N/A")</f>
        <v>16633</v>
      </c>
      <c r="B337" s="4" t="s">
        <v>656</v>
      </c>
      <c r="C337" s="4" t="s">
        <v>287</v>
      </c>
      <c r="D337" s="94">
        <v>1563.0</v>
      </c>
    </row>
    <row r="338">
      <c r="A338" s="40" t="str">
        <f t="array" ref="A338">IFNA(index(PlayerValues!A:A,match(IFNA(vlookup(B338,'Special Names'!A:B,2,FALSE),B338),PlayerValues!E:E,0)),"N/A")</f>
        <v>N/A</v>
      </c>
      <c r="B338" s="4" t="s">
        <v>116</v>
      </c>
      <c r="C338" s="4" t="s">
        <v>325</v>
      </c>
      <c r="D338" s="94">
        <v>1563.0</v>
      </c>
    </row>
    <row r="339">
      <c r="A339" s="40">
        <f t="array" ref="A339">IFNA(index(PlayerValues!A:A,match(IFNA(vlookup(B339,'Special Names'!A:B,2,FALSE),B339),PlayerValues!E:E,0)),"N/A")</f>
        <v>14122</v>
      </c>
      <c r="B339" s="4" t="s">
        <v>663</v>
      </c>
      <c r="C339" s="4" t="s">
        <v>287</v>
      </c>
      <c r="D339" s="94">
        <v>1556.0</v>
      </c>
    </row>
    <row r="340">
      <c r="A340" s="40">
        <f t="array" ref="A340">IFNA(index(PlayerValues!A:A,match(IFNA(vlookup(B340,'Special Names'!A:B,2,FALSE),B340),PlayerValues!E:E,0)),"N/A")</f>
        <v>17548</v>
      </c>
      <c r="B340" s="4" t="s">
        <v>594</v>
      </c>
      <c r="C340" s="4" t="s">
        <v>298</v>
      </c>
      <c r="D340" s="94">
        <v>1930.0</v>
      </c>
    </row>
    <row r="341">
      <c r="A341" s="40">
        <f t="array" ref="A341">IFNA(index(PlayerValues!A:A,match(IFNA(vlookup(B341,'Special Names'!A:B,2,FALSE),B341),PlayerValues!E:E,0)),"N/A")</f>
        <v>17234</v>
      </c>
      <c r="B341" s="4" t="s">
        <v>653</v>
      </c>
      <c r="C341" s="4" t="s">
        <v>287</v>
      </c>
      <c r="D341" s="94">
        <v>1548.0</v>
      </c>
    </row>
    <row r="342">
      <c r="A342" s="40">
        <f t="array" ref="A342">IFNA(index(PlayerValues!A:A,match(IFNA(vlookup(B342,'Special Names'!A:B,2,FALSE),B342),PlayerValues!E:E,0)),"N/A")</f>
        <v>15337</v>
      </c>
      <c r="B342" s="4" t="s">
        <v>655</v>
      </c>
      <c r="C342" s="4" t="s">
        <v>298</v>
      </c>
      <c r="D342" s="94">
        <v>1914.0</v>
      </c>
    </row>
    <row r="343">
      <c r="A343" s="40">
        <f t="array" ref="A343">IFNA(index(PlayerValues!A:A,match(IFNA(vlookup(B343,'Special Names'!A:B,2,FALSE),B343),PlayerValues!E:E,0)),"N/A")</f>
        <v>17468</v>
      </c>
      <c r="B343" s="4" t="s">
        <v>514</v>
      </c>
      <c r="C343" s="4" t="s">
        <v>283</v>
      </c>
      <c r="D343" s="94">
        <v>1536.0</v>
      </c>
    </row>
    <row r="344">
      <c r="A344" s="40">
        <f t="array" ref="A344">IFNA(index(PlayerValues!A:A,match(IFNA(vlookup(B344,'Special Names'!A:B,2,FALSE),B344),PlayerValues!E:E,0)),"N/A")</f>
        <v>16175</v>
      </c>
      <c r="B344" s="4" t="s">
        <v>654</v>
      </c>
      <c r="C344" s="4" t="s">
        <v>278</v>
      </c>
      <c r="D344" s="94">
        <v>1513.0</v>
      </c>
    </row>
    <row r="345">
      <c r="A345" s="40">
        <f t="array" ref="A345">IFNA(index(PlayerValues!A:A,match(IFNA(vlookup(B345,'Special Names'!A:B,2,FALSE),B345),PlayerValues!E:E,0)),"N/A")</f>
        <v>15752</v>
      </c>
      <c r="B345" s="4" t="s">
        <v>647</v>
      </c>
      <c r="C345" s="4" t="s">
        <v>287</v>
      </c>
      <c r="D345" s="94">
        <v>1511.0</v>
      </c>
    </row>
    <row r="346">
      <c r="A346" s="40">
        <f t="array" ref="A346">IFNA(index(PlayerValues!A:A,match(IFNA(vlookup(B346,'Special Names'!A:B,2,FALSE),B346),PlayerValues!E:E,0)),"N/A")</f>
        <v>15759</v>
      </c>
      <c r="B346" s="4" t="s">
        <v>662</v>
      </c>
      <c r="C346" s="4" t="s">
        <v>287</v>
      </c>
      <c r="D346" s="94">
        <v>1509.0</v>
      </c>
    </row>
    <row r="347">
      <c r="A347" s="40" t="str">
        <f t="array" ref="A347">IFNA(index(PlayerValues!A:A,match(IFNA(vlookup(B347,'Special Names'!A:B,2,FALSE),B347),PlayerValues!E:E,0)),"N/A")</f>
        <v>N/A</v>
      </c>
      <c r="B347" s="4" t="s">
        <v>91</v>
      </c>
      <c r="C347" s="4" t="s">
        <v>325</v>
      </c>
      <c r="D347" s="94">
        <v>1509.0</v>
      </c>
    </row>
    <row r="348">
      <c r="A348" s="40">
        <f t="array" ref="A348">IFNA(index(PlayerValues!A:A,match(IFNA(vlookup(B348,'Special Names'!A:B,2,FALSE),B348),PlayerValues!E:E,0)),"N/A")</f>
        <v>16792</v>
      </c>
      <c r="B348" s="4" t="s">
        <v>704</v>
      </c>
      <c r="C348" s="4" t="s">
        <v>287</v>
      </c>
      <c r="D348" s="94">
        <v>1492.0</v>
      </c>
    </row>
    <row r="349">
      <c r="A349" s="40">
        <f t="array" ref="A349">IFNA(index(PlayerValues!A:A,match(IFNA(vlookup(B349,'Special Names'!A:B,2,FALSE),B349),PlayerValues!E:E,0)),"N/A")</f>
        <v>16631</v>
      </c>
      <c r="B349" s="4" t="s">
        <v>800</v>
      </c>
      <c r="C349" s="4" t="s">
        <v>287</v>
      </c>
      <c r="D349" s="94">
        <v>1469.0</v>
      </c>
    </row>
    <row r="350">
      <c r="A350" s="40">
        <f t="array" ref="A350">IFNA(index(PlayerValues!A:A,match(IFNA(vlookup(B350,'Special Names'!A:B,2,FALSE),B350),PlayerValues!E:E,0)),"N/A")</f>
        <v>16390</v>
      </c>
      <c r="B350" s="4" t="s">
        <v>689</v>
      </c>
      <c r="C350" s="4" t="s">
        <v>278</v>
      </c>
      <c r="D350" s="94">
        <v>1466.0</v>
      </c>
    </row>
    <row r="351">
      <c r="A351" s="40">
        <f t="array" ref="A351">IFNA(index(PlayerValues!A:A,match(IFNA(vlookup(B351,'Special Names'!A:B,2,FALSE),B351),PlayerValues!E:E,0)),"N/A")</f>
        <v>16788</v>
      </c>
      <c r="B351" s="4" t="s">
        <v>621</v>
      </c>
      <c r="C351" s="4" t="s">
        <v>287</v>
      </c>
      <c r="D351" s="94">
        <v>1463.0</v>
      </c>
    </row>
    <row r="352">
      <c r="A352" s="40">
        <f t="array" ref="A352">IFNA(index(PlayerValues!A:A,match(IFNA(vlookup(B352,'Special Names'!A:B,2,FALSE),B352),PlayerValues!E:E,0)),"N/A")</f>
        <v>17485</v>
      </c>
      <c r="B352" s="4" t="s">
        <v>522</v>
      </c>
      <c r="C352" s="4" t="s">
        <v>278</v>
      </c>
      <c r="D352" s="94">
        <v>1463.0</v>
      </c>
    </row>
    <row r="353">
      <c r="A353" s="40">
        <f t="array" ref="A353">IFNA(index(PlayerValues!A:A,match(IFNA(vlookup(B353,'Special Names'!A:B,2,FALSE),B353),PlayerValues!E:E,0)),"N/A")</f>
        <v>17054</v>
      </c>
      <c r="B353" s="4" t="s">
        <v>670</v>
      </c>
      <c r="C353" s="4" t="s">
        <v>278</v>
      </c>
      <c r="D353" s="94">
        <v>1458.0</v>
      </c>
    </row>
    <row r="354">
      <c r="A354" s="40">
        <f t="array" ref="A354">IFNA(index(PlayerValues!A:A,match(IFNA(vlookup(B354,'Special Names'!A:B,2,FALSE),B354),PlayerValues!E:E,0)),"N/A")</f>
        <v>15873</v>
      </c>
      <c r="B354" s="4" t="s">
        <v>681</v>
      </c>
      <c r="C354" s="4" t="s">
        <v>298</v>
      </c>
      <c r="D354" s="94">
        <v>1826.0</v>
      </c>
    </row>
    <row r="355">
      <c r="A355" s="40">
        <f t="array" ref="A355">IFNA(index(PlayerValues!A:A,match(IFNA(vlookup(B355,'Special Names'!A:B,2,FALSE),B355),PlayerValues!E:E,0)),"N/A")</f>
        <v>15777</v>
      </c>
      <c r="B355" s="4" t="s">
        <v>694</v>
      </c>
      <c r="C355" s="4" t="s">
        <v>287</v>
      </c>
      <c r="D355" s="94">
        <v>1448.0</v>
      </c>
    </row>
    <row r="356">
      <c r="A356" s="40">
        <f t="array" ref="A356">IFNA(index(PlayerValues!A:A,match(IFNA(vlookup(B356,'Special Names'!A:B,2,FALSE),B356),PlayerValues!E:E,0)),"N/A")</f>
        <v>16384</v>
      </c>
      <c r="B356" s="4" t="s">
        <v>696</v>
      </c>
      <c r="C356" s="4" t="s">
        <v>283</v>
      </c>
      <c r="D356" s="94">
        <v>1444.0</v>
      </c>
    </row>
    <row r="357">
      <c r="A357" s="40">
        <f t="array" ref="A357">IFNA(index(PlayerValues!A:A,match(IFNA(vlookup(B357,'Special Names'!A:B,2,FALSE),B357),PlayerValues!E:E,0)),"N/A")</f>
        <v>13672</v>
      </c>
      <c r="B357" s="4" t="s">
        <v>667</v>
      </c>
      <c r="C357" s="4" t="s">
        <v>298</v>
      </c>
      <c r="D357" s="94">
        <v>1806.0</v>
      </c>
    </row>
    <row r="358">
      <c r="A358" s="40">
        <f t="array" ref="A358">IFNA(index(PlayerValues!A:A,match(IFNA(vlookup(B358,'Special Names'!A:B,2,FALSE),B358),PlayerValues!E:E,0)),"N/A")</f>
        <v>16642</v>
      </c>
      <c r="B358" s="4" t="s">
        <v>691</v>
      </c>
      <c r="C358" s="4" t="s">
        <v>298</v>
      </c>
      <c r="D358" s="94">
        <v>1802.0</v>
      </c>
    </row>
    <row r="359">
      <c r="A359" s="40">
        <f t="array" ref="A359">IFNA(index(PlayerValues!A:A,match(IFNA(vlookup(B359,'Special Names'!A:B,2,FALSE),B359),PlayerValues!E:E,0)),"N/A")</f>
        <v>13418</v>
      </c>
      <c r="B359" s="4" t="s">
        <v>706</v>
      </c>
      <c r="C359" s="4" t="s">
        <v>287</v>
      </c>
      <c r="D359" s="94">
        <v>1425.0</v>
      </c>
    </row>
    <row r="360">
      <c r="A360" s="40">
        <f t="array" ref="A360">IFNA(index(PlayerValues!A:A,match(IFNA(vlookup(B360,'Special Names'!A:B,2,FALSE),B360),PlayerValues!E:E,0)),"N/A")</f>
        <v>17037</v>
      </c>
      <c r="B360" s="4" t="s">
        <v>727</v>
      </c>
      <c r="C360" s="4" t="s">
        <v>283</v>
      </c>
      <c r="D360" s="94">
        <v>1425.0</v>
      </c>
    </row>
    <row r="361">
      <c r="A361" s="40">
        <f t="array" ref="A361">IFNA(index(PlayerValues!A:A,match(IFNA(vlookup(B361,'Special Names'!A:B,2,FALSE),B361),PlayerValues!E:E,0)),"N/A")</f>
        <v>16621</v>
      </c>
      <c r="B361" s="4" t="s">
        <v>672</v>
      </c>
      <c r="C361" s="4" t="s">
        <v>287</v>
      </c>
      <c r="D361" s="94">
        <v>1407.0</v>
      </c>
    </row>
    <row r="362">
      <c r="A362" s="40">
        <f t="array" ref="A362">IFNA(index(PlayerValues!A:A,match(IFNA(vlookup(B362,'Special Names'!A:B,2,FALSE),B362),PlayerValues!E:E,0)),"N/A")</f>
        <v>15292</v>
      </c>
      <c r="B362" s="4" t="s">
        <v>682</v>
      </c>
      <c r="C362" s="4" t="s">
        <v>287</v>
      </c>
      <c r="D362" s="94">
        <v>1397.0</v>
      </c>
    </row>
    <row r="363">
      <c r="A363" s="40">
        <f t="array" ref="A363">IFNA(index(PlayerValues!A:A,match(IFNA(vlookup(B363,'Special Names'!A:B,2,FALSE),B363),PlayerValues!E:E,0)),"N/A")</f>
        <v>14137</v>
      </c>
      <c r="B363" s="4" t="s">
        <v>676</v>
      </c>
      <c r="C363" s="4" t="s">
        <v>298</v>
      </c>
      <c r="D363" s="94">
        <v>1757.0</v>
      </c>
    </row>
    <row r="364">
      <c r="A364" s="40">
        <f t="array" ref="A364">IFNA(index(PlayerValues!A:A,match(IFNA(vlookup(B364,'Special Names'!A:B,2,FALSE),B364),PlayerValues!E:E,0)),"N/A")</f>
        <v>12140</v>
      </c>
      <c r="B364" s="4" t="s">
        <v>702</v>
      </c>
      <c r="C364" s="4" t="s">
        <v>283</v>
      </c>
      <c r="D364" s="94">
        <v>1378.0</v>
      </c>
    </row>
    <row r="365">
      <c r="A365" s="40">
        <f t="array" ref="A365">IFNA(index(PlayerValues!A:A,match(IFNA(vlookup(B365,'Special Names'!A:B,2,FALSE),B365),PlayerValues!E:E,0)),"N/A")</f>
        <v>14086</v>
      </c>
      <c r="B365" s="4" t="s">
        <v>639</v>
      </c>
      <c r="C365" s="4" t="s">
        <v>278</v>
      </c>
      <c r="D365" s="94">
        <v>1370.0</v>
      </c>
    </row>
    <row r="366">
      <c r="A366" s="40">
        <f t="array" ref="A366">IFNA(index(PlayerValues!A:A,match(IFNA(vlookup(B366,'Special Names'!A:B,2,FALSE),B366),PlayerValues!E:E,0)),"N/A")</f>
        <v>11222</v>
      </c>
      <c r="B366" s="4" t="s">
        <v>622</v>
      </c>
      <c r="C366" s="4" t="s">
        <v>287</v>
      </c>
      <c r="D366" s="94">
        <v>1364.0</v>
      </c>
    </row>
    <row r="367">
      <c r="A367" s="40">
        <f t="array" ref="A367">IFNA(index(PlayerValues!A:A,match(IFNA(vlookup(B367,'Special Names'!A:B,2,FALSE),B367),PlayerValues!E:E,0)),"N/A")</f>
        <v>16149</v>
      </c>
      <c r="B367" s="4" t="s">
        <v>740</v>
      </c>
      <c r="C367" s="4" t="s">
        <v>283</v>
      </c>
      <c r="D367" s="94">
        <v>1364.0</v>
      </c>
    </row>
    <row r="368">
      <c r="A368" s="40">
        <f t="array" ref="A368">IFNA(index(PlayerValues!A:A,match(IFNA(vlookup(B368,'Special Names'!A:B,2,FALSE),B368),PlayerValues!E:E,0)),"N/A")</f>
        <v>15252</v>
      </c>
      <c r="B368" s="4" t="s">
        <v>715</v>
      </c>
      <c r="C368" s="4" t="s">
        <v>283</v>
      </c>
      <c r="D368" s="94">
        <v>1360.0</v>
      </c>
    </row>
    <row r="369">
      <c r="A369" s="40">
        <f t="array" ref="A369">IFNA(index(PlayerValues!A:A,match(IFNA(vlookup(B369,'Special Names'!A:B,2,FALSE),B369),PlayerValues!E:E,0)),"N/A")</f>
        <v>17062</v>
      </c>
      <c r="B369" s="4" t="s">
        <v>701</v>
      </c>
      <c r="C369" s="4" t="s">
        <v>278</v>
      </c>
      <c r="D369" s="94">
        <v>1359.0</v>
      </c>
    </row>
    <row r="370">
      <c r="A370" s="40">
        <f t="array" ref="A370">IFNA(index(PlayerValues!A:A,match(IFNA(vlookup(B370,'Special Names'!A:B,2,FALSE),B370),PlayerValues!E:E,0)),"N/A")</f>
        <v>17254</v>
      </c>
      <c r="B370" s="4" t="s">
        <v>679</v>
      </c>
      <c r="C370" s="4" t="s">
        <v>287</v>
      </c>
      <c r="D370" s="94">
        <v>1357.0</v>
      </c>
    </row>
    <row r="371">
      <c r="A371" s="40">
        <f t="array" ref="A371">IFNA(index(PlayerValues!A:A,match(IFNA(vlookup(B371,'Special Names'!A:B,2,FALSE),B371),PlayerValues!E:E,0)),"N/A")</f>
        <v>17529</v>
      </c>
      <c r="B371" s="4" t="s">
        <v>608</v>
      </c>
      <c r="C371" s="4" t="s">
        <v>287</v>
      </c>
      <c r="D371" s="94">
        <v>1340.0</v>
      </c>
    </row>
    <row r="372">
      <c r="A372" s="40">
        <f t="array" ref="A372">IFNA(index(PlayerValues!A:A,match(IFNA(vlookup(B372,'Special Names'!A:B,2,FALSE),B372),PlayerValues!E:E,0)),"N/A")</f>
        <v>15332</v>
      </c>
      <c r="B372" s="4" t="s">
        <v>698</v>
      </c>
      <c r="C372" s="4" t="s">
        <v>298</v>
      </c>
      <c r="D372" s="94">
        <v>1682.0</v>
      </c>
    </row>
    <row r="373">
      <c r="A373" s="40">
        <f t="array" ref="A373">IFNA(index(PlayerValues!A:A,match(IFNA(vlookup(B373,'Special Names'!A:B,2,FALSE),B373),PlayerValues!E:E,0)),"N/A")</f>
        <v>12678</v>
      </c>
      <c r="B373" s="4" t="s">
        <v>703</v>
      </c>
      <c r="C373" s="4" t="s">
        <v>298</v>
      </c>
      <c r="D373" s="94">
        <v>1664.0</v>
      </c>
    </row>
    <row r="374">
      <c r="A374" s="40">
        <f t="array" ref="A374">IFNA(index(PlayerValues!A:A,match(IFNA(vlookup(B374,'Special Names'!A:B,2,FALSE),B374),PlayerValues!E:E,0)),"N/A")</f>
        <v>15738</v>
      </c>
      <c r="B374" s="4" t="s">
        <v>634</v>
      </c>
      <c r="C374" s="4" t="s">
        <v>278</v>
      </c>
      <c r="D374" s="94">
        <v>1298.0</v>
      </c>
    </row>
    <row r="375">
      <c r="A375" s="40">
        <f t="array" ref="A375">IFNA(index(PlayerValues!A:A,match(IFNA(vlookup(B375,'Special Names'!A:B,2,FALSE),B375),PlayerValues!E:E,0)),"N/A")</f>
        <v>17077</v>
      </c>
      <c r="B375" s="4" t="s">
        <v>714</v>
      </c>
      <c r="C375" s="4" t="s">
        <v>287</v>
      </c>
      <c r="D375" s="94">
        <v>1298.0</v>
      </c>
    </row>
    <row r="376">
      <c r="A376" s="40">
        <f t="array" ref="A376">IFNA(index(PlayerValues!A:A,match(IFNA(vlookup(B376,'Special Names'!A:B,2,FALSE),B376),PlayerValues!E:E,0)),"N/A")</f>
        <v>14095</v>
      </c>
      <c r="B376" s="4" t="s">
        <v>680</v>
      </c>
      <c r="C376" s="4" t="s">
        <v>278</v>
      </c>
      <c r="D376" s="94">
        <v>1294.0</v>
      </c>
    </row>
    <row r="377">
      <c r="A377" s="40">
        <f t="array" ref="A377">IFNA(index(PlayerValues!A:A,match(IFNA(vlookup(B377,'Special Names'!A:B,2,FALSE),B377),PlayerValues!E:E,0)),"N/A")</f>
        <v>16608</v>
      </c>
      <c r="B377" s="4" t="s">
        <v>629</v>
      </c>
      <c r="C377" s="4" t="s">
        <v>278</v>
      </c>
      <c r="D377" s="94">
        <v>1293.0</v>
      </c>
    </row>
    <row r="378">
      <c r="A378" s="40">
        <f t="array" ref="A378">IFNA(index(PlayerValues!A:A,match(IFNA(vlookup(B378,'Special Names'!A:B,2,FALSE),B378),PlayerValues!E:E,0)),"N/A")</f>
        <v>12141</v>
      </c>
      <c r="B378" s="4" t="s">
        <v>744</v>
      </c>
      <c r="C378" s="4" t="s">
        <v>283</v>
      </c>
      <c r="D378" s="94">
        <v>1288.0</v>
      </c>
    </row>
    <row r="379">
      <c r="A379" s="40">
        <f t="array" ref="A379">IFNA(index(PlayerValues!A:A,match(IFNA(vlookup(B379,'Special Names'!A:B,2,FALSE),B379),PlayerValues!E:E,0)),"N/A")</f>
        <v>17567</v>
      </c>
      <c r="B379" s="4" t="s">
        <v>571</v>
      </c>
      <c r="C379" s="4" t="s">
        <v>298</v>
      </c>
      <c r="D379" s="94">
        <v>1655.0</v>
      </c>
    </row>
    <row r="380">
      <c r="A380" s="40" t="str">
        <f t="array" ref="A380">IFNA(index(PlayerValues!A:A,match(IFNA(vlookup(B380,'Special Names'!A:B,2,FALSE),B380),PlayerValues!E:E,0)),"N/A")</f>
        <v>N/A</v>
      </c>
      <c r="B380" s="4" t="s">
        <v>117</v>
      </c>
      <c r="C380" s="4" t="s">
        <v>325</v>
      </c>
      <c r="D380" s="94">
        <v>1286.0</v>
      </c>
    </row>
    <row r="381">
      <c r="A381" s="40">
        <f t="array" ref="A381">IFNA(index(PlayerValues!A:A,match(IFNA(vlookup(B381,'Special Names'!A:B,2,FALSE),B381),PlayerValues!E:E,0)),"N/A")</f>
        <v>14592</v>
      </c>
      <c r="B381" s="4" t="s">
        <v>705</v>
      </c>
      <c r="C381" s="4" t="s">
        <v>287</v>
      </c>
      <c r="D381" s="94">
        <v>1278.0</v>
      </c>
    </row>
    <row r="382">
      <c r="A382" s="40">
        <f t="array" ref="A382">IFNA(index(PlayerValues!A:A,match(IFNA(vlookup(B382,'Special Names'!A:B,2,FALSE),B382),PlayerValues!E:E,0)),"N/A")</f>
        <v>17521</v>
      </c>
      <c r="B382" s="4" t="s">
        <v>573</v>
      </c>
      <c r="C382" s="4" t="s">
        <v>287</v>
      </c>
      <c r="D382" s="94">
        <v>1278.0</v>
      </c>
    </row>
    <row r="383">
      <c r="A383" s="40">
        <f t="array" ref="A383">IFNA(index(PlayerValues!A:A,match(IFNA(vlookup(B383,'Special Names'!A:B,2,FALSE),B383),PlayerValues!E:E,0)),"N/A")</f>
        <v>17097</v>
      </c>
      <c r="B383" s="4" t="s">
        <v>659</v>
      </c>
      <c r="C383" s="4" t="s">
        <v>287</v>
      </c>
      <c r="D383" s="94">
        <v>1267.0</v>
      </c>
    </row>
    <row r="384">
      <c r="A384" s="40">
        <f t="array" ref="A384">IFNA(index(PlayerValues!A:A,match(IFNA(vlookup(B384,'Special Names'!A:B,2,FALSE),B384),PlayerValues!E:E,0)),"N/A")</f>
        <v>14080</v>
      </c>
      <c r="B384" s="4" t="s">
        <v>716</v>
      </c>
      <c r="C384" s="4" t="s">
        <v>278</v>
      </c>
      <c r="D384" s="94">
        <v>1259.0</v>
      </c>
    </row>
    <row r="385">
      <c r="A385" s="40">
        <f t="array" ref="A385">IFNA(index(PlayerValues!A:A,match(IFNA(vlookup(B385,'Special Names'!A:B,2,FALSE),B385),PlayerValues!E:E,0)),"N/A")</f>
        <v>17269</v>
      </c>
      <c r="B385" s="4" t="s">
        <v>718</v>
      </c>
      <c r="C385" s="4" t="s">
        <v>287</v>
      </c>
      <c r="D385" s="94">
        <v>1254.0</v>
      </c>
    </row>
    <row r="386">
      <c r="A386" s="40">
        <f t="array" ref="A386">IFNA(index(PlayerValues!A:A,match(IFNA(vlookup(B386,'Special Names'!A:B,2,FALSE),B386),PlayerValues!E:E,0)),"N/A")</f>
        <v>15702</v>
      </c>
      <c r="B386" s="4" t="s">
        <v>723</v>
      </c>
      <c r="C386" s="4" t="s">
        <v>283</v>
      </c>
      <c r="D386" s="94">
        <v>1253.0</v>
      </c>
    </row>
    <row r="387">
      <c r="A387" s="40">
        <f t="array" ref="A387">IFNA(index(PlayerValues!A:A,match(IFNA(vlookup(B387,'Special Names'!A:B,2,FALSE),B387),PlayerValues!E:E,0)),"N/A")</f>
        <v>16183</v>
      </c>
      <c r="B387" s="4" t="s">
        <v>678</v>
      </c>
      <c r="C387" s="4" t="s">
        <v>287</v>
      </c>
      <c r="D387" s="94">
        <v>1235.0</v>
      </c>
    </row>
    <row r="388">
      <c r="A388" s="40">
        <f t="array" ref="A388">IFNA(index(PlayerValues!A:A,match(IFNA(vlookup(B388,'Special Names'!A:B,2,FALSE),B388),PlayerValues!E:E,0)),"N/A")</f>
        <v>16333</v>
      </c>
      <c r="B388" s="4" t="s">
        <v>711</v>
      </c>
      <c r="C388" s="4" t="s">
        <v>298</v>
      </c>
      <c r="D388" s="94">
        <v>1595.0</v>
      </c>
    </row>
    <row r="389">
      <c r="A389" s="40">
        <f t="array" ref="A389">IFNA(index(PlayerValues!A:A,match(IFNA(vlookup(B389,'Special Names'!A:B,2,FALSE),B389),PlayerValues!E:E,0)),"N/A")</f>
        <v>16636</v>
      </c>
      <c r="B389" s="4" t="s">
        <v>699</v>
      </c>
      <c r="C389" s="4" t="s">
        <v>287</v>
      </c>
      <c r="D389" s="94">
        <v>1225.0</v>
      </c>
    </row>
    <row r="390">
      <c r="A390" s="40">
        <f t="array" ref="A390">IFNA(index(PlayerValues!A:A,match(IFNA(vlookup(B390,'Special Names'!A:B,2,FALSE),B390),PlayerValues!E:E,0)),"N/A")</f>
        <v>17607</v>
      </c>
      <c r="B390" s="4" t="s">
        <v>526</v>
      </c>
      <c r="C390" s="4" t="s">
        <v>298</v>
      </c>
      <c r="D390" s="94">
        <v>1592.0</v>
      </c>
    </row>
    <row r="391">
      <c r="A391" s="40">
        <f t="array" ref="A391">IFNA(index(PlayerValues!A:A,match(IFNA(vlookup(B391,'Special Names'!A:B,2,FALSE),B391),PlayerValues!E:E,0)),"N/A")</f>
        <v>16645</v>
      </c>
      <c r="B391" s="4" t="s">
        <v>651</v>
      </c>
      <c r="C391" s="4" t="s">
        <v>298</v>
      </c>
      <c r="D391" s="94">
        <v>1590.0</v>
      </c>
    </row>
    <row r="392">
      <c r="A392" s="40">
        <f t="array" ref="A392">IFNA(index(PlayerValues!A:A,match(IFNA(vlookup(B392,'Special Names'!A:B,2,FALSE),B392),PlayerValues!E:E,0)),"N/A")</f>
        <v>16387</v>
      </c>
      <c r="B392" s="4" t="s">
        <v>646</v>
      </c>
      <c r="C392" s="4" t="s">
        <v>278</v>
      </c>
      <c r="D392" s="94">
        <v>1217.0</v>
      </c>
    </row>
    <row r="393">
      <c r="A393" s="40">
        <f t="array" ref="A393">IFNA(index(PlayerValues!A:A,match(IFNA(vlookup(B393,'Special Names'!A:B,2,FALSE),B393),PlayerValues!E:E,0)),"N/A")</f>
        <v>16746</v>
      </c>
      <c r="B393" s="4" t="s">
        <v>709</v>
      </c>
      <c r="C393" s="4" t="s">
        <v>278</v>
      </c>
      <c r="D393" s="94">
        <v>1212.0</v>
      </c>
    </row>
    <row r="394">
      <c r="A394" s="40">
        <f t="array" ref="A394">IFNA(index(PlayerValues!A:A,match(IFNA(vlookup(B394,'Special Names'!A:B,2,FALSE),B394),PlayerValues!E:E,0)),"N/A")</f>
        <v>17519</v>
      </c>
      <c r="B394" s="4" t="s">
        <v>593</v>
      </c>
      <c r="C394" s="4" t="s">
        <v>287</v>
      </c>
      <c r="D394" s="94">
        <v>1206.0</v>
      </c>
    </row>
    <row r="395">
      <c r="A395" s="40">
        <f t="array" ref="A395">IFNA(index(PlayerValues!A:A,match(IFNA(vlookup(B395,'Special Names'!A:B,2,FALSE),B395),PlayerValues!E:E,0)),"N/A")</f>
        <v>15288</v>
      </c>
      <c r="B395" s="4" t="s">
        <v>700</v>
      </c>
      <c r="C395" s="4" t="s">
        <v>287</v>
      </c>
      <c r="D395" s="94">
        <v>1203.0</v>
      </c>
    </row>
    <row r="396">
      <c r="A396" s="40">
        <f t="array" ref="A396">IFNA(index(PlayerValues!A:A,match(IFNA(vlookup(B396,'Special Names'!A:B,2,FALSE),B396),PlayerValues!E:E,0)),"N/A")</f>
        <v>16883</v>
      </c>
      <c r="B396" s="4" t="s">
        <v>683</v>
      </c>
      <c r="C396" s="4" t="s">
        <v>287</v>
      </c>
      <c r="D396" s="94">
        <v>1199.0</v>
      </c>
    </row>
    <row r="397">
      <c r="A397" s="40">
        <f t="array" ref="A397">IFNA(index(PlayerValues!A:A,match(IFNA(vlookup(B397,'Special Names'!A:B,2,FALSE),B397),PlayerValues!E:E,0)),"N/A")</f>
        <v>17063</v>
      </c>
      <c r="B397" s="4" t="s">
        <v>686</v>
      </c>
      <c r="C397" s="4" t="s">
        <v>278</v>
      </c>
      <c r="D397" s="94">
        <v>1197.0</v>
      </c>
    </row>
    <row r="398">
      <c r="A398" s="40">
        <f t="array" ref="A398">IFNA(index(PlayerValues!A:A,match(IFNA(vlookup(B398,'Special Names'!A:B,2,FALSE),B398),PlayerValues!E:E,0)),"N/A")</f>
        <v>16199</v>
      </c>
      <c r="B398" s="4" t="s">
        <v>687</v>
      </c>
      <c r="C398" s="4" t="s">
        <v>287</v>
      </c>
      <c r="D398" s="94">
        <v>1195.0</v>
      </c>
    </row>
    <row r="399">
      <c r="A399" s="40">
        <f t="array" ref="A399">IFNA(index(PlayerValues!A:A,match(IFNA(vlookup(B399,'Special Names'!A:B,2,FALSE),B399),PlayerValues!E:E,0)),"N/A")</f>
        <v>16221</v>
      </c>
      <c r="B399" s="4" t="s">
        <v>725</v>
      </c>
      <c r="C399" s="4" t="s">
        <v>298</v>
      </c>
      <c r="D399" s="94">
        <v>1556.0</v>
      </c>
    </row>
    <row r="400">
      <c r="A400" s="40">
        <f t="array" ref="A400">IFNA(index(PlayerValues!A:A,match(IFNA(vlookup(B400,'Special Names'!A:B,2,FALSE),B400),PlayerValues!E:E,0)),"N/A")</f>
        <v>17057</v>
      </c>
      <c r="B400" s="4" t="s">
        <v>708</v>
      </c>
      <c r="C400" s="4" t="s">
        <v>278</v>
      </c>
      <c r="D400" s="94">
        <v>1175.0</v>
      </c>
    </row>
    <row r="401">
      <c r="A401" s="40">
        <f t="array" ref="A401">IFNA(index(PlayerValues!A:A,match(IFNA(vlookup(B401,'Special Names'!A:B,2,FALSE),B401),PlayerValues!E:E,0)),"N/A")</f>
        <v>17109</v>
      </c>
      <c r="B401" s="4" t="s">
        <v>707</v>
      </c>
      <c r="C401" s="4" t="s">
        <v>298</v>
      </c>
      <c r="D401" s="94">
        <v>1542.0</v>
      </c>
    </row>
    <row r="402">
      <c r="A402" s="40">
        <f t="array" ref="A402">IFNA(index(PlayerValues!A:A,match(IFNA(vlookup(B402,'Special Names'!A:B,2,FALSE),B402),PlayerValues!E:E,0)),"N/A")</f>
        <v>15981</v>
      </c>
      <c r="B402" s="4" t="s">
        <v>729</v>
      </c>
      <c r="C402" s="4" t="s">
        <v>287</v>
      </c>
      <c r="D402" s="94">
        <v>1173.0</v>
      </c>
    </row>
    <row r="403">
      <c r="A403" s="40">
        <f t="array" ref="A403">IFNA(index(PlayerValues!A:A,match(IFNA(vlookup(B403,'Special Names'!A:B,2,FALSE),B403),PlayerValues!E:E,0)),"N/A")</f>
        <v>14789</v>
      </c>
      <c r="B403" s="4" t="s">
        <v>721</v>
      </c>
      <c r="C403" s="4" t="s">
        <v>283</v>
      </c>
      <c r="D403" s="94">
        <v>1158.0</v>
      </c>
    </row>
    <row r="404">
      <c r="A404" s="40">
        <f t="array" ref="A404">IFNA(index(PlayerValues!A:A,match(IFNA(vlookup(B404,'Special Names'!A:B,2,FALSE),B404),PlayerValues!E:E,0)),"N/A")</f>
        <v>14108</v>
      </c>
      <c r="B404" s="4" t="s">
        <v>673</v>
      </c>
      <c r="C404" s="4" t="s">
        <v>287</v>
      </c>
      <c r="D404" s="94">
        <v>1155.0</v>
      </c>
    </row>
    <row r="405">
      <c r="A405" s="40">
        <f t="array" ref="A405">IFNA(index(PlayerValues!A:A,match(IFNA(vlookup(B405,'Special Names'!A:B,2,FALSE),B405),PlayerValues!E:E,0)),"N/A")</f>
        <v>14845</v>
      </c>
      <c r="B405" s="4" t="s">
        <v>717</v>
      </c>
      <c r="C405" s="4" t="s">
        <v>287</v>
      </c>
      <c r="D405" s="94">
        <v>1147.0</v>
      </c>
    </row>
    <row r="406">
      <c r="A406" s="40">
        <f t="array" ref="A406">IFNA(index(PlayerValues!A:A,match(IFNA(vlookup(B406,'Special Names'!A:B,2,FALSE),B406),PlayerValues!E:E,0)),"N/A")</f>
        <v>16385</v>
      </c>
      <c r="B406" s="4" t="s">
        <v>690</v>
      </c>
      <c r="C406" s="4" t="s">
        <v>278</v>
      </c>
      <c r="D406" s="94">
        <v>1146.0</v>
      </c>
    </row>
    <row r="407">
      <c r="A407" s="40">
        <f t="array" ref="A407">IFNA(index(PlayerValues!A:A,match(IFNA(vlookup(B407,'Special Names'!A:B,2,FALSE),B407),PlayerValues!E:E,0)),"N/A")</f>
        <v>17546</v>
      </c>
      <c r="B407" s="4" t="s">
        <v>671</v>
      </c>
      <c r="C407" s="4" t="s">
        <v>298</v>
      </c>
      <c r="D407" s="94">
        <v>1512.0</v>
      </c>
    </row>
    <row r="408">
      <c r="A408" s="40">
        <f t="array" ref="A408">IFNA(index(PlayerValues!A:A,match(IFNA(vlookup(B408,'Special Names'!A:B,2,FALSE),B408),PlayerValues!E:E,0)),"N/A")</f>
        <v>15240</v>
      </c>
      <c r="B408" s="4" t="s">
        <v>751</v>
      </c>
      <c r="C408" s="4" t="s">
        <v>283</v>
      </c>
      <c r="D408" s="94">
        <v>1137.0</v>
      </c>
    </row>
    <row r="409">
      <c r="A409" s="40">
        <f t="array" ref="A409">IFNA(index(PlayerValues!A:A,match(IFNA(vlookup(B409,'Special Names'!A:B,2,FALSE),B409),PlayerValues!E:E,0)),"N/A")</f>
        <v>14067</v>
      </c>
      <c r="B409" s="4" t="s">
        <v>735</v>
      </c>
      <c r="C409" s="4" t="s">
        <v>283</v>
      </c>
      <c r="D409" s="94">
        <v>1136.0</v>
      </c>
    </row>
    <row r="410">
      <c r="A410" s="40">
        <f t="array" ref="A410">IFNA(index(PlayerValues!A:A,match(IFNA(vlookup(B410,'Special Names'!A:B,2,FALSE),B410),PlayerValues!E:E,0)),"N/A")</f>
        <v>15730</v>
      </c>
      <c r="B410" s="4" t="s">
        <v>734</v>
      </c>
      <c r="C410" s="4" t="s">
        <v>278</v>
      </c>
      <c r="D410" s="94">
        <v>1122.0</v>
      </c>
    </row>
    <row r="411">
      <c r="A411" s="40">
        <f t="array" ref="A411">IFNA(index(PlayerValues!A:A,match(IFNA(vlookup(B411,'Special Names'!A:B,2,FALSE),B411),PlayerValues!E:E,0)),"N/A")</f>
        <v>13289</v>
      </c>
      <c r="B411" s="4" t="s">
        <v>746</v>
      </c>
      <c r="C411" s="4" t="s">
        <v>287</v>
      </c>
      <c r="D411" s="94">
        <v>1121.0</v>
      </c>
    </row>
    <row r="412">
      <c r="A412" s="40">
        <f t="array" ref="A412">IFNA(index(PlayerValues!A:A,match(IFNA(vlookup(B412,'Special Names'!A:B,2,FALSE),B412),PlayerValues!E:E,0)),"N/A")</f>
        <v>17192</v>
      </c>
      <c r="B412" s="4" t="s">
        <v>677</v>
      </c>
      <c r="C412" s="4" t="s">
        <v>287</v>
      </c>
      <c r="D412" s="94">
        <v>1114.0</v>
      </c>
    </row>
    <row r="413">
      <c r="A413" s="40">
        <f t="array" ref="A413">IFNA(index(PlayerValues!A:A,match(IFNA(vlookup(B413,'Special Names'!A:B,2,FALSE),B413),PlayerValues!E:E,0)),"N/A")</f>
        <v>17510</v>
      </c>
      <c r="B413" s="4" t="s">
        <v>661</v>
      </c>
      <c r="C413" s="4" t="s">
        <v>287</v>
      </c>
      <c r="D413" s="94">
        <v>1112.0</v>
      </c>
    </row>
    <row r="414">
      <c r="A414" s="40">
        <f t="array" ref="A414">IFNA(index(PlayerValues!A:A,match(IFNA(vlookup(B414,'Special Names'!A:B,2,FALSE),B414),PlayerValues!E:E,0)),"N/A")</f>
        <v>13131</v>
      </c>
      <c r="B414" s="4" t="s">
        <v>815</v>
      </c>
      <c r="C414" s="4" t="s">
        <v>278</v>
      </c>
      <c r="D414" s="94">
        <v>1106.0</v>
      </c>
    </row>
    <row r="415">
      <c r="A415" s="40">
        <f t="array" ref="A415">IFNA(index(PlayerValues!A:A,match(IFNA(vlookup(B415,'Special Names'!A:B,2,FALSE),B415),PlayerValues!E:E,0)),"N/A")</f>
        <v>16393</v>
      </c>
      <c r="B415" s="4" t="s">
        <v>768</v>
      </c>
      <c r="C415" s="4" t="s">
        <v>287</v>
      </c>
      <c r="D415" s="94">
        <v>1104.0</v>
      </c>
    </row>
    <row r="416">
      <c r="A416" s="40">
        <f t="array" ref="A416">IFNA(index(PlayerValues!A:A,match(IFNA(vlookup(B416,'Special Names'!A:B,2,FALSE),B416),PlayerValues!E:E,0)),"N/A")</f>
        <v>17685</v>
      </c>
      <c r="B416" s="4" t="s">
        <v>630</v>
      </c>
      <c r="C416" s="4" t="s">
        <v>278</v>
      </c>
      <c r="D416" s="94">
        <v>1101.0</v>
      </c>
    </row>
    <row r="417">
      <c r="A417" s="40">
        <f t="array" ref="A417">IFNA(index(PlayerValues!A:A,match(IFNA(vlookup(B417,'Special Names'!A:B,2,FALSE),B417),PlayerValues!E:E,0)),"N/A")</f>
        <v>15727</v>
      </c>
      <c r="B417" s="4" t="s">
        <v>730</v>
      </c>
      <c r="C417" s="4" t="s">
        <v>278</v>
      </c>
      <c r="D417" s="94">
        <v>1092.0</v>
      </c>
    </row>
    <row r="418">
      <c r="A418" s="40">
        <f t="array" ref="A418">IFNA(index(PlayerValues!A:A,match(IFNA(vlookup(B418,'Special Names'!A:B,2,FALSE),B418),PlayerValues!E:E,0)),"N/A")</f>
        <v>9064</v>
      </c>
      <c r="B418" s="4" t="s">
        <v>761</v>
      </c>
      <c r="C418" s="4" t="s">
        <v>283</v>
      </c>
      <c r="D418" s="94">
        <v>1089.0</v>
      </c>
    </row>
    <row r="419">
      <c r="A419" s="40">
        <f t="array" ref="A419">IFNA(index(PlayerValues!A:A,match(IFNA(vlookup(B419,'Special Names'!A:B,2,FALSE),B419),PlayerValues!E:E,0)),"N/A")</f>
        <v>16197</v>
      </c>
      <c r="B419" s="4" t="s">
        <v>726</v>
      </c>
      <c r="C419" s="4" t="s">
        <v>287</v>
      </c>
      <c r="D419" s="94">
        <v>1087.0</v>
      </c>
    </row>
    <row r="420">
      <c r="A420" s="40">
        <f t="array" ref="A420">IFNA(index(PlayerValues!A:A,match(IFNA(vlookup(B420,'Special Names'!A:B,2,FALSE),B420),PlayerValues!E:E,0)),"N/A")</f>
        <v>15692</v>
      </c>
      <c r="B420" s="4" t="s">
        <v>750</v>
      </c>
      <c r="C420" s="4" t="s">
        <v>283</v>
      </c>
      <c r="D420" s="94">
        <v>1086.0</v>
      </c>
    </row>
    <row r="421">
      <c r="A421" s="40">
        <f t="array" ref="A421">IFNA(index(PlayerValues!A:A,match(IFNA(vlookup(B421,'Special Names'!A:B,2,FALSE),B421),PlayerValues!E:E,0)),"N/A")</f>
        <v>16637</v>
      </c>
      <c r="B421" s="4" t="s">
        <v>736</v>
      </c>
      <c r="C421" s="4" t="s">
        <v>287</v>
      </c>
      <c r="D421" s="94">
        <v>1072.0</v>
      </c>
    </row>
    <row r="422">
      <c r="A422" s="40">
        <f t="array" ref="A422">IFNA(index(PlayerValues!A:A,match(IFNA(vlookup(B422,'Special Names'!A:B,2,FALSE),B422),PlayerValues!E:E,0)),"N/A")</f>
        <v>17050</v>
      </c>
      <c r="B422" s="4" t="s">
        <v>713</v>
      </c>
      <c r="C422" s="4" t="s">
        <v>278</v>
      </c>
      <c r="D422" s="94">
        <v>1065.0</v>
      </c>
    </row>
    <row r="423">
      <c r="A423" s="40">
        <f t="array" ref="A423">IFNA(index(PlayerValues!A:A,match(IFNA(vlookup(B423,'Special Names'!A:B,2,FALSE),B423),PlayerValues!E:E,0)),"N/A")</f>
        <v>17599</v>
      </c>
      <c r="B423" s="4" t="s">
        <v>496</v>
      </c>
      <c r="C423" s="4" t="s">
        <v>287</v>
      </c>
      <c r="D423" s="94">
        <v>1064.0</v>
      </c>
    </row>
    <row r="424">
      <c r="A424" s="40">
        <f t="array" ref="A424">IFNA(index(PlayerValues!A:A,match(IFNA(vlookup(B424,'Special Names'!A:B,2,FALSE),B424),PlayerValues!E:E,0)),"N/A")</f>
        <v>16640</v>
      </c>
      <c r="B424" s="4" t="s">
        <v>712</v>
      </c>
      <c r="C424" s="4" t="s">
        <v>287</v>
      </c>
      <c r="D424" s="94">
        <v>1060.0</v>
      </c>
    </row>
    <row r="425">
      <c r="A425" s="40">
        <f t="array" ref="A425">IFNA(index(PlayerValues!A:A,match(IFNA(vlookup(B425,'Special Names'!A:B,2,FALSE),B425),PlayerValues!E:E,0)),"N/A")</f>
        <v>15693</v>
      </c>
      <c r="B425" s="4" t="s">
        <v>755</v>
      </c>
      <c r="C425" s="4" t="s">
        <v>283</v>
      </c>
      <c r="D425" s="94">
        <v>1036.0</v>
      </c>
    </row>
    <row r="426">
      <c r="A426" s="40">
        <f t="array" ref="A426">IFNA(index(PlayerValues!A:A,match(IFNA(vlookup(B426,'Special Names'!A:B,2,FALSE),B426),PlayerValues!E:E,0)),"N/A")</f>
        <v>13193</v>
      </c>
      <c r="B426" s="4" t="s">
        <v>773</v>
      </c>
      <c r="C426" s="4" t="s">
        <v>298</v>
      </c>
      <c r="D426" s="94">
        <v>1402.0</v>
      </c>
    </row>
    <row r="427">
      <c r="A427" s="40">
        <f t="array" ref="A427">IFNA(index(PlayerValues!A:A,match(IFNA(vlookup(B427,'Special Names'!A:B,2,FALSE),B427),PlayerValues!E:E,0)),"N/A")</f>
        <v>11247</v>
      </c>
      <c r="B427" s="4" t="s">
        <v>816</v>
      </c>
      <c r="C427" s="4" t="s">
        <v>298</v>
      </c>
      <c r="D427" s="94">
        <v>1394.0</v>
      </c>
    </row>
    <row r="428">
      <c r="A428" s="40">
        <f t="array" ref="A428">IFNA(index(PlayerValues!A:A,match(IFNA(vlookup(B428,'Special Names'!A:B,2,FALSE),B428),PlayerValues!E:E,0)),"N/A")</f>
        <v>16451</v>
      </c>
      <c r="B428" s="4" t="s">
        <v>769</v>
      </c>
      <c r="C428" s="4" t="s">
        <v>287</v>
      </c>
      <c r="D428" s="94">
        <v>1025.0</v>
      </c>
    </row>
    <row r="429">
      <c r="A429" s="40">
        <f t="array" ref="A429">IFNA(index(PlayerValues!A:A,match(IFNA(vlookup(B429,'Special Names'!A:B,2,FALSE),B429),PlayerValues!E:E,0)),"N/A")</f>
        <v>15239</v>
      </c>
      <c r="B429" s="4" t="s">
        <v>802</v>
      </c>
      <c r="C429" s="4" t="s">
        <v>283</v>
      </c>
      <c r="D429" s="94">
        <v>1013.0</v>
      </c>
    </row>
    <row r="430">
      <c r="A430" s="40">
        <f t="array" ref="A430">IFNA(index(PlayerValues!A:A,match(IFNA(vlookup(B430,'Special Names'!A:B,2,FALSE),B430),PlayerValues!E:E,0)),"N/A")</f>
        <v>16168</v>
      </c>
      <c r="B430" s="4" t="s">
        <v>738</v>
      </c>
      <c r="C430" s="4" t="s">
        <v>278</v>
      </c>
      <c r="D430" s="94">
        <v>1011.0</v>
      </c>
    </row>
    <row r="431">
      <c r="A431" s="40">
        <f t="array" ref="A431">IFNA(index(PlayerValues!A:A,match(IFNA(vlookup(B431,'Special Names'!A:B,2,FALSE),B431),PlayerValues!E:E,0)),"N/A")</f>
        <v>15258</v>
      </c>
      <c r="B431" s="4" t="s">
        <v>757</v>
      </c>
      <c r="C431" s="4" t="s">
        <v>278</v>
      </c>
      <c r="D431" s="94">
        <v>999.0</v>
      </c>
    </row>
    <row r="432">
      <c r="A432" s="40">
        <f t="array" ref="A432">IFNA(index(PlayerValues!A:A,match(IFNA(vlookup(B432,'Special Names'!A:B,2,FALSE),B432),PlayerValues!E:E,0)),"N/A")</f>
        <v>15330</v>
      </c>
      <c r="B432" s="4" t="s">
        <v>749</v>
      </c>
      <c r="C432" s="4" t="s">
        <v>298</v>
      </c>
      <c r="D432" s="94">
        <v>1364.0</v>
      </c>
    </row>
    <row r="433">
      <c r="A433" s="40">
        <f t="array" ref="A433">IFNA(index(PlayerValues!A:A,match(IFNA(vlookup(B433,'Special Names'!A:B,2,FALSE),B433),PlayerValues!E:E,0)),"N/A")</f>
        <v>16170</v>
      </c>
      <c r="B433" s="4" t="s">
        <v>801</v>
      </c>
      <c r="C433" s="4" t="s">
        <v>278</v>
      </c>
      <c r="D433" s="94">
        <v>997.0</v>
      </c>
    </row>
    <row r="434">
      <c r="A434" s="40">
        <f t="array" ref="A434">IFNA(index(PlayerValues!A:A,match(IFNA(vlookup(B434,'Special Names'!A:B,2,FALSE),B434),PlayerValues!E:E,0)),"N/A")</f>
        <v>17652</v>
      </c>
      <c r="B434" s="4" t="s">
        <v>576</v>
      </c>
      <c r="C434" s="4" t="s">
        <v>278</v>
      </c>
      <c r="D434" s="94">
        <v>995.0</v>
      </c>
    </row>
    <row r="435">
      <c r="A435" s="40">
        <f t="array" ref="A435">IFNA(index(PlayerValues!A:A,match(IFNA(vlookup(B435,'Special Names'!A:B,2,FALSE),B435),PlayerValues!E:E,0)),"N/A")</f>
        <v>15795</v>
      </c>
      <c r="B435" s="4" t="s">
        <v>669</v>
      </c>
      <c r="C435" s="4" t="s">
        <v>298</v>
      </c>
      <c r="D435" s="94">
        <v>1359.0</v>
      </c>
    </row>
    <row r="436">
      <c r="A436" s="40">
        <f t="array" ref="A436">IFNA(index(PlayerValues!A:A,match(IFNA(vlookup(B436,'Special Names'!A:B,2,FALSE),B436),PlayerValues!E:E,0)),"N/A")</f>
        <v>15717</v>
      </c>
      <c r="B436" s="4" t="s">
        <v>745</v>
      </c>
      <c r="C436" s="4" t="s">
        <v>278</v>
      </c>
      <c r="D436" s="94">
        <v>991.0</v>
      </c>
    </row>
    <row r="437">
      <c r="A437" s="40">
        <f t="array" ref="A437">IFNA(index(PlayerValues!A:A,match(IFNA(vlookup(B437,'Special Names'!A:B,2,FALSE),B437),PlayerValues!E:E,0)),"N/A")</f>
        <v>15785</v>
      </c>
      <c r="B437" s="4" t="s">
        <v>763</v>
      </c>
      <c r="C437" s="4" t="s">
        <v>287</v>
      </c>
      <c r="D437" s="94">
        <v>986.0</v>
      </c>
    </row>
    <row r="438">
      <c r="A438" s="40">
        <f t="array" ref="A438">IFNA(index(PlayerValues!A:A,match(IFNA(vlookup(B438,'Special Names'!A:B,2,FALSE),B438),PlayerValues!E:E,0)),"N/A")</f>
        <v>16648</v>
      </c>
      <c r="B438" s="4" t="s">
        <v>748</v>
      </c>
      <c r="C438" s="4" t="s">
        <v>298</v>
      </c>
      <c r="D438" s="94">
        <v>1352.0</v>
      </c>
    </row>
    <row r="439">
      <c r="A439" s="40">
        <f t="array" ref="A439">IFNA(index(PlayerValues!A:A,match(IFNA(vlookup(B439,'Special Names'!A:B,2,FALSE),B439),PlayerValues!E:E,0)),"N/A")</f>
        <v>14849</v>
      </c>
      <c r="B439" s="4" t="s">
        <v>733</v>
      </c>
      <c r="C439" s="4" t="s">
        <v>287</v>
      </c>
      <c r="D439" s="94">
        <v>981.0</v>
      </c>
    </row>
    <row r="440">
      <c r="A440" s="40">
        <f t="array" ref="A440">IFNA(index(PlayerValues!A:A,match(IFNA(vlookup(B440,'Special Names'!A:B,2,FALSE),B440),PlayerValues!E:E,0)),"N/A")</f>
        <v>15766</v>
      </c>
      <c r="B440" s="4" t="s">
        <v>759</v>
      </c>
      <c r="C440" s="4" t="s">
        <v>287</v>
      </c>
      <c r="D440" s="94">
        <v>977.0</v>
      </c>
    </row>
    <row r="441">
      <c r="A441" s="40">
        <f t="array" ref="A441">IFNA(index(PlayerValues!A:A,match(IFNA(vlookup(B441,'Special Names'!A:B,2,FALSE),B441),PlayerValues!E:E,0)),"N/A")</f>
        <v>16678</v>
      </c>
      <c r="B441" s="4" t="s">
        <v>758</v>
      </c>
      <c r="C441" s="4" t="s">
        <v>278</v>
      </c>
      <c r="D441" s="94">
        <v>975.0</v>
      </c>
    </row>
    <row r="442">
      <c r="A442" s="40">
        <f t="array" ref="A442">IFNA(index(PlayerValues!A:A,match(IFNA(vlookup(B442,'Special Names'!A:B,2,FALSE),B442),PlayerValues!E:E,0)),"N/A")</f>
        <v>14118</v>
      </c>
      <c r="B442" s="4" t="s">
        <v>771</v>
      </c>
      <c r="C442" s="4" t="s">
        <v>287</v>
      </c>
      <c r="D442" s="94">
        <v>974.0</v>
      </c>
    </row>
    <row r="443">
      <c r="A443" s="40">
        <f t="array" ref="A443">IFNA(index(PlayerValues!A:A,match(IFNA(vlookup(B443,'Special Names'!A:B,2,FALSE),B443),PlayerValues!E:E,0)),"N/A")</f>
        <v>17175</v>
      </c>
      <c r="B443" s="4" t="s">
        <v>747</v>
      </c>
      <c r="C443" s="4" t="s">
        <v>287</v>
      </c>
      <c r="D443" s="94">
        <v>974.0</v>
      </c>
    </row>
    <row r="444">
      <c r="A444" s="40">
        <f t="array" ref="A444">IFNA(index(PlayerValues!A:A,match(IFNA(vlookup(B444,'Special Names'!A:B,2,FALSE),B444),PlayerValues!E:E,0)),"N/A")</f>
        <v>14057</v>
      </c>
      <c r="B444" s="4" t="s">
        <v>765</v>
      </c>
      <c r="C444" s="4" t="s">
        <v>283</v>
      </c>
      <c r="D444" s="94">
        <v>973.0</v>
      </c>
    </row>
    <row r="445">
      <c r="A445" s="40">
        <f t="array" ref="A445">IFNA(index(PlayerValues!A:A,match(IFNA(vlookup(B445,'Special Names'!A:B,2,FALSE),B445),PlayerValues!E:E,0)),"N/A")</f>
        <v>15758</v>
      </c>
      <c r="B445" s="4" t="s">
        <v>724</v>
      </c>
      <c r="C445" s="4" t="s">
        <v>287</v>
      </c>
      <c r="D445" s="94">
        <v>972.0</v>
      </c>
    </row>
    <row r="446">
      <c r="A446" s="40">
        <f t="array" ref="A446">IFNA(index(PlayerValues!A:A,match(IFNA(vlookup(B446,'Special Names'!A:B,2,FALSE),B446),PlayerValues!E:E,0)),"N/A")</f>
        <v>16205</v>
      </c>
      <c r="B446" s="4" t="s">
        <v>742</v>
      </c>
      <c r="C446" s="4" t="s">
        <v>287</v>
      </c>
      <c r="D446" s="94">
        <v>971.0</v>
      </c>
    </row>
    <row r="447">
      <c r="A447" s="40">
        <f t="array" ref="A447">IFNA(index(PlayerValues!A:A,match(IFNA(vlookup(B447,'Special Names'!A:B,2,FALSE),B447),PlayerValues!E:E,0)),"N/A")</f>
        <v>15718</v>
      </c>
      <c r="B447" s="4" t="s">
        <v>753</v>
      </c>
      <c r="C447" s="4" t="s">
        <v>278</v>
      </c>
      <c r="D447" s="94">
        <v>969.0</v>
      </c>
    </row>
    <row r="448">
      <c r="A448" s="40">
        <f t="array" ref="A448">IFNA(index(PlayerValues!A:A,match(IFNA(vlookup(B448,'Special Names'!A:B,2,FALSE),B448),PlayerValues!E:E,0)),"N/A")</f>
        <v>17479</v>
      </c>
      <c r="B448" s="4" t="s">
        <v>756</v>
      </c>
      <c r="C448" s="4" t="s">
        <v>278</v>
      </c>
      <c r="D448" s="94">
        <v>964.0</v>
      </c>
    </row>
    <row r="449">
      <c r="A449" s="40">
        <f t="array" ref="A449">IFNA(index(PlayerValues!A:A,match(IFNA(vlookup(B449,'Special Names'!A:B,2,FALSE),B449),PlayerValues!E:E,0)),"N/A")</f>
        <v>15626</v>
      </c>
      <c r="B449" s="4" t="s">
        <v>766</v>
      </c>
      <c r="C449" s="4" t="s">
        <v>298</v>
      </c>
      <c r="D449" s="94">
        <v>1329.0</v>
      </c>
    </row>
    <row r="450">
      <c r="A450" s="40">
        <f t="array" ref="A450">IFNA(index(PlayerValues!A:A,match(IFNA(vlookup(B450,'Special Names'!A:B,2,FALSE),B450),PlayerValues!E:E,0)),"N/A")</f>
        <v>16858</v>
      </c>
      <c r="B450" s="4" t="s">
        <v>754</v>
      </c>
      <c r="C450" s="4" t="s">
        <v>287</v>
      </c>
      <c r="D450" s="94">
        <v>958.0</v>
      </c>
    </row>
    <row r="451">
      <c r="A451" s="40">
        <f t="array" ref="A451">IFNA(index(PlayerValues!A:A,match(IFNA(vlookup(B451,'Special Names'!A:B,2,FALSE),B451),PlayerValues!E:E,0)),"N/A")</f>
        <v>15109</v>
      </c>
      <c r="B451" s="4" t="s">
        <v>728</v>
      </c>
      <c r="C451" s="4" t="s">
        <v>287</v>
      </c>
      <c r="D451" s="94">
        <v>956.0</v>
      </c>
    </row>
    <row r="452">
      <c r="A452" s="40">
        <f t="array" ref="A452">IFNA(index(PlayerValues!A:A,match(IFNA(vlookup(B452,'Special Names'!A:B,2,FALSE),B452),PlayerValues!E:E,0)),"N/A")</f>
        <v>16219</v>
      </c>
      <c r="B452" s="4" t="s">
        <v>739</v>
      </c>
      <c r="C452" s="4" t="s">
        <v>298</v>
      </c>
      <c r="D452" s="94">
        <v>1297.0</v>
      </c>
    </row>
    <row r="453">
      <c r="A453" s="40">
        <f t="array" ref="A453">IFNA(index(PlayerValues!A:A,match(IFNA(vlookup(B453,'Special Names'!A:B,2,FALSE),B453),PlayerValues!E:E,0)),"N/A")</f>
        <v>16624</v>
      </c>
      <c r="B453" s="4" t="s">
        <v>796</v>
      </c>
      <c r="C453" s="4" t="s">
        <v>287</v>
      </c>
      <c r="D453" s="94">
        <v>917.0</v>
      </c>
    </row>
    <row r="454">
      <c r="A454" s="40">
        <f t="array" ref="A454">IFNA(index(PlayerValues!A:A,match(IFNA(vlookup(B454,'Special Names'!A:B,2,FALSE),B454),PlayerValues!E:E,0)),"N/A")</f>
        <v>17475</v>
      </c>
      <c r="B454" s="4" t="s">
        <v>615</v>
      </c>
      <c r="C454" s="4" t="s">
        <v>278</v>
      </c>
      <c r="D454" s="94">
        <v>914.0</v>
      </c>
    </row>
    <row r="455">
      <c r="A455" s="40">
        <f t="array" ref="A455">IFNA(index(PlayerValues!A:A,match(IFNA(vlookup(B455,'Special Names'!A:B,2,FALSE),B455),PlayerValues!E:E,0)),"N/A")</f>
        <v>15720</v>
      </c>
      <c r="B455" s="4" t="s">
        <v>795</v>
      </c>
      <c r="C455" s="4" t="s">
        <v>278</v>
      </c>
      <c r="D455" s="94">
        <v>907.0</v>
      </c>
    </row>
    <row r="456">
      <c r="A456" s="40">
        <f t="array" ref="A456">IFNA(index(PlayerValues!A:A,match(IFNA(vlookup(B456,'Special Names'!A:B,2,FALSE),B456),PlayerValues!E:E,0)),"N/A")</f>
        <v>16773</v>
      </c>
      <c r="B456" s="4" t="s">
        <v>783</v>
      </c>
      <c r="C456" s="4" t="s">
        <v>278</v>
      </c>
      <c r="D456" s="94">
        <v>879.0</v>
      </c>
    </row>
    <row r="457">
      <c r="A457" s="40">
        <f t="array" ref="A457">IFNA(index(PlayerValues!A:A,match(IFNA(vlookup(B457,'Special Names'!A:B,2,FALSE),B457),PlayerValues!E:E,0)),"N/A")</f>
        <v>16599</v>
      </c>
      <c r="B457" s="4" t="s">
        <v>737</v>
      </c>
      <c r="C457" s="4" t="s">
        <v>278</v>
      </c>
      <c r="D457" s="94">
        <v>868.0</v>
      </c>
    </row>
    <row r="458">
      <c r="A458" s="40">
        <f t="array" ref="A458">IFNA(index(PlayerValues!A:A,match(IFNA(vlookup(B458,'Special Names'!A:B,2,FALSE),B458),PlayerValues!E:E,0)),"N/A")</f>
        <v>16416</v>
      </c>
      <c r="B458" s="4" t="s">
        <v>752</v>
      </c>
      <c r="C458" s="4" t="s">
        <v>287</v>
      </c>
      <c r="D458" s="94">
        <v>866.0</v>
      </c>
    </row>
    <row r="459">
      <c r="A459" s="40">
        <f t="array" ref="A459">IFNA(index(PlayerValues!A:A,match(IFNA(vlookup(B459,'Special Names'!A:B,2,FALSE),B459),PlayerValues!E:E,0)),"N/A")</f>
        <v>17549</v>
      </c>
      <c r="B459" s="4" t="s">
        <v>720</v>
      </c>
      <c r="C459" s="4" t="s">
        <v>298</v>
      </c>
      <c r="D459" s="94">
        <v>1231.0</v>
      </c>
    </row>
    <row r="460">
      <c r="A460" s="40">
        <f t="array" ref="A460">IFNA(index(PlayerValues!A:A,match(IFNA(vlookup(B460,'Special Names'!A:B,2,FALSE),B460),PlayerValues!E:E,0)),"N/A")</f>
        <v>13138</v>
      </c>
      <c r="B460" s="4" t="s">
        <v>817</v>
      </c>
      <c r="C460" s="4" t="s">
        <v>278</v>
      </c>
      <c r="D460" s="94">
        <v>862.0</v>
      </c>
    </row>
    <row r="461">
      <c r="A461" s="40">
        <f t="array" ref="A461">IFNA(index(PlayerValues!A:A,match(IFNA(vlookup(B461,'Special Names'!A:B,2,FALSE),B461),PlayerValues!E:E,0)),"N/A")</f>
        <v>17504</v>
      </c>
      <c r="B461" s="4" t="s">
        <v>693</v>
      </c>
      <c r="C461" s="4" t="s">
        <v>287</v>
      </c>
      <c r="D461" s="94">
        <v>858.0</v>
      </c>
    </row>
    <row r="462">
      <c r="A462" s="40">
        <f t="array" ref="A462">IFNA(index(PlayerValues!A:A,match(IFNA(vlookup(B462,'Special Names'!A:B,2,FALSE),B462),PlayerValues!E:E,0)),"N/A")</f>
        <v>17487</v>
      </c>
      <c r="B462" s="4" t="s">
        <v>692</v>
      </c>
      <c r="C462" s="4" t="s">
        <v>278</v>
      </c>
      <c r="D462" s="94">
        <v>848.0</v>
      </c>
    </row>
    <row r="463">
      <c r="A463" s="40">
        <f t="array" ref="A463">IFNA(index(PlayerValues!A:A,match(IFNA(vlookup(B463,'Special Names'!A:B,2,FALSE),B463),PlayerValues!E:E,0)),"N/A")</f>
        <v>12785</v>
      </c>
      <c r="B463" s="4" t="s">
        <v>772</v>
      </c>
      <c r="C463" s="4" t="s">
        <v>287</v>
      </c>
      <c r="D463" s="94">
        <v>841.0</v>
      </c>
    </row>
    <row r="464">
      <c r="A464" s="40">
        <f t="array" ref="A464">IFNA(index(PlayerValues!A:A,match(IFNA(vlookup(B464,'Special Names'!A:B,2,FALSE),B464),PlayerValues!E:E,0)),"N/A")</f>
        <v>16751</v>
      </c>
      <c r="B464" s="4" t="s">
        <v>762</v>
      </c>
      <c r="C464" s="4" t="s">
        <v>287</v>
      </c>
      <c r="D464" s="94">
        <v>841.0</v>
      </c>
    </row>
    <row r="465">
      <c r="A465" s="40">
        <f t="array" ref="A465">IFNA(index(PlayerValues!A:A,match(IFNA(vlookup(B465,'Special Names'!A:B,2,FALSE),B465),PlayerValues!E:E,0)),"N/A")</f>
        <v>17657</v>
      </c>
      <c r="B465" s="4" t="s">
        <v>642</v>
      </c>
      <c r="C465" s="4" t="s">
        <v>283</v>
      </c>
      <c r="D465" s="94">
        <v>829.0</v>
      </c>
    </row>
    <row r="466">
      <c r="A466" s="40">
        <f t="array" ref="A466">IFNA(index(PlayerValues!A:A,match(IFNA(vlookup(B466,'Special Names'!A:B,2,FALSE),B466),PlayerValues!E:E,0)),"N/A")</f>
        <v>14223</v>
      </c>
      <c r="B466" s="4" t="s">
        <v>785</v>
      </c>
      <c r="C466" s="4" t="s">
        <v>278</v>
      </c>
      <c r="D466" s="94">
        <v>815.0</v>
      </c>
    </row>
    <row r="467">
      <c r="A467" s="40">
        <f t="array" ref="A467">IFNA(index(PlayerValues!A:A,match(IFNA(vlookup(B467,'Special Names'!A:B,2,FALSE),B467),PlayerValues!E:E,0)),"N/A")</f>
        <v>17486</v>
      </c>
      <c r="B467" s="4" t="s">
        <v>695</v>
      </c>
      <c r="C467" s="4" t="s">
        <v>278</v>
      </c>
      <c r="D467" s="94">
        <v>780.0</v>
      </c>
    </row>
    <row r="468">
      <c r="A468" s="40">
        <f t="array" ref="A468">IFNA(index(PlayerValues!A:A,match(IFNA(vlookup(B468,'Special Names'!A:B,2,FALSE),B468),PlayerValues!E:E,0)),"N/A")</f>
        <v>17337</v>
      </c>
      <c r="B468" s="4" t="s">
        <v>793</v>
      </c>
      <c r="C468" s="4" t="s">
        <v>278</v>
      </c>
      <c r="D468" s="94">
        <v>771.0</v>
      </c>
    </row>
    <row r="469">
      <c r="A469" s="40">
        <f t="array" ref="A469">IFNA(index(PlayerValues!A:A,match(IFNA(vlookup(B469,'Special Names'!A:B,2,FALSE),B469),PlayerValues!E:E,0)),"N/A")</f>
        <v>17654</v>
      </c>
      <c r="B469" s="4" t="s">
        <v>767</v>
      </c>
      <c r="C469" s="4" t="s">
        <v>283</v>
      </c>
      <c r="D469" s="94">
        <v>765.0</v>
      </c>
    </row>
    <row r="470">
      <c r="A470" s="40">
        <f t="array" ref="A470">IFNA(index(PlayerValues!A:A,match(IFNA(vlookup(B470,'Special Names'!A:B,2,FALSE),B470),PlayerValues!E:E,0)),"N/A")</f>
        <v>16176</v>
      </c>
      <c r="B470" s="4" t="s">
        <v>812</v>
      </c>
      <c r="C470" s="4" t="s">
        <v>278</v>
      </c>
      <c r="D470" s="94">
        <v>747.0</v>
      </c>
    </row>
    <row r="471">
      <c r="A471" s="40">
        <f t="array" ref="A471">IFNA(index(PlayerValues!A:A,match(IFNA(vlookup(B471,'Special Names'!A:B,2,FALSE),B471),PlayerValues!E:E,0)),"N/A")</f>
        <v>16606</v>
      </c>
      <c r="B471" s="4" t="s">
        <v>743</v>
      </c>
      <c r="C471" s="4" t="s">
        <v>278</v>
      </c>
      <c r="D471" s="94">
        <v>732.0</v>
      </c>
    </row>
    <row r="472">
      <c r="A472" s="40">
        <f t="array" ref="A472">IFNA(index(PlayerValues!A:A,match(IFNA(vlookup(B472,'Special Names'!A:B,2,FALSE),B472),PlayerValues!E:E,0)),"N/A")</f>
        <v>17518</v>
      </c>
      <c r="B472" s="4" t="s">
        <v>482</v>
      </c>
      <c r="C472" s="4" t="s">
        <v>287</v>
      </c>
      <c r="D472" s="94">
        <v>729.0</v>
      </c>
    </row>
    <row r="473">
      <c r="A473" s="40">
        <f t="array" ref="A473">IFNA(index(PlayerValues!A:A,match(IFNA(vlookup(B473,'Special Names'!A:B,2,FALSE),B473),PlayerValues!E:E,0)),"N/A")</f>
        <v>16623</v>
      </c>
      <c r="B473" s="4" t="s">
        <v>803</v>
      </c>
      <c r="C473" s="4" t="s">
        <v>287</v>
      </c>
      <c r="D473" s="94">
        <v>721.0</v>
      </c>
    </row>
    <row r="474">
      <c r="A474" s="40">
        <f t="array" ref="A474">IFNA(index(PlayerValues!A:A,match(IFNA(vlookup(B474,'Special Names'!A:B,2,FALSE),B474),PlayerValues!E:E,0)),"N/A")</f>
        <v>14864</v>
      </c>
      <c r="B474" s="4" t="s">
        <v>789</v>
      </c>
      <c r="C474" s="4" t="s">
        <v>287</v>
      </c>
      <c r="D474" s="94">
        <v>706.0</v>
      </c>
    </row>
    <row r="475">
      <c r="A475" s="40">
        <f t="array" ref="A475">IFNA(index(PlayerValues!A:A,match(IFNA(vlookup(B475,'Special Names'!A:B,2,FALSE),B475),PlayerValues!E:E,0)),"N/A")</f>
        <v>12263</v>
      </c>
      <c r="B475" s="4" t="s">
        <v>697</v>
      </c>
      <c r="C475" s="4" t="s">
        <v>298</v>
      </c>
      <c r="D475" s="94">
        <v>1055.0</v>
      </c>
    </row>
    <row r="476">
      <c r="A476" s="40">
        <f t="array" ref="A476">IFNA(index(PlayerValues!A:A,match(IFNA(vlookup(B476,'Special Names'!A:B,2,FALSE),B476),PlayerValues!E:E,0)),"N/A")</f>
        <v>15723</v>
      </c>
      <c r="B476" s="4" t="s">
        <v>798</v>
      </c>
      <c r="C476" s="4" t="s">
        <v>278</v>
      </c>
      <c r="D476" s="94">
        <v>692.0</v>
      </c>
    </row>
    <row r="477">
      <c r="A477" s="40">
        <f t="array" ref="A477">IFNA(index(PlayerValues!A:A,match(IFNA(vlookup(B477,'Special Names'!A:B,2,FALSE),B477),PlayerValues!E:E,0)),"N/A")</f>
        <v>16686</v>
      </c>
      <c r="B477" s="4" t="s">
        <v>805</v>
      </c>
      <c r="C477" s="4" t="s">
        <v>287</v>
      </c>
      <c r="D477" s="94">
        <v>674.0</v>
      </c>
    </row>
    <row r="478">
      <c r="A478" s="40">
        <f t="array" ref="A478">IFNA(index(PlayerValues!A:A,match(IFNA(vlookup(B478,'Special Names'!A:B,2,FALSE),B478),PlayerValues!E:E,0)),"N/A")</f>
        <v>17545</v>
      </c>
      <c r="B478" s="4" t="s">
        <v>719</v>
      </c>
      <c r="C478" s="4" t="s">
        <v>298</v>
      </c>
      <c r="D478" s="94">
        <v>1025.0</v>
      </c>
    </row>
    <row r="479">
      <c r="A479" s="40">
        <f t="array" ref="A479">IFNA(index(PlayerValues!A:A,match(IFNA(vlookup(B479,'Special Names'!A:B,2,FALSE),B479),PlayerValues!E:E,0)),"N/A")</f>
        <v>17627</v>
      </c>
      <c r="B479" s="4" t="s">
        <v>684</v>
      </c>
      <c r="C479" s="4" t="s">
        <v>298</v>
      </c>
      <c r="D479" s="94">
        <v>1024.0</v>
      </c>
    </row>
    <row r="480">
      <c r="A480" s="40">
        <f t="array" ref="A480">IFNA(index(PlayerValues!A:A,match(IFNA(vlookup(B480,'Special Names'!A:B,2,FALSE),B480),PlayerValues!E:E,0)),"N/A")</f>
        <v>17541</v>
      </c>
      <c r="B480" s="4" t="s">
        <v>616</v>
      </c>
      <c r="C480" s="4" t="s">
        <v>287</v>
      </c>
      <c r="D480" s="94">
        <v>620.0</v>
      </c>
    </row>
    <row r="481">
      <c r="A481" s="40">
        <f t="array" ref="A481">IFNA(index(PlayerValues!A:A,match(IFNA(vlookup(B481,'Special Names'!A:B,2,FALSE),B481),PlayerValues!E:E,0)),"N/A")</f>
        <v>13133</v>
      </c>
      <c r="B481" s="4" t="s">
        <v>764</v>
      </c>
      <c r="C481" s="4" t="s">
        <v>278</v>
      </c>
      <c r="D481" s="94">
        <v>606.0</v>
      </c>
    </row>
    <row r="482">
      <c r="A482" s="40">
        <f t="array" ref="A482">IFNA(index(PlayerValues!A:A,match(IFNA(vlookup(B482,'Special Names'!A:B,2,FALSE),B482),PlayerValues!E:E,0)),"N/A")</f>
        <v>13595</v>
      </c>
      <c r="B482" s="4" t="s">
        <v>818</v>
      </c>
      <c r="C482" s="4" t="s">
        <v>283</v>
      </c>
      <c r="D482" s="94">
        <v>591.0</v>
      </c>
    </row>
    <row r="483">
      <c r="A483" s="40">
        <f t="array" ref="A483">IFNA(index(PlayerValues!A:A,match(IFNA(vlookup(B483,'Special Names'!A:B,2,FALSE),B483),PlayerValues!E:E,0)),"N/A")</f>
        <v>16159</v>
      </c>
      <c r="B483" s="4" t="s">
        <v>819</v>
      </c>
      <c r="C483" s="4" t="s">
        <v>283</v>
      </c>
      <c r="D483" s="94">
        <v>566.0</v>
      </c>
    </row>
    <row r="484">
      <c r="A484" s="40">
        <f t="array" ref="A484">IFNA(index(PlayerValues!A:A,match(IFNA(vlookup(B484,'Special Names'!A:B,2,FALSE),B484),PlayerValues!E:E,0)),"N/A")</f>
        <v>15804</v>
      </c>
      <c r="B484" s="4" t="s">
        <v>821</v>
      </c>
      <c r="C484" s="4" t="s">
        <v>298</v>
      </c>
      <c r="D484" s="94">
        <v>871.0</v>
      </c>
    </row>
    <row r="485">
      <c r="A485" s="40">
        <f t="array" ref="A485">IFNA(index(PlayerValues!A:A,match(IFNA(vlookup(B485,'Special Names'!A:B,2,FALSE),B485),PlayerValues!E:E,0)),"N/A")</f>
        <v>14858</v>
      </c>
      <c r="B485" s="4" t="s">
        <v>799</v>
      </c>
      <c r="C485" s="4" t="s">
        <v>287</v>
      </c>
      <c r="D485" s="94">
        <v>515.0</v>
      </c>
    </row>
    <row r="486">
      <c r="A486" s="40">
        <f t="array" ref="A486">IFNA(index(PlayerValues!A:A,match(IFNA(vlookup(B486,'Special Names'!A:B,2,FALSE),B486),PlayerValues!E:E,0)),"N/A")</f>
        <v>15796</v>
      </c>
      <c r="B486" s="4" t="s">
        <v>794</v>
      </c>
      <c r="C486" s="4" t="s">
        <v>298</v>
      </c>
      <c r="D486" s="94">
        <v>850.0</v>
      </c>
    </row>
    <row r="487">
      <c r="A487" s="40">
        <f t="array" ref="A487">IFNA(index(PlayerValues!A:A,match(IFNA(vlookup(B487,'Special Names'!A:B,2,FALSE),B487),PlayerValues!E:E,0)),"N/A")</f>
        <v>17038</v>
      </c>
      <c r="B487" s="4" t="s">
        <v>774</v>
      </c>
      <c r="C487" s="4" t="s">
        <v>283</v>
      </c>
      <c r="D487" s="94">
        <v>505.0</v>
      </c>
    </row>
    <row r="488">
      <c r="A488" s="40">
        <f t="array" ref="A488">IFNA(index(PlayerValues!A:A,match(IFNA(vlookup(B488,'Special Names'!A:B,2,FALSE),B488),PlayerValues!E:E,0)),"N/A")</f>
        <v>17243</v>
      </c>
      <c r="B488" s="4" t="s">
        <v>810</v>
      </c>
      <c r="C488" s="4" t="s">
        <v>298</v>
      </c>
      <c r="D488" s="94">
        <v>850.0</v>
      </c>
    </row>
    <row r="489">
      <c r="A489" s="40">
        <f t="array" ref="A489">IFNA(index(PlayerValues!A:A,match(IFNA(vlookup(B489,'Special Names'!A:B,2,FALSE),B489),PlayerValues!E:E,0)),"N/A")</f>
        <v>13143</v>
      </c>
      <c r="B489" s="4" t="s">
        <v>786</v>
      </c>
      <c r="C489" s="4" t="s">
        <v>278</v>
      </c>
      <c r="D489" s="94">
        <v>504.0</v>
      </c>
    </row>
    <row r="490">
      <c r="A490" s="40">
        <f t="array" ref="A490">IFNA(index(PlayerValues!A:A,match(IFNA(vlookup(B490,'Special Names'!A:B,2,FALSE),B490),PlayerValues!E:E,0)),"N/A")</f>
        <v>16957</v>
      </c>
      <c r="B490" s="4" t="s">
        <v>806</v>
      </c>
      <c r="C490" s="4" t="s">
        <v>278</v>
      </c>
      <c r="D490" s="94">
        <v>504.0</v>
      </c>
    </row>
    <row r="491">
      <c r="A491" s="40">
        <f t="array" ref="A491">IFNA(index(PlayerValues!A:A,match(IFNA(vlookup(B491,'Special Names'!A:B,2,FALSE),B491),PlayerValues!E:E,0)),"N/A")</f>
        <v>13066</v>
      </c>
      <c r="B491" s="4" t="s">
        <v>822</v>
      </c>
      <c r="C491" s="4" t="s">
        <v>287</v>
      </c>
      <c r="D491" s="94">
        <v>502.0</v>
      </c>
    </row>
    <row r="492">
      <c r="A492" s="40">
        <f t="array" ref="A492">IFNA(index(PlayerValues!A:A,match(IFNA(vlookup(B492,'Special Names'!A:B,2,FALSE),B492),PlayerValues!E:E,0)),"N/A")</f>
        <v>12658</v>
      </c>
      <c r="B492" s="4" t="s">
        <v>823</v>
      </c>
      <c r="C492" s="4" t="s">
        <v>287</v>
      </c>
      <c r="D492" s="94">
        <v>501.0</v>
      </c>
    </row>
    <row r="493">
      <c r="A493" s="40">
        <f t="array" ref="A493">IFNA(index(PlayerValues!A:A,match(IFNA(vlookup(B493,'Special Names'!A:B,2,FALSE),B493),PlayerValues!E:E,0)),"N/A")</f>
        <v>14239</v>
      </c>
      <c r="B493" s="4" t="s">
        <v>824</v>
      </c>
      <c r="C493" s="4" t="s">
        <v>298</v>
      </c>
      <c r="D493" s="94">
        <v>846.0</v>
      </c>
    </row>
    <row r="494">
      <c r="A494" s="40">
        <f t="array" ref="A494">IFNA(index(PlayerValues!A:A,match(IFNA(vlookup(B494,'Special Names'!A:B,2,FALSE),B494),PlayerValues!E:E,0)),"N/A")</f>
        <v>16625</v>
      </c>
      <c r="B494" s="4" t="s">
        <v>778</v>
      </c>
      <c r="C494" s="4" t="s">
        <v>287</v>
      </c>
      <c r="D494" s="94">
        <v>497.0</v>
      </c>
    </row>
    <row r="495">
      <c r="A495" s="40">
        <f t="array" ref="A495">IFNA(index(PlayerValues!A:A,match(IFNA(vlookup(B495,'Special Names'!A:B,2,FALSE),B495),PlayerValues!E:E,0)),"N/A")</f>
        <v>13610</v>
      </c>
      <c r="B495" s="4" t="s">
        <v>825</v>
      </c>
      <c r="C495" s="4" t="s">
        <v>278</v>
      </c>
      <c r="D495" s="94">
        <v>496.0</v>
      </c>
    </row>
    <row r="496">
      <c r="A496" s="40">
        <f t="array" ref="A496">IFNA(index(PlayerValues!A:A,match(IFNA(vlookup(B496,'Special Names'!A:B,2,FALSE),B496),PlayerValues!E:E,0)),"N/A")</f>
        <v>16299</v>
      </c>
      <c r="B496" s="4" t="s">
        <v>787</v>
      </c>
      <c r="C496" s="4" t="s">
        <v>287</v>
      </c>
      <c r="D496" s="94">
        <v>496.0</v>
      </c>
    </row>
    <row r="497">
      <c r="A497" s="40">
        <f t="array" ref="A497">IFNA(index(PlayerValues!A:A,match(IFNA(vlookup(B497,'Special Names'!A:B,2,FALSE),B497),PlayerValues!E:E,0)),"N/A")</f>
        <v>11232</v>
      </c>
      <c r="B497" s="4" t="s">
        <v>826</v>
      </c>
      <c r="C497" s="4" t="s">
        <v>287</v>
      </c>
      <c r="D497" s="94">
        <v>495.0</v>
      </c>
    </row>
    <row r="498">
      <c r="A498" s="40">
        <f t="array" ref="A498">IFNA(index(PlayerValues!A:A,match(IFNA(vlookup(B498,'Special Names'!A:B,2,FALSE),B498),PlayerValues!E:E,0)),"N/A")</f>
        <v>10413</v>
      </c>
      <c r="B498" s="4" t="s">
        <v>811</v>
      </c>
      <c r="C498" s="4" t="s">
        <v>283</v>
      </c>
      <c r="D498" s="94">
        <v>494.0</v>
      </c>
    </row>
    <row r="499">
      <c r="A499" s="40">
        <f t="array" ref="A499">IFNA(index(PlayerValues!A:A,match(IFNA(vlookup(B499,'Special Names'!A:B,2,FALSE),B499),PlayerValues!E:E,0)),"N/A")</f>
        <v>16413</v>
      </c>
      <c r="B499" s="4" t="s">
        <v>781</v>
      </c>
      <c r="C499" s="4" t="s">
        <v>287</v>
      </c>
      <c r="D499" s="94">
        <v>493.0</v>
      </c>
    </row>
    <row r="500">
      <c r="A500" s="40">
        <f t="array" ref="A500">IFNA(index(PlayerValues!A:A,match(IFNA(vlookup(B500,'Special Names'!A:B,2,FALSE),B500),PlayerValues!E:E,0)),"N/A")</f>
        <v>13404</v>
      </c>
      <c r="B500" s="4" t="s">
        <v>827</v>
      </c>
      <c r="C500" s="4" t="s">
        <v>278</v>
      </c>
      <c r="D500" s="94">
        <v>11.0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9995.0</v>
      </c>
    </row>
    <row r="502">
      <c r="A502" s="40">
        <f t="array" ref="A502">IFNA(index(PlayerValues!A:A,match(IFNA(vlookup(B502,'Special Names'!A:B,2,FALSE),B502),PlayerValues!E:E,0)),"N/A")</f>
        <v>16161</v>
      </c>
      <c r="B502" s="4" t="s">
        <v>277</v>
      </c>
      <c r="C502" s="4" t="s">
        <v>278</v>
      </c>
      <c r="D502" s="94">
        <v>9992.0</v>
      </c>
    </row>
    <row r="503">
      <c r="A503" s="40">
        <f t="array" ref="A503">IFNA(index(PlayerValues!A:A,match(IFNA(vlookup(B503,'Special Names'!A:B,2,FALSE),B503),PlayerValues!E:E,0)),"N/A")</f>
        <v>15281</v>
      </c>
      <c r="B503" s="4" t="s">
        <v>286</v>
      </c>
      <c r="C503" s="4" t="s">
        <v>287</v>
      </c>
      <c r="D503" s="94">
        <v>9968.0</v>
      </c>
    </row>
    <row r="504">
      <c r="A504" s="40">
        <f t="array" ref="A504">IFNA(index(PlayerValues!A:A,match(IFNA(vlookup(B504,'Special Names'!A:B,2,FALSE),B504),PlayerValues!E:E,0)),"N/A")</f>
        <v>16185</v>
      </c>
      <c r="B504" s="4" t="s">
        <v>290</v>
      </c>
      <c r="C504" s="4" t="s">
        <v>287</v>
      </c>
      <c r="D504" s="94">
        <v>9831.0</v>
      </c>
    </row>
    <row r="505">
      <c r="A505" s="40">
        <f t="array" ref="A505">IFNA(index(PlayerValues!A:A,match(IFNA(vlookup(B505,'Special Names'!A:B,2,FALSE),B505),PlayerValues!E:E,0)),"N/A")</f>
        <v>16162</v>
      </c>
      <c r="B505" s="4" t="s">
        <v>281</v>
      </c>
      <c r="C505" s="4" t="s">
        <v>278</v>
      </c>
      <c r="D505" s="94">
        <v>9654.0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9386.0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8603.0</v>
      </c>
    </row>
    <row r="508">
      <c r="A508" s="40">
        <f t="array" ref="A508">IFNA(index(PlayerValues!A:A,match(IFNA(vlookup(B508,'Special Names'!A:B,2,FALSE),B508),PlayerValues!E:E,0)),"N/A")</f>
        <v>16641</v>
      </c>
      <c r="B508" s="4" t="s">
        <v>297</v>
      </c>
      <c r="C508" s="4" t="s">
        <v>298</v>
      </c>
      <c r="D508" s="94">
        <v>8907.0</v>
      </c>
    </row>
    <row r="509">
      <c r="A509" s="40">
        <f t="array" ref="A509">IFNA(index(PlayerValues!A:A,match(IFNA(vlookup(B509,'Special Names'!A:B,2,FALSE),B509),PlayerValues!E:E,0)),"N/A")</f>
        <v>16579</v>
      </c>
      <c r="B509" s="4" t="s">
        <v>302</v>
      </c>
      <c r="C509" s="4" t="s">
        <v>283</v>
      </c>
      <c r="D509" s="94">
        <v>7945.0</v>
      </c>
    </row>
    <row r="510">
      <c r="A510" s="40">
        <f t="array" ref="A510">IFNA(index(PlayerValues!A:A,match(IFNA(vlookup(B510,'Special Names'!A:B,2,FALSE),B510),PlayerValues!E:E,0)),"N/A")</f>
        <v>16581</v>
      </c>
      <c r="B510" s="4" t="s">
        <v>315</v>
      </c>
      <c r="C510" s="4" t="s">
        <v>283</v>
      </c>
      <c r="D510" s="94">
        <v>7848.0</v>
      </c>
    </row>
    <row r="511">
      <c r="A511" s="40">
        <f t="array" ref="A511">IFNA(index(PlayerValues!A:A,match(IFNA(vlookup(B511,'Special Names'!A:B,2,FALSE),B511),PlayerValues!E:E,0)),"N/A")</f>
        <v>15287</v>
      </c>
      <c r="B511" s="4" t="s">
        <v>299</v>
      </c>
      <c r="C511" s="4" t="s">
        <v>287</v>
      </c>
      <c r="D511" s="94">
        <v>7845.0</v>
      </c>
    </row>
    <row r="512">
      <c r="A512" s="40">
        <f t="array" ref="A512">IFNA(index(PlayerValues!A:A,match(IFNA(vlookup(B512,'Special Names'!A:B,2,FALSE),B512),PlayerValues!E:E,0)),"N/A")</f>
        <v>14836</v>
      </c>
      <c r="B512" s="4" t="s">
        <v>306</v>
      </c>
      <c r="C512" s="4" t="s">
        <v>287</v>
      </c>
      <c r="D512" s="94">
        <v>7789.0</v>
      </c>
    </row>
    <row r="513">
      <c r="A513" s="40">
        <f t="array" ref="A513">IFNA(index(PlayerValues!A:A,match(IFNA(vlookup(B513,'Special Names'!A:B,2,FALSE),B513),PlayerValues!E:E,0)),"N/A")</f>
        <v>13593</v>
      </c>
      <c r="B513" s="4" t="s">
        <v>305</v>
      </c>
      <c r="C513" s="4" t="s">
        <v>283</v>
      </c>
      <c r="D513" s="94">
        <v>7650.0</v>
      </c>
    </row>
    <row r="514">
      <c r="A514" s="40">
        <f t="array" ref="A514">IFNA(index(PlayerValues!A:A,match(IFNA(vlookup(B514,'Special Names'!A:B,2,FALSE),B514),PlayerValues!E:E,0)),"N/A")</f>
        <v>17472</v>
      </c>
      <c r="B514" s="4" t="s">
        <v>310</v>
      </c>
      <c r="C514" s="4" t="s">
        <v>278</v>
      </c>
      <c r="D514" s="94">
        <v>7649.0</v>
      </c>
    </row>
    <row r="515">
      <c r="A515" s="40">
        <f t="array" ref="A515">IFNA(index(PlayerValues!A:A,match(IFNA(vlookup(B515,'Special Names'!A:B,2,FALSE),B515),PlayerValues!E:E,0)),"N/A")</f>
        <v>16615</v>
      </c>
      <c r="B515" s="4" t="s">
        <v>309</v>
      </c>
      <c r="C515" s="4" t="s">
        <v>287</v>
      </c>
      <c r="D515" s="94">
        <v>7645.0</v>
      </c>
    </row>
    <row r="516">
      <c r="A516" s="40">
        <f t="array" ref="A516">IFNA(index(PlayerValues!A:A,match(IFNA(vlookup(B516,'Special Names'!A:B,2,FALSE),B516),PlayerValues!E:E,0)),"N/A")</f>
        <v>17042</v>
      </c>
      <c r="B516" s="4" t="s">
        <v>314</v>
      </c>
      <c r="C516" s="4" t="s">
        <v>278</v>
      </c>
      <c r="D516" s="94">
        <v>7576.0</v>
      </c>
    </row>
    <row r="517">
      <c r="A517" s="40">
        <f t="array" ref="A517">IFNA(index(PlayerValues!A:A,match(IFNA(vlookup(B517,'Special Names'!A:B,2,FALSE),B517),PlayerValues!E:E,0)),"N/A")</f>
        <v>15794</v>
      </c>
      <c r="B517" s="4" t="s">
        <v>313</v>
      </c>
      <c r="C517" s="4" t="s">
        <v>298</v>
      </c>
      <c r="D517" s="94">
        <v>8366.0</v>
      </c>
    </row>
    <row r="518">
      <c r="A518" s="40">
        <f t="array" ref="A518">IFNA(index(PlayerValues!A:A,match(IFNA(vlookup(B518,'Special Names'!A:B,2,FALSE),B518),PlayerValues!E:E,0)),"N/A")</f>
        <v>14777</v>
      </c>
      <c r="B518" s="4" t="s">
        <v>318</v>
      </c>
      <c r="C518" s="4" t="s">
        <v>283</v>
      </c>
      <c r="D518" s="94">
        <v>7440.0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7260.0</v>
      </c>
    </row>
    <row r="520">
      <c r="A520" s="40" t="str">
        <f t="array" ref="A520">IFNA(index(PlayerValues!A:A,match(IFNA(vlookup(B520,'Special Names'!A:B,2,FALSE),B520),PlayerValues!E:E,0)),"N/A")</f>
        <v>N/A</v>
      </c>
      <c r="B520" s="4" t="s">
        <v>92</v>
      </c>
      <c r="C520" s="4" t="s">
        <v>325</v>
      </c>
      <c r="D520" s="94">
        <v>7142.0</v>
      </c>
    </row>
    <row r="521">
      <c r="A521" s="40">
        <f t="array" ref="A521">IFNA(index(PlayerValues!A:A,match(IFNA(vlookup(B521,'Special Names'!A:B,2,FALSE),B521),PlayerValues!E:E,0)),"N/A")</f>
        <v>15751</v>
      </c>
      <c r="B521" s="4" t="s">
        <v>328</v>
      </c>
      <c r="C521" s="4" t="s">
        <v>287</v>
      </c>
      <c r="D521" s="94">
        <v>6935.0</v>
      </c>
    </row>
    <row r="522">
      <c r="A522" s="40">
        <f t="array" ref="A522">IFNA(index(PlayerValues!A:A,match(IFNA(vlookup(B522,'Special Names'!A:B,2,FALSE),B522),PlayerValues!E:E,0)),"N/A")</f>
        <v>16167</v>
      </c>
      <c r="B522" s="4" t="s">
        <v>323</v>
      </c>
      <c r="C522" s="4" t="s">
        <v>278</v>
      </c>
      <c r="D522" s="94">
        <v>6917.0</v>
      </c>
    </row>
    <row r="523">
      <c r="A523" s="40">
        <f t="array" ref="A523">IFNA(index(PlayerValues!A:A,match(IFNA(vlookup(B523,'Special Names'!A:B,2,FALSE),B523),PlayerValues!E:E,0)),"N/A")</f>
        <v>14779</v>
      </c>
      <c r="B523" s="4" t="s">
        <v>327</v>
      </c>
      <c r="C523" s="4" t="s">
        <v>283</v>
      </c>
      <c r="D523" s="94">
        <v>6838.0</v>
      </c>
    </row>
    <row r="524">
      <c r="A524" s="40">
        <f t="array" ref="A524">IFNA(index(PlayerValues!A:A,match(IFNA(vlookup(B524,'Special Names'!A:B,2,FALSE),B524),PlayerValues!E:E,0)),"N/A")</f>
        <v>17044</v>
      </c>
      <c r="B524" s="4" t="s">
        <v>322</v>
      </c>
      <c r="C524" s="4" t="s">
        <v>278</v>
      </c>
      <c r="D524" s="94">
        <v>6810.0</v>
      </c>
    </row>
    <row r="525">
      <c r="A525" s="40">
        <f t="array" ref="A525">IFNA(index(PlayerValues!A:A,match(IFNA(vlookup(B525,'Special Names'!A:B,2,FALSE),B525),PlayerValues!E:E,0)),"N/A")</f>
        <v>13116</v>
      </c>
      <c r="B525" s="4" t="s">
        <v>345</v>
      </c>
      <c r="C525" s="4" t="s">
        <v>283</v>
      </c>
      <c r="D525" s="94">
        <v>6687.0</v>
      </c>
    </row>
    <row r="526">
      <c r="A526" s="40">
        <f t="array" ref="A526">IFNA(index(PlayerValues!A:A,match(IFNA(vlookup(B526,'Special Names'!A:B,2,FALSE),B526),PlayerValues!E:E,0)),"N/A")</f>
        <v>17032</v>
      </c>
      <c r="B526" s="4" t="s">
        <v>348</v>
      </c>
      <c r="C526" s="4" t="s">
        <v>283</v>
      </c>
      <c r="D526" s="94">
        <v>6606.0</v>
      </c>
    </row>
    <row r="527">
      <c r="A527" s="40">
        <f t="array" ref="A527">IFNA(index(PlayerValues!A:A,match(IFNA(vlookup(B527,'Special Names'!A:B,2,FALSE),B527),PlayerValues!E:E,0)),"N/A")</f>
        <v>17071</v>
      </c>
      <c r="B527" s="4" t="s">
        <v>341</v>
      </c>
      <c r="C527" s="4" t="s">
        <v>287</v>
      </c>
      <c r="D527" s="94">
        <v>6553.0</v>
      </c>
    </row>
    <row r="528">
      <c r="A528" s="40">
        <f t="array" ref="A528">IFNA(index(PlayerValues!A:A,match(IFNA(vlookup(B528,'Special Names'!A:B,2,FALSE),B528),PlayerValues!E:E,0)),"N/A")</f>
        <v>15237</v>
      </c>
      <c r="B528" s="4" t="s">
        <v>336</v>
      </c>
      <c r="C528" s="4" t="s">
        <v>283</v>
      </c>
      <c r="D528" s="94">
        <v>6373.0</v>
      </c>
    </row>
    <row r="529">
      <c r="A529" s="40">
        <f t="array" ref="A529">IFNA(index(PlayerValues!A:A,match(IFNA(vlookup(B529,'Special Names'!A:B,2,FALSE),B529),PlayerValues!E:E,0)),"N/A")</f>
        <v>14783</v>
      </c>
      <c r="B529" s="4" t="s">
        <v>342</v>
      </c>
      <c r="C529" s="4" t="s">
        <v>283</v>
      </c>
      <c r="D529" s="94">
        <v>6173.0</v>
      </c>
    </row>
    <row r="530">
      <c r="A530" s="40">
        <f t="array" ref="A530">IFNA(index(PlayerValues!A:A,match(IFNA(vlookup(B530,'Special Names'!A:B,2,FALSE),B530),PlayerValues!E:E,0)),"N/A")</f>
        <v>17104</v>
      </c>
      <c r="B530" s="4" t="s">
        <v>333</v>
      </c>
      <c r="C530" s="4" t="s">
        <v>298</v>
      </c>
      <c r="D530" s="94">
        <v>6788.0</v>
      </c>
    </row>
    <row r="531">
      <c r="A531" s="40">
        <f t="array" ref="A531">IFNA(index(PlayerValues!A:A,match(IFNA(vlookup(B531,'Special Names'!A:B,2,FALSE),B531),PlayerValues!E:E,0)),"N/A")</f>
        <v>17081</v>
      </c>
      <c r="B531" s="4" t="s">
        <v>340</v>
      </c>
      <c r="C531" s="4" t="s">
        <v>287</v>
      </c>
      <c r="D531" s="94">
        <v>6086.0</v>
      </c>
    </row>
    <row r="532">
      <c r="A532" s="40">
        <f t="array" ref="A532">IFNA(index(PlayerValues!A:A,match(IFNA(vlookup(B532,'Special Names'!A:B,2,FALSE),B532),PlayerValues!E:E,0)),"N/A")</f>
        <v>16582</v>
      </c>
      <c r="B532" s="4" t="s">
        <v>343</v>
      </c>
      <c r="C532" s="4" t="s">
        <v>283</v>
      </c>
      <c r="D532" s="94">
        <v>6030.0</v>
      </c>
    </row>
    <row r="533">
      <c r="A533" s="40">
        <f t="array" ref="A533">IFNA(index(PlayerValues!A:A,match(IFNA(vlookup(B533,'Special Names'!A:B,2,FALSE),B533),PlayerValues!E:E,0)),"N/A")</f>
        <v>14802</v>
      </c>
      <c r="B533" s="4" t="s">
        <v>332</v>
      </c>
      <c r="C533" s="4" t="s">
        <v>278</v>
      </c>
      <c r="D533" s="94">
        <v>6027.0</v>
      </c>
    </row>
    <row r="534">
      <c r="A534" s="40">
        <f t="array" ref="A534">IFNA(index(PlayerValues!A:A,match(IFNA(vlookup(B534,'Special Names'!A:B,2,FALSE),B534),PlayerValues!E:E,0)),"N/A")</f>
        <v>15715</v>
      </c>
      <c r="B534" s="4" t="s">
        <v>331</v>
      </c>
      <c r="C534" s="4" t="s">
        <v>278</v>
      </c>
      <c r="D534" s="94">
        <v>5983.0</v>
      </c>
    </row>
    <row r="535">
      <c r="A535" s="40">
        <f t="array" ref="A535">IFNA(index(PlayerValues!A:A,match(IFNA(vlookup(B535,'Special Names'!A:B,2,FALSE),B535),PlayerValues!E:E,0)),"N/A")</f>
        <v>17497</v>
      </c>
      <c r="B535" s="4" t="s">
        <v>365</v>
      </c>
      <c r="C535" s="4" t="s">
        <v>287</v>
      </c>
      <c r="D535" s="94">
        <v>5931.0</v>
      </c>
    </row>
    <row r="536">
      <c r="A536" s="40">
        <f t="array" ref="A536">IFNA(index(PlayerValues!A:A,match(IFNA(vlookup(B536,'Special Names'!A:B,2,FALSE),B536),PlayerValues!E:E,0)),"N/A")</f>
        <v>15762</v>
      </c>
      <c r="B536" s="4" t="s">
        <v>337</v>
      </c>
      <c r="C536" s="4" t="s">
        <v>287</v>
      </c>
      <c r="D536" s="94">
        <v>5893.0</v>
      </c>
    </row>
    <row r="537">
      <c r="A537" s="40">
        <f t="array" ref="A537">IFNA(index(PlayerValues!A:A,match(IFNA(vlookup(B537,'Special Names'!A:B,2,FALSE),B537),PlayerValues!E:E,0)),"N/A")</f>
        <v>15698</v>
      </c>
      <c r="B537" s="4" t="s">
        <v>358</v>
      </c>
      <c r="C537" s="4" t="s">
        <v>283</v>
      </c>
      <c r="D537" s="94">
        <v>5853.0</v>
      </c>
    </row>
    <row r="538">
      <c r="A538" s="40">
        <f t="array" ref="A538">IFNA(index(PlayerValues!A:A,match(IFNA(vlookup(B538,'Special Names'!A:B,2,FALSE),B538),PlayerValues!E:E,0)),"N/A")</f>
        <v>17102</v>
      </c>
      <c r="B538" s="4" t="s">
        <v>344</v>
      </c>
      <c r="C538" s="4" t="s">
        <v>298</v>
      </c>
      <c r="D538" s="94">
        <v>6424.0</v>
      </c>
    </row>
    <row r="539">
      <c r="A539" s="40">
        <f t="array" ref="A539">IFNA(index(PlayerValues!A:A,match(IFNA(vlookup(B539,'Special Names'!A:B,2,FALSE),B539),PlayerValues!E:E,0)),"N/A")</f>
        <v>15753</v>
      </c>
      <c r="B539" s="4" t="s">
        <v>359</v>
      </c>
      <c r="C539" s="4" t="s">
        <v>287</v>
      </c>
      <c r="D539" s="94">
        <v>5691.0</v>
      </c>
    </row>
    <row r="540">
      <c r="A540" s="40" t="str">
        <f t="array" ref="A540">IFNA(index(PlayerValues!A:A,match(IFNA(vlookup(B540,'Special Names'!A:B,2,FALSE),B540),PlayerValues!E:E,0)),"N/A")</f>
        <v>N/A</v>
      </c>
      <c r="B540" s="4" t="s">
        <v>93</v>
      </c>
      <c r="C540" s="4" t="s">
        <v>325</v>
      </c>
      <c r="D540" s="94">
        <v>5667.0</v>
      </c>
    </row>
    <row r="541">
      <c r="A541" s="40" t="str">
        <f t="array" ref="A541">IFNA(index(PlayerValues!A:A,match(IFNA(vlookup(B541,'Special Names'!A:B,2,FALSE),B541),PlayerValues!E:E,0)),"N/A")</f>
        <v>N/A</v>
      </c>
      <c r="B541" s="4" t="s">
        <v>79</v>
      </c>
      <c r="C541" s="4" t="s">
        <v>325</v>
      </c>
      <c r="D541" s="94">
        <v>5648.0</v>
      </c>
    </row>
    <row r="542">
      <c r="A542" s="40">
        <f t="array" ref="A542">IFNA(index(PlayerValues!A:A,match(IFNA(vlookup(B542,'Special Names'!A:B,2,FALSE),B542),PlayerValues!E:E,0)),"N/A")</f>
        <v>14782</v>
      </c>
      <c r="B542" s="4" t="s">
        <v>385</v>
      </c>
      <c r="C542" s="4" t="s">
        <v>283</v>
      </c>
      <c r="D542" s="94">
        <v>5616.0</v>
      </c>
    </row>
    <row r="543">
      <c r="A543" s="40">
        <f t="array" ref="A543">IFNA(index(PlayerValues!A:A,match(IFNA(vlookup(B543,'Special Names'!A:B,2,FALSE),B543),PlayerValues!E:E,0)),"N/A")</f>
        <v>17462</v>
      </c>
      <c r="B543" s="4" t="s">
        <v>375</v>
      </c>
      <c r="C543" s="4" t="s">
        <v>283</v>
      </c>
      <c r="D543" s="94">
        <v>5613.0</v>
      </c>
    </row>
    <row r="544">
      <c r="A544" s="40">
        <f t="array" ref="A544">IFNA(index(PlayerValues!A:A,match(IFNA(vlookup(B544,'Special Names'!A:B,2,FALSE),B544),PlayerValues!E:E,0)),"N/A")</f>
        <v>15290</v>
      </c>
      <c r="B544" s="4" t="s">
        <v>355</v>
      </c>
      <c r="C544" s="4" t="s">
        <v>287</v>
      </c>
      <c r="D544" s="94">
        <v>5585.0</v>
      </c>
    </row>
    <row r="545">
      <c r="A545" s="40">
        <f t="array" ref="A545">IFNA(index(PlayerValues!A:A,match(IFNA(vlookup(B545,'Special Names'!A:B,2,FALSE),B545),PlayerValues!E:E,0)),"N/A")</f>
        <v>17051</v>
      </c>
      <c r="B545" s="4" t="s">
        <v>386</v>
      </c>
      <c r="C545" s="4" t="s">
        <v>278</v>
      </c>
      <c r="D545" s="94">
        <v>5519.0</v>
      </c>
    </row>
    <row r="546">
      <c r="A546" s="40">
        <f t="array" ref="A546">IFNA(index(PlayerValues!A:A,match(IFNA(vlookup(B546,'Special Names'!A:B,2,FALSE),B546),PlayerValues!E:E,0)),"N/A")</f>
        <v>15754</v>
      </c>
      <c r="B546" s="4" t="s">
        <v>354</v>
      </c>
      <c r="C546" s="4" t="s">
        <v>287</v>
      </c>
      <c r="D546" s="94">
        <v>5506.0</v>
      </c>
    </row>
    <row r="547">
      <c r="A547" s="40">
        <f t="array" ref="A547">IFNA(index(PlayerValues!A:A,match(IFNA(vlookup(B547,'Special Names'!A:B,2,FALSE),B547),PlayerValues!E:E,0)),"N/A")</f>
        <v>16616</v>
      </c>
      <c r="B547" s="4" t="s">
        <v>389</v>
      </c>
      <c r="C547" s="4" t="s">
        <v>287</v>
      </c>
      <c r="D547" s="94">
        <v>5461.0</v>
      </c>
    </row>
    <row r="548">
      <c r="A548" s="40">
        <f t="array" ref="A548">IFNA(index(PlayerValues!A:A,match(IFNA(vlookup(B548,'Special Names'!A:B,2,FALSE),B548),PlayerValues!E:E,0)),"N/A")</f>
        <v>17030</v>
      </c>
      <c r="B548" s="4" t="s">
        <v>406</v>
      </c>
      <c r="C548" s="4" t="s">
        <v>283</v>
      </c>
      <c r="D548" s="94">
        <v>5445.0</v>
      </c>
    </row>
    <row r="549">
      <c r="A549" s="40">
        <f t="array" ref="A549">IFNA(index(PlayerValues!A:A,match(IFNA(vlookup(B549,'Special Names'!A:B,2,FALSE),B549),PlayerValues!E:E,0)),"N/A")</f>
        <v>15708</v>
      </c>
      <c r="B549" s="4" t="s">
        <v>382</v>
      </c>
      <c r="C549" s="4" t="s">
        <v>278</v>
      </c>
      <c r="D549" s="94">
        <v>5433.0</v>
      </c>
    </row>
    <row r="550">
      <c r="A550" s="40">
        <f t="array" ref="A550">IFNA(index(PlayerValues!A:A,match(IFNA(vlookup(B550,'Special Names'!A:B,2,FALSE),B550),PlayerValues!E:E,0)),"N/A")</f>
        <v>17498</v>
      </c>
      <c r="B550" s="4" t="s">
        <v>396</v>
      </c>
      <c r="C550" s="4" t="s">
        <v>287</v>
      </c>
      <c r="D550" s="94">
        <v>5426.0</v>
      </c>
    </row>
    <row r="551">
      <c r="A551" s="40">
        <f t="array" ref="A551">IFNA(index(PlayerValues!A:A,match(IFNA(vlookup(B551,'Special Names'!A:B,2,FALSE),B551),PlayerValues!E:E,0)),"N/A")</f>
        <v>15711</v>
      </c>
      <c r="B551" s="4" t="s">
        <v>349</v>
      </c>
      <c r="C551" s="4" t="s">
        <v>278</v>
      </c>
      <c r="D551" s="94">
        <v>5421.0</v>
      </c>
    </row>
    <row r="552">
      <c r="A552" s="40">
        <f t="array" ref="A552">IFNA(index(PlayerValues!A:A,match(IFNA(vlookup(B552,'Special Names'!A:B,2,FALSE),B552),PlayerValues!E:E,0)),"N/A")</f>
        <v>16627</v>
      </c>
      <c r="B552" s="4" t="s">
        <v>351</v>
      </c>
      <c r="C552" s="4" t="s">
        <v>287</v>
      </c>
      <c r="D552" s="94">
        <v>5412.0</v>
      </c>
    </row>
    <row r="553">
      <c r="A553" s="40">
        <f t="array" ref="A553">IFNA(index(PlayerValues!A:A,match(IFNA(vlookup(B553,'Special Names'!A:B,2,FALSE),B553),PlayerValues!E:E,0)),"N/A")</f>
        <v>17043</v>
      </c>
      <c r="B553" s="4" t="s">
        <v>397</v>
      </c>
      <c r="C553" s="4" t="s">
        <v>278</v>
      </c>
      <c r="D553" s="94">
        <v>5394.0</v>
      </c>
    </row>
    <row r="554">
      <c r="A554" s="40">
        <f t="array" ref="A554">IFNA(index(PlayerValues!A:A,match(IFNA(vlookup(B554,'Special Names'!A:B,2,FALSE),B554),PlayerValues!E:E,0)),"N/A")</f>
        <v>17070</v>
      </c>
      <c r="B554" s="4" t="s">
        <v>370</v>
      </c>
      <c r="C554" s="4" t="s">
        <v>287</v>
      </c>
      <c r="D554" s="94">
        <v>5291.0</v>
      </c>
    </row>
    <row r="555">
      <c r="A555" s="40">
        <f t="array" ref="A555">IFNA(index(PlayerValues!A:A,match(IFNA(vlookup(B555,'Special Names'!A:B,2,FALSE),B555),PlayerValues!E:E,0)),"N/A")</f>
        <v>15282</v>
      </c>
      <c r="B555" s="4" t="s">
        <v>364</v>
      </c>
      <c r="C555" s="4" t="s">
        <v>287</v>
      </c>
      <c r="D555" s="94">
        <v>5259.0</v>
      </c>
    </row>
    <row r="556">
      <c r="A556" s="40">
        <f t="array" ref="A556">IFNA(index(PlayerValues!A:A,match(IFNA(vlookup(B556,'Special Names'!A:B,2,FALSE),B556),PlayerValues!E:E,0)),"N/A")</f>
        <v>17499</v>
      </c>
      <c r="B556" s="4" t="s">
        <v>402</v>
      </c>
      <c r="C556" s="4" t="s">
        <v>287</v>
      </c>
      <c r="D556" s="94">
        <v>5085.0</v>
      </c>
    </row>
    <row r="557">
      <c r="A557" s="40">
        <f t="array" ref="A557">IFNA(index(PlayerValues!A:A,match(IFNA(vlookup(B557,'Special Names'!A:B,2,FALSE),B557),PlayerValues!E:E,0)),"N/A")</f>
        <v>16614</v>
      </c>
      <c r="B557" s="4" t="s">
        <v>403</v>
      </c>
      <c r="C557" s="4" t="s">
        <v>287</v>
      </c>
      <c r="D557" s="94">
        <v>5062.0</v>
      </c>
    </row>
    <row r="558">
      <c r="A558" s="40">
        <f t="array" ref="A558">IFNA(index(PlayerValues!A:A,match(IFNA(vlookup(B558,'Special Names'!A:B,2,FALSE),B558),PlayerValues!E:E,0)),"N/A")</f>
        <v>13130</v>
      </c>
      <c r="B558" s="4" t="s">
        <v>374</v>
      </c>
      <c r="C558" s="4" t="s">
        <v>278</v>
      </c>
      <c r="D558" s="94">
        <v>5021.0</v>
      </c>
    </row>
    <row r="559">
      <c r="A559" s="40" t="str">
        <f t="array" ref="A559">IFNA(index(PlayerValues!A:A,match(IFNA(vlookup(B559,'Special Names'!A:B,2,FALSE),B559),PlayerValues!E:E,0)),"N/A")</f>
        <v>N/A</v>
      </c>
      <c r="B559" s="4" t="s">
        <v>104</v>
      </c>
      <c r="C559" s="4" t="s">
        <v>325</v>
      </c>
      <c r="D559" s="94">
        <v>5001.0</v>
      </c>
    </row>
    <row r="560">
      <c r="A560" s="40">
        <f t="array" ref="A560">IFNA(index(PlayerValues!A:A,match(IFNA(vlookup(B560,'Special Names'!A:B,2,FALSE),B560),PlayerValues!E:E,0)),"N/A")</f>
        <v>16181</v>
      </c>
      <c r="B560" s="4" t="s">
        <v>350</v>
      </c>
      <c r="C560" s="4" t="s">
        <v>278</v>
      </c>
      <c r="D560" s="94">
        <v>4982.0</v>
      </c>
    </row>
    <row r="561">
      <c r="A561" s="40" t="str">
        <f t="array" ref="A561">IFNA(index(PlayerValues!A:A,match(IFNA(vlookup(B561,'Special Names'!A:B,2,FALSE),B561),PlayerValues!E:E,0)),"N/A")</f>
        <v>N/A</v>
      </c>
      <c r="B561" s="4" t="s">
        <v>94</v>
      </c>
      <c r="C561" s="4" t="s">
        <v>325</v>
      </c>
      <c r="D561" s="94">
        <v>4974.0</v>
      </c>
    </row>
    <row r="562">
      <c r="A562" s="40">
        <f t="array" ref="A562">IFNA(index(PlayerValues!A:A,match(IFNA(vlookup(B562,'Special Names'!A:B,2,FALSE),B562),PlayerValues!E:E,0)),"N/A")</f>
        <v>12620</v>
      </c>
      <c r="B562" s="4" t="s">
        <v>394</v>
      </c>
      <c r="C562" s="4" t="s">
        <v>283</v>
      </c>
      <c r="D562" s="94">
        <v>4972.0</v>
      </c>
    </row>
    <row r="563">
      <c r="A563" s="40">
        <f t="array" ref="A563">IFNA(index(PlayerValues!A:A,match(IFNA(vlookup(B563,'Special Names'!A:B,2,FALSE),B563),PlayerValues!E:E,0)),"N/A")</f>
        <v>17039</v>
      </c>
      <c r="B563" s="4" t="s">
        <v>400</v>
      </c>
      <c r="C563" s="4" t="s">
        <v>283</v>
      </c>
      <c r="D563" s="94">
        <v>4930.0</v>
      </c>
    </row>
    <row r="564">
      <c r="A564" s="40">
        <f t="array" ref="A564">IFNA(index(PlayerValues!A:A,match(IFNA(vlookup(B564,'Special Names'!A:B,2,FALSE),B564),PlayerValues!E:E,0)),"N/A")</f>
        <v>14835</v>
      </c>
      <c r="B564" s="4" t="s">
        <v>392</v>
      </c>
      <c r="C564" s="4" t="s">
        <v>287</v>
      </c>
      <c r="D564" s="94">
        <v>4927.0</v>
      </c>
    </row>
    <row r="565">
      <c r="A565" s="40">
        <f t="array" ref="A565">IFNA(index(PlayerValues!A:A,match(IFNA(vlookup(B565,'Special Names'!A:B,2,FALSE),B565),PlayerValues!E:E,0)),"N/A")</f>
        <v>13604</v>
      </c>
      <c r="B565" s="4" t="s">
        <v>378</v>
      </c>
      <c r="C565" s="4" t="s">
        <v>278</v>
      </c>
      <c r="D565" s="94">
        <v>4913.0</v>
      </c>
    </row>
    <row r="566">
      <c r="A566" s="40">
        <f t="array" ref="A566">IFNA(index(PlayerValues!A:A,match(IFNA(vlookup(B566,'Special Names'!A:B,2,FALSE),B566),PlayerValues!E:E,0)),"N/A")</f>
        <v>16222</v>
      </c>
      <c r="B566" s="4" t="s">
        <v>393</v>
      </c>
      <c r="C566" s="4" t="s">
        <v>298</v>
      </c>
      <c r="D566" s="94">
        <v>5469.0</v>
      </c>
    </row>
    <row r="567">
      <c r="A567" s="40">
        <f t="array" ref="A567">IFNA(index(PlayerValues!A:A,match(IFNA(vlookup(B567,'Special Names'!A:B,2,FALSE),B567),PlayerValues!E:E,0)),"N/A")</f>
        <v>16150</v>
      </c>
      <c r="B567" s="4" t="s">
        <v>414</v>
      </c>
      <c r="C567" s="4" t="s">
        <v>283</v>
      </c>
      <c r="D567" s="94">
        <v>4893.0</v>
      </c>
    </row>
    <row r="568">
      <c r="A568" s="40">
        <f t="array" ref="A568">IFNA(index(PlayerValues!A:A,match(IFNA(vlookup(B568,'Special Names'!A:B,2,FALSE),B568),PlayerValues!E:E,0)),"N/A")</f>
        <v>17103</v>
      </c>
      <c r="B568" s="4" t="s">
        <v>405</v>
      </c>
      <c r="C568" s="4" t="s">
        <v>298</v>
      </c>
      <c r="D568" s="94">
        <v>5458.0</v>
      </c>
    </row>
    <row r="569">
      <c r="A569" s="40">
        <f t="array" ref="A569">IFNA(index(PlayerValues!A:A,match(IFNA(vlookup(B569,'Special Names'!A:B,2,FALSE),B569),PlayerValues!E:E,0)),"N/A")</f>
        <v>15710</v>
      </c>
      <c r="B569" s="4" t="s">
        <v>395</v>
      </c>
      <c r="C569" s="4" t="s">
        <v>278</v>
      </c>
      <c r="D569" s="94">
        <v>4848.0</v>
      </c>
    </row>
    <row r="570">
      <c r="A570" s="40">
        <f t="array" ref="A570">IFNA(index(PlayerValues!A:A,match(IFNA(vlookup(B570,'Special Names'!A:B,2,FALSE),B570),PlayerValues!E:E,0)),"N/A")</f>
        <v>16618</v>
      </c>
      <c r="B570" s="4" t="s">
        <v>411</v>
      </c>
      <c r="C570" s="4" t="s">
        <v>287</v>
      </c>
      <c r="D570" s="94">
        <v>4840.0</v>
      </c>
    </row>
    <row r="571">
      <c r="A571" s="40">
        <f t="array" ref="A571">IFNA(index(PlayerValues!A:A,match(IFNA(vlookup(B571,'Special Names'!A:B,2,FALSE),B571),PlayerValues!E:E,0)),"N/A")</f>
        <v>14104</v>
      </c>
      <c r="B571" s="4" t="s">
        <v>379</v>
      </c>
      <c r="C571" s="4" t="s">
        <v>287</v>
      </c>
      <c r="D571" s="94">
        <v>4837.0</v>
      </c>
    </row>
    <row r="572">
      <c r="A572" s="40">
        <f t="array" ref="A572">IFNA(index(PlayerValues!A:A,match(IFNA(vlookup(B572,'Special Names'!A:B,2,FALSE),B572),PlayerValues!E:E,0)),"N/A")</f>
        <v>17473</v>
      </c>
      <c r="B572" s="4" t="s">
        <v>391</v>
      </c>
      <c r="C572" s="4" t="s">
        <v>278</v>
      </c>
      <c r="D572" s="94">
        <v>4835.0</v>
      </c>
    </row>
    <row r="573">
      <c r="A573" s="40">
        <f t="array" ref="A573">IFNA(index(PlayerValues!A:A,match(IFNA(vlookup(B573,'Special Names'!A:B,2,FALSE),B573),PlayerValues!E:E,0)),"N/A")</f>
        <v>13590</v>
      </c>
      <c r="B573" s="4" t="s">
        <v>409</v>
      </c>
      <c r="C573" s="4" t="s">
        <v>283</v>
      </c>
      <c r="D573" s="94">
        <v>4826.0</v>
      </c>
    </row>
    <row r="574">
      <c r="A574" s="40">
        <f t="array" ref="A574">IFNA(index(PlayerValues!A:A,match(IFNA(vlookup(B574,'Special Names'!A:B,2,FALSE),B574),PlayerValues!E:E,0)),"N/A")</f>
        <v>15284</v>
      </c>
      <c r="B574" s="4" t="s">
        <v>390</v>
      </c>
      <c r="C574" s="4" t="s">
        <v>287</v>
      </c>
      <c r="D574" s="94">
        <v>4824.0</v>
      </c>
    </row>
    <row r="575">
      <c r="A575" s="40">
        <f t="array" ref="A575">IFNA(index(PlayerValues!A:A,match(IFNA(vlookup(B575,'Special Names'!A:B,2,FALSE),B575),PlayerValues!E:E,0)),"N/A")</f>
        <v>16598</v>
      </c>
      <c r="B575" s="4" t="s">
        <v>408</v>
      </c>
      <c r="C575" s="4" t="s">
        <v>278</v>
      </c>
      <c r="D575" s="94">
        <v>4823.0</v>
      </c>
    </row>
    <row r="576">
      <c r="A576" s="40">
        <f t="array" ref="A576">IFNA(index(PlayerValues!A:A,match(IFNA(vlookup(B576,'Special Names'!A:B,2,FALSE),B576),PlayerValues!E:E,0)),"N/A")</f>
        <v>16190</v>
      </c>
      <c r="B576" s="4" t="s">
        <v>371</v>
      </c>
      <c r="C576" s="4" t="s">
        <v>287</v>
      </c>
      <c r="D576" s="94">
        <v>4782.0</v>
      </c>
    </row>
    <row r="577">
      <c r="A577" s="40">
        <f t="array" ref="A577">IFNA(index(PlayerValues!A:A,match(IFNA(vlookup(B577,'Special Names'!A:B,2,FALSE),B577),PlayerValues!E:E,0)),"N/A")</f>
        <v>17045</v>
      </c>
      <c r="B577" s="4" t="s">
        <v>407</v>
      </c>
      <c r="C577" s="4" t="s">
        <v>278</v>
      </c>
      <c r="D577" s="94">
        <v>4714.0</v>
      </c>
    </row>
    <row r="578">
      <c r="A578" s="40">
        <f t="array" ref="A578">IFNA(index(PlayerValues!A:A,match(IFNA(vlookup(B578,'Special Names'!A:B,2,FALSE),B578),PlayerValues!E:E,0)),"N/A")</f>
        <v>12611</v>
      </c>
      <c r="B578" s="4" t="s">
        <v>410</v>
      </c>
      <c r="C578" s="4" t="s">
        <v>283</v>
      </c>
      <c r="D578" s="94">
        <v>4670.0</v>
      </c>
    </row>
    <row r="579">
      <c r="A579" s="40">
        <f t="array" ref="A579">IFNA(index(PlayerValues!A:A,match(IFNA(vlookup(B579,'Special Names'!A:B,2,FALSE),B579),PlayerValues!E:E,0)),"N/A")</f>
        <v>15756</v>
      </c>
      <c r="B579" s="4" t="s">
        <v>399</v>
      </c>
      <c r="C579" s="4" t="s">
        <v>287</v>
      </c>
      <c r="D579" s="94">
        <v>4670.0</v>
      </c>
    </row>
    <row r="580">
      <c r="A580" s="40">
        <f t="array" ref="A580">IFNA(index(PlayerValues!A:A,match(IFNA(vlookup(B580,'Special Names'!A:B,2,FALSE),B580),PlayerValues!E:E,0)),"N/A")</f>
        <v>13592</v>
      </c>
      <c r="B580" s="4" t="s">
        <v>418</v>
      </c>
      <c r="C580" s="4" t="s">
        <v>283</v>
      </c>
      <c r="D580" s="94">
        <v>4639.0</v>
      </c>
    </row>
    <row r="581">
      <c r="A581" s="40" t="str">
        <f t="array" ref="A581">IFNA(index(PlayerValues!A:A,match(IFNA(vlookup(B581,'Special Names'!A:B,2,FALSE),B581),PlayerValues!E:E,0)),"N/A")</f>
        <v>N/A</v>
      </c>
      <c r="B581" s="4" t="s">
        <v>80</v>
      </c>
      <c r="C581" s="4" t="s">
        <v>325</v>
      </c>
      <c r="D581" s="94">
        <v>4564.0</v>
      </c>
    </row>
    <row r="582">
      <c r="A582" s="40">
        <f t="array" ref="A582">IFNA(index(PlayerValues!A:A,match(IFNA(vlookup(B582,'Special Names'!A:B,2,FALSE),B582),PlayerValues!E:E,0)),"N/A")</f>
        <v>16214</v>
      </c>
      <c r="B582" s="4" t="s">
        <v>413</v>
      </c>
      <c r="C582" s="4" t="s">
        <v>298</v>
      </c>
      <c r="D582" s="94">
        <v>5096.0</v>
      </c>
    </row>
    <row r="583">
      <c r="A583" s="40">
        <f t="array" ref="A583">IFNA(index(PlayerValues!A:A,match(IFNA(vlookup(B583,'Special Names'!A:B,2,FALSE),B583),PlayerValues!E:E,0)),"N/A")</f>
        <v>15256</v>
      </c>
      <c r="B583" s="4" t="s">
        <v>401</v>
      </c>
      <c r="C583" s="4" t="s">
        <v>278</v>
      </c>
      <c r="D583" s="94">
        <v>4543.0</v>
      </c>
    </row>
    <row r="584">
      <c r="A584" s="40" t="str">
        <f t="array" ref="A584">IFNA(index(PlayerValues!A:A,match(IFNA(vlookup(B584,'Special Names'!A:B,2,FALSE),B584),PlayerValues!E:E,0)),"N/A")</f>
        <v>N/A</v>
      </c>
      <c r="B584" s="4" t="s">
        <v>105</v>
      </c>
      <c r="C584" s="4" t="s">
        <v>325</v>
      </c>
      <c r="D584" s="94">
        <v>4512.0</v>
      </c>
    </row>
    <row r="585">
      <c r="A585" s="40">
        <f t="array" ref="A585">IFNA(index(PlayerValues!A:A,match(IFNA(vlookup(B585,'Special Names'!A:B,2,FALSE),B585),PlayerValues!E:E,0)),"N/A")</f>
        <v>17501</v>
      </c>
      <c r="B585" s="4" t="s">
        <v>404</v>
      </c>
      <c r="C585" s="4" t="s">
        <v>287</v>
      </c>
      <c r="D585" s="94">
        <v>4505.0</v>
      </c>
    </row>
    <row r="586">
      <c r="A586" s="40">
        <f t="array" ref="A586">IFNA(index(PlayerValues!A:A,match(IFNA(vlookup(B586,'Special Names'!A:B,2,FALSE),B586),PlayerValues!E:E,0)),"N/A")</f>
        <v>15253</v>
      </c>
      <c r="B586" s="4" t="s">
        <v>415</v>
      </c>
      <c r="C586" s="4" t="s">
        <v>278</v>
      </c>
      <c r="D586" s="94">
        <v>4503.0</v>
      </c>
    </row>
    <row r="587">
      <c r="A587" s="40">
        <f t="array" ref="A587">IFNA(index(PlayerValues!A:A,match(IFNA(vlookup(B587,'Special Names'!A:B,2,FALSE),B587),PlayerValues!E:E,0)),"N/A")</f>
        <v>16194</v>
      </c>
      <c r="B587" s="4" t="s">
        <v>398</v>
      </c>
      <c r="C587" s="4" t="s">
        <v>287</v>
      </c>
      <c r="D587" s="94">
        <v>4482.0</v>
      </c>
    </row>
    <row r="588">
      <c r="A588" s="40">
        <f t="array" ref="A588">IFNA(index(PlayerValues!A:A,match(IFNA(vlookup(B588,'Special Names'!A:B,2,FALSE),B588),PlayerValues!E:E,0)),"N/A")</f>
        <v>16148</v>
      </c>
      <c r="B588" s="4" t="s">
        <v>426</v>
      </c>
      <c r="C588" s="4" t="s">
        <v>283</v>
      </c>
      <c r="D588" s="94">
        <v>4464.0</v>
      </c>
    </row>
    <row r="589">
      <c r="A589" s="40">
        <f t="array" ref="A589">IFNA(index(PlayerValues!A:A,match(IFNA(vlookup(B589,'Special Names'!A:B,2,FALSE),B589),PlayerValues!E:E,0)),"N/A")</f>
        <v>15329</v>
      </c>
      <c r="B589" s="4" t="s">
        <v>416</v>
      </c>
      <c r="C589" s="4" t="s">
        <v>298</v>
      </c>
      <c r="D589" s="94">
        <v>4984.0</v>
      </c>
    </row>
    <row r="590">
      <c r="A590" s="40">
        <f t="array" ref="A590">IFNA(index(PlayerValues!A:A,match(IFNA(vlookup(B590,'Special Names'!A:B,2,FALSE),B590),PlayerValues!E:E,0)),"N/A")</f>
        <v>17543</v>
      </c>
      <c r="B590" s="4" t="s">
        <v>436</v>
      </c>
      <c r="C590" s="4" t="s">
        <v>298</v>
      </c>
      <c r="D590" s="94">
        <v>4666.0</v>
      </c>
    </row>
    <row r="591">
      <c r="A591" s="40">
        <f t="array" ref="A591">IFNA(index(PlayerValues!A:A,match(IFNA(vlookup(B591,'Special Names'!A:B,2,FALSE),B591),PlayerValues!E:E,0)),"N/A")</f>
        <v>14056</v>
      </c>
      <c r="B591" s="4" t="s">
        <v>423</v>
      </c>
      <c r="C591" s="4" t="s">
        <v>283</v>
      </c>
      <c r="D591" s="94">
        <v>4094.0</v>
      </c>
    </row>
    <row r="592">
      <c r="A592" s="40" t="str">
        <f t="array" ref="A592">IFNA(index(PlayerValues!A:A,match(IFNA(vlookup(B592,'Special Names'!A:B,2,FALSE),B592),PlayerValues!E:E,0)),"N/A")</f>
        <v>N/A</v>
      </c>
      <c r="B592" s="4" t="s">
        <v>107</v>
      </c>
      <c r="C592" s="4" t="s">
        <v>325</v>
      </c>
      <c r="D592" s="94">
        <v>4091.0</v>
      </c>
    </row>
    <row r="593">
      <c r="A593" s="40">
        <f t="array" ref="A593">IFNA(index(PlayerValues!A:A,match(IFNA(vlookup(B593,'Special Names'!A:B,2,FALSE),B593),PlayerValues!E:E,0)),"N/A")</f>
        <v>15768</v>
      </c>
      <c r="B593" s="4" t="s">
        <v>432</v>
      </c>
      <c r="C593" s="4" t="s">
        <v>287</v>
      </c>
      <c r="D593" s="94">
        <v>4079.0</v>
      </c>
    </row>
    <row r="594">
      <c r="A594" s="40">
        <f t="array" ref="A594">IFNA(index(PlayerValues!A:A,match(IFNA(vlookup(B594,'Special Names'!A:B,2,FALSE),B594),PlayerValues!E:E,0)),"N/A")</f>
        <v>16186</v>
      </c>
      <c r="B594" s="4" t="s">
        <v>425</v>
      </c>
      <c r="C594" s="4" t="s">
        <v>287</v>
      </c>
      <c r="D594" s="94">
        <v>4016.0</v>
      </c>
    </row>
    <row r="595">
      <c r="A595" s="40">
        <f t="array" ref="A595">IFNA(index(PlayerValues!A:A,match(IFNA(vlookup(B595,'Special Names'!A:B,2,FALSE),B595),PlayerValues!E:E,0)),"N/A")</f>
        <v>12626</v>
      </c>
      <c r="B595" s="4" t="s">
        <v>419</v>
      </c>
      <c r="C595" s="4" t="s">
        <v>278</v>
      </c>
      <c r="D595" s="94">
        <v>3965.0</v>
      </c>
    </row>
    <row r="596">
      <c r="A596" s="40">
        <f t="array" ref="A596">IFNA(index(PlayerValues!A:A,match(IFNA(vlookup(B596,'Special Names'!A:B,2,FALSE),B596),PlayerValues!E:E,0)),"N/A")</f>
        <v>15694</v>
      </c>
      <c r="B596" s="4" t="s">
        <v>434</v>
      </c>
      <c r="C596" s="4" t="s">
        <v>283</v>
      </c>
      <c r="D596" s="94">
        <v>3959.0</v>
      </c>
    </row>
    <row r="597">
      <c r="A597" s="40" t="str">
        <f t="array" ref="A597">IFNA(index(PlayerValues!A:A,match(IFNA(vlookup(B597,'Special Names'!A:B,2,FALSE),B597),PlayerValues!E:E,0)),"N/A")</f>
        <v>N/A</v>
      </c>
      <c r="B597" s="4" t="s">
        <v>81</v>
      </c>
      <c r="C597" s="4" t="s">
        <v>325</v>
      </c>
      <c r="D597" s="94">
        <v>3954.0</v>
      </c>
    </row>
    <row r="598">
      <c r="A598" s="40">
        <f t="array" ref="A598">IFNA(index(PlayerValues!A:A,match(IFNA(vlookup(B598,'Special Names'!A:B,2,FALSE),B598),PlayerValues!E:E,0)),"N/A")</f>
        <v>14059</v>
      </c>
      <c r="B598" s="4" t="s">
        <v>435</v>
      </c>
      <c r="C598" s="4" t="s">
        <v>283</v>
      </c>
      <c r="D598" s="94">
        <v>3951.0</v>
      </c>
    </row>
    <row r="599">
      <c r="A599" s="40">
        <f t="array" ref="A599">IFNA(index(PlayerValues!A:A,match(IFNA(vlookup(B599,'Special Names'!A:B,2,FALSE),B599),PlayerValues!E:E,0)),"N/A")</f>
        <v>17052</v>
      </c>
      <c r="B599" s="4" t="s">
        <v>417</v>
      </c>
      <c r="C599" s="4" t="s">
        <v>278</v>
      </c>
      <c r="D599" s="94">
        <v>3916.0</v>
      </c>
    </row>
    <row r="600">
      <c r="A600" s="40" t="str">
        <f t="array" ref="A600">IFNA(index(PlayerValues!A:A,match(IFNA(vlookup(B600,'Special Names'!A:B,2,FALSE),B600),PlayerValues!E:E,0)),"N/A")</f>
        <v>N/A</v>
      </c>
      <c r="B600" s="4" t="s">
        <v>95</v>
      </c>
      <c r="C600" s="4" t="s">
        <v>325</v>
      </c>
      <c r="D600" s="94">
        <v>3909.0</v>
      </c>
    </row>
    <row r="601">
      <c r="A601" s="40">
        <f t="array" ref="A601">IFNA(index(PlayerValues!A:A,match(IFNA(vlookup(B601,'Special Names'!A:B,2,FALSE),B601),PlayerValues!E:E,0)),"N/A")</f>
        <v>17502</v>
      </c>
      <c r="B601" s="4" t="s">
        <v>451</v>
      </c>
      <c r="C601" s="4" t="s">
        <v>287</v>
      </c>
      <c r="D601" s="94">
        <v>3827.0</v>
      </c>
    </row>
    <row r="602">
      <c r="A602" s="40">
        <f t="array" ref="A602">IFNA(index(PlayerValues!A:A,match(IFNA(vlookup(B602,'Special Names'!A:B,2,FALSE),B602),PlayerValues!E:E,0)),"N/A")</f>
        <v>15789</v>
      </c>
      <c r="B602" s="4" t="s">
        <v>421</v>
      </c>
      <c r="C602" s="4" t="s">
        <v>287</v>
      </c>
      <c r="D602" s="94">
        <v>3742.0</v>
      </c>
    </row>
    <row r="603">
      <c r="A603" s="40">
        <f t="array" ref="A603">IFNA(index(PlayerValues!A:A,match(IFNA(vlookup(B603,'Special Names'!A:B,2,FALSE),B603),PlayerValues!E:E,0)),"N/A")</f>
        <v>9431</v>
      </c>
      <c r="B603" s="4" t="s">
        <v>428</v>
      </c>
      <c r="C603" s="4" t="s">
        <v>283</v>
      </c>
      <c r="D603" s="94">
        <v>3737.0</v>
      </c>
    </row>
    <row r="604">
      <c r="A604" s="40">
        <f t="array" ref="A604">IFNA(index(PlayerValues!A:A,match(IFNA(vlookup(B604,'Special Names'!A:B,2,FALSE),B604),PlayerValues!E:E,0)),"N/A")</f>
        <v>13635</v>
      </c>
      <c r="B604" s="4" t="s">
        <v>424</v>
      </c>
      <c r="C604" s="4" t="s">
        <v>287</v>
      </c>
      <c r="D604" s="94">
        <v>3716.0</v>
      </c>
    </row>
    <row r="605">
      <c r="A605" s="40">
        <f t="array" ref="A605">IFNA(index(PlayerValues!A:A,match(IFNA(vlookup(B605,'Special Names'!A:B,2,FALSE),B605),PlayerValues!E:E,0)),"N/A")</f>
        <v>17075</v>
      </c>
      <c r="B605" s="4" t="s">
        <v>429</v>
      </c>
      <c r="C605" s="4" t="s">
        <v>287</v>
      </c>
      <c r="D605" s="94">
        <v>3710.0</v>
      </c>
    </row>
    <row r="606">
      <c r="A606" s="40">
        <f t="array" ref="A606">IFNA(index(PlayerValues!A:A,match(IFNA(vlookup(B606,'Special Names'!A:B,2,FALSE),B606),PlayerValues!E:E,0)),"N/A")</f>
        <v>17544</v>
      </c>
      <c r="B606" s="4" t="s">
        <v>470</v>
      </c>
      <c r="C606" s="4" t="s">
        <v>298</v>
      </c>
      <c r="D606" s="94">
        <v>4183.0</v>
      </c>
    </row>
    <row r="607">
      <c r="A607" s="40">
        <f t="array" ref="A607">IFNA(index(PlayerValues!A:A,match(IFNA(vlookup(B607,'Special Names'!A:B,2,FALSE),B607),PlayerValues!E:E,0)),"N/A")</f>
        <v>17066</v>
      </c>
      <c r="B607" s="4" t="s">
        <v>446</v>
      </c>
      <c r="C607" s="4" t="s">
        <v>278</v>
      </c>
      <c r="D607" s="94">
        <v>3669.0</v>
      </c>
    </row>
    <row r="608">
      <c r="A608" s="40">
        <f t="array" ref="A608">IFNA(index(PlayerValues!A:A,match(IFNA(vlookup(B608,'Special Names'!A:B,2,FALSE),B608),PlayerValues!E:E,0)),"N/A")</f>
        <v>17463</v>
      </c>
      <c r="B608" s="4" t="s">
        <v>433</v>
      </c>
      <c r="C608" s="4" t="s">
        <v>283</v>
      </c>
      <c r="D608" s="94">
        <v>3669.0</v>
      </c>
    </row>
    <row r="609">
      <c r="A609" s="40">
        <f t="array" ref="A609">IFNA(index(PlayerValues!A:A,match(IFNA(vlookup(B609,'Special Names'!A:B,2,FALSE),B609),PlayerValues!E:E,0)),"N/A")</f>
        <v>16206</v>
      </c>
      <c r="B609" s="4" t="s">
        <v>431</v>
      </c>
      <c r="C609" s="4" t="s">
        <v>287</v>
      </c>
      <c r="D609" s="94">
        <v>3646.0</v>
      </c>
    </row>
    <row r="610">
      <c r="A610" s="40">
        <f t="array" ref="A610">IFNA(index(PlayerValues!A:A,match(IFNA(vlookup(B610,'Special Names'!A:B,2,FALSE),B610),PlayerValues!E:E,0)),"N/A")</f>
        <v>17099</v>
      </c>
      <c r="B610" s="4" t="s">
        <v>474</v>
      </c>
      <c r="C610" s="4" t="s">
        <v>298</v>
      </c>
      <c r="D610" s="94">
        <v>4100.0</v>
      </c>
    </row>
    <row r="611">
      <c r="A611" s="40">
        <f t="array" ref="A611">IFNA(index(PlayerValues!A:A,match(IFNA(vlookup(B611,'Special Names'!A:B,2,FALSE),B611),PlayerValues!E:E,0)),"N/A")</f>
        <v>16187</v>
      </c>
      <c r="B611" s="4" t="s">
        <v>441</v>
      </c>
      <c r="C611" s="4" t="s">
        <v>287</v>
      </c>
      <c r="D611" s="94">
        <v>3598.0</v>
      </c>
    </row>
    <row r="612">
      <c r="A612" s="40">
        <f t="array" ref="A612">IFNA(index(PlayerValues!A:A,match(IFNA(vlookup(B612,'Special Names'!A:B,2,FALSE),B612),PlayerValues!E:E,0)),"N/A")</f>
        <v>15757</v>
      </c>
      <c r="B612" s="4" t="s">
        <v>449</v>
      </c>
      <c r="C612" s="4" t="s">
        <v>287</v>
      </c>
      <c r="D612" s="94">
        <v>3594.0</v>
      </c>
    </row>
    <row r="613">
      <c r="A613" s="40">
        <f t="array" ref="A613">IFNA(index(PlayerValues!A:A,match(IFNA(vlookup(B613,'Special Names'!A:B,2,FALSE),B613),PlayerValues!E:E,0)),"N/A")</f>
        <v>14073</v>
      </c>
      <c r="B613" s="4" t="s">
        <v>464</v>
      </c>
      <c r="C613" s="4" t="s">
        <v>278</v>
      </c>
      <c r="D613" s="94">
        <v>3553.0</v>
      </c>
    </row>
    <row r="614">
      <c r="A614" s="40">
        <f t="array" ref="A614">IFNA(index(PlayerValues!A:A,match(IFNA(vlookup(B614,'Special Names'!A:B,2,FALSE),B614),PlayerValues!E:E,0)),"N/A")</f>
        <v>14797</v>
      </c>
      <c r="B614" s="4" t="s">
        <v>420</v>
      </c>
      <c r="C614" s="4" t="s">
        <v>278</v>
      </c>
      <c r="D614" s="94">
        <v>3553.0</v>
      </c>
    </row>
    <row r="615">
      <c r="A615" s="40">
        <f t="array" ref="A615">IFNA(index(PlayerValues!A:A,match(IFNA(vlookup(B615,'Special Names'!A:B,2,FALSE),B615),PlayerValues!E:E,0)),"N/A")</f>
        <v>16192</v>
      </c>
      <c r="B615" s="4" t="s">
        <v>412</v>
      </c>
      <c r="C615" s="4" t="s">
        <v>287</v>
      </c>
      <c r="D615" s="94">
        <v>3550.0</v>
      </c>
    </row>
    <row r="616">
      <c r="A616" s="40">
        <f t="array" ref="A616">IFNA(index(PlayerValues!A:A,match(IFNA(vlookup(B616,'Special Names'!A:B,2,FALSE),B616),PlayerValues!E:E,0)),"N/A")</f>
        <v>14102</v>
      </c>
      <c r="B616" s="4" t="s">
        <v>444</v>
      </c>
      <c r="C616" s="4" t="s">
        <v>287</v>
      </c>
      <c r="D616" s="94">
        <v>3523.0</v>
      </c>
    </row>
    <row r="617">
      <c r="A617" s="40" t="str">
        <f t="array" ref="A617">IFNA(index(PlayerValues!A:A,match(IFNA(vlookup(B617,'Special Names'!A:B,2,FALSE),B617),PlayerValues!E:E,0)),"N/A")</f>
        <v>N/A</v>
      </c>
      <c r="B617" s="4" t="s">
        <v>96</v>
      </c>
      <c r="C617" s="4" t="s">
        <v>325</v>
      </c>
      <c r="D617" s="94">
        <v>3491.0</v>
      </c>
    </row>
    <row r="618">
      <c r="A618" s="40">
        <f t="array" ref="A618">IFNA(index(PlayerValues!A:A,match(IFNA(vlookup(B618,'Special Names'!A:B,2,FALSE),B618),PlayerValues!E:E,0)),"N/A")</f>
        <v>14109</v>
      </c>
      <c r="B618" s="4" t="s">
        <v>437</v>
      </c>
      <c r="C618" s="4" t="s">
        <v>287</v>
      </c>
      <c r="D618" s="94">
        <v>3461.0</v>
      </c>
    </row>
    <row r="619">
      <c r="A619" s="40">
        <f t="array" ref="A619">IFNA(index(PlayerValues!A:A,match(IFNA(vlookup(B619,'Special Names'!A:B,2,FALSE),B619),PlayerValues!E:E,0)),"N/A")</f>
        <v>16184</v>
      </c>
      <c r="B619" s="4" t="s">
        <v>445</v>
      </c>
      <c r="C619" s="4" t="s">
        <v>287</v>
      </c>
      <c r="D619" s="94">
        <v>3459.0</v>
      </c>
    </row>
    <row r="620">
      <c r="A620" s="40">
        <f t="array" ref="A620">IFNA(index(PlayerValues!A:A,match(IFNA(vlookup(B620,'Special Names'!A:B,2,FALSE),B620),PlayerValues!E:E,0)),"N/A")</f>
        <v>16622</v>
      </c>
      <c r="B620" s="4" t="s">
        <v>517</v>
      </c>
      <c r="C620" s="4" t="s">
        <v>287</v>
      </c>
      <c r="D620" s="94">
        <v>3454.0</v>
      </c>
    </row>
    <row r="621">
      <c r="A621" s="40">
        <f t="array" ref="A621">IFNA(index(PlayerValues!A:A,match(IFNA(vlookup(B621,'Special Names'!A:B,2,FALSE),B621),PlayerValues!E:E,0)),"N/A")</f>
        <v>17068</v>
      </c>
      <c r="B621" s="4" t="s">
        <v>450</v>
      </c>
      <c r="C621" s="4" t="s">
        <v>278</v>
      </c>
      <c r="D621" s="94">
        <v>3436.0</v>
      </c>
    </row>
    <row r="622">
      <c r="A622" s="40">
        <f t="array" ref="A622">IFNA(index(PlayerValues!A:A,match(IFNA(vlookup(B622,'Special Names'!A:B,2,FALSE),B622),PlayerValues!E:E,0)),"N/A")</f>
        <v>17500</v>
      </c>
      <c r="B622" s="4" t="s">
        <v>430</v>
      </c>
      <c r="C622" s="4" t="s">
        <v>287</v>
      </c>
      <c r="D622" s="94">
        <v>3435.0</v>
      </c>
    </row>
    <row r="623">
      <c r="A623" s="40">
        <f t="array" ref="A623">IFNA(index(PlayerValues!A:A,match(IFNA(vlookup(B623,'Special Names'!A:B,2,FALSE),B623),PlayerValues!E:E,0)),"N/A")</f>
        <v>15798</v>
      </c>
      <c r="B623" s="4" t="s">
        <v>443</v>
      </c>
      <c r="C623" s="4" t="s">
        <v>298</v>
      </c>
      <c r="D623" s="94">
        <v>3826.0</v>
      </c>
    </row>
    <row r="624">
      <c r="A624" s="40">
        <f t="array" ref="A624">IFNA(index(PlayerValues!A:A,match(IFNA(vlookup(B624,'Special Names'!A:B,2,FALSE),B624),PlayerValues!E:E,0)),"N/A")</f>
        <v>16169</v>
      </c>
      <c r="B624" s="4" t="s">
        <v>457</v>
      </c>
      <c r="C624" s="4" t="s">
        <v>278</v>
      </c>
      <c r="D624" s="94">
        <v>3375.0</v>
      </c>
    </row>
    <row r="625">
      <c r="A625" s="40">
        <f t="array" ref="A625">IFNA(index(PlayerValues!A:A,match(IFNA(vlookup(B625,'Special Names'!A:B,2,FALSE),B625),PlayerValues!E:E,0)),"N/A")</f>
        <v>17083</v>
      </c>
      <c r="B625" s="4" t="s">
        <v>479</v>
      </c>
      <c r="C625" s="4" t="s">
        <v>287</v>
      </c>
      <c r="D625" s="94">
        <v>3373.0</v>
      </c>
    </row>
    <row r="626">
      <c r="A626" s="40">
        <f t="array" ref="A626">IFNA(index(PlayerValues!A:A,match(IFNA(vlookup(B626,'Special Names'!A:B,2,FALSE),B626),PlayerValues!E:E,0)),"N/A")</f>
        <v>14071</v>
      </c>
      <c r="B626" s="4" t="s">
        <v>440</v>
      </c>
      <c r="C626" s="4" t="s">
        <v>278</v>
      </c>
      <c r="D626" s="94">
        <v>3370.0</v>
      </c>
    </row>
    <row r="627">
      <c r="A627" s="40">
        <f t="array" ref="A627">IFNA(index(PlayerValues!A:A,match(IFNA(vlookup(B627,'Special Names'!A:B,2,FALSE),B627),PlayerValues!E:E,0)),"N/A")</f>
        <v>17074</v>
      </c>
      <c r="B627" s="4" t="s">
        <v>475</v>
      </c>
      <c r="C627" s="4" t="s">
        <v>287</v>
      </c>
      <c r="D627" s="94">
        <v>3368.0</v>
      </c>
    </row>
    <row r="628">
      <c r="A628" s="40">
        <f t="array" ref="A628">IFNA(index(PlayerValues!A:A,match(IFNA(vlookup(B628,'Special Names'!A:B,2,FALSE),B628),PlayerValues!E:E,0)),"N/A")</f>
        <v>16620</v>
      </c>
      <c r="B628" s="4" t="s">
        <v>467</v>
      </c>
      <c r="C628" s="4" t="s">
        <v>287</v>
      </c>
      <c r="D628" s="94">
        <v>3363.0</v>
      </c>
    </row>
    <row r="629">
      <c r="A629" s="40">
        <f t="array" ref="A629">IFNA(index(PlayerValues!A:A,match(IFNA(vlookup(B629,'Special Names'!A:B,2,FALSE),B629),PlayerValues!E:E,0)),"N/A")</f>
        <v>14842</v>
      </c>
      <c r="B629" s="4" t="s">
        <v>456</v>
      </c>
      <c r="C629" s="4" t="s">
        <v>287</v>
      </c>
      <c r="D629" s="94">
        <v>3361.0</v>
      </c>
    </row>
    <row r="630">
      <c r="A630" s="40">
        <f t="array" ref="A630">IFNA(index(PlayerValues!A:A,match(IFNA(vlookup(B630,'Special Names'!A:B,2,FALSE),B630),PlayerValues!E:E,0)),"N/A")</f>
        <v>16188</v>
      </c>
      <c r="B630" s="4" t="s">
        <v>439</v>
      </c>
      <c r="C630" s="4" t="s">
        <v>287</v>
      </c>
      <c r="D630" s="94">
        <v>3352.0</v>
      </c>
    </row>
    <row r="631">
      <c r="A631" s="40">
        <f t="array" ref="A631">IFNA(index(PlayerValues!A:A,match(IFNA(vlookup(B631,'Special Names'!A:B,2,FALSE),B631),PlayerValues!E:E,0)),"N/A")</f>
        <v>15261</v>
      </c>
      <c r="B631" s="4" t="s">
        <v>466</v>
      </c>
      <c r="C631" s="4" t="s">
        <v>278</v>
      </c>
      <c r="D631" s="94">
        <v>3326.0</v>
      </c>
    </row>
    <row r="632">
      <c r="A632" s="40" t="str">
        <f t="array" ref="A632">IFNA(index(PlayerValues!A:A,match(IFNA(vlookup(B632,'Special Names'!A:B,2,FALSE),B632),PlayerValues!E:E,0)),"N/A")</f>
        <v>N/A</v>
      </c>
      <c r="B632" s="4" t="s">
        <v>82</v>
      </c>
      <c r="C632" s="4" t="s">
        <v>325</v>
      </c>
      <c r="D632" s="94">
        <v>3295.0</v>
      </c>
    </row>
    <row r="633">
      <c r="A633" s="40">
        <f t="array" ref="A633">IFNA(index(PlayerValues!A:A,match(IFNA(vlookup(B633,'Special Names'!A:B,2,FALSE),B633),PlayerValues!E:E,0)),"N/A")</f>
        <v>16593</v>
      </c>
      <c r="B633" s="4" t="s">
        <v>442</v>
      </c>
      <c r="C633" s="4" t="s">
        <v>278</v>
      </c>
      <c r="D633" s="94">
        <v>3285.0</v>
      </c>
    </row>
    <row r="634">
      <c r="A634" s="40">
        <f t="array" ref="A634">IFNA(index(PlayerValues!A:A,match(IFNA(vlookup(B634,'Special Names'!A:B,2,FALSE),B634),PlayerValues!E:E,0)),"N/A")</f>
        <v>11671</v>
      </c>
      <c r="B634" s="4" t="s">
        <v>463</v>
      </c>
      <c r="C634" s="4" t="s">
        <v>287</v>
      </c>
      <c r="D634" s="94">
        <v>3279.0</v>
      </c>
    </row>
    <row r="635">
      <c r="A635" s="40">
        <f t="array" ref="A635">IFNA(index(PlayerValues!A:A,match(IFNA(vlookup(B635,'Special Names'!A:B,2,FALSE),B635),PlayerValues!E:E,0)),"N/A")</f>
        <v>11675</v>
      </c>
      <c r="B635" s="4" t="s">
        <v>438</v>
      </c>
      <c r="C635" s="4" t="s">
        <v>287</v>
      </c>
      <c r="D635" s="94">
        <v>3279.0</v>
      </c>
    </row>
    <row r="636">
      <c r="A636" s="40">
        <f t="array" ref="A636">IFNA(index(PlayerValues!A:A,match(IFNA(vlookup(B636,'Special Names'!A:B,2,FALSE),B636),PlayerValues!E:E,0)),"N/A")</f>
        <v>16213</v>
      </c>
      <c r="B636" s="4" t="s">
        <v>458</v>
      </c>
      <c r="C636" s="4" t="s">
        <v>298</v>
      </c>
      <c r="D636" s="94">
        <v>3683.0</v>
      </c>
    </row>
    <row r="637">
      <c r="A637" s="40">
        <f t="array" ref="A637">IFNA(index(PlayerValues!A:A,match(IFNA(vlookup(B637,'Special Names'!A:B,2,FALSE),B637),PlayerValues!E:E,0)),"N/A")</f>
        <v>13299</v>
      </c>
      <c r="B637" s="4" t="s">
        <v>448</v>
      </c>
      <c r="C637" s="4" t="s">
        <v>298</v>
      </c>
      <c r="D637" s="94">
        <v>3674.0</v>
      </c>
    </row>
    <row r="638">
      <c r="A638" s="40">
        <f t="array" ref="A638">IFNA(index(PlayerValues!A:A,match(IFNA(vlookup(B638,'Special Names'!A:B,2,FALSE),B638),PlayerValues!E:E,0)),"N/A")</f>
        <v>15779</v>
      </c>
      <c r="B638" s="4" t="s">
        <v>461</v>
      </c>
      <c r="C638" s="4" t="s">
        <v>287</v>
      </c>
      <c r="D638" s="94">
        <v>3221.0</v>
      </c>
    </row>
    <row r="639">
      <c r="A639" s="40">
        <f t="array" ref="A639">IFNA(index(PlayerValues!A:A,match(IFNA(vlookup(B639,'Special Names'!A:B,2,FALSE),B639),PlayerValues!E:E,0)),"N/A")</f>
        <v>15799</v>
      </c>
      <c r="B639" s="4" t="s">
        <v>468</v>
      </c>
      <c r="C639" s="4" t="s">
        <v>298</v>
      </c>
      <c r="D639" s="94">
        <v>3658.0</v>
      </c>
    </row>
    <row r="640">
      <c r="A640" s="40">
        <f t="array" ref="A640">IFNA(index(PlayerValues!A:A,match(IFNA(vlookup(B640,'Special Names'!A:B,2,FALSE),B640),PlayerValues!E:E,0)),"N/A")</f>
        <v>16597</v>
      </c>
      <c r="B640" s="4" t="s">
        <v>427</v>
      </c>
      <c r="C640" s="4" t="s">
        <v>278</v>
      </c>
      <c r="D640" s="94">
        <v>3200.0</v>
      </c>
    </row>
    <row r="641">
      <c r="A641" s="40">
        <f t="array" ref="A641">IFNA(index(PlayerValues!A:A,match(IFNA(vlookup(B641,'Special Names'!A:B,2,FALSE),B641),PlayerValues!E:E,0)),"N/A")</f>
        <v>14823</v>
      </c>
      <c r="B641" s="4" t="s">
        <v>459</v>
      </c>
      <c r="C641" s="4" t="s">
        <v>278</v>
      </c>
      <c r="D641" s="94">
        <v>3196.0</v>
      </c>
    </row>
    <row r="642">
      <c r="A642" s="40" t="str">
        <f t="array" ref="A642">IFNA(index(PlayerValues!A:A,match(IFNA(vlookup(B642,'Special Names'!A:B,2,FALSE),B642),PlayerValues!E:E,0)),"N/A")</f>
        <v>N/A</v>
      </c>
      <c r="B642" s="4" t="s">
        <v>108</v>
      </c>
      <c r="C642" s="4" t="s">
        <v>325</v>
      </c>
      <c r="D642" s="94">
        <v>3178.0</v>
      </c>
    </row>
    <row r="643">
      <c r="A643" s="40">
        <f t="array" ref="A643">IFNA(index(PlayerValues!A:A,match(IFNA(vlookup(B643,'Special Names'!A:B,2,FALSE),B643),PlayerValues!E:E,0)),"N/A")</f>
        <v>17477</v>
      </c>
      <c r="B643" s="4" t="s">
        <v>452</v>
      </c>
      <c r="C643" s="4" t="s">
        <v>278</v>
      </c>
      <c r="D643" s="94">
        <v>3161.0</v>
      </c>
    </row>
    <row r="644">
      <c r="A644" s="40">
        <f t="array" ref="A644">IFNA(index(PlayerValues!A:A,match(IFNA(vlookup(B644,'Special Names'!A:B,2,FALSE),B644),PlayerValues!E:E,0)),"N/A")</f>
        <v>15742</v>
      </c>
      <c r="B644" s="4" t="s">
        <v>447</v>
      </c>
      <c r="C644" s="4" t="s">
        <v>278</v>
      </c>
      <c r="D644" s="94">
        <v>3159.0</v>
      </c>
    </row>
    <row r="645">
      <c r="A645" s="40">
        <f t="array" ref="A645">IFNA(index(PlayerValues!A:A,match(IFNA(vlookup(B645,'Special Names'!A:B,2,FALSE),B645),PlayerValues!E:E,0)),"N/A")</f>
        <v>16583</v>
      </c>
      <c r="B645" s="4" t="s">
        <v>493</v>
      </c>
      <c r="C645" s="4" t="s">
        <v>283</v>
      </c>
      <c r="D645" s="94">
        <v>3157.0</v>
      </c>
    </row>
    <row r="646">
      <c r="A646" s="40" t="str">
        <f t="array" ref="A646">IFNA(index(PlayerValues!A:A,match(IFNA(vlookup(B646,'Special Names'!A:B,2,FALSE),B646),PlayerValues!E:E,0)),"N/A")</f>
        <v>N/A</v>
      </c>
      <c r="B646" s="4" t="s">
        <v>97</v>
      </c>
      <c r="C646" s="4" t="s">
        <v>325</v>
      </c>
      <c r="D646" s="94">
        <v>3155.0</v>
      </c>
    </row>
    <row r="647">
      <c r="A647" s="40">
        <f t="array" ref="A647">IFNA(index(PlayerValues!A:A,match(IFNA(vlookup(B647,'Special Names'!A:B,2,FALSE),B647),PlayerValues!E:E,0)),"N/A")</f>
        <v>13630</v>
      </c>
      <c r="B647" s="4" t="s">
        <v>465</v>
      </c>
      <c r="C647" s="4" t="s">
        <v>287</v>
      </c>
      <c r="D647" s="94">
        <v>3152.0</v>
      </c>
    </row>
    <row r="648">
      <c r="A648" s="40">
        <f t="array" ref="A648">IFNA(index(PlayerValues!A:A,match(IFNA(vlookup(B648,'Special Names'!A:B,2,FALSE),B648),PlayerValues!E:E,0)),"N/A")</f>
        <v>14127</v>
      </c>
      <c r="B648" s="4" t="s">
        <v>486</v>
      </c>
      <c r="C648" s="4" t="s">
        <v>287</v>
      </c>
      <c r="D648" s="94">
        <v>3139.0</v>
      </c>
    </row>
    <row r="649">
      <c r="A649" s="40">
        <f t="array" ref="A649">IFNA(index(PlayerValues!A:A,match(IFNA(vlookup(B649,'Special Names'!A:B,2,FALSE),B649),PlayerValues!E:E,0)),"N/A")</f>
        <v>16809</v>
      </c>
      <c r="B649" s="4" t="s">
        <v>455</v>
      </c>
      <c r="C649" s="4" t="s">
        <v>287</v>
      </c>
      <c r="D649" s="94">
        <v>3068.0</v>
      </c>
    </row>
    <row r="650">
      <c r="A650" s="40">
        <f t="array" ref="A650">IFNA(index(PlayerValues!A:A,match(IFNA(vlookup(B650,'Special Names'!A:B,2,FALSE),B650),PlayerValues!E:E,0)),"N/A")</f>
        <v>16269</v>
      </c>
      <c r="B650" s="4" t="s">
        <v>481</v>
      </c>
      <c r="C650" s="4" t="s">
        <v>298</v>
      </c>
      <c r="D650" s="94">
        <v>3435.0</v>
      </c>
    </row>
    <row r="651">
      <c r="A651" s="40">
        <f t="array" ref="A651">IFNA(index(PlayerValues!A:A,match(IFNA(vlookup(B651,'Special Names'!A:B,2,FALSE),B651),PlayerValues!E:E,0)),"N/A")</f>
        <v>17506</v>
      </c>
      <c r="B651" s="4" t="s">
        <v>471</v>
      </c>
      <c r="C651" s="4" t="s">
        <v>287</v>
      </c>
      <c r="D651" s="94">
        <v>2999.0</v>
      </c>
    </row>
    <row r="652">
      <c r="A652" s="40">
        <f t="array" ref="A652">IFNA(index(PlayerValues!A:A,match(IFNA(vlookup(B652,'Special Names'!A:B,2,FALSE),B652),PlayerValues!E:E,0)),"N/A")</f>
        <v>15761</v>
      </c>
      <c r="B652" s="4" t="s">
        <v>491</v>
      </c>
      <c r="C652" s="4" t="s">
        <v>287</v>
      </c>
      <c r="D652" s="94">
        <v>2990.0</v>
      </c>
    </row>
    <row r="653">
      <c r="A653" s="40" t="str">
        <f t="array" ref="A653">IFNA(index(PlayerValues!A:A,match(IFNA(vlookup(B653,'Special Names'!A:B,2,FALSE),B653),PlayerValues!E:E,0)),"N/A")</f>
        <v>N/A</v>
      </c>
      <c r="B653" s="4" t="s">
        <v>109</v>
      </c>
      <c r="C653" s="4" t="s">
        <v>325</v>
      </c>
      <c r="D653" s="94">
        <v>2979.0</v>
      </c>
    </row>
    <row r="654">
      <c r="A654" s="40">
        <f t="array" ref="A654">IFNA(index(PlayerValues!A:A,match(IFNA(vlookup(B654,'Special Names'!A:B,2,FALSE),B654),PlayerValues!E:E,0)),"N/A")</f>
        <v>14800</v>
      </c>
      <c r="B654" s="4" t="s">
        <v>472</v>
      </c>
      <c r="C654" s="4" t="s">
        <v>278</v>
      </c>
      <c r="D654" s="94">
        <v>2966.0</v>
      </c>
    </row>
    <row r="655">
      <c r="A655" s="40">
        <f t="array" ref="A655">IFNA(index(PlayerValues!A:A,match(IFNA(vlookup(B655,'Special Names'!A:B,2,FALSE),B655),PlayerValues!E:E,0)),"N/A")</f>
        <v>17512</v>
      </c>
      <c r="B655" s="4" t="s">
        <v>483</v>
      </c>
      <c r="C655" s="4" t="s">
        <v>287</v>
      </c>
      <c r="D655" s="94">
        <v>2966.0</v>
      </c>
    </row>
    <row r="656">
      <c r="A656" s="40">
        <f t="array" ref="A656">IFNA(index(PlayerValues!A:A,match(IFNA(vlookup(B656,'Special Names'!A:B,2,FALSE),B656),PlayerValues!E:E,0)),"N/A")</f>
        <v>17503</v>
      </c>
      <c r="B656" s="4" t="s">
        <v>480</v>
      </c>
      <c r="C656" s="4" t="s">
        <v>287</v>
      </c>
      <c r="D656" s="94">
        <v>2964.0</v>
      </c>
    </row>
    <row r="657">
      <c r="A657" s="40">
        <f t="array" ref="A657">IFNA(index(PlayerValues!A:A,match(IFNA(vlookup(B657,'Special Names'!A:B,2,FALSE),B657),PlayerValues!E:E,0)),"N/A")</f>
        <v>13163</v>
      </c>
      <c r="B657" s="4" t="s">
        <v>473</v>
      </c>
      <c r="C657" s="4" t="s">
        <v>287</v>
      </c>
      <c r="D657" s="94">
        <v>2962.0</v>
      </c>
    </row>
    <row r="658">
      <c r="A658" s="40">
        <f t="array" ref="A658">IFNA(index(PlayerValues!A:A,match(IFNA(vlookup(B658,'Special Names'!A:B,2,FALSE),B658),PlayerValues!E:E,0)),"N/A")</f>
        <v>16628</v>
      </c>
      <c r="B658" s="4" t="s">
        <v>490</v>
      </c>
      <c r="C658" s="4" t="s">
        <v>287</v>
      </c>
      <c r="D658" s="94">
        <v>2957.0</v>
      </c>
    </row>
    <row r="659">
      <c r="A659" s="40" t="str">
        <f t="array" ref="A659">IFNA(index(PlayerValues!A:A,match(IFNA(vlookup(B659,'Special Names'!A:B,2,FALSE),B659),PlayerValues!E:E,0)),"N/A")</f>
        <v>N/A</v>
      </c>
      <c r="B659" s="4" t="s">
        <v>84</v>
      </c>
      <c r="C659" s="4" t="s">
        <v>325</v>
      </c>
      <c r="D659" s="94">
        <v>2953.0</v>
      </c>
    </row>
    <row r="660">
      <c r="A660" s="40">
        <f t="array" ref="A660">IFNA(index(PlayerValues!A:A,match(IFNA(vlookup(B660,'Special Names'!A:B,2,FALSE),B660),PlayerValues!E:E,0)),"N/A")</f>
        <v>17476</v>
      </c>
      <c r="B660" s="4" t="s">
        <v>494</v>
      </c>
      <c r="C660" s="4" t="s">
        <v>278</v>
      </c>
      <c r="D660" s="94">
        <v>2940.0</v>
      </c>
    </row>
    <row r="661">
      <c r="A661" s="40">
        <f t="array" ref="A661">IFNA(index(PlayerValues!A:A,match(IFNA(vlookup(B661,'Special Names'!A:B,2,FALSE),B661),PlayerValues!E:E,0)),"N/A")</f>
        <v>17256</v>
      </c>
      <c r="B661" s="4" t="s">
        <v>462</v>
      </c>
      <c r="C661" s="4" t="s">
        <v>278</v>
      </c>
      <c r="D661" s="94">
        <v>2938.0</v>
      </c>
    </row>
    <row r="662">
      <c r="A662" s="40">
        <f t="array" ref="A662">IFNA(index(PlayerValues!A:A,match(IFNA(vlookup(B662,'Special Names'!A:B,2,FALSE),B662),PlayerValues!E:E,0)),"N/A")</f>
        <v>15259</v>
      </c>
      <c r="B662" s="4" t="s">
        <v>453</v>
      </c>
      <c r="C662" s="4" t="s">
        <v>278</v>
      </c>
      <c r="D662" s="94">
        <v>2917.0</v>
      </c>
    </row>
    <row r="663">
      <c r="A663" s="40">
        <f t="array" ref="A663">IFNA(index(PlayerValues!A:A,match(IFNA(vlookup(B663,'Special Names'!A:B,2,FALSE),B663),PlayerValues!E:E,0)),"N/A")</f>
        <v>16080</v>
      </c>
      <c r="B663" s="4" t="s">
        <v>499</v>
      </c>
      <c r="C663" s="4" t="s">
        <v>287</v>
      </c>
      <c r="D663" s="94">
        <v>2887.0</v>
      </c>
    </row>
    <row r="664">
      <c r="A664" s="40">
        <f t="array" ref="A664">IFNA(index(PlayerValues!A:A,match(IFNA(vlookup(B664,'Special Names'!A:B,2,FALSE),B664),PlayerValues!E:E,0)),"N/A")</f>
        <v>16584</v>
      </c>
      <c r="B664" s="4" t="s">
        <v>569</v>
      </c>
      <c r="C664" s="4" t="s">
        <v>283</v>
      </c>
      <c r="D664" s="94">
        <v>2853.0</v>
      </c>
    </row>
    <row r="665">
      <c r="A665" s="40" t="str">
        <f t="array" ref="A665">IFNA(index(PlayerValues!A:A,match(IFNA(vlookup(B665,'Special Names'!A:B,2,FALSE),B665),PlayerValues!E:E,0)),"N/A")</f>
        <v>N/A</v>
      </c>
      <c r="B665" s="4" t="s">
        <v>85</v>
      </c>
      <c r="C665" s="4" t="s">
        <v>325</v>
      </c>
      <c r="D665" s="94">
        <v>2833.0</v>
      </c>
    </row>
    <row r="666">
      <c r="A666" s="40">
        <f t="array" ref="A666">IFNA(index(PlayerValues!A:A,match(IFNA(vlookup(B666,'Special Names'!A:B,2,FALSE),B666),PlayerValues!E:E,0)),"N/A")</f>
        <v>15255</v>
      </c>
      <c r="B666" s="4" t="s">
        <v>477</v>
      </c>
      <c r="C666" s="4" t="s">
        <v>278</v>
      </c>
      <c r="D666" s="94">
        <v>2829.0</v>
      </c>
    </row>
    <row r="667">
      <c r="A667" s="40" t="str">
        <f t="array" ref="A667">IFNA(index(PlayerValues!A:A,match(IFNA(vlookup(B667,'Special Names'!A:B,2,FALSE),B667),PlayerValues!E:E,0)),"N/A")</f>
        <v>N/A</v>
      </c>
      <c r="B667" s="4" t="s">
        <v>110</v>
      </c>
      <c r="C667" s="4" t="s">
        <v>325</v>
      </c>
      <c r="D667" s="94">
        <v>2819.0</v>
      </c>
    </row>
    <row r="668">
      <c r="A668" s="40">
        <f t="array" ref="A668">IFNA(index(PlayerValues!A:A,match(IFNA(vlookup(B668,'Special Names'!A:B,2,FALSE),B668),PlayerValues!E:E,0)),"N/A")</f>
        <v>17157</v>
      </c>
      <c r="B668" s="4" t="s">
        <v>524</v>
      </c>
      <c r="C668" s="4" t="s">
        <v>287</v>
      </c>
      <c r="D668" s="94">
        <v>2810.0</v>
      </c>
    </row>
    <row r="669">
      <c r="A669" s="40">
        <f t="array" ref="A669">IFNA(index(PlayerValues!A:A,match(IFNA(vlookup(B669,'Special Names'!A:B,2,FALSE),B669),PlayerValues!E:E,0)),"N/A")</f>
        <v>17053</v>
      </c>
      <c r="B669" s="4" t="s">
        <v>484</v>
      </c>
      <c r="C669" s="4" t="s">
        <v>278</v>
      </c>
      <c r="D669" s="94">
        <v>2806.0</v>
      </c>
    </row>
    <row r="670">
      <c r="A670" s="40">
        <f t="array" ref="A670">IFNA(index(PlayerValues!A:A,match(IFNA(vlookup(B670,'Special Names'!A:B,2,FALSE),B670),PlayerValues!E:E,0)),"N/A")</f>
        <v>14085</v>
      </c>
      <c r="B670" s="4" t="s">
        <v>489</v>
      </c>
      <c r="C670" s="4" t="s">
        <v>278</v>
      </c>
      <c r="D670" s="94">
        <v>2797.0</v>
      </c>
    </row>
    <row r="671">
      <c r="A671" s="40">
        <f t="array" ref="A671">IFNA(index(PlayerValues!A:A,match(IFNA(vlookup(B671,'Special Names'!A:B,2,FALSE),B671),PlayerValues!E:E,0)),"N/A")</f>
        <v>14138</v>
      </c>
      <c r="B671" s="4" t="s">
        <v>531</v>
      </c>
      <c r="C671" s="4" t="s">
        <v>298</v>
      </c>
      <c r="D671" s="94">
        <v>3210.0</v>
      </c>
    </row>
    <row r="672">
      <c r="A672" s="40">
        <f t="array" ref="A672">IFNA(index(PlayerValues!A:A,match(IFNA(vlookup(B672,'Special Names'!A:B,2,FALSE),B672),PlayerValues!E:E,0)),"N/A")</f>
        <v>17505</v>
      </c>
      <c r="B672" s="4" t="s">
        <v>528</v>
      </c>
      <c r="C672" s="4" t="s">
        <v>287</v>
      </c>
      <c r="D672" s="94">
        <v>2783.0</v>
      </c>
    </row>
    <row r="673">
      <c r="A673" s="40">
        <f t="array" ref="A673">IFNA(index(PlayerValues!A:A,match(IFNA(vlookup(B673,'Special Names'!A:B,2,FALSE),B673),PlayerValues!E:E,0)),"N/A")</f>
        <v>17072</v>
      </c>
      <c r="B673" s="4" t="s">
        <v>508</v>
      </c>
      <c r="C673" s="4" t="s">
        <v>287</v>
      </c>
      <c r="D673" s="94">
        <v>2767.0</v>
      </c>
    </row>
    <row r="674">
      <c r="A674" s="40">
        <f t="array" ref="A674">IFNA(index(PlayerValues!A:A,match(IFNA(vlookup(B674,'Special Names'!A:B,2,FALSE),B674),PlayerValues!E:E,0)),"N/A")</f>
        <v>16723</v>
      </c>
      <c r="B674" s="4" t="s">
        <v>502</v>
      </c>
      <c r="C674" s="4" t="s">
        <v>298</v>
      </c>
      <c r="D674" s="94">
        <v>3180.0</v>
      </c>
    </row>
    <row r="675">
      <c r="A675" s="40">
        <f t="array" ref="A675">IFNA(index(PlayerValues!A:A,match(IFNA(vlookup(B675,'Special Names'!A:B,2,FALSE),B675),PlayerValues!E:E,0)),"N/A")</f>
        <v>13671</v>
      </c>
      <c r="B675" s="4" t="s">
        <v>506</v>
      </c>
      <c r="C675" s="4" t="s">
        <v>298</v>
      </c>
      <c r="D675" s="94">
        <v>3176.0</v>
      </c>
    </row>
    <row r="676">
      <c r="A676" s="40">
        <f t="array" ref="A676">IFNA(index(PlayerValues!A:A,match(IFNA(vlookup(B676,'Special Names'!A:B,2,FALSE),B676),PlayerValues!E:E,0)),"N/A")</f>
        <v>17031</v>
      </c>
      <c r="B676" s="4" t="s">
        <v>535</v>
      </c>
      <c r="C676" s="4" t="s">
        <v>283</v>
      </c>
      <c r="D676" s="94">
        <v>2749.0</v>
      </c>
    </row>
    <row r="677">
      <c r="A677" s="40">
        <f t="array" ref="A677">IFNA(index(PlayerValues!A:A,match(IFNA(vlookup(B677,'Special Names'!A:B,2,FALSE),B677),PlayerValues!E:E,0)),"N/A")</f>
        <v>17047</v>
      </c>
      <c r="B677" s="4" t="s">
        <v>510</v>
      </c>
      <c r="C677" s="4" t="s">
        <v>278</v>
      </c>
      <c r="D677" s="94">
        <v>2748.0</v>
      </c>
    </row>
    <row r="678">
      <c r="A678" s="40">
        <f t="array" ref="A678">IFNA(index(PlayerValues!A:A,match(IFNA(vlookup(B678,'Special Names'!A:B,2,FALSE),B678),PlayerValues!E:E,0)),"N/A")</f>
        <v>15889</v>
      </c>
      <c r="B678" s="4" t="s">
        <v>503</v>
      </c>
      <c r="C678" s="4" t="s">
        <v>298</v>
      </c>
      <c r="D678" s="94">
        <v>3146.0</v>
      </c>
    </row>
    <row r="679">
      <c r="A679" s="40">
        <f t="array" ref="A679">IFNA(index(PlayerValues!A:A,match(IFNA(vlookup(B679,'Special Names'!A:B,2,FALSE),B679),PlayerValues!E:E,0)),"N/A")</f>
        <v>14778</v>
      </c>
      <c r="B679" s="4" t="s">
        <v>564</v>
      </c>
      <c r="C679" s="4" t="s">
        <v>283</v>
      </c>
      <c r="D679" s="94">
        <v>2733.0</v>
      </c>
    </row>
    <row r="680">
      <c r="A680" s="40">
        <f t="array" ref="A680">IFNA(index(PlayerValues!A:A,match(IFNA(vlookup(B680,'Special Names'!A:B,2,FALSE),B680),PlayerValues!E:E,0)),"N/A")</f>
        <v>15721</v>
      </c>
      <c r="B680" s="4" t="s">
        <v>504</v>
      </c>
      <c r="C680" s="4" t="s">
        <v>278</v>
      </c>
      <c r="D680" s="94">
        <v>2732.0</v>
      </c>
    </row>
    <row r="681">
      <c r="A681" s="40">
        <f t="array" ref="A681">IFNA(index(PlayerValues!A:A,match(IFNA(vlookup(B681,'Special Names'!A:B,2,FALSE),B681),PlayerValues!E:E,0)),"N/A")</f>
        <v>15712</v>
      </c>
      <c r="B681" s="4" t="s">
        <v>488</v>
      </c>
      <c r="C681" s="4" t="s">
        <v>278</v>
      </c>
      <c r="D681" s="94">
        <v>2729.0</v>
      </c>
    </row>
    <row r="682">
      <c r="A682" s="40">
        <f t="array" ref="A682">IFNA(index(PlayerValues!A:A,match(IFNA(vlookup(B682,'Special Names'!A:B,2,FALSE),B682),PlayerValues!E:E,0)),"N/A")</f>
        <v>17098</v>
      </c>
      <c r="B682" s="4" t="s">
        <v>533</v>
      </c>
      <c r="C682" s="4" t="s">
        <v>287</v>
      </c>
      <c r="D682" s="94">
        <v>2706.0</v>
      </c>
    </row>
    <row r="683">
      <c r="A683" s="40">
        <f t="array" ref="A683">IFNA(index(PlayerValues!A:A,match(IFNA(vlookup(B683,'Special Names'!A:B,2,FALSE),B683),PlayerValues!E:E,0)),"N/A")</f>
        <v>17507</v>
      </c>
      <c r="B683" s="4" t="s">
        <v>495</v>
      </c>
      <c r="C683" s="4" t="s">
        <v>287</v>
      </c>
      <c r="D683" s="94">
        <v>2695.0</v>
      </c>
    </row>
    <row r="684">
      <c r="A684" s="40">
        <f t="array" ref="A684">IFNA(index(PlayerValues!A:A,match(IFNA(vlookup(B684,'Special Names'!A:B,2,FALSE),B684),PlayerValues!E:E,0)),"N/A")</f>
        <v>17511</v>
      </c>
      <c r="B684" s="4" t="s">
        <v>485</v>
      </c>
      <c r="C684" s="4" t="s">
        <v>287</v>
      </c>
      <c r="D684" s="94">
        <v>2690.0</v>
      </c>
    </row>
    <row r="685">
      <c r="A685" s="40">
        <f t="array" ref="A685">IFNA(index(PlayerValues!A:A,match(IFNA(vlookup(B685,'Special Names'!A:B,2,FALSE),B685),PlayerValues!E:E,0)),"N/A")</f>
        <v>14860</v>
      </c>
      <c r="B685" s="4" t="s">
        <v>554</v>
      </c>
      <c r="C685" s="4" t="s">
        <v>287</v>
      </c>
      <c r="D685" s="94">
        <v>2689.0</v>
      </c>
    </row>
    <row r="686">
      <c r="A686" s="40">
        <f t="array" ref="A686">IFNA(index(PlayerValues!A:A,match(IFNA(vlookup(B686,'Special Names'!A:B,2,FALSE),B686),PlayerValues!E:E,0)),"N/A")</f>
        <v>12616</v>
      </c>
      <c r="B686" s="4" t="s">
        <v>529</v>
      </c>
      <c r="C686" s="4" t="s">
        <v>283</v>
      </c>
      <c r="D686" s="94">
        <v>2688.0</v>
      </c>
    </row>
    <row r="687">
      <c r="A687" s="40">
        <f t="array" ref="A687">IFNA(index(PlayerValues!A:A,match(IFNA(vlookup(B687,'Special Names'!A:B,2,FALSE),B687),PlayerValues!E:E,0)),"N/A")</f>
        <v>16747</v>
      </c>
      <c r="B687" s="4" t="s">
        <v>555</v>
      </c>
      <c r="C687" s="4" t="s">
        <v>278</v>
      </c>
      <c r="D687" s="94">
        <v>2678.0</v>
      </c>
    </row>
    <row r="688">
      <c r="A688" s="40">
        <f t="array" ref="A688">IFNA(index(PlayerValues!A:A,match(IFNA(vlookup(B688,'Special Names'!A:B,2,FALSE),B688),PlayerValues!E:E,0)),"N/A")</f>
        <v>17080</v>
      </c>
      <c r="B688" s="4" t="s">
        <v>532</v>
      </c>
      <c r="C688" s="4" t="s">
        <v>287</v>
      </c>
      <c r="D688" s="94">
        <v>2674.0</v>
      </c>
    </row>
    <row r="689">
      <c r="A689" s="40">
        <f t="array" ref="A689">IFNA(index(PlayerValues!A:A,match(IFNA(vlookup(B689,'Special Names'!A:B,2,FALSE),B689),PlayerValues!E:E,0)),"N/A")</f>
        <v>17105</v>
      </c>
      <c r="B689" s="4" t="s">
        <v>525</v>
      </c>
      <c r="C689" s="4" t="s">
        <v>298</v>
      </c>
      <c r="D689" s="94">
        <v>3083.0</v>
      </c>
    </row>
    <row r="690">
      <c r="A690" s="40">
        <f t="array" ref="A690">IFNA(index(PlayerValues!A:A,match(IFNA(vlookup(B690,'Special Names'!A:B,2,FALSE),B690),PlayerValues!E:E,0)),"N/A")</f>
        <v>16193</v>
      </c>
      <c r="B690" s="4" t="s">
        <v>487</v>
      </c>
      <c r="C690" s="4" t="s">
        <v>287</v>
      </c>
      <c r="D690" s="94">
        <v>2668.0</v>
      </c>
    </row>
    <row r="691">
      <c r="A691" s="40">
        <f t="array" ref="A691">IFNA(index(PlayerValues!A:A,match(IFNA(vlookup(B691,'Special Names'!A:B,2,FALSE),B691),PlayerValues!E:E,0)),"N/A")</f>
        <v>16596</v>
      </c>
      <c r="B691" s="4" t="s">
        <v>501</v>
      </c>
      <c r="C691" s="4" t="s">
        <v>278</v>
      </c>
      <c r="D691" s="94">
        <v>2661.0</v>
      </c>
    </row>
    <row r="692">
      <c r="A692" s="40">
        <f t="array" ref="A692">IFNA(index(PlayerValues!A:A,match(IFNA(vlookup(B692,'Special Names'!A:B,2,FALSE),B692),PlayerValues!E:E,0)),"N/A")</f>
        <v>15241</v>
      </c>
      <c r="B692" s="4" t="s">
        <v>546</v>
      </c>
      <c r="C692" s="4" t="s">
        <v>283</v>
      </c>
      <c r="D692" s="94">
        <v>2658.0</v>
      </c>
    </row>
    <row r="693">
      <c r="A693" s="40">
        <f t="array" ref="A693">IFNA(index(PlayerValues!A:A,match(IFNA(vlookup(B693,'Special Names'!A:B,2,FALSE),B693),PlayerValues!E:E,0)),"N/A")</f>
        <v>16619</v>
      </c>
      <c r="B693" s="4" t="s">
        <v>538</v>
      </c>
      <c r="C693" s="4" t="s">
        <v>287</v>
      </c>
      <c r="D693" s="94">
        <v>2658.0</v>
      </c>
    </row>
    <row r="694">
      <c r="A694" s="40">
        <f t="array" ref="A694">IFNA(index(PlayerValues!A:A,match(IFNA(vlookup(B694,'Special Names'!A:B,2,FALSE),B694),PlayerValues!E:E,0)),"N/A")</f>
        <v>15972</v>
      </c>
      <c r="B694" s="4" t="s">
        <v>469</v>
      </c>
      <c r="C694" s="4" t="s">
        <v>278</v>
      </c>
      <c r="D694" s="94">
        <v>2656.0</v>
      </c>
    </row>
    <row r="695">
      <c r="A695" s="40">
        <f t="array" ref="A695">IFNA(index(PlayerValues!A:A,match(IFNA(vlookup(B695,'Special Names'!A:B,2,FALSE),B695),PlayerValues!E:E,0)),"N/A")</f>
        <v>14833</v>
      </c>
      <c r="B695" s="4" t="s">
        <v>553</v>
      </c>
      <c r="C695" s="4" t="s">
        <v>287</v>
      </c>
      <c r="D695" s="94">
        <v>2627.0</v>
      </c>
    </row>
    <row r="696">
      <c r="A696" s="40">
        <f t="array" ref="A696">IFNA(index(PlayerValues!A:A,match(IFNA(vlookup(B696,'Special Names'!A:B,2,FALSE),B696),PlayerValues!E:E,0)),"N/A")</f>
        <v>17107</v>
      </c>
      <c r="B696" s="4" t="s">
        <v>478</v>
      </c>
      <c r="C696" s="4" t="s">
        <v>298</v>
      </c>
      <c r="D696" s="94">
        <v>3034.0</v>
      </c>
    </row>
    <row r="697">
      <c r="A697" s="40" t="str">
        <f t="array" ref="A697">IFNA(index(PlayerValues!A:A,match(IFNA(vlookup(B697,'Special Names'!A:B,2,FALSE),B697),PlayerValues!E:E,0)),"N/A")</f>
        <v>N/A</v>
      </c>
      <c r="B697" s="4" t="s">
        <v>98</v>
      </c>
      <c r="C697" s="4" t="s">
        <v>325</v>
      </c>
      <c r="D697" s="94">
        <v>2623.0</v>
      </c>
    </row>
    <row r="698">
      <c r="A698" s="40">
        <f t="array" ref="A698">IFNA(index(PlayerValues!A:A,match(IFNA(vlookup(B698,'Special Names'!A:B,2,FALSE),B698),PlayerValues!E:E,0)),"N/A")</f>
        <v>17073</v>
      </c>
      <c r="B698" s="4" t="s">
        <v>547</v>
      </c>
      <c r="C698" s="4" t="s">
        <v>287</v>
      </c>
      <c r="D698" s="94">
        <v>2611.0</v>
      </c>
    </row>
    <row r="699">
      <c r="A699" s="40">
        <f t="array" ref="A699">IFNA(index(PlayerValues!A:A,match(IFNA(vlookup(B699,'Special Names'!A:B,2,FALSE),B699),PlayerValues!E:E,0)),"N/A")</f>
        <v>17509</v>
      </c>
      <c r="B699" s="4" t="s">
        <v>551</v>
      </c>
      <c r="C699" s="4" t="s">
        <v>287</v>
      </c>
      <c r="D699" s="94">
        <v>2609.0</v>
      </c>
    </row>
    <row r="700">
      <c r="A700" s="40">
        <f t="array" ref="A700">IFNA(index(PlayerValues!A:A,match(IFNA(vlookup(B700,'Special Names'!A:B,2,FALSE),B700),PlayerValues!E:E,0)),"N/A")</f>
        <v>16165</v>
      </c>
      <c r="B700" s="4" t="s">
        <v>520</v>
      </c>
      <c r="C700" s="4" t="s">
        <v>278</v>
      </c>
      <c r="D700" s="94">
        <v>2600.0</v>
      </c>
    </row>
    <row r="701">
      <c r="A701" s="40">
        <f t="array" ref="A701">IFNA(index(PlayerValues!A:A,match(IFNA(vlookup(B701,'Special Names'!A:B,2,FALSE),B701),PlayerValues!E:E,0)),"N/A")</f>
        <v>16174</v>
      </c>
      <c r="B701" s="4" t="s">
        <v>505</v>
      </c>
      <c r="C701" s="4" t="s">
        <v>278</v>
      </c>
      <c r="D701" s="94">
        <v>2595.0</v>
      </c>
    </row>
    <row r="702">
      <c r="A702" s="40">
        <f t="array" ref="A702">IFNA(index(PlayerValues!A:A,match(IFNA(vlookup(B702,'Special Names'!A:B,2,FALSE),B702),PlayerValues!E:E,0)),"N/A")</f>
        <v>17474</v>
      </c>
      <c r="B702" s="4" t="s">
        <v>513</v>
      </c>
      <c r="C702" s="4" t="s">
        <v>278</v>
      </c>
      <c r="D702" s="94">
        <v>2594.0</v>
      </c>
    </row>
    <row r="703">
      <c r="A703" s="40">
        <f t="array" ref="A703">IFNA(index(PlayerValues!A:A,match(IFNA(vlookup(B703,'Special Names'!A:B,2,FALSE),B703),PlayerValues!E:E,0)),"N/A")</f>
        <v>13674</v>
      </c>
      <c r="B703" s="4" t="s">
        <v>511</v>
      </c>
      <c r="C703" s="4" t="s">
        <v>298</v>
      </c>
      <c r="D703" s="94">
        <v>2978.0</v>
      </c>
    </row>
    <row r="704">
      <c r="A704" s="40">
        <f t="array" ref="A704">IFNA(index(PlayerValues!A:A,match(IFNA(vlookup(B704,'Special Names'!A:B,2,FALSE),B704),PlayerValues!E:E,0)),"N/A")</f>
        <v>16204</v>
      </c>
      <c r="B704" s="4" t="s">
        <v>530</v>
      </c>
      <c r="C704" s="4" t="s">
        <v>287</v>
      </c>
      <c r="D704" s="94">
        <v>2541.0</v>
      </c>
    </row>
    <row r="705">
      <c r="A705" s="40">
        <f t="array" ref="A705">IFNA(index(PlayerValues!A:A,match(IFNA(vlookup(B705,'Special Names'!A:B,2,FALSE),B705),PlayerValues!E:E,0)),"N/A")</f>
        <v>17478</v>
      </c>
      <c r="B705" s="4" t="s">
        <v>527</v>
      </c>
      <c r="C705" s="4" t="s">
        <v>278</v>
      </c>
      <c r="D705" s="94">
        <v>2528.0</v>
      </c>
    </row>
    <row r="706">
      <c r="A706" s="40">
        <f t="array" ref="A706">IFNA(index(PlayerValues!A:A,match(IFNA(vlookup(B706,'Special Names'!A:B,2,FALSE),B706),PlayerValues!E:E,0)),"N/A")</f>
        <v>17108</v>
      </c>
      <c r="B706" s="4" t="s">
        <v>542</v>
      </c>
      <c r="C706" s="4" t="s">
        <v>298</v>
      </c>
      <c r="D706" s="94">
        <v>2925.0</v>
      </c>
    </row>
    <row r="707">
      <c r="A707" s="40">
        <f t="array" ref="A707">IFNA(index(PlayerValues!A:A,match(IFNA(vlookup(B707,'Special Names'!A:B,2,FALSE),B707),PlayerValues!E:E,0)),"N/A")</f>
        <v>17078</v>
      </c>
      <c r="B707" s="4" t="s">
        <v>543</v>
      </c>
      <c r="C707" s="4" t="s">
        <v>287</v>
      </c>
      <c r="D707" s="94">
        <v>2518.0</v>
      </c>
    </row>
    <row r="708">
      <c r="A708" s="40">
        <f t="array" ref="A708">IFNA(index(PlayerValues!A:A,match(IFNA(vlookup(B708,'Special Names'!A:B,2,FALSE),B708),PlayerValues!E:E,0)),"N/A")</f>
        <v>17082</v>
      </c>
      <c r="B708" s="4" t="s">
        <v>498</v>
      </c>
      <c r="C708" s="4" t="s">
        <v>287</v>
      </c>
      <c r="D708" s="94">
        <v>2516.0</v>
      </c>
    </row>
    <row r="709">
      <c r="A709" s="40">
        <f t="array" ref="A709">IFNA(index(PlayerValues!A:A,match(IFNA(vlookup(B709,'Special Names'!A:B,2,FALSE),B709),PlayerValues!E:E,0)),"N/A")</f>
        <v>17508</v>
      </c>
      <c r="B709" s="4" t="s">
        <v>534</v>
      </c>
      <c r="C709" s="4" t="s">
        <v>287</v>
      </c>
      <c r="D709" s="94">
        <v>2506.0</v>
      </c>
    </row>
    <row r="710">
      <c r="A710" s="40">
        <f t="array" ref="A710">IFNA(index(PlayerValues!A:A,match(IFNA(vlookup(B710,'Special Names'!A:B,2,FALSE),B710),PlayerValues!E:E,0)),"N/A")</f>
        <v>16617</v>
      </c>
      <c r="B710" s="4" t="s">
        <v>541</v>
      </c>
      <c r="C710" s="4" t="s">
        <v>287</v>
      </c>
      <c r="D710" s="94">
        <v>2490.0</v>
      </c>
    </row>
    <row r="711">
      <c r="A711" s="40">
        <f t="array" ref="A711">IFNA(index(PlayerValues!A:A,match(IFNA(vlookup(B711,'Special Names'!A:B,2,FALSE),B711),PlayerValues!E:E,0)),"N/A")</f>
        <v>16684</v>
      </c>
      <c r="B711" s="4" t="s">
        <v>500</v>
      </c>
      <c r="C711" s="4" t="s">
        <v>287</v>
      </c>
      <c r="D711" s="94">
        <v>2490.0</v>
      </c>
    </row>
    <row r="712">
      <c r="A712" s="40">
        <f t="array" ref="A712">IFNA(index(PlayerValues!A:A,match(IFNA(vlookup(B712,'Special Names'!A:B,2,FALSE),B712),PlayerValues!E:E,0)),"N/A")</f>
        <v>13192</v>
      </c>
      <c r="B712" s="4" t="s">
        <v>563</v>
      </c>
      <c r="C712" s="4" t="s">
        <v>298</v>
      </c>
      <c r="D712" s="94">
        <v>2864.0</v>
      </c>
    </row>
    <row r="713">
      <c r="A713" s="40">
        <f t="array" ref="A713">IFNA(index(PlayerValues!A:A,match(IFNA(vlookup(B713,'Special Names'!A:B,2,FALSE),B713),PlayerValues!E:E,0)),"N/A")</f>
        <v>17171</v>
      </c>
      <c r="B713" s="4" t="s">
        <v>561</v>
      </c>
      <c r="C713" s="4" t="s">
        <v>287</v>
      </c>
      <c r="D713" s="94">
        <v>2451.0</v>
      </c>
    </row>
    <row r="714">
      <c r="A714" s="40" t="str">
        <f t="array" ref="A714">IFNA(index(PlayerValues!A:A,match(IFNA(vlookup(B714,'Special Names'!A:B,2,FALSE),B714),PlayerValues!E:E,0)),"N/A")</f>
        <v>N/A</v>
      </c>
      <c r="B714" s="4" t="s">
        <v>99</v>
      </c>
      <c r="C714" s="4" t="s">
        <v>325</v>
      </c>
      <c r="D714" s="94">
        <v>2447.0</v>
      </c>
    </row>
    <row r="715">
      <c r="A715" s="40">
        <f t="array" ref="A715">IFNA(index(PlayerValues!A:A,match(IFNA(vlookup(B715,'Special Names'!A:B,2,FALSE),B715),PlayerValues!E:E,0)),"N/A")</f>
        <v>16626</v>
      </c>
      <c r="B715" s="4" t="s">
        <v>515</v>
      </c>
      <c r="C715" s="4" t="s">
        <v>287</v>
      </c>
      <c r="D715" s="94">
        <v>2445.0</v>
      </c>
    </row>
    <row r="716">
      <c r="A716" s="40">
        <f t="array" ref="A716">IFNA(index(PlayerValues!A:A,match(IFNA(vlookup(B716,'Special Names'!A:B,2,FALSE),B716),PlayerValues!E:E,0)),"N/A")</f>
        <v>11244</v>
      </c>
      <c r="B716" s="4" t="s">
        <v>519</v>
      </c>
      <c r="C716" s="4" t="s">
        <v>298</v>
      </c>
      <c r="D716" s="94">
        <v>2846.0</v>
      </c>
    </row>
    <row r="717">
      <c r="A717" s="40">
        <f t="array" ref="A717">IFNA(index(PlayerValues!A:A,match(IFNA(vlookup(B717,'Special Names'!A:B,2,FALSE),B717),PlayerValues!E:E,0)),"N/A")</f>
        <v>17134</v>
      </c>
      <c r="B717" s="4" t="s">
        <v>548</v>
      </c>
      <c r="C717" s="4" t="s">
        <v>287</v>
      </c>
      <c r="D717" s="94">
        <v>2443.0</v>
      </c>
    </row>
    <row r="718">
      <c r="A718" s="40">
        <f t="array" ref="A718">IFNA(index(PlayerValues!A:A,match(IFNA(vlookup(B718,'Special Names'!A:B,2,FALSE),B718),PlayerValues!E:E,0)),"N/A")</f>
        <v>16287</v>
      </c>
      <c r="B718" s="4" t="s">
        <v>516</v>
      </c>
      <c r="C718" s="4" t="s">
        <v>287</v>
      </c>
      <c r="D718" s="94">
        <v>2439.0</v>
      </c>
    </row>
    <row r="719">
      <c r="A719" s="40">
        <f t="array" ref="A719">IFNA(index(PlayerValues!A:A,match(IFNA(vlookup(B719,'Special Names'!A:B,2,FALSE),B719),PlayerValues!E:E,0)),"N/A")</f>
        <v>16164</v>
      </c>
      <c r="B719" s="4" t="s">
        <v>512</v>
      </c>
      <c r="C719" s="4" t="s">
        <v>278</v>
      </c>
      <c r="D719" s="94">
        <v>2434.0</v>
      </c>
    </row>
    <row r="720">
      <c r="A720" s="40">
        <f t="array" ref="A720">IFNA(index(PlayerValues!A:A,match(IFNA(vlookup(B720,'Special Names'!A:B,2,FALSE),B720),PlayerValues!E:E,0)),"N/A")</f>
        <v>17482</v>
      </c>
      <c r="B720" s="4" t="s">
        <v>460</v>
      </c>
      <c r="C720" s="4" t="s">
        <v>278</v>
      </c>
      <c r="D720" s="94">
        <v>2408.0</v>
      </c>
    </row>
    <row r="721">
      <c r="A721" s="40">
        <f t="array" ref="A721">IFNA(index(PlayerValues!A:A,match(IFNA(vlookup(B721,'Special Names'!A:B,2,FALSE),B721),PlayerValues!E:E,0)),"N/A")</f>
        <v>16178</v>
      </c>
      <c r="B721" s="4" t="s">
        <v>507</v>
      </c>
      <c r="C721" s="4" t="s">
        <v>278</v>
      </c>
      <c r="D721" s="94">
        <v>2406.0</v>
      </c>
    </row>
    <row r="722">
      <c r="A722" s="40">
        <f t="array" ref="A722">IFNA(index(PlayerValues!A:A,match(IFNA(vlookup(B722,'Special Names'!A:B,2,FALSE),B722),PlayerValues!E:E,0)),"N/A")</f>
        <v>17514</v>
      </c>
      <c r="B722" s="4" t="s">
        <v>422</v>
      </c>
      <c r="C722" s="4" t="s">
        <v>287</v>
      </c>
      <c r="D722" s="94">
        <v>2405.0</v>
      </c>
    </row>
    <row r="723">
      <c r="A723" s="40">
        <f t="array" ref="A723">IFNA(index(PlayerValues!A:A,match(IFNA(vlookup(B723,'Special Names'!A:B,2,FALSE),B723),PlayerValues!E:E,0)),"N/A")</f>
        <v>17048</v>
      </c>
      <c r="B723" s="4" t="s">
        <v>539</v>
      </c>
      <c r="C723" s="4" t="s">
        <v>278</v>
      </c>
      <c r="D723" s="94">
        <v>2393.0</v>
      </c>
    </row>
    <row r="724">
      <c r="A724" s="40">
        <f t="array" ref="A724">IFNA(index(PlayerValues!A:A,match(IFNA(vlookup(B724,'Special Names'!A:B,2,FALSE),B724),PlayerValues!E:E,0)),"N/A")</f>
        <v>15716</v>
      </c>
      <c r="B724" s="4" t="s">
        <v>545</v>
      </c>
      <c r="C724" s="4" t="s">
        <v>278</v>
      </c>
      <c r="D724" s="94">
        <v>2385.0</v>
      </c>
    </row>
    <row r="725">
      <c r="A725" s="40">
        <f t="array" ref="A725">IFNA(index(PlayerValues!A:A,match(IFNA(vlookup(B725,'Special Names'!A:B,2,FALSE),B725),PlayerValues!E:E,0)),"N/A")</f>
        <v>17517</v>
      </c>
      <c r="B725" s="4" t="s">
        <v>454</v>
      </c>
      <c r="C725" s="4" t="s">
        <v>287</v>
      </c>
      <c r="D725" s="94">
        <v>2385.0</v>
      </c>
    </row>
    <row r="726">
      <c r="A726" s="40">
        <f t="array" ref="A726">IFNA(index(PlayerValues!A:A,match(IFNA(vlookup(B726,'Special Names'!A:B,2,FALSE),B726),PlayerValues!E:E,0)),"N/A")</f>
        <v>16195</v>
      </c>
      <c r="B726" s="4" t="s">
        <v>509</v>
      </c>
      <c r="C726" s="4" t="s">
        <v>287</v>
      </c>
      <c r="D726" s="94">
        <v>2381.0</v>
      </c>
    </row>
    <row r="727">
      <c r="A727" s="40">
        <f t="array" ref="A727">IFNA(index(PlayerValues!A:A,match(IFNA(vlookup(B727,'Special Names'!A:B,2,FALSE),B727),PlayerValues!E:E,0)),"N/A")</f>
        <v>15786</v>
      </c>
      <c r="B727" s="4" t="s">
        <v>521</v>
      </c>
      <c r="C727" s="4" t="s">
        <v>287</v>
      </c>
      <c r="D727" s="94">
        <v>2372.0</v>
      </c>
    </row>
    <row r="728">
      <c r="A728" s="40">
        <f t="array" ref="A728">IFNA(index(PlayerValues!A:A,match(IFNA(vlookup(B728,'Special Names'!A:B,2,FALSE),B728),PlayerValues!E:E,0)),"N/A")</f>
        <v>17106</v>
      </c>
      <c r="B728" s="4" t="s">
        <v>550</v>
      </c>
      <c r="C728" s="4" t="s">
        <v>298</v>
      </c>
      <c r="D728" s="94">
        <v>2754.0</v>
      </c>
    </row>
    <row r="729">
      <c r="A729" s="40">
        <f t="array" ref="A729">IFNA(index(PlayerValues!A:A,match(IFNA(vlookup(B729,'Special Names'!A:B,2,FALSE),B729),PlayerValues!E:E,0)),"N/A")</f>
        <v>15749</v>
      </c>
      <c r="B729" s="4" t="s">
        <v>574</v>
      </c>
      <c r="C729" s="4" t="s">
        <v>278</v>
      </c>
      <c r="D729" s="94">
        <v>2353.0</v>
      </c>
    </row>
    <row r="730">
      <c r="A730" s="40">
        <f t="array" ref="A730">IFNA(index(PlayerValues!A:A,match(IFNA(vlookup(B730,'Special Names'!A:B,2,FALSE),B730),PlayerValues!E:E,0)),"N/A")</f>
        <v>15802</v>
      </c>
      <c r="B730" s="4" t="s">
        <v>566</v>
      </c>
      <c r="C730" s="4" t="s">
        <v>298</v>
      </c>
      <c r="D730" s="94">
        <v>2739.0</v>
      </c>
    </row>
    <row r="731">
      <c r="A731" s="40">
        <f t="array" ref="A731">IFNA(index(PlayerValues!A:A,match(IFNA(vlookup(B731,'Special Names'!A:B,2,FALSE),B731),PlayerValues!E:E,0)),"N/A")</f>
        <v>14861</v>
      </c>
      <c r="B731" s="4" t="s">
        <v>523</v>
      </c>
      <c r="C731" s="4" t="s">
        <v>298</v>
      </c>
      <c r="D731" s="94">
        <v>2734.0</v>
      </c>
    </row>
    <row r="732">
      <c r="A732" s="40" t="str">
        <f t="array" ref="A732">IFNA(index(PlayerValues!A:A,match(IFNA(vlookup(B732,'Special Names'!A:B,2,FALSE),B732),PlayerValues!E:E,0)),"N/A")</f>
        <v>N/A</v>
      </c>
      <c r="B732" s="4" t="s">
        <v>557</v>
      </c>
      <c r="C732" s="4" t="s">
        <v>278</v>
      </c>
      <c r="D732" s="94">
        <v>2334.0</v>
      </c>
    </row>
    <row r="733">
      <c r="A733" s="40">
        <f t="array" ref="A733">IFNA(index(PlayerValues!A:A,match(IFNA(vlookup(B733,'Special Names'!A:B,2,FALSE),B733),PlayerValues!E:E,0)),"N/A")</f>
        <v>14840</v>
      </c>
      <c r="B733" s="4" t="s">
        <v>731</v>
      </c>
      <c r="C733" s="4" t="s">
        <v>287</v>
      </c>
      <c r="D733" s="94">
        <v>2308.0</v>
      </c>
    </row>
    <row r="734">
      <c r="A734" s="40">
        <f t="array" ref="A734">IFNA(index(PlayerValues!A:A,match(IFNA(vlookup(B734,'Special Names'!A:B,2,FALSE),B734),PlayerValues!E:E,0)),"N/A")</f>
        <v>16036</v>
      </c>
      <c r="B734" s="4" t="s">
        <v>592</v>
      </c>
      <c r="C734" s="4" t="s">
        <v>298</v>
      </c>
      <c r="D734" s="94">
        <v>2688.0</v>
      </c>
    </row>
    <row r="735">
      <c r="A735" s="40">
        <f t="array" ref="A735">IFNA(index(PlayerValues!A:A,match(IFNA(vlookup(B735,'Special Names'!A:B,2,FALSE),B735),PlayerValues!E:E,0)),"N/A")</f>
        <v>16152</v>
      </c>
      <c r="B735" s="4" t="s">
        <v>601</v>
      </c>
      <c r="C735" s="4" t="s">
        <v>283</v>
      </c>
      <c r="D735" s="94">
        <v>2283.0</v>
      </c>
    </row>
    <row r="736">
      <c r="A736" s="40">
        <f t="array" ref="A736">IFNA(index(PlayerValues!A:A,match(IFNA(vlookup(B736,'Special Names'!A:B,2,FALSE),B736),PlayerValues!E:E,0)),"N/A")</f>
        <v>16594</v>
      </c>
      <c r="B736" s="4" t="s">
        <v>607</v>
      </c>
      <c r="C736" s="4" t="s">
        <v>278</v>
      </c>
      <c r="D736" s="94">
        <v>2273.0</v>
      </c>
    </row>
    <row r="737">
      <c r="A737" s="40">
        <f t="array" ref="A737">IFNA(index(PlayerValues!A:A,match(IFNA(vlookup(B737,'Special Names'!A:B,2,FALSE),B737),PlayerValues!E:E,0)),"N/A")</f>
        <v>17547</v>
      </c>
      <c r="B737" s="4" t="s">
        <v>552</v>
      </c>
      <c r="C737" s="4" t="s">
        <v>298</v>
      </c>
      <c r="D737" s="94">
        <v>2661.0</v>
      </c>
    </row>
    <row r="738">
      <c r="A738" s="40">
        <f t="array" ref="A738">IFNA(index(PlayerValues!A:A,match(IFNA(vlookup(B738,'Special Names'!A:B,2,FALSE),B738),PlayerValues!E:E,0)),"N/A")</f>
        <v>17520</v>
      </c>
      <c r="B738" s="4" t="s">
        <v>518</v>
      </c>
      <c r="C738" s="4" t="s">
        <v>287</v>
      </c>
      <c r="D738" s="94">
        <v>2253.0</v>
      </c>
    </row>
    <row r="739">
      <c r="A739" s="40" t="str">
        <f t="array" ref="A739">IFNA(index(PlayerValues!A:A,match(IFNA(vlookup(B739,'Special Names'!A:B,2,FALSE),B739),PlayerValues!E:E,0)),"N/A")</f>
        <v>N/A</v>
      </c>
      <c r="B739" s="4" t="s">
        <v>86</v>
      </c>
      <c r="C739" s="4" t="s">
        <v>325</v>
      </c>
      <c r="D739" s="94">
        <v>2252.0</v>
      </c>
    </row>
    <row r="740">
      <c r="A740" s="40">
        <f t="array" ref="A740">IFNA(index(PlayerValues!A:A,match(IFNA(vlookup(B740,'Special Names'!A:B,2,FALSE),B740),PlayerValues!E:E,0)),"N/A")</f>
        <v>17033</v>
      </c>
      <c r="B740" s="4" t="s">
        <v>570</v>
      </c>
      <c r="C740" s="4" t="s">
        <v>283</v>
      </c>
      <c r="D740" s="94">
        <v>2249.0</v>
      </c>
    </row>
    <row r="741">
      <c r="A741" s="40">
        <f t="array" ref="A741">IFNA(index(PlayerValues!A:A,match(IFNA(vlookup(B741,'Special Names'!A:B,2,FALSE),B741),PlayerValues!E:E,0)),"N/A")</f>
        <v>12676</v>
      </c>
      <c r="B741" s="4" t="s">
        <v>537</v>
      </c>
      <c r="C741" s="4" t="s">
        <v>298</v>
      </c>
      <c r="D741" s="94">
        <v>2634.0</v>
      </c>
    </row>
    <row r="742">
      <c r="A742" s="40">
        <f t="array" ref="A742">IFNA(index(PlayerValues!A:A,match(IFNA(vlookup(B742,'Special Names'!A:B,2,FALSE),B742),PlayerValues!E:E,0)),"N/A")</f>
        <v>13772</v>
      </c>
      <c r="B742" s="4" t="s">
        <v>544</v>
      </c>
      <c r="C742" s="4" t="s">
        <v>298</v>
      </c>
      <c r="D742" s="94">
        <v>2634.0</v>
      </c>
    </row>
    <row r="743">
      <c r="A743" s="40">
        <f t="array" ref="A743">IFNA(index(PlayerValues!A:A,match(IFNA(vlookup(B743,'Special Names'!A:B,2,FALSE),B743),PlayerValues!E:E,0)),"N/A")</f>
        <v>11150</v>
      </c>
      <c r="B743" s="4" t="s">
        <v>559</v>
      </c>
      <c r="C743" s="4" t="s">
        <v>283</v>
      </c>
      <c r="D743" s="94">
        <v>2239.0</v>
      </c>
    </row>
    <row r="744">
      <c r="A744" s="40">
        <f t="array" ref="A744">IFNA(index(PlayerValues!A:A,match(IFNA(vlookup(B744,'Special Names'!A:B,2,FALSE),B744),PlayerValues!E:E,0)),"N/A")</f>
        <v>15331</v>
      </c>
      <c r="B744" s="4" t="s">
        <v>560</v>
      </c>
      <c r="C744" s="4" t="s">
        <v>298</v>
      </c>
      <c r="D744" s="94">
        <v>2634.0</v>
      </c>
    </row>
    <row r="745">
      <c r="A745" s="40">
        <f t="array" ref="A745">IFNA(index(PlayerValues!A:A,match(IFNA(vlookup(B745,'Special Names'!A:B,2,FALSE),B745),PlayerValues!E:E,0)),"N/A")</f>
        <v>16610</v>
      </c>
      <c r="B745" s="4" t="s">
        <v>562</v>
      </c>
      <c r="C745" s="4" t="s">
        <v>278</v>
      </c>
      <c r="D745" s="94">
        <v>2238.0</v>
      </c>
    </row>
    <row r="746">
      <c r="A746" s="40" t="str">
        <f t="array" ref="A746">IFNA(index(PlayerValues!A:A,match(IFNA(vlookup(B746,'Special Names'!A:B,2,FALSE),B746),PlayerValues!E:E,0)),"N/A")</f>
        <v>N/A</v>
      </c>
      <c r="B746" s="4" t="s">
        <v>100</v>
      </c>
      <c r="C746" s="4" t="s">
        <v>325</v>
      </c>
      <c r="D746" s="94">
        <v>2234.0</v>
      </c>
    </row>
    <row r="747">
      <c r="A747" s="40">
        <f t="array" ref="A747">IFNA(index(PlayerValues!A:A,match(IFNA(vlookup(B747,'Special Names'!A:B,2,FALSE),B747),PlayerValues!E:E,0)),"N/A")</f>
        <v>16649</v>
      </c>
      <c r="B747" s="4" t="s">
        <v>586</v>
      </c>
      <c r="C747" s="4" t="s">
        <v>298</v>
      </c>
      <c r="D747" s="94">
        <v>2624.0</v>
      </c>
    </row>
    <row r="748">
      <c r="A748" s="40">
        <f t="array" ref="A748">IFNA(index(PlayerValues!A:A,match(IFNA(vlookup(B748,'Special Names'!A:B,2,FALSE),B748),PlayerValues!E:E,0)),"N/A")</f>
        <v>13319</v>
      </c>
      <c r="B748" s="4" t="s">
        <v>549</v>
      </c>
      <c r="C748" s="4" t="s">
        <v>278</v>
      </c>
      <c r="D748" s="94">
        <v>2217.0</v>
      </c>
    </row>
    <row r="749">
      <c r="A749" s="40">
        <f t="array" ref="A749">IFNA(index(PlayerValues!A:A,match(IFNA(vlookup(B749,'Special Names'!A:B,2,FALSE),B749),PlayerValues!E:E,0)),"N/A")</f>
        <v>16757</v>
      </c>
      <c r="B749" s="4" t="s">
        <v>558</v>
      </c>
      <c r="C749" s="4" t="s">
        <v>278</v>
      </c>
      <c r="D749" s="94">
        <v>2179.0</v>
      </c>
    </row>
    <row r="750">
      <c r="A750" s="40" t="str">
        <f t="array" ref="A750">IFNA(index(PlayerValues!A:A,match(IFNA(vlookup(B750,'Special Names'!A:B,2,FALSE),B750),PlayerValues!E:E,0)),"N/A")</f>
        <v>N/A</v>
      </c>
      <c r="B750" s="4" t="s">
        <v>112</v>
      </c>
      <c r="C750" s="4" t="s">
        <v>325</v>
      </c>
      <c r="D750" s="94">
        <v>2176.0</v>
      </c>
    </row>
    <row r="751">
      <c r="A751" s="40">
        <f t="array" ref="A751">IFNA(index(PlayerValues!A:A,match(IFNA(vlookup(B751,'Special Names'!A:B,2,FALSE),B751),PlayerValues!E:E,0)),"N/A")</f>
        <v>12186</v>
      </c>
      <c r="B751" s="4" t="s">
        <v>497</v>
      </c>
      <c r="C751" s="4" t="s">
        <v>287</v>
      </c>
      <c r="D751" s="94">
        <v>2172.0</v>
      </c>
    </row>
    <row r="752">
      <c r="A752" s="40">
        <f t="array" ref="A752">IFNA(index(PlayerValues!A:A,match(IFNA(vlookup(B752,'Special Names'!A:B,2,FALSE),B752),PlayerValues!E:E,0)),"N/A")</f>
        <v>16166</v>
      </c>
      <c r="B752" s="4" t="s">
        <v>567</v>
      </c>
      <c r="C752" s="4" t="s">
        <v>278</v>
      </c>
      <c r="D752" s="94">
        <v>2163.0</v>
      </c>
    </row>
    <row r="753">
      <c r="A753" s="40">
        <f t="array" ref="A753">IFNA(index(PlayerValues!A:A,match(IFNA(vlookup(B753,'Special Names'!A:B,2,FALSE),B753),PlayerValues!E:E,0)),"N/A")</f>
        <v>14136</v>
      </c>
      <c r="B753" s="4" t="s">
        <v>536</v>
      </c>
      <c r="C753" s="4" t="s">
        <v>287</v>
      </c>
      <c r="D753" s="94">
        <v>2154.0</v>
      </c>
    </row>
    <row r="754">
      <c r="A754" s="40" t="str">
        <f t="array" ref="A754">IFNA(index(PlayerValues!A:A,match(IFNA(vlookup(B754,'Special Names'!A:B,2,FALSE),B754),PlayerValues!E:E,0)),"N/A")</f>
        <v>N/A</v>
      </c>
      <c r="B754" s="4" t="s">
        <v>87</v>
      </c>
      <c r="C754" s="4" t="s">
        <v>325</v>
      </c>
      <c r="D754" s="94">
        <v>2146.0</v>
      </c>
    </row>
    <row r="755">
      <c r="A755" s="40">
        <f t="array" ref="A755">IFNA(index(PlayerValues!A:A,match(IFNA(vlookup(B755,'Special Names'!A:B,2,FALSE),B755),PlayerValues!E:E,0)),"N/A")</f>
        <v>17079</v>
      </c>
      <c r="B755" s="4" t="s">
        <v>572</v>
      </c>
      <c r="C755" s="4" t="s">
        <v>287</v>
      </c>
      <c r="D755" s="94">
        <v>2140.0</v>
      </c>
    </row>
    <row r="756">
      <c r="A756" s="40">
        <f t="array" ref="A756">IFNA(index(PlayerValues!A:A,match(IFNA(vlookup(B756,'Special Names'!A:B,2,FALSE),B756),PlayerValues!E:E,0)),"N/A")</f>
        <v>13113</v>
      </c>
      <c r="B756" s="4" t="s">
        <v>606</v>
      </c>
      <c r="C756" s="4" t="s">
        <v>283</v>
      </c>
      <c r="D756" s="94">
        <v>2134.0</v>
      </c>
    </row>
    <row r="757">
      <c r="A757" s="40">
        <f t="array" ref="A757">IFNA(index(PlayerValues!A:A,match(IFNA(vlookup(B757,'Special Names'!A:B,2,FALSE),B757),PlayerValues!E:E,0)),"N/A")</f>
        <v>17055</v>
      </c>
      <c r="B757" s="4" t="s">
        <v>565</v>
      </c>
      <c r="C757" s="4" t="s">
        <v>278</v>
      </c>
      <c r="D757" s="94">
        <v>2122.0</v>
      </c>
    </row>
    <row r="758">
      <c r="A758" s="40">
        <f t="array" ref="A758">IFNA(index(PlayerValues!A:A,match(IFNA(vlookup(B758,'Special Names'!A:B,2,FALSE),B758),PlayerValues!E:E,0)),"N/A")</f>
        <v>16212</v>
      </c>
      <c r="B758" s="4" t="s">
        <v>568</v>
      </c>
      <c r="C758" s="4" t="s">
        <v>298</v>
      </c>
      <c r="D758" s="94">
        <v>2494.0</v>
      </c>
    </row>
    <row r="759">
      <c r="A759" s="40" t="str">
        <f t="array" ref="A759">IFNA(index(PlayerValues!A:A,match(IFNA(vlookup(B759,'Special Names'!A:B,2,FALSE),B759),PlayerValues!E:E,0)),"N/A")</f>
        <v>N/A</v>
      </c>
      <c r="B759" s="4" t="s">
        <v>113</v>
      </c>
      <c r="C759" s="4" t="s">
        <v>325</v>
      </c>
      <c r="D759" s="94">
        <v>2101.0</v>
      </c>
    </row>
    <row r="760">
      <c r="A760" s="40">
        <f t="array" ref="A760">IFNA(index(PlayerValues!A:A,match(IFNA(vlookup(B760,'Special Names'!A:B,2,FALSE),B760),PlayerValues!E:E,0)),"N/A")</f>
        <v>16189</v>
      </c>
      <c r="B760" s="4" t="s">
        <v>582</v>
      </c>
      <c r="C760" s="4" t="s">
        <v>287</v>
      </c>
      <c r="D760" s="94">
        <v>2097.0</v>
      </c>
    </row>
    <row r="761">
      <c r="A761" s="40">
        <f t="array" ref="A761">IFNA(index(PlayerValues!A:A,match(IFNA(vlookup(B761,'Special Names'!A:B,2,FALSE),B761),PlayerValues!E:E,0)),"N/A")</f>
        <v>14974</v>
      </c>
      <c r="B761" s="4" t="s">
        <v>611</v>
      </c>
      <c r="C761" s="4" t="s">
        <v>287</v>
      </c>
      <c r="D761" s="94">
        <v>2091.0</v>
      </c>
    </row>
    <row r="762">
      <c r="A762" s="40">
        <f t="array" ref="A762">IFNA(index(PlayerValues!A:A,match(IFNA(vlookup(B762,'Special Names'!A:B,2,FALSE),B762),PlayerValues!E:E,0)),"N/A")</f>
        <v>17046</v>
      </c>
      <c r="B762" s="4" t="s">
        <v>602</v>
      </c>
      <c r="C762" s="4" t="s">
        <v>278</v>
      </c>
      <c r="D762" s="94">
        <v>2089.0</v>
      </c>
    </row>
    <row r="763">
      <c r="A763" s="40" t="str">
        <f t="array" ref="A763">IFNA(index(PlayerValues!A:A,match(IFNA(vlookup(B763,'Special Names'!A:B,2,FALSE),B763),PlayerValues!E:E,0)),"N/A")</f>
        <v>N/A</v>
      </c>
      <c r="B763" s="4" t="s">
        <v>88</v>
      </c>
      <c r="C763" s="4" t="s">
        <v>325</v>
      </c>
      <c r="D763" s="94">
        <v>2083.0</v>
      </c>
    </row>
    <row r="764">
      <c r="A764" s="40">
        <f t="array" ref="A764">IFNA(index(PlayerValues!A:A,match(IFNA(vlookup(B764,'Special Names'!A:B,2,FALSE),B764),PlayerValues!E:E,0)),"N/A")</f>
        <v>13132</v>
      </c>
      <c r="B764" s="4" t="s">
        <v>598</v>
      </c>
      <c r="C764" s="4" t="s">
        <v>278</v>
      </c>
      <c r="D764" s="94">
        <v>2079.0</v>
      </c>
    </row>
    <row r="765">
      <c r="A765" s="40">
        <f t="array" ref="A765">IFNA(index(PlayerValues!A:A,match(IFNA(vlookup(B765,'Special Names'!A:B,2,FALSE),B765),PlayerValues!E:E,0)),"N/A")</f>
        <v>16432</v>
      </c>
      <c r="B765" s="4" t="s">
        <v>620</v>
      </c>
      <c r="C765" s="4" t="s">
        <v>278</v>
      </c>
      <c r="D765" s="94">
        <v>2074.0</v>
      </c>
    </row>
    <row r="766">
      <c r="A766" s="40">
        <f t="array" ref="A766">IFNA(index(PlayerValues!A:A,match(IFNA(vlookup(B766,'Special Names'!A:B,2,FALSE),B766),PlayerValues!E:E,0)),"N/A")</f>
        <v>17056</v>
      </c>
      <c r="B766" s="4" t="s">
        <v>581</v>
      </c>
      <c r="C766" s="4" t="s">
        <v>278</v>
      </c>
      <c r="D766" s="94">
        <v>2072.0</v>
      </c>
    </row>
    <row r="767">
      <c r="A767" s="40">
        <f t="array" ref="A767">IFNA(index(PlayerValues!A:A,match(IFNA(vlookup(B767,'Special Names'!A:B,2,FALSE),B767),PlayerValues!E:E,0)),"N/A")</f>
        <v>15238</v>
      </c>
      <c r="B767" s="4" t="s">
        <v>613</v>
      </c>
      <c r="C767" s="4" t="s">
        <v>283</v>
      </c>
      <c r="D767" s="94">
        <v>2070.0</v>
      </c>
    </row>
    <row r="768">
      <c r="A768" s="40">
        <f t="array" ref="A768">IFNA(index(PlayerValues!A:A,match(IFNA(vlookup(B768,'Special Names'!A:B,2,FALSE),B768),PlayerValues!E:E,0)),"N/A")</f>
        <v>16643</v>
      </c>
      <c r="B768" s="4" t="s">
        <v>609</v>
      </c>
      <c r="C768" s="4" t="s">
        <v>298</v>
      </c>
      <c r="D768" s="94">
        <v>2454.0</v>
      </c>
    </row>
    <row r="769">
      <c r="A769" s="40">
        <f t="array" ref="A769">IFNA(index(PlayerValues!A:A,match(IFNA(vlookup(B769,'Special Names'!A:B,2,FALSE),B769),PlayerValues!E:E,0)),"N/A")</f>
        <v>15293</v>
      </c>
      <c r="B769" s="4" t="s">
        <v>578</v>
      </c>
      <c r="C769" s="4" t="s">
        <v>287</v>
      </c>
      <c r="D769" s="94">
        <v>2062.0</v>
      </c>
    </row>
    <row r="770">
      <c r="A770" s="40">
        <f t="array" ref="A770">IFNA(index(PlayerValues!A:A,match(IFNA(vlookup(B770,'Special Names'!A:B,2,FALSE),B770),PlayerValues!E:E,0)),"N/A")</f>
        <v>17060</v>
      </c>
      <c r="B770" s="4" t="s">
        <v>603</v>
      </c>
      <c r="C770" s="4" t="s">
        <v>278</v>
      </c>
      <c r="D770" s="94">
        <v>2046.0</v>
      </c>
    </row>
    <row r="771">
      <c r="A771" s="40">
        <f t="array" ref="A771">IFNA(index(PlayerValues!A:A,match(IFNA(vlookup(B771,'Special Names'!A:B,2,FALSE),B771),PlayerValues!E:E,0)),"N/A")</f>
        <v>17069</v>
      </c>
      <c r="B771" s="4" t="s">
        <v>604</v>
      </c>
      <c r="C771" s="4" t="s">
        <v>278</v>
      </c>
      <c r="D771" s="94">
        <v>2038.0</v>
      </c>
    </row>
    <row r="772">
      <c r="A772" s="40">
        <f t="array" ref="A772">IFNA(index(PlayerValues!A:A,match(IFNA(vlookup(B772,'Special Names'!A:B,2,FALSE),B772),PlayerValues!E:E,0)),"N/A")</f>
        <v>17061</v>
      </c>
      <c r="B772" s="4" t="s">
        <v>580</v>
      </c>
      <c r="C772" s="4" t="s">
        <v>278</v>
      </c>
      <c r="D772" s="94">
        <v>2033.0</v>
      </c>
    </row>
    <row r="773">
      <c r="A773" s="40">
        <f t="array" ref="A773">IFNA(index(PlayerValues!A:A,match(IFNA(vlookup(B773,'Special Names'!A:B,2,FALSE),B773),PlayerValues!E:E,0)),"N/A")</f>
        <v>12801</v>
      </c>
      <c r="B773" s="4" t="s">
        <v>722</v>
      </c>
      <c r="C773" s="4" t="s">
        <v>287</v>
      </c>
      <c r="D773" s="94">
        <v>2025.0</v>
      </c>
    </row>
    <row r="774">
      <c r="A774" s="40">
        <f t="array" ref="A774">IFNA(index(PlayerValues!A:A,match(IFNA(vlookup(B774,'Special Names'!A:B,2,FALSE),B774),PlayerValues!E:E,0)),"N/A")</f>
        <v>16342</v>
      </c>
      <c r="B774" s="4" t="s">
        <v>583</v>
      </c>
      <c r="C774" s="4" t="s">
        <v>287</v>
      </c>
      <c r="D774" s="94">
        <v>2018.0</v>
      </c>
    </row>
    <row r="775">
      <c r="A775" s="40">
        <f t="array" ref="A775">IFNA(index(PlayerValues!A:A,match(IFNA(vlookup(B775,'Special Names'!A:B,2,FALSE),B775),PlayerValues!E:E,0)),"N/A")</f>
        <v>17087</v>
      </c>
      <c r="B775" s="4" t="s">
        <v>600</v>
      </c>
      <c r="C775" s="4" t="s">
        <v>287</v>
      </c>
      <c r="D775" s="94">
        <v>2016.0</v>
      </c>
    </row>
    <row r="776">
      <c r="A776" s="40">
        <f t="array" ref="A776">IFNA(index(PlayerValues!A:A,match(IFNA(vlookup(B776,'Special Names'!A:B,2,FALSE),B776),PlayerValues!E:E,0)),"N/A")</f>
        <v>17076</v>
      </c>
      <c r="B776" s="4" t="s">
        <v>585</v>
      </c>
      <c r="C776" s="4" t="s">
        <v>287</v>
      </c>
      <c r="D776" s="94">
        <v>2004.0</v>
      </c>
    </row>
    <row r="777">
      <c r="A777" s="40" t="str">
        <f t="array" ref="A777">IFNA(index(PlayerValues!A:A,match(IFNA(vlookup(B777,'Special Names'!A:B,2,FALSE),B777),PlayerValues!E:E,0)),"N/A")</f>
        <v>N/A</v>
      </c>
      <c r="B777" s="4" t="s">
        <v>114</v>
      </c>
      <c r="C777" s="4" t="s">
        <v>325</v>
      </c>
      <c r="D777" s="94">
        <v>1992.0</v>
      </c>
    </row>
    <row r="778">
      <c r="A778" s="40">
        <f t="array" ref="A778">IFNA(index(PlayerValues!A:A,match(IFNA(vlookup(B778,'Special Names'!A:B,2,FALSE),B778),PlayerValues!E:E,0)),"N/A")</f>
        <v>13633</v>
      </c>
      <c r="B778" s="4" t="s">
        <v>625</v>
      </c>
      <c r="C778" s="4" t="s">
        <v>287</v>
      </c>
      <c r="D778" s="94">
        <v>1987.0</v>
      </c>
    </row>
    <row r="779">
      <c r="A779" s="40">
        <f t="array" ref="A779">IFNA(index(PlayerValues!A:A,match(IFNA(vlookup(B779,'Special Names'!A:B,2,FALSE),B779),PlayerValues!E:E,0)),"N/A")</f>
        <v>10700</v>
      </c>
      <c r="B779" s="4" t="s">
        <v>596</v>
      </c>
      <c r="C779" s="4" t="s">
        <v>283</v>
      </c>
      <c r="D779" s="94">
        <v>1978.0</v>
      </c>
    </row>
    <row r="780">
      <c r="A780" s="40">
        <f t="array" ref="A780">IFNA(index(PlayerValues!A:A,match(IFNA(vlookup(B780,'Special Names'!A:B,2,FALSE),B780),PlayerValues!E:E,0)),"N/A")</f>
        <v>16603</v>
      </c>
      <c r="B780" s="4" t="s">
        <v>587</v>
      </c>
      <c r="C780" s="4" t="s">
        <v>278</v>
      </c>
      <c r="D780" s="94">
        <v>1974.0</v>
      </c>
    </row>
    <row r="781">
      <c r="A781" s="40">
        <f t="array" ref="A781">IFNA(index(PlayerValues!A:A,match(IFNA(vlookup(B781,'Special Names'!A:B,2,FALSE),B781),PlayerValues!E:E,0)),"N/A")</f>
        <v>14867</v>
      </c>
      <c r="B781" s="4" t="s">
        <v>591</v>
      </c>
      <c r="C781" s="4" t="s">
        <v>298</v>
      </c>
      <c r="D781" s="94">
        <v>2361.0</v>
      </c>
    </row>
    <row r="782">
      <c r="A782" s="40">
        <f t="array" ref="A782">IFNA(index(PlayerValues!A:A,match(IFNA(vlookup(B782,'Special Names'!A:B,2,FALSE),B782),PlayerValues!E:E,0)),"N/A")</f>
        <v>17036</v>
      </c>
      <c r="B782" s="4" t="s">
        <v>617</v>
      </c>
      <c r="C782" s="4" t="s">
        <v>283</v>
      </c>
      <c r="D782" s="94">
        <v>1970.0</v>
      </c>
    </row>
    <row r="783">
      <c r="A783" s="40">
        <f t="array" ref="A783">IFNA(index(PlayerValues!A:A,match(IFNA(vlookup(B783,'Special Names'!A:B,2,FALSE),B783),PlayerValues!E:E,0)),"N/A")</f>
        <v>17184</v>
      </c>
      <c r="B783" s="4" t="s">
        <v>588</v>
      </c>
      <c r="C783" s="4" t="s">
        <v>287</v>
      </c>
      <c r="D783" s="94">
        <v>1953.0</v>
      </c>
    </row>
    <row r="784">
      <c r="A784" s="40">
        <f t="array" ref="A784">IFNA(index(PlayerValues!A:A,match(IFNA(vlookup(B784,'Special Names'!A:B,2,FALSE),B784),PlayerValues!E:E,0)),"N/A")</f>
        <v>16639</v>
      </c>
      <c r="B784" s="4" t="s">
        <v>599</v>
      </c>
      <c r="C784" s="4" t="s">
        <v>287</v>
      </c>
      <c r="D784" s="94">
        <v>1944.0</v>
      </c>
    </row>
    <row r="785">
      <c r="A785" s="40">
        <f t="array" ref="A785">IFNA(index(PlayerValues!A:A,match(IFNA(vlookup(B785,'Special Names'!A:B,2,FALSE),B785),PlayerValues!E:E,0)),"N/A")</f>
        <v>16604</v>
      </c>
      <c r="B785" s="4" t="s">
        <v>476</v>
      </c>
      <c r="C785" s="4" t="s">
        <v>278</v>
      </c>
      <c r="D785" s="94">
        <v>1935.0</v>
      </c>
    </row>
    <row r="786">
      <c r="A786" s="40" t="str">
        <f t="array" ref="A786">IFNA(index(PlayerValues!A:A,match(IFNA(vlookup(B786,'Special Names'!A:B,2,FALSE),B786),PlayerValues!E:E,0)),"N/A")</f>
        <v>N/A</v>
      </c>
      <c r="B786" s="4" t="s">
        <v>101</v>
      </c>
      <c r="C786" s="4" t="s">
        <v>325</v>
      </c>
      <c r="D786" s="94">
        <v>1920.0</v>
      </c>
    </row>
    <row r="787">
      <c r="A787" s="40">
        <f t="array" ref="A787">IFNA(index(PlayerValues!A:A,match(IFNA(vlookup(B787,'Special Names'!A:B,2,FALSE),B787),PlayerValues!E:E,0)),"N/A")</f>
        <v>7836</v>
      </c>
      <c r="B787" s="4" t="s">
        <v>590</v>
      </c>
      <c r="C787" s="4" t="s">
        <v>283</v>
      </c>
      <c r="D787" s="94">
        <v>1889.0</v>
      </c>
    </row>
    <row r="788">
      <c r="A788" s="40">
        <f t="array" ref="A788">IFNA(index(PlayerValues!A:A,match(IFNA(vlookup(B788,'Special Names'!A:B,2,FALSE),B788),PlayerValues!E:E,0)),"N/A")</f>
        <v>13189</v>
      </c>
      <c r="B788" s="4" t="s">
        <v>626</v>
      </c>
      <c r="C788" s="4" t="s">
        <v>298</v>
      </c>
      <c r="D788" s="94">
        <v>2260.0</v>
      </c>
    </row>
    <row r="789">
      <c r="A789" s="40">
        <f t="array" ref="A789">IFNA(index(PlayerValues!A:A,match(IFNA(vlookup(B789,'Special Names'!A:B,2,FALSE),B789),PlayerValues!E:E,0)),"N/A")</f>
        <v>13629</v>
      </c>
      <c r="B789" s="4" t="s">
        <v>619</v>
      </c>
      <c r="C789" s="4" t="s">
        <v>287</v>
      </c>
      <c r="D789" s="94">
        <v>1868.0</v>
      </c>
    </row>
    <row r="790">
      <c r="A790" s="40">
        <f t="array" ref="A790">IFNA(index(PlayerValues!A:A,match(IFNA(vlookup(B790,'Special Names'!A:B,2,FALSE),B790),PlayerValues!E:E,0)),"N/A")</f>
        <v>14871</v>
      </c>
      <c r="B790" s="4" t="s">
        <v>584</v>
      </c>
      <c r="C790" s="4" t="s">
        <v>298</v>
      </c>
      <c r="D790" s="94">
        <v>2248.0</v>
      </c>
    </row>
    <row r="791">
      <c r="A791" s="40">
        <f t="array" ref="A791">IFNA(index(PlayerValues!A:A,match(IFNA(vlookup(B791,'Special Names'!A:B,2,FALSE),B791),PlayerValues!E:E,0)),"N/A")</f>
        <v>16191</v>
      </c>
      <c r="B791" s="4" t="s">
        <v>666</v>
      </c>
      <c r="C791" s="4" t="s">
        <v>287</v>
      </c>
      <c r="D791" s="94">
        <v>1860.0</v>
      </c>
    </row>
    <row r="792">
      <c r="A792" s="40">
        <f t="array" ref="A792">IFNA(index(PlayerValues!A:A,match(IFNA(vlookup(B792,'Special Names'!A:B,2,FALSE),B792),PlayerValues!E:E,0)),"N/A")</f>
        <v>17086</v>
      </c>
      <c r="B792" s="4" t="s">
        <v>612</v>
      </c>
      <c r="C792" s="4" t="s">
        <v>287</v>
      </c>
      <c r="D792" s="94">
        <v>1859.0</v>
      </c>
    </row>
    <row r="793">
      <c r="A793" s="40">
        <f t="array" ref="A793">IFNA(index(PlayerValues!A:A,match(IFNA(vlookup(B793,'Special Names'!A:B,2,FALSE),B793),PlayerValues!E:E,0)),"N/A")</f>
        <v>17049</v>
      </c>
      <c r="B793" s="4" t="s">
        <v>624</v>
      </c>
      <c r="C793" s="4" t="s">
        <v>278</v>
      </c>
      <c r="D793" s="94">
        <v>1854.0</v>
      </c>
    </row>
    <row r="794">
      <c r="A794" s="40">
        <f t="array" ref="A794">IFNA(index(PlayerValues!A:A,match(IFNA(vlookup(B794,'Special Names'!A:B,2,FALSE),B794),PlayerValues!E:E,0)),"N/A")</f>
        <v>16171</v>
      </c>
      <c r="B794" s="4" t="s">
        <v>618</v>
      </c>
      <c r="C794" s="4" t="s">
        <v>278</v>
      </c>
      <c r="D794" s="94">
        <v>1853.0</v>
      </c>
    </row>
    <row r="795">
      <c r="A795" s="40">
        <f t="array" ref="A795">IFNA(index(PlayerValues!A:A,match(IFNA(vlookup(B795,'Special Names'!A:B,2,FALSE),B795),PlayerValues!E:E,0)),"N/A")</f>
        <v>16215</v>
      </c>
      <c r="B795" s="4" t="s">
        <v>637</v>
      </c>
      <c r="C795" s="4" t="s">
        <v>298</v>
      </c>
      <c r="D795" s="94">
        <v>2224.0</v>
      </c>
    </row>
    <row r="796">
      <c r="A796" s="40">
        <f t="array" ref="A796">IFNA(index(PlayerValues!A:A,match(IFNA(vlookup(B796,'Special Names'!A:B,2,FALSE),B796),PlayerValues!E:E,0)),"N/A")</f>
        <v>16752</v>
      </c>
      <c r="B796" s="4" t="s">
        <v>597</v>
      </c>
      <c r="C796" s="4" t="s">
        <v>278</v>
      </c>
      <c r="D796" s="94">
        <v>1842.0</v>
      </c>
    </row>
    <row r="797">
      <c r="A797" s="40">
        <f t="array" ref="A797">IFNA(index(PlayerValues!A:A,match(IFNA(vlookup(B797,'Special Names'!A:B,2,FALSE),B797),PlayerValues!E:E,0)),"N/A")</f>
        <v>15787</v>
      </c>
      <c r="B797" s="4" t="s">
        <v>610</v>
      </c>
      <c r="C797" s="4" t="s">
        <v>287</v>
      </c>
      <c r="D797" s="94">
        <v>1838.0</v>
      </c>
    </row>
    <row r="798">
      <c r="A798" s="40">
        <f t="array" ref="A798">IFNA(index(PlayerValues!A:A,match(IFNA(vlookup(B798,'Special Names'!A:B,2,FALSE),B798),PlayerValues!E:E,0)),"N/A")</f>
        <v>15797</v>
      </c>
      <c r="B798" s="4" t="s">
        <v>556</v>
      </c>
      <c r="C798" s="4" t="s">
        <v>298</v>
      </c>
      <c r="D798" s="94">
        <v>2206.0</v>
      </c>
    </row>
    <row r="799">
      <c r="A799" s="40">
        <f t="array" ref="A799">IFNA(index(PlayerValues!A:A,match(IFNA(vlookup(B799,'Special Names'!A:B,2,FALSE),B799),PlayerValues!E:E,0)),"N/A")</f>
        <v>16216</v>
      </c>
      <c r="B799" s="4" t="s">
        <v>595</v>
      </c>
      <c r="C799" s="4" t="s">
        <v>298</v>
      </c>
      <c r="D799" s="94">
        <v>2195.0</v>
      </c>
    </row>
    <row r="800">
      <c r="A800" s="40">
        <f t="array" ref="A800">IFNA(index(PlayerValues!A:A,match(IFNA(vlookup(B800,'Special Names'!A:B,2,FALSE),B800),PlayerValues!E:E,0)),"N/A")</f>
        <v>13146</v>
      </c>
      <c r="B800" s="4" t="s">
        <v>652</v>
      </c>
      <c r="C800" s="4" t="s">
        <v>278</v>
      </c>
      <c r="D800" s="94">
        <v>1806.0</v>
      </c>
    </row>
    <row r="801">
      <c r="A801" s="40">
        <f t="array" ref="A801">IFNA(index(PlayerValues!A:A,match(IFNA(vlookup(B801,'Special Names'!A:B,2,FALSE),B801),PlayerValues!E:E,0)),"N/A")</f>
        <v>15788</v>
      </c>
      <c r="B801" s="4" t="s">
        <v>627</v>
      </c>
      <c r="C801" s="4" t="s">
        <v>287</v>
      </c>
      <c r="D801" s="94">
        <v>1801.0</v>
      </c>
    </row>
    <row r="802">
      <c r="A802" s="40">
        <f t="array" ref="A802">IFNA(index(PlayerValues!A:A,match(IFNA(vlookup(B802,'Special Names'!A:B,2,FALSE),B802),PlayerValues!E:E,0)),"N/A")</f>
        <v>17034</v>
      </c>
      <c r="B802" s="4" t="s">
        <v>643</v>
      </c>
      <c r="C802" s="4" t="s">
        <v>283</v>
      </c>
      <c r="D802" s="94">
        <v>1801.0</v>
      </c>
    </row>
    <row r="803">
      <c r="A803" s="40">
        <f t="array" ref="A803">IFNA(index(PlayerValues!A:A,match(IFNA(vlookup(B803,'Special Names'!A:B,2,FALSE),B803),PlayerValues!E:E,0)),"N/A")</f>
        <v>17467</v>
      </c>
      <c r="B803" s="4" t="s">
        <v>575</v>
      </c>
      <c r="C803" s="4" t="s">
        <v>283</v>
      </c>
      <c r="D803" s="94">
        <v>1797.0</v>
      </c>
    </row>
    <row r="804">
      <c r="A804" s="40">
        <f t="array" ref="A804">IFNA(index(PlayerValues!A:A,match(IFNA(vlookup(B804,'Special Names'!A:B,2,FALSE),B804),PlayerValues!E:E,0)),"N/A")</f>
        <v>14143</v>
      </c>
      <c r="B804" s="4" t="s">
        <v>635</v>
      </c>
      <c r="C804" s="4" t="s">
        <v>298</v>
      </c>
      <c r="D804" s="94">
        <v>2159.0</v>
      </c>
    </row>
    <row r="805">
      <c r="A805" s="40">
        <f t="array" ref="A805">IFNA(index(PlayerValues!A:A,match(IFNA(vlookup(B805,'Special Names'!A:B,2,FALSE),B805),PlayerValues!E:E,0)),"N/A")</f>
        <v>16778</v>
      </c>
      <c r="B805" s="4" t="s">
        <v>577</v>
      </c>
      <c r="C805" s="4" t="s">
        <v>287</v>
      </c>
      <c r="D805" s="94">
        <v>1761.0</v>
      </c>
    </row>
    <row r="806">
      <c r="A806" s="40">
        <f t="array" ref="A806">IFNA(index(PlayerValues!A:A,match(IFNA(vlookup(B806,'Special Names'!A:B,2,FALSE),B806),PlayerValues!E:E,0)),"N/A")</f>
        <v>13164</v>
      </c>
      <c r="B806" s="4" t="s">
        <v>632</v>
      </c>
      <c r="C806" s="4" t="s">
        <v>287</v>
      </c>
      <c r="D806" s="94">
        <v>1753.0</v>
      </c>
    </row>
    <row r="807">
      <c r="A807" s="40">
        <f t="array" ref="A807">IFNA(index(PlayerValues!A:A,match(IFNA(vlookup(B807,'Special Names'!A:B,2,FALSE),B807),PlayerValues!E:E,0)),"N/A")</f>
        <v>17035</v>
      </c>
      <c r="B807" s="4" t="s">
        <v>650</v>
      </c>
      <c r="C807" s="4" t="s">
        <v>283</v>
      </c>
      <c r="D807" s="94">
        <v>1749.0</v>
      </c>
    </row>
    <row r="808">
      <c r="A808" s="40">
        <f t="array" ref="A808">IFNA(index(PlayerValues!A:A,match(IFNA(vlookup(B808,'Special Names'!A:B,2,FALSE),B808),PlayerValues!E:E,0)),"N/A")</f>
        <v>17481</v>
      </c>
      <c r="B808" s="4" t="s">
        <v>540</v>
      </c>
      <c r="C808" s="4" t="s">
        <v>278</v>
      </c>
      <c r="D808" s="94">
        <v>1749.0</v>
      </c>
    </row>
    <row r="809">
      <c r="A809" s="40">
        <f t="array" ref="A809">IFNA(index(PlayerValues!A:A,match(IFNA(vlookup(B809,'Special Names'!A:B,2,FALSE),B809),PlayerValues!E:E,0)),"N/A")</f>
        <v>16644</v>
      </c>
      <c r="B809" s="4" t="s">
        <v>640</v>
      </c>
      <c r="C809" s="4" t="s">
        <v>298</v>
      </c>
      <c r="D809" s="94">
        <v>2124.0</v>
      </c>
    </row>
    <row r="810">
      <c r="A810" s="40" t="str">
        <f t="array" ref="A810">IFNA(index(PlayerValues!A:A,match(IFNA(vlookup(B810,'Special Names'!A:B,2,FALSE),B810),PlayerValues!E:E,0)),"N/A")</f>
        <v>N/A</v>
      </c>
      <c r="B810" s="4" t="s">
        <v>102</v>
      </c>
      <c r="C810" s="4" t="s">
        <v>325</v>
      </c>
      <c r="D810" s="94">
        <v>1738.0</v>
      </c>
    </row>
    <row r="811">
      <c r="A811" s="40">
        <f t="array" ref="A811">IFNA(index(PlayerValues!A:A,match(IFNA(vlookup(B811,'Special Names'!A:B,2,FALSE),B811),PlayerValues!E:E,0)),"N/A")</f>
        <v>14105</v>
      </c>
      <c r="B811" s="4" t="s">
        <v>675</v>
      </c>
      <c r="C811" s="4" t="s">
        <v>287</v>
      </c>
      <c r="D811" s="94">
        <v>1735.0</v>
      </c>
    </row>
    <row r="812">
      <c r="A812" s="40">
        <f t="array" ref="A812">IFNA(index(PlayerValues!A:A,match(IFNA(vlookup(B812,'Special Names'!A:B,2,FALSE),B812),PlayerValues!E:E,0)),"N/A")</f>
        <v>17528</v>
      </c>
      <c r="B812" s="4" t="s">
        <v>579</v>
      </c>
      <c r="C812" s="4" t="s">
        <v>287</v>
      </c>
      <c r="D812" s="94">
        <v>1731.0</v>
      </c>
    </row>
    <row r="813">
      <c r="A813" s="40">
        <f t="array" ref="A813">IFNA(index(PlayerValues!A:A,match(IFNA(vlookup(B813,'Special Names'!A:B,2,FALSE),B813),PlayerValues!E:E,0)),"N/A")</f>
        <v>17466</v>
      </c>
      <c r="B813" s="4" t="s">
        <v>492</v>
      </c>
      <c r="C813" s="4" t="s">
        <v>283</v>
      </c>
      <c r="D813" s="94">
        <v>1725.0</v>
      </c>
    </row>
    <row r="814">
      <c r="A814" s="40">
        <f t="array" ref="A814">IFNA(index(PlayerValues!A:A,match(IFNA(vlookup(B814,'Special Names'!A:B,2,FALSE),B814),PlayerValues!E:E,0)),"N/A")</f>
        <v>16635</v>
      </c>
      <c r="B814" s="4" t="s">
        <v>645</v>
      </c>
      <c r="C814" s="4" t="s">
        <v>287</v>
      </c>
      <c r="D814" s="94">
        <v>1710.0</v>
      </c>
    </row>
    <row r="815">
      <c r="A815" s="40">
        <f t="array" ref="A815">IFNA(index(PlayerValues!A:A,match(IFNA(vlookup(B815,'Special Names'!A:B,2,FALSE),B815),PlayerValues!E:E,0)),"N/A")</f>
        <v>16201</v>
      </c>
      <c r="B815" s="4" t="s">
        <v>589</v>
      </c>
      <c r="C815" s="4" t="s">
        <v>287</v>
      </c>
      <c r="D815" s="94">
        <v>1709.0</v>
      </c>
    </row>
    <row r="816">
      <c r="A816" s="40">
        <f t="array" ref="A816">IFNA(index(PlayerValues!A:A,match(IFNA(vlookup(B816,'Special Names'!A:B,2,FALSE),B816),PlayerValues!E:E,0)),"N/A")</f>
        <v>16585</v>
      </c>
      <c r="B816" s="4" t="s">
        <v>623</v>
      </c>
      <c r="C816" s="4" t="s">
        <v>283</v>
      </c>
      <c r="D816" s="94">
        <v>1707.0</v>
      </c>
    </row>
    <row r="817">
      <c r="A817" s="40" t="str">
        <f t="array" ref="A817">IFNA(index(PlayerValues!A:A,match(IFNA(vlookup(B817,'Special Names'!A:B,2,FALSE),B817),PlayerValues!E:E,0)),"N/A")</f>
        <v>N/A</v>
      </c>
      <c r="B817" s="4" t="s">
        <v>89</v>
      </c>
      <c r="C817" s="4" t="s">
        <v>325</v>
      </c>
      <c r="D817" s="94">
        <v>1705.0</v>
      </c>
    </row>
    <row r="818">
      <c r="A818" s="40">
        <f t="array" ref="A818">IFNA(index(PlayerValues!A:A,match(IFNA(vlookup(B818,'Special Names'!A:B,2,FALSE),B818),PlayerValues!E:E,0)),"N/A")</f>
        <v>17096</v>
      </c>
      <c r="B818" s="4" t="s">
        <v>638</v>
      </c>
      <c r="C818" s="4" t="s">
        <v>287</v>
      </c>
      <c r="D818" s="94">
        <v>1693.0</v>
      </c>
    </row>
    <row r="819">
      <c r="A819" s="40">
        <f t="array" ref="A819">IFNA(index(PlayerValues!A:A,match(IFNA(vlookup(B819,'Special Names'!A:B,2,FALSE),B819),PlayerValues!E:E,0)),"N/A")</f>
        <v>17465</v>
      </c>
      <c r="B819" s="4" t="s">
        <v>649</v>
      </c>
      <c r="C819" s="4" t="s">
        <v>283</v>
      </c>
      <c r="D819" s="94">
        <v>1693.0</v>
      </c>
    </row>
    <row r="820">
      <c r="A820" s="40" t="str">
        <f t="array" ref="A820">IFNA(index(PlayerValues!A:A,match(IFNA(vlookup(B820,'Special Names'!A:B,2,FALSE),B820),PlayerValues!E:E,0)),"N/A")</f>
        <v>N/A</v>
      </c>
      <c r="B820" s="4" t="s">
        <v>103</v>
      </c>
      <c r="C820" s="4" t="s">
        <v>325</v>
      </c>
      <c r="D820" s="94">
        <v>1691.0</v>
      </c>
    </row>
    <row r="821">
      <c r="A821" s="40">
        <f t="array" ref="A821">IFNA(index(PlayerValues!A:A,match(IFNA(vlookup(B821,'Special Names'!A:B,2,FALSE),B821),PlayerValues!E:E,0)),"N/A")</f>
        <v>15755</v>
      </c>
      <c r="B821" s="4" t="s">
        <v>628</v>
      </c>
      <c r="C821" s="4" t="s">
        <v>287</v>
      </c>
      <c r="D821" s="94">
        <v>1687.0</v>
      </c>
    </row>
    <row r="822">
      <c r="A822" s="40">
        <f t="array" ref="A822">IFNA(index(PlayerValues!A:A,match(IFNA(vlookup(B822,'Special Names'!A:B,2,FALSE),B822),PlayerValues!E:E,0)),"N/A")</f>
        <v>15254</v>
      </c>
      <c r="B822" s="4" t="s">
        <v>633</v>
      </c>
      <c r="C822" s="4" t="s">
        <v>278</v>
      </c>
      <c r="D822" s="94">
        <v>1685.0</v>
      </c>
    </row>
    <row r="823">
      <c r="A823" s="40">
        <f t="array" ref="A823">IFNA(index(PlayerValues!A:A,match(IFNA(vlookup(B823,'Special Names'!A:B,2,FALSE),B823),PlayerValues!E:E,0)),"N/A")</f>
        <v>17064</v>
      </c>
      <c r="B823" s="4" t="s">
        <v>631</v>
      </c>
      <c r="C823" s="4" t="s">
        <v>278</v>
      </c>
      <c r="D823" s="94">
        <v>1668.0</v>
      </c>
    </row>
    <row r="824">
      <c r="A824" s="40">
        <f t="array" ref="A824">IFNA(index(PlayerValues!A:A,match(IFNA(vlookup(B824,'Special Names'!A:B,2,FALSE),B824),PlayerValues!E:E,0)),"N/A")</f>
        <v>16601</v>
      </c>
      <c r="B824" s="4" t="s">
        <v>648</v>
      </c>
      <c r="C824" s="4" t="s">
        <v>278</v>
      </c>
      <c r="D824" s="94">
        <v>1658.0</v>
      </c>
    </row>
    <row r="825">
      <c r="A825" s="40">
        <f t="array" ref="A825">IFNA(index(PlayerValues!A:A,match(IFNA(vlookup(B825,'Special Names'!A:B,2,FALSE),B825),PlayerValues!E:E,0)),"N/A")</f>
        <v>17058</v>
      </c>
      <c r="B825" s="4" t="s">
        <v>641</v>
      </c>
      <c r="C825" s="4" t="s">
        <v>278</v>
      </c>
      <c r="D825" s="94">
        <v>1655.0</v>
      </c>
    </row>
    <row r="826">
      <c r="A826" s="40">
        <f t="array" ref="A826">IFNA(index(PlayerValues!A:A,match(IFNA(vlookup(B826,'Special Names'!A:B,2,FALSE),B826),PlayerValues!E:E,0)),"N/A")</f>
        <v>16586</v>
      </c>
      <c r="B826" s="4" t="s">
        <v>658</v>
      </c>
      <c r="C826" s="4" t="s">
        <v>283</v>
      </c>
      <c r="D826" s="94">
        <v>1653.0</v>
      </c>
    </row>
    <row r="827">
      <c r="A827" s="40">
        <f t="array" ref="A827">IFNA(index(PlayerValues!A:A,match(IFNA(vlookup(B827,'Special Names'!A:B,2,FALSE),B827),PlayerValues!E:E,0)),"N/A")</f>
        <v>16207</v>
      </c>
      <c r="B827" s="4" t="s">
        <v>636</v>
      </c>
      <c r="C827" s="4" t="s">
        <v>287</v>
      </c>
      <c r="D827" s="94">
        <v>1643.0</v>
      </c>
    </row>
    <row r="828">
      <c r="A828" s="40">
        <f t="array" ref="A828">IFNA(index(PlayerValues!A:A,match(IFNA(vlookup(B828,'Special Names'!A:B,2,FALSE),B828),PlayerValues!E:E,0)),"N/A")</f>
        <v>15301</v>
      </c>
      <c r="B828" s="4" t="s">
        <v>657</v>
      </c>
      <c r="C828" s="4" t="s">
        <v>287</v>
      </c>
      <c r="D828" s="94">
        <v>1624.0</v>
      </c>
    </row>
    <row r="829">
      <c r="A829" s="40" t="str">
        <f t="array" ref="A829">IFNA(index(PlayerValues!A:A,match(IFNA(vlookup(B829,'Special Names'!A:B,2,FALSE),B829),PlayerValues!E:E,0)),"N/A")</f>
        <v>N/A</v>
      </c>
      <c r="B829" s="4" t="s">
        <v>115</v>
      </c>
      <c r="C829" s="4" t="s">
        <v>325</v>
      </c>
      <c r="D829" s="94">
        <v>1615.0</v>
      </c>
    </row>
    <row r="830">
      <c r="A830" s="40">
        <f t="array" ref="A830">IFNA(index(PlayerValues!A:A,match(IFNA(vlookup(B830,'Special Names'!A:B,2,FALSE),B830),PlayerValues!E:E,0)),"N/A")</f>
        <v>16629</v>
      </c>
      <c r="B830" s="4" t="s">
        <v>605</v>
      </c>
      <c r="C830" s="4" t="s">
        <v>287</v>
      </c>
      <c r="D830" s="94">
        <v>1613.0</v>
      </c>
    </row>
    <row r="831">
      <c r="A831" s="40">
        <f t="array" ref="A831">IFNA(index(PlayerValues!A:A,match(IFNA(vlookup(B831,'Special Names'!A:B,2,FALSE),B831),PlayerValues!E:E,0)),"N/A")</f>
        <v>15319</v>
      </c>
      <c r="B831" s="4" t="s">
        <v>644</v>
      </c>
      <c r="C831" s="4" t="s">
        <v>287</v>
      </c>
      <c r="D831" s="94">
        <v>1610.0</v>
      </c>
    </row>
    <row r="832">
      <c r="A832" s="40" t="str">
        <f t="array" ref="A832">IFNA(index(PlayerValues!A:A,match(IFNA(vlookup(B832,'Special Names'!A:B,2,FALSE),B832),PlayerValues!E:E,0)),"N/A")</f>
        <v>N/A</v>
      </c>
      <c r="B832" s="4" t="s">
        <v>90</v>
      </c>
      <c r="C832" s="4" t="s">
        <v>325</v>
      </c>
      <c r="D832" s="94">
        <v>1600.0</v>
      </c>
    </row>
    <row r="833">
      <c r="A833" s="40">
        <f t="array" ref="A833">IFNA(index(PlayerValues!A:A,match(IFNA(vlookup(B833,'Special Names'!A:B,2,FALSE),B833),PlayerValues!E:E,0)),"N/A")</f>
        <v>16688</v>
      </c>
      <c r="B833" s="4" t="s">
        <v>688</v>
      </c>
      <c r="C833" s="4" t="s">
        <v>278</v>
      </c>
      <c r="D833" s="94">
        <v>1592.0</v>
      </c>
    </row>
    <row r="834">
      <c r="A834" s="40">
        <f t="array" ref="A834">IFNA(index(PlayerValues!A:A,match(IFNA(vlookup(B834,'Special Names'!A:B,2,FALSE),B834),PlayerValues!E:E,0)),"N/A")</f>
        <v>15713</v>
      </c>
      <c r="B834" s="4" t="s">
        <v>732</v>
      </c>
      <c r="C834" s="4" t="s">
        <v>278</v>
      </c>
      <c r="D834" s="94">
        <v>1568.0</v>
      </c>
    </row>
    <row r="835">
      <c r="A835" s="40">
        <f t="array" ref="A835">IFNA(index(PlayerValues!A:A,match(IFNA(vlookup(B835,'Special Names'!A:B,2,FALSE),B835),PlayerValues!E:E,0)),"N/A")</f>
        <v>16595</v>
      </c>
      <c r="B835" s="4" t="s">
        <v>664</v>
      </c>
      <c r="C835" s="4" t="s">
        <v>278</v>
      </c>
      <c r="D835" s="94">
        <v>1565.0</v>
      </c>
    </row>
    <row r="836">
      <c r="A836" s="40">
        <f t="array" ref="A836">IFNA(index(PlayerValues!A:A,match(IFNA(vlookup(B836,'Special Names'!A:B,2,FALSE),B836),PlayerValues!E:E,0)),"N/A")</f>
        <v>17205</v>
      </c>
      <c r="B836" s="4" t="s">
        <v>665</v>
      </c>
      <c r="C836" s="4" t="s">
        <v>287</v>
      </c>
      <c r="D836" s="94">
        <v>1564.0</v>
      </c>
    </row>
    <row r="837">
      <c r="A837" s="40">
        <f t="array" ref="A837">IFNA(index(PlayerValues!A:A,match(IFNA(vlookup(B837,'Special Names'!A:B,2,FALSE),B837),PlayerValues!E:E,0)),"N/A")</f>
        <v>16633</v>
      </c>
      <c r="B837" s="4" t="s">
        <v>656</v>
      </c>
      <c r="C837" s="4" t="s">
        <v>287</v>
      </c>
      <c r="D837" s="94">
        <v>1563.0</v>
      </c>
    </row>
    <row r="838">
      <c r="A838" s="40" t="str">
        <f t="array" ref="A838">IFNA(index(PlayerValues!A:A,match(IFNA(vlookup(B838,'Special Names'!A:B,2,FALSE),B838),PlayerValues!E:E,0)),"N/A")</f>
        <v>N/A</v>
      </c>
      <c r="B838" s="4" t="s">
        <v>116</v>
      </c>
      <c r="C838" s="4" t="s">
        <v>325</v>
      </c>
      <c r="D838" s="94">
        <v>1563.0</v>
      </c>
    </row>
    <row r="839">
      <c r="A839" s="40">
        <f t="array" ref="A839">IFNA(index(PlayerValues!A:A,match(IFNA(vlookup(B839,'Special Names'!A:B,2,FALSE),B839),PlayerValues!E:E,0)),"N/A")</f>
        <v>14122</v>
      </c>
      <c r="B839" s="4" t="s">
        <v>663</v>
      </c>
      <c r="C839" s="4" t="s">
        <v>287</v>
      </c>
      <c r="D839" s="94">
        <v>1556.0</v>
      </c>
    </row>
    <row r="840">
      <c r="A840" s="40">
        <f t="array" ref="A840">IFNA(index(PlayerValues!A:A,match(IFNA(vlookup(B840,'Special Names'!A:B,2,FALSE),B840),PlayerValues!E:E,0)),"N/A")</f>
        <v>17548</v>
      </c>
      <c r="B840" s="4" t="s">
        <v>594</v>
      </c>
      <c r="C840" s="4" t="s">
        <v>298</v>
      </c>
      <c r="D840" s="94">
        <v>1930.0</v>
      </c>
    </row>
    <row r="841">
      <c r="A841" s="40">
        <f t="array" ref="A841">IFNA(index(PlayerValues!A:A,match(IFNA(vlookup(B841,'Special Names'!A:B,2,FALSE),B841),PlayerValues!E:E,0)),"N/A")</f>
        <v>17234</v>
      </c>
      <c r="B841" s="4" t="s">
        <v>653</v>
      </c>
      <c r="C841" s="4" t="s">
        <v>287</v>
      </c>
      <c r="D841" s="94">
        <v>1548.0</v>
      </c>
    </row>
    <row r="842">
      <c r="A842" s="40">
        <f t="array" ref="A842">IFNA(index(PlayerValues!A:A,match(IFNA(vlookup(B842,'Special Names'!A:B,2,FALSE),B842),PlayerValues!E:E,0)),"N/A")</f>
        <v>15337</v>
      </c>
      <c r="B842" s="4" t="s">
        <v>655</v>
      </c>
      <c r="C842" s="4" t="s">
        <v>298</v>
      </c>
      <c r="D842" s="94">
        <v>1914.0</v>
      </c>
    </row>
    <row r="843">
      <c r="A843" s="40">
        <f t="array" ref="A843">IFNA(index(PlayerValues!A:A,match(IFNA(vlookup(B843,'Special Names'!A:B,2,FALSE),B843),PlayerValues!E:E,0)),"N/A")</f>
        <v>17468</v>
      </c>
      <c r="B843" s="4" t="s">
        <v>514</v>
      </c>
      <c r="C843" s="4" t="s">
        <v>283</v>
      </c>
      <c r="D843" s="94">
        <v>1536.0</v>
      </c>
    </row>
    <row r="844">
      <c r="A844" s="40">
        <f t="array" ref="A844">IFNA(index(PlayerValues!A:A,match(IFNA(vlookup(B844,'Special Names'!A:B,2,FALSE),B844),PlayerValues!E:E,0)),"N/A")</f>
        <v>16175</v>
      </c>
      <c r="B844" s="4" t="s">
        <v>654</v>
      </c>
      <c r="C844" s="4" t="s">
        <v>278</v>
      </c>
      <c r="D844" s="94">
        <v>1513.0</v>
      </c>
    </row>
    <row r="845">
      <c r="A845" s="40">
        <f t="array" ref="A845">IFNA(index(PlayerValues!A:A,match(IFNA(vlookup(B845,'Special Names'!A:B,2,FALSE),B845),PlayerValues!E:E,0)),"N/A")</f>
        <v>15752</v>
      </c>
      <c r="B845" s="4" t="s">
        <v>647</v>
      </c>
      <c r="C845" s="4" t="s">
        <v>287</v>
      </c>
      <c r="D845" s="94">
        <v>1511.0</v>
      </c>
    </row>
    <row r="846">
      <c r="A846" s="40">
        <f t="array" ref="A846">IFNA(index(PlayerValues!A:A,match(IFNA(vlookup(B846,'Special Names'!A:B,2,FALSE),B846),PlayerValues!E:E,0)),"N/A")</f>
        <v>15759</v>
      </c>
      <c r="B846" s="4" t="s">
        <v>662</v>
      </c>
      <c r="C846" s="4" t="s">
        <v>287</v>
      </c>
      <c r="D846" s="94">
        <v>1509.0</v>
      </c>
    </row>
    <row r="847">
      <c r="A847" s="40" t="str">
        <f t="array" ref="A847">IFNA(index(PlayerValues!A:A,match(IFNA(vlookup(B847,'Special Names'!A:B,2,FALSE),B847),PlayerValues!E:E,0)),"N/A")</f>
        <v>N/A</v>
      </c>
      <c r="B847" s="4" t="s">
        <v>91</v>
      </c>
      <c r="C847" s="4" t="s">
        <v>325</v>
      </c>
      <c r="D847" s="94">
        <v>1509.0</v>
      </c>
    </row>
    <row r="848">
      <c r="A848" s="40">
        <f t="array" ref="A848">IFNA(index(PlayerValues!A:A,match(IFNA(vlookup(B848,'Special Names'!A:B,2,FALSE),B848),PlayerValues!E:E,0)),"N/A")</f>
        <v>16792</v>
      </c>
      <c r="B848" s="4" t="s">
        <v>704</v>
      </c>
      <c r="C848" s="4" t="s">
        <v>287</v>
      </c>
      <c r="D848" s="94">
        <v>1492.0</v>
      </c>
    </row>
    <row r="849">
      <c r="A849" s="40">
        <f t="array" ref="A849">IFNA(index(PlayerValues!A:A,match(IFNA(vlookup(B849,'Special Names'!A:B,2,FALSE),B849),PlayerValues!E:E,0)),"N/A")</f>
        <v>16631</v>
      </c>
      <c r="B849" s="4" t="s">
        <v>800</v>
      </c>
      <c r="C849" s="4" t="s">
        <v>287</v>
      </c>
      <c r="D849" s="94">
        <v>1469.0</v>
      </c>
    </row>
    <row r="850">
      <c r="A850" s="40">
        <f t="array" ref="A850">IFNA(index(PlayerValues!A:A,match(IFNA(vlookup(B850,'Special Names'!A:B,2,FALSE),B850),PlayerValues!E:E,0)),"N/A")</f>
        <v>16390</v>
      </c>
      <c r="B850" s="4" t="s">
        <v>689</v>
      </c>
      <c r="C850" s="4" t="s">
        <v>278</v>
      </c>
      <c r="D850" s="94">
        <v>1466.0</v>
      </c>
    </row>
    <row r="851">
      <c r="A851" s="40">
        <f t="array" ref="A851">IFNA(index(PlayerValues!A:A,match(IFNA(vlookup(B851,'Special Names'!A:B,2,FALSE),B851),PlayerValues!E:E,0)),"N/A")</f>
        <v>16788</v>
      </c>
      <c r="B851" s="4" t="s">
        <v>621</v>
      </c>
      <c r="C851" s="4" t="s">
        <v>287</v>
      </c>
      <c r="D851" s="94">
        <v>1463.0</v>
      </c>
    </row>
    <row r="852">
      <c r="A852" s="40">
        <f t="array" ref="A852">IFNA(index(PlayerValues!A:A,match(IFNA(vlookup(B852,'Special Names'!A:B,2,FALSE),B852),PlayerValues!E:E,0)),"N/A")</f>
        <v>17485</v>
      </c>
      <c r="B852" s="4" t="s">
        <v>522</v>
      </c>
      <c r="C852" s="4" t="s">
        <v>278</v>
      </c>
      <c r="D852" s="94">
        <v>1463.0</v>
      </c>
    </row>
    <row r="853">
      <c r="A853" s="40">
        <f t="array" ref="A853">IFNA(index(PlayerValues!A:A,match(IFNA(vlookup(B853,'Special Names'!A:B,2,FALSE),B853),PlayerValues!E:E,0)),"N/A")</f>
        <v>17054</v>
      </c>
      <c r="B853" s="4" t="s">
        <v>670</v>
      </c>
      <c r="C853" s="4" t="s">
        <v>278</v>
      </c>
      <c r="D853" s="94">
        <v>1458.0</v>
      </c>
    </row>
    <row r="854">
      <c r="A854" s="40">
        <f t="array" ref="A854">IFNA(index(PlayerValues!A:A,match(IFNA(vlookup(B854,'Special Names'!A:B,2,FALSE),B854),PlayerValues!E:E,0)),"N/A")</f>
        <v>15873</v>
      </c>
      <c r="B854" s="4" t="s">
        <v>681</v>
      </c>
      <c r="C854" s="4" t="s">
        <v>298</v>
      </c>
      <c r="D854" s="94">
        <v>1826.0</v>
      </c>
    </row>
    <row r="855">
      <c r="A855" s="40">
        <f t="array" ref="A855">IFNA(index(PlayerValues!A:A,match(IFNA(vlookup(B855,'Special Names'!A:B,2,FALSE),B855),PlayerValues!E:E,0)),"N/A")</f>
        <v>15777</v>
      </c>
      <c r="B855" s="4" t="s">
        <v>694</v>
      </c>
      <c r="C855" s="4" t="s">
        <v>287</v>
      </c>
      <c r="D855" s="94">
        <v>1448.0</v>
      </c>
    </row>
    <row r="856">
      <c r="A856" s="40">
        <f t="array" ref="A856">IFNA(index(PlayerValues!A:A,match(IFNA(vlookup(B856,'Special Names'!A:B,2,FALSE),B856),PlayerValues!E:E,0)),"N/A")</f>
        <v>16384</v>
      </c>
      <c r="B856" s="4" t="s">
        <v>696</v>
      </c>
      <c r="C856" s="4" t="s">
        <v>283</v>
      </c>
      <c r="D856" s="94">
        <v>1444.0</v>
      </c>
    </row>
    <row r="857">
      <c r="A857" s="40">
        <f t="array" ref="A857">IFNA(index(PlayerValues!A:A,match(IFNA(vlookup(B857,'Special Names'!A:B,2,FALSE),B857),PlayerValues!E:E,0)),"N/A")</f>
        <v>13672</v>
      </c>
      <c r="B857" s="4" t="s">
        <v>667</v>
      </c>
      <c r="C857" s="4" t="s">
        <v>298</v>
      </c>
      <c r="D857" s="94">
        <v>1806.0</v>
      </c>
    </row>
    <row r="858">
      <c r="A858" s="40">
        <f t="array" ref="A858">IFNA(index(PlayerValues!A:A,match(IFNA(vlookup(B858,'Special Names'!A:B,2,FALSE),B858),PlayerValues!E:E,0)),"N/A")</f>
        <v>16642</v>
      </c>
      <c r="B858" s="4" t="s">
        <v>691</v>
      </c>
      <c r="C858" s="4" t="s">
        <v>298</v>
      </c>
      <c r="D858" s="94">
        <v>1802.0</v>
      </c>
    </row>
    <row r="859">
      <c r="A859" s="40">
        <f t="array" ref="A859">IFNA(index(PlayerValues!A:A,match(IFNA(vlookup(B859,'Special Names'!A:B,2,FALSE),B859),PlayerValues!E:E,0)),"N/A")</f>
        <v>13418</v>
      </c>
      <c r="B859" s="4" t="s">
        <v>706</v>
      </c>
      <c r="C859" s="4" t="s">
        <v>287</v>
      </c>
      <c r="D859" s="94">
        <v>1425.0</v>
      </c>
    </row>
    <row r="860">
      <c r="A860" s="40">
        <f t="array" ref="A860">IFNA(index(PlayerValues!A:A,match(IFNA(vlookup(B860,'Special Names'!A:B,2,FALSE),B860),PlayerValues!E:E,0)),"N/A")</f>
        <v>17037</v>
      </c>
      <c r="B860" s="4" t="s">
        <v>727</v>
      </c>
      <c r="C860" s="4" t="s">
        <v>283</v>
      </c>
      <c r="D860" s="94">
        <v>1425.0</v>
      </c>
    </row>
    <row r="861">
      <c r="A861" s="40">
        <f t="array" ref="A861">IFNA(index(PlayerValues!A:A,match(IFNA(vlookup(B861,'Special Names'!A:B,2,FALSE),B861),PlayerValues!E:E,0)),"N/A")</f>
        <v>16621</v>
      </c>
      <c r="B861" s="4" t="s">
        <v>672</v>
      </c>
      <c r="C861" s="4" t="s">
        <v>287</v>
      </c>
      <c r="D861" s="94">
        <v>1407.0</v>
      </c>
    </row>
    <row r="862">
      <c r="A862" s="40">
        <f t="array" ref="A862">IFNA(index(PlayerValues!A:A,match(IFNA(vlookup(B862,'Special Names'!A:B,2,FALSE),B862),PlayerValues!E:E,0)),"N/A")</f>
        <v>15292</v>
      </c>
      <c r="B862" s="4" t="s">
        <v>682</v>
      </c>
      <c r="C862" s="4" t="s">
        <v>287</v>
      </c>
      <c r="D862" s="94">
        <v>1397.0</v>
      </c>
    </row>
    <row r="863">
      <c r="A863" s="40">
        <f t="array" ref="A863">IFNA(index(PlayerValues!A:A,match(IFNA(vlookup(B863,'Special Names'!A:B,2,FALSE),B863),PlayerValues!E:E,0)),"N/A")</f>
        <v>14137</v>
      </c>
      <c r="B863" s="4" t="s">
        <v>676</v>
      </c>
      <c r="C863" s="4" t="s">
        <v>298</v>
      </c>
      <c r="D863" s="94">
        <v>1757.0</v>
      </c>
    </row>
    <row r="864">
      <c r="A864" s="40">
        <f t="array" ref="A864">IFNA(index(PlayerValues!A:A,match(IFNA(vlookup(B864,'Special Names'!A:B,2,FALSE),B864),PlayerValues!E:E,0)),"N/A")</f>
        <v>12140</v>
      </c>
      <c r="B864" s="4" t="s">
        <v>702</v>
      </c>
      <c r="C864" s="4" t="s">
        <v>283</v>
      </c>
      <c r="D864" s="94">
        <v>1378.0</v>
      </c>
    </row>
    <row r="865">
      <c r="A865" s="40">
        <f t="array" ref="A865">IFNA(index(PlayerValues!A:A,match(IFNA(vlookup(B865,'Special Names'!A:B,2,FALSE),B865),PlayerValues!E:E,0)),"N/A")</f>
        <v>14086</v>
      </c>
      <c r="B865" s="4" t="s">
        <v>639</v>
      </c>
      <c r="C865" s="4" t="s">
        <v>278</v>
      </c>
      <c r="D865" s="94">
        <v>1370.0</v>
      </c>
    </row>
    <row r="866">
      <c r="A866" s="40">
        <f t="array" ref="A866">IFNA(index(PlayerValues!A:A,match(IFNA(vlookup(B866,'Special Names'!A:B,2,FALSE),B866),PlayerValues!E:E,0)),"N/A")</f>
        <v>11222</v>
      </c>
      <c r="B866" s="4" t="s">
        <v>622</v>
      </c>
      <c r="C866" s="4" t="s">
        <v>287</v>
      </c>
      <c r="D866" s="94">
        <v>1364.0</v>
      </c>
    </row>
    <row r="867">
      <c r="A867" s="40">
        <f t="array" ref="A867">IFNA(index(PlayerValues!A:A,match(IFNA(vlookup(B867,'Special Names'!A:B,2,FALSE),B867),PlayerValues!E:E,0)),"N/A")</f>
        <v>16149</v>
      </c>
      <c r="B867" s="4" t="s">
        <v>740</v>
      </c>
      <c r="C867" s="4" t="s">
        <v>283</v>
      </c>
      <c r="D867" s="94">
        <v>1364.0</v>
      </c>
    </row>
    <row r="868">
      <c r="A868" s="40">
        <f t="array" ref="A868">IFNA(index(PlayerValues!A:A,match(IFNA(vlookup(B868,'Special Names'!A:B,2,FALSE),B868),PlayerValues!E:E,0)),"N/A")</f>
        <v>15252</v>
      </c>
      <c r="B868" s="4" t="s">
        <v>715</v>
      </c>
      <c r="C868" s="4" t="s">
        <v>283</v>
      </c>
      <c r="D868" s="94">
        <v>1360.0</v>
      </c>
    </row>
    <row r="869">
      <c r="A869" s="40">
        <f t="array" ref="A869">IFNA(index(PlayerValues!A:A,match(IFNA(vlookup(B869,'Special Names'!A:B,2,FALSE),B869),PlayerValues!E:E,0)),"N/A")</f>
        <v>17062</v>
      </c>
      <c r="B869" s="4" t="s">
        <v>701</v>
      </c>
      <c r="C869" s="4" t="s">
        <v>278</v>
      </c>
      <c r="D869" s="94">
        <v>1359.0</v>
      </c>
    </row>
    <row r="870">
      <c r="A870" s="40">
        <f t="array" ref="A870">IFNA(index(PlayerValues!A:A,match(IFNA(vlookup(B870,'Special Names'!A:B,2,FALSE),B870),PlayerValues!E:E,0)),"N/A")</f>
        <v>17254</v>
      </c>
      <c r="B870" s="4" t="s">
        <v>679</v>
      </c>
      <c r="C870" s="4" t="s">
        <v>287</v>
      </c>
      <c r="D870" s="94">
        <v>1357.0</v>
      </c>
    </row>
    <row r="871">
      <c r="A871" s="40">
        <f t="array" ref="A871">IFNA(index(PlayerValues!A:A,match(IFNA(vlookup(B871,'Special Names'!A:B,2,FALSE),B871),PlayerValues!E:E,0)),"N/A")</f>
        <v>17529</v>
      </c>
      <c r="B871" s="4" t="s">
        <v>608</v>
      </c>
      <c r="C871" s="4" t="s">
        <v>287</v>
      </c>
      <c r="D871" s="94">
        <v>1340.0</v>
      </c>
    </row>
    <row r="872">
      <c r="A872" s="40">
        <f t="array" ref="A872">IFNA(index(PlayerValues!A:A,match(IFNA(vlookup(B872,'Special Names'!A:B,2,FALSE),B872),PlayerValues!E:E,0)),"N/A")</f>
        <v>15332</v>
      </c>
      <c r="B872" s="4" t="s">
        <v>698</v>
      </c>
      <c r="C872" s="4" t="s">
        <v>298</v>
      </c>
      <c r="D872" s="94">
        <v>1682.0</v>
      </c>
    </row>
    <row r="873">
      <c r="A873" s="40">
        <f t="array" ref="A873">IFNA(index(PlayerValues!A:A,match(IFNA(vlookup(B873,'Special Names'!A:B,2,FALSE),B873),PlayerValues!E:E,0)),"N/A")</f>
        <v>12678</v>
      </c>
      <c r="B873" s="4" t="s">
        <v>703</v>
      </c>
      <c r="C873" s="4" t="s">
        <v>298</v>
      </c>
      <c r="D873" s="94">
        <v>1664.0</v>
      </c>
    </row>
    <row r="874">
      <c r="A874" s="40">
        <f t="array" ref="A874">IFNA(index(PlayerValues!A:A,match(IFNA(vlookup(B874,'Special Names'!A:B,2,FALSE),B874),PlayerValues!E:E,0)),"N/A")</f>
        <v>15738</v>
      </c>
      <c r="B874" s="4" t="s">
        <v>634</v>
      </c>
      <c r="C874" s="4" t="s">
        <v>278</v>
      </c>
      <c r="D874" s="94">
        <v>1298.0</v>
      </c>
    </row>
    <row r="875">
      <c r="A875" s="40">
        <f t="array" ref="A875">IFNA(index(PlayerValues!A:A,match(IFNA(vlookup(B875,'Special Names'!A:B,2,FALSE),B875),PlayerValues!E:E,0)),"N/A")</f>
        <v>17077</v>
      </c>
      <c r="B875" s="4" t="s">
        <v>714</v>
      </c>
      <c r="C875" s="4" t="s">
        <v>287</v>
      </c>
      <c r="D875" s="94">
        <v>1298.0</v>
      </c>
    </row>
    <row r="876">
      <c r="A876" s="40">
        <f t="array" ref="A876">IFNA(index(PlayerValues!A:A,match(IFNA(vlookup(B876,'Special Names'!A:B,2,FALSE),B876),PlayerValues!E:E,0)),"N/A")</f>
        <v>14095</v>
      </c>
      <c r="B876" s="4" t="s">
        <v>680</v>
      </c>
      <c r="C876" s="4" t="s">
        <v>278</v>
      </c>
      <c r="D876" s="94">
        <v>1294.0</v>
      </c>
    </row>
    <row r="877">
      <c r="A877" s="40">
        <f t="array" ref="A877">IFNA(index(PlayerValues!A:A,match(IFNA(vlookup(B877,'Special Names'!A:B,2,FALSE),B877),PlayerValues!E:E,0)),"N/A")</f>
        <v>16608</v>
      </c>
      <c r="B877" s="4" t="s">
        <v>629</v>
      </c>
      <c r="C877" s="4" t="s">
        <v>278</v>
      </c>
      <c r="D877" s="94">
        <v>1293.0</v>
      </c>
    </row>
    <row r="878">
      <c r="A878" s="40">
        <f t="array" ref="A878">IFNA(index(PlayerValues!A:A,match(IFNA(vlookup(B878,'Special Names'!A:B,2,FALSE),B878),PlayerValues!E:E,0)),"N/A")</f>
        <v>12141</v>
      </c>
      <c r="B878" s="4" t="s">
        <v>744</v>
      </c>
      <c r="C878" s="4" t="s">
        <v>283</v>
      </c>
      <c r="D878" s="94">
        <v>1288.0</v>
      </c>
    </row>
    <row r="879">
      <c r="A879" s="40">
        <f t="array" ref="A879">IFNA(index(PlayerValues!A:A,match(IFNA(vlookup(B879,'Special Names'!A:B,2,FALSE),B879),PlayerValues!E:E,0)),"N/A")</f>
        <v>17567</v>
      </c>
      <c r="B879" s="4" t="s">
        <v>571</v>
      </c>
      <c r="C879" s="4" t="s">
        <v>298</v>
      </c>
      <c r="D879" s="94">
        <v>1655.0</v>
      </c>
    </row>
    <row r="880">
      <c r="A880" s="40" t="str">
        <f t="array" ref="A880">IFNA(index(PlayerValues!A:A,match(IFNA(vlookup(B880,'Special Names'!A:B,2,FALSE),B880),PlayerValues!E:E,0)),"N/A")</f>
        <v>N/A</v>
      </c>
      <c r="B880" s="4" t="s">
        <v>117</v>
      </c>
      <c r="C880" s="4" t="s">
        <v>325</v>
      </c>
      <c r="D880" s="94">
        <v>1286.0</v>
      </c>
    </row>
    <row r="881">
      <c r="A881" s="40">
        <f t="array" ref="A881">IFNA(index(PlayerValues!A:A,match(IFNA(vlookup(B881,'Special Names'!A:B,2,FALSE),B881),PlayerValues!E:E,0)),"N/A")</f>
        <v>14592</v>
      </c>
      <c r="B881" s="4" t="s">
        <v>705</v>
      </c>
      <c r="C881" s="4" t="s">
        <v>287</v>
      </c>
      <c r="D881" s="94">
        <v>1278.0</v>
      </c>
    </row>
    <row r="882">
      <c r="A882" s="40">
        <f t="array" ref="A882">IFNA(index(PlayerValues!A:A,match(IFNA(vlookup(B882,'Special Names'!A:B,2,FALSE),B882),PlayerValues!E:E,0)),"N/A")</f>
        <v>17521</v>
      </c>
      <c r="B882" s="4" t="s">
        <v>573</v>
      </c>
      <c r="C882" s="4" t="s">
        <v>287</v>
      </c>
      <c r="D882" s="94">
        <v>1278.0</v>
      </c>
    </row>
    <row r="883">
      <c r="A883" s="40">
        <f t="array" ref="A883">IFNA(index(PlayerValues!A:A,match(IFNA(vlookup(B883,'Special Names'!A:B,2,FALSE),B883),PlayerValues!E:E,0)),"N/A")</f>
        <v>17097</v>
      </c>
      <c r="B883" s="4" t="s">
        <v>659</v>
      </c>
      <c r="C883" s="4" t="s">
        <v>287</v>
      </c>
      <c r="D883" s="94">
        <v>1267.0</v>
      </c>
    </row>
    <row r="884">
      <c r="A884" s="40">
        <f t="array" ref="A884">IFNA(index(PlayerValues!A:A,match(IFNA(vlookup(B884,'Special Names'!A:B,2,FALSE),B884),PlayerValues!E:E,0)),"N/A")</f>
        <v>14080</v>
      </c>
      <c r="B884" s="4" t="s">
        <v>716</v>
      </c>
      <c r="C884" s="4" t="s">
        <v>278</v>
      </c>
      <c r="D884" s="94">
        <v>1259.0</v>
      </c>
    </row>
    <row r="885">
      <c r="A885" s="40">
        <f t="array" ref="A885">IFNA(index(PlayerValues!A:A,match(IFNA(vlookup(B885,'Special Names'!A:B,2,FALSE),B885),PlayerValues!E:E,0)),"N/A")</f>
        <v>17269</v>
      </c>
      <c r="B885" s="4" t="s">
        <v>718</v>
      </c>
      <c r="C885" s="4" t="s">
        <v>287</v>
      </c>
      <c r="D885" s="94">
        <v>1254.0</v>
      </c>
    </row>
    <row r="886">
      <c r="A886" s="40">
        <f t="array" ref="A886">IFNA(index(PlayerValues!A:A,match(IFNA(vlookup(B886,'Special Names'!A:B,2,FALSE),B886),PlayerValues!E:E,0)),"N/A")</f>
        <v>15702</v>
      </c>
      <c r="B886" s="4" t="s">
        <v>723</v>
      </c>
      <c r="C886" s="4" t="s">
        <v>283</v>
      </c>
      <c r="D886" s="94">
        <v>1253.0</v>
      </c>
    </row>
    <row r="887">
      <c r="A887" s="40">
        <f t="array" ref="A887">IFNA(index(PlayerValues!A:A,match(IFNA(vlookup(B887,'Special Names'!A:B,2,FALSE),B887),PlayerValues!E:E,0)),"N/A")</f>
        <v>16183</v>
      </c>
      <c r="B887" s="4" t="s">
        <v>678</v>
      </c>
      <c r="C887" s="4" t="s">
        <v>287</v>
      </c>
      <c r="D887" s="94">
        <v>1235.0</v>
      </c>
    </row>
    <row r="888">
      <c r="A888" s="40">
        <f t="array" ref="A888">IFNA(index(PlayerValues!A:A,match(IFNA(vlookup(B888,'Special Names'!A:B,2,FALSE),B888),PlayerValues!E:E,0)),"N/A")</f>
        <v>16333</v>
      </c>
      <c r="B888" s="4" t="s">
        <v>711</v>
      </c>
      <c r="C888" s="4" t="s">
        <v>298</v>
      </c>
      <c r="D888" s="94">
        <v>1595.0</v>
      </c>
    </row>
    <row r="889">
      <c r="A889" s="40">
        <f t="array" ref="A889">IFNA(index(PlayerValues!A:A,match(IFNA(vlookup(B889,'Special Names'!A:B,2,FALSE),B889),PlayerValues!E:E,0)),"N/A")</f>
        <v>16636</v>
      </c>
      <c r="B889" s="4" t="s">
        <v>699</v>
      </c>
      <c r="C889" s="4" t="s">
        <v>287</v>
      </c>
      <c r="D889" s="94">
        <v>1225.0</v>
      </c>
    </row>
    <row r="890">
      <c r="A890" s="40">
        <f t="array" ref="A890">IFNA(index(PlayerValues!A:A,match(IFNA(vlookup(B890,'Special Names'!A:B,2,FALSE),B890),PlayerValues!E:E,0)),"N/A")</f>
        <v>17607</v>
      </c>
      <c r="B890" s="4" t="s">
        <v>526</v>
      </c>
      <c r="C890" s="4" t="s">
        <v>298</v>
      </c>
      <c r="D890" s="94">
        <v>1592.0</v>
      </c>
    </row>
    <row r="891">
      <c r="A891" s="40">
        <f t="array" ref="A891">IFNA(index(PlayerValues!A:A,match(IFNA(vlookup(B891,'Special Names'!A:B,2,FALSE),B891),PlayerValues!E:E,0)),"N/A")</f>
        <v>16645</v>
      </c>
      <c r="B891" s="4" t="s">
        <v>651</v>
      </c>
      <c r="C891" s="4" t="s">
        <v>298</v>
      </c>
      <c r="D891" s="94">
        <v>1590.0</v>
      </c>
    </row>
    <row r="892">
      <c r="A892" s="40">
        <f t="array" ref="A892">IFNA(index(PlayerValues!A:A,match(IFNA(vlookup(B892,'Special Names'!A:B,2,FALSE),B892),PlayerValues!E:E,0)),"N/A")</f>
        <v>16387</v>
      </c>
      <c r="B892" s="4" t="s">
        <v>646</v>
      </c>
      <c r="C892" s="4" t="s">
        <v>278</v>
      </c>
      <c r="D892" s="94">
        <v>1217.0</v>
      </c>
    </row>
    <row r="893">
      <c r="A893" s="40">
        <f t="array" ref="A893">IFNA(index(PlayerValues!A:A,match(IFNA(vlookup(B893,'Special Names'!A:B,2,FALSE),B893),PlayerValues!E:E,0)),"N/A")</f>
        <v>16746</v>
      </c>
      <c r="B893" s="4" t="s">
        <v>709</v>
      </c>
      <c r="C893" s="4" t="s">
        <v>278</v>
      </c>
      <c r="D893" s="94">
        <v>1212.0</v>
      </c>
    </row>
    <row r="894">
      <c r="A894" s="40">
        <f t="array" ref="A894">IFNA(index(PlayerValues!A:A,match(IFNA(vlookup(B894,'Special Names'!A:B,2,FALSE),B894),PlayerValues!E:E,0)),"N/A")</f>
        <v>17519</v>
      </c>
      <c r="B894" s="4" t="s">
        <v>593</v>
      </c>
      <c r="C894" s="4" t="s">
        <v>287</v>
      </c>
      <c r="D894" s="94">
        <v>1206.0</v>
      </c>
    </row>
    <row r="895">
      <c r="A895" s="40">
        <f t="array" ref="A895">IFNA(index(PlayerValues!A:A,match(IFNA(vlookup(B895,'Special Names'!A:B,2,FALSE),B895),PlayerValues!E:E,0)),"N/A")</f>
        <v>15288</v>
      </c>
      <c r="B895" s="4" t="s">
        <v>700</v>
      </c>
      <c r="C895" s="4" t="s">
        <v>287</v>
      </c>
      <c r="D895" s="94">
        <v>1203.0</v>
      </c>
    </row>
    <row r="896">
      <c r="A896" s="40">
        <f t="array" ref="A896">IFNA(index(PlayerValues!A:A,match(IFNA(vlookup(B896,'Special Names'!A:B,2,FALSE),B896),PlayerValues!E:E,0)),"N/A")</f>
        <v>16883</v>
      </c>
      <c r="B896" s="4" t="s">
        <v>683</v>
      </c>
      <c r="C896" s="4" t="s">
        <v>287</v>
      </c>
      <c r="D896" s="94">
        <v>1199.0</v>
      </c>
    </row>
    <row r="897">
      <c r="A897" s="40">
        <f t="array" ref="A897">IFNA(index(PlayerValues!A:A,match(IFNA(vlookup(B897,'Special Names'!A:B,2,FALSE),B897),PlayerValues!E:E,0)),"N/A")</f>
        <v>17063</v>
      </c>
      <c r="B897" s="4" t="s">
        <v>686</v>
      </c>
      <c r="C897" s="4" t="s">
        <v>278</v>
      </c>
      <c r="D897" s="94">
        <v>1197.0</v>
      </c>
    </row>
    <row r="898">
      <c r="A898" s="40">
        <f t="array" ref="A898">IFNA(index(PlayerValues!A:A,match(IFNA(vlookup(B898,'Special Names'!A:B,2,FALSE),B898),PlayerValues!E:E,0)),"N/A")</f>
        <v>16199</v>
      </c>
      <c r="B898" s="4" t="s">
        <v>687</v>
      </c>
      <c r="C898" s="4" t="s">
        <v>287</v>
      </c>
      <c r="D898" s="94">
        <v>1195.0</v>
      </c>
    </row>
    <row r="899">
      <c r="A899" s="40">
        <f t="array" ref="A899">IFNA(index(PlayerValues!A:A,match(IFNA(vlookup(B899,'Special Names'!A:B,2,FALSE),B899),PlayerValues!E:E,0)),"N/A")</f>
        <v>16221</v>
      </c>
      <c r="B899" s="4" t="s">
        <v>725</v>
      </c>
      <c r="C899" s="4" t="s">
        <v>298</v>
      </c>
      <c r="D899" s="94">
        <v>1556.0</v>
      </c>
    </row>
    <row r="900">
      <c r="A900" s="40">
        <f t="array" ref="A900">IFNA(index(PlayerValues!A:A,match(IFNA(vlookup(B900,'Special Names'!A:B,2,FALSE),B900),PlayerValues!E:E,0)),"N/A")</f>
        <v>17057</v>
      </c>
      <c r="B900" s="4" t="s">
        <v>708</v>
      </c>
      <c r="C900" s="4" t="s">
        <v>278</v>
      </c>
      <c r="D900" s="94">
        <v>1175.0</v>
      </c>
    </row>
    <row r="901">
      <c r="A901" s="40">
        <f t="array" ref="A901">IFNA(index(PlayerValues!A:A,match(IFNA(vlookup(B901,'Special Names'!A:B,2,FALSE),B901),PlayerValues!E:E,0)),"N/A")</f>
        <v>17109</v>
      </c>
      <c r="B901" s="4" t="s">
        <v>707</v>
      </c>
      <c r="C901" s="4" t="s">
        <v>298</v>
      </c>
      <c r="D901" s="94">
        <v>1542.0</v>
      </c>
    </row>
    <row r="902">
      <c r="A902" s="40">
        <f t="array" ref="A902">IFNA(index(PlayerValues!A:A,match(IFNA(vlookup(B902,'Special Names'!A:B,2,FALSE),B902),PlayerValues!E:E,0)),"N/A")</f>
        <v>15981</v>
      </c>
      <c r="B902" s="4" t="s">
        <v>729</v>
      </c>
      <c r="C902" s="4" t="s">
        <v>287</v>
      </c>
      <c r="D902" s="94">
        <v>1173.0</v>
      </c>
    </row>
    <row r="903">
      <c r="A903" s="40">
        <f t="array" ref="A903">IFNA(index(PlayerValues!A:A,match(IFNA(vlookup(B903,'Special Names'!A:B,2,FALSE),B903),PlayerValues!E:E,0)),"N/A")</f>
        <v>14789</v>
      </c>
      <c r="B903" s="4" t="s">
        <v>721</v>
      </c>
      <c r="C903" s="4" t="s">
        <v>283</v>
      </c>
      <c r="D903" s="94">
        <v>1158.0</v>
      </c>
    </row>
    <row r="904">
      <c r="A904" s="40">
        <f t="array" ref="A904">IFNA(index(PlayerValues!A:A,match(IFNA(vlookup(B904,'Special Names'!A:B,2,FALSE),B904),PlayerValues!E:E,0)),"N/A")</f>
        <v>14108</v>
      </c>
      <c r="B904" s="4" t="s">
        <v>673</v>
      </c>
      <c r="C904" s="4" t="s">
        <v>287</v>
      </c>
      <c r="D904" s="94">
        <v>1155.0</v>
      </c>
    </row>
    <row r="905">
      <c r="A905" s="40">
        <f t="array" ref="A905">IFNA(index(PlayerValues!A:A,match(IFNA(vlookup(B905,'Special Names'!A:B,2,FALSE),B905),PlayerValues!E:E,0)),"N/A")</f>
        <v>14845</v>
      </c>
      <c r="B905" s="4" t="s">
        <v>717</v>
      </c>
      <c r="C905" s="4" t="s">
        <v>287</v>
      </c>
      <c r="D905" s="94">
        <v>1147.0</v>
      </c>
    </row>
    <row r="906">
      <c r="A906" s="40">
        <f t="array" ref="A906">IFNA(index(PlayerValues!A:A,match(IFNA(vlookup(B906,'Special Names'!A:B,2,FALSE),B906),PlayerValues!E:E,0)),"N/A")</f>
        <v>16385</v>
      </c>
      <c r="B906" s="4" t="s">
        <v>690</v>
      </c>
      <c r="C906" s="4" t="s">
        <v>278</v>
      </c>
      <c r="D906" s="94">
        <v>1146.0</v>
      </c>
    </row>
    <row r="907">
      <c r="A907" s="40">
        <f t="array" ref="A907">IFNA(index(PlayerValues!A:A,match(IFNA(vlookup(B907,'Special Names'!A:B,2,FALSE),B907),PlayerValues!E:E,0)),"N/A")</f>
        <v>17546</v>
      </c>
      <c r="B907" s="4" t="s">
        <v>671</v>
      </c>
      <c r="C907" s="4" t="s">
        <v>298</v>
      </c>
      <c r="D907" s="94">
        <v>1512.0</v>
      </c>
    </row>
    <row r="908">
      <c r="A908" s="40">
        <f t="array" ref="A908">IFNA(index(PlayerValues!A:A,match(IFNA(vlookup(B908,'Special Names'!A:B,2,FALSE),B908),PlayerValues!E:E,0)),"N/A")</f>
        <v>15240</v>
      </c>
      <c r="B908" s="4" t="s">
        <v>751</v>
      </c>
      <c r="C908" s="4" t="s">
        <v>283</v>
      </c>
      <c r="D908" s="94">
        <v>1137.0</v>
      </c>
    </row>
    <row r="909">
      <c r="A909" s="40">
        <f t="array" ref="A909">IFNA(index(PlayerValues!A:A,match(IFNA(vlookup(B909,'Special Names'!A:B,2,FALSE),B909),PlayerValues!E:E,0)),"N/A")</f>
        <v>14067</v>
      </c>
      <c r="B909" s="4" t="s">
        <v>735</v>
      </c>
      <c r="C909" s="4" t="s">
        <v>283</v>
      </c>
      <c r="D909" s="94">
        <v>1136.0</v>
      </c>
    </row>
    <row r="910">
      <c r="A910" s="40">
        <f t="array" ref="A910">IFNA(index(PlayerValues!A:A,match(IFNA(vlookup(B910,'Special Names'!A:B,2,FALSE),B910),PlayerValues!E:E,0)),"N/A")</f>
        <v>15730</v>
      </c>
      <c r="B910" s="4" t="s">
        <v>734</v>
      </c>
      <c r="C910" s="4" t="s">
        <v>278</v>
      </c>
      <c r="D910" s="94">
        <v>1122.0</v>
      </c>
    </row>
    <row r="911">
      <c r="A911" s="40">
        <f t="array" ref="A911">IFNA(index(PlayerValues!A:A,match(IFNA(vlookup(B911,'Special Names'!A:B,2,FALSE),B911),PlayerValues!E:E,0)),"N/A")</f>
        <v>13289</v>
      </c>
      <c r="B911" s="4" t="s">
        <v>746</v>
      </c>
      <c r="C911" s="4" t="s">
        <v>287</v>
      </c>
      <c r="D911" s="94">
        <v>1121.0</v>
      </c>
    </row>
    <row r="912">
      <c r="A912" s="40">
        <f t="array" ref="A912">IFNA(index(PlayerValues!A:A,match(IFNA(vlookup(B912,'Special Names'!A:B,2,FALSE),B912),PlayerValues!E:E,0)),"N/A")</f>
        <v>17192</v>
      </c>
      <c r="B912" s="4" t="s">
        <v>677</v>
      </c>
      <c r="C912" s="4" t="s">
        <v>287</v>
      </c>
      <c r="D912" s="94">
        <v>1114.0</v>
      </c>
    </row>
    <row r="913">
      <c r="A913" s="40">
        <f t="array" ref="A913">IFNA(index(PlayerValues!A:A,match(IFNA(vlookup(B913,'Special Names'!A:B,2,FALSE),B913),PlayerValues!E:E,0)),"N/A")</f>
        <v>17510</v>
      </c>
      <c r="B913" s="4" t="s">
        <v>661</v>
      </c>
      <c r="C913" s="4" t="s">
        <v>287</v>
      </c>
      <c r="D913" s="94">
        <v>1112.0</v>
      </c>
    </row>
    <row r="914">
      <c r="A914" s="40">
        <f t="array" ref="A914">IFNA(index(PlayerValues!A:A,match(IFNA(vlookup(B914,'Special Names'!A:B,2,FALSE),B914),PlayerValues!E:E,0)),"N/A")</f>
        <v>13131</v>
      </c>
      <c r="B914" s="4" t="s">
        <v>815</v>
      </c>
      <c r="C914" s="4" t="s">
        <v>278</v>
      </c>
      <c r="D914" s="94">
        <v>1106.0</v>
      </c>
    </row>
    <row r="915">
      <c r="A915" s="40">
        <f t="array" ref="A915">IFNA(index(PlayerValues!A:A,match(IFNA(vlookup(B915,'Special Names'!A:B,2,FALSE),B915),PlayerValues!E:E,0)),"N/A")</f>
        <v>16393</v>
      </c>
      <c r="B915" s="4" t="s">
        <v>768</v>
      </c>
      <c r="C915" s="4" t="s">
        <v>287</v>
      </c>
      <c r="D915" s="94">
        <v>1104.0</v>
      </c>
    </row>
    <row r="916">
      <c r="A916" s="40">
        <f t="array" ref="A916">IFNA(index(PlayerValues!A:A,match(IFNA(vlookup(B916,'Special Names'!A:B,2,FALSE),B916),PlayerValues!E:E,0)),"N/A")</f>
        <v>17685</v>
      </c>
      <c r="B916" s="4" t="s">
        <v>630</v>
      </c>
      <c r="C916" s="4" t="s">
        <v>278</v>
      </c>
      <c r="D916" s="94">
        <v>1101.0</v>
      </c>
    </row>
    <row r="917">
      <c r="A917" s="40">
        <f t="array" ref="A917">IFNA(index(PlayerValues!A:A,match(IFNA(vlookup(B917,'Special Names'!A:B,2,FALSE),B917),PlayerValues!E:E,0)),"N/A")</f>
        <v>15727</v>
      </c>
      <c r="B917" s="4" t="s">
        <v>730</v>
      </c>
      <c r="C917" s="4" t="s">
        <v>278</v>
      </c>
      <c r="D917" s="94">
        <v>1092.0</v>
      </c>
    </row>
    <row r="918">
      <c r="A918" s="40">
        <f t="array" ref="A918">IFNA(index(PlayerValues!A:A,match(IFNA(vlookup(B918,'Special Names'!A:B,2,FALSE),B918),PlayerValues!E:E,0)),"N/A")</f>
        <v>9064</v>
      </c>
      <c r="B918" s="4" t="s">
        <v>761</v>
      </c>
      <c r="C918" s="4" t="s">
        <v>283</v>
      </c>
      <c r="D918" s="94">
        <v>1089.0</v>
      </c>
    </row>
    <row r="919">
      <c r="A919" s="40">
        <f t="array" ref="A919">IFNA(index(PlayerValues!A:A,match(IFNA(vlookup(B919,'Special Names'!A:B,2,FALSE),B919),PlayerValues!E:E,0)),"N/A")</f>
        <v>16197</v>
      </c>
      <c r="B919" s="4" t="s">
        <v>726</v>
      </c>
      <c r="C919" s="4" t="s">
        <v>287</v>
      </c>
      <c r="D919" s="94">
        <v>1087.0</v>
      </c>
    </row>
    <row r="920">
      <c r="A920" s="40">
        <f t="array" ref="A920">IFNA(index(PlayerValues!A:A,match(IFNA(vlookup(B920,'Special Names'!A:B,2,FALSE),B920),PlayerValues!E:E,0)),"N/A")</f>
        <v>15692</v>
      </c>
      <c r="B920" s="4" t="s">
        <v>750</v>
      </c>
      <c r="C920" s="4" t="s">
        <v>283</v>
      </c>
      <c r="D920" s="94">
        <v>1086.0</v>
      </c>
    </row>
    <row r="921">
      <c r="A921" s="40">
        <f t="array" ref="A921">IFNA(index(PlayerValues!A:A,match(IFNA(vlookup(B921,'Special Names'!A:B,2,FALSE),B921),PlayerValues!E:E,0)),"N/A")</f>
        <v>16637</v>
      </c>
      <c r="B921" s="4" t="s">
        <v>736</v>
      </c>
      <c r="C921" s="4" t="s">
        <v>287</v>
      </c>
      <c r="D921" s="94">
        <v>1072.0</v>
      </c>
    </row>
    <row r="922">
      <c r="A922" s="40">
        <f t="array" ref="A922">IFNA(index(PlayerValues!A:A,match(IFNA(vlookup(B922,'Special Names'!A:B,2,FALSE),B922),PlayerValues!E:E,0)),"N/A")</f>
        <v>17050</v>
      </c>
      <c r="B922" s="4" t="s">
        <v>713</v>
      </c>
      <c r="C922" s="4" t="s">
        <v>278</v>
      </c>
      <c r="D922" s="94">
        <v>1065.0</v>
      </c>
    </row>
    <row r="923">
      <c r="A923" s="40">
        <f t="array" ref="A923">IFNA(index(PlayerValues!A:A,match(IFNA(vlookup(B923,'Special Names'!A:B,2,FALSE),B923),PlayerValues!E:E,0)),"N/A")</f>
        <v>17599</v>
      </c>
      <c r="B923" s="4" t="s">
        <v>496</v>
      </c>
      <c r="C923" s="4" t="s">
        <v>287</v>
      </c>
      <c r="D923" s="94">
        <v>1064.0</v>
      </c>
    </row>
    <row r="924">
      <c r="A924" s="40">
        <f t="array" ref="A924">IFNA(index(PlayerValues!A:A,match(IFNA(vlookup(B924,'Special Names'!A:B,2,FALSE),B924),PlayerValues!E:E,0)),"N/A")</f>
        <v>16640</v>
      </c>
      <c r="B924" s="4" t="s">
        <v>712</v>
      </c>
      <c r="C924" s="4" t="s">
        <v>287</v>
      </c>
      <c r="D924" s="94">
        <v>1060.0</v>
      </c>
    </row>
    <row r="925">
      <c r="A925" s="40">
        <f t="array" ref="A925">IFNA(index(PlayerValues!A:A,match(IFNA(vlookup(B925,'Special Names'!A:B,2,FALSE),B925),PlayerValues!E:E,0)),"N/A")</f>
        <v>15693</v>
      </c>
      <c r="B925" s="4" t="s">
        <v>755</v>
      </c>
      <c r="C925" s="4" t="s">
        <v>283</v>
      </c>
      <c r="D925" s="94">
        <v>1036.0</v>
      </c>
    </row>
    <row r="926">
      <c r="A926" s="40">
        <f t="array" ref="A926">IFNA(index(PlayerValues!A:A,match(IFNA(vlookup(B926,'Special Names'!A:B,2,FALSE),B926),PlayerValues!E:E,0)),"N/A")</f>
        <v>13193</v>
      </c>
      <c r="B926" s="4" t="s">
        <v>773</v>
      </c>
      <c r="C926" s="4" t="s">
        <v>298</v>
      </c>
      <c r="D926" s="94">
        <v>1402.0</v>
      </c>
    </row>
    <row r="927">
      <c r="A927" s="40">
        <f t="array" ref="A927">IFNA(index(PlayerValues!A:A,match(IFNA(vlookup(B927,'Special Names'!A:B,2,FALSE),B927),PlayerValues!E:E,0)),"N/A")</f>
        <v>11247</v>
      </c>
      <c r="B927" s="4" t="s">
        <v>816</v>
      </c>
      <c r="C927" s="4" t="s">
        <v>298</v>
      </c>
      <c r="D927" s="94">
        <v>1394.0</v>
      </c>
    </row>
    <row r="928">
      <c r="A928" s="40">
        <f t="array" ref="A928">IFNA(index(PlayerValues!A:A,match(IFNA(vlookup(B928,'Special Names'!A:B,2,FALSE),B928),PlayerValues!E:E,0)),"N/A")</f>
        <v>16451</v>
      </c>
      <c r="B928" s="4" t="s">
        <v>769</v>
      </c>
      <c r="C928" s="4" t="s">
        <v>287</v>
      </c>
      <c r="D928" s="94">
        <v>1025.0</v>
      </c>
    </row>
    <row r="929">
      <c r="A929" s="40">
        <f t="array" ref="A929">IFNA(index(PlayerValues!A:A,match(IFNA(vlookup(B929,'Special Names'!A:B,2,FALSE),B929),PlayerValues!E:E,0)),"N/A")</f>
        <v>15239</v>
      </c>
      <c r="B929" s="4" t="s">
        <v>802</v>
      </c>
      <c r="C929" s="4" t="s">
        <v>283</v>
      </c>
      <c r="D929" s="94">
        <v>1013.0</v>
      </c>
    </row>
    <row r="930">
      <c r="A930" s="40">
        <f t="array" ref="A930">IFNA(index(PlayerValues!A:A,match(IFNA(vlookup(B930,'Special Names'!A:B,2,FALSE),B930),PlayerValues!E:E,0)),"N/A")</f>
        <v>16168</v>
      </c>
      <c r="B930" s="4" t="s">
        <v>738</v>
      </c>
      <c r="C930" s="4" t="s">
        <v>278</v>
      </c>
      <c r="D930" s="94">
        <v>1011.0</v>
      </c>
    </row>
    <row r="931">
      <c r="A931" s="40">
        <f t="array" ref="A931">IFNA(index(PlayerValues!A:A,match(IFNA(vlookup(B931,'Special Names'!A:B,2,FALSE),B931),PlayerValues!E:E,0)),"N/A")</f>
        <v>15258</v>
      </c>
      <c r="B931" s="4" t="s">
        <v>757</v>
      </c>
      <c r="C931" s="4" t="s">
        <v>278</v>
      </c>
      <c r="D931" s="94">
        <v>999.0</v>
      </c>
    </row>
    <row r="932">
      <c r="A932" s="40">
        <f t="array" ref="A932">IFNA(index(PlayerValues!A:A,match(IFNA(vlookup(B932,'Special Names'!A:B,2,FALSE),B932),PlayerValues!E:E,0)),"N/A")</f>
        <v>15330</v>
      </c>
      <c r="B932" s="4" t="s">
        <v>749</v>
      </c>
      <c r="C932" s="4" t="s">
        <v>298</v>
      </c>
      <c r="D932" s="94">
        <v>1364.0</v>
      </c>
    </row>
    <row r="933">
      <c r="A933" s="40">
        <f t="array" ref="A933">IFNA(index(PlayerValues!A:A,match(IFNA(vlookup(B933,'Special Names'!A:B,2,FALSE),B933),PlayerValues!E:E,0)),"N/A")</f>
        <v>16170</v>
      </c>
      <c r="B933" s="4" t="s">
        <v>801</v>
      </c>
      <c r="C933" s="4" t="s">
        <v>278</v>
      </c>
      <c r="D933" s="94">
        <v>997.0</v>
      </c>
    </row>
    <row r="934">
      <c r="A934" s="40">
        <f t="array" ref="A934">IFNA(index(PlayerValues!A:A,match(IFNA(vlookup(B934,'Special Names'!A:B,2,FALSE),B934),PlayerValues!E:E,0)),"N/A")</f>
        <v>17652</v>
      </c>
      <c r="B934" s="4" t="s">
        <v>576</v>
      </c>
      <c r="C934" s="4" t="s">
        <v>278</v>
      </c>
      <c r="D934" s="94">
        <v>995.0</v>
      </c>
    </row>
    <row r="935">
      <c r="A935" s="40">
        <f t="array" ref="A935">IFNA(index(PlayerValues!A:A,match(IFNA(vlookup(B935,'Special Names'!A:B,2,FALSE),B935),PlayerValues!E:E,0)),"N/A")</f>
        <v>15795</v>
      </c>
      <c r="B935" s="4" t="s">
        <v>669</v>
      </c>
      <c r="C935" s="4" t="s">
        <v>298</v>
      </c>
      <c r="D935" s="94">
        <v>1359.0</v>
      </c>
    </row>
    <row r="936">
      <c r="A936" s="40">
        <f t="array" ref="A936">IFNA(index(PlayerValues!A:A,match(IFNA(vlookup(B936,'Special Names'!A:B,2,FALSE),B936),PlayerValues!E:E,0)),"N/A")</f>
        <v>15717</v>
      </c>
      <c r="B936" s="4" t="s">
        <v>745</v>
      </c>
      <c r="C936" s="4" t="s">
        <v>278</v>
      </c>
      <c r="D936" s="94">
        <v>991.0</v>
      </c>
    </row>
    <row r="937">
      <c r="A937" s="40">
        <f t="array" ref="A937">IFNA(index(PlayerValues!A:A,match(IFNA(vlookup(B937,'Special Names'!A:B,2,FALSE),B937),PlayerValues!E:E,0)),"N/A")</f>
        <v>15785</v>
      </c>
      <c r="B937" s="4" t="s">
        <v>763</v>
      </c>
      <c r="C937" s="4" t="s">
        <v>287</v>
      </c>
      <c r="D937" s="94">
        <v>986.0</v>
      </c>
    </row>
    <row r="938">
      <c r="A938" s="40">
        <f t="array" ref="A938">IFNA(index(PlayerValues!A:A,match(IFNA(vlookup(B938,'Special Names'!A:B,2,FALSE),B938),PlayerValues!E:E,0)),"N/A")</f>
        <v>16648</v>
      </c>
      <c r="B938" s="4" t="s">
        <v>748</v>
      </c>
      <c r="C938" s="4" t="s">
        <v>298</v>
      </c>
      <c r="D938" s="94">
        <v>1352.0</v>
      </c>
    </row>
    <row r="939">
      <c r="A939" s="40">
        <f t="array" ref="A939">IFNA(index(PlayerValues!A:A,match(IFNA(vlookup(B939,'Special Names'!A:B,2,FALSE),B939),PlayerValues!E:E,0)),"N/A")</f>
        <v>14849</v>
      </c>
      <c r="B939" s="4" t="s">
        <v>733</v>
      </c>
      <c r="C939" s="4" t="s">
        <v>287</v>
      </c>
      <c r="D939" s="94">
        <v>981.0</v>
      </c>
    </row>
    <row r="940">
      <c r="A940" s="40">
        <f t="array" ref="A940">IFNA(index(PlayerValues!A:A,match(IFNA(vlookup(B940,'Special Names'!A:B,2,FALSE),B940),PlayerValues!E:E,0)),"N/A")</f>
        <v>15766</v>
      </c>
      <c r="B940" s="4" t="s">
        <v>759</v>
      </c>
      <c r="C940" s="4" t="s">
        <v>287</v>
      </c>
      <c r="D940" s="94">
        <v>977.0</v>
      </c>
    </row>
    <row r="941">
      <c r="A941" s="40">
        <f t="array" ref="A941">IFNA(index(PlayerValues!A:A,match(IFNA(vlookup(B941,'Special Names'!A:B,2,FALSE),B941),PlayerValues!E:E,0)),"N/A")</f>
        <v>16678</v>
      </c>
      <c r="B941" s="4" t="s">
        <v>758</v>
      </c>
      <c r="C941" s="4" t="s">
        <v>278</v>
      </c>
      <c r="D941" s="94">
        <v>975.0</v>
      </c>
    </row>
    <row r="942">
      <c r="A942" s="40">
        <f t="array" ref="A942">IFNA(index(PlayerValues!A:A,match(IFNA(vlookup(B942,'Special Names'!A:B,2,FALSE),B942),PlayerValues!E:E,0)),"N/A")</f>
        <v>14118</v>
      </c>
      <c r="B942" s="4" t="s">
        <v>771</v>
      </c>
      <c r="C942" s="4" t="s">
        <v>287</v>
      </c>
      <c r="D942" s="94">
        <v>974.0</v>
      </c>
    </row>
    <row r="943">
      <c r="A943" s="40">
        <f t="array" ref="A943">IFNA(index(PlayerValues!A:A,match(IFNA(vlookup(B943,'Special Names'!A:B,2,FALSE),B943),PlayerValues!E:E,0)),"N/A")</f>
        <v>17175</v>
      </c>
      <c r="B943" s="4" t="s">
        <v>747</v>
      </c>
      <c r="C943" s="4" t="s">
        <v>287</v>
      </c>
      <c r="D943" s="94">
        <v>974.0</v>
      </c>
    </row>
    <row r="944">
      <c r="A944" s="40">
        <f t="array" ref="A944">IFNA(index(PlayerValues!A:A,match(IFNA(vlookup(B944,'Special Names'!A:B,2,FALSE),B944),PlayerValues!E:E,0)),"N/A")</f>
        <v>14057</v>
      </c>
      <c r="B944" s="4" t="s">
        <v>765</v>
      </c>
      <c r="C944" s="4" t="s">
        <v>283</v>
      </c>
      <c r="D944" s="94">
        <v>973.0</v>
      </c>
    </row>
    <row r="945">
      <c r="A945" s="40">
        <f t="array" ref="A945">IFNA(index(PlayerValues!A:A,match(IFNA(vlookup(B945,'Special Names'!A:B,2,FALSE),B945),PlayerValues!E:E,0)),"N/A")</f>
        <v>15758</v>
      </c>
      <c r="B945" s="4" t="s">
        <v>724</v>
      </c>
      <c r="C945" s="4" t="s">
        <v>287</v>
      </c>
      <c r="D945" s="94">
        <v>972.0</v>
      </c>
    </row>
    <row r="946">
      <c r="A946" s="40">
        <f t="array" ref="A946">IFNA(index(PlayerValues!A:A,match(IFNA(vlookup(B946,'Special Names'!A:B,2,FALSE),B946),PlayerValues!E:E,0)),"N/A")</f>
        <v>16205</v>
      </c>
      <c r="B946" s="4" t="s">
        <v>742</v>
      </c>
      <c r="C946" s="4" t="s">
        <v>287</v>
      </c>
      <c r="D946" s="94">
        <v>971.0</v>
      </c>
    </row>
    <row r="947">
      <c r="A947" s="40">
        <f t="array" ref="A947">IFNA(index(PlayerValues!A:A,match(IFNA(vlookup(B947,'Special Names'!A:B,2,FALSE),B947),PlayerValues!E:E,0)),"N/A")</f>
        <v>15718</v>
      </c>
      <c r="B947" s="4" t="s">
        <v>753</v>
      </c>
      <c r="C947" s="4" t="s">
        <v>278</v>
      </c>
      <c r="D947" s="94">
        <v>966.0</v>
      </c>
    </row>
    <row r="948">
      <c r="A948" s="40">
        <f t="array" ref="A948">IFNA(index(PlayerValues!A:A,match(IFNA(vlookup(B948,'Special Names'!A:B,2,FALSE),B948),PlayerValues!E:E,0)),"N/A")</f>
        <v>17479</v>
      </c>
      <c r="B948" s="4" t="s">
        <v>756</v>
      </c>
      <c r="C948" s="4" t="s">
        <v>278</v>
      </c>
      <c r="D948" s="94">
        <v>964.0</v>
      </c>
    </row>
    <row r="949">
      <c r="A949" s="40">
        <f t="array" ref="A949">IFNA(index(PlayerValues!A:A,match(IFNA(vlookup(B949,'Special Names'!A:B,2,FALSE),B949),PlayerValues!E:E,0)),"N/A")</f>
        <v>15626</v>
      </c>
      <c r="B949" s="4" t="s">
        <v>766</v>
      </c>
      <c r="C949" s="4" t="s">
        <v>298</v>
      </c>
      <c r="D949" s="94">
        <v>1329.0</v>
      </c>
    </row>
    <row r="950">
      <c r="A950" s="40">
        <f t="array" ref="A950">IFNA(index(PlayerValues!A:A,match(IFNA(vlookup(B950,'Special Names'!A:B,2,FALSE),B950),PlayerValues!E:E,0)),"N/A")</f>
        <v>16858</v>
      </c>
      <c r="B950" s="4" t="s">
        <v>754</v>
      </c>
      <c r="C950" s="4" t="s">
        <v>287</v>
      </c>
      <c r="D950" s="94">
        <v>958.0</v>
      </c>
    </row>
    <row r="951">
      <c r="A951" s="40">
        <f t="array" ref="A951">IFNA(index(PlayerValues!A:A,match(IFNA(vlookup(B951,'Special Names'!A:B,2,FALSE),B951),PlayerValues!E:E,0)),"N/A")</f>
        <v>15109</v>
      </c>
      <c r="B951" s="4" t="s">
        <v>728</v>
      </c>
      <c r="C951" s="4" t="s">
        <v>287</v>
      </c>
      <c r="D951" s="94">
        <v>956.0</v>
      </c>
    </row>
    <row r="952">
      <c r="A952" s="40">
        <f t="array" ref="A952">IFNA(index(PlayerValues!A:A,match(IFNA(vlookup(B952,'Special Names'!A:B,2,FALSE),B952),PlayerValues!E:E,0)),"N/A")</f>
        <v>16219</v>
      </c>
      <c r="B952" s="4" t="s">
        <v>739</v>
      </c>
      <c r="C952" s="4" t="s">
        <v>298</v>
      </c>
      <c r="D952" s="94">
        <v>1300.0</v>
      </c>
    </row>
    <row r="953">
      <c r="A953" s="40">
        <f t="array" ref="A953">IFNA(index(PlayerValues!A:A,match(IFNA(vlookup(B953,'Special Names'!A:B,2,FALSE),B953),PlayerValues!E:E,0)),"N/A")</f>
        <v>16624</v>
      </c>
      <c r="B953" s="4" t="s">
        <v>796</v>
      </c>
      <c r="C953" s="4" t="s">
        <v>287</v>
      </c>
      <c r="D953" s="94">
        <v>917.0</v>
      </c>
    </row>
    <row r="954">
      <c r="A954" s="40">
        <f t="array" ref="A954">IFNA(index(PlayerValues!A:A,match(IFNA(vlookup(B954,'Special Names'!A:B,2,FALSE),B954),PlayerValues!E:E,0)),"N/A")</f>
        <v>17475</v>
      </c>
      <c r="B954" s="4" t="s">
        <v>615</v>
      </c>
      <c r="C954" s="4" t="s">
        <v>278</v>
      </c>
      <c r="D954" s="94">
        <v>911.0</v>
      </c>
    </row>
    <row r="955">
      <c r="A955" s="40">
        <f t="array" ref="A955">IFNA(index(PlayerValues!A:A,match(IFNA(vlookup(B955,'Special Names'!A:B,2,FALSE),B955),PlayerValues!E:E,0)),"N/A")</f>
        <v>15720</v>
      </c>
      <c r="B955" s="4" t="s">
        <v>795</v>
      </c>
      <c r="C955" s="4" t="s">
        <v>278</v>
      </c>
      <c r="D955" s="94">
        <v>907.0</v>
      </c>
    </row>
    <row r="956">
      <c r="A956" s="40">
        <f t="array" ref="A956">IFNA(index(PlayerValues!A:A,match(IFNA(vlookup(B956,'Special Names'!A:B,2,FALSE),B956),PlayerValues!E:E,0)),"N/A")</f>
        <v>16773</v>
      </c>
      <c r="B956" s="4" t="s">
        <v>783</v>
      </c>
      <c r="C956" s="4" t="s">
        <v>278</v>
      </c>
      <c r="D956" s="94">
        <v>879.0</v>
      </c>
    </row>
    <row r="957">
      <c r="A957" s="40">
        <f t="array" ref="A957">IFNA(index(PlayerValues!A:A,match(IFNA(vlookup(B957,'Special Names'!A:B,2,FALSE),B957),PlayerValues!E:E,0)),"N/A")</f>
        <v>16599</v>
      </c>
      <c r="B957" s="4" t="s">
        <v>737</v>
      </c>
      <c r="C957" s="4" t="s">
        <v>278</v>
      </c>
      <c r="D957" s="94">
        <v>871.0</v>
      </c>
    </row>
    <row r="958">
      <c r="A958" s="40">
        <f t="array" ref="A958">IFNA(index(PlayerValues!A:A,match(IFNA(vlookup(B958,'Special Names'!A:B,2,FALSE),B958),PlayerValues!E:E,0)),"N/A")</f>
        <v>16416</v>
      </c>
      <c r="B958" s="4" t="s">
        <v>752</v>
      </c>
      <c r="C958" s="4" t="s">
        <v>287</v>
      </c>
      <c r="D958" s="94">
        <v>866.0</v>
      </c>
    </row>
    <row r="959">
      <c r="A959" s="40">
        <f t="array" ref="A959">IFNA(index(PlayerValues!A:A,match(IFNA(vlookup(B959,'Special Names'!A:B,2,FALSE),B959),PlayerValues!E:E,0)),"N/A")</f>
        <v>17549</v>
      </c>
      <c r="B959" s="4" t="s">
        <v>720</v>
      </c>
      <c r="C959" s="4" t="s">
        <v>298</v>
      </c>
      <c r="D959" s="94">
        <v>1231.0</v>
      </c>
    </row>
    <row r="960">
      <c r="A960" s="40">
        <f t="array" ref="A960">IFNA(index(PlayerValues!A:A,match(IFNA(vlookup(B960,'Special Names'!A:B,2,FALSE),B960),PlayerValues!E:E,0)),"N/A")</f>
        <v>13138</v>
      </c>
      <c r="B960" s="4" t="s">
        <v>817</v>
      </c>
      <c r="C960" s="4" t="s">
        <v>278</v>
      </c>
      <c r="D960" s="94">
        <v>862.0</v>
      </c>
    </row>
    <row r="961">
      <c r="A961" s="40">
        <f t="array" ref="A961">IFNA(index(PlayerValues!A:A,match(IFNA(vlookup(B961,'Special Names'!A:B,2,FALSE),B961),PlayerValues!E:E,0)),"N/A")</f>
        <v>17504</v>
      </c>
      <c r="B961" s="4" t="s">
        <v>693</v>
      </c>
      <c r="C961" s="4" t="s">
        <v>287</v>
      </c>
      <c r="D961" s="94">
        <v>858.0</v>
      </c>
    </row>
    <row r="962">
      <c r="A962" s="40">
        <f t="array" ref="A962">IFNA(index(PlayerValues!A:A,match(IFNA(vlookup(B962,'Special Names'!A:B,2,FALSE),B962),PlayerValues!E:E,0)),"N/A")</f>
        <v>17487</v>
      </c>
      <c r="B962" s="4" t="s">
        <v>692</v>
      </c>
      <c r="C962" s="4" t="s">
        <v>278</v>
      </c>
      <c r="D962" s="94">
        <v>848.0</v>
      </c>
    </row>
    <row r="963">
      <c r="A963" s="40">
        <f t="array" ref="A963">IFNA(index(PlayerValues!A:A,match(IFNA(vlookup(B963,'Special Names'!A:B,2,FALSE),B963),PlayerValues!E:E,0)),"N/A")</f>
        <v>12785</v>
      </c>
      <c r="B963" s="4" t="s">
        <v>772</v>
      </c>
      <c r="C963" s="4" t="s">
        <v>287</v>
      </c>
      <c r="D963" s="94">
        <v>841.0</v>
      </c>
    </row>
    <row r="964">
      <c r="A964" s="40">
        <f t="array" ref="A964">IFNA(index(PlayerValues!A:A,match(IFNA(vlookup(B964,'Special Names'!A:B,2,FALSE),B964),PlayerValues!E:E,0)),"N/A")</f>
        <v>16751</v>
      </c>
      <c r="B964" s="4" t="s">
        <v>762</v>
      </c>
      <c r="C964" s="4" t="s">
        <v>287</v>
      </c>
      <c r="D964" s="94">
        <v>841.0</v>
      </c>
    </row>
    <row r="965">
      <c r="A965" s="40">
        <f t="array" ref="A965">IFNA(index(PlayerValues!A:A,match(IFNA(vlookup(B965,'Special Names'!A:B,2,FALSE),B965),PlayerValues!E:E,0)),"N/A")</f>
        <v>17657</v>
      </c>
      <c r="B965" s="4" t="s">
        <v>642</v>
      </c>
      <c r="C965" s="4" t="s">
        <v>283</v>
      </c>
      <c r="D965" s="94">
        <v>829.0</v>
      </c>
    </row>
    <row r="966">
      <c r="A966" s="40">
        <f t="array" ref="A966">IFNA(index(PlayerValues!A:A,match(IFNA(vlookup(B966,'Special Names'!A:B,2,FALSE),B966),PlayerValues!E:E,0)),"N/A")</f>
        <v>14223</v>
      </c>
      <c r="B966" s="4" t="s">
        <v>785</v>
      </c>
      <c r="C966" s="4" t="s">
        <v>278</v>
      </c>
      <c r="D966" s="94">
        <v>815.0</v>
      </c>
    </row>
    <row r="967">
      <c r="A967" s="40">
        <f t="array" ref="A967">IFNA(index(PlayerValues!A:A,match(IFNA(vlookup(B967,'Special Names'!A:B,2,FALSE),B967),PlayerValues!E:E,0)),"N/A")</f>
        <v>17486</v>
      </c>
      <c r="B967" s="4" t="s">
        <v>695</v>
      </c>
      <c r="C967" s="4" t="s">
        <v>278</v>
      </c>
      <c r="D967" s="94">
        <v>780.0</v>
      </c>
    </row>
    <row r="968">
      <c r="A968" s="40">
        <f t="array" ref="A968">IFNA(index(PlayerValues!A:A,match(IFNA(vlookup(B968,'Special Names'!A:B,2,FALSE),B968),PlayerValues!E:E,0)),"N/A")</f>
        <v>17337</v>
      </c>
      <c r="B968" s="4" t="s">
        <v>793</v>
      </c>
      <c r="C968" s="4" t="s">
        <v>278</v>
      </c>
      <c r="D968" s="94">
        <v>771.0</v>
      </c>
    </row>
    <row r="969">
      <c r="A969" s="40">
        <f t="array" ref="A969">IFNA(index(PlayerValues!A:A,match(IFNA(vlookup(B969,'Special Names'!A:B,2,FALSE),B969),PlayerValues!E:E,0)),"N/A")</f>
        <v>17654</v>
      </c>
      <c r="B969" s="4" t="s">
        <v>767</v>
      </c>
      <c r="C969" s="4" t="s">
        <v>283</v>
      </c>
      <c r="D969" s="94">
        <v>765.0</v>
      </c>
    </row>
    <row r="970">
      <c r="A970" s="40">
        <f t="array" ref="A970">IFNA(index(PlayerValues!A:A,match(IFNA(vlookup(B970,'Special Names'!A:B,2,FALSE),B970),PlayerValues!E:E,0)),"N/A")</f>
        <v>16176</v>
      </c>
      <c r="B970" s="4" t="s">
        <v>812</v>
      </c>
      <c r="C970" s="4" t="s">
        <v>278</v>
      </c>
      <c r="D970" s="94">
        <v>747.0</v>
      </c>
    </row>
    <row r="971">
      <c r="A971" s="40">
        <f t="array" ref="A971">IFNA(index(PlayerValues!A:A,match(IFNA(vlookup(B971,'Special Names'!A:B,2,FALSE),B971),PlayerValues!E:E,0)),"N/A")</f>
        <v>16606</v>
      </c>
      <c r="B971" s="4" t="s">
        <v>743</v>
      </c>
      <c r="C971" s="4" t="s">
        <v>278</v>
      </c>
      <c r="D971" s="94">
        <v>730.0</v>
      </c>
    </row>
    <row r="972">
      <c r="A972" s="40">
        <f t="array" ref="A972">IFNA(index(PlayerValues!A:A,match(IFNA(vlookup(B972,'Special Names'!A:B,2,FALSE),B972),PlayerValues!E:E,0)),"N/A")</f>
        <v>17518</v>
      </c>
      <c r="B972" s="4" t="s">
        <v>482</v>
      </c>
      <c r="C972" s="4" t="s">
        <v>287</v>
      </c>
      <c r="D972" s="94">
        <v>729.0</v>
      </c>
    </row>
    <row r="973">
      <c r="A973" s="40">
        <f t="array" ref="A973">IFNA(index(PlayerValues!A:A,match(IFNA(vlookup(B973,'Special Names'!A:B,2,FALSE),B973),PlayerValues!E:E,0)),"N/A")</f>
        <v>16623</v>
      </c>
      <c r="B973" s="4" t="s">
        <v>803</v>
      </c>
      <c r="C973" s="4" t="s">
        <v>287</v>
      </c>
      <c r="D973" s="94">
        <v>721.0</v>
      </c>
    </row>
    <row r="974">
      <c r="A974" s="40">
        <f t="array" ref="A974">IFNA(index(PlayerValues!A:A,match(IFNA(vlookup(B974,'Special Names'!A:B,2,FALSE),B974),PlayerValues!E:E,0)),"N/A")</f>
        <v>14864</v>
      </c>
      <c r="B974" s="4" t="s">
        <v>789</v>
      </c>
      <c r="C974" s="4" t="s">
        <v>287</v>
      </c>
      <c r="D974" s="94">
        <v>706.0</v>
      </c>
    </row>
    <row r="975">
      <c r="A975" s="40">
        <f t="array" ref="A975">IFNA(index(PlayerValues!A:A,match(IFNA(vlookup(B975,'Special Names'!A:B,2,FALSE),B975),PlayerValues!E:E,0)),"N/A")</f>
        <v>12263</v>
      </c>
      <c r="B975" s="4" t="s">
        <v>697</v>
      </c>
      <c r="C975" s="4" t="s">
        <v>298</v>
      </c>
      <c r="D975" s="94">
        <v>1055.0</v>
      </c>
    </row>
    <row r="976">
      <c r="A976" s="40">
        <f t="array" ref="A976">IFNA(index(PlayerValues!A:A,match(IFNA(vlookup(B976,'Special Names'!A:B,2,FALSE),B976),PlayerValues!E:E,0)),"N/A")</f>
        <v>15723</v>
      </c>
      <c r="B976" s="4" t="s">
        <v>798</v>
      </c>
      <c r="C976" s="4" t="s">
        <v>278</v>
      </c>
      <c r="D976" s="94">
        <v>692.0</v>
      </c>
    </row>
    <row r="977">
      <c r="A977" s="40">
        <f t="array" ref="A977">IFNA(index(PlayerValues!A:A,match(IFNA(vlookup(B977,'Special Names'!A:B,2,FALSE),B977),PlayerValues!E:E,0)),"N/A")</f>
        <v>16686</v>
      </c>
      <c r="B977" s="4" t="s">
        <v>805</v>
      </c>
      <c r="C977" s="4" t="s">
        <v>287</v>
      </c>
      <c r="D977" s="94">
        <v>674.0</v>
      </c>
    </row>
    <row r="978">
      <c r="A978" s="40">
        <f t="array" ref="A978">IFNA(index(PlayerValues!A:A,match(IFNA(vlookup(B978,'Special Names'!A:B,2,FALSE),B978),PlayerValues!E:E,0)),"N/A")</f>
        <v>17545</v>
      </c>
      <c r="B978" s="4" t="s">
        <v>719</v>
      </c>
      <c r="C978" s="4" t="s">
        <v>298</v>
      </c>
      <c r="D978" s="94">
        <v>1025.0</v>
      </c>
    </row>
    <row r="979">
      <c r="A979" s="40">
        <f t="array" ref="A979">IFNA(index(PlayerValues!A:A,match(IFNA(vlookup(B979,'Special Names'!A:B,2,FALSE),B979),PlayerValues!E:E,0)),"N/A")</f>
        <v>17627</v>
      </c>
      <c r="B979" s="4" t="s">
        <v>684</v>
      </c>
      <c r="C979" s="4" t="s">
        <v>298</v>
      </c>
      <c r="D979" s="94">
        <v>1024.0</v>
      </c>
    </row>
    <row r="980">
      <c r="A980" s="40">
        <f t="array" ref="A980">IFNA(index(PlayerValues!A:A,match(IFNA(vlookup(B980,'Special Names'!A:B,2,FALSE),B980),PlayerValues!E:E,0)),"N/A")</f>
        <v>17541</v>
      </c>
      <c r="B980" s="4" t="s">
        <v>616</v>
      </c>
      <c r="C980" s="4" t="s">
        <v>287</v>
      </c>
      <c r="D980" s="94">
        <v>620.0</v>
      </c>
    </row>
    <row r="981">
      <c r="A981" s="40">
        <f t="array" ref="A981">IFNA(index(PlayerValues!A:A,match(IFNA(vlookup(B981,'Special Names'!A:B,2,FALSE),B981),PlayerValues!E:E,0)),"N/A")</f>
        <v>13133</v>
      </c>
      <c r="B981" s="4" t="s">
        <v>764</v>
      </c>
      <c r="C981" s="4" t="s">
        <v>278</v>
      </c>
      <c r="D981" s="94">
        <v>607.0</v>
      </c>
    </row>
    <row r="982">
      <c r="A982" s="40">
        <f t="array" ref="A982">IFNA(index(PlayerValues!A:A,match(IFNA(vlookup(B982,'Special Names'!A:B,2,FALSE),B982),PlayerValues!E:E,0)),"N/A")</f>
        <v>13595</v>
      </c>
      <c r="B982" s="4" t="s">
        <v>818</v>
      </c>
      <c r="C982" s="4" t="s">
        <v>283</v>
      </c>
      <c r="D982" s="94">
        <v>591.0</v>
      </c>
    </row>
    <row r="983">
      <c r="A983" s="40">
        <f t="array" ref="A983">IFNA(index(PlayerValues!A:A,match(IFNA(vlookup(B983,'Special Names'!A:B,2,FALSE),B983),PlayerValues!E:E,0)),"N/A")</f>
        <v>16159</v>
      </c>
      <c r="B983" s="4" t="s">
        <v>819</v>
      </c>
      <c r="C983" s="4" t="s">
        <v>283</v>
      </c>
      <c r="D983" s="94">
        <v>566.0</v>
      </c>
    </row>
    <row r="984">
      <c r="A984" s="40">
        <f t="array" ref="A984">IFNA(index(PlayerValues!A:A,match(IFNA(vlookup(B984,'Special Names'!A:B,2,FALSE),B984),PlayerValues!E:E,0)),"N/A")</f>
        <v>15804</v>
      </c>
      <c r="B984" s="4" t="s">
        <v>821</v>
      </c>
      <c r="C984" s="4" t="s">
        <v>298</v>
      </c>
      <c r="D984" s="94">
        <v>871.0</v>
      </c>
    </row>
    <row r="985">
      <c r="A985" s="40">
        <f t="array" ref="A985">IFNA(index(PlayerValues!A:A,match(IFNA(vlookup(B985,'Special Names'!A:B,2,FALSE),B985),PlayerValues!E:E,0)),"N/A")</f>
        <v>14858</v>
      </c>
      <c r="B985" s="4" t="s">
        <v>799</v>
      </c>
      <c r="C985" s="4" t="s">
        <v>287</v>
      </c>
      <c r="D985" s="94">
        <v>515.0</v>
      </c>
    </row>
    <row r="986">
      <c r="A986" s="40">
        <f t="array" ref="A986">IFNA(index(PlayerValues!A:A,match(IFNA(vlookup(B986,'Special Names'!A:B,2,FALSE),B986),PlayerValues!E:E,0)),"N/A")</f>
        <v>15796</v>
      </c>
      <c r="B986" s="4" t="s">
        <v>794</v>
      </c>
      <c r="C986" s="4" t="s">
        <v>298</v>
      </c>
      <c r="D986" s="94">
        <v>850.0</v>
      </c>
    </row>
    <row r="987">
      <c r="A987" s="40">
        <f t="array" ref="A987">IFNA(index(PlayerValues!A:A,match(IFNA(vlookup(B987,'Special Names'!A:B,2,FALSE),B987),PlayerValues!E:E,0)),"N/A")</f>
        <v>17038</v>
      </c>
      <c r="B987" s="4" t="s">
        <v>774</v>
      </c>
      <c r="C987" s="4" t="s">
        <v>283</v>
      </c>
      <c r="D987" s="94">
        <v>505.0</v>
      </c>
    </row>
    <row r="988">
      <c r="A988" s="40">
        <f t="array" ref="A988">IFNA(index(PlayerValues!A:A,match(IFNA(vlookup(B988,'Special Names'!A:B,2,FALSE),B988),PlayerValues!E:E,0)),"N/A")</f>
        <v>17243</v>
      </c>
      <c r="B988" s="4" t="s">
        <v>810</v>
      </c>
      <c r="C988" s="4" t="s">
        <v>298</v>
      </c>
      <c r="D988" s="94">
        <v>850.0</v>
      </c>
    </row>
    <row r="989">
      <c r="A989" s="40">
        <f t="array" ref="A989">IFNA(index(PlayerValues!A:A,match(IFNA(vlookup(B989,'Special Names'!A:B,2,FALSE),B989),PlayerValues!E:E,0)),"N/A")</f>
        <v>13143</v>
      </c>
      <c r="B989" s="4" t="s">
        <v>786</v>
      </c>
      <c r="C989" s="4" t="s">
        <v>278</v>
      </c>
      <c r="D989" s="94">
        <v>504.0</v>
      </c>
    </row>
    <row r="990">
      <c r="A990" s="40">
        <f t="array" ref="A990">IFNA(index(PlayerValues!A:A,match(IFNA(vlookup(B990,'Special Names'!A:B,2,FALSE),B990),PlayerValues!E:E,0)),"N/A")</f>
        <v>16957</v>
      </c>
      <c r="B990" s="4" t="s">
        <v>806</v>
      </c>
      <c r="C990" s="4" t="s">
        <v>278</v>
      </c>
      <c r="D990" s="94">
        <v>504.0</v>
      </c>
    </row>
    <row r="991">
      <c r="A991" s="40">
        <f t="array" ref="A991">IFNA(index(PlayerValues!A:A,match(IFNA(vlookup(B991,'Special Names'!A:B,2,FALSE),B991),PlayerValues!E:E,0)),"N/A")</f>
        <v>13066</v>
      </c>
      <c r="B991" s="4" t="s">
        <v>822</v>
      </c>
      <c r="C991" s="4" t="s">
        <v>287</v>
      </c>
      <c r="D991" s="94">
        <v>502.0</v>
      </c>
    </row>
    <row r="992">
      <c r="A992" s="40">
        <f t="array" ref="A992">IFNA(index(PlayerValues!A:A,match(IFNA(vlookup(B992,'Special Names'!A:B,2,FALSE),B992),PlayerValues!E:E,0)),"N/A")</f>
        <v>12658</v>
      </c>
      <c r="B992" s="4" t="s">
        <v>823</v>
      </c>
      <c r="C992" s="4" t="s">
        <v>287</v>
      </c>
      <c r="D992" s="94">
        <v>501.0</v>
      </c>
    </row>
    <row r="993">
      <c r="A993" s="40">
        <f t="array" ref="A993">IFNA(index(PlayerValues!A:A,match(IFNA(vlookup(B993,'Special Names'!A:B,2,FALSE),B993),PlayerValues!E:E,0)),"N/A")</f>
        <v>14239</v>
      </c>
      <c r="B993" s="4" t="s">
        <v>824</v>
      </c>
      <c r="C993" s="4" t="s">
        <v>298</v>
      </c>
      <c r="D993" s="94">
        <v>846.0</v>
      </c>
    </row>
    <row r="994">
      <c r="A994" s="40">
        <f t="array" ref="A994">IFNA(index(PlayerValues!A:A,match(IFNA(vlookup(B994,'Special Names'!A:B,2,FALSE),B994),PlayerValues!E:E,0)),"N/A")</f>
        <v>16625</v>
      </c>
      <c r="B994" s="4" t="s">
        <v>778</v>
      </c>
      <c r="C994" s="4" t="s">
        <v>287</v>
      </c>
      <c r="D994" s="94">
        <v>497.0</v>
      </c>
    </row>
    <row r="995">
      <c r="A995" s="40">
        <f t="array" ref="A995">IFNA(index(PlayerValues!A:A,match(IFNA(vlookup(B995,'Special Names'!A:B,2,FALSE),B995),PlayerValues!E:E,0)),"N/A")</f>
        <v>13610</v>
      </c>
      <c r="B995" s="4" t="s">
        <v>825</v>
      </c>
      <c r="C995" s="4" t="s">
        <v>278</v>
      </c>
      <c r="D995" s="94">
        <v>496.0</v>
      </c>
    </row>
    <row r="996">
      <c r="A996" s="40">
        <f t="array" ref="A996">IFNA(index(PlayerValues!A:A,match(IFNA(vlookup(B996,'Special Names'!A:B,2,FALSE),B996),PlayerValues!E:E,0)),"N/A")</f>
        <v>16299</v>
      </c>
      <c r="B996" s="4" t="s">
        <v>787</v>
      </c>
      <c r="C996" s="4" t="s">
        <v>287</v>
      </c>
      <c r="D996" s="94">
        <v>496.0</v>
      </c>
    </row>
    <row r="997">
      <c r="A997" s="40">
        <f t="array" ref="A997">IFNA(index(PlayerValues!A:A,match(IFNA(vlookup(B997,'Special Names'!A:B,2,FALSE),B997),PlayerValues!E:E,0)),"N/A")</f>
        <v>11232</v>
      </c>
      <c r="B997" s="4" t="s">
        <v>826</v>
      </c>
      <c r="C997" s="4" t="s">
        <v>287</v>
      </c>
      <c r="D997" s="94">
        <v>495.0</v>
      </c>
    </row>
    <row r="998">
      <c r="A998" s="40">
        <f t="array" ref="A998">IFNA(index(PlayerValues!A:A,match(IFNA(vlookup(B998,'Special Names'!A:B,2,FALSE),B998),PlayerValues!E:E,0)),"N/A")</f>
        <v>10413</v>
      </c>
      <c r="B998" s="4" t="s">
        <v>811</v>
      </c>
      <c r="C998" s="4" t="s">
        <v>283</v>
      </c>
      <c r="D998" s="94">
        <v>494.0</v>
      </c>
    </row>
    <row r="999">
      <c r="A999" s="40">
        <f t="array" ref="A999">IFNA(index(PlayerValues!A:A,match(IFNA(vlookup(B999,'Special Names'!A:B,2,FALSE),B999),PlayerValues!E:E,0)),"N/A")</f>
        <v>16413</v>
      </c>
      <c r="B999" s="4" t="s">
        <v>781</v>
      </c>
      <c r="C999" s="4" t="s">
        <v>287</v>
      </c>
      <c r="D999" s="94">
        <v>493.0</v>
      </c>
    </row>
    <row r="1000">
      <c r="A1000" s="40">
        <f t="array" ref="A1000">IFNA(index(PlayerValues!A:A,match(IFNA(vlookup(B1000,'Special Names'!A:B,2,FALSE),B1000),PlayerValues!E:E,0)),"N/A")</f>
        <v>13404</v>
      </c>
      <c r="B1000" s="4" t="s">
        <v>827</v>
      </c>
      <c r="C1000" s="4" t="s">
        <v>278</v>
      </c>
      <c r="D1000" s="94">
        <v>13.0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9995.0</v>
      </c>
    </row>
    <row r="1002">
      <c r="A1002" s="40">
        <f t="array" ref="A1002">IFNA(index(PlayerValues!A:A,match(IFNA(vlookup(B1002,'Special Names'!A:B,2,FALSE),B1002),PlayerValues!E:E,0)),"N/A")</f>
        <v>16161</v>
      </c>
      <c r="B1002" s="4" t="s">
        <v>277</v>
      </c>
      <c r="C1002" s="4" t="s">
        <v>278</v>
      </c>
      <c r="D1002" s="94">
        <v>9992.0</v>
      </c>
    </row>
    <row r="1003">
      <c r="A1003" s="40">
        <f t="array" ref="A1003">IFNA(index(PlayerValues!A:A,match(IFNA(vlookup(B1003,'Special Names'!A:B,2,FALSE),B1003),PlayerValues!E:E,0)),"N/A")</f>
        <v>15281</v>
      </c>
      <c r="B1003" s="4" t="s">
        <v>286</v>
      </c>
      <c r="C1003" s="4" t="s">
        <v>287</v>
      </c>
      <c r="D1003" s="94">
        <v>9968.0</v>
      </c>
    </row>
    <row r="1004">
      <c r="A1004" s="40">
        <f t="array" ref="A1004">IFNA(index(PlayerValues!A:A,match(IFNA(vlookup(B1004,'Special Names'!A:B,2,FALSE),B1004),PlayerValues!E:E,0)),"N/A")</f>
        <v>16185</v>
      </c>
      <c r="B1004" s="4" t="s">
        <v>290</v>
      </c>
      <c r="C1004" s="4" t="s">
        <v>287</v>
      </c>
      <c r="D1004" s="94">
        <v>9831.0</v>
      </c>
    </row>
    <row r="1005">
      <c r="A1005" s="40">
        <f t="array" ref="A1005">IFNA(index(PlayerValues!A:A,match(IFNA(vlookup(B1005,'Special Names'!A:B,2,FALSE),B1005),PlayerValues!E:E,0)),"N/A")</f>
        <v>16162</v>
      </c>
      <c r="B1005" s="4" t="s">
        <v>281</v>
      </c>
      <c r="C1005" s="4" t="s">
        <v>278</v>
      </c>
      <c r="D1005" s="94">
        <v>9654.0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9386.0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8603.0</v>
      </c>
    </row>
    <row r="1008">
      <c r="A1008" s="40">
        <f t="array" ref="A1008">IFNA(index(PlayerValues!A:A,match(IFNA(vlookup(B1008,'Special Names'!A:B,2,FALSE),B1008),PlayerValues!E:E,0)),"N/A")</f>
        <v>16641</v>
      </c>
      <c r="B1008" s="4" t="s">
        <v>297</v>
      </c>
      <c r="C1008" s="4" t="s">
        <v>298</v>
      </c>
      <c r="D1008" s="94">
        <v>8907.0</v>
      </c>
    </row>
    <row r="1009">
      <c r="A1009" s="40">
        <f t="array" ref="A1009">IFNA(index(PlayerValues!A:A,match(IFNA(vlookup(B1009,'Special Names'!A:B,2,FALSE),B1009),PlayerValues!E:E,0)),"N/A")</f>
        <v>16579</v>
      </c>
      <c r="B1009" s="4" t="s">
        <v>302</v>
      </c>
      <c r="C1009" s="4" t="s">
        <v>283</v>
      </c>
      <c r="D1009" s="94">
        <v>7945.0</v>
      </c>
    </row>
    <row r="1010">
      <c r="A1010" s="40">
        <f t="array" ref="A1010">IFNA(index(PlayerValues!A:A,match(IFNA(vlookup(B1010,'Special Names'!A:B,2,FALSE),B1010),PlayerValues!E:E,0)),"N/A")</f>
        <v>16581</v>
      </c>
      <c r="B1010" s="4" t="s">
        <v>315</v>
      </c>
      <c r="C1010" s="4" t="s">
        <v>283</v>
      </c>
      <c r="D1010" s="94">
        <v>7848.0</v>
      </c>
    </row>
    <row r="1011">
      <c r="A1011" s="40">
        <f t="array" ref="A1011">IFNA(index(PlayerValues!A:A,match(IFNA(vlookup(B1011,'Special Names'!A:B,2,FALSE),B1011),PlayerValues!E:E,0)),"N/A")</f>
        <v>15287</v>
      </c>
      <c r="B1011" s="4" t="s">
        <v>299</v>
      </c>
      <c r="C1011" s="4" t="s">
        <v>287</v>
      </c>
      <c r="D1011" s="94">
        <v>7845.0</v>
      </c>
    </row>
    <row r="1012">
      <c r="A1012" s="40">
        <f t="array" ref="A1012">IFNA(index(PlayerValues!A:A,match(IFNA(vlookup(B1012,'Special Names'!A:B,2,FALSE),B1012),PlayerValues!E:E,0)),"N/A")</f>
        <v>14836</v>
      </c>
      <c r="B1012" s="4" t="s">
        <v>306</v>
      </c>
      <c r="C1012" s="4" t="s">
        <v>287</v>
      </c>
      <c r="D1012" s="94">
        <v>7789.0</v>
      </c>
    </row>
    <row r="1013">
      <c r="A1013" s="40">
        <f t="array" ref="A1013">IFNA(index(PlayerValues!A:A,match(IFNA(vlookup(B1013,'Special Names'!A:B,2,FALSE),B1013),PlayerValues!E:E,0)),"N/A")</f>
        <v>13593</v>
      </c>
      <c r="B1013" s="4" t="s">
        <v>305</v>
      </c>
      <c r="C1013" s="4" t="s">
        <v>283</v>
      </c>
      <c r="D1013" s="94">
        <v>7650.0</v>
      </c>
    </row>
    <row r="1014">
      <c r="A1014" s="40">
        <f t="array" ref="A1014">IFNA(index(PlayerValues!A:A,match(IFNA(vlookup(B1014,'Special Names'!A:B,2,FALSE),B1014),PlayerValues!E:E,0)),"N/A")</f>
        <v>17472</v>
      </c>
      <c r="B1014" s="4" t="s">
        <v>310</v>
      </c>
      <c r="C1014" s="4" t="s">
        <v>278</v>
      </c>
      <c r="D1014" s="94">
        <v>7649.0</v>
      </c>
    </row>
    <row r="1015">
      <c r="A1015" s="40">
        <f t="array" ref="A1015">IFNA(index(PlayerValues!A:A,match(IFNA(vlookup(B1015,'Special Names'!A:B,2,FALSE),B1015),PlayerValues!E:E,0)),"N/A")</f>
        <v>16615</v>
      </c>
      <c r="B1015" s="4" t="s">
        <v>309</v>
      </c>
      <c r="C1015" s="4" t="s">
        <v>287</v>
      </c>
      <c r="D1015" s="94">
        <v>7645.0</v>
      </c>
    </row>
    <row r="1016">
      <c r="A1016" s="40">
        <f t="array" ref="A1016">IFNA(index(PlayerValues!A:A,match(IFNA(vlookup(B1016,'Special Names'!A:B,2,FALSE),B1016),PlayerValues!E:E,0)),"N/A")</f>
        <v>17042</v>
      </c>
      <c r="B1016" s="4" t="s">
        <v>314</v>
      </c>
      <c r="C1016" s="4" t="s">
        <v>278</v>
      </c>
      <c r="D1016" s="94">
        <v>7576.0</v>
      </c>
    </row>
    <row r="1017">
      <c r="A1017" s="40">
        <f t="array" ref="A1017">IFNA(index(PlayerValues!A:A,match(IFNA(vlookup(B1017,'Special Names'!A:B,2,FALSE),B1017),PlayerValues!E:E,0)),"N/A")</f>
        <v>15794</v>
      </c>
      <c r="B1017" s="4" t="s">
        <v>313</v>
      </c>
      <c r="C1017" s="4" t="s">
        <v>298</v>
      </c>
      <c r="D1017" s="94">
        <v>8366.0</v>
      </c>
    </row>
    <row r="1018">
      <c r="A1018" s="40">
        <f t="array" ref="A1018">IFNA(index(PlayerValues!A:A,match(IFNA(vlookup(B1018,'Special Names'!A:B,2,FALSE),B1018),PlayerValues!E:E,0)),"N/A")</f>
        <v>14777</v>
      </c>
      <c r="B1018" s="4" t="s">
        <v>318</v>
      </c>
      <c r="C1018" s="4" t="s">
        <v>283</v>
      </c>
      <c r="D1018" s="94">
        <v>7440.0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7260.0</v>
      </c>
    </row>
    <row r="1020">
      <c r="A1020" s="40" t="str">
        <f t="array" ref="A1020">IFNA(index(PlayerValues!A:A,match(IFNA(vlookup(B1020,'Special Names'!A:B,2,FALSE),B1020),PlayerValues!E:E,0)),"N/A")</f>
        <v>N/A</v>
      </c>
      <c r="B1020" s="4" t="s">
        <v>92</v>
      </c>
      <c r="C1020" s="4" t="s">
        <v>325</v>
      </c>
      <c r="D1020" s="94">
        <v>7142.0</v>
      </c>
    </row>
    <row r="1021">
      <c r="A1021" s="40">
        <f t="array" ref="A1021">IFNA(index(PlayerValues!A:A,match(IFNA(vlookup(B1021,'Special Names'!A:B,2,FALSE),B1021),PlayerValues!E:E,0)),"N/A")</f>
        <v>15751</v>
      </c>
      <c r="B1021" s="4" t="s">
        <v>328</v>
      </c>
      <c r="C1021" s="4" t="s">
        <v>287</v>
      </c>
      <c r="D1021" s="94">
        <v>6935.0</v>
      </c>
    </row>
    <row r="1022">
      <c r="A1022" s="40">
        <f t="array" ref="A1022">IFNA(index(PlayerValues!A:A,match(IFNA(vlookup(B1022,'Special Names'!A:B,2,FALSE),B1022),PlayerValues!E:E,0)),"N/A")</f>
        <v>16167</v>
      </c>
      <c r="B1022" s="4" t="s">
        <v>323</v>
      </c>
      <c r="C1022" s="4" t="s">
        <v>278</v>
      </c>
      <c r="D1022" s="94">
        <v>6917.0</v>
      </c>
    </row>
    <row r="1023">
      <c r="A1023" s="40">
        <f t="array" ref="A1023">IFNA(index(PlayerValues!A:A,match(IFNA(vlookup(B1023,'Special Names'!A:B,2,FALSE),B1023),PlayerValues!E:E,0)),"N/A")</f>
        <v>14779</v>
      </c>
      <c r="B1023" s="4" t="s">
        <v>327</v>
      </c>
      <c r="C1023" s="4" t="s">
        <v>283</v>
      </c>
      <c r="D1023" s="94">
        <v>6838.0</v>
      </c>
    </row>
    <row r="1024">
      <c r="A1024" s="40">
        <f t="array" ref="A1024">IFNA(index(PlayerValues!A:A,match(IFNA(vlookup(B1024,'Special Names'!A:B,2,FALSE),B1024),PlayerValues!E:E,0)),"N/A")</f>
        <v>17044</v>
      </c>
      <c r="B1024" s="4" t="s">
        <v>322</v>
      </c>
      <c r="C1024" s="4" t="s">
        <v>278</v>
      </c>
      <c r="D1024" s="94">
        <v>6810.0</v>
      </c>
    </row>
    <row r="1025">
      <c r="A1025" s="40">
        <f t="array" ref="A1025">IFNA(index(PlayerValues!A:A,match(IFNA(vlookup(B1025,'Special Names'!A:B,2,FALSE),B1025),PlayerValues!E:E,0)),"N/A")</f>
        <v>13116</v>
      </c>
      <c r="B1025" s="4" t="s">
        <v>345</v>
      </c>
      <c r="C1025" s="4" t="s">
        <v>283</v>
      </c>
      <c r="D1025" s="94">
        <v>6687.0</v>
      </c>
    </row>
    <row r="1026">
      <c r="A1026" s="40">
        <f t="array" ref="A1026">IFNA(index(PlayerValues!A:A,match(IFNA(vlookup(B1026,'Special Names'!A:B,2,FALSE),B1026),PlayerValues!E:E,0)),"N/A")</f>
        <v>17032</v>
      </c>
      <c r="B1026" s="4" t="s">
        <v>348</v>
      </c>
      <c r="C1026" s="4" t="s">
        <v>283</v>
      </c>
      <c r="D1026" s="94">
        <v>6606.0</v>
      </c>
    </row>
    <row r="1027">
      <c r="A1027" s="40">
        <f t="array" ref="A1027">IFNA(index(PlayerValues!A:A,match(IFNA(vlookup(B1027,'Special Names'!A:B,2,FALSE),B1027),PlayerValues!E:E,0)),"N/A")</f>
        <v>17071</v>
      </c>
      <c r="B1027" s="4" t="s">
        <v>341</v>
      </c>
      <c r="C1027" s="4" t="s">
        <v>287</v>
      </c>
      <c r="D1027" s="94">
        <v>6553.0</v>
      </c>
    </row>
    <row r="1028">
      <c r="A1028" s="40">
        <f t="array" ref="A1028">IFNA(index(PlayerValues!A:A,match(IFNA(vlookup(B1028,'Special Names'!A:B,2,FALSE),B1028),PlayerValues!E:E,0)),"N/A")</f>
        <v>15237</v>
      </c>
      <c r="B1028" s="4" t="s">
        <v>336</v>
      </c>
      <c r="C1028" s="4" t="s">
        <v>283</v>
      </c>
      <c r="D1028" s="94">
        <v>6373.0</v>
      </c>
    </row>
    <row r="1029">
      <c r="A1029" s="40">
        <f t="array" ref="A1029">IFNA(index(PlayerValues!A:A,match(IFNA(vlookup(B1029,'Special Names'!A:B,2,FALSE),B1029),PlayerValues!E:E,0)),"N/A")</f>
        <v>14783</v>
      </c>
      <c r="B1029" s="4" t="s">
        <v>342</v>
      </c>
      <c r="C1029" s="4" t="s">
        <v>283</v>
      </c>
      <c r="D1029" s="94">
        <v>6173.0</v>
      </c>
    </row>
    <row r="1030">
      <c r="A1030" s="40">
        <f t="array" ref="A1030">IFNA(index(PlayerValues!A:A,match(IFNA(vlookup(B1030,'Special Names'!A:B,2,FALSE),B1030),PlayerValues!E:E,0)),"N/A")</f>
        <v>17104</v>
      </c>
      <c r="B1030" s="4" t="s">
        <v>333</v>
      </c>
      <c r="C1030" s="4" t="s">
        <v>298</v>
      </c>
      <c r="D1030" s="94">
        <v>6788.0</v>
      </c>
    </row>
    <row r="1031">
      <c r="A1031" s="40">
        <f t="array" ref="A1031">IFNA(index(PlayerValues!A:A,match(IFNA(vlookup(B1031,'Special Names'!A:B,2,FALSE),B1031),PlayerValues!E:E,0)),"N/A")</f>
        <v>17081</v>
      </c>
      <c r="B1031" s="4" t="s">
        <v>340</v>
      </c>
      <c r="C1031" s="4" t="s">
        <v>287</v>
      </c>
      <c r="D1031" s="94">
        <v>6086.0</v>
      </c>
    </row>
    <row r="1032">
      <c r="A1032" s="40">
        <f t="array" ref="A1032">IFNA(index(PlayerValues!A:A,match(IFNA(vlookup(B1032,'Special Names'!A:B,2,FALSE),B1032),PlayerValues!E:E,0)),"N/A")</f>
        <v>16582</v>
      </c>
      <c r="B1032" s="4" t="s">
        <v>343</v>
      </c>
      <c r="C1032" s="4" t="s">
        <v>283</v>
      </c>
      <c r="D1032" s="94">
        <v>6030.0</v>
      </c>
    </row>
    <row r="1033">
      <c r="A1033" s="40">
        <f t="array" ref="A1033">IFNA(index(PlayerValues!A:A,match(IFNA(vlookup(B1033,'Special Names'!A:B,2,FALSE),B1033),PlayerValues!E:E,0)),"N/A")</f>
        <v>14802</v>
      </c>
      <c r="B1033" s="4" t="s">
        <v>332</v>
      </c>
      <c r="C1033" s="4" t="s">
        <v>278</v>
      </c>
      <c r="D1033" s="94">
        <v>6027.0</v>
      </c>
    </row>
    <row r="1034">
      <c r="A1034" s="40">
        <f t="array" ref="A1034">IFNA(index(PlayerValues!A:A,match(IFNA(vlookup(B1034,'Special Names'!A:B,2,FALSE),B1034),PlayerValues!E:E,0)),"N/A")</f>
        <v>15715</v>
      </c>
      <c r="B1034" s="4" t="s">
        <v>331</v>
      </c>
      <c r="C1034" s="4" t="s">
        <v>278</v>
      </c>
      <c r="D1034" s="94">
        <v>5983.0</v>
      </c>
    </row>
    <row r="1035">
      <c r="A1035" s="40">
        <f t="array" ref="A1035">IFNA(index(PlayerValues!A:A,match(IFNA(vlookup(B1035,'Special Names'!A:B,2,FALSE),B1035),PlayerValues!E:E,0)),"N/A")</f>
        <v>17497</v>
      </c>
      <c r="B1035" s="4" t="s">
        <v>365</v>
      </c>
      <c r="C1035" s="4" t="s">
        <v>287</v>
      </c>
      <c r="D1035" s="94">
        <v>5931.0</v>
      </c>
    </row>
    <row r="1036">
      <c r="A1036" s="40">
        <f t="array" ref="A1036">IFNA(index(PlayerValues!A:A,match(IFNA(vlookup(B1036,'Special Names'!A:B,2,FALSE),B1036),PlayerValues!E:E,0)),"N/A")</f>
        <v>15762</v>
      </c>
      <c r="B1036" s="4" t="s">
        <v>337</v>
      </c>
      <c r="C1036" s="4" t="s">
        <v>287</v>
      </c>
      <c r="D1036" s="94">
        <v>5893.0</v>
      </c>
    </row>
    <row r="1037">
      <c r="A1037" s="40">
        <f t="array" ref="A1037">IFNA(index(PlayerValues!A:A,match(IFNA(vlookup(B1037,'Special Names'!A:B,2,FALSE),B1037),PlayerValues!E:E,0)),"N/A")</f>
        <v>15698</v>
      </c>
      <c r="B1037" s="4" t="s">
        <v>358</v>
      </c>
      <c r="C1037" s="4" t="s">
        <v>283</v>
      </c>
      <c r="D1037" s="94">
        <v>5853.0</v>
      </c>
    </row>
    <row r="1038">
      <c r="A1038" s="40">
        <f t="array" ref="A1038">IFNA(index(PlayerValues!A:A,match(IFNA(vlookup(B1038,'Special Names'!A:B,2,FALSE),B1038),PlayerValues!E:E,0)),"N/A")</f>
        <v>17102</v>
      </c>
      <c r="B1038" s="4" t="s">
        <v>344</v>
      </c>
      <c r="C1038" s="4" t="s">
        <v>298</v>
      </c>
      <c r="D1038" s="94">
        <v>6424.0</v>
      </c>
    </row>
    <row r="1039">
      <c r="A1039" s="40">
        <f t="array" ref="A1039">IFNA(index(PlayerValues!A:A,match(IFNA(vlookup(B1039,'Special Names'!A:B,2,FALSE),B1039),PlayerValues!E:E,0)),"N/A")</f>
        <v>15753</v>
      </c>
      <c r="B1039" s="4" t="s">
        <v>359</v>
      </c>
      <c r="C1039" s="4" t="s">
        <v>287</v>
      </c>
      <c r="D1039" s="94">
        <v>5691.0</v>
      </c>
    </row>
    <row r="1040">
      <c r="A1040" s="40" t="str">
        <f t="array" ref="A1040">IFNA(index(PlayerValues!A:A,match(IFNA(vlookup(B1040,'Special Names'!A:B,2,FALSE),B1040),PlayerValues!E:E,0)),"N/A")</f>
        <v>N/A</v>
      </c>
      <c r="B1040" s="4" t="s">
        <v>93</v>
      </c>
      <c r="C1040" s="4" t="s">
        <v>325</v>
      </c>
      <c r="D1040" s="94">
        <v>5667.0</v>
      </c>
    </row>
    <row r="1041">
      <c r="A1041" s="40" t="str">
        <f t="array" ref="A1041">IFNA(index(PlayerValues!A:A,match(IFNA(vlookup(B1041,'Special Names'!A:B,2,FALSE),B1041),PlayerValues!E:E,0)),"N/A")</f>
        <v>N/A</v>
      </c>
      <c r="B1041" s="4" t="s">
        <v>79</v>
      </c>
      <c r="C1041" s="4" t="s">
        <v>325</v>
      </c>
      <c r="D1041" s="94">
        <v>5648.0</v>
      </c>
    </row>
    <row r="1042">
      <c r="A1042" s="40">
        <f t="array" ref="A1042">IFNA(index(PlayerValues!A:A,match(IFNA(vlookup(B1042,'Special Names'!A:B,2,FALSE),B1042),PlayerValues!E:E,0)),"N/A")</f>
        <v>14782</v>
      </c>
      <c r="B1042" s="4" t="s">
        <v>385</v>
      </c>
      <c r="C1042" s="4" t="s">
        <v>283</v>
      </c>
      <c r="D1042" s="94">
        <v>5616.0</v>
      </c>
    </row>
    <row r="1043">
      <c r="A1043" s="40">
        <f t="array" ref="A1043">IFNA(index(PlayerValues!A:A,match(IFNA(vlookup(B1043,'Special Names'!A:B,2,FALSE),B1043),PlayerValues!E:E,0)),"N/A")</f>
        <v>17462</v>
      </c>
      <c r="B1043" s="4" t="s">
        <v>375</v>
      </c>
      <c r="C1043" s="4" t="s">
        <v>283</v>
      </c>
      <c r="D1043" s="94">
        <v>5613.0</v>
      </c>
    </row>
    <row r="1044">
      <c r="A1044" s="40">
        <f t="array" ref="A1044">IFNA(index(PlayerValues!A:A,match(IFNA(vlookup(B1044,'Special Names'!A:B,2,FALSE),B1044),PlayerValues!E:E,0)),"N/A")</f>
        <v>15290</v>
      </c>
      <c r="B1044" s="4" t="s">
        <v>355</v>
      </c>
      <c r="C1044" s="4" t="s">
        <v>287</v>
      </c>
      <c r="D1044" s="94">
        <v>5585.0</v>
      </c>
    </row>
    <row r="1045">
      <c r="A1045" s="40">
        <f t="array" ref="A1045">IFNA(index(PlayerValues!A:A,match(IFNA(vlookup(B1045,'Special Names'!A:B,2,FALSE),B1045),PlayerValues!E:E,0)),"N/A")</f>
        <v>17051</v>
      </c>
      <c r="B1045" s="4" t="s">
        <v>386</v>
      </c>
      <c r="C1045" s="4" t="s">
        <v>278</v>
      </c>
      <c r="D1045" s="94">
        <v>5519.0</v>
      </c>
    </row>
    <row r="1046">
      <c r="A1046" s="40">
        <f t="array" ref="A1046">IFNA(index(PlayerValues!A:A,match(IFNA(vlookup(B1046,'Special Names'!A:B,2,FALSE),B1046),PlayerValues!E:E,0)),"N/A")</f>
        <v>15754</v>
      </c>
      <c r="B1046" s="4" t="s">
        <v>354</v>
      </c>
      <c r="C1046" s="4" t="s">
        <v>287</v>
      </c>
      <c r="D1046" s="94">
        <v>5506.0</v>
      </c>
    </row>
    <row r="1047">
      <c r="A1047" s="40">
        <f t="array" ref="A1047">IFNA(index(PlayerValues!A:A,match(IFNA(vlookup(B1047,'Special Names'!A:B,2,FALSE),B1047),PlayerValues!E:E,0)),"N/A")</f>
        <v>16616</v>
      </c>
      <c r="B1047" s="4" t="s">
        <v>389</v>
      </c>
      <c r="C1047" s="4" t="s">
        <v>287</v>
      </c>
      <c r="D1047" s="94">
        <v>5461.0</v>
      </c>
    </row>
    <row r="1048">
      <c r="A1048" s="40">
        <f t="array" ref="A1048">IFNA(index(PlayerValues!A:A,match(IFNA(vlookup(B1048,'Special Names'!A:B,2,FALSE),B1048),PlayerValues!E:E,0)),"N/A")</f>
        <v>17030</v>
      </c>
      <c r="B1048" s="4" t="s">
        <v>406</v>
      </c>
      <c r="C1048" s="4" t="s">
        <v>283</v>
      </c>
      <c r="D1048" s="94">
        <v>5445.0</v>
      </c>
    </row>
    <row r="1049">
      <c r="A1049" s="40">
        <f t="array" ref="A1049">IFNA(index(PlayerValues!A:A,match(IFNA(vlookup(B1049,'Special Names'!A:B,2,FALSE),B1049),PlayerValues!E:E,0)),"N/A")</f>
        <v>15708</v>
      </c>
      <c r="B1049" s="4" t="s">
        <v>382</v>
      </c>
      <c r="C1049" s="4" t="s">
        <v>278</v>
      </c>
      <c r="D1049" s="94">
        <v>5433.0</v>
      </c>
    </row>
    <row r="1050">
      <c r="A1050" s="40">
        <f t="array" ref="A1050">IFNA(index(PlayerValues!A:A,match(IFNA(vlookup(B1050,'Special Names'!A:B,2,FALSE),B1050),PlayerValues!E:E,0)),"N/A")</f>
        <v>17498</v>
      </c>
      <c r="B1050" s="4" t="s">
        <v>396</v>
      </c>
      <c r="C1050" s="4" t="s">
        <v>287</v>
      </c>
      <c r="D1050" s="94">
        <v>5426.0</v>
      </c>
    </row>
    <row r="1051">
      <c r="A1051" s="40">
        <f t="array" ref="A1051">IFNA(index(PlayerValues!A:A,match(IFNA(vlookup(B1051,'Special Names'!A:B,2,FALSE),B1051),PlayerValues!E:E,0)),"N/A")</f>
        <v>15711</v>
      </c>
      <c r="B1051" s="4" t="s">
        <v>349</v>
      </c>
      <c r="C1051" s="4" t="s">
        <v>278</v>
      </c>
      <c r="D1051" s="94">
        <v>5421.0</v>
      </c>
    </row>
    <row r="1052">
      <c r="A1052" s="40">
        <f t="array" ref="A1052">IFNA(index(PlayerValues!A:A,match(IFNA(vlookup(B1052,'Special Names'!A:B,2,FALSE),B1052),PlayerValues!E:E,0)),"N/A")</f>
        <v>16627</v>
      </c>
      <c r="B1052" s="4" t="s">
        <v>351</v>
      </c>
      <c r="C1052" s="4" t="s">
        <v>287</v>
      </c>
      <c r="D1052" s="94">
        <v>5412.0</v>
      </c>
    </row>
    <row r="1053">
      <c r="A1053" s="40">
        <f t="array" ref="A1053">IFNA(index(PlayerValues!A:A,match(IFNA(vlookup(B1053,'Special Names'!A:B,2,FALSE),B1053),PlayerValues!E:E,0)),"N/A")</f>
        <v>17043</v>
      </c>
      <c r="B1053" s="4" t="s">
        <v>397</v>
      </c>
      <c r="C1053" s="4" t="s">
        <v>278</v>
      </c>
      <c r="D1053" s="94">
        <v>5394.0</v>
      </c>
    </row>
    <row r="1054">
      <c r="A1054" s="40">
        <f t="array" ref="A1054">IFNA(index(PlayerValues!A:A,match(IFNA(vlookup(B1054,'Special Names'!A:B,2,FALSE),B1054),PlayerValues!E:E,0)),"N/A")</f>
        <v>17070</v>
      </c>
      <c r="B1054" s="4" t="s">
        <v>370</v>
      </c>
      <c r="C1054" s="4" t="s">
        <v>287</v>
      </c>
      <c r="D1054" s="94">
        <v>5291.0</v>
      </c>
    </row>
    <row r="1055">
      <c r="A1055" s="40">
        <f t="array" ref="A1055">IFNA(index(PlayerValues!A:A,match(IFNA(vlookup(B1055,'Special Names'!A:B,2,FALSE),B1055),PlayerValues!E:E,0)),"N/A")</f>
        <v>15282</v>
      </c>
      <c r="B1055" s="4" t="s">
        <v>364</v>
      </c>
      <c r="C1055" s="4" t="s">
        <v>287</v>
      </c>
      <c r="D1055" s="94">
        <v>5259.0</v>
      </c>
    </row>
    <row r="1056">
      <c r="A1056" s="40">
        <f t="array" ref="A1056">IFNA(index(PlayerValues!A:A,match(IFNA(vlookup(B1056,'Special Names'!A:B,2,FALSE),B1056),PlayerValues!E:E,0)),"N/A")</f>
        <v>17499</v>
      </c>
      <c r="B1056" s="4" t="s">
        <v>402</v>
      </c>
      <c r="C1056" s="4" t="s">
        <v>287</v>
      </c>
      <c r="D1056" s="94">
        <v>5085.0</v>
      </c>
    </row>
    <row r="1057">
      <c r="A1057" s="40">
        <f t="array" ref="A1057">IFNA(index(PlayerValues!A:A,match(IFNA(vlookup(B1057,'Special Names'!A:B,2,FALSE),B1057),PlayerValues!E:E,0)),"N/A")</f>
        <v>16614</v>
      </c>
      <c r="B1057" s="4" t="s">
        <v>403</v>
      </c>
      <c r="C1057" s="4" t="s">
        <v>287</v>
      </c>
      <c r="D1057" s="94">
        <v>5062.0</v>
      </c>
    </row>
    <row r="1058">
      <c r="A1058" s="40">
        <f t="array" ref="A1058">IFNA(index(PlayerValues!A:A,match(IFNA(vlookup(B1058,'Special Names'!A:B,2,FALSE),B1058),PlayerValues!E:E,0)),"N/A")</f>
        <v>13130</v>
      </c>
      <c r="B1058" s="4" t="s">
        <v>374</v>
      </c>
      <c r="C1058" s="4" t="s">
        <v>278</v>
      </c>
      <c r="D1058" s="94">
        <v>5021.0</v>
      </c>
    </row>
    <row r="1059">
      <c r="A1059" s="40" t="str">
        <f t="array" ref="A1059">IFNA(index(PlayerValues!A:A,match(IFNA(vlookup(B1059,'Special Names'!A:B,2,FALSE),B1059),PlayerValues!E:E,0)),"N/A")</f>
        <v>N/A</v>
      </c>
      <c r="B1059" s="4" t="s">
        <v>104</v>
      </c>
      <c r="C1059" s="4" t="s">
        <v>325</v>
      </c>
      <c r="D1059" s="94">
        <v>5001.0</v>
      </c>
    </row>
    <row r="1060">
      <c r="A1060" s="40">
        <f t="array" ref="A1060">IFNA(index(PlayerValues!A:A,match(IFNA(vlookup(B1060,'Special Names'!A:B,2,FALSE),B1060),PlayerValues!E:E,0)),"N/A")</f>
        <v>16181</v>
      </c>
      <c r="B1060" s="4" t="s">
        <v>350</v>
      </c>
      <c r="C1060" s="4" t="s">
        <v>278</v>
      </c>
      <c r="D1060" s="94">
        <v>4982.0</v>
      </c>
    </row>
    <row r="1061">
      <c r="A1061" s="40" t="str">
        <f t="array" ref="A1061">IFNA(index(PlayerValues!A:A,match(IFNA(vlookup(B1061,'Special Names'!A:B,2,FALSE),B1061),PlayerValues!E:E,0)),"N/A")</f>
        <v>N/A</v>
      </c>
      <c r="B1061" s="4" t="s">
        <v>94</v>
      </c>
      <c r="C1061" s="4" t="s">
        <v>325</v>
      </c>
      <c r="D1061" s="94">
        <v>4974.0</v>
      </c>
    </row>
    <row r="1062">
      <c r="A1062" s="40">
        <f t="array" ref="A1062">IFNA(index(PlayerValues!A:A,match(IFNA(vlookup(B1062,'Special Names'!A:B,2,FALSE),B1062),PlayerValues!E:E,0)),"N/A")</f>
        <v>12620</v>
      </c>
      <c r="B1062" s="4" t="s">
        <v>394</v>
      </c>
      <c r="C1062" s="4" t="s">
        <v>283</v>
      </c>
      <c r="D1062" s="94">
        <v>4972.0</v>
      </c>
    </row>
    <row r="1063">
      <c r="A1063" s="40">
        <f t="array" ref="A1063">IFNA(index(PlayerValues!A:A,match(IFNA(vlookup(B1063,'Special Names'!A:B,2,FALSE),B1063),PlayerValues!E:E,0)),"N/A")</f>
        <v>17039</v>
      </c>
      <c r="B1063" s="4" t="s">
        <v>400</v>
      </c>
      <c r="C1063" s="4" t="s">
        <v>283</v>
      </c>
      <c r="D1063" s="94">
        <v>4930.0</v>
      </c>
    </row>
    <row r="1064">
      <c r="A1064" s="40">
        <f t="array" ref="A1064">IFNA(index(PlayerValues!A:A,match(IFNA(vlookup(B1064,'Special Names'!A:B,2,FALSE),B1064),PlayerValues!E:E,0)),"N/A")</f>
        <v>14835</v>
      </c>
      <c r="B1064" s="4" t="s">
        <v>392</v>
      </c>
      <c r="C1064" s="4" t="s">
        <v>287</v>
      </c>
      <c r="D1064" s="94">
        <v>4927.0</v>
      </c>
    </row>
    <row r="1065">
      <c r="A1065" s="40">
        <f t="array" ref="A1065">IFNA(index(PlayerValues!A:A,match(IFNA(vlookup(B1065,'Special Names'!A:B,2,FALSE),B1065),PlayerValues!E:E,0)),"N/A")</f>
        <v>13604</v>
      </c>
      <c r="B1065" s="4" t="s">
        <v>378</v>
      </c>
      <c r="C1065" s="4" t="s">
        <v>278</v>
      </c>
      <c r="D1065" s="94">
        <v>4913.0</v>
      </c>
    </row>
    <row r="1066">
      <c r="A1066" s="40">
        <f t="array" ref="A1066">IFNA(index(PlayerValues!A:A,match(IFNA(vlookup(B1066,'Special Names'!A:B,2,FALSE),B1066),PlayerValues!E:E,0)),"N/A")</f>
        <v>16222</v>
      </c>
      <c r="B1066" s="4" t="s">
        <v>393</v>
      </c>
      <c r="C1066" s="4" t="s">
        <v>298</v>
      </c>
      <c r="D1066" s="94">
        <v>5469.0</v>
      </c>
    </row>
    <row r="1067">
      <c r="A1067" s="40">
        <f t="array" ref="A1067">IFNA(index(PlayerValues!A:A,match(IFNA(vlookup(B1067,'Special Names'!A:B,2,FALSE),B1067),PlayerValues!E:E,0)),"N/A")</f>
        <v>16150</v>
      </c>
      <c r="B1067" s="4" t="s">
        <v>414</v>
      </c>
      <c r="C1067" s="4" t="s">
        <v>283</v>
      </c>
      <c r="D1067" s="94">
        <v>4893.0</v>
      </c>
    </row>
    <row r="1068">
      <c r="A1068" s="40">
        <f t="array" ref="A1068">IFNA(index(PlayerValues!A:A,match(IFNA(vlookup(B1068,'Special Names'!A:B,2,FALSE),B1068),PlayerValues!E:E,0)),"N/A")</f>
        <v>17103</v>
      </c>
      <c r="B1068" s="4" t="s">
        <v>405</v>
      </c>
      <c r="C1068" s="4" t="s">
        <v>298</v>
      </c>
      <c r="D1068" s="94">
        <v>5458.0</v>
      </c>
    </row>
    <row r="1069">
      <c r="A1069" s="40">
        <f t="array" ref="A1069">IFNA(index(PlayerValues!A:A,match(IFNA(vlookup(B1069,'Special Names'!A:B,2,FALSE),B1069),PlayerValues!E:E,0)),"N/A")</f>
        <v>15710</v>
      </c>
      <c r="B1069" s="4" t="s">
        <v>395</v>
      </c>
      <c r="C1069" s="4" t="s">
        <v>278</v>
      </c>
      <c r="D1069" s="94">
        <v>4848.0</v>
      </c>
    </row>
    <row r="1070">
      <c r="A1070" s="40">
        <f t="array" ref="A1070">IFNA(index(PlayerValues!A:A,match(IFNA(vlookup(B1070,'Special Names'!A:B,2,FALSE),B1070),PlayerValues!E:E,0)),"N/A")</f>
        <v>16618</v>
      </c>
      <c r="B1070" s="4" t="s">
        <v>411</v>
      </c>
      <c r="C1070" s="4" t="s">
        <v>287</v>
      </c>
      <c r="D1070" s="94">
        <v>4840.0</v>
      </c>
    </row>
    <row r="1071">
      <c r="A1071" s="40">
        <f t="array" ref="A1071">IFNA(index(PlayerValues!A:A,match(IFNA(vlookup(B1071,'Special Names'!A:B,2,FALSE),B1071),PlayerValues!E:E,0)),"N/A")</f>
        <v>14104</v>
      </c>
      <c r="B1071" s="4" t="s">
        <v>379</v>
      </c>
      <c r="C1071" s="4" t="s">
        <v>287</v>
      </c>
      <c r="D1071" s="94">
        <v>4837.0</v>
      </c>
    </row>
    <row r="1072">
      <c r="A1072" s="40">
        <f t="array" ref="A1072">IFNA(index(PlayerValues!A:A,match(IFNA(vlookup(B1072,'Special Names'!A:B,2,FALSE),B1072),PlayerValues!E:E,0)),"N/A")</f>
        <v>17473</v>
      </c>
      <c r="B1072" s="4" t="s">
        <v>391</v>
      </c>
      <c r="C1072" s="4" t="s">
        <v>278</v>
      </c>
      <c r="D1072" s="94">
        <v>4835.0</v>
      </c>
    </row>
    <row r="1073">
      <c r="A1073" s="40">
        <f t="array" ref="A1073">IFNA(index(PlayerValues!A:A,match(IFNA(vlookup(B1073,'Special Names'!A:B,2,FALSE),B1073),PlayerValues!E:E,0)),"N/A")</f>
        <v>13590</v>
      </c>
      <c r="B1073" s="4" t="s">
        <v>409</v>
      </c>
      <c r="C1073" s="4" t="s">
        <v>283</v>
      </c>
      <c r="D1073" s="94">
        <v>4826.0</v>
      </c>
    </row>
    <row r="1074">
      <c r="A1074" s="40">
        <f t="array" ref="A1074">IFNA(index(PlayerValues!A:A,match(IFNA(vlookup(B1074,'Special Names'!A:B,2,FALSE),B1074),PlayerValues!E:E,0)),"N/A")</f>
        <v>15284</v>
      </c>
      <c r="B1074" s="4" t="s">
        <v>390</v>
      </c>
      <c r="C1074" s="4" t="s">
        <v>287</v>
      </c>
      <c r="D1074" s="94">
        <v>4824.0</v>
      </c>
    </row>
    <row r="1075">
      <c r="A1075" s="40">
        <f t="array" ref="A1075">IFNA(index(PlayerValues!A:A,match(IFNA(vlookup(B1075,'Special Names'!A:B,2,FALSE),B1075),PlayerValues!E:E,0)),"N/A")</f>
        <v>16598</v>
      </c>
      <c r="B1075" s="4" t="s">
        <v>408</v>
      </c>
      <c r="C1075" s="4" t="s">
        <v>278</v>
      </c>
      <c r="D1075" s="94">
        <v>4823.0</v>
      </c>
    </row>
    <row r="1076">
      <c r="A1076" s="40">
        <f t="array" ref="A1076">IFNA(index(PlayerValues!A:A,match(IFNA(vlookup(B1076,'Special Names'!A:B,2,FALSE),B1076),PlayerValues!E:E,0)),"N/A")</f>
        <v>16190</v>
      </c>
      <c r="B1076" s="4" t="s">
        <v>371</v>
      </c>
      <c r="C1076" s="4" t="s">
        <v>287</v>
      </c>
      <c r="D1076" s="94">
        <v>4782.0</v>
      </c>
    </row>
    <row r="1077">
      <c r="A1077" s="40">
        <f t="array" ref="A1077">IFNA(index(PlayerValues!A:A,match(IFNA(vlookup(B1077,'Special Names'!A:B,2,FALSE),B1077),PlayerValues!E:E,0)),"N/A")</f>
        <v>17045</v>
      </c>
      <c r="B1077" s="4" t="s">
        <v>407</v>
      </c>
      <c r="C1077" s="4" t="s">
        <v>278</v>
      </c>
      <c r="D1077" s="94">
        <v>4714.0</v>
      </c>
    </row>
    <row r="1078">
      <c r="A1078" s="40">
        <f t="array" ref="A1078">IFNA(index(PlayerValues!A:A,match(IFNA(vlookup(B1078,'Special Names'!A:B,2,FALSE),B1078),PlayerValues!E:E,0)),"N/A")</f>
        <v>12611</v>
      </c>
      <c r="B1078" s="4" t="s">
        <v>410</v>
      </c>
      <c r="C1078" s="4" t="s">
        <v>283</v>
      </c>
      <c r="D1078" s="94">
        <v>4670.0</v>
      </c>
    </row>
    <row r="1079">
      <c r="A1079" s="40">
        <f t="array" ref="A1079">IFNA(index(PlayerValues!A:A,match(IFNA(vlookup(B1079,'Special Names'!A:B,2,FALSE),B1079),PlayerValues!E:E,0)),"N/A")</f>
        <v>15756</v>
      </c>
      <c r="B1079" s="4" t="s">
        <v>399</v>
      </c>
      <c r="C1079" s="4" t="s">
        <v>287</v>
      </c>
      <c r="D1079" s="94">
        <v>4670.0</v>
      </c>
    </row>
    <row r="1080">
      <c r="A1080" s="40">
        <f t="array" ref="A1080">IFNA(index(PlayerValues!A:A,match(IFNA(vlookup(B1080,'Special Names'!A:B,2,FALSE),B1080),PlayerValues!E:E,0)),"N/A")</f>
        <v>13592</v>
      </c>
      <c r="B1080" s="4" t="s">
        <v>418</v>
      </c>
      <c r="C1080" s="4" t="s">
        <v>283</v>
      </c>
      <c r="D1080" s="94">
        <v>4639.0</v>
      </c>
    </row>
    <row r="1081">
      <c r="A1081" s="40" t="str">
        <f t="array" ref="A1081">IFNA(index(PlayerValues!A:A,match(IFNA(vlookup(B1081,'Special Names'!A:B,2,FALSE),B1081),PlayerValues!E:E,0)),"N/A")</f>
        <v>N/A</v>
      </c>
      <c r="B1081" s="4" t="s">
        <v>80</v>
      </c>
      <c r="C1081" s="4" t="s">
        <v>325</v>
      </c>
      <c r="D1081" s="94">
        <v>4564.0</v>
      </c>
    </row>
    <row r="1082">
      <c r="A1082" s="40">
        <f t="array" ref="A1082">IFNA(index(PlayerValues!A:A,match(IFNA(vlookup(B1082,'Special Names'!A:B,2,FALSE),B1082),PlayerValues!E:E,0)),"N/A")</f>
        <v>16214</v>
      </c>
      <c r="B1082" s="4" t="s">
        <v>413</v>
      </c>
      <c r="C1082" s="4" t="s">
        <v>298</v>
      </c>
      <c r="D1082" s="94">
        <v>5096.0</v>
      </c>
    </row>
    <row r="1083">
      <c r="A1083" s="40">
        <f t="array" ref="A1083">IFNA(index(PlayerValues!A:A,match(IFNA(vlookup(B1083,'Special Names'!A:B,2,FALSE),B1083),PlayerValues!E:E,0)),"N/A")</f>
        <v>15256</v>
      </c>
      <c r="B1083" s="4" t="s">
        <v>401</v>
      </c>
      <c r="C1083" s="4" t="s">
        <v>278</v>
      </c>
      <c r="D1083" s="94">
        <v>4543.0</v>
      </c>
    </row>
    <row r="1084">
      <c r="A1084" s="40" t="str">
        <f t="array" ref="A1084">IFNA(index(PlayerValues!A:A,match(IFNA(vlookup(B1084,'Special Names'!A:B,2,FALSE),B1084),PlayerValues!E:E,0)),"N/A")</f>
        <v>N/A</v>
      </c>
      <c r="B1084" s="4" t="s">
        <v>105</v>
      </c>
      <c r="C1084" s="4" t="s">
        <v>325</v>
      </c>
      <c r="D1084" s="94">
        <v>4512.0</v>
      </c>
    </row>
    <row r="1085">
      <c r="A1085" s="40">
        <f t="array" ref="A1085">IFNA(index(PlayerValues!A:A,match(IFNA(vlookup(B1085,'Special Names'!A:B,2,FALSE),B1085),PlayerValues!E:E,0)),"N/A")</f>
        <v>17501</v>
      </c>
      <c r="B1085" s="4" t="s">
        <v>404</v>
      </c>
      <c r="C1085" s="4" t="s">
        <v>287</v>
      </c>
      <c r="D1085" s="94">
        <v>4505.0</v>
      </c>
    </row>
    <row r="1086">
      <c r="A1086" s="40">
        <f t="array" ref="A1086">IFNA(index(PlayerValues!A:A,match(IFNA(vlookup(B1086,'Special Names'!A:B,2,FALSE),B1086),PlayerValues!E:E,0)),"N/A")</f>
        <v>15253</v>
      </c>
      <c r="B1086" s="4" t="s">
        <v>415</v>
      </c>
      <c r="C1086" s="4" t="s">
        <v>278</v>
      </c>
      <c r="D1086" s="94">
        <v>4503.0</v>
      </c>
    </row>
    <row r="1087">
      <c r="A1087" s="40">
        <f t="array" ref="A1087">IFNA(index(PlayerValues!A:A,match(IFNA(vlookup(B1087,'Special Names'!A:B,2,FALSE),B1087),PlayerValues!E:E,0)),"N/A")</f>
        <v>16194</v>
      </c>
      <c r="B1087" s="4" t="s">
        <v>398</v>
      </c>
      <c r="C1087" s="4" t="s">
        <v>287</v>
      </c>
      <c r="D1087" s="94">
        <v>4482.0</v>
      </c>
    </row>
    <row r="1088">
      <c r="A1088" s="40">
        <f t="array" ref="A1088">IFNA(index(PlayerValues!A:A,match(IFNA(vlookup(B1088,'Special Names'!A:B,2,FALSE),B1088),PlayerValues!E:E,0)),"N/A")</f>
        <v>16148</v>
      </c>
      <c r="B1088" s="4" t="s">
        <v>426</v>
      </c>
      <c r="C1088" s="4" t="s">
        <v>283</v>
      </c>
      <c r="D1088" s="94">
        <v>4464.0</v>
      </c>
    </row>
    <row r="1089">
      <c r="A1089" s="40">
        <f t="array" ref="A1089">IFNA(index(PlayerValues!A:A,match(IFNA(vlookup(B1089,'Special Names'!A:B,2,FALSE),B1089),PlayerValues!E:E,0)),"N/A")</f>
        <v>15329</v>
      </c>
      <c r="B1089" s="4" t="s">
        <v>416</v>
      </c>
      <c r="C1089" s="4" t="s">
        <v>298</v>
      </c>
      <c r="D1089" s="94">
        <v>4984.0</v>
      </c>
    </row>
    <row r="1090">
      <c r="A1090" s="40">
        <f t="array" ref="A1090">IFNA(index(PlayerValues!A:A,match(IFNA(vlookup(B1090,'Special Names'!A:B,2,FALSE),B1090),PlayerValues!E:E,0)),"N/A")</f>
        <v>17543</v>
      </c>
      <c r="B1090" s="4" t="s">
        <v>436</v>
      </c>
      <c r="C1090" s="4" t="s">
        <v>298</v>
      </c>
      <c r="D1090" s="94">
        <v>4666.0</v>
      </c>
    </row>
    <row r="1091">
      <c r="A1091" s="40">
        <f t="array" ref="A1091">IFNA(index(PlayerValues!A:A,match(IFNA(vlookup(B1091,'Special Names'!A:B,2,FALSE),B1091),PlayerValues!E:E,0)),"N/A")</f>
        <v>14056</v>
      </c>
      <c r="B1091" s="4" t="s">
        <v>423</v>
      </c>
      <c r="C1091" s="4" t="s">
        <v>283</v>
      </c>
      <c r="D1091" s="94">
        <v>4094.0</v>
      </c>
    </row>
    <row r="1092">
      <c r="A1092" s="40" t="str">
        <f t="array" ref="A1092">IFNA(index(PlayerValues!A:A,match(IFNA(vlookup(B1092,'Special Names'!A:B,2,FALSE),B1092),PlayerValues!E:E,0)),"N/A")</f>
        <v>N/A</v>
      </c>
      <c r="B1092" s="4" t="s">
        <v>107</v>
      </c>
      <c r="C1092" s="4" t="s">
        <v>325</v>
      </c>
      <c r="D1092" s="94">
        <v>4091.0</v>
      </c>
    </row>
    <row r="1093">
      <c r="A1093" s="40">
        <f t="array" ref="A1093">IFNA(index(PlayerValues!A:A,match(IFNA(vlookup(B1093,'Special Names'!A:B,2,FALSE),B1093),PlayerValues!E:E,0)),"N/A")</f>
        <v>15768</v>
      </c>
      <c r="B1093" s="4" t="s">
        <v>432</v>
      </c>
      <c r="C1093" s="4" t="s">
        <v>287</v>
      </c>
      <c r="D1093" s="94">
        <v>4079.0</v>
      </c>
    </row>
    <row r="1094">
      <c r="A1094" s="40">
        <f t="array" ref="A1094">IFNA(index(PlayerValues!A:A,match(IFNA(vlookup(B1094,'Special Names'!A:B,2,FALSE),B1094),PlayerValues!E:E,0)),"N/A")</f>
        <v>16186</v>
      </c>
      <c r="B1094" s="4" t="s">
        <v>425</v>
      </c>
      <c r="C1094" s="4" t="s">
        <v>287</v>
      </c>
      <c r="D1094" s="94">
        <v>4016.0</v>
      </c>
    </row>
    <row r="1095">
      <c r="A1095" s="40">
        <f t="array" ref="A1095">IFNA(index(PlayerValues!A:A,match(IFNA(vlookup(B1095,'Special Names'!A:B,2,FALSE),B1095),PlayerValues!E:E,0)),"N/A")</f>
        <v>12626</v>
      </c>
      <c r="B1095" s="4" t="s">
        <v>419</v>
      </c>
      <c r="C1095" s="4" t="s">
        <v>278</v>
      </c>
      <c r="D1095" s="94">
        <v>3965.0</v>
      </c>
    </row>
    <row r="1096">
      <c r="A1096" s="40">
        <f t="array" ref="A1096">IFNA(index(PlayerValues!A:A,match(IFNA(vlookup(B1096,'Special Names'!A:B,2,FALSE),B1096),PlayerValues!E:E,0)),"N/A")</f>
        <v>15694</v>
      </c>
      <c r="B1096" s="4" t="s">
        <v>434</v>
      </c>
      <c r="C1096" s="4" t="s">
        <v>283</v>
      </c>
      <c r="D1096" s="94">
        <v>3959.0</v>
      </c>
    </row>
    <row r="1097">
      <c r="A1097" s="40" t="str">
        <f t="array" ref="A1097">IFNA(index(PlayerValues!A:A,match(IFNA(vlookup(B1097,'Special Names'!A:B,2,FALSE),B1097),PlayerValues!E:E,0)),"N/A")</f>
        <v>N/A</v>
      </c>
      <c r="B1097" s="4" t="s">
        <v>81</v>
      </c>
      <c r="C1097" s="4" t="s">
        <v>325</v>
      </c>
      <c r="D1097" s="94">
        <v>3954.0</v>
      </c>
    </row>
    <row r="1098">
      <c r="A1098" s="40">
        <f t="array" ref="A1098">IFNA(index(PlayerValues!A:A,match(IFNA(vlookup(B1098,'Special Names'!A:B,2,FALSE),B1098),PlayerValues!E:E,0)),"N/A")</f>
        <v>14059</v>
      </c>
      <c r="B1098" s="4" t="s">
        <v>435</v>
      </c>
      <c r="C1098" s="4" t="s">
        <v>283</v>
      </c>
      <c r="D1098" s="94">
        <v>3951.0</v>
      </c>
    </row>
    <row r="1099">
      <c r="A1099" s="40">
        <f t="array" ref="A1099">IFNA(index(PlayerValues!A:A,match(IFNA(vlookup(B1099,'Special Names'!A:B,2,FALSE),B1099),PlayerValues!E:E,0)),"N/A")</f>
        <v>17052</v>
      </c>
      <c r="B1099" s="4" t="s">
        <v>417</v>
      </c>
      <c r="C1099" s="4" t="s">
        <v>278</v>
      </c>
      <c r="D1099" s="94">
        <v>3916.0</v>
      </c>
    </row>
    <row r="1100">
      <c r="A1100" s="40" t="str">
        <f t="array" ref="A1100">IFNA(index(PlayerValues!A:A,match(IFNA(vlookup(B1100,'Special Names'!A:B,2,FALSE),B1100),PlayerValues!E:E,0)),"N/A")</f>
        <v>N/A</v>
      </c>
      <c r="B1100" s="4" t="s">
        <v>95</v>
      </c>
      <c r="C1100" s="4" t="s">
        <v>325</v>
      </c>
      <c r="D1100" s="94">
        <v>3909.0</v>
      </c>
    </row>
    <row r="1101">
      <c r="A1101" s="40">
        <f t="array" ref="A1101">IFNA(index(PlayerValues!A:A,match(IFNA(vlookup(B1101,'Special Names'!A:B,2,FALSE),B1101),PlayerValues!E:E,0)),"N/A")</f>
        <v>17502</v>
      </c>
      <c r="B1101" s="4" t="s">
        <v>451</v>
      </c>
      <c r="C1101" s="4" t="s">
        <v>287</v>
      </c>
      <c r="D1101" s="94">
        <v>3827.0</v>
      </c>
    </row>
    <row r="1102">
      <c r="A1102" s="40">
        <f t="array" ref="A1102">IFNA(index(PlayerValues!A:A,match(IFNA(vlookup(B1102,'Special Names'!A:B,2,FALSE),B1102),PlayerValues!E:E,0)),"N/A")</f>
        <v>15789</v>
      </c>
      <c r="B1102" s="4" t="s">
        <v>421</v>
      </c>
      <c r="C1102" s="4" t="s">
        <v>287</v>
      </c>
      <c r="D1102" s="94">
        <v>3742.0</v>
      </c>
    </row>
    <row r="1103">
      <c r="A1103" s="40">
        <f t="array" ref="A1103">IFNA(index(PlayerValues!A:A,match(IFNA(vlookup(B1103,'Special Names'!A:B,2,FALSE),B1103),PlayerValues!E:E,0)),"N/A")</f>
        <v>9431</v>
      </c>
      <c r="B1103" s="4" t="s">
        <v>428</v>
      </c>
      <c r="C1103" s="4" t="s">
        <v>283</v>
      </c>
      <c r="D1103" s="94">
        <v>3737.0</v>
      </c>
    </row>
    <row r="1104">
      <c r="A1104" s="40">
        <f t="array" ref="A1104">IFNA(index(PlayerValues!A:A,match(IFNA(vlookup(B1104,'Special Names'!A:B,2,FALSE),B1104),PlayerValues!E:E,0)),"N/A")</f>
        <v>13635</v>
      </c>
      <c r="B1104" s="4" t="s">
        <v>424</v>
      </c>
      <c r="C1104" s="4" t="s">
        <v>287</v>
      </c>
      <c r="D1104" s="94">
        <v>3716.0</v>
      </c>
    </row>
    <row r="1105">
      <c r="A1105" s="40">
        <f t="array" ref="A1105">IFNA(index(PlayerValues!A:A,match(IFNA(vlookup(B1105,'Special Names'!A:B,2,FALSE),B1105),PlayerValues!E:E,0)),"N/A")</f>
        <v>17075</v>
      </c>
      <c r="B1105" s="4" t="s">
        <v>429</v>
      </c>
      <c r="C1105" s="4" t="s">
        <v>287</v>
      </c>
      <c r="D1105" s="94">
        <v>3710.0</v>
      </c>
    </row>
    <row r="1106">
      <c r="A1106" s="40">
        <f t="array" ref="A1106">IFNA(index(PlayerValues!A:A,match(IFNA(vlookup(B1106,'Special Names'!A:B,2,FALSE),B1106),PlayerValues!E:E,0)),"N/A")</f>
        <v>17544</v>
      </c>
      <c r="B1106" s="4" t="s">
        <v>470</v>
      </c>
      <c r="C1106" s="4" t="s">
        <v>298</v>
      </c>
      <c r="D1106" s="94">
        <v>4183.0</v>
      </c>
    </row>
    <row r="1107">
      <c r="A1107" s="40">
        <f t="array" ref="A1107">IFNA(index(PlayerValues!A:A,match(IFNA(vlookup(B1107,'Special Names'!A:B,2,FALSE),B1107),PlayerValues!E:E,0)),"N/A")</f>
        <v>17066</v>
      </c>
      <c r="B1107" s="4" t="s">
        <v>446</v>
      </c>
      <c r="C1107" s="4" t="s">
        <v>278</v>
      </c>
      <c r="D1107" s="94">
        <v>3669.0</v>
      </c>
    </row>
    <row r="1108">
      <c r="A1108" s="40">
        <f t="array" ref="A1108">IFNA(index(PlayerValues!A:A,match(IFNA(vlookup(B1108,'Special Names'!A:B,2,FALSE),B1108),PlayerValues!E:E,0)),"N/A")</f>
        <v>17463</v>
      </c>
      <c r="B1108" s="4" t="s">
        <v>433</v>
      </c>
      <c r="C1108" s="4" t="s">
        <v>283</v>
      </c>
      <c r="D1108" s="94">
        <v>3669.0</v>
      </c>
    </row>
    <row r="1109">
      <c r="A1109" s="40">
        <f t="array" ref="A1109">IFNA(index(PlayerValues!A:A,match(IFNA(vlookup(B1109,'Special Names'!A:B,2,FALSE),B1109),PlayerValues!E:E,0)),"N/A")</f>
        <v>16206</v>
      </c>
      <c r="B1109" s="4" t="s">
        <v>431</v>
      </c>
      <c r="C1109" s="4" t="s">
        <v>287</v>
      </c>
      <c r="D1109" s="94">
        <v>3646.0</v>
      </c>
    </row>
    <row r="1110">
      <c r="A1110" s="40">
        <f t="array" ref="A1110">IFNA(index(PlayerValues!A:A,match(IFNA(vlookup(B1110,'Special Names'!A:B,2,FALSE),B1110),PlayerValues!E:E,0)),"N/A")</f>
        <v>17099</v>
      </c>
      <c r="B1110" s="4" t="s">
        <v>474</v>
      </c>
      <c r="C1110" s="4" t="s">
        <v>298</v>
      </c>
      <c r="D1110" s="94">
        <v>4100.0</v>
      </c>
    </row>
    <row r="1111">
      <c r="A1111" s="40">
        <f t="array" ref="A1111">IFNA(index(PlayerValues!A:A,match(IFNA(vlookup(B1111,'Special Names'!A:B,2,FALSE),B1111),PlayerValues!E:E,0)),"N/A")</f>
        <v>16187</v>
      </c>
      <c r="B1111" s="4" t="s">
        <v>441</v>
      </c>
      <c r="C1111" s="4" t="s">
        <v>287</v>
      </c>
      <c r="D1111" s="94">
        <v>3598.0</v>
      </c>
    </row>
    <row r="1112">
      <c r="A1112" s="40">
        <f t="array" ref="A1112">IFNA(index(PlayerValues!A:A,match(IFNA(vlookup(B1112,'Special Names'!A:B,2,FALSE),B1112),PlayerValues!E:E,0)),"N/A")</f>
        <v>15757</v>
      </c>
      <c r="B1112" s="4" t="s">
        <v>449</v>
      </c>
      <c r="C1112" s="4" t="s">
        <v>287</v>
      </c>
      <c r="D1112" s="94">
        <v>3594.0</v>
      </c>
    </row>
    <row r="1113">
      <c r="A1113" s="40">
        <f t="array" ref="A1113">IFNA(index(PlayerValues!A:A,match(IFNA(vlookup(B1113,'Special Names'!A:B,2,FALSE),B1113),PlayerValues!E:E,0)),"N/A")</f>
        <v>14073</v>
      </c>
      <c r="B1113" s="4" t="s">
        <v>464</v>
      </c>
      <c r="C1113" s="4" t="s">
        <v>278</v>
      </c>
      <c r="D1113" s="94">
        <v>3553.0</v>
      </c>
    </row>
    <row r="1114">
      <c r="A1114" s="40">
        <f t="array" ref="A1114">IFNA(index(PlayerValues!A:A,match(IFNA(vlookup(B1114,'Special Names'!A:B,2,FALSE),B1114),PlayerValues!E:E,0)),"N/A")</f>
        <v>14797</v>
      </c>
      <c r="B1114" s="4" t="s">
        <v>420</v>
      </c>
      <c r="C1114" s="4" t="s">
        <v>278</v>
      </c>
      <c r="D1114" s="94">
        <v>3553.0</v>
      </c>
    </row>
    <row r="1115">
      <c r="A1115" s="40">
        <f t="array" ref="A1115">IFNA(index(PlayerValues!A:A,match(IFNA(vlookup(B1115,'Special Names'!A:B,2,FALSE),B1115),PlayerValues!E:E,0)),"N/A")</f>
        <v>16192</v>
      </c>
      <c r="B1115" s="4" t="s">
        <v>412</v>
      </c>
      <c r="C1115" s="4" t="s">
        <v>287</v>
      </c>
      <c r="D1115" s="94">
        <v>3550.0</v>
      </c>
    </row>
    <row r="1116">
      <c r="A1116" s="40">
        <f t="array" ref="A1116">IFNA(index(PlayerValues!A:A,match(IFNA(vlookup(B1116,'Special Names'!A:B,2,FALSE),B1116),PlayerValues!E:E,0)),"N/A")</f>
        <v>14102</v>
      </c>
      <c r="B1116" s="4" t="s">
        <v>444</v>
      </c>
      <c r="C1116" s="4" t="s">
        <v>287</v>
      </c>
      <c r="D1116" s="94">
        <v>3523.0</v>
      </c>
    </row>
    <row r="1117">
      <c r="A1117" s="40" t="str">
        <f t="array" ref="A1117">IFNA(index(PlayerValues!A:A,match(IFNA(vlookup(B1117,'Special Names'!A:B,2,FALSE),B1117),PlayerValues!E:E,0)),"N/A")</f>
        <v>N/A</v>
      </c>
      <c r="B1117" s="4" t="s">
        <v>96</v>
      </c>
      <c r="C1117" s="4" t="s">
        <v>325</v>
      </c>
      <c r="D1117" s="94">
        <v>3491.0</v>
      </c>
    </row>
    <row r="1118">
      <c r="A1118" s="40">
        <f t="array" ref="A1118">IFNA(index(PlayerValues!A:A,match(IFNA(vlookup(B1118,'Special Names'!A:B,2,FALSE),B1118),PlayerValues!E:E,0)),"N/A")</f>
        <v>14109</v>
      </c>
      <c r="B1118" s="4" t="s">
        <v>437</v>
      </c>
      <c r="C1118" s="4" t="s">
        <v>287</v>
      </c>
      <c r="D1118" s="94">
        <v>3461.0</v>
      </c>
    </row>
    <row r="1119">
      <c r="A1119" s="40">
        <f t="array" ref="A1119">IFNA(index(PlayerValues!A:A,match(IFNA(vlookup(B1119,'Special Names'!A:B,2,FALSE),B1119),PlayerValues!E:E,0)),"N/A")</f>
        <v>16184</v>
      </c>
      <c r="B1119" s="4" t="s">
        <v>445</v>
      </c>
      <c r="C1119" s="4" t="s">
        <v>287</v>
      </c>
      <c r="D1119" s="94">
        <v>3459.0</v>
      </c>
    </row>
    <row r="1120">
      <c r="A1120" s="40">
        <f t="array" ref="A1120">IFNA(index(PlayerValues!A:A,match(IFNA(vlookup(B1120,'Special Names'!A:B,2,FALSE),B1120),PlayerValues!E:E,0)),"N/A")</f>
        <v>16622</v>
      </c>
      <c r="B1120" s="4" t="s">
        <v>517</v>
      </c>
      <c r="C1120" s="4" t="s">
        <v>287</v>
      </c>
      <c r="D1120" s="94">
        <v>3454.0</v>
      </c>
    </row>
    <row r="1121">
      <c r="A1121" s="40">
        <f t="array" ref="A1121">IFNA(index(PlayerValues!A:A,match(IFNA(vlookup(B1121,'Special Names'!A:B,2,FALSE),B1121),PlayerValues!E:E,0)),"N/A")</f>
        <v>17068</v>
      </c>
      <c r="B1121" s="4" t="s">
        <v>450</v>
      </c>
      <c r="C1121" s="4" t="s">
        <v>278</v>
      </c>
      <c r="D1121" s="94">
        <v>3436.0</v>
      </c>
    </row>
    <row r="1122">
      <c r="A1122" s="40">
        <f t="array" ref="A1122">IFNA(index(PlayerValues!A:A,match(IFNA(vlookup(B1122,'Special Names'!A:B,2,FALSE),B1122),PlayerValues!E:E,0)),"N/A")</f>
        <v>17500</v>
      </c>
      <c r="B1122" s="4" t="s">
        <v>430</v>
      </c>
      <c r="C1122" s="4" t="s">
        <v>287</v>
      </c>
      <c r="D1122" s="94">
        <v>3435.0</v>
      </c>
    </row>
    <row r="1123">
      <c r="A1123" s="40">
        <f t="array" ref="A1123">IFNA(index(PlayerValues!A:A,match(IFNA(vlookup(B1123,'Special Names'!A:B,2,FALSE),B1123),PlayerValues!E:E,0)),"N/A")</f>
        <v>15798</v>
      </c>
      <c r="B1123" s="4" t="s">
        <v>443</v>
      </c>
      <c r="C1123" s="4" t="s">
        <v>298</v>
      </c>
      <c r="D1123" s="94">
        <v>3826.0</v>
      </c>
    </row>
    <row r="1124">
      <c r="A1124" s="40">
        <f t="array" ref="A1124">IFNA(index(PlayerValues!A:A,match(IFNA(vlookup(B1124,'Special Names'!A:B,2,FALSE),B1124),PlayerValues!E:E,0)),"N/A")</f>
        <v>16169</v>
      </c>
      <c r="B1124" s="4" t="s">
        <v>457</v>
      </c>
      <c r="C1124" s="4" t="s">
        <v>278</v>
      </c>
      <c r="D1124" s="94">
        <v>3375.0</v>
      </c>
    </row>
    <row r="1125">
      <c r="A1125" s="40">
        <f t="array" ref="A1125">IFNA(index(PlayerValues!A:A,match(IFNA(vlookup(B1125,'Special Names'!A:B,2,FALSE),B1125),PlayerValues!E:E,0)),"N/A")</f>
        <v>17083</v>
      </c>
      <c r="B1125" s="4" t="s">
        <v>479</v>
      </c>
      <c r="C1125" s="4" t="s">
        <v>287</v>
      </c>
      <c r="D1125" s="94">
        <v>3373.0</v>
      </c>
    </row>
    <row r="1126">
      <c r="A1126" s="40">
        <f t="array" ref="A1126">IFNA(index(PlayerValues!A:A,match(IFNA(vlookup(B1126,'Special Names'!A:B,2,FALSE),B1126),PlayerValues!E:E,0)),"N/A")</f>
        <v>14071</v>
      </c>
      <c r="B1126" s="4" t="s">
        <v>440</v>
      </c>
      <c r="C1126" s="4" t="s">
        <v>278</v>
      </c>
      <c r="D1126" s="94">
        <v>3370.0</v>
      </c>
    </row>
    <row r="1127">
      <c r="A1127" s="40">
        <f t="array" ref="A1127">IFNA(index(PlayerValues!A:A,match(IFNA(vlookup(B1127,'Special Names'!A:B,2,FALSE),B1127),PlayerValues!E:E,0)),"N/A")</f>
        <v>17074</v>
      </c>
      <c r="B1127" s="4" t="s">
        <v>475</v>
      </c>
      <c r="C1127" s="4" t="s">
        <v>287</v>
      </c>
      <c r="D1127" s="94">
        <v>3368.0</v>
      </c>
    </row>
    <row r="1128">
      <c r="A1128" s="40">
        <f t="array" ref="A1128">IFNA(index(PlayerValues!A:A,match(IFNA(vlookup(B1128,'Special Names'!A:B,2,FALSE),B1128),PlayerValues!E:E,0)),"N/A")</f>
        <v>16620</v>
      </c>
      <c r="B1128" s="4" t="s">
        <v>467</v>
      </c>
      <c r="C1128" s="4" t="s">
        <v>287</v>
      </c>
      <c r="D1128" s="94">
        <v>3363.0</v>
      </c>
    </row>
    <row r="1129">
      <c r="A1129" s="40">
        <f t="array" ref="A1129">IFNA(index(PlayerValues!A:A,match(IFNA(vlookup(B1129,'Special Names'!A:B,2,FALSE),B1129),PlayerValues!E:E,0)),"N/A")</f>
        <v>14842</v>
      </c>
      <c r="B1129" s="4" t="s">
        <v>456</v>
      </c>
      <c r="C1129" s="4" t="s">
        <v>287</v>
      </c>
      <c r="D1129" s="94">
        <v>3361.0</v>
      </c>
    </row>
    <row r="1130">
      <c r="A1130" s="40">
        <f t="array" ref="A1130">IFNA(index(PlayerValues!A:A,match(IFNA(vlookup(B1130,'Special Names'!A:B,2,FALSE),B1130),PlayerValues!E:E,0)),"N/A")</f>
        <v>16188</v>
      </c>
      <c r="B1130" s="4" t="s">
        <v>439</v>
      </c>
      <c r="C1130" s="4" t="s">
        <v>287</v>
      </c>
      <c r="D1130" s="94">
        <v>3352.0</v>
      </c>
    </row>
    <row r="1131">
      <c r="A1131" s="40">
        <f t="array" ref="A1131">IFNA(index(PlayerValues!A:A,match(IFNA(vlookup(B1131,'Special Names'!A:B,2,FALSE),B1131),PlayerValues!E:E,0)),"N/A")</f>
        <v>15261</v>
      </c>
      <c r="B1131" s="4" t="s">
        <v>466</v>
      </c>
      <c r="C1131" s="4" t="s">
        <v>278</v>
      </c>
      <c r="D1131" s="94">
        <v>3326.0</v>
      </c>
    </row>
    <row r="1132">
      <c r="A1132" s="40" t="str">
        <f t="array" ref="A1132">IFNA(index(PlayerValues!A:A,match(IFNA(vlookup(B1132,'Special Names'!A:B,2,FALSE),B1132),PlayerValues!E:E,0)),"N/A")</f>
        <v>N/A</v>
      </c>
      <c r="B1132" s="4" t="s">
        <v>82</v>
      </c>
      <c r="C1132" s="4" t="s">
        <v>325</v>
      </c>
      <c r="D1132" s="94">
        <v>3295.0</v>
      </c>
    </row>
    <row r="1133">
      <c r="A1133" s="40">
        <f t="array" ref="A1133">IFNA(index(PlayerValues!A:A,match(IFNA(vlookup(B1133,'Special Names'!A:B,2,FALSE),B1133),PlayerValues!E:E,0)),"N/A")</f>
        <v>16593</v>
      </c>
      <c r="B1133" s="4" t="s">
        <v>442</v>
      </c>
      <c r="C1133" s="4" t="s">
        <v>278</v>
      </c>
      <c r="D1133" s="94">
        <v>3285.0</v>
      </c>
    </row>
    <row r="1134">
      <c r="A1134" s="40">
        <f t="array" ref="A1134">IFNA(index(PlayerValues!A:A,match(IFNA(vlookup(B1134,'Special Names'!A:B,2,FALSE),B1134),PlayerValues!E:E,0)),"N/A")</f>
        <v>11671</v>
      </c>
      <c r="B1134" s="4" t="s">
        <v>463</v>
      </c>
      <c r="C1134" s="4" t="s">
        <v>287</v>
      </c>
      <c r="D1134" s="94">
        <v>3279.0</v>
      </c>
    </row>
    <row r="1135">
      <c r="A1135" s="40">
        <f t="array" ref="A1135">IFNA(index(PlayerValues!A:A,match(IFNA(vlookup(B1135,'Special Names'!A:B,2,FALSE),B1135),PlayerValues!E:E,0)),"N/A")</f>
        <v>11675</v>
      </c>
      <c r="B1135" s="4" t="s">
        <v>438</v>
      </c>
      <c r="C1135" s="4" t="s">
        <v>287</v>
      </c>
      <c r="D1135" s="94">
        <v>3279.0</v>
      </c>
    </row>
    <row r="1136">
      <c r="A1136" s="40">
        <f t="array" ref="A1136">IFNA(index(PlayerValues!A:A,match(IFNA(vlookup(B1136,'Special Names'!A:B,2,FALSE),B1136),PlayerValues!E:E,0)),"N/A")</f>
        <v>16213</v>
      </c>
      <c r="B1136" s="4" t="s">
        <v>458</v>
      </c>
      <c r="C1136" s="4" t="s">
        <v>298</v>
      </c>
      <c r="D1136" s="94">
        <v>3683.0</v>
      </c>
    </row>
    <row r="1137">
      <c r="A1137" s="40">
        <f t="array" ref="A1137">IFNA(index(PlayerValues!A:A,match(IFNA(vlookup(B1137,'Special Names'!A:B,2,FALSE),B1137),PlayerValues!E:E,0)),"N/A")</f>
        <v>13299</v>
      </c>
      <c r="B1137" s="4" t="s">
        <v>448</v>
      </c>
      <c r="C1137" s="4" t="s">
        <v>298</v>
      </c>
      <c r="D1137" s="94">
        <v>3674.0</v>
      </c>
    </row>
    <row r="1138">
      <c r="A1138" s="40">
        <f t="array" ref="A1138">IFNA(index(PlayerValues!A:A,match(IFNA(vlookup(B1138,'Special Names'!A:B,2,FALSE),B1138),PlayerValues!E:E,0)),"N/A")</f>
        <v>15779</v>
      </c>
      <c r="B1138" s="4" t="s">
        <v>461</v>
      </c>
      <c r="C1138" s="4" t="s">
        <v>287</v>
      </c>
      <c r="D1138" s="94">
        <v>3221.0</v>
      </c>
    </row>
    <row r="1139">
      <c r="A1139" s="40">
        <f t="array" ref="A1139">IFNA(index(PlayerValues!A:A,match(IFNA(vlookup(B1139,'Special Names'!A:B,2,FALSE),B1139),PlayerValues!E:E,0)),"N/A")</f>
        <v>15799</v>
      </c>
      <c r="B1139" s="4" t="s">
        <v>468</v>
      </c>
      <c r="C1139" s="4" t="s">
        <v>298</v>
      </c>
      <c r="D1139" s="94">
        <v>3658.0</v>
      </c>
    </row>
    <row r="1140">
      <c r="A1140" s="40">
        <f t="array" ref="A1140">IFNA(index(PlayerValues!A:A,match(IFNA(vlookup(B1140,'Special Names'!A:B,2,FALSE),B1140),PlayerValues!E:E,0)),"N/A")</f>
        <v>16597</v>
      </c>
      <c r="B1140" s="4" t="s">
        <v>427</v>
      </c>
      <c r="C1140" s="4" t="s">
        <v>278</v>
      </c>
      <c r="D1140" s="94">
        <v>3200.0</v>
      </c>
    </row>
    <row r="1141">
      <c r="A1141" s="40">
        <f t="array" ref="A1141">IFNA(index(PlayerValues!A:A,match(IFNA(vlookup(B1141,'Special Names'!A:B,2,FALSE),B1141),PlayerValues!E:E,0)),"N/A")</f>
        <v>14823</v>
      </c>
      <c r="B1141" s="4" t="s">
        <v>459</v>
      </c>
      <c r="C1141" s="4" t="s">
        <v>278</v>
      </c>
      <c r="D1141" s="94">
        <v>3196.0</v>
      </c>
    </row>
    <row r="1142">
      <c r="A1142" s="40" t="str">
        <f t="array" ref="A1142">IFNA(index(PlayerValues!A:A,match(IFNA(vlookup(B1142,'Special Names'!A:B,2,FALSE),B1142),PlayerValues!E:E,0)),"N/A")</f>
        <v>N/A</v>
      </c>
      <c r="B1142" s="4" t="s">
        <v>108</v>
      </c>
      <c r="C1142" s="4" t="s">
        <v>325</v>
      </c>
      <c r="D1142" s="94">
        <v>3178.0</v>
      </c>
    </row>
    <row r="1143">
      <c r="A1143" s="40">
        <f t="array" ref="A1143">IFNA(index(PlayerValues!A:A,match(IFNA(vlookup(B1143,'Special Names'!A:B,2,FALSE),B1143),PlayerValues!E:E,0)),"N/A")</f>
        <v>17477</v>
      </c>
      <c r="B1143" s="4" t="s">
        <v>452</v>
      </c>
      <c r="C1143" s="4" t="s">
        <v>278</v>
      </c>
      <c r="D1143" s="94">
        <v>3161.0</v>
      </c>
    </row>
    <row r="1144">
      <c r="A1144" s="40">
        <f t="array" ref="A1144">IFNA(index(PlayerValues!A:A,match(IFNA(vlookup(B1144,'Special Names'!A:B,2,FALSE),B1144),PlayerValues!E:E,0)),"N/A")</f>
        <v>15742</v>
      </c>
      <c r="B1144" s="4" t="s">
        <v>447</v>
      </c>
      <c r="C1144" s="4" t="s">
        <v>278</v>
      </c>
      <c r="D1144" s="94">
        <v>3159.0</v>
      </c>
    </row>
    <row r="1145">
      <c r="A1145" s="40">
        <f t="array" ref="A1145">IFNA(index(PlayerValues!A:A,match(IFNA(vlookup(B1145,'Special Names'!A:B,2,FALSE),B1145),PlayerValues!E:E,0)),"N/A")</f>
        <v>16583</v>
      </c>
      <c r="B1145" s="4" t="s">
        <v>493</v>
      </c>
      <c r="C1145" s="4" t="s">
        <v>283</v>
      </c>
      <c r="D1145" s="94">
        <v>3157.0</v>
      </c>
    </row>
    <row r="1146">
      <c r="A1146" s="40" t="str">
        <f t="array" ref="A1146">IFNA(index(PlayerValues!A:A,match(IFNA(vlookup(B1146,'Special Names'!A:B,2,FALSE),B1146),PlayerValues!E:E,0)),"N/A")</f>
        <v>N/A</v>
      </c>
      <c r="B1146" s="4" t="s">
        <v>97</v>
      </c>
      <c r="C1146" s="4" t="s">
        <v>325</v>
      </c>
      <c r="D1146" s="94">
        <v>3155.0</v>
      </c>
    </row>
    <row r="1147">
      <c r="A1147" s="40">
        <f t="array" ref="A1147">IFNA(index(PlayerValues!A:A,match(IFNA(vlookup(B1147,'Special Names'!A:B,2,FALSE),B1147),PlayerValues!E:E,0)),"N/A")</f>
        <v>13630</v>
      </c>
      <c r="B1147" s="4" t="s">
        <v>465</v>
      </c>
      <c r="C1147" s="4" t="s">
        <v>287</v>
      </c>
      <c r="D1147" s="94">
        <v>3152.0</v>
      </c>
    </row>
    <row r="1148">
      <c r="A1148" s="40">
        <f t="array" ref="A1148">IFNA(index(PlayerValues!A:A,match(IFNA(vlookup(B1148,'Special Names'!A:B,2,FALSE),B1148),PlayerValues!E:E,0)),"N/A")</f>
        <v>14127</v>
      </c>
      <c r="B1148" s="4" t="s">
        <v>486</v>
      </c>
      <c r="C1148" s="4" t="s">
        <v>287</v>
      </c>
      <c r="D1148" s="94">
        <v>3139.0</v>
      </c>
    </row>
    <row r="1149">
      <c r="A1149" s="40">
        <f t="array" ref="A1149">IFNA(index(PlayerValues!A:A,match(IFNA(vlookup(B1149,'Special Names'!A:B,2,FALSE),B1149),PlayerValues!E:E,0)),"N/A")</f>
        <v>16809</v>
      </c>
      <c r="B1149" s="4" t="s">
        <v>455</v>
      </c>
      <c r="C1149" s="4" t="s">
        <v>287</v>
      </c>
      <c r="D1149" s="94">
        <v>3068.0</v>
      </c>
    </row>
    <row r="1150">
      <c r="A1150" s="40">
        <f t="array" ref="A1150">IFNA(index(PlayerValues!A:A,match(IFNA(vlookup(B1150,'Special Names'!A:B,2,FALSE),B1150),PlayerValues!E:E,0)),"N/A")</f>
        <v>16269</v>
      </c>
      <c r="B1150" s="4" t="s">
        <v>481</v>
      </c>
      <c r="C1150" s="4" t="s">
        <v>298</v>
      </c>
      <c r="D1150" s="94">
        <v>3435.0</v>
      </c>
    </row>
    <row r="1151">
      <c r="A1151" s="40">
        <f t="array" ref="A1151">IFNA(index(PlayerValues!A:A,match(IFNA(vlookup(B1151,'Special Names'!A:B,2,FALSE),B1151),PlayerValues!E:E,0)),"N/A")</f>
        <v>17506</v>
      </c>
      <c r="B1151" s="4" t="s">
        <v>471</v>
      </c>
      <c r="C1151" s="4" t="s">
        <v>287</v>
      </c>
      <c r="D1151" s="94">
        <v>2999.0</v>
      </c>
    </row>
    <row r="1152">
      <c r="A1152" s="40">
        <f t="array" ref="A1152">IFNA(index(PlayerValues!A:A,match(IFNA(vlookup(B1152,'Special Names'!A:B,2,FALSE),B1152),PlayerValues!E:E,0)),"N/A")</f>
        <v>15761</v>
      </c>
      <c r="B1152" s="4" t="s">
        <v>491</v>
      </c>
      <c r="C1152" s="4" t="s">
        <v>287</v>
      </c>
      <c r="D1152" s="94">
        <v>2990.0</v>
      </c>
    </row>
    <row r="1153">
      <c r="A1153" s="40" t="str">
        <f t="array" ref="A1153">IFNA(index(PlayerValues!A:A,match(IFNA(vlookup(B1153,'Special Names'!A:B,2,FALSE),B1153),PlayerValues!E:E,0)),"N/A")</f>
        <v>N/A</v>
      </c>
      <c r="B1153" s="4" t="s">
        <v>109</v>
      </c>
      <c r="C1153" s="4" t="s">
        <v>325</v>
      </c>
      <c r="D1153" s="94">
        <v>2979.0</v>
      </c>
    </row>
    <row r="1154">
      <c r="A1154" s="40">
        <f t="array" ref="A1154">IFNA(index(PlayerValues!A:A,match(IFNA(vlookup(B1154,'Special Names'!A:B,2,FALSE),B1154),PlayerValues!E:E,0)),"N/A")</f>
        <v>14800</v>
      </c>
      <c r="B1154" s="4" t="s">
        <v>472</v>
      </c>
      <c r="C1154" s="4" t="s">
        <v>278</v>
      </c>
      <c r="D1154" s="94">
        <v>2966.0</v>
      </c>
    </row>
    <row r="1155">
      <c r="A1155" s="40">
        <f t="array" ref="A1155">IFNA(index(PlayerValues!A:A,match(IFNA(vlookup(B1155,'Special Names'!A:B,2,FALSE),B1155),PlayerValues!E:E,0)),"N/A")</f>
        <v>17512</v>
      </c>
      <c r="B1155" s="4" t="s">
        <v>483</v>
      </c>
      <c r="C1155" s="4" t="s">
        <v>287</v>
      </c>
      <c r="D1155" s="94">
        <v>2966.0</v>
      </c>
    </row>
    <row r="1156">
      <c r="A1156" s="40">
        <f t="array" ref="A1156">IFNA(index(PlayerValues!A:A,match(IFNA(vlookup(B1156,'Special Names'!A:B,2,FALSE),B1156),PlayerValues!E:E,0)),"N/A")</f>
        <v>17503</v>
      </c>
      <c r="B1156" s="4" t="s">
        <v>480</v>
      </c>
      <c r="C1156" s="4" t="s">
        <v>287</v>
      </c>
      <c r="D1156" s="94">
        <v>2964.0</v>
      </c>
    </row>
    <row r="1157">
      <c r="A1157" s="40">
        <f t="array" ref="A1157">IFNA(index(PlayerValues!A:A,match(IFNA(vlookup(B1157,'Special Names'!A:B,2,FALSE),B1157),PlayerValues!E:E,0)),"N/A")</f>
        <v>13163</v>
      </c>
      <c r="B1157" s="4" t="s">
        <v>473</v>
      </c>
      <c r="C1157" s="4" t="s">
        <v>287</v>
      </c>
      <c r="D1157" s="94">
        <v>2962.0</v>
      </c>
    </row>
    <row r="1158">
      <c r="A1158" s="40">
        <f t="array" ref="A1158">IFNA(index(PlayerValues!A:A,match(IFNA(vlookup(B1158,'Special Names'!A:B,2,FALSE),B1158),PlayerValues!E:E,0)),"N/A")</f>
        <v>16628</v>
      </c>
      <c r="B1158" s="4" t="s">
        <v>490</v>
      </c>
      <c r="C1158" s="4" t="s">
        <v>287</v>
      </c>
      <c r="D1158" s="94">
        <v>2957.0</v>
      </c>
    </row>
    <row r="1159">
      <c r="A1159" s="40" t="str">
        <f t="array" ref="A1159">IFNA(index(PlayerValues!A:A,match(IFNA(vlookup(B1159,'Special Names'!A:B,2,FALSE),B1159),PlayerValues!E:E,0)),"N/A")</f>
        <v>N/A</v>
      </c>
      <c r="B1159" s="4" t="s">
        <v>84</v>
      </c>
      <c r="C1159" s="4" t="s">
        <v>325</v>
      </c>
      <c r="D1159" s="94">
        <v>2953.0</v>
      </c>
    </row>
    <row r="1160">
      <c r="A1160" s="40">
        <f t="array" ref="A1160">IFNA(index(PlayerValues!A:A,match(IFNA(vlookup(B1160,'Special Names'!A:B,2,FALSE),B1160),PlayerValues!E:E,0)),"N/A")</f>
        <v>17476</v>
      </c>
      <c r="B1160" s="4" t="s">
        <v>494</v>
      </c>
      <c r="C1160" s="4" t="s">
        <v>278</v>
      </c>
      <c r="D1160" s="94">
        <v>2940.0</v>
      </c>
    </row>
    <row r="1161">
      <c r="A1161" s="40">
        <f t="array" ref="A1161">IFNA(index(PlayerValues!A:A,match(IFNA(vlookup(B1161,'Special Names'!A:B,2,FALSE),B1161),PlayerValues!E:E,0)),"N/A")</f>
        <v>17256</v>
      </c>
      <c r="B1161" s="4" t="s">
        <v>462</v>
      </c>
      <c r="C1161" s="4" t="s">
        <v>278</v>
      </c>
      <c r="D1161" s="94">
        <v>2938.0</v>
      </c>
    </row>
    <row r="1162">
      <c r="A1162" s="40">
        <f t="array" ref="A1162">IFNA(index(PlayerValues!A:A,match(IFNA(vlookup(B1162,'Special Names'!A:B,2,FALSE),B1162),PlayerValues!E:E,0)),"N/A")</f>
        <v>15259</v>
      </c>
      <c r="B1162" s="4" t="s">
        <v>453</v>
      </c>
      <c r="C1162" s="4" t="s">
        <v>278</v>
      </c>
      <c r="D1162" s="94">
        <v>2917.0</v>
      </c>
    </row>
    <row r="1163">
      <c r="A1163" s="40">
        <f t="array" ref="A1163">IFNA(index(PlayerValues!A:A,match(IFNA(vlookup(B1163,'Special Names'!A:B,2,FALSE),B1163),PlayerValues!E:E,0)),"N/A")</f>
        <v>16080</v>
      </c>
      <c r="B1163" s="4" t="s">
        <v>499</v>
      </c>
      <c r="C1163" s="4" t="s">
        <v>287</v>
      </c>
      <c r="D1163" s="94">
        <v>2887.0</v>
      </c>
    </row>
    <row r="1164">
      <c r="A1164" s="40">
        <f t="array" ref="A1164">IFNA(index(PlayerValues!A:A,match(IFNA(vlookup(B1164,'Special Names'!A:B,2,FALSE),B1164),PlayerValues!E:E,0)),"N/A")</f>
        <v>16584</v>
      </c>
      <c r="B1164" s="4" t="s">
        <v>569</v>
      </c>
      <c r="C1164" s="4" t="s">
        <v>283</v>
      </c>
      <c r="D1164" s="94">
        <v>2853.0</v>
      </c>
    </row>
    <row r="1165">
      <c r="A1165" s="40" t="str">
        <f t="array" ref="A1165">IFNA(index(PlayerValues!A:A,match(IFNA(vlookup(B1165,'Special Names'!A:B,2,FALSE),B1165),PlayerValues!E:E,0)),"N/A")</f>
        <v>N/A</v>
      </c>
      <c r="B1165" s="4" t="s">
        <v>85</v>
      </c>
      <c r="C1165" s="4" t="s">
        <v>325</v>
      </c>
      <c r="D1165" s="94">
        <v>2833.0</v>
      </c>
    </row>
    <row r="1166">
      <c r="A1166" s="40">
        <f t="array" ref="A1166">IFNA(index(PlayerValues!A:A,match(IFNA(vlookup(B1166,'Special Names'!A:B,2,FALSE),B1166),PlayerValues!E:E,0)),"N/A")</f>
        <v>15255</v>
      </c>
      <c r="B1166" s="4" t="s">
        <v>477</v>
      </c>
      <c r="C1166" s="4" t="s">
        <v>278</v>
      </c>
      <c r="D1166" s="94">
        <v>2829.0</v>
      </c>
    </row>
    <row r="1167">
      <c r="A1167" s="40" t="str">
        <f t="array" ref="A1167">IFNA(index(PlayerValues!A:A,match(IFNA(vlookup(B1167,'Special Names'!A:B,2,FALSE),B1167),PlayerValues!E:E,0)),"N/A")</f>
        <v>N/A</v>
      </c>
      <c r="B1167" s="4" t="s">
        <v>110</v>
      </c>
      <c r="C1167" s="4" t="s">
        <v>325</v>
      </c>
      <c r="D1167" s="94">
        <v>2819.0</v>
      </c>
    </row>
    <row r="1168">
      <c r="A1168" s="40">
        <f t="array" ref="A1168">IFNA(index(PlayerValues!A:A,match(IFNA(vlookup(B1168,'Special Names'!A:B,2,FALSE),B1168),PlayerValues!E:E,0)),"N/A")</f>
        <v>17157</v>
      </c>
      <c r="B1168" s="4" t="s">
        <v>524</v>
      </c>
      <c r="C1168" s="4" t="s">
        <v>287</v>
      </c>
      <c r="D1168" s="94">
        <v>2810.0</v>
      </c>
    </row>
    <row r="1169">
      <c r="A1169" s="40">
        <f t="array" ref="A1169">IFNA(index(PlayerValues!A:A,match(IFNA(vlookup(B1169,'Special Names'!A:B,2,FALSE),B1169),PlayerValues!E:E,0)),"N/A")</f>
        <v>17053</v>
      </c>
      <c r="B1169" s="4" t="s">
        <v>484</v>
      </c>
      <c r="C1169" s="4" t="s">
        <v>278</v>
      </c>
      <c r="D1169" s="94">
        <v>2806.0</v>
      </c>
    </row>
    <row r="1170">
      <c r="A1170" s="40">
        <f t="array" ref="A1170">IFNA(index(PlayerValues!A:A,match(IFNA(vlookup(B1170,'Special Names'!A:B,2,FALSE),B1170),PlayerValues!E:E,0)),"N/A")</f>
        <v>14085</v>
      </c>
      <c r="B1170" s="4" t="s">
        <v>489</v>
      </c>
      <c r="C1170" s="4" t="s">
        <v>278</v>
      </c>
      <c r="D1170" s="94">
        <v>2797.0</v>
      </c>
    </row>
    <row r="1171">
      <c r="A1171" s="40">
        <f t="array" ref="A1171">IFNA(index(PlayerValues!A:A,match(IFNA(vlookup(B1171,'Special Names'!A:B,2,FALSE),B1171),PlayerValues!E:E,0)),"N/A")</f>
        <v>14138</v>
      </c>
      <c r="B1171" s="4" t="s">
        <v>531</v>
      </c>
      <c r="C1171" s="4" t="s">
        <v>298</v>
      </c>
      <c r="D1171" s="94">
        <v>3210.0</v>
      </c>
    </row>
    <row r="1172">
      <c r="A1172" s="40">
        <f t="array" ref="A1172">IFNA(index(PlayerValues!A:A,match(IFNA(vlookup(B1172,'Special Names'!A:B,2,FALSE),B1172),PlayerValues!E:E,0)),"N/A")</f>
        <v>17505</v>
      </c>
      <c r="B1172" s="4" t="s">
        <v>528</v>
      </c>
      <c r="C1172" s="4" t="s">
        <v>287</v>
      </c>
      <c r="D1172" s="94">
        <v>2783.0</v>
      </c>
    </row>
    <row r="1173">
      <c r="A1173" s="40">
        <f t="array" ref="A1173">IFNA(index(PlayerValues!A:A,match(IFNA(vlookup(B1173,'Special Names'!A:B,2,FALSE),B1173),PlayerValues!E:E,0)),"N/A")</f>
        <v>17072</v>
      </c>
      <c r="B1173" s="4" t="s">
        <v>508</v>
      </c>
      <c r="C1173" s="4" t="s">
        <v>287</v>
      </c>
      <c r="D1173" s="94">
        <v>2767.0</v>
      </c>
    </row>
    <row r="1174">
      <c r="A1174" s="40">
        <f t="array" ref="A1174">IFNA(index(PlayerValues!A:A,match(IFNA(vlookup(B1174,'Special Names'!A:B,2,FALSE),B1174),PlayerValues!E:E,0)),"N/A")</f>
        <v>16723</v>
      </c>
      <c r="B1174" s="4" t="s">
        <v>502</v>
      </c>
      <c r="C1174" s="4" t="s">
        <v>298</v>
      </c>
      <c r="D1174" s="94">
        <v>3180.0</v>
      </c>
    </row>
    <row r="1175">
      <c r="A1175" s="40">
        <f t="array" ref="A1175">IFNA(index(PlayerValues!A:A,match(IFNA(vlookup(B1175,'Special Names'!A:B,2,FALSE),B1175),PlayerValues!E:E,0)),"N/A")</f>
        <v>13671</v>
      </c>
      <c r="B1175" s="4" t="s">
        <v>506</v>
      </c>
      <c r="C1175" s="4" t="s">
        <v>298</v>
      </c>
      <c r="D1175" s="94">
        <v>3176.0</v>
      </c>
    </row>
    <row r="1176">
      <c r="A1176" s="40">
        <f t="array" ref="A1176">IFNA(index(PlayerValues!A:A,match(IFNA(vlookup(B1176,'Special Names'!A:B,2,FALSE),B1176),PlayerValues!E:E,0)),"N/A")</f>
        <v>17031</v>
      </c>
      <c r="B1176" s="4" t="s">
        <v>535</v>
      </c>
      <c r="C1176" s="4" t="s">
        <v>283</v>
      </c>
      <c r="D1176" s="94">
        <v>2749.0</v>
      </c>
    </row>
    <row r="1177">
      <c r="A1177" s="40">
        <f t="array" ref="A1177">IFNA(index(PlayerValues!A:A,match(IFNA(vlookup(B1177,'Special Names'!A:B,2,FALSE),B1177),PlayerValues!E:E,0)),"N/A")</f>
        <v>17047</v>
      </c>
      <c r="B1177" s="4" t="s">
        <v>510</v>
      </c>
      <c r="C1177" s="4" t="s">
        <v>278</v>
      </c>
      <c r="D1177" s="94">
        <v>2748.0</v>
      </c>
    </row>
    <row r="1178">
      <c r="A1178" s="40">
        <f t="array" ref="A1178">IFNA(index(PlayerValues!A:A,match(IFNA(vlookup(B1178,'Special Names'!A:B,2,FALSE),B1178),PlayerValues!E:E,0)),"N/A")</f>
        <v>15889</v>
      </c>
      <c r="B1178" s="4" t="s">
        <v>503</v>
      </c>
      <c r="C1178" s="4" t="s">
        <v>298</v>
      </c>
      <c r="D1178" s="94">
        <v>3146.0</v>
      </c>
    </row>
    <row r="1179">
      <c r="A1179" s="40">
        <f t="array" ref="A1179">IFNA(index(PlayerValues!A:A,match(IFNA(vlookup(B1179,'Special Names'!A:B,2,FALSE),B1179),PlayerValues!E:E,0)),"N/A")</f>
        <v>14778</v>
      </c>
      <c r="B1179" s="4" t="s">
        <v>564</v>
      </c>
      <c r="C1179" s="4" t="s">
        <v>283</v>
      </c>
      <c r="D1179" s="94">
        <v>2733.0</v>
      </c>
    </row>
    <row r="1180">
      <c r="A1180" s="40">
        <f t="array" ref="A1180">IFNA(index(PlayerValues!A:A,match(IFNA(vlookup(B1180,'Special Names'!A:B,2,FALSE),B1180),PlayerValues!E:E,0)),"N/A")</f>
        <v>15721</v>
      </c>
      <c r="B1180" s="4" t="s">
        <v>504</v>
      </c>
      <c r="C1180" s="4" t="s">
        <v>278</v>
      </c>
      <c r="D1180" s="94">
        <v>2732.0</v>
      </c>
    </row>
    <row r="1181">
      <c r="A1181" s="40">
        <f t="array" ref="A1181">IFNA(index(PlayerValues!A:A,match(IFNA(vlookup(B1181,'Special Names'!A:B,2,FALSE),B1181),PlayerValues!E:E,0)),"N/A")</f>
        <v>15712</v>
      </c>
      <c r="B1181" s="4" t="s">
        <v>488</v>
      </c>
      <c r="C1181" s="4" t="s">
        <v>278</v>
      </c>
      <c r="D1181" s="94">
        <v>2729.0</v>
      </c>
    </row>
    <row r="1182">
      <c r="A1182" s="40">
        <f t="array" ref="A1182">IFNA(index(PlayerValues!A:A,match(IFNA(vlookup(B1182,'Special Names'!A:B,2,FALSE),B1182),PlayerValues!E:E,0)),"N/A")</f>
        <v>17098</v>
      </c>
      <c r="B1182" s="4" t="s">
        <v>533</v>
      </c>
      <c r="C1182" s="4" t="s">
        <v>287</v>
      </c>
      <c r="D1182" s="94">
        <v>2706.0</v>
      </c>
    </row>
    <row r="1183">
      <c r="A1183" s="40">
        <f t="array" ref="A1183">IFNA(index(PlayerValues!A:A,match(IFNA(vlookup(B1183,'Special Names'!A:B,2,FALSE),B1183),PlayerValues!E:E,0)),"N/A")</f>
        <v>17507</v>
      </c>
      <c r="B1183" s="4" t="s">
        <v>495</v>
      </c>
      <c r="C1183" s="4" t="s">
        <v>287</v>
      </c>
      <c r="D1183" s="94">
        <v>2695.0</v>
      </c>
    </row>
    <row r="1184">
      <c r="A1184" s="40">
        <f t="array" ref="A1184">IFNA(index(PlayerValues!A:A,match(IFNA(vlookup(B1184,'Special Names'!A:B,2,FALSE),B1184),PlayerValues!E:E,0)),"N/A")</f>
        <v>17511</v>
      </c>
      <c r="B1184" s="4" t="s">
        <v>485</v>
      </c>
      <c r="C1184" s="4" t="s">
        <v>287</v>
      </c>
      <c r="D1184" s="94">
        <v>2690.0</v>
      </c>
    </row>
    <row r="1185">
      <c r="A1185" s="40">
        <f t="array" ref="A1185">IFNA(index(PlayerValues!A:A,match(IFNA(vlookup(B1185,'Special Names'!A:B,2,FALSE),B1185),PlayerValues!E:E,0)),"N/A")</f>
        <v>14860</v>
      </c>
      <c r="B1185" s="4" t="s">
        <v>554</v>
      </c>
      <c r="C1185" s="4" t="s">
        <v>287</v>
      </c>
      <c r="D1185" s="94">
        <v>2689.0</v>
      </c>
    </row>
    <row r="1186">
      <c r="A1186" s="40">
        <f t="array" ref="A1186">IFNA(index(PlayerValues!A:A,match(IFNA(vlookup(B1186,'Special Names'!A:B,2,FALSE),B1186),PlayerValues!E:E,0)),"N/A")</f>
        <v>12616</v>
      </c>
      <c r="B1186" s="4" t="s">
        <v>529</v>
      </c>
      <c r="C1186" s="4" t="s">
        <v>283</v>
      </c>
      <c r="D1186" s="94">
        <v>2688.0</v>
      </c>
    </row>
    <row r="1187">
      <c r="A1187" s="40">
        <f t="array" ref="A1187">IFNA(index(PlayerValues!A:A,match(IFNA(vlookup(B1187,'Special Names'!A:B,2,FALSE),B1187),PlayerValues!E:E,0)),"N/A")</f>
        <v>16747</v>
      </c>
      <c r="B1187" s="4" t="s">
        <v>555</v>
      </c>
      <c r="C1187" s="4" t="s">
        <v>278</v>
      </c>
      <c r="D1187" s="94">
        <v>2678.0</v>
      </c>
    </row>
    <row r="1188">
      <c r="A1188" s="40">
        <f t="array" ref="A1188">IFNA(index(PlayerValues!A:A,match(IFNA(vlookup(B1188,'Special Names'!A:B,2,FALSE),B1188),PlayerValues!E:E,0)),"N/A")</f>
        <v>17080</v>
      </c>
      <c r="B1188" s="4" t="s">
        <v>532</v>
      </c>
      <c r="C1188" s="4" t="s">
        <v>287</v>
      </c>
      <c r="D1188" s="94">
        <v>2674.0</v>
      </c>
    </row>
    <row r="1189">
      <c r="A1189" s="40">
        <f t="array" ref="A1189">IFNA(index(PlayerValues!A:A,match(IFNA(vlookup(B1189,'Special Names'!A:B,2,FALSE),B1189),PlayerValues!E:E,0)),"N/A")</f>
        <v>17105</v>
      </c>
      <c r="B1189" s="4" t="s">
        <v>525</v>
      </c>
      <c r="C1189" s="4" t="s">
        <v>298</v>
      </c>
      <c r="D1189" s="94">
        <v>3083.0</v>
      </c>
    </row>
    <row r="1190">
      <c r="A1190" s="40">
        <f t="array" ref="A1190">IFNA(index(PlayerValues!A:A,match(IFNA(vlookup(B1190,'Special Names'!A:B,2,FALSE),B1190),PlayerValues!E:E,0)),"N/A")</f>
        <v>16193</v>
      </c>
      <c r="B1190" s="4" t="s">
        <v>487</v>
      </c>
      <c r="C1190" s="4" t="s">
        <v>287</v>
      </c>
      <c r="D1190" s="94">
        <v>2668.0</v>
      </c>
    </row>
    <row r="1191">
      <c r="A1191" s="40">
        <f t="array" ref="A1191">IFNA(index(PlayerValues!A:A,match(IFNA(vlookup(B1191,'Special Names'!A:B,2,FALSE),B1191),PlayerValues!E:E,0)),"N/A")</f>
        <v>16596</v>
      </c>
      <c r="B1191" s="4" t="s">
        <v>501</v>
      </c>
      <c r="C1191" s="4" t="s">
        <v>278</v>
      </c>
      <c r="D1191" s="94">
        <v>2661.0</v>
      </c>
    </row>
    <row r="1192">
      <c r="A1192" s="40">
        <f t="array" ref="A1192">IFNA(index(PlayerValues!A:A,match(IFNA(vlookup(B1192,'Special Names'!A:B,2,FALSE),B1192),PlayerValues!E:E,0)),"N/A")</f>
        <v>15241</v>
      </c>
      <c r="B1192" s="4" t="s">
        <v>546</v>
      </c>
      <c r="C1192" s="4" t="s">
        <v>283</v>
      </c>
      <c r="D1192" s="94">
        <v>2658.0</v>
      </c>
    </row>
    <row r="1193">
      <c r="A1193" s="40">
        <f t="array" ref="A1193">IFNA(index(PlayerValues!A:A,match(IFNA(vlookup(B1193,'Special Names'!A:B,2,FALSE),B1193),PlayerValues!E:E,0)),"N/A")</f>
        <v>16619</v>
      </c>
      <c r="B1193" s="4" t="s">
        <v>538</v>
      </c>
      <c r="C1193" s="4" t="s">
        <v>287</v>
      </c>
      <c r="D1193" s="94">
        <v>2658.0</v>
      </c>
    </row>
    <row r="1194">
      <c r="A1194" s="40">
        <f t="array" ref="A1194">IFNA(index(PlayerValues!A:A,match(IFNA(vlookup(B1194,'Special Names'!A:B,2,FALSE),B1194),PlayerValues!E:E,0)),"N/A")</f>
        <v>15972</v>
      </c>
      <c r="B1194" s="4" t="s">
        <v>469</v>
      </c>
      <c r="C1194" s="4" t="s">
        <v>278</v>
      </c>
      <c r="D1194" s="94">
        <v>2656.0</v>
      </c>
    </row>
    <row r="1195">
      <c r="A1195" s="40">
        <f t="array" ref="A1195">IFNA(index(PlayerValues!A:A,match(IFNA(vlookup(B1195,'Special Names'!A:B,2,FALSE),B1195),PlayerValues!E:E,0)),"N/A")</f>
        <v>14833</v>
      </c>
      <c r="B1195" s="4" t="s">
        <v>553</v>
      </c>
      <c r="C1195" s="4" t="s">
        <v>287</v>
      </c>
      <c r="D1195" s="94">
        <v>2627.0</v>
      </c>
    </row>
    <row r="1196">
      <c r="A1196" s="40">
        <f t="array" ref="A1196">IFNA(index(PlayerValues!A:A,match(IFNA(vlookup(B1196,'Special Names'!A:B,2,FALSE),B1196),PlayerValues!E:E,0)),"N/A")</f>
        <v>17107</v>
      </c>
      <c r="B1196" s="4" t="s">
        <v>478</v>
      </c>
      <c r="C1196" s="4" t="s">
        <v>298</v>
      </c>
      <c r="D1196" s="94">
        <v>3034.0</v>
      </c>
    </row>
    <row r="1197">
      <c r="A1197" s="40" t="str">
        <f t="array" ref="A1197">IFNA(index(PlayerValues!A:A,match(IFNA(vlookup(B1197,'Special Names'!A:B,2,FALSE),B1197),PlayerValues!E:E,0)),"N/A")</f>
        <v>N/A</v>
      </c>
      <c r="B1197" s="4" t="s">
        <v>98</v>
      </c>
      <c r="C1197" s="4" t="s">
        <v>325</v>
      </c>
      <c r="D1197" s="94">
        <v>2623.0</v>
      </c>
    </row>
    <row r="1198">
      <c r="A1198" s="40">
        <f t="array" ref="A1198">IFNA(index(PlayerValues!A:A,match(IFNA(vlookup(B1198,'Special Names'!A:B,2,FALSE),B1198),PlayerValues!E:E,0)),"N/A")</f>
        <v>17073</v>
      </c>
      <c r="B1198" s="4" t="s">
        <v>547</v>
      </c>
      <c r="C1198" s="4" t="s">
        <v>287</v>
      </c>
      <c r="D1198" s="94">
        <v>2611.0</v>
      </c>
    </row>
    <row r="1199">
      <c r="A1199" s="40">
        <f t="array" ref="A1199">IFNA(index(PlayerValues!A:A,match(IFNA(vlookup(B1199,'Special Names'!A:B,2,FALSE),B1199),PlayerValues!E:E,0)),"N/A")</f>
        <v>17509</v>
      </c>
      <c r="B1199" s="4" t="s">
        <v>551</v>
      </c>
      <c r="C1199" s="4" t="s">
        <v>287</v>
      </c>
      <c r="D1199" s="94">
        <v>2609.0</v>
      </c>
    </row>
    <row r="1200">
      <c r="A1200" s="40">
        <f t="array" ref="A1200">IFNA(index(PlayerValues!A:A,match(IFNA(vlookup(B1200,'Special Names'!A:B,2,FALSE),B1200),PlayerValues!E:E,0)),"N/A")</f>
        <v>16165</v>
      </c>
      <c r="B1200" s="4" t="s">
        <v>520</v>
      </c>
      <c r="C1200" s="4" t="s">
        <v>278</v>
      </c>
      <c r="D1200" s="94">
        <v>2600.0</v>
      </c>
    </row>
    <row r="1201">
      <c r="A1201" s="40">
        <f t="array" ref="A1201">IFNA(index(PlayerValues!A:A,match(IFNA(vlookup(B1201,'Special Names'!A:B,2,FALSE),B1201),PlayerValues!E:E,0)),"N/A")</f>
        <v>16174</v>
      </c>
      <c r="B1201" s="4" t="s">
        <v>505</v>
      </c>
      <c r="C1201" s="4" t="s">
        <v>278</v>
      </c>
      <c r="D1201" s="94">
        <v>2595.0</v>
      </c>
    </row>
    <row r="1202">
      <c r="A1202" s="40">
        <f t="array" ref="A1202">IFNA(index(PlayerValues!A:A,match(IFNA(vlookup(B1202,'Special Names'!A:B,2,FALSE),B1202),PlayerValues!E:E,0)),"N/A")</f>
        <v>17474</v>
      </c>
      <c r="B1202" s="4" t="s">
        <v>513</v>
      </c>
      <c r="C1202" s="4" t="s">
        <v>278</v>
      </c>
      <c r="D1202" s="94">
        <v>2594.0</v>
      </c>
    </row>
    <row r="1203">
      <c r="A1203" s="40">
        <f t="array" ref="A1203">IFNA(index(PlayerValues!A:A,match(IFNA(vlookup(B1203,'Special Names'!A:B,2,FALSE),B1203),PlayerValues!E:E,0)),"N/A")</f>
        <v>13674</v>
      </c>
      <c r="B1203" s="4" t="s">
        <v>511</v>
      </c>
      <c r="C1203" s="4" t="s">
        <v>298</v>
      </c>
      <c r="D1203" s="94">
        <v>2978.0</v>
      </c>
    </row>
    <row r="1204">
      <c r="A1204" s="40">
        <f t="array" ref="A1204">IFNA(index(PlayerValues!A:A,match(IFNA(vlookup(B1204,'Special Names'!A:B,2,FALSE),B1204),PlayerValues!E:E,0)),"N/A")</f>
        <v>16204</v>
      </c>
      <c r="B1204" s="4" t="s">
        <v>530</v>
      </c>
      <c r="C1204" s="4" t="s">
        <v>287</v>
      </c>
      <c r="D1204" s="94">
        <v>2541.0</v>
      </c>
    </row>
    <row r="1205">
      <c r="A1205" s="40">
        <f t="array" ref="A1205">IFNA(index(PlayerValues!A:A,match(IFNA(vlookup(B1205,'Special Names'!A:B,2,FALSE),B1205),PlayerValues!E:E,0)),"N/A")</f>
        <v>17478</v>
      </c>
      <c r="B1205" s="4" t="s">
        <v>527</v>
      </c>
      <c r="C1205" s="4" t="s">
        <v>278</v>
      </c>
      <c r="D1205" s="94">
        <v>2528.0</v>
      </c>
    </row>
    <row r="1206">
      <c r="A1206" s="40">
        <f t="array" ref="A1206">IFNA(index(PlayerValues!A:A,match(IFNA(vlookup(B1206,'Special Names'!A:B,2,FALSE),B1206),PlayerValues!E:E,0)),"N/A")</f>
        <v>17108</v>
      </c>
      <c r="B1206" s="4" t="s">
        <v>542</v>
      </c>
      <c r="C1206" s="4" t="s">
        <v>298</v>
      </c>
      <c r="D1206" s="94">
        <v>2925.0</v>
      </c>
    </row>
    <row r="1207">
      <c r="A1207" s="40">
        <f t="array" ref="A1207">IFNA(index(PlayerValues!A:A,match(IFNA(vlookup(B1207,'Special Names'!A:B,2,FALSE),B1207),PlayerValues!E:E,0)),"N/A")</f>
        <v>17078</v>
      </c>
      <c r="B1207" s="4" t="s">
        <v>543</v>
      </c>
      <c r="C1207" s="4" t="s">
        <v>287</v>
      </c>
      <c r="D1207" s="94">
        <v>2518.0</v>
      </c>
    </row>
    <row r="1208">
      <c r="A1208" s="40">
        <f t="array" ref="A1208">IFNA(index(PlayerValues!A:A,match(IFNA(vlookup(B1208,'Special Names'!A:B,2,FALSE),B1208),PlayerValues!E:E,0)),"N/A")</f>
        <v>17082</v>
      </c>
      <c r="B1208" s="4" t="s">
        <v>498</v>
      </c>
      <c r="C1208" s="4" t="s">
        <v>287</v>
      </c>
      <c r="D1208" s="94">
        <v>2516.0</v>
      </c>
    </row>
    <row r="1209">
      <c r="A1209" s="40">
        <f t="array" ref="A1209">IFNA(index(PlayerValues!A:A,match(IFNA(vlookup(B1209,'Special Names'!A:B,2,FALSE),B1209),PlayerValues!E:E,0)),"N/A")</f>
        <v>17508</v>
      </c>
      <c r="B1209" s="4" t="s">
        <v>534</v>
      </c>
      <c r="C1209" s="4" t="s">
        <v>287</v>
      </c>
      <c r="D1209" s="94">
        <v>2506.0</v>
      </c>
    </row>
    <row r="1210">
      <c r="A1210" s="40">
        <f t="array" ref="A1210">IFNA(index(PlayerValues!A:A,match(IFNA(vlookup(B1210,'Special Names'!A:B,2,FALSE),B1210),PlayerValues!E:E,0)),"N/A")</f>
        <v>16617</v>
      </c>
      <c r="B1210" s="4" t="s">
        <v>541</v>
      </c>
      <c r="C1210" s="4" t="s">
        <v>287</v>
      </c>
      <c r="D1210" s="94">
        <v>2490.0</v>
      </c>
    </row>
    <row r="1211">
      <c r="A1211" s="40">
        <f t="array" ref="A1211">IFNA(index(PlayerValues!A:A,match(IFNA(vlookup(B1211,'Special Names'!A:B,2,FALSE),B1211),PlayerValues!E:E,0)),"N/A")</f>
        <v>16684</v>
      </c>
      <c r="B1211" s="4" t="s">
        <v>500</v>
      </c>
      <c r="C1211" s="4" t="s">
        <v>287</v>
      </c>
      <c r="D1211" s="94">
        <v>2490.0</v>
      </c>
    </row>
    <row r="1212">
      <c r="A1212" s="40">
        <f t="array" ref="A1212">IFNA(index(PlayerValues!A:A,match(IFNA(vlookup(B1212,'Special Names'!A:B,2,FALSE),B1212),PlayerValues!E:E,0)),"N/A")</f>
        <v>13192</v>
      </c>
      <c r="B1212" s="4" t="s">
        <v>563</v>
      </c>
      <c r="C1212" s="4" t="s">
        <v>298</v>
      </c>
      <c r="D1212" s="94">
        <v>2864.0</v>
      </c>
    </row>
    <row r="1213">
      <c r="A1213" s="40">
        <f t="array" ref="A1213">IFNA(index(PlayerValues!A:A,match(IFNA(vlookup(B1213,'Special Names'!A:B,2,FALSE),B1213),PlayerValues!E:E,0)),"N/A")</f>
        <v>17171</v>
      </c>
      <c r="B1213" s="4" t="s">
        <v>561</v>
      </c>
      <c r="C1213" s="4" t="s">
        <v>287</v>
      </c>
      <c r="D1213" s="94">
        <v>2451.0</v>
      </c>
    </row>
    <row r="1214">
      <c r="A1214" s="40" t="str">
        <f t="array" ref="A1214">IFNA(index(PlayerValues!A:A,match(IFNA(vlookup(B1214,'Special Names'!A:B,2,FALSE),B1214),PlayerValues!E:E,0)),"N/A")</f>
        <v>N/A</v>
      </c>
      <c r="B1214" s="4" t="s">
        <v>99</v>
      </c>
      <c r="C1214" s="4" t="s">
        <v>325</v>
      </c>
      <c r="D1214" s="94">
        <v>2447.0</v>
      </c>
    </row>
    <row r="1215">
      <c r="A1215" s="40">
        <f t="array" ref="A1215">IFNA(index(PlayerValues!A:A,match(IFNA(vlookup(B1215,'Special Names'!A:B,2,FALSE),B1215),PlayerValues!E:E,0)),"N/A")</f>
        <v>16626</v>
      </c>
      <c r="B1215" s="4" t="s">
        <v>515</v>
      </c>
      <c r="C1215" s="4" t="s">
        <v>287</v>
      </c>
      <c r="D1215" s="94">
        <v>2445.0</v>
      </c>
    </row>
    <row r="1216">
      <c r="A1216" s="40">
        <f t="array" ref="A1216">IFNA(index(PlayerValues!A:A,match(IFNA(vlookup(B1216,'Special Names'!A:B,2,FALSE),B1216),PlayerValues!E:E,0)),"N/A")</f>
        <v>11244</v>
      </c>
      <c r="B1216" s="4" t="s">
        <v>519</v>
      </c>
      <c r="C1216" s="4" t="s">
        <v>298</v>
      </c>
      <c r="D1216" s="94">
        <v>2846.0</v>
      </c>
    </row>
    <row r="1217">
      <c r="A1217" s="40">
        <f t="array" ref="A1217">IFNA(index(PlayerValues!A:A,match(IFNA(vlookup(B1217,'Special Names'!A:B,2,FALSE),B1217),PlayerValues!E:E,0)),"N/A")</f>
        <v>17134</v>
      </c>
      <c r="B1217" s="4" t="s">
        <v>548</v>
      </c>
      <c r="C1217" s="4" t="s">
        <v>287</v>
      </c>
      <c r="D1217" s="94">
        <v>2443.0</v>
      </c>
    </row>
    <row r="1218">
      <c r="A1218" s="40">
        <f t="array" ref="A1218">IFNA(index(PlayerValues!A:A,match(IFNA(vlookup(B1218,'Special Names'!A:B,2,FALSE),B1218),PlayerValues!E:E,0)),"N/A")</f>
        <v>16287</v>
      </c>
      <c r="B1218" s="4" t="s">
        <v>516</v>
      </c>
      <c r="C1218" s="4" t="s">
        <v>287</v>
      </c>
      <c r="D1218" s="94">
        <v>2439.0</v>
      </c>
    </row>
    <row r="1219">
      <c r="A1219" s="40">
        <f t="array" ref="A1219">IFNA(index(PlayerValues!A:A,match(IFNA(vlookup(B1219,'Special Names'!A:B,2,FALSE),B1219),PlayerValues!E:E,0)),"N/A")</f>
        <v>16164</v>
      </c>
      <c r="B1219" s="4" t="s">
        <v>512</v>
      </c>
      <c r="C1219" s="4" t="s">
        <v>278</v>
      </c>
      <c r="D1219" s="94">
        <v>2434.0</v>
      </c>
    </row>
    <row r="1220">
      <c r="A1220" s="40">
        <f t="array" ref="A1220">IFNA(index(PlayerValues!A:A,match(IFNA(vlookup(B1220,'Special Names'!A:B,2,FALSE),B1220),PlayerValues!E:E,0)),"N/A")</f>
        <v>17482</v>
      </c>
      <c r="B1220" s="4" t="s">
        <v>460</v>
      </c>
      <c r="C1220" s="4" t="s">
        <v>278</v>
      </c>
      <c r="D1220" s="94">
        <v>2408.0</v>
      </c>
    </row>
    <row r="1221">
      <c r="A1221" s="40">
        <f t="array" ref="A1221">IFNA(index(PlayerValues!A:A,match(IFNA(vlookup(B1221,'Special Names'!A:B,2,FALSE),B1221),PlayerValues!E:E,0)),"N/A")</f>
        <v>16178</v>
      </c>
      <c r="B1221" s="4" t="s">
        <v>507</v>
      </c>
      <c r="C1221" s="4" t="s">
        <v>278</v>
      </c>
      <c r="D1221" s="94">
        <v>2406.0</v>
      </c>
    </row>
    <row r="1222">
      <c r="A1222" s="40">
        <f t="array" ref="A1222">IFNA(index(PlayerValues!A:A,match(IFNA(vlookup(B1222,'Special Names'!A:B,2,FALSE),B1222),PlayerValues!E:E,0)),"N/A")</f>
        <v>17514</v>
      </c>
      <c r="B1222" s="4" t="s">
        <v>422</v>
      </c>
      <c r="C1222" s="4" t="s">
        <v>287</v>
      </c>
      <c r="D1222" s="94">
        <v>2405.0</v>
      </c>
    </row>
    <row r="1223">
      <c r="A1223" s="40">
        <f t="array" ref="A1223">IFNA(index(PlayerValues!A:A,match(IFNA(vlookup(B1223,'Special Names'!A:B,2,FALSE),B1223),PlayerValues!E:E,0)),"N/A")</f>
        <v>17048</v>
      </c>
      <c r="B1223" s="4" t="s">
        <v>539</v>
      </c>
      <c r="C1223" s="4" t="s">
        <v>278</v>
      </c>
      <c r="D1223" s="94">
        <v>2393.0</v>
      </c>
    </row>
    <row r="1224">
      <c r="A1224" s="40">
        <f t="array" ref="A1224">IFNA(index(PlayerValues!A:A,match(IFNA(vlookup(B1224,'Special Names'!A:B,2,FALSE),B1224),PlayerValues!E:E,0)),"N/A")</f>
        <v>15716</v>
      </c>
      <c r="B1224" s="4" t="s">
        <v>545</v>
      </c>
      <c r="C1224" s="4" t="s">
        <v>278</v>
      </c>
      <c r="D1224" s="94">
        <v>2385.0</v>
      </c>
    </row>
    <row r="1225">
      <c r="A1225" s="40">
        <f t="array" ref="A1225">IFNA(index(PlayerValues!A:A,match(IFNA(vlookup(B1225,'Special Names'!A:B,2,FALSE),B1225),PlayerValues!E:E,0)),"N/A")</f>
        <v>17517</v>
      </c>
      <c r="B1225" s="4" t="s">
        <v>454</v>
      </c>
      <c r="C1225" s="4" t="s">
        <v>287</v>
      </c>
      <c r="D1225" s="94">
        <v>2385.0</v>
      </c>
    </row>
    <row r="1226">
      <c r="A1226" s="40">
        <f t="array" ref="A1226">IFNA(index(PlayerValues!A:A,match(IFNA(vlookup(B1226,'Special Names'!A:B,2,FALSE),B1226),PlayerValues!E:E,0)),"N/A")</f>
        <v>16195</v>
      </c>
      <c r="B1226" s="4" t="s">
        <v>509</v>
      </c>
      <c r="C1226" s="4" t="s">
        <v>287</v>
      </c>
      <c r="D1226" s="94">
        <v>2381.0</v>
      </c>
    </row>
    <row r="1227">
      <c r="A1227" s="40">
        <f t="array" ref="A1227">IFNA(index(PlayerValues!A:A,match(IFNA(vlookup(B1227,'Special Names'!A:B,2,FALSE),B1227),PlayerValues!E:E,0)),"N/A")</f>
        <v>15786</v>
      </c>
      <c r="B1227" s="4" t="s">
        <v>521</v>
      </c>
      <c r="C1227" s="4" t="s">
        <v>287</v>
      </c>
      <c r="D1227" s="94">
        <v>2372.0</v>
      </c>
    </row>
    <row r="1228">
      <c r="A1228" s="40">
        <f t="array" ref="A1228">IFNA(index(PlayerValues!A:A,match(IFNA(vlookup(B1228,'Special Names'!A:B,2,FALSE),B1228),PlayerValues!E:E,0)),"N/A")</f>
        <v>17106</v>
      </c>
      <c r="B1228" s="4" t="s">
        <v>550</v>
      </c>
      <c r="C1228" s="4" t="s">
        <v>298</v>
      </c>
      <c r="D1228" s="94">
        <v>2754.0</v>
      </c>
    </row>
    <row r="1229">
      <c r="A1229" s="40">
        <f t="array" ref="A1229">IFNA(index(PlayerValues!A:A,match(IFNA(vlookup(B1229,'Special Names'!A:B,2,FALSE),B1229),PlayerValues!E:E,0)),"N/A")</f>
        <v>15749</v>
      </c>
      <c r="B1229" s="4" t="s">
        <v>574</v>
      </c>
      <c r="C1229" s="4" t="s">
        <v>278</v>
      </c>
      <c r="D1229" s="94">
        <v>2353.0</v>
      </c>
    </row>
    <row r="1230">
      <c r="A1230" s="40">
        <f t="array" ref="A1230">IFNA(index(PlayerValues!A:A,match(IFNA(vlookup(B1230,'Special Names'!A:B,2,FALSE),B1230),PlayerValues!E:E,0)),"N/A")</f>
        <v>15802</v>
      </c>
      <c r="B1230" s="4" t="s">
        <v>566</v>
      </c>
      <c r="C1230" s="4" t="s">
        <v>298</v>
      </c>
      <c r="D1230" s="94">
        <v>2739.0</v>
      </c>
    </row>
    <row r="1231">
      <c r="A1231" s="40">
        <f t="array" ref="A1231">IFNA(index(PlayerValues!A:A,match(IFNA(vlookup(B1231,'Special Names'!A:B,2,FALSE),B1231),PlayerValues!E:E,0)),"N/A")</f>
        <v>14861</v>
      </c>
      <c r="B1231" s="4" t="s">
        <v>523</v>
      </c>
      <c r="C1231" s="4" t="s">
        <v>298</v>
      </c>
      <c r="D1231" s="94">
        <v>2734.0</v>
      </c>
    </row>
    <row r="1232">
      <c r="A1232" s="40" t="str">
        <f t="array" ref="A1232">IFNA(index(PlayerValues!A:A,match(IFNA(vlookup(B1232,'Special Names'!A:B,2,FALSE),B1232),PlayerValues!E:E,0)),"N/A")</f>
        <v>N/A</v>
      </c>
      <c r="B1232" s="4" t="s">
        <v>557</v>
      </c>
      <c r="C1232" s="4" t="s">
        <v>278</v>
      </c>
      <c r="D1232" s="94">
        <v>2334.0</v>
      </c>
    </row>
    <row r="1233">
      <c r="A1233" s="40">
        <f t="array" ref="A1233">IFNA(index(PlayerValues!A:A,match(IFNA(vlookup(B1233,'Special Names'!A:B,2,FALSE),B1233),PlayerValues!E:E,0)),"N/A")</f>
        <v>14840</v>
      </c>
      <c r="B1233" s="4" t="s">
        <v>731</v>
      </c>
      <c r="C1233" s="4" t="s">
        <v>287</v>
      </c>
      <c r="D1233" s="94">
        <v>2308.0</v>
      </c>
    </row>
    <row r="1234">
      <c r="A1234" s="40">
        <f t="array" ref="A1234">IFNA(index(PlayerValues!A:A,match(IFNA(vlookup(B1234,'Special Names'!A:B,2,FALSE),B1234),PlayerValues!E:E,0)),"N/A")</f>
        <v>16036</v>
      </c>
      <c r="B1234" s="4" t="s">
        <v>592</v>
      </c>
      <c r="C1234" s="4" t="s">
        <v>298</v>
      </c>
      <c r="D1234" s="94">
        <v>2688.0</v>
      </c>
    </row>
    <row r="1235">
      <c r="A1235" s="40">
        <f t="array" ref="A1235">IFNA(index(PlayerValues!A:A,match(IFNA(vlookup(B1235,'Special Names'!A:B,2,FALSE),B1235),PlayerValues!E:E,0)),"N/A")</f>
        <v>16152</v>
      </c>
      <c r="B1235" s="4" t="s">
        <v>601</v>
      </c>
      <c r="C1235" s="4" t="s">
        <v>283</v>
      </c>
      <c r="D1235" s="94">
        <v>2283.0</v>
      </c>
    </row>
    <row r="1236">
      <c r="A1236" s="40">
        <f t="array" ref="A1236">IFNA(index(PlayerValues!A:A,match(IFNA(vlookup(B1236,'Special Names'!A:B,2,FALSE),B1236),PlayerValues!E:E,0)),"N/A")</f>
        <v>16594</v>
      </c>
      <c r="B1236" s="4" t="s">
        <v>607</v>
      </c>
      <c r="C1236" s="4" t="s">
        <v>278</v>
      </c>
      <c r="D1236" s="94">
        <v>2273.0</v>
      </c>
    </row>
    <row r="1237">
      <c r="A1237" s="40">
        <f t="array" ref="A1237">IFNA(index(PlayerValues!A:A,match(IFNA(vlookup(B1237,'Special Names'!A:B,2,FALSE),B1237),PlayerValues!E:E,0)),"N/A")</f>
        <v>17547</v>
      </c>
      <c r="B1237" s="4" t="s">
        <v>552</v>
      </c>
      <c r="C1237" s="4" t="s">
        <v>298</v>
      </c>
      <c r="D1237" s="94">
        <v>2661.0</v>
      </c>
    </row>
    <row r="1238">
      <c r="A1238" s="40">
        <f t="array" ref="A1238">IFNA(index(PlayerValues!A:A,match(IFNA(vlookup(B1238,'Special Names'!A:B,2,FALSE),B1238),PlayerValues!E:E,0)),"N/A")</f>
        <v>17520</v>
      </c>
      <c r="B1238" s="4" t="s">
        <v>518</v>
      </c>
      <c r="C1238" s="4" t="s">
        <v>287</v>
      </c>
      <c r="D1238" s="94">
        <v>2253.0</v>
      </c>
    </row>
    <row r="1239">
      <c r="A1239" s="40" t="str">
        <f t="array" ref="A1239">IFNA(index(PlayerValues!A:A,match(IFNA(vlookup(B1239,'Special Names'!A:B,2,FALSE),B1239),PlayerValues!E:E,0)),"N/A")</f>
        <v>N/A</v>
      </c>
      <c r="B1239" s="4" t="s">
        <v>86</v>
      </c>
      <c r="C1239" s="4" t="s">
        <v>325</v>
      </c>
      <c r="D1239" s="94">
        <v>2252.0</v>
      </c>
    </row>
    <row r="1240">
      <c r="A1240" s="40">
        <f t="array" ref="A1240">IFNA(index(PlayerValues!A:A,match(IFNA(vlookup(B1240,'Special Names'!A:B,2,FALSE),B1240),PlayerValues!E:E,0)),"N/A")</f>
        <v>17033</v>
      </c>
      <c r="B1240" s="4" t="s">
        <v>570</v>
      </c>
      <c r="C1240" s="4" t="s">
        <v>283</v>
      </c>
      <c r="D1240" s="94">
        <v>2249.0</v>
      </c>
    </row>
    <row r="1241">
      <c r="A1241" s="40">
        <f t="array" ref="A1241">IFNA(index(PlayerValues!A:A,match(IFNA(vlookup(B1241,'Special Names'!A:B,2,FALSE),B1241),PlayerValues!E:E,0)),"N/A")</f>
        <v>12676</v>
      </c>
      <c r="B1241" s="4" t="s">
        <v>537</v>
      </c>
      <c r="C1241" s="4" t="s">
        <v>298</v>
      </c>
      <c r="D1241" s="94">
        <v>2634.0</v>
      </c>
    </row>
    <row r="1242">
      <c r="A1242" s="40">
        <f t="array" ref="A1242">IFNA(index(PlayerValues!A:A,match(IFNA(vlookup(B1242,'Special Names'!A:B,2,FALSE),B1242),PlayerValues!E:E,0)),"N/A")</f>
        <v>13772</v>
      </c>
      <c r="B1242" s="4" t="s">
        <v>544</v>
      </c>
      <c r="C1242" s="4" t="s">
        <v>298</v>
      </c>
      <c r="D1242" s="94">
        <v>2634.0</v>
      </c>
    </row>
    <row r="1243">
      <c r="A1243" s="40">
        <f t="array" ref="A1243">IFNA(index(PlayerValues!A:A,match(IFNA(vlookup(B1243,'Special Names'!A:B,2,FALSE),B1243),PlayerValues!E:E,0)),"N/A")</f>
        <v>11150</v>
      </c>
      <c r="B1243" s="4" t="s">
        <v>559</v>
      </c>
      <c r="C1243" s="4" t="s">
        <v>283</v>
      </c>
      <c r="D1243" s="94">
        <v>2239.0</v>
      </c>
    </row>
    <row r="1244">
      <c r="A1244" s="40">
        <f t="array" ref="A1244">IFNA(index(PlayerValues!A:A,match(IFNA(vlookup(B1244,'Special Names'!A:B,2,FALSE),B1244),PlayerValues!E:E,0)),"N/A")</f>
        <v>15331</v>
      </c>
      <c r="B1244" s="4" t="s">
        <v>560</v>
      </c>
      <c r="C1244" s="4" t="s">
        <v>298</v>
      </c>
      <c r="D1244" s="94">
        <v>2634.0</v>
      </c>
    </row>
    <row r="1245">
      <c r="A1245" s="40">
        <f t="array" ref="A1245">IFNA(index(PlayerValues!A:A,match(IFNA(vlookup(B1245,'Special Names'!A:B,2,FALSE),B1245),PlayerValues!E:E,0)),"N/A")</f>
        <v>16610</v>
      </c>
      <c r="B1245" s="4" t="s">
        <v>562</v>
      </c>
      <c r="C1245" s="4" t="s">
        <v>278</v>
      </c>
      <c r="D1245" s="94">
        <v>2238.0</v>
      </c>
    </row>
    <row r="1246">
      <c r="A1246" s="40" t="str">
        <f t="array" ref="A1246">IFNA(index(PlayerValues!A:A,match(IFNA(vlookup(B1246,'Special Names'!A:B,2,FALSE),B1246),PlayerValues!E:E,0)),"N/A")</f>
        <v>N/A</v>
      </c>
      <c r="B1246" s="4" t="s">
        <v>100</v>
      </c>
      <c r="C1246" s="4" t="s">
        <v>325</v>
      </c>
      <c r="D1246" s="94">
        <v>2234.0</v>
      </c>
    </row>
    <row r="1247">
      <c r="A1247" s="40">
        <f t="array" ref="A1247">IFNA(index(PlayerValues!A:A,match(IFNA(vlookup(B1247,'Special Names'!A:B,2,FALSE),B1247),PlayerValues!E:E,0)),"N/A")</f>
        <v>16649</v>
      </c>
      <c r="B1247" s="4" t="s">
        <v>586</v>
      </c>
      <c r="C1247" s="4" t="s">
        <v>298</v>
      </c>
      <c r="D1247" s="94">
        <v>2624.0</v>
      </c>
    </row>
    <row r="1248">
      <c r="A1248" s="40">
        <f t="array" ref="A1248">IFNA(index(PlayerValues!A:A,match(IFNA(vlookup(B1248,'Special Names'!A:B,2,FALSE),B1248),PlayerValues!E:E,0)),"N/A")</f>
        <v>13319</v>
      </c>
      <c r="B1248" s="4" t="s">
        <v>549</v>
      </c>
      <c r="C1248" s="4" t="s">
        <v>278</v>
      </c>
      <c r="D1248" s="94">
        <v>2217.0</v>
      </c>
    </row>
    <row r="1249">
      <c r="A1249" s="40">
        <f t="array" ref="A1249">IFNA(index(PlayerValues!A:A,match(IFNA(vlookup(B1249,'Special Names'!A:B,2,FALSE),B1249),PlayerValues!E:E,0)),"N/A")</f>
        <v>16757</v>
      </c>
      <c r="B1249" s="4" t="s">
        <v>558</v>
      </c>
      <c r="C1249" s="4" t="s">
        <v>278</v>
      </c>
      <c r="D1249" s="94">
        <v>2179.0</v>
      </c>
    </row>
    <row r="1250">
      <c r="A1250" s="40" t="str">
        <f t="array" ref="A1250">IFNA(index(PlayerValues!A:A,match(IFNA(vlookup(B1250,'Special Names'!A:B,2,FALSE),B1250),PlayerValues!E:E,0)),"N/A")</f>
        <v>N/A</v>
      </c>
      <c r="B1250" s="4" t="s">
        <v>112</v>
      </c>
      <c r="C1250" s="4" t="s">
        <v>325</v>
      </c>
      <c r="D1250" s="94">
        <v>2176.0</v>
      </c>
    </row>
    <row r="1251">
      <c r="A1251" s="40">
        <f t="array" ref="A1251">IFNA(index(PlayerValues!A:A,match(IFNA(vlookup(B1251,'Special Names'!A:B,2,FALSE),B1251),PlayerValues!E:E,0)),"N/A")</f>
        <v>12186</v>
      </c>
      <c r="B1251" s="4" t="s">
        <v>497</v>
      </c>
      <c r="C1251" s="4" t="s">
        <v>287</v>
      </c>
      <c r="D1251" s="94">
        <v>2172.0</v>
      </c>
    </row>
    <row r="1252">
      <c r="A1252" s="40">
        <f t="array" ref="A1252">IFNA(index(PlayerValues!A:A,match(IFNA(vlookup(B1252,'Special Names'!A:B,2,FALSE),B1252),PlayerValues!E:E,0)),"N/A")</f>
        <v>16166</v>
      </c>
      <c r="B1252" s="4" t="s">
        <v>567</v>
      </c>
      <c r="C1252" s="4" t="s">
        <v>278</v>
      </c>
      <c r="D1252" s="94">
        <v>2163.0</v>
      </c>
    </row>
    <row r="1253">
      <c r="A1253" s="40">
        <f t="array" ref="A1253">IFNA(index(PlayerValues!A:A,match(IFNA(vlookup(B1253,'Special Names'!A:B,2,FALSE),B1253),PlayerValues!E:E,0)),"N/A")</f>
        <v>14136</v>
      </c>
      <c r="B1253" s="4" t="s">
        <v>536</v>
      </c>
      <c r="C1253" s="4" t="s">
        <v>287</v>
      </c>
      <c r="D1253" s="94">
        <v>2154.0</v>
      </c>
    </row>
    <row r="1254">
      <c r="A1254" s="40" t="str">
        <f t="array" ref="A1254">IFNA(index(PlayerValues!A:A,match(IFNA(vlookup(B1254,'Special Names'!A:B,2,FALSE),B1254),PlayerValues!E:E,0)),"N/A")</f>
        <v>N/A</v>
      </c>
      <c r="B1254" s="4" t="s">
        <v>87</v>
      </c>
      <c r="C1254" s="4" t="s">
        <v>325</v>
      </c>
      <c r="D1254" s="94">
        <v>2146.0</v>
      </c>
    </row>
    <row r="1255">
      <c r="A1255" s="40">
        <f t="array" ref="A1255">IFNA(index(PlayerValues!A:A,match(IFNA(vlookup(B1255,'Special Names'!A:B,2,FALSE),B1255),PlayerValues!E:E,0)),"N/A")</f>
        <v>17079</v>
      </c>
      <c r="B1255" s="4" t="s">
        <v>572</v>
      </c>
      <c r="C1255" s="4" t="s">
        <v>287</v>
      </c>
      <c r="D1255" s="94">
        <v>2140.0</v>
      </c>
    </row>
    <row r="1256">
      <c r="A1256" s="40">
        <f t="array" ref="A1256">IFNA(index(PlayerValues!A:A,match(IFNA(vlookup(B1256,'Special Names'!A:B,2,FALSE),B1256),PlayerValues!E:E,0)),"N/A")</f>
        <v>13113</v>
      </c>
      <c r="B1256" s="4" t="s">
        <v>606</v>
      </c>
      <c r="C1256" s="4" t="s">
        <v>283</v>
      </c>
      <c r="D1256" s="94">
        <v>2134.0</v>
      </c>
    </row>
    <row r="1257">
      <c r="A1257" s="40">
        <f t="array" ref="A1257">IFNA(index(PlayerValues!A:A,match(IFNA(vlookup(B1257,'Special Names'!A:B,2,FALSE),B1257),PlayerValues!E:E,0)),"N/A")</f>
        <v>17055</v>
      </c>
      <c r="B1257" s="4" t="s">
        <v>565</v>
      </c>
      <c r="C1257" s="4" t="s">
        <v>278</v>
      </c>
      <c r="D1257" s="94">
        <v>2122.0</v>
      </c>
    </row>
    <row r="1258">
      <c r="A1258" s="40">
        <f t="array" ref="A1258">IFNA(index(PlayerValues!A:A,match(IFNA(vlookup(B1258,'Special Names'!A:B,2,FALSE),B1258),PlayerValues!E:E,0)),"N/A")</f>
        <v>16212</v>
      </c>
      <c r="B1258" s="4" t="s">
        <v>568</v>
      </c>
      <c r="C1258" s="4" t="s">
        <v>298</v>
      </c>
      <c r="D1258" s="94">
        <v>2494.0</v>
      </c>
    </row>
    <row r="1259">
      <c r="A1259" s="40" t="str">
        <f t="array" ref="A1259">IFNA(index(PlayerValues!A:A,match(IFNA(vlookup(B1259,'Special Names'!A:B,2,FALSE),B1259),PlayerValues!E:E,0)),"N/A")</f>
        <v>N/A</v>
      </c>
      <c r="B1259" s="4" t="s">
        <v>113</v>
      </c>
      <c r="C1259" s="4" t="s">
        <v>325</v>
      </c>
      <c r="D1259" s="94">
        <v>2101.0</v>
      </c>
    </row>
    <row r="1260">
      <c r="A1260" s="40">
        <f t="array" ref="A1260">IFNA(index(PlayerValues!A:A,match(IFNA(vlookup(B1260,'Special Names'!A:B,2,FALSE),B1260),PlayerValues!E:E,0)),"N/A")</f>
        <v>16189</v>
      </c>
      <c r="B1260" s="4" t="s">
        <v>582</v>
      </c>
      <c r="C1260" s="4" t="s">
        <v>287</v>
      </c>
      <c r="D1260" s="94">
        <v>2097.0</v>
      </c>
    </row>
    <row r="1261">
      <c r="A1261" s="40">
        <f t="array" ref="A1261">IFNA(index(PlayerValues!A:A,match(IFNA(vlookup(B1261,'Special Names'!A:B,2,FALSE),B1261),PlayerValues!E:E,0)),"N/A")</f>
        <v>14974</v>
      </c>
      <c r="B1261" s="4" t="s">
        <v>611</v>
      </c>
      <c r="C1261" s="4" t="s">
        <v>287</v>
      </c>
      <c r="D1261" s="94">
        <v>2091.0</v>
      </c>
    </row>
    <row r="1262">
      <c r="A1262" s="40">
        <f t="array" ref="A1262">IFNA(index(PlayerValues!A:A,match(IFNA(vlookup(B1262,'Special Names'!A:B,2,FALSE),B1262),PlayerValues!E:E,0)),"N/A")</f>
        <v>17046</v>
      </c>
      <c r="B1262" s="4" t="s">
        <v>602</v>
      </c>
      <c r="C1262" s="4" t="s">
        <v>278</v>
      </c>
      <c r="D1262" s="94">
        <v>2089.0</v>
      </c>
    </row>
    <row r="1263">
      <c r="A1263" s="40" t="str">
        <f t="array" ref="A1263">IFNA(index(PlayerValues!A:A,match(IFNA(vlookup(B1263,'Special Names'!A:B,2,FALSE),B1263),PlayerValues!E:E,0)),"N/A")</f>
        <v>N/A</v>
      </c>
      <c r="B1263" s="4" t="s">
        <v>88</v>
      </c>
      <c r="C1263" s="4" t="s">
        <v>325</v>
      </c>
      <c r="D1263" s="94">
        <v>2083.0</v>
      </c>
    </row>
    <row r="1264">
      <c r="A1264" s="40">
        <f t="array" ref="A1264">IFNA(index(PlayerValues!A:A,match(IFNA(vlookup(B1264,'Special Names'!A:B,2,FALSE),B1264),PlayerValues!E:E,0)),"N/A")</f>
        <v>13132</v>
      </c>
      <c r="B1264" s="4" t="s">
        <v>598</v>
      </c>
      <c r="C1264" s="4" t="s">
        <v>278</v>
      </c>
      <c r="D1264" s="94">
        <v>2079.0</v>
      </c>
    </row>
    <row r="1265">
      <c r="A1265" s="40">
        <f t="array" ref="A1265">IFNA(index(PlayerValues!A:A,match(IFNA(vlookup(B1265,'Special Names'!A:B,2,FALSE),B1265),PlayerValues!E:E,0)),"N/A")</f>
        <v>16432</v>
      </c>
      <c r="B1265" s="4" t="s">
        <v>620</v>
      </c>
      <c r="C1265" s="4" t="s">
        <v>278</v>
      </c>
      <c r="D1265" s="94">
        <v>2074.0</v>
      </c>
    </row>
    <row r="1266">
      <c r="A1266" s="40">
        <f t="array" ref="A1266">IFNA(index(PlayerValues!A:A,match(IFNA(vlookup(B1266,'Special Names'!A:B,2,FALSE),B1266),PlayerValues!E:E,0)),"N/A")</f>
        <v>17056</v>
      </c>
      <c r="B1266" s="4" t="s">
        <v>581</v>
      </c>
      <c r="C1266" s="4" t="s">
        <v>278</v>
      </c>
      <c r="D1266" s="94">
        <v>2072.0</v>
      </c>
    </row>
    <row r="1267">
      <c r="A1267" s="40">
        <f t="array" ref="A1267">IFNA(index(PlayerValues!A:A,match(IFNA(vlookup(B1267,'Special Names'!A:B,2,FALSE),B1267),PlayerValues!E:E,0)),"N/A")</f>
        <v>15238</v>
      </c>
      <c r="B1267" s="4" t="s">
        <v>613</v>
      </c>
      <c r="C1267" s="4" t="s">
        <v>283</v>
      </c>
      <c r="D1267" s="94">
        <v>2070.0</v>
      </c>
    </row>
    <row r="1268">
      <c r="A1268" s="40">
        <f t="array" ref="A1268">IFNA(index(PlayerValues!A:A,match(IFNA(vlookup(B1268,'Special Names'!A:B,2,FALSE),B1268),PlayerValues!E:E,0)),"N/A")</f>
        <v>16643</v>
      </c>
      <c r="B1268" s="4" t="s">
        <v>609</v>
      </c>
      <c r="C1268" s="4" t="s">
        <v>298</v>
      </c>
      <c r="D1268" s="94">
        <v>2454.0</v>
      </c>
    </row>
    <row r="1269">
      <c r="A1269" s="40">
        <f t="array" ref="A1269">IFNA(index(PlayerValues!A:A,match(IFNA(vlookup(B1269,'Special Names'!A:B,2,FALSE),B1269),PlayerValues!E:E,0)),"N/A")</f>
        <v>15293</v>
      </c>
      <c r="B1269" s="4" t="s">
        <v>578</v>
      </c>
      <c r="C1269" s="4" t="s">
        <v>287</v>
      </c>
      <c r="D1269" s="94">
        <v>2062.0</v>
      </c>
    </row>
    <row r="1270">
      <c r="A1270" s="40">
        <f t="array" ref="A1270">IFNA(index(PlayerValues!A:A,match(IFNA(vlookup(B1270,'Special Names'!A:B,2,FALSE),B1270),PlayerValues!E:E,0)),"N/A")</f>
        <v>17060</v>
      </c>
      <c r="B1270" s="4" t="s">
        <v>603</v>
      </c>
      <c r="C1270" s="4" t="s">
        <v>278</v>
      </c>
      <c r="D1270" s="94">
        <v>2046.0</v>
      </c>
    </row>
    <row r="1271">
      <c r="A1271" s="40">
        <f t="array" ref="A1271">IFNA(index(PlayerValues!A:A,match(IFNA(vlookup(B1271,'Special Names'!A:B,2,FALSE),B1271),PlayerValues!E:E,0)),"N/A")</f>
        <v>17069</v>
      </c>
      <c r="B1271" s="4" t="s">
        <v>604</v>
      </c>
      <c r="C1271" s="4" t="s">
        <v>278</v>
      </c>
      <c r="D1271" s="94">
        <v>2038.0</v>
      </c>
    </row>
    <row r="1272">
      <c r="A1272" s="40">
        <f t="array" ref="A1272">IFNA(index(PlayerValues!A:A,match(IFNA(vlookup(B1272,'Special Names'!A:B,2,FALSE),B1272),PlayerValues!E:E,0)),"N/A")</f>
        <v>17061</v>
      </c>
      <c r="B1272" s="4" t="s">
        <v>580</v>
      </c>
      <c r="C1272" s="4" t="s">
        <v>278</v>
      </c>
      <c r="D1272" s="94">
        <v>2033.0</v>
      </c>
    </row>
    <row r="1273">
      <c r="A1273" s="40">
        <f t="array" ref="A1273">IFNA(index(PlayerValues!A:A,match(IFNA(vlookup(B1273,'Special Names'!A:B,2,FALSE),B1273),PlayerValues!E:E,0)),"N/A")</f>
        <v>12801</v>
      </c>
      <c r="B1273" s="4" t="s">
        <v>722</v>
      </c>
      <c r="C1273" s="4" t="s">
        <v>287</v>
      </c>
      <c r="D1273" s="94">
        <v>2025.0</v>
      </c>
    </row>
    <row r="1274">
      <c r="A1274" s="40">
        <f t="array" ref="A1274">IFNA(index(PlayerValues!A:A,match(IFNA(vlookup(B1274,'Special Names'!A:B,2,FALSE),B1274),PlayerValues!E:E,0)),"N/A")</f>
        <v>16342</v>
      </c>
      <c r="B1274" s="4" t="s">
        <v>583</v>
      </c>
      <c r="C1274" s="4" t="s">
        <v>287</v>
      </c>
      <c r="D1274" s="94">
        <v>2018.0</v>
      </c>
    </row>
    <row r="1275">
      <c r="A1275" s="40">
        <f t="array" ref="A1275">IFNA(index(PlayerValues!A:A,match(IFNA(vlookup(B1275,'Special Names'!A:B,2,FALSE),B1275),PlayerValues!E:E,0)),"N/A")</f>
        <v>17087</v>
      </c>
      <c r="B1275" s="4" t="s">
        <v>600</v>
      </c>
      <c r="C1275" s="4" t="s">
        <v>287</v>
      </c>
      <c r="D1275" s="94">
        <v>2016.0</v>
      </c>
    </row>
    <row r="1276">
      <c r="A1276" s="40">
        <f t="array" ref="A1276">IFNA(index(PlayerValues!A:A,match(IFNA(vlookup(B1276,'Special Names'!A:B,2,FALSE),B1276),PlayerValues!E:E,0)),"N/A")</f>
        <v>17076</v>
      </c>
      <c r="B1276" s="4" t="s">
        <v>585</v>
      </c>
      <c r="C1276" s="4" t="s">
        <v>287</v>
      </c>
      <c r="D1276" s="94">
        <v>2004.0</v>
      </c>
    </row>
    <row r="1277">
      <c r="A1277" s="40" t="str">
        <f t="array" ref="A1277">IFNA(index(PlayerValues!A:A,match(IFNA(vlookup(B1277,'Special Names'!A:B,2,FALSE),B1277),PlayerValues!E:E,0)),"N/A")</f>
        <v>N/A</v>
      </c>
      <c r="B1277" s="4" t="s">
        <v>114</v>
      </c>
      <c r="C1277" s="4" t="s">
        <v>325</v>
      </c>
      <c r="D1277" s="94">
        <v>1992.0</v>
      </c>
    </row>
    <row r="1278">
      <c r="A1278" s="40">
        <f t="array" ref="A1278">IFNA(index(PlayerValues!A:A,match(IFNA(vlookup(B1278,'Special Names'!A:B,2,FALSE),B1278),PlayerValues!E:E,0)),"N/A")</f>
        <v>13633</v>
      </c>
      <c r="B1278" s="4" t="s">
        <v>625</v>
      </c>
      <c r="C1278" s="4" t="s">
        <v>287</v>
      </c>
      <c r="D1278" s="94">
        <v>1987.0</v>
      </c>
    </row>
    <row r="1279">
      <c r="A1279" s="40">
        <f t="array" ref="A1279">IFNA(index(PlayerValues!A:A,match(IFNA(vlookup(B1279,'Special Names'!A:B,2,FALSE),B1279),PlayerValues!E:E,0)),"N/A")</f>
        <v>10700</v>
      </c>
      <c r="B1279" s="4" t="s">
        <v>596</v>
      </c>
      <c r="C1279" s="4" t="s">
        <v>283</v>
      </c>
      <c r="D1279" s="94">
        <v>1978.0</v>
      </c>
    </row>
    <row r="1280">
      <c r="A1280" s="40">
        <f t="array" ref="A1280">IFNA(index(PlayerValues!A:A,match(IFNA(vlookup(B1280,'Special Names'!A:B,2,FALSE),B1280),PlayerValues!E:E,0)),"N/A")</f>
        <v>16603</v>
      </c>
      <c r="B1280" s="4" t="s">
        <v>587</v>
      </c>
      <c r="C1280" s="4" t="s">
        <v>278</v>
      </c>
      <c r="D1280" s="94">
        <v>1974.0</v>
      </c>
    </row>
    <row r="1281">
      <c r="A1281" s="40">
        <f t="array" ref="A1281">IFNA(index(PlayerValues!A:A,match(IFNA(vlookup(B1281,'Special Names'!A:B,2,FALSE),B1281),PlayerValues!E:E,0)),"N/A")</f>
        <v>14867</v>
      </c>
      <c r="B1281" s="4" t="s">
        <v>591</v>
      </c>
      <c r="C1281" s="4" t="s">
        <v>298</v>
      </c>
      <c r="D1281" s="94">
        <v>2361.0</v>
      </c>
    </row>
    <row r="1282">
      <c r="A1282" s="40">
        <f t="array" ref="A1282">IFNA(index(PlayerValues!A:A,match(IFNA(vlookup(B1282,'Special Names'!A:B,2,FALSE),B1282),PlayerValues!E:E,0)),"N/A")</f>
        <v>17036</v>
      </c>
      <c r="B1282" s="4" t="s">
        <v>617</v>
      </c>
      <c r="C1282" s="4" t="s">
        <v>283</v>
      </c>
      <c r="D1282" s="94">
        <v>1970.0</v>
      </c>
    </row>
    <row r="1283">
      <c r="A1283" s="40">
        <f t="array" ref="A1283">IFNA(index(PlayerValues!A:A,match(IFNA(vlookup(B1283,'Special Names'!A:B,2,FALSE),B1283),PlayerValues!E:E,0)),"N/A")</f>
        <v>17184</v>
      </c>
      <c r="B1283" s="4" t="s">
        <v>588</v>
      </c>
      <c r="C1283" s="4" t="s">
        <v>287</v>
      </c>
      <c r="D1283" s="94">
        <v>1953.0</v>
      </c>
    </row>
    <row r="1284">
      <c r="A1284" s="40">
        <f t="array" ref="A1284">IFNA(index(PlayerValues!A:A,match(IFNA(vlookup(B1284,'Special Names'!A:B,2,FALSE),B1284),PlayerValues!E:E,0)),"N/A")</f>
        <v>16639</v>
      </c>
      <c r="B1284" s="4" t="s">
        <v>599</v>
      </c>
      <c r="C1284" s="4" t="s">
        <v>287</v>
      </c>
      <c r="D1284" s="94">
        <v>1944.0</v>
      </c>
    </row>
    <row r="1285">
      <c r="A1285" s="40">
        <f t="array" ref="A1285">IFNA(index(PlayerValues!A:A,match(IFNA(vlookup(B1285,'Special Names'!A:B,2,FALSE),B1285),PlayerValues!E:E,0)),"N/A")</f>
        <v>16604</v>
      </c>
      <c r="B1285" s="4" t="s">
        <v>476</v>
      </c>
      <c r="C1285" s="4" t="s">
        <v>278</v>
      </c>
      <c r="D1285" s="94">
        <v>1935.0</v>
      </c>
    </row>
    <row r="1286">
      <c r="A1286" s="40" t="str">
        <f t="array" ref="A1286">IFNA(index(PlayerValues!A:A,match(IFNA(vlookup(B1286,'Special Names'!A:B,2,FALSE),B1286),PlayerValues!E:E,0)),"N/A")</f>
        <v>N/A</v>
      </c>
      <c r="B1286" s="4" t="s">
        <v>101</v>
      </c>
      <c r="C1286" s="4" t="s">
        <v>325</v>
      </c>
      <c r="D1286" s="94">
        <v>1920.0</v>
      </c>
    </row>
    <row r="1287">
      <c r="A1287" s="40">
        <f t="array" ref="A1287">IFNA(index(PlayerValues!A:A,match(IFNA(vlookup(B1287,'Special Names'!A:B,2,FALSE),B1287),PlayerValues!E:E,0)),"N/A")</f>
        <v>7836</v>
      </c>
      <c r="B1287" s="4" t="s">
        <v>590</v>
      </c>
      <c r="C1287" s="4" t="s">
        <v>283</v>
      </c>
      <c r="D1287" s="94">
        <v>1889.0</v>
      </c>
    </row>
    <row r="1288">
      <c r="A1288" s="40">
        <f t="array" ref="A1288">IFNA(index(PlayerValues!A:A,match(IFNA(vlookup(B1288,'Special Names'!A:B,2,FALSE),B1288),PlayerValues!E:E,0)),"N/A")</f>
        <v>13189</v>
      </c>
      <c r="B1288" s="4" t="s">
        <v>626</v>
      </c>
      <c r="C1288" s="4" t="s">
        <v>298</v>
      </c>
      <c r="D1288" s="94">
        <v>2260.0</v>
      </c>
    </row>
    <row r="1289">
      <c r="A1289" s="40">
        <f t="array" ref="A1289">IFNA(index(PlayerValues!A:A,match(IFNA(vlookup(B1289,'Special Names'!A:B,2,FALSE),B1289),PlayerValues!E:E,0)),"N/A")</f>
        <v>13629</v>
      </c>
      <c r="B1289" s="4" t="s">
        <v>619</v>
      </c>
      <c r="C1289" s="4" t="s">
        <v>287</v>
      </c>
      <c r="D1289" s="94">
        <v>1868.0</v>
      </c>
    </row>
    <row r="1290">
      <c r="A1290" s="40">
        <f t="array" ref="A1290">IFNA(index(PlayerValues!A:A,match(IFNA(vlookup(B1290,'Special Names'!A:B,2,FALSE),B1290),PlayerValues!E:E,0)),"N/A")</f>
        <v>14871</v>
      </c>
      <c r="B1290" s="4" t="s">
        <v>584</v>
      </c>
      <c r="C1290" s="4" t="s">
        <v>298</v>
      </c>
      <c r="D1290" s="94">
        <v>2248.0</v>
      </c>
    </row>
    <row r="1291">
      <c r="A1291" s="40">
        <f t="array" ref="A1291">IFNA(index(PlayerValues!A:A,match(IFNA(vlookup(B1291,'Special Names'!A:B,2,FALSE),B1291),PlayerValues!E:E,0)),"N/A")</f>
        <v>16191</v>
      </c>
      <c r="B1291" s="4" t="s">
        <v>666</v>
      </c>
      <c r="C1291" s="4" t="s">
        <v>287</v>
      </c>
      <c r="D1291" s="94">
        <v>1860.0</v>
      </c>
    </row>
    <row r="1292">
      <c r="A1292" s="40">
        <f t="array" ref="A1292">IFNA(index(PlayerValues!A:A,match(IFNA(vlookup(B1292,'Special Names'!A:B,2,FALSE),B1292),PlayerValues!E:E,0)),"N/A")</f>
        <v>17086</v>
      </c>
      <c r="B1292" s="4" t="s">
        <v>612</v>
      </c>
      <c r="C1292" s="4" t="s">
        <v>287</v>
      </c>
      <c r="D1292" s="94">
        <v>1859.0</v>
      </c>
    </row>
    <row r="1293">
      <c r="A1293" s="40">
        <f t="array" ref="A1293">IFNA(index(PlayerValues!A:A,match(IFNA(vlookup(B1293,'Special Names'!A:B,2,FALSE),B1293),PlayerValues!E:E,0)),"N/A")</f>
        <v>17049</v>
      </c>
      <c r="B1293" s="4" t="s">
        <v>624</v>
      </c>
      <c r="C1293" s="4" t="s">
        <v>278</v>
      </c>
      <c r="D1293" s="94">
        <v>1854.0</v>
      </c>
    </row>
    <row r="1294">
      <c r="A1294" s="40">
        <f t="array" ref="A1294">IFNA(index(PlayerValues!A:A,match(IFNA(vlookup(B1294,'Special Names'!A:B,2,FALSE),B1294),PlayerValues!E:E,0)),"N/A")</f>
        <v>16171</v>
      </c>
      <c r="B1294" s="4" t="s">
        <v>618</v>
      </c>
      <c r="C1294" s="4" t="s">
        <v>278</v>
      </c>
      <c r="D1294" s="94">
        <v>1853.0</v>
      </c>
    </row>
    <row r="1295">
      <c r="A1295" s="40">
        <f t="array" ref="A1295">IFNA(index(PlayerValues!A:A,match(IFNA(vlookup(B1295,'Special Names'!A:B,2,FALSE),B1295),PlayerValues!E:E,0)),"N/A")</f>
        <v>16215</v>
      </c>
      <c r="B1295" s="4" t="s">
        <v>637</v>
      </c>
      <c r="C1295" s="4" t="s">
        <v>298</v>
      </c>
      <c r="D1295" s="94">
        <v>2224.0</v>
      </c>
    </row>
    <row r="1296">
      <c r="A1296" s="40">
        <f t="array" ref="A1296">IFNA(index(PlayerValues!A:A,match(IFNA(vlookup(B1296,'Special Names'!A:B,2,FALSE),B1296),PlayerValues!E:E,0)),"N/A")</f>
        <v>16752</v>
      </c>
      <c r="B1296" s="4" t="s">
        <v>597</v>
      </c>
      <c r="C1296" s="4" t="s">
        <v>278</v>
      </c>
      <c r="D1296" s="94">
        <v>1842.0</v>
      </c>
    </row>
    <row r="1297">
      <c r="A1297" s="40">
        <f t="array" ref="A1297">IFNA(index(PlayerValues!A:A,match(IFNA(vlookup(B1297,'Special Names'!A:B,2,FALSE),B1297),PlayerValues!E:E,0)),"N/A")</f>
        <v>15787</v>
      </c>
      <c r="B1297" s="4" t="s">
        <v>610</v>
      </c>
      <c r="C1297" s="4" t="s">
        <v>287</v>
      </c>
      <c r="D1297" s="94">
        <v>1838.0</v>
      </c>
    </row>
    <row r="1298">
      <c r="A1298" s="40">
        <f t="array" ref="A1298">IFNA(index(PlayerValues!A:A,match(IFNA(vlookup(B1298,'Special Names'!A:B,2,FALSE),B1298),PlayerValues!E:E,0)),"N/A")</f>
        <v>15797</v>
      </c>
      <c r="B1298" s="4" t="s">
        <v>556</v>
      </c>
      <c r="C1298" s="4" t="s">
        <v>298</v>
      </c>
      <c r="D1298" s="94">
        <v>2206.0</v>
      </c>
    </row>
    <row r="1299">
      <c r="A1299" s="40">
        <f t="array" ref="A1299">IFNA(index(PlayerValues!A:A,match(IFNA(vlookup(B1299,'Special Names'!A:B,2,FALSE),B1299),PlayerValues!E:E,0)),"N/A")</f>
        <v>16216</v>
      </c>
      <c r="B1299" s="4" t="s">
        <v>595</v>
      </c>
      <c r="C1299" s="4" t="s">
        <v>298</v>
      </c>
      <c r="D1299" s="94">
        <v>2195.0</v>
      </c>
    </row>
    <row r="1300">
      <c r="A1300" s="40">
        <f t="array" ref="A1300">IFNA(index(PlayerValues!A:A,match(IFNA(vlookup(B1300,'Special Names'!A:B,2,FALSE),B1300),PlayerValues!E:E,0)),"N/A")</f>
        <v>13146</v>
      </c>
      <c r="B1300" s="4" t="s">
        <v>652</v>
      </c>
      <c r="C1300" s="4" t="s">
        <v>278</v>
      </c>
      <c r="D1300" s="94">
        <v>1806.0</v>
      </c>
    </row>
    <row r="1301">
      <c r="A1301" s="40">
        <f t="array" ref="A1301">IFNA(index(PlayerValues!A:A,match(IFNA(vlookup(B1301,'Special Names'!A:B,2,FALSE),B1301),PlayerValues!E:E,0)),"N/A")</f>
        <v>15788</v>
      </c>
      <c r="B1301" s="4" t="s">
        <v>627</v>
      </c>
      <c r="C1301" s="4" t="s">
        <v>287</v>
      </c>
      <c r="D1301" s="94">
        <v>1801.0</v>
      </c>
    </row>
    <row r="1302">
      <c r="A1302" s="40">
        <f t="array" ref="A1302">IFNA(index(PlayerValues!A:A,match(IFNA(vlookup(B1302,'Special Names'!A:B,2,FALSE),B1302),PlayerValues!E:E,0)),"N/A")</f>
        <v>17034</v>
      </c>
      <c r="B1302" s="4" t="s">
        <v>643</v>
      </c>
      <c r="C1302" s="4" t="s">
        <v>283</v>
      </c>
      <c r="D1302" s="94">
        <v>1801.0</v>
      </c>
    </row>
    <row r="1303">
      <c r="A1303" s="40">
        <f t="array" ref="A1303">IFNA(index(PlayerValues!A:A,match(IFNA(vlookup(B1303,'Special Names'!A:B,2,FALSE),B1303),PlayerValues!E:E,0)),"N/A")</f>
        <v>17467</v>
      </c>
      <c r="B1303" s="4" t="s">
        <v>575</v>
      </c>
      <c r="C1303" s="4" t="s">
        <v>283</v>
      </c>
      <c r="D1303" s="94">
        <v>1797.0</v>
      </c>
    </row>
    <row r="1304">
      <c r="A1304" s="40">
        <f t="array" ref="A1304">IFNA(index(PlayerValues!A:A,match(IFNA(vlookup(B1304,'Special Names'!A:B,2,FALSE),B1304),PlayerValues!E:E,0)),"N/A")</f>
        <v>14143</v>
      </c>
      <c r="B1304" s="4" t="s">
        <v>635</v>
      </c>
      <c r="C1304" s="4" t="s">
        <v>298</v>
      </c>
      <c r="D1304" s="94">
        <v>2159.0</v>
      </c>
    </row>
    <row r="1305">
      <c r="A1305" s="40">
        <f t="array" ref="A1305">IFNA(index(PlayerValues!A:A,match(IFNA(vlookup(B1305,'Special Names'!A:B,2,FALSE),B1305),PlayerValues!E:E,0)),"N/A")</f>
        <v>16778</v>
      </c>
      <c r="B1305" s="4" t="s">
        <v>577</v>
      </c>
      <c r="C1305" s="4" t="s">
        <v>287</v>
      </c>
      <c r="D1305" s="94">
        <v>1761.0</v>
      </c>
    </row>
    <row r="1306">
      <c r="A1306" s="40">
        <f t="array" ref="A1306">IFNA(index(PlayerValues!A:A,match(IFNA(vlookup(B1306,'Special Names'!A:B,2,FALSE),B1306),PlayerValues!E:E,0)),"N/A")</f>
        <v>13164</v>
      </c>
      <c r="B1306" s="4" t="s">
        <v>632</v>
      </c>
      <c r="C1306" s="4" t="s">
        <v>287</v>
      </c>
      <c r="D1306" s="94">
        <v>1753.0</v>
      </c>
    </row>
    <row r="1307">
      <c r="A1307" s="40">
        <f t="array" ref="A1307">IFNA(index(PlayerValues!A:A,match(IFNA(vlookup(B1307,'Special Names'!A:B,2,FALSE),B1307),PlayerValues!E:E,0)),"N/A")</f>
        <v>17035</v>
      </c>
      <c r="B1307" s="4" t="s">
        <v>650</v>
      </c>
      <c r="C1307" s="4" t="s">
        <v>283</v>
      </c>
      <c r="D1307" s="94">
        <v>1749.0</v>
      </c>
    </row>
    <row r="1308">
      <c r="A1308" s="40">
        <f t="array" ref="A1308">IFNA(index(PlayerValues!A:A,match(IFNA(vlookup(B1308,'Special Names'!A:B,2,FALSE),B1308),PlayerValues!E:E,0)),"N/A")</f>
        <v>17481</v>
      </c>
      <c r="B1308" s="4" t="s">
        <v>540</v>
      </c>
      <c r="C1308" s="4" t="s">
        <v>278</v>
      </c>
      <c r="D1308" s="94">
        <v>1749.0</v>
      </c>
    </row>
    <row r="1309">
      <c r="A1309" s="40">
        <f t="array" ref="A1309">IFNA(index(PlayerValues!A:A,match(IFNA(vlookup(B1309,'Special Names'!A:B,2,FALSE),B1309),PlayerValues!E:E,0)),"N/A")</f>
        <v>16644</v>
      </c>
      <c r="B1309" s="4" t="s">
        <v>640</v>
      </c>
      <c r="C1309" s="4" t="s">
        <v>298</v>
      </c>
      <c r="D1309" s="94">
        <v>2124.0</v>
      </c>
    </row>
    <row r="1310">
      <c r="A1310" s="40" t="str">
        <f t="array" ref="A1310">IFNA(index(PlayerValues!A:A,match(IFNA(vlookup(B1310,'Special Names'!A:B,2,FALSE),B1310),PlayerValues!E:E,0)),"N/A")</f>
        <v>N/A</v>
      </c>
      <c r="B1310" s="4" t="s">
        <v>102</v>
      </c>
      <c r="C1310" s="4" t="s">
        <v>325</v>
      </c>
      <c r="D1310" s="94">
        <v>1738.0</v>
      </c>
    </row>
    <row r="1311">
      <c r="A1311" s="40">
        <f t="array" ref="A1311">IFNA(index(PlayerValues!A:A,match(IFNA(vlookup(B1311,'Special Names'!A:B,2,FALSE),B1311),PlayerValues!E:E,0)),"N/A")</f>
        <v>14105</v>
      </c>
      <c r="B1311" s="4" t="s">
        <v>675</v>
      </c>
      <c r="C1311" s="4" t="s">
        <v>287</v>
      </c>
      <c r="D1311" s="94">
        <v>1735.0</v>
      </c>
    </row>
    <row r="1312">
      <c r="A1312" s="40">
        <f t="array" ref="A1312">IFNA(index(PlayerValues!A:A,match(IFNA(vlookup(B1312,'Special Names'!A:B,2,FALSE),B1312),PlayerValues!E:E,0)),"N/A")</f>
        <v>17528</v>
      </c>
      <c r="B1312" s="4" t="s">
        <v>579</v>
      </c>
      <c r="C1312" s="4" t="s">
        <v>287</v>
      </c>
      <c r="D1312" s="94">
        <v>1731.0</v>
      </c>
    </row>
    <row r="1313">
      <c r="A1313" s="40">
        <f t="array" ref="A1313">IFNA(index(PlayerValues!A:A,match(IFNA(vlookup(B1313,'Special Names'!A:B,2,FALSE),B1313),PlayerValues!E:E,0)),"N/A")</f>
        <v>17466</v>
      </c>
      <c r="B1313" s="4" t="s">
        <v>492</v>
      </c>
      <c r="C1313" s="4" t="s">
        <v>283</v>
      </c>
      <c r="D1313" s="94">
        <v>1725.0</v>
      </c>
    </row>
    <row r="1314">
      <c r="A1314" s="40">
        <f t="array" ref="A1314">IFNA(index(PlayerValues!A:A,match(IFNA(vlookup(B1314,'Special Names'!A:B,2,FALSE),B1314),PlayerValues!E:E,0)),"N/A")</f>
        <v>16635</v>
      </c>
      <c r="B1314" s="4" t="s">
        <v>645</v>
      </c>
      <c r="C1314" s="4" t="s">
        <v>287</v>
      </c>
      <c r="D1314" s="94">
        <v>1710.0</v>
      </c>
    </row>
    <row r="1315">
      <c r="A1315" s="40">
        <f t="array" ref="A1315">IFNA(index(PlayerValues!A:A,match(IFNA(vlookup(B1315,'Special Names'!A:B,2,FALSE),B1315),PlayerValues!E:E,0)),"N/A")</f>
        <v>16201</v>
      </c>
      <c r="B1315" s="4" t="s">
        <v>589</v>
      </c>
      <c r="C1315" s="4" t="s">
        <v>287</v>
      </c>
      <c r="D1315" s="94">
        <v>1709.0</v>
      </c>
    </row>
    <row r="1316">
      <c r="A1316" s="40">
        <f t="array" ref="A1316">IFNA(index(PlayerValues!A:A,match(IFNA(vlookup(B1316,'Special Names'!A:B,2,FALSE),B1316),PlayerValues!E:E,0)),"N/A")</f>
        <v>16585</v>
      </c>
      <c r="B1316" s="4" t="s">
        <v>623</v>
      </c>
      <c r="C1316" s="4" t="s">
        <v>283</v>
      </c>
      <c r="D1316" s="94">
        <v>1707.0</v>
      </c>
    </row>
    <row r="1317">
      <c r="A1317" s="40" t="str">
        <f t="array" ref="A1317">IFNA(index(PlayerValues!A:A,match(IFNA(vlookup(B1317,'Special Names'!A:B,2,FALSE),B1317),PlayerValues!E:E,0)),"N/A")</f>
        <v>N/A</v>
      </c>
      <c r="B1317" s="4" t="s">
        <v>89</v>
      </c>
      <c r="C1317" s="4" t="s">
        <v>325</v>
      </c>
      <c r="D1317" s="94">
        <v>1705.0</v>
      </c>
    </row>
    <row r="1318">
      <c r="A1318" s="40">
        <f t="array" ref="A1318">IFNA(index(PlayerValues!A:A,match(IFNA(vlookup(B1318,'Special Names'!A:B,2,FALSE),B1318),PlayerValues!E:E,0)),"N/A")</f>
        <v>17096</v>
      </c>
      <c r="B1318" s="4" t="s">
        <v>638</v>
      </c>
      <c r="C1318" s="4" t="s">
        <v>287</v>
      </c>
      <c r="D1318" s="94">
        <v>1693.0</v>
      </c>
    </row>
    <row r="1319">
      <c r="A1319" s="40">
        <f t="array" ref="A1319">IFNA(index(PlayerValues!A:A,match(IFNA(vlookup(B1319,'Special Names'!A:B,2,FALSE),B1319),PlayerValues!E:E,0)),"N/A")</f>
        <v>17465</v>
      </c>
      <c r="B1319" s="4" t="s">
        <v>649</v>
      </c>
      <c r="C1319" s="4" t="s">
        <v>283</v>
      </c>
      <c r="D1319" s="94">
        <v>1693.0</v>
      </c>
    </row>
    <row r="1320">
      <c r="A1320" s="40" t="str">
        <f t="array" ref="A1320">IFNA(index(PlayerValues!A:A,match(IFNA(vlookup(B1320,'Special Names'!A:B,2,FALSE),B1320),PlayerValues!E:E,0)),"N/A")</f>
        <v>N/A</v>
      </c>
      <c r="B1320" s="4" t="s">
        <v>103</v>
      </c>
      <c r="C1320" s="4" t="s">
        <v>325</v>
      </c>
      <c r="D1320" s="94">
        <v>1691.0</v>
      </c>
    </row>
    <row r="1321">
      <c r="A1321" s="40">
        <f t="array" ref="A1321">IFNA(index(PlayerValues!A:A,match(IFNA(vlookup(B1321,'Special Names'!A:B,2,FALSE),B1321),PlayerValues!E:E,0)),"N/A")</f>
        <v>15755</v>
      </c>
      <c r="B1321" s="4" t="s">
        <v>628</v>
      </c>
      <c r="C1321" s="4" t="s">
        <v>287</v>
      </c>
      <c r="D1321" s="94">
        <v>1687.0</v>
      </c>
    </row>
    <row r="1322">
      <c r="A1322" s="40">
        <f t="array" ref="A1322">IFNA(index(PlayerValues!A:A,match(IFNA(vlookup(B1322,'Special Names'!A:B,2,FALSE),B1322),PlayerValues!E:E,0)),"N/A")</f>
        <v>15254</v>
      </c>
      <c r="B1322" s="4" t="s">
        <v>633</v>
      </c>
      <c r="C1322" s="4" t="s">
        <v>278</v>
      </c>
      <c r="D1322" s="94">
        <v>1685.0</v>
      </c>
    </row>
    <row r="1323">
      <c r="A1323" s="40">
        <f t="array" ref="A1323">IFNA(index(PlayerValues!A:A,match(IFNA(vlookup(B1323,'Special Names'!A:B,2,FALSE),B1323),PlayerValues!E:E,0)),"N/A")</f>
        <v>17064</v>
      </c>
      <c r="B1323" s="4" t="s">
        <v>631</v>
      </c>
      <c r="C1323" s="4" t="s">
        <v>278</v>
      </c>
      <c r="D1323" s="94">
        <v>1668.0</v>
      </c>
    </row>
    <row r="1324">
      <c r="A1324" s="40">
        <f t="array" ref="A1324">IFNA(index(PlayerValues!A:A,match(IFNA(vlookup(B1324,'Special Names'!A:B,2,FALSE),B1324),PlayerValues!E:E,0)),"N/A")</f>
        <v>16601</v>
      </c>
      <c r="B1324" s="4" t="s">
        <v>648</v>
      </c>
      <c r="C1324" s="4" t="s">
        <v>278</v>
      </c>
      <c r="D1324" s="94">
        <v>1658.0</v>
      </c>
    </row>
    <row r="1325">
      <c r="A1325" s="40">
        <f t="array" ref="A1325">IFNA(index(PlayerValues!A:A,match(IFNA(vlookup(B1325,'Special Names'!A:B,2,FALSE),B1325),PlayerValues!E:E,0)),"N/A")</f>
        <v>17058</v>
      </c>
      <c r="B1325" s="4" t="s">
        <v>641</v>
      </c>
      <c r="C1325" s="4" t="s">
        <v>278</v>
      </c>
      <c r="D1325" s="94">
        <v>1655.0</v>
      </c>
    </row>
    <row r="1326">
      <c r="A1326" s="40">
        <f t="array" ref="A1326">IFNA(index(PlayerValues!A:A,match(IFNA(vlookup(B1326,'Special Names'!A:B,2,FALSE),B1326),PlayerValues!E:E,0)),"N/A")</f>
        <v>16586</v>
      </c>
      <c r="B1326" s="4" t="s">
        <v>658</v>
      </c>
      <c r="C1326" s="4" t="s">
        <v>283</v>
      </c>
      <c r="D1326" s="94">
        <v>1653.0</v>
      </c>
    </row>
    <row r="1327">
      <c r="A1327" s="40">
        <f t="array" ref="A1327">IFNA(index(PlayerValues!A:A,match(IFNA(vlookup(B1327,'Special Names'!A:B,2,FALSE),B1327),PlayerValues!E:E,0)),"N/A")</f>
        <v>16207</v>
      </c>
      <c r="B1327" s="4" t="s">
        <v>636</v>
      </c>
      <c r="C1327" s="4" t="s">
        <v>287</v>
      </c>
      <c r="D1327" s="94">
        <v>1643.0</v>
      </c>
    </row>
    <row r="1328">
      <c r="A1328" s="40">
        <f t="array" ref="A1328">IFNA(index(PlayerValues!A:A,match(IFNA(vlookup(B1328,'Special Names'!A:B,2,FALSE),B1328),PlayerValues!E:E,0)),"N/A")</f>
        <v>15301</v>
      </c>
      <c r="B1328" s="4" t="s">
        <v>657</v>
      </c>
      <c r="C1328" s="4" t="s">
        <v>287</v>
      </c>
      <c r="D1328" s="94">
        <v>1624.0</v>
      </c>
    </row>
    <row r="1329">
      <c r="A1329" s="40" t="str">
        <f t="array" ref="A1329">IFNA(index(PlayerValues!A:A,match(IFNA(vlookup(B1329,'Special Names'!A:B,2,FALSE),B1329),PlayerValues!E:E,0)),"N/A")</f>
        <v>N/A</v>
      </c>
      <c r="B1329" s="4" t="s">
        <v>115</v>
      </c>
      <c r="C1329" s="4" t="s">
        <v>325</v>
      </c>
      <c r="D1329" s="94">
        <v>1615.0</v>
      </c>
    </row>
    <row r="1330">
      <c r="A1330" s="40">
        <f t="array" ref="A1330">IFNA(index(PlayerValues!A:A,match(IFNA(vlookup(B1330,'Special Names'!A:B,2,FALSE),B1330),PlayerValues!E:E,0)),"N/A")</f>
        <v>16629</v>
      </c>
      <c r="B1330" s="4" t="s">
        <v>605</v>
      </c>
      <c r="C1330" s="4" t="s">
        <v>287</v>
      </c>
      <c r="D1330" s="94">
        <v>1613.0</v>
      </c>
    </row>
    <row r="1331">
      <c r="A1331" s="40">
        <f t="array" ref="A1331">IFNA(index(PlayerValues!A:A,match(IFNA(vlookup(B1331,'Special Names'!A:B,2,FALSE),B1331),PlayerValues!E:E,0)),"N/A")</f>
        <v>15319</v>
      </c>
      <c r="B1331" s="4" t="s">
        <v>644</v>
      </c>
      <c r="C1331" s="4" t="s">
        <v>287</v>
      </c>
      <c r="D1331" s="94">
        <v>1610.0</v>
      </c>
    </row>
    <row r="1332">
      <c r="A1332" s="40" t="str">
        <f t="array" ref="A1332">IFNA(index(PlayerValues!A:A,match(IFNA(vlookup(B1332,'Special Names'!A:B,2,FALSE),B1332),PlayerValues!E:E,0)),"N/A")</f>
        <v>N/A</v>
      </c>
      <c r="B1332" s="4" t="s">
        <v>90</v>
      </c>
      <c r="C1332" s="4" t="s">
        <v>325</v>
      </c>
      <c r="D1332" s="94">
        <v>1600.0</v>
      </c>
    </row>
    <row r="1333">
      <c r="A1333" s="40">
        <f t="array" ref="A1333">IFNA(index(PlayerValues!A:A,match(IFNA(vlookup(B1333,'Special Names'!A:B,2,FALSE),B1333),PlayerValues!E:E,0)),"N/A")</f>
        <v>16688</v>
      </c>
      <c r="B1333" s="4" t="s">
        <v>688</v>
      </c>
      <c r="C1333" s="4" t="s">
        <v>278</v>
      </c>
      <c r="D1333" s="94">
        <v>1592.0</v>
      </c>
    </row>
    <row r="1334">
      <c r="A1334" s="40">
        <f t="array" ref="A1334">IFNA(index(PlayerValues!A:A,match(IFNA(vlookup(B1334,'Special Names'!A:B,2,FALSE),B1334),PlayerValues!E:E,0)),"N/A")</f>
        <v>15713</v>
      </c>
      <c r="B1334" s="4" t="s">
        <v>732</v>
      </c>
      <c r="C1334" s="4" t="s">
        <v>278</v>
      </c>
      <c r="D1334" s="94">
        <v>1568.0</v>
      </c>
    </row>
    <row r="1335">
      <c r="A1335" s="40">
        <f t="array" ref="A1335">IFNA(index(PlayerValues!A:A,match(IFNA(vlookup(B1335,'Special Names'!A:B,2,FALSE),B1335),PlayerValues!E:E,0)),"N/A")</f>
        <v>16595</v>
      </c>
      <c r="B1335" s="4" t="s">
        <v>664</v>
      </c>
      <c r="C1335" s="4" t="s">
        <v>278</v>
      </c>
      <c r="D1335" s="94">
        <v>1565.0</v>
      </c>
    </row>
    <row r="1336">
      <c r="A1336" s="40">
        <f t="array" ref="A1336">IFNA(index(PlayerValues!A:A,match(IFNA(vlookup(B1336,'Special Names'!A:B,2,FALSE),B1336),PlayerValues!E:E,0)),"N/A")</f>
        <v>17205</v>
      </c>
      <c r="B1336" s="4" t="s">
        <v>665</v>
      </c>
      <c r="C1336" s="4" t="s">
        <v>287</v>
      </c>
      <c r="D1336" s="94">
        <v>1564.0</v>
      </c>
    </row>
    <row r="1337">
      <c r="A1337" s="40">
        <f t="array" ref="A1337">IFNA(index(PlayerValues!A:A,match(IFNA(vlookup(B1337,'Special Names'!A:B,2,FALSE),B1337),PlayerValues!E:E,0)),"N/A")</f>
        <v>16633</v>
      </c>
      <c r="B1337" s="4" t="s">
        <v>656</v>
      </c>
      <c r="C1337" s="4" t="s">
        <v>287</v>
      </c>
      <c r="D1337" s="94">
        <v>1563.0</v>
      </c>
    </row>
    <row r="1338">
      <c r="A1338" s="40" t="str">
        <f t="array" ref="A1338">IFNA(index(PlayerValues!A:A,match(IFNA(vlookup(B1338,'Special Names'!A:B,2,FALSE),B1338),PlayerValues!E:E,0)),"N/A")</f>
        <v>N/A</v>
      </c>
      <c r="B1338" s="4" t="s">
        <v>116</v>
      </c>
      <c r="C1338" s="4" t="s">
        <v>325</v>
      </c>
      <c r="D1338" s="94">
        <v>1563.0</v>
      </c>
    </row>
    <row r="1339">
      <c r="A1339" s="40">
        <f t="array" ref="A1339">IFNA(index(PlayerValues!A:A,match(IFNA(vlookup(B1339,'Special Names'!A:B,2,FALSE),B1339),PlayerValues!E:E,0)),"N/A")</f>
        <v>14122</v>
      </c>
      <c r="B1339" s="4" t="s">
        <v>663</v>
      </c>
      <c r="C1339" s="4" t="s">
        <v>287</v>
      </c>
      <c r="D1339" s="94">
        <v>1556.0</v>
      </c>
    </row>
    <row r="1340">
      <c r="A1340" s="40">
        <f t="array" ref="A1340">IFNA(index(PlayerValues!A:A,match(IFNA(vlookup(B1340,'Special Names'!A:B,2,FALSE),B1340),PlayerValues!E:E,0)),"N/A")</f>
        <v>17548</v>
      </c>
      <c r="B1340" s="4" t="s">
        <v>594</v>
      </c>
      <c r="C1340" s="4" t="s">
        <v>298</v>
      </c>
      <c r="D1340" s="94">
        <v>1930.0</v>
      </c>
    </row>
    <row r="1341">
      <c r="A1341" s="40">
        <f t="array" ref="A1341">IFNA(index(PlayerValues!A:A,match(IFNA(vlookup(B1341,'Special Names'!A:B,2,FALSE),B1341),PlayerValues!E:E,0)),"N/A")</f>
        <v>17234</v>
      </c>
      <c r="B1341" s="4" t="s">
        <v>653</v>
      </c>
      <c r="C1341" s="4" t="s">
        <v>287</v>
      </c>
      <c r="D1341" s="94">
        <v>1548.0</v>
      </c>
    </row>
    <row r="1342">
      <c r="A1342" s="40">
        <f t="array" ref="A1342">IFNA(index(PlayerValues!A:A,match(IFNA(vlookup(B1342,'Special Names'!A:B,2,FALSE),B1342),PlayerValues!E:E,0)),"N/A")</f>
        <v>15337</v>
      </c>
      <c r="B1342" s="4" t="s">
        <v>655</v>
      </c>
      <c r="C1342" s="4" t="s">
        <v>298</v>
      </c>
      <c r="D1342" s="94">
        <v>1914.0</v>
      </c>
    </row>
    <row r="1343">
      <c r="A1343" s="40">
        <f t="array" ref="A1343">IFNA(index(PlayerValues!A:A,match(IFNA(vlookup(B1343,'Special Names'!A:B,2,FALSE),B1343),PlayerValues!E:E,0)),"N/A")</f>
        <v>17468</v>
      </c>
      <c r="B1343" s="4" t="s">
        <v>514</v>
      </c>
      <c r="C1343" s="4" t="s">
        <v>283</v>
      </c>
      <c r="D1343" s="94">
        <v>1536.0</v>
      </c>
    </row>
    <row r="1344">
      <c r="A1344" s="40">
        <f t="array" ref="A1344">IFNA(index(PlayerValues!A:A,match(IFNA(vlookup(B1344,'Special Names'!A:B,2,FALSE),B1344),PlayerValues!E:E,0)),"N/A")</f>
        <v>16175</v>
      </c>
      <c r="B1344" s="4" t="s">
        <v>654</v>
      </c>
      <c r="C1344" s="4" t="s">
        <v>278</v>
      </c>
      <c r="D1344" s="94">
        <v>1513.0</v>
      </c>
    </row>
    <row r="1345">
      <c r="A1345" s="40">
        <f t="array" ref="A1345">IFNA(index(PlayerValues!A:A,match(IFNA(vlookup(B1345,'Special Names'!A:B,2,FALSE),B1345),PlayerValues!E:E,0)),"N/A")</f>
        <v>15752</v>
      </c>
      <c r="B1345" s="4" t="s">
        <v>647</v>
      </c>
      <c r="C1345" s="4" t="s">
        <v>287</v>
      </c>
      <c r="D1345" s="94">
        <v>1511.0</v>
      </c>
    </row>
    <row r="1346">
      <c r="A1346" s="40">
        <f t="array" ref="A1346">IFNA(index(PlayerValues!A:A,match(IFNA(vlookup(B1346,'Special Names'!A:B,2,FALSE),B1346),PlayerValues!E:E,0)),"N/A")</f>
        <v>15759</v>
      </c>
      <c r="B1346" s="4" t="s">
        <v>662</v>
      </c>
      <c r="C1346" s="4" t="s">
        <v>287</v>
      </c>
      <c r="D1346" s="94">
        <v>1509.0</v>
      </c>
    </row>
    <row r="1347">
      <c r="A1347" s="40" t="str">
        <f t="array" ref="A1347">IFNA(index(PlayerValues!A:A,match(IFNA(vlookup(B1347,'Special Names'!A:B,2,FALSE),B1347),PlayerValues!E:E,0)),"N/A")</f>
        <v>N/A</v>
      </c>
      <c r="B1347" s="4" t="s">
        <v>91</v>
      </c>
      <c r="C1347" s="4" t="s">
        <v>325</v>
      </c>
      <c r="D1347" s="94">
        <v>1509.0</v>
      </c>
    </row>
    <row r="1348">
      <c r="A1348" s="40">
        <f t="array" ref="A1348">IFNA(index(PlayerValues!A:A,match(IFNA(vlookup(B1348,'Special Names'!A:B,2,FALSE),B1348),PlayerValues!E:E,0)),"N/A")</f>
        <v>16792</v>
      </c>
      <c r="B1348" s="4" t="s">
        <v>704</v>
      </c>
      <c r="C1348" s="4" t="s">
        <v>287</v>
      </c>
      <c r="D1348" s="94">
        <v>1492.0</v>
      </c>
    </row>
    <row r="1349">
      <c r="A1349" s="40">
        <f t="array" ref="A1349">IFNA(index(PlayerValues!A:A,match(IFNA(vlookup(B1349,'Special Names'!A:B,2,FALSE),B1349),PlayerValues!E:E,0)),"N/A")</f>
        <v>16631</v>
      </c>
      <c r="B1349" s="4" t="s">
        <v>800</v>
      </c>
      <c r="C1349" s="4" t="s">
        <v>287</v>
      </c>
      <c r="D1349" s="94">
        <v>1469.0</v>
      </c>
    </row>
    <row r="1350">
      <c r="A1350" s="40">
        <f t="array" ref="A1350">IFNA(index(PlayerValues!A:A,match(IFNA(vlookup(B1350,'Special Names'!A:B,2,FALSE),B1350),PlayerValues!E:E,0)),"N/A")</f>
        <v>16390</v>
      </c>
      <c r="B1350" s="4" t="s">
        <v>689</v>
      </c>
      <c r="C1350" s="4" t="s">
        <v>278</v>
      </c>
      <c r="D1350" s="94">
        <v>1466.0</v>
      </c>
    </row>
    <row r="1351">
      <c r="A1351" s="40">
        <f t="array" ref="A1351">IFNA(index(PlayerValues!A:A,match(IFNA(vlookup(B1351,'Special Names'!A:B,2,FALSE),B1351),PlayerValues!E:E,0)),"N/A")</f>
        <v>16788</v>
      </c>
      <c r="B1351" s="4" t="s">
        <v>621</v>
      </c>
      <c r="C1351" s="4" t="s">
        <v>287</v>
      </c>
      <c r="D1351" s="94">
        <v>1463.0</v>
      </c>
    </row>
    <row r="1352">
      <c r="A1352" s="40">
        <f t="array" ref="A1352">IFNA(index(PlayerValues!A:A,match(IFNA(vlookup(B1352,'Special Names'!A:B,2,FALSE),B1352),PlayerValues!E:E,0)),"N/A")</f>
        <v>17485</v>
      </c>
      <c r="B1352" s="4" t="s">
        <v>522</v>
      </c>
      <c r="C1352" s="4" t="s">
        <v>278</v>
      </c>
      <c r="D1352" s="94">
        <v>1463.0</v>
      </c>
    </row>
    <row r="1353">
      <c r="A1353" s="40">
        <f t="array" ref="A1353">IFNA(index(PlayerValues!A:A,match(IFNA(vlookup(B1353,'Special Names'!A:B,2,FALSE),B1353),PlayerValues!E:E,0)),"N/A")</f>
        <v>17054</v>
      </c>
      <c r="B1353" s="4" t="s">
        <v>670</v>
      </c>
      <c r="C1353" s="4" t="s">
        <v>278</v>
      </c>
      <c r="D1353" s="94">
        <v>1458.0</v>
      </c>
    </row>
    <row r="1354">
      <c r="A1354" s="40">
        <f t="array" ref="A1354">IFNA(index(PlayerValues!A:A,match(IFNA(vlookup(B1354,'Special Names'!A:B,2,FALSE),B1354),PlayerValues!E:E,0)),"N/A")</f>
        <v>15873</v>
      </c>
      <c r="B1354" s="4" t="s">
        <v>681</v>
      </c>
      <c r="C1354" s="4" t="s">
        <v>298</v>
      </c>
      <c r="D1354" s="94">
        <v>1826.0</v>
      </c>
    </row>
    <row r="1355">
      <c r="A1355" s="40">
        <f t="array" ref="A1355">IFNA(index(PlayerValues!A:A,match(IFNA(vlookup(B1355,'Special Names'!A:B,2,FALSE),B1355),PlayerValues!E:E,0)),"N/A")</f>
        <v>15777</v>
      </c>
      <c r="B1355" s="4" t="s">
        <v>694</v>
      </c>
      <c r="C1355" s="4" t="s">
        <v>287</v>
      </c>
      <c r="D1355" s="94">
        <v>1448.0</v>
      </c>
    </row>
    <row r="1356">
      <c r="A1356" s="40">
        <f t="array" ref="A1356">IFNA(index(PlayerValues!A:A,match(IFNA(vlookup(B1356,'Special Names'!A:B,2,FALSE),B1356),PlayerValues!E:E,0)),"N/A")</f>
        <v>16384</v>
      </c>
      <c r="B1356" s="4" t="s">
        <v>696</v>
      </c>
      <c r="C1356" s="4" t="s">
        <v>283</v>
      </c>
      <c r="D1356" s="94">
        <v>1444.0</v>
      </c>
    </row>
    <row r="1357">
      <c r="A1357" s="40">
        <f t="array" ref="A1357">IFNA(index(PlayerValues!A:A,match(IFNA(vlookup(B1357,'Special Names'!A:B,2,FALSE),B1357),PlayerValues!E:E,0)),"N/A")</f>
        <v>13672</v>
      </c>
      <c r="B1357" s="4" t="s">
        <v>667</v>
      </c>
      <c r="C1357" s="4" t="s">
        <v>298</v>
      </c>
      <c r="D1357" s="94">
        <v>1806.0</v>
      </c>
    </row>
    <row r="1358">
      <c r="A1358" s="40">
        <f t="array" ref="A1358">IFNA(index(PlayerValues!A:A,match(IFNA(vlookup(B1358,'Special Names'!A:B,2,FALSE),B1358),PlayerValues!E:E,0)),"N/A")</f>
        <v>16642</v>
      </c>
      <c r="B1358" s="4" t="s">
        <v>691</v>
      </c>
      <c r="C1358" s="4" t="s">
        <v>298</v>
      </c>
      <c r="D1358" s="94">
        <v>1802.0</v>
      </c>
    </row>
    <row r="1359">
      <c r="A1359" s="40">
        <f t="array" ref="A1359">IFNA(index(PlayerValues!A:A,match(IFNA(vlookup(B1359,'Special Names'!A:B,2,FALSE),B1359),PlayerValues!E:E,0)),"N/A")</f>
        <v>13418</v>
      </c>
      <c r="B1359" s="4" t="s">
        <v>706</v>
      </c>
      <c r="C1359" s="4" t="s">
        <v>287</v>
      </c>
      <c r="D1359" s="94">
        <v>1425.0</v>
      </c>
    </row>
    <row r="1360">
      <c r="A1360" s="40">
        <f t="array" ref="A1360">IFNA(index(PlayerValues!A:A,match(IFNA(vlookup(B1360,'Special Names'!A:B,2,FALSE),B1360),PlayerValues!E:E,0)),"N/A")</f>
        <v>17037</v>
      </c>
      <c r="B1360" s="4" t="s">
        <v>727</v>
      </c>
      <c r="C1360" s="4" t="s">
        <v>283</v>
      </c>
      <c r="D1360" s="94">
        <v>1425.0</v>
      </c>
    </row>
    <row r="1361">
      <c r="A1361" s="40">
        <f t="array" ref="A1361">IFNA(index(PlayerValues!A:A,match(IFNA(vlookup(B1361,'Special Names'!A:B,2,FALSE),B1361),PlayerValues!E:E,0)),"N/A")</f>
        <v>16621</v>
      </c>
      <c r="B1361" s="4" t="s">
        <v>672</v>
      </c>
      <c r="C1361" s="4" t="s">
        <v>287</v>
      </c>
      <c r="D1361" s="94">
        <v>1407.0</v>
      </c>
    </row>
    <row r="1362">
      <c r="A1362" s="40">
        <f t="array" ref="A1362">IFNA(index(PlayerValues!A:A,match(IFNA(vlookup(B1362,'Special Names'!A:B,2,FALSE),B1362),PlayerValues!E:E,0)),"N/A")</f>
        <v>15292</v>
      </c>
      <c r="B1362" s="4" t="s">
        <v>682</v>
      </c>
      <c r="C1362" s="4" t="s">
        <v>287</v>
      </c>
      <c r="D1362" s="94">
        <v>1397.0</v>
      </c>
    </row>
    <row r="1363">
      <c r="A1363" s="40">
        <f t="array" ref="A1363">IFNA(index(PlayerValues!A:A,match(IFNA(vlookup(B1363,'Special Names'!A:B,2,FALSE),B1363),PlayerValues!E:E,0)),"N/A")</f>
        <v>14137</v>
      </c>
      <c r="B1363" s="4" t="s">
        <v>676</v>
      </c>
      <c r="C1363" s="4" t="s">
        <v>298</v>
      </c>
      <c r="D1363" s="94">
        <v>1757.0</v>
      </c>
    </row>
    <row r="1364">
      <c r="A1364" s="40">
        <f t="array" ref="A1364">IFNA(index(PlayerValues!A:A,match(IFNA(vlookup(B1364,'Special Names'!A:B,2,FALSE),B1364),PlayerValues!E:E,0)),"N/A")</f>
        <v>12140</v>
      </c>
      <c r="B1364" s="4" t="s">
        <v>702</v>
      </c>
      <c r="C1364" s="4" t="s">
        <v>283</v>
      </c>
      <c r="D1364" s="94">
        <v>1378.0</v>
      </c>
    </row>
    <row r="1365">
      <c r="A1365" s="40">
        <f t="array" ref="A1365">IFNA(index(PlayerValues!A:A,match(IFNA(vlookup(B1365,'Special Names'!A:B,2,FALSE),B1365),PlayerValues!E:E,0)),"N/A")</f>
        <v>14086</v>
      </c>
      <c r="B1365" s="4" t="s">
        <v>639</v>
      </c>
      <c r="C1365" s="4" t="s">
        <v>278</v>
      </c>
      <c r="D1365" s="94">
        <v>1370.0</v>
      </c>
    </row>
    <row r="1366">
      <c r="A1366" s="40">
        <f t="array" ref="A1366">IFNA(index(PlayerValues!A:A,match(IFNA(vlookup(B1366,'Special Names'!A:B,2,FALSE),B1366),PlayerValues!E:E,0)),"N/A")</f>
        <v>11222</v>
      </c>
      <c r="B1366" s="4" t="s">
        <v>622</v>
      </c>
      <c r="C1366" s="4" t="s">
        <v>287</v>
      </c>
      <c r="D1366" s="94">
        <v>1364.0</v>
      </c>
    </row>
    <row r="1367">
      <c r="A1367" s="40">
        <f t="array" ref="A1367">IFNA(index(PlayerValues!A:A,match(IFNA(vlookup(B1367,'Special Names'!A:B,2,FALSE),B1367),PlayerValues!E:E,0)),"N/A")</f>
        <v>16149</v>
      </c>
      <c r="B1367" s="4" t="s">
        <v>740</v>
      </c>
      <c r="C1367" s="4" t="s">
        <v>283</v>
      </c>
      <c r="D1367" s="94">
        <v>1364.0</v>
      </c>
    </row>
    <row r="1368">
      <c r="A1368" s="40">
        <f t="array" ref="A1368">IFNA(index(PlayerValues!A:A,match(IFNA(vlookup(B1368,'Special Names'!A:B,2,FALSE),B1368),PlayerValues!E:E,0)),"N/A")</f>
        <v>15252</v>
      </c>
      <c r="B1368" s="4" t="s">
        <v>715</v>
      </c>
      <c r="C1368" s="4" t="s">
        <v>283</v>
      </c>
      <c r="D1368" s="94">
        <v>1360.0</v>
      </c>
    </row>
    <row r="1369">
      <c r="A1369" s="40">
        <f t="array" ref="A1369">IFNA(index(PlayerValues!A:A,match(IFNA(vlookup(B1369,'Special Names'!A:B,2,FALSE),B1369),PlayerValues!E:E,0)),"N/A")</f>
        <v>17062</v>
      </c>
      <c r="B1369" s="4" t="s">
        <v>701</v>
      </c>
      <c r="C1369" s="4" t="s">
        <v>278</v>
      </c>
      <c r="D1369" s="94">
        <v>1359.0</v>
      </c>
    </row>
    <row r="1370">
      <c r="A1370" s="40">
        <f t="array" ref="A1370">IFNA(index(PlayerValues!A:A,match(IFNA(vlookup(B1370,'Special Names'!A:B,2,FALSE),B1370),PlayerValues!E:E,0)),"N/A")</f>
        <v>17254</v>
      </c>
      <c r="B1370" s="4" t="s">
        <v>679</v>
      </c>
      <c r="C1370" s="4" t="s">
        <v>287</v>
      </c>
      <c r="D1370" s="94">
        <v>1357.0</v>
      </c>
    </row>
    <row r="1371">
      <c r="A1371" s="40">
        <f t="array" ref="A1371">IFNA(index(PlayerValues!A:A,match(IFNA(vlookup(B1371,'Special Names'!A:B,2,FALSE),B1371),PlayerValues!E:E,0)),"N/A")</f>
        <v>17529</v>
      </c>
      <c r="B1371" s="4" t="s">
        <v>608</v>
      </c>
      <c r="C1371" s="4" t="s">
        <v>287</v>
      </c>
      <c r="D1371" s="94">
        <v>1340.0</v>
      </c>
    </row>
    <row r="1372">
      <c r="A1372" s="40">
        <f t="array" ref="A1372">IFNA(index(PlayerValues!A:A,match(IFNA(vlookup(B1372,'Special Names'!A:B,2,FALSE),B1372),PlayerValues!E:E,0)),"N/A")</f>
        <v>15332</v>
      </c>
      <c r="B1372" s="4" t="s">
        <v>698</v>
      </c>
      <c r="C1372" s="4" t="s">
        <v>298</v>
      </c>
      <c r="D1372" s="94">
        <v>1682.0</v>
      </c>
    </row>
    <row r="1373">
      <c r="A1373" s="40">
        <f t="array" ref="A1373">IFNA(index(PlayerValues!A:A,match(IFNA(vlookup(B1373,'Special Names'!A:B,2,FALSE),B1373),PlayerValues!E:E,0)),"N/A")</f>
        <v>12678</v>
      </c>
      <c r="B1373" s="4" t="s">
        <v>703</v>
      </c>
      <c r="C1373" s="4" t="s">
        <v>298</v>
      </c>
      <c r="D1373" s="94">
        <v>1664.0</v>
      </c>
    </row>
    <row r="1374">
      <c r="A1374" s="40">
        <f t="array" ref="A1374">IFNA(index(PlayerValues!A:A,match(IFNA(vlookup(B1374,'Special Names'!A:B,2,FALSE),B1374),PlayerValues!E:E,0)),"N/A")</f>
        <v>15738</v>
      </c>
      <c r="B1374" s="4" t="s">
        <v>634</v>
      </c>
      <c r="C1374" s="4" t="s">
        <v>278</v>
      </c>
      <c r="D1374" s="94">
        <v>1298.0</v>
      </c>
    </row>
    <row r="1375">
      <c r="A1375" s="40">
        <f t="array" ref="A1375">IFNA(index(PlayerValues!A:A,match(IFNA(vlookup(B1375,'Special Names'!A:B,2,FALSE),B1375),PlayerValues!E:E,0)),"N/A")</f>
        <v>17077</v>
      </c>
      <c r="B1375" s="4" t="s">
        <v>714</v>
      </c>
      <c r="C1375" s="4" t="s">
        <v>287</v>
      </c>
      <c r="D1375" s="94">
        <v>1298.0</v>
      </c>
    </row>
    <row r="1376">
      <c r="A1376" s="40">
        <f t="array" ref="A1376">IFNA(index(PlayerValues!A:A,match(IFNA(vlookup(B1376,'Special Names'!A:B,2,FALSE),B1376),PlayerValues!E:E,0)),"N/A")</f>
        <v>14095</v>
      </c>
      <c r="B1376" s="4" t="s">
        <v>680</v>
      </c>
      <c r="C1376" s="4" t="s">
        <v>278</v>
      </c>
      <c r="D1376" s="94">
        <v>1294.0</v>
      </c>
    </row>
    <row r="1377">
      <c r="A1377" s="40">
        <f t="array" ref="A1377">IFNA(index(PlayerValues!A:A,match(IFNA(vlookup(B1377,'Special Names'!A:B,2,FALSE),B1377),PlayerValues!E:E,0)),"N/A")</f>
        <v>16608</v>
      </c>
      <c r="B1377" s="4" t="s">
        <v>629</v>
      </c>
      <c r="C1377" s="4" t="s">
        <v>278</v>
      </c>
      <c r="D1377" s="94">
        <v>1293.0</v>
      </c>
    </row>
    <row r="1378">
      <c r="A1378" s="40">
        <f t="array" ref="A1378">IFNA(index(PlayerValues!A:A,match(IFNA(vlookup(B1378,'Special Names'!A:B,2,FALSE),B1378),PlayerValues!E:E,0)),"N/A")</f>
        <v>12141</v>
      </c>
      <c r="B1378" s="4" t="s">
        <v>744</v>
      </c>
      <c r="C1378" s="4" t="s">
        <v>283</v>
      </c>
      <c r="D1378" s="94">
        <v>1288.0</v>
      </c>
    </row>
    <row r="1379">
      <c r="A1379" s="40">
        <f t="array" ref="A1379">IFNA(index(PlayerValues!A:A,match(IFNA(vlookup(B1379,'Special Names'!A:B,2,FALSE),B1379),PlayerValues!E:E,0)),"N/A")</f>
        <v>17567</v>
      </c>
      <c r="B1379" s="4" t="s">
        <v>571</v>
      </c>
      <c r="C1379" s="4" t="s">
        <v>298</v>
      </c>
      <c r="D1379" s="94">
        <v>1655.0</v>
      </c>
    </row>
    <row r="1380">
      <c r="A1380" s="40" t="str">
        <f t="array" ref="A1380">IFNA(index(PlayerValues!A:A,match(IFNA(vlookup(B1380,'Special Names'!A:B,2,FALSE),B1380),PlayerValues!E:E,0)),"N/A")</f>
        <v>N/A</v>
      </c>
      <c r="B1380" s="4" t="s">
        <v>117</v>
      </c>
      <c r="C1380" s="4" t="s">
        <v>325</v>
      </c>
      <c r="D1380" s="94">
        <v>1286.0</v>
      </c>
    </row>
    <row r="1381">
      <c r="A1381" s="40">
        <f t="array" ref="A1381">IFNA(index(PlayerValues!A:A,match(IFNA(vlookup(B1381,'Special Names'!A:B,2,FALSE),B1381),PlayerValues!E:E,0)),"N/A")</f>
        <v>14592</v>
      </c>
      <c r="B1381" s="4" t="s">
        <v>705</v>
      </c>
      <c r="C1381" s="4" t="s">
        <v>287</v>
      </c>
      <c r="D1381" s="94">
        <v>1278.0</v>
      </c>
    </row>
    <row r="1382">
      <c r="A1382" s="40">
        <f t="array" ref="A1382">IFNA(index(PlayerValues!A:A,match(IFNA(vlookup(B1382,'Special Names'!A:B,2,FALSE),B1382),PlayerValues!E:E,0)),"N/A")</f>
        <v>17521</v>
      </c>
      <c r="B1382" s="4" t="s">
        <v>573</v>
      </c>
      <c r="C1382" s="4" t="s">
        <v>287</v>
      </c>
      <c r="D1382" s="94">
        <v>1278.0</v>
      </c>
    </row>
    <row r="1383">
      <c r="A1383" s="40">
        <f t="array" ref="A1383">IFNA(index(PlayerValues!A:A,match(IFNA(vlookup(B1383,'Special Names'!A:B,2,FALSE),B1383),PlayerValues!E:E,0)),"N/A")</f>
        <v>17097</v>
      </c>
      <c r="B1383" s="4" t="s">
        <v>659</v>
      </c>
      <c r="C1383" s="4" t="s">
        <v>287</v>
      </c>
      <c r="D1383" s="94">
        <v>1267.0</v>
      </c>
    </row>
    <row r="1384">
      <c r="A1384" s="40">
        <f t="array" ref="A1384">IFNA(index(PlayerValues!A:A,match(IFNA(vlookup(B1384,'Special Names'!A:B,2,FALSE),B1384),PlayerValues!E:E,0)),"N/A")</f>
        <v>14080</v>
      </c>
      <c r="B1384" s="4" t="s">
        <v>716</v>
      </c>
      <c r="C1384" s="4" t="s">
        <v>278</v>
      </c>
      <c r="D1384" s="94">
        <v>1259.0</v>
      </c>
    </row>
    <row r="1385">
      <c r="A1385" s="40">
        <f t="array" ref="A1385">IFNA(index(PlayerValues!A:A,match(IFNA(vlookup(B1385,'Special Names'!A:B,2,FALSE),B1385),PlayerValues!E:E,0)),"N/A")</f>
        <v>17269</v>
      </c>
      <c r="B1385" s="4" t="s">
        <v>718</v>
      </c>
      <c r="C1385" s="4" t="s">
        <v>287</v>
      </c>
      <c r="D1385" s="94">
        <v>1254.0</v>
      </c>
    </row>
    <row r="1386">
      <c r="A1386" s="40">
        <f t="array" ref="A1386">IFNA(index(PlayerValues!A:A,match(IFNA(vlookup(B1386,'Special Names'!A:B,2,FALSE),B1386),PlayerValues!E:E,0)),"N/A")</f>
        <v>15702</v>
      </c>
      <c r="B1386" s="4" t="s">
        <v>723</v>
      </c>
      <c r="C1386" s="4" t="s">
        <v>283</v>
      </c>
      <c r="D1386" s="94">
        <v>1253.0</v>
      </c>
    </row>
    <row r="1387">
      <c r="A1387" s="40">
        <f t="array" ref="A1387">IFNA(index(PlayerValues!A:A,match(IFNA(vlookup(B1387,'Special Names'!A:B,2,FALSE),B1387),PlayerValues!E:E,0)),"N/A")</f>
        <v>16183</v>
      </c>
      <c r="B1387" s="4" t="s">
        <v>678</v>
      </c>
      <c r="C1387" s="4" t="s">
        <v>287</v>
      </c>
      <c r="D1387" s="94">
        <v>1235.0</v>
      </c>
    </row>
    <row r="1388">
      <c r="A1388" s="40">
        <f t="array" ref="A1388">IFNA(index(PlayerValues!A:A,match(IFNA(vlookup(B1388,'Special Names'!A:B,2,FALSE),B1388),PlayerValues!E:E,0)),"N/A")</f>
        <v>16333</v>
      </c>
      <c r="B1388" s="4" t="s">
        <v>711</v>
      </c>
      <c r="C1388" s="4" t="s">
        <v>298</v>
      </c>
      <c r="D1388" s="94">
        <v>1595.0</v>
      </c>
    </row>
    <row r="1389">
      <c r="A1389" s="40">
        <f t="array" ref="A1389">IFNA(index(PlayerValues!A:A,match(IFNA(vlookup(B1389,'Special Names'!A:B,2,FALSE),B1389),PlayerValues!E:E,0)),"N/A")</f>
        <v>16636</v>
      </c>
      <c r="B1389" s="4" t="s">
        <v>699</v>
      </c>
      <c r="C1389" s="4" t="s">
        <v>287</v>
      </c>
      <c r="D1389" s="94">
        <v>1225.0</v>
      </c>
    </row>
    <row r="1390">
      <c r="A1390" s="40">
        <f t="array" ref="A1390">IFNA(index(PlayerValues!A:A,match(IFNA(vlookup(B1390,'Special Names'!A:B,2,FALSE),B1390),PlayerValues!E:E,0)),"N/A")</f>
        <v>17607</v>
      </c>
      <c r="B1390" s="4" t="s">
        <v>526</v>
      </c>
      <c r="C1390" s="4" t="s">
        <v>298</v>
      </c>
      <c r="D1390" s="94">
        <v>1592.0</v>
      </c>
    </row>
    <row r="1391">
      <c r="A1391" s="40">
        <f t="array" ref="A1391">IFNA(index(PlayerValues!A:A,match(IFNA(vlookup(B1391,'Special Names'!A:B,2,FALSE),B1391),PlayerValues!E:E,0)),"N/A")</f>
        <v>16645</v>
      </c>
      <c r="B1391" s="4" t="s">
        <v>651</v>
      </c>
      <c r="C1391" s="4" t="s">
        <v>298</v>
      </c>
      <c r="D1391" s="94">
        <v>1590.0</v>
      </c>
    </row>
    <row r="1392">
      <c r="A1392" s="40">
        <f t="array" ref="A1392">IFNA(index(PlayerValues!A:A,match(IFNA(vlookup(B1392,'Special Names'!A:B,2,FALSE),B1392),PlayerValues!E:E,0)),"N/A")</f>
        <v>16387</v>
      </c>
      <c r="B1392" s="4" t="s">
        <v>646</v>
      </c>
      <c r="C1392" s="4" t="s">
        <v>278</v>
      </c>
      <c r="D1392" s="94">
        <v>1217.0</v>
      </c>
    </row>
    <row r="1393">
      <c r="A1393" s="40">
        <f t="array" ref="A1393">IFNA(index(PlayerValues!A:A,match(IFNA(vlookup(B1393,'Special Names'!A:B,2,FALSE),B1393),PlayerValues!E:E,0)),"N/A")</f>
        <v>16746</v>
      </c>
      <c r="B1393" s="4" t="s">
        <v>709</v>
      </c>
      <c r="C1393" s="4" t="s">
        <v>278</v>
      </c>
      <c r="D1393" s="94">
        <v>1212.0</v>
      </c>
    </row>
    <row r="1394">
      <c r="A1394" s="40">
        <f t="array" ref="A1394">IFNA(index(PlayerValues!A:A,match(IFNA(vlookup(B1394,'Special Names'!A:B,2,FALSE),B1394),PlayerValues!E:E,0)),"N/A")</f>
        <v>17519</v>
      </c>
      <c r="B1394" s="4" t="s">
        <v>593</v>
      </c>
      <c r="C1394" s="4" t="s">
        <v>287</v>
      </c>
      <c r="D1394" s="94">
        <v>1206.0</v>
      </c>
    </row>
    <row r="1395">
      <c r="A1395" s="40">
        <f t="array" ref="A1395">IFNA(index(PlayerValues!A:A,match(IFNA(vlookup(B1395,'Special Names'!A:B,2,FALSE),B1395),PlayerValues!E:E,0)),"N/A")</f>
        <v>15288</v>
      </c>
      <c r="B1395" s="4" t="s">
        <v>700</v>
      </c>
      <c r="C1395" s="4" t="s">
        <v>287</v>
      </c>
      <c r="D1395" s="94">
        <v>1203.0</v>
      </c>
    </row>
    <row r="1396">
      <c r="A1396" s="40">
        <f t="array" ref="A1396">IFNA(index(PlayerValues!A:A,match(IFNA(vlookup(B1396,'Special Names'!A:B,2,FALSE),B1396),PlayerValues!E:E,0)),"N/A")</f>
        <v>16883</v>
      </c>
      <c r="B1396" s="4" t="s">
        <v>683</v>
      </c>
      <c r="C1396" s="4" t="s">
        <v>287</v>
      </c>
      <c r="D1396" s="94">
        <v>1199.0</v>
      </c>
    </row>
    <row r="1397">
      <c r="A1397" s="40">
        <f t="array" ref="A1397">IFNA(index(PlayerValues!A:A,match(IFNA(vlookup(B1397,'Special Names'!A:B,2,FALSE),B1397),PlayerValues!E:E,0)),"N/A")</f>
        <v>17063</v>
      </c>
      <c r="B1397" s="4" t="s">
        <v>686</v>
      </c>
      <c r="C1397" s="4" t="s">
        <v>278</v>
      </c>
      <c r="D1397" s="94">
        <v>1197.0</v>
      </c>
    </row>
    <row r="1398">
      <c r="A1398" s="40">
        <f t="array" ref="A1398">IFNA(index(PlayerValues!A:A,match(IFNA(vlookup(B1398,'Special Names'!A:B,2,FALSE),B1398),PlayerValues!E:E,0)),"N/A")</f>
        <v>16199</v>
      </c>
      <c r="B1398" s="4" t="s">
        <v>687</v>
      </c>
      <c r="C1398" s="4" t="s">
        <v>287</v>
      </c>
      <c r="D1398" s="94">
        <v>1195.0</v>
      </c>
    </row>
    <row r="1399">
      <c r="A1399" s="40">
        <f t="array" ref="A1399">IFNA(index(PlayerValues!A:A,match(IFNA(vlookup(B1399,'Special Names'!A:B,2,FALSE),B1399),PlayerValues!E:E,0)),"N/A")</f>
        <v>16221</v>
      </c>
      <c r="B1399" s="4" t="s">
        <v>725</v>
      </c>
      <c r="C1399" s="4" t="s">
        <v>298</v>
      </c>
      <c r="D1399" s="94">
        <v>1556.0</v>
      </c>
    </row>
    <row r="1400">
      <c r="A1400" s="40">
        <f t="array" ref="A1400">IFNA(index(PlayerValues!A:A,match(IFNA(vlookup(B1400,'Special Names'!A:B,2,FALSE),B1400),PlayerValues!E:E,0)),"N/A")</f>
        <v>17057</v>
      </c>
      <c r="B1400" s="4" t="s">
        <v>708</v>
      </c>
      <c r="C1400" s="4" t="s">
        <v>278</v>
      </c>
      <c r="D1400" s="94">
        <v>1175.0</v>
      </c>
    </row>
    <row r="1401">
      <c r="A1401" s="40">
        <f t="array" ref="A1401">IFNA(index(PlayerValues!A:A,match(IFNA(vlookup(B1401,'Special Names'!A:B,2,FALSE),B1401),PlayerValues!E:E,0)),"N/A")</f>
        <v>17109</v>
      </c>
      <c r="B1401" s="4" t="s">
        <v>707</v>
      </c>
      <c r="C1401" s="4" t="s">
        <v>298</v>
      </c>
      <c r="D1401" s="94">
        <v>1542.0</v>
      </c>
    </row>
    <row r="1402">
      <c r="A1402" s="40">
        <f t="array" ref="A1402">IFNA(index(PlayerValues!A:A,match(IFNA(vlookup(B1402,'Special Names'!A:B,2,FALSE),B1402),PlayerValues!E:E,0)),"N/A")</f>
        <v>15981</v>
      </c>
      <c r="B1402" s="4" t="s">
        <v>729</v>
      </c>
      <c r="C1402" s="4" t="s">
        <v>287</v>
      </c>
      <c r="D1402" s="94">
        <v>1173.0</v>
      </c>
    </row>
    <row r="1403">
      <c r="A1403" s="40">
        <f t="array" ref="A1403">IFNA(index(PlayerValues!A:A,match(IFNA(vlookup(B1403,'Special Names'!A:B,2,FALSE),B1403),PlayerValues!E:E,0)),"N/A")</f>
        <v>14789</v>
      </c>
      <c r="B1403" s="4" t="s">
        <v>721</v>
      </c>
      <c r="C1403" s="4" t="s">
        <v>283</v>
      </c>
      <c r="D1403" s="94">
        <v>1158.0</v>
      </c>
    </row>
    <row r="1404">
      <c r="A1404" s="40">
        <f t="array" ref="A1404">IFNA(index(PlayerValues!A:A,match(IFNA(vlookup(B1404,'Special Names'!A:B,2,FALSE),B1404),PlayerValues!E:E,0)),"N/A")</f>
        <v>14108</v>
      </c>
      <c r="B1404" s="4" t="s">
        <v>673</v>
      </c>
      <c r="C1404" s="4" t="s">
        <v>287</v>
      </c>
      <c r="D1404" s="94">
        <v>1155.0</v>
      </c>
    </row>
    <row r="1405">
      <c r="A1405" s="40">
        <f t="array" ref="A1405">IFNA(index(PlayerValues!A:A,match(IFNA(vlookup(B1405,'Special Names'!A:B,2,FALSE),B1405),PlayerValues!E:E,0)),"N/A")</f>
        <v>14845</v>
      </c>
      <c r="B1405" s="4" t="s">
        <v>717</v>
      </c>
      <c r="C1405" s="4" t="s">
        <v>287</v>
      </c>
      <c r="D1405" s="94">
        <v>1147.0</v>
      </c>
    </row>
    <row r="1406">
      <c r="A1406" s="40">
        <f t="array" ref="A1406">IFNA(index(PlayerValues!A:A,match(IFNA(vlookup(B1406,'Special Names'!A:B,2,FALSE),B1406),PlayerValues!E:E,0)),"N/A")</f>
        <v>16385</v>
      </c>
      <c r="B1406" s="4" t="s">
        <v>690</v>
      </c>
      <c r="C1406" s="4" t="s">
        <v>278</v>
      </c>
      <c r="D1406" s="94">
        <v>1146.0</v>
      </c>
    </row>
    <row r="1407">
      <c r="A1407" s="40">
        <f t="array" ref="A1407">IFNA(index(PlayerValues!A:A,match(IFNA(vlookup(B1407,'Special Names'!A:B,2,FALSE),B1407),PlayerValues!E:E,0)),"N/A")</f>
        <v>17546</v>
      </c>
      <c r="B1407" s="4" t="s">
        <v>671</v>
      </c>
      <c r="C1407" s="4" t="s">
        <v>298</v>
      </c>
      <c r="D1407" s="94">
        <v>1512.0</v>
      </c>
    </row>
    <row r="1408">
      <c r="A1408" s="40">
        <f t="array" ref="A1408">IFNA(index(PlayerValues!A:A,match(IFNA(vlookup(B1408,'Special Names'!A:B,2,FALSE),B1408),PlayerValues!E:E,0)),"N/A")</f>
        <v>15240</v>
      </c>
      <c r="B1408" s="4" t="s">
        <v>751</v>
      </c>
      <c r="C1408" s="4" t="s">
        <v>283</v>
      </c>
      <c r="D1408" s="94">
        <v>1137.0</v>
      </c>
    </row>
    <row r="1409">
      <c r="A1409" s="40">
        <f t="array" ref="A1409">IFNA(index(PlayerValues!A:A,match(IFNA(vlookup(B1409,'Special Names'!A:B,2,FALSE),B1409),PlayerValues!E:E,0)),"N/A")</f>
        <v>14067</v>
      </c>
      <c r="B1409" s="4" t="s">
        <v>735</v>
      </c>
      <c r="C1409" s="4" t="s">
        <v>283</v>
      </c>
      <c r="D1409" s="94">
        <v>1136.0</v>
      </c>
    </row>
    <row r="1410">
      <c r="A1410" s="40">
        <f t="array" ref="A1410">IFNA(index(PlayerValues!A:A,match(IFNA(vlookup(B1410,'Special Names'!A:B,2,FALSE),B1410),PlayerValues!E:E,0)),"N/A")</f>
        <v>15730</v>
      </c>
      <c r="B1410" s="4" t="s">
        <v>734</v>
      </c>
      <c r="C1410" s="4" t="s">
        <v>278</v>
      </c>
      <c r="D1410" s="94">
        <v>1122.0</v>
      </c>
    </row>
    <row r="1411">
      <c r="A1411" s="40">
        <f t="array" ref="A1411">IFNA(index(PlayerValues!A:A,match(IFNA(vlookup(B1411,'Special Names'!A:B,2,FALSE),B1411),PlayerValues!E:E,0)),"N/A")</f>
        <v>13289</v>
      </c>
      <c r="B1411" s="4" t="s">
        <v>746</v>
      </c>
      <c r="C1411" s="4" t="s">
        <v>287</v>
      </c>
      <c r="D1411" s="94">
        <v>1121.0</v>
      </c>
    </row>
    <row r="1412">
      <c r="A1412" s="40">
        <f t="array" ref="A1412">IFNA(index(PlayerValues!A:A,match(IFNA(vlookup(B1412,'Special Names'!A:B,2,FALSE),B1412),PlayerValues!E:E,0)),"N/A")</f>
        <v>17192</v>
      </c>
      <c r="B1412" s="4" t="s">
        <v>677</v>
      </c>
      <c r="C1412" s="4" t="s">
        <v>287</v>
      </c>
      <c r="D1412" s="94">
        <v>1114.0</v>
      </c>
    </row>
    <row r="1413">
      <c r="A1413" s="40">
        <f t="array" ref="A1413">IFNA(index(PlayerValues!A:A,match(IFNA(vlookup(B1413,'Special Names'!A:B,2,FALSE),B1413),PlayerValues!E:E,0)),"N/A")</f>
        <v>17510</v>
      </c>
      <c r="B1413" s="4" t="s">
        <v>661</v>
      </c>
      <c r="C1413" s="4" t="s">
        <v>287</v>
      </c>
      <c r="D1413" s="94">
        <v>1112.0</v>
      </c>
    </row>
    <row r="1414">
      <c r="A1414" s="40">
        <f t="array" ref="A1414">IFNA(index(PlayerValues!A:A,match(IFNA(vlookup(B1414,'Special Names'!A:B,2,FALSE),B1414),PlayerValues!E:E,0)),"N/A")</f>
        <v>13131</v>
      </c>
      <c r="B1414" s="4" t="s">
        <v>815</v>
      </c>
      <c r="C1414" s="4" t="s">
        <v>278</v>
      </c>
      <c r="D1414" s="94">
        <v>1106.0</v>
      </c>
    </row>
    <row r="1415">
      <c r="A1415" s="40">
        <f t="array" ref="A1415">IFNA(index(PlayerValues!A:A,match(IFNA(vlookup(B1415,'Special Names'!A:B,2,FALSE),B1415),PlayerValues!E:E,0)),"N/A")</f>
        <v>16393</v>
      </c>
      <c r="B1415" s="4" t="s">
        <v>768</v>
      </c>
      <c r="C1415" s="4" t="s">
        <v>287</v>
      </c>
      <c r="D1415" s="94">
        <v>1104.0</v>
      </c>
    </row>
    <row r="1416">
      <c r="A1416" s="40">
        <f t="array" ref="A1416">IFNA(index(PlayerValues!A:A,match(IFNA(vlookup(B1416,'Special Names'!A:B,2,FALSE),B1416),PlayerValues!E:E,0)),"N/A")</f>
        <v>17685</v>
      </c>
      <c r="B1416" s="4" t="s">
        <v>630</v>
      </c>
      <c r="C1416" s="4" t="s">
        <v>278</v>
      </c>
      <c r="D1416" s="94">
        <v>1101.0</v>
      </c>
    </row>
    <row r="1417">
      <c r="A1417" s="40">
        <f t="array" ref="A1417">IFNA(index(PlayerValues!A:A,match(IFNA(vlookup(B1417,'Special Names'!A:B,2,FALSE),B1417),PlayerValues!E:E,0)),"N/A")</f>
        <v>15727</v>
      </c>
      <c r="B1417" s="4" t="s">
        <v>730</v>
      </c>
      <c r="C1417" s="4" t="s">
        <v>278</v>
      </c>
      <c r="D1417" s="94">
        <v>1092.0</v>
      </c>
    </row>
    <row r="1418">
      <c r="A1418" s="40">
        <f t="array" ref="A1418">IFNA(index(PlayerValues!A:A,match(IFNA(vlookup(B1418,'Special Names'!A:B,2,FALSE),B1418),PlayerValues!E:E,0)),"N/A")</f>
        <v>9064</v>
      </c>
      <c r="B1418" s="4" t="s">
        <v>761</v>
      </c>
      <c r="C1418" s="4" t="s">
        <v>283</v>
      </c>
      <c r="D1418" s="94">
        <v>1089.0</v>
      </c>
    </row>
    <row r="1419">
      <c r="A1419" s="40">
        <f t="array" ref="A1419">IFNA(index(PlayerValues!A:A,match(IFNA(vlookup(B1419,'Special Names'!A:B,2,FALSE),B1419),PlayerValues!E:E,0)),"N/A")</f>
        <v>16197</v>
      </c>
      <c r="B1419" s="4" t="s">
        <v>726</v>
      </c>
      <c r="C1419" s="4" t="s">
        <v>287</v>
      </c>
      <c r="D1419" s="94">
        <v>1087.0</v>
      </c>
    </row>
    <row r="1420">
      <c r="A1420" s="40">
        <f t="array" ref="A1420">IFNA(index(PlayerValues!A:A,match(IFNA(vlookup(B1420,'Special Names'!A:B,2,FALSE),B1420),PlayerValues!E:E,0)),"N/A")</f>
        <v>15692</v>
      </c>
      <c r="B1420" s="4" t="s">
        <v>750</v>
      </c>
      <c r="C1420" s="4" t="s">
        <v>283</v>
      </c>
      <c r="D1420" s="94">
        <v>1086.0</v>
      </c>
    </row>
    <row r="1421">
      <c r="A1421" s="40">
        <f t="array" ref="A1421">IFNA(index(PlayerValues!A:A,match(IFNA(vlookup(B1421,'Special Names'!A:B,2,FALSE),B1421),PlayerValues!E:E,0)),"N/A")</f>
        <v>16637</v>
      </c>
      <c r="B1421" s="4" t="s">
        <v>736</v>
      </c>
      <c r="C1421" s="4" t="s">
        <v>287</v>
      </c>
      <c r="D1421" s="94">
        <v>1072.0</v>
      </c>
    </row>
    <row r="1422">
      <c r="A1422" s="40">
        <f t="array" ref="A1422">IFNA(index(PlayerValues!A:A,match(IFNA(vlookup(B1422,'Special Names'!A:B,2,FALSE),B1422),PlayerValues!E:E,0)),"N/A")</f>
        <v>17050</v>
      </c>
      <c r="B1422" s="4" t="s">
        <v>713</v>
      </c>
      <c r="C1422" s="4" t="s">
        <v>278</v>
      </c>
      <c r="D1422" s="94">
        <v>1065.0</v>
      </c>
    </row>
    <row r="1423">
      <c r="A1423" s="40">
        <f t="array" ref="A1423">IFNA(index(PlayerValues!A:A,match(IFNA(vlookup(B1423,'Special Names'!A:B,2,FALSE),B1423),PlayerValues!E:E,0)),"N/A")</f>
        <v>17599</v>
      </c>
      <c r="B1423" s="4" t="s">
        <v>496</v>
      </c>
      <c r="C1423" s="4" t="s">
        <v>287</v>
      </c>
      <c r="D1423" s="94">
        <v>1064.0</v>
      </c>
    </row>
    <row r="1424">
      <c r="A1424" s="40">
        <f t="array" ref="A1424">IFNA(index(PlayerValues!A:A,match(IFNA(vlookup(B1424,'Special Names'!A:B,2,FALSE),B1424),PlayerValues!E:E,0)),"N/A")</f>
        <v>16640</v>
      </c>
      <c r="B1424" s="4" t="s">
        <v>712</v>
      </c>
      <c r="C1424" s="4" t="s">
        <v>287</v>
      </c>
      <c r="D1424" s="94">
        <v>1060.0</v>
      </c>
    </row>
    <row r="1425">
      <c r="A1425" s="40">
        <f t="array" ref="A1425">IFNA(index(PlayerValues!A:A,match(IFNA(vlookup(B1425,'Special Names'!A:B,2,FALSE),B1425),PlayerValues!E:E,0)),"N/A")</f>
        <v>15693</v>
      </c>
      <c r="B1425" s="4" t="s">
        <v>755</v>
      </c>
      <c r="C1425" s="4" t="s">
        <v>283</v>
      </c>
      <c r="D1425" s="94">
        <v>1036.0</v>
      </c>
    </row>
    <row r="1426">
      <c r="A1426" s="40">
        <f t="array" ref="A1426">IFNA(index(PlayerValues!A:A,match(IFNA(vlookup(B1426,'Special Names'!A:B,2,FALSE),B1426),PlayerValues!E:E,0)),"N/A")</f>
        <v>13193</v>
      </c>
      <c r="B1426" s="4" t="s">
        <v>773</v>
      </c>
      <c r="C1426" s="4" t="s">
        <v>298</v>
      </c>
      <c r="D1426" s="94">
        <v>1402.0</v>
      </c>
    </row>
    <row r="1427">
      <c r="A1427" s="40">
        <f t="array" ref="A1427">IFNA(index(PlayerValues!A:A,match(IFNA(vlookup(B1427,'Special Names'!A:B,2,FALSE),B1427),PlayerValues!E:E,0)),"N/A")</f>
        <v>11247</v>
      </c>
      <c r="B1427" s="4" t="s">
        <v>816</v>
      </c>
      <c r="C1427" s="4" t="s">
        <v>298</v>
      </c>
      <c r="D1427" s="94">
        <v>1394.0</v>
      </c>
    </row>
    <row r="1428">
      <c r="A1428" s="40">
        <f t="array" ref="A1428">IFNA(index(PlayerValues!A:A,match(IFNA(vlookup(B1428,'Special Names'!A:B,2,FALSE),B1428),PlayerValues!E:E,0)),"N/A")</f>
        <v>16451</v>
      </c>
      <c r="B1428" s="4" t="s">
        <v>769</v>
      </c>
      <c r="C1428" s="4" t="s">
        <v>287</v>
      </c>
      <c r="D1428" s="94">
        <v>1025.0</v>
      </c>
    </row>
    <row r="1429">
      <c r="A1429" s="40">
        <f t="array" ref="A1429">IFNA(index(PlayerValues!A:A,match(IFNA(vlookup(B1429,'Special Names'!A:B,2,FALSE),B1429),PlayerValues!E:E,0)),"N/A")</f>
        <v>15239</v>
      </c>
      <c r="B1429" s="4" t="s">
        <v>802</v>
      </c>
      <c r="C1429" s="4" t="s">
        <v>283</v>
      </c>
      <c r="D1429" s="94">
        <v>1013.0</v>
      </c>
    </row>
    <row r="1430">
      <c r="A1430" s="40">
        <f t="array" ref="A1430">IFNA(index(PlayerValues!A:A,match(IFNA(vlookup(B1430,'Special Names'!A:B,2,FALSE),B1430),PlayerValues!E:E,0)),"N/A")</f>
        <v>16168</v>
      </c>
      <c r="B1430" s="4" t="s">
        <v>738</v>
      </c>
      <c r="C1430" s="4" t="s">
        <v>278</v>
      </c>
      <c r="D1430" s="94">
        <v>1011.0</v>
      </c>
    </row>
    <row r="1431">
      <c r="A1431" s="40">
        <f t="array" ref="A1431">IFNA(index(PlayerValues!A:A,match(IFNA(vlookup(B1431,'Special Names'!A:B,2,FALSE),B1431),PlayerValues!E:E,0)),"N/A")</f>
        <v>15258</v>
      </c>
      <c r="B1431" s="4" t="s">
        <v>757</v>
      </c>
      <c r="C1431" s="4" t="s">
        <v>278</v>
      </c>
      <c r="D1431" s="94">
        <v>999.0</v>
      </c>
    </row>
    <row r="1432">
      <c r="A1432" s="40">
        <f t="array" ref="A1432">IFNA(index(PlayerValues!A:A,match(IFNA(vlookup(B1432,'Special Names'!A:B,2,FALSE),B1432),PlayerValues!E:E,0)),"N/A")</f>
        <v>15330</v>
      </c>
      <c r="B1432" s="4" t="s">
        <v>749</v>
      </c>
      <c r="C1432" s="4" t="s">
        <v>298</v>
      </c>
      <c r="D1432" s="94">
        <v>1364.0</v>
      </c>
    </row>
    <row r="1433">
      <c r="A1433" s="40">
        <f t="array" ref="A1433">IFNA(index(PlayerValues!A:A,match(IFNA(vlookup(B1433,'Special Names'!A:B,2,FALSE),B1433),PlayerValues!E:E,0)),"N/A")</f>
        <v>16170</v>
      </c>
      <c r="B1433" s="4" t="s">
        <v>801</v>
      </c>
      <c r="C1433" s="4" t="s">
        <v>278</v>
      </c>
      <c r="D1433" s="94">
        <v>997.0</v>
      </c>
    </row>
    <row r="1434">
      <c r="A1434" s="40">
        <f t="array" ref="A1434">IFNA(index(PlayerValues!A:A,match(IFNA(vlookup(B1434,'Special Names'!A:B,2,FALSE),B1434),PlayerValues!E:E,0)),"N/A")</f>
        <v>17652</v>
      </c>
      <c r="B1434" s="4" t="s">
        <v>576</v>
      </c>
      <c r="C1434" s="4" t="s">
        <v>278</v>
      </c>
      <c r="D1434" s="94">
        <v>995.0</v>
      </c>
    </row>
    <row r="1435">
      <c r="A1435" s="40">
        <f t="array" ref="A1435">IFNA(index(PlayerValues!A:A,match(IFNA(vlookup(B1435,'Special Names'!A:B,2,FALSE),B1435),PlayerValues!E:E,0)),"N/A")</f>
        <v>15795</v>
      </c>
      <c r="B1435" s="4" t="s">
        <v>669</v>
      </c>
      <c r="C1435" s="4" t="s">
        <v>298</v>
      </c>
      <c r="D1435" s="94">
        <v>1359.0</v>
      </c>
    </row>
    <row r="1436">
      <c r="A1436" s="40">
        <f t="array" ref="A1436">IFNA(index(PlayerValues!A:A,match(IFNA(vlookup(B1436,'Special Names'!A:B,2,FALSE),B1436),PlayerValues!E:E,0)),"N/A")</f>
        <v>15717</v>
      </c>
      <c r="B1436" s="4" t="s">
        <v>745</v>
      </c>
      <c r="C1436" s="4" t="s">
        <v>278</v>
      </c>
      <c r="D1436" s="94">
        <v>991.0</v>
      </c>
    </row>
    <row r="1437">
      <c r="A1437" s="40">
        <f t="array" ref="A1437">IFNA(index(PlayerValues!A:A,match(IFNA(vlookup(B1437,'Special Names'!A:B,2,FALSE),B1437),PlayerValues!E:E,0)),"N/A")</f>
        <v>15785</v>
      </c>
      <c r="B1437" s="4" t="s">
        <v>763</v>
      </c>
      <c r="C1437" s="4" t="s">
        <v>287</v>
      </c>
      <c r="D1437" s="94">
        <v>986.0</v>
      </c>
    </row>
    <row r="1438">
      <c r="A1438" s="40">
        <f t="array" ref="A1438">IFNA(index(PlayerValues!A:A,match(IFNA(vlookup(B1438,'Special Names'!A:B,2,FALSE),B1438),PlayerValues!E:E,0)),"N/A")</f>
        <v>16648</v>
      </c>
      <c r="B1438" s="4" t="s">
        <v>748</v>
      </c>
      <c r="C1438" s="4" t="s">
        <v>298</v>
      </c>
      <c r="D1438" s="94">
        <v>1352.0</v>
      </c>
    </row>
    <row r="1439">
      <c r="A1439" s="40">
        <f t="array" ref="A1439">IFNA(index(PlayerValues!A:A,match(IFNA(vlookup(B1439,'Special Names'!A:B,2,FALSE),B1439),PlayerValues!E:E,0)),"N/A")</f>
        <v>14849</v>
      </c>
      <c r="B1439" s="4" t="s">
        <v>733</v>
      </c>
      <c r="C1439" s="4" t="s">
        <v>287</v>
      </c>
      <c r="D1439" s="94">
        <v>981.0</v>
      </c>
    </row>
    <row r="1440">
      <c r="A1440" s="40">
        <f t="array" ref="A1440">IFNA(index(PlayerValues!A:A,match(IFNA(vlookup(B1440,'Special Names'!A:B,2,FALSE),B1440),PlayerValues!E:E,0)),"N/A")</f>
        <v>15766</v>
      </c>
      <c r="B1440" s="4" t="s">
        <v>759</v>
      </c>
      <c r="C1440" s="4" t="s">
        <v>287</v>
      </c>
      <c r="D1440" s="94">
        <v>977.0</v>
      </c>
    </row>
    <row r="1441">
      <c r="A1441" s="40">
        <f t="array" ref="A1441">IFNA(index(PlayerValues!A:A,match(IFNA(vlookup(B1441,'Special Names'!A:B,2,FALSE),B1441),PlayerValues!E:E,0)),"N/A")</f>
        <v>16678</v>
      </c>
      <c r="B1441" s="4" t="s">
        <v>758</v>
      </c>
      <c r="C1441" s="4" t="s">
        <v>278</v>
      </c>
      <c r="D1441" s="94">
        <v>975.0</v>
      </c>
    </row>
    <row r="1442">
      <c r="A1442" s="40">
        <f t="array" ref="A1442">IFNA(index(PlayerValues!A:A,match(IFNA(vlookup(B1442,'Special Names'!A:B,2,FALSE),B1442),PlayerValues!E:E,0)),"N/A")</f>
        <v>14118</v>
      </c>
      <c r="B1442" s="4" t="s">
        <v>771</v>
      </c>
      <c r="C1442" s="4" t="s">
        <v>287</v>
      </c>
      <c r="D1442" s="94">
        <v>974.0</v>
      </c>
    </row>
    <row r="1443">
      <c r="A1443" s="40">
        <f t="array" ref="A1443">IFNA(index(PlayerValues!A:A,match(IFNA(vlookup(B1443,'Special Names'!A:B,2,FALSE),B1443),PlayerValues!E:E,0)),"N/A")</f>
        <v>17175</v>
      </c>
      <c r="B1443" s="4" t="s">
        <v>747</v>
      </c>
      <c r="C1443" s="4" t="s">
        <v>287</v>
      </c>
      <c r="D1443" s="94">
        <v>974.0</v>
      </c>
    </row>
    <row r="1444">
      <c r="A1444" s="40">
        <f t="array" ref="A1444">IFNA(index(PlayerValues!A:A,match(IFNA(vlookup(B1444,'Special Names'!A:B,2,FALSE),B1444),PlayerValues!E:E,0)),"N/A")</f>
        <v>14057</v>
      </c>
      <c r="B1444" s="4" t="s">
        <v>765</v>
      </c>
      <c r="C1444" s="4" t="s">
        <v>283</v>
      </c>
      <c r="D1444" s="94">
        <v>973.0</v>
      </c>
    </row>
    <row r="1445">
      <c r="A1445" s="40">
        <f t="array" ref="A1445">IFNA(index(PlayerValues!A:A,match(IFNA(vlookup(B1445,'Special Names'!A:B,2,FALSE),B1445),PlayerValues!E:E,0)),"N/A")</f>
        <v>15758</v>
      </c>
      <c r="B1445" s="4" t="s">
        <v>724</v>
      </c>
      <c r="C1445" s="4" t="s">
        <v>287</v>
      </c>
      <c r="D1445" s="94">
        <v>972.0</v>
      </c>
    </row>
    <row r="1446">
      <c r="A1446" s="40">
        <f t="array" ref="A1446">IFNA(index(PlayerValues!A:A,match(IFNA(vlookup(B1446,'Special Names'!A:B,2,FALSE),B1446),PlayerValues!E:E,0)),"N/A")</f>
        <v>16205</v>
      </c>
      <c r="B1446" s="4" t="s">
        <v>742</v>
      </c>
      <c r="C1446" s="4" t="s">
        <v>287</v>
      </c>
      <c r="D1446" s="94">
        <v>971.0</v>
      </c>
    </row>
    <row r="1447">
      <c r="A1447" s="40">
        <f t="array" ref="A1447">IFNA(index(PlayerValues!A:A,match(IFNA(vlookup(B1447,'Special Names'!A:B,2,FALSE),B1447),PlayerValues!E:E,0)),"N/A")</f>
        <v>15718</v>
      </c>
      <c r="B1447" s="4" t="s">
        <v>753</v>
      </c>
      <c r="C1447" s="4" t="s">
        <v>278</v>
      </c>
      <c r="D1447" s="94">
        <v>966.0</v>
      </c>
    </row>
    <row r="1448">
      <c r="A1448" s="40">
        <f t="array" ref="A1448">IFNA(index(PlayerValues!A:A,match(IFNA(vlookup(B1448,'Special Names'!A:B,2,FALSE),B1448),PlayerValues!E:E,0)),"N/A")</f>
        <v>17479</v>
      </c>
      <c r="B1448" s="4" t="s">
        <v>756</v>
      </c>
      <c r="C1448" s="4" t="s">
        <v>278</v>
      </c>
      <c r="D1448" s="94">
        <v>964.0</v>
      </c>
    </row>
    <row r="1449">
      <c r="A1449" s="40">
        <f t="array" ref="A1449">IFNA(index(PlayerValues!A:A,match(IFNA(vlookup(B1449,'Special Names'!A:B,2,FALSE),B1449),PlayerValues!E:E,0)),"N/A")</f>
        <v>15626</v>
      </c>
      <c r="B1449" s="4" t="s">
        <v>766</v>
      </c>
      <c r="C1449" s="4" t="s">
        <v>298</v>
      </c>
      <c r="D1449" s="94">
        <v>1329.0</v>
      </c>
    </row>
    <row r="1450">
      <c r="A1450" s="40">
        <f t="array" ref="A1450">IFNA(index(PlayerValues!A:A,match(IFNA(vlookup(B1450,'Special Names'!A:B,2,FALSE),B1450),PlayerValues!E:E,0)),"N/A")</f>
        <v>16858</v>
      </c>
      <c r="B1450" s="4" t="s">
        <v>754</v>
      </c>
      <c r="C1450" s="4" t="s">
        <v>287</v>
      </c>
      <c r="D1450" s="94">
        <v>958.0</v>
      </c>
    </row>
    <row r="1451">
      <c r="A1451" s="40">
        <f t="array" ref="A1451">IFNA(index(PlayerValues!A:A,match(IFNA(vlookup(B1451,'Special Names'!A:B,2,FALSE),B1451),PlayerValues!E:E,0)),"N/A")</f>
        <v>15109</v>
      </c>
      <c r="B1451" s="4" t="s">
        <v>728</v>
      </c>
      <c r="C1451" s="4" t="s">
        <v>287</v>
      </c>
      <c r="D1451" s="94">
        <v>956.0</v>
      </c>
    </row>
    <row r="1452">
      <c r="A1452" s="40">
        <f t="array" ref="A1452">IFNA(index(PlayerValues!A:A,match(IFNA(vlookup(B1452,'Special Names'!A:B,2,FALSE),B1452),PlayerValues!E:E,0)),"N/A")</f>
        <v>16219</v>
      </c>
      <c r="B1452" s="4" t="s">
        <v>739</v>
      </c>
      <c r="C1452" s="4" t="s">
        <v>298</v>
      </c>
      <c r="D1452" s="94">
        <v>1300.0</v>
      </c>
    </row>
    <row r="1453">
      <c r="A1453" s="40">
        <f t="array" ref="A1453">IFNA(index(PlayerValues!A:A,match(IFNA(vlookup(B1453,'Special Names'!A:B,2,FALSE),B1453),PlayerValues!E:E,0)),"N/A")</f>
        <v>16624</v>
      </c>
      <c r="B1453" s="4" t="s">
        <v>796</v>
      </c>
      <c r="C1453" s="4" t="s">
        <v>287</v>
      </c>
      <c r="D1453" s="94">
        <v>917.0</v>
      </c>
    </row>
    <row r="1454">
      <c r="A1454" s="40">
        <f t="array" ref="A1454">IFNA(index(PlayerValues!A:A,match(IFNA(vlookup(B1454,'Special Names'!A:B,2,FALSE),B1454),PlayerValues!E:E,0)),"N/A")</f>
        <v>17475</v>
      </c>
      <c r="B1454" s="4" t="s">
        <v>615</v>
      </c>
      <c r="C1454" s="4" t="s">
        <v>278</v>
      </c>
      <c r="D1454" s="94">
        <v>911.0</v>
      </c>
    </row>
    <row r="1455">
      <c r="A1455" s="40">
        <f t="array" ref="A1455">IFNA(index(PlayerValues!A:A,match(IFNA(vlookup(B1455,'Special Names'!A:B,2,FALSE),B1455),PlayerValues!E:E,0)),"N/A")</f>
        <v>15720</v>
      </c>
      <c r="B1455" s="4" t="s">
        <v>795</v>
      </c>
      <c r="C1455" s="4" t="s">
        <v>278</v>
      </c>
      <c r="D1455" s="94">
        <v>907.0</v>
      </c>
    </row>
    <row r="1456">
      <c r="A1456" s="40">
        <f t="array" ref="A1456">IFNA(index(PlayerValues!A:A,match(IFNA(vlookup(B1456,'Special Names'!A:B,2,FALSE),B1456),PlayerValues!E:E,0)),"N/A")</f>
        <v>16773</v>
      </c>
      <c r="B1456" s="4" t="s">
        <v>783</v>
      </c>
      <c r="C1456" s="4" t="s">
        <v>278</v>
      </c>
      <c r="D1456" s="94">
        <v>879.0</v>
      </c>
    </row>
    <row r="1457">
      <c r="A1457" s="40">
        <f t="array" ref="A1457">IFNA(index(PlayerValues!A:A,match(IFNA(vlookup(B1457,'Special Names'!A:B,2,FALSE),B1457),PlayerValues!E:E,0)),"N/A")</f>
        <v>16599</v>
      </c>
      <c r="B1457" s="4" t="s">
        <v>737</v>
      </c>
      <c r="C1457" s="4" t="s">
        <v>278</v>
      </c>
      <c r="D1457" s="94">
        <v>871.0</v>
      </c>
    </row>
    <row r="1458">
      <c r="A1458" s="40">
        <f t="array" ref="A1458">IFNA(index(PlayerValues!A:A,match(IFNA(vlookup(B1458,'Special Names'!A:B,2,FALSE),B1458),PlayerValues!E:E,0)),"N/A")</f>
        <v>16416</v>
      </c>
      <c r="B1458" s="4" t="s">
        <v>752</v>
      </c>
      <c r="C1458" s="4" t="s">
        <v>287</v>
      </c>
      <c r="D1458" s="94">
        <v>866.0</v>
      </c>
    </row>
    <row r="1459">
      <c r="A1459" s="40">
        <f t="array" ref="A1459">IFNA(index(PlayerValues!A:A,match(IFNA(vlookup(B1459,'Special Names'!A:B,2,FALSE),B1459),PlayerValues!E:E,0)),"N/A")</f>
        <v>17549</v>
      </c>
      <c r="B1459" s="4" t="s">
        <v>720</v>
      </c>
      <c r="C1459" s="4" t="s">
        <v>298</v>
      </c>
      <c r="D1459" s="94">
        <v>1231.0</v>
      </c>
    </row>
    <row r="1460">
      <c r="A1460" s="40">
        <f t="array" ref="A1460">IFNA(index(PlayerValues!A:A,match(IFNA(vlookup(B1460,'Special Names'!A:B,2,FALSE),B1460),PlayerValues!E:E,0)),"N/A")</f>
        <v>13138</v>
      </c>
      <c r="B1460" s="4" t="s">
        <v>817</v>
      </c>
      <c r="C1460" s="4" t="s">
        <v>278</v>
      </c>
      <c r="D1460" s="94">
        <v>862.0</v>
      </c>
    </row>
    <row r="1461">
      <c r="A1461" s="40">
        <f t="array" ref="A1461">IFNA(index(PlayerValues!A:A,match(IFNA(vlookup(B1461,'Special Names'!A:B,2,FALSE),B1461),PlayerValues!E:E,0)),"N/A")</f>
        <v>17504</v>
      </c>
      <c r="B1461" s="4" t="s">
        <v>693</v>
      </c>
      <c r="C1461" s="4" t="s">
        <v>287</v>
      </c>
      <c r="D1461" s="94">
        <v>858.0</v>
      </c>
    </row>
    <row r="1462">
      <c r="A1462" s="40">
        <f t="array" ref="A1462">IFNA(index(PlayerValues!A:A,match(IFNA(vlookup(B1462,'Special Names'!A:B,2,FALSE),B1462),PlayerValues!E:E,0)),"N/A")</f>
        <v>17487</v>
      </c>
      <c r="B1462" s="4" t="s">
        <v>692</v>
      </c>
      <c r="C1462" s="4" t="s">
        <v>278</v>
      </c>
      <c r="D1462" s="94">
        <v>848.0</v>
      </c>
    </row>
    <row r="1463">
      <c r="A1463" s="40">
        <f t="array" ref="A1463">IFNA(index(PlayerValues!A:A,match(IFNA(vlookup(B1463,'Special Names'!A:B,2,FALSE),B1463),PlayerValues!E:E,0)),"N/A")</f>
        <v>12785</v>
      </c>
      <c r="B1463" s="4" t="s">
        <v>772</v>
      </c>
      <c r="C1463" s="4" t="s">
        <v>287</v>
      </c>
      <c r="D1463" s="94">
        <v>841.0</v>
      </c>
    </row>
    <row r="1464">
      <c r="A1464" s="40">
        <f t="array" ref="A1464">IFNA(index(PlayerValues!A:A,match(IFNA(vlookup(B1464,'Special Names'!A:B,2,FALSE),B1464),PlayerValues!E:E,0)),"N/A")</f>
        <v>16751</v>
      </c>
      <c r="B1464" s="4" t="s">
        <v>762</v>
      </c>
      <c r="C1464" s="4" t="s">
        <v>287</v>
      </c>
      <c r="D1464" s="94">
        <v>841.0</v>
      </c>
    </row>
    <row r="1465">
      <c r="A1465" s="40">
        <f t="array" ref="A1465">IFNA(index(PlayerValues!A:A,match(IFNA(vlookup(B1465,'Special Names'!A:B,2,FALSE),B1465),PlayerValues!E:E,0)),"N/A")</f>
        <v>17657</v>
      </c>
      <c r="B1465" s="4" t="s">
        <v>642</v>
      </c>
      <c r="C1465" s="4" t="s">
        <v>283</v>
      </c>
      <c r="D1465" s="94">
        <v>829.0</v>
      </c>
    </row>
    <row r="1466">
      <c r="A1466" s="40">
        <f t="array" ref="A1466">IFNA(index(PlayerValues!A:A,match(IFNA(vlookup(B1466,'Special Names'!A:B,2,FALSE),B1466),PlayerValues!E:E,0)),"N/A")</f>
        <v>14223</v>
      </c>
      <c r="B1466" s="4" t="s">
        <v>785</v>
      </c>
      <c r="C1466" s="4" t="s">
        <v>278</v>
      </c>
      <c r="D1466" s="94">
        <v>815.0</v>
      </c>
    </row>
    <row r="1467">
      <c r="A1467" s="40">
        <f t="array" ref="A1467">IFNA(index(PlayerValues!A:A,match(IFNA(vlookup(B1467,'Special Names'!A:B,2,FALSE),B1467),PlayerValues!E:E,0)),"N/A")</f>
        <v>17486</v>
      </c>
      <c r="B1467" s="4" t="s">
        <v>695</v>
      </c>
      <c r="C1467" s="4" t="s">
        <v>278</v>
      </c>
      <c r="D1467" s="94">
        <v>780.0</v>
      </c>
    </row>
    <row r="1468">
      <c r="A1468" s="40">
        <f t="array" ref="A1468">IFNA(index(PlayerValues!A:A,match(IFNA(vlookup(B1468,'Special Names'!A:B,2,FALSE),B1468),PlayerValues!E:E,0)),"N/A")</f>
        <v>17337</v>
      </c>
      <c r="B1468" s="4" t="s">
        <v>793</v>
      </c>
      <c r="C1468" s="4" t="s">
        <v>278</v>
      </c>
      <c r="D1468" s="94">
        <v>771.0</v>
      </c>
    </row>
    <row r="1469">
      <c r="A1469" s="40">
        <f t="array" ref="A1469">IFNA(index(PlayerValues!A:A,match(IFNA(vlookup(B1469,'Special Names'!A:B,2,FALSE),B1469),PlayerValues!E:E,0)),"N/A")</f>
        <v>17654</v>
      </c>
      <c r="B1469" s="4" t="s">
        <v>767</v>
      </c>
      <c r="C1469" s="4" t="s">
        <v>283</v>
      </c>
      <c r="D1469" s="94">
        <v>765.0</v>
      </c>
    </row>
    <row r="1470">
      <c r="A1470" s="40">
        <f t="array" ref="A1470">IFNA(index(PlayerValues!A:A,match(IFNA(vlookup(B1470,'Special Names'!A:B,2,FALSE),B1470),PlayerValues!E:E,0)),"N/A")</f>
        <v>16176</v>
      </c>
      <c r="B1470" s="4" t="s">
        <v>812</v>
      </c>
      <c r="C1470" s="4" t="s">
        <v>278</v>
      </c>
      <c r="D1470" s="94">
        <v>747.0</v>
      </c>
    </row>
    <row r="1471">
      <c r="A1471" s="40">
        <f t="array" ref="A1471">IFNA(index(PlayerValues!A:A,match(IFNA(vlookup(B1471,'Special Names'!A:B,2,FALSE),B1471),PlayerValues!E:E,0)),"N/A")</f>
        <v>16606</v>
      </c>
      <c r="B1471" s="4" t="s">
        <v>743</v>
      </c>
      <c r="C1471" s="4" t="s">
        <v>278</v>
      </c>
      <c r="D1471" s="94">
        <v>730.0</v>
      </c>
    </row>
    <row r="1472">
      <c r="A1472" s="40">
        <f t="array" ref="A1472">IFNA(index(PlayerValues!A:A,match(IFNA(vlookup(B1472,'Special Names'!A:B,2,FALSE),B1472),PlayerValues!E:E,0)),"N/A")</f>
        <v>17518</v>
      </c>
      <c r="B1472" s="4" t="s">
        <v>482</v>
      </c>
      <c r="C1472" s="4" t="s">
        <v>287</v>
      </c>
      <c r="D1472" s="94">
        <v>729.0</v>
      </c>
    </row>
    <row r="1473">
      <c r="A1473" s="40">
        <f t="array" ref="A1473">IFNA(index(PlayerValues!A:A,match(IFNA(vlookup(B1473,'Special Names'!A:B,2,FALSE),B1473),PlayerValues!E:E,0)),"N/A")</f>
        <v>16623</v>
      </c>
      <c r="B1473" s="4" t="s">
        <v>803</v>
      </c>
      <c r="C1473" s="4" t="s">
        <v>287</v>
      </c>
      <c r="D1473" s="94">
        <v>721.0</v>
      </c>
    </row>
    <row r="1474">
      <c r="A1474" s="40">
        <f t="array" ref="A1474">IFNA(index(PlayerValues!A:A,match(IFNA(vlookup(B1474,'Special Names'!A:B,2,FALSE),B1474),PlayerValues!E:E,0)),"N/A")</f>
        <v>14864</v>
      </c>
      <c r="B1474" s="4" t="s">
        <v>789</v>
      </c>
      <c r="C1474" s="4" t="s">
        <v>287</v>
      </c>
      <c r="D1474" s="94">
        <v>706.0</v>
      </c>
    </row>
    <row r="1475">
      <c r="A1475" s="40">
        <f t="array" ref="A1475">IFNA(index(PlayerValues!A:A,match(IFNA(vlookup(B1475,'Special Names'!A:B,2,FALSE),B1475),PlayerValues!E:E,0)),"N/A")</f>
        <v>12263</v>
      </c>
      <c r="B1475" s="4" t="s">
        <v>697</v>
      </c>
      <c r="C1475" s="4" t="s">
        <v>298</v>
      </c>
      <c r="D1475" s="94">
        <v>1055.0</v>
      </c>
    </row>
    <row r="1476">
      <c r="A1476" s="40">
        <f t="array" ref="A1476">IFNA(index(PlayerValues!A:A,match(IFNA(vlookup(B1476,'Special Names'!A:B,2,FALSE),B1476),PlayerValues!E:E,0)),"N/A")</f>
        <v>15723</v>
      </c>
      <c r="B1476" s="4" t="s">
        <v>798</v>
      </c>
      <c r="C1476" s="4" t="s">
        <v>278</v>
      </c>
      <c r="D1476" s="94">
        <v>692.0</v>
      </c>
    </row>
    <row r="1477">
      <c r="A1477" s="40">
        <f t="array" ref="A1477">IFNA(index(PlayerValues!A:A,match(IFNA(vlookup(B1477,'Special Names'!A:B,2,FALSE),B1477),PlayerValues!E:E,0)),"N/A")</f>
        <v>16686</v>
      </c>
      <c r="B1477" s="4" t="s">
        <v>805</v>
      </c>
      <c r="C1477" s="4" t="s">
        <v>287</v>
      </c>
      <c r="D1477" s="94">
        <v>674.0</v>
      </c>
    </row>
    <row r="1478">
      <c r="A1478" s="40">
        <f t="array" ref="A1478">IFNA(index(PlayerValues!A:A,match(IFNA(vlookup(B1478,'Special Names'!A:B,2,FALSE),B1478),PlayerValues!E:E,0)),"N/A")</f>
        <v>17545</v>
      </c>
      <c r="B1478" s="4" t="s">
        <v>719</v>
      </c>
      <c r="C1478" s="4" t="s">
        <v>298</v>
      </c>
      <c r="D1478" s="94">
        <v>1025.0</v>
      </c>
    </row>
    <row r="1479">
      <c r="A1479" s="40">
        <f t="array" ref="A1479">IFNA(index(PlayerValues!A:A,match(IFNA(vlookup(B1479,'Special Names'!A:B,2,FALSE),B1479),PlayerValues!E:E,0)),"N/A")</f>
        <v>17627</v>
      </c>
      <c r="B1479" s="4" t="s">
        <v>684</v>
      </c>
      <c r="C1479" s="4" t="s">
        <v>298</v>
      </c>
      <c r="D1479" s="94">
        <v>1024.0</v>
      </c>
    </row>
    <row r="1480">
      <c r="A1480" s="40">
        <f t="array" ref="A1480">IFNA(index(PlayerValues!A:A,match(IFNA(vlookup(B1480,'Special Names'!A:B,2,FALSE),B1480),PlayerValues!E:E,0)),"N/A")</f>
        <v>17541</v>
      </c>
      <c r="B1480" s="4" t="s">
        <v>616</v>
      </c>
      <c r="C1480" s="4" t="s">
        <v>287</v>
      </c>
      <c r="D1480" s="94">
        <v>620.0</v>
      </c>
    </row>
    <row r="1481">
      <c r="A1481" s="40">
        <f t="array" ref="A1481">IFNA(index(PlayerValues!A:A,match(IFNA(vlookup(B1481,'Special Names'!A:B,2,FALSE),B1481),PlayerValues!E:E,0)),"N/A")</f>
        <v>13133</v>
      </c>
      <c r="B1481" s="4" t="s">
        <v>764</v>
      </c>
      <c r="C1481" s="4" t="s">
        <v>278</v>
      </c>
      <c r="D1481" s="94">
        <v>607.0</v>
      </c>
    </row>
    <row r="1482">
      <c r="A1482" s="40">
        <f t="array" ref="A1482">IFNA(index(PlayerValues!A:A,match(IFNA(vlookup(B1482,'Special Names'!A:B,2,FALSE),B1482),PlayerValues!E:E,0)),"N/A")</f>
        <v>13595</v>
      </c>
      <c r="B1482" s="4" t="s">
        <v>818</v>
      </c>
      <c r="C1482" s="4" t="s">
        <v>283</v>
      </c>
      <c r="D1482" s="94">
        <v>591.0</v>
      </c>
    </row>
    <row r="1483">
      <c r="A1483" s="40">
        <f t="array" ref="A1483">IFNA(index(PlayerValues!A:A,match(IFNA(vlookup(B1483,'Special Names'!A:B,2,FALSE),B1483),PlayerValues!E:E,0)),"N/A")</f>
        <v>16159</v>
      </c>
      <c r="B1483" s="4" t="s">
        <v>819</v>
      </c>
      <c r="C1483" s="4" t="s">
        <v>283</v>
      </c>
      <c r="D1483" s="94">
        <v>566.0</v>
      </c>
    </row>
    <row r="1484">
      <c r="A1484" s="40">
        <f t="array" ref="A1484">IFNA(index(PlayerValues!A:A,match(IFNA(vlookup(B1484,'Special Names'!A:B,2,FALSE),B1484),PlayerValues!E:E,0)),"N/A")</f>
        <v>15804</v>
      </c>
      <c r="B1484" s="4" t="s">
        <v>821</v>
      </c>
      <c r="C1484" s="4" t="s">
        <v>298</v>
      </c>
      <c r="D1484" s="94">
        <v>871.0</v>
      </c>
    </row>
    <row r="1485">
      <c r="A1485" s="40">
        <f t="array" ref="A1485">IFNA(index(PlayerValues!A:A,match(IFNA(vlookup(B1485,'Special Names'!A:B,2,FALSE),B1485),PlayerValues!E:E,0)),"N/A")</f>
        <v>14858</v>
      </c>
      <c r="B1485" s="4" t="s">
        <v>799</v>
      </c>
      <c r="C1485" s="4" t="s">
        <v>287</v>
      </c>
      <c r="D1485" s="94">
        <v>515.0</v>
      </c>
    </row>
    <row r="1486">
      <c r="A1486" s="40">
        <f t="array" ref="A1486">IFNA(index(PlayerValues!A:A,match(IFNA(vlookup(B1486,'Special Names'!A:B,2,FALSE),B1486),PlayerValues!E:E,0)),"N/A")</f>
        <v>15796</v>
      </c>
      <c r="B1486" s="4" t="s">
        <v>794</v>
      </c>
      <c r="C1486" s="4" t="s">
        <v>298</v>
      </c>
      <c r="D1486" s="94">
        <v>850.0</v>
      </c>
    </row>
    <row r="1487">
      <c r="A1487" s="40">
        <f t="array" ref="A1487">IFNA(index(PlayerValues!A:A,match(IFNA(vlookup(B1487,'Special Names'!A:B,2,FALSE),B1487),PlayerValues!E:E,0)),"N/A")</f>
        <v>17038</v>
      </c>
      <c r="B1487" s="4" t="s">
        <v>774</v>
      </c>
      <c r="C1487" s="4" t="s">
        <v>283</v>
      </c>
      <c r="D1487" s="94">
        <v>505.0</v>
      </c>
    </row>
    <row r="1488">
      <c r="A1488" s="40">
        <f t="array" ref="A1488">IFNA(index(PlayerValues!A:A,match(IFNA(vlookup(B1488,'Special Names'!A:B,2,FALSE),B1488),PlayerValues!E:E,0)),"N/A")</f>
        <v>17243</v>
      </c>
      <c r="B1488" s="4" t="s">
        <v>810</v>
      </c>
      <c r="C1488" s="4" t="s">
        <v>298</v>
      </c>
      <c r="D1488" s="94">
        <v>850.0</v>
      </c>
    </row>
    <row r="1489">
      <c r="A1489" s="40">
        <f t="array" ref="A1489">IFNA(index(PlayerValues!A:A,match(IFNA(vlookup(B1489,'Special Names'!A:B,2,FALSE),B1489),PlayerValues!E:E,0)),"N/A")</f>
        <v>13143</v>
      </c>
      <c r="B1489" s="4" t="s">
        <v>786</v>
      </c>
      <c r="C1489" s="4" t="s">
        <v>278</v>
      </c>
      <c r="D1489" s="94">
        <v>504.0</v>
      </c>
    </row>
    <row r="1490">
      <c r="A1490" s="40">
        <f t="array" ref="A1490">IFNA(index(PlayerValues!A:A,match(IFNA(vlookup(B1490,'Special Names'!A:B,2,FALSE),B1490),PlayerValues!E:E,0)),"N/A")</f>
        <v>16957</v>
      </c>
      <c r="B1490" s="4" t="s">
        <v>806</v>
      </c>
      <c r="C1490" s="4" t="s">
        <v>278</v>
      </c>
      <c r="D1490" s="94">
        <v>504.0</v>
      </c>
    </row>
    <row r="1491">
      <c r="A1491" s="40">
        <f t="array" ref="A1491">IFNA(index(PlayerValues!A:A,match(IFNA(vlookup(B1491,'Special Names'!A:B,2,FALSE),B1491),PlayerValues!E:E,0)),"N/A")</f>
        <v>13066</v>
      </c>
      <c r="B1491" s="4" t="s">
        <v>822</v>
      </c>
      <c r="C1491" s="4" t="s">
        <v>287</v>
      </c>
      <c r="D1491" s="94">
        <v>502.0</v>
      </c>
    </row>
    <row r="1492">
      <c r="A1492" s="40">
        <f t="array" ref="A1492">IFNA(index(PlayerValues!A:A,match(IFNA(vlookup(B1492,'Special Names'!A:B,2,FALSE),B1492),PlayerValues!E:E,0)),"N/A")</f>
        <v>12658</v>
      </c>
      <c r="B1492" s="4" t="s">
        <v>823</v>
      </c>
      <c r="C1492" s="4" t="s">
        <v>287</v>
      </c>
      <c r="D1492" s="94">
        <v>501.0</v>
      </c>
    </row>
    <row r="1493">
      <c r="A1493" s="40">
        <f t="array" ref="A1493">IFNA(index(PlayerValues!A:A,match(IFNA(vlookup(B1493,'Special Names'!A:B,2,FALSE),B1493),PlayerValues!E:E,0)),"N/A")</f>
        <v>14239</v>
      </c>
      <c r="B1493" s="4" t="s">
        <v>824</v>
      </c>
      <c r="C1493" s="4" t="s">
        <v>298</v>
      </c>
      <c r="D1493" s="94">
        <v>846.0</v>
      </c>
    </row>
    <row r="1494">
      <c r="A1494" s="40">
        <f t="array" ref="A1494">IFNA(index(PlayerValues!A:A,match(IFNA(vlookup(B1494,'Special Names'!A:B,2,FALSE),B1494),PlayerValues!E:E,0)),"N/A")</f>
        <v>16625</v>
      </c>
      <c r="B1494" s="4" t="s">
        <v>778</v>
      </c>
      <c r="C1494" s="4" t="s">
        <v>287</v>
      </c>
      <c r="D1494" s="94">
        <v>497.0</v>
      </c>
    </row>
    <row r="1495">
      <c r="A1495" s="40">
        <f t="array" ref="A1495">IFNA(index(PlayerValues!A:A,match(IFNA(vlookup(B1495,'Special Names'!A:B,2,FALSE),B1495),PlayerValues!E:E,0)),"N/A")</f>
        <v>13610</v>
      </c>
      <c r="B1495" s="4" t="s">
        <v>825</v>
      </c>
      <c r="C1495" s="4" t="s">
        <v>278</v>
      </c>
      <c r="D1495" s="94">
        <v>496.0</v>
      </c>
    </row>
    <row r="1496">
      <c r="A1496" s="40">
        <f t="array" ref="A1496">IFNA(index(PlayerValues!A:A,match(IFNA(vlookup(B1496,'Special Names'!A:B,2,FALSE),B1496),PlayerValues!E:E,0)),"N/A")</f>
        <v>16299</v>
      </c>
      <c r="B1496" s="4" t="s">
        <v>787</v>
      </c>
      <c r="C1496" s="4" t="s">
        <v>287</v>
      </c>
      <c r="D1496" s="94">
        <v>496.0</v>
      </c>
    </row>
    <row r="1497">
      <c r="A1497" s="40">
        <f t="array" ref="A1497">IFNA(index(PlayerValues!A:A,match(IFNA(vlookup(B1497,'Special Names'!A:B,2,FALSE),B1497),PlayerValues!E:E,0)),"N/A")</f>
        <v>11232</v>
      </c>
      <c r="B1497" s="4" t="s">
        <v>826</v>
      </c>
      <c r="C1497" s="4" t="s">
        <v>287</v>
      </c>
      <c r="D1497" s="94">
        <v>495.0</v>
      </c>
    </row>
    <row r="1498">
      <c r="A1498" s="40">
        <f t="array" ref="A1498">IFNA(index(PlayerValues!A:A,match(IFNA(vlookup(B1498,'Special Names'!A:B,2,FALSE),B1498),PlayerValues!E:E,0)),"N/A")</f>
        <v>10413</v>
      </c>
      <c r="B1498" s="4" t="s">
        <v>811</v>
      </c>
      <c r="C1498" s="4" t="s">
        <v>283</v>
      </c>
      <c r="D1498" s="94">
        <v>494.0</v>
      </c>
    </row>
    <row r="1499">
      <c r="A1499" s="40">
        <f t="array" ref="A1499">IFNA(index(PlayerValues!A:A,match(IFNA(vlookup(B1499,'Special Names'!A:B,2,FALSE),B1499),PlayerValues!E:E,0)),"N/A")</f>
        <v>16413</v>
      </c>
      <c r="B1499" s="4" t="s">
        <v>781</v>
      </c>
      <c r="C1499" s="4" t="s">
        <v>287</v>
      </c>
      <c r="D1499" s="94">
        <v>493.0</v>
      </c>
    </row>
    <row r="1500">
      <c r="A1500" s="40">
        <f t="array" ref="A1500">IFNA(index(PlayerValues!A:A,match(IFNA(vlookup(B1500,'Special Names'!A:B,2,FALSE),B1500),PlayerValues!E:E,0)),"N/A")</f>
        <v>13404</v>
      </c>
      <c r="B1500" s="4" t="s">
        <v>827</v>
      </c>
      <c r="C1500" s="4" t="s">
        <v>278</v>
      </c>
      <c r="D1500" s="94">
        <v>13.0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9995.0</v>
      </c>
    </row>
    <row r="1502">
      <c r="A1502" s="40">
        <f t="array" ref="A1502">IFNA(index(PlayerValues!A:A,match(IFNA(vlookup(B1502,'Special Names'!A:B,2,FALSE),B1502),PlayerValues!E:E,0)),"N/A")</f>
        <v>16161</v>
      </c>
      <c r="B1502" s="4" t="s">
        <v>277</v>
      </c>
      <c r="C1502" s="4" t="s">
        <v>278</v>
      </c>
      <c r="D1502" s="94">
        <v>9992.0</v>
      </c>
    </row>
    <row r="1503">
      <c r="A1503" s="40">
        <f t="array" ref="A1503">IFNA(index(PlayerValues!A:A,match(IFNA(vlookup(B1503,'Special Names'!A:B,2,FALSE),B1503),PlayerValues!E:E,0)),"N/A")</f>
        <v>15281</v>
      </c>
      <c r="B1503" s="4" t="s">
        <v>286</v>
      </c>
      <c r="C1503" s="4" t="s">
        <v>287</v>
      </c>
      <c r="D1503" s="94">
        <v>9968.0</v>
      </c>
    </row>
    <row r="1504">
      <c r="A1504" s="40">
        <f t="array" ref="A1504">IFNA(index(PlayerValues!A:A,match(IFNA(vlookup(B1504,'Special Names'!A:B,2,FALSE),B1504),PlayerValues!E:E,0)),"N/A")</f>
        <v>16185</v>
      </c>
      <c r="B1504" s="4" t="s">
        <v>290</v>
      </c>
      <c r="C1504" s="4" t="s">
        <v>287</v>
      </c>
      <c r="D1504" s="94">
        <v>9831.0</v>
      </c>
    </row>
    <row r="1505">
      <c r="A1505" s="40">
        <f t="array" ref="A1505">IFNA(index(PlayerValues!A:A,match(IFNA(vlookup(B1505,'Special Names'!A:B,2,FALSE),B1505),PlayerValues!E:E,0)),"N/A")</f>
        <v>16162</v>
      </c>
      <c r="B1505" s="4" t="s">
        <v>281</v>
      </c>
      <c r="C1505" s="4" t="s">
        <v>278</v>
      </c>
      <c r="D1505" s="94">
        <v>9654.0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9386.0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8603.0</v>
      </c>
    </row>
    <row r="1508">
      <c r="A1508" s="40">
        <f t="array" ref="A1508">IFNA(index(PlayerValues!A:A,match(IFNA(vlookup(B1508,'Special Names'!A:B,2,FALSE),B1508),PlayerValues!E:E,0)),"N/A")</f>
        <v>16641</v>
      </c>
      <c r="B1508" s="4" t="s">
        <v>297</v>
      </c>
      <c r="C1508" s="4" t="s">
        <v>298</v>
      </c>
      <c r="D1508" s="94">
        <v>8907.0</v>
      </c>
    </row>
    <row r="1509">
      <c r="A1509" s="40">
        <f t="array" ref="A1509">IFNA(index(PlayerValues!A:A,match(IFNA(vlookup(B1509,'Special Names'!A:B,2,FALSE),B1509),PlayerValues!E:E,0)),"N/A")</f>
        <v>16579</v>
      </c>
      <c r="B1509" s="4" t="s">
        <v>302</v>
      </c>
      <c r="C1509" s="4" t="s">
        <v>283</v>
      </c>
      <c r="D1509" s="94">
        <v>7945.0</v>
      </c>
    </row>
    <row r="1510">
      <c r="A1510" s="40">
        <f t="array" ref="A1510">IFNA(index(PlayerValues!A:A,match(IFNA(vlookup(B1510,'Special Names'!A:B,2,FALSE),B1510),PlayerValues!E:E,0)),"N/A")</f>
        <v>16581</v>
      </c>
      <c r="B1510" s="4" t="s">
        <v>315</v>
      </c>
      <c r="C1510" s="4" t="s">
        <v>283</v>
      </c>
      <c r="D1510" s="94">
        <v>7848.0</v>
      </c>
    </row>
    <row r="1511">
      <c r="A1511" s="40">
        <f t="array" ref="A1511">IFNA(index(PlayerValues!A:A,match(IFNA(vlookup(B1511,'Special Names'!A:B,2,FALSE),B1511),PlayerValues!E:E,0)),"N/A")</f>
        <v>15287</v>
      </c>
      <c r="B1511" s="4" t="s">
        <v>299</v>
      </c>
      <c r="C1511" s="4" t="s">
        <v>287</v>
      </c>
      <c r="D1511" s="94">
        <v>7845.0</v>
      </c>
    </row>
    <row r="1512">
      <c r="A1512" s="40">
        <f t="array" ref="A1512">IFNA(index(PlayerValues!A:A,match(IFNA(vlookup(B1512,'Special Names'!A:B,2,FALSE),B1512),PlayerValues!E:E,0)),"N/A")</f>
        <v>14836</v>
      </c>
      <c r="B1512" s="4" t="s">
        <v>306</v>
      </c>
      <c r="C1512" s="4" t="s">
        <v>287</v>
      </c>
      <c r="D1512" s="94">
        <v>7789.0</v>
      </c>
    </row>
    <row r="1513">
      <c r="A1513" s="40">
        <f t="array" ref="A1513">IFNA(index(PlayerValues!A:A,match(IFNA(vlookup(B1513,'Special Names'!A:B,2,FALSE),B1513),PlayerValues!E:E,0)),"N/A")</f>
        <v>13593</v>
      </c>
      <c r="B1513" s="4" t="s">
        <v>305</v>
      </c>
      <c r="C1513" s="4" t="s">
        <v>283</v>
      </c>
      <c r="D1513" s="94">
        <v>7650.0</v>
      </c>
    </row>
    <row r="1514">
      <c r="A1514" s="40">
        <f t="array" ref="A1514">IFNA(index(PlayerValues!A:A,match(IFNA(vlookup(B1514,'Special Names'!A:B,2,FALSE),B1514),PlayerValues!E:E,0)),"N/A")</f>
        <v>17472</v>
      </c>
      <c r="B1514" s="4" t="s">
        <v>310</v>
      </c>
      <c r="C1514" s="4" t="s">
        <v>278</v>
      </c>
      <c r="D1514" s="94">
        <v>7649.0</v>
      </c>
    </row>
    <row r="1515">
      <c r="A1515" s="40">
        <f t="array" ref="A1515">IFNA(index(PlayerValues!A:A,match(IFNA(vlookup(B1515,'Special Names'!A:B,2,FALSE),B1515),PlayerValues!E:E,0)),"N/A")</f>
        <v>16615</v>
      </c>
      <c r="B1515" s="4" t="s">
        <v>309</v>
      </c>
      <c r="C1515" s="4" t="s">
        <v>287</v>
      </c>
      <c r="D1515" s="94">
        <v>7645.0</v>
      </c>
    </row>
    <row r="1516">
      <c r="A1516" s="40">
        <f t="array" ref="A1516">IFNA(index(PlayerValues!A:A,match(IFNA(vlookup(B1516,'Special Names'!A:B,2,FALSE),B1516),PlayerValues!E:E,0)),"N/A")</f>
        <v>17042</v>
      </c>
      <c r="B1516" s="4" t="s">
        <v>314</v>
      </c>
      <c r="C1516" s="4" t="s">
        <v>278</v>
      </c>
      <c r="D1516" s="94">
        <v>7576.0</v>
      </c>
    </row>
    <row r="1517">
      <c r="A1517" s="40">
        <f t="array" ref="A1517">IFNA(index(PlayerValues!A:A,match(IFNA(vlookup(B1517,'Special Names'!A:B,2,FALSE),B1517),PlayerValues!E:E,0)),"N/A")</f>
        <v>15794</v>
      </c>
      <c r="B1517" s="4" t="s">
        <v>313</v>
      </c>
      <c r="C1517" s="4" t="s">
        <v>298</v>
      </c>
      <c r="D1517" s="94">
        <v>8366.0</v>
      </c>
    </row>
    <row r="1518">
      <c r="A1518" s="40">
        <f t="array" ref="A1518">IFNA(index(PlayerValues!A:A,match(IFNA(vlookup(B1518,'Special Names'!A:B,2,FALSE),B1518),PlayerValues!E:E,0)),"N/A")</f>
        <v>14777</v>
      </c>
      <c r="B1518" s="4" t="s">
        <v>318</v>
      </c>
      <c r="C1518" s="4" t="s">
        <v>283</v>
      </c>
      <c r="D1518" s="94">
        <v>7440.0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7260.0</v>
      </c>
    </row>
    <row r="1520">
      <c r="A1520" s="40" t="str">
        <f t="array" ref="A1520">IFNA(index(PlayerValues!A:A,match(IFNA(vlookup(B1520,'Special Names'!A:B,2,FALSE),B1520),PlayerValues!E:E,0)),"N/A")</f>
        <v>N/A</v>
      </c>
      <c r="B1520" s="4" t="s">
        <v>92</v>
      </c>
      <c r="C1520" s="4" t="s">
        <v>325</v>
      </c>
      <c r="D1520" s="94">
        <v>7142.0</v>
      </c>
    </row>
    <row r="1521">
      <c r="A1521" s="40">
        <f t="array" ref="A1521">IFNA(index(PlayerValues!A:A,match(IFNA(vlookup(B1521,'Special Names'!A:B,2,FALSE),B1521),PlayerValues!E:E,0)),"N/A")</f>
        <v>15751</v>
      </c>
      <c r="B1521" s="4" t="s">
        <v>328</v>
      </c>
      <c r="C1521" s="4" t="s">
        <v>287</v>
      </c>
      <c r="D1521" s="94">
        <v>6935.0</v>
      </c>
    </row>
    <row r="1522">
      <c r="A1522" s="40">
        <f t="array" ref="A1522">IFNA(index(PlayerValues!A:A,match(IFNA(vlookup(B1522,'Special Names'!A:B,2,FALSE),B1522),PlayerValues!E:E,0)),"N/A")</f>
        <v>16167</v>
      </c>
      <c r="B1522" s="4" t="s">
        <v>323</v>
      </c>
      <c r="C1522" s="4" t="s">
        <v>278</v>
      </c>
      <c r="D1522" s="94">
        <v>6917.0</v>
      </c>
    </row>
    <row r="1523">
      <c r="A1523" s="40">
        <f t="array" ref="A1523">IFNA(index(PlayerValues!A:A,match(IFNA(vlookup(B1523,'Special Names'!A:B,2,FALSE),B1523),PlayerValues!E:E,0)),"N/A")</f>
        <v>14779</v>
      </c>
      <c r="B1523" s="4" t="s">
        <v>327</v>
      </c>
      <c r="C1523" s="4" t="s">
        <v>283</v>
      </c>
      <c r="D1523" s="94">
        <v>6838.0</v>
      </c>
    </row>
    <row r="1524">
      <c r="A1524" s="40">
        <f t="array" ref="A1524">IFNA(index(PlayerValues!A:A,match(IFNA(vlookup(B1524,'Special Names'!A:B,2,FALSE),B1524),PlayerValues!E:E,0)),"N/A")</f>
        <v>17044</v>
      </c>
      <c r="B1524" s="4" t="s">
        <v>322</v>
      </c>
      <c r="C1524" s="4" t="s">
        <v>278</v>
      </c>
      <c r="D1524" s="94">
        <v>6810.0</v>
      </c>
    </row>
    <row r="1525">
      <c r="A1525" s="40">
        <f t="array" ref="A1525">IFNA(index(PlayerValues!A:A,match(IFNA(vlookup(B1525,'Special Names'!A:B,2,FALSE),B1525),PlayerValues!E:E,0)),"N/A")</f>
        <v>13116</v>
      </c>
      <c r="B1525" s="4" t="s">
        <v>345</v>
      </c>
      <c r="C1525" s="4" t="s">
        <v>283</v>
      </c>
      <c r="D1525" s="94">
        <v>6687.0</v>
      </c>
    </row>
    <row r="1526">
      <c r="A1526" s="40">
        <f t="array" ref="A1526">IFNA(index(PlayerValues!A:A,match(IFNA(vlookup(B1526,'Special Names'!A:B,2,FALSE),B1526),PlayerValues!E:E,0)),"N/A")</f>
        <v>17032</v>
      </c>
      <c r="B1526" s="4" t="s">
        <v>348</v>
      </c>
      <c r="C1526" s="4" t="s">
        <v>283</v>
      </c>
      <c r="D1526" s="94">
        <v>6606.0</v>
      </c>
    </row>
    <row r="1527">
      <c r="A1527" s="40">
        <f t="array" ref="A1527">IFNA(index(PlayerValues!A:A,match(IFNA(vlookup(B1527,'Special Names'!A:B,2,FALSE),B1527),PlayerValues!E:E,0)),"N/A")</f>
        <v>17071</v>
      </c>
      <c r="B1527" s="4" t="s">
        <v>341</v>
      </c>
      <c r="C1527" s="4" t="s">
        <v>287</v>
      </c>
      <c r="D1527" s="94">
        <v>6553.0</v>
      </c>
    </row>
    <row r="1528">
      <c r="A1528" s="40">
        <f t="array" ref="A1528">IFNA(index(PlayerValues!A:A,match(IFNA(vlookup(B1528,'Special Names'!A:B,2,FALSE),B1528),PlayerValues!E:E,0)),"N/A")</f>
        <v>15237</v>
      </c>
      <c r="B1528" s="4" t="s">
        <v>336</v>
      </c>
      <c r="C1528" s="4" t="s">
        <v>283</v>
      </c>
      <c r="D1528" s="94">
        <v>6373.0</v>
      </c>
    </row>
    <row r="1529">
      <c r="A1529" s="40">
        <f t="array" ref="A1529">IFNA(index(PlayerValues!A:A,match(IFNA(vlookup(B1529,'Special Names'!A:B,2,FALSE),B1529),PlayerValues!E:E,0)),"N/A")</f>
        <v>14783</v>
      </c>
      <c r="B1529" s="4" t="s">
        <v>342</v>
      </c>
      <c r="C1529" s="4" t="s">
        <v>283</v>
      </c>
      <c r="D1529" s="94">
        <v>6173.0</v>
      </c>
    </row>
    <row r="1530">
      <c r="A1530" s="40">
        <f t="array" ref="A1530">IFNA(index(PlayerValues!A:A,match(IFNA(vlookup(B1530,'Special Names'!A:B,2,FALSE),B1530),PlayerValues!E:E,0)),"N/A")</f>
        <v>17104</v>
      </c>
      <c r="B1530" s="4" t="s">
        <v>333</v>
      </c>
      <c r="C1530" s="4" t="s">
        <v>298</v>
      </c>
      <c r="D1530" s="94">
        <v>6788.0</v>
      </c>
    </row>
    <row r="1531">
      <c r="A1531" s="40">
        <f t="array" ref="A1531">IFNA(index(PlayerValues!A:A,match(IFNA(vlookup(B1531,'Special Names'!A:B,2,FALSE),B1531),PlayerValues!E:E,0)),"N/A")</f>
        <v>17081</v>
      </c>
      <c r="B1531" s="4" t="s">
        <v>340</v>
      </c>
      <c r="C1531" s="4" t="s">
        <v>287</v>
      </c>
      <c r="D1531" s="94">
        <v>6086.0</v>
      </c>
    </row>
    <row r="1532">
      <c r="A1532" s="40">
        <f t="array" ref="A1532">IFNA(index(PlayerValues!A:A,match(IFNA(vlookup(B1532,'Special Names'!A:B,2,FALSE),B1532),PlayerValues!E:E,0)),"N/A")</f>
        <v>16582</v>
      </c>
      <c r="B1532" s="4" t="s">
        <v>343</v>
      </c>
      <c r="C1532" s="4" t="s">
        <v>283</v>
      </c>
      <c r="D1532" s="94">
        <v>6030.0</v>
      </c>
    </row>
    <row r="1533">
      <c r="A1533" s="40">
        <f t="array" ref="A1533">IFNA(index(PlayerValues!A:A,match(IFNA(vlookup(B1533,'Special Names'!A:B,2,FALSE),B1533),PlayerValues!E:E,0)),"N/A")</f>
        <v>14802</v>
      </c>
      <c r="B1533" s="4" t="s">
        <v>332</v>
      </c>
      <c r="C1533" s="4" t="s">
        <v>278</v>
      </c>
      <c r="D1533" s="94">
        <v>6027.0</v>
      </c>
    </row>
    <row r="1534">
      <c r="A1534" s="40">
        <f t="array" ref="A1534">IFNA(index(PlayerValues!A:A,match(IFNA(vlookup(B1534,'Special Names'!A:B,2,FALSE),B1534),PlayerValues!E:E,0)),"N/A")</f>
        <v>15715</v>
      </c>
      <c r="B1534" s="4" t="s">
        <v>331</v>
      </c>
      <c r="C1534" s="4" t="s">
        <v>278</v>
      </c>
      <c r="D1534" s="94">
        <v>5983.0</v>
      </c>
    </row>
    <row r="1535">
      <c r="A1535" s="40">
        <f t="array" ref="A1535">IFNA(index(PlayerValues!A:A,match(IFNA(vlookup(B1535,'Special Names'!A:B,2,FALSE),B1535),PlayerValues!E:E,0)),"N/A")</f>
        <v>17497</v>
      </c>
      <c r="B1535" s="4" t="s">
        <v>365</v>
      </c>
      <c r="C1535" s="4" t="s">
        <v>287</v>
      </c>
      <c r="D1535" s="94">
        <v>5931.0</v>
      </c>
    </row>
    <row r="1536">
      <c r="A1536" s="40">
        <f t="array" ref="A1536">IFNA(index(PlayerValues!A:A,match(IFNA(vlookup(B1536,'Special Names'!A:B,2,FALSE),B1536),PlayerValues!E:E,0)),"N/A")</f>
        <v>15762</v>
      </c>
      <c r="B1536" s="4" t="s">
        <v>337</v>
      </c>
      <c r="C1536" s="4" t="s">
        <v>287</v>
      </c>
      <c r="D1536" s="94">
        <v>5893.0</v>
      </c>
    </row>
    <row r="1537">
      <c r="A1537" s="40">
        <f t="array" ref="A1537">IFNA(index(PlayerValues!A:A,match(IFNA(vlookup(B1537,'Special Names'!A:B,2,FALSE),B1537),PlayerValues!E:E,0)),"N/A")</f>
        <v>15698</v>
      </c>
      <c r="B1537" s="4" t="s">
        <v>358</v>
      </c>
      <c r="C1537" s="4" t="s">
        <v>283</v>
      </c>
      <c r="D1537" s="94">
        <v>5853.0</v>
      </c>
    </row>
    <row r="1538">
      <c r="A1538" s="40">
        <f t="array" ref="A1538">IFNA(index(PlayerValues!A:A,match(IFNA(vlookup(B1538,'Special Names'!A:B,2,FALSE),B1538),PlayerValues!E:E,0)),"N/A")</f>
        <v>17102</v>
      </c>
      <c r="B1538" s="4" t="s">
        <v>344</v>
      </c>
      <c r="C1538" s="4" t="s">
        <v>298</v>
      </c>
      <c r="D1538" s="94">
        <v>6424.0</v>
      </c>
    </row>
    <row r="1539">
      <c r="A1539" s="40">
        <f t="array" ref="A1539">IFNA(index(PlayerValues!A:A,match(IFNA(vlookup(B1539,'Special Names'!A:B,2,FALSE),B1539),PlayerValues!E:E,0)),"N/A")</f>
        <v>15753</v>
      </c>
      <c r="B1539" s="4" t="s">
        <v>359</v>
      </c>
      <c r="C1539" s="4" t="s">
        <v>287</v>
      </c>
      <c r="D1539" s="94">
        <v>5691.0</v>
      </c>
    </row>
    <row r="1540">
      <c r="A1540" s="40" t="str">
        <f t="array" ref="A1540">IFNA(index(PlayerValues!A:A,match(IFNA(vlookup(B1540,'Special Names'!A:B,2,FALSE),B1540),PlayerValues!E:E,0)),"N/A")</f>
        <v>N/A</v>
      </c>
      <c r="B1540" s="4" t="s">
        <v>93</v>
      </c>
      <c r="C1540" s="4" t="s">
        <v>325</v>
      </c>
      <c r="D1540" s="94">
        <v>5667.0</v>
      </c>
    </row>
    <row r="1541">
      <c r="A1541" s="40" t="str">
        <f t="array" ref="A1541">IFNA(index(PlayerValues!A:A,match(IFNA(vlookup(B1541,'Special Names'!A:B,2,FALSE),B1541),PlayerValues!E:E,0)),"N/A")</f>
        <v>N/A</v>
      </c>
      <c r="B1541" s="4" t="s">
        <v>79</v>
      </c>
      <c r="C1541" s="4" t="s">
        <v>325</v>
      </c>
      <c r="D1541" s="94">
        <v>5648.0</v>
      </c>
    </row>
    <row r="1542">
      <c r="A1542" s="40">
        <f t="array" ref="A1542">IFNA(index(PlayerValues!A:A,match(IFNA(vlookup(B1542,'Special Names'!A:B,2,FALSE),B1542),PlayerValues!E:E,0)),"N/A")</f>
        <v>14782</v>
      </c>
      <c r="B1542" s="4" t="s">
        <v>385</v>
      </c>
      <c r="C1542" s="4" t="s">
        <v>283</v>
      </c>
      <c r="D1542" s="94">
        <v>5616.0</v>
      </c>
    </row>
    <row r="1543">
      <c r="A1543" s="40">
        <f t="array" ref="A1543">IFNA(index(PlayerValues!A:A,match(IFNA(vlookup(B1543,'Special Names'!A:B,2,FALSE),B1543),PlayerValues!E:E,0)),"N/A")</f>
        <v>17462</v>
      </c>
      <c r="B1543" s="4" t="s">
        <v>375</v>
      </c>
      <c r="C1543" s="4" t="s">
        <v>283</v>
      </c>
      <c r="D1543" s="94">
        <v>5613.0</v>
      </c>
    </row>
    <row r="1544">
      <c r="A1544" s="40">
        <f t="array" ref="A1544">IFNA(index(PlayerValues!A:A,match(IFNA(vlookup(B1544,'Special Names'!A:B,2,FALSE),B1544),PlayerValues!E:E,0)),"N/A")</f>
        <v>15290</v>
      </c>
      <c r="B1544" s="4" t="s">
        <v>355</v>
      </c>
      <c r="C1544" s="4" t="s">
        <v>287</v>
      </c>
      <c r="D1544" s="94">
        <v>5585.0</v>
      </c>
    </row>
    <row r="1545">
      <c r="A1545" s="40">
        <f t="array" ref="A1545">IFNA(index(PlayerValues!A:A,match(IFNA(vlookup(B1545,'Special Names'!A:B,2,FALSE),B1545),PlayerValues!E:E,0)),"N/A")</f>
        <v>17051</v>
      </c>
      <c r="B1545" s="4" t="s">
        <v>386</v>
      </c>
      <c r="C1545" s="4" t="s">
        <v>278</v>
      </c>
      <c r="D1545" s="94">
        <v>5519.0</v>
      </c>
    </row>
    <row r="1546">
      <c r="A1546" s="40">
        <f t="array" ref="A1546">IFNA(index(PlayerValues!A:A,match(IFNA(vlookup(B1546,'Special Names'!A:B,2,FALSE),B1546),PlayerValues!E:E,0)),"N/A")</f>
        <v>15754</v>
      </c>
      <c r="B1546" s="4" t="s">
        <v>354</v>
      </c>
      <c r="C1546" s="4" t="s">
        <v>287</v>
      </c>
      <c r="D1546" s="94">
        <v>5506.0</v>
      </c>
    </row>
    <row r="1547">
      <c r="A1547" s="40">
        <f t="array" ref="A1547">IFNA(index(PlayerValues!A:A,match(IFNA(vlookup(B1547,'Special Names'!A:B,2,FALSE),B1547),PlayerValues!E:E,0)),"N/A")</f>
        <v>16616</v>
      </c>
      <c r="B1547" s="4" t="s">
        <v>389</v>
      </c>
      <c r="C1547" s="4" t="s">
        <v>287</v>
      </c>
      <c r="D1547" s="94">
        <v>5461.0</v>
      </c>
    </row>
    <row r="1548">
      <c r="A1548" s="40">
        <f t="array" ref="A1548">IFNA(index(PlayerValues!A:A,match(IFNA(vlookup(B1548,'Special Names'!A:B,2,FALSE),B1548),PlayerValues!E:E,0)),"N/A")</f>
        <v>17030</v>
      </c>
      <c r="B1548" s="4" t="s">
        <v>406</v>
      </c>
      <c r="C1548" s="4" t="s">
        <v>283</v>
      </c>
      <c r="D1548" s="94">
        <v>5445.0</v>
      </c>
    </row>
    <row r="1549">
      <c r="A1549" s="40">
        <f t="array" ref="A1549">IFNA(index(PlayerValues!A:A,match(IFNA(vlookup(B1549,'Special Names'!A:B,2,FALSE),B1549),PlayerValues!E:E,0)),"N/A")</f>
        <v>15708</v>
      </c>
      <c r="B1549" s="4" t="s">
        <v>382</v>
      </c>
      <c r="C1549" s="4" t="s">
        <v>278</v>
      </c>
      <c r="D1549" s="94">
        <v>5433.0</v>
      </c>
    </row>
    <row r="1550">
      <c r="A1550" s="40">
        <f t="array" ref="A1550">IFNA(index(PlayerValues!A:A,match(IFNA(vlookup(B1550,'Special Names'!A:B,2,FALSE),B1550),PlayerValues!E:E,0)),"N/A")</f>
        <v>17498</v>
      </c>
      <c r="B1550" s="4" t="s">
        <v>396</v>
      </c>
      <c r="C1550" s="4" t="s">
        <v>287</v>
      </c>
      <c r="D1550" s="94">
        <v>5426.0</v>
      </c>
    </row>
    <row r="1551">
      <c r="A1551" s="40">
        <f t="array" ref="A1551">IFNA(index(PlayerValues!A:A,match(IFNA(vlookup(B1551,'Special Names'!A:B,2,FALSE),B1551),PlayerValues!E:E,0)),"N/A")</f>
        <v>15711</v>
      </c>
      <c r="B1551" s="4" t="s">
        <v>349</v>
      </c>
      <c r="C1551" s="4" t="s">
        <v>278</v>
      </c>
      <c r="D1551" s="94">
        <v>5421.0</v>
      </c>
    </row>
    <row r="1552">
      <c r="A1552" s="40">
        <f t="array" ref="A1552">IFNA(index(PlayerValues!A:A,match(IFNA(vlookup(B1552,'Special Names'!A:B,2,FALSE),B1552),PlayerValues!E:E,0)),"N/A")</f>
        <v>16627</v>
      </c>
      <c r="B1552" s="4" t="s">
        <v>351</v>
      </c>
      <c r="C1552" s="4" t="s">
        <v>287</v>
      </c>
      <c r="D1552" s="94">
        <v>5412.0</v>
      </c>
    </row>
    <row r="1553">
      <c r="A1553" s="40">
        <f t="array" ref="A1553">IFNA(index(PlayerValues!A:A,match(IFNA(vlookup(B1553,'Special Names'!A:B,2,FALSE),B1553),PlayerValues!E:E,0)),"N/A")</f>
        <v>17043</v>
      </c>
      <c r="B1553" s="4" t="s">
        <v>397</v>
      </c>
      <c r="C1553" s="4" t="s">
        <v>278</v>
      </c>
      <c r="D1553" s="94">
        <v>5394.0</v>
      </c>
    </row>
    <row r="1554">
      <c r="A1554" s="40">
        <f t="array" ref="A1554">IFNA(index(PlayerValues!A:A,match(IFNA(vlookup(B1554,'Special Names'!A:B,2,FALSE),B1554),PlayerValues!E:E,0)),"N/A")</f>
        <v>17070</v>
      </c>
      <c r="B1554" s="4" t="s">
        <v>370</v>
      </c>
      <c r="C1554" s="4" t="s">
        <v>287</v>
      </c>
      <c r="D1554" s="94">
        <v>5291.0</v>
      </c>
    </row>
    <row r="1555">
      <c r="A1555" s="40">
        <f t="array" ref="A1555">IFNA(index(PlayerValues!A:A,match(IFNA(vlookup(B1555,'Special Names'!A:B,2,FALSE),B1555),PlayerValues!E:E,0)),"N/A")</f>
        <v>15282</v>
      </c>
      <c r="B1555" s="4" t="s">
        <v>364</v>
      </c>
      <c r="C1555" s="4" t="s">
        <v>287</v>
      </c>
      <c r="D1555" s="94">
        <v>5259.0</v>
      </c>
    </row>
    <row r="1556">
      <c r="A1556" s="40">
        <f t="array" ref="A1556">IFNA(index(PlayerValues!A:A,match(IFNA(vlookup(B1556,'Special Names'!A:B,2,FALSE),B1556),PlayerValues!E:E,0)),"N/A")</f>
        <v>17499</v>
      </c>
      <c r="B1556" s="4" t="s">
        <v>402</v>
      </c>
      <c r="C1556" s="4" t="s">
        <v>287</v>
      </c>
      <c r="D1556" s="94">
        <v>5085.0</v>
      </c>
    </row>
    <row r="1557">
      <c r="A1557" s="40">
        <f t="array" ref="A1557">IFNA(index(PlayerValues!A:A,match(IFNA(vlookup(B1557,'Special Names'!A:B,2,FALSE),B1557),PlayerValues!E:E,0)),"N/A")</f>
        <v>16614</v>
      </c>
      <c r="B1557" s="4" t="s">
        <v>403</v>
      </c>
      <c r="C1557" s="4" t="s">
        <v>287</v>
      </c>
      <c r="D1557" s="94">
        <v>5062.0</v>
      </c>
    </row>
    <row r="1558">
      <c r="A1558" s="40">
        <f t="array" ref="A1558">IFNA(index(PlayerValues!A:A,match(IFNA(vlookup(B1558,'Special Names'!A:B,2,FALSE),B1558),PlayerValues!E:E,0)),"N/A")</f>
        <v>13130</v>
      </c>
      <c r="B1558" s="4" t="s">
        <v>374</v>
      </c>
      <c r="C1558" s="4" t="s">
        <v>278</v>
      </c>
      <c r="D1558" s="94">
        <v>5021.0</v>
      </c>
    </row>
    <row r="1559">
      <c r="A1559" s="40" t="str">
        <f t="array" ref="A1559">IFNA(index(PlayerValues!A:A,match(IFNA(vlookup(B1559,'Special Names'!A:B,2,FALSE),B1559),PlayerValues!E:E,0)),"N/A")</f>
        <v>N/A</v>
      </c>
      <c r="B1559" s="4" t="s">
        <v>104</v>
      </c>
      <c r="C1559" s="4" t="s">
        <v>325</v>
      </c>
      <c r="D1559" s="94">
        <v>5001.0</v>
      </c>
    </row>
    <row r="1560">
      <c r="A1560" s="40">
        <f t="array" ref="A1560">IFNA(index(PlayerValues!A:A,match(IFNA(vlookup(B1560,'Special Names'!A:B,2,FALSE),B1560),PlayerValues!E:E,0)),"N/A")</f>
        <v>16181</v>
      </c>
      <c r="B1560" s="4" t="s">
        <v>350</v>
      </c>
      <c r="C1560" s="4" t="s">
        <v>278</v>
      </c>
      <c r="D1560" s="94">
        <v>4982.0</v>
      </c>
    </row>
    <row r="1561">
      <c r="A1561" s="40" t="str">
        <f t="array" ref="A1561">IFNA(index(PlayerValues!A:A,match(IFNA(vlookup(B1561,'Special Names'!A:B,2,FALSE),B1561),PlayerValues!E:E,0)),"N/A")</f>
        <v>N/A</v>
      </c>
      <c r="B1561" s="4" t="s">
        <v>94</v>
      </c>
      <c r="C1561" s="4" t="s">
        <v>325</v>
      </c>
      <c r="D1561" s="94">
        <v>4974.0</v>
      </c>
    </row>
    <row r="1562">
      <c r="A1562" s="40">
        <f t="array" ref="A1562">IFNA(index(PlayerValues!A:A,match(IFNA(vlookup(B1562,'Special Names'!A:B,2,FALSE),B1562),PlayerValues!E:E,0)),"N/A")</f>
        <v>12620</v>
      </c>
      <c r="B1562" s="4" t="s">
        <v>394</v>
      </c>
      <c r="C1562" s="4" t="s">
        <v>283</v>
      </c>
      <c r="D1562" s="94">
        <v>4972.0</v>
      </c>
    </row>
    <row r="1563">
      <c r="A1563" s="40">
        <f t="array" ref="A1563">IFNA(index(PlayerValues!A:A,match(IFNA(vlookup(B1563,'Special Names'!A:B,2,FALSE),B1563),PlayerValues!E:E,0)),"N/A")</f>
        <v>17039</v>
      </c>
      <c r="B1563" s="4" t="s">
        <v>400</v>
      </c>
      <c r="C1563" s="4" t="s">
        <v>283</v>
      </c>
      <c r="D1563" s="94">
        <v>4930.0</v>
      </c>
    </row>
    <row r="1564">
      <c r="A1564" s="40">
        <f t="array" ref="A1564">IFNA(index(PlayerValues!A:A,match(IFNA(vlookup(B1564,'Special Names'!A:B,2,FALSE),B1564),PlayerValues!E:E,0)),"N/A")</f>
        <v>14835</v>
      </c>
      <c r="B1564" s="4" t="s">
        <v>392</v>
      </c>
      <c r="C1564" s="4" t="s">
        <v>287</v>
      </c>
      <c r="D1564" s="94">
        <v>4927.0</v>
      </c>
    </row>
    <row r="1565">
      <c r="A1565" s="40">
        <f t="array" ref="A1565">IFNA(index(PlayerValues!A:A,match(IFNA(vlookup(B1565,'Special Names'!A:B,2,FALSE),B1565),PlayerValues!E:E,0)),"N/A")</f>
        <v>13604</v>
      </c>
      <c r="B1565" s="4" t="s">
        <v>378</v>
      </c>
      <c r="C1565" s="4" t="s">
        <v>278</v>
      </c>
      <c r="D1565" s="94">
        <v>4913.0</v>
      </c>
    </row>
    <row r="1566">
      <c r="A1566" s="40">
        <f t="array" ref="A1566">IFNA(index(PlayerValues!A:A,match(IFNA(vlookup(B1566,'Special Names'!A:B,2,FALSE),B1566),PlayerValues!E:E,0)),"N/A")</f>
        <v>16222</v>
      </c>
      <c r="B1566" s="4" t="s">
        <v>393</v>
      </c>
      <c r="C1566" s="4" t="s">
        <v>298</v>
      </c>
      <c r="D1566" s="94">
        <v>5469.0</v>
      </c>
    </row>
    <row r="1567">
      <c r="A1567" s="40">
        <f t="array" ref="A1567">IFNA(index(PlayerValues!A:A,match(IFNA(vlookup(B1567,'Special Names'!A:B,2,FALSE),B1567),PlayerValues!E:E,0)),"N/A")</f>
        <v>16150</v>
      </c>
      <c r="B1567" s="4" t="s">
        <v>414</v>
      </c>
      <c r="C1567" s="4" t="s">
        <v>283</v>
      </c>
      <c r="D1567" s="94">
        <v>4893.0</v>
      </c>
    </row>
    <row r="1568">
      <c r="A1568" s="40">
        <f t="array" ref="A1568">IFNA(index(PlayerValues!A:A,match(IFNA(vlookup(B1568,'Special Names'!A:B,2,FALSE),B1568),PlayerValues!E:E,0)),"N/A")</f>
        <v>17103</v>
      </c>
      <c r="B1568" s="4" t="s">
        <v>405</v>
      </c>
      <c r="C1568" s="4" t="s">
        <v>298</v>
      </c>
      <c r="D1568" s="94">
        <v>5458.0</v>
      </c>
    </row>
    <row r="1569">
      <c r="A1569" s="40">
        <f t="array" ref="A1569">IFNA(index(PlayerValues!A:A,match(IFNA(vlookup(B1569,'Special Names'!A:B,2,FALSE),B1569),PlayerValues!E:E,0)),"N/A")</f>
        <v>15710</v>
      </c>
      <c r="B1569" s="4" t="s">
        <v>395</v>
      </c>
      <c r="C1569" s="4" t="s">
        <v>278</v>
      </c>
      <c r="D1569" s="94">
        <v>4848.0</v>
      </c>
    </row>
    <row r="1570">
      <c r="A1570" s="40">
        <f t="array" ref="A1570">IFNA(index(PlayerValues!A:A,match(IFNA(vlookup(B1570,'Special Names'!A:B,2,FALSE),B1570),PlayerValues!E:E,0)),"N/A")</f>
        <v>16618</v>
      </c>
      <c r="B1570" s="4" t="s">
        <v>411</v>
      </c>
      <c r="C1570" s="4" t="s">
        <v>287</v>
      </c>
      <c r="D1570" s="94">
        <v>4840.0</v>
      </c>
    </row>
    <row r="1571">
      <c r="A1571" s="40">
        <f t="array" ref="A1571">IFNA(index(PlayerValues!A:A,match(IFNA(vlookup(B1571,'Special Names'!A:B,2,FALSE),B1571),PlayerValues!E:E,0)),"N/A")</f>
        <v>14104</v>
      </c>
      <c r="B1571" s="4" t="s">
        <v>379</v>
      </c>
      <c r="C1571" s="4" t="s">
        <v>287</v>
      </c>
      <c r="D1571" s="94">
        <v>4837.0</v>
      </c>
    </row>
    <row r="1572">
      <c r="A1572" s="40">
        <f t="array" ref="A1572">IFNA(index(PlayerValues!A:A,match(IFNA(vlookup(B1572,'Special Names'!A:B,2,FALSE),B1572),PlayerValues!E:E,0)),"N/A")</f>
        <v>17473</v>
      </c>
      <c r="B1572" s="4" t="s">
        <v>391</v>
      </c>
      <c r="C1572" s="4" t="s">
        <v>278</v>
      </c>
      <c r="D1572" s="94">
        <v>4835.0</v>
      </c>
    </row>
    <row r="1573">
      <c r="A1573" s="40">
        <f t="array" ref="A1573">IFNA(index(PlayerValues!A:A,match(IFNA(vlookup(B1573,'Special Names'!A:B,2,FALSE),B1573),PlayerValues!E:E,0)),"N/A")</f>
        <v>13590</v>
      </c>
      <c r="B1573" s="4" t="s">
        <v>409</v>
      </c>
      <c r="C1573" s="4" t="s">
        <v>283</v>
      </c>
      <c r="D1573" s="94">
        <v>4826.0</v>
      </c>
    </row>
    <row r="1574">
      <c r="A1574" s="40">
        <f t="array" ref="A1574">IFNA(index(PlayerValues!A:A,match(IFNA(vlookup(B1574,'Special Names'!A:B,2,FALSE),B1574),PlayerValues!E:E,0)),"N/A")</f>
        <v>15284</v>
      </c>
      <c r="B1574" s="4" t="s">
        <v>390</v>
      </c>
      <c r="C1574" s="4" t="s">
        <v>287</v>
      </c>
      <c r="D1574" s="94">
        <v>4824.0</v>
      </c>
    </row>
    <row r="1575">
      <c r="A1575" s="40">
        <f t="array" ref="A1575">IFNA(index(PlayerValues!A:A,match(IFNA(vlookup(B1575,'Special Names'!A:B,2,FALSE),B1575),PlayerValues!E:E,0)),"N/A")</f>
        <v>16598</v>
      </c>
      <c r="B1575" s="4" t="s">
        <v>408</v>
      </c>
      <c r="C1575" s="4" t="s">
        <v>278</v>
      </c>
      <c r="D1575" s="94">
        <v>4823.0</v>
      </c>
    </row>
    <row r="1576">
      <c r="A1576" s="40">
        <f t="array" ref="A1576">IFNA(index(PlayerValues!A:A,match(IFNA(vlookup(B1576,'Special Names'!A:B,2,FALSE),B1576),PlayerValues!E:E,0)),"N/A")</f>
        <v>16190</v>
      </c>
      <c r="B1576" s="4" t="s">
        <v>371</v>
      </c>
      <c r="C1576" s="4" t="s">
        <v>287</v>
      </c>
      <c r="D1576" s="94">
        <v>4782.0</v>
      </c>
    </row>
    <row r="1577">
      <c r="A1577" s="40">
        <f t="array" ref="A1577">IFNA(index(PlayerValues!A:A,match(IFNA(vlookup(B1577,'Special Names'!A:B,2,FALSE),B1577),PlayerValues!E:E,0)),"N/A")</f>
        <v>17045</v>
      </c>
      <c r="B1577" s="4" t="s">
        <v>407</v>
      </c>
      <c r="C1577" s="4" t="s">
        <v>278</v>
      </c>
      <c r="D1577" s="94">
        <v>4714.0</v>
      </c>
    </row>
    <row r="1578">
      <c r="A1578" s="40">
        <f t="array" ref="A1578">IFNA(index(PlayerValues!A:A,match(IFNA(vlookup(B1578,'Special Names'!A:B,2,FALSE),B1578),PlayerValues!E:E,0)),"N/A")</f>
        <v>12611</v>
      </c>
      <c r="B1578" s="4" t="s">
        <v>410</v>
      </c>
      <c r="C1578" s="4" t="s">
        <v>283</v>
      </c>
      <c r="D1578" s="94">
        <v>4670.0</v>
      </c>
    </row>
    <row r="1579">
      <c r="A1579" s="40">
        <f t="array" ref="A1579">IFNA(index(PlayerValues!A:A,match(IFNA(vlookup(B1579,'Special Names'!A:B,2,FALSE),B1579),PlayerValues!E:E,0)),"N/A")</f>
        <v>15756</v>
      </c>
      <c r="B1579" s="4" t="s">
        <v>399</v>
      </c>
      <c r="C1579" s="4" t="s">
        <v>287</v>
      </c>
      <c r="D1579" s="94">
        <v>4670.0</v>
      </c>
    </row>
    <row r="1580">
      <c r="A1580" s="40">
        <f t="array" ref="A1580">IFNA(index(PlayerValues!A:A,match(IFNA(vlookup(B1580,'Special Names'!A:B,2,FALSE),B1580),PlayerValues!E:E,0)),"N/A")</f>
        <v>13592</v>
      </c>
      <c r="B1580" s="4" t="s">
        <v>418</v>
      </c>
      <c r="C1580" s="4" t="s">
        <v>283</v>
      </c>
      <c r="D1580" s="94">
        <v>4639.0</v>
      </c>
    </row>
    <row r="1581">
      <c r="A1581" s="40" t="str">
        <f t="array" ref="A1581">IFNA(index(PlayerValues!A:A,match(IFNA(vlookup(B1581,'Special Names'!A:B,2,FALSE),B1581),PlayerValues!E:E,0)),"N/A")</f>
        <v>N/A</v>
      </c>
      <c r="B1581" s="4" t="s">
        <v>80</v>
      </c>
      <c r="C1581" s="4" t="s">
        <v>325</v>
      </c>
      <c r="D1581" s="94">
        <v>4564.0</v>
      </c>
    </row>
    <row r="1582">
      <c r="A1582" s="40">
        <f t="array" ref="A1582">IFNA(index(PlayerValues!A:A,match(IFNA(vlookup(B1582,'Special Names'!A:B,2,FALSE),B1582),PlayerValues!E:E,0)),"N/A")</f>
        <v>16214</v>
      </c>
      <c r="B1582" s="4" t="s">
        <v>413</v>
      </c>
      <c r="C1582" s="4" t="s">
        <v>298</v>
      </c>
      <c r="D1582" s="94">
        <v>5096.0</v>
      </c>
    </row>
    <row r="1583">
      <c r="A1583" s="40">
        <f t="array" ref="A1583">IFNA(index(PlayerValues!A:A,match(IFNA(vlookup(B1583,'Special Names'!A:B,2,FALSE),B1583),PlayerValues!E:E,0)),"N/A")</f>
        <v>15256</v>
      </c>
      <c r="B1583" s="4" t="s">
        <v>401</v>
      </c>
      <c r="C1583" s="4" t="s">
        <v>278</v>
      </c>
      <c r="D1583" s="94">
        <v>4543.0</v>
      </c>
    </row>
    <row r="1584">
      <c r="A1584" s="40" t="str">
        <f t="array" ref="A1584">IFNA(index(PlayerValues!A:A,match(IFNA(vlookup(B1584,'Special Names'!A:B,2,FALSE),B1584),PlayerValues!E:E,0)),"N/A")</f>
        <v>N/A</v>
      </c>
      <c r="B1584" s="4" t="s">
        <v>105</v>
      </c>
      <c r="C1584" s="4" t="s">
        <v>325</v>
      </c>
      <c r="D1584" s="94">
        <v>4512.0</v>
      </c>
    </row>
    <row r="1585">
      <c r="A1585" s="40">
        <f t="array" ref="A1585">IFNA(index(PlayerValues!A:A,match(IFNA(vlookup(B1585,'Special Names'!A:B,2,FALSE),B1585),PlayerValues!E:E,0)),"N/A")</f>
        <v>17501</v>
      </c>
      <c r="B1585" s="4" t="s">
        <v>404</v>
      </c>
      <c r="C1585" s="4" t="s">
        <v>287</v>
      </c>
      <c r="D1585" s="94">
        <v>4505.0</v>
      </c>
    </row>
    <row r="1586">
      <c r="A1586" s="40">
        <f t="array" ref="A1586">IFNA(index(PlayerValues!A:A,match(IFNA(vlookup(B1586,'Special Names'!A:B,2,FALSE),B1586),PlayerValues!E:E,0)),"N/A")</f>
        <v>15253</v>
      </c>
      <c r="B1586" s="4" t="s">
        <v>415</v>
      </c>
      <c r="C1586" s="4" t="s">
        <v>278</v>
      </c>
      <c r="D1586" s="94">
        <v>4503.0</v>
      </c>
    </row>
    <row r="1587">
      <c r="A1587" s="40">
        <f t="array" ref="A1587">IFNA(index(PlayerValues!A:A,match(IFNA(vlookup(B1587,'Special Names'!A:B,2,FALSE),B1587),PlayerValues!E:E,0)),"N/A")</f>
        <v>16194</v>
      </c>
      <c r="B1587" s="4" t="s">
        <v>398</v>
      </c>
      <c r="C1587" s="4" t="s">
        <v>287</v>
      </c>
      <c r="D1587" s="94">
        <v>4482.0</v>
      </c>
    </row>
    <row r="1588">
      <c r="A1588" s="40">
        <f t="array" ref="A1588">IFNA(index(PlayerValues!A:A,match(IFNA(vlookup(B1588,'Special Names'!A:B,2,FALSE),B1588),PlayerValues!E:E,0)),"N/A")</f>
        <v>16148</v>
      </c>
      <c r="B1588" s="4" t="s">
        <v>426</v>
      </c>
      <c r="C1588" s="4" t="s">
        <v>283</v>
      </c>
      <c r="D1588" s="94">
        <v>4464.0</v>
      </c>
    </row>
    <row r="1589">
      <c r="A1589" s="40">
        <f t="array" ref="A1589">IFNA(index(PlayerValues!A:A,match(IFNA(vlookup(B1589,'Special Names'!A:B,2,FALSE),B1589),PlayerValues!E:E,0)),"N/A")</f>
        <v>15329</v>
      </c>
      <c r="B1589" s="4" t="s">
        <v>416</v>
      </c>
      <c r="C1589" s="4" t="s">
        <v>298</v>
      </c>
      <c r="D1589" s="94">
        <v>4984.0</v>
      </c>
    </row>
    <row r="1590">
      <c r="A1590" s="40">
        <f t="array" ref="A1590">IFNA(index(PlayerValues!A:A,match(IFNA(vlookup(B1590,'Special Names'!A:B,2,FALSE),B1590),PlayerValues!E:E,0)),"N/A")</f>
        <v>17543</v>
      </c>
      <c r="B1590" s="4" t="s">
        <v>436</v>
      </c>
      <c r="C1590" s="4" t="s">
        <v>298</v>
      </c>
      <c r="D1590" s="94">
        <v>4666.0</v>
      </c>
    </row>
    <row r="1591">
      <c r="A1591" s="40">
        <f t="array" ref="A1591">IFNA(index(PlayerValues!A:A,match(IFNA(vlookup(B1591,'Special Names'!A:B,2,FALSE),B1591),PlayerValues!E:E,0)),"N/A")</f>
        <v>14056</v>
      </c>
      <c r="B1591" s="4" t="s">
        <v>423</v>
      </c>
      <c r="C1591" s="4" t="s">
        <v>283</v>
      </c>
      <c r="D1591" s="94">
        <v>4094.0</v>
      </c>
    </row>
    <row r="1592">
      <c r="A1592" s="40" t="str">
        <f t="array" ref="A1592">IFNA(index(PlayerValues!A:A,match(IFNA(vlookup(B1592,'Special Names'!A:B,2,FALSE),B1592),PlayerValues!E:E,0)),"N/A")</f>
        <v>N/A</v>
      </c>
      <c r="B1592" s="4" t="s">
        <v>107</v>
      </c>
      <c r="C1592" s="4" t="s">
        <v>325</v>
      </c>
      <c r="D1592" s="94">
        <v>4091.0</v>
      </c>
    </row>
    <row r="1593">
      <c r="A1593" s="40">
        <f t="array" ref="A1593">IFNA(index(PlayerValues!A:A,match(IFNA(vlookup(B1593,'Special Names'!A:B,2,FALSE),B1593),PlayerValues!E:E,0)),"N/A")</f>
        <v>15768</v>
      </c>
      <c r="B1593" s="4" t="s">
        <v>432</v>
      </c>
      <c r="C1593" s="4" t="s">
        <v>287</v>
      </c>
      <c r="D1593" s="94">
        <v>4079.0</v>
      </c>
    </row>
    <row r="1594">
      <c r="A1594" s="40">
        <f t="array" ref="A1594">IFNA(index(PlayerValues!A:A,match(IFNA(vlookup(B1594,'Special Names'!A:B,2,FALSE),B1594),PlayerValues!E:E,0)),"N/A")</f>
        <v>16186</v>
      </c>
      <c r="B1594" s="4" t="s">
        <v>425</v>
      </c>
      <c r="C1594" s="4" t="s">
        <v>287</v>
      </c>
      <c r="D1594" s="94">
        <v>4016.0</v>
      </c>
    </row>
    <row r="1595">
      <c r="A1595" s="40">
        <f t="array" ref="A1595">IFNA(index(PlayerValues!A:A,match(IFNA(vlookup(B1595,'Special Names'!A:B,2,FALSE),B1595),PlayerValues!E:E,0)),"N/A")</f>
        <v>12626</v>
      </c>
      <c r="B1595" s="4" t="s">
        <v>419</v>
      </c>
      <c r="C1595" s="4" t="s">
        <v>278</v>
      </c>
      <c r="D1595" s="94">
        <v>3965.0</v>
      </c>
    </row>
    <row r="1596">
      <c r="A1596" s="40">
        <f t="array" ref="A1596">IFNA(index(PlayerValues!A:A,match(IFNA(vlookup(B1596,'Special Names'!A:B,2,FALSE),B1596),PlayerValues!E:E,0)),"N/A")</f>
        <v>15694</v>
      </c>
      <c r="B1596" s="4" t="s">
        <v>434</v>
      </c>
      <c r="C1596" s="4" t="s">
        <v>283</v>
      </c>
      <c r="D1596" s="94">
        <v>3959.0</v>
      </c>
    </row>
    <row r="1597">
      <c r="A1597" s="40" t="str">
        <f t="array" ref="A1597">IFNA(index(PlayerValues!A:A,match(IFNA(vlookup(B1597,'Special Names'!A:B,2,FALSE),B1597),PlayerValues!E:E,0)),"N/A")</f>
        <v>N/A</v>
      </c>
      <c r="B1597" s="4" t="s">
        <v>81</v>
      </c>
      <c r="C1597" s="4" t="s">
        <v>325</v>
      </c>
      <c r="D1597" s="94">
        <v>3954.0</v>
      </c>
    </row>
    <row r="1598">
      <c r="A1598" s="40">
        <f t="array" ref="A1598">IFNA(index(PlayerValues!A:A,match(IFNA(vlookup(B1598,'Special Names'!A:B,2,FALSE),B1598),PlayerValues!E:E,0)),"N/A")</f>
        <v>14059</v>
      </c>
      <c r="B1598" s="4" t="s">
        <v>435</v>
      </c>
      <c r="C1598" s="4" t="s">
        <v>283</v>
      </c>
      <c r="D1598" s="94">
        <v>3951.0</v>
      </c>
    </row>
    <row r="1599">
      <c r="A1599" s="40">
        <f t="array" ref="A1599">IFNA(index(PlayerValues!A:A,match(IFNA(vlookup(B1599,'Special Names'!A:B,2,FALSE),B1599),PlayerValues!E:E,0)),"N/A")</f>
        <v>17052</v>
      </c>
      <c r="B1599" s="4" t="s">
        <v>417</v>
      </c>
      <c r="C1599" s="4" t="s">
        <v>278</v>
      </c>
      <c r="D1599" s="94">
        <v>3916.0</v>
      </c>
    </row>
    <row r="1600">
      <c r="A1600" s="40" t="str">
        <f t="array" ref="A1600">IFNA(index(PlayerValues!A:A,match(IFNA(vlookup(B1600,'Special Names'!A:B,2,FALSE),B1600),PlayerValues!E:E,0)),"N/A")</f>
        <v>N/A</v>
      </c>
      <c r="B1600" s="4" t="s">
        <v>95</v>
      </c>
      <c r="C1600" s="4" t="s">
        <v>325</v>
      </c>
      <c r="D1600" s="94">
        <v>3909.0</v>
      </c>
    </row>
    <row r="1601">
      <c r="A1601" s="40">
        <f t="array" ref="A1601">IFNA(index(PlayerValues!A:A,match(IFNA(vlookup(B1601,'Special Names'!A:B,2,FALSE),B1601),PlayerValues!E:E,0)),"N/A")</f>
        <v>17502</v>
      </c>
      <c r="B1601" s="4" t="s">
        <v>451</v>
      </c>
      <c r="C1601" s="4" t="s">
        <v>287</v>
      </c>
      <c r="D1601" s="94">
        <v>3827.0</v>
      </c>
    </row>
    <row r="1602">
      <c r="A1602" s="40">
        <f t="array" ref="A1602">IFNA(index(PlayerValues!A:A,match(IFNA(vlookup(B1602,'Special Names'!A:B,2,FALSE),B1602),PlayerValues!E:E,0)),"N/A")</f>
        <v>15789</v>
      </c>
      <c r="B1602" s="4" t="s">
        <v>421</v>
      </c>
      <c r="C1602" s="4" t="s">
        <v>287</v>
      </c>
      <c r="D1602" s="94">
        <v>3742.0</v>
      </c>
    </row>
    <row r="1603">
      <c r="A1603" s="40">
        <f t="array" ref="A1603">IFNA(index(PlayerValues!A:A,match(IFNA(vlookup(B1603,'Special Names'!A:B,2,FALSE),B1603),PlayerValues!E:E,0)),"N/A")</f>
        <v>9431</v>
      </c>
      <c r="B1603" s="4" t="s">
        <v>428</v>
      </c>
      <c r="C1603" s="4" t="s">
        <v>283</v>
      </c>
      <c r="D1603" s="94">
        <v>3737.0</v>
      </c>
    </row>
    <row r="1604">
      <c r="A1604" s="40">
        <f t="array" ref="A1604">IFNA(index(PlayerValues!A:A,match(IFNA(vlookup(B1604,'Special Names'!A:B,2,FALSE),B1604),PlayerValues!E:E,0)),"N/A")</f>
        <v>13635</v>
      </c>
      <c r="B1604" s="4" t="s">
        <v>424</v>
      </c>
      <c r="C1604" s="4" t="s">
        <v>287</v>
      </c>
      <c r="D1604" s="94">
        <v>3716.0</v>
      </c>
    </row>
    <row r="1605">
      <c r="A1605" s="40">
        <f t="array" ref="A1605">IFNA(index(PlayerValues!A:A,match(IFNA(vlookup(B1605,'Special Names'!A:B,2,FALSE),B1605),PlayerValues!E:E,0)),"N/A")</f>
        <v>17075</v>
      </c>
      <c r="B1605" s="4" t="s">
        <v>429</v>
      </c>
      <c r="C1605" s="4" t="s">
        <v>287</v>
      </c>
      <c r="D1605" s="94">
        <v>3710.0</v>
      </c>
    </row>
    <row r="1606">
      <c r="A1606" s="40">
        <f t="array" ref="A1606">IFNA(index(PlayerValues!A:A,match(IFNA(vlookup(B1606,'Special Names'!A:B,2,FALSE),B1606),PlayerValues!E:E,0)),"N/A")</f>
        <v>17544</v>
      </c>
      <c r="B1606" s="4" t="s">
        <v>470</v>
      </c>
      <c r="C1606" s="4" t="s">
        <v>298</v>
      </c>
      <c r="D1606" s="94">
        <v>4183.0</v>
      </c>
    </row>
    <row r="1607">
      <c r="A1607" s="40">
        <f t="array" ref="A1607">IFNA(index(PlayerValues!A:A,match(IFNA(vlookup(B1607,'Special Names'!A:B,2,FALSE),B1607),PlayerValues!E:E,0)),"N/A")</f>
        <v>17066</v>
      </c>
      <c r="B1607" s="4" t="s">
        <v>446</v>
      </c>
      <c r="C1607" s="4" t="s">
        <v>278</v>
      </c>
      <c r="D1607" s="94">
        <v>3669.0</v>
      </c>
    </row>
    <row r="1608">
      <c r="A1608" s="40">
        <f t="array" ref="A1608">IFNA(index(PlayerValues!A:A,match(IFNA(vlookup(B1608,'Special Names'!A:B,2,FALSE),B1608),PlayerValues!E:E,0)),"N/A")</f>
        <v>17463</v>
      </c>
      <c r="B1608" s="4" t="s">
        <v>433</v>
      </c>
      <c r="C1608" s="4" t="s">
        <v>283</v>
      </c>
      <c r="D1608" s="94">
        <v>3669.0</v>
      </c>
    </row>
    <row r="1609">
      <c r="A1609" s="40">
        <f t="array" ref="A1609">IFNA(index(PlayerValues!A:A,match(IFNA(vlookup(B1609,'Special Names'!A:B,2,FALSE),B1609),PlayerValues!E:E,0)),"N/A")</f>
        <v>16206</v>
      </c>
      <c r="B1609" s="4" t="s">
        <v>431</v>
      </c>
      <c r="C1609" s="4" t="s">
        <v>287</v>
      </c>
      <c r="D1609" s="94">
        <v>3646.0</v>
      </c>
    </row>
    <row r="1610">
      <c r="A1610" s="40">
        <f t="array" ref="A1610">IFNA(index(PlayerValues!A:A,match(IFNA(vlookup(B1610,'Special Names'!A:B,2,FALSE),B1610),PlayerValues!E:E,0)),"N/A")</f>
        <v>17099</v>
      </c>
      <c r="B1610" s="4" t="s">
        <v>474</v>
      </c>
      <c r="C1610" s="4" t="s">
        <v>298</v>
      </c>
      <c r="D1610" s="94">
        <v>4100.0</v>
      </c>
    </row>
    <row r="1611">
      <c r="A1611" s="40">
        <f t="array" ref="A1611">IFNA(index(PlayerValues!A:A,match(IFNA(vlookup(B1611,'Special Names'!A:B,2,FALSE),B1611),PlayerValues!E:E,0)),"N/A")</f>
        <v>16187</v>
      </c>
      <c r="B1611" s="4" t="s">
        <v>441</v>
      </c>
      <c r="C1611" s="4" t="s">
        <v>287</v>
      </c>
      <c r="D1611" s="94">
        <v>3598.0</v>
      </c>
    </row>
    <row r="1612">
      <c r="A1612" s="40">
        <f t="array" ref="A1612">IFNA(index(PlayerValues!A:A,match(IFNA(vlookup(B1612,'Special Names'!A:B,2,FALSE),B1612),PlayerValues!E:E,0)),"N/A")</f>
        <v>15757</v>
      </c>
      <c r="B1612" s="4" t="s">
        <v>449</v>
      </c>
      <c r="C1612" s="4" t="s">
        <v>287</v>
      </c>
      <c r="D1612" s="94">
        <v>3594.0</v>
      </c>
    </row>
    <row r="1613">
      <c r="A1613" s="40">
        <f t="array" ref="A1613">IFNA(index(PlayerValues!A:A,match(IFNA(vlookup(B1613,'Special Names'!A:B,2,FALSE),B1613),PlayerValues!E:E,0)),"N/A")</f>
        <v>14073</v>
      </c>
      <c r="B1613" s="4" t="s">
        <v>464</v>
      </c>
      <c r="C1613" s="4" t="s">
        <v>278</v>
      </c>
      <c r="D1613" s="94">
        <v>3553.0</v>
      </c>
    </row>
    <row r="1614">
      <c r="A1614" s="40">
        <f t="array" ref="A1614">IFNA(index(PlayerValues!A:A,match(IFNA(vlookup(B1614,'Special Names'!A:B,2,FALSE),B1614),PlayerValues!E:E,0)),"N/A")</f>
        <v>14797</v>
      </c>
      <c r="B1614" s="4" t="s">
        <v>420</v>
      </c>
      <c r="C1614" s="4" t="s">
        <v>278</v>
      </c>
      <c r="D1614" s="94">
        <v>3553.0</v>
      </c>
    </row>
    <row r="1615">
      <c r="A1615" s="40">
        <f t="array" ref="A1615">IFNA(index(PlayerValues!A:A,match(IFNA(vlookup(B1615,'Special Names'!A:B,2,FALSE),B1615),PlayerValues!E:E,0)),"N/A")</f>
        <v>16192</v>
      </c>
      <c r="B1615" s="4" t="s">
        <v>412</v>
      </c>
      <c r="C1615" s="4" t="s">
        <v>287</v>
      </c>
      <c r="D1615" s="94">
        <v>3550.0</v>
      </c>
    </row>
    <row r="1616">
      <c r="A1616" s="40">
        <f t="array" ref="A1616">IFNA(index(PlayerValues!A:A,match(IFNA(vlookup(B1616,'Special Names'!A:B,2,FALSE),B1616),PlayerValues!E:E,0)),"N/A")</f>
        <v>14102</v>
      </c>
      <c r="B1616" s="4" t="s">
        <v>444</v>
      </c>
      <c r="C1616" s="4" t="s">
        <v>287</v>
      </c>
      <c r="D1616" s="94">
        <v>3523.0</v>
      </c>
    </row>
    <row r="1617">
      <c r="A1617" s="40" t="str">
        <f t="array" ref="A1617">IFNA(index(PlayerValues!A:A,match(IFNA(vlookup(B1617,'Special Names'!A:B,2,FALSE),B1617),PlayerValues!E:E,0)),"N/A")</f>
        <v>N/A</v>
      </c>
      <c r="B1617" s="4" t="s">
        <v>96</v>
      </c>
      <c r="C1617" s="4" t="s">
        <v>325</v>
      </c>
      <c r="D1617" s="94">
        <v>3491.0</v>
      </c>
    </row>
    <row r="1618">
      <c r="A1618" s="40">
        <f t="array" ref="A1618">IFNA(index(PlayerValues!A:A,match(IFNA(vlookup(B1618,'Special Names'!A:B,2,FALSE),B1618),PlayerValues!E:E,0)),"N/A")</f>
        <v>14109</v>
      </c>
      <c r="B1618" s="4" t="s">
        <v>437</v>
      </c>
      <c r="C1618" s="4" t="s">
        <v>287</v>
      </c>
      <c r="D1618" s="94">
        <v>3461.0</v>
      </c>
    </row>
    <row r="1619">
      <c r="A1619" s="40">
        <f t="array" ref="A1619">IFNA(index(PlayerValues!A:A,match(IFNA(vlookup(B1619,'Special Names'!A:B,2,FALSE),B1619),PlayerValues!E:E,0)),"N/A")</f>
        <v>16184</v>
      </c>
      <c r="B1619" s="4" t="s">
        <v>445</v>
      </c>
      <c r="C1619" s="4" t="s">
        <v>287</v>
      </c>
      <c r="D1619" s="94">
        <v>3459.0</v>
      </c>
    </row>
    <row r="1620">
      <c r="A1620" s="40">
        <f t="array" ref="A1620">IFNA(index(PlayerValues!A:A,match(IFNA(vlookup(B1620,'Special Names'!A:B,2,FALSE),B1620),PlayerValues!E:E,0)),"N/A")</f>
        <v>16622</v>
      </c>
      <c r="B1620" s="4" t="s">
        <v>517</v>
      </c>
      <c r="C1620" s="4" t="s">
        <v>287</v>
      </c>
      <c r="D1620" s="94">
        <v>3454.0</v>
      </c>
    </row>
    <row r="1621">
      <c r="A1621" s="40">
        <f t="array" ref="A1621">IFNA(index(PlayerValues!A:A,match(IFNA(vlookup(B1621,'Special Names'!A:B,2,FALSE),B1621),PlayerValues!E:E,0)),"N/A")</f>
        <v>17068</v>
      </c>
      <c r="B1621" s="4" t="s">
        <v>450</v>
      </c>
      <c r="C1621" s="4" t="s">
        <v>278</v>
      </c>
      <c r="D1621" s="94">
        <v>3436.0</v>
      </c>
    </row>
    <row r="1622">
      <c r="A1622" s="40">
        <f t="array" ref="A1622">IFNA(index(PlayerValues!A:A,match(IFNA(vlookup(B1622,'Special Names'!A:B,2,FALSE),B1622),PlayerValues!E:E,0)),"N/A")</f>
        <v>17500</v>
      </c>
      <c r="B1622" s="4" t="s">
        <v>430</v>
      </c>
      <c r="C1622" s="4" t="s">
        <v>287</v>
      </c>
      <c r="D1622" s="94">
        <v>3435.0</v>
      </c>
    </row>
    <row r="1623">
      <c r="A1623" s="40">
        <f t="array" ref="A1623">IFNA(index(PlayerValues!A:A,match(IFNA(vlookup(B1623,'Special Names'!A:B,2,FALSE),B1623),PlayerValues!E:E,0)),"N/A")</f>
        <v>15798</v>
      </c>
      <c r="B1623" s="4" t="s">
        <v>443</v>
      </c>
      <c r="C1623" s="4" t="s">
        <v>298</v>
      </c>
      <c r="D1623" s="94">
        <v>3826.0</v>
      </c>
    </row>
    <row r="1624">
      <c r="A1624" s="40">
        <f t="array" ref="A1624">IFNA(index(PlayerValues!A:A,match(IFNA(vlookup(B1624,'Special Names'!A:B,2,FALSE),B1624),PlayerValues!E:E,0)),"N/A")</f>
        <v>16169</v>
      </c>
      <c r="B1624" s="4" t="s">
        <v>457</v>
      </c>
      <c r="C1624" s="4" t="s">
        <v>278</v>
      </c>
      <c r="D1624" s="94">
        <v>3375.0</v>
      </c>
    </row>
    <row r="1625">
      <c r="A1625" s="40">
        <f t="array" ref="A1625">IFNA(index(PlayerValues!A:A,match(IFNA(vlookup(B1625,'Special Names'!A:B,2,FALSE),B1625),PlayerValues!E:E,0)),"N/A")</f>
        <v>17083</v>
      </c>
      <c r="B1625" s="4" t="s">
        <v>479</v>
      </c>
      <c r="C1625" s="4" t="s">
        <v>287</v>
      </c>
      <c r="D1625" s="94">
        <v>3373.0</v>
      </c>
    </row>
    <row r="1626">
      <c r="A1626" s="40">
        <f t="array" ref="A1626">IFNA(index(PlayerValues!A:A,match(IFNA(vlookup(B1626,'Special Names'!A:B,2,FALSE),B1626),PlayerValues!E:E,0)),"N/A")</f>
        <v>14071</v>
      </c>
      <c r="B1626" s="4" t="s">
        <v>440</v>
      </c>
      <c r="C1626" s="4" t="s">
        <v>278</v>
      </c>
      <c r="D1626" s="94">
        <v>3370.0</v>
      </c>
    </row>
    <row r="1627">
      <c r="A1627" s="40">
        <f t="array" ref="A1627">IFNA(index(PlayerValues!A:A,match(IFNA(vlookup(B1627,'Special Names'!A:B,2,FALSE),B1627),PlayerValues!E:E,0)),"N/A")</f>
        <v>17074</v>
      </c>
      <c r="B1627" s="4" t="s">
        <v>475</v>
      </c>
      <c r="C1627" s="4" t="s">
        <v>287</v>
      </c>
      <c r="D1627" s="94">
        <v>3368.0</v>
      </c>
    </row>
    <row r="1628">
      <c r="A1628" s="40">
        <f t="array" ref="A1628">IFNA(index(PlayerValues!A:A,match(IFNA(vlookup(B1628,'Special Names'!A:B,2,FALSE),B1628),PlayerValues!E:E,0)),"N/A")</f>
        <v>16620</v>
      </c>
      <c r="B1628" s="4" t="s">
        <v>467</v>
      </c>
      <c r="C1628" s="4" t="s">
        <v>287</v>
      </c>
      <c r="D1628" s="94">
        <v>3363.0</v>
      </c>
    </row>
    <row r="1629">
      <c r="A1629" s="40">
        <f t="array" ref="A1629">IFNA(index(PlayerValues!A:A,match(IFNA(vlookup(B1629,'Special Names'!A:B,2,FALSE),B1629),PlayerValues!E:E,0)),"N/A")</f>
        <v>14842</v>
      </c>
      <c r="B1629" s="4" t="s">
        <v>456</v>
      </c>
      <c r="C1629" s="4" t="s">
        <v>287</v>
      </c>
      <c r="D1629" s="94">
        <v>3361.0</v>
      </c>
    </row>
    <row r="1630">
      <c r="A1630" s="40">
        <f t="array" ref="A1630">IFNA(index(PlayerValues!A:A,match(IFNA(vlookup(B1630,'Special Names'!A:B,2,FALSE),B1630),PlayerValues!E:E,0)),"N/A")</f>
        <v>16188</v>
      </c>
      <c r="B1630" s="4" t="s">
        <v>439</v>
      </c>
      <c r="C1630" s="4" t="s">
        <v>287</v>
      </c>
      <c r="D1630" s="94">
        <v>3352.0</v>
      </c>
    </row>
    <row r="1631">
      <c r="A1631" s="40">
        <f t="array" ref="A1631">IFNA(index(PlayerValues!A:A,match(IFNA(vlookup(B1631,'Special Names'!A:B,2,FALSE),B1631),PlayerValues!E:E,0)),"N/A")</f>
        <v>15261</v>
      </c>
      <c r="B1631" s="4" t="s">
        <v>466</v>
      </c>
      <c r="C1631" s="4" t="s">
        <v>278</v>
      </c>
      <c r="D1631" s="94">
        <v>3326.0</v>
      </c>
    </row>
    <row r="1632">
      <c r="A1632" s="40" t="str">
        <f t="array" ref="A1632">IFNA(index(PlayerValues!A:A,match(IFNA(vlookup(B1632,'Special Names'!A:B,2,FALSE),B1632),PlayerValues!E:E,0)),"N/A")</f>
        <v>N/A</v>
      </c>
      <c r="B1632" s="4" t="s">
        <v>82</v>
      </c>
      <c r="C1632" s="4" t="s">
        <v>325</v>
      </c>
      <c r="D1632" s="94">
        <v>3295.0</v>
      </c>
    </row>
    <row r="1633">
      <c r="A1633" s="40">
        <f t="array" ref="A1633">IFNA(index(PlayerValues!A:A,match(IFNA(vlookup(B1633,'Special Names'!A:B,2,FALSE),B1633),PlayerValues!E:E,0)),"N/A")</f>
        <v>16593</v>
      </c>
      <c r="B1633" s="4" t="s">
        <v>442</v>
      </c>
      <c r="C1633" s="4" t="s">
        <v>278</v>
      </c>
      <c r="D1633" s="94">
        <v>3285.0</v>
      </c>
    </row>
    <row r="1634">
      <c r="A1634" s="40">
        <f t="array" ref="A1634">IFNA(index(PlayerValues!A:A,match(IFNA(vlookup(B1634,'Special Names'!A:B,2,FALSE),B1634),PlayerValues!E:E,0)),"N/A")</f>
        <v>11671</v>
      </c>
      <c r="B1634" s="4" t="s">
        <v>463</v>
      </c>
      <c r="C1634" s="4" t="s">
        <v>287</v>
      </c>
      <c r="D1634" s="94">
        <v>3279.0</v>
      </c>
    </row>
    <row r="1635">
      <c r="A1635" s="40">
        <f t="array" ref="A1635">IFNA(index(PlayerValues!A:A,match(IFNA(vlookup(B1635,'Special Names'!A:B,2,FALSE),B1635),PlayerValues!E:E,0)),"N/A")</f>
        <v>11675</v>
      </c>
      <c r="B1635" s="4" t="s">
        <v>438</v>
      </c>
      <c r="C1635" s="4" t="s">
        <v>287</v>
      </c>
      <c r="D1635" s="94">
        <v>3279.0</v>
      </c>
    </row>
    <row r="1636">
      <c r="A1636" s="40">
        <f t="array" ref="A1636">IFNA(index(PlayerValues!A:A,match(IFNA(vlookup(B1636,'Special Names'!A:B,2,FALSE),B1636),PlayerValues!E:E,0)),"N/A")</f>
        <v>16213</v>
      </c>
      <c r="B1636" s="4" t="s">
        <v>458</v>
      </c>
      <c r="C1636" s="4" t="s">
        <v>298</v>
      </c>
      <c r="D1636" s="94">
        <v>3683.0</v>
      </c>
    </row>
    <row r="1637">
      <c r="A1637" s="40">
        <f t="array" ref="A1637">IFNA(index(PlayerValues!A:A,match(IFNA(vlookup(B1637,'Special Names'!A:B,2,FALSE),B1637),PlayerValues!E:E,0)),"N/A")</f>
        <v>13299</v>
      </c>
      <c r="B1637" s="4" t="s">
        <v>448</v>
      </c>
      <c r="C1637" s="4" t="s">
        <v>298</v>
      </c>
      <c r="D1637" s="94">
        <v>3674.0</v>
      </c>
    </row>
    <row r="1638">
      <c r="A1638" s="40">
        <f t="array" ref="A1638">IFNA(index(PlayerValues!A:A,match(IFNA(vlookup(B1638,'Special Names'!A:B,2,FALSE),B1638),PlayerValues!E:E,0)),"N/A")</f>
        <v>15779</v>
      </c>
      <c r="B1638" s="4" t="s">
        <v>461</v>
      </c>
      <c r="C1638" s="4" t="s">
        <v>287</v>
      </c>
      <c r="D1638" s="94">
        <v>3221.0</v>
      </c>
    </row>
    <row r="1639">
      <c r="A1639" s="40">
        <f t="array" ref="A1639">IFNA(index(PlayerValues!A:A,match(IFNA(vlookup(B1639,'Special Names'!A:B,2,FALSE),B1639),PlayerValues!E:E,0)),"N/A")</f>
        <v>15799</v>
      </c>
      <c r="B1639" s="4" t="s">
        <v>468</v>
      </c>
      <c r="C1639" s="4" t="s">
        <v>298</v>
      </c>
      <c r="D1639" s="94">
        <v>3658.0</v>
      </c>
    </row>
    <row r="1640">
      <c r="A1640" s="40">
        <f t="array" ref="A1640">IFNA(index(PlayerValues!A:A,match(IFNA(vlookup(B1640,'Special Names'!A:B,2,FALSE),B1640),PlayerValues!E:E,0)),"N/A")</f>
        <v>16597</v>
      </c>
      <c r="B1640" s="4" t="s">
        <v>427</v>
      </c>
      <c r="C1640" s="4" t="s">
        <v>278</v>
      </c>
      <c r="D1640" s="94">
        <v>3200.0</v>
      </c>
    </row>
    <row r="1641">
      <c r="A1641" s="40">
        <f t="array" ref="A1641">IFNA(index(PlayerValues!A:A,match(IFNA(vlookup(B1641,'Special Names'!A:B,2,FALSE),B1641),PlayerValues!E:E,0)),"N/A")</f>
        <v>14823</v>
      </c>
      <c r="B1641" s="4" t="s">
        <v>459</v>
      </c>
      <c r="C1641" s="4" t="s">
        <v>278</v>
      </c>
      <c r="D1641" s="94">
        <v>3196.0</v>
      </c>
    </row>
    <row r="1642">
      <c r="A1642" s="40" t="str">
        <f t="array" ref="A1642">IFNA(index(PlayerValues!A:A,match(IFNA(vlookup(B1642,'Special Names'!A:B,2,FALSE),B1642),PlayerValues!E:E,0)),"N/A")</f>
        <v>N/A</v>
      </c>
      <c r="B1642" s="4" t="s">
        <v>108</v>
      </c>
      <c r="C1642" s="4" t="s">
        <v>325</v>
      </c>
      <c r="D1642" s="94">
        <v>3178.0</v>
      </c>
    </row>
    <row r="1643">
      <c r="A1643" s="40">
        <f t="array" ref="A1643">IFNA(index(PlayerValues!A:A,match(IFNA(vlookup(B1643,'Special Names'!A:B,2,FALSE),B1643),PlayerValues!E:E,0)),"N/A")</f>
        <v>17477</v>
      </c>
      <c r="B1643" s="4" t="s">
        <v>452</v>
      </c>
      <c r="C1643" s="4" t="s">
        <v>278</v>
      </c>
      <c r="D1643" s="94">
        <v>3161.0</v>
      </c>
    </row>
    <row r="1644">
      <c r="A1644" s="40">
        <f t="array" ref="A1644">IFNA(index(PlayerValues!A:A,match(IFNA(vlookup(B1644,'Special Names'!A:B,2,FALSE),B1644),PlayerValues!E:E,0)),"N/A")</f>
        <v>15742</v>
      </c>
      <c r="B1644" s="4" t="s">
        <v>447</v>
      </c>
      <c r="C1644" s="4" t="s">
        <v>278</v>
      </c>
      <c r="D1644" s="94">
        <v>3159.0</v>
      </c>
    </row>
    <row r="1645">
      <c r="A1645" s="40">
        <f t="array" ref="A1645">IFNA(index(PlayerValues!A:A,match(IFNA(vlookup(B1645,'Special Names'!A:B,2,FALSE),B1645),PlayerValues!E:E,0)),"N/A")</f>
        <v>16583</v>
      </c>
      <c r="B1645" s="4" t="s">
        <v>493</v>
      </c>
      <c r="C1645" s="4" t="s">
        <v>283</v>
      </c>
      <c r="D1645" s="94">
        <v>3157.0</v>
      </c>
    </row>
    <row r="1646">
      <c r="A1646" s="40" t="str">
        <f t="array" ref="A1646">IFNA(index(PlayerValues!A:A,match(IFNA(vlookup(B1646,'Special Names'!A:B,2,FALSE),B1646),PlayerValues!E:E,0)),"N/A")</f>
        <v>N/A</v>
      </c>
      <c r="B1646" s="4" t="s">
        <v>97</v>
      </c>
      <c r="C1646" s="4" t="s">
        <v>325</v>
      </c>
      <c r="D1646" s="94">
        <v>3155.0</v>
      </c>
    </row>
    <row r="1647">
      <c r="A1647" s="40">
        <f t="array" ref="A1647">IFNA(index(PlayerValues!A:A,match(IFNA(vlookup(B1647,'Special Names'!A:B,2,FALSE),B1647),PlayerValues!E:E,0)),"N/A")</f>
        <v>13630</v>
      </c>
      <c r="B1647" s="4" t="s">
        <v>465</v>
      </c>
      <c r="C1647" s="4" t="s">
        <v>287</v>
      </c>
      <c r="D1647" s="94">
        <v>3152.0</v>
      </c>
    </row>
    <row r="1648">
      <c r="A1648" s="40">
        <f t="array" ref="A1648">IFNA(index(PlayerValues!A:A,match(IFNA(vlookup(B1648,'Special Names'!A:B,2,FALSE),B1648),PlayerValues!E:E,0)),"N/A")</f>
        <v>14127</v>
      </c>
      <c r="B1648" s="4" t="s">
        <v>486</v>
      </c>
      <c r="C1648" s="4" t="s">
        <v>287</v>
      </c>
      <c r="D1648" s="94">
        <v>3139.0</v>
      </c>
    </row>
    <row r="1649">
      <c r="A1649" s="40">
        <f t="array" ref="A1649">IFNA(index(PlayerValues!A:A,match(IFNA(vlookup(B1649,'Special Names'!A:B,2,FALSE),B1649),PlayerValues!E:E,0)),"N/A")</f>
        <v>16809</v>
      </c>
      <c r="B1649" s="4" t="s">
        <v>455</v>
      </c>
      <c r="C1649" s="4" t="s">
        <v>287</v>
      </c>
      <c r="D1649" s="94">
        <v>3068.0</v>
      </c>
    </row>
    <row r="1650">
      <c r="A1650" s="40">
        <f t="array" ref="A1650">IFNA(index(PlayerValues!A:A,match(IFNA(vlookup(B1650,'Special Names'!A:B,2,FALSE),B1650),PlayerValues!E:E,0)),"N/A")</f>
        <v>16269</v>
      </c>
      <c r="B1650" s="4" t="s">
        <v>481</v>
      </c>
      <c r="C1650" s="4" t="s">
        <v>298</v>
      </c>
      <c r="D1650" s="94">
        <v>3435.0</v>
      </c>
    </row>
    <row r="1651">
      <c r="A1651" s="40">
        <f t="array" ref="A1651">IFNA(index(PlayerValues!A:A,match(IFNA(vlookup(B1651,'Special Names'!A:B,2,FALSE),B1651),PlayerValues!E:E,0)),"N/A")</f>
        <v>17506</v>
      </c>
      <c r="B1651" s="4" t="s">
        <v>471</v>
      </c>
      <c r="C1651" s="4" t="s">
        <v>287</v>
      </c>
      <c r="D1651" s="94">
        <v>2999.0</v>
      </c>
    </row>
    <row r="1652">
      <c r="A1652" s="40">
        <f t="array" ref="A1652">IFNA(index(PlayerValues!A:A,match(IFNA(vlookup(B1652,'Special Names'!A:B,2,FALSE),B1652),PlayerValues!E:E,0)),"N/A")</f>
        <v>15761</v>
      </c>
      <c r="B1652" s="4" t="s">
        <v>491</v>
      </c>
      <c r="C1652" s="4" t="s">
        <v>287</v>
      </c>
      <c r="D1652" s="94">
        <v>2990.0</v>
      </c>
    </row>
    <row r="1653">
      <c r="A1653" s="40" t="str">
        <f t="array" ref="A1653">IFNA(index(PlayerValues!A:A,match(IFNA(vlookup(B1653,'Special Names'!A:B,2,FALSE),B1653),PlayerValues!E:E,0)),"N/A")</f>
        <v>N/A</v>
      </c>
      <c r="B1653" s="4" t="s">
        <v>109</v>
      </c>
      <c r="C1653" s="4" t="s">
        <v>325</v>
      </c>
      <c r="D1653" s="94">
        <v>2979.0</v>
      </c>
    </row>
    <row r="1654">
      <c r="A1654" s="40">
        <f t="array" ref="A1654">IFNA(index(PlayerValues!A:A,match(IFNA(vlookup(B1654,'Special Names'!A:B,2,FALSE),B1654),PlayerValues!E:E,0)),"N/A")</f>
        <v>14800</v>
      </c>
      <c r="B1654" s="4" t="s">
        <v>472</v>
      </c>
      <c r="C1654" s="4" t="s">
        <v>278</v>
      </c>
      <c r="D1654" s="94">
        <v>2966.0</v>
      </c>
    </row>
    <row r="1655">
      <c r="A1655" s="40">
        <f t="array" ref="A1655">IFNA(index(PlayerValues!A:A,match(IFNA(vlookup(B1655,'Special Names'!A:B,2,FALSE),B1655),PlayerValues!E:E,0)),"N/A")</f>
        <v>17512</v>
      </c>
      <c r="B1655" s="4" t="s">
        <v>483</v>
      </c>
      <c r="C1655" s="4" t="s">
        <v>287</v>
      </c>
      <c r="D1655" s="94">
        <v>2966.0</v>
      </c>
    </row>
    <row r="1656">
      <c r="A1656" s="40">
        <f t="array" ref="A1656">IFNA(index(PlayerValues!A:A,match(IFNA(vlookup(B1656,'Special Names'!A:B,2,FALSE),B1656),PlayerValues!E:E,0)),"N/A")</f>
        <v>17503</v>
      </c>
      <c r="B1656" s="4" t="s">
        <v>480</v>
      </c>
      <c r="C1656" s="4" t="s">
        <v>287</v>
      </c>
      <c r="D1656" s="94">
        <v>2964.0</v>
      </c>
    </row>
    <row r="1657">
      <c r="A1657" s="40">
        <f t="array" ref="A1657">IFNA(index(PlayerValues!A:A,match(IFNA(vlookup(B1657,'Special Names'!A:B,2,FALSE),B1657),PlayerValues!E:E,0)),"N/A")</f>
        <v>13163</v>
      </c>
      <c r="B1657" s="4" t="s">
        <v>473</v>
      </c>
      <c r="C1657" s="4" t="s">
        <v>287</v>
      </c>
      <c r="D1657" s="94">
        <v>2962.0</v>
      </c>
    </row>
    <row r="1658">
      <c r="A1658" s="40">
        <f t="array" ref="A1658">IFNA(index(PlayerValues!A:A,match(IFNA(vlookup(B1658,'Special Names'!A:B,2,FALSE),B1658),PlayerValues!E:E,0)),"N/A")</f>
        <v>16628</v>
      </c>
      <c r="B1658" s="4" t="s">
        <v>490</v>
      </c>
      <c r="C1658" s="4" t="s">
        <v>287</v>
      </c>
      <c r="D1658" s="94">
        <v>2957.0</v>
      </c>
    </row>
    <row r="1659">
      <c r="A1659" s="40" t="str">
        <f t="array" ref="A1659">IFNA(index(PlayerValues!A:A,match(IFNA(vlookup(B1659,'Special Names'!A:B,2,FALSE),B1659),PlayerValues!E:E,0)),"N/A")</f>
        <v>N/A</v>
      </c>
      <c r="B1659" s="4" t="s">
        <v>84</v>
      </c>
      <c r="C1659" s="4" t="s">
        <v>325</v>
      </c>
      <c r="D1659" s="94">
        <v>2953.0</v>
      </c>
    </row>
    <row r="1660">
      <c r="A1660" s="40">
        <f t="array" ref="A1660">IFNA(index(PlayerValues!A:A,match(IFNA(vlookup(B1660,'Special Names'!A:B,2,FALSE),B1660),PlayerValues!E:E,0)),"N/A")</f>
        <v>17476</v>
      </c>
      <c r="B1660" s="4" t="s">
        <v>494</v>
      </c>
      <c r="C1660" s="4" t="s">
        <v>278</v>
      </c>
      <c r="D1660" s="94">
        <v>2940.0</v>
      </c>
    </row>
    <row r="1661">
      <c r="A1661" s="40">
        <f t="array" ref="A1661">IFNA(index(PlayerValues!A:A,match(IFNA(vlookup(B1661,'Special Names'!A:B,2,FALSE),B1661),PlayerValues!E:E,0)),"N/A")</f>
        <v>17256</v>
      </c>
      <c r="B1661" s="4" t="s">
        <v>462</v>
      </c>
      <c r="C1661" s="4" t="s">
        <v>278</v>
      </c>
      <c r="D1661" s="94">
        <v>2938.0</v>
      </c>
    </row>
    <row r="1662">
      <c r="A1662" s="40">
        <f t="array" ref="A1662">IFNA(index(PlayerValues!A:A,match(IFNA(vlookup(B1662,'Special Names'!A:B,2,FALSE),B1662),PlayerValues!E:E,0)),"N/A")</f>
        <v>15259</v>
      </c>
      <c r="B1662" s="4" t="s">
        <v>453</v>
      </c>
      <c r="C1662" s="4" t="s">
        <v>278</v>
      </c>
      <c r="D1662" s="94">
        <v>2917.0</v>
      </c>
    </row>
    <row r="1663">
      <c r="A1663" s="40">
        <f t="array" ref="A1663">IFNA(index(PlayerValues!A:A,match(IFNA(vlookup(B1663,'Special Names'!A:B,2,FALSE),B1663),PlayerValues!E:E,0)),"N/A")</f>
        <v>16080</v>
      </c>
      <c r="B1663" s="4" t="s">
        <v>499</v>
      </c>
      <c r="C1663" s="4" t="s">
        <v>287</v>
      </c>
      <c r="D1663" s="94">
        <v>2887.0</v>
      </c>
    </row>
    <row r="1664">
      <c r="A1664" s="40">
        <f t="array" ref="A1664">IFNA(index(PlayerValues!A:A,match(IFNA(vlookup(B1664,'Special Names'!A:B,2,FALSE),B1664),PlayerValues!E:E,0)),"N/A")</f>
        <v>16584</v>
      </c>
      <c r="B1664" s="4" t="s">
        <v>569</v>
      </c>
      <c r="C1664" s="4" t="s">
        <v>283</v>
      </c>
      <c r="D1664" s="94">
        <v>2853.0</v>
      </c>
    </row>
    <row r="1665">
      <c r="A1665" s="40" t="str">
        <f t="array" ref="A1665">IFNA(index(PlayerValues!A:A,match(IFNA(vlookup(B1665,'Special Names'!A:B,2,FALSE),B1665),PlayerValues!E:E,0)),"N/A")</f>
        <v>N/A</v>
      </c>
      <c r="B1665" s="4" t="s">
        <v>85</v>
      </c>
      <c r="C1665" s="4" t="s">
        <v>325</v>
      </c>
      <c r="D1665" s="94">
        <v>2833.0</v>
      </c>
    </row>
    <row r="1666">
      <c r="A1666" s="40">
        <f t="array" ref="A1666">IFNA(index(PlayerValues!A:A,match(IFNA(vlookup(B1666,'Special Names'!A:B,2,FALSE),B1666),PlayerValues!E:E,0)),"N/A")</f>
        <v>15255</v>
      </c>
      <c r="B1666" s="4" t="s">
        <v>477</v>
      </c>
      <c r="C1666" s="4" t="s">
        <v>278</v>
      </c>
      <c r="D1666" s="94">
        <v>2829.0</v>
      </c>
    </row>
    <row r="1667">
      <c r="A1667" s="40" t="str">
        <f t="array" ref="A1667">IFNA(index(PlayerValues!A:A,match(IFNA(vlookup(B1667,'Special Names'!A:B,2,FALSE),B1667),PlayerValues!E:E,0)),"N/A")</f>
        <v>N/A</v>
      </c>
      <c r="B1667" s="4" t="s">
        <v>110</v>
      </c>
      <c r="C1667" s="4" t="s">
        <v>325</v>
      </c>
      <c r="D1667" s="94">
        <v>2819.0</v>
      </c>
    </row>
    <row r="1668">
      <c r="A1668" s="40">
        <f t="array" ref="A1668">IFNA(index(PlayerValues!A:A,match(IFNA(vlookup(B1668,'Special Names'!A:B,2,FALSE),B1668),PlayerValues!E:E,0)),"N/A")</f>
        <v>17157</v>
      </c>
      <c r="B1668" s="4" t="s">
        <v>524</v>
      </c>
      <c r="C1668" s="4" t="s">
        <v>287</v>
      </c>
      <c r="D1668" s="94">
        <v>2810.0</v>
      </c>
    </row>
    <row r="1669">
      <c r="A1669" s="40">
        <f t="array" ref="A1669">IFNA(index(PlayerValues!A:A,match(IFNA(vlookup(B1669,'Special Names'!A:B,2,FALSE),B1669),PlayerValues!E:E,0)),"N/A")</f>
        <v>17053</v>
      </c>
      <c r="B1669" s="4" t="s">
        <v>484</v>
      </c>
      <c r="C1669" s="4" t="s">
        <v>278</v>
      </c>
      <c r="D1669" s="94">
        <v>2806.0</v>
      </c>
    </row>
    <row r="1670">
      <c r="A1670" s="40">
        <f t="array" ref="A1670">IFNA(index(PlayerValues!A:A,match(IFNA(vlookup(B1670,'Special Names'!A:B,2,FALSE),B1670),PlayerValues!E:E,0)),"N/A")</f>
        <v>14085</v>
      </c>
      <c r="B1670" s="4" t="s">
        <v>489</v>
      </c>
      <c r="C1670" s="4" t="s">
        <v>278</v>
      </c>
      <c r="D1670" s="94">
        <v>2797.0</v>
      </c>
    </row>
    <row r="1671">
      <c r="A1671" s="40">
        <f t="array" ref="A1671">IFNA(index(PlayerValues!A:A,match(IFNA(vlookup(B1671,'Special Names'!A:B,2,FALSE),B1671),PlayerValues!E:E,0)),"N/A")</f>
        <v>14138</v>
      </c>
      <c r="B1671" s="4" t="s">
        <v>531</v>
      </c>
      <c r="C1671" s="4" t="s">
        <v>298</v>
      </c>
      <c r="D1671" s="94">
        <v>3210.0</v>
      </c>
    </row>
    <row r="1672">
      <c r="A1672" s="40">
        <f t="array" ref="A1672">IFNA(index(PlayerValues!A:A,match(IFNA(vlookup(B1672,'Special Names'!A:B,2,FALSE),B1672),PlayerValues!E:E,0)),"N/A")</f>
        <v>17505</v>
      </c>
      <c r="B1672" s="4" t="s">
        <v>528</v>
      </c>
      <c r="C1672" s="4" t="s">
        <v>287</v>
      </c>
      <c r="D1672" s="94">
        <v>2783.0</v>
      </c>
    </row>
    <row r="1673">
      <c r="A1673" s="40">
        <f t="array" ref="A1673">IFNA(index(PlayerValues!A:A,match(IFNA(vlookup(B1673,'Special Names'!A:B,2,FALSE),B1673),PlayerValues!E:E,0)),"N/A")</f>
        <v>17072</v>
      </c>
      <c r="B1673" s="4" t="s">
        <v>508</v>
      </c>
      <c r="C1673" s="4" t="s">
        <v>287</v>
      </c>
      <c r="D1673" s="94">
        <v>2767.0</v>
      </c>
    </row>
    <row r="1674">
      <c r="A1674" s="40">
        <f t="array" ref="A1674">IFNA(index(PlayerValues!A:A,match(IFNA(vlookup(B1674,'Special Names'!A:B,2,FALSE),B1674),PlayerValues!E:E,0)),"N/A")</f>
        <v>16723</v>
      </c>
      <c r="B1674" s="4" t="s">
        <v>502</v>
      </c>
      <c r="C1674" s="4" t="s">
        <v>298</v>
      </c>
      <c r="D1674" s="94">
        <v>3180.0</v>
      </c>
    </row>
    <row r="1675">
      <c r="A1675" s="40">
        <f t="array" ref="A1675">IFNA(index(PlayerValues!A:A,match(IFNA(vlookup(B1675,'Special Names'!A:B,2,FALSE),B1675),PlayerValues!E:E,0)),"N/A")</f>
        <v>13671</v>
      </c>
      <c r="B1675" s="4" t="s">
        <v>506</v>
      </c>
      <c r="C1675" s="4" t="s">
        <v>298</v>
      </c>
      <c r="D1675" s="94">
        <v>3176.0</v>
      </c>
    </row>
    <row r="1676">
      <c r="A1676" s="40">
        <f t="array" ref="A1676">IFNA(index(PlayerValues!A:A,match(IFNA(vlookup(B1676,'Special Names'!A:B,2,FALSE),B1676),PlayerValues!E:E,0)),"N/A")</f>
        <v>17031</v>
      </c>
      <c r="B1676" s="4" t="s">
        <v>535</v>
      </c>
      <c r="C1676" s="4" t="s">
        <v>283</v>
      </c>
      <c r="D1676" s="94">
        <v>2749.0</v>
      </c>
    </row>
    <row r="1677">
      <c r="A1677" s="40">
        <f t="array" ref="A1677">IFNA(index(PlayerValues!A:A,match(IFNA(vlookup(B1677,'Special Names'!A:B,2,FALSE),B1677),PlayerValues!E:E,0)),"N/A")</f>
        <v>17047</v>
      </c>
      <c r="B1677" s="4" t="s">
        <v>510</v>
      </c>
      <c r="C1677" s="4" t="s">
        <v>278</v>
      </c>
      <c r="D1677" s="94">
        <v>2748.0</v>
      </c>
    </row>
    <row r="1678">
      <c r="A1678" s="40">
        <f t="array" ref="A1678">IFNA(index(PlayerValues!A:A,match(IFNA(vlookup(B1678,'Special Names'!A:B,2,FALSE),B1678),PlayerValues!E:E,0)),"N/A")</f>
        <v>15889</v>
      </c>
      <c r="B1678" s="4" t="s">
        <v>503</v>
      </c>
      <c r="C1678" s="4" t="s">
        <v>298</v>
      </c>
      <c r="D1678" s="94">
        <v>3146.0</v>
      </c>
    </row>
    <row r="1679">
      <c r="A1679" s="40">
        <f t="array" ref="A1679">IFNA(index(PlayerValues!A:A,match(IFNA(vlookup(B1679,'Special Names'!A:B,2,FALSE),B1679),PlayerValues!E:E,0)),"N/A")</f>
        <v>14778</v>
      </c>
      <c r="B1679" s="4" t="s">
        <v>564</v>
      </c>
      <c r="C1679" s="4" t="s">
        <v>283</v>
      </c>
      <c r="D1679" s="94">
        <v>2733.0</v>
      </c>
    </row>
    <row r="1680">
      <c r="A1680" s="40">
        <f t="array" ref="A1680">IFNA(index(PlayerValues!A:A,match(IFNA(vlookup(B1680,'Special Names'!A:B,2,FALSE),B1680),PlayerValues!E:E,0)),"N/A")</f>
        <v>15721</v>
      </c>
      <c r="B1680" s="4" t="s">
        <v>504</v>
      </c>
      <c r="C1680" s="4" t="s">
        <v>278</v>
      </c>
      <c r="D1680" s="94">
        <v>2732.0</v>
      </c>
    </row>
    <row r="1681">
      <c r="A1681" s="40">
        <f t="array" ref="A1681">IFNA(index(PlayerValues!A:A,match(IFNA(vlookup(B1681,'Special Names'!A:B,2,FALSE),B1681),PlayerValues!E:E,0)),"N/A")</f>
        <v>15712</v>
      </c>
      <c r="B1681" s="4" t="s">
        <v>488</v>
      </c>
      <c r="C1681" s="4" t="s">
        <v>278</v>
      </c>
      <c r="D1681" s="94">
        <v>2729.0</v>
      </c>
    </row>
    <row r="1682">
      <c r="A1682" s="40">
        <f t="array" ref="A1682">IFNA(index(PlayerValues!A:A,match(IFNA(vlookup(B1682,'Special Names'!A:B,2,FALSE),B1682),PlayerValues!E:E,0)),"N/A")</f>
        <v>17098</v>
      </c>
      <c r="B1682" s="4" t="s">
        <v>533</v>
      </c>
      <c r="C1682" s="4" t="s">
        <v>287</v>
      </c>
      <c r="D1682" s="94">
        <v>2706.0</v>
      </c>
    </row>
    <row r="1683">
      <c r="A1683" s="40">
        <f t="array" ref="A1683">IFNA(index(PlayerValues!A:A,match(IFNA(vlookup(B1683,'Special Names'!A:B,2,FALSE),B1683),PlayerValues!E:E,0)),"N/A")</f>
        <v>17507</v>
      </c>
      <c r="B1683" s="4" t="s">
        <v>495</v>
      </c>
      <c r="C1683" s="4" t="s">
        <v>287</v>
      </c>
      <c r="D1683" s="94">
        <v>2695.0</v>
      </c>
    </row>
    <row r="1684">
      <c r="A1684" s="40">
        <f t="array" ref="A1684">IFNA(index(PlayerValues!A:A,match(IFNA(vlookup(B1684,'Special Names'!A:B,2,FALSE),B1684),PlayerValues!E:E,0)),"N/A")</f>
        <v>17511</v>
      </c>
      <c r="B1684" s="4" t="s">
        <v>485</v>
      </c>
      <c r="C1684" s="4" t="s">
        <v>287</v>
      </c>
      <c r="D1684" s="94">
        <v>2690.0</v>
      </c>
    </row>
    <row r="1685">
      <c r="A1685" s="40">
        <f t="array" ref="A1685">IFNA(index(PlayerValues!A:A,match(IFNA(vlookup(B1685,'Special Names'!A:B,2,FALSE),B1685),PlayerValues!E:E,0)),"N/A")</f>
        <v>14860</v>
      </c>
      <c r="B1685" s="4" t="s">
        <v>554</v>
      </c>
      <c r="C1685" s="4" t="s">
        <v>287</v>
      </c>
      <c r="D1685" s="94">
        <v>2689.0</v>
      </c>
    </row>
    <row r="1686">
      <c r="A1686" s="40">
        <f t="array" ref="A1686">IFNA(index(PlayerValues!A:A,match(IFNA(vlookup(B1686,'Special Names'!A:B,2,FALSE),B1686),PlayerValues!E:E,0)),"N/A")</f>
        <v>12616</v>
      </c>
      <c r="B1686" s="4" t="s">
        <v>529</v>
      </c>
      <c r="C1686" s="4" t="s">
        <v>283</v>
      </c>
      <c r="D1686" s="94">
        <v>2688.0</v>
      </c>
    </row>
    <row r="1687">
      <c r="A1687" s="40">
        <f t="array" ref="A1687">IFNA(index(PlayerValues!A:A,match(IFNA(vlookup(B1687,'Special Names'!A:B,2,FALSE),B1687),PlayerValues!E:E,0)),"N/A")</f>
        <v>16747</v>
      </c>
      <c r="B1687" s="4" t="s">
        <v>555</v>
      </c>
      <c r="C1687" s="4" t="s">
        <v>278</v>
      </c>
      <c r="D1687" s="94">
        <v>2678.0</v>
      </c>
    </row>
    <row r="1688">
      <c r="A1688" s="40">
        <f t="array" ref="A1688">IFNA(index(PlayerValues!A:A,match(IFNA(vlookup(B1688,'Special Names'!A:B,2,FALSE),B1688),PlayerValues!E:E,0)),"N/A")</f>
        <v>17080</v>
      </c>
      <c r="B1688" s="4" t="s">
        <v>532</v>
      </c>
      <c r="C1688" s="4" t="s">
        <v>287</v>
      </c>
      <c r="D1688" s="94">
        <v>2674.0</v>
      </c>
    </row>
    <row r="1689">
      <c r="A1689" s="40">
        <f t="array" ref="A1689">IFNA(index(PlayerValues!A:A,match(IFNA(vlookup(B1689,'Special Names'!A:B,2,FALSE),B1689),PlayerValues!E:E,0)),"N/A")</f>
        <v>17105</v>
      </c>
      <c r="B1689" s="4" t="s">
        <v>525</v>
      </c>
      <c r="C1689" s="4" t="s">
        <v>298</v>
      </c>
      <c r="D1689" s="94">
        <v>3083.0</v>
      </c>
    </row>
    <row r="1690">
      <c r="A1690" s="40">
        <f t="array" ref="A1690">IFNA(index(PlayerValues!A:A,match(IFNA(vlookup(B1690,'Special Names'!A:B,2,FALSE),B1690),PlayerValues!E:E,0)),"N/A")</f>
        <v>16193</v>
      </c>
      <c r="B1690" s="4" t="s">
        <v>487</v>
      </c>
      <c r="C1690" s="4" t="s">
        <v>287</v>
      </c>
      <c r="D1690" s="94">
        <v>2668.0</v>
      </c>
    </row>
    <row r="1691">
      <c r="A1691" s="40">
        <f t="array" ref="A1691">IFNA(index(PlayerValues!A:A,match(IFNA(vlookup(B1691,'Special Names'!A:B,2,FALSE),B1691),PlayerValues!E:E,0)),"N/A")</f>
        <v>16596</v>
      </c>
      <c r="B1691" s="4" t="s">
        <v>501</v>
      </c>
      <c r="C1691" s="4" t="s">
        <v>278</v>
      </c>
      <c r="D1691" s="94">
        <v>2661.0</v>
      </c>
    </row>
    <row r="1692">
      <c r="A1692" s="40">
        <f t="array" ref="A1692">IFNA(index(PlayerValues!A:A,match(IFNA(vlookup(B1692,'Special Names'!A:B,2,FALSE),B1692),PlayerValues!E:E,0)),"N/A")</f>
        <v>15241</v>
      </c>
      <c r="B1692" s="4" t="s">
        <v>546</v>
      </c>
      <c r="C1692" s="4" t="s">
        <v>283</v>
      </c>
      <c r="D1692" s="94">
        <v>2658.0</v>
      </c>
    </row>
    <row r="1693">
      <c r="A1693" s="40">
        <f t="array" ref="A1693">IFNA(index(PlayerValues!A:A,match(IFNA(vlookup(B1693,'Special Names'!A:B,2,FALSE),B1693),PlayerValues!E:E,0)),"N/A")</f>
        <v>16619</v>
      </c>
      <c r="B1693" s="4" t="s">
        <v>538</v>
      </c>
      <c r="C1693" s="4" t="s">
        <v>287</v>
      </c>
      <c r="D1693" s="94">
        <v>2658.0</v>
      </c>
    </row>
    <row r="1694">
      <c r="A1694" s="40">
        <f t="array" ref="A1694">IFNA(index(PlayerValues!A:A,match(IFNA(vlookup(B1694,'Special Names'!A:B,2,FALSE),B1694),PlayerValues!E:E,0)),"N/A")</f>
        <v>15972</v>
      </c>
      <c r="B1694" s="4" t="s">
        <v>469</v>
      </c>
      <c r="C1694" s="4" t="s">
        <v>278</v>
      </c>
      <c r="D1694" s="94">
        <v>2656.0</v>
      </c>
    </row>
    <row r="1695">
      <c r="A1695" s="40">
        <f t="array" ref="A1695">IFNA(index(PlayerValues!A:A,match(IFNA(vlookup(B1695,'Special Names'!A:B,2,FALSE),B1695),PlayerValues!E:E,0)),"N/A")</f>
        <v>14833</v>
      </c>
      <c r="B1695" s="4" t="s">
        <v>553</v>
      </c>
      <c r="C1695" s="4" t="s">
        <v>287</v>
      </c>
      <c r="D1695" s="94">
        <v>2627.0</v>
      </c>
    </row>
    <row r="1696">
      <c r="A1696" s="40">
        <f t="array" ref="A1696">IFNA(index(PlayerValues!A:A,match(IFNA(vlookup(B1696,'Special Names'!A:B,2,FALSE),B1696),PlayerValues!E:E,0)),"N/A")</f>
        <v>17107</v>
      </c>
      <c r="B1696" s="4" t="s">
        <v>478</v>
      </c>
      <c r="C1696" s="4" t="s">
        <v>298</v>
      </c>
      <c r="D1696" s="94">
        <v>3034.0</v>
      </c>
    </row>
    <row r="1697">
      <c r="A1697" s="40" t="str">
        <f t="array" ref="A1697">IFNA(index(PlayerValues!A:A,match(IFNA(vlookup(B1697,'Special Names'!A:B,2,FALSE),B1697),PlayerValues!E:E,0)),"N/A")</f>
        <v>N/A</v>
      </c>
      <c r="B1697" s="4" t="s">
        <v>98</v>
      </c>
      <c r="C1697" s="4" t="s">
        <v>325</v>
      </c>
      <c r="D1697" s="94">
        <v>2623.0</v>
      </c>
    </row>
    <row r="1698">
      <c r="A1698" s="40">
        <f t="array" ref="A1698">IFNA(index(PlayerValues!A:A,match(IFNA(vlookup(B1698,'Special Names'!A:B,2,FALSE),B1698),PlayerValues!E:E,0)),"N/A")</f>
        <v>17073</v>
      </c>
      <c r="B1698" s="4" t="s">
        <v>547</v>
      </c>
      <c r="C1698" s="4" t="s">
        <v>287</v>
      </c>
      <c r="D1698" s="94">
        <v>2611.0</v>
      </c>
    </row>
    <row r="1699">
      <c r="A1699" s="40">
        <f t="array" ref="A1699">IFNA(index(PlayerValues!A:A,match(IFNA(vlookup(B1699,'Special Names'!A:B,2,FALSE),B1699),PlayerValues!E:E,0)),"N/A")</f>
        <v>17509</v>
      </c>
      <c r="B1699" s="4" t="s">
        <v>551</v>
      </c>
      <c r="C1699" s="4" t="s">
        <v>287</v>
      </c>
      <c r="D1699" s="94">
        <v>2609.0</v>
      </c>
    </row>
    <row r="1700">
      <c r="A1700" s="40">
        <f t="array" ref="A1700">IFNA(index(PlayerValues!A:A,match(IFNA(vlookup(B1700,'Special Names'!A:B,2,FALSE),B1700),PlayerValues!E:E,0)),"N/A")</f>
        <v>16165</v>
      </c>
      <c r="B1700" s="4" t="s">
        <v>520</v>
      </c>
      <c r="C1700" s="4" t="s">
        <v>278</v>
      </c>
      <c r="D1700" s="94">
        <v>2600.0</v>
      </c>
    </row>
    <row r="1701">
      <c r="A1701" s="40">
        <f t="array" ref="A1701">IFNA(index(PlayerValues!A:A,match(IFNA(vlookup(B1701,'Special Names'!A:B,2,FALSE),B1701),PlayerValues!E:E,0)),"N/A")</f>
        <v>16174</v>
      </c>
      <c r="B1701" s="4" t="s">
        <v>505</v>
      </c>
      <c r="C1701" s="4" t="s">
        <v>278</v>
      </c>
      <c r="D1701" s="94">
        <v>2595.0</v>
      </c>
    </row>
    <row r="1702">
      <c r="A1702" s="40">
        <f t="array" ref="A1702">IFNA(index(PlayerValues!A:A,match(IFNA(vlookup(B1702,'Special Names'!A:B,2,FALSE),B1702),PlayerValues!E:E,0)),"N/A")</f>
        <v>17474</v>
      </c>
      <c r="B1702" s="4" t="s">
        <v>513</v>
      </c>
      <c r="C1702" s="4" t="s">
        <v>278</v>
      </c>
      <c r="D1702" s="94">
        <v>2594.0</v>
      </c>
    </row>
    <row r="1703">
      <c r="A1703" s="40">
        <f t="array" ref="A1703">IFNA(index(PlayerValues!A:A,match(IFNA(vlookup(B1703,'Special Names'!A:B,2,FALSE),B1703),PlayerValues!E:E,0)),"N/A")</f>
        <v>13674</v>
      </c>
      <c r="B1703" s="4" t="s">
        <v>511</v>
      </c>
      <c r="C1703" s="4" t="s">
        <v>298</v>
      </c>
      <c r="D1703" s="94">
        <v>2978.0</v>
      </c>
    </row>
    <row r="1704">
      <c r="A1704" s="40">
        <f t="array" ref="A1704">IFNA(index(PlayerValues!A:A,match(IFNA(vlookup(B1704,'Special Names'!A:B,2,FALSE),B1704),PlayerValues!E:E,0)),"N/A")</f>
        <v>16204</v>
      </c>
      <c r="B1704" s="4" t="s">
        <v>530</v>
      </c>
      <c r="C1704" s="4" t="s">
        <v>287</v>
      </c>
      <c r="D1704" s="94">
        <v>2541.0</v>
      </c>
    </row>
    <row r="1705">
      <c r="A1705" s="40">
        <f t="array" ref="A1705">IFNA(index(PlayerValues!A:A,match(IFNA(vlookup(B1705,'Special Names'!A:B,2,FALSE),B1705),PlayerValues!E:E,0)),"N/A")</f>
        <v>17478</v>
      </c>
      <c r="B1705" s="4" t="s">
        <v>527</v>
      </c>
      <c r="C1705" s="4" t="s">
        <v>278</v>
      </c>
      <c r="D1705" s="94">
        <v>2528.0</v>
      </c>
    </row>
    <row r="1706">
      <c r="A1706" s="40">
        <f t="array" ref="A1706">IFNA(index(PlayerValues!A:A,match(IFNA(vlookup(B1706,'Special Names'!A:B,2,FALSE),B1706),PlayerValues!E:E,0)),"N/A")</f>
        <v>17108</v>
      </c>
      <c r="B1706" s="4" t="s">
        <v>542</v>
      </c>
      <c r="C1706" s="4" t="s">
        <v>298</v>
      </c>
      <c r="D1706" s="94">
        <v>2925.0</v>
      </c>
    </row>
    <row r="1707">
      <c r="A1707" s="40">
        <f t="array" ref="A1707">IFNA(index(PlayerValues!A:A,match(IFNA(vlookup(B1707,'Special Names'!A:B,2,FALSE),B1707),PlayerValues!E:E,0)),"N/A")</f>
        <v>17078</v>
      </c>
      <c r="B1707" s="4" t="s">
        <v>543</v>
      </c>
      <c r="C1707" s="4" t="s">
        <v>287</v>
      </c>
      <c r="D1707" s="94">
        <v>2518.0</v>
      </c>
    </row>
    <row r="1708">
      <c r="A1708" s="40">
        <f t="array" ref="A1708">IFNA(index(PlayerValues!A:A,match(IFNA(vlookup(B1708,'Special Names'!A:B,2,FALSE),B1708),PlayerValues!E:E,0)),"N/A")</f>
        <v>17082</v>
      </c>
      <c r="B1708" s="4" t="s">
        <v>498</v>
      </c>
      <c r="C1708" s="4" t="s">
        <v>287</v>
      </c>
      <c r="D1708" s="94">
        <v>2516.0</v>
      </c>
    </row>
    <row r="1709">
      <c r="A1709" s="40">
        <f t="array" ref="A1709">IFNA(index(PlayerValues!A:A,match(IFNA(vlookup(B1709,'Special Names'!A:B,2,FALSE),B1709),PlayerValues!E:E,0)),"N/A")</f>
        <v>17508</v>
      </c>
      <c r="B1709" s="4" t="s">
        <v>534</v>
      </c>
      <c r="C1709" s="4" t="s">
        <v>287</v>
      </c>
      <c r="D1709" s="94">
        <v>2506.0</v>
      </c>
    </row>
    <row r="1710">
      <c r="A1710" s="40">
        <f t="array" ref="A1710">IFNA(index(PlayerValues!A:A,match(IFNA(vlookup(B1710,'Special Names'!A:B,2,FALSE),B1710),PlayerValues!E:E,0)),"N/A")</f>
        <v>16617</v>
      </c>
      <c r="B1710" s="4" t="s">
        <v>541</v>
      </c>
      <c r="C1710" s="4" t="s">
        <v>287</v>
      </c>
      <c r="D1710" s="94">
        <v>2490.0</v>
      </c>
    </row>
    <row r="1711">
      <c r="A1711" s="40">
        <f t="array" ref="A1711">IFNA(index(PlayerValues!A:A,match(IFNA(vlookup(B1711,'Special Names'!A:B,2,FALSE),B1711),PlayerValues!E:E,0)),"N/A")</f>
        <v>16684</v>
      </c>
      <c r="B1711" s="4" t="s">
        <v>500</v>
      </c>
      <c r="C1711" s="4" t="s">
        <v>287</v>
      </c>
      <c r="D1711" s="94">
        <v>2490.0</v>
      </c>
    </row>
    <row r="1712">
      <c r="A1712" s="40">
        <f t="array" ref="A1712">IFNA(index(PlayerValues!A:A,match(IFNA(vlookup(B1712,'Special Names'!A:B,2,FALSE),B1712),PlayerValues!E:E,0)),"N/A")</f>
        <v>13192</v>
      </c>
      <c r="B1712" s="4" t="s">
        <v>563</v>
      </c>
      <c r="C1712" s="4" t="s">
        <v>298</v>
      </c>
      <c r="D1712" s="94">
        <v>2864.0</v>
      </c>
    </row>
    <row r="1713">
      <c r="A1713" s="40">
        <f t="array" ref="A1713">IFNA(index(PlayerValues!A:A,match(IFNA(vlookup(B1713,'Special Names'!A:B,2,FALSE),B1713),PlayerValues!E:E,0)),"N/A")</f>
        <v>17171</v>
      </c>
      <c r="B1713" s="4" t="s">
        <v>561</v>
      </c>
      <c r="C1713" s="4" t="s">
        <v>287</v>
      </c>
      <c r="D1713" s="94">
        <v>2451.0</v>
      </c>
    </row>
    <row r="1714">
      <c r="A1714" s="40" t="str">
        <f t="array" ref="A1714">IFNA(index(PlayerValues!A:A,match(IFNA(vlookup(B1714,'Special Names'!A:B,2,FALSE),B1714),PlayerValues!E:E,0)),"N/A")</f>
        <v>N/A</v>
      </c>
      <c r="B1714" s="4" t="s">
        <v>99</v>
      </c>
      <c r="C1714" s="4" t="s">
        <v>325</v>
      </c>
      <c r="D1714" s="94">
        <v>2447.0</v>
      </c>
    </row>
    <row r="1715">
      <c r="A1715" s="40">
        <f t="array" ref="A1715">IFNA(index(PlayerValues!A:A,match(IFNA(vlookup(B1715,'Special Names'!A:B,2,FALSE),B1715),PlayerValues!E:E,0)),"N/A")</f>
        <v>16626</v>
      </c>
      <c r="B1715" s="4" t="s">
        <v>515</v>
      </c>
      <c r="C1715" s="4" t="s">
        <v>287</v>
      </c>
      <c r="D1715" s="94">
        <v>2445.0</v>
      </c>
    </row>
    <row r="1716">
      <c r="A1716" s="40">
        <f t="array" ref="A1716">IFNA(index(PlayerValues!A:A,match(IFNA(vlookup(B1716,'Special Names'!A:B,2,FALSE),B1716),PlayerValues!E:E,0)),"N/A")</f>
        <v>11244</v>
      </c>
      <c r="B1716" s="4" t="s">
        <v>519</v>
      </c>
      <c r="C1716" s="4" t="s">
        <v>298</v>
      </c>
      <c r="D1716" s="94">
        <v>2846.0</v>
      </c>
    </row>
    <row r="1717">
      <c r="A1717" s="40">
        <f t="array" ref="A1717">IFNA(index(PlayerValues!A:A,match(IFNA(vlookup(B1717,'Special Names'!A:B,2,FALSE),B1717),PlayerValues!E:E,0)),"N/A")</f>
        <v>17134</v>
      </c>
      <c r="B1717" s="4" t="s">
        <v>548</v>
      </c>
      <c r="C1717" s="4" t="s">
        <v>287</v>
      </c>
      <c r="D1717" s="94">
        <v>2443.0</v>
      </c>
    </row>
    <row r="1718">
      <c r="A1718" s="40">
        <f t="array" ref="A1718">IFNA(index(PlayerValues!A:A,match(IFNA(vlookup(B1718,'Special Names'!A:B,2,FALSE),B1718),PlayerValues!E:E,0)),"N/A")</f>
        <v>16287</v>
      </c>
      <c r="B1718" s="4" t="s">
        <v>516</v>
      </c>
      <c r="C1718" s="4" t="s">
        <v>287</v>
      </c>
      <c r="D1718" s="94">
        <v>2439.0</v>
      </c>
    </row>
    <row r="1719">
      <c r="A1719" s="40">
        <f t="array" ref="A1719">IFNA(index(PlayerValues!A:A,match(IFNA(vlookup(B1719,'Special Names'!A:B,2,FALSE),B1719),PlayerValues!E:E,0)),"N/A")</f>
        <v>16164</v>
      </c>
      <c r="B1719" s="4" t="s">
        <v>512</v>
      </c>
      <c r="C1719" s="4" t="s">
        <v>278</v>
      </c>
      <c r="D1719" s="94">
        <v>2434.0</v>
      </c>
    </row>
    <row r="1720">
      <c r="A1720" s="40">
        <f t="array" ref="A1720">IFNA(index(PlayerValues!A:A,match(IFNA(vlookup(B1720,'Special Names'!A:B,2,FALSE),B1720),PlayerValues!E:E,0)),"N/A")</f>
        <v>17482</v>
      </c>
      <c r="B1720" s="4" t="s">
        <v>460</v>
      </c>
      <c r="C1720" s="4" t="s">
        <v>278</v>
      </c>
      <c r="D1720" s="94">
        <v>2408.0</v>
      </c>
    </row>
    <row r="1721">
      <c r="A1721" s="40">
        <f t="array" ref="A1721">IFNA(index(PlayerValues!A:A,match(IFNA(vlookup(B1721,'Special Names'!A:B,2,FALSE),B1721),PlayerValues!E:E,0)),"N/A")</f>
        <v>16178</v>
      </c>
      <c r="B1721" s="4" t="s">
        <v>507</v>
      </c>
      <c r="C1721" s="4" t="s">
        <v>278</v>
      </c>
      <c r="D1721" s="94">
        <v>2406.0</v>
      </c>
    </row>
    <row r="1722">
      <c r="A1722" s="40">
        <f t="array" ref="A1722">IFNA(index(PlayerValues!A:A,match(IFNA(vlookup(B1722,'Special Names'!A:B,2,FALSE),B1722),PlayerValues!E:E,0)),"N/A")</f>
        <v>17514</v>
      </c>
      <c r="B1722" s="4" t="s">
        <v>422</v>
      </c>
      <c r="C1722" s="4" t="s">
        <v>287</v>
      </c>
      <c r="D1722" s="94">
        <v>2405.0</v>
      </c>
    </row>
    <row r="1723">
      <c r="A1723" s="40">
        <f t="array" ref="A1723">IFNA(index(PlayerValues!A:A,match(IFNA(vlookup(B1723,'Special Names'!A:B,2,FALSE),B1723),PlayerValues!E:E,0)),"N/A")</f>
        <v>17048</v>
      </c>
      <c r="B1723" s="4" t="s">
        <v>539</v>
      </c>
      <c r="C1723" s="4" t="s">
        <v>278</v>
      </c>
      <c r="D1723" s="94">
        <v>2393.0</v>
      </c>
    </row>
    <row r="1724">
      <c r="A1724" s="40">
        <f t="array" ref="A1724">IFNA(index(PlayerValues!A:A,match(IFNA(vlookup(B1724,'Special Names'!A:B,2,FALSE),B1724),PlayerValues!E:E,0)),"N/A")</f>
        <v>15716</v>
      </c>
      <c r="B1724" s="4" t="s">
        <v>545</v>
      </c>
      <c r="C1724" s="4" t="s">
        <v>278</v>
      </c>
      <c r="D1724" s="94">
        <v>2385.0</v>
      </c>
    </row>
    <row r="1725">
      <c r="A1725" s="40">
        <f t="array" ref="A1725">IFNA(index(PlayerValues!A:A,match(IFNA(vlookup(B1725,'Special Names'!A:B,2,FALSE),B1725),PlayerValues!E:E,0)),"N/A")</f>
        <v>17517</v>
      </c>
      <c r="B1725" s="4" t="s">
        <v>454</v>
      </c>
      <c r="C1725" s="4" t="s">
        <v>287</v>
      </c>
      <c r="D1725" s="94">
        <v>2385.0</v>
      </c>
    </row>
    <row r="1726">
      <c r="A1726" s="40">
        <f t="array" ref="A1726">IFNA(index(PlayerValues!A:A,match(IFNA(vlookup(B1726,'Special Names'!A:B,2,FALSE),B1726),PlayerValues!E:E,0)),"N/A")</f>
        <v>16195</v>
      </c>
      <c r="B1726" s="4" t="s">
        <v>509</v>
      </c>
      <c r="C1726" s="4" t="s">
        <v>287</v>
      </c>
      <c r="D1726" s="94">
        <v>2381.0</v>
      </c>
    </row>
    <row r="1727">
      <c r="A1727" s="40">
        <f t="array" ref="A1727">IFNA(index(PlayerValues!A:A,match(IFNA(vlookup(B1727,'Special Names'!A:B,2,FALSE),B1727),PlayerValues!E:E,0)),"N/A")</f>
        <v>15786</v>
      </c>
      <c r="B1727" s="4" t="s">
        <v>521</v>
      </c>
      <c r="C1727" s="4" t="s">
        <v>287</v>
      </c>
      <c r="D1727" s="94">
        <v>2372.0</v>
      </c>
    </row>
    <row r="1728">
      <c r="A1728" s="40">
        <f t="array" ref="A1728">IFNA(index(PlayerValues!A:A,match(IFNA(vlookup(B1728,'Special Names'!A:B,2,FALSE),B1728),PlayerValues!E:E,0)),"N/A")</f>
        <v>17106</v>
      </c>
      <c r="B1728" s="4" t="s">
        <v>550</v>
      </c>
      <c r="C1728" s="4" t="s">
        <v>298</v>
      </c>
      <c r="D1728" s="94">
        <v>2754.0</v>
      </c>
    </row>
    <row r="1729">
      <c r="A1729" s="40">
        <f t="array" ref="A1729">IFNA(index(PlayerValues!A:A,match(IFNA(vlookup(B1729,'Special Names'!A:B,2,FALSE),B1729),PlayerValues!E:E,0)),"N/A")</f>
        <v>15749</v>
      </c>
      <c r="B1729" s="4" t="s">
        <v>574</v>
      </c>
      <c r="C1729" s="4" t="s">
        <v>278</v>
      </c>
      <c r="D1729" s="94">
        <v>2353.0</v>
      </c>
    </row>
    <row r="1730">
      <c r="A1730" s="40">
        <f t="array" ref="A1730">IFNA(index(PlayerValues!A:A,match(IFNA(vlookup(B1730,'Special Names'!A:B,2,FALSE),B1730),PlayerValues!E:E,0)),"N/A")</f>
        <v>15802</v>
      </c>
      <c r="B1730" s="4" t="s">
        <v>566</v>
      </c>
      <c r="C1730" s="4" t="s">
        <v>298</v>
      </c>
      <c r="D1730" s="94">
        <v>2739.0</v>
      </c>
    </row>
    <row r="1731">
      <c r="A1731" s="40">
        <f t="array" ref="A1731">IFNA(index(PlayerValues!A:A,match(IFNA(vlookup(B1731,'Special Names'!A:B,2,FALSE),B1731),PlayerValues!E:E,0)),"N/A")</f>
        <v>14861</v>
      </c>
      <c r="B1731" s="4" t="s">
        <v>523</v>
      </c>
      <c r="C1731" s="4" t="s">
        <v>298</v>
      </c>
      <c r="D1731" s="94">
        <v>2734.0</v>
      </c>
    </row>
    <row r="1732">
      <c r="A1732" s="40" t="str">
        <f t="array" ref="A1732">IFNA(index(PlayerValues!A:A,match(IFNA(vlookup(B1732,'Special Names'!A:B,2,FALSE),B1732),PlayerValues!E:E,0)),"N/A")</f>
        <v>N/A</v>
      </c>
      <c r="B1732" s="4" t="s">
        <v>557</v>
      </c>
      <c r="C1732" s="4" t="s">
        <v>278</v>
      </c>
      <c r="D1732" s="94">
        <v>2334.0</v>
      </c>
    </row>
    <row r="1733">
      <c r="A1733" s="40">
        <f t="array" ref="A1733">IFNA(index(PlayerValues!A:A,match(IFNA(vlookup(B1733,'Special Names'!A:B,2,FALSE),B1733),PlayerValues!E:E,0)),"N/A")</f>
        <v>14840</v>
      </c>
      <c r="B1733" s="4" t="s">
        <v>731</v>
      </c>
      <c r="C1733" s="4" t="s">
        <v>287</v>
      </c>
      <c r="D1733" s="94">
        <v>2308.0</v>
      </c>
    </row>
    <row r="1734">
      <c r="A1734" s="40">
        <f t="array" ref="A1734">IFNA(index(PlayerValues!A:A,match(IFNA(vlookup(B1734,'Special Names'!A:B,2,FALSE),B1734),PlayerValues!E:E,0)),"N/A")</f>
        <v>16036</v>
      </c>
      <c r="B1734" s="4" t="s">
        <v>592</v>
      </c>
      <c r="C1734" s="4" t="s">
        <v>298</v>
      </c>
      <c r="D1734" s="94">
        <v>2688.0</v>
      </c>
    </row>
    <row r="1735">
      <c r="A1735" s="40">
        <f t="array" ref="A1735">IFNA(index(PlayerValues!A:A,match(IFNA(vlookup(B1735,'Special Names'!A:B,2,FALSE),B1735),PlayerValues!E:E,0)),"N/A")</f>
        <v>16152</v>
      </c>
      <c r="B1735" s="4" t="s">
        <v>601</v>
      </c>
      <c r="C1735" s="4" t="s">
        <v>283</v>
      </c>
      <c r="D1735" s="94">
        <v>2283.0</v>
      </c>
    </row>
    <row r="1736">
      <c r="A1736" s="40">
        <f t="array" ref="A1736">IFNA(index(PlayerValues!A:A,match(IFNA(vlookup(B1736,'Special Names'!A:B,2,FALSE),B1736),PlayerValues!E:E,0)),"N/A")</f>
        <v>16594</v>
      </c>
      <c r="B1736" s="4" t="s">
        <v>607</v>
      </c>
      <c r="C1736" s="4" t="s">
        <v>278</v>
      </c>
      <c r="D1736" s="94">
        <v>2273.0</v>
      </c>
    </row>
    <row r="1737">
      <c r="A1737" s="40">
        <f t="array" ref="A1737">IFNA(index(PlayerValues!A:A,match(IFNA(vlookup(B1737,'Special Names'!A:B,2,FALSE),B1737),PlayerValues!E:E,0)),"N/A")</f>
        <v>17547</v>
      </c>
      <c r="B1737" s="4" t="s">
        <v>552</v>
      </c>
      <c r="C1737" s="4" t="s">
        <v>298</v>
      </c>
      <c r="D1737" s="94">
        <v>2661.0</v>
      </c>
    </row>
    <row r="1738">
      <c r="A1738" s="40">
        <f t="array" ref="A1738">IFNA(index(PlayerValues!A:A,match(IFNA(vlookup(B1738,'Special Names'!A:B,2,FALSE),B1738),PlayerValues!E:E,0)),"N/A")</f>
        <v>17520</v>
      </c>
      <c r="B1738" s="4" t="s">
        <v>518</v>
      </c>
      <c r="C1738" s="4" t="s">
        <v>287</v>
      </c>
      <c r="D1738" s="94">
        <v>2253.0</v>
      </c>
    </row>
    <row r="1739">
      <c r="A1739" s="40" t="str">
        <f t="array" ref="A1739">IFNA(index(PlayerValues!A:A,match(IFNA(vlookup(B1739,'Special Names'!A:B,2,FALSE),B1739),PlayerValues!E:E,0)),"N/A")</f>
        <v>N/A</v>
      </c>
      <c r="B1739" s="4" t="s">
        <v>86</v>
      </c>
      <c r="C1739" s="4" t="s">
        <v>325</v>
      </c>
      <c r="D1739" s="94">
        <v>2252.0</v>
      </c>
    </row>
    <row r="1740">
      <c r="A1740" s="40">
        <f t="array" ref="A1740">IFNA(index(PlayerValues!A:A,match(IFNA(vlookup(B1740,'Special Names'!A:B,2,FALSE),B1740),PlayerValues!E:E,0)),"N/A")</f>
        <v>17033</v>
      </c>
      <c r="B1740" s="4" t="s">
        <v>570</v>
      </c>
      <c r="C1740" s="4" t="s">
        <v>283</v>
      </c>
      <c r="D1740" s="94">
        <v>2249.0</v>
      </c>
    </row>
    <row r="1741">
      <c r="A1741" s="40">
        <f t="array" ref="A1741">IFNA(index(PlayerValues!A:A,match(IFNA(vlookup(B1741,'Special Names'!A:B,2,FALSE),B1741),PlayerValues!E:E,0)),"N/A")</f>
        <v>12676</v>
      </c>
      <c r="B1741" s="4" t="s">
        <v>537</v>
      </c>
      <c r="C1741" s="4" t="s">
        <v>298</v>
      </c>
      <c r="D1741" s="94">
        <v>2634.0</v>
      </c>
    </row>
    <row r="1742">
      <c r="A1742" s="40">
        <f t="array" ref="A1742">IFNA(index(PlayerValues!A:A,match(IFNA(vlookup(B1742,'Special Names'!A:B,2,FALSE),B1742),PlayerValues!E:E,0)),"N/A")</f>
        <v>13772</v>
      </c>
      <c r="B1742" s="4" t="s">
        <v>544</v>
      </c>
      <c r="C1742" s="4" t="s">
        <v>298</v>
      </c>
      <c r="D1742" s="94">
        <v>2634.0</v>
      </c>
    </row>
    <row r="1743">
      <c r="A1743" s="40">
        <f t="array" ref="A1743">IFNA(index(PlayerValues!A:A,match(IFNA(vlookup(B1743,'Special Names'!A:B,2,FALSE),B1743),PlayerValues!E:E,0)),"N/A")</f>
        <v>11150</v>
      </c>
      <c r="B1743" s="4" t="s">
        <v>559</v>
      </c>
      <c r="C1743" s="4" t="s">
        <v>283</v>
      </c>
      <c r="D1743" s="94">
        <v>2239.0</v>
      </c>
    </row>
    <row r="1744">
      <c r="A1744" s="40">
        <f t="array" ref="A1744">IFNA(index(PlayerValues!A:A,match(IFNA(vlookup(B1744,'Special Names'!A:B,2,FALSE),B1744),PlayerValues!E:E,0)),"N/A")</f>
        <v>15331</v>
      </c>
      <c r="B1744" s="4" t="s">
        <v>560</v>
      </c>
      <c r="C1744" s="4" t="s">
        <v>298</v>
      </c>
      <c r="D1744" s="94">
        <v>2634.0</v>
      </c>
    </row>
    <row r="1745">
      <c r="A1745" s="40">
        <f t="array" ref="A1745">IFNA(index(PlayerValues!A:A,match(IFNA(vlookup(B1745,'Special Names'!A:B,2,FALSE),B1745),PlayerValues!E:E,0)),"N/A")</f>
        <v>16610</v>
      </c>
      <c r="B1745" s="4" t="s">
        <v>562</v>
      </c>
      <c r="C1745" s="4" t="s">
        <v>278</v>
      </c>
      <c r="D1745" s="94">
        <v>2238.0</v>
      </c>
    </row>
    <row r="1746">
      <c r="A1746" s="40" t="str">
        <f t="array" ref="A1746">IFNA(index(PlayerValues!A:A,match(IFNA(vlookup(B1746,'Special Names'!A:B,2,FALSE),B1746),PlayerValues!E:E,0)),"N/A")</f>
        <v>N/A</v>
      </c>
      <c r="B1746" s="4" t="s">
        <v>100</v>
      </c>
      <c r="C1746" s="4" t="s">
        <v>325</v>
      </c>
      <c r="D1746" s="94">
        <v>2234.0</v>
      </c>
    </row>
    <row r="1747">
      <c r="A1747" s="40">
        <f t="array" ref="A1747">IFNA(index(PlayerValues!A:A,match(IFNA(vlookup(B1747,'Special Names'!A:B,2,FALSE),B1747),PlayerValues!E:E,0)),"N/A")</f>
        <v>16649</v>
      </c>
      <c r="B1747" s="4" t="s">
        <v>586</v>
      </c>
      <c r="C1747" s="4" t="s">
        <v>298</v>
      </c>
      <c r="D1747" s="94">
        <v>2624.0</v>
      </c>
    </row>
    <row r="1748">
      <c r="A1748" s="40">
        <f t="array" ref="A1748">IFNA(index(PlayerValues!A:A,match(IFNA(vlookup(B1748,'Special Names'!A:B,2,FALSE),B1748),PlayerValues!E:E,0)),"N/A")</f>
        <v>13319</v>
      </c>
      <c r="B1748" s="4" t="s">
        <v>549</v>
      </c>
      <c r="C1748" s="4" t="s">
        <v>278</v>
      </c>
      <c r="D1748" s="94">
        <v>2217.0</v>
      </c>
    </row>
    <row r="1749">
      <c r="A1749" s="40">
        <f t="array" ref="A1749">IFNA(index(PlayerValues!A:A,match(IFNA(vlookup(B1749,'Special Names'!A:B,2,FALSE),B1749),PlayerValues!E:E,0)),"N/A")</f>
        <v>16757</v>
      </c>
      <c r="B1749" s="4" t="s">
        <v>558</v>
      </c>
      <c r="C1749" s="4" t="s">
        <v>278</v>
      </c>
      <c r="D1749" s="94">
        <v>2179.0</v>
      </c>
    </row>
    <row r="1750">
      <c r="A1750" s="40" t="str">
        <f t="array" ref="A1750">IFNA(index(PlayerValues!A:A,match(IFNA(vlookup(B1750,'Special Names'!A:B,2,FALSE),B1750),PlayerValues!E:E,0)),"N/A")</f>
        <v>N/A</v>
      </c>
      <c r="B1750" s="4" t="s">
        <v>112</v>
      </c>
      <c r="C1750" s="4" t="s">
        <v>325</v>
      </c>
      <c r="D1750" s="94">
        <v>2176.0</v>
      </c>
    </row>
    <row r="1751">
      <c r="A1751" s="40">
        <f t="array" ref="A1751">IFNA(index(PlayerValues!A:A,match(IFNA(vlookup(B1751,'Special Names'!A:B,2,FALSE),B1751),PlayerValues!E:E,0)),"N/A")</f>
        <v>12186</v>
      </c>
      <c r="B1751" s="4" t="s">
        <v>497</v>
      </c>
      <c r="C1751" s="4" t="s">
        <v>287</v>
      </c>
      <c r="D1751" s="94">
        <v>2172.0</v>
      </c>
    </row>
    <row r="1752">
      <c r="A1752" s="40">
        <f t="array" ref="A1752">IFNA(index(PlayerValues!A:A,match(IFNA(vlookup(B1752,'Special Names'!A:B,2,FALSE),B1752),PlayerValues!E:E,0)),"N/A")</f>
        <v>16166</v>
      </c>
      <c r="B1752" s="4" t="s">
        <v>567</v>
      </c>
      <c r="C1752" s="4" t="s">
        <v>278</v>
      </c>
      <c r="D1752" s="94">
        <v>2163.0</v>
      </c>
    </row>
    <row r="1753">
      <c r="A1753" s="40">
        <f t="array" ref="A1753">IFNA(index(PlayerValues!A:A,match(IFNA(vlookup(B1753,'Special Names'!A:B,2,FALSE),B1753),PlayerValues!E:E,0)),"N/A")</f>
        <v>14136</v>
      </c>
      <c r="B1753" s="4" t="s">
        <v>536</v>
      </c>
      <c r="C1753" s="4" t="s">
        <v>287</v>
      </c>
      <c r="D1753" s="94">
        <v>2154.0</v>
      </c>
    </row>
    <row r="1754">
      <c r="A1754" s="40" t="str">
        <f t="array" ref="A1754">IFNA(index(PlayerValues!A:A,match(IFNA(vlookup(B1754,'Special Names'!A:B,2,FALSE),B1754),PlayerValues!E:E,0)),"N/A")</f>
        <v>N/A</v>
      </c>
      <c r="B1754" s="4" t="s">
        <v>87</v>
      </c>
      <c r="C1754" s="4" t="s">
        <v>325</v>
      </c>
      <c r="D1754" s="94">
        <v>2146.0</v>
      </c>
    </row>
    <row r="1755">
      <c r="A1755" s="40">
        <f t="array" ref="A1755">IFNA(index(PlayerValues!A:A,match(IFNA(vlookup(B1755,'Special Names'!A:B,2,FALSE),B1755),PlayerValues!E:E,0)),"N/A")</f>
        <v>17079</v>
      </c>
      <c r="B1755" s="4" t="s">
        <v>572</v>
      </c>
      <c r="C1755" s="4" t="s">
        <v>287</v>
      </c>
      <c r="D1755" s="94">
        <v>2140.0</v>
      </c>
    </row>
    <row r="1756">
      <c r="A1756" s="40">
        <f t="array" ref="A1756">IFNA(index(PlayerValues!A:A,match(IFNA(vlookup(B1756,'Special Names'!A:B,2,FALSE),B1756),PlayerValues!E:E,0)),"N/A")</f>
        <v>13113</v>
      </c>
      <c r="B1756" s="4" t="s">
        <v>606</v>
      </c>
      <c r="C1756" s="4" t="s">
        <v>283</v>
      </c>
      <c r="D1756" s="94">
        <v>2134.0</v>
      </c>
    </row>
    <row r="1757">
      <c r="A1757" s="40">
        <f t="array" ref="A1757">IFNA(index(PlayerValues!A:A,match(IFNA(vlookup(B1757,'Special Names'!A:B,2,FALSE),B1757),PlayerValues!E:E,0)),"N/A")</f>
        <v>17055</v>
      </c>
      <c r="B1757" s="4" t="s">
        <v>565</v>
      </c>
      <c r="C1757" s="4" t="s">
        <v>278</v>
      </c>
      <c r="D1757" s="94">
        <v>2122.0</v>
      </c>
    </row>
    <row r="1758">
      <c r="A1758" s="40">
        <f t="array" ref="A1758">IFNA(index(PlayerValues!A:A,match(IFNA(vlookup(B1758,'Special Names'!A:B,2,FALSE),B1758),PlayerValues!E:E,0)),"N/A")</f>
        <v>16212</v>
      </c>
      <c r="B1758" s="4" t="s">
        <v>568</v>
      </c>
      <c r="C1758" s="4" t="s">
        <v>298</v>
      </c>
      <c r="D1758" s="94">
        <v>2494.0</v>
      </c>
    </row>
    <row r="1759">
      <c r="A1759" s="40" t="str">
        <f t="array" ref="A1759">IFNA(index(PlayerValues!A:A,match(IFNA(vlookup(B1759,'Special Names'!A:B,2,FALSE),B1759),PlayerValues!E:E,0)),"N/A")</f>
        <v>N/A</v>
      </c>
      <c r="B1759" s="4" t="s">
        <v>113</v>
      </c>
      <c r="C1759" s="4" t="s">
        <v>325</v>
      </c>
      <c r="D1759" s="94">
        <v>2101.0</v>
      </c>
    </row>
    <row r="1760">
      <c r="A1760" s="40">
        <f t="array" ref="A1760">IFNA(index(PlayerValues!A:A,match(IFNA(vlookup(B1760,'Special Names'!A:B,2,FALSE),B1760),PlayerValues!E:E,0)),"N/A")</f>
        <v>16189</v>
      </c>
      <c r="B1760" s="4" t="s">
        <v>582</v>
      </c>
      <c r="C1760" s="4" t="s">
        <v>287</v>
      </c>
      <c r="D1760" s="94">
        <v>2097.0</v>
      </c>
    </row>
    <row r="1761">
      <c r="A1761" s="40">
        <f t="array" ref="A1761">IFNA(index(PlayerValues!A:A,match(IFNA(vlookup(B1761,'Special Names'!A:B,2,FALSE),B1761),PlayerValues!E:E,0)),"N/A")</f>
        <v>14974</v>
      </c>
      <c r="B1761" s="4" t="s">
        <v>611</v>
      </c>
      <c r="C1761" s="4" t="s">
        <v>287</v>
      </c>
      <c r="D1761" s="94">
        <v>2091.0</v>
      </c>
    </row>
    <row r="1762">
      <c r="A1762" s="40">
        <f t="array" ref="A1762">IFNA(index(PlayerValues!A:A,match(IFNA(vlookup(B1762,'Special Names'!A:B,2,FALSE),B1762),PlayerValues!E:E,0)),"N/A")</f>
        <v>17046</v>
      </c>
      <c r="B1762" s="4" t="s">
        <v>602</v>
      </c>
      <c r="C1762" s="4" t="s">
        <v>278</v>
      </c>
      <c r="D1762" s="94">
        <v>2089.0</v>
      </c>
    </row>
    <row r="1763">
      <c r="A1763" s="40" t="str">
        <f t="array" ref="A1763">IFNA(index(PlayerValues!A:A,match(IFNA(vlookup(B1763,'Special Names'!A:B,2,FALSE),B1763),PlayerValues!E:E,0)),"N/A")</f>
        <v>N/A</v>
      </c>
      <c r="B1763" s="4" t="s">
        <v>88</v>
      </c>
      <c r="C1763" s="4" t="s">
        <v>325</v>
      </c>
      <c r="D1763" s="94">
        <v>2083.0</v>
      </c>
    </row>
    <row r="1764">
      <c r="A1764" s="40">
        <f t="array" ref="A1764">IFNA(index(PlayerValues!A:A,match(IFNA(vlookup(B1764,'Special Names'!A:B,2,FALSE),B1764),PlayerValues!E:E,0)),"N/A")</f>
        <v>13132</v>
      </c>
      <c r="B1764" s="4" t="s">
        <v>598</v>
      </c>
      <c r="C1764" s="4" t="s">
        <v>278</v>
      </c>
      <c r="D1764" s="94">
        <v>2079.0</v>
      </c>
    </row>
    <row r="1765">
      <c r="A1765" s="40">
        <f t="array" ref="A1765">IFNA(index(PlayerValues!A:A,match(IFNA(vlookup(B1765,'Special Names'!A:B,2,FALSE),B1765),PlayerValues!E:E,0)),"N/A")</f>
        <v>16432</v>
      </c>
      <c r="B1765" s="4" t="s">
        <v>620</v>
      </c>
      <c r="C1765" s="4" t="s">
        <v>278</v>
      </c>
      <c r="D1765" s="94">
        <v>2074.0</v>
      </c>
    </row>
    <row r="1766">
      <c r="A1766" s="40">
        <f t="array" ref="A1766">IFNA(index(PlayerValues!A:A,match(IFNA(vlookup(B1766,'Special Names'!A:B,2,FALSE),B1766),PlayerValues!E:E,0)),"N/A")</f>
        <v>17056</v>
      </c>
      <c r="B1766" s="4" t="s">
        <v>581</v>
      </c>
      <c r="C1766" s="4" t="s">
        <v>278</v>
      </c>
      <c r="D1766" s="94">
        <v>2072.0</v>
      </c>
    </row>
    <row r="1767">
      <c r="A1767" s="40">
        <f t="array" ref="A1767">IFNA(index(PlayerValues!A:A,match(IFNA(vlookup(B1767,'Special Names'!A:B,2,FALSE),B1767),PlayerValues!E:E,0)),"N/A")</f>
        <v>15238</v>
      </c>
      <c r="B1767" s="4" t="s">
        <v>613</v>
      </c>
      <c r="C1767" s="4" t="s">
        <v>283</v>
      </c>
      <c r="D1767" s="94">
        <v>2070.0</v>
      </c>
    </row>
    <row r="1768">
      <c r="A1768" s="40">
        <f t="array" ref="A1768">IFNA(index(PlayerValues!A:A,match(IFNA(vlookup(B1768,'Special Names'!A:B,2,FALSE),B1768),PlayerValues!E:E,0)),"N/A")</f>
        <v>16643</v>
      </c>
      <c r="B1768" s="4" t="s">
        <v>609</v>
      </c>
      <c r="C1768" s="4" t="s">
        <v>298</v>
      </c>
      <c r="D1768" s="94">
        <v>2454.0</v>
      </c>
    </row>
    <row r="1769">
      <c r="A1769" s="40">
        <f t="array" ref="A1769">IFNA(index(PlayerValues!A:A,match(IFNA(vlookup(B1769,'Special Names'!A:B,2,FALSE),B1769),PlayerValues!E:E,0)),"N/A")</f>
        <v>15293</v>
      </c>
      <c r="B1769" s="4" t="s">
        <v>578</v>
      </c>
      <c r="C1769" s="4" t="s">
        <v>287</v>
      </c>
      <c r="D1769" s="94">
        <v>2062.0</v>
      </c>
    </row>
    <row r="1770">
      <c r="A1770" s="40">
        <f t="array" ref="A1770">IFNA(index(PlayerValues!A:A,match(IFNA(vlookup(B1770,'Special Names'!A:B,2,FALSE),B1770),PlayerValues!E:E,0)),"N/A")</f>
        <v>17060</v>
      </c>
      <c r="B1770" s="4" t="s">
        <v>603</v>
      </c>
      <c r="C1770" s="4" t="s">
        <v>278</v>
      </c>
      <c r="D1770" s="94">
        <v>2046.0</v>
      </c>
    </row>
    <row r="1771">
      <c r="A1771" s="40">
        <f t="array" ref="A1771">IFNA(index(PlayerValues!A:A,match(IFNA(vlookup(B1771,'Special Names'!A:B,2,FALSE),B1771),PlayerValues!E:E,0)),"N/A")</f>
        <v>17069</v>
      </c>
      <c r="B1771" s="4" t="s">
        <v>604</v>
      </c>
      <c r="C1771" s="4" t="s">
        <v>278</v>
      </c>
      <c r="D1771" s="94">
        <v>2038.0</v>
      </c>
    </row>
    <row r="1772">
      <c r="A1772" s="40">
        <f t="array" ref="A1772">IFNA(index(PlayerValues!A:A,match(IFNA(vlookup(B1772,'Special Names'!A:B,2,FALSE),B1772),PlayerValues!E:E,0)),"N/A")</f>
        <v>17061</v>
      </c>
      <c r="B1772" s="4" t="s">
        <v>580</v>
      </c>
      <c r="C1772" s="4" t="s">
        <v>278</v>
      </c>
      <c r="D1772" s="94">
        <v>2033.0</v>
      </c>
    </row>
    <row r="1773">
      <c r="A1773" s="40">
        <f t="array" ref="A1773">IFNA(index(PlayerValues!A:A,match(IFNA(vlookup(B1773,'Special Names'!A:B,2,FALSE),B1773),PlayerValues!E:E,0)),"N/A")</f>
        <v>12801</v>
      </c>
      <c r="B1773" s="4" t="s">
        <v>722</v>
      </c>
      <c r="C1773" s="4" t="s">
        <v>287</v>
      </c>
      <c r="D1773" s="94">
        <v>2025.0</v>
      </c>
    </row>
    <row r="1774">
      <c r="A1774" s="40">
        <f t="array" ref="A1774">IFNA(index(PlayerValues!A:A,match(IFNA(vlookup(B1774,'Special Names'!A:B,2,FALSE),B1774),PlayerValues!E:E,0)),"N/A")</f>
        <v>16342</v>
      </c>
      <c r="B1774" s="4" t="s">
        <v>583</v>
      </c>
      <c r="C1774" s="4" t="s">
        <v>287</v>
      </c>
      <c r="D1774" s="94">
        <v>2018.0</v>
      </c>
    </row>
    <row r="1775">
      <c r="A1775" s="40">
        <f t="array" ref="A1775">IFNA(index(PlayerValues!A:A,match(IFNA(vlookup(B1775,'Special Names'!A:B,2,FALSE),B1775),PlayerValues!E:E,0)),"N/A")</f>
        <v>17087</v>
      </c>
      <c r="B1775" s="4" t="s">
        <v>600</v>
      </c>
      <c r="C1775" s="4" t="s">
        <v>287</v>
      </c>
      <c r="D1775" s="94">
        <v>2016.0</v>
      </c>
    </row>
    <row r="1776">
      <c r="A1776" s="40">
        <f t="array" ref="A1776">IFNA(index(PlayerValues!A:A,match(IFNA(vlookup(B1776,'Special Names'!A:B,2,FALSE),B1776),PlayerValues!E:E,0)),"N/A")</f>
        <v>17076</v>
      </c>
      <c r="B1776" s="4" t="s">
        <v>585</v>
      </c>
      <c r="C1776" s="4" t="s">
        <v>287</v>
      </c>
      <c r="D1776" s="94">
        <v>2004.0</v>
      </c>
    </row>
    <row r="1777">
      <c r="A1777" s="40" t="str">
        <f t="array" ref="A1777">IFNA(index(PlayerValues!A:A,match(IFNA(vlookup(B1777,'Special Names'!A:B,2,FALSE),B1777),PlayerValues!E:E,0)),"N/A")</f>
        <v>N/A</v>
      </c>
      <c r="B1777" s="4" t="s">
        <v>114</v>
      </c>
      <c r="C1777" s="4" t="s">
        <v>325</v>
      </c>
      <c r="D1777" s="94">
        <v>1992.0</v>
      </c>
    </row>
    <row r="1778">
      <c r="A1778" s="40">
        <f t="array" ref="A1778">IFNA(index(PlayerValues!A:A,match(IFNA(vlookup(B1778,'Special Names'!A:B,2,FALSE),B1778),PlayerValues!E:E,0)),"N/A")</f>
        <v>13633</v>
      </c>
      <c r="B1778" s="4" t="s">
        <v>625</v>
      </c>
      <c r="C1778" s="4" t="s">
        <v>287</v>
      </c>
      <c r="D1778" s="94">
        <v>1987.0</v>
      </c>
    </row>
    <row r="1779">
      <c r="A1779" s="40">
        <f t="array" ref="A1779">IFNA(index(PlayerValues!A:A,match(IFNA(vlookup(B1779,'Special Names'!A:B,2,FALSE),B1779),PlayerValues!E:E,0)),"N/A")</f>
        <v>10700</v>
      </c>
      <c r="B1779" s="4" t="s">
        <v>596</v>
      </c>
      <c r="C1779" s="4" t="s">
        <v>283</v>
      </c>
      <c r="D1779" s="94">
        <v>1978.0</v>
      </c>
    </row>
    <row r="1780">
      <c r="A1780" s="40">
        <f t="array" ref="A1780">IFNA(index(PlayerValues!A:A,match(IFNA(vlookup(B1780,'Special Names'!A:B,2,FALSE),B1780),PlayerValues!E:E,0)),"N/A")</f>
        <v>16603</v>
      </c>
      <c r="B1780" s="4" t="s">
        <v>587</v>
      </c>
      <c r="C1780" s="4" t="s">
        <v>278</v>
      </c>
      <c r="D1780" s="94">
        <v>1974.0</v>
      </c>
    </row>
    <row r="1781">
      <c r="A1781" s="40">
        <f t="array" ref="A1781">IFNA(index(PlayerValues!A:A,match(IFNA(vlookup(B1781,'Special Names'!A:B,2,FALSE),B1781),PlayerValues!E:E,0)),"N/A")</f>
        <v>14867</v>
      </c>
      <c r="B1781" s="4" t="s">
        <v>591</v>
      </c>
      <c r="C1781" s="4" t="s">
        <v>298</v>
      </c>
      <c r="D1781" s="94">
        <v>2361.0</v>
      </c>
    </row>
    <row r="1782">
      <c r="A1782" s="40">
        <f t="array" ref="A1782">IFNA(index(PlayerValues!A:A,match(IFNA(vlookup(B1782,'Special Names'!A:B,2,FALSE),B1782),PlayerValues!E:E,0)),"N/A")</f>
        <v>17036</v>
      </c>
      <c r="B1782" s="4" t="s">
        <v>617</v>
      </c>
      <c r="C1782" s="4" t="s">
        <v>283</v>
      </c>
      <c r="D1782" s="94">
        <v>1970.0</v>
      </c>
    </row>
    <row r="1783">
      <c r="A1783" s="40">
        <f t="array" ref="A1783">IFNA(index(PlayerValues!A:A,match(IFNA(vlookup(B1783,'Special Names'!A:B,2,FALSE),B1783),PlayerValues!E:E,0)),"N/A")</f>
        <v>17184</v>
      </c>
      <c r="B1783" s="4" t="s">
        <v>588</v>
      </c>
      <c r="C1783" s="4" t="s">
        <v>287</v>
      </c>
      <c r="D1783" s="94">
        <v>1953.0</v>
      </c>
    </row>
    <row r="1784">
      <c r="A1784" s="40">
        <f t="array" ref="A1784">IFNA(index(PlayerValues!A:A,match(IFNA(vlookup(B1784,'Special Names'!A:B,2,FALSE),B1784),PlayerValues!E:E,0)),"N/A")</f>
        <v>16639</v>
      </c>
      <c r="B1784" s="4" t="s">
        <v>599</v>
      </c>
      <c r="C1784" s="4" t="s">
        <v>287</v>
      </c>
      <c r="D1784" s="94">
        <v>1944.0</v>
      </c>
    </row>
    <row r="1785">
      <c r="A1785" s="40">
        <f t="array" ref="A1785">IFNA(index(PlayerValues!A:A,match(IFNA(vlookup(B1785,'Special Names'!A:B,2,FALSE),B1785),PlayerValues!E:E,0)),"N/A")</f>
        <v>16604</v>
      </c>
      <c r="B1785" s="4" t="s">
        <v>476</v>
      </c>
      <c r="C1785" s="4" t="s">
        <v>278</v>
      </c>
      <c r="D1785" s="94">
        <v>1935.0</v>
      </c>
    </row>
    <row r="1786">
      <c r="A1786" s="40" t="str">
        <f t="array" ref="A1786">IFNA(index(PlayerValues!A:A,match(IFNA(vlookup(B1786,'Special Names'!A:B,2,FALSE),B1786),PlayerValues!E:E,0)),"N/A")</f>
        <v>N/A</v>
      </c>
      <c r="B1786" s="4" t="s">
        <v>101</v>
      </c>
      <c r="C1786" s="4" t="s">
        <v>325</v>
      </c>
      <c r="D1786" s="94">
        <v>1920.0</v>
      </c>
    </row>
    <row r="1787">
      <c r="A1787" s="40">
        <f t="array" ref="A1787">IFNA(index(PlayerValues!A:A,match(IFNA(vlookup(B1787,'Special Names'!A:B,2,FALSE),B1787),PlayerValues!E:E,0)),"N/A")</f>
        <v>7836</v>
      </c>
      <c r="B1787" s="4" t="s">
        <v>590</v>
      </c>
      <c r="C1787" s="4" t="s">
        <v>283</v>
      </c>
      <c r="D1787" s="94">
        <v>1889.0</v>
      </c>
    </row>
    <row r="1788">
      <c r="A1788" s="40">
        <f t="array" ref="A1788">IFNA(index(PlayerValues!A:A,match(IFNA(vlookup(B1788,'Special Names'!A:B,2,FALSE),B1788),PlayerValues!E:E,0)),"N/A")</f>
        <v>13189</v>
      </c>
      <c r="B1788" s="4" t="s">
        <v>626</v>
      </c>
      <c r="C1788" s="4" t="s">
        <v>298</v>
      </c>
      <c r="D1788" s="94">
        <v>2260.0</v>
      </c>
    </row>
    <row r="1789">
      <c r="A1789" s="40">
        <f t="array" ref="A1789">IFNA(index(PlayerValues!A:A,match(IFNA(vlookup(B1789,'Special Names'!A:B,2,FALSE),B1789),PlayerValues!E:E,0)),"N/A")</f>
        <v>13629</v>
      </c>
      <c r="B1789" s="4" t="s">
        <v>619</v>
      </c>
      <c r="C1789" s="4" t="s">
        <v>287</v>
      </c>
      <c r="D1789" s="94">
        <v>1868.0</v>
      </c>
    </row>
    <row r="1790">
      <c r="A1790" s="40">
        <f t="array" ref="A1790">IFNA(index(PlayerValues!A:A,match(IFNA(vlookup(B1790,'Special Names'!A:B,2,FALSE),B1790),PlayerValues!E:E,0)),"N/A")</f>
        <v>14871</v>
      </c>
      <c r="B1790" s="4" t="s">
        <v>584</v>
      </c>
      <c r="C1790" s="4" t="s">
        <v>298</v>
      </c>
      <c r="D1790" s="94">
        <v>2248.0</v>
      </c>
    </row>
    <row r="1791">
      <c r="A1791" s="40">
        <f t="array" ref="A1791">IFNA(index(PlayerValues!A:A,match(IFNA(vlookup(B1791,'Special Names'!A:B,2,FALSE),B1791),PlayerValues!E:E,0)),"N/A")</f>
        <v>16191</v>
      </c>
      <c r="B1791" s="4" t="s">
        <v>666</v>
      </c>
      <c r="C1791" s="4" t="s">
        <v>287</v>
      </c>
      <c r="D1791" s="94">
        <v>1860.0</v>
      </c>
    </row>
    <row r="1792">
      <c r="A1792" s="40">
        <f t="array" ref="A1792">IFNA(index(PlayerValues!A:A,match(IFNA(vlookup(B1792,'Special Names'!A:B,2,FALSE),B1792),PlayerValues!E:E,0)),"N/A")</f>
        <v>17086</v>
      </c>
      <c r="B1792" s="4" t="s">
        <v>612</v>
      </c>
      <c r="C1792" s="4" t="s">
        <v>287</v>
      </c>
      <c r="D1792" s="94">
        <v>1859.0</v>
      </c>
    </row>
    <row r="1793">
      <c r="A1793" s="40">
        <f t="array" ref="A1793">IFNA(index(PlayerValues!A:A,match(IFNA(vlookup(B1793,'Special Names'!A:B,2,FALSE),B1793),PlayerValues!E:E,0)),"N/A")</f>
        <v>17049</v>
      </c>
      <c r="B1793" s="4" t="s">
        <v>624</v>
      </c>
      <c r="C1793" s="4" t="s">
        <v>278</v>
      </c>
      <c r="D1793" s="94">
        <v>1854.0</v>
      </c>
    </row>
    <row r="1794">
      <c r="A1794" s="40">
        <f t="array" ref="A1794">IFNA(index(PlayerValues!A:A,match(IFNA(vlookup(B1794,'Special Names'!A:B,2,FALSE),B1794),PlayerValues!E:E,0)),"N/A")</f>
        <v>16171</v>
      </c>
      <c r="B1794" s="4" t="s">
        <v>618</v>
      </c>
      <c r="C1794" s="4" t="s">
        <v>278</v>
      </c>
      <c r="D1794" s="94">
        <v>1853.0</v>
      </c>
    </row>
    <row r="1795">
      <c r="A1795" s="40">
        <f t="array" ref="A1795">IFNA(index(PlayerValues!A:A,match(IFNA(vlookup(B1795,'Special Names'!A:B,2,FALSE),B1795),PlayerValues!E:E,0)),"N/A")</f>
        <v>16215</v>
      </c>
      <c r="B1795" s="4" t="s">
        <v>637</v>
      </c>
      <c r="C1795" s="4" t="s">
        <v>298</v>
      </c>
      <c r="D1795" s="94">
        <v>2224.0</v>
      </c>
    </row>
    <row r="1796">
      <c r="A1796" s="40">
        <f t="array" ref="A1796">IFNA(index(PlayerValues!A:A,match(IFNA(vlookup(B1796,'Special Names'!A:B,2,FALSE),B1796),PlayerValues!E:E,0)),"N/A")</f>
        <v>16752</v>
      </c>
      <c r="B1796" s="4" t="s">
        <v>597</v>
      </c>
      <c r="C1796" s="4" t="s">
        <v>278</v>
      </c>
      <c r="D1796" s="94">
        <v>1842.0</v>
      </c>
    </row>
    <row r="1797">
      <c r="A1797" s="40">
        <f t="array" ref="A1797">IFNA(index(PlayerValues!A:A,match(IFNA(vlookup(B1797,'Special Names'!A:B,2,FALSE),B1797),PlayerValues!E:E,0)),"N/A")</f>
        <v>15787</v>
      </c>
      <c r="B1797" s="4" t="s">
        <v>610</v>
      </c>
      <c r="C1797" s="4" t="s">
        <v>287</v>
      </c>
      <c r="D1797" s="94">
        <v>1838.0</v>
      </c>
    </row>
    <row r="1798">
      <c r="A1798" s="40">
        <f t="array" ref="A1798">IFNA(index(PlayerValues!A:A,match(IFNA(vlookup(B1798,'Special Names'!A:B,2,FALSE),B1798),PlayerValues!E:E,0)),"N/A")</f>
        <v>15797</v>
      </c>
      <c r="B1798" s="4" t="s">
        <v>556</v>
      </c>
      <c r="C1798" s="4" t="s">
        <v>298</v>
      </c>
      <c r="D1798" s="94">
        <v>2206.0</v>
      </c>
    </row>
    <row r="1799">
      <c r="A1799" s="40">
        <f t="array" ref="A1799">IFNA(index(PlayerValues!A:A,match(IFNA(vlookup(B1799,'Special Names'!A:B,2,FALSE),B1799),PlayerValues!E:E,0)),"N/A")</f>
        <v>16216</v>
      </c>
      <c r="B1799" s="4" t="s">
        <v>595</v>
      </c>
      <c r="C1799" s="4" t="s">
        <v>298</v>
      </c>
      <c r="D1799" s="94">
        <v>2195.0</v>
      </c>
    </row>
    <row r="1800">
      <c r="A1800" s="40">
        <f t="array" ref="A1800">IFNA(index(PlayerValues!A:A,match(IFNA(vlookup(B1800,'Special Names'!A:B,2,FALSE),B1800),PlayerValues!E:E,0)),"N/A")</f>
        <v>13146</v>
      </c>
      <c r="B1800" s="4" t="s">
        <v>652</v>
      </c>
      <c r="C1800" s="4" t="s">
        <v>278</v>
      </c>
      <c r="D1800" s="94">
        <v>1806.0</v>
      </c>
    </row>
    <row r="1801">
      <c r="A1801" s="40">
        <f t="array" ref="A1801">IFNA(index(PlayerValues!A:A,match(IFNA(vlookup(B1801,'Special Names'!A:B,2,FALSE),B1801),PlayerValues!E:E,0)),"N/A")</f>
        <v>15788</v>
      </c>
      <c r="B1801" s="4" t="s">
        <v>627</v>
      </c>
      <c r="C1801" s="4" t="s">
        <v>287</v>
      </c>
      <c r="D1801" s="94">
        <v>1801.0</v>
      </c>
    </row>
    <row r="1802">
      <c r="A1802" s="40">
        <f t="array" ref="A1802">IFNA(index(PlayerValues!A:A,match(IFNA(vlookup(B1802,'Special Names'!A:B,2,FALSE),B1802),PlayerValues!E:E,0)),"N/A")</f>
        <v>17034</v>
      </c>
      <c r="B1802" s="4" t="s">
        <v>643</v>
      </c>
      <c r="C1802" s="4" t="s">
        <v>283</v>
      </c>
      <c r="D1802" s="94">
        <v>1801.0</v>
      </c>
    </row>
    <row r="1803">
      <c r="A1803" s="40">
        <f t="array" ref="A1803">IFNA(index(PlayerValues!A:A,match(IFNA(vlookup(B1803,'Special Names'!A:B,2,FALSE),B1803),PlayerValues!E:E,0)),"N/A")</f>
        <v>17467</v>
      </c>
      <c r="B1803" s="4" t="s">
        <v>575</v>
      </c>
      <c r="C1803" s="4" t="s">
        <v>283</v>
      </c>
      <c r="D1803" s="94">
        <v>1797.0</v>
      </c>
    </row>
    <row r="1804">
      <c r="A1804" s="40">
        <f t="array" ref="A1804">IFNA(index(PlayerValues!A:A,match(IFNA(vlookup(B1804,'Special Names'!A:B,2,FALSE),B1804),PlayerValues!E:E,0)),"N/A")</f>
        <v>14143</v>
      </c>
      <c r="B1804" s="4" t="s">
        <v>635</v>
      </c>
      <c r="C1804" s="4" t="s">
        <v>298</v>
      </c>
      <c r="D1804" s="94">
        <v>2159.0</v>
      </c>
    </row>
    <row r="1805">
      <c r="A1805" s="40">
        <f t="array" ref="A1805">IFNA(index(PlayerValues!A:A,match(IFNA(vlookup(B1805,'Special Names'!A:B,2,FALSE),B1805),PlayerValues!E:E,0)),"N/A")</f>
        <v>16778</v>
      </c>
      <c r="B1805" s="4" t="s">
        <v>577</v>
      </c>
      <c r="C1805" s="4" t="s">
        <v>287</v>
      </c>
      <c r="D1805" s="94">
        <v>1761.0</v>
      </c>
    </row>
    <row r="1806">
      <c r="A1806" s="40">
        <f t="array" ref="A1806">IFNA(index(PlayerValues!A:A,match(IFNA(vlookup(B1806,'Special Names'!A:B,2,FALSE),B1806),PlayerValues!E:E,0)),"N/A")</f>
        <v>13164</v>
      </c>
      <c r="B1806" s="4" t="s">
        <v>632</v>
      </c>
      <c r="C1806" s="4" t="s">
        <v>287</v>
      </c>
      <c r="D1806" s="94">
        <v>1753.0</v>
      </c>
    </row>
    <row r="1807">
      <c r="A1807" s="40">
        <f t="array" ref="A1807">IFNA(index(PlayerValues!A:A,match(IFNA(vlookup(B1807,'Special Names'!A:B,2,FALSE),B1807),PlayerValues!E:E,0)),"N/A")</f>
        <v>17035</v>
      </c>
      <c r="B1807" s="4" t="s">
        <v>650</v>
      </c>
      <c r="C1807" s="4" t="s">
        <v>283</v>
      </c>
      <c r="D1807" s="94">
        <v>1749.0</v>
      </c>
    </row>
    <row r="1808">
      <c r="A1808" s="40">
        <f t="array" ref="A1808">IFNA(index(PlayerValues!A:A,match(IFNA(vlookup(B1808,'Special Names'!A:B,2,FALSE),B1808),PlayerValues!E:E,0)),"N/A")</f>
        <v>17481</v>
      </c>
      <c r="B1808" s="4" t="s">
        <v>540</v>
      </c>
      <c r="C1808" s="4" t="s">
        <v>278</v>
      </c>
      <c r="D1808" s="94">
        <v>1749.0</v>
      </c>
    </row>
    <row r="1809">
      <c r="A1809" s="40">
        <f t="array" ref="A1809">IFNA(index(PlayerValues!A:A,match(IFNA(vlookup(B1809,'Special Names'!A:B,2,FALSE),B1809),PlayerValues!E:E,0)),"N/A")</f>
        <v>16644</v>
      </c>
      <c r="B1809" s="4" t="s">
        <v>640</v>
      </c>
      <c r="C1809" s="4" t="s">
        <v>298</v>
      </c>
      <c r="D1809" s="94">
        <v>2124.0</v>
      </c>
    </row>
    <row r="1810">
      <c r="A1810" s="40" t="str">
        <f t="array" ref="A1810">IFNA(index(PlayerValues!A:A,match(IFNA(vlookup(B1810,'Special Names'!A:B,2,FALSE),B1810),PlayerValues!E:E,0)),"N/A")</f>
        <v>N/A</v>
      </c>
      <c r="B1810" s="4" t="s">
        <v>102</v>
      </c>
      <c r="C1810" s="4" t="s">
        <v>325</v>
      </c>
      <c r="D1810" s="94">
        <v>1738.0</v>
      </c>
    </row>
    <row r="1811">
      <c r="A1811" s="40">
        <f t="array" ref="A1811">IFNA(index(PlayerValues!A:A,match(IFNA(vlookup(B1811,'Special Names'!A:B,2,FALSE),B1811),PlayerValues!E:E,0)),"N/A")</f>
        <v>14105</v>
      </c>
      <c r="B1811" s="4" t="s">
        <v>675</v>
      </c>
      <c r="C1811" s="4" t="s">
        <v>287</v>
      </c>
      <c r="D1811" s="94">
        <v>1735.0</v>
      </c>
    </row>
    <row r="1812">
      <c r="A1812" s="40">
        <f t="array" ref="A1812">IFNA(index(PlayerValues!A:A,match(IFNA(vlookup(B1812,'Special Names'!A:B,2,FALSE),B1812),PlayerValues!E:E,0)),"N/A")</f>
        <v>17528</v>
      </c>
      <c r="B1812" s="4" t="s">
        <v>579</v>
      </c>
      <c r="C1812" s="4" t="s">
        <v>287</v>
      </c>
      <c r="D1812" s="94">
        <v>1731.0</v>
      </c>
    </row>
    <row r="1813">
      <c r="A1813" s="40">
        <f t="array" ref="A1813">IFNA(index(PlayerValues!A:A,match(IFNA(vlookup(B1813,'Special Names'!A:B,2,FALSE),B1813),PlayerValues!E:E,0)),"N/A")</f>
        <v>17466</v>
      </c>
      <c r="B1813" s="4" t="s">
        <v>492</v>
      </c>
      <c r="C1813" s="4" t="s">
        <v>283</v>
      </c>
      <c r="D1813" s="94">
        <v>1725.0</v>
      </c>
    </row>
    <row r="1814">
      <c r="A1814" s="40">
        <f t="array" ref="A1814">IFNA(index(PlayerValues!A:A,match(IFNA(vlookup(B1814,'Special Names'!A:B,2,FALSE),B1814),PlayerValues!E:E,0)),"N/A")</f>
        <v>16635</v>
      </c>
      <c r="B1814" s="4" t="s">
        <v>645</v>
      </c>
      <c r="C1814" s="4" t="s">
        <v>287</v>
      </c>
      <c r="D1814" s="94">
        <v>1710.0</v>
      </c>
    </row>
    <row r="1815">
      <c r="A1815" s="40">
        <f t="array" ref="A1815">IFNA(index(PlayerValues!A:A,match(IFNA(vlookup(B1815,'Special Names'!A:B,2,FALSE),B1815),PlayerValues!E:E,0)),"N/A")</f>
        <v>16201</v>
      </c>
      <c r="B1815" s="4" t="s">
        <v>589</v>
      </c>
      <c r="C1815" s="4" t="s">
        <v>287</v>
      </c>
      <c r="D1815" s="94">
        <v>1709.0</v>
      </c>
    </row>
    <row r="1816">
      <c r="A1816" s="40">
        <f t="array" ref="A1816">IFNA(index(PlayerValues!A:A,match(IFNA(vlookup(B1816,'Special Names'!A:B,2,FALSE),B1816),PlayerValues!E:E,0)),"N/A")</f>
        <v>16585</v>
      </c>
      <c r="B1816" s="4" t="s">
        <v>623</v>
      </c>
      <c r="C1816" s="4" t="s">
        <v>283</v>
      </c>
      <c r="D1816" s="94">
        <v>1707.0</v>
      </c>
    </row>
    <row r="1817">
      <c r="A1817" s="40" t="str">
        <f t="array" ref="A1817">IFNA(index(PlayerValues!A:A,match(IFNA(vlookup(B1817,'Special Names'!A:B,2,FALSE),B1817),PlayerValues!E:E,0)),"N/A")</f>
        <v>N/A</v>
      </c>
      <c r="B1817" s="4" t="s">
        <v>89</v>
      </c>
      <c r="C1817" s="4" t="s">
        <v>325</v>
      </c>
      <c r="D1817" s="94">
        <v>1705.0</v>
      </c>
    </row>
    <row r="1818">
      <c r="A1818" s="40">
        <f t="array" ref="A1818">IFNA(index(PlayerValues!A:A,match(IFNA(vlookup(B1818,'Special Names'!A:B,2,FALSE),B1818),PlayerValues!E:E,0)),"N/A")</f>
        <v>17096</v>
      </c>
      <c r="B1818" s="4" t="s">
        <v>638</v>
      </c>
      <c r="C1818" s="4" t="s">
        <v>287</v>
      </c>
      <c r="D1818" s="94">
        <v>1693.0</v>
      </c>
    </row>
    <row r="1819">
      <c r="A1819" s="40">
        <f t="array" ref="A1819">IFNA(index(PlayerValues!A:A,match(IFNA(vlookup(B1819,'Special Names'!A:B,2,FALSE),B1819),PlayerValues!E:E,0)),"N/A")</f>
        <v>17465</v>
      </c>
      <c r="B1819" s="4" t="s">
        <v>649</v>
      </c>
      <c r="C1819" s="4" t="s">
        <v>283</v>
      </c>
      <c r="D1819" s="94">
        <v>1693.0</v>
      </c>
    </row>
    <row r="1820">
      <c r="A1820" s="40" t="str">
        <f t="array" ref="A1820">IFNA(index(PlayerValues!A:A,match(IFNA(vlookup(B1820,'Special Names'!A:B,2,FALSE),B1820),PlayerValues!E:E,0)),"N/A")</f>
        <v>N/A</v>
      </c>
      <c r="B1820" s="4" t="s">
        <v>103</v>
      </c>
      <c r="C1820" s="4" t="s">
        <v>325</v>
      </c>
      <c r="D1820" s="94">
        <v>1691.0</v>
      </c>
    </row>
    <row r="1821">
      <c r="A1821" s="40">
        <f t="array" ref="A1821">IFNA(index(PlayerValues!A:A,match(IFNA(vlookup(B1821,'Special Names'!A:B,2,FALSE),B1821),PlayerValues!E:E,0)),"N/A")</f>
        <v>15755</v>
      </c>
      <c r="B1821" s="4" t="s">
        <v>628</v>
      </c>
      <c r="C1821" s="4" t="s">
        <v>287</v>
      </c>
      <c r="D1821" s="94">
        <v>1687.0</v>
      </c>
    </row>
    <row r="1822">
      <c r="A1822" s="40">
        <f t="array" ref="A1822">IFNA(index(PlayerValues!A:A,match(IFNA(vlookup(B1822,'Special Names'!A:B,2,FALSE),B1822),PlayerValues!E:E,0)),"N/A")</f>
        <v>15254</v>
      </c>
      <c r="B1822" s="4" t="s">
        <v>633</v>
      </c>
      <c r="C1822" s="4" t="s">
        <v>278</v>
      </c>
      <c r="D1822" s="94">
        <v>1685.0</v>
      </c>
    </row>
    <row r="1823">
      <c r="A1823" s="40">
        <f t="array" ref="A1823">IFNA(index(PlayerValues!A:A,match(IFNA(vlookup(B1823,'Special Names'!A:B,2,FALSE),B1823),PlayerValues!E:E,0)),"N/A")</f>
        <v>17064</v>
      </c>
      <c r="B1823" s="4" t="s">
        <v>631</v>
      </c>
      <c r="C1823" s="4" t="s">
        <v>278</v>
      </c>
      <c r="D1823" s="94">
        <v>1668.0</v>
      </c>
    </row>
    <row r="1824">
      <c r="A1824" s="40">
        <f t="array" ref="A1824">IFNA(index(PlayerValues!A:A,match(IFNA(vlookup(B1824,'Special Names'!A:B,2,FALSE),B1824),PlayerValues!E:E,0)),"N/A")</f>
        <v>16601</v>
      </c>
      <c r="B1824" s="4" t="s">
        <v>648</v>
      </c>
      <c r="C1824" s="4" t="s">
        <v>278</v>
      </c>
      <c r="D1824" s="94">
        <v>1658.0</v>
      </c>
    </row>
    <row r="1825">
      <c r="A1825" s="40">
        <f t="array" ref="A1825">IFNA(index(PlayerValues!A:A,match(IFNA(vlookup(B1825,'Special Names'!A:B,2,FALSE),B1825),PlayerValues!E:E,0)),"N/A")</f>
        <v>17058</v>
      </c>
      <c r="B1825" s="4" t="s">
        <v>641</v>
      </c>
      <c r="C1825" s="4" t="s">
        <v>278</v>
      </c>
      <c r="D1825" s="94">
        <v>1655.0</v>
      </c>
    </row>
    <row r="1826">
      <c r="A1826" s="40">
        <f t="array" ref="A1826">IFNA(index(PlayerValues!A:A,match(IFNA(vlookup(B1826,'Special Names'!A:B,2,FALSE),B1826),PlayerValues!E:E,0)),"N/A")</f>
        <v>16586</v>
      </c>
      <c r="B1826" s="4" t="s">
        <v>658</v>
      </c>
      <c r="C1826" s="4" t="s">
        <v>283</v>
      </c>
      <c r="D1826" s="94">
        <v>1653.0</v>
      </c>
    </row>
    <row r="1827">
      <c r="A1827" s="40">
        <f t="array" ref="A1827">IFNA(index(PlayerValues!A:A,match(IFNA(vlookup(B1827,'Special Names'!A:B,2,FALSE),B1827),PlayerValues!E:E,0)),"N/A")</f>
        <v>16207</v>
      </c>
      <c r="B1827" s="4" t="s">
        <v>636</v>
      </c>
      <c r="C1827" s="4" t="s">
        <v>287</v>
      </c>
      <c r="D1827" s="94">
        <v>1643.0</v>
      </c>
    </row>
    <row r="1828">
      <c r="A1828" s="40">
        <f t="array" ref="A1828">IFNA(index(PlayerValues!A:A,match(IFNA(vlookup(B1828,'Special Names'!A:B,2,FALSE),B1828),PlayerValues!E:E,0)),"N/A")</f>
        <v>15301</v>
      </c>
      <c r="B1828" s="4" t="s">
        <v>657</v>
      </c>
      <c r="C1828" s="4" t="s">
        <v>287</v>
      </c>
      <c r="D1828" s="94">
        <v>1624.0</v>
      </c>
    </row>
    <row r="1829">
      <c r="A1829" s="40" t="str">
        <f t="array" ref="A1829">IFNA(index(PlayerValues!A:A,match(IFNA(vlookup(B1829,'Special Names'!A:B,2,FALSE),B1829),PlayerValues!E:E,0)),"N/A")</f>
        <v>N/A</v>
      </c>
      <c r="B1829" s="4" t="s">
        <v>115</v>
      </c>
      <c r="C1829" s="4" t="s">
        <v>325</v>
      </c>
      <c r="D1829" s="94">
        <v>1615.0</v>
      </c>
    </row>
    <row r="1830">
      <c r="A1830" s="40">
        <f t="array" ref="A1830">IFNA(index(PlayerValues!A:A,match(IFNA(vlookup(B1830,'Special Names'!A:B,2,FALSE),B1830),PlayerValues!E:E,0)),"N/A")</f>
        <v>16629</v>
      </c>
      <c r="B1830" s="4" t="s">
        <v>605</v>
      </c>
      <c r="C1830" s="4" t="s">
        <v>287</v>
      </c>
      <c r="D1830" s="94">
        <v>1613.0</v>
      </c>
    </row>
    <row r="1831">
      <c r="A1831" s="40">
        <f t="array" ref="A1831">IFNA(index(PlayerValues!A:A,match(IFNA(vlookup(B1831,'Special Names'!A:B,2,FALSE),B1831),PlayerValues!E:E,0)),"N/A")</f>
        <v>15319</v>
      </c>
      <c r="B1831" s="4" t="s">
        <v>644</v>
      </c>
      <c r="C1831" s="4" t="s">
        <v>287</v>
      </c>
      <c r="D1831" s="94">
        <v>1610.0</v>
      </c>
    </row>
    <row r="1832">
      <c r="A1832" s="40" t="str">
        <f t="array" ref="A1832">IFNA(index(PlayerValues!A:A,match(IFNA(vlookup(B1832,'Special Names'!A:B,2,FALSE),B1832),PlayerValues!E:E,0)),"N/A")</f>
        <v>N/A</v>
      </c>
      <c r="B1832" s="4" t="s">
        <v>90</v>
      </c>
      <c r="C1832" s="4" t="s">
        <v>325</v>
      </c>
      <c r="D1832" s="94">
        <v>1600.0</v>
      </c>
    </row>
    <row r="1833">
      <c r="A1833" s="40">
        <f t="array" ref="A1833">IFNA(index(PlayerValues!A:A,match(IFNA(vlookup(B1833,'Special Names'!A:B,2,FALSE),B1833),PlayerValues!E:E,0)),"N/A")</f>
        <v>16688</v>
      </c>
      <c r="B1833" s="4" t="s">
        <v>688</v>
      </c>
      <c r="C1833" s="4" t="s">
        <v>278</v>
      </c>
      <c r="D1833" s="94">
        <v>1592.0</v>
      </c>
    </row>
    <row r="1834">
      <c r="A1834" s="40">
        <f t="array" ref="A1834">IFNA(index(PlayerValues!A:A,match(IFNA(vlookup(B1834,'Special Names'!A:B,2,FALSE),B1834),PlayerValues!E:E,0)),"N/A")</f>
        <v>15713</v>
      </c>
      <c r="B1834" s="4" t="s">
        <v>732</v>
      </c>
      <c r="C1834" s="4" t="s">
        <v>278</v>
      </c>
      <c r="D1834" s="94">
        <v>1568.0</v>
      </c>
    </row>
    <row r="1835">
      <c r="A1835" s="40">
        <f t="array" ref="A1835">IFNA(index(PlayerValues!A:A,match(IFNA(vlookup(B1835,'Special Names'!A:B,2,FALSE),B1835),PlayerValues!E:E,0)),"N/A")</f>
        <v>16595</v>
      </c>
      <c r="B1835" s="4" t="s">
        <v>664</v>
      </c>
      <c r="C1835" s="4" t="s">
        <v>278</v>
      </c>
      <c r="D1835" s="94">
        <v>1565.0</v>
      </c>
    </row>
    <row r="1836">
      <c r="A1836" s="40">
        <f t="array" ref="A1836">IFNA(index(PlayerValues!A:A,match(IFNA(vlookup(B1836,'Special Names'!A:B,2,FALSE),B1836),PlayerValues!E:E,0)),"N/A")</f>
        <v>17205</v>
      </c>
      <c r="B1836" s="4" t="s">
        <v>665</v>
      </c>
      <c r="C1836" s="4" t="s">
        <v>287</v>
      </c>
      <c r="D1836" s="94">
        <v>1564.0</v>
      </c>
    </row>
    <row r="1837">
      <c r="A1837" s="40">
        <f t="array" ref="A1837">IFNA(index(PlayerValues!A:A,match(IFNA(vlookup(B1837,'Special Names'!A:B,2,FALSE),B1837),PlayerValues!E:E,0)),"N/A")</f>
        <v>16633</v>
      </c>
      <c r="B1837" s="4" t="s">
        <v>656</v>
      </c>
      <c r="C1837" s="4" t="s">
        <v>287</v>
      </c>
      <c r="D1837" s="94">
        <v>1563.0</v>
      </c>
    </row>
    <row r="1838">
      <c r="A1838" s="40" t="str">
        <f t="array" ref="A1838">IFNA(index(PlayerValues!A:A,match(IFNA(vlookup(B1838,'Special Names'!A:B,2,FALSE),B1838),PlayerValues!E:E,0)),"N/A")</f>
        <v>N/A</v>
      </c>
      <c r="B1838" s="4" t="s">
        <v>116</v>
      </c>
      <c r="C1838" s="4" t="s">
        <v>325</v>
      </c>
      <c r="D1838" s="94">
        <v>1563.0</v>
      </c>
    </row>
    <row r="1839">
      <c r="A1839" s="40">
        <f t="array" ref="A1839">IFNA(index(PlayerValues!A:A,match(IFNA(vlookup(B1839,'Special Names'!A:B,2,FALSE),B1839),PlayerValues!E:E,0)),"N/A")</f>
        <v>14122</v>
      </c>
      <c r="B1839" s="4" t="s">
        <v>663</v>
      </c>
      <c r="C1839" s="4" t="s">
        <v>287</v>
      </c>
      <c r="D1839" s="94">
        <v>1556.0</v>
      </c>
    </row>
    <row r="1840">
      <c r="A1840" s="40">
        <f t="array" ref="A1840">IFNA(index(PlayerValues!A:A,match(IFNA(vlookup(B1840,'Special Names'!A:B,2,FALSE),B1840),PlayerValues!E:E,0)),"N/A")</f>
        <v>17548</v>
      </c>
      <c r="B1840" s="4" t="s">
        <v>594</v>
      </c>
      <c r="C1840" s="4" t="s">
        <v>298</v>
      </c>
      <c r="D1840" s="94">
        <v>1930.0</v>
      </c>
    </row>
    <row r="1841">
      <c r="A1841" s="40">
        <f t="array" ref="A1841">IFNA(index(PlayerValues!A:A,match(IFNA(vlookup(B1841,'Special Names'!A:B,2,FALSE),B1841),PlayerValues!E:E,0)),"N/A")</f>
        <v>17234</v>
      </c>
      <c r="B1841" s="4" t="s">
        <v>653</v>
      </c>
      <c r="C1841" s="4" t="s">
        <v>287</v>
      </c>
      <c r="D1841" s="94">
        <v>1548.0</v>
      </c>
    </row>
    <row r="1842">
      <c r="A1842" s="40">
        <f t="array" ref="A1842">IFNA(index(PlayerValues!A:A,match(IFNA(vlookup(B1842,'Special Names'!A:B,2,FALSE),B1842),PlayerValues!E:E,0)),"N/A")</f>
        <v>15337</v>
      </c>
      <c r="B1842" s="4" t="s">
        <v>655</v>
      </c>
      <c r="C1842" s="4" t="s">
        <v>298</v>
      </c>
      <c r="D1842" s="94">
        <v>1914.0</v>
      </c>
    </row>
    <row r="1843">
      <c r="A1843" s="40">
        <f t="array" ref="A1843">IFNA(index(PlayerValues!A:A,match(IFNA(vlookup(B1843,'Special Names'!A:B,2,FALSE),B1843),PlayerValues!E:E,0)),"N/A")</f>
        <v>17468</v>
      </c>
      <c r="B1843" s="4" t="s">
        <v>514</v>
      </c>
      <c r="C1843" s="4" t="s">
        <v>283</v>
      </c>
      <c r="D1843" s="94">
        <v>1536.0</v>
      </c>
    </row>
    <row r="1844">
      <c r="A1844" s="40">
        <f t="array" ref="A1844">IFNA(index(PlayerValues!A:A,match(IFNA(vlookup(B1844,'Special Names'!A:B,2,FALSE),B1844),PlayerValues!E:E,0)),"N/A")</f>
        <v>16175</v>
      </c>
      <c r="B1844" s="4" t="s">
        <v>654</v>
      </c>
      <c r="C1844" s="4" t="s">
        <v>278</v>
      </c>
      <c r="D1844" s="94">
        <v>1513.0</v>
      </c>
    </row>
    <row r="1845">
      <c r="A1845" s="40">
        <f t="array" ref="A1845">IFNA(index(PlayerValues!A:A,match(IFNA(vlookup(B1845,'Special Names'!A:B,2,FALSE),B1845),PlayerValues!E:E,0)),"N/A")</f>
        <v>15752</v>
      </c>
      <c r="B1845" s="4" t="s">
        <v>647</v>
      </c>
      <c r="C1845" s="4" t="s">
        <v>287</v>
      </c>
      <c r="D1845" s="94">
        <v>1511.0</v>
      </c>
    </row>
    <row r="1846">
      <c r="A1846" s="40">
        <f t="array" ref="A1846">IFNA(index(PlayerValues!A:A,match(IFNA(vlookup(B1846,'Special Names'!A:B,2,FALSE),B1846),PlayerValues!E:E,0)),"N/A")</f>
        <v>15759</v>
      </c>
      <c r="B1846" s="4" t="s">
        <v>662</v>
      </c>
      <c r="C1846" s="4" t="s">
        <v>287</v>
      </c>
      <c r="D1846" s="94">
        <v>1509.0</v>
      </c>
    </row>
    <row r="1847">
      <c r="A1847" s="40" t="str">
        <f t="array" ref="A1847">IFNA(index(PlayerValues!A:A,match(IFNA(vlookup(B1847,'Special Names'!A:B,2,FALSE),B1847),PlayerValues!E:E,0)),"N/A")</f>
        <v>N/A</v>
      </c>
      <c r="B1847" s="4" t="s">
        <v>91</v>
      </c>
      <c r="C1847" s="4" t="s">
        <v>325</v>
      </c>
      <c r="D1847" s="94">
        <v>1509.0</v>
      </c>
    </row>
    <row r="1848">
      <c r="A1848" s="40">
        <f t="array" ref="A1848">IFNA(index(PlayerValues!A:A,match(IFNA(vlookup(B1848,'Special Names'!A:B,2,FALSE),B1848),PlayerValues!E:E,0)),"N/A")</f>
        <v>16792</v>
      </c>
      <c r="B1848" s="4" t="s">
        <v>704</v>
      </c>
      <c r="C1848" s="4" t="s">
        <v>287</v>
      </c>
      <c r="D1848" s="94">
        <v>1492.0</v>
      </c>
    </row>
    <row r="1849">
      <c r="A1849" s="40">
        <f t="array" ref="A1849">IFNA(index(PlayerValues!A:A,match(IFNA(vlookup(B1849,'Special Names'!A:B,2,FALSE),B1849),PlayerValues!E:E,0)),"N/A")</f>
        <v>16631</v>
      </c>
      <c r="B1849" s="4" t="s">
        <v>800</v>
      </c>
      <c r="C1849" s="4" t="s">
        <v>287</v>
      </c>
      <c r="D1849" s="94">
        <v>1469.0</v>
      </c>
    </row>
    <row r="1850">
      <c r="A1850" s="40">
        <f t="array" ref="A1850">IFNA(index(PlayerValues!A:A,match(IFNA(vlookup(B1850,'Special Names'!A:B,2,FALSE),B1850),PlayerValues!E:E,0)),"N/A")</f>
        <v>16390</v>
      </c>
      <c r="B1850" s="4" t="s">
        <v>689</v>
      </c>
      <c r="C1850" s="4" t="s">
        <v>278</v>
      </c>
      <c r="D1850" s="94">
        <v>1466.0</v>
      </c>
    </row>
    <row r="1851">
      <c r="A1851" s="40">
        <f t="array" ref="A1851">IFNA(index(PlayerValues!A:A,match(IFNA(vlookup(B1851,'Special Names'!A:B,2,FALSE),B1851),PlayerValues!E:E,0)),"N/A")</f>
        <v>16788</v>
      </c>
      <c r="B1851" s="4" t="s">
        <v>621</v>
      </c>
      <c r="C1851" s="4" t="s">
        <v>287</v>
      </c>
      <c r="D1851" s="94">
        <v>1463.0</v>
      </c>
    </row>
    <row r="1852">
      <c r="A1852" s="40">
        <f t="array" ref="A1852">IFNA(index(PlayerValues!A:A,match(IFNA(vlookup(B1852,'Special Names'!A:B,2,FALSE),B1852),PlayerValues!E:E,0)),"N/A")</f>
        <v>17485</v>
      </c>
      <c r="B1852" s="4" t="s">
        <v>522</v>
      </c>
      <c r="C1852" s="4" t="s">
        <v>278</v>
      </c>
      <c r="D1852" s="94">
        <v>1463.0</v>
      </c>
    </row>
    <row r="1853">
      <c r="A1853" s="40">
        <f t="array" ref="A1853">IFNA(index(PlayerValues!A:A,match(IFNA(vlookup(B1853,'Special Names'!A:B,2,FALSE),B1853),PlayerValues!E:E,0)),"N/A")</f>
        <v>17054</v>
      </c>
      <c r="B1853" s="4" t="s">
        <v>670</v>
      </c>
      <c r="C1853" s="4" t="s">
        <v>278</v>
      </c>
      <c r="D1853" s="94">
        <v>1458.0</v>
      </c>
    </row>
    <row r="1854">
      <c r="A1854" s="40">
        <f t="array" ref="A1854">IFNA(index(PlayerValues!A:A,match(IFNA(vlookup(B1854,'Special Names'!A:B,2,FALSE),B1854),PlayerValues!E:E,0)),"N/A")</f>
        <v>15873</v>
      </c>
      <c r="B1854" s="4" t="s">
        <v>681</v>
      </c>
      <c r="C1854" s="4" t="s">
        <v>298</v>
      </c>
      <c r="D1854" s="94">
        <v>1826.0</v>
      </c>
    </row>
    <row r="1855">
      <c r="A1855" s="40">
        <f t="array" ref="A1855">IFNA(index(PlayerValues!A:A,match(IFNA(vlookup(B1855,'Special Names'!A:B,2,FALSE),B1855),PlayerValues!E:E,0)),"N/A")</f>
        <v>15777</v>
      </c>
      <c r="B1855" s="4" t="s">
        <v>694</v>
      </c>
      <c r="C1855" s="4" t="s">
        <v>287</v>
      </c>
      <c r="D1855" s="94">
        <v>1448.0</v>
      </c>
    </row>
    <row r="1856">
      <c r="A1856" s="40">
        <f t="array" ref="A1856">IFNA(index(PlayerValues!A:A,match(IFNA(vlookup(B1856,'Special Names'!A:B,2,FALSE),B1856),PlayerValues!E:E,0)),"N/A")</f>
        <v>16384</v>
      </c>
      <c r="B1856" s="4" t="s">
        <v>696</v>
      </c>
      <c r="C1856" s="4" t="s">
        <v>283</v>
      </c>
      <c r="D1856" s="94">
        <v>1444.0</v>
      </c>
    </row>
    <row r="1857">
      <c r="A1857" s="40">
        <f t="array" ref="A1857">IFNA(index(PlayerValues!A:A,match(IFNA(vlookup(B1857,'Special Names'!A:B,2,FALSE),B1857),PlayerValues!E:E,0)),"N/A")</f>
        <v>13672</v>
      </c>
      <c r="B1857" s="4" t="s">
        <v>667</v>
      </c>
      <c r="C1857" s="4" t="s">
        <v>298</v>
      </c>
      <c r="D1857" s="94">
        <v>1806.0</v>
      </c>
    </row>
    <row r="1858">
      <c r="A1858" s="40">
        <f t="array" ref="A1858">IFNA(index(PlayerValues!A:A,match(IFNA(vlookup(B1858,'Special Names'!A:B,2,FALSE),B1858),PlayerValues!E:E,0)),"N/A")</f>
        <v>16642</v>
      </c>
      <c r="B1858" s="4" t="s">
        <v>691</v>
      </c>
      <c r="C1858" s="4" t="s">
        <v>298</v>
      </c>
      <c r="D1858" s="94">
        <v>1802.0</v>
      </c>
    </row>
    <row r="1859">
      <c r="A1859" s="40">
        <f t="array" ref="A1859">IFNA(index(PlayerValues!A:A,match(IFNA(vlookup(B1859,'Special Names'!A:B,2,FALSE),B1859),PlayerValues!E:E,0)),"N/A")</f>
        <v>13418</v>
      </c>
      <c r="B1859" s="4" t="s">
        <v>706</v>
      </c>
      <c r="C1859" s="4" t="s">
        <v>287</v>
      </c>
      <c r="D1859" s="94">
        <v>1425.0</v>
      </c>
    </row>
    <row r="1860">
      <c r="A1860" s="40">
        <f t="array" ref="A1860">IFNA(index(PlayerValues!A:A,match(IFNA(vlookup(B1860,'Special Names'!A:B,2,FALSE),B1860),PlayerValues!E:E,0)),"N/A")</f>
        <v>17037</v>
      </c>
      <c r="B1860" s="4" t="s">
        <v>727</v>
      </c>
      <c r="C1860" s="4" t="s">
        <v>283</v>
      </c>
      <c r="D1860" s="94">
        <v>1425.0</v>
      </c>
    </row>
    <row r="1861">
      <c r="A1861" s="40">
        <f t="array" ref="A1861">IFNA(index(PlayerValues!A:A,match(IFNA(vlookup(B1861,'Special Names'!A:B,2,FALSE),B1861),PlayerValues!E:E,0)),"N/A")</f>
        <v>16621</v>
      </c>
      <c r="B1861" s="4" t="s">
        <v>672</v>
      </c>
      <c r="C1861" s="4" t="s">
        <v>287</v>
      </c>
      <c r="D1861" s="94">
        <v>1407.0</v>
      </c>
    </row>
    <row r="1862">
      <c r="A1862" s="40">
        <f t="array" ref="A1862">IFNA(index(PlayerValues!A:A,match(IFNA(vlookup(B1862,'Special Names'!A:B,2,FALSE),B1862),PlayerValues!E:E,0)),"N/A")</f>
        <v>15292</v>
      </c>
      <c r="B1862" s="4" t="s">
        <v>682</v>
      </c>
      <c r="C1862" s="4" t="s">
        <v>287</v>
      </c>
      <c r="D1862" s="94">
        <v>1397.0</v>
      </c>
    </row>
    <row r="1863">
      <c r="A1863" s="40">
        <f t="array" ref="A1863">IFNA(index(PlayerValues!A:A,match(IFNA(vlookup(B1863,'Special Names'!A:B,2,FALSE),B1863),PlayerValues!E:E,0)),"N/A")</f>
        <v>14137</v>
      </c>
      <c r="B1863" s="4" t="s">
        <v>676</v>
      </c>
      <c r="C1863" s="4" t="s">
        <v>298</v>
      </c>
      <c r="D1863" s="94">
        <v>1757.0</v>
      </c>
    </row>
    <row r="1864">
      <c r="A1864" s="40">
        <f t="array" ref="A1864">IFNA(index(PlayerValues!A:A,match(IFNA(vlookup(B1864,'Special Names'!A:B,2,FALSE),B1864),PlayerValues!E:E,0)),"N/A")</f>
        <v>12140</v>
      </c>
      <c r="B1864" s="4" t="s">
        <v>702</v>
      </c>
      <c r="C1864" s="4" t="s">
        <v>283</v>
      </c>
      <c r="D1864" s="94">
        <v>1378.0</v>
      </c>
    </row>
    <row r="1865">
      <c r="A1865" s="40">
        <f t="array" ref="A1865">IFNA(index(PlayerValues!A:A,match(IFNA(vlookup(B1865,'Special Names'!A:B,2,FALSE),B1865),PlayerValues!E:E,0)),"N/A")</f>
        <v>14086</v>
      </c>
      <c r="B1865" s="4" t="s">
        <v>639</v>
      </c>
      <c r="C1865" s="4" t="s">
        <v>278</v>
      </c>
      <c r="D1865" s="94">
        <v>1370.0</v>
      </c>
    </row>
    <row r="1866">
      <c r="A1866" s="40">
        <f t="array" ref="A1866">IFNA(index(PlayerValues!A:A,match(IFNA(vlookup(B1866,'Special Names'!A:B,2,FALSE),B1866),PlayerValues!E:E,0)),"N/A")</f>
        <v>11222</v>
      </c>
      <c r="B1866" s="4" t="s">
        <v>622</v>
      </c>
      <c r="C1866" s="4" t="s">
        <v>287</v>
      </c>
      <c r="D1866" s="94">
        <v>1364.0</v>
      </c>
    </row>
    <row r="1867">
      <c r="A1867" s="40">
        <f t="array" ref="A1867">IFNA(index(PlayerValues!A:A,match(IFNA(vlookup(B1867,'Special Names'!A:B,2,FALSE),B1867),PlayerValues!E:E,0)),"N/A")</f>
        <v>16149</v>
      </c>
      <c r="B1867" s="4" t="s">
        <v>740</v>
      </c>
      <c r="C1867" s="4" t="s">
        <v>283</v>
      </c>
      <c r="D1867" s="94">
        <v>1364.0</v>
      </c>
    </row>
    <row r="1868">
      <c r="A1868" s="40">
        <f t="array" ref="A1868">IFNA(index(PlayerValues!A:A,match(IFNA(vlookup(B1868,'Special Names'!A:B,2,FALSE),B1868),PlayerValues!E:E,0)),"N/A")</f>
        <v>15252</v>
      </c>
      <c r="B1868" s="4" t="s">
        <v>715</v>
      </c>
      <c r="C1868" s="4" t="s">
        <v>283</v>
      </c>
      <c r="D1868" s="94">
        <v>1360.0</v>
      </c>
    </row>
    <row r="1869">
      <c r="A1869" s="40">
        <f t="array" ref="A1869">IFNA(index(PlayerValues!A:A,match(IFNA(vlookup(B1869,'Special Names'!A:B,2,FALSE),B1869),PlayerValues!E:E,0)),"N/A")</f>
        <v>17062</v>
      </c>
      <c r="B1869" s="4" t="s">
        <v>701</v>
      </c>
      <c r="C1869" s="4" t="s">
        <v>278</v>
      </c>
      <c r="D1869" s="94">
        <v>1359.0</v>
      </c>
    </row>
    <row r="1870">
      <c r="A1870" s="40">
        <f t="array" ref="A1870">IFNA(index(PlayerValues!A:A,match(IFNA(vlookup(B1870,'Special Names'!A:B,2,FALSE),B1870),PlayerValues!E:E,0)),"N/A")</f>
        <v>17254</v>
      </c>
      <c r="B1870" s="4" t="s">
        <v>679</v>
      </c>
      <c r="C1870" s="4" t="s">
        <v>287</v>
      </c>
      <c r="D1870" s="94">
        <v>1357.0</v>
      </c>
    </row>
    <row r="1871">
      <c r="A1871" s="40">
        <f t="array" ref="A1871">IFNA(index(PlayerValues!A:A,match(IFNA(vlookup(B1871,'Special Names'!A:B,2,FALSE),B1871),PlayerValues!E:E,0)),"N/A")</f>
        <v>17529</v>
      </c>
      <c r="B1871" s="4" t="s">
        <v>608</v>
      </c>
      <c r="C1871" s="4" t="s">
        <v>287</v>
      </c>
      <c r="D1871" s="94">
        <v>1340.0</v>
      </c>
    </row>
    <row r="1872">
      <c r="A1872" s="40">
        <f t="array" ref="A1872">IFNA(index(PlayerValues!A:A,match(IFNA(vlookup(B1872,'Special Names'!A:B,2,FALSE),B1872),PlayerValues!E:E,0)),"N/A")</f>
        <v>15332</v>
      </c>
      <c r="B1872" s="4" t="s">
        <v>698</v>
      </c>
      <c r="C1872" s="4" t="s">
        <v>298</v>
      </c>
      <c r="D1872" s="94">
        <v>1682.0</v>
      </c>
    </row>
    <row r="1873">
      <c r="A1873" s="40">
        <f t="array" ref="A1873">IFNA(index(PlayerValues!A:A,match(IFNA(vlookup(B1873,'Special Names'!A:B,2,FALSE),B1873),PlayerValues!E:E,0)),"N/A")</f>
        <v>12678</v>
      </c>
      <c r="B1873" s="4" t="s">
        <v>703</v>
      </c>
      <c r="C1873" s="4" t="s">
        <v>298</v>
      </c>
      <c r="D1873" s="94">
        <v>1664.0</v>
      </c>
    </row>
    <row r="1874">
      <c r="A1874" s="40">
        <f t="array" ref="A1874">IFNA(index(PlayerValues!A:A,match(IFNA(vlookup(B1874,'Special Names'!A:B,2,FALSE),B1874),PlayerValues!E:E,0)),"N/A")</f>
        <v>15738</v>
      </c>
      <c r="B1874" s="4" t="s">
        <v>634</v>
      </c>
      <c r="C1874" s="4" t="s">
        <v>278</v>
      </c>
      <c r="D1874" s="94">
        <v>1298.0</v>
      </c>
    </row>
    <row r="1875">
      <c r="A1875" s="40">
        <f t="array" ref="A1875">IFNA(index(PlayerValues!A:A,match(IFNA(vlookup(B1875,'Special Names'!A:B,2,FALSE),B1875),PlayerValues!E:E,0)),"N/A")</f>
        <v>17077</v>
      </c>
      <c r="B1875" s="4" t="s">
        <v>714</v>
      </c>
      <c r="C1875" s="4" t="s">
        <v>287</v>
      </c>
      <c r="D1875" s="94">
        <v>1298.0</v>
      </c>
    </row>
    <row r="1876">
      <c r="A1876" s="40">
        <f t="array" ref="A1876">IFNA(index(PlayerValues!A:A,match(IFNA(vlookup(B1876,'Special Names'!A:B,2,FALSE),B1876),PlayerValues!E:E,0)),"N/A")</f>
        <v>14095</v>
      </c>
      <c r="B1876" s="4" t="s">
        <v>680</v>
      </c>
      <c r="C1876" s="4" t="s">
        <v>278</v>
      </c>
      <c r="D1876" s="94">
        <v>1294.0</v>
      </c>
    </row>
    <row r="1877">
      <c r="A1877" s="40">
        <f t="array" ref="A1877">IFNA(index(PlayerValues!A:A,match(IFNA(vlookup(B1877,'Special Names'!A:B,2,FALSE),B1877),PlayerValues!E:E,0)),"N/A")</f>
        <v>16608</v>
      </c>
      <c r="B1877" s="4" t="s">
        <v>629</v>
      </c>
      <c r="C1877" s="4" t="s">
        <v>278</v>
      </c>
      <c r="D1877" s="94">
        <v>1293.0</v>
      </c>
    </row>
    <row r="1878">
      <c r="A1878" s="40">
        <f t="array" ref="A1878">IFNA(index(PlayerValues!A:A,match(IFNA(vlookup(B1878,'Special Names'!A:B,2,FALSE),B1878),PlayerValues!E:E,0)),"N/A")</f>
        <v>12141</v>
      </c>
      <c r="B1878" s="4" t="s">
        <v>744</v>
      </c>
      <c r="C1878" s="4" t="s">
        <v>283</v>
      </c>
      <c r="D1878" s="94">
        <v>1288.0</v>
      </c>
    </row>
    <row r="1879">
      <c r="A1879" s="40">
        <f t="array" ref="A1879">IFNA(index(PlayerValues!A:A,match(IFNA(vlookup(B1879,'Special Names'!A:B,2,FALSE),B1879),PlayerValues!E:E,0)),"N/A")</f>
        <v>17567</v>
      </c>
      <c r="B1879" s="4" t="s">
        <v>571</v>
      </c>
      <c r="C1879" s="4" t="s">
        <v>298</v>
      </c>
      <c r="D1879" s="94">
        <v>1655.0</v>
      </c>
    </row>
    <row r="1880">
      <c r="A1880" s="40" t="str">
        <f t="array" ref="A1880">IFNA(index(PlayerValues!A:A,match(IFNA(vlookup(B1880,'Special Names'!A:B,2,FALSE),B1880),PlayerValues!E:E,0)),"N/A")</f>
        <v>N/A</v>
      </c>
      <c r="B1880" s="4" t="s">
        <v>117</v>
      </c>
      <c r="C1880" s="4" t="s">
        <v>325</v>
      </c>
      <c r="D1880" s="94">
        <v>1286.0</v>
      </c>
    </row>
    <row r="1881">
      <c r="A1881" s="40">
        <f t="array" ref="A1881">IFNA(index(PlayerValues!A:A,match(IFNA(vlookup(B1881,'Special Names'!A:B,2,FALSE),B1881),PlayerValues!E:E,0)),"N/A")</f>
        <v>14592</v>
      </c>
      <c r="B1881" s="4" t="s">
        <v>705</v>
      </c>
      <c r="C1881" s="4" t="s">
        <v>287</v>
      </c>
      <c r="D1881" s="94">
        <v>1278.0</v>
      </c>
    </row>
    <row r="1882">
      <c r="A1882" s="40">
        <f t="array" ref="A1882">IFNA(index(PlayerValues!A:A,match(IFNA(vlookup(B1882,'Special Names'!A:B,2,FALSE),B1882),PlayerValues!E:E,0)),"N/A")</f>
        <v>17521</v>
      </c>
      <c r="B1882" s="4" t="s">
        <v>573</v>
      </c>
      <c r="C1882" s="4" t="s">
        <v>287</v>
      </c>
      <c r="D1882" s="94">
        <v>1278.0</v>
      </c>
    </row>
    <row r="1883">
      <c r="A1883" s="40">
        <f t="array" ref="A1883">IFNA(index(PlayerValues!A:A,match(IFNA(vlookup(B1883,'Special Names'!A:B,2,FALSE),B1883),PlayerValues!E:E,0)),"N/A")</f>
        <v>17097</v>
      </c>
      <c r="B1883" s="4" t="s">
        <v>659</v>
      </c>
      <c r="C1883" s="4" t="s">
        <v>287</v>
      </c>
      <c r="D1883" s="94">
        <v>1267.0</v>
      </c>
    </row>
    <row r="1884">
      <c r="A1884" s="40">
        <f t="array" ref="A1884">IFNA(index(PlayerValues!A:A,match(IFNA(vlookup(B1884,'Special Names'!A:B,2,FALSE),B1884),PlayerValues!E:E,0)),"N/A")</f>
        <v>14080</v>
      </c>
      <c r="B1884" s="4" t="s">
        <v>716</v>
      </c>
      <c r="C1884" s="4" t="s">
        <v>278</v>
      </c>
      <c r="D1884" s="94">
        <v>1259.0</v>
      </c>
    </row>
    <row r="1885">
      <c r="A1885" s="40">
        <f t="array" ref="A1885">IFNA(index(PlayerValues!A:A,match(IFNA(vlookup(B1885,'Special Names'!A:B,2,FALSE),B1885),PlayerValues!E:E,0)),"N/A")</f>
        <v>17269</v>
      </c>
      <c r="B1885" s="4" t="s">
        <v>718</v>
      </c>
      <c r="C1885" s="4" t="s">
        <v>287</v>
      </c>
      <c r="D1885" s="94">
        <v>1254.0</v>
      </c>
    </row>
    <row r="1886">
      <c r="A1886" s="40">
        <f t="array" ref="A1886">IFNA(index(PlayerValues!A:A,match(IFNA(vlookup(B1886,'Special Names'!A:B,2,FALSE),B1886),PlayerValues!E:E,0)),"N/A")</f>
        <v>15702</v>
      </c>
      <c r="B1886" s="4" t="s">
        <v>723</v>
      </c>
      <c r="C1886" s="4" t="s">
        <v>283</v>
      </c>
      <c r="D1886" s="94">
        <v>1253.0</v>
      </c>
    </row>
    <row r="1887">
      <c r="A1887" s="40">
        <f t="array" ref="A1887">IFNA(index(PlayerValues!A:A,match(IFNA(vlookup(B1887,'Special Names'!A:B,2,FALSE),B1887),PlayerValues!E:E,0)),"N/A")</f>
        <v>16183</v>
      </c>
      <c r="B1887" s="4" t="s">
        <v>678</v>
      </c>
      <c r="C1887" s="4" t="s">
        <v>287</v>
      </c>
      <c r="D1887" s="94">
        <v>1235.0</v>
      </c>
    </row>
    <row r="1888">
      <c r="A1888" s="40">
        <f t="array" ref="A1888">IFNA(index(PlayerValues!A:A,match(IFNA(vlookup(B1888,'Special Names'!A:B,2,FALSE),B1888),PlayerValues!E:E,0)),"N/A")</f>
        <v>16333</v>
      </c>
      <c r="B1888" s="4" t="s">
        <v>711</v>
      </c>
      <c r="C1888" s="4" t="s">
        <v>298</v>
      </c>
      <c r="D1888" s="94">
        <v>1595.0</v>
      </c>
    </row>
    <row r="1889">
      <c r="A1889" s="40">
        <f t="array" ref="A1889">IFNA(index(PlayerValues!A:A,match(IFNA(vlookup(B1889,'Special Names'!A:B,2,FALSE),B1889),PlayerValues!E:E,0)),"N/A")</f>
        <v>16636</v>
      </c>
      <c r="B1889" s="4" t="s">
        <v>699</v>
      </c>
      <c r="C1889" s="4" t="s">
        <v>287</v>
      </c>
      <c r="D1889" s="94">
        <v>1225.0</v>
      </c>
    </row>
    <row r="1890">
      <c r="A1890" s="40">
        <f t="array" ref="A1890">IFNA(index(PlayerValues!A:A,match(IFNA(vlookup(B1890,'Special Names'!A:B,2,FALSE),B1890),PlayerValues!E:E,0)),"N/A")</f>
        <v>17607</v>
      </c>
      <c r="B1890" s="4" t="s">
        <v>526</v>
      </c>
      <c r="C1890" s="4" t="s">
        <v>298</v>
      </c>
      <c r="D1890" s="94">
        <v>1592.0</v>
      </c>
    </row>
    <row r="1891">
      <c r="A1891" s="40">
        <f t="array" ref="A1891">IFNA(index(PlayerValues!A:A,match(IFNA(vlookup(B1891,'Special Names'!A:B,2,FALSE),B1891),PlayerValues!E:E,0)),"N/A")</f>
        <v>16645</v>
      </c>
      <c r="B1891" s="4" t="s">
        <v>651</v>
      </c>
      <c r="C1891" s="4" t="s">
        <v>298</v>
      </c>
      <c r="D1891" s="94">
        <v>1590.0</v>
      </c>
    </row>
    <row r="1892">
      <c r="A1892" s="40">
        <f t="array" ref="A1892">IFNA(index(PlayerValues!A:A,match(IFNA(vlookup(B1892,'Special Names'!A:B,2,FALSE),B1892),PlayerValues!E:E,0)),"N/A")</f>
        <v>16387</v>
      </c>
      <c r="B1892" s="4" t="s">
        <v>646</v>
      </c>
      <c r="C1892" s="4" t="s">
        <v>278</v>
      </c>
      <c r="D1892" s="94">
        <v>1217.0</v>
      </c>
    </row>
    <row r="1893">
      <c r="A1893" s="40">
        <f t="array" ref="A1893">IFNA(index(PlayerValues!A:A,match(IFNA(vlookup(B1893,'Special Names'!A:B,2,FALSE),B1893),PlayerValues!E:E,0)),"N/A")</f>
        <v>16746</v>
      </c>
      <c r="B1893" s="4" t="s">
        <v>709</v>
      </c>
      <c r="C1893" s="4" t="s">
        <v>278</v>
      </c>
      <c r="D1893" s="94">
        <v>1212.0</v>
      </c>
    </row>
    <row r="1894">
      <c r="A1894" s="40">
        <f t="array" ref="A1894">IFNA(index(PlayerValues!A:A,match(IFNA(vlookup(B1894,'Special Names'!A:B,2,FALSE),B1894),PlayerValues!E:E,0)),"N/A")</f>
        <v>17519</v>
      </c>
      <c r="B1894" s="4" t="s">
        <v>593</v>
      </c>
      <c r="C1894" s="4" t="s">
        <v>287</v>
      </c>
      <c r="D1894" s="94">
        <v>1206.0</v>
      </c>
    </row>
    <row r="1895">
      <c r="A1895" s="40">
        <f t="array" ref="A1895">IFNA(index(PlayerValues!A:A,match(IFNA(vlookup(B1895,'Special Names'!A:B,2,FALSE),B1895),PlayerValues!E:E,0)),"N/A")</f>
        <v>15288</v>
      </c>
      <c r="B1895" s="4" t="s">
        <v>700</v>
      </c>
      <c r="C1895" s="4" t="s">
        <v>287</v>
      </c>
      <c r="D1895" s="94">
        <v>1203.0</v>
      </c>
    </row>
    <row r="1896">
      <c r="A1896" s="40">
        <f t="array" ref="A1896">IFNA(index(PlayerValues!A:A,match(IFNA(vlookup(B1896,'Special Names'!A:B,2,FALSE),B1896),PlayerValues!E:E,0)),"N/A")</f>
        <v>16883</v>
      </c>
      <c r="B1896" s="4" t="s">
        <v>683</v>
      </c>
      <c r="C1896" s="4" t="s">
        <v>287</v>
      </c>
      <c r="D1896" s="94">
        <v>1199.0</v>
      </c>
    </row>
    <row r="1897">
      <c r="A1897" s="40">
        <f t="array" ref="A1897">IFNA(index(PlayerValues!A:A,match(IFNA(vlookup(B1897,'Special Names'!A:B,2,FALSE),B1897),PlayerValues!E:E,0)),"N/A")</f>
        <v>17063</v>
      </c>
      <c r="B1897" s="4" t="s">
        <v>686</v>
      </c>
      <c r="C1897" s="4" t="s">
        <v>278</v>
      </c>
      <c r="D1897" s="94">
        <v>1197.0</v>
      </c>
    </row>
    <row r="1898">
      <c r="A1898" s="40">
        <f t="array" ref="A1898">IFNA(index(PlayerValues!A:A,match(IFNA(vlookup(B1898,'Special Names'!A:B,2,FALSE),B1898),PlayerValues!E:E,0)),"N/A")</f>
        <v>16199</v>
      </c>
      <c r="B1898" s="4" t="s">
        <v>687</v>
      </c>
      <c r="C1898" s="4" t="s">
        <v>287</v>
      </c>
      <c r="D1898" s="94">
        <v>1195.0</v>
      </c>
    </row>
    <row r="1899">
      <c r="A1899" s="40">
        <f t="array" ref="A1899">IFNA(index(PlayerValues!A:A,match(IFNA(vlookup(B1899,'Special Names'!A:B,2,FALSE),B1899),PlayerValues!E:E,0)),"N/A")</f>
        <v>16221</v>
      </c>
      <c r="B1899" s="4" t="s">
        <v>725</v>
      </c>
      <c r="C1899" s="4" t="s">
        <v>298</v>
      </c>
      <c r="D1899" s="94">
        <v>1556.0</v>
      </c>
    </row>
    <row r="1900">
      <c r="A1900" s="40">
        <f t="array" ref="A1900">IFNA(index(PlayerValues!A:A,match(IFNA(vlookup(B1900,'Special Names'!A:B,2,FALSE),B1900),PlayerValues!E:E,0)),"N/A")</f>
        <v>17057</v>
      </c>
      <c r="B1900" s="4" t="s">
        <v>708</v>
      </c>
      <c r="C1900" s="4" t="s">
        <v>278</v>
      </c>
      <c r="D1900" s="94">
        <v>1175.0</v>
      </c>
    </row>
    <row r="1901">
      <c r="A1901" s="40">
        <f t="array" ref="A1901">IFNA(index(PlayerValues!A:A,match(IFNA(vlookup(B1901,'Special Names'!A:B,2,FALSE),B1901),PlayerValues!E:E,0)),"N/A")</f>
        <v>17109</v>
      </c>
      <c r="B1901" s="4" t="s">
        <v>707</v>
      </c>
      <c r="C1901" s="4" t="s">
        <v>298</v>
      </c>
      <c r="D1901" s="94">
        <v>1542.0</v>
      </c>
    </row>
    <row r="1902">
      <c r="A1902" s="40">
        <f t="array" ref="A1902">IFNA(index(PlayerValues!A:A,match(IFNA(vlookup(B1902,'Special Names'!A:B,2,FALSE),B1902),PlayerValues!E:E,0)),"N/A")</f>
        <v>15981</v>
      </c>
      <c r="B1902" s="4" t="s">
        <v>729</v>
      </c>
      <c r="C1902" s="4" t="s">
        <v>287</v>
      </c>
      <c r="D1902" s="94">
        <v>1173.0</v>
      </c>
    </row>
    <row r="1903">
      <c r="A1903" s="40">
        <f t="array" ref="A1903">IFNA(index(PlayerValues!A:A,match(IFNA(vlookup(B1903,'Special Names'!A:B,2,FALSE),B1903),PlayerValues!E:E,0)),"N/A")</f>
        <v>14789</v>
      </c>
      <c r="B1903" s="4" t="s">
        <v>721</v>
      </c>
      <c r="C1903" s="4" t="s">
        <v>283</v>
      </c>
      <c r="D1903" s="94">
        <v>1158.0</v>
      </c>
    </row>
    <row r="1904">
      <c r="A1904" s="40">
        <f t="array" ref="A1904">IFNA(index(PlayerValues!A:A,match(IFNA(vlookup(B1904,'Special Names'!A:B,2,FALSE),B1904),PlayerValues!E:E,0)),"N/A")</f>
        <v>14108</v>
      </c>
      <c r="B1904" s="4" t="s">
        <v>673</v>
      </c>
      <c r="C1904" s="4" t="s">
        <v>287</v>
      </c>
      <c r="D1904" s="94">
        <v>1155.0</v>
      </c>
    </row>
    <row r="1905">
      <c r="A1905" s="40">
        <f t="array" ref="A1905">IFNA(index(PlayerValues!A:A,match(IFNA(vlookup(B1905,'Special Names'!A:B,2,FALSE),B1905),PlayerValues!E:E,0)),"N/A")</f>
        <v>14845</v>
      </c>
      <c r="B1905" s="4" t="s">
        <v>717</v>
      </c>
      <c r="C1905" s="4" t="s">
        <v>287</v>
      </c>
      <c r="D1905" s="94">
        <v>1147.0</v>
      </c>
    </row>
    <row r="1906">
      <c r="A1906" s="40">
        <f t="array" ref="A1906">IFNA(index(PlayerValues!A:A,match(IFNA(vlookup(B1906,'Special Names'!A:B,2,FALSE),B1906),PlayerValues!E:E,0)),"N/A")</f>
        <v>16385</v>
      </c>
      <c r="B1906" s="4" t="s">
        <v>690</v>
      </c>
      <c r="C1906" s="4" t="s">
        <v>278</v>
      </c>
      <c r="D1906" s="94">
        <v>1146.0</v>
      </c>
    </row>
    <row r="1907">
      <c r="A1907" s="40">
        <f t="array" ref="A1907">IFNA(index(PlayerValues!A:A,match(IFNA(vlookup(B1907,'Special Names'!A:B,2,FALSE),B1907),PlayerValues!E:E,0)),"N/A")</f>
        <v>17546</v>
      </c>
      <c r="B1907" s="4" t="s">
        <v>671</v>
      </c>
      <c r="C1907" s="4" t="s">
        <v>298</v>
      </c>
      <c r="D1907" s="94">
        <v>1512.0</v>
      </c>
    </row>
    <row r="1908">
      <c r="A1908" s="40">
        <f t="array" ref="A1908">IFNA(index(PlayerValues!A:A,match(IFNA(vlookup(B1908,'Special Names'!A:B,2,FALSE),B1908),PlayerValues!E:E,0)),"N/A")</f>
        <v>15240</v>
      </c>
      <c r="B1908" s="4" t="s">
        <v>751</v>
      </c>
      <c r="C1908" s="4" t="s">
        <v>283</v>
      </c>
      <c r="D1908" s="94">
        <v>1137.0</v>
      </c>
    </row>
    <row r="1909">
      <c r="A1909" s="40">
        <f t="array" ref="A1909">IFNA(index(PlayerValues!A:A,match(IFNA(vlookup(B1909,'Special Names'!A:B,2,FALSE),B1909),PlayerValues!E:E,0)),"N/A")</f>
        <v>14067</v>
      </c>
      <c r="B1909" s="4" t="s">
        <v>735</v>
      </c>
      <c r="C1909" s="4" t="s">
        <v>283</v>
      </c>
      <c r="D1909" s="94">
        <v>1136.0</v>
      </c>
    </row>
    <row r="1910">
      <c r="A1910" s="40">
        <f t="array" ref="A1910">IFNA(index(PlayerValues!A:A,match(IFNA(vlookup(B1910,'Special Names'!A:B,2,FALSE),B1910),PlayerValues!E:E,0)),"N/A")</f>
        <v>15730</v>
      </c>
      <c r="B1910" s="4" t="s">
        <v>734</v>
      </c>
      <c r="C1910" s="4" t="s">
        <v>278</v>
      </c>
      <c r="D1910" s="94">
        <v>1122.0</v>
      </c>
    </row>
    <row r="1911">
      <c r="A1911" s="40">
        <f t="array" ref="A1911">IFNA(index(PlayerValues!A:A,match(IFNA(vlookup(B1911,'Special Names'!A:B,2,FALSE),B1911),PlayerValues!E:E,0)),"N/A")</f>
        <v>13289</v>
      </c>
      <c r="B1911" s="4" t="s">
        <v>746</v>
      </c>
      <c r="C1911" s="4" t="s">
        <v>287</v>
      </c>
      <c r="D1911" s="94">
        <v>1121.0</v>
      </c>
    </row>
    <row r="1912">
      <c r="A1912" s="40">
        <f t="array" ref="A1912">IFNA(index(PlayerValues!A:A,match(IFNA(vlookup(B1912,'Special Names'!A:B,2,FALSE),B1912),PlayerValues!E:E,0)),"N/A")</f>
        <v>17192</v>
      </c>
      <c r="B1912" s="4" t="s">
        <v>677</v>
      </c>
      <c r="C1912" s="4" t="s">
        <v>287</v>
      </c>
      <c r="D1912" s="94">
        <v>1114.0</v>
      </c>
    </row>
    <row r="1913">
      <c r="A1913" s="40">
        <f t="array" ref="A1913">IFNA(index(PlayerValues!A:A,match(IFNA(vlookup(B1913,'Special Names'!A:B,2,FALSE),B1913),PlayerValues!E:E,0)),"N/A")</f>
        <v>17510</v>
      </c>
      <c r="B1913" s="4" t="s">
        <v>661</v>
      </c>
      <c r="C1913" s="4" t="s">
        <v>287</v>
      </c>
      <c r="D1913" s="94">
        <v>1112.0</v>
      </c>
    </row>
    <row r="1914">
      <c r="A1914" s="40">
        <f t="array" ref="A1914">IFNA(index(PlayerValues!A:A,match(IFNA(vlookup(B1914,'Special Names'!A:B,2,FALSE),B1914),PlayerValues!E:E,0)),"N/A")</f>
        <v>13131</v>
      </c>
      <c r="B1914" s="4" t="s">
        <v>815</v>
      </c>
      <c r="C1914" s="4" t="s">
        <v>278</v>
      </c>
      <c r="D1914" s="94">
        <v>1106.0</v>
      </c>
    </row>
    <row r="1915">
      <c r="A1915" s="40">
        <f t="array" ref="A1915">IFNA(index(PlayerValues!A:A,match(IFNA(vlookup(B1915,'Special Names'!A:B,2,FALSE),B1915),PlayerValues!E:E,0)),"N/A")</f>
        <v>16393</v>
      </c>
      <c r="B1915" s="4" t="s">
        <v>768</v>
      </c>
      <c r="C1915" s="4" t="s">
        <v>287</v>
      </c>
      <c r="D1915" s="94">
        <v>1104.0</v>
      </c>
    </row>
    <row r="1916">
      <c r="A1916" s="40">
        <f t="array" ref="A1916">IFNA(index(PlayerValues!A:A,match(IFNA(vlookup(B1916,'Special Names'!A:B,2,FALSE),B1916),PlayerValues!E:E,0)),"N/A")</f>
        <v>17685</v>
      </c>
      <c r="B1916" s="4" t="s">
        <v>630</v>
      </c>
      <c r="C1916" s="4" t="s">
        <v>278</v>
      </c>
      <c r="D1916" s="94">
        <v>1101.0</v>
      </c>
    </row>
    <row r="1917">
      <c r="A1917" s="40">
        <f t="array" ref="A1917">IFNA(index(PlayerValues!A:A,match(IFNA(vlookup(B1917,'Special Names'!A:B,2,FALSE),B1917),PlayerValues!E:E,0)),"N/A")</f>
        <v>15727</v>
      </c>
      <c r="B1917" s="4" t="s">
        <v>730</v>
      </c>
      <c r="C1917" s="4" t="s">
        <v>278</v>
      </c>
      <c r="D1917" s="94">
        <v>1092.0</v>
      </c>
    </row>
    <row r="1918">
      <c r="A1918" s="40">
        <f t="array" ref="A1918">IFNA(index(PlayerValues!A:A,match(IFNA(vlookup(B1918,'Special Names'!A:B,2,FALSE),B1918),PlayerValues!E:E,0)),"N/A")</f>
        <v>9064</v>
      </c>
      <c r="B1918" s="4" t="s">
        <v>761</v>
      </c>
      <c r="C1918" s="4" t="s">
        <v>283</v>
      </c>
      <c r="D1918" s="94">
        <v>1089.0</v>
      </c>
    </row>
    <row r="1919">
      <c r="A1919" s="40">
        <f t="array" ref="A1919">IFNA(index(PlayerValues!A:A,match(IFNA(vlookup(B1919,'Special Names'!A:B,2,FALSE),B1919),PlayerValues!E:E,0)),"N/A")</f>
        <v>16197</v>
      </c>
      <c r="B1919" s="4" t="s">
        <v>726</v>
      </c>
      <c r="C1919" s="4" t="s">
        <v>287</v>
      </c>
      <c r="D1919" s="94">
        <v>1087.0</v>
      </c>
    </row>
    <row r="1920">
      <c r="A1920" s="40">
        <f t="array" ref="A1920">IFNA(index(PlayerValues!A:A,match(IFNA(vlookup(B1920,'Special Names'!A:B,2,FALSE),B1920),PlayerValues!E:E,0)),"N/A")</f>
        <v>15692</v>
      </c>
      <c r="B1920" s="4" t="s">
        <v>750</v>
      </c>
      <c r="C1920" s="4" t="s">
        <v>283</v>
      </c>
      <c r="D1920" s="94">
        <v>1086.0</v>
      </c>
    </row>
    <row r="1921">
      <c r="A1921" s="40">
        <f t="array" ref="A1921">IFNA(index(PlayerValues!A:A,match(IFNA(vlookup(B1921,'Special Names'!A:B,2,FALSE),B1921),PlayerValues!E:E,0)),"N/A")</f>
        <v>16637</v>
      </c>
      <c r="B1921" s="4" t="s">
        <v>736</v>
      </c>
      <c r="C1921" s="4" t="s">
        <v>287</v>
      </c>
      <c r="D1921" s="94">
        <v>1072.0</v>
      </c>
    </row>
    <row r="1922">
      <c r="A1922" s="40">
        <f t="array" ref="A1922">IFNA(index(PlayerValues!A:A,match(IFNA(vlookup(B1922,'Special Names'!A:B,2,FALSE),B1922),PlayerValues!E:E,0)),"N/A")</f>
        <v>17050</v>
      </c>
      <c r="B1922" s="4" t="s">
        <v>713</v>
      </c>
      <c r="C1922" s="4" t="s">
        <v>278</v>
      </c>
      <c r="D1922" s="94">
        <v>1065.0</v>
      </c>
    </row>
    <row r="1923">
      <c r="A1923" s="40">
        <f t="array" ref="A1923">IFNA(index(PlayerValues!A:A,match(IFNA(vlookup(B1923,'Special Names'!A:B,2,FALSE),B1923),PlayerValues!E:E,0)),"N/A")</f>
        <v>17599</v>
      </c>
      <c r="B1923" s="4" t="s">
        <v>496</v>
      </c>
      <c r="C1923" s="4" t="s">
        <v>287</v>
      </c>
      <c r="D1923" s="94">
        <v>1064.0</v>
      </c>
    </row>
    <row r="1924">
      <c r="A1924" s="40">
        <f t="array" ref="A1924">IFNA(index(PlayerValues!A:A,match(IFNA(vlookup(B1924,'Special Names'!A:B,2,FALSE),B1924),PlayerValues!E:E,0)),"N/A")</f>
        <v>16640</v>
      </c>
      <c r="B1924" s="4" t="s">
        <v>712</v>
      </c>
      <c r="C1924" s="4" t="s">
        <v>287</v>
      </c>
      <c r="D1924" s="94">
        <v>1060.0</v>
      </c>
    </row>
    <row r="1925">
      <c r="A1925" s="40">
        <f t="array" ref="A1925">IFNA(index(PlayerValues!A:A,match(IFNA(vlookup(B1925,'Special Names'!A:B,2,FALSE),B1925),PlayerValues!E:E,0)),"N/A")</f>
        <v>15693</v>
      </c>
      <c r="B1925" s="4" t="s">
        <v>755</v>
      </c>
      <c r="C1925" s="4" t="s">
        <v>283</v>
      </c>
      <c r="D1925" s="94">
        <v>1036.0</v>
      </c>
    </row>
    <row r="1926">
      <c r="A1926" s="40">
        <f t="array" ref="A1926">IFNA(index(PlayerValues!A:A,match(IFNA(vlookup(B1926,'Special Names'!A:B,2,FALSE),B1926),PlayerValues!E:E,0)),"N/A")</f>
        <v>13193</v>
      </c>
      <c r="B1926" s="4" t="s">
        <v>773</v>
      </c>
      <c r="C1926" s="4" t="s">
        <v>298</v>
      </c>
      <c r="D1926" s="94">
        <v>1402.0</v>
      </c>
    </row>
    <row r="1927">
      <c r="A1927" s="40">
        <f t="array" ref="A1927">IFNA(index(PlayerValues!A:A,match(IFNA(vlookup(B1927,'Special Names'!A:B,2,FALSE),B1927),PlayerValues!E:E,0)),"N/A")</f>
        <v>11247</v>
      </c>
      <c r="B1927" s="4" t="s">
        <v>816</v>
      </c>
      <c r="C1927" s="4" t="s">
        <v>298</v>
      </c>
      <c r="D1927" s="94">
        <v>1394.0</v>
      </c>
    </row>
    <row r="1928">
      <c r="A1928" s="40">
        <f t="array" ref="A1928">IFNA(index(PlayerValues!A:A,match(IFNA(vlookup(B1928,'Special Names'!A:B,2,FALSE),B1928),PlayerValues!E:E,0)),"N/A")</f>
        <v>16451</v>
      </c>
      <c r="B1928" s="4" t="s">
        <v>769</v>
      </c>
      <c r="C1928" s="4" t="s">
        <v>287</v>
      </c>
      <c r="D1928" s="94">
        <v>1025.0</v>
      </c>
    </row>
    <row r="1929">
      <c r="A1929" s="40">
        <f t="array" ref="A1929">IFNA(index(PlayerValues!A:A,match(IFNA(vlookup(B1929,'Special Names'!A:B,2,FALSE),B1929),PlayerValues!E:E,0)),"N/A")</f>
        <v>15239</v>
      </c>
      <c r="B1929" s="4" t="s">
        <v>802</v>
      </c>
      <c r="C1929" s="4" t="s">
        <v>283</v>
      </c>
      <c r="D1929" s="94">
        <v>1013.0</v>
      </c>
    </row>
    <row r="1930">
      <c r="A1930" s="40">
        <f t="array" ref="A1930">IFNA(index(PlayerValues!A:A,match(IFNA(vlookup(B1930,'Special Names'!A:B,2,FALSE),B1930),PlayerValues!E:E,0)),"N/A")</f>
        <v>16168</v>
      </c>
      <c r="B1930" s="4" t="s">
        <v>738</v>
      </c>
      <c r="C1930" s="4" t="s">
        <v>278</v>
      </c>
      <c r="D1930" s="94">
        <v>1011.0</v>
      </c>
    </row>
    <row r="1931">
      <c r="A1931" s="40">
        <f t="array" ref="A1931">IFNA(index(PlayerValues!A:A,match(IFNA(vlookup(B1931,'Special Names'!A:B,2,FALSE),B1931),PlayerValues!E:E,0)),"N/A")</f>
        <v>15258</v>
      </c>
      <c r="B1931" s="4" t="s">
        <v>757</v>
      </c>
      <c r="C1931" s="4" t="s">
        <v>278</v>
      </c>
      <c r="D1931" s="94">
        <v>999.0</v>
      </c>
    </row>
    <row r="1932">
      <c r="A1932" s="40">
        <f t="array" ref="A1932">IFNA(index(PlayerValues!A:A,match(IFNA(vlookup(B1932,'Special Names'!A:B,2,FALSE),B1932),PlayerValues!E:E,0)),"N/A")</f>
        <v>15330</v>
      </c>
      <c r="B1932" s="4" t="s">
        <v>749</v>
      </c>
      <c r="C1932" s="4" t="s">
        <v>298</v>
      </c>
      <c r="D1932" s="94">
        <v>1364.0</v>
      </c>
    </row>
    <row r="1933">
      <c r="A1933" s="40">
        <f t="array" ref="A1933">IFNA(index(PlayerValues!A:A,match(IFNA(vlookup(B1933,'Special Names'!A:B,2,FALSE),B1933),PlayerValues!E:E,0)),"N/A")</f>
        <v>16170</v>
      </c>
      <c r="B1933" s="4" t="s">
        <v>801</v>
      </c>
      <c r="C1933" s="4" t="s">
        <v>278</v>
      </c>
      <c r="D1933" s="94">
        <v>997.0</v>
      </c>
    </row>
    <row r="1934">
      <c r="A1934" s="40">
        <f t="array" ref="A1934">IFNA(index(PlayerValues!A:A,match(IFNA(vlookup(B1934,'Special Names'!A:B,2,FALSE),B1934),PlayerValues!E:E,0)),"N/A")</f>
        <v>17652</v>
      </c>
      <c r="B1934" s="4" t="s">
        <v>576</v>
      </c>
      <c r="C1934" s="4" t="s">
        <v>278</v>
      </c>
      <c r="D1934" s="94">
        <v>995.0</v>
      </c>
    </row>
    <row r="1935">
      <c r="A1935" s="40">
        <f t="array" ref="A1935">IFNA(index(PlayerValues!A:A,match(IFNA(vlookup(B1935,'Special Names'!A:B,2,FALSE),B1935),PlayerValues!E:E,0)),"N/A")</f>
        <v>15795</v>
      </c>
      <c r="B1935" s="4" t="s">
        <v>669</v>
      </c>
      <c r="C1935" s="4" t="s">
        <v>298</v>
      </c>
      <c r="D1935" s="94">
        <v>1359.0</v>
      </c>
    </row>
    <row r="1936">
      <c r="A1936" s="40">
        <f t="array" ref="A1936">IFNA(index(PlayerValues!A:A,match(IFNA(vlookup(B1936,'Special Names'!A:B,2,FALSE),B1936),PlayerValues!E:E,0)),"N/A")</f>
        <v>15717</v>
      </c>
      <c r="B1936" s="4" t="s">
        <v>745</v>
      </c>
      <c r="C1936" s="4" t="s">
        <v>278</v>
      </c>
      <c r="D1936" s="94">
        <v>991.0</v>
      </c>
    </row>
    <row r="1937">
      <c r="A1937" s="40">
        <f t="array" ref="A1937">IFNA(index(PlayerValues!A:A,match(IFNA(vlookup(B1937,'Special Names'!A:B,2,FALSE),B1937),PlayerValues!E:E,0)),"N/A")</f>
        <v>15785</v>
      </c>
      <c r="B1937" s="4" t="s">
        <v>763</v>
      </c>
      <c r="C1937" s="4" t="s">
        <v>287</v>
      </c>
      <c r="D1937" s="94">
        <v>986.0</v>
      </c>
    </row>
    <row r="1938">
      <c r="A1938" s="40">
        <f t="array" ref="A1938">IFNA(index(PlayerValues!A:A,match(IFNA(vlookup(B1938,'Special Names'!A:B,2,FALSE),B1938),PlayerValues!E:E,0)),"N/A")</f>
        <v>16648</v>
      </c>
      <c r="B1938" s="4" t="s">
        <v>748</v>
      </c>
      <c r="C1938" s="4" t="s">
        <v>298</v>
      </c>
      <c r="D1938" s="94">
        <v>1352.0</v>
      </c>
    </row>
    <row r="1939">
      <c r="A1939" s="40">
        <f t="array" ref="A1939">IFNA(index(PlayerValues!A:A,match(IFNA(vlookup(B1939,'Special Names'!A:B,2,FALSE),B1939),PlayerValues!E:E,0)),"N/A")</f>
        <v>14849</v>
      </c>
      <c r="B1939" s="4" t="s">
        <v>733</v>
      </c>
      <c r="C1939" s="4" t="s">
        <v>287</v>
      </c>
      <c r="D1939" s="94">
        <v>981.0</v>
      </c>
    </row>
    <row r="1940">
      <c r="A1940" s="40">
        <f t="array" ref="A1940">IFNA(index(PlayerValues!A:A,match(IFNA(vlookup(B1940,'Special Names'!A:B,2,FALSE),B1940),PlayerValues!E:E,0)),"N/A")</f>
        <v>15766</v>
      </c>
      <c r="B1940" s="4" t="s">
        <v>759</v>
      </c>
      <c r="C1940" s="4" t="s">
        <v>287</v>
      </c>
      <c r="D1940" s="94">
        <v>977.0</v>
      </c>
    </row>
    <row r="1941">
      <c r="A1941" s="40">
        <f t="array" ref="A1941">IFNA(index(PlayerValues!A:A,match(IFNA(vlookup(B1941,'Special Names'!A:B,2,FALSE),B1941),PlayerValues!E:E,0)),"N/A")</f>
        <v>16678</v>
      </c>
      <c r="B1941" s="4" t="s">
        <v>758</v>
      </c>
      <c r="C1941" s="4" t="s">
        <v>278</v>
      </c>
      <c r="D1941" s="94">
        <v>975.0</v>
      </c>
    </row>
    <row r="1942">
      <c r="A1942" s="40">
        <f t="array" ref="A1942">IFNA(index(PlayerValues!A:A,match(IFNA(vlookup(B1942,'Special Names'!A:B,2,FALSE),B1942),PlayerValues!E:E,0)),"N/A")</f>
        <v>14118</v>
      </c>
      <c r="B1942" s="4" t="s">
        <v>771</v>
      </c>
      <c r="C1942" s="4" t="s">
        <v>287</v>
      </c>
      <c r="D1942" s="94">
        <v>974.0</v>
      </c>
    </row>
    <row r="1943">
      <c r="A1943" s="40">
        <f t="array" ref="A1943">IFNA(index(PlayerValues!A:A,match(IFNA(vlookup(B1943,'Special Names'!A:B,2,FALSE),B1943),PlayerValues!E:E,0)),"N/A")</f>
        <v>17175</v>
      </c>
      <c r="B1943" s="4" t="s">
        <v>747</v>
      </c>
      <c r="C1943" s="4" t="s">
        <v>287</v>
      </c>
      <c r="D1943" s="94">
        <v>974.0</v>
      </c>
    </row>
    <row r="1944">
      <c r="A1944" s="40">
        <f t="array" ref="A1944">IFNA(index(PlayerValues!A:A,match(IFNA(vlookup(B1944,'Special Names'!A:B,2,FALSE),B1944),PlayerValues!E:E,0)),"N/A")</f>
        <v>14057</v>
      </c>
      <c r="B1944" s="4" t="s">
        <v>765</v>
      </c>
      <c r="C1944" s="4" t="s">
        <v>283</v>
      </c>
      <c r="D1944" s="94">
        <v>973.0</v>
      </c>
    </row>
    <row r="1945">
      <c r="A1945" s="40">
        <f t="array" ref="A1945">IFNA(index(PlayerValues!A:A,match(IFNA(vlookup(B1945,'Special Names'!A:B,2,FALSE),B1945),PlayerValues!E:E,0)),"N/A")</f>
        <v>15758</v>
      </c>
      <c r="B1945" s="4" t="s">
        <v>724</v>
      </c>
      <c r="C1945" s="4" t="s">
        <v>287</v>
      </c>
      <c r="D1945" s="94">
        <v>972.0</v>
      </c>
    </row>
    <row r="1946">
      <c r="A1946" s="40">
        <f t="array" ref="A1946">IFNA(index(PlayerValues!A:A,match(IFNA(vlookup(B1946,'Special Names'!A:B,2,FALSE),B1946),PlayerValues!E:E,0)),"N/A")</f>
        <v>16205</v>
      </c>
      <c r="B1946" s="4" t="s">
        <v>742</v>
      </c>
      <c r="C1946" s="4" t="s">
        <v>287</v>
      </c>
      <c r="D1946" s="94">
        <v>971.0</v>
      </c>
    </row>
    <row r="1947">
      <c r="A1947" s="40">
        <f t="array" ref="A1947">IFNA(index(PlayerValues!A:A,match(IFNA(vlookup(B1947,'Special Names'!A:B,2,FALSE),B1947),PlayerValues!E:E,0)),"N/A")</f>
        <v>15718</v>
      </c>
      <c r="B1947" s="4" t="s">
        <v>753</v>
      </c>
      <c r="C1947" s="4" t="s">
        <v>278</v>
      </c>
      <c r="D1947" s="94">
        <v>966.0</v>
      </c>
    </row>
    <row r="1948">
      <c r="A1948" s="40">
        <f t="array" ref="A1948">IFNA(index(PlayerValues!A:A,match(IFNA(vlookup(B1948,'Special Names'!A:B,2,FALSE),B1948),PlayerValues!E:E,0)),"N/A")</f>
        <v>17479</v>
      </c>
      <c r="B1948" s="4" t="s">
        <v>756</v>
      </c>
      <c r="C1948" s="4" t="s">
        <v>278</v>
      </c>
      <c r="D1948" s="94">
        <v>964.0</v>
      </c>
    </row>
    <row r="1949">
      <c r="A1949" s="40">
        <f t="array" ref="A1949">IFNA(index(PlayerValues!A:A,match(IFNA(vlookup(B1949,'Special Names'!A:B,2,FALSE),B1949),PlayerValues!E:E,0)),"N/A")</f>
        <v>15626</v>
      </c>
      <c r="B1949" s="4" t="s">
        <v>766</v>
      </c>
      <c r="C1949" s="4" t="s">
        <v>298</v>
      </c>
      <c r="D1949" s="94">
        <v>1329.0</v>
      </c>
    </row>
    <row r="1950">
      <c r="A1950" s="40">
        <f t="array" ref="A1950">IFNA(index(PlayerValues!A:A,match(IFNA(vlookup(B1950,'Special Names'!A:B,2,FALSE),B1950),PlayerValues!E:E,0)),"N/A")</f>
        <v>16858</v>
      </c>
      <c r="B1950" s="4" t="s">
        <v>754</v>
      </c>
      <c r="C1950" s="4" t="s">
        <v>287</v>
      </c>
      <c r="D1950" s="94">
        <v>958.0</v>
      </c>
    </row>
    <row r="1951">
      <c r="A1951" s="40">
        <f t="array" ref="A1951">IFNA(index(PlayerValues!A:A,match(IFNA(vlookup(B1951,'Special Names'!A:B,2,FALSE),B1951),PlayerValues!E:E,0)),"N/A")</f>
        <v>15109</v>
      </c>
      <c r="B1951" s="4" t="s">
        <v>728</v>
      </c>
      <c r="C1951" s="4" t="s">
        <v>287</v>
      </c>
      <c r="D1951" s="94">
        <v>956.0</v>
      </c>
    </row>
    <row r="1952">
      <c r="A1952" s="40">
        <f t="array" ref="A1952">IFNA(index(PlayerValues!A:A,match(IFNA(vlookup(B1952,'Special Names'!A:B,2,FALSE),B1952),PlayerValues!E:E,0)),"N/A")</f>
        <v>16219</v>
      </c>
      <c r="B1952" s="4" t="s">
        <v>739</v>
      </c>
      <c r="C1952" s="4" t="s">
        <v>298</v>
      </c>
      <c r="D1952" s="94">
        <v>1300.0</v>
      </c>
    </row>
    <row r="1953">
      <c r="A1953" s="40">
        <f t="array" ref="A1953">IFNA(index(PlayerValues!A:A,match(IFNA(vlookup(B1953,'Special Names'!A:B,2,FALSE),B1953),PlayerValues!E:E,0)),"N/A")</f>
        <v>16624</v>
      </c>
      <c r="B1953" s="4" t="s">
        <v>796</v>
      </c>
      <c r="C1953" s="4" t="s">
        <v>287</v>
      </c>
      <c r="D1953" s="94">
        <v>917.0</v>
      </c>
    </row>
    <row r="1954">
      <c r="A1954" s="40">
        <f t="array" ref="A1954">IFNA(index(PlayerValues!A:A,match(IFNA(vlookup(B1954,'Special Names'!A:B,2,FALSE),B1954),PlayerValues!E:E,0)),"N/A")</f>
        <v>17475</v>
      </c>
      <c r="B1954" s="4" t="s">
        <v>615</v>
      </c>
      <c r="C1954" s="4" t="s">
        <v>278</v>
      </c>
      <c r="D1954" s="94">
        <v>911.0</v>
      </c>
    </row>
    <row r="1955">
      <c r="A1955" s="40">
        <f t="array" ref="A1955">IFNA(index(PlayerValues!A:A,match(IFNA(vlookup(B1955,'Special Names'!A:B,2,FALSE),B1955),PlayerValues!E:E,0)),"N/A")</f>
        <v>15720</v>
      </c>
      <c r="B1955" s="4" t="s">
        <v>795</v>
      </c>
      <c r="C1955" s="4" t="s">
        <v>278</v>
      </c>
      <c r="D1955" s="94">
        <v>907.0</v>
      </c>
    </row>
    <row r="1956">
      <c r="A1956" s="40">
        <f t="array" ref="A1956">IFNA(index(PlayerValues!A:A,match(IFNA(vlookup(B1956,'Special Names'!A:B,2,FALSE),B1956),PlayerValues!E:E,0)),"N/A")</f>
        <v>16773</v>
      </c>
      <c r="B1956" s="4" t="s">
        <v>783</v>
      </c>
      <c r="C1956" s="4" t="s">
        <v>278</v>
      </c>
      <c r="D1956" s="94">
        <v>879.0</v>
      </c>
    </row>
    <row r="1957">
      <c r="A1957" s="40">
        <f t="array" ref="A1957">IFNA(index(PlayerValues!A:A,match(IFNA(vlookup(B1957,'Special Names'!A:B,2,FALSE),B1957),PlayerValues!E:E,0)),"N/A")</f>
        <v>16599</v>
      </c>
      <c r="B1957" s="4" t="s">
        <v>737</v>
      </c>
      <c r="C1957" s="4" t="s">
        <v>278</v>
      </c>
      <c r="D1957" s="94">
        <v>871.0</v>
      </c>
    </row>
    <row r="1958">
      <c r="A1958" s="40">
        <f t="array" ref="A1958">IFNA(index(PlayerValues!A:A,match(IFNA(vlookup(B1958,'Special Names'!A:B,2,FALSE),B1958),PlayerValues!E:E,0)),"N/A")</f>
        <v>16416</v>
      </c>
      <c r="B1958" s="4" t="s">
        <v>752</v>
      </c>
      <c r="C1958" s="4" t="s">
        <v>287</v>
      </c>
      <c r="D1958" s="94">
        <v>866.0</v>
      </c>
    </row>
    <row r="1959">
      <c r="A1959" s="40">
        <f t="array" ref="A1959">IFNA(index(PlayerValues!A:A,match(IFNA(vlookup(B1959,'Special Names'!A:B,2,FALSE),B1959),PlayerValues!E:E,0)),"N/A")</f>
        <v>17549</v>
      </c>
      <c r="B1959" s="4" t="s">
        <v>720</v>
      </c>
      <c r="C1959" s="4" t="s">
        <v>298</v>
      </c>
      <c r="D1959" s="94">
        <v>1231.0</v>
      </c>
    </row>
    <row r="1960">
      <c r="A1960" s="40">
        <f t="array" ref="A1960">IFNA(index(PlayerValues!A:A,match(IFNA(vlookup(B1960,'Special Names'!A:B,2,FALSE),B1960),PlayerValues!E:E,0)),"N/A")</f>
        <v>13138</v>
      </c>
      <c r="B1960" s="4" t="s">
        <v>817</v>
      </c>
      <c r="C1960" s="4" t="s">
        <v>278</v>
      </c>
      <c r="D1960" s="94">
        <v>862.0</v>
      </c>
    </row>
    <row r="1961">
      <c r="A1961" s="40">
        <f t="array" ref="A1961">IFNA(index(PlayerValues!A:A,match(IFNA(vlookup(B1961,'Special Names'!A:B,2,FALSE),B1961),PlayerValues!E:E,0)),"N/A")</f>
        <v>17504</v>
      </c>
      <c r="B1961" s="4" t="s">
        <v>693</v>
      </c>
      <c r="C1961" s="4" t="s">
        <v>287</v>
      </c>
      <c r="D1961" s="94">
        <v>858.0</v>
      </c>
    </row>
    <row r="1962">
      <c r="A1962" s="40">
        <f t="array" ref="A1962">IFNA(index(PlayerValues!A:A,match(IFNA(vlookup(B1962,'Special Names'!A:B,2,FALSE),B1962),PlayerValues!E:E,0)),"N/A")</f>
        <v>17487</v>
      </c>
      <c r="B1962" s="4" t="s">
        <v>692</v>
      </c>
      <c r="C1962" s="4" t="s">
        <v>278</v>
      </c>
      <c r="D1962" s="94">
        <v>848.0</v>
      </c>
    </row>
    <row r="1963">
      <c r="A1963" s="40">
        <f t="array" ref="A1963">IFNA(index(PlayerValues!A:A,match(IFNA(vlookup(B1963,'Special Names'!A:B,2,FALSE),B1963),PlayerValues!E:E,0)),"N/A")</f>
        <v>12785</v>
      </c>
      <c r="B1963" s="4" t="s">
        <v>772</v>
      </c>
      <c r="C1963" s="4" t="s">
        <v>287</v>
      </c>
      <c r="D1963" s="94">
        <v>841.0</v>
      </c>
    </row>
    <row r="1964">
      <c r="A1964" s="40">
        <f t="array" ref="A1964">IFNA(index(PlayerValues!A:A,match(IFNA(vlookup(B1964,'Special Names'!A:B,2,FALSE),B1964),PlayerValues!E:E,0)),"N/A")</f>
        <v>16751</v>
      </c>
      <c r="B1964" s="4" t="s">
        <v>762</v>
      </c>
      <c r="C1964" s="4" t="s">
        <v>287</v>
      </c>
      <c r="D1964" s="94">
        <v>841.0</v>
      </c>
    </row>
    <row r="1965">
      <c r="A1965" s="40">
        <f t="array" ref="A1965">IFNA(index(PlayerValues!A:A,match(IFNA(vlookup(B1965,'Special Names'!A:B,2,FALSE),B1965),PlayerValues!E:E,0)),"N/A")</f>
        <v>17657</v>
      </c>
      <c r="B1965" s="4" t="s">
        <v>642</v>
      </c>
      <c r="C1965" s="4" t="s">
        <v>283</v>
      </c>
      <c r="D1965" s="94">
        <v>829.0</v>
      </c>
    </row>
    <row r="1966">
      <c r="A1966" s="40">
        <f t="array" ref="A1966">IFNA(index(PlayerValues!A:A,match(IFNA(vlookup(B1966,'Special Names'!A:B,2,FALSE),B1966),PlayerValues!E:E,0)),"N/A")</f>
        <v>14223</v>
      </c>
      <c r="B1966" s="4" t="s">
        <v>785</v>
      </c>
      <c r="C1966" s="4" t="s">
        <v>278</v>
      </c>
      <c r="D1966" s="94">
        <v>815.0</v>
      </c>
    </row>
    <row r="1967">
      <c r="A1967" s="40">
        <f t="array" ref="A1967">IFNA(index(PlayerValues!A:A,match(IFNA(vlookup(B1967,'Special Names'!A:B,2,FALSE),B1967),PlayerValues!E:E,0)),"N/A")</f>
        <v>17486</v>
      </c>
      <c r="B1967" s="4" t="s">
        <v>695</v>
      </c>
      <c r="C1967" s="4" t="s">
        <v>278</v>
      </c>
      <c r="D1967" s="94">
        <v>780.0</v>
      </c>
    </row>
    <row r="1968">
      <c r="A1968" s="40">
        <f t="array" ref="A1968">IFNA(index(PlayerValues!A:A,match(IFNA(vlookup(B1968,'Special Names'!A:B,2,FALSE),B1968),PlayerValues!E:E,0)),"N/A")</f>
        <v>17337</v>
      </c>
      <c r="B1968" s="4" t="s">
        <v>793</v>
      </c>
      <c r="C1968" s="4" t="s">
        <v>278</v>
      </c>
      <c r="D1968" s="94">
        <v>771.0</v>
      </c>
    </row>
    <row r="1969">
      <c r="A1969" s="40">
        <f t="array" ref="A1969">IFNA(index(PlayerValues!A:A,match(IFNA(vlookup(B1969,'Special Names'!A:B,2,FALSE),B1969),PlayerValues!E:E,0)),"N/A")</f>
        <v>17654</v>
      </c>
      <c r="B1969" s="4" t="s">
        <v>767</v>
      </c>
      <c r="C1969" s="4" t="s">
        <v>283</v>
      </c>
      <c r="D1969" s="94">
        <v>765.0</v>
      </c>
    </row>
    <row r="1970">
      <c r="A1970" s="40">
        <f t="array" ref="A1970">IFNA(index(PlayerValues!A:A,match(IFNA(vlookup(B1970,'Special Names'!A:B,2,FALSE),B1970),PlayerValues!E:E,0)),"N/A")</f>
        <v>16176</v>
      </c>
      <c r="B1970" s="4" t="s">
        <v>812</v>
      </c>
      <c r="C1970" s="4" t="s">
        <v>278</v>
      </c>
      <c r="D1970" s="94">
        <v>747.0</v>
      </c>
    </row>
    <row r="1971">
      <c r="A1971" s="40">
        <f t="array" ref="A1971">IFNA(index(PlayerValues!A:A,match(IFNA(vlookup(B1971,'Special Names'!A:B,2,FALSE),B1971),PlayerValues!E:E,0)),"N/A")</f>
        <v>16606</v>
      </c>
      <c r="B1971" s="4" t="s">
        <v>743</v>
      </c>
      <c r="C1971" s="4" t="s">
        <v>278</v>
      </c>
      <c r="D1971" s="94">
        <v>730.0</v>
      </c>
    </row>
    <row r="1972">
      <c r="A1972" s="40">
        <f t="array" ref="A1972">IFNA(index(PlayerValues!A:A,match(IFNA(vlookup(B1972,'Special Names'!A:B,2,FALSE),B1972),PlayerValues!E:E,0)),"N/A")</f>
        <v>17518</v>
      </c>
      <c r="B1972" s="4" t="s">
        <v>482</v>
      </c>
      <c r="C1972" s="4" t="s">
        <v>287</v>
      </c>
      <c r="D1972" s="94">
        <v>729.0</v>
      </c>
    </row>
    <row r="1973">
      <c r="A1973" s="40">
        <f t="array" ref="A1973">IFNA(index(PlayerValues!A:A,match(IFNA(vlookup(B1973,'Special Names'!A:B,2,FALSE),B1973),PlayerValues!E:E,0)),"N/A")</f>
        <v>16623</v>
      </c>
      <c r="B1973" s="4" t="s">
        <v>803</v>
      </c>
      <c r="C1973" s="4" t="s">
        <v>287</v>
      </c>
      <c r="D1973" s="94">
        <v>721.0</v>
      </c>
    </row>
    <row r="1974">
      <c r="A1974" s="40">
        <f t="array" ref="A1974">IFNA(index(PlayerValues!A:A,match(IFNA(vlookup(B1974,'Special Names'!A:B,2,FALSE),B1974),PlayerValues!E:E,0)),"N/A")</f>
        <v>14864</v>
      </c>
      <c r="B1974" s="4" t="s">
        <v>789</v>
      </c>
      <c r="C1974" s="4" t="s">
        <v>287</v>
      </c>
      <c r="D1974" s="94">
        <v>706.0</v>
      </c>
    </row>
    <row r="1975">
      <c r="A1975" s="40">
        <f t="array" ref="A1975">IFNA(index(PlayerValues!A:A,match(IFNA(vlookup(B1975,'Special Names'!A:B,2,FALSE),B1975),PlayerValues!E:E,0)),"N/A")</f>
        <v>12263</v>
      </c>
      <c r="B1975" s="4" t="s">
        <v>697</v>
      </c>
      <c r="C1975" s="4" t="s">
        <v>298</v>
      </c>
      <c r="D1975" s="94">
        <v>1055.0</v>
      </c>
    </row>
    <row r="1976">
      <c r="A1976" s="40">
        <f t="array" ref="A1976">IFNA(index(PlayerValues!A:A,match(IFNA(vlookup(B1976,'Special Names'!A:B,2,FALSE),B1976),PlayerValues!E:E,0)),"N/A")</f>
        <v>15723</v>
      </c>
      <c r="B1976" s="4" t="s">
        <v>798</v>
      </c>
      <c r="C1976" s="4" t="s">
        <v>278</v>
      </c>
      <c r="D1976" s="94">
        <v>692.0</v>
      </c>
    </row>
    <row r="1977">
      <c r="A1977" s="40">
        <f t="array" ref="A1977">IFNA(index(PlayerValues!A:A,match(IFNA(vlookup(B1977,'Special Names'!A:B,2,FALSE),B1977),PlayerValues!E:E,0)),"N/A")</f>
        <v>16686</v>
      </c>
      <c r="B1977" s="4" t="s">
        <v>805</v>
      </c>
      <c r="C1977" s="4" t="s">
        <v>287</v>
      </c>
      <c r="D1977" s="94">
        <v>674.0</v>
      </c>
    </row>
    <row r="1978">
      <c r="A1978" s="40">
        <f t="array" ref="A1978">IFNA(index(PlayerValues!A:A,match(IFNA(vlookup(B1978,'Special Names'!A:B,2,FALSE),B1978),PlayerValues!E:E,0)),"N/A")</f>
        <v>17545</v>
      </c>
      <c r="B1978" s="4" t="s">
        <v>719</v>
      </c>
      <c r="C1978" s="4" t="s">
        <v>298</v>
      </c>
      <c r="D1978" s="94">
        <v>1025.0</v>
      </c>
    </row>
    <row r="1979">
      <c r="A1979" s="40">
        <f t="array" ref="A1979">IFNA(index(PlayerValues!A:A,match(IFNA(vlookup(B1979,'Special Names'!A:B,2,FALSE),B1979),PlayerValues!E:E,0)),"N/A")</f>
        <v>17627</v>
      </c>
      <c r="B1979" s="4" t="s">
        <v>684</v>
      </c>
      <c r="C1979" s="4" t="s">
        <v>298</v>
      </c>
      <c r="D1979" s="94">
        <v>1024.0</v>
      </c>
    </row>
    <row r="1980">
      <c r="A1980" s="40">
        <f t="array" ref="A1980">IFNA(index(PlayerValues!A:A,match(IFNA(vlookup(B1980,'Special Names'!A:B,2,FALSE),B1980),PlayerValues!E:E,0)),"N/A")</f>
        <v>17541</v>
      </c>
      <c r="B1980" s="4" t="s">
        <v>616</v>
      </c>
      <c r="C1980" s="4" t="s">
        <v>287</v>
      </c>
      <c r="D1980" s="94">
        <v>620.0</v>
      </c>
    </row>
    <row r="1981">
      <c r="A1981" s="40">
        <f t="array" ref="A1981">IFNA(index(PlayerValues!A:A,match(IFNA(vlookup(B1981,'Special Names'!A:B,2,FALSE),B1981),PlayerValues!E:E,0)),"N/A")</f>
        <v>13133</v>
      </c>
      <c r="B1981" s="4" t="s">
        <v>764</v>
      </c>
      <c r="C1981" s="4" t="s">
        <v>278</v>
      </c>
      <c r="D1981" s="94">
        <v>607.0</v>
      </c>
    </row>
    <row r="1982">
      <c r="A1982" s="40">
        <f t="array" ref="A1982">IFNA(index(PlayerValues!A:A,match(IFNA(vlookup(B1982,'Special Names'!A:B,2,FALSE),B1982),PlayerValues!E:E,0)),"N/A")</f>
        <v>13595</v>
      </c>
      <c r="B1982" s="4" t="s">
        <v>818</v>
      </c>
      <c r="C1982" s="4" t="s">
        <v>283</v>
      </c>
      <c r="D1982" s="94">
        <v>591.0</v>
      </c>
    </row>
    <row r="1983">
      <c r="A1983" s="40">
        <f t="array" ref="A1983">IFNA(index(PlayerValues!A:A,match(IFNA(vlookup(B1983,'Special Names'!A:B,2,FALSE),B1983),PlayerValues!E:E,0)),"N/A")</f>
        <v>16159</v>
      </c>
      <c r="B1983" s="4" t="s">
        <v>819</v>
      </c>
      <c r="C1983" s="4" t="s">
        <v>283</v>
      </c>
      <c r="D1983" s="94">
        <v>566.0</v>
      </c>
    </row>
    <row r="1984">
      <c r="A1984" s="40">
        <f t="array" ref="A1984">IFNA(index(PlayerValues!A:A,match(IFNA(vlookup(B1984,'Special Names'!A:B,2,FALSE),B1984),PlayerValues!E:E,0)),"N/A")</f>
        <v>15804</v>
      </c>
      <c r="B1984" s="4" t="s">
        <v>821</v>
      </c>
      <c r="C1984" s="4" t="s">
        <v>298</v>
      </c>
      <c r="D1984" s="94">
        <v>871.0</v>
      </c>
    </row>
    <row r="1985">
      <c r="A1985" s="40">
        <f t="array" ref="A1985">IFNA(index(PlayerValues!A:A,match(IFNA(vlookup(B1985,'Special Names'!A:B,2,FALSE),B1985),PlayerValues!E:E,0)),"N/A")</f>
        <v>14858</v>
      </c>
      <c r="B1985" s="4" t="s">
        <v>799</v>
      </c>
      <c r="C1985" s="4" t="s">
        <v>287</v>
      </c>
      <c r="D1985" s="94">
        <v>515.0</v>
      </c>
    </row>
    <row r="1986">
      <c r="A1986" s="40">
        <f t="array" ref="A1986">IFNA(index(PlayerValues!A:A,match(IFNA(vlookup(B1986,'Special Names'!A:B,2,FALSE),B1986),PlayerValues!E:E,0)),"N/A")</f>
        <v>15796</v>
      </c>
      <c r="B1986" s="4" t="s">
        <v>794</v>
      </c>
      <c r="C1986" s="4" t="s">
        <v>298</v>
      </c>
      <c r="D1986" s="94">
        <v>850.0</v>
      </c>
    </row>
    <row r="1987">
      <c r="A1987" s="40">
        <f t="array" ref="A1987">IFNA(index(PlayerValues!A:A,match(IFNA(vlookup(B1987,'Special Names'!A:B,2,FALSE),B1987),PlayerValues!E:E,0)),"N/A")</f>
        <v>17038</v>
      </c>
      <c r="B1987" s="4" t="s">
        <v>774</v>
      </c>
      <c r="C1987" s="4" t="s">
        <v>283</v>
      </c>
      <c r="D1987" s="94">
        <v>505.0</v>
      </c>
    </row>
    <row r="1988">
      <c r="A1988" s="40">
        <f t="array" ref="A1988">IFNA(index(PlayerValues!A:A,match(IFNA(vlookup(B1988,'Special Names'!A:B,2,FALSE),B1988),PlayerValues!E:E,0)),"N/A")</f>
        <v>17243</v>
      </c>
      <c r="B1988" s="4" t="s">
        <v>810</v>
      </c>
      <c r="C1988" s="4" t="s">
        <v>298</v>
      </c>
      <c r="D1988" s="94">
        <v>850.0</v>
      </c>
    </row>
    <row r="1989">
      <c r="A1989" s="40">
        <f t="array" ref="A1989">IFNA(index(PlayerValues!A:A,match(IFNA(vlookup(B1989,'Special Names'!A:B,2,FALSE),B1989),PlayerValues!E:E,0)),"N/A")</f>
        <v>13143</v>
      </c>
      <c r="B1989" s="4" t="s">
        <v>786</v>
      </c>
      <c r="C1989" s="4" t="s">
        <v>278</v>
      </c>
      <c r="D1989" s="94">
        <v>504.0</v>
      </c>
    </row>
    <row r="1990">
      <c r="A1990" s="40">
        <f t="array" ref="A1990">IFNA(index(PlayerValues!A:A,match(IFNA(vlookup(B1990,'Special Names'!A:B,2,FALSE),B1990),PlayerValues!E:E,0)),"N/A")</f>
        <v>16957</v>
      </c>
      <c r="B1990" s="4" t="s">
        <v>806</v>
      </c>
      <c r="C1990" s="4" t="s">
        <v>278</v>
      </c>
      <c r="D1990" s="94">
        <v>504.0</v>
      </c>
    </row>
    <row r="1991">
      <c r="A1991" s="40">
        <f t="array" ref="A1991">IFNA(index(PlayerValues!A:A,match(IFNA(vlookup(B1991,'Special Names'!A:B,2,FALSE),B1991),PlayerValues!E:E,0)),"N/A")</f>
        <v>13066</v>
      </c>
      <c r="B1991" s="4" t="s">
        <v>822</v>
      </c>
      <c r="C1991" s="4" t="s">
        <v>287</v>
      </c>
      <c r="D1991" s="94">
        <v>502.0</v>
      </c>
    </row>
    <row r="1992">
      <c r="A1992" s="40">
        <f t="array" ref="A1992">IFNA(index(PlayerValues!A:A,match(IFNA(vlookup(B1992,'Special Names'!A:B,2,FALSE),B1992),PlayerValues!E:E,0)),"N/A")</f>
        <v>12658</v>
      </c>
      <c r="B1992" s="4" t="s">
        <v>823</v>
      </c>
      <c r="C1992" s="4" t="s">
        <v>287</v>
      </c>
      <c r="D1992" s="94">
        <v>501.0</v>
      </c>
    </row>
    <row r="1993">
      <c r="A1993" s="40">
        <f t="array" ref="A1993">IFNA(index(PlayerValues!A:A,match(IFNA(vlookup(B1993,'Special Names'!A:B,2,FALSE),B1993),PlayerValues!E:E,0)),"N/A")</f>
        <v>14239</v>
      </c>
      <c r="B1993" s="4" t="s">
        <v>824</v>
      </c>
      <c r="C1993" s="4" t="s">
        <v>298</v>
      </c>
      <c r="D1993" s="94">
        <v>846.0</v>
      </c>
    </row>
    <row r="1994">
      <c r="A1994" s="40">
        <f t="array" ref="A1994">IFNA(index(PlayerValues!A:A,match(IFNA(vlookup(B1994,'Special Names'!A:B,2,FALSE),B1994),PlayerValues!E:E,0)),"N/A")</f>
        <v>16625</v>
      </c>
      <c r="B1994" s="4" t="s">
        <v>778</v>
      </c>
      <c r="C1994" s="4" t="s">
        <v>287</v>
      </c>
      <c r="D1994" s="94">
        <v>497.0</v>
      </c>
    </row>
    <row r="1995">
      <c r="A1995" s="40">
        <f t="array" ref="A1995">IFNA(index(PlayerValues!A:A,match(IFNA(vlookup(B1995,'Special Names'!A:B,2,FALSE),B1995),PlayerValues!E:E,0)),"N/A")</f>
        <v>13610</v>
      </c>
      <c r="B1995" s="4" t="s">
        <v>825</v>
      </c>
      <c r="C1995" s="4" t="s">
        <v>278</v>
      </c>
      <c r="D1995" s="94">
        <v>496.0</v>
      </c>
    </row>
    <row r="1996">
      <c r="A1996" s="40">
        <f t="array" ref="A1996">IFNA(index(PlayerValues!A:A,match(IFNA(vlookup(B1996,'Special Names'!A:B,2,FALSE),B1996),PlayerValues!E:E,0)),"N/A")</f>
        <v>16299</v>
      </c>
      <c r="B1996" s="4" t="s">
        <v>787</v>
      </c>
      <c r="C1996" s="4" t="s">
        <v>287</v>
      </c>
      <c r="D1996" s="94">
        <v>496.0</v>
      </c>
    </row>
    <row r="1997">
      <c r="A1997" s="40">
        <f t="array" ref="A1997">IFNA(index(PlayerValues!A:A,match(IFNA(vlookup(B1997,'Special Names'!A:B,2,FALSE),B1997),PlayerValues!E:E,0)),"N/A")</f>
        <v>11232</v>
      </c>
      <c r="B1997" s="4" t="s">
        <v>826</v>
      </c>
      <c r="C1997" s="4" t="s">
        <v>287</v>
      </c>
      <c r="D1997" s="94">
        <v>495.0</v>
      </c>
    </row>
    <row r="1998">
      <c r="A1998" s="40">
        <f t="array" ref="A1998">IFNA(index(PlayerValues!A:A,match(IFNA(vlookup(B1998,'Special Names'!A:B,2,FALSE),B1998),PlayerValues!E:E,0)),"N/A")</f>
        <v>10413</v>
      </c>
      <c r="B1998" s="4" t="s">
        <v>811</v>
      </c>
      <c r="C1998" s="4" t="s">
        <v>283</v>
      </c>
      <c r="D1998" s="94">
        <v>494.0</v>
      </c>
    </row>
    <row r="1999">
      <c r="A1999" s="40">
        <f t="array" ref="A1999">IFNA(index(PlayerValues!A:A,match(IFNA(vlookup(B1999,'Special Names'!A:B,2,FALSE),B1999),PlayerValues!E:E,0)),"N/A")</f>
        <v>16413</v>
      </c>
      <c r="B1999" s="4" t="s">
        <v>781</v>
      </c>
      <c r="C1999" s="4" t="s">
        <v>287</v>
      </c>
      <c r="D1999" s="94">
        <v>493.0</v>
      </c>
    </row>
    <row r="2000">
      <c r="A2000" s="40">
        <f t="array" ref="A2000">IFNA(index(PlayerValues!A:A,match(IFNA(vlookup(B2000,'Special Names'!A:B,2,FALSE),B2000),PlayerValues!E:E,0)),"N/A")</f>
        <v>13404</v>
      </c>
      <c r="B2000" s="4" t="s">
        <v>827</v>
      </c>
      <c r="C2000" s="4" t="s">
        <v>278</v>
      </c>
      <c r="D2000" s="94">
        <v>13.0</v>
      </c>
    </row>
    <row r="2001">
      <c r="A2001" s="40">
        <f t="array" ref="A2001">IFNA(index(PlayerValues!A:A,match(IFNA(vlookup(B2001,'Special Names'!A:B,2,FALSE),B2001),PlayerValues!E:E,0)),"N/A")</f>
        <v>13589</v>
      </c>
      <c r="B2001" s="4" t="s">
        <v>282</v>
      </c>
      <c r="C2001" s="4" t="s">
        <v>283</v>
      </c>
      <c r="D2001" s="94">
        <v>9995.0</v>
      </c>
    </row>
    <row r="2002">
      <c r="A2002" s="40">
        <f t="array" ref="A2002">IFNA(index(PlayerValues!A:A,match(IFNA(vlookup(B2002,'Special Names'!A:B,2,FALSE),B2002),PlayerValues!E:E,0)),"N/A")</f>
        <v>16161</v>
      </c>
      <c r="B2002" s="4" t="s">
        <v>277</v>
      </c>
      <c r="C2002" s="4" t="s">
        <v>278</v>
      </c>
      <c r="D2002" s="94">
        <v>9992.0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9968.0</v>
      </c>
    </row>
    <row r="2004">
      <c r="A2004" s="40">
        <f t="array" ref="A2004">IFNA(index(PlayerValues!A:A,match(IFNA(vlookup(B2004,'Special Names'!A:B,2,FALSE),B2004),PlayerValues!E:E,0)),"N/A")</f>
        <v>16185</v>
      </c>
      <c r="B2004" s="4" t="s">
        <v>290</v>
      </c>
      <c r="C2004" s="4" t="s">
        <v>287</v>
      </c>
      <c r="D2004" s="94">
        <v>9831.0</v>
      </c>
    </row>
    <row r="2005">
      <c r="A2005" s="40">
        <f t="array" ref="A2005">IFNA(index(PlayerValues!A:A,match(IFNA(vlookup(B2005,'Special Names'!A:B,2,FALSE),B2005),PlayerValues!E:E,0)),"N/A")</f>
        <v>16162</v>
      </c>
      <c r="B2005" s="4" t="s">
        <v>281</v>
      </c>
      <c r="C2005" s="4" t="s">
        <v>278</v>
      </c>
      <c r="D2005" s="94">
        <v>9654.0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9386.0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8603.0</v>
      </c>
    </row>
    <row r="2008">
      <c r="A2008" s="40">
        <f t="array" ref="A2008">IFNA(index(PlayerValues!A:A,match(IFNA(vlookup(B2008,'Special Names'!A:B,2,FALSE),B2008),PlayerValues!E:E,0)),"N/A")</f>
        <v>16641</v>
      </c>
      <c r="B2008" s="4" t="s">
        <v>297</v>
      </c>
      <c r="C2008" s="4" t="s">
        <v>298</v>
      </c>
      <c r="D2008" s="94">
        <v>8907.0</v>
      </c>
    </row>
    <row r="2009">
      <c r="A2009" s="40">
        <f t="array" ref="A2009">IFNA(index(PlayerValues!A:A,match(IFNA(vlookup(B2009,'Special Names'!A:B,2,FALSE),B2009),PlayerValues!E:E,0)),"N/A")</f>
        <v>16579</v>
      </c>
      <c r="B2009" s="4" t="s">
        <v>302</v>
      </c>
      <c r="C2009" s="4" t="s">
        <v>283</v>
      </c>
      <c r="D2009" s="94">
        <v>7945.0</v>
      </c>
    </row>
    <row r="2010">
      <c r="A2010" s="40">
        <f t="array" ref="A2010">IFNA(index(PlayerValues!A:A,match(IFNA(vlookup(B2010,'Special Names'!A:B,2,FALSE),B2010),PlayerValues!E:E,0)),"N/A")</f>
        <v>16581</v>
      </c>
      <c r="B2010" s="4" t="s">
        <v>315</v>
      </c>
      <c r="C2010" s="4" t="s">
        <v>283</v>
      </c>
      <c r="D2010" s="94">
        <v>7848.0</v>
      </c>
    </row>
    <row r="2011">
      <c r="A2011" s="40">
        <f t="array" ref="A2011">IFNA(index(PlayerValues!A:A,match(IFNA(vlookup(B2011,'Special Names'!A:B,2,FALSE),B2011),PlayerValues!E:E,0)),"N/A")</f>
        <v>15287</v>
      </c>
      <c r="B2011" s="4" t="s">
        <v>299</v>
      </c>
      <c r="C2011" s="4" t="s">
        <v>287</v>
      </c>
      <c r="D2011" s="94">
        <v>7845.0</v>
      </c>
    </row>
    <row r="2012">
      <c r="A2012" s="40">
        <f t="array" ref="A2012">IFNA(index(PlayerValues!A:A,match(IFNA(vlookup(B2012,'Special Names'!A:B,2,FALSE),B2012),PlayerValues!E:E,0)),"N/A")</f>
        <v>14836</v>
      </c>
      <c r="B2012" s="4" t="s">
        <v>306</v>
      </c>
      <c r="C2012" s="4" t="s">
        <v>287</v>
      </c>
      <c r="D2012" s="94">
        <v>7789.0</v>
      </c>
    </row>
    <row r="2013">
      <c r="A2013" s="40">
        <f t="array" ref="A2013">IFNA(index(PlayerValues!A:A,match(IFNA(vlookup(B2013,'Special Names'!A:B,2,FALSE),B2013),PlayerValues!E:E,0)),"N/A")</f>
        <v>13593</v>
      </c>
      <c r="B2013" s="4" t="s">
        <v>305</v>
      </c>
      <c r="C2013" s="4" t="s">
        <v>283</v>
      </c>
      <c r="D2013" s="94">
        <v>7650.0</v>
      </c>
    </row>
    <row r="2014">
      <c r="A2014" s="40">
        <f t="array" ref="A2014">IFNA(index(PlayerValues!A:A,match(IFNA(vlookup(B2014,'Special Names'!A:B,2,FALSE),B2014),PlayerValues!E:E,0)),"N/A")</f>
        <v>17472</v>
      </c>
      <c r="B2014" s="4" t="s">
        <v>310</v>
      </c>
      <c r="C2014" s="4" t="s">
        <v>278</v>
      </c>
      <c r="D2014" s="94">
        <v>7649.0</v>
      </c>
    </row>
    <row r="2015">
      <c r="A2015" s="40">
        <f t="array" ref="A2015">IFNA(index(PlayerValues!A:A,match(IFNA(vlookup(B2015,'Special Names'!A:B,2,FALSE),B2015),PlayerValues!E:E,0)),"N/A")</f>
        <v>16615</v>
      </c>
      <c r="B2015" s="4" t="s">
        <v>309</v>
      </c>
      <c r="C2015" s="4" t="s">
        <v>287</v>
      </c>
      <c r="D2015" s="94">
        <v>7645.0</v>
      </c>
    </row>
    <row r="2016">
      <c r="A2016" s="40">
        <f t="array" ref="A2016">IFNA(index(PlayerValues!A:A,match(IFNA(vlookup(B2016,'Special Names'!A:B,2,FALSE),B2016),PlayerValues!E:E,0)),"N/A")</f>
        <v>17042</v>
      </c>
      <c r="B2016" s="4" t="s">
        <v>314</v>
      </c>
      <c r="C2016" s="4" t="s">
        <v>278</v>
      </c>
      <c r="D2016" s="94">
        <v>7576.0</v>
      </c>
    </row>
    <row r="2017">
      <c r="A2017" s="40">
        <f t="array" ref="A2017">IFNA(index(PlayerValues!A:A,match(IFNA(vlookup(B2017,'Special Names'!A:B,2,FALSE),B2017),PlayerValues!E:E,0)),"N/A")</f>
        <v>15794</v>
      </c>
      <c r="B2017" s="4" t="s">
        <v>313</v>
      </c>
      <c r="C2017" s="4" t="s">
        <v>298</v>
      </c>
      <c r="D2017" s="94">
        <v>8366.0</v>
      </c>
    </row>
    <row r="2018">
      <c r="A2018" s="40">
        <f t="array" ref="A2018">IFNA(index(PlayerValues!A:A,match(IFNA(vlookup(B2018,'Special Names'!A:B,2,FALSE),B2018),PlayerValues!E:E,0)),"N/A")</f>
        <v>14777</v>
      </c>
      <c r="B2018" s="4" t="s">
        <v>318</v>
      </c>
      <c r="C2018" s="4" t="s">
        <v>283</v>
      </c>
      <c r="D2018" s="94">
        <v>7440.0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7260.0</v>
      </c>
    </row>
    <row r="2020">
      <c r="A2020" s="40" t="str">
        <f t="array" ref="A2020">IFNA(index(PlayerValues!A:A,match(IFNA(vlookup(B2020,'Special Names'!A:B,2,FALSE),B2020),PlayerValues!E:E,0)),"N/A")</f>
        <v>N/A</v>
      </c>
      <c r="B2020" s="4" t="s">
        <v>92</v>
      </c>
      <c r="C2020" s="4" t="s">
        <v>325</v>
      </c>
      <c r="D2020" s="94">
        <v>7142.0</v>
      </c>
    </row>
    <row r="2021">
      <c r="A2021" s="40">
        <f t="array" ref="A2021">IFNA(index(PlayerValues!A:A,match(IFNA(vlookup(B2021,'Special Names'!A:B,2,FALSE),B2021),PlayerValues!E:E,0)),"N/A")</f>
        <v>15751</v>
      </c>
      <c r="B2021" s="4" t="s">
        <v>328</v>
      </c>
      <c r="C2021" s="4" t="s">
        <v>287</v>
      </c>
      <c r="D2021" s="94">
        <v>6935.0</v>
      </c>
    </row>
    <row r="2022">
      <c r="A2022" s="40">
        <f t="array" ref="A2022">IFNA(index(PlayerValues!A:A,match(IFNA(vlookup(B2022,'Special Names'!A:B,2,FALSE),B2022),PlayerValues!E:E,0)),"N/A")</f>
        <v>16167</v>
      </c>
      <c r="B2022" s="4" t="s">
        <v>323</v>
      </c>
      <c r="C2022" s="4" t="s">
        <v>278</v>
      </c>
      <c r="D2022" s="94">
        <v>6917.0</v>
      </c>
    </row>
    <row r="2023">
      <c r="A2023" s="40">
        <f t="array" ref="A2023">IFNA(index(PlayerValues!A:A,match(IFNA(vlookup(B2023,'Special Names'!A:B,2,FALSE),B2023),PlayerValues!E:E,0)),"N/A")</f>
        <v>14779</v>
      </c>
      <c r="B2023" s="4" t="s">
        <v>327</v>
      </c>
      <c r="C2023" s="4" t="s">
        <v>283</v>
      </c>
      <c r="D2023" s="94">
        <v>6838.0</v>
      </c>
    </row>
    <row r="2024">
      <c r="A2024" s="40">
        <f t="array" ref="A2024">IFNA(index(PlayerValues!A:A,match(IFNA(vlookup(B2024,'Special Names'!A:B,2,FALSE),B2024),PlayerValues!E:E,0)),"N/A")</f>
        <v>17044</v>
      </c>
      <c r="B2024" s="4" t="s">
        <v>322</v>
      </c>
      <c r="C2024" s="4" t="s">
        <v>278</v>
      </c>
      <c r="D2024" s="94">
        <v>6810.0</v>
      </c>
    </row>
    <row r="2025">
      <c r="A2025" s="40">
        <f t="array" ref="A2025">IFNA(index(PlayerValues!A:A,match(IFNA(vlookup(B2025,'Special Names'!A:B,2,FALSE),B2025),PlayerValues!E:E,0)),"N/A")</f>
        <v>13116</v>
      </c>
      <c r="B2025" s="4" t="s">
        <v>345</v>
      </c>
      <c r="C2025" s="4" t="s">
        <v>283</v>
      </c>
      <c r="D2025" s="94">
        <v>6687.0</v>
      </c>
    </row>
    <row r="2026">
      <c r="A2026" s="40">
        <f t="array" ref="A2026">IFNA(index(PlayerValues!A:A,match(IFNA(vlookup(B2026,'Special Names'!A:B,2,FALSE),B2026),PlayerValues!E:E,0)),"N/A")</f>
        <v>17032</v>
      </c>
      <c r="B2026" s="4" t="s">
        <v>348</v>
      </c>
      <c r="C2026" s="4" t="s">
        <v>283</v>
      </c>
      <c r="D2026" s="94">
        <v>6606.0</v>
      </c>
    </row>
    <row r="2027">
      <c r="A2027" s="40">
        <f t="array" ref="A2027">IFNA(index(PlayerValues!A:A,match(IFNA(vlookup(B2027,'Special Names'!A:B,2,FALSE),B2027),PlayerValues!E:E,0)),"N/A")</f>
        <v>17071</v>
      </c>
      <c r="B2027" s="4" t="s">
        <v>341</v>
      </c>
      <c r="C2027" s="4" t="s">
        <v>287</v>
      </c>
      <c r="D2027" s="94">
        <v>6553.0</v>
      </c>
    </row>
    <row r="2028">
      <c r="A2028" s="40">
        <f t="array" ref="A2028">IFNA(index(PlayerValues!A:A,match(IFNA(vlookup(B2028,'Special Names'!A:B,2,FALSE),B2028),PlayerValues!E:E,0)),"N/A")</f>
        <v>15237</v>
      </c>
      <c r="B2028" s="4" t="s">
        <v>336</v>
      </c>
      <c r="C2028" s="4" t="s">
        <v>283</v>
      </c>
      <c r="D2028" s="94">
        <v>6373.0</v>
      </c>
    </row>
    <row r="2029">
      <c r="A2029" s="40">
        <f t="array" ref="A2029">IFNA(index(PlayerValues!A:A,match(IFNA(vlookup(B2029,'Special Names'!A:B,2,FALSE),B2029),PlayerValues!E:E,0)),"N/A")</f>
        <v>14783</v>
      </c>
      <c r="B2029" s="4" t="s">
        <v>342</v>
      </c>
      <c r="C2029" s="4" t="s">
        <v>283</v>
      </c>
      <c r="D2029" s="94">
        <v>6173.0</v>
      </c>
    </row>
    <row r="2030">
      <c r="A2030" s="40">
        <f t="array" ref="A2030">IFNA(index(PlayerValues!A:A,match(IFNA(vlookup(B2030,'Special Names'!A:B,2,FALSE),B2030),PlayerValues!E:E,0)),"N/A")</f>
        <v>17104</v>
      </c>
      <c r="B2030" s="4" t="s">
        <v>333</v>
      </c>
      <c r="C2030" s="4" t="s">
        <v>298</v>
      </c>
      <c r="D2030" s="94">
        <v>6788.0</v>
      </c>
    </row>
    <row r="2031">
      <c r="A2031" s="40">
        <f t="array" ref="A2031">IFNA(index(PlayerValues!A:A,match(IFNA(vlookup(B2031,'Special Names'!A:B,2,FALSE),B2031),PlayerValues!E:E,0)),"N/A")</f>
        <v>17081</v>
      </c>
      <c r="B2031" s="4" t="s">
        <v>340</v>
      </c>
      <c r="C2031" s="4" t="s">
        <v>287</v>
      </c>
      <c r="D2031" s="94">
        <v>6086.0</v>
      </c>
    </row>
    <row r="2032">
      <c r="A2032" s="40">
        <f t="array" ref="A2032">IFNA(index(PlayerValues!A:A,match(IFNA(vlookup(B2032,'Special Names'!A:B,2,FALSE),B2032),PlayerValues!E:E,0)),"N/A")</f>
        <v>16582</v>
      </c>
      <c r="B2032" s="4" t="s">
        <v>343</v>
      </c>
      <c r="C2032" s="4" t="s">
        <v>283</v>
      </c>
      <c r="D2032" s="94">
        <v>6030.0</v>
      </c>
    </row>
    <row r="2033">
      <c r="A2033" s="40">
        <f t="array" ref="A2033">IFNA(index(PlayerValues!A:A,match(IFNA(vlookup(B2033,'Special Names'!A:B,2,FALSE),B2033),PlayerValues!E:E,0)),"N/A")</f>
        <v>14802</v>
      </c>
      <c r="B2033" s="4" t="s">
        <v>332</v>
      </c>
      <c r="C2033" s="4" t="s">
        <v>278</v>
      </c>
      <c r="D2033" s="94">
        <v>6027.0</v>
      </c>
    </row>
    <row r="2034">
      <c r="A2034" s="40">
        <f t="array" ref="A2034">IFNA(index(PlayerValues!A:A,match(IFNA(vlookup(B2034,'Special Names'!A:B,2,FALSE),B2034),PlayerValues!E:E,0)),"N/A")</f>
        <v>15715</v>
      </c>
      <c r="B2034" s="4" t="s">
        <v>331</v>
      </c>
      <c r="C2034" s="4" t="s">
        <v>278</v>
      </c>
      <c r="D2034" s="94">
        <v>5983.0</v>
      </c>
    </row>
    <row r="2035">
      <c r="A2035" s="40">
        <f t="array" ref="A2035">IFNA(index(PlayerValues!A:A,match(IFNA(vlookup(B2035,'Special Names'!A:B,2,FALSE),B2035),PlayerValues!E:E,0)),"N/A")</f>
        <v>17497</v>
      </c>
      <c r="B2035" s="4" t="s">
        <v>365</v>
      </c>
      <c r="C2035" s="4" t="s">
        <v>287</v>
      </c>
      <c r="D2035" s="94">
        <v>5931.0</v>
      </c>
    </row>
    <row r="2036">
      <c r="A2036" s="40">
        <f t="array" ref="A2036">IFNA(index(PlayerValues!A:A,match(IFNA(vlookup(B2036,'Special Names'!A:B,2,FALSE),B2036),PlayerValues!E:E,0)),"N/A")</f>
        <v>15762</v>
      </c>
      <c r="B2036" s="4" t="s">
        <v>337</v>
      </c>
      <c r="C2036" s="4" t="s">
        <v>287</v>
      </c>
      <c r="D2036" s="94">
        <v>5893.0</v>
      </c>
    </row>
    <row r="2037">
      <c r="A2037" s="40">
        <f t="array" ref="A2037">IFNA(index(PlayerValues!A:A,match(IFNA(vlookup(B2037,'Special Names'!A:B,2,FALSE),B2037),PlayerValues!E:E,0)),"N/A")</f>
        <v>15698</v>
      </c>
      <c r="B2037" s="4" t="s">
        <v>358</v>
      </c>
      <c r="C2037" s="4" t="s">
        <v>283</v>
      </c>
      <c r="D2037" s="94">
        <v>5853.0</v>
      </c>
    </row>
    <row r="2038">
      <c r="A2038" s="40">
        <f t="array" ref="A2038">IFNA(index(PlayerValues!A:A,match(IFNA(vlookup(B2038,'Special Names'!A:B,2,FALSE),B2038),PlayerValues!E:E,0)),"N/A")</f>
        <v>17102</v>
      </c>
      <c r="B2038" s="4" t="s">
        <v>344</v>
      </c>
      <c r="C2038" s="4" t="s">
        <v>298</v>
      </c>
      <c r="D2038" s="94">
        <v>6424.0</v>
      </c>
    </row>
    <row r="2039">
      <c r="A2039" s="40">
        <f t="array" ref="A2039">IFNA(index(PlayerValues!A:A,match(IFNA(vlookup(B2039,'Special Names'!A:B,2,FALSE),B2039),PlayerValues!E:E,0)),"N/A")</f>
        <v>15753</v>
      </c>
      <c r="B2039" s="4" t="s">
        <v>359</v>
      </c>
      <c r="C2039" s="4" t="s">
        <v>287</v>
      </c>
      <c r="D2039" s="94">
        <v>5691.0</v>
      </c>
    </row>
    <row r="2040">
      <c r="A2040" s="40" t="str">
        <f t="array" ref="A2040">IFNA(index(PlayerValues!A:A,match(IFNA(vlookup(B2040,'Special Names'!A:B,2,FALSE),B2040),PlayerValues!E:E,0)),"N/A")</f>
        <v>N/A</v>
      </c>
      <c r="B2040" s="4" t="s">
        <v>93</v>
      </c>
      <c r="C2040" s="4" t="s">
        <v>325</v>
      </c>
      <c r="D2040" s="94">
        <v>5667.0</v>
      </c>
    </row>
    <row r="2041">
      <c r="A2041" s="40" t="str">
        <f t="array" ref="A2041">IFNA(index(PlayerValues!A:A,match(IFNA(vlookup(B2041,'Special Names'!A:B,2,FALSE),B2041),PlayerValues!E:E,0)),"N/A")</f>
        <v>N/A</v>
      </c>
      <c r="B2041" s="4" t="s">
        <v>79</v>
      </c>
      <c r="C2041" s="4" t="s">
        <v>325</v>
      </c>
      <c r="D2041" s="94">
        <v>5648.0</v>
      </c>
    </row>
    <row r="2042">
      <c r="A2042" s="40">
        <f t="array" ref="A2042">IFNA(index(PlayerValues!A:A,match(IFNA(vlookup(B2042,'Special Names'!A:B,2,FALSE),B2042),PlayerValues!E:E,0)),"N/A")</f>
        <v>14782</v>
      </c>
      <c r="B2042" s="4" t="s">
        <v>385</v>
      </c>
      <c r="C2042" s="4" t="s">
        <v>283</v>
      </c>
      <c r="D2042" s="94">
        <v>5616.0</v>
      </c>
    </row>
    <row r="2043">
      <c r="A2043" s="40">
        <f t="array" ref="A2043">IFNA(index(PlayerValues!A:A,match(IFNA(vlookup(B2043,'Special Names'!A:B,2,FALSE),B2043),PlayerValues!E:E,0)),"N/A")</f>
        <v>17462</v>
      </c>
      <c r="B2043" s="4" t="s">
        <v>375</v>
      </c>
      <c r="C2043" s="4" t="s">
        <v>283</v>
      </c>
      <c r="D2043" s="94">
        <v>5613.0</v>
      </c>
    </row>
    <row r="2044">
      <c r="A2044" s="40">
        <f t="array" ref="A2044">IFNA(index(PlayerValues!A:A,match(IFNA(vlookup(B2044,'Special Names'!A:B,2,FALSE),B2044),PlayerValues!E:E,0)),"N/A")</f>
        <v>15290</v>
      </c>
      <c r="B2044" s="4" t="s">
        <v>355</v>
      </c>
      <c r="C2044" s="4" t="s">
        <v>287</v>
      </c>
      <c r="D2044" s="94">
        <v>5585.0</v>
      </c>
    </row>
    <row r="2045">
      <c r="A2045" s="40">
        <f t="array" ref="A2045">IFNA(index(PlayerValues!A:A,match(IFNA(vlookup(B2045,'Special Names'!A:B,2,FALSE),B2045),PlayerValues!E:E,0)),"N/A")</f>
        <v>17051</v>
      </c>
      <c r="B2045" s="4" t="s">
        <v>386</v>
      </c>
      <c r="C2045" s="4" t="s">
        <v>278</v>
      </c>
      <c r="D2045" s="94">
        <v>5519.0</v>
      </c>
    </row>
    <row r="2046">
      <c r="A2046" s="40">
        <f t="array" ref="A2046">IFNA(index(PlayerValues!A:A,match(IFNA(vlookup(B2046,'Special Names'!A:B,2,FALSE),B2046),PlayerValues!E:E,0)),"N/A")</f>
        <v>15754</v>
      </c>
      <c r="B2046" s="4" t="s">
        <v>354</v>
      </c>
      <c r="C2046" s="4" t="s">
        <v>287</v>
      </c>
      <c r="D2046" s="94">
        <v>5506.0</v>
      </c>
    </row>
    <row r="2047">
      <c r="A2047" s="40">
        <f t="array" ref="A2047">IFNA(index(PlayerValues!A:A,match(IFNA(vlookup(B2047,'Special Names'!A:B,2,FALSE),B2047),PlayerValues!E:E,0)),"N/A")</f>
        <v>16616</v>
      </c>
      <c r="B2047" s="4" t="s">
        <v>389</v>
      </c>
      <c r="C2047" s="4" t="s">
        <v>287</v>
      </c>
      <c r="D2047" s="94">
        <v>5461.0</v>
      </c>
    </row>
    <row r="2048">
      <c r="A2048" s="40">
        <f t="array" ref="A2048">IFNA(index(PlayerValues!A:A,match(IFNA(vlookup(B2048,'Special Names'!A:B,2,FALSE),B2048),PlayerValues!E:E,0)),"N/A")</f>
        <v>17030</v>
      </c>
      <c r="B2048" s="4" t="s">
        <v>406</v>
      </c>
      <c r="C2048" s="4" t="s">
        <v>283</v>
      </c>
      <c r="D2048" s="94">
        <v>5445.0</v>
      </c>
    </row>
    <row r="2049">
      <c r="A2049" s="40">
        <f t="array" ref="A2049">IFNA(index(PlayerValues!A:A,match(IFNA(vlookup(B2049,'Special Names'!A:B,2,FALSE),B2049),PlayerValues!E:E,0)),"N/A")</f>
        <v>15708</v>
      </c>
      <c r="B2049" s="4" t="s">
        <v>382</v>
      </c>
      <c r="C2049" s="4" t="s">
        <v>278</v>
      </c>
      <c r="D2049" s="94">
        <v>5433.0</v>
      </c>
    </row>
    <row r="2050">
      <c r="A2050" s="40">
        <f t="array" ref="A2050">IFNA(index(PlayerValues!A:A,match(IFNA(vlookup(B2050,'Special Names'!A:B,2,FALSE),B2050),PlayerValues!E:E,0)),"N/A")</f>
        <v>17498</v>
      </c>
      <c r="B2050" s="4" t="s">
        <v>396</v>
      </c>
      <c r="C2050" s="4" t="s">
        <v>287</v>
      </c>
      <c r="D2050" s="94">
        <v>5426.0</v>
      </c>
    </row>
    <row r="2051">
      <c r="A2051" s="40">
        <f t="array" ref="A2051">IFNA(index(PlayerValues!A:A,match(IFNA(vlookup(B2051,'Special Names'!A:B,2,FALSE),B2051),PlayerValues!E:E,0)),"N/A")</f>
        <v>15711</v>
      </c>
      <c r="B2051" s="4" t="s">
        <v>349</v>
      </c>
      <c r="C2051" s="4" t="s">
        <v>278</v>
      </c>
      <c r="D2051" s="94">
        <v>5421.0</v>
      </c>
    </row>
    <row r="2052">
      <c r="A2052" s="40">
        <f t="array" ref="A2052">IFNA(index(PlayerValues!A:A,match(IFNA(vlookup(B2052,'Special Names'!A:B,2,FALSE),B2052),PlayerValues!E:E,0)),"N/A")</f>
        <v>16627</v>
      </c>
      <c r="B2052" s="4" t="s">
        <v>351</v>
      </c>
      <c r="C2052" s="4" t="s">
        <v>287</v>
      </c>
      <c r="D2052" s="94">
        <v>5412.0</v>
      </c>
    </row>
    <row r="2053">
      <c r="A2053" s="40">
        <f t="array" ref="A2053">IFNA(index(PlayerValues!A:A,match(IFNA(vlookup(B2053,'Special Names'!A:B,2,FALSE),B2053),PlayerValues!E:E,0)),"N/A")</f>
        <v>17043</v>
      </c>
      <c r="B2053" s="4" t="s">
        <v>397</v>
      </c>
      <c r="C2053" s="4" t="s">
        <v>278</v>
      </c>
      <c r="D2053" s="94">
        <v>5394.0</v>
      </c>
    </row>
    <row r="2054">
      <c r="A2054" s="40">
        <f t="array" ref="A2054">IFNA(index(PlayerValues!A:A,match(IFNA(vlookup(B2054,'Special Names'!A:B,2,FALSE),B2054),PlayerValues!E:E,0)),"N/A")</f>
        <v>17070</v>
      </c>
      <c r="B2054" s="4" t="s">
        <v>370</v>
      </c>
      <c r="C2054" s="4" t="s">
        <v>287</v>
      </c>
      <c r="D2054" s="94">
        <v>5291.0</v>
      </c>
    </row>
    <row r="2055">
      <c r="A2055" s="40">
        <f t="array" ref="A2055">IFNA(index(PlayerValues!A:A,match(IFNA(vlookup(B2055,'Special Names'!A:B,2,FALSE),B2055),PlayerValues!E:E,0)),"N/A")</f>
        <v>15282</v>
      </c>
      <c r="B2055" s="4" t="s">
        <v>364</v>
      </c>
      <c r="C2055" s="4" t="s">
        <v>287</v>
      </c>
      <c r="D2055" s="94">
        <v>5259.0</v>
      </c>
    </row>
    <row r="2056">
      <c r="A2056" s="40">
        <f t="array" ref="A2056">IFNA(index(PlayerValues!A:A,match(IFNA(vlookup(B2056,'Special Names'!A:B,2,FALSE),B2056),PlayerValues!E:E,0)),"N/A")</f>
        <v>17499</v>
      </c>
      <c r="B2056" s="4" t="s">
        <v>402</v>
      </c>
      <c r="C2056" s="4" t="s">
        <v>287</v>
      </c>
      <c r="D2056" s="94">
        <v>5085.0</v>
      </c>
    </row>
    <row r="2057">
      <c r="A2057" s="40">
        <f t="array" ref="A2057">IFNA(index(PlayerValues!A:A,match(IFNA(vlookup(B2057,'Special Names'!A:B,2,FALSE),B2057),PlayerValues!E:E,0)),"N/A")</f>
        <v>16614</v>
      </c>
      <c r="B2057" s="4" t="s">
        <v>403</v>
      </c>
      <c r="C2057" s="4" t="s">
        <v>287</v>
      </c>
      <c r="D2057" s="94">
        <v>5062.0</v>
      </c>
    </row>
    <row r="2058">
      <c r="A2058" s="40">
        <f t="array" ref="A2058">IFNA(index(PlayerValues!A:A,match(IFNA(vlookup(B2058,'Special Names'!A:B,2,FALSE),B2058),PlayerValues!E:E,0)),"N/A")</f>
        <v>13130</v>
      </c>
      <c r="B2058" s="4" t="s">
        <v>374</v>
      </c>
      <c r="C2058" s="4" t="s">
        <v>278</v>
      </c>
      <c r="D2058" s="94">
        <v>5021.0</v>
      </c>
    </row>
    <row r="2059">
      <c r="A2059" s="40" t="str">
        <f t="array" ref="A2059">IFNA(index(PlayerValues!A:A,match(IFNA(vlookup(B2059,'Special Names'!A:B,2,FALSE),B2059),PlayerValues!E:E,0)),"N/A")</f>
        <v>N/A</v>
      </c>
      <c r="B2059" s="4" t="s">
        <v>104</v>
      </c>
      <c r="C2059" s="4" t="s">
        <v>325</v>
      </c>
      <c r="D2059" s="94">
        <v>5001.0</v>
      </c>
    </row>
    <row r="2060">
      <c r="A2060" s="40">
        <f t="array" ref="A2060">IFNA(index(PlayerValues!A:A,match(IFNA(vlookup(B2060,'Special Names'!A:B,2,FALSE),B2060),PlayerValues!E:E,0)),"N/A")</f>
        <v>16181</v>
      </c>
      <c r="B2060" s="4" t="s">
        <v>350</v>
      </c>
      <c r="C2060" s="4" t="s">
        <v>278</v>
      </c>
      <c r="D2060" s="94">
        <v>4982.0</v>
      </c>
    </row>
    <row r="2061">
      <c r="A2061" s="40" t="str">
        <f t="array" ref="A2061">IFNA(index(PlayerValues!A:A,match(IFNA(vlookup(B2061,'Special Names'!A:B,2,FALSE),B2061),PlayerValues!E:E,0)),"N/A")</f>
        <v>N/A</v>
      </c>
      <c r="B2061" s="4" t="s">
        <v>94</v>
      </c>
      <c r="C2061" s="4" t="s">
        <v>325</v>
      </c>
      <c r="D2061" s="94">
        <v>4974.0</v>
      </c>
    </row>
    <row r="2062">
      <c r="A2062" s="40">
        <f t="array" ref="A2062">IFNA(index(PlayerValues!A:A,match(IFNA(vlookup(B2062,'Special Names'!A:B,2,FALSE),B2062),PlayerValues!E:E,0)),"N/A")</f>
        <v>12620</v>
      </c>
      <c r="B2062" s="4" t="s">
        <v>394</v>
      </c>
      <c r="C2062" s="4" t="s">
        <v>283</v>
      </c>
      <c r="D2062" s="94">
        <v>4972.0</v>
      </c>
    </row>
    <row r="2063">
      <c r="A2063" s="40">
        <f t="array" ref="A2063">IFNA(index(PlayerValues!A:A,match(IFNA(vlookup(B2063,'Special Names'!A:B,2,FALSE),B2063),PlayerValues!E:E,0)),"N/A")</f>
        <v>17039</v>
      </c>
      <c r="B2063" s="4" t="s">
        <v>400</v>
      </c>
      <c r="C2063" s="4" t="s">
        <v>283</v>
      </c>
      <c r="D2063" s="94">
        <v>4930.0</v>
      </c>
    </row>
    <row r="2064">
      <c r="A2064" s="40">
        <f t="array" ref="A2064">IFNA(index(PlayerValues!A:A,match(IFNA(vlookup(B2064,'Special Names'!A:B,2,FALSE),B2064),PlayerValues!E:E,0)),"N/A")</f>
        <v>14835</v>
      </c>
      <c r="B2064" s="4" t="s">
        <v>392</v>
      </c>
      <c r="C2064" s="4" t="s">
        <v>287</v>
      </c>
      <c r="D2064" s="94">
        <v>4927.0</v>
      </c>
    </row>
    <row r="2065">
      <c r="A2065" s="40">
        <f t="array" ref="A2065">IFNA(index(PlayerValues!A:A,match(IFNA(vlookup(B2065,'Special Names'!A:B,2,FALSE),B2065),PlayerValues!E:E,0)),"N/A")</f>
        <v>13604</v>
      </c>
      <c r="B2065" s="4" t="s">
        <v>378</v>
      </c>
      <c r="C2065" s="4" t="s">
        <v>278</v>
      </c>
      <c r="D2065" s="94">
        <v>4913.0</v>
      </c>
    </row>
    <row r="2066">
      <c r="A2066" s="40">
        <f t="array" ref="A2066">IFNA(index(PlayerValues!A:A,match(IFNA(vlookup(B2066,'Special Names'!A:B,2,FALSE),B2066),PlayerValues!E:E,0)),"N/A")</f>
        <v>16222</v>
      </c>
      <c r="B2066" s="4" t="s">
        <v>393</v>
      </c>
      <c r="C2066" s="4" t="s">
        <v>298</v>
      </c>
      <c r="D2066" s="94">
        <v>5469.0</v>
      </c>
    </row>
    <row r="2067">
      <c r="A2067" s="40">
        <f t="array" ref="A2067">IFNA(index(PlayerValues!A:A,match(IFNA(vlookup(B2067,'Special Names'!A:B,2,FALSE),B2067),PlayerValues!E:E,0)),"N/A")</f>
        <v>16150</v>
      </c>
      <c r="B2067" s="4" t="s">
        <v>414</v>
      </c>
      <c r="C2067" s="4" t="s">
        <v>283</v>
      </c>
      <c r="D2067" s="94">
        <v>4893.0</v>
      </c>
    </row>
    <row r="2068">
      <c r="A2068" s="40">
        <f t="array" ref="A2068">IFNA(index(PlayerValues!A:A,match(IFNA(vlookup(B2068,'Special Names'!A:B,2,FALSE),B2068),PlayerValues!E:E,0)),"N/A")</f>
        <v>17103</v>
      </c>
      <c r="B2068" s="4" t="s">
        <v>405</v>
      </c>
      <c r="C2068" s="4" t="s">
        <v>298</v>
      </c>
      <c r="D2068" s="94">
        <v>5458.0</v>
      </c>
    </row>
    <row r="2069">
      <c r="A2069" s="40">
        <f t="array" ref="A2069">IFNA(index(PlayerValues!A:A,match(IFNA(vlookup(B2069,'Special Names'!A:B,2,FALSE),B2069),PlayerValues!E:E,0)),"N/A")</f>
        <v>15710</v>
      </c>
      <c r="B2069" s="4" t="s">
        <v>395</v>
      </c>
      <c r="C2069" s="4" t="s">
        <v>278</v>
      </c>
      <c r="D2069" s="94">
        <v>4848.0</v>
      </c>
    </row>
    <row r="2070">
      <c r="A2070" s="40">
        <f t="array" ref="A2070">IFNA(index(PlayerValues!A:A,match(IFNA(vlookup(B2070,'Special Names'!A:B,2,FALSE),B2070),PlayerValues!E:E,0)),"N/A")</f>
        <v>16618</v>
      </c>
      <c r="B2070" s="4" t="s">
        <v>411</v>
      </c>
      <c r="C2070" s="4" t="s">
        <v>287</v>
      </c>
      <c r="D2070" s="94">
        <v>4840.0</v>
      </c>
    </row>
    <row r="2071">
      <c r="A2071" s="40">
        <f t="array" ref="A2071">IFNA(index(PlayerValues!A:A,match(IFNA(vlookup(B2071,'Special Names'!A:B,2,FALSE),B2071),PlayerValues!E:E,0)),"N/A")</f>
        <v>14104</v>
      </c>
      <c r="B2071" s="4" t="s">
        <v>379</v>
      </c>
      <c r="C2071" s="4" t="s">
        <v>287</v>
      </c>
      <c r="D2071" s="94">
        <v>4837.0</v>
      </c>
    </row>
    <row r="2072">
      <c r="A2072" s="40">
        <f t="array" ref="A2072">IFNA(index(PlayerValues!A:A,match(IFNA(vlookup(B2072,'Special Names'!A:B,2,FALSE),B2072),PlayerValues!E:E,0)),"N/A")</f>
        <v>17473</v>
      </c>
      <c r="B2072" s="4" t="s">
        <v>391</v>
      </c>
      <c r="C2072" s="4" t="s">
        <v>278</v>
      </c>
      <c r="D2072" s="94">
        <v>4835.0</v>
      </c>
    </row>
    <row r="2073">
      <c r="A2073" s="40">
        <f t="array" ref="A2073">IFNA(index(PlayerValues!A:A,match(IFNA(vlookup(B2073,'Special Names'!A:B,2,FALSE),B2073),PlayerValues!E:E,0)),"N/A")</f>
        <v>13590</v>
      </c>
      <c r="B2073" s="4" t="s">
        <v>409</v>
      </c>
      <c r="C2073" s="4" t="s">
        <v>283</v>
      </c>
      <c r="D2073" s="94">
        <v>4826.0</v>
      </c>
    </row>
    <row r="2074">
      <c r="A2074" s="40">
        <f t="array" ref="A2074">IFNA(index(PlayerValues!A:A,match(IFNA(vlookup(B2074,'Special Names'!A:B,2,FALSE),B2074),PlayerValues!E:E,0)),"N/A")</f>
        <v>15284</v>
      </c>
      <c r="B2074" s="4" t="s">
        <v>390</v>
      </c>
      <c r="C2074" s="4" t="s">
        <v>287</v>
      </c>
      <c r="D2074" s="94">
        <v>4824.0</v>
      </c>
    </row>
    <row r="2075">
      <c r="A2075" s="40">
        <f t="array" ref="A2075">IFNA(index(PlayerValues!A:A,match(IFNA(vlookup(B2075,'Special Names'!A:B,2,FALSE),B2075),PlayerValues!E:E,0)),"N/A")</f>
        <v>16598</v>
      </c>
      <c r="B2075" s="4" t="s">
        <v>408</v>
      </c>
      <c r="C2075" s="4" t="s">
        <v>278</v>
      </c>
      <c r="D2075" s="94">
        <v>4823.0</v>
      </c>
    </row>
    <row r="2076">
      <c r="A2076" s="40">
        <f t="array" ref="A2076">IFNA(index(PlayerValues!A:A,match(IFNA(vlookup(B2076,'Special Names'!A:B,2,FALSE),B2076),PlayerValues!E:E,0)),"N/A")</f>
        <v>16190</v>
      </c>
      <c r="B2076" s="4" t="s">
        <v>371</v>
      </c>
      <c r="C2076" s="4" t="s">
        <v>287</v>
      </c>
      <c r="D2076" s="94">
        <v>4782.0</v>
      </c>
    </row>
    <row r="2077">
      <c r="A2077" s="40">
        <f t="array" ref="A2077">IFNA(index(PlayerValues!A:A,match(IFNA(vlookup(B2077,'Special Names'!A:B,2,FALSE),B2077),PlayerValues!E:E,0)),"N/A")</f>
        <v>17045</v>
      </c>
      <c r="B2077" s="4" t="s">
        <v>407</v>
      </c>
      <c r="C2077" s="4" t="s">
        <v>278</v>
      </c>
      <c r="D2077" s="94">
        <v>4714.0</v>
      </c>
    </row>
    <row r="2078">
      <c r="A2078" s="40">
        <f t="array" ref="A2078">IFNA(index(PlayerValues!A:A,match(IFNA(vlookup(B2078,'Special Names'!A:B,2,FALSE),B2078),PlayerValues!E:E,0)),"N/A")</f>
        <v>12611</v>
      </c>
      <c r="B2078" s="4" t="s">
        <v>410</v>
      </c>
      <c r="C2078" s="4" t="s">
        <v>283</v>
      </c>
      <c r="D2078" s="94">
        <v>4670.0</v>
      </c>
    </row>
    <row r="2079">
      <c r="A2079" s="40">
        <f t="array" ref="A2079">IFNA(index(PlayerValues!A:A,match(IFNA(vlookup(B2079,'Special Names'!A:B,2,FALSE),B2079),PlayerValues!E:E,0)),"N/A")</f>
        <v>15756</v>
      </c>
      <c r="B2079" s="4" t="s">
        <v>399</v>
      </c>
      <c r="C2079" s="4" t="s">
        <v>287</v>
      </c>
      <c r="D2079" s="94">
        <v>4670.0</v>
      </c>
    </row>
    <row r="2080">
      <c r="A2080" s="40">
        <f t="array" ref="A2080">IFNA(index(PlayerValues!A:A,match(IFNA(vlookup(B2080,'Special Names'!A:B,2,FALSE),B2080),PlayerValues!E:E,0)),"N/A")</f>
        <v>13592</v>
      </c>
      <c r="B2080" s="4" t="s">
        <v>418</v>
      </c>
      <c r="C2080" s="4" t="s">
        <v>283</v>
      </c>
      <c r="D2080" s="94">
        <v>4639.0</v>
      </c>
    </row>
    <row r="2081">
      <c r="A2081" s="40" t="str">
        <f t="array" ref="A2081">IFNA(index(PlayerValues!A:A,match(IFNA(vlookup(B2081,'Special Names'!A:B,2,FALSE),B2081),PlayerValues!E:E,0)),"N/A")</f>
        <v>N/A</v>
      </c>
      <c r="B2081" s="4" t="s">
        <v>80</v>
      </c>
      <c r="C2081" s="4" t="s">
        <v>325</v>
      </c>
      <c r="D2081" s="94">
        <v>4564.0</v>
      </c>
    </row>
    <row r="2082">
      <c r="A2082" s="40">
        <f t="array" ref="A2082">IFNA(index(PlayerValues!A:A,match(IFNA(vlookup(B2082,'Special Names'!A:B,2,FALSE),B2082),PlayerValues!E:E,0)),"N/A")</f>
        <v>16214</v>
      </c>
      <c r="B2082" s="4" t="s">
        <v>413</v>
      </c>
      <c r="C2082" s="4" t="s">
        <v>298</v>
      </c>
      <c r="D2082" s="94">
        <v>5096.0</v>
      </c>
    </row>
    <row r="2083">
      <c r="A2083" s="40">
        <f t="array" ref="A2083">IFNA(index(PlayerValues!A:A,match(IFNA(vlookup(B2083,'Special Names'!A:B,2,FALSE),B2083),PlayerValues!E:E,0)),"N/A")</f>
        <v>15256</v>
      </c>
      <c r="B2083" s="4" t="s">
        <v>401</v>
      </c>
      <c r="C2083" s="4" t="s">
        <v>278</v>
      </c>
      <c r="D2083" s="94">
        <v>4543.0</v>
      </c>
    </row>
    <row r="2084">
      <c r="A2084" s="40" t="str">
        <f t="array" ref="A2084">IFNA(index(PlayerValues!A:A,match(IFNA(vlookup(B2084,'Special Names'!A:B,2,FALSE),B2084),PlayerValues!E:E,0)),"N/A")</f>
        <v>N/A</v>
      </c>
      <c r="B2084" s="4" t="s">
        <v>105</v>
      </c>
      <c r="C2084" s="4" t="s">
        <v>325</v>
      </c>
      <c r="D2084" s="94">
        <v>4512.0</v>
      </c>
    </row>
    <row r="2085">
      <c r="A2085" s="40">
        <f t="array" ref="A2085">IFNA(index(PlayerValues!A:A,match(IFNA(vlookup(B2085,'Special Names'!A:B,2,FALSE),B2085),PlayerValues!E:E,0)),"N/A")</f>
        <v>17501</v>
      </c>
      <c r="B2085" s="4" t="s">
        <v>404</v>
      </c>
      <c r="C2085" s="4" t="s">
        <v>287</v>
      </c>
      <c r="D2085" s="94">
        <v>4505.0</v>
      </c>
    </row>
    <row r="2086">
      <c r="A2086" s="40">
        <f t="array" ref="A2086">IFNA(index(PlayerValues!A:A,match(IFNA(vlookup(B2086,'Special Names'!A:B,2,FALSE),B2086),PlayerValues!E:E,0)),"N/A")</f>
        <v>15253</v>
      </c>
      <c r="B2086" s="4" t="s">
        <v>415</v>
      </c>
      <c r="C2086" s="4" t="s">
        <v>278</v>
      </c>
      <c r="D2086" s="94">
        <v>4503.0</v>
      </c>
    </row>
    <row r="2087">
      <c r="A2087" s="40">
        <f t="array" ref="A2087">IFNA(index(PlayerValues!A:A,match(IFNA(vlookup(B2087,'Special Names'!A:B,2,FALSE),B2087),PlayerValues!E:E,0)),"N/A")</f>
        <v>16194</v>
      </c>
      <c r="B2087" s="4" t="s">
        <v>398</v>
      </c>
      <c r="C2087" s="4" t="s">
        <v>287</v>
      </c>
      <c r="D2087" s="94">
        <v>4482.0</v>
      </c>
    </row>
    <row r="2088">
      <c r="A2088" s="40">
        <f t="array" ref="A2088">IFNA(index(PlayerValues!A:A,match(IFNA(vlookup(B2088,'Special Names'!A:B,2,FALSE),B2088),PlayerValues!E:E,0)),"N/A")</f>
        <v>16148</v>
      </c>
      <c r="B2088" s="4" t="s">
        <v>426</v>
      </c>
      <c r="C2088" s="4" t="s">
        <v>283</v>
      </c>
      <c r="D2088" s="94">
        <v>4464.0</v>
      </c>
    </row>
    <row r="2089">
      <c r="A2089" s="40">
        <f t="array" ref="A2089">IFNA(index(PlayerValues!A:A,match(IFNA(vlookup(B2089,'Special Names'!A:B,2,FALSE),B2089),PlayerValues!E:E,0)),"N/A")</f>
        <v>15329</v>
      </c>
      <c r="B2089" s="4" t="s">
        <v>416</v>
      </c>
      <c r="C2089" s="4" t="s">
        <v>298</v>
      </c>
      <c r="D2089" s="94">
        <v>4984.0</v>
      </c>
    </row>
    <row r="2090">
      <c r="A2090" s="40">
        <f t="array" ref="A2090">IFNA(index(PlayerValues!A:A,match(IFNA(vlookup(B2090,'Special Names'!A:B,2,FALSE),B2090),PlayerValues!E:E,0)),"N/A")</f>
        <v>17543</v>
      </c>
      <c r="B2090" s="4" t="s">
        <v>436</v>
      </c>
      <c r="C2090" s="4" t="s">
        <v>298</v>
      </c>
      <c r="D2090" s="94">
        <v>4666.0</v>
      </c>
    </row>
    <row r="2091">
      <c r="A2091" s="40">
        <f t="array" ref="A2091">IFNA(index(PlayerValues!A:A,match(IFNA(vlookup(B2091,'Special Names'!A:B,2,FALSE),B2091),PlayerValues!E:E,0)),"N/A")</f>
        <v>14056</v>
      </c>
      <c r="B2091" s="4" t="s">
        <v>423</v>
      </c>
      <c r="C2091" s="4" t="s">
        <v>283</v>
      </c>
      <c r="D2091" s="94">
        <v>4094.0</v>
      </c>
    </row>
    <row r="2092">
      <c r="A2092" s="40" t="str">
        <f t="array" ref="A2092">IFNA(index(PlayerValues!A:A,match(IFNA(vlookup(B2092,'Special Names'!A:B,2,FALSE),B2092),PlayerValues!E:E,0)),"N/A")</f>
        <v>N/A</v>
      </c>
      <c r="B2092" s="4" t="s">
        <v>107</v>
      </c>
      <c r="C2092" s="4" t="s">
        <v>325</v>
      </c>
      <c r="D2092" s="94">
        <v>4091.0</v>
      </c>
    </row>
    <row r="2093">
      <c r="A2093" s="40">
        <f t="array" ref="A2093">IFNA(index(PlayerValues!A:A,match(IFNA(vlookup(B2093,'Special Names'!A:B,2,FALSE),B2093),PlayerValues!E:E,0)),"N/A")</f>
        <v>15768</v>
      </c>
      <c r="B2093" s="4" t="s">
        <v>432</v>
      </c>
      <c r="C2093" s="4" t="s">
        <v>287</v>
      </c>
      <c r="D2093" s="94">
        <v>4079.0</v>
      </c>
    </row>
    <row r="2094">
      <c r="A2094" s="40">
        <f t="array" ref="A2094">IFNA(index(PlayerValues!A:A,match(IFNA(vlookup(B2094,'Special Names'!A:B,2,FALSE),B2094),PlayerValues!E:E,0)),"N/A")</f>
        <v>16186</v>
      </c>
      <c r="B2094" s="4" t="s">
        <v>425</v>
      </c>
      <c r="C2094" s="4" t="s">
        <v>287</v>
      </c>
      <c r="D2094" s="94">
        <v>4016.0</v>
      </c>
    </row>
    <row r="2095">
      <c r="A2095" s="40">
        <f t="array" ref="A2095">IFNA(index(PlayerValues!A:A,match(IFNA(vlookup(B2095,'Special Names'!A:B,2,FALSE),B2095),PlayerValues!E:E,0)),"N/A")</f>
        <v>12626</v>
      </c>
      <c r="B2095" s="4" t="s">
        <v>419</v>
      </c>
      <c r="C2095" s="4" t="s">
        <v>278</v>
      </c>
      <c r="D2095" s="94">
        <v>3965.0</v>
      </c>
    </row>
    <row r="2096">
      <c r="A2096" s="40">
        <f t="array" ref="A2096">IFNA(index(PlayerValues!A:A,match(IFNA(vlookup(B2096,'Special Names'!A:B,2,FALSE),B2096),PlayerValues!E:E,0)),"N/A")</f>
        <v>15694</v>
      </c>
      <c r="B2096" s="4" t="s">
        <v>434</v>
      </c>
      <c r="C2096" s="4" t="s">
        <v>283</v>
      </c>
      <c r="D2096" s="94">
        <v>3959.0</v>
      </c>
    </row>
    <row r="2097">
      <c r="A2097" s="40" t="str">
        <f t="array" ref="A2097">IFNA(index(PlayerValues!A:A,match(IFNA(vlookup(B2097,'Special Names'!A:B,2,FALSE),B2097),PlayerValues!E:E,0)),"N/A")</f>
        <v>N/A</v>
      </c>
      <c r="B2097" s="4" t="s">
        <v>81</v>
      </c>
      <c r="C2097" s="4" t="s">
        <v>325</v>
      </c>
      <c r="D2097" s="94">
        <v>3954.0</v>
      </c>
    </row>
    <row r="2098">
      <c r="A2098" s="40">
        <f t="array" ref="A2098">IFNA(index(PlayerValues!A:A,match(IFNA(vlookup(B2098,'Special Names'!A:B,2,FALSE),B2098),PlayerValues!E:E,0)),"N/A")</f>
        <v>14059</v>
      </c>
      <c r="B2098" s="4" t="s">
        <v>435</v>
      </c>
      <c r="C2098" s="4" t="s">
        <v>283</v>
      </c>
      <c r="D2098" s="94">
        <v>3951.0</v>
      </c>
    </row>
    <row r="2099">
      <c r="A2099" s="40">
        <f t="array" ref="A2099">IFNA(index(PlayerValues!A:A,match(IFNA(vlookup(B2099,'Special Names'!A:B,2,FALSE),B2099),PlayerValues!E:E,0)),"N/A")</f>
        <v>17052</v>
      </c>
      <c r="B2099" s="4" t="s">
        <v>417</v>
      </c>
      <c r="C2099" s="4" t="s">
        <v>278</v>
      </c>
      <c r="D2099" s="94">
        <v>3916.0</v>
      </c>
    </row>
    <row r="2100">
      <c r="A2100" s="40" t="str">
        <f t="array" ref="A2100">IFNA(index(PlayerValues!A:A,match(IFNA(vlookup(B2100,'Special Names'!A:B,2,FALSE),B2100),PlayerValues!E:E,0)),"N/A")</f>
        <v>N/A</v>
      </c>
      <c r="B2100" s="4" t="s">
        <v>95</v>
      </c>
      <c r="C2100" s="4" t="s">
        <v>325</v>
      </c>
      <c r="D2100" s="94">
        <v>3909.0</v>
      </c>
    </row>
    <row r="2101">
      <c r="A2101" s="40">
        <f t="array" ref="A2101">IFNA(index(PlayerValues!A:A,match(IFNA(vlookup(B2101,'Special Names'!A:B,2,FALSE),B2101),PlayerValues!E:E,0)),"N/A")</f>
        <v>17502</v>
      </c>
      <c r="B2101" s="4" t="s">
        <v>451</v>
      </c>
      <c r="C2101" s="4" t="s">
        <v>287</v>
      </c>
      <c r="D2101" s="94">
        <v>3827.0</v>
      </c>
    </row>
    <row r="2102">
      <c r="A2102" s="40">
        <f t="array" ref="A2102">IFNA(index(PlayerValues!A:A,match(IFNA(vlookup(B2102,'Special Names'!A:B,2,FALSE),B2102),PlayerValues!E:E,0)),"N/A")</f>
        <v>15789</v>
      </c>
      <c r="B2102" s="4" t="s">
        <v>421</v>
      </c>
      <c r="C2102" s="4" t="s">
        <v>287</v>
      </c>
      <c r="D2102" s="94">
        <v>3742.0</v>
      </c>
    </row>
    <row r="2103">
      <c r="A2103" s="40">
        <f t="array" ref="A2103">IFNA(index(PlayerValues!A:A,match(IFNA(vlookup(B2103,'Special Names'!A:B,2,FALSE),B2103),PlayerValues!E:E,0)),"N/A")</f>
        <v>9431</v>
      </c>
      <c r="B2103" s="4" t="s">
        <v>428</v>
      </c>
      <c r="C2103" s="4" t="s">
        <v>283</v>
      </c>
      <c r="D2103" s="94">
        <v>3737.0</v>
      </c>
    </row>
    <row r="2104">
      <c r="A2104" s="40">
        <f t="array" ref="A2104">IFNA(index(PlayerValues!A:A,match(IFNA(vlookup(B2104,'Special Names'!A:B,2,FALSE),B2104),PlayerValues!E:E,0)),"N/A")</f>
        <v>13635</v>
      </c>
      <c r="B2104" s="4" t="s">
        <v>424</v>
      </c>
      <c r="C2104" s="4" t="s">
        <v>287</v>
      </c>
      <c r="D2104" s="94">
        <v>3716.0</v>
      </c>
    </row>
    <row r="2105">
      <c r="A2105" s="40">
        <f t="array" ref="A2105">IFNA(index(PlayerValues!A:A,match(IFNA(vlookup(B2105,'Special Names'!A:B,2,FALSE),B2105),PlayerValues!E:E,0)),"N/A")</f>
        <v>17075</v>
      </c>
      <c r="B2105" s="4" t="s">
        <v>429</v>
      </c>
      <c r="C2105" s="4" t="s">
        <v>287</v>
      </c>
      <c r="D2105" s="94">
        <v>3710.0</v>
      </c>
    </row>
    <row r="2106">
      <c r="A2106" s="40">
        <f t="array" ref="A2106">IFNA(index(PlayerValues!A:A,match(IFNA(vlookup(B2106,'Special Names'!A:B,2,FALSE),B2106),PlayerValues!E:E,0)),"N/A")</f>
        <v>17544</v>
      </c>
      <c r="B2106" s="4" t="s">
        <v>470</v>
      </c>
      <c r="C2106" s="4" t="s">
        <v>298</v>
      </c>
      <c r="D2106" s="94">
        <v>4183.0</v>
      </c>
    </row>
    <row r="2107">
      <c r="A2107" s="40">
        <f t="array" ref="A2107">IFNA(index(PlayerValues!A:A,match(IFNA(vlookup(B2107,'Special Names'!A:B,2,FALSE),B2107),PlayerValues!E:E,0)),"N/A")</f>
        <v>17066</v>
      </c>
      <c r="B2107" s="4" t="s">
        <v>446</v>
      </c>
      <c r="C2107" s="4" t="s">
        <v>278</v>
      </c>
      <c r="D2107" s="94">
        <v>3669.0</v>
      </c>
    </row>
    <row r="2108">
      <c r="A2108" s="40">
        <f t="array" ref="A2108">IFNA(index(PlayerValues!A:A,match(IFNA(vlookup(B2108,'Special Names'!A:B,2,FALSE),B2108),PlayerValues!E:E,0)),"N/A")</f>
        <v>17463</v>
      </c>
      <c r="B2108" s="4" t="s">
        <v>433</v>
      </c>
      <c r="C2108" s="4" t="s">
        <v>283</v>
      </c>
      <c r="D2108" s="94">
        <v>3669.0</v>
      </c>
    </row>
    <row r="2109">
      <c r="A2109" s="40">
        <f t="array" ref="A2109">IFNA(index(PlayerValues!A:A,match(IFNA(vlookup(B2109,'Special Names'!A:B,2,FALSE),B2109),PlayerValues!E:E,0)),"N/A")</f>
        <v>16206</v>
      </c>
      <c r="B2109" s="4" t="s">
        <v>431</v>
      </c>
      <c r="C2109" s="4" t="s">
        <v>287</v>
      </c>
      <c r="D2109" s="94">
        <v>3646.0</v>
      </c>
    </row>
    <row r="2110">
      <c r="A2110" s="40">
        <f t="array" ref="A2110">IFNA(index(PlayerValues!A:A,match(IFNA(vlookup(B2110,'Special Names'!A:B,2,FALSE),B2110),PlayerValues!E:E,0)),"N/A")</f>
        <v>17099</v>
      </c>
      <c r="B2110" s="4" t="s">
        <v>474</v>
      </c>
      <c r="C2110" s="4" t="s">
        <v>298</v>
      </c>
      <c r="D2110" s="94">
        <v>4100.0</v>
      </c>
    </row>
    <row r="2111">
      <c r="A2111" s="40">
        <f t="array" ref="A2111">IFNA(index(PlayerValues!A:A,match(IFNA(vlookup(B2111,'Special Names'!A:B,2,FALSE),B2111),PlayerValues!E:E,0)),"N/A")</f>
        <v>16187</v>
      </c>
      <c r="B2111" s="4" t="s">
        <v>441</v>
      </c>
      <c r="C2111" s="4" t="s">
        <v>287</v>
      </c>
      <c r="D2111" s="94">
        <v>3598.0</v>
      </c>
    </row>
    <row r="2112">
      <c r="A2112" s="40">
        <f t="array" ref="A2112">IFNA(index(PlayerValues!A:A,match(IFNA(vlookup(B2112,'Special Names'!A:B,2,FALSE),B2112),PlayerValues!E:E,0)),"N/A")</f>
        <v>15757</v>
      </c>
      <c r="B2112" s="4" t="s">
        <v>449</v>
      </c>
      <c r="C2112" s="4" t="s">
        <v>287</v>
      </c>
      <c r="D2112" s="94">
        <v>3594.0</v>
      </c>
    </row>
    <row r="2113">
      <c r="A2113" s="40">
        <f t="array" ref="A2113">IFNA(index(PlayerValues!A:A,match(IFNA(vlookup(B2113,'Special Names'!A:B,2,FALSE),B2113),PlayerValues!E:E,0)),"N/A")</f>
        <v>14073</v>
      </c>
      <c r="B2113" s="4" t="s">
        <v>464</v>
      </c>
      <c r="C2113" s="4" t="s">
        <v>278</v>
      </c>
      <c r="D2113" s="94">
        <v>3553.0</v>
      </c>
    </row>
    <row r="2114">
      <c r="A2114" s="40">
        <f t="array" ref="A2114">IFNA(index(PlayerValues!A:A,match(IFNA(vlookup(B2114,'Special Names'!A:B,2,FALSE),B2114),PlayerValues!E:E,0)),"N/A")</f>
        <v>14797</v>
      </c>
      <c r="B2114" s="4" t="s">
        <v>420</v>
      </c>
      <c r="C2114" s="4" t="s">
        <v>278</v>
      </c>
      <c r="D2114" s="94">
        <v>3553.0</v>
      </c>
    </row>
    <row r="2115">
      <c r="A2115" s="40">
        <f t="array" ref="A2115">IFNA(index(PlayerValues!A:A,match(IFNA(vlookup(B2115,'Special Names'!A:B,2,FALSE),B2115),PlayerValues!E:E,0)),"N/A")</f>
        <v>16192</v>
      </c>
      <c r="B2115" s="4" t="s">
        <v>412</v>
      </c>
      <c r="C2115" s="4" t="s">
        <v>287</v>
      </c>
      <c r="D2115" s="94">
        <v>3550.0</v>
      </c>
    </row>
    <row r="2116">
      <c r="A2116" s="40">
        <f t="array" ref="A2116">IFNA(index(PlayerValues!A:A,match(IFNA(vlookup(B2116,'Special Names'!A:B,2,FALSE),B2116),PlayerValues!E:E,0)),"N/A")</f>
        <v>14102</v>
      </c>
      <c r="B2116" s="4" t="s">
        <v>444</v>
      </c>
      <c r="C2116" s="4" t="s">
        <v>287</v>
      </c>
      <c r="D2116" s="94">
        <v>3523.0</v>
      </c>
    </row>
    <row r="2117">
      <c r="A2117" s="40" t="str">
        <f t="array" ref="A2117">IFNA(index(PlayerValues!A:A,match(IFNA(vlookup(B2117,'Special Names'!A:B,2,FALSE),B2117),PlayerValues!E:E,0)),"N/A")</f>
        <v>N/A</v>
      </c>
      <c r="B2117" s="4" t="s">
        <v>96</v>
      </c>
      <c r="C2117" s="4" t="s">
        <v>325</v>
      </c>
      <c r="D2117" s="94">
        <v>3491.0</v>
      </c>
    </row>
    <row r="2118">
      <c r="A2118" s="40">
        <f t="array" ref="A2118">IFNA(index(PlayerValues!A:A,match(IFNA(vlookup(B2118,'Special Names'!A:B,2,FALSE),B2118),PlayerValues!E:E,0)),"N/A")</f>
        <v>14109</v>
      </c>
      <c r="B2118" s="4" t="s">
        <v>437</v>
      </c>
      <c r="C2118" s="4" t="s">
        <v>287</v>
      </c>
      <c r="D2118" s="94">
        <v>3461.0</v>
      </c>
    </row>
    <row r="2119">
      <c r="A2119" s="40">
        <f t="array" ref="A2119">IFNA(index(PlayerValues!A:A,match(IFNA(vlookup(B2119,'Special Names'!A:B,2,FALSE),B2119),PlayerValues!E:E,0)),"N/A")</f>
        <v>16184</v>
      </c>
      <c r="B2119" s="4" t="s">
        <v>445</v>
      </c>
      <c r="C2119" s="4" t="s">
        <v>287</v>
      </c>
      <c r="D2119" s="94">
        <v>3459.0</v>
      </c>
    </row>
    <row r="2120">
      <c r="A2120" s="40">
        <f t="array" ref="A2120">IFNA(index(PlayerValues!A:A,match(IFNA(vlookup(B2120,'Special Names'!A:B,2,FALSE),B2120),PlayerValues!E:E,0)),"N/A")</f>
        <v>16622</v>
      </c>
      <c r="B2120" s="4" t="s">
        <v>517</v>
      </c>
      <c r="C2120" s="4" t="s">
        <v>287</v>
      </c>
      <c r="D2120" s="94">
        <v>3454.0</v>
      </c>
    </row>
    <row r="2121">
      <c r="A2121" s="40">
        <f t="array" ref="A2121">IFNA(index(PlayerValues!A:A,match(IFNA(vlookup(B2121,'Special Names'!A:B,2,FALSE),B2121),PlayerValues!E:E,0)),"N/A")</f>
        <v>17068</v>
      </c>
      <c r="B2121" s="4" t="s">
        <v>450</v>
      </c>
      <c r="C2121" s="4" t="s">
        <v>278</v>
      </c>
      <c r="D2121" s="94">
        <v>3436.0</v>
      </c>
    </row>
    <row r="2122">
      <c r="A2122" s="40">
        <f t="array" ref="A2122">IFNA(index(PlayerValues!A:A,match(IFNA(vlookup(B2122,'Special Names'!A:B,2,FALSE),B2122),PlayerValues!E:E,0)),"N/A")</f>
        <v>17500</v>
      </c>
      <c r="B2122" s="4" t="s">
        <v>430</v>
      </c>
      <c r="C2122" s="4" t="s">
        <v>287</v>
      </c>
      <c r="D2122" s="94">
        <v>3435.0</v>
      </c>
    </row>
    <row r="2123">
      <c r="A2123" s="40">
        <f t="array" ref="A2123">IFNA(index(PlayerValues!A:A,match(IFNA(vlookup(B2123,'Special Names'!A:B,2,FALSE),B2123),PlayerValues!E:E,0)),"N/A")</f>
        <v>15798</v>
      </c>
      <c r="B2123" s="4" t="s">
        <v>443</v>
      </c>
      <c r="C2123" s="4" t="s">
        <v>298</v>
      </c>
      <c r="D2123" s="94">
        <v>3826.0</v>
      </c>
    </row>
    <row r="2124">
      <c r="A2124" s="40">
        <f t="array" ref="A2124">IFNA(index(PlayerValues!A:A,match(IFNA(vlookup(B2124,'Special Names'!A:B,2,FALSE),B2124),PlayerValues!E:E,0)),"N/A")</f>
        <v>16169</v>
      </c>
      <c r="B2124" s="4" t="s">
        <v>457</v>
      </c>
      <c r="C2124" s="4" t="s">
        <v>278</v>
      </c>
      <c r="D2124" s="94">
        <v>3375.0</v>
      </c>
    </row>
    <row r="2125">
      <c r="A2125" s="40">
        <f t="array" ref="A2125">IFNA(index(PlayerValues!A:A,match(IFNA(vlookup(B2125,'Special Names'!A:B,2,FALSE),B2125),PlayerValues!E:E,0)),"N/A")</f>
        <v>17083</v>
      </c>
      <c r="B2125" s="4" t="s">
        <v>479</v>
      </c>
      <c r="C2125" s="4" t="s">
        <v>287</v>
      </c>
      <c r="D2125" s="94">
        <v>3373.0</v>
      </c>
    </row>
    <row r="2126">
      <c r="A2126" s="40">
        <f t="array" ref="A2126">IFNA(index(PlayerValues!A:A,match(IFNA(vlookup(B2126,'Special Names'!A:B,2,FALSE),B2126),PlayerValues!E:E,0)),"N/A")</f>
        <v>14071</v>
      </c>
      <c r="B2126" s="4" t="s">
        <v>440</v>
      </c>
      <c r="C2126" s="4" t="s">
        <v>278</v>
      </c>
      <c r="D2126" s="94">
        <v>3370.0</v>
      </c>
    </row>
    <row r="2127">
      <c r="A2127" s="40">
        <f t="array" ref="A2127">IFNA(index(PlayerValues!A:A,match(IFNA(vlookup(B2127,'Special Names'!A:B,2,FALSE),B2127),PlayerValues!E:E,0)),"N/A")</f>
        <v>17074</v>
      </c>
      <c r="B2127" s="4" t="s">
        <v>475</v>
      </c>
      <c r="C2127" s="4" t="s">
        <v>287</v>
      </c>
      <c r="D2127" s="94">
        <v>3368.0</v>
      </c>
    </row>
    <row r="2128">
      <c r="A2128" s="40">
        <f t="array" ref="A2128">IFNA(index(PlayerValues!A:A,match(IFNA(vlookup(B2128,'Special Names'!A:B,2,FALSE),B2128),PlayerValues!E:E,0)),"N/A")</f>
        <v>16620</v>
      </c>
      <c r="B2128" s="4" t="s">
        <v>467</v>
      </c>
      <c r="C2128" s="4" t="s">
        <v>287</v>
      </c>
      <c r="D2128" s="94">
        <v>3363.0</v>
      </c>
    </row>
    <row r="2129">
      <c r="A2129" s="40">
        <f t="array" ref="A2129">IFNA(index(PlayerValues!A:A,match(IFNA(vlookup(B2129,'Special Names'!A:B,2,FALSE),B2129),PlayerValues!E:E,0)),"N/A")</f>
        <v>14842</v>
      </c>
      <c r="B2129" s="4" t="s">
        <v>456</v>
      </c>
      <c r="C2129" s="4" t="s">
        <v>287</v>
      </c>
      <c r="D2129" s="94">
        <v>3361.0</v>
      </c>
    </row>
    <row r="2130">
      <c r="A2130" s="40">
        <f t="array" ref="A2130">IFNA(index(PlayerValues!A:A,match(IFNA(vlookup(B2130,'Special Names'!A:B,2,FALSE),B2130),PlayerValues!E:E,0)),"N/A")</f>
        <v>16188</v>
      </c>
      <c r="B2130" s="4" t="s">
        <v>439</v>
      </c>
      <c r="C2130" s="4" t="s">
        <v>287</v>
      </c>
      <c r="D2130" s="94">
        <v>3352.0</v>
      </c>
    </row>
    <row r="2131">
      <c r="A2131" s="40">
        <f t="array" ref="A2131">IFNA(index(PlayerValues!A:A,match(IFNA(vlookup(B2131,'Special Names'!A:B,2,FALSE),B2131),PlayerValues!E:E,0)),"N/A")</f>
        <v>15261</v>
      </c>
      <c r="B2131" s="4" t="s">
        <v>466</v>
      </c>
      <c r="C2131" s="4" t="s">
        <v>278</v>
      </c>
      <c r="D2131" s="94">
        <v>3326.0</v>
      </c>
    </row>
    <row r="2132">
      <c r="A2132" s="40" t="str">
        <f t="array" ref="A2132">IFNA(index(PlayerValues!A:A,match(IFNA(vlookup(B2132,'Special Names'!A:B,2,FALSE),B2132),PlayerValues!E:E,0)),"N/A")</f>
        <v>N/A</v>
      </c>
      <c r="B2132" s="4" t="s">
        <v>82</v>
      </c>
      <c r="C2132" s="4" t="s">
        <v>325</v>
      </c>
      <c r="D2132" s="94">
        <v>3295.0</v>
      </c>
    </row>
    <row r="2133">
      <c r="A2133" s="40">
        <f t="array" ref="A2133">IFNA(index(PlayerValues!A:A,match(IFNA(vlookup(B2133,'Special Names'!A:B,2,FALSE),B2133),PlayerValues!E:E,0)),"N/A")</f>
        <v>16593</v>
      </c>
      <c r="B2133" s="4" t="s">
        <v>442</v>
      </c>
      <c r="C2133" s="4" t="s">
        <v>278</v>
      </c>
      <c r="D2133" s="94">
        <v>3285.0</v>
      </c>
    </row>
    <row r="2134">
      <c r="A2134" s="40">
        <f t="array" ref="A2134">IFNA(index(PlayerValues!A:A,match(IFNA(vlookup(B2134,'Special Names'!A:B,2,FALSE),B2134),PlayerValues!E:E,0)),"N/A")</f>
        <v>11671</v>
      </c>
      <c r="B2134" s="4" t="s">
        <v>463</v>
      </c>
      <c r="C2134" s="4" t="s">
        <v>287</v>
      </c>
      <c r="D2134" s="94">
        <v>3279.0</v>
      </c>
    </row>
    <row r="2135">
      <c r="A2135" s="40">
        <f t="array" ref="A2135">IFNA(index(PlayerValues!A:A,match(IFNA(vlookup(B2135,'Special Names'!A:B,2,FALSE),B2135),PlayerValues!E:E,0)),"N/A")</f>
        <v>11675</v>
      </c>
      <c r="B2135" s="4" t="s">
        <v>438</v>
      </c>
      <c r="C2135" s="4" t="s">
        <v>287</v>
      </c>
      <c r="D2135" s="94">
        <v>3279.0</v>
      </c>
    </row>
    <row r="2136">
      <c r="A2136" s="40">
        <f t="array" ref="A2136">IFNA(index(PlayerValues!A:A,match(IFNA(vlookup(B2136,'Special Names'!A:B,2,FALSE),B2136),PlayerValues!E:E,0)),"N/A")</f>
        <v>16213</v>
      </c>
      <c r="B2136" s="4" t="s">
        <v>458</v>
      </c>
      <c r="C2136" s="4" t="s">
        <v>298</v>
      </c>
      <c r="D2136" s="94">
        <v>3683.0</v>
      </c>
    </row>
    <row r="2137">
      <c r="A2137" s="40">
        <f t="array" ref="A2137">IFNA(index(PlayerValues!A:A,match(IFNA(vlookup(B2137,'Special Names'!A:B,2,FALSE),B2137),PlayerValues!E:E,0)),"N/A")</f>
        <v>13299</v>
      </c>
      <c r="B2137" s="4" t="s">
        <v>448</v>
      </c>
      <c r="C2137" s="4" t="s">
        <v>298</v>
      </c>
      <c r="D2137" s="94">
        <v>3674.0</v>
      </c>
    </row>
    <row r="2138">
      <c r="A2138" s="40">
        <f t="array" ref="A2138">IFNA(index(PlayerValues!A:A,match(IFNA(vlookup(B2138,'Special Names'!A:B,2,FALSE),B2138),PlayerValues!E:E,0)),"N/A")</f>
        <v>15779</v>
      </c>
      <c r="B2138" s="4" t="s">
        <v>461</v>
      </c>
      <c r="C2138" s="4" t="s">
        <v>287</v>
      </c>
      <c r="D2138" s="94">
        <v>3221.0</v>
      </c>
    </row>
    <row r="2139">
      <c r="A2139" s="40">
        <f t="array" ref="A2139">IFNA(index(PlayerValues!A:A,match(IFNA(vlookup(B2139,'Special Names'!A:B,2,FALSE),B2139),PlayerValues!E:E,0)),"N/A")</f>
        <v>15799</v>
      </c>
      <c r="B2139" s="4" t="s">
        <v>468</v>
      </c>
      <c r="C2139" s="4" t="s">
        <v>298</v>
      </c>
      <c r="D2139" s="94">
        <v>3658.0</v>
      </c>
    </row>
    <row r="2140">
      <c r="A2140" s="40">
        <f t="array" ref="A2140">IFNA(index(PlayerValues!A:A,match(IFNA(vlookup(B2140,'Special Names'!A:B,2,FALSE),B2140),PlayerValues!E:E,0)),"N/A")</f>
        <v>16597</v>
      </c>
      <c r="B2140" s="4" t="s">
        <v>427</v>
      </c>
      <c r="C2140" s="4" t="s">
        <v>278</v>
      </c>
      <c r="D2140" s="94">
        <v>3200.0</v>
      </c>
    </row>
    <row r="2141">
      <c r="A2141" s="40">
        <f t="array" ref="A2141">IFNA(index(PlayerValues!A:A,match(IFNA(vlookup(B2141,'Special Names'!A:B,2,FALSE),B2141),PlayerValues!E:E,0)),"N/A")</f>
        <v>14823</v>
      </c>
      <c r="B2141" s="4" t="s">
        <v>459</v>
      </c>
      <c r="C2141" s="4" t="s">
        <v>278</v>
      </c>
      <c r="D2141" s="94">
        <v>3196.0</v>
      </c>
    </row>
    <row r="2142">
      <c r="A2142" s="40" t="str">
        <f t="array" ref="A2142">IFNA(index(PlayerValues!A:A,match(IFNA(vlookup(B2142,'Special Names'!A:B,2,FALSE),B2142),PlayerValues!E:E,0)),"N/A")</f>
        <v>N/A</v>
      </c>
      <c r="B2142" s="4" t="s">
        <v>108</v>
      </c>
      <c r="C2142" s="4" t="s">
        <v>325</v>
      </c>
      <c r="D2142" s="94">
        <v>3178.0</v>
      </c>
    </row>
    <row r="2143">
      <c r="A2143" s="40">
        <f t="array" ref="A2143">IFNA(index(PlayerValues!A:A,match(IFNA(vlookup(B2143,'Special Names'!A:B,2,FALSE),B2143),PlayerValues!E:E,0)),"N/A")</f>
        <v>17477</v>
      </c>
      <c r="B2143" s="4" t="s">
        <v>452</v>
      </c>
      <c r="C2143" s="4" t="s">
        <v>278</v>
      </c>
      <c r="D2143" s="94">
        <v>3161.0</v>
      </c>
    </row>
    <row r="2144">
      <c r="A2144" s="40">
        <f t="array" ref="A2144">IFNA(index(PlayerValues!A:A,match(IFNA(vlookup(B2144,'Special Names'!A:B,2,FALSE),B2144),PlayerValues!E:E,0)),"N/A")</f>
        <v>15742</v>
      </c>
      <c r="B2144" s="4" t="s">
        <v>447</v>
      </c>
      <c r="C2144" s="4" t="s">
        <v>278</v>
      </c>
      <c r="D2144" s="94">
        <v>3159.0</v>
      </c>
    </row>
    <row r="2145">
      <c r="A2145" s="40">
        <f t="array" ref="A2145">IFNA(index(PlayerValues!A:A,match(IFNA(vlookup(B2145,'Special Names'!A:B,2,FALSE),B2145),PlayerValues!E:E,0)),"N/A")</f>
        <v>16583</v>
      </c>
      <c r="B2145" s="4" t="s">
        <v>493</v>
      </c>
      <c r="C2145" s="4" t="s">
        <v>283</v>
      </c>
      <c r="D2145" s="94">
        <v>3157.0</v>
      </c>
    </row>
    <row r="2146">
      <c r="A2146" s="40" t="str">
        <f t="array" ref="A2146">IFNA(index(PlayerValues!A:A,match(IFNA(vlookup(B2146,'Special Names'!A:B,2,FALSE),B2146),PlayerValues!E:E,0)),"N/A")</f>
        <v>N/A</v>
      </c>
      <c r="B2146" s="4" t="s">
        <v>97</v>
      </c>
      <c r="C2146" s="4" t="s">
        <v>325</v>
      </c>
      <c r="D2146" s="94">
        <v>3155.0</v>
      </c>
    </row>
    <row r="2147">
      <c r="A2147" s="40">
        <f t="array" ref="A2147">IFNA(index(PlayerValues!A:A,match(IFNA(vlookup(B2147,'Special Names'!A:B,2,FALSE),B2147),PlayerValues!E:E,0)),"N/A")</f>
        <v>13630</v>
      </c>
      <c r="B2147" s="4" t="s">
        <v>465</v>
      </c>
      <c r="C2147" s="4" t="s">
        <v>287</v>
      </c>
      <c r="D2147" s="94">
        <v>3152.0</v>
      </c>
    </row>
    <row r="2148">
      <c r="A2148" s="40">
        <f t="array" ref="A2148">IFNA(index(PlayerValues!A:A,match(IFNA(vlookup(B2148,'Special Names'!A:B,2,FALSE),B2148),PlayerValues!E:E,0)),"N/A")</f>
        <v>14127</v>
      </c>
      <c r="B2148" s="4" t="s">
        <v>486</v>
      </c>
      <c r="C2148" s="4" t="s">
        <v>287</v>
      </c>
      <c r="D2148" s="94">
        <v>3139.0</v>
      </c>
    </row>
    <row r="2149">
      <c r="A2149" s="40">
        <f t="array" ref="A2149">IFNA(index(PlayerValues!A:A,match(IFNA(vlookup(B2149,'Special Names'!A:B,2,FALSE),B2149),PlayerValues!E:E,0)),"N/A")</f>
        <v>16809</v>
      </c>
      <c r="B2149" s="4" t="s">
        <v>455</v>
      </c>
      <c r="C2149" s="4" t="s">
        <v>287</v>
      </c>
      <c r="D2149" s="94">
        <v>3068.0</v>
      </c>
    </row>
    <row r="2150">
      <c r="A2150" s="40">
        <f t="array" ref="A2150">IFNA(index(PlayerValues!A:A,match(IFNA(vlookup(B2150,'Special Names'!A:B,2,FALSE),B2150),PlayerValues!E:E,0)),"N/A")</f>
        <v>16269</v>
      </c>
      <c r="B2150" s="4" t="s">
        <v>481</v>
      </c>
      <c r="C2150" s="4" t="s">
        <v>298</v>
      </c>
      <c r="D2150" s="94">
        <v>3435.0</v>
      </c>
    </row>
    <row r="2151">
      <c r="A2151" s="40">
        <f t="array" ref="A2151">IFNA(index(PlayerValues!A:A,match(IFNA(vlookup(B2151,'Special Names'!A:B,2,FALSE),B2151),PlayerValues!E:E,0)),"N/A")</f>
        <v>17506</v>
      </c>
      <c r="B2151" s="4" t="s">
        <v>471</v>
      </c>
      <c r="C2151" s="4" t="s">
        <v>287</v>
      </c>
      <c r="D2151" s="94">
        <v>2999.0</v>
      </c>
    </row>
    <row r="2152">
      <c r="A2152" s="40">
        <f t="array" ref="A2152">IFNA(index(PlayerValues!A:A,match(IFNA(vlookup(B2152,'Special Names'!A:B,2,FALSE),B2152),PlayerValues!E:E,0)),"N/A")</f>
        <v>15761</v>
      </c>
      <c r="B2152" s="4" t="s">
        <v>491</v>
      </c>
      <c r="C2152" s="4" t="s">
        <v>287</v>
      </c>
      <c r="D2152" s="94">
        <v>2990.0</v>
      </c>
    </row>
    <row r="2153">
      <c r="A2153" s="40" t="str">
        <f t="array" ref="A2153">IFNA(index(PlayerValues!A:A,match(IFNA(vlookup(B2153,'Special Names'!A:B,2,FALSE),B2153),PlayerValues!E:E,0)),"N/A")</f>
        <v>N/A</v>
      </c>
      <c r="B2153" s="4" t="s">
        <v>109</v>
      </c>
      <c r="C2153" s="4" t="s">
        <v>325</v>
      </c>
      <c r="D2153" s="94">
        <v>2979.0</v>
      </c>
    </row>
    <row r="2154">
      <c r="A2154" s="40">
        <f t="array" ref="A2154">IFNA(index(PlayerValues!A:A,match(IFNA(vlookup(B2154,'Special Names'!A:B,2,FALSE),B2154),PlayerValues!E:E,0)),"N/A")</f>
        <v>14800</v>
      </c>
      <c r="B2154" s="4" t="s">
        <v>472</v>
      </c>
      <c r="C2154" s="4" t="s">
        <v>278</v>
      </c>
      <c r="D2154" s="94">
        <v>2966.0</v>
      </c>
    </row>
    <row r="2155">
      <c r="A2155" s="40">
        <f t="array" ref="A2155">IFNA(index(PlayerValues!A:A,match(IFNA(vlookup(B2155,'Special Names'!A:B,2,FALSE),B2155),PlayerValues!E:E,0)),"N/A")</f>
        <v>17512</v>
      </c>
      <c r="B2155" s="4" t="s">
        <v>483</v>
      </c>
      <c r="C2155" s="4" t="s">
        <v>287</v>
      </c>
      <c r="D2155" s="94">
        <v>2966.0</v>
      </c>
    </row>
    <row r="2156">
      <c r="A2156" s="40">
        <f t="array" ref="A2156">IFNA(index(PlayerValues!A:A,match(IFNA(vlookup(B2156,'Special Names'!A:B,2,FALSE),B2156),PlayerValues!E:E,0)),"N/A")</f>
        <v>17503</v>
      </c>
      <c r="B2156" s="4" t="s">
        <v>480</v>
      </c>
      <c r="C2156" s="4" t="s">
        <v>287</v>
      </c>
      <c r="D2156" s="94">
        <v>2964.0</v>
      </c>
    </row>
    <row r="2157">
      <c r="A2157" s="40">
        <f t="array" ref="A2157">IFNA(index(PlayerValues!A:A,match(IFNA(vlookup(B2157,'Special Names'!A:B,2,FALSE),B2157),PlayerValues!E:E,0)),"N/A")</f>
        <v>13163</v>
      </c>
      <c r="B2157" s="4" t="s">
        <v>473</v>
      </c>
      <c r="C2157" s="4" t="s">
        <v>287</v>
      </c>
      <c r="D2157" s="94">
        <v>2962.0</v>
      </c>
    </row>
    <row r="2158">
      <c r="A2158" s="40">
        <f t="array" ref="A2158">IFNA(index(PlayerValues!A:A,match(IFNA(vlookup(B2158,'Special Names'!A:B,2,FALSE),B2158),PlayerValues!E:E,0)),"N/A")</f>
        <v>16628</v>
      </c>
      <c r="B2158" s="4" t="s">
        <v>490</v>
      </c>
      <c r="C2158" s="4" t="s">
        <v>287</v>
      </c>
      <c r="D2158" s="94">
        <v>2957.0</v>
      </c>
    </row>
    <row r="2159">
      <c r="A2159" s="40" t="str">
        <f t="array" ref="A2159">IFNA(index(PlayerValues!A:A,match(IFNA(vlookup(B2159,'Special Names'!A:B,2,FALSE),B2159),PlayerValues!E:E,0)),"N/A")</f>
        <v>N/A</v>
      </c>
      <c r="B2159" s="4" t="s">
        <v>84</v>
      </c>
      <c r="C2159" s="4" t="s">
        <v>325</v>
      </c>
      <c r="D2159" s="94">
        <v>2953.0</v>
      </c>
    </row>
    <row r="2160">
      <c r="A2160" s="40">
        <f t="array" ref="A2160">IFNA(index(PlayerValues!A:A,match(IFNA(vlookup(B2160,'Special Names'!A:B,2,FALSE),B2160),PlayerValues!E:E,0)),"N/A")</f>
        <v>17476</v>
      </c>
      <c r="B2160" s="4" t="s">
        <v>494</v>
      </c>
      <c r="C2160" s="4" t="s">
        <v>278</v>
      </c>
      <c r="D2160" s="94">
        <v>2940.0</v>
      </c>
    </row>
    <row r="2161">
      <c r="A2161" s="40">
        <f t="array" ref="A2161">IFNA(index(PlayerValues!A:A,match(IFNA(vlookup(B2161,'Special Names'!A:B,2,FALSE),B2161),PlayerValues!E:E,0)),"N/A")</f>
        <v>17256</v>
      </c>
      <c r="B2161" s="4" t="s">
        <v>462</v>
      </c>
      <c r="C2161" s="4" t="s">
        <v>278</v>
      </c>
      <c r="D2161" s="94">
        <v>2938.0</v>
      </c>
    </row>
    <row r="2162">
      <c r="A2162" s="40">
        <f t="array" ref="A2162">IFNA(index(PlayerValues!A:A,match(IFNA(vlookup(B2162,'Special Names'!A:B,2,FALSE),B2162),PlayerValues!E:E,0)),"N/A")</f>
        <v>15259</v>
      </c>
      <c r="B2162" s="4" t="s">
        <v>453</v>
      </c>
      <c r="C2162" s="4" t="s">
        <v>278</v>
      </c>
      <c r="D2162" s="94">
        <v>2917.0</v>
      </c>
    </row>
    <row r="2163">
      <c r="A2163" s="40">
        <f t="array" ref="A2163">IFNA(index(PlayerValues!A:A,match(IFNA(vlookup(B2163,'Special Names'!A:B,2,FALSE),B2163),PlayerValues!E:E,0)),"N/A")</f>
        <v>16080</v>
      </c>
      <c r="B2163" s="4" t="s">
        <v>499</v>
      </c>
      <c r="C2163" s="4" t="s">
        <v>287</v>
      </c>
      <c r="D2163" s="94">
        <v>2887.0</v>
      </c>
    </row>
    <row r="2164">
      <c r="A2164" s="40">
        <f t="array" ref="A2164">IFNA(index(PlayerValues!A:A,match(IFNA(vlookup(B2164,'Special Names'!A:B,2,FALSE),B2164),PlayerValues!E:E,0)),"N/A")</f>
        <v>16584</v>
      </c>
      <c r="B2164" s="4" t="s">
        <v>569</v>
      </c>
      <c r="C2164" s="4" t="s">
        <v>283</v>
      </c>
      <c r="D2164" s="94">
        <v>2853.0</v>
      </c>
    </row>
    <row r="2165">
      <c r="A2165" s="40" t="str">
        <f t="array" ref="A2165">IFNA(index(PlayerValues!A:A,match(IFNA(vlookup(B2165,'Special Names'!A:B,2,FALSE),B2165),PlayerValues!E:E,0)),"N/A")</f>
        <v>N/A</v>
      </c>
      <c r="B2165" s="4" t="s">
        <v>85</v>
      </c>
      <c r="C2165" s="4" t="s">
        <v>325</v>
      </c>
      <c r="D2165" s="94">
        <v>2833.0</v>
      </c>
    </row>
    <row r="2166">
      <c r="A2166" s="40">
        <f t="array" ref="A2166">IFNA(index(PlayerValues!A:A,match(IFNA(vlookup(B2166,'Special Names'!A:B,2,FALSE),B2166),PlayerValues!E:E,0)),"N/A")</f>
        <v>15255</v>
      </c>
      <c r="B2166" s="4" t="s">
        <v>477</v>
      </c>
      <c r="C2166" s="4" t="s">
        <v>278</v>
      </c>
      <c r="D2166" s="94">
        <v>2829.0</v>
      </c>
    </row>
    <row r="2167">
      <c r="A2167" s="40" t="str">
        <f t="array" ref="A2167">IFNA(index(PlayerValues!A:A,match(IFNA(vlookup(B2167,'Special Names'!A:B,2,FALSE),B2167),PlayerValues!E:E,0)),"N/A")</f>
        <v>N/A</v>
      </c>
      <c r="B2167" s="4" t="s">
        <v>110</v>
      </c>
      <c r="C2167" s="4" t="s">
        <v>325</v>
      </c>
      <c r="D2167" s="94">
        <v>2819.0</v>
      </c>
    </row>
    <row r="2168">
      <c r="A2168" s="40">
        <f t="array" ref="A2168">IFNA(index(PlayerValues!A:A,match(IFNA(vlookup(B2168,'Special Names'!A:B,2,FALSE),B2168),PlayerValues!E:E,0)),"N/A")</f>
        <v>17157</v>
      </c>
      <c r="B2168" s="4" t="s">
        <v>524</v>
      </c>
      <c r="C2168" s="4" t="s">
        <v>287</v>
      </c>
      <c r="D2168" s="94">
        <v>2810.0</v>
      </c>
    </row>
    <row r="2169">
      <c r="A2169" s="40">
        <f t="array" ref="A2169">IFNA(index(PlayerValues!A:A,match(IFNA(vlookup(B2169,'Special Names'!A:B,2,FALSE),B2169),PlayerValues!E:E,0)),"N/A")</f>
        <v>17053</v>
      </c>
      <c r="B2169" s="4" t="s">
        <v>484</v>
      </c>
      <c r="C2169" s="4" t="s">
        <v>278</v>
      </c>
      <c r="D2169" s="94">
        <v>2806.0</v>
      </c>
    </row>
    <row r="2170">
      <c r="A2170" s="40">
        <f t="array" ref="A2170">IFNA(index(PlayerValues!A:A,match(IFNA(vlookup(B2170,'Special Names'!A:B,2,FALSE),B2170),PlayerValues!E:E,0)),"N/A")</f>
        <v>14085</v>
      </c>
      <c r="B2170" s="4" t="s">
        <v>489</v>
      </c>
      <c r="C2170" s="4" t="s">
        <v>278</v>
      </c>
      <c r="D2170" s="94">
        <v>2797.0</v>
      </c>
    </row>
    <row r="2171">
      <c r="A2171" s="40">
        <f t="array" ref="A2171">IFNA(index(PlayerValues!A:A,match(IFNA(vlookup(B2171,'Special Names'!A:B,2,FALSE),B2171),PlayerValues!E:E,0)),"N/A")</f>
        <v>14138</v>
      </c>
      <c r="B2171" s="4" t="s">
        <v>531</v>
      </c>
      <c r="C2171" s="4" t="s">
        <v>298</v>
      </c>
      <c r="D2171" s="94">
        <v>3210.0</v>
      </c>
    </row>
    <row r="2172">
      <c r="A2172" s="40">
        <f t="array" ref="A2172">IFNA(index(PlayerValues!A:A,match(IFNA(vlookup(B2172,'Special Names'!A:B,2,FALSE),B2172),PlayerValues!E:E,0)),"N/A")</f>
        <v>17505</v>
      </c>
      <c r="B2172" s="4" t="s">
        <v>528</v>
      </c>
      <c r="C2172" s="4" t="s">
        <v>287</v>
      </c>
      <c r="D2172" s="94">
        <v>2783.0</v>
      </c>
    </row>
    <row r="2173">
      <c r="A2173" s="40">
        <f t="array" ref="A2173">IFNA(index(PlayerValues!A:A,match(IFNA(vlookup(B2173,'Special Names'!A:B,2,FALSE),B2173),PlayerValues!E:E,0)),"N/A")</f>
        <v>17072</v>
      </c>
      <c r="B2173" s="4" t="s">
        <v>508</v>
      </c>
      <c r="C2173" s="4" t="s">
        <v>287</v>
      </c>
      <c r="D2173" s="94">
        <v>2767.0</v>
      </c>
    </row>
    <row r="2174">
      <c r="A2174" s="40">
        <f t="array" ref="A2174">IFNA(index(PlayerValues!A:A,match(IFNA(vlookup(B2174,'Special Names'!A:B,2,FALSE),B2174),PlayerValues!E:E,0)),"N/A")</f>
        <v>16723</v>
      </c>
      <c r="B2174" s="4" t="s">
        <v>502</v>
      </c>
      <c r="C2174" s="4" t="s">
        <v>298</v>
      </c>
      <c r="D2174" s="94">
        <v>3180.0</v>
      </c>
    </row>
    <row r="2175">
      <c r="A2175" s="40">
        <f t="array" ref="A2175">IFNA(index(PlayerValues!A:A,match(IFNA(vlookup(B2175,'Special Names'!A:B,2,FALSE),B2175),PlayerValues!E:E,0)),"N/A")</f>
        <v>13671</v>
      </c>
      <c r="B2175" s="4" t="s">
        <v>506</v>
      </c>
      <c r="C2175" s="4" t="s">
        <v>298</v>
      </c>
      <c r="D2175" s="94">
        <v>3176.0</v>
      </c>
    </row>
    <row r="2176">
      <c r="A2176" s="40">
        <f t="array" ref="A2176">IFNA(index(PlayerValues!A:A,match(IFNA(vlookup(B2176,'Special Names'!A:B,2,FALSE),B2176),PlayerValues!E:E,0)),"N/A")</f>
        <v>17031</v>
      </c>
      <c r="B2176" s="4" t="s">
        <v>535</v>
      </c>
      <c r="C2176" s="4" t="s">
        <v>283</v>
      </c>
      <c r="D2176" s="94">
        <v>2749.0</v>
      </c>
    </row>
    <row r="2177">
      <c r="A2177" s="40">
        <f t="array" ref="A2177">IFNA(index(PlayerValues!A:A,match(IFNA(vlookup(B2177,'Special Names'!A:B,2,FALSE),B2177),PlayerValues!E:E,0)),"N/A")</f>
        <v>17047</v>
      </c>
      <c r="B2177" s="4" t="s">
        <v>510</v>
      </c>
      <c r="C2177" s="4" t="s">
        <v>278</v>
      </c>
      <c r="D2177" s="94">
        <v>2748.0</v>
      </c>
    </row>
    <row r="2178">
      <c r="A2178" s="40">
        <f t="array" ref="A2178">IFNA(index(PlayerValues!A:A,match(IFNA(vlookup(B2178,'Special Names'!A:B,2,FALSE),B2178),PlayerValues!E:E,0)),"N/A")</f>
        <v>15889</v>
      </c>
      <c r="B2178" s="4" t="s">
        <v>503</v>
      </c>
      <c r="C2178" s="4" t="s">
        <v>298</v>
      </c>
      <c r="D2178" s="94">
        <v>3146.0</v>
      </c>
    </row>
    <row r="2179">
      <c r="A2179" s="40">
        <f t="array" ref="A2179">IFNA(index(PlayerValues!A:A,match(IFNA(vlookup(B2179,'Special Names'!A:B,2,FALSE),B2179),PlayerValues!E:E,0)),"N/A")</f>
        <v>14778</v>
      </c>
      <c r="B2179" s="4" t="s">
        <v>564</v>
      </c>
      <c r="C2179" s="4" t="s">
        <v>283</v>
      </c>
      <c r="D2179" s="94">
        <v>2733.0</v>
      </c>
    </row>
    <row r="2180">
      <c r="A2180" s="40">
        <f t="array" ref="A2180">IFNA(index(PlayerValues!A:A,match(IFNA(vlookup(B2180,'Special Names'!A:B,2,FALSE),B2180),PlayerValues!E:E,0)),"N/A")</f>
        <v>15721</v>
      </c>
      <c r="B2180" s="4" t="s">
        <v>504</v>
      </c>
      <c r="C2180" s="4" t="s">
        <v>278</v>
      </c>
      <c r="D2180" s="94">
        <v>2732.0</v>
      </c>
    </row>
    <row r="2181">
      <c r="A2181" s="40">
        <f t="array" ref="A2181">IFNA(index(PlayerValues!A:A,match(IFNA(vlookup(B2181,'Special Names'!A:B,2,FALSE),B2181),PlayerValues!E:E,0)),"N/A")</f>
        <v>15712</v>
      </c>
      <c r="B2181" s="4" t="s">
        <v>488</v>
      </c>
      <c r="C2181" s="4" t="s">
        <v>278</v>
      </c>
      <c r="D2181" s="94">
        <v>2729.0</v>
      </c>
    </row>
    <row r="2182">
      <c r="A2182" s="40">
        <f t="array" ref="A2182">IFNA(index(PlayerValues!A:A,match(IFNA(vlookup(B2182,'Special Names'!A:B,2,FALSE),B2182),PlayerValues!E:E,0)),"N/A")</f>
        <v>17098</v>
      </c>
      <c r="B2182" s="4" t="s">
        <v>533</v>
      </c>
      <c r="C2182" s="4" t="s">
        <v>287</v>
      </c>
      <c r="D2182" s="94">
        <v>2706.0</v>
      </c>
    </row>
    <row r="2183">
      <c r="A2183" s="40">
        <f t="array" ref="A2183">IFNA(index(PlayerValues!A:A,match(IFNA(vlookup(B2183,'Special Names'!A:B,2,FALSE),B2183),PlayerValues!E:E,0)),"N/A")</f>
        <v>17507</v>
      </c>
      <c r="B2183" s="4" t="s">
        <v>495</v>
      </c>
      <c r="C2183" s="4" t="s">
        <v>287</v>
      </c>
      <c r="D2183" s="94">
        <v>2695.0</v>
      </c>
    </row>
    <row r="2184">
      <c r="A2184" s="40">
        <f t="array" ref="A2184">IFNA(index(PlayerValues!A:A,match(IFNA(vlookup(B2184,'Special Names'!A:B,2,FALSE),B2184),PlayerValues!E:E,0)),"N/A")</f>
        <v>17511</v>
      </c>
      <c r="B2184" s="4" t="s">
        <v>485</v>
      </c>
      <c r="C2184" s="4" t="s">
        <v>287</v>
      </c>
      <c r="D2184" s="94">
        <v>2690.0</v>
      </c>
    </row>
    <row r="2185">
      <c r="A2185" s="40">
        <f t="array" ref="A2185">IFNA(index(PlayerValues!A:A,match(IFNA(vlookup(B2185,'Special Names'!A:B,2,FALSE),B2185),PlayerValues!E:E,0)),"N/A")</f>
        <v>14860</v>
      </c>
      <c r="B2185" s="4" t="s">
        <v>554</v>
      </c>
      <c r="C2185" s="4" t="s">
        <v>287</v>
      </c>
      <c r="D2185" s="94">
        <v>2689.0</v>
      </c>
    </row>
    <row r="2186">
      <c r="A2186" s="40">
        <f t="array" ref="A2186">IFNA(index(PlayerValues!A:A,match(IFNA(vlookup(B2186,'Special Names'!A:B,2,FALSE),B2186),PlayerValues!E:E,0)),"N/A")</f>
        <v>12616</v>
      </c>
      <c r="B2186" s="4" t="s">
        <v>529</v>
      </c>
      <c r="C2186" s="4" t="s">
        <v>283</v>
      </c>
      <c r="D2186" s="94">
        <v>2688.0</v>
      </c>
    </row>
    <row r="2187">
      <c r="A2187" s="40">
        <f t="array" ref="A2187">IFNA(index(PlayerValues!A:A,match(IFNA(vlookup(B2187,'Special Names'!A:B,2,FALSE),B2187),PlayerValues!E:E,0)),"N/A")</f>
        <v>16747</v>
      </c>
      <c r="B2187" s="4" t="s">
        <v>555</v>
      </c>
      <c r="C2187" s="4" t="s">
        <v>278</v>
      </c>
      <c r="D2187" s="94">
        <v>2678.0</v>
      </c>
    </row>
    <row r="2188">
      <c r="A2188" s="40">
        <f t="array" ref="A2188">IFNA(index(PlayerValues!A:A,match(IFNA(vlookup(B2188,'Special Names'!A:B,2,FALSE),B2188),PlayerValues!E:E,0)),"N/A")</f>
        <v>17080</v>
      </c>
      <c r="B2188" s="4" t="s">
        <v>532</v>
      </c>
      <c r="C2188" s="4" t="s">
        <v>287</v>
      </c>
      <c r="D2188" s="94">
        <v>2674.0</v>
      </c>
    </row>
    <row r="2189">
      <c r="A2189" s="40">
        <f t="array" ref="A2189">IFNA(index(PlayerValues!A:A,match(IFNA(vlookup(B2189,'Special Names'!A:B,2,FALSE),B2189),PlayerValues!E:E,0)),"N/A")</f>
        <v>17105</v>
      </c>
      <c r="B2189" s="4" t="s">
        <v>525</v>
      </c>
      <c r="C2189" s="4" t="s">
        <v>298</v>
      </c>
      <c r="D2189" s="94">
        <v>3083.0</v>
      </c>
    </row>
    <row r="2190">
      <c r="A2190" s="40">
        <f t="array" ref="A2190">IFNA(index(PlayerValues!A:A,match(IFNA(vlookup(B2190,'Special Names'!A:B,2,FALSE),B2190),PlayerValues!E:E,0)),"N/A")</f>
        <v>16193</v>
      </c>
      <c r="B2190" s="4" t="s">
        <v>487</v>
      </c>
      <c r="C2190" s="4" t="s">
        <v>287</v>
      </c>
      <c r="D2190" s="94">
        <v>2668.0</v>
      </c>
    </row>
    <row r="2191">
      <c r="A2191" s="40">
        <f t="array" ref="A2191">IFNA(index(PlayerValues!A:A,match(IFNA(vlookup(B2191,'Special Names'!A:B,2,FALSE),B2191),PlayerValues!E:E,0)),"N/A")</f>
        <v>16596</v>
      </c>
      <c r="B2191" s="4" t="s">
        <v>501</v>
      </c>
      <c r="C2191" s="4" t="s">
        <v>278</v>
      </c>
      <c r="D2191" s="94">
        <v>2661.0</v>
      </c>
    </row>
    <row r="2192">
      <c r="A2192" s="40">
        <f t="array" ref="A2192">IFNA(index(PlayerValues!A:A,match(IFNA(vlookup(B2192,'Special Names'!A:B,2,FALSE),B2192),PlayerValues!E:E,0)),"N/A")</f>
        <v>15241</v>
      </c>
      <c r="B2192" s="4" t="s">
        <v>546</v>
      </c>
      <c r="C2192" s="4" t="s">
        <v>283</v>
      </c>
      <c r="D2192" s="94">
        <v>2658.0</v>
      </c>
    </row>
    <row r="2193">
      <c r="A2193" s="40">
        <f t="array" ref="A2193">IFNA(index(PlayerValues!A:A,match(IFNA(vlookup(B2193,'Special Names'!A:B,2,FALSE),B2193),PlayerValues!E:E,0)),"N/A")</f>
        <v>16619</v>
      </c>
      <c r="B2193" s="4" t="s">
        <v>538</v>
      </c>
      <c r="C2193" s="4" t="s">
        <v>287</v>
      </c>
      <c r="D2193" s="94">
        <v>2658.0</v>
      </c>
    </row>
    <row r="2194">
      <c r="A2194" s="40">
        <f t="array" ref="A2194">IFNA(index(PlayerValues!A:A,match(IFNA(vlookup(B2194,'Special Names'!A:B,2,FALSE),B2194),PlayerValues!E:E,0)),"N/A")</f>
        <v>15972</v>
      </c>
      <c r="B2194" s="4" t="s">
        <v>469</v>
      </c>
      <c r="C2194" s="4" t="s">
        <v>278</v>
      </c>
      <c r="D2194" s="94">
        <v>2656.0</v>
      </c>
    </row>
    <row r="2195">
      <c r="A2195" s="40">
        <f t="array" ref="A2195">IFNA(index(PlayerValues!A:A,match(IFNA(vlookup(B2195,'Special Names'!A:B,2,FALSE),B2195),PlayerValues!E:E,0)),"N/A")</f>
        <v>14833</v>
      </c>
      <c r="B2195" s="4" t="s">
        <v>553</v>
      </c>
      <c r="C2195" s="4" t="s">
        <v>287</v>
      </c>
      <c r="D2195" s="94">
        <v>2627.0</v>
      </c>
    </row>
    <row r="2196">
      <c r="A2196" s="40">
        <f t="array" ref="A2196">IFNA(index(PlayerValues!A:A,match(IFNA(vlookup(B2196,'Special Names'!A:B,2,FALSE),B2196),PlayerValues!E:E,0)),"N/A")</f>
        <v>17107</v>
      </c>
      <c r="B2196" s="4" t="s">
        <v>478</v>
      </c>
      <c r="C2196" s="4" t="s">
        <v>298</v>
      </c>
      <c r="D2196" s="94">
        <v>3034.0</v>
      </c>
    </row>
    <row r="2197">
      <c r="A2197" s="40" t="str">
        <f t="array" ref="A2197">IFNA(index(PlayerValues!A:A,match(IFNA(vlookup(B2197,'Special Names'!A:B,2,FALSE),B2197),PlayerValues!E:E,0)),"N/A")</f>
        <v>N/A</v>
      </c>
      <c r="B2197" s="4" t="s">
        <v>98</v>
      </c>
      <c r="C2197" s="4" t="s">
        <v>325</v>
      </c>
      <c r="D2197" s="94">
        <v>2623.0</v>
      </c>
    </row>
    <row r="2198">
      <c r="A2198" s="40">
        <f t="array" ref="A2198">IFNA(index(PlayerValues!A:A,match(IFNA(vlookup(B2198,'Special Names'!A:B,2,FALSE),B2198),PlayerValues!E:E,0)),"N/A")</f>
        <v>17073</v>
      </c>
      <c r="B2198" s="4" t="s">
        <v>547</v>
      </c>
      <c r="C2198" s="4" t="s">
        <v>287</v>
      </c>
      <c r="D2198" s="94">
        <v>2611.0</v>
      </c>
    </row>
    <row r="2199">
      <c r="A2199" s="40">
        <f t="array" ref="A2199">IFNA(index(PlayerValues!A:A,match(IFNA(vlookup(B2199,'Special Names'!A:B,2,FALSE),B2199),PlayerValues!E:E,0)),"N/A")</f>
        <v>17509</v>
      </c>
      <c r="B2199" s="4" t="s">
        <v>551</v>
      </c>
      <c r="C2199" s="4" t="s">
        <v>287</v>
      </c>
      <c r="D2199" s="94">
        <v>2609.0</v>
      </c>
    </row>
    <row r="2200">
      <c r="A2200" s="40">
        <f t="array" ref="A2200">IFNA(index(PlayerValues!A:A,match(IFNA(vlookup(B2200,'Special Names'!A:B,2,FALSE),B2200),PlayerValues!E:E,0)),"N/A")</f>
        <v>16165</v>
      </c>
      <c r="B2200" s="4" t="s">
        <v>520</v>
      </c>
      <c r="C2200" s="4" t="s">
        <v>278</v>
      </c>
      <c r="D2200" s="94">
        <v>2600.0</v>
      </c>
    </row>
    <row r="2201">
      <c r="A2201" s="40">
        <f t="array" ref="A2201">IFNA(index(PlayerValues!A:A,match(IFNA(vlookup(B2201,'Special Names'!A:B,2,FALSE),B2201),PlayerValues!E:E,0)),"N/A")</f>
        <v>16174</v>
      </c>
      <c r="B2201" s="4" t="s">
        <v>505</v>
      </c>
      <c r="C2201" s="4" t="s">
        <v>278</v>
      </c>
      <c r="D2201" s="94">
        <v>2595.0</v>
      </c>
    </row>
    <row r="2202">
      <c r="A2202" s="40">
        <f t="array" ref="A2202">IFNA(index(PlayerValues!A:A,match(IFNA(vlookup(B2202,'Special Names'!A:B,2,FALSE),B2202),PlayerValues!E:E,0)),"N/A")</f>
        <v>17474</v>
      </c>
      <c r="B2202" s="4" t="s">
        <v>513</v>
      </c>
      <c r="C2202" s="4" t="s">
        <v>278</v>
      </c>
      <c r="D2202" s="94">
        <v>2594.0</v>
      </c>
    </row>
    <row r="2203">
      <c r="A2203" s="40">
        <f t="array" ref="A2203">IFNA(index(PlayerValues!A:A,match(IFNA(vlookup(B2203,'Special Names'!A:B,2,FALSE),B2203),PlayerValues!E:E,0)),"N/A")</f>
        <v>13674</v>
      </c>
      <c r="B2203" s="4" t="s">
        <v>511</v>
      </c>
      <c r="C2203" s="4" t="s">
        <v>298</v>
      </c>
      <c r="D2203" s="94">
        <v>2978.0</v>
      </c>
    </row>
    <row r="2204">
      <c r="A2204" s="40">
        <f t="array" ref="A2204">IFNA(index(PlayerValues!A:A,match(IFNA(vlookup(B2204,'Special Names'!A:B,2,FALSE),B2204),PlayerValues!E:E,0)),"N/A")</f>
        <v>16204</v>
      </c>
      <c r="B2204" s="4" t="s">
        <v>530</v>
      </c>
      <c r="C2204" s="4" t="s">
        <v>287</v>
      </c>
      <c r="D2204" s="94">
        <v>2541.0</v>
      </c>
    </row>
    <row r="2205">
      <c r="A2205" s="40">
        <f t="array" ref="A2205">IFNA(index(PlayerValues!A:A,match(IFNA(vlookup(B2205,'Special Names'!A:B,2,FALSE),B2205),PlayerValues!E:E,0)),"N/A")</f>
        <v>17478</v>
      </c>
      <c r="B2205" s="4" t="s">
        <v>527</v>
      </c>
      <c r="C2205" s="4" t="s">
        <v>278</v>
      </c>
      <c r="D2205" s="94">
        <v>2528.0</v>
      </c>
    </row>
    <row r="2206">
      <c r="A2206" s="40">
        <f t="array" ref="A2206">IFNA(index(PlayerValues!A:A,match(IFNA(vlookup(B2206,'Special Names'!A:B,2,FALSE),B2206),PlayerValues!E:E,0)),"N/A")</f>
        <v>17108</v>
      </c>
      <c r="B2206" s="4" t="s">
        <v>542</v>
      </c>
      <c r="C2206" s="4" t="s">
        <v>298</v>
      </c>
      <c r="D2206" s="94">
        <v>2925.0</v>
      </c>
    </row>
    <row r="2207">
      <c r="A2207" s="40">
        <f t="array" ref="A2207">IFNA(index(PlayerValues!A:A,match(IFNA(vlookup(B2207,'Special Names'!A:B,2,FALSE),B2207),PlayerValues!E:E,0)),"N/A")</f>
        <v>17078</v>
      </c>
      <c r="B2207" s="4" t="s">
        <v>543</v>
      </c>
      <c r="C2207" s="4" t="s">
        <v>287</v>
      </c>
      <c r="D2207" s="94">
        <v>2518.0</v>
      </c>
    </row>
    <row r="2208">
      <c r="A2208" s="40">
        <f t="array" ref="A2208">IFNA(index(PlayerValues!A:A,match(IFNA(vlookup(B2208,'Special Names'!A:B,2,FALSE),B2208),PlayerValues!E:E,0)),"N/A")</f>
        <v>17082</v>
      </c>
      <c r="B2208" s="4" t="s">
        <v>498</v>
      </c>
      <c r="C2208" s="4" t="s">
        <v>287</v>
      </c>
      <c r="D2208" s="94">
        <v>2516.0</v>
      </c>
    </row>
    <row r="2209">
      <c r="A2209" s="40">
        <f t="array" ref="A2209">IFNA(index(PlayerValues!A:A,match(IFNA(vlookup(B2209,'Special Names'!A:B,2,FALSE),B2209),PlayerValues!E:E,0)),"N/A")</f>
        <v>17508</v>
      </c>
      <c r="B2209" s="4" t="s">
        <v>534</v>
      </c>
      <c r="C2209" s="4" t="s">
        <v>287</v>
      </c>
      <c r="D2209" s="94">
        <v>2506.0</v>
      </c>
    </row>
    <row r="2210">
      <c r="A2210" s="40">
        <f t="array" ref="A2210">IFNA(index(PlayerValues!A:A,match(IFNA(vlookup(B2210,'Special Names'!A:B,2,FALSE),B2210),PlayerValues!E:E,0)),"N/A")</f>
        <v>16617</v>
      </c>
      <c r="B2210" s="4" t="s">
        <v>541</v>
      </c>
      <c r="C2210" s="4" t="s">
        <v>287</v>
      </c>
      <c r="D2210" s="94">
        <v>2490.0</v>
      </c>
    </row>
    <row r="2211">
      <c r="A2211" s="40">
        <f t="array" ref="A2211">IFNA(index(PlayerValues!A:A,match(IFNA(vlookup(B2211,'Special Names'!A:B,2,FALSE),B2211),PlayerValues!E:E,0)),"N/A")</f>
        <v>16684</v>
      </c>
      <c r="B2211" s="4" t="s">
        <v>500</v>
      </c>
      <c r="C2211" s="4" t="s">
        <v>287</v>
      </c>
      <c r="D2211" s="94">
        <v>2490.0</v>
      </c>
    </row>
    <row r="2212">
      <c r="A2212" s="40">
        <f t="array" ref="A2212">IFNA(index(PlayerValues!A:A,match(IFNA(vlookup(B2212,'Special Names'!A:B,2,FALSE),B2212),PlayerValues!E:E,0)),"N/A")</f>
        <v>13192</v>
      </c>
      <c r="B2212" s="4" t="s">
        <v>563</v>
      </c>
      <c r="C2212" s="4" t="s">
        <v>298</v>
      </c>
      <c r="D2212" s="94">
        <v>2864.0</v>
      </c>
    </row>
    <row r="2213">
      <c r="A2213" s="40">
        <f t="array" ref="A2213">IFNA(index(PlayerValues!A:A,match(IFNA(vlookup(B2213,'Special Names'!A:B,2,FALSE),B2213),PlayerValues!E:E,0)),"N/A")</f>
        <v>17171</v>
      </c>
      <c r="B2213" s="4" t="s">
        <v>561</v>
      </c>
      <c r="C2213" s="4" t="s">
        <v>287</v>
      </c>
      <c r="D2213" s="94">
        <v>2451.0</v>
      </c>
    </row>
    <row r="2214">
      <c r="A2214" s="40" t="str">
        <f t="array" ref="A2214">IFNA(index(PlayerValues!A:A,match(IFNA(vlookup(B2214,'Special Names'!A:B,2,FALSE),B2214),PlayerValues!E:E,0)),"N/A")</f>
        <v>N/A</v>
      </c>
      <c r="B2214" s="4" t="s">
        <v>99</v>
      </c>
      <c r="C2214" s="4" t="s">
        <v>325</v>
      </c>
      <c r="D2214" s="94">
        <v>2447.0</v>
      </c>
    </row>
    <row r="2215">
      <c r="A2215" s="40">
        <f t="array" ref="A2215">IFNA(index(PlayerValues!A:A,match(IFNA(vlookup(B2215,'Special Names'!A:B,2,FALSE),B2215),PlayerValues!E:E,0)),"N/A")</f>
        <v>16626</v>
      </c>
      <c r="B2215" s="4" t="s">
        <v>515</v>
      </c>
      <c r="C2215" s="4" t="s">
        <v>287</v>
      </c>
      <c r="D2215" s="94">
        <v>2445.0</v>
      </c>
    </row>
    <row r="2216">
      <c r="A2216" s="40">
        <f t="array" ref="A2216">IFNA(index(PlayerValues!A:A,match(IFNA(vlookup(B2216,'Special Names'!A:B,2,FALSE),B2216),PlayerValues!E:E,0)),"N/A")</f>
        <v>11244</v>
      </c>
      <c r="B2216" s="4" t="s">
        <v>519</v>
      </c>
      <c r="C2216" s="4" t="s">
        <v>298</v>
      </c>
      <c r="D2216" s="94">
        <v>2846.0</v>
      </c>
    </row>
    <row r="2217">
      <c r="A2217" s="40">
        <f t="array" ref="A2217">IFNA(index(PlayerValues!A:A,match(IFNA(vlookup(B2217,'Special Names'!A:B,2,FALSE),B2217),PlayerValues!E:E,0)),"N/A")</f>
        <v>17134</v>
      </c>
      <c r="B2217" s="4" t="s">
        <v>548</v>
      </c>
      <c r="C2217" s="4" t="s">
        <v>287</v>
      </c>
      <c r="D2217" s="94">
        <v>2443.0</v>
      </c>
    </row>
    <row r="2218">
      <c r="A2218" s="40">
        <f t="array" ref="A2218">IFNA(index(PlayerValues!A:A,match(IFNA(vlookup(B2218,'Special Names'!A:B,2,FALSE),B2218),PlayerValues!E:E,0)),"N/A")</f>
        <v>16287</v>
      </c>
      <c r="B2218" s="4" t="s">
        <v>516</v>
      </c>
      <c r="C2218" s="4" t="s">
        <v>287</v>
      </c>
      <c r="D2218" s="94">
        <v>2439.0</v>
      </c>
    </row>
    <row r="2219">
      <c r="A2219" s="40">
        <f t="array" ref="A2219">IFNA(index(PlayerValues!A:A,match(IFNA(vlookup(B2219,'Special Names'!A:B,2,FALSE),B2219),PlayerValues!E:E,0)),"N/A")</f>
        <v>16164</v>
      </c>
      <c r="B2219" s="4" t="s">
        <v>512</v>
      </c>
      <c r="C2219" s="4" t="s">
        <v>278</v>
      </c>
      <c r="D2219" s="94">
        <v>2434.0</v>
      </c>
    </row>
    <row r="2220">
      <c r="A2220" s="40">
        <f t="array" ref="A2220">IFNA(index(PlayerValues!A:A,match(IFNA(vlookup(B2220,'Special Names'!A:B,2,FALSE),B2220),PlayerValues!E:E,0)),"N/A")</f>
        <v>17482</v>
      </c>
      <c r="B2220" s="4" t="s">
        <v>460</v>
      </c>
      <c r="C2220" s="4" t="s">
        <v>278</v>
      </c>
      <c r="D2220" s="94">
        <v>2408.0</v>
      </c>
    </row>
    <row r="2221">
      <c r="A2221" s="40">
        <f t="array" ref="A2221">IFNA(index(PlayerValues!A:A,match(IFNA(vlookup(B2221,'Special Names'!A:B,2,FALSE),B2221),PlayerValues!E:E,0)),"N/A")</f>
        <v>16178</v>
      </c>
      <c r="B2221" s="4" t="s">
        <v>507</v>
      </c>
      <c r="C2221" s="4" t="s">
        <v>278</v>
      </c>
      <c r="D2221" s="94">
        <v>2406.0</v>
      </c>
    </row>
    <row r="2222">
      <c r="A2222" s="40">
        <f t="array" ref="A2222">IFNA(index(PlayerValues!A:A,match(IFNA(vlookup(B2222,'Special Names'!A:B,2,FALSE),B2222),PlayerValues!E:E,0)),"N/A")</f>
        <v>17514</v>
      </c>
      <c r="B2222" s="4" t="s">
        <v>422</v>
      </c>
      <c r="C2222" s="4" t="s">
        <v>287</v>
      </c>
      <c r="D2222" s="94">
        <v>2405.0</v>
      </c>
    </row>
    <row r="2223">
      <c r="A2223" s="40">
        <f t="array" ref="A2223">IFNA(index(PlayerValues!A:A,match(IFNA(vlookup(B2223,'Special Names'!A:B,2,FALSE),B2223),PlayerValues!E:E,0)),"N/A")</f>
        <v>17048</v>
      </c>
      <c r="B2223" s="4" t="s">
        <v>539</v>
      </c>
      <c r="C2223" s="4" t="s">
        <v>278</v>
      </c>
      <c r="D2223" s="94">
        <v>2393.0</v>
      </c>
    </row>
    <row r="2224">
      <c r="A2224" s="40">
        <f t="array" ref="A2224">IFNA(index(PlayerValues!A:A,match(IFNA(vlookup(B2224,'Special Names'!A:B,2,FALSE),B2224),PlayerValues!E:E,0)),"N/A")</f>
        <v>15716</v>
      </c>
      <c r="B2224" s="4" t="s">
        <v>545</v>
      </c>
      <c r="C2224" s="4" t="s">
        <v>278</v>
      </c>
      <c r="D2224" s="94">
        <v>2385.0</v>
      </c>
    </row>
    <row r="2225">
      <c r="A2225" s="40">
        <f t="array" ref="A2225">IFNA(index(PlayerValues!A:A,match(IFNA(vlookup(B2225,'Special Names'!A:B,2,FALSE),B2225),PlayerValues!E:E,0)),"N/A")</f>
        <v>17517</v>
      </c>
      <c r="B2225" s="4" t="s">
        <v>454</v>
      </c>
      <c r="C2225" s="4" t="s">
        <v>287</v>
      </c>
      <c r="D2225" s="94">
        <v>2385.0</v>
      </c>
    </row>
    <row r="2226">
      <c r="A2226" s="40">
        <f t="array" ref="A2226">IFNA(index(PlayerValues!A:A,match(IFNA(vlookup(B2226,'Special Names'!A:B,2,FALSE),B2226),PlayerValues!E:E,0)),"N/A")</f>
        <v>16195</v>
      </c>
      <c r="B2226" s="4" t="s">
        <v>509</v>
      </c>
      <c r="C2226" s="4" t="s">
        <v>287</v>
      </c>
      <c r="D2226" s="94">
        <v>2381.0</v>
      </c>
    </row>
    <row r="2227">
      <c r="A2227" s="40">
        <f t="array" ref="A2227">IFNA(index(PlayerValues!A:A,match(IFNA(vlookup(B2227,'Special Names'!A:B,2,FALSE),B2227),PlayerValues!E:E,0)),"N/A")</f>
        <v>15786</v>
      </c>
      <c r="B2227" s="4" t="s">
        <v>521</v>
      </c>
      <c r="C2227" s="4" t="s">
        <v>287</v>
      </c>
      <c r="D2227" s="94">
        <v>2372.0</v>
      </c>
    </row>
    <row r="2228">
      <c r="A2228" s="40">
        <f t="array" ref="A2228">IFNA(index(PlayerValues!A:A,match(IFNA(vlookup(B2228,'Special Names'!A:B,2,FALSE),B2228),PlayerValues!E:E,0)),"N/A")</f>
        <v>17106</v>
      </c>
      <c r="B2228" s="4" t="s">
        <v>550</v>
      </c>
      <c r="C2228" s="4" t="s">
        <v>298</v>
      </c>
      <c r="D2228" s="94">
        <v>2754.0</v>
      </c>
    </row>
    <row r="2229">
      <c r="A2229" s="40">
        <f t="array" ref="A2229">IFNA(index(PlayerValues!A:A,match(IFNA(vlookup(B2229,'Special Names'!A:B,2,FALSE),B2229),PlayerValues!E:E,0)),"N/A")</f>
        <v>15749</v>
      </c>
      <c r="B2229" s="4" t="s">
        <v>574</v>
      </c>
      <c r="C2229" s="4" t="s">
        <v>278</v>
      </c>
      <c r="D2229" s="94">
        <v>2353.0</v>
      </c>
    </row>
    <row r="2230">
      <c r="A2230" s="40">
        <f t="array" ref="A2230">IFNA(index(PlayerValues!A:A,match(IFNA(vlookup(B2230,'Special Names'!A:B,2,FALSE),B2230),PlayerValues!E:E,0)),"N/A")</f>
        <v>15802</v>
      </c>
      <c r="B2230" s="4" t="s">
        <v>566</v>
      </c>
      <c r="C2230" s="4" t="s">
        <v>298</v>
      </c>
      <c r="D2230" s="94">
        <v>2739.0</v>
      </c>
    </row>
    <row r="2231">
      <c r="A2231" s="40">
        <f t="array" ref="A2231">IFNA(index(PlayerValues!A:A,match(IFNA(vlookup(B2231,'Special Names'!A:B,2,FALSE),B2231),PlayerValues!E:E,0)),"N/A")</f>
        <v>14861</v>
      </c>
      <c r="B2231" s="4" t="s">
        <v>523</v>
      </c>
      <c r="C2231" s="4" t="s">
        <v>298</v>
      </c>
      <c r="D2231" s="94">
        <v>2734.0</v>
      </c>
    </row>
    <row r="2232">
      <c r="A2232" s="40" t="str">
        <f t="array" ref="A2232">IFNA(index(PlayerValues!A:A,match(IFNA(vlookup(B2232,'Special Names'!A:B,2,FALSE),B2232),PlayerValues!E:E,0)),"N/A")</f>
        <v>N/A</v>
      </c>
      <c r="B2232" s="4" t="s">
        <v>557</v>
      </c>
      <c r="C2232" s="4" t="s">
        <v>278</v>
      </c>
      <c r="D2232" s="94">
        <v>2334.0</v>
      </c>
    </row>
    <row r="2233">
      <c r="A2233" s="40">
        <f t="array" ref="A2233">IFNA(index(PlayerValues!A:A,match(IFNA(vlookup(B2233,'Special Names'!A:B,2,FALSE),B2233),PlayerValues!E:E,0)),"N/A")</f>
        <v>14840</v>
      </c>
      <c r="B2233" s="4" t="s">
        <v>731</v>
      </c>
      <c r="C2233" s="4" t="s">
        <v>287</v>
      </c>
      <c r="D2233" s="94">
        <v>2308.0</v>
      </c>
    </row>
    <row r="2234">
      <c r="A2234" s="40">
        <f t="array" ref="A2234">IFNA(index(PlayerValues!A:A,match(IFNA(vlookup(B2234,'Special Names'!A:B,2,FALSE),B2234),PlayerValues!E:E,0)),"N/A")</f>
        <v>16036</v>
      </c>
      <c r="B2234" s="4" t="s">
        <v>592</v>
      </c>
      <c r="C2234" s="4" t="s">
        <v>298</v>
      </c>
      <c r="D2234" s="94">
        <v>2688.0</v>
      </c>
    </row>
    <row r="2235">
      <c r="A2235" s="40">
        <f t="array" ref="A2235">IFNA(index(PlayerValues!A:A,match(IFNA(vlookup(B2235,'Special Names'!A:B,2,FALSE),B2235),PlayerValues!E:E,0)),"N/A")</f>
        <v>16152</v>
      </c>
      <c r="B2235" s="4" t="s">
        <v>601</v>
      </c>
      <c r="C2235" s="4" t="s">
        <v>283</v>
      </c>
      <c r="D2235" s="94">
        <v>2283.0</v>
      </c>
    </row>
    <row r="2236">
      <c r="A2236" s="40">
        <f t="array" ref="A2236">IFNA(index(PlayerValues!A:A,match(IFNA(vlookup(B2236,'Special Names'!A:B,2,FALSE),B2236),PlayerValues!E:E,0)),"N/A")</f>
        <v>16594</v>
      </c>
      <c r="B2236" s="4" t="s">
        <v>607</v>
      </c>
      <c r="C2236" s="4" t="s">
        <v>278</v>
      </c>
      <c r="D2236" s="94">
        <v>2273.0</v>
      </c>
    </row>
    <row r="2237">
      <c r="A2237" s="40">
        <f t="array" ref="A2237">IFNA(index(PlayerValues!A:A,match(IFNA(vlookup(B2237,'Special Names'!A:B,2,FALSE),B2237),PlayerValues!E:E,0)),"N/A")</f>
        <v>17547</v>
      </c>
      <c r="B2237" s="4" t="s">
        <v>552</v>
      </c>
      <c r="C2237" s="4" t="s">
        <v>298</v>
      </c>
      <c r="D2237" s="94">
        <v>2661.0</v>
      </c>
    </row>
    <row r="2238">
      <c r="A2238" s="40">
        <f t="array" ref="A2238">IFNA(index(PlayerValues!A:A,match(IFNA(vlookup(B2238,'Special Names'!A:B,2,FALSE),B2238),PlayerValues!E:E,0)),"N/A")</f>
        <v>17520</v>
      </c>
      <c r="B2238" s="4" t="s">
        <v>518</v>
      </c>
      <c r="C2238" s="4" t="s">
        <v>287</v>
      </c>
      <c r="D2238" s="94">
        <v>2253.0</v>
      </c>
    </row>
    <row r="2239">
      <c r="A2239" s="40" t="str">
        <f t="array" ref="A2239">IFNA(index(PlayerValues!A:A,match(IFNA(vlookup(B2239,'Special Names'!A:B,2,FALSE),B2239),PlayerValues!E:E,0)),"N/A")</f>
        <v>N/A</v>
      </c>
      <c r="B2239" s="4" t="s">
        <v>86</v>
      </c>
      <c r="C2239" s="4" t="s">
        <v>325</v>
      </c>
      <c r="D2239" s="94">
        <v>2252.0</v>
      </c>
    </row>
    <row r="2240">
      <c r="A2240" s="40">
        <f t="array" ref="A2240">IFNA(index(PlayerValues!A:A,match(IFNA(vlookup(B2240,'Special Names'!A:B,2,FALSE),B2240),PlayerValues!E:E,0)),"N/A")</f>
        <v>17033</v>
      </c>
      <c r="B2240" s="4" t="s">
        <v>570</v>
      </c>
      <c r="C2240" s="4" t="s">
        <v>283</v>
      </c>
      <c r="D2240" s="94">
        <v>2249.0</v>
      </c>
    </row>
    <row r="2241">
      <c r="A2241" s="40">
        <f t="array" ref="A2241">IFNA(index(PlayerValues!A:A,match(IFNA(vlookup(B2241,'Special Names'!A:B,2,FALSE),B2241),PlayerValues!E:E,0)),"N/A")</f>
        <v>12676</v>
      </c>
      <c r="B2241" s="4" t="s">
        <v>537</v>
      </c>
      <c r="C2241" s="4" t="s">
        <v>298</v>
      </c>
      <c r="D2241" s="94">
        <v>2634.0</v>
      </c>
    </row>
    <row r="2242">
      <c r="A2242" s="40">
        <f t="array" ref="A2242">IFNA(index(PlayerValues!A:A,match(IFNA(vlookup(B2242,'Special Names'!A:B,2,FALSE),B2242),PlayerValues!E:E,0)),"N/A")</f>
        <v>13772</v>
      </c>
      <c r="B2242" s="4" t="s">
        <v>544</v>
      </c>
      <c r="C2242" s="4" t="s">
        <v>298</v>
      </c>
      <c r="D2242" s="94">
        <v>2634.0</v>
      </c>
    </row>
    <row r="2243">
      <c r="A2243" s="40">
        <f t="array" ref="A2243">IFNA(index(PlayerValues!A:A,match(IFNA(vlookup(B2243,'Special Names'!A:B,2,FALSE),B2243),PlayerValues!E:E,0)),"N/A")</f>
        <v>11150</v>
      </c>
      <c r="B2243" s="4" t="s">
        <v>559</v>
      </c>
      <c r="C2243" s="4" t="s">
        <v>283</v>
      </c>
      <c r="D2243" s="94">
        <v>2239.0</v>
      </c>
    </row>
    <row r="2244">
      <c r="A2244" s="40">
        <f t="array" ref="A2244">IFNA(index(PlayerValues!A:A,match(IFNA(vlookup(B2244,'Special Names'!A:B,2,FALSE),B2244),PlayerValues!E:E,0)),"N/A")</f>
        <v>15331</v>
      </c>
      <c r="B2244" s="4" t="s">
        <v>560</v>
      </c>
      <c r="C2244" s="4" t="s">
        <v>298</v>
      </c>
      <c r="D2244" s="94">
        <v>2634.0</v>
      </c>
    </row>
    <row r="2245">
      <c r="A2245" s="40">
        <f t="array" ref="A2245">IFNA(index(PlayerValues!A:A,match(IFNA(vlookup(B2245,'Special Names'!A:B,2,FALSE),B2245),PlayerValues!E:E,0)),"N/A")</f>
        <v>16610</v>
      </c>
      <c r="B2245" s="4" t="s">
        <v>562</v>
      </c>
      <c r="C2245" s="4" t="s">
        <v>278</v>
      </c>
      <c r="D2245" s="94">
        <v>2238.0</v>
      </c>
    </row>
    <row r="2246">
      <c r="A2246" s="40" t="str">
        <f t="array" ref="A2246">IFNA(index(PlayerValues!A:A,match(IFNA(vlookup(B2246,'Special Names'!A:B,2,FALSE),B2246),PlayerValues!E:E,0)),"N/A")</f>
        <v>N/A</v>
      </c>
      <c r="B2246" s="4" t="s">
        <v>100</v>
      </c>
      <c r="C2246" s="4" t="s">
        <v>325</v>
      </c>
      <c r="D2246" s="94">
        <v>2234.0</v>
      </c>
    </row>
    <row r="2247">
      <c r="A2247" s="40">
        <f t="array" ref="A2247">IFNA(index(PlayerValues!A:A,match(IFNA(vlookup(B2247,'Special Names'!A:B,2,FALSE),B2247),PlayerValues!E:E,0)),"N/A")</f>
        <v>16649</v>
      </c>
      <c r="B2247" s="4" t="s">
        <v>586</v>
      </c>
      <c r="C2247" s="4" t="s">
        <v>298</v>
      </c>
      <c r="D2247" s="94">
        <v>2624.0</v>
      </c>
    </row>
    <row r="2248">
      <c r="A2248" s="40">
        <f t="array" ref="A2248">IFNA(index(PlayerValues!A:A,match(IFNA(vlookup(B2248,'Special Names'!A:B,2,FALSE),B2248),PlayerValues!E:E,0)),"N/A")</f>
        <v>13319</v>
      </c>
      <c r="B2248" s="4" t="s">
        <v>549</v>
      </c>
      <c r="C2248" s="4" t="s">
        <v>278</v>
      </c>
      <c r="D2248" s="94">
        <v>2217.0</v>
      </c>
    </row>
    <row r="2249">
      <c r="A2249" s="40">
        <f t="array" ref="A2249">IFNA(index(PlayerValues!A:A,match(IFNA(vlookup(B2249,'Special Names'!A:B,2,FALSE),B2249),PlayerValues!E:E,0)),"N/A")</f>
        <v>16757</v>
      </c>
      <c r="B2249" s="4" t="s">
        <v>558</v>
      </c>
      <c r="C2249" s="4" t="s">
        <v>278</v>
      </c>
      <c r="D2249" s="94">
        <v>2179.0</v>
      </c>
    </row>
    <row r="2250">
      <c r="A2250" s="40" t="str">
        <f t="array" ref="A2250">IFNA(index(PlayerValues!A:A,match(IFNA(vlookup(B2250,'Special Names'!A:B,2,FALSE),B2250),PlayerValues!E:E,0)),"N/A")</f>
        <v>N/A</v>
      </c>
      <c r="B2250" s="4" t="s">
        <v>112</v>
      </c>
      <c r="C2250" s="4" t="s">
        <v>325</v>
      </c>
      <c r="D2250" s="94">
        <v>2176.0</v>
      </c>
    </row>
    <row r="2251">
      <c r="A2251" s="40">
        <f t="array" ref="A2251">IFNA(index(PlayerValues!A:A,match(IFNA(vlookup(B2251,'Special Names'!A:B,2,FALSE),B2251),PlayerValues!E:E,0)),"N/A")</f>
        <v>12186</v>
      </c>
      <c r="B2251" s="4" t="s">
        <v>497</v>
      </c>
      <c r="C2251" s="4" t="s">
        <v>287</v>
      </c>
      <c r="D2251" s="94">
        <v>2172.0</v>
      </c>
    </row>
    <row r="2252">
      <c r="A2252" s="40">
        <f t="array" ref="A2252">IFNA(index(PlayerValues!A:A,match(IFNA(vlookup(B2252,'Special Names'!A:B,2,FALSE),B2252),PlayerValues!E:E,0)),"N/A")</f>
        <v>16166</v>
      </c>
      <c r="B2252" s="4" t="s">
        <v>567</v>
      </c>
      <c r="C2252" s="4" t="s">
        <v>278</v>
      </c>
      <c r="D2252" s="94">
        <v>2163.0</v>
      </c>
    </row>
    <row r="2253">
      <c r="A2253" s="40">
        <f t="array" ref="A2253">IFNA(index(PlayerValues!A:A,match(IFNA(vlookup(B2253,'Special Names'!A:B,2,FALSE),B2253),PlayerValues!E:E,0)),"N/A")</f>
        <v>14136</v>
      </c>
      <c r="B2253" s="4" t="s">
        <v>536</v>
      </c>
      <c r="C2253" s="4" t="s">
        <v>287</v>
      </c>
      <c r="D2253" s="94">
        <v>2154.0</v>
      </c>
    </row>
    <row r="2254">
      <c r="A2254" s="40" t="str">
        <f t="array" ref="A2254">IFNA(index(PlayerValues!A:A,match(IFNA(vlookup(B2254,'Special Names'!A:B,2,FALSE),B2254),PlayerValues!E:E,0)),"N/A")</f>
        <v>N/A</v>
      </c>
      <c r="B2254" s="4" t="s">
        <v>87</v>
      </c>
      <c r="C2254" s="4" t="s">
        <v>325</v>
      </c>
      <c r="D2254" s="94">
        <v>2146.0</v>
      </c>
    </row>
    <row r="2255">
      <c r="A2255" s="40">
        <f t="array" ref="A2255">IFNA(index(PlayerValues!A:A,match(IFNA(vlookup(B2255,'Special Names'!A:B,2,FALSE),B2255),PlayerValues!E:E,0)),"N/A")</f>
        <v>17079</v>
      </c>
      <c r="B2255" s="4" t="s">
        <v>572</v>
      </c>
      <c r="C2255" s="4" t="s">
        <v>287</v>
      </c>
      <c r="D2255" s="94">
        <v>2140.0</v>
      </c>
    </row>
    <row r="2256">
      <c r="A2256" s="40">
        <f t="array" ref="A2256">IFNA(index(PlayerValues!A:A,match(IFNA(vlookup(B2256,'Special Names'!A:B,2,FALSE),B2256),PlayerValues!E:E,0)),"N/A")</f>
        <v>13113</v>
      </c>
      <c r="B2256" s="4" t="s">
        <v>606</v>
      </c>
      <c r="C2256" s="4" t="s">
        <v>283</v>
      </c>
      <c r="D2256" s="94">
        <v>2134.0</v>
      </c>
    </row>
    <row r="2257">
      <c r="A2257" s="40">
        <f t="array" ref="A2257">IFNA(index(PlayerValues!A:A,match(IFNA(vlookup(B2257,'Special Names'!A:B,2,FALSE),B2257),PlayerValues!E:E,0)),"N/A")</f>
        <v>17055</v>
      </c>
      <c r="B2257" s="4" t="s">
        <v>565</v>
      </c>
      <c r="C2257" s="4" t="s">
        <v>278</v>
      </c>
      <c r="D2257" s="94">
        <v>2122.0</v>
      </c>
    </row>
    <row r="2258">
      <c r="A2258" s="40">
        <f t="array" ref="A2258">IFNA(index(PlayerValues!A:A,match(IFNA(vlookup(B2258,'Special Names'!A:B,2,FALSE),B2258),PlayerValues!E:E,0)),"N/A")</f>
        <v>16212</v>
      </c>
      <c r="B2258" s="4" t="s">
        <v>568</v>
      </c>
      <c r="C2258" s="4" t="s">
        <v>298</v>
      </c>
      <c r="D2258" s="94">
        <v>2494.0</v>
      </c>
    </row>
    <row r="2259">
      <c r="A2259" s="40" t="str">
        <f t="array" ref="A2259">IFNA(index(PlayerValues!A:A,match(IFNA(vlookup(B2259,'Special Names'!A:B,2,FALSE),B2259),PlayerValues!E:E,0)),"N/A")</f>
        <v>N/A</v>
      </c>
      <c r="B2259" s="4" t="s">
        <v>113</v>
      </c>
      <c r="C2259" s="4" t="s">
        <v>325</v>
      </c>
      <c r="D2259" s="94">
        <v>2101.0</v>
      </c>
    </row>
    <row r="2260">
      <c r="A2260" s="40">
        <f t="array" ref="A2260">IFNA(index(PlayerValues!A:A,match(IFNA(vlookup(B2260,'Special Names'!A:B,2,FALSE),B2260),PlayerValues!E:E,0)),"N/A")</f>
        <v>16189</v>
      </c>
      <c r="B2260" s="4" t="s">
        <v>582</v>
      </c>
      <c r="C2260" s="4" t="s">
        <v>287</v>
      </c>
      <c r="D2260" s="94">
        <v>2097.0</v>
      </c>
    </row>
    <row r="2261">
      <c r="A2261" s="40">
        <f t="array" ref="A2261">IFNA(index(PlayerValues!A:A,match(IFNA(vlookup(B2261,'Special Names'!A:B,2,FALSE),B2261),PlayerValues!E:E,0)),"N/A")</f>
        <v>14974</v>
      </c>
      <c r="B2261" s="4" t="s">
        <v>611</v>
      </c>
      <c r="C2261" s="4" t="s">
        <v>287</v>
      </c>
      <c r="D2261" s="94">
        <v>2091.0</v>
      </c>
    </row>
    <row r="2262">
      <c r="A2262" s="40">
        <f t="array" ref="A2262">IFNA(index(PlayerValues!A:A,match(IFNA(vlookup(B2262,'Special Names'!A:B,2,FALSE),B2262),PlayerValues!E:E,0)),"N/A")</f>
        <v>17046</v>
      </c>
      <c r="B2262" s="4" t="s">
        <v>602</v>
      </c>
      <c r="C2262" s="4" t="s">
        <v>278</v>
      </c>
      <c r="D2262" s="94">
        <v>2089.0</v>
      </c>
    </row>
    <row r="2263">
      <c r="A2263" s="40" t="str">
        <f t="array" ref="A2263">IFNA(index(PlayerValues!A:A,match(IFNA(vlookup(B2263,'Special Names'!A:B,2,FALSE),B2263),PlayerValues!E:E,0)),"N/A")</f>
        <v>N/A</v>
      </c>
      <c r="B2263" s="4" t="s">
        <v>88</v>
      </c>
      <c r="C2263" s="4" t="s">
        <v>325</v>
      </c>
      <c r="D2263" s="94">
        <v>2083.0</v>
      </c>
    </row>
    <row r="2264">
      <c r="A2264" s="40">
        <f t="array" ref="A2264">IFNA(index(PlayerValues!A:A,match(IFNA(vlookup(B2264,'Special Names'!A:B,2,FALSE),B2264),PlayerValues!E:E,0)),"N/A")</f>
        <v>13132</v>
      </c>
      <c r="B2264" s="4" t="s">
        <v>598</v>
      </c>
      <c r="C2264" s="4" t="s">
        <v>278</v>
      </c>
      <c r="D2264" s="94">
        <v>2079.0</v>
      </c>
    </row>
    <row r="2265">
      <c r="A2265" s="40">
        <f t="array" ref="A2265">IFNA(index(PlayerValues!A:A,match(IFNA(vlookup(B2265,'Special Names'!A:B,2,FALSE),B2265),PlayerValues!E:E,0)),"N/A")</f>
        <v>16432</v>
      </c>
      <c r="B2265" s="4" t="s">
        <v>620</v>
      </c>
      <c r="C2265" s="4" t="s">
        <v>278</v>
      </c>
      <c r="D2265" s="94">
        <v>2074.0</v>
      </c>
    </row>
    <row r="2266">
      <c r="A2266" s="40">
        <f t="array" ref="A2266">IFNA(index(PlayerValues!A:A,match(IFNA(vlookup(B2266,'Special Names'!A:B,2,FALSE),B2266),PlayerValues!E:E,0)),"N/A")</f>
        <v>17056</v>
      </c>
      <c r="B2266" s="4" t="s">
        <v>581</v>
      </c>
      <c r="C2266" s="4" t="s">
        <v>278</v>
      </c>
      <c r="D2266" s="94">
        <v>2072.0</v>
      </c>
    </row>
    <row r="2267">
      <c r="A2267" s="40">
        <f t="array" ref="A2267">IFNA(index(PlayerValues!A:A,match(IFNA(vlookup(B2267,'Special Names'!A:B,2,FALSE),B2267),PlayerValues!E:E,0)),"N/A")</f>
        <v>15238</v>
      </c>
      <c r="B2267" s="4" t="s">
        <v>613</v>
      </c>
      <c r="C2267" s="4" t="s">
        <v>283</v>
      </c>
      <c r="D2267" s="94">
        <v>2070.0</v>
      </c>
    </row>
    <row r="2268">
      <c r="A2268" s="40">
        <f t="array" ref="A2268">IFNA(index(PlayerValues!A:A,match(IFNA(vlookup(B2268,'Special Names'!A:B,2,FALSE),B2268),PlayerValues!E:E,0)),"N/A")</f>
        <v>16643</v>
      </c>
      <c r="B2268" s="4" t="s">
        <v>609</v>
      </c>
      <c r="C2268" s="4" t="s">
        <v>298</v>
      </c>
      <c r="D2268" s="94">
        <v>2454.0</v>
      </c>
    </row>
    <row r="2269">
      <c r="A2269" s="40">
        <f t="array" ref="A2269">IFNA(index(PlayerValues!A:A,match(IFNA(vlookup(B2269,'Special Names'!A:B,2,FALSE),B2269),PlayerValues!E:E,0)),"N/A")</f>
        <v>15293</v>
      </c>
      <c r="B2269" s="4" t="s">
        <v>578</v>
      </c>
      <c r="C2269" s="4" t="s">
        <v>287</v>
      </c>
      <c r="D2269" s="94">
        <v>2062.0</v>
      </c>
    </row>
    <row r="2270">
      <c r="A2270" s="40">
        <f t="array" ref="A2270">IFNA(index(PlayerValues!A:A,match(IFNA(vlookup(B2270,'Special Names'!A:B,2,FALSE),B2270),PlayerValues!E:E,0)),"N/A")</f>
        <v>17060</v>
      </c>
      <c r="B2270" s="4" t="s">
        <v>603</v>
      </c>
      <c r="C2270" s="4" t="s">
        <v>278</v>
      </c>
      <c r="D2270" s="94">
        <v>2046.0</v>
      </c>
    </row>
    <row r="2271">
      <c r="A2271" s="40">
        <f t="array" ref="A2271">IFNA(index(PlayerValues!A:A,match(IFNA(vlookup(B2271,'Special Names'!A:B,2,FALSE),B2271),PlayerValues!E:E,0)),"N/A")</f>
        <v>17069</v>
      </c>
      <c r="B2271" s="4" t="s">
        <v>604</v>
      </c>
      <c r="C2271" s="4" t="s">
        <v>278</v>
      </c>
      <c r="D2271" s="94">
        <v>2038.0</v>
      </c>
    </row>
    <row r="2272">
      <c r="A2272" s="40">
        <f t="array" ref="A2272">IFNA(index(PlayerValues!A:A,match(IFNA(vlookup(B2272,'Special Names'!A:B,2,FALSE),B2272),PlayerValues!E:E,0)),"N/A")</f>
        <v>17061</v>
      </c>
      <c r="B2272" s="4" t="s">
        <v>580</v>
      </c>
      <c r="C2272" s="4" t="s">
        <v>278</v>
      </c>
      <c r="D2272" s="94">
        <v>2033.0</v>
      </c>
    </row>
    <row r="2273">
      <c r="A2273" s="40">
        <f t="array" ref="A2273">IFNA(index(PlayerValues!A:A,match(IFNA(vlookup(B2273,'Special Names'!A:B,2,FALSE),B2273),PlayerValues!E:E,0)),"N/A")</f>
        <v>12801</v>
      </c>
      <c r="B2273" s="4" t="s">
        <v>722</v>
      </c>
      <c r="C2273" s="4" t="s">
        <v>287</v>
      </c>
      <c r="D2273" s="94">
        <v>2025.0</v>
      </c>
    </row>
    <row r="2274">
      <c r="A2274" s="40">
        <f t="array" ref="A2274">IFNA(index(PlayerValues!A:A,match(IFNA(vlookup(B2274,'Special Names'!A:B,2,FALSE),B2274),PlayerValues!E:E,0)),"N/A")</f>
        <v>16342</v>
      </c>
      <c r="B2274" s="4" t="s">
        <v>583</v>
      </c>
      <c r="C2274" s="4" t="s">
        <v>287</v>
      </c>
      <c r="D2274" s="94">
        <v>2018.0</v>
      </c>
    </row>
    <row r="2275">
      <c r="A2275" s="40">
        <f t="array" ref="A2275">IFNA(index(PlayerValues!A:A,match(IFNA(vlookup(B2275,'Special Names'!A:B,2,FALSE),B2275),PlayerValues!E:E,0)),"N/A")</f>
        <v>17087</v>
      </c>
      <c r="B2275" s="4" t="s">
        <v>600</v>
      </c>
      <c r="C2275" s="4" t="s">
        <v>287</v>
      </c>
      <c r="D2275" s="94">
        <v>2016.0</v>
      </c>
    </row>
    <row r="2276">
      <c r="A2276" s="40">
        <f t="array" ref="A2276">IFNA(index(PlayerValues!A:A,match(IFNA(vlookup(B2276,'Special Names'!A:B,2,FALSE),B2276),PlayerValues!E:E,0)),"N/A")</f>
        <v>17076</v>
      </c>
      <c r="B2276" s="4" t="s">
        <v>585</v>
      </c>
      <c r="C2276" s="4" t="s">
        <v>287</v>
      </c>
      <c r="D2276" s="94">
        <v>2004.0</v>
      </c>
    </row>
    <row r="2277">
      <c r="A2277" s="40" t="str">
        <f t="array" ref="A2277">IFNA(index(PlayerValues!A:A,match(IFNA(vlookup(B2277,'Special Names'!A:B,2,FALSE),B2277),PlayerValues!E:E,0)),"N/A")</f>
        <v>N/A</v>
      </c>
      <c r="B2277" s="4" t="s">
        <v>114</v>
      </c>
      <c r="C2277" s="4" t="s">
        <v>325</v>
      </c>
      <c r="D2277" s="94">
        <v>1992.0</v>
      </c>
    </row>
    <row r="2278">
      <c r="A2278" s="40">
        <f t="array" ref="A2278">IFNA(index(PlayerValues!A:A,match(IFNA(vlookup(B2278,'Special Names'!A:B,2,FALSE),B2278),PlayerValues!E:E,0)),"N/A")</f>
        <v>13633</v>
      </c>
      <c r="B2278" s="4" t="s">
        <v>625</v>
      </c>
      <c r="C2278" s="4" t="s">
        <v>287</v>
      </c>
      <c r="D2278" s="94">
        <v>1987.0</v>
      </c>
    </row>
    <row r="2279">
      <c r="A2279" s="40">
        <f t="array" ref="A2279">IFNA(index(PlayerValues!A:A,match(IFNA(vlookup(B2279,'Special Names'!A:B,2,FALSE),B2279),PlayerValues!E:E,0)),"N/A")</f>
        <v>10700</v>
      </c>
      <c r="B2279" s="4" t="s">
        <v>596</v>
      </c>
      <c r="C2279" s="4" t="s">
        <v>283</v>
      </c>
      <c r="D2279" s="94">
        <v>1978.0</v>
      </c>
    </row>
    <row r="2280">
      <c r="A2280" s="40">
        <f t="array" ref="A2280">IFNA(index(PlayerValues!A:A,match(IFNA(vlookup(B2280,'Special Names'!A:B,2,FALSE),B2280),PlayerValues!E:E,0)),"N/A")</f>
        <v>16603</v>
      </c>
      <c r="B2280" s="4" t="s">
        <v>587</v>
      </c>
      <c r="C2280" s="4" t="s">
        <v>278</v>
      </c>
      <c r="D2280" s="94">
        <v>1974.0</v>
      </c>
    </row>
    <row r="2281">
      <c r="A2281" s="40">
        <f t="array" ref="A2281">IFNA(index(PlayerValues!A:A,match(IFNA(vlookup(B2281,'Special Names'!A:B,2,FALSE),B2281),PlayerValues!E:E,0)),"N/A")</f>
        <v>14867</v>
      </c>
      <c r="B2281" s="4" t="s">
        <v>591</v>
      </c>
      <c r="C2281" s="4" t="s">
        <v>298</v>
      </c>
      <c r="D2281" s="94">
        <v>2361.0</v>
      </c>
    </row>
    <row r="2282">
      <c r="A2282" s="40">
        <f t="array" ref="A2282">IFNA(index(PlayerValues!A:A,match(IFNA(vlookup(B2282,'Special Names'!A:B,2,FALSE),B2282),PlayerValues!E:E,0)),"N/A")</f>
        <v>17036</v>
      </c>
      <c r="B2282" s="4" t="s">
        <v>617</v>
      </c>
      <c r="C2282" s="4" t="s">
        <v>283</v>
      </c>
      <c r="D2282" s="94">
        <v>1970.0</v>
      </c>
    </row>
    <row r="2283">
      <c r="A2283" s="40">
        <f t="array" ref="A2283">IFNA(index(PlayerValues!A:A,match(IFNA(vlookup(B2283,'Special Names'!A:B,2,FALSE),B2283),PlayerValues!E:E,0)),"N/A")</f>
        <v>17184</v>
      </c>
      <c r="B2283" s="4" t="s">
        <v>588</v>
      </c>
      <c r="C2283" s="4" t="s">
        <v>287</v>
      </c>
      <c r="D2283" s="94">
        <v>1953.0</v>
      </c>
    </row>
    <row r="2284">
      <c r="A2284" s="40">
        <f t="array" ref="A2284">IFNA(index(PlayerValues!A:A,match(IFNA(vlookup(B2284,'Special Names'!A:B,2,FALSE),B2284),PlayerValues!E:E,0)),"N/A")</f>
        <v>16639</v>
      </c>
      <c r="B2284" s="4" t="s">
        <v>599</v>
      </c>
      <c r="C2284" s="4" t="s">
        <v>287</v>
      </c>
      <c r="D2284" s="94">
        <v>1944.0</v>
      </c>
    </row>
    <row r="2285">
      <c r="A2285" s="40">
        <f t="array" ref="A2285">IFNA(index(PlayerValues!A:A,match(IFNA(vlookup(B2285,'Special Names'!A:B,2,FALSE),B2285),PlayerValues!E:E,0)),"N/A")</f>
        <v>16604</v>
      </c>
      <c r="B2285" s="4" t="s">
        <v>476</v>
      </c>
      <c r="C2285" s="4" t="s">
        <v>278</v>
      </c>
      <c r="D2285" s="94">
        <v>1935.0</v>
      </c>
    </row>
    <row r="2286">
      <c r="A2286" s="40" t="str">
        <f t="array" ref="A2286">IFNA(index(PlayerValues!A:A,match(IFNA(vlookup(B2286,'Special Names'!A:B,2,FALSE),B2286),PlayerValues!E:E,0)),"N/A")</f>
        <v>N/A</v>
      </c>
      <c r="B2286" s="4" t="s">
        <v>101</v>
      </c>
      <c r="C2286" s="4" t="s">
        <v>325</v>
      </c>
      <c r="D2286" s="94">
        <v>1920.0</v>
      </c>
    </row>
    <row r="2287">
      <c r="A2287" s="40">
        <f t="array" ref="A2287">IFNA(index(PlayerValues!A:A,match(IFNA(vlookup(B2287,'Special Names'!A:B,2,FALSE),B2287),PlayerValues!E:E,0)),"N/A")</f>
        <v>7836</v>
      </c>
      <c r="B2287" s="4" t="s">
        <v>590</v>
      </c>
      <c r="C2287" s="4" t="s">
        <v>283</v>
      </c>
      <c r="D2287" s="94">
        <v>1889.0</v>
      </c>
    </row>
    <row r="2288">
      <c r="A2288" s="40">
        <f t="array" ref="A2288">IFNA(index(PlayerValues!A:A,match(IFNA(vlookup(B2288,'Special Names'!A:B,2,FALSE),B2288),PlayerValues!E:E,0)),"N/A")</f>
        <v>13189</v>
      </c>
      <c r="B2288" s="4" t="s">
        <v>626</v>
      </c>
      <c r="C2288" s="4" t="s">
        <v>298</v>
      </c>
      <c r="D2288" s="94">
        <v>2260.0</v>
      </c>
    </row>
    <row r="2289">
      <c r="A2289" s="40">
        <f t="array" ref="A2289">IFNA(index(PlayerValues!A:A,match(IFNA(vlookup(B2289,'Special Names'!A:B,2,FALSE),B2289),PlayerValues!E:E,0)),"N/A")</f>
        <v>13629</v>
      </c>
      <c r="B2289" s="4" t="s">
        <v>619</v>
      </c>
      <c r="C2289" s="4" t="s">
        <v>287</v>
      </c>
      <c r="D2289" s="94">
        <v>1868.0</v>
      </c>
    </row>
    <row r="2290">
      <c r="A2290" s="40">
        <f t="array" ref="A2290">IFNA(index(PlayerValues!A:A,match(IFNA(vlookup(B2290,'Special Names'!A:B,2,FALSE),B2290),PlayerValues!E:E,0)),"N/A")</f>
        <v>14871</v>
      </c>
      <c r="B2290" s="4" t="s">
        <v>584</v>
      </c>
      <c r="C2290" s="4" t="s">
        <v>298</v>
      </c>
      <c r="D2290" s="94">
        <v>2248.0</v>
      </c>
    </row>
    <row r="2291">
      <c r="A2291" s="40">
        <f t="array" ref="A2291">IFNA(index(PlayerValues!A:A,match(IFNA(vlookup(B2291,'Special Names'!A:B,2,FALSE),B2291),PlayerValues!E:E,0)),"N/A")</f>
        <v>16191</v>
      </c>
      <c r="B2291" s="4" t="s">
        <v>666</v>
      </c>
      <c r="C2291" s="4" t="s">
        <v>287</v>
      </c>
      <c r="D2291" s="94">
        <v>1860.0</v>
      </c>
    </row>
    <row r="2292">
      <c r="A2292" s="40">
        <f t="array" ref="A2292">IFNA(index(PlayerValues!A:A,match(IFNA(vlookup(B2292,'Special Names'!A:B,2,FALSE),B2292),PlayerValues!E:E,0)),"N/A")</f>
        <v>17086</v>
      </c>
      <c r="B2292" s="4" t="s">
        <v>612</v>
      </c>
      <c r="C2292" s="4" t="s">
        <v>287</v>
      </c>
      <c r="D2292" s="94">
        <v>1859.0</v>
      </c>
    </row>
    <row r="2293">
      <c r="A2293" s="40">
        <f t="array" ref="A2293">IFNA(index(PlayerValues!A:A,match(IFNA(vlookup(B2293,'Special Names'!A:B,2,FALSE),B2293),PlayerValues!E:E,0)),"N/A")</f>
        <v>17049</v>
      </c>
      <c r="B2293" s="4" t="s">
        <v>624</v>
      </c>
      <c r="C2293" s="4" t="s">
        <v>278</v>
      </c>
      <c r="D2293" s="94">
        <v>1854.0</v>
      </c>
    </row>
    <row r="2294">
      <c r="A2294" s="40">
        <f t="array" ref="A2294">IFNA(index(PlayerValues!A:A,match(IFNA(vlookup(B2294,'Special Names'!A:B,2,FALSE),B2294),PlayerValues!E:E,0)),"N/A")</f>
        <v>16171</v>
      </c>
      <c r="B2294" s="4" t="s">
        <v>618</v>
      </c>
      <c r="C2294" s="4" t="s">
        <v>278</v>
      </c>
      <c r="D2294" s="94">
        <v>1853.0</v>
      </c>
    </row>
    <row r="2295">
      <c r="A2295" s="40">
        <f t="array" ref="A2295">IFNA(index(PlayerValues!A:A,match(IFNA(vlookup(B2295,'Special Names'!A:B,2,FALSE),B2295),PlayerValues!E:E,0)),"N/A")</f>
        <v>16215</v>
      </c>
      <c r="B2295" s="4" t="s">
        <v>637</v>
      </c>
      <c r="C2295" s="4" t="s">
        <v>298</v>
      </c>
      <c r="D2295" s="94">
        <v>2224.0</v>
      </c>
    </row>
    <row r="2296">
      <c r="A2296" s="40">
        <f t="array" ref="A2296">IFNA(index(PlayerValues!A:A,match(IFNA(vlookup(B2296,'Special Names'!A:B,2,FALSE),B2296),PlayerValues!E:E,0)),"N/A")</f>
        <v>16752</v>
      </c>
      <c r="B2296" s="4" t="s">
        <v>597</v>
      </c>
      <c r="C2296" s="4" t="s">
        <v>278</v>
      </c>
      <c r="D2296" s="94">
        <v>1842.0</v>
      </c>
    </row>
    <row r="2297">
      <c r="A2297" s="40">
        <f t="array" ref="A2297">IFNA(index(PlayerValues!A:A,match(IFNA(vlookup(B2297,'Special Names'!A:B,2,FALSE),B2297),PlayerValues!E:E,0)),"N/A")</f>
        <v>15787</v>
      </c>
      <c r="B2297" s="4" t="s">
        <v>610</v>
      </c>
      <c r="C2297" s="4" t="s">
        <v>287</v>
      </c>
      <c r="D2297" s="94">
        <v>1838.0</v>
      </c>
    </row>
    <row r="2298">
      <c r="A2298" s="40">
        <f t="array" ref="A2298">IFNA(index(PlayerValues!A:A,match(IFNA(vlookup(B2298,'Special Names'!A:B,2,FALSE),B2298),PlayerValues!E:E,0)),"N/A")</f>
        <v>15797</v>
      </c>
      <c r="B2298" s="4" t="s">
        <v>556</v>
      </c>
      <c r="C2298" s="4" t="s">
        <v>298</v>
      </c>
      <c r="D2298" s="94">
        <v>2206.0</v>
      </c>
    </row>
    <row r="2299">
      <c r="A2299" s="40">
        <f t="array" ref="A2299">IFNA(index(PlayerValues!A:A,match(IFNA(vlookup(B2299,'Special Names'!A:B,2,FALSE),B2299),PlayerValues!E:E,0)),"N/A")</f>
        <v>16216</v>
      </c>
      <c r="B2299" s="4" t="s">
        <v>595</v>
      </c>
      <c r="C2299" s="4" t="s">
        <v>298</v>
      </c>
      <c r="D2299" s="94">
        <v>2195.0</v>
      </c>
    </row>
    <row r="2300">
      <c r="A2300" s="40">
        <f t="array" ref="A2300">IFNA(index(PlayerValues!A:A,match(IFNA(vlookup(B2300,'Special Names'!A:B,2,FALSE),B2300),PlayerValues!E:E,0)),"N/A")</f>
        <v>13146</v>
      </c>
      <c r="B2300" s="4" t="s">
        <v>652</v>
      </c>
      <c r="C2300" s="4" t="s">
        <v>278</v>
      </c>
      <c r="D2300" s="94">
        <v>1806.0</v>
      </c>
    </row>
    <row r="2301">
      <c r="A2301" s="40">
        <f t="array" ref="A2301">IFNA(index(PlayerValues!A:A,match(IFNA(vlookup(B2301,'Special Names'!A:B,2,FALSE),B2301),PlayerValues!E:E,0)),"N/A")</f>
        <v>15788</v>
      </c>
      <c r="B2301" s="4" t="s">
        <v>627</v>
      </c>
      <c r="C2301" s="4" t="s">
        <v>287</v>
      </c>
      <c r="D2301" s="94">
        <v>1801.0</v>
      </c>
    </row>
    <row r="2302">
      <c r="A2302" s="40">
        <f t="array" ref="A2302">IFNA(index(PlayerValues!A:A,match(IFNA(vlookup(B2302,'Special Names'!A:B,2,FALSE),B2302),PlayerValues!E:E,0)),"N/A")</f>
        <v>17034</v>
      </c>
      <c r="B2302" s="4" t="s">
        <v>643</v>
      </c>
      <c r="C2302" s="4" t="s">
        <v>283</v>
      </c>
      <c r="D2302" s="94">
        <v>1801.0</v>
      </c>
    </row>
    <row r="2303">
      <c r="A2303" s="40">
        <f t="array" ref="A2303">IFNA(index(PlayerValues!A:A,match(IFNA(vlookup(B2303,'Special Names'!A:B,2,FALSE),B2303),PlayerValues!E:E,0)),"N/A")</f>
        <v>17467</v>
      </c>
      <c r="B2303" s="4" t="s">
        <v>575</v>
      </c>
      <c r="C2303" s="4" t="s">
        <v>283</v>
      </c>
      <c r="D2303" s="94">
        <v>1797.0</v>
      </c>
    </row>
    <row r="2304">
      <c r="A2304" s="40">
        <f t="array" ref="A2304">IFNA(index(PlayerValues!A:A,match(IFNA(vlookup(B2304,'Special Names'!A:B,2,FALSE),B2304),PlayerValues!E:E,0)),"N/A")</f>
        <v>14143</v>
      </c>
      <c r="B2304" s="4" t="s">
        <v>635</v>
      </c>
      <c r="C2304" s="4" t="s">
        <v>298</v>
      </c>
      <c r="D2304" s="94">
        <v>2159.0</v>
      </c>
    </row>
    <row r="2305">
      <c r="A2305" s="40">
        <f t="array" ref="A2305">IFNA(index(PlayerValues!A:A,match(IFNA(vlookup(B2305,'Special Names'!A:B,2,FALSE),B2305),PlayerValues!E:E,0)),"N/A")</f>
        <v>16778</v>
      </c>
      <c r="B2305" s="4" t="s">
        <v>577</v>
      </c>
      <c r="C2305" s="4" t="s">
        <v>287</v>
      </c>
      <c r="D2305" s="94">
        <v>1761.0</v>
      </c>
    </row>
    <row r="2306">
      <c r="A2306" s="40">
        <f t="array" ref="A2306">IFNA(index(PlayerValues!A:A,match(IFNA(vlookup(B2306,'Special Names'!A:B,2,FALSE),B2306),PlayerValues!E:E,0)),"N/A")</f>
        <v>13164</v>
      </c>
      <c r="B2306" s="4" t="s">
        <v>632</v>
      </c>
      <c r="C2306" s="4" t="s">
        <v>287</v>
      </c>
      <c r="D2306" s="94">
        <v>1753.0</v>
      </c>
    </row>
    <row r="2307">
      <c r="A2307" s="40">
        <f t="array" ref="A2307">IFNA(index(PlayerValues!A:A,match(IFNA(vlookup(B2307,'Special Names'!A:B,2,FALSE),B2307),PlayerValues!E:E,0)),"N/A")</f>
        <v>17035</v>
      </c>
      <c r="B2307" s="4" t="s">
        <v>650</v>
      </c>
      <c r="C2307" s="4" t="s">
        <v>283</v>
      </c>
      <c r="D2307" s="94">
        <v>1749.0</v>
      </c>
    </row>
    <row r="2308">
      <c r="A2308" s="40">
        <f t="array" ref="A2308">IFNA(index(PlayerValues!A:A,match(IFNA(vlookup(B2308,'Special Names'!A:B,2,FALSE),B2308),PlayerValues!E:E,0)),"N/A")</f>
        <v>17481</v>
      </c>
      <c r="B2308" s="4" t="s">
        <v>540</v>
      </c>
      <c r="C2308" s="4" t="s">
        <v>278</v>
      </c>
      <c r="D2308" s="94">
        <v>1749.0</v>
      </c>
    </row>
    <row r="2309">
      <c r="A2309" s="40">
        <f t="array" ref="A2309">IFNA(index(PlayerValues!A:A,match(IFNA(vlookup(B2309,'Special Names'!A:B,2,FALSE),B2309),PlayerValues!E:E,0)),"N/A")</f>
        <v>16644</v>
      </c>
      <c r="B2309" s="4" t="s">
        <v>640</v>
      </c>
      <c r="C2309" s="4" t="s">
        <v>298</v>
      </c>
      <c r="D2309" s="94">
        <v>2124.0</v>
      </c>
    </row>
    <row r="2310">
      <c r="A2310" s="40" t="str">
        <f t="array" ref="A2310">IFNA(index(PlayerValues!A:A,match(IFNA(vlookup(B2310,'Special Names'!A:B,2,FALSE),B2310),PlayerValues!E:E,0)),"N/A")</f>
        <v>N/A</v>
      </c>
      <c r="B2310" s="4" t="s">
        <v>102</v>
      </c>
      <c r="C2310" s="4" t="s">
        <v>325</v>
      </c>
      <c r="D2310" s="94">
        <v>1738.0</v>
      </c>
    </row>
    <row r="2311">
      <c r="A2311" s="40">
        <f t="array" ref="A2311">IFNA(index(PlayerValues!A:A,match(IFNA(vlookup(B2311,'Special Names'!A:B,2,FALSE),B2311),PlayerValues!E:E,0)),"N/A")</f>
        <v>14105</v>
      </c>
      <c r="B2311" s="4" t="s">
        <v>675</v>
      </c>
      <c r="C2311" s="4" t="s">
        <v>287</v>
      </c>
      <c r="D2311" s="94">
        <v>1735.0</v>
      </c>
    </row>
    <row r="2312">
      <c r="A2312" s="40">
        <f t="array" ref="A2312">IFNA(index(PlayerValues!A:A,match(IFNA(vlookup(B2312,'Special Names'!A:B,2,FALSE),B2312),PlayerValues!E:E,0)),"N/A")</f>
        <v>17528</v>
      </c>
      <c r="B2312" s="4" t="s">
        <v>579</v>
      </c>
      <c r="C2312" s="4" t="s">
        <v>287</v>
      </c>
      <c r="D2312" s="94">
        <v>1731.0</v>
      </c>
    </row>
    <row r="2313">
      <c r="A2313" s="40">
        <f t="array" ref="A2313">IFNA(index(PlayerValues!A:A,match(IFNA(vlookup(B2313,'Special Names'!A:B,2,FALSE),B2313),PlayerValues!E:E,0)),"N/A")</f>
        <v>17466</v>
      </c>
      <c r="B2313" s="4" t="s">
        <v>492</v>
      </c>
      <c r="C2313" s="4" t="s">
        <v>283</v>
      </c>
      <c r="D2313" s="94">
        <v>1725.0</v>
      </c>
    </row>
    <row r="2314">
      <c r="A2314" s="40">
        <f t="array" ref="A2314">IFNA(index(PlayerValues!A:A,match(IFNA(vlookup(B2314,'Special Names'!A:B,2,FALSE),B2314),PlayerValues!E:E,0)),"N/A")</f>
        <v>16635</v>
      </c>
      <c r="B2314" s="4" t="s">
        <v>645</v>
      </c>
      <c r="C2314" s="4" t="s">
        <v>287</v>
      </c>
      <c r="D2314" s="94">
        <v>1710.0</v>
      </c>
    </row>
    <row r="2315">
      <c r="A2315" s="40">
        <f t="array" ref="A2315">IFNA(index(PlayerValues!A:A,match(IFNA(vlookup(B2315,'Special Names'!A:B,2,FALSE),B2315),PlayerValues!E:E,0)),"N/A")</f>
        <v>16201</v>
      </c>
      <c r="B2315" s="4" t="s">
        <v>589</v>
      </c>
      <c r="C2315" s="4" t="s">
        <v>287</v>
      </c>
      <c r="D2315" s="94">
        <v>1709.0</v>
      </c>
    </row>
    <row r="2316">
      <c r="A2316" s="40">
        <f t="array" ref="A2316">IFNA(index(PlayerValues!A:A,match(IFNA(vlookup(B2316,'Special Names'!A:B,2,FALSE),B2316),PlayerValues!E:E,0)),"N/A")</f>
        <v>16585</v>
      </c>
      <c r="B2316" s="4" t="s">
        <v>623</v>
      </c>
      <c r="C2316" s="4" t="s">
        <v>283</v>
      </c>
      <c r="D2316" s="94">
        <v>1707.0</v>
      </c>
    </row>
    <row r="2317">
      <c r="A2317" s="40" t="str">
        <f t="array" ref="A2317">IFNA(index(PlayerValues!A:A,match(IFNA(vlookup(B2317,'Special Names'!A:B,2,FALSE),B2317),PlayerValues!E:E,0)),"N/A")</f>
        <v>N/A</v>
      </c>
      <c r="B2317" s="4" t="s">
        <v>89</v>
      </c>
      <c r="C2317" s="4" t="s">
        <v>325</v>
      </c>
      <c r="D2317" s="94">
        <v>1705.0</v>
      </c>
    </row>
    <row r="2318">
      <c r="A2318" s="40">
        <f t="array" ref="A2318">IFNA(index(PlayerValues!A:A,match(IFNA(vlookup(B2318,'Special Names'!A:B,2,FALSE),B2318),PlayerValues!E:E,0)),"N/A")</f>
        <v>17096</v>
      </c>
      <c r="B2318" s="4" t="s">
        <v>638</v>
      </c>
      <c r="C2318" s="4" t="s">
        <v>287</v>
      </c>
      <c r="D2318" s="94">
        <v>1693.0</v>
      </c>
    </row>
    <row r="2319">
      <c r="A2319" s="40">
        <f t="array" ref="A2319">IFNA(index(PlayerValues!A:A,match(IFNA(vlookup(B2319,'Special Names'!A:B,2,FALSE),B2319),PlayerValues!E:E,0)),"N/A")</f>
        <v>17465</v>
      </c>
      <c r="B2319" s="4" t="s">
        <v>649</v>
      </c>
      <c r="C2319" s="4" t="s">
        <v>283</v>
      </c>
      <c r="D2319" s="94">
        <v>1693.0</v>
      </c>
    </row>
    <row r="2320">
      <c r="A2320" s="40" t="str">
        <f t="array" ref="A2320">IFNA(index(PlayerValues!A:A,match(IFNA(vlookup(B2320,'Special Names'!A:B,2,FALSE),B2320),PlayerValues!E:E,0)),"N/A")</f>
        <v>N/A</v>
      </c>
      <c r="B2320" s="4" t="s">
        <v>103</v>
      </c>
      <c r="C2320" s="4" t="s">
        <v>325</v>
      </c>
      <c r="D2320" s="94">
        <v>1691.0</v>
      </c>
    </row>
    <row r="2321">
      <c r="A2321" s="40">
        <f t="array" ref="A2321">IFNA(index(PlayerValues!A:A,match(IFNA(vlookup(B2321,'Special Names'!A:B,2,FALSE),B2321),PlayerValues!E:E,0)),"N/A")</f>
        <v>15755</v>
      </c>
      <c r="B2321" s="4" t="s">
        <v>628</v>
      </c>
      <c r="C2321" s="4" t="s">
        <v>287</v>
      </c>
      <c r="D2321" s="94">
        <v>1687.0</v>
      </c>
    </row>
    <row r="2322">
      <c r="A2322" s="40">
        <f t="array" ref="A2322">IFNA(index(PlayerValues!A:A,match(IFNA(vlookup(B2322,'Special Names'!A:B,2,FALSE),B2322),PlayerValues!E:E,0)),"N/A")</f>
        <v>15254</v>
      </c>
      <c r="B2322" s="4" t="s">
        <v>633</v>
      </c>
      <c r="C2322" s="4" t="s">
        <v>278</v>
      </c>
      <c r="D2322" s="94">
        <v>1685.0</v>
      </c>
    </row>
    <row r="2323">
      <c r="A2323" s="40">
        <f t="array" ref="A2323">IFNA(index(PlayerValues!A:A,match(IFNA(vlookup(B2323,'Special Names'!A:B,2,FALSE),B2323),PlayerValues!E:E,0)),"N/A")</f>
        <v>17064</v>
      </c>
      <c r="B2323" s="4" t="s">
        <v>631</v>
      </c>
      <c r="C2323" s="4" t="s">
        <v>278</v>
      </c>
      <c r="D2323" s="94">
        <v>1668.0</v>
      </c>
    </row>
    <row r="2324">
      <c r="A2324" s="40">
        <f t="array" ref="A2324">IFNA(index(PlayerValues!A:A,match(IFNA(vlookup(B2324,'Special Names'!A:B,2,FALSE),B2324),PlayerValues!E:E,0)),"N/A")</f>
        <v>16601</v>
      </c>
      <c r="B2324" s="4" t="s">
        <v>648</v>
      </c>
      <c r="C2324" s="4" t="s">
        <v>278</v>
      </c>
      <c r="D2324" s="94">
        <v>1658.0</v>
      </c>
    </row>
    <row r="2325">
      <c r="A2325" s="40">
        <f t="array" ref="A2325">IFNA(index(PlayerValues!A:A,match(IFNA(vlookup(B2325,'Special Names'!A:B,2,FALSE),B2325),PlayerValues!E:E,0)),"N/A")</f>
        <v>17058</v>
      </c>
      <c r="B2325" s="4" t="s">
        <v>641</v>
      </c>
      <c r="C2325" s="4" t="s">
        <v>278</v>
      </c>
      <c r="D2325" s="94">
        <v>1655.0</v>
      </c>
    </row>
    <row r="2326">
      <c r="A2326" s="40">
        <f t="array" ref="A2326">IFNA(index(PlayerValues!A:A,match(IFNA(vlookup(B2326,'Special Names'!A:B,2,FALSE),B2326),PlayerValues!E:E,0)),"N/A")</f>
        <v>16586</v>
      </c>
      <c r="B2326" s="4" t="s">
        <v>658</v>
      </c>
      <c r="C2326" s="4" t="s">
        <v>283</v>
      </c>
      <c r="D2326" s="94">
        <v>1653.0</v>
      </c>
    </row>
    <row r="2327">
      <c r="A2327" s="40">
        <f t="array" ref="A2327">IFNA(index(PlayerValues!A:A,match(IFNA(vlookup(B2327,'Special Names'!A:B,2,FALSE),B2327),PlayerValues!E:E,0)),"N/A")</f>
        <v>16207</v>
      </c>
      <c r="B2327" s="4" t="s">
        <v>636</v>
      </c>
      <c r="C2327" s="4" t="s">
        <v>287</v>
      </c>
      <c r="D2327" s="94">
        <v>1643.0</v>
      </c>
    </row>
    <row r="2328">
      <c r="A2328" s="40">
        <f t="array" ref="A2328">IFNA(index(PlayerValues!A:A,match(IFNA(vlookup(B2328,'Special Names'!A:B,2,FALSE),B2328),PlayerValues!E:E,0)),"N/A")</f>
        <v>15301</v>
      </c>
      <c r="B2328" s="4" t="s">
        <v>657</v>
      </c>
      <c r="C2328" s="4" t="s">
        <v>287</v>
      </c>
      <c r="D2328" s="94">
        <v>1624.0</v>
      </c>
    </row>
    <row r="2329">
      <c r="A2329" s="40" t="str">
        <f t="array" ref="A2329">IFNA(index(PlayerValues!A:A,match(IFNA(vlookup(B2329,'Special Names'!A:B,2,FALSE),B2329),PlayerValues!E:E,0)),"N/A")</f>
        <v>N/A</v>
      </c>
      <c r="B2329" s="4" t="s">
        <v>115</v>
      </c>
      <c r="C2329" s="4" t="s">
        <v>325</v>
      </c>
      <c r="D2329" s="94">
        <v>1615.0</v>
      </c>
    </row>
    <row r="2330">
      <c r="A2330" s="40">
        <f t="array" ref="A2330">IFNA(index(PlayerValues!A:A,match(IFNA(vlookup(B2330,'Special Names'!A:B,2,FALSE),B2330),PlayerValues!E:E,0)),"N/A")</f>
        <v>16629</v>
      </c>
      <c r="B2330" s="4" t="s">
        <v>605</v>
      </c>
      <c r="C2330" s="4" t="s">
        <v>287</v>
      </c>
      <c r="D2330" s="94">
        <v>1613.0</v>
      </c>
    </row>
    <row r="2331">
      <c r="A2331" s="40">
        <f t="array" ref="A2331">IFNA(index(PlayerValues!A:A,match(IFNA(vlookup(B2331,'Special Names'!A:B,2,FALSE),B2331),PlayerValues!E:E,0)),"N/A")</f>
        <v>15319</v>
      </c>
      <c r="B2331" s="4" t="s">
        <v>644</v>
      </c>
      <c r="C2331" s="4" t="s">
        <v>287</v>
      </c>
      <c r="D2331" s="94">
        <v>1610.0</v>
      </c>
    </row>
    <row r="2332">
      <c r="A2332" s="40" t="str">
        <f t="array" ref="A2332">IFNA(index(PlayerValues!A:A,match(IFNA(vlookup(B2332,'Special Names'!A:B,2,FALSE),B2332),PlayerValues!E:E,0)),"N/A")</f>
        <v>N/A</v>
      </c>
      <c r="B2332" s="4" t="s">
        <v>90</v>
      </c>
      <c r="C2332" s="4" t="s">
        <v>325</v>
      </c>
      <c r="D2332" s="94">
        <v>1600.0</v>
      </c>
    </row>
    <row r="2333">
      <c r="A2333" s="40">
        <f t="array" ref="A2333">IFNA(index(PlayerValues!A:A,match(IFNA(vlookup(B2333,'Special Names'!A:B,2,FALSE),B2333),PlayerValues!E:E,0)),"N/A")</f>
        <v>16688</v>
      </c>
      <c r="B2333" s="4" t="s">
        <v>688</v>
      </c>
      <c r="C2333" s="4" t="s">
        <v>278</v>
      </c>
      <c r="D2333" s="94">
        <v>1592.0</v>
      </c>
    </row>
    <row r="2334">
      <c r="A2334" s="40">
        <f t="array" ref="A2334">IFNA(index(PlayerValues!A:A,match(IFNA(vlookup(B2334,'Special Names'!A:B,2,FALSE),B2334),PlayerValues!E:E,0)),"N/A")</f>
        <v>15713</v>
      </c>
      <c r="B2334" s="4" t="s">
        <v>732</v>
      </c>
      <c r="C2334" s="4" t="s">
        <v>278</v>
      </c>
      <c r="D2334" s="94">
        <v>1568.0</v>
      </c>
    </row>
    <row r="2335">
      <c r="A2335" s="40">
        <f t="array" ref="A2335">IFNA(index(PlayerValues!A:A,match(IFNA(vlookup(B2335,'Special Names'!A:B,2,FALSE),B2335),PlayerValues!E:E,0)),"N/A")</f>
        <v>16595</v>
      </c>
      <c r="B2335" s="4" t="s">
        <v>664</v>
      </c>
      <c r="C2335" s="4" t="s">
        <v>278</v>
      </c>
      <c r="D2335" s="94">
        <v>1565.0</v>
      </c>
    </row>
    <row r="2336">
      <c r="A2336" s="40">
        <f t="array" ref="A2336">IFNA(index(PlayerValues!A:A,match(IFNA(vlookup(B2336,'Special Names'!A:B,2,FALSE),B2336),PlayerValues!E:E,0)),"N/A")</f>
        <v>17205</v>
      </c>
      <c r="B2336" s="4" t="s">
        <v>665</v>
      </c>
      <c r="C2336" s="4" t="s">
        <v>287</v>
      </c>
      <c r="D2336" s="94">
        <v>1564.0</v>
      </c>
    </row>
    <row r="2337">
      <c r="A2337" s="40">
        <f t="array" ref="A2337">IFNA(index(PlayerValues!A:A,match(IFNA(vlookup(B2337,'Special Names'!A:B,2,FALSE),B2337),PlayerValues!E:E,0)),"N/A")</f>
        <v>16633</v>
      </c>
      <c r="B2337" s="4" t="s">
        <v>656</v>
      </c>
      <c r="C2337" s="4" t="s">
        <v>287</v>
      </c>
      <c r="D2337" s="94">
        <v>1563.0</v>
      </c>
    </row>
    <row r="2338">
      <c r="A2338" s="40" t="str">
        <f t="array" ref="A2338">IFNA(index(PlayerValues!A:A,match(IFNA(vlookup(B2338,'Special Names'!A:B,2,FALSE),B2338),PlayerValues!E:E,0)),"N/A")</f>
        <v>N/A</v>
      </c>
      <c r="B2338" s="4" t="s">
        <v>116</v>
      </c>
      <c r="C2338" s="4" t="s">
        <v>325</v>
      </c>
      <c r="D2338" s="94">
        <v>1563.0</v>
      </c>
    </row>
    <row r="2339">
      <c r="A2339" s="40">
        <f t="array" ref="A2339">IFNA(index(PlayerValues!A:A,match(IFNA(vlookup(B2339,'Special Names'!A:B,2,FALSE),B2339),PlayerValues!E:E,0)),"N/A")</f>
        <v>14122</v>
      </c>
      <c r="B2339" s="4" t="s">
        <v>663</v>
      </c>
      <c r="C2339" s="4" t="s">
        <v>287</v>
      </c>
      <c r="D2339" s="94">
        <v>1556.0</v>
      </c>
    </row>
    <row r="2340">
      <c r="A2340" s="40">
        <f t="array" ref="A2340">IFNA(index(PlayerValues!A:A,match(IFNA(vlookup(B2340,'Special Names'!A:B,2,FALSE),B2340),PlayerValues!E:E,0)),"N/A")</f>
        <v>17548</v>
      </c>
      <c r="B2340" s="4" t="s">
        <v>594</v>
      </c>
      <c r="C2340" s="4" t="s">
        <v>298</v>
      </c>
      <c r="D2340" s="94">
        <v>1930.0</v>
      </c>
    </row>
    <row r="2341">
      <c r="A2341" s="40">
        <f t="array" ref="A2341">IFNA(index(PlayerValues!A:A,match(IFNA(vlookup(B2341,'Special Names'!A:B,2,FALSE),B2341),PlayerValues!E:E,0)),"N/A")</f>
        <v>17234</v>
      </c>
      <c r="B2341" s="4" t="s">
        <v>653</v>
      </c>
      <c r="C2341" s="4" t="s">
        <v>287</v>
      </c>
      <c r="D2341" s="94">
        <v>1548.0</v>
      </c>
    </row>
    <row r="2342">
      <c r="A2342" s="40">
        <f t="array" ref="A2342">IFNA(index(PlayerValues!A:A,match(IFNA(vlookup(B2342,'Special Names'!A:B,2,FALSE),B2342),PlayerValues!E:E,0)),"N/A")</f>
        <v>15337</v>
      </c>
      <c r="B2342" s="4" t="s">
        <v>655</v>
      </c>
      <c r="C2342" s="4" t="s">
        <v>298</v>
      </c>
      <c r="D2342" s="94">
        <v>1914.0</v>
      </c>
    </row>
    <row r="2343">
      <c r="A2343" s="40">
        <f t="array" ref="A2343">IFNA(index(PlayerValues!A:A,match(IFNA(vlookup(B2343,'Special Names'!A:B,2,FALSE),B2343),PlayerValues!E:E,0)),"N/A")</f>
        <v>17468</v>
      </c>
      <c r="B2343" s="4" t="s">
        <v>514</v>
      </c>
      <c r="C2343" s="4" t="s">
        <v>283</v>
      </c>
      <c r="D2343" s="94">
        <v>1536.0</v>
      </c>
    </row>
    <row r="2344">
      <c r="A2344" s="40">
        <f t="array" ref="A2344">IFNA(index(PlayerValues!A:A,match(IFNA(vlookup(B2344,'Special Names'!A:B,2,FALSE),B2344),PlayerValues!E:E,0)),"N/A")</f>
        <v>16175</v>
      </c>
      <c r="B2344" s="4" t="s">
        <v>654</v>
      </c>
      <c r="C2344" s="4" t="s">
        <v>278</v>
      </c>
      <c r="D2344" s="94">
        <v>1513.0</v>
      </c>
    </row>
    <row r="2345">
      <c r="A2345" s="40">
        <f t="array" ref="A2345">IFNA(index(PlayerValues!A:A,match(IFNA(vlookup(B2345,'Special Names'!A:B,2,FALSE),B2345),PlayerValues!E:E,0)),"N/A")</f>
        <v>15752</v>
      </c>
      <c r="B2345" s="4" t="s">
        <v>647</v>
      </c>
      <c r="C2345" s="4" t="s">
        <v>287</v>
      </c>
      <c r="D2345" s="94">
        <v>1511.0</v>
      </c>
    </row>
    <row r="2346">
      <c r="A2346" s="40">
        <f t="array" ref="A2346">IFNA(index(PlayerValues!A:A,match(IFNA(vlookup(B2346,'Special Names'!A:B,2,FALSE),B2346),PlayerValues!E:E,0)),"N/A")</f>
        <v>15759</v>
      </c>
      <c r="B2346" s="4" t="s">
        <v>662</v>
      </c>
      <c r="C2346" s="4" t="s">
        <v>287</v>
      </c>
      <c r="D2346" s="94">
        <v>1509.0</v>
      </c>
    </row>
    <row r="2347">
      <c r="A2347" s="40" t="str">
        <f t="array" ref="A2347">IFNA(index(PlayerValues!A:A,match(IFNA(vlookup(B2347,'Special Names'!A:B,2,FALSE),B2347),PlayerValues!E:E,0)),"N/A")</f>
        <v>N/A</v>
      </c>
      <c r="B2347" s="4" t="s">
        <v>91</v>
      </c>
      <c r="C2347" s="4" t="s">
        <v>325</v>
      </c>
      <c r="D2347" s="94">
        <v>1509.0</v>
      </c>
    </row>
    <row r="2348">
      <c r="A2348" s="40">
        <f t="array" ref="A2348">IFNA(index(PlayerValues!A:A,match(IFNA(vlookup(B2348,'Special Names'!A:B,2,FALSE),B2348),PlayerValues!E:E,0)),"N/A")</f>
        <v>16792</v>
      </c>
      <c r="B2348" s="4" t="s">
        <v>704</v>
      </c>
      <c r="C2348" s="4" t="s">
        <v>287</v>
      </c>
      <c r="D2348" s="94">
        <v>1492.0</v>
      </c>
    </row>
    <row r="2349">
      <c r="A2349" s="40">
        <f t="array" ref="A2349">IFNA(index(PlayerValues!A:A,match(IFNA(vlookup(B2349,'Special Names'!A:B,2,FALSE),B2349),PlayerValues!E:E,0)),"N/A")</f>
        <v>16631</v>
      </c>
      <c r="B2349" s="4" t="s">
        <v>800</v>
      </c>
      <c r="C2349" s="4" t="s">
        <v>287</v>
      </c>
      <c r="D2349" s="94">
        <v>1469.0</v>
      </c>
    </row>
    <row r="2350">
      <c r="A2350" s="40">
        <f t="array" ref="A2350">IFNA(index(PlayerValues!A:A,match(IFNA(vlookup(B2350,'Special Names'!A:B,2,FALSE),B2350),PlayerValues!E:E,0)),"N/A")</f>
        <v>16390</v>
      </c>
      <c r="B2350" s="4" t="s">
        <v>689</v>
      </c>
      <c r="C2350" s="4" t="s">
        <v>278</v>
      </c>
      <c r="D2350" s="94">
        <v>1466.0</v>
      </c>
    </row>
    <row r="2351">
      <c r="A2351" s="40">
        <f t="array" ref="A2351">IFNA(index(PlayerValues!A:A,match(IFNA(vlookup(B2351,'Special Names'!A:B,2,FALSE),B2351),PlayerValues!E:E,0)),"N/A")</f>
        <v>16788</v>
      </c>
      <c r="B2351" s="4" t="s">
        <v>621</v>
      </c>
      <c r="C2351" s="4" t="s">
        <v>287</v>
      </c>
      <c r="D2351" s="94">
        <v>1463.0</v>
      </c>
    </row>
    <row r="2352">
      <c r="A2352" s="40">
        <f t="array" ref="A2352">IFNA(index(PlayerValues!A:A,match(IFNA(vlookup(B2352,'Special Names'!A:B,2,FALSE),B2352),PlayerValues!E:E,0)),"N/A")</f>
        <v>17485</v>
      </c>
      <c r="B2352" s="4" t="s">
        <v>522</v>
      </c>
      <c r="C2352" s="4" t="s">
        <v>278</v>
      </c>
      <c r="D2352" s="94">
        <v>1463.0</v>
      </c>
    </row>
    <row r="2353">
      <c r="A2353" s="40">
        <f t="array" ref="A2353">IFNA(index(PlayerValues!A:A,match(IFNA(vlookup(B2353,'Special Names'!A:B,2,FALSE),B2353),PlayerValues!E:E,0)),"N/A")</f>
        <v>17054</v>
      </c>
      <c r="B2353" s="4" t="s">
        <v>670</v>
      </c>
      <c r="C2353" s="4" t="s">
        <v>278</v>
      </c>
      <c r="D2353" s="94">
        <v>1458.0</v>
      </c>
    </row>
    <row r="2354">
      <c r="A2354" s="40">
        <f t="array" ref="A2354">IFNA(index(PlayerValues!A:A,match(IFNA(vlookup(B2354,'Special Names'!A:B,2,FALSE),B2354),PlayerValues!E:E,0)),"N/A")</f>
        <v>15873</v>
      </c>
      <c r="B2354" s="4" t="s">
        <v>681</v>
      </c>
      <c r="C2354" s="4" t="s">
        <v>298</v>
      </c>
      <c r="D2354" s="94">
        <v>1826.0</v>
      </c>
    </row>
    <row r="2355">
      <c r="A2355" s="40">
        <f t="array" ref="A2355">IFNA(index(PlayerValues!A:A,match(IFNA(vlookup(B2355,'Special Names'!A:B,2,FALSE),B2355),PlayerValues!E:E,0)),"N/A")</f>
        <v>15777</v>
      </c>
      <c r="B2355" s="4" t="s">
        <v>694</v>
      </c>
      <c r="C2355" s="4" t="s">
        <v>287</v>
      </c>
      <c r="D2355" s="94">
        <v>1448.0</v>
      </c>
    </row>
    <row r="2356">
      <c r="A2356" s="40">
        <f t="array" ref="A2356">IFNA(index(PlayerValues!A:A,match(IFNA(vlookup(B2356,'Special Names'!A:B,2,FALSE),B2356),PlayerValues!E:E,0)),"N/A")</f>
        <v>16384</v>
      </c>
      <c r="B2356" s="4" t="s">
        <v>696</v>
      </c>
      <c r="C2356" s="4" t="s">
        <v>283</v>
      </c>
      <c r="D2356" s="94">
        <v>1444.0</v>
      </c>
    </row>
    <row r="2357">
      <c r="A2357" s="40">
        <f t="array" ref="A2357">IFNA(index(PlayerValues!A:A,match(IFNA(vlookup(B2357,'Special Names'!A:B,2,FALSE),B2357),PlayerValues!E:E,0)),"N/A")</f>
        <v>13672</v>
      </c>
      <c r="B2357" s="4" t="s">
        <v>667</v>
      </c>
      <c r="C2357" s="4" t="s">
        <v>298</v>
      </c>
      <c r="D2357" s="94">
        <v>1806.0</v>
      </c>
    </row>
    <row r="2358">
      <c r="A2358" s="40">
        <f t="array" ref="A2358">IFNA(index(PlayerValues!A:A,match(IFNA(vlookup(B2358,'Special Names'!A:B,2,FALSE),B2358),PlayerValues!E:E,0)),"N/A")</f>
        <v>16642</v>
      </c>
      <c r="B2358" s="4" t="s">
        <v>691</v>
      </c>
      <c r="C2358" s="4" t="s">
        <v>298</v>
      </c>
      <c r="D2358" s="94">
        <v>1802.0</v>
      </c>
    </row>
    <row r="2359">
      <c r="A2359" s="40">
        <f t="array" ref="A2359">IFNA(index(PlayerValues!A:A,match(IFNA(vlookup(B2359,'Special Names'!A:B,2,FALSE),B2359),PlayerValues!E:E,0)),"N/A")</f>
        <v>13418</v>
      </c>
      <c r="B2359" s="4" t="s">
        <v>706</v>
      </c>
      <c r="C2359" s="4" t="s">
        <v>287</v>
      </c>
      <c r="D2359" s="94">
        <v>1425.0</v>
      </c>
    </row>
    <row r="2360">
      <c r="A2360" s="40">
        <f t="array" ref="A2360">IFNA(index(PlayerValues!A:A,match(IFNA(vlookup(B2360,'Special Names'!A:B,2,FALSE),B2360),PlayerValues!E:E,0)),"N/A")</f>
        <v>17037</v>
      </c>
      <c r="B2360" s="4" t="s">
        <v>727</v>
      </c>
      <c r="C2360" s="4" t="s">
        <v>283</v>
      </c>
      <c r="D2360" s="94">
        <v>1425.0</v>
      </c>
    </row>
    <row r="2361">
      <c r="A2361" s="40">
        <f t="array" ref="A2361">IFNA(index(PlayerValues!A:A,match(IFNA(vlookup(B2361,'Special Names'!A:B,2,FALSE),B2361),PlayerValues!E:E,0)),"N/A")</f>
        <v>16621</v>
      </c>
      <c r="B2361" s="4" t="s">
        <v>672</v>
      </c>
      <c r="C2361" s="4" t="s">
        <v>287</v>
      </c>
      <c r="D2361" s="94">
        <v>1407.0</v>
      </c>
    </row>
    <row r="2362">
      <c r="A2362" s="40">
        <f t="array" ref="A2362">IFNA(index(PlayerValues!A:A,match(IFNA(vlookup(B2362,'Special Names'!A:B,2,FALSE),B2362),PlayerValues!E:E,0)),"N/A")</f>
        <v>15292</v>
      </c>
      <c r="B2362" s="4" t="s">
        <v>682</v>
      </c>
      <c r="C2362" s="4" t="s">
        <v>287</v>
      </c>
      <c r="D2362" s="94">
        <v>1397.0</v>
      </c>
    </row>
    <row r="2363">
      <c r="A2363" s="40">
        <f t="array" ref="A2363">IFNA(index(PlayerValues!A:A,match(IFNA(vlookup(B2363,'Special Names'!A:B,2,FALSE),B2363),PlayerValues!E:E,0)),"N/A")</f>
        <v>14137</v>
      </c>
      <c r="B2363" s="4" t="s">
        <v>676</v>
      </c>
      <c r="C2363" s="4" t="s">
        <v>298</v>
      </c>
      <c r="D2363" s="94">
        <v>1757.0</v>
      </c>
    </row>
    <row r="2364">
      <c r="A2364" s="40">
        <f t="array" ref="A2364">IFNA(index(PlayerValues!A:A,match(IFNA(vlookup(B2364,'Special Names'!A:B,2,FALSE),B2364),PlayerValues!E:E,0)),"N/A")</f>
        <v>12140</v>
      </c>
      <c r="B2364" s="4" t="s">
        <v>702</v>
      </c>
      <c r="C2364" s="4" t="s">
        <v>283</v>
      </c>
      <c r="D2364" s="94">
        <v>1378.0</v>
      </c>
    </row>
    <row r="2365">
      <c r="A2365" s="40">
        <f t="array" ref="A2365">IFNA(index(PlayerValues!A:A,match(IFNA(vlookup(B2365,'Special Names'!A:B,2,FALSE),B2365),PlayerValues!E:E,0)),"N/A")</f>
        <v>14086</v>
      </c>
      <c r="B2365" s="4" t="s">
        <v>639</v>
      </c>
      <c r="C2365" s="4" t="s">
        <v>278</v>
      </c>
      <c r="D2365" s="94">
        <v>1370.0</v>
      </c>
    </row>
    <row r="2366">
      <c r="A2366" s="40">
        <f t="array" ref="A2366">IFNA(index(PlayerValues!A:A,match(IFNA(vlookup(B2366,'Special Names'!A:B,2,FALSE),B2366),PlayerValues!E:E,0)),"N/A")</f>
        <v>11222</v>
      </c>
      <c r="B2366" s="4" t="s">
        <v>622</v>
      </c>
      <c r="C2366" s="4" t="s">
        <v>287</v>
      </c>
      <c r="D2366" s="94">
        <v>1364.0</v>
      </c>
    </row>
    <row r="2367">
      <c r="A2367" s="40">
        <f t="array" ref="A2367">IFNA(index(PlayerValues!A:A,match(IFNA(vlookup(B2367,'Special Names'!A:B,2,FALSE),B2367),PlayerValues!E:E,0)),"N/A")</f>
        <v>16149</v>
      </c>
      <c r="B2367" s="4" t="s">
        <v>740</v>
      </c>
      <c r="C2367" s="4" t="s">
        <v>283</v>
      </c>
      <c r="D2367" s="94">
        <v>1364.0</v>
      </c>
    </row>
    <row r="2368">
      <c r="A2368" s="40">
        <f t="array" ref="A2368">IFNA(index(PlayerValues!A:A,match(IFNA(vlookup(B2368,'Special Names'!A:B,2,FALSE),B2368),PlayerValues!E:E,0)),"N/A")</f>
        <v>15252</v>
      </c>
      <c r="B2368" s="4" t="s">
        <v>715</v>
      </c>
      <c r="C2368" s="4" t="s">
        <v>283</v>
      </c>
      <c r="D2368" s="94">
        <v>1360.0</v>
      </c>
    </row>
    <row r="2369">
      <c r="A2369" s="40">
        <f t="array" ref="A2369">IFNA(index(PlayerValues!A:A,match(IFNA(vlookup(B2369,'Special Names'!A:B,2,FALSE),B2369),PlayerValues!E:E,0)),"N/A")</f>
        <v>17062</v>
      </c>
      <c r="B2369" s="4" t="s">
        <v>701</v>
      </c>
      <c r="C2369" s="4" t="s">
        <v>278</v>
      </c>
      <c r="D2369" s="94">
        <v>1359.0</v>
      </c>
    </row>
    <row r="2370">
      <c r="A2370" s="40">
        <f t="array" ref="A2370">IFNA(index(PlayerValues!A:A,match(IFNA(vlookup(B2370,'Special Names'!A:B,2,FALSE),B2370),PlayerValues!E:E,0)),"N/A")</f>
        <v>17254</v>
      </c>
      <c r="B2370" s="4" t="s">
        <v>679</v>
      </c>
      <c r="C2370" s="4" t="s">
        <v>287</v>
      </c>
      <c r="D2370" s="94">
        <v>1357.0</v>
      </c>
    </row>
    <row r="2371">
      <c r="A2371" s="40">
        <f t="array" ref="A2371">IFNA(index(PlayerValues!A:A,match(IFNA(vlookup(B2371,'Special Names'!A:B,2,FALSE),B2371),PlayerValues!E:E,0)),"N/A")</f>
        <v>17529</v>
      </c>
      <c r="B2371" s="4" t="s">
        <v>608</v>
      </c>
      <c r="C2371" s="4" t="s">
        <v>287</v>
      </c>
      <c r="D2371" s="94">
        <v>1340.0</v>
      </c>
    </row>
    <row r="2372">
      <c r="A2372" s="40">
        <f t="array" ref="A2372">IFNA(index(PlayerValues!A:A,match(IFNA(vlookup(B2372,'Special Names'!A:B,2,FALSE),B2372),PlayerValues!E:E,0)),"N/A")</f>
        <v>15332</v>
      </c>
      <c r="B2372" s="4" t="s">
        <v>698</v>
      </c>
      <c r="C2372" s="4" t="s">
        <v>298</v>
      </c>
      <c r="D2372" s="94">
        <v>1682.0</v>
      </c>
    </row>
    <row r="2373">
      <c r="A2373" s="40">
        <f t="array" ref="A2373">IFNA(index(PlayerValues!A:A,match(IFNA(vlookup(B2373,'Special Names'!A:B,2,FALSE),B2373),PlayerValues!E:E,0)),"N/A")</f>
        <v>12678</v>
      </c>
      <c r="B2373" s="4" t="s">
        <v>703</v>
      </c>
      <c r="C2373" s="4" t="s">
        <v>298</v>
      </c>
      <c r="D2373" s="94">
        <v>1664.0</v>
      </c>
    </row>
    <row r="2374">
      <c r="A2374" s="40">
        <f t="array" ref="A2374">IFNA(index(PlayerValues!A:A,match(IFNA(vlookup(B2374,'Special Names'!A:B,2,FALSE),B2374),PlayerValues!E:E,0)),"N/A")</f>
        <v>15738</v>
      </c>
      <c r="B2374" s="4" t="s">
        <v>634</v>
      </c>
      <c r="C2374" s="4" t="s">
        <v>278</v>
      </c>
      <c r="D2374" s="94">
        <v>1298.0</v>
      </c>
    </row>
    <row r="2375">
      <c r="A2375" s="40">
        <f t="array" ref="A2375">IFNA(index(PlayerValues!A:A,match(IFNA(vlookup(B2375,'Special Names'!A:B,2,FALSE),B2375),PlayerValues!E:E,0)),"N/A")</f>
        <v>17077</v>
      </c>
      <c r="B2375" s="4" t="s">
        <v>714</v>
      </c>
      <c r="C2375" s="4" t="s">
        <v>287</v>
      </c>
      <c r="D2375" s="94">
        <v>1298.0</v>
      </c>
    </row>
    <row r="2376">
      <c r="A2376" s="40">
        <f t="array" ref="A2376">IFNA(index(PlayerValues!A:A,match(IFNA(vlookup(B2376,'Special Names'!A:B,2,FALSE),B2376),PlayerValues!E:E,0)),"N/A")</f>
        <v>14095</v>
      </c>
      <c r="B2376" s="4" t="s">
        <v>680</v>
      </c>
      <c r="C2376" s="4" t="s">
        <v>278</v>
      </c>
      <c r="D2376" s="94">
        <v>1294.0</v>
      </c>
    </row>
    <row r="2377">
      <c r="A2377" s="40">
        <f t="array" ref="A2377">IFNA(index(PlayerValues!A:A,match(IFNA(vlookup(B2377,'Special Names'!A:B,2,FALSE),B2377),PlayerValues!E:E,0)),"N/A")</f>
        <v>16608</v>
      </c>
      <c r="B2377" s="4" t="s">
        <v>629</v>
      </c>
      <c r="C2377" s="4" t="s">
        <v>278</v>
      </c>
      <c r="D2377" s="94">
        <v>1293.0</v>
      </c>
    </row>
    <row r="2378">
      <c r="A2378" s="40">
        <f t="array" ref="A2378">IFNA(index(PlayerValues!A:A,match(IFNA(vlookup(B2378,'Special Names'!A:B,2,FALSE),B2378),PlayerValues!E:E,0)),"N/A")</f>
        <v>12141</v>
      </c>
      <c r="B2378" s="4" t="s">
        <v>744</v>
      </c>
      <c r="C2378" s="4" t="s">
        <v>283</v>
      </c>
      <c r="D2378" s="94">
        <v>1288.0</v>
      </c>
    </row>
    <row r="2379">
      <c r="A2379" s="40">
        <f t="array" ref="A2379">IFNA(index(PlayerValues!A:A,match(IFNA(vlookup(B2379,'Special Names'!A:B,2,FALSE),B2379),PlayerValues!E:E,0)),"N/A")</f>
        <v>17567</v>
      </c>
      <c r="B2379" s="4" t="s">
        <v>571</v>
      </c>
      <c r="C2379" s="4" t="s">
        <v>298</v>
      </c>
      <c r="D2379" s="94">
        <v>1655.0</v>
      </c>
    </row>
    <row r="2380">
      <c r="A2380" s="40" t="str">
        <f t="array" ref="A2380">IFNA(index(PlayerValues!A:A,match(IFNA(vlookup(B2380,'Special Names'!A:B,2,FALSE),B2380),PlayerValues!E:E,0)),"N/A")</f>
        <v>N/A</v>
      </c>
      <c r="B2380" s="4" t="s">
        <v>117</v>
      </c>
      <c r="C2380" s="4" t="s">
        <v>325</v>
      </c>
      <c r="D2380" s="94">
        <v>1286.0</v>
      </c>
    </row>
    <row r="2381">
      <c r="A2381" s="40">
        <f t="array" ref="A2381">IFNA(index(PlayerValues!A:A,match(IFNA(vlookup(B2381,'Special Names'!A:B,2,FALSE),B2381),PlayerValues!E:E,0)),"N/A")</f>
        <v>14592</v>
      </c>
      <c r="B2381" s="4" t="s">
        <v>705</v>
      </c>
      <c r="C2381" s="4" t="s">
        <v>287</v>
      </c>
      <c r="D2381" s="94">
        <v>1278.0</v>
      </c>
    </row>
    <row r="2382">
      <c r="A2382" s="40">
        <f t="array" ref="A2382">IFNA(index(PlayerValues!A:A,match(IFNA(vlookup(B2382,'Special Names'!A:B,2,FALSE),B2382),PlayerValues!E:E,0)),"N/A")</f>
        <v>17521</v>
      </c>
      <c r="B2382" s="4" t="s">
        <v>573</v>
      </c>
      <c r="C2382" s="4" t="s">
        <v>287</v>
      </c>
      <c r="D2382" s="94">
        <v>1278.0</v>
      </c>
    </row>
    <row r="2383">
      <c r="A2383" s="40">
        <f t="array" ref="A2383">IFNA(index(PlayerValues!A:A,match(IFNA(vlookup(B2383,'Special Names'!A:B,2,FALSE),B2383),PlayerValues!E:E,0)),"N/A")</f>
        <v>17097</v>
      </c>
      <c r="B2383" s="4" t="s">
        <v>659</v>
      </c>
      <c r="C2383" s="4" t="s">
        <v>287</v>
      </c>
      <c r="D2383" s="94">
        <v>1267.0</v>
      </c>
    </row>
    <row r="2384">
      <c r="A2384" s="40">
        <f t="array" ref="A2384">IFNA(index(PlayerValues!A:A,match(IFNA(vlookup(B2384,'Special Names'!A:B,2,FALSE),B2384),PlayerValues!E:E,0)),"N/A")</f>
        <v>14080</v>
      </c>
      <c r="B2384" s="4" t="s">
        <v>716</v>
      </c>
      <c r="C2384" s="4" t="s">
        <v>278</v>
      </c>
      <c r="D2384" s="94">
        <v>1259.0</v>
      </c>
    </row>
    <row r="2385">
      <c r="A2385" s="40">
        <f t="array" ref="A2385">IFNA(index(PlayerValues!A:A,match(IFNA(vlookup(B2385,'Special Names'!A:B,2,FALSE),B2385),PlayerValues!E:E,0)),"N/A")</f>
        <v>17269</v>
      </c>
      <c r="B2385" s="4" t="s">
        <v>718</v>
      </c>
      <c r="C2385" s="4" t="s">
        <v>287</v>
      </c>
      <c r="D2385" s="94">
        <v>1254.0</v>
      </c>
    </row>
    <row r="2386">
      <c r="A2386" s="40">
        <f t="array" ref="A2386">IFNA(index(PlayerValues!A:A,match(IFNA(vlookup(B2386,'Special Names'!A:B,2,FALSE),B2386),PlayerValues!E:E,0)),"N/A")</f>
        <v>15702</v>
      </c>
      <c r="B2386" s="4" t="s">
        <v>723</v>
      </c>
      <c r="C2386" s="4" t="s">
        <v>283</v>
      </c>
      <c r="D2386" s="94">
        <v>1253.0</v>
      </c>
    </row>
    <row r="2387">
      <c r="A2387" s="40">
        <f t="array" ref="A2387">IFNA(index(PlayerValues!A:A,match(IFNA(vlookup(B2387,'Special Names'!A:B,2,FALSE),B2387),PlayerValues!E:E,0)),"N/A")</f>
        <v>16183</v>
      </c>
      <c r="B2387" s="4" t="s">
        <v>678</v>
      </c>
      <c r="C2387" s="4" t="s">
        <v>287</v>
      </c>
      <c r="D2387" s="94">
        <v>1235.0</v>
      </c>
    </row>
    <row r="2388">
      <c r="A2388" s="40">
        <f t="array" ref="A2388">IFNA(index(PlayerValues!A:A,match(IFNA(vlookup(B2388,'Special Names'!A:B,2,FALSE),B2388),PlayerValues!E:E,0)),"N/A")</f>
        <v>16333</v>
      </c>
      <c r="B2388" s="4" t="s">
        <v>711</v>
      </c>
      <c r="C2388" s="4" t="s">
        <v>298</v>
      </c>
      <c r="D2388" s="94">
        <v>1595.0</v>
      </c>
    </row>
    <row r="2389">
      <c r="A2389" s="40">
        <f t="array" ref="A2389">IFNA(index(PlayerValues!A:A,match(IFNA(vlookup(B2389,'Special Names'!A:B,2,FALSE),B2389),PlayerValues!E:E,0)),"N/A")</f>
        <v>16636</v>
      </c>
      <c r="B2389" s="4" t="s">
        <v>699</v>
      </c>
      <c r="C2389" s="4" t="s">
        <v>287</v>
      </c>
      <c r="D2389" s="94">
        <v>1225.0</v>
      </c>
    </row>
    <row r="2390">
      <c r="A2390" s="40">
        <f t="array" ref="A2390">IFNA(index(PlayerValues!A:A,match(IFNA(vlookup(B2390,'Special Names'!A:B,2,FALSE),B2390),PlayerValues!E:E,0)),"N/A")</f>
        <v>17607</v>
      </c>
      <c r="B2390" s="4" t="s">
        <v>526</v>
      </c>
      <c r="C2390" s="4" t="s">
        <v>298</v>
      </c>
      <c r="D2390" s="94">
        <v>1592.0</v>
      </c>
    </row>
    <row r="2391">
      <c r="A2391" s="40">
        <f t="array" ref="A2391">IFNA(index(PlayerValues!A:A,match(IFNA(vlookup(B2391,'Special Names'!A:B,2,FALSE),B2391),PlayerValues!E:E,0)),"N/A")</f>
        <v>16645</v>
      </c>
      <c r="B2391" s="4" t="s">
        <v>651</v>
      </c>
      <c r="C2391" s="4" t="s">
        <v>298</v>
      </c>
      <c r="D2391" s="94">
        <v>1590.0</v>
      </c>
    </row>
    <row r="2392">
      <c r="A2392" s="40">
        <f t="array" ref="A2392">IFNA(index(PlayerValues!A:A,match(IFNA(vlookup(B2392,'Special Names'!A:B,2,FALSE),B2392),PlayerValues!E:E,0)),"N/A")</f>
        <v>16387</v>
      </c>
      <c r="B2392" s="4" t="s">
        <v>646</v>
      </c>
      <c r="C2392" s="4" t="s">
        <v>278</v>
      </c>
      <c r="D2392" s="94">
        <v>1217.0</v>
      </c>
    </row>
    <row r="2393">
      <c r="A2393" s="40">
        <f t="array" ref="A2393">IFNA(index(PlayerValues!A:A,match(IFNA(vlookup(B2393,'Special Names'!A:B,2,FALSE),B2393),PlayerValues!E:E,0)),"N/A")</f>
        <v>16746</v>
      </c>
      <c r="B2393" s="4" t="s">
        <v>709</v>
      </c>
      <c r="C2393" s="4" t="s">
        <v>278</v>
      </c>
      <c r="D2393" s="94">
        <v>1212.0</v>
      </c>
    </row>
    <row r="2394">
      <c r="A2394" s="40">
        <f t="array" ref="A2394">IFNA(index(PlayerValues!A:A,match(IFNA(vlookup(B2394,'Special Names'!A:B,2,FALSE),B2394),PlayerValues!E:E,0)),"N/A")</f>
        <v>17519</v>
      </c>
      <c r="B2394" s="4" t="s">
        <v>593</v>
      </c>
      <c r="C2394" s="4" t="s">
        <v>287</v>
      </c>
      <c r="D2394" s="94">
        <v>1206.0</v>
      </c>
    </row>
    <row r="2395">
      <c r="A2395" s="40">
        <f t="array" ref="A2395">IFNA(index(PlayerValues!A:A,match(IFNA(vlookup(B2395,'Special Names'!A:B,2,FALSE),B2395),PlayerValues!E:E,0)),"N/A")</f>
        <v>15288</v>
      </c>
      <c r="B2395" s="4" t="s">
        <v>700</v>
      </c>
      <c r="C2395" s="4" t="s">
        <v>287</v>
      </c>
      <c r="D2395" s="94">
        <v>1203.0</v>
      </c>
    </row>
    <row r="2396">
      <c r="A2396" s="40">
        <f t="array" ref="A2396">IFNA(index(PlayerValues!A:A,match(IFNA(vlookup(B2396,'Special Names'!A:B,2,FALSE),B2396),PlayerValues!E:E,0)),"N/A")</f>
        <v>16883</v>
      </c>
      <c r="B2396" s="4" t="s">
        <v>683</v>
      </c>
      <c r="C2396" s="4" t="s">
        <v>287</v>
      </c>
      <c r="D2396" s="94">
        <v>1199.0</v>
      </c>
    </row>
    <row r="2397">
      <c r="A2397" s="40">
        <f t="array" ref="A2397">IFNA(index(PlayerValues!A:A,match(IFNA(vlookup(B2397,'Special Names'!A:B,2,FALSE),B2397),PlayerValues!E:E,0)),"N/A")</f>
        <v>17063</v>
      </c>
      <c r="B2397" s="4" t="s">
        <v>686</v>
      </c>
      <c r="C2397" s="4" t="s">
        <v>278</v>
      </c>
      <c r="D2397" s="94">
        <v>1197.0</v>
      </c>
    </row>
    <row r="2398">
      <c r="A2398" s="40">
        <f t="array" ref="A2398">IFNA(index(PlayerValues!A:A,match(IFNA(vlookup(B2398,'Special Names'!A:B,2,FALSE),B2398),PlayerValues!E:E,0)),"N/A")</f>
        <v>16199</v>
      </c>
      <c r="B2398" s="4" t="s">
        <v>687</v>
      </c>
      <c r="C2398" s="4" t="s">
        <v>287</v>
      </c>
      <c r="D2398" s="94">
        <v>1195.0</v>
      </c>
    </row>
    <row r="2399">
      <c r="A2399" s="40">
        <f t="array" ref="A2399">IFNA(index(PlayerValues!A:A,match(IFNA(vlookup(B2399,'Special Names'!A:B,2,FALSE),B2399),PlayerValues!E:E,0)),"N/A")</f>
        <v>16221</v>
      </c>
      <c r="B2399" s="4" t="s">
        <v>725</v>
      </c>
      <c r="C2399" s="4" t="s">
        <v>298</v>
      </c>
      <c r="D2399" s="94">
        <v>1556.0</v>
      </c>
    </row>
    <row r="2400">
      <c r="A2400" s="40">
        <f t="array" ref="A2400">IFNA(index(PlayerValues!A:A,match(IFNA(vlookup(B2400,'Special Names'!A:B,2,FALSE),B2400),PlayerValues!E:E,0)),"N/A")</f>
        <v>17057</v>
      </c>
      <c r="B2400" s="4" t="s">
        <v>708</v>
      </c>
      <c r="C2400" s="4" t="s">
        <v>278</v>
      </c>
      <c r="D2400" s="94">
        <v>1175.0</v>
      </c>
    </row>
    <row r="2401">
      <c r="A2401" s="40">
        <f t="array" ref="A2401">IFNA(index(PlayerValues!A:A,match(IFNA(vlookup(B2401,'Special Names'!A:B,2,FALSE),B2401),PlayerValues!E:E,0)),"N/A")</f>
        <v>17109</v>
      </c>
      <c r="B2401" s="4" t="s">
        <v>707</v>
      </c>
      <c r="C2401" s="4" t="s">
        <v>298</v>
      </c>
      <c r="D2401" s="94">
        <v>1542.0</v>
      </c>
    </row>
    <row r="2402">
      <c r="A2402" s="40">
        <f t="array" ref="A2402">IFNA(index(PlayerValues!A:A,match(IFNA(vlookup(B2402,'Special Names'!A:B,2,FALSE),B2402),PlayerValues!E:E,0)),"N/A")</f>
        <v>15981</v>
      </c>
      <c r="B2402" s="4" t="s">
        <v>729</v>
      </c>
      <c r="C2402" s="4" t="s">
        <v>287</v>
      </c>
      <c r="D2402" s="94">
        <v>1173.0</v>
      </c>
    </row>
    <row r="2403">
      <c r="A2403" s="40">
        <f t="array" ref="A2403">IFNA(index(PlayerValues!A:A,match(IFNA(vlookup(B2403,'Special Names'!A:B,2,FALSE),B2403),PlayerValues!E:E,0)),"N/A")</f>
        <v>14789</v>
      </c>
      <c r="B2403" s="4" t="s">
        <v>721</v>
      </c>
      <c r="C2403" s="4" t="s">
        <v>283</v>
      </c>
      <c r="D2403" s="94">
        <v>1158.0</v>
      </c>
    </row>
    <row r="2404">
      <c r="A2404" s="40">
        <f t="array" ref="A2404">IFNA(index(PlayerValues!A:A,match(IFNA(vlookup(B2404,'Special Names'!A:B,2,FALSE),B2404),PlayerValues!E:E,0)),"N/A")</f>
        <v>14108</v>
      </c>
      <c r="B2404" s="4" t="s">
        <v>673</v>
      </c>
      <c r="C2404" s="4" t="s">
        <v>287</v>
      </c>
      <c r="D2404" s="94">
        <v>1155.0</v>
      </c>
    </row>
    <row r="2405">
      <c r="A2405" s="40">
        <f t="array" ref="A2405">IFNA(index(PlayerValues!A:A,match(IFNA(vlookup(B2405,'Special Names'!A:B,2,FALSE),B2405),PlayerValues!E:E,0)),"N/A")</f>
        <v>14845</v>
      </c>
      <c r="B2405" s="4" t="s">
        <v>717</v>
      </c>
      <c r="C2405" s="4" t="s">
        <v>287</v>
      </c>
      <c r="D2405" s="94">
        <v>1147.0</v>
      </c>
    </row>
    <row r="2406">
      <c r="A2406" s="40">
        <f t="array" ref="A2406">IFNA(index(PlayerValues!A:A,match(IFNA(vlookup(B2406,'Special Names'!A:B,2,FALSE),B2406),PlayerValues!E:E,0)),"N/A")</f>
        <v>16385</v>
      </c>
      <c r="B2406" s="4" t="s">
        <v>690</v>
      </c>
      <c r="C2406" s="4" t="s">
        <v>278</v>
      </c>
      <c r="D2406" s="94">
        <v>1146.0</v>
      </c>
    </row>
    <row r="2407">
      <c r="A2407" s="40">
        <f t="array" ref="A2407">IFNA(index(PlayerValues!A:A,match(IFNA(vlookup(B2407,'Special Names'!A:B,2,FALSE),B2407),PlayerValues!E:E,0)),"N/A")</f>
        <v>17546</v>
      </c>
      <c r="B2407" s="4" t="s">
        <v>671</v>
      </c>
      <c r="C2407" s="4" t="s">
        <v>298</v>
      </c>
      <c r="D2407" s="94">
        <v>1512.0</v>
      </c>
    </row>
    <row r="2408">
      <c r="A2408" s="40">
        <f t="array" ref="A2408">IFNA(index(PlayerValues!A:A,match(IFNA(vlookup(B2408,'Special Names'!A:B,2,FALSE),B2408),PlayerValues!E:E,0)),"N/A")</f>
        <v>15240</v>
      </c>
      <c r="B2408" s="4" t="s">
        <v>751</v>
      </c>
      <c r="C2408" s="4" t="s">
        <v>283</v>
      </c>
      <c r="D2408" s="94">
        <v>1137.0</v>
      </c>
    </row>
    <row r="2409">
      <c r="A2409" s="40">
        <f t="array" ref="A2409">IFNA(index(PlayerValues!A:A,match(IFNA(vlookup(B2409,'Special Names'!A:B,2,FALSE),B2409),PlayerValues!E:E,0)),"N/A")</f>
        <v>14067</v>
      </c>
      <c r="B2409" s="4" t="s">
        <v>735</v>
      </c>
      <c r="C2409" s="4" t="s">
        <v>283</v>
      </c>
      <c r="D2409" s="94">
        <v>1136.0</v>
      </c>
    </row>
    <row r="2410">
      <c r="A2410" s="40">
        <f t="array" ref="A2410">IFNA(index(PlayerValues!A:A,match(IFNA(vlookup(B2410,'Special Names'!A:B,2,FALSE),B2410),PlayerValues!E:E,0)),"N/A")</f>
        <v>15730</v>
      </c>
      <c r="B2410" s="4" t="s">
        <v>734</v>
      </c>
      <c r="C2410" s="4" t="s">
        <v>278</v>
      </c>
      <c r="D2410" s="94">
        <v>1122.0</v>
      </c>
    </row>
    <row r="2411">
      <c r="A2411" s="40">
        <f t="array" ref="A2411">IFNA(index(PlayerValues!A:A,match(IFNA(vlookup(B2411,'Special Names'!A:B,2,FALSE),B2411),PlayerValues!E:E,0)),"N/A")</f>
        <v>13289</v>
      </c>
      <c r="B2411" s="4" t="s">
        <v>746</v>
      </c>
      <c r="C2411" s="4" t="s">
        <v>287</v>
      </c>
      <c r="D2411" s="94">
        <v>1121.0</v>
      </c>
    </row>
    <row r="2412">
      <c r="A2412" s="40">
        <f t="array" ref="A2412">IFNA(index(PlayerValues!A:A,match(IFNA(vlookup(B2412,'Special Names'!A:B,2,FALSE),B2412),PlayerValues!E:E,0)),"N/A")</f>
        <v>17192</v>
      </c>
      <c r="B2412" s="4" t="s">
        <v>677</v>
      </c>
      <c r="C2412" s="4" t="s">
        <v>287</v>
      </c>
      <c r="D2412" s="94">
        <v>1114.0</v>
      </c>
    </row>
    <row r="2413">
      <c r="A2413" s="40">
        <f t="array" ref="A2413">IFNA(index(PlayerValues!A:A,match(IFNA(vlookup(B2413,'Special Names'!A:B,2,FALSE),B2413),PlayerValues!E:E,0)),"N/A")</f>
        <v>17510</v>
      </c>
      <c r="B2413" s="4" t="s">
        <v>661</v>
      </c>
      <c r="C2413" s="4" t="s">
        <v>287</v>
      </c>
      <c r="D2413" s="94">
        <v>1112.0</v>
      </c>
    </row>
    <row r="2414">
      <c r="A2414" s="40">
        <f t="array" ref="A2414">IFNA(index(PlayerValues!A:A,match(IFNA(vlookup(B2414,'Special Names'!A:B,2,FALSE),B2414),PlayerValues!E:E,0)),"N/A")</f>
        <v>13131</v>
      </c>
      <c r="B2414" s="4" t="s">
        <v>815</v>
      </c>
      <c r="C2414" s="4" t="s">
        <v>278</v>
      </c>
      <c r="D2414" s="94">
        <v>1106.0</v>
      </c>
    </row>
    <row r="2415">
      <c r="A2415" s="40">
        <f t="array" ref="A2415">IFNA(index(PlayerValues!A:A,match(IFNA(vlookup(B2415,'Special Names'!A:B,2,FALSE),B2415),PlayerValues!E:E,0)),"N/A")</f>
        <v>16393</v>
      </c>
      <c r="B2415" s="4" t="s">
        <v>768</v>
      </c>
      <c r="C2415" s="4" t="s">
        <v>287</v>
      </c>
      <c r="D2415" s="94">
        <v>1104.0</v>
      </c>
    </row>
    <row r="2416">
      <c r="A2416" s="40">
        <f t="array" ref="A2416">IFNA(index(PlayerValues!A:A,match(IFNA(vlookup(B2416,'Special Names'!A:B,2,FALSE),B2416),PlayerValues!E:E,0)),"N/A")</f>
        <v>17685</v>
      </c>
      <c r="B2416" s="4" t="s">
        <v>630</v>
      </c>
      <c r="C2416" s="4" t="s">
        <v>278</v>
      </c>
      <c r="D2416" s="94">
        <v>1101.0</v>
      </c>
    </row>
    <row r="2417">
      <c r="A2417" s="40">
        <f t="array" ref="A2417">IFNA(index(PlayerValues!A:A,match(IFNA(vlookup(B2417,'Special Names'!A:B,2,FALSE),B2417),PlayerValues!E:E,0)),"N/A")</f>
        <v>15727</v>
      </c>
      <c r="B2417" s="4" t="s">
        <v>730</v>
      </c>
      <c r="C2417" s="4" t="s">
        <v>278</v>
      </c>
      <c r="D2417" s="94">
        <v>1092.0</v>
      </c>
    </row>
    <row r="2418">
      <c r="A2418" s="40">
        <f t="array" ref="A2418">IFNA(index(PlayerValues!A:A,match(IFNA(vlookup(B2418,'Special Names'!A:B,2,FALSE),B2418),PlayerValues!E:E,0)),"N/A")</f>
        <v>9064</v>
      </c>
      <c r="B2418" s="4" t="s">
        <v>761</v>
      </c>
      <c r="C2418" s="4" t="s">
        <v>283</v>
      </c>
      <c r="D2418" s="94">
        <v>1089.0</v>
      </c>
    </row>
    <row r="2419">
      <c r="A2419" s="40">
        <f t="array" ref="A2419">IFNA(index(PlayerValues!A:A,match(IFNA(vlookup(B2419,'Special Names'!A:B,2,FALSE),B2419),PlayerValues!E:E,0)),"N/A")</f>
        <v>16197</v>
      </c>
      <c r="B2419" s="4" t="s">
        <v>726</v>
      </c>
      <c r="C2419" s="4" t="s">
        <v>287</v>
      </c>
      <c r="D2419" s="94">
        <v>1087.0</v>
      </c>
    </row>
    <row r="2420">
      <c r="A2420" s="40">
        <f t="array" ref="A2420">IFNA(index(PlayerValues!A:A,match(IFNA(vlookup(B2420,'Special Names'!A:B,2,FALSE),B2420),PlayerValues!E:E,0)),"N/A")</f>
        <v>15692</v>
      </c>
      <c r="B2420" s="4" t="s">
        <v>750</v>
      </c>
      <c r="C2420" s="4" t="s">
        <v>283</v>
      </c>
      <c r="D2420" s="94">
        <v>1086.0</v>
      </c>
    </row>
    <row r="2421">
      <c r="A2421" s="40">
        <f t="array" ref="A2421">IFNA(index(PlayerValues!A:A,match(IFNA(vlookup(B2421,'Special Names'!A:B,2,FALSE),B2421),PlayerValues!E:E,0)),"N/A")</f>
        <v>16637</v>
      </c>
      <c r="B2421" s="4" t="s">
        <v>736</v>
      </c>
      <c r="C2421" s="4" t="s">
        <v>287</v>
      </c>
      <c r="D2421" s="94">
        <v>1072.0</v>
      </c>
    </row>
    <row r="2422">
      <c r="A2422" s="40">
        <f t="array" ref="A2422">IFNA(index(PlayerValues!A:A,match(IFNA(vlookup(B2422,'Special Names'!A:B,2,FALSE),B2422),PlayerValues!E:E,0)),"N/A")</f>
        <v>17050</v>
      </c>
      <c r="B2422" s="4" t="s">
        <v>713</v>
      </c>
      <c r="C2422" s="4" t="s">
        <v>278</v>
      </c>
      <c r="D2422" s="94">
        <v>1065.0</v>
      </c>
    </row>
    <row r="2423">
      <c r="A2423" s="40">
        <f t="array" ref="A2423">IFNA(index(PlayerValues!A:A,match(IFNA(vlookup(B2423,'Special Names'!A:B,2,FALSE),B2423),PlayerValues!E:E,0)),"N/A")</f>
        <v>17599</v>
      </c>
      <c r="B2423" s="4" t="s">
        <v>496</v>
      </c>
      <c r="C2423" s="4" t="s">
        <v>287</v>
      </c>
      <c r="D2423" s="94">
        <v>1064.0</v>
      </c>
    </row>
    <row r="2424">
      <c r="A2424" s="40">
        <f t="array" ref="A2424">IFNA(index(PlayerValues!A:A,match(IFNA(vlookup(B2424,'Special Names'!A:B,2,FALSE),B2424),PlayerValues!E:E,0)),"N/A")</f>
        <v>16640</v>
      </c>
      <c r="B2424" s="4" t="s">
        <v>712</v>
      </c>
      <c r="C2424" s="4" t="s">
        <v>287</v>
      </c>
      <c r="D2424" s="94">
        <v>1060.0</v>
      </c>
    </row>
    <row r="2425">
      <c r="A2425" s="40">
        <f t="array" ref="A2425">IFNA(index(PlayerValues!A:A,match(IFNA(vlookup(B2425,'Special Names'!A:B,2,FALSE),B2425),PlayerValues!E:E,0)),"N/A")</f>
        <v>15693</v>
      </c>
      <c r="B2425" s="4" t="s">
        <v>755</v>
      </c>
      <c r="C2425" s="4" t="s">
        <v>283</v>
      </c>
      <c r="D2425" s="94">
        <v>1036.0</v>
      </c>
    </row>
    <row r="2426">
      <c r="A2426" s="40">
        <f t="array" ref="A2426">IFNA(index(PlayerValues!A:A,match(IFNA(vlookup(B2426,'Special Names'!A:B,2,FALSE),B2426),PlayerValues!E:E,0)),"N/A")</f>
        <v>13193</v>
      </c>
      <c r="B2426" s="4" t="s">
        <v>773</v>
      </c>
      <c r="C2426" s="4" t="s">
        <v>298</v>
      </c>
      <c r="D2426" s="94">
        <v>1402.0</v>
      </c>
    </row>
    <row r="2427">
      <c r="A2427" s="40">
        <f t="array" ref="A2427">IFNA(index(PlayerValues!A:A,match(IFNA(vlookup(B2427,'Special Names'!A:B,2,FALSE),B2427),PlayerValues!E:E,0)),"N/A")</f>
        <v>11247</v>
      </c>
      <c r="B2427" s="4" t="s">
        <v>816</v>
      </c>
      <c r="C2427" s="4" t="s">
        <v>298</v>
      </c>
      <c r="D2427" s="94">
        <v>1394.0</v>
      </c>
    </row>
    <row r="2428">
      <c r="A2428" s="40">
        <f t="array" ref="A2428">IFNA(index(PlayerValues!A:A,match(IFNA(vlookup(B2428,'Special Names'!A:B,2,FALSE),B2428),PlayerValues!E:E,0)),"N/A")</f>
        <v>16451</v>
      </c>
      <c r="B2428" s="4" t="s">
        <v>769</v>
      </c>
      <c r="C2428" s="4" t="s">
        <v>287</v>
      </c>
      <c r="D2428" s="94">
        <v>1025.0</v>
      </c>
    </row>
    <row r="2429">
      <c r="A2429" s="40">
        <f t="array" ref="A2429">IFNA(index(PlayerValues!A:A,match(IFNA(vlookup(B2429,'Special Names'!A:B,2,FALSE),B2429),PlayerValues!E:E,0)),"N/A")</f>
        <v>15239</v>
      </c>
      <c r="B2429" s="4" t="s">
        <v>802</v>
      </c>
      <c r="C2429" s="4" t="s">
        <v>283</v>
      </c>
      <c r="D2429" s="94">
        <v>1013.0</v>
      </c>
    </row>
    <row r="2430">
      <c r="A2430" s="40">
        <f t="array" ref="A2430">IFNA(index(PlayerValues!A:A,match(IFNA(vlookup(B2430,'Special Names'!A:B,2,FALSE),B2430),PlayerValues!E:E,0)),"N/A")</f>
        <v>16168</v>
      </c>
      <c r="B2430" s="4" t="s">
        <v>738</v>
      </c>
      <c r="C2430" s="4" t="s">
        <v>278</v>
      </c>
      <c r="D2430" s="94">
        <v>1011.0</v>
      </c>
    </row>
    <row r="2431">
      <c r="A2431" s="40">
        <f t="array" ref="A2431">IFNA(index(PlayerValues!A:A,match(IFNA(vlookup(B2431,'Special Names'!A:B,2,FALSE),B2431),PlayerValues!E:E,0)),"N/A")</f>
        <v>15258</v>
      </c>
      <c r="B2431" s="4" t="s">
        <v>757</v>
      </c>
      <c r="C2431" s="4" t="s">
        <v>278</v>
      </c>
      <c r="D2431" s="94">
        <v>999.0</v>
      </c>
    </row>
    <row r="2432">
      <c r="A2432" s="40">
        <f t="array" ref="A2432">IFNA(index(PlayerValues!A:A,match(IFNA(vlookup(B2432,'Special Names'!A:B,2,FALSE),B2432),PlayerValues!E:E,0)),"N/A")</f>
        <v>15330</v>
      </c>
      <c r="B2432" s="4" t="s">
        <v>749</v>
      </c>
      <c r="C2432" s="4" t="s">
        <v>298</v>
      </c>
      <c r="D2432" s="94">
        <v>1364.0</v>
      </c>
    </row>
    <row r="2433">
      <c r="A2433" s="40">
        <f t="array" ref="A2433">IFNA(index(PlayerValues!A:A,match(IFNA(vlookup(B2433,'Special Names'!A:B,2,FALSE),B2433),PlayerValues!E:E,0)),"N/A")</f>
        <v>16170</v>
      </c>
      <c r="B2433" s="4" t="s">
        <v>801</v>
      </c>
      <c r="C2433" s="4" t="s">
        <v>278</v>
      </c>
      <c r="D2433" s="94">
        <v>997.0</v>
      </c>
    </row>
    <row r="2434">
      <c r="A2434" s="40">
        <f t="array" ref="A2434">IFNA(index(PlayerValues!A:A,match(IFNA(vlookup(B2434,'Special Names'!A:B,2,FALSE),B2434),PlayerValues!E:E,0)),"N/A")</f>
        <v>17652</v>
      </c>
      <c r="B2434" s="4" t="s">
        <v>576</v>
      </c>
      <c r="C2434" s="4" t="s">
        <v>278</v>
      </c>
      <c r="D2434" s="94">
        <v>995.0</v>
      </c>
    </row>
    <row r="2435">
      <c r="A2435" s="40">
        <f t="array" ref="A2435">IFNA(index(PlayerValues!A:A,match(IFNA(vlookup(B2435,'Special Names'!A:B,2,FALSE),B2435),PlayerValues!E:E,0)),"N/A")</f>
        <v>15795</v>
      </c>
      <c r="B2435" s="4" t="s">
        <v>669</v>
      </c>
      <c r="C2435" s="4" t="s">
        <v>298</v>
      </c>
      <c r="D2435" s="94">
        <v>1359.0</v>
      </c>
    </row>
    <row r="2436">
      <c r="A2436" s="40">
        <f t="array" ref="A2436">IFNA(index(PlayerValues!A:A,match(IFNA(vlookup(B2436,'Special Names'!A:B,2,FALSE),B2436),PlayerValues!E:E,0)),"N/A")</f>
        <v>15717</v>
      </c>
      <c r="B2436" s="4" t="s">
        <v>745</v>
      </c>
      <c r="C2436" s="4" t="s">
        <v>278</v>
      </c>
      <c r="D2436" s="94">
        <v>991.0</v>
      </c>
    </row>
    <row r="2437">
      <c r="A2437" s="40">
        <f t="array" ref="A2437">IFNA(index(PlayerValues!A:A,match(IFNA(vlookup(B2437,'Special Names'!A:B,2,FALSE),B2437),PlayerValues!E:E,0)),"N/A")</f>
        <v>15785</v>
      </c>
      <c r="B2437" s="4" t="s">
        <v>763</v>
      </c>
      <c r="C2437" s="4" t="s">
        <v>287</v>
      </c>
      <c r="D2437" s="94">
        <v>986.0</v>
      </c>
    </row>
    <row r="2438">
      <c r="A2438" s="40">
        <f t="array" ref="A2438">IFNA(index(PlayerValues!A:A,match(IFNA(vlookup(B2438,'Special Names'!A:B,2,FALSE),B2438),PlayerValues!E:E,0)),"N/A")</f>
        <v>16648</v>
      </c>
      <c r="B2438" s="4" t="s">
        <v>748</v>
      </c>
      <c r="C2438" s="4" t="s">
        <v>298</v>
      </c>
      <c r="D2438" s="94">
        <v>1352.0</v>
      </c>
    </row>
    <row r="2439">
      <c r="A2439" s="40">
        <f t="array" ref="A2439">IFNA(index(PlayerValues!A:A,match(IFNA(vlookup(B2439,'Special Names'!A:B,2,FALSE),B2439),PlayerValues!E:E,0)),"N/A")</f>
        <v>14849</v>
      </c>
      <c r="B2439" s="4" t="s">
        <v>733</v>
      </c>
      <c r="C2439" s="4" t="s">
        <v>287</v>
      </c>
      <c r="D2439" s="94">
        <v>981.0</v>
      </c>
    </row>
    <row r="2440">
      <c r="A2440" s="40">
        <f t="array" ref="A2440">IFNA(index(PlayerValues!A:A,match(IFNA(vlookup(B2440,'Special Names'!A:B,2,FALSE),B2440),PlayerValues!E:E,0)),"N/A")</f>
        <v>15766</v>
      </c>
      <c r="B2440" s="4" t="s">
        <v>759</v>
      </c>
      <c r="C2440" s="4" t="s">
        <v>287</v>
      </c>
      <c r="D2440" s="94">
        <v>977.0</v>
      </c>
    </row>
    <row r="2441">
      <c r="A2441" s="40">
        <f t="array" ref="A2441">IFNA(index(PlayerValues!A:A,match(IFNA(vlookup(B2441,'Special Names'!A:B,2,FALSE),B2441),PlayerValues!E:E,0)),"N/A")</f>
        <v>16678</v>
      </c>
      <c r="B2441" s="4" t="s">
        <v>758</v>
      </c>
      <c r="C2441" s="4" t="s">
        <v>278</v>
      </c>
      <c r="D2441" s="94">
        <v>975.0</v>
      </c>
    </row>
    <row r="2442">
      <c r="A2442" s="40">
        <f t="array" ref="A2442">IFNA(index(PlayerValues!A:A,match(IFNA(vlookup(B2442,'Special Names'!A:B,2,FALSE),B2442),PlayerValues!E:E,0)),"N/A")</f>
        <v>14118</v>
      </c>
      <c r="B2442" s="4" t="s">
        <v>771</v>
      </c>
      <c r="C2442" s="4" t="s">
        <v>287</v>
      </c>
      <c r="D2442" s="94">
        <v>974.0</v>
      </c>
    </row>
    <row r="2443">
      <c r="A2443" s="40">
        <f t="array" ref="A2443">IFNA(index(PlayerValues!A:A,match(IFNA(vlookup(B2443,'Special Names'!A:B,2,FALSE),B2443),PlayerValues!E:E,0)),"N/A")</f>
        <v>17175</v>
      </c>
      <c r="B2443" s="4" t="s">
        <v>747</v>
      </c>
      <c r="C2443" s="4" t="s">
        <v>287</v>
      </c>
      <c r="D2443" s="94">
        <v>974.0</v>
      </c>
    </row>
    <row r="2444">
      <c r="A2444" s="40">
        <f t="array" ref="A2444">IFNA(index(PlayerValues!A:A,match(IFNA(vlookup(B2444,'Special Names'!A:B,2,FALSE),B2444),PlayerValues!E:E,0)),"N/A")</f>
        <v>14057</v>
      </c>
      <c r="B2444" s="4" t="s">
        <v>765</v>
      </c>
      <c r="C2444" s="4" t="s">
        <v>283</v>
      </c>
      <c r="D2444" s="94">
        <v>973.0</v>
      </c>
    </row>
    <row r="2445">
      <c r="A2445" s="40">
        <f t="array" ref="A2445">IFNA(index(PlayerValues!A:A,match(IFNA(vlookup(B2445,'Special Names'!A:B,2,FALSE),B2445),PlayerValues!E:E,0)),"N/A")</f>
        <v>15758</v>
      </c>
      <c r="B2445" s="4" t="s">
        <v>724</v>
      </c>
      <c r="C2445" s="4" t="s">
        <v>287</v>
      </c>
      <c r="D2445" s="94">
        <v>972.0</v>
      </c>
    </row>
    <row r="2446">
      <c r="A2446" s="40">
        <f t="array" ref="A2446">IFNA(index(PlayerValues!A:A,match(IFNA(vlookup(B2446,'Special Names'!A:B,2,FALSE),B2446),PlayerValues!E:E,0)),"N/A")</f>
        <v>16205</v>
      </c>
      <c r="B2446" s="4" t="s">
        <v>742</v>
      </c>
      <c r="C2446" s="4" t="s">
        <v>287</v>
      </c>
      <c r="D2446" s="94">
        <v>971.0</v>
      </c>
    </row>
    <row r="2447">
      <c r="A2447" s="40">
        <f t="array" ref="A2447">IFNA(index(PlayerValues!A:A,match(IFNA(vlookup(B2447,'Special Names'!A:B,2,FALSE),B2447),PlayerValues!E:E,0)),"N/A")</f>
        <v>15718</v>
      </c>
      <c r="B2447" s="4" t="s">
        <v>753</v>
      </c>
      <c r="C2447" s="4" t="s">
        <v>278</v>
      </c>
      <c r="D2447" s="94">
        <v>966.0</v>
      </c>
    </row>
    <row r="2448">
      <c r="A2448" s="40">
        <f t="array" ref="A2448">IFNA(index(PlayerValues!A:A,match(IFNA(vlookup(B2448,'Special Names'!A:B,2,FALSE),B2448),PlayerValues!E:E,0)),"N/A")</f>
        <v>17479</v>
      </c>
      <c r="B2448" s="4" t="s">
        <v>756</v>
      </c>
      <c r="C2448" s="4" t="s">
        <v>278</v>
      </c>
      <c r="D2448" s="94">
        <v>964.0</v>
      </c>
    </row>
    <row r="2449">
      <c r="A2449" s="40">
        <f t="array" ref="A2449">IFNA(index(PlayerValues!A:A,match(IFNA(vlookup(B2449,'Special Names'!A:B,2,FALSE),B2449),PlayerValues!E:E,0)),"N/A")</f>
        <v>15626</v>
      </c>
      <c r="B2449" s="4" t="s">
        <v>766</v>
      </c>
      <c r="C2449" s="4" t="s">
        <v>298</v>
      </c>
      <c r="D2449" s="94">
        <v>1329.0</v>
      </c>
    </row>
    <row r="2450">
      <c r="A2450" s="40">
        <f t="array" ref="A2450">IFNA(index(PlayerValues!A:A,match(IFNA(vlookup(B2450,'Special Names'!A:B,2,FALSE),B2450),PlayerValues!E:E,0)),"N/A")</f>
        <v>16858</v>
      </c>
      <c r="B2450" s="4" t="s">
        <v>754</v>
      </c>
      <c r="C2450" s="4" t="s">
        <v>287</v>
      </c>
      <c r="D2450" s="94">
        <v>958.0</v>
      </c>
    </row>
    <row r="2451">
      <c r="A2451" s="40">
        <f t="array" ref="A2451">IFNA(index(PlayerValues!A:A,match(IFNA(vlookup(B2451,'Special Names'!A:B,2,FALSE),B2451),PlayerValues!E:E,0)),"N/A")</f>
        <v>15109</v>
      </c>
      <c r="B2451" s="4" t="s">
        <v>728</v>
      </c>
      <c r="C2451" s="4" t="s">
        <v>287</v>
      </c>
      <c r="D2451" s="94">
        <v>956.0</v>
      </c>
    </row>
    <row r="2452">
      <c r="A2452" s="40">
        <f t="array" ref="A2452">IFNA(index(PlayerValues!A:A,match(IFNA(vlookup(B2452,'Special Names'!A:B,2,FALSE),B2452),PlayerValues!E:E,0)),"N/A")</f>
        <v>16219</v>
      </c>
      <c r="B2452" s="4" t="s">
        <v>739</v>
      </c>
      <c r="C2452" s="4" t="s">
        <v>298</v>
      </c>
      <c r="D2452" s="94">
        <v>1300.0</v>
      </c>
    </row>
    <row r="2453">
      <c r="A2453" s="40">
        <f t="array" ref="A2453">IFNA(index(PlayerValues!A:A,match(IFNA(vlookup(B2453,'Special Names'!A:B,2,FALSE),B2453),PlayerValues!E:E,0)),"N/A")</f>
        <v>16624</v>
      </c>
      <c r="B2453" s="4" t="s">
        <v>796</v>
      </c>
      <c r="C2453" s="4" t="s">
        <v>287</v>
      </c>
      <c r="D2453" s="94">
        <v>917.0</v>
      </c>
    </row>
    <row r="2454">
      <c r="A2454" s="40">
        <f t="array" ref="A2454">IFNA(index(PlayerValues!A:A,match(IFNA(vlookup(B2454,'Special Names'!A:B,2,FALSE),B2454),PlayerValues!E:E,0)),"N/A")</f>
        <v>17475</v>
      </c>
      <c r="B2454" s="4" t="s">
        <v>615</v>
      </c>
      <c r="C2454" s="4" t="s">
        <v>278</v>
      </c>
      <c r="D2454" s="94">
        <v>911.0</v>
      </c>
    </row>
    <row r="2455">
      <c r="A2455" s="40">
        <f t="array" ref="A2455">IFNA(index(PlayerValues!A:A,match(IFNA(vlookup(B2455,'Special Names'!A:B,2,FALSE),B2455),PlayerValues!E:E,0)),"N/A")</f>
        <v>15720</v>
      </c>
      <c r="B2455" s="4" t="s">
        <v>795</v>
      </c>
      <c r="C2455" s="4" t="s">
        <v>278</v>
      </c>
      <c r="D2455" s="94">
        <v>907.0</v>
      </c>
    </row>
    <row r="2456">
      <c r="A2456" s="40">
        <f t="array" ref="A2456">IFNA(index(PlayerValues!A:A,match(IFNA(vlookup(B2456,'Special Names'!A:B,2,FALSE),B2456),PlayerValues!E:E,0)),"N/A")</f>
        <v>16773</v>
      </c>
      <c r="B2456" s="4" t="s">
        <v>783</v>
      </c>
      <c r="C2456" s="4" t="s">
        <v>278</v>
      </c>
      <c r="D2456" s="94">
        <v>879.0</v>
      </c>
    </row>
    <row r="2457">
      <c r="A2457" s="40">
        <f t="array" ref="A2457">IFNA(index(PlayerValues!A:A,match(IFNA(vlookup(B2457,'Special Names'!A:B,2,FALSE),B2457),PlayerValues!E:E,0)),"N/A")</f>
        <v>16599</v>
      </c>
      <c r="B2457" s="4" t="s">
        <v>737</v>
      </c>
      <c r="C2457" s="4" t="s">
        <v>278</v>
      </c>
      <c r="D2457" s="94">
        <v>871.0</v>
      </c>
    </row>
    <row r="2458">
      <c r="A2458" s="40">
        <f t="array" ref="A2458">IFNA(index(PlayerValues!A:A,match(IFNA(vlookup(B2458,'Special Names'!A:B,2,FALSE),B2458),PlayerValues!E:E,0)),"N/A")</f>
        <v>16416</v>
      </c>
      <c r="B2458" s="4" t="s">
        <v>752</v>
      </c>
      <c r="C2458" s="4" t="s">
        <v>287</v>
      </c>
      <c r="D2458" s="94">
        <v>866.0</v>
      </c>
    </row>
    <row r="2459">
      <c r="A2459" s="40">
        <f t="array" ref="A2459">IFNA(index(PlayerValues!A:A,match(IFNA(vlookup(B2459,'Special Names'!A:B,2,FALSE),B2459),PlayerValues!E:E,0)),"N/A")</f>
        <v>17549</v>
      </c>
      <c r="B2459" s="4" t="s">
        <v>720</v>
      </c>
      <c r="C2459" s="4" t="s">
        <v>298</v>
      </c>
      <c r="D2459" s="94">
        <v>1231.0</v>
      </c>
    </row>
    <row r="2460">
      <c r="A2460" s="40">
        <f t="array" ref="A2460">IFNA(index(PlayerValues!A:A,match(IFNA(vlookup(B2460,'Special Names'!A:B,2,FALSE),B2460),PlayerValues!E:E,0)),"N/A")</f>
        <v>13138</v>
      </c>
      <c r="B2460" s="4" t="s">
        <v>817</v>
      </c>
      <c r="C2460" s="4" t="s">
        <v>278</v>
      </c>
      <c r="D2460" s="94">
        <v>862.0</v>
      </c>
    </row>
    <row r="2461">
      <c r="A2461" s="40">
        <f t="array" ref="A2461">IFNA(index(PlayerValues!A:A,match(IFNA(vlookup(B2461,'Special Names'!A:B,2,FALSE),B2461),PlayerValues!E:E,0)),"N/A")</f>
        <v>17504</v>
      </c>
      <c r="B2461" s="4" t="s">
        <v>693</v>
      </c>
      <c r="C2461" s="4" t="s">
        <v>287</v>
      </c>
      <c r="D2461" s="94">
        <v>858.0</v>
      </c>
    </row>
    <row r="2462">
      <c r="A2462" s="40">
        <f t="array" ref="A2462">IFNA(index(PlayerValues!A:A,match(IFNA(vlookup(B2462,'Special Names'!A:B,2,FALSE),B2462),PlayerValues!E:E,0)),"N/A")</f>
        <v>17487</v>
      </c>
      <c r="B2462" s="4" t="s">
        <v>692</v>
      </c>
      <c r="C2462" s="4" t="s">
        <v>278</v>
      </c>
      <c r="D2462" s="94">
        <v>848.0</v>
      </c>
    </row>
    <row r="2463">
      <c r="A2463" s="40">
        <f t="array" ref="A2463">IFNA(index(PlayerValues!A:A,match(IFNA(vlookup(B2463,'Special Names'!A:B,2,FALSE),B2463),PlayerValues!E:E,0)),"N/A")</f>
        <v>12785</v>
      </c>
      <c r="B2463" s="4" t="s">
        <v>772</v>
      </c>
      <c r="C2463" s="4" t="s">
        <v>287</v>
      </c>
      <c r="D2463" s="94">
        <v>841.0</v>
      </c>
    </row>
    <row r="2464">
      <c r="A2464" s="40">
        <f t="array" ref="A2464">IFNA(index(PlayerValues!A:A,match(IFNA(vlookup(B2464,'Special Names'!A:B,2,FALSE),B2464),PlayerValues!E:E,0)),"N/A")</f>
        <v>16751</v>
      </c>
      <c r="B2464" s="4" t="s">
        <v>762</v>
      </c>
      <c r="C2464" s="4" t="s">
        <v>287</v>
      </c>
      <c r="D2464" s="94">
        <v>841.0</v>
      </c>
    </row>
    <row r="2465">
      <c r="A2465" s="40">
        <f t="array" ref="A2465">IFNA(index(PlayerValues!A:A,match(IFNA(vlookup(B2465,'Special Names'!A:B,2,FALSE),B2465),PlayerValues!E:E,0)),"N/A")</f>
        <v>17657</v>
      </c>
      <c r="B2465" s="4" t="s">
        <v>642</v>
      </c>
      <c r="C2465" s="4" t="s">
        <v>283</v>
      </c>
      <c r="D2465" s="94">
        <v>829.0</v>
      </c>
    </row>
    <row r="2466">
      <c r="A2466" s="40">
        <f t="array" ref="A2466">IFNA(index(PlayerValues!A:A,match(IFNA(vlookup(B2466,'Special Names'!A:B,2,FALSE),B2466),PlayerValues!E:E,0)),"N/A")</f>
        <v>14223</v>
      </c>
      <c r="B2466" s="4" t="s">
        <v>785</v>
      </c>
      <c r="C2466" s="4" t="s">
        <v>278</v>
      </c>
      <c r="D2466" s="94">
        <v>815.0</v>
      </c>
    </row>
    <row r="2467">
      <c r="A2467" s="40">
        <f t="array" ref="A2467">IFNA(index(PlayerValues!A:A,match(IFNA(vlookup(B2467,'Special Names'!A:B,2,FALSE),B2467),PlayerValues!E:E,0)),"N/A")</f>
        <v>17486</v>
      </c>
      <c r="B2467" s="4" t="s">
        <v>695</v>
      </c>
      <c r="C2467" s="4" t="s">
        <v>278</v>
      </c>
      <c r="D2467" s="94">
        <v>780.0</v>
      </c>
    </row>
    <row r="2468">
      <c r="A2468" s="40">
        <f t="array" ref="A2468">IFNA(index(PlayerValues!A:A,match(IFNA(vlookup(B2468,'Special Names'!A:B,2,FALSE),B2468),PlayerValues!E:E,0)),"N/A")</f>
        <v>17337</v>
      </c>
      <c r="B2468" s="4" t="s">
        <v>793</v>
      </c>
      <c r="C2468" s="4" t="s">
        <v>278</v>
      </c>
      <c r="D2468" s="94">
        <v>771.0</v>
      </c>
    </row>
    <row r="2469">
      <c r="A2469" s="40">
        <f t="array" ref="A2469">IFNA(index(PlayerValues!A:A,match(IFNA(vlookup(B2469,'Special Names'!A:B,2,FALSE),B2469),PlayerValues!E:E,0)),"N/A")</f>
        <v>17654</v>
      </c>
      <c r="B2469" s="4" t="s">
        <v>767</v>
      </c>
      <c r="C2469" s="4" t="s">
        <v>283</v>
      </c>
      <c r="D2469" s="94">
        <v>765.0</v>
      </c>
    </row>
    <row r="2470">
      <c r="A2470" s="40">
        <f t="array" ref="A2470">IFNA(index(PlayerValues!A:A,match(IFNA(vlookup(B2470,'Special Names'!A:B,2,FALSE),B2470),PlayerValues!E:E,0)),"N/A")</f>
        <v>16176</v>
      </c>
      <c r="B2470" s="4" t="s">
        <v>812</v>
      </c>
      <c r="C2470" s="4" t="s">
        <v>278</v>
      </c>
      <c r="D2470" s="94">
        <v>747.0</v>
      </c>
    </row>
    <row r="2471">
      <c r="A2471" s="40">
        <f t="array" ref="A2471">IFNA(index(PlayerValues!A:A,match(IFNA(vlookup(B2471,'Special Names'!A:B,2,FALSE),B2471),PlayerValues!E:E,0)),"N/A")</f>
        <v>16606</v>
      </c>
      <c r="B2471" s="4" t="s">
        <v>743</v>
      </c>
      <c r="C2471" s="4" t="s">
        <v>278</v>
      </c>
      <c r="D2471" s="94">
        <v>730.0</v>
      </c>
    </row>
    <row r="2472">
      <c r="A2472" s="40">
        <f t="array" ref="A2472">IFNA(index(PlayerValues!A:A,match(IFNA(vlookup(B2472,'Special Names'!A:B,2,FALSE),B2472),PlayerValues!E:E,0)),"N/A")</f>
        <v>17518</v>
      </c>
      <c r="B2472" s="4" t="s">
        <v>482</v>
      </c>
      <c r="C2472" s="4" t="s">
        <v>287</v>
      </c>
      <c r="D2472" s="94">
        <v>729.0</v>
      </c>
    </row>
    <row r="2473">
      <c r="A2473" s="40">
        <f t="array" ref="A2473">IFNA(index(PlayerValues!A:A,match(IFNA(vlookup(B2473,'Special Names'!A:B,2,FALSE),B2473),PlayerValues!E:E,0)),"N/A")</f>
        <v>16623</v>
      </c>
      <c r="B2473" s="4" t="s">
        <v>803</v>
      </c>
      <c r="C2473" s="4" t="s">
        <v>287</v>
      </c>
      <c r="D2473" s="94">
        <v>721.0</v>
      </c>
    </row>
    <row r="2474">
      <c r="A2474" s="40">
        <f t="array" ref="A2474">IFNA(index(PlayerValues!A:A,match(IFNA(vlookup(B2474,'Special Names'!A:B,2,FALSE),B2474),PlayerValues!E:E,0)),"N/A")</f>
        <v>14864</v>
      </c>
      <c r="B2474" s="4" t="s">
        <v>789</v>
      </c>
      <c r="C2474" s="4" t="s">
        <v>287</v>
      </c>
      <c r="D2474" s="94">
        <v>706.0</v>
      </c>
    </row>
    <row r="2475">
      <c r="A2475" s="40">
        <f t="array" ref="A2475">IFNA(index(PlayerValues!A:A,match(IFNA(vlookup(B2475,'Special Names'!A:B,2,FALSE),B2475),PlayerValues!E:E,0)),"N/A")</f>
        <v>12263</v>
      </c>
      <c r="B2475" s="4" t="s">
        <v>697</v>
      </c>
      <c r="C2475" s="4" t="s">
        <v>298</v>
      </c>
      <c r="D2475" s="94">
        <v>1055.0</v>
      </c>
    </row>
    <row r="2476">
      <c r="A2476" s="40">
        <f t="array" ref="A2476">IFNA(index(PlayerValues!A:A,match(IFNA(vlookup(B2476,'Special Names'!A:B,2,FALSE),B2476),PlayerValues!E:E,0)),"N/A")</f>
        <v>15723</v>
      </c>
      <c r="B2476" s="4" t="s">
        <v>798</v>
      </c>
      <c r="C2476" s="4" t="s">
        <v>278</v>
      </c>
      <c r="D2476" s="94">
        <v>692.0</v>
      </c>
    </row>
    <row r="2477">
      <c r="A2477" s="40">
        <f t="array" ref="A2477">IFNA(index(PlayerValues!A:A,match(IFNA(vlookup(B2477,'Special Names'!A:B,2,FALSE),B2477),PlayerValues!E:E,0)),"N/A")</f>
        <v>16686</v>
      </c>
      <c r="B2477" s="4" t="s">
        <v>805</v>
      </c>
      <c r="C2477" s="4" t="s">
        <v>287</v>
      </c>
      <c r="D2477" s="94">
        <v>674.0</v>
      </c>
    </row>
    <row r="2478">
      <c r="A2478" s="40">
        <f t="array" ref="A2478">IFNA(index(PlayerValues!A:A,match(IFNA(vlookup(B2478,'Special Names'!A:B,2,FALSE),B2478),PlayerValues!E:E,0)),"N/A")</f>
        <v>17545</v>
      </c>
      <c r="B2478" s="4" t="s">
        <v>719</v>
      </c>
      <c r="C2478" s="4" t="s">
        <v>298</v>
      </c>
      <c r="D2478" s="94">
        <v>1025.0</v>
      </c>
    </row>
    <row r="2479">
      <c r="A2479" s="40">
        <f t="array" ref="A2479">IFNA(index(PlayerValues!A:A,match(IFNA(vlookup(B2479,'Special Names'!A:B,2,FALSE),B2479),PlayerValues!E:E,0)),"N/A")</f>
        <v>17627</v>
      </c>
      <c r="B2479" s="4" t="s">
        <v>684</v>
      </c>
      <c r="C2479" s="4" t="s">
        <v>298</v>
      </c>
      <c r="D2479" s="94">
        <v>1024.0</v>
      </c>
    </row>
    <row r="2480">
      <c r="A2480" s="40">
        <f t="array" ref="A2480">IFNA(index(PlayerValues!A:A,match(IFNA(vlookup(B2480,'Special Names'!A:B,2,FALSE),B2480),PlayerValues!E:E,0)),"N/A")</f>
        <v>17541</v>
      </c>
      <c r="B2480" s="4" t="s">
        <v>616</v>
      </c>
      <c r="C2480" s="4" t="s">
        <v>287</v>
      </c>
      <c r="D2480" s="94">
        <v>620.0</v>
      </c>
    </row>
    <row r="2481">
      <c r="A2481" s="40">
        <f t="array" ref="A2481">IFNA(index(PlayerValues!A:A,match(IFNA(vlookup(B2481,'Special Names'!A:B,2,FALSE),B2481),PlayerValues!E:E,0)),"N/A")</f>
        <v>13133</v>
      </c>
      <c r="B2481" s="4" t="s">
        <v>764</v>
      </c>
      <c r="C2481" s="4" t="s">
        <v>278</v>
      </c>
      <c r="D2481" s="94">
        <v>607.0</v>
      </c>
    </row>
    <row r="2482">
      <c r="A2482" s="40">
        <f t="array" ref="A2482">IFNA(index(PlayerValues!A:A,match(IFNA(vlookup(B2482,'Special Names'!A:B,2,FALSE),B2482),PlayerValues!E:E,0)),"N/A")</f>
        <v>13595</v>
      </c>
      <c r="B2482" s="4" t="s">
        <v>818</v>
      </c>
      <c r="C2482" s="4" t="s">
        <v>283</v>
      </c>
      <c r="D2482" s="94">
        <v>591.0</v>
      </c>
    </row>
    <row r="2483">
      <c r="A2483" s="40">
        <f t="array" ref="A2483">IFNA(index(PlayerValues!A:A,match(IFNA(vlookup(B2483,'Special Names'!A:B,2,FALSE),B2483),PlayerValues!E:E,0)),"N/A")</f>
        <v>16159</v>
      </c>
      <c r="B2483" s="4" t="s">
        <v>819</v>
      </c>
      <c r="C2483" s="4" t="s">
        <v>283</v>
      </c>
      <c r="D2483" s="94">
        <v>566.0</v>
      </c>
    </row>
    <row r="2484">
      <c r="A2484" s="40">
        <f t="array" ref="A2484">IFNA(index(PlayerValues!A:A,match(IFNA(vlookup(B2484,'Special Names'!A:B,2,FALSE),B2484),PlayerValues!E:E,0)),"N/A")</f>
        <v>15804</v>
      </c>
      <c r="B2484" s="4" t="s">
        <v>821</v>
      </c>
      <c r="C2484" s="4" t="s">
        <v>298</v>
      </c>
      <c r="D2484" s="94">
        <v>871.0</v>
      </c>
    </row>
    <row r="2485">
      <c r="A2485" s="40">
        <f t="array" ref="A2485">IFNA(index(PlayerValues!A:A,match(IFNA(vlookup(B2485,'Special Names'!A:B,2,FALSE),B2485),PlayerValues!E:E,0)),"N/A")</f>
        <v>14858</v>
      </c>
      <c r="B2485" s="4" t="s">
        <v>799</v>
      </c>
      <c r="C2485" s="4" t="s">
        <v>287</v>
      </c>
      <c r="D2485" s="94">
        <v>515.0</v>
      </c>
    </row>
    <row r="2486">
      <c r="A2486" s="40">
        <f t="array" ref="A2486">IFNA(index(PlayerValues!A:A,match(IFNA(vlookup(B2486,'Special Names'!A:B,2,FALSE),B2486),PlayerValues!E:E,0)),"N/A")</f>
        <v>15796</v>
      </c>
      <c r="B2486" s="4" t="s">
        <v>794</v>
      </c>
      <c r="C2486" s="4" t="s">
        <v>298</v>
      </c>
      <c r="D2486" s="94">
        <v>850.0</v>
      </c>
    </row>
    <row r="2487">
      <c r="A2487" s="40">
        <f t="array" ref="A2487">IFNA(index(PlayerValues!A:A,match(IFNA(vlookup(B2487,'Special Names'!A:B,2,FALSE),B2487),PlayerValues!E:E,0)),"N/A")</f>
        <v>17038</v>
      </c>
      <c r="B2487" s="4" t="s">
        <v>774</v>
      </c>
      <c r="C2487" s="4" t="s">
        <v>283</v>
      </c>
      <c r="D2487" s="94">
        <v>505.0</v>
      </c>
    </row>
    <row r="2488">
      <c r="A2488" s="40">
        <f t="array" ref="A2488">IFNA(index(PlayerValues!A:A,match(IFNA(vlookup(B2488,'Special Names'!A:B,2,FALSE),B2488),PlayerValues!E:E,0)),"N/A")</f>
        <v>17243</v>
      </c>
      <c r="B2488" s="4" t="s">
        <v>810</v>
      </c>
      <c r="C2488" s="4" t="s">
        <v>298</v>
      </c>
      <c r="D2488" s="94">
        <v>850.0</v>
      </c>
    </row>
    <row r="2489">
      <c r="A2489" s="40">
        <f t="array" ref="A2489">IFNA(index(PlayerValues!A:A,match(IFNA(vlookup(B2489,'Special Names'!A:B,2,FALSE),B2489),PlayerValues!E:E,0)),"N/A")</f>
        <v>13143</v>
      </c>
      <c r="B2489" s="4" t="s">
        <v>786</v>
      </c>
      <c r="C2489" s="4" t="s">
        <v>278</v>
      </c>
      <c r="D2489" s="94">
        <v>504.0</v>
      </c>
    </row>
    <row r="2490">
      <c r="A2490" s="40">
        <f t="array" ref="A2490">IFNA(index(PlayerValues!A:A,match(IFNA(vlookup(B2490,'Special Names'!A:B,2,FALSE),B2490),PlayerValues!E:E,0)),"N/A")</f>
        <v>16957</v>
      </c>
      <c r="B2490" s="4" t="s">
        <v>806</v>
      </c>
      <c r="C2490" s="4" t="s">
        <v>278</v>
      </c>
      <c r="D2490" s="94">
        <v>504.0</v>
      </c>
    </row>
    <row r="2491">
      <c r="A2491" s="40">
        <f t="array" ref="A2491">IFNA(index(PlayerValues!A:A,match(IFNA(vlookup(B2491,'Special Names'!A:B,2,FALSE),B2491),PlayerValues!E:E,0)),"N/A")</f>
        <v>13066</v>
      </c>
      <c r="B2491" s="4" t="s">
        <v>822</v>
      </c>
      <c r="C2491" s="4" t="s">
        <v>287</v>
      </c>
      <c r="D2491" s="94">
        <v>502.0</v>
      </c>
    </row>
    <row r="2492">
      <c r="A2492" s="40">
        <f t="array" ref="A2492">IFNA(index(PlayerValues!A:A,match(IFNA(vlookup(B2492,'Special Names'!A:B,2,FALSE),B2492),PlayerValues!E:E,0)),"N/A")</f>
        <v>12658</v>
      </c>
      <c r="B2492" s="4" t="s">
        <v>823</v>
      </c>
      <c r="C2492" s="4" t="s">
        <v>287</v>
      </c>
      <c r="D2492" s="94">
        <v>501.0</v>
      </c>
    </row>
    <row r="2493">
      <c r="A2493" s="40">
        <f t="array" ref="A2493">IFNA(index(PlayerValues!A:A,match(IFNA(vlookup(B2493,'Special Names'!A:B,2,FALSE),B2493),PlayerValues!E:E,0)),"N/A")</f>
        <v>14239</v>
      </c>
      <c r="B2493" s="4" t="s">
        <v>824</v>
      </c>
      <c r="C2493" s="4" t="s">
        <v>298</v>
      </c>
      <c r="D2493" s="94">
        <v>846.0</v>
      </c>
    </row>
    <row r="2494">
      <c r="A2494" s="40">
        <f t="array" ref="A2494">IFNA(index(PlayerValues!A:A,match(IFNA(vlookup(B2494,'Special Names'!A:B,2,FALSE),B2494),PlayerValues!E:E,0)),"N/A")</f>
        <v>16625</v>
      </c>
      <c r="B2494" s="4" t="s">
        <v>778</v>
      </c>
      <c r="C2494" s="4" t="s">
        <v>287</v>
      </c>
      <c r="D2494" s="94">
        <v>497.0</v>
      </c>
    </row>
    <row r="2495">
      <c r="A2495" s="40">
        <f t="array" ref="A2495">IFNA(index(PlayerValues!A:A,match(IFNA(vlookup(B2495,'Special Names'!A:B,2,FALSE),B2495),PlayerValues!E:E,0)),"N/A")</f>
        <v>13610</v>
      </c>
      <c r="B2495" s="4" t="s">
        <v>825</v>
      </c>
      <c r="C2495" s="4" t="s">
        <v>278</v>
      </c>
      <c r="D2495" s="94">
        <v>496.0</v>
      </c>
    </row>
    <row r="2496">
      <c r="A2496" s="40">
        <f t="array" ref="A2496">IFNA(index(PlayerValues!A:A,match(IFNA(vlookup(B2496,'Special Names'!A:B,2,FALSE),B2496),PlayerValues!E:E,0)),"N/A")</f>
        <v>16299</v>
      </c>
      <c r="B2496" s="4" t="s">
        <v>787</v>
      </c>
      <c r="C2496" s="4" t="s">
        <v>287</v>
      </c>
      <c r="D2496" s="94">
        <v>496.0</v>
      </c>
    </row>
    <row r="2497">
      <c r="A2497" s="40">
        <f t="array" ref="A2497">IFNA(index(PlayerValues!A:A,match(IFNA(vlookup(B2497,'Special Names'!A:B,2,FALSE),B2497),PlayerValues!E:E,0)),"N/A")</f>
        <v>11232</v>
      </c>
      <c r="B2497" s="4" t="s">
        <v>826</v>
      </c>
      <c r="C2497" s="4" t="s">
        <v>287</v>
      </c>
      <c r="D2497" s="94">
        <v>495.0</v>
      </c>
    </row>
    <row r="2498">
      <c r="A2498" s="40">
        <f t="array" ref="A2498">IFNA(index(PlayerValues!A:A,match(IFNA(vlookup(B2498,'Special Names'!A:B,2,FALSE),B2498),PlayerValues!E:E,0)),"N/A")</f>
        <v>10413</v>
      </c>
      <c r="B2498" s="4" t="s">
        <v>811</v>
      </c>
      <c r="C2498" s="4" t="s">
        <v>283</v>
      </c>
      <c r="D2498" s="94">
        <v>494.0</v>
      </c>
    </row>
    <row r="2499">
      <c r="A2499" s="40">
        <f t="array" ref="A2499">IFNA(index(PlayerValues!A:A,match(IFNA(vlookup(B2499,'Special Names'!A:B,2,FALSE),B2499),PlayerValues!E:E,0)),"N/A")</f>
        <v>16413</v>
      </c>
      <c r="B2499" s="4" t="s">
        <v>781</v>
      </c>
      <c r="C2499" s="4" t="s">
        <v>287</v>
      </c>
      <c r="D2499" s="94">
        <v>493.0</v>
      </c>
    </row>
    <row r="2500">
      <c r="A2500" s="40">
        <f t="array" ref="A2500">IFNA(index(PlayerValues!A:A,match(IFNA(vlookup(B2500,'Special Names'!A:B,2,FALSE),B2500),PlayerValues!E:E,0)),"N/A")</f>
        <v>13404</v>
      </c>
      <c r="B2500" s="4" t="s">
        <v>827</v>
      </c>
      <c r="C2500" s="4" t="s">
        <v>278</v>
      </c>
      <c r="D2500" s="94">
        <v>13.0</v>
      </c>
    </row>
    <row r="2501">
      <c r="A2501" s="40">
        <f t="array" ref="A2501">IFNA(index(PlayerValues!A:A,match(IFNA(vlookup(B2501,'Special Names'!A:B,2,FALSE),B2501),PlayerValues!E:E,0)),"N/A")</f>
        <v>13589</v>
      </c>
      <c r="B2501" s="4" t="s">
        <v>282</v>
      </c>
      <c r="C2501" s="4" t="s">
        <v>283</v>
      </c>
      <c r="D2501" s="94">
        <v>9995.0</v>
      </c>
    </row>
    <row r="2502">
      <c r="A2502" s="40">
        <f t="array" ref="A2502">IFNA(index(PlayerValues!A:A,match(IFNA(vlookup(B2502,'Special Names'!A:B,2,FALSE),B2502),PlayerValues!E:E,0)),"N/A")</f>
        <v>16161</v>
      </c>
      <c r="B2502" s="4" t="s">
        <v>277</v>
      </c>
      <c r="C2502" s="4" t="s">
        <v>278</v>
      </c>
      <c r="D2502" s="94">
        <v>9992.0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9968.0</v>
      </c>
    </row>
    <row r="2504">
      <c r="A2504" s="40">
        <f t="array" ref="A2504">IFNA(index(PlayerValues!A:A,match(IFNA(vlookup(B2504,'Special Names'!A:B,2,FALSE),B2504),PlayerValues!E:E,0)),"N/A")</f>
        <v>16185</v>
      </c>
      <c r="B2504" s="4" t="s">
        <v>290</v>
      </c>
      <c r="C2504" s="4" t="s">
        <v>287</v>
      </c>
      <c r="D2504" s="94">
        <v>9831.0</v>
      </c>
    </row>
    <row r="2505">
      <c r="A2505" s="40">
        <f t="array" ref="A2505">IFNA(index(PlayerValues!A:A,match(IFNA(vlookup(B2505,'Special Names'!A:B,2,FALSE),B2505),PlayerValues!E:E,0)),"N/A")</f>
        <v>16162</v>
      </c>
      <c r="B2505" s="4" t="s">
        <v>281</v>
      </c>
      <c r="C2505" s="4" t="s">
        <v>278</v>
      </c>
      <c r="D2505" s="94">
        <v>9654.0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9386.0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8603.0</v>
      </c>
    </row>
    <row r="2508">
      <c r="A2508" s="40">
        <f t="array" ref="A2508">IFNA(index(PlayerValues!A:A,match(IFNA(vlookup(B2508,'Special Names'!A:B,2,FALSE),B2508),PlayerValues!E:E,0)),"N/A")</f>
        <v>16641</v>
      </c>
      <c r="B2508" s="4" t="s">
        <v>297</v>
      </c>
      <c r="C2508" s="4" t="s">
        <v>298</v>
      </c>
      <c r="D2508" s="94">
        <v>8907.0</v>
      </c>
    </row>
    <row r="2509">
      <c r="A2509" s="40">
        <f t="array" ref="A2509">IFNA(index(PlayerValues!A:A,match(IFNA(vlookup(B2509,'Special Names'!A:B,2,FALSE),B2509),PlayerValues!E:E,0)),"N/A")</f>
        <v>16579</v>
      </c>
      <c r="B2509" s="4" t="s">
        <v>302</v>
      </c>
      <c r="C2509" s="4" t="s">
        <v>283</v>
      </c>
      <c r="D2509" s="94">
        <v>7945.0</v>
      </c>
    </row>
    <row r="2510">
      <c r="A2510" s="40">
        <f t="array" ref="A2510">IFNA(index(PlayerValues!A:A,match(IFNA(vlookup(B2510,'Special Names'!A:B,2,FALSE),B2510),PlayerValues!E:E,0)),"N/A")</f>
        <v>16581</v>
      </c>
      <c r="B2510" s="4" t="s">
        <v>315</v>
      </c>
      <c r="C2510" s="4" t="s">
        <v>283</v>
      </c>
      <c r="D2510" s="94">
        <v>7848.0</v>
      </c>
    </row>
    <row r="2511">
      <c r="A2511" s="40">
        <f t="array" ref="A2511">IFNA(index(PlayerValues!A:A,match(IFNA(vlookup(B2511,'Special Names'!A:B,2,FALSE),B2511),PlayerValues!E:E,0)),"N/A")</f>
        <v>15287</v>
      </c>
      <c r="B2511" s="4" t="s">
        <v>299</v>
      </c>
      <c r="C2511" s="4" t="s">
        <v>287</v>
      </c>
      <c r="D2511" s="94">
        <v>7845.0</v>
      </c>
    </row>
    <row r="2512">
      <c r="A2512" s="40">
        <f t="array" ref="A2512">IFNA(index(PlayerValues!A:A,match(IFNA(vlookup(B2512,'Special Names'!A:B,2,FALSE),B2512),PlayerValues!E:E,0)),"N/A")</f>
        <v>14836</v>
      </c>
      <c r="B2512" s="4" t="s">
        <v>306</v>
      </c>
      <c r="C2512" s="4" t="s">
        <v>287</v>
      </c>
      <c r="D2512" s="94">
        <v>7789.0</v>
      </c>
    </row>
    <row r="2513">
      <c r="A2513" s="40">
        <f t="array" ref="A2513">IFNA(index(PlayerValues!A:A,match(IFNA(vlookup(B2513,'Special Names'!A:B,2,FALSE),B2513),PlayerValues!E:E,0)),"N/A")</f>
        <v>13593</v>
      </c>
      <c r="B2513" s="4" t="s">
        <v>305</v>
      </c>
      <c r="C2513" s="4" t="s">
        <v>283</v>
      </c>
      <c r="D2513" s="94">
        <v>7650.0</v>
      </c>
    </row>
    <row r="2514">
      <c r="A2514" s="40">
        <f t="array" ref="A2514">IFNA(index(PlayerValues!A:A,match(IFNA(vlookup(B2514,'Special Names'!A:B,2,FALSE),B2514),PlayerValues!E:E,0)),"N/A")</f>
        <v>17472</v>
      </c>
      <c r="B2514" s="4" t="s">
        <v>310</v>
      </c>
      <c r="C2514" s="4" t="s">
        <v>278</v>
      </c>
      <c r="D2514" s="94">
        <v>7649.0</v>
      </c>
    </row>
    <row r="2515">
      <c r="A2515" s="40">
        <f t="array" ref="A2515">IFNA(index(PlayerValues!A:A,match(IFNA(vlookup(B2515,'Special Names'!A:B,2,FALSE),B2515),PlayerValues!E:E,0)),"N/A")</f>
        <v>16615</v>
      </c>
      <c r="B2515" s="4" t="s">
        <v>309</v>
      </c>
      <c r="C2515" s="4" t="s">
        <v>287</v>
      </c>
      <c r="D2515" s="94">
        <v>7645.0</v>
      </c>
    </row>
    <row r="2516">
      <c r="A2516" s="40">
        <f t="array" ref="A2516">IFNA(index(PlayerValues!A:A,match(IFNA(vlookup(B2516,'Special Names'!A:B,2,FALSE),B2516),PlayerValues!E:E,0)),"N/A")</f>
        <v>17042</v>
      </c>
      <c r="B2516" s="4" t="s">
        <v>314</v>
      </c>
      <c r="C2516" s="4" t="s">
        <v>278</v>
      </c>
      <c r="D2516" s="94">
        <v>7576.0</v>
      </c>
    </row>
    <row r="2517">
      <c r="A2517" s="40">
        <f t="array" ref="A2517">IFNA(index(PlayerValues!A:A,match(IFNA(vlookup(B2517,'Special Names'!A:B,2,FALSE),B2517),PlayerValues!E:E,0)),"N/A")</f>
        <v>15794</v>
      </c>
      <c r="B2517" s="4" t="s">
        <v>313</v>
      </c>
      <c r="C2517" s="4" t="s">
        <v>298</v>
      </c>
      <c r="D2517" s="94">
        <v>8366.0</v>
      </c>
    </row>
    <row r="2518">
      <c r="A2518" s="40">
        <f t="array" ref="A2518">IFNA(index(PlayerValues!A:A,match(IFNA(vlookup(B2518,'Special Names'!A:B,2,FALSE),B2518),PlayerValues!E:E,0)),"N/A")</f>
        <v>14777</v>
      </c>
      <c r="B2518" s="4" t="s">
        <v>318</v>
      </c>
      <c r="C2518" s="4" t="s">
        <v>283</v>
      </c>
      <c r="D2518" s="94">
        <v>7440.0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7260.0</v>
      </c>
    </row>
    <row r="2520">
      <c r="A2520" s="40" t="str">
        <f t="array" ref="A2520">IFNA(index(PlayerValues!A:A,match(IFNA(vlookup(B2520,'Special Names'!A:B,2,FALSE),B2520),PlayerValues!E:E,0)),"N/A")</f>
        <v>N/A</v>
      </c>
      <c r="B2520" s="4" t="s">
        <v>92</v>
      </c>
      <c r="C2520" s="4" t="s">
        <v>325</v>
      </c>
      <c r="D2520" s="94">
        <v>7142.0</v>
      </c>
    </row>
    <row r="2521">
      <c r="A2521" s="40">
        <f t="array" ref="A2521">IFNA(index(PlayerValues!A:A,match(IFNA(vlookup(B2521,'Special Names'!A:B,2,FALSE),B2521),PlayerValues!E:E,0)),"N/A")</f>
        <v>15751</v>
      </c>
      <c r="B2521" s="4" t="s">
        <v>328</v>
      </c>
      <c r="C2521" s="4" t="s">
        <v>287</v>
      </c>
      <c r="D2521" s="94">
        <v>6935.0</v>
      </c>
    </row>
    <row r="2522">
      <c r="A2522" s="40">
        <f t="array" ref="A2522">IFNA(index(PlayerValues!A:A,match(IFNA(vlookup(B2522,'Special Names'!A:B,2,FALSE),B2522),PlayerValues!E:E,0)),"N/A")</f>
        <v>16167</v>
      </c>
      <c r="B2522" s="4" t="s">
        <v>323</v>
      </c>
      <c r="C2522" s="4" t="s">
        <v>278</v>
      </c>
      <c r="D2522" s="94">
        <v>6917.0</v>
      </c>
    </row>
    <row r="2523">
      <c r="A2523" s="40">
        <f t="array" ref="A2523">IFNA(index(PlayerValues!A:A,match(IFNA(vlookup(B2523,'Special Names'!A:B,2,FALSE),B2523),PlayerValues!E:E,0)),"N/A")</f>
        <v>14779</v>
      </c>
      <c r="B2523" s="4" t="s">
        <v>327</v>
      </c>
      <c r="C2523" s="4" t="s">
        <v>283</v>
      </c>
      <c r="D2523" s="94">
        <v>6838.0</v>
      </c>
    </row>
    <row r="2524">
      <c r="A2524" s="40">
        <f t="array" ref="A2524">IFNA(index(PlayerValues!A:A,match(IFNA(vlookup(B2524,'Special Names'!A:B,2,FALSE),B2524),PlayerValues!E:E,0)),"N/A")</f>
        <v>17044</v>
      </c>
      <c r="B2524" s="4" t="s">
        <v>322</v>
      </c>
      <c r="C2524" s="4" t="s">
        <v>278</v>
      </c>
      <c r="D2524" s="94">
        <v>6810.0</v>
      </c>
    </row>
    <row r="2525">
      <c r="A2525" s="40">
        <f t="array" ref="A2525">IFNA(index(PlayerValues!A:A,match(IFNA(vlookup(B2525,'Special Names'!A:B,2,FALSE),B2525),PlayerValues!E:E,0)),"N/A")</f>
        <v>13116</v>
      </c>
      <c r="B2525" s="4" t="s">
        <v>345</v>
      </c>
      <c r="C2525" s="4" t="s">
        <v>283</v>
      </c>
      <c r="D2525" s="94">
        <v>6687.0</v>
      </c>
    </row>
    <row r="2526">
      <c r="A2526" s="40">
        <f t="array" ref="A2526">IFNA(index(PlayerValues!A:A,match(IFNA(vlookup(B2526,'Special Names'!A:B,2,FALSE),B2526),PlayerValues!E:E,0)),"N/A")</f>
        <v>17032</v>
      </c>
      <c r="B2526" s="4" t="s">
        <v>348</v>
      </c>
      <c r="C2526" s="4" t="s">
        <v>283</v>
      </c>
      <c r="D2526" s="94">
        <v>6606.0</v>
      </c>
    </row>
    <row r="2527">
      <c r="A2527" s="40">
        <f t="array" ref="A2527">IFNA(index(PlayerValues!A:A,match(IFNA(vlookup(B2527,'Special Names'!A:B,2,FALSE),B2527),PlayerValues!E:E,0)),"N/A")</f>
        <v>17071</v>
      </c>
      <c r="B2527" s="4" t="s">
        <v>341</v>
      </c>
      <c r="C2527" s="4" t="s">
        <v>287</v>
      </c>
      <c r="D2527" s="94">
        <v>6553.0</v>
      </c>
    </row>
    <row r="2528">
      <c r="A2528" s="40">
        <f t="array" ref="A2528">IFNA(index(PlayerValues!A:A,match(IFNA(vlookup(B2528,'Special Names'!A:B,2,FALSE),B2528),PlayerValues!E:E,0)),"N/A")</f>
        <v>15237</v>
      </c>
      <c r="B2528" s="4" t="s">
        <v>336</v>
      </c>
      <c r="C2528" s="4" t="s">
        <v>283</v>
      </c>
      <c r="D2528" s="94">
        <v>6373.0</v>
      </c>
    </row>
    <row r="2529">
      <c r="A2529" s="40">
        <f t="array" ref="A2529">IFNA(index(PlayerValues!A:A,match(IFNA(vlookup(B2529,'Special Names'!A:B,2,FALSE),B2529),PlayerValues!E:E,0)),"N/A")</f>
        <v>14783</v>
      </c>
      <c r="B2529" s="4" t="s">
        <v>342</v>
      </c>
      <c r="C2529" s="4" t="s">
        <v>283</v>
      </c>
      <c r="D2529" s="94">
        <v>6173.0</v>
      </c>
    </row>
    <row r="2530">
      <c r="A2530" s="40">
        <f t="array" ref="A2530">IFNA(index(PlayerValues!A:A,match(IFNA(vlookup(B2530,'Special Names'!A:B,2,FALSE),B2530),PlayerValues!E:E,0)),"N/A")</f>
        <v>17104</v>
      </c>
      <c r="B2530" s="4" t="s">
        <v>333</v>
      </c>
      <c r="C2530" s="4" t="s">
        <v>298</v>
      </c>
      <c r="D2530" s="94">
        <v>6788.0</v>
      </c>
    </row>
    <row r="2531">
      <c r="A2531" s="40">
        <f t="array" ref="A2531">IFNA(index(PlayerValues!A:A,match(IFNA(vlookup(B2531,'Special Names'!A:B,2,FALSE),B2531),PlayerValues!E:E,0)),"N/A")</f>
        <v>17081</v>
      </c>
      <c r="B2531" s="4" t="s">
        <v>340</v>
      </c>
      <c r="C2531" s="4" t="s">
        <v>287</v>
      </c>
      <c r="D2531" s="94">
        <v>6086.0</v>
      </c>
    </row>
    <row r="2532">
      <c r="A2532" s="40">
        <f t="array" ref="A2532">IFNA(index(PlayerValues!A:A,match(IFNA(vlookup(B2532,'Special Names'!A:B,2,FALSE),B2532),PlayerValues!E:E,0)),"N/A")</f>
        <v>16582</v>
      </c>
      <c r="B2532" s="4" t="s">
        <v>343</v>
      </c>
      <c r="C2532" s="4" t="s">
        <v>283</v>
      </c>
      <c r="D2532" s="94">
        <v>6030.0</v>
      </c>
    </row>
    <row r="2533">
      <c r="A2533" s="40">
        <f t="array" ref="A2533">IFNA(index(PlayerValues!A:A,match(IFNA(vlookup(B2533,'Special Names'!A:B,2,FALSE),B2533),PlayerValues!E:E,0)),"N/A")</f>
        <v>14802</v>
      </c>
      <c r="B2533" s="4" t="s">
        <v>332</v>
      </c>
      <c r="C2533" s="4" t="s">
        <v>278</v>
      </c>
      <c r="D2533" s="94">
        <v>6027.0</v>
      </c>
    </row>
    <row r="2534">
      <c r="A2534" s="40">
        <f t="array" ref="A2534">IFNA(index(PlayerValues!A:A,match(IFNA(vlookup(B2534,'Special Names'!A:B,2,FALSE),B2534),PlayerValues!E:E,0)),"N/A")</f>
        <v>15715</v>
      </c>
      <c r="B2534" s="4" t="s">
        <v>331</v>
      </c>
      <c r="C2534" s="4" t="s">
        <v>278</v>
      </c>
      <c r="D2534" s="94">
        <v>5983.0</v>
      </c>
    </row>
    <row r="2535">
      <c r="A2535" s="40">
        <f t="array" ref="A2535">IFNA(index(PlayerValues!A:A,match(IFNA(vlookup(B2535,'Special Names'!A:B,2,FALSE),B2535),PlayerValues!E:E,0)),"N/A")</f>
        <v>17497</v>
      </c>
      <c r="B2535" s="4" t="s">
        <v>365</v>
      </c>
      <c r="C2535" s="4" t="s">
        <v>287</v>
      </c>
      <c r="D2535" s="94">
        <v>5931.0</v>
      </c>
    </row>
    <row r="2536">
      <c r="A2536" s="40">
        <f t="array" ref="A2536">IFNA(index(PlayerValues!A:A,match(IFNA(vlookup(B2536,'Special Names'!A:B,2,FALSE),B2536),PlayerValues!E:E,0)),"N/A")</f>
        <v>15762</v>
      </c>
      <c r="B2536" s="4" t="s">
        <v>337</v>
      </c>
      <c r="C2536" s="4" t="s">
        <v>287</v>
      </c>
      <c r="D2536" s="94">
        <v>5893.0</v>
      </c>
    </row>
    <row r="2537">
      <c r="A2537" s="40">
        <f t="array" ref="A2537">IFNA(index(PlayerValues!A:A,match(IFNA(vlookup(B2537,'Special Names'!A:B,2,FALSE),B2537),PlayerValues!E:E,0)),"N/A")</f>
        <v>15698</v>
      </c>
      <c r="B2537" s="4" t="s">
        <v>358</v>
      </c>
      <c r="C2537" s="4" t="s">
        <v>283</v>
      </c>
      <c r="D2537" s="94">
        <v>5853.0</v>
      </c>
    </row>
    <row r="2538">
      <c r="A2538" s="40">
        <f t="array" ref="A2538">IFNA(index(PlayerValues!A:A,match(IFNA(vlookup(B2538,'Special Names'!A:B,2,FALSE),B2538),PlayerValues!E:E,0)),"N/A")</f>
        <v>17102</v>
      </c>
      <c r="B2538" s="4" t="s">
        <v>344</v>
      </c>
      <c r="C2538" s="4" t="s">
        <v>298</v>
      </c>
      <c r="D2538" s="94">
        <v>6424.0</v>
      </c>
    </row>
    <row r="2539">
      <c r="A2539" s="40">
        <f t="array" ref="A2539">IFNA(index(PlayerValues!A:A,match(IFNA(vlookup(B2539,'Special Names'!A:B,2,FALSE),B2539),PlayerValues!E:E,0)),"N/A")</f>
        <v>15753</v>
      </c>
      <c r="B2539" s="4" t="s">
        <v>359</v>
      </c>
      <c r="C2539" s="4" t="s">
        <v>287</v>
      </c>
      <c r="D2539" s="94">
        <v>5691.0</v>
      </c>
    </row>
    <row r="2540">
      <c r="A2540" s="40" t="str">
        <f t="array" ref="A2540">IFNA(index(PlayerValues!A:A,match(IFNA(vlookup(B2540,'Special Names'!A:B,2,FALSE),B2540),PlayerValues!E:E,0)),"N/A")</f>
        <v>N/A</v>
      </c>
      <c r="B2540" s="4" t="s">
        <v>93</v>
      </c>
      <c r="C2540" s="4" t="s">
        <v>325</v>
      </c>
      <c r="D2540" s="94">
        <v>5667.0</v>
      </c>
    </row>
    <row r="2541">
      <c r="A2541" s="40" t="str">
        <f t="array" ref="A2541">IFNA(index(PlayerValues!A:A,match(IFNA(vlookup(B2541,'Special Names'!A:B,2,FALSE),B2541),PlayerValues!E:E,0)),"N/A")</f>
        <v>N/A</v>
      </c>
      <c r="B2541" s="4" t="s">
        <v>79</v>
      </c>
      <c r="C2541" s="4" t="s">
        <v>325</v>
      </c>
      <c r="D2541" s="94">
        <v>5648.0</v>
      </c>
    </row>
    <row r="2542">
      <c r="A2542" s="40">
        <f t="array" ref="A2542">IFNA(index(PlayerValues!A:A,match(IFNA(vlookup(B2542,'Special Names'!A:B,2,FALSE),B2542),PlayerValues!E:E,0)),"N/A")</f>
        <v>14782</v>
      </c>
      <c r="B2542" s="4" t="s">
        <v>385</v>
      </c>
      <c r="C2542" s="4" t="s">
        <v>283</v>
      </c>
      <c r="D2542" s="94">
        <v>5616.0</v>
      </c>
    </row>
    <row r="2543">
      <c r="A2543" s="40">
        <f t="array" ref="A2543">IFNA(index(PlayerValues!A:A,match(IFNA(vlookup(B2543,'Special Names'!A:B,2,FALSE),B2543),PlayerValues!E:E,0)),"N/A")</f>
        <v>17462</v>
      </c>
      <c r="B2543" s="4" t="s">
        <v>375</v>
      </c>
      <c r="C2543" s="4" t="s">
        <v>283</v>
      </c>
      <c r="D2543" s="94">
        <v>5613.0</v>
      </c>
    </row>
    <row r="2544">
      <c r="A2544" s="40">
        <f t="array" ref="A2544">IFNA(index(PlayerValues!A:A,match(IFNA(vlookup(B2544,'Special Names'!A:B,2,FALSE),B2544),PlayerValues!E:E,0)),"N/A")</f>
        <v>15290</v>
      </c>
      <c r="B2544" s="4" t="s">
        <v>355</v>
      </c>
      <c r="C2544" s="4" t="s">
        <v>287</v>
      </c>
      <c r="D2544" s="94">
        <v>5585.0</v>
      </c>
    </row>
    <row r="2545">
      <c r="A2545" s="40">
        <f t="array" ref="A2545">IFNA(index(PlayerValues!A:A,match(IFNA(vlookup(B2545,'Special Names'!A:B,2,FALSE),B2545),PlayerValues!E:E,0)),"N/A")</f>
        <v>17051</v>
      </c>
      <c r="B2545" s="4" t="s">
        <v>386</v>
      </c>
      <c r="C2545" s="4" t="s">
        <v>278</v>
      </c>
      <c r="D2545" s="94">
        <v>5519.0</v>
      </c>
    </row>
    <row r="2546">
      <c r="A2546" s="40">
        <f t="array" ref="A2546">IFNA(index(PlayerValues!A:A,match(IFNA(vlookup(B2546,'Special Names'!A:B,2,FALSE),B2546),PlayerValues!E:E,0)),"N/A")</f>
        <v>15754</v>
      </c>
      <c r="B2546" s="4" t="s">
        <v>354</v>
      </c>
      <c r="C2546" s="4" t="s">
        <v>287</v>
      </c>
      <c r="D2546" s="94">
        <v>5506.0</v>
      </c>
    </row>
    <row r="2547">
      <c r="A2547" s="40">
        <f t="array" ref="A2547">IFNA(index(PlayerValues!A:A,match(IFNA(vlookup(B2547,'Special Names'!A:B,2,FALSE),B2547),PlayerValues!E:E,0)),"N/A")</f>
        <v>16616</v>
      </c>
      <c r="B2547" s="4" t="s">
        <v>389</v>
      </c>
      <c r="C2547" s="4" t="s">
        <v>287</v>
      </c>
      <c r="D2547" s="94">
        <v>5461.0</v>
      </c>
    </row>
    <row r="2548">
      <c r="A2548" s="40">
        <f t="array" ref="A2548">IFNA(index(PlayerValues!A:A,match(IFNA(vlookup(B2548,'Special Names'!A:B,2,FALSE),B2548),PlayerValues!E:E,0)),"N/A")</f>
        <v>17030</v>
      </c>
      <c r="B2548" s="4" t="s">
        <v>406</v>
      </c>
      <c r="C2548" s="4" t="s">
        <v>283</v>
      </c>
      <c r="D2548" s="94">
        <v>5445.0</v>
      </c>
    </row>
    <row r="2549">
      <c r="A2549" s="40">
        <f t="array" ref="A2549">IFNA(index(PlayerValues!A:A,match(IFNA(vlookup(B2549,'Special Names'!A:B,2,FALSE),B2549),PlayerValues!E:E,0)),"N/A")</f>
        <v>15708</v>
      </c>
      <c r="B2549" s="4" t="s">
        <v>382</v>
      </c>
      <c r="C2549" s="4" t="s">
        <v>278</v>
      </c>
      <c r="D2549" s="94">
        <v>5433.0</v>
      </c>
    </row>
    <row r="2550">
      <c r="A2550" s="40">
        <f t="array" ref="A2550">IFNA(index(PlayerValues!A:A,match(IFNA(vlookup(B2550,'Special Names'!A:B,2,FALSE),B2550),PlayerValues!E:E,0)),"N/A")</f>
        <v>17498</v>
      </c>
      <c r="B2550" s="4" t="s">
        <v>396</v>
      </c>
      <c r="C2550" s="4" t="s">
        <v>287</v>
      </c>
      <c r="D2550" s="94">
        <v>5426.0</v>
      </c>
    </row>
    <row r="2551">
      <c r="A2551" s="40">
        <f t="array" ref="A2551">IFNA(index(PlayerValues!A:A,match(IFNA(vlookup(B2551,'Special Names'!A:B,2,FALSE),B2551),PlayerValues!E:E,0)),"N/A")</f>
        <v>15711</v>
      </c>
      <c r="B2551" s="4" t="s">
        <v>349</v>
      </c>
      <c r="C2551" s="4" t="s">
        <v>278</v>
      </c>
      <c r="D2551" s="94">
        <v>5421.0</v>
      </c>
    </row>
    <row r="2552">
      <c r="A2552" s="40">
        <f t="array" ref="A2552">IFNA(index(PlayerValues!A:A,match(IFNA(vlookup(B2552,'Special Names'!A:B,2,FALSE),B2552),PlayerValues!E:E,0)),"N/A")</f>
        <v>16627</v>
      </c>
      <c r="B2552" s="4" t="s">
        <v>351</v>
      </c>
      <c r="C2552" s="4" t="s">
        <v>287</v>
      </c>
      <c r="D2552" s="94">
        <v>5412.0</v>
      </c>
    </row>
    <row r="2553">
      <c r="A2553" s="40">
        <f t="array" ref="A2553">IFNA(index(PlayerValues!A:A,match(IFNA(vlookup(B2553,'Special Names'!A:B,2,FALSE),B2553),PlayerValues!E:E,0)),"N/A")</f>
        <v>17043</v>
      </c>
      <c r="B2553" s="4" t="s">
        <v>397</v>
      </c>
      <c r="C2553" s="4" t="s">
        <v>278</v>
      </c>
      <c r="D2553" s="94">
        <v>5394.0</v>
      </c>
    </row>
    <row r="2554">
      <c r="A2554" s="40">
        <f t="array" ref="A2554">IFNA(index(PlayerValues!A:A,match(IFNA(vlookup(B2554,'Special Names'!A:B,2,FALSE),B2554),PlayerValues!E:E,0)),"N/A")</f>
        <v>17070</v>
      </c>
      <c r="B2554" s="4" t="s">
        <v>370</v>
      </c>
      <c r="C2554" s="4" t="s">
        <v>287</v>
      </c>
      <c r="D2554" s="94">
        <v>5291.0</v>
      </c>
    </row>
    <row r="2555">
      <c r="A2555" s="40">
        <f t="array" ref="A2555">IFNA(index(PlayerValues!A:A,match(IFNA(vlookup(B2555,'Special Names'!A:B,2,FALSE),B2555),PlayerValues!E:E,0)),"N/A")</f>
        <v>15282</v>
      </c>
      <c r="B2555" s="4" t="s">
        <v>364</v>
      </c>
      <c r="C2555" s="4" t="s">
        <v>287</v>
      </c>
      <c r="D2555" s="94">
        <v>5259.0</v>
      </c>
    </row>
    <row r="2556">
      <c r="A2556" s="40">
        <f t="array" ref="A2556">IFNA(index(PlayerValues!A:A,match(IFNA(vlookup(B2556,'Special Names'!A:B,2,FALSE),B2556),PlayerValues!E:E,0)),"N/A")</f>
        <v>17499</v>
      </c>
      <c r="B2556" s="4" t="s">
        <v>402</v>
      </c>
      <c r="C2556" s="4" t="s">
        <v>287</v>
      </c>
      <c r="D2556" s="94">
        <v>5085.0</v>
      </c>
    </row>
    <row r="2557">
      <c r="A2557" s="40">
        <f t="array" ref="A2557">IFNA(index(PlayerValues!A:A,match(IFNA(vlookup(B2557,'Special Names'!A:B,2,FALSE),B2557),PlayerValues!E:E,0)),"N/A")</f>
        <v>16614</v>
      </c>
      <c r="B2557" s="4" t="s">
        <v>403</v>
      </c>
      <c r="C2557" s="4" t="s">
        <v>287</v>
      </c>
      <c r="D2557" s="94">
        <v>5062.0</v>
      </c>
    </row>
    <row r="2558">
      <c r="A2558" s="40">
        <f t="array" ref="A2558">IFNA(index(PlayerValues!A:A,match(IFNA(vlookup(B2558,'Special Names'!A:B,2,FALSE),B2558),PlayerValues!E:E,0)),"N/A")</f>
        <v>13130</v>
      </c>
      <c r="B2558" s="4" t="s">
        <v>374</v>
      </c>
      <c r="C2558" s="4" t="s">
        <v>278</v>
      </c>
      <c r="D2558" s="94">
        <v>5021.0</v>
      </c>
    </row>
    <row r="2559">
      <c r="A2559" s="40" t="str">
        <f t="array" ref="A2559">IFNA(index(PlayerValues!A:A,match(IFNA(vlookup(B2559,'Special Names'!A:B,2,FALSE),B2559),PlayerValues!E:E,0)),"N/A")</f>
        <v>N/A</v>
      </c>
      <c r="B2559" s="4" t="s">
        <v>104</v>
      </c>
      <c r="C2559" s="4" t="s">
        <v>325</v>
      </c>
      <c r="D2559" s="94">
        <v>5001.0</v>
      </c>
    </row>
    <row r="2560">
      <c r="A2560" s="40">
        <f t="array" ref="A2560">IFNA(index(PlayerValues!A:A,match(IFNA(vlookup(B2560,'Special Names'!A:B,2,FALSE),B2560),PlayerValues!E:E,0)),"N/A")</f>
        <v>16181</v>
      </c>
      <c r="B2560" s="4" t="s">
        <v>350</v>
      </c>
      <c r="C2560" s="4" t="s">
        <v>278</v>
      </c>
      <c r="D2560" s="94">
        <v>4982.0</v>
      </c>
    </row>
    <row r="2561">
      <c r="A2561" s="40" t="str">
        <f t="array" ref="A2561">IFNA(index(PlayerValues!A:A,match(IFNA(vlookup(B2561,'Special Names'!A:B,2,FALSE),B2561),PlayerValues!E:E,0)),"N/A")</f>
        <v>N/A</v>
      </c>
      <c r="B2561" s="4" t="s">
        <v>94</v>
      </c>
      <c r="C2561" s="4" t="s">
        <v>325</v>
      </c>
      <c r="D2561" s="94">
        <v>4974.0</v>
      </c>
    </row>
    <row r="2562">
      <c r="A2562" s="40">
        <f t="array" ref="A2562">IFNA(index(PlayerValues!A:A,match(IFNA(vlookup(B2562,'Special Names'!A:B,2,FALSE),B2562),PlayerValues!E:E,0)),"N/A")</f>
        <v>12620</v>
      </c>
      <c r="B2562" s="4" t="s">
        <v>394</v>
      </c>
      <c r="C2562" s="4" t="s">
        <v>283</v>
      </c>
      <c r="D2562" s="94">
        <v>4972.0</v>
      </c>
    </row>
    <row r="2563">
      <c r="A2563" s="40">
        <f t="array" ref="A2563">IFNA(index(PlayerValues!A:A,match(IFNA(vlookup(B2563,'Special Names'!A:B,2,FALSE),B2563),PlayerValues!E:E,0)),"N/A")</f>
        <v>17039</v>
      </c>
      <c r="B2563" s="4" t="s">
        <v>400</v>
      </c>
      <c r="C2563" s="4" t="s">
        <v>283</v>
      </c>
      <c r="D2563" s="94">
        <v>4930.0</v>
      </c>
    </row>
    <row r="2564">
      <c r="A2564" s="40">
        <f t="array" ref="A2564">IFNA(index(PlayerValues!A:A,match(IFNA(vlookup(B2564,'Special Names'!A:B,2,FALSE),B2564),PlayerValues!E:E,0)),"N/A")</f>
        <v>14835</v>
      </c>
      <c r="B2564" s="4" t="s">
        <v>392</v>
      </c>
      <c r="C2564" s="4" t="s">
        <v>287</v>
      </c>
      <c r="D2564" s="94">
        <v>4927.0</v>
      </c>
    </row>
    <row r="2565">
      <c r="A2565" s="40">
        <f t="array" ref="A2565">IFNA(index(PlayerValues!A:A,match(IFNA(vlookup(B2565,'Special Names'!A:B,2,FALSE),B2565),PlayerValues!E:E,0)),"N/A")</f>
        <v>13604</v>
      </c>
      <c r="B2565" s="4" t="s">
        <v>378</v>
      </c>
      <c r="C2565" s="4" t="s">
        <v>278</v>
      </c>
      <c r="D2565" s="94">
        <v>4913.0</v>
      </c>
    </row>
    <row r="2566">
      <c r="A2566" s="40">
        <f t="array" ref="A2566">IFNA(index(PlayerValues!A:A,match(IFNA(vlookup(B2566,'Special Names'!A:B,2,FALSE),B2566),PlayerValues!E:E,0)),"N/A")</f>
        <v>16222</v>
      </c>
      <c r="B2566" s="4" t="s">
        <v>393</v>
      </c>
      <c r="C2566" s="4" t="s">
        <v>298</v>
      </c>
      <c r="D2566" s="94">
        <v>5469.0</v>
      </c>
    </row>
    <row r="2567">
      <c r="A2567" s="40">
        <f t="array" ref="A2567">IFNA(index(PlayerValues!A:A,match(IFNA(vlookup(B2567,'Special Names'!A:B,2,FALSE),B2567),PlayerValues!E:E,0)),"N/A")</f>
        <v>16150</v>
      </c>
      <c r="B2567" s="4" t="s">
        <v>414</v>
      </c>
      <c r="C2567" s="4" t="s">
        <v>283</v>
      </c>
      <c r="D2567" s="94">
        <v>4893.0</v>
      </c>
    </row>
    <row r="2568">
      <c r="A2568" s="40">
        <f t="array" ref="A2568">IFNA(index(PlayerValues!A:A,match(IFNA(vlookup(B2568,'Special Names'!A:B,2,FALSE),B2568),PlayerValues!E:E,0)),"N/A")</f>
        <v>17103</v>
      </c>
      <c r="B2568" s="4" t="s">
        <v>405</v>
      </c>
      <c r="C2568" s="4" t="s">
        <v>298</v>
      </c>
      <c r="D2568" s="94">
        <v>5458.0</v>
      </c>
    </row>
    <row r="2569">
      <c r="A2569" s="40">
        <f t="array" ref="A2569">IFNA(index(PlayerValues!A:A,match(IFNA(vlookup(B2569,'Special Names'!A:B,2,FALSE),B2569),PlayerValues!E:E,0)),"N/A")</f>
        <v>15710</v>
      </c>
      <c r="B2569" s="4" t="s">
        <v>395</v>
      </c>
      <c r="C2569" s="4" t="s">
        <v>278</v>
      </c>
      <c r="D2569" s="94">
        <v>4848.0</v>
      </c>
    </row>
    <row r="2570">
      <c r="A2570" s="40">
        <f t="array" ref="A2570">IFNA(index(PlayerValues!A:A,match(IFNA(vlookup(B2570,'Special Names'!A:B,2,FALSE),B2570),PlayerValues!E:E,0)),"N/A")</f>
        <v>16618</v>
      </c>
      <c r="B2570" s="4" t="s">
        <v>411</v>
      </c>
      <c r="C2570" s="4" t="s">
        <v>287</v>
      </c>
      <c r="D2570" s="94">
        <v>4840.0</v>
      </c>
    </row>
    <row r="2571">
      <c r="A2571" s="40">
        <f t="array" ref="A2571">IFNA(index(PlayerValues!A:A,match(IFNA(vlookup(B2571,'Special Names'!A:B,2,FALSE),B2571),PlayerValues!E:E,0)),"N/A")</f>
        <v>14104</v>
      </c>
      <c r="B2571" s="4" t="s">
        <v>379</v>
      </c>
      <c r="C2571" s="4" t="s">
        <v>287</v>
      </c>
      <c r="D2571" s="94">
        <v>4837.0</v>
      </c>
    </row>
    <row r="2572">
      <c r="A2572" s="40">
        <f t="array" ref="A2572">IFNA(index(PlayerValues!A:A,match(IFNA(vlookup(B2572,'Special Names'!A:B,2,FALSE),B2572),PlayerValues!E:E,0)),"N/A")</f>
        <v>17473</v>
      </c>
      <c r="B2572" s="4" t="s">
        <v>391</v>
      </c>
      <c r="C2572" s="4" t="s">
        <v>278</v>
      </c>
      <c r="D2572" s="94">
        <v>4835.0</v>
      </c>
    </row>
    <row r="2573">
      <c r="A2573" s="40">
        <f t="array" ref="A2573">IFNA(index(PlayerValues!A:A,match(IFNA(vlookup(B2573,'Special Names'!A:B,2,FALSE),B2573),PlayerValues!E:E,0)),"N/A")</f>
        <v>13590</v>
      </c>
      <c r="B2573" s="4" t="s">
        <v>409</v>
      </c>
      <c r="C2573" s="4" t="s">
        <v>283</v>
      </c>
      <c r="D2573" s="94">
        <v>4826.0</v>
      </c>
    </row>
    <row r="2574">
      <c r="A2574" s="40">
        <f t="array" ref="A2574">IFNA(index(PlayerValues!A:A,match(IFNA(vlookup(B2574,'Special Names'!A:B,2,FALSE),B2574),PlayerValues!E:E,0)),"N/A")</f>
        <v>15284</v>
      </c>
      <c r="B2574" s="4" t="s">
        <v>390</v>
      </c>
      <c r="C2574" s="4" t="s">
        <v>287</v>
      </c>
      <c r="D2574" s="94">
        <v>4824.0</v>
      </c>
    </row>
    <row r="2575">
      <c r="A2575" s="40">
        <f t="array" ref="A2575">IFNA(index(PlayerValues!A:A,match(IFNA(vlookup(B2575,'Special Names'!A:B,2,FALSE),B2575),PlayerValues!E:E,0)),"N/A")</f>
        <v>16598</v>
      </c>
      <c r="B2575" s="4" t="s">
        <v>408</v>
      </c>
      <c r="C2575" s="4" t="s">
        <v>278</v>
      </c>
      <c r="D2575" s="94">
        <v>4823.0</v>
      </c>
    </row>
    <row r="2576">
      <c r="A2576" s="40">
        <f t="array" ref="A2576">IFNA(index(PlayerValues!A:A,match(IFNA(vlookup(B2576,'Special Names'!A:B,2,FALSE),B2576),PlayerValues!E:E,0)),"N/A")</f>
        <v>16190</v>
      </c>
      <c r="B2576" s="4" t="s">
        <v>371</v>
      </c>
      <c r="C2576" s="4" t="s">
        <v>287</v>
      </c>
      <c r="D2576" s="94">
        <v>4782.0</v>
      </c>
    </row>
    <row r="2577">
      <c r="A2577" s="40">
        <f t="array" ref="A2577">IFNA(index(PlayerValues!A:A,match(IFNA(vlookup(B2577,'Special Names'!A:B,2,FALSE),B2577),PlayerValues!E:E,0)),"N/A")</f>
        <v>17045</v>
      </c>
      <c r="B2577" s="4" t="s">
        <v>407</v>
      </c>
      <c r="C2577" s="4" t="s">
        <v>278</v>
      </c>
      <c r="D2577" s="94">
        <v>4714.0</v>
      </c>
    </row>
    <row r="2578">
      <c r="A2578" s="40">
        <f t="array" ref="A2578">IFNA(index(PlayerValues!A:A,match(IFNA(vlookup(B2578,'Special Names'!A:B,2,FALSE),B2578),PlayerValues!E:E,0)),"N/A")</f>
        <v>12611</v>
      </c>
      <c r="B2578" s="4" t="s">
        <v>410</v>
      </c>
      <c r="C2578" s="4" t="s">
        <v>283</v>
      </c>
      <c r="D2578" s="94">
        <v>4670.0</v>
      </c>
    </row>
    <row r="2579">
      <c r="A2579" s="40">
        <f t="array" ref="A2579">IFNA(index(PlayerValues!A:A,match(IFNA(vlookup(B2579,'Special Names'!A:B,2,FALSE),B2579),PlayerValues!E:E,0)),"N/A")</f>
        <v>15756</v>
      </c>
      <c r="B2579" s="4" t="s">
        <v>399</v>
      </c>
      <c r="C2579" s="4" t="s">
        <v>287</v>
      </c>
      <c r="D2579" s="94">
        <v>4670.0</v>
      </c>
    </row>
    <row r="2580">
      <c r="A2580" s="40">
        <f t="array" ref="A2580">IFNA(index(PlayerValues!A:A,match(IFNA(vlookup(B2580,'Special Names'!A:B,2,FALSE),B2580),PlayerValues!E:E,0)),"N/A")</f>
        <v>13592</v>
      </c>
      <c r="B2580" s="4" t="s">
        <v>418</v>
      </c>
      <c r="C2580" s="4" t="s">
        <v>283</v>
      </c>
      <c r="D2580" s="94">
        <v>4639.0</v>
      </c>
    </row>
    <row r="2581">
      <c r="A2581" s="40" t="str">
        <f t="array" ref="A2581">IFNA(index(PlayerValues!A:A,match(IFNA(vlookup(B2581,'Special Names'!A:B,2,FALSE),B2581),PlayerValues!E:E,0)),"N/A")</f>
        <v>N/A</v>
      </c>
      <c r="B2581" s="4" t="s">
        <v>80</v>
      </c>
      <c r="C2581" s="4" t="s">
        <v>325</v>
      </c>
      <c r="D2581" s="94">
        <v>4564.0</v>
      </c>
    </row>
    <row r="2582">
      <c r="A2582" s="40">
        <f t="array" ref="A2582">IFNA(index(PlayerValues!A:A,match(IFNA(vlookup(B2582,'Special Names'!A:B,2,FALSE),B2582),PlayerValues!E:E,0)),"N/A")</f>
        <v>16214</v>
      </c>
      <c r="B2582" s="4" t="s">
        <v>413</v>
      </c>
      <c r="C2582" s="4" t="s">
        <v>298</v>
      </c>
      <c r="D2582" s="94">
        <v>5096.0</v>
      </c>
    </row>
    <row r="2583">
      <c r="A2583" s="40">
        <f t="array" ref="A2583">IFNA(index(PlayerValues!A:A,match(IFNA(vlookup(B2583,'Special Names'!A:B,2,FALSE),B2583),PlayerValues!E:E,0)),"N/A")</f>
        <v>15256</v>
      </c>
      <c r="B2583" s="4" t="s">
        <v>401</v>
      </c>
      <c r="C2583" s="4" t="s">
        <v>278</v>
      </c>
      <c r="D2583" s="94">
        <v>4543.0</v>
      </c>
    </row>
    <row r="2584">
      <c r="A2584" s="40" t="str">
        <f t="array" ref="A2584">IFNA(index(PlayerValues!A:A,match(IFNA(vlookup(B2584,'Special Names'!A:B,2,FALSE),B2584),PlayerValues!E:E,0)),"N/A")</f>
        <v>N/A</v>
      </c>
      <c r="B2584" s="4" t="s">
        <v>105</v>
      </c>
      <c r="C2584" s="4" t="s">
        <v>325</v>
      </c>
      <c r="D2584" s="94">
        <v>4512.0</v>
      </c>
    </row>
    <row r="2585">
      <c r="A2585" s="40">
        <f t="array" ref="A2585">IFNA(index(PlayerValues!A:A,match(IFNA(vlookup(B2585,'Special Names'!A:B,2,FALSE),B2585),PlayerValues!E:E,0)),"N/A")</f>
        <v>17501</v>
      </c>
      <c r="B2585" s="4" t="s">
        <v>404</v>
      </c>
      <c r="C2585" s="4" t="s">
        <v>287</v>
      </c>
      <c r="D2585" s="94">
        <v>4505.0</v>
      </c>
    </row>
    <row r="2586">
      <c r="A2586" s="40">
        <f t="array" ref="A2586">IFNA(index(PlayerValues!A:A,match(IFNA(vlookup(B2586,'Special Names'!A:B,2,FALSE),B2586),PlayerValues!E:E,0)),"N/A")</f>
        <v>15253</v>
      </c>
      <c r="B2586" s="4" t="s">
        <v>415</v>
      </c>
      <c r="C2586" s="4" t="s">
        <v>278</v>
      </c>
      <c r="D2586" s="94">
        <v>4503.0</v>
      </c>
    </row>
    <row r="2587">
      <c r="A2587" s="40">
        <f t="array" ref="A2587">IFNA(index(PlayerValues!A:A,match(IFNA(vlookup(B2587,'Special Names'!A:B,2,FALSE),B2587),PlayerValues!E:E,0)),"N/A")</f>
        <v>16194</v>
      </c>
      <c r="B2587" s="4" t="s">
        <v>398</v>
      </c>
      <c r="C2587" s="4" t="s">
        <v>287</v>
      </c>
      <c r="D2587" s="94">
        <v>4482.0</v>
      </c>
    </row>
    <row r="2588">
      <c r="A2588" s="40">
        <f t="array" ref="A2588">IFNA(index(PlayerValues!A:A,match(IFNA(vlookup(B2588,'Special Names'!A:B,2,FALSE),B2588),PlayerValues!E:E,0)),"N/A")</f>
        <v>16148</v>
      </c>
      <c r="B2588" s="4" t="s">
        <v>426</v>
      </c>
      <c r="C2588" s="4" t="s">
        <v>283</v>
      </c>
      <c r="D2588" s="94">
        <v>4464.0</v>
      </c>
    </row>
    <row r="2589">
      <c r="A2589" s="40">
        <f t="array" ref="A2589">IFNA(index(PlayerValues!A:A,match(IFNA(vlookup(B2589,'Special Names'!A:B,2,FALSE),B2589),PlayerValues!E:E,0)),"N/A")</f>
        <v>15329</v>
      </c>
      <c r="B2589" s="4" t="s">
        <v>416</v>
      </c>
      <c r="C2589" s="4" t="s">
        <v>298</v>
      </c>
      <c r="D2589" s="94">
        <v>4984.0</v>
      </c>
    </row>
    <row r="2590">
      <c r="A2590" s="40">
        <f t="array" ref="A2590">IFNA(index(PlayerValues!A:A,match(IFNA(vlookup(B2590,'Special Names'!A:B,2,FALSE),B2590),PlayerValues!E:E,0)),"N/A")</f>
        <v>17543</v>
      </c>
      <c r="B2590" s="4" t="s">
        <v>436</v>
      </c>
      <c r="C2590" s="4" t="s">
        <v>298</v>
      </c>
      <c r="D2590" s="94">
        <v>4666.0</v>
      </c>
    </row>
    <row r="2591">
      <c r="A2591" s="40">
        <f t="array" ref="A2591">IFNA(index(PlayerValues!A:A,match(IFNA(vlookup(B2591,'Special Names'!A:B,2,FALSE),B2591),PlayerValues!E:E,0)),"N/A")</f>
        <v>14056</v>
      </c>
      <c r="B2591" s="4" t="s">
        <v>423</v>
      </c>
      <c r="C2591" s="4" t="s">
        <v>283</v>
      </c>
      <c r="D2591" s="94">
        <v>4094.0</v>
      </c>
    </row>
    <row r="2592">
      <c r="A2592" s="40" t="str">
        <f t="array" ref="A2592">IFNA(index(PlayerValues!A:A,match(IFNA(vlookup(B2592,'Special Names'!A:B,2,FALSE),B2592),PlayerValues!E:E,0)),"N/A")</f>
        <v>N/A</v>
      </c>
      <c r="B2592" s="4" t="s">
        <v>107</v>
      </c>
      <c r="C2592" s="4" t="s">
        <v>325</v>
      </c>
      <c r="D2592" s="94">
        <v>4091.0</v>
      </c>
    </row>
    <row r="2593">
      <c r="A2593" s="40">
        <f t="array" ref="A2593">IFNA(index(PlayerValues!A:A,match(IFNA(vlookup(B2593,'Special Names'!A:B,2,FALSE),B2593),PlayerValues!E:E,0)),"N/A")</f>
        <v>15768</v>
      </c>
      <c r="B2593" s="4" t="s">
        <v>432</v>
      </c>
      <c r="C2593" s="4" t="s">
        <v>287</v>
      </c>
      <c r="D2593" s="94">
        <v>4079.0</v>
      </c>
    </row>
    <row r="2594">
      <c r="A2594" s="40">
        <f t="array" ref="A2594">IFNA(index(PlayerValues!A:A,match(IFNA(vlookup(B2594,'Special Names'!A:B,2,FALSE),B2594),PlayerValues!E:E,0)),"N/A")</f>
        <v>16186</v>
      </c>
      <c r="B2594" s="4" t="s">
        <v>425</v>
      </c>
      <c r="C2594" s="4" t="s">
        <v>287</v>
      </c>
      <c r="D2594" s="94">
        <v>4016.0</v>
      </c>
    </row>
    <row r="2595">
      <c r="A2595" s="40">
        <f t="array" ref="A2595">IFNA(index(PlayerValues!A:A,match(IFNA(vlookup(B2595,'Special Names'!A:B,2,FALSE),B2595),PlayerValues!E:E,0)),"N/A")</f>
        <v>12626</v>
      </c>
      <c r="B2595" s="4" t="s">
        <v>419</v>
      </c>
      <c r="C2595" s="4" t="s">
        <v>278</v>
      </c>
      <c r="D2595" s="94">
        <v>3965.0</v>
      </c>
    </row>
    <row r="2596">
      <c r="A2596" s="40">
        <f t="array" ref="A2596">IFNA(index(PlayerValues!A:A,match(IFNA(vlookup(B2596,'Special Names'!A:B,2,FALSE),B2596),PlayerValues!E:E,0)),"N/A")</f>
        <v>15694</v>
      </c>
      <c r="B2596" s="4" t="s">
        <v>434</v>
      </c>
      <c r="C2596" s="4" t="s">
        <v>283</v>
      </c>
      <c r="D2596" s="94">
        <v>3959.0</v>
      </c>
    </row>
    <row r="2597">
      <c r="A2597" s="40" t="str">
        <f t="array" ref="A2597">IFNA(index(PlayerValues!A:A,match(IFNA(vlookup(B2597,'Special Names'!A:B,2,FALSE),B2597),PlayerValues!E:E,0)),"N/A")</f>
        <v>N/A</v>
      </c>
      <c r="B2597" s="4" t="s">
        <v>81</v>
      </c>
      <c r="C2597" s="4" t="s">
        <v>325</v>
      </c>
      <c r="D2597" s="94">
        <v>3954.0</v>
      </c>
    </row>
    <row r="2598">
      <c r="A2598" s="40">
        <f t="array" ref="A2598">IFNA(index(PlayerValues!A:A,match(IFNA(vlookup(B2598,'Special Names'!A:B,2,FALSE),B2598),PlayerValues!E:E,0)),"N/A")</f>
        <v>14059</v>
      </c>
      <c r="B2598" s="4" t="s">
        <v>435</v>
      </c>
      <c r="C2598" s="4" t="s">
        <v>283</v>
      </c>
      <c r="D2598" s="94">
        <v>3951.0</v>
      </c>
    </row>
    <row r="2599">
      <c r="A2599" s="40">
        <f t="array" ref="A2599">IFNA(index(PlayerValues!A:A,match(IFNA(vlookup(B2599,'Special Names'!A:B,2,FALSE),B2599),PlayerValues!E:E,0)),"N/A")</f>
        <v>17052</v>
      </c>
      <c r="B2599" s="4" t="s">
        <v>417</v>
      </c>
      <c r="C2599" s="4" t="s">
        <v>278</v>
      </c>
      <c r="D2599" s="94">
        <v>3916.0</v>
      </c>
    </row>
    <row r="2600">
      <c r="A2600" s="40" t="str">
        <f t="array" ref="A2600">IFNA(index(PlayerValues!A:A,match(IFNA(vlookup(B2600,'Special Names'!A:B,2,FALSE),B2600),PlayerValues!E:E,0)),"N/A")</f>
        <v>N/A</v>
      </c>
      <c r="B2600" s="4" t="s">
        <v>95</v>
      </c>
      <c r="C2600" s="4" t="s">
        <v>325</v>
      </c>
      <c r="D2600" s="94">
        <v>3909.0</v>
      </c>
    </row>
    <row r="2601">
      <c r="A2601" s="40">
        <f t="array" ref="A2601">IFNA(index(PlayerValues!A:A,match(IFNA(vlookup(B2601,'Special Names'!A:B,2,FALSE),B2601),PlayerValues!E:E,0)),"N/A")</f>
        <v>17502</v>
      </c>
      <c r="B2601" s="4" t="s">
        <v>451</v>
      </c>
      <c r="C2601" s="4" t="s">
        <v>287</v>
      </c>
      <c r="D2601" s="94">
        <v>3827.0</v>
      </c>
    </row>
    <row r="2602">
      <c r="A2602" s="40">
        <f t="array" ref="A2602">IFNA(index(PlayerValues!A:A,match(IFNA(vlookup(B2602,'Special Names'!A:B,2,FALSE),B2602),PlayerValues!E:E,0)),"N/A")</f>
        <v>15789</v>
      </c>
      <c r="B2602" s="4" t="s">
        <v>421</v>
      </c>
      <c r="C2602" s="4" t="s">
        <v>287</v>
      </c>
      <c r="D2602" s="94">
        <v>3742.0</v>
      </c>
    </row>
    <row r="2603">
      <c r="A2603" s="40">
        <f t="array" ref="A2603">IFNA(index(PlayerValues!A:A,match(IFNA(vlookup(B2603,'Special Names'!A:B,2,FALSE),B2603),PlayerValues!E:E,0)),"N/A")</f>
        <v>9431</v>
      </c>
      <c r="B2603" s="4" t="s">
        <v>428</v>
      </c>
      <c r="C2603" s="4" t="s">
        <v>283</v>
      </c>
      <c r="D2603" s="94">
        <v>3737.0</v>
      </c>
    </row>
    <row r="2604">
      <c r="A2604" s="40">
        <f t="array" ref="A2604">IFNA(index(PlayerValues!A:A,match(IFNA(vlookup(B2604,'Special Names'!A:B,2,FALSE),B2604),PlayerValues!E:E,0)),"N/A")</f>
        <v>13635</v>
      </c>
      <c r="B2604" s="4" t="s">
        <v>424</v>
      </c>
      <c r="C2604" s="4" t="s">
        <v>287</v>
      </c>
      <c r="D2604" s="94">
        <v>3716.0</v>
      </c>
    </row>
    <row r="2605">
      <c r="A2605" s="40">
        <f t="array" ref="A2605">IFNA(index(PlayerValues!A:A,match(IFNA(vlookup(B2605,'Special Names'!A:B,2,FALSE),B2605),PlayerValues!E:E,0)),"N/A")</f>
        <v>17075</v>
      </c>
      <c r="B2605" s="4" t="s">
        <v>429</v>
      </c>
      <c r="C2605" s="4" t="s">
        <v>287</v>
      </c>
      <c r="D2605" s="94">
        <v>3710.0</v>
      </c>
    </row>
    <row r="2606">
      <c r="A2606" s="40">
        <f t="array" ref="A2606">IFNA(index(PlayerValues!A:A,match(IFNA(vlookup(B2606,'Special Names'!A:B,2,FALSE),B2606),PlayerValues!E:E,0)),"N/A")</f>
        <v>17544</v>
      </c>
      <c r="B2606" s="4" t="s">
        <v>470</v>
      </c>
      <c r="C2606" s="4" t="s">
        <v>298</v>
      </c>
      <c r="D2606" s="94">
        <v>4183.0</v>
      </c>
    </row>
    <row r="2607">
      <c r="A2607" s="40">
        <f t="array" ref="A2607">IFNA(index(PlayerValues!A:A,match(IFNA(vlookup(B2607,'Special Names'!A:B,2,FALSE),B2607),PlayerValues!E:E,0)),"N/A")</f>
        <v>17066</v>
      </c>
      <c r="B2607" s="4" t="s">
        <v>446</v>
      </c>
      <c r="C2607" s="4" t="s">
        <v>278</v>
      </c>
      <c r="D2607" s="94">
        <v>3669.0</v>
      </c>
    </row>
    <row r="2608">
      <c r="A2608" s="40">
        <f t="array" ref="A2608">IFNA(index(PlayerValues!A:A,match(IFNA(vlookup(B2608,'Special Names'!A:B,2,FALSE),B2608),PlayerValues!E:E,0)),"N/A")</f>
        <v>17463</v>
      </c>
      <c r="B2608" s="4" t="s">
        <v>433</v>
      </c>
      <c r="C2608" s="4" t="s">
        <v>283</v>
      </c>
      <c r="D2608" s="94">
        <v>3669.0</v>
      </c>
    </row>
    <row r="2609">
      <c r="A2609" s="40">
        <f t="array" ref="A2609">IFNA(index(PlayerValues!A:A,match(IFNA(vlookup(B2609,'Special Names'!A:B,2,FALSE),B2609),PlayerValues!E:E,0)),"N/A")</f>
        <v>16206</v>
      </c>
      <c r="B2609" s="4" t="s">
        <v>431</v>
      </c>
      <c r="C2609" s="4" t="s">
        <v>287</v>
      </c>
      <c r="D2609" s="94">
        <v>3646.0</v>
      </c>
    </row>
    <row r="2610">
      <c r="A2610" s="40">
        <f t="array" ref="A2610">IFNA(index(PlayerValues!A:A,match(IFNA(vlookup(B2610,'Special Names'!A:B,2,FALSE),B2610),PlayerValues!E:E,0)),"N/A")</f>
        <v>17099</v>
      </c>
      <c r="B2610" s="4" t="s">
        <v>474</v>
      </c>
      <c r="C2610" s="4" t="s">
        <v>298</v>
      </c>
      <c r="D2610" s="94">
        <v>4100.0</v>
      </c>
    </row>
    <row r="2611">
      <c r="A2611" s="40">
        <f t="array" ref="A2611">IFNA(index(PlayerValues!A:A,match(IFNA(vlookup(B2611,'Special Names'!A:B,2,FALSE),B2611),PlayerValues!E:E,0)),"N/A")</f>
        <v>16187</v>
      </c>
      <c r="B2611" s="4" t="s">
        <v>441</v>
      </c>
      <c r="C2611" s="4" t="s">
        <v>287</v>
      </c>
      <c r="D2611" s="94">
        <v>3598.0</v>
      </c>
    </row>
    <row r="2612">
      <c r="A2612" s="40">
        <f t="array" ref="A2612">IFNA(index(PlayerValues!A:A,match(IFNA(vlookup(B2612,'Special Names'!A:B,2,FALSE),B2612),PlayerValues!E:E,0)),"N/A")</f>
        <v>15757</v>
      </c>
      <c r="B2612" s="4" t="s">
        <v>449</v>
      </c>
      <c r="C2612" s="4" t="s">
        <v>287</v>
      </c>
      <c r="D2612" s="94">
        <v>3594.0</v>
      </c>
    </row>
    <row r="2613">
      <c r="A2613" s="40">
        <f t="array" ref="A2613">IFNA(index(PlayerValues!A:A,match(IFNA(vlookup(B2613,'Special Names'!A:B,2,FALSE),B2613),PlayerValues!E:E,0)),"N/A")</f>
        <v>14073</v>
      </c>
      <c r="B2613" s="4" t="s">
        <v>464</v>
      </c>
      <c r="C2613" s="4" t="s">
        <v>278</v>
      </c>
      <c r="D2613" s="94">
        <v>3553.0</v>
      </c>
    </row>
    <row r="2614">
      <c r="A2614" s="40">
        <f t="array" ref="A2614">IFNA(index(PlayerValues!A:A,match(IFNA(vlookup(B2614,'Special Names'!A:B,2,FALSE),B2614),PlayerValues!E:E,0)),"N/A")</f>
        <v>14797</v>
      </c>
      <c r="B2614" s="4" t="s">
        <v>420</v>
      </c>
      <c r="C2614" s="4" t="s">
        <v>278</v>
      </c>
      <c r="D2614" s="94">
        <v>3553.0</v>
      </c>
    </row>
    <row r="2615">
      <c r="A2615" s="40">
        <f t="array" ref="A2615">IFNA(index(PlayerValues!A:A,match(IFNA(vlookup(B2615,'Special Names'!A:B,2,FALSE),B2615),PlayerValues!E:E,0)),"N/A")</f>
        <v>16192</v>
      </c>
      <c r="B2615" s="4" t="s">
        <v>412</v>
      </c>
      <c r="C2615" s="4" t="s">
        <v>287</v>
      </c>
      <c r="D2615" s="94">
        <v>3550.0</v>
      </c>
    </row>
    <row r="2616">
      <c r="A2616" s="40">
        <f t="array" ref="A2616">IFNA(index(PlayerValues!A:A,match(IFNA(vlookup(B2616,'Special Names'!A:B,2,FALSE),B2616),PlayerValues!E:E,0)),"N/A")</f>
        <v>14102</v>
      </c>
      <c r="B2616" s="4" t="s">
        <v>444</v>
      </c>
      <c r="C2616" s="4" t="s">
        <v>287</v>
      </c>
      <c r="D2616" s="94">
        <v>3523.0</v>
      </c>
    </row>
    <row r="2617">
      <c r="A2617" s="40" t="str">
        <f t="array" ref="A2617">IFNA(index(PlayerValues!A:A,match(IFNA(vlookup(B2617,'Special Names'!A:B,2,FALSE),B2617),PlayerValues!E:E,0)),"N/A")</f>
        <v>N/A</v>
      </c>
      <c r="B2617" s="4" t="s">
        <v>96</v>
      </c>
      <c r="C2617" s="4" t="s">
        <v>325</v>
      </c>
      <c r="D2617" s="94">
        <v>3491.0</v>
      </c>
    </row>
    <row r="2618">
      <c r="A2618" s="40">
        <f t="array" ref="A2618">IFNA(index(PlayerValues!A:A,match(IFNA(vlookup(B2618,'Special Names'!A:B,2,FALSE),B2618),PlayerValues!E:E,0)),"N/A")</f>
        <v>14109</v>
      </c>
      <c r="B2618" s="4" t="s">
        <v>437</v>
      </c>
      <c r="C2618" s="4" t="s">
        <v>287</v>
      </c>
      <c r="D2618" s="94">
        <v>3461.0</v>
      </c>
    </row>
    <row r="2619">
      <c r="A2619" s="40">
        <f t="array" ref="A2619">IFNA(index(PlayerValues!A:A,match(IFNA(vlookup(B2619,'Special Names'!A:B,2,FALSE),B2619),PlayerValues!E:E,0)),"N/A")</f>
        <v>16184</v>
      </c>
      <c r="B2619" s="4" t="s">
        <v>445</v>
      </c>
      <c r="C2619" s="4" t="s">
        <v>287</v>
      </c>
      <c r="D2619" s="94">
        <v>3459.0</v>
      </c>
    </row>
    <row r="2620">
      <c r="A2620" s="40">
        <f t="array" ref="A2620">IFNA(index(PlayerValues!A:A,match(IFNA(vlookup(B2620,'Special Names'!A:B,2,FALSE),B2620),PlayerValues!E:E,0)),"N/A")</f>
        <v>16622</v>
      </c>
      <c r="B2620" s="4" t="s">
        <v>517</v>
      </c>
      <c r="C2620" s="4" t="s">
        <v>287</v>
      </c>
      <c r="D2620" s="94">
        <v>3454.0</v>
      </c>
    </row>
    <row r="2621">
      <c r="A2621" s="40">
        <f t="array" ref="A2621">IFNA(index(PlayerValues!A:A,match(IFNA(vlookup(B2621,'Special Names'!A:B,2,FALSE),B2621),PlayerValues!E:E,0)),"N/A")</f>
        <v>17068</v>
      </c>
      <c r="B2621" s="4" t="s">
        <v>450</v>
      </c>
      <c r="C2621" s="4" t="s">
        <v>278</v>
      </c>
      <c r="D2621" s="94">
        <v>3436.0</v>
      </c>
    </row>
    <row r="2622">
      <c r="A2622" s="40">
        <f t="array" ref="A2622">IFNA(index(PlayerValues!A:A,match(IFNA(vlookup(B2622,'Special Names'!A:B,2,FALSE),B2622),PlayerValues!E:E,0)),"N/A")</f>
        <v>17500</v>
      </c>
      <c r="B2622" s="4" t="s">
        <v>430</v>
      </c>
      <c r="C2622" s="4" t="s">
        <v>287</v>
      </c>
      <c r="D2622" s="94">
        <v>3435.0</v>
      </c>
    </row>
    <row r="2623">
      <c r="A2623" s="40">
        <f t="array" ref="A2623">IFNA(index(PlayerValues!A:A,match(IFNA(vlookup(B2623,'Special Names'!A:B,2,FALSE),B2623),PlayerValues!E:E,0)),"N/A")</f>
        <v>15798</v>
      </c>
      <c r="B2623" s="4" t="s">
        <v>443</v>
      </c>
      <c r="C2623" s="4" t="s">
        <v>298</v>
      </c>
      <c r="D2623" s="94">
        <v>3826.0</v>
      </c>
    </row>
    <row r="2624">
      <c r="A2624" s="40">
        <f t="array" ref="A2624">IFNA(index(PlayerValues!A:A,match(IFNA(vlookup(B2624,'Special Names'!A:B,2,FALSE),B2624),PlayerValues!E:E,0)),"N/A")</f>
        <v>16169</v>
      </c>
      <c r="B2624" s="4" t="s">
        <v>457</v>
      </c>
      <c r="C2624" s="4" t="s">
        <v>278</v>
      </c>
      <c r="D2624" s="94">
        <v>3375.0</v>
      </c>
    </row>
    <row r="2625">
      <c r="A2625" s="40">
        <f t="array" ref="A2625">IFNA(index(PlayerValues!A:A,match(IFNA(vlookup(B2625,'Special Names'!A:B,2,FALSE),B2625),PlayerValues!E:E,0)),"N/A")</f>
        <v>17083</v>
      </c>
      <c r="B2625" s="4" t="s">
        <v>479</v>
      </c>
      <c r="C2625" s="4" t="s">
        <v>287</v>
      </c>
      <c r="D2625" s="94">
        <v>3373.0</v>
      </c>
    </row>
    <row r="2626">
      <c r="A2626" s="40">
        <f t="array" ref="A2626">IFNA(index(PlayerValues!A:A,match(IFNA(vlookup(B2626,'Special Names'!A:B,2,FALSE),B2626),PlayerValues!E:E,0)),"N/A")</f>
        <v>14071</v>
      </c>
      <c r="B2626" s="4" t="s">
        <v>440</v>
      </c>
      <c r="C2626" s="4" t="s">
        <v>278</v>
      </c>
      <c r="D2626" s="94">
        <v>3370.0</v>
      </c>
    </row>
    <row r="2627">
      <c r="A2627" s="40">
        <f t="array" ref="A2627">IFNA(index(PlayerValues!A:A,match(IFNA(vlookup(B2627,'Special Names'!A:B,2,FALSE),B2627),PlayerValues!E:E,0)),"N/A")</f>
        <v>17074</v>
      </c>
      <c r="B2627" s="4" t="s">
        <v>475</v>
      </c>
      <c r="C2627" s="4" t="s">
        <v>287</v>
      </c>
      <c r="D2627" s="94">
        <v>3368.0</v>
      </c>
    </row>
    <row r="2628">
      <c r="A2628" s="40">
        <f t="array" ref="A2628">IFNA(index(PlayerValues!A:A,match(IFNA(vlookup(B2628,'Special Names'!A:B,2,FALSE),B2628),PlayerValues!E:E,0)),"N/A")</f>
        <v>16620</v>
      </c>
      <c r="B2628" s="4" t="s">
        <v>467</v>
      </c>
      <c r="C2628" s="4" t="s">
        <v>287</v>
      </c>
      <c r="D2628" s="94">
        <v>3363.0</v>
      </c>
    </row>
    <row r="2629">
      <c r="A2629" s="40">
        <f t="array" ref="A2629">IFNA(index(PlayerValues!A:A,match(IFNA(vlookup(B2629,'Special Names'!A:B,2,FALSE),B2629),PlayerValues!E:E,0)),"N/A")</f>
        <v>14842</v>
      </c>
      <c r="B2629" s="4" t="s">
        <v>456</v>
      </c>
      <c r="C2629" s="4" t="s">
        <v>287</v>
      </c>
      <c r="D2629" s="94">
        <v>3361.0</v>
      </c>
    </row>
    <row r="2630">
      <c r="A2630" s="40">
        <f t="array" ref="A2630">IFNA(index(PlayerValues!A:A,match(IFNA(vlookup(B2630,'Special Names'!A:B,2,FALSE),B2630),PlayerValues!E:E,0)),"N/A")</f>
        <v>16188</v>
      </c>
      <c r="B2630" s="4" t="s">
        <v>439</v>
      </c>
      <c r="C2630" s="4" t="s">
        <v>287</v>
      </c>
      <c r="D2630" s="94">
        <v>3352.0</v>
      </c>
    </row>
    <row r="2631">
      <c r="A2631" s="40">
        <f t="array" ref="A2631">IFNA(index(PlayerValues!A:A,match(IFNA(vlookup(B2631,'Special Names'!A:B,2,FALSE),B2631),PlayerValues!E:E,0)),"N/A")</f>
        <v>15261</v>
      </c>
      <c r="B2631" s="4" t="s">
        <v>466</v>
      </c>
      <c r="C2631" s="4" t="s">
        <v>278</v>
      </c>
      <c r="D2631" s="94">
        <v>3326.0</v>
      </c>
    </row>
    <row r="2632">
      <c r="A2632" s="40" t="str">
        <f t="array" ref="A2632">IFNA(index(PlayerValues!A:A,match(IFNA(vlookup(B2632,'Special Names'!A:B,2,FALSE),B2632),PlayerValues!E:E,0)),"N/A")</f>
        <v>N/A</v>
      </c>
      <c r="B2632" s="4" t="s">
        <v>82</v>
      </c>
      <c r="C2632" s="4" t="s">
        <v>325</v>
      </c>
      <c r="D2632" s="94">
        <v>3295.0</v>
      </c>
    </row>
    <row r="2633">
      <c r="A2633" s="40">
        <f t="array" ref="A2633">IFNA(index(PlayerValues!A:A,match(IFNA(vlookup(B2633,'Special Names'!A:B,2,FALSE),B2633),PlayerValues!E:E,0)),"N/A")</f>
        <v>16593</v>
      </c>
      <c r="B2633" s="4" t="s">
        <v>442</v>
      </c>
      <c r="C2633" s="4" t="s">
        <v>278</v>
      </c>
      <c r="D2633" s="94">
        <v>3285.0</v>
      </c>
    </row>
    <row r="2634">
      <c r="A2634" s="40">
        <f t="array" ref="A2634">IFNA(index(PlayerValues!A:A,match(IFNA(vlookup(B2634,'Special Names'!A:B,2,FALSE),B2634),PlayerValues!E:E,0)),"N/A")</f>
        <v>11671</v>
      </c>
      <c r="B2634" s="4" t="s">
        <v>463</v>
      </c>
      <c r="C2634" s="4" t="s">
        <v>287</v>
      </c>
      <c r="D2634" s="94">
        <v>3279.0</v>
      </c>
    </row>
    <row r="2635">
      <c r="A2635" s="40">
        <f t="array" ref="A2635">IFNA(index(PlayerValues!A:A,match(IFNA(vlookup(B2635,'Special Names'!A:B,2,FALSE),B2635),PlayerValues!E:E,0)),"N/A")</f>
        <v>11675</v>
      </c>
      <c r="B2635" s="4" t="s">
        <v>438</v>
      </c>
      <c r="C2635" s="4" t="s">
        <v>287</v>
      </c>
      <c r="D2635" s="94">
        <v>3279.0</v>
      </c>
    </row>
    <row r="2636">
      <c r="A2636" s="40">
        <f t="array" ref="A2636">IFNA(index(PlayerValues!A:A,match(IFNA(vlookup(B2636,'Special Names'!A:B,2,FALSE),B2636),PlayerValues!E:E,0)),"N/A")</f>
        <v>16213</v>
      </c>
      <c r="B2636" s="4" t="s">
        <v>458</v>
      </c>
      <c r="C2636" s="4" t="s">
        <v>298</v>
      </c>
      <c r="D2636" s="94">
        <v>3683.0</v>
      </c>
    </row>
    <row r="2637">
      <c r="A2637" s="40">
        <f t="array" ref="A2637">IFNA(index(PlayerValues!A:A,match(IFNA(vlookup(B2637,'Special Names'!A:B,2,FALSE),B2637),PlayerValues!E:E,0)),"N/A")</f>
        <v>13299</v>
      </c>
      <c r="B2637" s="4" t="s">
        <v>448</v>
      </c>
      <c r="C2637" s="4" t="s">
        <v>298</v>
      </c>
      <c r="D2637" s="94">
        <v>3674.0</v>
      </c>
    </row>
    <row r="2638">
      <c r="A2638" s="40">
        <f t="array" ref="A2638">IFNA(index(PlayerValues!A:A,match(IFNA(vlookup(B2638,'Special Names'!A:B,2,FALSE),B2638),PlayerValues!E:E,0)),"N/A")</f>
        <v>15779</v>
      </c>
      <c r="B2638" s="4" t="s">
        <v>461</v>
      </c>
      <c r="C2638" s="4" t="s">
        <v>287</v>
      </c>
      <c r="D2638" s="94">
        <v>3221.0</v>
      </c>
    </row>
    <row r="2639">
      <c r="A2639" s="40">
        <f t="array" ref="A2639">IFNA(index(PlayerValues!A:A,match(IFNA(vlookup(B2639,'Special Names'!A:B,2,FALSE),B2639),PlayerValues!E:E,0)),"N/A")</f>
        <v>15799</v>
      </c>
      <c r="B2639" s="4" t="s">
        <v>468</v>
      </c>
      <c r="C2639" s="4" t="s">
        <v>298</v>
      </c>
      <c r="D2639" s="94">
        <v>3658.0</v>
      </c>
    </row>
    <row r="2640">
      <c r="A2640" s="40">
        <f t="array" ref="A2640">IFNA(index(PlayerValues!A:A,match(IFNA(vlookup(B2640,'Special Names'!A:B,2,FALSE),B2640),PlayerValues!E:E,0)),"N/A")</f>
        <v>16597</v>
      </c>
      <c r="B2640" s="4" t="s">
        <v>427</v>
      </c>
      <c r="C2640" s="4" t="s">
        <v>278</v>
      </c>
      <c r="D2640" s="94">
        <v>3200.0</v>
      </c>
    </row>
    <row r="2641">
      <c r="A2641" s="40">
        <f t="array" ref="A2641">IFNA(index(PlayerValues!A:A,match(IFNA(vlookup(B2641,'Special Names'!A:B,2,FALSE),B2641),PlayerValues!E:E,0)),"N/A")</f>
        <v>14823</v>
      </c>
      <c r="B2641" s="4" t="s">
        <v>459</v>
      </c>
      <c r="C2641" s="4" t="s">
        <v>278</v>
      </c>
      <c r="D2641" s="94">
        <v>3196.0</v>
      </c>
    </row>
    <row r="2642">
      <c r="A2642" s="40" t="str">
        <f t="array" ref="A2642">IFNA(index(PlayerValues!A:A,match(IFNA(vlookup(B2642,'Special Names'!A:B,2,FALSE),B2642),PlayerValues!E:E,0)),"N/A")</f>
        <v>N/A</v>
      </c>
      <c r="B2642" s="4" t="s">
        <v>108</v>
      </c>
      <c r="C2642" s="4" t="s">
        <v>325</v>
      </c>
      <c r="D2642" s="94">
        <v>3178.0</v>
      </c>
    </row>
    <row r="2643">
      <c r="A2643" s="40">
        <f t="array" ref="A2643">IFNA(index(PlayerValues!A:A,match(IFNA(vlookup(B2643,'Special Names'!A:B,2,FALSE),B2643),PlayerValues!E:E,0)),"N/A")</f>
        <v>17477</v>
      </c>
      <c r="B2643" s="4" t="s">
        <v>452</v>
      </c>
      <c r="C2643" s="4" t="s">
        <v>278</v>
      </c>
      <c r="D2643" s="94">
        <v>3161.0</v>
      </c>
    </row>
    <row r="2644">
      <c r="A2644" s="40">
        <f t="array" ref="A2644">IFNA(index(PlayerValues!A:A,match(IFNA(vlookup(B2644,'Special Names'!A:B,2,FALSE),B2644),PlayerValues!E:E,0)),"N/A")</f>
        <v>15742</v>
      </c>
      <c r="B2644" s="4" t="s">
        <v>447</v>
      </c>
      <c r="C2644" s="4" t="s">
        <v>278</v>
      </c>
      <c r="D2644" s="94">
        <v>3159.0</v>
      </c>
    </row>
    <row r="2645">
      <c r="A2645" s="40">
        <f t="array" ref="A2645">IFNA(index(PlayerValues!A:A,match(IFNA(vlookup(B2645,'Special Names'!A:B,2,FALSE),B2645),PlayerValues!E:E,0)),"N/A")</f>
        <v>16583</v>
      </c>
      <c r="B2645" s="4" t="s">
        <v>493</v>
      </c>
      <c r="C2645" s="4" t="s">
        <v>283</v>
      </c>
      <c r="D2645" s="94">
        <v>3157.0</v>
      </c>
    </row>
    <row r="2646">
      <c r="A2646" s="40" t="str">
        <f t="array" ref="A2646">IFNA(index(PlayerValues!A:A,match(IFNA(vlookup(B2646,'Special Names'!A:B,2,FALSE),B2646),PlayerValues!E:E,0)),"N/A")</f>
        <v>N/A</v>
      </c>
      <c r="B2646" s="4" t="s">
        <v>97</v>
      </c>
      <c r="C2646" s="4" t="s">
        <v>325</v>
      </c>
      <c r="D2646" s="94">
        <v>3155.0</v>
      </c>
    </row>
    <row r="2647">
      <c r="A2647" s="40">
        <f t="array" ref="A2647">IFNA(index(PlayerValues!A:A,match(IFNA(vlookup(B2647,'Special Names'!A:B,2,FALSE),B2647),PlayerValues!E:E,0)),"N/A")</f>
        <v>13630</v>
      </c>
      <c r="B2647" s="4" t="s">
        <v>465</v>
      </c>
      <c r="C2647" s="4" t="s">
        <v>287</v>
      </c>
      <c r="D2647" s="94">
        <v>3152.0</v>
      </c>
    </row>
    <row r="2648">
      <c r="A2648" s="40">
        <f t="array" ref="A2648">IFNA(index(PlayerValues!A:A,match(IFNA(vlookup(B2648,'Special Names'!A:B,2,FALSE),B2648),PlayerValues!E:E,0)),"N/A")</f>
        <v>14127</v>
      </c>
      <c r="B2648" s="4" t="s">
        <v>486</v>
      </c>
      <c r="C2648" s="4" t="s">
        <v>287</v>
      </c>
      <c r="D2648" s="94">
        <v>3139.0</v>
      </c>
    </row>
    <row r="2649">
      <c r="A2649" s="40">
        <f t="array" ref="A2649">IFNA(index(PlayerValues!A:A,match(IFNA(vlookup(B2649,'Special Names'!A:B,2,FALSE),B2649),PlayerValues!E:E,0)),"N/A")</f>
        <v>16809</v>
      </c>
      <c r="B2649" s="4" t="s">
        <v>455</v>
      </c>
      <c r="C2649" s="4" t="s">
        <v>287</v>
      </c>
      <c r="D2649" s="94">
        <v>3068.0</v>
      </c>
    </row>
    <row r="2650">
      <c r="A2650" s="40">
        <f t="array" ref="A2650">IFNA(index(PlayerValues!A:A,match(IFNA(vlookup(B2650,'Special Names'!A:B,2,FALSE),B2650),PlayerValues!E:E,0)),"N/A")</f>
        <v>16269</v>
      </c>
      <c r="B2650" s="4" t="s">
        <v>481</v>
      </c>
      <c r="C2650" s="4" t="s">
        <v>298</v>
      </c>
      <c r="D2650" s="94">
        <v>3435.0</v>
      </c>
    </row>
    <row r="2651">
      <c r="A2651" s="40">
        <f t="array" ref="A2651">IFNA(index(PlayerValues!A:A,match(IFNA(vlookup(B2651,'Special Names'!A:B,2,FALSE),B2651),PlayerValues!E:E,0)),"N/A")</f>
        <v>17506</v>
      </c>
      <c r="B2651" s="4" t="s">
        <v>471</v>
      </c>
      <c r="C2651" s="4" t="s">
        <v>287</v>
      </c>
      <c r="D2651" s="94">
        <v>2999.0</v>
      </c>
    </row>
    <row r="2652">
      <c r="A2652" s="40">
        <f t="array" ref="A2652">IFNA(index(PlayerValues!A:A,match(IFNA(vlookup(B2652,'Special Names'!A:B,2,FALSE),B2652),PlayerValues!E:E,0)),"N/A")</f>
        <v>15761</v>
      </c>
      <c r="B2652" s="4" t="s">
        <v>491</v>
      </c>
      <c r="C2652" s="4" t="s">
        <v>287</v>
      </c>
      <c r="D2652" s="94">
        <v>2990.0</v>
      </c>
    </row>
    <row r="2653">
      <c r="A2653" s="40" t="str">
        <f t="array" ref="A2653">IFNA(index(PlayerValues!A:A,match(IFNA(vlookup(B2653,'Special Names'!A:B,2,FALSE),B2653),PlayerValues!E:E,0)),"N/A")</f>
        <v>N/A</v>
      </c>
      <c r="B2653" s="4" t="s">
        <v>109</v>
      </c>
      <c r="C2653" s="4" t="s">
        <v>325</v>
      </c>
      <c r="D2653" s="94">
        <v>2979.0</v>
      </c>
    </row>
    <row r="2654">
      <c r="A2654" s="40">
        <f t="array" ref="A2654">IFNA(index(PlayerValues!A:A,match(IFNA(vlookup(B2654,'Special Names'!A:B,2,FALSE),B2654),PlayerValues!E:E,0)),"N/A")</f>
        <v>14800</v>
      </c>
      <c r="B2654" s="4" t="s">
        <v>472</v>
      </c>
      <c r="C2654" s="4" t="s">
        <v>278</v>
      </c>
      <c r="D2654" s="94">
        <v>2966.0</v>
      </c>
    </row>
    <row r="2655">
      <c r="A2655" s="40">
        <f t="array" ref="A2655">IFNA(index(PlayerValues!A:A,match(IFNA(vlookup(B2655,'Special Names'!A:B,2,FALSE),B2655),PlayerValues!E:E,0)),"N/A")</f>
        <v>17512</v>
      </c>
      <c r="B2655" s="4" t="s">
        <v>483</v>
      </c>
      <c r="C2655" s="4" t="s">
        <v>287</v>
      </c>
      <c r="D2655" s="94">
        <v>2966.0</v>
      </c>
    </row>
    <row r="2656">
      <c r="A2656" s="40">
        <f t="array" ref="A2656">IFNA(index(PlayerValues!A:A,match(IFNA(vlookup(B2656,'Special Names'!A:B,2,FALSE),B2656),PlayerValues!E:E,0)),"N/A")</f>
        <v>17503</v>
      </c>
      <c r="B2656" s="4" t="s">
        <v>480</v>
      </c>
      <c r="C2656" s="4" t="s">
        <v>287</v>
      </c>
      <c r="D2656" s="94">
        <v>2964.0</v>
      </c>
    </row>
    <row r="2657">
      <c r="A2657" s="40">
        <f t="array" ref="A2657">IFNA(index(PlayerValues!A:A,match(IFNA(vlookup(B2657,'Special Names'!A:B,2,FALSE),B2657),PlayerValues!E:E,0)),"N/A")</f>
        <v>13163</v>
      </c>
      <c r="B2657" s="4" t="s">
        <v>473</v>
      </c>
      <c r="C2657" s="4" t="s">
        <v>287</v>
      </c>
      <c r="D2657" s="94">
        <v>2962.0</v>
      </c>
    </row>
    <row r="2658">
      <c r="A2658" s="40">
        <f t="array" ref="A2658">IFNA(index(PlayerValues!A:A,match(IFNA(vlookup(B2658,'Special Names'!A:B,2,FALSE),B2658),PlayerValues!E:E,0)),"N/A")</f>
        <v>16628</v>
      </c>
      <c r="B2658" s="4" t="s">
        <v>490</v>
      </c>
      <c r="C2658" s="4" t="s">
        <v>287</v>
      </c>
      <c r="D2658" s="94">
        <v>2957.0</v>
      </c>
    </row>
    <row r="2659">
      <c r="A2659" s="40" t="str">
        <f t="array" ref="A2659">IFNA(index(PlayerValues!A:A,match(IFNA(vlookup(B2659,'Special Names'!A:B,2,FALSE),B2659),PlayerValues!E:E,0)),"N/A")</f>
        <v>N/A</v>
      </c>
      <c r="B2659" s="4" t="s">
        <v>84</v>
      </c>
      <c r="C2659" s="4" t="s">
        <v>325</v>
      </c>
      <c r="D2659" s="94">
        <v>2953.0</v>
      </c>
    </row>
    <row r="2660">
      <c r="A2660" s="40">
        <f t="array" ref="A2660">IFNA(index(PlayerValues!A:A,match(IFNA(vlookup(B2660,'Special Names'!A:B,2,FALSE),B2660),PlayerValues!E:E,0)),"N/A")</f>
        <v>17476</v>
      </c>
      <c r="B2660" s="4" t="s">
        <v>494</v>
      </c>
      <c r="C2660" s="4" t="s">
        <v>278</v>
      </c>
      <c r="D2660" s="94">
        <v>2940.0</v>
      </c>
    </row>
    <row r="2661">
      <c r="A2661" s="40">
        <f t="array" ref="A2661">IFNA(index(PlayerValues!A:A,match(IFNA(vlookup(B2661,'Special Names'!A:B,2,FALSE),B2661),PlayerValues!E:E,0)),"N/A")</f>
        <v>17256</v>
      </c>
      <c r="B2661" s="4" t="s">
        <v>462</v>
      </c>
      <c r="C2661" s="4" t="s">
        <v>278</v>
      </c>
      <c r="D2661" s="94">
        <v>2938.0</v>
      </c>
    </row>
    <row r="2662">
      <c r="A2662" s="40">
        <f t="array" ref="A2662">IFNA(index(PlayerValues!A:A,match(IFNA(vlookup(B2662,'Special Names'!A:B,2,FALSE),B2662),PlayerValues!E:E,0)),"N/A")</f>
        <v>15259</v>
      </c>
      <c r="B2662" s="4" t="s">
        <v>453</v>
      </c>
      <c r="C2662" s="4" t="s">
        <v>278</v>
      </c>
      <c r="D2662" s="94">
        <v>2917.0</v>
      </c>
    </row>
    <row r="2663">
      <c r="A2663" s="40">
        <f t="array" ref="A2663">IFNA(index(PlayerValues!A:A,match(IFNA(vlookup(B2663,'Special Names'!A:B,2,FALSE),B2663),PlayerValues!E:E,0)),"N/A")</f>
        <v>16080</v>
      </c>
      <c r="B2663" s="4" t="s">
        <v>499</v>
      </c>
      <c r="C2663" s="4" t="s">
        <v>287</v>
      </c>
      <c r="D2663" s="94">
        <v>2887.0</v>
      </c>
    </row>
    <row r="2664">
      <c r="A2664" s="40">
        <f t="array" ref="A2664">IFNA(index(PlayerValues!A:A,match(IFNA(vlookup(B2664,'Special Names'!A:B,2,FALSE),B2664),PlayerValues!E:E,0)),"N/A")</f>
        <v>16584</v>
      </c>
      <c r="B2664" s="4" t="s">
        <v>569</v>
      </c>
      <c r="C2664" s="4" t="s">
        <v>283</v>
      </c>
      <c r="D2664" s="94">
        <v>2853.0</v>
      </c>
    </row>
    <row r="2665">
      <c r="A2665" s="40" t="str">
        <f t="array" ref="A2665">IFNA(index(PlayerValues!A:A,match(IFNA(vlookup(B2665,'Special Names'!A:B,2,FALSE),B2665),PlayerValues!E:E,0)),"N/A")</f>
        <v>N/A</v>
      </c>
      <c r="B2665" s="4" t="s">
        <v>85</v>
      </c>
      <c r="C2665" s="4" t="s">
        <v>325</v>
      </c>
      <c r="D2665" s="94">
        <v>2833.0</v>
      </c>
    </row>
    <row r="2666">
      <c r="A2666" s="40">
        <f t="array" ref="A2666">IFNA(index(PlayerValues!A:A,match(IFNA(vlookup(B2666,'Special Names'!A:B,2,FALSE),B2666),PlayerValues!E:E,0)),"N/A")</f>
        <v>15255</v>
      </c>
      <c r="B2666" s="4" t="s">
        <v>477</v>
      </c>
      <c r="C2666" s="4" t="s">
        <v>278</v>
      </c>
      <c r="D2666" s="94">
        <v>2829.0</v>
      </c>
    </row>
    <row r="2667">
      <c r="A2667" s="40" t="str">
        <f t="array" ref="A2667">IFNA(index(PlayerValues!A:A,match(IFNA(vlookup(B2667,'Special Names'!A:B,2,FALSE),B2667),PlayerValues!E:E,0)),"N/A")</f>
        <v>N/A</v>
      </c>
      <c r="B2667" s="4" t="s">
        <v>110</v>
      </c>
      <c r="C2667" s="4" t="s">
        <v>325</v>
      </c>
      <c r="D2667" s="94">
        <v>2819.0</v>
      </c>
    </row>
    <row r="2668">
      <c r="A2668" s="40">
        <f t="array" ref="A2668">IFNA(index(PlayerValues!A:A,match(IFNA(vlookup(B2668,'Special Names'!A:B,2,FALSE),B2668),PlayerValues!E:E,0)),"N/A")</f>
        <v>17157</v>
      </c>
      <c r="B2668" s="4" t="s">
        <v>524</v>
      </c>
      <c r="C2668" s="4" t="s">
        <v>287</v>
      </c>
      <c r="D2668" s="94">
        <v>2810.0</v>
      </c>
    </row>
    <row r="2669">
      <c r="A2669" s="40">
        <f t="array" ref="A2669">IFNA(index(PlayerValues!A:A,match(IFNA(vlookup(B2669,'Special Names'!A:B,2,FALSE),B2669),PlayerValues!E:E,0)),"N/A")</f>
        <v>17053</v>
      </c>
      <c r="B2669" s="4" t="s">
        <v>484</v>
      </c>
      <c r="C2669" s="4" t="s">
        <v>278</v>
      </c>
      <c r="D2669" s="94">
        <v>2806.0</v>
      </c>
    </row>
    <row r="2670">
      <c r="A2670" s="40">
        <f t="array" ref="A2670">IFNA(index(PlayerValues!A:A,match(IFNA(vlookup(B2670,'Special Names'!A:B,2,FALSE),B2670),PlayerValues!E:E,0)),"N/A")</f>
        <v>14085</v>
      </c>
      <c r="B2670" s="4" t="s">
        <v>489</v>
      </c>
      <c r="C2670" s="4" t="s">
        <v>278</v>
      </c>
      <c r="D2670" s="94">
        <v>2797.0</v>
      </c>
    </row>
    <row r="2671">
      <c r="A2671" s="40">
        <f t="array" ref="A2671">IFNA(index(PlayerValues!A:A,match(IFNA(vlookup(B2671,'Special Names'!A:B,2,FALSE),B2671),PlayerValues!E:E,0)),"N/A")</f>
        <v>14138</v>
      </c>
      <c r="B2671" s="4" t="s">
        <v>531</v>
      </c>
      <c r="C2671" s="4" t="s">
        <v>298</v>
      </c>
      <c r="D2671" s="94">
        <v>3210.0</v>
      </c>
    </row>
    <row r="2672">
      <c r="A2672" s="40">
        <f t="array" ref="A2672">IFNA(index(PlayerValues!A:A,match(IFNA(vlookup(B2672,'Special Names'!A:B,2,FALSE),B2672),PlayerValues!E:E,0)),"N/A")</f>
        <v>17505</v>
      </c>
      <c r="B2672" s="4" t="s">
        <v>528</v>
      </c>
      <c r="C2672" s="4" t="s">
        <v>287</v>
      </c>
      <c r="D2672" s="94">
        <v>2783.0</v>
      </c>
    </row>
    <row r="2673">
      <c r="A2673" s="40">
        <f t="array" ref="A2673">IFNA(index(PlayerValues!A:A,match(IFNA(vlookup(B2673,'Special Names'!A:B,2,FALSE),B2673),PlayerValues!E:E,0)),"N/A")</f>
        <v>17072</v>
      </c>
      <c r="B2673" s="4" t="s">
        <v>508</v>
      </c>
      <c r="C2673" s="4" t="s">
        <v>287</v>
      </c>
      <c r="D2673" s="94">
        <v>2767.0</v>
      </c>
    </row>
    <row r="2674">
      <c r="A2674" s="40">
        <f t="array" ref="A2674">IFNA(index(PlayerValues!A:A,match(IFNA(vlookup(B2674,'Special Names'!A:B,2,FALSE),B2674),PlayerValues!E:E,0)),"N/A")</f>
        <v>16723</v>
      </c>
      <c r="B2674" s="4" t="s">
        <v>502</v>
      </c>
      <c r="C2674" s="4" t="s">
        <v>298</v>
      </c>
      <c r="D2674" s="94">
        <v>3180.0</v>
      </c>
    </row>
    <row r="2675">
      <c r="A2675" s="40">
        <f t="array" ref="A2675">IFNA(index(PlayerValues!A:A,match(IFNA(vlookup(B2675,'Special Names'!A:B,2,FALSE),B2675),PlayerValues!E:E,0)),"N/A")</f>
        <v>13671</v>
      </c>
      <c r="B2675" s="4" t="s">
        <v>506</v>
      </c>
      <c r="C2675" s="4" t="s">
        <v>298</v>
      </c>
      <c r="D2675" s="94">
        <v>3176.0</v>
      </c>
    </row>
    <row r="2676">
      <c r="A2676" s="40">
        <f t="array" ref="A2676">IFNA(index(PlayerValues!A:A,match(IFNA(vlookup(B2676,'Special Names'!A:B,2,FALSE),B2676),PlayerValues!E:E,0)),"N/A")</f>
        <v>17031</v>
      </c>
      <c r="B2676" s="4" t="s">
        <v>535</v>
      </c>
      <c r="C2676" s="4" t="s">
        <v>283</v>
      </c>
      <c r="D2676" s="94">
        <v>2749.0</v>
      </c>
    </row>
    <row r="2677">
      <c r="A2677" s="40">
        <f t="array" ref="A2677">IFNA(index(PlayerValues!A:A,match(IFNA(vlookup(B2677,'Special Names'!A:B,2,FALSE),B2677),PlayerValues!E:E,0)),"N/A")</f>
        <v>17047</v>
      </c>
      <c r="B2677" s="4" t="s">
        <v>510</v>
      </c>
      <c r="C2677" s="4" t="s">
        <v>278</v>
      </c>
      <c r="D2677" s="94">
        <v>2748.0</v>
      </c>
    </row>
    <row r="2678">
      <c r="A2678" s="40">
        <f t="array" ref="A2678">IFNA(index(PlayerValues!A:A,match(IFNA(vlookup(B2678,'Special Names'!A:B,2,FALSE),B2678),PlayerValues!E:E,0)),"N/A")</f>
        <v>15889</v>
      </c>
      <c r="B2678" s="4" t="s">
        <v>503</v>
      </c>
      <c r="C2678" s="4" t="s">
        <v>298</v>
      </c>
      <c r="D2678" s="94">
        <v>3146.0</v>
      </c>
    </row>
    <row r="2679">
      <c r="A2679" s="40">
        <f t="array" ref="A2679">IFNA(index(PlayerValues!A:A,match(IFNA(vlookup(B2679,'Special Names'!A:B,2,FALSE),B2679),PlayerValues!E:E,0)),"N/A")</f>
        <v>14778</v>
      </c>
      <c r="B2679" s="4" t="s">
        <v>564</v>
      </c>
      <c r="C2679" s="4" t="s">
        <v>283</v>
      </c>
      <c r="D2679" s="94">
        <v>2733.0</v>
      </c>
    </row>
    <row r="2680">
      <c r="A2680" s="40">
        <f t="array" ref="A2680">IFNA(index(PlayerValues!A:A,match(IFNA(vlookup(B2680,'Special Names'!A:B,2,FALSE),B2680),PlayerValues!E:E,0)),"N/A")</f>
        <v>15721</v>
      </c>
      <c r="B2680" s="4" t="s">
        <v>504</v>
      </c>
      <c r="C2680" s="4" t="s">
        <v>278</v>
      </c>
      <c r="D2680" s="94">
        <v>2732.0</v>
      </c>
    </row>
    <row r="2681">
      <c r="A2681" s="40">
        <f t="array" ref="A2681">IFNA(index(PlayerValues!A:A,match(IFNA(vlookup(B2681,'Special Names'!A:B,2,FALSE),B2681),PlayerValues!E:E,0)),"N/A")</f>
        <v>15712</v>
      </c>
      <c r="B2681" s="4" t="s">
        <v>488</v>
      </c>
      <c r="C2681" s="4" t="s">
        <v>278</v>
      </c>
      <c r="D2681" s="94">
        <v>2729.0</v>
      </c>
    </row>
    <row r="2682">
      <c r="A2682" s="40">
        <f t="array" ref="A2682">IFNA(index(PlayerValues!A:A,match(IFNA(vlookup(B2682,'Special Names'!A:B,2,FALSE),B2682),PlayerValues!E:E,0)),"N/A")</f>
        <v>17098</v>
      </c>
      <c r="B2682" s="4" t="s">
        <v>533</v>
      </c>
      <c r="C2682" s="4" t="s">
        <v>287</v>
      </c>
      <c r="D2682" s="94">
        <v>2706.0</v>
      </c>
    </row>
    <row r="2683">
      <c r="A2683" s="40">
        <f t="array" ref="A2683">IFNA(index(PlayerValues!A:A,match(IFNA(vlookup(B2683,'Special Names'!A:B,2,FALSE),B2683),PlayerValues!E:E,0)),"N/A")</f>
        <v>17507</v>
      </c>
      <c r="B2683" s="4" t="s">
        <v>495</v>
      </c>
      <c r="C2683" s="4" t="s">
        <v>287</v>
      </c>
      <c r="D2683" s="94">
        <v>2695.0</v>
      </c>
    </row>
    <row r="2684">
      <c r="A2684" s="40">
        <f t="array" ref="A2684">IFNA(index(PlayerValues!A:A,match(IFNA(vlookup(B2684,'Special Names'!A:B,2,FALSE),B2684),PlayerValues!E:E,0)),"N/A")</f>
        <v>17511</v>
      </c>
      <c r="B2684" s="4" t="s">
        <v>485</v>
      </c>
      <c r="C2684" s="4" t="s">
        <v>287</v>
      </c>
      <c r="D2684" s="94">
        <v>2690.0</v>
      </c>
    </row>
    <row r="2685">
      <c r="A2685" s="40">
        <f t="array" ref="A2685">IFNA(index(PlayerValues!A:A,match(IFNA(vlookup(B2685,'Special Names'!A:B,2,FALSE),B2685),PlayerValues!E:E,0)),"N/A")</f>
        <v>14860</v>
      </c>
      <c r="B2685" s="4" t="s">
        <v>554</v>
      </c>
      <c r="C2685" s="4" t="s">
        <v>287</v>
      </c>
      <c r="D2685" s="94">
        <v>2689.0</v>
      </c>
    </row>
    <row r="2686">
      <c r="A2686" s="40">
        <f t="array" ref="A2686">IFNA(index(PlayerValues!A:A,match(IFNA(vlookup(B2686,'Special Names'!A:B,2,FALSE),B2686),PlayerValues!E:E,0)),"N/A")</f>
        <v>12616</v>
      </c>
      <c r="B2686" s="4" t="s">
        <v>529</v>
      </c>
      <c r="C2686" s="4" t="s">
        <v>283</v>
      </c>
      <c r="D2686" s="94">
        <v>2688.0</v>
      </c>
    </row>
    <row r="2687">
      <c r="A2687" s="40">
        <f t="array" ref="A2687">IFNA(index(PlayerValues!A:A,match(IFNA(vlookup(B2687,'Special Names'!A:B,2,FALSE),B2687),PlayerValues!E:E,0)),"N/A")</f>
        <v>16747</v>
      </c>
      <c r="B2687" s="4" t="s">
        <v>555</v>
      </c>
      <c r="C2687" s="4" t="s">
        <v>278</v>
      </c>
      <c r="D2687" s="94">
        <v>2678.0</v>
      </c>
    </row>
    <row r="2688">
      <c r="A2688" s="40">
        <f t="array" ref="A2688">IFNA(index(PlayerValues!A:A,match(IFNA(vlookup(B2688,'Special Names'!A:B,2,FALSE),B2688),PlayerValues!E:E,0)),"N/A")</f>
        <v>17080</v>
      </c>
      <c r="B2688" s="4" t="s">
        <v>532</v>
      </c>
      <c r="C2688" s="4" t="s">
        <v>287</v>
      </c>
      <c r="D2688" s="94">
        <v>2674.0</v>
      </c>
    </row>
    <row r="2689">
      <c r="A2689" s="40">
        <f t="array" ref="A2689">IFNA(index(PlayerValues!A:A,match(IFNA(vlookup(B2689,'Special Names'!A:B,2,FALSE),B2689),PlayerValues!E:E,0)),"N/A")</f>
        <v>17105</v>
      </c>
      <c r="B2689" s="4" t="s">
        <v>525</v>
      </c>
      <c r="C2689" s="4" t="s">
        <v>298</v>
      </c>
      <c r="D2689" s="94">
        <v>3083.0</v>
      </c>
    </row>
    <row r="2690">
      <c r="A2690" s="40">
        <f t="array" ref="A2690">IFNA(index(PlayerValues!A:A,match(IFNA(vlookup(B2690,'Special Names'!A:B,2,FALSE),B2690),PlayerValues!E:E,0)),"N/A")</f>
        <v>16193</v>
      </c>
      <c r="B2690" s="4" t="s">
        <v>487</v>
      </c>
      <c r="C2690" s="4" t="s">
        <v>287</v>
      </c>
      <c r="D2690" s="94">
        <v>2668.0</v>
      </c>
    </row>
    <row r="2691">
      <c r="A2691" s="40">
        <f t="array" ref="A2691">IFNA(index(PlayerValues!A:A,match(IFNA(vlookup(B2691,'Special Names'!A:B,2,FALSE),B2691),PlayerValues!E:E,0)),"N/A")</f>
        <v>16596</v>
      </c>
      <c r="B2691" s="4" t="s">
        <v>501</v>
      </c>
      <c r="C2691" s="4" t="s">
        <v>278</v>
      </c>
      <c r="D2691" s="94">
        <v>2661.0</v>
      </c>
    </row>
    <row r="2692">
      <c r="A2692" s="40">
        <f t="array" ref="A2692">IFNA(index(PlayerValues!A:A,match(IFNA(vlookup(B2692,'Special Names'!A:B,2,FALSE),B2692),PlayerValues!E:E,0)),"N/A")</f>
        <v>15241</v>
      </c>
      <c r="B2692" s="4" t="s">
        <v>546</v>
      </c>
      <c r="C2692" s="4" t="s">
        <v>283</v>
      </c>
      <c r="D2692" s="94">
        <v>2658.0</v>
      </c>
    </row>
    <row r="2693">
      <c r="A2693" s="40">
        <f t="array" ref="A2693">IFNA(index(PlayerValues!A:A,match(IFNA(vlookup(B2693,'Special Names'!A:B,2,FALSE),B2693),PlayerValues!E:E,0)),"N/A")</f>
        <v>16619</v>
      </c>
      <c r="B2693" s="4" t="s">
        <v>538</v>
      </c>
      <c r="C2693" s="4" t="s">
        <v>287</v>
      </c>
      <c r="D2693" s="94">
        <v>2658.0</v>
      </c>
    </row>
    <row r="2694">
      <c r="A2694" s="40">
        <f t="array" ref="A2694">IFNA(index(PlayerValues!A:A,match(IFNA(vlookup(B2694,'Special Names'!A:B,2,FALSE),B2694),PlayerValues!E:E,0)),"N/A")</f>
        <v>15972</v>
      </c>
      <c r="B2694" s="4" t="s">
        <v>469</v>
      </c>
      <c r="C2694" s="4" t="s">
        <v>278</v>
      </c>
      <c r="D2694" s="94">
        <v>2656.0</v>
      </c>
    </row>
    <row r="2695">
      <c r="A2695" s="40">
        <f t="array" ref="A2695">IFNA(index(PlayerValues!A:A,match(IFNA(vlookup(B2695,'Special Names'!A:B,2,FALSE),B2695),PlayerValues!E:E,0)),"N/A")</f>
        <v>14833</v>
      </c>
      <c r="B2695" s="4" t="s">
        <v>553</v>
      </c>
      <c r="C2695" s="4" t="s">
        <v>287</v>
      </c>
      <c r="D2695" s="94">
        <v>2627.0</v>
      </c>
    </row>
    <row r="2696">
      <c r="A2696" s="40">
        <f t="array" ref="A2696">IFNA(index(PlayerValues!A:A,match(IFNA(vlookup(B2696,'Special Names'!A:B,2,FALSE),B2696),PlayerValues!E:E,0)),"N/A")</f>
        <v>17107</v>
      </c>
      <c r="B2696" s="4" t="s">
        <v>478</v>
      </c>
      <c r="C2696" s="4" t="s">
        <v>298</v>
      </c>
      <c r="D2696" s="94">
        <v>3034.0</v>
      </c>
    </row>
    <row r="2697">
      <c r="A2697" s="40" t="str">
        <f t="array" ref="A2697">IFNA(index(PlayerValues!A:A,match(IFNA(vlookup(B2697,'Special Names'!A:B,2,FALSE),B2697),PlayerValues!E:E,0)),"N/A")</f>
        <v>N/A</v>
      </c>
      <c r="B2697" s="4" t="s">
        <v>98</v>
      </c>
      <c r="C2697" s="4" t="s">
        <v>325</v>
      </c>
      <c r="D2697" s="94">
        <v>2623.0</v>
      </c>
    </row>
    <row r="2698">
      <c r="A2698" s="40">
        <f t="array" ref="A2698">IFNA(index(PlayerValues!A:A,match(IFNA(vlookup(B2698,'Special Names'!A:B,2,FALSE),B2698),PlayerValues!E:E,0)),"N/A")</f>
        <v>17073</v>
      </c>
      <c r="B2698" s="4" t="s">
        <v>547</v>
      </c>
      <c r="C2698" s="4" t="s">
        <v>287</v>
      </c>
      <c r="D2698" s="94">
        <v>2611.0</v>
      </c>
    </row>
    <row r="2699">
      <c r="A2699" s="40">
        <f t="array" ref="A2699">IFNA(index(PlayerValues!A:A,match(IFNA(vlookup(B2699,'Special Names'!A:B,2,FALSE),B2699),PlayerValues!E:E,0)),"N/A")</f>
        <v>17509</v>
      </c>
      <c r="B2699" s="4" t="s">
        <v>551</v>
      </c>
      <c r="C2699" s="4" t="s">
        <v>287</v>
      </c>
      <c r="D2699" s="94">
        <v>2609.0</v>
      </c>
    </row>
    <row r="2700">
      <c r="A2700" s="40">
        <f t="array" ref="A2700">IFNA(index(PlayerValues!A:A,match(IFNA(vlookup(B2700,'Special Names'!A:B,2,FALSE),B2700),PlayerValues!E:E,0)),"N/A")</f>
        <v>16165</v>
      </c>
      <c r="B2700" s="4" t="s">
        <v>520</v>
      </c>
      <c r="C2700" s="4" t="s">
        <v>278</v>
      </c>
      <c r="D2700" s="94">
        <v>2600.0</v>
      </c>
    </row>
    <row r="2701">
      <c r="A2701" s="40">
        <f t="array" ref="A2701">IFNA(index(PlayerValues!A:A,match(IFNA(vlookup(B2701,'Special Names'!A:B,2,FALSE),B2701),PlayerValues!E:E,0)),"N/A")</f>
        <v>16174</v>
      </c>
      <c r="B2701" s="4" t="s">
        <v>505</v>
      </c>
      <c r="C2701" s="4" t="s">
        <v>278</v>
      </c>
      <c r="D2701" s="94">
        <v>2595.0</v>
      </c>
    </row>
    <row r="2702">
      <c r="A2702" s="40">
        <f t="array" ref="A2702">IFNA(index(PlayerValues!A:A,match(IFNA(vlookup(B2702,'Special Names'!A:B,2,FALSE),B2702),PlayerValues!E:E,0)),"N/A")</f>
        <v>17474</v>
      </c>
      <c r="B2702" s="4" t="s">
        <v>513</v>
      </c>
      <c r="C2702" s="4" t="s">
        <v>278</v>
      </c>
      <c r="D2702" s="94">
        <v>2594.0</v>
      </c>
    </row>
    <row r="2703">
      <c r="A2703" s="40">
        <f t="array" ref="A2703">IFNA(index(PlayerValues!A:A,match(IFNA(vlookup(B2703,'Special Names'!A:B,2,FALSE),B2703),PlayerValues!E:E,0)),"N/A")</f>
        <v>13674</v>
      </c>
      <c r="B2703" s="4" t="s">
        <v>511</v>
      </c>
      <c r="C2703" s="4" t="s">
        <v>298</v>
      </c>
      <c r="D2703" s="94">
        <v>2978.0</v>
      </c>
    </row>
    <row r="2704">
      <c r="A2704" s="40">
        <f t="array" ref="A2704">IFNA(index(PlayerValues!A:A,match(IFNA(vlookup(B2704,'Special Names'!A:B,2,FALSE),B2704),PlayerValues!E:E,0)),"N/A")</f>
        <v>16204</v>
      </c>
      <c r="B2704" s="4" t="s">
        <v>530</v>
      </c>
      <c r="C2704" s="4" t="s">
        <v>287</v>
      </c>
      <c r="D2704" s="94">
        <v>2541.0</v>
      </c>
    </row>
    <row r="2705">
      <c r="A2705" s="40">
        <f t="array" ref="A2705">IFNA(index(PlayerValues!A:A,match(IFNA(vlookup(B2705,'Special Names'!A:B,2,FALSE),B2705),PlayerValues!E:E,0)),"N/A")</f>
        <v>17478</v>
      </c>
      <c r="B2705" s="4" t="s">
        <v>527</v>
      </c>
      <c r="C2705" s="4" t="s">
        <v>278</v>
      </c>
      <c r="D2705" s="94">
        <v>2528.0</v>
      </c>
    </row>
    <row r="2706">
      <c r="A2706" s="40">
        <f t="array" ref="A2706">IFNA(index(PlayerValues!A:A,match(IFNA(vlookup(B2706,'Special Names'!A:B,2,FALSE),B2706),PlayerValues!E:E,0)),"N/A")</f>
        <v>17108</v>
      </c>
      <c r="B2706" s="4" t="s">
        <v>542</v>
      </c>
      <c r="C2706" s="4" t="s">
        <v>298</v>
      </c>
      <c r="D2706" s="94">
        <v>2925.0</v>
      </c>
    </row>
    <row r="2707">
      <c r="A2707" s="40">
        <f t="array" ref="A2707">IFNA(index(PlayerValues!A:A,match(IFNA(vlookup(B2707,'Special Names'!A:B,2,FALSE),B2707),PlayerValues!E:E,0)),"N/A")</f>
        <v>17078</v>
      </c>
      <c r="B2707" s="4" t="s">
        <v>543</v>
      </c>
      <c r="C2707" s="4" t="s">
        <v>287</v>
      </c>
      <c r="D2707" s="94">
        <v>2518.0</v>
      </c>
    </row>
    <row r="2708">
      <c r="A2708" s="40">
        <f t="array" ref="A2708">IFNA(index(PlayerValues!A:A,match(IFNA(vlookup(B2708,'Special Names'!A:B,2,FALSE),B2708),PlayerValues!E:E,0)),"N/A")</f>
        <v>17082</v>
      </c>
      <c r="B2708" s="4" t="s">
        <v>498</v>
      </c>
      <c r="C2708" s="4" t="s">
        <v>287</v>
      </c>
      <c r="D2708" s="94">
        <v>2516.0</v>
      </c>
    </row>
    <row r="2709">
      <c r="A2709" s="40">
        <f t="array" ref="A2709">IFNA(index(PlayerValues!A:A,match(IFNA(vlookup(B2709,'Special Names'!A:B,2,FALSE),B2709),PlayerValues!E:E,0)),"N/A")</f>
        <v>17508</v>
      </c>
      <c r="B2709" s="4" t="s">
        <v>534</v>
      </c>
      <c r="C2709" s="4" t="s">
        <v>287</v>
      </c>
      <c r="D2709" s="94">
        <v>2506.0</v>
      </c>
    </row>
    <row r="2710">
      <c r="A2710" s="40">
        <f t="array" ref="A2710">IFNA(index(PlayerValues!A:A,match(IFNA(vlookup(B2710,'Special Names'!A:B,2,FALSE),B2710),PlayerValues!E:E,0)),"N/A")</f>
        <v>16617</v>
      </c>
      <c r="B2710" s="4" t="s">
        <v>541</v>
      </c>
      <c r="C2710" s="4" t="s">
        <v>287</v>
      </c>
      <c r="D2710" s="94">
        <v>2490.0</v>
      </c>
    </row>
    <row r="2711">
      <c r="A2711" s="40">
        <f t="array" ref="A2711">IFNA(index(PlayerValues!A:A,match(IFNA(vlookup(B2711,'Special Names'!A:B,2,FALSE),B2711),PlayerValues!E:E,0)),"N/A")</f>
        <v>16684</v>
      </c>
      <c r="B2711" s="4" t="s">
        <v>500</v>
      </c>
      <c r="C2711" s="4" t="s">
        <v>287</v>
      </c>
      <c r="D2711" s="94">
        <v>2490.0</v>
      </c>
    </row>
    <row r="2712">
      <c r="A2712" s="40">
        <f t="array" ref="A2712">IFNA(index(PlayerValues!A:A,match(IFNA(vlookup(B2712,'Special Names'!A:B,2,FALSE),B2712),PlayerValues!E:E,0)),"N/A")</f>
        <v>13192</v>
      </c>
      <c r="B2712" s="4" t="s">
        <v>563</v>
      </c>
      <c r="C2712" s="4" t="s">
        <v>298</v>
      </c>
      <c r="D2712" s="94">
        <v>2864.0</v>
      </c>
    </row>
    <row r="2713">
      <c r="A2713" s="40">
        <f t="array" ref="A2713">IFNA(index(PlayerValues!A:A,match(IFNA(vlookup(B2713,'Special Names'!A:B,2,FALSE),B2713),PlayerValues!E:E,0)),"N/A")</f>
        <v>17171</v>
      </c>
      <c r="B2713" s="4" t="s">
        <v>561</v>
      </c>
      <c r="C2713" s="4" t="s">
        <v>287</v>
      </c>
      <c r="D2713" s="94">
        <v>2451.0</v>
      </c>
    </row>
    <row r="2714">
      <c r="A2714" s="40" t="str">
        <f t="array" ref="A2714">IFNA(index(PlayerValues!A:A,match(IFNA(vlookup(B2714,'Special Names'!A:B,2,FALSE),B2714),PlayerValues!E:E,0)),"N/A")</f>
        <v>N/A</v>
      </c>
      <c r="B2714" s="4" t="s">
        <v>99</v>
      </c>
      <c r="C2714" s="4" t="s">
        <v>325</v>
      </c>
      <c r="D2714" s="94">
        <v>2447.0</v>
      </c>
    </row>
    <row r="2715">
      <c r="A2715" s="40">
        <f t="array" ref="A2715">IFNA(index(PlayerValues!A:A,match(IFNA(vlookup(B2715,'Special Names'!A:B,2,FALSE),B2715),PlayerValues!E:E,0)),"N/A")</f>
        <v>16626</v>
      </c>
      <c r="B2715" s="4" t="s">
        <v>515</v>
      </c>
      <c r="C2715" s="4" t="s">
        <v>287</v>
      </c>
      <c r="D2715" s="94">
        <v>2445.0</v>
      </c>
    </row>
    <row r="2716">
      <c r="A2716" s="40">
        <f t="array" ref="A2716">IFNA(index(PlayerValues!A:A,match(IFNA(vlookup(B2716,'Special Names'!A:B,2,FALSE),B2716),PlayerValues!E:E,0)),"N/A")</f>
        <v>11244</v>
      </c>
      <c r="B2716" s="4" t="s">
        <v>519</v>
      </c>
      <c r="C2716" s="4" t="s">
        <v>298</v>
      </c>
      <c r="D2716" s="94">
        <v>2846.0</v>
      </c>
    </row>
    <row r="2717">
      <c r="A2717" s="40">
        <f t="array" ref="A2717">IFNA(index(PlayerValues!A:A,match(IFNA(vlookup(B2717,'Special Names'!A:B,2,FALSE),B2717),PlayerValues!E:E,0)),"N/A")</f>
        <v>17134</v>
      </c>
      <c r="B2717" s="4" t="s">
        <v>548</v>
      </c>
      <c r="C2717" s="4" t="s">
        <v>287</v>
      </c>
      <c r="D2717" s="94">
        <v>2443.0</v>
      </c>
    </row>
    <row r="2718">
      <c r="A2718" s="40">
        <f t="array" ref="A2718">IFNA(index(PlayerValues!A:A,match(IFNA(vlookup(B2718,'Special Names'!A:B,2,FALSE),B2718),PlayerValues!E:E,0)),"N/A")</f>
        <v>16287</v>
      </c>
      <c r="B2718" s="4" t="s">
        <v>516</v>
      </c>
      <c r="C2718" s="4" t="s">
        <v>287</v>
      </c>
      <c r="D2718" s="94">
        <v>2439.0</v>
      </c>
    </row>
    <row r="2719">
      <c r="A2719" s="40">
        <f t="array" ref="A2719">IFNA(index(PlayerValues!A:A,match(IFNA(vlookup(B2719,'Special Names'!A:B,2,FALSE),B2719),PlayerValues!E:E,0)),"N/A")</f>
        <v>16164</v>
      </c>
      <c r="B2719" s="4" t="s">
        <v>512</v>
      </c>
      <c r="C2719" s="4" t="s">
        <v>278</v>
      </c>
      <c r="D2719" s="94">
        <v>2434.0</v>
      </c>
    </row>
    <row r="2720">
      <c r="A2720" s="40">
        <f t="array" ref="A2720">IFNA(index(PlayerValues!A:A,match(IFNA(vlookup(B2720,'Special Names'!A:B,2,FALSE),B2720),PlayerValues!E:E,0)),"N/A")</f>
        <v>17482</v>
      </c>
      <c r="B2720" s="4" t="s">
        <v>460</v>
      </c>
      <c r="C2720" s="4" t="s">
        <v>278</v>
      </c>
      <c r="D2720" s="94">
        <v>2408.0</v>
      </c>
    </row>
    <row r="2721">
      <c r="A2721" s="40">
        <f t="array" ref="A2721">IFNA(index(PlayerValues!A:A,match(IFNA(vlookup(B2721,'Special Names'!A:B,2,FALSE),B2721),PlayerValues!E:E,0)),"N/A")</f>
        <v>16178</v>
      </c>
      <c r="B2721" s="4" t="s">
        <v>507</v>
      </c>
      <c r="C2721" s="4" t="s">
        <v>278</v>
      </c>
      <c r="D2721" s="94">
        <v>2406.0</v>
      </c>
    </row>
    <row r="2722">
      <c r="A2722" s="40">
        <f t="array" ref="A2722">IFNA(index(PlayerValues!A:A,match(IFNA(vlookup(B2722,'Special Names'!A:B,2,FALSE),B2722),PlayerValues!E:E,0)),"N/A")</f>
        <v>17514</v>
      </c>
      <c r="B2722" s="4" t="s">
        <v>422</v>
      </c>
      <c r="C2722" s="4" t="s">
        <v>287</v>
      </c>
      <c r="D2722" s="94">
        <v>2405.0</v>
      </c>
    </row>
    <row r="2723">
      <c r="A2723" s="40">
        <f t="array" ref="A2723">IFNA(index(PlayerValues!A:A,match(IFNA(vlookup(B2723,'Special Names'!A:B,2,FALSE),B2723),PlayerValues!E:E,0)),"N/A")</f>
        <v>17048</v>
      </c>
      <c r="B2723" s="4" t="s">
        <v>539</v>
      </c>
      <c r="C2723" s="4" t="s">
        <v>278</v>
      </c>
      <c r="D2723" s="94">
        <v>2393.0</v>
      </c>
    </row>
    <row r="2724">
      <c r="A2724" s="40">
        <f t="array" ref="A2724">IFNA(index(PlayerValues!A:A,match(IFNA(vlookup(B2724,'Special Names'!A:B,2,FALSE),B2724),PlayerValues!E:E,0)),"N/A")</f>
        <v>15716</v>
      </c>
      <c r="B2724" s="4" t="s">
        <v>545</v>
      </c>
      <c r="C2724" s="4" t="s">
        <v>278</v>
      </c>
      <c r="D2724" s="94">
        <v>2385.0</v>
      </c>
    </row>
    <row r="2725">
      <c r="A2725" s="40">
        <f t="array" ref="A2725">IFNA(index(PlayerValues!A:A,match(IFNA(vlookup(B2725,'Special Names'!A:B,2,FALSE),B2725),PlayerValues!E:E,0)),"N/A")</f>
        <v>17517</v>
      </c>
      <c r="B2725" s="4" t="s">
        <v>454</v>
      </c>
      <c r="C2725" s="4" t="s">
        <v>287</v>
      </c>
      <c r="D2725" s="94">
        <v>2385.0</v>
      </c>
    </row>
    <row r="2726">
      <c r="A2726" s="40">
        <f t="array" ref="A2726">IFNA(index(PlayerValues!A:A,match(IFNA(vlookup(B2726,'Special Names'!A:B,2,FALSE),B2726),PlayerValues!E:E,0)),"N/A")</f>
        <v>16195</v>
      </c>
      <c r="B2726" s="4" t="s">
        <v>509</v>
      </c>
      <c r="C2726" s="4" t="s">
        <v>287</v>
      </c>
      <c r="D2726" s="94">
        <v>2381.0</v>
      </c>
    </row>
    <row r="2727">
      <c r="A2727" s="40">
        <f t="array" ref="A2727">IFNA(index(PlayerValues!A:A,match(IFNA(vlookup(B2727,'Special Names'!A:B,2,FALSE),B2727),PlayerValues!E:E,0)),"N/A")</f>
        <v>15786</v>
      </c>
      <c r="B2727" s="4" t="s">
        <v>521</v>
      </c>
      <c r="C2727" s="4" t="s">
        <v>287</v>
      </c>
      <c r="D2727" s="94">
        <v>2372.0</v>
      </c>
    </row>
    <row r="2728">
      <c r="A2728" s="40">
        <f t="array" ref="A2728">IFNA(index(PlayerValues!A:A,match(IFNA(vlookup(B2728,'Special Names'!A:B,2,FALSE),B2728),PlayerValues!E:E,0)),"N/A")</f>
        <v>17106</v>
      </c>
      <c r="B2728" s="4" t="s">
        <v>550</v>
      </c>
      <c r="C2728" s="4" t="s">
        <v>298</v>
      </c>
      <c r="D2728" s="94">
        <v>2754.0</v>
      </c>
    </row>
    <row r="2729">
      <c r="A2729" s="40">
        <f t="array" ref="A2729">IFNA(index(PlayerValues!A:A,match(IFNA(vlookup(B2729,'Special Names'!A:B,2,FALSE),B2729),PlayerValues!E:E,0)),"N/A")</f>
        <v>15749</v>
      </c>
      <c r="B2729" s="4" t="s">
        <v>574</v>
      </c>
      <c r="C2729" s="4" t="s">
        <v>278</v>
      </c>
      <c r="D2729" s="94">
        <v>2353.0</v>
      </c>
    </row>
    <row r="2730">
      <c r="A2730" s="40">
        <f t="array" ref="A2730">IFNA(index(PlayerValues!A:A,match(IFNA(vlookup(B2730,'Special Names'!A:B,2,FALSE),B2730),PlayerValues!E:E,0)),"N/A")</f>
        <v>15802</v>
      </c>
      <c r="B2730" s="4" t="s">
        <v>566</v>
      </c>
      <c r="C2730" s="4" t="s">
        <v>298</v>
      </c>
      <c r="D2730" s="94">
        <v>2739.0</v>
      </c>
    </row>
    <row r="2731">
      <c r="A2731" s="40">
        <f t="array" ref="A2731">IFNA(index(PlayerValues!A:A,match(IFNA(vlookup(B2731,'Special Names'!A:B,2,FALSE),B2731),PlayerValues!E:E,0)),"N/A")</f>
        <v>14861</v>
      </c>
      <c r="B2731" s="4" t="s">
        <v>523</v>
      </c>
      <c r="C2731" s="4" t="s">
        <v>298</v>
      </c>
      <c r="D2731" s="94">
        <v>2734.0</v>
      </c>
    </row>
    <row r="2732">
      <c r="A2732" s="40" t="str">
        <f t="array" ref="A2732">IFNA(index(PlayerValues!A:A,match(IFNA(vlookup(B2732,'Special Names'!A:B,2,FALSE),B2732),PlayerValues!E:E,0)),"N/A")</f>
        <v>N/A</v>
      </c>
      <c r="B2732" s="4" t="s">
        <v>557</v>
      </c>
      <c r="C2732" s="4" t="s">
        <v>278</v>
      </c>
      <c r="D2732" s="94">
        <v>2334.0</v>
      </c>
    </row>
    <row r="2733">
      <c r="A2733" s="40">
        <f t="array" ref="A2733">IFNA(index(PlayerValues!A:A,match(IFNA(vlookup(B2733,'Special Names'!A:B,2,FALSE),B2733),PlayerValues!E:E,0)),"N/A")</f>
        <v>14840</v>
      </c>
      <c r="B2733" s="4" t="s">
        <v>731</v>
      </c>
      <c r="C2733" s="4" t="s">
        <v>287</v>
      </c>
      <c r="D2733" s="94">
        <v>2308.0</v>
      </c>
    </row>
    <row r="2734">
      <c r="A2734" s="40">
        <f t="array" ref="A2734">IFNA(index(PlayerValues!A:A,match(IFNA(vlookup(B2734,'Special Names'!A:B,2,FALSE),B2734),PlayerValues!E:E,0)),"N/A")</f>
        <v>16036</v>
      </c>
      <c r="B2734" s="4" t="s">
        <v>592</v>
      </c>
      <c r="C2734" s="4" t="s">
        <v>298</v>
      </c>
      <c r="D2734" s="94">
        <v>2688.0</v>
      </c>
    </row>
    <row r="2735">
      <c r="A2735" s="40">
        <f t="array" ref="A2735">IFNA(index(PlayerValues!A:A,match(IFNA(vlookup(B2735,'Special Names'!A:B,2,FALSE),B2735),PlayerValues!E:E,0)),"N/A")</f>
        <v>16152</v>
      </c>
      <c r="B2735" s="4" t="s">
        <v>601</v>
      </c>
      <c r="C2735" s="4" t="s">
        <v>283</v>
      </c>
      <c r="D2735" s="94">
        <v>2283.0</v>
      </c>
    </row>
    <row r="2736">
      <c r="A2736" s="40">
        <f t="array" ref="A2736">IFNA(index(PlayerValues!A:A,match(IFNA(vlookup(B2736,'Special Names'!A:B,2,FALSE),B2736),PlayerValues!E:E,0)),"N/A")</f>
        <v>16594</v>
      </c>
      <c r="B2736" s="4" t="s">
        <v>607</v>
      </c>
      <c r="C2736" s="4" t="s">
        <v>278</v>
      </c>
      <c r="D2736" s="94">
        <v>2273.0</v>
      </c>
    </row>
    <row r="2737">
      <c r="A2737" s="40">
        <f t="array" ref="A2737">IFNA(index(PlayerValues!A:A,match(IFNA(vlookup(B2737,'Special Names'!A:B,2,FALSE),B2737),PlayerValues!E:E,0)),"N/A")</f>
        <v>17547</v>
      </c>
      <c r="B2737" s="4" t="s">
        <v>552</v>
      </c>
      <c r="C2737" s="4" t="s">
        <v>298</v>
      </c>
      <c r="D2737" s="94">
        <v>2661.0</v>
      </c>
    </row>
    <row r="2738">
      <c r="A2738" s="40">
        <f t="array" ref="A2738">IFNA(index(PlayerValues!A:A,match(IFNA(vlookup(B2738,'Special Names'!A:B,2,FALSE),B2738),PlayerValues!E:E,0)),"N/A")</f>
        <v>17520</v>
      </c>
      <c r="B2738" s="4" t="s">
        <v>518</v>
      </c>
      <c r="C2738" s="4" t="s">
        <v>287</v>
      </c>
      <c r="D2738" s="94">
        <v>2253.0</v>
      </c>
    </row>
    <row r="2739">
      <c r="A2739" s="40" t="str">
        <f t="array" ref="A2739">IFNA(index(PlayerValues!A:A,match(IFNA(vlookup(B2739,'Special Names'!A:B,2,FALSE),B2739),PlayerValues!E:E,0)),"N/A")</f>
        <v>N/A</v>
      </c>
      <c r="B2739" s="4" t="s">
        <v>86</v>
      </c>
      <c r="C2739" s="4" t="s">
        <v>325</v>
      </c>
      <c r="D2739" s="94">
        <v>2252.0</v>
      </c>
    </row>
    <row r="2740">
      <c r="A2740" s="40">
        <f t="array" ref="A2740">IFNA(index(PlayerValues!A:A,match(IFNA(vlookup(B2740,'Special Names'!A:B,2,FALSE),B2740),PlayerValues!E:E,0)),"N/A")</f>
        <v>17033</v>
      </c>
      <c r="B2740" s="4" t="s">
        <v>570</v>
      </c>
      <c r="C2740" s="4" t="s">
        <v>283</v>
      </c>
      <c r="D2740" s="94">
        <v>2249.0</v>
      </c>
    </row>
    <row r="2741">
      <c r="A2741" s="40">
        <f t="array" ref="A2741">IFNA(index(PlayerValues!A:A,match(IFNA(vlookup(B2741,'Special Names'!A:B,2,FALSE),B2741),PlayerValues!E:E,0)),"N/A")</f>
        <v>12676</v>
      </c>
      <c r="B2741" s="4" t="s">
        <v>537</v>
      </c>
      <c r="C2741" s="4" t="s">
        <v>298</v>
      </c>
      <c r="D2741" s="94">
        <v>2634.0</v>
      </c>
    </row>
    <row r="2742">
      <c r="A2742" s="40">
        <f t="array" ref="A2742">IFNA(index(PlayerValues!A:A,match(IFNA(vlookup(B2742,'Special Names'!A:B,2,FALSE),B2742),PlayerValues!E:E,0)),"N/A")</f>
        <v>13772</v>
      </c>
      <c r="B2742" s="4" t="s">
        <v>544</v>
      </c>
      <c r="C2742" s="4" t="s">
        <v>298</v>
      </c>
      <c r="D2742" s="94">
        <v>2634.0</v>
      </c>
    </row>
    <row r="2743">
      <c r="A2743" s="40">
        <f t="array" ref="A2743">IFNA(index(PlayerValues!A:A,match(IFNA(vlookup(B2743,'Special Names'!A:B,2,FALSE),B2743),PlayerValues!E:E,0)),"N/A")</f>
        <v>11150</v>
      </c>
      <c r="B2743" s="4" t="s">
        <v>559</v>
      </c>
      <c r="C2743" s="4" t="s">
        <v>283</v>
      </c>
      <c r="D2743" s="94">
        <v>2239.0</v>
      </c>
    </row>
    <row r="2744">
      <c r="A2744" s="40">
        <f t="array" ref="A2744">IFNA(index(PlayerValues!A:A,match(IFNA(vlookup(B2744,'Special Names'!A:B,2,FALSE),B2744),PlayerValues!E:E,0)),"N/A")</f>
        <v>15331</v>
      </c>
      <c r="B2744" s="4" t="s">
        <v>560</v>
      </c>
      <c r="C2744" s="4" t="s">
        <v>298</v>
      </c>
      <c r="D2744" s="94">
        <v>2634.0</v>
      </c>
    </row>
    <row r="2745">
      <c r="A2745" s="40">
        <f t="array" ref="A2745">IFNA(index(PlayerValues!A:A,match(IFNA(vlookup(B2745,'Special Names'!A:B,2,FALSE),B2745),PlayerValues!E:E,0)),"N/A")</f>
        <v>16610</v>
      </c>
      <c r="B2745" s="4" t="s">
        <v>562</v>
      </c>
      <c r="C2745" s="4" t="s">
        <v>278</v>
      </c>
      <c r="D2745" s="94">
        <v>2238.0</v>
      </c>
    </row>
    <row r="2746">
      <c r="A2746" s="40" t="str">
        <f t="array" ref="A2746">IFNA(index(PlayerValues!A:A,match(IFNA(vlookup(B2746,'Special Names'!A:B,2,FALSE),B2746),PlayerValues!E:E,0)),"N/A")</f>
        <v>N/A</v>
      </c>
      <c r="B2746" s="4" t="s">
        <v>100</v>
      </c>
      <c r="C2746" s="4" t="s">
        <v>325</v>
      </c>
      <c r="D2746" s="94">
        <v>2234.0</v>
      </c>
    </row>
    <row r="2747">
      <c r="A2747" s="40">
        <f t="array" ref="A2747">IFNA(index(PlayerValues!A:A,match(IFNA(vlookup(B2747,'Special Names'!A:B,2,FALSE),B2747),PlayerValues!E:E,0)),"N/A")</f>
        <v>16649</v>
      </c>
      <c r="B2747" s="4" t="s">
        <v>586</v>
      </c>
      <c r="C2747" s="4" t="s">
        <v>298</v>
      </c>
      <c r="D2747" s="94">
        <v>2624.0</v>
      </c>
    </row>
    <row r="2748">
      <c r="A2748" s="40">
        <f t="array" ref="A2748">IFNA(index(PlayerValues!A:A,match(IFNA(vlookup(B2748,'Special Names'!A:B,2,FALSE),B2748),PlayerValues!E:E,0)),"N/A")</f>
        <v>13319</v>
      </c>
      <c r="B2748" s="4" t="s">
        <v>549</v>
      </c>
      <c r="C2748" s="4" t="s">
        <v>278</v>
      </c>
      <c r="D2748" s="94">
        <v>2217.0</v>
      </c>
    </row>
    <row r="2749">
      <c r="A2749" s="40">
        <f t="array" ref="A2749">IFNA(index(PlayerValues!A:A,match(IFNA(vlookup(B2749,'Special Names'!A:B,2,FALSE),B2749),PlayerValues!E:E,0)),"N/A")</f>
        <v>16757</v>
      </c>
      <c r="B2749" s="4" t="s">
        <v>558</v>
      </c>
      <c r="C2749" s="4" t="s">
        <v>278</v>
      </c>
      <c r="D2749" s="94">
        <v>2179.0</v>
      </c>
    </row>
    <row r="2750">
      <c r="A2750" s="40" t="str">
        <f t="array" ref="A2750">IFNA(index(PlayerValues!A:A,match(IFNA(vlookup(B2750,'Special Names'!A:B,2,FALSE),B2750),PlayerValues!E:E,0)),"N/A")</f>
        <v>N/A</v>
      </c>
      <c r="B2750" s="4" t="s">
        <v>112</v>
      </c>
      <c r="C2750" s="4" t="s">
        <v>325</v>
      </c>
      <c r="D2750" s="94">
        <v>2176.0</v>
      </c>
    </row>
    <row r="2751">
      <c r="A2751" s="40">
        <f t="array" ref="A2751">IFNA(index(PlayerValues!A:A,match(IFNA(vlookup(B2751,'Special Names'!A:B,2,FALSE),B2751),PlayerValues!E:E,0)),"N/A")</f>
        <v>12186</v>
      </c>
      <c r="B2751" s="4" t="s">
        <v>497</v>
      </c>
      <c r="C2751" s="4" t="s">
        <v>287</v>
      </c>
      <c r="D2751" s="94">
        <v>2172.0</v>
      </c>
    </row>
    <row r="2752">
      <c r="A2752" s="40">
        <f t="array" ref="A2752">IFNA(index(PlayerValues!A:A,match(IFNA(vlookup(B2752,'Special Names'!A:B,2,FALSE),B2752),PlayerValues!E:E,0)),"N/A")</f>
        <v>16166</v>
      </c>
      <c r="B2752" s="4" t="s">
        <v>567</v>
      </c>
      <c r="C2752" s="4" t="s">
        <v>278</v>
      </c>
      <c r="D2752" s="94">
        <v>2163.0</v>
      </c>
    </row>
    <row r="2753">
      <c r="A2753" s="40">
        <f t="array" ref="A2753">IFNA(index(PlayerValues!A:A,match(IFNA(vlookup(B2753,'Special Names'!A:B,2,FALSE),B2753),PlayerValues!E:E,0)),"N/A")</f>
        <v>14136</v>
      </c>
      <c r="B2753" s="4" t="s">
        <v>536</v>
      </c>
      <c r="C2753" s="4" t="s">
        <v>287</v>
      </c>
      <c r="D2753" s="94">
        <v>2154.0</v>
      </c>
    </row>
    <row r="2754">
      <c r="A2754" s="40" t="str">
        <f t="array" ref="A2754">IFNA(index(PlayerValues!A:A,match(IFNA(vlookup(B2754,'Special Names'!A:B,2,FALSE),B2754),PlayerValues!E:E,0)),"N/A")</f>
        <v>N/A</v>
      </c>
      <c r="B2754" s="4" t="s">
        <v>87</v>
      </c>
      <c r="C2754" s="4" t="s">
        <v>325</v>
      </c>
      <c r="D2754" s="94">
        <v>2146.0</v>
      </c>
    </row>
    <row r="2755">
      <c r="A2755" s="40">
        <f t="array" ref="A2755">IFNA(index(PlayerValues!A:A,match(IFNA(vlookup(B2755,'Special Names'!A:B,2,FALSE),B2755),PlayerValues!E:E,0)),"N/A")</f>
        <v>17079</v>
      </c>
      <c r="B2755" s="4" t="s">
        <v>572</v>
      </c>
      <c r="C2755" s="4" t="s">
        <v>287</v>
      </c>
      <c r="D2755" s="94">
        <v>2140.0</v>
      </c>
    </row>
    <row r="2756">
      <c r="A2756" s="40">
        <f t="array" ref="A2756">IFNA(index(PlayerValues!A:A,match(IFNA(vlookup(B2756,'Special Names'!A:B,2,FALSE),B2756),PlayerValues!E:E,0)),"N/A")</f>
        <v>13113</v>
      </c>
      <c r="B2756" s="4" t="s">
        <v>606</v>
      </c>
      <c r="C2756" s="4" t="s">
        <v>283</v>
      </c>
      <c r="D2756" s="94">
        <v>2134.0</v>
      </c>
    </row>
    <row r="2757">
      <c r="A2757" s="40">
        <f t="array" ref="A2757">IFNA(index(PlayerValues!A:A,match(IFNA(vlookup(B2757,'Special Names'!A:B,2,FALSE),B2757),PlayerValues!E:E,0)),"N/A")</f>
        <v>17055</v>
      </c>
      <c r="B2757" s="4" t="s">
        <v>565</v>
      </c>
      <c r="C2757" s="4" t="s">
        <v>278</v>
      </c>
      <c r="D2757" s="94">
        <v>2122.0</v>
      </c>
    </row>
    <row r="2758">
      <c r="A2758" s="40">
        <f t="array" ref="A2758">IFNA(index(PlayerValues!A:A,match(IFNA(vlookup(B2758,'Special Names'!A:B,2,FALSE),B2758),PlayerValues!E:E,0)),"N/A")</f>
        <v>16212</v>
      </c>
      <c r="B2758" s="4" t="s">
        <v>568</v>
      </c>
      <c r="C2758" s="4" t="s">
        <v>298</v>
      </c>
      <c r="D2758" s="94">
        <v>2494.0</v>
      </c>
    </row>
    <row r="2759">
      <c r="A2759" s="40" t="str">
        <f t="array" ref="A2759">IFNA(index(PlayerValues!A:A,match(IFNA(vlookup(B2759,'Special Names'!A:B,2,FALSE),B2759),PlayerValues!E:E,0)),"N/A")</f>
        <v>N/A</v>
      </c>
      <c r="B2759" s="4" t="s">
        <v>113</v>
      </c>
      <c r="C2759" s="4" t="s">
        <v>325</v>
      </c>
      <c r="D2759" s="94">
        <v>2101.0</v>
      </c>
    </row>
    <row r="2760">
      <c r="A2760" s="40">
        <f t="array" ref="A2760">IFNA(index(PlayerValues!A:A,match(IFNA(vlookup(B2760,'Special Names'!A:B,2,FALSE),B2760),PlayerValues!E:E,0)),"N/A")</f>
        <v>16189</v>
      </c>
      <c r="B2760" s="4" t="s">
        <v>582</v>
      </c>
      <c r="C2760" s="4" t="s">
        <v>287</v>
      </c>
      <c r="D2760" s="94">
        <v>2097.0</v>
      </c>
    </row>
    <row r="2761">
      <c r="A2761" s="40">
        <f t="array" ref="A2761">IFNA(index(PlayerValues!A:A,match(IFNA(vlookup(B2761,'Special Names'!A:B,2,FALSE),B2761),PlayerValues!E:E,0)),"N/A")</f>
        <v>14974</v>
      </c>
      <c r="B2761" s="4" t="s">
        <v>611</v>
      </c>
      <c r="C2761" s="4" t="s">
        <v>287</v>
      </c>
      <c r="D2761" s="94">
        <v>2091.0</v>
      </c>
    </row>
    <row r="2762">
      <c r="A2762" s="40">
        <f t="array" ref="A2762">IFNA(index(PlayerValues!A:A,match(IFNA(vlookup(B2762,'Special Names'!A:B,2,FALSE),B2762),PlayerValues!E:E,0)),"N/A")</f>
        <v>17046</v>
      </c>
      <c r="B2762" s="4" t="s">
        <v>602</v>
      </c>
      <c r="C2762" s="4" t="s">
        <v>278</v>
      </c>
      <c r="D2762" s="94">
        <v>2089.0</v>
      </c>
    </row>
    <row r="2763">
      <c r="A2763" s="40" t="str">
        <f t="array" ref="A2763">IFNA(index(PlayerValues!A:A,match(IFNA(vlookup(B2763,'Special Names'!A:B,2,FALSE),B2763),PlayerValues!E:E,0)),"N/A")</f>
        <v>N/A</v>
      </c>
      <c r="B2763" s="4" t="s">
        <v>88</v>
      </c>
      <c r="C2763" s="4" t="s">
        <v>325</v>
      </c>
      <c r="D2763" s="94">
        <v>2083.0</v>
      </c>
    </row>
    <row r="2764">
      <c r="A2764" s="40">
        <f t="array" ref="A2764">IFNA(index(PlayerValues!A:A,match(IFNA(vlookup(B2764,'Special Names'!A:B,2,FALSE),B2764),PlayerValues!E:E,0)),"N/A")</f>
        <v>13132</v>
      </c>
      <c r="B2764" s="4" t="s">
        <v>598</v>
      </c>
      <c r="C2764" s="4" t="s">
        <v>278</v>
      </c>
      <c r="D2764" s="94">
        <v>2079.0</v>
      </c>
    </row>
    <row r="2765">
      <c r="A2765" s="40">
        <f t="array" ref="A2765">IFNA(index(PlayerValues!A:A,match(IFNA(vlookup(B2765,'Special Names'!A:B,2,FALSE),B2765),PlayerValues!E:E,0)),"N/A")</f>
        <v>16432</v>
      </c>
      <c r="B2765" s="4" t="s">
        <v>620</v>
      </c>
      <c r="C2765" s="4" t="s">
        <v>278</v>
      </c>
      <c r="D2765" s="94">
        <v>2074.0</v>
      </c>
    </row>
    <row r="2766">
      <c r="A2766" s="40">
        <f t="array" ref="A2766">IFNA(index(PlayerValues!A:A,match(IFNA(vlookup(B2766,'Special Names'!A:B,2,FALSE),B2766),PlayerValues!E:E,0)),"N/A")</f>
        <v>17056</v>
      </c>
      <c r="B2766" s="4" t="s">
        <v>581</v>
      </c>
      <c r="C2766" s="4" t="s">
        <v>278</v>
      </c>
      <c r="D2766" s="94">
        <v>2072.0</v>
      </c>
    </row>
    <row r="2767">
      <c r="A2767" s="40">
        <f t="array" ref="A2767">IFNA(index(PlayerValues!A:A,match(IFNA(vlookup(B2767,'Special Names'!A:B,2,FALSE),B2767),PlayerValues!E:E,0)),"N/A")</f>
        <v>15238</v>
      </c>
      <c r="B2767" s="4" t="s">
        <v>613</v>
      </c>
      <c r="C2767" s="4" t="s">
        <v>283</v>
      </c>
      <c r="D2767" s="94">
        <v>2070.0</v>
      </c>
    </row>
    <row r="2768">
      <c r="A2768" s="40">
        <f t="array" ref="A2768">IFNA(index(PlayerValues!A:A,match(IFNA(vlookup(B2768,'Special Names'!A:B,2,FALSE),B2768),PlayerValues!E:E,0)),"N/A")</f>
        <v>16643</v>
      </c>
      <c r="B2768" s="4" t="s">
        <v>609</v>
      </c>
      <c r="C2768" s="4" t="s">
        <v>298</v>
      </c>
      <c r="D2768" s="94">
        <v>2454.0</v>
      </c>
    </row>
    <row r="2769">
      <c r="A2769" s="40">
        <f t="array" ref="A2769">IFNA(index(PlayerValues!A:A,match(IFNA(vlookup(B2769,'Special Names'!A:B,2,FALSE),B2769),PlayerValues!E:E,0)),"N/A")</f>
        <v>15293</v>
      </c>
      <c r="B2769" s="4" t="s">
        <v>578</v>
      </c>
      <c r="C2769" s="4" t="s">
        <v>287</v>
      </c>
      <c r="D2769" s="94">
        <v>2062.0</v>
      </c>
    </row>
    <row r="2770">
      <c r="A2770" s="40">
        <f t="array" ref="A2770">IFNA(index(PlayerValues!A:A,match(IFNA(vlookup(B2770,'Special Names'!A:B,2,FALSE),B2770),PlayerValues!E:E,0)),"N/A")</f>
        <v>17060</v>
      </c>
      <c r="B2770" s="4" t="s">
        <v>603</v>
      </c>
      <c r="C2770" s="4" t="s">
        <v>278</v>
      </c>
      <c r="D2770" s="94">
        <v>2046.0</v>
      </c>
    </row>
    <row r="2771">
      <c r="A2771" s="40">
        <f t="array" ref="A2771">IFNA(index(PlayerValues!A:A,match(IFNA(vlookup(B2771,'Special Names'!A:B,2,FALSE),B2771),PlayerValues!E:E,0)),"N/A")</f>
        <v>17069</v>
      </c>
      <c r="B2771" s="4" t="s">
        <v>604</v>
      </c>
      <c r="C2771" s="4" t="s">
        <v>278</v>
      </c>
      <c r="D2771" s="94">
        <v>2038.0</v>
      </c>
    </row>
    <row r="2772">
      <c r="A2772" s="40">
        <f t="array" ref="A2772">IFNA(index(PlayerValues!A:A,match(IFNA(vlookup(B2772,'Special Names'!A:B,2,FALSE),B2772),PlayerValues!E:E,0)),"N/A")</f>
        <v>17061</v>
      </c>
      <c r="B2772" s="4" t="s">
        <v>580</v>
      </c>
      <c r="C2772" s="4" t="s">
        <v>278</v>
      </c>
      <c r="D2772" s="94">
        <v>2033.0</v>
      </c>
    </row>
    <row r="2773">
      <c r="A2773" s="40">
        <f t="array" ref="A2773">IFNA(index(PlayerValues!A:A,match(IFNA(vlookup(B2773,'Special Names'!A:B,2,FALSE),B2773),PlayerValues!E:E,0)),"N/A")</f>
        <v>12801</v>
      </c>
      <c r="B2773" s="4" t="s">
        <v>722</v>
      </c>
      <c r="C2773" s="4" t="s">
        <v>287</v>
      </c>
      <c r="D2773" s="94">
        <v>2025.0</v>
      </c>
    </row>
    <row r="2774">
      <c r="A2774" s="40">
        <f t="array" ref="A2774">IFNA(index(PlayerValues!A:A,match(IFNA(vlookup(B2774,'Special Names'!A:B,2,FALSE),B2774),PlayerValues!E:E,0)),"N/A")</f>
        <v>16342</v>
      </c>
      <c r="B2774" s="4" t="s">
        <v>583</v>
      </c>
      <c r="C2774" s="4" t="s">
        <v>287</v>
      </c>
      <c r="D2774" s="94">
        <v>2018.0</v>
      </c>
    </row>
    <row r="2775">
      <c r="A2775" s="40">
        <f t="array" ref="A2775">IFNA(index(PlayerValues!A:A,match(IFNA(vlookup(B2775,'Special Names'!A:B,2,FALSE),B2775),PlayerValues!E:E,0)),"N/A")</f>
        <v>17087</v>
      </c>
      <c r="B2775" s="4" t="s">
        <v>600</v>
      </c>
      <c r="C2775" s="4" t="s">
        <v>287</v>
      </c>
      <c r="D2775" s="94">
        <v>2016.0</v>
      </c>
    </row>
    <row r="2776">
      <c r="A2776" s="40">
        <f t="array" ref="A2776">IFNA(index(PlayerValues!A:A,match(IFNA(vlookup(B2776,'Special Names'!A:B,2,FALSE),B2776),PlayerValues!E:E,0)),"N/A")</f>
        <v>17076</v>
      </c>
      <c r="B2776" s="4" t="s">
        <v>585</v>
      </c>
      <c r="C2776" s="4" t="s">
        <v>287</v>
      </c>
      <c r="D2776" s="94">
        <v>2004.0</v>
      </c>
    </row>
    <row r="2777">
      <c r="A2777" s="40" t="str">
        <f t="array" ref="A2777">IFNA(index(PlayerValues!A:A,match(IFNA(vlookup(B2777,'Special Names'!A:B,2,FALSE),B2777),PlayerValues!E:E,0)),"N/A")</f>
        <v>N/A</v>
      </c>
      <c r="B2777" s="4" t="s">
        <v>114</v>
      </c>
      <c r="C2777" s="4" t="s">
        <v>325</v>
      </c>
      <c r="D2777" s="94">
        <v>1992.0</v>
      </c>
    </row>
    <row r="2778">
      <c r="A2778" s="40">
        <f t="array" ref="A2778">IFNA(index(PlayerValues!A:A,match(IFNA(vlookup(B2778,'Special Names'!A:B,2,FALSE),B2778),PlayerValues!E:E,0)),"N/A")</f>
        <v>13633</v>
      </c>
      <c r="B2778" s="4" t="s">
        <v>625</v>
      </c>
      <c r="C2778" s="4" t="s">
        <v>287</v>
      </c>
      <c r="D2778" s="94">
        <v>1987.0</v>
      </c>
    </row>
    <row r="2779">
      <c r="A2779" s="40">
        <f t="array" ref="A2779">IFNA(index(PlayerValues!A:A,match(IFNA(vlookup(B2779,'Special Names'!A:B,2,FALSE),B2779),PlayerValues!E:E,0)),"N/A")</f>
        <v>10700</v>
      </c>
      <c r="B2779" s="4" t="s">
        <v>596</v>
      </c>
      <c r="C2779" s="4" t="s">
        <v>283</v>
      </c>
      <c r="D2779" s="94">
        <v>1978.0</v>
      </c>
    </row>
    <row r="2780">
      <c r="A2780" s="40">
        <f t="array" ref="A2780">IFNA(index(PlayerValues!A:A,match(IFNA(vlookup(B2780,'Special Names'!A:B,2,FALSE),B2780),PlayerValues!E:E,0)),"N/A")</f>
        <v>16603</v>
      </c>
      <c r="B2780" s="4" t="s">
        <v>587</v>
      </c>
      <c r="C2780" s="4" t="s">
        <v>278</v>
      </c>
      <c r="D2780" s="94">
        <v>1974.0</v>
      </c>
    </row>
    <row r="2781">
      <c r="A2781" s="40">
        <f t="array" ref="A2781">IFNA(index(PlayerValues!A:A,match(IFNA(vlookup(B2781,'Special Names'!A:B,2,FALSE),B2781),PlayerValues!E:E,0)),"N/A")</f>
        <v>14867</v>
      </c>
      <c r="B2781" s="4" t="s">
        <v>591</v>
      </c>
      <c r="C2781" s="4" t="s">
        <v>298</v>
      </c>
      <c r="D2781" s="94">
        <v>2361.0</v>
      </c>
    </row>
    <row r="2782">
      <c r="A2782" s="40">
        <f t="array" ref="A2782">IFNA(index(PlayerValues!A:A,match(IFNA(vlookup(B2782,'Special Names'!A:B,2,FALSE),B2782),PlayerValues!E:E,0)),"N/A")</f>
        <v>17036</v>
      </c>
      <c r="B2782" s="4" t="s">
        <v>617</v>
      </c>
      <c r="C2782" s="4" t="s">
        <v>283</v>
      </c>
      <c r="D2782" s="94">
        <v>1970.0</v>
      </c>
    </row>
    <row r="2783">
      <c r="A2783" s="40">
        <f t="array" ref="A2783">IFNA(index(PlayerValues!A:A,match(IFNA(vlookup(B2783,'Special Names'!A:B,2,FALSE),B2783),PlayerValues!E:E,0)),"N/A")</f>
        <v>17184</v>
      </c>
      <c r="B2783" s="4" t="s">
        <v>588</v>
      </c>
      <c r="C2783" s="4" t="s">
        <v>287</v>
      </c>
      <c r="D2783" s="94">
        <v>1953.0</v>
      </c>
    </row>
    <row r="2784">
      <c r="A2784" s="40">
        <f t="array" ref="A2784">IFNA(index(PlayerValues!A:A,match(IFNA(vlookup(B2784,'Special Names'!A:B,2,FALSE),B2784),PlayerValues!E:E,0)),"N/A")</f>
        <v>16639</v>
      </c>
      <c r="B2784" s="4" t="s">
        <v>599</v>
      </c>
      <c r="C2784" s="4" t="s">
        <v>287</v>
      </c>
      <c r="D2784" s="94">
        <v>1944.0</v>
      </c>
    </row>
    <row r="2785">
      <c r="A2785" s="40">
        <f t="array" ref="A2785">IFNA(index(PlayerValues!A:A,match(IFNA(vlookup(B2785,'Special Names'!A:B,2,FALSE),B2785),PlayerValues!E:E,0)),"N/A")</f>
        <v>16604</v>
      </c>
      <c r="B2785" s="4" t="s">
        <v>476</v>
      </c>
      <c r="C2785" s="4" t="s">
        <v>278</v>
      </c>
      <c r="D2785" s="94">
        <v>1935.0</v>
      </c>
    </row>
    <row r="2786">
      <c r="A2786" s="40" t="str">
        <f t="array" ref="A2786">IFNA(index(PlayerValues!A:A,match(IFNA(vlookup(B2786,'Special Names'!A:B,2,FALSE),B2786),PlayerValues!E:E,0)),"N/A")</f>
        <v>N/A</v>
      </c>
      <c r="B2786" s="4" t="s">
        <v>101</v>
      </c>
      <c r="C2786" s="4" t="s">
        <v>325</v>
      </c>
      <c r="D2786" s="94">
        <v>1920.0</v>
      </c>
    </row>
    <row r="2787">
      <c r="A2787" s="40">
        <f t="array" ref="A2787">IFNA(index(PlayerValues!A:A,match(IFNA(vlookup(B2787,'Special Names'!A:B,2,FALSE),B2787),PlayerValues!E:E,0)),"N/A")</f>
        <v>7836</v>
      </c>
      <c r="B2787" s="4" t="s">
        <v>590</v>
      </c>
      <c r="C2787" s="4" t="s">
        <v>283</v>
      </c>
      <c r="D2787" s="94">
        <v>1889.0</v>
      </c>
    </row>
    <row r="2788">
      <c r="A2788" s="40">
        <f t="array" ref="A2788">IFNA(index(PlayerValues!A:A,match(IFNA(vlookup(B2788,'Special Names'!A:B,2,FALSE),B2788),PlayerValues!E:E,0)),"N/A")</f>
        <v>13189</v>
      </c>
      <c r="B2788" s="4" t="s">
        <v>626</v>
      </c>
      <c r="C2788" s="4" t="s">
        <v>298</v>
      </c>
      <c r="D2788" s="94">
        <v>2260.0</v>
      </c>
    </row>
    <row r="2789">
      <c r="A2789" s="40">
        <f t="array" ref="A2789">IFNA(index(PlayerValues!A:A,match(IFNA(vlookup(B2789,'Special Names'!A:B,2,FALSE),B2789),PlayerValues!E:E,0)),"N/A")</f>
        <v>13629</v>
      </c>
      <c r="B2789" s="4" t="s">
        <v>619</v>
      </c>
      <c r="C2789" s="4" t="s">
        <v>287</v>
      </c>
      <c r="D2789" s="94">
        <v>1868.0</v>
      </c>
    </row>
    <row r="2790">
      <c r="A2790" s="40">
        <f t="array" ref="A2790">IFNA(index(PlayerValues!A:A,match(IFNA(vlookup(B2790,'Special Names'!A:B,2,FALSE),B2790),PlayerValues!E:E,0)),"N/A")</f>
        <v>14871</v>
      </c>
      <c r="B2790" s="4" t="s">
        <v>584</v>
      </c>
      <c r="C2790" s="4" t="s">
        <v>298</v>
      </c>
      <c r="D2790" s="94">
        <v>2248.0</v>
      </c>
    </row>
    <row r="2791">
      <c r="A2791" s="40">
        <f t="array" ref="A2791">IFNA(index(PlayerValues!A:A,match(IFNA(vlookup(B2791,'Special Names'!A:B,2,FALSE),B2791),PlayerValues!E:E,0)),"N/A")</f>
        <v>16191</v>
      </c>
      <c r="B2791" s="4" t="s">
        <v>666</v>
      </c>
      <c r="C2791" s="4" t="s">
        <v>287</v>
      </c>
      <c r="D2791" s="94">
        <v>1860.0</v>
      </c>
    </row>
    <row r="2792">
      <c r="A2792" s="40">
        <f t="array" ref="A2792">IFNA(index(PlayerValues!A:A,match(IFNA(vlookup(B2792,'Special Names'!A:B,2,FALSE),B2792),PlayerValues!E:E,0)),"N/A")</f>
        <v>17086</v>
      </c>
      <c r="B2792" s="4" t="s">
        <v>612</v>
      </c>
      <c r="C2792" s="4" t="s">
        <v>287</v>
      </c>
      <c r="D2792" s="94">
        <v>1859.0</v>
      </c>
    </row>
    <row r="2793">
      <c r="A2793" s="40">
        <f t="array" ref="A2793">IFNA(index(PlayerValues!A:A,match(IFNA(vlookup(B2793,'Special Names'!A:B,2,FALSE),B2793),PlayerValues!E:E,0)),"N/A")</f>
        <v>17049</v>
      </c>
      <c r="B2793" s="4" t="s">
        <v>624</v>
      </c>
      <c r="C2793" s="4" t="s">
        <v>278</v>
      </c>
      <c r="D2793" s="94">
        <v>1854.0</v>
      </c>
    </row>
    <row r="2794">
      <c r="A2794" s="40">
        <f t="array" ref="A2794">IFNA(index(PlayerValues!A:A,match(IFNA(vlookup(B2794,'Special Names'!A:B,2,FALSE),B2794),PlayerValues!E:E,0)),"N/A")</f>
        <v>16171</v>
      </c>
      <c r="B2794" s="4" t="s">
        <v>618</v>
      </c>
      <c r="C2794" s="4" t="s">
        <v>278</v>
      </c>
      <c r="D2794" s="94">
        <v>1853.0</v>
      </c>
    </row>
    <row r="2795">
      <c r="A2795" s="40">
        <f t="array" ref="A2795">IFNA(index(PlayerValues!A:A,match(IFNA(vlookup(B2795,'Special Names'!A:B,2,FALSE),B2795),PlayerValues!E:E,0)),"N/A")</f>
        <v>16215</v>
      </c>
      <c r="B2795" s="4" t="s">
        <v>637</v>
      </c>
      <c r="C2795" s="4" t="s">
        <v>298</v>
      </c>
      <c r="D2795" s="94">
        <v>2224.0</v>
      </c>
    </row>
    <row r="2796">
      <c r="A2796" s="40">
        <f t="array" ref="A2796">IFNA(index(PlayerValues!A:A,match(IFNA(vlookup(B2796,'Special Names'!A:B,2,FALSE),B2796),PlayerValues!E:E,0)),"N/A")</f>
        <v>16752</v>
      </c>
      <c r="B2796" s="4" t="s">
        <v>597</v>
      </c>
      <c r="C2796" s="4" t="s">
        <v>278</v>
      </c>
      <c r="D2796" s="94">
        <v>1842.0</v>
      </c>
    </row>
    <row r="2797">
      <c r="A2797" s="40">
        <f t="array" ref="A2797">IFNA(index(PlayerValues!A:A,match(IFNA(vlookup(B2797,'Special Names'!A:B,2,FALSE),B2797),PlayerValues!E:E,0)),"N/A")</f>
        <v>15787</v>
      </c>
      <c r="B2797" s="4" t="s">
        <v>610</v>
      </c>
      <c r="C2797" s="4" t="s">
        <v>287</v>
      </c>
      <c r="D2797" s="94">
        <v>1838.0</v>
      </c>
    </row>
    <row r="2798">
      <c r="A2798" s="40">
        <f t="array" ref="A2798">IFNA(index(PlayerValues!A:A,match(IFNA(vlookup(B2798,'Special Names'!A:B,2,FALSE),B2798),PlayerValues!E:E,0)),"N/A")</f>
        <v>15797</v>
      </c>
      <c r="B2798" s="4" t="s">
        <v>556</v>
      </c>
      <c r="C2798" s="4" t="s">
        <v>298</v>
      </c>
      <c r="D2798" s="94">
        <v>2206.0</v>
      </c>
    </row>
    <row r="2799">
      <c r="A2799" s="40">
        <f t="array" ref="A2799">IFNA(index(PlayerValues!A:A,match(IFNA(vlookup(B2799,'Special Names'!A:B,2,FALSE),B2799),PlayerValues!E:E,0)),"N/A")</f>
        <v>16216</v>
      </c>
      <c r="B2799" s="4" t="s">
        <v>595</v>
      </c>
      <c r="C2799" s="4" t="s">
        <v>298</v>
      </c>
      <c r="D2799" s="94">
        <v>2195.0</v>
      </c>
    </row>
    <row r="2800">
      <c r="A2800" s="40">
        <f t="array" ref="A2800">IFNA(index(PlayerValues!A:A,match(IFNA(vlookup(B2800,'Special Names'!A:B,2,FALSE),B2800),PlayerValues!E:E,0)),"N/A")</f>
        <v>13146</v>
      </c>
      <c r="B2800" s="4" t="s">
        <v>652</v>
      </c>
      <c r="C2800" s="4" t="s">
        <v>278</v>
      </c>
      <c r="D2800" s="94">
        <v>1806.0</v>
      </c>
    </row>
    <row r="2801">
      <c r="A2801" s="40">
        <f t="array" ref="A2801">IFNA(index(PlayerValues!A:A,match(IFNA(vlookup(B2801,'Special Names'!A:B,2,FALSE),B2801),PlayerValues!E:E,0)),"N/A")</f>
        <v>15788</v>
      </c>
      <c r="B2801" s="4" t="s">
        <v>627</v>
      </c>
      <c r="C2801" s="4" t="s">
        <v>287</v>
      </c>
      <c r="D2801" s="94">
        <v>1801.0</v>
      </c>
    </row>
    <row r="2802">
      <c r="A2802" s="40">
        <f t="array" ref="A2802">IFNA(index(PlayerValues!A:A,match(IFNA(vlookup(B2802,'Special Names'!A:B,2,FALSE),B2802),PlayerValues!E:E,0)),"N/A")</f>
        <v>17034</v>
      </c>
      <c r="B2802" s="4" t="s">
        <v>643</v>
      </c>
      <c r="C2802" s="4" t="s">
        <v>283</v>
      </c>
      <c r="D2802" s="94">
        <v>1801.0</v>
      </c>
    </row>
    <row r="2803">
      <c r="A2803" s="40">
        <f t="array" ref="A2803">IFNA(index(PlayerValues!A:A,match(IFNA(vlookup(B2803,'Special Names'!A:B,2,FALSE),B2803),PlayerValues!E:E,0)),"N/A")</f>
        <v>17467</v>
      </c>
      <c r="B2803" s="4" t="s">
        <v>575</v>
      </c>
      <c r="C2803" s="4" t="s">
        <v>283</v>
      </c>
      <c r="D2803" s="94">
        <v>1797.0</v>
      </c>
    </row>
    <row r="2804">
      <c r="A2804" s="40">
        <f t="array" ref="A2804">IFNA(index(PlayerValues!A:A,match(IFNA(vlookup(B2804,'Special Names'!A:B,2,FALSE),B2804),PlayerValues!E:E,0)),"N/A")</f>
        <v>14143</v>
      </c>
      <c r="B2804" s="4" t="s">
        <v>635</v>
      </c>
      <c r="C2804" s="4" t="s">
        <v>298</v>
      </c>
      <c r="D2804" s="94">
        <v>2159.0</v>
      </c>
    </row>
    <row r="2805">
      <c r="A2805" s="40">
        <f t="array" ref="A2805">IFNA(index(PlayerValues!A:A,match(IFNA(vlookup(B2805,'Special Names'!A:B,2,FALSE),B2805),PlayerValues!E:E,0)),"N/A")</f>
        <v>16778</v>
      </c>
      <c r="B2805" s="4" t="s">
        <v>577</v>
      </c>
      <c r="C2805" s="4" t="s">
        <v>287</v>
      </c>
      <c r="D2805" s="94">
        <v>1761.0</v>
      </c>
    </row>
    <row r="2806">
      <c r="A2806" s="40">
        <f t="array" ref="A2806">IFNA(index(PlayerValues!A:A,match(IFNA(vlookup(B2806,'Special Names'!A:B,2,FALSE),B2806),PlayerValues!E:E,0)),"N/A")</f>
        <v>13164</v>
      </c>
      <c r="B2806" s="4" t="s">
        <v>632</v>
      </c>
      <c r="C2806" s="4" t="s">
        <v>287</v>
      </c>
      <c r="D2806" s="94">
        <v>1753.0</v>
      </c>
    </row>
    <row r="2807">
      <c r="A2807" s="40">
        <f t="array" ref="A2807">IFNA(index(PlayerValues!A:A,match(IFNA(vlookup(B2807,'Special Names'!A:B,2,FALSE),B2807),PlayerValues!E:E,0)),"N/A")</f>
        <v>17035</v>
      </c>
      <c r="B2807" s="4" t="s">
        <v>650</v>
      </c>
      <c r="C2807" s="4" t="s">
        <v>283</v>
      </c>
      <c r="D2807" s="94">
        <v>1749.0</v>
      </c>
    </row>
    <row r="2808">
      <c r="A2808" s="40">
        <f t="array" ref="A2808">IFNA(index(PlayerValues!A:A,match(IFNA(vlookup(B2808,'Special Names'!A:B,2,FALSE),B2808),PlayerValues!E:E,0)),"N/A")</f>
        <v>17481</v>
      </c>
      <c r="B2808" s="4" t="s">
        <v>540</v>
      </c>
      <c r="C2808" s="4" t="s">
        <v>278</v>
      </c>
      <c r="D2808" s="94">
        <v>1749.0</v>
      </c>
    </row>
    <row r="2809">
      <c r="A2809" s="40">
        <f t="array" ref="A2809">IFNA(index(PlayerValues!A:A,match(IFNA(vlookup(B2809,'Special Names'!A:B,2,FALSE),B2809),PlayerValues!E:E,0)),"N/A")</f>
        <v>16644</v>
      </c>
      <c r="B2809" s="4" t="s">
        <v>640</v>
      </c>
      <c r="C2809" s="4" t="s">
        <v>298</v>
      </c>
      <c r="D2809" s="94">
        <v>2124.0</v>
      </c>
    </row>
    <row r="2810">
      <c r="A2810" s="40" t="str">
        <f t="array" ref="A2810">IFNA(index(PlayerValues!A:A,match(IFNA(vlookup(B2810,'Special Names'!A:B,2,FALSE),B2810),PlayerValues!E:E,0)),"N/A")</f>
        <v>N/A</v>
      </c>
      <c r="B2810" s="4" t="s">
        <v>102</v>
      </c>
      <c r="C2810" s="4" t="s">
        <v>325</v>
      </c>
      <c r="D2810" s="94">
        <v>1738.0</v>
      </c>
    </row>
    <row r="2811">
      <c r="A2811" s="40">
        <f t="array" ref="A2811">IFNA(index(PlayerValues!A:A,match(IFNA(vlookup(B2811,'Special Names'!A:B,2,FALSE),B2811),PlayerValues!E:E,0)),"N/A")</f>
        <v>14105</v>
      </c>
      <c r="B2811" s="4" t="s">
        <v>675</v>
      </c>
      <c r="C2811" s="4" t="s">
        <v>287</v>
      </c>
      <c r="D2811" s="94">
        <v>1735.0</v>
      </c>
    </row>
    <row r="2812">
      <c r="A2812" s="40">
        <f t="array" ref="A2812">IFNA(index(PlayerValues!A:A,match(IFNA(vlookup(B2812,'Special Names'!A:B,2,FALSE),B2812),PlayerValues!E:E,0)),"N/A")</f>
        <v>17528</v>
      </c>
      <c r="B2812" s="4" t="s">
        <v>579</v>
      </c>
      <c r="C2812" s="4" t="s">
        <v>287</v>
      </c>
      <c r="D2812" s="94">
        <v>1731.0</v>
      </c>
    </row>
    <row r="2813">
      <c r="A2813" s="40">
        <f t="array" ref="A2813">IFNA(index(PlayerValues!A:A,match(IFNA(vlookup(B2813,'Special Names'!A:B,2,FALSE),B2813),PlayerValues!E:E,0)),"N/A")</f>
        <v>17466</v>
      </c>
      <c r="B2813" s="4" t="s">
        <v>492</v>
      </c>
      <c r="C2813" s="4" t="s">
        <v>283</v>
      </c>
      <c r="D2813" s="94">
        <v>1725.0</v>
      </c>
    </row>
    <row r="2814">
      <c r="A2814" s="40">
        <f t="array" ref="A2814">IFNA(index(PlayerValues!A:A,match(IFNA(vlookup(B2814,'Special Names'!A:B,2,FALSE),B2814),PlayerValues!E:E,0)),"N/A")</f>
        <v>16635</v>
      </c>
      <c r="B2814" s="4" t="s">
        <v>645</v>
      </c>
      <c r="C2814" s="4" t="s">
        <v>287</v>
      </c>
      <c r="D2814" s="94">
        <v>1710.0</v>
      </c>
    </row>
    <row r="2815">
      <c r="A2815" s="40">
        <f t="array" ref="A2815">IFNA(index(PlayerValues!A:A,match(IFNA(vlookup(B2815,'Special Names'!A:B,2,FALSE),B2815),PlayerValues!E:E,0)),"N/A")</f>
        <v>16201</v>
      </c>
      <c r="B2815" s="4" t="s">
        <v>589</v>
      </c>
      <c r="C2815" s="4" t="s">
        <v>287</v>
      </c>
      <c r="D2815" s="94">
        <v>1709.0</v>
      </c>
    </row>
    <row r="2816">
      <c r="A2816" s="40">
        <f t="array" ref="A2816">IFNA(index(PlayerValues!A:A,match(IFNA(vlookup(B2816,'Special Names'!A:B,2,FALSE),B2816),PlayerValues!E:E,0)),"N/A")</f>
        <v>16585</v>
      </c>
      <c r="B2816" s="4" t="s">
        <v>623</v>
      </c>
      <c r="C2816" s="4" t="s">
        <v>283</v>
      </c>
      <c r="D2816" s="94">
        <v>1707.0</v>
      </c>
    </row>
    <row r="2817">
      <c r="A2817" s="40" t="str">
        <f t="array" ref="A2817">IFNA(index(PlayerValues!A:A,match(IFNA(vlookup(B2817,'Special Names'!A:B,2,FALSE),B2817),PlayerValues!E:E,0)),"N/A")</f>
        <v>N/A</v>
      </c>
      <c r="B2817" s="4" t="s">
        <v>89</v>
      </c>
      <c r="C2817" s="4" t="s">
        <v>325</v>
      </c>
      <c r="D2817" s="94">
        <v>1705.0</v>
      </c>
    </row>
    <row r="2818">
      <c r="A2818" s="40">
        <f t="array" ref="A2818">IFNA(index(PlayerValues!A:A,match(IFNA(vlookup(B2818,'Special Names'!A:B,2,FALSE),B2818),PlayerValues!E:E,0)),"N/A")</f>
        <v>17096</v>
      </c>
      <c r="B2818" s="4" t="s">
        <v>638</v>
      </c>
      <c r="C2818" s="4" t="s">
        <v>287</v>
      </c>
      <c r="D2818" s="94">
        <v>1693.0</v>
      </c>
    </row>
    <row r="2819">
      <c r="A2819" s="40">
        <f t="array" ref="A2819">IFNA(index(PlayerValues!A:A,match(IFNA(vlookup(B2819,'Special Names'!A:B,2,FALSE),B2819),PlayerValues!E:E,0)),"N/A")</f>
        <v>17465</v>
      </c>
      <c r="B2819" s="4" t="s">
        <v>649</v>
      </c>
      <c r="C2819" s="4" t="s">
        <v>283</v>
      </c>
      <c r="D2819" s="94">
        <v>1693.0</v>
      </c>
    </row>
    <row r="2820">
      <c r="A2820" s="40" t="str">
        <f t="array" ref="A2820">IFNA(index(PlayerValues!A:A,match(IFNA(vlookup(B2820,'Special Names'!A:B,2,FALSE),B2820),PlayerValues!E:E,0)),"N/A")</f>
        <v>N/A</v>
      </c>
      <c r="B2820" s="4" t="s">
        <v>103</v>
      </c>
      <c r="C2820" s="4" t="s">
        <v>325</v>
      </c>
      <c r="D2820" s="94">
        <v>1691.0</v>
      </c>
    </row>
    <row r="2821">
      <c r="A2821" s="40">
        <f t="array" ref="A2821">IFNA(index(PlayerValues!A:A,match(IFNA(vlookup(B2821,'Special Names'!A:B,2,FALSE),B2821),PlayerValues!E:E,0)),"N/A")</f>
        <v>15755</v>
      </c>
      <c r="B2821" s="4" t="s">
        <v>628</v>
      </c>
      <c r="C2821" s="4" t="s">
        <v>287</v>
      </c>
      <c r="D2821" s="94">
        <v>1687.0</v>
      </c>
    </row>
    <row r="2822">
      <c r="A2822" s="40">
        <f t="array" ref="A2822">IFNA(index(PlayerValues!A:A,match(IFNA(vlookup(B2822,'Special Names'!A:B,2,FALSE),B2822),PlayerValues!E:E,0)),"N/A")</f>
        <v>15254</v>
      </c>
      <c r="B2822" s="4" t="s">
        <v>633</v>
      </c>
      <c r="C2822" s="4" t="s">
        <v>278</v>
      </c>
      <c r="D2822" s="94">
        <v>1685.0</v>
      </c>
    </row>
    <row r="2823">
      <c r="A2823" s="40">
        <f t="array" ref="A2823">IFNA(index(PlayerValues!A:A,match(IFNA(vlookup(B2823,'Special Names'!A:B,2,FALSE),B2823),PlayerValues!E:E,0)),"N/A")</f>
        <v>17064</v>
      </c>
      <c r="B2823" s="4" t="s">
        <v>631</v>
      </c>
      <c r="C2823" s="4" t="s">
        <v>278</v>
      </c>
      <c r="D2823" s="94">
        <v>1668.0</v>
      </c>
    </row>
    <row r="2824">
      <c r="A2824" s="40">
        <f t="array" ref="A2824">IFNA(index(PlayerValues!A:A,match(IFNA(vlookup(B2824,'Special Names'!A:B,2,FALSE),B2824),PlayerValues!E:E,0)),"N/A")</f>
        <v>16601</v>
      </c>
      <c r="B2824" s="4" t="s">
        <v>648</v>
      </c>
      <c r="C2824" s="4" t="s">
        <v>278</v>
      </c>
      <c r="D2824" s="94">
        <v>1658.0</v>
      </c>
    </row>
    <row r="2825">
      <c r="A2825" s="40">
        <f t="array" ref="A2825">IFNA(index(PlayerValues!A:A,match(IFNA(vlookup(B2825,'Special Names'!A:B,2,FALSE),B2825),PlayerValues!E:E,0)),"N/A")</f>
        <v>17058</v>
      </c>
      <c r="B2825" s="4" t="s">
        <v>641</v>
      </c>
      <c r="C2825" s="4" t="s">
        <v>278</v>
      </c>
      <c r="D2825" s="94">
        <v>1655.0</v>
      </c>
    </row>
    <row r="2826">
      <c r="A2826" s="40">
        <f t="array" ref="A2826">IFNA(index(PlayerValues!A:A,match(IFNA(vlookup(B2826,'Special Names'!A:B,2,FALSE),B2826),PlayerValues!E:E,0)),"N/A")</f>
        <v>16586</v>
      </c>
      <c r="B2826" s="4" t="s">
        <v>658</v>
      </c>
      <c r="C2826" s="4" t="s">
        <v>283</v>
      </c>
      <c r="D2826" s="94">
        <v>1653.0</v>
      </c>
    </row>
    <row r="2827">
      <c r="A2827" s="40">
        <f t="array" ref="A2827">IFNA(index(PlayerValues!A:A,match(IFNA(vlookup(B2827,'Special Names'!A:B,2,FALSE),B2827),PlayerValues!E:E,0)),"N/A")</f>
        <v>16207</v>
      </c>
      <c r="B2827" s="4" t="s">
        <v>636</v>
      </c>
      <c r="C2827" s="4" t="s">
        <v>287</v>
      </c>
      <c r="D2827" s="94">
        <v>1643.0</v>
      </c>
    </row>
    <row r="2828">
      <c r="A2828" s="40">
        <f t="array" ref="A2828">IFNA(index(PlayerValues!A:A,match(IFNA(vlookup(B2828,'Special Names'!A:B,2,FALSE),B2828),PlayerValues!E:E,0)),"N/A")</f>
        <v>15301</v>
      </c>
      <c r="B2828" s="4" t="s">
        <v>657</v>
      </c>
      <c r="C2828" s="4" t="s">
        <v>287</v>
      </c>
      <c r="D2828" s="94">
        <v>1624.0</v>
      </c>
    </row>
    <row r="2829">
      <c r="A2829" s="40" t="str">
        <f t="array" ref="A2829">IFNA(index(PlayerValues!A:A,match(IFNA(vlookup(B2829,'Special Names'!A:B,2,FALSE),B2829),PlayerValues!E:E,0)),"N/A")</f>
        <v>N/A</v>
      </c>
      <c r="B2829" s="4" t="s">
        <v>115</v>
      </c>
      <c r="C2829" s="4" t="s">
        <v>325</v>
      </c>
      <c r="D2829" s="94">
        <v>1615.0</v>
      </c>
    </row>
    <row r="2830">
      <c r="A2830" s="40">
        <f t="array" ref="A2830">IFNA(index(PlayerValues!A:A,match(IFNA(vlookup(B2830,'Special Names'!A:B,2,FALSE),B2830),PlayerValues!E:E,0)),"N/A")</f>
        <v>16629</v>
      </c>
      <c r="B2830" s="4" t="s">
        <v>605</v>
      </c>
      <c r="C2830" s="4" t="s">
        <v>287</v>
      </c>
      <c r="D2830" s="94">
        <v>1613.0</v>
      </c>
    </row>
    <row r="2831">
      <c r="A2831" s="40">
        <f t="array" ref="A2831">IFNA(index(PlayerValues!A:A,match(IFNA(vlookup(B2831,'Special Names'!A:B,2,FALSE),B2831),PlayerValues!E:E,0)),"N/A")</f>
        <v>15319</v>
      </c>
      <c r="B2831" s="4" t="s">
        <v>644</v>
      </c>
      <c r="C2831" s="4" t="s">
        <v>287</v>
      </c>
      <c r="D2831" s="94">
        <v>1610.0</v>
      </c>
    </row>
    <row r="2832">
      <c r="A2832" s="40" t="str">
        <f t="array" ref="A2832">IFNA(index(PlayerValues!A:A,match(IFNA(vlookup(B2832,'Special Names'!A:B,2,FALSE),B2832),PlayerValues!E:E,0)),"N/A")</f>
        <v>N/A</v>
      </c>
      <c r="B2832" s="4" t="s">
        <v>90</v>
      </c>
      <c r="C2832" s="4" t="s">
        <v>325</v>
      </c>
      <c r="D2832" s="94">
        <v>1600.0</v>
      </c>
    </row>
    <row r="2833">
      <c r="A2833" s="40">
        <f t="array" ref="A2833">IFNA(index(PlayerValues!A:A,match(IFNA(vlookup(B2833,'Special Names'!A:B,2,FALSE),B2833),PlayerValues!E:E,0)),"N/A")</f>
        <v>16688</v>
      </c>
      <c r="B2833" s="4" t="s">
        <v>688</v>
      </c>
      <c r="C2833" s="4" t="s">
        <v>278</v>
      </c>
      <c r="D2833" s="94">
        <v>1592.0</v>
      </c>
    </row>
    <row r="2834">
      <c r="A2834" s="40">
        <f t="array" ref="A2834">IFNA(index(PlayerValues!A:A,match(IFNA(vlookup(B2834,'Special Names'!A:B,2,FALSE),B2834),PlayerValues!E:E,0)),"N/A")</f>
        <v>15713</v>
      </c>
      <c r="B2834" s="4" t="s">
        <v>732</v>
      </c>
      <c r="C2834" s="4" t="s">
        <v>278</v>
      </c>
      <c r="D2834" s="94">
        <v>1568.0</v>
      </c>
    </row>
    <row r="2835">
      <c r="A2835" s="40">
        <f t="array" ref="A2835">IFNA(index(PlayerValues!A:A,match(IFNA(vlookup(B2835,'Special Names'!A:B,2,FALSE),B2835),PlayerValues!E:E,0)),"N/A")</f>
        <v>16595</v>
      </c>
      <c r="B2835" s="4" t="s">
        <v>664</v>
      </c>
      <c r="C2835" s="4" t="s">
        <v>278</v>
      </c>
      <c r="D2835" s="94">
        <v>1565.0</v>
      </c>
    </row>
    <row r="2836">
      <c r="A2836" s="40">
        <f t="array" ref="A2836">IFNA(index(PlayerValues!A:A,match(IFNA(vlookup(B2836,'Special Names'!A:B,2,FALSE),B2836),PlayerValues!E:E,0)),"N/A")</f>
        <v>17205</v>
      </c>
      <c r="B2836" s="4" t="s">
        <v>665</v>
      </c>
      <c r="C2836" s="4" t="s">
        <v>287</v>
      </c>
      <c r="D2836" s="94">
        <v>1564.0</v>
      </c>
    </row>
    <row r="2837">
      <c r="A2837" s="40">
        <f t="array" ref="A2837">IFNA(index(PlayerValues!A:A,match(IFNA(vlookup(B2837,'Special Names'!A:B,2,FALSE),B2837),PlayerValues!E:E,0)),"N/A")</f>
        <v>16633</v>
      </c>
      <c r="B2837" s="4" t="s">
        <v>656</v>
      </c>
      <c r="C2837" s="4" t="s">
        <v>287</v>
      </c>
      <c r="D2837" s="94">
        <v>1563.0</v>
      </c>
    </row>
    <row r="2838">
      <c r="A2838" s="40" t="str">
        <f t="array" ref="A2838">IFNA(index(PlayerValues!A:A,match(IFNA(vlookup(B2838,'Special Names'!A:B,2,FALSE),B2838),PlayerValues!E:E,0)),"N/A")</f>
        <v>N/A</v>
      </c>
      <c r="B2838" s="4" t="s">
        <v>116</v>
      </c>
      <c r="C2838" s="4" t="s">
        <v>325</v>
      </c>
      <c r="D2838" s="94">
        <v>1563.0</v>
      </c>
    </row>
    <row r="2839">
      <c r="A2839" s="40">
        <f t="array" ref="A2839">IFNA(index(PlayerValues!A:A,match(IFNA(vlookup(B2839,'Special Names'!A:B,2,FALSE),B2839),PlayerValues!E:E,0)),"N/A")</f>
        <v>14122</v>
      </c>
      <c r="B2839" s="4" t="s">
        <v>663</v>
      </c>
      <c r="C2839" s="4" t="s">
        <v>287</v>
      </c>
      <c r="D2839" s="94">
        <v>1556.0</v>
      </c>
    </row>
    <row r="2840">
      <c r="A2840" s="40">
        <f t="array" ref="A2840">IFNA(index(PlayerValues!A:A,match(IFNA(vlookup(B2840,'Special Names'!A:B,2,FALSE),B2840),PlayerValues!E:E,0)),"N/A")</f>
        <v>17548</v>
      </c>
      <c r="B2840" s="4" t="s">
        <v>594</v>
      </c>
      <c r="C2840" s="4" t="s">
        <v>298</v>
      </c>
      <c r="D2840" s="94">
        <v>1930.0</v>
      </c>
    </row>
    <row r="2841">
      <c r="A2841" s="40">
        <f t="array" ref="A2841">IFNA(index(PlayerValues!A:A,match(IFNA(vlookup(B2841,'Special Names'!A:B,2,FALSE),B2841),PlayerValues!E:E,0)),"N/A")</f>
        <v>17234</v>
      </c>
      <c r="B2841" s="4" t="s">
        <v>653</v>
      </c>
      <c r="C2841" s="4" t="s">
        <v>287</v>
      </c>
      <c r="D2841" s="94">
        <v>1548.0</v>
      </c>
    </row>
    <row r="2842">
      <c r="A2842" s="40">
        <f t="array" ref="A2842">IFNA(index(PlayerValues!A:A,match(IFNA(vlookup(B2842,'Special Names'!A:B,2,FALSE),B2842),PlayerValues!E:E,0)),"N/A")</f>
        <v>15337</v>
      </c>
      <c r="B2842" s="4" t="s">
        <v>655</v>
      </c>
      <c r="C2842" s="4" t="s">
        <v>298</v>
      </c>
      <c r="D2842" s="94">
        <v>1914.0</v>
      </c>
    </row>
    <row r="2843">
      <c r="A2843" s="40">
        <f t="array" ref="A2843">IFNA(index(PlayerValues!A:A,match(IFNA(vlookup(B2843,'Special Names'!A:B,2,FALSE),B2843),PlayerValues!E:E,0)),"N/A")</f>
        <v>17468</v>
      </c>
      <c r="B2843" s="4" t="s">
        <v>514</v>
      </c>
      <c r="C2843" s="4" t="s">
        <v>283</v>
      </c>
      <c r="D2843" s="94">
        <v>1536.0</v>
      </c>
    </row>
    <row r="2844">
      <c r="A2844" s="40">
        <f t="array" ref="A2844">IFNA(index(PlayerValues!A:A,match(IFNA(vlookup(B2844,'Special Names'!A:B,2,FALSE),B2844),PlayerValues!E:E,0)),"N/A")</f>
        <v>16175</v>
      </c>
      <c r="B2844" s="4" t="s">
        <v>654</v>
      </c>
      <c r="C2844" s="4" t="s">
        <v>278</v>
      </c>
      <c r="D2844" s="94">
        <v>1513.0</v>
      </c>
    </row>
    <row r="2845">
      <c r="A2845" s="40">
        <f t="array" ref="A2845">IFNA(index(PlayerValues!A:A,match(IFNA(vlookup(B2845,'Special Names'!A:B,2,FALSE),B2845),PlayerValues!E:E,0)),"N/A")</f>
        <v>15752</v>
      </c>
      <c r="B2845" s="4" t="s">
        <v>647</v>
      </c>
      <c r="C2845" s="4" t="s">
        <v>287</v>
      </c>
      <c r="D2845" s="94">
        <v>1511.0</v>
      </c>
    </row>
    <row r="2846">
      <c r="A2846" s="40">
        <f t="array" ref="A2846">IFNA(index(PlayerValues!A:A,match(IFNA(vlookup(B2846,'Special Names'!A:B,2,FALSE),B2846),PlayerValues!E:E,0)),"N/A")</f>
        <v>15759</v>
      </c>
      <c r="B2846" s="4" t="s">
        <v>662</v>
      </c>
      <c r="C2846" s="4" t="s">
        <v>287</v>
      </c>
      <c r="D2846" s="94">
        <v>1509.0</v>
      </c>
    </row>
    <row r="2847">
      <c r="A2847" s="40" t="str">
        <f t="array" ref="A2847">IFNA(index(PlayerValues!A:A,match(IFNA(vlookup(B2847,'Special Names'!A:B,2,FALSE),B2847),PlayerValues!E:E,0)),"N/A")</f>
        <v>N/A</v>
      </c>
      <c r="B2847" s="4" t="s">
        <v>91</v>
      </c>
      <c r="C2847" s="4" t="s">
        <v>325</v>
      </c>
      <c r="D2847" s="94">
        <v>1509.0</v>
      </c>
    </row>
    <row r="2848">
      <c r="A2848" s="40">
        <f t="array" ref="A2848">IFNA(index(PlayerValues!A:A,match(IFNA(vlookup(B2848,'Special Names'!A:B,2,FALSE),B2848),PlayerValues!E:E,0)),"N/A")</f>
        <v>16792</v>
      </c>
      <c r="B2848" s="4" t="s">
        <v>704</v>
      </c>
      <c r="C2848" s="4" t="s">
        <v>287</v>
      </c>
      <c r="D2848" s="94">
        <v>1492.0</v>
      </c>
    </row>
    <row r="2849">
      <c r="A2849" s="40">
        <f t="array" ref="A2849">IFNA(index(PlayerValues!A:A,match(IFNA(vlookup(B2849,'Special Names'!A:B,2,FALSE),B2849),PlayerValues!E:E,0)),"N/A")</f>
        <v>16631</v>
      </c>
      <c r="B2849" s="4" t="s">
        <v>800</v>
      </c>
      <c r="C2849" s="4" t="s">
        <v>287</v>
      </c>
      <c r="D2849" s="94">
        <v>1469.0</v>
      </c>
    </row>
    <row r="2850">
      <c r="A2850" s="40">
        <f t="array" ref="A2850">IFNA(index(PlayerValues!A:A,match(IFNA(vlookup(B2850,'Special Names'!A:B,2,FALSE),B2850),PlayerValues!E:E,0)),"N/A")</f>
        <v>16390</v>
      </c>
      <c r="B2850" s="4" t="s">
        <v>689</v>
      </c>
      <c r="C2850" s="4" t="s">
        <v>278</v>
      </c>
      <c r="D2850" s="94">
        <v>1466.0</v>
      </c>
    </row>
    <row r="2851">
      <c r="A2851" s="40">
        <f t="array" ref="A2851">IFNA(index(PlayerValues!A:A,match(IFNA(vlookup(B2851,'Special Names'!A:B,2,FALSE),B2851),PlayerValues!E:E,0)),"N/A")</f>
        <v>16788</v>
      </c>
      <c r="B2851" s="4" t="s">
        <v>621</v>
      </c>
      <c r="C2851" s="4" t="s">
        <v>287</v>
      </c>
      <c r="D2851" s="94">
        <v>1463.0</v>
      </c>
    </row>
    <row r="2852">
      <c r="A2852" s="40">
        <f t="array" ref="A2852">IFNA(index(PlayerValues!A:A,match(IFNA(vlookup(B2852,'Special Names'!A:B,2,FALSE),B2852),PlayerValues!E:E,0)),"N/A")</f>
        <v>17485</v>
      </c>
      <c r="B2852" s="4" t="s">
        <v>522</v>
      </c>
      <c r="C2852" s="4" t="s">
        <v>278</v>
      </c>
      <c r="D2852" s="94">
        <v>1463.0</v>
      </c>
    </row>
    <row r="2853">
      <c r="A2853" s="40">
        <f t="array" ref="A2853">IFNA(index(PlayerValues!A:A,match(IFNA(vlookup(B2853,'Special Names'!A:B,2,FALSE),B2853),PlayerValues!E:E,0)),"N/A")</f>
        <v>17054</v>
      </c>
      <c r="B2853" s="4" t="s">
        <v>670</v>
      </c>
      <c r="C2853" s="4" t="s">
        <v>278</v>
      </c>
      <c r="D2853" s="94">
        <v>1458.0</v>
      </c>
    </row>
    <row r="2854">
      <c r="A2854" s="40">
        <f t="array" ref="A2854">IFNA(index(PlayerValues!A:A,match(IFNA(vlookup(B2854,'Special Names'!A:B,2,FALSE),B2854),PlayerValues!E:E,0)),"N/A")</f>
        <v>15873</v>
      </c>
      <c r="B2854" s="4" t="s">
        <v>681</v>
      </c>
      <c r="C2854" s="4" t="s">
        <v>298</v>
      </c>
      <c r="D2854" s="94">
        <v>1826.0</v>
      </c>
    </row>
    <row r="2855">
      <c r="A2855" s="40">
        <f t="array" ref="A2855">IFNA(index(PlayerValues!A:A,match(IFNA(vlookup(B2855,'Special Names'!A:B,2,FALSE),B2855),PlayerValues!E:E,0)),"N/A")</f>
        <v>15777</v>
      </c>
      <c r="B2855" s="4" t="s">
        <v>694</v>
      </c>
      <c r="C2855" s="4" t="s">
        <v>287</v>
      </c>
      <c r="D2855" s="94">
        <v>1448.0</v>
      </c>
    </row>
    <row r="2856">
      <c r="A2856" s="40">
        <f t="array" ref="A2856">IFNA(index(PlayerValues!A:A,match(IFNA(vlookup(B2856,'Special Names'!A:B,2,FALSE),B2856),PlayerValues!E:E,0)),"N/A")</f>
        <v>16384</v>
      </c>
      <c r="B2856" s="4" t="s">
        <v>696</v>
      </c>
      <c r="C2856" s="4" t="s">
        <v>283</v>
      </c>
      <c r="D2856" s="94">
        <v>1444.0</v>
      </c>
    </row>
    <row r="2857">
      <c r="A2857" s="40">
        <f t="array" ref="A2857">IFNA(index(PlayerValues!A:A,match(IFNA(vlookup(B2857,'Special Names'!A:B,2,FALSE),B2857),PlayerValues!E:E,0)),"N/A")</f>
        <v>13672</v>
      </c>
      <c r="B2857" s="4" t="s">
        <v>667</v>
      </c>
      <c r="C2857" s="4" t="s">
        <v>298</v>
      </c>
      <c r="D2857" s="94">
        <v>1806.0</v>
      </c>
    </row>
    <row r="2858">
      <c r="A2858" s="40">
        <f t="array" ref="A2858">IFNA(index(PlayerValues!A:A,match(IFNA(vlookup(B2858,'Special Names'!A:B,2,FALSE),B2858),PlayerValues!E:E,0)),"N/A")</f>
        <v>16642</v>
      </c>
      <c r="B2858" s="4" t="s">
        <v>691</v>
      </c>
      <c r="C2858" s="4" t="s">
        <v>298</v>
      </c>
      <c r="D2858" s="94">
        <v>1802.0</v>
      </c>
    </row>
    <row r="2859">
      <c r="A2859" s="40">
        <f t="array" ref="A2859">IFNA(index(PlayerValues!A:A,match(IFNA(vlookup(B2859,'Special Names'!A:B,2,FALSE),B2859),PlayerValues!E:E,0)),"N/A")</f>
        <v>13418</v>
      </c>
      <c r="B2859" s="4" t="s">
        <v>706</v>
      </c>
      <c r="C2859" s="4" t="s">
        <v>287</v>
      </c>
      <c r="D2859" s="94">
        <v>1425.0</v>
      </c>
    </row>
    <row r="2860">
      <c r="A2860" s="40">
        <f t="array" ref="A2860">IFNA(index(PlayerValues!A:A,match(IFNA(vlookup(B2860,'Special Names'!A:B,2,FALSE),B2860),PlayerValues!E:E,0)),"N/A")</f>
        <v>17037</v>
      </c>
      <c r="B2860" s="4" t="s">
        <v>727</v>
      </c>
      <c r="C2860" s="4" t="s">
        <v>283</v>
      </c>
      <c r="D2860" s="94">
        <v>1425.0</v>
      </c>
    </row>
    <row r="2861">
      <c r="A2861" s="40">
        <f t="array" ref="A2861">IFNA(index(PlayerValues!A:A,match(IFNA(vlookup(B2861,'Special Names'!A:B,2,FALSE),B2861),PlayerValues!E:E,0)),"N/A")</f>
        <v>16621</v>
      </c>
      <c r="B2861" s="4" t="s">
        <v>672</v>
      </c>
      <c r="C2861" s="4" t="s">
        <v>287</v>
      </c>
      <c r="D2861" s="94">
        <v>1407.0</v>
      </c>
    </row>
    <row r="2862">
      <c r="A2862" s="40">
        <f t="array" ref="A2862">IFNA(index(PlayerValues!A:A,match(IFNA(vlookup(B2862,'Special Names'!A:B,2,FALSE),B2862),PlayerValues!E:E,0)),"N/A")</f>
        <v>15292</v>
      </c>
      <c r="B2862" s="4" t="s">
        <v>682</v>
      </c>
      <c r="C2862" s="4" t="s">
        <v>287</v>
      </c>
      <c r="D2862" s="94">
        <v>1397.0</v>
      </c>
    </row>
    <row r="2863">
      <c r="A2863" s="40">
        <f t="array" ref="A2863">IFNA(index(PlayerValues!A:A,match(IFNA(vlookup(B2863,'Special Names'!A:B,2,FALSE),B2863),PlayerValues!E:E,0)),"N/A")</f>
        <v>14137</v>
      </c>
      <c r="B2863" s="4" t="s">
        <v>676</v>
      </c>
      <c r="C2863" s="4" t="s">
        <v>298</v>
      </c>
      <c r="D2863" s="94">
        <v>1757.0</v>
      </c>
    </row>
    <row r="2864">
      <c r="A2864" s="40">
        <f t="array" ref="A2864">IFNA(index(PlayerValues!A:A,match(IFNA(vlookup(B2864,'Special Names'!A:B,2,FALSE),B2864),PlayerValues!E:E,0)),"N/A")</f>
        <v>12140</v>
      </c>
      <c r="B2864" s="4" t="s">
        <v>702</v>
      </c>
      <c r="C2864" s="4" t="s">
        <v>283</v>
      </c>
      <c r="D2864" s="94">
        <v>1378.0</v>
      </c>
    </row>
    <row r="2865">
      <c r="A2865" s="40">
        <f t="array" ref="A2865">IFNA(index(PlayerValues!A:A,match(IFNA(vlookup(B2865,'Special Names'!A:B,2,FALSE),B2865),PlayerValues!E:E,0)),"N/A")</f>
        <v>14086</v>
      </c>
      <c r="B2865" s="4" t="s">
        <v>639</v>
      </c>
      <c r="C2865" s="4" t="s">
        <v>278</v>
      </c>
      <c r="D2865" s="94">
        <v>1370.0</v>
      </c>
    </row>
    <row r="2866">
      <c r="A2866" s="40">
        <f t="array" ref="A2866">IFNA(index(PlayerValues!A:A,match(IFNA(vlookup(B2866,'Special Names'!A:B,2,FALSE),B2866),PlayerValues!E:E,0)),"N/A")</f>
        <v>11222</v>
      </c>
      <c r="B2866" s="4" t="s">
        <v>622</v>
      </c>
      <c r="C2866" s="4" t="s">
        <v>287</v>
      </c>
      <c r="D2866" s="94">
        <v>1364.0</v>
      </c>
    </row>
    <row r="2867">
      <c r="A2867" s="40">
        <f t="array" ref="A2867">IFNA(index(PlayerValues!A:A,match(IFNA(vlookup(B2867,'Special Names'!A:B,2,FALSE),B2867),PlayerValues!E:E,0)),"N/A")</f>
        <v>16149</v>
      </c>
      <c r="B2867" s="4" t="s">
        <v>740</v>
      </c>
      <c r="C2867" s="4" t="s">
        <v>283</v>
      </c>
      <c r="D2867" s="94">
        <v>1364.0</v>
      </c>
    </row>
    <row r="2868">
      <c r="A2868" s="40">
        <f t="array" ref="A2868">IFNA(index(PlayerValues!A:A,match(IFNA(vlookup(B2868,'Special Names'!A:B,2,FALSE),B2868),PlayerValues!E:E,0)),"N/A")</f>
        <v>15252</v>
      </c>
      <c r="B2868" s="4" t="s">
        <v>715</v>
      </c>
      <c r="C2868" s="4" t="s">
        <v>283</v>
      </c>
      <c r="D2868" s="94">
        <v>1360.0</v>
      </c>
    </row>
    <row r="2869">
      <c r="A2869" s="40">
        <f t="array" ref="A2869">IFNA(index(PlayerValues!A:A,match(IFNA(vlookup(B2869,'Special Names'!A:B,2,FALSE),B2869),PlayerValues!E:E,0)),"N/A")</f>
        <v>17062</v>
      </c>
      <c r="B2869" s="4" t="s">
        <v>701</v>
      </c>
      <c r="C2869" s="4" t="s">
        <v>278</v>
      </c>
      <c r="D2869" s="94">
        <v>1359.0</v>
      </c>
    </row>
    <row r="2870">
      <c r="A2870" s="40">
        <f t="array" ref="A2870">IFNA(index(PlayerValues!A:A,match(IFNA(vlookup(B2870,'Special Names'!A:B,2,FALSE),B2870),PlayerValues!E:E,0)),"N/A")</f>
        <v>17254</v>
      </c>
      <c r="B2870" s="4" t="s">
        <v>679</v>
      </c>
      <c r="C2870" s="4" t="s">
        <v>287</v>
      </c>
      <c r="D2870" s="94">
        <v>1357.0</v>
      </c>
    </row>
    <row r="2871">
      <c r="A2871" s="40">
        <f t="array" ref="A2871">IFNA(index(PlayerValues!A:A,match(IFNA(vlookup(B2871,'Special Names'!A:B,2,FALSE),B2871),PlayerValues!E:E,0)),"N/A")</f>
        <v>17529</v>
      </c>
      <c r="B2871" s="4" t="s">
        <v>608</v>
      </c>
      <c r="C2871" s="4" t="s">
        <v>287</v>
      </c>
      <c r="D2871" s="94">
        <v>1340.0</v>
      </c>
    </row>
    <row r="2872">
      <c r="A2872" s="40">
        <f t="array" ref="A2872">IFNA(index(PlayerValues!A:A,match(IFNA(vlookup(B2872,'Special Names'!A:B,2,FALSE),B2872),PlayerValues!E:E,0)),"N/A")</f>
        <v>15332</v>
      </c>
      <c r="B2872" s="4" t="s">
        <v>698</v>
      </c>
      <c r="C2872" s="4" t="s">
        <v>298</v>
      </c>
      <c r="D2872" s="94">
        <v>1682.0</v>
      </c>
    </row>
    <row r="2873">
      <c r="A2873" s="40">
        <f t="array" ref="A2873">IFNA(index(PlayerValues!A:A,match(IFNA(vlookup(B2873,'Special Names'!A:B,2,FALSE),B2873),PlayerValues!E:E,0)),"N/A")</f>
        <v>12678</v>
      </c>
      <c r="B2873" s="4" t="s">
        <v>703</v>
      </c>
      <c r="C2873" s="4" t="s">
        <v>298</v>
      </c>
      <c r="D2873" s="94">
        <v>1664.0</v>
      </c>
    </row>
    <row r="2874">
      <c r="A2874" s="40">
        <f t="array" ref="A2874">IFNA(index(PlayerValues!A:A,match(IFNA(vlookup(B2874,'Special Names'!A:B,2,FALSE),B2874),PlayerValues!E:E,0)),"N/A")</f>
        <v>15738</v>
      </c>
      <c r="B2874" s="4" t="s">
        <v>634</v>
      </c>
      <c r="C2874" s="4" t="s">
        <v>278</v>
      </c>
      <c r="D2874" s="94">
        <v>1298.0</v>
      </c>
    </row>
    <row r="2875">
      <c r="A2875" s="40">
        <f t="array" ref="A2875">IFNA(index(PlayerValues!A:A,match(IFNA(vlookup(B2875,'Special Names'!A:B,2,FALSE),B2875),PlayerValues!E:E,0)),"N/A")</f>
        <v>17077</v>
      </c>
      <c r="B2875" s="4" t="s">
        <v>714</v>
      </c>
      <c r="C2875" s="4" t="s">
        <v>287</v>
      </c>
      <c r="D2875" s="94">
        <v>1298.0</v>
      </c>
    </row>
    <row r="2876">
      <c r="A2876" s="40">
        <f t="array" ref="A2876">IFNA(index(PlayerValues!A:A,match(IFNA(vlookup(B2876,'Special Names'!A:B,2,FALSE),B2876),PlayerValues!E:E,0)),"N/A")</f>
        <v>14095</v>
      </c>
      <c r="B2876" s="4" t="s">
        <v>680</v>
      </c>
      <c r="C2876" s="4" t="s">
        <v>278</v>
      </c>
      <c r="D2876" s="94">
        <v>1294.0</v>
      </c>
    </row>
    <row r="2877">
      <c r="A2877" s="40">
        <f t="array" ref="A2877">IFNA(index(PlayerValues!A:A,match(IFNA(vlookup(B2877,'Special Names'!A:B,2,FALSE),B2877),PlayerValues!E:E,0)),"N/A")</f>
        <v>16608</v>
      </c>
      <c r="B2877" s="4" t="s">
        <v>629</v>
      </c>
      <c r="C2877" s="4" t="s">
        <v>278</v>
      </c>
      <c r="D2877" s="94">
        <v>1293.0</v>
      </c>
    </row>
    <row r="2878">
      <c r="A2878" s="40">
        <f t="array" ref="A2878">IFNA(index(PlayerValues!A:A,match(IFNA(vlookup(B2878,'Special Names'!A:B,2,FALSE),B2878),PlayerValues!E:E,0)),"N/A")</f>
        <v>12141</v>
      </c>
      <c r="B2878" s="4" t="s">
        <v>744</v>
      </c>
      <c r="C2878" s="4" t="s">
        <v>283</v>
      </c>
      <c r="D2878" s="94">
        <v>1288.0</v>
      </c>
    </row>
    <row r="2879">
      <c r="A2879" s="40">
        <f t="array" ref="A2879">IFNA(index(PlayerValues!A:A,match(IFNA(vlookup(B2879,'Special Names'!A:B,2,FALSE),B2879),PlayerValues!E:E,0)),"N/A")</f>
        <v>17567</v>
      </c>
      <c r="B2879" s="4" t="s">
        <v>571</v>
      </c>
      <c r="C2879" s="4" t="s">
        <v>298</v>
      </c>
      <c r="D2879" s="94">
        <v>1655.0</v>
      </c>
    </row>
    <row r="2880">
      <c r="A2880" s="40" t="str">
        <f t="array" ref="A2880">IFNA(index(PlayerValues!A:A,match(IFNA(vlookup(B2880,'Special Names'!A:B,2,FALSE),B2880),PlayerValues!E:E,0)),"N/A")</f>
        <v>N/A</v>
      </c>
      <c r="B2880" s="4" t="s">
        <v>117</v>
      </c>
      <c r="C2880" s="4" t="s">
        <v>325</v>
      </c>
      <c r="D2880" s="94">
        <v>1286.0</v>
      </c>
    </row>
    <row r="2881">
      <c r="A2881" s="40">
        <f t="array" ref="A2881">IFNA(index(PlayerValues!A:A,match(IFNA(vlookup(B2881,'Special Names'!A:B,2,FALSE),B2881),PlayerValues!E:E,0)),"N/A")</f>
        <v>14592</v>
      </c>
      <c r="B2881" s="4" t="s">
        <v>705</v>
      </c>
      <c r="C2881" s="4" t="s">
        <v>287</v>
      </c>
      <c r="D2881" s="94">
        <v>1278.0</v>
      </c>
    </row>
    <row r="2882">
      <c r="A2882" s="40">
        <f t="array" ref="A2882">IFNA(index(PlayerValues!A:A,match(IFNA(vlookup(B2882,'Special Names'!A:B,2,FALSE),B2882),PlayerValues!E:E,0)),"N/A")</f>
        <v>17521</v>
      </c>
      <c r="B2882" s="4" t="s">
        <v>573</v>
      </c>
      <c r="C2882" s="4" t="s">
        <v>287</v>
      </c>
      <c r="D2882" s="94">
        <v>1278.0</v>
      </c>
    </row>
    <row r="2883">
      <c r="A2883" s="40">
        <f t="array" ref="A2883">IFNA(index(PlayerValues!A:A,match(IFNA(vlookup(B2883,'Special Names'!A:B,2,FALSE),B2883),PlayerValues!E:E,0)),"N/A")</f>
        <v>17097</v>
      </c>
      <c r="B2883" s="4" t="s">
        <v>659</v>
      </c>
      <c r="C2883" s="4" t="s">
        <v>287</v>
      </c>
      <c r="D2883" s="94">
        <v>1267.0</v>
      </c>
    </row>
    <row r="2884">
      <c r="A2884" s="40">
        <f t="array" ref="A2884">IFNA(index(PlayerValues!A:A,match(IFNA(vlookup(B2884,'Special Names'!A:B,2,FALSE),B2884),PlayerValues!E:E,0)),"N/A")</f>
        <v>14080</v>
      </c>
      <c r="B2884" s="4" t="s">
        <v>716</v>
      </c>
      <c r="C2884" s="4" t="s">
        <v>278</v>
      </c>
      <c r="D2884" s="94">
        <v>1259.0</v>
      </c>
    </row>
    <row r="2885">
      <c r="A2885" s="40">
        <f t="array" ref="A2885">IFNA(index(PlayerValues!A:A,match(IFNA(vlookup(B2885,'Special Names'!A:B,2,FALSE),B2885),PlayerValues!E:E,0)),"N/A")</f>
        <v>17269</v>
      </c>
      <c r="B2885" s="4" t="s">
        <v>718</v>
      </c>
      <c r="C2885" s="4" t="s">
        <v>287</v>
      </c>
      <c r="D2885" s="94">
        <v>1254.0</v>
      </c>
    </row>
    <row r="2886">
      <c r="A2886" s="40">
        <f t="array" ref="A2886">IFNA(index(PlayerValues!A:A,match(IFNA(vlookup(B2886,'Special Names'!A:B,2,FALSE),B2886),PlayerValues!E:E,0)),"N/A")</f>
        <v>15702</v>
      </c>
      <c r="B2886" s="4" t="s">
        <v>723</v>
      </c>
      <c r="C2886" s="4" t="s">
        <v>283</v>
      </c>
      <c r="D2886" s="94">
        <v>1253.0</v>
      </c>
    </row>
    <row r="2887">
      <c r="A2887" s="40">
        <f t="array" ref="A2887">IFNA(index(PlayerValues!A:A,match(IFNA(vlookup(B2887,'Special Names'!A:B,2,FALSE),B2887),PlayerValues!E:E,0)),"N/A")</f>
        <v>16183</v>
      </c>
      <c r="B2887" s="4" t="s">
        <v>678</v>
      </c>
      <c r="C2887" s="4" t="s">
        <v>287</v>
      </c>
      <c r="D2887" s="94">
        <v>1235.0</v>
      </c>
    </row>
    <row r="2888">
      <c r="A2888" s="40">
        <f t="array" ref="A2888">IFNA(index(PlayerValues!A:A,match(IFNA(vlookup(B2888,'Special Names'!A:B,2,FALSE),B2888),PlayerValues!E:E,0)),"N/A")</f>
        <v>16333</v>
      </c>
      <c r="B2888" s="4" t="s">
        <v>711</v>
      </c>
      <c r="C2888" s="4" t="s">
        <v>298</v>
      </c>
      <c r="D2888" s="94">
        <v>1595.0</v>
      </c>
    </row>
    <row r="2889">
      <c r="A2889" s="40">
        <f t="array" ref="A2889">IFNA(index(PlayerValues!A:A,match(IFNA(vlookup(B2889,'Special Names'!A:B,2,FALSE),B2889),PlayerValues!E:E,0)),"N/A")</f>
        <v>16636</v>
      </c>
      <c r="B2889" s="4" t="s">
        <v>699</v>
      </c>
      <c r="C2889" s="4" t="s">
        <v>287</v>
      </c>
      <c r="D2889" s="94">
        <v>1225.0</v>
      </c>
    </row>
    <row r="2890">
      <c r="A2890" s="40">
        <f t="array" ref="A2890">IFNA(index(PlayerValues!A:A,match(IFNA(vlookup(B2890,'Special Names'!A:B,2,FALSE),B2890),PlayerValues!E:E,0)),"N/A")</f>
        <v>17607</v>
      </c>
      <c r="B2890" s="4" t="s">
        <v>526</v>
      </c>
      <c r="C2890" s="4" t="s">
        <v>298</v>
      </c>
      <c r="D2890" s="94">
        <v>1592.0</v>
      </c>
    </row>
    <row r="2891">
      <c r="A2891" s="40">
        <f t="array" ref="A2891">IFNA(index(PlayerValues!A:A,match(IFNA(vlookup(B2891,'Special Names'!A:B,2,FALSE),B2891),PlayerValues!E:E,0)),"N/A")</f>
        <v>16645</v>
      </c>
      <c r="B2891" s="4" t="s">
        <v>651</v>
      </c>
      <c r="C2891" s="4" t="s">
        <v>298</v>
      </c>
      <c r="D2891" s="94">
        <v>1590.0</v>
      </c>
    </row>
    <row r="2892">
      <c r="A2892" s="40">
        <f t="array" ref="A2892">IFNA(index(PlayerValues!A:A,match(IFNA(vlookup(B2892,'Special Names'!A:B,2,FALSE),B2892),PlayerValues!E:E,0)),"N/A")</f>
        <v>16387</v>
      </c>
      <c r="B2892" s="4" t="s">
        <v>646</v>
      </c>
      <c r="C2892" s="4" t="s">
        <v>278</v>
      </c>
      <c r="D2892" s="94">
        <v>1217.0</v>
      </c>
    </row>
    <row r="2893">
      <c r="A2893" s="40">
        <f t="array" ref="A2893">IFNA(index(PlayerValues!A:A,match(IFNA(vlookup(B2893,'Special Names'!A:B,2,FALSE),B2893),PlayerValues!E:E,0)),"N/A")</f>
        <v>16746</v>
      </c>
      <c r="B2893" s="4" t="s">
        <v>709</v>
      </c>
      <c r="C2893" s="4" t="s">
        <v>278</v>
      </c>
      <c r="D2893" s="94">
        <v>1212.0</v>
      </c>
    </row>
    <row r="2894">
      <c r="A2894" s="40">
        <f t="array" ref="A2894">IFNA(index(PlayerValues!A:A,match(IFNA(vlookup(B2894,'Special Names'!A:B,2,FALSE),B2894),PlayerValues!E:E,0)),"N/A")</f>
        <v>17519</v>
      </c>
      <c r="B2894" s="4" t="s">
        <v>593</v>
      </c>
      <c r="C2894" s="4" t="s">
        <v>287</v>
      </c>
      <c r="D2894" s="94">
        <v>1206.0</v>
      </c>
    </row>
    <row r="2895">
      <c r="A2895" s="40">
        <f t="array" ref="A2895">IFNA(index(PlayerValues!A:A,match(IFNA(vlookup(B2895,'Special Names'!A:B,2,FALSE),B2895),PlayerValues!E:E,0)),"N/A")</f>
        <v>15288</v>
      </c>
      <c r="B2895" s="4" t="s">
        <v>700</v>
      </c>
      <c r="C2895" s="4" t="s">
        <v>287</v>
      </c>
      <c r="D2895" s="94">
        <v>1203.0</v>
      </c>
    </row>
    <row r="2896">
      <c r="A2896" s="40">
        <f t="array" ref="A2896">IFNA(index(PlayerValues!A:A,match(IFNA(vlookup(B2896,'Special Names'!A:B,2,FALSE),B2896),PlayerValues!E:E,0)),"N/A")</f>
        <v>16883</v>
      </c>
      <c r="B2896" s="4" t="s">
        <v>683</v>
      </c>
      <c r="C2896" s="4" t="s">
        <v>287</v>
      </c>
      <c r="D2896" s="94">
        <v>1199.0</v>
      </c>
    </row>
    <row r="2897">
      <c r="A2897" s="40">
        <f t="array" ref="A2897">IFNA(index(PlayerValues!A:A,match(IFNA(vlookup(B2897,'Special Names'!A:B,2,FALSE),B2897),PlayerValues!E:E,0)),"N/A")</f>
        <v>17063</v>
      </c>
      <c r="B2897" s="4" t="s">
        <v>686</v>
      </c>
      <c r="C2897" s="4" t="s">
        <v>278</v>
      </c>
      <c r="D2897" s="94">
        <v>1197.0</v>
      </c>
    </row>
    <row r="2898">
      <c r="A2898" s="40">
        <f t="array" ref="A2898">IFNA(index(PlayerValues!A:A,match(IFNA(vlookup(B2898,'Special Names'!A:B,2,FALSE),B2898),PlayerValues!E:E,0)),"N/A")</f>
        <v>16199</v>
      </c>
      <c r="B2898" s="4" t="s">
        <v>687</v>
      </c>
      <c r="C2898" s="4" t="s">
        <v>287</v>
      </c>
      <c r="D2898" s="94">
        <v>1195.0</v>
      </c>
    </row>
    <row r="2899">
      <c r="A2899" s="40">
        <f t="array" ref="A2899">IFNA(index(PlayerValues!A:A,match(IFNA(vlookup(B2899,'Special Names'!A:B,2,FALSE),B2899),PlayerValues!E:E,0)),"N/A")</f>
        <v>16221</v>
      </c>
      <c r="B2899" s="4" t="s">
        <v>725</v>
      </c>
      <c r="C2899" s="4" t="s">
        <v>298</v>
      </c>
      <c r="D2899" s="94">
        <v>1556.0</v>
      </c>
    </row>
    <row r="2900">
      <c r="A2900" s="40">
        <f t="array" ref="A2900">IFNA(index(PlayerValues!A:A,match(IFNA(vlookup(B2900,'Special Names'!A:B,2,FALSE),B2900),PlayerValues!E:E,0)),"N/A")</f>
        <v>17057</v>
      </c>
      <c r="B2900" s="4" t="s">
        <v>708</v>
      </c>
      <c r="C2900" s="4" t="s">
        <v>278</v>
      </c>
      <c r="D2900" s="94">
        <v>1175.0</v>
      </c>
    </row>
    <row r="2901">
      <c r="A2901" s="40">
        <f t="array" ref="A2901">IFNA(index(PlayerValues!A:A,match(IFNA(vlookup(B2901,'Special Names'!A:B,2,FALSE),B2901),PlayerValues!E:E,0)),"N/A")</f>
        <v>17109</v>
      </c>
      <c r="B2901" s="4" t="s">
        <v>707</v>
      </c>
      <c r="C2901" s="4" t="s">
        <v>298</v>
      </c>
      <c r="D2901" s="94">
        <v>1542.0</v>
      </c>
    </row>
    <row r="2902">
      <c r="A2902" s="40">
        <f t="array" ref="A2902">IFNA(index(PlayerValues!A:A,match(IFNA(vlookup(B2902,'Special Names'!A:B,2,FALSE),B2902),PlayerValues!E:E,0)),"N/A")</f>
        <v>15981</v>
      </c>
      <c r="B2902" s="4" t="s">
        <v>729</v>
      </c>
      <c r="C2902" s="4" t="s">
        <v>287</v>
      </c>
      <c r="D2902" s="94">
        <v>1173.0</v>
      </c>
    </row>
    <row r="2903">
      <c r="A2903" s="40">
        <f t="array" ref="A2903">IFNA(index(PlayerValues!A:A,match(IFNA(vlookup(B2903,'Special Names'!A:B,2,FALSE),B2903),PlayerValues!E:E,0)),"N/A")</f>
        <v>14789</v>
      </c>
      <c r="B2903" s="4" t="s">
        <v>721</v>
      </c>
      <c r="C2903" s="4" t="s">
        <v>283</v>
      </c>
      <c r="D2903" s="94">
        <v>1158.0</v>
      </c>
    </row>
    <row r="2904">
      <c r="A2904" s="40">
        <f t="array" ref="A2904">IFNA(index(PlayerValues!A:A,match(IFNA(vlookup(B2904,'Special Names'!A:B,2,FALSE),B2904),PlayerValues!E:E,0)),"N/A")</f>
        <v>14108</v>
      </c>
      <c r="B2904" s="4" t="s">
        <v>673</v>
      </c>
      <c r="C2904" s="4" t="s">
        <v>287</v>
      </c>
      <c r="D2904" s="94">
        <v>1155.0</v>
      </c>
    </row>
    <row r="2905">
      <c r="A2905" s="40">
        <f t="array" ref="A2905">IFNA(index(PlayerValues!A:A,match(IFNA(vlookup(B2905,'Special Names'!A:B,2,FALSE),B2905),PlayerValues!E:E,0)),"N/A")</f>
        <v>14845</v>
      </c>
      <c r="B2905" s="4" t="s">
        <v>717</v>
      </c>
      <c r="C2905" s="4" t="s">
        <v>287</v>
      </c>
      <c r="D2905" s="94">
        <v>1147.0</v>
      </c>
    </row>
    <row r="2906">
      <c r="A2906" s="40">
        <f t="array" ref="A2906">IFNA(index(PlayerValues!A:A,match(IFNA(vlookup(B2906,'Special Names'!A:B,2,FALSE),B2906),PlayerValues!E:E,0)),"N/A")</f>
        <v>16385</v>
      </c>
      <c r="B2906" s="4" t="s">
        <v>690</v>
      </c>
      <c r="C2906" s="4" t="s">
        <v>278</v>
      </c>
      <c r="D2906" s="94">
        <v>1146.0</v>
      </c>
    </row>
    <row r="2907">
      <c r="A2907" s="40">
        <f t="array" ref="A2907">IFNA(index(PlayerValues!A:A,match(IFNA(vlookup(B2907,'Special Names'!A:B,2,FALSE),B2907),PlayerValues!E:E,0)),"N/A")</f>
        <v>17546</v>
      </c>
      <c r="B2907" s="4" t="s">
        <v>671</v>
      </c>
      <c r="C2907" s="4" t="s">
        <v>298</v>
      </c>
      <c r="D2907" s="94">
        <v>1512.0</v>
      </c>
    </row>
    <row r="2908">
      <c r="A2908" s="40">
        <f t="array" ref="A2908">IFNA(index(PlayerValues!A:A,match(IFNA(vlookup(B2908,'Special Names'!A:B,2,FALSE),B2908),PlayerValues!E:E,0)),"N/A")</f>
        <v>15240</v>
      </c>
      <c r="B2908" s="4" t="s">
        <v>751</v>
      </c>
      <c r="C2908" s="4" t="s">
        <v>283</v>
      </c>
      <c r="D2908" s="94">
        <v>1137.0</v>
      </c>
    </row>
    <row r="2909">
      <c r="A2909" s="40">
        <f t="array" ref="A2909">IFNA(index(PlayerValues!A:A,match(IFNA(vlookup(B2909,'Special Names'!A:B,2,FALSE),B2909),PlayerValues!E:E,0)),"N/A")</f>
        <v>14067</v>
      </c>
      <c r="B2909" s="4" t="s">
        <v>735</v>
      </c>
      <c r="C2909" s="4" t="s">
        <v>283</v>
      </c>
      <c r="D2909" s="94">
        <v>1136.0</v>
      </c>
    </row>
    <row r="2910">
      <c r="A2910" s="40">
        <f t="array" ref="A2910">IFNA(index(PlayerValues!A:A,match(IFNA(vlookup(B2910,'Special Names'!A:B,2,FALSE),B2910),PlayerValues!E:E,0)),"N/A")</f>
        <v>15730</v>
      </c>
      <c r="B2910" s="4" t="s">
        <v>734</v>
      </c>
      <c r="C2910" s="4" t="s">
        <v>278</v>
      </c>
      <c r="D2910" s="94">
        <v>1122.0</v>
      </c>
    </row>
    <row r="2911">
      <c r="A2911" s="40">
        <f t="array" ref="A2911">IFNA(index(PlayerValues!A:A,match(IFNA(vlookup(B2911,'Special Names'!A:B,2,FALSE),B2911),PlayerValues!E:E,0)),"N/A")</f>
        <v>13289</v>
      </c>
      <c r="B2911" s="4" t="s">
        <v>746</v>
      </c>
      <c r="C2911" s="4" t="s">
        <v>287</v>
      </c>
      <c r="D2911" s="94">
        <v>1121.0</v>
      </c>
    </row>
    <row r="2912">
      <c r="A2912" s="40">
        <f t="array" ref="A2912">IFNA(index(PlayerValues!A:A,match(IFNA(vlookup(B2912,'Special Names'!A:B,2,FALSE),B2912),PlayerValues!E:E,0)),"N/A")</f>
        <v>17192</v>
      </c>
      <c r="B2912" s="4" t="s">
        <v>677</v>
      </c>
      <c r="C2912" s="4" t="s">
        <v>287</v>
      </c>
      <c r="D2912" s="94">
        <v>1114.0</v>
      </c>
    </row>
    <row r="2913">
      <c r="A2913" s="40">
        <f t="array" ref="A2913">IFNA(index(PlayerValues!A:A,match(IFNA(vlookup(B2913,'Special Names'!A:B,2,FALSE),B2913),PlayerValues!E:E,0)),"N/A")</f>
        <v>17510</v>
      </c>
      <c r="B2913" s="4" t="s">
        <v>661</v>
      </c>
      <c r="C2913" s="4" t="s">
        <v>287</v>
      </c>
      <c r="D2913" s="94">
        <v>1112.0</v>
      </c>
    </row>
    <row r="2914">
      <c r="A2914" s="40">
        <f t="array" ref="A2914">IFNA(index(PlayerValues!A:A,match(IFNA(vlookup(B2914,'Special Names'!A:B,2,FALSE),B2914),PlayerValues!E:E,0)),"N/A")</f>
        <v>13131</v>
      </c>
      <c r="B2914" s="4" t="s">
        <v>815</v>
      </c>
      <c r="C2914" s="4" t="s">
        <v>278</v>
      </c>
      <c r="D2914" s="94">
        <v>1106.0</v>
      </c>
    </row>
    <row r="2915">
      <c r="A2915" s="40">
        <f t="array" ref="A2915">IFNA(index(PlayerValues!A:A,match(IFNA(vlookup(B2915,'Special Names'!A:B,2,FALSE),B2915),PlayerValues!E:E,0)),"N/A")</f>
        <v>16393</v>
      </c>
      <c r="B2915" s="4" t="s">
        <v>768</v>
      </c>
      <c r="C2915" s="4" t="s">
        <v>287</v>
      </c>
      <c r="D2915" s="94">
        <v>1104.0</v>
      </c>
    </row>
    <row r="2916">
      <c r="A2916" s="40">
        <f t="array" ref="A2916">IFNA(index(PlayerValues!A:A,match(IFNA(vlookup(B2916,'Special Names'!A:B,2,FALSE),B2916),PlayerValues!E:E,0)),"N/A")</f>
        <v>17685</v>
      </c>
      <c r="B2916" s="4" t="s">
        <v>630</v>
      </c>
      <c r="C2916" s="4" t="s">
        <v>278</v>
      </c>
      <c r="D2916" s="94">
        <v>1101.0</v>
      </c>
    </row>
    <row r="2917">
      <c r="A2917" s="40">
        <f t="array" ref="A2917">IFNA(index(PlayerValues!A:A,match(IFNA(vlookup(B2917,'Special Names'!A:B,2,FALSE),B2917),PlayerValues!E:E,0)),"N/A")</f>
        <v>15727</v>
      </c>
      <c r="B2917" s="4" t="s">
        <v>730</v>
      </c>
      <c r="C2917" s="4" t="s">
        <v>278</v>
      </c>
      <c r="D2917" s="94">
        <v>1092.0</v>
      </c>
    </row>
    <row r="2918">
      <c r="A2918" s="40">
        <f t="array" ref="A2918">IFNA(index(PlayerValues!A:A,match(IFNA(vlookup(B2918,'Special Names'!A:B,2,FALSE),B2918),PlayerValues!E:E,0)),"N/A")</f>
        <v>9064</v>
      </c>
      <c r="B2918" s="4" t="s">
        <v>761</v>
      </c>
      <c r="C2918" s="4" t="s">
        <v>283</v>
      </c>
      <c r="D2918" s="94">
        <v>1089.0</v>
      </c>
    </row>
    <row r="2919">
      <c r="A2919" s="40">
        <f t="array" ref="A2919">IFNA(index(PlayerValues!A:A,match(IFNA(vlookup(B2919,'Special Names'!A:B,2,FALSE),B2919),PlayerValues!E:E,0)),"N/A")</f>
        <v>16197</v>
      </c>
      <c r="B2919" s="4" t="s">
        <v>726</v>
      </c>
      <c r="C2919" s="4" t="s">
        <v>287</v>
      </c>
      <c r="D2919" s="94">
        <v>1087.0</v>
      </c>
    </row>
    <row r="2920">
      <c r="A2920" s="40">
        <f t="array" ref="A2920">IFNA(index(PlayerValues!A:A,match(IFNA(vlookup(B2920,'Special Names'!A:B,2,FALSE),B2920),PlayerValues!E:E,0)),"N/A")</f>
        <v>15692</v>
      </c>
      <c r="B2920" s="4" t="s">
        <v>750</v>
      </c>
      <c r="C2920" s="4" t="s">
        <v>283</v>
      </c>
      <c r="D2920" s="94">
        <v>1086.0</v>
      </c>
    </row>
    <row r="2921">
      <c r="A2921" s="40">
        <f t="array" ref="A2921">IFNA(index(PlayerValues!A:A,match(IFNA(vlookup(B2921,'Special Names'!A:B,2,FALSE),B2921),PlayerValues!E:E,0)),"N/A")</f>
        <v>16637</v>
      </c>
      <c r="B2921" s="4" t="s">
        <v>736</v>
      </c>
      <c r="C2921" s="4" t="s">
        <v>287</v>
      </c>
      <c r="D2921" s="94">
        <v>1072.0</v>
      </c>
    </row>
    <row r="2922">
      <c r="A2922" s="40">
        <f t="array" ref="A2922">IFNA(index(PlayerValues!A:A,match(IFNA(vlookup(B2922,'Special Names'!A:B,2,FALSE),B2922),PlayerValues!E:E,0)),"N/A")</f>
        <v>17050</v>
      </c>
      <c r="B2922" s="4" t="s">
        <v>713</v>
      </c>
      <c r="C2922" s="4" t="s">
        <v>278</v>
      </c>
      <c r="D2922" s="94">
        <v>1065.0</v>
      </c>
    </row>
    <row r="2923">
      <c r="A2923" s="40">
        <f t="array" ref="A2923">IFNA(index(PlayerValues!A:A,match(IFNA(vlookup(B2923,'Special Names'!A:B,2,FALSE),B2923),PlayerValues!E:E,0)),"N/A")</f>
        <v>17599</v>
      </c>
      <c r="B2923" s="4" t="s">
        <v>496</v>
      </c>
      <c r="C2923" s="4" t="s">
        <v>287</v>
      </c>
      <c r="D2923" s="94">
        <v>1064.0</v>
      </c>
    </row>
    <row r="2924">
      <c r="A2924" s="40">
        <f t="array" ref="A2924">IFNA(index(PlayerValues!A:A,match(IFNA(vlookup(B2924,'Special Names'!A:B,2,FALSE),B2924),PlayerValues!E:E,0)),"N/A")</f>
        <v>16640</v>
      </c>
      <c r="B2924" s="4" t="s">
        <v>712</v>
      </c>
      <c r="C2924" s="4" t="s">
        <v>287</v>
      </c>
      <c r="D2924" s="94">
        <v>1060.0</v>
      </c>
    </row>
    <row r="2925">
      <c r="A2925" s="40">
        <f t="array" ref="A2925">IFNA(index(PlayerValues!A:A,match(IFNA(vlookup(B2925,'Special Names'!A:B,2,FALSE),B2925),PlayerValues!E:E,0)),"N/A")</f>
        <v>15693</v>
      </c>
      <c r="B2925" s="4" t="s">
        <v>755</v>
      </c>
      <c r="C2925" s="4" t="s">
        <v>283</v>
      </c>
      <c r="D2925" s="94">
        <v>1036.0</v>
      </c>
    </row>
    <row r="2926">
      <c r="A2926" s="40">
        <f t="array" ref="A2926">IFNA(index(PlayerValues!A:A,match(IFNA(vlookup(B2926,'Special Names'!A:B,2,FALSE),B2926),PlayerValues!E:E,0)),"N/A")</f>
        <v>13193</v>
      </c>
      <c r="B2926" s="4" t="s">
        <v>773</v>
      </c>
      <c r="C2926" s="4" t="s">
        <v>298</v>
      </c>
      <c r="D2926" s="94">
        <v>1402.0</v>
      </c>
    </row>
    <row r="2927">
      <c r="A2927" s="40">
        <f t="array" ref="A2927">IFNA(index(PlayerValues!A:A,match(IFNA(vlookup(B2927,'Special Names'!A:B,2,FALSE),B2927),PlayerValues!E:E,0)),"N/A")</f>
        <v>11247</v>
      </c>
      <c r="B2927" s="4" t="s">
        <v>816</v>
      </c>
      <c r="C2927" s="4" t="s">
        <v>298</v>
      </c>
      <c r="D2927" s="94">
        <v>1394.0</v>
      </c>
    </row>
    <row r="2928">
      <c r="A2928" s="40">
        <f t="array" ref="A2928">IFNA(index(PlayerValues!A:A,match(IFNA(vlookup(B2928,'Special Names'!A:B,2,FALSE),B2928),PlayerValues!E:E,0)),"N/A")</f>
        <v>16451</v>
      </c>
      <c r="B2928" s="4" t="s">
        <v>769</v>
      </c>
      <c r="C2928" s="4" t="s">
        <v>287</v>
      </c>
      <c r="D2928" s="94">
        <v>1025.0</v>
      </c>
    </row>
    <row r="2929">
      <c r="A2929" s="40">
        <f t="array" ref="A2929">IFNA(index(PlayerValues!A:A,match(IFNA(vlookup(B2929,'Special Names'!A:B,2,FALSE),B2929),PlayerValues!E:E,0)),"N/A")</f>
        <v>15239</v>
      </c>
      <c r="B2929" s="4" t="s">
        <v>802</v>
      </c>
      <c r="C2929" s="4" t="s">
        <v>283</v>
      </c>
      <c r="D2929" s="94">
        <v>1013.0</v>
      </c>
    </row>
    <row r="2930">
      <c r="A2930" s="40">
        <f t="array" ref="A2930">IFNA(index(PlayerValues!A:A,match(IFNA(vlookup(B2930,'Special Names'!A:B,2,FALSE),B2930),PlayerValues!E:E,0)),"N/A")</f>
        <v>16168</v>
      </c>
      <c r="B2930" s="4" t="s">
        <v>738</v>
      </c>
      <c r="C2930" s="4" t="s">
        <v>278</v>
      </c>
      <c r="D2930" s="94">
        <v>1011.0</v>
      </c>
    </row>
    <row r="2931">
      <c r="A2931" s="40">
        <f t="array" ref="A2931">IFNA(index(PlayerValues!A:A,match(IFNA(vlookup(B2931,'Special Names'!A:B,2,FALSE),B2931),PlayerValues!E:E,0)),"N/A")</f>
        <v>15258</v>
      </c>
      <c r="B2931" s="4" t="s">
        <v>757</v>
      </c>
      <c r="C2931" s="4" t="s">
        <v>278</v>
      </c>
      <c r="D2931" s="94">
        <v>999.0</v>
      </c>
    </row>
    <row r="2932">
      <c r="A2932" s="40">
        <f t="array" ref="A2932">IFNA(index(PlayerValues!A:A,match(IFNA(vlookup(B2932,'Special Names'!A:B,2,FALSE),B2932),PlayerValues!E:E,0)),"N/A")</f>
        <v>15330</v>
      </c>
      <c r="B2932" s="4" t="s">
        <v>749</v>
      </c>
      <c r="C2932" s="4" t="s">
        <v>298</v>
      </c>
      <c r="D2932" s="94">
        <v>1364.0</v>
      </c>
    </row>
    <row r="2933">
      <c r="A2933" s="40">
        <f t="array" ref="A2933">IFNA(index(PlayerValues!A:A,match(IFNA(vlookup(B2933,'Special Names'!A:B,2,FALSE),B2933),PlayerValues!E:E,0)),"N/A")</f>
        <v>16170</v>
      </c>
      <c r="B2933" s="4" t="s">
        <v>801</v>
      </c>
      <c r="C2933" s="4" t="s">
        <v>278</v>
      </c>
      <c r="D2933" s="94">
        <v>997.0</v>
      </c>
    </row>
    <row r="2934">
      <c r="A2934" s="40">
        <f t="array" ref="A2934">IFNA(index(PlayerValues!A:A,match(IFNA(vlookup(B2934,'Special Names'!A:B,2,FALSE),B2934),PlayerValues!E:E,0)),"N/A")</f>
        <v>17652</v>
      </c>
      <c r="B2934" s="4" t="s">
        <v>576</v>
      </c>
      <c r="C2934" s="4" t="s">
        <v>278</v>
      </c>
      <c r="D2934" s="94">
        <v>995.0</v>
      </c>
    </row>
    <row r="2935">
      <c r="A2935" s="40">
        <f t="array" ref="A2935">IFNA(index(PlayerValues!A:A,match(IFNA(vlookup(B2935,'Special Names'!A:B,2,FALSE),B2935),PlayerValues!E:E,0)),"N/A")</f>
        <v>15795</v>
      </c>
      <c r="B2935" s="4" t="s">
        <v>669</v>
      </c>
      <c r="C2935" s="4" t="s">
        <v>298</v>
      </c>
      <c r="D2935" s="94">
        <v>1359.0</v>
      </c>
    </row>
    <row r="2936">
      <c r="A2936" s="40">
        <f t="array" ref="A2936">IFNA(index(PlayerValues!A:A,match(IFNA(vlookup(B2936,'Special Names'!A:B,2,FALSE),B2936),PlayerValues!E:E,0)),"N/A")</f>
        <v>15717</v>
      </c>
      <c r="B2936" s="4" t="s">
        <v>745</v>
      </c>
      <c r="C2936" s="4" t="s">
        <v>278</v>
      </c>
      <c r="D2936" s="94">
        <v>991.0</v>
      </c>
    </row>
    <row r="2937">
      <c r="A2937" s="40">
        <f t="array" ref="A2937">IFNA(index(PlayerValues!A:A,match(IFNA(vlookup(B2937,'Special Names'!A:B,2,FALSE),B2937),PlayerValues!E:E,0)),"N/A")</f>
        <v>15785</v>
      </c>
      <c r="B2937" s="4" t="s">
        <v>763</v>
      </c>
      <c r="C2937" s="4" t="s">
        <v>287</v>
      </c>
      <c r="D2937" s="94">
        <v>986.0</v>
      </c>
    </row>
    <row r="2938">
      <c r="A2938" s="40">
        <f t="array" ref="A2938">IFNA(index(PlayerValues!A:A,match(IFNA(vlookup(B2938,'Special Names'!A:B,2,FALSE),B2938),PlayerValues!E:E,0)),"N/A")</f>
        <v>16648</v>
      </c>
      <c r="B2938" s="4" t="s">
        <v>748</v>
      </c>
      <c r="C2938" s="4" t="s">
        <v>298</v>
      </c>
      <c r="D2938" s="94">
        <v>1352.0</v>
      </c>
    </row>
    <row r="2939">
      <c r="A2939" s="40">
        <f t="array" ref="A2939">IFNA(index(PlayerValues!A:A,match(IFNA(vlookup(B2939,'Special Names'!A:B,2,FALSE),B2939),PlayerValues!E:E,0)),"N/A")</f>
        <v>14849</v>
      </c>
      <c r="B2939" s="4" t="s">
        <v>733</v>
      </c>
      <c r="C2939" s="4" t="s">
        <v>287</v>
      </c>
      <c r="D2939" s="94">
        <v>981.0</v>
      </c>
    </row>
    <row r="2940">
      <c r="A2940" s="40">
        <f t="array" ref="A2940">IFNA(index(PlayerValues!A:A,match(IFNA(vlookup(B2940,'Special Names'!A:B,2,FALSE),B2940),PlayerValues!E:E,0)),"N/A")</f>
        <v>15766</v>
      </c>
      <c r="B2940" s="4" t="s">
        <v>759</v>
      </c>
      <c r="C2940" s="4" t="s">
        <v>287</v>
      </c>
      <c r="D2940" s="94">
        <v>977.0</v>
      </c>
    </row>
    <row r="2941">
      <c r="A2941" s="40">
        <f t="array" ref="A2941">IFNA(index(PlayerValues!A:A,match(IFNA(vlookup(B2941,'Special Names'!A:B,2,FALSE),B2941),PlayerValues!E:E,0)),"N/A")</f>
        <v>16678</v>
      </c>
      <c r="B2941" s="4" t="s">
        <v>758</v>
      </c>
      <c r="C2941" s="4" t="s">
        <v>278</v>
      </c>
      <c r="D2941" s="94">
        <v>975.0</v>
      </c>
    </row>
    <row r="2942">
      <c r="A2942" s="40">
        <f t="array" ref="A2942">IFNA(index(PlayerValues!A:A,match(IFNA(vlookup(B2942,'Special Names'!A:B,2,FALSE),B2942),PlayerValues!E:E,0)),"N/A")</f>
        <v>14118</v>
      </c>
      <c r="B2942" s="4" t="s">
        <v>771</v>
      </c>
      <c r="C2942" s="4" t="s">
        <v>287</v>
      </c>
      <c r="D2942" s="94">
        <v>974.0</v>
      </c>
    </row>
    <row r="2943">
      <c r="A2943" s="40">
        <f t="array" ref="A2943">IFNA(index(PlayerValues!A:A,match(IFNA(vlookup(B2943,'Special Names'!A:B,2,FALSE),B2943),PlayerValues!E:E,0)),"N/A")</f>
        <v>17175</v>
      </c>
      <c r="B2943" s="4" t="s">
        <v>747</v>
      </c>
      <c r="C2943" s="4" t="s">
        <v>287</v>
      </c>
      <c r="D2943" s="94">
        <v>974.0</v>
      </c>
    </row>
    <row r="2944">
      <c r="A2944" s="40">
        <f t="array" ref="A2944">IFNA(index(PlayerValues!A:A,match(IFNA(vlookup(B2944,'Special Names'!A:B,2,FALSE),B2944),PlayerValues!E:E,0)),"N/A")</f>
        <v>14057</v>
      </c>
      <c r="B2944" s="4" t="s">
        <v>765</v>
      </c>
      <c r="C2944" s="4" t="s">
        <v>283</v>
      </c>
      <c r="D2944" s="94">
        <v>973.0</v>
      </c>
    </row>
    <row r="2945">
      <c r="A2945" s="40">
        <f t="array" ref="A2945">IFNA(index(PlayerValues!A:A,match(IFNA(vlookup(B2945,'Special Names'!A:B,2,FALSE),B2945),PlayerValues!E:E,0)),"N/A")</f>
        <v>15758</v>
      </c>
      <c r="B2945" s="4" t="s">
        <v>724</v>
      </c>
      <c r="C2945" s="4" t="s">
        <v>287</v>
      </c>
      <c r="D2945" s="94">
        <v>972.0</v>
      </c>
    </row>
    <row r="2946">
      <c r="A2946" s="40">
        <f t="array" ref="A2946">IFNA(index(PlayerValues!A:A,match(IFNA(vlookup(B2946,'Special Names'!A:B,2,FALSE),B2946),PlayerValues!E:E,0)),"N/A")</f>
        <v>16205</v>
      </c>
      <c r="B2946" s="4" t="s">
        <v>742</v>
      </c>
      <c r="C2946" s="4" t="s">
        <v>287</v>
      </c>
      <c r="D2946" s="94">
        <v>971.0</v>
      </c>
    </row>
    <row r="2947">
      <c r="A2947" s="40">
        <f t="array" ref="A2947">IFNA(index(PlayerValues!A:A,match(IFNA(vlookup(B2947,'Special Names'!A:B,2,FALSE),B2947),PlayerValues!E:E,0)),"N/A")</f>
        <v>15718</v>
      </c>
      <c r="B2947" s="4" t="s">
        <v>753</v>
      </c>
      <c r="C2947" s="4" t="s">
        <v>278</v>
      </c>
      <c r="D2947" s="94">
        <v>966.0</v>
      </c>
    </row>
    <row r="2948">
      <c r="A2948" s="40">
        <f t="array" ref="A2948">IFNA(index(PlayerValues!A:A,match(IFNA(vlookup(B2948,'Special Names'!A:B,2,FALSE),B2948),PlayerValues!E:E,0)),"N/A")</f>
        <v>17479</v>
      </c>
      <c r="B2948" s="4" t="s">
        <v>756</v>
      </c>
      <c r="C2948" s="4" t="s">
        <v>278</v>
      </c>
      <c r="D2948" s="94">
        <v>964.0</v>
      </c>
    </row>
    <row r="2949">
      <c r="A2949" s="40">
        <f t="array" ref="A2949">IFNA(index(PlayerValues!A:A,match(IFNA(vlookup(B2949,'Special Names'!A:B,2,FALSE),B2949),PlayerValues!E:E,0)),"N/A")</f>
        <v>15626</v>
      </c>
      <c r="B2949" s="4" t="s">
        <v>766</v>
      </c>
      <c r="C2949" s="4" t="s">
        <v>298</v>
      </c>
      <c r="D2949" s="94">
        <v>1329.0</v>
      </c>
    </row>
    <row r="2950">
      <c r="A2950" s="40">
        <f t="array" ref="A2950">IFNA(index(PlayerValues!A:A,match(IFNA(vlookup(B2950,'Special Names'!A:B,2,FALSE),B2950),PlayerValues!E:E,0)),"N/A")</f>
        <v>16858</v>
      </c>
      <c r="B2950" s="4" t="s">
        <v>754</v>
      </c>
      <c r="C2950" s="4" t="s">
        <v>287</v>
      </c>
      <c r="D2950" s="94">
        <v>958.0</v>
      </c>
    </row>
    <row r="2951">
      <c r="A2951" s="40">
        <f t="array" ref="A2951">IFNA(index(PlayerValues!A:A,match(IFNA(vlookup(B2951,'Special Names'!A:B,2,FALSE),B2951),PlayerValues!E:E,0)),"N/A")</f>
        <v>15109</v>
      </c>
      <c r="B2951" s="4" t="s">
        <v>728</v>
      </c>
      <c r="C2951" s="4" t="s">
        <v>287</v>
      </c>
      <c r="D2951" s="94">
        <v>956.0</v>
      </c>
    </row>
    <row r="2952">
      <c r="A2952" s="40">
        <f t="array" ref="A2952">IFNA(index(PlayerValues!A:A,match(IFNA(vlookup(B2952,'Special Names'!A:B,2,FALSE),B2952),PlayerValues!E:E,0)),"N/A")</f>
        <v>16219</v>
      </c>
      <c r="B2952" s="4" t="s">
        <v>739</v>
      </c>
      <c r="C2952" s="4" t="s">
        <v>298</v>
      </c>
      <c r="D2952" s="94">
        <v>1300.0</v>
      </c>
    </row>
    <row r="2953">
      <c r="A2953" s="40">
        <f t="array" ref="A2953">IFNA(index(PlayerValues!A:A,match(IFNA(vlookup(B2953,'Special Names'!A:B,2,FALSE),B2953),PlayerValues!E:E,0)),"N/A")</f>
        <v>16624</v>
      </c>
      <c r="B2953" s="4" t="s">
        <v>796</v>
      </c>
      <c r="C2953" s="4" t="s">
        <v>287</v>
      </c>
      <c r="D2953" s="94">
        <v>917.0</v>
      </c>
    </row>
    <row r="2954">
      <c r="A2954" s="40">
        <f t="array" ref="A2954">IFNA(index(PlayerValues!A:A,match(IFNA(vlookup(B2954,'Special Names'!A:B,2,FALSE),B2954),PlayerValues!E:E,0)),"N/A")</f>
        <v>17475</v>
      </c>
      <c r="B2954" s="4" t="s">
        <v>615</v>
      </c>
      <c r="C2954" s="4" t="s">
        <v>278</v>
      </c>
      <c r="D2954" s="94">
        <v>911.0</v>
      </c>
    </row>
    <row r="2955">
      <c r="A2955" s="40">
        <f t="array" ref="A2955">IFNA(index(PlayerValues!A:A,match(IFNA(vlookup(B2955,'Special Names'!A:B,2,FALSE),B2955),PlayerValues!E:E,0)),"N/A")</f>
        <v>15720</v>
      </c>
      <c r="B2955" s="4" t="s">
        <v>795</v>
      </c>
      <c r="C2955" s="4" t="s">
        <v>278</v>
      </c>
      <c r="D2955" s="94">
        <v>907.0</v>
      </c>
    </row>
    <row r="2956">
      <c r="A2956" s="40">
        <f t="array" ref="A2956">IFNA(index(PlayerValues!A:A,match(IFNA(vlookup(B2956,'Special Names'!A:B,2,FALSE),B2956),PlayerValues!E:E,0)),"N/A")</f>
        <v>16773</v>
      </c>
      <c r="B2956" s="4" t="s">
        <v>783</v>
      </c>
      <c r="C2956" s="4" t="s">
        <v>278</v>
      </c>
      <c r="D2956" s="94">
        <v>879.0</v>
      </c>
    </row>
    <row r="2957">
      <c r="A2957" s="40">
        <f t="array" ref="A2957">IFNA(index(PlayerValues!A:A,match(IFNA(vlookup(B2957,'Special Names'!A:B,2,FALSE),B2957),PlayerValues!E:E,0)),"N/A")</f>
        <v>16599</v>
      </c>
      <c r="B2957" s="4" t="s">
        <v>737</v>
      </c>
      <c r="C2957" s="4" t="s">
        <v>278</v>
      </c>
      <c r="D2957" s="94">
        <v>871.0</v>
      </c>
    </row>
    <row r="2958">
      <c r="A2958" s="40">
        <f t="array" ref="A2958">IFNA(index(PlayerValues!A:A,match(IFNA(vlookup(B2958,'Special Names'!A:B,2,FALSE),B2958),PlayerValues!E:E,0)),"N/A")</f>
        <v>16416</v>
      </c>
      <c r="B2958" s="4" t="s">
        <v>752</v>
      </c>
      <c r="C2958" s="4" t="s">
        <v>287</v>
      </c>
      <c r="D2958" s="94">
        <v>866.0</v>
      </c>
    </row>
    <row r="2959">
      <c r="A2959" s="40">
        <f t="array" ref="A2959">IFNA(index(PlayerValues!A:A,match(IFNA(vlookup(B2959,'Special Names'!A:B,2,FALSE),B2959),PlayerValues!E:E,0)),"N/A")</f>
        <v>17549</v>
      </c>
      <c r="B2959" s="4" t="s">
        <v>720</v>
      </c>
      <c r="C2959" s="4" t="s">
        <v>298</v>
      </c>
      <c r="D2959" s="94">
        <v>1231.0</v>
      </c>
    </row>
    <row r="2960">
      <c r="A2960" s="40">
        <f t="array" ref="A2960">IFNA(index(PlayerValues!A:A,match(IFNA(vlookup(B2960,'Special Names'!A:B,2,FALSE),B2960),PlayerValues!E:E,0)),"N/A")</f>
        <v>13138</v>
      </c>
      <c r="B2960" s="4" t="s">
        <v>817</v>
      </c>
      <c r="C2960" s="4" t="s">
        <v>278</v>
      </c>
      <c r="D2960" s="94">
        <v>862.0</v>
      </c>
    </row>
    <row r="2961">
      <c r="A2961" s="40">
        <f t="array" ref="A2961">IFNA(index(PlayerValues!A:A,match(IFNA(vlookup(B2961,'Special Names'!A:B,2,FALSE),B2961),PlayerValues!E:E,0)),"N/A")</f>
        <v>17504</v>
      </c>
      <c r="B2961" s="4" t="s">
        <v>693</v>
      </c>
      <c r="C2961" s="4" t="s">
        <v>287</v>
      </c>
      <c r="D2961" s="94">
        <v>858.0</v>
      </c>
    </row>
    <row r="2962">
      <c r="A2962" s="40">
        <f t="array" ref="A2962">IFNA(index(PlayerValues!A:A,match(IFNA(vlookup(B2962,'Special Names'!A:B,2,FALSE),B2962),PlayerValues!E:E,0)),"N/A")</f>
        <v>17487</v>
      </c>
      <c r="B2962" s="4" t="s">
        <v>692</v>
      </c>
      <c r="C2962" s="4" t="s">
        <v>278</v>
      </c>
      <c r="D2962" s="94">
        <v>848.0</v>
      </c>
    </row>
    <row r="2963">
      <c r="A2963" s="40">
        <f t="array" ref="A2963">IFNA(index(PlayerValues!A:A,match(IFNA(vlookup(B2963,'Special Names'!A:B,2,FALSE),B2963),PlayerValues!E:E,0)),"N/A")</f>
        <v>12785</v>
      </c>
      <c r="B2963" s="4" t="s">
        <v>772</v>
      </c>
      <c r="C2963" s="4" t="s">
        <v>287</v>
      </c>
      <c r="D2963" s="94">
        <v>841.0</v>
      </c>
    </row>
    <row r="2964">
      <c r="A2964" s="40">
        <f t="array" ref="A2964">IFNA(index(PlayerValues!A:A,match(IFNA(vlookup(B2964,'Special Names'!A:B,2,FALSE),B2964),PlayerValues!E:E,0)),"N/A")</f>
        <v>16751</v>
      </c>
      <c r="B2964" s="4" t="s">
        <v>762</v>
      </c>
      <c r="C2964" s="4" t="s">
        <v>287</v>
      </c>
      <c r="D2964" s="94">
        <v>841.0</v>
      </c>
    </row>
    <row r="2965">
      <c r="A2965" s="40">
        <f t="array" ref="A2965">IFNA(index(PlayerValues!A:A,match(IFNA(vlookup(B2965,'Special Names'!A:B,2,FALSE),B2965),PlayerValues!E:E,0)),"N/A")</f>
        <v>17657</v>
      </c>
      <c r="B2965" s="4" t="s">
        <v>642</v>
      </c>
      <c r="C2965" s="4" t="s">
        <v>283</v>
      </c>
      <c r="D2965" s="94">
        <v>829.0</v>
      </c>
    </row>
    <row r="2966">
      <c r="A2966" s="40">
        <f t="array" ref="A2966">IFNA(index(PlayerValues!A:A,match(IFNA(vlookup(B2966,'Special Names'!A:B,2,FALSE),B2966),PlayerValues!E:E,0)),"N/A")</f>
        <v>14223</v>
      </c>
      <c r="B2966" s="4" t="s">
        <v>785</v>
      </c>
      <c r="C2966" s="4" t="s">
        <v>278</v>
      </c>
      <c r="D2966" s="94">
        <v>815.0</v>
      </c>
    </row>
    <row r="2967">
      <c r="A2967" s="40">
        <f t="array" ref="A2967">IFNA(index(PlayerValues!A:A,match(IFNA(vlookup(B2967,'Special Names'!A:B,2,FALSE),B2967),PlayerValues!E:E,0)),"N/A")</f>
        <v>17486</v>
      </c>
      <c r="B2967" s="4" t="s">
        <v>695</v>
      </c>
      <c r="C2967" s="4" t="s">
        <v>278</v>
      </c>
      <c r="D2967" s="94">
        <v>780.0</v>
      </c>
    </row>
    <row r="2968">
      <c r="A2968" s="40">
        <f t="array" ref="A2968">IFNA(index(PlayerValues!A:A,match(IFNA(vlookup(B2968,'Special Names'!A:B,2,FALSE),B2968),PlayerValues!E:E,0)),"N/A")</f>
        <v>17337</v>
      </c>
      <c r="B2968" s="4" t="s">
        <v>793</v>
      </c>
      <c r="C2968" s="4" t="s">
        <v>278</v>
      </c>
      <c r="D2968" s="94">
        <v>771.0</v>
      </c>
    </row>
    <row r="2969">
      <c r="A2969" s="40">
        <f t="array" ref="A2969">IFNA(index(PlayerValues!A:A,match(IFNA(vlookup(B2969,'Special Names'!A:B,2,FALSE),B2969),PlayerValues!E:E,0)),"N/A")</f>
        <v>17654</v>
      </c>
      <c r="B2969" s="4" t="s">
        <v>767</v>
      </c>
      <c r="C2969" s="4" t="s">
        <v>283</v>
      </c>
      <c r="D2969" s="94">
        <v>765.0</v>
      </c>
    </row>
    <row r="2970">
      <c r="A2970" s="40">
        <f t="array" ref="A2970">IFNA(index(PlayerValues!A:A,match(IFNA(vlookup(B2970,'Special Names'!A:B,2,FALSE),B2970),PlayerValues!E:E,0)),"N/A")</f>
        <v>16176</v>
      </c>
      <c r="B2970" s="4" t="s">
        <v>812</v>
      </c>
      <c r="C2970" s="4" t="s">
        <v>278</v>
      </c>
      <c r="D2970" s="94">
        <v>747.0</v>
      </c>
    </row>
    <row r="2971">
      <c r="A2971" s="40">
        <f t="array" ref="A2971">IFNA(index(PlayerValues!A:A,match(IFNA(vlookup(B2971,'Special Names'!A:B,2,FALSE),B2971),PlayerValues!E:E,0)),"N/A")</f>
        <v>16606</v>
      </c>
      <c r="B2971" s="4" t="s">
        <v>743</v>
      </c>
      <c r="C2971" s="4" t="s">
        <v>278</v>
      </c>
      <c r="D2971" s="94">
        <v>730.0</v>
      </c>
    </row>
    <row r="2972">
      <c r="A2972" s="40">
        <f t="array" ref="A2972">IFNA(index(PlayerValues!A:A,match(IFNA(vlookup(B2972,'Special Names'!A:B,2,FALSE),B2972),PlayerValues!E:E,0)),"N/A")</f>
        <v>17518</v>
      </c>
      <c r="B2972" s="4" t="s">
        <v>482</v>
      </c>
      <c r="C2972" s="4" t="s">
        <v>287</v>
      </c>
      <c r="D2972" s="94">
        <v>729.0</v>
      </c>
    </row>
    <row r="2973">
      <c r="A2973" s="40">
        <f t="array" ref="A2973">IFNA(index(PlayerValues!A:A,match(IFNA(vlookup(B2973,'Special Names'!A:B,2,FALSE),B2973),PlayerValues!E:E,0)),"N/A")</f>
        <v>16623</v>
      </c>
      <c r="B2973" s="4" t="s">
        <v>803</v>
      </c>
      <c r="C2973" s="4" t="s">
        <v>287</v>
      </c>
      <c r="D2973" s="94">
        <v>721.0</v>
      </c>
    </row>
    <row r="2974">
      <c r="A2974" s="40">
        <f t="array" ref="A2974">IFNA(index(PlayerValues!A:A,match(IFNA(vlookup(B2974,'Special Names'!A:B,2,FALSE),B2974),PlayerValues!E:E,0)),"N/A")</f>
        <v>14864</v>
      </c>
      <c r="B2974" s="4" t="s">
        <v>789</v>
      </c>
      <c r="C2974" s="4" t="s">
        <v>287</v>
      </c>
      <c r="D2974" s="94">
        <v>706.0</v>
      </c>
    </row>
    <row r="2975">
      <c r="A2975" s="40">
        <f t="array" ref="A2975">IFNA(index(PlayerValues!A:A,match(IFNA(vlookup(B2975,'Special Names'!A:B,2,FALSE),B2975),PlayerValues!E:E,0)),"N/A")</f>
        <v>12263</v>
      </c>
      <c r="B2975" s="4" t="s">
        <v>697</v>
      </c>
      <c r="C2975" s="4" t="s">
        <v>298</v>
      </c>
      <c r="D2975" s="94">
        <v>1055.0</v>
      </c>
    </row>
    <row r="2976">
      <c r="A2976" s="40">
        <f t="array" ref="A2976">IFNA(index(PlayerValues!A:A,match(IFNA(vlookup(B2976,'Special Names'!A:B,2,FALSE),B2976),PlayerValues!E:E,0)),"N/A")</f>
        <v>15723</v>
      </c>
      <c r="B2976" s="4" t="s">
        <v>798</v>
      </c>
      <c r="C2976" s="4" t="s">
        <v>278</v>
      </c>
      <c r="D2976" s="94">
        <v>692.0</v>
      </c>
    </row>
    <row r="2977">
      <c r="A2977" s="40">
        <f t="array" ref="A2977">IFNA(index(PlayerValues!A:A,match(IFNA(vlookup(B2977,'Special Names'!A:B,2,FALSE),B2977),PlayerValues!E:E,0)),"N/A")</f>
        <v>16686</v>
      </c>
      <c r="B2977" s="4" t="s">
        <v>805</v>
      </c>
      <c r="C2977" s="4" t="s">
        <v>287</v>
      </c>
      <c r="D2977" s="94">
        <v>674.0</v>
      </c>
    </row>
    <row r="2978">
      <c r="A2978" s="40">
        <f t="array" ref="A2978">IFNA(index(PlayerValues!A:A,match(IFNA(vlookup(B2978,'Special Names'!A:B,2,FALSE),B2978),PlayerValues!E:E,0)),"N/A")</f>
        <v>17545</v>
      </c>
      <c r="B2978" s="4" t="s">
        <v>719</v>
      </c>
      <c r="C2978" s="4" t="s">
        <v>298</v>
      </c>
      <c r="D2978" s="94">
        <v>1025.0</v>
      </c>
    </row>
    <row r="2979">
      <c r="A2979" s="40">
        <f t="array" ref="A2979">IFNA(index(PlayerValues!A:A,match(IFNA(vlookup(B2979,'Special Names'!A:B,2,FALSE),B2979),PlayerValues!E:E,0)),"N/A")</f>
        <v>17627</v>
      </c>
      <c r="B2979" s="4" t="s">
        <v>684</v>
      </c>
      <c r="C2979" s="4" t="s">
        <v>298</v>
      </c>
      <c r="D2979" s="94">
        <v>1024.0</v>
      </c>
    </row>
    <row r="2980">
      <c r="A2980" s="40">
        <f t="array" ref="A2980">IFNA(index(PlayerValues!A:A,match(IFNA(vlookup(B2980,'Special Names'!A:B,2,FALSE),B2980),PlayerValues!E:E,0)),"N/A")</f>
        <v>17541</v>
      </c>
      <c r="B2980" s="4" t="s">
        <v>616</v>
      </c>
      <c r="C2980" s="4" t="s">
        <v>287</v>
      </c>
      <c r="D2980" s="94">
        <v>620.0</v>
      </c>
    </row>
    <row r="2981">
      <c r="A2981" s="40">
        <f t="array" ref="A2981">IFNA(index(PlayerValues!A:A,match(IFNA(vlookup(B2981,'Special Names'!A:B,2,FALSE),B2981),PlayerValues!E:E,0)),"N/A")</f>
        <v>13133</v>
      </c>
      <c r="B2981" s="4" t="s">
        <v>764</v>
      </c>
      <c r="C2981" s="4" t="s">
        <v>278</v>
      </c>
      <c r="D2981" s="94">
        <v>607.0</v>
      </c>
    </row>
    <row r="2982">
      <c r="A2982" s="40">
        <f t="array" ref="A2982">IFNA(index(PlayerValues!A:A,match(IFNA(vlookup(B2982,'Special Names'!A:B,2,FALSE),B2982),PlayerValues!E:E,0)),"N/A")</f>
        <v>13595</v>
      </c>
      <c r="B2982" s="4" t="s">
        <v>818</v>
      </c>
      <c r="C2982" s="4" t="s">
        <v>283</v>
      </c>
      <c r="D2982" s="94">
        <v>591.0</v>
      </c>
    </row>
    <row r="2983">
      <c r="A2983" s="40">
        <f t="array" ref="A2983">IFNA(index(PlayerValues!A:A,match(IFNA(vlookup(B2983,'Special Names'!A:B,2,FALSE),B2983),PlayerValues!E:E,0)),"N/A")</f>
        <v>16159</v>
      </c>
      <c r="B2983" s="4" t="s">
        <v>819</v>
      </c>
      <c r="C2983" s="4" t="s">
        <v>283</v>
      </c>
      <c r="D2983" s="94">
        <v>566.0</v>
      </c>
    </row>
    <row r="2984">
      <c r="A2984" s="40">
        <f t="array" ref="A2984">IFNA(index(PlayerValues!A:A,match(IFNA(vlookup(B2984,'Special Names'!A:B,2,FALSE),B2984),PlayerValues!E:E,0)),"N/A")</f>
        <v>15804</v>
      </c>
      <c r="B2984" s="4" t="s">
        <v>821</v>
      </c>
      <c r="C2984" s="4" t="s">
        <v>298</v>
      </c>
      <c r="D2984" s="94">
        <v>871.0</v>
      </c>
    </row>
    <row r="2985">
      <c r="A2985" s="40">
        <f t="array" ref="A2985">IFNA(index(PlayerValues!A:A,match(IFNA(vlookup(B2985,'Special Names'!A:B,2,FALSE),B2985),PlayerValues!E:E,0)),"N/A")</f>
        <v>14858</v>
      </c>
      <c r="B2985" s="4" t="s">
        <v>799</v>
      </c>
      <c r="C2985" s="4" t="s">
        <v>287</v>
      </c>
      <c r="D2985" s="94">
        <v>515.0</v>
      </c>
    </row>
    <row r="2986">
      <c r="A2986" s="40">
        <f t="array" ref="A2986">IFNA(index(PlayerValues!A:A,match(IFNA(vlookup(B2986,'Special Names'!A:B,2,FALSE),B2986),PlayerValues!E:E,0)),"N/A")</f>
        <v>15796</v>
      </c>
      <c r="B2986" s="4" t="s">
        <v>794</v>
      </c>
      <c r="C2986" s="4" t="s">
        <v>298</v>
      </c>
      <c r="D2986" s="94">
        <v>850.0</v>
      </c>
    </row>
    <row r="2987">
      <c r="A2987" s="40">
        <f t="array" ref="A2987">IFNA(index(PlayerValues!A:A,match(IFNA(vlookup(B2987,'Special Names'!A:B,2,FALSE),B2987),PlayerValues!E:E,0)),"N/A")</f>
        <v>17038</v>
      </c>
      <c r="B2987" s="4" t="s">
        <v>774</v>
      </c>
      <c r="C2987" s="4" t="s">
        <v>283</v>
      </c>
      <c r="D2987" s="94">
        <v>505.0</v>
      </c>
    </row>
    <row r="2988">
      <c r="A2988" s="40">
        <f t="array" ref="A2988">IFNA(index(PlayerValues!A:A,match(IFNA(vlookup(B2988,'Special Names'!A:B,2,FALSE),B2988),PlayerValues!E:E,0)),"N/A")</f>
        <v>17243</v>
      </c>
      <c r="B2988" s="4" t="s">
        <v>810</v>
      </c>
      <c r="C2988" s="4" t="s">
        <v>298</v>
      </c>
      <c r="D2988" s="94">
        <v>850.0</v>
      </c>
    </row>
    <row r="2989">
      <c r="A2989" s="40">
        <f t="array" ref="A2989">IFNA(index(PlayerValues!A:A,match(IFNA(vlookup(B2989,'Special Names'!A:B,2,FALSE),B2989),PlayerValues!E:E,0)),"N/A")</f>
        <v>13143</v>
      </c>
      <c r="B2989" s="4" t="s">
        <v>786</v>
      </c>
      <c r="C2989" s="4" t="s">
        <v>278</v>
      </c>
      <c r="D2989" s="94">
        <v>504.0</v>
      </c>
    </row>
    <row r="2990">
      <c r="A2990" s="40">
        <f t="array" ref="A2990">IFNA(index(PlayerValues!A:A,match(IFNA(vlookup(B2990,'Special Names'!A:B,2,FALSE),B2990),PlayerValues!E:E,0)),"N/A")</f>
        <v>16957</v>
      </c>
      <c r="B2990" s="4" t="s">
        <v>806</v>
      </c>
      <c r="C2990" s="4" t="s">
        <v>278</v>
      </c>
      <c r="D2990" s="94">
        <v>504.0</v>
      </c>
    </row>
    <row r="2991">
      <c r="A2991" s="40">
        <f t="array" ref="A2991">IFNA(index(PlayerValues!A:A,match(IFNA(vlookup(B2991,'Special Names'!A:B,2,FALSE),B2991),PlayerValues!E:E,0)),"N/A")</f>
        <v>13066</v>
      </c>
      <c r="B2991" s="4" t="s">
        <v>822</v>
      </c>
      <c r="C2991" s="4" t="s">
        <v>287</v>
      </c>
      <c r="D2991" s="94">
        <v>502.0</v>
      </c>
    </row>
    <row r="2992">
      <c r="A2992" s="40">
        <f t="array" ref="A2992">IFNA(index(PlayerValues!A:A,match(IFNA(vlookup(B2992,'Special Names'!A:B,2,FALSE),B2992),PlayerValues!E:E,0)),"N/A")</f>
        <v>12658</v>
      </c>
      <c r="B2992" s="4" t="s">
        <v>823</v>
      </c>
      <c r="C2992" s="4" t="s">
        <v>287</v>
      </c>
      <c r="D2992" s="94">
        <v>501.0</v>
      </c>
    </row>
    <row r="2993">
      <c r="A2993" s="40">
        <f t="array" ref="A2993">IFNA(index(PlayerValues!A:A,match(IFNA(vlookup(B2993,'Special Names'!A:B,2,FALSE),B2993),PlayerValues!E:E,0)),"N/A")</f>
        <v>14239</v>
      </c>
      <c r="B2993" s="4" t="s">
        <v>824</v>
      </c>
      <c r="C2993" s="4" t="s">
        <v>298</v>
      </c>
      <c r="D2993" s="94">
        <v>846.0</v>
      </c>
    </row>
    <row r="2994">
      <c r="A2994" s="40">
        <f t="array" ref="A2994">IFNA(index(PlayerValues!A:A,match(IFNA(vlookup(B2994,'Special Names'!A:B,2,FALSE),B2994),PlayerValues!E:E,0)),"N/A")</f>
        <v>16625</v>
      </c>
      <c r="B2994" s="4" t="s">
        <v>778</v>
      </c>
      <c r="C2994" s="4" t="s">
        <v>287</v>
      </c>
      <c r="D2994" s="94">
        <v>497.0</v>
      </c>
    </row>
    <row r="2995">
      <c r="A2995" s="40">
        <f t="array" ref="A2995">IFNA(index(PlayerValues!A:A,match(IFNA(vlookup(B2995,'Special Names'!A:B,2,FALSE),B2995),PlayerValues!E:E,0)),"N/A")</f>
        <v>13610</v>
      </c>
      <c r="B2995" s="4" t="s">
        <v>825</v>
      </c>
      <c r="C2995" s="4" t="s">
        <v>278</v>
      </c>
      <c r="D2995" s="94">
        <v>496.0</v>
      </c>
    </row>
    <row r="2996">
      <c r="A2996" s="40">
        <f t="array" ref="A2996">IFNA(index(PlayerValues!A:A,match(IFNA(vlookup(B2996,'Special Names'!A:B,2,FALSE),B2996),PlayerValues!E:E,0)),"N/A")</f>
        <v>16299</v>
      </c>
      <c r="B2996" s="4" t="s">
        <v>787</v>
      </c>
      <c r="C2996" s="4" t="s">
        <v>287</v>
      </c>
      <c r="D2996" s="94">
        <v>496.0</v>
      </c>
    </row>
    <row r="2997">
      <c r="A2997" s="40">
        <f t="array" ref="A2997">IFNA(index(PlayerValues!A:A,match(IFNA(vlookup(B2997,'Special Names'!A:B,2,FALSE),B2997),PlayerValues!E:E,0)),"N/A")</f>
        <v>11232</v>
      </c>
      <c r="B2997" s="4" t="s">
        <v>826</v>
      </c>
      <c r="C2997" s="4" t="s">
        <v>287</v>
      </c>
      <c r="D2997" s="94">
        <v>495.0</v>
      </c>
    </row>
    <row r="2998">
      <c r="A2998" s="40">
        <f t="array" ref="A2998">IFNA(index(PlayerValues!A:A,match(IFNA(vlookup(B2998,'Special Names'!A:B,2,FALSE),B2998),PlayerValues!E:E,0)),"N/A")</f>
        <v>10413</v>
      </c>
      <c r="B2998" s="4" t="s">
        <v>811</v>
      </c>
      <c r="C2998" s="4" t="s">
        <v>283</v>
      </c>
      <c r="D2998" s="94">
        <v>494.0</v>
      </c>
    </row>
    <row r="2999">
      <c r="A2999" s="40">
        <f t="array" ref="A2999">IFNA(index(PlayerValues!A:A,match(IFNA(vlookup(B2999,'Special Names'!A:B,2,FALSE),B2999),PlayerValues!E:E,0)),"N/A")</f>
        <v>16413</v>
      </c>
      <c r="B2999" s="4" t="s">
        <v>781</v>
      </c>
      <c r="C2999" s="4" t="s">
        <v>287</v>
      </c>
      <c r="D2999" s="94">
        <v>493.0</v>
      </c>
    </row>
    <row r="3000">
      <c r="A3000" s="40">
        <f t="array" ref="A3000">IFNA(index(PlayerValues!A:A,match(IFNA(vlookup(B3000,'Special Names'!A:B,2,FALSE),B3000),PlayerValues!E:E,0)),"N/A")</f>
        <v>13404</v>
      </c>
      <c r="B3000" s="4" t="s">
        <v>827</v>
      </c>
      <c r="C3000" s="4" t="s">
        <v>278</v>
      </c>
      <c r="D3000" s="94">
        <v>13.0</v>
      </c>
    </row>
    <row r="3001">
      <c r="A3001" s="40">
        <f t="array" ref="A3001">IFNA(index(PlayerValues!A:A,match(IFNA(vlookup(B3001,'Special Names'!A:B,2,FALSE),B3001),PlayerValues!E:E,0)),"N/A")</f>
        <v>13589</v>
      </c>
      <c r="B3001" s="4" t="s">
        <v>282</v>
      </c>
      <c r="C3001" s="4" t="s">
        <v>283</v>
      </c>
      <c r="D3001" s="94">
        <v>9995.0</v>
      </c>
    </row>
    <row r="3002">
      <c r="A3002" s="40">
        <f t="array" ref="A3002">IFNA(index(PlayerValues!A:A,match(IFNA(vlookup(B3002,'Special Names'!A:B,2,FALSE),B3002),PlayerValues!E:E,0)),"N/A")</f>
        <v>16161</v>
      </c>
      <c r="B3002" s="4" t="s">
        <v>277</v>
      </c>
      <c r="C3002" s="4" t="s">
        <v>278</v>
      </c>
      <c r="D3002" s="94">
        <v>9992.0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9968.0</v>
      </c>
    </row>
    <row r="3004">
      <c r="A3004" s="40">
        <f t="array" ref="A3004">IFNA(index(PlayerValues!A:A,match(IFNA(vlookup(B3004,'Special Names'!A:B,2,FALSE),B3004),PlayerValues!E:E,0)),"N/A")</f>
        <v>16185</v>
      </c>
      <c r="B3004" s="4" t="s">
        <v>290</v>
      </c>
      <c r="C3004" s="4" t="s">
        <v>287</v>
      </c>
      <c r="D3004" s="94">
        <v>9831.0</v>
      </c>
    </row>
    <row r="3005">
      <c r="A3005" s="40">
        <f t="array" ref="A3005">IFNA(index(PlayerValues!A:A,match(IFNA(vlookup(B3005,'Special Names'!A:B,2,FALSE),B3005),PlayerValues!E:E,0)),"N/A")</f>
        <v>16162</v>
      </c>
      <c r="B3005" s="4" t="s">
        <v>281</v>
      </c>
      <c r="C3005" s="4" t="s">
        <v>278</v>
      </c>
      <c r="D3005" s="94">
        <v>9654.0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9386.0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8603.0</v>
      </c>
    </row>
    <row r="3008">
      <c r="A3008" s="40">
        <f t="array" ref="A3008">IFNA(index(PlayerValues!A:A,match(IFNA(vlookup(B3008,'Special Names'!A:B,2,FALSE),B3008),PlayerValues!E:E,0)),"N/A")</f>
        <v>16641</v>
      </c>
      <c r="B3008" s="4" t="s">
        <v>297</v>
      </c>
      <c r="C3008" s="4" t="s">
        <v>298</v>
      </c>
      <c r="D3008" s="94">
        <v>8907.0</v>
      </c>
    </row>
    <row r="3009">
      <c r="A3009" s="40">
        <f t="array" ref="A3009">IFNA(index(PlayerValues!A:A,match(IFNA(vlookup(B3009,'Special Names'!A:B,2,FALSE),B3009),PlayerValues!E:E,0)),"N/A")</f>
        <v>16579</v>
      </c>
      <c r="B3009" s="4" t="s">
        <v>302</v>
      </c>
      <c r="C3009" s="4" t="s">
        <v>283</v>
      </c>
      <c r="D3009" s="94">
        <v>7945.0</v>
      </c>
    </row>
    <row r="3010">
      <c r="A3010" s="40">
        <f t="array" ref="A3010">IFNA(index(PlayerValues!A:A,match(IFNA(vlookup(B3010,'Special Names'!A:B,2,FALSE),B3010),PlayerValues!E:E,0)),"N/A")</f>
        <v>16581</v>
      </c>
      <c r="B3010" s="4" t="s">
        <v>315</v>
      </c>
      <c r="C3010" s="4" t="s">
        <v>283</v>
      </c>
      <c r="D3010" s="94">
        <v>7848.0</v>
      </c>
    </row>
    <row r="3011">
      <c r="A3011" s="40">
        <f t="array" ref="A3011">IFNA(index(PlayerValues!A:A,match(IFNA(vlookup(B3011,'Special Names'!A:B,2,FALSE),B3011),PlayerValues!E:E,0)),"N/A")</f>
        <v>15287</v>
      </c>
      <c r="B3011" s="4" t="s">
        <v>299</v>
      </c>
      <c r="C3011" s="4" t="s">
        <v>287</v>
      </c>
      <c r="D3011" s="94">
        <v>7845.0</v>
      </c>
    </row>
    <row r="3012">
      <c r="A3012" s="40">
        <f t="array" ref="A3012">IFNA(index(PlayerValues!A:A,match(IFNA(vlookup(B3012,'Special Names'!A:B,2,FALSE),B3012),PlayerValues!E:E,0)),"N/A")</f>
        <v>14836</v>
      </c>
      <c r="B3012" s="4" t="s">
        <v>306</v>
      </c>
      <c r="C3012" s="4" t="s">
        <v>287</v>
      </c>
      <c r="D3012" s="94">
        <v>7789.0</v>
      </c>
    </row>
    <row r="3013">
      <c r="A3013" s="40">
        <f t="array" ref="A3013">IFNA(index(PlayerValues!A:A,match(IFNA(vlookup(B3013,'Special Names'!A:B,2,FALSE),B3013),PlayerValues!E:E,0)),"N/A")</f>
        <v>13593</v>
      </c>
      <c r="B3013" s="4" t="s">
        <v>305</v>
      </c>
      <c r="C3013" s="4" t="s">
        <v>283</v>
      </c>
      <c r="D3013" s="94">
        <v>7650.0</v>
      </c>
    </row>
    <row r="3014">
      <c r="A3014" s="40">
        <f t="array" ref="A3014">IFNA(index(PlayerValues!A:A,match(IFNA(vlookup(B3014,'Special Names'!A:B,2,FALSE),B3014),PlayerValues!E:E,0)),"N/A")</f>
        <v>17472</v>
      </c>
      <c r="B3014" s="4" t="s">
        <v>310</v>
      </c>
      <c r="C3014" s="4" t="s">
        <v>278</v>
      </c>
      <c r="D3014" s="94">
        <v>7649.0</v>
      </c>
    </row>
    <row r="3015">
      <c r="A3015" s="40">
        <f t="array" ref="A3015">IFNA(index(PlayerValues!A:A,match(IFNA(vlookup(B3015,'Special Names'!A:B,2,FALSE),B3015),PlayerValues!E:E,0)),"N/A")</f>
        <v>16615</v>
      </c>
      <c r="B3015" s="4" t="s">
        <v>309</v>
      </c>
      <c r="C3015" s="4" t="s">
        <v>287</v>
      </c>
      <c r="D3015" s="94">
        <v>7645.0</v>
      </c>
    </row>
    <row r="3016">
      <c r="A3016" s="40">
        <f t="array" ref="A3016">IFNA(index(PlayerValues!A:A,match(IFNA(vlookup(B3016,'Special Names'!A:B,2,FALSE),B3016),PlayerValues!E:E,0)),"N/A")</f>
        <v>17042</v>
      </c>
      <c r="B3016" s="4" t="s">
        <v>314</v>
      </c>
      <c r="C3016" s="4" t="s">
        <v>278</v>
      </c>
      <c r="D3016" s="94">
        <v>7576.0</v>
      </c>
    </row>
    <row r="3017">
      <c r="A3017" s="40">
        <f t="array" ref="A3017">IFNA(index(PlayerValues!A:A,match(IFNA(vlookup(B3017,'Special Names'!A:B,2,FALSE),B3017),PlayerValues!E:E,0)),"N/A")</f>
        <v>15794</v>
      </c>
      <c r="B3017" s="4" t="s">
        <v>313</v>
      </c>
      <c r="C3017" s="4" t="s">
        <v>298</v>
      </c>
      <c r="D3017" s="94">
        <v>8368.0</v>
      </c>
    </row>
    <row r="3018">
      <c r="A3018" s="40">
        <f t="array" ref="A3018">IFNA(index(PlayerValues!A:A,match(IFNA(vlookup(B3018,'Special Names'!A:B,2,FALSE),B3018),PlayerValues!E:E,0)),"N/A")</f>
        <v>14777</v>
      </c>
      <c r="B3018" s="4" t="s">
        <v>318</v>
      </c>
      <c r="C3018" s="4" t="s">
        <v>283</v>
      </c>
      <c r="D3018" s="94">
        <v>7440.0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7260.0</v>
      </c>
    </row>
    <row r="3020">
      <c r="A3020" s="40" t="str">
        <f t="array" ref="A3020">IFNA(index(PlayerValues!A:A,match(IFNA(vlookup(B3020,'Special Names'!A:B,2,FALSE),B3020),PlayerValues!E:E,0)),"N/A")</f>
        <v>N/A</v>
      </c>
      <c r="B3020" s="4" t="s">
        <v>92</v>
      </c>
      <c r="C3020" s="4" t="s">
        <v>325</v>
      </c>
      <c r="D3020" s="94">
        <v>7142.0</v>
      </c>
    </row>
    <row r="3021">
      <c r="A3021" s="40">
        <f t="array" ref="A3021">IFNA(index(PlayerValues!A:A,match(IFNA(vlookup(B3021,'Special Names'!A:B,2,FALSE),B3021),PlayerValues!E:E,0)),"N/A")</f>
        <v>15751</v>
      </c>
      <c r="B3021" s="4" t="s">
        <v>328</v>
      </c>
      <c r="C3021" s="4" t="s">
        <v>287</v>
      </c>
      <c r="D3021" s="94">
        <v>6935.0</v>
      </c>
    </row>
    <row r="3022">
      <c r="A3022" s="40">
        <f t="array" ref="A3022">IFNA(index(PlayerValues!A:A,match(IFNA(vlookup(B3022,'Special Names'!A:B,2,FALSE),B3022),PlayerValues!E:E,0)),"N/A")</f>
        <v>16167</v>
      </c>
      <c r="B3022" s="4" t="s">
        <v>323</v>
      </c>
      <c r="C3022" s="4" t="s">
        <v>278</v>
      </c>
      <c r="D3022" s="94">
        <v>6914.0</v>
      </c>
    </row>
    <row r="3023">
      <c r="A3023" s="40">
        <f t="array" ref="A3023">IFNA(index(PlayerValues!A:A,match(IFNA(vlookup(B3023,'Special Names'!A:B,2,FALSE),B3023),PlayerValues!E:E,0)),"N/A")</f>
        <v>14779</v>
      </c>
      <c r="B3023" s="4" t="s">
        <v>327</v>
      </c>
      <c r="C3023" s="4" t="s">
        <v>283</v>
      </c>
      <c r="D3023" s="94">
        <v>6838.0</v>
      </c>
    </row>
    <row r="3024">
      <c r="A3024" s="40">
        <f t="array" ref="A3024">IFNA(index(PlayerValues!A:A,match(IFNA(vlookup(B3024,'Special Names'!A:B,2,FALSE),B3024),PlayerValues!E:E,0)),"N/A")</f>
        <v>17044</v>
      </c>
      <c r="B3024" s="4" t="s">
        <v>322</v>
      </c>
      <c r="C3024" s="4" t="s">
        <v>278</v>
      </c>
      <c r="D3024" s="94">
        <v>6810.0</v>
      </c>
    </row>
    <row r="3025">
      <c r="A3025" s="40">
        <f t="array" ref="A3025">IFNA(index(PlayerValues!A:A,match(IFNA(vlookup(B3025,'Special Names'!A:B,2,FALSE),B3025),PlayerValues!E:E,0)),"N/A")</f>
        <v>13116</v>
      </c>
      <c r="B3025" s="4" t="s">
        <v>345</v>
      </c>
      <c r="C3025" s="4" t="s">
        <v>283</v>
      </c>
      <c r="D3025" s="94">
        <v>6688.0</v>
      </c>
    </row>
    <row r="3026">
      <c r="A3026" s="40">
        <f t="array" ref="A3026">IFNA(index(PlayerValues!A:A,match(IFNA(vlookup(B3026,'Special Names'!A:B,2,FALSE),B3026),PlayerValues!E:E,0)),"N/A")</f>
        <v>17032</v>
      </c>
      <c r="B3026" s="4" t="s">
        <v>348</v>
      </c>
      <c r="C3026" s="4" t="s">
        <v>283</v>
      </c>
      <c r="D3026" s="94">
        <v>6606.0</v>
      </c>
    </row>
    <row r="3027">
      <c r="A3027" s="40">
        <f t="array" ref="A3027">IFNA(index(PlayerValues!A:A,match(IFNA(vlookup(B3027,'Special Names'!A:B,2,FALSE),B3027),PlayerValues!E:E,0)),"N/A")</f>
        <v>17071</v>
      </c>
      <c r="B3027" s="4" t="s">
        <v>341</v>
      </c>
      <c r="C3027" s="4" t="s">
        <v>287</v>
      </c>
      <c r="D3027" s="94">
        <v>6553.0</v>
      </c>
    </row>
    <row r="3028">
      <c r="A3028" s="40">
        <f t="array" ref="A3028">IFNA(index(PlayerValues!A:A,match(IFNA(vlookup(B3028,'Special Names'!A:B,2,FALSE),B3028),PlayerValues!E:E,0)),"N/A")</f>
        <v>15237</v>
      </c>
      <c r="B3028" s="4" t="s">
        <v>336</v>
      </c>
      <c r="C3028" s="4" t="s">
        <v>283</v>
      </c>
      <c r="D3028" s="94">
        <v>6373.0</v>
      </c>
    </row>
    <row r="3029">
      <c r="A3029" s="40">
        <f t="array" ref="A3029">IFNA(index(PlayerValues!A:A,match(IFNA(vlookup(B3029,'Special Names'!A:B,2,FALSE),B3029),PlayerValues!E:E,0)),"N/A")</f>
        <v>14783</v>
      </c>
      <c r="B3029" s="4" t="s">
        <v>342</v>
      </c>
      <c r="C3029" s="4" t="s">
        <v>283</v>
      </c>
      <c r="D3029" s="94">
        <v>6173.0</v>
      </c>
    </row>
    <row r="3030">
      <c r="A3030" s="40">
        <f t="array" ref="A3030">IFNA(index(PlayerValues!A:A,match(IFNA(vlookup(B3030,'Special Names'!A:B,2,FALSE),B3030),PlayerValues!E:E,0)),"N/A")</f>
        <v>17104</v>
      </c>
      <c r="B3030" s="4" t="s">
        <v>333</v>
      </c>
      <c r="C3030" s="4" t="s">
        <v>298</v>
      </c>
      <c r="D3030" s="94">
        <v>6788.0</v>
      </c>
    </row>
    <row r="3031">
      <c r="A3031" s="40">
        <f t="array" ref="A3031">IFNA(index(PlayerValues!A:A,match(IFNA(vlookup(B3031,'Special Names'!A:B,2,FALSE),B3031),PlayerValues!E:E,0)),"N/A")</f>
        <v>17081</v>
      </c>
      <c r="B3031" s="4" t="s">
        <v>340</v>
      </c>
      <c r="C3031" s="4" t="s">
        <v>287</v>
      </c>
      <c r="D3031" s="94">
        <v>6086.0</v>
      </c>
    </row>
    <row r="3032">
      <c r="A3032" s="40">
        <f t="array" ref="A3032">IFNA(index(PlayerValues!A:A,match(IFNA(vlookup(B3032,'Special Names'!A:B,2,FALSE),B3032),PlayerValues!E:E,0)),"N/A")</f>
        <v>16582</v>
      </c>
      <c r="B3032" s="4" t="s">
        <v>343</v>
      </c>
      <c r="C3032" s="4" t="s">
        <v>283</v>
      </c>
      <c r="D3032" s="94">
        <v>6030.0</v>
      </c>
    </row>
    <row r="3033">
      <c r="A3033" s="40">
        <f t="array" ref="A3033">IFNA(index(PlayerValues!A:A,match(IFNA(vlookup(B3033,'Special Names'!A:B,2,FALSE),B3033),PlayerValues!E:E,0)),"N/A")</f>
        <v>14802</v>
      </c>
      <c r="B3033" s="4" t="s">
        <v>332</v>
      </c>
      <c r="C3033" s="4" t="s">
        <v>278</v>
      </c>
      <c r="D3033" s="94">
        <v>6027.0</v>
      </c>
    </row>
    <row r="3034">
      <c r="A3034" s="40">
        <f t="array" ref="A3034">IFNA(index(PlayerValues!A:A,match(IFNA(vlookup(B3034,'Special Names'!A:B,2,FALSE),B3034),PlayerValues!E:E,0)),"N/A")</f>
        <v>15715</v>
      </c>
      <c r="B3034" s="4" t="s">
        <v>331</v>
      </c>
      <c r="C3034" s="4" t="s">
        <v>278</v>
      </c>
      <c r="D3034" s="94">
        <v>5983.0</v>
      </c>
    </row>
    <row r="3035">
      <c r="A3035" s="40">
        <f t="array" ref="A3035">IFNA(index(PlayerValues!A:A,match(IFNA(vlookup(B3035,'Special Names'!A:B,2,FALSE),B3035),PlayerValues!E:E,0)),"N/A")</f>
        <v>17497</v>
      </c>
      <c r="B3035" s="4" t="s">
        <v>365</v>
      </c>
      <c r="C3035" s="4" t="s">
        <v>287</v>
      </c>
      <c r="D3035" s="94">
        <v>5931.0</v>
      </c>
    </row>
    <row r="3036">
      <c r="A3036" s="40">
        <f t="array" ref="A3036">IFNA(index(PlayerValues!A:A,match(IFNA(vlookup(B3036,'Special Names'!A:B,2,FALSE),B3036),PlayerValues!E:E,0)),"N/A")</f>
        <v>15762</v>
      </c>
      <c r="B3036" s="4" t="s">
        <v>337</v>
      </c>
      <c r="C3036" s="4" t="s">
        <v>287</v>
      </c>
      <c r="D3036" s="94">
        <v>5893.0</v>
      </c>
    </row>
    <row r="3037">
      <c r="A3037" s="40">
        <f t="array" ref="A3037">IFNA(index(PlayerValues!A:A,match(IFNA(vlookup(B3037,'Special Names'!A:B,2,FALSE),B3037),PlayerValues!E:E,0)),"N/A")</f>
        <v>15698</v>
      </c>
      <c r="B3037" s="4" t="s">
        <v>358</v>
      </c>
      <c r="C3037" s="4" t="s">
        <v>283</v>
      </c>
      <c r="D3037" s="94">
        <v>5853.0</v>
      </c>
    </row>
    <row r="3038">
      <c r="A3038" s="40">
        <f t="array" ref="A3038">IFNA(index(PlayerValues!A:A,match(IFNA(vlookup(B3038,'Special Names'!A:B,2,FALSE),B3038),PlayerValues!E:E,0)),"N/A")</f>
        <v>17102</v>
      </c>
      <c r="B3038" s="4" t="s">
        <v>344</v>
      </c>
      <c r="C3038" s="4" t="s">
        <v>298</v>
      </c>
      <c r="D3038" s="94">
        <v>6424.0</v>
      </c>
    </row>
    <row r="3039">
      <c r="A3039" s="40">
        <f t="array" ref="A3039">IFNA(index(PlayerValues!A:A,match(IFNA(vlookup(B3039,'Special Names'!A:B,2,FALSE),B3039),PlayerValues!E:E,0)),"N/A")</f>
        <v>15753</v>
      </c>
      <c r="B3039" s="4" t="s">
        <v>359</v>
      </c>
      <c r="C3039" s="4" t="s">
        <v>287</v>
      </c>
      <c r="D3039" s="94">
        <v>5691.0</v>
      </c>
    </row>
    <row r="3040">
      <c r="A3040" s="40" t="str">
        <f t="array" ref="A3040">IFNA(index(PlayerValues!A:A,match(IFNA(vlookup(B3040,'Special Names'!A:B,2,FALSE),B3040),PlayerValues!E:E,0)),"N/A")</f>
        <v>N/A</v>
      </c>
      <c r="B3040" s="4" t="s">
        <v>93</v>
      </c>
      <c r="C3040" s="4" t="s">
        <v>325</v>
      </c>
      <c r="D3040" s="94">
        <v>5667.0</v>
      </c>
    </row>
    <row r="3041">
      <c r="A3041" s="40" t="str">
        <f t="array" ref="A3041">IFNA(index(PlayerValues!A:A,match(IFNA(vlookup(B3041,'Special Names'!A:B,2,FALSE),B3041),PlayerValues!E:E,0)),"N/A")</f>
        <v>N/A</v>
      </c>
      <c r="B3041" s="4" t="s">
        <v>79</v>
      </c>
      <c r="C3041" s="4" t="s">
        <v>325</v>
      </c>
      <c r="D3041" s="94">
        <v>5648.0</v>
      </c>
    </row>
    <row r="3042">
      <c r="A3042" s="40">
        <f t="array" ref="A3042">IFNA(index(PlayerValues!A:A,match(IFNA(vlookup(B3042,'Special Names'!A:B,2,FALSE),B3042),PlayerValues!E:E,0)),"N/A")</f>
        <v>14782</v>
      </c>
      <c r="B3042" s="4" t="s">
        <v>385</v>
      </c>
      <c r="C3042" s="4" t="s">
        <v>283</v>
      </c>
      <c r="D3042" s="94">
        <v>5616.0</v>
      </c>
    </row>
    <row r="3043">
      <c r="A3043" s="40">
        <f t="array" ref="A3043">IFNA(index(PlayerValues!A:A,match(IFNA(vlookup(B3043,'Special Names'!A:B,2,FALSE),B3043),PlayerValues!E:E,0)),"N/A")</f>
        <v>17462</v>
      </c>
      <c r="B3043" s="4" t="s">
        <v>375</v>
      </c>
      <c r="C3043" s="4" t="s">
        <v>283</v>
      </c>
      <c r="D3043" s="94">
        <v>5613.0</v>
      </c>
    </row>
    <row r="3044">
      <c r="A3044" s="40">
        <f t="array" ref="A3044">IFNA(index(PlayerValues!A:A,match(IFNA(vlookup(B3044,'Special Names'!A:B,2,FALSE),B3044),PlayerValues!E:E,0)),"N/A")</f>
        <v>15290</v>
      </c>
      <c r="B3044" s="4" t="s">
        <v>355</v>
      </c>
      <c r="C3044" s="4" t="s">
        <v>287</v>
      </c>
      <c r="D3044" s="94">
        <v>5585.0</v>
      </c>
    </row>
    <row r="3045">
      <c r="A3045" s="40">
        <f t="array" ref="A3045">IFNA(index(PlayerValues!A:A,match(IFNA(vlookup(B3045,'Special Names'!A:B,2,FALSE),B3045),PlayerValues!E:E,0)),"N/A")</f>
        <v>17051</v>
      </c>
      <c r="B3045" s="4" t="s">
        <v>386</v>
      </c>
      <c r="C3045" s="4" t="s">
        <v>278</v>
      </c>
      <c r="D3045" s="94">
        <v>5519.0</v>
      </c>
    </row>
    <row r="3046">
      <c r="A3046" s="40">
        <f t="array" ref="A3046">IFNA(index(PlayerValues!A:A,match(IFNA(vlookup(B3046,'Special Names'!A:B,2,FALSE),B3046),PlayerValues!E:E,0)),"N/A")</f>
        <v>15754</v>
      </c>
      <c r="B3046" s="4" t="s">
        <v>354</v>
      </c>
      <c r="C3046" s="4" t="s">
        <v>287</v>
      </c>
      <c r="D3046" s="94">
        <v>5506.0</v>
      </c>
    </row>
    <row r="3047">
      <c r="A3047" s="40">
        <f t="array" ref="A3047">IFNA(index(PlayerValues!A:A,match(IFNA(vlookup(B3047,'Special Names'!A:B,2,FALSE),B3047),PlayerValues!E:E,0)),"N/A")</f>
        <v>16616</v>
      </c>
      <c r="B3047" s="4" t="s">
        <v>389</v>
      </c>
      <c r="C3047" s="4" t="s">
        <v>287</v>
      </c>
      <c r="D3047" s="94">
        <v>5461.0</v>
      </c>
    </row>
    <row r="3048">
      <c r="A3048" s="40">
        <f t="array" ref="A3048">IFNA(index(PlayerValues!A:A,match(IFNA(vlookup(B3048,'Special Names'!A:B,2,FALSE),B3048),PlayerValues!E:E,0)),"N/A")</f>
        <v>17030</v>
      </c>
      <c r="B3048" s="4" t="s">
        <v>406</v>
      </c>
      <c r="C3048" s="4" t="s">
        <v>283</v>
      </c>
      <c r="D3048" s="94">
        <v>5445.0</v>
      </c>
    </row>
    <row r="3049">
      <c r="A3049" s="40">
        <f t="array" ref="A3049">IFNA(index(PlayerValues!A:A,match(IFNA(vlookup(B3049,'Special Names'!A:B,2,FALSE),B3049),PlayerValues!E:E,0)),"N/A")</f>
        <v>15708</v>
      </c>
      <c r="B3049" s="4" t="s">
        <v>382</v>
      </c>
      <c r="C3049" s="4" t="s">
        <v>278</v>
      </c>
      <c r="D3049" s="94">
        <v>5433.0</v>
      </c>
    </row>
    <row r="3050">
      <c r="A3050" s="40">
        <f t="array" ref="A3050">IFNA(index(PlayerValues!A:A,match(IFNA(vlookup(B3050,'Special Names'!A:B,2,FALSE),B3050),PlayerValues!E:E,0)),"N/A")</f>
        <v>17498</v>
      </c>
      <c r="B3050" s="4" t="s">
        <v>396</v>
      </c>
      <c r="C3050" s="4" t="s">
        <v>287</v>
      </c>
      <c r="D3050" s="94">
        <v>5426.0</v>
      </c>
    </row>
    <row r="3051">
      <c r="A3051" s="40">
        <f t="array" ref="A3051">IFNA(index(PlayerValues!A:A,match(IFNA(vlookup(B3051,'Special Names'!A:B,2,FALSE),B3051),PlayerValues!E:E,0)),"N/A")</f>
        <v>15711</v>
      </c>
      <c r="B3051" s="4" t="s">
        <v>349</v>
      </c>
      <c r="C3051" s="4" t="s">
        <v>278</v>
      </c>
      <c r="D3051" s="94">
        <v>5421.0</v>
      </c>
    </row>
    <row r="3052">
      <c r="A3052" s="40">
        <f t="array" ref="A3052">IFNA(index(PlayerValues!A:A,match(IFNA(vlookup(B3052,'Special Names'!A:B,2,FALSE),B3052),PlayerValues!E:E,0)),"N/A")</f>
        <v>16627</v>
      </c>
      <c r="B3052" s="4" t="s">
        <v>351</v>
      </c>
      <c r="C3052" s="4" t="s">
        <v>287</v>
      </c>
      <c r="D3052" s="94">
        <v>5412.0</v>
      </c>
    </row>
    <row r="3053">
      <c r="A3053" s="40">
        <f t="array" ref="A3053">IFNA(index(PlayerValues!A:A,match(IFNA(vlookup(B3053,'Special Names'!A:B,2,FALSE),B3053),PlayerValues!E:E,0)),"N/A")</f>
        <v>17043</v>
      </c>
      <c r="B3053" s="4" t="s">
        <v>397</v>
      </c>
      <c r="C3053" s="4" t="s">
        <v>278</v>
      </c>
      <c r="D3053" s="94">
        <v>5394.0</v>
      </c>
    </row>
    <row r="3054">
      <c r="A3054" s="40">
        <f t="array" ref="A3054">IFNA(index(PlayerValues!A:A,match(IFNA(vlookup(B3054,'Special Names'!A:B,2,FALSE),B3054),PlayerValues!E:E,0)),"N/A")</f>
        <v>17070</v>
      </c>
      <c r="B3054" s="4" t="s">
        <v>370</v>
      </c>
      <c r="C3054" s="4" t="s">
        <v>287</v>
      </c>
      <c r="D3054" s="94">
        <v>5291.0</v>
      </c>
    </row>
    <row r="3055">
      <c r="A3055" s="40">
        <f t="array" ref="A3055">IFNA(index(PlayerValues!A:A,match(IFNA(vlookup(B3055,'Special Names'!A:B,2,FALSE),B3055),PlayerValues!E:E,0)),"N/A")</f>
        <v>15282</v>
      </c>
      <c r="B3055" s="4" t="s">
        <v>364</v>
      </c>
      <c r="C3055" s="4" t="s">
        <v>287</v>
      </c>
      <c r="D3055" s="94">
        <v>5259.0</v>
      </c>
    </row>
    <row r="3056">
      <c r="A3056" s="40">
        <f t="array" ref="A3056">IFNA(index(PlayerValues!A:A,match(IFNA(vlookup(B3056,'Special Names'!A:B,2,FALSE),B3056),PlayerValues!E:E,0)),"N/A")</f>
        <v>17499</v>
      </c>
      <c r="B3056" s="4" t="s">
        <v>402</v>
      </c>
      <c r="C3056" s="4" t="s">
        <v>287</v>
      </c>
      <c r="D3056" s="94">
        <v>5085.0</v>
      </c>
    </row>
    <row r="3057">
      <c r="A3057" s="40">
        <f t="array" ref="A3057">IFNA(index(PlayerValues!A:A,match(IFNA(vlookup(B3057,'Special Names'!A:B,2,FALSE),B3057),PlayerValues!E:E,0)),"N/A")</f>
        <v>16614</v>
      </c>
      <c r="B3057" s="4" t="s">
        <v>403</v>
      </c>
      <c r="C3057" s="4" t="s">
        <v>287</v>
      </c>
      <c r="D3057" s="94">
        <v>5062.0</v>
      </c>
    </row>
    <row r="3058">
      <c r="A3058" s="40">
        <f t="array" ref="A3058">IFNA(index(PlayerValues!A:A,match(IFNA(vlookup(B3058,'Special Names'!A:B,2,FALSE),B3058),PlayerValues!E:E,0)),"N/A")</f>
        <v>13130</v>
      </c>
      <c r="B3058" s="4" t="s">
        <v>374</v>
      </c>
      <c r="C3058" s="4" t="s">
        <v>278</v>
      </c>
      <c r="D3058" s="94">
        <v>5021.0</v>
      </c>
    </row>
    <row r="3059">
      <c r="A3059" s="40" t="str">
        <f t="array" ref="A3059">IFNA(index(PlayerValues!A:A,match(IFNA(vlookup(B3059,'Special Names'!A:B,2,FALSE),B3059),PlayerValues!E:E,0)),"N/A")</f>
        <v>N/A</v>
      </c>
      <c r="B3059" s="4" t="s">
        <v>104</v>
      </c>
      <c r="C3059" s="4" t="s">
        <v>325</v>
      </c>
      <c r="D3059" s="94">
        <v>5001.0</v>
      </c>
    </row>
    <row r="3060">
      <c r="A3060" s="40">
        <f t="array" ref="A3060">IFNA(index(PlayerValues!A:A,match(IFNA(vlookup(B3060,'Special Names'!A:B,2,FALSE),B3060),PlayerValues!E:E,0)),"N/A")</f>
        <v>16181</v>
      </c>
      <c r="B3060" s="4" t="s">
        <v>350</v>
      </c>
      <c r="C3060" s="4" t="s">
        <v>278</v>
      </c>
      <c r="D3060" s="94">
        <v>4982.0</v>
      </c>
    </row>
    <row r="3061">
      <c r="A3061" s="40" t="str">
        <f t="array" ref="A3061">IFNA(index(PlayerValues!A:A,match(IFNA(vlookup(B3061,'Special Names'!A:B,2,FALSE),B3061),PlayerValues!E:E,0)),"N/A")</f>
        <v>N/A</v>
      </c>
      <c r="B3061" s="4" t="s">
        <v>94</v>
      </c>
      <c r="C3061" s="4" t="s">
        <v>325</v>
      </c>
      <c r="D3061" s="94">
        <v>4974.0</v>
      </c>
    </row>
    <row r="3062">
      <c r="A3062" s="40">
        <f t="array" ref="A3062">IFNA(index(PlayerValues!A:A,match(IFNA(vlookup(B3062,'Special Names'!A:B,2,FALSE),B3062),PlayerValues!E:E,0)),"N/A")</f>
        <v>12620</v>
      </c>
      <c r="B3062" s="4" t="s">
        <v>394</v>
      </c>
      <c r="C3062" s="4" t="s">
        <v>283</v>
      </c>
      <c r="D3062" s="94">
        <v>4972.0</v>
      </c>
    </row>
    <row r="3063">
      <c r="A3063" s="40">
        <f t="array" ref="A3063">IFNA(index(PlayerValues!A:A,match(IFNA(vlookup(B3063,'Special Names'!A:B,2,FALSE),B3063),PlayerValues!E:E,0)),"N/A")</f>
        <v>17039</v>
      </c>
      <c r="B3063" s="4" t="s">
        <v>400</v>
      </c>
      <c r="C3063" s="4" t="s">
        <v>283</v>
      </c>
      <c r="D3063" s="94">
        <v>4930.0</v>
      </c>
    </row>
    <row r="3064">
      <c r="A3064" s="40">
        <f t="array" ref="A3064">IFNA(index(PlayerValues!A:A,match(IFNA(vlookup(B3064,'Special Names'!A:B,2,FALSE),B3064),PlayerValues!E:E,0)),"N/A")</f>
        <v>14835</v>
      </c>
      <c r="B3064" s="4" t="s">
        <v>392</v>
      </c>
      <c r="C3064" s="4" t="s">
        <v>287</v>
      </c>
      <c r="D3064" s="94">
        <v>4927.0</v>
      </c>
    </row>
    <row r="3065">
      <c r="A3065" s="40">
        <f t="array" ref="A3065">IFNA(index(PlayerValues!A:A,match(IFNA(vlookup(B3065,'Special Names'!A:B,2,FALSE),B3065),PlayerValues!E:E,0)),"N/A")</f>
        <v>13604</v>
      </c>
      <c r="B3065" s="4" t="s">
        <v>378</v>
      </c>
      <c r="C3065" s="4" t="s">
        <v>278</v>
      </c>
      <c r="D3065" s="94">
        <v>4913.0</v>
      </c>
    </row>
    <row r="3066">
      <c r="A3066" s="40">
        <f t="array" ref="A3066">IFNA(index(PlayerValues!A:A,match(IFNA(vlookup(B3066,'Special Names'!A:B,2,FALSE),B3066),PlayerValues!E:E,0)),"N/A")</f>
        <v>16222</v>
      </c>
      <c r="B3066" s="4" t="s">
        <v>393</v>
      </c>
      <c r="C3066" s="4" t="s">
        <v>298</v>
      </c>
      <c r="D3066" s="94">
        <v>5469.0</v>
      </c>
    </row>
    <row r="3067">
      <c r="A3067" s="40">
        <f t="array" ref="A3067">IFNA(index(PlayerValues!A:A,match(IFNA(vlookup(B3067,'Special Names'!A:B,2,FALSE),B3067),PlayerValues!E:E,0)),"N/A")</f>
        <v>16150</v>
      </c>
      <c r="B3067" s="4" t="s">
        <v>414</v>
      </c>
      <c r="C3067" s="4" t="s">
        <v>283</v>
      </c>
      <c r="D3067" s="94">
        <v>4893.0</v>
      </c>
    </row>
    <row r="3068">
      <c r="A3068" s="40">
        <f t="array" ref="A3068">IFNA(index(PlayerValues!A:A,match(IFNA(vlookup(B3068,'Special Names'!A:B,2,FALSE),B3068),PlayerValues!E:E,0)),"N/A")</f>
        <v>17103</v>
      </c>
      <c r="B3068" s="4" t="s">
        <v>405</v>
      </c>
      <c r="C3068" s="4" t="s">
        <v>298</v>
      </c>
      <c r="D3068" s="94">
        <v>5458.0</v>
      </c>
    </row>
    <row r="3069">
      <c r="A3069" s="40">
        <f t="array" ref="A3069">IFNA(index(PlayerValues!A:A,match(IFNA(vlookup(B3069,'Special Names'!A:B,2,FALSE),B3069),PlayerValues!E:E,0)),"N/A")</f>
        <v>15710</v>
      </c>
      <c r="B3069" s="4" t="s">
        <v>395</v>
      </c>
      <c r="C3069" s="4" t="s">
        <v>278</v>
      </c>
      <c r="D3069" s="94">
        <v>4848.0</v>
      </c>
    </row>
    <row r="3070">
      <c r="A3070" s="40">
        <f t="array" ref="A3070">IFNA(index(PlayerValues!A:A,match(IFNA(vlookup(B3070,'Special Names'!A:B,2,FALSE),B3070),PlayerValues!E:E,0)),"N/A")</f>
        <v>16618</v>
      </c>
      <c r="B3070" s="4" t="s">
        <v>411</v>
      </c>
      <c r="C3070" s="4" t="s">
        <v>287</v>
      </c>
      <c r="D3070" s="94">
        <v>4840.0</v>
      </c>
    </row>
    <row r="3071">
      <c r="A3071" s="40">
        <f t="array" ref="A3071">IFNA(index(PlayerValues!A:A,match(IFNA(vlookup(B3071,'Special Names'!A:B,2,FALSE),B3071),PlayerValues!E:E,0)),"N/A")</f>
        <v>14104</v>
      </c>
      <c r="B3071" s="4" t="s">
        <v>379</v>
      </c>
      <c r="C3071" s="4" t="s">
        <v>287</v>
      </c>
      <c r="D3071" s="94">
        <v>4837.0</v>
      </c>
    </row>
    <row r="3072">
      <c r="A3072" s="40">
        <f t="array" ref="A3072">IFNA(index(PlayerValues!A:A,match(IFNA(vlookup(B3072,'Special Names'!A:B,2,FALSE),B3072),PlayerValues!E:E,0)),"N/A")</f>
        <v>17473</v>
      </c>
      <c r="B3072" s="4" t="s">
        <v>391</v>
      </c>
      <c r="C3072" s="4" t="s">
        <v>278</v>
      </c>
      <c r="D3072" s="94">
        <v>4835.0</v>
      </c>
    </row>
    <row r="3073">
      <c r="A3073" s="40">
        <f t="array" ref="A3073">IFNA(index(PlayerValues!A:A,match(IFNA(vlookup(B3073,'Special Names'!A:B,2,FALSE),B3073),PlayerValues!E:E,0)),"N/A")</f>
        <v>13590</v>
      </c>
      <c r="B3073" s="4" t="s">
        <v>409</v>
      </c>
      <c r="C3073" s="4" t="s">
        <v>283</v>
      </c>
      <c r="D3073" s="94">
        <v>4826.0</v>
      </c>
    </row>
    <row r="3074">
      <c r="A3074" s="40">
        <f t="array" ref="A3074">IFNA(index(PlayerValues!A:A,match(IFNA(vlookup(B3074,'Special Names'!A:B,2,FALSE),B3074),PlayerValues!E:E,0)),"N/A")</f>
        <v>15284</v>
      </c>
      <c r="B3074" s="4" t="s">
        <v>390</v>
      </c>
      <c r="C3074" s="4" t="s">
        <v>287</v>
      </c>
      <c r="D3074" s="94">
        <v>4824.0</v>
      </c>
    </row>
    <row r="3075">
      <c r="A3075" s="40">
        <f t="array" ref="A3075">IFNA(index(PlayerValues!A:A,match(IFNA(vlookup(B3075,'Special Names'!A:B,2,FALSE),B3075),PlayerValues!E:E,0)),"N/A")</f>
        <v>16598</v>
      </c>
      <c r="B3075" s="4" t="s">
        <v>408</v>
      </c>
      <c r="C3075" s="4" t="s">
        <v>278</v>
      </c>
      <c r="D3075" s="94">
        <v>4823.0</v>
      </c>
    </row>
    <row r="3076">
      <c r="A3076" s="40">
        <f t="array" ref="A3076">IFNA(index(PlayerValues!A:A,match(IFNA(vlookup(B3076,'Special Names'!A:B,2,FALSE),B3076),PlayerValues!E:E,0)),"N/A")</f>
        <v>16190</v>
      </c>
      <c r="B3076" s="4" t="s">
        <v>371</v>
      </c>
      <c r="C3076" s="4" t="s">
        <v>287</v>
      </c>
      <c r="D3076" s="94">
        <v>4782.0</v>
      </c>
    </row>
    <row r="3077">
      <c r="A3077" s="40">
        <f t="array" ref="A3077">IFNA(index(PlayerValues!A:A,match(IFNA(vlookup(B3077,'Special Names'!A:B,2,FALSE),B3077),PlayerValues!E:E,0)),"N/A")</f>
        <v>17045</v>
      </c>
      <c r="B3077" s="4" t="s">
        <v>407</v>
      </c>
      <c r="C3077" s="4" t="s">
        <v>278</v>
      </c>
      <c r="D3077" s="94">
        <v>4714.0</v>
      </c>
    </row>
    <row r="3078">
      <c r="A3078" s="40">
        <f t="array" ref="A3078">IFNA(index(PlayerValues!A:A,match(IFNA(vlookup(B3078,'Special Names'!A:B,2,FALSE),B3078),PlayerValues!E:E,0)),"N/A")</f>
        <v>12611</v>
      </c>
      <c r="B3078" s="4" t="s">
        <v>410</v>
      </c>
      <c r="C3078" s="4" t="s">
        <v>283</v>
      </c>
      <c r="D3078" s="94">
        <v>4670.0</v>
      </c>
    </row>
    <row r="3079">
      <c r="A3079" s="40">
        <f t="array" ref="A3079">IFNA(index(PlayerValues!A:A,match(IFNA(vlookup(B3079,'Special Names'!A:B,2,FALSE),B3079),PlayerValues!E:E,0)),"N/A")</f>
        <v>15756</v>
      </c>
      <c r="B3079" s="4" t="s">
        <v>399</v>
      </c>
      <c r="C3079" s="4" t="s">
        <v>287</v>
      </c>
      <c r="D3079" s="94">
        <v>4670.0</v>
      </c>
    </row>
    <row r="3080">
      <c r="A3080" s="40">
        <f t="array" ref="A3080">IFNA(index(PlayerValues!A:A,match(IFNA(vlookup(B3080,'Special Names'!A:B,2,FALSE),B3080),PlayerValues!E:E,0)),"N/A")</f>
        <v>13592</v>
      </c>
      <c r="B3080" s="4" t="s">
        <v>418</v>
      </c>
      <c r="C3080" s="4" t="s">
        <v>283</v>
      </c>
      <c r="D3080" s="94">
        <v>4639.0</v>
      </c>
    </row>
    <row r="3081">
      <c r="A3081" s="40" t="str">
        <f t="array" ref="A3081">IFNA(index(PlayerValues!A:A,match(IFNA(vlookup(B3081,'Special Names'!A:B,2,FALSE),B3081),PlayerValues!E:E,0)),"N/A")</f>
        <v>N/A</v>
      </c>
      <c r="B3081" s="4" t="s">
        <v>80</v>
      </c>
      <c r="C3081" s="4" t="s">
        <v>325</v>
      </c>
      <c r="D3081" s="94">
        <v>4564.0</v>
      </c>
    </row>
    <row r="3082">
      <c r="A3082" s="40">
        <f t="array" ref="A3082">IFNA(index(PlayerValues!A:A,match(IFNA(vlookup(B3082,'Special Names'!A:B,2,FALSE),B3082),PlayerValues!E:E,0)),"N/A")</f>
        <v>16214</v>
      </c>
      <c r="B3082" s="4" t="s">
        <v>413</v>
      </c>
      <c r="C3082" s="4" t="s">
        <v>298</v>
      </c>
      <c r="D3082" s="94">
        <v>5096.0</v>
      </c>
    </row>
    <row r="3083">
      <c r="A3083" s="40">
        <f t="array" ref="A3083">IFNA(index(PlayerValues!A:A,match(IFNA(vlookup(B3083,'Special Names'!A:B,2,FALSE),B3083),PlayerValues!E:E,0)),"N/A")</f>
        <v>15256</v>
      </c>
      <c r="B3083" s="4" t="s">
        <v>401</v>
      </c>
      <c r="C3083" s="4" t="s">
        <v>278</v>
      </c>
      <c r="D3083" s="94">
        <v>4543.0</v>
      </c>
    </row>
    <row r="3084">
      <c r="A3084" s="40" t="str">
        <f t="array" ref="A3084">IFNA(index(PlayerValues!A:A,match(IFNA(vlookup(B3084,'Special Names'!A:B,2,FALSE),B3084),PlayerValues!E:E,0)),"N/A")</f>
        <v>N/A</v>
      </c>
      <c r="B3084" s="4" t="s">
        <v>105</v>
      </c>
      <c r="C3084" s="4" t="s">
        <v>325</v>
      </c>
      <c r="D3084" s="94">
        <v>4512.0</v>
      </c>
    </row>
    <row r="3085">
      <c r="A3085" s="40">
        <f t="array" ref="A3085">IFNA(index(PlayerValues!A:A,match(IFNA(vlookup(B3085,'Special Names'!A:B,2,FALSE),B3085),PlayerValues!E:E,0)),"N/A")</f>
        <v>17501</v>
      </c>
      <c r="B3085" s="4" t="s">
        <v>404</v>
      </c>
      <c r="C3085" s="4" t="s">
        <v>287</v>
      </c>
      <c r="D3085" s="94">
        <v>4505.0</v>
      </c>
    </row>
    <row r="3086">
      <c r="A3086" s="40">
        <f t="array" ref="A3086">IFNA(index(PlayerValues!A:A,match(IFNA(vlookup(B3086,'Special Names'!A:B,2,FALSE),B3086),PlayerValues!E:E,0)),"N/A")</f>
        <v>15253</v>
      </c>
      <c r="B3086" s="4" t="s">
        <v>415</v>
      </c>
      <c r="C3086" s="4" t="s">
        <v>278</v>
      </c>
      <c r="D3086" s="94">
        <v>4503.0</v>
      </c>
    </row>
    <row r="3087">
      <c r="A3087" s="40">
        <f t="array" ref="A3087">IFNA(index(PlayerValues!A:A,match(IFNA(vlookup(B3087,'Special Names'!A:B,2,FALSE),B3087),PlayerValues!E:E,0)),"N/A")</f>
        <v>16194</v>
      </c>
      <c r="B3087" s="4" t="s">
        <v>398</v>
      </c>
      <c r="C3087" s="4" t="s">
        <v>287</v>
      </c>
      <c r="D3087" s="94">
        <v>4482.0</v>
      </c>
    </row>
    <row r="3088">
      <c r="A3088" s="40">
        <f t="array" ref="A3088">IFNA(index(PlayerValues!A:A,match(IFNA(vlookup(B3088,'Special Names'!A:B,2,FALSE),B3088),PlayerValues!E:E,0)),"N/A")</f>
        <v>16148</v>
      </c>
      <c r="B3088" s="4" t="s">
        <v>426</v>
      </c>
      <c r="C3088" s="4" t="s">
        <v>283</v>
      </c>
      <c r="D3088" s="94">
        <v>4464.0</v>
      </c>
    </row>
    <row r="3089">
      <c r="A3089" s="40">
        <f t="array" ref="A3089">IFNA(index(PlayerValues!A:A,match(IFNA(vlookup(B3089,'Special Names'!A:B,2,FALSE),B3089),PlayerValues!E:E,0)),"N/A")</f>
        <v>15329</v>
      </c>
      <c r="B3089" s="4" t="s">
        <v>416</v>
      </c>
      <c r="C3089" s="4" t="s">
        <v>298</v>
      </c>
      <c r="D3089" s="94">
        <v>4984.0</v>
      </c>
    </row>
    <row r="3090">
      <c r="A3090" s="40">
        <f t="array" ref="A3090">IFNA(index(PlayerValues!A:A,match(IFNA(vlookup(B3090,'Special Names'!A:B,2,FALSE),B3090),PlayerValues!E:E,0)),"N/A")</f>
        <v>17543</v>
      </c>
      <c r="B3090" s="4" t="s">
        <v>436</v>
      </c>
      <c r="C3090" s="4" t="s">
        <v>298</v>
      </c>
      <c r="D3090" s="94">
        <v>4666.0</v>
      </c>
    </row>
    <row r="3091">
      <c r="A3091" s="40">
        <f t="array" ref="A3091">IFNA(index(PlayerValues!A:A,match(IFNA(vlookup(B3091,'Special Names'!A:B,2,FALSE),B3091),PlayerValues!E:E,0)),"N/A")</f>
        <v>14056</v>
      </c>
      <c r="B3091" s="4" t="s">
        <v>423</v>
      </c>
      <c r="C3091" s="4" t="s">
        <v>283</v>
      </c>
      <c r="D3091" s="94">
        <v>4094.0</v>
      </c>
    </row>
    <row r="3092">
      <c r="A3092" s="40" t="str">
        <f t="array" ref="A3092">IFNA(index(PlayerValues!A:A,match(IFNA(vlookup(B3092,'Special Names'!A:B,2,FALSE),B3092),PlayerValues!E:E,0)),"N/A")</f>
        <v>N/A</v>
      </c>
      <c r="B3092" s="4" t="s">
        <v>107</v>
      </c>
      <c r="C3092" s="4" t="s">
        <v>325</v>
      </c>
      <c r="D3092" s="94">
        <v>4091.0</v>
      </c>
    </row>
    <row r="3093">
      <c r="A3093" s="40">
        <f t="array" ref="A3093">IFNA(index(PlayerValues!A:A,match(IFNA(vlookup(B3093,'Special Names'!A:B,2,FALSE),B3093),PlayerValues!E:E,0)),"N/A")</f>
        <v>15768</v>
      </c>
      <c r="B3093" s="4" t="s">
        <v>432</v>
      </c>
      <c r="C3093" s="4" t="s">
        <v>287</v>
      </c>
      <c r="D3093" s="94">
        <v>4079.0</v>
      </c>
    </row>
    <row r="3094">
      <c r="A3094" s="40">
        <f t="array" ref="A3094">IFNA(index(PlayerValues!A:A,match(IFNA(vlookup(B3094,'Special Names'!A:B,2,FALSE),B3094),PlayerValues!E:E,0)),"N/A")</f>
        <v>16186</v>
      </c>
      <c r="B3094" s="4" t="s">
        <v>425</v>
      </c>
      <c r="C3094" s="4" t="s">
        <v>287</v>
      </c>
      <c r="D3094" s="94">
        <v>4016.0</v>
      </c>
    </row>
    <row r="3095">
      <c r="A3095" s="40">
        <f t="array" ref="A3095">IFNA(index(PlayerValues!A:A,match(IFNA(vlookup(B3095,'Special Names'!A:B,2,FALSE),B3095),PlayerValues!E:E,0)),"N/A")</f>
        <v>12626</v>
      </c>
      <c r="B3095" s="4" t="s">
        <v>419</v>
      </c>
      <c r="C3095" s="4" t="s">
        <v>278</v>
      </c>
      <c r="D3095" s="94">
        <v>3965.0</v>
      </c>
    </row>
    <row r="3096">
      <c r="A3096" s="40">
        <f t="array" ref="A3096">IFNA(index(PlayerValues!A:A,match(IFNA(vlookup(B3096,'Special Names'!A:B,2,FALSE),B3096),PlayerValues!E:E,0)),"N/A")</f>
        <v>15694</v>
      </c>
      <c r="B3096" s="4" t="s">
        <v>434</v>
      </c>
      <c r="C3096" s="4" t="s">
        <v>283</v>
      </c>
      <c r="D3096" s="94">
        <v>3959.0</v>
      </c>
    </row>
    <row r="3097">
      <c r="A3097" s="40" t="str">
        <f t="array" ref="A3097">IFNA(index(PlayerValues!A:A,match(IFNA(vlookup(B3097,'Special Names'!A:B,2,FALSE),B3097),PlayerValues!E:E,0)),"N/A")</f>
        <v>N/A</v>
      </c>
      <c r="B3097" s="4" t="s">
        <v>81</v>
      </c>
      <c r="C3097" s="4" t="s">
        <v>325</v>
      </c>
      <c r="D3097" s="94">
        <v>3954.0</v>
      </c>
    </row>
    <row r="3098">
      <c r="A3098" s="40">
        <f t="array" ref="A3098">IFNA(index(PlayerValues!A:A,match(IFNA(vlookup(B3098,'Special Names'!A:B,2,FALSE),B3098),PlayerValues!E:E,0)),"N/A")</f>
        <v>14059</v>
      </c>
      <c r="B3098" s="4" t="s">
        <v>435</v>
      </c>
      <c r="C3098" s="4" t="s">
        <v>283</v>
      </c>
      <c r="D3098" s="94">
        <v>3951.0</v>
      </c>
    </row>
    <row r="3099">
      <c r="A3099" s="40">
        <f t="array" ref="A3099">IFNA(index(PlayerValues!A:A,match(IFNA(vlookup(B3099,'Special Names'!A:B,2,FALSE),B3099),PlayerValues!E:E,0)),"N/A")</f>
        <v>17052</v>
      </c>
      <c r="B3099" s="4" t="s">
        <v>417</v>
      </c>
      <c r="C3099" s="4" t="s">
        <v>278</v>
      </c>
      <c r="D3099" s="94">
        <v>3916.0</v>
      </c>
    </row>
    <row r="3100">
      <c r="A3100" s="40" t="str">
        <f t="array" ref="A3100">IFNA(index(PlayerValues!A:A,match(IFNA(vlookup(B3100,'Special Names'!A:B,2,FALSE),B3100),PlayerValues!E:E,0)),"N/A")</f>
        <v>N/A</v>
      </c>
      <c r="B3100" s="4" t="s">
        <v>95</v>
      </c>
      <c r="C3100" s="4" t="s">
        <v>325</v>
      </c>
      <c r="D3100" s="94">
        <v>3909.0</v>
      </c>
    </row>
    <row r="3101">
      <c r="A3101" s="40">
        <f t="array" ref="A3101">IFNA(index(PlayerValues!A:A,match(IFNA(vlookup(B3101,'Special Names'!A:B,2,FALSE),B3101),PlayerValues!E:E,0)),"N/A")</f>
        <v>17502</v>
      </c>
      <c r="B3101" s="4" t="s">
        <v>451</v>
      </c>
      <c r="C3101" s="4" t="s">
        <v>287</v>
      </c>
      <c r="D3101" s="94">
        <v>3827.0</v>
      </c>
    </row>
    <row r="3102">
      <c r="A3102" s="40">
        <f t="array" ref="A3102">IFNA(index(PlayerValues!A:A,match(IFNA(vlookup(B3102,'Special Names'!A:B,2,FALSE),B3102),PlayerValues!E:E,0)),"N/A")</f>
        <v>15789</v>
      </c>
      <c r="B3102" s="4" t="s">
        <v>421</v>
      </c>
      <c r="C3102" s="4" t="s">
        <v>287</v>
      </c>
      <c r="D3102" s="94">
        <v>3742.0</v>
      </c>
    </row>
    <row r="3103">
      <c r="A3103" s="40">
        <f t="array" ref="A3103">IFNA(index(PlayerValues!A:A,match(IFNA(vlookup(B3103,'Special Names'!A:B,2,FALSE),B3103),PlayerValues!E:E,0)),"N/A")</f>
        <v>9431</v>
      </c>
      <c r="B3103" s="4" t="s">
        <v>428</v>
      </c>
      <c r="C3103" s="4" t="s">
        <v>283</v>
      </c>
      <c r="D3103" s="94">
        <v>3737.0</v>
      </c>
    </row>
    <row r="3104">
      <c r="A3104" s="40">
        <f t="array" ref="A3104">IFNA(index(PlayerValues!A:A,match(IFNA(vlookup(B3104,'Special Names'!A:B,2,FALSE),B3104),PlayerValues!E:E,0)),"N/A")</f>
        <v>13635</v>
      </c>
      <c r="B3104" s="4" t="s">
        <v>424</v>
      </c>
      <c r="C3104" s="4" t="s">
        <v>287</v>
      </c>
      <c r="D3104" s="94">
        <v>3716.0</v>
      </c>
    </row>
    <row r="3105">
      <c r="A3105" s="40">
        <f t="array" ref="A3105">IFNA(index(PlayerValues!A:A,match(IFNA(vlookup(B3105,'Special Names'!A:B,2,FALSE),B3105),PlayerValues!E:E,0)),"N/A")</f>
        <v>17075</v>
      </c>
      <c r="B3105" s="4" t="s">
        <v>429</v>
      </c>
      <c r="C3105" s="4" t="s">
        <v>287</v>
      </c>
      <c r="D3105" s="94">
        <v>3710.0</v>
      </c>
    </row>
    <row r="3106">
      <c r="A3106" s="40">
        <f t="array" ref="A3106">IFNA(index(PlayerValues!A:A,match(IFNA(vlookup(B3106,'Special Names'!A:B,2,FALSE),B3106),PlayerValues!E:E,0)),"N/A")</f>
        <v>17544</v>
      </c>
      <c r="B3106" s="4" t="s">
        <v>470</v>
      </c>
      <c r="C3106" s="4" t="s">
        <v>298</v>
      </c>
      <c r="D3106" s="94">
        <v>4183.0</v>
      </c>
    </row>
    <row r="3107">
      <c r="A3107" s="40">
        <f t="array" ref="A3107">IFNA(index(PlayerValues!A:A,match(IFNA(vlookup(B3107,'Special Names'!A:B,2,FALSE),B3107),PlayerValues!E:E,0)),"N/A")</f>
        <v>17066</v>
      </c>
      <c r="B3107" s="4" t="s">
        <v>446</v>
      </c>
      <c r="C3107" s="4" t="s">
        <v>278</v>
      </c>
      <c r="D3107" s="94">
        <v>3669.0</v>
      </c>
    </row>
    <row r="3108">
      <c r="A3108" s="40">
        <f t="array" ref="A3108">IFNA(index(PlayerValues!A:A,match(IFNA(vlookup(B3108,'Special Names'!A:B,2,FALSE),B3108),PlayerValues!E:E,0)),"N/A")</f>
        <v>17463</v>
      </c>
      <c r="B3108" s="4" t="s">
        <v>433</v>
      </c>
      <c r="C3108" s="4" t="s">
        <v>283</v>
      </c>
      <c r="D3108" s="94">
        <v>3669.0</v>
      </c>
    </row>
    <row r="3109">
      <c r="A3109" s="40">
        <f t="array" ref="A3109">IFNA(index(PlayerValues!A:A,match(IFNA(vlookup(B3109,'Special Names'!A:B,2,FALSE),B3109),PlayerValues!E:E,0)),"N/A")</f>
        <v>16206</v>
      </c>
      <c r="B3109" s="4" t="s">
        <v>431</v>
      </c>
      <c r="C3109" s="4" t="s">
        <v>287</v>
      </c>
      <c r="D3109" s="94">
        <v>3646.0</v>
      </c>
    </row>
    <row r="3110">
      <c r="A3110" s="40">
        <f t="array" ref="A3110">IFNA(index(PlayerValues!A:A,match(IFNA(vlookup(B3110,'Special Names'!A:B,2,FALSE),B3110),PlayerValues!E:E,0)),"N/A")</f>
        <v>17099</v>
      </c>
      <c r="B3110" s="4" t="s">
        <v>474</v>
      </c>
      <c r="C3110" s="4" t="s">
        <v>298</v>
      </c>
      <c r="D3110" s="94">
        <v>4100.0</v>
      </c>
    </row>
    <row r="3111">
      <c r="A3111" s="40">
        <f t="array" ref="A3111">IFNA(index(PlayerValues!A:A,match(IFNA(vlookup(B3111,'Special Names'!A:B,2,FALSE),B3111),PlayerValues!E:E,0)),"N/A")</f>
        <v>16187</v>
      </c>
      <c r="B3111" s="4" t="s">
        <v>441</v>
      </c>
      <c r="C3111" s="4" t="s">
        <v>287</v>
      </c>
      <c r="D3111" s="94">
        <v>3598.0</v>
      </c>
    </row>
    <row r="3112">
      <c r="A3112" s="40">
        <f t="array" ref="A3112">IFNA(index(PlayerValues!A:A,match(IFNA(vlookup(B3112,'Special Names'!A:B,2,FALSE),B3112),PlayerValues!E:E,0)),"N/A")</f>
        <v>15757</v>
      </c>
      <c r="B3112" s="4" t="s">
        <v>449</v>
      </c>
      <c r="C3112" s="4" t="s">
        <v>287</v>
      </c>
      <c r="D3112" s="94">
        <v>3594.0</v>
      </c>
    </row>
    <row r="3113">
      <c r="A3113" s="40">
        <f t="array" ref="A3113">IFNA(index(PlayerValues!A:A,match(IFNA(vlookup(B3113,'Special Names'!A:B,2,FALSE),B3113),PlayerValues!E:E,0)),"N/A")</f>
        <v>14073</v>
      </c>
      <c r="B3113" s="4" t="s">
        <v>464</v>
      </c>
      <c r="C3113" s="4" t="s">
        <v>278</v>
      </c>
      <c r="D3113" s="94">
        <v>3553.0</v>
      </c>
    </row>
    <row r="3114">
      <c r="A3114" s="40">
        <f t="array" ref="A3114">IFNA(index(PlayerValues!A:A,match(IFNA(vlookup(B3114,'Special Names'!A:B,2,FALSE),B3114),PlayerValues!E:E,0)),"N/A")</f>
        <v>14797</v>
      </c>
      <c r="B3114" s="4" t="s">
        <v>420</v>
      </c>
      <c r="C3114" s="4" t="s">
        <v>278</v>
      </c>
      <c r="D3114" s="94">
        <v>3553.0</v>
      </c>
    </row>
    <row r="3115">
      <c r="A3115" s="40">
        <f t="array" ref="A3115">IFNA(index(PlayerValues!A:A,match(IFNA(vlookup(B3115,'Special Names'!A:B,2,FALSE),B3115),PlayerValues!E:E,0)),"N/A")</f>
        <v>16192</v>
      </c>
      <c r="B3115" s="4" t="s">
        <v>412</v>
      </c>
      <c r="C3115" s="4" t="s">
        <v>287</v>
      </c>
      <c r="D3115" s="94">
        <v>3550.0</v>
      </c>
    </row>
    <row r="3116">
      <c r="A3116" s="40">
        <f t="array" ref="A3116">IFNA(index(PlayerValues!A:A,match(IFNA(vlookup(B3116,'Special Names'!A:B,2,FALSE),B3116),PlayerValues!E:E,0)),"N/A")</f>
        <v>14102</v>
      </c>
      <c r="B3116" s="4" t="s">
        <v>444</v>
      </c>
      <c r="C3116" s="4" t="s">
        <v>287</v>
      </c>
      <c r="D3116" s="94">
        <v>3523.0</v>
      </c>
    </row>
    <row r="3117">
      <c r="A3117" s="40" t="str">
        <f t="array" ref="A3117">IFNA(index(PlayerValues!A:A,match(IFNA(vlookup(B3117,'Special Names'!A:B,2,FALSE),B3117),PlayerValues!E:E,0)),"N/A")</f>
        <v>N/A</v>
      </c>
      <c r="B3117" s="4" t="s">
        <v>96</v>
      </c>
      <c r="C3117" s="4" t="s">
        <v>325</v>
      </c>
      <c r="D3117" s="94">
        <v>3488.0</v>
      </c>
    </row>
    <row r="3118">
      <c r="A3118" s="40">
        <f t="array" ref="A3118">IFNA(index(PlayerValues!A:A,match(IFNA(vlookup(B3118,'Special Names'!A:B,2,FALSE),B3118),PlayerValues!E:E,0)),"N/A")</f>
        <v>14109</v>
      </c>
      <c r="B3118" s="4" t="s">
        <v>437</v>
      </c>
      <c r="C3118" s="4" t="s">
        <v>287</v>
      </c>
      <c r="D3118" s="94">
        <v>3461.0</v>
      </c>
    </row>
    <row r="3119">
      <c r="A3119" s="40">
        <f t="array" ref="A3119">IFNA(index(PlayerValues!A:A,match(IFNA(vlookup(B3119,'Special Names'!A:B,2,FALSE),B3119),PlayerValues!E:E,0)),"N/A")</f>
        <v>16184</v>
      </c>
      <c r="B3119" s="4" t="s">
        <v>445</v>
      </c>
      <c r="C3119" s="4" t="s">
        <v>287</v>
      </c>
      <c r="D3119" s="94">
        <v>3459.0</v>
      </c>
    </row>
    <row r="3120">
      <c r="A3120" s="40">
        <f t="array" ref="A3120">IFNA(index(PlayerValues!A:A,match(IFNA(vlookup(B3120,'Special Names'!A:B,2,FALSE),B3120),PlayerValues!E:E,0)),"N/A")</f>
        <v>16622</v>
      </c>
      <c r="B3120" s="4" t="s">
        <v>517</v>
      </c>
      <c r="C3120" s="4" t="s">
        <v>287</v>
      </c>
      <c r="D3120" s="94">
        <v>3454.0</v>
      </c>
    </row>
    <row r="3121">
      <c r="A3121" s="40">
        <f t="array" ref="A3121">IFNA(index(PlayerValues!A:A,match(IFNA(vlookup(B3121,'Special Names'!A:B,2,FALSE),B3121),PlayerValues!E:E,0)),"N/A")</f>
        <v>17068</v>
      </c>
      <c r="B3121" s="4" t="s">
        <v>450</v>
      </c>
      <c r="C3121" s="4" t="s">
        <v>278</v>
      </c>
      <c r="D3121" s="94">
        <v>3436.0</v>
      </c>
    </row>
    <row r="3122">
      <c r="A3122" s="40">
        <f t="array" ref="A3122">IFNA(index(PlayerValues!A:A,match(IFNA(vlookup(B3122,'Special Names'!A:B,2,FALSE),B3122),PlayerValues!E:E,0)),"N/A")</f>
        <v>17500</v>
      </c>
      <c r="B3122" s="4" t="s">
        <v>430</v>
      </c>
      <c r="C3122" s="4" t="s">
        <v>287</v>
      </c>
      <c r="D3122" s="94">
        <v>3435.0</v>
      </c>
    </row>
    <row r="3123">
      <c r="A3123" s="40">
        <f t="array" ref="A3123">IFNA(index(PlayerValues!A:A,match(IFNA(vlookup(B3123,'Special Names'!A:B,2,FALSE),B3123),PlayerValues!E:E,0)),"N/A")</f>
        <v>15798</v>
      </c>
      <c r="B3123" s="4" t="s">
        <v>443</v>
      </c>
      <c r="C3123" s="4" t="s">
        <v>298</v>
      </c>
      <c r="D3123" s="94">
        <v>3830.0</v>
      </c>
    </row>
    <row r="3124">
      <c r="A3124" s="40">
        <f t="array" ref="A3124">IFNA(index(PlayerValues!A:A,match(IFNA(vlookup(B3124,'Special Names'!A:B,2,FALSE),B3124),PlayerValues!E:E,0)),"N/A")</f>
        <v>16169</v>
      </c>
      <c r="B3124" s="4" t="s">
        <v>457</v>
      </c>
      <c r="C3124" s="4" t="s">
        <v>278</v>
      </c>
      <c r="D3124" s="94">
        <v>3375.0</v>
      </c>
    </row>
    <row r="3125">
      <c r="A3125" s="40">
        <f t="array" ref="A3125">IFNA(index(PlayerValues!A:A,match(IFNA(vlookup(B3125,'Special Names'!A:B,2,FALSE),B3125),PlayerValues!E:E,0)),"N/A")</f>
        <v>17083</v>
      </c>
      <c r="B3125" s="4" t="s">
        <v>479</v>
      </c>
      <c r="C3125" s="4" t="s">
        <v>287</v>
      </c>
      <c r="D3125" s="94">
        <v>3373.0</v>
      </c>
    </row>
    <row r="3126">
      <c r="A3126" s="40">
        <f t="array" ref="A3126">IFNA(index(PlayerValues!A:A,match(IFNA(vlookup(B3126,'Special Names'!A:B,2,FALSE),B3126),PlayerValues!E:E,0)),"N/A")</f>
        <v>14071</v>
      </c>
      <c r="B3126" s="4" t="s">
        <v>440</v>
      </c>
      <c r="C3126" s="4" t="s">
        <v>278</v>
      </c>
      <c r="D3126" s="94">
        <v>3370.0</v>
      </c>
    </row>
    <row r="3127">
      <c r="A3127" s="40">
        <f t="array" ref="A3127">IFNA(index(PlayerValues!A:A,match(IFNA(vlookup(B3127,'Special Names'!A:B,2,FALSE),B3127),PlayerValues!E:E,0)),"N/A")</f>
        <v>17074</v>
      </c>
      <c r="B3127" s="4" t="s">
        <v>475</v>
      </c>
      <c r="C3127" s="4" t="s">
        <v>287</v>
      </c>
      <c r="D3127" s="94">
        <v>3368.0</v>
      </c>
    </row>
    <row r="3128">
      <c r="A3128" s="40">
        <f t="array" ref="A3128">IFNA(index(PlayerValues!A:A,match(IFNA(vlookup(B3128,'Special Names'!A:B,2,FALSE),B3128),PlayerValues!E:E,0)),"N/A")</f>
        <v>16620</v>
      </c>
      <c r="B3128" s="4" t="s">
        <v>467</v>
      </c>
      <c r="C3128" s="4" t="s">
        <v>287</v>
      </c>
      <c r="D3128" s="94">
        <v>3363.0</v>
      </c>
    </row>
    <row r="3129">
      <c r="A3129" s="40">
        <f t="array" ref="A3129">IFNA(index(PlayerValues!A:A,match(IFNA(vlookup(B3129,'Special Names'!A:B,2,FALSE),B3129),PlayerValues!E:E,0)),"N/A")</f>
        <v>14842</v>
      </c>
      <c r="B3129" s="4" t="s">
        <v>456</v>
      </c>
      <c r="C3129" s="4" t="s">
        <v>287</v>
      </c>
      <c r="D3129" s="94">
        <v>3361.0</v>
      </c>
    </row>
    <row r="3130">
      <c r="A3130" s="40">
        <f t="array" ref="A3130">IFNA(index(PlayerValues!A:A,match(IFNA(vlookup(B3130,'Special Names'!A:B,2,FALSE),B3130),PlayerValues!E:E,0)),"N/A")</f>
        <v>16188</v>
      </c>
      <c r="B3130" s="4" t="s">
        <v>439</v>
      </c>
      <c r="C3130" s="4" t="s">
        <v>287</v>
      </c>
      <c r="D3130" s="94">
        <v>3352.0</v>
      </c>
    </row>
    <row r="3131">
      <c r="A3131" s="40">
        <f t="array" ref="A3131">IFNA(index(PlayerValues!A:A,match(IFNA(vlookup(B3131,'Special Names'!A:B,2,FALSE),B3131),PlayerValues!E:E,0)),"N/A")</f>
        <v>15261</v>
      </c>
      <c r="B3131" s="4" t="s">
        <v>466</v>
      </c>
      <c r="C3131" s="4" t="s">
        <v>278</v>
      </c>
      <c r="D3131" s="94">
        <v>3326.0</v>
      </c>
    </row>
    <row r="3132">
      <c r="A3132" s="40" t="str">
        <f t="array" ref="A3132">IFNA(index(PlayerValues!A:A,match(IFNA(vlookup(B3132,'Special Names'!A:B,2,FALSE),B3132),PlayerValues!E:E,0)),"N/A")</f>
        <v>N/A</v>
      </c>
      <c r="B3132" s="4" t="s">
        <v>82</v>
      </c>
      <c r="C3132" s="4" t="s">
        <v>325</v>
      </c>
      <c r="D3132" s="94">
        <v>3295.0</v>
      </c>
    </row>
    <row r="3133">
      <c r="A3133" s="40">
        <f t="array" ref="A3133">IFNA(index(PlayerValues!A:A,match(IFNA(vlookup(B3133,'Special Names'!A:B,2,FALSE),B3133),PlayerValues!E:E,0)),"N/A")</f>
        <v>16593</v>
      </c>
      <c r="B3133" s="4" t="s">
        <v>442</v>
      </c>
      <c r="C3133" s="4" t="s">
        <v>278</v>
      </c>
      <c r="D3133" s="94">
        <v>3285.0</v>
      </c>
    </row>
    <row r="3134">
      <c r="A3134" s="40">
        <f t="array" ref="A3134">IFNA(index(PlayerValues!A:A,match(IFNA(vlookup(B3134,'Special Names'!A:B,2,FALSE),B3134),PlayerValues!E:E,0)),"N/A")</f>
        <v>11671</v>
      </c>
      <c r="B3134" s="4" t="s">
        <v>463</v>
      </c>
      <c r="C3134" s="4" t="s">
        <v>287</v>
      </c>
      <c r="D3134" s="94">
        <v>3279.0</v>
      </c>
    </row>
    <row r="3135">
      <c r="A3135" s="40">
        <f t="array" ref="A3135">IFNA(index(PlayerValues!A:A,match(IFNA(vlookup(B3135,'Special Names'!A:B,2,FALSE),B3135),PlayerValues!E:E,0)),"N/A")</f>
        <v>11675</v>
      </c>
      <c r="B3135" s="4" t="s">
        <v>438</v>
      </c>
      <c r="C3135" s="4" t="s">
        <v>287</v>
      </c>
      <c r="D3135" s="94">
        <v>3279.0</v>
      </c>
    </row>
    <row r="3136">
      <c r="A3136" s="40">
        <f t="array" ref="A3136">IFNA(index(PlayerValues!A:A,match(IFNA(vlookup(B3136,'Special Names'!A:B,2,FALSE),B3136),PlayerValues!E:E,0)),"N/A")</f>
        <v>16213</v>
      </c>
      <c r="B3136" s="4" t="s">
        <v>458</v>
      </c>
      <c r="C3136" s="4" t="s">
        <v>298</v>
      </c>
      <c r="D3136" s="94">
        <v>3683.0</v>
      </c>
    </row>
    <row r="3137">
      <c r="A3137" s="40">
        <f t="array" ref="A3137">IFNA(index(PlayerValues!A:A,match(IFNA(vlookup(B3137,'Special Names'!A:B,2,FALSE),B3137),PlayerValues!E:E,0)),"N/A")</f>
        <v>13299</v>
      </c>
      <c r="B3137" s="4" t="s">
        <v>448</v>
      </c>
      <c r="C3137" s="4" t="s">
        <v>298</v>
      </c>
      <c r="D3137" s="94">
        <v>3674.0</v>
      </c>
    </row>
    <row r="3138">
      <c r="A3138" s="40">
        <f t="array" ref="A3138">IFNA(index(PlayerValues!A:A,match(IFNA(vlookup(B3138,'Special Names'!A:B,2,FALSE),B3138),PlayerValues!E:E,0)),"N/A")</f>
        <v>15779</v>
      </c>
      <c r="B3138" s="4" t="s">
        <v>461</v>
      </c>
      <c r="C3138" s="4" t="s">
        <v>287</v>
      </c>
      <c r="D3138" s="94">
        <v>3221.0</v>
      </c>
    </row>
    <row r="3139">
      <c r="A3139" s="40">
        <f t="array" ref="A3139">IFNA(index(PlayerValues!A:A,match(IFNA(vlookup(B3139,'Special Names'!A:B,2,FALSE),B3139),PlayerValues!E:E,0)),"N/A")</f>
        <v>15799</v>
      </c>
      <c r="B3139" s="4" t="s">
        <v>468</v>
      </c>
      <c r="C3139" s="4" t="s">
        <v>298</v>
      </c>
      <c r="D3139" s="94">
        <v>3658.0</v>
      </c>
    </row>
    <row r="3140">
      <c r="A3140" s="40">
        <f t="array" ref="A3140">IFNA(index(PlayerValues!A:A,match(IFNA(vlookup(B3140,'Special Names'!A:B,2,FALSE),B3140),PlayerValues!E:E,0)),"N/A")</f>
        <v>16597</v>
      </c>
      <c r="B3140" s="4" t="s">
        <v>427</v>
      </c>
      <c r="C3140" s="4" t="s">
        <v>278</v>
      </c>
      <c r="D3140" s="94">
        <v>3200.0</v>
      </c>
    </row>
    <row r="3141">
      <c r="A3141" s="40">
        <f t="array" ref="A3141">IFNA(index(PlayerValues!A:A,match(IFNA(vlookup(B3141,'Special Names'!A:B,2,FALSE),B3141),PlayerValues!E:E,0)),"N/A")</f>
        <v>14823</v>
      </c>
      <c r="B3141" s="4" t="s">
        <v>459</v>
      </c>
      <c r="C3141" s="4" t="s">
        <v>278</v>
      </c>
      <c r="D3141" s="94">
        <v>3193.0</v>
      </c>
    </row>
    <row r="3142">
      <c r="A3142" s="40" t="str">
        <f t="array" ref="A3142">IFNA(index(PlayerValues!A:A,match(IFNA(vlookup(B3142,'Special Names'!A:B,2,FALSE),B3142),PlayerValues!E:E,0)),"N/A")</f>
        <v>N/A</v>
      </c>
      <c r="B3142" s="4" t="s">
        <v>108</v>
      </c>
      <c r="C3142" s="4" t="s">
        <v>325</v>
      </c>
      <c r="D3142" s="94">
        <v>3178.0</v>
      </c>
    </row>
    <row r="3143">
      <c r="A3143" s="40">
        <f t="array" ref="A3143">IFNA(index(PlayerValues!A:A,match(IFNA(vlookup(B3143,'Special Names'!A:B,2,FALSE),B3143),PlayerValues!E:E,0)),"N/A")</f>
        <v>17477</v>
      </c>
      <c r="B3143" s="4" t="s">
        <v>452</v>
      </c>
      <c r="C3143" s="4" t="s">
        <v>278</v>
      </c>
      <c r="D3143" s="94">
        <v>3161.0</v>
      </c>
    </row>
    <row r="3144">
      <c r="A3144" s="40">
        <f t="array" ref="A3144">IFNA(index(PlayerValues!A:A,match(IFNA(vlookup(B3144,'Special Names'!A:B,2,FALSE),B3144),PlayerValues!E:E,0)),"N/A")</f>
        <v>15742</v>
      </c>
      <c r="B3144" s="4" t="s">
        <v>447</v>
      </c>
      <c r="C3144" s="4" t="s">
        <v>278</v>
      </c>
      <c r="D3144" s="94">
        <v>3159.0</v>
      </c>
    </row>
    <row r="3145">
      <c r="A3145" s="40">
        <f t="array" ref="A3145">IFNA(index(PlayerValues!A:A,match(IFNA(vlookup(B3145,'Special Names'!A:B,2,FALSE),B3145),PlayerValues!E:E,0)),"N/A")</f>
        <v>16583</v>
      </c>
      <c r="B3145" s="4" t="s">
        <v>493</v>
      </c>
      <c r="C3145" s="4" t="s">
        <v>283</v>
      </c>
      <c r="D3145" s="94">
        <v>3157.0</v>
      </c>
    </row>
    <row r="3146">
      <c r="A3146" s="40" t="str">
        <f t="array" ref="A3146">IFNA(index(PlayerValues!A:A,match(IFNA(vlookup(B3146,'Special Names'!A:B,2,FALSE),B3146),PlayerValues!E:E,0)),"N/A")</f>
        <v>N/A</v>
      </c>
      <c r="B3146" s="4" t="s">
        <v>97</v>
      </c>
      <c r="C3146" s="4" t="s">
        <v>325</v>
      </c>
      <c r="D3146" s="94">
        <v>3155.0</v>
      </c>
    </row>
    <row r="3147">
      <c r="A3147" s="40">
        <f t="array" ref="A3147">IFNA(index(PlayerValues!A:A,match(IFNA(vlookup(B3147,'Special Names'!A:B,2,FALSE),B3147),PlayerValues!E:E,0)),"N/A")</f>
        <v>13630</v>
      </c>
      <c r="B3147" s="4" t="s">
        <v>465</v>
      </c>
      <c r="C3147" s="4" t="s">
        <v>287</v>
      </c>
      <c r="D3147" s="94">
        <v>3152.0</v>
      </c>
    </row>
    <row r="3148">
      <c r="A3148" s="40">
        <f t="array" ref="A3148">IFNA(index(PlayerValues!A:A,match(IFNA(vlookup(B3148,'Special Names'!A:B,2,FALSE),B3148),PlayerValues!E:E,0)),"N/A")</f>
        <v>14127</v>
      </c>
      <c r="B3148" s="4" t="s">
        <v>486</v>
      </c>
      <c r="C3148" s="4" t="s">
        <v>287</v>
      </c>
      <c r="D3148" s="94">
        <v>3139.0</v>
      </c>
    </row>
    <row r="3149">
      <c r="A3149" s="40">
        <f t="array" ref="A3149">IFNA(index(PlayerValues!A:A,match(IFNA(vlookup(B3149,'Special Names'!A:B,2,FALSE),B3149),PlayerValues!E:E,0)),"N/A")</f>
        <v>16809</v>
      </c>
      <c r="B3149" s="4" t="s">
        <v>455</v>
      </c>
      <c r="C3149" s="4" t="s">
        <v>287</v>
      </c>
      <c r="D3149" s="94">
        <v>3068.0</v>
      </c>
    </row>
    <row r="3150">
      <c r="A3150" s="40">
        <f t="array" ref="A3150">IFNA(index(PlayerValues!A:A,match(IFNA(vlookup(B3150,'Special Names'!A:B,2,FALSE),B3150),PlayerValues!E:E,0)),"N/A")</f>
        <v>16269</v>
      </c>
      <c r="B3150" s="4" t="s">
        <v>481</v>
      </c>
      <c r="C3150" s="4" t="s">
        <v>298</v>
      </c>
      <c r="D3150" s="94">
        <v>3435.0</v>
      </c>
    </row>
    <row r="3151">
      <c r="A3151" s="40">
        <f t="array" ref="A3151">IFNA(index(PlayerValues!A:A,match(IFNA(vlookup(B3151,'Special Names'!A:B,2,FALSE),B3151),PlayerValues!E:E,0)),"N/A")</f>
        <v>17506</v>
      </c>
      <c r="B3151" s="4" t="s">
        <v>471</v>
      </c>
      <c r="C3151" s="4" t="s">
        <v>287</v>
      </c>
      <c r="D3151" s="94">
        <v>2999.0</v>
      </c>
    </row>
    <row r="3152">
      <c r="A3152" s="40">
        <f t="array" ref="A3152">IFNA(index(PlayerValues!A:A,match(IFNA(vlookup(B3152,'Special Names'!A:B,2,FALSE),B3152),PlayerValues!E:E,0)),"N/A")</f>
        <v>15761</v>
      </c>
      <c r="B3152" s="4" t="s">
        <v>491</v>
      </c>
      <c r="C3152" s="4" t="s">
        <v>287</v>
      </c>
      <c r="D3152" s="94">
        <v>2990.0</v>
      </c>
    </row>
    <row r="3153">
      <c r="A3153" s="40" t="str">
        <f t="array" ref="A3153">IFNA(index(PlayerValues!A:A,match(IFNA(vlookup(B3153,'Special Names'!A:B,2,FALSE),B3153),PlayerValues!E:E,0)),"N/A")</f>
        <v>N/A</v>
      </c>
      <c r="B3153" s="4" t="s">
        <v>109</v>
      </c>
      <c r="C3153" s="4" t="s">
        <v>325</v>
      </c>
      <c r="D3153" s="94">
        <v>2979.0</v>
      </c>
    </row>
    <row r="3154">
      <c r="A3154" s="40">
        <f t="array" ref="A3154">IFNA(index(PlayerValues!A:A,match(IFNA(vlookup(B3154,'Special Names'!A:B,2,FALSE),B3154),PlayerValues!E:E,0)),"N/A")</f>
        <v>14800</v>
      </c>
      <c r="B3154" s="4" t="s">
        <v>472</v>
      </c>
      <c r="C3154" s="4" t="s">
        <v>278</v>
      </c>
      <c r="D3154" s="94">
        <v>2966.0</v>
      </c>
    </row>
    <row r="3155">
      <c r="A3155" s="40">
        <f t="array" ref="A3155">IFNA(index(PlayerValues!A:A,match(IFNA(vlookup(B3155,'Special Names'!A:B,2,FALSE),B3155),PlayerValues!E:E,0)),"N/A")</f>
        <v>17512</v>
      </c>
      <c r="B3155" s="4" t="s">
        <v>483</v>
      </c>
      <c r="C3155" s="4" t="s">
        <v>287</v>
      </c>
      <c r="D3155" s="94">
        <v>2966.0</v>
      </c>
    </row>
    <row r="3156">
      <c r="A3156" s="40">
        <f t="array" ref="A3156">IFNA(index(PlayerValues!A:A,match(IFNA(vlookup(B3156,'Special Names'!A:B,2,FALSE),B3156),PlayerValues!E:E,0)),"N/A")</f>
        <v>17503</v>
      </c>
      <c r="B3156" s="4" t="s">
        <v>480</v>
      </c>
      <c r="C3156" s="4" t="s">
        <v>287</v>
      </c>
      <c r="D3156" s="94">
        <v>2964.0</v>
      </c>
    </row>
    <row r="3157">
      <c r="A3157" s="40">
        <f t="array" ref="A3157">IFNA(index(PlayerValues!A:A,match(IFNA(vlookup(B3157,'Special Names'!A:B,2,FALSE),B3157),PlayerValues!E:E,0)),"N/A")</f>
        <v>13163</v>
      </c>
      <c r="B3157" s="4" t="s">
        <v>473</v>
      </c>
      <c r="C3157" s="4" t="s">
        <v>287</v>
      </c>
      <c r="D3157" s="94">
        <v>2962.0</v>
      </c>
    </row>
    <row r="3158">
      <c r="A3158" s="40">
        <f t="array" ref="A3158">IFNA(index(PlayerValues!A:A,match(IFNA(vlookup(B3158,'Special Names'!A:B,2,FALSE),B3158),PlayerValues!E:E,0)),"N/A")</f>
        <v>16628</v>
      </c>
      <c r="B3158" s="4" t="s">
        <v>490</v>
      </c>
      <c r="C3158" s="4" t="s">
        <v>287</v>
      </c>
      <c r="D3158" s="94">
        <v>2957.0</v>
      </c>
    </row>
    <row r="3159">
      <c r="A3159" s="40" t="str">
        <f t="array" ref="A3159">IFNA(index(PlayerValues!A:A,match(IFNA(vlookup(B3159,'Special Names'!A:B,2,FALSE),B3159),PlayerValues!E:E,0)),"N/A")</f>
        <v>N/A</v>
      </c>
      <c r="B3159" s="4" t="s">
        <v>84</v>
      </c>
      <c r="C3159" s="4" t="s">
        <v>325</v>
      </c>
      <c r="D3159" s="94">
        <v>2953.0</v>
      </c>
    </row>
    <row r="3160">
      <c r="A3160" s="40">
        <f t="array" ref="A3160">IFNA(index(PlayerValues!A:A,match(IFNA(vlookup(B3160,'Special Names'!A:B,2,FALSE),B3160),PlayerValues!E:E,0)),"N/A")</f>
        <v>17476</v>
      </c>
      <c r="B3160" s="4" t="s">
        <v>494</v>
      </c>
      <c r="C3160" s="4" t="s">
        <v>278</v>
      </c>
      <c r="D3160" s="94">
        <v>2944.0</v>
      </c>
    </row>
    <row r="3161">
      <c r="A3161" s="40">
        <f t="array" ref="A3161">IFNA(index(PlayerValues!A:A,match(IFNA(vlookup(B3161,'Special Names'!A:B,2,FALSE),B3161),PlayerValues!E:E,0)),"N/A")</f>
        <v>17256</v>
      </c>
      <c r="B3161" s="4" t="s">
        <v>462</v>
      </c>
      <c r="C3161" s="4" t="s">
        <v>278</v>
      </c>
      <c r="D3161" s="94">
        <v>2938.0</v>
      </c>
    </row>
    <row r="3162">
      <c r="A3162" s="40">
        <f t="array" ref="A3162">IFNA(index(PlayerValues!A:A,match(IFNA(vlookup(B3162,'Special Names'!A:B,2,FALSE),B3162),PlayerValues!E:E,0)),"N/A")</f>
        <v>15259</v>
      </c>
      <c r="B3162" s="4" t="s">
        <v>453</v>
      </c>
      <c r="C3162" s="4" t="s">
        <v>278</v>
      </c>
      <c r="D3162" s="94">
        <v>2917.0</v>
      </c>
    </row>
    <row r="3163">
      <c r="A3163" s="40">
        <f t="array" ref="A3163">IFNA(index(PlayerValues!A:A,match(IFNA(vlookup(B3163,'Special Names'!A:B,2,FALSE),B3163),PlayerValues!E:E,0)),"N/A")</f>
        <v>16080</v>
      </c>
      <c r="B3163" s="4" t="s">
        <v>499</v>
      </c>
      <c r="C3163" s="4" t="s">
        <v>287</v>
      </c>
      <c r="D3163" s="94">
        <v>2887.0</v>
      </c>
    </row>
    <row r="3164">
      <c r="A3164" s="40">
        <f t="array" ref="A3164">IFNA(index(PlayerValues!A:A,match(IFNA(vlookup(B3164,'Special Names'!A:B,2,FALSE),B3164),PlayerValues!E:E,0)),"N/A")</f>
        <v>16584</v>
      </c>
      <c r="B3164" s="4" t="s">
        <v>569</v>
      </c>
      <c r="C3164" s="4" t="s">
        <v>283</v>
      </c>
      <c r="D3164" s="94">
        <v>2853.0</v>
      </c>
    </row>
    <row r="3165">
      <c r="A3165" s="40" t="str">
        <f t="array" ref="A3165">IFNA(index(PlayerValues!A:A,match(IFNA(vlookup(B3165,'Special Names'!A:B,2,FALSE),B3165),PlayerValues!E:E,0)),"N/A")</f>
        <v>N/A</v>
      </c>
      <c r="B3165" s="4" t="s">
        <v>85</v>
      </c>
      <c r="C3165" s="4" t="s">
        <v>325</v>
      </c>
      <c r="D3165" s="94">
        <v>2833.0</v>
      </c>
    </row>
    <row r="3166">
      <c r="A3166" s="40">
        <f t="array" ref="A3166">IFNA(index(PlayerValues!A:A,match(IFNA(vlookup(B3166,'Special Names'!A:B,2,FALSE),B3166),PlayerValues!E:E,0)),"N/A")</f>
        <v>15255</v>
      </c>
      <c r="B3166" s="4" t="s">
        <v>477</v>
      </c>
      <c r="C3166" s="4" t="s">
        <v>278</v>
      </c>
      <c r="D3166" s="94">
        <v>2829.0</v>
      </c>
    </row>
    <row r="3167">
      <c r="A3167" s="40" t="str">
        <f t="array" ref="A3167">IFNA(index(PlayerValues!A:A,match(IFNA(vlookup(B3167,'Special Names'!A:B,2,FALSE),B3167),PlayerValues!E:E,0)),"N/A")</f>
        <v>N/A</v>
      </c>
      <c r="B3167" s="4" t="s">
        <v>110</v>
      </c>
      <c r="C3167" s="4" t="s">
        <v>325</v>
      </c>
      <c r="D3167" s="94">
        <v>2819.0</v>
      </c>
    </row>
    <row r="3168">
      <c r="A3168" s="40">
        <f t="array" ref="A3168">IFNA(index(PlayerValues!A:A,match(IFNA(vlookup(B3168,'Special Names'!A:B,2,FALSE),B3168),PlayerValues!E:E,0)),"N/A")</f>
        <v>17157</v>
      </c>
      <c r="B3168" s="4" t="s">
        <v>524</v>
      </c>
      <c r="C3168" s="4" t="s">
        <v>287</v>
      </c>
      <c r="D3168" s="94">
        <v>2810.0</v>
      </c>
    </row>
    <row r="3169">
      <c r="A3169" s="40">
        <f t="array" ref="A3169">IFNA(index(PlayerValues!A:A,match(IFNA(vlookup(B3169,'Special Names'!A:B,2,FALSE),B3169),PlayerValues!E:E,0)),"N/A")</f>
        <v>17053</v>
      </c>
      <c r="B3169" s="4" t="s">
        <v>484</v>
      </c>
      <c r="C3169" s="4" t="s">
        <v>278</v>
      </c>
      <c r="D3169" s="94">
        <v>2806.0</v>
      </c>
    </row>
    <row r="3170">
      <c r="A3170" s="40">
        <f t="array" ref="A3170">IFNA(index(PlayerValues!A:A,match(IFNA(vlookup(B3170,'Special Names'!A:B,2,FALSE),B3170),PlayerValues!E:E,0)),"N/A")</f>
        <v>14085</v>
      </c>
      <c r="B3170" s="4" t="s">
        <v>489</v>
      </c>
      <c r="C3170" s="4" t="s">
        <v>278</v>
      </c>
      <c r="D3170" s="94">
        <v>2797.0</v>
      </c>
    </row>
    <row r="3171">
      <c r="A3171" s="40">
        <f t="array" ref="A3171">IFNA(index(PlayerValues!A:A,match(IFNA(vlookup(B3171,'Special Names'!A:B,2,FALSE),B3171),PlayerValues!E:E,0)),"N/A")</f>
        <v>14138</v>
      </c>
      <c r="B3171" s="4" t="s">
        <v>531</v>
      </c>
      <c r="C3171" s="4" t="s">
        <v>298</v>
      </c>
      <c r="D3171" s="94">
        <v>3210.0</v>
      </c>
    </row>
    <row r="3172">
      <c r="A3172" s="40">
        <f t="array" ref="A3172">IFNA(index(PlayerValues!A:A,match(IFNA(vlookup(B3172,'Special Names'!A:B,2,FALSE),B3172),PlayerValues!E:E,0)),"N/A")</f>
        <v>17505</v>
      </c>
      <c r="B3172" s="4" t="s">
        <v>528</v>
      </c>
      <c r="C3172" s="4" t="s">
        <v>287</v>
      </c>
      <c r="D3172" s="94">
        <v>2783.0</v>
      </c>
    </row>
    <row r="3173">
      <c r="A3173" s="40">
        <f t="array" ref="A3173">IFNA(index(PlayerValues!A:A,match(IFNA(vlookup(B3173,'Special Names'!A:B,2,FALSE),B3173),PlayerValues!E:E,0)),"N/A")</f>
        <v>17072</v>
      </c>
      <c r="B3173" s="4" t="s">
        <v>508</v>
      </c>
      <c r="C3173" s="4" t="s">
        <v>287</v>
      </c>
      <c r="D3173" s="94">
        <v>2767.0</v>
      </c>
    </row>
    <row r="3174">
      <c r="A3174" s="40">
        <f t="array" ref="A3174">IFNA(index(PlayerValues!A:A,match(IFNA(vlookup(B3174,'Special Names'!A:B,2,FALSE),B3174),PlayerValues!E:E,0)),"N/A")</f>
        <v>16723</v>
      </c>
      <c r="B3174" s="4" t="s">
        <v>502</v>
      </c>
      <c r="C3174" s="4" t="s">
        <v>298</v>
      </c>
      <c r="D3174" s="94">
        <v>3180.0</v>
      </c>
    </row>
    <row r="3175">
      <c r="A3175" s="40">
        <f t="array" ref="A3175">IFNA(index(PlayerValues!A:A,match(IFNA(vlookup(B3175,'Special Names'!A:B,2,FALSE),B3175),PlayerValues!E:E,0)),"N/A")</f>
        <v>13671</v>
      </c>
      <c r="B3175" s="4" t="s">
        <v>506</v>
      </c>
      <c r="C3175" s="4" t="s">
        <v>298</v>
      </c>
      <c r="D3175" s="94">
        <v>3176.0</v>
      </c>
    </row>
    <row r="3176">
      <c r="A3176" s="40">
        <f t="array" ref="A3176">IFNA(index(PlayerValues!A:A,match(IFNA(vlookup(B3176,'Special Names'!A:B,2,FALSE),B3176),PlayerValues!E:E,0)),"N/A")</f>
        <v>17031</v>
      </c>
      <c r="B3176" s="4" t="s">
        <v>535</v>
      </c>
      <c r="C3176" s="4" t="s">
        <v>283</v>
      </c>
      <c r="D3176" s="94">
        <v>2749.0</v>
      </c>
    </row>
    <row r="3177">
      <c r="A3177" s="40">
        <f t="array" ref="A3177">IFNA(index(PlayerValues!A:A,match(IFNA(vlookup(B3177,'Special Names'!A:B,2,FALSE),B3177),PlayerValues!E:E,0)),"N/A")</f>
        <v>17047</v>
      </c>
      <c r="B3177" s="4" t="s">
        <v>510</v>
      </c>
      <c r="C3177" s="4" t="s">
        <v>278</v>
      </c>
      <c r="D3177" s="94">
        <v>2748.0</v>
      </c>
    </row>
    <row r="3178">
      <c r="A3178" s="40">
        <f t="array" ref="A3178">IFNA(index(PlayerValues!A:A,match(IFNA(vlookup(B3178,'Special Names'!A:B,2,FALSE),B3178),PlayerValues!E:E,0)),"N/A")</f>
        <v>15889</v>
      </c>
      <c r="B3178" s="4" t="s">
        <v>503</v>
      </c>
      <c r="C3178" s="4" t="s">
        <v>298</v>
      </c>
      <c r="D3178" s="94">
        <v>3146.0</v>
      </c>
    </row>
    <row r="3179">
      <c r="A3179" s="40">
        <f t="array" ref="A3179">IFNA(index(PlayerValues!A:A,match(IFNA(vlookup(B3179,'Special Names'!A:B,2,FALSE),B3179),PlayerValues!E:E,0)),"N/A")</f>
        <v>14778</v>
      </c>
      <c r="B3179" s="4" t="s">
        <v>564</v>
      </c>
      <c r="C3179" s="4" t="s">
        <v>283</v>
      </c>
      <c r="D3179" s="94">
        <v>2733.0</v>
      </c>
    </row>
    <row r="3180">
      <c r="A3180" s="40">
        <f t="array" ref="A3180">IFNA(index(PlayerValues!A:A,match(IFNA(vlookup(B3180,'Special Names'!A:B,2,FALSE),B3180),PlayerValues!E:E,0)),"N/A")</f>
        <v>15721</v>
      </c>
      <c r="B3180" s="4" t="s">
        <v>504</v>
      </c>
      <c r="C3180" s="4" t="s">
        <v>278</v>
      </c>
      <c r="D3180" s="94">
        <v>2732.0</v>
      </c>
    </row>
    <row r="3181">
      <c r="A3181" s="40">
        <f t="array" ref="A3181">IFNA(index(PlayerValues!A:A,match(IFNA(vlookup(B3181,'Special Names'!A:B,2,FALSE),B3181),PlayerValues!E:E,0)),"N/A")</f>
        <v>15712</v>
      </c>
      <c r="B3181" s="4" t="s">
        <v>488</v>
      </c>
      <c r="C3181" s="4" t="s">
        <v>278</v>
      </c>
      <c r="D3181" s="94">
        <v>2729.0</v>
      </c>
    </row>
    <row r="3182">
      <c r="A3182" s="40">
        <f t="array" ref="A3182">IFNA(index(PlayerValues!A:A,match(IFNA(vlookup(B3182,'Special Names'!A:B,2,FALSE),B3182),PlayerValues!E:E,0)),"N/A")</f>
        <v>17098</v>
      </c>
      <c r="B3182" s="4" t="s">
        <v>533</v>
      </c>
      <c r="C3182" s="4" t="s">
        <v>287</v>
      </c>
      <c r="D3182" s="94">
        <v>2706.0</v>
      </c>
    </row>
    <row r="3183">
      <c r="A3183" s="40">
        <f t="array" ref="A3183">IFNA(index(PlayerValues!A:A,match(IFNA(vlookup(B3183,'Special Names'!A:B,2,FALSE),B3183),PlayerValues!E:E,0)),"N/A")</f>
        <v>17507</v>
      </c>
      <c r="B3183" s="4" t="s">
        <v>495</v>
      </c>
      <c r="C3183" s="4" t="s">
        <v>287</v>
      </c>
      <c r="D3183" s="94">
        <v>2695.0</v>
      </c>
    </row>
    <row r="3184">
      <c r="A3184" s="40">
        <f t="array" ref="A3184">IFNA(index(PlayerValues!A:A,match(IFNA(vlookup(B3184,'Special Names'!A:B,2,FALSE),B3184),PlayerValues!E:E,0)),"N/A")</f>
        <v>17511</v>
      </c>
      <c r="B3184" s="4" t="s">
        <v>485</v>
      </c>
      <c r="C3184" s="4" t="s">
        <v>287</v>
      </c>
      <c r="D3184" s="94">
        <v>2690.0</v>
      </c>
    </row>
    <row r="3185">
      <c r="A3185" s="40">
        <f t="array" ref="A3185">IFNA(index(PlayerValues!A:A,match(IFNA(vlookup(B3185,'Special Names'!A:B,2,FALSE),B3185),PlayerValues!E:E,0)),"N/A")</f>
        <v>14860</v>
      </c>
      <c r="B3185" s="4" t="s">
        <v>554</v>
      </c>
      <c r="C3185" s="4" t="s">
        <v>287</v>
      </c>
      <c r="D3185" s="94">
        <v>2689.0</v>
      </c>
    </row>
    <row r="3186">
      <c r="A3186" s="40">
        <f t="array" ref="A3186">IFNA(index(PlayerValues!A:A,match(IFNA(vlookup(B3186,'Special Names'!A:B,2,FALSE),B3186),PlayerValues!E:E,0)),"N/A")</f>
        <v>12616</v>
      </c>
      <c r="B3186" s="4" t="s">
        <v>529</v>
      </c>
      <c r="C3186" s="4" t="s">
        <v>283</v>
      </c>
      <c r="D3186" s="94">
        <v>2688.0</v>
      </c>
    </row>
    <row r="3187">
      <c r="A3187" s="40">
        <f t="array" ref="A3187">IFNA(index(PlayerValues!A:A,match(IFNA(vlookup(B3187,'Special Names'!A:B,2,FALSE),B3187),PlayerValues!E:E,0)),"N/A")</f>
        <v>16747</v>
      </c>
      <c r="B3187" s="4" t="s">
        <v>555</v>
      </c>
      <c r="C3187" s="4" t="s">
        <v>278</v>
      </c>
      <c r="D3187" s="94">
        <v>2678.0</v>
      </c>
    </row>
    <row r="3188">
      <c r="A3188" s="40">
        <f t="array" ref="A3188">IFNA(index(PlayerValues!A:A,match(IFNA(vlookup(B3188,'Special Names'!A:B,2,FALSE),B3188),PlayerValues!E:E,0)),"N/A")</f>
        <v>17080</v>
      </c>
      <c r="B3188" s="4" t="s">
        <v>532</v>
      </c>
      <c r="C3188" s="4" t="s">
        <v>287</v>
      </c>
      <c r="D3188" s="94">
        <v>2674.0</v>
      </c>
    </row>
    <row r="3189">
      <c r="A3189" s="40">
        <f t="array" ref="A3189">IFNA(index(PlayerValues!A:A,match(IFNA(vlookup(B3189,'Special Names'!A:B,2,FALSE),B3189),PlayerValues!E:E,0)),"N/A")</f>
        <v>17105</v>
      </c>
      <c r="B3189" s="4" t="s">
        <v>525</v>
      </c>
      <c r="C3189" s="4" t="s">
        <v>298</v>
      </c>
      <c r="D3189" s="94">
        <v>3083.0</v>
      </c>
    </row>
    <row r="3190">
      <c r="A3190" s="40">
        <f t="array" ref="A3190">IFNA(index(PlayerValues!A:A,match(IFNA(vlookup(B3190,'Special Names'!A:B,2,FALSE),B3190),PlayerValues!E:E,0)),"N/A")</f>
        <v>16193</v>
      </c>
      <c r="B3190" s="4" t="s">
        <v>487</v>
      </c>
      <c r="C3190" s="4" t="s">
        <v>287</v>
      </c>
      <c r="D3190" s="94">
        <v>2668.0</v>
      </c>
    </row>
    <row r="3191">
      <c r="A3191" s="40">
        <f t="array" ref="A3191">IFNA(index(PlayerValues!A:A,match(IFNA(vlookup(B3191,'Special Names'!A:B,2,FALSE),B3191),PlayerValues!E:E,0)),"N/A")</f>
        <v>16596</v>
      </c>
      <c r="B3191" s="4" t="s">
        <v>501</v>
      </c>
      <c r="C3191" s="4" t="s">
        <v>278</v>
      </c>
      <c r="D3191" s="94">
        <v>2661.0</v>
      </c>
    </row>
    <row r="3192">
      <c r="A3192" s="40">
        <f t="array" ref="A3192">IFNA(index(PlayerValues!A:A,match(IFNA(vlookup(B3192,'Special Names'!A:B,2,FALSE),B3192),PlayerValues!E:E,0)),"N/A")</f>
        <v>15241</v>
      </c>
      <c r="B3192" s="4" t="s">
        <v>546</v>
      </c>
      <c r="C3192" s="4" t="s">
        <v>283</v>
      </c>
      <c r="D3192" s="94">
        <v>2658.0</v>
      </c>
    </row>
    <row r="3193">
      <c r="A3193" s="40">
        <f t="array" ref="A3193">IFNA(index(PlayerValues!A:A,match(IFNA(vlookup(B3193,'Special Names'!A:B,2,FALSE),B3193),PlayerValues!E:E,0)),"N/A")</f>
        <v>16619</v>
      </c>
      <c r="B3193" s="4" t="s">
        <v>538</v>
      </c>
      <c r="C3193" s="4" t="s">
        <v>287</v>
      </c>
      <c r="D3193" s="94">
        <v>2658.0</v>
      </c>
    </row>
    <row r="3194">
      <c r="A3194" s="40">
        <f t="array" ref="A3194">IFNA(index(PlayerValues!A:A,match(IFNA(vlookup(B3194,'Special Names'!A:B,2,FALSE),B3194),PlayerValues!E:E,0)),"N/A")</f>
        <v>15972</v>
      </c>
      <c r="B3194" s="4" t="s">
        <v>469</v>
      </c>
      <c r="C3194" s="4" t="s">
        <v>278</v>
      </c>
      <c r="D3194" s="94">
        <v>2656.0</v>
      </c>
    </row>
    <row r="3195">
      <c r="A3195" s="40">
        <f t="array" ref="A3195">IFNA(index(PlayerValues!A:A,match(IFNA(vlookup(B3195,'Special Names'!A:B,2,FALSE),B3195),PlayerValues!E:E,0)),"N/A")</f>
        <v>14833</v>
      </c>
      <c r="B3195" s="4" t="s">
        <v>553</v>
      </c>
      <c r="C3195" s="4" t="s">
        <v>287</v>
      </c>
      <c r="D3195" s="94">
        <v>2627.0</v>
      </c>
    </row>
    <row r="3196">
      <c r="A3196" s="40">
        <f t="array" ref="A3196">IFNA(index(PlayerValues!A:A,match(IFNA(vlookup(B3196,'Special Names'!A:B,2,FALSE),B3196),PlayerValues!E:E,0)),"N/A")</f>
        <v>17107</v>
      </c>
      <c r="B3196" s="4" t="s">
        <v>478</v>
      </c>
      <c r="C3196" s="4" t="s">
        <v>298</v>
      </c>
      <c r="D3196" s="94">
        <v>3034.0</v>
      </c>
    </row>
    <row r="3197">
      <c r="A3197" s="40" t="str">
        <f t="array" ref="A3197">IFNA(index(PlayerValues!A:A,match(IFNA(vlookup(B3197,'Special Names'!A:B,2,FALSE),B3197),PlayerValues!E:E,0)),"N/A")</f>
        <v>N/A</v>
      </c>
      <c r="B3197" s="4" t="s">
        <v>98</v>
      </c>
      <c r="C3197" s="4" t="s">
        <v>325</v>
      </c>
      <c r="D3197" s="94">
        <v>2623.0</v>
      </c>
    </row>
    <row r="3198">
      <c r="A3198" s="40">
        <f t="array" ref="A3198">IFNA(index(PlayerValues!A:A,match(IFNA(vlookup(B3198,'Special Names'!A:B,2,FALSE),B3198),PlayerValues!E:E,0)),"N/A")</f>
        <v>17073</v>
      </c>
      <c r="B3198" s="4" t="s">
        <v>547</v>
      </c>
      <c r="C3198" s="4" t="s">
        <v>287</v>
      </c>
      <c r="D3198" s="94">
        <v>2611.0</v>
      </c>
    </row>
    <row r="3199">
      <c r="A3199" s="40">
        <f t="array" ref="A3199">IFNA(index(PlayerValues!A:A,match(IFNA(vlookup(B3199,'Special Names'!A:B,2,FALSE),B3199),PlayerValues!E:E,0)),"N/A")</f>
        <v>17509</v>
      </c>
      <c r="B3199" s="4" t="s">
        <v>551</v>
      </c>
      <c r="C3199" s="4" t="s">
        <v>287</v>
      </c>
      <c r="D3199" s="94">
        <v>2609.0</v>
      </c>
    </row>
    <row r="3200">
      <c r="A3200" s="40">
        <f t="array" ref="A3200">IFNA(index(PlayerValues!A:A,match(IFNA(vlookup(B3200,'Special Names'!A:B,2,FALSE),B3200),PlayerValues!E:E,0)),"N/A")</f>
        <v>16165</v>
      </c>
      <c r="B3200" s="4" t="s">
        <v>520</v>
      </c>
      <c r="C3200" s="4" t="s">
        <v>278</v>
      </c>
      <c r="D3200" s="94">
        <v>2600.0</v>
      </c>
    </row>
    <row r="3201">
      <c r="A3201" s="40">
        <f t="array" ref="A3201">IFNA(index(PlayerValues!A:A,match(IFNA(vlookup(B3201,'Special Names'!A:B,2,FALSE),B3201),PlayerValues!E:E,0)),"N/A")</f>
        <v>16174</v>
      </c>
      <c r="B3201" s="4" t="s">
        <v>505</v>
      </c>
      <c r="C3201" s="4" t="s">
        <v>278</v>
      </c>
      <c r="D3201" s="94">
        <v>2595.0</v>
      </c>
    </row>
    <row r="3202">
      <c r="A3202" s="40">
        <f t="array" ref="A3202">IFNA(index(PlayerValues!A:A,match(IFNA(vlookup(B3202,'Special Names'!A:B,2,FALSE),B3202),PlayerValues!E:E,0)),"N/A")</f>
        <v>17474</v>
      </c>
      <c r="B3202" s="4" t="s">
        <v>513</v>
      </c>
      <c r="C3202" s="4" t="s">
        <v>278</v>
      </c>
      <c r="D3202" s="94">
        <v>2594.0</v>
      </c>
    </row>
    <row r="3203">
      <c r="A3203" s="40">
        <f t="array" ref="A3203">IFNA(index(PlayerValues!A:A,match(IFNA(vlookup(B3203,'Special Names'!A:B,2,FALSE),B3203),PlayerValues!E:E,0)),"N/A")</f>
        <v>13674</v>
      </c>
      <c r="B3203" s="4" t="s">
        <v>511</v>
      </c>
      <c r="C3203" s="4" t="s">
        <v>298</v>
      </c>
      <c r="D3203" s="94">
        <v>2978.0</v>
      </c>
    </row>
    <row r="3204">
      <c r="A3204" s="40">
        <f t="array" ref="A3204">IFNA(index(PlayerValues!A:A,match(IFNA(vlookup(B3204,'Special Names'!A:B,2,FALSE),B3204),PlayerValues!E:E,0)),"N/A")</f>
        <v>16204</v>
      </c>
      <c r="B3204" s="4" t="s">
        <v>530</v>
      </c>
      <c r="C3204" s="4" t="s">
        <v>287</v>
      </c>
      <c r="D3204" s="94">
        <v>2541.0</v>
      </c>
    </row>
    <row r="3205">
      <c r="A3205" s="40">
        <f t="array" ref="A3205">IFNA(index(PlayerValues!A:A,match(IFNA(vlookup(B3205,'Special Names'!A:B,2,FALSE),B3205),PlayerValues!E:E,0)),"N/A")</f>
        <v>17478</v>
      </c>
      <c r="B3205" s="4" t="s">
        <v>527</v>
      </c>
      <c r="C3205" s="4" t="s">
        <v>278</v>
      </c>
      <c r="D3205" s="94">
        <v>2528.0</v>
      </c>
    </row>
    <row r="3206">
      <c r="A3206" s="40">
        <f t="array" ref="A3206">IFNA(index(PlayerValues!A:A,match(IFNA(vlookup(B3206,'Special Names'!A:B,2,FALSE),B3206),PlayerValues!E:E,0)),"N/A")</f>
        <v>17108</v>
      </c>
      <c r="B3206" s="4" t="s">
        <v>542</v>
      </c>
      <c r="C3206" s="4" t="s">
        <v>298</v>
      </c>
      <c r="D3206" s="94">
        <v>2925.0</v>
      </c>
    </row>
    <row r="3207">
      <c r="A3207" s="40">
        <f t="array" ref="A3207">IFNA(index(PlayerValues!A:A,match(IFNA(vlookup(B3207,'Special Names'!A:B,2,FALSE),B3207),PlayerValues!E:E,0)),"N/A")</f>
        <v>17078</v>
      </c>
      <c r="B3207" s="4" t="s">
        <v>543</v>
      </c>
      <c r="C3207" s="4" t="s">
        <v>287</v>
      </c>
      <c r="D3207" s="94">
        <v>2518.0</v>
      </c>
    </row>
    <row r="3208">
      <c r="A3208" s="40">
        <f t="array" ref="A3208">IFNA(index(PlayerValues!A:A,match(IFNA(vlookup(B3208,'Special Names'!A:B,2,FALSE),B3208),PlayerValues!E:E,0)),"N/A")</f>
        <v>17082</v>
      </c>
      <c r="B3208" s="4" t="s">
        <v>498</v>
      </c>
      <c r="C3208" s="4" t="s">
        <v>287</v>
      </c>
      <c r="D3208" s="94">
        <v>2516.0</v>
      </c>
    </row>
    <row r="3209">
      <c r="A3209" s="40">
        <f t="array" ref="A3209">IFNA(index(PlayerValues!A:A,match(IFNA(vlookup(B3209,'Special Names'!A:B,2,FALSE),B3209),PlayerValues!E:E,0)),"N/A")</f>
        <v>17508</v>
      </c>
      <c r="B3209" s="4" t="s">
        <v>534</v>
      </c>
      <c r="C3209" s="4" t="s">
        <v>287</v>
      </c>
      <c r="D3209" s="94">
        <v>2506.0</v>
      </c>
    </row>
    <row r="3210">
      <c r="A3210" s="40">
        <f t="array" ref="A3210">IFNA(index(PlayerValues!A:A,match(IFNA(vlookup(B3210,'Special Names'!A:B,2,FALSE),B3210),PlayerValues!E:E,0)),"N/A")</f>
        <v>16617</v>
      </c>
      <c r="B3210" s="4" t="s">
        <v>541</v>
      </c>
      <c r="C3210" s="4" t="s">
        <v>287</v>
      </c>
      <c r="D3210" s="94">
        <v>2490.0</v>
      </c>
    </row>
    <row r="3211">
      <c r="A3211" s="40">
        <f t="array" ref="A3211">IFNA(index(PlayerValues!A:A,match(IFNA(vlookup(B3211,'Special Names'!A:B,2,FALSE),B3211),PlayerValues!E:E,0)),"N/A")</f>
        <v>16684</v>
      </c>
      <c r="B3211" s="4" t="s">
        <v>500</v>
      </c>
      <c r="C3211" s="4" t="s">
        <v>287</v>
      </c>
      <c r="D3211" s="94">
        <v>2490.0</v>
      </c>
    </row>
    <row r="3212">
      <c r="A3212" s="40">
        <f t="array" ref="A3212">IFNA(index(PlayerValues!A:A,match(IFNA(vlookup(B3212,'Special Names'!A:B,2,FALSE),B3212),PlayerValues!E:E,0)),"N/A")</f>
        <v>13192</v>
      </c>
      <c r="B3212" s="4" t="s">
        <v>563</v>
      </c>
      <c r="C3212" s="4" t="s">
        <v>298</v>
      </c>
      <c r="D3212" s="94">
        <v>2864.0</v>
      </c>
    </row>
    <row r="3213">
      <c r="A3213" s="40">
        <f t="array" ref="A3213">IFNA(index(PlayerValues!A:A,match(IFNA(vlookup(B3213,'Special Names'!A:B,2,FALSE),B3213),PlayerValues!E:E,0)),"N/A")</f>
        <v>17171</v>
      </c>
      <c r="B3213" s="4" t="s">
        <v>561</v>
      </c>
      <c r="C3213" s="4" t="s">
        <v>287</v>
      </c>
      <c r="D3213" s="94">
        <v>2451.0</v>
      </c>
    </row>
    <row r="3214">
      <c r="A3214" s="40" t="str">
        <f t="array" ref="A3214">IFNA(index(PlayerValues!A:A,match(IFNA(vlookup(B3214,'Special Names'!A:B,2,FALSE),B3214),PlayerValues!E:E,0)),"N/A")</f>
        <v>N/A</v>
      </c>
      <c r="B3214" s="4" t="s">
        <v>99</v>
      </c>
      <c r="C3214" s="4" t="s">
        <v>325</v>
      </c>
      <c r="D3214" s="94">
        <v>2447.0</v>
      </c>
    </row>
    <row r="3215">
      <c r="A3215" s="40">
        <f t="array" ref="A3215">IFNA(index(PlayerValues!A:A,match(IFNA(vlookup(B3215,'Special Names'!A:B,2,FALSE),B3215),PlayerValues!E:E,0)),"N/A")</f>
        <v>16626</v>
      </c>
      <c r="B3215" s="4" t="s">
        <v>515</v>
      </c>
      <c r="C3215" s="4" t="s">
        <v>287</v>
      </c>
      <c r="D3215" s="94">
        <v>2445.0</v>
      </c>
    </row>
    <row r="3216">
      <c r="A3216" s="40">
        <f t="array" ref="A3216">IFNA(index(PlayerValues!A:A,match(IFNA(vlookup(B3216,'Special Names'!A:B,2,FALSE),B3216),PlayerValues!E:E,0)),"N/A")</f>
        <v>11244</v>
      </c>
      <c r="B3216" s="4" t="s">
        <v>519</v>
      </c>
      <c r="C3216" s="4" t="s">
        <v>298</v>
      </c>
      <c r="D3216" s="94">
        <v>2846.0</v>
      </c>
    </row>
    <row r="3217">
      <c r="A3217" s="40">
        <f t="array" ref="A3217">IFNA(index(PlayerValues!A:A,match(IFNA(vlookup(B3217,'Special Names'!A:B,2,FALSE),B3217),PlayerValues!E:E,0)),"N/A")</f>
        <v>17134</v>
      </c>
      <c r="B3217" s="4" t="s">
        <v>548</v>
      </c>
      <c r="C3217" s="4" t="s">
        <v>287</v>
      </c>
      <c r="D3217" s="94">
        <v>2443.0</v>
      </c>
    </row>
    <row r="3218">
      <c r="A3218" s="40">
        <f t="array" ref="A3218">IFNA(index(PlayerValues!A:A,match(IFNA(vlookup(B3218,'Special Names'!A:B,2,FALSE),B3218),PlayerValues!E:E,0)),"N/A")</f>
        <v>16287</v>
      </c>
      <c r="B3218" s="4" t="s">
        <v>516</v>
      </c>
      <c r="C3218" s="4" t="s">
        <v>287</v>
      </c>
      <c r="D3218" s="94">
        <v>2439.0</v>
      </c>
    </row>
    <row r="3219">
      <c r="A3219" s="40">
        <f t="array" ref="A3219">IFNA(index(PlayerValues!A:A,match(IFNA(vlookup(B3219,'Special Names'!A:B,2,FALSE),B3219),PlayerValues!E:E,0)),"N/A")</f>
        <v>16164</v>
      </c>
      <c r="B3219" s="4" t="s">
        <v>512</v>
      </c>
      <c r="C3219" s="4" t="s">
        <v>278</v>
      </c>
      <c r="D3219" s="94">
        <v>2434.0</v>
      </c>
    </row>
    <row r="3220">
      <c r="A3220" s="40">
        <f t="array" ref="A3220">IFNA(index(PlayerValues!A:A,match(IFNA(vlookup(B3220,'Special Names'!A:B,2,FALSE),B3220),PlayerValues!E:E,0)),"N/A")</f>
        <v>17482</v>
      </c>
      <c r="B3220" s="4" t="s">
        <v>460</v>
      </c>
      <c r="C3220" s="4" t="s">
        <v>278</v>
      </c>
      <c r="D3220" s="94">
        <v>2408.0</v>
      </c>
    </row>
    <row r="3221">
      <c r="A3221" s="40">
        <f t="array" ref="A3221">IFNA(index(PlayerValues!A:A,match(IFNA(vlookup(B3221,'Special Names'!A:B,2,FALSE),B3221),PlayerValues!E:E,0)),"N/A")</f>
        <v>16178</v>
      </c>
      <c r="B3221" s="4" t="s">
        <v>507</v>
      </c>
      <c r="C3221" s="4" t="s">
        <v>278</v>
      </c>
      <c r="D3221" s="94">
        <v>2406.0</v>
      </c>
    </row>
    <row r="3222">
      <c r="A3222" s="40">
        <f t="array" ref="A3222">IFNA(index(PlayerValues!A:A,match(IFNA(vlookup(B3222,'Special Names'!A:B,2,FALSE),B3222),PlayerValues!E:E,0)),"N/A")</f>
        <v>17514</v>
      </c>
      <c r="B3222" s="4" t="s">
        <v>422</v>
      </c>
      <c r="C3222" s="4" t="s">
        <v>287</v>
      </c>
      <c r="D3222" s="94">
        <v>2405.0</v>
      </c>
    </row>
    <row r="3223">
      <c r="A3223" s="40">
        <f t="array" ref="A3223">IFNA(index(PlayerValues!A:A,match(IFNA(vlookup(B3223,'Special Names'!A:B,2,FALSE),B3223),PlayerValues!E:E,0)),"N/A")</f>
        <v>17048</v>
      </c>
      <c r="B3223" s="4" t="s">
        <v>539</v>
      </c>
      <c r="C3223" s="4" t="s">
        <v>278</v>
      </c>
      <c r="D3223" s="94">
        <v>2393.0</v>
      </c>
    </row>
    <row r="3224">
      <c r="A3224" s="40">
        <f t="array" ref="A3224">IFNA(index(PlayerValues!A:A,match(IFNA(vlookup(B3224,'Special Names'!A:B,2,FALSE),B3224),PlayerValues!E:E,0)),"N/A")</f>
        <v>15716</v>
      </c>
      <c r="B3224" s="4" t="s">
        <v>545</v>
      </c>
      <c r="C3224" s="4" t="s">
        <v>278</v>
      </c>
      <c r="D3224" s="94">
        <v>2385.0</v>
      </c>
    </row>
    <row r="3225">
      <c r="A3225" s="40">
        <f t="array" ref="A3225">IFNA(index(PlayerValues!A:A,match(IFNA(vlookup(B3225,'Special Names'!A:B,2,FALSE),B3225),PlayerValues!E:E,0)),"N/A")</f>
        <v>17517</v>
      </c>
      <c r="B3225" s="4" t="s">
        <v>454</v>
      </c>
      <c r="C3225" s="4" t="s">
        <v>287</v>
      </c>
      <c r="D3225" s="94">
        <v>2385.0</v>
      </c>
    </row>
    <row r="3226">
      <c r="A3226" s="40">
        <f t="array" ref="A3226">IFNA(index(PlayerValues!A:A,match(IFNA(vlookup(B3226,'Special Names'!A:B,2,FALSE),B3226),PlayerValues!E:E,0)),"N/A")</f>
        <v>16195</v>
      </c>
      <c r="B3226" s="4" t="s">
        <v>509</v>
      </c>
      <c r="C3226" s="4" t="s">
        <v>287</v>
      </c>
      <c r="D3226" s="94">
        <v>2381.0</v>
      </c>
    </row>
    <row r="3227">
      <c r="A3227" s="40">
        <f t="array" ref="A3227">IFNA(index(PlayerValues!A:A,match(IFNA(vlookup(B3227,'Special Names'!A:B,2,FALSE),B3227),PlayerValues!E:E,0)),"N/A")</f>
        <v>15786</v>
      </c>
      <c r="B3227" s="4" t="s">
        <v>521</v>
      </c>
      <c r="C3227" s="4" t="s">
        <v>287</v>
      </c>
      <c r="D3227" s="94">
        <v>2372.0</v>
      </c>
    </row>
    <row r="3228">
      <c r="A3228" s="40">
        <f t="array" ref="A3228">IFNA(index(PlayerValues!A:A,match(IFNA(vlookup(B3228,'Special Names'!A:B,2,FALSE),B3228),PlayerValues!E:E,0)),"N/A")</f>
        <v>17106</v>
      </c>
      <c r="B3228" s="4" t="s">
        <v>550</v>
      </c>
      <c r="C3228" s="4" t="s">
        <v>298</v>
      </c>
      <c r="D3228" s="94">
        <v>2754.0</v>
      </c>
    </row>
    <row r="3229">
      <c r="A3229" s="40">
        <f t="array" ref="A3229">IFNA(index(PlayerValues!A:A,match(IFNA(vlookup(B3229,'Special Names'!A:B,2,FALSE),B3229),PlayerValues!E:E,0)),"N/A")</f>
        <v>15749</v>
      </c>
      <c r="B3229" s="4" t="s">
        <v>574</v>
      </c>
      <c r="C3229" s="4" t="s">
        <v>278</v>
      </c>
      <c r="D3229" s="94">
        <v>2353.0</v>
      </c>
    </row>
    <row r="3230">
      <c r="A3230" s="40">
        <f t="array" ref="A3230">IFNA(index(PlayerValues!A:A,match(IFNA(vlookup(B3230,'Special Names'!A:B,2,FALSE),B3230),PlayerValues!E:E,0)),"N/A")</f>
        <v>15802</v>
      </c>
      <c r="B3230" s="4" t="s">
        <v>566</v>
      </c>
      <c r="C3230" s="4" t="s">
        <v>298</v>
      </c>
      <c r="D3230" s="94">
        <v>2739.0</v>
      </c>
    </row>
    <row r="3231">
      <c r="A3231" s="40">
        <f t="array" ref="A3231">IFNA(index(PlayerValues!A:A,match(IFNA(vlookup(B3231,'Special Names'!A:B,2,FALSE),B3231),PlayerValues!E:E,0)),"N/A")</f>
        <v>14861</v>
      </c>
      <c r="B3231" s="4" t="s">
        <v>523</v>
      </c>
      <c r="C3231" s="4" t="s">
        <v>298</v>
      </c>
      <c r="D3231" s="94">
        <v>2734.0</v>
      </c>
    </row>
    <row r="3232">
      <c r="A3232" s="40" t="str">
        <f t="array" ref="A3232">IFNA(index(PlayerValues!A:A,match(IFNA(vlookup(B3232,'Special Names'!A:B,2,FALSE),B3232),PlayerValues!E:E,0)),"N/A")</f>
        <v>N/A</v>
      </c>
      <c r="B3232" s="4" t="s">
        <v>557</v>
      </c>
      <c r="C3232" s="4" t="s">
        <v>278</v>
      </c>
      <c r="D3232" s="94">
        <v>2334.0</v>
      </c>
    </row>
    <row r="3233">
      <c r="A3233" s="40">
        <f t="array" ref="A3233">IFNA(index(PlayerValues!A:A,match(IFNA(vlookup(B3233,'Special Names'!A:B,2,FALSE),B3233),PlayerValues!E:E,0)),"N/A")</f>
        <v>14840</v>
      </c>
      <c r="B3233" s="4" t="s">
        <v>731</v>
      </c>
      <c r="C3233" s="4" t="s">
        <v>287</v>
      </c>
      <c r="D3233" s="94">
        <v>2308.0</v>
      </c>
    </row>
    <row r="3234">
      <c r="A3234" s="40">
        <f t="array" ref="A3234">IFNA(index(PlayerValues!A:A,match(IFNA(vlookup(B3234,'Special Names'!A:B,2,FALSE),B3234),PlayerValues!E:E,0)),"N/A")</f>
        <v>16036</v>
      </c>
      <c r="B3234" s="4" t="s">
        <v>592</v>
      </c>
      <c r="C3234" s="4" t="s">
        <v>298</v>
      </c>
      <c r="D3234" s="94">
        <v>2688.0</v>
      </c>
    </row>
    <row r="3235">
      <c r="A3235" s="40">
        <f t="array" ref="A3235">IFNA(index(PlayerValues!A:A,match(IFNA(vlookup(B3235,'Special Names'!A:B,2,FALSE),B3235),PlayerValues!E:E,0)),"N/A")</f>
        <v>16152</v>
      </c>
      <c r="B3235" s="4" t="s">
        <v>601</v>
      </c>
      <c r="C3235" s="4" t="s">
        <v>283</v>
      </c>
      <c r="D3235" s="94">
        <v>2283.0</v>
      </c>
    </row>
    <row r="3236">
      <c r="A3236" s="40">
        <f t="array" ref="A3236">IFNA(index(PlayerValues!A:A,match(IFNA(vlookup(B3236,'Special Names'!A:B,2,FALSE),B3236),PlayerValues!E:E,0)),"N/A")</f>
        <v>16594</v>
      </c>
      <c r="B3236" s="4" t="s">
        <v>607</v>
      </c>
      <c r="C3236" s="4" t="s">
        <v>278</v>
      </c>
      <c r="D3236" s="94">
        <v>2273.0</v>
      </c>
    </row>
    <row r="3237">
      <c r="A3237" s="40">
        <f t="array" ref="A3237">IFNA(index(PlayerValues!A:A,match(IFNA(vlookup(B3237,'Special Names'!A:B,2,FALSE),B3237),PlayerValues!E:E,0)),"N/A")</f>
        <v>17547</v>
      </c>
      <c r="B3237" s="4" t="s">
        <v>552</v>
      </c>
      <c r="C3237" s="4" t="s">
        <v>298</v>
      </c>
      <c r="D3237" s="94">
        <v>2661.0</v>
      </c>
    </row>
    <row r="3238">
      <c r="A3238" s="40">
        <f t="array" ref="A3238">IFNA(index(PlayerValues!A:A,match(IFNA(vlookup(B3238,'Special Names'!A:B,2,FALSE),B3238),PlayerValues!E:E,0)),"N/A")</f>
        <v>17520</v>
      </c>
      <c r="B3238" s="4" t="s">
        <v>518</v>
      </c>
      <c r="C3238" s="4" t="s">
        <v>287</v>
      </c>
      <c r="D3238" s="94">
        <v>2253.0</v>
      </c>
    </row>
    <row r="3239">
      <c r="A3239" s="40" t="str">
        <f t="array" ref="A3239">IFNA(index(PlayerValues!A:A,match(IFNA(vlookup(B3239,'Special Names'!A:B,2,FALSE),B3239),PlayerValues!E:E,0)),"N/A")</f>
        <v>N/A</v>
      </c>
      <c r="B3239" s="4" t="s">
        <v>86</v>
      </c>
      <c r="C3239" s="4" t="s">
        <v>325</v>
      </c>
      <c r="D3239" s="94">
        <v>2252.0</v>
      </c>
    </row>
    <row r="3240">
      <c r="A3240" s="40">
        <f t="array" ref="A3240">IFNA(index(PlayerValues!A:A,match(IFNA(vlookup(B3240,'Special Names'!A:B,2,FALSE),B3240),PlayerValues!E:E,0)),"N/A")</f>
        <v>17033</v>
      </c>
      <c r="B3240" s="4" t="s">
        <v>570</v>
      </c>
      <c r="C3240" s="4" t="s">
        <v>283</v>
      </c>
      <c r="D3240" s="94">
        <v>2249.0</v>
      </c>
    </row>
    <row r="3241">
      <c r="A3241" s="40">
        <f t="array" ref="A3241">IFNA(index(PlayerValues!A:A,match(IFNA(vlookup(B3241,'Special Names'!A:B,2,FALSE),B3241),PlayerValues!E:E,0)),"N/A")</f>
        <v>12676</v>
      </c>
      <c r="B3241" s="4" t="s">
        <v>537</v>
      </c>
      <c r="C3241" s="4" t="s">
        <v>298</v>
      </c>
      <c r="D3241" s="94">
        <v>2634.0</v>
      </c>
    </row>
    <row r="3242">
      <c r="A3242" s="40">
        <f t="array" ref="A3242">IFNA(index(PlayerValues!A:A,match(IFNA(vlookup(B3242,'Special Names'!A:B,2,FALSE),B3242),PlayerValues!E:E,0)),"N/A")</f>
        <v>13772</v>
      </c>
      <c r="B3242" s="4" t="s">
        <v>544</v>
      </c>
      <c r="C3242" s="4" t="s">
        <v>298</v>
      </c>
      <c r="D3242" s="94">
        <v>2634.0</v>
      </c>
    </row>
    <row r="3243">
      <c r="A3243" s="40">
        <f t="array" ref="A3243">IFNA(index(PlayerValues!A:A,match(IFNA(vlookup(B3243,'Special Names'!A:B,2,FALSE),B3243),PlayerValues!E:E,0)),"N/A")</f>
        <v>11150</v>
      </c>
      <c r="B3243" s="4" t="s">
        <v>559</v>
      </c>
      <c r="C3243" s="4" t="s">
        <v>283</v>
      </c>
      <c r="D3243" s="94">
        <v>2239.0</v>
      </c>
    </row>
    <row r="3244">
      <c r="A3244" s="40">
        <f t="array" ref="A3244">IFNA(index(PlayerValues!A:A,match(IFNA(vlookup(B3244,'Special Names'!A:B,2,FALSE),B3244),PlayerValues!E:E,0)),"N/A")</f>
        <v>15331</v>
      </c>
      <c r="B3244" s="4" t="s">
        <v>560</v>
      </c>
      <c r="C3244" s="4" t="s">
        <v>298</v>
      </c>
      <c r="D3244" s="94">
        <v>2634.0</v>
      </c>
    </row>
    <row r="3245">
      <c r="A3245" s="40">
        <f t="array" ref="A3245">IFNA(index(PlayerValues!A:A,match(IFNA(vlookup(B3245,'Special Names'!A:B,2,FALSE),B3245),PlayerValues!E:E,0)),"N/A")</f>
        <v>16610</v>
      </c>
      <c r="B3245" s="4" t="s">
        <v>562</v>
      </c>
      <c r="C3245" s="4" t="s">
        <v>278</v>
      </c>
      <c r="D3245" s="94">
        <v>2238.0</v>
      </c>
    </row>
    <row r="3246">
      <c r="A3246" s="40" t="str">
        <f t="array" ref="A3246">IFNA(index(PlayerValues!A:A,match(IFNA(vlookup(B3246,'Special Names'!A:B,2,FALSE),B3246),PlayerValues!E:E,0)),"N/A")</f>
        <v>N/A</v>
      </c>
      <c r="B3246" s="4" t="s">
        <v>100</v>
      </c>
      <c r="C3246" s="4" t="s">
        <v>325</v>
      </c>
      <c r="D3246" s="94">
        <v>2234.0</v>
      </c>
    </row>
    <row r="3247">
      <c r="A3247" s="40">
        <f t="array" ref="A3247">IFNA(index(PlayerValues!A:A,match(IFNA(vlookup(B3247,'Special Names'!A:B,2,FALSE),B3247),PlayerValues!E:E,0)),"N/A")</f>
        <v>16649</v>
      </c>
      <c r="B3247" s="4" t="s">
        <v>586</v>
      </c>
      <c r="C3247" s="4" t="s">
        <v>298</v>
      </c>
      <c r="D3247" s="94">
        <v>2624.0</v>
      </c>
    </row>
    <row r="3248">
      <c r="A3248" s="40">
        <f t="array" ref="A3248">IFNA(index(PlayerValues!A:A,match(IFNA(vlookup(B3248,'Special Names'!A:B,2,FALSE),B3248),PlayerValues!E:E,0)),"N/A")</f>
        <v>13319</v>
      </c>
      <c r="B3248" s="4" t="s">
        <v>549</v>
      </c>
      <c r="C3248" s="4" t="s">
        <v>278</v>
      </c>
      <c r="D3248" s="94">
        <v>2217.0</v>
      </c>
    </row>
    <row r="3249">
      <c r="A3249" s="40">
        <f t="array" ref="A3249">IFNA(index(PlayerValues!A:A,match(IFNA(vlookup(B3249,'Special Names'!A:B,2,FALSE),B3249),PlayerValues!E:E,0)),"N/A")</f>
        <v>16757</v>
      </c>
      <c r="B3249" s="4" t="s">
        <v>558</v>
      </c>
      <c r="C3249" s="4" t="s">
        <v>278</v>
      </c>
      <c r="D3249" s="94">
        <v>2179.0</v>
      </c>
    </row>
    <row r="3250">
      <c r="A3250" s="40" t="str">
        <f t="array" ref="A3250">IFNA(index(PlayerValues!A:A,match(IFNA(vlookup(B3250,'Special Names'!A:B,2,FALSE),B3250),PlayerValues!E:E,0)),"N/A")</f>
        <v>N/A</v>
      </c>
      <c r="B3250" s="4" t="s">
        <v>112</v>
      </c>
      <c r="C3250" s="4" t="s">
        <v>325</v>
      </c>
      <c r="D3250" s="94">
        <v>2176.0</v>
      </c>
    </row>
    <row r="3251">
      <c r="A3251" s="40">
        <f t="array" ref="A3251">IFNA(index(PlayerValues!A:A,match(IFNA(vlookup(B3251,'Special Names'!A:B,2,FALSE),B3251),PlayerValues!E:E,0)),"N/A")</f>
        <v>12186</v>
      </c>
      <c r="B3251" s="4" t="s">
        <v>497</v>
      </c>
      <c r="C3251" s="4" t="s">
        <v>287</v>
      </c>
      <c r="D3251" s="94">
        <v>2172.0</v>
      </c>
    </row>
    <row r="3252">
      <c r="A3252" s="40">
        <f t="array" ref="A3252">IFNA(index(PlayerValues!A:A,match(IFNA(vlookup(B3252,'Special Names'!A:B,2,FALSE),B3252),PlayerValues!E:E,0)),"N/A")</f>
        <v>16166</v>
      </c>
      <c r="B3252" s="4" t="s">
        <v>567</v>
      </c>
      <c r="C3252" s="4" t="s">
        <v>278</v>
      </c>
      <c r="D3252" s="94">
        <v>2163.0</v>
      </c>
    </row>
    <row r="3253">
      <c r="A3253" s="40">
        <f t="array" ref="A3253">IFNA(index(PlayerValues!A:A,match(IFNA(vlookup(B3253,'Special Names'!A:B,2,FALSE),B3253),PlayerValues!E:E,0)),"N/A")</f>
        <v>14136</v>
      </c>
      <c r="B3253" s="4" t="s">
        <v>536</v>
      </c>
      <c r="C3253" s="4" t="s">
        <v>287</v>
      </c>
      <c r="D3253" s="94">
        <v>2154.0</v>
      </c>
    </row>
    <row r="3254">
      <c r="A3254" s="40" t="str">
        <f t="array" ref="A3254">IFNA(index(PlayerValues!A:A,match(IFNA(vlookup(B3254,'Special Names'!A:B,2,FALSE),B3254),PlayerValues!E:E,0)),"N/A")</f>
        <v>N/A</v>
      </c>
      <c r="B3254" s="4" t="s">
        <v>87</v>
      </c>
      <c r="C3254" s="4" t="s">
        <v>325</v>
      </c>
      <c r="D3254" s="94">
        <v>2146.0</v>
      </c>
    </row>
    <row r="3255">
      <c r="A3255" s="40">
        <f t="array" ref="A3255">IFNA(index(PlayerValues!A:A,match(IFNA(vlookup(B3255,'Special Names'!A:B,2,FALSE),B3255),PlayerValues!E:E,0)),"N/A")</f>
        <v>17079</v>
      </c>
      <c r="B3255" s="4" t="s">
        <v>572</v>
      </c>
      <c r="C3255" s="4" t="s">
        <v>287</v>
      </c>
      <c r="D3255" s="94">
        <v>2140.0</v>
      </c>
    </row>
    <row r="3256">
      <c r="A3256" s="40">
        <f t="array" ref="A3256">IFNA(index(PlayerValues!A:A,match(IFNA(vlookup(B3256,'Special Names'!A:B,2,FALSE),B3256),PlayerValues!E:E,0)),"N/A")</f>
        <v>13113</v>
      </c>
      <c r="B3256" s="4" t="s">
        <v>606</v>
      </c>
      <c r="C3256" s="4" t="s">
        <v>283</v>
      </c>
      <c r="D3256" s="94">
        <v>2134.0</v>
      </c>
    </row>
    <row r="3257">
      <c r="A3257" s="40">
        <f t="array" ref="A3257">IFNA(index(PlayerValues!A:A,match(IFNA(vlookup(B3257,'Special Names'!A:B,2,FALSE),B3257),PlayerValues!E:E,0)),"N/A")</f>
        <v>17055</v>
      </c>
      <c r="B3257" s="4" t="s">
        <v>565</v>
      </c>
      <c r="C3257" s="4" t="s">
        <v>278</v>
      </c>
      <c r="D3257" s="94">
        <v>2122.0</v>
      </c>
    </row>
    <row r="3258">
      <c r="A3258" s="40">
        <f t="array" ref="A3258">IFNA(index(PlayerValues!A:A,match(IFNA(vlookup(B3258,'Special Names'!A:B,2,FALSE),B3258),PlayerValues!E:E,0)),"N/A")</f>
        <v>16212</v>
      </c>
      <c r="B3258" s="4" t="s">
        <v>568</v>
      </c>
      <c r="C3258" s="4" t="s">
        <v>298</v>
      </c>
      <c r="D3258" s="94">
        <v>2494.0</v>
      </c>
    </row>
    <row r="3259">
      <c r="A3259" s="40" t="str">
        <f t="array" ref="A3259">IFNA(index(PlayerValues!A:A,match(IFNA(vlookup(B3259,'Special Names'!A:B,2,FALSE),B3259),PlayerValues!E:E,0)),"N/A")</f>
        <v>N/A</v>
      </c>
      <c r="B3259" s="4" t="s">
        <v>113</v>
      </c>
      <c r="C3259" s="4" t="s">
        <v>325</v>
      </c>
      <c r="D3259" s="94">
        <v>2101.0</v>
      </c>
    </row>
    <row r="3260">
      <c r="A3260" s="40">
        <f t="array" ref="A3260">IFNA(index(PlayerValues!A:A,match(IFNA(vlookup(B3260,'Special Names'!A:B,2,FALSE),B3260),PlayerValues!E:E,0)),"N/A")</f>
        <v>16189</v>
      </c>
      <c r="B3260" s="4" t="s">
        <v>582</v>
      </c>
      <c r="C3260" s="4" t="s">
        <v>287</v>
      </c>
      <c r="D3260" s="94">
        <v>2097.0</v>
      </c>
    </row>
    <row r="3261">
      <c r="A3261" s="40">
        <f t="array" ref="A3261">IFNA(index(PlayerValues!A:A,match(IFNA(vlookup(B3261,'Special Names'!A:B,2,FALSE),B3261),PlayerValues!E:E,0)),"N/A")</f>
        <v>14974</v>
      </c>
      <c r="B3261" s="4" t="s">
        <v>611</v>
      </c>
      <c r="C3261" s="4" t="s">
        <v>287</v>
      </c>
      <c r="D3261" s="94">
        <v>2091.0</v>
      </c>
    </row>
    <row r="3262">
      <c r="A3262" s="40">
        <f t="array" ref="A3262">IFNA(index(PlayerValues!A:A,match(IFNA(vlookup(B3262,'Special Names'!A:B,2,FALSE),B3262),PlayerValues!E:E,0)),"N/A")</f>
        <v>17046</v>
      </c>
      <c r="B3262" s="4" t="s">
        <v>602</v>
      </c>
      <c r="C3262" s="4" t="s">
        <v>278</v>
      </c>
      <c r="D3262" s="94">
        <v>2089.0</v>
      </c>
    </row>
    <row r="3263">
      <c r="A3263" s="40" t="str">
        <f t="array" ref="A3263">IFNA(index(PlayerValues!A:A,match(IFNA(vlookup(B3263,'Special Names'!A:B,2,FALSE),B3263),PlayerValues!E:E,0)),"N/A")</f>
        <v>N/A</v>
      </c>
      <c r="B3263" s="4" t="s">
        <v>88</v>
      </c>
      <c r="C3263" s="4" t="s">
        <v>325</v>
      </c>
      <c r="D3263" s="94">
        <v>2083.0</v>
      </c>
    </row>
    <row r="3264">
      <c r="A3264" s="40">
        <f t="array" ref="A3264">IFNA(index(PlayerValues!A:A,match(IFNA(vlookup(B3264,'Special Names'!A:B,2,FALSE),B3264),PlayerValues!E:E,0)),"N/A")</f>
        <v>13132</v>
      </c>
      <c r="B3264" s="4" t="s">
        <v>598</v>
      </c>
      <c r="C3264" s="4" t="s">
        <v>278</v>
      </c>
      <c r="D3264" s="94">
        <v>2079.0</v>
      </c>
    </row>
    <row r="3265">
      <c r="A3265" s="40">
        <f t="array" ref="A3265">IFNA(index(PlayerValues!A:A,match(IFNA(vlookup(B3265,'Special Names'!A:B,2,FALSE),B3265),PlayerValues!E:E,0)),"N/A")</f>
        <v>16432</v>
      </c>
      <c r="B3265" s="4" t="s">
        <v>620</v>
      </c>
      <c r="C3265" s="4" t="s">
        <v>278</v>
      </c>
      <c r="D3265" s="94">
        <v>2074.0</v>
      </c>
    </row>
    <row r="3266">
      <c r="A3266" s="40">
        <f t="array" ref="A3266">IFNA(index(PlayerValues!A:A,match(IFNA(vlookup(B3266,'Special Names'!A:B,2,FALSE),B3266),PlayerValues!E:E,0)),"N/A")</f>
        <v>17056</v>
      </c>
      <c r="B3266" s="4" t="s">
        <v>581</v>
      </c>
      <c r="C3266" s="4" t="s">
        <v>278</v>
      </c>
      <c r="D3266" s="94">
        <v>2072.0</v>
      </c>
    </row>
    <row r="3267">
      <c r="A3267" s="40">
        <f t="array" ref="A3267">IFNA(index(PlayerValues!A:A,match(IFNA(vlookup(B3267,'Special Names'!A:B,2,FALSE),B3267),PlayerValues!E:E,0)),"N/A")</f>
        <v>15238</v>
      </c>
      <c r="B3267" s="4" t="s">
        <v>613</v>
      </c>
      <c r="C3267" s="4" t="s">
        <v>283</v>
      </c>
      <c r="D3267" s="94">
        <v>2070.0</v>
      </c>
    </row>
    <row r="3268">
      <c r="A3268" s="40">
        <f t="array" ref="A3268">IFNA(index(PlayerValues!A:A,match(IFNA(vlookup(B3268,'Special Names'!A:B,2,FALSE),B3268),PlayerValues!E:E,0)),"N/A")</f>
        <v>16643</v>
      </c>
      <c r="B3268" s="4" t="s">
        <v>609</v>
      </c>
      <c r="C3268" s="4" t="s">
        <v>298</v>
      </c>
      <c r="D3268" s="94">
        <v>2454.0</v>
      </c>
    </row>
    <row r="3269">
      <c r="A3269" s="40">
        <f t="array" ref="A3269">IFNA(index(PlayerValues!A:A,match(IFNA(vlookup(B3269,'Special Names'!A:B,2,FALSE),B3269),PlayerValues!E:E,0)),"N/A")</f>
        <v>15293</v>
      </c>
      <c r="B3269" s="4" t="s">
        <v>578</v>
      </c>
      <c r="C3269" s="4" t="s">
        <v>287</v>
      </c>
      <c r="D3269" s="94">
        <v>2062.0</v>
      </c>
    </row>
    <row r="3270">
      <c r="A3270" s="40">
        <f t="array" ref="A3270">IFNA(index(PlayerValues!A:A,match(IFNA(vlookup(B3270,'Special Names'!A:B,2,FALSE),B3270),PlayerValues!E:E,0)),"N/A")</f>
        <v>17060</v>
      </c>
      <c r="B3270" s="4" t="s">
        <v>603</v>
      </c>
      <c r="C3270" s="4" t="s">
        <v>278</v>
      </c>
      <c r="D3270" s="94">
        <v>2046.0</v>
      </c>
    </row>
    <row r="3271">
      <c r="A3271" s="40">
        <f t="array" ref="A3271">IFNA(index(PlayerValues!A:A,match(IFNA(vlookup(B3271,'Special Names'!A:B,2,FALSE),B3271),PlayerValues!E:E,0)),"N/A")</f>
        <v>17069</v>
      </c>
      <c r="B3271" s="4" t="s">
        <v>604</v>
      </c>
      <c r="C3271" s="4" t="s">
        <v>278</v>
      </c>
      <c r="D3271" s="94">
        <v>2038.0</v>
      </c>
    </row>
    <row r="3272">
      <c r="A3272" s="40">
        <f t="array" ref="A3272">IFNA(index(PlayerValues!A:A,match(IFNA(vlookup(B3272,'Special Names'!A:B,2,FALSE),B3272),PlayerValues!E:E,0)),"N/A")</f>
        <v>17061</v>
      </c>
      <c r="B3272" s="4" t="s">
        <v>580</v>
      </c>
      <c r="C3272" s="4" t="s">
        <v>278</v>
      </c>
      <c r="D3272" s="94">
        <v>2033.0</v>
      </c>
    </row>
    <row r="3273">
      <c r="A3273" s="40">
        <f t="array" ref="A3273">IFNA(index(PlayerValues!A:A,match(IFNA(vlookup(B3273,'Special Names'!A:B,2,FALSE),B3273),PlayerValues!E:E,0)),"N/A")</f>
        <v>12801</v>
      </c>
      <c r="B3273" s="4" t="s">
        <v>722</v>
      </c>
      <c r="C3273" s="4" t="s">
        <v>287</v>
      </c>
      <c r="D3273" s="94">
        <v>2025.0</v>
      </c>
    </row>
    <row r="3274">
      <c r="A3274" s="40">
        <f t="array" ref="A3274">IFNA(index(PlayerValues!A:A,match(IFNA(vlookup(B3274,'Special Names'!A:B,2,FALSE),B3274),PlayerValues!E:E,0)),"N/A")</f>
        <v>16342</v>
      </c>
      <c r="B3274" s="4" t="s">
        <v>583</v>
      </c>
      <c r="C3274" s="4" t="s">
        <v>287</v>
      </c>
      <c r="D3274" s="94">
        <v>2018.0</v>
      </c>
    </row>
    <row r="3275">
      <c r="A3275" s="40">
        <f t="array" ref="A3275">IFNA(index(PlayerValues!A:A,match(IFNA(vlookup(B3275,'Special Names'!A:B,2,FALSE),B3275),PlayerValues!E:E,0)),"N/A")</f>
        <v>17087</v>
      </c>
      <c r="B3275" s="4" t="s">
        <v>600</v>
      </c>
      <c r="C3275" s="4" t="s">
        <v>287</v>
      </c>
      <c r="D3275" s="94">
        <v>2016.0</v>
      </c>
    </row>
    <row r="3276">
      <c r="A3276" s="40">
        <f t="array" ref="A3276">IFNA(index(PlayerValues!A:A,match(IFNA(vlookup(B3276,'Special Names'!A:B,2,FALSE),B3276),PlayerValues!E:E,0)),"N/A")</f>
        <v>17076</v>
      </c>
      <c r="B3276" s="4" t="s">
        <v>585</v>
      </c>
      <c r="C3276" s="4" t="s">
        <v>287</v>
      </c>
      <c r="D3276" s="94">
        <v>2004.0</v>
      </c>
    </row>
    <row r="3277">
      <c r="A3277" s="40" t="str">
        <f t="array" ref="A3277">IFNA(index(PlayerValues!A:A,match(IFNA(vlookup(B3277,'Special Names'!A:B,2,FALSE),B3277),PlayerValues!E:E,0)),"N/A")</f>
        <v>N/A</v>
      </c>
      <c r="B3277" s="4" t="s">
        <v>114</v>
      </c>
      <c r="C3277" s="4" t="s">
        <v>325</v>
      </c>
      <c r="D3277" s="94">
        <v>1992.0</v>
      </c>
    </row>
    <row r="3278">
      <c r="A3278" s="40">
        <f t="array" ref="A3278">IFNA(index(PlayerValues!A:A,match(IFNA(vlookup(B3278,'Special Names'!A:B,2,FALSE),B3278),PlayerValues!E:E,0)),"N/A")</f>
        <v>13633</v>
      </c>
      <c r="B3278" s="4" t="s">
        <v>625</v>
      </c>
      <c r="C3278" s="4" t="s">
        <v>287</v>
      </c>
      <c r="D3278" s="94">
        <v>1987.0</v>
      </c>
    </row>
    <row r="3279">
      <c r="A3279" s="40">
        <f t="array" ref="A3279">IFNA(index(PlayerValues!A:A,match(IFNA(vlookup(B3279,'Special Names'!A:B,2,FALSE),B3279),PlayerValues!E:E,0)),"N/A")</f>
        <v>10700</v>
      </c>
      <c r="B3279" s="4" t="s">
        <v>596</v>
      </c>
      <c r="C3279" s="4" t="s">
        <v>283</v>
      </c>
      <c r="D3279" s="94">
        <v>1978.0</v>
      </c>
    </row>
    <row r="3280">
      <c r="A3280" s="40">
        <f t="array" ref="A3280">IFNA(index(PlayerValues!A:A,match(IFNA(vlookup(B3280,'Special Names'!A:B,2,FALSE),B3280),PlayerValues!E:E,0)),"N/A")</f>
        <v>16603</v>
      </c>
      <c r="B3280" s="4" t="s">
        <v>587</v>
      </c>
      <c r="C3280" s="4" t="s">
        <v>278</v>
      </c>
      <c r="D3280" s="94">
        <v>1974.0</v>
      </c>
    </row>
    <row r="3281">
      <c r="A3281" s="40">
        <f t="array" ref="A3281">IFNA(index(PlayerValues!A:A,match(IFNA(vlookup(B3281,'Special Names'!A:B,2,FALSE),B3281),PlayerValues!E:E,0)),"N/A")</f>
        <v>14867</v>
      </c>
      <c r="B3281" s="4" t="s">
        <v>591</v>
      </c>
      <c r="C3281" s="4" t="s">
        <v>298</v>
      </c>
      <c r="D3281" s="94">
        <v>2361.0</v>
      </c>
    </row>
    <row r="3282">
      <c r="A3282" s="40">
        <f t="array" ref="A3282">IFNA(index(PlayerValues!A:A,match(IFNA(vlookup(B3282,'Special Names'!A:B,2,FALSE),B3282),PlayerValues!E:E,0)),"N/A")</f>
        <v>17036</v>
      </c>
      <c r="B3282" s="4" t="s">
        <v>617</v>
      </c>
      <c r="C3282" s="4" t="s">
        <v>283</v>
      </c>
      <c r="D3282" s="94">
        <v>1970.0</v>
      </c>
    </row>
    <row r="3283">
      <c r="A3283" s="40">
        <f t="array" ref="A3283">IFNA(index(PlayerValues!A:A,match(IFNA(vlookup(B3283,'Special Names'!A:B,2,FALSE),B3283),PlayerValues!E:E,0)),"N/A")</f>
        <v>17184</v>
      </c>
      <c r="B3283" s="4" t="s">
        <v>588</v>
      </c>
      <c r="C3283" s="4" t="s">
        <v>287</v>
      </c>
      <c r="D3283" s="94">
        <v>1953.0</v>
      </c>
    </row>
    <row r="3284">
      <c r="A3284" s="40">
        <f t="array" ref="A3284">IFNA(index(PlayerValues!A:A,match(IFNA(vlookup(B3284,'Special Names'!A:B,2,FALSE),B3284),PlayerValues!E:E,0)),"N/A")</f>
        <v>16639</v>
      </c>
      <c r="B3284" s="4" t="s">
        <v>599</v>
      </c>
      <c r="C3284" s="4" t="s">
        <v>287</v>
      </c>
      <c r="D3284" s="94">
        <v>1944.0</v>
      </c>
    </row>
    <row r="3285">
      <c r="A3285" s="40">
        <f t="array" ref="A3285">IFNA(index(PlayerValues!A:A,match(IFNA(vlookup(B3285,'Special Names'!A:B,2,FALSE),B3285),PlayerValues!E:E,0)),"N/A")</f>
        <v>16604</v>
      </c>
      <c r="B3285" s="4" t="s">
        <v>476</v>
      </c>
      <c r="C3285" s="4" t="s">
        <v>278</v>
      </c>
      <c r="D3285" s="94">
        <v>1935.0</v>
      </c>
    </row>
    <row r="3286">
      <c r="A3286" s="40" t="str">
        <f t="array" ref="A3286">IFNA(index(PlayerValues!A:A,match(IFNA(vlookup(B3286,'Special Names'!A:B,2,FALSE),B3286),PlayerValues!E:E,0)),"N/A")</f>
        <v>N/A</v>
      </c>
      <c r="B3286" s="4" t="s">
        <v>101</v>
      </c>
      <c r="C3286" s="4" t="s">
        <v>325</v>
      </c>
      <c r="D3286" s="94">
        <v>1920.0</v>
      </c>
    </row>
    <row r="3287">
      <c r="A3287" s="40">
        <f t="array" ref="A3287">IFNA(index(PlayerValues!A:A,match(IFNA(vlookup(B3287,'Special Names'!A:B,2,FALSE),B3287),PlayerValues!E:E,0)),"N/A")</f>
        <v>7836</v>
      </c>
      <c r="B3287" s="4" t="s">
        <v>590</v>
      </c>
      <c r="C3287" s="4" t="s">
        <v>283</v>
      </c>
      <c r="D3287" s="94">
        <v>1889.0</v>
      </c>
    </row>
    <row r="3288">
      <c r="A3288" s="40">
        <f t="array" ref="A3288">IFNA(index(PlayerValues!A:A,match(IFNA(vlookup(B3288,'Special Names'!A:B,2,FALSE),B3288),PlayerValues!E:E,0)),"N/A")</f>
        <v>13189</v>
      </c>
      <c r="B3288" s="4" t="s">
        <v>626</v>
      </c>
      <c r="C3288" s="4" t="s">
        <v>298</v>
      </c>
      <c r="D3288" s="94">
        <v>2260.0</v>
      </c>
    </row>
    <row r="3289">
      <c r="A3289" s="40">
        <f t="array" ref="A3289">IFNA(index(PlayerValues!A:A,match(IFNA(vlookup(B3289,'Special Names'!A:B,2,FALSE),B3289),PlayerValues!E:E,0)),"N/A")</f>
        <v>13629</v>
      </c>
      <c r="B3289" s="4" t="s">
        <v>619</v>
      </c>
      <c r="C3289" s="4" t="s">
        <v>287</v>
      </c>
      <c r="D3289" s="94">
        <v>1868.0</v>
      </c>
    </row>
    <row r="3290">
      <c r="A3290" s="40">
        <f t="array" ref="A3290">IFNA(index(PlayerValues!A:A,match(IFNA(vlookup(B3290,'Special Names'!A:B,2,FALSE),B3290),PlayerValues!E:E,0)),"N/A")</f>
        <v>14871</v>
      </c>
      <c r="B3290" s="4" t="s">
        <v>584</v>
      </c>
      <c r="C3290" s="4" t="s">
        <v>298</v>
      </c>
      <c r="D3290" s="94">
        <v>2248.0</v>
      </c>
    </row>
    <row r="3291">
      <c r="A3291" s="40">
        <f t="array" ref="A3291">IFNA(index(PlayerValues!A:A,match(IFNA(vlookup(B3291,'Special Names'!A:B,2,FALSE),B3291),PlayerValues!E:E,0)),"N/A")</f>
        <v>16191</v>
      </c>
      <c r="B3291" s="4" t="s">
        <v>666</v>
      </c>
      <c r="C3291" s="4" t="s">
        <v>287</v>
      </c>
      <c r="D3291" s="94">
        <v>1860.0</v>
      </c>
    </row>
    <row r="3292">
      <c r="A3292" s="40">
        <f t="array" ref="A3292">IFNA(index(PlayerValues!A:A,match(IFNA(vlookup(B3292,'Special Names'!A:B,2,FALSE),B3292),PlayerValues!E:E,0)),"N/A")</f>
        <v>17086</v>
      </c>
      <c r="B3292" s="4" t="s">
        <v>612</v>
      </c>
      <c r="C3292" s="4" t="s">
        <v>287</v>
      </c>
      <c r="D3292" s="94">
        <v>1859.0</v>
      </c>
    </row>
    <row r="3293">
      <c r="A3293" s="40">
        <f t="array" ref="A3293">IFNA(index(PlayerValues!A:A,match(IFNA(vlookup(B3293,'Special Names'!A:B,2,FALSE),B3293),PlayerValues!E:E,0)),"N/A")</f>
        <v>17049</v>
      </c>
      <c r="B3293" s="4" t="s">
        <v>624</v>
      </c>
      <c r="C3293" s="4" t="s">
        <v>278</v>
      </c>
      <c r="D3293" s="94">
        <v>1854.0</v>
      </c>
    </row>
    <row r="3294">
      <c r="A3294" s="40">
        <f t="array" ref="A3294">IFNA(index(PlayerValues!A:A,match(IFNA(vlookup(B3294,'Special Names'!A:B,2,FALSE),B3294),PlayerValues!E:E,0)),"N/A")</f>
        <v>16171</v>
      </c>
      <c r="B3294" s="4" t="s">
        <v>618</v>
      </c>
      <c r="C3294" s="4" t="s">
        <v>278</v>
      </c>
      <c r="D3294" s="94">
        <v>1853.0</v>
      </c>
    </row>
    <row r="3295">
      <c r="A3295" s="40">
        <f t="array" ref="A3295">IFNA(index(PlayerValues!A:A,match(IFNA(vlookup(B3295,'Special Names'!A:B,2,FALSE),B3295),PlayerValues!E:E,0)),"N/A")</f>
        <v>16215</v>
      </c>
      <c r="B3295" s="4" t="s">
        <v>637</v>
      </c>
      <c r="C3295" s="4" t="s">
        <v>298</v>
      </c>
      <c r="D3295" s="94">
        <v>2224.0</v>
      </c>
    </row>
    <row r="3296">
      <c r="A3296" s="40">
        <f t="array" ref="A3296">IFNA(index(PlayerValues!A:A,match(IFNA(vlookup(B3296,'Special Names'!A:B,2,FALSE),B3296),PlayerValues!E:E,0)),"N/A")</f>
        <v>16752</v>
      </c>
      <c r="B3296" s="4" t="s">
        <v>597</v>
      </c>
      <c r="C3296" s="4" t="s">
        <v>278</v>
      </c>
      <c r="D3296" s="94">
        <v>1842.0</v>
      </c>
    </row>
    <row r="3297">
      <c r="A3297" s="40">
        <f t="array" ref="A3297">IFNA(index(PlayerValues!A:A,match(IFNA(vlookup(B3297,'Special Names'!A:B,2,FALSE),B3297),PlayerValues!E:E,0)),"N/A")</f>
        <v>15787</v>
      </c>
      <c r="B3297" s="4" t="s">
        <v>610</v>
      </c>
      <c r="C3297" s="4" t="s">
        <v>287</v>
      </c>
      <c r="D3297" s="94">
        <v>1838.0</v>
      </c>
    </row>
    <row r="3298">
      <c r="A3298" s="40">
        <f t="array" ref="A3298">IFNA(index(PlayerValues!A:A,match(IFNA(vlookup(B3298,'Special Names'!A:B,2,FALSE),B3298),PlayerValues!E:E,0)),"N/A")</f>
        <v>15797</v>
      </c>
      <c r="B3298" s="4" t="s">
        <v>556</v>
      </c>
      <c r="C3298" s="4" t="s">
        <v>298</v>
      </c>
      <c r="D3298" s="94">
        <v>2206.0</v>
      </c>
    </row>
    <row r="3299">
      <c r="A3299" s="40">
        <f t="array" ref="A3299">IFNA(index(PlayerValues!A:A,match(IFNA(vlookup(B3299,'Special Names'!A:B,2,FALSE),B3299),PlayerValues!E:E,0)),"N/A")</f>
        <v>16216</v>
      </c>
      <c r="B3299" s="4" t="s">
        <v>595</v>
      </c>
      <c r="C3299" s="4" t="s">
        <v>298</v>
      </c>
      <c r="D3299" s="94">
        <v>2195.0</v>
      </c>
    </row>
    <row r="3300">
      <c r="A3300" s="40">
        <f t="array" ref="A3300">IFNA(index(PlayerValues!A:A,match(IFNA(vlookup(B3300,'Special Names'!A:B,2,FALSE),B3300),PlayerValues!E:E,0)),"N/A")</f>
        <v>13146</v>
      </c>
      <c r="B3300" s="4" t="s">
        <v>652</v>
      </c>
      <c r="C3300" s="4" t="s">
        <v>278</v>
      </c>
      <c r="D3300" s="94">
        <v>1806.0</v>
      </c>
    </row>
    <row r="3301">
      <c r="A3301" s="40">
        <f t="array" ref="A3301">IFNA(index(PlayerValues!A:A,match(IFNA(vlookup(B3301,'Special Names'!A:B,2,FALSE),B3301),PlayerValues!E:E,0)),"N/A")</f>
        <v>15788</v>
      </c>
      <c r="B3301" s="4" t="s">
        <v>627</v>
      </c>
      <c r="C3301" s="4" t="s">
        <v>287</v>
      </c>
      <c r="D3301" s="94">
        <v>1801.0</v>
      </c>
    </row>
    <row r="3302">
      <c r="A3302" s="40">
        <f t="array" ref="A3302">IFNA(index(PlayerValues!A:A,match(IFNA(vlookup(B3302,'Special Names'!A:B,2,FALSE),B3302),PlayerValues!E:E,0)),"N/A")</f>
        <v>17034</v>
      </c>
      <c r="B3302" s="4" t="s">
        <v>643</v>
      </c>
      <c r="C3302" s="4" t="s">
        <v>283</v>
      </c>
      <c r="D3302" s="94">
        <v>1801.0</v>
      </c>
    </row>
    <row r="3303">
      <c r="A3303" s="40">
        <f t="array" ref="A3303">IFNA(index(PlayerValues!A:A,match(IFNA(vlookup(B3303,'Special Names'!A:B,2,FALSE),B3303),PlayerValues!E:E,0)),"N/A")</f>
        <v>17467</v>
      </c>
      <c r="B3303" s="4" t="s">
        <v>575</v>
      </c>
      <c r="C3303" s="4" t="s">
        <v>283</v>
      </c>
      <c r="D3303" s="94">
        <v>1797.0</v>
      </c>
    </row>
    <row r="3304">
      <c r="A3304" s="40">
        <f t="array" ref="A3304">IFNA(index(PlayerValues!A:A,match(IFNA(vlookup(B3304,'Special Names'!A:B,2,FALSE),B3304),PlayerValues!E:E,0)),"N/A")</f>
        <v>14143</v>
      </c>
      <c r="B3304" s="4" t="s">
        <v>635</v>
      </c>
      <c r="C3304" s="4" t="s">
        <v>298</v>
      </c>
      <c r="D3304" s="94">
        <v>2159.0</v>
      </c>
    </row>
    <row r="3305">
      <c r="A3305" s="40">
        <f t="array" ref="A3305">IFNA(index(PlayerValues!A:A,match(IFNA(vlookup(B3305,'Special Names'!A:B,2,FALSE),B3305),PlayerValues!E:E,0)),"N/A")</f>
        <v>16778</v>
      </c>
      <c r="B3305" s="4" t="s">
        <v>577</v>
      </c>
      <c r="C3305" s="4" t="s">
        <v>287</v>
      </c>
      <c r="D3305" s="94">
        <v>1761.0</v>
      </c>
    </row>
    <row r="3306">
      <c r="A3306" s="40">
        <f t="array" ref="A3306">IFNA(index(PlayerValues!A:A,match(IFNA(vlookup(B3306,'Special Names'!A:B,2,FALSE),B3306),PlayerValues!E:E,0)),"N/A")</f>
        <v>13164</v>
      </c>
      <c r="B3306" s="4" t="s">
        <v>632</v>
      </c>
      <c r="C3306" s="4" t="s">
        <v>287</v>
      </c>
      <c r="D3306" s="94">
        <v>1753.0</v>
      </c>
    </row>
    <row r="3307">
      <c r="A3307" s="40">
        <f t="array" ref="A3307">IFNA(index(PlayerValues!A:A,match(IFNA(vlookup(B3307,'Special Names'!A:B,2,FALSE),B3307),PlayerValues!E:E,0)),"N/A")</f>
        <v>17035</v>
      </c>
      <c r="B3307" s="4" t="s">
        <v>650</v>
      </c>
      <c r="C3307" s="4" t="s">
        <v>283</v>
      </c>
      <c r="D3307" s="94">
        <v>1749.0</v>
      </c>
    </row>
    <row r="3308">
      <c r="A3308" s="40">
        <f t="array" ref="A3308">IFNA(index(PlayerValues!A:A,match(IFNA(vlookup(B3308,'Special Names'!A:B,2,FALSE),B3308),PlayerValues!E:E,0)),"N/A")</f>
        <v>17481</v>
      </c>
      <c r="B3308" s="4" t="s">
        <v>540</v>
      </c>
      <c r="C3308" s="4" t="s">
        <v>278</v>
      </c>
      <c r="D3308" s="94">
        <v>1749.0</v>
      </c>
    </row>
    <row r="3309">
      <c r="A3309" s="40">
        <f t="array" ref="A3309">IFNA(index(PlayerValues!A:A,match(IFNA(vlookup(B3309,'Special Names'!A:B,2,FALSE),B3309),PlayerValues!E:E,0)),"N/A")</f>
        <v>16644</v>
      </c>
      <c r="B3309" s="4" t="s">
        <v>640</v>
      </c>
      <c r="C3309" s="4" t="s">
        <v>298</v>
      </c>
      <c r="D3309" s="94">
        <v>2124.0</v>
      </c>
    </row>
    <row r="3310">
      <c r="A3310" s="40" t="str">
        <f t="array" ref="A3310">IFNA(index(PlayerValues!A:A,match(IFNA(vlookup(B3310,'Special Names'!A:B,2,FALSE),B3310),PlayerValues!E:E,0)),"N/A")</f>
        <v>N/A</v>
      </c>
      <c r="B3310" s="4" t="s">
        <v>102</v>
      </c>
      <c r="C3310" s="4" t="s">
        <v>325</v>
      </c>
      <c r="D3310" s="94">
        <v>1738.0</v>
      </c>
    </row>
    <row r="3311">
      <c r="A3311" s="40">
        <f t="array" ref="A3311">IFNA(index(PlayerValues!A:A,match(IFNA(vlookup(B3311,'Special Names'!A:B,2,FALSE),B3311),PlayerValues!E:E,0)),"N/A")</f>
        <v>14105</v>
      </c>
      <c r="B3311" s="4" t="s">
        <v>675</v>
      </c>
      <c r="C3311" s="4" t="s">
        <v>287</v>
      </c>
      <c r="D3311" s="94">
        <v>1735.0</v>
      </c>
    </row>
    <row r="3312">
      <c r="A3312" s="40">
        <f t="array" ref="A3312">IFNA(index(PlayerValues!A:A,match(IFNA(vlookup(B3312,'Special Names'!A:B,2,FALSE),B3312),PlayerValues!E:E,0)),"N/A")</f>
        <v>17528</v>
      </c>
      <c r="B3312" s="4" t="s">
        <v>579</v>
      </c>
      <c r="C3312" s="4" t="s">
        <v>287</v>
      </c>
      <c r="D3312" s="94">
        <v>1731.0</v>
      </c>
    </row>
    <row r="3313">
      <c r="A3313" s="40">
        <f t="array" ref="A3313">IFNA(index(PlayerValues!A:A,match(IFNA(vlookup(B3313,'Special Names'!A:B,2,FALSE),B3313),PlayerValues!E:E,0)),"N/A")</f>
        <v>17466</v>
      </c>
      <c r="B3313" s="4" t="s">
        <v>492</v>
      </c>
      <c r="C3313" s="4" t="s">
        <v>283</v>
      </c>
      <c r="D3313" s="94">
        <v>1725.0</v>
      </c>
    </row>
    <row r="3314">
      <c r="A3314" s="40">
        <f t="array" ref="A3314">IFNA(index(PlayerValues!A:A,match(IFNA(vlookup(B3314,'Special Names'!A:B,2,FALSE),B3314),PlayerValues!E:E,0)),"N/A")</f>
        <v>16635</v>
      </c>
      <c r="B3314" s="4" t="s">
        <v>645</v>
      </c>
      <c r="C3314" s="4" t="s">
        <v>287</v>
      </c>
      <c r="D3314" s="94">
        <v>1710.0</v>
      </c>
    </row>
    <row r="3315">
      <c r="A3315" s="40">
        <f t="array" ref="A3315">IFNA(index(PlayerValues!A:A,match(IFNA(vlookup(B3315,'Special Names'!A:B,2,FALSE),B3315),PlayerValues!E:E,0)),"N/A")</f>
        <v>16201</v>
      </c>
      <c r="B3315" s="4" t="s">
        <v>589</v>
      </c>
      <c r="C3315" s="4" t="s">
        <v>287</v>
      </c>
      <c r="D3315" s="94">
        <v>1709.0</v>
      </c>
    </row>
    <row r="3316">
      <c r="A3316" s="40">
        <f t="array" ref="A3316">IFNA(index(PlayerValues!A:A,match(IFNA(vlookup(B3316,'Special Names'!A:B,2,FALSE),B3316),PlayerValues!E:E,0)),"N/A")</f>
        <v>16585</v>
      </c>
      <c r="B3316" s="4" t="s">
        <v>623</v>
      </c>
      <c r="C3316" s="4" t="s">
        <v>283</v>
      </c>
      <c r="D3316" s="94">
        <v>1707.0</v>
      </c>
    </row>
    <row r="3317">
      <c r="A3317" s="40" t="str">
        <f t="array" ref="A3317">IFNA(index(PlayerValues!A:A,match(IFNA(vlookup(B3317,'Special Names'!A:B,2,FALSE),B3317),PlayerValues!E:E,0)),"N/A")</f>
        <v>N/A</v>
      </c>
      <c r="B3317" s="4" t="s">
        <v>89</v>
      </c>
      <c r="C3317" s="4" t="s">
        <v>325</v>
      </c>
      <c r="D3317" s="94">
        <v>1705.0</v>
      </c>
    </row>
    <row r="3318">
      <c r="A3318" s="40">
        <f t="array" ref="A3318">IFNA(index(PlayerValues!A:A,match(IFNA(vlookup(B3318,'Special Names'!A:B,2,FALSE),B3318),PlayerValues!E:E,0)),"N/A")</f>
        <v>17096</v>
      </c>
      <c r="B3318" s="4" t="s">
        <v>638</v>
      </c>
      <c r="C3318" s="4" t="s">
        <v>287</v>
      </c>
      <c r="D3318" s="94">
        <v>1693.0</v>
      </c>
    </row>
    <row r="3319">
      <c r="A3319" s="40">
        <f t="array" ref="A3319">IFNA(index(PlayerValues!A:A,match(IFNA(vlookup(B3319,'Special Names'!A:B,2,FALSE),B3319),PlayerValues!E:E,0)),"N/A")</f>
        <v>17465</v>
      </c>
      <c r="B3319" s="4" t="s">
        <v>649</v>
      </c>
      <c r="C3319" s="4" t="s">
        <v>283</v>
      </c>
      <c r="D3319" s="94">
        <v>1693.0</v>
      </c>
    </row>
    <row r="3320">
      <c r="A3320" s="40" t="str">
        <f t="array" ref="A3320">IFNA(index(PlayerValues!A:A,match(IFNA(vlookup(B3320,'Special Names'!A:B,2,FALSE),B3320),PlayerValues!E:E,0)),"N/A")</f>
        <v>N/A</v>
      </c>
      <c r="B3320" s="4" t="s">
        <v>103</v>
      </c>
      <c r="C3320" s="4" t="s">
        <v>325</v>
      </c>
      <c r="D3320" s="94">
        <v>1691.0</v>
      </c>
    </row>
    <row r="3321">
      <c r="A3321" s="40">
        <f t="array" ref="A3321">IFNA(index(PlayerValues!A:A,match(IFNA(vlookup(B3321,'Special Names'!A:B,2,FALSE),B3321),PlayerValues!E:E,0)),"N/A")</f>
        <v>15755</v>
      </c>
      <c r="B3321" s="4" t="s">
        <v>628</v>
      </c>
      <c r="C3321" s="4" t="s">
        <v>287</v>
      </c>
      <c r="D3321" s="94">
        <v>1687.0</v>
      </c>
    </row>
    <row r="3322">
      <c r="A3322" s="40">
        <f t="array" ref="A3322">IFNA(index(PlayerValues!A:A,match(IFNA(vlookup(B3322,'Special Names'!A:B,2,FALSE),B3322),PlayerValues!E:E,0)),"N/A")</f>
        <v>15254</v>
      </c>
      <c r="B3322" s="4" t="s">
        <v>633</v>
      </c>
      <c r="C3322" s="4" t="s">
        <v>278</v>
      </c>
      <c r="D3322" s="94">
        <v>1685.0</v>
      </c>
    </row>
    <row r="3323">
      <c r="A3323" s="40">
        <f t="array" ref="A3323">IFNA(index(PlayerValues!A:A,match(IFNA(vlookup(B3323,'Special Names'!A:B,2,FALSE),B3323),PlayerValues!E:E,0)),"N/A")</f>
        <v>17064</v>
      </c>
      <c r="B3323" s="4" t="s">
        <v>631</v>
      </c>
      <c r="C3323" s="4" t="s">
        <v>278</v>
      </c>
      <c r="D3323" s="94">
        <v>1668.0</v>
      </c>
    </row>
    <row r="3324">
      <c r="A3324" s="40">
        <f t="array" ref="A3324">IFNA(index(PlayerValues!A:A,match(IFNA(vlookup(B3324,'Special Names'!A:B,2,FALSE),B3324),PlayerValues!E:E,0)),"N/A")</f>
        <v>16601</v>
      </c>
      <c r="B3324" s="4" t="s">
        <v>648</v>
      </c>
      <c r="C3324" s="4" t="s">
        <v>278</v>
      </c>
      <c r="D3324" s="94">
        <v>1658.0</v>
      </c>
    </row>
    <row r="3325">
      <c r="A3325" s="40">
        <f t="array" ref="A3325">IFNA(index(PlayerValues!A:A,match(IFNA(vlookup(B3325,'Special Names'!A:B,2,FALSE),B3325),PlayerValues!E:E,0)),"N/A")</f>
        <v>17058</v>
      </c>
      <c r="B3325" s="4" t="s">
        <v>641</v>
      </c>
      <c r="C3325" s="4" t="s">
        <v>278</v>
      </c>
      <c r="D3325" s="94">
        <v>1655.0</v>
      </c>
    </row>
    <row r="3326">
      <c r="A3326" s="40">
        <f t="array" ref="A3326">IFNA(index(PlayerValues!A:A,match(IFNA(vlookup(B3326,'Special Names'!A:B,2,FALSE),B3326),PlayerValues!E:E,0)),"N/A")</f>
        <v>16586</v>
      </c>
      <c r="B3326" s="4" t="s">
        <v>658</v>
      </c>
      <c r="C3326" s="4" t="s">
        <v>283</v>
      </c>
      <c r="D3326" s="94">
        <v>1653.0</v>
      </c>
    </row>
    <row r="3327">
      <c r="A3327" s="40">
        <f t="array" ref="A3327">IFNA(index(PlayerValues!A:A,match(IFNA(vlookup(B3327,'Special Names'!A:B,2,FALSE),B3327),PlayerValues!E:E,0)),"N/A")</f>
        <v>16207</v>
      </c>
      <c r="B3327" s="4" t="s">
        <v>636</v>
      </c>
      <c r="C3327" s="4" t="s">
        <v>287</v>
      </c>
      <c r="D3327" s="94">
        <v>1643.0</v>
      </c>
    </row>
    <row r="3328">
      <c r="A3328" s="40">
        <f t="array" ref="A3328">IFNA(index(PlayerValues!A:A,match(IFNA(vlookup(B3328,'Special Names'!A:B,2,FALSE),B3328),PlayerValues!E:E,0)),"N/A")</f>
        <v>15301</v>
      </c>
      <c r="B3328" s="4" t="s">
        <v>657</v>
      </c>
      <c r="C3328" s="4" t="s">
        <v>287</v>
      </c>
      <c r="D3328" s="94">
        <v>1624.0</v>
      </c>
    </row>
    <row r="3329">
      <c r="A3329" s="40" t="str">
        <f t="array" ref="A3329">IFNA(index(PlayerValues!A:A,match(IFNA(vlookup(B3329,'Special Names'!A:B,2,FALSE),B3329),PlayerValues!E:E,0)),"N/A")</f>
        <v>N/A</v>
      </c>
      <c r="B3329" s="4" t="s">
        <v>115</v>
      </c>
      <c r="C3329" s="4" t="s">
        <v>325</v>
      </c>
      <c r="D3329" s="94">
        <v>1615.0</v>
      </c>
    </row>
    <row r="3330">
      <c r="A3330" s="40">
        <f t="array" ref="A3330">IFNA(index(PlayerValues!A:A,match(IFNA(vlookup(B3330,'Special Names'!A:B,2,FALSE),B3330),PlayerValues!E:E,0)),"N/A")</f>
        <v>16629</v>
      </c>
      <c r="B3330" s="4" t="s">
        <v>605</v>
      </c>
      <c r="C3330" s="4" t="s">
        <v>287</v>
      </c>
      <c r="D3330" s="94">
        <v>1613.0</v>
      </c>
    </row>
    <row r="3331">
      <c r="A3331" s="40">
        <f t="array" ref="A3331">IFNA(index(PlayerValues!A:A,match(IFNA(vlookup(B3331,'Special Names'!A:B,2,FALSE),B3331),PlayerValues!E:E,0)),"N/A")</f>
        <v>15319</v>
      </c>
      <c r="B3331" s="4" t="s">
        <v>644</v>
      </c>
      <c r="C3331" s="4" t="s">
        <v>287</v>
      </c>
      <c r="D3331" s="94">
        <v>1610.0</v>
      </c>
    </row>
    <row r="3332">
      <c r="A3332" s="40" t="str">
        <f t="array" ref="A3332">IFNA(index(PlayerValues!A:A,match(IFNA(vlookup(B3332,'Special Names'!A:B,2,FALSE),B3332),PlayerValues!E:E,0)),"N/A")</f>
        <v>N/A</v>
      </c>
      <c r="B3332" s="4" t="s">
        <v>90</v>
      </c>
      <c r="C3332" s="4" t="s">
        <v>325</v>
      </c>
      <c r="D3332" s="94">
        <v>1600.0</v>
      </c>
    </row>
    <row r="3333">
      <c r="A3333" s="40">
        <f t="array" ref="A3333">IFNA(index(PlayerValues!A:A,match(IFNA(vlookup(B3333,'Special Names'!A:B,2,FALSE),B3333),PlayerValues!E:E,0)),"N/A")</f>
        <v>16688</v>
      </c>
      <c r="B3333" s="4" t="s">
        <v>688</v>
      </c>
      <c r="C3333" s="4" t="s">
        <v>278</v>
      </c>
      <c r="D3333" s="94">
        <v>1592.0</v>
      </c>
    </row>
    <row r="3334">
      <c r="A3334" s="40">
        <f t="array" ref="A3334">IFNA(index(PlayerValues!A:A,match(IFNA(vlookup(B3334,'Special Names'!A:B,2,FALSE),B3334),PlayerValues!E:E,0)),"N/A")</f>
        <v>15713</v>
      </c>
      <c r="B3334" s="4" t="s">
        <v>732</v>
      </c>
      <c r="C3334" s="4" t="s">
        <v>278</v>
      </c>
      <c r="D3334" s="94">
        <v>1568.0</v>
      </c>
    </row>
    <row r="3335">
      <c r="A3335" s="40">
        <f t="array" ref="A3335">IFNA(index(PlayerValues!A:A,match(IFNA(vlookup(B3335,'Special Names'!A:B,2,FALSE),B3335),PlayerValues!E:E,0)),"N/A")</f>
        <v>16595</v>
      </c>
      <c r="B3335" s="4" t="s">
        <v>664</v>
      </c>
      <c r="C3335" s="4" t="s">
        <v>278</v>
      </c>
      <c r="D3335" s="94">
        <v>1565.0</v>
      </c>
    </row>
    <row r="3336">
      <c r="A3336" s="40">
        <f t="array" ref="A3336">IFNA(index(PlayerValues!A:A,match(IFNA(vlookup(B3336,'Special Names'!A:B,2,FALSE),B3336),PlayerValues!E:E,0)),"N/A")</f>
        <v>17205</v>
      </c>
      <c r="B3336" s="4" t="s">
        <v>665</v>
      </c>
      <c r="C3336" s="4" t="s">
        <v>287</v>
      </c>
      <c r="D3336" s="94">
        <v>1564.0</v>
      </c>
    </row>
    <row r="3337">
      <c r="A3337" s="40">
        <f t="array" ref="A3337">IFNA(index(PlayerValues!A:A,match(IFNA(vlookup(B3337,'Special Names'!A:B,2,FALSE),B3337),PlayerValues!E:E,0)),"N/A")</f>
        <v>16633</v>
      </c>
      <c r="B3337" s="4" t="s">
        <v>656</v>
      </c>
      <c r="C3337" s="4" t="s">
        <v>287</v>
      </c>
      <c r="D3337" s="94">
        <v>1563.0</v>
      </c>
    </row>
    <row r="3338">
      <c r="A3338" s="40" t="str">
        <f t="array" ref="A3338">IFNA(index(PlayerValues!A:A,match(IFNA(vlookup(B3338,'Special Names'!A:B,2,FALSE),B3338),PlayerValues!E:E,0)),"N/A")</f>
        <v>N/A</v>
      </c>
      <c r="B3338" s="4" t="s">
        <v>116</v>
      </c>
      <c r="C3338" s="4" t="s">
        <v>325</v>
      </c>
      <c r="D3338" s="94">
        <v>1563.0</v>
      </c>
    </row>
    <row r="3339">
      <c r="A3339" s="40">
        <f t="array" ref="A3339">IFNA(index(PlayerValues!A:A,match(IFNA(vlookup(B3339,'Special Names'!A:B,2,FALSE),B3339),PlayerValues!E:E,0)),"N/A")</f>
        <v>14122</v>
      </c>
      <c r="B3339" s="4" t="s">
        <v>663</v>
      </c>
      <c r="C3339" s="4" t="s">
        <v>287</v>
      </c>
      <c r="D3339" s="94">
        <v>1556.0</v>
      </c>
    </row>
    <row r="3340">
      <c r="A3340" s="40">
        <f t="array" ref="A3340">IFNA(index(PlayerValues!A:A,match(IFNA(vlookup(B3340,'Special Names'!A:B,2,FALSE),B3340),PlayerValues!E:E,0)),"N/A")</f>
        <v>17548</v>
      </c>
      <c r="B3340" s="4" t="s">
        <v>594</v>
      </c>
      <c r="C3340" s="4" t="s">
        <v>298</v>
      </c>
      <c r="D3340" s="94">
        <v>1930.0</v>
      </c>
    </row>
    <row r="3341">
      <c r="A3341" s="40">
        <f t="array" ref="A3341">IFNA(index(PlayerValues!A:A,match(IFNA(vlookup(B3341,'Special Names'!A:B,2,FALSE),B3341),PlayerValues!E:E,0)),"N/A")</f>
        <v>17234</v>
      </c>
      <c r="B3341" s="4" t="s">
        <v>653</v>
      </c>
      <c r="C3341" s="4" t="s">
        <v>287</v>
      </c>
      <c r="D3341" s="94">
        <v>1548.0</v>
      </c>
    </row>
    <row r="3342">
      <c r="A3342" s="40">
        <f t="array" ref="A3342">IFNA(index(PlayerValues!A:A,match(IFNA(vlookup(B3342,'Special Names'!A:B,2,FALSE),B3342),PlayerValues!E:E,0)),"N/A")</f>
        <v>15337</v>
      </c>
      <c r="B3342" s="4" t="s">
        <v>655</v>
      </c>
      <c r="C3342" s="4" t="s">
        <v>298</v>
      </c>
      <c r="D3342" s="94">
        <v>1914.0</v>
      </c>
    </row>
    <row r="3343">
      <c r="A3343" s="40">
        <f t="array" ref="A3343">IFNA(index(PlayerValues!A:A,match(IFNA(vlookup(B3343,'Special Names'!A:B,2,FALSE),B3343),PlayerValues!E:E,0)),"N/A")</f>
        <v>17468</v>
      </c>
      <c r="B3343" s="4" t="s">
        <v>514</v>
      </c>
      <c r="C3343" s="4" t="s">
        <v>283</v>
      </c>
      <c r="D3343" s="94">
        <v>1536.0</v>
      </c>
    </row>
    <row r="3344">
      <c r="A3344" s="40">
        <f t="array" ref="A3344">IFNA(index(PlayerValues!A:A,match(IFNA(vlookup(B3344,'Special Names'!A:B,2,FALSE),B3344),PlayerValues!E:E,0)),"N/A")</f>
        <v>16175</v>
      </c>
      <c r="B3344" s="4" t="s">
        <v>654</v>
      </c>
      <c r="C3344" s="4" t="s">
        <v>278</v>
      </c>
      <c r="D3344" s="94">
        <v>1513.0</v>
      </c>
    </row>
    <row r="3345">
      <c r="A3345" s="40">
        <f t="array" ref="A3345">IFNA(index(PlayerValues!A:A,match(IFNA(vlookup(B3345,'Special Names'!A:B,2,FALSE),B3345),PlayerValues!E:E,0)),"N/A")</f>
        <v>15752</v>
      </c>
      <c r="B3345" s="4" t="s">
        <v>647</v>
      </c>
      <c r="C3345" s="4" t="s">
        <v>287</v>
      </c>
      <c r="D3345" s="94">
        <v>1511.0</v>
      </c>
    </row>
    <row r="3346">
      <c r="A3346" s="40">
        <f t="array" ref="A3346">IFNA(index(PlayerValues!A:A,match(IFNA(vlookup(B3346,'Special Names'!A:B,2,FALSE),B3346),PlayerValues!E:E,0)),"N/A")</f>
        <v>15759</v>
      </c>
      <c r="B3346" s="4" t="s">
        <v>662</v>
      </c>
      <c r="C3346" s="4" t="s">
        <v>287</v>
      </c>
      <c r="D3346" s="94">
        <v>1509.0</v>
      </c>
    </row>
    <row r="3347">
      <c r="A3347" s="40" t="str">
        <f t="array" ref="A3347">IFNA(index(PlayerValues!A:A,match(IFNA(vlookup(B3347,'Special Names'!A:B,2,FALSE),B3347),PlayerValues!E:E,0)),"N/A")</f>
        <v>N/A</v>
      </c>
      <c r="B3347" s="4" t="s">
        <v>91</v>
      </c>
      <c r="C3347" s="4" t="s">
        <v>325</v>
      </c>
      <c r="D3347" s="94">
        <v>1509.0</v>
      </c>
    </row>
    <row r="3348">
      <c r="A3348" s="40">
        <f t="array" ref="A3348">IFNA(index(PlayerValues!A:A,match(IFNA(vlookup(B3348,'Special Names'!A:B,2,FALSE),B3348),PlayerValues!E:E,0)),"N/A")</f>
        <v>16792</v>
      </c>
      <c r="B3348" s="4" t="s">
        <v>704</v>
      </c>
      <c r="C3348" s="4" t="s">
        <v>287</v>
      </c>
      <c r="D3348" s="94">
        <v>1492.0</v>
      </c>
    </row>
    <row r="3349">
      <c r="A3349" s="40">
        <f t="array" ref="A3349">IFNA(index(PlayerValues!A:A,match(IFNA(vlookup(B3349,'Special Names'!A:B,2,FALSE),B3349),PlayerValues!E:E,0)),"N/A")</f>
        <v>16631</v>
      </c>
      <c r="B3349" s="4" t="s">
        <v>800</v>
      </c>
      <c r="C3349" s="4" t="s">
        <v>287</v>
      </c>
      <c r="D3349" s="94">
        <v>1469.0</v>
      </c>
    </row>
    <row r="3350">
      <c r="A3350" s="40">
        <f t="array" ref="A3350">IFNA(index(PlayerValues!A:A,match(IFNA(vlookup(B3350,'Special Names'!A:B,2,FALSE),B3350),PlayerValues!E:E,0)),"N/A")</f>
        <v>16390</v>
      </c>
      <c r="B3350" s="4" t="s">
        <v>689</v>
      </c>
      <c r="C3350" s="4" t="s">
        <v>278</v>
      </c>
      <c r="D3350" s="94">
        <v>1466.0</v>
      </c>
    </row>
    <row r="3351">
      <c r="A3351" s="40">
        <f t="array" ref="A3351">IFNA(index(PlayerValues!A:A,match(IFNA(vlookup(B3351,'Special Names'!A:B,2,FALSE),B3351),PlayerValues!E:E,0)),"N/A")</f>
        <v>16788</v>
      </c>
      <c r="B3351" s="4" t="s">
        <v>621</v>
      </c>
      <c r="C3351" s="4" t="s">
        <v>287</v>
      </c>
      <c r="D3351" s="94">
        <v>1463.0</v>
      </c>
    </row>
    <row r="3352">
      <c r="A3352" s="40">
        <f t="array" ref="A3352">IFNA(index(PlayerValues!A:A,match(IFNA(vlookup(B3352,'Special Names'!A:B,2,FALSE),B3352),PlayerValues!E:E,0)),"N/A")</f>
        <v>17485</v>
      </c>
      <c r="B3352" s="4" t="s">
        <v>522</v>
      </c>
      <c r="C3352" s="4" t="s">
        <v>278</v>
      </c>
      <c r="D3352" s="94">
        <v>1463.0</v>
      </c>
    </row>
    <row r="3353">
      <c r="A3353" s="40">
        <f t="array" ref="A3353">IFNA(index(PlayerValues!A:A,match(IFNA(vlookup(B3353,'Special Names'!A:B,2,FALSE),B3353),PlayerValues!E:E,0)),"N/A")</f>
        <v>17054</v>
      </c>
      <c r="B3353" s="4" t="s">
        <v>670</v>
      </c>
      <c r="C3353" s="4" t="s">
        <v>278</v>
      </c>
      <c r="D3353" s="94">
        <v>1458.0</v>
      </c>
    </row>
    <row r="3354">
      <c r="A3354" s="40">
        <f t="array" ref="A3354">IFNA(index(PlayerValues!A:A,match(IFNA(vlookup(B3354,'Special Names'!A:B,2,FALSE),B3354),PlayerValues!E:E,0)),"N/A")</f>
        <v>15873</v>
      </c>
      <c r="B3354" s="4" t="s">
        <v>681</v>
      </c>
      <c r="C3354" s="4" t="s">
        <v>298</v>
      </c>
      <c r="D3354" s="94">
        <v>1826.0</v>
      </c>
    </row>
    <row r="3355">
      <c r="A3355" s="40">
        <f t="array" ref="A3355">IFNA(index(PlayerValues!A:A,match(IFNA(vlookup(B3355,'Special Names'!A:B,2,FALSE),B3355),PlayerValues!E:E,0)),"N/A")</f>
        <v>15777</v>
      </c>
      <c r="B3355" s="4" t="s">
        <v>694</v>
      </c>
      <c r="C3355" s="4" t="s">
        <v>287</v>
      </c>
      <c r="D3355" s="94">
        <v>1448.0</v>
      </c>
    </row>
    <row r="3356">
      <c r="A3356" s="40">
        <f t="array" ref="A3356">IFNA(index(PlayerValues!A:A,match(IFNA(vlookup(B3356,'Special Names'!A:B,2,FALSE),B3356),PlayerValues!E:E,0)),"N/A")</f>
        <v>16384</v>
      </c>
      <c r="B3356" s="4" t="s">
        <v>696</v>
      </c>
      <c r="C3356" s="4" t="s">
        <v>283</v>
      </c>
      <c r="D3356" s="94">
        <v>1444.0</v>
      </c>
    </row>
    <row r="3357">
      <c r="A3357" s="40">
        <f t="array" ref="A3357">IFNA(index(PlayerValues!A:A,match(IFNA(vlookup(B3357,'Special Names'!A:B,2,FALSE),B3357),PlayerValues!E:E,0)),"N/A")</f>
        <v>13672</v>
      </c>
      <c r="B3357" s="4" t="s">
        <v>667</v>
      </c>
      <c r="C3357" s="4" t="s">
        <v>298</v>
      </c>
      <c r="D3357" s="94">
        <v>1806.0</v>
      </c>
    </row>
    <row r="3358">
      <c r="A3358" s="40">
        <f t="array" ref="A3358">IFNA(index(PlayerValues!A:A,match(IFNA(vlookup(B3358,'Special Names'!A:B,2,FALSE),B3358),PlayerValues!E:E,0)),"N/A")</f>
        <v>16642</v>
      </c>
      <c r="B3358" s="4" t="s">
        <v>691</v>
      </c>
      <c r="C3358" s="4" t="s">
        <v>298</v>
      </c>
      <c r="D3358" s="94">
        <v>1802.0</v>
      </c>
    </row>
    <row r="3359">
      <c r="A3359" s="40">
        <f t="array" ref="A3359">IFNA(index(PlayerValues!A:A,match(IFNA(vlookup(B3359,'Special Names'!A:B,2,FALSE),B3359),PlayerValues!E:E,0)),"N/A")</f>
        <v>13418</v>
      </c>
      <c r="B3359" s="4" t="s">
        <v>706</v>
      </c>
      <c r="C3359" s="4" t="s">
        <v>287</v>
      </c>
      <c r="D3359" s="94">
        <v>1425.0</v>
      </c>
    </row>
    <row r="3360">
      <c r="A3360" s="40">
        <f t="array" ref="A3360">IFNA(index(PlayerValues!A:A,match(IFNA(vlookup(B3360,'Special Names'!A:B,2,FALSE),B3360),PlayerValues!E:E,0)),"N/A")</f>
        <v>17037</v>
      </c>
      <c r="B3360" s="4" t="s">
        <v>727</v>
      </c>
      <c r="C3360" s="4" t="s">
        <v>283</v>
      </c>
      <c r="D3360" s="94">
        <v>1425.0</v>
      </c>
    </row>
    <row r="3361">
      <c r="A3361" s="40">
        <f t="array" ref="A3361">IFNA(index(PlayerValues!A:A,match(IFNA(vlookup(B3361,'Special Names'!A:B,2,FALSE),B3361),PlayerValues!E:E,0)),"N/A")</f>
        <v>16621</v>
      </c>
      <c r="B3361" s="4" t="s">
        <v>672</v>
      </c>
      <c r="C3361" s="4" t="s">
        <v>287</v>
      </c>
      <c r="D3361" s="94">
        <v>1407.0</v>
      </c>
    </row>
    <row r="3362">
      <c r="A3362" s="40">
        <f t="array" ref="A3362">IFNA(index(PlayerValues!A:A,match(IFNA(vlookup(B3362,'Special Names'!A:B,2,FALSE),B3362),PlayerValues!E:E,0)),"N/A")</f>
        <v>15292</v>
      </c>
      <c r="B3362" s="4" t="s">
        <v>682</v>
      </c>
      <c r="C3362" s="4" t="s">
        <v>287</v>
      </c>
      <c r="D3362" s="94">
        <v>1397.0</v>
      </c>
    </row>
    <row r="3363">
      <c r="A3363" s="40">
        <f t="array" ref="A3363">IFNA(index(PlayerValues!A:A,match(IFNA(vlookup(B3363,'Special Names'!A:B,2,FALSE),B3363),PlayerValues!E:E,0)),"N/A")</f>
        <v>14137</v>
      </c>
      <c r="B3363" s="4" t="s">
        <v>676</v>
      </c>
      <c r="C3363" s="4" t="s">
        <v>298</v>
      </c>
      <c r="D3363" s="94">
        <v>1757.0</v>
      </c>
    </row>
    <row r="3364">
      <c r="A3364" s="40">
        <f t="array" ref="A3364">IFNA(index(PlayerValues!A:A,match(IFNA(vlookup(B3364,'Special Names'!A:B,2,FALSE),B3364),PlayerValues!E:E,0)),"N/A")</f>
        <v>12140</v>
      </c>
      <c r="B3364" s="4" t="s">
        <v>702</v>
      </c>
      <c r="C3364" s="4" t="s">
        <v>283</v>
      </c>
      <c r="D3364" s="94">
        <v>1378.0</v>
      </c>
    </row>
    <row r="3365">
      <c r="A3365" s="40">
        <f t="array" ref="A3365">IFNA(index(PlayerValues!A:A,match(IFNA(vlookup(B3365,'Special Names'!A:B,2,FALSE),B3365),PlayerValues!E:E,0)),"N/A")</f>
        <v>14086</v>
      </c>
      <c r="B3365" s="4" t="s">
        <v>639</v>
      </c>
      <c r="C3365" s="4" t="s">
        <v>278</v>
      </c>
      <c r="D3365" s="94">
        <v>1370.0</v>
      </c>
    </row>
    <row r="3366">
      <c r="A3366" s="40">
        <f t="array" ref="A3366">IFNA(index(PlayerValues!A:A,match(IFNA(vlookup(B3366,'Special Names'!A:B,2,FALSE),B3366),PlayerValues!E:E,0)),"N/A")</f>
        <v>11222</v>
      </c>
      <c r="B3366" s="4" t="s">
        <v>622</v>
      </c>
      <c r="C3366" s="4" t="s">
        <v>287</v>
      </c>
      <c r="D3366" s="94">
        <v>1364.0</v>
      </c>
    </row>
    <row r="3367">
      <c r="A3367" s="40">
        <f t="array" ref="A3367">IFNA(index(PlayerValues!A:A,match(IFNA(vlookup(B3367,'Special Names'!A:B,2,FALSE),B3367),PlayerValues!E:E,0)),"N/A")</f>
        <v>16149</v>
      </c>
      <c r="B3367" s="4" t="s">
        <v>740</v>
      </c>
      <c r="C3367" s="4" t="s">
        <v>283</v>
      </c>
      <c r="D3367" s="94">
        <v>1364.0</v>
      </c>
    </row>
    <row r="3368">
      <c r="A3368" s="40">
        <f t="array" ref="A3368">IFNA(index(PlayerValues!A:A,match(IFNA(vlookup(B3368,'Special Names'!A:B,2,FALSE),B3368),PlayerValues!E:E,0)),"N/A")</f>
        <v>15252</v>
      </c>
      <c r="B3368" s="4" t="s">
        <v>715</v>
      </c>
      <c r="C3368" s="4" t="s">
        <v>283</v>
      </c>
      <c r="D3368" s="94">
        <v>1360.0</v>
      </c>
    </row>
    <row r="3369">
      <c r="A3369" s="40">
        <f t="array" ref="A3369">IFNA(index(PlayerValues!A:A,match(IFNA(vlookup(B3369,'Special Names'!A:B,2,FALSE),B3369),PlayerValues!E:E,0)),"N/A")</f>
        <v>17062</v>
      </c>
      <c r="B3369" s="4" t="s">
        <v>701</v>
      </c>
      <c r="C3369" s="4" t="s">
        <v>278</v>
      </c>
      <c r="D3369" s="94">
        <v>1359.0</v>
      </c>
    </row>
    <row r="3370">
      <c r="A3370" s="40">
        <f t="array" ref="A3370">IFNA(index(PlayerValues!A:A,match(IFNA(vlookup(B3370,'Special Names'!A:B,2,FALSE),B3370),PlayerValues!E:E,0)),"N/A")</f>
        <v>17254</v>
      </c>
      <c r="B3370" s="4" t="s">
        <v>679</v>
      </c>
      <c r="C3370" s="4" t="s">
        <v>287</v>
      </c>
      <c r="D3370" s="94">
        <v>1357.0</v>
      </c>
    </row>
    <row r="3371">
      <c r="A3371" s="40">
        <f t="array" ref="A3371">IFNA(index(PlayerValues!A:A,match(IFNA(vlookup(B3371,'Special Names'!A:B,2,FALSE),B3371),PlayerValues!E:E,0)),"N/A")</f>
        <v>17529</v>
      </c>
      <c r="B3371" s="4" t="s">
        <v>608</v>
      </c>
      <c r="C3371" s="4" t="s">
        <v>287</v>
      </c>
      <c r="D3371" s="94">
        <v>1340.0</v>
      </c>
    </row>
    <row r="3372">
      <c r="A3372" s="40">
        <f t="array" ref="A3372">IFNA(index(PlayerValues!A:A,match(IFNA(vlookup(B3372,'Special Names'!A:B,2,FALSE),B3372),PlayerValues!E:E,0)),"N/A")</f>
        <v>15332</v>
      </c>
      <c r="B3372" s="4" t="s">
        <v>698</v>
      </c>
      <c r="C3372" s="4" t="s">
        <v>298</v>
      </c>
      <c r="D3372" s="94">
        <v>1682.0</v>
      </c>
    </row>
    <row r="3373">
      <c r="A3373" s="40">
        <f t="array" ref="A3373">IFNA(index(PlayerValues!A:A,match(IFNA(vlookup(B3373,'Special Names'!A:B,2,FALSE),B3373),PlayerValues!E:E,0)),"N/A")</f>
        <v>12678</v>
      </c>
      <c r="B3373" s="4" t="s">
        <v>703</v>
      </c>
      <c r="C3373" s="4" t="s">
        <v>298</v>
      </c>
      <c r="D3373" s="94">
        <v>1664.0</v>
      </c>
    </row>
    <row r="3374">
      <c r="A3374" s="40">
        <f t="array" ref="A3374">IFNA(index(PlayerValues!A:A,match(IFNA(vlookup(B3374,'Special Names'!A:B,2,FALSE),B3374),PlayerValues!E:E,0)),"N/A")</f>
        <v>15738</v>
      </c>
      <c r="B3374" s="4" t="s">
        <v>634</v>
      </c>
      <c r="C3374" s="4" t="s">
        <v>278</v>
      </c>
      <c r="D3374" s="94">
        <v>1298.0</v>
      </c>
    </row>
    <row r="3375">
      <c r="A3375" s="40">
        <f t="array" ref="A3375">IFNA(index(PlayerValues!A:A,match(IFNA(vlookup(B3375,'Special Names'!A:B,2,FALSE),B3375),PlayerValues!E:E,0)),"N/A")</f>
        <v>17077</v>
      </c>
      <c r="B3375" s="4" t="s">
        <v>714</v>
      </c>
      <c r="C3375" s="4" t="s">
        <v>287</v>
      </c>
      <c r="D3375" s="94">
        <v>1298.0</v>
      </c>
    </row>
    <row r="3376">
      <c r="A3376" s="40">
        <f t="array" ref="A3376">IFNA(index(PlayerValues!A:A,match(IFNA(vlookup(B3376,'Special Names'!A:B,2,FALSE),B3376),PlayerValues!E:E,0)),"N/A")</f>
        <v>14095</v>
      </c>
      <c r="B3376" s="4" t="s">
        <v>680</v>
      </c>
      <c r="C3376" s="4" t="s">
        <v>278</v>
      </c>
      <c r="D3376" s="94">
        <v>1294.0</v>
      </c>
    </row>
    <row r="3377">
      <c r="A3377" s="40">
        <f t="array" ref="A3377">IFNA(index(PlayerValues!A:A,match(IFNA(vlookup(B3377,'Special Names'!A:B,2,FALSE),B3377),PlayerValues!E:E,0)),"N/A")</f>
        <v>16608</v>
      </c>
      <c r="B3377" s="4" t="s">
        <v>629</v>
      </c>
      <c r="C3377" s="4" t="s">
        <v>278</v>
      </c>
      <c r="D3377" s="94">
        <v>1293.0</v>
      </c>
    </row>
    <row r="3378">
      <c r="A3378" s="40">
        <f t="array" ref="A3378">IFNA(index(PlayerValues!A:A,match(IFNA(vlookup(B3378,'Special Names'!A:B,2,FALSE),B3378),PlayerValues!E:E,0)),"N/A")</f>
        <v>12141</v>
      </c>
      <c r="B3378" s="4" t="s">
        <v>744</v>
      </c>
      <c r="C3378" s="4" t="s">
        <v>283</v>
      </c>
      <c r="D3378" s="94">
        <v>1288.0</v>
      </c>
    </row>
    <row r="3379">
      <c r="A3379" s="40">
        <f t="array" ref="A3379">IFNA(index(PlayerValues!A:A,match(IFNA(vlookup(B3379,'Special Names'!A:B,2,FALSE),B3379),PlayerValues!E:E,0)),"N/A")</f>
        <v>17567</v>
      </c>
      <c r="B3379" s="4" t="s">
        <v>571</v>
      </c>
      <c r="C3379" s="4" t="s">
        <v>298</v>
      </c>
      <c r="D3379" s="94">
        <v>1655.0</v>
      </c>
    </row>
    <row r="3380">
      <c r="A3380" s="40" t="str">
        <f t="array" ref="A3380">IFNA(index(PlayerValues!A:A,match(IFNA(vlookup(B3380,'Special Names'!A:B,2,FALSE),B3380),PlayerValues!E:E,0)),"N/A")</f>
        <v>N/A</v>
      </c>
      <c r="B3380" s="4" t="s">
        <v>117</v>
      </c>
      <c r="C3380" s="4" t="s">
        <v>325</v>
      </c>
      <c r="D3380" s="94">
        <v>1286.0</v>
      </c>
    </row>
    <row r="3381">
      <c r="A3381" s="40">
        <f t="array" ref="A3381">IFNA(index(PlayerValues!A:A,match(IFNA(vlookup(B3381,'Special Names'!A:B,2,FALSE),B3381),PlayerValues!E:E,0)),"N/A")</f>
        <v>14592</v>
      </c>
      <c r="B3381" s="4" t="s">
        <v>705</v>
      </c>
      <c r="C3381" s="4" t="s">
        <v>287</v>
      </c>
      <c r="D3381" s="94">
        <v>1278.0</v>
      </c>
    </row>
    <row r="3382">
      <c r="A3382" s="40">
        <f t="array" ref="A3382">IFNA(index(PlayerValues!A:A,match(IFNA(vlookup(B3382,'Special Names'!A:B,2,FALSE),B3382),PlayerValues!E:E,0)),"N/A")</f>
        <v>17521</v>
      </c>
      <c r="B3382" s="4" t="s">
        <v>573</v>
      </c>
      <c r="C3382" s="4" t="s">
        <v>287</v>
      </c>
      <c r="D3382" s="94">
        <v>1278.0</v>
      </c>
    </row>
    <row r="3383">
      <c r="A3383" s="40">
        <f t="array" ref="A3383">IFNA(index(PlayerValues!A:A,match(IFNA(vlookup(B3383,'Special Names'!A:B,2,FALSE),B3383),PlayerValues!E:E,0)),"N/A")</f>
        <v>17097</v>
      </c>
      <c r="B3383" s="4" t="s">
        <v>659</v>
      </c>
      <c r="C3383" s="4" t="s">
        <v>287</v>
      </c>
      <c r="D3383" s="94">
        <v>1267.0</v>
      </c>
    </row>
    <row r="3384">
      <c r="A3384" s="40">
        <f t="array" ref="A3384">IFNA(index(PlayerValues!A:A,match(IFNA(vlookup(B3384,'Special Names'!A:B,2,FALSE),B3384),PlayerValues!E:E,0)),"N/A")</f>
        <v>14080</v>
      </c>
      <c r="B3384" s="4" t="s">
        <v>716</v>
      </c>
      <c r="C3384" s="4" t="s">
        <v>278</v>
      </c>
      <c r="D3384" s="94">
        <v>1259.0</v>
      </c>
    </row>
    <row r="3385">
      <c r="A3385" s="40">
        <f t="array" ref="A3385">IFNA(index(PlayerValues!A:A,match(IFNA(vlookup(B3385,'Special Names'!A:B,2,FALSE),B3385),PlayerValues!E:E,0)),"N/A")</f>
        <v>17269</v>
      </c>
      <c r="B3385" s="4" t="s">
        <v>718</v>
      </c>
      <c r="C3385" s="4" t="s">
        <v>287</v>
      </c>
      <c r="D3385" s="94">
        <v>1254.0</v>
      </c>
    </row>
    <row r="3386">
      <c r="A3386" s="40">
        <f t="array" ref="A3386">IFNA(index(PlayerValues!A:A,match(IFNA(vlookup(B3386,'Special Names'!A:B,2,FALSE),B3386),PlayerValues!E:E,0)),"N/A")</f>
        <v>15702</v>
      </c>
      <c r="B3386" s="4" t="s">
        <v>723</v>
      </c>
      <c r="C3386" s="4" t="s">
        <v>283</v>
      </c>
      <c r="D3386" s="94">
        <v>1253.0</v>
      </c>
    </row>
    <row r="3387">
      <c r="A3387" s="40">
        <f t="array" ref="A3387">IFNA(index(PlayerValues!A:A,match(IFNA(vlookup(B3387,'Special Names'!A:B,2,FALSE),B3387),PlayerValues!E:E,0)),"N/A")</f>
        <v>16183</v>
      </c>
      <c r="B3387" s="4" t="s">
        <v>678</v>
      </c>
      <c r="C3387" s="4" t="s">
        <v>287</v>
      </c>
      <c r="D3387" s="94">
        <v>1235.0</v>
      </c>
    </row>
    <row r="3388">
      <c r="A3388" s="40">
        <f t="array" ref="A3388">IFNA(index(PlayerValues!A:A,match(IFNA(vlookup(B3388,'Special Names'!A:B,2,FALSE),B3388),PlayerValues!E:E,0)),"N/A")</f>
        <v>16333</v>
      </c>
      <c r="B3388" s="4" t="s">
        <v>711</v>
      </c>
      <c r="C3388" s="4" t="s">
        <v>298</v>
      </c>
      <c r="D3388" s="94">
        <v>1595.0</v>
      </c>
    </row>
    <row r="3389">
      <c r="A3389" s="40">
        <f t="array" ref="A3389">IFNA(index(PlayerValues!A:A,match(IFNA(vlookup(B3389,'Special Names'!A:B,2,FALSE),B3389),PlayerValues!E:E,0)),"N/A")</f>
        <v>16636</v>
      </c>
      <c r="B3389" s="4" t="s">
        <v>699</v>
      </c>
      <c r="C3389" s="4" t="s">
        <v>287</v>
      </c>
      <c r="D3389" s="94">
        <v>1225.0</v>
      </c>
    </row>
    <row r="3390">
      <c r="A3390" s="40">
        <f t="array" ref="A3390">IFNA(index(PlayerValues!A:A,match(IFNA(vlookup(B3390,'Special Names'!A:B,2,FALSE),B3390),PlayerValues!E:E,0)),"N/A")</f>
        <v>17607</v>
      </c>
      <c r="B3390" s="4" t="s">
        <v>526</v>
      </c>
      <c r="C3390" s="4" t="s">
        <v>298</v>
      </c>
      <c r="D3390" s="94">
        <v>1592.0</v>
      </c>
    </row>
    <row r="3391">
      <c r="A3391" s="40">
        <f t="array" ref="A3391">IFNA(index(PlayerValues!A:A,match(IFNA(vlookup(B3391,'Special Names'!A:B,2,FALSE),B3391),PlayerValues!E:E,0)),"N/A")</f>
        <v>16645</v>
      </c>
      <c r="B3391" s="4" t="s">
        <v>651</v>
      </c>
      <c r="C3391" s="4" t="s">
        <v>298</v>
      </c>
      <c r="D3391" s="94">
        <v>1590.0</v>
      </c>
    </row>
    <row r="3392">
      <c r="A3392" s="40">
        <f t="array" ref="A3392">IFNA(index(PlayerValues!A:A,match(IFNA(vlookup(B3392,'Special Names'!A:B,2,FALSE),B3392),PlayerValues!E:E,0)),"N/A")</f>
        <v>16387</v>
      </c>
      <c r="B3392" s="4" t="s">
        <v>646</v>
      </c>
      <c r="C3392" s="4" t="s">
        <v>278</v>
      </c>
      <c r="D3392" s="94">
        <v>1217.0</v>
      </c>
    </row>
    <row r="3393">
      <c r="A3393" s="40">
        <f t="array" ref="A3393">IFNA(index(PlayerValues!A:A,match(IFNA(vlookup(B3393,'Special Names'!A:B,2,FALSE),B3393),PlayerValues!E:E,0)),"N/A")</f>
        <v>16746</v>
      </c>
      <c r="B3393" s="4" t="s">
        <v>709</v>
      </c>
      <c r="C3393" s="4" t="s">
        <v>278</v>
      </c>
      <c r="D3393" s="94">
        <v>1212.0</v>
      </c>
    </row>
    <row r="3394">
      <c r="A3394" s="40">
        <f t="array" ref="A3394">IFNA(index(PlayerValues!A:A,match(IFNA(vlookup(B3394,'Special Names'!A:B,2,FALSE),B3394),PlayerValues!E:E,0)),"N/A")</f>
        <v>17519</v>
      </c>
      <c r="B3394" s="4" t="s">
        <v>593</v>
      </c>
      <c r="C3394" s="4" t="s">
        <v>287</v>
      </c>
      <c r="D3394" s="94">
        <v>1206.0</v>
      </c>
    </row>
    <row r="3395">
      <c r="A3395" s="40">
        <f t="array" ref="A3395">IFNA(index(PlayerValues!A:A,match(IFNA(vlookup(B3395,'Special Names'!A:B,2,FALSE),B3395),PlayerValues!E:E,0)),"N/A")</f>
        <v>15288</v>
      </c>
      <c r="B3395" s="4" t="s">
        <v>700</v>
      </c>
      <c r="C3395" s="4" t="s">
        <v>287</v>
      </c>
      <c r="D3395" s="94">
        <v>1203.0</v>
      </c>
    </row>
    <row r="3396">
      <c r="A3396" s="40">
        <f t="array" ref="A3396">IFNA(index(PlayerValues!A:A,match(IFNA(vlookup(B3396,'Special Names'!A:B,2,FALSE),B3396),PlayerValues!E:E,0)),"N/A")</f>
        <v>16883</v>
      </c>
      <c r="B3396" s="4" t="s">
        <v>683</v>
      </c>
      <c r="C3396" s="4" t="s">
        <v>287</v>
      </c>
      <c r="D3396" s="94">
        <v>1199.0</v>
      </c>
    </row>
    <row r="3397">
      <c r="A3397" s="40">
        <f t="array" ref="A3397">IFNA(index(PlayerValues!A:A,match(IFNA(vlookup(B3397,'Special Names'!A:B,2,FALSE),B3397),PlayerValues!E:E,0)),"N/A")</f>
        <v>17063</v>
      </c>
      <c r="B3397" s="4" t="s">
        <v>686</v>
      </c>
      <c r="C3397" s="4" t="s">
        <v>278</v>
      </c>
      <c r="D3397" s="94">
        <v>1197.0</v>
      </c>
    </row>
    <row r="3398">
      <c r="A3398" s="40">
        <f t="array" ref="A3398">IFNA(index(PlayerValues!A:A,match(IFNA(vlookup(B3398,'Special Names'!A:B,2,FALSE),B3398),PlayerValues!E:E,0)),"N/A")</f>
        <v>16199</v>
      </c>
      <c r="B3398" s="4" t="s">
        <v>687</v>
      </c>
      <c r="C3398" s="4" t="s">
        <v>287</v>
      </c>
      <c r="D3398" s="94">
        <v>1195.0</v>
      </c>
    </row>
    <row r="3399">
      <c r="A3399" s="40">
        <f t="array" ref="A3399">IFNA(index(PlayerValues!A:A,match(IFNA(vlookup(B3399,'Special Names'!A:B,2,FALSE),B3399),PlayerValues!E:E,0)),"N/A")</f>
        <v>16221</v>
      </c>
      <c r="B3399" s="4" t="s">
        <v>725</v>
      </c>
      <c r="C3399" s="4" t="s">
        <v>298</v>
      </c>
      <c r="D3399" s="94">
        <v>1556.0</v>
      </c>
    </row>
    <row r="3400">
      <c r="A3400" s="40">
        <f t="array" ref="A3400">IFNA(index(PlayerValues!A:A,match(IFNA(vlookup(B3400,'Special Names'!A:B,2,FALSE),B3400),PlayerValues!E:E,0)),"N/A")</f>
        <v>17057</v>
      </c>
      <c r="B3400" s="4" t="s">
        <v>708</v>
      </c>
      <c r="C3400" s="4" t="s">
        <v>278</v>
      </c>
      <c r="D3400" s="94">
        <v>1175.0</v>
      </c>
    </row>
    <row r="3401">
      <c r="A3401" s="40">
        <f t="array" ref="A3401">IFNA(index(PlayerValues!A:A,match(IFNA(vlookup(B3401,'Special Names'!A:B,2,FALSE),B3401),PlayerValues!E:E,0)),"N/A")</f>
        <v>17109</v>
      </c>
      <c r="B3401" s="4" t="s">
        <v>707</v>
      </c>
      <c r="C3401" s="4" t="s">
        <v>298</v>
      </c>
      <c r="D3401" s="94">
        <v>1542.0</v>
      </c>
    </row>
    <row r="3402">
      <c r="A3402" s="40">
        <f t="array" ref="A3402">IFNA(index(PlayerValues!A:A,match(IFNA(vlookup(B3402,'Special Names'!A:B,2,FALSE),B3402),PlayerValues!E:E,0)),"N/A")</f>
        <v>15981</v>
      </c>
      <c r="B3402" s="4" t="s">
        <v>729</v>
      </c>
      <c r="C3402" s="4" t="s">
        <v>287</v>
      </c>
      <c r="D3402" s="94">
        <v>1173.0</v>
      </c>
    </row>
    <row r="3403">
      <c r="A3403" s="40">
        <f t="array" ref="A3403">IFNA(index(PlayerValues!A:A,match(IFNA(vlookup(B3403,'Special Names'!A:B,2,FALSE),B3403),PlayerValues!E:E,0)),"N/A")</f>
        <v>14789</v>
      </c>
      <c r="B3403" s="4" t="s">
        <v>721</v>
      </c>
      <c r="C3403" s="4" t="s">
        <v>283</v>
      </c>
      <c r="D3403" s="94">
        <v>1158.0</v>
      </c>
    </row>
    <row r="3404">
      <c r="A3404" s="40">
        <f t="array" ref="A3404">IFNA(index(PlayerValues!A:A,match(IFNA(vlookup(B3404,'Special Names'!A:B,2,FALSE),B3404),PlayerValues!E:E,0)),"N/A")</f>
        <v>14108</v>
      </c>
      <c r="B3404" s="4" t="s">
        <v>673</v>
      </c>
      <c r="C3404" s="4" t="s">
        <v>287</v>
      </c>
      <c r="D3404" s="94">
        <v>1155.0</v>
      </c>
    </row>
    <row r="3405">
      <c r="A3405" s="40">
        <f t="array" ref="A3405">IFNA(index(PlayerValues!A:A,match(IFNA(vlookup(B3405,'Special Names'!A:B,2,FALSE),B3405),PlayerValues!E:E,0)),"N/A")</f>
        <v>14845</v>
      </c>
      <c r="B3405" s="4" t="s">
        <v>717</v>
      </c>
      <c r="C3405" s="4" t="s">
        <v>287</v>
      </c>
      <c r="D3405" s="94">
        <v>1147.0</v>
      </c>
    </row>
    <row r="3406">
      <c r="A3406" s="40">
        <f t="array" ref="A3406">IFNA(index(PlayerValues!A:A,match(IFNA(vlookup(B3406,'Special Names'!A:B,2,FALSE),B3406),PlayerValues!E:E,0)),"N/A")</f>
        <v>16385</v>
      </c>
      <c r="B3406" s="4" t="s">
        <v>690</v>
      </c>
      <c r="C3406" s="4" t="s">
        <v>278</v>
      </c>
      <c r="D3406" s="94">
        <v>1146.0</v>
      </c>
    </row>
    <row r="3407">
      <c r="A3407" s="40">
        <f t="array" ref="A3407">IFNA(index(PlayerValues!A:A,match(IFNA(vlookup(B3407,'Special Names'!A:B,2,FALSE),B3407),PlayerValues!E:E,0)),"N/A")</f>
        <v>17546</v>
      </c>
      <c r="B3407" s="4" t="s">
        <v>671</v>
      </c>
      <c r="C3407" s="4" t="s">
        <v>298</v>
      </c>
      <c r="D3407" s="94">
        <v>1512.0</v>
      </c>
    </row>
    <row r="3408">
      <c r="A3408" s="40">
        <f t="array" ref="A3408">IFNA(index(PlayerValues!A:A,match(IFNA(vlookup(B3408,'Special Names'!A:B,2,FALSE),B3408),PlayerValues!E:E,0)),"N/A")</f>
        <v>15240</v>
      </c>
      <c r="B3408" s="4" t="s">
        <v>751</v>
      </c>
      <c r="C3408" s="4" t="s">
        <v>283</v>
      </c>
      <c r="D3408" s="94">
        <v>1137.0</v>
      </c>
    </row>
    <row r="3409">
      <c r="A3409" s="40">
        <f t="array" ref="A3409">IFNA(index(PlayerValues!A:A,match(IFNA(vlookup(B3409,'Special Names'!A:B,2,FALSE),B3409),PlayerValues!E:E,0)),"N/A")</f>
        <v>14067</v>
      </c>
      <c r="B3409" s="4" t="s">
        <v>735</v>
      </c>
      <c r="C3409" s="4" t="s">
        <v>283</v>
      </c>
      <c r="D3409" s="94">
        <v>1136.0</v>
      </c>
    </row>
    <row r="3410">
      <c r="A3410" s="40">
        <f t="array" ref="A3410">IFNA(index(PlayerValues!A:A,match(IFNA(vlookup(B3410,'Special Names'!A:B,2,FALSE),B3410),PlayerValues!E:E,0)),"N/A")</f>
        <v>15730</v>
      </c>
      <c r="B3410" s="4" t="s">
        <v>734</v>
      </c>
      <c r="C3410" s="4" t="s">
        <v>278</v>
      </c>
      <c r="D3410" s="94">
        <v>1122.0</v>
      </c>
    </row>
    <row r="3411">
      <c r="A3411" s="40">
        <f t="array" ref="A3411">IFNA(index(PlayerValues!A:A,match(IFNA(vlookup(B3411,'Special Names'!A:B,2,FALSE),B3411),PlayerValues!E:E,0)),"N/A")</f>
        <v>13289</v>
      </c>
      <c r="B3411" s="4" t="s">
        <v>746</v>
      </c>
      <c r="C3411" s="4" t="s">
        <v>287</v>
      </c>
      <c r="D3411" s="94">
        <v>1121.0</v>
      </c>
    </row>
    <row r="3412">
      <c r="A3412" s="40">
        <f t="array" ref="A3412">IFNA(index(PlayerValues!A:A,match(IFNA(vlookup(B3412,'Special Names'!A:B,2,FALSE),B3412),PlayerValues!E:E,0)),"N/A")</f>
        <v>17192</v>
      </c>
      <c r="B3412" s="4" t="s">
        <v>677</v>
      </c>
      <c r="C3412" s="4" t="s">
        <v>287</v>
      </c>
      <c r="D3412" s="94">
        <v>1114.0</v>
      </c>
    </row>
    <row r="3413">
      <c r="A3413" s="40">
        <f t="array" ref="A3413">IFNA(index(PlayerValues!A:A,match(IFNA(vlookup(B3413,'Special Names'!A:B,2,FALSE),B3413),PlayerValues!E:E,0)),"N/A")</f>
        <v>17510</v>
      </c>
      <c r="B3413" s="4" t="s">
        <v>661</v>
      </c>
      <c r="C3413" s="4" t="s">
        <v>287</v>
      </c>
      <c r="D3413" s="94">
        <v>1112.0</v>
      </c>
    </row>
    <row r="3414">
      <c r="A3414" s="40">
        <f t="array" ref="A3414">IFNA(index(PlayerValues!A:A,match(IFNA(vlookup(B3414,'Special Names'!A:B,2,FALSE),B3414),PlayerValues!E:E,0)),"N/A")</f>
        <v>13131</v>
      </c>
      <c r="B3414" s="4" t="s">
        <v>815</v>
      </c>
      <c r="C3414" s="4" t="s">
        <v>278</v>
      </c>
      <c r="D3414" s="94">
        <v>1106.0</v>
      </c>
    </row>
    <row r="3415">
      <c r="A3415" s="40">
        <f t="array" ref="A3415">IFNA(index(PlayerValues!A:A,match(IFNA(vlookup(B3415,'Special Names'!A:B,2,FALSE),B3415),PlayerValues!E:E,0)),"N/A")</f>
        <v>16393</v>
      </c>
      <c r="B3415" s="4" t="s">
        <v>768</v>
      </c>
      <c r="C3415" s="4" t="s">
        <v>287</v>
      </c>
      <c r="D3415" s="94">
        <v>1104.0</v>
      </c>
    </row>
    <row r="3416">
      <c r="A3416" s="40">
        <f t="array" ref="A3416">IFNA(index(PlayerValues!A:A,match(IFNA(vlookup(B3416,'Special Names'!A:B,2,FALSE),B3416),PlayerValues!E:E,0)),"N/A")</f>
        <v>17685</v>
      </c>
      <c r="B3416" s="4" t="s">
        <v>630</v>
      </c>
      <c r="C3416" s="4" t="s">
        <v>278</v>
      </c>
      <c r="D3416" s="94">
        <v>1101.0</v>
      </c>
    </row>
    <row r="3417">
      <c r="A3417" s="40">
        <f t="array" ref="A3417">IFNA(index(PlayerValues!A:A,match(IFNA(vlookup(B3417,'Special Names'!A:B,2,FALSE),B3417),PlayerValues!E:E,0)),"N/A")</f>
        <v>15727</v>
      </c>
      <c r="B3417" s="4" t="s">
        <v>730</v>
      </c>
      <c r="C3417" s="4" t="s">
        <v>278</v>
      </c>
      <c r="D3417" s="94">
        <v>1092.0</v>
      </c>
    </row>
    <row r="3418">
      <c r="A3418" s="40">
        <f t="array" ref="A3418">IFNA(index(PlayerValues!A:A,match(IFNA(vlookup(B3418,'Special Names'!A:B,2,FALSE),B3418),PlayerValues!E:E,0)),"N/A")</f>
        <v>9064</v>
      </c>
      <c r="B3418" s="4" t="s">
        <v>761</v>
      </c>
      <c r="C3418" s="4" t="s">
        <v>283</v>
      </c>
      <c r="D3418" s="94">
        <v>1089.0</v>
      </c>
    </row>
    <row r="3419">
      <c r="A3419" s="40">
        <f t="array" ref="A3419">IFNA(index(PlayerValues!A:A,match(IFNA(vlookup(B3419,'Special Names'!A:B,2,FALSE),B3419),PlayerValues!E:E,0)),"N/A")</f>
        <v>16197</v>
      </c>
      <c r="B3419" s="4" t="s">
        <v>726</v>
      </c>
      <c r="C3419" s="4" t="s">
        <v>287</v>
      </c>
      <c r="D3419" s="94">
        <v>1087.0</v>
      </c>
    </row>
    <row r="3420">
      <c r="A3420" s="40">
        <f t="array" ref="A3420">IFNA(index(PlayerValues!A:A,match(IFNA(vlookup(B3420,'Special Names'!A:B,2,FALSE),B3420),PlayerValues!E:E,0)),"N/A")</f>
        <v>15692</v>
      </c>
      <c r="B3420" s="4" t="s">
        <v>750</v>
      </c>
      <c r="C3420" s="4" t="s">
        <v>283</v>
      </c>
      <c r="D3420" s="94">
        <v>1086.0</v>
      </c>
    </row>
    <row r="3421">
      <c r="A3421" s="40">
        <f t="array" ref="A3421">IFNA(index(PlayerValues!A:A,match(IFNA(vlookup(B3421,'Special Names'!A:B,2,FALSE),B3421),PlayerValues!E:E,0)),"N/A")</f>
        <v>16637</v>
      </c>
      <c r="B3421" s="4" t="s">
        <v>736</v>
      </c>
      <c r="C3421" s="4" t="s">
        <v>287</v>
      </c>
      <c r="D3421" s="94">
        <v>1072.0</v>
      </c>
    </row>
    <row r="3422">
      <c r="A3422" s="40">
        <f t="array" ref="A3422">IFNA(index(PlayerValues!A:A,match(IFNA(vlookup(B3422,'Special Names'!A:B,2,FALSE),B3422),PlayerValues!E:E,0)),"N/A")</f>
        <v>17050</v>
      </c>
      <c r="B3422" s="4" t="s">
        <v>713</v>
      </c>
      <c r="C3422" s="4" t="s">
        <v>278</v>
      </c>
      <c r="D3422" s="94">
        <v>1065.0</v>
      </c>
    </row>
    <row r="3423">
      <c r="A3423" s="40">
        <f t="array" ref="A3423">IFNA(index(PlayerValues!A:A,match(IFNA(vlookup(B3423,'Special Names'!A:B,2,FALSE),B3423),PlayerValues!E:E,0)),"N/A")</f>
        <v>17599</v>
      </c>
      <c r="B3423" s="4" t="s">
        <v>496</v>
      </c>
      <c r="C3423" s="4" t="s">
        <v>287</v>
      </c>
      <c r="D3423" s="94">
        <v>1064.0</v>
      </c>
    </row>
    <row r="3424">
      <c r="A3424" s="40">
        <f t="array" ref="A3424">IFNA(index(PlayerValues!A:A,match(IFNA(vlookup(B3424,'Special Names'!A:B,2,FALSE),B3424),PlayerValues!E:E,0)),"N/A")</f>
        <v>16640</v>
      </c>
      <c r="B3424" s="4" t="s">
        <v>712</v>
      </c>
      <c r="C3424" s="4" t="s">
        <v>287</v>
      </c>
      <c r="D3424" s="94">
        <v>1060.0</v>
      </c>
    </row>
    <row r="3425">
      <c r="A3425" s="40">
        <f t="array" ref="A3425">IFNA(index(PlayerValues!A:A,match(IFNA(vlookup(B3425,'Special Names'!A:B,2,FALSE),B3425),PlayerValues!E:E,0)),"N/A")</f>
        <v>15693</v>
      </c>
      <c r="B3425" s="4" t="s">
        <v>755</v>
      </c>
      <c r="C3425" s="4" t="s">
        <v>283</v>
      </c>
      <c r="D3425" s="94">
        <v>1036.0</v>
      </c>
    </row>
    <row r="3426">
      <c r="A3426" s="40">
        <f t="array" ref="A3426">IFNA(index(PlayerValues!A:A,match(IFNA(vlookup(B3426,'Special Names'!A:B,2,FALSE),B3426),PlayerValues!E:E,0)),"N/A")</f>
        <v>13193</v>
      </c>
      <c r="B3426" s="4" t="s">
        <v>773</v>
      </c>
      <c r="C3426" s="4" t="s">
        <v>298</v>
      </c>
      <c r="D3426" s="94">
        <v>1402.0</v>
      </c>
    </row>
    <row r="3427">
      <c r="A3427" s="40">
        <f t="array" ref="A3427">IFNA(index(PlayerValues!A:A,match(IFNA(vlookup(B3427,'Special Names'!A:B,2,FALSE),B3427),PlayerValues!E:E,0)),"N/A")</f>
        <v>11247</v>
      </c>
      <c r="B3427" s="4" t="s">
        <v>816</v>
      </c>
      <c r="C3427" s="4" t="s">
        <v>298</v>
      </c>
      <c r="D3427" s="94">
        <v>1394.0</v>
      </c>
    </row>
    <row r="3428">
      <c r="A3428" s="40">
        <f t="array" ref="A3428">IFNA(index(PlayerValues!A:A,match(IFNA(vlookup(B3428,'Special Names'!A:B,2,FALSE),B3428),PlayerValues!E:E,0)),"N/A")</f>
        <v>16451</v>
      </c>
      <c r="B3428" s="4" t="s">
        <v>769</v>
      </c>
      <c r="C3428" s="4" t="s">
        <v>287</v>
      </c>
      <c r="D3428" s="94">
        <v>1025.0</v>
      </c>
    </row>
    <row r="3429">
      <c r="A3429" s="40">
        <f t="array" ref="A3429">IFNA(index(PlayerValues!A:A,match(IFNA(vlookup(B3429,'Special Names'!A:B,2,FALSE),B3429),PlayerValues!E:E,0)),"N/A")</f>
        <v>15239</v>
      </c>
      <c r="B3429" s="4" t="s">
        <v>802</v>
      </c>
      <c r="C3429" s="4" t="s">
        <v>283</v>
      </c>
      <c r="D3429" s="94">
        <v>1013.0</v>
      </c>
    </row>
    <row r="3430">
      <c r="A3430" s="40">
        <f t="array" ref="A3430">IFNA(index(PlayerValues!A:A,match(IFNA(vlookup(B3430,'Special Names'!A:B,2,FALSE),B3430),PlayerValues!E:E,0)),"N/A")</f>
        <v>16168</v>
      </c>
      <c r="B3430" s="4" t="s">
        <v>738</v>
      </c>
      <c r="C3430" s="4" t="s">
        <v>278</v>
      </c>
      <c r="D3430" s="94">
        <v>1011.0</v>
      </c>
    </row>
    <row r="3431">
      <c r="A3431" s="40">
        <f t="array" ref="A3431">IFNA(index(PlayerValues!A:A,match(IFNA(vlookup(B3431,'Special Names'!A:B,2,FALSE),B3431),PlayerValues!E:E,0)),"N/A")</f>
        <v>15258</v>
      </c>
      <c r="B3431" s="4" t="s">
        <v>757</v>
      </c>
      <c r="C3431" s="4" t="s">
        <v>278</v>
      </c>
      <c r="D3431" s="94">
        <v>999.0</v>
      </c>
    </row>
    <row r="3432">
      <c r="A3432" s="40">
        <f t="array" ref="A3432">IFNA(index(PlayerValues!A:A,match(IFNA(vlookup(B3432,'Special Names'!A:B,2,FALSE),B3432),PlayerValues!E:E,0)),"N/A")</f>
        <v>15330</v>
      </c>
      <c r="B3432" s="4" t="s">
        <v>749</v>
      </c>
      <c r="C3432" s="4" t="s">
        <v>298</v>
      </c>
      <c r="D3432" s="94">
        <v>1364.0</v>
      </c>
    </row>
    <row r="3433">
      <c r="A3433" s="40">
        <f t="array" ref="A3433">IFNA(index(PlayerValues!A:A,match(IFNA(vlookup(B3433,'Special Names'!A:B,2,FALSE),B3433),PlayerValues!E:E,0)),"N/A")</f>
        <v>16170</v>
      </c>
      <c r="B3433" s="4" t="s">
        <v>801</v>
      </c>
      <c r="C3433" s="4" t="s">
        <v>278</v>
      </c>
      <c r="D3433" s="94">
        <v>997.0</v>
      </c>
    </row>
    <row r="3434">
      <c r="A3434" s="40">
        <f t="array" ref="A3434">IFNA(index(PlayerValues!A:A,match(IFNA(vlookup(B3434,'Special Names'!A:B,2,FALSE),B3434),PlayerValues!E:E,0)),"N/A")</f>
        <v>17652</v>
      </c>
      <c r="B3434" s="4" t="s">
        <v>576</v>
      </c>
      <c r="C3434" s="4" t="s">
        <v>278</v>
      </c>
      <c r="D3434" s="94">
        <v>995.0</v>
      </c>
    </row>
    <row r="3435">
      <c r="A3435" s="40">
        <f t="array" ref="A3435">IFNA(index(PlayerValues!A:A,match(IFNA(vlookup(B3435,'Special Names'!A:B,2,FALSE),B3435),PlayerValues!E:E,0)),"N/A")</f>
        <v>15795</v>
      </c>
      <c r="B3435" s="4" t="s">
        <v>669</v>
      </c>
      <c r="C3435" s="4" t="s">
        <v>298</v>
      </c>
      <c r="D3435" s="94">
        <v>1359.0</v>
      </c>
    </row>
    <row r="3436">
      <c r="A3436" s="40">
        <f t="array" ref="A3436">IFNA(index(PlayerValues!A:A,match(IFNA(vlookup(B3436,'Special Names'!A:B,2,FALSE),B3436),PlayerValues!E:E,0)),"N/A")</f>
        <v>15717</v>
      </c>
      <c r="B3436" s="4" t="s">
        <v>745</v>
      </c>
      <c r="C3436" s="4" t="s">
        <v>278</v>
      </c>
      <c r="D3436" s="94">
        <v>991.0</v>
      </c>
    </row>
    <row r="3437">
      <c r="A3437" s="40">
        <f t="array" ref="A3437">IFNA(index(PlayerValues!A:A,match(IFNA(vlookup(B3437,'Special Names'!A:B,2,FALSE),B3437),PlayerValues!E:E,0)),"N/A")</f>
        <v>15785</v>
      </c>
      <c r="B3437" s="4" t="s">
        <v>763</v>
      </c>
      <c r="C3437" s="4" t="s">
        <v>287</v>
      </c>
      <c r="D3437" s="94">
        <v>986.0</v>
      </c>
    </row>
    <row r="3438">
      <c r="A3438" s="40">
        <f t="array" ref="A3438">IFNA(index(PlayerValues!A:A,match(IFNA(vlookup(B3438,'Special Names'!A:B,2,FALSE),B3438),PlayerValues!E:E,0)),"N/A")</f>
        <v>16648</v>
      </c>
      <c r="B3438" s="4" t="s">
        <v>748</v>
      </c>
      <c r="C3438" s="4" t="s">
        <v>298</v>
      </c>
      <c r="D3438" s="94">
        <v>1352.0</v>
      </c>
    </row>
    <row r="3439">
      <c r="A3439" s="40">
        <f t="array" ref="A3439">IFNA(index(PlayerValues!A:A,match(IFNA(vlookup(B3439,'Special Names'!A:B,2,FALSE),B3439),PlayerValues!E:E,0)),"N/A")</f>
        <v>14849</v>
      </c>
      <c r="B3439" s="4" t="s">
        <v>733</v>
      </c>
      <c r="C3439" s="4" t="s">
        <v>287</v>
      </c>
      <c r="D3439" s="94">
        <v>981.0</v>
      </c>
    </row>
    <row r="3440">
      <c r="A3440" s="40">
        <f t="array" ref="A3440">IFNA(index(PlayerValues!A:A,match(IFNA(vlookup(B3440,'Special Names'!A:B,2,FALSE),B3440),PlayerValues!E:E,0)),"N/A")</f>
        <v>15766</v>
      </c>
      <c r="B3440" s="4" t="s">
        <v>759</v>
      </c>
      <c r="C3440" s="4" t="s">
        <v>287</v>
      </c>
      <c r="D3440" s="94">
        <v>977.0</v>
      </c>
    </row>
    <row r="3441">
      <c r="A3441" s="40">
        <f t="array" ref="A3441">IFNA(index(PlayerValues!A:A,match(IFNA(vlookup(B3441,'Special Names'!A:B,2,FALSE),B3441),PlayerValues!E:E,0)),"N/A")</f>
        <v>16678</v>
      </c>
      <c r="B3441" s="4" t="s">
        <v>758</v>
      </c>
      <c r="C3441" s="4" t="s">
        <v>278</v>
      </c>
      <c r="D3441" s="94">
        <v>975.0</v>
      </c>
    </row>
    <row r="3442">
      <c r="A3442" s="40">
        <f t="array" ref="A3442">IFNA(index(PlayerValues!A:A,match(IFNA(vlookup(B3442,'Special Names'!A:B,2,FALSE),B3442),PlayerValues!E:E,0)),"N/A")</f>
        <v>14118</v>
      </c>
      <c r="B3442" s="4" t="s">
        <v>771</v>
      </c>
      <c r="C3442" s="4" t="s">
        <v>287</v>
      </c>
      <c r="D3442" s="94">
        <v>974.0</v>
      </c>
    </row>
    <row r="3443">
      <c r="A3443" s="40">
        <f t="array" ref="A3443">IFNA(index(PlayerValues!A:A,match(IFNA(vlookup(B3443,'Special Names'!A:B,2,FALSE),B3443),PlayerValues!E:E,0)),"N/A")</f>
        <v>17175</v>
      </c>
      <c r="B3443" s="4" t="s">
        <v>747</v>
      </c>
      <c r="C3443" s="4" t="s">
        <v>287</v>
      </c>
      <c r="D3443" s="94">
        <v>974.0</v>
      </c>
    </row>
    <row r="3444">
      <c r="A3444" s="40">
        <f t="array" ref="A3444">IFNA(index(PlayerValues!A:A,match(IFNA(vlookup(B3444,'Special Names'!A:B,2,FALSE),B3444),PlayerValues!E:E,0)),"N/A")</f>
        <v>14057</v>
      </c>
      <c r="B3444" s="4" t="s">
        <v>765</v>
      </c>
      <c r="C3444" s="4" t="s">
        <v>283</v>
      </c>
      <c r="D3444" s="94">
        <v>973.0</v>
      </c>
    </row>
    <row r="3445">
      <c r="A3445" s="40">
        <f t="array" ref="A3445">IFNA(index(PlayerValues!A:A,match(IFNA(vlookup(B3445,'Special Names'!A:B,2,FALSE),B3445),PlayerValues!E:E,0)),"N/A")</f>
        <v>15758</v>
      </c>
      <c r="B3445" s="4" t="s">
        <v>724</v>
      </c>
      <c r="C3445" s="4" t="s">
        <v>287</v>
      </c>
      <c r="D3445" s="94">
        <v>972.0</v>
      </c>
    </row>
    <row r="3446">
      <c r="A3446" s="40">
        <f t="array" ref="A3446">IFNA(index(PlayerValues!A:A,match(IFNA(vlookup(B3446,'Special Names'!A:B,2,FALSE),B3446),PlayerValues!E:E,0)),"N/A")</f>
        <v>16205</v>
      </c>
      <c r="B3446" s="4" t="s">
        <v>742</v>
      </c>
      <c r="C3446" s="4" t="s">
        <v>287</v>
      </c>
      <c r="D3446" s="94">
        <v>971.0</v>
      </c>
    </row>
    <row r="3447">
      <c r="A3447" s="40">
        <f t="array" ref="A3447">IFNA(index(PlayerValues!A:A,match(IFNA(vlookup(B3447,'Special Names'!A:B,2,FALSE),B3447),PlayerValues!E:E,0)),"N/A")</f>
        <v>15718</v>
      </c>
      <c r="B3447" s="4" t="s">
        <v>753</v>
      </c>
      <c r="C3447" s="4" t="s">
        <v>278</v>
      </c>
      <c r="D3447" s="94">
        <v>969.0</v>
      </c>
    </row>
    <row r="3448">
      <c r="A3448" s="40">
        <f t="array" ref="A3448">IFNA(index(PlayerValues!A:A,match(IFNA(vlookup(B3448,'Special Names'!A:B,2,FALSE),B3448),PlayerValues!E:E,0)),"N/A")</f>
        <v>17479</v>
      </c>
      <c r="B3448" s="4" t="s">
        <v>756</v>
      </c>
      <c r="C3448" s="4" t="s">
        <v>278</v>
      </c>
      <c r="D3448" s="94">
        <v>964.0</v>
      </c>
    </row>
    <row r="3449">
      <c r="A3449" s="40">
        <f t="array" ref="A3449">IFNA(index(PlayerValues!A:A,match(IFNA(vlookup(B3449,'Special Names'!A:B,2,FALSE),B3449),PlayerValues!E:E,0)),"N/A")</f>
        <v>15626</v>
      </c>
      <c r="B3449" s="4" t="s">
        <v>766</v>
      </c>
      <c r="C3449" s="4" t="s">
        <v>298</v>
      </c>
      <c r="D3449" s="94">
        <v>1329.0</v>
      </c>
    </row>
    <row r="3450">
      <c r="A3450" s="40">
        <f t="array" ref="A3450">IFNA(index(PlayerValues!A:A,match(IFNA(vlookup(B3450,'Special Names'!A:B,2,FALSE),B3450),PlayerValues!E:E,0)),"N/A")</f>
        <v>16858</v>
      </c>
      <c r="B3450" s="4" t="s">
        <v>754</v>
      </c>
      <c r="C3450" s="4" t="s">
        <v>287</v>
      </c>
      <c r="D3450" s="94">
        <v>958.0</v>
      </c>
    </row>
    <row r="3451">
      <c r="A3451" s="40">
        <f t="array" ref="A3451">IFNA(index(PlayerValues!A:A,match(IFNA(vlookup(B3451,'Special Names'!A:B,2,FALSE),B3451),PlayerValues!E:E,0)),"N/A")</f>
        <v>15109</v>
      </c>
      <c r="B3451" s="4" t="s">
        <v>728</v>
      </c>
      <c r="C3451" s="4" t="s">
        <v>287</v>
      </c>
      <c r="D3451" s="94">
        <v>956.0</v>
      </c>
    </row>
    <row r="3452">
      <c r="A3452" s="40">
        <f t="array" ref="A3452">IFNA(index(PlayerValues!A:A,match(IFNA(vlookup(B3452,'Special Names'!A:B,2,FALSE),B3452),PlayerValues!E:E,0)),"N/A")</f>
        <v>16219</v>
      </c>
      <c r="B3452" s="4" t="s">
        <v>739</v>
      </c>
      <c r="C3452" s="4" t="s">
        <v>298</v>
      </c>
      <c r="D3452" s="94">
        <v>1297.0</v>
      </c>
    </row>
    <row r="3453">
      <c r="A3453" s="40">
        <f t="array" ref="A3453">IFNA(index(PlayerValues!A:A,match(IFNA(vlookup(B3453,'Special Names'!A:B,2,FALSE),B3453),PlayerValues!E:E,0)),"N/A")</f>
        <v>16624</v>
      </c>
      <c r="B3453" s="4" t="s">
        <v>796</v>
      </c>
      <c r="C3453" s="4" t="s">
        <v>287</v>
      </c>
      <c r="D3453" s="94">
        <v>917.0</v>
      </c>
    </row>
    <row r="3454">
      <c r="A3454" s="40">
        <f t="array" ref="A3454">IFNA(index(PlayerValues!A:A,match(IFNA(vlookup(B3454,'Special Names'!A:B,2,FALSE),B3454),PlayerValues!E:E,0)),"N/A")</f>
        <v>17475</v>
      </c>
      <c r="B3454" s="4" t="s">
        <v>615</v>
      </c>
      <c r="C3454" s="4" t="s">
        <v>278</v>
      </c>
      <c r="D3454" s="94">
        <v>914.0</v>
      </c>
    </row>
    <row r="3455">
      <c r="A3455" s="40">
        <f t="array" ref="A3455">IFNA(index(PlayerValues!A:A,match(IFNA(vlookup(B3455,'Special Names'!A:B,2,FALSE),B3455),PlayerValues!E:E,0)),"N/A")</f>
        <v>15720</v>
      </c>
      <c r="B3455" s="4" t="s">
        <v>795</v>
      </c>
      <c r="C3455" s="4" t="s">
        <v>278</v>
      </c>
      <c r="D3455" s="94">
        <v>907.0</v>
      </c>
    </row>
    <row r="3456">
      <c r="A3456" s="40">
        <f t="array" ref="A3456">IFNA(index(PlayerValues!A:A,match(IFNA(vlookup(B3456,'Special Names'!A:B,2,FALSE),B3456),PlayerValues!E:E,0)),"N/A")</f>
        <v>16773</v>
      </c>
      <c r="B3456" s="4" t="s">
        <v>783</v>
      </c>
      <c r="C3456" s="4" t="s">
        <v>278</v>
      </c>
      <c r="D3456" s="94">
        <v>879.0</v>
      </c>
    </row>
    <row r="3457">
      <c r="A3457" s="40">
        <f t="array" ref="A3457">IFNA(index(PlayerValues!A:A,match(IFNA(vlookup(B3457,'Special Names'!A:B,2,FALSE),B3457),PlayerValues!E:E,0)),"N/A")</f>
        <v>16599</v>
      </c>
      <c r="B3457" s="4" t="s">
        <v>737</v>
      </c>
      <c r="C3457" s="4" t="s">
        <v>278</v>
      </c>
      <c r="D3457" s="94">
        <v>868.0</v>
      </c>
    </row>
    <row r="3458">
      <c r="A3458" s="40">
        <f t="array" ref="A3458">IFNA(index(PlayerValues!A:A,match(IFNA(vlookup(B3458,'Special Names'!A:B,2,FALSE),B3458),PlayerValues!E:E,0)),"N/A")</f>
        <v>16416</v>
      </c>
      <c r="B3458" s="4" t="s">
        <v>752</v>
      </c>
      <c r="C3458" s="4" t="s">
        <v>287</v>
      </c>
      <c r="D3458" s="94">
        <v>866.0</v>
      </c>
    </row>
    <row r="3459">
      <c r="A3459" s="40">
        <f t="array" ref="A3459">IFNA(index(PlayerValues!A:A,match(IFNA(vlookup(B3459,'Special Names'!A:B,2,FALSE),B3459),PlayerValues!E:E,0)),"N/A")</f>
        <v>17549</v>
      </c>
      <c r="B3459" s="4" t="s">
        <v>720</v>
      </c>
      <c r="C3459" s="4" t="s">
        <v>298</v>
      </c>
      <c r="D3459" s="94">
        <v>1231.0</v>
      </c>
    </row>
    <row r="3460">
      <c r="A3460" s="40">
        <f t="array" ref="A3460">IFNA(index(PlayerValues!A:A,match(IFNA(vlookup(B3460,'Special Names'!A:B,2,FALSE),B3460),PlayerValues!E:E,0)),"N/A")</f>
        <v>13138</v>
      </c>
      <c r="B3460" s="4" t="s">
        <v>817</v>
      </c>
      <c r="C3460" s="4" t="s">
        <v>278</v>
      </c>
      <c r="D3460" s="94">
        <v>862.0</v>
      </c>
    </row>
    <row r="3461">
      <c r="A3461" s="40">
        <f t="array" ref="A3461">IFNA(index(PlayerValues!A:A,match(IFNA(vlookup(B3461,'Special Names'!A:B,2,FALSE),B3461),PlayerValues!E:E,0)),"N/A")</f>
        <v>17504</v>
      </c>
      <c r="B3461" s="4" t="s">
        <v>693</v>
      </c>
      <c r="C3461" s="4" t="s">
        <v>287</v>
      </c>
      <c r="D3461" s="94">
        <v>858.0</v>
      </c>
    </row>
    <row r="3462">
      <c r="A3462" s="40">
        <f t="array" ref="A3462">IFNA(index(PlayerValues!A:A,match(IFNA(vlookup(B3462,'Special Names'!A:B,2,FALSE),B3462),PlayerValues!E:E,0)),"N/A")</f>
        <v>17487</v>
      </c>
      <c r="B3462" s="4" t="s">
        <v>692</v>
      </c>
      <c r="C3462" s="4" t="s">
        <v>278</v>
      </c>
      <c r="D3462" s="94">
        <v>848.0</v>
      </c>
    </row>
    <row r="3463">
      <c r="A3463" s="40">
        <f t="array" ref="A3463">IFNA(index(PlayerValues!A:A,match(IFNA(vlookup(B3463,'Special Names'!A:B,2,FALSE),B3463),PlayerValues!E:E,0)),"N/A")</f>
        <v>12785</v>
      </c>
      <c r="B3463" s="4" t="s">
        <v>772</v>
      </c>
      <c r="C3463" s="4" t="s">
        <v>287</v>
      </c>
      <c r="D3463" s="94">
        <v>841.0</v>
      </c>
    </row>
    <row r="3464">
      <c r="A3464" s="40">
        <f t="array" ref="A3464">IFNA(index(PlayerValues!A:A,match(IFNA(vlookup(B3464,'Special Names'!A:B,2,FALSE),B3464),PlayerValues!E:E,0)),"N/A")</f>
        <v>16751</v>
      </c>
      <c r="B3464" s="4" t="s">
        <v>762</v>
      </c>
      <c r="C3464" s="4" t="s">
        <v>287</v>
      </c>
      <c r="D3464" s="94">
        <v>841.0</v>
      </c>
    </row>
    <row r="3465">
      <c r="A3465" s="40">
        <f t="array" ref="A3465">IFNA(index(PlayerValues!A:A,match(IFNA(vlookup(B3465,'Special Names'!A:B,2,FALSE),B3465),PlayerValues!E:E,0)),"N/A")</f>
        <v>17657</v>
      </c>
      <c r="B3465" s="4" t="s">
        <v>642</v>
      </c>
      <c r="C3465" s="4" t="s">
        <v>283</v>
      </c>
      <c r="D3465" s="94">
        <v>829.0</v>
      </c>
    </row>
    <row r="3466">
      <c r="A3466" s="40">
        <f t="array" ref="A3466">IFNA(index(PlayerValues!A:A,match(IFNA(vlookup(B3466,'Special Names'!A:B,2,FALSE),B3466),PlayerValues!E:E,0)),"N/A")</f>
        <v>14223</v>
      </c>
      <c r="B3466" s="4" t="s">
        <v>785</v>
      </c>
      <c r="C3466" s="4" t="s">
        <v>278</v>
      </c>
      <c r="D3466" s="94">
        <v>815.0</v>
      </c>
    </row>
    <row r="3467">
      <c r="A3467" s="40">
        <f t="array" ref="A3467">IFNA(index(PlayerValues!A:A,match(IFNA(vlookup(B3467,'Special Names'!A:B,2,FALSE),B3467),PlayerValues!E:E,0)),"N/A")</f>
        <v>17486</v>
      </c>
      <c r="B3467" s="4" t="s">
        <v>695</v>
      </c>
      <c r="C3467" s="4" t="s">
        <v>278</v>
      </c>
      <c r="D3467" s="94">
        <v>780.0</v>
      </c>
    </row>
    <row r="3468">
      <c r="A3468" s="40">
        <f t="array" ref="A3468">IFNA(index(PlayerValues!A:A,match(IFNA(vlookup(B3468,'Special Names'!A:B,2,FALSE),B3468),PlayerValues!E:E,0)),"N/A")</f>
        <v>17337</v>
      </c>
      <c r="B3468" s="4" t="s">
        <v>793</v>
      </c>
      <c r="C3468" s="4" t="s">
        <v>278</v>
      </c>
      <c r="D3468" s="94">
        <v>771.0</v>
      </c>
    </row>
    <row r="3469">
      <c r="A3469" s="40">
        <f t="array" ref="A3469">IFNA(index(PlayerValues!A:A,match(IFNA(vlookup(B3469,'Special Names'!A:B,2,FALSE),B3469),PlayerValues!E:E,0)),"N/A")</f>
        <v>17654</v>
      </c>
      <c r="B3469" s="4" t="s">
        <v>767</v>
      </c>
      <c r="C3469" s="4" t="s">
        <v>283</v>
      </c>
      <c r="D3469" s="94">
        <v>765.0</v>
      </c>
    </row>
    <row r="3470">
      <c r="A3470" s="40">
        <f t="array" ref="A3470">IFNA(index(PlayerValues!A:A,match(IFNA(vlookup(B3470,'Special Names'!A:B,2,FALSE),B3470),PlayerValues!E:E,0)),"N/A")</f>
        <v>16176</v>
      </c>
      <c r="B3470" s="4" t="s">
        <v>812</v>
      </c>
      <c r="C3470" s="4" t="s">
        <v>278</v>
      </c>
      <c r="D3470" s="94">
        <v>747.0</v>
      </c>
    </row>
    <row r="3471">
      <c r="A3471" s="40">
        <f t="array" ref="A3471">IFNA(index(PlayerValues!A:A,match(IFNA(vlookup(B3471,'Special Names'!A:B,2,FALSE),B3471),PlayerValues!E:E,0)),"N/A")</f>
        <v>16606</v>
      </c>
      <c r="B3471" s="4" t="s">
        <v>743</v>
      </c>
      <c r="C3471" s="4" t="s">
        <v>278</v>
      </c>
      <c r="D3471" s="94">
        <v>732.0</v>
      </c>
    </row>
    <row r="3472">
      <c r="A3472" s="40">
        <f t="array" ref="A3472">IFNA(index(PlayerValues!A:A,match(IFNA(vlookup(B3472,'Special Names'!A:B,2,FALSE),B3472),PlayerValues!E:E,0)),"N/A")</f>
        <v>17518</v>
      </c>
      <c r="B3472" s="4" t="s">
        <v>482</v>
      </c>
      <c r="C3472" s="4" t="s">
        <v>287</v>
      </c>
      <c r="D3472" s="94">
        <v>729.0</v>
      </c>
    </row>
    <row r="3473">
      <c r="A3473" s="40">
        <f t="array" ref="A3473">IFNA(index(PlayerValues!A:A,match(IFNA(vlookup(B3473,'Special Names'!A:B,2,FALSE),B3473),PlayerValues!E:E,0)),"N/A")</f>
        <v>16623</v>
      </c>
      <c r="B3473" s="4" t="s">
        <v>803</v>
      </c>
      <c r="C3473" s="4" t="s">
        <v>287</v>
      </c>
      <c r="D3473" s="94">
        <v>721.0</v>
      </c>
    </row>
    <row r="3474">
      <c r="A3474" s="40">
        <f t="array" ref="A3474">IFNA(index(PlayerValues!A:A,match(IFNA(vlookup(B3474,'Special Names'!A:B,2,FALSE),B3474),PlayerValues!E:E,0)),"N/A")</f>
        <v>14864</v>
      </c>
      <c r="B3474" s="4" t="s">
        <v>789</v>
      </c>
      <c r="C3474" s="4" t="s">
        <v>287</v>
      </c>
      <c r="D3474" s="94">
        <v>706.0</v>
      </c>
    </row>
    <row r="3475">
      <c r="A3475" s="40">
        <f t="array" ref="A3475">IFNA(index(PlayerValues!A:A,match(IFNA(vlookup(B3475,'Special Names'!A:B,2,FALSE),B3475),PlayerValues!E:E,0)),"N/A")</f>
        <v>12263</v>
      </c>
      <c r="B3475" s="4" t="s">
        <v>697</v>
      </c>
      <c r="C3475" s="4" t="s">
        <v>298</v>
      </c>
      <c r="D3475" s="94">
        <v>1055.0</v>
      </c>
    </row>
    <row r="3476">
      <c r="A3476" s="40">
        <f t="array" ref="A3476">IFNA(index(PlayerValues!A:A,match(IFNA(vlookup(B3476,'Special Names'!A:B,2,FALSE),B3476),PlayerValues!E:E,0)),"N/A")</f>
        <v>15723</v>
      </c>
      <c r="B3476" s="4" t="s">
        <v>798</v>
      </c>
      <c r="C3476" s="4" t="s">
        <v>278</v>
      </c>
      <c r="D3476" s="94">
        <v>692.0</v>
      </c>
    </row>
    <row r="3477">
      <c r="A3477" s="40">
        <f t="array" ref="A3477">IFNA(index(PlayerValues!A:A,match(IFNA(vlookup(B3477,'Special Names'!A:B,2,FALSE),B3477),PlayerValues!E:E,0)),"N/A")</f>
        <v>16686</v>
      </c>
      <c r="B3477" s="4" t="s">
        <v>805</v>
      </c>
      <c r="C3477" s="4" t="s">
        <v>287</v>
      </c>
      <c r="D3477" s="94">
        <v>674.0</v>
      </c>
    </row>
    <row r="3478">
      <c r="A3478" s="40">
        <f t="array" ref="A3478">IFNA(index(PlayerValues!A:A,match(IFNA(vlookup(B3478,'Special Names'!A:B,2,FALSE),B3478),PlayerValues!E:E,0)),"N/A")</f>
        <v>17545</v>
      </c>
      <c r="B3478" s="4" t="s">
        <v>719</v>
      </c>
      <c r="C3478" s="4" t="s">
        <v>298</v>
      </c>
      <c r="D3478" s="94">
        <v>1025.0</v>
      </c>
    </row>
    <row r="3479">
      <c r="A3479" s="40">
        <f t="array" ref="A3479">IFNA(index(PlayerValues!A:A,match(IFNA(vlookup(B3479,'Special Names'!A:B,2,FALSE),B3479),PlayerValues!E:E,0)),"N/A")</f>
        <v>17627</v>
      </c>
      <c r="B3479" s="4" t="s">
        <v>684</v>
      </c>
      <c r="C3479" s="4" t="s">
        <v>298</v>
      </c>
      <c r="D3479" s="94">
        <v>1024.0</v>
      </c>
    </row>
    <row r="3480">
      <c r="A3480" s="40">
        <f t="array" ref="A3480">IFNA(index(PlayerValues!A:A,match(IFNA(vlookup(B3480,'Special Names'!A:B,2,FALSE),B3480),PlayerValues!E:E,0)),"N/A")</f>
        <v>17541</v>
      </c>
      <c r="B3480" s="4" t="s">
        <v>616</v>
      </c>
      <c r="C3480" s="4" t="s">
        <v>287</v>
      </c>
      <c r="D3480" s="94">
        <v>620.0</v>
      </c>
    </row>
    <row r="3481">
      <c r="A3481" s="40">
        <f t="array" ref="A3481">IFNA(index(PlayerValues!A:A,match(IFNA(vlookup(B3481,'Special Names'!A:B,2,FALSE),B3481),PlayerValues!E:E,0)),"N/A")</f>
        <v>13133</v>
      </c>
      <c r="B3481" s="4" t="s">
        <v>764</v>
      </c>
      <c r="C3481" s="4" t="s">
        <v>278</v>
      </c>
      <c r="D3481" s="94">
        <v>606.0</v>
      </c>
    </row>
    <row r="3482">
      <c r="A3482" s="40">
        <f t="array" ref="A3482">IFNA(index(PlayerValues!A:A,match(IFNA(vlookup(B3482,'Special Names'!A:B,2,FALSE),B3482),PlayerValues!E:E,0)),"N/A")</f>
        <v>13595</v>
      </c>
      <c r="B3482" s="4" t="s">
        <v>818</v>
      </c>
      <c r="C3482" s="4" t="s">
        <v>283</v>
      </c>
      <c r="D3482" s="94">
        <v>591.0</v>
      </c>
    </row>
    <row r="3483">
      <c r="A3483" s="40">
        <f t="array" ref="A3483">IFNA(index(PlayerValues!A:A,match(IFNA(vlookup(B3483,'Special Names'!A:B,2,FALSE),B3483),PlayerValues!E:E,0)),"N/A")</f>
        <v>16159</v>
      </c>
      <c r="B3483" s="4" t="s">
        <v>819</v>
      </c>
      <c r="C3483" s="4" t="s">
        <v>283</v>
      </c>
      <c r="D3483" s="94">
        <v>566.0</v>
      </c>
    </row>
    <row r="3484">
      <c r="A3484" s="40">
        <f t="array" ref="A3484">IFNA(index(PlayerValues!A:A,match(IFNA(vlookup(B3484,'Special Names'!A:B,2,FALSE),B3484),PlayerValues!E:E,0)),"N/A")</f>
        <v>15804</v>
      </c>
      <c r="B3484" s="4" t="s">
        <v>821</v>
      </c>
      <c r="C3484" s="4" t="s">
        <v>298</v>
      </c>
      <c r="D3484" s="94">
        <v>871.0</v>
      </c>
    </row>
    <row r="3485">
      <c r="A3485" s="40">
        <f t="array" ref="A3485">IFNA(index(PlayerValues!A:A,match(IFNA(vlookup(B3485,'Special Names'!A:B,2,FALSE),B3485),PlayerValues!E:E,0)),"N/A")</f>
        <v>14858</v>
      </c>
      <c r="B3485" s="4" t="s">
        <v>799</v>
      </c>
      <c r="C3485" s="4" t="s">
        <v>287</v>
      </c>
      <c r="D3485" s="94">
        <v>515.0</v>
      </c>
    </row>
    <row r="3486">
      <c r="A3486" s="40">
        <f t="array" ref="A3486">IFNA(index(PlayerValues!A:A,match(IFNA(vlookup(B3486,'Special Names'!A:B,2,FALSE),B3486),PlayerValues!E:E,0)),"N/A")</f>
        <v>15796</v>
      </c>
      <c r="B3486" s="4" t="s">
        <v>794</v>
      </c>
      <c r="C3486" s="4" t="s">
        <v>298</v>
      </c>
      <c r="D3486" s="94">
        <v>850.0</v>
      </c>
    </row>
    <row r="3487">
      <c r="A3487" s="40">
        <f t="array" ref="A3487">IFNA(index(PlayerValues!A:A,match(IFNA(vlookup(B3487,'Special Names'!A:B,2,FALSE),B3487),PlayerValues!E:E,0)),"N/A")</f>
        <v>17038</v>
      </c>
      <c r="B3487" s="4" t="s">
        <v>774</v>
      </c>
      <c r="C3487" s="4" t="s">
        <v>283</v>
      </c>
      <c r="D3487" s="94">
        <v>505.0</v>
      </c>
    </row>
    <row r="3488">
      <c r="A3488" s="40">
        <f t="array" ref="A3488">IFNA(index(PlayerValues!A:A,match(IFNA(vlookup(B3488,'Special Names'!A:B,2,FALSE),B3488),PlayerValues!E:E,0)),"N/A")</f>
        <v>17243</v>
      </c>
      <c r="B3488" s="4" t="s">
        <v>810</v>
      </c>
      <c r="C3488" s="4" t="s">
        <v>298</v>
      </c>
      <c r="D3488" s="94">
        <v>850.0</v>
      </c>
    </row>
    <row r="3489">
      <c r="A3489" s="40">
        <f t="array" ref="A3489">IFNA(index(PlayerValues!A:A,match(IFNA(vlookup(B3489,'Special Names'!A:B,2,FALSE),B3489),PlayerValues!E:E,0)),"N/A")</f>
        <v>13143</v>
      </c>
      <c r="B3489" s="4" t="s">
        <v>786</v>
      </c>
      <c r="C3489" s="4" t="s">
        <v>278</v>
      </c>
      <c r="D3489" s="94">
        <v>504.0</v>
      </c>
    </row>
    <row r="3490">
      <c r="A3490" s="40">
        <f t="array" ref="A3490">IFNA(index(PlayerValues!A:A,match(IFNA(vlookup(B3490,'Special Names'!A:B,2,FALSE),B3490),PlayerValues!E:E,0)),"N/A")</f>
        <v>16957</v>
      </c>
      <c r="B3490" s="4" t="s">
        <v>806</v>
      </c>
      <c r="C3490" s="4" t="s">
        <v>278</v>
      </c>
      <c r="D3490" s="94">
        <v>504.0</v>
      </c>
    </row>
    <row r="3491">
      <c r="A3491" s="40">
        <f t="array" ref="A3491">IFNA(index(PlayerValues!A:A,match(IFNA(vlookup(B3491,'Special Names'!A:B,2,FALSE),B3491),PlayerValues!E:E,0)),"N/A")</f>
        <v>13066</v>
      </c>
      <c r="B3491" s="4" t="s">
        <v>822</v>
      </c>
      <c r="C3491" s="4" t="s">
        <v>287</v>
      </c>
      <c r="D3491" s="94">
        <v>502.0</v>
      </c>
    </row>
    <row r="3492">
      <c r="A3492" s="40">
        <f t="array" ref="A3492">IFNA(index(PlayerValues!A:A,match(IFNA(vlookup(B3492,'Special Names'!A:B,2,FALSE),B3492),PlayerValues!E:E,0)),"N/A")</f>
        <v>12658</v>
      </c>
      <c r="B3492" s="4" t="s">
        <v>823</v>
      </c>
      <c r="C3492" s="4" t="s">
        <v>287</v>
      </c>
      <c r="D3492" s="94">
        <v>501.0</v>
      </c>
    </row>
    <row r="3493">
      <c r="A3493" s="40">
        <f t="array" ref="A3493">IFNA(index(PlayerValues!A:A,match(IFNA(vlookup(B3493,'Special Names'!A:B,2,FALSE),B3493),PlayerValues!E:E,0)),"N/A")</f>
        <v>14239</v>
      </c>
      <c r="B3493" s="4" t="s">
        <v>824</v>
      </c>
      <c r="C3493" s="4" t="s">
        <v>298</v>
      </c>
      <c r="D3493" s="94">
        <v>846.0</v>
      </c>
    </row>
    <row r="3494">
      <c r="A3494" s="40">
        <f t="array" ref="A3494">IFNA(index(PlayerValues!A:A,match(IFNA(vlookup(B3494,'Special Names'!A:B,2,FALSE),B3494),PlayerValues!E:E,0)),"N/A")</f>
        <v>16625</v>
      </c>
      <c r="B3494" s="4" t="s">
        <v>778</v>
      </c>
      <c r="C3494" s="4" t="s">
        <v>287</v>
      </c>
      <c r="D3494" s="94">
        <v>497.0</v>
      </c>
    </row>
    <row r="3495">
      <c r="A3495" s="40">
        <f t="array" ref="A3495">IFNA(index(PlayerValues!A:A,match(IFNA(vlookup(B3495,'Special Names'!A:B,2,FALSE),B3495),PlayerValues!E:E,0)),"N/A")</f>
        <v>13610</v>
      </c>
      <c r="B3495" s="4" t="s">
        <v>825</v>
      </c>
      <c r="C3495" s="4" t="s">
        <v>278</v>
      </c>
      <c r="D3495" s="94">
        <v>496.0</v>
      </c>
    </row>
    <row r="3496">
      <c r="A3496" s="40">
        <f t="array" ref="A3496">IFNA(index(PlayerValues!A:A,match(IFNA(vlookup(B3496,'Special Names'!A:B,2,FALSE),B3496),PlayerValues!E:E,0)),"N/A")</f>
        <v>16299</v>
      </c>
      <c r="B3496" s="4" t="s">
        <v>787</v>
      </c>
      <c r="C3496" s="4" t="s">
        <v>287</v>
      </c>
      <c r="D3496" s="94">
        <v>496.0</v>
      </c>
    </row>
    <row r="3497">
      <c r="A3497" s="40">
        <f t="array" ref="A3497">IFNA(index(PlayerValues!A:A,match(IFNA(vlookup(B3497,'Special Names'!A:B,2,FALSE),B3497),PlayerValues!E:E,0)),"N/A")</f>
        <v>11232</v>
      </c>
      <c r="B3497" s="4" t="s">
        <v>826</v>
      </c>
      <c r="C3497" s="4" t="s">
        <v>287</v>
      </c>
      <c r="D3497" s="94">
        <v>495.0</v>
      </c>
    </row>
    <row r="3498">
      <c r="A3498" s="40">
        <f t="array" ref="A3498">IFNA(index(PlayerValues!A:A,match(IFNA(vlookup(B3498,'Special Names'!A:B,2,FALSE),B3498),PlayerValues!E:E,0)),"N/A")</f>
        <v>10413</v>
      </c>
      <c r="B3498" s="4" t="s">
        <v>811</v>
      </c>
      <c r="C3498" s="4" t="s">
        <v>283</v>
      </c>
      <c r="D3498" s="94">
        <v>494.0</v>
      </c>
    </row>
    <row r="3499">
      <c r="A3499" s="40">
        <f t="array" ref="A3499">IFNA(index(PlayerValues!A:A,match(IFNA(vlookup(B3499,'Special Names'!A:B,2,FALSE),B3499),PlayerValues!E:E,0)),"N/A")</f>
        <v>16413</v>
      </c>
      <c r="B3499" s="4" t="s">
        <v>781</v>
      </c>
      <c r="C3499" s="4" t="s">
        <v>287</v>
      </c>
      <c r="D3499" s="94">
        <v>493.0</v>
      </c>
    </row>
    <row r="3500">
      <c r="A3500" s="40">
        <f t="array" ref="A3500">IFNA(index(PlayerValues!A:A,match(IFNA(vlookup(B3500,'Special Names'!A:B,2,FALSE),B3500),PlayerValues!E:E,0)),"N/A")</f>
        <v>13404</v>
      </c>
      <c r="B3500" s="4" t="s">
        <v>827</v>
      </c>
      <c r="C3500" s="4" t="s">
        <v>278</v>
      </c>
      <c r="D3500" s="94">
        <v>11.0</v>
      </c>
    </row>
    <row r="3501">
      <c r="A3501" s="40">
        <f t="array" ref="A3501">IFNA(index(PlayerValues!A:A,match(IFNA(vlookup(B3501,'Special Names'!A:B,2,FALSE),B3501),PlayerValues!E:E,0)),"N/A")</f>
        <v>13589</v>
      </c>
      <c r="B3501" s="4" t="s">
        <v>282</v>
      </c>
      <c r="C3501" s="4" t="s">
        <v>283</v>
      </c>
      <c r="D3501" s="94">
        <v>9995.0</v>
      </c>
    </row>
    <row r="3502">
      <c r="A3502" s="40">
        <f t="array" ref="A3502">IFNA(index(PlayerValues!A:A,match(IFNA(vlookup(B3502,'Special Names'!A:B,2,FALSE),B3502),PlayerValues!E:E,0)),"N/A")</f>
        <v>16161</v>
      </c>
      <c r="B3502" s="4" t="s">
        <v>277</v>
      </c>
      <c r="C3502" s="4" t="s">
        <v>278</v>
      </c>
      <c r="D3502" s="94">
        <v>9992.0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9968.0</v>
      </c>
    </row>
    <row r="3504">
      <c r="A3504" s="40">
        <f t="array" ref="A3504">IFNA(index(PlayerValues!A:A,match(IFNA(vlookup(B3504,'Special Names'!A:B,2,FALSE),B3504),PlayerValues!E:E,0)),"N/A")</f>
        <v>16185</v>
      </c>
      <c r="B3504" s="4" t="s">
        <v>290</v>
      </c>
      <c r="C3504" s="4" t="s">
        <v>287</v>
      </c>
      <c r="D3504" s="94">
        <v>9831.0</v>
      </c>
    </row>
    <row r="3505">
      <c r="A3505" s="40">
        <f t="array" ref="A3505">IFNA(index(PlayerValues!A:A,match(IFNA(vlookup(B3505,'Special Names'!A:B,2,FALSE),B3505),PlayerValues!E:E,0)),"N/A")</f>
        <v>16162</v>
      </c>
      <c r="B3505" s="4" t="s">
        <v>281</v>
      </c>
      <c r="C3505" s="4" t="s">
        <v>278</v>
      </c>
      <c r="D3505" s="94">
        <v>9654.0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9386.0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8603.0</v>
      </c>
    </row>
    <row r="3508">
      <c r="A3508" s="40">
        <f t="array" ref="A3508">IFNA(index(PlayerValues!A:A,match(IFNA(vlookup(B3508,'Special Names'!A:B,2,FALSE),B3508),PlayerValues!E:E,0)),"N/A")</f>
        <v>16641</v>
      </c>
      <c r="B3508" s="4" t="s">
        <v>297</v>
      </c>
      <c r="C3508" s="4" t="s">
        <v>298</v>
      </c>
      <c r="D3508" s="94">
        <v>8907.0</v>
      </c>
    </row>
    <row r="3509">
      <c r="A3509" s="40">
        <f t="array" ref="A3509">IFNA(index(PlayerValues!A:A,match(IFNA(vlookup(B3509,'Special Names'!A:B,2,FALSE),B3509),PlayerValues!E:E,0)),"N/A")</f>
        <v>16579</v>
      </c>
      <c r="B3509" s="4" t="s">
        <v>302</v>
      </c>
      <c r="C3509" s="4" t="s">
        <v>283</v>
      </c>
      <c r="D3509" s="94">
        <v>7945.0</v>
      </c>
    </row>
    <row r="3510">
      <c r="A3510" s="40">
        <f t="array" ref="A3510">IFNA(index(PlayerValues!A:A,match(IFNA(vlookup(B3510,'Special Names'!A:B,2,FALSE),B3510),PlayerValues!E:E,0)),"N/A")</f>
        <v>16581</v>
      </c>
      <c r="B3510" s="4" t="s">
        <v>315</v>
      </c>
      <c r="C3510" s="4" t="s">
        <v>283</v>
      </c>
      <c r="D3510" s="94">
        <v>7848.0</v>
      </c>
    </row>
    <row r="3511">
      <c r="A3511" s="40">
        <f t="array" ref="A3511">IFNA(index(PlayerValues!A:A,match(IFNA(vlookup(B3511,'Special Names'!A:B,2,FALSE),B3511),PlayerValues!E:E,0)),"N/A")</f>
        <v>15287</v>
      </c>
      <c r="B3511" s="4" t="s">
        <v>299</v>
      </c>
      <c r="C3511" s="4" t="s">
        <v>287</v>
      </c>
      <c r="D3511" s="94">
        <v>7845.0</v>
      </c>
    </row>
    <row r="3512">
      <c r="A3512" s="40">
        <f t="array" ref="A3512">IFNA(index(PlayerValues!A:A,match(IFNA(vlookup(B3512,'Special Names'!A:B,2,FALSE),B3512),PlayerValues!E:E,0)),"N/A")</f>
        <v>14836</v>
      </c>
      <c r="B3512" s="4" t="s">
        <v>306</v>
      </c>
      <c r="C3512" s="4" t="s">
        <v>287</v>
      </c>
      <c r="D3512" s="94">
        <v>7789.0</v>
      </c>
    </row>
    <row r="3513">
      <c r="A3513" s="40">
        <f t="array" ref="A3513">IFNA(index(PlayerValues!A:A,match(IFNA(vlookup(B3513,'Special Names'!A:B,2,FALSE),B3513),PlayerValues!E:E,0)),"N/A")</f>
        <v>13593</v>
      </c>
      <c r="B3513" s="4" t="s">
        <v>305</v>
      </c>
      <c r="C3513" s="4" t="s">
        <v>283</v>
      </c>
      <c r="D3513" s="94">
        <v>7650.0</v>
      </c>
    </row>
    <row r="3514">
      <c r="A3514" s="40">
        <f t="array" ref="A3514">IFNA(index(PlayerValues!A:A,match(IFNA(vlookup(B3514,'Special Names'!A:B,2,FALSE),B3514),PlayerValues!E:E,0)),"N/A")</f>
        <v>17472</v>
      </c>
      <c r="B3514" s="4" t="s">
        <v>310</v>
      </c>
      <c r="C3514" s="4" t="s">
        <v>278</v>
      </c>
      <c r="D3514" s="94">
        <v>7649.0</v>
      </c>
    </row>
    <row r="3515">
      <c r="A3515" s="40">
        <f t="array" ref="A3515">IFNA(index(PlayerValues!A:A,match(IFNA(vlookup(B3515,'Special Names'!A:B,2,FALSE),B3515),PlayerValues!E:E,0)),"N/A")</f>
        <v>16615</v>
      </c>
      <c r="B3515" s="4" t="s">
        <v>309</v>
      </c>
      <c r="C3515" s="4" t="s">
        <v>287</v>
      </c>
      <c r="D3515" s="94">
        <v>7645.0</v>
      </c>
    </row>
    <row r="3516">
      <c r="A3516" s="40">
        <f t="array" ref="A3516">IFNA(index(PlayerValues!A:A,match(IFNA(vlookup(B3516,'Special Names'!A:B,2,FALSE),B3516),PlayerValues!E:E,0)),"N/A")</f>
        <v>17042</v>
      </c>
      <c r="B3516" s="4" t="s">
        <v>314</v>
      </c>
      <c r="C3516" s="4" t="s">
        <v>278</v>
      </c>
      <c r="D3516" s="94">
        <v>7576.0</v>
      </c>
    </row>
    <row r="3517">
      <c r="A3517" s="40">
        <f t="array" ref="A3517">IFNA(index(PlayerValues!A:A,match(IFNA(vlookup(B3517,'Special Names'!A:B,2,FALSE),B3517),PlayerValues!E:E,0)),"N/A")</f>
        <v>15794</v>
      </c>
      <c r="B3517" s="4" t="s">
        <v>313</v>
      </c>
      <c r="C3517" s="4" t="s">
        <v>298</v>
      </c>
      <c r="D3517" s="94">
        <v>8366.0</v>
      </c>
    </row>
    <row r="3518">
      <c r="A3518" s="40">
        <f t="array" ref="A3518">IFNA(index(PlayerValues!A:A,match(IFNA(vlookup(B3518,'Special Names'!A:B,2,FALSE),B3518),PlayerValues!E:E,0)),"N/A")</f>
        <v>14777</v>
      </c>
      <c r="B3518" s="4" t="s">
        <v>318</v>
      </c>
      <c r="C3518" s="4" t="s">
        <v>283</v>
      </c>
      <c r="D3518" s="94">
        <v>7440.0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7260.0</v>
      </c>
    </row>
    <row r="3520">
      <c r="A3520" s="40" t="str">
        <f t="array" ref="A3520">IFNA(index(PlayerValues!A:A,match(IFNA(vlookup(B3520,'Special Names'!A:B,2,FALSE),B3520),PlayerValues!E:E,0)),"N/A")</f>
        <v>N/A</v>
      </c>
      <c r="B3520" s="4" t="s">
        <v>92</v>
      </c>
      <c r="C3520" s="4" t="s">
        <v>325</v>
      </c>
      <c r="D3520" s="94">
        <v>7142.0</v>
      </c>
    </row>
    <row r="3521">
      <c r="A3521" s="40">
        <f t="array" ref="A3521">IFNA(index(PlayerValues!A:A,match(IFNA(vlookup(B3521,'Special Names'!A:B,2,FALSE),B3521),PlayerValues!E:E,0)),"N/A")</f>
        <v>15751</v>
      </c>
      <c r="B3521" s="4" t="s">
        <v>328</v>
      </c>
      <c r="C3521" s="4" t="s">
        <v>287</v>
      </c>
      <c r="D3521" s="94">
        <v>6935.0</v>
      </c>
    </row>
    <row r="3522">
      <c r="A3522" s="40">
        <f t="array" ref="A3522">IFNA(index(PlayerValues!A:A,match(IFNA(vlookup(B3522,'Special Names'!A:B,2,FALSE),B3522),PlayerValues!E:E,0)),"N/A")</f>
        <v>16167</v>
      </c>
      <c r="B3522" s="4" t="s">
        <v>323</v>
      </c>
      <c r="C3522" s="4" t="s">
        <v>278</v>
      </c>
      <c r="D3522" s="94">
        <v>6917.0</v>
      </c>
    </row>
    <row r="3523">
      <c r="A3523" s="40">
        <f t="array" ref="A3523">IFNA(index(PlayerValues!A:A,match(IFNA(vlookup(B3523,'Special Names'!A:B,2,FALSE),B3523),PlayerValues!E:E,0)),"N/A")</f>
        <v>14779</v>
      </c>
      <c r="B3523" s="4" t="s">
        <v>327</v>
      </c>
      <c r="C3523" s="4" t="s">
        <v>283</v>
      </c>
      <c r="D3523" s="94">
        <v>6838.0</v>
      </c>
    </row>
    <row r="3524">
      <c r="A3524" s="40">
        <f t="array" ref="A3524">IFNA(index(PlayerValues!A:A,match(IFNA(vlookup(B3524,'Special Names'!A:B,2,FALSE),B3524),PlayerValues!E:E,0)),"N/A")</f>
        <v>17044</v>
      </c>
      <c r="B3524" s="4" t="s">
        <v>322</v>
      </c>
      <c r="C3524" s="4" t="s">
        <v>278</v>
      </c>
      <c r="D3524" s="94">
        <v>6810.0</v>
      </c>
    </row>
    <row r="3525">
      <c r="A3525" s="40">
        <f t="array" ref="A3525">IFNA(index(PlayerValues!A:A,match(IFNA(vlookup(B3525,'Special Names'!A:B,2,FALSE),B3525),PlayerValues!E:E,0)),"N/A")</f>
        <v>13116</v>
      </c>
      <c r="B3525" s="4" t="s">
        <v>345</v>
      </c>
      <c r="C3525" s="4" t="s">
        <v>283</v>
      </c>
      <c r="D3525" s="94">
        <v>6687.0</v>
      </c>
    </row>
    <row r="3526">
      <c r="A3526" s="40">
        <f t="array" ref="A3526">IFNA(index(PlayerValues!A:A,match(IFNA(vlookup(B3526,'Special Names'!A:B,2,FALSE),B3526),PlayerValues!E:E,0)),"N/A")</f>
        <v>17032</v>
      </c>
      <c r="B3526" s="4" t="s">
        <v>348</v>
      </c>
      <c r="C3526" s="4" t="s">
        <v>283</v>
      </c>
      <c r="D3526" s="94">
        <v>6606.0</v>
      </c>
    </row>
    <row r="3527">
      <c r="A3527" s="40">
        <f t="array" ref="A3527">IFNA(index(PlayerValues!A:A,match(IFNA(vlookup(B3527,'Special Names'!A:B,2,FALSE),B3527),PlayerValues!E:E,0)),"N/A")</f>
        <v>17071</v>
      </c>
      <c r="B3527" s="4" t="s">
        <v>341</v>
      </c>
      <c r="C3527" s="4" t="s">
        <v>287</v>
      </c>
      <c r="D3527" s="94">
        <v>6553.0</v>
      </c>
    </row>
    <row r="3528">
      <c r="A3528" s="40">
        <f t="array" ref="A3528">IFNA(index(PlayerValues!A:A,match(IFNA(vlookup(B3528,'Special Names'!A:B,2,FALSE),B3528),PlayerValues!E:E,0)),"N/A")</f>
        <v>15237</v>
      </c>
      <c r="B3528" s="4" t="s">
        <v>336</v>
      </c>
      <c r="C3528" s="4" t="s">
        <v>283</v>
      </c>
      <c r="D3528" s="94">
        <v>6373.0</v>
      </c>
    </row>
    <row r="3529">
      <c r="A3529" s="40">
        <f t="array" ref="A3529">IFNA(index(PlayerValues!A:A,match(IFNA(vlookup(B3529,'Special Names'!A:B,2,FALSE),B3529),PlayerValues!E:E,0)),"N/A")</f>
        <v>14783</v>
      </c>
      <c r="B3529" s="4" t="s">
        <v>342</v>
      </c>
      <c r="C3529" s="4" t="s">
        <v>283</v>
      </c>
      <c r="D3529" s="94">
        <v>6173.0</v>
      </c>
    </row>
    <row r="3530">
      <c r="A3530" s="40">
        <f t="array" ref="A3530">IFNA(index(PlayerValues!A:A,match(IFNA(vlookup(B3530,'Special Names'!A:B,2,FALSE),B3530),PlayerValues!E:E,0)),"N/A")</f>
        <v>17104</v>
      </c>
      <c r="B3530" s="4" t="s">
        <v>333</v>
      </c>
      <c r="C3530" s="4" t="s">
        <v>298</v>
      </c>
      <c r="D3530" s="94">
        <v>6788.0</v>
      </c>
    </row>
    <row r="3531">
      <c r="A3531" s="40">
        <f t="array" ref="A3531">IFNA(index(PlayerValues!A:A,match(IFNA(vlookup(B3531,'Special Names'!A:B,2,FALSE),B3531),PlayerValues!E:E,0)),"N/A")</f>
        <v>17081</v>
      </c>
      <c r="B3531" s="4" t="s">
        <v>340</v>
      </c>
      <c r="C3531" s="4" t="s">
        <v>287</v>
      </c>
      <c r="D3531" s="94">
        <v>6086.0</v>
      </c>
    </row>
    <row r="3532">
      <c r="A3532" s="40">
        <f t="array" ref="A3532">IFNA(index(PlayerValues!A:A,match(IFNA(vlookup(B3532,'Special Names'!A:B,2,FALSE),B3532),PlayerValues!E:E,0)),"N/A")</f>
        <v>16582</v>
      </c>
      <c r="B3532" s="4" t="s">
        <v>343</v>
      </c>
      <c r="C3532" s="4" t="s">
        <v>283</v>
      </c>
      <c r="D3532" s="94">
        <v>6030.0</v>
      </c>
    </row>
    <row r="3533">
      <c r="A3533" s="40">
        <f t="array" ref="A3533">IFNA(index(PlayerValues!A:A,match(IFNA(vlookup(B3533,'Special Names'!A:B,2,FALSE),B3533),PlayerValues!E:E,0)),"N/A")</f>
        <v>14802</v>
      </c>
      <c r="B3533" s="4" t="s">
        <v>332</v>
      </c>
      <c r="C3533" s="4" t="s">
        <v>278</v>
      </c>
      <c r="D3533" s="94">
        <v>6027.0</v>
      </c>
    </row>
    <row r="3534">
      <c r="A3534" s="40">
        <f t="array" ref="A3534">IFNA(index(PlayerValues!A:A,match(IFNA(vlookup(B3534,'Special Names'!A:B,2,FALSE),B3534),PlayerValues!E:E,0)),"N/A")</f>
        <v>15715</v>
      </c>
      <c r="B3534" s="4" t="s">
        <v>331</v>
      </c>
      <c r="C3534" s="4" t="s">
        <v>278</v>
      </c>
      <c r="D3534" s="94">
        <v>5983.0</v>
      </c>
    </row>
    <row r="3535">
      <c r="A3535" s="40">
        <f t="array" ref="A3535">IFNA(index(PlayerValues!A:A,match(IFNA(vlookup(B3535,'Special Names'!A:B,2,FALSE),B3535),PlayerValues!E:E,0)),"N/A")</f>
        <v>17497</v>
      </c>
      <c r="B3535" s="4" t="s">
        <v>365</v>
      </c>
      <c r="C3535" s="4" t="s">
        <v>287</v>
      </c>
      <c r="D3535" s="94">
        <v>5931.0</v>
      </c>
    </row>
    <row r="3536">
      <c r="A3536" s="40">
        <f t="array" ref="A3536">IFNA(index(PlayerValues!A:A,match(IFNA(vlookup(B3536,'Special Names'!A:B,2,FALSE),B3536),PlayerValues!E:E,0)),"N/A")</f>
        <v>15762</v>
      </c>
      <c r="B3536" s="4" t="s">
        <v>337</v>
      </c>
      <c r="C3536" s="4" t="s">
        <v>287</v>
      </c>
      <c r="D3536" s="94">
        <v>5893.0</v>
      </c>
    </row>
    <row r="3537">
      <c r="A3537" s="40">
        <f t="array" ref="A3537">IFNA(index(PlayerValues!A:A,match(IFNA(vlookup(B3537,'Special Names'!A:B,2,FALSE),B3537),PlayerValues!E:E,0)),"N/A")</f>
        <v>15698</v>
      </c>
      <c r="B3537" s="4" t="s">
        <v>358</v>
      </c>
      <c r="C3537" s="4" t="s">
        <v>283</v>
      </c>
      <c r="D3537" s="94">
        <v>5853.0</v>
      </c>
    </row>
    <row r="3538">
      <c r="A3538" s="40">
        <f t="array" ref="A3538">IFNA(index(PlayerValues!A:A,match(IFNA(vlookup(B3538,'Special Names'!A:B,2,FALSE),B3538),PlayerValues!E:E,0)),"N/A")</f>
        <v>17102</v>
      </c>
      <c r="B3538" s="4" t="s">
        <v>344</v>
      </c>
      <c r="C3538" s="4" t="s">
        <v>298</v>
      </c>
      <c r="D3538" s="94">
        <v>6424.0</v>
      </c>
    </row>
    <row r="3539">
      <c r="A3539" s="40">
        <f t="array" ref="A3539">IFNA(index(PlayerValues!A:A,match(IFNA(vlookup(B3539,'Special Names'!A:B,2,FALSE),B3539),PlayerValues!E:E,0)),"N/A")</f>
        <v>15753</v>
      </c>
      <c r="B3539" s="4" t="s">
        <v>359</v>
      </c>
      <c r="C3539" s="4" t="s">
        <v>287</v>
      </c>
      <c r="D3539" s="94">
        <v>5691.0</v>
      </c>
    </row>
    <row r="3540">
      <c r="A3540" s="40" t="str">
        <f t="array" ref="A3540">IFNA(index(PlayerValues!A:A,match(IFNA(vlookup(B3540,'Special Names'!A:B,2,FALSE),B3540),PlayerValues!E:E,0)),"N/A")</f>
        <v>N/A</v>
      </c>
      <c r="B3540" s="4" t="s">
        <v>93</v>
      </c>
      <c r="C3540" s="4" t="s">
        <v>325</v>
      </c>
      <c r="D3540" s="94">
        <v>5667.0</v>
      </c>
    </row>
    <row r="3541">
      <c r="A3541" s="40" t="str">
        <f t="array" ref="A3541">IFNA(index(PlayerValues!A:A,match(IFNA(vlookup(B3541,'Special Names'!A:B,2,FALSE),B3541),PlayerValues!E:E,0)),"N/A")</f>
        <v>N/A</v>
      </c>
      <c r="B3541" s="4" t="s">
        <v>79</v>
      </c>
      <c r="C3541" s="4" t="s">
        <v>325</v>
      </c>
      <c r="D3541" s="94">
        <v>5648.0</v>
      </c>
    </row>
    <row r="3542">
      <c r="A3542" s="40">
        <f t="array" ref="A3542">IFNA(index(PlayerValues!A:A,match(IFNA(vlookup(B3542,'Special Names'!A:B,2,FALSE),B3542),PlayerValues!E:E,0)),"N/A")</f>
        <v>14782</v>
      </c>
      <c r="B3542" s="4" t="s">
        <v>385</v>
      </c>
      <c r="C3542" s="4" t="s">
        <v>283</v>
      </c>
      <c r="D3542" s="94">
        <v>5616.0</v>
      </c>
    </row>
    <row r="3543">
      <c r="A3543" s="40">
        <f t="array" ref="A3543">IFNA(index(PlayerValues!A:A,match(IFNA(vlookup(B3543,'Special Names'!A:B,2,FALSE),B3543),PlayerValues!E:E,0)),"N/A")</f>
        <v>17462</v>
      </c>
      <c r="B3543" s="4" t="s">
        <v>375</v>
      </c>
      <c r="C3543" s="4" t="s">
        <v>283</v>
      </c>
      <c r="D3543" s="94">
        <v>5613.0</v>
      </c>
    </row>
    <row r="3544">
      <c r="A3544" s="40">
        <f t="array" ref="A3544">IFNA(index(PlayerValues!A:A,match(IFNA(vlookup(B3544,'Special Names'!A:B,2,FALSE),B3544),PlayerValues!E:E,0)),"N/A")</f>
        <v>15290</v>
      </c>
      <c r="B3544" s="4" t="s">
        <v>355</v>
      </c>
      <c r="C3544" s="4" t="s">
        <v>287</v>
      </c>
      <c r="D3544" s="94">
        <v>5585.0</v>
      </c>
    </row>
    <row r="3545">
      <c r="A3545" s="40">
        <f t="array" ref="A3545">IFNA(index(PlayerValues!A:A,match(IFNA(vlookup(B3545,'Special Names'!A:B,2,FALSE),B3545),PlayerValues!E:E,0)),"N/A")</f>
        <v>17051</v>
      </c>
      <c r="B3545" s="4" t="s">
        <v>386</v>
      </c>
      <c r="C3545" s="4" t="s">
        <v>278</v>
      </c>
      <c r="D3545" s="94">
        <v>5519.0</v>
      </c>
    </row>
    <row r="3546">
      <c r="A3546" s="40">
        <f t="array" ref="A3546">IFNA(index(PlayerValues!A:A,match(IFNA(vlookup(B3546,'Special Names'!A:B,2,FALSE),B3546),PlayerValues!E:E,0)),"N/A")</f>
        <v>15754</v>
      </c>
      <c r="B3546" s="4" t="s">
        <v>354</v>
      </c>
      <c r="C3546" s="4" t="s">
        <v>287</v>
      </c>
      <c r="D3546" s="94">
        <v>5506.0</v>
      </c>
    </row>
    <row r="3547">
      <c r="A3547" s="40">
        <f t="array" ref="A3547">IFNA(index(PlayerValues!A:A,match(IFNA(vlookup(B3547,'Special Names'!A:B,2,FALSE),B3547),PlayerValues!E:E,0)),"N/A")</f>
        <v>16616</v>
      </c>
      <c r="B3547" s="4" t="s">
        <v>389</v>
      </c>
      <c r="C3547" s="4" t="s">
        <v>287</v>
      </c>
      <c r="D3547" s="94">
        <v>5461.0</v>
      </c>
    </row>
    <row r="3548">
      <c r="A3548" s="40">
        <f t="array" ref="A3548">IFNA(index(PlayerValues!A:A,match(IFNA(vlookup(B3548,'Special Names'!A:B,2,FALSE),B3548),PlayerValues!E:E,0)),"N/A")</f>
        <v>17030</v>
      </c>
      <c r="B3548" s="4" t="s">
        <v>406</v>
      </c>
      <c r="C3548" s="4" t="s">
        <v>283</v>
      </c>
      <c r="D3548" s="94">
        <v>5445.0</v>
      </c>
    </row>
    <row r="3549">
      <c r="A3549" s="40">
        <f t="array" ref="A3549">IFNA(index(PlayerValues!A:A,match(IFNA(vlookup(B3549,'Special Names'!A:B,2,FALSE),B3549),PlayerValues!E:E,0)),"N/A")</f>
        <v>15708</v>
      </c>
      <c r="B3549" s="4" t="s">
        <v>382</v>
      </c>
      <c r="C3549" s="4" t="s">
        <v>278</v>
      </c>
      <c r="D3549" s="94">
        <v>5433.0</v>
      </c>
    </row>
    <row r="3550">
      <c r="A3550" s="40">
        <f t="array" ref="A3550">IFNA(index(PlayerValues!A:A,match(IFNA(vlookup(B3550,'Special Names'!A:B,2,FALSE),B3550),PlayerValues!E:E,0)),"N/A")</f>
        <v>17498</v>
      </c>
      <c r="B3550" s="4" t="s">
        <v>396</v>
      </c>
      <c r="C3550" s="4" t="s">
        <v>287</v>
      </c>
      <c r="D3550" s="94">
        <v>5426.0</v>
      </c>
    </row>
    <row r="3551">
      <c r="A3551" s="40">
        <f t="array" ref="A3551">IFNA(index(PlayerValues!A:A,match(IFNA(vlookup(B3551,'Special Names'!A:B,2,FALSE),B3551),PlayerValues!E:E,0)),"N/A")</f>
        <v>15711</v>
      </c>
      <c r="B3551" s="4" t="s">
        <v>349</v>
      </c>
      <c r="C3551" s="4" t="s">
        <v>278</v>
      </c>
      <c r="D3551" s="94">
        <v>5421.0</v>
      </c>
    </row>
    <row r="3552">
      <c r="A3552" s="40">
        <f t="array" ref="A3552">IFNA(index(PlayerValues!A:A,match(IFNA(vlookup(B3552,'Special Names'!A:B,2,FALSE),B3552),PlayerValues!E:E,0)),"N/A")</f>
        <v>16627</v>
      </c>
      <c r="B3552" s="4" t="s">
        <v>351</v>
      </c>
      <c r="C3552" s="4" t="s">
        <v>287</v>
      </c>
      <c r="D3552" s="94">
        <v>5412.0</v>
      </c>
    </row>
    <row r="3553">
      <c r="A3553" s="40">
        <f t="array" ref="A3553">IFNA(index(PlayerValues!A:A,match(IFNA(vlookup(B3553,'Special Names'!A:B,2,FALSE),B3553),PlayerValues!E:E,0)),"N/A")</f>
        <v>17043</v>
      </c>
      <c r="B3553" s="4" t="s">
        <v>397</v>
      </c>
      <c r="C3553" s="4" t="s">
        <v>278</v>
      </c>
      <c r="D3553" s="94">
        <v>5394.0</v>
      </c>
    </row>
    <row r="3554">
      <c r="A3554" s="40">
        <f t="array" ref="A3554">IFNA(index(PlayerValues!A:A,match(IFNA(vlookup(B3554,'Special Names'!A:B,2,FALSE),B3554),PlayerValues!E:E,0)),"N/A")</f>
        <v>17070</v>
      </c>
      <c r="B3554" s="4" t="s">
        <v>370</v>
      </c>
      <c r="C3554" s="4" t="s">
        <v>287</v>
      </c>
      <c r="D3554" s="94">
        <v>5291.0</v>
      </c>
    </row>
    <row r="3555">
      <c r="A3555" s="40">
        <f t="array" ref="A3555">IFNA(index(PlayerValues!A:A,match(IFNA(vlookup(B3555,'Special Names'!A:B,2,FALSE),B3555),PlayerValues!E:E,0)),"N/A")</f>
        <v>15282</v>
      </c>
      <c r="B3555" s="4" t="s">
        <v>364</v>
      </c>
      <c r="C3555" s="4" t="s">
        <v>287</v>
      </c>
      <c r="D3555" s="94">
        <v>5259.0</v>
      </c>
    </row>
    <row r="3556">
      <c r="A3556" s="40">
        <f t="array" ref="A3556">IFNA(index(PlayerValues!A:A,match(IFNA(vlookup(B3556,'Special Names'!A:B,2,FALSE),B3556),PlayerValues!E:E,0)),"N/A")</f>
        <v>17499</v>
      </c>
      <c r="B3556" s="4" t="s">
        <v>402</v>
      </c>
      <c r="C3556" s="4" t="s">
        <v>287</v>
      </c>
      <c r="D3556" s="94">
        <v>5085.0</v>
      </c>
    </row>
    <row r="3557">
      <c r="A3557" s="40">
        <f t="array" ref="A3557">IFNA(index(PlayerValues!A:A,match(IFNA(vlookup(B3557,'Special Names'!A:B,2,FALSE),B3557),PlayerValues!E:E,0)),"N/A")</f>
        <v>16614</v>
      </c>
      <c r="B3557" s="4" t="s">
        <v>403</v>
      </c>
      <c r="C3557" s="4" t="s">
        <v>287</v>
      </c>
      <c r="D3557" s="94">
        <v>5062.0</v>
      </c>
    </row>
    <row r="3558">
      <c r="A3558" s="40">
        <f t="array" ref="A3558">IFNA(index(PlayerValues!A:A,match(IFNA(vlookup(B3558,'Special Names'!A:B,2,FALSE),B3558),PlayerValues!E:E,0)),"N/A")</f>
        <v>13130</v>
      </c>
      <c r="B3558" s="4" t="s">
        <v>374</v>
      </c>
      <c r="C3558" s="4" t="s">
        <v>278</v>
      </c>
      <c r="D3558" s="94">
        <v>5021.0</v>
      </c>
    </row>
    <row r="3559">
      <c r="A3559" s="40" t="str">
        <f t="array" ref="A3559">IFNA(index(PlayerValues!A:A,match(IFNA(vlookup(B3559,'Special Names'!A:B,2,FALSE),B3559),PlayerValues!E:E,0)),"N/A")</f>
        <v>N/A</v>
      </c>
      <c r="B3559" s="4" t="s">
        <v>104</v>
      </c>
      <c r="C3559" s="4" t="s">
        <v>325</v>
      </c>
      <c r="D3559" s="94">
        <v>5001.0</v>
      </c>
    </row>
    <row r="3560">
      <c r="A3560" s="40">
        <f t="array" ref="A3560">IFNA(index(PlayerValues!A:A,match(IFNA(vlookup(B3560,'Special Names'!A:B,2,FALSE),B3560),PlayerValues!E:E,0)),"N/A")</f>
        <v>16181</v>
      </c>
      <c r="B3560" s="4" t="s">
        <v>350</v>
      </c>
      <c r="C3560" s="4" t="s">
        <v>278</v>
      </c>
      <c r="D3560" s="94">
        <v>4982.0</v>
      </c>
    </row>
    <row r="3561">
      <c r="A3561" s="40" t="str">
        <f t="array" ref="A3561">IFNA(index(PlayerValues!A:A,match(IFNA(vlookup(B3561,'Special Names'!A:B,2,FALSE),B3561),PlayerValues!E:E,0)),"N/A")</f>
        <v>N/A</v>
      </c>
      <c r="B3561" s="4" t="s">
        <v>94</v>
      </c>
      <c r="C3561" s="4" t="s">
        <v>325</v>
      </c>
      <c r="D3561" s="94">
        <v>4974.0</v>
      </c>
    </row>
    <row r="3562">
      <c r="A3562" s="40">
        <f t="array" ref="A3562">IFNA(index(PlayerValues!A:A,match(IFNA(vlookup(B3562,'Special Names'!A:B,2,FALSE),B3562),PlayerValues!E:E,0)),"N/A")</f>
        <v>12620</v>
      </c>
      <c r="B3562" s="4" t="s">
        <v>394</v>
      </c>
      <c r="C3562" s="4" t="s">
        <v>283</v>
      </c>
      <c r="D3562" s="94">
        <v>4972.0</v>
      </c>
    </row>
    <row r="3563">
      <c r="A3563" s="40">
        <f t="array" ref="A3563">IFNA(index(PlayerValues!A:A,match(IFNA(vlookup(B3563,'Special Names'!A:B,2,FALSE),B3563),PlayerValues!E:E,0)),"N/A")</f>
        <v>17039</v>
      </c>
      <c r="B3563" s="4" t="s">
        <v>400</v>
      </c>
      <c r="C3563" s="4" t="s">
        <v>283</v>
      </c>
      <c r="D3563" s="94">
        <v>4930.0</v>
      </c>
    </row>
    <row r="3564">
      <c r="A3564" s="40">
        <f t="array" ref="A3564">IFNA(index(PlayerValues!A:A,match(IFNA(vlookup(B3564,'Special Names'!A:B,2,FALSE),B3564),PlayerValues!E:E,0)),"N/A")</f>
        <v>14835</v>
      </c>
      <c r="B3564" s="4" t="s">
        <v>392</v>
      </c>
      <c r="C3564" s="4" t="s">
        <v>287</v>
      </c>
      <c r="D3564" s="94">
        <v>4927.0</v>
      </c>
    </row>
    <row r="3565">
      <c r="A3565" s="40">
        <f t="array" ref="A3565">IFNA(index(PlayerValues!A:A,match(IFNA(vlookup(B3565,'Special Names'!A:B,2,FALSE),B3565),PlayerValues!E:E,0)),"N/A")</f>
        <v>13604</v>
      </c>
      <c r="B3565" s="4" t="s">
        <v>378</v>
      </c>
      <c r="C3565" s="4" t="s">
        <v>278</v>
      </c>
      <c r="D3565" s="94">
        <v>4913.0</v>
      </c>
    </row>
    <row r="3566">
      <c r="A3566" s="40">
        <f t="array" ref="A3566">IFNA(index(PlayerValues!A:A,match(IFNA(vlookup(B3566,'Special Names'!A:B,2,FALSE),B3566),PlayerValues!E:E,0)),"N/A")</f>
        <v>16222</v>
      </c>
      <c r="B3566" s="4" t="s">
        <v>393</v>
      </c>
      <c r="C3566" s="4" t="s">
        <v>298</v>
      </c>
      <c r="D3566" s="94">
        <v>5469.0</v>
      </c>
    </row>
    <row r="3567">
      <c r="A3567" s="40">
        <f t="array" ref="A3567">IFNA(index(PlayerValues!A:A,match(IFNA(vlookup(B3567,'Special Names'!A:B,2,FALSE),B3567),PlayerValues!E:E,0)),"N/A")</f>
        <v>16150</v>
      </c>
      <c r="B3567" s="4" t="s">
        <v>414</v>
      </c>
      <c r="C3567" s="4" t="s">
        <v>283</v>
      </c>
      <c r="D3567" s="94">
        <v>4893.0</v>
      </c>
    </row>
    <row r="3568">
      <c r="A3568" s="40">
        <f t="array" ref="A3568">IFNA(index(PlayerValues!A:A,match(IFNA(vlookup(B3568,'Special Names'!A:B,2,FALSE),B3568),PlayerValues!E:E,0)),"N/A")</f>
        <v>17103</v>
      </c>
      <c r="B3568" s="4" t="s">
        <v>405</v>
      </c>
      <c r="C3568" s="4" t="s">
        <v>298</v>
      </c>
      <c r="D3568" s="94">
        <v>5458.0</v>
      </c>
    </row>
    <row r="3569">
      <c r="A3569" s="40">
        <f t="array" ref="A3569">IFNA(index(PlayerValues!A:A,match(IFNA(vlookup(B3569,'Special Names'!A:B,2,FALSE),B3569),PlayerValues!E:E,0)),"N/A")</f>
        <v>15710</v>
      </c>
      <c r="B3569" s="4" t="s">
        <v>395</v>
      </c>
      <c r="C3569" s="4" t="s">
        <v>278</v>
      </c>
      <c r="D3569" s="94">
        <v>4848.0</v>
      </c>
    </row>
    <row r="3570">
      <c r="A3570" s="40">
        <f t="array" ref="A3570">IFNA(index(PlayerValues!A:A,match(IFNA(vlookup(B3570,'Special Names'!A:B,2,FALSE),B3570),PlayerValues!E:E,0)),"N/A")</f>
        <v>16618</v>
      </c>
      <c r="B3570" s="4" t="s">
        <v>411</v>
      </c>
      <c r="C3570" s="4" t="s">
        <v>287</v>
      </c>
      <c r="D3570" s="94">
        <v>4840.0</v>
      </c>
    </row>
    <row r="3571">
      <c r="A3571" s="40">
        <f t="array" ref="A3571">IFNA(index(PlayerValues!A:A,match(IFNA(vlookup(B3571,'Special Names'!A:B,2,FALSE),B3571),PlayerValues!E:E,0)),"N/A")</f>
        <v>14104</v>
      </c>
      <c r="B3571" s="4" t="s">
        <v>379</v>
      </c>
      <c r="C3571" s="4" t="s">
        <v>287</v>
      </c>
      <c r="D3571" s="94">
        <v>4837.0</v>
      </c>
    </row>
    <row r="3572">
      <c r="A3572" s="40">
        <f t="array" ref="A3572">IFNA(index(PlayerValues!A:A,match(IFNA(vlookup(B3572,'Special Names'!A:B,2,FALSE),B3572),PlayerValues!E:E,0)),"N/A")</f>
        <v>17473</v>
      </c>
      <c r="B3572" s="4" t="s">
        <v>391</v>
      </c>
      <c r="C3572" s="4" t="s">
        <v>278</v>
      </c>
      <c r="D3572" s="94">
        <v>4835.0</v>
      </c>
    </row>
    <row r="3573">
      <c r="A3573" s="40">
        <f t="array" ref="A3573">IFNA(index(PlayerValues!A:A,match(IFNA(vlookup(B3573,'Special Names'!A:B,2,FALSE),B3573),PlayerValues!E:E,0)),"N/A")</f>
        <v>13590</v>
      </c>
      <c r="B3573" s="4" t="s">
        <v>409</v>
      </c>
      <c r="C3573" s="4" t="s">
        <v>283</v>
      </c>
      <c r="D3573" s="94">
        <v>4826.0</v>
      </c>
    </row>
    <row r="3574">
      <c r="A3574" s="40">
        <f t="array" ref="A3574">IFNA(index(PlayerValues!A:A,match(IFNA(vlookup(B3574,'Special Names'!A:B,2,FALSE),B3574),PlayerValues!E:E,0)),"N/A")</f>
        <v>15284</v>
      </c>
      <c r="B3574" s="4" t="s">
        <v>390</v>
      </c>
      <c r="C3574" s="4" t="s">
        <v>287</v>
      </c>
      <c r="D3574" s="94">
        <v>4824.0</v>
      </c>
    </row>
    <row r="3575">
      <c r="A3575" s="40">
        <f t="array" ref="A3575">IFNA(index(PlayerValues!A:A,match(IFNA(vlookup(B3575,'Special Names'!A:B,2,FALSE),B3575),PlayerValues!E:E,0)),"N/A")</f>
        <v>16598</v>
      </c>
      <c r="B3575" s="4" t="s">
        <v>408</v>
      </c>
      <c r="C3575" s="4" t="s">
        <v>278</v>
      </c>
      <c r="D3575" s="94">
        <v>4823.0</v>
      </c>
    </row>
    <row r="3576">
      <c r="A3576" s="40">
        <f t="array" ref="A3576">IFNA(index(PlayerValues!A:A,match(IFNA(vlookup(B3576,'Special Names'!A:B,2,FALSE),B3576),PlayerValues!E:E,0)),"N/A")</f>
        <v>16190</v>
      </c>
      <c r="B3576" s="4" t="s">
        <v>371</v>
      </c>
      <c r="C3576" s="4" t="s">
        <v>287</v>
      </c>
      <c r="D3576" s="94">
        <v>4782.0</v>
      </c>
    </row>
    <row r="3577">
      <c r="A3577" s="40">
        <f t="array" ref="A3577">IFNA(index(PlayerValues!A:A,match(IFNA(vlookup(B3577,'Special Names'!A:B,2,FALSE),B3577),PlayerValues!E:E,0)),"N/A")</f>
        <v>17045</v>
      </c>
      <c r="B3577" s="4" t="s">
        <v>407</v>
      </c>
      <c r="C3577" s="4" t="s">
        <v>278</v>
      </c>
      <c r="D3577" s="94">
        <v>4714.0</v>
      </c>
    </row>
    <row r="3578">
      <c r="A3578" s="40">
        <f t="array" ref="A3578">IFNA(index(PlayerValues!A:A,match(IFNA(vlookup(B3578,'Special Names'!A:B,2,FALSE),B3578),PlayerValues!E:E,0)),"N/A")</f>
        <v>12611</v>
      </c>
      <c r="B3578" s="4" t="s">
        <v>410</v>
      </c>
      <c r="C3578" s="4" t="s">
        <v>283</v>
      </c>
      <c r="D3578" s="94">
        <v>4670.0</v>
      </c>
    </row>
    <row r="3579">
      <c r="A3579" s="40">
        <f t="array" ref="A3579">IFNA(index(PlayerValues!A:A,match(IFNA(vlookup(B3579,'Special Names'!A:B,2,FALSE),B3579),PlayerValues!E:E,0)),"N/A")</f>
        <v>15756</v>
      </c>
      <c r="B3579" s="4" t="s">
        <v>399</v>
      </c>
      <c r="C3579" s="4" t="s">
        <v>287</v>
      </c>
      <c r="D3579" s="94">
        <v>4670.0</v>
      </c>
    </row>
    <row r="3580">
      <c r="A3580" s="40">
        <f t="array" ref="A3580">IFNA(index(PlayerValues!A:A,match(IFNA(vlookup(B3580,'Special Names'!A:B,2,FALSE),B3580),PlayerValues!E:E,0)),"N/A")</f>
        <v>13592</v>
      </c>
      <c r="B3580" s="4" t="s">
        <v>418</v>
      </c>
      <c r="C3580" s="4" t="s">
        <v>283</v>
      </c>
      <c r="D3580" s="94">
        <v>4639.0</v>
      </c>
    </row>
    <row r="3581">
      <c r="A3581" s="40" t="str">
        <f t="array" ref="A3581">IFNA(index(PlayerValues!A:A,match(IFNA(vlookup(B3581,'Special Names'!A:B,2,FALSE),B3581),PlayerValues!E:E,0)),"N/A")</f>
        <v>N/A</v>
      </c>
      <c r="B3581" s="4" t="s">
        <v>80</v>
      </c>
      <c r="C3581" s="4" t="s">
        <v>325</v>
      </c>
      <c r="D3581" s="94">
        <v>4564.0</v>
      </c>
    </row>
    <row r="3582">
      <c r="A3582" s="40">
        <f t="array" ref="A3582">IFNA(index(PlayerValues!A:A,match(IFNA(vlookup(B3582,'Special Names'!A:B,2,FALSE),B3582),PlayerValues!E:E,0)),"N/A")</f>
        <v>16214</v>
      </c>
      <c r="B3582" s="4" t="s">
        <v>413</v>
      </c>
      <c r="C3582" s="4" t="s">
        <v>298</v>
      </c>
      <c r="D3582" s="94">
        <v>5096.0</v>
      </c>
    </row>
    <row r="3583">
      <c r="A3583" s="40">
        <f t="array" ref="A3583">IFNA(index(PlayerValues!A:A,match(IFNA(vlookup(B3583,'Special Names'!A:B,2,FALSE),B3583),PlayerValues!E:E,0)),"N/A")</f>
        <v>15256</v>
      </c>
      <c r="B3583" s="4" t="s">
        <v>401</v>
      </c>
      <c r="C3583" s="4" t="s">
        <v>278</v>
      </c>
      <c r="D3583" s="94">
        <v>4543.0</v>
      </c>
    </row>
    <row r="3584">
      <c r="A3584" s="40" t="str">
        <f t="array" ref="A3584">IFNA(index(PlayerValues!A:A,match(IFNA(vlookup(B3584,'Special Names'!A:B,2,FALSE),B3584),PlayerValues!E:E,0)),"N/A")</f>
        <v>N/A</v>
      </c>
      <c r="B3584" s="4" t="s">
        <v>105</v>
      </c>
      <c r="C3584" s="4" t="s">
        <v>325</v>
      </c>
      <c r="D3584" s="94">
        <v>4512.0</v>
      </c>
    </row>
    <row r="3585">
      <c r="A3585" s="40">
        <f t="array" ref="A3585">IFNA(index(PlayerValues!A:A,match(IFNA(vlookup(B3585,'Special Names'!A:B,2,FALSE),B3585),PlayerValues!E:E,0)),"N/A")</f>
        <v>17501</v>
      </c>
      <c r="B3585" s="4" t="s">
        <v>404</v>
      </c>
      <c r="C3585" s="4" t="s">
        <v>287</v>
      </c>
      <c r="D3585" s="94">
        <v>4505.0</v>
      </c>
    </row>
    <row r="3586">
      <c r="A3586" s="40">
        <f t="array" ref="A3586">IFNA(index(PlayerValues!A:A,match(IFNA(vlookup(B3586,'Special Names'!A:B,2,FALSE),B3586),PlayerValues!E:E,0)),"N/A")</f>
        <v>15253</v>
      </c>
      <c r="B3586" s="4" t="s">
        <v>415</v>
      </c>
      <c r="C3586" s="4" t="s">
        <v>278</v>
      </c>
      <c r="D3586" s="94">
        <v>4503.0</v>
      </c>
    </row>
    <row r="3587">
      <c r="A3587" s="40">
        <f t="array" ref="A3587">IFNA(index(PlayerValues!A:A,match(IFNA(vlookup(B3587,'Special Names'!A:B,2,FALSE),B3587),PlayerValues!E:E,0)),"N/A")</f>
        <v>16194</v>
      </c>
      <c r="B3587" s="4" t="s">
        <v>398</v>
      </c>
      <c r="C3587" s="4" t="s">
        <v>287</v>
      </c>
      <c r="D3587" s="94">
        <v>4482.0</v>
      </c>
    </row>
    <row r="3588">
      <c r="A3588" s="40">
        <f t="array" ref="A3588">IFNA(index(PlayerValues!A:A,match(IFNA(vlookup(B3588,'Special Names'!A:B,2,FALSE),B3588),PlayerValues!E:E,0)),"N/A")</f>
        <v>16148</v>
      </c>
      <c r="B3588" s="4" t="s">
        <v>426</v>
      </c>
      <c r="C3588" s="4" t="s">
        <v>283</v>
      </c>
      <c r="D3588" s="94">
        <v>4464.0</v>
      </c>
    </row>
    <row r="3589">
      <c r="A3589" s="40">
        <f t="array" ref="A3589">IFNA(index(PlayerValues!A:A,match(IFNA(vlookup(B3589,'Special Names'!A:B,2,FALSE),B3589),PlayerValues!E:E,0)),"N/A")</f>
        <v>15329</v>
      </c>
      <c r="B3589" s="4" t="s">
        <v>416</v>
      </c>
      <c r="C3589" s="4" t="s">
        <v>298</v>
      </c>
      <c r="D3589" s="94">
        <v>4984.0</v>
      </c>
    </row>
    <row r="3590">
      <c r="A3590" s="40">
        <f t="array" ref="A3590">IFNA(index(PlayerValues!A:A,match(IFNA(vlookup(B3590,'Special Names'!A:B,2,FALSE),B3590),PlayerValues!E:E,0)),"N/A")</f>
        <v>17543</v>
      </c>
      <c r="B3590" s="4" t="s">
        <v>436</v>
      </c>
      <c r="C3590" s="4" t="s">
        <v>298</v>
      </c>
      <c r="D3590" s="94">
        <v>4666.0</v>
      </c>
    </row>
    <row r="3591">
      <c r="A3591" s="40">
        <f t="array" ref="A3591">IFNA(index(PlayerValues!A:A,match(IFNA(vlookup(B3591,'Special Names'!A:B,2,FALSE),B3591),PlayerValues!E:E,0)),"N/A")</f>
        <v>14056</v>
      </c>
      <c r="B3591" s="4" t="s">
        <v>423</v>
      </c>
      <c r="C3591" s="4" t="s">
        <v>283</v>
      </c>
      <c r="D3591" s="94">
        <v>4094.0</v>
      </c>
    </row>
    <row r="3592">
      <c r="A3592" s="40" t="str">
        <f t="array" ref="A3592">IFNA(index(PlayerValues!A:A,match(IFNA(vlookup(B3592,'Special Names'!A:B,2,FALSE),B3592),PlayerValues!E:E,0)),"N/A")</f>
        <v>N/A</v>
      </c>
      <c r="B3592" s="4" t="s">
        <v>107</v>
      </c>
      <c r="C3592" s="4" t="s">
        <v>325</v>
      </c>
      <c r="D3592" s="94">
        <v>4091.0</v>
      </c>
    </row>
    <row r="3593">
      <c r="A3593" s="40">
        <f t="array" ref="A3593">IFNA(index(PlayerValues!A:A,match(IFNA(vlookup(B3593,'Special Names'!A:B,2,FALSE),B3593),PlayerValues!E:E,0)),"N/A")</f>
        <v>15768</v>
      </c>
      <c r="B3593" s="4" t="s">
        <v>432</v>
      </c>
      <c r="C3593" s="4" t="s">
        <v>287</v>
      </c>
      <c r="D3593" s="94">
        <v>4079.0</v>
      </c>
    </row>
    <row r="3594">
      <c r="A3594" s="40">
        <f t="array" ref="A3594">IFNA(index(PlayerValues!A:A,match(IFNA(vlookup(B3594,'Special Names'!A:B,2,FALSE),B3594),PlayerValues!E:E,0)),"N/A")</f>
        <v>16186</v>
      </c>
      <c r="B3594" s="4" t="s">
        <v>425</v>
      </c>
      <c r="C3594" s="4" t="s">
        <v>287</v>
      </c>
      <c r="D3594" s="94">
        <v>4016.0</v>
      </c>
    </row>
    <row r="3595">
      <c r="A3595" s="40">
        <f t="array" ref="A3595">IFNA(index(PlayerValues!A:A,match(IFNA(vlookup(B3595,'Special Names'!A:B,2,FALSE),B3595),PlayerValues!E:E,0)),"N/A")</f>
        <v>12626</v>
      </c>
      <c r="B3595" s="4" t="s">
        <v>419</v>
      </c>
      <c r="C3595" s="4" t="s">
        <v>278</v>
      </c>
      <c r="D3595" s="94">
        <v>3965.0</v>
      </c>
    </row>
    <row r="3596">
      <c r="A3596" s="40">
        <f t="array" ref="A3596">IFNA(index(PlayerValues!A:A,match(IFNA(vlookup(B3596,'Special Names'!A:B,2,FALSE),B3596),PlayerValues!E:E,0)),"N/A")</f>
        <v>15694</v>
      </c>
      <c r="B3596" s="4" t="s">
        <v>434</v>
      </c>
      <c r="C3596" s="4" t="s">
        <v>283</v>
      </c>
      <c r="D3596" s="94">
        <v>3959.0</v>
      </c>
    </row>
    <row r="3597">
      <c r="A3597" s="40" t="str">
        <f t="array" ref="A3597">IFNA(index(PlayerValues!A:A,match(IFNA(vlookup(B3597,'Special Names'!A:B,2,FALSE),B3597),PlayerValues!E:E,0)),"N/A")</f>
        <v>N/A</v>
      </c>
      <c r="B3597" s="4" t="s">
        <v>81</v>
      </c>
      <c r="C3597" s="4" t="s">
        <v>325</v>
      </c>
      <c r="D3597" s="94">
        <v>3954.0</v>
      </c>
    </row>
    <row r="3598">
      <c r="A3598" s="40">
        <f t="array" ref="A3598">IFNA(index(PlayerValues!A:A,match(IFNA(vlookup(B3598,'Special Names'!A:B,2,FALSE),B3598),PlayerValues!E:E,0)),"N/A")</f>
        <v>14059</v>
      </c>
      <c r="B3598" s="4" t="s">
        <v>435</v>
      </c>
      <c r="C3598" s="4" t="s">
        <v>283</v>
      </c>
      <c r="D3598" s="94">
        <v>3951.0</v>
      </c>
    </row>
    <row r="3599">
      <c r="A3599" s="40">
        <f t="array" ref="A3599">IFNA(index(PlayerValues!A:A,match(IFNA(vlookup(B3599,'Special Names'!A:B,2,FALSE),B3599),PlayerValues!E:E,0)),"N/A")</f>
        <v>17052</v>
      </c>
      <c r="B3599" s="4" t="s">
        <v>417</v>
      </c>
      <c r="C3599" s="4" t="s">
        <v>278</v>
      </c>
      <c r="D3599" s="94">
        <v>3916.0</v>
      </c>
    </row>
    <row r="3600">
      <c r="A3600" s="40" t="str">
        <f t="array" ref="A3600">IFNA(index(PlayerValues!A:A,match(IFNA(vlookup(B3600,'Special Names'!A:B,2,FALSE),B3600),PlayerValues!E:E,0)),"N/A")</f>
        <v>N/A</v>
      </c>
      <c r="B3600" s="4" t="s">
        <v>95</v>
      </c>
      <c r="C3600" s="4" t="s">
        <v>325</v>
      </c>
      <c r="D3600" s="94">
        <v>3909.0</v>
      </c>
    </row>
    <row r="3601">
      <c r="A3601" s="40">
        <f t="array" ref="A3601">IFNA(index(PlayerValues!A:A,match(IFNA(vlookup(B3601,'Special Names'!A:B,2,FALSE),B3601),PlayerValues!E:E,0)),"N/A")</f>
        <v>17502</v>
      </c>
      <c r="B3601" s="4" t="s">
        <v>451</v>
      </c>
      <c r="C3601" s="4" t="s">
        <v>287</v>
      </c>
      <c r="D3601" s="94">
        <v>3827.0</v>
      </c>
    </row>
    <row r="3602">
      <c r="A3602" s="40">
        <f t="array" ref="A3602">IFNA(index(PlayerValues!A:A,match(IFNA(vlookup(B3602,'Special Names'!A:B,2,FALSE),B3602),PlayerValues!E:E,0)),"N/A")</f>
        <v>15789</v>
      </c>
      <c r="B3602" s="4" t="s">
        <v>421</v>
      </c>
      <c r="C3602" s="4" t="s">
        <v>287</v>
      </c>
      <c r="D3602" s="94">
        <v>3742.0</v>
      </c>
    </row>
    <row r="3603">
      <c r="A3603" s="40">
        <f t="array" ref="A3603">IFNA(index(PlayerValues!A:A,match(IFNA(vlookup(B3603,'Special Names'!A:B,2,FALSE),B3603),PlayerValues!E:E,0)),"N/A")</f>
        <v>9431</v>
      </c>
      <c r="B3603" s="4" t="s">
        <v>428</v>
      </c>
      <c r="C3603" s="4" t="s">
        <v>283</v>
      </c>
      <c r="D3603" s="94">
        <v>3737.0</v>
      </c>
    </row>
    <row r="3604">
      <c r="A3604" s="40">
        <f t="array" ref="A3604">IFNA(index(PlayerValues!A:A,match(IFNA(vlookup(B3604,'Special Names'!A:B,2,FALSE),B3604),PlayerValues!E:E,0)),"N/A")</f>
        <v>13635</v>
      </c>
      <c r="B3604" s="4" t="s">
        <v>424</v>
      </c>
      <c r="C3604" s="4" t="s">
        <v>287</v>
      </c>
      <c r="D3604" s="94">
        <v>3716.0</v>
      </c>
    </row>
    <row r="3605">
      <c r="A3605" s="40">
        <f t="array" ref="A3605">IFNA(index(PlayerValues!A:A,match(IFNA(vlookup(B3605,'Special Names'!A:B,2,FALSE),B3605),PlayerValues!E:E,0)),"N/A")</f>
        <v>17075</v>
      </c>
      <c r="B3605" s="4" t="s">
        <v>429</v>
      </c>
      <c r="C3605" s="4" t="s">
        <v>287</v>
      </c>
      <c r="D3605" s="94">
        <v>3710.0</v>
      </c>
    </row>
    <row r="3606">
      <c r="A3606" s="40">
        <f t="array" ref="A3606">IFNA(index(PlayerValues!A:A,match(IFNA(vlookup(B3606,'Special Names'!A:B,2,FALSE),B3606),PlayerValues!E:E,0)),"N/A")</f>
        <v>17544</v>
      </c>
      <c r="B3606" s="4" t="s">
        <v>470</v>
      </c>
      <c r="C3606" s="4" t="s">
        <v>298</v>
      </c>
      <c r="D3606" s="94">
        <v>4183.0</v>
      </c>
    </row>
    <row r="3607">
      <c r="A3607" s="40">
        <f t="array" ref="A3607">IFNA(index(PlayerValues!A:A,match(IFNA(vlookup(B3607,'Special Names'!A:B,2,FALSE),B3607),PlayerValues!E:E,0)),"N/A")</f>
        <v>17066</v>
      </c>
      <c r="B3607" s="4" t="s">
        <v>446</v>
      </c>
      <c r="C3607" s="4" t="s">
        <v>278</v>
      </c>
      <c r="D3607" s="94">
        <v>3669.0</v>
      </c>
    </row>
    <row r="3608">
      <c r="A3608" s="40">
        <f t="array" ref="A3608">IFNA(index(PlayerValues!A:A,match(IFNA(vlookup(B3608,'Special Names'!A:B,2,FALSE),B3608),PlayerValues!E:E,0)),"N/A")</f>
        <v>17463</v>
      </c>
      <c r="B3608" s="4" t="s">
        <v>433</v>
      </c>
      <c r="C3608" s="4" t="s">
        <v>283</v>
      </c>
      <c r="D3608" s="94">
        <v>3669.0</v>
      </c>
    </row>
    <row r="3609">
      <c r="A3609" s="40">
        <f t="array" ref="A3609">IFNA(index(PlayerValues!A:A,match(IFNA(vlookup(B3609,'Special Names'!A:B,2,FALSE),B3609),PlayerValues!E:E,0)),"N/A")</f>
        <v>16206</v>
      </c>
      <c r="B3609" s="4" t="s">
        <v>431</v>
      </c>
      <c r="C3609" s="4" t="s">
        <v>287</v>
      </c>
      <c r="D3609" s="94">
        <v>3646.0</v>
      </c>
    </row>
    <row r="3610">
      <c r="A3610" s="40">
        <f t="array" ref="A3610">IFNA(index(PlayerValues!A:A,match(IFNA(vlookup(B3610,'Special Names'!A:B,2,FALSE),B3610),PlayerValues!E:E,0)),"N/A")</f>
        <v>17099</v>
      </c>
      <c r="B3610" s="4" t="s">
        <v>474</v>
      </c>
      <c r="C3610" s="4" t="s">
        <v>298</v>
      </c>
      <c r="D3610" s="94">
        <v>4100.0</v>
      </c>
    </row>
    <row r="3611">
      <c r="A3611" s="40">
        <f t="array" ref="A3611">IFNA(index(PlayerValues!A:A,match(IFNA(vlookup(B3611,'Special Names'!A:B,2,FALSE),B3611),PlayerValues!E:E,0)),"N/A")</f>
        <v>16187</v>
      </c>
      <c r="B3611" s="4" t="s">
        <v>441</v>
      </c>
      <c r="C3611" s="4" t="s">
        <v>287</v>
      </c>
      <c r="D3611" s="94">
        <v>3598.0</v>
      </c>
    </row>
    <row r="3612">
      <c r="A3612" s="40">
        <f t="array" ref="A3612">IFNA(index(PlayerValues!A:A,match(IFNA(vlookup(B3612,'Special Names'!A:B,2,FALSE),B3612),PlayerValues!E:E,0)),"N/A")</f>
        <v>15757</v>
      </c>
      <c r="B3612" s="4" t="s">
        <v>449</v>
      </c>
      <c r="C3612" s="4" t="s">
        <v>287</v>
      </c>
      <c r="D3612" s="94">
        <v>3594.0</v>
      </c>
    </row>
    <row r="3613">
      <c r="A3613" s="40">
        <f t="array" ref="A3613">IFNA(index(PlayerValues!A:A,match(IFNA(vlookup(B3613,'Special Names'!A:B,2,FALSE),B3613),PlayerValues!E:E,0)),"N/A")</f>
        <v>14073</v>
      </c>
      <c r="B3613" s="4" t="s">
        <v>464</v>
      </c>
      <c r="C3613" s="4" t="s">
        <v>278</v>
      </c>
      <c r="D3613" s="94">
        <v>3553.0</v>
      </c>
    </row>
    <row r="3614">
      <c r="A3614" s="40">
        <f t="array" ref="A3614">IFNA(index(PlayerValues!A:A,match(IFNA(vlookup(B3614,'Special Names'!A:B,2,FALSE),B3614),PlayerValues!E:E,0)),"N/A")</f>
        <v>14797</v>
      </c>
      <c r="B3614" s="4" t="s">
        <v>420</v>
      </c>
      <c r="C3614" s="4" t="s">
        <v>278</v>
      </c>
      <c r="D3614" s="94">
        <v>3553.0</v>
      </c>
    </row>
    <row r="3615">
      <c r="A3615" s="40">
        <f t="array" ref="A3615">IFNA(index(PlayerValues!A:A,match(IFNA(vlookup(B3615,'Special Names'!A:B,2,FALSE),B3615),PlayerValues!E:E,0)),"N/A")</f>
        <v>16192</v>
      </c>
      <c r="B3615" s="4" t="s">
        <v>412</v>
      </c>
      <c r="C3615" s="4" t="s">
        <v>287</v>
      </c>
      <c r="D3615" s="94">
        <v>3550.0</v>
      </c>
    </row>
    <row r="3616">
      <c r="A3616" s="40">
        <f t="array" ref="A3616">IFNA(index(PlayerValues!A:A,match(IFNA(vlookup(B3616,'Special Names'!A:B,2,FALSE),B3616),PlayerValues!E:E,0)),"N/A")</f>
        <v>14102</v>
      </c>
      <c r="B3616" s="4" t="s">
        <v>444</v>
      </c>
      <c r="C3616" s="4" t="s">
        <v>287</v>
      </c>
      <c r="D3616" s="94">
        <v>3523.0</v>
      </c>
    </row>
    <row r="3617">
      <c r="A3617" s="40" t="str">
        <f t="array" ref="A3617">IFNA(index(PlayerValues!A:A,match(IFNA(vlookup(B3617,'Special Names'!A:B,2,FALSE),B3617),PlayerValues!E:E,0)),"N/A")</f>
        <v>N/A</v>
      </c>
      <c r="B3617" s="4" t="s">
        <v>96</v>
      </c>
      <c r="C3617" s="4" t="s">
        <v>325</v>
      </c>
      <c r="D3617" s="94">
        <v>3491.0</v>
      </c>
    </row>
    <row r="3618">
      <c r="A3618" s="40">
        <f t="array" ref="A3618">IFNA(index(PlayerValues!A:A,match(IFNA(vlookup(B3618,'Special Names'!A:B,2,FALSE),B3618),PlayerValues!E:E,0)),"N/A")</f>
        <v>14109</v>
      </c>
      <c r="B3618" s="4" t="s">
        <v>437</v>
      </c>
      <c r="C3618" s="4" t="s">
        <v>287</v>
      </c>
      <c r="D3618" s="94">
        <v>3461.0</v>
      </c>
    </row>
    <row r="3619">
      <c r="A3619" s="40">
        <f t="array" ref="A3619">IFNA(index(PlayerValues!A:A,match(IFNA(vlookup(B3619,'Special Names'!A:B,2,FALSE),B3619),PlayerValues!E:E,0)),"N/A")</f>
        <v>16184</v>
      </c>
      <c r="B3619" s="4" t="s">
        <v>445</v>
      </c>
      <c r="C3619" s="4" t="s">
        <v>287</v>
      </c>
      <c r="D3619" s="94">
        <v>3459.0</v>
      </c>
    </row>
    <row r="3620">
      <c r="A3620" s="40">
        <f t="array" ref="A3620">IFNA(index(PlayerValues!A:A,match(IFNA(vlookup(B3620,'Special Names'!A:B,2,FALSE),B3620),PlayerValues!E:E,0)),"N/A")</f>
        <v>16622</v>
      </c>
      <c r="B3620" s="4" t="s">
        <v>517</v>
      </c>
      <c r="C3620" s="4" t="s">
        <v>287</v>
      </c>
      <c r="D3620" s="94">
        <v>3454.0</v>
      </c>
    </row>
    <row r="3621">
      <c r="A3621" s="40">
        <f t="array" ref="A3621">IFNA(index(PlayerValues!A:A,match(IFNA(vlookup(B3621,'Special Names'!A:B,2,FALSE),B3621),PlayerValues!E:E,0)),"N/A")</f>
        <v>17068</v>
      </c>
      <c r="B3621" s="4" t="s">
        <v>450</v>
      </c>
      <c r="C3621" s="4" t="s">
        <v>278</v>
      </c>
      <c r="D3621" s="94">
        <v>3436.0</v>
      </c>
    </row>
    <row r="3622">
      <c r="A3622" s="40">
        <f t="array" ref="A3622">IFNA(index(PlayerValues!A:A,match(IFNA(vlookup(B3622,'Special Names'!A:B,2,FALSE),B3622),PlayerValues!E:E,0)),"N/A")</f>
        <v>17500</v>
      </c>
      <c r="B3622" s="4" t="s">
        <v>430</v>
      </c>
      <c r="C3622" s="4" t="s">
        <v>287</v>
      </c>
      <c r="D3622" s="94">
        <v>3435.0</v>
      </c>
    </row>
    <row r="3623">
      <c r="A3623" s="40">
        <f t="array" ref="A3623">IFNA(index(PlayerValues!A:A,match(IFNA(vlookup(B3623,'Special Names'!A:B,2,FALSE),B3623),PlayerValues!E:E,0)),"N/A")</f>
        <v>15798</v>
      </c>
      <c r="B3623" s="4" t="s">
        <v>443</v>
      </c>
      <c r="C3623" s="4" t="s">
        <v>298</v>
      </c>
      <c r="D3623" s="94">
        <v>3826.0</v>
      </c>
    </row>
    <row r="3624">
      <c r="A3624" s="40">
        <f t="array" ref="A3624">IFNA(index(PlayerValues!A:A,match(IFNA(vlookup(B3624,'Special Names'!A:B,2,FALSE),B3624),PlayerValues!E:E,0)),"N/A")</f>
        <v>16169</v>
      </c>
      <c r="B3624" s="4" t="s">
        <v>457</v>
      </c>
      <c r="C3624" s="4" t="s">
        <v>278</v>
      </c>
      <c r="D3624" s="94">
        <v>3375.0</v>
      </c>
    </row>
    <row r="3625">
      <c r="A3625" s="40">
        <f t="array" ref="A3625">IFNA(index(PlayerValues!A:A,match(IFNA(vlookup(B3625,'Special Names'!A:B,2,FALSE),B3625),PlayerValues!E:E,0)),"N/A")</f>
        <v>17083</v>
      </c>
      <c r="B3625" s="4" t="s">
        <v>479</v>
      </c>
      <c r="C3625" s="4" t="s">
        <v>287</v>
      </c>
      <c r="D3625" s="94">
        <v>3373.0</v>
      </c>
    </row>
    <row r="3626">
      <c r="A3626" s="40">
        <f t="array" ref="A3626">IFNA(index(PlayerValues!A:A,match(IFNA(vlookup(B3626,'Special Names'!A:B,2,FALSE),B3626),PlayerValues!E:E,0)),"N/A")</f>
        <v>14071</v>
      </c>
      <c r="B3626" s="4" t="s">
        <v>440</v>
      </c>
      <c r="C3626" s="4" t="s">
        <v>278</v>
      </c>
      <c r="D3626" s="94">
        <v>3370.0</v>
      </c>
    </row>
    <row r="3627">
      <c r="A3627" s="40">
        <f t="array" ref="A3627">IFNA(index(PlayerValues!A:A,match(IFNA(vlookup(B3627,'Special Names'!A:B,2,FALSE),B3627),PlayerValues!E:E,0)),"N/A")</f>
        <v>17074</v>
      </c>
      <c r="B3627" s="4" t="s">
        <v>475</v>
      </c>
      <c r="C3627" s="4" t="s">
        <v>287</v>
      </c>
      <c r="D3627" s="94">
        <v>3368.0</v>
      </c>
    </row>
    <row r="3628">
      <c r="A3628" s="40">
        <f t="array" ref="A3628">IFNA(index(PlayerValues!A:A,match(IFNA(vlookup(B3628,'Special Names'!A:B,2,FALSE),B3628),PlayerValues!E:E,0)),"N/A")</f>
        <v>16620</v>
      </c>
      <c r="B3628" s="4" t="s">
        <v>467</v>
      </c>
      <c r="C3628" s="4" t="s">
        <v>287</v>
      </c>
      <c r="D3628" s="94">
        <v>3363.0</v>
      </c>
    </row>
    <row r="3629">
      <c r="A3629" s="40">
        <f t="array" ref="A3629">IFNA(index(PlayerValues!A:A,match(IFNA(vlookup(B3629,'Special Names'!A:B,2,FALSE),B3629),PlayerValues!E:E,0)),"N/A")</f>
        <v>14842</v>
      </c>
      <c r="B3629" s="4" t="s">
        <v>456</v>
      </c>
      <c r="C3629" s="4" t="s">
        <v>287</v>
      </c>
      <c r="D3629" s="94">
        <v>3361.0</v>
      </c>
    </row>
    <row r="3630">
      <c r="A3630" s="40">
        <f t="array" ref="A3630">IFNA(index(PlayerValues!A:A,match(IFNA(vlookup(B3630,'Special Names'!A:B,2,FALSE),B3630),PlayerValues!E:E,0)),"N/A")</f>
        <v>16188</v>
      </c>
      <c r="B3630" s="4" t="s">
        <v>439</v>
      </c>
      <c r="C3630" s="4" t="s">
        <v>287</v>
      </c>
      <c r="D3630" s="94">
        <v>3352.0</v>
      </c>
    </row>
    <row r="3631">
      <c r="A3631" s="40">
        <f t="array" ref="A3631">IFNA(index(PlayerValues!A:A,match(IFNA(vlookup(B3631,'Special Names'!A:B,2,FALSE),B3631),PlayerValues!E:E,0)),"N/A")</f>
        <v>15261</v>
      </c>
      <c r="B3631" s="4" t="s">
        <v>466</v>
      </c>
      <c r="C3631" s="4" t="s">
        <v>278</v>
      </c>
      <c r="D3631" s="94">
        <v>3326.0</v>
      </c>
    </row>
    <row r="3632">
      <c r="A3632" s="40" t="str">
        <f t="array" ref="A3632">IFNA(index(PlayerValues!A:A,match(IFNA(vlookup(B3632,'Special Names'!A:B,2,FALSE),B3632),PlayerValues!E:E,0)),"N/A")</f>
        <v>N/A</v>
      </c>
      <c r="B3632" s="4" t="s">
        <v>82</v>
      </c>
      <c r="C3632" s="4" t="s">
        <v>325</v>
      </c>
      <c r="D3632" s="94">
        <v>3295.0</v>
      </c>
    </row>
    <row r="3633">
      <c r="A3633" s="40">
        <f t="array" ref="A3633">IFNA(index(PlayerValues!A:A,match(IFNA(vlookup(B3633,'Special Names'!A:B,2,FALSE),B3633),PlayerValues!E:E,0)),"N/A")</f>
        <v>16593</v>
      </c>
      <c r="B3633" s="4" t="s">
        <v>442</v>
      </c>
      <c r="C3633" s="4" t="s">
        <v>278</v>
      </c>
      <c r="D3633" s="94">
        <v>3285.0</v>
      </c>
    </row>
    <row r="3634">
      <c r="A3634" s="40">
        <f t="array" ref="A3634">IFNA(index(PlayerValues!A:A,match(IFNA(vlookup(B3634,'Special Names'!A:B,2,FALSE),B3634),PlayerValues!E:E,0)),"N/A")</f>
        <v>11671</v>
      </c>
      <c r="B3634" s="4" t="s">
        <v>463</v>
      </c>
      <c r="C3634" s="4" t="s">
        <v>287</v>
      </c>
      <c r="D3634" s="94">
        <v>3279.0</v>
      </c>
    </row>
    <row r="3635">
      <c r="A3635" s="40">
        <f t="array" ref="A3635">IFNA(index(PlayerValues!A:A,match(IFNA(vlookup(B3635,'Special Names'!A:B,2,FALSE),B3635),PlayerValues!E:E,0)),"N/A")</f>
        <v>11675</v>
      </c>
      <c r="B3635" s="4" t="s">
        <v>438</v>
      </c>
      <c r="C3635" s="4" t="s">
        <v>287</v>
      </c>
      <c r="D3635" s="94">
        <v>3279.0</v>
      </c>
    </row>
    <row r="3636">
      <c r="A3636" s="40">
        <f t="array" ref="A3636">IFNA(index(PlayerValues!A:A,match(IFNA(vlookup(B3636,'Special Names'!A:B,2,FALSE),B3636),PlayerValues!E:E,0)),"N/A")</f>
        <v>16213</v>
      </c>
      <c r="B3636" s="4" t="s">
        <v>458</v>
      </c>
      <c r="C3636" s="4" t="s">
        <v>298</v>
      </c>
      <c r="D3636" s="94">
        <v>3683.0</v>
      </c>
    </row>
    <row r="3637">
      <c r="A3637" s="40">
        <f t="array" ref="A3637">IFNA(index(PlayerValues!A:A,match(IFNA(vlookup(B3637,'Special Names'!A:B,2,FALSE),B3637),PlayerValues!E:E,0)),"N/A")</f>
        <v>13299</v>
      </c>
      <c r="B3637" s="4" t="s">
        <v>448</v>
      </c>
      <c r="C3637" s="4" t="s">
        <v>298</v>
      </c>
      <c r="D3637" s="94">
        <v>3674.0</v>
      </c>
    </row>
    <row r="3638">
      <c r="A3638" s="40">
        <f t="array" ref="A3638">IFNA(index(PlayerValues!A:A,match(IFNA(vlookup(B3638,'Special Names'!A:B,2,FALSE),B3638),PlayerValues!E:E,0)),"N/A")</f>
        <v>15779</v>
      </c>
      <c r="B3638" s="4" t="s">
        <v>461</v>
      </c>
      <c r="C3638" s="4" t="s">
        <v>287</v>
      </c>
      <c r="D3638" s="94">
        <v>3221.0</v>
      </c>
    </row>
    <row r="3639">
      <c r="A3639" s="40">
        <f t="array" ref="A3639">IFNA(index(PlayerValues!A:A,match(IFNA(vlookup(B3639,'Special Names'!A:B,2,FALSE),B3639),PlayerValues!E:E,0)),"N/A")</f>
        <v>15799</v>
      </c>
      <c r="B3639" s="4" t="s">
        <v>468</v>
      </c>
      <c r="C3639" s="4" t="s">
        <v>298</v>
      </c>
      <c r="D3639" s="94">
        <v>3658.0</v>
      </c>
    </row>
    <row r="3640">
      <c r="A3640" s="40">
        <f t="array" ref="A3640">IFNA(index(PlayerValues!A:A,match(IFNA(vlookup(B3640,'Special Names'!A:B,2,FALSE),B3640),PlayerValues!E:E,0)),"N/A")</f>
        <v>16597</v>
      </c>
      <c r="B3640" s="4" t="s">
        <v>427</v>
      </c>
      <c r="C3640" s="4" t="s">
        <v>278</v>
      </c>
      <c r="D3640" s="94">
        <v>3200.0</v>
      </c>
    </row>
    <row r="3641">
      <c r="A3641" s="40">
        <f t="array" ref="A3641">IFNA(index(PlayerValues!A:A,match(IFNA(vlookup(B3641,'Special Names'!A:B,2,FALSE),B3641),PlayerValues!E:E,0)),"N/A")</f>
        <v>14823</v>
      </c>
      <c r="B3641" s="4" t="s">
        <v>459</v>
      </c>
      <c r="C3641" s="4" t="s">
        <v>278</v>
      </c>
      <c r="D3641" s="94">
        <v>3196.0</v>
      </c>
    </row>
    <row r="3642">
      <c r="A3642" s="40" t="str">
        <f t="array" ref="A3642">IFNA(index(PlayerValues!A:A,match(IFNA(vlookup(B3642,'Special Names'!A:B,2,FALSE),B3642),PlayerValues!E:E,0)),"N/A")</f>
        <v>N/A</v>
      </c>
      <c r="B3642" s="4" t="s">
        <v>108</v>
      </c>
      <c r="C3642" s="4" t="s">
        <v>325</v>
      </c>
      <c r="D3642" s="94">
        <v>3178.0</v>
      </c>
    </row>
    <row r="3643">
      <c r="A3643" s="40">
        <f t="array" ref="A3643">IFNA(index(PlayerValues!A:A,match(IFNA(vlookup(B3643,'Special Names'!A:B,2,FALSE),B3643),PlayerValues!E:E,0)),"N/A")</f>
        <v>17477</v>
      </c>
      <c r="B3643" s="4" t="s">
        <v>452</v>
      </c>
      <c r="C3643" s="4" t="s">
        <v>278</v>
      </c>
      <c r="D3643" s="94">
        <v>3161.0</v>
      </c>
    </row>
    <row r="3644">
      <c r="A3644" s="40">
        <f t="array" ref="A3644">IFNA(index(PlayerValues!A:A,match(IFNA(vlookup(B3644,'Special Names'!A:B,2,FALSE),B3644),PlayerValues!E:E,0)),"N/A")</f>
        <v>15742</v>
      </c>
      <c r="B3644" s="4" t="s">
        <v>447</v>
      </c>
      <c r="C3644" s="4" t="s">
        <v>278</v>
      </c>
      <c r="D3644" s="94">
        <v>3159.0</v>
      </c>
    </row>
    <row r="3645">
      <c r="A3645" s="40">
        <f t="array" ref="A3645">IFNA(index(PlayerValues!A:A,match(IFNA(vlookup(B3645,'Special Names'!A:B,2,FALSE),B3645),PlayerValues!E:E,0)),"N/A")</f>
        <v>16583</v>
      </c>
      <c r="B3645" s="4" t="s">
        <v>493</v>
      </c>
      <c r="C3645" s="4" t="s">
        <v>283</v>
      </c>
      <c r="D3645" s="94">
        <v>3157.0</v>
      </c>
    </row>
    <row r="3646">
      <c r="A3646" s="40" t="str">
        <f t="array" ref="A3646">IFNA(index(PlayerValues!A:A,match(IFNA(vlookup(B3646,'Special Names'!A:B,2,FALSE),B3646),PlayerValues!E:E,0)),"N/A")</f>
        <v>N/A</v>
      </c>
      <c r="B3646" s="4" t="s">
        <v>97</v>
      </c>
      <c r="C3646" s="4" t="s">
        <v>325</v>
      </c>
      <c r="D3646" s="94">
        <v>3155.0</v>
      </c>
    </row>
    <row r="3647">
      <c r="A3647" s="40">
        <f t="array" ref="A3647">IFNA(index(PlayerValues!A:A,match(IFNA(vlookup(B3647,'Special Names'!A:B,2,FALSE),B3647),PlayerValues!E:E,0)),"N/A")</f>
        <v>13630</v>
      </c>
      <c r="B3647" s="4" t="s">
        <v>465</v>
      </c>
      <c r="C3647" s="4" t="s">
        <v>287</v>
      </c>
      <c r="D3647" s="94">
        <v>3152.0</v>
      </c>
    </row>
    <row r="3648">
      <c r="A3648" s="40">
        <f t="array" ref="A3648">IFNA(index(PlayerValues!A:A,match(IFNA(vlookup(B3648,'Special Names'!A:B,2,FALSE),B3648),PlayerValues!E:E,0)),"N/A")</f>
        <v>14127</v>
      </c>
      <c r="B3648" s="4" t="s">
        <v>486</v>
      </c>
      <c r="C3648" s="4" t="s">
        <v>287</v>
      </c>
      <c r="D3648" s="94">
        <v>3139.0</v>
      </c>
    </row>
    <row r="3649">
      <c r="A3649" s="40">
        <f t="array" ref="A3649">IFNA(index(PlayerValues!A:A,match(IFNA(vlookup(B3649,'Special Names'!A:B,2,FALSE),B3649),PlayerValues!E:E,0)),"N/A")</f>
        <v>16809</v>
      </c>
      <c r="B3649" s="4" t="s">
        <v>455</v>
      </c>
      <c r="C3649" s="4" t="s">
        <v>287</v>
      </c>
      <c r="D3649" s="94">
        <v>3068.0</v>
      </c>
    </row>
    <row r="3650">
      <c r="A3650" s="40">
        <f t="array" ref="A3650">IFNA(index(PlayerValues!A:A,match(IFNA(vlookup(B3650,'Special Names'!A:B,2,FALSE),B3650),PlayerValues!E:E,0)),"N/A")</f>
        <v>16269</v>
      </c>
      <c r="B3650" s="4" t="s">
        <v>481</v>
      </c>
      <c r="C3650" s="4" t="s">
        <v>298</v>
      </c>
      <c r="D3650" s="94">
        <v>3435.0</v>
      </c>
    </row>
    <row r="3651">
      <c r="A3651" s="40">
        <f t="array" ref="A3651">IFNA(index(PlayerValues!A:A,match(IFNA(vlookup(B3651,'Special Names'!A:B,2,FALSE),B3651),PlayerValues!E:E,0)),"N/A")</f>
        <v>17506</v>
      </c>
      <c r="B3651" s="4" t="s">
        <v>471</v>
      </c>
      <c r="C3651" s="4" t="s">
        <v>287</v>
      </c>
      <c r="D3651" s="94">
        <v>2999.0</v>
      </c>
    </row>
    <row r="3652">
      <c r="A3652" s="40">
        <f t="array" ref="A3652">IFNA(index(PlayerValues!A:A,match(IFNA(vlookup(B3652,'Special Names'!A:B,2,FALSE),B3652),PlayerValues!E:E,0)),"N/A")</f>
        <v>15761</v>
      </c>
      <c r="B3652" s="4" t="s">
        <v>491</v>
      </c>
      <c r="C3652" s="4" t="s">
        <v>287</v>
      </c>
      <c r="D3652" s="94">
        <v>2990.0</v>
      </c>
    </row>
    <row r="3653">
      <c r="A3653" s="40" t="str">
        <f t="array" ref="A3653">IFNA(index(PlayerValues!A:A,match(IFNA(vlookup(B3653,'Special Names'!A:B,2,FALSE),B3653),PlayerValues!E:E,0)),"N/A")</f>
        <v>N/A</v>
      </c>
      <c r="B3653" s="4" t="s">
        <v>109</v>
      </c>
      <c r="C3653" s="4" t="s">
        <v>325</v>
      </c>
      <c r="D3653" s="94">
        <v>2979.0</v>
      </c>
    </row>
    <row r="3654">
      <c r="A3654" s="40">
        <f t="array" ref="A3654">IFNA(index(PlayerValues!A:A,match(IFNA(vlookup(B3654,'Special Names'!A:B,2,FALSE),B3654),PlayerValues!E:E,0)),"N/A")</f>
        <v>14800</v>
      </c>
      <c r="B3654" s="4" t="s">
        <v>472</v>
      </c>
      <c r="C3654" s="4" t="s">
        <v>278</v>
      </c>
      <c r="D3654" s="94">
        <v>2966.0</v>
      </c>
    </row>
    <row r="3655">
      <c r="A3655" s="40">
        <f t="array" ref="A3655">IFNA(index(PlayerValues!A:A,match(IFNA(vlookup(B3655,'Special Names'!A:B,2,FALSE),B3655),PlayerValues!E:E,0)),"N/A")</f>
        <v>17512</v>
      </c>
      <c r="B3655" s="4" t="s">
        <v>483</v>
      </c>
      <c r="C3655" s="4" t="s">
        <v>287</v>
      </c>
      <c r="D3655" s="94">
        <v>2966.0</v>
      </c>
    </row>
    <row r="3656">
      <c r="A3656" s="40">
        <f t="array" ref="A3656">IFNA(index(PlayerValues!A:A,match(IFNA(vlookup(B3656,'Special Names'!A:B,2,FALSE),B3656),PlayerValues!E:E,0)),"N/A")</f>
        <v>17503</v>
      </c>
      <c r="B3656" s="4" t="s">
        <v>480</v>
      </c>
      <c r="C3656" s="4" t="s">
        <v>287</v>
      </c>
      <c r="D3656" s="94">
        <v>2964.0</v>
      </c>
    </row>
    <row r="3657">
      <c r="A3657" s="40">
        <f t="array" ref="A3657">IFNA(index(PlayerValues!A:A,match(IFNA(vlookup(B3657,'Special Names'!A:B,2,FALSE),B3657),PlayerValues!E:E,0)),"N/A")</f>
        <v>13163</v>
      </c>
      <c r="B3657" s="4" t="s">
        <v>473</v>
      </c>
      <c r="C3657" s="4" t="s">
        <v>287</v>
      </c>
      <c r="D3657" s="94">
        <v>2962.0</v>
      </c>
    </row>
    <row r="3658">
      <c r="A3658" s="40">
        <f t="array" ref="A3658">IFNA(index(PlayerValues!A:A,match(IFNA(vlookup(B3658,'Special Names'!A:B,2,FALSE),B3658),PlayerValues!E:E,0)),"N/A")</f>
        <v>16628</v>
      </c>
      <c r="B3658" s="4" t="s">
        <v>490</v>
      </c>
      <c r="C3658" s="4" t="s">
        <v>287</v>
      </c>
      <c r="D3658" s="94">
        <v>2957.0</v>
      </c>
    </row>
    <row r="3659">
      <c r="A3659" s="40" t="str">
        <f t="array" ref="A3659">IFNA(index(PlayerValues!A:A,match(IFNA(vlookup(B3659,'Special Names'!A:B,2,FALSE),B3659),PlayerValues!E:E,0)),"N/A")</f>
        <v>N/A</v>
      </c>
      <c r="B3659" s="4" t="s">
        <v>84</v>
      </c>
      <c r="C3659" s="4" t="s">
        <v>325</v>
      </c>
      <c r="D3659" s="94">
        <v>2953.0</v>
      </c>
    </row>
    <row r="3660">
      <c r="A3660" s="40">
        <f t="array" ref="A3660">IFNA(index(PlayerValues!A:A,match(IFNA(vlookup(B3660,'Special Names'!A:B,2,FALSE),B3660),PlayerValues!E:E,0)),"N/A")</f>
        <v>17476</v>
      </c>
      <c r="B3660" s="4" t="s">
        <v>494</v>
      </c>
      <c r="C3660" s="4" t="s">
        <v>278</v>
      </c>
      <c r="D3660" s="94">
        <v>2940.0</v>
      </c>
    </row>
    <row r="3661">
      <c r="A3661" s="40">
        <f t="array" ref="A3661">IFNA(index(PlayerValues!A:A,match(IFNA(vlookup(B3661,'Special Names'!A:B,2,FALSE),B3661),PlayerValues!E:E,0)),"N/A")</f>
        <v>17256</v>
      </c>
      <c r="B3661" s="4" t="s">
        <v>462</v>
      </c>
      <c r="C3661" s="4" t="s">
        <v>278</v>
      </c>
      <c r="D3661" s="94">
        <v>2938.0</v>
      </c>
    </row>
    <row r="3662">
      <c r="A3662" s="40">
        <f t="array" ref="A3662">IFNA(index(PlayerValues!A:A,match(IFNA(vlookup(B3662,'Special Names'!A:B,2,FALSE),B3662),PlayerValues!E:E,0)),"N/A")</f>
        <v>15259</v>
      </c>
      <c r="B3662" s="4" t="s">
        <v>453</v>
      </c>
      <c r="C3662" s="4" t="s">
        <v>278</v>
      </c>
      <c r="D3662" s="94">
        <v>2917.0</v>
      </c>
    </row>
    <row r="3663">
      <c r="A3663" s="40">
        <f t="array" ref="A3663">IFNA(index(PlayerValues!A:A,match(IFNA(vlookup(B3663,'Special Names'!A:B,2,FALSE),B3663),PlayerValues!E:E,0)),"N/A")</f>
        <v>16080</v>
      </c>
      <c r="B3663" s="4" t="s">
        <v>499</v>
      </c>
      <c r="C3663" s="4" t="s">
        <v>287</v>
      </c>
      <c r="D3663" s="94">
        <v>2887.0</v>
      </c>
    </row>
    <row r="3664">
      <c r="A3664" s="40">
        <f t="array" ref="A3664">IFNA(index(PlayerValues!A:A,match(IFNA(vlookup(B3664,'Special Names'!A:B,2,FALSE),B3664),PlayerValues!E:E,0)),"N/A")</f>
        <v>16584</v>
      </c>
      <c r="B3664" s="4" t="s">
        <v>569</v>
      </c>
      <c r="C3664" s="4" t="s">
        <v>283</v>
      </c>
      <c r="D3664" s="94">
        <v>2853.0</v>
      </c>
    </row>
    <row r="3665">
      <c r="A3665" s="40" t="str">
        <f t="array" ref="A3665">IFNA(index(PlayerValues!A:A,match(IFNA(vlookup(B3665,'Special Names'!A:B,2,FALSE),B3665),PlayerValues!E:E,0)),"N/A")</f>
        <v>N/A</v>
      </c>
      <c r="B3665" s="4" t="s">
        <v>85</v>
      </c>
      <c r="C3665" s="4" t="s">
        <v>325</v>
      </c>
      <c r="D3665" s="94">
        <v>2833.0</v>
      </c>
    </row>
    <row r="3666">
      <c r="A3666" s="40">
        <f t="array" ref="A3666">IFNA(index(PlayerValues!A:A,match(IFNA(vlookup(B3666,'Special Names'!A:B,2,FALSE),B3666),PlayerValues!E:E,0)),"N/A")</f>
        <v>15255</v>
      </c>
      <c r="B3666" s="4" t="s">
        <v>477</v>
      </c>
      <c r="C3666" s="4" t="s">
        <v>278</v>
      </c>
      <c r="D3666" s="94">
        <v>2829.0</v>
      </c>
    </row>
    <row r="3667">
      <c r="A3667" s="40" t="str">
        <f t="array" ref="A3667">IFNA(index(PlayerValues!A:A,match(IFNA(vlookup(B3667,'Special Names'!A:B,2,FALSE),B3667),PlayerValues!E:E,0)),"N/A")</f>
        <v>N/A</v>
      </c>
      <c r="B3667" s="4" t="s">
        <v>110</v>
      </c>
      <c r="C3667" s="4" t="s">
        <v>325</v>
      </c>
      <c r="D3667" s="94">
        <v>2819.0</v>
      </c>
    </row>
    <row r="3668">
      <c r="A3668" s="40">
        <f t="array" ref="A3668">IFNA(index(PlayerValues!A:A,match(IFNA(vlookup(B3668,'Special Names'!A:B,2,FALSE),B3668),PlayerValues!E:E,0)),"N/A")</f>
        <v>17157</v>
      </c>
      <c r="B3668" s="4" t="s">
        <v>524</v>
      </c>
      <c r="C3668" s="4" t="s">
        <v>287</v>
      </c>
      <c r="D3668" s="94">
        <v>2810.0</v>
      </c>
    </row>
    <row r="3669">
      <c r="A3669" s="40">
        <f t="array" ref="A3669">IFNA(index(PlayerValues!A:A,match(IFNA(vlookup(B3669,'Special Names'!A:B,2,FALSE),B3669),PlayerValues!E:E,0)),"N/A")</f>
        <v>17053</v>
      </c>
      <c r="B3669" s="4" t="s">
        <v>484</v>
      </c>
      <c r="C3669" s="4" t="s">
        <v>278</v>
      </c>
      <c r="D3669" s="94">
        <v>2806.0</v>
      </c>
    </row>
    <row r="3670">
      <c r="A3670" s="40">
        <f t="array" ref="A3670">IFNA(index(PlayerValues!A:A,match(IFNA(vlookup(B3670,'Special Names'!A:B,2,FALSE),B3670),PlayerValues!E:E,0)),"N/A")</f>
        <v>14085</v>
      </c>
      <c r="B3670" s="4" t="s">
        <v>489</v>
      </c>
      <c r="C3670" s="4" t="s">
        <v>278</v>
      </c>
      <c r="D3670" s="94">
        <v>2797.0</v>
      </c>
    </row>
    <row r="3671">
      <c r="A3671" s="40">
        <f t="array" ref="A3671">IFNA(index(PlayerValues!A:A,match(IFNA(vlookup(B3671,'Special Names'!A:B,2,FALSE),B3671),PlayerValues!E:E,0)),"N/A")</f>
        <v>14138</v>
      </c>
      <c r="B3671" s="4" t="s">
        <v>531</v>
      </c>
      <c r="C3671" s="4" t="s">
        <v>298</v>
      </c>
      <c r="D3671" s="94">
        <v>3210.0</v>
      </c>
    </row>
    <row r="3672">
      <c r="A3672" s="40">
        <f t="array" ref="A3672">IFNA(index(PlayerValues!A:A,match(IFNA(vlookup(B3672,'Special Names'!A:B,2,FALSE),B3672),PlayerValues!E:E,0)),"N/A")</f>
        <v>17505</v>
      </c>
      <c r="B3672" s="4" t="s">
        <v>528</v>
      </c>
      <c r="C3672" s="4" t="s">
        <v>287</v>
      </c>
      <c r="D3672" s="94">
        <v>2783.0</v>
      </c>
    </row>
    <row r="3673">
      <c r="A3673" s="40">
        <f t="array" ref="A3673">IFNA(index(PlayerValues!A:A,match(IFNA(vlookup(B3673,'Special Names'!A:B,2,FALSE),B3673),PlayerValues!E:E,0)),"N/A")</f>
        <v>17072</v>
      </c>
      <c r="B3673" s="4" t="s">
        <v>508</v>
      </c>
      <c r="C3673" s="4" t="s">
        <v>287</v>
      </c>
      <c r="D3673" s="94">
        <v>2767.0</v>
      </c>
    </row>
    <row r="3674">
      <c r="A3674" s="40">
        <f t="array" ref="A3674">IFNA(index(PlayerValues!A:A,match(IFNA(vlookup(B3674,'Special Names'!A:B,2,FALSE),B3674),PlayerValues!E:E,0)),"N/A")</f>
        <v>16723</v>
      </c>
      <c r="B3674" s="4" t="s">
        <v>502</v>
      </c>
      <c r="C3674" s="4" t="s">
        <v>298</v>
      </c>
      <c r="D3674" s="94">
        <v>3180.0</v>
      </c>
    </row>
    <row r="3675">
      <c r="A3675" s="40">
        <f t="array" ref="A3675">IFNA(index(PlayerValues!A:A,match(IFNA(vlookup(B3675,'Special Names'!A:B,2,FALSE),B3675),PlayerValues!E:E,0)),"N/A")</f>
        <v>13671</v>
      </c>
      <c r="B3675" s="4" t="s">
        <v>506</v>
      </c>
      <c r="C3675" s="4" t="s">
        <v>298</v>
      </c>
      <c r="D3675" s="94">
        <v>3176.0</v>
      </c>
    </row>
    <row r="3676">
      <c r="A3676" s="40">
        <f t="array" ref="A3676">IFNA(index(PlayerValues!A:A,match(IFNA(vlookup(B3676,'Special Names'!A:B,2,FALSE),B3676),PlayerValues!E:E,0)),"N/A")</f>
        <v>17031</v>
      </c>
      <c r="B3676" s="4" t="s">
        <v>535</v>
      </c>
      <c r="C3676" s="4" t="s">
        <v>283</v>
      </c>
      <c r="D3676" s="94">
        <v>2749.0</v>
      </c>
    </row>
    <row r="3677">
      <c r="A3677" s="40">
        <f t="array" ref="A3677">IFNA(index(PlayerValues!A:A,match(IFNA(vlookup(B3677,'Special Names'!A:B,2,FALSE),B3677),PlayerValues!E:E,0)),"N/A")</f>
        <v>17047</v>
      </c>
      <c r="B3677" s="4" t="s">
        <v>510</v>
      </c>
      <c r="C3677" s="4" t="s">
        <v>278</v>
      </c>
      <c r="D3677" s="94">
        <v>2748.0</v>
      </c>
    </row>
    <row r="3678">
      <c r="A3678" s="40">
        <f t="array" ref="A3678">IFNA(index(PlayerValues!A:A,match(IFNA(vlookup(B3678,'Special Names'!A:B,2,FALSE),B3678),PlayerValues!E:E,0)),"N/A")</f>
        <v>15889</v>
      </c>
      <c r="B3678" s="4" t="s">
        <v>503</v>
      </c>
      <c r="C3678" s="4" t="s">
        <v>298</v>
      </c>
      <c r="D3678" s="94">
        <v>3146.0</v>
      </c>
    </row>
    <row r="3679">
      <c r="A3679" s="40">
        <f t="array" ref="A3679">IFNA(index(PlayerValues!A:A,match(IFNA(vlookup(B3679,'Special Names'!A:B,2,FALSE),B3679),PlayerValues!E:E,0)),"N/A")</f>
        <v>14778</v>
      </c>
      <c r="B3679" s="4" t="s">
        <v>564</v>
      </c>
      <c r="C3679" s="4" t="s">
        <v>283</v>
      </c>
      <c r="D3679" s="94">
        <v>2733.0</v>
      </c>
    </row>
    <row r="3680">
      <c r="A3680" s="40">
        <f t="array" ref="A3680">IFNA(index(PlayerValues!A:A,match(IFNA(vlookup(B3680,'Special Names'!A:B,2,FALSE),B3680),PlayerValues!E:E,0)),"N/A")</f>
        <v>15721</v>
      </c>
      <c r="B3680" s="4" t="s">
        <v>504</v>
      </c>
      <c r="C3680" s="4" t="s">
        <v>278</v>
      </c>
      <c r="D3680" s="94">
        <v>2732.0</v>
      </c>
    </row>
    <row r="3681">
      <c r="A3681" s="40">
        <f t="array" ref="A3681">IFNA(index(PlayerValues!A:A,match(IFNA(vlookup(B3681,'Special Names'!A:B,2,FALSE),B3681),PlayerValues!E:E,0)),"N/A")</f>
        <v>15712</v>
      </c>
      <c r="B3681" s="4" t="s">
        <v>488</v>
      </c>
      <c r="C3681" s="4" t="s">
        <v>278</v>
      </c>
      <c r="D3681" s="94">
        <v>2729.0</v>
      </c>
    </row>
    <row r="3682">
      <c r="A3682" s="40">
        <f t="array" ref="A3682">IFNA(index(PlayerValues!A:A,match(IFNA(vlookup(B3682,'Special Names'!A:B,2,FALSE),B3682),PlayerValues!E:E,0)),"N/A")</f>
        <v>17098</v>
      </c>
      <c r="B3682" s="4" t="s">
        <v>533</v>
      </c>
      <c r="C3682" s="4" t="s">
        <v>287</v>
      </c>
      <c r="D3682" s="94">
        <v>2706.0</v>
      </c>
    </row>
    <row r="3683">
      <c r="A3683" s="40">
        <f t="array" ref="A3683">IFNA(index(PlayerValues!A:A,match(IFNA(vlookup(B3683,'Special Names'!A:B,2,FALSE),B3683),PlayerValues!E:E,0)),"N/A")</f>
        <v>17507</v>
      </c>
      <c r="B3683" s="4" t="s">
        <v>495</v>
      </c>
      <c r="C3683" s="4" t="s">
        <v>287</v>
      </c>
      <c r="D3683" s="94">
        <v>2695.0</v>
      </c>
    </row>
    <row r="3684">
      <c r="A3684" s="40">
        <f t="array" ref="A3684">IFNA(index(PlayerValues!A:A,match(IFNA(vlookup(B3684,'Special Names'!A:B,2,FALSE),B3684),PlayerValues!E:E,0)),"N/A")</f>
        <v>17511</v>
      </c>
      <c r="B3684" s="4" t="s">
        <v>485</v>
      </c>
      <c r="C3684" s="4" t="s">
        <v>287</v>
      </c>
      <c r="D3684" s="94">
        <v>2690.0</v>
      </c>
    </row>
    <row r="3685">
      <c r="A3685" s="40">
        <f t="array" ref="A3685">IFNA(index(PlayerValues!A:A,match(IFNA(vlookup(B3685,'Special Names'!A:B,2,FALSE),B3685),PlayerValues!E:E,0)),"N/A")</f>
        <v>14860</v>
      </c>
      <c r="B3685" s="4" t="s">
        <v>554</v>
      </c>
      <c r="C3685" s="4" t="s">
        <v>287</v>
      </c>
      <c r="D3685" s="94">
        <v>2689.0</v>
      </c>
    </row>
    <row r="3686">
      <c r="A3686" s="40">
        <f t="array" ref="A3686">IFNA(index(PlayerValues!A:A,match(IFNA(vlookup(B3686,'Special Names'!A:B,2,FALSE),B3686),PlayerValues!E:E,0)),"N/A")</f>
        <v>12616</v>
      </c>
      <c r="B3686" s="4" t="s">
        <v>529</v>
      </c>
      <c r="C3686" s="4" t="s">
        <v>283</v>
      </c>
      <c r="D3686" s="94">
        <v>2688.0</v>
      </c>
    </row>
    <row r="3687">
      <c r="A3687" s="40">
        <f t="array" ref="A3687">IFNA(index(PlayerValues!A:A,match(IFNA(vlookup(B3687,'Special Names'!A:B,2,FALSE),B3687),PlayerValues!E:E,0)),"N/A")</f>
        <v>16747</v>
      </c>
      <c r="B3687" s="4" t="s">
        <v>555</v>
      </c>
      <c r="C3687" s="4" t="s">
        <v>278</v>
      </c>
      <c r="D3687" s="94">
        <v>2678.0</v>
      </c>
    </row>
    <row r="3688">
      <c r="A3688" s="40">
        <f t="array" ref="A3688">IFNA(index(PlayerValues!A:A,match(IFNA(vlookup(B3688,'Special Names'!A:B,2,FALSE),B3688),PlayerValues!E:E,0)),"N/A")</f>
        <v>17080</v>
      </c>
      <c r="B3688" s="4" t="s">
        <v>532</v>
      </c>
      <c r="C3688" s="4" t="s">
        <v>287</v>
      </c>
      <c r="D3688" s="94">
        <v>2674.0</v>
      </c>
    </row>
    <row r="3689">
      <c r="A3689" s="40">
        <f t="array" ref="A3689">IFNA(index(PlayerValues!A:A,match(IFNA(vlookup(B3689,'Special Names'!A:B,2,FALSE),B3689),PlayerValues!E:E,0)),"N/A")</f>
        <v>17105</v>
      </c>
      <c r="B3689" s="4" t="s">
        <v>525</v>
      </c>
      <c r="C3689" s="4" t="s">
        <v>298</v>
      </c>
      <c r="D3689" s="94">
        <v>3083.0</v>
      </c>
    </row>
    <row r="3690">
      <c r="A3690" s="40">
        <f t="array" ref="A3690">IFNA(index(PlayerValues!A:A,match(IFNA(vlookup(B3690,'Special Names'!A:B,2,FALSE),B3690),PlayerValues!E:E,0)),"N/A")</f>
        <v>16193</v>
      </c>
      <c r="B3690" s="4" t="s">
        <v>487</v>
      </c>
      <c r="C3690" s="4" t="s">
        <v>287</v>
      </c>
      <c r="D3690" s="94">
        <v>2668.0</v>
      </c>
    </row>
    <row r="3691">
      <c r="A3691" s="40">
        <f t="array" ref="A3691">IFNA(index(PlayerValues!A:A,match(IFNA(vlookup(B3691,'Special Names'!A:B,2,FALSE),B3691),PlayerValues!E:E,0)),"N/A")</f>
        <v>16596</v>
      </c>
      <c r="B3691" s="4" t="s">
        <v>501</v>
      </c>
      <c r="C3691" s="4" t="s">
        <v>278</v>
      </c>
      <c r="D3691" s="94">
        <v>2661.0</v>
      </c>
    </row>
    <row r="3692">
      <c r="A3692" s="40">
        <f t="array" ref="A3692">IFNA(index(PlayerValues!A:A,match(IFNA(vlookup(B3692,'Special Names'!A:B,2,FALSE),B3692),PlayerValues!E:E,0)),"N/A")</f>
        <v>15241</v>
      </c>
      <c r="B3692" s="4" t="s">
        <v>546</v>
      </c>
      <c r="C3692" s="4" t="s">
        <v>283</v>
      </c>
      <c r="D3692" s="94">
        <v>2658.0</v>
      </c>
    </row>
    <row r="3693">
      <c r="A3693" s="40">
        <f t="array" ref="A3693">IFNA(index(PlayerValues!A:A,match(IFNA(vlookup(B3693,'Special Names'!A:B,2,FALSE),B3693),PlayerValues!E:E,0)),"N/A")</f>
        <v>16619</v>
      </c>
      <c r="B3693" s="4" t="s">
        <v>538</v>
      </c>
      <c r="C3693" s="4" t="s">
        <v>287</v>
      </c>
      <c r="D3693" s="94">
        <v>2658.0</v>
      </c>
    </row>
    <row r="3694">
      <c r="A3694" s="40">
        <f t="array" ref="A3694">IFNA(index(PlayerValues!A:A,match(IFNA(vlookup(B3694,'Special Names'!A:B,2,FALSE),B3694),PlayerValues!E:E,0)),"N/A")</f>
        <v>15972</v>
      </c>
      <c r="B3694" s="4" t="s">
        <v>469</v>
      </c>
      <c r="C3694" s="4" t="s">
        <v>278</v>
      </c>
      <c r="D3694" s="94">
        <v>2656.0</v>
      </c>
    </row>
    <row r="3695">
      <c r="A3695" s="40">
        <f t="array" ref="A3695">IFNA(index(PlayerValues!A:A,match(IFNA(vlookup(B3695,'Special Names'!A:B,2,FALSE),B3695),PlayerValues!E:E,0)),"N/A")</f>
        <v>14833</v>
      </c>
      <c r="B3695" s="4" t="s">
        <v>553</v>
      </c>
      <c r="C3695" s="4" t="s">
        <v>287</v>
      </c>
      <c r="D3695" s="94">
        <v>2627.0</v>
      </c>
    </row>
    <row r="3696">
      <c r="A3696" s="40">
        <f t="array" ref="A3696">IFNA(index(PlayerValues!A:A,match(IFNA(vlookup(B3696,'Special Names'!A:B,2,FALSE),B3696),PlayerValues!E:E,0)),"N/A")</f>
        <v>17107</v>
      </c>
      <c r="B3696" s="4" t="s">
        <v>478</v>
      </c>
      <c r="C3696" s="4" t="s">
        <v>298</v>
      </c>
      <c r="D3696" s="94">
        <v>3034.0</v>
      </c>
    </row>
    <row r="3697">
      <c r="A3697" s="40" t="str">
        <f t="array" ref="A3697">IFNA(index(PlayerValues!A:A,match(IFNA(vlookup(B3697,'Special Names'!A:B,2,FALSE),B3697),PlayerValues!E:E,0)),"N/A")</f>
        <v>N/A</v>
      </c>
      <c r="B3697" s="4" t="s">
        <v>98</v>
      </c>
      <c r="C3697" s="4" t="s">
        <v>325</v>
      </c>
      <c r="D3697" s="94">
        <v>2623.0</v>
      </c>
    </row>
    <row r="3698">
      <c r="A3698" s="40">
        <f t="array" ref="A3698">IFNA(index(PlayerValues!A:A,match(IFNA(vlookup(B3698,'Special Names'!A:B,2,FALSE),B3698),PlayerValues!E:E,0)),"N/A")</f>
        <v>17073</v>
      </c>
      <c r="B3698" s="4" t="s">
        <v>547</v>
      </c>
      <c r="C3698" s="4" t="s">
        <v>287</v>
      </c>
      <c r="D3698" s="94">
        <v>2611.0</v>
      </c>
    </row>
    <row r="3699">
      <c r="A3699" s="40">
        <f t="array" ref="A3699">IFNA(index(PlayerValues!A:A,match(IFNA(vlookup(B3699,'Special Names'!A:B,2,FALSE),B3699),PlayerValues!E:E,0)),"N/A")</f>
        <v>17509</v>
      </c>
      <c r="B3699" s="4" t="s">
        <v>551</v>
      </c>
      <c r="C3699" s="4" t="s">
        <v>287</v>
      </c>
      <c r="D3699" s="94">
        <v>2609.0</v>
      </c>
    </row>
    <row r="3700">
      <c r="A3700" s="40">
        <f t="array" ref="A3700">IFNA(index(PlayerValues!A:A,match(IFNA(vlookup(B3700,'Special Names'!A:B,2,FALSE),B3700),PlayerValues!E:E,0)),"N/A")</f>
        <v>16165</v>
      </c>
      <c r="B3700" s="4" t="s">
        <v>520</v>
      </c>
      <c r="C3700" s="4" t="s">
        <v>278</v>
      </c>
      <c r="D3700" s="94">
        <v>2600.0</v>
      </c>
    </row>
    <row r="3701">
      <c r="A3701" s="40">
        <f t="array" ref="A3701">IFNA(index(PlayerValues!A:A,match(IFNA(vlookup(B3701,'Special Names'!A:B,2,FALSE),B3701),PlayerValues!E:E,0)),"N/A")</f>
        <v>16174</v>
      </c>
      <c r="B3701" s="4" t="s">
        <v>505</v>
      </c>
      <c r="C3701" s="4" t="s">
        <v>278</v>
      </c>
      <c r="D3701" s="94">
        <v>2595.0</v>
      </c>
    </row>
    <row r="3702">
      <c r="A3702" s="40">
        <f t="array" ref="A3702">IFNA(index(PlayerValues!A:A,match(IFNA(vlookup(B3702,'Special Names'!A:B,2,FALSE),B3702),PlayerValues!E:E,0)),"N/A")</f>
        <v>17474</v>
      </c>
      <c r="B3702" s="4" t="s">
        <v>513</v>
      </c>
      <c r="C3702" s="4" t="s">
        <v>278</v>
      </c>
      <c r="D3702" s="94">
        <v>2594.0</v>
      </c>
    </row>
    <row r="3703">
      <c r="A3703" s="40">
        <f t="array" ref="A3703">IFNA(index(PlayerValues!A:A,match(IFNA(vlookup(B3703,'Special Names'!A:B,2,FALSE),B3703),PlayerValues!E:E,0)),"N/A")</f>
        <v>13674</v>
      </c>
      <c r="B3703" s="4" t="s">
        <v>511</v>
      </c>
      <c r="C3703" s="4" t="s">
        <v>298</v>
      </c>
      <c r="D3703" s="94">
        <v>2978.0</v>
      </c>
    </row>
    <row r="3704">
      <c r="A3704" s="40">
        <f t="array" ref="A3704">IFNA(index(PlayerValues!A:A,match(IFNA(vlookup(B3704,'Special Names'!A:B,2,FALSE),B3704),PlayerValues!E:E,0)),"N/A")</f>
        <v>16204</v>
      </c>
      <c r="B3704" s="4" t="s">
        <v>530</v>
      </c>
      <c r="C3704" s="4" t="s">
        <v>287</v>
      </c>
      <c r="D3704" s="94">
        <v>2541.0</v>
      </c>
    </row>
    <row r="3705">
      <c r="A3705" s="40">
        <f t="array" ref="A3705">IFNA(index(PlayerValues!A:A,match(IFNA(vlookup(B3705,'Special Names'!A:B,2,FALSE),B3705),PlayerValues!E:E,0)),"N/A")</f>
        <v>17478</v>
      </c>
      <c r="B3705" s="4" t="s">
        <v>527</v>
      </c>
      <c r="C3705" s="4" t="s">
        <v>278</v>
      </c>
      <c r="D3705" s="94">
        <v>2528.0</v>
      </c>
    </row>
    <row r="3706">
      <c r="A3706" s="40">
        <f t="array" ref="A3706">IFNA(index(PlayerValues!A:A,match(IFNA(vlookup(B3706,'Special Names'!A:B,2,FALSE),B3706),PlayerValues!E:E,0)),"N/A")</f>
        <v>17108</v>
      </c>
      <c r="B3706" s="4" t="s">
        <v>542</v>
      </c>
      <c r="C3706" s="4" t="s">
        <v>298</v>
      </c>
      <c r="D3706" s="94">
        <v>2925.0</v>
      </c>
    </row>
    <row r="3707">
      <c r="A3707" s="40">
        <f t="array" ref="A3707">IFNA(index(PlayerValues!A:A,match(IFNA(vlookup(B3707,'Special Names'!A:B,2,FALSE),B3707),PlayerValues!E:E,0)),"N/A")</f>
        <v>17078</v>
      </c>
      <c r="B3707" s="4" t="s">
        <v>543</v>
      </c>
      <c r="C3707" s="4" t="s">
        <v>287</v>
      </c>
      <c r="D3707" s="94">
        <v>2518.0</v>
      </c>
    </row>
    <row r="3708">
      <c r="A3708" s="40">
        <f t="array" ref="A3708">IFNA(index(PlayerValues!A:A,match(IFNA(vlookup(B3708,'Special Names'!A:B,2,FALSE),B3708),PlayerValues!E:E,0)),"N/A")</f>
        <v>17082</v>
      </c>
      <c r="B3708" s="4" t="s">
        <v>498</v>
      </c>
      <c r="C3708" s="4" t="s">
        <v>287</v>
      </c>
      <c r="D3708" s="94">
        <v>2516.0</v>
      </c>
    </row>
    <row r="3709">
      <c r="A3709" s="40">
        <f t="array" ref="A3709">IFNA(index(PlayerValues!A:A,match(IFNA(vlookup(B3709,'Special Names'!A:B,2,FALSE),B3709),PlayerValues!E:E,0)),"N/A")</f>
        <v>17508</v>
      </c>
      <c r="B3709" s="4" t="s">
        <v>534</v>
      </c>
      <c r="C3709" s="4" t="s">
        <v>287</v>
      </c>
      <c r="D3709" s="94">
        <v>2506.0</v>
      </c>
    </row>
    <row r="3710">
      <c r="A3710" s="40">
        <f t="array" ref="A3710">IFNA(index(PlayerValues!A:A,match(IFNA(vlookup(B3710,'Special Names'!A:B,2,FALSE),B3710),PlayerValues!E:E,0)),"N/A")</f>
        <v>16617</v>
      </c>
      <c r="B3710" s="4" t="s">
        <v>541</v>
      </c>
      <c r="C3710" s="4" t="s">
        <v>287</v>
      </c>
      <c r="D3710" s="94">
        <v>2490.0</v>
      </c>
    </row>
    <row r="3711">
      <c r="A3711" s="40">
        <f t="array" ref="A3711">IFNA(index(PlayerValues!A:A,match(IFNA(vlookup(B3711,'Special Names'!A:B,2,FALSE),B3711),PlayerValues!E:E,0)),"N/A")</f>
        <v>16684</v>
      </c>
      <c r="B3711" s="4" t="s">
        <v>500</v>
      </c>
      <c r="C3711" s="4" t="s">
        <v>287</v>
      </c>
      <c r="D3711" s="94">
        <v>2490.0</v>
      </c>
    </row>
    <row r="3712">
      <c r="A3712" s="40">
        <f t="array" ref="A3712">IFNA(index(PlayerValues!A:A,match(IFNA(vlookup(B3712,'Special Names'!A:B,2,FALSE),B3712),PlayerValues!E:E,0)),"N/A")</f>
        <v>13192</v>
      </c>
      <c r="B3712" s="4" t="s">
        <v>563</v>
      </c>
      <c r="C3712" s="4" t="s">
        <v>298</v>
      </c>
      <c r="D3712" s="94">
        <v>2864.0</v>
      </c>
    </row>
    <row r="3713">
      <c r="A3713" s="40">
        <f t="array" ref="A3713">IFNA(index(PlayerValues!A:A,match(IFNA(vlookup(B3713,'Special Names'!A:B,2,FALSE),B3713),PlayerValues!E:E,0)),"N/A")</f>
        <v>17171</v>
      </c>
      <c r="B3713" s="4" t="s">
        <v>561</v>
      </c>
      <c r="C3713" s="4" t="s">
        <v>287</v>
      </c>
      <c r="D3713" s="94">
        <v>2451.0</v>
      </c>
    </row>
    <row r="3714">
      <c r="A3714" s="40" t="str">
        <f t="array" ref="A3714">IFNA(index(PlayerValues!A:A,match(IFNA(vlookup(B3714,'Special Names'!A:B,2,FALSE),B3714),PlayerValues!E:E,0)),"N/A")</f>
        <v>N/A</v>
      </c>
      <c r="B3714" s="4" t="s">
        <v>99</v>
      </c>
      <c r="C3714" s="4" t="s">
        <v>325</v>
      </c>
      <c r="D3714" s="94">
        <v>2447.0</v>
      </c>
    </row>
    <row r="3715">
      <c r="A3715" s="40">
        <f t="array" ref="A3715">IFNA(index(PlayerValues!A:A,match(IFNA(vlookup(B3715,'Special Names'!A:B,2,FALSE),B3715),PlayerValues!E:E,0)),"N/A")</f>
        <v>16626</v>
      </c>
      <c r="B3715" s="4" t="s">
        <v>515</v>
      </c>
      <c r="C3715" s="4" t="s">
        <v>287</v>
      </c>
      <c r="D3715" s="94">
        <v>2445.0</v>
      </c>
    </row>
    <row r="3716">
      <c r="A3716" s="40">
        <f t="array" ref="A3716">IFNA(index(PlayerValues!A:A,match(IFNA(vlookup(B3716,'Special Names'!A:B,2,FALSE),B3716),PlayerValues!E:E,0)),"N/A")</f>
        <v>11244</v>
      </c>
      <c r="B3716" s="4" t="s">
        <v>519</v>
      </c>
      <c r="C3716" s="4" t="s">
        <v>298</v>
      </c>
      <c r="D3716" s="94">
        <v>2846.0</v>
      </c>
    </row>
    <row r="3717">
      <c r="A3717" s="40">
        <f t="array" ref="A3717">IFNA(index(PlayerValues!A:A,match(IFNA(vlookup(B3717,'Special Names'!A:B,2,FALSE),B3717),PlayerValues!E:E,0)),"N/A")</f>
        <v>17134</v>
      </c>
      <c r="B3717" s="4" t="s">
        <v>548</v>
      </c>
      <c r="C3717" s="4" t="s">
        <v>287</v>
      </c>
      <c r="D3717" s="94">
        <v>2443.0</v>
      </c>
    </row>
    <row r="3718">
      <c r="A3718" s="40">
        <f t="array" ref="A3718">IFNA(index(PlayerValues!A:A,match(IFNA(vlookup(B3718,'Special Names'!A:B,2,FALSE),B3718),PlayerValues!E:E,0)),"N/A")</f>
        <v>16287</v>
      </c>
      <c r="B3718" s="4" t="s">
        <v>516</v>
      </c>
      <c r="C3718" s="4" t="s">
        <v>287</v>
      </c>
      <c r="D3718" s="94">
        <v>2439.0</v>
      </c>
    </row>
    <row r="3719">
      <c r="A3719" s="40">
        <f t="array" ref="A3719">IFNA(index(PlayerValues!A:A,match(IFNA(vlookup(B3719,'Special Names'!A:B,2,FALSE),B3719),PlayerValues!E:E,0)),"N/A")</f>
        <v>16164</v>
      </c>
      <c r="B3719" s="4" t="s">
        <v>512</v>
      </c>
      <c r="C3719" s="4" t="s">
        <v>278</v>
      </c>
      <c r="D3719" s="94">
        <v>2434.0</v>
      </c>
    </row>
    <row r="3720">
      <c r="A3720" s="40">
        <f t="array" ref="A3720">IFNA(index(PlayerValues!A:A,match(IFNA(vlookup(B3720,'Special Names'!A:B,2,FALSE),B3720),PlayerValues!E:E,0)),"N/A")</f>
        <v>17482</v>
      </c>
      <c r="B3720" s="4" t="s">
        <v>460</v>
      </c>
      <c r="C3720" s="4" t="s">
        <v>278</v>
      </c>
      <c r="D3720" s="94">
        <v>2408.0</v>
      </c>
    </row>
    <row r="3721">
      <c r="A3721" s="40">
        <f t="array" ref="A3721">IFNA(index(PlayerValues!A:A,match(IFNA(vlookup(B3721,'Special Names'!A:B,2,FALSE),B3721),PlayerValues!E:E,0)),"N/A")</f>
        <v>16178</v>
      </c>
      <c r="B3721" s="4" t="s">
        <v>507</v>
      </c>
      <c r="C3721" s="4" t="s">
        <v>278</v>
      </c>
      <c r="D3721" s="94">
        <v>2406.0</v>
      </c>
    </row>
    <row r="3722">
      <c r="A3722" s="40">
        <f t="array" ref="A3722">IFNA(index(PlayerValues!A:A,match(IFNA(vlookup(B3722,'Special Names'!A:B,2,FALSE),B3722),PlayerValues!E:E,0)),"N/A")</f>
        <v>17514</v>
      </c>
      <c r="B3722" s="4" t="s">
        <v>422</v>
      </c>
      <c r="C3722" s="4" t="s">
        <v>287</v>
      </c>
      <c r="D3722" s="94">
        <v>2405.0</v>
      </c>
    </row>
    <row r="3723">
      <c r="A3723" s="40">
        <f t="array" ref="A3723">IFNA(index(PlayerValues!A:A,match(IFNA(vlookup(B3723,'Special Names'!A:B,2,FALSE),B3723),PlayerValues!E:E,0)),"N/A")</f>
        <v>17048</v>
      </c>
      <c r="B3723" s="4" t="s">
        <v>539</v>
      </c>
      <c r="C3723" s="4" t="s">
        <v>278</v>
      </c>
      <c r="D3723" s="94">
        <v>2393.0</v>
      </c>
    </row>
    <row r="3724">
      <c r="A3724" s="40">
        <f t="array" ref="A3724">IFNA(index(PlayerValues!A:A,match(IFNA(vlookup(B3724,'Special Names'!A:B,2,FALSE),B3724),PlayerValues!E:E,0)),"N/A")</f>
        <v>15716</v>
      </c>
      <c r="B3724" s="4" t="s">
        <v>545</v>
      </c>
      <c r="C3724" s="4" t="s">
        <v>278</v>
      </c>
      <c r="D3724" s="94">
        <v>2385.0</v>
      </c>
    </row>
    <row r="3725">
      <c r="A3725" s="40">
        <f t="array" ref="A3725">IFNA(index(PlayerValues!A:A,match(IFNA(vlookup(B3725,'Special Names'!A:B,2,FALSE),B3725),PlayerValues!E:E,0)),"N/A")</f>
        <v>17517</v>
      </c>
      <c r="B3725" s="4" t="s">
        <v>454</v>
      </c>
      <c r="C3725" s="4" t="s">
        <v>287</v>
      </c>
      <c r="D3725" s="94">
        <v>2385.0</v>
      </c>
    </row>
    <row r="3726">
      <c r="A3726" s="40">
        <f t="array" ref="A3726">IFNA(index(PlayerValues!A:A,match(IFNA(vlookup(B3726,'Special Names'!A:B,2,FALSE),B3726),PlayerValues!E:E,0)),"N/A")</f>
        <v>16195</v>
      </c>
      <c r="B3726" s="4" t="s">
        <v>509</v>
      </c>
      <c r="C3726" s="4" t="s">
        <v>287</v>
      </c>
      <c r="D3726" s="94">
        <v>2381.0</v>
      </c>
    </row>
    <row r="3727">
      <c r="A3727" s="40">
        <f t="array" ref="A3727">IFNA(index(PlayerValues!A:A,match(IFNA(vlookup(B3727,'Special Names'!A:B,2,FALSE),B3727),PlayerValues!E:E,0)),"N/A")</f>
        <v>15786</v>
      </c>
      <c r="B3727" s="4" t="s">
        <v>521</v>
      </c>
      <c r="C3727" s="4" t="s">
        <v>287</v>
      </c>
      <c r="D3727" s="94">
        <v>2372.0</v>
      </c>
    </row>
    <row r="3728">
      <c r="A3728" s="40">
        <f t="array" ref="A3728">IFNA(index(PlayerValues!A:A,match(IFNA(vlookup(B3728,'Special Names'!A:B,2,FALSE),B3728),PlayerValues!E:E,0)),"N/A")</f>
        <v>17106</v>
      </c>
      <c r="B3728" s="4" t="s">
        <v>550</v>
      </c>
      <c r="C3728" s="4" t="s">
        <v>298</v>
      </c>
      <c r="D3728" s="94">
        <v>2754.0</v>
      </c>
    </row>
    <row r="3729">
      <c r="A3729" s="40">
        <f t="array" ref="A3729">IFNA(index(PlayerValues!A:A,match(IFNA(vlookup(B3729,'Special Names'!A:B,2,FALSE),B3729),PlayerValues!E:E,0)),"N/A")</f>
        <v>15749</v>
      </c>
      <c r="B3729" s="4" t="s">
        <v>574</v>
      </c>
      <c r="C3729" s="4" t="s">
        <v>278</v>
      </c>
      <c r="D3729" s="94">
        <v>2353.0</v>
      </c>
    </row>
    <row r="3730">
      <c r="A3730" s="40">
        <f t="array" ref="A3730">IFNA(index(PlayerValues!A:A,match(IFNA(vlookup(B3730,'Special Names'!A:B,2,FALSE),B3730),PlayerValues!E:E,0)),"N/A")</f>
        <v>15802</v>
      </c>
      <c r="B3730" s="4" t="s">
        <v>566</v>
      </c>
      <c r="C3730" s="4" t="s">
        <v>298</v>
      </c>
      <c r="D3730" s="94">
        <v>2739.0</v>
      </c>
    </row>
    <row r="3731">
      <c r="A3731" s="40">
        <f t="array" ref="A3731">IFNA(index(PlayerValues!A:A,match(IFNA(vlookup(B3731,'Special Names'!A:B,2,FALSE),B3731),PlayerValues!E:E,0)),"N/A")</f>
        <v>14861</v>
      </c>
      <c r="B3731" s="4" t="s">
        <v>523</v>
      </c>
      <c r="C3731" s="4" t="s">
        <v>298</v>
      </c>
      <c r="D3731" s="94">
        <v>2734.0</v>
      </c>
    </row>
    <row r="3732">
      <c r="A3732" s="40" t="str">
        <f t="array" ref="A3732">IFNA(index(PlayerValues!A:A,match(IFNA(vlookup(B3732,'Special Names'!A:B,2,FALSE),B3732),PlayerValues!E:E,0)),"N/A")</f>
        <v>N/A</v>
      </c>
      <c r="B3732" s="4" t="s">
        <v>557</v>
      </c>
      <c r="C3732" s="4" t="s">
        <v>278</v>
      </c>
      <c r="D3732" s="94">
        <v>2334.0</v>
      </c>
    </row>
    <row r="3733">
      <c r="A3733" s="40">
        <f t="array" ref="A3733">IFNA(index(PlayerValues!A:A,match(IFNA(vlookup(B3733,'Special Names'!A:B,2,FALSE),B3733),PlayerValues!E:E,0)),"N/A")</f>
        <v>14840</v>
      </c>
      <c r="B3733" s="4" t="s">
        <v>731</v>
      </c>
      <c r="C3733" s="4" t="s">
        <v>287</v>
      </c>
      <c r="D3733" s="94">
        <v>2308.0</v>
      </c>
    </row>
    <row r="3734">
      <c r="A3734" s="40">
        <f t="array" ref="A3734">IFNA(index(PlayerValues!A:A,match(IFNA(vlookup(B3734,'Special Names'!A:B,2,FALSE),B3734),PlayerValues!E:E,0)),"N/A")</f>
        <v>16036</v>
      </c>
      <c r="B3734" s="4" t="s">
        <v>592</v>
      </c>
      <c r="C3734" s="4" t="s">
        <v>298</v>
      </c>
      <c r="D3734" s="94">
        <v>2688.0</v>
      </c>
    </row>
    <row r="3735">
      <c r="A3735" s="40">
        <f t="array" ref="A3735">IFNA(index(PlayerValues!A:A,match(IFNA(vlookup(B3735,'Special Names'!A:B,2,FALSE),B3735),PlayerValues!E:E,0)),"N/A")</f>
        <v>16152</v>
      </c>
      <c r="B3735" s="4" t="s">
        <v>601</v>
      </c>
      <c r="C3735" s="4" t="s">
        <v>283</v>
      </c>
      <c r="D3735" s="94">
        <v>2283.0</v>
      </c>
    </row>
    <row r="3736">
      <c r="A3736" s="40">
        <f t="array" ref="A3736">IFNA(index(PlayerValues!A:A,match(IFNA(vlookup(B3736,'Special Names'!A:B,2,FALSE),B3736),PlayerValues!E:E,0)),"N/A")</f>
        <v>16594</v>
      </c>
      <c r="B3736" s="4" t="s">
        <v>607</v>
      </c>
      <c r="C3736" s="4" t="s">
        <v>278</v>
      </c>
      <c r="D3736" s="94">
        <v>2273.0</v>
      </c>
    </row>
    <row r="3737">
      <c r="A3737" s="40">
        <f t="array" ref="A3737">IFNA(index(PlayerValues!A:A,match(IFNA(vlookup(B3737,'Special Names'!A:B,2,FALSE),B3737),PlayerValues!E:E,0)),"N/A")</f>
        <v>17547</v>
      </c>
      <c r="B3737" s="4" t="s">
        <v>552</v>
      </c>
      <c r="C3737" s="4" t="s">
        <v>298</v>
      </c>
      <c r="D3737" s="94">
        <v>2661.0</v>
      </c>
    </row>
    <row r="3738">
      <c r="A3738" s="40">
        <f t="array" ref="A3738">IFNA(index(PlayerValues!A:A,match(IFNA(vlookup(B3738,'Special Names'!A:B,2,FALSE),B3738),PlayerValues!E:E,0)),"N/A")</f>
        <v>17520</v>
      </c>
      <c r="B3738" s="4" t="s">
        <v>518</v>
      </c>
      <c r="C3738" s="4" t="s">
        <v>287</v>
      </c>
      <c r="D3738" s="94">
        <v>2253.0</v>
      </c>
    </row>
    <row r="3739">
      <c r="A3739" s="40" t="str">
        <f t="array" ref="A3739">IFNA(index(PlayerValues!A:A,match(IFNA(vlookup(B3739,'Special Names'!A:B,2,FALSE),B3739),PlayerValues!E:E,0)),"N/A")</f>
        <v>N/A</v>
      </c>
      <c r="B3739" s="4" t="s">
        <v>86</v>
      </c>
      <c r="C3739" s="4" t="s">
        <v>325</v>
      </c>
      <c r="D3739" s="94">
        <v>2252.0</v>
      </c>
    </row>
    <row r="3740">
      <c r="A3740" s="40">
        <f t="array" ref="A3740">IFNA(index(PlayerValues!A:A,match(IFNA(vlookup(B3740,'Special Names'!A:B,2,FALSE),B3740),PlayerValues!E:E,0)),"N/A")</f>
        <v>17033</v>
      </c>
      <c r="B3740" s="4" t="s">
        <v>570</v>
      </c>
      <c r="C3740" s="4" t="s">
        <v>283</v>
      </c>
      <c r="D3740" s="94">
        <v>2249.0</v>
      </c>
    </row>
    <row r="3741">
      <c r="A3741" s="40">
        <f t="array" ref="A3741">IFNA(index(PlayerValues!A:A,match(IFNA(vlookup(B3741,'Special Names'!A:B,2,FALSE),B3741),PlayerValues!E:E,0)),"N/A")</f>
        <v>12676</v>
      </c>
      <c r="B3741" s="4" t="s">
        <v>537</v>
      </c>
      <c r="C3741" s="4" t="s">
        <v>298</v>
      </c>
      <c r="D3741" s="94">
        <v>2634.0</v>
      </c>
    </row>
    <row r="3742">
      <c r="A3742" s="40">
        <f t="array" ref="A3742">IFNA(index(PlayerValues!A:A,match(IFNA(vlookup(B3742,'Special Names'!A:B,2,FALSE),B3742),PlayerValues!E:E,0)),"N/A")</f>
        <v>13772</v>
      </c>
      <c r="B3742" s="4" t="s">
        <v>544</v>
      </c>
      <c r="C3742" s="4" t="s">
        <v>298</v>
      </c>
      <c r="D3742" s="94">
        <v>2634.0</v>
      </c>
    </row>
    <row r="3743">
      <c r="A3743" s="40">
        <f t="array" ref="A3743">IFNA(index(PlayerValues!A:A,match(IFNA(vlookup(B3743,'Special Names'!A:B,2,FALSE),B3743),PlayerValues!E:E,0)),"N/A")</f>
        <v>11150</v>
      </c>
      <c r="B3743" s="4" t="s">
        <v>559</v>
      </c>
      <c r="C3743" s="4" t="s">
        <v>283</v>
      </c>
      <c r="D3743" s="94">
        <v>2239.0</v>
      </c>
    </row>
    <row r="3744">
      <c r="A3744" s="40">
        <f t="array" ref="A3744">IFNA(index(PlayerValues!A:A,match(IFNA(vlookup(B3744,'Special Names'!A:B,2,FALSE),B3744),PlayerValues!E:E,0)),"N/A")</f>
        <v>15331</v>
      </c>
      <c r="B3744" s="4" t="s">
        <v>560</v>
      </c>
      <c r="C3744" s="4" t="s">
        <v>298</v>
      </c>
      <c r="D3744" s="94">
        <v>2634.0</v>
      </c>
    </row>
    <row r="3745">
      <c r="A3745" s="40">
        <f t="array" ref="A3745">IFNA(index(PlayerValues!A:A,match(IFNA(vlookup(B3745,'Special Names'!A:B,2,FALSE),B3745),PlayerValues!E:E,0)),"N/A")</f>
        <v>16610</v>
      </c>
      <c r="B3745" s="4" t="s">
        <v>562</v>
      </c>
      <c r="C3745" s="4" t="s">
        <v>278</v>
      </c>
      <c r="D3745" s="94">
        <v>2238.0</v>
      </c>
    </row>
    <row r="3746">
      <c r="A3746" s="40" t="str">
        <f t="array" ref="A3746">IFNA(index(PlayerValues!A:A,match(IFNA(vlookup(B3746,'Special Names'!A:B,2,FALSE),B3746),PlayerValues!E:E,0)),"N/A")</f>
        <v>N/A</v>
      </c>
      <c r="B3746" s="4" t="s">
        <v>100</v>
      </c>
      <c r="C3746" s="4" t="s">
        <v>325</v>
      </c>
      <c r="D3746" s="94">
        <v>2234.0</v>
      </c>
    </row>
    <row r="3747">
      <c r="A3747" s="40">
        <f t="array" ref="A3747">IFNA(index(PlayerValues!A:A,match(IFNA(vlookup(B3747,'Special Names'!A:B,2,FALSE),B3747),PlayerValues!E:E,0)),"N/A")</f>
        <v>16649</v>
      </c>
      <c r="B3747" s="4" t="s">
        <v>586</v>
      </c>
      <c r="C3747" s="4" t="s">
        <v>298</v>
      </c>
      <c r="D3747" s="94">
        <v>2624.0</v>
      </c>
    </row>
    <row r="3748">
      <c r="A3748" s="40">
        <f t="array" ref="A3748">IFNA(index(PlayerValues!A:A,match(IFNA(vlookup(B3748,'Special Names'!A:B,2,FALSE),B3748),PlayerValues!E:E,0)),"N/A")</f>
        <v>13319</v>
      </c>
      <c r="B3748" s="4" t="s">
        <v>549</v>
      </c>
      <c r="C3748" s="4" t="s">
        <v>278</v>
      </c>
      <c r="D3748" s="94">
        <v>2217.0</v>
      </c>
    </row>
    <row r="3749">
      <c r="A3749" s="40">
        <f t="array" ref="A3749">IFNA(index(PlayerValues!A:A,match(IFNA(vlookup(B3749,'Special Names'!A:B,2,FALSE),B3749),PlayerValues!E:E,0)),"N/A")</f>
        <v>16757</v>
      </c>
      <c r="B3749" s="4" t="s">
        <v>558</v>
      </c>
      <c r="C3749" s="4" t="s">
        <v>278</v>
      </c>
      <c r="D3749" s="94">
        <v>2179.0</v>
      </c>
    </row>
    <row r="3750">
      <c r="A3750" s="40" t="str">
        <f t="array" ref="A3750">IFNA(index(PlayerValues!A:A,match(IFNA(vlookup(B3750,'Special Names'!A:B,2,FALSE),B3750),PlayerValues!E:E,0)),"N/A")</f>
        <v>N/A</v>
      </c>
      <c r="B3750" s="4" t="s">
        <v>112</v>
      </c>
      <c r="C3750" s="4" t="s">
        <v>325</v>
      </c>
      <c r="D3750" s="94">
        <v>2176.0</v>
      </c>
    </row>
    <row r="3751">
      <c r="A3751" s="40">
        <f t="array" ref="A3751">IFNA(index(PlayerValues!A:A,match(IFNA(vlookup(B3751,'Special Names'!A:B,2,FALSE),B3751),PlayerValues!E:E,0)),"N/A")</f>
        <v>12186</v>
      </c>
      <c r="B3751" s="4" t="s">
        <v>497</v>
      </c>
      <c r="C3751" s="4" t="s">
        <v>287</v>
      </c>
      <c r="D3751" s="94">
        <v>2172.0</v>
      </c>
    </row>
    <row r="3752">
      <c r="A3752" s="40">
        <f t="array" ref="A3752">IFNA(index(PlayerValues!A:A,match(IFNA(vlookup(B3752,'Special Names'!A:B,2,FALSE),B3752),PlayerValues!E:E,0)),"N/A")</f>
        <v>16166</v>
      </c>
      <c r="B3752" s="4" t="s">
        <v>567</v>
      </c>
      <c r="C3752" s="4" t="s">
        <v>278</v>
      </c>
      <c r="D3752" s="94">
        <v>2163.0</v>
      </c>
    </row>
    <row r="3753">
      <c r="A3753" s="40">
        <f t="array" ref="A3753">IFNA(index(PlayerValues!A:A,match(IFNA(vlookup(B3753,'Special Names'!A:B,2,FALSE),B3753),PlayerValues!E:E,0)),"N/A")</f>
        <v>14136</v>
      </c>
      <c r="B3753" s="4" t="s">
        <v>536</v>
      </c>
      <c r="C3753" s="4" t="s">
        <v>287</v>
      </c>
      <c r="D3753" s="94">
        <v>2154.0</v>
      </c>
    </row>
    <row r="3754">
      <c r="A3754" s="40" t="str">
        <f t="array" ref="A3754">IFNA(index(PlayerValues!A:A,match(IFNA(vlookup(B3754,'Special Names'!A:B,2,FALSE),B3754),PlayerValues!E:E,0)),"N/A")</f>
        <v>N/A</v>
      </c>
      <c r="B3754" s="4" t="s">
        <v>87</v>
      </c>
      <c r="C3754" s="4" t="s">
        <v>325</v>
      </c>
      <c r="D3754" s="94">
        <v>2146.0</v>
      </c>
    </row>
    <row r="3755">
      <c r="A3755" s="40">
        <f t="array" ref="A3755">IFNA(index(PlayerValues!A:A,match(IFNA(vlookup(B3755,'Special Names'!A:B,2,FALSE),B3755),PlayerValues!E:E,0)),"N/A")</f>
        <v>17079</v>
      </c>
      <c r="B3755" s="4" t="s">
        <v>572</v>
      </c>
      <c r="C3755" s="4" t="s">
        <v>287</v>
      </c>
      <c r="D3755" s="94">
        <v>2140.0</v>
      </c>
    </row>
    <row r="3756">
      <c r="A3756" s="40">
        <f t="array" ref="A3756">IFNA(index(PlayerValues!A:A,match(IFNA(vlookup(B3756,'Special Names'!A:B,2,FALSE),B3756),PlayerValues!E:E,0)),"N/A")</f>
        <v>13113</v>
      </c>
      <c r="B3756" s="4" t="s">
        <v>606</v>
      </c>
      <c r="C3756" s="4" t="s">
        <v>283</v>
      </c>
      <c r="D3756" s="94">
        <v>2134.0</v>
      </c>
    </row>
    <row r="3757">
      <c r="A3757" s="40">
        <f t="array" ref="A3757">IFNA(index(PlayerValues!A:A,match(IFNA(vlookup(B3757,'Special Names'!A:B,2,FALSE),B3757),PlayerValues!E:E,0)),"N/A")</f>
        <v>17055</v>
      </c>
      <c r="B3757" s="4" t="s">
        <v>565</v>
      </c>
      <c r="C3757" s="4" t="s">
        <v>278</v>
      </c>
      <c r="D3757" s="94">
        <v>2122.0</v>
      </c>
    </row>
    <row r="3758">
      <c r="A3758" s="40">
        <f t="array" ref="A3758">IFNA(index(PlayerValues!A:A,match(IFNA(vlookup(B3758,'Special Names'!A:B,2,FALSE),B3758),PlayerValues!E:E,0)),"N/A")</f>
        <v>16212</v>
      </c>
      <c r="B3758" s="4" t="s">
        <v>568</v>
      </c>
      <c r="C3758" s="4" t="s">
        <v>298</v>
      </c>
      <c r="D3758" s="94">
        <v>2494.0</v>
      </c>
    </row>
    <row r="3759">
      <c r="A3759" s="40" t="str">
        <f t="array" ref="A3759">IFNA(index(PlayerValues!A:A,match(IFNA(vlookup(B3759,'Special Names'!A:B,2,FALSE),B3759),PlayerValues!E:E,0)),"N/A")</f>
        <v>N/A</v>
      </c>
      <c r="B3759" s="4" t="s">
        <v>113</v>
      </c>
      <c r="C3759" s="4" t="s">
        <v>325</v>
      </c>
      <c r="D3759" s="94">
        <v>2101.0</v>
      </c>
    </row>
    <row r="3760">
      <c r="A3760" s="40">
        <f t="array" ref="A3760">IFNA(index(PlayerValues!A:A,match(IFNA(vlookup(B3760,'Special Names'!A:B,2,FALSE),B3760),PlayerValues!E:E,0)),"N/A")</f>
        <v>16189</v>
      </c>
      <c r="B3760" s="4" t="s">
        <v>582</v>
      </c>
      <c r="C3760" s="4" t="s">
        <v>287</v>
      </c>
      <c r="D3760" s="94">
        <v>2097.0</v>
      </c>
    </row>
    <row r="3761">
      <c r="A3761" s="40">
        <f t="array" ref="A3761">IFNA(index(PlayerValues!A:A,match(IFNA(vlookup(B3761,'Special Names'!A:B,2,FALSE),B3761),PlayerValues!E:E,0)),"N/A")</f>
        <v>14974</v>
      </c>
      <c r="B3761" s="4" t="s">
        <v>611</v>
      </c>
      <c r="C3761" s="4" t="s">
        <v>287</v>
      </c>
      <c r="D3761" s="94">
        <v>2091.0</v>
      </c>
    </row>
    <row r="3762">
      <c r="A3762" s="40">
        <f t="array" ref="A3762">IFNA(index(PlayerValues!A:A,match(IFNA(vlookup(B3762,'Special Names'!A:B,2,FALSE),B3762),PlayerValues!E:E,0)),"N/A")</f>
        <v>17046</v>
      </c>
      <c r="B3762" s="4" t="s">
        <v>602</v>
      </c>
      <c r="C3762" s="4" t="s">
        <v>278</v>
      </c>
      <c r="D3762" s="94">
        <v>2089.0</v>
      </c>
    </row>
    <row r="3763">
      <c r="A3763" s="40" t="str">
        <f t="array" ref="A3763">IFNA(index(PlayerValues!A:A,match(IFNA(vlookup(B3763,'Special Names'!A:B,2,FALSE),B3763),PlayerValues!E:E,0)),"N/A")</f>
        <v>N/A</v>
      </c>
      <c r="B3763" s="4" t="s">
        <v>88</v>
      </c>
      <c r="C3763" s="4" t="s">
        <v>325</v>
      </c>
      <c r="D3763" s="94">
        <v>2083.0</v>
      </c>
    </row>
    <row r="3764">
      <c r="A3764" s="40">
        <f t="array" ref="A3764">IFNA(index(PlayerValues!A:A,match(IFNA(vlookup(B3764,'Special Names'!A:B,2,FALSE),B3764),PlayerValues!E:E,0)),"N/A")</f>
        <v>13132</v>
      </c>
      <c r="B3764" s="4" t="s">
        <v>598</v>
      </c>
      <c r="C3764" s="4" t="s">
        <v>278</v>
      </c>
      <c r="D3764" s="94">
        <v>2079.0</v>
      </c>
    </row>
    <row r="3765">
      <c r="A3765" s="40">
        <f t="array" ref="A3765">IFNA(index(PlayerValues!A:A,match(IFNA(vlookup(B3765,'Special Names'!A:B,2,FALSE),B3765),PlayerValues!E:E,0)),"N/A")</f>
        <v>16432</v>
      </c>
      <c r="B3765" s="4" t="s">
        <v>620</v>
      </c>
      <c r="C3765" s="4" t="s">
        <v>278</v>
      </c>
      <c r="D3765" s="94">
        <v>2074.0</v>
      </c>
    </row>
    <row r="3766">
      <c r="A3766" s="40">
        <f t="array" ref="A3766">IFNA(index(PlayerValues!A:A,match(IFNA(vlookup(B3766,'Special Names'!A:B,2,FALSE),B3766),PlayerValues!E:E,0)),"N/A")</f>
        <v>17056</v>
      </c>
      <c r="B3766" s="4" t="s">
        <v>581</v>
      </c>
      <c r="C3766" s="4" t="s">
        <v>278</v>
      </c>
      <c r="D3766" s="94">
        <v>2072.0</v>
      </c>
    </row>
    <row r="3767">
      <c r="A3767" s="40">
        <f t="array" ref="A3767">IFNA(index(PlayerValues!A:A,match(IFNA(vlookup(B3767,'Special Names'!A:B,2,FALSE),B3767),PlayerValues!E:E,0)),"N/A")</f>
        <v>15238</v>
      </c>
      <c r="B3767" s="4" t="s">
        <v>613</v>
      </c>
      <c r="C3767" s="4" t="s">
        <v>283</v>
      </c>
      <c r="D3767" s="94">
        <v>2070.0</v>
      </c>
    </row>
    <row r="3768">
      <c r="A3768" s="40">
        <f t="array" ref="A3768">IFNA(index(PlayerValues!A:A,match(IFNA(vlookup(B3768,'Special Names'!A:B,2,FALSE),B3768),PlayerValues!E:E,0)),"N/A")</f>
        <v>16643</v>
      </c>
      <c r="B3768" s="4" t="s">
        <v>609</v>
      </c>
      <c r="C3768" s="4" t="s">
        <v>298</v>
      </c>
      <c r="D3768" s="94">
        <v>2454.0</v>
      </c>
    </row>
    <row r="3769">
      <c r="A3769" s="40">
        <f t="array" ref="A3769">IFNA(index(PlayerValues!A:A,match(IFNA(vlookup(B3769,'Special Names'!A:B,2,FALSE),B3769),PlayerValues!E:E,0)),"N/A")</f>
        <v>15293</v>
      </c>
      <c r="B3769" s="4" t="s">
        <v>578</v>
      </c>
      <c r="C3769" s="4" t="s">
        <v>287</v>
      </c>
      <c r="D3769" s="94">
        <v>2062.0</v>
      </c>
    </row>
    <row r="3770">
      <c r="A3770" s="40">
        <f t="array" ref="A3770">IFNA(index(PlayerValues!A:A,match(IFNA(vlookup(B3770,'Special Names'!A:B,2,FALSE),B3770),PlayerValues!E:E,0)),"N/A")</f>
        <v>17060</v>
      </c>
      <c r="B3770" s="4" t="s">
        <v>603</v>
      </c>
      <c r="C3770" s="4" t="s">
        <v>278</v>
      </c>
      <c r="D3770" s="94">
        <v>2046.0</v>
      </c>
    </row>
    <row r="3771">
      <c r="A3771" s="40">
        <f t="array" ref="A3771">IFNA(index(PlayerValues!A:A,match(IFNA(vlookup(B3771,'Special Names'!A:B,2,FALSE),B3771),PlayerValues!E:E,0)),"N/A")</f>
        <v>17069</v>
      </c>
      <c r="B3771" s="4" t="s">
        <v>604</v>
      </c>
      <c r="C3771" s="4" t="s">
        <v>278</v>
      </c>
      <c r="D3771" s="94">
        <v>2038.0</v>
      </c>
    </row>
    <row r="3772">
      <c r="A3772" s="40">
        <f t="array" ref="A3772">IFNA(index(PlayerValues!A:A,match(IFNA(vlookup(B3772,'Special Names'!A:B,2,FALSE),B3772),PlayerValues!E:E,0)),"N/A")</f>
        <v>17061</v>
      </c>
      <c r="B3772" s="4" t="s">
        <v>580</v>
      </c>
      <c r="C3772" s="4" t="s">
        <v>278</v>
      </c>
      <c r="D3772" s="94">
        <v>2033.0</v>
      </c>
    </row>
    <row r="3773">
      <c r="A3773" s="40">
        <f t="array" ref="A3773">IFNA(index(PlayerValues!A:A,match(IFNA(vlookup(B3773,'Special Names'!A:B,2,FALSE),B3773),PlayerValues!E:E,0)),"N/A")</f>
        <v>12801</v>
      </c>
      <c r="B3773" s="4" t="s">
        <v>722</v>
      </c>
      <c r="C3773" s="4" t="s">
        <v>287</v>
      </c>
      <c r="D3773" s="94">
        <v>2025.0</v>
      </c>
    </row>
    <row r="3774">
      <c r="A3774" s="40">
        <f t="array" ref="A3774">IFNA(index(PlayerValues!A:A,match(IFNA(vlookup(B3774,'Special Names'!A:B,2,FALSE),B3774),PlayerValues!E:E,0)),"N/A")</f>
        <v>16342</v>
      </c>
      <c r="B3774" s="4" t="s">
        <v>583</v>
      </c>
      <c r="C3774" s="4" t="s">
        <v>287</v>
      </c>
      <c r="D3774" s="94">
        <v>2018.0</v>
      </c>
    </row>
    <row r="3775">
      <c r="A3775" s="40">
        <f t="array" ref="A3775">IFNA(index(PlayerValues!A:A,match(IFNA(vlookup(B3775,'Special Names'!A:B,2,FALSE),B3775),PlayerValues!E:E,0)),"N/A")</f>
        <v>17087</v>
      </c>
      <c r="B3775" s="4" t="s">
        <v>600</v>
      </c>
      <c r="C3775" s="4" t="s">
        <v>287</v>
      </c>
      <c r="D3775" s="94">
        <v>2016.0</v>
      </c>
    </row>
    <row r="3776">
      <c r="A3776" s="40">
        <f t="array" ref="A3776">IFNA(index(PlayerValues!A:A,match(IFNA(vlookup(B3776,'Special Names'!A:B,2,FALSE),B3776),PlayerValues!E:E,0)),"N/A")</f>
        <v>17076</v>
      </c>
      <c r="B3776" s="4" t="s">
        <v>585</v>
      </c>
      <c r="C3776" s="4" t="s">
        <v>287</v>
      </c>
      <c r="D3776" s="94">
        <v>2004.0</v>
      </c>
    </row>
    <row r="3777">
      <c r="A3777" s="40" t="str">
        <f t="array" ref="A3777">IFNA(index(PlayerValues!A:A,match(IFNA(vlookup(B3777,'Special Names'!A:B,2,FALSE),B3777),PlayerValues!E:E,0)),"N/A")</f>
        <v>N/A</v>
      </c>
      <c r="B3777" s="4" t="s">
        <v>114</v>
      </c>
      <c r="C3777" s="4" t="s">
        <v>325</v>
      </c>
      <c r="D3777" s="94">
        <v>1992.0</v>
      </c>
    </row>
    <row r="3778">
      <c r="A3778" s="40">
        <f t="array" ref="A3778">IFNA(index(PlayerValues!A:A,match(IFNA(vlookup(B3778,'Special Names'!A:B,2,FALSE),B3778),PlayerValues!E:E,0)),"N/A")</f>
        <v>13633</v>
      </c>
      <c r="B3778" s="4" t="s">
        <v>625</v>
      </c>
      <c r="C3778" s="4" t="s">
        <v>287</v>
      </c>
      <c r="D3778" s="94">
        <v>1987.0</v>
      </c>
    </row>
    <row r="3779">
      <c r="A3779" s="40">
        <f t="array" ref="A3779">IFNA(index(PlayerValues!A:A,match(IFNA(vlookup(B3779,'Special Names'!A:B,2,FALSE),B3779),PlayerValues!E:E,0)),"N/A")</f>
        <v>10700</v>
      </c>
      <c r="B3779" s="4" t="s">
        <v>596</v>
      </c>
      <c r="C3779" s="4" t="s">
        <v>283</v>
      </c>
      <c r="D3779" s="94">
        <v>1978.0</v>
      </c>
    </row>
    <row r="3780">
      <c r="A3780" s="40">
        <f t="array" ref="A3780">IFNA(index(PlayerValues!A:A,match(IFNA(vlookup(B3780,'Special Names'!A:B,2,FALSE),B3780),PlayerValues!E:E,0)),"N/A")</f>
        <v>16603</v>
      </c>
      <c r="B3780" s="4" t="s">
        <v>587</v>
      </c>
      <c r="C3780" s="4" t="s">
        <v>278</v>
      </c>
      <c r="D3780" s="94">
        <v>1974.0</v>
      </c>
    </row>
    <row r="3781">
      <c r="A3781" s="40">
        <f t="array" ref="A3781">IFNA(index(PlayerValues!A:A,match(IFNA(vlookup(B3781,'Special Names'!A:B,2,FALSE),B3781),PlayerValues!E:E,0)),"N/A")</f>
        <v>14867</v>
      </c>
      <c r="B3781" s="4" t="s">
        <v>591</v>
      </c>
      <c r="C3781" s="4" t="s">
        <v>298</v>
      </c>
      <c r="D3781" s="94">
        <v>2361.0</v>
      </c>
    </row>
    <row r="3782">
      <c r="A3782" s="40">
        <f t="array" ref="A3782">IFNA(index(PlayerValues!A:A,match(IFNA(vlookup(B3782,'Special Names'!A:B,2,FALSE),B3782),PlayerValues!E:E,0)),"N/A")</f>
        <v>17036</v>
      </c>
      <c r="B3782" s="4" t="s">
        <v>617</v>
      </c>
      <c r="C3782" s="4" t="s">
        <v>283</v>
      </c>
      <c r="D3782" s="94">
        <v>1970.0</v>
      </c>
    </row>
    <row r="3783">
      <c r="A3783" s="40">
        <f t="array" ref="A3783">IFNA(index(PlayerValues!A:A,match(IFNA(vlookup(B3783,'Special Names'!A:B,2,FALSE),B3783),PlayerValues!E:E,0)),"N/A")</f>
        <v>17184</v>
      </c>
      <c r="B3783" s="4" t="s">
        <v>588</v>
      </c>
      <c r="C3783" s="4" t="s">
        <v>287</v>
      </c>
      <c r="D3783" s="94">
        <v>1953.0</v>
      </c>
    </row>
    <row r="3784">
      <c r="A3784" s="40">
        <f t="array" ref="A3784">IFNA(index(PlayerValues!A:A,match(IFNA(vlookup(B3784,'Special Names'!A:B,2,FALSE),B3784),PlayerValues!E:E,0)),"N/A")</f>
        <v>16639</v>
      </c>
      <c r="B3784" s="4" t="s">
        <v>599</v>
      </c>
      <c r="C3784" s="4" t="s">
        <v>287</v>
      </c>
      <c r="D3784" s="94">
        <v>1944.0</v>
      </c>
    </row>
    <row r="3785">
      <c r="A3785" s="40">
        <f t="array" ref="A3785">IFNA(index(PlayerValues!A:A,match(IFNA(vlookup(B3785,'Special Names'!A:B,2,FALSE),B3785),PlayerValues!E:E,0)),"N/A")</f>
        <v>16604</v>
      </c>
      <c r="B3785" s="4" t="s">
        <v>476</v>
      </c>
      <c r="C3785" s="4" t="s">
        <v>278</v>
      </c>
      <c r="D3785" s="94">
        <v>1935.0</v>
      </c>
    </row>
    <row r="3786">
      <c r="A3786" s="40" t="str">
        <f t="array" ref="A3786">IFNA(index(PlayerValues!A:A,match(IFNA(vlookup(B3786,'Special Names'!A:B,2,FALSE),B3786),PlayerValues!E:E,0)),"N/A")</f>
        <v>N/A</v>
      </c>
      <c r="B3786" s="4" t="s">
        <v>101</v>
      </c>
      <c r="C3786" s="4" t="s">
        <v>325</v>
      </c>
      <c r="D3786" s="94">
        <v>1920.0</v>
      </c>
    </row>
    <row r="3787">
      <c r="A3787" s="40">
        <f t="array" ref="A3787">IFNA(index(PlayerValues!A:A,match(IFNA(vlookup(B3787,'Special Names'!A:B,2,FALSE),B3787),PlayerValues!E:E,0)),"N/A")</f>
        <v>7836</v>
      </c>
      <c r="B3787" s="4" t="s">
        <v>590</v>
      </c>
      <c r="C3787" s="4" t="s">
        <v>283</v>
      </c>
      <c r="D3787" s="94">
        <v>1889.0</v>
      </c>
    </row>
    <row r="3788">
      <c r="A3788" s="40">
        <f t="array" ref="A3788">IFNA(index(PlayerValues!A:A,match(IFNA(vlookup(B3788,'Special Names'!A:B,2,FALSE),B3788),PlayerValues!E:E,0)),"N/A")</f>
        <v>13189</v>
      </c>
      <c r="B3788" s="4" t="s">
        <v>626</v>
      </c>
      <c r="C3788" s="4" t="s">
        <v>298</v>
      </c>
      <c r="D3788" s="94">
        <v>2260.0</v>
      </c>
    </row>
    <row r="3789">
      <c r="A3789" s="40">
        <f t="array" ref="A3789">IFNA(index(PlayerValues!A:A,match(IFNA(vlookup(B3789,'Special Names'!A:B,2,FALSE),B3789),PlayerValues!E:E,0)),"N/A")</f>
        <v>13629</v>
      </c>
      <c r="B3789" s="4" t="s">
        <v>619</v>
      </c>
      <c r="C3789" s="4" t="s">
        <v>287</v>
      </c>
      <c r="D3789" s="94">
        <v>1868.0</v>
      </c>
    </row>
    <row r="3790">
      <c r="A3790" s="40">
        <f t="array" ref="A3790">IFNA(index(PlayerValues!A:A,match(IFNA(vlookup(B3790,'Special Names'!A:B,2,FALSE),B3790),PlayerValues!E:E,0)),"N/A")</f>
        <v>14871</v>
      </c>
      <c r="B3790" s="4" t="s">
        <v>584</v>
      </c>
      <c r="C3790" s="4" t="s">
        <v>298</v>
      </c>
      <c r="D3790" s="94">
        <v>2248.0</v>
      </c>
    </row>
    <row r="3791">
      <c r="A3791" s="40">
        <f t="array" ref="A3791">IFNA(index(PlayerValues!A:A,match(IFNA(vlookup(B3791,'Special Names'!A:B,2,FALSE),B3791),PlayerValues!E:E,0)),"N/A")</f>
        <v>16191</v>
      </c>
      <c r="B3791" s="4" t="s">
        <v>666</v>
      </c>
      <c r="C3791" s="4" t="s">
        <v>287</v>
      </c>
      <c r="D3791" s="94">
        <v>1860.0</v>
      </c>
    </row>
    <row r="3792">
      <c r="A3792" s="40">
        <f t="array" ref="A3792">IFNA(index(PlayerValues!A:A,match(IFNA(vlookup(B3792,'Special Names'!A:B,2,FALSE),B3792),PlayerValues!E:E,0)),"N/A")</f>
        <v>17086</v>
      </c>
      <c r="B3792" s="4" t="s">
        <v>612</v>
      </c>
      <c r="C3792" s="4" t="s">
        <v>287</v>
      </c>
      <c r="D3792" s="94">
        <v>1859.0</v>
      </c>
    </row>
    <row r="3793">
      <c r="A3793" s="40">
        <f t="array" ref="A3793">IFNA(index(PlayerValues!A:A,match(IFNA(vlookup(B3793,'Special Names'!A:B,2,FALSE),B3793),PlayerValues!E:E,0)),"N/A")</f>
        <v>17049</v>
      </c>
      <c r="B3793" s="4" t="s">
        <v>624</v>
      </c>
      <c r="C3793" s="4" t="s">
        <v>278</v>
      </c>
      <c r="D3793" s="94">
        <v>1854.0</v>
      </c>
    </row>
    <row r="3794">
      <c r="A3794" s="40">
        <f t="array" ref="A3794">IFNA(index(PlayerValues!A:A,match(IFNA(vlookup(B3794,'Special Names'!A:B,2,FALSE),B3794),PlayerValues!E:E,0)),"N/A")</f>
        <v>16171</v>
      </c>
      <c r="B3794" s="4" t="s">
        <v>618</v>
      </c>
      <c r="C3794" s="4" t="s">
        <v>278</v>
      </c>
      <c r="D3794" s="94">
        <v>1853.0</v>
      </c>
    </row>
    <row r="3795">
      <c r="A3795" s="40">
        <f t="array" ref="A3795">IFNA(index(PlayerValues!A:A,match(IFNA(vlookup(B3795,'Special Names'!A:B,2,FALSE),B3795),PlayerValues!E:E,0)),"N/A")</f>
        <v>16215</v>
      </c>
      <c r="B3795" s="4" t="s">
        <v>637</v>
      </c>
      <c r="C3795" s="4" t="s">
        <v>298</v>
      </c>
      <c r="D3795" s="94">
        <v>2224.0</v>
      </c>
    </row>
    <row r="3796">
      <c r="A3796" s="40">
        <f t="array" ref="A3796">IFNA(index(PlayerValues!A:A,match(IFNA(vlookup(B3796,'Special Names'!A:B,2,FALSE),B3796),PlayerValues!E:E,0)),"N/A")</f>
        <v>16752</v>
      </c>
      <c r="B3796" s="4" t="s">
        <v>597</v>
      </c>
      <c r="C3796" s="4" t="s">
        <v>278</v>
      </c>
      <c r="D3796" s="94">
        <v>1842.0</v>
      </c>
    </row>
    <row r="3797">
      <c r="A3797" s="40">
        <f t="array" ref="A3797">IFNA(index(PlayerValues!A:A,match(IFNA(vlookup(B3797,'Special Names'!A:B,2,FALSE),B3797),PlayerValues!E:E,0)),"N/A")</f>
        <v>15787</v>
      </c>
      <c r="B3797" s="4" t="s">
        <v>610</v>
      </c>
      <c r="C3797" s="4" t="s">
        <v>287</v>
      </c>
      <c r="D3797" s="94">
        <v>1838.0</v>
      </c>
    </row>
    <row r="3798">
      <c r="A3798" s="40">
        <f t="array" ref="A3798">IFNA(index(PlayerValues!A:A,match(IFNA(vlookup(B3798,'Special Names'!A:B,2,FALSE),B3798),PlayerValues!E:E,0)),"N/A")</f>
        <v>15797</v>
      </c>
      <c r="B3798" s="4" t="s">
        <v>556</v>
      </c>
      <c r="C3798" s="4" t="s">
        <v>298</v>
      </c>
      <c r="D3798" s="94">
        <v>2206.0</v>
      </c>
    </row>
    <row r="3799">
      <c r="A3799" s="40">
        <f t="array" ref="A3799">IFNA(index(PlayerValues!A:A,match(IFNA(vlookup(B3799,'Special Names'!A:B,2,FALSE),B3799),PlayerValues!E:E,0)),"N/A")</f>
        <v>16216</v>
      </c>
      <c r="B3799" s="4" t="s">
        <v>595</v>
      </c>
      <c r="C3799" s="4" t="s">
        <v>298</v>
      </c>
      <c r="D3799" s="94">
        <v>2195.0</v>
      </c>
    </row>
    <row r="3800">
      <c r="A3800" s="40">
        <f t="array" ref="A3800">IFNA(index(PlayerValues!A:A,match(IFNA(vlookup(B3800,'Special Names'!A:B,2,FALSE),B3800),PlayerValues!E:E,0)),"N/A")</f>
        <v>13146</v>
      </c>
      <c r="B3800" s="4" t="s">
        <v>652</v>
      </c>
      <c r="C3800" s="4" t="s">
        <v>278</v>
      </c>
      <c r="D3800" s="94">
        <v>1806.0</v>
      </c>
    </row>
    <row r="3801">
      <c r="A3801" s="40">
        <f t="array" ref="A3801">IFNA(index(PlayerValues!A:A,match(IFNA(vlookup(B3801,'Special Names'!A:B,2,FALSE),B3801),PlayerValues!E:E,0)),"N/A")</f>
        <v>15788</v>
      </c>
      <c r="B3801" s="4" t="s">
        <v>627</v>
      </c>
      <c r="C3801" s="4" t="s">
        <v>287</v>
      </c>
      <c r="D3801" s="94">
        <v>1801.0</v>
      </c>
    </row>
    <row r="3802">
      <c r="A3802" s="40">
        <f t="array" ref="A3802">IFNA(index(PlayerValues!A:A,match(IFNA(vlookup(B3802,'Special Names'!A:B,2,FALSE),B3802),PlayerValues!E:E,0)),"N/A")</f>
        <v>17034</v>
      </c>
      <c r="B3802" s="4" t="s">
        <v>643</v>
      </c>
      <c r="C3802" s="4" t="s">
        <v>283</v>
      </c>
      <c r="D3802" s="94">
        <v>1801.0</v>
      </c>
    </row>
    <row r="3803">
      <c r="A3803" s="40">
        <f t="array" ref="A3803">IFNA(index(PlayerValues!A:A,match(IFNA(vlookup(B3803,'Special Names'!A:B,2,FALSE),B3803),PlayerValues!E:E,0)),"N/A")</f>
        <v>17467</v>
      </c>
      <c r="B3803" s="4" t="s">
        <v>575</v>
      </c>
      <c r="C3803" s="4" t="s">
        <v>283</v>
      </c>
      <c r="D3803" s="94">
        <v>1797.0</v>
      </c>
    </row>
    <row r="3804">
      <c r="A3804" s="40">
        <f t="array" ref="A3804">IFNA(index(PlayerValues!A:A,match(IFNA(vlookup(B3804,'Special Names'!A:B,2,FALSE),B3804),PlayerValues!E:E,0)),"N/A")</f>
        <v>14143</v>
      </c>
      <c r="B3804" s="4" t="s">
        <v>635</v>
      </c>
      <c r="C3804" s="4" t="s">
        <v>298</v>
      </c>
      <c r="D3804" s="94">
        <v>2159.0</v>
      </c>
    </row>
    <row r="3805">
      <c r="A3805" s="40">
        <f t="array" ref="A3805">IFNA(index(PlayerValues!A:A,match(IFNA(vlookup(B3805,'Special Names'!A:B,2,FALSE),B3805),PlayerValues!E:E,0)),"N/A")</f>
        <v>16778</v>
      </c>
      <c r="B3805" s="4" t="s">
        <v>577</v>
      </c>
      <c r="C3805" s="4" t="s">
        <v>287</v>
      </c>
      <c r="D3805" s="94">
        <v>1761.0</v>
      </c>
    </row>
    <row r="3806">
      <c r="A3806" s="40">
        <f t="array" ref="A3806">IFNA(index(PlayerValues!A:A,match(IFNA(vlookup(B3806,'Special Names'!A:B,2,FALSE),B3806),PlayerValues!E:E,0)),"N/A")</f>
        <v>13164</v>
      </c>
      <c r="B3806" s="4" t="s">
        <v>632</v>
      </c>
      <c r="C3806" s="4" t="s">
        <v>287</v>
      </c>
      <c r="D3806" s="94">
        <v>1753.0</v>
      </c>
    </row>
    <row r="3807">
      <c r="A3807" s="40">
        <f t="array" ref="A3807">IFNA(index(PlayerValues!A:A,match(IFNA(vlookup(B3807,'Special Names'!A:B,2,FALSE),B3807),PlayerValues!E:E,0)),"N/A")</f>
        <v>17035</v>
      </c>
      <c r="B3807" s="4" t="s">
        <v>650</v>
      </c>
      <c r="C3807" s="4" t="s">
        <v>283</v>
      </c>
      <c r="D3807" s="94">
        <v>1749.0</v>
      </c>
    </row>
    <row r="3808">
      <c r="A3808" s="40">
        <f t="array" ref="A3808">IFNA(index(PlayerValues!A:A,match(IFNA(vlookup(B3808,'Special Names'!A:B,2,FALSE),B3808),PlayerValues!E:E,0)),"N/A")</f>
        <v>17481</v>
      </c>
      <c r="B3808" s="4" t="s">
        <v>540</v>
      </c>
      <c r="C3808" s="4" t="s">
        <v>278</v>
      </c>
      <c r="D3808" s="94">
        <v>1749.0</v>
      </c>
    </row>
    <row r="3809">
      <c r="A3809" s="40">
        <f t="array" ref="A3809">IFNA(index(PlayerValues!A:A,match(IFNA(vlookup(B3809,'Special Names'!A:B,2,FALSE),B3809),PlayerValues!E:E,0)),"N/A")</f>
        <v>16644</v>
      </c>
      <c r="B3809" s="4" t="s">
        <v>640</v>
      </c>
      <c r="C3809" s="4" t="s">
        <v>298</v>
      </c>
      <c r="D3809" s="94">
        <v>2124.0</v>
      </c>
    </row>
    <row r="3810">
      <c r="A3810" s="40" t="str">
        <f t="array" ref="A3810">IFNA(index(PlayerValues!A:A,match(IFNA(vlookup(B3810,'Special Names'!A:B,2,FALSE),B3810),PlayerValues!E:E,0)),"N/A")</f>
        <v>N/A</v>
      </c>
      <c r="B3810" s="4" t="s">
        <v>102</v>
      </c>
      <c r="C3810" s="4" t="s">
        <v>325</v>
      </c>
      <c r="D3810" s="94">
        <v>1738.0</v>
      </c>
    </row>
    <row r="3811">
      <c r="A3811" s="40">
        <f t="array" ref="A3811">IFNA(index(PlayerValues!A:A,match(IFNA(vlookup(B3811,'Special Names'!A:B,2,FALSE),B3811),PlayerValues!E:E,0)),"N/A")</f>
        <v>14105</v>
      </c>
      <c r="B3811" s="4" t="s">
        <v>675</v>
      </c>
      <c r="C3811" s="4" t="s">
        <v>287</v>
      </c>
      <c r="D3811" s="94">
        <v>1735.0</v>
      </c>
    </row>
    <row r="3812">
      <c r="A3812" s="40">
        <f t="array" ref="A3812">IFNA(index(PlayerValues!A:A,match(IFNA(vlookup(B3812,'Special Names'!A:B,2,FALSE),B3812),PlayerValues!E:E,0)),"N/A")</f>
        <v>17528</v>
      </c>
      <c r="B3812" s="4" t="s">
        <v>579</v>
      </c>
      <c r="C3812" s="4" t="s">
        <v>287</v>
      </c>
      <c r="D3812" s="94">
        <v>1731.0</v>
      </c>
    </row>
    <row r="3813">
      <c r="A3813" s="40">
        <f t="array" ref="A3813">IFNA(index(PlayerValues!A:A,match(IFNA(vlookup(B3813,'Special Names'!A:B,2,FALSE),B3813),PlayerValues!E:E,0)),"N/A")</f>
        <v>17466</v>
      </c>
      <c r="B3813" s="4" t="s">
        <v>492</v>
      </c>
      <c r="C3813" s="4" t="s">
        <v>283</v>
      </c>
      <c r="D3813" s="94">
        <v>1725.0</v>
      </c>
    </row>
    <row r="3814">
      <c r="A3814" s="40">
        <f t="array" ref="A3814">IFNA(index(PlayerValues!A:A,match(IFNA(vlookup(B3814,'Special Names'!A:B,2,FALSE),B3814),PlayerValues!E:E,0)),"N/A")</f>
        <v>16635</v>
      </c>
      <c r="B3814" s="4" t="s">
        <v>645</v>
      </c>
      <c r="C3814" s="4" t="s">
        <v>287</v>
      </c>
      <c r="D3814" s="94">
        <v>1710.0</v>
      </c>
    </row>
    <row r="3815">
      <c r="A3815" s="40">
        <f t="array" ref="A3815">IFNA(index(PlayerValues!A:A,match(IFNA(vlookup(B3815,'Special Names'!A:B,2,FALSE),B3815),PlayerValues!E:E,0)),"N/A")</f>
        <v>16201</v>
      </c>
      <c r="B3815" s="4" t="s">
        <v>589</v>
      </c>
      <c r="C3815" s="4" t="s">
        <v>287</v>
      </c>
      <c r="D3815" s="94">
        <v>1709.0</v>
      </c>
    </row>
    <row r="3816">
      <c r="A3816" s="40">
        <f t="array" ref="A3816">IFNA(index(PlayerValues!A:A,match(IFNA(vlookup(B3816,'Special Names'!A:B,2,FALSE),B3816),PlayerValues!E:E,0)),"N/A")</f>
        <v>16585</v>
      </c>
      <c r="B3816" s="4" t="s">
        <v>623</v>
      </c>
      <c r="C3816" s="4" t="s">
        <v>283</v>
      </c>
      <c r="D3816" s="94">
        <v>1707.0</v>
      </c>
    </row>
    <row r="3817">
      <c r="A3817" s="40" t="str">
        <f t="array" ref="A3817">IFNA(index(PlayerValues!A:A,match(IFNA(vlookup(B3817,'Special Names'!A:B,2,FALSE),B3817),PlayerValues!E:E,0)),"N/A")</f>
        <v>N/A</v>
      </c>
      <c r="B3817" s="4" t="s">
        <v>89</v>
      </c>
      <c r="C3817" s="4" t="s">
        <v>325</v>
      </c>
      <c r="D3817" s="94">
        <v>1705.0</v>
      </c>
    </row>
    <row r="3818">
      <c r="A3818" s="40">
        <f t="array" ref="A3818">IFNA(index(PlayerValues!A:A,match(IFNA(vlookup(B3818,'Special Names'!A:B,2,FALSE),B3818),PlayerValues!E:E,0)),"N/A")</f>
        <v>17096</v>
      </c>
      <c r="B3818" s="4" t="s">
        <v>638</v>
      </c>
      <c r="C3818" s="4" t="s">
        <v>287</v>
      </c>
      <c r="D3818" s="94">
        <v>1693.0</v>
      </c>
    </row>
    <row r="3819">
      <c r="A3819" s="40">
        <f t="array" ref="A3819">IFNA(index(PlayerValues!A:A,match(IFNA(vlookup(B3819,'Special Names'!A:B,2,FALSE),B3819),PlayerValues!E:E,0)),"N/A")</f>
        <v>17465</v>
      </c>
      <c r="B3819" s="4" t="s">
        <v>649</v>
      </c>
      <c r="C3819" s="4" t="s">
        <v>283</v>
      </c>
      <c r="D3819" s="94">
        <v>1693.0</v>
      </c>
    </row>
    <row r="3820">
      <c r="A3820" s="40" t="str">
        <f t="array" ref="A3820">IFNA(index(PlayerValues!A:A,match(IFNA(vlookup(B3820,'Special Names'!A:B,2,FALSE),B3820),PlayerValues!E:E,0)),"N/A")</f>
        <v>N/A</v>
      </c>
      <c r="B3820" s="4" t="s">
        <v>103</v>
      </c>
      <c r="C3820" s="4" t="s">
        <v>325</v>
      </c>
      <c r="D3820" s="94">
        <v>1691.0</v>
      </c>
    </row>
    <row r="3821">
      <c r="A3821" s="40">
        <f t="array" ref="A3821">IFNA(index(PlayerValues!A:A,match(IFNA(vlookup(B3821,'Special Names'!A:B,2,FALSE),B3821),PlayerValues!E:E,0)),"N/A")</f>
        <v>15755</v>
      </c>
      <c r="B3821" s="4" t="s">
        <v>628</v>
      </c>
      <c r="C3821" s="4" t="s">
        <v>287</v>
      </c>
      <c r="D3821" s="94">
        <v>1687.0</v>
      </c>
    </row>
    <row r="3822">
      <c r="A3822" s="40">
        <f t="array" ref="A3822">IFNA(index(PlayerValues!A:A,match(IFNA(vlookup(B3822,'Special Names'!A:B,2,FALSE),B3822),PlayerValues!E:E,0)),"N/A")</f>
        <v>15254</v>
      </c>
      <c r="B3822" s="4" t="s">
        <v>633</v>
      </c>
      <c r="C3822" s="4" t="s">
        <v>278</v>
      </c>
      <c r="D3822" s="94">
        <v>1685.0</v>
      </c>
    </row>
    <row r="3823">
      <c r="A3823" s="40">
        <f t="array" ref="A3823">IFNA(index(PlayerValues!A:A,match(IFNA(vlookup(B3823,'Special Names'!A:B,2,FALSE),B3823),PlayerValues!E:E,0)),"N/A")</f>
        <v>17064</v>
      </c>
      <c r="B3823" s="4" t="s">
        <v>631</v>
      </c>
      <c r="C3823" s="4" t="s">
        <v>278</v>
      </c>
      <c r="D3823" s="94">
        <v>1668.0</v>
      </c>
    </row>
    <row r="3824">
      <c r="A3824" s="40">
        <f t="array" ref="A3824">IFNA(index(PlayerValues!A:A,match(IFNA(vlookup(B3824,'Special Names'!A:B,2,FALSE),B3824),PlayerValues!E:E,0)),"N/A")</f>
        <v>16601</v>
      </c>
      <c r="B3824" s="4" t="s">
        <v>648</v>
      </c>
      <c r="C3824" s="4" t="s">
        <v>278</v>
      </c>
      <c r="D3824" s="94">
        <v>1658.0</v>
      </c>
    </row>
    <row r="3825">
      <c r="A3825" s="40">
        <f t="array" ref="A3825">IFNA(index(PlayerValues!A:A,match(IFNA(vlookup(B3825,'Special Names'!A:B,2,FALSE),B3825),PlayerValues!E:E,0)),"N/A")</f>
        <v>17058</v>
      </c>
      <c r="B3825" s="4" t="s">
        <v>641</v>
      </c>
      <c r="C3825" s="4" t="s">
        <v>278</v>
      </c>
      <c r="D3825" s="94">
        <v>1655.0</v>
      </c>
    </row>
    <row r="3826">
      <c r="A3826" s="40">
        <f t="array" ref="A3826">IFNA(index(PlayerValues!A:A,match(IFNA(vlookup(B3826,'Special Names'!A:B,2,FALSE),B3826),PlayerValues!E:E,0)),"N/A")</f>
        <v>16586</v>
      </c>
      <c r="B3826" s="4" t="s">
        <v>658</v>
      </c>
      <c r="C3826" s="4" t="s">
        <v>283</v>
      </c>
      <c r="D3826" s="94">
        <v>1653.0</v>
      </c>
    </row>
    <row r="3827">
      <c r="A3827" s="40">
        <f t="array" ref="A3827">IFNA(index(PlayerValues!A:A,match(IFNA(vlookup(B3827,'Special Names'!A:B,2,FALSE),B3827),PlayerValues!E:E,0)),"N/A")</f>
        <v>16207</v>
      </c>
      <c r="B3827" s="4" t="s">
        <v>636</v>
      </c>
      <c r="C3827" s="4" t="s">
        <v>287</v>
      </c>
      <c r="D3827" s="94">
        <v>1643.0</v>
      </c>
    </row>
    <row r="3828">
      <c r="A3828" s="40">
        <f t="array" ref="A3828">IFNA(index(PlayerValues!A:A,match(IFNA(vlookup(B3828,'Special Names'!A:B,2,FALSE),B3828),PlayerValues!E:E,0)),"N/A")</f>
        <v>15301</v>
      </c>
      <c r="B3828" s="4" t="s">
        <v>657</v>
      </c>
      <c r="C3828" s="4" t="s">
        <v>287</v>
      </c>
      <c r="D3828" s="94">
        <v>1624.0</v>
      </c>
    </row>
    <row r="3829">
      <c r="A3829" s="40" t="str">
        <f t="array" ref="A3829">IFNA(index(PlayerValues!A:A,match(IFNA(vlookup(B3829,'Special Names'!A:B,2,FALSE),B3829),PlayerValues!E:E,0)),"N/A")</f>
        <v>N/A</v>
      </c>
      <c r="B3829" s="4" t="s">
        <v>115</v>
      </c>
      <c r="C3829" s="4" t="s">
        <v>325</v>
      </c>
      <c r="D3829" s="94">
        <v>1615.0</v>
      </c>
    </row>
    <row r="3830">
      <c r="A3830" s="40">
        <f t="array" ref="A3830">IFNA(index(PlayerValues!A:A,match(IFNA(vlookup(B3830,'Special Names'!A:B,2,FALSE),B3830),PlayerValues!E:E,0)),"N/A")</f>
        <v>16629</v>
      </c>
      <c r="B3830" s="4" t="s">
        <v>605</v>
      </c>
      <c r="C3830" s="4" t="s">
        <v>287</v>
      </c>
      <c r="D3830" s="94">
        <v>1613.0</v>
      </c>
    </row>
    <row r="3831">
      <c r="A3831" s="40">
        <f t="array" ref="A3831">IFNA(index(PlayerValues!A:A,match(IFNA(vlookup(B3831,'Special Names'!A:B,2,FALSE),B3831),PlayerValues!E:E,0)),"N/A")</f>
        <v>15319</v>
      </c>
      <c r="B3831" s="4" t="s">
        <v>644</v>
      </c>
      <c r="C3831" s="4" t="s">
        <v>287</v>
      </c>
      <c r="D3831" s="94">
        <v>1610.0</v>
      </c>
    </row>
    <row r="3832">
      <c r="A3832" s="40" t="str">
        <f t="array" ref="A3832">IFNA(index(PlayerValues!A:A,match(IFNA(vlookup(B3832,'Special Names'!A:B,2,FALSE),B3832),PlayerValues!E:E,0)),"N/A")</f>
        <v>N/A</v>
      </c>
      <c r="B3832" s="4" t="s">
        <v>90</v>
      </c>
      <c r="C3832" s="4" t="s">
        <v>325</v>
      </c>
      <c r="D3832" s="94">
        <v>1600.0</v>
      </c>
    </row>
    <row r="3833">
      <c r="A3833" s="40">
        <f t="array" ref="A3833">IFNA(index(PlayerValues!A:A,match(IFNA(vlookup(B3833,'Special Names'!A:B,2,FALSE),B3833),PlayerValues!E:E,0)),"N/A")</f>
        <v>16688</v>
      </c>
      <c r="B3833" s="4" t="s">
        <v>688</v>
      </c>
      <c r="C3833" s="4" t="s">
        <v>278</v>
      </c>
      <c r="D3833" s="94">
        <v>1592.0</v>
      </c>
    </row>
    <row r="3834">
      <c r="A3834" s="40">
        <f t="array" ref="A3834">IFNA(index(PlayerValues!A:A,match(IFNA(vlookup(B3834,'Special Names'!A:B,2,FALSE),B3834),PlayerValues!E:E,0)),"N/A")</f>
        <v>15713</v>
      </c>
      <c r="B3834" s="4" t="s">
        <v>732</v>
      </c>
      <c r="C3834" s="4" t="s">
        <v>278</v>
      </c>
      <c r="D3834" s="94">
        <v>1568.0</v>
      </c>
    </row>
    <row r="3835">
      <c r="A3835" s="40">
        <f t="array" ref="A3835">IFNA(index(PlayerValues!A:A,match(IFNA(vlookup(B3835,'Special Names'!A:B,2,FALSE),B3835),PlayerValues!E:E,0)),"N/A")</f>
        <v>16595</v>
      </c>
      <c r="B3835" s="4" t="s">
        <v>664</v>
      </c>
      <c r="C3835" s="4" t="s">
        <v>278</v>
      </c>
      <c r="D3835" s="94">
        <v>1565.0</v>
      </c>
    </row>
    <row r="3836">
      <c r="A3836" s="40">
        <f t="array" ref="A3836">IFNA(index(PlayerValues!A:A,match(IFNA(vlookup(B3836,'Special Names'!A:B,2,FALSE),B3836),PlayerValues!E:E,0)),"N/A")</f>
        <v>17205</v>
      </c>
      <c r="B3836" s="4" t="s">
        <v>665</v>
      </c>
      <c r="C3836" s="4" t="s">
        <v>287</v>
      </c>
      <c r="D3836" s="94">
        <v>1564.0</v>
      </c>
    </row>
    <row r="3837">
      <c r="A3837" s="40">
        <f t="array" ref="A3837">IFNA(index(PlayerValues!A:A,match(IFNA(vlookup(B3837,'Special Names'!A:B,2,FALSE),B3837),PlayerValues!E:E,0)),"N/A")</f>
        <v>16633</v>
      </c>
      <c r="B3837" s="4" t="s">
        <v>656</v>
      </c>
      <c r="C3837" s="4" t="s">
        <v>287</v>
      </c>
      <c r="D3837" s="94">
        <v>1563.0</v>
      </c>
    </row>
    <row r="3838">
      <c r="A3838" s="40" t="str">
        <f t="array" ref="A3838">IFNA(index(PlayerValues!A:A,match(IFNA(vlookup(B3838,'Special Names'!A:B,2,FALSE),B3838),PlayerValues!E:E,0)),"N/A")</f>
        <v>N/A</v>
      </c>
      <c r="B3838" s="4" t="s">
        <v>116</v>
      </c>
      <c r="C3838" s="4" t="s">
        <v>325</v>
      </c>
      <c r="D3838" s="94">
        <v>1563.0</v>
      </c>
    </row>
    <row r="3839">
      <c r="A3839" s="40">
        <f t="array" ref="A3839">IFNA(index(PlayerValues!A:A,match(IFNA(vlookup(B3839,'Special Names'!A:B,2,FALSE),B3839),PlayerValues!E:E,0)),"N/A")</f>
        <v>14122</v>
      </c>
      <c r="B3839" s="4" t="s">
        <v>663</v>
      </c>
      <c r="C3839" s="4" t="s">
        <v>287</v>
      </c>
      <c r="D3839" s="94">
        <v>1556.0</v>
      </c>
    </row>
    <row r="3840">
      <c r="A3840" s="40">
        <f t="array" ref="A3840">IFNA(index(PlayerValues!A:A,match(IFNA(vlookup(B3840,'Special Names'!A:B,2,FALSE),B3840),PlayerValues!E:E,0)),"N/A")</f>
        <v>17548</v>
      </c>
      <c r="B3840" s="4" t="s">
        <v>594</v>
      </c>
      <c r="C3840" s="4" t="s">
        <v>298</v>
      </c>
      <c r="D3840" s="94">
        <v>1930.0</v>
      </c>
    </row>
    <row r="3841">
      <c r="A3841" s="40">
        <f t="array" ref="A3841">IFNA(index(PlayerValues!A:A,match(IFNA(vlookup(B3841,'Special Names'!A:B,2,FALSE),B3841),PlayerValues!E:E,0)),"N/A")</f>
        <v>17234</v>
      </c>
      <c r="B3841" s="4" t="s">
        <v>653</v>
      </c>
      <c r="C3841" s="4" t="s">
        <v>287</v>
      </c>
      <c r="D3841" s="94">
        <v>1548.0</v>
      </c>
    </row>
    <row r="3842">
      <c r="A3842" s="40">
        <f t="array" ref="A3842">IFNA(index(PlayerValues!A:A,match(IFNA(vlookup(B3842,'Special Names'!A:B,2,FALSE),B3842),PlayerValues!E:E,0)),"N/A")</f>
        <v>15337</v>
      </c>
      <c r="B3842" s="4" t="s">
        <v>655</v>
      </c>
      <c r="C3842" s="4" t="s">
        <v>298</v>
      </c>
      <c r="D3842" s="94">
        <v>1914.0</v>
      </c>
    </row>
    <row r="3843">
      <c r="A3843" s="40">
        <f t="array" ref="A3843">IFNA(index(PlayerValues!A:A,match(IFNA(vlookup(B3843,'Special Names'!A:B,2,FALSE),B3843),PlayerValues!E:E,0)),"N/A")</f>
        <v>17468</v>
      </c>
      <c r="B3843" s="4" t="s">
        <v>514</v>
      </c>
      <c r="C3843" s="4" t="s">
        <v>283</v>
      </c>
      <c r="D3843" s="94">
        <v>1536.0</v>
      </c>
    </row>
    <row r="3844">
      <c r="A3844" s="40">
        <f t="array" ref="A3844">IFNA(index(PlayerValues!A:A,match(IFNA(vlookup(B3844,'Special Names'!A:B,2,FALSE),B3844),PlayerValues!E:E,0)),"N/A")</f>
        <v>16175</v>
      </c>
      <c r="B3844" s="4" t="s">
        <v>654</v>
      </c>
      <c r="C3844" s="4" t="s">
        <v>278</v>
      </c>
      <c r="D3844" s="94">
        <v>1513.0</v>
      </c>
    </row>
    <row r="3845">
      <c r="A3845" s="40">
        <f t="array" ref="A3845">IFNA(index(PlayerValues!A:A,match(IFNA(vlookup(B3845,'Special Names'!A:B,2,FALSE),B3845),PlayerValues!E:E,0)),"N/A")</f>
        <v>15752</v>
      </c>
      <c r="B3845" s="4" t="s">
        <v>647</v>
      </c>
      <c r="C3845" s="4" t="s">
        <v>287</v>
      </c>
      <c r="D3845" s="94">
        <v>1511.0</v>
      </c>
    </row>
    <row r="3846">
      <c r="A3846" s="40">
        <f t="array" ref="A3846">IFNA(index(PlayerValues!A:A,match(IFNA(vlookup(B3846,'Special Names'!A:B,2,FALSE),B3846),PlayerValues!E:E,0)),"N/A")</f>
        <v>15759</v>
      </c>
      <c r="B3846" s="4" t="s">
        <v>662</v>
      </c>
      <c r="C3846" s="4" t="s">
        <v>287</v>
      </c>
      <c r="D3846" s="94">
        <v>1509.0</v>
      </c>
    </row>
    <row r="3847">
      <c r="A3847" s="40" t="str">
        <f t="array" ref="A3847">IFNA(index(PlayerValues!A:A,match(IFNA(vlookup(B3847,'Special Names'!A:B,2,FALSE),B3847),PlayerValues!E:E,0)),"N/A")</f>
        <v>N/A</v>
      </c>
      <c r="B3847" s="4" t="s">
        <v>91</v>
      </c>
      <c r="C3847" s="4" t="s">
        <v>325</v>
      </c>
      <c r="D3847" s="94">
        <v>1509.0</v>
      </c>
    </row>
    <row r="3848">
      <c r="A3848" s="40">
        <f t="array" ref="A3848">IFNA(index(PlayerValues!A:A,match(IFNA(vlookup(B3848,'Special Names'!A:B,2,FALSE),B3848),PlayerValues!E:E,0)),"N/A")</f>
        <v>16792</v>
      </c>
      <c r="B3848" s="4" t="s">
        <v>704</v>
      </c>
      <c r="C3848" s="4" t="s">
        <v>287</v>
      </c>
      <c r="D3848" s="94">
        <v>1492.0</v>
      </c>
    </row>
    <row r="3849">
      <c r="A3849" s="40">
        <f t="array" ref="A3849">IFNA(index(PlayerValues!A:A,match(IFNA(vlookup(B3849,'Special Names'!A:B,2,FALSE),B3849),PlayerValues!E:E,0)),"N/A")</f>
        <v>16631</v>
      </c>
      <c r="B3849" s="4" t="s">
        <v>800</v>
      </c>
      <c r="C3849" s="4" t="s">
        <v>287</v>
      </c>
      <c r="D3849" s="94">
        <v>1469.0</v>
      </c>
    </row>
    <row r="3850">
      <c r="A3850" s="40">
        <f t="array" ref="A3850">IFNA(index(PlayerValues!A:A,match(IFNA(vlookup(B3850,'Special Names'!A:B,2,FALSE),B3850),PlayerValues!E:E,0)),"N/A")</f>
        <v>16390</v>
      </c>
      <c r="B3850" s="4" t="s">
        <v>689</v>
      </c>
      <c r="C3850" s="4" t="s">
        <v>278</v>
      </c>
      <c r="D3850" s="94">
        <v>1466.0</v>
      </c>
    </row>
    <row r="3851">
      <c r="A3851" s="40">
        <f t="array" ref="A3851">IFNA(index(PlayerValues!A:A,match(IFNA(vlookup(B3851,'Special Names'!A:B,2,FALSE),B3851),PlayerValues!E:E,0)),"N/A")</f>
        <v>16788</v>
      </c>
      <c r="B3851" s="4" t="s">
        <v>621</v>
      </c>
      <c r="C3851" s="4" t="s">
        <v>287</v>
      </c>
      <c r="D3851" s="94">
        <v>1463.0</v>
      </c>
    </row>
    <row r="3852">
      <c r="A3852" s="40">
        <f t="array" ref="A3852">IFNA(index(PlayerValues!A:A,match(IFNA(vlookup(B3852,'Special Names'!A:B,2,FALSE),B3852),PlayerValues!E:E,0)),"N/A")</f>
        <v>17485</v>
      </c>
      <c r="B3852" s="4" t="s">
        <v>522</v>
      </c>
      <c r="C3852" s="4" t="s">
        <v>278</v>
      </c>
      <c r="D3852" s="94">
        <v>1463.0</v>
      </c>
    </row>
    <row r="3853">
      <c r="A3853" s="40">
        <f t="array" ref="A3853">IFNA(index(PlayerValues!A:A,match(IFNA(vlookup(B3853,'Special Names'!A:B,2,FALSE),B3853),PlayerValues!E:E,0)),"N/A")</f>
        <v>17054</v>
      </c>
      <c r="B3853" s="4" t="s">
        <v>670</v>
      </c>
      <c r="C3853" s="4" t="s">
        <v>278</v>
      </c>
      <c r="D3853" s="94">
        <v>1458.0</v>
      </c>
    </row>
    <row r="3854">
      <c r="A3854" s="40">
        <f t="array" ref="A3854">IFNA(index(PlayerValues!A:A,match(IFNA(vlookup(B3854,'Special Names'!A:B,2,FALSE),B3854),PlayerValues!E:E,0)),"N/A")</f>
        <v>15873</v>
      </c>
      <c r="B3854" s="4" t="s">
        <v>681</v>
      </c>
      <c r="C3854" s="4" t="s">
        <v>298</v>
      </c>
      <c r="D3854" s="94">
        <v>1826.0</v>
      </c>
    </row>
    <row r="3855">
      <c r="A3855" s="40">
        <f t="array" ref="A3855">IFNA(index(PlayerValues!A:A,match(IFNA(vlookup(B3855,'Special Names'!A:B,2,FALSE),B3855),PlayerValues!E:E,0)),"N/A")</f>
        <v>15777</v>
      </c>
      <c r="B3855" s="4" t="s">
        <v>694</v>
      </c>
      <c r="C3855" s="4" t="s">
        <v>287</v>
      </c>
      <c r="D3855" s="94">
        <v>1448.0</v>
      </c>
    </row>
    <row r="3856">
      <c r="A3856" s="40">
        <f t="array" ref="A3856">IFNA(index(PlayerValues!A:A,match(IFNA(vlookup(B3856,'Special Names'!A:B,2,FALSE),B3856),PlayerValues!E:E,0)),"N/A")</f>
        <v>16384</v>
      </c>
      <c r="B3856" s="4" t="s">
        <v>696</v>
      </c>
      <c r="C3856" s="4" t="s">
        <v>283</v>
      </c>
      <c r="D3856" s="94">
        <v>1444.0</v>
      </c>
    </row>
    <row r="3857">
      <c r="A3857" s="40">
        <f t="array" ref="A3857">IFNA(index(PlayerValues!A:A,match(IFNA(vlookup(B3857,'Special Names'!A:B,2,FALSE),B3857),PlayerValues!E:E,0)),"N/A")</f>
        <v>13672</v>
      </c>
      <c r="B3857" s="4" t="s">
        <v>667</v>
      </c>
      <c r="C3857" s="4" t="s">
        <v>298</v>
      </c>
      <c r="D3857" s="94">
        <v>1806.0</v>
      </c>
    </row>
    <row r="3858">
      <c r="A3858" s="40">
        <f t="array" ref="A3858">IFNA(index(PlayerValues!A:A,match(IFNA(vlookup(B3858,'Special Names'!A:B,2,FALSE),B3858),PlayerValues!E:E,0)),"N/A")</f>
        <v>16642</v>
      </c>
      <c r="B3858" s="4" t="s">
        <v>691</v>
      </c>
      <c r="C3858" s="4" t="s">
        <v>298</v>
      </c>
      <c r="D3858" s="94">
        <v>1802.0</v>
      </c>
    </row>
    <row r="3859">
      <c r="A3859" s="40">
        <f t="array" ref="A3859">IFNA(index(PlayerValues!A:A,match(IFNA(vlookup(B3859,'Special Names'!A:B,2,FALSE),B3859),PlayerValues!E:E,0)),"N/A")</f>
        <v>13418</v>
      </c>
      <c r="B3859" s="4" t="s">
        <v>706</v>
      </c>
      <c r="C3859" s="4" t="s">
        <v>287</v>
      </c>
      <c r="D3859" s="94">
        <v>1425.0</v>
      </c>
    </row>
    <row r="3860">
      <c r="A3860" s="40">
        <f t="array" ref="A3860">IFNA(index(PlayerValues!A:A,match(IFNA(vlookup(B3860,'Special Names'!A:B,2,FALSE),B3860),PlayerValues!E:E,0)),"N/A")</f>
        <v>17037</v>
      </c>
      <c r="B3860" s="4" t="s">
        <v>727</v>
      </c>
      <c r="C3860" s="4" t="s">
        <v>283</v>
      </c>
      <c r="D3860" s="94">
        <v>1425.0</v>
      </c>
    </row>
    <row r="3861">
      <c r="A3861" s="40">
        <f t="array" ref="A3861">IFNA(index(PlayerValues!A:A,match(IFNA(vlookup(B3861,'Special Names'!A:B,2,FALSE),B3861),PlayerValues!E:E,0)),"N/A")</f>
        <v>16621</v>
      </c>
      <c r="B3861" s="4" t="s">
        <v>672</v>
      </c>
      <c r="C3861" s="4" t="s">
        <v>287</v>
      </c>
      <c r="D3861" s="94">
        <v>1407.0</v>
      </c>
    </row>
    <row r="3862">
      <c r="A3862" s="40">
        <f t="array" ref="A3862">IFNA(index(PlayerValues!A:A,match(IFNA(vlookup(B3862,'Special Names'!A:B,2,FALSE),B3862),PlayerValues!E:E,0)),"N/A")</f>
        <v>15292</v>
      </c>
      <c r="B3862" s="4" t="s">
        <v>682</v>
      </c>
      <c r="C3862" s="4" t="s">
        <v>287</v>
      </c>
      <c r="D3862" s="94">
        <v>1397.0</v>
      </c>
    </row>
    <row r="3863">
      <c r="A3863" s="40">
        <f t="array" ref="A3863">IFNA(index(PlayerValues!A:A,match(IFNA(vlookup(B3863,'Special Names'!A:B,2,FALSE),B3863),PlayerValues!E:E,0)),"N/A")</f>
        <v>14137</v>
      </c>
      <c r="B3863" s="4" t="s">
        <v>676</v>
      </c>
      <c r="C3863" s="4" t="s">
        <v>298</v>
      </c>
      <c r="D3863" s="94">
        <v>1757.0</v>
      </c>
    </row>
    <row r="3864">
      <c r="A3864" s="40">
        <f t="array" ref="A3864">IFNA(index(PlayerValues!A:A,match(IFNA(vlookup(B3864,'Special Names'!A:B,2,FALSE),B3864),PlayerValues!E:E,0)),"N/A")</f>
        <v>12140</v>
      </c>
      <c r="B3864" s="4" t="s">
        <v>702</v>
      </c>
      <c r="C3864" s="4" t="s">
        <v>283</v>
      </c>
      <c r="D3864" s="94">
        <v>1378.0</v>
      </c>
    </row>
    <row r="3865">
      <c r="A3865" s="40">
        <f t="array" ref="A3865">IFNA(index(PlayerValues!A:A,match(IFNA(vlookup(B3865,'Special Names'!A:B,2,FALSE),B3865),PlayerValues!E:E,0)),"N/A")</f>
        <v>14086</v>
      </c>
      <c r="B3865" s="4" t="s">
        <v>639</v>
      </c>
      <c r="C3865" s="4" t="s">
        <v>278</v>
      </c>
      <c r="D3865" s="94">
        <v>1370.0</v>
      </c>
    </row>
    <row r="3866">
      <c r="A3866" s="40">
        <f t="array" ref="A3866">IFNA(index(PlayerValues!A:A,match(IFNA(vlookup(B3866,'Special Names'!A:B,2,FALSE),B3866),PlayerValues!E:E,0)),"N/A")</f>
        <v>11222</v>
      </c>
      <c r="B3866" s="4" t="s">
        <v>622</v>
      </c>
      <c r="C3866" s="4" t="s">
        <v>287</v>
      </c>
      <c r="D3866" s="94">
        <v>1364.0</v>
      </c>
    </row>
    <row r="3867">
      <c r="A3867" s="40">
        <f t="array" ref="A3867">IFNA(index(PlayerValues!A:A,match(IFNA(vlookup(B3867,'Special Names'!A:B,2,FALSE),B3867),PlayerValues!E:E,0)),"N/A")</f>
        <v>16149</v>
      </c>
      <c r="B3867" s="4" t="s">
        <v>740</v>
      </c>
      <c r="C3867" s="4" t="s">
        <v>283</v>
      </c>
      <c r="D3867" s="94">
        <v>1364.0</v>
      </c>
    </row>
    <row r="3868">
      <c r="A3868" s="40">
        <f t="array" ref="A3868">IFNA(index(PlayerValues!A:A,match(IFNA(vlookup(B3868,'Special Names'!A:B,2,FALSE),B3868),PlayerValues!E:E,0)),"N/A")</f>
        <v>15252</v>
      </c>
      <c r="B3868" s="4" t="s">
        <v>715</v>
      </c>
      <c r="C3868" s="4" t="s">
        <v>283</v>
      </c>
      <c r="D3868" s="94">
        <v>1360.0</v>
      </c>
    </row>
    <row r="3869">
      <c r="A3869" s="40">
        <f t="array" ref="A3869">IFNA(index(PlayerValues!A:A,match(IFNA(vlookup(B3869,'Special Names'!A:B,2,FALSE),B3869),PlayerValues!E:E,0)),"N/A")</f>
        <v>17062</v>
      </c>
      <c r="B3869" s="4" t="s">
        <v>701</v>
      </c>
      <c r="C3869" s="4" t="s">
        <v>278</v>
      </c>
      <c r="D3869" s="94">
        <v>1359.0</v>
      </c>
    </row>
    <row r="3870">
      <c r="A3870" s="40">
        <f t="array" ref="A3870">IFNA(index(PlayerValues!A:A,match(IFNA(vlookup(B3870,'Special Names'!A:B,2,FALSE),B3870),PlayerValues!E:E,0)),"N/A")</f>
        <v>17254</v>
      </c>
      <c r="B3870" s="4" t="s">
        <v>679</v>
      </c>
      <c r="C3870" s="4" t="s">
        <v>287</v>
      </c>
      <c r="D3870" s="94">
        <v>1357.0</v>
      </c>
    </row>
    <row r="3871">
      <c r="A3871" s="40">
        <f t="array" ref="A3871">IFNA(index(PlayerValues!A:A,match(IFNA(vlookup(B3871,'Special Names'!A:B,2,FALSE),B3871),PlayerValues!E:E,0)),"N/A")</f>
        <v>17529</v>
      </c>
      <c r="B3871" s="4" t="s">
        <v>608</v>
      </c>
      <c r="C3871" s="4" t="s">
        <v>287</v>
      </c>
      <c r="D3871" s="94">
        <v>1340.0</v>
      </c>
    </row>
    <row r="3872">
      <c r="A3872" s="40">
        <f t="array" ref="A3872">IFNA(index(PlayerValues!A:A,match(IFNA(vlookup(B3872,'Special Names'!A:B,2,FALSE),B3872),PlayerValues!E:E,0)),"N/A")</f>
        <v>15332</v>
      </c>
      <c r="B3872" s="4" t="s">
        <v>698</v>
      </c>
      <c r="C3872" s="4" t="s">
        <v>298</v>
      </c>
      <c r="D3872" s="94">
        <v>1682.0</v>
      </c>
    </row>
    <row r="3873">
      <c r="A3873" s="40">
        <f t="array" ref="A3873">IFNA(index(PlayerValues!A:A,match(IFNA(vlookup(B3873,'Special Names'!A:B,2,FALSE),B3873),PlayerValues!E:E,0)),"N/A")</f>
        <v>12678</v>
      </c>
      <c r="B3873" s="4" t="s">
        <v>703</v>
      </c>
      <c r="C3873" s="4" t="s">
        <v>298</v>
      </c>
      <c r="D3873" s="94">
        <v>1664.0</v>
      </c>
    </row>
    <row r="3874">
      <c r="A3874" s="40">
        <f t="array" ref="A3874">IFNA(index(PlayerValues!A:A,match(IFNA(vlookup(B3874,'Special Names'!A:B,2,FALSE),B3874),PlayerValues!E:E,0)),"N/A")</f>
        <v>15738</v>
      </c>
      <c r="B3874" s="4" t="s">
        <v>634</v>
      </c>
      <c r="C3874" s="4" t="s">
        <v>278</v>
      </c>
      <c r="D3874" s="94">
        <v>1298.0</v>
      </c>
    </row>
    <row r="3875">
      <c r="A3875" s="40">
        <f t="array" ref="A3875">IFNA(index(PlayerValues!A:A,match(IFNA(vlookup(B3875,'Special Names'!A:B,2,FALSE),B3875),PlayerValues!E:E,0)),"N/A")</f>
        <v>17077</v>
      </c>
      <c r="B3875" s="4" t="s">
        <v>714</v>
      </c>
      <c r="C3875" s="4" t="s">
        <v>287</v>
      </c>
      <c r="D3875" s="94">
        <v>1298.0</v>
      </c>
    </row>
    <row r="3876">
      <c r="A3876" s="40">
        <f t="array" ref="A3876">IFNA(index(PlayerValues!A:A,match(IFNA(vlookup(B3876,'Special Names'!A:B,2,FALSE),B3876),PlayerValues!E:E,0)),"N/A")</f>
        <v>14095</v>
      </c>
      <c r="B3876" s="4" t="s">
        <v>680</v>
      </c>
      <c r="C3876" s="4" t="s">
        <v>278</v>
      </c>
      <c r="D3876" s="94">
        <v>1294.0</v>
      </c>
    </row>
    <row r="3877">
      <c r="A3877" s="40">
        <f t="array" ref="A3877">IFNA(index(PlayerValues!A:A,match(IFNA(vlookup(B3877,'Special Names'!A:B,2,FALSE),B3877),PlayerValues!E:E,0)),"N/A")</f>
        <v>16608</v>
      </c>
      <c r="B3877" s="4" t="s">
        <v>629</v>
      </c>
      <c r="C3877" s="4" t="s">
        <v>278</v>
      </c>
      <c r="D3877" s="94">
        <v>1293.0</v>
      </c>
    </row>
    <row r="3878">
      <c r="A3878" s="40">
        <f t="array" ref="A3878">IFNA(index(PlayerValues!A:A,match(IFNA(vlookup(B3878,'Special Names'!A:B,2,FALSE),B3878),PlayerValues!E:E,0)),"N/A")</f>
        <v>12141</v>
      </c>
      <c r="B3878" s="4" t="s">
        <v>744</v>
      </c>
      <c r="C3878" s="4" t="s">
        <v>283</v>
      </c>
      <c r="D3878" s="94">
        <v>1288.0</v>
      </c>
    </row>
    <row r="3879">
      <c r="A3879" s="40">
        <f t="array" ref="A3879">IFNA(index(PlayerValues!A:A,match(IFNA(vlookup(B3879,'Special Names'!A:B,2,FALSE),B3879),PlayerValues!E:E,0)),"N/A")</f>
        <v>17567</v>
      </c>
      <c r="B3879" s="4" t="s">
        <v>571</v>
      </c>
      <c r="C3879" s="4" t="s">
        <v>298</v>
      </c>
      <c r="D3879" s="94">
        <v>1655.0</v>
      </c>
    </row>
    <row r="3880">
      <c r="A3880" s="40" t="str">
        <f t="array" ref="A3880">IFNA(index(PlayerValues!A:A,match(IFNA(vlookup(B3880,'Special Names'!A:B,2,FALSE),B3880),PlayerValues!E:E,0)),"N/A")</f>
        <v>N/A</v>
      </c>
      <c r="B3880" s="4" t="s">
        <v>117</v>
      </c>
      <c r="C3880" s="4" t="s">
        <v>325</v>
      </c>
      <c r="D3880" s="94">
        <v>1286.0</v>
      </c>
    </row>
    <row r="3881">
      <c r="A3881" s="40">
        <f t="array" ref="A3881">IFNA(index(PlayerValues!A:A,match(IFNA(vlookup(B3881,'Special Names'!A:B,2,FALSE),B3881),PlayerValues!E:E,0)),"N/A")</f>
        <v>14592</v>
      </c>
      <c r="B3881" s="4" t="s">
        <v>705</v>
      </c>
      <c r="C3881" s="4" t="s">
        <v>287</v>
      </c>
      <c r="D3881" s="94">
        <v>1278.0</v>
      </c>
    </row>
    <row r="3882">
      <c r="A3882" s="40">
        <f t="array" ref="A3882">IFNA(index(PlayerValues!A:A,match(IFNA(vlookup(B3882,'Special Names'!A:B,2,FALSE),B3882),PlayerValues!E:E,0)),"N/A")</f>
        <v>17521</v>
      </c>
      <c r="B3882" s="4" t="s">
        <v>573</v>
      </c>
      <c r="C3882" s="4" t="s">
        <v>287</v>
      </c>
      <c r="D3882" s="94">
        <v>1278.0</v>
      </c>
    </row>
    <row r="3883">
      <c r="A3883" s="40">
        <f t="array" ref="A3883">IFNA(index(PlayerValues!A:A,match(IFNA(vlookup(B3883,'Special Names'!A:B,2,FALSE),B3883),PlayerValues!E:E,0)),"N/A")</f>
        <v>17097</v>
      </c>
      <c r="B3883" s="4" t="s">
        <v>659</v>
      </c>
      <c r="C3883" s="4" t="s">
        <v>287</v>
      </c>
      <c r="D3883" s="94">
        <v>1267.0</v>
      </c>
    </row>
    <row r="3884">
      <c r="A3884" s="40">
        <f t="array" ref="A3884">IFNA(index(PlayerValues!A:A,match(IFNA(vlookup(B3884,'Special Names'!A:B,2,FALSE),B3884),PlayerValues!E:E,0)),"N/A")</f>
        <v>14080</v>
      </c>
      <c r="B3884" s="4" t="s">
        <v>716</v>
      </c>
      <c r="C3884" s="4" t="s">
        <v>278</v>
      </c>
      <c r="D3884" s="94">
        <v>1259.0</v>
      </c>
    </row>
    <row r="3885">
      <c r="A3885" s="40">
        <f t="array" ref="A3885">IFNA(index(PlayerValues!A:A,match(IFNA(vlookup(B3885,'Special Names'!A:B,2,FALSE),B3885),PlayerValues!E:E,0)),"N/A")</f>
        <v>17269</v>
      </c>
      <c r="B3885" s="4" t="s">
        <v>718</v>
      </c>
      <c r="C3885" s="4" t="s">
        <v>287</v>
      </c>
      <c r="D3885" s="94">
        <v>1254.0</v>
      </c>
    </row>
    <row r="3886">
      <c r="A3886" s="40">
        <f t="array" ref="A3886">IFNA(index(PlayerValues!A:A,match(IFNA(vlookup(B3886,'Special Names'!A:B,2,FALSE),B3886),PlayerValues!E:E,0)),"N/A")</f>
        <v>15702</v>
      </c>
      <c r="B3886" s="4" t="s">
        <v>723</v>
      </c>
      <c r="C3886" s="4" t="s">
        <v>283</v>
      </c>
      <c r="D3886" s="94">
        <v>1253.0</v>
      </c>
    </row>
    <row r="3887">
      <c r="A3887" s="40">
        <f t="array" ref="A3887">IFNA(index(PlayerValues!A:A,match(IFNA(vlookup(B3887,'Special Names'!A:B,2,FALSE),B3887),PlayerValues!E:E,0)),"N/A")</f>
        <v>16183</v>
      </c>
      <c r="B3887" s="4" t="s">
        <v>678</v>
      </c>
      <c r="C3887" s="4" t="s">
        <v>287</v>
      </c>
      <c r="D3887" s="94">
        <v>1235.0</v>
      </c>
    </row>
    <row r="3888">
      <c r="A3888" s="40">
        <f t="array" ref="A3888">IFNA(index(PlayerValues!A:A,match(IFNA(vlookup(B3888,'Special Names'!A:B,2,FALSE),B3888),PlayerValues!E:E,0)),"N/A")</f>
        <v>16333</v>
      </c>
      <c r="B3888" s="4" t="s">
        <v>711</v>
      </c>
      <c r="C3888" s="4" t="s">
        <v>298</v>
      </c>
      <c r="D3888" s="94">
        <v>1595.0</v>
      </c>
    </row>
    <row r="3889">
      <c r="A3889" s="40">
        <f t="array" ref="A3889">IFNA(index(PlayerValues!A:A,match(IFNA(vlookup(B3889,'Special Names'!A:B,2,FALSE),B3889),PlayerValues!E:E,0)),"N/A")</f>
        <v>16636</v>
      </c>
      <c r="B3889" s="4" t="s">
        <v>699</v>
      </c>
      <c r="C3889" s="4" t="s">
        <v>287</v>
      </c>
      <c r="D3889" s="94">
        <v>1225.0</v>
      </c>
    </row>
    <row r="3890">
      <c r="A3890" s="40">
        <f t="array" ref="A3890">IFNA(index(PlayerValues!A:A,match(IFNA(vlookup(B3890,'Special Names'!A:B,2,FALSE),B3890),PlayerValues!E:E,0)),"N/A")</f>
        <v>17607</v>
      </c>
      <c r="B3890" s="4" t="s">
        <v>526</v>
      </c>
      <c r="C3890" s="4" t="s">
        <v>298</v>
      </c>
      <c r="D3890" s="94">
        <v>1592.0</v>
      </c>
    </row>
    <row r="3891">
      <c r="A3891" s="40">
        <f t="array" ref="A3891">IFNA(index(PlayerValues!A:A,match(IFNA(vlookup(B3891,'Special Names'!A:B,2,FALSE),B3891),PlayerValues!E:E,0)),"N/A")</f>
        <v>16645</v>
      </c>
      <c r="B3891" s="4" t="s">
        <v>651</v>
      </c>
      <c r="C3891" s="4" t="s">
        <v>298</v>
      </c>
      <c r="D3891" s="94">
        <v>1590.0</v>
      </c>
    </row>
    <row r="3892">
      <c r="A3892" s="40">
        <f t="array" ref="A3892">IFNA(index(PlayerValues!A:A,match(IFNA(vlookup(B3892,'Special Names'!A:B,2,FALSE),B3892),PlayerValues!E:E,0)),"N/A")</f>
        <v>16387</v>
      </c>
      <c r="B3892" s="4" t="s">
        <v>646</v>
      </c>
      <c r="C3892" s="4" t="s">
        <v>278</v>
      </c>
      <c r="D3892" s="94">
        <v>1217.0</v>
      </c>
    </row>
    <row r="3893">
      <c r="A3893" s="40">
        <f t="array" ref="A3893">IFNA(index(PlayerValues!A:A,match(IFNA(vlookup(B3893,'Special Names'!A:B,2,FALSE),B3893),PlayerValues!E:E,0)),"N/A")</f>
        <v>16746</v>
      </c>
      <c r="B3893" s="4" t="s">
        <v>709</v>
      </c>
      <c r="C3893" s="4" t="s">
        <v>278</v>
      </c>
      <c r="D3893" s="94">
        <v>1212.0</v>
      </c>
    </row>
    <row r="3894">
      <c r="A3894" s="40">
        <f t="array" ref="A3894">IFNA(index(PlayerValues!A:A,match(IFNA(vlookup(B3894,'Special Names'!A:B,2,FALSE),B3894),PlayerValues!E:E,0)),"N/A")</f>
        <v>17519</v>
      </c>
      <c r="B3894" s="4" t="s">
        <v>593</v>
      </c>
      <c r="C3894" s="4" t="s">
        <v>287</v>
      </c>
      <c r="D3894" s="94">
        <v>1206.0</v>
      </c>
    </row>
    <row r="3895">
      <c r="A3895" s="40">
        <f t="array" ref="A3895">IFNA(index(PlayerValues!A:A,match(IFNA(vlookup(B3895,'Special Names'!A:B,2,FALSE),B3895),PlayerValues!E:E,0)),"N/A")</f>
        <v>15288</v>
      </c>
      <c r="B3895" s="4" t="s">
        <v>700</v>
      </c>
      <c r="C3895" s="4" t="s">
        <v>287</v>
      </c>
      <c r="D3895" s="94">
        <v>1203.0</v>
      </c>
    </row>
    <row r="3896">
      <c r="A3896" s="40">
        <f t="array" ref="A3896">IFNA(index(PlayerValues!A:A,match(IFNA(vlookup(B3896,'Special Names'!A:B,2,FALSE),B3896),PlayerValues!E:E,0)),"N/A")</f>
        <v>16883</v>
      </c>
      <c r="B3896" s="4" t="s">
        <v>683</v>
      </c>
      <c r="C3896" s="4" t="s">
        <v>287</v>
      </c>
      <c r="D3896" s="94">
        <v>1199.0</v>
      </c>
    </row>
    <row r="3897">
      <c r="A3897" s="40">
        <f t="array" ref="A3897">IFNA(index(PlayerValues!A:A,match(IFNA(vlookup(B3897,'Special Names'!A:B,2,FALSE),B3897),PlayerValues!E:E,0)),"N/A")</f>
        <v>17063</v>
      </c>
      <c r="B3897" s="4" t="s">
        <v>686</v>
      </c>
      <c r="C3897" s="4" t="s">
        <v>278</v>
      </c>
      <c r="D3897" s="94">
        <v>1197.0</v>
      </c>
    </row>
    <row r="3898">
      <c r="A3898" s="40">
        <f t="array" ref="A3898">IFNA(index(PlayerValues!A:A,match(IFNA(vlookup(B3898,'Special Names'!A:B,2,FALSE),B3898),PlayerValues!E:E,0)),"N/A")</f>
        <v>16199</v>
      </c>
      <c r="B3898" s="4" t="s">
        <v>687</v>
      </c>
      <c r="C3898" s="4" t="s">
        <v>287</v>
      </c>
      <c r="D3898" s="94">
        <v>1195.0</v>
      </c>
    </row>
    <row r="3899">
      <c r="A3899" s="40">
        <f t="array" ref="A3899">IFNA(index(PlayerValues!A:A,match(IFNA(vlookup(B3899,'Special Names'!A:B,2,FALSE),B3899),PlayerValues!E:E,0)),"N/A")</f>
        <v>16221</v>
      </c>
      <c r="B3899" s="4" t="s">
        <v>725</v>
      </c>
      <c r="C3899" s="4" t="s">
        <v>298</v>
      </c>
      <c r="D3899" s="94">
        <v>1556.0</v>
      </c>
    </row>
    <row r="3900">
      <c r="A3900" s="40">
        <f t="array" ref="A3900">IFNA(index(PlayerValues!A:A,match(IFNA(vlookup(B3900,'Special Names'!A:B,2,FALSE),B3900),PlayerValues!E:E,0)),"N/A")</f>
        <v>17057</v>
      </c>
      <c r="B3900" s="4" t="s">
        <v>708</v>
      </c>
      <c r="C3900" s="4" t="s">
        <v>278</v>
      </c>
      <c r="D3900" s="94">
        <v>1175.0</v>
      </c>
    </row>
    <row r="3901">
      <c r="A3901" s="40">
        <f t="array" ref="A3901">IFNA(index(PlayerValues!A:A,match(IFNA(vlookup(B3901,'Special Names'!A:B,2,FALSE),B3901),PlayerValues!E:E,0)),"N/A")</f>
        <v>17109</v>
      </c>
      <c r="B3901" s="4" t="s">
        <v>707</v>
      </c>
      <c r="C3901" s="4" t="s">
        <v>298</v>
      </c>
      <c r="D3901" s="94">
        <v>1542.0</v>
      </c>
    </row>
    <row r="3902">
      <c r="A3902" s="40">
        <f t="array" ref="A3902">IFNA(index(PlayerValues!A:A,match(IFNA(vlookup(B3902,'Special Names'!A:B,2,FALSE),B3902),PlayerValues!E:E,0)),"N/A")</f>
        <v>15981</v>
      </c>
      <c r="B3902" s="4" t="s">
        <v>729</v>
      </c>
      <c r="C3902" s="4" t="s">
        <v>287</v>
      </c>
      <c r="D3902" s="94">
        <v>1173.0</v>
      </c>
    </row>
    <row r="3903">
      <c r="A3903" s="40">
        <f t="array" ref="A3903">IFNA(index(PlayerValues!A:A,match(IFNA(vlookup(B3903,'Special Names'!A:B,2,FALSE),B3903),PlayerValues!E:E,0)),"N/A")</f>
        <v>14789</v>
      </c>
      <c r="B3903" s="4" t="s">
        <v>721</v>
      </c>
      <c r="C3903" s="4" t="s">
        <v>283</v>
      </c>
      <c r="D3903" s="94">
        <v>1158.0</v>
      </c>
    </row>
    <row r="3904">
      <c r="A3904" s="40">
        <f t="array" ref="A3904">IFNA(index(PlayerValues!A:A,match(IFNA(vlookup(B3904,'Special Names'!A:B,2,FALSE),B3904),PlayerValues!E:E,0)),"N/A")</f>
        <v>14108</v>
      </c>
      <c r="B3904" s="4" t="s">
        <v>673</v>
      </c>
      <c r="C3904" s="4" t="s">
        <v>287</v>
      </c>
      <c r="D3904" s="94">
        <v>1155.0</v>
      </c>
    </row>
    <row r="3905">
      <c r="A3905" s="40">
        <f t="array" ref="A3905">IFNA(index(PlayerValues!A:A,match(IFNA(vlookup(B3905,'Special Names'!A:B,2,FALSE),B3905),PlayerValues!E:E,0)),"N/A")</f>
        <v>14845</v>
      </c>
      <c r="B3905" s="4" t="s">
        <v>717</v>
      </c>
      <c r="C3905" s="4" t="s">
        <v>287</v>
      </c>
      <c r="D3905" s="94">
        <v>1147.0</v>
      </c>
    </row>
    <row r="3906">
      <c r="A3906" s="40">
        <f t="array" ref="A3906">IFNA(index(PlayerValues!A:A,match(IFNA(vlookup(B3906,'Special Names'!A:B,2,FALSE),B3906),PlayerValues!E:E,0)),"N/A")</f>
        <v>16385</v>
      </c>
      <c r="B3906" s="4" t="s">
        <v>690</v>
      </c>
      <c r="C3906" s="4" t="s">
        <v>278</v>
      </c>
      <c r="D3906" s="94">
        <v>1146.0</v>
      </c>
    </row>
    <row r="3907">
      <c r="A3907" s="40">
        <f t="array" ref="A3907">IFNA(index(PlayerValues!A:A,match(IFNA(vlookup(B3907,'Special Names'!A:B,2,FALSE),B3907),PlayerValues!E:E,0)),"N/A")</f>
        <v>17546</v>
      </c>
      <c r="B3907" s="4" t="s">
        <v>671</v>
      </c>
      <c r="C3907" s="4" t="s">
        <v>298</v>
      </c>
      <c r="D3907" s="94">
        <v>1512.0</v>
      </c>
    </row>
    <row r="3908">
      <c r="A3908" s="40">
        <f t="array" ref="A3908">IFNA(index(PlayerValues!A:A,match(IFNA(vlookup(B3908,'Special Names'!A:B,2,FALSE),B3908),PlayerValues!E:E,0)),"N/A")</f>
        <v>15240</v>
      </c>
      <c r="B3908" s="4" t="s">
        <v>751</v>
      </c>
      <c r="C3908" s="4" t="s">
        <v>283</v>
      </c>
      <c r="D3908" s="94">
        <v>1137.0</v>
      </c>
    </row>
    <row r="3909">
      <c r="A3909" s="40">
        <f t="array" ref="A3909">IFNA(index(PlayerValues!A:A,match(IFNA(vlookup(B3909,'Special Names'!A:B,2,FALSE),B3909),PlayerValues!E:E,0)),"N/A")</f>
        <v>14067</v>
      </c>
      <c r="B3909" s="4" t="s">
        <v>735</v>
      </c>
      <c r="C3909" s="4" t="s">
        <v>283</v>
      </c>
      <c r="D3909" s="94">
        <v>1136.0</v>
      </c>
    </row>
    <row r="3910">
      <c r="A3910" s="40">
        <f t="array" ref="A3910">IFNA(index(PlayerValues!A:A,match(IFNA(vlookup(B3910,'Special Names'!A:B,2,FALSE),B3910),PlayerValues!E:E,0)),"N/A")</f>
        <v>15730</v>
      </c>
      <c r="B3910" s="4" t="s">
        <v>734</v>
      </c>
      <c r="C3910" s="4" t="s">
        <v>278</v>
      </c>
      <c r="D3910" s="94">
        <v>1122.0</v>
      </c>
    </row>
    <row r="3911">
      <c r="A3911" s="40">
        <f t="array" ref="A3911">IFNA(index(PlayerValues!A:A,match(IFNA(vlookup(B3911,'Special Names'!A:B,2,FALSE),B3911),PlayerValues!E:E,0)),"N/A")</f>
        <v>13289</v>
      </c>
      <c r="B3911" s="4" t="s">
        <v>746</v>
      </c>
      <c r="C3911" s="4" t="s">
        <v>287</v>
      </c>
      <c r="D3911" s="94">
        <v>1121.0</v>
      </c>
    </row>
    <row r="3912">
      <c r="A3912" s="40">
        <f t="array" ref="A3912">IFNA(index(PlayerValues!A:A,match(IFNA(vlookup(B3912,'Special Names'!A:B,2,FALSE),B3912),PlayerValues!E:E,0)),"N/A")</f>
        <v>17192</v>
      </c>
      <c r="B3912" s="4" t="s">
        <v>677</v>
      </c>
      <c r="C3912" s="4" t="s">
        <v>287</v>
      </c>
      <c r="D3912" s="94">
        <v>1114.0</v>
      </c>
    </row>
    <row r="3913">
      <c r="A3913" s="40">
        <f t="array" ref="A3913">IFNA(index(PlayerValues!A:A,match(IFNA(vlookup(B3913,'Special Names'!A:B,2,FALSE),B3913),PlayerValues!E:E,0)),"N/A")</f>
        <v>17510</v>
      </c>
      <c r="B3913" s="4" t="s">
        <v>661</v>
      </c>
      <c r="C3913" s="4" t="s">
        <v>287</v>
      </c>
      <c r="D3913" s="94">
        <v>1112.0</v>
      </c>
    </row>
    <row r="3914">
      <c r="A3914" s="40">
        <f t="array" ref="A3914">IFNA(index(PlayerValues!A:A,match(IFNA(vlookup(B3914,'Special Names'!A:B,2,FALSE),B3914),PlayerValues!E:E,0)),"N/A")</f>
        <v>13131</v>
      </c>
      <c r="B3914" s="4" t="s">
        <v>815</v>
      </c>
      <c r="C3914" s="4" t="s">
        <v>278</v>
      </c>
      <c r="D3914" s="94">
        <v>1106.0</v>
      </c>
    </row>
    <row r="3915">
      <c r="A3915" s="40">
        <f t="array" ref="A3915">IFNA(index(PlayerValues!A:A,match(IFNA(vlookup(B3915,'Special Names'!A:B,2,FALSE),B3915),PlayerValues!E:E,0)),"N/A")</f>
        <v>16393</v>
      </c>
      <c r="B3915" s="4" t="s">
        <v>768</v>
      </c>
      <c r="C3915" s="4" t="s">
        <v>287</v>
      </c>
      <c r="D3915" s="94">
        <v>1104.0</v>
      </c>
    </row>
    <row r="3916">
      <c r="A3916" s="40">
        <f t="array" ref="A3916">IFNA(index(PlayerValues!A:A,match(IFNA(vlookup(B3916,'Special Names'!A:B,2,FALSE),B3916),PlayerValues!E:E,0)),"N/A")</f>
        <v>17685</v>
      </c>
      <c r="B3916" s="4" t="s">
        <v>630</v>
      </c>
      <c r="C3916" s="4" t="s">
        <v>278</v>
      </c>
      <c r="D3916" s="94">
        <v>1101.0</v>
      </c>
    </row>
    <row r="3917">
      <c r="A3917" s="40">
        <f t="array" ref="A3917">IFNA(index(PlayerValues!A:A,match(IFNA(vlookup(B3917,'Special Names'!A:B,2,FALSE),B3917),PlayerValues!E:E,0)),"N/A")</f>
        <v>15727</v>
      </c>
      <c r="B3917" s="4" t="s">
        <v>730</v>
      </c>
      <c r="C3917" s="4" t="s">
        <v>278</v>
      </c>
      <c r="D3917" s="94">
        <v>1092.0</v>
      </c>
    </row>
    <row r="3918">
      <c r="A3918" s="40">
        <f t="array" ref="A3918">IFNA(index(PlayerValues!A:A,match(IFNA(vlookup(B3918,'Special Names'!A:B,2,FALSE),B3918),PlayerValues!E:E,0)),"N/A")</f>
        <v>9064</v>
      </c>
      <c r="B3918" s="4" t="s">
        <v>761</v>
      </c>
      <c r="C3918" s="4" t="s">
        <v>283</v>
      </c>
      <c r="D3918" s="94">
        <v>1089.0</v>
      </c>
    </row>
    <row r="3919">
      <c r="A3919" s="40">
        <f t="array" ref="A3919">IFNA(index(PlayerValues!A:A,match(IFNA(vlookup(B3919,'Special Names'!A:B,2,FALSE),B3919),PlayerValues!E:E,0)),"N/A")</f>
        <v>16197</v>
      </c>
      <c r="B3919" s="4" t="s">
        <v>726</v>
      </c>
      <c r="C3919" s="4" t="s">
        <v>287</v>
      </c>
      <c r="D3919" s="94">
        <v>1087.0</v>
      </c>
    </row>
    <row r="3920">
      <c r="A3920" s="40">
        <f t="array" ref="A3920">IFNA(index(PlayerValues!A:A,match(IFNA(vlookup(B3920,'Special Names'!A:B,2,FALSE),B3920),PlayerValues!E:E,0)),"N/A")</f>
        <v>15692</v>
      </c>
      <c r="B3920" s="4" t="s">
        <v>750</v>
      </c>
      <c r="C3920" s="4" t="s">
        <v>283</v>
      </c>
      <c r="D3920" s="94">
        <v>1086.0</v>
      </c>
    </row>
    <row r="3921">
      <c r="A3921" s="40">
        <f t="array" ref="A3921">IFNA(index(PlayerValues!A:A,match(IFNA(vlookup(B3921,'Special Names'!A:B,2,FALSE),B3921),PlayerValues!E:E,0)),"N/A")</f>
        <v>16637</v>
      </c>
      <c r="B3921" s="4" t="s">
        <v>736</v>
      </c>
      <c r="C3921" s="4" t="s">
        <v>287</v>
      </c>
      <c r="D3921" s="94">
        <v>1072.0</v>
      </c>
    </row>
    <row r="3922">
      <c r="A3922" s="40">
        <f t="array" ref="A3922">IFNA(index(PlayerValues!A:A,match(IFNA(vlookup(B3922,'Special Names'!A:B,2,FALSE),B3922),PlayerValues!E:E,0)),"N/A")</f>
        <v>17050</v>
      </c>
      <c r="B3922" s="4" t="s">
        <v>713</v>
      </c>
      <c r="C3922" s="4" t="s">
        <v>278</v>
      </c>
      <c r="D3922" s="94">
        <v>1065.0</v>
      </c>
    </row>
    <row r="3923">
      <c r="A3923" s="40">
        <f t="array" ref="A3923">IFNA(index(PlayerValues!A:A,match(IFNA(vlookup(B3923,'Special Names'!A:B,2,FALSE),B3923),PlayerValues!E:E,0)),"N/A")</f>
        <v>17599</v>
      </c>
      <c r="B3923" s="4" t="s">
        <v>496</v>
      </c>
      <c r="C3923" s="4" t="s">
        <v>287</v>
      </c>
      <c r="D3923" s="94">
        <v>1064.0</v>
      </c>
    </row>
    <row r="3924">
      <c r="A3924" s="40">
        <f t="array" ref="A3924">IFNA(index(PlayerValues!A:A,match(IFNA(vlookup(B3924,'Special Names'!A:B,2,FALSE),B3924),PlayerValues!E:E,0)),"N/A")</f>
        <v>16640</v>
      </c>
      <c r="B3924" s="4" t="s">
        <v>712</v>
      </c>
      <c r="C3924" s="4" t="s">
        <v>287</v>
      </c>
      <c r="D3924" s="94">
        <v>1060.0</v>
      </c>
    </row>
    <row r="3925">
      <c r="A3925" s="40">
        <f t="array" ref="A3925">IFNA(index(PlayerValues!A:A,match(IFNA(vlookup(B3925,'Special Names'!A:B,2,FALSE),B3925),PlayerValues!E:E,0)),"N/A")</f>
        <v>15693</v>
      </c>
      <c r="B3925" s="4" t="s">
        <v>755</v>
      </c>
      <c r="C3925" s="4" t="s">
        <v>283</v>
      </c>
      <c r="D3925" s="94">
        <v>1036.0</v>
      </c>
    </row>
    <row r="3926">
      <c r="A3926" s="40">
        <f t="array" ref="A3926">IFNA(index(PlayerValues!A:A,match(IFNA(vlookup(B3926,'Special Names'!A:B,2,FALSE),B3926),PlayerValues!E:E,0)),"N/A")</f>
        <v>13193</v>
      </c>
      <c r="B3926" s="4" t="s">
        <v>773</v>
      </c>
      <c r="C3926" s="4" t="s">
        <v>298</v>
      </c>
      <c r="D3926" s="94">
        <v>1402.0</v>
      </c>
    </row>
    <row r="3927">
      <c r="A3927" s="40">
        <f t="array" ref="A3927">IFNA(index(PlayerValues!A:A,match(IFNA(vlookup(B3927,'Special Names'!A:B,2,FALSE),B3927),PlayerValues!E:E,0)),"N/A")</f>
        <v>11247</v>
      </c>
      <c r="B3927" s="4" t="s">
        <v>816</v>
      </c>
      <c r="C3927" s="4" t="s">
        <v>298</v>
      </c>
      <c r="D3927" s="94">
        <v>1394.0</v>
      </c>
    </row>
    <row r="3928">
      <c r="A3928" s="40">
        <f t="array" ref="A3928">IFNA(index(PlayerValues!A:A,match(IFNA(vlookup(B3928,'Special Names'!A:B,2,FALSE),B3928),PlayerValues!E:E,0)),"N/A")</f>
        <v>16451</v>
      </c>
      <c r="B3928" s="4" t="s">
        <v>769</v>
      </c>
      <c r="C3928" s="4" t="s">
        <v>287</v>
      </c>
      <c r="D3928" s="94">
        <v>1025.0</v>
      </c>
    </row>
    <row r="3929">
      <c r="A3929" s="40">
        <f t="array" ref="A3929">IFNA(index(PlayerValues!A:A,match(IFNA(vlookup(B3929,'Special Names'!A:B,2,FALSE),B3929),PlayerValues!E:E,0)),"N/A")</f>
        <v>15239</v>
      </c>
      <c r="B3929" s="4" t="s">
        <v>802</v>
      </c>
      <c r="C3929" s="4" t="s">
        <v>283</v>
      </c>
      <c r="D3929" s="94">
        <v>1013.0</v>
      </c>
    </row>
    <row r="3930">
      <c r="A3930" s="40">
        <f t="array" ref="A3930">IFNA(index(PlayerValues!A:A,match(IFNA(vlookup(B3930,'Special Names'!A:B,2,FALSE),B3930),PlayerValues!E:E,0)),"N/A")</f>
        <v>16168</v>
      </c>
      <c r="B3930" s="4" t="s">
        <v>738</v>
      </c>
      <c r="C3930" s="4" t="s">
        <v>278</v>
      </c>
      <c r="D3930" s="94">
        <v>1011.0</v>
      </c>
    </row>
    <row r="3931">
      <c r="A3931" s="40">
        <f t="array" ref="A3931">IFNA(index(PlayerValues!A:A,match(IFNA(vlookup(B3931,'Special Names'!A:B,2,FALSE),B3931),PlayerValues!E:E,0)),"N/A")</f>
        <v>15258</v>
      </c>
      <c r="B3931" s="4" t="s">
        <v>757</v>
      </c>
      <c r="C3931" s="4" t="s">
        <v>278</v>
      </c>
      <c r="D3931" s="94">
        <v>999.0</v>
      </c>
    </row>
    <row r="3932">
      <c r="A3932" s="40">
        <f t="array" ref="A3932">IFNA(index(PlayerValues!A:A,match(IFNA(vlookup(B3932,'Special Names'!A:B,2,FALSE),B3932),PlayerValues!E:E,0)),"N/A")</f>
        <v>15330</v>
      </c>
      <c r="B3932" s="4" t="s">
        <v>749</v>
      </c>
      <c r="C3932" s="4" t="s">
        <v>298</v>
      </c>
      <c r="D3932" s="94">
        <v>1364.0</v>
      </c>
    </row>
    <row r="3933">
      <c r="A3933" s="40">
        <f t="array" ref="A3933">IFNA(index(PlayerValues!A:A,match(IFNA(vlookup(B3933,'Special Names'!A:B,2,FALSE),B3933),PlayerValues!E:E,0)),"N/A")</f>
        <v>16170</v>
      </c>
      <c r="B3933" s="4" t="s">
        <v>801</v>
      </c>
      <c r="C3933" s="4" t="s">
        <v>278</v>
      </c>
      <c r="D3933" s="94">
        <v>997.0</v>
      </c>
    </row>
    <row r="3934">
      <c r="A3934" s="40">
        <f t="array" ref="A3934">IFNA(index(PlayerValues!A:A,match(IFNA(vlookup(B3934,'Special Names'!A:B,2,FALSE),B3934),PlayerValues!E:E,0)),"N/A")</f>
        <v>17652</v>
      </c>
      <c r="B3934" s="4" t="s">
        <v>576</v>
      </c>
      <c r="C3934" s="4" t="s">
        <v>278</v>
      </c>
      <c r="D3934" s="94">
        <v>995.0</v>
      </c>
    </row>
    <row r="3935">
      <c r="A3935" s="40">
        <f t="array" ref="A3935">IFNA(index(PlayerValues!A:A,match(IFNA(vlookup(B3935,'Special Names'!A:B,2,FALSE),B3935),PlayerValues!E:E,0)),"N/A")</f>
        <v>15795</v>
      </c>
      <c r="B3935" s="4" t="s">
        <v>669</v>
      </c>
      <c r="C3935" s="4" t="s">
        <v>298</v>
      </c>
      <c r="D3935" s="94">
        <v>1359.0</v>
      </c>
    </row>
    <row r="3936">
      <c r="A3936" s="40">
        <f t="array" ref="A3936">IFNA(index(PlayerValues!A:A,match(IFNA(vlookup(B3936,'Special Names'!A:B,2,FALSE),B3936),PlayerValues!E:E,0)),"N/A")</f>
        <v>15717</v>
      </c>
      <c r="B3936" s="4" t="s">
        <v>745</v>
      </c>
      <c r="C3936" s="4" t="s">
        <v>278</v>
      </c>
      <c r="D3936" s="94">
        <v>991.0</v>
      </c>
    </row>
    <row r="3937">
      <c r="A3937" s="40">
        <f t="array" ref="A3937">IFNA(index(PlayerValues!A:A,match(IFNA(vlookup(B3937,'Special Names'!A:B,2,FALSE),B3937),PlayerValues!E:E,0)),"N/A")</f>
        <v>15785</v>
      </c>
      <c r="B3937" s="4" t="s">
        <v>763</v>
      </c>
      <c r="C3937" s="4" t="s">
        <v>287</v>
      </c>
      <c r="D3937" s="94">
        <v>986.0</v>
      </c>
    </row>
    <row r="3938">
      <c r="A3938" s="40">
        <f t="array" ref="A3938">IFNA(index(PlayerValues!A:A,match(IFNA(vlookup(B3938,'Special Names'!A:B,2,FALSE),B3938),PlayerValues!E:E,0)),"N/A")</f>
        <v>16648</v>
      </c>
      <c r="B3938" s="4" t="s">
        <v>748</v>
      </c>
      <c r="C3938" s="4" t="s">
        <v>298</v>
      </c>
      <c r="D3938" s="94">
        <v>1352.0</v>
      </c>
    </row>
    <row r="3939">
      <c r="A3939" s="40">
        <f t="array" ref="A3939">IFNA(index(PlayerValues!A:A,match(IFNA(vlookup(B3939,'Special Names'!A:B,2,FALSE),B3939),PlayerValues!E:E,0)),"N/A")</f>
        <v>14849</v>
      </c>
      <c r="B3939" s="4" t="s">
        <v>733</v>
      </c>
      <c r="C3939" s="4" t="s">
        <v>287</v>
      </c>
      <c r="D3939" s="94">
        <v>981.0</v>
      </c>
    </row>
    <row r="3940">
      <c r="A3940" s="40">
        <f t="array" ref="A3940">IFNA(index(PlayerValues!A:A,match(IFNA(vlookup(B3940,'Special Names'!A:B,2,FALSE),B3940),PlayerValues!E:E,0)),"N/A")</f>
        <v>15766</v>
      </c>
      <c r="B3940" s="4" t="s">
        <v>759</v>
      </c>
      <c r="C3940" s="4" t="s">
        <v>287</v>
      </c>
      <c r="D3940" s="94">
        <v>977.0</v>
      </c>
    </row>
    <row r="3941">
      <c r="A3941" s="40">
        <f t="array" ref="A3941">IFNA(index(PlayerValues!A:A,match(IFNA(vlookup(B3941,'Special Names'!A:B,2,FALSE),B3941),PlayerValues!E:E,0)),"N/A")</f>
        <v>16678</v>
      </c>
      <c r="B3941" s="4" t="s">
        <v>758</v>
      </c>
      <c r="C3941" s="4" t="s">
        <v>278</v>
      </c>
      <c r="D3941" s="94">
        <v>975.0</v>
      </c>
    </row>
    <row r="3942">
      <c r="A3942" s="40">
        <f t="array" ref="A3942">IFNA(index(PlayerValues!A:A,match(IFNA(vlookup(B3942,'Special Names'!A:B,2,FALSE),B3942),PlayerValues!E:E,0)),"N/A")</f>
        <v>14118</v>
      </c>
      <c r="B3942" s="4" t="s">
        <v>771</v>
      </c>
      <c r="C3942" s="4" t="s">
        <v>287</v>
      </c>
      <c r="D3942" s="94">
        <v>974.0</v>
      </c>
    </row>
    <row r="3943">
      <c r="A3943" s="40">
        <f t="array" ref="A3943">IFNA(index(PlayerValues!A:A,match(IFNA(vlookup(B3943,'Special Names'!A:B,2,FALSE),B3943),PlayerValues!E:E,0)),"N/A")</f>
        <v>17175</v>
      </c>
      <c r="B3943" s="4" t="s">
        <v>747</v>
      </c>
      <c r="C3943" s="4" t="s">
        <v>287</v>
      </c>
      <c r="D3943" s="94">
        <v>974.0</v>
      </c>
    </row>
    <row r="3944">
      <c r="A3944" s="40">
        <f t="array" ref="A3944">IFNA(index(PlayerValues!A:A,match(IFNA(vlookup(B3944,'Special Names'!A:B,2,FALSE),B3944),PlayerValues!E:E,0)),"N/A")</f>
        <v>14057</v>
      </c>
      <c r="B3944" s="4" t="s">
        <v>765</v>
      </c>
      <c r="C3944" s="4" t="s">
        <v>283</v>
      </c>
      <c r="D3944" s="94">
        <v>973.0</v>
      </c>
    </row>
    <row r="3945">
      <c r="A3945" s="40">
        <f t="array" ref="A3945">IFNA(index(PlayerValues!A:A,match(IFNA(vlookup(B3945,'Special Names'!A:B,2,FALSE),B3945),PlayerValues!E:E,0)),"N/A")</f>
        <v>15758</v>
      </c>
      <c r="B3945" s="4" t="s">
        <v>724</v>
      </c>
      <c r="C3945" s="4" t="s">
        <v>287</v>
      </c>
      <c r="D3945" s="94">
        <v>972.0</v>
      </c>
    </row>
    <row r="3946">
      <c r="A3946" s="40">
        <f t="array" ref="A3946">IFNA(index(PlayerValues!A:A,match(IFNA(vlookup(B3946,'Special Names'!A:B,2,FALSE),B3946),PlayerValues!E:E,0)),"N/A")</f>
        <v>16205</v>
      </c>
      <c r="B3946" s="4" t="s">
        <v>742</v>
      </c>
      <c r="C3946" s="4" t="s">
        <v>287</v>
      </c>
      <c r="D3946" s="94">
        <v>971.0</v>
      </c>
    </row>
    <row r="3947">
      <c r="A3947" s="40">
        <f t="array" ref="A3947">IFNA(index(PlayerValues!A:A,match(IFNA(vlookup(B3947,'Special Names'!A:B,2,FALSE),B3947),PlayerValues!E:E,0)),"N/A")</f>
        <v>15718</v>
      </c>
      <c r="B3947" s="4" t="s">
        <v>753</v>
      </c>
      <c r="C3947" s="4" t="s">
        <v>278</v>
      </c>
      <c r="D3947" s="94">
        <v>966.0</v>
      </c>
    </row>
    <row r="3948">
      <c r="A3948" s="40">
        <f t="array" ref="A3948">IFNA(index(PlayerValues!A:A,match(IFNA(vlookup(B3948,'Special Names'!A:B,2,FALSE),B3948),PlayerValues!E:E,0)),"N/A")</f>
        <v>17479</v>
      </c>
      <c r="B3948" s="4" t="s">
        <v>756</v>
      </c>
      <c r="C3948" s="4" t="s">
        <v>278</v>
      </c>
      <c r="D3948" s="94">
        <v>964.0</v>
      </c>
    </row>
    <row r="3949">
      <c r="A3949" s="40">
        <f t="array" ref="A3949">IFNA(index(PlayerValues!A:A,match(IFNA(vlookup(B3949,'Special Names'!A:B,2,FALSE),B3949),PlayerValues!E:E,0)),"N/A")</f>
        <v>15626</v>
      </c>
      <c r="B3949" s="4" t="s">
        <v>766</v>
      </c>
      <c r="C3949" s="4" t="s">
        <v>298</v>
      </c>
      <c r="D3949" s="94">
        <v>1329.0</v>
      </c>
    </row>
    <row r="3950">
      <c r="A3950" s="40">
        <f t="array" ref="A3950">IFNA(index(PlayerValues!A:A,match(IFNA(vlookup(B3950,'Special Names'!A:B,2,FALSE),B3950),PlayerValues!E:E,0)),"N/A")</f>
        <v>16858</v>
      </c>
      <c r="B3950" s="4" t="s">
        <v>754</v>
      </c>
      <c r="C3950" s="4" t="s">
        <v>287</v>
      </c>
      <c r="D3950" s="94">
        <v>958.0</v>
      </c>
    </row>
    <row r="3951">
      <c r="A3951" s="40">
        <f t="array" ref="A3951">IFNA(index(PlayerValues!A:A,match(IFNA(vlookup(B3951,'Special Names'!A:B,2,FALSE),B3951),PlayerValues!E:E,0)),"N/A")</f>
        <v>15109</v>
      </c>
      <c r="B3951" s="4" t="s">
        <v>728</v>
      </c>
      <c r="C3951" s="4" t="s">
        <v>287</v>
      </c>
      <c r="D3951" s="94">
        <v>956.0</v>
      </c>
    </row>
    <row r="3952">
      <c r="A3952" s="40">
        <f t="array" ref="A3952">IFNA(index(PlayerValues!A:A,match(IFNA(vlookup(B3952,'Special Names'!A:B,2,FALSE),B3952),PlayerValues!E:E,0)),"N/A")</f>
        <v>16219</v>
      </c>
      <c r="B3952" s="4" t="s">
        <v>739</v>
      </c>
      <c r="C3952" s="4" t="s">
        <v>298</v>
      </c>
      <c r="D3952" s="94">
        <v>1300.0</v>
      </c>
    </row>
    <row r="3953">
      <c r="A3953" s="40">
        <f t="array" ref="A3953">IFNA(index(PlayerValues!A:A,match(IFNA(vlookup(B3953,'Special Names'!A:B,2,FALSE),B3953),PlayerValues!E:E,0)),"N/A")</f>
        <v>16624</v>
      </c>
      <c r="B3953" s="4" t="s">
        <v>796</v>
      </c>
      <c r="C3953" s="4" t="s">
        <v>287</v>
      </c>
      <c r="D3953" s="94">
        <v>917.0</v>
      </c>
    </row>
    <row r="3954">
      <c r="A3954" s="40">
        <f t="array" ref="A3954">IFNA(index(PlayerValues!A:A,match(IFNA(vlookup(B3954,'Special Names'!A:B,2,FALSE),B3954),PlayerValues!E:E,0)),"N/A")</f>
        <v>17475</v>
      </c>
      <c r="B3954" s="4" t="s">
        <v>615</v>
      </c>
      <c r="C3954" s="4" t="s">
        <v>278</v>
      </c>
      <c r="D3954" s="94">
        <v>911.0</v>
      </c>
    </row>
    <row r="3955">
      <c r="A3955" s="40">
        <f t="array" ref="A3955">IFNA(index(PlayerValues!A:A,match(IFNA(vlookup(B3955,'Special Names'!A:B,2,FALSE),B3955),PlayerValues!E:E,0)),"N/A")</f>
        <v>15720</v>
      </c>
      <c r="B3955" s="4" t="s">
        <v>795</v>
      </c>
      <c r="C3955" s="4" t="s">
        <v>278</v>
      </c>
      <c r="D3955" s="94">
        <v>907.0</v>
      </c>
    </row>
    <row r="3956">
      <c r="A3956" s="40">
        <f t="array" ref="A3956">IFNA(index(PlayerValues!A:A,match(IFNA(vlookup(B3956,'Special Names'!A:B,2,FALSE),B3956),PlayerValues!E:E,0)),"N/A")</f>
        <v>16773</v>
      </c>
      <c r="B3956" s="4" t="s">
        <v>783</v>
      </c>
      <c r="C3956" s="4" t="s">
        <v>278</v>
      </c>
      <c r="D3956" s="94">
        <v>879.0</v>
      </c>
    </row>
    <row r="3957">
      <c r="A3957" s="40">
        <f t="array" ref="A3957">IFNA(index(PlayerValues!A:A,match(IFNA(vlookup(B3957,'Special Names'!A:B,2,FALSE),B3957),PlayerValues!E:E,0)),"N/A")</f>
        <v>16599</v>
      </c>
      <c r="B3957" s="4" t="s">
        <v>737</v>
      </c>
      <c r="C3957" s="4" t="s">
        <v>278</v>
      </c>
      <c r="D3957" s="94">
        <v>871.0</v>
      </c>
    </row>
    <row r="3958">
      <c r="A3958" s="40">
        <f t="array" ref="A3958">IFNA(index(PlayerValues!A:A,match(IFNA(vlookup(B3958,'Special Names'!A:B,2,FALSE),B3958),PlayerValues!E:E,0)),"N/A")</f>
        <v>16416</v>
      </c>
      <c r="B3958" s="4" t="s">
        <v>752</v>
      </c>
      <c r="C3958" s="4" t="s">
        <v>287</v>
      </c>
      <c r="D3958" s="94">
        <v>866.0</v>
      </c>
    </row>
    <row r="3959">
      <c r="A3959" s="40">
        <f t="array" ref="A3959">IFNA(index(PlayerValues!A:A,match(IFNA(vlookup(B3959,'Special Names'!A:B,2,FALSE),B3959),PlayerValues!E:E,0)),"N/A")</f>
        <v>17549</v>
      </c>
      <c r="B3959" s="4" t="s">
        <v>720</v>
      </c>
      <c r="C3959" s="4" t="s">
        <v>298</v>
      </c>
      <c r="D3959" s="94">
        <v>1231.0</v>
      </c>
    </row>
    <row r="3960">
      <c r="A3960" s="40">
        <f t="array" ref="A3960">IFNA(index(PlayerValues!A:A,match(IFNA(vlookup(B3960,'Special Names'!A:B,2,FALSE),B3960),PlayerValues!E:E,0)),"N/A")</f>
        <v>13138</v>
      </c>
      <c r="B3960" s="4" t="s">
        <v>817</v>
      </c>
      <c r="C3960" s="4" t="s">
        <v>278</v>
      </c>
      <c r="D3960" s="94">
        <v>862.0</v>
      </c>
    </row>
    <row r="3961">
      <c r="A3961" s="40">
        <f t="array" ref="A3961">IFNA(index(PlayerValues!A:A,match(IFNA(vlookup(B3961,'Special Names'!A:B,2,FALSE),B3961),PlayerValues!E:E,0)),"N/A")</f>
        <v>17504</v>
      </c>
      <c r="B3961" s="4" t="s">
        <v>693</v>
      </c>
      <c r="C3961" s="4" t="s">
        <v>287</v>
      </c>
      <c r="D3961" s="94">
        <v>858.0</v>
      </c>
    </row>
    <row r="3962">
      <c r="A3962" s="40">
        <f t="array" ref="A3962">IFNA(index(PlayerValues!A:A,match(IFNA(vlookup(B3962,'Special Names'!A:B,2,FALSE),B3962),PlayerValues!E:E,0)),"N/A")</f>
        <v>17487</v>
      </c>
      <c r="B3962" s="4" t="s">
        <v>692</v>
      </c>
      <c r="C3962" s="4" t="s">
        <v>278</v>
      </c>
      <c r="D3962" s="94">
        <v>848.0</v>
      </c>
    </row>
    <row r="3963">
      <c r="A3963" s="40">
        <f t="array" ref="A3963">IFNA(index(PlayerValues!A:A,match(IFNA(vlookup(B3963,'Special Names'!A:B,2,FALSE),B3963),PlayerValues!E:E,0)),"N/A")</f>
        <v>12785</v>
      </c>
      <c r="B3963" s="4" t="s">
        <v>772</v>
      </c>
      <c r="C3963" s="4" t="s">
        <v>287</v>
      </c>
      <c r="D3963" s="94">
        <v>841.0</v>
      </c>
    </row>
    <row r="3964">
      <c r="A3964" s="40">
        <f t="array" ref="A3964">IFNA(index(PlayerValues!A:A,match(IFNA(vlookup(B3964,'Special Names'!A:B,2,FALSE),B3964),PlayerValues!E:E,0)),"N/A")</f>
        <v>16751</v>
      </c>
      <c r="B3964" s="4" t="s">
        <v>762</v>
      </c>
      <c r="C3964" s="4" t="s">
        <v>287</v>
      </c>
      <c r="D3964" s="94">
        <v>841.0</v>
      </c>
    </row>
    <row r="3965">
      <c r="A3965" s="40">
        <f t="array" ref="A3965">IFNA(index(PlayerValues!A:A,match(IFNA(vlookup(B3965,'Special Names'!A:B,2,FALSE),B3965),PlayerValues!E:E,0)),"N/A")</f>
        <v>17657</v>
      </c>
      <c r="B3965" s="4" t="s">
        <v>642</v>
      </c>
      <c r="C3965" s="4" t="s">
        <v>283</v>
      </c>
      <c r="D3965" s="94">
        <v>829.0</v>
      </c>
    </row>
    <row r="3966">
      <c r="A3966" s="40">
        <f t="array" ref="A3966">IFNA(index(PlayerValues!A:A,match(IFNA(vlookup(B3966,'Special Names'!A:B,2,FALSE),B3966),PlayerValues!E:E,0)),"N/A")</f>
        <v>14223</v>
      </c>
      <c r="B3966" s="4" t="s">
        <v>785</v>
      </c>
      <c r="C3966" s="4" t="s">
        <v>278</v>
      </c>
      <c r="D3966" s="94">
        <v>815.0</v>
      </c>
    </row>
    <row r="3967">
      <c r="A3967" s="40">
        <f t="array" ref="A3967">IFNA(index(PlayerValues!A:A,match(IFNA(vlookup(B3967,'Special Names'!A:B,2,FALSE),B3967),PlayerValues!E:E,0)),"N/A")</f>
        <v>17486</v>
      </c>
      <c r="B3967" s="4" t="s">
        <v>695</v>
      </c>
      <c r="C3967" s="4" t="s">
        <v>278</v>
      </c>
      <c r="D3967" s="94">
        <v>780.0</v>
      </c>
    </row>
    <row r="3968">
      <c r="A3968" s="40">
        <f t="array" ref="A3968">IFNA(index(PlayerValues!A:A,match(IFNA(vlookup(B3968,'Special Names'!A:B,2,FALSE),B3968),PlayerValues!E:E,0)),"N/A")</f>
        <v>17337</v>
      </c>
      <c r="B3968" s="4" t="s">
        <v>793</v>
      </c>
      <c r="C3968" s="4" t="s">
        <v>278</v>
      </c>
      <c r="D3968" s="94">
        <v>771.0</v>
      </c>
    </row>
    <row r="3969">
      <c r="A3969" s="40">
        <f t="array" ref="A3969">IFNA(index(PlayerValues!A:A,match(IFNA(vlookup(B3969,'Special Names'!A:B,2,FALSE),B3969),PlayerValues!E:E,0)),"N/A")</f>
        <v>17654</v>
      </c>
      <c r="B3969" s="4" t="s">
        <v>767</v>
      </c>
      <c r="C3969" s="4" t="s">
        <v>283</v>
      </c>
      <c r="D3969" s="94">
        <v>765.0</v>
      </c>
    </row>
    <row r="3970">
      <c r="A3970" s="40">
        <f t="array" ref="A3970">IFNA(index(PlayerValues!A:A,match(IFNA(vlookup(B3970,'Special Names'!A:B,2,FALSE),B3970),PlayerValues!E:E,0)),"N/A")</f>
        <v>16176</v>
      </c>
      <c r="B3970" s="4" t="s">
        <v>812</v>
      </c>
      <c r="C3970" s="4" t="s">
        <v>278</v>
      </c>
      <c r="D3970" s="94">
        <v>747.0</v>
      </c>
    </row>
    <row r="3971">
      <c r="A3971" s="40">
        <f t="array" ref="A3971">IFNA(index(PlayerValues!A:A,match(IFNA(vlookup(B3971,'Special Names'!A:B,2,FALSE),B3971),PlayerValues!E:E,0)),"N/A")</f>
        <v>16606</v>
      </c>
      <c r="B3971" s="4" t="s">
        <v>743</v>
      </c>
      <c r="C3971" s="4" t="s">
        <v>278</v>
      </c>
      <c r="D3971" s="94">
        <v>730.0</v>
      </c>
    </row>
    <row r="3972">
      <c r="A3972" s="40">
        <f t="array" ref="A3972">IFNA(index(PlayerValues!A:A,match(IFNA(vlookup(B3972,'Special Names'!A:B,2,FALSE),B3972),PlayerValues!E:E,0)),"N/A")</f>
        <v>17518</v>
      </c>
      <c r="B3972" s="4" t="s">
        <v>482</v>
      </c>
      <c r="C3972" s="4" t="s">
        <v>287</v>
      </c>
      <c r="D3972" s="94">
        <v>729.0</v>
      </c>
    </row>
    <row r="3973">
      <c r="A3973" s="40">
        <f t="array" ref="A3973">IFNA(index(PlayerValues!A:A,match(IFNA(vlookup(B3973,'Special Names'!A:B,2,FALSE),B3973),PlayerValues!E:E,0)),"N/A")</f>
        <v>16623</v>
      </c>
      <c r="B3973" s="4" t="s">
        <v>803</v>
      </c>
      <c r="C3973" s="4" t="s">
        <v>287</v>
      </c>
      <c r="D3973" s="94">
        <v>721.0</v>
      </c>
    </row>
    <row r="3974">
      <c r="A3974" s="40">
        <f t="array" ref="A3974">IFNA(index(PlayerValues!A:A,match(IFNA(vlookup(B3974,'Special Names'!A:B,2,FALSE),B3974),PlayerValues!E:E,0)),"N/A")</f>
        <v>14864</v>
      </c>
      <c r="B3974" s="4" t="s">
        <v>789</v>
      </c>
      <c r="C3974" s="4" t="s">
        <v>287</v>
      </c>
      <c r="D3974" s="94">
        <v>706.0</v>
      </c>
    </row>
    <row r="3975">
      <c r="A3975" s="40">
        <f t="array" ref="A3975">IFNA(index(PlayerValues!A:A,match(IFNA(vlookup(B3975,'Special Names'!A:B,2,FALSE),B3975),PlayerValues!E:E,0)),"N/A")</f>
        <v>12263</v>
      </c>
      <c r="B3975" s="4" t="s">
        <v>697</v>
      </c>
      <c r="C3975" s="4" t="s">
        <v>298</v>
      </c>
      <c r="D3975" s="94">
        <v>1055.0</v>
      </c>
    </row>
    <row r="3976">
      <c r="A3976" s="40">
        <f t="array" ref="A3976">IFNA(index(PlayerValues!A:A,match(IFNA(vlookup(B3976,'Special Names'!A:B,2,FALSE),B3976),PlayerValues!E:E,0)),"N/A")</f>
        <v>15723</v>
      </c>
      <c r="B3976" s="4" t="s">
        <v>798</v>
      </c>
      <c r="C3976" s="4" t="s">
        <v>278</v>
      </c>
      <c r="D3976" s="94">
        <v>692.0</v>
      </c>
    </row>
    <row r="3977">
      <c r="A3977" s="40">
        <f t="array" ref="A3977">IFNA(index(PlayerValues!A:A,match(IFNA(vlookup(B3977,'Special Names'!A:B,2,FALSE),B3977),PlayerValues!E:E,0)),"N/A")</f>
        <v>16686</v>
      </c>
      <c r="B3977" s="4" t="s">
        <v>805</v>
      </c>
      <c r="C3977" s="4" t="s">
        <v>287</v>
      </c>
      <c r="D3977" s="94">
        <v>674.0</v>
      </c>
    </row>
    <row r="3978">
      <c r="A3978" s="40">
        <f t="array" ref="A3978">IFNA(index(PlayerValues!A:A,match(IFNA(vlookup(B3978,'Special Names'!A:B,2,FALSE),B3978),PlayerValues!E:E,0)),"N/A")</f>
        <v>17545</v>
      </c>
      <c r="B3978" s="4" t="s">
        <v>719</v>
      </c>
      <c r="C3978" s="4" t="s">
        <v>298</v>
      </c>
      <c r="D3978" s="94">
        <v>1025.0</v>
      </c>
    </row>
    <row r="3979">
      <c r="A3979" s="40">
        <f t="array" ref="A3979">IFNA(index(PlayerValues!A:A,match(IFNA(vlookup(B3979,'Special Names'!A:B,2,FALSE),B3979),PlayerValues!E:E,0)),"N/A")</f>
        <v>17627</v>
      </c>
      <c r="B3979" s="4" t="s">
        <v>684</v>
      </c>
      <c r="C3979" s="4" t="s">
        <v>298</v>
      </c>
      <c r="D3979" s="94">
        <v>1024.0</v>
      </c>
    </row>
    <row r="3980">
      <c r="A3980" s="40">
        <f t="array" ref="A3980">IFNA(index(PlayerValues!A:A,match(IFNA(vlookup(B3980,'Special Names'!A:B,2,FALSE),B3980),PlayerValues!E:E,0)),"N/A")</f>
        <v>17541</v>
      </c>
      <c r="B3980" s="4" t="s">
        <v>616</v>
      </c>
      <c r="C3980" s="4" t="s">
        <v>287</v>
      </c>
      <c r="D3980" s="94">
        <v>620.0</v>
      </c>
    </row>
    <row r="3981">
      <c r="A3981" s="40">
        <f t="array" ref="A3981">IFNA(index(PlayerValues!A:A,match(IFNA(vlookup(B3981,'Special Names'!A:B,2,FALSE),B3981),PlayerValues!E:E,0)),"N/A")</f>
        <v>13133</v>
      </c>
      <c r="B3981" s="4" t="s">
        <v>764</v>
      </c>
      <c r="C3981" s="4" t="s">
        <v>278</v>
      </c>
      <c r="D3981" s="94">
        <v>607.0</v>
      </c>
    </row>
    <row r="3982">
      <c r="A3982" s="40">
        <f t="array" ref="A3982">IFNA(index(PlayerValues!A:A,match(IFNA(vlookup(B3982,'Special Names'!A:B,2,FALSE),B3982),PlayerValues!E:E,0)),"N/A")</f>
        <v>13595</v>
      </c>
      <c r="B3982" s="4" t="s">
        <v>818</v>
      </c>
      <c r="C3982" s="4" t="s">
        <v>283</v>
      </c>
      <c r="D3982" s="94">
        <v>591.0</v>
      </c>
    </row>
    <row r="3983">
      <c r="A3983" s="40">
        <f t="array" ref="A3983">IFNA(index(PlayerValues!A:A,match(IFNA(vlookup(B3983,'Special Names'!A:B,2,FALSE),B3983),PlayerValues!E:E,0)),"N/A")</f>
        <v>16159</v>
      </c>
      <c r="B3983" s="4" t="s">
        <v>819</v>
      </c>
      <c r="C3983" s="4" t="s">
        <v>283</v>
      </c>
      <c r="D3983" s="94">
        <v>566.0</v>
      </c>
    </row>
    <row r="3984">
      <c r="A3984" s="40">
        <f t="array" ref="A3984">IFNA(index(PlayerValues!A:A,match(IFNA(vlookup(B3984,'Special Names'!A:B,2,FALSE),B3984),PlayerValues!E:E,0)),"N/A")</f>
        <v>15804</v>
      </c>
      <c r="B3984" s="4" t="s">
        <v>821</v>
      </c>
      <c r="C3984" s="4" t="s">
        <v>298</v>
      </c>
      <c r="D3984" s="94">
        <v>871.0</v>
      </c>
    </row>
    <row r="3985">
      <c r="A3985" s="40">
        <f t="array" ref="A3985">IFNA(index(PlayerValues!A:A,match(IFNA(vlookup(B3985,'Special Names'!A:B,2,FALSE),B3985),PlayerValues!E:E,0)),"N/A")</f>
        <v>14858</v>
      </c>
      <c r="B3985" s="4" t="s">
        <v>799</v>
      </c>
      <c r="C3985" s="4" t="s">
        <v>287</v>
      </c>
      <c r="D3985" s="94">
        <v>515.0</v>
      </c>
    </row>
    <row r="3986">
      <c r="A3986" s="40">
        <f t="array" ref="A3986">IFNA(index(PlayerValues!A:A,match(IFNA(vlookup(B3986,'Special Names'!A:B,2,FALSE),B3986),PlayerValues!E:E,0)),"N/A")</f>
        <v>15796</v>
      </c>
      <c r="B3986" s="4" t="s">
        <v>794</v>
      </c>
      <c r="C3986" s="4" t="s">
        <v>298</v>
      </c>
      <c r="D3986" s="94">
        <v>850.0</v>
      </c>
    </row>
    <row r="3987">
      <c r="A3987" s="40">
        <f t="array" ref="A3987">IFNA(index(PlayerValues!A:A,match(IFNA(vlookup(B3987,'Special Names'!A:B,2,FALSE),B3987),PlayerValues!E:E,0)),"N/A")</f>
        <v>17038</v>
      </c>
      <c r="B3987" s="4" t="s">
        <v>774</v>
      </c>
      <c r="C3987" s="4" t="s">
        <v>283</v>
      </c>
      <c r="D3987" s="94">
        <v>505.0</v>
      </c>
    </row>
    <row r="3988">
      <c r="A3988" s="40">
        <f t="array" ref="A3988">IFNA(index(PlayerValues!A:A,match(IFNA(vlookup(B3988,'Special Names'!A:B,2,FALSE),B3988),PlayerValues!E:E,0)),"N/A")</f>
        <v>17243</v>
      </c>
      <c r="B3988" s="4" t="s">
        <v>810</v>
      </c>
      <c r="C3988" s="4" t="s">
        <v>298</v>
      </c>
      <c r="D3988" s="94">
        <v>850.0</v>
      </c>
    </row>
    <row r="3989">
      <c r="A3989" s="40">
        <f t="array" ref="A3989">IFNA(index(PlayerValues!A:A,match(IFNA(vlookup(B3989,'Special Names'!A:B,2,FALSE),B3989),PlayerValues!E:E,0)),"N/A")</f>
        <v>13143</v>
      </c>
      <c r="B3989" s="4" t="s">
        <v>786</v>
      </c>
      <c r="C3989" s="4" t="s">
        <v>278</v>
      </c>
      <c r="D3989" s="94">
        <v>504.0</v>
      </c>
    </row>
    <row r="3990">
      <c r="A3990" s="40">
        <f t="array" ref="A3990">IFNA(index(PlayerValues!A:A,match(IFNA(vlookup(B3990,'Special Names'!A:B,2,FALSE),B3990),PlayerValues!E:E,0)),"N/A")</f>
        <v>16957</v>
      </c>
      <c r="B3990" s="4" t="s">
        <v>806</v>
      </c>
      <c r="C3990" s="4" t="s">
        <v>278</v>
      </c>
      <c r="D3990" s="94">
        <v>504.0</v>
      </c>
    </row>
    <row r="3991">
      <c r="A3991" s="40">
        <f t="array" ref="A3991">IFNA(index(PlayerValues!A:A,match(IFNA(vlookup(B3991,'Special Names'!A:B,2,FALSE),B3991),PlayerValues!E:E,0)),"N/A")</f>
        <v>13066</v>
      </c>
      <c r="B3991" s="4" t="s">
        <v>822</v>
      </c>
      <c r="C3991" s="4" t="s">
        <v>287</v>
      </c>
      <c r="D3991" s="94">
        <v>502.0</v>
      </c>
    </row>
    <row r="3992">
      <c r="A3992" s="40">
        <f t="array" ref="A3992">IFNA(index(PlayerValues!A:A,match(IFNA(vlookup(B3992,'Special Names'!A:B,2,FALSE),B3992),PlayerValues!E:E,0)),"N/A")</f>
        <v>12658</v>
      </c>
      <c r="B3992" s="4" t="s">
        <v>823</v>
      </c>
      <c r="C3992" s="4" t="s">
        <v>287</v>
      </c>
      <c r="D3992" s="94">
        <v>501.0</v>
      </c>
    </row>
    <row r="3993">
      <c r="A3993" s="40">
        <f t="array" ref="A3993">IFNA(index(PlayerValues!A:A,match(IFNA(vlookup(B3993,'Special Names'!A:B,2,FALSE),B3993),PlayerValues!E:E,0)),"N/A")</f>
        <v>14239</v>
      </c>
      <c r="B3993" s="4" t="s">
        <v>824</v>
      </c>
      <c r="C3993" s="4" t="s">
        <v>298</v>
      </c>
      <c r="D3993" s="94">
        <v>846.0</v>
      </c>
    </row>
    <row r="3994">
      <c r="A3994" s="40">
        <f t="array" ref="A3994">IFNA(index(PlayerValues!A:A,match(IFNA(vlookup(B3994,'Special Names'!A:B,2,FALSE),B3994),PlayerValues!E:E,0)),"N/A")</f>
        <v>16625</v>
      </c>
      <c r="B3994" s="4" t="s">
        <v>778</v>
      </c>
      <c r="C3994" s="4" t="s">
        <v>287</v>
      </c>
      <c r="D3994" s="94">
        <v>497.0</v>
      </c>
    </row>
    <row r="3995">
      <c r="A3995" s="40">
        <f t="array" ref="A3995">IFNA(index(PlayerValues!A:A,match(IFNA(vlookup(B3995,'Special Names'!A:B,2,FALSE),B3995),PlayerValues!E:E,0)),"N/A")</f>
        <v>13610</v>
      </c>
      <c r="B3995" s="4" t="s">
        <v>825</v>
      </c>
      <c r="C3995" s="4" t="s">
        <v>278</v>
      </c>
      <c r="D3995" s="94">
        <v>496.0</v>
      </c>
    </row>
    <row r="3996">
      <c r="A3996" s="40">
        <f t="array" ref="A3996">IFNA(index(PlayerValues!A:A,match(IFNA(vlookup(B3996,'Special Names'!A:B,2,FALSE),B3996),PlayerValues!E:E,0)),"N/A")</f>
        <v>16299</v>
      </c>
      <c r="B3996" s="4" t="s">
        <v>787</v>
      </c>
      <c r="C3996" s="4" t="s">
        <v>287</v>
      </c>
      <c r="D3996" s="94">
        <v>496.0</v>
      </c>
    </row>
    <row r="3997">
      <c r="A3997" s="40">
        <f t="array" ref="A3997">IFNA(index(PlayerValues!A:A,match(IFNA(vlookup(B3997,'Special Names'!A:B,2,FALSE),B3997),PlayerValues!E:E,0)),"N/A")</f>
        <v>11232</v>
      </c>
      <c r="B3997" s="4" t="s">
        <v>826</v>
      </c>
      <c r="C3997" s="4" t="s">
        <v>287</v>
      </c>
      <c r="D3997" s="94">
        <v>495.0</v>
      </c>
    </row>
    <row r="3998">
      <c r="A3998" s="40">
        <f t="array" ref="A3998">IFNA(index(PlayerValues!A:A,match(IFNA(vlookup(B3998,'Special Names'!A:B,2,FALSE),B3998),PlayerValues!E:E,0)),"N/A")</f>
        <v>10413</v>
      </c>
      <c r="B3998" s="4" t="s">
        <v>811</v>
      </c>
      <c r="C3998" s="4" t="s">
        <v>283</v>
      </c>
      <c r="D3998" s="94">
        <v>494.0</v>
      </c>
    </row>
    <row r="3999">
      <c r="A3999" s="40">
        <f t="array" ref="A3999">IFNA(index(PlayerValues!A:A,match(IFNA(vlookup(B3999,'Special Names'!A:B,2,FALSE),B3999),PlayerValues!E:E,0)),"N/A")</f>
        <v>16413</v>
      </c>
      <c r="B3999" s="4" t="s">
        <v>781</v>
      </c>
      <c r="C3999" s="4" t="s">
        <v>287</v>
      </c>
      <c r="D3999" s="94">
        <v>493.0</v>
      </c>
    </row>
    <row r="4000">
      <c r="A4000" s="40">
        <f t="array" ref="A4000">IFNA(index(PlayerValues!A:A,match(IFNA(vlookup(B4000,'Special Names'!A:B,2,FALSE),B4000),PlayerValues!E:E,0)),"N/A")</f>
        <v>13404</v>
      </c>
      <c r="B4000" s="4" t="s">
        <v>827</v>
      </c>
      <c r="C4000" s="4" t="s">
        <v>278</v>
      </c>
      <c r="D4000" s="94">
        <v>13.0</v>
      </c>
    </row>
    <row r="4001">
      <c r="A4001" s="40">
        <f t="array" ref="A4001">IFNA(index(PlayerValues!A:A,match(IFNA(vlookup(B4001,'Special Names'!A:B,2,FALSE),B4001),PlayerValues!E:E,0)),"N/A")</f>
        <v>13589</v>
      </c>
      <c r="B4001" s="4" t="s">
        <v>282</v>
      </c>
      <c r="C4001" s="4" t="s">
        <v>283</v>
      </c>
      <c r="D4001" s="94">
        <v>9995.0</v>
      </c>
    </row>
    <row r="4002">
      <c r="A4002" s="40">
        <f t="array" ref="A4002">IFNA(index(PlayerValues!A:A,match(IFNA(vlookup(B4002,'Special Names'!A:B,2,FALSE),B4002),PlayerValues!E:E,0)),"N/A")</f>
        <v>16161</v>
      </c>
      <c r="B4002" s="4" t="s">
        <v>277</v>
      </c>
      <c r="C4002" s="4" t="s">
        <v>278</v>
      </c>
      <c r="D4002" s="94">
        <v>9992.0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9968.0</v>
      </c>
    </row>
    <row r="4004">
      <c r="A4004" s="40">
        <f t="array" ref="A4004">IFNA(index(PlayerValues!A:A,match(IFNA(vlookup(B4004,'Special Names'!A:B,2,FALSE),B4004),PlayerValues!E:E,0)),"N/A")</f>
        <v>16185</v>
      </c>
      <c r="B4004" s="4" t="s">
        <v>290</v>
      </c>
      <c r="C4004" s="4" t="s">
        <v>287</v>
      </c>
      <c r="D4004" s="94">
        <v>9831.0</v>
      </c>
    </row>
    <row r="4005">
      <c r="A4005" s="40">
        <f t="array" ref="A4005">IFNA(index(PlayerValues!A:A,match(IFNA(vlookup(B4005,'Special Names'!A:B,2,FALSE),B4005),PlayerValues!E:E,0)),"N/A")</f>
        <v>16162</v>
      </c>
      <c r="B4005" s="4" t="s">
        <v>281</v>
      </c>
      <c r="C4005" s="4" t="s">
        <v>278</v>
      </c>
      <c r="D4005" s="94">
        <v>9654.0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9386.0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8603.0</v>
      </c>
    </row>
    <row r="4008">
      <c r="A4008" s="40">
        <f t="array" ref="A4008">IFNA(index(PlayerValues!A:A,match(IFNA(vlookup(B4008,'Special Names'!A:B,2,FALSE),B4008),PlayerValues!E:E,0)),"N/A")</f>
        <v>16641</v>
      </c>
      <c r="B4008" s="4" t="s">
        <v>297</v>
      </c>
      <c r="C4008" s="4" t="s">
        <v>298</v>
      </c>
      <c r="D4008" s="94">
        <v>8907.0</v>
      </c>
    </row>
    <row r="4009">
      <c r="A4009" s="40">
        <f t="array" ref="A4009">IFNA(index(PlayerValues!A:A,match(IFNA(vlookup(B4009,'Special Names'!A:B,2,FALSE),B4009),PlayerValues!E:E,0)),"N/A")</f>
        <v>16579</v>
      </c>
      <c r="B4009" s="4" t="s">
        <v>302</v>
      </c>
      <c r="C4009" s="4" t="s">
        <v>283</v>
      </c>
      <c r="D4009" s="94">
        <v>7945.0</v>
      </c>
    </row>
    <row r="4010">
      <c r="A4010" s="40">
        <f t="array" ref="A4010">IFNA(index(PlayerValues!A:A,match(IFNA(vlookup(B4010,'Special Names'!A:B,2,FALSE),B4010),PlayerValues!E:E,0)),"N/A")</f>
        <v>16581</v>
      </c>
      <c r="B4010" s="4" t="s">
        <v>315</v>
      </c>
      <c r="C4010" s="4" t="s">
        <v>283</v>
      </c>
      <c r="D4010" s="94">
        <v>7848.0</v>
      </c>
    </row>
    <row r="4011">
      <c r="A4011" s="40">
        <f t="array" ref="A4011">IFNA(index(PlayerValues!A:A,match(IFNA(vlookup(B4011,'Special Names'!A:B,2,FALSE),B4011),PlayerValues!E:E,0)),"N/A")</f>
        <v>15287</v>
      </c>
      <c r="B4011" s="4" t="s">
        <v>299</v>
      </c>
      <c r="C4011" s="4" t="s">
        <v>287</v>
      </c>
      <c r="D4011" s="94">
        <v>7845.0</v>
      </c>
    </row>
    <row r="4012">
      <c r="A4012" s="40">
        <f t="array" ref="A4012">IFNA(index(PlayerValues!A:A,match(IFNA(vlookup(B4012,'Special Names'!A:B,2,FALSE),B4012),PlayerValues!E:E,0)),"N/A")</f>
        <v>14836</v>
      </c>
      <c r="B4012" s="4" t="s">
        <v>306</v>
      </c>
      <c r="C4012" s="4" t="s">
        <v>287</v>
      </c>
      <c r="D4012" s="94">
        <v>7789.0</v>
      </c>
    </row>
    <row r="4013">
      <c r="A4013" s="40">
        <f t="array" ref="A4013">IFNA(index(PlayerValues!A:A,match(IFNA(vlookup(B4013,'Special Names'!A:B,2,FALSE),B4013),PlayerValues!E:E,0)),"N/A")</f>
        <v>13593</v>
      </c>
      <c r="B4013" s="4" t="s">
        <v>305</v>
      </c>
      <c r="C4013" s="4" t="s">
        <v>283</v>
      </c>
      <c r="D4013" s="94">
        <v>7650.0</v>
      </c>
    </row>
    <row r="4014">
      <c r="A4014" s="40">
        <f t="array" ref="A4014">IFNA(index(PlayerValues!A:A,match(IFNA(vlookup(B4014,'Special Names'!A:B,2,FALSE),B4014),PlayerValues!E:E,0)),"N/A")</f>
        <v>17472</v>
      </c>
      <c r="B4014" s="4" t="s">
        <v>310</v>
      </c>
      <c r="C4014" s="4" t="s">
        <v>278</v>
      </c>
      <c r="D4014" s="94">
        <v>7649.0</v>
      </c>
    </row>
    <row r="4015">
      <c r="A4015" s="40">
        <f t="array" ref="A4015">IFNA(index(PlayerValues!A:A,match(IFNA(vlookup(B4015,'Special Names'!A:B,2,FALSE),B4015),PlayerValues!E:E,0)),"N/A")</f>
        <v>16615</v>
      </c>
      <c r="B4015" s="4" t="s">
        <v>309</v>
      </c>
      <c r="C4015" s="4" t="s">
        <v>287</v>
      </c>
      <c r="D4015" s="94">
        <v>7645.0</v>
      </c>
    </row>
    <row r="4016">
      <c r="A4016" s="40">
        <f t="array" ref="A4016">IFNA(index(PlayerValues!A:A,match(IFNA(vlookup(B4016,'Special Names'!A:B,2,FALSE),B4016),PlayerValues!E:E,0)),"N/A")</f>
        <v>17042</v>
      </c>
      <c r="B4016" s="4" t="s">
        <v>314</v>
      </c>
      <c r="C4016" s="4" t="s">
        <v>278</v>
      </c>
      <c r="D4016" s="94">
        <v>7576.0</v>
      </c>
    </row>
    <row r="4017">
      <c r="A4017" s="40">
        <f t="array" ref="A4017">IFNA(index(PlayerValues!A:A,match(IFNA(vlookup(B4017,'Special Names'!A:B,2,FALSE),B4017),PlayerValues!E:E,0)),"N/A")</f>
        <v>15794</v>
      </c>
      <c r="B4017" s="4" t="s">
        <v>313</v>
      </c>
      <c r="C4017" s="4" t="s">
        <v>298</v>
      </c>
      <c r="D4017" s="94">
        <v>8368.0</v>
      </c>
    </row>
    <row r="4018">
      <c r="A4018" s="40">
        <f t="array" ref="A4018">IFNA(index(PlayerValues!A:A,match(IFNA(vlookup(B4018,'Special Names'!A:B,2,FALSE),B4018),PlayerValues!E:E,0)),"N/A")</f>
        <v>14777</v>
      </c>
      <c r="B4018" s="4" t="s">
        <v>318</v>
      </c>
      <c r="C4018" s="4" t="s">
        <v>283</v>
      </c>
      <c r="D4018" s="94">
        <v>7439.0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7259.0</v>
      </c>
    </row>
    <row r="4020">
      <c r="A4020" s="40" t="str">
        <f t="array" ref="A4020">IFNA(index(PlayerValues!A:A,match(IFNA(vlookup(B4020,'Special Names'!A:B,2,FALSE),B4020),PlayerValues!E:E,0)),"N/A")</f>
        <v>N/A</v>
      </c>
      <c r="B4020" s="4" t="s">
        <v>92</v>
      </c>
      <c r="C4020" s="4" t="s">
        <v>325</v>
      </c>
      <c r="D4020" s="94">
        <v>7139.0</v>
      </c>
    </row>
    <row r="4021">
      <c r="A4021" s="40">
        <f t="array" ref="A4021">IFNA(index(PlayerValues!A:A,match(IFNA(vlookup(B4021,'Special Names'!A:B,2,FALSE),B4021),PlayerValues!E:E,0)),"N/A")</f>
        <v>15751</v>
      </c>
      <c r="B4021" s="4" t="s">
        <v>328</v>
      </c>
      <c r="C4021" s="4" t="s">
        <v>287</v>
      </c>
      <c r="D4021" s="94">
        <v>6935.0</v>
      </c>
    </row>
    <row r="4022">
      <c r="A4022" s="40">
        <f t="array" ref="A4022">IFNA(index(PlayerValues!A:A,match(IFNA(vlookup(B4022,'Special Names'!A:B,2,FALSE),B4022),PlayerValues!E:E,0)),"N/A")</f>
        <v>16167</v>
      </c>
      <c r="B4022" s="4" t="s">
        <v>323</v>
      </c>
      <c r="C4022" s="4" t="s">
        <v>278</v>
      </c>
      <c r="D4022" s="94">
        <v>6914.0</v>
      </c>
    </row>
    <row r="4023">
      <c r="A4023" s="40">
        <f t="array" ref="A4023">IFNA(index(PlayerValues!A:A,match(IFNA(vlookup(B4023,'Special Names'!A:B,2,FALSE),B4023),PlayerValues!E:E,0)),"N/A")</f>
        <v>14779</v>
      </c>
      <c r="B4023" s="4" t="s">
        <v>327</v>
      </c>
      <c r="C4023" s="4" t="s">
        <v>283</v>
      </c>
      <c r="D4023" s="94">
        <v>6841.0</v>
      </c>
    </row>
    <row r="4024">
      <c r="A4024" s="40">
        <f t="array" ref="A4024">IFNA(index(PlayerValues!A:A,match(IFNA(vlookup(B4024,'Special Names'!A:B,2,FALSE),B4024),PlayerValues!E:E,0)),"N/A")</f>
        <v>17044</v>
      </c>
      <c r="B4024" s="4" t="s">
        <v>322</v>
      </c>
      <c r="C4024" s="4" t="s">
        <v>278</v>
      </c>
      <c r="D4024" s="94">
        <v>6810.0</v>
      </c>
    </row>
    <row r="4025">
      <c r="A4025" s="40">
        <f t="array" ref="A4025">IFNA(index(PlayerValues!A:A,match(IFNA(vlookup(B4025,'Special Names'!A:B,2,FALSE),B4025),PlayerValues!E:E,0)),"N/A")</f>
        <v>13116</v>
      </c>
      <c r="B4025" s="4" t="s">
        <v>345</v>
      </c>
      <c r="C4025" s="4" t="s">
        <v>283</v>
      </c>
      <c r="D4025" s="94">
        <v>6685.0</v>
      </c>
    </row>
    <row r="4026">
      <c r="A4026" s="40">
        <f t="array" ref="A4026">IFNA(index(PlayerValues!A:A,match(IFNA(vlookup(B4026,'Special Names'!A:B,2,FALSE),B4026),PlayerValues!E:E,0)),"N/A")</f>
        <v>17032</v>
      </c>
      <c r="B4026" s="4" t="s">
        <v>348</v>
      </c>
      <c r="C4026" s="4" t="s">
        <v>283</v>
      </c>
      <c r="D4026" s="94">
        <v>6606.0</v>
      </c>
    </row>
    <row r="4027">
      <c r="A4027" s="40">
        <f t="array" ref="A4027">IFNA(index(PlayerValues!A:A,match(IFNA(vlookup(B4027,'Special Names'!A:B,2,FALSE),B4027),PlayerValues!E:E,0)),"N/A")</f>
        <v>17071</v>
      </c>
      <c r="B4027" s="4" t="s">
        <v>341</v>
      </c>
      <c r="C4027" s="4" t="s">
        <v>287</v>
      </c>
      <c r="D4027" s="94">
        <v>6559.0</v>
      </c>
    </row>
    <row r="4028">
      <c r="A4028" s="40">
        <f t="array" ref="A4028">IFNA(index(PlayerValues!A:A,match(IFNA(vlookup(B4028,'Special Names'!A:B,2,FALSE),B4028),PlayerValues!E:E,0)),"N/A")</f>
        <v>15237</v>
      </c>
      <c r="B4028" s="4" t="s">
        <v>336</v>
      </c>
      <c r="C4028" s="4" t="s">
        <v>283</v>
      </c>
      <c r="D4028" s="94">
        <v>6373.0</v>
      </c>
    </row>
    <row r="4029">
      <c r="A4029" s="40">
        <f t="array" ref="A4029">IFNA(index(PlayerValues!A:A,match(IFNA(vlookup(B4029,'Special Names'!A:B,2,FALSE),B4029),PlayerValues!E:E,0)),"N/A")</f>
        <v>14783</v>
      </c>
      <c r="B4029" s="4" t="s">
        <v>342</v>
      </c>
      <c r="C4029" s="4" t="s">
        <v>283</v>
      </c>
      <c r="D4029" s="94">
        <v>6173.0</v>
      </c>
    </row>
    <row r="4030">
      <c r="A4030" s="40">
        <f t="array" ref="A4030">IFNA(index(PlayerValues!A:A,match(IFNA(vlookup(B4030,'Special Names'!A:B,2,FALSE),B4030),PlayerValues!E:E,0)),"N/A")</f>
        <v>17104</v>
      </c>
      <c r="B4030" s="4" t="s">
        <v>333</v>
      </c>
      <c r="C4030" s="4" t="s">
        <v>298</v>
      </c>
      <c r="D4030" s="94">
        <v>6788.0</v>
      </c>
    </row>
    <row r="4031">
      <c r="A4031" s="40">
        <f t="array" ref="A4031">IFNA(index(PlayerValues!A:A,match(IFNA(vlookup(B4031,'Special Names'!A:B,2,FALSE),B4031),PlayerValues!E:E,0)),"N/A")</f>
        <v>17081</v>
      </c>
      <c r="B4031" s="4" t="s">
        <v>340</v>
      </c>
      <c r="C4031" s="4" t="s">
        <v>287</v>
      </c>
      <c r="D4031" s="94">
        <v>6086.0</v>
      </c>
    </row>
    <row r="4032">
      <c r="A4032" s="40">
        <f t="array" ref="A4032">IFNA(index(PlayerValues!A:A,match(IFNA(vlookup(B4032,'Special Names'!A:B,2,FALSE),B4032),PlayerValues!E:E,0)),"N/A")</f>
        <v>16582</v>
      </c>
      <c r="B4032" s="4" t="s">
        <v>343</v>
      </c>
      <c r="C4032" s="4" t="s">
        <v>283</v>
      </c>
      <c r="D4032" s="94">
        <v>6030.0</v>
      </c>
    </row>
    <row r="4033">
      <c r="A4033" s="40">
        <f t="array" ref="A4033">IFNA(index(PlayerValues!A:A,match(IFNA(vlookup(B4033,'Special Names'!A:B,2,FALSE),B4033),PlayerValues!E:E,0)),"N/A")</f>
        <v>14802</v>
      </c>
      <c r="B4033" s="4" t="s">
        <v>332</v>
      </c>
      <c r="C4033" s="4" t="s">
        <v>278</v>
      </c>
      <c r="D4033" s="94">
        <v>6025.0</v>
      </c>
    </row>
    <row r="4034">
      <c r="A4034" s="40">
        <f t="array" ref="A4034">IFNA(index(PlayerValues!A:A,match(IFNA(vlookup(B4034,'Special Names'!A:B,2,FALSE),B4034),PlayerValues!E:E,0)),"N/A")</f>
        <v>15715</v>
      </c>
      <c r="B4034" s="4" t="s">
        <v>331</v>
      </c>
      <c r="C4034" s="4" t="s">
        <v>278</v>
      </c>
      <c r="D4034" s="94">
        <v>5983.0</v>
      </c>
    </row>
    <row r="4035">
      <c r="A4035" s="40">
        <f t="array" ref="A4035">IFNA(index(PlayerValues!A:A,match(IFNA(vlookup(B4035,'Special Names'!A:B,2,FALSE),B4035),PlayerValues!E:E,0)),"N/A")</f>
        <v>17497</v>
      </c>
      <c r="B4035" s="4" t="s">
        <v>365</v>
      </c>
      <c r="C4035" s="4" t="s">
        <v>287</v>
      </c>
      <c r="D4035" s="94">
        <v>5931.0</v>
      </c>
    </row>
    <row r="4036">
      <c r="A4036" s="40">
        <f t="array" ref="A4036">IFNA(index(PlayerValues!A:A,match(IFNA(vlookup(B4036,'Special Names'!A:B,2,FALSE),B4036),PlayerValues!E:E,0)),"N/A")</f>
        <v>15762</v>
      </c>
      <c r="B4036" s="4" t="s">
        <v>337</v>
      </c>
      <c r="C4036" s="4" t="s">
        <v>287</v>
      </c>
      <c r="D4036" s="94">
        <v>5893.0</v>
      </c>
    </row>
    <row r="4037">
      <c r="A4037" s="40">
        <f t="array" ref="A4037">IFNA(index(PlayerValues!A:A,match(IFNA(vlookup(B4037,'Special Names'!A:B,2,FALSE),B4037),PlayerValues!E:E,0)),"N/A")</f>
        <v>15698</v>
      </c>
      <c r="B4037" s="4" t="s">
        <v>358</v>
      </c>
      <c r="C4037" s="4" t="s">
        <v>283</v>
      </c>
      <c r="D4037" s="94">
        <v>5853.0</v>
      </c>
    </row>
    <row r="4038">
      <c r="A4038" s="40">
        <f t="array" ref="A4038">IFNA(index(PlayerValues!A:A,match(IFNA(vlookup(B4038,'Special Names'!A:B,2,FALSE),B4038),PlayerValues!E:E,0)),"N/A")</f>
        <v>17102</v>
      </c>
      <c r="B4038" s="4" t="s">
        <v>344</v>
      </c>
      <c r="C4038" s="4" t="s">
        <v>298</v>
      </c>
      <c r="D4038" s="94">
        <v>6424.0</v>
      </c>
    </row>
    <row r="4039">
      <c r="A4039" s="40">
        <f t="array" ref="A4039">IFNA(index(PlayerValues!A:A,match(IFNA(vlookup(B4039,'Special Names'!A:B,2,FALSE),B4039),PlayerValues!E:E,0)),"N/A")</f>
        <v>15753</v>
      </c>
      <c r="B4039" s="4" t="s">
        <v>359</v>
      </c>
      <c r="C4039" s="4" t="s">
        <v>287</v>
      </c>
      <c r="D4039" s="94">
        <v>5691.0</v>
      </c>
    </row>
    <row r="4040">
      <c r="A4040" s="40" t="str">
        <f t="array" ref="A4040">IFNA(index(PlayerValues!A:A,match(IFNA(vlookup(B4040,'Special Names'!A:B,2,FALSE),B4040),PlayerValues!E:E,0)),"N/A")</f>
        <v>N/A</v>
      </c>
      <c r="B4040" s="4" t="s">
        <v>93</v>
      </c>
      <c r="C4040" s="4" t="s">
        <v>325</v>
      </c>
      <c r="D4040" s="94">
        <v>5667.0</v>
      </c>
    </row>
    <row r="4041">
      <c r="A4041" s="40" t="str">
        <f t="array" ref="A4041">IFNA(index(PlayerValues!A:A,match(IFNA(vlookup(B4041,'Special Names'!A:B,2,FALSE),B4041),PlayerValues!E:E,0)),"N/A")</f>
        <v>N/A</v>
      </c>
      <c r="B4041" s="4" t="s">
        <v>79</v>
      </c>
      <c r="C4041" s="4" t="s">
        <v>325</v>
      </c>
      <c r="D4041" s="94">
        <v>5648.0</v>
      </c>
    </row>
    <row r="4042">
      <c r="A4042" s="40">
        <f t="array" ref="A4042">IFNA(index(PlayerValues!A:A,match(IFNA(vlookup(B4042,'Special Names'!A:B,2,FALSE),B4042),PlayerValues!E:E,0)),"N/A")</f>
        <v>14782</v>
      </c>
      <c r="B4042" s="4" t="s">
        <v>385</v>
      </c>
      <c r="C4042" s="4" t="s">
        <v>283</v>
      </c>
      <c r="D4042" s="94">
        <v>5616.0</v>
      </c>
    </row>
    <row r="4043">
      <c r="A4043" s="40">
        <f t="array" ref="A4043">IFNA(index(PlayerValues!A:A,match(IFNA(vlookup(B4043,'Special Names'!A:B,2,FALSE),B4043),PlayerValues!E:E,0)),"N/A")</f>
        <v>17462</v>
      </c>
      <c r="B4043" s="4" t="s">
        <v>375</v>
      </c>
      <c r="C4043" s="4" t="s">
        <v>283</v>
      </c>
      <c r="D4043" s="94">
        <v>5613.0</v>
      </c>
    </row>
    <row r="4044">
      <c r="A4044" s="40">
        <f t="array" ref="A4044">IFNA(index(PlayerValues!A:A,match(IFNA(vlookup(B4044,'Special Names'!A:B,2,FALSE),B4044),PlayerValues!E:E,0)),"N/A")</f>
        <v>15290</v>
      </c>
      <c r="B4044" s="4" t="s">
        <v>355</v>
      </c>
      <c r="C4044" s="4" t="s">
        <v>287</v>
      </c>
      <c r="D4044" s="94">
        <v>5585.0</v>
      </c>
    </row>
    <row r="4045">
      <c r="A4045" s="40">
        <f t="array" ref="A4045">IFNA(index(PlayerValues!A:A,match(IFNA(vlookup(B4045,'Special Names'!A:B,2,FALSE),B4045),PlayerValues!E:E,0)),"N/A")</f>
        <v>17051</v>
      </c>
      <c r="B4045" s="4" t="s">
        <v>386</v>
      </c>
      <c r="C4045" s="4" t="s">
        <v>278</v>
      </c>
      <c r="D4045" s="94">
        <v>5519.0</v>
      </c>
    </row>
    <row r="4046">
      <c r="A4046" s="40">
        <f t="array" ref="A4046">IFNA(index(PlayerValues!A:A,match(IFNA(vlookup(B4046,'Special Names'!A:B,2,FALSE),B4046),PlayerValues!E:E,0)),"N/A")</f>
        <v>15754</v>
      </c>
      <c r="B4046" s="4" t="s">
        <v>354</v>
      </c>
      <c r="C4046" s="4" t="s">
        <v>287</v>
      </c>
      <c r="D4046" s="94">
        <v>5506.0</v>
      </c>
    </row>
    <row r="4047">
      <c r="A4047" s="40">
        <f t="array" ref="A4047">IFNA(index(PlayerValues!A:A,match(IFNA(vlookup(B4047,'Special Names'!A:B,2,FALSE),B4047),PlayerValues!E:E,0)),"N/A")</f>
        <v>16616</v>
      </c>
      <c r="B4047" s="4" t="s">
        <v>389</v>
      </c>
      <c r="C4047" s="4" t="s">
        <v>287</v>
      </c>
      <c r="D4047" s="94">
        <v>5461.0</v>
      </c>
    </row>
    <row r="4048">
      <c r="A4048" s="40">
        <f t="array" ref="A4048">IFNA(index(PlayerValues!A:A,match(IFNA(vlookup(B4048,'Special Names'!A:B,2,FALSE),B4048),PlayerValues!E:E,0)),"N/A")</f>
        <v>17030</v>
      </c>
      <c r="B4048" s="4" t="s">
        <v>406</v>
      </c>
      <c r="C4048" s="4" t="s">
        <v>283</v>
      </c>
      <c r="D4048" s="94">
        <v>5445.0</v>
      </c>
    </row>
    <row r="4049">
      <c r="A4049" s="40">
        <f t="array" ref="A4049">IFNA(index(PlayerValues!A:A,match(IFNA(vlookup(B4049,'Special Names'!A:B,2,FALSE),B4049),PlayerValues!E:E,0)),"N/A")</f>
        <v>15708</v>
      </c>
      <c r="B4049" s="4" t="s">
        <v>382</v>
      </c>
      <c r="C4049" s="4" t="s">
        <v>278</v>
      </c>
      <c r="D4049" s="94">
        <v>5433.0</v>
      </c>
    </row>
    <row r="4050">
      <c r="A4050" s="40">
        <f t="array" ref="A4050">IFNA(index(PlayerValues!A:A,match(IFNA(vlookup(B4050,'Special Names'!A:B,2,FALSE),B4050),PlayerValues!E:E,0)),"N/A")</f>
        <v>17498</v>
      </c>
      <c r="B4050" s="4" t="s">
        <v>396</v>
      </c>
      <c r="C4050" s="4" t="s">
        <v>287</v>
      </c>
      <c r="D4050" s="94">
        <v>5426.0</v>
      </c>
    </row>
    <row r="4051">
      <c r="A4051" s="40">
        <f t="array" ref="A4051">IFNA(index(PlayerValues!A:A,match(IFNA(vlookup(B4051,'Special Names'!A:B,2,FALSE),B4051),PlayerValues!E:E,0)),"N/A")</f>
        <v>15711</v>
      </c>
      <c r="B4051" s="4" t="s">
        <v>349</v>
      </c>
      <c r="C4051" s="4" t="s">
        <v>278</v>
      </c>
      <c r="D4051" s="94">
        <v>5421.0</v>
      </c>
    </row>
    <row r="4052">
      <c r="A4052" s="40">
        <f t="array" ref="A4052">IFNA(index(PlayerValues!A:A,match(IFNA(vlookup(B4052,'Special Names'!A:B,2,FALSE),B4052),PlayerValues!E:E,0)),"N/A")</f>
        <v>16627</v>
      </c>
      <c r="B4052" s="4" t="s">
        <v>351</v>
      </c>
      <c r="C4052" s="4" t="s">
        <v>287</v>
      </c>
      <c r="D4052" s="94">
        <v>5412.0</v>
      </c>
    </row>
    <row r="4053">
      <c r="A4053" s="40">
        <f t="array" ref="A4053">IFNA(index(PlayerValues!A:A,match(IFNA(vlookup(B4053,'Special Names'!A:B,2,FALSE),B4053),PlayerValues!E:E,0)),"N/A")</f>
        <v>17043</v>
      </c>
      <c r="B4053" s="4" t="s">
        <v>397</v>
      </c>
      <c r="C4053" s="4" t="s">
        <v>278</v>
      </c>
      <c r="D4053" s="94">
        <v>5394.0</v>
      </c>
    </row>
    <row r="4054">
      <c r="A4054" s="40">
        <f t="array" ref="A4054">IFNA(index(PlayerValues!A:A,match(IFNA(vlookup(B4054,'Special Names'!A:B,2,FALSE),B4054),PlayerValues!E:E,0)),"N/A")</f>
        <v>17070</v>
      </c>
      <c r="B4054" s="4" t="s">
        <v>370</v>
      </c>
      <c r="C4054" s="4" t="s">
        <v>287</v>
      </c>
      <c r="D4054" s="94">
        <v>5291.0</v>
      </c>
    </row>
    <row r="4055">
      <c r="A4055" s="40">
        <f t="array" ref="A4055">IFNA(index(PlayerValues!A:A,match(IFNA(vlookup(B4055,'Special Names'!A:B,2,FALSE),B4055),PlayerValues!E:E,0)),"N/A")</f>
        <v>15282</v>
      </c>
      <c r="B4055" s="4" t="s">
        <v>364</v>
      </c>
      <c r="C4055" s="4" t="s">
        <v>287</v>
      </c>
      <c r="D4055" s="94">
        <v>5259.0</v>
      </c>
    </row>
    <row r="4056">
      <c r="A4056" s="40">
        <f t="array" ref="A4056">IFNA(index(PlayerValues!A:A,match(IFNA(vlookup(B4056,'Special Names'!A:B,2,FALSE),B4056),PlayerValues!E:E,0)),"N/A")</f>
        <v>17499</v>
      </c>
      <c r="B4056" s="4" t="s">
        <v>402</v>
      </c>
      <c r="C4056" s="4" t="s">
        <v>287</v>
      </c>
      <c r="D4056" s="94">
        <v>5085.0</v>
      </c>
    </row>
    <row r="4057">
      <c r="A4057" s="40">
        <f t="array" ref="A4057">IFNA(index(PlayerValues!A:A,match(IFNA(vlookup(B4057,'Special Names'!A:B,2,FALSE),B4057),PlayerValues!E:E,0)),"N/A")</f>
        <v>16614</v>
      </c>
      <c r="B4057" s="4" t="s">
        <v>403</v>
      </c>
      <c r="C4057" s="4" t="s">
        <v>287</v>
      </c>
      <c r="D4057" s="94">
        <v>5062.0</v>
      </c>
    </row>
    <row r="4058">
      <c r="A4058" s="40">
        <f t="array" ref="A4058">IFNA(index(PlayerValues!A:A,match(IFNA(vlookup(B4058,'Special Names'!A:B,2,FALSE),B4058),PlayerValues!E:E,0)),"N/A")</f>
        <v>13130</v>
      </c>
      <c r="B4058" s="4" t="s">
        <v>374</v>
      </c>
      <c r="C4058" s="4" t="s">
        <v>278</v>
      </c>
      <c r="D4058" s="94">
        <v>5021.0</v>
      </c>
    </row>
    <row r="4059">
      <c r="A4059" s="40" t="str">
        <f t="array" ref="A4059">IFNA(index(PlayerValues!A:A,match(IFNA(vlookup(B4059,'Special Names'!A:B,2,FALSE),B4059),PlayerValues!E:E,0)),"N/A")</f>
        <v>N/A</v>
      </c>
      <c r="B4059" s="4" t="s">
        <v>104</v>
      </c>
      <c r="C4059" s="4" t="s">
        <v>325</v>
      </c>
      <c r="D4059" s="94">
        <v>5001.0</v>
      </c>
    </row>
    <row r="4060">
      <c r="A4060" s="40">
        <f t="array" ref="A4060">IFNA(index(PlayerValues!A:A,match(IFNA(vlookup(B4060,'Special Names'!A:B,2,FALSE),B4060),PlayerValues!E:E,0)),"N/A")</f>
        <v>16181</v>
      </c>
      <c r="B4060" s="4" t="s">
        <v>350</v>
      </c>
      <c r="C4060" s="4" t="s">
        <v>278</v>
      </c>
      <c r="D4060" s="94">
        <v>4982.0</v>
      </c>
    </row>
    <row r="4061">
      <c r="A4061" s="40" t="str">
        <f t="array" ref="A4061">IFNA(index(PlayerValues!A:A,match(IFNA(vlookup(B4061,'Special Names'!A:B,2,FALSE),B4061),PlayerValues!E:E,0)),"N/A")</f>
        <v>N/A</v>
      </c>
      <c r="B4061" s="4" t="s">
        <v>94</v>
      </c>
      <c r="C4061" s="4" t="s">
        <v>325</v>
      </c>
      <c r="D4061" s="94">
        <v>4974.0</v>
      </c>
    </row>
    <row r="4062">
      <c r="A4062" s="40">
        <f t="array" ref="A4062">IFNA(index(PlayerValues!A:A,match(IFNA(vlookup(B4062,'Special Names'!A:B,2,FALSE),B4062),PlayerValues!E:E,0)),"N/A")</f>
        <v>12620</v>
      </c>
      <c r="B4062" s="4" t="s">
        <v>394</v>
      </c>
      <c r="C4062" s="4" t="s">
        <v>283</v>
      </c>
      <c r="D4062" s="94">
        <v>4972.0</v>
      </c>
    </row>
    <row r="4063">
      <c r="A4063" s="40">
        <f t="array" ref="A4063">IFNA(index(PlayerValues!A:A,match(IFNA(vlookup(B4063,'Special Names'!A:B,2,FALSE),B4063),PlayerValues!E:E,0)),"N/A")</f>
        <v>17039</v>
      </c>
      <c r="B4063" s="4" t="s">
        <v>400</v>
      </c>
      <c r="C4063" s="4" t="s">
        <v>283</v>
      </c>
      <c r="D4063" s="94">
        <v>4930.0</v>
      </c>
    </row>
    <row r="4064">
      <c r="A4064" s="40">
        <f t="array" ref="A4064">IFNA(index(PlayerValues!A:A,match(IFNA(vlookup(B4064,'Special Names'!A:B,2,FALSE),B4064),PlayerValues!E:E,0)),"N/A")</f>
        <v>14835</v>
      </c>
      <c r="B4064" s="4" t="s">
        <v>392</v>
      </c>
      <c r="C4064" s="4" t="s">
        <v>287</v>
      </c>
      <c r="D4064" s="94">
        <v>4927.0</v>
      </c>
    </row>
    <row r="4065">
      <c r="A4065" s="40">
        <f t="array" ref="A4065">IFNA(index(PlayerValues!A:A,match(IFNA(vlookup(B4065,'Special Names'!A:B,2,FALSE),B4065),PlayerValues!E:E,0)),"N/A")</f>
        <v>13604</v>
      </c>
      <c r="B4065" s="4" t="s">
        <v>378</v>
      </c>
      <c r="C4065" s="4" t="s">
        <v>278</v>
      </c>
      <c r="D4065" s="94">
        <v>4913.0</v>
      </c>
    </row>
    <row r="4066">
      <c r="A4066" s="40">
        <f t="array" ref="A4066">IFNA(index(PlayerValues!A:A,match(IFNA(vlookup(B4066,'Special Names'!A:B,2,FALSE),B4066),PlayerValues!E:E,0)),"N/A")</f>
        <v>16222</v>
      </c>
      <c r="B4066" s="4" t="s">
        <v>393</v>
      </c>
      <c r="C4066" s="4" t="s">
        <v>298</v>
      </c>
      <c r="D4066" s="94">
        <v>5469.0</v>
      </c>
    </row>
    <row r="4067">
      <c r="A4067" s="40">
        <f t="array" ref="A4067">IFNA(index(PlayerValues!A:A,match(IFNA(vlookup(B4067,'Special Names'!A:B,2,FALSE),B4067),PlayerValues!E:E,0)),"N/A")</f>
        <v>16150</v>
      </c>
      <c r="B4067" s="4" t="s">
        <v>414</v>
      </c>
      <c r="C4067" s="4" t="s">
        <v>283</v>
      </c>
      <c r="D4067" s="94">
        <v>4893.0</v>
      </c>
    </row>
    <row r="4068">
      <c r="A4068" s="40">
        <f t="array" ref="A4068">IFNA(index(PlayerValues!A:A,match(IFNA(vlookup(B4068,'Special Names'!A:B,2,FALSE),B4068),PlayerValues!E:E,0)),"N/A")</f>
        <v>17103</v>
      </c>
      <c r="B4068" s="4" t="s">
        <v>405</v>
      </c>
      <c r="C4068" s="4" t="s">
        <v>298</v>
      </c>
      <c r="D4068" s="94">
        <v>5458.0</v>
      </c>
    </row>
    <row r="4069">
      <c r="A4069" s="40">
        <f t="array" ref="A4069">IFNA(index(PlayerValues!A:A,match(IFNA(vlookup(B4069,'Special Names'!A:B,2,FALSE),B4069),PlayerValues!E:E,0)),"N/A")</f>
        <v>15710</v>
      </c>
      <c r="B4069" s="4" t="s">
        <v>395</v>
      </c>
      <c r="C4069" s="4" t="s">
        <v>278</v>
      </c>
      <c r="D4069" s="94">
        <v>4848.0</v>
      </c>
    </row>
    <row r="4070">
      <c r="A4070" s="40">
        <f t="array" ref="A4070">IFNA(index(PlayerValues!A:A,match(IFNA(vlookup(B4070,'Special Names'!A:B,2,FALSE),B4070),PlayerValues!E:E,0)),"N/A")</f>
        <v>16618</v>
      </c>
      <c r="B4070" s="4" t="s">
        <v>411</v>
      </c>
      <c r="C4070" s="4" t="s">
        <v>287</v>
      </c>
      <c r="D4070" s="94">
        <v>4840.0</v>
      </c>
    </row>
    <row r="4071">
      <c r="A4071" s="40">
        <f t="array" ref="A4071">IFNA(index(PlayerValues!A:A,match(IFNA(vlookup(B4071,'Special Names'!A:B,2,FALSE),B4071),PlayerValues!E:E,0)),"N/A")</f>
        <v>14104</v>
      </c>
      <c r="B4071" s="4" t="s">
        <v>379</v>
      </c>
      <c r="C4071" s="4" t="s">
        <v>287</v>
      </c>
      <c r="D4071" s="94">
        <v>4837.0</v>
      </c>
    </row>
    <row r="4072">
      <c r="A4072" s="40">
        <f t="array" ref="A4072">IFNA(index(PlayerValues!A:A,match(IFNA(vlookup(B4072,'Special Names'!A:B,2,FALSE),B4072),PlayerValues!E:E,0)),"N/A")</f>
        <v>17473</v>
      </c>
      <c r="B4072" s="4" t="s">
        <v>391</v>
      </c>
      <c r="C4072" s="4" t="s">
        <v>278</v>
      </c>
      <c r="D4072" s="94">
        <v>4835.0</v>
      </c>
    </row>
    <row r="4073">
      <c r="A4073" s="40">
        <f t="array" ref="A4073">IFNA(index(PlayerValues!A:A,match(IFNA(vlookup(B4073,'Special Names'!A:B,2,FALSE),B4073),PlayerValues!E:E,0)),"N/A")</f>
        <v>13590</v>
      </c>
      <c r="B4073" s="4" t="s">
        <v>409</v>
      </c>
      <c r="C4073" s="4" t="s">
        <v>283</v>
      </c>
      <c r="D4073" s="94">
        <v>4826.0</v>
      </c>
    </row>
    <row r="4074">
      <c r="A4074" s="40">
        <f t="array" ref="A4074">IFNA(index(PlayerValues!A:A,match(IFNA(vlookup(B4074,'Special Names'!A:B,2,FALSE),B4074),PlayerValues!E:E,0)),"N/A")</f>
        <v>15284</v>
      </c>
      <c r="B4074" s="4" t="s">
        <v>390</v>
      </c>
      <c r="C4074" s="4" t="s">
        <v>287</v>
      </c>
      <c r="D4074" s="94">
        <v>4824.0</v>
      </c>
    </row>
    <row r="4075">
      <c r="A4075" s="40">
        <f t="array" ref="A4075">IFNA(index(PlayerValues!A:A,match(IFNA(vlookup(B4075,'Special Names'!A:B,2,FALSE),B4075),PlayerValues!E:E,0)),"N/A")</f>
        <v>16598</v>
      </c>
      <c r="B4075" s="4" t="s">
        <v>408</v>
      </c>
      <c r="C4075" s="4" t="s">
        <v>278</v>
      </c>
      <c r="D4075" s="94">
        <v>4823.0</v>
      </c>
    </row>
    <row r="4076">
      <c r="A4076" s="40">
        <f t="array" ref="A4076">IFNA(index(PlayerValues!A:A,match(IFNA(vlookup(B4076,'Special Names'!A:B,2,FALSE),B4076),PlayerValues!E:E,0)),"N/A")</f>
        <v>16190</v>
      </c>
      <c r="B4076" s="4" t="s">
        <v>371</v>
      </c>
      <c r="C4076" s="4" t="s">
        <v>287</v>
      </c>
      <c r="D4076" s="94">
        <v>4782.0</v>
      </c>
    </row>
    <row r="4077">
      <c r="A4077" s="40">
        <f t="array" ref="A4077">IFNA(index(PlayerValues!A:A,match(IFNA(vlookup(B4077,'Special Names'!A:B,2,FALSE),B4077),PlayerValues!E:E,0)),"N/A")</f>
        <v>17045</v>
      </c>
      <c r="B4077" s="4" t="s">
        <v>407</v>
      </c>
      <c r="C4077" s="4" t="s">
        <v>278</v>
      </c>
      <c r="D4077" s="94">
        <v>4714.0</v>
      </c>
    </row>
    <row r="4078">
      <c r="A4078" s="40">
        <f t="array" ref="A4078">IFNA(index(PlayerValues!A:A,match(IFNA(vlookup(B4078,'Special Names'!A:B,2,FALSE),B4078),PlayerValues!E:E,0)),"N/A")</f>
        <v>12611</v>
      </c>
      <c r="B4078" s="4" t="s">
        <v>410</v>
      </c>
      <c r="C4078" s="4" t="s">
        <v>283</v>
      </c>
      <c r="D4078" s="94">
        <v>4670.0</v>
      </c>
    </row>
    <row r="4079">
      <c r="A4079" s="40">
        <f t="array" ref="A4079">IFNA(index(PlayerValues!A:A,match(IFNA(vlookup(B4079,'Special Names'!A:B,2,FALSE),B4079),PlayerValues!E:E,0)),"N/A")</f>
        <v>15756</v>
      </c>
      <c r="B4079" s="4" t="s">
        <v>399</v>
      </c>
      <c r="C4079" s="4" t="s">
        <v>287</v>
      </c>
      <c r="D4079" s="94">
        <v>4670.0</v>
      </c>
    </row>
    <row r="4080">
      <c r="A4080" s="40">
        <f t="array" ref="A4080">IFNA(index(PlayerValues!A:A,match(IFNA(vlookup(B4080,'Special Names'!A:B,2,FALSE),B4080),PlayerValues!E:E,0)),"N/A")</f>
        <v>13592</v>
      </c>
      <c r="B4080" s="4" t="s">
        <v>418</v>
      </c>
      <c r="C4080" s="4" t="s">
        <v>283</v>
      </c>
      <c r="D4080" s="94">
        <v>4639.0</v>
      </c>
    </row>
    <row r="4081">
      <c r="A4081" s="40" t="str">
        <f t="array" ref="A4081">IFNA(index(PlayerValues!A:A,match(IFNA(vlookup(B4081,'Special Names'!A:B,2,FALSE),B4081),PlayerValues!E:E,0)),"N/A")</f>
        <v>N/A</v>
      </c>
      <c r="B4081" s="4" t="s">
        <v>80</v>
      </c>
      <c r="C4081" s="4" t="s">
        <v>325</v>
      </c>
      <c r="D4081" s="94">
        <v>4564.0</v>
      </c>
    </row>
    <row r="4082">
      <c r="A4082" s="40">
        <f t="array" ref="A4082">IFNA(index(PlayerValues!A:A,match(IFNA(vlookup(B4082,'Special Names'!A:B,2,FALSE),B4082),PlayerValues!E:E,0)),"N/A")</f>
        <v>16214</v>
      </c>
      <c r="B4082" s="4" t="s">
        <v>413</v>
      </c>
      <c r="C4082" s="4" t="s">
        <v>298</v>
      </c>
      <c r="D4082" s="94">
        <v>5096.0</v>
      </c>
    </row>
    <row r="4083">
      <c r="A4083" s="40">
        <f t="array" ref="A4083">IFNA(index(PlayerValues!A:A,match(IFNA(vlookup(B4083,'Special Names'!A:B,2,FALSE),B4083),PlayerValues!E:E,0)),"N/A")</f>
        <v>15256</v>
      </c>
      <c r="B4083" s="4" t="s">
        <v>401</v>
      </c>
      <c r="C4083" s="4" t="s">
        <v>278</v>
      </c>
      <c r="D4083" s="94">
        <v>4543.0</v>
      </c>
    </row>
    <row r="4084">
      <c r="A4084" s="40" t="str">
        <f t="array" ref="A4084">IFNA(index(PlayerValues!A:A,match(IFNA(vlookup(B4084,'Special Names'!A:B,2,FALSE),B4084),PlayerValues!E:E,0)),"N/A")</f>
        <v>N/A</v>
      </c>
      <c r="B4084" s="4" t="s">
        <v>105</v>
      </c>
      <c r="C4084" s="4" t="s">
        <v>325</v>
      </c>
      <c r="D4084" s="94">
        <v>4512.0</v>
      </c>
    </row>
    <row r="4085">
      <c r="A4085" s="40">
        <f t="array" ref="A4085">IFNA(index(PlayerValues!A:A,match(IFNA(vlookup(B4085,'Special Names'!A:B,2,FALSE),B4085),PlayerValues!E:E,0)),"N/A")</f>
        <v>17501</v>
      </c>
      <c r="B4085" s="4" t="s">
        <v>404</v>
      </c>
      <c r="C4085" s="4" t="s">
        <v>287</v>
      </c>
      <c r="D4085" s="94">
        <v>4505.0</v>
      </c>
    </row>
    <row r="4086">
      <c r="A4086" s="40">
        <f t="array" ref="A4086">IFNA(index(PlayerValues!A:A,match(IFNA(vlookup(B4086,'Special Names'!A:B,2,FALSE),B4086),PlayerValues!E:E,0)),"N/A")</f>
        <v>15253</v>
      </c>
      <c r="B4086" s="4" t="s">
        <v>415</v>
      </c>
      <c r="C4086" s="4" t="s">
        <v>278</v>
      </c>
      <c r="D4086" s="94">
        <v>4503.0</v>
      </c>
    </row>
    <row r="4087">
      <c r="A4087" s="40">
        <f t="array" ref="A4087">IFNA(index(PlayerValues!A:A,match(IFNA(vlookup(B4087,'Special Names'!A:B,2,FALSE),B4087),PlayerValues!E:E,0)),"N/A")</f>
        <v>16194</v>
      </c>
      <c r="B4087" s="4" t="s">
        <v>398</v>
      </c>
      <c r="C4087" s="4" t="s">
        <v>287</v>
      </c>
      <c r="D4087" s="94">
        <v>4482.0</v>
      </c>
    </row>
    <row r="4088">
      <c r="A4088" s="40">
        <f t="array" ref="A4088">IFNA(index(PlayerValues!A:A,match(IFNA(vlookup(B4088,'Special Names'!A:B,2,FALSE),B4088),PlayerValues!E:E,0)),"N/A")</f>
        <v>16148</v>
      </c>
      <c r="B4088" s="4" t="s">
        <v>426</v>
      </c>
      <c r="C4088" s="4" t="s">
        <v>283</v>
      </c>
      <c r="D4088" s="94">
        <v>4464.0</v>
      </c>
    </row>
    <row r="4089">
      <c r="A4089" s="40">
        <f t="array" ref="A4089">IFNA(index(PlayerValues!A:A,match(IFNA(vlookup(B4089,'Special Names'!A:B,2,FALSE),B4089),PlayerValues!E:E,0)),"N/A")</f>
        <v>15329</v>
      </c>
      <c r="B4089" s="4" t="s">
        <v>416</v>
      </c>
      <c r="C4089" s="4" t="s">
        <v>298</v>
      </c>
      <c r="D4089" s="94">
        <v>4984.0</v>
      </c>
    </row>
    <row r="4090">
      <c r="A4090" s="40">
        <f t="array" ref="A4090">IFNA(index(PlayerValues!A:A,match(IFNA(vlookup(B4090,'Special Names'!A:B,2,FALSE),B4090),PlayerValues!E:E,0)),"N/A")</f>
        <v>17543</v>
      </c>
      <c r="B4090" s="4" t="s">
        <v>436</v>
      </c>
      <c r="C4090" s="4" t="s">
        <v>298</v>
      </c>
      <c r="D4090" s="94">
        <v>4666.0</v>
      </c>
    </row>
    <row r="4091">
      <c r="A4091" s="40">
        <f t="array" ref="A4091">IFNA(index(PlayerValues!A:A,match(IFNA(vlookup(B4091,'Special Names'!A:B,2,FALSE),B4091),PlayerValues!E:E,0)),"N/A")</f>
        <v>14056</v>
      </c>
      <c r="B4091" s="4" t="s">
        <v>423</v>
      </c>
      <c r="C4091" s="4" t="s">
        <v>283</v>
      </c>
      <c r="D4091" s="94">
        <v>4094.0</v>
      </c>
    </row>
    <row r="4092">
      <c r="A4092" s="40" t="str">
        <f t="array" ref="A4092">IFNA(index(PlayerValues!A:A,match(IFNA(vlookup(B4092,'Special Names'!A:B,2,FALSE),B4092),PlayerValues!E:E,0)),"N/A")</f>
        <v>N/A</v>
      </c>
      <c r="B4092" s="4" t="s">
        <v>107</v>
      </c>
      <c r="C4092" s="4" t="s">
        <v>325</v>
      </c>
      <c r="D4092" s="94">
        <v>4091.0</v>
      </c>
    </row>
    <row r="4093">
      <c r="A4093" s="40">
        <f t="array" ref="A4093">IFNA(index(PlayerValues!A:A,match(IFNA(vlookup(B4093,'Special Names'!A:B,2,FALSE),B4093),PlayerValues!E:E,0)),"N/A")</f>
        <v>15768</v>
      </c>
      <c r="B4093" s="4" t="s">
        <v>432</v>
      </c>
      <c r="C4093" s="4" t="s">
        <v>287</v>
      </c>
      <c r="D4093" s="94">
        <v>4079.0</v>
      </c>
    </row>
    <row r="4094">
      <c r="A4094" s="40">
        <f t="array" ref="A4094">IFNA(index(PlayerValues!A:A,match(IFNA(vlookup(B4094,'Special Names'!A:B,2,FALSE),B4094),PlayerValues!E:E,0)),"N/A")</f>
        <v>16186</v>
      </c>
      <c r="B4094" s="4" t="s">
        <v>425</v>
      </c>
      <c r="C4094" s="4" t="s">
        <v>287</v>
      </c>
      <c r="D4094" s="94">
        <v>4016.0</v>
      </c>
    </row>
    <row r="4095">
      <c r="A4095" s="40">
        <f t="array" ref="A4095">IFNA(index(PlayerValues!A:A,match(IFNA(vlookup(B4095,'Special Names'!A:B,2,FALSE),B4095),PlayerValues!E:E,0)),"N/A")</f>
        <v>12626</v>
      </c>
      <c r="B4095" s="4" t="s">
        <v>419</v>
      </c>
      <c r="C4095" s="4" t="s">
        <v>278</v>
      </c>
      <c r="D4095" s="94">
        <v>3965.0</v>
      </c>
    </row>
    <row r="4096">
      <c r="A4096" s="40">
        <f t="array" ref="A4096">IFNA(index(PlayerValues!A:A,match(IFNA(vlookup(B4096,'Special Names'!A:B,2,FALSE),B4096),PlayerValues!E:E,0)),"N/A")</f>
        <v>15694</v>
      </c>
      <c r="B4096" s="4" t="s">
        <v>434</v>
      </c>
      <c r="C4096" s="4" t="s">
        <v>283</v>
      </c>
      <c r="D4096" s="94">
        <v>3959.0</v>
      </c>
    </row>
    <row r="4097">
      <c r="A4097" s="40" t="str">
        <f t="array" ref="A4097">IFNA(index(PlayerValues!A:A,match(IFNA(vlookup(B4097,'Special Names'!A:B,2,FALSE),B4097),PlayerValues!E:E,0)),"N/A")</f>
        <v>N/A</v>
      </c>
      <c r="B4097" s="4" t="s">
        <v>81</v>
      </c>
      <c r="C4097" s="4" t="s">
        <v>325</v>
      </c>
      <c r="D4097" s="94">
        <v>3954.0</v>
      </c>
    </row>
    <row r="4098">
      <c r="A4098" s="40">
        <f t="array" ref="A4098">IFNA(index(PlayerValues!A:A,match(IFNA(vlookup(B4098,'Special Names'!A:B,2,FALSE),B4098),PlayerValues!E:E,0)),"N/A")</f>
        <v>14059</v>
      </c>
      <c r="B4098" s="4" t="s">
        <v>435</v>
      </c>
      <c r="C4098" s="4" t="s">
        <v>283</v>
      </c>
      <c r="D4098" s="94">
        <v>3951.0</v>
      </c>
    </row>
    <row r="4099">
      <c r="A4099" s="40">
        <f t="array" ref="A4099">IFNA(index(PlayerValues!A:A,match(IFNA(vlookup(B4099,'Special Names'!A:B,2,FALSE),B4099),PlayerValues!E:E,0)),"N/A")</f>
        <v>17052</v>
      </c>
      <c r="B4099" s="4" t="s">
        <v>417</v>
      </c>
      <c r="C4099" s="4" t="s">
        <v>278</v>
      </c>
      <c r="D4099" s="94">
        <v>3916.0</v>
      </c>
    </row>
    <row r="4100">
      <c r="A4100" s="40" t="str">
        <f t="array" ref="A4100">IFNA(index(PlayerValues!A:A,match(IFNA(vlookup(B4100,'Special Names'!A:B,2,FALSE),B4100),PlayerValues!E:E,0)),"N/A")</f>
        <v>N/A</v>
      </c>
      <c r="B4100" s="4" t="s">
        <v>95</v>
      </c>
      <c r="C4100" s="4" t="s">
        <v>325</v>
      </c>
      <c r="D4100" s="94">
        <v>3909.0</v>
      </c>
    </row>
    <row r="4101">
      <c r="A4101" s="40">
        <f t="array" ref="A4101">IFNA(index(PlayerValues!A:A,match(IFNA(vlookup(B4101,'Special Names'!A:B,2,FALSE),B4101),PlayerValues!E:E,0)),"N/A")</f>
        <v>17502</v>
      </c>
      <c r="B4101" s="4" t="s">
        <v>451</v>
      </c>
      <c r="C4101" s="4" t="s">
        <v>287</v>
      </c>
      <c r="D4101" s="94">
        <v>3827.0</v>
      </c>
    </row>
    <row r="4102">
      <c r="A4102" s="40">
        <f t="array" ref="A4102">IFNA(index(PlayerValues!A:A,match(IFNA(vlookup(B4102,'Special Names'!A:B,2,FALSE),B4102),PlayerValues!E:E,0)),"N/A")</f>
        <v>15789</v>
      </c>
      <c r="B4102" s="4" t="s">
        <v>421</v>
      </c>
      <c r="C4102" s="4" t="s">
        <v>287</v>
      </c>
      <c r="D4102" s="94">
        <v>3742.0</v>
      </c>
    </row>
    <row r="4103">
      <c r="A4103" s="40">
        <f t="array" ref="A4103">IFNA(index(PlayerValues!A:A,match(IFNA(vlookup(B4103,'Special Names'!A:B,2,FALSE),B4103),PlayerValues!E:E,0)),"N/A")</f>
        <v>9431</v>
      </c>
      <c r="B4103" s="4" t="s">
        <v>428</v>
      </c>
      <c r="C4103" s="4" t="s">
        <v>283</v>
      </c>
      <c r="D4103" s="94">
        <v>3737.0</v>
      </c>
    </row>
    <row r="4104">
      <c r="A4104" s="40">
        <f t="array" ref="A4104">IFNA(index(PlayerValues!A:A,match(IFNA(vlookup(B4104,'Special Names'!A:B,2,FALSE),B4104),PlayerValues!E:E,0)),"N/A")</f>
        <v>13635</v>
      </c>
      <c r="B4104" s="4" t="s">
        <v>424</v>
      </c>
      <c r="C4104" s="4" t="s">
        <v>287</v>
      </c>
      <c r="D4104" s="94">
        <v>3716.0</v>
      </c>
    </row>
    <row r="4105">
      <c r="A4105" s="40">
        <f t="array" ref="A4105">IFNA(index(PlayerValues!A:A,match(IFNA(vlookup(B4105,'Special Names'!A:B,2,FALSE),B4105),PlayerValues!E:E,0)),"N/A")</f>
        <v>17075</v>
      </c>
      <c r="B4105" s="4" t="s">
        <v>429</v>
      </c>
      <c r="C4105" s="4" t="s">
        <v>287</v>
      </c>
      <c r="D4105" s="94">
        <v>3710.0</v>
      </c>
    </row>
    <row r="4106">
      <c r="A4106" s="40">
        <f t="array" ref="A4106">IFNA(index(PlayerValues!A:A,match(IFNA(vlookup(B4106,'Special Names'!A:B,2,FALSE),B4106),PlayerValues!E:E,0)),"N/A")</f>
        <v>17544</v>
      </c>
      <c r="B4106" s="4" t="s">
        <v>470</v>
      </c>
      <c r="C4106" s="4" t="s">
        <v>298</v>
      </c>
      <c r="D4106" s="94">
        <v>4183.0</v>
      </c>
    </row>
    <row r="4107">
      <c r="A4107" s="40">
        <f t="array" ref="A4107">IFNA(index(PlayerValues!A:A,match(IFNA(vlookup(B4107,'Special Names'!A:B,2,FALSE),B4107),PlayerValues!E:E,0)),"N/A")</f>
        <v>17066</v>
      </c>
      <c r="B4107" s="4" t="s">
        <v>446</v>
      </c>
      <c r="C4107" s="4" t="s">
        <v>278</v>
      </c>
      <c r="D4107" s="94">
        <v>3669.0</v>
      </c>
    </row>
    <row r="4108">
      <c r="A4108" s="40">
        <f t="array" ref="A4108">IFNA(index(PlayerValues!A:A,match(IFNA(vlookup(B4108,'Special Names'!A:B,2,FALSE),B4108),PlayerValues!E:E,0)),"N/A")</f>
        <v>17463</v>
      </c>
      <c r="B4108" s="4" t="s">
        <v>433</v>
      </c>
      <c r="C4108" s="4" t="s">
        <v>283</v>
      </c>
      <c r="D4108" s="94">
        <v>3669.0</v>
      </c>
    </row>
    <row r="4109">
      <c r="A4109" s="40">
        <f t="array" ref="A4109">IFNA(index(PlayerValues!A:A,match(IFNA(vlookup(B4109,'Special Names'!A:B,2,FALSE),B4109),PlayerValues!E:E,0)),"N/A")</f>
        <v>16206</v>
      </c>
      <c r="B4109" s="4" t="s">
        <v>431</v>
      </c>
      <c r="C4109" s="4" t="s">
        <v>287</v>
      </c>
      <c r="D4109" s="94">
        <v>3646.0</v>
      </c>
    </row>
    <row r="4110">
      <c r="A4110" s="40">
        <f t="array" ref="A4110">IFNA(index(PlayerValues!A:A,match(IFNA(vlookup(B4110,'Special Names'!A:B,2,FALSE),B4110),PlayerValues!E:E,0)),"N/A")</f>
        <v>17099</v>
      </c>
      <c r="B4110" s="4" t="s">
        <v>474</v>
      </c>
      <c r="C4110" s="4" t="s">
        <v>298</v>
      </c>
      <c r="D4110" s="94">
        <v>4100.0</v>
      </c>
    </row>
    <row r="4111">
      <c r="A4111" s="40">
        <f t="array" ref="A4111">IFNA(index(PlayerValues!A:A,match(IFNA(vlookup(B4111,'Special Names'!A:B,2,FALSE),B4111),PlayerValues!E:E,0)),"N/A")</f>
        <v>16187</v>
      </c>
      <c r="B4111" s="4" t="s">
        <v>441</v>
      </c>
      <c r="C4111" s="4" t="s">
        <v>287</v>
      </c>
      <c r="D4111" s="94">
        <v>3598.0</v>
      </c>
    </row>
    <row r="4112">
      <c r="A4112" s="40">
        <f t="array" ref="A4112">IFNA(index(PlayerValues!A:A,match(IFNA(vlookup(B4112,'Special Names'!A:B,2,FALSE),B4112),PlayerValues!E:E,0)),"N/A")</f>
        <v>15757</v>
      </c>
      <c r="B4112" s="4" t="s">
        <v>449</v>
      </c>
      <c r="C4112" s="4" t="s">
        <v>287</v>
      </c>
      <c r="D4112" s="94">
        <v>3594.0</v>
      </c>
    </row>
    <row r="4113">
      <c r="A4113" s="40">
        <f t="array" ref="A4113">IFNA(index(PlayerValues!A:A,match(IFNA(vlookup(B4113,'Special Names'!A:B,2,FALSE),B4113),PlayerValues!E:E,0)),"N/A")</f>
        <v>14073</v>
      </c>
      <c r="B4113" s="4" t="s">
        <v>464</v>
      </c>
      <c r="C4113" s="4" t="s">
        <v>278</v>
      </c>
      <c r="D4113" s="94">
        <v>3553.0</v>
      </c>
    </row>
    <row r="4114">
      <c r="A4114" s="40">
        <f t="array" ref="A4114">IFNA(index(PlayerValues!A:A,match(IFNA(vlookup(B4114,'Special Names'!A:B,2,FALSE),B4114),PlayerValues!E:E,0)),"N/A")</f>
        <v>14797</v>
      </c>
      <c r="B4114" s="4" t="s">
        <v>420</v>
      </c>
      <c r="C4114" s="4" t="s">
        <v>278</v>
      </c>
      <c r="D4114" s="94">
        <v>3553.0</v>
      </c>
    </row>
    <row r="4115">
      <c r="A4115" s="40">
        <f t="array" ref="A4115">IFNA(index(PlayerValues!A:A,match(IFNA(vlookup(B4115,'Special Names'!A:B,2,FALSE),B4115),PlayerValues!E:E,0)),"N/A")</f>
        <v>16192</v>
      </c>
      <c r="B4115" s="4" t="s">
        <v>412</v>
      </c>
      <c r="C4115" s="4" t="s">
        <v>287</v>
      </c>
      <c r="D4115" s="94">
        <v>3550.0</v>
      </c>
    </row>
    <row r="4116">
      <c r="A4116" s="40">
        <f t="array" ref="A4116">IFNA(index(PlayerValues!A:A,match(IFNA(vlookup(B4116,'Special Names'!A:B,2,FALSE),B4116),PlayerValues!E:E,0)),"N/A")</f>
        <v>14102</v>
      </c>
      <c r="B4116" s="4" t="s">
        <v>444</v>
      </c>
      <c r="C4116" s="4" t="s">
        <v>287</v>
      </c>
      <c r="D4116" s="94">
        <v>3523.0</v>
      </c>
    </row>
    <row r="4117">
      <c r="A4117" s="40" t="str">
        <f t="array" ref="A4117">IFNA(index(PlayerValues!A:A,match(IFNA(vlookup(B4117,'Special Names'!A:B,2,FALSE),B4117),PlayerValues!E:E,0)),"N/A")</f>
        <v>N/A</v>
      </c>
      <c r="B4117" s="4" t="s">
        <v>96</v>
      </c>
      <c r="C4117" s="4" t="s">
        <v>325</v>
      </c>
      <c r="D4117" s="94">
        <v>3488.0</v>
      </c>
    </row>
    <row r="4118">
      <c r="A4118" s="40">
        <f t="array" ref="A4118">IFNA(index(PlayerValues!A:A,match(IFNA(vlookup(B4118,'Special Names'!A:B,2,FALSE),B4118),PlayerValues!E:E,0)),"N/A")</f>
        <v>14109</v>
      </c>
      <c r="B4118" s="4" t="s">
        <v>437</v>
      </c>
      <c r="C4118" s="4" t="s">
        <v>287</v>
      </c>
      <c r="D4118" s="94">
        <v>3461.0</v>
      </c>
    </row>
    <row r="4119">
      <c r="A4119" s="40">
        <f t="array" ref="A4119">IFNA(index(PlayerValues!A:A,match(IFNA(vlookup(B4119,'Special Names'!A:B,2,FALSE),B4119),PlayerValues!E:E,0)),"N/A")</f>
        <v>16184</v>
      </c>
      <c r="B4119" s="4" t="s">
        <v>445</v>
      </c>
      <c r="C4119" s="4" t="s">
        <v>287</v>
      </c>
      <c r="D4119" s="94">
        <v>3459.0</v>
      </c>
    </row>
    <row r="4120">
      <c r="A4120" s="40">
        <f t="array" ref="A4120">IFNA(index(PlayerValues!A:A,match(IFNA(vlookup(B4120,'Special Names'!A:B,2,FALSE),B4120),PlayerValues!E:E,0)),"N/A")</f>
        <v>16622</v>
      </c>
      <c r="B4120" s="4" t="s">
        <v>517</v>
      </c>
      <c r="C4120" s="4" t="s">
        <v>287</v>
      </c>
      <c r="D4120" s="94">
        <v>3454.0</v>
      </c>
    </row>
    <row r="4121">
      <c r="A4121" s="40">
        <f t="array" ref="A4121">IFNA(index(PlayerValues!A:A,match(IFNA(vlookup(B4121,'Special Names'!A:B,2,FALSE),B4121),PlayerValues!E:E,0)),"N/A")</f>
        <v>17068</v>
      </c>
      <c r="B4121" s="4" t="s">
        <v>450</v>
      </c>
      <c r="C4121" s="4" t="s">
        <v>278</v>
      </c>
      <c r="D4121" s="94">
        <v>3436.0</v>
      </c>
    </row>
    <row r="4122">
      <c r="A4122" s="40">
        <f t="array" ref="A4122">IFNA(index(PlayerValues!A:A,match(IFNA(vlookup(B4122,'Special Names'!A:B,2,FALSE),B4122),PlayerValues!E:E,0)),"N/A")</f>
        <v>17500</v>
      </c>
      <c r="B4122" s="4" t="s">
        <v>430</v>
      </c>
      <c r="C4122" s="4" t="s">
        <v>287</v>
      </c>
      <c r="D4122" s="94">
        <v>3435.0</v>
      </c>
    </row>
    <row r="4123">
      <c r="A4123" s="40">
        <f t="array" ref="A4123">IFNA(index(PlayerValues!A:A,match(IFNA(vlookup(B4123,'Special Names'!A:B,2,FALSE),B4123),PlayerValues!E:E,0)),"N/A")</f>
        <v>15798</v>
      </c>
      <c r="B4123" s="4" t="s">
        <v>443</v>
      </c>
      <c r="C4123" s="4" t="s">
        <v>298</v>
      </c>
      <c r="D4123" s="94">
        <v>3830.0</v>
      </c>
    </row>
    <row r="4124">
      <c r="A4124" s="40">
        <f t="array" ref="A4124">IFNA(index(PlayerValues!A:A,match(IFNA(vlookup(B4124,'Special Names'!A:B,2,FALSE),B4124),PlayerValues!E:E,0)),"N/A")</f>
        <v>16169</v>
      </c>
      <c r="B4124" s="4" t="s">
        <v>457</v>
      </c>
      <c r="C4124" s="4" t="s">
        <v>278</v>
      </c>
      <c r="D4124" s="94">
        <v>3375.0</v>
      </c>
    </row>
    <row r="4125">
      <c r="A4125" s="40">
        <f t="array" ref="A4125">IFNA(index(PlayerValues!A:A,match(IFNA(vlookup(B4125,'Special Names'!A:B,2,FALSE),B4125),PlayerValues!E:E,0)),"N/A")</f>
        <v>17083</v>
      </c>
      <c r="B4125" s="4" t="s">
        <v>479</v>
      </c>
      <c r="C4125" s="4" t="s">
        <v>287</v>
      </c>
      <c r="D4125" s="94">
        <v>3373.0</v>
      </c>
    </row>
    <row r="4126">
      <c r="A4126" s="40">
        <f t="array" ref="A4126">IFNA(index(PlayerValues!A:A,match(IFNA(vlookup(B4126,'Special Names'!A:B,2,FALSE),B4126),PlayerValues!E:E,0)),"N/A")</f>
        <v>14071</v>
      </c>
      <c r="B4126" s="4" t="s">
        <v>440</v>
      </c>
      <c r="C4126" s="4" t="s">
        <v>278</v>
      </c>
      <c r="D4126" s="94">
        <v>3370.0</v>
      </c>
    </row>
    <row r="4127">
      <c r="A4127" s="40">
        <f t="array" ref="A4127">IFNA(index(PlayerValues!A:A,match(IFNA(vlookup(B4127,'Special Names'!A:B,2,FALSE),B4127),PlayerValues!E:E,0)),"N/A")</f>
        <v>17074</v>
      </c>
      <c r="B4127" s="4" t="s">
        <v>475</v>
      </c>
      <c r="C4127" s="4" t="s">
        <v>287</v>
      </c>
      <c r="D4127" s="94">
        <v>3368.0</v>
      </c>
    </row>
    <row r="4128">
      <c r="A4128" s="40">
        <f t="array" ref="A4128">IFNA(index(PlayerValues!A:A,match(IFNA(vlookup(B4128,'Special Names'!A:B,2,FALSE),B4128),PlayerValues!E:E,0)),"N/A")</f>
        <v>16620</v>
      </c>
      <c r="B4128" s="4" t="s">
        <v>467</v>
      </c>
      <c r="C4128" s="4" t="s">
        <v>287</v>
      </c>
      <c r="D4128" s="94">
        <v>3363.0</v>
      </c>
    </row>
    <row r="4129">
      <c r="A4129" s="40">
        <f t="array" ref="A4129">IFNA(index(PlayerValues!A:A,match(IFNA(vlookup(B4129,'Special Names'!A:B,2,FALSE),B4129),PlayerValues!E:E,0)),"N/A")</f>
        <v>14842</v>
      </c>
      <c r="B4129" s="4" t="s">
        <v>456</v>
      </c>
      <c r="C4129" s="4" t="s">
        <v>287</v>
      </c>
      <c r="D4129" s="94">
        <v>3361.0</v>
      </c>
    </row>
    <row r="4130">
      <c r="A4130" s="40">
        <f t="array" ref="A4130">IFNA(index(PlayerValues!A:A,match(IFNA(vlookup(B4130,'Special Names'!A:B,2,FALSE),B4130),PlayerValues!E:E,0)),"N/A")</f>
        <v>16188</v>
      </c>
      <c r="B4130" s="4" t="s">
        <v>439</v>
      </c>
      <c r="C4130" s="4" t="s">
        <v>287</v>
      </c>
      <c r="D4130" s="94">
        <v>3352.0</v>
      </c>
    </row>
    <row r="4131">
      <c r="A4131" s="40">
        <f t="array" ref="A4131">IFNA(index(PlayerValues!A:A,match(IFNA(vlookup(B4131,'Special Names'!A:B,2,FALSE),B4131),PlayerValues!E:E,0)),"N/A")</f>
        <v>15261</v>
      </c>
      <c r="B4131" s="4" t="s">
        <v>466</v>
      </c>
      <c r="C4131" s="4" t="s">
        <v>278</v>
      </c>
      <c r="D4131" s="94">
        <v>3326.0</v>
      </c>
    </row>
    <row r="4132">
      <c r="A4132" s="40" t="str">
        <f t="array" ref="A4132">IFNA(index(PlayerValues!A:A,match(IFNA(vlookup(B4132,'Special Names'!A:B,2,FALSE),B4132),PlayerValues!E:E,0)),"N/A")</f>
        <v>N/A</v>
      </c>
      <c r="B4132" s="4" t="s">
        <v>82</v>
      </c>
      <c r="C4132" s="4" t="s">
        <v>325</v>
      </c>
      <c r="D4132" s="94">
        <v>3295.0</v>
      </c>
    </row>
    <row r="4133">
      <c r="A4133" s="40">
        <f t="array" ref="A4133">IFNA(index(PlayerValues!A:A,match(IFNA(vlookup(B4133,'Special Names'!A:B,2,FALSE),B4133),PlayerValues!E:E,0)),"N/A")</f>
        <v>16593</v>
      </c>
      <c r="B4133" s="4" t="s">
        <v>442</v>
      </c>
      <c r="C4133" s="4" t="s">
        <v>278</v>
      </c>
      <c r="D4133" s="94">
        <v>3285.0</v>
      </c>
    </row>
    <row r="4134">
      <c r="A4134" s="40">
        <f t="array" ref="A4134">IFNA(index(PlayerValues!A:A,match(IFNA(vlookup(B4134,'Special Names'!A:B,2,FALSE),B4134),PlayerValues!E:E,0)),"N/A")</f>
        <v>11671</v>
      </c>
      <c r="B4134" s="4" t="s">
        <v>463</v>
      </c>
      <c r="C4134" s="4" t="s">
        <v>287</v>
      </c>
      <c r="D4134" s="94">
        <v>3279.0</v>
      </c>
    </row>
    <row r="4135">
      <c r="A4135" s="40">
        <f t="array" ref="A4135">IFNA(index(PlayerValues!A:A,match(IFNA(vlookup(B4135,'Special Names'!A:B,2,FALSE),B4135),PlayerValues!E:E,0)),"N/A")</f>
        <v>11675</v>
      </c>
      <c r="B4135" s="4" t="s">
        <v>438</v>
      </c>
      <c r="C4135" s="4" t="s">
        <v>287</v>
      </c>
      <c r="D4135" s="94">
        <v>3279.0</v>
      </c>
    </row>
    <row r="4136">
      <c r="A4136" s="40">
        <f t="array" ref="A4136">IFNA(index(PlayerValues!A:A,match(IFNA(vlookup(B4136,'Special Names'!A:B,2,FALSE),B4136),PlayerValues!E:E,0)),"N/A")</f>
        <v>16213</v>
      </c>
      <c r="B4136" s="4" t="s">
        <v>458</v>
      </c>
      <c r="C4136" s="4" t="s">
        <v>298</v>
      </c>
      <c r="D4136" s="94">
        <v>3683.0</v>
      </c>
    </row>
    <row r="4137">
      <c r="A4137" s="40">
        <f t="array" ref="A4137">IFNA(index(PlayerValues!A:A,match(IFNA(vlookup(B4137,'Special Names'!A:B,2,FALSE),B4137),PlayerValues!E:E,0)),"N/A")</f>
        <v>13299</v>
      </c>
      <c r="B4137" s="4" t="s">
        <v>448</v>
      </c>
      <c r="C4137" s="4" t="s">
        <v>298</v>
      </c>
      <c r="D4137" s="94">
        <v>3674.0</v>
      </c>
    </row>
    <row r="4138">
      <c r="A4138" s="40">
        <f t="array" ref="A4138">IFNA(index(PlayerValues!A:A,match(IFNA(vlookup(B4138,'Special Names'!A:B,2,FALSE),B4138),PlayerValues!E:E,0)),"N/A")</f>
        <v>15779</v>
      </c>
      <c r="B4138" s="4" t="s">
        <v>461</v>
      </c>
      <c r="C4138" s="4" t="s">
        <v>287</v>
      </c>
      <c r="D4138" s="94">
        <v>3221.0</v>
      </c>
    </row>
    <row r="4139">
      <c r="A4139" s="40">
        <f t="array" ref="A4139">IFNA(index(PlayerValues!A:A,match(IFNA(vlookup(B4139,'Special Names'!A:B,2,FALSE),B4139),PlayerValues!E:E,0)),"N/A")</f>
        <v>15799</v>
      </c>
      <c r="B4139" s="4" t="s">
        <v>468</v>
      </c>
      <c r="C4139" s="4" t="s">
        <v>298</v>
      </c>
      <c r="D4139" s="94">
        <v>3658.0</v>
      </c>
    </row>
    <row r="4140">
      <c r="A4140" s="40">
        <f t="array" ref="A4140">IFNA(index(PlayerValues!A:A,match(IFNA(vlookup(B4140,'Special Names'!A:B,2,FALSE),B4140),PlayerValues!E:E,0)),"N/A")</f>
        <v>16597</v>
      </c>
      <c r="B4140" s="4" t="s">
        <v>427</v>
      </c>
      <c r="C4140" s="4" t="s">
        <v>278</v>
      </c>
      <c r="D4140" s="94">
        <v>3200.0</v>
      </c>
    </row>
    <row r="4141">
      <c r="A4141" s="40">
        <f t="array" ref="A4141">IFNA(index(PlayerValues!A:A,match(IFNA(vlookup(B4141,'Special Names'!A:B,2,FALSE),B4141),PlayerValues!E:E,0)),"N/A")</f>
        <v>14823</v>
      </c>
      <c r="B4141" s="4" t="s">
        <v>459</v>
      </c>
      <c r="C4141" s="4" t="s">
        <v>278</v>
      </c>
      <c r="D4141" s="94">
        <v>3193.0</v>
      </c>
    </row>
    <row r="4142">
      <c r="A4142" s="40" t="str">
        <f t="array" ref="A4142">IFNA(index(PlayerValues!A:A,match(IFNA(vlookup(B4142,'Special Names'!A:B,2,FALSE),B4142),PlayerValues!E:E,0)),"N/A")</f>
        <v>N/A</v>
      </c>
      <c r="B4142" s="4" t="s">
        <v>108</v>
      </c>
      <c r="C4142" s="4" t="s">
        <v>325</v>
      </c>
      <c r="D4142" s="94">
        <v>3178.0</v>
      </c>
    </row>
    <row r="4143">
      <c r="A4143" s="40">
        <f t="array" ref="A4143">IFNA(index(PlayerValues!A:A,match(IFNA(vlookup(B4143,'Special Names'!A:B,2,FALSE),B4143),PlayerValues!E:E,0)),"N/A")</f>
        <v>17477</v>
      </c>
      <c r="B4143" s="4" t="s">
        <v>452</v>
      </c>
      <c r="C4143" s="4" t="s">
        <v>278</v>
      </c>
      <c r="D4143" s="94">
        <v>3161.0</v>
      </c>
    </row>
    <row r="4144">
      <c r="A4144" s="40">
        <f t="array" ref="A4144">IFNA(index(PlayerValues!A:A,match(IFNA(vlookup(B4144,'Special Names'!A:B,2,FALSE),B4144),PlayerValues!E:E,0)),"N/A")</f>
        <v>15742</v>
      </c>
      <c r="B4144" s="4" t="s">
        <v>447</v>
      </c>
      <c r="C4144" s="4" t="s">
        <v>278</v>
      </c>
      <c r="D4144" s="94">
        <v>3159.0</v>
      </c>
    </row>
    <row r="4145">
      <c r="A4145" s="40">
        <f t="array" ref="A4145">IFNA(index(PlayerValues!A:A,match(IFNA(vlookup(B4145,'Special Names'!A:B,2,FALSE),B4145),PlayerValues!E:E,0)),"N/A")</f>
        <v>16583</v>
      </c>
      <c r="B4145" s="4" t="s">
        <v>493</v>
      </c>
      <c r="C4145" s="4" t="s">
        <v>283</v>
      </c>
      <c r="D4145" s="94">
        <v>3157.0</v>
      </c>
    </row>
    <row r="4146">
      <c r="A4146" s="40" t="str">
        <f t="array" ref="A4146">IFNA(index(PlayerValues!A:A,match(IFNA(vlookup(B4146,'Special Names'!A:B,2,FALSE),B4146),PlayerValues!E:E,0)),"N/A")</f>
        <v>N/A</v>
      </c>
      <c r="B4146" s="4" t="s">
        <v>97</v>
      </c>
      <c r="C4146" s="4" t="s">
        <v>325</v>
      </c>
      <c r="D4146" s="94">
        <v>3155.0</v>
      </c>
    </row>
    <row r="4147">
      <c r="A4147" s="40">
        <f t="array" ref="A4147">IFNA(index(PlayerValues!A:A,match(IFNA(vlookup(B4147,'Special Names'!A:B,2,FALSE),B4147),PlayerValues!E:E,0)),"N/A")</f>
        <v>13630</v>
      </c>
      <c r="B4147" s="4" t="s">
        <v>465</v>
      </c>
      <c r="C4147" s="4" t="s">
        <v>287</v>
      </c>
      <c r="D4147" s="94">
        <v>3152.0</v>
      </c>
    </row>
    <row r="4148">
      <c r="A4148" s="40">
        <f t="array" ref="A4148">IFNA(index(PlayerValues!A:A,match(IFNA(vlookup(B4148,'Special Names'!A:B,2,FALSE),B4148),PlayerValues!E:E,0)),"N/A")</f>
        <v>14127</v>
      </c>
      <c r="B4148" s="4" t="s">
        <v>486</v>
      </c>
      <c r="C4148" s="4" t="s">
        <v>287</v>
      </c>
      <c r="D4148" s="94">
        <v>3139.0</v>
      </c>
    </row>
    <row r="4149">
      <c r="A4149" s="40">
        <f t="array" ref="A4149">IFNA(index(PlayerValues!A:A,match(IFNA(vlookup(B4149,'Special Names'!A:B,2,FALSE),B4149),PlayerValues!E:E,0)),"N/A")</f>
        <v>16809</v>
      </c>
      <c r="B4149" s="4" t="s">
        <v>455</v>
      </c>
      <c r="C4149" s="4" t="s">
        <v>287</v>
      </c>
      <c r="D4149" s="94">
        <v>3068.0</v>
      </c>
    </row>
    <row r="4150">
      <c r="A4150" s="40">
        <f t="array" ref="A4150">IFNA(index(PlayerValues!A:A,match(IFNA(vlookup(B4150,'Special Names'!A:B,2,FALSE),B4150),PlayerValues!E:E,0)),"N/A")</f>
        <v>16269</v>
      </c>
      <c r="B4150" s="4" t="s">
        <v>481</v>
      </c>
      <c r="C4150" s="4" t="s">
        <v>298</v>
      </c>
      <c r="D4150" s="94">
        <v>3435.0</v>
      </c>
    </row>
    <row r="4151">
      <c r="A4151" s="40">
        <f t="array" ref="A4151">IFNA(index(PlayerValues!A:A,match(IFNA(vlookup(B4151,'Special Names'!A:B,2,FALSE),B4151),PlayerValues!E:E,0)),"N/A")</f>
        <v>17506</v>
      </c>
      <c r="B4151" s="4" t="s">
        <v>471</v>
      </c>
      <c r="C4151" s="4" t="s">
        <v>287</v>
      </c>
      <c r="D4151" s="94">
        <v>2999.0</v>
      </c>
    </row>
    <row r="4152">
      <c r="A4152" s="40">
        <f t="array" ref="A4152">IFNA(index(PlayerValues!A:A,match(IFNA(vlookup(B4152,'Special Names'!A:B,2,FALSE),B4152),PlayerValues!E:E,0)),"N/A")</f>
        <v>15761</v>
      </c>
      <c r="B4152" s="4" t="s">
        <v>491</v>
      </c>
      <c r="C4152" s="4" t="s">
        <v>287</v>
      </c>
      <c r="D4152" s="94">
        <v>2990.0</v>
      </c>
    </row>
    <row r="4153">
      <c r="A4153" s="40" t="str">
        <f t="array" ref="A4153">IFNA(index(PlayerValues!A:A,match(IFNA(vlookup(B4153,'Special Names'!A:B,2,FALSE),B4153),PlayerValues!E:E,0)),"N/A")</f>
        <v>N/A</v>
      </c>
      <c r="B4153" s="4" t="s">
        <v>109</v>
      </c>
      <c r="C4153" s="4" t="s">
        <v>325</v>
      </c>
      <c r="D4153" s="94">
        <v>2979.0</v>
      </c>
    </row>
    <row r="4154">
      <c r="A4154" s="40">
        <f t="array" ref="A4154">IFNA(index(PlayerValues!A:A,match(IFNA(vlookup(B4154,'Special Names'!A:B,2,FALSE),B4154),PlayerValues!E:E,0)),"N/A")</f>
        <v>14800</v>
      </c>
      <c r="B4154" s="4" t="s">
        <v>472</v>
      </c>
      <c r="C4154" s="4" t="s">
        <v>278</v>
      </c>
      <c r="D4154" s="94">
        <v>2966.0</v>
      </c>
    </row>
    <row r="4155">
      <c r="A4155" s="40">
        <f t="array" ref="A4155">IFNA(index(PlayerValues!A:A,match(IFNA(vlookup(B4155,'Special Names'!A:B,2,FALSE),B4155),PlayerValues!E:E,0)),"N/A")</f>
        <v>17512</v>
      </c>
      <c r="B4155" s="4" t="s">
        <v>483</v>
      </c>
      <c r="C4155" s="4" t="s">
        <v>287</v>
      </c>
      <c r="D4155" s="94">
        <v>2966.0</v>
      </c>
    </row>
    <row r="4156">
      <c r="A4156" s="40">
        <f t="array" ref="A4156">IFNA(index(PlayerValues!A:A,match(IFNA(vlookup(B4156,'Special Names'!A:B,2,FALSE),B4156),PlayerValues!E:E,0)),"N/A")</f>
        <v>17503</v>
      </c>
      <c r="B4156" s="4" t="s">
        <v>480</v>
      </c>
      <c r="C4156" s="4" t="s">
        <v>287</v>
      </c>
      <c r="D4156" s="94">
        <v>2964.0</v>
      </c>
    </row>
    <row r="4157">
      <c r="A4157" s="40">
        <f t="array" ref="A4157">IFNA(index(PlayerValues!A:A,match(IFNA(vlookup(B4157,'Special Names'!A:B,2,FALSE),B4157),PlayerValues!E:E,0)),"N/A")</f>
        <v>13163</v>
      </c>
      <c r="B4157" s="4" t="s">
        <v>473</v>
      </c>
      <c r="C4157" s="4" t="s">
        <v>287</v>
      </c>
      <c r="D4157" s="94">
        <v>2962.0</v>
      </c>
    </row>
    <row r="4158">
      <c r="A4158" s="40">
        <f t="array" ref="A4158">IFNA(index(PlayerValues!A:A,match(IFNA(vlookup(B4158,'Special Names'!A:B,2,FALSE),B4158),PlayerValues!E:E,0)),"N/A")</f>
        <v>16628</v>
      </c>
      <c r="B4158" s="4" t="s">
        <v>490</v>
      </c>
      <c r="C4158" s="4" t="s">
        <v>287</v>
      </c>
      <c r="D4158" s="94">
        <v>2957.0</v>
      </c>
    </row>
    <row r="4159">
      <c r="A4159" s="40" t="str">
        <f t="array" ref="A4159">IFNA(index(PlayerValues!A:A,match(IFNA(vlookup(B4159,'Special Names'!A:B,2,FALSE),B4159),PlayerValues!E:E,0)),"N/A")</f>
        <v>N/A</v>
      </c>
      <c r="B4159" s="4" t="s">
        <v>84</v>
      </c>
      <c r="C4159" s="4" t="s">
        <v>325</v>
      </c>
      <c r="D4159" s="94">
        <v>2953.0</v>
      </c>
    </row>
    <row r="4160">
      <c r="A4160" s="40">
        <f t="array" ref="A4160">IFNA(index(PlayerValues!A:A,match(IFNA(vlookup(B4160,'Special Names'!A:B,2,FALSE),B4160),PlayerValues!E:E,0)),"N/A")</f>
        <v>17476</v>
      </c>
      <c r="B4160" s="4" t="s">
        <v>494</v>
      </c>
      <c r="C4160" s="4" t="s">
        <v>278</v>
      </c>
      <c r="D4160" s="94">
        <v>2944.0</v>
      </c>
    </row>
    <row r="4161">
      <c r="A4161" s="40">
        <f t="array" ref="A4161">IFNA(index(PlayerValues!A:A,match(IFNA(vlookup(B4161,'Special Names'!A:B,2,FALSE),B4161),PlayerValues!E:E,0)),"N/A")</f>
        <v>17256</v>
      </c>
      <c r="B4161" s="4" t="s">
        <v>462</v>
      </c>
      <c r="C4161" s="4" t="s">
        <v>278</v>
      </c>
      <c r="D4161" s="94">
        <v>2941.0</v>
      </c>
    </row>
    <row r="4162">
      <c r="A4162" s="40">
        <f t="array" ref="A4162">IFNA(index(PlayerValues!A:A,match(IFNA(vlookup(B4162,'Special Names'!A:B,2,FALSE),B4162),PlayerValues!E:E,0)),"N/A")</f>
        <v>15259</v>
      </c>
      <c r="B4162" s="4" t="s">
        <v>453</v>
      </c>
      <c r="C4162" s="4" t="s">
        <v>278</v>
      </c>
      <c r="D4162" s="94">
        <v>2917.0</v>
      </c>
    </row>
    <row r="4163">
      <c r="A4163" s="40">
        <f t="array" ref="A4163">IFNA(index(PlayerValues!A:A,match(IFNA(vlookup(B4163,'Special Names'!A:B,2,FALSE),B4163),PlayerValues!E:E,0)),"N/A")</f>
        <v>16080</v>
      </c>
      <c r="B4163" s="4" t="s">
        <v>499</v>
      </c>
      <c r="C4163" s="4" t="s">
        <v>287</v>
      </c>
      <c r="D4163" s="94">
        <v>2890.0</v>
      </c>
    </row>
    <row r="4164">
      <c r="A4164" s="40">
        <f t="array" ref="A4164">IFNA(index(PlayerValues!A:A,match(IFNA(vlookup(B4164,'Special Names'!A:B,2,FALSE),B4164),PlayerValues!E:E,0)),"N/A")</f>
        <v>16584</v>
      </c>
      <c r="B4164" s="4" t="s">
        <v>569</v>
      </c>
      <c r="C4164" s="4" t="s">
        <v>283</v>
      </c>
      <c r="D4164" s="94">
        <v>2853.0</v>
      </c>
    </row>
    <row r="4165">
      <c r="A4165" s="40" t="str">
        <f t="array" ref="A4165">IFNA(index(PlayerValues!A:A,match(IFNA(vlookup(B4165,'Special Names'!A:B,2,FALSE),B4165),PlayerValues!E:E,0)),"N/A")</f>
        <v>N/A</v>
      </c>
      <c r="B4165" s="4" t="s">
        <v>85</v>
      </c>
      <c r="C4165" s="4" t="s">
        <v>325</v>
      </c>
      <c r="D4165" s="94">
        <v>2833.0</v>
      </c>
    </row>
    <row r="4166">
      <c r="A4166" s="40">
        <f t="array" ref="A4166">IFNA(index(PlayerValues!A:A,match(IFNA(vlookup(B4166,'Special Names'!A:B,2,FALSE),B4166),PlayerValues!E:E,0)),"N/A")</f>
        <v>15255</v>
      </c>
      <c r="B4166" s="4" t="s">
        <v>477</v>
      </c>
      <c r="C4166" s="4" t="s">
        <v>278</v>
      </c>
      <c r="D4166" s="94">
        <v>2829.0</v>
      </c>
    </row>
    <row r="4167">
      <c r="A4167" s="40" t="str">
        <f t="array" ref="A4167">IFNA(index(PlayerValues!A:A,match(IFNA(vlookup(B4167,'Special Names'!A:B,2,FALSE),B4167),PlayerValues!E:E,0)),"N/A")</f>
        <v>N/A</v>
      </c>
      <c r="B4167" s="4" t="s">
        <v>110</v>
      </c>
      <c r="C4167" s="4" t="s">
        <v>325</v>
      </c>
      <c r="D4167" s="94">
        <v>2819.0</v>
      </c>
    </row>
    <row r="4168">
      <c r="A4168" s="40">
        <f t="array" ref="A4168">IFNA(index(PlayerValues!A:A,match(IFNA(vlookup(B4168,'Special Names'!A:B,2,FALSE),B4168),PlayerValues!E:E,0)),"N/A")</f>
        <v>17157</v>
      </c>
      <c r="B4168" s="4" t="s">
        <v>524</v>
      </c>
      <c r="C4168" s="4" t="s">
        <v>287</v>
      </c>
      <c r="D4168" s="94">
        <v>2807.0</v>
      </c>
    </row>
    <row r="4169">
      <c r="A4169" s="40">
        <f t="array" ref="A4169">IFNA(index(PlayerValues!A:A,match(IFNA(vlookup(B4169,'Special Names'!A:B,2,FALSE),B4169),PlayerValues!E:E,0)),"N/A")</f>
        <v>17053</v>
      </c>
      <c r="B4169" s="4" t="s">
        <v>484</v>
      </c>
      <c r="C4169" s="4" t="s">
        <v>278</v>
      </c>
      <c r="D4169" s="94">
        <v>2806.0</v>
      </c>
    </row>
    <row r="4170">
      <c r="A4170" s="40">
        <f t="array" ref="A4170">IFNA(index(PlayerValues!A:A,match(IFNA(vlookup(B4170,'Special Names'!A:B,2,FALSE),B4170),PlayerValues!E:E,0)),"N/A")</f>
        <v>14085</v>
      </c>
      <c r="B4170" s="4" t="s">
        <v>489</v>
      </c>
      <c r="C4170" s="4" t="s">
        <v>278</v>
      </c>
      <c r="D4170" s="94">
        <v>2797.0</v>
      </c>
    </row>
    <row r="4171">
      <c r="A4171" s="40">
        <f t="array" ref="A4171">IFNA(index(PlayerValues!A:A,match(IFNA(vlookup(B4171,'Special Names'!A:B,2,FALSE),B4171),PlayerValues!E:E,0)),"N/A")</f>
        <v>14138</v>
      </c>
      <c r="B4171" s="4" t="s">
        <v>531</v>
      </c>
      <c r="C4171" s="4" t="s">
        <v>298</v>
      </c>
      <c r="D4171" s="94">
        <v>3210.0</v>
      </c>
    </row>
    <row r="4172">
      <c r="A4172" s="40">
        <f t="array" ref="A4172">IFNA(index(PlayerValues!A:A,match(IFNA(vlookup(B4172,'Special Names'!A:B,2,FALSE),B4172),PlayerValues!E:E,0)),"N/A")</f>
        <v>17505</v>
      </c>
      <c r="B4172" s="4" t="s">
        <v>528</v>
      </c>
      <c r="C4172" s="4" t="s">
        <v>287</v>
      </c>
      <c r="D4172" s="94">
        <v>2783.0</v>
      </c>
    </row>
    <row r="4173">
      <c r="A4173" s="40">
        <f t="array" ref="A4173">IFNA(index(PlayerValues!A:A,match(IFNA(vlookup(B4173,'Special Names'!A:B,2,FALSE),B4173),PlayerValues!E:E,0)),"N/A")</f>
        <v>17072</v>
      </c>
      <c r="B4173" s="4" t="s">
        <v>508</v>
      </c>
      <c r="C4173" s="4" t="s">
        <v>287</v>
      </c>
      <c r="D4173" s="94">
        <v>2767.0</v>
      </c>
    </row>
    <row r="4174">
      <c r="A4174" s="40">
        <f t="array" ref="A4174">IFNA(index(PlayerValues!A:A,match(IFNA(vlookup(B4174,'Special Names'!A:B,2,FALSE),B4174),PlayerValues!E:E,0)),"N/A")</f>
        <v>16723</v>
      </c>
      <c r="B4174" s="4" t="s">
        <v>502</v>
      </c>
      <c r="C4174" s="4" t="s">
        <v>298</v>
      </c>
      <c r="D4174" s="94">
        <v>3180.0</v>
      </c>
    </row>
    <row r="4175">
      <c r="A4175" s="40">
        <f t="array" ref="A4175">IFNA(index(PlayerValues!A:A,match(IFNA(vlookup(B4175,'Special Names'!A:B,2,FALSE),B4175),PlayerValues!E:E,0)),"N/A")</f>
        <v>13671</v>
      </c>
      <c r="B4175" s="4" t="s">
        <v>506</v>
      </c>
      <c r="C4175" s="4" t="s">
        <v>298</v>
      </c>
      <c r="D4175" s="94">
        <v>3176.0</v>
      </c>
    </row>
    <row r="4176">
      <c r="A4176" s="40">
        <f t="array" ref="A4176">IFNA(index(PlayerValues!A:A,match(IFNA(vlookup(B4176,'Special Names'!A:B,2,FALSE),B4176),PlayerValues!E:E,0)),"N/A")</f>
        <v>17031</v>
      </c>
      <c r="B4176" s="4" t="s">
        <v>535</v>
      </c>
      <c r="C4176" s="4" t="s">
        <v>283</v>
      </c>
      <c r="D4176" s="94">
        <v>2752.0</v>
      </c>
    </row>
    <row r="4177">
      <c r="A4177" s="40">
        <f t="array" ref="A4177">IFNA(index(PlayerValues!A:A,match(IFNA(vlookup(B4177,'Special Names'!A:B,2,FALSE),B4177),PlayerValues!E:E,0)),"N/A")</f>
        <v>17047</v>
      </c>
      <c r="B4177" s="4" t="s">
        <v>510</v>
      </c>
      <c r="C4177" s="4" t="s">
        <v>278</v>
      </c>
      <c r="D4177" s="94">
        <v>2748.0</v>
      </c>
    </row>
    <row r="4178">
      <c r="A4178" s="40">
        <f t="array" ref="A4178">IFNA(index(PlayerValues!A:A,match(IFNA(vlookup(B4178,'Special Names'!A:B,2,FALSE),B4178),PlayerValues!E:E,0)),"N/A")</f>
        <v>15889</v>
      </c>
      <c r="B4178" s="4" t="s">
        <v>503</v>
      </c>
      <c r="C4178" s="4" t="s">
        <v>298</v>
      </c>
      <c r="D4178" s="94">
        <v>3146.0</v>
      </c>
    </row>
    <row r="4179">
      <c r="A4179" s="40">
        <f t="array" ref="A4179">IFNA(index(PlayerValues!A:A,match(IFNA(vlookup(B4179,'Special Names'!A:B,2,FALSE),B4179),PlayerValues!E:E,0)),"N/A")</f>
        <v>14778</v>
      </c>
      <c r="B4179" s="4" t="s">
        <v>564</v>
      </c>
      <c r="C4179" s="4" t="s">
        <v>283</v>
      </c>
      <c r="D4179" s="94">
        <v>2733.0</v>
      </c>
    </row>
    <row r="4180">
      <c r="A4180" s="40">
        <f t="array" ref="A4180">IFNA(index(PlayerValues!A:A,match(IFNA(vlookup(B4180,'Special Names'!A:B,2,FALSE),B4180),PlayerValues!E:E,0)),"N/A")</f>
        <v>15721</v>
      </c>
      <c r="B4180" s="4" t="s">
        <v>504</v>
      </c>
      <c r="C4180" s="4" t="s">
        <v>278</v>
      </c>
      <c r="D4180" s="94">
        <v>2729.0</v>
      </c>
    </row>
    <row r="4181">
      <c r="A4181" s="40">
        <f t="array" ref="A4181">IFNA(index(PlayerValues!A:A,match(IFNA(vlookup(B4181,'Special Names'!A:B,2,FALSE),B4181),PlayerValues!E:E,0)),"N/A")</f>
        <v>15712</v>
      </c>
      <c r="B4181" s="4" t="s">
        <v>488</v>
      </c>
      <c r="C4181" s="4" t="s">
        <v>278</v>
      </c>
      <c r="D4181" s="94">
        <v>2729.0</v>
      </c>
    </row>
    <row r="4182">
      <c r="A4182" s="40">
        <f t="array" ref="A4182">IFNA(index(PlayerValues!A:A,match(IFNA(vlookup(B4182,'Special Names'!A:B,2,FALSE),B4182),PlayerValues!E:E,0)),"N/A")</f>
        <v>17098</v>
      </c>
      <c r="B4182" s="4" t="s">
        <v>533</v>
      </c>
      <c r="C4182" s="4" t="s">
        <v>287</v>
      </c>
      <c r="D4182" s="94">
        <v>2703.0</v>
      </c>
    </row>
    <row r="4183">
      <c r="A4183" s="40">
        <f t="array" ref="A4183">IFNA(index(PlayerValues!A:A,match(IFNA(vlookup(B4183,'Special Names'!A:B,2,FALSE),B4183),PlayerValues!E:E,0)),"N/A")</f>
        <v>17507</v>
      </c>
      <c r="B4183" s="4" t="s">
        <v>495</v>
      </c>
      <c r="C4183" s="4" t="s">
        <v>287</v>
      </c>
      <c r="D4183" s="94">
        <v>2695.0</v>
      </c>
    </row>
    <row r="4184">
      <c r="A4184" s="40">
        <f t="array" ref="A4184">IFNA(index(PlayerValues!A:A,match(IFNA(vlookup(B4184,'Special Names'!A:B,2,FALSE),B4184),PlayerValues!E:E,0)),"N/A")</f>
        <v>17511</v>
      </c>
      <c r="B4184" s="4" t="s">
        <v>485</v>
      </c>
      <c r="C4184" s="4" t="s">
        <v>287</v>
      </c>
      <c r="D4184" s="94">
        <v>2690.0</v>
      </c>
    </row>
    <row r="4185">
      <c r="A4185" s="40">
        <f t="array" ref="A4185">IFNA(index(PlayerValues!A:A,match(IFNA(vlookup(B4185,'Special Names'!A:B,2,FALSE),B4185),PlayerValues!E:E,0)),"N/A")</f>
        <v>14860</v>
      </c>
      <c r="B4185" s="4" t="s">
        <v>554</v>
      </c>
      <c r="C4185" s="4" t="s">
        <v>287</v>
      </c>
      <c r="D4185" s="94">
        <v>2689.0</v>
      </c>
    </row>
    <row r="4186">
      <c r="A4186" s="40">
        <f t="array" ref="A4186">IFNA(index(PlayerValues!A:A,match(IFNA(vlookup(B4186,'Special Names'!A:B,2,FALSE),B4186),PlayerValues!E:E,0)),"N/A")</f>
        <v>12616</v>
      </c>
      <c r="B4186" s="4" t="s">
        <v>529</v>
      </c>
      <c r="C4186" s="4" t="s">
        <v>283</v>
      </c>
      <c r="D4186" s="94">
        <v>2688.0</v>
      </c>
    </row>
    <row r="4187">
      <c r="A4187" s="40">
        <f t="array" ref="A4187">IFNA(index(PlayerValues!A:A,match(IFNA(vlookup(B4187,'Special Names'!A:B,2,FALSE),B4187),PlayerValues!E:E,0)),"N/A")</f>
        <v>16747</v>
      </c>
      <c r="B4187" s="4" t="s">
        <v>555</v>
      </c>
      <c r="C4187" s="4" t="s">
        <v>278</v>
      </c>
      <c r="D4187" s="94">
        <v>2678.0</v>
      </c>
    </row>
    <row r="4188">
      <c r="A4188" s="40">
        <f t="array" ref="A4188">IFNA(index(PlayerValues!A:A,match(IFNA(vlookup(B4188,'Special Names'!A:B,2,FALSE),B4188),PlayerValues!E:E,0)),"N/A")</f>
        <v>17080</v>
      </c>
      <c r="B4188" s="4" t="s">
        <v>532</v>
      </c>
      <c r="C4188" s="4" t="s">
        <v>287</v>
      </c>
      <c r="D4188" s="94">
        <v>2674.0</v>
      </c>
    </row>
    <row r="4189">
      <c r="A4189" s="40">
        <f t="array" ref="A4189">IFNA(index(PlayerValues!A:A,match(IFNA(vlookup(B4189,'Special Names'!A:B,2,FALSE),B4189),PlayerValues!E:E,0)),"N/A")</f>
        <v>17105</v>
      </c>
      <c r="B4189" s="4" t="s">
        <v>525</v>
      </c>
      <c r="C4189" s="4" t="s">
        <v>298</v>
      </c>
      <c r="D4189" s="94">
        <v>3086.0</v>
      </c>
    </row>
    <row r="4190">
      <c r="A4190" s="40">
        <f t="array" ref="A4190">IFNA(index(PlayerValues!A:A,match(IFNA(vlookup(B4190,'Special Names'!A:B,2,FALSE),B4190),PlayerValues!E:E,0)),"N/A")</f>
        <v>16193</v>
      </c>
      <c r="B4190" s="4" t="s">
        <v>487</v>
      </c>
      <c r="C4190" s="4" t="s">
        <v>287</v>
      </c>
      <c r="D4190" s="94">
        <v>2668.0</v>
      </c>
    </row>
    <row r="4191">
      <c r="A4191" s="40">
        <f t="array" ref="A4191">IFNA(index(PlayerValues!A:A,match(IFNA(vlookup(B4191,'Special Names'!A:B,2,FALSE),B4191),PlayerValues!E:E,0)),"N/A")</f>
        <v>16596</v>
      </c>
      <c r="B4191" s="4" t="s">
        <v>501</v>
      </c>
      <c r="C4191" s="4" t="s">
        <v>278</v>
      </c>
      <c r="D4191" s="94">
        <v>2661.0</v>
      </c>
    </row>
    <row r="4192">
      <c r="A4192" s="40">
        <f t="array" ref="A4192">IFNA(index(PlayerValues!A:A,match(IFNA(vlookup(B4192,'Special Names'!A:B,2,FALSE),B4192),PlayerValues!E:E,0)),"N/A")</f>
        <v>15241</v>
      </c>
      <c r="B4192" s="4" t="s">
        <v>546</v>
      </c>
      <c r="C4192" s="4" t="s">
        <v>283</v>
      </c>
      <c r="D4192" s="94">
        <v>2658.0</v>
      </c>
    </row>
    <row r="4193">
      <c r="A4193" s="40">
        <f t="array" ref="A4193">IFNA(index(PlayerValues!A:A,match(IFNA(vlookup(B4193,'Special Names'!A:B,2,FALSE),B4193),PlayerValues!E:E,0)),"N/A")</f>
        <v>16619</v>
      </c>
      <c r="B4193" s="4" t="s">
        <v>538</v>
      </c>
      <c r="C4193" s="4" t="s">
        <v>287</v>
      </c>
      <c r="D4193" s="94">
        <v>2658.0</v>
      </c>
    </row>
    <row r="4194">
      <c r="A4194" s="40">
        <f t="array" ref="A4194">IFNA(index(PlayerValues!A:A,match(IFNA(vlookup(B4194,'Special Names'!A:B,2,FALSE),B4194),PlayerValues!E:E,0)),"N/A")</f>
        <v>15972</v>
      </c>
      <c r="B4194" s="4" t="s">
        <v>469</v>
      </c>
      <c r="C4194" s="4" t="s">
        <v>278</v>
      </c>
      <c r="D4194" s="94">
        <v>2656.0</v>
      </c>
    </row>
    <row r="4195">
      <c r="A4195" s="40">
        <f t="array" ref="A4195">IFNA(index(PlayerValues!A:A,match(IFNA(vlookup(B4195,'Special Names'!A:B,2,FALSE),B4195),PlayerValues!E:E,0)),"N/A")</f>
        <v>14833</v>
      </c>
      <c r="B4195" s="4" t="s">
        <v>553</v>
      </c>
      <c r="C4195" s="4" t="s">
        <v>287</v>
      </c>
      <c r="D4195" s="94">
        <v>2627.0</v>
      </c>
    </row>
    <row r="4196">
      <c r="A4196" s="40">
        <f t="array" ref="A4196">IFNA(index(PlayerValues!A:A,match(IFNA(vlookup(B4196,'Special Names'!A:B,2,FALSE),B4196),PlayerValues!E:E,0)),"N/A")</f>
        <v>17107</v>
      </c>
      <c r="B4196" s="4" t="s">
        <v>478</v>
      </c>
      <c r="C4196" s="4" t="s">
        <v>298</v>
      </c>
      <c r="D4196" s="94">
        <v>3034.0</v>
      </c>
    </row>
    <row r="4197">
      <c r="A4197" s="40" t="str">
        <f t="array" ref="A4197">IFNA(index(PlayerValues!A:A,match(IFNA(vlookup(B4197,'Special Names'!A:B,2,FALSE),B4197),PlayerValues!E:E,0)),"N/A")</f>
        <v>N/A</v>
      </c>
      <c r="B4197" s="4" t="s">
        <v>98</v>
      </c>
      <c r="C4197" s="4" t="s">
        <v>325</v>
      </c>
      <c r="D4197" s="94">
        <v>2623.0</v>
      </c>
    </row>
    <row r="4198">
      <c r="A4198" s="40">
        <f t="array" ref="A4198">IFNA(index(PlayerValues!A:A,match(IFNA(vlookup(B4198,'Special Names'!A:B,2,FALSE),B4198),PlayerValues!E:E,0)),"N/A")</f>
        <v>17073</v>
      </c>
      <c r="B4198" s="4" t="s">
        <v>547</v>
      </c>
      <c r="C4198" s="4" t="s">
        <v>287</v>
      </c>
      <c r="D4198" s="94">
        <v>2611.0</v>
      </c>
    </row>
    <row r="4199">
      <c r="A4199" s="40">
        <f t="array" ref="A4199">IFNA(index(PlayerValues!A:A,match(IFNA(vlookup(B4199,'Special Names'!A:B,2,FALSE),B4199),PlayerValues!E:E,0)),"N/A")</f>
        <v>17509</v>
      </c>
      <c r="B4199" s="4" t="s">
        <v>551</v>
      </c>
      <c r="C4199" s="4" t="s">
        <v>287</v>
      </c>
      <c r="D4199" s="94">
        <v>2609.0</v>
      </c>
    </row>
    <row r="4200">
      <c r="A4200" s="40">
        <f t="array" ref="A4200">IFNA(index(PlayerValues!A:A,match(IFNA(vlookup(B4200,'Special Names'!A:B,2,FALSE),B4200),PlayerValues!E:E,0)),"N/A")</f>
        <v>16165</v>
      </c>
      <c r="B4200" s="4" t="s">
        <v>520</v>
      </c>
      <c r="C4200" s="4" t="s">
        <v>278</v>
      </c>
      <c r="D4200" s="94">
        <v>2600.0</v>
      </c>
    </row>
    <row r="4201">
      <c r="A4201" s="40">
        <f t="array" ref="A4201">IFNA(index(PlayerValues!A:A,match(IFNA(vlookup(B4201,'Special Names'!A:B,2,FALSE),B4201),PlayerValues!E:E,0)),"N/A")</f>
        <v>16174</v>
      </c>
      <c r="B4201" s="4" t="s">
        <v>505</v>
      </c>
      <c r="C4201" s="4" t="s">
        <v>278</v>
      </c>
      <c r="D4201" s="94">
        <v>2595.0</v>
      </c>
    </row>
    <row r="4202">
      <c r="A4202" s="40">
        <f t="array" ref="A4202">IFNA(index(PlayerValues!A:A,match(IFNA(vlookup(B4202,'Special Names'!A:B,2,FALSE),B4202),PlayerValues!E:E,0)),"N/A")</f>
        <v>17474</v>
      </c>
      <c r="B4202" s="4" t="s">
        <v>513</v>
      </c>
      <c r="C4202" s="4" t="s">
        <v>278</v>
      </c>
      <c r="D4202" s="94">
        <v>2591.0</v>
      </c>
    </row>
    <row r="4203">
      <c r="A4203" s="40">
        <f t="array" ref="A4203">IFNA(index(PlayerValues!A:A,match(IFNA(vlookup(B4203,'Special Names'!A:B,2,FALSE),B4203),PlayerValues!E:E,0)),"N/A")</f>
        <v>13674</v>
      </c>
      <c r="B4203" s="4" t="s">
        <v>511</v>
      </c>
      <c r="C4203" s="4" t="s">
        <v>298</v>
      </c>
      <c r="D4203" s="94">
        <v>2978.0</v>
      </c>
    </row>
    <row r="4204">
      <c r="A4204" s="40">
        <f t="array" ref="A4204">IFNA(index(PlayerValues!A:A,match(IFNA(vlookup(B4204,'Special Names'!A:B,2,FALSE),B4204),PlayerValues!E:E,0)),"N/A")</f>
        <v>16204</v>
      </c>
      <c r="B4204" s="4" t="s">
        <v>530</v>
      </c>
      <c r="C4204" s="4" t="s">
        <v>287</v>
      </c>
      <c r="D4204" s="94">
        <v>2541.0</v>
      </c>
    </row>
    <row r="4205">
      <c r="A4205" s="40">
        <f t="array" ref="A4205">IFNA(index(PlayerValues!A:A,match(IFNA(vlookup(B4205,'Special Names'!A:B,2,FALSE),B4205),PlayerValues!E:E,0)),"N/A")</f>
        <v>17478</v>
      </c>
      <c r="B4205" s="4" t="s">
        <v>527</v>
      </c>
      <c r="C4205" s="4" t="s">
        <v>278</v>
      </c>
      <c r="D4205" s="94">
        <v>2528.0</v>
      </c>
    </row>
    <row r="4206">
      <c r="A4206" s="40">
        <f t="array" ref="A4206">IFNA(index(PlayerValues!A:A,match(IFNA(vlookup(B4206,'Special Names'!A:B,2,FALSE),B4206),PlayerValues!E:E,0)),"N/A")</f>
        <v>17108</v>
      </c>
      <c r="B4206" s="4" t="s">
        <v>542</v>
      </c>
      <c r="C4206" s="4" t="s">
        <v>298</v>
      </c>
      <c r="D4206" s="94">
        <v>2925.0</v>
      </c>
    </row>
    <row r="4207">
      <c r="A4207" s="40">
        <f t="array" ref="A4207">IFNA(index(PlayerValues!A:A,match(IFNA(vlookup(B4207,'Special Names'!A:B,2,FALSE),B4207),PlayerValues!E:E,0)),"N/A")</f>
        <v>17078</v>
      </c>
      <c r="B4207" s="4" t="s">
        <v>543</v>
      </c>
      <c r="C4207" s="4" t="s">
        <v>287</v>
      </c>
      <c r="D4207" s="94">
        <v>2518.0</v>
      </c>
    </row>
    <row r="4208">
      <c r="A4208" s="40">
        <f t="array" ref="A4208">IFNA(index(PlayerValues!A:A,match(IFNA(vlookup(B4208,'Special Names'!A:B,2,FALSE),B4208),PlayerValues!E:E,0)),"N/A")</f>
        <v>17082</v>
      </c>
      <c r="B4208" s="4" t="s">
        <v>498</v>
      </c>
      <c r="C4208" s="4" t="s">
        <v>287</v>
      </c>
      <c r="D4208" s="94">
        <v>2513.0</v>
      </c>
    </row>
    <row r="4209">
      <c r="A4209" s="40">
        <f t="array" ref="A4209">IFNA(index(PlayerValues!A:A,match(IFNA(vlookup(B4209,'Special Names'!A:B,2,FALSE),B4209),PlayerValues!E:E,0)),"N/A")</f>
        <v>17508</v>
      </c>
      <c r="B4209" s="4" t="s">
        <v>534</v>
      </c>
      <c r="C4209" s="4" t="s">
        <v>287</v>
      </c>
      <c r="D4209" s="94">
        <v>2509.0</v>
      </c>
    </row>
    <row r="4210">
      <c r="A4210" s="40">
        <f t="array" ref="A4210">IFNA(index(PlayerValues!A:A,match(IFNA(vlookup(B4210,'Special Names'!A:B,2,FALSE),B4210),PlayerValues!E:E,0)),"N/A")</f>
        <v>16617</v>
      </c>
      <c r="B4210" s="4" t="s">
        <v>541</v>
      </c>
      <c r="C4210" s="4" t="s">
        <v>287</v>
      </c>
      <c r="D4210" s="94">
        <v>2490.0</v>
      </c>
    </row>
    <row r="4211">
      <c r="A4211" s="40">
        <f t="array" ref="A4211">IFNA(index(PlayerValues!A:A,match(IFNA(vlookup(B4211,'Special Names'!A:B,2,FALSE),B4211),PlayerValues!E:E,0)),"N/A")</f>
        <v>16684</v>
      </c>
      <c r="B4211" s="4" t="s">
        <v>500</v>
      </c>
      <c r="C4211" s="4" t="s">
        <v>287</v>
      </c>
      <c r="D4211" s="94">
        <v>2490.0</v>
      </c>
    </row>
    <row r="4212">
      <c r="A4212" s="40">
        <f t="array" ref="A4212">IFNA(index(PlayerValues!A:A,match(IFNA(vlookup(B4212,'Special Names'!A:B,2,FALSE),B4212),PlayerValues!E:E,0)),"N/A")</f>
        <v>13192</v>
      </c>
      <c r="B4212" s="4" t="s">
        <v>563</v>
      </c>
      <c r="C4212" s="4" t="s">
        <v>298</v>
      </c>
      <c r="D4212" s="94">
        <v>2864.0</v>
      </c>
    </row>
    <row r="4213">
      <c r="A4213" s="40">
        <f t="array" ref="A4213">IFNA(index(PlayerValues!A:A,match(IFNA(vlookup(B4213,'Special Names'!A:B,2,FALSE),B4213),PlayerValues!E:E,0)),"N/A")</f>
        <v>17171</v>
      </c>
      <c r="B4213" s="4" t="s">
        <v>561</v>
      </c>
      <c r="C4213" s="4" t="s">
        <v>287</v>
      </c>
      <c r="D4213" s="94">
        <v>2451.0</v>
      </c>
    </row>
    <row r="4214">
      <c r="A4214" s="40" t="str">
        <f t="array" ref="A4214">IFNA(index(PlayerValues!A:A,match(IFNA(vlookup(B4214,'Special Names'!A:B,2,FALSE),B4214),PlayerValues!E:E,0)),"N/A")</f>
        <v>N/A</v>
      </c>
      <c r="B4214" s="4" t="s">
        <v>99</v>
      </c>
      <c r="C4214" s="4" t="s">
        <v>325</v>
      </c>
      <c r="D4214" s="94">
        <v>2447.0</v>
      </c>
    </row>
    <row r="4215">
      <c r="A4215" s="40">
        <f t="array" ref="A4215">IFNA(index(PlayerValues!A:A,match(IFNA(vlookup(B4215,'Special Names'!A:B,2,FALSE),B4215),PlayerValues!E:E,0)),"N/A")</f>
        <v>16626</v>
      </c>
      <c r="B4215" s="4" t="s">
        <v>515</v>
      </c>
      <c r="C4215" s="4" t="s">
        <v>287</v>
      </c>
      <c r="D4215" s="94">
        <v>2445.0</v>
      </c>
    </row>
    <row r="4216">
      <c r="A4216" s="40">
        <f t="array" ref="A4216">IFNA(index(PlayerValues!A:A,match(IFNA(vlookup(B4216,'Special Names'!A:B,2,FALSE),B4216),PlayerValues!E:E,0)),"N/A")</f>
        <v>11244</v>
      </c>
      <c r="B4216" s="4" t="s">
        <v>519</v>
      </c>
      <c r="C4216" s="4" t="s">
        <v>298</v>
      </c>
      <c r="D4216" s="94">
        <v>2846.0</v>
      </c>
    </row>
    <row r="4217">
      <c r="A4217" s="40">
        <f t="array" ref="A4217">IFNA(index(PlayerValues!A:A,match(IFNA(vlookup(B4217,'Special Names'!A:B,2,FALSE),B4217),PlayerValues!E:E,0)),"N/A")</f>
        <v>17134</v>
      </c>
      <c r="B4217" s="4" t="s">
        <v>548</v>
      </c>
      <c r="C4217" s="4" t="s">
        <v>287</v>
      </c>
      <c r="D4217" s="94">
        <v>2443.0</v>
      </c>
    </row>
    <row r="4218">
      <c r="A4218" s="40">
        <f t="array" ref="A4218">IFNA(index(PlayerValues!A:A,match(IFNA(vlookup(B4218,'Special Names'!A:B,2,FALSE),B4218),PlayerValues!E:E,0)),"N/A")</f>
        <v>16287</v>
      </c>
      <c r="B4218" s="4" t="s">
        <v>516</v>
      </c>
      <c r="C4218" s="4" t="s">
        <v>287</v>
      </c>
      <c r="D4218" s="94">
        <v>2439.0</v>
      </c>
    </row>
    <row r="4219">
      <c r="A4219" s="40">
        <f t="array" ref="A4219">IFNA(index(PlayerValues!A:A,match(IFNA(vlookup(B4219,'Special Names'!A:B,2,FALSE),B4219),PlayerValues!E:E,0)),"N/A")</f>
        <v>16164</v>
      </c>
      <c r="B4219" s="4" t="s">
        <v>512</v>
      </c>
      <c r="C4219" s="4" t="s">
        <v>278</v>
      </c>
      <c r="D4219" s="94">
        <v>2434.0</v>
      </c>
    </row>
    <row r="4220">
      <c r="A4220" s="40">
        <f t="array" ref="A4220">IFNA(index(PlayerValues!A:A,match(IFNA(vlookup(B4220,'Special Names'!A:B,2,FALSE),B4220),PlayerValues!E:E,0)),"N/A")</f>
        <v>17482</v>
      </c>
      <c r="B4220" s="4" t="s">
        <v>460</v>
      </c>
      <c r="C4220" s="4" t="s">
        <v>278</v>
      </c>
      <c r="D4220" s="94">
        <v>2408.0</v>
      </c>
    </row>
    <row r="4221">
      <c r="A4221" s="40">
        <f t="array" ref="A4221">IFNA(index(PlayerValues!A:A,match(IFNA(vlookup(B4221,'Special Names'!A:B,2,FALSE),B4221),PlayerValues!E:E,0)),"N/A")</f>
        <v>16178</v>
      </c>
      <c r="B4221" s="4" t="s">
        <v>507</v>
      </c>
      <c r="C4221" s="4" t="s">
        <v>278</v>
      </c>
      <c r="D4221" s="94">
        <v>2406.0</v>
      </c>
    </row>
    <row r="4222">
      <c r="A4222" s="40">
        <f t="array" ref="A4222">IFNA(index(PlayerValues!A:A,match(IFNA(vlookup(B4222,'Special Names'!A:B,2,FALSE),B4222),PlayerValues!E:E,0)),"N/A")</f>
        <v>17514</v>
      </c>
      <c r="B4222" s="4" t="s">
        <v>422</v>
      </c>
      <c r="C4222" s="4" t="s">
        <v>287</v>
      </c>
      <c r="D4222" s="94">
        <v>2405.0</v>
      </c>
    </row>
    <row r="4223">
      <c r="A4223" s="40">
        <f t="array" ref="A4223">IFNA(index(PlayerValues!A:A,match(IFNA(vlookup(B4223,'Special Names'!A:B,2,FALSE),B4223),PlayerValues!E:E,0)),"N/A")</f>
        <v>17048</v>
      </c>
      <c r="B4223" s="4" t="s">
        <v>539</v>
      </c>
      <c r="C4223" s="4" t="s">
        <v>278</v>
      </c>
      <c r="D4223" s="94">
        <v>2393.0</v>
      </c>
    </row>
    <row r="4224">
      <c r="A4224" s="40">
        <f t="array" ref="A4224">IFNA(index(PlayerValues!A:A,match(IFNA(vlookup(B4224,'Special Names'!A:B,2,FALSE),B4224),PlayerValues!E:E,0)),"N/A")</f>
        <v>15716</v>
      </c>
      <c r="B4224" s="4" t="s">
        <v>545</v>
      </c>
      <c r="C4224" s="4" t="s">
        <v>278</v>
      </c>
      <c r="D4224" s="94">
        <v>2385.0</v>
      </c>
    </row>
    <row r="4225">
      <c r="A4225" s="40">
        <f t="array" ref="A4225">IFNA(index(PlayerValues!A:A,match(IFNA(vlookup(B4225,'Special Names'!A:B,2,FALSE),B4225),PlayerValues!E:E,0)),"N/A")</f>
        <v>17517</v>
      </c>
      <c r="B4225" s="4" t="s">
        <v>454</v>
      </c>
      <c r="C4225" s="4" t="s">
        <v>287</v>
      </c>
      <c r="D4225" s="94">
        <v>2385.0</v>
      </c>
    </row>
    <row r="4226">
      <c r="A4226" s="40">
        <f t="array" ref="A4226">IFNA(index(PlayerValues!A:A,match(IFNA(vlookup(B4226,'Special Names'!A:B,2,FALSE),B4226),PlayerValues!E:E,0)),"N/A")</f>
        <v>16195</v>
      </c>
      <c r="B4226" s="4" t="s">
        <v>509</v>
      </c>
      <c r="C4226" s="4" t="s">
        <v>287</v>
      </c>
      <c r="D4226" s="94">
        <v>2381.0</v>
      </c>
    </row>
    <row r="4227">
      <c r="A4227" s="40">
        <f t="array" ref="A4227">IFNA(index(PlayerValues!A:A,match(IFNA(vlookup(B4227,'Special Names'!A:B,2,FALSE),B4227),PlayerValues!E:E,0)),"N/A")</f>
        <v>15786</v>
      </c>
      <c r="B4227" s="4" t="s">
        <v>521</v>
      </c>
      <c r="C4227" s="4" t="s">
        <v>287</v>
      </c>
      <c r="D4227" s="94">
        <v>2372.0</v>
      </c>
    </row>
    <row r="4228">
      <c r="A4228" s="40">
        <f t="array" ref="A4228">IFNA(index(PlayerValues!A:A,match(IFNA(vlookup(B4228,'Special Names'!A:B,2,FALSE),B4228),PlayerValues!E:E,0)),"N/A")</f>
        <v>17106</v>
      </c>
      <c r="B4228" s="4" t="s">
        <v>550</v>
      </c>
      <c r="C4228" s="4" t="s">
        <v>298</v>
      </c>
      <c r="D4228" s="94">
        <v>2754.0</v>
      </c>
    </row>
    <row r="4229">
      <c r="A4229" s="40">
        <f t="array" ref="A4229">IFNA(index(PlayerValues!A:A,match(IFNA(vlookup(B4229,'Special Names'!A:B,2,FALSE),B4229),PlayerValues!E:E,0)),"N/A")</f>
        <v>15749</v>
      </c>
      <c r="B4229" s="4" t="s">
        <v>574</v>
      </c>
      <c r="C4229" s="4" t="s">
        <v>278</v>
      </c>
      <c r="D4229" s="94">
        <v>2353.0</v>
      </c>
    </row>
    <row r="4230">
      <c r="A4230" s="40">
        <f t="array" ref="A4230">IFNA(index(PlayerValues!A:A,match(IFNA(vlookup(B4230,'Special Names'!A:B,2,FALSE),B4230),PlayerValues!E:E,0)),"N/A")</f>
        <v>15802</v>
      </c>
      <c r="B4230" s="4" t="s">
        <v>566</v>
      </c>
      <c r="C4230" s="4" t="s">
        <v>298</v>
      </c>
      <c r="D4230" s="94">
        <v>2739.0</v>
      </c>
    </row>
    <row r="4231">
      <c r="A4231" s="40">
        <f t="array" ref="A4231">IFNA(index(PlayerValues!A:A,match(IFNA(vlookup(B4231,'Special Names'!A:B,2,FALSE),B4231),PlayerValues!E:E,0)),"N/A")</f>
        <v>14861</v>
      </c>
      <c r="B4231" s="4" t="s">
        <v>523</v>
      </c>
      <c r="C4231" s="4" t="s">
        <v>298</v>
      </c>
      <c r="D4231" s="94">
        <v>2734.0</v>
      </c>
    </row>
    <row r="4232">
      <c r="A4232" s="40" t="str">
        <f t="array" ref="A4232">IFNA(index(PlayerValues!A:A,match(IFNA(vlookup(B4232,'Special Names'!A:B,2,FALSE),B4232),PlayerValues!E:E,0)),"N/A")</f>
        <v>N/A</v>
      </c>
      <c r="B4232" s="4" t="s">
        <v>557</v>
      </c>
      <c r="C4232" s="4" t="s">
        <v>278</v>
      </c>
      <c r="D4232" s="94">
        <v>2334.0</v>
      </c>
    </row>
    <row r="4233">
      <c r="A4233" s="40">
        <f t="array" ref="A4233">IFNA(index(PlayerValues!A:A,match(IFNA(vlookup(B4233,'Special Names'!A:B,2,FALSE),B4233),PlayerValues!E:E,0)),"N/A")</f>
        <v>14840</v>
      </c>
      <c r="B4233" s="4" t="s">
        <v>731</v>
      </c>
      <c r="C4233" s="4" t="s">
        <v>287</v>
      </c>
      <c r="D4233" s="94">
        <v>2308.0</v>
      </c>
    </row>
    <row r="4234">
      <c r="A4234" s="40">
        <f t="array" ref="A4234">IFNA(index(PlayerValues!A:A,match(IFNA(vlookup(B4234,'Special Names'!A:B,2,FALSE),B4234),PlayerValues!E:E,0)),"N/A")</f>
        <v>16036</v>
      </c>
      <c r="B4234" s="4" t="s">
        <v>592</v>
      </c>
      <c r="C4234" s="4" t="s">
        <v>298</v>
      </c>
      <c r="D4234" s="94">
        <v>2688.0</v>
      </c>
    </row>
    <row r="4235">
      <c r="A4235" s="40">
        <f t="array" ref="A4235">IFNA(index(PlayerValues!A:A,match(IFNA(vlookup(B4235,'Special Names'!A:B,2,FALSE),B4235),PlayerValues!E:E,0)),"N/A")</f>
        <v>16152</v>
      </c>
      <c r="B4235" s="4" t="s">
        <v>601</v>
      </c>
      <c r="C4235" s="4" t="s">
        <v>283</v>
      </c>
      <c r="D4235" s="94">
        <v>2283.0</v>
      </c>
    </row>
    <row r="4236">
      <c r="A4236" s="40">
        <f t="array" ref="A4236">IFNA(index(PlayerValues!A:A,match(IFNA(vlookup(B4236,'Special Names'!A:B,2,FALSE),B4236),PlayerValues!E:E,0)),"N/A")</f>
        <v>16594</v>
      </c>
      <c r="B4236" s="4" t="s">
        <v>607</v>
      </c>
      <c r="C4236" s="4" t="s">
        <v>278</v>
      </c>
      <c r="D4236" s="94">
        <v>2273.0</v>
      </c>
    </row>
    <row r="4237">
      <c r="A4237" s="40">
        <f t="array" ref="A4237">IFNA(index(PlayerValues!A:A,match(IFNA(vlookup(B4237,'Special Names'!A:B,2,FALSE),B4237),PlayerValues!E:E,0)),"N/A")</f>
        <v>17547</v>
      </c>
      <c r="B4237" s="4" t="s">
        <v>552</v>
      </c>
      <c r="C4237" s="4" t="s">
        <v>298</v>
      </c>
      <c r="D4237" s="94">
        <v>2661.0</v>
      </c>
    </row>
    <row r="4238">
      <c r="A4238" s="40">
        <f t="array" ref="A4238">IFNA(index(PlayerValues!A:A,match(IFNA(vlookup(B4238,'Special Names'!A:B,2,FALSE),B4238),PlayerValues!E:E,0)),"N/A")</f>
        <v>17520</v>
      </c>
      <c r="B4238" s="4" t="s">
        <v>518</v>
      </c>
      <c r="C4238" s="4" t="s">
        <v>287</v>
      </c>
      <c r="D4238" s="94">
        <v>2253.0</v>
      </c>
    </row>
    <row r="4239">
      <c r="A4239" s="40" t="str">
        <f t="array" ref="A4239">IFNA(index(PlayerValues!A:A,match(IFNA(vlookup(B4239,'Special Names'!A:B,2,FALSE),B4239),PlayerValues!E:E,0)),"N/A")</f>
        <v>N/A</v>
      </c>
      <c r="B4239" s="4" t="s">
        <v>86</v>
      </c>
      <c r="C4239" s="4" t="s">
        <v>325</v>
      </c>
      <c r="D4239" s="94">
        <v>2252.0</v>
      </c>
    </row>
    <row r="4240">
      <c r="A4240" s="40">
        <f t="array" ref="A4240">IFNA(index(PlayerValues!A:A,match(IFNA(vlookup(B4240,'Special Names'!A:B,2,FALSE),B4240),PlayerValues!E:E,0)),"N/A")</f>
        <v>17033</v>
      </c>
      <c r="B4240" s="4" t="s">
        <v>570</v>
      </c>
      <c r="C4240" s="4" t="s">
        <v>283</v>
      </c>
      <c r="D4240" s="94">
        <v>2249.0</v>
      </c>
    </row>
    <row r="4241">
      <c r="A4241" s="40">
        <f t="array" ref="A4241">IFNA(index(PlayerValues!A:A,match(IFNA(vlookup(B4241,'Special Names'!A:B,2,FALSE),B4241),PlayerValues!E:E,0)),"N/A")</f>
        <v>12676</v>
      </c>
      <c r="B4241" s="4" t="s">
        <v>537</v>
      </c>
      <c r="C4241" s="4" t="s">
        <v>298</v>
      </c>
      <c r="D4241" s="94">
        <v>2634.0</v>
      </c>
    </row>
    <row r="4242">
      <c r="A4242" s="40">
        <f t="array" ref="A4242">IFNA(index(PlayerValues!A:A,match(IFNA(vlookup(B4242,'Special Names'!A:B,2,FALSE),B4242),PlayerValues!E:E,0)),"N/A")</f>
        <v>13772</v>
      </c>
      <c r="B4242" s="4" t="s">
        <v>544</v>
      </c>
      <c r="C4242" s="4" t="s">
        <v>298</v>
      </c>
      <c r="D4242" s="94">
        <v>2634.0</v>
      </c>
    </row>
    <row r="4243">
      <c r="A4243" s="40">
        <f t="array" ref="A4243">IFNA(index(PlayerValues!A:A,match(IFNA(vlookup(B4243,'Special Names'!A:B,2,FALSE),B4243),PlayerValues!E:E,0)),"N/A")</f>
        <v>11150</v>
      </c>
      <c r="B4243" s="4" t="s">
        <v>559</v>
      </c>
      <c r="C4243" s="4" t="s">
        <v>283</v>
      </c>
      <c r="D4243" s="94">
        <v>2239.0</v>
      </c>
    </row>
    <row r="4244">
      <c r="A4244" s="40">
        <f t="array" ref="A4244">IFNA(index(PlayerValues!A:A,match(IFNA(vlookup(B4244,'Special Names'!A:B,2,FALSE),B4244),PlayerValues!E:E,0)),"N/A")</f>
        <v>15331</v>
      </c>
      <c r="B4244" s="4" t="s">
        <v>560</v>
      </c>
      <c r="C4244" s="4" t="s">
        <v>298</v>
      </c>
      <c r="D4244" s="94">
        <v>2634.0</v>
      </c>
    </row>
    <row r="4245">
      <c r="A4245" s="40">
        <f t="array" ref="A4245">IFNA(index(PlayerValues!A:A,match(IFNA(vlookup(B4245,'Special Names'!A:B,2,FALSE),B4245),PlayerValues!E:E,0)),"N/A")</f>
        <v>16610</v>
      </c>
      <c r="B4245" s="4" t="s">
        <v>562</v>
      </c>
      <c r="C4245" s="4" t="s">
        <v>278</v>
      </c>
      <c r="D4245" s="94">
        <v>2238.0</v>
      </c>
    </row>
    <row r="4246">
      <c r="A4246" s="40" t="str">
        <f t="array" ref="A4246">IFNA(index(PlayerValues!A:A,match(IFNA(vlookup(B4246,'Special Names'!A:B,2,FALSE),B4246),PlayerValues!E:E,0)),"N/A")</f>
        <v>N/A</v>
      </c>
      <c r="B4246" s="4" t="s">
        <v>100</v>
      </c>
      <c r="C4246" s="4" t="s">
        <v>325</v>
      </c>
      <c r="D4246" s="94">
        <v>2234.0</v>
      </c>
    </row>
    <row r="4247">
      <c r="A4247" s="40">
        <f t="array" ref="A4247">IFNA(index(PlayerValues!A:A,match(IFNA(vlookup(B4247,'Special Names'!A:B,2,FALSE),B4247),PlayerValues!E:E,0)),"N/A")</f>
        <v>16649</v>
      </c>
      <c r="B4247" s="4" t="s">
        <v>586</v>
      </c>
      <c r="C4247" s="4" t="s">
        <v>298</v>
      </c>
      <c r="D4247" s="94">
        <v>2624.0</v>
      </c>
    </row>
    <row r="4248">
      <c r="A4248" s="40">
        <f t="array" ref="A4248">IFNA(index(PlayerValues!A:A,match(IFNA(vlookup(B4248,'Special Names'!A:B,2,FALSE),B4248),PlayerValues!E:E,0)),"N/A")</f>
        <v>13319</v>
      </c>
      <c r="B4248" s="4" t="s">
        <v>549</v>
      </c>
      <c r="C4248" s="4" t="s">
        <v>278</v>
      </c>
      <c r="D4248" s="94">
        <v>2217.0</v>
      </c>
    </row>
    <row r="4249">
      <c r="A4249" s="40">
        <f t="array" ref="A4249">IFNA(index(PlayerValues!A:A,match(IFNA(vlookup(B4249,'Special Names'!A:B,2,FALSE),B4249),PlayerValues!E:E,0)),"N/A")</f>
        <v>16757</v>
      </c>
      <c r="B4249" s="4" t="s">
        <v>558</v>
      </c>
      <c r="C4249" s="4" t="s">
        <v>278</v>
      </c>
      <c r="D4249" s="94">
        <v>2179.0</v>
      </c>
    </row>
    <row r="4250">
      <c r="A4250" s="40" t="str">
        <f t="array" ref="A4250">IFNA(index(PlayerValues!A:A,match(IFNA(vlookup(B4250,'Special Names'!A:B,2,FALSE),B4250),PlayerValues!E:E,0)),"N/A")</f>
        <v>N/A</v>
      </c>
      <c r="B4250" s="4" t="s">
        <v>112</v>
      </c>
      <c r="C4250" s="4" t="s">
        <v>325</v>
      </c>
      <c r="D4250" s="94">
        <v>2176.0</v>
      </c>
    </row>
    <row r="4251">
      <c r="A4251" s="40">
        <f t="array" ref="A4251">IFNA(index(PlayerValues!A:A,match(IFNA(vlookup(B4251,'Special Names'!A:B,2,FALSE),B4251),PlayerValues!E:E,0)),"N/A")</f>
        <v>12186</v>
      </c>
      <c r="B4251" s="4" t="s">
        <v>497</v>
      </c>
      <c r="C4251" s="4" t="s">
        <v>287</v>
      </c>
      <c r="D4251" s="94">
        <v>2172.0</v>
      </c>
    </row>
    <row r="4252">
      <c r="A4252" s="40">
        <f t="array" ref="A4252">IFNA(index(PlayerValues!A:A,match(IFNA(vlookup(B4252,'Special Names'!A:B,2,FALSE),B4252),PlayerValues!E:E,0)),"N/A")</f>
        <v>16166</v>
      </c>
      <c r="B4252" s="4" t="s">
        <v>567</v>
      </c>
      <c r="C4252" s="4" t="s">
        <v>278</v>
      </c>
      <c r="D4252" s="94">
        <v>2163.0</v>
      </c>
    </row>
    <row r="4253">
      <c r="A4253" s="40">
        <f t="array" ref="A4253">IFNA(index(PlayerValues!A:A,match(IFNA(vlookup(B4253,'Special Names'!A:B,2,FALSE),B4253),PlayerValues!E:E,0)),"N/A")</f>
        <v>14136</v>
      </c>
      <c r="B4253" s="4" t="s">
        <v>536</v>
      </c>
      <c r="C4253" s="4" t="s">
        <v>287</v>
      </c>
      <c r="D4253" s="94">
        <v>2154.0</v>
      </c>
    </row>
    <row r="4254">
      <c r="A4254" s="40" t="str">
        <f t="array" ref="A4254">IFNA(index(PlayerValues!A:A,match(IFNA(vlookup(B4254,'Special Names'!A:B,2,FALSE),B4254),PlayerValues!E:E,0)),"N/A")</f>
        <v>N/A</v>
      </c>
      <c r="B4254" s="4" t="s">
        <v>87</v>
      </c>
      <c r="C4254" s="4" t="s">
        <v>325</v>
      </c>
      <c r="D4254" s="94">
        <v>2146.0</v>
      </c>
    </row>
    <row r="4255">
      <c r="A4255" s="40">
        <f t="array" ref="A4255">IFNA(index(PlayerValues!A:A,match(IFNA(vlookup(B4255,'Special Names'!A:B,2,FALSE),B4255),PlayerValues!E:E,0)),"N/A")</f>
        <v>17079</v>
      </c>
      <c r="B4255" s="4" t="s">
        <v>572</v>
      </c>
      <c r="C4255" s="4" t="s">
        <v>287</v>
      </c>
      <c r="D4255" s="94">
        <v>2140.0</v>
      </c>
    </row>
    <row r="4256">
      <c r="A4256" s="40">
        <f t="array" ref="A4256">IFNA(index(PlayerValues!A:A,match(IFNA(vlookup(B4256,'Special Names'!A:B,2,FALSE),B4256),PlayerValues!E:E,0)),"N/A")</f>
        <v>13113</v>
      </c>
      <c r="B4256" s="4" t="s">
        <v>606</v>
      </c>
      <c r="C4256" s="4" t="s">
        <v>283</v>
      </c>
      <c r="D4256" s="94">
        <v>2134.0</v>
      </c>
    </row>
    <row r="4257">
      <c r="A4257" s="40">
        <f t="array" ref="A4257">IFNA(index(PlayerValues!A:A,match(IFNA(vlookup(B4257,'Special Names'!A:B,2,FALSE),B4257),PlayerValues!E:E,0)),"N/A")</f>
        <v>17055</v>
      </c>
      <c r="B4257" s="4" t="s">
        <v>565</v>
      </c>
      <c r="C4257" s="4" t="s">
        <v>278</v>
      </c>
      <c r="D4257" s="94">
        <v>2122.0</v>
      </c>
    </row>
    <row r="4258">
      <c r="A4258" s="40">
        <f t="array" ref="A4258">IFNA(index(PlayerValues!A:A,match(IFNA(vlookup(B4258,'Special Names'!A:B,2,FALSE),B4258),PlayerValues!E:E,0)),"N/A")</f>
        <v>16212</v>
      </c>
      <c r="B4258" s="4" t="s">
        <v>568</v>
      </c>
      <c r="C4258" s="4" t="s">
        <v>298</v>
      </c>
      <c r="D4258" s="94">
        <v>2494.0</v>
      </c>
    </row>
    <row r="4259">
      <c r="A4259" s="40" t="str">
        <f t="array" ref="A4259">IFNA(index(PlayerValues!A:A,match(IFNA(vlookup(B4259,'Special Names'!A:B,2,FALSE),B4259),PlayerValues!E:E,0)),"N/A")</f>
        <v>N/A</v>
      </c>
      <c r="B4259" s="4" t="s">
        <v>113</v>
      </c>
      <c r="C4259" s="4" t="s">
        <v>325</v>
      </c>
      <c r="D4259" s="94">
        <v>2101.0</v>
      </c>
    </row>
    <row r="4260">
      <c r="A4260" s="40">
        <f t="array" ref="A4260">IFNA(index(PlayerValues!A:A,match(IFNA(vlookup(B4260,'Special Names'!A:B,2,FALSE),B4260),PlayerValues!E:E,0)),"N/A")</f>
        <v>16189</v>
      </c>
      <c r="B4260" s="4" t="s">
        <v>582</v>
      </c>
      <c r="C4260" s="4" t="s">
        <v>287</v>
      </c>
      <c r="D4260" s="94">
        <v>2097.0</v>
      </c>
    </row>
    <row r="4261">
      <c r="A4261" s="40">
        <f t="array" ref="A4261">IFNA(index(PlayerValues!A:A,match(IFNA(vlookup(B4261,'Special Names'!A:B,2,FALSE),B4261),PlayerValues!E:E,0)),"N/A")</f>
        <v>14974</v>
      </c>
      <c r="B4261" s="4" t="s">
        <v>611</v>
      </c>
      <c r="C4261" s="4" t="s">
        <v>287</v>
      </c>
      <c r="D4261" s="94">
        <v>2091.0</v>
      </c>
    </row>
    <row r="4262">
      <c r="A4262" s="40">
        <f t="array" ref="A4262">IFNA(index(PlayerValues!A:A,match(IFNA(vlookup(B4262,'Special Names'!A:B,2,FALSE),B4262),PlayerValues!E:E,0)),"N/A")</f>
        <v>17046</v>
      </c>
      <c r="B4262" s="4" t="s">
        <v>602</v>
      </c>
      <c r="C4262" s="4" t="s">
        <v>278</v>
      </c>
      <c r="D4262" s="94">
        <v>2089.0</v>
      </c>
    </row>
    <row r="4263">
      <c r="A4263" s="40" t="str">
        <f t="array" ref="A4263">IFNA(index(PlayerValues!A:A,match(IFNA(vlookup(B4263,'Special Names'!A:B,2,FALSE),B4263),PlayerValues!E:E,0)),"N/A")</f>
        <v>N/A</v>
      </c>
      <c r="B4263" s="4" t="s">
        <v>88</v>
      </c>
      <c r="C4263" s="4" t="s">
        <v>325</v>
      </c>
      <c r="D4263" s="94">
        <v>2083.0</v>
      </c>
    </row>
    <row r="4264">
      <c r="A4264" s="40">
        <f t="array" ref="A4264">IFNA(index(PlayerValues!A:A,match(IFNA(vlookup(B4264,'Special Names'!A:B,2,FALSE),B4264),PlayerValues!E:E,0)),"N/A")</f>
        <v>13132</v>
      </c>
      <c r="B4264" s="4" t="s">
        <v>598</v>
      </c>
      <c r="C4264" s="4" t="s">
        <v>278</v>
      </c>
      <c r="D4264" s="94">
        <v>2079.0</v>
      </c>
    </row>
    <row r="4265">
      <c r="A4265" s="40">
        <f t="array" ref="A4265">IFNA(index(PlayerValues!A:A,match(IFNA(vlookup(B4265,'Special Names'!A:B,2,FALSE),B4265),PlayerValues!E:E,0)),"N/A")</f>
        <v>16432</v>
      </c>
      <c r="B4265" s="4" t="s">
        <v>620</v>
      </c>
      <c r="C4265" s="4" t="s">
        <v>278</v>
      </c>
      <c r="D4265" s="94">
        <v>2074.0</v>
      </c>
    </row>
    <row r="4266">
      <c r="A4266" s="40">
        <f t="array" ref="A4266">IFNA(index(PlayerValues!A:A,match(IFNA(vlookup(B4266,'Special Names'!A:B,2,FALSE),B4266),PlayerValues!E:E,0)),"N/A")</f>
        <v>17056</v>
      </c>
      <c r="B4266" s="4" t="s">
        <v>581</v>
      </c>
      <c r="C4266" s="4" t="s">
        <v>278</v>
      </c>
      <c r="D4266" s="94">
        <v>2072.0</v>
      </c>
    </row>
    <row r="4267">
      <c r="A4267" s="40">
        <f t="array" ref="A4267">IFNA(index(PlayerValues!A:A,match(IFNA(vlookup(B4267,'Special Names'!A:B,2,FALSE),B4267),PlayerValues!E:E,0)),"N/A")</f>
        <v>15238</v>
      </c>
      <c r="B4267" s="4" t="s">
        <v>613</v>
      </c>
      <c r="C4267" s="4" t="s">
        <v>283</v>
      </c>
      <c r="D4267" s="94">
        <v>2070.0</v>
      </c>
    </row>
    <row r="4268">
      <c r="A4268" s="40">
        <f t="array" ref="A4268">IFNA(index(PlayerValues!A:A,match(IFNA(vlookup(B4268,'Special Names'!A:B,2,FALSE),B4268),PlayerValues!E:E,0)),"N/A")</f>
        <v>16643</v>
      </c>
      <c r="B4268" s="4" t="s">
        <v>609</v>
      </c>
      <c r="C4268" s="4" t="s">
        <v>298</v>
      </c>
      <c r="D4268" s="94">
        <v>2454.0</v>
      </c>
    </row>
    <row r="4269">
      <c r="A4269" s="40">
        <f t="array" ref="A4269">IFNA(index(PlayerValues!A:A,match(IFNA(vlookup(B4269,'Special Names'!A:B,2,FALSE),B4269),PlayerValues!E:E,0)),"N/A")</f>
        <v>15293</v>
      </c>
      <c r="B4269" s="4" t="s">
        <v>578</v>
      </c>
      <c r="C4269" s="4" t="s">
        <v>287</v>
      </c>
      <c r="D4269" s="94">
        <v>2062.0</v>
      </c>
    </row>
    <row r="4270">
      <c r="A4270" s="40">
        <f t="array" ref="A4270">IFNA(index(PlayerValues!A:A,match(IFNA(vlookup(B4270,'Special Names'!A:B,2,FALSE),B4270),PlayerValues!E:E,0)),"N/A")</f>
        <v>17060</v>
      </c>
      <c r="B4270" s="4" t="s">
        <v>603</v>
      </c>
      <c r="C4270" s="4" t="s">
        <v>278</v>
      </c>
      <c r="D4270" s="94">
        <v>2046.0</v>
      </c>
    </row>
    <row r="4271">
      <c r="A4271" s="40">
        <f t="array" ref="A4271">IFNA(index(PlayerValues!A:A,match(IFNA(vlookup(B4271,'Special Names'!A:B,2,FALSE),B4271),PlayerValues!E:E,0)),"N/A")</f>
        <v>17069</v>
      </c>
      <c r="B4271" s="4" t="s">
        <v>604</v>
      </c>
      <c r="C4271" s="4" t="s">
        <v>278</v>
      </c>
      <c r="D4271" s="94">
        <v>2038.0</v>
      </c>
    </row>
    <row r="4272">
      <c r="A4272" s="40">
        <f t="array" ref="A4272">IFNA(index(PlayerValues!A:A,match(IFNA(vlookup(B4272,'Special Names'!A:B,2,FALSE),B4272),PlayerValues!E:E,0)),"N/A")</f>
        <v>17061</v>
      </c>
      <c r="B4272" s="4" t="s">
        <v>580</v>
      </c>
      <c r="C4272" s="4" t="s">
        <v>278</v>
      </c>
      <c r="D4272" s="94">
        <v>2033.0</v>
      </c>
    </row>
    <row r="4273">
      <c r="A4273" s="40">
        <f t="array" ref="A4273">IFNA(index(PlayerValues!A:A,match(IFNA(vlookup(B4273,'Special Names'!A:B,2,FALSE),B4273),PlayerValues!E:E,0)),"N/A")</f>
        <v>12801</v>
      </c>
      <c r="B4273" s="4" t="s">
        <v>722</v>
      </c>
      <c r="C4273" s="4" t="s">
        <v>287</v>
      </c>
      <c r="D4273" s="94">
        <v>2025.0</v>
      </c>
    </row>
    <row r="4274">
      <c r="A4274" s="40">
        <f t="array" ref="A4274">IFNA(index(PlayerValues!A:A,match(IFNA(vlookup(B4274,'Special Names'!A:B,2,FALSE),B4274),PlayerValues!E:E,0)),"N/A")</f>
        <v>16342</v>
      </c>
      <c r="B4274" s="4" t="s">
        <v>583</v>
      </c>
      <c r="C4274" s="4" t="s">
        <v>287</v>
      </c>
      <c r="D4274" s="94">
        <v>2018.0</v>
      </c>
    </row>
    <row r="4275">
      <c r="A4275" s="40">
        <f t="array" ref="A4275">IFNA(index(PlayerValues!A:A,match(IFNA(vlookup(B4275,'Special Names'!A:B,2,FALSE),B4275),PlayerValues!E:E,0)),"N/A")</f>
        <v>17087</v>
      </c>
      <c r="B4275" s="4" t="s">
        <v>600</v>
      </c>
      <c r="C4275" s="4" t="s">
        <v>287</v>
      </c>
      <c r="D4275" s="94">
        <v>2016.0</v>
      </c>
    </row>
    <row r="4276">
      <c r="A4276" s="40">
        <f t="array" ref="A4276">IFNA(index(PlayerValues!A:A,match(IFNA(vlookup(B4276,'Special Names'!A:B,2,FALSE),B4276),PlayerValues!E:E,0)),"N/A")</f>
        <v>17076</v>
      </c>
      <c r="B4276" s="4" t="s">
        <v>585</v>
      </c>
      <c r="C4276" s="4" t="s">
        <v>287</v>
      </c>
      <c r="D4276" s="94">
        <v>2004.0</v>
      </c>
    </row>
    <row r="4277">
      <c r="A4277" s="40" t="str">
        <f t="array" ref="A4277">IFNA(index(PlayerValues!A:A,match(IFNA(vlookup(B4277,'Special Names'!A:B,2,FALSE),B4277),PlayerValues!E:E,0)),"N/A")</f>
        <v>N/A</v>
      </c>
      <c r="B4277" s="4" t="s">
        <v>114</v>
      </c>
      <c r="C4277" s="4" t="s">
        <v>325</v>
      </c>
      <c r="D4277" s="94">
        <v>1992.0</v>
      </c>
    </row>
    <row r="4278">
      <c r="A4278" s="40">
        <f t="array" ref="A4278">IFNA(index(PlayerValues!A:A,match(IFNA(vlookup(B4278,'Special Names'!A:B,2,FALSE),B4278),PlayerValues!E:E,0)),"N/A")</f>
        <v>13633</v>
      </c>
      <c r="B4278" s="4" t="s">
        <v>625</v>
      </c>
      <c r="C4278" s="4" t="s">
        <v>287</v>
      </c>
      <c r="D4278" s="94">
        <v>1987.0</v>
      </c>
    </row>
    <row r="4279">
      <c r="A4279" s="40">
        <f t="array" ref="A4279">IFNA(index(PlayerValues!A:A,match(IFNA(vlookup(B4279,'Special Names'!A:B,2,FALSE),B4279),PlayerValues!E:E,0)),"N/A")</f>
        <v>10700</v>
      </c>
      <c r="B4279" s="4" t="s">
        <v>596</v>
      </c>
      <c r="C4279" s="4" t="s">
        <v>283</v>
      </c>
      <c r="D4279" s="94">
        <v>1978.0</v>
      </c>
    </row>
    <row r="4280">
      <c r="A4280" s="40">
        <f t="array" ref="A4280">IFNA(index(PlayerValues!A:A,match(IFNA(vlookup(B4280,'Special Names'!A:B,2,FALSE),B4280),PlayerValues!E:E,0)),"N/A")</f>
        <v>16603</v>
      </c>
      <c r="B4280" s="4" t="s">
        <v>587</v>
      </c>
      <c r="C4280" s="4" t="s">
        <v>278</v>
      </c>
      <c r="D4280" s="94">
        <v>1974.0</v>
      </c>
    </row>
    <row r="4281">
      <c r="A4281" s="40">
        <f t="array" ref="A4281">IFNA(index(PlayerValues!A:A,match(IFNA(vlookup(B4281,'Special Names'!A:B,2,FALSE),B4281),PlayerValues!E:E,0)),"N/A")</f>
        <v>14867</v>
      </c>
      <c r="B4281" s="4" t="s">
        <v>591</v>
      </c>
      <c r="C4281" s="4" t="s">
        <v>298</v>
      </c>
      <c r="D4281" s="94">
        <v>2361.0</v>
      </c>
    </row>
    <row r="4282">
      <c r="A4282" s="40">
        <f t="array" ref="A4282">IFNA(index(PlayerValues!A:A,match(IFNA(vlookup(B4282,'Special Names'!A:B,2,FALSE),B4282),PlayerValues!E:E,0)),"N/A")</f>
        <v>17036</v>
      </c>
      <c r="B4282" s="4" t="s">
        <v>617</v>
      </c>
      <c r="C4282" s="4" t="s">
        <v>283</v>
      </c>
      <c r="D4282" s="94">
        <v>1970.0</v>
      </c>
    </row>
    <row r="4283">
      <c r="A4283" s="40">
        <f t="array" ref="A4283">IFNA(index(PlayerValues!A:A,match(IFNA(vlookup(B4283,'Special Names'!A:B,2,FALSE),B4283),PlayerValues!E:E,0)),"N/A")</f>
        <v>17184</v>
      </c>
      <c r="B4283" s="4" t="s">
        <v>588</v>
      </c>
      <c r="C4283" s="4" t="s">
        <v>287</v>
      </c>
      <c r="D4283" s="94">
        <v>1953.0</v>
      </c>
    </row>
    <row r="4284">
      <c r="A4284" s="40">
        <f t="array" ref="A4284">IFNA(index(PlayerValues!A:A,match(IFNA(vlookup(B4284,'Special Names'!A:B,2,FALSE),B4284),PlayerValues!E:E,0)),"N/A")</f>
        <v>16639</v>
      </c>
      <c r="B4284" s="4" t="s">
        <v>599</v>
      </c>
      <c r="C4284" s="4" t="s">
        <v>287</v>
      </c>
      <c r="D4284" s="94">
        <v>1944.0</v>
      </c>
    </row>
    <row r="4285">
      <c r="A4285" s="40">
        <f t="array" ref="A4285">IFNA(index(PlayerValues!A:A,match(IFNA(vlookup(B4285,'Special Names'!A:B,2,FALSE),B4285),PlayerValues!E:E,0)),"N/A")</f>
        <v>16604</v>
      </c>
      <c r="B4285" s="4" t="s">
        <v>476</v>
      </c>
      <c r="C4285" s="4" t="s">
        <v>278</v>
      </c>
      <c r="D4285" s="94">
        <v>1935.0</v>
      </c>
    </row>
    <row r="4286">
      <c r="A4286" s="40" t="str">
        <f t="array" ref="A4286">IFNA(index(PlayerValues!A:A,match(IFNA(vlookup(B4286,'Special Names'!A:B,2,FALSE),B4286),PlayerValues!E:E,0)),"N/A")</f>
        <v>N/A</v>
      </c>
      <c r="B4286" s="4" t="s">
        <v>101</v>
      </c>
      <c r="C4286" s="4" t="s">
        <v>325</v>
      </c>
      <c r="D4286" s="94">
        <v>1920.0</v>
      </c>
    </row>
    <row r="4287">
      <c r="A4287" s="40">
        <f t="array" ref="A4287">IFNA(index(PlayerValues!A:A,match(IFNA(vlookup(B4287,'Special Names'!A:B,2,FALSE),B4287),PlayerValues!E:E,0)),"N/A")</f>
        <v>7836</v>
      </c>
      <c r="B4287" s="4" t="s">
        <v>590</v>
      </c>
      <c r="C4287" s="4" t="s">
        <v>283</v>
      </c>
      <c r="D4287" s="94">
        <v>1889.0</v>
      </c>
    </row>
    <row r="4288">
      <c r="A4288" s="40">
        <f t="array" ref="A4288">IFNA(index(PlayerValues!A:A,match(IFNA(vlookup(B4288,'Special Names'!A:B,2,FALSE),B4288),PlayerValues!E:E,0)),"N/A")</f>
        <v>13189</v>
      </c>
      <c r="B4288" s="4" t="s">
        <v>626</v>
      </c>
      <c r="C4288" s="4" t="s">
        <v>298</v>
      </c>
      <c r="D4288" s="94">
        <v>2260.0</v>
      </c>
    </row>
    <row r="4289">
      <c r="A4289" s="40">
        <f t="array" ref="A4289">IFNA(index(PlayerValues!A:A,match(IFNA(vlookup(B4289,'Special Names'!A:B,2,FALSE),B4289),PlayerValues!E:E,0)),"N/A")</f>
        <v>13629</v>
      </c>
      <c r="B4289" s="4" t="s">
        <v>619</v>
      </c>
      <c r="C4289" s="4" t="s">
        <v>287</v>
      </c>
      <c r="D4289" s="94">
        <v>1868.0</v>
      </c>
    </row>
    <row r="4290">
      <c r="A4290" s="40">
        <f t="array" ref="A4290">IFNA(index(PlayerValues!A:A,match(IFNA(vlookup(B4290,'Special Names'!A:B,2,FALSE),B4290),PlayerValues!E:E,0)),"N/A")</f>
        <v>14871</v>
      </c>
      <c r="B4290" s="4" t="s">
        <v>584</v>
      </c>
      <c r="C4290" s="4" t="s">
        <v>298</v>
      </c>
      <c r="D4290" s="94">
        <v>2248.0</v>
      </c>
    </row>
    <row r="4291">
      <c r="A4291" s="40">
        <f t="array" ref="A4291">IFNA(index(PlayerValues!A:A,match(IFNA(vlookup(B4291,'Special Names'!A:B,2,FALSE),B4291),PlayerValues!E:E,0)),"N/A")</f>
        <v>16191</v>
      </c>
      <c r="B4291" s="4" t="s">
        <v>666</v>
      </c>
      <c r="C4291" s="4" t="s">
        <v>287</v>
      </c>
      <c r="D4291" s="94">
        <v>1860.0</v>
      </c>
    </row>
    <row r="4292">
      <c r="A4292" s="40">
        <f t="array" ref="A4292">IFNA(index(PlayerValues!A:A,match(IFNA(vlookup(B4292,'Special Names'!A:B,2,FALSE),B4292),PlayerValues!E:E,0)),"N/A")</f>
        <v>17086</v>
      </c>
      <c r="B4292" s="4" t="s">
        <v>612</v>
      </c>
      <c r="C4292" s="4" t="s">
        <v>287</v>
      </c>
      <c r="D4292" s="94">
        <v>1859.0</v>
      </c>
    </row>
    <row r="4293">
      <c r="A4293" s="40">
        <f t="array" ref="A4293">IFNA(index(PlayerValues!A:A,match(IFNA(vlookup(B4293,'Special Names'!A:B,2,FALSE),B4293),PlayerValues!E:E,0)),"N/A")</f>
        <v>17049</v>
      </c>
      <c r="B4293" s="4" t="s">
        <v>624</v>
      </c>
      <c r="C4293" s="4" t="s">
        <v>278</v>
      </c>
      <c r="D4293" s="94">
        <v>1854.0</v>
      </c>
    </row>
    <row r="4294">
      <c r="A4294" s="40">
        <f t="array" ref="A4294">IFNA(index(PlayerValues!A:A,match(IFNA(vlookup(B4294,'Special Names'!A:B,2,FALSE),B4294),PlayerValues!E:E,0)),"N/A")</f>
        <v>16171</v>
      </c>
      <c r="B4294" s="4" t="s">
        <v>618</v>
      </c>
      <c r="C4294" s="4" t="s">
        <v>278</v>
      </c>
      <c r="D4294" s="94">
        <v>1853.0</v>
      </c>
    </row>
    <row r="4295">
      <c r="A4295" s="40">
        <f t="array" ref="A4295">IFNA(index(PlayerValues!A:A,match(IFNA(vlookup(B4295,'Special Names'!A:B,2,FALSE),B4295),PlayerValues!E:E,0)),"N/A")</f>
        <v>16215</v>
      </c>
      <c r="B4295" s="4" t="s">
        <v>637</v>
      </c>
      <c r="C4295" s="4" t="s">
        <v>298</v>
      </c>
      <c r="D4295" s="94">
        <v>2224.0</v>
      </c>
    </row>
    <row r="4296">
      <c r="A4296" s="40">
        <f t="array" ref="A4296">IFNA(index(PlayerValues!A:A,match(IFNA(vlookup(B4296,'Special Names'!A:B,2,FALSE),B4296),PlayerValues!E:E,0)),"N/A")</f>
        <v>16752</v>
      </c>
      <c r="B4296" s="4" t="s">
        <v>597</v>
      </c>
      <c r="C4296" s="4" t="s">
        <v>278</v>
      </c>
      <c r="D4296" s="94">
        <v>1842.0</v>
      </c>
    </row>
    <row r="4297">
      <c r="A4297" s="40">
        <f t="array" ref="A4297">IFNA(index(PlayerValues!A:A,match(IFNA(vlookup(B4297,'Special Names'!A:B,2,FALSE),B4297),PlayerValues!E:E,0)),"N/A")</f>
        <v>15787</v>
      </c>
      <c r="B4297" s="4" t="s">
        <v>610</v>
      </c>
      <c r="C4297" s="4" t="s">
        <v>287</v>
      </c>
      <c r="D4297" s="94">
        <v>1838.0</v>
      </c>
    </row>
    <row r="4298">
      <c r="A4298" s="40">
        <f t="array" ref="A4298">IFNA(index(PlayerValues!A:A,match(IFNA(vlookup(B4298,'Special Names'!A:B,2,FALSE),B4298),PlayerValues!E:E,0)),"N/A")</f>
        <v>15797</v>
      </c>
      <c r="B4298" s="4" t="s">
        <v>556</v>
      </c>
      <c r="C4298" s="4" t="s">
        <v>298</v>
      </c>
      <c r="D4298" s="94">
        <v>2206.0</v>
      </c>
    </row>
    <row r="4299">
      <c r="A4299" s="40">
        <f t="array" ref="A4299">IFNA(index(PlayerValues!A:A,match(IFNA(vlookup(B4299,'Special Names'!A:B,2,FALSE),B4299),PlayerValues!E:E,0)),"N/A")</f>
        <v>16216</v>
      </c>
      <c r="B4299" s="4" t="s">
        <v>595</v>
      </c>
      <c r="C4299" s="4" t="s">
        <v>298</v>
      </c>
      <c r="D4299" s="94">
        <v>2195.0</v>
      </c>
    </row>
    <row r="4300">
      <c r="A4300" s="40">
        <f t="array" ref="A4300">IFNA(index(PlayerValues!A:A,match(IFNA(vlookup(B4300,'Special Names'!A:B,2,FALSE),B4300),PlayerValues!E:E,0)),"N/A")</f>
        <v>13146</v>
      </c>
      <c r="B4300" s="4" t="s">
        <v>652</v>
      </c>
      <c r="C4300" s="4" t="s">
        <v>278</v>
      </c>
      <c r="D4300" s="94">
        <v>1806.0</v>
      </c>
    </row>
    <row r="4301">
      <c r="A4301" s="40">
        <f t="array" ref="A4301">IFNA(index(PlayerValues!A:A,match(IFNA(vlookup(B4301,'Special Names'!A:B,2,FALSE),B4301),PlayerValues!E:E,0)),"N/A")</f>
        <v>15788</v>
      </c>
      <c r="B4301" s="4" t="s">
        <v>627</v>
      </c>
      <c r="C4301" s="4" t="s">
        <v>287</v>
      </c>
      <c r="D4301" s="94">
        <v>1801.0</v>
      </c>
    </row>
    <row r="4302">
      <c r="A4302" s="40">
        <f t="array" ref="A4302">IFNA(index(PlayerValues!A:A,match(IFNA(vlookup(B4302,'Special Names'!A:B,2,FALSE),B4302),PlayerValues!E:E,0)),"N/A")</f>
        <v>17034</v>
      </c>
      <c r="B4302" s="4" t="s">
        <v>643</v>
      </c>
      <c r="C4302" s="4" t="s">
        <v>283</v>
      </c>
      <c r="D4302" s="94">
        <v>1801.0</v>
      </c>
    </row>
    <row r="4303">
      <c r="A4303" s="40">
        <f t="array" ref="A4303">IFNA(index(PlayerValues!A:A,match(IFNA(vlookup(B4303,'Special Names'!A:B,2,FALSE),B4303),PlayerValues!E:E,0)),"N/A")</f>
        <v>17467</v>
      </c>
      <c r="B4303" s="4" t="s">
        <v>575</v>
      </c>
      <c r="C4303" s="4" t="s">
        <v>283</v>
      </c>
      <c r="D4303" s="94">
        <v>1797.0</v>
      </c>
    </row>
    <row r="4304">
      <c r="A4304" s="40">
        <f t="array" ref="A4304">IFNA(index(PlayerValues!A:A,match(IFNA(vlookup(B4304,'Special Names'!A:B,2,FALSE),B4304),PlayerValues!E:E,0)),"N/A")</f>
        <v>14143</v>
      </c>
      <c r="B4304" s="4" t="s">
        <v>635</v>
      </c>
      <c r="C4304" s="4" t="s">
        <v>298</v>
      </c>
      <c r="D4304" s="94">
        <v>2159.0</v>
      </c>
    </row>
    <row r="4305">
      <c r="A4305" s="40">
        <f t="array" ref="A4305">IFNA(index(PlayerValues!A:A,match(IFNA(vlookup(B4305,'Special Names'!A:B,2,FALSE),B4305),PlayerValues!E:E,0)),"N/A")</f>
        <v>16778</v>
      </c>
      <c r="B4305" s="4" t="s">
        <v>577</v>
      </c>
      <c r="C4305" s="4" t="s">
        <v>287</v>
      </c>
      <c r="D4305" s="94">
        <v>1761.0</v>
      </c>
    </row>
    <row r="4306">
      <c r="A4306" s="40">
        <f t="array" ref="A4306">IFNA(index(PlayerValues!A:A,match(IFNA(vlookup(B4306,'Special Names'!A:B,2,FALSE),B4306),PlayerValues!E:E,0)),"N/A")</f>
        <v>13164</v>
      </c>
      <c r="B4306" s="4" t="s">
        <v>632</v>
      </c>
      <c r="C4306" s="4" t="s">
        <v>287</v>
      </c>
      <c r="D4306" s="94">
        <v>1753.0</v>
      </c>
    </row>
    <row r="4307">
      <c r="A4307" s="40">
        <f t="array" ref="A4307">IFNA(index(PlayerValues!A:A,match(IFNA(vlookup(B4307,'Special Names'!A:B,2,FALSE),B4307),PlayerValues!E:E,0)),"N/A")</f>
        <v>17035</v>
      </c>
      <c r="B4307" s="4" t="s">
        <v>650</v>
      </c>
      <c r="C4307" s="4" t="s">
        <v>283</v>
      </c>
      <c r="D4307" s="94">
        <v>1749.0</v>
      </c>
    </row>
    <row r="4308">
      <c r="A4308" s="40">
        <f t="array" ref="A4308">IFNA(index(PlayerValues!A:A,match(IFNA(vlookup(B4308,'Special Names'!A:B,2,FALSE),B4308),PlayerValues!E:E,0)),"N/A")</f>
        <v>17481</v>
      </c>
      <c r="B4308" s="4" t="s">
        <v>540</v>
      </c>
      <c r="C4308" s="4" t="s">
        <v>278</v>
      </c>
      <c r="D4308" s="94">
        <v>1749.0</v>
      </c>
    </row>
    <row r="4309">
      <c r="A4309" s="40">
        <f t="array" ref="A4309">IFNA(index(PlayerValues!A:A,match(IFNA(vlookup(B4309,'Special Names'!A:B,2,FALSE),B4309),PlayerValues!E:E,0)),"N/A")</f>
        <v>16644</v>
      </c>
      <c r="B4309" s="4" t="s">
        <v>640</v>
      </c>
      <c r="C4309" s="4" t="s">
        <v>298</v>
      </c>
      <c r="D4309" s="94">
        <v>2124.0</v>
      </c>
    </row>
    <row r="4310">
      <c r="A4310" s="40" t="str">
        <f t="array" ref="A4310">IFNA(index(PlayerValues!A:A,match(IFNA(vlookup(B4310,'Special Names'!A:B,2,FALSE),B4310),PlayerValues!E:E,0)),"N/A")</f>
        <v>N/A</v>
      </c>
      <c r="B4310" s="4" t="s">
        <v>102</v>
      </c>
      <c r="C4310" s="4" t="s">
        <v>325</v>
      </c>
      <c r="D4310" s="94">
        <v>1738.0</v>
      </c>
    </row>
    <row r="4311">
      <c r="A4311" s="40">
        <f t="array" ref="A4311">IFNA(index(PlayerValues!A:A,match(IFNA(vlookup(B4311,'Special Names'!A:B,2,FALSE),B4311),PlayerValues!E:E,0)),"N/A")</f>
        <v>14105</v>
      </c>
      <c r="B4311" s="4" t="s">
        <v>675</v>
      </c>
      <c r="C4311" s="4" t="s">
        <v>287</v>
      </c>
      <c r="D4311" s="94">
        <v>1735.0</v>
      </c>
    </row>
    <row r="4312">
      <c r="A4312" s="40">
        <f t="array" ref="A4312">IFNA(index(PlayerValues!A:A,match(IFNA(vlookup(B4312,'Special Names'!A:B,2,FALSE),B4312),PlayerValues!E:E,0)),"N/A")</f>
        <v>17528</v>
      </c>
      <c r="B4312" s="4" t="s">
        <v>579</v>
      </c>
      <c r="C4312" s="4" t="s">
        <v>287</v>
      </c>
      <c r="D4312" s="94">
        <v>1731.0</v>
      </c>
    </row>
    <row r="4313">
      <c r="A4313" s="40">
        <f t="array" ref="A4313">IFNA(index(PlayerValues!A:A,match(IFNA(vlookup(B4313,'Special Names'!A:B,2,FALSE),B4313),PlayerValues!E:E,0)),"N/A")</f>
        <v>17466</v>
      </c>
      <c r="B4313" s="4" t="s">
        <v>492</v>
      </c>
      <c r="C4313" s="4" t="s">
        <v>283</v>
      </c>
      <c r="D4313" s="94">
        <v>1725.0</v>
      </c>
    </row>
    <row r="4314">
      <c r="A4314" s="40">
        <f t="array" ref="A4314">IFNA(index(PlayerValues!A:A,match(IFNA(vlookup(B4314,'Special Names'!A:B,2,FALSE),B4314),PlayerValues!E:E,0)),"N/A")</f>
        <v>16635</v>
      </c>
      <c r="B4314" s="4" t="s">
        <v>645</v>
      </c>
      <c r="C4314" s="4" t="s">
        <v>287</v>
      </c>
      <c r="D4314" s="94">
        <v>1710.0</v>
      </c>
    </row>
    <row r="4315">
      <c r="A4315" s="40">
        <f t="array" ref="A4315">IFNA(index(PlayerValues!A:A,match(IFNA(vlookup(B4315,'Special Names'!A:B,2,FALSE),B4315),PlayerValues!E:E,0)),"N/A")</f>
        <v>16201</v>
      </c>
      <c r="B4315" s="4" t="s">
        <v>589</v>
      </c>
      <c r="C4315" s="4" t="s">
        <v>287</v>
      </c>
      <c r="D4315" s="94">
        <v>1709.0</v>
      </c>
    </row>
    <row r="4316">
      <c r="A4316" s="40">
        <f t="array" ref="A4316">IFNA(index(PlayerValues!A:A,match(IFNA(vlookup(B4316,'Special Names'!A:B,2,FALSE),B4316),PlayerValues!E:E,0)),"N/A")</f>
        <v>16585</v>
      </c>
      <c r="B4316" s="4" t="s">
        <v>623</v>
      </c>
      <c r="C4316" s="4" t="s">
        <v>283</v>
      </c>
      <c r="D4316" s="94">
        <v>1707.0</v>
      </c>
    </row>
    <row r="4317">
      <c r="A4317" s="40" t="str">
        <f t="array" ref="A4317">IFNA(index(PlayerValues!A:A,match(IFNA(vlookup(B4317,'Special Names'!A:B,2,FALSE),B4317),PlayerValues!E:E,0)),"N/A")</f>
        <v>N/A</v>
      </c>
      <c r="B4317" s="4" t="s">
        <v>89</v>
      </c>
      <c r="C4317" s="4" t="s">
        <v>325</v>
      </c>
      <c r="D4317" s="94">
        <v>1705.0</v>
      </c>
    </row>
    <row r="4318">
      <c r="A4318" s="40">
        <f t="array" ref="A4318">IFNA(index(PlayerValues!A:A,match(IFNA(vlookup(B4318,'Special Names'!A:B,2,FALSE),B4318),PlayerValues!E:E,0)),"N/A")</f>
        <v>17096</v>
      </c>
      <c r="B4318" s="4" t="s">
        <v>638</v>
      </c>
      <c r="C4318" s="4" t="s">
        <v>287</v>
      </c>
      <c r="D4318" s="94">
        <v>1693.0</v>
      </c>
    </row>
    <row r="4319">
      <c r="A4319" s="40">
        <f t="array" ref="A4319">IFNA(index(PlayerValues!A:A,match(IFNA(vlookup(B4319,'Special Names'!A:B,2,FALSE),B4319),PlayerValues!E:E,0)),"N/A")</f>
        <v>17465</v>
      </c>
      <c r="B4319" s="4" t="s">
        <v>649</v>
      </c>
      <c r="C4319" s="4" t="s">
        <v>283</v>
      </c>
      <c r="D4319" s="94">
        <v>1693.0</v>
      </c>
    </row>
    <row r="4320">
      <c r="A4320" s="40" t="str">
        <f t="array" ref="A4320">IFNA(index(PlayerValues!A:A,match(IFNA(vlookup(B4320,'Special Names'!A:B,2,FALSE),B4320),PlayerValues!E:E,0)),"N/A")</f>
        <v>N/A</v>
      </c>
      <c r="B4320" s="4" t="s">
        <v>103</v>
      </c>
      <c r="C4320" s="4" t="s">
        <v>325</v>
      </c>
      <c r="D4320" s="94">
        <v>1691.0</v>
      </c>
    </row>
    <row r="4321">
      <c r="A4321" s="40">
        <f t="array" ref="A4321">IFNA(index(PlayerValues!A:A,match(IFNA(vlookup(B4321,'Special Names'!A:B,2,FALSE),B4321),PlayerValues!E:E,0)),"N/A")</f>
        <v>15755</v>
      </c>
      <c r="B4321" s="4" t="s">
        <v>628</v>
      </c>
      <c r="C4321" s="4" t="s">
        <v>287</v>
      </c>
      <c r="D4321" s="94">
        <v>1687.0</v>
      </c>
    </row>
    <row r="4322">
      <c r="A4322" s="40">
        <f t="array" ref="A4322">IFNA(index(PlayerValues!A:A,match(IFNA(vlookup(B4322,'Special Names'!A:B,2,FALSE),B4322),PlayerValues!E:E,0)),"N/A")</f>
        <v>15254</v>
      </c>
      <c r="B4322" s="4" t="s">
        <v>633</v>
      </c>
      <c r="C4322" s="4" t="s">
        <v>278</v>
      </c>
      <c r="D4322" s="94">
        <v>1685.0</v>
      </c>
    </row>
    <row r="4323">
      <c r="A4323" s="40">
        <f t="array" ref="A4323">IFNA(index(PlayerValues!A:A,match(IFNA(vlookup(B4323,'Special Names'!A:B,2,FALSE),B4323),PlayerValues!E:E,0)),"N/A")</f>
        <v>17064</v>
      </c>
      <c r="B4323" s="4" t="s">
        <v>631</v>
      </c>
      <c r="C4323" s="4" t="s">
        <v>278</v>
      </c>
      <c r="D4323" s="94">
        <v>1668.0</v>
      </c>
    </row>
    <row r="4324">
      <c r="A4324" s="40">
        <f t="array" ref="A4324">IFNA(index(PlayerValues!A:A,match(IFNA(vlookup(B4324,'Special Names'!A:B,2,FALSE),B4324),PlayerValues!E:E,0)),"N/A")</f>
        <v>16601</v>
      </c>
      <c r="B4324" s="4" t="s">
        <v>648</v>
      </c>
      <c r="C4324" s="4" t="s">
        <v>278</v>
      </c>
      <c r="D4324" s="94">
        <v>1658.0</v>
      </c>
    </row>
    <row r="4325">
      <c r="A4325" s="40">
        <f t="array" ref="A4325">IFNA(index(PlayerValues!A:A,match(IFNA(vlookup(B4325,'Special Names'!A:B,2,FALSE),B4325),PlayerValues!E:E,0)),"N/A")</f>
        <v>17058</v>
      </c>
      <c r="B4325" s="4" t="s">
        <v>641</v>
      </c>
      <c r="C4325" s="4" t="s">
        <v>278</v>
      </c>
      <c r="D4325" s="94">
        <v>1655.0</v>
      </c>
    </row>
    <row r="4326">
      <c r="A4326" s="40">
        <f t="array" ref="A4326">IFNA(index(PlayerValues!A:A,match(IFNA(vlookup(B4326,'Special Names'!A:B,2,FALSE),B4326),PlayerValues!E:E,0)),"N/A")</f>
        <v>16586</v>
      </c>
      <c r="B4326" s="4" t="s">
        <v>658</v>
      </c>
      <c r="C4326" s="4" t="s">
        <v>283</v>
      </c>
      <c r="D4326" s="94">
        <v>1653.0</v>
      </c>
    </row>
    <row r="4327">
      <c r="A4327" s="40">
        <f t="array" ref="A4327">IFNA(index(PlayerValues!A:A,match(IFNA(vlookup(B4327,'Special Names'!A:B,2,FALSE),B4327),PlayerValues!E:E,0)),"N/A")</f>
        <v>16207</v>
      </c>
      <c r="B4327" s="4" t="s">
        <v>636</v>
      </c>
      <c r="C4327" s="4" t="s">
        <v>287</v>
      </c>
      <c r="D4327" s="94">
        <v>1643.0</v>
      </c>
    </row>
    <row r="4328">
      <c r="A4328" s="40">
        <f t="array" ref="A4328">IFNA(index(PlayerValues!A:A,match(IFNA(vlookup(B4328,'Special Names'!A:B,2,FALSE),B4328),PlayerValues!E:E,0)),"N/A")</f>
        <v>15301</v>
      </c>
      <c r="B4328" s="4" t="s">
        <v>657</v>
      </c>
      <c r="C4328" s="4" t="s">
        <v>287</v>
      </c>
      <c r="D4328" s="94">
        <v>1624.0</v>
      </c>
    </row>
    <row r="4329">
      <c r="A4329" s="40" t="str">
        <f t="array" ref="A4329">IFNA(index(PlayerValues!A:A,match(IFNA(vlookup(B4329,'Special Names'!A:B,2,FALSE),B4329),PlayerValues!E:E,0)),"N/A")</f>
        <v>N/A</v>
      </c>
      <c r="B4329" s="4" t="s">
        <v>115</v>
      </c>
      <c r="C4329" s="4" t="s">
        <v>325</v>
      </c>
      <c r="D4329" s="94">
        <v>1615.0</v>
      </c>
    </row>
    <row r="4330">
      <c r="A4330" s="40">
        <f t="array" ref="A4330">IFNA(index(PlayerValues!A:A,match(IFNA(vlookup(B4330,'Special Names'!A:B,2,FALSE),B4330),PlayerValues!E:E,0)),"N/A")</f>
        <v>16629</v>
      </c>
      <c r="B4330" s="4" t="s">
        <v>605</v>
      </c>
      <c r="C4330" s="4" t="s">
        <v>287</v>
      </c>
      <c r="D4330" s="94">
        <v>1613.0</v>
      </c>
    </row>
    <row r="4331">
      <c r="A4331" s="40">
        <f t="array" ref="A4331">IFNA(index(PlayerValues!A:A,match(IFNA(vlookup(B4331,'Special Names'!A:B,2,FALSE),B4331),PlayerValues!E:E,0)),"N/A")</f>
        <v>15319</v>
      </c>
      <c r="B4331" s="4" t="s">
        <v>644</v>
      </c>
      <c r="C4331" s="4" t="s">
        <v>287</v>
      </c>
      <c r="D4331" s="94">
        <v>1610.0</v>
      </c>
    </row>
    <row r="4332">
      <c r="A4332" s="40" t="str">
        <f t="array" ref="A4332">IFNA(index(PlayerValues!A:A,match(IFNA(vlookup(B4332,'Special Names'!A:B,2,FALSE),B4332),PlayerValues!E:E,0)),"N/A")</f>
        <v>N/A</v>
      </c>
      <c r="B4332" s="4" t="s">
        <v>90</v>
      </c>
      <c r="C4332" s="4" t="s">
        <v>325</v>
      </c>
      <c r="D4332" s="94">
        <v>1600.0</v>
      </c>
    </row>
    <row r="4333">
      <c r="A4333" s="40">
        <f t="array" ref="A4333">IFNA(index(PlayerValues!A:A,match(IFNA(vlookup(B4333,'Special Names'!A:B,2,FALSE),B4333),PlayerValues!E:E,0)),"N/A")</f>
        <v>16688</v>
      </c>
      <c r="B4333" s="4" t="s">
        <v>688</v>
      </c>
      <c r="C4333" s="4" t="s">
        <v>278</v>
      </c>
      <c r="D4333" s="94">
        <v>1592.0</v>
      </c>
    </row>
    <row r="4334">
      <c r="A4334" s="40">
        <f t="array" ref="A4334">IFNA(index(PlayerValues!A:A,match(IFNA(vlookup(B4334,'Special Names'!A:B,2,FALSE),B4334),PlayerValues!E:E,0)),"N/A")</f>
        <v>15713</v>
      </c>
      <c r="B4334" s="4" t="s">
        <v>732</v>
      </c>
      <c r="C4334" s="4" t="s">
        <v>278</v>
      </c>
      <c r="D4334" s="94">
        <v>1568.0</v>
      </c>
    </row>
    <row r="4335">
      <c r="A4335" s="40">
        <f t="array" ref="A4335">IFNA(index(PlayerValues!A:A,match(IFNA(vlookup(B4335,'Special Names'!A:B,2,FALSE),B4335),PlayerValues!E:E,0)),"N/A")</f>
        <v>16595</v>
      </c>
      <c r="B4335" s="4" t="s">
        <v>664</v>
      </c>
      <c r="C4335" s="4" t="s">
        <v>278</v>
      </c>
      <c r="D4335" s="94">
        <v>1565.0</v>
      </c>
    </row>
    <row r="4336">
      <c r="A4336" s="40">
        <f t="array" ref="A4336">IFNA(index(PlayerValues!A:A,match(IFNA(vlookup(B4336,'Special Names'!A:B,2,FALSE),B4336),PlayerValues!E:E,0)),"N/A")</f>
        <v>17205</v>
      </c>
      <c r="B4336" s="4" t="s">
        <v>665</v>
      </c>
      <c r="C4336" s="4" t="s">
        <v>287</v>
      </c>
      <c r="D4336" s="94">
        <v>1564.0</v>
      </c>
    </row>
    <row r="4337">
      <c r="A4337" s="40">
        <f t="array" ref="A4337">IFNA(index(PlayerValues!A:A,match(IFNA(vlookup(B4337,'Special Names'!A:B,2,FALSE),B4337),PlayerValues!E:E,0)),"N/A")</f>
        <v>16633</v>
      </c>
      <c r="B4337" s="4" t="s">
        <v>656</v>
      </c>
      <c r="C4337" s="4" t="s">
        <v>287</v>
      </c>
      <c r="D4337" s="94">
        <v>1563.0</v>
      </c>
    </row>
    <row r="4338">
      <c r="A4338" s="40" t="str">
        <f t="array" ref="A4338">IFNA(index(PlayerValues!A:A,match(IFNA(vlookup(B4338,'Special Names'!A:B,2,FALSE),B4338),PlayerValues!E:E,0)),"N/A")</f>
        <v>N/A</v>
      </c>
      <c r="B4338" s="4" t="s">
        <v>116</v>
      </c>
      <c r="C4338" s="4" t="s">
        <v>325</v>
      </c>
      <c r="D4338" s="94">
        <v>1563.0</v>
      </c>
    </row>
    <row r="4339">
      <c r="A4339" s="40">
        <f t="array" ref="A4339">IFNA(index(PlayerValues!A:A,match(IFNA(vlookup(B4339,'Special Names'!A:B,2,FALSE),B4339),PlayerValues!E:E,0)),"N/A")</f>
        <v>14122</v>
      </c>
      <c r="B4339" s="4" t="s">
        <v>663</v>
      </c>
      <c r="C4339" s="4" t="s">
        <v>287</v>
      </c>
      <c r="D4339" s="94">
        <v>1556.0</v>
      </c>
    </row>
    <row r="4340">
      <c r="A4340" s="40">
        <f t="array" ref="A4340">IFNA(index(PlayerValues!A:A,match(IFNA(vlookup(B4340,'Special Names'!A:B,2,FALSE),B4340),PlayerValues!E:E,0)),"N/A")</f>
        <v>17548</v>
      </c>
      <c r="B4340" s="4" t="s">
        <v>594</v>
      </c>
      <c r="C4340" s="4" t="s">
        <v>298</v>
      </c>
      <c r="D4340" s="94">
        <v>1930.0</v>
      </c>
    </row>
    <row r="4341">
      <c r="A4341" s="40">
        <f t="array" ref="A4341">IFNA(index(PlayerValues!A:A,match(IFNA(vlookup(B4341,'Special Names'!A:B,2,FALSE),B4341),PlayerValues!E:E,0)),"N/A")</f>
        <v>17234</v>
      </c>
      <c r="B4341" s="4" t="s">
        <v>653</v>
      </c>
      <c r="C4341" s="4" t="s">
        <v>287</v>
      </c>
      <c r="D4341" s="94">
        <v>1551.0</v>
      </c>
    </row>
    <row r="4342">
      <c r="A4342" s="40">
        <f t="array" ref="A4342">IFNA(index(PlayerValues!A:A,match(IFNA(vlookup(B4342,'Special Names'!A:B,2,FALSE),B4342),PlayerValues!E:E,0)),"N/A")</f>
        <v>15337</v>
      </c>
      <c r="B4342" s="4" t="s">
        <v>655</v>
      </c>
      <c r="C4342" s="4" t="s">
        <v>298</v>
      </c>
      <c r="D4342" s="94">
        <v>1911.0</v>
      </c>
    </row>
    <row r="4343">
      <c r="A4343" s="40">
        <f t="array" ref="A4343">IFNA(index(PlayerValues!A:A,match(IFNA(vlookup(B4343,'Special Names'!A:B,2,FALSE),B4343),PlayerValues!E:E,0)),"N/A")</f>
        <v>17468</v>
      </c>
      <c r="B4343" s="4" t="s">
        <v>514</v>
      </c>
      <c r="C4343" s="4" t="s">
        <v>283</v>
      </c>
      <c r="D4343" s="94">
        <v>1536.0</v>
      </c>
    </row>
    <row r="4344">
      <c r="A4344" s="40">
        <f t="array" ref="A4344">IFNA(index(PlayerValues!A:A,match(IFNA(vlookup(B4344,'Special Names'!A:B,2,FALSE),B4344),PlayerValues!E:E,0)),"N/A")</f>
        <v>16175</v>
      </c>
      <c r="B4344" s="4" t="s">
        <v>654</v>
      </c>
      <c r="C4344" s="4" t="s">
        <v>278</v>
      </c>
      <c r="D4344" s="94">
        <v>1513.0</v>
      </c>
    </row>
    <row r="4345">
      <c r="A4345" s="40">
        <f t="array" ref="A4345">IFNA(index(PlayerValues!A:A,match(IFNA(vlookup(B4345,'Special Names'!A:B,2,FALSE),B4345),PlayerValues!E:E,0)),"N/A")</f>
        <v>15752</v>
      </c>
      <c r="B4345" s="4" t="s">
        <v>647</v>
      </c>
      <c r="C4345" s="4" t="s">
        <v>287</v>
      </c>
      <c r="D4345" s="94">
        <v>1511.0</v>
      </c>
    </row>
    <row r="4346">
      <c r="A4346" s="40">
        <f t="array" ref="A4346">IFNA(index(PlayerValues!A:A,match(IFNA(vlookup(B4346,'Special Names'!A:B,2,FALSE),B4346),PlayerValues!E:E,0)),"N/A")</f>
        <v>15759</v>
      </c>
      <c r="B4346" s="4" t="s">
        <v>662</v>
      </c>
      <c r="C4346" s="4" t="s">
        <v>287</v>
      </c>
      <c r="D4346" s="94">
        <v>1509.0</v>
      </c>
    </row>
    <row r="4347">
      <c r="A4347" s="40" t="str">
        <f t="array" ref="A4347">IFNA(index(PlayerValues!A:A,match(IFNA(vlookup(B4347,'Special Names'!A:B,2,FALSE),B4347),PlayerValues!E:E,0)),"N/A")</f>
        <v>N/A</v>
      </c>
      <c r="B4347" s="4" t="s">
        <v>91</v>
      </c>
      <c r="C4347" s="4" t="s">
        <v>325</v>
      </c>
      <c r="D4347" s="94">
        <v>1509.0</v>
      </c>
    </row>
    <row r="4348">
      <c r="A4348" s="40">
        <f t="array" ref="A4348">IFNA(index(PlayerValues!A:A,match(IFNA(vlookup(B4348,'Special Names'!A:B,2,FALSE),B4348),PlayerValues!E:E,0)),"N/A")</f>
        <v>16792</v>
      </c>
      <c r="B4348" s="4" t="s">
        <v>704</v>
      </c>
      <c r="C4348" s="4" t="s">
        <v>287</v>
      </c>
      <c r="D4348" s="94">
        <v>1492.0</v>
      </c>
    </row>
    <row r="4349">
      <c r="A4349" s="40">
        <f t="array" ref="A4349">IFNA(index(PlayerValues!A:A,match(IFNA(vlookup(B4349,'Special Names'!A:B,2,FALSE),B4349),PlayerValues!E:E,0)),"N/A")</f>
        <v>16631</v>
      </c>
      <c r="B4349" s="4" t="s">
        <v>800</v>
      </c>
      <c r="C4349" s="4" t="s">
        <v>287</v>
      </c>
      <c r="D4349" s="94">
        <v>1469.0</v>
      </c>
    </row>
    <row r="4350">
      <c r="A4350" s="40">
        <f t="array" ref="A4350">IFNA(index(PlayerValues!A:A,match(IFNA(vlookup(B4350,'Special Names'!A:B,2,FALSE),B4350),PlayerValues!E:E,0)),"N/A")</f>
        <v>16390</v>
      </c>
      <c r="B4350" s="4" t="s">
        <v>689</v>
      </c>
      <c r="C4350" s="4" t="s">
        <v>278</v>
      </c>
      <c r="D4350" s="94">
        <v>1466.0</v>
      </c>
    </row>
    <row r="4351">
      <c r="A4351" s="40">
        <f t="array" ref="A4351">IFNA(index(PlayerValues!A:A,match(IFNA(vlookup(B4351,'Special Names'!A:B,2,FALSE),B4351),PlayerValues!E:E,0)),"N/A")</f>
        <v>16788</v>
      </c>
      <c r="B4351" s="4" t="s">
        <v>621</v>
      </c>
      <c r="C4351" s="4" t="s">
        <v>287</v>
      </c>
      <c r="D4351" s="94">
        <v>1463.0</v>
      </c>
    </row>
    <row r="4352">
      <c r="A4352" s="40">
        <f t="array" ref="A4352">IFNA(index(PlayerValues!A:A,match(IFNA(vlookup(B4352,'Special Names'!A:B,2,FALSE),B4352),PlayerValues!E:E,0)),"N/A")</f>
        <v>17485</v>
      </c>
      <c r="B4352" s="4" t="s">
        <v>522</v>
      </c>
      <c r="C4352" s="4" t="s">
        <v>278</v>
      </c>
      <c r="D4352" s="94">
        <v>1463.0</v>
      </c>
    </row>
    <row r="4353">
      <c r="A4353" s="40">
        <f t="array" ref="A4353">IFNA(index(PlayerValues!A:A,match(IFNA(vlookup(B4353,'Special Names'!A:B,2,FALSE),B4353),PlayerValues!E:E,0)),"N/A")</f>
        <v>17054</v>
      </c>
      <c r="B4353" s="4" t="s">
        <v>670</v>
      </c>
      <c r="C4353" s="4" t="s">
        <v>278</v>
      </c>
      <c r="D4353" s="94">
        <v>1458.0</v>
      </c>
    </row>
    <row r="4354">
      <c r="A4354" s="40">
        <f t="array" ref="A4354">IFNA(index(PlayerValues!A:A,match(IFNA(vlookup(B4354,'Special Names'!A:B,2,FALSE),B4354),PlayerValues!E:E,0)),"N/A")</f>
        <v>15873</v>
      </c>
      <c r="B4354" s="4" t="s">
        <v>681</v>
      </c>
      <c r="C4354" s="4" t="s">
        <v>298</v>
      </c>
      <c r="D4354" s="94">
        <v>1826.0</v>
      </c>
    </row>
    <row r="4355">
      <c r="A4355" s="40">
        <f t="array" ref="A4355">IFNA(index(PlayerValues!A:A,match(IFNA(vlookup(B4355,'Special Names'!A:B,2,FALSE),B4355),PlayerValues!E:E,0)),"N/A")</f>
        <v>15777</v>
      </c>
      <c r="B4355" s="4" t="s">
        <v>694</v>
      </c>
      <c r="C4355" s="4" t="s">
        <v>287</v>
      </c>
      <c r="D4355" s="94">
        <v>1448.0</v>
      </c>
    </row>
    <row r="4356">
      <c r="A4356" s="40">
        <f t="array" ref="A4356">IFNA(index(PlayerValues!A:A,match(IFNA(vlookup(B4356,'Special Names'!A:B,2,FALSE),B4356),PlayerValues!E:E,0)),"N/A")</f>
        <v>16384</v>
      </c>
      <c r="B4356" s="4" t="s">
        <v>696</v>
      </c>
      <c r="C4356" s="4" t="s">
        <v>283</v>
      </c>
      <c r="D4356" s="94">
        <v>1444.0</v>
      </c>
    </row>
    <row r="4357">
      <c r="A4357" s="40">
        <f t="array" ref="A4357">IFNA(index(PlayerValues!A:A,match(IFNA(vlookup(B4357,'Special Names'!A:B,2,FALSE),B4357),PlayerValues!E:E,0)),"N/A")</f>
        <v>13672</v>
      </c>
      <c r="B4357" s="4" t="s">
        <v>667</v>
      </c>
      <c r="C4357" s="4" t="s">
        <v>298</v>
      </c>
      <c r="D4357" s="94">
        <v>1806.0</v>
      </c>
    </row>
    <row r="4358">
      <c r="A4358" s="40">
        <f t="array" ref="A4358">IFNA(index(PlayerValues!A:A,match(IFNA(vlookup(B4358,'Special Names'!A:B,2,FALSE),B4358),PlayerValues!E:E,0)),"N/A")</f>
        <v>16642</v>
      </c>
      <c r="B4358" s="4" t="s">
        <v>691</v>
      </c>
      <c r="C4358" s="4" t="s">
        <v>298</v>
      </c>
      <c r="D4358" s="94">
        <v>1802.0</v>
      </c>
    </row>
    <row r="4359">
      <c r="A4359" s="40">
        <f t="array" ref="A4359">IFNA(index(PlayerValues!A:A,match(IFNA(vlookup(B4359,'Special Names'!A:B,2,FALSE),B4359),PlayerValues!E:E,0)),"N/A")</f>
        <v>13418</v>
      </c>
      <c r="B4359" s="4" t="s">
        <v>706</v>
      </c>
      <c r="C4359" s="4" t="s">
        <v>287</v>
      </c>
      <c r="D4359" s="94">
        <v>1425.0</v>
      </c>
    </row>
    <row r="4360">
      <c r="A4360" s="40">
        <f t="array" ref="A4360">IFNA(index(PlayerValues!A:A,match(IFNA(vlookup(B4360,'Special Names'!A:B,2,FALSE),B4360),PlayerValues!E:E,0)),"N/A")</f>
        <v>17037</v>
      </c>
      <c r="B4360" s="4" t="s">
        <v>727</v>
      </c>
      <c r="C4360" s="4" t="s">
        <v>283</v>
      </c>
      <c r="D4360" s="94">
        <v>1425.0</v>
      </c>
    </row>
    <row r="4361">
      <c r="A4361" s="40">
        <f t="array" ref="A4361">IFNA(index(PlayerValues!A:A,match(IFNA(vlookup(B4361,'Special Names'!A:B,2,FALSE),B4361),PlayerValues!E:E,0)),"N/A")</f>
        <v>16621</v>
      </c>
      <c r="B4361" s="4" t="s">
        <v>672</v>
      </c>
      <c r="C4361" s="4" t="s">
        <v>287</v>
      </c>
      <c r="D4361" s="94">
        <v>1407.0</v>
      </c>
    </row>
    <row r="4362">
      <c r="A4362" s="40">
        <f t="array" ref="A4362">IFNA(index(PlayerValues!A:A,match(IFNA(vlookup(B4362,'Special Names'!A:B,2,FALSE),B4362),PlayerValues!E:E,0)),"N/A")</f>
        <v>15292</v>
      </c>
      <c r="B4362" s="4" t="s">
        <v>682</v>
      </c>
      <c r="C4362" s="4" t="s">
        <v>287</v>
      </c>
      <c r="D4362" s="94">
        <v>1397.0</v>
      </c>
    </row>
    <row r="4363">
      <c r="A4363" s="40">
        <f t="array" ref="A4363">IFNA(index(PlayerValues!A:A,match(IFNA(vlookup(B4363,'Special Names'!A:B,2,FALSE),B4363),PlayerValues!E:E,0)),"N/A")</f>
        <v>14137</v>
      </c>
      <c r="B4363" s="4" t="s">
        <v>676</v>
      </c>
      <c r="C4363" s="4" t="s">
        <v>298</v>
      </c>
      <c r="D4363" s="94">
        <v>1757.0</v>
      </c>
    </row>
    <row r="4364">
      <c r="A4364" s="40">
        <f t="array" ref="A4364">IFNA(index(PlayerValues!A:A,match(IFNA(vlookup(B4364,'Special Names'!A:B,2,FALSE),B4364),PlayerValues!E:E,0)),"N/A")</f>
        <v>12140</v>
      </c>
      <c r="B4364" s="4" t="s">
        <v>702</v>
      </c>
      <c r="C4364" s="4" t="s">
        <v>283</v>
      </c>
      <c r="D4364" s="94">
        <v>1378.0</v>
      </c>
    </row>
    <row r="4365">
      <c r="A4365" s="40">
        <f t="array" ref="A4365">IFNA(index(PlayerValues!A:A,match(IFNA(vlookup(B4365,'Special Names'!A:B,2,FALSE),B4365),PlayerValues!E:E,0)),"N/A")</f>
        <v>14086</v>
      </c>
      <c r="B4365" s="4" t="s">
        <v>639</v>
      </c>
      <c r="C4365" s="4" t="s">
        <v>278</v>
      </c>
      <c r="D4365" s="94">
        <v>1370.0</v>
      </c>
    </row>
    <row r="4366">
      <c r="A4366" s="40">
        <f t="array" ref="A4366">IFNA(index(PlayerValues!A:A,match(IFNA(vlookup(B4366,'Special Names'!A:B,2,FALSE),B4366),PlayerValues!E:E,0)),"N/A")</f>
        <v>11222</v>
      </c>
      <c r="B4366" s="4" t="s">
        <v>622</v>
      </c>
      <c r="C4366" s="4" t="s">
        <v>287</v>
      </c>
      <c r="D4366" s="94">
        <v>1364.0</v>
      </c>
    </row>
    <row r="4367">
      <c r="A4367" s="40">
        <f t="array" ref="A4367">IFNA(index(PlayerValues!A:A,match(IFNA(vlookup(B4367,'Special Names'!A:B,2,FALSE),B4367),PlayerValues!E:E,0)),"N/A")</f>
        <v>16149</v>
      </c>
      <c r="B4367" s="4" t="s">
        <v>740</v>
      </c>
      <c r="C4367" s="4" t="s">
        <v>283</v>
      </c>
      <c r="D4367" s="94">
        <v>1364.0</v>
      </c>
    </row>
    <row r="4368">
      <c r="A4368" s="40">
        <f t="array" ref="A4368">IFNA(index(PlayerValues!A:A,match(IFNA(vlookup(B4368,'Special Names'!A:B,2,FALSE),B4368),PlayerValues!E:E,0)),"N/A")</f>
        <v>15252</v>
      </c>
      <c r="B4368" s="4" t="s">
        <v>715</v>
      </c>
      <c r="C4368" s="4" t="s">
        <v>283</v>
      </c>
      <c r="D4368" s="94">
        <v>1360.0</v>
      </c>
    </row>
    <row r="4369">
      <c r="A4369" s="40">
        <f t="array" ref="A4369">IFNA(index(PlayerValues!A:A,match(IFNA(vlookup(B4369,'Special Names'!A:B,2,FALSE),B4369),PlayerValues!E:E,0)),"N/A")</f>
        <v>17062</v>
      </c>
      <c r="B4369" s="4" t="s">
        <v>701</v>
      </c>
      <c r="C4369" s="4" t="s">
        <v>278</v>
      </c>
      <c r="D4369" s="94">
        <v>1359.0</v>
      </c>
    </row>
    <row r="4370">
      <c r="A4370" s="40">
        <f t="array" ref="A4370">IFNA(index(PlayerValues!A:A,match(IFNA(vlookup(B4370,'Special Names'!A:B,2,FALSE),B4370),PlayerValues!E:E,0)),"N/A")</f>
        <v>17254</v>
      </c>
      <c r="B4370" s="4" t="s">
        <v>679</v>
      </c>
      <c r="C4370" s="4" t="s">
        <v>287</v>
      </c>
      <c r="D4370" s="94">
        <v>1357.0</v>
      </c>
    </row>
    <row r="4371">
      <c r="A4371" s="40">
        <f t="array" ref="A4371">IFNA(index(PlayerValues!A:A,match(IFNA(vlookup(B4371,'Special Names'!A:B,2,FALSE),B4371),PlayerValues!E:E,0)),"N/A")</f>
        <v>17529</v>
      </c>
      <c r="B4371" s="4" t="s">
        <v>608</v>
      </c>
      <c r="C4371" s="4" t="s">
        <v>287</v>
      </c>
      <c r="D4371" s="94">
        <v>1340.0</v>
      </c>
    </row>
    <row r="4372">
      <c r="A4372" s="40">
        <f t="array" ref="A4372">IFNA(index(PlayerValues!A:A,match(IFNA(vlookup(B4372,'Special Names'!A:B,2,FALSE),B4372),PlayerValues!E:E,0)),"N/A")</f>
        <v>15332</v>
      </c>
      <c r="B4372" s="4" t="s">
        <v>698</v>
      </c>
      <c r="C4372" s="4" t="s">
        <v>298</v>
      </c>
      <c r="D4372" s="94">
        <v>1682.0</v>
      </c>
    </row>
    <row r="4373">
      <c r="A4373" s="40">
        <f t="array" ref="A4373">IFNA(index(PlayerValues!A:A,match(IFNA(vlookup(B4373,'Special Names'!A:B,2,FALSE),B4373),PlayerValues!E:E,0)),"N/A")</f>
        <v>12678</v>
      </c>
      <c r="B4373" s="4" t="s">
        <v>703</v>
      </c>
      <c r="C4373" s="4" t="s">
        <v>298</v>
      </c>
      <c r="D4373" s="94">
        <v>1664.0</v>
      </c>
    </row>
    <row r="4374">
      <c r="A4374" s="40">
        <f t="array" ref="A4374">IFNA(index(PlayerValues!A:A,match(IFNA(vlookup(B4374,'Special Names'!A:B,2,FALSE),B4374),PlayerValues!E:E,0)),"N/A")</f>
        <v>15738</v>
      </c>
      <c r="B4374" s="4" t="s">
        <v>634</v>
      </c>
      <c r="C4374" s="4" t="s">
        <v>278</v>
      </c>
      <c r="D4374" s="94">
        <v>1298.0</v>
      </c>
    </row>
    <row r="4375">
      <c r="A4375" s="40">
        <f t="array" ref="A4375">IFNA(index(PlayerValues!A:A,match(IFNA(vlookup(B4375,'Special Names'!A:B,2,FALSE),B4375),PlayerValues!E:E,0)),"N/A")</f>
        <v>17077</v>
      </c>
      <c r="B4375" s="4" t="s">
        <v>714</v>
      </c>
      <c r="C4375" s="4" t="s">
        <v>287</v>
      </c>
      <c r="D4375" s="94">
        <v>1298.0</v>
      </c>
    </row>
    <row r="4376">
      <c r="A4376" s="40">
        <f t="array" ref="A4376">IFNA(index(PlayerValues!A:A,match(IFNA(vlookup(B4376,'Special Names'!A:B,2,FALSE),B4376),PlayerValues!E:E,0)),"N/A")</f>
        <v>14095</v>
      </c>
      <c r="B4376" s="4" t="s">
        <v>680</v>
      </c>
      <c r="C4376" s="4" t="s">
        <v>278</v>
      </c>
      <c r="D4376" s="94">
        <v>1294.0</v>
      </c>
    </row>
    <row r="4377">
      <c r="A4377" s="40">
        <f t="array" ref="A4377">IFNA(index(PlayerValues!A:A,match(IFNA(vlookup(B4377,'Special Names'!A:B,2,FALSE),B4377),PlayerValues!E:E,0)),"N/A")</f>
        <v>16608</v>
      </c>
      <c r="B4377" s="4" t="s">
        <v>629</v>
      </c>
      <c r="C4377" s="4" t="s">
        <v>278</v>
      </c>
      <c r="D4377" s="94">
        <v>1293.0</v>
      </c>
    </row>
    <row r="4378">
      <c r="A4378" s="40">
        <f t="array" ref="A4378">IFNA(index(PlayerValues!A:A,match(IFNA(vlookup(B4378,'Special Names'!A:B,2,FALSE),B4378),PlayerValues!E:E,0)),"N/A")</f>
        <v>12141</v>
      </c>
      <c r="B4378" s="4" t="s">
        <v>744</v>
      </c>
      <c r="C4378" s="4" t="s">
        <v>283</v>
      </c>
      <c r="D4378" s="94">
        <v>1288.0</v>
      </c>
    </row>
    <row r="4379">
      <c r="A4379" s="40">
        <f t="array" ref="A4379">IFNA(index(PlayerValues!A:A,match(IFNA(vlookup(B4379,'Special Names'!A:B,2,FALSE),B4379),PlayerValues!E:E,0)),"N/A")</f>
        <v>17567</v>
      </c>
      <c r="B4379" s="4" t="s">
        <v>571</v>
      </c>
      <c r="C4379" s="4" t="s">
        <v>298</v>
      </c>
      <c r="D4379" s="94">
        <v>1655.0</v>
      </c>
    </row>
    <row r="4380">
      <c r="A4380" s="40" t="str">
        <f t="array" ref="A4380">IFNA(index(PlayerValues!A:A,match(IFNA(vlookup(B4380,'Special Names'!A:B,2,FALSE),B4380),PlayerValues!E:E,0)),"N/A")</f>
        <v>N/A</v>
      </c>
      <c r="B4380" s="4" t="s">
        <v>117</v>
      </c>
      <c r="C4380" s="4" t="s">
        <v>325</v>
      </c>
      <c r="D4380" s="94">
        <v>1286.0</v>
      </c>
    </row>
    <row r="4381">
      <c r="A4381" s="40">
        <f t="array" ref="A4381">IFNA(index(PlayerValues!A:A,match(IFNA(vlookup(B4381,'Special Names'!A:B,2,FALSE),B4381),PlayerValues!E:E,0)),"N/A")</f>
        <v>14592</v>
      </c>
      <c r="B4381" s="4" t="s">
        <v>705</v>
      </c>
      <c r="C4381" s="4" t="s">
        <v>287</v>
      </c>
      <c r="D4381" s="94">
        <v>1278.0</v>
      </c>
    </row>
    <row r="4382">
      <c r="A4382" s="40">
        <f t="array" ref="A4382">IFNA(index(PlayerValues!A:A,match(IFNA(vlookup(B4382,'Special Names'!A:B,2,FALSE),B4382),PlayerValues!E:E,0)),"N/A")</f>
        <v>17521</v>
      </c>
      <c r="B4382" s="4" t="s">
        <v>573</v>
      </c>
      <c r="C4382" s="4" t="s">
        <v>287</v>
      </c>
      <c r="D4382" s="94">
        <v>1278.0</v>
      </c>
    </row>
    <row r="4383">
      <c r="A4383" s="40">
        <f t="array" ref="A4383">IFNA(index(PlayerValues!A:A,match(IFNA(vlookup(B4383,'Special Names'!A:B,2,FALSE),B4383),PlayerValues!E:E,0)),"N/A")</f>
        <v>17097</v>
      </c>
      <c r="B4383" s="4" t="s">
        <v>659</v>
      </c>
      <c r="C4383" s="4" t="s">
        <v>287</v>
      </c>
      <c r="D4383" s="94">
        <v>1267.0</v>
      </c>
    </row>
    <row r="4384">
      <c r="A4384" s="40">
        <f t="array" ref="A4384">IFNA(index(PlayerValues!A:A,match(IFNA(vlookup(B4384,'Special Names'!A:B,2,FALSE),B4384),PlayerValues!E:E,0)),"N/A")</f>
        <v>14080</v>
      </c>
      <c r="B4384" s="4" t="s">
        <v>716</v>
      </c>
      <c r="C4384" s="4" t="s">
        <v>278</v>
      </c>
      <c r="D4384" s="94">
        <v>1259.0</v>
      </c>
    </row>
    <row r="4385">
      <c r="A4385" s="40">
        <f t="array" ref="A4385">IFNA(index(PlayerValues!A:A,match(IFNA(vlookup(B4385,'Special Names'!A:B,2,FALSE),B4385),PlayerValues!E:E,0)),"N/A")</f>
        <v>17269</v>
      </c>
      <c r="B4385" s="4" t="s">
        <v>718</v>
      </c>
      <c r="C4385" s="4" t="s">
        <v>287</v>
      </c>
      <c r="D4385" s="94">
        <v>1254.0</v>
      </c>
    </row>
    <row r="4386">
      <c r="A4386" s="40">
        <f t="array" ref="A4386">IFNA(index(PlayerValues!A:A,match(IFNA(vlookup(B4386,'Special Names'!A:B,2,FALSE),B4386),PlayerValues!E:E,0)),"N/A")</f>
        <v>15702</v>
      </c>
      <c r="B4386" s="4" t="s">
        <v>723</v>
      </c>
      <c r="C4386" s="4" t="s">
        <v>283</v>
      </c>
      <c r="D4386" s="94">
        <v>1253.0</v>
      </c>
    </row>
    <row r="4387">
      <c r="A4387" s="40">
        <f t="array" ref="A4387">IFNA(index(PlayerValues!A:A,match(IFNA(vlookup(B4387,'Special Names'!A:B,2,FALSE),B4387),PlayerValues!E:E,0)),"N/A")</f>
        <v>16183</v>
      </c>
      <c r="B4387" s="4" t="s">
        <v>678</v>
      </c>
      <c r="C4387" s="4" t="s">
        <v>287</v>
      </c>
      <c r="D4387" s="94">
        <v>1235.0</v>
      </c>
    </row>
    <row r="4388">
      <c r="A4388" s="40">
        <f t="array" ref="A4388">IFNA(index(PlayerValues!A:A,match(IFNA(vlookup(B4388,'Special Names'!A:B,2,FALSE),B4388),PlayerValues!E:E,0)),"N/A")</f>
        <v>16333</v>
      </c>
      <c r="B4388" s="4" t="s">
        <v>711</v>
      </c>
      <c r="C4388" s="4" t="s">
        <v>298</v>
      </c>
      <c r="D4388" s="94">
        <v>1595.0</v>
      </c>
    </row>
    <row r="4389">
      <c r="A4389" s="40">
        <f t="array" ref="A4389">IFNA(index(PlayerValues!A:A,match(IFNA(vlookup(B4389,'Special Names'!A:B,2,FALSE),B4389),PlayerValues!E:E,0)),"N/A")</f>
        <v>16636</v>
      </c>
      <c r="B4389" s="4" t="s">
        <v>699</v>
      </c>
      <c r="C4389" s="4" t="s">
        <v>287</v>
      </c>
      <c r="D4389" s="94">
        <v>1225.0</v>
      </c>
    </row>
    <row r="4390">
      <c r="A4390" s="40">
        <f t="array" ref="A4390">IFNA(index(PlayerValues!A:A,match(IFNA(vlookup(B4390,'Special Names'!A:B,2,FALSE),B4390),PlayerValues!E:E,0)),"N/A")</f>
        <v>17607</v>
      </c>
      <c r="B4390" s="4" t="s">
        <v>526</v>
      </c>
      <c r="C4390" s="4" t="s">
        <v>298</v>
      </c>
      <c r="D4390" s="94">
        <v>1592.0</v>
      </c>
    </row>
    <row r="4391">
      <c r="A4391" s="40">
        <f t="array" ref="A4391">IFNA(index(PlayerValues!A:A,match(IFNA(vlookup(B4391,'Special Names'!A:B,2,FALSE),B4391),PlayerValues!E:E,0)),"N/A")</f>
        <v>16645</v>
      </c>
      <c r="B4391" s="4" t="s">
        <v>651</v>
      </c>
      <c r="C4391" s="4" t="s">
        <v>298</v>
      </c>
      <c r="D4391" s="94">
        <v>1590.0</v>
      </c>
    </row>
    <row r="4392">
      <c r="A4392" s="40">
        <f t="array" ref="A4392">IFNA(index(PlayerValues!A:A,match(IFNA(vlookup(B4392,'Special Names'!A:B,2,FALSE),B4392),PlayerValues!E:E,0)),"N/A")</f>
        <v>16387</v>
      </c>
      <c r="B4392" s="4" t="s">
        <v>646</v>
      </c>
      <c r="C4392" s="4" t="s">
        <v>278</v>
      </c>
      <c r="D4392" s="94">
        <v>1217.0</v>
      </c>
    </row>
    <row r="4393">
      <c r="A4393" s="40">
        <f t="array" ref="A4393">IFNA(index(PlayerValues!A:A,match(IFNA(vlookup(B4393,'Special Names'!A:B,2,FALSE),B4393),PlayerValues!E:E,0)),"N/A")</f>
        <v>16746</v>
      </c>
      <c r="B4393" s="4" t="s">
        <v>709</v>
      </c>
      <c r="C4393" s="4" t="s">
        <v>278</v>
      </c>
      <c r="D4393" s="94">
        <v>1212.0</v>
      </c>
    </row>
    <row r="4394">
      <c r="A4394" s="40">
        <f t="array" ref="A4394">IFNA(index(PlayerValues!A:A,match(IFNA(vlookup(B4394,'Special Names'!A:B,2,FALSE),B4394),PlayerValues!E:E,0)),"N/A")</f>
        <v>17519</v>
      </c>
      <c r="B4394" s="4" t="s">
        <v>593</v>
      </c>
      <c r="C4394" s="4" t="s">
        <v>287</v>
      </c>
      <c r="D4394" s="94">
        <v>1206.0</v>
      </c>
    </row>
    <row r="4395">
      <c r="A4395" s="40">
        <f t="array" ref="A4395">IFNA(index(PlayerValues!A:A,match(IFNA(vlookup(B4395,'Special Names'!A:B,2,FALSE),B4395),PlayerValues!E:E,0)),"N/A")</f>
        <v>15288</v>
      </c>
      <c r="B4395" s="4" t="s">
        <v>700</v>
      </c>
      <c r="C4395" s="4" t="s">
        <v>287</v>
      </c>
      <c r="D4395" s="94">
        <v>1203.0</v>
      </c>
    </row>
    <row r="4396">
      <c r="A4396" s="40">
        <f t="array" ref="A4396">IFNA(index(PlayerValues!A:A,match(IFNA(vlookup(B4396,'Special Names'!A:B,2,FALSE),B4396),PlayerValues!E:E,0)),"N/A")</f>
        <v>16883</v>
      </c>
      <c r="B4396" s="4" t="s">
        <v>683</v>
      </c>
      <c r="C4396" s="4" t="s">
        <v>287</v>
      </c>
      <c r="D4396" s="94">
        <v>1199.0</v>
      </c>
    </row>
    <row r="4397">
      <c r="A4397" s="40">
        <f t="array" ref="A4397">IFNA(index(PlayerValues!A:A,match(IFNA(vlookup(B4397,'Special Names'!A:B,2,FALSE),B4397),PlayerValues!E:E,0)),"N/A")</f>
        <v>17063</v>
      </c>
      <c r="B4397" s="4" t="s">
        <v>686</v>
      </c>
      <c r="C4397" s="4" t="s">
        <v>278</v>
      </c>
      <c r="D4397" s="94">
        <v>1197.0</v>
      </c>
    </row>
    <row r="4398">
      <c r="A4398" s="40">
        <f t="array" ref="A4398">IFNA(index(PlayerValues!A:A,match(IFNA(vlookup(B4398,'Special Names'!A:B,2,FALSE),B4398),PlayerValues!E:E,0)),"N/A")</f>
        <v>16199</v>
      </c>
      <c r="B4398" s="4" t="s">
        <v>687</v>
      </c>
      <c r="C4398" s="4" t="s">
        <v>287</v>
      </c>
      <c r="D4398" s="94">
        <v>1195.0</v>
      </c>
    </row>
    <row r="4399">
      <c r="A4399" s="40">
        <f t="array" ref="A4399">IFNA(index(PlayerValues!A:A,match(IFNA(vlookup(B4399,'Special Names'!A:B,2,FALSE),B4399),PlayerValues!E:E,0)),"N/A")</f>
        <v>16221</v>
      </c>
      <c r="B4399" s="4" t="s">
        <v>725</v>
      </c>
      <c r="C4399" s="4" t="s">
        <v>298</v>
      </c>
      <c r="D4399" s="94">
        <v>1556.0</v>
      </c>
    </row>
    <row r="4400">
      <c r="A4400" s="40">
        <f t="array" ref="A4400">IFNA(index(PlayerValues!A:A,match(IFNA(vlookup(B4400,'Special Names'!A:B,2,FALSE),B4400),PlayerValues!E:E,0)),"N/A")</f>
        <v>17057</v>
      </c>
      <c r="B4400" s="4" t="s">
        <v>708</v>
      </c>
      <c r="C4400" s="4" t="s">
        <v>278</v>
      </c>
      <c r="D4400" s="94">
        <v>1175.0</v>
      </c>
    </row>
    <row r="4401">
      <c r="A4401" s="40">
        <f t="array" ref="A4401">IFNA(index(PlayerValues!A:A,match(IFNA(vlookup(B4401,'Special Names'!A:B,2,FALSE),B4401),PlayerValues!E:E,0)),"N/A")</f>
        <v>17109</v>
      </c>
      <c r="B4401" s="4" t="s">
        <v>707</v>
      </c>
      <c r="C4401" s="4" t="s">
        <v>298</v>
      </c>
      <c r="D4401" s="94">
        <v>1542.0</v>
      </c>
    </row>
    <row r="4402">
      <c r="A4402" s="40">
        <f t="array" ref="A4402">IFNA(index(PlayerValues!A:A,match(IFNA(vlookup(B4402,'Special Names'!A:B,2,FALSE),B4402),PlayerValues!E:E,0)),"N/A")</f>
        <v>15981</v>
      </c>
      <c r="B4402" s="4" t="s">
        <v>729</v>
      </c>
      <c r="C4402" s="4" t="s">
        <v>287</v>
      </c>
      <c r="D4402" s="94">
        <v>1173.0</v>
      </c>
    </row>
    <row r="4403">
      <c r="A4403" s="40">
        <f t="array" ref="A4403">IFNA(index(PlayerValues!A:A,match(IFNA(vlookup(B4403,'Special Names'!A:B,2,FALSE),B4403),PlayerValues!E:E,0)),"N/A")</f>
        <v>14789</v>
      </c>
      <c r="B4403" s="4" t="s">
        <v>721</v>
      </c>
      <c r="C4403" s="4" t="s">
        <v>283</v>
      </c>
      <c r="D4403" s="94">
        <v>1158.0</v>
      </c>
    </row>
    <row r="4404">
      <c r="A4404" s="40">
        <f t="array" ref="A4404">IFNA(index(PlayerValues!A:A,match(IFNA(vlookup(B4404,'Special Names'!A:B,2,FALSE),B4404),PlayerValues!E:E,0)),"N/A")</f>
        <v>14108</v>
      </c>
      <c r="B4404" s="4" t="s">
        <v>673</v>
      </c>
      <c r="C4404" s="4" t="s">
        <v>287</v>
      </c>
      <c r="D4404" s="94">
        <v>1155.0</v>
      </c>
    </row>
    <row r="4405">
      <c r="A4405" s="40">
        <f t="array" ref="A4405">IFNA(index(PlayerValues!A:A,match(IFNA(vlookup(B4405,'Special Names'!A:B,2,FALSE),B4405),PlayerValues!E:E,0)),"N/A")</f>
        <v>14845</v>
      </c>
      <c r="B4405" s="4" t="s">
        <v>717</v>
      </c>
      <c r="C4405" s="4" t="s">
        <v>287</v>
      </c>
      <c r="D4405" s="94">
        <v>1147.0</v>
      </c>
    </row>
    <row r="4406">
      <c r="A4406" s="40">
        <f t="array" ref="A4406">IFNA(index(PlayerValues!A:A,match(IFNA(vlookup(B4406,'Special Names'!A:B,2,FALSE),B4406),PlayerValues!E:E,0)),"N/A")</f>
        <v>16385</v>
      </c>
      <c r="B4406" s="4" t="s">
        <v>690</v>
      </c>
      <c r="C4406" s="4" t="s">
        <v>278</v>
      </c>
      <c r="D4406" s="94">
        <v>1146.0</v>
      </c>
    </row>
    <row r="4407">
      <c r="A4407" s="40">
        <f t="array" ref="A4407">IFNA(index(PlayerValues!A:A,match(IFNA(vlookup(B4407,'Special Names'!A:B,2,FALSE),B4407),PlayerValues!E:E,0)),"N/A")</f>
        <v>17546</v>
      </c>
      <c r="B4407" s="4" t="s">
        <v>671</v>
      </c>
      <c r="C4407" s="4" t="s">
        <v>298</v>
      </c>
      <c r="D4407" s="94">
        <v>1512.0</v>
      </c>
    </row>
    <row r="4408">
      <c r="A4408" s="40">
        <f t="array" ref="A4408">IFNA(index(PlayerValues!A:A,match(IFNA(vlookup(B4408,'Special Names'!A:B,2,FALSE),B4408),PlayerValues!E:E,0)),"N/A")</f>
        <v>15240</v>
      </c>
      <c r="B4408" s="4" t="s">
        <v>751</v>
      </c>
      <c r="C4408" s="4" t="s">
        <v>283</v>
      </c>
      <c r="D4408" s="94">
        <v>1137.0</v>
      </c>
    </row>
    <row r="4409">
      <c r="A4409" s="40">
        <f t="array" ref="A4409">IFNA(index(PlayerValues!A:A,match(IFNA(vlookup(B4409,'Special Names'!A:B,2,FALSE),B4409),PlayerValues!E:E,0)),"N/A")</f>
        <v>14067</v>
      </c>
      <c r="B4409" s="4" t="s">
        <v>735</v>
      </c>
      <c r="C4409" s="4" t="s">
        <v>283</v>
      </c>
      <c r="D4409" s="94">
        <v>1136.0</v>
      </c>
    </row>
    <row r="4410">
      <c r="A4410" s="40">
        <f t="array" ref="A4410">IFNA(index(PlayerValues!A:A,match(IFNA(vlookup(B4410,'Special Names'!A:B,2,FALSE),B4410),PlayerValues!E:E,0)),"N/A")</f>
        <v>15730</v>
      </c>
      <c r="B4410" s="4" t="s">
        <v>734</v>
      </c>
      <c r="C4410" s="4" t="s">
        <v>278</v>
      </c>
      <c r="D4410" s="94">
        <v>1122.0</v>
      </c>
    </row>
    <row r="4411">
      <c r="A4411" s="40">
        <f t="array" ref="A4411">IFNA(index(PlayerValues!A:A,match(IFNA(vlookup(B4411,'Special Names'!A:B,2,FALSE),B4411),PlayerValues!E:E,0)),"N/A")</f>
        <v>13289</v>
      </c>
      <c r="B4411" s="4" t="s">
        <v>746</v>
      </c>
      <c r="C4411" s="4" t="s">
        <v>287</v>
      </c>
      <c r="D4411" s="94">
        <v>1121.0</v>
      </c>
    </row>
    <row r="4412">
      <c r="A4412" s="40">
        <f t="array" ref="A4412">IFNA(index(PlayerValues!A:A,match(IFNA(vlookup(B4412,'Special Names'!A:B,2,FALSE),B4412),PlayerValues!E:E,0)),"N/A")</f>
        <v>17192</v>
      </c>
      <c r="B4412" s="4" t="s">
        <v>677</v>
      </c>
      <c r="C4412" s="4" t="s">
        <v>287</v>
      </c>
      <c r="D4412" s="94">
        <v>1114.0</v>
      </c>
    </row>
    <row r="4413">
      <c r="A4413" s="40">
        <f t="array" ref="A4413">IFNA(index(PlayerValues!A:A,match(IFNA(vlookup(B4413,'Special Names'!A:B,2,FALSE),B4413),PlayerValues!E:E,0)),"N/A")</f>
        <v>17510</v>
      </c>
      <c r="B4413" s="4" t="s">
        <v>661</v>
      </c>
      <c r="C4413" s="4" t="s">
        <v>287</v>
      </c>
      <c r="D4413" s="94">
        <v>1112.0</v>
      </c>
    </row>
    <row r="4414">
      <c r="A4414" s="40">
        <f t="array" ref="A4414">IFNA(index(PlayerValues!A:A,match(IFNA(vlookup(B4414,'Special Names'!A:B,2,FALSE),B4414),PlayerValues!E:E,0)),"N/A")</f>
        <v>13131</v>
      </c>
      <c r="B4414" s="4" t="s">
        <v>815</v>
      </c>
      <c r="C4414" s="4" t="s">
        <v>278</v>
      </c>
      <c r="D4414" s="94">
        <v>1106.0</v>
      </c>
    </row>
    <row r="4415">
      <c r="A4415" s="40">
        <f t="array" ref="A4415">IFNA(index(PlayerValues!A:A,match(IFNA(vlookup(B4415,'Special Names'!A:B,2,FALSE),B4415),PlayerValues!E:E,0)),"N/A")</f>
        <v>16393</v>
      </c>
      <c r="B4415" s="4" t="s">
        <v>768</v>
      </c>
      <c r="C4415" s="4" t="s">
        <v>287</v>
      </c>
      <c r="D4415" s="94">
        <v>1104.0</v>
      </c>
    </row>
    <row r="4416">
      <c r="A4416" s="40">
        <f t="array" ref="A4416">IFNA(index(PlayerValues!A:A,match(IFNA(vlookup(B4416,'Special Names'!A:B,2,FALSE),B4416),PlayerValues!E:E,0)),"N/A")</f>
        <v>17685</v>
      </c>
      <c r="B4416" s="4" t="s">
        <v>630</v>
      </c>
      <c r="C4416" s="4" t="s">
        <v>278</v>
      </c>
      <c r="D4416" s="94">
        <v>1101.0</v>
      </c>
    </row>
    <row r="4417">
      <c r="A4417" s="40">
        <f t="array" ref="A4417">IFNA(index(PlayerValues!A:A,match(IFNA(vlookup(B4417,'Special Names'!A:B,2,FALSE),B4417),PlayerValues!E:E,0)),"N/A")</f>
        <v>15727</v>
      </c>
      <c r="B4417" s="4" t="s">
        <v>730</v>
      </c>
      <c r="C4417" s="4" t="s">
        <v>278</v>
      </c>
      <c r="D4417" s="94">
        <v>1092.0</v>
      </c>
    </row>
    <row r="4418">
      <c r="A4418" s="40">
        <f t="array" ref="A4418">IFNA(index(PlayerValues!A:A,match(IFNA(vlookup(B4418,'Special Names'!A:B,2,FALSE),B4418),PlayerValues!E:E,0)),"N/A")</f>
        <v>9064</v>
      </c>
      <c r="B4418" s="4" t="s">
        <v>761</v>
      </c>
      <c r="C4418" s="4" t="s">
        <v>283</v>
      </c>
      <c r="D4418" s="94">
        <v>1089.0</v>
      </c>
    </row>
    <row r="4419">
      <c r="A4419" s="40">
        <f t="array" ref="A4419">IFNA(index(PlayerValues!A:A,match(IFNA(vlookup(B4419,'Special Names'!A:B,2,FALSE),B4419),PlayerValues!E:E,0)),"N/A")</f>
        <v>16197</v>
      </c>
      <c r="B4419" s="4" t="s">
        <v>726</v>
      </c>
      <c r="C4419" s="4" t="s">
        <v>287</v>
      </c>
      <c r="D4419" s="94">
        <v>1087.0</v>
      </c>
    </row>
    <row r="4420">
      <c r="A4420" s="40">
        <f t="array" ref="A4420">IFNA(index(PlayerValues!A:A,match(IFNA(vlookup(B4420,'Special Names'!A:B,2,FALSE),B4420),PlayerValues!E:E,0)),"N/A")</f>
        <v>15692</v>
      </c>
      <c r="B4420" s="4" t="s">
        <v>750</v>
      </c>
      <c r="C4420" s="4" t="s">
        <v>283</v>
      </c>
      <c r="D4420" s="94">
        <v>1086.0</v>
      </c>
    </row>
    <row r="4421">
      <c r="A4421" s="40">
        <f t="array" ref="A4421">IFNA(index(PlayerValues!A:A,match(IFNA(vlookup(B4421,'Special Names'!A:B,2,FALSE),B4421),PlayerValues!E:E,0)),"N/A")</f>
        <v>16637</v>
      </c>
      <c r="B4421" s="4" t="s">
        <v>736</v>
      </c>
      <c r="C4421" s="4" t="s">
        <v>287</v>
      </c>
      <c r="D4421" s="94">
        <v>1072.0</v>
      </c>
    </row>
    <row r="4422">
      <c r="A4422" s="40">
        <f t="array" ref="A4422">IFNA(index(PlayerValues!A:A,match(IFNA(vlookup(B4422,'Special Names'!A:B,2,FALSE),B4422),PlayerValues!E:E,0)),"N/A")</f>
        <v>17050</v>
      </c>
      <c r="B4422" s="4" t="s">
        <v>713</v>
      </c>
      <c r="C4422" s="4" t="s">
        <v>278</v>
      </c>
      <c r="D4422" s="94">
        <v>1065.0</v>
      </c>
    </row>
    <row r="4423">
      <c r="A4423" s="40">
        <f t="array" ref="A4423">IFNA(index(PlayerValues!A:A,match(IFNA(vlookup(B4423,'Special Names'!A:B,2,FALSE),B4423),PlayerValues!E:E,0)),"N/A")</f>
        <v>17599</v>
      </c>
      <c r="B4423" s="4" t="s">
        <v>496</v>
      </c>
      <c r="C4423" s="4" t="s">
        <v>287</v>
      </c>
      <c r="D4423" s="94">
        <v>1064.0</v>
      </c>
    </row>
    <row r="4424">
      <c r="A4424" s="40">
        <f t="array" ref="A4424">IFNA(index(PlayerValues!A:A,match(IFNA(vlookup(B4424,'Special Names'!A:B,2,FALSE),B4424),PlayerValues!E:E,0)),"N/A")</f>
        <v>16640</v>
      </c>
      <c r="B4424" s="4" t="s">
        <v>712</v>
      </c>
      <c r="C4424" s="4" t="s">
        <v>287</v>
      </c>
      <c r="D4424" s="94">
        <v>1060.0</v>
      </c>
    </row>
    <row r="4425">
      <c r="A4425" s="40">
        <f t="array" ref="A4425">IFNA(index(PlayerValues!A:A,match(IFNA(vlookup(B4425,'Special Names'!A:B,2,FALSE),B4425),PlayerValues!E:E,0)),"N/A")</f>
        <v>15693</v>
      </c>
      <c r="B4425" s="4" t="s">
        <v>755</v>
      </c>
      <c r="C4425" s="4" t="s">
        <v>283</v>
      </c>
      <c r="D4425" s="94">
        <v>1036.0</v>
      </c>
    </row>
    <row r="4426">
      <c r="A4426" s="40">
        <f t="array" ref="A4426">IFNA(index(PlayerValues!A:A,match(IFNA(vlookup(B4426,'Special Names'!A:B,2,FALSE),B4426),PlayerValues!E:E,0)),"N/A")</f>
        <v>13193</v>
      </c>
      <c r="B4426" s="4" t="s">
        <v>773</v>
      </c>
      <c r="C4426" s="4" t="s">
        <v>298</v>
      </c>
      <c r="D4426" s="94">
        <v>1402.0</v>
      </c>
    </row>
    <row r="4427">
      <c r="A4427" s="40">
        <f t="array" ref="A4427">IFNA(index(PlayerValues!A:A,match(IFNA(vlookup(B4427,'Special Names'!A:B,2,FALSE),B4427),PlayerValues!E:E,0)),"N/A")</f>
        <v>11247</v>
      </c>
      <c r="B4427" s="4" t="s">
        <v>816</v>
      </c>
      <c r="C4427" s="4" t="s">
        <v>298</v>
      </c>
      <c r="D4427" s="94">
        <v>1394.0</v>
      </c>
    </row>
    <row r="4428">
      <c r="A4428" s="40">
        <f t="array" ref="A4428">IFNA(index(PlayerValues!A:A,match(IFNA(vlookup(B4428,'Special Names'!A:B,2,FALSE),B4428),PlayerValues!E:E,0)),"N/A")</f>
        <v>16451</v>
      </c>
      <c r="B4428" s="4" t="s">
        <v>769</v>
      </c>
      <c r="C4428" s="4" t="s">
        <v>287</v>
      </c>
      <c r="D4428" s="94">
        <v>1025.0</v>
      </c>
    </row>
    <row r="4429">
      <c r="A4429" s="40">
        <f t="array" ref="A4429">IFNA(index(PlayerValues!A:A,match(IFNA(vlookup(B4429,'Special Names'!A:B,2,FALSE),B4429),PlayerValues!E:E,0)),"N/A")</f>
        <v>15239</v>
      </c>
      <c r="B4429" s="4" t="s">
        <v>802</v>
      </c>
      <c r="C4429" s="4" t="s">
        <v>283</v>
      </c>
      <c r="D4429" s="94">
        <v>1013.0</v>
      </c>
    </row>
    <row r="4430">
      <c r="A4430" s="40">
        <f t="array" ref="A4430">IFNA(index(PlayerValues!A:A,match(IFNA(vlookup(B4430,'Special Names'!A:B,2,FALSE),B4430),PlayerValues!E:E,0)),"N/A")</f>
        <v>16168</v>
      </c>
      <c r="B4430" s="4" t="s">
        <v>738</v>
      </c>
      <c r="C4430" s="4" t="s">
        <v>278</v>
      </c>
      <c r="D4430" s="94">
        <v>1011.0</v>
      </c>
    </row>
    <row r="4431">
      <c r="A4431" s="40">
        <f t="array" ref="A4431">IFNA(index(PlayerValues!A:A,match(IFNA(vlookup(B4431,'Special Names'!A:B,2,FALSE),B4431),PlayerValues!E:E,0)),"N/A")</f>
        <v>15258</v>
      </c>
      <c r="B4431" s="4" t="s">
        <v>757</v>
      </c>
      <c r="C4431" s="4" t="s">
        <v>278</v>
      </c>
      <c r="D4431" s="94">
        <v>999.0</v>
      </c>
    </row>
    <row r="4432">
      <c r="A4432" s="40">
        <f t="array" ref="A4432">IFNA(index(PlayerValues!A:A,match(IFNA(vlookup(B4432,'Special Names'!A:B,2,FALSE),B4432),PlayerValues!E:E,0)),"N/A")</f>
        <v>15330</v>
      </c>
      <c r="B4432" s="4" t="s">
        <v>749</v>
      </c>
      <c r="C4432" s="4" t="s">
        <v>298</v>
      </c>
      <c r="D4432" s="94">
        <v>1364.0</v>
      </c>
    </row>
    <row r="4433">
      <c r="A4433" s="40">
        <f t="array" ref="A4433">IFNA(index(PlayerValues!A:A,match(IFNA(vlookup(B4433,'Special Names'!A:B,2,FALSE),B4433),PlayerValues!E:E,0)),"N/A")</f>
        <v>16170</v>
      </c>
      <c r="B4433" s="4" t="s">
        <v>801</v>
      </c>
      <c r="C4433" s="4" t="s">
        <v>278</v>
      </c>
      <c r="D4433" s="94">
        <v>997.0</v>
      </c>
    </row>
    <row r="4434">
      <c r="A4434" s="40">
        <f t="array" ref="A4434">IFNA(index(PlayerValues!A:A,match(IFNA(vlookup(B4434,'Special Names'!A:B,2,FALSE),B4434),PlayerValues!E:E,0)),"N/A")</f>
        <v>17652</v>
      </c>
      <c r="B4434" s="4" t="s">
        <v>576</v>
      </c>
      <c r="C4434" s="4" t="s">
        <v>278</v>
      </c>
      <c r="D4434" s="94">
        <v>995.0</v>
      </c>
    </row>
    <row r="4435">
      <c r="A4435" s="40">
        <f t="array" ref="A4435">IFNA(index(PlayerValues!A:A,match(IFNA(vlookup(B4435,'Special Names'!A:B,2,FALSE),B4435),PlayerValues!E:E,0)),"N/A")</f>
        <v>15795</v>
      </c>
      <c r="B4435" s="4" t="s">
        <v>669</v>
      </c>
      <c r="C4435" s="4" t="s">
        <v>298</v>
      </c>
      <c r="D4435" s="94">
        <v>1359.0</v>
      </c>
    </row>
    <row r="4436">
      <c r="A4436" s="40">
        <f t="array" ref="A4436">IFNA(index(PlayerValues!A:A,match(IFNA(vlookup(B4436,'Special Names'!A:B,2,FALSE),B4436),PlayerValues!E:E,0)),"N/A")</f>
        <v>15717</v>
      </c>
      <c r="B4436" s="4" t="s">
        <v>745</v>
      </c>
      <c r="C4436" s="4" t="s">
        <v>278</v>
      </c>
      <c r="D4436" s="94">
        <v>991.0</v>
      </c>
    </row>
    <row r="4437">
      <c r="A4437" s="40">
        <f t="array" ref="A4437">IFNA(index(PlayerValues!A:A,match(IFNA(vlookup(B4437,'Special Names'!A:B,2,FALSE),B4437),PlayerValues!E:E,0)),"N/A")</f>
        <v>15785</v>
      </c>
      <c r="B4437" s="4" t="s">
        <v>763</v>
      </c>
      <c r="C4437" s="4" t="s">
        <v>287</v>
      </c>
      <c r="D4437" s="94">
        <v>986.0</v>
      </c>
    </row>
    <row r="4438">
      <c r="A4438" s="40">
        <f t="array" ref="A4438">IFNA(index(PlayerValues!A:A,match(IFNA(vlookup(B4438,'Special Names'!A:B,2,FALSE),B4438),PlayerValues!E:E,0)),"N/A")</f>
        <v>16648</v>
      </c>
      <c r="B4438" s="4" t="s">
        <v>748</v>
      </c>
      <c r="C4438" s="4" t="s">
        <v>298</v>
      </c>
      <c r="D4438" s="94">
        <v>1352.0</v>
      </c>
    </row>
    <row r="4439">
      <c r="A4439" s="40">
        <f t="array" ref="A4439">IFNA(index(PlayerValues!A:A,match(IFNA(vlookup(B4439,'Special Names'!A:B,2,FALSE),B4439),PlayerValues!E:E,0)),"N/A")</f>
        <v>14849</v>
      </c>
      <c r="B4439" s="4" t="s">
        <v>733</v>
      </c>
      <c r="C4439" s="4" t="s">
        <v>287</v>
      </c>
      <c r="D4439" s="94">
        <v>981.0</v>
      </c>
    </row>
    <row r="4440">
      <c r="A4440" s="40">
        <f t="array" ref="A4440">IFNA(index(PlayerValues!A:A,match(IFNA(vlookup(B4440,'Special Names'!A:B,2,FALSE),B4440),PlayerValues!E:E,0)),"N/A")</f>
        <v>15766</v>
      </c>
      <c r="B4440" s="4" t="s">
        <v>759</v>
      </c>
      <c r="C4440" s="4" t="s">
        <v>287</v>
      </c>
      <c r="D4440" s="94">
        <v>977.0</v>
      </c>
    </row>
    <row r="4441">
      <c r="A4441" s="40">
        <f t="array" ref="A4441">IFNA(index(PlayerValues!A:A,match(IFNA(vlookup(B4441,'Special Names'!A:B,2,FALSE),B4441),PlayerValues!E:E,0)),"N/A")</f>
        <v>16678</v>
      </c>
      <c r="B4441" s="4" t="s">
        <v>758</v>
      </c>
      <c r="C4441" s="4" t="s">
        <v>278</v>
      </c>
      <c r="D4441" s="94">
        <v>975.0</v>
      </c>
    </row>
    <row r="4442">
      <c r="A4442" s="40">
        <f t="array" ref="A4442">IFNA(index(PlayerValues!A:A,match(IFNA(vlookup(B4442,'Special Names'!A:B,2,FALSE),B4442),PlayerValues!E:E,0)),"N/A")</f>
        <v>14118</v>
      </c>
      <c r="B4442" s="4" t="s">
        <v>771</v>
      </c>
      <c r="C4442" s="4" t="s">
        <v>287</v>
      </c>
      <c r="D4442" s="94">
        <v>974.0</v>
      </c>
    </row>
    <row r="4443">
      <c r="A4443" s="40">
        <f t="array" ref="A4443">IFNA(index(PlayerValues!A:A,match(IFNA(vlookup(B4443,'Special Names'!A:B,2,FALSE),B4443),PlayerValues!E:E,0)),"N/A")</f>
        <v>17175</v>
      </c>
      <c r="B4443" s="4" t="s">
        <v>747</v>
      </c>
      <c r="C4443" s="4" t="s">
        <v>287</v>
      </c>
      <c r="D4443" s="94">
        <v>974.0</v>
      </c>
    </row>
    <row r="4444">
      <c r="A4444" s="40">
        <f t="array" ref="A4444">IFNA(index(PlayerValues!A:A,match(IFNA(vlookup(B4444,'Special Names'!A:B,2,FALSE),B4444),PlayerValues!E:E,0)),"N/A")</f>
        <v>14057</v>
      </c>
      <c r="B4444" s="4" t="s">
        <v>765</v>
      </c>
      <c r="C4444" s="4" t="s">
        <v>283</v>
      </c>
      <c r="D4444" s="94">
        <v>973.0</v>
      </c>
    </row>
    <row r="4445">
      <c r="A4445" s="40">
        <f t="array" ref="A4445">IFNA(index(PlayerValues!A:A,match(IFNA(vlookup(B4445,'Special Names'!A:B,2,FALSE),B4445),PlayerValues!E:E,0)),"N/A")</f>
        <v>15758</v>
      </c>
      <c r="B4445" s="4" t="s">
        <v>724</v>
      </c>
      <c r="C4445" s="4" t="s">
        <v>287</v>
      </c>
      <c r="D4445" s="94">
        <v>972.0</v>
      </c>
    </row>
    <row r="4446">
      <c r="A4446" s="40">
        <f t="array" ref="A4446">IFNA(index(PlayerValues!A:A,match(IFNA(vlookup(B4446,'Special Names'!A:B,2,FALSE),B4446),PlayerValues!E:E,0)),"N/A")</f>
        <v>16205</v>
      </c>
      <c r="B4446" s="4" t="s">
        <v>742</v>
      </c>
      <c r="C4446" s="4" t="s">
        <v>287</v>
      </c>
      <c r="D4446" s="94">
        <v>971.0</v>
      </c>
    </row>
    <row r="4447">
      <c r="A4447" s="40">
        <f t="array" ref="A4447">IFNA(index(PlayerValues!A:A,match(IFNA(vlookup(B4447,'Special Names'!A:B,2,FALSE),B4447),PlayerValues!E:E,0)),"N/A")</f>
        <v>15718</v>
      </c>
      <c r="B4447" s="4" t="s">
        <v>753</v>
      </c>
      <c r="C4447" s="4" t="s">
        <v>278</v>
      </c>
      <c r="D4447" s="94">
        <v>969.0</v>
      </c>
    </row>
    <row r="4448">
      <c r="A4448" s="40">
        <f t="array" ref="A4448">IFNA(index(PlayerValues!A:A,match(IFNA(vlookup(B4448,'Special Names'!A:B,2,FALSE),B4448),PlayerValues!E:E,0)),"N/A")</f>
        <v>17479</v>
      </c>
      <c r="B4448" s="4" t="s">
        <v>756</v>
      </c>
      <c r="C4448" s="4" t="s">
        <v>278</v>
      </c>
      <c r="D4448" s="94">
        <v>964.0</v>
      </c>
    </row>
    <row r="4449">
      <c r="A4449" s="40">
        <f t="array" ref="A4449">IFNA(index(PlayerValues!A:A,match(IFNA(vlookup(B4449,'Special Names'!A:B,2,FALSE),B4449),PlayerValues!E:E,0)),"N/A")</f>
        <v>15626</v>
      </c>
      <c r="B4449" s="4" t="s">
        <v>766</v>
      </c>
      <c r="C4449" s="4" t="s">
        <v>298</v>
      </c>
      <c r="D4449" s="94">
        <v>1329.0</v>
      </c>
    </row>
    <row r="4450">
      <c r="A4450" s="40">
        <f t="array" ref="A4450">IFNA(index(PlayerValues!A:A,match(IFNA(vlookup(B4450,'Special Names'!A:B,2,FALSE),B4450),PlayerValues!E:E,0)),"N/A")</f>
        <v>16858</v>
      </c>
      <c r="B4450" s="4" t="s">
        <v>754</v>
      </c>
      <c r="C4450" s="4" t="s">
        <v>287</v>
      </c>
      <c r="D4450" s="94">
        <v>958.0</v>
      </c>
    </row>
    <row r="4451">
      <c r="A4451" s="40">
        <f t="array" ref="A4451">IFNA(index(PlayerValues!A:A,match(IFNA(vlookup(B4451,'Special Names'!A:B,2,FALSE),B4451),PlayerValues!E:E,0)),"N/A")</f>
        <v>15109</v>
      </c>
      <c r="B4451" s="4" t="s">
        <v>728</v>
      </c>
      <c r="C4451" s="4" t="s">
        <v>287</v>
      </c>
      <c r="D4451" s="94">
        <v>956.0</v>
      </c>
    </row>
    <row r="4452">
      <c r="A4452" s="40">
        <f t="array" ref="A4452">IFNA(index(PlayerValues!A:A,match(IFNA(vlookup(B4452,'Special Names'!A:B,2,FALSE),B4452),PlayerValues!E:E,0)),"N/A")</f>
        <v>16219</v>
      </c>
      <c r="B4452" s="4" t="s">
        <v>739</v>
      </c>
      <c r="C4452" s="4" t="s">
        <v>298</v>
      </c>
      <c r="D4452" s="94">
        <v>1297.0</v>
      </c>
    </row>
    <row r="4453">
      <c r="A4453" s="40">
        <f t="array" ref="A4453">IFNA(index(PlayerValues!A:A,match(IFNA(vlookup(B4453,'Special Names'!A:B,2,FALSE),B4453),PlayerValues!E:E,0)),"N/A")</f>
        <v>16624</v>
      </c>
      <c r="B4453" s="4" t="s">
        <v>796</v>
      </c>
      <c r="C4453" s="4" t="s">
        <v>287</v>
      </c>
      <c r="D4453" s="94">
        <v>917.0</v>
      </c>
    </row>
    <row r="4454">
      <c r="A4454" s="40">
        <f t="array" ref="A4454">IFNA(index(PlayerValues!A:A,match(IFNA(vlookup(B4454,'Special Names'!A:B,2,FALSE),B4454),PlayerValues!E:E,0)),"N/A")</f>
        <v>17475</v>
      </c>
      <c r="B4454" s="4" t="s">
        <v>615</v>
      </c>
      <c r="C4454" s="4" t="s">
        <v>278</v>
      </c>
      <c r="D4454" s="94">
        <v>914.0</v>
      </c>
    </row>
    <row r="4455">
      <c r="A4455" s="40">
        <f t="array" ref="A4455">IFNA(index(PlayerValues!A:A,match(IFNA(vlookup(B4455,'Special Names'!A:B,2,FALSE),B4455),PlayerValues!E:E,0)),"N/A")</f>
        <v>15720</v>
      </c>
      <c r="B4455" s="4" t="s">
        <v>795</v>
      </c>
      <c r="C4455" s="4" t="s">
        <v>278</v>
      </c>
      <c r="D4455" s="94">
        <v>907.0</v>
      </c>
    </row>
    <row r="4456">
      <c r="A4456" s="40">
        <f t="array" ref="A4456">IFNA(index(PlayerValues!A:A,match(IFNA(vlookup(B4456,'Special Names'!A:B,2,FALSE),B4456),PlayerValues!E:E,0)),"N/A")</f>
        <v>16773</v>
      </c>
      <c r="B4456" s="4" t="s">
        <v>783</v>
      </c>
      <c r="C4456" s="4" t="s">
        <v>278</v>
      </c>
      <c r="D4456" s="94">
        <v>879.0</v>
      </c>
    </row>
    <row r="4457">
      <c r="A4457" s="40">
        <f t="array" ref="A4457">IFNA(index(PlayerValues!A:A,match(IFNA(vlookup(B4457,'Special Names'!A:B,2,FALSE),B4457),PlayerValues!E:E,0)),"N/A")</f>
        <v>16599</v>
      </c>
      <c r="B4457" s="4" t="s">
        <v>737</v>
      </c>
      <c r="C4457" s="4" t="s">
        <v>278</v>
      </c>
      <c r="D4457" s="94">
        <v>868.0</v>
      </c>
    </row>
    <row r="4458">
      <c r="A4458" s="40">
        <f t="array" ref="A4458">IFNA(index(PlayerValues!A:A,match(IFNA(vlookup(B4458,'Special Names'!A:B,2,FALSE),B4458),PlayerValues!E:E,0)),"N/A")</f>
        <v>16416</v>
      </c>
      <c r="B4458" s="4" t="s">
        <v>752</v>
      </c>
      <c r="C4458" s="4" t="s">
        <v>287</v>
      </c>
      <c r="D4458" s="94">
        <v>866.0</v>
      </c>
    </row>
    <row r="4459">
      <c r="A4459" s="40">
        <f t="array" ref="A4459">IFNA(index(PlayerValues!A:A,match(IFNA(vlookup(B4459,'Special Names'!A:B,2,FALSE),B4459),PlayerValues!E:E,0)),"N/A")</f>
        <v>17549</v>
      </c>
      <c r="B4459" s="4" t="s">
        <v>720</v>
      </c>
      <c r="C4459" s="4" t="s">
        <v>298</v>
      </c>
      <c r="D4459" s="94">
        <v>1231.0</v>
      </c>
    </row>
    <row r="4460">
      <c r="A4460" s="40">
        <f t="array" ref="A4460">IFNA(index(PlayerValues!A:A,match(IFNA(vlookup(B4460,'Special Names'!A:B,2,FALSE),B4460),PlayerValues!E:E,0)),"N/A")</f>
        <v>13138</v>
      </c>
      <c r="B4460" s="4" t="s">
        <v>817</v>
      </c>
      <c r="C4460" s="4" t="s">
        <v>278</v>
      </c>
      <c r="D4460" s="94">
        <v>862.0</v>
      </c>
    </row>
    <row r="4461">
      <c r="A4461" s="40">
        <f t="array" ref="A4461">IFNA(index(PlayerValues!A:A,match(IFNA(vlookup(B4461,'Special Names'!A:B,2,FALSE),B4461),PlayerValues!E:E,0)),"N/A")</f>
        <v>17504</v>
      </c>
      <c r="B4461" s="4" t="s">
        <v>693</v>
      </c>
      <c r="C4461" s="4" t="s">
        <v>287</v>
      </c>
      <c r="D4461" s="94">
        <v>858.0</v>
      </c>
    </row>
    <row r="4462">
      <c r="A4462" s="40">
        <f t="array" ref="A4462">IFNA(index(PlayerValues!A:A,match(IFNA(vlookup(B4462,'Special Names'!A:B,2,FALSE),B4462),PlayerValues!E:E,0)),"N/A")</f>
        <v>17487</v>
      </c>
      <c r="B4462" s="4" t="s">
        <v>692</v>
      </c>
      <c r="C4462" s="4" t="s">
        <v>278</v>
      </c>
      <c r="D4462" s="94">
        <v>848.0</v>
      </c>
    </row>
    <row r="4463">
      <c r="A4463" s="40">
        <f t="array" ref="A4463">IFNA(index(PlayerValues!A:A,match(IFNA(vlookup(B4463,'Special Names'!A:B,2,FALSE),B4463),PlayerValues!E:E,0)),"N/A")</f>
        <v>12785</v>
      </c>
      <c r="B4463" s="4" t="s">
        <v>772</v>
      </c>
      <c r="C4463" s="4" t="s">
        <v>287</v>
      </c>
      <c r="D4463" s="94">
        <v>841.0</v>
      </c>
    </row>
    <row r="4464">
      <c r="A4464" s="40">
        <f t="array" ref="A4464">IFNA(index(PlayerValues!A:A,match(IFNA(vlookup(B4464,'Special Names'!A:B,2,FALSE),B4464),PlayerValues!E:E,0)),"N/A")</f>
        <v>16751</v>
      </c>
      <c r="B4464" s="4" t="s">
        <v>762</v>
      </c>
      <c r="C4464" s="4" t="s">
        <v>287</v>
      </c>
      <c r="D4464" s="94">
        <v>841.0</v>
      </c>
    </row>
    <row r="4465">
      <c r="A4465" s="40">
        <f t="array" ref="A4465">IFNA(index(PlayerValues!A:A,match(IFNA(vlookup(B4465,'Special Names'!A:B,2,FALSE),B4465),PlayerValues!E:E,0)),"N/A")</f>
        <v>17657</v>
      </c>
      <c r="B4465" s="4" t="s">
        <v>642</v>
      </c>
      <c r="C4465" s="4" t="s">
        <v>283</v>
      </c>
      <c r="D4465" s="94">
        <v>829.0</v>
      </c>
    </row>
    <row r="4466">
      <c r="A4466" s="40">
        <f t="array" ref="A4466">IFNA(index(PlayerValues!A:A,match(IFNA(vlookup(B4466,'Special Names'!A:B,2,FALSE),B4466),PlayerValues!E:E,0)),"N/A")</f>
        <v>14223</v>
      </c>
      <c r="B4466" s="4" t="s">
        <v>785</v>
      </c>
      <c r="C4466" s="4" t="s">
        <v>278</v>
      </c>
      <c r="D4466" s="94">
        <v>815.0</v>
      </c>
    </row>
    <row r="4467">
      <c r="A4467" s="40">
        <f t="array" ref="A4467">IFNA(index(PlayerValues!A:A,match(IFNA(vlookup(B4467,'Special Names'!A:B,2,FALSE),B4467),PlayerValues!E:E,0)),"N/A")</f>
        <v>17486</v>
      </c>
      <c r="B4467" s="4" t="s">
        <v>695</v>
      </c>
      <c r="C4467" s="4" t="s">
        <v>278</v>
      </c>
      <c r="D4467" s="94">
        <v>780.0</v>
      </c>
    </row>
    <row r="4468">
      <c r="A4468" s="40">
        <f t="array" ref="A4468">IFNA(index(PlayerValues!A:A,match(IFNA(vlookup(B4468,'Special Names'!A:B,2,FALSE),B4468),PlayerValues!E:E,0)),"N/A")</f>
        <v>17337</v>
      </c>
      <c r="B4468" s="4" t="s">
        <v>793</v>
      </c>
      <c r="C4468" s="4" t="s">
        <v>278</v>
      </c>
      <c r="D4468" s="94">
        <v>771.0</v>
      </c>
    </row>
    <row r="4469">
      <c r="A4469" s="40">
        <f t="array" ref="A4469">IFNA(index(PlayerValues!A:A,match(IFNA(vlookup(B4469,'Special Names'!A:B,2,FALSE),B4469),PlayerValues!E:E,0)),"N/A")</f>
        <v>17654</v>
      </c>
      <c r="B4469" s="4" t="s">
        <v>767</v>
      </c>
      <c r="C4469" s="4" t="s">
        <v>283</v>
      </c>
      <c r="D4469" s="94">
        <v>765.0</v>
      </c>
    </row>
    <row r="4470">
      <c r="A4470" s="40">
        <f t="array" ref="A4470">IFNA(index(PlayerValues!A:A,match(IFNA(vlookup(B4470,'Special Names'!A:B,2,FALSE),B4470),PlayerValues!E:E,0)),"N/A")</f>
        <v>16176</v>
      </c>
      <c r="B4470" s="4" t="s">
        <v>812</v>
      </c>
      <c r="C4470" s="4" t="s">
        <v>278</v>
      </c>
      <c r="D4470" s="94">
        <v>747.0</v>
      </c>
    </row>
    <row r="4471">
      <c r="A4471" s="40">
        <f t="array" ref="A4471">IFNA(index(PlayerValues!A:A,match(IFNA(vlookup(B4471,'Special Names'!A:B,2,FALSE),B4471),PlayerValues!E:E,0)),"N/A")</f>
        <v>16606</v>
      </c>
      <c r="B4471" s="4" t="s">
        <v>743</v>
      </c>
      <c r="C4471" s="4" t="s">
        <v>278</v>
      </c>
      <c r="D4471" s="94">
        <v>732.0</v>
      </c>
    </row>
    <row r="4472">
      <c r="A4472" s="40">
        <f t="array" ref="A4472">IFNA(index(PlayerValues!A:A,match(IFNA(vlookup(B4472,'Special Names'!A:B,2,FALSE),B4472),PlayerValues!E:E,0)),"N/A")</f>
        <v>17518</v>
      </c>
      <c r="B4472" s="4" t="s">
        <v>482</v>
      </c>
      <c r="C4472" s="4" t="s">
        <v>287</v>
      </c>
      <c r="D4472" s="94">
        <v>729.0</v>
      </c>
    </row>
    <row r="4473">
      <c r="A4473" s="40">
        <f t="array" ref="A4473">IFNA(index(PlayerValues!A:A,match(IFNA(vlookup(B4473,'Special Names'!A:B,2,FALSE),B4473),PlayerValues!E:E,0)),"N/A")</f>
        <v>16623</v>
      </c>
      <c r="B4473" s="4" t="s">
        <v>803</v>
      </c>
      <c r="C4473" s="4" t="s">
        <v>287</v>
      </c>
      <c r="D4473" s="94">
        <v>721.0</v>
      </c>
    </row>
    <row r="4474">
      <c r="A4474" s="40">
        <f t="array" ref="A4474">IFNA(index(PlayerValues!A:A,match(IFNA(vlookup(B4474,'Special Names'!A:B,2,FALSE),B4474),PlayerValues!E:E,0)),"N/A")</f>
        <v>14864</v>
      </c>
      <c r="B4474" s="4" t="s">
        <v>789</v>
      </c>
      <c r="C4474" s="4" t="s">
        <v>287</v>
      </c>
      <c r="D4474" s="94">
        <v>706.0</v>
      </c>
    </row>
    <row r="4475">
      <c r="A4475" s="40">
        <f t="array" ref="A4475">IFNA(index(PlayerValues!A:A,match(IFNA(vlookup(B4475,'Special Names'!A:B,2,FALSE),B4475),PlayerValues!E:E,0)),"N/A")</f>
        <v>12263</v>
      </c>
      <c r="B4475" s="4" t="s">
        <v>697</v>
      </c>
      <c r="C4475" s="4" t="s">
        <v>298</v>
      </c>
      <c r="D4475" s="94">
        <v>1055.0</v>
      </c>
    </row>
    <row r="4476">
      <c r="A4476" s="40">
        <f t="array" ref="A4476">IFNA(index(PlayerValues!A:A,match(IFNA(vlookup(B4476,'Special Names'!A:B,2,FALSE),B4476),PlayerValues!E:E,0)),"N/A")</f>
        <v>15723</v>
      </c>
      <c r="B4476" s="4" t="s">
        <v>798</v>
      </c>
      <c r="C4476" s="4" t="s">
        <v>278</v>
      </c>
      <c r="D4476" s="94">
        <v>692.0</v>
      </c>
    </row>
    <row r="4477">
      <c r="A4477" s="40">
        <f t="array" ref="A4477">IFNA(index(PlayerValues!A:A,match(IFNA(vlookup(B4477,'Special Names'!A:B,2,FALSE),B4477),PlayerValues!E:E,0)),"N/A")</f>
        <v>16686</v>
      </c>
      <c r="B4477" s="4" t="s">
        <v>805</v>
      </c>
      <c r="C4477" s="4" t="s">
        <v>287</v>
      </c>
      <c r="D4477" s="94">
        <v>674.0</v>
      </c>
    </row>
    <row r="4478">
      <c r="A4478" s="40">
        <f t="array" ref="A4478">IFNA(index(PlayerValues!A:A,match(IFNA(vlookup(B4478,'Special Names'!A:B,2,FALSE),B4478),PlayerValues!E:E,0)),"N/A")</f>
        <v>17545</v>
      </c>
      <c r="B4478" s="4" t="s">
        <v>719</v>
      </c>
      <c r="C4478" s="4" t="s">
        <v>298</v>
      </c>
      <c r="D4478" s="94">
        <v>1025.0</v>
      </c>
    </row>
    <row r="4479">
      <c r="A4479" s="40">
        <f t="array" ref="A4479">IFNA(index(PlayerValues!A:A,match(IFNA(vlookup(B4479,'Special Names'!A:B,2,FALSE),B4479),PlayerValues!E:E,0)),"N/A")</f>
        <v>17627</v>
      </c>
      <c r="B4479" s="4" t="s">
        <v>684</v>
      </c>
      <c r="C4479" s="4" t="s">
        <v>298</v>
      </c>
      <c r="D4479" s="94">
        <v>1024.0</v>
      </c>
    </row>
    <row r="4480">
      <c r="A4480" s="40">
        <f t="array" ref="A4480">IFNA(index(PlayerValues!A:A,match(IFNA(vlookup(B4480,'Special Names'!A:B,2,FALSE),B4480),PlayerValues!E:E,0)),"N/A")</f>
        <v>17541</v>
      </c>
      <c r="B4480" s="4" t="s">
        <v>616</v>
      </c>
      <c r="C4480" s="4" t="s">
        <v>287</v>
      </c>
      <c r="D4480" s="94">
        <v>620.0</v>
      </c>
    </row>
    <row r="4481">
      <c r="A4481" s="40">
        <f t="array" ref="A4481">IFNA(index(PlayerValues!A:A,match(IFNA(vlookup(B4481,'Special Names'!A:B,2,FALSE),B4481),PlayerValues!E:E,0)),"N/A")</f>
        <v>13133</v>
      </c>
      <c r="B4481" s="4" t="s">
        <v>764</v>
      </c>
      <c r="C4481" s="4" t="s">
        <v>278</v>
      </c>
      <c r="D4481" s="94">
        <v>606.0</v>
      </c>
    </row>
    <row r="4482">
      <c r="A4482" s="40">
        <f t="array" ref="A4482">IFNA(index(PlayerValues!A:A,match(IFNA(vlookup(B4482,'Special Names'!A:B,2,FALSE),B4482),PlayerValues!E:E,0)),"N/A")</f>
        <v>13595</v>
      </c>
      <c r="B4482" s="4" t="s">
        <v>818</v>
      </c>
      <c r="C4482" s="4" t="s">
        <v>283</v>
      </c>
      <c r="D4482" s="94">
        <v>591.0</v>
      </c>
    </row>
    <row r="4483">
      <c r="A4483" s="40">
        <f t="array" ref="A4483">IFNA(index(PlayerValues!A:A,match(IFNA(vlookup(B4483,'Special Names'!A:B,2,FALSE),B4483),PlayerValues!E:E,0)),"N/A")</f>
        <v>16159</v>
      </c>
      <c r="B4483" s="4" t="s">
        <v>819</v>
      </c>
      <c r="C4483" s="4" t="s">
        <v>283</v>
      </c>
      <c r="D4483" s="94">
        <v>566.0</v>
      </c>
    </row>
    <row r="4484">
      <c r="A4484" s="40">
        <f t="array" ref="A4484">IFNA(index(PlayerValues!A:A,match(IFNA(vlookup(B4484,'Special Names'!A:B,2,FALSE),B4484),PlayerValues!E:E,0)),"N/A")</f>
        <v>15804</v>
      </c>
      <c r="B4484" s="4" t="s">
        <v>821</v>
      </c>
      <c r="C4484" s="4" t="s">
        <v>298</v>
      </c>
      <c r="D4484" s="94">
        <v>871.0</v>
      </c>
    </row>
    <row r="4485">
      <c r="A4485" s="40">
        <f t="array" ref="A4485">IFNA(index(PlayerValues!A:A,match(IFNA(vlookup(B4485,'Special Names'!A:B,2,FALSE),B4485),PlayerValues!E:E,0)),"N/A")</f>
        <v>14858</v>
      </c>
      <c r="B4485" s="4" t="s">
        <v>799</v>
      </c>
      <c r="C4485" s="4" t="s">
        <v>287</v>
      </c>
      <c r="D4485" s="94">
        <v>515.0</v>
      </c>
    </row>
    <row r="4486">
      <c r="A4486" s="40">
        <f t="array" ref="A4486">IFNA(index(PlayerValues!A:A,match(IFNA(vlookup(B4486,'Special Names'!A:B,2,FALSE),B4486),PlayerValues!E:E,0)),"N/A")</f>
        <v>15796</v>
      </c>
      <c r="B4486" s="4" t="s">
        <v>794</v>
      </c>
      <c r="C4486" s="4" t="s">
        <v>298</v>
      </c>
      <c r="D4486" s="94">
        <v>850.0</v>
      </c>
    </row>
    <row r="4487">
      <c r="A4487" s="40">
        <f t="array" ref="A4487">IFNA(index(PlayerValues!A:A,match(IFNA(vlookup(B4487,'Special Names'!A:B,2,FALSE),B4487),PlayerValues!E:E,0)),"N/A")</f>
        <v>17038</v>
      </c>
      <c r="B4487" s="4" t="s">
        <v>774</v>
      </c>
      <c r="C4487" s="4" t="s">
        <v>283</v>
      </c>
      <c r="D4487" s="94">
        <v>505.0</v>
      </c>
    </row>
    <row r="4488">
      <c r="A4488" s="40">
        <f t="array" ref="A4488">IFNA(index(PlayerValues!A:A,match(IFNA(vlookup(B4488,'Special Names'!A:B,2,FALSE),B4488),PlayerValues!E:E,0)),"N/A")</f>
        <v>17243</v>
      </c>
      <c r="B4488" s="4" t="s">
        <v>810</v>
      </c>
      <c r="C4488" s="4" t="s">
        <v>298</v>
      </c>
      <c r="D4488" s="94">
        <v>850.0</v>
      </c>
    </row>
    <row r="4489">
      <c r="A4489" s="40">
        <f t="array" ref="A4489">IFNA(index(PlayerValues!A:A,match(IFNA(vlookup(B4489,'Special Names'!A:B,2,FALSE),B4489),PlayerValues!E:E,0)),"N/A")</f>
        <v>13143</v>
      </c>
      <c r="B4489" s="4" t="s">
        <v>786</v>
      </c>
      <c r="C4489" s="4" t="s">
        <v>278</v>
      </c>
      <c r="D4489" s="94">
        <v>504.0</v>
      </c>
    </row>
    <row r="4490">
      <c r="A4490" s="40">
        <f t="array" ref="A4490">IFNA(index(PlayerValues!A:A,match(IFNA(vlookup(B4490,'Special Names'!A:B,2,FALSE),B4490),PlayerValues!E:E,0)),"N/A")</f>
        <v>16957</v>
      </c>
      <c r="B4490" s="4" t="s">
        <v>806</v>
      </c>
      <c r="C4490" s="4" t="s">
        <v>278</v>
      </c>
      <c r="D4490" s="94">
        <v>504.0</v>
      </c>
    </row>
    <row r="4491">
      <c r="A4491" s="40">
        <f t="array" ref="A4491">IFNA(index(PlayerValues!A:A,match(IFNA(vlookup(B4491,'Special Names'!A:B,2,FALSE),B4491),PlayerValues!E:E,0)),"N/A")</f>
        <v>13066</v>
      </c>
      <c r="B4491" s="4" t="s">
        <v>822</v>
      </c>
      <c r="C4491" s="4" t="s">
        <v>287</v>
      </c>
      <c r="D4491" s="94">
        <v>502.0</v>
      </c>
    </row>
    <row r="4492">
      <c r="A4492" s="40">
        <f t="array" ref="A4492">IFNA(index(PlayerValues!A:A,match(IFNA(vlookup(B4492,'Special Names'!A:B,2,FALSE),B4492),PlayerValues!E:E,0)),"N/A")</f>
        <v>12658</v>
      </c>
      <c r="B4492" s="4" t="s">
        <v>823</v>
      </c>
      <c r="C4492" s="4" t="s">
        <v>287</v>
      </c>
      <c r="D4492" s="94">
        <v>501.0</v>
      </c>
    </row>
    <row r="4493">
      <c r="A4493" s="40">
        <f t="array" ref="A4493">IFNA(index(PlayerValues!A:A,match(IFNA(vlookup(B4493,'Special Names'!A:B,2,FALSE),B4493),PlayerValues!E:E,0)),"N/A")</f>
        <v>14239</v>
      </c>
      <c r="B4493" s="4" t="s">
        <v>824</v>
      </c>
      <c r="C4493" s="4" t="s">
        <v>298</v>
      </c>
      <c r="D4493" s="94">
        <v>846.0</v>
      </c>
    </row>
    <row r="4494">
      <c r="A4494" s="40">
        <f t="array" ref="A4494">IFNA(index(PlayerValues!A:A,match(IFNA(vlookup(B4494,'Special Names'!A:B,2,FALSE),B4494),PlayerValues!E:E,0)),"N/A")</f>
        <v>16625</v>
      </c>
      <c r="B4494" s="4" t="s">
        <v>778</v>
      </c>
      <c r="C4494" s="4" t="s">
        <v>287</v>
      </c>
      <c r="D4494" s="94">
        <v>497.0</v>
      </c>
    </row>
    <row r="4495">
      <c r="A4495" s="40">
        <f t="array" ref="A4495">IFNA(index(PlayerValues!A:A,match(IFNA(vlookup(B4495,'Special Names'!A:B,2,FALSE),B4495),PlayerValues!E:E,0)),"N/A")</f>
        <v>13610</v>
      </c>
      <c r="B4495" s="4" t="s">
        <v>825</v>
      </c>
      <c r="C4495" s="4" t="s">
        <v>278</v>
      </c>
      <c r="D4495" s="94">
        <v>496.0</v>
      </c>
    </row>
    <row r="4496">
      <c r="A4496" s="40">
        <f t="array" ref="A4496">IFNA(index(PlayerValues!A:A,match(IFNA(vlookup(B4496,'Special Names'!A:B,2,FALSE),B4496),PlayerValues!E:E,0)),"N/A")</f>
        <v>16299</v>
      </c>
      <c r="B4496" s="4" t="s">
        <v>787</v>
      </c>
      <c r="C4496" s="4" t="s">
        <v>287</v>
      </c>
      <c r="D4496" s="94">
        <v>496.0</v>
      </c>
    </row>
    <row r="4497">
      <c r="A4497" s="40">
        <f t="array" ref="A4497">IFNA(index(PlayerValues!A:A,match(IFNA(vlookup(B4497,'Special Names'!A:B,2,FALSE),B4497),PlayerValues!E:E,0)),"N/A")</f>
        <v>11232</v>
      </c>
      <c r="B4497" s="4" t="s">
        <v>826</v>
      </c>
      <c r="C4497" s="4" t="s">
        <v>287</v>
      </c>
      <c r="D4497" s="94">
        <v>495.0</v>
      </c>
    </row>
    <row r="4498">
      <c r="A4498" s="40">
        <f t="array" ref="A4498">IFNA(index(PlayerValues!A:A,match(IFNA(vlookup(B4498,'Special Names'!A:B,2,FALSE),B4498),PlayerValues!E:E,0)),"N/A")</f>
        <v>10413</v>
      </c>
      <c r="B4498" s="4" t="s">
        <v>811</v>
      </c>
      <c r="C4498" s="4" t="s">
        <v>283</v>
      </c>
      <c r="D4498" s="94">
        <v>494.0</v>
      </c>
    </row>
    <row r="4499">
      <c r="A4499" s="40">
        <f t="array" ref="A4499">IFNA(index(PlayerValues!A:A,match(IFNA(vlookup(B4499,'Special Names'!A:B,2,FALSE),B4499),PlayerValues!E:E,0)),"N/A")</f>
        <v>16413</v>
      </c>
      <c r="B4499" s="4" t="s">
        <v>781</v>
      </c>
      <c r="C4499" s="4" t="s">
        <v>287</v>
      </c>
      <c r="D4499" s="94">
        <v>493.0</v>
      </c>
    </row>
    <row r="4500">
      <c r="A4500" s="40">
        <f t="array" ref="A4500">IFNA(index(PlayerValues!A:A,match(IFNA(vlookup(B4500,'Special Names'!A:B,2,FALSE),B4500),PlayerValues!E:E,0)),"N/A")</f>
        <v>13404</v>
      </c>
      <c r="B4500" s="4" t="s">
        <v>827</v>
      </c>
      <c r="C4500" s="4" t="s">
        <v>278</v>
      </c>
      <c r="D4500" s="94">
        <v>11.0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9995.0</v>
      </c>
    </row>
    <row r="4502">
      <c r="A4502" s="40">
        <f t="array" ref="A4502">IFNA(index(PlayerValues!A:A,match(IFNA(vlookup(B4502,'Special Names'!A:B,2,FALSE),B4502),PlayerValues!E:E,0)),"N/A")</f>
        <v>16161</v>
      </c>
      <c r="B4502" s="4" t="s">
        <v>277</v>
      </c>
      <c r="C4502" s="4" t="s">
        <v>278</v>
      </c>
      <c r="D4502" s="94">
        <v>9992.0</v>
      </c>
    </row>
    <row r="4503">
      <c r="A4503" s="40">
        <f t="array" ref="A4503">IFNA(index(PlayerValues!A:A,match(IFNA(vlookup(B4503,'Special Names'!A:B,2,FALSE),B4503),PlayerValues!E:E,0)),"N/A")</f>
        <v>15281</v>
      </c>
      <c r="B4503" s="4" t="s">
        <v>286</v>
      </c>
      <c r="C4503" s="4" t="s">
        <v>287</v>
      </c>
      <c r="D4503" s="94">
        <v>9968.0</v>
      </c>
    </row>
    <row r="4504">
      <c r="A4504" s="40">
        <f t="array" ref="A4504">IFNA(index(PlayerValues!A:A,match(IFNA(vlookup(B4504,'Special Names'!A:B,2,FALSE),B4504),PlayerValues!E:E,0)),"N/A")</f>
        <v>16185</v>
      </c>
      <c r="B4504" s="4" t="s">
        <v>290</v>
      </c>
      <c r="C4504" s="4" t="s">
        <v>287</v>
      </c>
      <c r="D4504" s="94">
        <v>9831.0</v>
      </c>
    </row>
    <row r="4505">
      <c r="A4505" s="40">
        <f t="array" ref="A4505">IFNA(index(PlayerValues!A:A,match(IFNA(vlookup(B4505,'Special Names'!A:B,2,FALSE),B4505),PlayerValues!E:E,0)),"N/A")</f>
        <v>16162</v>
      </c>
      <c r="B4505" s="4" t="s">
        <v>281</v>
      </c>
      <c r="C4505" s="4" t="s">
        <v>278</v>
      </c>
      <c r="D4505" s="94">
        <v>9654.0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9386.0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8603.0</v>
      </c>
    </row>
    <row r="4508">
      <c r="A4508" s="40">
        <f t="array" ref="A4508">IFNA(index(PlayerValues!A:A,match(IFNA(vlookup(B4508,'Special Names'!A:B,2,FALSE),B4508),PlayerValues!E:E,0)),"N/A")</f>
        <v>16641</v>
      </c>
      <c r="B4508" s="4" t="s">
        <v>297</v>
      </c>
      <c r="C4508" s="4" t="s">
        <v>298</v>
      </c>
      <c r="D4508" s="94">
        <v>8907.0</v>
      </c>
    </row>
    <row r="4509">
      <c r="A4509" s="40">
        <f t="array" ref="A4509">IFNA(index(PlayerValues!A:A,match(IFNA(vlookup(B4509,'Special Names'!A:B,2,FALSE),B4509),PlayerValues!E:E,0)),"N/A")</f>
        <v>16579</v>
      </c>
      <c r="B4509" s="4" t="s">
        <v>302</v>
      </c>
      <c r="C4509" s="4" t="s">
        <v>283</v>
      </c>
      <c r="D4509" s="94">
        <v>7945.0</v>
      </c>
    </row>
    <row r="4510">
      <c r="A4510" s="40">
        <f t="array" ref="A4510">IFNA(index(PlayerValues!A:A,match(IFNA(vlookup(B4510,'Special Names'!A:B,2,FALSE),B4510),PlayerValues!E:E,0)),"N/A")</f>
        <v>16581</v>
      </c>
      <c r="B4510" s="4" t="s">
        <v>315</v>
      </c>
      <c r="C4510" s="4" t="s">
        <v>283</v>
      </c>
      <c r="D4510" s="94">
        <v>7848.0</v>
      </c>
    </row>
    <row r="4511">
      <c r="A4511" s="40">
        <f t="array" ref="A4511">IFNA(index(PlayerValues!A:A,match(IFNA(vlookup(B4511,'Special Names'!A:B,2,FALSE),B4511),PlayerValues!E:E,0)),"N/A")</f>
        <v>15287</v>
      </c>
      <c r="B4511" s="4" t="s">
        <v>299</v>
      </c>
      <c r="C4511" s="4" t="s">
        <v>287</v>
      </c>
      <c r="D4511" s="94">
        <v>7845.0</v>
      </c>
    </row>
    <row r="4512">
      <c r="A4512" s="40">
        <f t="array" ref="A4512">IFNA(index(PlayerValues!A:A,match(IFNA(vlookup(B4512,'Special Names'!A:B,2,FALSE),B4512),PlayerValues!E:E,0)),"N/A")</f>
        <v>14836</v>
      </c>
      <c r="B4512" s="4" t="s">
        <v>306</v>
      </c>
      <c r="C4512" s="4" t="s">
        <v>287</v>
      </c>
      <c r="D4512" s="94">
        <v>7789.0</v>
      </c>
    </row>
    <row r="4513">
      <c r="A4513" s="40">
        <f t="array" ref="A4513">IFNA(index(PlayerValues!A:A,match(IFNA(vlookup(B4513,'Special Names'!A:B,2,FALSE),B4513),PlayerValues!E:E,0)),"N/A")</f>
        <v>13593</v>
      </c>
      <c r="B4513" s="4" t="s">
        <v>305</v>
      </c>
      <c r="C4513" s="4" t="s">
        <v>283</v>
      </c>
      <c r="D4513" s="94">
        <v>7650.0</v>
      </c>
    </row>
    <row r="4514">
      <c r="A4514" s="40">
        <f t="array" ref="A4514">IFNA(index(PlayerValues!A:A,match(IFNA(vlookup(B4514,'Special Names'!A:B,2,FALSE),B4514),PlayerValues!E:E,0)),"N/A")</f>
        <v>17472</v>
      </c>
      <c r="B4514" s="4" t="s">
        <v>310</v>
      </c>
      <c r="C4514" s="4" t="s">
        <v>278</v>
      </c>
      <c r="D4514" s="94">
        <v>7649.0</v>
      </c>
    </row>
    <row r="4515">
      <c r="A4515" s="40">
        <f t="array" ref="A4515">IFNA(index(PlayerValues!A:A,match(IFNA(vlookup(B4515,'Special Names'!A:B,2,FALSE),B4515),PlayerValues!E:E,0)),"N/A")</f>
        <v>16615</v>
      </c>
      <c r="B4515" s="4" t="s">
        <v>309</v>
      </c>
      <c r="C4515" s="4" t="s">
        <v>287</v>
      </c>
      <c r="D4515" s="94">
        <v>7645.0</v>
      </c>
    </row>
    <row r="4516">
      <c r="A4516" s="40">
        <f t="array" ref="A4516">IFNA(index(PlayerValues!A:A,match(IFNA(vlookup(B4516,'Special Names'!A:B,2,FALSE),B4516),PlayerValues!E:E,0)),"N/A")</f>
        <v>17042</v>
      </c>
      <c r="B4516" s="4" t="s">
        <v>314</v>
      </c>
      <c r="C4516" s="4" t="s">
        <v>278</v>
      </c>
      <c r="D4516" s="94">
        <v>7576.0</v>
      </c>
    </row>
    <row r="4517">
      <c r="A4517" s="40">
        <f t="array" ref="A4517">IFNA(index(PlayerValues!A:A,match(IFNA(vlookup(B4517,'Special Names'!A:B,2,FALSE),B4517),PlayerValues!E:E,0)),"N/A")</f>
        <v>15794</v>
      </c>
      <c r="B4517" s="4" t="s">
        <v>313</v>
      </c>
      <c r="C4517" s="4" t="s">
        <v>298</v>
      </c>
      <c r="D4517" s="94">
        <v>8366.0</v>
      </c>
    </row>
    <row r="4518">
      <c r="A4518" s="40">
        <f t="array" ref="A4518">IFNA(index(PlayerValues!A:A,match(IFNA(vlookup(B4518,'Special Names'!A:B,2,FALSE),B4518),PlayerValues!E:E,0)),"N/A")</f>
        <v>14777</v>
      </c>
      <c r="B4518" s="4" t="s">
        <v>318</v>
      </c>
      <c r="C4518" s="4" t="s">
        <v>283</v>
      </c>
      <c r="D4518" s="94">
        <v>7440.0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7260.0</v>
      </c>
    </row>
    <row r="4520">
      <c r="A4520" s="40" t="str">
        <f t="array" ref="A4520">IFNA(index(PlayerValues!A:A,match(IFNA(vlookup(B4520,'Special Names'!A:B,2,FALSE),B4520),PlayerValues!E:E,0)),"N/A")</f>
        <v>N/A</v>
      </c>
      <c r="B4520" s="4" t="s">
        <v>92</v>
      </c>
      <c r="C4520" s="4" t="s">
        <v>325</v>
      </c>
      <c r="D4520" s="94">
        <v>7142.0</v>
      </c>
    </row>
    <row r="4521">
      <c r="A4521" s="40">
        <f t="array" ref="A4521">IFNA(index(PlayerValues!A:A,match(IFNA(vlookup(B4521,'Special Names'!A:B,2,FALSE),B4521),PlayerValues!E:E,0)),"N/A")</f>
        <v>15751</v>
      </c>
      <c r="B4521" s="4" t="s">
        <v>328</v>
      </c>
      <c r="C4521" s="4" t="s">
        <v>287</v>
      </c>
      <c r="D4521" s="94">
        <v>6935.0</v>
      </c>
    </row>
    <row r="4522">
      <c r="A4522" s="40">
        <f t="array" ref="A4522">IFNA(index(PlayerValues!A:A,match(IFNA(vlookup(B4522,'Special Names'!A:B,2,FALSE),B4522),PlayerValues!E:E,0)),"N/A")</f>
        <v>16167</v>
      </c>
      <c r="B4522" s="4" t="s">
        <v>323</v>
      </c>
      <c r="C4522" s="4" t="s">
        <v>278</v>
      </c>
      <c r="D4522" s="94">
        <v>6917.0</v>
      </c>
    </row>
    <row r="4523">
      <c r="A4523" s="40">
        <f t="array" ref="A4523">IFNA(index(PlayerValues!A:A,match(IFNA(vlookup(B4523,'Special Names'!A:B,2,FALSE),B4523),PlayerValues!E:E,0)),"N/A")</f>
        <v>14779</v>
      </c>
      <c r="B4523" s="4" t="s">
        <v>327</v>
      </c>
      <c r="C4523" s="4" t="s">
        <v>283</v>
      </c>
      <c r="D4523" s="94">
        <v>6838.0</v>
      </c>
    </row>
    <row r="4524">
      <c r="A4524" s="40">
        <f t="array" ref="A4524">IFNA(index(PlayerValues!A:A,match(IFNA(vlookup(B4524,'Special Names'!A:B,2,FALSE),B4524),PlayerValues!E:E,0)),"N/A")</f>
        <v>17044</v>
      </c>
      <c r="B4524" s="4" t="s">
        <v>322</v>
      </c>
      <c r="C4524" s="4" t="s">
        <v>278</v>
      </c>
      <c r="D4524" s="94">
        <v>6810.0</v>
      </c>
    </row>
    <row r="4525">
      <c r="A4525" s="40">
        <f t="array" ref="A4525">IFNA(index(PlayerValues!A:A,match(IFNA(vlookup(B4525,'Special Names'!A:B,2,FALSE),B4525),PlayerValues!E:E,0)),"N/A")</f>
        <v>13116</v>
      </c>
      <c r="B4525" s="4" t="s">
        <v>345</v>
      </c>
      <c r="C4525" s="4" t="s">
        <v>283</v>
      </c>
      <c r="D4525" s="94">
        <v>6687.0</v>
      </c>
    </row>
    <row r="4526">
      <c r="A4526" s="40">
        <f t="array" ref="A4526">IFNA(index(PlayerValues!A:A,match(IFNA(vlookup(B4526,'Special Names'!A:B,2,FALSE),B4526),PlayerValues!E:E,0)),"N/A")</f>
        <v>17032</v>
      </c>
      <c r="B4526" s="4" t="s">
        <v>348</v>
      </c>
      <c r="C4526" s="4" t="s">
        <v>283</v>
      </c>
      <c r="D4526" s="94">
        <v>6606.0</v>
      </c>
    </row>
    <row r="4527">
      <c r="A4527" s="40">
        <f t="array" ref="A4527">IFNA(index(PlayerValues!A:A,match(IFNA(vlookup(B4527,'Special Names'!A:B,2,FALSE),B4527),PlayerValues!E:E,0)),"N/A")</f>
        <v>17071</v>
      </c>
      <c r="B4527" s="4" t="s">
        <v>341</v>
      </c>
      <c r="C4527" s="4" t="s">
        <v>287</v>
      </c>
      <c r="D4527" s="94">
        <v>6553.0</v>
      </c>
    </row>
    <row r="4528">
      <c r="A4528" s="40">
        <f t="array" ref="A4528">IFNA(index(PlayerValues!A:A,match(IFNA(vlookup(B4528,'Special Names'!A:B,2,FALSE),B4528),PlayerValues!E:E,0)),"N/A")</f>
        <v>15237</v>
      </c>
      <c r="B4528" s="4" t="s">
        <v>336</v>
      </c>
      <c r="C4528" s="4" t="s">
        <v>283</v>
      </c>
      <c r="D4528" s="94">
        <v>6373.0</v>
      </c>
    </row>
    <row r="4529">
      <c r="A4529" s="40">
        <f t="array" ref="A4529">IFNA(index(PlayerValues!A:A,match(IFNA(vlookup(B4529,'Special Names'!A:B,2,FALSE),B4529),PlayerValues!E:E,0)),"N/A")</f>
        <v>14783</v>
      </c>
      <c r="B4529" s="4" t="s">
        <v>342</v>
      </c>
      <c r="C4529" s="4" t="s">
        <v>283</v>
      </c>
      <c r="D4529" s="94">
        <v>6173.0</v>
      </c>
    </row>
    <row r="4530">
      <c r="A4530" s="40">
        <f t="array" ref="A4530">IFNA(index(PlayerValues!A:A,match(IFNA(vlookup(B4530,'Special Names'!A:B,2,FALSE),B4530),PlayerValues!E:E,0)),"N/A")</f>
        <v>17104</v>
      </c>
      <c r="B4530" s="4" t="s">
        <v>333</v>
      </c>
      <c r="C4530" s="4" t="s">
        <v>298</v>
      </c>
      <c r="D4530" s="94">
        <v>6788.0</v>
      </c>
    </row>
    <row r="4531">
      <c r="A4531" s="40">
        <f t="array" ref="A4531">IFNA(index(PlayerValues!A:A,match(IFNA(vlookup(B4531,'Special Names'!A:B,2,FALSE),B4531),PlayerValues!E:E,0)),"N/A")</f>
        <v>17081</v>
      </c>
      <c r="B4531" s="4" t="s">
        <v>340</v>
      </c>
      <c r="C4531" s="4" t="s">
        <v>287</v>
      </c>
      <c r="D4531" s="94">
        <v>6086.0</v>
      </c>
    </row>
    <row r="4532">
      <c r="A4532" s="40">
        <f t="array" ref="A4532">IFNA(index(PlayerValues!A:A,match(IFNA(vlookup(B4532,'Special Names'!A:B,2,FALSE),B4532),PlayerValues!E:E,0)),"N/A")</f>
        <v>16582</v>
      </c>
      <c r="B4532" s="4" t="s">
        <v>343</v>
      </c>
      <c r="C4532" s="4" t="s">
        <v>283</v>
      </c>
      <c r="D4532" s="94">
        <v>6030.0</v>
      </c>
    </row>
    <row r="4533">
      <c r="A4533" s="40">
        <f t="array" ref="A4533">IFNA(index(PlayerValues!A:A,match(IFNA(vlookup(B4533,'Special Names'!A:B,2,FALSE),B4533),PlayerValues!E:E,0)),"N/A")</f>
        <v>14802</v>
      </c>
      <c r="B4533" s="4" t="s">
        <v>332</v>
      </c>
      <c r="C4533" s="4" t="s">
        <v>278</v>
      </c>
      <c r="D4533" s="94">
        <v>6027.0</v>
      </c>
    </row>
    <row r="4534">
      <c r="A4534" s="40">
        <f t="array" ref="A4534">IFNA(index(PlayerValues!A:A,match(IFNA(vlookup(B4534,'Special Names'!A:B,2,FALSE),B4534),PlayerValues!E:E,0)),"N/A")</f>
        <v>15715</v>
      </c>
      <c r="B4534" s="4" t="s">
        <v>331</v>
      </c>
      <c r="C4534" s="4" t="s">
        <v>278</v>
      </c>
      <c r="D4534" s="94">
        <v>5983.0</v>
      </c>
    </row>
    <row r="4535">
      <c r="A4535" s="40">
        <f t="array" ref="A4535">IFNA(index(PlayerValues!A:A,match(IFNA(vlookup(B4535,'Special Names'!A:B,2,FALSE),B4535),PlayerValues!E:E,0)),"N/A")</f>
        <v>17497</v>
      </c>
      <c r="B4535" s="4" t="s">
        <v>365</v>
      </c>
      <c r="C4535" s="4" t="s">
        <v>287</v>
      </c>
      <c r="D4535" s="94">
        <v>5931.0</v>
      </c>
    </row>
    <row r="4536">
      <c r="A4536" s="40">
        <f t="array" ref="A4536">IFNA(index(PlayerValues!A:A,match(IFNA(vlookup(B4536,'Special Names'!A:B,2,FALSE),B4536),PlayerValues!E:E,0)),"N/A")</f>
        <v>15762</v>
      </c>
      <c r="B4536" s="4" t="s">
        <v>337</v>
      </c>
      <c r="C4536" s="4" t="s">
        <v>287</v>
      </c>
      <c r="D4536" s="94">
        <v>5893.0</v>
      </c>
    </row>
    <row r="4537">
      <c r="A4537" s="40">
        <f t="array" ref="A4537">IFNA(index(PlayerValues!A:A,match(IFNA(vlookup(B4537,'Special Names'!A:B,2,FALSE),B4537),PlayerValues!E:E,0)),"N/A")</f>
        <v>15698</v>
      </c>
      <c r="B4537" s="4" t="s">
        <v>358</v>
      </c>
      <c r="C4537" s="4" t="s">
        <v>283</v>
      </c>
      <c r="D4537" s="94">
        <v>5853.0</v>
      </c>
    </row>
    <row r="4538">
      <c r="A4538" s="40">
        <f t="array" ref="A4538">IFNA(index(PlayerValues!A:A,match(IFNA(vlookup(B4538,'Special Names'!A:B,2,FALSE),B4538),PlayerValues!E:E,0)),"N/A")</f>
        <v>17102</v>
      </c>
      <c r="B4538" s="4" t="s">
        <v>344</v>
      </c>
      <c r="C4538" s="4" t="s">
        <v>298</v>
      </c>
      <c r="D4538" s="94">
        <v>6424.0</v>
      </c>
    </row>
    <row r="4539">
      <c r="A4539" s="40">
        <f t="array" ref="A4539">IFNA(index(PlayerValues!A:A,match(IFNA(vlookup(B4539,'Special Names'!A:B,2,FALSE),B4539),PlayerValues!E:E,0)),"N/A")</f>
        <v>15753</v>
      </c>
      <c r="B4539" s="4" t="s">
        <v>359</v>
      </c>
      <c r="C4539" s="4" t="s">
        <v>287</v>
      </c>
      <c r="D4539" s="94">
        <v>5691.0</v>
      </c>
    </row>
    <row r="4540">
      <c r="A4540" s="40" t="str">
        <f t="array" ref="A4540">IFNA(index(PlayerValues!A:A,match(IFNA(vlookup(B4540,'Special Names'!A:B,2,FALSE),B4540),PlayerValues!E:E,0)),"N/A")</f>
        <v>N/A</v>
      </c>
      <c r="B4540" s="4" t="s">
        <v>93</v>
      </c>
      <c r="C4540" s="4" t="s">
        <v>325</v>
      </c>
      <c r="D4540" s="94">
        <v>5667.0</v>
      </c>
    </row>
    <row r="4541">
      <c r="A4541" s="40" t="str">
        <f t="array" ref="A4541">IFNA(index(PlayerValues!A:A,match(IFNA(vlookup(B4541,'Special Names'!A:B,2,FALSE),B4541),PlayerValues!E:E,0)),"N/A")</f>
        <v>N/A</v>
      </c>
      <c r="B4541" s="4" t="s">
        <v>79</v>
      </c>
      <c r="C4541" s="4" t="s">
        <v>325</v>
      </c>
      <c r="D4541" s="94">
        <v>5648.0</v>
      </c>
    </row>
    <row r="4542">
      <c r="A4542" s="40">
        <f t="array" ref="A4542">IFNA(index(PlayerValues!A:A,match(IFNA(vlookup(B4542,'Special Names'!A:B,2,FALSE),B4542),PlayerValues!E:E,0)),"N/A")</f>
        <v>14782</v>
      </c>
      <c r="B4542" s="4" t="s">
        <v>385</v>
      </c>
      <c r="C4542" s="4" t="s">
        <v>283</v>
      </c>
      <c r="D4542" s="94">
        <v>5616.0</v>
      </c>
    </row>
    <row r="4543">
      <c r="A4543" s="40">
        <f t="array" ref="A4543">IFNA(index(PlayerValues!A:A,match(IFNA(vlookup(B4543,'Special Names'!A:B,2,FALSE),B4543),PlayerValues!E:E,0)),"N/A")</f>
        <v>17462</v>
      </c>
      <c r="B4543" s="4" t="s">
        <v>375</v>
      </c>
      <c r="C4543" s="4" t="s">
        <v>283</v>
      </c>
      <c r="D4543" s="94">
        <v>5613.0</v>
      </c>
    </row>
    <row r="4544">
      <c r="A4544" s="40">
        <f t="array" ref="A4544">IFNA(index(PlayerValues!A:A,match(IFNA(vlookup(B4544,'Special Names'!A:B,2,FALSE),B4544),PlayerValues!E:E,0)),"N/A")</f>
        <v>15290</v>
      </c>
      <c r="B4544" s="4" t="s">
        <v>355</v>
      </c>
      <c r="C4544" s="4" t="s">
        <v>287</v>
      </c>
      <c r="D4544" s="94">
        <v>5585.0</v>
      </c>
    </row>
    <row r="4545">
      <c r="A4545" s="40">
        <f t="array" ref="A4545">IFNA(index(PlayerValues!A:A,match(IFNA(vlookup(B4545,'Special Names'!A:B,2,FALSE),B4545),PlayerValues!E:E,0)),"N/A")</f>
        <v>17051</v>
      </c>
      <c r="B4545" s="4" t="s">
        <v>386</v>
      </c>
      <c r="C4545" s="4" t="s">
        <v>278</v>
      </c>
      <c r="D4545" s="94">
        <v>5519.0</v>
      </c>
    </row>
    <row r="4546">
      <c r="A4546" s="40">
        <f t="array" ref="A4546">IFNA(index(PlayerValues!A:A,match(IFNA(vlookup(B4546,'Special Names'!A:B,2,FALSE),B4546),PlayerValues!E:E,0)),"N/A")</f>
        <v>15754</v>
      </c>
      <c r="B4546" s="4" t="s">
        <v>354</v>
      </c>
      <c r="C4546" s="4" t="s">
        <v>287</v>
      </c>
      <c r="D4546" s="94">
        <v>5506.0</v>
      </c>
    </row>
    <row r="4547">
      <c r="A4547" s="40">
        <f t="array" ref="A4547">IFNA(index(PlayerValues!A:A,match(IFNA(vlookup(B4547,'Special Names'!A:B,2,FALSE),B4547),PlayerValues!E:E,0)),"N/A")</f>
        <v>16616</v>
      </c>
      <c r="B4547" s="4" t="s">
        <v>389</v>
      </c>
      <c r="C4547" s="4" t="s">
        <v>287</v>
      </c>
      <c r="D4547" s="94">
        <v>5461.0</v>
      </c>
    </row>
    <row r="4548">
      <c r="A4548" s="40">
        <f t="array" ref="A4548">IFNA(index(PlayerValues!A:A,match(IFNA(vlookup(B4548,'Special Names'!A:B,2,FALSE),B4548),PlayerValues!E:E,0)),"N/A")</f>
        <v>17030</v>
      </c>
      <c r="B4548" s="4" t="s">
        <v>406</v>
      </c>
      <c r="C4548" s="4" t="s">
        <v>283</v>
      </c>
      <c r="D4548" s="94">
        <v>5445.0</v>
      </c>
    </row>
    <row r="4549">
      <c r="A4549" s="40">
        <f t="array" ref="A4549">IFNA(index(PlayerValues!A:A,match(IFNA(vlookup(B4549,'Special Names'!A:B,2,FALSE),B4549),PlayerValues!E:E,0)),"N/A")</f>
        <v>15708</v>
      </c>
      <c r="B4549" s="4" t="s">
        <v>382</v>
      </c>
      <c r="C4549" s="4" t="s">
        <v>278</v>
      </c>
      <c r="D4549" s="94">
        <v>5433.0</v>
      </c>
    </row>
    <row r="4550">
      <c r="A4550" s="40">
        <f t="array" ref="A4550">IFNA(index(PlayerValues!A:A,match(IFNA(vlookup(B4550,'Special Names'!A:B,2,FALSE),B4550),PlayerValues!E:E,0)),"N/A")</f>
        <v>17498</v>
      </c>
      <c r="B4550" s="4" t="s">
        <v>396</v>
      </c>
      <c r="C4550" s="4" t="s">
        <v>287</v>
      </c>
      <c r="D4550" s="94">
        <v>5426.0</v>
      </c>
    </row>
    <row r="4551">
      <c r="A4551" s="40">
        <f t="array" ref="A4551">IFNA(index(PlayerValues!A:A,match(IFNA(vlookup(B4551,'Special Names'!A:B,2,FALSE),B4551),PlayerValues!E:E,0)),"N/A")</f>
        <v>15711</v>
      </c>
      <c r="B4551" s="4" t="s">
        <v>349</v>
      </c>
      <c r="C4551" s="4" t="s">
        <v>278</v>
      </c>
      <c r="D4551" s="94">
        <v>5421.0</v>
      </c>
    </row>
    <row r="4552">
      <c r="A4552" s="40">
        <f t="array" ref="A4552">IFNA(index(PlayerValues!A:A,match(IFNA(vlookup(B4552,'Special Names'!A:B,2,FALSE),B4552),PlayerValues!E:E,0)),"N/A")</f>
        <v>16627</v>
      </c>
      <c r="B4552" s="4" t="s">
        <v>351</v>
      </c>
      <c r="C4552" s="4" t="s">
        <v>287</v>
      </c>
      <c r="D4552" s="94">
        <v>5412.0</v>
      </c>
    </row>
    <row r="4553">
      <c r="A4553" s="40">
        <f t="array" ref="A4553">IFNA(index(PlayerValues!A:A,match(IFNA(vlookup(B4553,'Special Names'!A:B,2,FALSE),B4553),PlayerValues!E:E,0)),"N/A")</f>
        <v>17043</v>
      </c>
      <c r="B4553" s="4" t="s">
        <v>397</v>
      </c>
      <c r="C4553" s="4" t="s">
        <v>278</v>
      </c>
      <c r="D4553" s="94">
        <v>5394.0</v>
      </c>
    </row>
    <row r="4554">
      <c r="A4554" s="40">
        <f t="array" ref="A4554">IFNA(index(PlayerValues!A:A,match(IFNA(vlookup(B4554,'Special Names'!A:B,2,FALSE),B4554),PlayerValues!E:E,0)),"N/A")</f>
        <v>17070</v>
      </c>
      <c r="B4554" s="4" t="s">
        <v>370</v>
      </c>
      <c r="C4554" s="4" t="s">
        <v>287</v>
      </c>
      <c r="D4554" s="94">
        <v>5291.0</v>
      </c>
    </row>
    <row r="4555">
      <c r="A4555" s="40">
        <f t="array" ref="A4555">IFNA(index(PlayerValues!A:A,match(IFNA(vlookup(B4555,'Special Names'!A:B,2,FALSE),B4555),PlayerValues!E:E,0)),"N/A")</f>
        <v>15282</v>
      </c>
      <c r="B4555" s="4" t="s">
        <v>364</v>
      </c>
      <c r="C4555" s="4" t="s">
        <v>287</v>
      </c>
      <c r="D4555" s="94">
        <v>5259.0</v>
      </c>
    </row>
    <row r="4556">
      <c r="A4556" s="40">
        <f t="array" ref="A4556">IFNA(index(PlayerValues!A:A,match(IFNA(vlookup(B4556,'Special Names'!A:B,2,FALSE),B4556),PlayerValues!E:E,0)),"N/A")</f>
        <v>17499</v>
      </c>
      <c r="B4556" s="4" t="s">
        <v>402</v>
      </c>
      <c r="C4556" s="4" t="s">
        <v>287</v>
      </c>
      <c r="D4556" s="94">
        <v>5085.0</v>
      </c>
    </row>
    <row r="4557">
      <c r="A4557" s="40">
        <f t="array" ref="A4557">IFNA(index(PlayerValues!A:A,match(IFNA(vlookup(B4557,'Special Names'!A:B,2,FALSE),B4557),PlayerValues!E:E,0)),"N/A")</f>
        <v>16614</v>
      </c>
      <c r="B4557" s="4" t="s">
        <v>403</v>
      </c>
      <c r="C4557" s="4" t="s">
        <v>287</v>
      </c>
      <c r="D4557" s="94">
        <v>5062.0</v>
      </c>
    </row>
    <row r="4558">
      <c r="A4558" s="40">
        <f t="array" ref="A4558">IFNA(index(PlayerValues!A:A,match(IFNA(vlookup(B4558,'Special Names'!A:B,2,FALSE),B4558),PlayerValues!E:E,0)),"N/A")</f>
        <v>13130</v>
      </c>
      <c r="B4558" s="4" t="s">
        <v>374</v>
      </c>
      <c r="C4558" s="4" t="s">
        <v>278</v>
      </c>
      <c r="D4558" s="94">
        <v>5021.0</v>
      </c>
    </row>
    <row r="4559">
      <c r="A4559" s="40" t="str">
        <f t="array" ref="A4559">IFNA(index(PlayerValues!A:A,match(IFNA(vlookup(B4559,'Special Names'!A:B,2,FALSE),B4559),PlayerValues!E:E,0)),"N/A")</f>
        <v>N/A</v>
      </c>
      <c r="B4559" s="4" t="s">
        <v>104</v>
      </c>
      <c r="C4559" s="4" t="s">
        <v>325</v>
      </c>
      <c r="D4559" s="94">
        <v>5001.0</v>
      </c>
    </row>
    <row r="4560">
      <c r="A4560" s="40">
        <f t="array" ref="A4560">IFNA(index(PlayerValues!A:A,match(IFNA(vlookup(B4560,'Special Names'!A:B,2,FALSE),B4560),PlayerValues!E:E,0)),"N/A")</f>
        <v>16181</v>
      </c>
      <c r="B4560" s="4" t="s">
        <v>350</v>
      </c>
      <c r="C4560" s="4" t="s">
        <v>278</v>
      </c>
      <c r="D4560" s="94">
        <v>4982.0</v>
      </c>
    </row>
    <row r="4561">
      <c r="A4561" s="40" t="str">
        <f t="array" ref="A4561">IFNA(index(PlayerValues!A:A,match(IFNA(vlookup(B4561,'Special Names'!A:B,2,FALSE),B4561),PlayerValues!E:E,0)),"N/A")</f>
        <v>N/A</v>
      </c>
      <c r="B4561" s="4" t="s">
        <v>94</v>
      </c>
      <c r="C4561" s="4" t="s">
        <v>325</v>
      </c>
      <c r="D4561" s="94">
        <v>4974.0</v>
      </c>
    </row>
    <row r="4562">
      <c r="A4562" s="40">
        <f t="array" ref="A4562">IFNA(index(PlayerValues!A:A,match(IFNA(vlookup(B4562,'Special Names'!A:B,2,FALSE),B4562),PlayerValues!E:E,0)),"N/A")</f>
        <v>12620</v>
      </c>
      <c r="B4562" s="4" t="s">
        <v>394</v>
      </c>
      <c r="C4562" s="4" t="s">
        <v>283</v>
      </c>
      <c r="D4562" s="94">
        <v>4972.0</v>
      </c>
    </row>
    <row r="4563">
      <c r="A4563" s="40">
        <f t="array" ref="A4563">IFNA(index(PlayerValues!A:A,match(IFNA(vlookup(B4563,'Special Names'!A:B,2,FALSE),B4563),PlayerValues!E:E,0)),"N/A")</f>
        <v>17039</v>
      </c>
      <c r="B4563" s="4" t="s">
        <v>400</v>
      </c>
      <c r="C4563" s="4" t="s">
        <v>283</v>
      </c>
      <c r="D4563" s="94">
        <v>4930.0</v>
      </c>
    </row>
    <row r="4564">
      <c r="A4564" s="40">
        <f t="array" ref="A4564">IFNA(index(PlayerValues!A:A,match(IFNA(vlookup(B4564,'Special Names'!A:B,2,FALSE),B4564),PlayerValues!E:E,0)),"N/A")</f>
        <v>14835</v>
      </c>
      <c r="B4564" s="4" t="s">
        <v>392</v>
      </c>
      <c r="C4564" s="4" t="s">
        <v>287</v>
      </c>
      <c r="D4564" s="94">
        <v>4927.0</v>
      </c>
    </row>
    <row r="4565">
      <c r="A4565" s="40">
        <f t="array" ref="A4565">IFNA(index(PlayerValues!A:A,match(IFNA(vlookup(B4565,'Special Names'!A:B,2,FALSE),B4565),PlayerValues!E:E,0)),"N/A")</f>
        <v>13604</v>
      </c>
      <c r="B4565" s="4" t="s">
        <v>378</v>
      </c>
      <c r="C4565" s="4" t="s">
        <v>278</v>
      </c>
      <c r="D4565" s="94">
        <v>4913.0</v>
      </c>
    </row>
    <row r="4566">
      <c r="A4566" s="40">
        <f t="array" ref="A4566">IFNA(index(PlayerValues!A:A,match(IFNA(vlookup(B4566,'Special Names'!A:B,2,FALSE),B4566),PlayerValues!E:E,0)),"N/A")</f>
        <v>16222</v>
      </c>
      <c r="B4566" s="4" t="s">
        <v>393</v>
      </c>
      <c r="C4566" s="4" t="s">
        <v>298</v>
      </c>
      <c r="D4566" s="94">
        <v>5469.0</v>
      </c>
    </row>
    <row r="4567">
      <c r="A4567" s="40">
        <f t="array" ref="A4567">IFNA(index(PlayerValues!A:A,match(IFNA(vlookup(B4567,'Special Names'!A:B,2,FALSE),B4567),PlayerValues!E:E,0)),"N/A")</f>
        <v>16150</v>
      </c>
      <c r="B4567" s="4" t="s">
        <v>414</v>
      </c>
      <c r="C4567" s="4" t="s">
        <v>283</v>
      </c>
      <c r="D4567" s="94">
        <v>4893.0</v>
      </c>
    </row>
    <row r="4568">
      <c r="A4568" s="40">
        <f t="array" ref="A4568">IFNA(index(PlayerValues!A:A,match(IFNA(vlookup(B4568,'Special Names'!A:B,2,FALSE),B4568),PlayerValues!E:E,0)),"N/A")</f>
        <v>17103</v>
      </c>
      <c r="B4568" s="4" t="s">
        <v>405</v>
      </c>
      <c r="C4568" s="4" t="s">
        <v>298</v>
      </c>
      <c r="D4568" s="94">
        <v>5458.0</v>
      </c>
    </row>
    <row r="4569">
      <c r="A4569" s="40">
        <f t="array" ref="A4569">IFNA(index(PlayerValues!A:A,match(IFNA(vlookup(B4569,'Special Names'!A:B,2,FALSE),B4569),PlayerValues!E:E,0)),"N/A")</f>
        <v>15710</v>
      </c>
      <c r="B4569" s="4" t="s">
        <v>395</v>
      </c>
      <c r="C4569" s="4" t="s">
        <v>278</v>
      </c>
      <c r="D4569" s="94">
        <v>4848.0</v>
      </c>
    </row>
    <row r="4570">
      <c r="A4570" s="40">
        <f t="array" ref="A4570">IFNA(index(PlayerValues!A:A,match(IFNA(vlookup(B4570,'Special Names'!A:B,2,FALSE),B4570),PlayerValues!E:E,0)),"N/A")</f>
        <v>16618</v>
      </c>
      <c r="B4570" s="4" t="s">
        <v>411</v>
      </c>
      <c r="C4570" s="4" t="s">
        <v>287</v>
      </c>
      <c r="D4570" s="94">
        <v>4840.0</v>
      </c>
    </row>
    <row r="4571">
      <c r="A4571" s="40">
        <f t="array" ref="A4571">IFNA(index(PlayerValues!A:A,match(IFNA(vlookup(B4571,'Special Names'!A:B,2,FALSE),B4571),PlayerValues!E:E,0)),"N/A")</f>
        <v>14104</v>
      </c>
      <c r="B4571" s="4" t="s">
        <v>379</v>
      </c>
      <c r="C4571" s="4" t="s">
        <v>287</v>
      </c>
      <c r="D4571" s="94">
        <v>4837.0</v>
      </c>
    </row>
    <row r="4572">
      <c r="A4572" s="40">
        <f t="array" ref="A4572">IFNA(index(PlayerValues!A:A,match(IFNA(vlookup(B4572,'Special Names'!A:B,2,FALSE),B4572),PlayerValues!E:E,0)),"N/A")</f>
        <v>17473</v>
      </c>
      <c r="B4572" s="4" t="s">
        <v>391</v>
      </c>
      <c r="C4572" s="4" t="s">
        <v>278</v>
      </c>
      <c r="D4572" s="94">
        <v>4835.0</v>
      </c>
    </row>
    <row r="4573">
      <c r="A4573" s="40">
        <f t="array" ref="A4573">IFNA(index(PlayerValues!A:A,match(IFNA(vlookup(B4573,'Special Names'!A:B,2,FALSE),B4573),PlayerValues!E:E,0)),"N/A")</f>
        <v>13590</v>
      </c>
      <c r="B4573" s="4" t="s">
        <v>409</v>
      </c>
      <c r="C4573" s="4" t="s">
        <v>283</v>
      </c>
      <c r="D4573" s="94">
        <v>4826.0</v>
      </c>
    </row>
    <row r="4574">
      <c r="A4574" s="40">
        <f t="array" ref="A4574">IFNA(index(PlayerValues!A:A,match(IFNA(vlookup(B4574,'Special Names'!A:B,2,FALSE),B4574),PlayerValues!E:E,0)),"N/A")</f>
        <v>15284</v>
      </c>
      <c r="B4574" s="4" t="s">
        <v>390</v>
      </c>
      <c r="C4574" s="4" t="s">
        <v>287</v>
      </c>
      <c r="D4574" s="94">
        <v>4824.0</v>
      </c>
    </row>
    <row r="4575">
      <c r="A4575" s="40">
        <f t="array" ref="A4575">IFNA(index(PlayerValues!A:A,match(IFNA(vlookup(B4575,'Special Names'!A:B,2,FALSE),B4575),PlayerValues!E:E,0)),"N/A")</f>
        <v>16598</v>
      </c>
      <c r="B4575" s="4" t="s">
        <v>408</v>
      </c>
      <c r="C4575" s="4" t="s">
        <v>278</v>
      </c>
      <c r="D4575" s="94">
        <v>4823.0</v>
      </c>
    </row>
    <row r="4576">
      <c r="A4576" s="40">
        <f t="array" ref="A4576">IFNA(index(PlayerValues!A:A,match(IFNA(vlookup(B4576,'Special Names'!A:B,2,FALSE),B4576),PlayerValues!E:E,0)),"N/A")</f>
        <v>16190</v>
      </c>
      <c r="B4576" s="4" t="s">
        <v>371</v>
      </c>
      <c r="C4576" s="4" t="s">
        <v>287</v>
      </c>
      <c r="D4576" s="94">
        <v>4782.0</v>
      </c>
    </row>
    <row r="4577">
      <c r="A4577" s="40">
        <f t="array" ref="A4577">IFNA(index(PlayerValues!A:A,match(IFNA(vlookup(B4577,'Special Names'!A:B,2,FALSE),B4577),PlayerValues!E:E,0)),"N/A")</f>
        <v>17045</v>
      </c>
      <c r="B4577" s="4" t="s">
        <v>407</v>
      </c>
      <c r="C4577" s="4" t="s">
        <v>278</v>
      </c>
      <c r="D4577" s="94">
        <v>4714.0</v>
      </c>
    </row>
    <row r="4578">
      <c r="A4578" s="40">
        <f t="array" ref="A4578">IFNA(index(PlayerValues!A:A,match(IFNA(vlookup(B4578,'Special Names'!A:B,2,FALSE),B4578),PlayerValues!E:E,0)),"N/A")</f>
        <v>12611</v>
      </c>
      <c r="B4578" s="4" t="s">
        <v>410</v>
      </c>
      <c r="C4578" s="4" t="s">
        <v>283</v>
      </c>
      <c r="D4578" s="94">
        <v>4670.0</v>
      </c>
    </row>
    <row r="4579">
      <c r="A4579" s="40">
        <f t="array" ref="A4579">IFNA(index(PlayerValues!A:A,match(IFNA(vlookup(B4579,'Special Names'!A:B,2,FALSE),B4579),PlayerValues!E:E,0)),"N/A")</f>
        <v>15756</v>
      </c>
      <c r="B4579" s="4" t="s">
        <v>399</v>
      </c>
      <c r="C4579" s="4" t="s">
        <v>287</v>
      </c>
      <c r="D4579" s="94">
        <v>4670.0</v>
      </c>
    </row>
    <row r="4580">
      <c r="A4580" s="40">
        <f t="array" ref="A4580">IFNA(index(PlayerValues!A:A,match(IFNA(vlookup(B4580,'Special Names'!A:B,2,FALSE),B4580),PlayerValues!E:E,0)),"N/A")</f>
        <v>13592</v>
      </c>
      <c r="B4580" s="4" t="s">
        <v>418</v>
      </c>
      <c r="C4580" s="4" t="s">
        <v>283</v>
      </c>
      <c r="D4580" s="94">
        <v>4639.0</v>
      </c>
    </row>
    <row r="4581">
      <c r="A4581" s="40" t="str">
        <f t="array" ref="A4581">IFNA(index(PlayerValues!A:A,match(IFNA(vlookup(B4581,'Special Names'!A:B,2,FALSE),B4581),PlayerValues!E:E,0)),"N/A")</f>
        <v>N/A</v>
      </c>
      <c r="B4581" s="4" t="s">
        <v>80</v>
      </c>
      <c r="C4581" s="4" t="s">
        <v>325</v>
      </c>
      <c r="D4581" s="94">
        <v>4564.0</v>
      </c>
    </row>
    <row r="4582">
      <c r="A4582" s="40">
        <f t="array" ref="A4582">IFNA(index(PlayerValues!A:A,match(IFNA(vlookup(B4582,'Special Names'!A:B,2,FALSE),B4582),PlayerValues!E:E,0)),"N/A")</f>
        <v>16214</v>
      </c>
      <c r="B4582" s="4" t="s">
        <v>413</v>
      </c>
      <c r="C4582" s="4" t="s">
        <v>298</v>
      </c>
      <c r="D4582" s="94">
        <v>5096.0</v>
      </c>
    </row>
    <row r="4583">
      <c r="A4583" s="40">
        <f t="array" ref="A4583">IFNA(index(PlayerValues!A:A,match(IFNA(vlookup(B4583,'Special Names'!A:B,2,FALSE),B4583),PlayerValues!E:E,0)),"N/A")</f>
        <v>15256</v>
      </c>
      <c r="B4583" s="4" t="s">
        <v>401</v>
      </c>
      <c r="C4583" s="4" t="s">
        <v>278</v>
      </c>
      <c r="D4583" s="94">
        <v>4543.0</v>
      </c>
    </row>
    <row r="4584">
      <c r="A4584" s="40" t="str">
        <f t="array" ref="A4584">IFNA(index(PlayerValues!A:A,match(IFNA(vlookup(B4584,'Special Names'!A:B,2,FALSE),B4584),PlayerValues!E:E,0)),"N/A")</f>
        <v>N/A</v>
      </c>
      <c r="B4584" s="4" t="s">
        <v>105</v>
      </c>
      <c r="C4584" s="4" t="s">
        <v>325</v>
      </c>
      <c r="D4584" s="94">
        <v>4512.0</v>
      </c>
    </row>
    <row r="4585">
      <c r="A4585" s="40">
        <f t="array" ref="A4585">IFNA(index(PlayerValues!A:A,match(IFNA(vlookup(B4585,'Special Names'!A:B,2,FALSE),B4585),PlayerValues!E:E,0)),"N/A")</f>
        <v>17501</v>
      </c>
      <c r="B4585" s="4" t="s">
        <v>404</v>
      </c>
      <c r="C4585" s="4" t="s">
        <v>287</v>
      </c>
      <c r="D4585" s="94">
        <v>4505.0</v>
      </c>
    </row>
    <row r="4586">
      <c r="A4586" s="40">
        <f t="array" ref="A4586">IFNA(index(PlayerValues!A:A,match(IFNA(vlookup(B4586,'Special Names'!A:B,2,FALSE),B4586),PlayerValues!E:E,0)),"N/A")</f>
        <v>15253</v>
      </c>
      <c r="B4586" s="4" t="s">
        <v>415</v>
      </c>
      <c r="C4586" s="4" t="s">
        <v>278</v>
      </c>
      <c r="D4586" s="94">
        <v>4503.0</v>
      </c>
    </row>
    <row r="4587">
      <c r="A4587" s="40">
        <f t="array" ref="A4587">IFNA(index(PlayerValues!A:A,match(IFNA(vlookup(B4587,'Special Names'!A:B,2,FALSE),B4587),PlayerValues!E:E,0)),"N/A")</f>
        <v>16194</v>
      </c>
      <c r="B4587" s="4" t="s">
        <v>398</v>
      </c>
      <c r="C4587" s="4" t="s">
        <v>287</v>
      </c>
      <c r="D4587" s="94">
        <v>4482.0</v>
      </c>
    </row>
    <row r="4588">
      <c r="A4588" s="40">
        <f t="array" ref="A4588">IFNA(index(PlayerValues!A:A,match(IFNA(vlookup(B4588,'Special Names'!A:B,2,FALSE),B4588),PlayerValues!E:E,0)),"N/A")</f>
        <v>16148</v>
      </c>
      <c r="B4588" s="4" t="s">
        <v>426</v>
      </c>
      <c r="C4588" s="4" t="s">
        <v>283</v>
      </c>
      <c r="D4588" s="94">
        <v>4464.0</v>
      </c>
    </row>
    <row r="4589">
      <c r="A4589" s="40">
        <f t="array" ref="A4589">IFNA(index(PlayerValues!A:A,match(IFNA(vlookup(B4589,'Special Names'!A:B,2,FALSE),B4589),PlayerValues!E:E,0)),"N/A")</f>
        <v>15329</v>
      </c>
      <c r="B4589" s="4" t="s">
        <v>416</v>
      </c>
      <c r="C4589" s="4" t="s">
        <v>298</v>
      </c>
      <c r="D4589" s="94">
        <v>4984.0</v>
      </c>
    </row>
    <row r="4590">
      <c r="A4590" s="40">
        <f t="array" ref="A4590">IFNA(index(PlayerValues!A:A,match(IFNA(vlookup(B4590,'Special Names'!A:B,2,FALSE),B4590),PlayerValues!E:E,0)),"N/A")</f>
        <v>17543</v>
      </c>
      <c r="B4590" s="4" t="s">
        <v>436</v>
      </c>
      <c r="C4590" s="4" t="s">
        <v>298</v>
      </c>
      <c r="D4590" s="94">
        <v>4666.0</v>
      </c>
    </row>
    <row r="4591">
      <c r="A4591" s="40">
        <f t="array" ref="A4591">IFNA(index(PlayerValues!A:A,match(IFNA(vlookup(B4591,'Special Names'!A:B,2,FALSE),B4591),PlayerValues!E:E,0)),"N/A")</f>
        <v>14056</v>
      </c>
      <c r="B4591" s="4" t="s">
        <v>423</v>
      </c>
      <c r="C4591" s="4" t="s">
        <v>283</v>
      </c>
      <c r="D4591" s="94">
        <v>4094.0</v>
      </c>
    </row>
    <row r="4592">
      <c r="A4592" s="40" t="str">
        <f t="array" ref="A4592">IFNA(index(PlayerValues!A:A,match(IFNA(vlookup(B4592,'Special Names'!A:B,2,FALSE),B4592),PlayerValues!E:E,0)),"N/A")</f>
        <v>N/A</v>
      </c>
      <c r="B4592" s="4" t="s">
        <v>107</v>
      </c>
      <c r="C4592" s="4" t="s">
        <v>325</v>
      </c>
      <c r="D4592" s="94">
        <v>4091.0</v>
      </c>
    </row>
    <row r="4593">
      <c r="A4593" s="40">
        <f t="array" ref="A4593">IFNA(index(PlayerValues!A:A,match(IFNA(vlookup(B4593,'Special Names'!A:B,2,FALSE),B4593),PlayerValues!E:E,0)),"N/A")</f>
        <v>15768</v>
      </c>
      <c r="B4593" s="4" t="s">
        <v>432</v>
      </c>
      <c r="C4593" s="4" t="s">
        <v>287</v>
      </c>
      <c r="D4593" s="94">
        <v>4079.0</v>
      </c>
    </row>
    <row r="4594">
      <c r="A4594" s="40">
        <f t="array" ref="A4594">IFNA(index(PlayerValues!A:A,match(IFNA(vlookup(B4594,'Special Names'!A:B,2,FALSE),B4594),PlayerValues!E:E,0)),"N/A")</f>
        <v>16186</v>
      </c>
      <c r="B4594" s="4" t="s">
        <v>425</v>
      </c>
      <c r="C4594" s="4" t="s">
        <v>287</v>
      </c>
      <c r="D4594" s="94">
        <v>4016.0</v>
      </c>
    </row>
    <row r="4595">
      <c r="A4595" s="40">
        <f t="array" ref="A4595">IFNA(index(PlayerValues!A:A,match(IFNA(vlookup(B4595,'Special Names'!A:B,2,FALSE),B4595),PlayerValues!E:E,0)),"N/A")</f>
        <v>12626</v>
      </c>
      <c r="B4595" s="4" t="s">
        <v>419</v>
      </c>
      <c r="C4595" s="4" t="s">
        <v>278</v>
      </c>
      <c r="D4595" s="94">
        <v>3965.0</v>
      </c>
    </row>
    <row r="4596">
      <c r="A4596" s="40">
        <f t="array" ref="A4596">IFNA(index(PlayerValues!A:A,match(IFNA(vlookup(B4596,'Special Names'!A:B,2,FALSE),B4596),PlayerValues!E:E,0)),"N/A")</f>
        <v>15694</v>
      </c>
      <c r="B4596" s="4" t="s">
        <v>434</v>
      </c>
      <c r="C4596" s="4" t="s">
        <v>283</v>
      </c>
      <c r="D4596" s="94">
        <v>3959.0</v>
      </c>
    </row>
    <row r="4597">
      <c r="A4597" s="40" t="str">
        <f t="array" ref="A4597">IFNA(index(PlayerValues!A:A,match(IFNA(vlookup(B4597,'Special Names'!A:B,2,FALSE),B4597),PlayerValues!E:E,0)),"N/A")</f>
        <v>N/A</v>
      </c>
      <c r="B4597" s="4" t="s">
        <v>81</v>
      </c>
      <c r="C4597" s="4" t="s">
        <v>325</v>
      </c>
      <c r="D4597" s="94">
        <v>3954.0</v>
      </c>
    </row>
    <row r="4598">
      <c r="A4598" s="40">
        <f t="array" ref="A4598">IFNA(index(PlayerValues!A:A,match(IFNA(vlookup(B4598,'Special Names'!A:B,2,FALSE),B4598),PlayerValues!E:E,0)),"N/A")</f>
        <v>14059</v>
      </c>
      <c r="B4598" s="4" t="s">
        <v>435</v>
      </c>
      <c r="C4598" s="4" t="s">
        <v>283</v>
      </c>
      <c r="D4598" s="94">
        <v>3951.0</v>
      </c>
    </row>
    <row r="4599">
      <c r="A4599" s="40">
        <f t="array" ref="A4599">IFNA(index(PlayerValues!A:A,match(IFNA(vlookup(B4599,'Special Names'!A:B,2,FALSE),B4599),PlayerValues!E:E,0)),"N/A")</f>
        <v>17052</v>
      </c>
      <c r="B4599" s="4" t="s">
        <v>417</v>
      </c>
      <c r="C4599" s="4" t="s">
        <v>278</v>
      </c>
      <c r="D4599" s="94">
        <v>3916.0</v>
      </c>
    </row>
    <row r="4600">
      <c r="A4600" s="40" t="str">
        <f t="array" ref="A4600">IFNA(index(PlayerValues!A:A,match(IFNA(vlookup(B4600,'Special Names'!A:B,2,FALSE),B4600),PlayerValues!E:E,0)),"N/A")</f>
        <v>N/A</v>
      </c>
      <c r="B4600" s="4" t="s">
        <v>95</v>
      </c>
      <c r="C4600" s="4" t="s">
        <v>325</v>
      </c>
      <c r="D4600" s="94">
        <v>3909.0</v>
      </c>
    </row>
    <row r="4601">
      <c r="A4601" s="40">
        <f t="array" ref="A4601">IFNA(index(PlayerValues!A:A,match(IFNA(vlookup(B4601,'Special Names'!A:B,2,FALSE),B4601),PlayerValues!E:E,0)),"N/A")</f>
        <v>17502</v>
      </c>
      <c r="B4601" s="4" t="s">
        <v>451</v>
      </c>
      <c r="C4601" s="4" t="s">
        <v>287</v>
      </c>
      <c r="D4601" s="94">
        <v>3827.0</v>
      </c>
    </row>
    <row r="4602">
      <c r="A4602" s="40">
        <f t="array" ref="A4602">IFNA(index(PlayerValues!A:A,match(IFNA(vlookup(B4602,'Special Names'!A:B,2,FALSE),B4602),PlayerValues!E:E,0)),"N/A")</f>
        <v>15789</v>
      </c>
      <c r="B4602" s="4" t="s">
        <v>421</v>
      </c>
      <c r="C4602" s="4" t="s">
        <v>287</v>
      </c>
      <c r="D4602" s="94">
        <v>3742.0</v>
      </c>
    </row>
    <row r="4603">
      <c r="A4603" s="40">
        <f t="array" ref="A4603">IFNA(index(PlayerValues!A:A,match(IFNA(vlookup(B4603,'Special Names'!A:B,2,FALSE),B4603),PlayerValues!E:E,0)),"N/A")</f>
        <v>9431</v>
      </c>
      <c r="B4603" s="4" t="s">
        <v>428</v>
      </c>
      <c r="C4603" s="4" t="s">
        <v>283</v>
      </c>
      <c r="D4603" s="94">
        <v>3737.0</v>
      </c>
    </row>
    <row r="4604">
      <c r="A4604" s="40">
        <f t="array" ref="A4604">IFNA(index(PlayerValues!A:A,match(IFNA(vlookup(B4604,'Special Names'!A:B,2,FALSE),B4604),PlayerValues!E:E,0)),"N/A")</f>
        <v>13635</v>
      </c>
      <c r="B4604" s="4" t="s">
        <v>424</v>
      </c>
      <c r="C4604" s="4" t="s">
        <v>287</v>
      </c>
      <c r="D4604" s="94">
        <v>3716.0</v>
      </c>
    </row>
    <row r="4605">
      <c r="A4605" s="40">
        <f t="array" ref="A4605">IFNA(index(PlayerValues!A:A,match(IFNA(vlookup(B4605,'Special Names'!A:B,2,FALSE),B4605),PlayerValues!E:E,0)),"N/A")</f>
        <v>17075</v>
      </c>
      <c r="B4605" s="4" t="s">
        <v>429</v>
      </c>
      <c r="C4605" s="4" t="s">
        <v>287</v>
      </c>
      <c r="D4605" s="94">
        <v>3710.0</v>
      </c>
    </row>
    <row r="4606">
      <c r="A4606" s="40">
        <f t="array" ref="A4606">IFNA(index(PlayerValues!A:A,match(IFNA(vlookup(B4606,'Special Names'!A:B,2,FALSE),B4606),PlayerValues!E:E,0)),"N/A")</f>
        <v>17544</v>
      </c>
      <c r="B4606" s="4" t="s">
        <v>470</v>
      </c>
      <c r="C4606" s="4" t="s">
        <v>298</v>
      </c>
      <c r="D4606" s="94">
        <v>4183.0</v>
      </c>
    </row>
    <row r="4607">
      <c r="A4607" s="40">
        <f t="array" ref="A4607">IFNA(index(PlayerValues!A:A,match(IFNA(vlookup(B4607,'Special Names'!A:B,2,FALSE),B4607),PlayerValues!E:E,0)),"N/A")</f>
        <v>17066</v>
      </c>
      <c r="B4607" s="4" t="s">
        <v>446</v>
      </c>
      <c r="C4607" s="4" t="s">
        <v>278</v>
      </c>
      <c r="D4607" s="94">
        <v>3669.0</v>
      </c>
    </row>
    <row r="4608">
      <c r="A4608" s="40">
        <f t="array" ref="A4608">IFNA(index(PlayerValues!A:A,match(IFNA(vlookup(B4608,'Special Names'!A:B,2,FALSE),B4608),PlayerValues!E:E,0)),"N/A")</f>
        <v>17463</v>
      </c>
      <c r="B4608" s="4" t="s">
        <v>433</v>
      </c>
      <c r="C4608" s="4" t="s">
        <v>283</v>
      </c>
      <c r="D4608" s="94">
        <v>3669.0</v>
      </c>
    </row>
    <row r="4609">
      <c r="A4609" s="40">
        <f t="array" ref="A4609">IFNA(index(PlayerValues!A:A,match(IFNA(vlookup(B4609,'Special Names'!A:B,2,FALSE),B4609),PlayerValues!E:E,0)),"N/A")</f>
        <v>16206</v>
      </c>
      <c r="B4609" s="4" t="s">
        <v>431</v>
      </c>
      <c r="C4609" s="4" t="s">
        <v>287</v>
      </c>
      <c r="D4609" s="94">
        <v>3646.0</v>
      </c>
    </row>
    <row r="4610">
      <c r="A4610" s="40">
        <f t="array" ref="A4610">IFNA(index(PlayerValues!A:A,match(IFNA(vlookup(B4610,'Special Names'!A:B,2,FALSE),B4610),PlayerValues!E:E,0)),"N/A")</f>
        <v>17099</v>
      </c>
      <c r="B4610" s="4" t="s">
        <v>474</v>
      </c>
      <c r="C4610" s="4" t="s">
        <v>298</v>
      </c>
      <c r="D4610" s="94">
        <v>4100.0</v>
      </c>
    </row>
    <row r="4611">
      <c r="A4611" s="40">
        <f t="array" ref="A4611">IFNA(index(PlayerValues!A:A,match(IFNA(vlookup(B4611,'Special Names'!A:B,2,FALSE),B4611),PlayerValues!E:E,0)),"N/A")</f>
        <v>16187</v>
      </c>
      <c r="B4611" s="4" t="s">
        <v>441</v>
      </c>
      <c r="C4611" s="4" t="s">
        <v>287</v>
      </c>
      <c r="D4611" s="94">
        <v>3598.0</v>
      </c>
    </row>
    <row r="4612">
      <c r="A4612" s="40">
        <f t="array" ref="A4612">IFNA(index(PlayerValues!A:A,match(IFNA(vlookup(B4612,'Special Names'!A:B,2,FALSE),B4612),PlayerValues!E:E,0)),"N/A")</f>
        <v>15757</v>
      </c>
      <c r="B4612" s="4" t="s">
        <v>449</v>
      </c>
      <c r="C4612" s="4" t="s">
        <v>287</v>
      </c>
      <c r="D4612" s="94">
        <v>3594.0</v>
      </c>
    </row>
    <row r="4613">
      <c r="A4613" s="40">
        <f t="array" ref="A4613">IFNA(index(PlayerValues!A:A,match(IFNA(vlookup(B4613,'Special Names'!A:B,2,FALSE),B4613),PlayerValues!E:E,0)),"N/A")</f>
        <v>14073</v>
      </c>
      <c r="B4613" s="4" t="s">
        <v>464</v>
      </c>
      <c r="C4613" s="4" t="s">
        <v>278</v>
      </c>
      <c r="D4613" s="94">
        <v>3553.0</v>
      </c>
    </row>
    <row r="4614">
      <c r="A4614" s="40">
        <f t="array" ref="A4614">IFNA(index(PlayerValues!A:A,match(IFNA(vlookup(B4614,'Special Names'!A:B,2,FALSE),B4614),PlayerValues!E:E,0)),"N/A")</f>
        <v>14797</v>
      </c>
      <c r="B4614" s="4" t="s">
        <v>420</v>
      </c>
      <c r="C4614" s="4" t="s">
        <v>278</v>
      </c>
      <c r="D4614" s="94">
        <v>3553.0</v>
      </c>
    </row>
    <row r="4615">
      <c r="A4615" s="40">
        <f t="array" ref="A4615">IFNA(index(PlayerValues!A:A,match(IFNA(vlookup(B4615,'Special Names'!A:B,2,FALSE),B4615),PlayerValues!E:E,0)),"N/A")</f>
        <v>16192</v>
      </c>
      <c r="B4615" s="4" t="s">
        <v>412</v>
      </c>
      <c r="C4615" s="4" t="s">
        <v>287</v>
      </c>
      <c r="D4615" s="94">
        <v>3550.0</v>
      </c>
    </row>
    <row r="4616">
      <c r="A4616" s="40">
        <f t="array" ref="A4616">IFNA(index(PlayerValues!A:A,match(IFNA(vlookup(B4616,'Special Names'!A:B,2,FALSE),B4616),PlayerValues!E:E,0)),"N/A")</f>
        <v>14102</v>
      </c>
      <c r="B4616" s="4" t="s">
        <v>444</v>
      </c>
      <c r="C4616" s="4" t="s">
        <v>287</v>
      </c>
      <c r="D4616" s="94">
        <v>3523.0</v>
      </c>
    </row>
    <row r="4617">
      <c r="A4617" s="40" t="str">
        <f t="array" ref="A4617">IFNA(index(PlayerValues!A:A,match(IFNA(vlookup(B4617,'Special Names'!A:B,2,FALSE),B4617),PlayerValues!E:E,0)),"N/A")</f>
        <v>N/A</v>
      </c>
      <c r="B4617" s="4" t="s">
        <v>96</v>
      </c>
      <c r="C4617" s="4" t="s">
        <v>325</v>
      </c>
      <c r="D4617" s="94">
        <v>3491.0</v>
      </c>
    </row>
    <row r="4618">
      <c r="A4618" s="40">
        <f t="array" ref="A4618">IFNA(index(PlayerValues!A:A,match(IFNA(vlookup(B4618,'Special Names'!A:B,2,FALSE),B4618),PlayerValues!E:E,0)),"N/A")</f>
        <v>14109</v>
      </c>
      <c r="B4618" s="4" t="s">
        <v>437</v>
      </c>
      <c r="C4618" s="4" t="s">
        <v>287</v>
      </c>
      <c r="D4618" s="94">
        <v>3461.0</v>
      </c>
    </row>
    <row r="4619">
      <c r="A4619" s="40">
        <f t="array" ref="A4619">IFNA(index(PlayerValues!A:A,match(IFNA(vlookup(B4619,'Special Names'!A:B,2,FALSE),B4619),PlayerValues!E:E,0)),"N/A")</f>
        <v>16184</v>
      </c>
      <c r="B4619" s="4" t="s">
        <v>445</v>
      </c>
      <c r="C4619" s="4" t="s">
        <v>287</v>
      </c>
      <c r="D4619" s="94">
        <v>3459.0</v>
      </c>
    </row>
    <row r="4620">
      <c r="A4620" s="40">
        <f t="array" ref="A4620">IFNA(index(PlayerValues!A:A,match(IFNA(vlookup(B4620,'Special Names'!A:B,2,FALSE),B4620),PlayerValues!E:E,0)),"N/A")</f>
        <v>16622</v>
      </c>
      <c r="B4620" s="4" t="s">
        <v>517</v>
      </c>
      <c r="C4620" s="4" t="s">
        <v>287</v>
      </c>
      <c r="D4620" s="94">
        <v>3454.0</v>
      </c>
    </row>
    <row r="4621">
      <c r="A4621" s="40">
        <f t="array" ref="A4621">IFNA(index(PlayerValues!A:A,match(IFNA(vlookup(B4621,'Special Names'!A:B,2,FALSE),B4621),PlayerValues!E:E,0)),"N/A")</f>
        <v>17068</v>
      </c>
      <c r="B4621" s="4" t="s">
        <v>450</v>
      </c>
      <c r="C4621" s="4" t="s">
        <v>278</v>
      </c>
      <c r="D4621" s="94">
        <v>3436.0</v>
      </c>
    </row>
    <row r="4622">
      <c r="A4622" s="40">
        <f t="array" ref="A4622">IFNA(index(PlayerValues!A:A,match(IFNA(vlookup(B4622,'Special Names'!A:B,2,FALSE),B4622),PlayerValues!E:E,0)),"N/A")</f>
        <v>17500</v>
      </c>
      <c r="B4622" s="4" t="s">
        <v>430</v>
      </c>
      <c r="C4622" s="4" t="s">
        <v>287</v>
      </c>
      <c r="D4622" s="94">
        <v>3435.0</v>
      </c>
    </row>
    <row r="4623">
      <c r="A4623" s="40">
        <f t="array" ref="A4623">IFNA(index(PlayerValues!A:A,match(IFNA(vlookup(B4623,'Special Names'!A:B,2,FALSE),B4623),PlayerValues!E:E,0)),"N/A")</f>
        <v>15798</v>
      </c>
      <c r="B4623" s="4" t="s">
        <v>443</v>
      </c>
      <c r="C4623" s="4" t="s">
        <v>298</v>
      </c>
      <c r="D4623" s="94">
        <v>3826.0</v>
      </c>
    </row>
    <row r="4624">
      <c r="A4624" s="40">
        <f t="array" ref="A4624">IFNA(index(PlayerValues!A:A,match(IFNA(vlookup(B4624,'Special Names'!A:B,2,FALSE),B4624),PlayerValues!E:E,0)),"N/A")</f>
        <v>16169</v>
      </c>
      <c r="B4624" s="4" t="s">
        <v>457</v>
      </c>
      <c r="C4624" s="4" t="s">
        <v>278</v>
      </c>
      <c r="D4624" s="94">
        <v>3375.0</v>
      </c>
    </row>
    <row r="4625">
      <c r="A4625" s="40">
        <f t="array" ref="A4625">IFNA(index(PlayerValues!A:A,match(IFNA(vlookup(B4625,'Special Names'!A:B,2,FALSE),B4625),PlayerValues!E:E,0)),"N/A")</f>
        <v>17083</v>
      </c>
      <c r="B4625" s="4" t="s">
        <v>479</v>
      </c>
      <c r="C4625" s="4" t="s">
        <v>287</v>
      </c>
      <c r="D4625" s="94">
        <v>3373.0</v>
      </c>
    </row>
    <row r="4626">
      <c r="A4626" s="40">
        <f t="array" ref="A4626">IFNA(index(PlayerValues!A:A,match(IFNA(vlookup(B4626,'Special Names'!A:B,2,FALSE),B4626),PlayerValues!E:E,0)),"N/A")</f>
        <v>14071</v>
      </c>
      <c r="B4626" s="4" t="s">
        <v>440</v>
      </c>
      <c r="C4626" s="4" t="s">
        <v>278</v>
      </c>
      <c r="D4626" s="94">
        <v>3370.0</v>
      </c>
    </row>
    <row r="4627">
      <c r="A4627" s="40">
        <f t="array" ref="A4627">IFNA(index(PlayerValues!A:A,match(IFNA(vlookup(B4627,'Special Names'!A:B,2,FALSE),B4627),PlayerValues!E:E,0)),"N/A")</f>
        <v>17074</v>
      </c>
      <c r="B4627" s="4" t="s">
        <v>475</v>
      </c>
      <c r="C4627" s="4" t="s">
        <v>287</v>
      </c>
      <c r="D4627" s="94">
        <v>3368.0</v>
      </c>
    </row>
    <row r="4628">
      <c r="A4628" s="40">
        <f t="array" ref="A4628">IFNA(index(PlayerValues!A:A,match(IFNA(vlookup(B4628,'Special Names'!A:B,2,FALSE),B4628),PlayerValues!E:E,0)),"N/A")</f>
        <v>16620</v>
      </c>
      <c r="B4628" s="4" t="s">
        <v>467</v>
      </c>
      <c r="C4628" s="4" t="s">
        <v>287</v>
      </c>
      <c r="D4628" s="94">
        <v>3363.0</v>
      </c>
    </row>
    <row r="4629">
      <c r="A4629" s="40">
        <f t="array" ref="A4629">IFNA(index(PlayerValues!A:A,match(IFNA(vlookup(B4629,'Special Names'!A:B,2,FALSE),B4629),PlayerValues!E:E,0)),"N/A")</f>
        <v>14842</v>
      </c>
      <c r="B4629" s="4" t="s">
        <v>456</v>
      </c>
      <c r="C4629" s="4" t="s">
        <v>287</v>
      </c>
      <c r="D4629" s="94">
        <v>3361.0</v>
      </c>
    </row>
    <row r="4630">
      <c r="A4630" s="40">
        <f t="array" ref="A4630">IFNA(index(PlayerValues!A:A,match(IFNA(vlookup(B4630,'Special Names'!A:B,2,FALSE),B4630),PlayerValues!E:E,0)),"N/A")</f>
        <v>16188</v>
      </c>
      <c r="B4630" s="4" t="s">
        <v>439</v>
      </c>
      <c r="C4630" s="4" t="s">
        <v>287</v>
      </c>
      <c r="D4630" s="94">
        <v>3352.0</v>
      </c>
    </row>
    <row r="4631">
      <c r="A4631" s="40">
        <f t="array" ref="A4631">IFNA(index(PlayerValues!A:A,match(IFNA(vlookup(B4631,'Special Names'!A:B,2,FALSE),B4631),PlayerValues!E:E,0)),"N/A")</f>
        <v>15261</v>
      </c>
      <c r="B4631" s="4" t="s">
        <v>466</v>
      </c>
      <c r="C4631" s="4" t="s">
        <v>278</v>
      </c>
      <c r="D4631" s="94">
        <v>3326.0</v>
      </c>
    </row>
    <row r="4632">
      <c r="A4632" s="40" t="str">
        <f t="array" ref="A4632">IFNA(index(PlayerValues!A:A,match(IFNA(vlookup(B4632,'Special Names'!A:B,2,FALSE),B4632),PlayerValues!E:E,0)),"N/A")</f>
        <v>N/A</v>
      </c>
      <c r="B4632" s="4" t="s">
        <v>82</v>
      </c>
      <c r="C4632" s="4" t="s">
        <v>325</v>
      </c>
      <c r="D4632" s="94">
        <v>3295.0</v>
      </c>
    </row>
    <row r="4633">
      <c r="A4633" s="40">
        <f t="array" ref="A4633">IFNA(index(PlayerValues!A:A,match(IFNA(vlookup(B4633,'Special Names'!A:B,2,FALSE),B4633),PlayerValues!E:E,0)),"N/A")</f>
        <v>16593</v>
      </c>
      <c r="B4633" s="4" t="s">
        <v>442</v>
      </c>
      <c r="C4633" s="4" t="s">
        <v>278</v>
      </c>
      <c r="D4633" s="94">
        <v>3285.0</v>
      </c>
    </row>
    <row r="4634">
      <c r="A4634" s="40">
        <f t="array" ref="A4634">IFNA(index(PlayerValues!A:A,match(IFNA(vlookup(B4634,'Special Names'!A:B,2,FALSE),B4634),PlayerValues!E:E,0)),"N/A")</f>
        <v>11671</v>
      </c>
      <c r="B4634" s="4" t="s">
        <v>463</v>
      </c>
      <c r="C4634" s="4" t="s">
        <v>287</v>
      </c>
      <c r="D4634" s="94">
        <v>3279.0</v>
      </c>
    </row>
    <row r="4635">
      <c r="A4635" s="40">
        <f t="array" ref="A4635">IFNA(index(PlayerValues!A:A,match(IFNA(vlookup(B4635,'Special Names'!A:B,2,FALSE),B4635),PlayerValues!E:E,0)),"N/A")</f>
        <v>11675</v>
      </c>
      <c r="B4635" s="4" t="s">
        <v>438</v>
      </c>
      <c r="C4635" s="4" t="s">
        <v>287</v>
      </c>
      <c r="D4635" s="94">
        <v>3279.0</v>
      </c>
    </row>
    <row r="4636">
      <c r="A4636" s="40">
        <f t="array" ref="A4636">IFNA(index(PlayerValues!A:A,match(IFNA(vlookup(B4636,'Special Names'!A:B,2,FALSE),B4636),PlayerValues!E:E,0)),"N/A")</f>
        <v>16213</v>
      </c>
      <c r="B4636" s="4" t="s">
        <v>458</v>
      </c>
      <c r="C4636" s="4" t="s">
        <v>298</v>
      </c>
      <c r="D4636" s="94">
        <v>3683.0</v>
      </c>
    </row>
    <row r="4637">
      <c r="A4637" s="40">
        <f t="array" ref="A4637">IFNA(index(PlayerValues!A:A,match(IFNA(vlookup(B4637,'Special Names'!A:B,2,FALSE),B4637),PlayerValues!E:E,0)),"N/A")</f>
        <v>13299</v>
      </c>
      <c r="B4637" s="4" t="s">
        <v>448</v>
      </c>
      <c r="C4637" s="4" t="s">
        <v>298</v>
      </c>
      <c r="D4637" s="94">
        <v>3674.0</v>
      </c>
    </row>
    <row r="4638">
      <c r="A4638" s="40">
        <f t="array" ref="A4638">IFNA(index(PlayerValues!A:A,match(IFNA(vlookup(B4638,'Special Names'!A:B,2,FALSE),B4638),PlayerValues!E:E,0)),"N/A")</f>
        <v>15779</v>
      </c>
      <c r="B4638" s="4" t="s">
        <v>461</v>
      </c>
      <c r="C4638" s="4" t="s">
        <v>287</v>
      </c>
      <c r="D4638" s="94">
        <v>3221.0</v>
      </c>
    </row>
    <row r="4639">
      <c r="A4639" s="40">
        <f t="array" ref="A4639">IFNA(index(PlayerValues!A:A,match(IFNA(vlookup(B4639,'Special Names'!A:B,2,FALSE),B4639),PlayerValues!E:E,0)),"N/A")</f>
        <v>15799</v>
      </c>
      <c r="B4639" s="4" t="s">
        <v>468</v>
      </c>
      <c r="C4639" s="4" t="s">
        <v>298</v>
      </c>
      <c r="D4639" s="94">
        <v>3658.0</v>
      </c>
    </row>
    <row r="4640">
      <c r="A4640" s="40">
        <f t="array" ref="A4640">IFNA(index(PlayerValues!A:A,match(IFNA(vlookup(B4640,'Special Names'!A:B,2,FALSE),B4640),PlayerValues!E:E,0)),"N/A")</f>
        <v>16597</v>
      </c>
      <c r="B4640" s="4" t="s">
        <v>427</v>
      </c>
      <c r="C4640" s="4" t="s">
        <v>278</v>
      </c>
      <c r="D4640" s="94">
        <v>3200.0</v>
      </c>
    </row>
    <row r="4641">
      <c r="A4641" s="40">
        <f t="array" ref="A4641">IFNA(index(PlayerValues!A:A,match(IFNA(vlookup(B4641,'Special Names'!A:B,2,FALSE),B4641),PlayerValues!E:E,0)),"N/A")</f>
        <v>14823</v>
      </c>
      <c r="B4641" s="4" t="s">
        <v>459</v>
      </c>
      <c r="C4641" s="4" t="s">
        <v>278</v>
      </c>
      <c r="D4641" s="94">
        <v>3196.0</v>
      </c>
    </row>
    <row r="4642">
      <c r="A4642" s="40" t="str">
        <f t="array" ref="A4642">IFNA(index(PlayerValues!A:A,match(IFNA(vlookup(B4642,'Special Names'!A:B,2,FALSE),B4642),PlayerValues!E:E,0)),"N/A")</f>
        <v>N/A</v>
      </c>
      <c r="B4642" s="4" t="s">
        <v>108</v>
      </c>
      <c r="C4642" s="4" t="s">
        <v>325</v>
      </c>
      <c r="D4642" s="94">
        <v>3178.0</v>
      </c>
    </row>
    <row r="4643">
      <c r="A4643" s="40">
        <f t="array" ref="A4643">IFNA(index(PlayerValues!A:A,match(IFNA(vlookup(B4643,'Special Names'!A:B,2,FALSE),B4643),PlayerValues!E:E,0)),"N/A")</f>
        <v>17477</v>
      </c>
      <c r="B4643" s="4" t="s">
        <v>452</v>
      </c>
      <c r="C4643" s="4" t="s">
        <v>278</v>
      </c>
      <c r="D4643" s="94">
        <v>3161.0</v>
      </c>
    </row>
    <row r="4644">
      <c r="A4644" s="40">
        <f t="array" ref="A4644">IFNA(index(PlayerValues!A:A,match(IFNA(vlookup(B4644,'Special Names'!A:B,2,FALSE),B4644),PlayerValues!E:E,0)),"N/A")</f>
        <v>15742</v>
      </c>
      <c r="B4644" s="4" t="s">
        <v>447</v>
      </c>
      <c r="C4644" s="4" t="s">
        <v>278</v>
      </c>
      <c r="D4644" s="94">
        <v>3159.0</v>
      </c>
    </row>
    <row r="4645">
      <c r="A4645" s="40">
        <f t="array" ref="A4645">IFNA(index(PlayerValues!A:A,match(IFNA(vlookup(B4645,'Special Names'!A:B,2,FALSE),B4645),PlayerValues!E:E,0)),"N/A")</f>
        <v>16583</v>
      </c>
      <c r="B4645" s="4" t="s">
        <v>493</v>
      </c>
      <c r="C4645" s="4" t="s">
        <v>283</v>
      </c>
      <c r="D4645" s="94">
        <v>3157.0</v>
      </c>
    </row>
    <row r="4646">
      <c r="A4646" s="40" t="str">
        <f t="array" ref="A4646">IFNA(index(PlayerValues!A:A,match(IFNA(vlookup(B4646,'Special Names'!A:B,2,FALSE),B4646),PlayerValues!E:E,0)),"N/A")</f>
        <v>N/A</v>
      </c>
      <c r="B4646" s="4" t="s">
        <v>97</v>
      </c>
      <c r="C4646" s="4" t="s">
        <v>325</v>
      </c>
      <c r="D4646" s="94">
        <v>3155.0</v>
      </c>
    </row>
    <row r="4647">
      <c r="A4647" s="40">
        <f t="array" ref="A4647">IFNA(index(PlayerValues!A:A,match(IFNA(vlookup(B4647,'Special Names'!A:B,2,FALSE),B4647),PlayerValues!E:E,0)),"N/A")</f>
        <v>13630</v>
      </c>
      <c r="B4647" s="4" t="s">
        <v>465</v>
      </c>
      <c r="C4647" s="4" t="s">
        <v>287</v>
      </c>
      <c r="D4647" s="94">
        <v>3152.0</v>
      </c>
    </row>
    <row r="4648">
      <c r="A4648" s="40">
        <f t="array" ref="A4648">IFNA(index(PlayerValues!A:A,match(IFNA(vlookup(B4648,'Special Names'!A:B,2,FALSE),B4648),PlayerValues!E:E,0)),"N/A")</f>
        <v>14127</v>
      </c>
      <c r="B4648" s="4" t="s">
        <v>486</v>
      </c>
      <c r="C4648" s="4" t="s">
        <v>287</v>
      </c>
      <c r="D4648" s="94">
        <v>3139.0</v>
      </c>
    </row>
    <row r="4649">
      <c r="A4649" s="40">
        <f t="array" ref="A4649">IFNA(index(PlayerValues!A:A,match(IFNA(vlookup(B4649,'Special Names'!A:B,2,FALSE),B4649),PlayerValues!E:E,0)),"N/A")</f>
        <v>16809</v>
      </c>
      <c r="B4649" s="4" t="s">
        <v>455</v>
      </c>
      <c r="C4649" s="4" t="s">
        <v>287</v>
      </c>
      <c r="D4649" s="94">
        <v>3068.0</v>
      </c>
    </row>
    <row r="4650">
      <c r="A4650" s="40">
        <f t="array" ref="A4650">IFNA(index(PlayerValues!A:A,match(IFNA(vlookup(B4650,'Special Names'!A:B,2,FALSE),B4650),PlayerValues!E:E,0)),"N/A")</f>
        <v>16269</v>
      </c>
      <c r="B4650" s="4" t="s">
        <v>481</v>
      </c>
      <c r="C4650" s="4" t="s">
        <v>298</v>
      </c>
      <c r="D4650" s="94">
        <v>3435.0</v>
      </c>
    </row>
    <row r="4651">
      <c r="A4651" s="40">
        <f t="array" ref="A4651">IFNA(index(PlayerValues!A:A,match(IFNA(vlookup(B4651,'Special Names'!A:B,2,FALSE),B4651),PlayerValues!E:E,0)),"N/A")</f>
        <v>17506</v>
      </c>
      <c r="B4651" s="4" t="s">
        <v>471</v>
      </c>
      <c r="C4651" s="4" t="s">
        <v>287</v>
      </c>
      <c r="D4651" s="94">
        <v>2999.0</v>
      </c>
    </row>
    <row r="4652">
      <c r="A4652" s="40">
        <f t="array" ref="A4652">IFNA(index(PlayerValues!A:A,match(IFNA(vlookup(B4652,'Special Names'!A:B,2,FALSE),B4652),PlayerValues!E:E,0)),"N/A")</f>
        <v>15761</v>
      </c>
      <c r="B4652" s="4" t="s">
        <v>491</v>
      </c>
      <c r="C4652" s="4" t="s">
        <v>287</v>
      </c>
      <c r="D4652" s="94">
        <v>2990.0</v>
      </c>
    </row>
    <row r="4653">
      <c r="A4653" s="40" t="str">
        <f t="array" ref="A4653">IFNA(index(PlayerValues!A:A,match(IFNA(vlookup(B4653,'Special Names'!A:B,2,FALSE),B4653),PlayerValues!E:E,0)),"N/A")</f>
        <v>N/A</v>
      </c>
      <c r="B4653" s="4" t="s">
        <v>109</v>
      </c>
      <c r="C4653" s="4" t="s">
        <v>325</v>
      </c>
      <c r="D4653" s="94">
        <v>2979.0</v>
      </c>
    </row>
    <row r="4654">
      <c r="A4654" s="40">
        <f t="array" ref="A4654">IFNA(index(PlayerValues!A:A,match(IFNA(vlookup(B4654,'Special Names'!A:B,2,FALSE),B4654),PlayerValues!E:E,0)),"N/A")</f>
        <v>14800</v>
      </c>
      <c r="B4654" s="4" t="s">
        <v>472</v>
      </c>
      <c r="C4654" s="4" t="s">
        <v>278</v>
      </c>
      <c r="D4654" s="94">
        <v>2966.0</v>
      </c>
    </row>
    <row r="4655">
      <c r="A4655" s="40">
        <f t="array" ref="A4655">IFNA(index(PlayerValues!A:A,match(IFNA(vlookup(B4655,'Special Names'!A:B,2,FALSE),B4655),PlayerValues!E:E,0)),"N/A")</f>
        <v>17512</v>
      </c>
      <c r="B4655" s="4" t="s">
        <v>483</v>
      </c>
      <c r="C4655" s="4" t="s">
        <v>287</v>
      </c>
      <c r="D4655" s="94">
        <v>2966.0</v>
      </c>
    </row>
    <row r="4656">
      <c r="A4656" s="40">
        <f t="array" ref="A4656">IFNA(index(PlayerValues!A:A,match(IFNA(vlookup(B4656,'Special Names'!A:B,2,FALSE),B4656),PlayerValues!E:E,0)),"N/A")</f>
        <v>17503</v>
      </c>
      <c r="B4656" s="4" t="s">
        <v>480</v>
      </c>
      <c r="C4656" s="4" t="s">
        <v>287</v>
      </c>
      <c r="D4656" s="94">
        <v>2964.0</v>
      </c>
    </row>
    <row r="4657">
      <c r="A4657" s="40">
        <f t="array" ref="A4657">IFNA(index(PlayerValues!A:A,match(IFNA(vlookup(B4657,'Special Names'!A:B,2,FALSE),B4657),PlayerValues!E:E,0)),"N/A")</f>
        <v>13163</v>
      </c>
      <c r="B4657" s="4" t="s">
        <v>473</v>
      </c>
      <c r="C4657" s="4" t="s">
        <v>287</v>
      </c>
      <c r="D4657" s="94">
        <v>2962.0</v>
      </c>
    </row>
    <row r="4658">
      <c r="A4658" s="40">
        <f t="array" ref="A4658">IFNA(index(PlayerValues!A:A,match(IFNA(vlookup(B4658,'Special Names'!A:B,2,FALSE),B4658),PlayerValues!E:E,0)),"N/A")</f>
        <v>16628</v>
      </c>
      <c r="B4658" s="4" t="s">
        <v>490</v>
      </c>
      <c r="C4658" s="4" t="s">
        <v>287</v>
      </c>
      <c r="D4658" s="94">
        <v>2957.0</v>
      </c>
    </row>
    <row r="4659">
      <c r="A4659" s="40" t="str">
        <f t="array" ref="A4659">IFNA(index(PlayerValues!A:A,match(IFNA(vlookup(B4659,'Special Names'!A:B,2,FALSE),B4659),PlayerValues!E:E,0)),"N/A")</f>
        <v>N/A</v>
      </c>
      <c r="B4659" s="4" t="s">
        <v>84</v>
      </c>
      <c r="C4659" s="4" t="s">
        <v>325</v>
      </c>
      <c r="D4659" s="94">
        <v>2953.0</v>
      </c>
    </row>
    <row r="4660">
      <c r="A4660" s="40">
        <f t="array" ref="A4660">IFNA(index(PlayerValues!A:A,match(IFNA(vlookup(B4660,'Special Names'!A:B,2,FALSE),B4660),PlayerValues!E:E,0)),"N/A")</f>
        <v>17476</v>
      </c>
      <c r="B4660" s="4" t="s">
        <v>494</v>
      </c>
      <c r="C4660" s="4" t="s">
        <v>278</v>
      </c>
      <c r="D4660" s="94">
        <v>2940.0</v>
      </c>
    </row>
    <row r="4661">
      <c r="A4661" s="40">
        <f t="array" ref="A4661">IFNA(index(PlayerValues!A:A,match(IFNA(vlookup(B4661,'Special Names'!A:B,2,FALSE),B4661),PlayerValues!E:E,0)),"N/A")</f>
        <v>17256</v>
      </c>
      <c r="B4661" s="4" t="s">
        <v>462</v>
      </c>
      <c r="C4661" s="4" t="s">
        <v>278</v>
      </c>
      <c r="D4661" s="94">
        <v>2938.0</v>
      </c>
    </row>
    <row r="4662">
      <c r="A4662" s="40">
        <f t="array" ref="A4662">IFNA(index(PlayerValues!A:A,match(IFNA(vlookup(B4662,'Special Names'!A:B,2,FALSE),B4662),PlayerValues!E:E,0)),"N/A")</f>
        <v>15259</v>
      </c>
      <c r="B4662" s="4" t="s">
        <v>453</v>
      </c>
      <c r="C4662" s="4" t="s">
        <v>278</v>
      </c>
      <c r="D4662" s="94">
        <v>2917.0</v>
      </c>
    </row>
    <row r="4663">
      <c r="A4663" s="40">
        <f t="array" ref="A4663">IFNA(index(PlayerValues!A:A,match(IFNA(vlookup(B4663,'Special Names'!A:B,2,FALSE),B4663),PlayerValues!E:E,0)),"N/A")</f>
        <v>16080</v>
      </c>
      <c r="B4663" s="4" t="s">
        <v>499</v>
      </c>
      <c r="C4663" s="4" t="s">
        <v>287</v>
      </c>
      <c r="D4663" s="94">
        <v>2887.0</v>
      </c>
    </row>
    <row r="4664">
      <c r="A4664" s="40">
        <f t="array" ref="A4664">IFNA(index(PlayerValues!A:A,match(IFNA(vlookup(B4664,'Special Names'!A:B,2,FALSE),B4664),PlayerValues!E:E,0)),"N/A")</f>
        <v>16584</v>
      </c>
      <c r="B4664" s="4" t="s">
        <v>569</v>
      </c>
      <c r="C4664" s="4" t="s">
        <v>283</v>
      </c>
      <c r="D4664" s="94">
        <v>2853.0</v>
      </c>
    </row>
    <row r="4665">
      <c r="A4665" s="40" t="str">
        <f t="array" ref="A4665">IFNA(index(PlayerValues!A:A,match(IFNA(vlookup(B4665,'Special Names'!A:B,2,FALSE),B4665),PlayerValues!E:E,0)),"N/A")</f>
        <v>N/A</v>
      </c>
      <c r="B4665" s="4" t="s">
        <v>85</v>
      </c>
      <c r="C4665" s="4" t="s">
        <v>325</v>
      </c>
      <c r="D4665" s="94">
        <v>2833.0</v>
      </c>
    </row>
    <row r="4666">
      <c r="A4666" s="40">
        <f t="array" ref="A4666">IFNA(index(PlayerValues!A:A,match(IFNA(vlookup(B4666,'Special Names'!A:B,2,FALSE),B4666),PlayerValues!E:E,0)),"N/A")</f>
        <v>15255</v>
      </c>
      <c r="B4666" s="4" t="s">
        <v>477</v>
      </c>
      <c r="C4666" s="4" t="s">
        <v>278</v>
      </c>
      <c r="D4666" s="94">
        <v>2829.0</v>
      </c>
    </row>
    <row r="4667">
      <c r="A4667" s="40" t="str">
        <f t="array" ref="A4667">IFNA(index(PlayerValues!A:A,match(IFNA(vlookup(B4667,'Special Names'!A:B,2,FALSE),B4667),PlayerValues!E:E,0)),"N/A")</f>
        <v>N/A</v>
      </c>
      <c r="B4667" s="4" t="s">
        <v>110</v>
      </c>
      <c r="C4667" s="4" t="s">
        <v>325</v>
      </c>
      <c r="D4667" s="94">
        <v>2819.0</v>
      </c>
    </row>
    <row r="4668">
      <c r="A4668" s="40">
        <f t="array" ref="A4668">IFNA(index(PlayerValues!A:A,match(IFNA(vlookup(B4668,'Special Names'!A:B,2,FALSE),B4668),PlayerValues!E:E,0)),"N/A")</f>
        <v>17157</v>
      </c>
      <c r="B4668" s="4" t="s">
        <v>524</v>
      </c>
      <c r="C4668" s="4" t="s">
        <v>287</v>
      </c>
      <c r="D4668" s="94">
        <v>2810.0</v>
      </c>
    </row>
    <row r="4669">
      <c r="A4669" s="40">
        <f t="array" ref="A4669">IFNA(index(PlayerValues!A:A,match(IFNA(vlookup(B4669,'Special Names'!A:B,2,FALSE),B4669),PlayerValues!E:E,0)),"N/A")</f>
        <v>17053</v>
      </c>
      <c r="B4669" s="4" t="s">
        <v>484</v>
      </c>
      <c r="C4669" s="4" t="s">
        <v>278</v>
      </c>
      <c r="D4669" s="94">
        <v>2806.0</v>
      </c>
    </row>
    <row r="4670">
      <c r="A4670" s="40">
        <f t="array" ref="A4670">IFNA(index(PlayerValues!A:A,match(IFNA(vlookup(B4670,'Special Names'!A:B,2,FALSE),B4670),PlayerValues!E:E,0)),"N/A")</f>
        <v>14085</v>
      </c>
      <c r="B4670" s="4" t="s">
        <v>489</v>
      </c>
      <c r="C4670" s="4" t="s">
        <v>278</v>
      </c>
      <c r="D4670" s="94">
        <v>2797.0</v>
      </c>
    </row>
    <row r="4671">
      <c r="A4671" s="40">
        <f t="array" ref="A4671">IFNA(index(PlayerValues!A:A,match(IFNA(vlookup(B4671,'Special Names'!A:B,2,FALSE),B4671),PlayerValues!E:E,0)),"N/A")</f>
        <v>14138</v>
      </c>
      <c r="B4671" s="4" t="s">
        <v>531</v>
      </c>
      <c r="C4671" s="4" t="s">
        <v>298</v>
      </c>
      <c r="D4671" s="94">
        <v>3210.0</v>
      </c>
    </row>
    <row r="4672">
      <c r="A4672" s="40">
        <f t="array" ref="A4672">IFNA(index(PlayerValues!A:A,match(IFNA(vlookup(B4672,'Special Names'!A:B,2,FALSE),B4672),PlayerValues!E:E,0)),"N/A")</f>
        <v>17505</v>
      </c>
      <c r="B4672" s="4" t="s">
        <v>528</v>
      </c>
      <c r="C4672" s="4" t="s">
        <v>287</v>
      </c>
      <c r="D4672" s="94">
        <v>2783.0</v>
      </c>
    </row>
    <row r="4673">
      <c r="A4673" s="40">
        <f t="array" ref="A4673">IFNA(index(PlayerValues!A:A,match(IFNA(vlookup(B4673,'Special Names'!A:B,2,FALSE),B4673),PlayerValues!E:E,0)),"N/A")</f>
        <v>17072</v>
      </c>
      <c r="B4673" s="4" t="s">
        <v>508</v>
      </c>
      <c r="C4673" s="4" t="s">
        <v>287</v>
      </c>
      <c r="D4673" s="94">
        <v>2767.0</v>
      </c>
    </row>
    <row r="4674">
      <c r="A4674" s="40">
        <f t="array" ref="A4674">IFNA(index(PlayerValues!A:A,match(IFNA(vlookup(B4674,'Special Names'!A:B,2,FALSE),B4674),PlayerValues!E:E,0)),"N/A")</f>
        <v>16723</v>
      </c>
      <c r="B4674" s="4" t="s">
        <v>502</v>
      </c>
      <c r="C4674" s="4" t="s">
        <v>298</v>
      </c>
      <c r="D4674" s="94">
        <v>3180.0</v>
      </c>
    </row>
    <row r="4675">
      <c r="A4675" s="40">
        <f t="array" ref="A4675">IFNA(index(PlayerValues!A:A,match(IFNA(vlookup(B4675,'Special Names'!A:B,2,FALSE),B4675),PlayerValues!E:E,0)),"N/A")</f>
        <v>13671</v>
      </c>
      <c r="B4675" s="4" t="s">
        <v>506</v>
      </c>
      <c r="C4675" s="4" t="s">
        <v>298</v>
      </c>
      <c r="D4675" s="94">
        <v>3176.0</v>
      </c>
    </row>
    <row r="4676">
      <c r="A4676" s="40">
        <f t="array" ref="A4676">IFNA(index(PlayerValues!A:A,match(IFNA(vlookup(B4676,'Special Names'!A:B,2,FALSE),B4676),PlayerValues!E:E,0)),"N/A")</f>
        <v>17031</v>
      </c>
      <c r="B4676" s="4" t="s">
        <v>535</v>
      </c>
      <c r="C4676" s="4" t="s">
        <v>283</v>
      </c>
      <c r="D4676" s="94">
        <v>2749.0</v>
      </c>
    </row>
    <row r="4677">
      <c r="A4677" s="40">
        <f t="array" ref="A4677">IFNA(index(PlayerValues!A:A,match(IFNA(vlookup(B4677,'Special Names'!A:B,2,FALSE),B4677),PlayerValues!E:E,0)),"N/A")</f>
        <v>17047</v>
      </c>
      <c r="B4677" s="4" t="s">
        <v>510</v>
      </c>
      <c r="C4677" s="4" t="s">
        <v>278</v>
      </c>
      <c r="D4677" s="94">
        <v>2748.0</v>
      </c>
    </row>
    <row r="4678">
      <c r="A4678" s="40">
        <f t="array" ref="A4678">IFNA(index(PlayerValues!A:A,match(IFNA(vlookup(B4678,'Special Names'!A:B,2,FALSE),B4678),PlayerValues!E:E,0)),"N/A")</f>
        <v>15889</v>
      </c>
      <c r="B4678" s="4" t="s">
        <v>503</v>
      </c>
      <c r="C4678" s="4" t="s">
        <v>298</v>
      </c>
      <c r="D4678" s="94">
        <v>3146.0</v>
      </c>
    </row>
    <row r="4679">
      <c r="A4679" s="40">
        <f t="array" ref="A4679">IFNA(index(PlayerValues!A:A,match(IFNA(vlookup(B4679,'Special Names'!A:B,2,FALSE),B4679),PlayerValues!E:E,0)),"N/A")</f>
        <v>14778</v>
      </c>
      <c r="B4679" s="4" t="s">
        <v>564</v>
      </c>
      <c r="C4679" s="4" t="s">
        <v>283</v>
      </c>
      <c r="D4679" s="94">
        <v>2733.0</v>
      </c>
    </row>
    <row r="4680">
      <c r="A4680" s="40">
        <f t="array" ref="A4680">IFNA(index(PlayerValues!A:A,match(IFNA(vlookup(B4680,'Special Names'!A:B,2,FALSE),B4680),PlayerValues!E:E,0)),"N/A")</f>
        <v>15721</v>
      </c>
      <c r="B4680" s="4" t="s">
        <v>504</v>
      </c>
      <c r="C4680" s="4" t="s">
        <v>278</v>
      </c>
      <c r="D4680" s="94">
        <v>2732.0</v>
      </c>
    </row>
    <row r="4681">
      <c r="A4681" s="40">
        <f t="array" ref="A4681">IFNA(index(PlayerValues!A:A,match(IFNA(vlookup(B4681,'Special Names'!A:B,2,FALSE),B4681),PlayerValues!E:E,0)),"N/A")</f>
        <v>15712</v>
      </c>
      <c r="B4681" s="4" t="s">
        <v>488</v>
      </c>
      <c r="C4681" s="4" t="s">
        <v>278</v>
      </c>
      <c r="D4681" s="94">
        <v>2729.0</v>
      </c>
    </row>
    <row r="4682">
      <c r="A4682" s="40">
        <f t="array" ref="A4682">IFNA(index(PlayerValues!A:A,match(IFNA(vlookup(B4682,'Special Names'!A:B,2,FALSE),B4682),PlayerValues!E:E,0)),"N/A")</f>
        <v>17098</v>
      </c>
      <c r="B4682" s="4" t="s">
        <v>533</v>
      </c>
      <c r="C4682" s="4" t="s">
        <v>287</v>
      </c>
      <c r="D4682" s="94">
        <v>2706.0</v>
      </c>
    </row>
    <row r="4683">
      <c r="A4683" s="40">
        <f t="array" ref="A4683">IFNA(index(PlayerValues!A:A,match(IFNA(vlookup(B4683,'Special Names'!A:B,2,FALSE),B4683),PlayerValues!E:E,0)),"N/A")</f>
        <v>17507</v>
      </c>
      <c r="B4683" s="4" t="s">
        <v>495</v>
      </c>
      <c r="C4683" s="4" t="s">
        <v>287</v>
      </c>
      <c r="D4683" s="94">
        <v>2695.0</v>
      </c>
    </row>
    <row r="4684">
      <c r="A4684" s="40">
        <f t="array" ref="A4684">IFNA(index(PlayerValues!A:A,match(IFNA(vlookup(B4684,'Special Names'!A:B,2,FALSE),B4684),PlayerValues!E:E,0)),"N/A")</f>
        <v>17511</v>
      </c>
      <c r="B4684" s="4" t="s">
        <v>485</v>
      </c>
      <c r="C4684" s="4" t="s">
        <v>287</v>
      </c>
      <c r="D4684" s="94">
        <v>2690.0</v>
      </c>
    </row>
    <row r="4685">
      <c r="A4685" s="40">
        <f t="array" ref="A4685">IFNA(index(PlayerValues!A:A,match(IFNA(vlookup(B4685,'Special Names'!A:B,2,FALSE),B4685),PlayerValues!E:E,0)),"N/A")</f>
        <v>14860</v>
      </c>
      <c r="B4685" s="4" t="s">
        <v>554</v>
      </c>
      <c r="C4685" s="4" t="s">
        <v>287</v>
      </c>
      <c r="D4685" s="94">
        <v>2689.0</v>
      </c>
    </row>
    <row r="4686">
      <c r="A4686" s="40">
        <f t="array" ref="A4686">IFNA(index(PlayerValues!A:A,match(IFNA(vlookup(B4686,'Special Names'!A:B,2,FALSE),B4686),PlayerValues!E:E,0)),"N/A")</f>
        <v>12616</v>
      </c>
      <c r="B4686" s="4" t="s">
        <v>529</v>
      </c>
      <c r="C4686" s="4" t="s">
        <v>283</v>
      </c>
      <c r="D4686" s="94">
        <v>2688.0</v>
      </c>
    </row>
    <row r="4687">
      <c r="A4687" s="40">
        <f t="array" ref="A4687">IFNA(index(PlayerValues!A:A,match(IFNA(vlookup(B4687,'Special Names'!A:B,2,FALSE),B4687),PlayerValues!E:E,0)),"N/A")</f>
        <v>16747</v>
      </c>
      <c r="B4687" s="4" t="s">
        <v>555</v>
      </c>
      <c r="C4687" s="4" t="s">
        <v>278</v>
      </c>
      <c r="D4687" s="94">
        <v>2678.0</v>
      </c>
    </row>
    <row r="4688">
      <c r="A4688" s="40">
        <f t="array" ref="A4688">IFNA(index(PlayerValues!A:A,match(IFNA(vlookup(B4688,'Special Names'!A:B,2,FALSE),B4688),PlayerValues!E:E,0)),"N/A")</f>
        <v>17080</v>
      </c>
      <c r="B4688" s="4" t="s">
        <v>532</v>
      </c>
      <c r="C4688" s="4" t="s">
        <v>287</v>
      </c>
      <c r="D4688" s="94">
        <v>2674.0</v>
      </c>
    </row>
    <row r="4689">
      <c r="A4689" s="40">
        <f t="array" ref="A4689">IFNA(index(PlayerValues!A:A,match(IFNA(vlookup(B4689,'Special Names'!A:B,2,FALSE),B4689),PlayerValues!E:E,0)),"N/A")</f>
        <v>17105</v>
      </c>
      <c r="B4689" s="4" t="s">
        <v>525</v>
      </c>
      <c r="C4689" s="4" t="s">
        <v>298</v>
      </c>
      <c r="D4689" s="94">
        <v>3083.0</v>
      </c>
    </row>
    <row r="4690">
      <c r="A4690" s="40">
        <f t="array" ref="A4690">IFNA(index(PlayerValues!A:A,match(IFNA(vlookup(B4690,'Special Names'!A:B,2,FALSE),B4690),PlayerValues!E:E,0)),"N/A")</f>
        <v>16193</v>
      </c>
      <c r="B4690" s="4" t="s">
        <v>487</v>
      </c>
      <c r="C4690" s="4" t="s">
        <v>287</v>
      </c>
      <c r="D4690" s="94">
        <v>2668.0</v>
      </c>
    </row>
    <row r="4691">
      <c r="A4691" s="40">
        <f t="array" ref="A4691">IFNA(index(PlayerValues!A:A,match(IFNA(vlookup(B4691,'Special Names'!A:B,2,FALSE),B4691),PlayerValues!E:E,0)),"N/A")</f>
        <v>16596</v>
      </c>
      <c r="B4691" s="4" t="s">
        <v>501</v>
      </c>
      <c r="C4691" s="4" t="s">
        <v>278</v>
      </c>
      <c r="D4691" s="94">
        <v>2661.0</v>
      </c>
    </row>
    <row r="4692">
      <c r="A4692" s="40">
        <f t="array" ref="A4692">IFNA(index(PlayerValues!A:A,match(IFNA(vlookup(B4692,'Special Names'!A:B,2,FALSE),B4692),PlayerValues!E:E,0)),"N/A")</f>
        <v>15241</v>
      </c>
      <c r="B4692" s="4" t="s">
        <v>546</v>
      </c>
      <c r="C4692" s="4" t="s">
        <v>283</v>
      </c>
      <c r="D4692" s="94">
        <v>2658.0</v>
      </c>
    </row>
    <row r="4693">
      <c r="A4693" s="40">
        <f t="array" ref="A4693">IFNA(index(PlayerValues!A:A,match(IFNA(vlookup(B4693,'Special Names'!A:B,2,FALSE),B4693),PlayerValues!E:E,0)),"N/A")</f>
        <v>16619</v>
      </c>
      <c r="B4693" s="4" t="s">
        <v>538</v>
      </c>
      <c r="C4693" s="4" t="s">
        <v>287</v>
      </c>
      <c r="D4693" s="94">
        <v>2658.0</v>
      </c>
    </row>
    <row r="4694">
      <c r="A4694" s="40">
        <f t="array" ref="A4694">IFNA(index(PlayerValues!A:A,match(IFNA(vlookup(B4694,'Special Names'!A:B,2,FALSE),B4694),PlayerValues!E:E,0)),"N/A")</f>
        <v>15972</v>
      </c>
      <c r="B4694" s="4" t="s">
        <v>469</v>
      </c>
      <c r="C4694" s="4" t="s">
        <v>278</v>
      </c>
      <c r="D4694" s="94">
        <v>2656.0</v>
      </c>
    </row>
    <row r="4695">
      <c r="A4695" s="40">
        <f t="array" ref="A4695">IFNA(index(PlayerValues!A:A,match(IFNA(vlookup(B4695,'Special Names'!A:B,2,FALSE),B4695),PlayerValues!E:E,0)),"N/A")</f>
        <v>14833</v>
      </c>
      <c r="B4695" s="4" t="s">
        <v>553</v>
      </c>
      <c r="C4695" s="4" t="s">
        <v>287</v>
      </c>
      <c r="D4695" s="94">
        <v>2627.0</v>
      </c>
    </row>
    <row r="4696">
      <c r="A4696" s="40">
        <f t="array" ref="A4696">IFNA(index(PlayerValues!A:A,match(IFNA(vlookup(B4696,'Special Names'!A:B,2,FALSE),B4696),PlayerValues!E:E,0)),"N/A")</f>
        <v>17107</v>
      </c>
      <c r="B4696" s="4" t="s">
        <v>478</v>
      </c>
      <c r="C4696" s="4" t="s">
        <v>298</v>
      </c>
      <c r="D4696" s="94">
        <v>3034.0</v>
      </c>
    </row>
    <row r="4697">
      <c r="A4697" s="40" t="str">
        <f t="array" ref="A4697">IFNA(index(PlayerValues!A:A,match(IFNA(vlookup(B4697,'Special Names'!A:B,2,FALSE),B4697),PlayerValues!E:E,0)),"N/A")</f>
        <v>N/A</v>
      </c>
      <c r="B4697" s="4" t="s">
        <v>98</v>
      </c>
      <c r="C4697" s="4" t="s">
        <v>325</v>
      </c>
      <c r="D4697" s="94">
        <v>2623.0</v>
      </c>
    </row>
    <row r="4698">
      <c r="A4698" s="40">
        <f t="array" ref="A4698">IFNA(index(PlayerValues!A:A,match(IFNA(vlookup(B4698,'Special Names'!A:B,2,FALSE),B4698),PlayerValues!E:E,0)),"N/A")</f>
        <v>17073</v>
      </c>
      <c r="B4698" s="4" t="s">
        <v>547</v>
      </c>
      <c r="C4698" s="4" t="s">
        <v>287</v>
      </c>
      <c r="D4698" s="94">
        <v>2611.0</v>
      </c>
    </row>
    <row r="4699">
      <c r="A4699" s="40">
        <f t="array" ref="A4699">IFNA(index(PlayerValues!A:A,match(IFNA(vlookup(B4699,'Special Names'!A:B,2,FALSE),B4699),PlayerValues!E:E,0)),"N/A")</f>
        <v>17509</v>
      </c>
      <c r="B4699" s="4" t="s">
        <v>551</v>
      </c>
      <c r="C4699" s="4" t="s">
        <v>287</v>
      </c>
      <c r="D4699" s="94">
        <v>2609.0</v>
      </c>
    </row>
    <row r="4700">
      <c r="A4700" s="40">
        <f t="array" ref="A4700">IFNA(index(PlayerValues!A:A,match(IFNA(vlookup(B4700,'Special Names'!A:B,2,FALSE),B4700),PlayerValues!E:E,0)),"N/A")</f>
        <v>16165</v>
      </c>
      <c r="B4700" s="4" t="s">
        <v>520</v>
      </c>
      <c r="C4700" s="4" t="s">
        <v>278</v>
      </c>
      <c r="D4700" s="94">
        <v>2600.0</v>
      </c>
    </row>
    <row r="4701">
      <c r="A4701" s="40">
        <f t="array" ref="A4701">IFNA(index(PlayerValues!A:A,match(IFNA(vlookup(B4701,'Special Names'!A:B,2,FALSE),B4701),PlayerValues!E:E,0)),"N/A")</f>
        <v>16174</v>
      </c>
      <c r="B4701" s="4" t="s">
        <v>505</v>
      </c>
      <c r="C4701" s="4" t="s">
        <v>278</v>
      </c>
      <c r="D4701" s="94">
        <v>2595.0</v>
      </c>
    </row>
    <row r="4702">
      <c r="A4702" s="40">
        <f t="array" ref="A4702">IFNA(index(PlayerValues!A:A,match(IFNA(vlookup(B4702,'Special Names'!A:B,2,FALSE),B4702),PlayerValues!E:E,0)),"N/A")</f>
        <v>17474</v>
      </c>
      <c r="B4702" s="4" t="s">
        <v>513</v>
      </c>
      <c r="C4702" s="4" t="s">
        <v>278</v>
      </c>
      <c r="D4702" s="94">
        <v>2594.0</v>
      </c>
    </row>
    <row r="4703">
      <c r="A4703" s="40">
        <f t="array" ref="A4703">IFNA(index(PlayerValues!A:A,match(IFNA(vlookup(B4703,'Special Names'!A:B,2,FALSE),B4703),PlayerValues!E:E,0)),"N/A")</f>
        <v>13674</v>
      </c>
      <c r="B4703" s="4" t="s">
        <v>511</v>
      </c>
      <c r="C4703" s="4" t="s">
        <v>298</v>
      </c>
      <c r="D4703" s="94">
        <v>2978.0</v>
      </c>
    </row>
    <row r="4704">
      <c r="A4704" s="40">
        <f t="array" ref="A4704">IFNA(index(PlayerValues!A:A,match(IFNA(vlookup(B4704,'Special Names'!A:B,2,FALSE),B4704),PlayerValues!E:E,0)),"N/A")</f>
        <v>16204</v>
      </c>
      <c r="B4704" s="4" t="s">
        <v>530</v>
      </c>
      <c r="C4704" s="4" t="s">
        <v>287</v>
      </c>
      <c r="D4704" s="94">
        <v>2541.0</v>
      </c>
    </row>
    <row r="4705">
      <c r="A4705" s="40">
        <f t="array" ref="A4705">IFNA(index(PlayerValues!A:A,match(IFNA(vlookup(B4705,'Special Names'!A:B,2,FALSE),B4705),PlayerValues!E:E,0)),"N/A")</f>
        <v>17478</v>
      </c>
      <c r="B4705" s="4" t="s">
        <v>527</v>
      </c>
      <c r="C4705" s="4" t="s">
        <v>278</v>
      </c>
      <c r="D4705" s="94">
        <v>2528.0</v>
      </c>
    </row>
    <row r="4706">
      <c r="A4706" s="40">
        <f t="array" ref="A4706">IFNA(index(PlayerValues!A:A,match(IFNA(vlookup(B4706,'Special Names'!A:B,2,FALSE),B4706),PlayerValues!E:E,0)),"N/A")</f>
        <v>17108</v>
      </c>
      <c r="B4706" s="4" t="s">
        <v>542</v>
      </c>
      <c r="C4706" s="4" t="s">
        <v>298</v>
      </c>
      <c r="D4706" s="94">
        <v>2925.0</v>
      </c>
    </row>
    <row r="4707">
      <c r="A4707" s="40">
        <f t="array" ref="A4707">IFNA(index(PlayerValues!A:A,match(IFNA(vlookup(B4707,'Special Names'!A:B,2,FALSE),B4707),PlayerValues!E:E,0)),"N/A")</f>
        <v>17078</v>
      </c>
      <c r="B4707" s="4" t="s">
        <v>543</v>
      </c>
      <c r="C4707" s="4" t="s">
        <v>287</v>
      </c>
      <c r="D4707" s="94">
        <v>2518.0</v>
      </c>
    </row>
    <row r="4708">
      <c r="A4708" s="40">
        <f t="array" ref="A4708">IFNA(index(PlayerValues!A:A,match(IFNA(vlookup(B4708,'Special Names'!A:B,2,FALSE),B4708),PlayerValues!E:E,0)),"N/A")</f>
        <v>17082</v>
      </c>
      <c r="B4708" s="4" t="s">
        <v>498</v>
      </c>
      <c r="C4708" s="4" t="s">
        <v>287</v>
      </c>
      <c r="D4708" s="94">
        <v>2516.0</v>
      </c>
    </row>
    <row r="4709">
      <c r="A4709" s="40">
        <f t="array" ref="A4709">IFNA(index(PlayerValues!A:A,match(IFNA(vlookup(B4709,'Special Names'!A:B,2,FALSE),B4709),PlayerValues!E:E,0)),"N/A")</f>
        <v>17508</v>
      </c>
      <c r="B4709" s="4" t="s">
        <v>534</v>
      </c>
      <c r="C4709" s="4" t="s">
        <v>287</v>
      </c>
      <c r="D4709" s="94">
        <v>2506.0</v>
      </c>
    </row>
    <row r="4710">
      <c r="A4710" s="40">
        <f t="array" ref="A4710">IFNA(index(PlayerValues!A:A,match(IFNA(vlookup(B4710,'Special Names'!A:B,2,FALSE),B4710),PlayerValues!E:E,0)),"N/A")</f>
        <v>16617</v>
      </c>
      <c r="B4710" s="4" t="s">
        <v>541</v>
      </c>
      <c r="C4710" s="4" t="s">
        <v>287</v>
      </c>
      <c r="D4710" s="94">
        <v>2490.0</v>
      </c>
    </row>
    <row r="4711">
      <c r="A4711" s="40">
        <f t="array" ref="A4711">IFNA(index(PlayerValues!A:A,match(IFNA(vlookup(B4711,'Special Names'!A:B,2,FALSE),B4711),PlayerValues!E:E,0)),"N/A")</f>
        <v>16684</v>
      </c>
      <c r="B4711" s="4" t="s">
        <v>500</v>
      </c>
      <c r="C4711" s="4" t="s">
        <v>287</v>
      </c>
      <c r="D4711" s="94">
        <v>2490.0</v>
      </c>
    </row>
    <row r="4712">
      <c r="A4712" s="40">
        <f t="array" ref="A4712">IFNA(index(PlayerValues!A:A,match(IFNA(vlookup(B4712,'Special Names'!A:B,2,FALSE),B4712),PlayerValues!E:E,0)),"N/A")</f>
        <v>13192</v>
      </c>
      <c r="B4712" s="4" t="s">
        <v>563</v>
      </c>
      <c r="C4712" s="4" t="s">
        <v>298</v>
      </c>
      <c r="D4712" s="94">
        <v>2864.0</v>
      </c>
    </row>
    <row r="4713">
      <c r="A4713" s="40">
        <f t="array" ref="A4713">IFNA(index(PlayerValues!A:A,match(IFNA(vlookup(B4713,'Special Names'!A:B,2,FALSE),B4713),PlayerValues!E:E,0)),"N/A")</f>
        <v>17171</v>
      </c>
      <c r="B4713" s="4" t="s">
        <v>561</v>
      </c>
      <c r="C4713" s="4" t="s">
        <v>287</v>
      </c>
      <c r="D4713" s="94">
        <v>2451.0</v>
      </c>
    </row>
    <row r="4714">
      <c r="A4714" s="40" t="str">
        <f t="array" ref="A4714">IFNA(index(PlayerValues!A:A,match(IFNA(vlookup(B4714,'Special Names'!A:B,2,FALSE),B4714),PlayerValues!E:E,0)),"N/A")</f>
        <v>N/A</v>
      </c>
      <c r="B4714" s="4" t="s">
        <v>99</v>
      </c>
      <c r="C4714" s="4" t="s">
        <v>325</v>
      </c>
      <c r="D4714" s="94">
        <v>2447.0</v>
      </c>
    </row>
    <row r="4715">
      <c r="A4715" s="40">
        <f t="array" ref="A4715">IFNA(index(PlayerValues!A:A,match(IFNA(vlookup(B4715,'Special Names'!A:B,2,FALSE),B4715),PlayerValues!E:E,0)),"N/A")</f>
        <v>16626</v>
      </c>
      <c r="B4715" s="4" t="s">
        <v>515</v>
      </c>
      <c r="C4715" s="4" t="s">
        <v>287</v>
      </c>
      <c r="D4715" s="94">
        <v>2445.0</v>
      </c>
    </row>
    <row r="4716">
      <c r="A4716" s="40">
        <f t="array" ref="A4716">IFNA(index(PlayerValues!A:A,match(IFNA(vlookup(B4716,'Special Names'!A:B,2,FALSE),B4716),PlayerValues!E:E,0)),"N/A")</f>
        <v>11244</v>
      </c>
      <c r="B4716" s="4" t="s">
        <v>519</v>
      </c>
      <c r="C4716" s="4" t="s">
        <v>298</v>
      </c>
      <c r="D4716" s="94">
        <v>2846.0</v>
      </c>
    </row>
    <row r="4717">
      <c r="A4717" s="40">
        <f t="array" ref="A4717">IFNA(index(PlayerValues!A:A,match(IFNA(vlookup(B4717,'Special Names'!A:B,2,FALSE),B4717),PlayerValues!E:E,0)),"N/A")</f>
        <v>17134</v>
      </c>
      <c r="B4717" s="4" t="s">
        <v>548</v>
      </c>
      <c r="C4717" s="4" t="s">
        <v>287</v>
      </c>
      <c r="D4717" s="94">
        <v>2443.0</v>
      </c>
    </row>
    <row r="4718">
      <c r="A4718" s="40">
        <f t="array" ref="A4718">IFNA(index(PlayerValues!A:A,match(IFNA(vlookup(B4718,'Special Names'!A:B,2,FALSE),B4718),PlayerValues!E:E,0)),"N/A")</f>
        <v>16287</v>
      </c>
      <c r="B4718" s="4" t="s">
        <v>516</v>
      </c>
      <c r="C4718" s="4" t="s">
        <v>287</v>
      </c>
      <c r="D4718" s="94">
        <v>2439.0</v>
      </c>
    </row>
    <row r="4719">
      <c r="A4719" s="40">
        <f t="array" ref="A4719">IFNA(index(PlayerValues!A:A,match(IFNA(vlookup(B4719,'Special Names'!A:B,2,FALSE),B4719),PlayerValues!E:E,0)),"N/A")</f>
        <v>16164</v>
      </c>
      <c r="B4719" s="4" t="s">
        <v>512</v>
      </c>
      <c r="C4719" s="4" t="s">
        <v>278</v>
      </c>
      <c r="D4719" s="94">
        <v>2434.0</v>
      </c>
    </row>
    <row r="4720">
      <c r="A4720" s="40">
        <f t="array" ref="A4720">IFNA(index(PlayerValues!A:A,match(IFNA(vlookup(B4720,'Special Names'!A:B,2,FALSE),B4720),PlayerValues!E:E,0)),"N/A")</f>
        <v>17482</v>
      </c>
      <c r="B4720" s="4" t="s">
        <v>460</v>
      </c>
      <c r="C4720" s="4" t="s">
        <v>278</v>
      </c>
      <c r="D4720" s="94">
        <v>2408.0</v>
      </c>
    </row>
    <row r="4721">
      <c r="A4721" s="40">
        <f t="array" ref="A4721">IFNA(index(PlayerValues!A:A,match(IFNA(vlookup(B4721,'Special Names'!A:B,2,FALSE),B4721),PlayerValues!E:E,0)),"N/A")</f>
        <v>16178</v>
      </c>
      <c r="B4721" s="4" t="s">
        <v>507</v>
      </c>
      <c r="C4721" s="4" t="s">
        <v>278</v>
      </c>
      <c r="D4721" s="94">
        <v>2406.0</v>
      </c>
    </row>
    <row r="4722">
      <c r="A4722" s="40">
        <f t="array" ref="A4722">IFNA(index(PlayerValues!A:A,match(IFNA(vlookup(B4722,'Special Names'!A:B,2,FALSE),B4722),PlayerValues!E:E,0)),"N/A")</f>
        <v>17514</v>
      </c>
      <c r="B4722" s="4" t="s">
        <v>422</v>
      </c>
      <c r="C4722" s="4" t="s">
        <v>287</v>
      </c>
      <c r="D4722" s="94">
        <v>2405.0</v>
      </c>
    </row>
    <row r="4723">
      <c r="A4723" s="40">
        <f t="array" ref="A4723">IFNA(index(PlayerValues!A:A,match(IFNA(vlookup(B4723,'Special Names'!A:B,2,FALSE),B4723),PlayerValues!E:E,0)),"N/A")</f>
        <v>17048</v>
      </c>
      <c r="B4723" s="4" t="s">
        <v>539</v>
      </c>
      <c r="C4723" s="4" t="s">
        <v>278</v>
      </c>
      <c r="D4723" s="94">
        <v>2393.0</v>
      </c>
    </row>
    <row r="4724">
      <c r="A4724" s="40">
        <f t="array" ref="A4724">IFNA(index(PlayerValues!A:A,match(IFNA(vlookup(B4724,'Special Names'!A:B,2,FALSE),B4724),PlayerValues!E:E,0)),"N/A")</f>
        <v>15716</v>
      </c>
      <c r="B4724" s="4" t="s">
        <v>545</v>
      </c>
      <c r="C4724" s="4" t="s">
        <v>278</v>
      </c>
      <c r="D4724" s="94">
        <v>2385.0</v>
      </c>
    </row>
    <row r="4725">
      <c r="A4725" s="40">
        <f t="array" ref="A4725">IFNA(index(PlayerValues!A:A,match(IFNA(vlookup(B4725,'Special Names'!A:B,2,FALSE),B4725),PlayerValues!E:E,0)),"N/A")</f>
        <v>17517</v>
      </c>
      <c r="B4725" s="4" t="s">
        <v>454</v>
      </c>
      <c r="C4725" s="4" t="s">
        <v>287</v>
      </c>
      <c r="D4725" s="94">
        <v>2385.0</v>
      </c>
    </row>
    <row r="4726">
      <c r="A4726" s="40">
        <f t="array" ref="A4726">IFNA(index(PlayerValues!A:A,match(IFNA(vlookup(B4726,'Special Names'!A:B,2,FALSE),B4726),PlayerValues!E:E,0)),"N/A")</f>
        <v>16195</v>
      </c>
      <c r="B4726" s="4" t="s">
        <v>509</v>
      </c>
      <c r="C4726" s="4" t="s">
        <v>287</v>
      </c>
      <c r="D4726" s="94">
        <v>2381.0</v>
      </c>
    </row>
    <row r="4727">
      <c r="A4727" s="40">
        <f t="array" ref="A4727">IFNA(index(PlayerValues!A:A,match(IFNA(vlookup(B4727,'Special Names'!A:B,2,FALSE),B4727),PlayerValues!E:E,0)),"N/A")</f>
        <v>15786</v>
      </c>
      <c r="B4727" s="4" t="s">
        <v>521</v>
      </c>
      <c r="C4727" s="4" t="s">
        <v>287</v>
      </c>
      <c r="D4727" s="94">
        <v>2372.0</v>
      </c>
    </row>
    <row r="4728">
      <c r="A4728" s="40">
        <f t="array" ref="A4728">IFNA(index(PlayerValues!A:A,match(IFNA(vlookup(B4728,'Special Names'!A:B,2,FALSE),B4728),PlayerValues!E:E,0)),"N/A")</f>
        <v>17106</v>
      </c>
      <c r="B4728" s="4" t="s">
        <v>550</v>
      </c>
      <c r="C4728" s="4" t="s">
        <v>298</v>
      </c>
      <c r="D4728" s="94">
        <v>2754.0</v>
      </c>
    </row>
    <row r="4729">
      <c r="A4729" s="40">
        <f t="array" ref="A4729">IFNA(index(PlayerValues!A:A,match(IFNA(vlookup(B4729,'Special Names'!A:B,2,FALSE),B4729),PlayerValues!E:E,0)),"N/A")</f>
        <v>15749</v>
      </c>
      <c r="B4729" s="4" t="s">
        <v>574</v>
      </c>
      <c r="C4729" s="4" t="s">
        <v>278</v>
      </c>
      <c r="D4729" s="94">
        <v>2353.0</v>
      </c>
    </row>
    <row r="4730">
      <c r="A4730" s="40">
        <f t="array" ref="A4730">IFNA(index(PlayerValues!A:A,match(IFNA(vlookup(B4730,'Special Names'!A:B,2,FALSE),B4730),PlayerValues!E:E,0)),"N/A")</f>
        <v>15802</v>
      </c>
      <c r="B4730" s="4" t="s">
        <v>566</v>
      </c>
      <c r="C4730" s="4" t="s">
        <v>298</v>
      </c>
      <c r="D4730" s="94">
        <v>2739.0</v>
      </c>
    </row>
    <row r="4731">
      <c r="A4731" s="40">
        <f t="array" ref="A4731">IFNA(index(PlayerValues!A:A,match(IFNA(vlookup(B4731,'Special Names'!A:B,2,FALSE),B4731),PlayerValues!E:E,0)),"N/A")</f>
        <v>14861</v>
      </c>
      <c r="B4731" s="4" t="s">
        <v>523</v>
      </c>
      <c r="C4731" s="4" t="s">
        <v>298</v>
      </c>
      <c r="D4731" s="94">
        <v>2734.0</v>
      </c>
    </row>
    <row r="4732">
      <c r="A4732" s="40" t="str">
        <f t="array" ref="A4732">IFNA(index(PlayerValues!A:A,match(IFNA(vlookup(B4732,'Special Names'!A:B,2,FALSE),B4732),PlayerValues!E:E,0)),"N/A")</f>
        <v>N/A</v>
      </c>
      <c r="B4732" s="4" t="s">
        <v>557</v>
      </c>
      <c r="C4732" s="4" t="s">
        <v>278</v>
      </c>
      <c r="D4732" s="94">
        <v>2334.0</v>
      </c>
    </row>
    <row r="4733">
      <c r="A4733" s="40">
        <f t="array" ref="A4733">IFNA(index(PlayerValues!A:A,match(IFNA(vlookup(B4733,'Special Names'!A:B,2,FALSE),B4733),PlayerValues!E:E,0)),"N/A")</f>
        <v>14840</v>
      </c>
      <c r="B4733" s="4" t="s">
        <v>731</v>
      </c>
      <c r="C4733" s="4" t="s">
        <v>287</v>
      </c>
      <c r="D4733" s="94">
        <v>2308.0</v>
      </c>
    </row>
    <row r="4734">
      <c r="A4734" s="40">
        <f t="array" ref="A4734">IFNA(index(PlayerValues!A:A,match(IFNA(vlookup(B4734,'Special Names'!A:B,2,FALSE),B4734),PlayerValues!E:E,0)),"N/A")</f>
        <v>16036</v>
      </c>
      <c r="B4734" s="4" t="s">
        <v>592</v>
      </c>
      <c r="C4734" s="4" t="s">
        <v>298</v>
      </c>
      <c r="D4734" s="94">
        <v>2688.0</v>
      </c>
    </row>
    <row r="4735">
      <c r="A4735" s="40">
        <f t="array" ref="A4735">IFNA(index(PlayerValues!A:A,match(IFNA(vlookup(B4735,'Special Names'!A:B,2,FALSE),B4735),PlayerValues!E:E,0)),"N/A")</f>
        <v>16152</v>
      </c>
      <c r="B4735" s="4" t="s">
        <v>601</v>
      </c>
      <c r="C4735" s="4" t="s">
        <v>283</v>
      </c>
      <c r="D4735" s="94">
        <v>2283.0</v>
      </c>
    </row>
    <row r="4736">
      <c r="A4736" s="40">
        <f t="array" ref="A4736">IFNA(index(PlayerValues!A:A,match(IFNA(vlookup(B4736,'Special Names'!A:B,2,FALSE),B4736),PlayerValues!E:E,0)),"N/A")</f>
        <v>16594</v>
      </c>
      <c r="B4736" s="4" t="s">
        <v>607</v>
      </c>
      <c r="C4736" s="4" t="s">
        <v>278</v>
      </c>
      <c r="D4736" s="94">
        <v>2273.0</v>
      </c>
    </row>
    <row r="4737">
      <c r="A4737" s="40">
        <f t="array" ref="A4737">IFNA(index(PlayerValues!A:A,match(IFNA(vlookup(B4737,'Special Names'!A:B,2,FALSE),B4737),PlayerValues!E:E,0)),"N/A")</f>
        <v>17547</v>
      </c>
      <c r="B4737" s="4" t="s">
        <v>552</v>
      </c>
      <c r="C4737" s="4" t="s">
        <v>298</v>
      </c>
      <c r="D4737" s="94">
        <v>2661.0</v>
      </c>
    </row>
    <row r="4738">
      <c r="A4738" s="40">
        <f t="array" ref="A4738">IFNA(index(PlayerValues!A:A,match(IFNA(vlookup(B4738,'Special Names'!A:B,2,FALSE),B4738),PlayerValues!E:E,0)),"N/A")</f>
        <v>17520</v>
      </c>
      <c r="B4738" s="4" t="s">
        <v>518</v>
      </c>
      <c r="C4738" s="4" t="s">
        <v>287</v>
      </c>
      <c r="D4738" s="94">
        <v>2253.0</v>
      </c>
    </row>
    <row r="4739">
      <c r="A4739" s="40" t="str">
        <f t="array" ref="A4739">IFNA(index(PlayerValues!A:A,match(IFNA(vlookup(B4739,'Special Names'!A:B,2,FALSE),B4739),PlayerValues!E:E,0)),"N/A")</f>
        <v>N/A</v>
      </c>
      <c r="B4739" s="4" t="s">
        <v>86</v>
      </c>
      <c r="C4739" s="4" t="s">
        <v>325</v>
      </c>
      <c r="D4739" s="94">
        <v>2252.0</v>
      </c>
    </row>
    <row r="4740">
      <c r="A4740" s="40">
        <f t="array" ref="A4740">IFNA(index(PlayerValues!A:A,match(IFNA(vlookup(B4740,'Special Names'!A:B,2,FALSE),B4740),PlayerValues!E:E,0)),"N/A")</f>
        <v>17033</v>
      </c>
      <c r="B4740" s="4" t="s">
        <v>570</v>
      </c>
      <c r="C4740" s="4" t="s">
        <v>283</v>
      </c>
      <c r="D4740" s="94">
        <v>2249.0</v>
      </c>
    </row>
    <row r="4741">
      <c r="A4741" s="40">
        <f t="array" ref="A4741">IFNA(index(PlayerValues!A:A,match(IFNA(vlookup(B4741,'Special Names'!A:B,2,FALSE),B4741),PlayerValues!E:E,0)),"N/A")</f>
        <v>12676</v>
      </c>
      <c r="B4741" s="4" t="s">
        <v>537</v>
      </c>
      <c r="C4741" s="4" t="s">
        <v>298</v>
      </c>
      <c r="D4741" s="94">
        <v>2634.0</v>
      </c>
    </row>
    <row r="4742">
      <c r="A4742" s="40">
        <f t="array" ref="A4742">IFNA(index(PlayerValues!A:A,match(IFNA(vlookup(B4742,'Special Names'!A:B,2,FALSE),B4742),PlayerValues!E:E,0)),"N/A")</f>
        <v>13772</v>
      </c>
      <c r="B4742" s="4" t="s">
        <v>544</v>
      </c>
      <c r="C4742" s="4" t="s">
        <v>298</v>
      </c>
      <c r="D4742" s="94">
        <v>2634.0</v>
      </c>
    </row>
    <row r="4743">
      <c r="A4743" s="40">
        <f t="array" ref="A4743">IFNA(index(PlayerValues!A:A,match(IFNA(vlookup(B4743,'Special Names'!A:B,2,FALSE),B4743),PlayerValues!E:E,0)),"N/A")</f>
        <v>11150</v>
      </c>
      <c r="B4743" s="4" t="s">
        <v>559</v>
      </c>
      <c r="C4743" s="4" t="s">
        <v>283</v>
      </c>
      <c r="D4743" s="94">
        <v>2239.0</v>
      </c>
    </row>
    <row r="4744">
      <c r="A4744" s="40">
        <f t="array" ref="A4744">IFNA(index(PlayerValues!A:A,match(IFNA(vlookup(B4744,'Special Names'!A:B,2,FALSE),B4744),PlayerValues!E:E,0)),"N/A")</f>
        <v>15331</v>
      </c>
      <c r="B4744" s="4" t="s">
        <v>560</v>
      </c>
      <c r="C4744" s="4" t="s">
        <v>298</v>
      </c>
      <c r="D4744" s="94">
        <v>2634.0</v>
      </c>
    </row>
    <row r="4745">
      <c r="A4745" s="40">
        <f t="array" ref="A4745">IFNA(index(PlayerValues!A:A,match(IFNA(vlookup(B4745,'Special Names'!A:B,2,FALSE),B4745),PlayerValues!E:E,0)),"N/A")</f>
        <v>16610</v>
      </c>
      <c r="B4745" s="4" t="s">
        <v>562</v>
      </c>
      <c r="C4745" s="4" t="s">
        <v>278</v>
      </c>
      <c r="D4745" s="94">
        <v>2238.0</v>
      </c>
    </row>
    <row r="4746">
      <c r="A4746" s="40" t="str">
        <f t="array" ref="A4746">IFNA(index(PlayerValues!A:A,match(IFNA(vlookup(B4746,'Special Names'!A:B,2,FALSE),B4746),PlayerValues!E:E,0)),"N/A")</f>
        <v>N/A</v>
      </c>
      <c r="B4746" s="4" t="s">
        <v>100</v>
      </c>
      <c r="C4746" s="4" t="s">
        <v>325</v>
      </c>
      <c r="D4746" s="94">
        <v>2234.0</v>
      </c>
    </row>
    <row r="4747">
      <c r="A4747" s="40">
        <f t="array" ref="A4747">IFNA(index(PlayerValues!A:A,match(IFNA(vlookup(B4747,'Special Names'!A:B,2,FALSE),B4747),PlayerValues!E:E,0)),"N/A")</f>
        <v>16649</v>
      </c>
      <c r="B4747" s="4" t="s">
        <v>586</v>
      </c>
      <c r="C4747" s="4" t="s">
        <v>298</v>
      </c>
      <c r="D4747" s="94">
        <v>2624.0</v>
      </c>
    </row>
    <row r="4748">
      <c r="A4748" s="40">
        <f t="array" ref="A4748">IFNA(index(PlayerValues!A:A,match(IFNA(vlookup(B4748,'Special Names'!A:B,2,FALSE),B4748),PlayerValues!E:E,0)),"N/A")</f>
        <v>13319</v>
      </c>
      <c r="B4748" s="4" t="s">
        <v>549</v>
      </c>
      <c r="C4748" s="4" t="s">
        <v>278</v>
      </c>
      <c r="D4748" s="94">
        <v>2217.0</v>
      </c>
    </row>
    <row r="4749">
      <c r="A4749" s="40">
        <f t="array" ref="A4749">IFNA(index(PlayerValues!A:A,match(IFNA(vlookup(B4749,'Special Names'!A:B,2,FALSE),B4749),PlayerValues!E:E,0)),"N/A")</f>
        <v>16757</v>
      </c>
      <c r="B4749" s="4" t="s">
        <v>558</v>
      </c>
      <c r="C4749" s="4" t="s">
        <v>278</v>
      </c>
      <c r="D4749" s="94">
        <v>2179.0</v>
      </c>
    </row>
    <row r="4750">
      <c r="A4750" s="40" t="str">
        <f t="array" ref="A4750">IFNA(index(PlayerValues!A:A,match(IFNA(vlookup(B4750,'Special Names'!A:B,2,FALSE),B4750),PlayerValues!E:E,0)),"N/A")</f>
        <v>N/A</v>
      </c>
      <c r="B4750" s="4" t="s">
        <v>112</v>
      </c>
      <c r="C4750" s="4" t="s">
        <v>325</v>
      </c>
      <c r="D4750" s="94">
        <v>2176.0</v>
      </c>
    </row>
    <row r="4751">
      <c r="A4751" s="40">
        <f t="array" ref="A4751">IFNA(index(PlayerValues!A:A,match(IFNA(vlookup(B4751,'Special Names'!A:B,2,FALSE),B4751),PlayerValues!E:E,0)),"N/A")</f>
        <v>12186</v>
      </c>
      <c r="B4751" s="4" t="s">
        <v>497</v>
      </c>
      <c r="C4751" s="4" t="s">
        <v>287</v>
      </c>
      <c r="D4751" s="94">
        <v>2172.0</v>
      </c>
    </row>
    <row r="4752">
      <c r="A4752" s="40">
        <f t="array" ref="A4752">IFNA(index(PlayerValues!A:A,match(IFNA(vlookup(B4752,'Special Names'!A:B,2,FALSE),B4752),PlayerValues!E:E,0)),"N/A")</f>
        <v>16166</v>
      </c>
      <c r="B4752" s="4" t="s">
        <v>567</v>
      </c>
      <c r="C4752" s="4" t="s">
        <v>278</v>
      </c>
      <c r="D4752" s="94">
        <v>2163.0</v>
      </c>
    </row>
    <row r="4753">
      <c r="A4753" s="40">
        <f t="array" ref="A4753">IFNA(index(PlayerValues!A:A,match(IFNA(vlookup(B4753,'Special Names'!A:B,2,FALSE),B4753),PlayerValues!E:E,0)),"N/A")</f>
        <v>14136</v>
      </c>
      <c r="B4753" s="4" t="s">
        <v>536</v>
      </c>
      <c r="C4753" s="4" t="s">
        <v>287</v>
      </c>
      <c r="D4753" s="94">
        <v>2154.0</v>
      </c>
    </row>
    <row r="4754">
      <c r="A4754" s="40" t="str">
        <f t="array" ref="A4754">IFNA(index(PlayerValues!A:A,match(IFNA(vlookup(B4754,'Special Names'!A:B,2,FALSE),B4754),PlayerValues!E:E,0)),"N/A")</f>
        <v>N/A</v>
      </c>
      <c r="B4754" s="4" t="s">
        <v>87</v>
      </c>
      <c r="C4754" s="4" t="s">
        <v>325</v>
      </c>
      <c r="D4754" s="94">
        <v>2146.0</v>
      </c>
    </row>
    <row r="4755">
      <c r="A4755" s="40">
        <f t="array" ref="A4755">IFNA(index(PlayerValues!A:A,match(IFNA(vlookup(B4755,'Special Names'!A:B,2,FALSE),B4755),PlayerValues!E:E,0)),"N/A")</f>
        <v>17079</v>
      </c>
      <c r="B4755" s="4" t="s">
        <v>572</v>
      </c>
      <c r="C4755" s="4" t="s">
        <v>287</v>
      </c>
      <c r="D4755" s="94">
        <v>2140.0</v>
      </c>
    </row>
    <row r="4756">
      <c r="A4756" s="40">
        <f t="array" ref="A4756">IFNA(index(PlayerValues!A:A,match(IFNA(vlookup(B4756,'Special Names'!A:B,2,FALSE),B4756),PlayerValues!E:E,0)),"N/A")</f>
        <v>13113</v>
      </c>
      <c r="B4756" s="4" t="s">
        <v>606</v>
      </c>
      <c r="C4756" s="4" t="s">
        <v>283</v>
      </c>
      <c r="D4756" s="94">
        <v>2134.0</v>
      </c>
    </row>
    <row r="4757">
      <c r="A4757" s="40">
        <f t="array" ref="A4757">IFNA(index(PlayerValues!A:A,match(IFNA(vlookup(B4757,'Special Names'!A:B,2,FALSE),B4757),PlayerValues!E:E,0)),"N/A")</f>
        <v>17055</v>
      </c>
      <c r="B4757" s="4" t="s">
        <v>565</v>
      </c>
      <c r="C4757" s="4" t="s">
        <v>278</v>
      </c>
      <c r="D4757" s="94">
        <v>2122.0</v>
      </c>
    </row>
    <row r="4758">
      <c r="A4758" s="40">
        <f t="array" ref="A4758">IFNA(index(PlayerValues!A:A,match(IFNA(vlookup(B4758,'Special Names'!A:B,2,FALSE),B4758),PlayerValues!E:E,0)),"N/A")</f>
        <v>16212</v>
      </c>
      <c r="B4758" s="4" t="s">
        <v>568</v>
      </c>
      <c r="C4758" s="4" t="s">
        <v>298</v>
      </c>
      <c r="D4758" s="94">
        <v>2494.0</v>
      </c>
    </row>
    <row r="4759">
      <c r="A4759" s="40" t="str">
        <f t="array" ref="A4759">IFNA(index(PlayerValues!A:A,match(IFNA(vlookup(B4759,'Special Names'!A:B,2,FALSE),B4759),PlayerValues!E:E,0)),"N/A")</f>
        <v>N/A</v>
      </c>
      <c r="B4759" s="4" t="s">
        <v>113</v>
      </c>
      <c r="C4759" s="4" t="s">
        <v>325</v>
      </c>
      <c r="D4759" s="94">
        <v>2101.0</v>
      </c>
    </row>
    <row r="4760">
      <c r="A4760" s="40">
        <f t="array" ref="A4760">IFNA(index(PlayerValues!A:A,match(IFNA(vlookup(B4760,'Special Names'!A:B,2,FALSE),B4760),PlayerValues!E:E,0)),"N/A")</f>
        <v>16189</v>
      </c>
      <c r="B4760" s="4" t="s">
        <v>582</v>
      </c>
      <c r="C4760" s="4" t="s">
        <v>287</v>
      </c>
      <c r="D4760" s="94">
        <v>2097.0</v>
      </c>
    </row>
    <row r="4761">
      <c r="A4761" s="40">
        <f t="array" ref="A4761">IFNA(index(PlayerValues!A:A,match(IFNA(vlookup(B4761,'Special Names'!A:B,2,FALSE),B4761),PlayerValues!E:E,0)),"N/A")</f>
        <v>14974</v>
      </c>
      <c r="B4761" s="4" t="s">
        <v>611</v>
      </c>
      <c r="C4761" s="4" t="s">
        <v>287</v>
      </c>
      <c r="D4761" s="94">
        <v>2091.0</v>
      </c>
    </row>
    <row r="4762">
      <c r="A4762" s="40">
        <f t="array" ref="A4762">IFNA(index(PlayerValues!A:A,match(IFNA(vlookup(B4762,'Special Names'!A:B,2,FALSE),B4762),PlayerValues!E:E,0)),"N/A")</f>
        <v>17046</v>
      </c>
      <c r="B4762" s="4" t="s">
        <v>602</v>
      </c>
      <c r="C4762" s="4" t="s">
        <v>278</v>
      </c>
      <c r="D4762" s="94">
        <v>2089.0</v>
      </c>
    </row>
    <row r="4763">
      <c r="A4763" s="40" t="str">
        <f t="array" ref="A4763">IFNA(index(PlayerValues!A:A,match(IFNA(vlookup(B4763,'Special Names'!A:B,2,FALSE),B4763),PlayerValues!E:E,0)),"N/A")</f>
        <v>N/A</v>
      </c>
      <c r="B4763" s="4" t="s">
        <v>88</v>
      </c>
      <c r="C4763" s="4" t="s">
        <v>325</v>
      </c>
      <c r="D4763" s="94">
        <v>2083.0</v>
      </c>
    </row>
    <row r="4764">
      <c r="A4764" s="40">
        <f t="array" ref="A4764">IFNA(index(PlayerValues!A:A,match(IFNA(vlookup(B4764,'Special Names'!A:B,2,FALSE),B4764),PlayerValues!E:E,0)),"N/A")</f>
        <v>13132</v>
      </c>
      <c r="B4764" s="4" t="s">
        <v>598</v>
      </c>
      <c r="C4764" s="4" t="s">
        <v>278</v>
      </c>
      <c r="D4764" s="94">
        <v>2079.0</v>
      </c>
    </row>
    <row r="4765">
      <c r="A4765" s="40">
        <f t="array" ref="A4765">IFNA(index(PlayerValues!A:A,match(IFNA(vlookup(B4765,'Special Names'!A:B,2,FALSE),B4765),PlayerValues!E:E,0)),"N/A")</f>
        <v>16432</v>
      </c>
      <c r="B4765" s="4" t="s">
        <v>620</v>
      </c>
      <c r="C4765" s="4" t="s">
        <v>278</v>
      </c>
      <c r="D4765" s="94">
        <v>2074.0</v>
      </c>
    </row>
    <row r="4766">
      <c r="A4766" s="40">
        <f t="array" ref="A4766">IFNA(index(PlayerValues!A:A,match(IFNA(vlookup(B4766,'Special Names'!A:B,2,FALSE),B4766),PlayerValues!E:E,0)),"N/A")</f>
        <v>17056</v>
      </c>
      <c r="B4766" s="4" t="s">
        <v>581</v>
      </c>
      <c r="C4766" s="4" t="s">
        <v>278</v>
      </c>
      <c r="D4766" s="94">
        <v>2072.0</v>
      </c>
    </row>
    <row r="4767">
      <c r="A4767" s="40">
        <f t="array" ref="A4767">IFNA(index(PlayerValues!A:A,match(IFNA(vlookup(B4767,'Special Names'!A:B,2,FALSE),B4767),PlayerValues!E:E,0)),"N/A")</f>
        <v>15238</v>
      </c>
      <c r="B4767" s="4" t="s">
        <v>613</v>
      </c>
      <c r="C4767" s="4" t="s">
        <v>283</v>
      </c>
      <c r="D4767" s="94">
        <v>2070.0</v>
      </c>
    </row>
    <row r="4768">
      <c r="A4768" s="40">
        <f t="array" ref="A4768">IFNA(index(PlayerValues!A:A,match(IFNA(vlookup(B4768,'Special Names'!A:B,2,FALSE),B4768),PlayerValues!E:E,0)),"N/A")</f>
        <v>16643</v>
      </c>
      <c r="B4768" s="4" t="s">
        <v>609</v>
      </c>
      <c r="C4768" s="4" t="s">
        <v>298</v>
      </c>
      <c r="D4768" s="94">
        <v>2454.0</v>
      </c>
    </row>
    <row r="4769">
      <c r="A4769" s="40">
        <f t="array" ref="A4769">IFNA(index(PlayerValues!A:A,match(IFNA(vlookup(B4769,'Special Names'!A:B,2,FALSE),B4769),PlayerValues!E:E,0)),"N/A")</f>
        <v>15293</v>
      </c>
      <c r="B4769" s="4" t="s">
        <v>578</v>
      </c>
      <c r="C4769" s="4" t="s">
        <v>287</v>
      </c>
      <c r="D4769" s="94">
        <v>2062.0</v>
      </c>
    </row>
    <row r="4770">
      <c r="A4770" s="40">
        <f t="array" ref="A4770">IFNA(index(PlayerValues!A:A,match(IFNA(vlookup(B4770,'Special Names'!A:B,2,FALSE),B4770),PlayerValues!E:E,0)),"N/A")</f>
        <v>17060</v>
      </c>
      <c r="B4770" s="4" t="s">
        <v>603</v>
      </c>
      <c r="C4770" s="4" t="s">
        <v>278</v>
      </c>
      <c r="D4770" s="94">
        <v>2046.0</v>
      </c>
    </row>
    <row r="4771">
      <c r="A4771" s="40">
        <f t="array" ref="A4771">IFNA(index(PlayerValues!A:A,match(IFNA(vlookup(B4771,'Special Names'!A:B,2,FALSE),B4771),PlayerValues!E:E,0)),"N/A")</f>
        <v>17069</v>
      </c>
      <c r="B4771" s="4" t="s">
        <v>604</v>
      </c>
      <c r="C4771" s="4" t="s">
        <v>278</v>
      </c>
      <c r="D4771" s="94">
        <v>2038.0</v>
      </c>
    </row>
    <row r="4772">
      <c r="A4772" s="40">
        <f t="array" ref="A4772">IFNA(index(PlayerValues!A:A,match(IFNA(vlookup(B4772,'Special Names'!A:B,2,FALSE),B4772),PlayerValues!E:E,0)),"N/A")</f>
        <v>17061</v>
      </c>
      <c r="B4772" s="4" t="s">
        <v>580</v>
      </c>
      <c r="C4772" s="4" t="s">
        <v>278</v>
      </c>
      <c r="D4772" s="94">
        <v>2033.0</v>
      </c>
    </row>
    <row r="4773">
      <c r="A4773" s="40">
        <f t="array" ref="A4773">IFNA(index(PlayerValues!A:A,match(IFNA(vlookup(B4773,'Special Names'!A:B,2,FALSE),B4773),PlayerValues!E:E,0)),"N/A")</f>
        <v>12801</v>
      </c>
      <c r="B4773" s="4" t="s">
        <v>722</v>
      </c>
      <c r="C4773" s="4" t="s">
        <v>287</v>
      </c>
      <c r="D4773" s="94">
        <v>2025.0</v>
      </c>
    </row>
    <row r="4774">
      <c r="A4774" s="40">
        <f t="array" ref="A4774">IFNA(index(PlayerValues!A:A,match(IFNA(vlookup(B4774,'Special Names'!A:B,2,FALSE),B4774),PlayerValues!E:E,0)),"N/A")</f>
        <v>16342</v>
      </c>
      <c r="B4774" s="4" t="s">
        <v>583</v>
      </c>
      <c r="C4774" s="4" t="s">
        <v>287</v>
      </c>
      <c r="D4774" s="94">
        <v>2018.0</v>
      </c>
    </row>
    <row r="4775">
      <c r="A4775" s="40">
        <f t="array" ref="A4775">IFNA(index(PlayerValues!A:A,match(IFNA(vlookup(B4775,'Special Names'!A:B,2,FALSE),B4775),PlayerValues!E:E,0)),"N/A")</f>
        <v>17087</v>
      </c>
      <c r="B4775" s="4" t="s">
        <v>600</v>
      </c>
      <c r="C4775" s="4" t="s">
        <v>287</v>
      </c>
      <c r="D4775" s="94">
        <v>2016.0</v>
      </c>
    </row>
    <row r="4776">
      <c r="A4776" s="40">
        <f t="array" ref="A4776">IFNA(index(PlayerValues!A:A,match(IFNA(vlookup(B4776,'Special Names'!A:B,2,FALSE),B4776),PlayerValues!E:E,0)),"N/A")</f>
        <v>17076</v>
      </c>
      <c r="B4776" s="4" t="s">
        <v>585</v>
      </c>
      <c r="C4776" s="4" t="s">
        <v>287</v>
      </c>
      <c r="D4776" s="94">
        <v>2004.0</v>
      </c>
    </row>
    <row r="4777">
      <c r="A4777" s="40" t="str">
        <f t="array" ref="A4777">IFNA(index(PlayerValues!A:A,match(IFNA(vlookup(B4777,'Special Names'!A:B,2,FALSE),B4777),PlayerValues!E:E,0)),"N/A")</f>
        <v>N/A</v>
      </c>
      <c r="B4777" s="4" t="s">
        <v>114</v>
      </c>
      <c r="C4777" s="4" t="s">
        <v>325</v>
      </c>
      <c r="D4777" s="94">
        <v>1992.0</v>
      </c>
    </row>
    <row r="4778">
      <c r="A4778" s="40">
        <f t="array" ref="A4778">IFNA(index(PlayerValues!A:A,match(IFNA(vlookup(B4778,'Special Names'!A:B,2,FALSE),B4778),PlayerValues!E:E,0)),"N/A")</f>
        <v>13633</v>
      </c>
      <c r="B4778" s="4" t="s">
        <v>625</v>
      </c>
      <c r="C4778" s="4" t="s">
        <v>287</v>
      </c>
      <c r="D4778" s="94">
        <v>1987.0</v>
      </c>
    </row>
    <row r="4779">
      <c r="A4779" s="40">
        <f t="array" ref="A4779">IFNA(index(PlayerValues!A:A,match(IFNA(vlookup(B4779,'Special Names'!A:B,2,FALSE),B4779),PlayerValues!E:E,0)),"N/A")</f>
        <v>10700</v>
      </c>
      <c r="B4779" s="4" t="s">
        <v>596</v>
      </c>
      <c r="C4779" s="4" t="s">
        <v>283</v>
      </c>
      <c r="D4779" s="94">
        <v>1978.0</v>
      </c>
    </row>
    <row r="4780">
      <c r="A4780" s="40">
        <f t="array" ref="A4780">IFNA(index(PlayerValues!A:A,match(IFNA(vlookup(B4780,'Special Names'!A:B,2,FALSE),B4780),PlayerValues!E:E,0)),"N/A")</f>
        <v>16603</v>
      </c>
      <c r="B4780" s="4" t="s">
        <v>587</v>
      </c>
      <c r="C4780" s="4" t="s">
        <v>278</v>
      </c>
      <c r="D4780" s="94">
        <v>1974.0</v>
      </c>
    </row>
    <row r="4781">
      <c r="A4781" s="40">
        <f t="array" ref="A4781">IFNA(index(PlayerValues!A:A,match(IFNA(vlookup(B4781,'Special Names'!A:B,2,FALSE),B4781),PlayerValues!E:E,0)),"N/A")</f>
        <v>14867</v>
      </c>
      <c r="B4781" s="4" t="s">
        <v>591</v>
      </c>
      <c r="C4781" s="4" t="s">
        <v>298</v>
      </c>
      <c r="D4781" s="94">
        <v>2361.0</v>
      </c>
    </row>
    <row r="4782">
      <c r="A4782" s="40">
        <f t="array" ref="A4782">IFNA(index(PlayerValues!A:A,match(IFNA(vlookup(B4782,'Special Names'!A:B,2,FALSE),B4782),PlayerValues!E:E,0)),"N/A")</f>
        <v>17036</v>
      </c>
      <c r="B4782" s="4" t="s">
        <v>617</v>
      </c>
      <c r="C4782" s="4" t="s">
        <v>283</v>
      </c>
      <c r="D4782" s="94">
        <v>1970.0</v>
      </c>
    </row>
    <row r="4783">
      <c r="A4783" s="40">
        <f t="array" ref="A4783">IFNA(index(PlayerValues!A:A,match(IFNA(vlookup(B4783,'Special Names'!A:B,2,FALSE),B4783),PlayerValues!E:E,0)),"N/A")</f>
        <v>17184</v>
      </c>
      <c r="B4783" s="4" t="s">
        <v>588</v>
      </c>
      <c r="C4783" s="4" t="s">
        <v>287</v>
      </c>
      <c r="D4783" s="94">
        <v>1953.0</v>
      </c>
    </row>
    <row r="4784">
      <c r="A4784" s="40">
        <f t="array" ref="A4784">IFNA(index(PlayerValues!A:A,match(IFNA(vlookup(B4784,'Special Names'!A:B,2,FALSE),B4784),PlayerValues!E:E,0)),"N/A")</f>
        <v>16639</v>
      </c>
      <c r="B4784" s="4" t="s">
        <v>599</v>
      </c>
      <c r="C4784" s="4" t="s">
        <v>287</v>
      </c>
      <c r="D4784" s="94">
        <v>1944.0</v>
      </c>
    </row>
    <row r="4785">
      <c r="A4785" s="40">
        <f t="array" ref="A4785">IFNA(index(PlayerValues!A:A,match(IFNA(vlookup(B4785,'Special Names'!A:B,2,FALSE),B4785),PlayerValues!E:E,0)),"N/A")</f>
        <v>16604</v>
      </c>
      <c r="B4785" s="4" t="s">
        <v>476</v>
      </c>
      <c r="C4785" s="4" t="s">
        <v>278</v>
      </c>
      <c r="D4785" s="94">
        <v>1935.0</v>
      </c>
    </row>
    <row r="4786">
      <c r="A4786" s="40" t="str">
        <f t="array" ref="A4786">IFNA(index(PlayerValues!A:A,match(IFNA(vlookup(B4786,'Special Names'!A:B,2,FALSE),B4786),PlayerValues!E:E,0)),"N/A")</f>
        <v>N/A</v>
      </c>
      <c r="B4786" s="4" t="s">
        <v>101</v>
      </c>
      <c r="C4786" s="4" t="s">
        <v>325</v>
      </c>
      <c r="D4786" s="94">
        <v>1920.0</v>
      </c>
    </row>
    <row r="4787">
      <c r="A4787" s="40">
        <f t="array" ref="A4787">IFNA(index(PlayerValues!A:A,match(IFNA(vlookup(B4787,'Special Names'!A:B,2,FALSE),B4787),PlayerValues!E:E,0)),"N/A")</f>
        <v>7836</v>
      </c>
      <c r="B4787" s="4" t="s">
        <v>590</v>
      </c>
      <c r="C4787" s="4" t="s">
        <v>283</v>
      </c>
      <c r="D4787" s="94">
        <v>1889.0</v>
      </c>
    </row>
    <row r="4788">
      <c r="A4788" s="40">
        <f t="array" ref="A4788">IFNA(index(PlayerValues!A:A,match(IFNA(vlookup(B4788,'Special Names'!A:B,2,FALSE),B4788),PlayerValues!E:E,0)),"N/A")</f>
        <v>13189</v>
      </c>
      <c r="B4788" s="4" t="s">
        <v>626</v>
      </c>
      <c r="C4788" s="4" t="s">
        <v>298</v>
      </c>
      <c r="D4788" s="94">
        <v>2260.0</v>
      </c>
    </row>
    <row r="4789">
      <c r="A4789" s="40">
        <f t="array" ref="A4789">IFNA(index(PlayerValues!A:A,match(IFNA(vlookup(B4789,'Special Names'!A:B,2,FALSE),B4789),PlayerValues!E:E,0)),"N/A")</f>
        <v>13629</v>
      </c>
      <c r="B4789" s="4" t="s">
        <v>619</v>
      </c>
      <c r="C4789" s="4" t="s">
        <v>287</v>
      </c>
      <c r="D4789" s="94">
        <v>1868.0</v>
      </c>
    </row>
    <row r="4790">
      <c r="A4790" s="40">
        <f t="array" ref="A4790">IFNA(index(PlayerValues!A:A,match(IFNA(vlookup(B4790,'Special Names'!A:B,2,FALSE),B4790),PlayerValues!E:E,0)),"N/A")</f>
        <v>14871</v>
      </c>
      <c r="B4790" s="4" t="s">
        <v>584</v>
      </c>
      <c r="C4790" s="4" t="s">
        <v>298</v>
      </c>
      <c r="D4790" s="94">
        <v>2248.0</v>
      </c>
    </row>
    <row r="4791">
      <c r="A4791" s="40">
        <f t="array" ref="A4791">IFNA(index(PlayerValues!A:A,match(IFNA(vlookup(B4791,'Special Names'!A:B,2,FALSE),B4791),PlayerValues!E:E,0)),"N/A")</f>
        <v>16191</v>
      </c>
      <c r="B4791" s="4" t="s">
        <v>666</v>
      </c>
      <c r="C4791" s="4" t="s">
        <v>287</v>
      </c>
      <c r="D4791" s="94">
        <v>1860.0</v>
      </c>
    </row>
    <row r="4792">
      <c r="A4792" s="40">
        <f t="array" ref="A4792">IFNA(index(PlayerValues!A:A,match(IFNA(vlookup(B4792,'Special Names'!A:B,2,FALSE),B4792),PlayerValues!E:E,0)),"N/A")</f>
        <v>17086</v>
      </c>
      <c r="B4792" s="4" t="s">
        <v>612</v>
      </c>
      <c r="C4792" s="4" t="s">
        <v>287</v>
      </c>
      <c r="D4792" s="94">
        <v>1859.0</v>
      </c>
    </row>
    <row r="4793">
      <c r="A4793" s="40">
        <f t="array" ref="A4793">IFNA(index(PlayerValues!A:A,match(IFNA(vlookup(B4793,'Special Names'!A:B,2,FALSE),B4793),PlayerValues!E:E,0)),"N/A")</f>
        <v>17049</v>
      </c>
      <c r="B4793" s="4" t="s">
        <v>624</v>
      </c>
      <c r="C4793" s="4" t="s">
        <v>278</v>
      </c>
      <c r="D4793" s="94">
        <v>1854.0</v>
      </c>
    </row>
    <row r="4794">
      <c r="A4794" s="40">
        <f t="array" ref="A4794">IFNA(index(PlayerValues!A:A,match(IFNA(vlookup(B4794,'Special Names'!A:B,2,FALSE),B4794),PlayerValues!E:E,0)),"N/A")</f>
        <v>16171</v>
      </c>
      <c r="B4794" s="4" t="s">
        <v>618</v>
      </c>
      <c r="C4794" s="4" t="s">
        <v>278</v>
      </c>
      <c r="D4794" s="94">
        <v>1853.0</v>
      </c>
    </row>
    <row r="4795">
      <c r="A4795" s="40">
        <f t="array" ref="A4795">IFNA(index(PlayerValues!A:A,match(IFNA(vlookup(B4795,'Special Names'!A:B,2,FALSE),B4795),PlayerValues!E:E,0)),"N/A")</f>
        <v>16215</v>
      </c>
      <c r="B4795" s="4" t="s">
        <v>637</v>
      </c>
      <c r="C4795" s="4" t="s">
        <v>298</v>
      </c>
      <c r="D4795" s="94">
        <v>2224.0</v>
      </c>
    </row>
    <row r="4796">
      <c r="A4796" s="40">
        <f t="array" ref="A4796">IFNA(index(PlayerValues!A:A,match(IFNA(vlookup(B4796,'Special Names'!A:B,2,FALSE),B4796),PlayerValues!E:E,0)),"N/A")</f>
        <v>16752</v>
      </c>
      <c r="B4796" s="4" t="s">
        <v>597</v>
      </c>
      <c r="C4796" s="4" t="s">
        <v>278</v>
      </c>
      <c r="D4796" s="94">
        <v>1842.0</v>
      </c>
    </row>
    <row r="4797">
      <c r="A4797" s="40">
        <f t="array" ref="A4797">IFNA(index(PlayerValues!A:A,match(IFNA(vlookup(B4797,'Special Names'!A:B,2,FALSE),B4797),PlayerValues!E:E,0)),"N/A")</f>
        <v>15787</v>
      </c>
      <c r="B4797" s="4" t="s">
        <v>610</v>
      </c>
      <c r="C4797" s="4" t="s">
        <v>287</v>
      </c>
      <c r="D4797" s="94">
        <v>1838.0</v>
      </c>
    </row>
    <row r="4798">
      <c r="A4798" s="40">
        <f t="array" ref="A4798">IFNA(index(PlayerValues!A:A,match(IFNA(vlookup(B4798,'Special Names'!A:B,2,FALSE),B4798),PlayerValues!E:E,0)),"N/A")</f>
        <v>15797</v>
      </c>
      <c r="B4798" s="4" t="s">
        <v>556</v>
      </c>
      <c r="C4798" s="4" t="s">
        <v>298</v>
      </c>
      <c r="D4798" s="94">
        <v>2206.0</v>
      </c>
    </row>
    <row r="4799">
      <c r="A4799" s="40">
        <f t="array" ref="A4799">IFNA(index(PlayerValues!A:A,match(IFNA(vlookup(B4799,'Special Names'!A:B,2,FALSE),B4799),PlayerValues!E:E,0)),"N/A")</f>
        <v>16216</v>
      </c>
      <c r="B4799" s="4" t="s">
        <v>595</v>
      </c>
      <c r="C4799" s="4" t="s">
        <v>298</v>
      </c>
      <c r="D4799" s="94">
        <v>2195.0</v>
      </c>
    </row>
    <row r="4800">
      <c r="A4800" s="40">
        <f t="array" ref="A4800">IFNA(index(PlayerValues!A:A,match(IFNA(vlookup(B4800,'Special Names'!A:B,2,FALSE),B4800),PlayerValues!E:E,0)),"N/A")</f>
        <v>13146</v>
      </c>
      <c r="B4800" s="4" t="s">
        <v>652</v>
      </c>
      <c r="C4800" s="4" t="s">
        <v>278</v>
      </c>
      <c r="D4800" s="94">
        <v>1806.0</v>
      </c>
    </row>
    <row r="4801">
      <c r="A4801" s="40">
        <f t="array" ref="A4801">IFNA(index(PlayerValues!A:A,match(IFNA(vlookup(B4801,'Special Names'!A:B,2,FALSE),B4801),PlayerValues!E:E,0)),"N/A")</f>
        <v>15788</v>
      </c>
      <c r="B4801" s="4" t="s">
        <v>627</v>
      </c>
      <c r="C4801" s="4" t="s">
        <v>287</v>
      </c>
      <c r="D4801" s="94">
        <v>1801.0</v>
      </c>
    </row>
    <row r="4802">
      <c r="A4802" s="40">
        <f t="array" ref="A4802">IFNA(index(PlayerValues!A:A,match(IFNA(vlookup(B4802,'Special Names'!A:B,2,FALSE),B4802),PlayerValues!E:E,0)),"N/A")</f>
        <v>17034</v>
      </c>
      <c r="B4802" s="4" t="s">
        <v>643</v>
      </c>
      <c r="C4802" s="4" t="s">
        <v>283</v>
      </c>
      <c r="D4802" s="94">
        <v>1801.0</v>
      </c>
    </row>
    <row r="4803">
      <c r="A4803" s="40">
        <f t="array" ref="A4803">IFNA(index(PlayerValues!A:A,match(IFNA(vlookup(B4803,'Special Names'!A:B,2,FALSE),B4803),PlayerValues!E:E,0)),"N/A")</f>
        <v>17467</v>
      </c>
      <c r="B4803" s="4" t="s">
        <v>575</v>
      </c>
      <c r="C4803" s="4" t="s">
        <v>283</v>
      </c>
      <c r="D4803" s="94">
        <v>1797.0</v>
      </c>
    </row>
    <row r="4804">
      <c r="A4804" s="40">
        <f t="array" ref="A4804">IFNA(index(PlayerValues!A:A,match(IFNA(vlookup(B4804,'Special Names'!A:B,2,FALSE),B4804),PlayerValues!E:E,0)),"N/A")</f>
        <v>14143</v>
      </c>
      <c r="B4804" s="4" t="s">
        <v>635</v>
      </c>
      <c r="C4804" s="4" t="s">
        <v>298</v>
      </c>
      <c r="D4804" s="94">
        <v>2159.0</v>
      </c>
    </row>
    <row r="4805">
      <c r="A4805" s="40">
        <f t="array" ref="A4805">IFNA(index(PlayerValues!A:A,match(IFNA(vlookup(B4805,'Special Names'!A:B,2,FALSE),B4805),PlayerValues!E:E,0)),"N/A")</f>
        <v>16778</v>
      </c>
      <c r="B4805" s="4" t="s">
        <v>577</v>
      </c>
      <c r="C4805" s="4" t="s">
        <v>287</v>
      </c>
      <c r="D4805" s="94">
        <v>1761.0</v>
      </c>
    </row>
    <row r="4806">
      <c r="A4806" s="40">
        <f t="array" ref="A4806">IFNA(index(PlayerValues!A:A,match(IFNA(vlookup(B4806,'Special Names'!A:B,2,FALSE),B4806),PlayerValues!E:E,0)),"N/A")</f>
        <v>13164</v>
      </c>
      <c r="B4806" s="4" t="s">
        <v>632</v>
      </c>
      <c r="C4806" s="4" t="s">
        <v>287</v>
      </c>
      <c r="D4806" s="94">
        <v>1753.0</v>
      </c>
    </row>
    <row r="4807">
      <c r="A4807" s="40">
        <f t="array" ref="A4807">IFNA(index(PlayerValues!A:A,match(IFNA(vlookup(B4807,'Special Names'!A:B,2,FALSE),B4807),PlayerValues!E:E,0)),"N/A")</f>
        <v>17035</v>
      </c>
      <c r="B4807" s="4" t="s">
        <v>650</v>
      </c>
      <c r="C4807" s="4" t="s">
        <v>283</v>
      </c>
      <c r="D4807" s="94">
        <v>1749.0</v>
      </c>
    </row>
    <row r="4808">
      <c r="A4808" s="40">
        <f t="array" ref="A4808">IFNA(index(PlayerValues!A:A,match(IFNA(vlookup(B4808,'Special Names'!A:B,2,FALSE),B4808),PlayerValues!E:E,0)),"N/A")</f>
        <v>17481</v>
      </c>
      <c r="B4808" s="4" t="s">
        <v>540</v>
      </c>
      <c r="C4808" s="4" t="s">
        <v>278</v>
      </c>
      <c r="D4808" s="94">
        <v>1749.0</v>
      </c>
    </row>
    <row r="4809">
      <c r="A4809" s="40">
        <f t="array" ref="A4809">IFNA(index(PlayerValues!A:A,match(IFNA(vlookup(B4809,'Special Names'!A:B,2,FALSE),B4809),PlayerValues!E:E,0)),"N/A")</f>
        <v>16644</v>
      </c>
      <c r="B4809" s="4" t="s">
        <v>640</v>
      </c>
      <c r="C4809" s="4" t="s">
        <v>298</v>
      </c>
      <c r="D4809" s="94">
        <v>2124.0</v>
      </c>
    </row>
    <row r="4810">
      <c r="A4810" s="40" t="str">
        <f t="array" ref="A4810">IFNA(index(PlayerValues!A:A,match(IFNA(vlookup(B4810,'Special Names'!A:B,2,FALSE),B4810),PlayerValues!E:E,0)),"N/A")</f>
        <v>N/A</v>
      </c>
      <c r="B4810" s="4" t="s">
        <v>102</v>
      </c>
      <c r="C4810" s="4" t="s">
        <v>325</v>
      </c>
      <c r="D4810" s="94">
        <v>1738.0</v>
      </c>
    </row>
    <row r="4811">
      <c r="A4811" s="40">
        <f t="array" ref="A4811">IFNA(index(PlayerValues!A:A,match(IFNA(vlookup(B4811,'Special Names'!A:B,2,FALSE),B4811),PlayerValues!E:E,0)),"N/A")</f>
        <v>14105</v>
      </c>
      <c r="B4811" s="4" t="s">
        <v>675</v>
      </c>
      <c r="C4811" s="4" t="s">
        <v>287</v>
      </c>
      <c r="D4811" s="94">
        <v>1735.0</v>
      </c>
    </row>
    <row r="4812">
      <c r="A4812" s="40">
        <f t="array" ref="A4812">IFNA(index(PlayerValues!A:A,match(IFNA(vlookup(B4812,'Special Names'!A:B,2,FALSE),B4812),PlayerValues!E:E,0)),"N/A")</f>
        <v>17528</v>
      </c>
      <c r="B4812" s="4" t="s">
        <v>579</v>
      </c>
      <c r="C4812" s="4" t="s">
        <v>287</v>
      </c>
      <c r="D4812" s="94">
        <v>1731.0</v>
      </c>
    </row>
    <row r="4813">
      <c r="A4813" s="40">
        <f t="array" ref="A4813">IFNA(index(PlayerValues!A:A,match(IFNA(vlookup(B4813,'Special Names'!A:B,2,FALSE),B4813),PlayerValues!E:E,0)),"N/A")</f>
        <v>17466</v>
      </c>
      <c r="B4813" s="4" t="s">
        <v>492</v>
      </c>
      <c r="C4813" s="4" t="s">
        <v>283</v>
      </c>
      <c r="D4813" s="94">
        <v>1725.0</v>
      </c>
    </row>
    <row r="4814">
      <c r="A4814" s="40">
        <f t="array" ref="A4814">IFNA(index(PlayerValues!A:A,match(IFNA(vlookup(B4814,'Special Names'!A:B,2,FALSE),B4814),PlayerValues!E:E,0)),"N/A")</f>
        <v>16635</v>
      </c>
      <c r="B4814" s="4" t="s">
        <v>645</v>
      </c>
      <c r="C4814" s="4" t="s">
        <v>287</v>
      </c>
      <c r="D4814" s="94">
        <v>1710.0</v>
      </c>
    </row>
    <row r="4815">
      <c r="A4815" s="40">
        <f t="array" ref="A4815">IFNA(index(PlayerValues!A:A,match(IFNA(vlookup(B4815,'Special Names'!A:B,2,FALSE),B4815),PlayerValues!E:E,0)),"N/A")</f>
        <v>16201</v>
      </c>
      <c r="B4815" s="4" t="s">
        <v>589</v>
      </c>
      <c r="C4815" s="4" t="s">
        <v>287</v>
      </c>
      <c r="D4815" s="94">
        <v>1709.0</v>
      </c>
    </row>
    <row r="4816">
      <c r="A4816" s="40">
        <f t="array" ref="A4816">IFNA(index(PlayerValues!A:A,match(IFNA(vlookup(B4816,'Special Names'!A:B,2,FALSE),B4816),PlayerValues!E:E,0)),"N/A")</f>
        <v>16585</v>
      </c>
      <c r="B4816" s="4" t="s">
        <v>623</v>
      </c>
      <c r="C4816" s="4" t="s">
        <v>283</v>
      </c>
      <c r="D4816" s="94">
        <v>1707.0</v>
      </c>
    </row>
    <row r="4817">
      <c r="A4817" s="40" t="str">
        <f t="array" ref="A4817">IFNA(index(PlayerValues!A:A,match(IFNA(vlookup(B4817,'Special Names'!A:B,2,FALSE),B4817),PlayerValues!E:E,0)),"N/A")</f>
        <v>N/A</v>
      </c>
      <c r="B4817" s="4" t="s">
        <v>89</v>
      </c>
      <c r="C4817" s="4" t="s">
        <v>325</v>
      </c>
      <c r="D4817" s="94">
        <v>1705.0</v>
      </c>
    </row>
    <row r="4818">
      <c r="A4818" s="40">
        <f t="array" ref="A4818">IFNA(index(PlayerValues!A:A,match(IFNA(vlookup(B4818,'Special Names'!A:B,2,FALSE),B4818),PlayerValues!E:E,0)),"N/A")</f>
        <v>17096</v>
      </c>
      <c r="B4818" s="4" t="s">
        <v>638</v>
      </c>
      <c r="C4818" s="4" t="s">
        <v>287</v>
      </c>
      <c r="D4818" s="94">
        <v>1693.0</v>
      </c>
    </row>
    <row r="4819">
      <c r="A4819" s="40">
        <f t="array" ref="A4819">IFNA(index(PlayerValues!A:A,match(IFNA(vlookup(B4819,'Special Names'!A:B,2,FALSE),B4819),PlayerValues!E:E,0)),"N/A")</f>
        <v>17465</v>
      </c>
      <c r="B4819" s="4" t="s">
        <v>649</v>
      </c>
      <c r="C4819" s="4" t="s">
        <v>283</v>
      </c>
      <c r="D4819" s="94">
        <v>1693.0</v>
      </c>
    </row>
    <row r="4820">
      <c r="A4820" s="40" t="str">
        <f t="array" ref="A4820">IFNA(index(PlayerValues!A:A,match(IFNA(vlookup(B4820,'Special Names'!A:B,2,FALSE),B4820),PlayerValues!E:E,0)),"N/A")</f>
        <v>N/A</v>
      </c>
      <c r="B4820" s="4" t="s">
        <v>103</v>
      </c>
      <c r="C4820" s="4" t="s">
        <v>325</v>
      </c>
      <c r="D4820" s="94">
        <v>1691.0</v>
      </c>
    </row>
    <row r="4821">
      <c r="A4821" s="40">
        <f t="array" ref="A4821">IFNA(index(PlayerValues!A:A,match(IFNA(vlookup(B4821,'Special Names'!A:B,2,FALSE),B4821),PlayerValues!E:E,0)),"N/A")</f>
        <v>15755</v>
      </c>
      <c r="B4821" s="4" t="s">
        <v>628</v>
      </c>
      <c r="C4821" s="4" t="s">
        <v>287</v>
      </c>
      <c r="D4821" s="94">
        <v>1687.0</v>
      </c>
    </row>
    <row r="4822">
      <c r="A4822" s="40">
        <f t="array" ref="A4822">IFNA(index(PlayerValues!A:A,match(IFNA(vlookup(B4822,'Special Names'!A:B,2,FALSE),B4822),PlayerValues!E:E,0)),"N/A")</f>
        <v>15254</v>
      </c>
      <c r="B4822" s="4" t="s">
        <v>633</v>
      </c>
      <c r="C4822" s="4" t="s">
        <v>278</v>
      </c>
      <c r="D4822" s="94">
        <v>1685.0</v>
      </c>
    </row>
    <row r="4823">
      <c r="A4823" s="40">
        <f t="array" ref="A4823">IFNA(index(PlayerValues!A:A,match(IFNA(vlookup(B4823,'Special Names'!A:B,2,FALSE),B4823),PlayerValues!E:E,0)),"N/A")</f>
        <v>17064</v>
      </c>
      <c r="B4823" s="4" t="s">
        <v>631</v>
      </c>
      <c r="C4823" s="4" t="s">
        <v>278</v>
      </c>
      <c r="D4823" s="94">
        <v>1668.0</v>
      </c>
    </row>
    <row r="4824">
      <c r="A4824" s="40">
        <f t="array" ref="A4824">IFNA(index(PlayerValues!A:A,match(IFNA(vlookup(B4824,'Special Names'!A:B,2,FALSE),B4824),PlayerValues!E:E,0)),"N/A")</f>
        <v>16601</v>
      </c>
      <c r="B4824" s="4" t="s">
        <v>648</v>
      </c>
      <c r="C4824" s="4" t="s">
        <v>278</v>
      </c>
      <c r="D4824" s="94">
        <v>1658.0</v>
      </c>
    </row>
    <row r="4825">
      <c r="A4825" s="40">
        <f t="array" ref="A4825">IFNA(index(PlayerValues!A:A,match(IFNA(vlookup(B4825,'Special Names'!A:B,2,FALSE),B4825),PlayerValues!E:E,0)),"N/A")</f>
        <v>17058</v>
      </c>
      <c r="B4825" s="4" t="s">
        <v>641</v>
      </c>
      <c r="C4825" s="4" t="s">
        <v>278</v>
      </c>
      <c r="D4825" s="94">
        <v>1655.0</v>
      </c>
    </row>
    <row r="4826">
      <c r="A4826" s="40">
        <f t="array" ref="A4826">IFNA(index(PlayerValues!A:A,match(IFNA(vlookup(B4826,'Special Names'!A:B,2,FALSE),B4826),PlayerValues!E:E,0)),"N/A")</f>
        <v>16586</v>
      </c>
      <c r="B4826" s="4" t="s">
        <v>658</v>
      </c>
      <c r="C4826" s="4" t="s">
        <v>283</v>
      </c>
      <c r="D4826" s="94">
        <v>1653.0</v>
      </c>
    </row>
    <row r="4827">
      <c r="A4827" s="40">
        <f t="array" ref="A4827">IFNA(index(PlayerValues!A:A,match(IFNA(vlookup(B4827,'Special Names'!A:B,2,FALSE),B4827),PlayerValues!E:E,0)),"N/A")</f>
        <v>16207</v>
      </c>
      <c r="B4827" s="4" t="s">
        <v>636</v>
      </c>
      <c r="C4827" s="4" t="s">
        <v>287</v>
      </c>
      <c r="D4827" s="94">
        <v>1643.0</v>
      </c>
    </row>
    <row r="4828">
      <c r="A4828" s="40">
        <f t="array" ref="A4828">IFNA(index(PlayerValues!A:A,match(IFNA(vlookup(B4828,'Special Names'!A:B,2,FALSE),B4828),PlayerValues!E:E,0)),"N/A")</f>
        <v>15301</v>
      </c>
      <c r="B4828" s="4" t="s">
        <v>657</v>
      </c>
      <c r="C4828" s="4" t="s">
        <v>287</v>
      </c>
      <c r="D4828" s="94">
        <v>1624.0</v>
      </c>
    </row>
    <row r="4829">
      <c r="A4829" s="40" t="str">
        <f t="array" ref="A4829">IFNA(index(PlayerValues!A:A,match(IFNA(vlookup(B4829,'Special Names'!A:B,2,FALSE),B4829),PlayerValues!E:E,0)),"N/A")</f>
        <v>N/A</v>
      </c>
      <c r="B4829" s="4" t="s">
        <v>115</v>
      </c>
      <c r="C4829" s="4" t="s">
        <v>325</v>
      </c>
      <c r="D4829" s="94">
        <v>1615.0</v>
      </c>
    </row>
    <row r="4830">
      <c r="A4830" s="40">
        <f t="array" ref="A4830">IFNA(index(PlayerValues!A:A,match(IFNA(vlookup(B4830,'Special Names'!A:B,2,FALSE),B4830),PlayerValues!E:E,0)),"N/A")</f>
        <v>16629</v>
      </c>
      <c r="B4830" s="4" t="s">
        <v>605</v>
      </c>
      <c r="C4830" s="4" t="s">
        <v>287</v>
      </c>
      <c r="D4830" s="94">
        <v>1613.0</v>
      </c>
    </row>
    <row r="4831">
      <c r="A4831" s="40">
        <f t="array" ref="A4831">IFNA(index(PlayerValues!A:A,match(IFNA(vlookup(B4831,'Special Names'!A:B,2,FALSE),B4831),PlayerValues!E:E,0)),"N/A")</f>
        <v>15319</v>
      </c>
      <c r="B4831" s="4" t="s">
        <v>644</v>
      </c>
      <c r="C4831" s="4" t="s">
        <v>287</v>
      </c>
      <c r="D4831" s="94">
        <v>1610.0</v>
      </c>
    </row>
    <row r="4832">
      <c r="A4832" s="40" t="str">
        <f t="array" ref="A4832">IFNA(index(PlayerValues!A:A,match(IFNA(vlookup(B4832,'Special Names'!A:B,2,FALSE),B4832),PlayerValues!E:E,0)),"N/A")</f>
        <v>N/A</v>
      </c>
      <c r="B4832" s="4" t="s">
        <v>90</v>
      </c>
      <c r="C4832" s="4" t="s">
        <v>325</v>
      </c>
      <c r="D4832" s="94">
        <v>1600.0</v>
      </c>
    </row>
    <row r="4833">
      <c r="A4833" s="40">
        <f t="array" ref="A4833">IFNA(index(PlayerValues!A:A,match(IFNA(vlookup(B4833,'Special Names'!A:B,2,FALSE),B4833),PlayerValues!E:E,0)),"N/A")</f>
        <v>16688</v>
      </c>
      <c r="B4833" s="4" t="s">
        <v>688</v>
      </c>
      <c r="C4833" s="4" t="s">
        <v>278</v>
      </c>
      <c r="D4833" s="94">
        <v>1592.0</v>
      </c>
    </row>
    <row r="4834">
      <c r="A4834" s="40">
        <f t="array" ref="A4834">IFNA(index(PlayerValues!A:A,match(IFNA(vlookup(B4834,'Special Names'!A:B,2,FALSE),B4834),PlayerValues!E:E,0)),"N/A")</f>
        <v>15713</v>
      </c>
      <c r="B4834" s="4" t="s">
        <v>732</v>
      </c>
      <c r="C4834" s="4" t="s">
        <v>278</v>
      </c>
      <c r="D4834" s="94">
        <v>1568.0</v>
      </c>
    </row>
    <row r="4835">
      <c r="A4835" s="40">
        <f t="array" ref="A4835">IFNA(index(PlayerValues!A:A,match(IFNA(vlookup(B4835,'Special Names'!A:B,2,FALSE),B4835),PlayerValues!E:E,0)),"N/A")</f>
        <v>16595</v>
      </c>
      <c r="B4835" s="4" t="s">
        <v>664</v>
      </c>
      <c r="C4835" s="4" t="s">
        <v>278</v>
      </c>
      <c r="D4835" s="94">
        <v>1565.0</v>
      </c>
    </row>
    <row r="4836">
      <c r="A4836" s="40">
        <f t="array" ref="A4836">IFNA(index(PlayerValues!A:A,match(IFNA(vlookup(B4836,'Special Names'!A:B,2,FALSE),B4836),PlayerValues!E:E,0)),"N/A")</f>
        <v>17205</v>
      </c>
      <c r="B4836" s="4" t="s">
        <v>665</v>
      </c>
      <c r="C4836" s="4" t="s">
        <v>287</v>
      </c>
      <c r="D4836" s="94">
        <v>1564.0</v>
      </c>
    </row>
    <row r="4837">
      <c r="A4837" s="40">
        <f t="array" ref="A4837">IFNA(index(PlayerValues!A:A,match(IFNA(vlookup(B4837,'Special Names'!A:B,2,FALSE),B4837),PlayerValues!E:E,0)),"N/A")</f>
        <v>16633</v>
      </c>
      <c r="B4837" s="4" t="s">
        <v>656</v>
      </c>
      <c r="C4837" s="4" t="s">
        <v>287</v>
      </c>
      <c r="D4837" s="94">
        <v>1563.0</v>
      </c>
    </row>
    <row r="4838">
      <c r="A4838" s="40" t="str">
        <f t="array" ref="A4838">IFNA(index(PlayerValues!A:A,match(IFNA(vlookup(B4838,'Special Names'!A:B,2,FALSE),B4838),PlayerValues!E:E,0)),"N/A")</f>
        <v>N/A</v>
      </c>
      <c r="B4838" s="4" t="s">
        <v>116</v>
      </c>
      <c r="C4838" s="4" t="s">
        <v>325</v>
      </c>
      <c r="D4838" s="94">
        <v>1563.0</v>
      </c>
    </row>
    <row r="4839">
      <c r="A4839" s="40">
        <f t="array" ref="A4839">IFNA(index(PlayerValues!A:A,match(IFNA(vlookup(B4839,'Special Names'!A:B,2,FALSE),B4839),PlayerValues!E:E,0)),"N/A")</f>
        <v>14122</v>
      </c>
      <c r="B4839" s="4" t="s">
        <v>663</v>
      </c>
      <c r="C4839" s="4" t="s">
        <v>287</v>
      </c>
      <c r="D4839" s="94">
        <v>1556.0</v>
      </c>
    </row>
    <row r="4840">
      <c r="A4840" s="40">
        <f t="array" ref="A4840">IFNA(index(PlayerValues!A:A,match(IFNA(vlookup(B4840,'Special Names'!A:B,2,FALSE),B4840),PlayerValues!E:E,0)),"N/A")</f>
        <v>17548</v>
      </c>
      <c r="B4840" s="4" t="s">
        <v>594</v>
      </c>
      <c r="C4840" s="4" t="s">
        <v>298</v>
      </c>
      <c r="D4840" s="94">
        <v>1930.0</v>
      </c>
    </row>
    <row r="4841">
      <c r="A4841" s="40">
        <f t="array" ref="A4841">IFNA(index(PlayerValues!A:A,match(IFNA(vlookup(B4841,'Special Names'!A:B,2,FALSE),B4841),PlayerValues!E:E,0)),"N/A")</f>
        <v>17234</v>
      </c>
      <c r="B4841" s="4" t="s">
        <v>653</v>
      </c>
      <c r="C4841" s="4" t="s">
        <v>287</v>
      </c>
      <c r="D4841" s="94">
        <v>1548.0</v>
      </c>
    </row>
    <row r="4842">
      <c r="A4842" s="40">
        <f t="array" ref="A4842">IFNA(index(PlayerValues!A:A,match(IFNA(vlookup(B4842,'Special Names'!A:B,2,FALSE),B4842),PlayerValues!E:E,0)),"N/A")</f>
        <v>15337</v>
      </c>
      <c r="B4842" s="4" t="s">
        <v>655</v>
      </c>
      <c r="C4842" s="4" t="s">
        <v>298</v>
      </c>
      <c r="D4842" s="94">
        <v>1914.0</v>
      </c>
    </row>
    <row r="4843">
      <c r="A4843" s="40">
        <f t="array" ref="A4843">IFNA(index(PlayerValues!A:A,match(IFNA(vlookup(B4843,'Special Names'!A:B,2,FALSE),B4843),PlayerValues!E:E,0)),"N/A")</f>
        <v>17468</v>
      </c>
      <c r="B4843" s="4" t="s">
        <v>514</v>
      </c>
      <c r="C4843" s="4" t="s">
        <v>283</v>
      </c>
      <c r="D4843" s="94">
        <v>1536.0</v>
      </c>
    </row>
    <row r="4844">
      <c r="A4844" s="40">
        <f t="array" ref="A4844">IFNA(index(PlayerValues!A:A,match(IFNA(vlookup(B4844,'Special Names'!A:B,2,FALSE),B4844),PlayerValues!E:E,0)),"N/A")</f>
        <v>16175</v>
      </c>
      <c r="B4844" s="4" t="s">
        <v>654</v>
      </c>
      <c r="C4844" s="4" t="s">
        <v>278</v>
      </c>
      <c r="D4844" s="94">
        <v>1513.0</v>
      </c>
    </row>
    <row r="4845">
      <c r="A4845" s="40">
        <f t="array" ref="A4845">IFNA(index(PlayerValues!A:A,match(IFNA(vlookup(B4845,'Special Names'!A:B,2,FALSE),B4845),PlayerValues!E:E,0)),"N/A")</f>
        <v>15752</v>
      </c>
      <c r="B4845" s="4" t="s">
        <v>647</v>
      </c>
      <c r="C4845" s="4" t="s">
        <v>287</v>
      </c>
      <c r="D4845" s="94">
        <v>1511.0</v>
      </c>
    </row>
    <row r="4846">
      <c r="A4846" s="40">
        <f t="array" ref="A4846">IFNA(index(PlayerValues!A:A,match(IFNA(vlookup(B4846,'Special Names'!A:B,2,FALSE),B4846),PlayerValues!E:E,0)),"N/A")</f>
        <v>15759</v>
      </c>
      <c r="B4846" s="4" t="s">
        <v>662</v>
      </c>
      <c r="C4846" s="4" t="s">
        <v>287</v>
      </c>
      <c r="D4846" s="94">
        <v>1509.0</v>
      </c>
    </row>
    <row r="4847">
      <c r="A4847" s="40" t="str">
        <f t="array" ref="A4847">IFNA(index(PlayerValues!A:A,match(IFNA(vlookup(B4847,'Special Names'!A:B,2,FALSE),B4847),PlayerValues!E:E,0)),"N/A")</f>
        <v>N/A</v>
      </c>
      <c r="B4847" s="4" t="s">
        <v>91</v>
      </c>
      <c r="C4847" s="4" t="s">
        <v>325</v>
      </c>
      <c r="D4847" s="94">
        <v>1509.0</v>
      </c>
    </row>
    <row r="4848">
      <c r="A4848" s="40">
        <f t="array" ref="A4848">IFNA(index(PlayerValues!A:A,match(IFNA(vlookup(B4848,'Special Names'!A:B,2,FALSE),B4848),PlayerValues!E:E,0)),"N/A")</f>
        <v>16792</v>
      </c>
      <c r="B4848" s="4" t="s">
        <v>704</v>
      </c>
      <c r="C4848" s="4" t="s">
        <v>287</v>
      </c>
      <c r="D4848" s="94">
        <v>1492.0</v>
      </c>
    </row>
    <row r="4849">
      <c r="A4849" s="40">
        <f t="array" ref="A4849">IFNA(index(PlayerValues!A:A,match(IFNA(vlookup(B4849,'Special Names'!A:B,2,FALSE),B4849),PlayerValues!E:E,0)),"N/A")</f>
        <v>16631</v>
      </c>
      <c r="B4849" s="4" t="s">
        <v>800</v>
      </c>
      <c r="C4849" s="4" t="s">
        <v>287</v>
      </c>
      <c r="D4849" s="94">
        <v>1469.0</v>
      </c>
    </row>
    <row r="4850">
      <c r="A4850" s="40">
        <f t="array" ref="A4850">IFNA(index(PlayerValues!A:A,match(IFNA(vlookup(B4850,'Special Names'!A:B,2,FALSE),B4850),PlayerValues!E:E,0)),"N/A")</f>
        <v>16390</v>
      </c>
      <c r="B4850" s="4" t="s">
        <v>689</v>
      </c>
      <c r="C4850" s="4" t="s">
        <v>278</v>
      </c>
      <c r="D4850" s="94">
        <v>1466.0</v>
      </c>
    </row>
    <row r="4851">
      <c r="A4851" s="40">
        <f t="array" ref="A4851">IFNA(index(PlayerValues!A:A,match(IFNA(vlookup(B4851,'Special Names'!A:B,2,FALSE),B4851),PlayerValues!E:E,0)),"N/A")</f>
        <v>16788</v>
      </c>
      <c r="B4851" s="4" t="s">
        <v>621</v>
      </c>
      <c r="C4851" s="4" t="s">
        <v>287</v>
      </c>
      <c r="D4851" s="94">
        <v>1463.0</v>
      </c>
    </row>
    <row r="4852">
      <c r="A4852" s="40">
        <f t="array" ref="A4852">IFNA(index(PlayerValues!A:A,match(IFNA(vlookup(B4852,'Special Names'!A:B,2,FALSE),B4852),PlayerValues!E:E,0)),"N/A")</f>
        <v>17485</v>
      </c>
      <c r="B4852" s="4" t="s">
        <v>522</v>
      </c>
      <c r="C4852" s="4" t="s">
        <v>278</v>
      </c>
      <c r="D4852" s="94">
        <v>1463.0</v>
      </c>
    </row>
    <row r="4853">
      <c r="A4853" s="40">
        <f t="array" ref="A4853">IFNA(index(PlayerValues!A:A,match(IFNA(vlookup(B4853,'Special Names'!A:B,2,FALSE),B4853),PlayerValues!E:E,0)),"N/A")</f>
        <v>17054</v>
      </c>
      <c r="B4853" s="4" t="s">
        <v>670</v>
      </c>
      <c r="C4853" s="4" t="s">
        <v>278</v>
      </c>
      <c r="D4853" s="94">
        <v>1458.0</v>
      </c>
    </row>
    <row r="4854">
      <c r="A4854" s="40">
        <f t="array" ref="A4854">IFNA(index(PlayerValues!A:A,match(IFNA(vlookup(B4854,'Special Names'!A:B,2,FALSE),B4854),PlayerValues!E:E,0)),"N/A")</f>
        <v>15873</v>
      </c>
      <c r="B4854" s="4" t="s">
        <v>681</v>
      </c>
      <c r="C4854" s="4" t="s">
        <v>298</v>
      </c>
      <c r="D4854" s="94">
        <v>1826.0</v>
      </c>
    </row>
    <row r="4855">
      <c r="A4855" s="40">
        <f t="array" ref="A4855">IFNA(index(PlayerValues!A:A,match(IFNA(vlookup(B4855,'Special Names'!A:B,2,FALSE),B4855),PlayerValues!E:E,0)),"N/A")</f>
        <v>15777</v>
      </c>
      <c r="B4855" s="4" t="s">
        <v>694</v>
      </c>
      <c r="C4855" s="4" t="s">
        <v>287</v>
      </c>
      <c r="D4855" s="94">
        <v>1448.0</v>
      </c>
    </row>
    <row r="4856">
      <c r="A4856" s="40">
        <f t="array" ref="A4856">IFNA(index(PlayerValues!A:A,match(IFNA(vlookup(B4856,'Special Names'!A:B,2,FALSE),B4856),PlayerValues!E:E,0)),"N/A")</f>
        <v>16384</v>
      </c>
      <c r="B4856" s="4" t="s">
        <v>696</v>
      </c>
      <c r="C4856" s="4" t="s">
        <v>283</v>
      </c>
      <c r="D4856" s="94">
        <v>1444.0</v>
      </c>
    </row>
    <row r="4857">
      <c r="A4857" s="40">
        <f t="array" ref="A4857">IFNA(index(PlayerValues!A:A,match(IFNA(vlookup(B4857,'Special Names'!A:B,2,FALSE),B4857),PlayerValues!E:E,0)),"N/A")</f>
        <v>13672</v>
      </c>
      <c r="B4857" s="4" t="s">
        <v>667</v>
      </c>
      <c r="C4857" s="4" t="s">
        <v>298</v>
      </c>
      <c r="D4857" s="94">
        <v>1806.0</v>
      </c>
    </row>
    <row r="4858">
      <c r="A4858" s="40">
        <f t="array" ref="A4858">IFNA(index(PlayerValues!A:A,match(IFNA(vlookup(B4858,'Special Names'!A:B,2,FALSE),B4858),PlayerValues!E:E,0)),"N/A")</f>
        <v>16642</v>
      </c>
      <c r="B4858" s="4" t="s">
        <v>691</v>
      </c>
      <c r="C4858" s="4" t="s">
        <v>298</v>
      </c>
      <c r="D4858" s="94">
        <v>1802.0</v>
      </c>
    </row>
    <row r="4859">
      <c r="A4859" s="40">
        <f t="array" ref="A4859">IFNA(index(PlayerValues!A:A,match(IFNA(vlookup(B4859,'Special Names'!A:B,2,FALSE),B4859),PlayerValues!E:E,0)),"N/A")</f>
        <v>13418</v>
      </c>
      <c r="B4859" s="4" t="s">
        <v>706</v>
      </c>
      <c r="C4859" s="4" t="s">
        <v>287</v>
      </c>
      <c r="D4859" s="94">
        <v>1425.0</v>
      </c>
    </row>
    <row r="4860">
      <c r="A4860" s="40">
        <f t="array" ref="A4860">IFNA(index(PlayerValues!A:A,match(IFNA(vlookup(B4860,'Special Names'!A:B,2,FALSE),B4860),PlayerValues!E:E,0)),"N/A")</f>
        <v>17037</v>
      </c>
      <c r="B4860" s="4" t="s">
        <v>727</v>
      </c>
      <c r="C4860" s="4" t="s">
        <v>283</v>
      </c>
      <c r="D4860" s="94">
        <v>1425.0</v>
      </c>
    </row>
    <row r="4861">
      <c r="A4861" s="40">
        <f t="array" ref="A4861">IFNA(index(PlayerValues!A:A,match(IFNA(vlookup(B4861,'Special Names'!A:B,2,FALSE),B4861),PlayerValues!E:E,0)),"N/A")</f>
        <v>16621</v>
      </c>
      <c r="B4861" s="4" t="s">
        <v>672</v>
      </c>
      <c r="C4861" s="4" t="s">
        <v>287</v>
      </c>
      <c r="D4861" s="94">
        <v>1407.0</v>
      </c>
    </row>
    <row r="4862">
      <c r="A4862" s="40">
        <f t="array" ref="A4862">IFNA(index(PlayerValues!A:A,match(IFNA(vlookup(B4862,'Special Names'!A:B,2,FALSE),B4862),PlayerValues!E:E,0)),"N/A")</f>
        <v>15292</v>
      </c>
      <c r="B4862" s="4" t="s">
        <v>682</v>
      </c>
      <c r="C4862" s="4" t="s">
        <v>287</v>
      </c>
      <c r="D4862" s="94">
        <v>1397.0</v>
      </c>
    </row>
    <row r="4863">
      <c r="A4863" s="40">
        <f t="array" ref="A4863">IFNA(index(PlayerValues!A:A,match(IFNA(vlookup(B4863,'Special Names'!A:B,2,FALSE),B4863),PlayerValues!E:E,0)),"N/A")</f>
        <v>14137</v>
      </c>
      <c r="B4863" s="4" t="s">
        <v>676</v>
      </c>
      <c r="C4863" s="4" t="s">
        <v>298</v>
      </c>
      <c r="D4863" s="94">
        <v>1757.0</v>
      </c>
    </row>
    <row r="4864">
      <c r="A4864" s="40">
        <f t="array" ref="A4864">IFNA(index(PlayerValues!A:A,match(IFNA(vlookup(B4864,'Special Names'!A:B,2,FALSE),B4864),PlayerValues!E:E,0)),"N/A")</f>
        <v>12140</v>
      </c>
      <c r="B4864" s="4" t="s">
        <v>702</v>
      </c>
      <c r="C4864" s="4" t="s">
        <v>283</v>
      </c>
      <c r="D4864" s="94">
        <v>1378.0</v>
      </c>
    </row>
    <row r="4865">
      <c r="A4865" s="40">
        <f t="array" ref="A4865">IFNA(index(PlayerValues!A:A,match(IFNA(vlookup(B4865,'Special Names'!A:B,2,FALSE),B4865),PlayerValues!E:E,0)),"N/A")</f>
        <v>14086</v>
      </c>
      <c r="B4865" s="4" t="s">
        <v>639</v>
      </c>
      <c r="C4865" s="4" t="s">
        <v>278</v>
      </c>
      <c r="D4865" s="94">
        <v>1370.0</v>
      </c>
    </row>
    <row r="4866">
      <c r="A4866" s="40">
        <f t="array" ref="A4866">IFNA(index(PlayerValues!A:A,match(IFNA(vlookup(B4866,'Special Names'!A:B,2,FALSE),B4866),PlayerValues!E:E,0)),"N/A")</f>
        <v>11222</v>
      </c>
      <c r="B4866" s="4" t="s">
        <v>622</v>
      </c>
      <c r="C4866" s="4" t="s">
        <v>287</v>
      </c>
      <c r="D4866" s="94">
        <v>1364.0</v>
      </c>
    </row>
    <row r="4867">
      <c r="A4867" s="40">
        <f t="array" ref="A4867">IFNA(index(PlayerValues!A:A,match(IFNA(vlookup(B4867,'Special Names'!A:B,2,FALSE),B4867),PlayerValues!E:E,0)),"N/A")</f>
        <v>16149</v>
      </c>
      <c r="B4867" s="4" t="s">
        <v>740</v>
      </c>
      <c r="C4867" s="4" t="s">
        <v>283</v>
      </c>
      <c r="D4867" s="94">
        <v>1364.0</v>
      </c>
    </row>
    <row r="4868">
      <c r="A4868" s="40">
        <f t="array" ref="A4868">IFNA(index(PlayerValues!A:A,match(IFNA(vlookup(B4868,'Special Names'!A:B,2,FALSE),B4868),PlayerValues!E:E,0)),"N/A")</f>
        <v>15252</v>
      </c>
      <c r="B4868" s="4" t="s">
        <v>715</v>
      </c>
      <c r="C4868" s="4" t="s">
        <v>283</v>
      </c>
      <c r="D4868" s="94">
        <v>1360.0</v>
      </c>
    </row>
    <row r="4869">
      <c r="A4869" s="40">
        <f t="array" ref="A4869">IFNA(index(PlayerValues!A:A,match(IFNA(vlookup(B4869,'Special Names'!A:B,2,FALSE),B4869),PlayerValues!E:E,0)),"N/A")</f>
        <v>17062</v>
      </c>
      <c r="B4869" s="4" t="s">
        <v>701</v>
      </c>
      <c r="C4869" s="4" t="s">
        <v>278</v>
      </c>
      <c r="D4869" s="94">
        <v>1359.0</v>
      </c>
    </row>
    <row r="4870">
      <c r="A4870" s="40">
        <f t="array" ref="A4870">IFNA(index(PlayerValues!A:A,match(IFNA(vlookup(B4870,'Special Names'!A:B,2,FALSE),B4870),PlayerValues!E:E,0)),"N/A")</f>
        <v>17254</v>
      </c>
      <c r="B4870" s="4" t="s">
        <v>679</v>
      </c>
      <c r="C4870" s="4" t="s">
        <v>287</v>
      </c>
      <c r="D4870" s="94">
        <v>1357.0</v>
      </c>
    </row>
    <row r="4871">
      <c r="A4871" s="40">
        <f t="array" ref="A4871">IFNA(index(PlayerValues!A:A,match(IFNA(vlookup(B4871,'Special Names'!A:B,2,FALSE),B4871),PlayerValues!E:E,0)),"N/A")</f>
        <v>17529</v>
      </c>
      <c r="B4871" s="4" t="s">
        <v>608</v>
      </c>
      <c r="C4871" s="4" t="s">
        <v>287</v>
      </c>
      <c r="D4871" s="94">
        <v>1340.0</v>
      </c>
    </row>
    <row r="4872">
      <c r="A4872" s="40">
        <f t="array" ref="A4872">IFNA(index(PlayerValues!A:A,match(IFNA(vlookup(B4872,'Special Names'!A:B,2,FALSE),B4872),PlayerValues!E:E,0)),"N/A")</f>
        <v>15332</v>
      </c>
      <c r="B4872" s="4" t="s">
        <v>698</v>
      </c>
      <c r="C4872" s="4" t="s">
        <v>298</v>
      </c>
      <c r="D4872" s="94">
        <v>1682.0</v>
      </c>
    </row>
    <row r="4873">
      <c r="A4873" s="40">
        <f t="array" ref="A4873">IFNA(index(PlayerValues!A:A,match(IFNA(vlookup(B4873,'Special Names'!A:B,2,FALSE),B4873),PlayerValues!E:E,0)),"N/A")</f>
        <v>12678</v>
      </c>
      <c r="B4873" s="4" t="s">
        <v>703</v>
      </c>
      <c r="C4873" s="4" t="s">
        <v>298</v>
      </c>
      <c r="D4873" s="94">
        <v>1664.0</v>
      </c>
    </row>
    <row r="4874">
      <c r="A4874" s="40">
        <f t="array" ref="A4874">IFNA(index(PlayerValues!A:A,match(IFNA(vlookup(B4874,'Special Names'!A:B,2,FALSE),B4874),PlayerValues!E:E,0)),"N/A")</f>
        <v>15738</v>
      </c>
      <c r="B4874" s="4" t="s">
        <v>634</v>
      </c>
      <c r="C4874" s="4" t="s">
        <v>278</v>
      </c>
      <c r="D4874" s="94">
        <v>1298.0</v>
      </c>
    </row>
    <row r="4875">
      <c r="A4875" s="40">
        <f t="array" ref="A4875">IFNA(index(PlayerValues!A:A,match(IFNA(vlookup(B4875,'Special Names'!A:B,2,FALSE),B4875),PlayerValues!E:E,0)),"N/A")</f>
        <v>17077</v>
      </c>
      <c r="B4875" s="4" t="s">
        <v>714</v>
      </c>
      <c r="C4875" s="4" t="s">
        <v>287</v>
      </c>
      <c r="D4875" s="94">
        <v>1298.0</v>
      </c>
    </row>
    <row r="4876">
      <c r="A4876" s="40">
        <f t="array" ref="A4876">IFNA(index(PlayerValues!A:A,match(IFNA(vlookup(B4876,'Special Names'!A:B,2,FALSE),B4876),PlayerValues!E:E,0)),"N/A")</f>
        <v>14095</v>
      </c>
      <c r="B4876" s="4" t="s">
        <v>680</v>
      </c>
      <c r="C4876" s="4" t="s">
        <v>278</v>
      </c>
      <c r="D4876" s="94">
        <v>1294.0</v>
      </c>
    </row>
    <row r="4877">
      <c r="A4877" s="40">
        <f t="array" ref="A4877">IFNA(index(PlayerValues!A:A,match(IFNA(vlookup(B4877,'Special Names'!A:B,2,FALSE),B4877),PlayerValues!E:E,0)),"N/A")</f>
        <v>16608</v>
      </c>
      <c r="B4877" s="4" t="s">
        <v>629</v>
      </c>
      <c r="C4877" s="4" t="s">
        <v>278</v>
      </c>
      <c r="D4877" s="94">
        <v>1293.0</v>
      </c>
    </row>
    <row r="4878">
      <c r="A4878" s="40">
        <f t="array" ref="A4878">IFNA(index(PlayerValues!A:A,match(IFNA(vlookup(B4878,'Special Names'!A:B,2,FALSE),B4878),PlayerValues!E:E,0)),"N/A")</f>
        <v>12141</v>
      </c>
      <c r="B4878" s="4" t="s">
        <v>744</v>
      </c>
      <c r="C4878" s="4" t="s">
        <v>283</v>
      </c>
      <c r="D4878" s="94">
        <v>1288.0</v>
      </c>
    </row>
    <row r="4879">
      <c r="A4879" s="40">
        <f t="array" ref="A4879">IFNA(index(PlayerValues!A:A,match(IFNA(vlookup(B4879,'Special Names'!A:B,2,FALSE),B4879),PlayerValues!E:E,0)),"N/A")</f>
        <v>17567</v>
      </c>
      <c r="B4879" s="4" t="s">
        <v>571</v>
      </c>
      <c r="C4879" s="4" t="s">
        <v>298</v>
      </c>
      <c r="D4879" s="94">
        <v>1655.0</v>
      </c>
    </row>
    <row r="4880">
      <c r="A4880" s="40" t="str">
        <f t="array" ref="A4880">IFNA(index(PlayerValues!A:A,match(IFNA(vlookup(B4880,'Special Names'!A:B,2,FALSE),B4880),PlayerValues!E:E,0)),"N/A")</f>
        <v>N/A</v>
      </c>
      <c r="B4880" s="4" t="s">
        <v>117</v>
      </c>
      <c r="C4880" s="4" t="s">
        <v>325</v>
      </c>
      <c r="D4880" s="94">
        <v>1286.0</v>
      </c>
    </row>
    <row r="4881">
      <c r="A4881" s="40">
        <f t="array" ref="A4881">IFNA(index(PlayerValues!A:A,match(IFNA(vlookup(B4881,'Special Names'!A:B,2,FALSE),B4881),PlayerValues!E:E,0)),"N/A")</f>
        <v>14592</v>
      </c>
      <c r="B4881" s="4" t="s">
        <v>705</v>
      </c>
      <c r="C4881" s="4" t="s">
        <v>287</v>
      </c>
      <c r="D4881" s="94">
        <v>1278.0</v>
      </c>
    </row>
    <row r="4882">
      <c r="A4882" s="40">
        <f t="array" ref="A4882">IFNA(index(PlayerValues!A:A,match(IFNA(vlookup(B4882,'Special Names'!A:B,2,FALSE),B4882),PlayerValues!E:E,0)),"N/A")</f>
        <v>17521</v>
      </c>
      <c r="B4882" s="4" t="s">
        <v>573</v>
      </c>
      <c r="C4882" s="4" t="s">
        <v>287</v>
      </c>
      <c r="D4882" s="94">
        <v>1278.0</v>
      </c>
    </row>
    <row r="4883">
      <c r="A4883" s="40">
        <f t="array" ref="A4883">IFNA(index(PlayerValues!A:A,match(IFNA(vlookup(B4883,'Special Names'!A:B,2,FALSE),B4883),PlayerValues!E:E,0)),"N/A")</f>
        <v>17097</v>
      </c>
      <c r="B4883" s="4" t="s">
        <v>659</v>
      </c>
      <c r="C4883" s="4" t="s">
        <v>287</v>
      </c>
      <c r="D4883" s="94">
        <v>1267.0</v>
      </c>
    </row>
    <row r="4884">
      <c r="A4884" s="40">
        <f t="array" ref="A4884">IFNA(index(PlayerValues!A:A,match(IFNA(vlookup(B4884,'Special Names'!A:B,2,FALSE),B4884),PlayerValues!E:E,0)),"N/A")</f>
        <v>14080</v>
      </c>
      <c r="B4884" s="4" t="s">
        <v>716</v>
      </c>
      <c r="C4884" s="4" t="s">
        <v>278</v>
      </c>
      <c r="D4884" s="94">
        <v>1259.0</v>
      </c>
    </row>
    <row r="4885">
      <c r="A4885" s="40">
        <f t="array" ref="A4885">IFNA(index(PlayerValues!A:A,match(IFNA(vlookup(B4885,'Special Names'!A:B,2,FALSE),B4885),PlayerValues!E:E,0)),"N/A")</f>
        <v>17269</v>
      </c>
      <c r="B4885" s="4" t="s">
        <v>718</v>
      </c>
      <c r="C4885" s="4" t="s">
        <v>287</v>
      </c>
      <c r="D4885" s="94">
        <v>1254.0</v>
      </c>
    </row>
    <row r="4886">
      <c r="A4886" s="40">
        <f t="array" ref="A4886">IFNA(index(PlayerValues!A:A,match(IFNA(vlookup(B4886,'Special Names'!A:B,2,FALSE),B4886),PlayerValues!E:E,0)),"N/A")</f>
        <v>15702</v>
      </c>
      <c r="B4886" s="4" t="s">
        <v>723</v>
      </c>
      <c r="C4886" s="4" t="s">
        <v>283</v>
      </c>
      <c r="D4886" s="94">
        <v>1253.0</v>
      </c>
    </row>
    <row r="4887">
      <c r="A4887" s="40">
        <f t="array" ref="A4887">IFNA(index(PlayerValues!A:A,match(IFNA(vlookup(B4887,'Special Names'!A:B,2,FALSE),B4887),PlayerValues!E:E,0)),"N/A")</f>
        <v>16183</v>
      </c>
      <c r="B4887" s="4" t="s">
        <v>678</v>
      </c>
      <c r="C4887" s="4" t="s">
        <v>287</v>
      </c>
      <c r="D4887" s="94">
        <v>1235.0</v>
      </c>
    </row>
    <row r="4888">
      <c r="A4888" s="40">
        <f t="array" ref="A4888">IFNA(index(PlayerValues!A:A,match(IFNA(vlookup(B4888,'Special Names'!A:B,2,FALSE),B4888),PlayerValues!E:E,0)),"N/A")</f>
        <v>16333</v>
      </c>
      <c r="B4888" s="4" t="s">
        <v>711</v>
      </c>
      <c r="C4888" s="4" t="s">
        <v>298</v>
      </c>
      <c r="D4888" s="94">
        <v>1595.0</v>
      </c>
    </row>
    <row r="4889">
      <c r="A4889" s="40">
        <f t="array" ref="A4889">IFNA(index(PlayerValues!A:A,match(IFNA(vlookup(B4889,'Special Names'!A:B,2,FALSE),B4889),PlayerValues!E:E,0)),"N/A")</f>
        <v>16636</v>
      </c>
      <c r="B4889" s="4" t="s">
        <v>699</v>
      </c>
      <c r="C4889" s="4" t="s">
        <v>287</v>
      </c>
      <c r="D4889" s="94">
        <v>1225.0</v>
      </c>
    </row>
    <row r="4890">
      <c r="A4890" s="40">
        <f t="array" ref="A4890">IFNA(index(PlayerValues!A:A,match(IFNA(vlookup(B4890,'Special Names'!A:B,2,FALSE),B4890),PlayerValues!E:E,0)),"N/A")</f>
        <v>17607</v>
      </c>
      <c r="B4890" s="4" t="s">
        <v>526</v>
      </c>
      <c r="C4890" s="4" t="s">
        <v>298</v>
      </c>
      <c r="D4890" s="94">
        <v>1592.0</v>
      </c>
    </row>
    <row r="4891">
      <c r="A4891" s="40">
        <f t="array" ref="A4891">IFNA(index(PlayerValues!A:A,match(IFNA(vlookup(B4891,'Special Names'!A:B,2,FALSE),B4891),PlayerValues!E:E,0)),"N/A")</f>
        <v>16645</v>
      </c>
      <c r="B4891" s="4" t="s">
        <v>651</v>
      </c>
      <c r="C4891" s="4" t="s">
        <v>298</v>
      </c>
      <c r="D4891" s="94">
        <v>1590.0</v>
      </c>
    </row>
    <row r="4892">
      <c r="A4892" s="40">
        <f t="array" ref="A4892">IFNA(index(PlayerValues!A:A,match(IFNA(vlookup(B4892,'Special Names'!A:B,2,FALSE),B4892),PlayerValues!E:E,0)),"N/A")</f>
        <v>16387</v>
      </c>
      <c r="B4892" s="4" t="s">
        <v>646</v>
      </c>
      <c r="C4892" s="4" t="s">
        <v>278</v>
      </c>
      <c r="D4892" s="94">
        <v>1217.0</v>
      </c>
    </row>
    <row r="4893">
      <c r="A4893" s="40">
        <f t="array" ref="A4893">IFNA(index(PlayerValues!A:A,match(IFNA(vlookup(B4893,'Special Names'!A:B,2,FALSE),B4893),PlayerValues!E:E,0)),"N/A")</f>
        <v>16746</v>
      </c>
      <c r="B4893" s="4" t="s">
        <v>709</v>
      </c>
      <c r="C4893" s="4" t="s">
        <v>278</v>
      </c>
      <c r="D4893" s="94">
        <v>1212.0</v>
      </c>
    </row>
    <row r="4894">
      <c r="A4894" s="40">
        <f t="array" ref="A4894">IFNA(index(PlayerValues!A:A,match(IFNA(vlookup(B4894,'Special Names'!A:B,2,FALSE),B4894),PlayerValues!E:E,0)),"N/A")</f>
        <v>17519</v>
      </c>
      <c r="B4894" s="4" t="s">
        <v>593</v>
      </c>
      <c r="C4894" s="4" t="s">
        <v>287</v>
      </c>
      <c r="D4894" s="94">
        <v>1206.0</v>
      </c>
    </row>
    <row r="4895">
      <c r="A4895" s="40">
        <f t="array" ref="A4895">IFNA(index(PlayerValues!A:A,match(IFNA(vlookup(B4895,'Special Names'!A:B,2,FALSE),B4895),PlayerValues!E:E,0)),"N/A")</f>
        <v>15288</v>
      </c>
      <c r="B4895" s="4" t="s">
        <v>700</v>
      </c>
      <c r="C4895" s="4" t="s">
        <v>287</v>
      </c>
      <c r="D4895" s="94">
        <v>1203.0</v>
      </c>
    </row>
    <row r="4896">
      <c r="A4896" s="40">
        <f t="array" ref="A4896">IFNA(index(PlayerValues!A:A,match(IFNA(vlookup(B4896,'Special Names'!A:B,2,FALSE),B4896),PlayerValues!E:E,0)),"N/A")</f>
        <v>16883</v>
      </c>
      <c r="B4896" s="4" t="s">
        <v>683</v>
      </c>
      <c r="C4896" s="4" t="s">
        <v>287</v>
      </c>
      <c r="D4896" s="94">
        <v>1199.0</v>
      </c>
    </row>
    <row r="4897">
      <c r="A4897" s="40">
        <f t="array" ref="A4897">IFNA(index(PlayerValues!A:A,match(IFNA(vlookup(B4897,'Special Names'!A:B,2,FALSE),B4897),PlayerValues!E:E,0)),"N/A")</f>
        <v>17063</v>
      </c>
      <c r="B4897" s="4" t="s">
        <v>686</v>
      </c>
      <c r="C4897" s="4" t="s">
        <v>278</v>
      </c>
      <c r="D4897" s="94">
        <v>1197.0</v>
      </c>
    </row>
    <row r="4898">
      <c r="A4898" s="40">
        <f t="array" ref="A4898">IFNA(index(PlayerValues!A:A,match(IFNA(vlookup(B4898,'Special Names'!A:B,2,FALSE),B4898),PlayerValues!E:E,0)),"N/A")</f>
        <v>16199</v>
      </c>
      <c r="B4898" s="4" t="s">
        <v>687</v>
      </c>
      <c r="C4898" s="4" t="s">
        <v>287</v>
      </c>
      <c r="D4898" s="94">
        <v>1195.0</v>
      </c>
    </row>
    <row r="4899">
      <c r="A4899" s="40">
        <f t="array" ref="A4899">IFNA(index(PlayerValues!A:A,match(IFNA(vlookup(B4899,'Special Names'!A:B,2,FALSE),B4899),PlayerValues!E:E,0)),"N/A")</f>
        <v>16221</v>
      </c>
      <c r="B4899" s="4" t="s">
        <v>725</v>
      </c>
      <c r="C4899" s="4" t="s">
        <v>298</v>
      </c>
      <c r="D4899" s="94">
        <v>1556.0</v>
      </c>
    </row>
    <row r="4900">
      <c r="A4900" s="40">
        <f t="array" ref="A4900">IFNA(index(PlayerValues!A:A,match(IFNA(vlookup(B4900,'Special Names'!A:B,2,FALSE),B4900),PlayerValues!E:E,0)),"N/A")</f>
        <v>17057</v>
      </c>
      <c r="B4900" s="4" t="s">
        <v>708</v>
      </c>
      <c r="C4900" s="4" t="s">
        <v>278</v>
      </c>
      <c r="D4900" s="94">
        <v>1175.0</v>
      </c>
    </row>
    <row r="4901">
      <c r="A4901" s="40">
        <f t="array" ref="A4901">IFNA(index(PlayerValues!A:A,match(IFNA(vlookup(B4901,'Special Names'!A:B,2,FALSE),B4901),PlayerValues!E:E,0)),"N/A")</f>
        <v>17109</v>
      </c>
      <c r="B4901" s="4" t="s">
        <v>707</v>
      </c>
      <c r="C4901" s="4" t="s">
        <v>298</v>
      </c>
      <c r="D4901" s="94">
        <v>1542.0</v>
      </c>
    </row>
    <row r="4902">
      <c r="A4902" s="40">
        <f t="array" ref="A4902">IFNA(index(PlayerValues!A:A,match(IFNA(vlookup(B4902,'Special Names'!A:B,2,FALSE),B4902),PlayerValues!E:E,0)),"N/A")</f>
        <v>15981</v>
      </c>
      <c r="B4902" s="4" t="s">
        <v>729</v>
      </c>
      <c r="C4902" s="4" t="s">
        <v>287</v>
      </c>
      <c r="D4902" s="94">
        <v>1173.0</v>
      </c>
    </row>
    <row r="4903">
      <c r="A4903" s="40">
        <f t="array" ref="A4903">IFNA(index(PlayerValues!A:A,match(IFNA(vlookup(B4903,'Special Names'!A:B,2,FALSE),B4903),PlayerValues!E:E,0)),"N/A")</f>
        <v>14789</v>
      </c>
      <c r="B4903" s="4" t="s">
        <v>721</v>
      </c>
      <c r="C4903" s="4" t="s">
        <v>283</v>
      </c>
      <c r="D4903" s="94">
        <v>1158.0</v>
      </c>
    </row>
    <row r="4904">
      <c r="A4904" s="40">
        <f t="array" ref="A4904">IFNA(index(PlayerValues!A:A,match(IFNA(vlookup(B4904,'Special Names'!A:B,2,FALSE),B4904),PlayerValues!E:E,0)),"N/A")</f>
        <v>14108</v>
      </c>
      <c r="B4904" s="4" t="s">
        <v>673</v>
      </c>
      <c r="C4904" s="4" t="s">
        <v>287</v>
      </c>
      <c r="D4904" s="94">
        <v>1155.0</v>
      </c>
    </row>
    <row r="4905">
      <c r="A4905" s="40">
        <f t="array" ref="A4905">IFNA(index(PlayerValues!A:A,match(IFNA(vlookup(B4905,'Special Names'!A:B,2,FALSE),B4905),PlayerValues!E:E,0)),"N/A")</f>
        <v>14845</v>
      </c>
      <c r="B4905" s="4" t="s">
        <v>717</v>
      </c>
      <c r="C4905" s="4" t="s">
        <v>287</v>
      </c>
      <c r="D4905" s="94">
        <v>1147.0</v>
      </c>
    </row>
    <row r="4906">
      <c r="A4906" s="40">
        <f t="array" ref="A4906">IFNA(index(PlayerValues!A:A,match(IFNA(vlookup(B4906,'Special Names'!A:B,2,FALSE),B4906),PlayerValues!E:E,0)),"N/A")</f>
        <v>16385</v>
      </c>
      <c r="B4906" s="4" t="s">
        <v>690</v>
      </c>
      <c r="C4906" s="4" t="s">
        <v>278</v>
      </c>
      <c r="D4906" s="94">
        <v>1146.0</v>
      </c>
    </row>
    <row r="4907">
      <c r="A4907" s="40">
        <f t="array" ref="A4907">IFNA(index(PlayerValues!A:A,match(IFNA(vlookup(B4907,'Special Names'!A:B,2,FALSE),B4907),PlayerValues!E:E,0)),"N/A")</f>
        <v>17546</v>
      </c>
      <c r="B4907" s="4" t="s">
        <v>671</v>
      </c>
      <c r="C4907" s="4" t="s">
        <v>298</v>
      </c>
      <c r="D4907" s="94">
        <v>1512.0</v>
      </c>
    </row>
    <row r="4908">
      <c r="A4908" s="40">
        <f t="array" ref="A4908">IFNA(index(PlayerValues!A:A,match(IFNA(vlookup(B4908,'Special Names'!A:B,2,FALSE),B4908),PlayerValues!E:E,0)),"N/A")</f>
        <v>15240</v>
      </c>
      <c r="B4908" s="4" t="s">
        <v>751</v>
      </c>
      <c r="C4908" s="4" t="s">
        <v>283</v>
      </c>
      <c r="D4908" s="94">
        <v>1137.0</v>
      </c>
    </row>
    <row r="4909">
      <c r="A4909" s="40">
        <f t="array" ref="A4909">IFNA(index(PlayerValues!A:A,match(IFNA(vlookup(B4909,'Special Names'!A:B,2,FALSE),B4909),PlayerValues!E:E,0)),"N/A")</f>
        <v>14067</v>
      </c>
      <c r="B4909" s="4" t="s">
        <v>735</v>
      </c>
      <c r="C4909" s="4" t="s">
        <v>283</v>
      </c>
      <c r="D4909" s="94">
        <v>1136.0</v>
      </c>
    </row>
    <row r="4910">
      <c r="A4910" s="40">
        <f t="array" ref="A4910">IFNA(index(PlayerValues!A:A,match(IFNA(vlookup(B4910,'Special Names'!A:B,2,FALSE),B4910),PlayerValues!E:E,0)),"N/A")</f>
        <v>15730</v>
      </c>
      <c r="B4910" s="4" t="s">
        <v>734</v>
      </c>
      <c r="C4910" s="4" t="s">
        <v>278</v>
      </c>
      <c r="D4910" s="94">
        <v>1122.0</v>
      </c>
    </row>
    <row r="4911">
      <c r="A4911" s="40">
        <f t="array" ref="A4911">IFNA(index(PlayerValues!A:A,match(IFNA(vlookup(B4911,'Special Names'!A:B,2,FALSE),B4911),PlayerValues!E:E,0)),"N/A")</f>
        <v>13289</v>
      </c>
      <c r="B4911" s="4" t="s">
        <v>746</v>
      </c>
      <c r="C4911" s="4" t="s">
        <v>287</v>
      </c>
      <c r="D4911" s="94">
        <v>1121.0</v>
      </c>
    </row>
    <row r="4912">
      <c r="A4912" s="40">
        <f t="array" ref="A4912">IFNA(index(PlayerValues!A:A,match(IFNA(vlookup(B4912,'Special Names'!A:B,2,FALSE),B4912),PlayerValues!E:E,0)),"N/A")</f>
        <v>17192</v>
      </c>
      <c r="B4912" s="4" t="s">
        <v>677</v>
      </c>
      <c r="C4912" s="4" t="s">
        <v>287</v>
      </c>
      <c r="D4912" s="94">
        <v>1114.0</v>
      </c>
    </row>
    <row r="4913">
      <c r="A4913" s="40">
        <f t="array" ref="A4913">IFNA(index(PlayerValues!A:A,match(IFNA(vlookup(B4913,'Special Names'!A:B,2,FALSE),B4913),PlayerValues!E:E,0)),"N/A")</f>
        <v>17510</v>
      </c>
      <c r="B4913" s="4" t="s">
        <v>661</v>
      </c>
      <c r="C4913" s="4" t="s">
        <v>287</v>
      </c>
      <c r="D4913" s="94">
        <v>1112.0</v>
      </c>
    </row>
    <row r="4914">
      <c r="A4914" s="40">
        <f t="array" ref="A4914">IFNA(index(PlayerValues!A:A,match(IFNA(vlookup(B4914,'Special Names'!A:B,2,FALSE),B4914),PlayerValues!E:E,0)),"N/A")</f>
        <v>13131</v>
      </c>
      <c r="B4914" s="4" t="s">
        <v>815</v>
      </c>
      <c r="C4914" s="4" t="s">
        <v>278</v>
      </c>
      <c r="D4914" s="94">
        <v>1106.0</v>
      </c>
    </row>
    <row r="4915">
      <c r="A4915" s="40">
        <f t="array" ref="A4915">IFNA(index(PlayerValues!A:A,match(IFNA(vlookup(B4915,'Special Names'!A:B,2,FALSE),B4915),PlayerValues!E:E,0)),"N/A")</f>
        <v>16393</v>
      </c>
      <c r="B4915" s="4" t="s">
        <v>768</v>
      </c>
      <c r="C4915" s="4" t="s">
        <v>287</v>
      </c>
      <c r="D4915" s="94">
        <v>1104.0</v>
      </c>
    </row>
    <row r="4916">
      <c r="A4916" s="40">
        <f t="array" ref="A4916">IFNA(index(PlayerValues!A:A,match(IFNA(vlookup(B4916,'Special Names'!A:B,2,FALSE),B4916),PlayerValues!E:E,0)),"N/A")</f>
        <v>17685</v>
      </c>
      <c r="B4916" s="4" t="s">
        <v>630</v>
      </c>
      <c r="C4916" s="4" t="s">
        <v>278</v>
      </c>
      <c r="D4916" s="94">
        <v>1101.0</v>
      </c>
    </row>
    <row r="4917">
      <c r="A4917" s="40">
        <f t="array" ref="A4917">IFNA(index(PlayerValues!A:A,match(IFNA(vlookup(B4917,'Special Names'!A:B,2,FALSE),B4917),PlayerValues!E:E,0)),"N/A")</f>
        <v>15727</v>
      </c>
      <c r="B4917" s="4" t="s">
        <v>730</v>
      </c>
      <c r="C4917" s="4" t="s">
        <v>278</v>
      </c>
      <c r="D4917" s="94">
        <v>1092.0</v>
      </c>
    </row>
    <row r="4918">
      <c r="A4918" s="40">
        <f t="array" ref="A4918">IFNA(index(PlayerValues!A:A,match(IFNA(vlookup(B4918,'Special Names'!A:B,2,FALSE),B4918),PlayerValues!E:E,0)),"N/A")</f>
        <v>9064</v>
      </c>
      <c r="B4918" s="4" t="s">
        <v>761</v>
      </c>
      <c r="C4918" s="4" t="s">
        <v>283</v>
      </c>
      <c r="D4918" s="94">
        <v>1089.0</v>
      </c>
    </row>
    <row r="4919">
      <c r="A4919" s="40">
        <f t="array" ref="A4919">IFNA(index(PlayerValues!A:A,match(IFNA(vlookup(B4919,'Special Names'!A:B,2,FALSE),B4919),PlayerValues!E:E,0)),"N/A")</f>
        <v>16197</v>
      </c>
      <c r="B4919" s="4" t="s">
        <v>726</v>
      </c>
      <c r="C4919" s="4" t="s">
        <v>287</v>
      </c>
      <c r="D4919" s="94">
        <v>1087.0</v>
      </c>
    </row>
    <row r="4920">
      <c r="A4920" s="40">
        <f t="array" ref="A4920">IFNA(index(PlayerValues!A:A,match(IFNA(vlookup(B4920,'Special Names'!A:B,2,FALSE),B4920),PlayerValues!E:E,0)),"N/A")</f>
        <v>15692</v>
      </c>
      <c r="B4920" s="4" t="s">
        <v>750</v>
      </c>
      <c r="C4920" s="4" t="s">
        <v>283</v>
      </c>
      <c r="D4920" s="94">
        <v>1086.0</v>
      </c>
    </row>
    <row r="4921">
      <c r="A4921" s="40">
        <f t="array" ref="A4921">IFNA(index(PlayerValues!A:A,match(IFNA(vlookup(B4921,'Special Names'!A:B,2,FALSE),B4921),PlayerValues!E:E,0)),"N/A")</f>
        <v>16637</v>
      </c>
      <c r="B4921" s="4" t="s">
        <v>736</v>
      </c>
      <c r="C4921" s="4" t="s">
        <v>287</v>
      </c>
      <c r="D4921" s="94">
        <v>1072.0</v>
      </c>
    </row>
    <row r="4922">
      <c r="A4922" s="40">
        <f t="array" ref="A4922">IFNA(index(PlayerValues!A:A,match(IFNA(vlookup(B4922,'Special Names'!A:B,2,FALSE),B4922),PlayerValues!E:E,0)),"N/A")</f>
        <v>17050</v>
      </c>
      <c r="B4922" s="4" t="s">
        <v>713</v>
      </c>
      <c r="C4922" s="4" t="s">
        <v>278</v>
      </c>
      <c r="D4922" s="94">
        <v>1065.0</v>
      </c>
    </row>
    <row r="4923">
      <c r="A4923" s="40">
        <f t="array" ref="A4923">IFNA(index(PlayerValues!A:A,match(IFNA(vlookup(B4923,'Special Names'!A:B,2,FALSE),B4923),PlayerValues!E:E,0)),"N/A")</f>
        <v>17599</v>
      </c>
      <c r="B4923" s="4" t="s">
        <v>496</v>
      </c>
      <c r="C4923" s="4" t="s">
        <v>287</v>
      </c>
      <c r="D4923" s="94">
        <v>1064.0</v>
      </c>
    </row>
    <row r="4924">
      <c r="A4924" s="40">
        <f t="array" ref="A4924">IFNA(index(PlayerValues!A:A,match(IFNA(vlookup(B4924,'Special Names'!A:B,2,FALSE),B4924),PlayerValues!E:E,0)),"N/A")</f>
        <v>16640</v>
      </c>
      <c r="B4924" s="4" t="s">
        <v>712</v>
      </c>
      <c r="C4924" s="4" t="s">
        <v>287</v>
      </c>
      <c r="D4924" s="94">
        <v>1060.0</v>
      </c>
    </row>
    <row r="4925">
      <c r="A4925" s="40">
        <f t="array" ref="A4925">IFNA(index(PlayerValues!A:A,match(IFNA(vlookup(B4925,'Special Names'!A:B,2,FALSE),B4925),PlayerValues!E:E,0)),"N/A")</f>
        <v>15693</v>
      </c>
      <c r="B4925" s="4" t="s">
        <v>755</v>
      </c>
      <c r="C4925" s="4" t="s">
        <v>283</v>
      </c>
      <c r="D4925" s="94">
        <v>1036.0</v>
      </c>
    </row>
    <row r="4926">
      <c r="A4926" s="40">
        <f t="array" ref="A4926">IFNA(index(PlayerValues!A:A,match(IFNA(vlookup(B4926,'Special Names'!A:B,2,FALSE),B4926),PlayerValues!E:E,0)),"N/A")</f>
        <v>13193</v>
      </c>
      <c r="B4926" s="4" t="s">
        <v>773</v>
      </c>
      <c r="C4926" s="4" t="s">
        <v>298</v>
      </c>
      <c r="D4926" s="94">
        <v>1402.0</v>
      </c>
    </row>
    <row r="4927">
      <c r="A4927" s="40">
        <f t="array" ref="A4927">IFNA(index(PlayerValues!A:A,match(IFNA(vlookup(B4927,'Special Names'!A:B,2,FALSE),B4927),PlayerValues!E:E,0)),"N/A")</f>
        <v>11247</v>
      </c>
      <c r="B4927" s="4" t="s">
        <v>816</v>
      </c>
      <c r="C4927" s="4" t="s">
        <v>298</v>
      </c>
      <c r="D4927" s="94">
        <v>1394.0</v>
      </c>
    </row>
    <row r="4928">
      <c r="A4928" s="40">
        <f t="array" ref="A4928">IFNA(index(PlayerValues!A:A,match(IFNA(vlookup(B4928,'Special Names'!A:B,2,FALSE),B4928),PlayerValues!E:E,0)),"N/A")</f>
        <v>16451</v>
      </c>
      <c r="B4928" s="4" t="s">
        <v>769</v>
      </c>
      <c r="C4928" s="4" t="s">
        <v>287</v>
      </c>
      <c r="D4928" s="94">
        <v>1025.0</v>
      </c>
    </row>
    <row r="4929">
      <c r="A4929" s="40">
        <f t="array" ref="A4929">IFNA(index(PlayerValues!A:A,match(IFNA(vlookup(B4929,'Special Names'!A:B,2,FALSE),B4929),PlayerValues!E:E,0)),"N/A")</f>
        <v>15239</v>
      </c>
      <c r="B4929" s="4" t="s">
        <v>802</v>
      </c>
      <c r="C4929" s="4" t="s">
        <v>283</v>
      </c>
      <c r="D4929" s="94">
        <v>1013.0</v>
      </c>
    </row>
    <row r="4930">
      <c r="A4930" s="40">
        <f t="array" ref="A4930">IFNA(index(PlayerValues!A:A,match(IFNA(vlookup(B4930,'Special Names'!A:B,2,FALSE),B4930),PlayerValues!E:E,0)),"N/A")</f>
        <v>16168</v>
      </c>
      <c r="B4930" s="4" t="s">
        <v>738</v>
      </c>
      <c r="C4930" s="4" t="s">
        <v>278</v>
      </c>
      <c r="D4930" s="94">
        <v>1011.0</v>
      </c>
    </row>
    <row r="4931">
      <c r="A4931" s="40">
        <f t="array" ref="A4931">IFNA(index(PlayerValues!A:A,match(IFNA(vlookup(B4931,'Special Names'!A:B,2,FALSE),B4931),PlayerValues!E:E,0)),"N/A")</f>
        <v>15258</v>
      </c>
      <c r="B4931" s="4" t="s">
        <v>757</v>
      </c>
      <c r="C4931" s="4" t="s">
        <v>278</v>
      </c>
      <c r="D4931" s="94">
        <v>999.0</v>
      </c>
    </row>
    <row r="4932">
      <c r="A4932" s="40">
        <f t="array" ref="A4932">IFNA(index(PlayerValues!A:A,match(IFNA(vlookup(B4932,'Special Names'!A:B,2,FALSE),B4932),PlayerValues!E:E,0)),"N/A")</f>
        <v>15330</v>
      </c>
      <c r="B4932" s="4" t="s">
        <v>749</v>
      </c>
      <c r="C4932" s="4" t="s">
        <v>298</v>
      </c>
      <c r="D4932" s="94">
        <v>1364.0</v>
      </c>
    </row>
    <row r="4933">
      <c r="A4933" s="40">
        <f t="array" ref="A4933">IFNA(index(PlayerValues!A:A,match(IFNA(vlookup(B4933,'Special Names'!A:B,2,FALSE),B4933),PlayerValues!E:E,0)),"N/A")</f>
        <v>16170</v>
      </c>
      <c r="B4933" s="4" t="s">
        <v>801</v>
      </c>
      <c r="C4933" s="4" t="s">
        <v>278</v>
      </c>
      <c r="D4933" s="94">
        <v>997.0</v>
      </c>
    </row>
    <row r="4934">
      <c r="A4934" s="40">
        <f t="array" ref="A4934">IFNA(index(PlayerValues!A:A,match(IFNA(vlookup(B4934,'Special Names'!A:B,2,FALSE),B4934),PlayerValues!E:E,0)),"N/A")</f>
        <v>17652</v>
      </c>
      <c r="B4934" s="4" t="s">
        <v>576</v>
      </c>
      <c r="C4934" s="4" t="s">
        <v>278</v>
      </c>
      <c r="D4934" s="94">
        <v>995.0</v>
      </c>
    </row>
    <row r="4935">
      <c r="A4935" s="40">
        <f t="array" ref="A4935">IFNA(index(PlayerValues!A:A,match(IFNA(vlookup(B4935,'Special Names'!A:B,2,FALSE),B4935),PlayerValues!E:E,0)),"N/A")</f>
        <v>15795</v>
      </c>
      <c r="B4935" s="4" t="s">
        <v>669</v>
      </c>
      <c r="C4935" s="4" t="s">
        <v>298</v>
      </c>
      <c r="D4935" s="94">
        <v>1359.0</v>
      </c>
    </row>
    <row r="4936">
      <c r="A4936" s="40">
        <f t="array" ref="A4936">IFNA(index(PlayerValues!A:A,match(IFNA(vlookup(B4936,'Special Names'!A:B,2,FALSE),B4936),PlayerValues!E:E,0)),"N/A")</f>
        <v>15717</v>
      </c>
      <c r="B4936" s="4" t="s">
        <v>745</v>
      </c>
      <c r="C4936" s="4" t="s">
        <v>278</v>
      </c>
      <c r="D4936" s="94">
        <v>991.0</v>
      </c>
    </row>
    <row r="4937">
      <c r="A4937" s="40">
        <f t="array" ref="A4937">IFNA(index(PlayerValues!A:A,match(IFNA(vlookup(B4937,'Special Names'!A:B,2,FALSE),B4937),PlayerValues!E:E,0)),"N/A")</f>
        <v>15785</v>
      </c>
      <c r="B4937" s="4" t="s">
        <v>763</v>
      </c>
      <c r="C4937" s="4" t="s">
        <v>287</v>
      </c>
      <c r="D4937" s="94">
        <v>986.0</v>
      </c>
    </row>
    <row r="4938">
      <c r="A4938" s="40">
        <f t="array" ref="A4938">IFNA(index(PlayerValues!A:A,match(IFNA(vlookup(B4938,'Special Names'!A:B,2,FALSE),B4938),PlayerValues!E:E,0)),"N/A")</f>
        <v>16648</v>
      </c>
      <c r="B4938" s="4" t="s">
        <v>748</v>
      </c>
      <c r="C4938" s="4" t="s">
        <v>298</v>
      </c>
      <c r="D4938" s="94">
        <v>1352.0</v>
      </c>
    </row>
    <row r="4939">
      <c r="A4939" s="40">
        <f t="array" ref="A4939">IFNA(index(PlayerValues!A:A,match(IFNA(vlookup(B4939,'Special Names'!A:B,2,FALSE),B4939),PlayerValues!E:E,0)),"N/A")</f>
        <v>14849</v>
      </c>
      <c r="B4939" s="4" t="s">
        <v>733</v>
      </c>
      <c r="C4939" s="4" t="s">
        <v>287</v>
      </c>
      <c r="D4939" s="94">
        <v>981.0</v>
      </c>
    </row>
    <row r="4940">
      <c r="A4940" s="40">
        <f t="array" ref="A4940">IFNA(index(PlayerValues!A:A,match(IFNA(vlookup(B4940,'Special Names'!A:B,2,FALSE),B4940),PlayerValues!E:E,0)),"N/A")</f>
        <v>15766</v>
      </c>
      <c r="B4940" s="4" t="s">
        <v>759</v>
      </c>
      <c r="C4940" s="4" t="s">
        <v>287</v>
      </c>
      <c r="D4940" s="94">
        <v>977.0</v>
      </c>
    </row>
    <row r="4941">
      <c r="A4941" s="40">
        <f t="array" ref="A4941">IFNA(index(PlayerValues!A:A,match(IFNA(vlookup(B4941,'Special Names'!A:B,2,FALSE),B4941),PlayerValues!E:E,0)),"N/A")</f>
        <v>16678</v>
      </c>
      <c r="B4941" s="4" t="s">
        <v>758</v>
      </c>
      <c r="C4941" s="4" t="s">
        <v>278</v>
      </c>
      <c r="D4941" s="94">
        <v>975.0</v>
      </c>
    </row>
    <row r="4942">
      <c r="A4942" s="40">
        <f t="array" ref="A4942">IFNA(index(PlayerValues!A:A,match(IFNA(vlookup(B4942,'Special Names'!A:B,2,FALSE),B4942),PlayerValues!E:E,0)),"N/A")</f>
        <v>14118</v>
      </c>
      <c r="B4942" s="4" t="s">
        <v>771</v>
      </c>
      <c r="C4942" s="4" t="s">
        <v>287</v>
      </c>
      <c r="D4942" s="94">
        <v>974.0</v>
      </c>
    </row>
    <row r="4943">
      <c r="A4943" s="40">
        <f t="array" ref="A4943">IFNA(index(PlayerValues!A:A,match(IFNA(vlookup(B4943,'Special Names'!A:B,2,FALSE),B4943),PlayerValues!E:E,0)),"N/A")</f>
        <v>17175</v>
      </c>
      <c r="B4943" s="4" t="s">
        <v>747</v>
      </c>
      <c r="C4943" s="4" t="s">
        <v>287</v>
      </c>
      <c r="D4943" s="94">
        <v>974.0</v>
      </c>
    </row>
    <row r="4944">
      <c r="A4944" s="40">
        <f t="array" ref="A4944">IFNA(index(PlayerValues!A:A,match(IFNA(vlookup(B4944,'Special Names'!A:B,2,FALSE),B4944),PlayerValues!E:E,0)),"N/A")</f>
        <v>14057</v>
      </c>
      <c r="B4944" s="4" t="s">
        <v>765</v>
      </c>
      <c r="C4944" s="4" t="s">
        <v>283</v>
      </c>
      <c r="D4944" s="94">
        <v>973.0</v>
      </c>
    </row>
    <row r="4945">
      <c r="A4945" s="40">
        <f t="array" ref="A4945">IFNA(index(PlayerValues!A:A,match(IFNA(vlookup(B4945,'Special Names'!A:B,2,FALSE),B4945),PlayerValues!E:E,0)),"N/A")</f>
        <v>15758</v>
      </c>
      <c r="B4945" s="4" t="s">
        <v>724</v>
      </c>
      <c r="C4945" s="4" t="s">
        <v>287</v>
      </c>
      <c r="D4945" s="94">
        <v>972.0</v>
      </c>
    </row>
    <row r="4946">
      <c r="A4946" s="40">
        <f t="array" ref="A4946">IFNA(index(PlayerValues!A:A,match(IFNA(vlookup(B4946,'Special Names'!A:B,2,FALSE),B4946),PlayerValues!E:E,0)),"N/A")</f>
        <v>16205</v>
      </c>
      <c r="B4946" s="4" t="s">
        <v>742</v>
      </c>
      <c r="C4946" s="4" t="s">
        <v>287</v>
      </c>
      <c r="D4946" s="94">
        <v>971.0</v>
      </c>
    </row>
    <row r="4947">
      <c r="A4947" s="40">
        <f t="array" ref="A4947">IFNA(index(PlayerValues!A:A,match(IFNA(vlookup(B4947,'Special Names'!A:B,2,FALSE),B4947),PlayerValues!E:E,0)),"N/A")</f>
        <v>15718</v>
      </c>
      <c r="B4947" s="4" t="s">
        <v>753</v>
      </c>
      <c r="C4947" s="4" t="s">
        <v>278</v>
      </c>
      <c r="D4947" s="94">
        <v>966.0</v>
      </c>
    </row>
    <row r="4948">
      <c r="A4948" s="40">
        <f t="array" ref="A4948">IFNA(index(PlayerValues!A:A,match(IFNA(vlookup(B4948,'Special Names'!A:B,2,FALSE),B4948),PlayerValues!E:E,0)),"N/A")</f>
        <v>17479</v>
      </c>
      <c r="B4948" s="4" t="s">
        <v>756</v>
      </c>
      <c r="C4948" s="4" t="s">
        <v>278</v>
      </c>
      <c r="D4948" s="94">
        <v>964.0</v>
      </c>
    </row>
    <row r="4949">
      <c r="A4949" s="40">
        <f t="array" ref="A4949">IFNA(index(PlayerValues!A:A,match(IFNA(vlookup(B4949,'Special Names'!A:B,2,FALSE),B4949),PlayerValues!E:E,0)),"N/A")</f>
        <v>15626</v>
      </c>
      <c r="B4949" s="4" t="s">
        <v>766</v>
      </c>
      <c r="C4949" s="4" t="s">
        <v>298</v>
      </c>
      <c r="D4949" s="94">
        <v>1329.0</v>
      </c>
    </row>
    <row r="4950">
      <c r="A4950" s="40">
        <f t="array" ref="A4950">IFNA(index(PlayerValues!A:A,match(IFNA(vlookup(B4950,'Special Names'!A:B,2,FALSE),B4950),PlayerValues!E:E,0)),"N/A")</f>
        <v>16858</v>
      </c>
      <c r="B4950" s="4" t="s">
        <v>754</v>
      </c>
      <c r="C4950" s="4" t="s">
        <v>287</v>
      </c>
      <c r="D4950" s="94">
        <v>958.0</v>
      </c>
    </row>
    <row r="4951">
      <c r="A4951" s="40">
        <f t="array" ref="A4951">IFNA(index(PlayerValues!A:A,match(IFNA(vlookup(B4951,'Special Names'!A:B,2,FALSE),B4951),PlayerValues!E:E,0)),"N/A")</f>
        <v>15109</v>
      </c>
      <c r="B4951" s="4" t="s">
        <v>728</v>
      </c>
      <c r="C4951" s="4" t="s">
        <v>287</v>
      </c>
      <c r="D4951" s="94">
        <v>956.0</v>
      </c>
    </row>
    <row r="4952">
      <c r="A4952" s="40">
        <f t="array" ref="A4952">IFNA(index(PlayerValues!A:A,match(IFNA(vlookup(B4952,'Special Names'!A:B,2,FALSE),B4952),PlayerValues!E:E,0)),"N/A")</f>
        <v>16219</v>
      </c>
      <c r="B4952" s="4" t="s">
        <v>739</v>
      </c>
      <c r="C4952" s="4" t="s">
        <v>298</v>
      </c>
      <c r="D4952" s="94">
        <v>1300.0</v>
      </c>
    </row>
    <row r="4953">
      <c r="A4953" s="40">
        <f t="array" ref="A4953">IFNA(index(PlayerValues!A:A,match(IFNA(vlookup(B4953,'Special Names'!A:B,2,FALSE),B4953),PlayerValues!E:E,0)),"N/A")</f>
        <v>16624</v>
      </c>
      <c r="B4953" s="4" t="s">
        <v>796</v>
      </c>
      <c r="C4953" s="4" t="s">
        <v>287</v>
      </c>
      <c r="D4953" s="94">
        <v>917.0</v>
      </c>
    </row>
    <row r="4954">
      <c r="A4954" s="40">
        <f t="array" ref="A4954">IFNA(index(PlayerValues!A:A,match(IFNA(vlookup(B4954,'Special Names'!A:B,2,FALSE),B4954),PlayerValues!E:E,0)),"N/A")</f>
        <v>17475</v>
      </c>
      <c r="B4954" s="4" t="s">
        <v>615</v>
      </c>
      <c r="C4954" s="4" t="s">
        <v>278</v>
      </c>
      <c r="D4954" s="94">
        <v>911.0</v>
      </c>
    </row>
    <row r="4955">
      <c r="A4955" s="40">
        <f t="array" ref="A4955">IFNA(index(PlayerValues!A:A,match(IFNA(vlookup(B4955,'Special Names'!A:B,2,FALSE),B4955),PlayerValues!E:E,0)),"N/A")</f>
        <v>15720</v>
      </c>
      <c r="B4955" s="4" t="s">
        <v>795</v>
      </c>
      <c r="C4955" s="4" t="s">
        <v>278</v>
      </c>
      <c r="D4955" s="94">
        <v>907.0</v>
      </c>
    </row>
    <row r="4956">
      <c r="A4956" s="40">
        <f t="array" ref="A4956">IFNA(index(PlayerValues!A:A,match(IFNA(vlookup(B4956,'Special Names'!A:B,2,FALSE),B4956),PlayerValues!E:E,0)),"N/A")</f>
        <v>16773</v>
      </c>
      <c r="B4956" s="4" t="s">
        <v>783</v>
      </c>
      <c r="C4956" s="4" t="s">
        <v>278</v>
      </c>
      <c r="D4956" s="94">
        <v>879.0</v>
      </c>
    </row>
    <row r="4957">
      <c r="A4957" s="40">
        <f t="array" ref="A4957">IFNA(index(PlayerValues!A:A,match(IFNA(vlookup(B4957,'Special Names'!A:B,2,FALSE),B4957),PlayerValues!E:E,0)),"N/A")</f>
        <v>16599</v>
      </c>
      <c r="B4957" s="4" t="s">
        <v>737</v>
      </c>
      <c r="C4957" s="4" t="s">
        <v>278</v>
      </c>
      <c r="D4957" s="94">
        <v>871.0</v>
      </c>
    </row>
    <row r="4958">
      <c r="A4958" s="40">
        <f t="array" ref="A4958">IFNA(index(PlayerValues!A:A,match(IFNA(vlookup(B4958,'Special Names'!A:B,2,FALSE),B4958),PlayerValues!E:E,0)),"N/A")</f>
        <v>16416</v>
      </c>
      <c r="B4958" s="4" t="s">
        <v>752</v>
      </c>
      <c r="C4958" s="4" t="s">
        <v>287</v>
      </c>
      <c r="D4958" s="94">
        <v>866.0</v>
      </c>
    </row>
    <row r="4959">
      <c r="A4959" s="40">
        <f t="array" ref="A4959">IFNA(index(PlayerValues!A:A,match(IFNA(vlookup(B4959,'Special Names'!A:B,2,FALSE),B4959),PlayerValues!E:E,0)),"N/A")</f>
        <v>17549</v>
      </c>
      <c r="B4959" s="4" t="s">
        <v>720</v>
      </c>
      <c r="C4959" s="4" t="s">
        <v>298</v>
      </c>
      <c r="D4959" s="94">
        <v>1231.0</v>
      </c>
    </row>
    <row r="4960">
      <c r="A4960" s="40">
        <f t="array" ref="A4960">IFNA(index(PlayerValues!A:A,match(IFNA(vlookup(B4960,'Special Names'!A:B,2,FALSE),B4960),PlayerValues!E:E,0)),"N/A")</f>
        <v>13138</v>
      </c>
      <c r="B4960" s="4" t="s">
        <v>817</v>
      </c>
      <c r="C4960" s="4" t="s">
        <v>278</v>
      </c>
      <c r="D4960" s="94">
        <v>862.0</v>
      </c>
    </row>
    <row r="4961">
      <c r="A4961" s="40">
        <f t="array" ref="A4961">IFNA(index(PlayerValues!A:A,match(IFNA(vlookup(B4961,'Special Names'!A:B,2,FALSE),B4961),PlayerValues!E:E,0)),"N/A")</f>
        <v>17504</v>
      </c>
      <c r="B4961" s="4" t="s">
        <v>693</v>
      </c>
      <c r="C4961" s="4" t="s">
        <v>287</v>
      </c>
      <c r="D4961" s="94">
        <v>858.0</v>
      </c>
    </row>
    <row r="4962">
      <c r="A4962" s="40">
        <f t="array" ref="A4962">IFNA(index(PlayerValues!A:A,match(IFNA(vlookup(B4962,'Special Names'!A:B,2,FALSE),B4962),PlayerValues!E:E,0)),"N/A")</f>
        <v>17487</v>
      </c>
      <c r="B4962" s="4" t="s">
        <v>692</v>
      </c>
      <c r="C4962" s="4" t="s">
        <v>278</v>
      </c>
      <c r="D4962" s="94">
        <v>848.0</v>
      </c>
    </row>
    <row r="4963">
      <c r="A4963" s="40">
        <f t="array" ref="A4963">IFNA(index(PlayerValues!A:A,match(IFNA(vlookup(B4963,'Special Names'!A:B,2,FALSE),B4963),PlayerValues!E:E,0)),"N/A")</f>
        <v>12785</v>
      </c>
      <c r="B4963" s="4" t="s">
        <v>772</v>
      </c>
      <c r="C4963" s="4" t="s">
        <v>287</v>
      </c>
      <c r="D4963" s="94">
        <v>841.0</v>
      </c>
    </row>
    <row r="4964">
      <c r="A4964" s="40">
        <f t="array" ref="A4964">IFNA(index(PlayerValues!A:A,match(IFNA(vlookup(B4964,'Special Names'!A:B,2,FALSE),B4964),PlayerValues!E:E,0)),"N/A")</f>
        <v>16751</v>
      </c>
      <c r="B4964" s="4" t="s">
        <v>762</v>
      </c>
      <c r="C4964" s="4" t="s">
        <v>287</v>
      </c>
      <c r="D4964" s="94">
        <v>841.0</v>
      </c>
    </row>
    <row r="4965">
      <c r="A4965" s="40">
        <f t="array" ref="A4965">IFNA(index(PlayerValues!A:A,match(IFNA(vlookup(B4965,'Special Names'!A:B,2,FALSE),B4965),PlayerValues!E:E,0)),"N/A")</f>
        <v>17657</v>
      </c>
      <c r="B4965" s="4" t="s">
        <v>642</v>
      </c>
      <c r="C4965" s="4" t="s">
        <v>283</v>
      </c>
      <c r="D4965" s="94">
        <v>829.0</v>
      </c>
    </row>
    <row r="4966">
      <c r="A4966" s="40">
        <f t="array" ref="A4966">IFNA(index(PlayerValues!A:A,match(IFNA(vlookup(B4966,'Special Names'!A:B,2,FALSE),B4966),PlayerValues!E:E,0)),"N/A")</f>
        <v>14223</v>
      </c>
      <c r="B4966" s="4" t="s">
        <v>785</v>
      </c>
      <c r="C4966" s="4" t="s">
        <v>278</v>
      </c>
      <c r="D4966" s="94">
        <v>815.0</v>
      </c>
    </row>
    <row r="4967">
      <c r="A4967" s="40">
        <f t="array" ref="A4967">IFNA(index(PlayerValues!A:A,match(IFNA(vlookup(B4967,'Special Names'!A:B,2,FALSE),B4967),PlayerValues!E:E,0)),"N/A")</f>
        <v>17486</v>
      </c>
      <c r="B4967" s="4" t="s">
        <v>695</v>
      </c>
      <c r="C4967" s="4" t="s">
        <v>278</v>
      </c>
      <c r="D4967" s="94">
        <v>780.0</v>
      </c>
    </row>
    <row r="4968">
      <c r="A4968" s="40">
        <f t="array" ref="A4968">IFNA(index(PlayerValues!A:A,match(IFNA(vlookup(B4968,'Special Names'!A:B,2,FALSE),B4968),PlayerValues!E:E,0)),"N/A")</f>
        <v>17337</v>
      </c>
      <c r="B4968" s="4" t="s">
        <v>793</v>
      </c>
      <c r="C4968" s="4" t="s">
        <v>278</v>
      </c>
      <c r="D4968" s="94">
        <v>771.0</v>
      </c>
    </row>
    <row r="4969">
      <c r="A4969" s="40">
        <f t="array" ref="A4969">IFNA(index(PlayerValues!A:A,match(IFNA(vlookup(B4969,'Special Names'!A:B,2,FALSE),B4969),PlayerValues!E:E,0)),"N/A")</f>
        <v>17654</v>
      </c>
      <c r="B4969" s="4" t="s">
        <v>767</v>
      </c>
      <c r="C4969" s="4" t="s">
        <v>283</v>
      </c>
      <c r="D4969" s="94">
        <v>765.0</v>
      </c>
    </row>
    <row r="4970">
      <c r="A4970" s="40">
        <f t="array" ref="A4970">IFNA(index(PlayerValues!A:A,match(IFNA(vlookup(B4970,'Special Names'!A:B,2,FALSE),B4970),PlayerValues!E:E,0)),"N/A")</f>
        <v>16176</v>
      </c>
      <c r="B4970" s="4" t="s">
        <v>812</v>
      </c>
      <c r="C4970" s="4" t="s">
        <v>278</v>
      </c>
      <c r="D4970" s="94">
        <v>747.0</v>
      </c>
    </row>
    <row r="4971">
      <c r="A4971" s="40">
        <f t="array" ref="A4971">IFNA(index(PlayerValues!A:A,match(IFNA(vlookup(B4971,'Special Names'!A:B,2,FALSE),B4971),PlayerValues!E:E,0)),"N/A")</f>
        <v>16606</v>
      </c>
      <c r="B4971" s="4" t="s">
        <v>743</v>
      </c>
      <c r="C4971" s="4" t="s">
        <v>278</v>
      </c>
      <c r="D4971" s="94">
        <v>730.0</v>
      </c>
    </row>
    <row r="4972">
      <c r="A4972" s="40">
        <f t="array" ref="A4972">IFNA(index(PlayerValues!A:A,match(IFNA(vlookup(B4972,'Special Names'!A:B,2,FALSE),B4972),PlayerValues!E:E,0)),"N/A")</f>
        <v>17518</v>
      </c>
      <c r="B4972" s="4" t="s">
        <v>482</v>
      </c>
      <c r="C4972" s="4" t="s">
        <v>287</v>
      </c>
      <c r="D4972" s="94">
        <v>729.0</v>
      </c>
    </row>
    <row r="4973">
      <c r="A4973" s="40">
        <f t="array" ref="A4973">IFNA(index(PlayerValues!A:A,match(IFNA(vlookup(B4973,'Special Names'!A:B,2,FALSE),B4973),PlayerValues!E:E,0)),"N/A")</f>
        <v>16623</v>
      </c>
      <c r="B4973" s="4" t="s">
        <v>803</v>
      </c>
      <c r="C4973" s="4" t="s">
        <v>287</v>
      </c>
      <c r="D4973" s="94">
        <v>721.0</v>
      </c>
    </row>
    <row r="4974">
      <c r="A4974" s="40">
        <f t="array" ref="A4974">IFNA(index(PlayerValues!A:A,match(IFNA(vlookup(B4974,'Special Names'!A:B,2,FALSE),B4974),PlayerValues!E:E,0)),"N/A")</f>
        <v>14864</v>
      </c>
      <c r="B4974" s="4" t="s">
        <v>789</v>
      </c>
      <c r="C4974" s="4" t="s">
        <v>287</v>
      </c>
      <c r="D4974" s="94">
        <v>706.0</v>
      </c>
    </row>
    <row r="4975">
      <c r="A4975" s="40">
        <f t="array" ref="A4975">IFNA(index(PlayerValues!A:A,match(IFNA(vlookup(B4975,'Special Names'!A:B,2,FALSE),B4975),PlayerValues!E:E,0)),"N/A")</f>
        <v>12263</v>
      </c>
      <c r="B4975" s="4" t="s">
        <v>697</v>
      </c>
      <c r="C4975" s="4" t="s">
        <v>298</v>
      </c>
      <c r="D4975" s="94">
        <v>1055.0</v>
      </c>
    </row>
    <row r="4976">
      <c r="A4976" s="40">
        <f t="array" ref="A4976">IFNA(index(PlayerValues!A:A,match(IFNA(vlookup(B4976,'Special Names'!A:B,2,FALSE),B4976),PlayerValues!E:E,0)),"N/A")</f>
        <v>15723</v>
      </c>
      <c r="B4976" s="4" t="s">
        <v>798</v>
      </c>
      <c r="C4976" s="4" t="s">
        <v>278</v>
      </c>
      <c r="D4976" s="94">
        <v>692.0</v>
      </c>
    </row>
    <row r="4977">
      <c r="A4977" s="40">
        <f t="array" ref="A4977">IFNA(index(PlayerValues!A:A,match(IFNA(vlookup(B4977,'Special Names'!A:B,2,FALSE),B4977),PlayerValues!E:E,0)),"N/A")</f>
        <v>16686</v>
      </c>
      <c r="B4977" s="4" t="s">
        <v>805</v>
      </c>
      <c r="C4977" s="4" t="s">
        <v>287</v>
      </c>
      <c r="D4977" s="94">
        <v>674.0</v>
      </c>
    </row>
    <row r="4978">
      <c r="A4978" s="40">
        <f t="array" ref="A4978">IFNA(index(PlayerValues!A:A,match(IFNA(vlookup(B4978,'Special Names'!A:B,2,FALSE),B4978),PlayerValues!E:E,0)),"N/A")</f>
        <v>17545</v>
      </c>
      <c r="B4978" s="4" t="s">
        <v>719</v>
      </c>
      <c r="C4978" s="4" t="s">
        <v>298</v>
      </c>
      <c r="D4978" s="94">
        <v>1025.0</v>
      </c>
    </row>
    <row r="4979">
      <c r="A4979" s="40">
        <f t="array" ref="A4979">IFNA(index(PlayerValues!A:A,match(IFNA(vlookup(B4979,'Special Names'!A:B,2,FALSE),B4979),PlayerValues!E:E,0)),"N/A")</f>
        <v>17627</v>
      </c>
      <c r="B4979" s="4" t="s">
        <v>684</v>
      </c>
      <c r="C4979" s="4" t="s">
        <v>298</v>
      </c>
      <c r="D4979" s="94">
        <v>1024.0</v>
      </c>
    </row>
    <row r="4980">
      <c r="A4980" s="40">
        <f t="array" ref="A4980">IFNA(index(PlayerValues!A:A,match(IFNA(vlookup(B4980,'Special Names'!A:B,2,FALSE),B4980),PlayerValues!E:E,0)),"N/A")</f>
        <v>17541</v>
      </c>
      <c r="B4980" s="4" t="s">
        <v>616</v>
      </c>
      <c r="C4980" s="4" t="s">
        <v>287</v>
      </c>
      <c r="D4980" s="94">
        <v>620.0</v>
      </c>
    </row>
    <row r="4981">
      <c r="A4981" s="40">
        <f t="array" ref="A4981">IFNA(index(PlayerValues!A:A,match(IFNA(vlookup(B4981,'Special Names'!A:B,2,FALSE),B4981),PlayerValues!E:E,0)),"N/A")</f>
        <v>13133</v>
      </c>
      <c r="B4981" s="4" t="s">
        <v>764</v>
      </c>
      <c r="C4981" s="4" t="s">
        <v>278</v>
      </c>
      <c r="D4981" s="94">
        <v>607.0</v>
      </c>
    </row>
    <row r="4982">
      <c r="A4982" s="40">
        <f t="array" ref="A4982">IFNA(index(PlayerValues!A:A,match(IFNA(vlookup(B4982,'Special Names'!A:B,2,FALSE),B4982),PlayerValues!E:E,0)),"N/A")</f>
        <v>13595</v>
      </c>
      <c r="B4982" s="4" t="s">
        <v>818</v>
      </c>
      <c r="C4982" s="4" t="s">
        <v>283</v>
      </c>
      <c r="D4982" s="94">
        <v>591.0</v>
      </c>
    </row>
    <row r="4983">
      <c r="A4983" s="40">
        <f t="array" ref="A4983">IFNA(index(PlayerValues!A:A,match(IFNA(vlookup(B4983,'Special Names'!A:B,2,FALSE),B4983),PlayerValues!E:E,0)),"N/A")</f>
        <v>16159</v>
      </c>
      <c r="B4983" s="4" t="s">
        <v>819</v>
      </c>
      <c r="C4983" s="4" t="s">
        <v>283</v>
      </c>
      <c r="D4983" s="94">
        <v>566.0</v>
      </c>
    </row>
    <row r="4984">
      <c r="A4984" s="40">
        <f t="array" ref="A4984">IFNA(index(PlayerValues!A:A,match(IFNA(vlookup(B4984,'Special Names'!A:B,2,FALSE),B4984),PlayerValues!E:E,0)),"N/A")</f>
        <v>15804</v>
      </c>
      <c r="B4984" s="4" t="s">
        <v>821</v>
      </c>
      <c r="C4984" s="4" t="s">
        <v>298</v>
      </c>
      <c r="D4984" s="94">
        <v>871.0</v>
      </c>
    </row>
    <row r="4985">
      <c r="A4985" s="40">
        <f t="array" ref="A4985">IFNA(index(PlayerValues!A:A,match(IFNA(vlookup(B4985,'Special Names'!A:B,2,FALSE),B4985),PlayerValues!E:E,0)),"N/A")</f>
        <v>14858</v>
      </c>
      <c r="B4985" s="4" t="s">
        <v>799</v>
      </c>
      <c r="C4985" s="4" t="s">
        <v>287</v>
      </c>
      <c r="D4985" s="94">
        <v>515.0</v>
      </c>
    </row>
    <row r="4986">
      <c r="A4986" s="40">
        <f t="array" ref="A4986">IFNA(index(PlayerValues!A:A,match(IFNA(vlookup(B4986,'Special Names'!A:B,2,FALSE),B4986),PlayerValues!E:E,0)),"N/A")</f>
        <v>15796</v>
      </c>
      <c r="B4986" s="4" t="s">
        <v>794</v>
      </c>
      <c r="C4986" s="4" t="s">
        <v>298</v>
      </c>
      <c r="D4986" s="94">
        <v>850.0</v>
      </c>
    </row>
    <row r="4987">
      <c r="A4987" s="40">
        <f t="array" ref="A4987">IFNA(index(PlayerValues!A:A,match(IFNA(vlookup(B4987,'Special Names'!A:B,2,FALSE),B4987),PlayerValues!E:E,0)),"N/A")</f>
        <v>17038</v>
      </c>
      <c r="B4987" s="4" t="s">
        <v>774</v>
      </c>
      <c r="C4987" s="4" t="s">
        <v>283</v>
      </c>
      <c r="D4987" s="94">
        <v>505.0</v>
      </c>
    </row>
    <row r="4988">
      <c r="A4988" s="40">
        <f t="array" ref="A4988">IFNA(index(PlayerValues!A:A,match(IFNA(vlookup(B4988,'Special Names'!A:B,2,FALSE),B4988),PlayerValues!E:E,0)),"N/A")</f>
        <v>17243</v>
      </c>
      <c r="B4988" s="4" t="s">
        <v>810</v>
      </c>
      <c r="C4988" s="4" t="s">
        <v>298</v>
      </c>
      <c r="D4988" s="94">
        <v>850.0</v>
      </c>
    </row>
    <row r="4989">
      <c r="A4989" s="40">
        <f t="array" ref="A4989">IFNA(index(PlayerValues!A:A,match(IFNA(vlookup(B4989,'Special Names'!A:B,2,FALSE),B4989),PlayerValues!E:E,0)),"N/A")</f>
        <v>13143</v>
      </c>
      <c r="B4989" s="4" t="s">
        <v>786</v>
      </c>
      <c r="C4989" s="4" t="s">
        <v>278</v>
      </c>
      <c r="D4989" s="94">
        <v>504.0</v>
      </c>
    </row>
    <row r="4990">
      <c r="A4990" s="40">
        <f t="array" ref="A4990">IFNA(index(PlayerValues!A:A,match(IFNA(vlookup(B4990,'Special Names'!A:B,2,FALSE),B4990),PlayerValues!E:E,0)),"N/A")</f>
        <v>16957</v>
      </c>
      <c r="B4990" s="4" t="s">
        <v>806</v>
      </c>
      <c r="C4990" s="4" t="s">
        <v>278</v>
      </c>
      <c r="D4990" s="94">
        <v>504.0</v>
      </c>
    </row>
    <row r="4991">
      <c r="A4991" s="40">
        <f t="array" ref="A4991">IFNA(index(PlayerValues!A:A,match(IFNA(vlookup(B4991,'Special Names'!A:B,2,FALSE),B4991),PlayerValues!E:E,0)),"N/A")</f>
        <v>13066</v>
      </c>
      <c r="B4991" s="4" t="s">
        <v>822</v>
      </c>
      <c r="C4991" s="4" t="s">
        <v>287</v>
      </c>
      <c r="D4991" s="94">
        <v>502.0</v>
      </c>
    </row>
    <row r="4992">
      <c r="A4992" s="40">
        <f t="array" ref="A4992">IFNA(index(PlayerValues!A:A,match(IFNA(vlookup(B4992,'Special Names'!A:B,2,FALSE),B4992),PlayerValues!E:E,0)),"N/A")</f>
        <v>12658</v>
      </c>
      <c r="B4992" s="4" t="s">
        <v>823</v>
      </c>
      <c r="C4992" s="4" t="s">
        <v>287</v>
      </c>
      <c r="D4992" s="94">
        <v>501.0</v>
      </c>
    </row>
    <row r="4993">
      <c r="A4993" s="40">
        <f t="array" ref="A4993">IFNA(index(PlayerValues!A:A,match(IFNA(vlookup(B4993,'Special Names'!A:B,2,FALSE),B4993),PlayerValues!E:E,0)),"N/A")</f>
        <v>14239</v>
      </c>
      <c r="B4993" s="4" t="s">
        <v>824</v>
      </c>
      <c r="C4993" s="4" t="s">
        <v>298</v>
      </c>
      <c r="D4993" s="94">
        <v>846.0</v>
      </c>
    </row>
    <row r="4994">
      <c r="A4994" s="40">
        <f t="array" ref="A4994">IFNA(index(PlayerValues!A:A,match(IFNA(vlookup(B4994,'Special Names'!A:B,2,FALSE),B4994),PlayerValues!E:E,0)),"N/A")</f>
        <v>16625</v>
      </c>
      <c r="B4994" s="4" t="s">
        <v>778</v>
      </c>
      <c r="C4994" s="4" t="s">
        <v>287</v>
      </c>
      <c r="D4994" s="94">
        <v>497.0</v>
      </c>
    </row>
    <row r="4995">
      <c r="A4995" s="40">
        <f t="array" ref="A4995">IFNA(index(PlayerValues!A:A,match(IFNA(vlookup(B4995,'Special Names'!A:B,2,FALSE),B4995),PlayerValues!E:E,0)),"N/A")</f>
        <v>13610</v>
      </c>
      <c r="B4995" s="4" t="s">
        <v>825</v>
      </c>
      <c r="C4995" s="4" t="s">
        <v>278</v>
      </c>
      <c r="D4995" s="94">
        <v>496.0</v>
      </c>
    </row>
    <row r="4996">
      <c r="A4996" s="40">
        <f t="array" ref="A4996">IFNA(index(PlayerValues!A:A,match(IFNA(vlookup(B4996,'Special Names'!A:B,2,FALSE),B4996),PlayerValues!E:E,0)),"N/A")</f>
        <v>16299</v>
      </c>
      <c r="B4996" s="4" t="s">
        <v>787</v>
      </c>
      <c r="C4996" s="4" t="s">
        <v>287</v>
      </c>
      <c r="D4996" s="94">
        <v>496.0</v>
      </c>
    </row>
    <row r="4997">
      <c r="A4997" s="40">
        <f t="array" ref="A4997">IFNA(index(PlayerValues!A:A,match(IFNA(vlookup(B4997,'Special Names'!A:B,2,FALSE),B4997),PlayerValues!E:E,0)),"N/A")</f>
        <v>11232</v>
      </c>
      <c r="B4997" s="4" t="s">
        <v>826</v>
      </c>
      <c r="C4997" s="4" t="s">
        <v>287</v>
      </c>
      <c r="D4997" s="94">
        <v>495.0</v>
      </c>
    </row>
    <row r="4998">
      <c r="A4998" s="40">
        <f t="array" ref="A4998">IFNA(index(PlayerValues!A:A,match(IFNA(vlookup(B4998,'Special Names'!A:B,2,FALSE),B4998),PlayerValues!E:E,0)),"N/A")</f>
        <v>10413</v>
      </c>
      <c r="B4998" s="4" t="s">
        <v>811</v>
      </c>
      <c r="C4998" s="4" t="s">
        <v>283</v>
      </c>
      <c r="D4998" s="94">
        <v>494.0</v>
      </c>
    </row>
    <row r="4999">
      <c r="A4999" s="40">
        <f t="array" ref="A4999">IFNA(index(PlayerValues!A:A,match(IFNA(vlookup(B4999,'Special Names'!A:B,2,FALSE),B4999),PlayerValues!E:E,0)),"N/A")</f>
        <v>16413</v>
      </c>
      <c r="B4999" s="4" t="s">
        <v>781</v>
      </c>
      <c r="C4999" s="4" t="s">
        <v>287</v>
      </c>
      <c r="D4999" s="94">
        <v>493.0</v>
      </c>
    </row>
    <row r="5000">
      <c r="A5000" s="40">
        <f t="array" ref="A5000">IFNA(index(PlayerValues!A:A,match(IFNA(vlookup(B5000,'Special Names'!A:B,2,FALSE),B5000),PlayerValues!E:E,0)),"N/A")</f>
        <v>13404</v>
      </c>
      <c r="B5000" s="4" t="s">
        <v>827</v>
      </c>
      <c r="C5000" s="4" t="s">
        <v>278</v>
      </c>
      <c r="D5000" s="94">
        <v>13.0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13589</v>
      </c>
      <c r="B1" s="4" t="s">
        <v>282</v>
      </c>
      <c r="C1" s="4" t="s">
        <v>283</v>
      </c>
      <c r="D1" s="94">
        <v>9999.0</v>
      </c>
    </row>
    <row r="2">
      <c r="A2" s="40">
        <f t="array" ref="A2">IFNA(index(PlayerValues!A:A,match(IFNA(vlookup(B2,'Special Names'!A:B,2,FALSE),B2),PlayerValues!E:E,0)),"N/A")</f>
        <v>16161</v>
      </c>
      <c r="B2" s="4" t="s">
        <v>277</v>
      </c>
      <c r="C2" s="4" t="s">
        <v>278</v>
      </c>
      <c r="D2" s="94">
        <v>9992.0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9893.0</v>
      </c>
    </row>
    <row r="4">
      <c r="A4" s="40">
        <f t="array" ref="A4">IFNA(index(PlayerValues!A:A,match(IFNA(vlookup(B4,'Special Names'!A:B,2,FALSE),B4),PlayerValues!E:E,0)),"N/A")</f>
        <v>16185</v>
      </c>
      <c r="B4" s="4" t="s">
        <v>290</v>
      </c>
      <c r="C4" s="4" t="s">
        <v>287</v>
      </c>
      <c r="D4" s="94">
        <v>9873.0</v>
      </c>
    </row>
    <row r="5">
      <c r="A5" s="40">
        <f t="array" ref="A5">IFNA(index(PlayerValues!A:A,match(IFNA(vlookup(B5,'Special Names'!A:B,2,FALSE),B5),PlayerValues!E:E,0)),"N/A")</f>
        <v>16162</v>
      </c>
      <c r="B5" s="4" t="s">
        <v>281</v>
      </c>
      <c r="C5" s="4" t="s">
        <v>278</v>
      </c>
      <c r="D5" s="94">
        <v>9605.0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9504.0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8579.0</v>
      </c>
    </row>
    <row r="8">
      <c r="A8" s="40">
        <f t="array" ref="A8">IFNA(index(PlayerValues!A:A,match(IFNA(vlookup(B8,'Special Names'!A:B,2,FALSE),B8),PlayerValues!E:E,0)),"N/A")</f>
        <v>16641</v>
      </c>
      <c r="B8" s="4" t="s">
        <v>297</v>
      </c>
      <c r="C8" s="4" t="s">
        <v>298</v>
      </c>
      <c r="D8" s="94">
        <v>8802.0</v>
      </c>
    </row>
    <row r="9">
      <c r="A9" s="40">
        <f t="array" ref="A9">IFNA(index(PlayerValues!A:A,match(IFNA(vlookup(B9,'Special Names'!A:B,2,FALSE),B9),PlayerValues!E:E,0)),"N/A")</f>
        <v>16581</v>
      </c>
      <c r="B9" s="4" t="s">
        <v>315</v>
      </c>
      <c r="C9" s="4" t="s">
        <v>283</v>
      </c>
      <c r="D9" s="94">
        <v>7866.0</v>
      </c>
    </row>
    <row r="10">
      <c r="A10" s="40">
        <f t="array" ref="A10">IFNA(index(PlayerValues!A:A,match(IFNA(vlookup(B10,'Special Names'!A:B,2,FALSE),B10),PlayerValues!E:E,0)),"N/A")</f>
        <v>16615</v>
      </c>
      <c r="B10" s="4" t="s">
        <v>309</v>
      </c>
      <c r="C10" s="4" t="s">
        <v>287</v>
      </c>
      <c r="D10" s="94">
        <v>7858.0</v>
      </c>
    </row>
    <row r="11">
      <c r="A11" s="40">
        <f t="array" ref="A11">IFNA(index(PlayerValues!A:A,match(IFNA(vlookup(B11,'Special Names'!A:B,2,FALSE),B11),PlayerValues!E:E,0)),"N/A")</f>
        <v>16579</v>
      </c>
      <c r="B11" s="4" t="s">
        <v>302</v>
      </c>
      <c r="C11" s="4" t="s">
        <v>283</v>
      </c>
      <c r="D11" s="94">
        <v>7796.0</v>
      </c>
    </row>
    <row r="12">
      <c r="A12" s="40">
        <f t="array" ref="A12">IFNA(index(PlayerValues!A:A,match(IFNA(vlookup(B12,'Special Names'!A:B,2,FALSE),B12),PlayerValues!E:E,0)),"N/A")</f>
        <v>14836</v>
      </c>
      <c r="B12" s="4" t="s">
        <v>306</v>
      </c>
      <c r="C12" s="4" t="s">
        <v>287</v>
      </c>
      <c r="D12" s="94">
        <v>7766.0</v>
      </c>
    </row>
    <row r="13">
      <c r="A13" s="40">
        <f t="array" ref="A13">IFNA(index(PlayerValues!A:A,match(IFNA(vlookup(B13,'Special Names'!A:B,2,FALSE),B13),PlayerValues!E:E,0)),"N/A")</f>
        <v>15287</v>
      </c>
      <c r="B13" s="4" t="s">
        <v>299</v>
      </c>
      <c r="C13" s="4" t="s">
        <v>287</v>
      </c>
      <c r="D13" s="94">
        <v>7693.0</v>
      </c>
    </row>
    <row r="14">
      <c r="A14" s="40">
        <f t="array" ref="A14">IFNA(index(PlayerValues!A:A,match(IFNA(vlookup(B14,'Special Names'!A:B,2,FALSE),B14),PlayerValues!E:E,0)),"N/A")</f>
        <v>13593</v>
      </c>
      <c r="B14" s="4" t="s">
        <v>305</v>
      </c>
      <c r="C14" s="4" t="s">
        <v>283</v>
      </c>
      <c r="D14" s="94">
        <v>7671.0</v>
      </c>
    </row>
    <row r="15">
      <c r="A15" s="40">
        <f t="array" ref="A15">IFNA(index(PlayerValues!A:A,match(IFNA(vlookup(B15,'Special Names'!A:B,2,FALSE),B15),PlayerValues!E:E,0)),"N/A")</f>
        <v>17472</v>
      </c>
      <c r="B15" s="4" t="s">
        <v>310</v>
      </c>
      <c r="C15" s="4" t="s">
        <v>278</v>
      </c>
      <c r="D15" s="94">
        <v>7586.0</v>
      </c>
    </row>
    <row r="16">
      <c r="A16" s="40">
        <f t="array" ref="A16">IFNA(index(PlayerValues!A:A,match(IFNA(vlookup(B16,'Special Names'!A:B,2,FALSE),B16),PlayerValues!E:E,0)),"N/A")</f>
        <v>17042</v>
      </c>
      <c r="B16" s="4" t="s">
        <v>314</v>
      </c>
      <c r="C16" s="4" t="s">
        <v>278</v>
      </c>
      <c r="D16" s="94">
        <v>7569.0</v>
      </c>
    </row>
    <row r="17">
      <c r="A17" s="40">
        <f t="array" ref="A17">IFNA(index(PlayerValues!A:A,match(IFNA(vlookup(B17,'Special Names'!A:B,2,FALSE),B17),PlayerValues!E:E,0)),"N/A")</f>
        <v>15794</v>
      </c>
      <c r="B17" s="4" t="s">
        <v>313</v>
      </c>
      <c r="C17" s="4" t="s">
        <v>298</v>
      </c>
      <c r="D17" s="94">
        <v>8371.0</v>
      </c>
    </row>
    <row r="18">
      <c r="A18" s="40">
        <f t="array" ref="A18">IFNA(index(PlayerValues!A:A,match(IFNA(vlookup(B18,'Special Names'!A:B,2,FALSE),B18),PlayerValues!E:E,0)),"N/A")</f>
        <v>14777</v>
      </c>
      <c r="B18" s="4" t="s">
        <v>318</v>
      </c>
      <c r="C18" s="4" t="s">
        <v>283</v>
      </c>
      <c r="D18" s="94">
        <v>7544.0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7315.0</v>
      </c>
    </row>
    <row r="20">
      <c r="A20" s="40" t="str">
        <f t="array" ref="A20">IFNA(index(PlayerValues!A:A,match(IFNA(vlookup(B20,'Special Names'!A:B,2,FALSE),B20),PlayerValues!E:E,0)),"N/A")</f>
        <v>N/A</v>
      </c>
      <c r="B20" s="4" t="s">
        <v>92</v>
      </c>
      <c r="C20" s="4" t="s">
        <v>325</v>
      </c>
      <c r="D20" s="94">
        <v>7022.0</v>
      </c>
    </row>
    <row r="21">
      <c r="A21" s="40">
        <f t="array" ref="A21">IFNA(index(PlayerValues!A:A,match(IFNA(vlookup(B21,'Special Names'!A:B,2,FALSE),B21),PlayerValues!E:E,0)),"N/A")</f>
        <v>15751</v>
      </c>
      <c r="B21" s="4" t="s">
        <v>328</v>
      </c>
      <c r="C21" s="4" t="s">
        <v>287</v>
      </c>
      <c r="D21" s="94">
        <v>6916.0</v>
      </c>
    </row>
    <row r="22">
      <c r="A22" s="40">
        <f t="array" ref="A22">IFNA(index(PlayerValues!A:A,match(IFNA(vlookup(B22,'Special Names'!A:B,2,FALSE),B22),PlayerValues!E:E,0)),"N/A")</f>
        <v>16167</v>
      </c>
      <c r="B22" s="4" t="s">
        <v>323</v>
      </c>
      <c r="C22" s="4" t="s">
        <v>278</v>
      </c>
      <c r="D22" s="94">
        <v>6862.0</v>
      </c>
    </row>
    <row r="23">
      <c r="A23" s="40">
        <f t="array" ref="A23">IFNA(index(PlayerValues!A:A,match(IFNA(vlookup(B23,'Special Names'!A:B,2,FALSE),B23),PlayerValues!E:E,0)),"N/A")</f>
        <v>13116</v>
      </c>
      <c r="B23" s="4" t="s">
        <v>345</v>
      </c>
      <c r="C23" s="4" t="s">
        <v>283</v>
      </c>
      <c r="D23" s="94">
        <v>6837.0</v>
      </c>
    </row>
    <row r="24">
      <c r="A24" s="40">
        <f t="array" ref="A24">IFNA(index(PlayerValues!A:A,match(IFNA(vlookup(B24,'Special Names'!A:B,2,FALSE),B24),PlayerValues!E:E,0)),"N/A")</f>
        <v>14779</v>
      </c>
      <c r="B24" s="4" t="s">
        <v>327</v>
      </c>
      <c r="C24" s="4" t="s">
        <v>283</v>
      </c>
      <c r="D24" s="94">
        <v>6796.0</v>
      </c>
    </row>
    <row r="25">
      <c r="A25" s="40">
        <f t="array" ref="A25">IFNA(index(PlayerValues!A:A,match(IFNA(vlookup(B25,'Special Names'!A:B,2,FALSE),B25),PlayerValues!E:E,0)),"N/A")</f>
        <v>17044</v>
      </c>
      <c r="B25" s="4" t="s">
        <v>322</v>
      </c>
      <c r="C25" s="4" t="s">
        <v>278</v>
      </c>
      <c r="D25" s="94">
        <v>6694.0</v>
      </c>
    </row>
    <row r="26">
      <c r="A26" s="40">
        <f t="array" ref="A26">IFNA(index(PlayerValues!A:A,match(IFNA(vlookup(B26,'Special Names'!A:B,2,FALSE),B26),PlayerValues!E:E,0)),"N/A")</f>
        <v>17032</v>
      </c>
      <c r="B26" s="4" t="s">
        <v>348</v>
      </c>
      <c r="C26" s="4" t="s">
        <v>283</v>
      </c>
      <c r="D26" s="94">
        <v>6632.0</v>
      </c>
    </row>
    <row r="27">
      <c r="A27" s="40">
        <f t="array" ref="A27">IFNA(index(PlayerValues!A:A,match(IFNA(vlookup(B27,'Special Names'!A:B,2,FALSE),B27),PlayerValues!E:E,0)),"N/A")</f>
        <v>17071</v>
      </c>
      <c r="B27" s="4" t="s">
        <v>341</v>
      </c>
      <c r="C27" s="4" t="s">
        <v>287</v>
      </c>
      <c r="D27" s="94">
        <v>6627.0</v>
      </c>
    </row>
    <row r="28">
      <c r="A28" s="40">
        <f t="array" ref="A28">IFNA(index(PlayerValues!A:A,match(IFNA(vlookup(B28,'Special Names'!A:B,2,FALSE),B28),PlayerValues!E:E,0)),"N/A")</f>
        <v>16582</v>
      </c>
      <c r="B28" s="4" t="s">
        <v>343</v>
      </c>
      <c r="C28" s="4" t="s">
        <v>283</v>
      </c>
      <c r="D28" s="94">
        <v>6232.0</v>
      </c>
    </row>
    <row r="29">
      <c r="A29" s="40">
        <f t="array" ref="A29">IFNA(index(PlayerValues!A:A,match(IFNA(vlookup(B29,'Special Names'!A:B,2,FALSE),B29),PlayerValues!E:E,0)),"N/A")</f>
        <v>15237</v>
      </c>
      <c r="B29" s="4" t="s">
        <v>336</v>
      </c>
      <c r="C29" s="4" t="s">
        <v>283</v>
      </c>
      <c r="D29" s="94">
        <v>6220.0</v>
      </c>
    </row>
    <row r="30">
      <c r="A30" s="40">
        <f t="array" ref="A30">IFNA(index(PlayerValues!A:A,match(IFNA(vlookup(B30,'Special Names'!A:B,2,FALSE),B30),PlayerValues!E:E,0)),"N/A")</f>
        <v>14783</v>
      </c>
      <c r="B30" s="4" t="s">
        <v>342</v>
      </c>
      <c r="C30" s="4" t="s">
        <v>283</v>
      </c>
      <c r="D30" s="94">
        <v>6146.0</v>
      </c>
    </row>
    <row r="31">
      <c r="A31" s="40">
        <f t="array" ref="A31">IFNA(index(PlayerValues!A:A,match(IFNA(vlookup(B31,'Special Names'!A:B,2,FALSE),B31),PlayerValues!E:E,0)),"N/A")</f>
        <v>15715</v>
      </c>
      <c r="B31" s="4" t="s">
        <v>331</v>
      </c>
      <c r="C31" s="4" t="s">
        <v>278</v>
      </c>
      <c r="D31" s="94">
        <v>6124.0</v>
      </c>
    </row>
    <row r="32">
      <c r="A32" s="40">
        <f t="array" ref="A32">IFNA(index(PlayerValues!A:A,match(IFNA(vlookup(B32,'Special Names'!A:B,2,FALSE),B32),PlayerValues!E:E,0)),"N/A")</f>
        <v>17081</v>
      </c>
      <c r="B32" s="4" t="s">
        <v>340</v>
      </c>
      <c r="C32" s="4" t="s">
        <v>287</v>
      </c>
      <c r="D32" s="94">
        <v>6117.0</v>
      </c>
    </row>
    <row r="33">
      <c r="A33" s="40">
        <f t="array" ref="A33">IFNA(index(PlayerValues!A:A,match(IFNA(vlookup(B33,'Special Names'!A:B,2,FALSE),B33),PlayerValues!E:E,0)),"N/A")</f>
        <v>17104</v>
      </c>
      <c r="B33" s="4" t="s">
        <v>333</v>
      </c>
      <c r="C33" s="4" t="s">
        <v>298</v>
      </c>
      <c r="D33" s="94">
        <v>6766.0</v>
      </c>
    </row>
    <row r="34">
      <c r="A34" s="40">
        <f t="array" ref="A34">IFNA(index(PlayerValues!A:A,match(IFNA(vlookup(B34,'Special Names'!A:B,2,FALSE),B34),PlayerValues!E:E,0)),"N/A")</f>
        <v>14802</v>
      </c>
      <c r="B34" s="4" t="s">
        <v>332</v>
      </c>
      <c r="C34" s="4" t="s">
        <v>278</v>
      </c>
      <c r="D34" s="94">
        <v>6033.0</v>
      </c>
    </row>
    <row r="35">
      <c r="A35" s="40">
        <f t="array" ref="A35">IFNA(index(PlayerValues!A:A,match(IFNA(vlookup(B35,'Special Names'!A:B,2,FALSE),B35),PlayerValues!E:E,0)),"N/A")</f>
        <v>15762</v>
      </c>
      <c r="B35" s="4" t="s">
        <v>337</v>
      </c>
      <c r="C35" s="4" t="s">
        <v>287</v>
      </c>
      <c r="D35" s="94">
        <v>5970.0</v>
      </c>
    </row>
    <row r="36">
      <c r="A36" s="40">
        <f t="array" ref="A36">IFNA(index(PlayerValues!A:A,match(IFNA(vlookup(B36,'Special Names'!A:B,2,FALSE),B36),PlayerValues!E:E,0)),"N/A")</f>
        <v>15698</v>
      </c>
      <c r="B36" s="4" t="s">
        <v>358</v>
      </c>
      <c r="C36" s="4" t="s">
        <v>283</v>
      </c>
      <c r="D36" s="94">
        <v>5895.0</v>
      </c>
    </row>
    <row r="37">
      <c r="A37" s="40">
        <f t="array" ref="A37">IFNA(index(PlayerValues!A:A,match(IFNA(vlookup(B37,'Special Names'!A:B,2,FALSE),B37),PlayerValues!E:E,0)),"N/A")</f>
        <v>15753</v>
      </c>
      <c r="B37" s="4" t="s">
        <v>359</v>
      </c>
      <c r="C37" s="4" t="s">
        <v>287</v>
      </c>
      <c r="D37" s="94">
        <v>5736.0</v>
      </c>
    </row>
    <row r="38">
      <c r="A38" s="40">
        <f t="array" ref="A38">IFNA(index(PlayerValues!A:A,match(IFNA(vlookup(B38,'Special Names'!A:B,2,FALSE),B38),PlayerValues!E:E,0)),"N/A")</f>
        <v>17102</v>
      </c>
      <c r="B38" s="4" t="s">
        <v>344</v>
      </c>
      <c r="C38" s="4" t="s">
        <v>298</v>
      </c>
      <c r="D38" s="94">
        <v>6376.0</v>
      </c>
    </row>
    <row r="39">
      <c r="A39" s="40">
        <f t="array" ref="A39">IFNA(index(PlayerValues!A:A,match(IFNA(vlookup(B39,'Special Names'!A:B,2,FALSE),B39),PlayerValues!E:E,0)),"N/A")</f>
        <v>17497</v>
      </c>
      <c r="B39" s="4" t="s">
        <v>365</v>
      </c>
      <c r="C39" s="4" t="s">
        <v>287</v>
      </c>
      <c r="D39" s="94">
        <v>5692.0</v>
      </c>
    </row>
    <row r="40">
      <c r="A40" s="40" t="str">
        <f t="array" ref="A40">IFNA(index(PlayerValues!A:A,match(IFNA(vlookup(B40,'Special Names'!A:B,2,FALSE),B40),PlayerValues!E:E,0)),"N/A")</f>
        <v>N/A</v>
      </c>
      <c r="B40" s="4" t="s">
        <v>79</v>
      </c>
      <c r="C40" s="4" t="s">
        <v>325</v>
      </c>
      <c r="D40" s="94">
        <v>5668.0</v>
      </c>
    </row>
    <row r="41">
      <c r="A41" s="40">
        <f t="array" ref="A41">IFNA(index(PlayerValues!A:A,match(IFNA(vlookup(B41,'Special Names'!A:B,2,FALSE),B41),PlayerValues!E:E,0)),"N/A")</f>
        <v>17462</v>
      </c>
      <c r="B41" s="4" t="s">
        <v>375</v>
      </c>
      <c r="C41" s="4" t="s">
        <v>283</v>
      </c>
      <c r="D41" s="94">
        <v>5649.0</v>
      </c>
    </row>
    <row r="42">
      <c r="A42" s="40">
        <f t="array" ref="A42">IFNA(index(PlayerValues!A:A,match(IFNA(vlookup(B42,'Special Names'!A:B,2,FALSE),B42),PlayerValues!E:E,0)),"N/A")</f>
        <v>15290</v>
      </c>
      <c r="B42" s="4" t="s">
        <v>355</v>
      </c>
      <c r="C42" s="4" t="s">
        <v>287</v>
      </c>
      <c r="D42" s="94">
        <v>5638.0</v>
      </c>
    </row>
    <row r="43">
      <c r="A43" s="40">
        <f t="array" ref="A43">IFNA(index(PlayerValues!A:A,match(IFNA(vlookup(B43,'Special Names'!A:B,2,FALSE),B43),PlayerValues!E:E,0)),"N/A")</f>
        <v>14782</v>
      </c>
      <c r="B43" s="4" t="s">
        <v>385</v>
      </c>
      <c r="C43" s="4" t="s">
        <v>283</v>
      </c>
      <c r="D43" s="94">
        <v>5637.0</v>
      </c>
    </row>
    <row r="44">
      <c r="A44" s="40">
        <f t="array" ref="A44">IFNA(index(PlayerValues!A:A,match(IFNA(vlookup(B44,'Special Names'!A:B,2,FALSE),B44),PlayerValues!E:E,0)),"N/A")</f>
        <v>15754</v>
      </c>
      <c r="B44" s="4" t="s">
        <v>354</v>
      </c>
      <c r="C44" s="4" t="s">
        <v>287</v>
      </c>
      <c r="D44" s="94">
        <v>5611.0</v>
      </c>
    </row>
    <row r="45">
      <c r="A45" s="40" t="str">
        <f t="array" ref="A45">IFNA(index(PlayerValues!A:A,match(IFNA(vlookup(B45,'Special Names'!A:B,2,FALSE),B45),PlayerValues!E:E,0)),"N/A")</f>
        <v>N/A</v>
      </c>
      <c r="B45" s="4" t="s">
        <v>93</v>
      </c>
      <c r="C45" s="4" t="s">
        <v>325</v>
      </c>
      <c r="D45" s="94">
        <v>5571.0</v>
      </c>
    </row>
    <row r="46">
      <c r="A46" s="40">
        <f t="array" ref="A46">IFNA(index(PlayerValues!A:A,match(IFNA(vlookup(B46,'Special Names'!A:B,2,FALSE),B46),PlayerValues!E:E,0)),"N/A")</f>
        <v>15711</v>
      </c>
      <c r="B46" s="4" t="s">
        <v>349</v>
      </c>
      <c r="C46" s="4" t="s">
        <v>278</v>
      </c>
      <c r="D46" s="94">
        <v>5531.0</v>
      </c>
    </row>
    <row r="47">
      <c r="A47" s="40">
        <f t="array" ref="A47">IFNA(index(PlayerValues!A:A,match(IFNA(vlookup(B47,'Special Names'!A:B,2,FALSE),B47),PlayerValues!E:E,0)),"N/A")</f>
        <v>17043</v>
      </c>
      <c r="B47" s="4" t="s">
        <v>397</v>
      </c>
      <c r="C47" s="4" t="s">
        <v>278</v>
      </c>
      <c r="D47" s="94">
        <v>5477.0</v>
      </c>
    </row>
    <row r="48">
      <c r="A48" s="40">
        <f t="array" ref="A48">IFNA(index(PlayerValues!A:A,match(IFNA(vlookup(B48,'Special Names'!A:B,2,FALSE),B48),PlayerValues!E:E,0)),"N/A")</f>
        <v>17051</v>
      </c>
      <c r="B48" s="4" t="s">
        <v>386</v>
      </c>
      <c r="C48" s="4" t="s">
        <v>278</v>
      </c>
      <c r="D48" s="94">
        <v>5458.0</v>
      </c>
    </row>
    <row r="49">
      <c r="A49" s="40">
        <f t="array" ref="A49">IFNA(index(PlayerValues!A:A,match(IFNA(vlookup(B49,'Special Names'!A:B,2,FALSE),B49),PlayerValues!E:E,0)),"N/A")</f>
        <v>16627</v>
      </c>
      <c r="B49" s="4" t="s">
        <v>351</v>
      </c>
      <c r="C49" s="4" t="s">
        <v>287</v>
      </c>
      <c r="D49" s="94">
        <v>5397.0</v>
      </c>
    </row>
    <row r="50">
      <c r="A50" s="40">
        <f t="array" ref="A50">IFNA(index(PlayerValues!A:A,match(IFNA(vlookup(B50,'Special Names'!A:B,2,FALSE),B50),PlayerValues!E:E,0)),"N/A")</f>
        <v>16616</v>
      </c>
      <c r="B50" s="4" t="s">
        <v>389</v>
      </c>
      <c r="C50" s="4" t="s">
        <v>287</v>
      </c>
      <c r="D50" s="94">
        <v>5363.0</v>
      </c>
    </row>
    <row r="51">
      <c r="A51" s="40">
        <f t="array" ref="A51">IFNA(index(PlayerValues!A:A,match(IFNA(vlookup(B51,'Special Names'!A:B,2,FALSE),B51),PlayerValues!E:E,0)),"N/A")</f>
        <v>15708</v>
      </c>
      <c r="B51" s="4" t="s">
        <v>382</v>
      </c>
      <c r="C51" s="4" t="s">
        <v>278</v>
      </c>
      <c r="D51" s="94">
        <v>5286.0</v>
      </c>
    </row>
    <row r="52">
      <c r="A52" s="40">
        <f t="array" ref="A52">IFNA(index(PlayerValues!A:A,match(IFNA(vlookup(B52,'Special Names'!A:B,2,FALSE),B52),PlayerValues!E:E,0)),"N/A")</f>
        <v>17070</v>
      </c>
      <c r="B52" s="4" t="s">
        <v>370</v>
      </c>
      <c r="C52" s="4" t="s">
        <v>287</v>
      </c>
      <c r="D52" s="94">
        <v>5278.0</v>
      </c>
    </row>
    <row r="53">
      <c r="A53" s="40">
        <f t="array" ref="A53">IFNA(index(PlayerValues!A:A,match(IFNA(vlookup(B53,'Special Names'!A:B,2,FALSE),B53),PlayerValues!E:E,0)),"N/A")</f>
        <v>17030</v>
      </c>
      <c r="B53" s="4" t="s">
        <v>406</v>
      </c>
      <c r="C53" s="4" t="s">
        <v>283</v>
      </c>
      <c r="D53" s="94">
        <v>5248.0</v>
      </c>
    </row>
    <row r="54">
      <c r="A54" s="40">
        <f t="array" ref="A54">IFNA(index(PlayerValues!A:A,match(IFNA(vlookup(B54,'Special Names'!A:B,2,FALSE),B54),PlayerValues!E:E,0)),"N/A")</f>
        <v>17498</v>
      </c>
      <c r="B54" s="4" t="s">
        <v>396</v>
      </c>
      <c r="C54" s="4" t="s">
        <v>287</v>
      </c>
      <c r="D54" s="94">
        <v>5212.0</v>
      </c>
    </row>
    <row r="55">
      <c r="A55" s="40">
        <f t="array" ref="A55">IFNA(index(PlayerValues!A:A,match(IFNA(vlookup(B55,'Special Names'!A:B,2,FALSE),B55),PlayerValues!E:E,0)),"N/A")</f>
        <v>16194</v>
      </c>
      <c r="B55" s="4" t="s">
        <v>398</v>
      </c>
      <c r="C55" s="4" t="s">
        <v>287</v>
      </c>
      <c r="D55" s="94">
        <v>5191.0</v>
      </c>
    </row>
    <row r="56">
      <c r="A56" s="40">
        <f t="array" ref="A56">IFNA(index(PlayerValues!A:A,match(IFNA(vlookup(B56,'Special Names'!A:B,2,FALSE),B56),PlayerValues!E:E,0)),"N/A")</f>
        <v>15282</v>
      </c>
      <c r="B56" s="4" t="s">
        <v>364</v>
      </c>
      <c r="C56" s="4" t="s">
        <v>287</v>
      </c>
      <c r="D56" s="94">
        <v>5158.0</v>
      </c>
    </row>
    <row r="57">
      <c r="A57" s="40">
        <f t="array" ref="A57">IFNA(index(PlayerValues!A:A,match(IFNA(vlookup(B57,'Special Names'!A:B,2,FALSE),B57),PlayerValues!E:E,0)),"N/A")</f>
        <v>16614</v>
      </c>
      <c r="B57" s="4" t="s">
        <v>403</v>
      </c>
      <c r="C57" s="4" t="s">
        <v>287</v>
      </c>
      <c r="D57" s="94">
        <v>5109.0</v>
      </c>
    </row>
    <row r="58">
      <c r="A58" s="40">
        <f t="array" ref="A58">IFNA(index(PlayerValues!A:A,match(IFNA(vlookup(B58,'Special Names'!A:B,2,FALSE),B58),PlayerValues!E:E,0)),"N/A")</f>
        <v>17499</v>
      </c>
      <c r="B58" s="4" t="s">
        <v>402</v>
      </c>
      <c r="C58" s="4" t="s">
        <v>287</v>
      </c>
      <c r="D58" s="94">
        <v>5081.0</v>
      </c>
    </row>
    <row r="59">
      <c r="A59" s="40">
        <f t="array" ref="A59">IFNA(index(PlayerValues!A:A,match(IFNA(vlookup(B59,'Special Names'!A:B,2,FALSE),B59),PlayerValues!E:E,0)),"N/A")</f>
        <v>13130</v>
      </c>
      <c r="B59" s="4" t="s">
        <v>374</v>
      </c>
      <c r="C59" s="4" t="s">
        <v>278</v>
      </c>
      <c r="D59" s="94">
        <v>4978.0</v>
      </c>
    </row>
    <row r="60">
      <c r="A60" s="40" t="str">
        <f t="array" ref="A60">IFNA(index(PlayerValues!A:A,match(IFNA(vlookup(B60,'Special Names'!A:B,2,FALSE),B60),PlayerValues!E:E,0)),"N/A")</f>
        <v>N/A</v>
      </c>
      <c r="B60" s="4" t="s">
        <v>104</v>
      </c>
      <c r="C60" s="4" t="s">
        <v>325</v>
      </c>
      <c r="D60" s="94">
        <v>4949.0</v>
      </c>
    </row>
    <row r="61">
      <c r="A61" s="40">
        <f t="array" ref="A61">IFNA(index(PlayerValues!A:A,match(IFNA(vlookup(B61,'Special Names'!A:B,2,FALSE),B61),PlayerValues!E:E,0)),"N/A")</f>
        <v>16598</v>
      </c>
      <c r="B61" s="4" t="s">
        <v>408</v>
      </c>
      <c r="C61" s="4" t="s">
        <v>278</v>
      </c>
      <c r="D61" s="94">
        <v>4931.0</v>
      </c>
    </row>
    <row r="62">
      <c r="A62" s="40">
        <f t="array" ref="A62">IFNA(index(PlayerValues!A:A,match(IFNA(vlookup(B62,'Special Names'!A:B,2,FALSE),B62),PlayerValues!E:E,0)),"N/A")</f>
        <v>16618</v>
      </c>
      <c r="B62" s="4" t="s">
        <v>411</v>
      </c>
      <c r="C62" s="4" t="s">
        <v>287</v>
      </c>
      <c r="D62" s="94">
        <v>4930.0</v>
      </c>
    </row>
    <row r="63">
      <c r="A63" s="40">
        <f t="array" ref="A63">IFNA(index(PlayerValues!A:A,match(IFNA(vlookup(B63,'Special Names'!A:B,2,FALSE),B63),PlayerValues!E:E,0)),"N/A")</f>
        <v>12620</v>
      </c>
      <c r="B63" s="4" t="s">
        <v>394</v>
      </c>
      <c r="C63" s="4" t="s">
        <v>283</v>
      </c>
      <c r="D63" s="94">
        <v>4918.0</v>
      </c>
    </row>
    <row r="64">
      <c r="A64" s="40">
        <f t="array" ref="A64">IFNA(index(PlayerValues!A:A,match(IFNA(vlookup(B64,'Special Names'!A:B,2,FALSE),B64),PlayerValues!E:E,0)),"N/A")</f>
        <v>16150</v>
      </c>
      <c r="B64" s="4" t="s">
        <v>414</v>
      </c>
      <c r="C64" s="4" t="s">
        <v>283</v>
      </c>
      <c r="D64" s="94">
        <v>4912.0</v>
      </c>
    </row>
    <row r="65">
      <c r="A65" s="40">
        <f t="array" ref="A65">IFNA(index(PlayerValues!A:A,match(IFNA(vlookup(B65,'Special Names'!A:B,2,FALSE),B65),PlayerValues!E:E,0)),"N/A")</f>
        <v>17103</v>
      </c>
      <c r="B65" s="4" t="s">
        <v>405</v>
      </c>
      <c r="C65" s="4" t="s">
        <v>298</v>
      </c>
      <c r="D65" s="94">
        <v>5477.0</v>
      </c>
    </row>
    <row r="66">
      <c r="A66" s="40">
        <f t="array" ref="A66">IFNA(index(PlayerValues!A:A,match(IFNA(vlookup(B66,'Special Names'!A:B,2,FALSE),B66),PlayerValues!E:E,0)),"N/A")</f>
        <v>15284</v>
      </c>
      <c r="B66" s="4" t="s">
        <v>390</v>
      </c>
      <c r="C66" s="4" t="s">
        <v>287</v>
      </c>
      <c r="D66" s="94">
        <v>4900.0</v>
      </c>
    </row>
    <row r="67">
      <c r="A67" s="40" t="str">
        <f t="array" ref="A67">IFNA(index(PlayerValues!A:A,match(IFNA(vlookup(B67,'Special Names'!A:B,2,FALSE),B67),PlayerValues!E:E,0)),"N/A")</f>
        <v>N/A</v>
      </c>
      <c r="B67" s="4" t="s">
        <v>94</v>
      </c>
      <c r="C67" s="4" t="s">
        <v>325</v>
      </c>
      <c r="D67" s="94">
        <v>4899.0</v>
      </c>
    </row>
    <row r="68">
      <c r="A68" s="40">
        <f t="array" ref="A68">IFNA(index(PlayerValues!A:A,match(IFNA(vlookup(B68,'Special Names'!A:B,2,FALSE),B68),PlayerValues!E:E,0)),"N/A")</f>
        <v>14835</v>
      </c>
      <c r="B68" s="4" t="s">
        <v>392</v>
      </c>
      <c r="C68" s="4" t="s">
        <v>287</v>
      </c>
      <c r="D68" s="94">
        <v>4895.0</v>
      </c>
    </row>
    <row r="69">
      <c r="A69" s="40">
        <f t="array" ref="A69">IFNA(index(PlayerValues!A:A,match(IFNA(vlookup(B69,'Special Names'!A:B,2,FALSE),B69),PlayerValues!E:E,0)),"N/A")</f>
        <v>16181</v>
      </c>
      <c r="B69" s="4" t="s">
        <v>350</v>
      </c>
      <c r="C69" s="4" t="s">
        <v>278</v>
      </c>
      <c r="D69" s="94">
        <v>4892.0</v>
      </c>
    </row>
    <row r="70">
      <c r="A70" s="40">
        <f t="array" ref="A70">IFNA(index(PlayerValues!A:A,match(IFNA(vlookup(B70,'Special Names'!A:B,2,FALSE),B70),PlayerValues!E:E,0)),"N/A")</f>
        <v>13604</v>
      </c>
      <c r="B70" s="4" t="s">
        <v>378</v>
      </c>
      <c r="C70" s="4" t="s">
        <v>278</v>
      </c>
      <c r="D70" s="94">
        <v>4883.0</v>
      </c>
    </row>
    <row r="71">
      <c r="A71" s="40">
        <f t="array" ref="A71">IFNA(index(PlayerValues!A:A,match(IFNA(vlookup(B71,'Special Names'!A:B,2,FALSE),B71),PlayerValues!E:E,0)),"N/A")</f>
        <v>15710</v>
      </c>
      <c r="B71" s="4" t="s">
        <v>395</v>
      </c>
      <c r="C71" s="4" t="s">
        <v>278</v>
      </c>
      <c r="D71" s="94">
        <v>4863.0</v>
      </c>
    </row>
    <row r="72">
      <c r="A72" s="40">
        <f t="array" ref="A72">IFNA(index(PlayerValues!A:A,match(IFNA(vlookup(B72,'Special Names'!A:B,2,FALSE),B72),PlayerValues!E:E,0)),"N/A")</f>
        <v>14104</v>
      </c>
      <c r="B72" s="4" t="s">
        <v>379</v>
      </c>
      <c r="C72" s="4" t="s">
        <v>287</v>
      </c>
      <c r="D72" s="94">
        <v>4854.0</v>
      </c>
    </row>
    <row r="73">
      <c r="A73" s="40">
        <f t="array" ref="A73">IFNA(index(PlayerValues!A:A,match(IFNA(vlookup(B73,'Special Names'!A:B,2,FALSE),B73),PlayerValues!E:E,0)),"N/A")</f>
        <v>17039</v>
      </c>
      <c r="B73" s="4" t="s">
        <v>400</v>
      </c>
      <c r="C73" s="4" t="s">
        <v>283</v>
      </c>
      <c r="D73" s="94">
        <v>4841.0</v>
      </c>
    </row>
    <row r="74">
      <c r="A74" s="40">
        <f t="array" ref="A74">IFNA(index(PlayerValues!A:A,match(IFNA(vlookup(B74,'Special Names'!A:B,2,FALSE),B74),PlayerValues!E:E,0)),"N/A")</f>
        <v>13592</v>
      </c>
      <c r="B74" s="4" t="s">
        <v>418</v>
      </c>
      <c r="C74" s="4" t="s">
        <v>283</v>
      </c>
      <c r="D74" s="94">
        <v>4806.0</v>
      </c>
    </row>
    <row r="75">
      <c r="A75" s="40">
        <f t="array" ref="A75">IFNA(index(PlayerValues!A:A,match(IFNA(vlookup(B75,'Special Names'!A:B,2,FALSE),B75),PlayerValues!E:E,0)),"N/A")</f>
        <v>15756</v>
      </c>
      <c r="B75" s="4" t="s">
        <v>399</v>
      </c>
      <c r="C75" s="4" t="s">
        <v>287</v>
      </c>
      <c r="D75" s="94">
        <v>4797.0</v>
      </c>
    </row>
    <row r="76">
      <c r="A76" s="40">
        <f t="array" ref="A76">IFNA(index(PlayerValues!A:A,match(IFNA(vlookup(B76,'Special Names'!A:B,2,FALSE),B76),PlayerValues!E:E,0)),"N/A")</f>
        <v>16222</v>
      </c>
      <c r="B76" s="4" t="s">
        <v>393</v>
      </c>
      <c r="C76" s="4" t="s">
        <v>298</v>
      </c>
      <c r="D76" s="94">
        <v>5323.0</v>
      </c>
    </row>
    <row r="77">
      <c r="A77" s="40">
        <f t="array" ref="A77">IFNA(index(PlayerValues!A:A,match(IFNA(vlookup(B77,'Special Names'!A:B,2,FALSE),B77),PlayerValues!E:E,0)),"N/A")</f>
        <v>13590</v>
      </c>
      <c r="B77" s="4" t="s">
        <v>409</v>
      </c>
      <c r="C77" s="4" t="s">
        <v>283</v>
      </c>
      <c r="D77" s="94">
        <v>4746.0</v>
      </c>
    </row>
    <row r="78">
      <c r="A78" s="40">
        <f t="array" ref="A78">IFNA(index(PlayerValues!A:A,match(IFNA(vlookup(B78,'Special Names'!A:B,2,FALSE),B78),PlayerValues!E:E,0)),"N/A")</f>
        <v>12611</v>
      </c>
      <c r="B78" s="4" t="s">
        <v>410</v>
      </c>
      <c r="C78" s="4" t="s">
        <v>283</v>
      </c>
      <c r="D78" s="94">
        <v>4670.0</v>
      </c>
    </row>
    <row r="79">
      <c r="A79" s="40">
        <f t="array" ref="A79">IFNA(index(PlayerValues!A:A,match(IFNA(vlookup(B79,'Special Names'!A:B,2,FALSE),B79),PlayerValues!E:E,0)),"N/A")</f>
        <v>16190</v>
      </c>
      <c r="B79" s="4" t="s">
        <v>371</v>
      </c>
      <c r="C79" s="4" t="s">
        <v>287</v>
      </c>
      <c r="D79" s="94">
        <v>4655.0</v>
      </c>
    </row>
    <row r="80">
      <c r="A80" s="40" t="str">
        <f t="array" ref="A80">IFNA(index(PlayerValues!A:A,match(IFNA(vlookup(B80,'Special Names'!A:B,2,FALSE),B80),PlayerValues!E:E,0)),"N/A")</f>
        <v>N/A</v>
      </c>
      <c r="B80" s="4" t="s">
        <v>80</v>
      </c>
      <c r="C80" s="4" t="s">
        <v>325</v>
      </c>
      <c r="D80" s="94">
        <v>4579.0</v>
      </c>
    </row>
    <row r="81">
      <c r="A81" s="40">
        <f t="array" ref="A81">IFNA(index(PlayerValues!A:A,match(IFNA(vlookup(B81,'Special Names'!A:B,2,FALSE),B81),PlayerValues!E:E,0)),"N/A")</f>
        <v>17473</v>
      </c>
      <c r="B81" s="4" t="s">
        <v>391</v>
      </c>
      <c r="C81" s="4" t="s">
        <v>278</v>
      </c>
      <c r="D81" s="94">
        <v>4577.0</v>
      </c>
    </row>
    <row r="82">
      <c r="A82" s="40">
        <f t="array" ref="A82">IFNA(index(PlayerValues!A:A,match(IFNA(vlookup(B82,'Special Names'!A:B,2,FALSE),B82),PlayerValues!E:E,0)),"N/A")</f>
        <v>16214</v>
      </c>
      <c r="B82" s="4" t="s">
        <v>413</v>
      </c>
      <c r="C82" s="4" t="s">
        <v>298</v>
      </c>
      <c r="D82" s="94">
        <v>5093.0</v>
      </c>
    </row>
    <row r="83">
      <c r="A83" s="40">
        <f t="array" ref="A83">IFNA(index(PlayerValues!A:A,match(IFNA(vlookup(B83,'Special Names'!A:B,2,FALSE),B83),PlayerValues!E:E,0)),"N/A")</f>
        <v>16148</v>
      </c>
      <c r="B83" s="4" t="s">
        <v>426</v>
      </c>
      <c r="C83" s="4" t="s">
        <v>283</v>
      </c>
      <c r="D83" s="94">
        <v>4543.0</v>
      </c>
    </row>
    <row r="84">
      <c r="A84" s="40">
        <f t="array" ref="A84">IFNA(index(PlayerValues!A:A,match(IFNA(vlookup(B84,'Special Names'!A:B,2,FALSE),B84),PlayerValues!E:E,0)),"N/A")</f>
        <v>17045</v>
      </c>
      <c r="B84" s="4" t="s">
        <v>407</v>
      </c>
      <c r="C84" s="4" t="s">
        <v>278</v>
      </c>
      <c r="D84" s="94">
        <v>4478.0</v>
      </c>
    </row>
    <row r="85">
      <c r="A85" s="40">
        <f t="array" ref="A85">IFNA(index(PlayerValues!A:A,match(IFNA(vlookup(B85,'Special Names'!A:B,2,FALSE),B85),PlayerValues!E:E,0)),"N/A")</f>
        <v>14073</v>
      </c>
      <c r="B85" s="4" t="s">
        <v>464</v>
      </c>
      <c r="C85" s="4" t="s">
        <v>278</v>
      </c>
      <c r="D85" s="94">
        <v>4451.0</v>
      </c>
    </row>
    <row r="86">
      <c r="A86" s="40">
        <f t="array" ref="A86">IFNA(index(PlayerValues!A:A,match(IFNA(vlookup(B86,'Special Names'!A:B,2,FALSE),B86),PlayerValues!E:E,0)),"N/A")</f>
        <v>15253</v>
      </c>
      <c r="B86" s="4" t="s">
        <v>415</v>
      </c>
      <c r="C86" s="4" t="s">
        <v>278</v>
      </c>
      <c r="D86" s="94">
        <v>4432.0</v>
      </c>
    </row>
    <row r="87">
      <c r="A87" s="40">
        <f t="array" ref="A87">IFNA(index(PlayerValues!A:A,match(IFNA(vlookup(B87,'Special Names'!A:B,2,FALSE),B87),PlayerValues!E:E,0)),"N/A")</f>
        <v>15329</v>
      </c>
      <c r="B87" s="4" t="s">
        <v>416</v>
      </c>
      <c r="C87" s="4" t="s">
        <v>298</v>
      </c>
      <c r="D87" s="94">
        <v>4969.0</v>
      </c>
    </row>
    <row r="88">
      <c r="A88" s="40">
        <f t="array" ref="A88">IFNA(index(PlayerValues!A:A,match(IFNA(vlookup(B88,'Special Names'!A:B,2,FALSE),B88),PlayerValues!E:E,0)),"N/A")</f>
        <v>15256</v>
      </c>
      <c r="B88" s="4" t="s">
        <v>401</v>
      </c>
      <c r="C88" s="4" t="s">
        <v>278</v>
      </c>
      <c r="D88" s="94">
        <v>4416.0</v>
      </c>
    </row>
    <row r="89">
      <c r="A89" s="40" t="str">
        <f t="array" ref="A89">IFNA(index(PlayerValues!A:A,match(IFNA(vlookup(B89,'Special Names'!A:B,2,FALSE),B89),PlayerValues!E:E,0)),"N/A")</f>
        <v>N/A</v>
      </c>
      <c r="B89" s="4" t="s">
        <v>105</v>
      </c>
      <c r="C89" s="4" t="s">
        <v>325</v>
      </c>
      <c r="D89" s="94">
        <v>4409.0</v>
      </c>
    </row>
    <row r="90">
      <c r="A90" s="40">
        <f t="array" ref="A90">IFNA(index(PlayerValues!A:A,match(IFNA(vlookup(B90,'Special Names'!A:B,2,FALSE),B90),PlayerValues!E:E,0)),"N/A")</f>
        <v>17501</v>
      </c>
      <c r="B90" s="4" t="s">
        <v>404</v>
      </c>
      <c r="C90" s="4" t="s">
        <v>287</v>
      </c>
      <c r="D90" s="94">
        <v>4407.0</v>
      </c>
    </row>
    <row r="91">
      <c r="A91" s="40">
        <f t="array" ref="A91">IFNA(index(PlayerValues!A:A,match(IFNA(vlookup(B91,'Special Names'!A:B,2,FALSE),B91),PlayerValues!E:E,0)),"N/A")</f>
        <v>15768</v>
      </c>
      <c r="B91" s="4" t="s">
        <v>432</v>
      </c>
      <c r="C91" s="4" t="s">
        <v>287</v>
      </c>
      <c r="D91" s="94">
        <v>4162.0</v>
      </c>
    </row>
    <row r="92">
      <c r="A92" s="40">
        <f t="array" ref="A92">IFNA(index(PlayerValues!A:A,match(IFNA(vlookup(B92,'Special Names'!A:B,2,FALSE),B92),PlayerValues!E:E,0)),"N/A")</f>
        <v>14056</v>
      </c>
      <c r="B92" s="4" t="s">
        <v>423</v>
      </c>
      <c r="C92" s="4" t="s">
        <v>283</v>
      </c>
      <c r="D92" s="94">
        <v>4099.0</v>
      </c>
    </row>
    <row r="93">
      <c r="A93" s="40">
        <f t="array" ref="A93">IFNA(index(PlayerValues!A:A,match(IFNA(vlookup(B93,'Special Names'!A:B,2,FALSE),B93),PlayerValues!E:E,0)),"N/A")</f>
        <v>15694</v>
      </c>
      <c r="B93" s="4" t="s">
        <v>434</v>
      </c>
      <c r="C93" s="4" t="s">
        <v>283</v>
      </c>
      <c r="D93" s="94">
        <v>4077.0</v>
      </c>
    </row>
    <row r="94">
      <c r="A94" s="40">
        <f t="array" ref="A94">IFNA(index(PlayerValues!A:A,match(IFNA(vlookup(B94,'Special Names'!A:B,2,FALSE),B94),PlayerValues!E:E,0)),"N/A")</f>
        <v>17543</v>
      </c>
      <c r="B94" s="4" t="s">
        <v>436</v>
      </c>
      <c r="C94" s="4" t="s">
        <v>298</v>
      </c>
      <c r="D94" s="94">
        <v>4568.0</v>
      </c>
    </row>
    <row r="95">
      <c r="A95" s="40">
        <f t="array" ref="A95">IFNA(index(PlayerValues!A:A,match(IFNA(vlookup(B95,'Special Names'!A:B,2,FALSE),B95),PlayerValues!E:E,0)),"N/A")</f>
        <v>14059</v>
      </c>
      <c r="B95" s="4" t="s">
        <v>435</v>
      </c>
      <c r="C95" s="4" t="s">
        <v>283</v>
      </c>
      <c r="D95" s="94">
        <v>4011.0</v>
      </c>
    </row>
    <row r="96">
      <c r="A96" s="40">
        <f t="array" ref="A96">IFNA(index(PlayerValues!A:A,match(IFNA(vlookup(B96,'Special Names'!A:B,2,FALSE),B96),PlayerValues!E:E,0)),"N/A")</f>
        <v>16186</v>
      </c>
      <c r="B96" s="4" t="s">
        <v>425</v>
      </c>
      <c r="C96" s="4" t="s">
        <v>287</v>
      </c>
      <c r="D96" s="94">
        <v>3973.0</v>
      </c>
    </row>
    <row r="97">
      <c r="A97" s="40">
        <f t="array" ref="A97">IFNA(index(PlayerValues!A:A,match(IFNA(vlookup(B97,'Special Names'!A:B,2,FALSE),B97),PlayerValues!E:E,0)),"N/A")</f>
        <v>17052</v>
      </c>
      <c r="B97" s="4" t="s">
        <v>417</v>
      </c>
      <c r="C97" s="4" t="s">
        <v>278</v>
      </c>
      <c r="D97" s="94">
        <v>3930.0</v>
      </c>
    </row>
    <row r="98">
      <c r="A98" s="40" t="str">
        <f t="array" ref="A98">IFNA(index(PlayerValues!A:A,match(IFNA(vlookup(B98,'Special Names'!A:B,2,FALSE),B98),PlayerValues!E:E,0)),"N/A")</f>
        <v>N/A</v>
      </c>
      <c r="B98" s="4" t="s">
        <v>95</v>
      </c>
      <c r="C98" s="4" t="s">
        <v>325</v>
      </c>
      <c r="D98" s="94">
        <v>3898.0</v>
      </c>
    </row>
    <row r="99">
      <c r="A99" s="40" t="str">
        <f t="array" ref="A99">IFNA(index(PlayerValues!A:A,match(IFNA(vlookup(B99,'Special Names'!A:B,2,FALSE),B99),PlayerValues!E:E,0)),"N/A")</f>
        <v>N/A</v>
      </c>
      <c r="B99" s="4" t="s">
        <v>107</v>
      </c>
      <c r="C99" s="4" t="s">
        <v>325</v>
      </c>
      <c r="D99" s="94">
        <v>3883.0</v>
      </c>
    </row>
    <row r="100">
      <c r="A100" s="40">
        <f t="array" ref="A100">IFNA(index(PlayerValues!A:A,match(IFNA(vlookup(B100,'Special Names'!A:B,2,FALSE),B100),PlayerValues!E:E,0)),"N/A")</f>
        <v>17099</v>
      </c>
      <c r="B100" s="4" t="s">
        <v>474</v>
      </c>
      <c r="C100" s="4" t="s">
        <v>298</v>
      </c>
      <c r="D100" s="94">
        <v>4362.0</v>
      </c>
    </row>
    <row r="101">
      <c r="A101" s="40" t="str">
        <f t="array" ref="A101">IFNA(index(PlayerValues!A:A,match(IFNA(vlookup(B101,'Special Names'!A:B,2,FALSE),B101),PlayerValues!E:E,0)),"N/A")</f>
        <v>N/A</v>
      </c>
      <c r="B101" s="4" t="s">
        <v>81</v>
      </c>
      <c r="C101" s="4" t="s">
        <v>325</v>
      </c>
      <c r="D101" s="94">
        <v>3862.0</v>
      </c>
    </row>
    <row r="102">
      <c r="A102" s="40">
        <f t="array" ref="A102">IFNA(index(PlayerValues!A:A,match(IFNA(vlookup(B102,'Special Names'!A:B,2,FALSE),B102),PlayerValues!E:E,0)),"N/A")</f>
        <v>17502</v>
      </c>
      <c r="B102" s="4" t="s">
        <v>451</v>
      </c>
      <c r="C102" s="4" t="s">
        <v>287</v>
      </c>
      <c r="D102" s="94">
        <v>3828.0</v>
      </c>
    </row>
    <row r="103">
      <c r="A103" s="40">
        <f t="array" ref="A103">IFNA(index(PlayerValues!A:A,match(IFNA(vlookup(B103,'Special Names'!A:B,2,FALSE),B103),PlayerValues!E:E,0)),"N/A")</f>
        <v>12626</v>
      </c>
      <c r="B103" s="4" t="s">
        <v>419</v>
      </c>
      <c r="C103" s="4" t="s">
        <v>278</v>
      </c>
      <c r="D103" s="94">
        <v>3818.0</v>
      </c>
    </row>
    <row r="104">
      <c r="A104" s="40">
        <f t="array" ref="A104">IFNA(index(PlayerValues!A:A,match(IFNA(vlookup(B104,'Special Names'!A:B,2,FALSE),B104),PlayerValues!E:E,0)),"N/A")</f>
        <v>13635</v>
      </c>
      <c r="B104" s="4" t="s">
        <v>424</v>
      </c>
      <c r="C104" s="4" t="s">
        <v>287</v>
      </c>
      <c r="D104" s="94">
        <v>3806.0</v>
      </c>
    </row>
    <row r="105">
      <c r="A105" s="40">
        <f t="array" ref="A105">IFNA(index(PlayerValues!A:A,match(IFNA(vlookup(B105,'Special Names'!A:B,2,FALSE),B105),PlayerValues!E:E,0)),"N/A")</f>
        <v>14102</v>
      </c>
      <c r="B105" s="4" t="s">
        <v>444</v>
      </c>
      <c r="C105" s="4" t="s">
        <v>287</v>
      </c>
      <c r="D105" s="94">
        <v>3731.0</v>
      </c>
    </row>
    <row r="106">
      <c r="A106" s="40">
        <f t="array" ref="A106">IFNA(index(PlayerValues!A:A,match(IFNA(vlookup(B106,'Special Names'!A:B,2,FALSE),B106),PlayerValues!E:E,0)),"N/A")</f>
        <v>16206</v>
      </c>
      <c r="B106" s="4" t="s">
        <v>431</v>
      </c>
      <c r="C106" s="4" t="s">
        <v>287</v>
      </c>
      <c r="D106" s="94">
        <v>3709.0</v>
      </c>
    </row>
    <row r="107">
      <c r="A107" s="40">
        <f t="array" ref="A107">IFNA(index(PlayerValues!A:A,match(IFNA(vlookup(B107,'Special Names'!A:B,2,FALSE),B107),PlayerValues!E:E,0)),"N/A")</f>
        <v>17075</v>
      </c>
      <c r="B107" s="4" t="s">
        <v>429</v>
      </c>
      <c r="C107" s="4" t="s">
        <v>287</v>
      </c>
      <c r="D107" s="94">
        <v>3707.0</v>
      </c>
    </row>
    <row r="108">
      <c r="A108" s="40">
        <f t="array" ref="A108">IFNA(index(PlayerValues!A:A,match(IFNA(vlookup(B108,'Special Names'!A:B,2,FALSE),B108),PlayerValues!E:E,0)),"N/A")</f>
        <v>9431</v>
      </c>
      <c r="B108" s="4" t="s">
        <v>428</v>
      </c>
      <c r="C108" s="4" t="s">
        <v>283</v>
      </c>
      <c r="D108" s="94">
        <v>3703.0</v>
      </c>
    </row>
    <row r="109">
      <c r="A109" s="40">
        <f t="array" ref="A109">IFNA(index(PlayerValues!A:A,match(IFNA(vlookup(B109,'Special Names'!A:B,2,FALSE),B109),PlayerValues!E:E,0)),"N/A")</f>
        <v>17463</v>
      </c>
      <c r="B109" s="4" t="s">
        <v>433</v>
      </c>
      <c r="C109" s="4" t="s">
        <v>283</v>
      </c>
      <c r="D109" s="94">
        <v>3690.0</v>
      </c>
    </row>
    <row r="110">
      <c r="A110" s="40">
        <f t="array" ref="A110">IFNA(index(PlayerValues!A:A,match(IFNA(vlookup(B110,'Special Names'!A:B,2,FALSE),B110),PlayerValues!E:E,0)),"N/A")</f>
        <v>15789</v>
      </c>
      <c r="B110" s="4" t="s">
        <v>421</v>
      </c>
      <c r="C110" s="4" t="s">
        <v>287</v>
      </c>
      <c r="D110" s="94">
        <v>3667.0</v>
      </c>
    </row>
    <row r="111">
      <c r="A111" s="40">
        <f t="array" ref="A111">IFNA(index(PlayerValues!A:A,match(IFNA(vlookup(B111,'Special Names'!A:B,2,FALSE),B111),PlayerValues!E:E,0)),"N/A")</f>
        <v>17068</v>
      </c>
      <c r="B111" s="4" t="s">
        <v>450</v>
      </c>
      <c r="C111" s="4" t="s">
        <v>278</v>
      </c>
      <c r="D111" s="94">
        <v>3649.0</v>
      </c>
    </row>
    <row r="112">
      <c r="A112" s="40">
        <f t="array" ref="A112">IFNA(index(PlayerValues!A:A,match(IFNA(vlookup(B112,'Special Names'!A:B,2,FALSE),B112),PlayerValues!E:E,0)),"N/A")</f>
        <v>15757</v>
      </c>
      <c r="B112" s="4" t="s">
        <v>449</v>
      </c>
      <c r="C112" s="4" t="s">
        <v>287</v>
      </c>
      <c r="D112" s="94">
        <v>3582.0</v>
      </c>
    </row>
    <row r="113">
      <c r="A113" s="40">
        <f t="array" ref="A113">IFNA(index(PlayerValues!A:A,match(IFNA(vlookup(B113,'Special Names'!A:B,2,FALSE),B113),PlayerValues!E:E,0)),"N/A")</f>
        <v>17066</v>
      </c>
      <c r="B113" s="4" t="s">
        <v>446</v>
      </c>
      <c r="C113" s="4" t="s">
        <v>278</v>
      </c>
      <c r="D113" s="94">
        <v>3570.0</v>
      </c>
    </row>
    <row r="114">
      <c r="A114" s="40">
        <f t="array" ref="A114">IFNA(index(PlayerValues!A:A,match(IFNA(vlookup(B114,'Special Names'!A:B,2,FALSE),B114),PlayerValues!E:E,0)),"N/A")</f>
        <v>16622</v>
      </c>
      <c r="B114" s="4" t="s">
        <v>517</v>
      </c>
      <c r="C114" s="4" t="s">
        <v>287</v>
      </c>
      <c r="D114" s="94">
        <v>3550.0</v>
      </c>
    </row>
    <row r="115">
      <c r="A115" s="40">
        <f t="array" ref="A115">IFNA(index(PlayerValues!A:A,match(IFNA(vlookup(B115,'Special Names'!A:B,2,FALSE),B115),PlayerValues!E:E,0)),"N/A")</f>
        <v>14797</v>
      </c>
      <c r="B115" s="4" t="s">
        <v>420</v>
      </c>
      <c r="C115" s="4" t="s">
        <v>278</v>
      </c>
      <c r="D115" s="94">
        <v>3547.0</v>
      </c>
    </row>
    <row r="116">
      <c r="A116" s="40">
        <f t="array" ref="A116">IFNA(index(PlayerValues!A:A,match(IFNA(vlookup(B116,'Special Names'!A:B,2,FALSE),B116),PlayerValues!E:E,0)),"N/A")</f>
        <v>17083</v>
      </c>
      <c r="B116" s="4" t="s">
        <v>479</v>
      </c>
      <c r="C116" s="4" t="s">
        <v>287</v>
      </c>
      <c r="D116" s="94">
        <v>3507.0</v>
      </c>
    </row>
    <row r="117">
      <c r="A117" s="40">
        <f t="array" ref="A117">IFNA(index(PlayerValues!A:A,match(IFNA(vlookup(B117,'Special Names'!A:B,2,FALSE),B117),PlayerValues!E:E,0)),"N/A")</f>
        <v>16192</v>
      </c>
      <c r="B117" s="4" t="s">
        <v>412</v>
      </c>
      <c r="C117" s="4" t="s">
        <v>287</v>
      </c>
      <c r="D117" s="94">
        <v>3483.0</v>
      </c>
    </row>
    <row r="118">
      <c r="A118" s="40">
        <f t="array" ref="A118">IFNA(index(PlayerValues!A:A,match(IFNA(vlookup(B118,'Special Names'!A:B,2,FALSE),B118),PlayerValues!E:E,0)),"N/A")</f>
        <v>14109</v>
      </c>
      <c r="B118" s="4" t="s">
        <v>437</v>
      </c>
      <c r="C118" s="4" t="s">
        <v>287</v>
      </c>
      <c r="D118" s="94">
        <v>3463.0</v>
      </c>
    </row>
    <row r="119">
      <c r="A119" s="40">
        <f t="array" ref="A119">IFNA(index(PlayerValues!A:A,match(IFNA(vlookup(B119,'Special Names'!A:B,2,FALSE),B119),PlayerValues!E:E,0)),"N/A")</f>
        <v>16187</v>
      </c>
      <c r="B119" s="4" t="s">
        <v>441</v>
      </c>
      <c r="C119" s="4" t="s">
        <v>287</v>
      </c>
      <c r="D119" s="94">
        <v>3458.0</v>
      </c>
    </row>
    <row r="120">
      <c r="A120" s="40">
        <f t="array" ref="A120">IFNA(index(PlayerValues!A:A,match(IFNA(vlookup(B120,'Special Names'!A:B,2,FALSE),B120),PlayerValues!E:E,0)),"N/A")</f>
        <v>11675</v>
      </c>
      <c r="B120" s="4" t="s">
        <v>438</v>
      </c>
      <c r="C120" s="4" t="s">
        <v>287</v>
      </c>
      <c r="D120" s="94">
        <v>3425.0</v>
      </c>
    </row>
    <row r="121">
      <c r="A121" s="40">
        <f t="array" ref="A121">IFNA(index(PlayerValues!A:A,match(IFNA(vlookup(B121,'Special Names'!A:B,2,FALSE),B121),PlayerValues!E:E,0)),"N/A")</f>
        <v>17544</v>
      </c>
      <c r="B121" s="4" t="s">
        <v>470</v>
      </c>
      <c r="C121" s="4" t="s">
        <v>298</v>
      </c>
      <c r="D121" s="94">
        <v>3876.0</v>
      </c>
    </row>
    <row r="122">
      <c r="A122" s="40">
        <f t="array" ref="A122">IFNA(index(PlayerValues!A:A,match(IFNA(vlookup(B122,'Special Names'!A:B,2,FALSE),B122),PlayerValues!E:E,0)),"N/A")</f>
        <v>17500</v>
      </c>
      <c r="B122" s="4" t="s">
        <v>430</v>
      </c>
      <c r="C122" s="4" t="s">
        <v>287</v>
      </c>
      <c r="D122" s="94">
        <v>3415.0</v>
      </c>
    </row>
    <row r="123">
      <c r="A123" s="40">
        <f t="array" ref="A123">IFNA(index(PlayerValues!A:A,match(IFNA(vlookup(B123,'Special Names'!A:B,2,FALSE),B123),PlayerValues!E:E,0)),"N/A")</f>
        <v>16188</v>
      </c>
      <c r="B123" s="4" t="s">
        <v>439</v>
      </c>
      <c r="C123" s="4" t="s">
        <v>287</v>
      </c>
      <c r="D123" s="94">
        <v>3392.0</v>
      </c>
    </row>
    <row r="124">
      <c r="A124" s="40" t="str">
        <f t="array" ref="A124">IFNA(index(PlayerValues!A:A,match(IFNA(vlookup(B124,'Special Names'!A:B,2,FALSE),B124),PlayerValues!E:E,0)),"N/A")</f>
        <v>N/A</v>
      </c>
      <c r="B124" s="4" t="s">
        <v>96</v>
      </c>
      <c r="C124" s="4" t="s">
        <v>325</v>
      </c>
      <c r="D124" s="94">
        <v>3392.0</v>
      </c>
    </row>
    <row r="125">
      <c r="A125" s="40">
        <f t="array" ref="A125">IFNA(index(PlayerValues!A:A,match(IFNA(vlookup(B125,'Special Names'!A:B,2,FALSE),B125),PlayerValues!E:E,0)),"N/A")</f>
        <v>16620</v>
      </c>
      <c r="B125" s="4" t="s">
        <v>467</v>
      </c>
      <c r="C125" s="4" t="s">
        <v>287</v>
      </c>
      <c r="D125" s="94">
        <v>3379.0</v>
      </c>
    </row>
    <row r="126">
      <c r="A126" s="40">
        <f t="array" ref="A126">IFNA(index(PlayerValues!A:A,match(IFNA(vlookup(B126,'Special Names'!A:B,2,FALSE),B126),PlayerValues!E:E,0)),"N/A")</f>
        <v>14071</v>
      </c>
      <c r="B126" s="4" t="s">
        <v>440</v>
      </c>
      <c r="C126" s="4" t="s">
        <v>278</v>
      </c>
      <c r="D126" s="94">
        <v>3375.0</v>
      </c>
    </row>
    <row r="127">
      <c r="A127" s="40">
        <f t="array" ref="A127">IFNA(index(PlayerValues!A:A,match(IFNA(vlookup(B127,'Special Names'!A:B,2,FALSE),B127),PlayerValues!E:E,0)),"N/A")</f>
        <v>14842</v>
      </c>
      <c r="B127" s="4" t="s">
        <v>456</v>
      </c>
      <c r="C127" s="4" t="s">
        <v>287</v>
      </c>
      <c r="D127" s="94">
        <v>3362.0</v>
      </c>
    </row>
    <row r="128">
      <c r="A128" s="40">
        <f t="array" ref="A128">IFNA(index(PlayerValues!A:A,match(IFNA(vlookup(B128,'Special Names'!A:B,2,FALSE),B128),PlayerValues!E:E,0)),"N/A")</f>
        <v>16169</v>
      </c>
      <c r="B128" s="4" t="s">
        <v>457</v>
      </c>
      <c r="C128" s="4" t="s">
        <v>278</v>
      </c>
      <c r="D128" s="94">
        <v>3361.0</v>
      </c>
    </row>
    <row r="129">
      <c r="A129" s="40">
        <f t="array" ref="A129">IFNA(index(PlayerValues!A:A,match(IFNA(vlookup(B129,'Special Names'!A:B,2,FALSE),B129),PlayerValues!E:E,0)),"N/A")</f>
        <v>15798</v>
      </c>
      <c r="B129" s="4" t="s">
        <v>443</v>
      </c>
      <c r="C129" s="4" t="s">
        <v>298</v>
      </c>
      <c r="D129" s="94">
        <v>3808.0</v>
      </c>
    </row>
    <row r="130">
      <c r="A130" s="40">
        <f t="array" ref="A130">IFNA(index(PlayerValues!A:A,match(IFNA(vlookup(B130,'Special Names'!A:B,2,FALSE),B130),PlayerValues!E:E,0)),"N/A")</f>
        <v>15779</v>
      </c>
      <c r="B130" s="4" t="s">
        <v>461</v>
      </c>
      <c r="C130" s="4" t="s">
        <v>287</v>
      </c>
      <c r="D130" s="94">
        <v>3342.0</v>
      </c>
    </row>
    <row r="131">
      <c r="A131" s="40">
        <f t="array" ref="A131">IFNA(index(PlayerValues!A:A,match(IFNA(vlookup(B131,'Special Names'!A:B,2,FALSE),B131),PlayerValues!E:E,0)),"N/A")</f>
        <v>15261</v>
      </c>
      <c r="B131" s="4" t="s">
        <v>466</v>
      </c>
      <c r="C131" s="4" t="s">
        <v>278</v>
      </c>
      <c r="D131" s="94">
        <v>3341.0</v>
      </c>
    </row>
    <row r="132">
      <c r="A132" s="40">
        <f t="array" ref="A132">IFNA(index(PlayerValues!A:A,match(IFNA(vlookup(B132,'Special Names'!A:B,2,FALSE),B132),PlayerValues!E:E,0)),"N/A")</f>
        <v>16184</v>
      </c>
      <c r="B132" s="4" t="s">
        <v>445</v>
      </c>
      <c r="C132" s="4" t="s">
        <v>287</v>
      </c>
      <c r="D132" s="94">
        <v>3333.0</v>
      </c>
    </row>
    <row r="133">
      <c r="A133" s="40">
        <f t="array" ref="A133">IFNA(index(PlayerValues!A:A,match(IFNA(vlookup(B133,'Special Names'!A:B,2,FALSE),B133),PlayerValues!E:E,0)),"N/A")</f>
        <v>13299</v>
      </c>
      <c r="B133" s="4" t="s">
        <v>448</v>
      </c>
      <c r="C133" s="4" t="s">
        <v>298</v>
      </c>
      <c r="D133" s="94">
        <v>3768.0</v>
      </c>
    </row>
    <row r="134">
      <c r="A134" s="40">
        <f t="array" ref="A134">IFNA(index(PlayerValues!A:A,match(IFNA(vlookup(B134,'Special Names'!A:B,2,FALSE),B134),PlayerValues!E:E,0)),"N/A")</f>
        <v>17074</v>
      </c>
      <c r="B134" s="4" t="s">
        <v>475</v>
      </c>
      <c r="C134" s="4" t="s">
        <v>287</v>
      </c>
      <c r="D134" s="94">
        <v>3312.0</v>
      </c>
    </row>
    <row r="135">
      <c r="A135" s="40">
        <f t="array" ref="A135">IFNA(index(PlayerValues!A:A,match(IFNA(vlookup(B135,'Special Names'!A:B,2,FALSE),B135),PlayerValues!E:E,0)),"N/A")</f>
        <v>15799</v>
      </c>
      <c r="B135" s="4" t="s">
        <v>468</v>
      </c>
      <c r="C135" s="4" t="s">
        <v>298</v>
      </c>
      <c r="D135" s="94">
        <v>3740.0</v>
      </c>
    </row>
    <row r="136">
      <c r="A136" s="40">
        <f t="array" ref="A136">IFNA(index(PlayerValues!A:A,match(IFNA(vlookup(B136,'Special Names'!A:B,2,FALSE),B136),PlayerValues!E:E,0)),"N/A")</f>
        <v>11671</v>
      </c>
      <c r="B136" s="4" t="s">
        <v>463</v>
      </c>
      <c r="C136" s="4" t="s">
        <v>287</v>
      </c>
      <c r="D136" s="94">
        <v>3277.0</v>
      </c>
    </row>
    <row r="137">
      <c r="A137" s="40" t="str">
        <f t="array" ref="A137">IFNA(index(PlayerValues!A:A,match(IFNA(vlookup(B137,'Special Names'!A:B,2,FALSE),B137),PlayerValues!E:E,0)),"N/A")</f>
        <v>N/A</v>
      </c>
      <c r="B137" s="4" t="s">
        <v>82</v>
      </c>
      <c r="C137" s="4" t="s">
        <v>325</v>
      </c>
      <c r="D137" s="94">
        <v>3259.0</v>
      </c>
    </row>
    <row r="138">
      <c r="A138" s="40">
        <f t="array" ref="A138">IFNA(index(PlayerValues!A:A,match(IFNA(vlookup(B138,'Special Names'!A:B,2,FALSE),B138),PlayerValues!E:E,0)),"N/A")</f>
        <v>14127</v>
      </c>
      <c r="B138" s="4" t="s">
        <v>486</v>
      </c>
      <c r="C138" s="4" t="s">
        <v>287</v>
      </c>
      <c r="D138" s="94">
        <v>3243.0</v>
      </c>
    </row>
    <row r="139">
      <c r="A139" s="40">
        <f t="array" ref="A139">IFNA(index(PlayerValues!A:A,match(IFNA(vlookup(B139,'Special Names'!A:B,2,FALSE),B139),PlayerValues!E:E,0)),"N/A")</f>
        <v>13630</v>
      </c>
      <c r="B139" s="4" t="s">
        <v>465</v>
      </c>
      <c r="C139" s="4" t="s">
        <v>287</v>
      </c>
      <c r="D139" s="94">
        <v>3238.0</v>
      </c>
    </row>
    <row r="140">
      <c r="A140" s="40">
        <f t="array" ref="A140">IFNA(index(PlayerValues!A:A,match(IFNA(vlookup(B140,'Special Names'!A:B,2,FALSE),B140),PlayerValues!E:E,0)),"N/A")</f>
        <v>16213</v>
      </c>
      <c r="B140" s="4" t="s">
        <v>458</v>
      </c>
      <c r="C140" s="4" t="s">
        <v>298</v>
      </c>
      <c r="D140" s="94">
        <v>3665.0</v>
      </c>
    </row>
    <row r="141">
      <c r="A141" s="40" t="str">
        <f t="array" ref="A141">IFNA(index(PlayerValues!A:A,match(IFNA(vlookup(B141,'Special Names'!A:B,2,FALSE),B141),PlayerValues!E:E,0)),"N/A")</f>
        <v>N/A</v>
      </c>
      <c r="B141" s="4" t="s">
        <v>97</v>
      </c>
      <c r="C141" s="4" t="s">
        <v>325</v>
      </c>
      <c r="D141" s="94">
        <v>3207.0</v>
      </c>
    </row>
    <row r="142">
      <c r="A142" s="40">
        <f t="array" ref="A142">IFNA(index(PlayerValues!A:A,match(IFNA(vlookup(B142,'Special Names'!A:B,2,FALSE),B142),PlayerValues!E:E,0)),"N/A")</f>
        <v>16593</v>
      </c>
      <c r="B142" s="4" t="s">
        <v>442</v>
      </c>
      <c r="C142" s="4" t="s">
        <v>278</v>
      </c>
      <c r="D142" s="94">
        <v>3186.0</v>
      </c>
    </row>
    <row r="143">
      <c r="A143" s="40">
        <f t="array" ref="A143">IFNA(index(PlayerValues!A:A,match(IFNA(vlookup(B143,'Special Names'!A:B,2,FALSE),B143),PlayerValues!E:E,0)),"N/A")</f>
        <v>14823</v>
      </c>
      <c r="B143" s="4" t="s">
        <v>459</v>
      </c>
      <c r="C143" s="4" t="s">
        <v>278</v>
      </c>
      <c r="D143" s="94">
        <v>3183.0</v>
      </c>
    </row>
    <row r="144">
      <c r="A144" s="40">
        <f t="array" ref="A144">IFNA(index(PlayerValues!A:A,match(IFNA(vlookup(B144,'Special Names'!A:B,2,FALSE),B144),PlayerValues!E:E,0)),"N/A")</f>
        <v>16583</v>
      </c>
      <c r="B144" s="4" t="s">
        <v>493</v>
      </c>
      <c r="C144" s="4" t="s">
        <v>283</v>
      </c>
      <c r="D144" s="94">
        <v>3143.0</v>
      </c>
    </row>
    <row r="145">
      <c r="A145" s="40">
        <f t="array" ref="A145">IFNA(index(PlayerValues!A:A,match(IFNA(vlookup(B145,'Special Names'!A:B,2,FALSE),B145),PlayerValues!E:E,0)),"N/A")</f>
        <v>15742</v>
      </c>
      <c r="B145" s="4" t="s">
        <v>447</v>
      </c>
      <c r="C145" s="4" t="s">
        <v>278</v>
      </c>
      <c r="D145" s="94">
        <v>3130.0</v>
      </c>
    </row>
    <row r="146">
      <c r="A146" s="40">
        <f t="array" ref="A146">IFNA(index(PlayerValues!A:A,match(IFNA(vlookup(B146,'Special Names'!A:B,2,FALSE),B146),PlayerValues!E:E,0)),"N/A")</f>
        <v>14800</v>
      </c>
      <c r="B146" s="4" t="s">
        <v>472</v>
      </c>
      <c r="C146" s="4" t="s">
        <v>278</v>
      </c>
      <c r="D146" s="94">
        <v>3129.0</v>
      </c>
    </row>
    <row r="147">
      <c r="A147" s="40" t="str">
        <f t="array" ref="A147">IFNA(index(PlayerValues!A:A,match(IFNA(vlookup(B147,'Special Names'!A:B,2,FALSE),B147),PlayerValues!E:E,0)),"N/A")</f>
        <v>N/A</v>
      </c>
      <c r="B147" s="4" t="s">
        <v>108</v>
      </c>
      <c r="C147" s="4" t="s">
        <v>325</v>
      </c>
      <c r="D147" s="94">
        <v>3108.0</v>
      </c>
    </row>
    <row r="148">
      <c r="A148" s="40">
        <f t="array" ref="A148">IFNA(index(PlayerValues!A:A,match(IFNA(vlookup(B148,'Special Names'!A:B,2,FALSE),B148),PlayerValues!E:E,0)),"N/A")</f>
        <v>16809</v>
      </c>
      <c r="B148" s="4" t="s">
        <v>455</v>
      </c>
      <c r="C148" s="4" t="s">
        <v>287</v>
      </c>
      <c r="D148" s="94">
        <v>3039.0</v>
      </c>
    </row>
    <row r="149">
      <c r="A149" s="40">
        <f t="array" ref="A149">IFNA(index(PlayerValues!A:A,match(IFNA(vlookup(B149,'Special Names'!A:B,2,FALSE),B149),PlayerValues!E:E,0)),"N/A")</f>
        <v>16597</v>
      </c>
      <c r="B149" s="4" t="s">
        <v>427</v>
      </c>
      <c r="C149" s="4" t="s">
        <v>278</v>
      </c>
      <c r="D149" s="94">
        <v>3038.0</v>
      </c>
    </row>
    <row r="150">
      <c r="A150" s="40">
        <f t="array" ref="A150">IFNA(index(PlayerValues!A:A,match(IFNA(vlookup(B150,'Special Names'!A:B,2,FALSE),B150),PlayerValues!E:E,0)),"N/A")</f>
        <v>16080</v>
      </c>
      <c r="B150" s="4" t="s">
        <v>499</v>
      </c>
      <c r="C150" s="4" t="s">
        <v>287</v>
      </c>
      <c r="D150" s="94">
        <v>3036.0</v>
      </c>
    </row>
    <row r="151">
      <c r="A151" s="40" t="str">
        <f t="array" ref="A151">IFNA(index(PlayerValues!A:A,match(IFNA(vlookup(B151,'Special Names'!A:B,2,FALSE),B151),PlayerValues!E:E,0)),"N/A")</f>
        <v>N/A</v>
      </c>
      <c r="B151" s="4" t="s">
        <v>84</v>
      </c>
      <c r="C151" s="4" t="s">
        <v>325</v>
      </c>
      <c r="D151" s="94">
        <v>3033.0</v>
      </c>
    </row>
    <row r="152">
      <c r="A152" s="40">
        <f t="array" ref="A152">IFNA(index(PlayerValues!A:A,match(IFNA(vlookup(B152,'Special Names'!A:B,2,FALSE),B152),PlayerValues!E:E,0)),"N/A")</f>
        <v>16269</v>
      </c>
      <c r="B152" s="4" t="s">
        <v>481</v>
      </c>
      <c r="C152" s="4" t="s">
        <v>298</v>
      </c>
      <c r="D152" s="94">
        <v>3441.0</v>
      </c>
    </row>
    <row r="153">
      <c r="A153" s="40">
        <f t="array" ref="A153">IFNA(index(PlayerValues!A:A,match(IFNA(vlookup(B153,'Special Names'!A:B,2,FALSE),B153),PlayerValues!E:E,0)),"N/A")</f>
        <v>15761</v>
      </c>
      <c r="B153" s="4" t="s">
        <v>491</v>
      </c>
      <c r="C153" s="4" t="s">
        <v>287</v>
      </c>
      <c r="D153" s="94">
        <v>3008.0</v>
      </c>
    </row>
    <row r="154">
      <c r="A154" s="40">
        <f t="array" ref="A154">IFNA(index(PlayerValues!A:A,match(IFNA(vlookup(B154,'Special Names'!A:B,2,FALSE),B154),PlayerValues!E:E,0)),"N/A")</f>
        <v>16628</v>
      </c>
      <c r="B154" s="4" t="s">
        <v>490</v>
      </c>
      <c r="C154" s="4" t="s">
        <v>287</v>
      </c>
      <c r="D154" s="94">
        <v>2998.0</v>
      </c>
    </row>
    <row r="155">
      <c r="A155" s="40">
        <f t="array" ref="A155">IFNA(index(PlayerValues!A:A,match(IFNA(vlookup(B155,'Special Names'!A:B,2,FALSE),B155),PlayerValues!E:E,0)),"N/A")</f>
        <v>16584</v>
      </c>
      <c r="B155" s="4" t="s">
        <v>569</v>
      </c>
      <c r="C155" s="4" t="s">
        <v>283</v>
      </c>
      <c r="D155" s="94">
        <v>2949.0</v>
      </c>
    </row>
    <row r="156">
      <c r="A156" s="40">
        <f t="array" ref="A156">IFNA(index(PlayerValues!A:A,match(IFNA(vlookup(B156,'Special Names'!A:B,2,FALSE),B156),PlayerValues!E:E,0)),"N/A")</f>
        <v>17053</v>
      </c>
      <c r="B156" s="4" t="s">
        <v>484</v>
      </c>
      <c r="C156" s="4" t="s">
        <v>278</v>
      </c>
      <c r="D156" s="94">
        <v>2944.0</v>
      </c>
    </row>
    <row r="157">
      <c r="A157" s="40">
        <f t="array" ref="A157">IFNA(index(PlayerValues!A:A,match(IFNA(vlookup(B157,'Special Names'!A:B,2,FALSE),B157),PlayerValues!E:E,0)),"N/A")</f>
        <v>13163</v>
      </c>
      <c r="B157" s="4" t="s">
        <v>473</v>
      </c>
      <c r="C157" s="4" t="s">
        <v>287</v>
      </c>
      <c r="D157" s="94">
        <v>2925.0</v>
      </c>
    </row>
    <row r="158">
      <c r="A158" s="40">
        <f t="array" ref="A158">IFNA(index(PlayerValues!A:A,match(IFNA(vlookup(B158,'Special Names'!A:B,2,FALSE),B158),PlayerValues!E:E,0)),"N/A")</f>
        <v>15259</v>
      </c>
      <c r="B158" s="4" t="s">
        <v>453</v>
      </c>
      <c r="C158" s="4" t="s">
        <v>278</v>
      </c>
      <c r="D158" s="94">
        <v>2924.0</v>
      </c>
    </row>
    <row r="159">
      <c r="A159" s="40" t="str">
        <f t="array" ref="A159">IFNA(index(PlayerValues!A:A,match(IFNA(vlookup(B159,'Special Names'!A:B,2,FALSE),B159),PlayerValues!E:E,0)),"N/A")</f>
        <v>N/A</v>
      </c>
      <c r="B159" s="4" t="s">
        <v>109</v>
      </c>
      <c r="C159" s="4" t="s">
        <v>325</v>
      </c>
      <c r="D159" s="94">
        <v>2915.0</v>
      </c>
    </row>
    <row r="160">
      <c r="A160" s="40">
        <f t="array" ref="A160">IFNA(index(PlayerValues!A:A,match(IFNA(vlookup(B160,'Special Names'!A:B,2,FALSE),B160),PlayerValues!E:E,0)),"N/A")</f>
        <v>17256</v>
      </c>
      <c r="B160" s="4" t="s">
        <v>462</v>
      </c>
      <c r="C160" s="4" t="s">
        <v>278</v>
      </c>
      <c r="D160" s="94">
        <v>2899.0</v>
      </c>
    </row>
    <row r="161">
      <c r="A161" s="40">
        <f t="array" ref="A161">IFNA(index(PlayerValues!A:A,match(IFNA(vlookup(B161,'Special Names'!A:B,2,FALSE),B161),PlayerValues!E:E,0)),"N/A")</f>
        <v>17477</v>
      </c>
      <c r="B161" s="4" t="s">
        <v>452</v>
      </c>
      <c r="C161" s="4" t="s">
        <v>278</v>
      </c>
      <c r="D161" s="94">
        <v>2887.0</v>
      </c>
    </row>
    <row r="162">
      <c r="A162" s="40">
        <f t="array" ref="A162">IFNA(index(PlayerValues!A:A,match(IFNA(vlookup(B162,'Special Names'!A:B,2,FALSE),B162),PlayerValues!E:E,0)),"N/A")</f>
        <v>16723</v>
      </c>
      <c r="B162" s="4" t="s">
        <v>502</v>
      </c>
      <c r="C162" s="4" t="s">
        <v>298</v>
      </c>
      <c r="D162" s="94">
        <v>3301.0</v>
      </c>
    </row>
    <row r="163">
      <c r="A163" s="40">
        <f t="array" ref="A163">IFNA(index(PlayerValues!A:A,match(IFNA(vlookup(B163,'Special Names'!A:B,2,FALSE),B163),PlayerValues!E:E,0)),"N/A")</f>
        <v>17506</v>
      </c>
      <c r="B163" s="4" t="s">
        <v>471</v>
      </c>
      <c r="C163" s="4" t="s">
        <v>287</v>
      </c>
      <c r="D163" s="94">
        <v>2875.0</v>
      </c>
    </row>
    <row r="164">
      <c r="A164" s="40">
        <f t="array" ref="A164">IFNA(index(PlayerValues!A:A,match(IFNA(vlookup(B164,'Special Names'!A:B,2,FALSE),B164),PlayerValues!E:E,0)),"N/A")</f>
        <v>17476</v>
      </c>
      <c r="B164" s="4" t="s">
        <v>494</v>
      </c>
      <c r="C164" s="4" t="s">
        <v>278</v>
      </c>
      <c r="D164" s="94">
        <v>2852.0</v>
      </c>
    </row>
    <row r="165">
      <c r="A165" s="40">
        <f t="array" ref="A165">IFNA(index(PlayerValues!A:A,match(IFNA(vlookup(B165,'Special Names'!A:B,2,FALSE),B165),PlayerValues!E:E,0)),"N/A")</f>
        <v>15255</v>
      </c>
      <c r="B165" s="4" t="s">
        <v>477</v>
      </c>
      <c r="C165" s="4" t="s">
        <v>278</v>
      </c>
      <c r="D165" s="94">
        <v>2852.0</v>
      </c>
    </row>
    <row r="166">
      <c r="A166" s="40">
        <f t="array" ref="A166">IFNA(index(PlayerValues!A:A,match(IFNA(vlookup(B166,'Special Names'!A:B,2,FALSE),B166),PlayerValues!E:E,0)),"N/A")</f>
        <v>14138</v>
      </c>
      <c r="B166" s="4" t="s">
        <v>531</v>
      </c>
      <c r="C166" s="4" t="s">
        <v>298</v>
      </c>
      <c r="D166" s="94">
        <v>3253.0</v>
      </c>
    </row>
    <row r="167">
      <c r="A167" s="40">
        <f t="array" ref="A167">IFNA(index(PlayerValues!A:A,match(IFNA(vlookup(B167,'Special Names'!A:B,2,FALSE),B167),PlayerValues!E:E,0)),"N/A")</f>
        <v>17031</v>
      </c>
      <c r="B167" s="4" t="s">
        <v>535</v>
      </c>
      <c r="C167" s="4" t="s">
        <v>283</v>
      </c>
      <c r="D167" s="94">
        <v>2825.0</v>
      </c>
    </row>
    <row r="168">
      <c r="A168" s="40">
        <f t="array" ref="A168">IFNA(index(PlayerValues!A:A,match(IFNA(vlookup(B168,'Special Names'!A:B,2,FALSE),B168),PlayerValues!E:E,0)),"N/A")</f>
        <v>15712</v>
      </c>
      <c r="B168" s="4" t="s">
        <v>488</v>
      </c>
      <c r="C168" s="4" t="s">
        <v>278</v>
      </c>
      <c r="D168" s="94">
        <v>2820.0</v>
      </c>
    </row>
    <row r="169">
      <c r="A169" s="40">
        <f t="array" ref="A169">IFNA(index(PlayerValues!A:A,match(IFNA(vlookup(B169,'Special Names'!A:B,2,FALSE),B169),PlayerValues!E:E,0)),"N/A")</f>
        <v>13671</v>
      </c>
      <c r="B169" s="4" t="s">
        <v>506</v>
      </c>
      <c r="C169" s="4" t="s">
        <v>298</v>
      </c>
      <c r="D169" s="94">
        <v>3230.0</v>
      </c>
    </row>
    <row r="170">
      <c r="A170" s="40">
        <f t="array" ref="A170">IFNA(index(PlayerValues!A:A,match(IFNA(vlookup(B170,'Special Names'!A:B,2,FALSE),B170),PlayerValues!E:E,0)),"N/A")</f>
        <v>15889</v>
      </c>
      <c r="B170" s="4" t="s">
        <v>503</v>
      </c>
      <c r="C170" s="4" t="s">
        <v>298</v>
      </c>
      <c r="D170" s="94">
        <v>3212.0</v>
      </c>
    </row>
    <row r="171">
      <c r="A171" s="40">
        <f t="array" ref="A171">IFNA(index(PlayerValues!A:A,match(IFNA(vlookup(B171,'Special Names'!A:B,2,FALSE),B171),PlayerValues!E:E,0)),"N/A")</f>
        <v>17072</v>
      </c>
      <c r="B171" s="4" t="s">
        <v>508</v>
      </c>
      <c r="C171" s="4" t="s">
        <v>287</v>
      </c>
      <c r="D171" s="94">
        <v>2781.0</v>
      </c>
    </row>
    <row r="172">
      <c r="A172" s="40">
        <f t="array" ref="A172">IFNA(index(PlayerValues!A:A,match(IFNA(vlookup(B172,'Special Names'!A:B,2,FALSE),B172),PlayerValues!E:E,0)),"N/A")</f>
        <v>17157</v>
      </c>
      <c r="B172" s="4" t="s">
        <v>524</v>
      </c>
      <c r="C172" s="4" t="s">
        <v>287</v>
      </c>
      <c r="D172" s="94">
        <v>2781.0</v>
      </c>
    </row>
    <row r="173">
      <c r="A173" s="40">
        <f t="array" ref="A173">IFNA(index(PlayerValues!A:A,match(IFNA(vlookup(B173,'Special Names'!A:B,2,FALSE),B173),PlayerValues!E:E,0)),"N/A")</f>
        <v>14085</v>
      </c>
      <c r="B173" s="4" t="s">
        <v>489</v>
      </c>
      <c r="C173" s="4" t="s">
        <v>278</v>
      </c>
      <c r="D173" s="94">
        <v>2770.0</v>
      </c>
    </row>
    <row r="174">
      <c r="A174" s="40" t="str">
        <f t="array" ref="A174">IFNA(index(PlayerValues!A:A,match(IFNA(vlookup(B174,'Special Names'!A:B,2,FALSE),B174),PlayerValues!E:E,0)),"N/A")</f>
        <v>N/A</v>
      </c>
      <c r="B174" s="4" t="s">
        <v>110</v>
      </c>
      <c r="C174" s="4" t="s">
        <v>325</v>
      </c>
      <c r="D174" s="94">
        <v>2768.0</v>
      </c>
    </row>
    <row r="175">
      <c r="A175" s="40">
        <f t="array" ref="A175">IFNA(index(PlayerValues!A:A,match(IFNA(vlookup(B175,'Special Names'!A:B,2,FALSE),B175),PlayerValues!E:E,0)),"N/A")</f>
        <v>15241</v>
      </c>
      <c r="B175" s="4" t="s">
        <v>546</v>
      </c>
      <c r="C175" s="4" t="s">
        <v>283</v>
      </c>
      <c r="D175" s="94">
        <v>2767.0</v>
      </c>
    </row>
    <row r="176">
      <c r="A176" s="40">
        <f t="array" ref="A176">IFNA(index(PlayerValues!A:A,match(IFNA(vlookup(B176,'Special Names'!A:B,2,FALSE),B176),PlayerValues!E:E,0)),"N/A")</f>
        <v>16193</v>
      </c>
      <c r="B176" s="4" t="s">
        <v>487</v>
      </c>
      <c r="C176" s="4" t="s">
        <v>287</v>
      </c>
      <c r="D176" s="94">
        <v>2766.0</v>
      </c>
    </row>
    <row r="177">
      <c r="A177" s="40" t="str">
        <f t="array" ref="A177">IFNA(index(PlayerValues!A:A,match(IFNA(vlookup(B177,'Special Names'!A:B,2,FALSE),B177),PlayerValues!E:E,0)),"N/A")</f>
        <v>N/A</v>
      </c>
      <c r="B177" s="4" t="s">
        <v>85</v>
      </c>
      <c r="C177" s="4" t="s">
        <v>325</v>
      </c>
      <c r="D177" s="94">
        <v>2765.0</v>
      </c>
    </row>
    <row r="178">
      <c r="A178" s="40">
        <f t="array" ref="A178">IFNA(index(PlayerValues!A:A,match(IFNA(vlookup(B178,'Special Names'!A:B,2,FALSE),B178),PlayerValues!E:E,0)),"N/A")</f>
        <v>14778</v>
      </c>
      <c r="B178" s="4" t="s">
        <v>564</v>
      </c>
      <c r="C178" s="4" t="s">
        <v>283</v>
      </c>
      <c r="D178" s="94">
        <v>2764.0</v>
      </c>
    </row>
    <row r="179">
      <c r="A179" s="40">
        <f t="array" ref="A179">IFNA(index(PlayerValues!A:A,match(IFNA(vlookup(B179,'Special Names'!A:B,2,FALSE),B179),PlayerValues!E:E,0)),"N/A")</f>
        <v>16619</v>
      </c>
      <c r="B179" s="4" t="s">
        <v>538</v>
      </c>
      <c r="C179" s="4" t="s">
        <v>287</v>
      </c>
      <c r="D179" s="94">
        <v>2751.0</v>
      </c>
    </row>
    <row r="180">
      <c r="A180" s="40">
        <f t="array" ref="A180">IFNA(index(PlayerValues!A:A,match(IFNA(vlookup(B180,'Special Names'!A:B,2,FALSE),B180),PlayerValues!E:E,0)),"N/A")</f>
        <v>12616</v>
      </c>
      <c r="B180" s="4" t="s">
        <v>529</v>
      </c>
      <c r="C180" s="4" t="s">
        <v>283</v>
      </c>
      <c r="D180" s="94">
        <v>2743.0</v>
      </c>
    </row>
    <row r="181">
      <c r="A181" s="40">
        <f t="array" ref="A181">IFNA(index(PlayerValues!A:A,match(IFNA(vlookup(B181,'Special Names'!A:B,2,FALSE),B181),PlayerValues!E:E,0)),"N/A")</f>
        <v>17047</v>
      </c>
      <c r="B181" s="4" t="s">
        <v>510</v>
      </c>
      <c r="C181" s="4" t="s">
        <v>278</v>
      </c>
      <c r="D181" s="94">
        <v>2740.0</v>
      </c>
    </row>
    <row r="182">
      <c r="A182" s="40">
        <f t="array" ref="A182">IFNA(index(PlayerValues!A:A,match(IFNA(vlookup(B182,'Special Names'!A:B,2,FALSE),B182),PlayerValues!E:E,0)),"N/A")</f>
        <v>17073</v>
      </c>
      <c r="B182" s="4" t="s">
        <v>547</v>
      </c>
      <c r="C182" s="4" t="s">
        <v>287</v>
      </c>
      <c r="D182" s="94">
        <v>2737.0</v>
      </c>
    </row>
    <row r="183">
      <c r="A183" s="40">
        <f t="array" ref="A183">IFNA(index(PlayerValues!A:A,match(IFNA(vlookup(B183,'Special Names'!A:B,2,FALSE),B183),PlayerValues!E:E,0)),"N/A")</f>
        <v>17503</v>
      </c>
      <c r="B183" s="4" t="s">
        <v>480</v>
      </c>
      <c r="C183" s="4" t="s">
        <v>287</v>
      </c>
      <c r="D183" s="94">
        <v>2726.0</v>
      </c>
    </row>
    <row r="184">
      <c r="A184" s="40">
        <f t="array" ref="A184">IFNA(index(PlayerValues!A:A,match(IFNA(vlookup(B184,'Special Names'!A:B,2,FALSE),B184),PlayerValues!E:E,0)),"N/A")</f>
        <v>17080</v>
      </c>
      <c r="B184" s="4" t="s">
        <v>532</v>
      </c>
      <c r="C184" s="4" t="s">
        <v>287</v>
      </c>
      <c r="D184" s="94">
        <v>2726.0</v>
      </c>
    </row>
    <row r="185">
      <c r="A185" s="40">
        <f t="array" ref="A185">IFNA(index(PlayerValues!A:A,match(IFNA(vlookup(B185,'Special Names'!A:B,2,FALSE),B185),PlayerValues!E:E,0)),"N/A")</f>
        <v>17098</v>
      </c>
      <c r="B185" s="4" t="s">
        <v>533</v>
      </c>
      <c r="C185" s="4" t="s">
        <v>287</v>
      </c>
      <c r="D185" s="94">
        <v>2722.0</v>
      </c>
    </row>
    <row r="186">
      <c r="A186" s="40">
        <f t="array" ref="A186">IFNA(index(PlayerValues!A:A,match(IFNA(vlookup(B186,'Special Names'!A:B,2,FALSE),B186),PlayerValues!E:E,0)),"N/A")</f>
        <v>17107</v>
      </c>
      <c r="B186" s="4" t="s">
        <v>478</v>
      </c>
      <c r="C186" s="4" t="s">
        <v>298</v>
      </c>
      <c r="D186" s="94">
        <v>3130.0</v>
      </c>
    </row>
    <row r="187">
      <c r="A187" s="40">
        <f t="array" ref="A187">IFNA(index(PlayerValues!A:A,match(IFNA(vlookup(B187,'Special Names'!A:B,2,FALSE),B187),PlayerValues!E:E,0)),"N/A")</f>
        <v>15721</v>
      </c>
      <c r="B187" s="4" t="s">
        <v>504</v>
      </c>
      <c r="C187" s="4" t="s">
        <v>278</v>
      </c>
      <c r="D187" s="94">
        <v>2714.0</v>
      </c>
    </row>
    <row r="188">
      <c r="A188" s="40">
        <f t="array" ref="A188">IFNA(index(PlayerValues!A:A,match(IFNA(vlookup(B188,'Special Names'!A:B,2,FALSE),B188),PlayerValues!E:E,0)),"N/A")</f>
        <v>16596</v>
      </c>
      <c r="B188" s="4" t="s">
        <v>501</v>
      </c>
      <c r="C188" s="4" t="s">
        <v>278</v>
      </c>
      <c r="D188" s="94">
        <v>2705.0</v>
      </c>
    </row>
    <row r="189">
      <c r="A189" s="40">
        <f t="array" ref="A189">IFNA(index(PlayerValues!A:A,match(IFNA(vlookup(B189,'Special Names'!A:B,2,FALSE),B189),PlayerValues!E:E,0)),"N/A")</f>
        <v>14833</v>
      </c>
      <c r="B189" s="4" t="s">
        <v>553</v>
      </c>
      <c r="C189" s="4" t="s">
        <v>287</v>
      </c>
      <c r="D189" s="94">
        <v>2704.0</v>
      </c>
    </row>
    <row r="190">
      <c r="A190" s="40">
        <f t="array" ref="A190">IFNA(index(PlayerValues!A:A,match(IFNA(vlookup(B190,'Special Names'!A:B,2,FALSE),B190),PlayerValues!E:E,0)),"N/A")</f>
        <v>15972</v>
      </c>
      <c r="B190" s="4" t="s">
        <v>469</v>
      </c>
      <c r="C190" s="4" t="s">
        <v>278</v>
      </c>
      <c r="D190" s="94">
        <v>2702.0</v>
      </c>
    </row>
    <row r="191">
      <c r="A191" s="40">
        <f t="array" ref="A191">IFNA(index(PlayerValues!A:A,match(IFNA(vlookup(B191,'Special Names'!A:B,2,FALSE),B191),PlayerValues!E:E,0)),"N/A")</f>
        <v>17105</v>
      </c>
      <c r="B191" s="4" t="s">
        <v>525</v>
      </c>
      <c r="C191" s="4" t="s">
        <v>298</v>
      </c>
      <c r="D191" s="94">
        <v>3109.0</v>
      </c>
    </row>
    <row r="192">
      <c r="A192" s="40">
        <f t="array" ref="A192">IFNA(index(PlayerValues!A:A,match(IFNA(vlookup(B192,'Special Names'!A:B,2,FALSE),B192),PlayerValues!E:E,0)),"N/A")</f>
        <v>16165</v>
      </c>
      <c r="B192" s="4" t="s">
        <v>520</v>
      </c>
      <c r="C192" s="4" t="s">
        <v>278</v>
      </c>
      <c r="D192" s="94">
        <v>2679.0</v>
      </c>
    </row>
    <row r="193">
      <c r="A193" s="40">
        <f t="array" ref="A193">IFNA(index(PlayerValues!A:A,match(IFNA(vlookup(B193,'Special Names'!A:B,2,FALSE),B193),PlayerValues!E:E,0)),"N/A")</f>
        <v>14860</v>
      </c>
      <c r="B193" s="4" t="s">
        <v>554</v>
      </c>
      <c r="C193" s="4" t="s">
        <v>287</v>
      </c>
      <c r="D193" s="94">
        <v>2664.0</v>
      </c>
    </row>
    <row r="194">
      <c r="A194" s="40">
        <f t="array" ref="A194">IFNA(index(PlayerValues!A:A,match(IFNA(vlookup(B194,'Special Names'!A:B,2,FALSE),B194),PlayerValues!E:E,0)),"N/A")</f>
        <v>17171</v>
      </c>
      <c r="B194" s="4" t="s">
        <v>561</v>
      </c>
      <c r="C194" s="4" t="s">
        <v>287</v>
      </c>
      <c r="D194" s="94">
        <v>2652.0</v>
      </c>
    </row>
    <row r="195">
      <c r="A195" s="40">
        <f t="array" ref="A195">IFNA(index(PlayerValues!A:A,match(IFNA(vlookup(B195,'Special Names'!A:B,2,FALSE),B195),PlayerValues!E:E,0)),"N/A")</f>
        <v>16195</v>
      </c>
      <c r="B195" s="4" t="s">
        <v>509</v>
      </c>
      <c r="C195" s="4" t="s">
        <v>287</v>
      </c>
      <c r="D195" s="94">
        <v>2649.0</v>
      </c>
    </row>
    <row r="196">
      <c r="A196" s="40">
        <f t="array" ref="A196">IFNA(index(PlayerValues!A:A,match(IFNA(vlookup(B196,'Special Names'!A:B,2,FALSE),B196),PlayerValues!E:E,0)),"N/A")</f>
        <v>16747</v>
      </c>
      <c r="B196" s="4" t="s">
        <v>555</v>
      </c>
      <c r="C196" s="4" t="s">
        <v>278</v>
      </c>
      <c r="D196" s="94">
        <v>2647.0</v>
      </c>
    </row>
    <row r="197">
      <c r="A197" s="40">
        <f t="array" ref="A197">IFNA(index(PlayerValues!A:A,match(IFNA(vlookup(B197,'Special Names'!A:B,2,FALSE),B197),PlayerValues!E:E,0)),"N/A")</f>
        <v>17505</v>
      </c>
      <c r="B197" s="4" t="s">
        <v>528</v>
      </c>
      <c r="C197" s="4" t="s">
        <v>287</v>
      </c>
      <c r="D197" s="94">
        <v>2646.0</v>
      </c>
    </row>
    <row r="198">
      <c r="A198" s="40" t="str">
        <f t="array" ref="A198">IFNA(index(PlayerValues!A:A,match(IFNA(vlookup(B198,'Special Names'!A:B,2,FALSE),B198),PlayerValues!E:E,0)),"N/A")</f>
        <v>N/A</v>
      </c>
      <c r="B198" s="4" t="s">
        <v>98</v>
      </c>
      <c r="C198" s="4" t="s">
        <v>325</v>
      </c>
      <c r="D198" s="94">
        <v>2638.0</v>
      </c>
    </row>
    <row r="199">
      <c r="A199" s="40">
        <f t="array" ref="A199">IFNA(index(PlayerValues!A:A,match(IFNA(vlookup(B199,'Special Names'!A:B,2,FALSE),B199),PlayerValues!E:E,0)),"N/A")</f>
        <v>17082</v>
      </c>
      <c r="B199" s="4" t="s">
        <v>498</v>
      </c>
      <c r="C199" s="4" t="s">
        <v>287</v>
      </c>
      <c r="D199" s="94">
        <v>2608.0</v>
      </c>
    </row>
    <row r="200">
      <c r="A200" s="40">
        <f t="array" ref="A200">IFNA(index(PlayerValues!A:A,match(IFNA(vlookup(B200,'Special Names'!A:B,2,FALSE),B200),PlayerValues!E:E,0)),"N/A")</f>
        <v>13674</v>
      </c>
      <c r="B200" s="4" t="s">
        <v>511</v>
      </c>
      <c r="C200" s="4" t="s">
        <v>298</v>
      </c>
      <c r="D200" s="94">
        <v>3010.0</v>
      </c>
    </row>
    <row r="201">
      <c r="A201" s="40">
        <f t="array" ref="A201">IFNA(index(PlayerValues!A:A,match(IFNA(vlookup(B201,'Special Names'!A:B,2,FALSE),B201),PlayerValues!E:E,0)),"N/A")</f>
        <v>17509</v>
      </c>
      <c r="B201" s="4" t="s">
        <v>551</v>
      </c>
      <c r="C201" s="4" t="s">
        <v>287</v>
      </c>
      <c r="D201" s="94">
        <v>2599.0</v>
      </c>
    </row>
    <row r="202">
      <c r="A202" s="40">
        <f t="array" ref="A202">IFNA(index(PlayerValues!A:A,match(IFNA(vlookup(B202,'Special Names'!A:B,2,FALSE),B202),PlayerValues!E:E,0)),"N/A")</f>
        <v>17108</v>
      </c>
      <c r="B202" s="4" t="s">
        <v>542</v>
      </c>
      <c r="C202" s="4" t="s">
        <v>298</v>
      </c>
      <c r="D202" s="94">
        <v>2984.0</v>
      </c>
    </row>
    <row r="203">
      <c r="A203" s="40">
        <f t="array" ref="A203">IFNA(index(PlayerValues!A:A,match(IFNA(vlookup(B203,'Special Names'!A:B,2,FALSE),B203),PlayerValues!E:E,0)),"N/A")</f>
        <v>16287</v>
      </c>
      <c r="B203" s="4" t="s">
        <v>516</v>
      </c>
      <c r="C203" s="4" t="s">
        <v>287</v>
      </c>
      <c r="D203" s="94">
        <v>2560.0</v>
      </c>
    </row>
    <row r="204">
      <c r="A204" s="40">
        <f t="array" ref="A204">IFNA(index(PlayerValues!A:A,match(IFNA(vlookup(B204,'Special Names'!A:B,2,FALSE),B204),PlayerValues!E:E,0)),"N/A")</f>
        <v>16626</v>
      </c>
      <c r="B204" s="4" t="s">
        <v>515</v>
      </c>
      <c r="C204" s="4" t="s">
        <v>287</v>
      </c>
      <c r="D204" s="94">
        <v>2557.0</v>
      </c>
    </row>
    <row r="205">
      <c r="A205" s="40">
        <f t="array" ref="A205">IFNA(index(PlayerValues!A:A,match(IFNA(vlookup(B205,'Special Names'!A:B,2,FALSE),B205),PlayerValues!E:E,0)),"N/A")</f>
        <v>16617</v>
      </c>
      <c r="B205" s="4" t="s">
        <v>541</v>
      </c>
      <c r="C205" s="4" t="s">
        <v>287</v>
      </c>
      <c r="D205" s="94">
        <v>2538.0</v>
      </c>
    </row>
    <row r="206">
      <c r="A206" s="40">
        <f t="array" ref="A206">IFNA(index(PlayerValues!A:A,match(IFNA(vlookup(B206,'Special Names'!A:B,2,FALSE),B206),PlayerValues!E:E,0)),"N/A")</f>
        <v>17482</v>
      </c>
      <c r="B206" s="4" t="s">
        <v>460</v>
      </c>
      <c r="C206" s="4" t="s">
        <v>278</v>
      </c>
      <c r="D206" s="94">
        <v>2523.0</v>
      </c>
    </row>
    <row r="207">
      <c r="A207" s="40">
        <f t="array" ref="A207">IFNA(index(PlayerValues!A:A,match(IFNA(vlookup(B207,'Special Names'!A:B,2,FALSE),B207),PlayerValues!E:E,0)),"N/A")</f>
        <v>17134</v>
      </c>
      <c r="B207" s="4" t="s">
        <v>548</v>
      </c>
      <c r="C207" s="4" t="s">
        <v>287</v>
      </c>
      <c r="D207" s="94">
        <v>2518.0</v>
      </c>
    </row>
    <row r="208">
      <c r="A208" s="40">
        <f t="array" ref="A208">IFNA(index(PlayerValues!A:A,match(IFNA(vlookup(B208,'Special Names'!A:B,2,FALSE),B208),PlayerValues!E:E,0)),"N/A")</f>
        <v>17048</v>
      </c>
      <c r="B208" s="4" t="s">
        <v>539</v>
      </c>
      <c r="C208" s="4" t="s">
        <v>278</v>
      </c>
      <c r="D208" s="94">
        <v>2496.0</v>
      </c>
    </row>
    <row r="209">
      <c r="A209" s="40">
        <f t="array" ref="A209">IFNA(index(PlayerValues!A:A,match(IFNA(vlookup(B209,'Special Names'!A:B,2,FALSE),B209),PlayerValues!E:E,0)),"N/A")</f>
        <v>16684</v>
      </c>
      <c r="B209" s="4" t="s">
        <v>500</v>
      </c>
      <c r="C209" s="4" t="s">
        <v>287</v>
      </c>
      <c r="D209" s="94">
        <v>2490.0</v>
      </c>
    </row>
    <row r="210">
      <c r="A210" s="40">
        <f t="array" ref="A210">IFNA(index(PlayerValues!A:A,match(IFNA(vlookup(B210,'Special Names'!A:B,2,FALSE),B210),PlayerValues!E:E,0)),"N/A")</f>
        <v>16164</v>
      </c>
      <c r="B210" s="4" t="s">
        <v>512</v>
      </c>
      <c r="C210" s="4" t="s">
        <v>278</v>
      </c>
      <c r="D210" s="94">
        <v>2489.0</v>
      </c>
    </row>
    <row r="211">
      <c r="A211" s="40">
        <f t="array" ref="A211">IFNA(index(PlayerValues!A:A,match(IFNA(vlookup(B211,'Special Names'!A:B,2,FALSE),B211),PlayerValues!E:E,0)),"N/A")</f>
        <v>16174</v>
      </c>
      <c r="B211" s="4" t="s">
        <v>505</v>
      </c>
      <c r="C211" s="4" t="s">
        <v>278</v>
      </c>
      <c r="D211" s="94">
        <v>2483.0</v>
      </c>
    </row>
    <row r="212">
      <c r="A212" s="40">
        <f t="array" ref="A212">IFNA(index(PlayerValues!A:A,match(IFNA(vlookup(B212,'Special Names'!A:B,2,FALSE),B212),PlayerValues!E:E,0)),"N/A")</f>
        <v>17511</v>
      </c>
      <c r="B212" s="4" t="s">
        <v>485</v>
      </c>
      <c r="C212" s="4" t="s">
        <v>287</v>
      </c>
      <c r="D212" s="94">
        <v>2468.0</v>
      </c>
    </row>
    <row r="213">
      <c r="A213" s="40">
        <f t="array" ref="A213">IFNA(index(PlayerValues!A:A,match(IFNA(vlookup(B213,'Special Names'!A:B,2,FALSE),B213),PlayerValues!E:E,0)),"N/A")</f>
        <v>14840</v>
      </c>
      <c r="B213" s="4" t="s">
        <v>731</v>
      </c>
      <c r="C213" s="4" t="s">
        <v>287</v>
      </c>
      <c r="D213" s="94">
        <v>2465.0</v>
      </c>
    </row>
    <row r="214">
      <c r="A214" s="40">
        <f t="array" ref="A214">IFNA(index(PlayerValues!A:A,match(IFNA(vlookup(B214,'Special Names'!A:B,2,FALSE),B214),PlayerValues!E:E,0)),"N/A")</f>
        <v>16178</v>
      </c>
      <c r="B214" s="4" t="s">
        <v>507</v>
      </c>
      <c r="C214" s="4" t="s">
        <v>278</v>
      </c>
      <c r="D214" s="94">
        <v>2463.0</v>
      </c>
    </row>
    <row r="215">
      <c r="A215" s="40">
        <f t="array" ref="A215">IFNA(index(PlayerValues!A:A,match(IFNA(vlookup(B215,'Special Names'!A:B,2,FALSE),B215),PlayerValues!E:E,0)),"N/A")</f>
        <v>17507</v>
      </c>
      <c r="B215" s="4" t="s">
        <v>495</v>
      </c>
      <c r="C215" s="4" t="s">
        <v>287</v>
      </c>
      <c r="D215" s="94">
        <v>2448.0</v>
      </c>
    </row>
    <row r="216">
      <c r="A216" s="40" t="str">
        <f t="array" ref="A216">IFNA(index(PlayerValues!A:A,match(IFNA(vlookup(B216,'Special Names'!A:B,2,FALSE),B216),PlayerValues!E:E,0)),"N/A")</f>
        <v>N/A</v>
      </c>
      <c r="B216" s="4" t="s">
        <v>557</v>
      </c>
      <c r="C216" s="4" t="s">
        <v>278</v>
      </c>
      <c r="D216" s="94">
        <v>2437.0</v>
      </c>
    </row>
    <row r="217">
      <c r="A217" s="40" t="str">
        <f t="array" ref="A217">IFNA(index(PlayerValues!A:A,match(IFNA(vlookup(B217,'Special Names'!A:B,2,FALSE),B217),PlayerValues!E:E,0)),"N/A")</f>
        <v>N/A</v>
      </c>
      <c r="B217" s="4" t="s">
        <v>99</v>
      </c>
      <c r="C217" s="4" t="s">
        <v>325</v>
      </c>
      <c r="D217" s="94">
        <v>2435.0</v>
      </c>
    </row>
    <row r="218">
      <c r="A218" s="40">
        <f t="array" ref="A218">IFNA(index(PlayerValues!A:A,match(IFNA(vlookup(B218,'Special Names'!A:B,2,FALSE),B218),PlayerValues!E:E,0)),"N/A")</f>
        <v>13192</v>
      </c>
      <c r="B218" s="4" t="s">
        <v>563</v>
      </c>
      <c r="C218" s="4" t="s">
        <v>298</v>
      </c>
      <c r="D218" s="94">
        <v>2836.0</v>
      </c>
    </row>
    <row r="219">
      <c r="A219" s="40">
        <f t="array" ref="A219">IFNA(index(PlayerValues!A:A,match(IFNA(vlookup(B219,'Special Names'!A:B,2,FALSE),B219),PlayerValues!E:E,0)),"N/A")</f>
        <v>11244</v>
      </c>
      <c r="B219" s="4" t="s">
        <v>519</v>
      </c>
      <c r="C219" s="4" t="s">
        <v>298</v>
      </c>
      <c r="D219" s="94">
        <v>2807.0</v>
      </c>
    </row>
    <row r="220">
      <c r="A220" s="40">
        <f t="array" ref="A220">IFNA(index(PlayerValues!A:A,match(IFNA(vlookup(B220,'Special Names'!A:B,2,FALSE),B220),PlayerValues!E:E,0)),"N/A")</f>
        <v>15716</v>
      </c>
      <c r="B220" s="4" t="s">
        <v>545</v>
      </c>
      <c r="C220" s="4" t="s">
        <v>278</v>
      </c>
      <c r="D220" s="94">
        <v>2404.0</v>
      </c>
    </row>
    <row r="221">
      <c r="A221" s="40">
        <f t="array" ref="A221">IFNA(index(PlayerValues!A:A,match(IFNA(vlookup(B221,'Special Names'!A:B,2,FALSE),B221),PlayerValues!E:E,0)),"N/A")</f>
        <v>14861</v>
      </c>
      <c r="B221" s="4" t="s">
        <v>523</v>
      </c>
      <c r="C221" s="4" t="s">
        <v>298</v>
      </c>
      <c r="D221" s="94">
        <v>2783.0</v>
      </c>
    </row>
    <row r="222">
      <c r="A222" s="40">
        <f t="array" ref="A222">IFNA(index(PlayerValues!A:A,match(IFNA(vlookup(B222,'Special Names'!A:B,2,FALSE),B222),PlayerValues!E:E,0)),"N/A")</f>
        <v>17106</v>
      </c>
      <c r="B222" s="4" t="s">
        <v>550</v>
      </c>
      <c r="C222" s="4" t="s">
        <v>298</v>
      </c>
      <c r="D222" s="94">
        <v>2782.0</v>
      </c>
    </row>
    <row r="223">
      <c r="A223" s="40">
        <f t="array" ref="A223">IFNA(index(PlayerValues!A:A,match(IFNA(vlookup(B223,'Special Names'!A:B,2,FALSE),B223),PlayerValues!E:E,0)),"N/A")</f>
        <v>16204</v>
      </c>
      <c r="B223" s="4" t="s">
        <v>530</v>
      </c>
      <c r="C223" s="4" t="s">
        <v>287</v>
      </c>
      <c r="D223" s="94">
        <v>2377.0</v>
      </c>
    </row>
    <row r="224">
      <c r="A224" s="40">
        <f t="array" ref="A224">IFNA(index(PlayerValues!A:A,match(IFNA(vlookup(B224,'Special Names'!A:B,2,FALSE),B224),PlayerValues!E:E,0)),"N/A")</f>
        <v>16649</v>
      </c>
      <c r="B224" s="4" t="s">
        <v>586</v>
      </c>
      <c r="C224" s="4" t="s">
        <v>298</v>
      </c>
      <c r="D224" s="94">
        <v>2771.0</v>
      </c>
    </row>
    <row r="225">
      <c r="A225" s="40">
        <f t="array" ref="A225">IFNA(index(PlayerValues!A:A,match(IFNA(vlookup(B225,'Special Names'!A:B,2,FALSE),B225),PlayerValues!E:E,0)),"N/A")</f>
        <v>14136</v>
      </c>
      <c r="B225" s="4" t="s">
        <v>536</v>
      </c>
      <c r="C225" s="4" t="s">
        <v>287</v>
      </c>
      <c r="D225" s="94">
        <v>2370.0</v>
      </c>
    </row>
    <row r="226">
      <c r="A226" s="40">
        <f t="array" ref="A226">IFNA(index(PlayerValues!A:A,match(IFNA(vlookup(B226,'Special Names'!A:B,2,FALSE),B226),PlayerValues!E:E,0)),"N/A")</f>
        <v>15786</v>
      </c>
      <c r="B226" s="4" t="s">
        <v>521</v>
      </c>
      <c r="C226" s="4" t="s">
        <v>287</v>
      </c>
      <c r="D226" s="94">
        <v>2369.0</v>
      </c>
    </row>
    <row r="227">
      <c r="A227" s="40">
        <f t="array" ref="A227">IFNA(index(PlayerValues!A:A,match(IFNA(vlookup(B227,'Special Names'!A:B,2,FALSE),B227),PlayerValues!E:E,0)),"N/A")</f>
        <v>17078</v>
      </c>
      <c r="B227" s="4" t="s">
        <v>543</v>
      </c>
      <c r="C227" s="4" t="s">
        <v>287</v>
      </c>
      <c r="D227" s="94">
        <v>2369.0</v>
      </c>
    </row>
    <row r="228">
      <c r="A228" s="40">
        <f t="array" ref="A228">IFNA(index(PlayerValues!A:A,match(IFNA(vlookup(B228,'Special Names'!A:B,2,FALSE),B228),PlayerValues!E:E,0)),"N/A")</f>
        <v>16152</v>
      </c>
      <c r="B228" s="4" t="s">
        <v>601</v>
      </c>
      <c r="C228" s="4" t="s">
        <v>283</v>
      </c>
      <c r="D228" s="94">
        <v>2363.0</v>
      </c>
    </row>
    <row r="229">
      <c r="A229" s="40">
        <f t="array" ref="A229">IFNA(index(PlayerValues!A:A,match(IFNA(vlookup(B229,'Special Names'!A:B,2,FALSE),B229),PlayerValues!E:E,0)),"N/A")</f>
        <v>16594</v>
      </c>
      <c r="B229" s="4" t="s">
        <v>607</v>
      </c>
      <c r="C229" s="4" t="s">
        <v>278</v>
      </c>
      <c r="D229" s="94">
        <v>2360.0</v>
      </c>
    </row>
    <row r="230">
      <c r="A230" s="40">
        <f t="array" ref="A230">IFNA(index(PlayerValues!A:A,match(IFNA(vlookup(B230,'Special Names'!A:B,2,FALSE),B230),PlayerValues!E:E,0)),"N/A")</f>
        <v>17033</v>
      </c>
      <c r="B230" s="4" t="s">
        <v>570</v>
      </c>
      <c r="C230" s="4" t="s">
        <v>283</v>
      </c>
      <c r="D230" s="94">
        <v>2358.0</v>
      </c>
    </row>
    <row r="231">
      <c r="A231" s="40">
        <f t="array" ref="A231">IFNA(index(PlayerValues!A:A,match(IFNA(vlookup(B231,'Special Names'!A:B,2,FALSE),B231),PlayerValues!E:E,0)),"N/A")</f>
        <v>15802</v>
      </c>
      <c r="B231" s="4" t="s">
        <v>566</v>
      </c>
      <c r="C231" s="4" t="s">
        <v>298</v>
      </c>
      <c r="D231" s="94">
        <v>2744.0</v>
      </c>
    </row>
    <row r="232">
      <c r="A232" s="40">
        <f t="array" ref="A232">IFNA(index(PlayerValues!A:A,match(IFNA(vlookup(B232,'Special Names'!A:B,2,FALSE),B232),PlayerValues!E:E,0)),"N/A")</f>
        <v>16036</v>
      </c>
      <c r="B232" s="4" t="s">
        <v>592</v>
      </c>
      <c r="C232" s="4" t="s">
        <v>298</v>
      </c>
      <c r="D232" s="94">
        <v>2738.0</v>
      </c>
    </row>
    <row r="233">
      <c r="A233" s="40">
        <f t="array" ref="A233">IFNA(index(PlayerValues!A:A,match(IFNA(vlookup(B233,'Special Names'!A:B,2,FALSE),B233),PlayerValues!E:E,0)),"N/A")</f>
        <v>12676</v>
      </c>
      <c r="B233" s="4" t="s">
        <v>537</v>
      </c>
      <c r="C233" s="4" t="s">
        <v>298</v>
      </c>
      <c r="D233" s="94">
        <v>2736.0</v>
      </c>
    </row>
    <row r="234">
      <c r="A234" s="40">
        <f t="array" ref="A234">IFNA(index(PlayerValues!A:A,match(IFNA(vlookup(B234,'Special Names'!A:B,2,FALSE),B234),PlayerValues!E:E,0)),"N/A")</f>
        <v>16166</v>
      </c>
      <c r="B234" s="4" t="s">
        <v>567</v>
      </c>
      <c r="C234" s="4" t="s">
        <v>278</v>
      </c>
      <c r="D234" s="94">
        <v>2312.0</v>
      </c>
    </row>
    <row r="235">
      <c r="A235" s="40">
        <f t="array" ref="A235">IFNA(index(PlayerValues!A:A,match(IFNA(vlookup(B235,'Special Names'!A:B,2,FALSE),B235),PlayerValues!E:E,0)),"N/A")</f>
        <v>15749</v>
      </c>
      <c r="B235" s="4" t="s">
        <v>574</v>
      </c>
      <c r="C235" s="4" t="s">
        <v>278</v>
      </c>
      <c r="D235" s="94">
        <v>2310.0</v>
      </c>
    </row>
    <row r="236">
      <c r="A236" s="40">
        <f t="array" ref="A236">IFNA(index(PlayerValues!A:A,match(IFNA(vlookup(B236,'Special Names'!A:B,2,FALSE),B236),PlayerValues!E:E,0)),"N/A")</f>
        <v>16757</v>
      </c>
      <c r="B236" s="4" t="s">
        <v>558</v>
      </c>
      <c r="C236" s="4" t="s">
        <v>278</v>
      </c>
      <c r="D236" s="94">
        <v>2309.0</v>
      </c>
    </row>
    <row r="237">
      <c r="A237" s="40">
        <f t="array" ref="A237">IFNA(index(PlayerValues!A:A,match(IFNA(vlookup(B237,'Special Names'!A:B,2,FALSE),B237),PlayerValues!E:E,0)),"N/A")</f>
        <v>13772</v>
      </c>
      <c r="B237" s="4" t="s">
        <v>544</v>
      </c>
      <c r="C237" s="4" t="s">
        <v>298</v>
      </c>
      <c r="D237" s="94">
        <v>2693.0</v>
      </c>
    </row>
    <row r="238">
      <c r="A238" s="40">
        <f t="array" ref="A238">IFNA(index(PlayerValues!A:A,match(IFNA(vlookup(B238,'Special Names'!A:B,2,FALSE),B238),PlayerValues!E:E,0)),"N/A")</f>
        <v>17474</v>
      </c>
      <c r="B238" s="4" t="s">
        <v>513</v>
      </c>
      <c r="C238" s="4" t="s">
        <v>278</v>
      </c>
      <c r="D238" s="94">
        <v>2292.0</v>
      </c>
    </row>
    <row r="239">
      <c r="A239" s="40">
        <f t="array" ref="A239">IFNA(index(PlayerValues!A:A,match(IFNA(vlookup(B239,'Special Names'!A:B,2,FALSE),B239),PlayerValues!E:E,0)),"N/A")</f>
        <v>17508</v>
      </c>
      <c r="B239" s="4" t="s">
        <v>534</v>
      </c>
      <c r="C239" s="4" t="s">
        <v>287</v>
      </c>
      <c r="D239" s="94">
        <v>2266.0</v>
      </c>
    </row>
    <row r="240">
      <c r="A240" s="40" t="str">
        <f t="array" ref="A240">IFNA(index(PlayerValues!A:A,match(IFNA(vlookup(B240,'Special Names'!A:B,2,FALSE),B240),PlayerValues!E:E,0)),"N/A")</f>
        <v>N/A</v>
      </c>
      <c r="B240" s="4" t="s">
        <v>86</v>
      </c>
      <c r="C240" s="4" t="s">
        <v>325</v>
      </c>
      <c r="D240" s="94">
        <v>2265.0</v>
      </c>
    </row>
    <row r="241">
      <c r="A241" s="40">
        <f t="array" ref="A241">IFNA(index(PlayerValues!A:A,match(IFNA(vlookup(B241,'Special Names'!A:B,2,FALSE),B241),PlayerValues!E:E,0)),"N/A")</f>
        <v>16189</v>
      </c>
      <c r="B241" s="4" t="s">
        <v>582</v>
      </c>
      <c r="C241" s="4" t="s">
        <v>287</v>
      </c>
      <c r="D241" s="94">
        <v>2242.0</v>
      </c>
    </row>
    <row r="242">
      <c r="A242" s="40">
        <f t="array" ref="A242">IFNA(index(PlayerValues!A:A,match(IFNA(vlookup(B242,'Special Names'!A:B,2,FALSE),B242),PlayerValues!E:E,0)),"N/A")</f>
        <v>17512</v>
      </c>
      <c r="B242" s="4" t="s">
        <v>483</v>
      </c>
      <c r="C242" s="4" t="s">
        <v>287</v>
      </c>
      <c r="D242" s="94">
        <v>2241.0</v>
      </c>
    </row>
    <row r="243">
      <c r="A243" s="40">
        <f t="array" ref="A243">IFNA(index(PlayerValues!A:A,match(IFNA(vlookup(B243,'Special Names'!A:B,2,FALSE),B243),PlayerValues!E:E,0)),"N/A")</f>
        <v>17517</v>
      </c>
      <c r="B243" s="4" t="s">
        <v>454</v>
      </c>
      <c r="C243" s="4" t="s">
        <v>287</v>
      </c>
      <c r="D243" s="94">
        <v>2235.0</v>
      </c>
    </row>
    <row r="244">
      <c r="A244" s="40">
        <f t="array" ref="A244">IFNA(index(PlayerValues!A:A,match(IFNA(vlookup(B244,'Special Names'!A:B,2,FALSE),B244),PlayerValues!E:E,0)),"N/A")</f>
        <v>13319</v>
      </c>
      <c r="B244" s="4" t="s">
        <v>549</v>
      </c>
      <c r="C244" s="4" t="s">
        <v>278</v>
      </c>
      <c r="D244" s="94">
        <v>2235.0</v>
      </c>
    </row>
    <row r="245">
      <c r="A245" s="40">
        <f t="array" ref="A245">IFNA(index(PlayerValues!A:A,match(IFNA(vlookup(B245,'Special Names'!A:B,2,FALSE),B245),PlayerValues!E:E,0)),"N/A")</f>
        <v>16610</v>
      </c>
      <c r="B245" s="4" t="s">
        <v>562</v>
      </c>
      <c r="C245" s="4" t="s">
        <v>278</v>
      </c>
      <c r="D245" s="94">
        <v>2233.0</v>
      </c>
    </row>
    <row r="246">
      <c r="A246" s="40">
        <f t="array" ref="A246">IFNA(index(PlayerValues!A:A,match(IFNA(vlookup(B246,'Special Names'!A:B,2,FALSE),B246),PlayerValues!E:E,0)),"N/A")</f>
        <v>17478</v>
      </c>
      <c r="B246" s="4" t="s">
        <v>527</v>
      </c>
      <c r="C246" s="4" t="s">
        <v>278</v>
      </c>
      <c r="D246" s="94">
        <v>2207.0</v>
      </c>
    </row>
    <row r="247">
      <c r="A247" s="40">
        <f t="array" ref="A247">IFNA(index(PlayerValues!A:A,match(IFNA(vlookup(B247,'Special Names'!A:B,2,FALSE),B247),PlayerValues!E:E,0)),"N/A")</f>
        <v>17079</v>
      </c>
      <c r="B247" s="4" t="s">
        <v>572</v>
      </c>
      <c r="C247" s="4" t="s">
        <v>287</v>
      </c>
      <c r="D247" s="94">
        <v>2201.0</v>
      </c>
    </row>
    <row r="248">
      <c r="A248" s="40">
        <f t="array" ref="A248">IFNA(index(PlayerValues!A:A,match(IFNA(vlookup(B248,'Special Names'!A:B,2,FALSE),B248),PlayerValues!E:E,0)),"N/A")</f>
        <v>16212</v>
      </c>
      <c r="B248" s="4" t="s">
        <v>568</v>
      </c>
      <c r="C248" s="4" t="s">
        <v>298</v>
      </c>
      <c r="D248" s="94">
        <v>2554.0</v>
      </c>
    </row>
    <row r="249">
      <c r="A249" s="40" t="str">
        <f t="array" ref="A249">IFNA(index(PlayerValues!A:A,match(IFNA(vlookup(B249,'Special Names'!A:B,2,FALSE),B249),PlayerValues!E:E,0)),"N/A")</f>
        <v>N/A</v>
      </c>
      <c r="B249" s="4" t="s">
        <v>100</v>
      </c>
      <c r="C249" s="4" t="s">
        <v>325</v>
      </c>
      <c r="D249" s="94">
        <v>2163.0</v>
      </c>
    </row>
    <row r="250">
      <c r="A250" s="40">
        <f t="array" ref="A250">IFNA(index(PlayerValues!A:A,match(IFNA(vlookup(B250,'Special Names'!A:B,2,FALSE),B250),PlayerValues!E:E,0)),"N/A")</f>
        <v>17046</v>
      </c>
      <c r="B250" s="4" t="s">
        <v>602</v>
      </c>
      <c r="C250" s="4" t="s">
        <v>278</v>
      </c>
      <c r="D250" s="94">
        <v>2157.0</v>
      </c>
    </row>
    <row r="251">
      <c r="A251" s="40" t="str">
        <f t="array" ref="A251">IFNA(index(PlayerValues!A:A,match(IFNA(vlookup(B251,'Special Names'!A:B,2,FALSE),B251),PlayerValues!E:E,0)),"N/A")</f>
        <v>N/A</v>
      </c>
      <c r="B251" s="4" t="s">
        <v>112</v>
      </c>
      <c r="C251" s="4" t="s">
        <v>325</v>
      </c>
      <c r="D251" s="94">
        <v>2151.0</v>
      </c>
    </row>
    <row r="252">
      <c r="A252" s="40">
        <f t="array" ref="A252">IFNA(index(PlayerValues!A:A,match(IFNA(vlookup(B252,'Special Names'!A:B,2,FALSE),B252),PlayerValues!E:E,0)),"N/A")</f>
        <v>11150</v>
      </c>
      <c r="B252" s="4" t="s">
        <v>559</v>
      </c>
      <c r="C252" s="4" t="s">
        <v>283</v>
      </c>
      <c r="D252" s="94">
        <v>2147.0</v>
      </c>
    </row>
    <row r="253">
      <c r="A253" s="40">
        <f t="array" ref="A253">IFNA(index(PlayerValues!A:A,match(IFNA(vlookup(B253,'Special Names'!A:B,2,FALSE),B253),PlayerValues!E:E,0)),"N/A")</f>
        <v>17056</v>
      </c>
      <c r="B253" s="4" t="s">
        <v>581</v>
      </c>
      <c r="C253" s="4" t="s">
        <v>278</v>
      </c>
      <c r="D253" s="94">
        <v>2147.0</v>
      </c>
    </row>
    <row r="254">
      <c r="A254" s="40">
        <f t="array" ref="A254">IFNA(index(PlayerValues!A:A,match(IFNA(vlookup(B254,'Special Names'!A:B,2,FALSE),B254),PlayerValues!E:E,0)),"N/A")</f>
        <v>15238</v>
      </c>
      <c r="B254" s="4" t="s">
        <v>613</v>
      </c>
      <c r="C254" s="4" t="s">
        <v>283</v>
      </c>
      <c r="D254" s="94">
        <v>2141.0</v>
      </c>
    </row>
    <row r="255">
      <c r="A255" s="40">
        <f t="array" ref="A255">IFNA(index(PlayerValues!A:A,match(IFNA(vlookup(B255,'Special Names'!A:B,2,FALSE),B255),PlayerValues!E:E,0)),"N/A")</f>
        <v>12186</v>
      </c>
      <c r="B255" s="4" t="s">
        <v>497</v>
      </c>
      <c r="C255" s="4" t="s">
        <v>287</v>
      </c>
      <c r="D255" s="94">
        <v>2140.0</v>
      </c>
    </row>
    <row r="256">
      <c r="A256" s="40">
        <f t="array" ref="A256">IFNA(index(PlayerValues!A:A,match(IFNA(vlookup(B256,'Special Names'!A:B,2,FALSE),B256),PlayerValues!E:E,0)),"N/A")</f>
        <v>15331</v>
      </c>
      <c r="B256" s="4" t="s">
        <v>560</v>
      </c>
      <c r="C256" s="4" t="s">
        <v>298</v>
      </c>
      <c r="D256" s="94">
        <v>2530.0</v>
      </c>
    </row>
    <row r="257">
      <c r="A257" s="40">
        <f t="array" ref="A257">IFNA(index(PlayerValues!A:A,match(IFNA(vlookup(B257,'Special Names'!A:B,2,FALSE),B257),PlayerValues!E:E,0)),"N/A")</f>
        <v>14974</v>
      </c>
      <c r="B257" s="4" t="s">
        <v>611</v>
      </c>
      <c r="C257" s="4" t="s">
        <v>287</v>
      </c>
      <c r="D257" s="94">
        <v>2133.0</v>
      </c>
    </row>
    <row r="258">
      <c r="A258" s="40">
        <f t="array" ref="A258">IFNA(index(PlayerValues!A:A,match(IFNA(vlookup(B258,'Special Names'!A:B,2,FALSE),B258),PlayerValues!E:E,0)),"N/A")</f>
        <v>12801</v>
      </c>
      <c r="B258" s="4" t="s">
        <v>722</v>
      </c>
      <c r="C258" s="4" t="s">
        <v>287</v>
      </c>
      <c r="D258" s="94">
        <v>2122.0</v>
      </c>
    </row>
    <row r="259">
      <c r="A259" s="40" t="str">
        <f t="array" ref="A259">IFNA(index(PlayerValues!A:A,match(IFNA(vlookup(B259,'Special Names'!A:B,2,FALSE),B259),PlayerValues!E:E,0)),"N/A")</f>
        <v>N/A</v>
      </c>
      <c r="B259" s="4" t="s">
        <v>87</v>
      </c>
      <c r="C259" s="4" t="s">
        <v>325</v>
      </c>
      <c r="D259" s="94">
        <v>2116.0</v>
      </c>
    </row>
    <row r="260">
      <c r="A260" s="40">
        <f t="array" ref="A260">IFNA(index(PlayerValues!A:A,match(IFNA(vlookup(B260,'Special Names'!A:B,2,FALSE),B260),PlayerValues!E:E,0)),"N/A")</f>
        <v>16643</v>
      </c>
      <c r="B260" s="4" t="s">
        <v>609</v>
      </c>
      <c r="C260" s="4" t="s">
        <v>298</v>
      </c>
      <c r="D260" s="94">
        <v>2491.0</v>
      </c>
    </row>
    <row r="261">
      <c r="A261" s="40">
        <f t="array" ref="A261">IFNA(index(PlayerValues!A:A,match(IFNA(vlookup(B261,'Special Names'!A:B,2,FALSE),B261),PlayerValues!E:E,0)),"N/A")</f>
        <v>16432</v>
      </c>
      <c r="B261" s="4" t="s">
        <v>620</v>
      </c>
      <c r="C261" s="4" t="s">
        <v>278</v>
      </c>
      <c r="D261" s="94">
        <v>2086.0</v>
      </c>
    </row>
    <row r="262">
      <c r="A262" s="40">
        <f t="array" ref="A262">IFNA(index(PlayerValues!A:A,match(IFNA(vlookup(B262,'Special Names'!A:B,2,FALSE),B262),PlayerValues!E:E,0)),"N/A")</f>
        <v>17076</v>
      </c>
      <c r="B262" s="4" t="s">
        <v>585</v>
      </c>
      <c r="C262" s="4" t="s">
        <v>287</v>
      </c>
      <c r="D262" s="94">
        <v>2086.0</v>
      </c>
    </row>
    <row r="263">
      <c r="A263" s="40">
        <f t="array" ref="A263">IFNA(index(PlayerValues!A:A,match(IFNA(vlookup(B263,'Special Names'!A:B,2,FALSE),B263),PlayerValues!E:E,0)),"N/A")</f>
        <v>17055</v>
      </c>
      <c r="B263" s="4" t="s">
        <v>565</v>
      </c>
      <c r="C263" s="4" t="s">
        <v>278</v>
      </c>
      <c r="D263" s="94">
        <v>2082.0</v>
      </c>
    </row>
    <row r="264">
      <c r="A264" s="40">
        <f t="array" ref="A264">IFNA(index(PlayerValues!A:A,match(IFNA(vlookup(B264,'Special Names'!A:B,2,FALSE),B264),PlayerValues!E:E,0)),"N/A")</f>
        <v>17087</v>
      </c>
      <c r="B264" s="4" t="s">
        <v>600</v>
      </c>
      <c r="C264" s="4" t="s">
        <v>287</v>
      </c>
      <c r="D264" s="94">
        <v>2082.0</v>
      </c>
    </row>
    <row r="265">
      <c r="A265" s="40" t="str">
        <f t="array" ref="A265">IFNA(index(PlayerValues!A:A,match(IFNA(vlookup(B265,'Special Names'!A:B,2,FALSE),B265),PlayerValues!E:E,0)),"N/A")</f>
        <v>N/A</v>
      </c>
      <c r="B265" s="4" t="s">
        <v>113</v>
      </c>
      <c r="C265" s="4" t="s">
        <v>325</v>
      </c>
      <c r="D265" s="94">
        <v>2076.0</v>
      </c>
    </row>
    <row r="266">
      <c r="A266" s="40">
        <f t="array" ref="A266">IFNA(index(PlayerValues!A:A,match(IFNA(vlookup(B266,'Special Names'!A:B,2,FALSE),B266),PlayerValues!E:E,0)),"N/A")</f>
        <v>13633</v>
      </c>
      <c r="B266" s="4" t="s">
        <v>625</v>
      </c>
      <c r="C266" s="4" t="s">
        <v>287</v>
      </c>
      <c r="D266" s="94">
        <v>2066.0</v>
      </c>
    </row>
    <row r="267">
      <c r="A267" s="40">
        <f t="array" ref="A267">IFNA(index(PlayerValues!A:A,match(IFNA(vlookup(B267,'Special Names'!A:B,2,FALSE),B267),PlayerValues!E:E,0)),"N/A")</f>
        <v>17061</v>
      </c>
      <c r="B267" s="4" t="s">
        <v>580</v>
      </c>
      <c r="C267" s="4" t="s">
        <v>278</v>
      </c>
      <c r="D267" s="94">
        <v>2065.0</v>
      </c>
    </row>
    <row r="268">
      <c r="A268" s="40">
        <f t="array" ref="A268">IFNA(index(PlayerValues!A:A,match(IFNA(vlookup(B268,'Special Names'!A:B,2,FALSE),B268),PlayerValues!E:E,0)),"N/A")</f>
        <v>15293</v>
      </c>
      <c r="B268" s="4" t="s">
        <v>578</v>
      </c>
      <c r="C268" s="4" t="s">
        <v>287</v>
      </c>
      <c r="D268" s="94">
        <v>2061.0</v>
      </c>
    </row>
    <row r="269">
      <c r="A269" s="40">
        <f t="array" ref="A269">IFNA(index(PlayerValues!A:A,match(IFNA(vlookup(B269,'Special Names'!A:B,2,FALSE),B269),PlayerValues!E:E,0)),"N/A")</f>
        <v>16639</v>
      </c>
      <c r="B269" s="4" t="s">
        <v>599</v>
      </c>
      <c r="C269" s="4" t="s">
        <v>287</v>
      </c>
      <c r="D269" s="94">
        <v>2051.0</v>
      </c>
    </row>
    <row r="270">
      <c r="A270" s="40">
        <f t="array" ref="A270">IFNA(index(PlayerValues!A:A,match(IFNA(vlookup(B270,'Special Names'!A:B,2,FALSE),B270),PlayerValues!E:E,0)),"N/A")</f>
        <v>13132</v>
      </c>
      <c r="B270" s="4" t="s">
        <v>598</v>
      </c>
      <c r="C270" s="4" t="s">
        <v>278</v>
      </c>
      <c r="D270" s="94">
        <v>2045.0</v>
      </c>
    </row>
    <row r="271">
      <c r="A271" s="40">
        <f t="array" ref="A271">IFNA(index(PlayerValues!A:A,match(IFNA(vlookup(B271,'Special Names'!A:B,2,FALSE),B271),PlayerValues!E:E,0)),"N/A")</f>
        <v>14867</v>
      </c>
      <c r="B271" s="4" t="s">
        <v>591</v>
      </c>
      <c r="C271" s="4" t="s">
        <v>298</v>
      </c>
      <c r="D271" s="94">
        <v>2433.0</v>
      </c>
    </row>
    <row r="272">
      <c r="A272" s="40">
        <f t="array" ref="A272">IFNA(index(PlayerValues!A:A,match(IFNA(vlookup(B272,'Special Names'!A:B,2,FALSE),B272),PlayerValues!E:E,0)),"N/A")</f>
        <v>17060</v>
      </c>
      <c r="B272" s="4" t="s">
        <v>603</v>
      </c>
      <c r="C272" s="4" t="s">
        <v>278</v>
      </c>
      <c r="D272" s="94">
        <v>2043.0</v>
      </c>
    </row>
    <row r="273">
      <c r="A273" s="40">
        <f t="array" ref="A273">IFNA(index(PlayerValues!A:A,match(IFNA(vlookup(B273,'Special Names'!A:B,2,FALSE),B273),PlayerValues!E:E,0)),"N/A")</f>
        <v>17069</v>
      </c>
      <c r="B273" s="4" t="s">
        <v>604</v>
      </c>
      <c r="C273" s="4" t="s">
        <v>278</v>
      </c>
      <c r="D273" s="94">
        <v>2039.0</v>
      </c>
    </row>
    <row r="274">
      <c r="A274" s="40">
        <f t="array" ref="A274">IFNA(index(PlayerValues!A:A,match(IFNA(vlookup(B274,'Special Names'!A:B,2,FALSE),B274),PlayerValues!E:E,0)),"N/A")</f>
        <v>16342</v>
      </c>
      <c r="B274" s="4" t="s">
        <v>583</v>
      </c>
      <c r="C274" s="4" t="s">
        <v>287</v>
      </c>
      <c r="D274" s="94">
        <v>2031.0</v>
      </c>
    </row>
    <row r="275">
      <c r="A275" s="40" t="str">
        <f t="array" ref="A275">IFNA(index(PlayerValues!A:A,match(IFNA(vlookup(B275,'Special Names'!A:B,2,FALSE),B275),PlayerValues!E:E,0)),"N/A")</f>
        <v>N/A</v>
      </c>
      <c r="B275" s="4" t="s">
        <v>88</v>
      </c>
      <c r="C275" s="4" t="s">
        <v>325</v>
      </c>
      <c r="D275" s="94">
        <v>2023.0</v>
      </c>
    </row>
    <row r="276">
      <c r="A276" s="40">
        <f t="array" ref="A276">IFNA(index(PlayerValues!A:A,match(IFNA(vlookup(B276,'Special Names'!A:B,2,FALSE),B276),PlayerValues!E:E,0)),"N/A")</f>
        <v>14871</v>
      </c>
      <c r="B276" s="4" t="s">
        <v>584</v>
      </c>
      <c r="C276" s="4" t="s">
        <v>298</v>
      </c>
      <c r="D276" s="94">
        <v>2400.0</v>
      </c>
    </row>
    <row r="277">
      <c r="A277" s="40">
        <f t="array" ref="A277">IFNA(index(PlayerValues!A:A,match(IFNA(vlookup(B277,'Special Names'!A:B,2,FALSE),B277),PlayerValues!E:E,0)),"N/A")</f>
        <v>13146</v>
      </c>
      <c r="B277" s="4" t="s">
        <v>652</v>
      </c>
      <c r="C277" s="4" t="s">
        <v>278</v>
      </c>
      <c r="D277" s="94">
        <v>1984.0</v>
      </c>
    </row>
    <row r="278">
      <c r="A278" s="40">
        <f t="array" ref="A278">IFNA(index(PlayerValues!A:A,match(IFNA(vlookup(B278,'Special Names'!A:B,2,FALSE),B278),PlayerValues!E:E,0)),"N/A")</f>
        <v>10700</v>
      </c>
      <c r="B278" s="4" t="s">
        <v>596</v>
      </c>
      <c r="C278" s="4" t="s">
        <v>283</v>
      </c>
      <c r="D278" s="94">
        <v>1981.0</v>
      </c>
    </row>
    <row r="279">
      <c r="A279" s="40">
        <f t="array" ref="A279">IFNA(index(PlayerValues!A:A,match(IFNA(vlookup(B279,'Special Names'!A:B,2,FALSE),B279),PlayerValues!E:E,0)),"N/A")</f>
        <v>16191</v>
      </c>
      <c r="B279" s="4" t="s">
        <v>666</v>
      </c>
      <c r="C279" s="4" t="s">
        <v>287</v>
      </c>
      <c r="D279" s="94">
        <v>1980.0</v>
      </c>
    </row>
    <row r="280">
      <c r="A280" s="40">
        <f t="array" ref="A280">IFNA(index(PlayerValues!A:A,match(IFNA(vlookup(B280,'Special Names'!A:B,2,FALSE),B280),PlayerValues!E:E,0)),"N/A")</f>
        <v>17036</v>
      </c>
      <c r="B280" s="4" t="s">
        <v>617</v>
      </c>
      <c r="C280" s="4" t="s">
        <v>283</v>
      </c>
      <c r="D280" s="94">
        <v>1971.0</v>
      </c>
    </row>
    <row r="281">
      <c r="A281" s="40">
        <f t="array" ref="A281">IFNA(index(PlayerValues!A:A,match(IFNA(vlookup(B281,'Special Names'!A:B,2,FALSE),B281),PlayerValues!E:E,0)),"N/A")</f>
        <v>16171</v>
      </c>
      <c r="B281" s="4" t="s">
        <v>618</v>
      </c>
      <c r="C281" s="4" t="s">
        <v>278</v>
      </c>
      <c r="D281" s="94">
        <v>1957.0</v>
      </c>
    </row>
    <row r="282">
      <c r="A282" s="40">
        <f t="array" ref="A282">IFNA(index(PlayerValues!A:A,match(IFNA(vlookup(B282,'Special Names'!A:B,2,FALSE),B282),PlayerValues!E:E,0)),"N/A")</f>
        <v>16603</v>
      </c>
      <c r="B282" s="4" t="s">
        <v>587</v>
      </c>
      <c r="C282" s="4" t="s">
        <v>278</v>
      </c>
      <c r="D282" s="94">
        <v>1954.0</v>
      </c>
    </row>
    <row r="283">
      <c r="A283" s="40">
        <f t="array" ref="A283">IFNA(index(PlayerValues!A:A,match(IFNA(vlookup(B283,'Special Names'!A:B,2,FALSE),B283),PlayerValues!E:E,0)),"N/A")</f>
        <v>13629</v>
      </c>
      <c r="B283" s="4" t="s">
        <v>619</v>
      </c>
      <c r="C283" s="4" t="s">
        <v>287</v>
      </c>
      <c r="D283" s="94">
        <v>1952.0</v>
      </c>
    </row>
    <row r="284">
      <c r="A284" s="40">
        <f t="array" ref="A284">IFNA(index(PlayerValues!A:A,match(IFNA(vlookup(B284,'Special Names'!A:B,2,FALSE),B284),PlayerValues!E:E,0)),"N/A")</f>
        <v>17184</v>
      </c>
      <c r="B284" s="4" t="s">
        <v>588</v>
      </c>
      <c r="C284" s="4" t="s">
        <v>287</v>
      </c>
      <c r="D284" s="94">
        <v>1936.0</v>
      </c>
    </row>
    <row r="285">
      <c r="A285" s="40">
        <f t="array" ref="A285">IFNA(index(PlayerValues!A:A,match(IFNA(vlookup(B285,'Special Names'!A:B,2,FALSE),B285),PlayerValues!E:E,0)),"N/A")</f>
        <v>16216</v>
      </c>
      <c r="B285" s="4" t="s">
        <v>595</v>
      </c>
      <c r="C285" s="4" t="s">
        <v>298</v>
      </c>
      <c r="D285" s="94">
        <v>2304.0</v>
      </c>
    </row>
    <row r="286">
      <c r="A286" s="40">
        <f t="array" ref="A286">IFNA(index(PlayerValues!A:A,match(IFNA(vlookup(B286,'Special Names'!A:B,2,FALSE),B286),PlayerValues!E:E,0)),"N/A")</f>
        <v>13189</v>
      </c>
      <c r="B286" s="4" t="s">
        <v>626</v>
      </c>
      <c r="C286" s="4" t="s">
        <v>298</v>
      </c>
      <c r="D286" s="94">
        <v>2303.0</v>
      </c>
    </row>
    <row r="287">
      <c r="A287" s="40">
        <f t="array" ref="A287">IFNA(index(PlayerValues!A:A,match(IFNA(vlookup(B287,'Special Names'!A:B,2,FALSE),B287),PlayerValues!E:E,0)),"N/A")</f>
        <v>17049</v>
      </c>
      <c r="B287" s="4" t="s">
        <v>624</v>
      </c>
      <c r="C287" s="4" t="s">
        <v>278</v>
      </c>
      <c r="D287" s="94">
        <v>1907.0</v>
      </c>
    </row>
    <row r="288">
      <c r="A288" s="40">
        <f t="array" ref="A288">IFNA(index(PlayerValues!A:A,match(IFNA(vlookup(B288,'Special Names'!A:B,2,FALSE),B288),PlayerValues!E:E,0)),"N/A")</f>
        <v>13113</v>
      </c>
      <c r="B288" s="4" t="s">
        <v>606</v>
      </c>
      <c r="C288" s="4" t="s">
        <v>283</v>
      </c>
      <c r="D288" s="94">
        <v>1895.0</v>
      </c>
    </row>
    <row r="289">
      <c r="A289" s="40" t="str">
        <f t="array" ref="A289">IFNA(index(PlayerValues!A:A,match(IFNA(vlookup(B289,'Special Names'!A:B,2,FALSE),B289),PlayerValues!E:E,0)),"N/A")</f>
        <v>N/A</v>
      </c>
      <c r="B289" s="4" t="s">
        <v>101</v>
      </c>
      <c r="C289" s="4" t="s">
        <v>325</v>
      </c>
      <c r="D289" s="94">
        <v>1881.0</v>
      </c>
    </row>
    <row r="290">
      <c r="A290" s="40">
        <f t="array" ref="A290">IFNA(index(PlayerValues!A:A,match(IFNA(vlookup(B290,'Special Names'!A:B,2,FALSE),B290),PlayerValues!E:E,0)),"N/A")</f>
        <v>15254</v>
      </c>
      <c r="B290" s="4" t="s">
        <v>633</v>
      </c>
      <c r="C290" s="4" t="s">
        <v>278</v>
      </c>
      <c r="D290" s="94">
        <v>1877.0</v>
      </c>
    </row>
    <row r="291">
      <c r="A291" s="40">
        <f t="array" ref="A291">IFNA(index(PlayerValues!A:A,match(IFNA(vlookup(B291,'Special Names'!A:B,2,FALSE),B291),PlayerValues!E:E,0)),"N/A")</f>
        <v>16604</v>
      </c>
      <c r="B291" s="4" t="s">
        <v>476</v>
      </c>
      <c r="C291" s="4" t="s">
        <v>278</v>
      </c>
      <c r="D291" s="94">
        <v>1857.0</v>
      </c>
    </row>
    <row r="292">
      <c r="A292" s="40">
        <f t="array" ref="A292">IFNA(index(PlayerValues!A:A,match(IFNA(vlookup(B292,'Special Names'!A:B,2,FALSE),B292),PlayerValues!E:E,0)),"N/A")</f>
        <v>17034</v>
      </c>
      <c r="B292" s="4" t="s">
        <v>643</v>
      </c>
      <c r="C292" s="4" t="s">
        <v>283</v>
      </c>
      <c r="D292" s="94">
        <v>1851.0</v>
      </c>
    </row>
    <row r="293">
      <c r="A293" s="40">
        <f t="array" ref="A293">IFNA(index(PlayerValues!A:A,match(IFNA(vlookup(B293,'Special Names'!A:B,2,FALSE),B293),PlayerValues!E:E,0)),"N/A")</f>
        <v>16644</v>
      </c>
      <c r="B293" s="4" t="s">
        <v>640</v>
      </c>
      <c r="C293" s="4" t="s">
        <v>298</v>
      </c>
      <c r="D293" s="94">
        <v>2230.0</v>
      </c>
    </row>
    <row r="294">
      <c r="A294" s="40">
        <f t="array" ref="A294">IFNA(index(PlayerValues!A:A,match(IFNA(vlookup(B294,'Special Names'!A:B,2,FALSE),B294),PlayerValues!E:E,0)),"N/A")</f>
        <v>17547</v>
      </c>
      <c r="B294" s="4" t="s">
        <v>552</v>
      </c>
      <c r="C294" s="4" t="s">
        <v>298</v>
      </c>
      <c r="D294" s="94">
        <v>2217.0</v>
      </c>
    </row>
    <row r="295">
      <c r="A295" s="40">
        <f t="array" ref="A295">IFNA(index(PlayerValues!A:A,match(IFNA(vlookup(B295,'Special Names'!A:B,2,FALSE),B295),PlayerValues!E:E,0)),"N/A")</f>
        <v>16215</v>
      </c>
      <c r="B295" s="4" t="s">
        <v>637</v>
      </c>
      <c r="C295" s="4" t="s">
        <v>298</v>
      </c>
      <c r="D295" s="94">
        <v>2216.0</v>
      </c>
    </row>
    <row r="296">
      <c r="A296" s="40" t="str">
        <f t="array" ref="A296">IFNA(index(PlayerValues!A:A,match(IFNA(vlookup(B296,'Special Names'!A:B,2,FALSE),B296),PlayerValues!E:E,0)),"N/A")</f>
        <v>N/A</v>
      </c>
      <c r="B296" s="4" t="s">
        <v>114</v>
      </c>
      <c r="C296" s="4" t="s">
        <v>325</v>
      </c>
      <c r="D296" s="94">
        <v>1832.0</v>
      </c>
    </row>
    <row r="297">
      <c r="A297" s="40">
        <f t="array" ref="A297">IFNA(index(PlayerValues!A:A,match(IFNA(vlookup(B297,'Special Names'!A:B,2,FALSE),B297),PlayerValues!E:E,0)),"N/A")</f>
        <v>15787</v>
      </c>
      <c r="B297" s="4" t="s">
        <v>610</v>
      </c>
      <c r="C297" s="4" t="s">
        <v>287</v>
      </c>
      <c r="D297" s="94">
        <v>1831.0</v>
      </c>
    </row>
    <row r="298">
      <c r="A298" s="40">
        <f t="array" ref="A298">IFNA(index(PlayerValues!A:A,match(IFNA(vlookup(B298,'Special Names'!A:B,2,FALSE),B298),PlayerValues!E:E,0)),"N/A")</f>
        <v>15788</v>
      </c>
      <c r="B298" s="4" t="s">
        <v>627</v>
      </c>
      <c r="C298" s="4" t="s">
        <v>287</v>
      </c>
      <c r="D298" s="94">
        <v>1826.0</v>
      </c>
    </row>
    <row r="299">
      <c r="A299" s="40">
        <f t="array" ref="A299">IFNA(index(PlayerValues!A:A,match(IFNA(vlookup(B299,'Special Names'!A:B,2,FALSE),B299),PlayerValues!E:E,0)),"N/A")</f>
        <v>17086</v>
      </c>
      <c r="B299" s="4" t="s">
        <v>612</v>
      </c>
      <c r="C299" s="4" t="s">
        <v>287</v>
      </c>
      <c r="D299" s="94">
        <v>1820.0</v>
      </c>
    </row>
    <row r="300">
      <c r="A300" s="40">
        <f t="array" ref="A300">IFNA(index(PlayerValues!A:A,match(IFNA(vlookup(B300,'Special Names'!A:B,2,FALSE),B300),PlayerValues!E:E,0)),"N/A")</f>
        <v>17035</v>
      </c>
      <c r="B300" s="4" t="s">
        <v>650</v>
      </c>
      <c r="C300" s="4" t="s">
        <v>283</v>
      </c>
      <c r="D300" s="94">
        <v>1811.0</v>
      </c>
    </row>
    <row r="301">
      <c r="A301" s="40">
        <f t="array" ref="A301">IFNA(index(PlayerValues!A:A,match(IFNA(vlookup(B301,'Special Names'!A:B,2,FALSE),B301),PlayerValues!E:E,0)),"N/A")</f>
        <v>16752</v>
      </c>
      <c r="B301" s="4" t="s">
        <v>597</v>
      </c>
      <c r="C301" s="4" t="s">
        <v>278</v>
      </c>
      <c r="D301" s="94">
        <v>1809.0</v>
      </c>
    </row>
    <row r="302">
      <c r="A302" s="40">
        <f t="array" ref="A302">IFNA(index(PlayerValues!A:A,match(IFNA(vlookup(B302,'Special Names'!A:B,2,FALSE),B302),PlayerValues!E:E,0)),"N/A")</f>
        <v>13164</v>
      </c>
      <c r="B302" s="4" t="s">
        <v>632</v>
      </c>
      <c r="C302" s="4" t="s">
        <v>287</v>
      </c>
      <c r="D302" s="94">
        <v>1808.0</v>
      </c>
    </row>
    <row r="303">
      <c r="A303" s="40">
        <f t="array" ref="A303">IFNA(index(PlayerValues!A:A,match(IFNA(vlookup(B303,'Special Names'!A:B,2,FALSE),B303),PlayerValues!E:E,0)),"N/A")</f>
        <v>14105</v>
      </c>
      <c r="B303" s="4" t="s">
        <v>675</v>
      </c>
      <c r="C303" s="4" t="s">
        <v>287</v>
      </c>
      <c r="D303" s="94">
        <v>1800.0</v>
      </c>
    </row>
    <row r="304">
      <c r="A304" s="40">
        <f t="array" ref="A304">IFNA(index(PlayerValues!A:A,match(IFNA(vlookup(B304,'Special Names'!A:B,2,FALSE),B304),PlayerValues!E:E,0)),"N/A")</f>
        <v>7836</v>
      </c>
      <c r="B304" s="4" t="s">
        <v>590</v>
      </c>
      <c r="C304" s="4" t="s">
        <v>283</v>
      </c>
      <c r="D304" s="94">
        <v>1794.0</v>
      </c>
    </row>
    <row r="305">
      <c r="A305" s="40">
        <f t="array" ref="A305">IFNA(index(PlayerValues!A:A,match(IFNA(vlookup(B305,'Special Names'!A:B,2,FALSE),B305),PlayerValues!E:E,0)),"N/A")</f>
        <v>16201</v>
      </c>
      <c r="B305" s="4" t="s">
        <v>589</v>
      </c>
      <c r="C305" s="4" t="s">
        <v>287</v>
      </c>
      <c r="D305" s="94">
        <v>1781.0</v>
      </c>
    </row>
    <row r="306">
      <c r="A306" s="40">
        <f t="array" ref="A306">IFNA(index(PlayerValues!A:A,match(IFNA(vlookup(B306,'Special Names'!A:B,2,FALSE),B306),PlayerValues!E:E,0)),"N/A")</f>
        <v>17465</v>
      </c>
      <c r="B306" s="4" t="s">
        <v>649</v>
      </c>
      <c r="C306" s="4" t="s">
        <v>283</v>
      </c>
      <c r="D306" s="94">
        <v>1768.0</v>
      </c>
    </row>
    <row r="307">
      <c r="A307" s="40">
        <f t="array" ref="A307">IFNA(index(PlayerValues!A:A,match(IFNA(vlookup(B307,'Special Names'!A:B,2,FALSE),B307),PlayerValues!E:E,0)),"N/A")</f>
        <v>14143</v>
      </c>
      <c r="B307" s="4" t="s">
        <v>635</v>
      </c>
      <c r="C307" s="4" t="s">
        <v>298</v>
      </c>
      <c r="D307" s="94">
        <v>2146.0</v>
      </c>
    </row>
    <row r="308">
      <c r="A308" s="40">
        <f t="array" ref="A308">IFNA(index(PlayerValues!A:A,match(IFNA(vlookup(B308,'Special Names'!A:B,2,FALSE),B308),PlayerValues!E:E,0)),"N/A")</f>
        <v>17096</v>
      </c>
      <c r="B308" s="4" t="s">
        <v>638</v>
      </c>
      <c r="C308" s="4" t="s">
        <v>287</v>
      </c>
      <c r="D308" s="94">
        <v>1759.0</v>
      </c>
    </row>
    <row r="309">
      <c r="A309" s="40">
        <f t="array" ref="A309">IFNA(index(PlayerValues!A:A,match(IFNA(vlookup(B309,'Special Names'!A:B,2,FALSE),B309),PlayerValues!E:E,0)),"N/A")</f>
        <v>16778</v>
      </c>
      <c r="B309" s="4" t="s">
        <v>577</v>
      </c>
      <c r="C309" s="4" t="s">
        <v>287</v>
      </c>
      <c r="D309" s="94">
        <v>1752.0</v>
      </c>
    </row>
    <row r="310">
      <c r="A310" s="40">
        <f t="array" ref="A310">IFNA(index(PlayerValues!A:A,match(IFNA(vlookup(B310,'Special Names'!A:B,2,FALSE),B310),PlayerValues!E:E,0)),"N/A")</f>
        <v>17520</v>
      </c>
      <c r="B310" s="4" t="s">
        <v>518</v>
      </c>
      <c r="C310" s="4" t="s">
        <v>287</v>
      </c>
      <c r="D310" s="94">
        <v>1739.0</v>
      </c>
    </row>
    <row r="311">
      <c r="A311" s="40">
        <f t="array" ref="A311">IFNA(index(PlayerValues!A:A,match(IFNA(vlookup(B311,'Special Names'!A:B,2,FALSE),B311),PlayerValues!E:E,0)),"N/A")</f>
        <v>16635</v>
      </c>
      <c r="B311" s="4" t="s">
        <v>645</v>
      </c>
      <c r="C311" s="4" t="s">
        <v>287</v>
      </c>
      <c r="D311" s="94">
        <v>1734.0</v>
      </c>
    </row>
    <row r="312">
      <c r="A312" s="40">
        <f t="array" ref="A312">IFNA(index(PlayerValues!A:A,match(IFNA(vlookup(B312,'Special Names'!A:B,2,FALSE),B312),PlayerValues!E:E,0)),"N/A")</f>
        <v>15755</v>
      </c>
      <c r="B312" s="4" t="s">
        <v>628</v>
      </c>
      <c r="C312" s="4" t="s">
        <v>287</v>
      </c>
      <c r="D312" s="94">
        <v>1729.0</v>
      </c>
    </row>
    <row r="313">
      <c r="A313" s="40" t="str">
        <f t="array" ref="A313">IFNA(index(PlayerValues!A:A,match(IFNA(vlookup(B313,'Special Names'!A:B,2,FALSE),B313),PlayerValues!E:E,0)),"N/A")</f>
        <v>N/A</v>
      </c>
      <c r="B313" s="4" t="s">
        <v>89</v>
      </c>
      <c r="C313" s="4" t="s">
        <v>325</v>
      </c>
      <c r="D313" s="94">
        <v>1720.0</v>
      </c>
    </row>
    <row r="314">
      <c r="A314" s="40">
        <f t="array" ref="A314">IFNA(index(PlayerValues!A:A,match(IFNA(vlookup(B314,'Special Names'!A:B,2,FALSE),B314),PlayerValues!E:E,0)),"N/A")</f>
        <v>16586</v>
      </c>
      <c r="B314" s="4" t="s">
        <v>658</v>
      </c>
      <c r="C314" s="4" t="s">
        <v>283</v>
      </c>
      <c r="D314" s="94">
        <v>1717.0</v>
      </c>
    </row>
    <row r="315">
      <c r="A315" s="40">
        <f t="array" ref="A315">IFNA(index(PlayerValues!A:A,match(IFNA(vlookup(B315,'Special Names'!A:B,2,FALSE),B315),PlayerValues!E:E,0)),"N/A")</f>
        <v>15301</v>
      </c>
      <c r="B315" s="4" t="s">
        <v>657</v>
      </c>
      <c r="C315" s="4" t="s">
        <v>287</v>
      </c>
      <c r="D315" s="94">
        <v>1709.0</v>
      </c>
    </row>
    <row r="316">
      <c r="A316" s="40">
        <f t="array" ref="A316">IFNA(index(PlayerValues!A:A,match(IFNA(vlookup(B316,'Special Names'!A:B,2,FALSE),B316),PlayerValues!E:E,0)),"N/A")</f>
        <v>15797</v>
      </c>
      <c r="B316" s="4" t="s">
        <v>556</v>
      </c>
      <c r="C316" s="4" t="s">
        <v>298</v>
      </c>
      <c r="D316" s="94">
        <v>2087.0</v>
      </c>
    </row>
    <row r="317">
      <c r="A317" s="40" t="str">
        <f t="array" ref="A317">IFNA(index(PlayerValues!A:A,match(IFNA(vlookup(B317,'Special Names'!A:B,2,FALSE),B317),PlayerValues!E:E,0)),"N/A")</f>
        <v>N/A</v>
      </c>
      <c r="B317" s="4" t="s">
        <v>102</v>
      </c>
      <c r="C317" s="4" t="s">
        <v>325</v>
      </c>
      <c r="D317" s="94">
        <v>1689.0</v>
      </c>
    </row>
    <row r="318">
      <c r="A318" s="40">
        <f t="array" ref="A318">IFNA(index(PlayerValues!A:A,match(IFNA(vlookup(B318,'Special Names'!A:B,2,FALSE),B318),PlayerValues!E:E,0)),"N/A")</f>
        <v>16585</v>
      </c>
      <c r="B318" s="4" t="s">
        <v>623</v>
      </c>
      <c r="C318" s="4" t="s">
        <v>283</v>
      </c>
      <c r="D318" s="94">
        <v>1687.0</v>
      </c>
    </row>
    <row r="319">
      <c r="A319" s="40" t="str">
        <f t="array" ref="A319">IFNA(index(PlayerValues!A:A,match(IFNA(vlookup(B319,'Special Names'!A:B,2,FALSE),B319),PlayerValues!E:E,0)),"N/A")</f>
        <v>N/A</v>
      </c>
      <c r="B319" s="4" t="s">
        <v>115</v>
      </c>
      <c r="C319" s="4" t="s">
        <v>325</v>
      </c>
      <c r="D319" s="94">
        <v>1672.0</v>
      </c>
    </row>
    <row r="320">
      <c r="A320" s="40">
        <f t="array" ref="A320">IFNA(index(PlayerValues!A:A,match(IFNA(vlookup(B320,'Special Names'!A:B,2,FALSE),B320),PlayerValues!E:E,0)),"N/A")</f>
        <v>17064</v>
      </c>
      <c r="B320" s="4" t="s">
        <v>631</v>
      </c>
      <c r="C320" s="4" t="s">
        <v>278</v>
      </c>
      <c r="D320" s="94">
        <v>1671.0</v>
      </c>
    </row>
    <row r="321">
      <c r="A321" s="40" t="str">
        <f t="array" ref="A321">IFNA(index(PlayerValues!A:A,match(IFNA(vlookup(B321,'Special Names'!A:B,2,FALSE),B321),PlayerValues!E:E,0)),"N/A")</f>
        <v>N/A</v>
      </c>
      <c r="B321" s="4" t="s">
        <v>103</v>
      </c>
      <c r="C321" s="4" t="s">
        <v>325</v>
      </c>
      <c r="D321" s="94">
        <v>1669.0</v>
      </c>
    </row>
    <row r="322">
      <c r="A322" s="40">
        <f t="array" ref="A322">IFNA(index(PlayerValues!A:A,match(IFNA(vlookup(B322,'Special Names'!A:B,2,FALSE),B322),PlayerValues!E:E,0)),"N/A")</f>
        <v>16629</v>
      </c>
      <c r="B322" s="4" t="s">
        <v>605</v>
      </c>
      <c r="C322" s="4" t="s">
        <v>287</v>
      </c>
      <c r="D322" s="94">
        <v>1661.0</v>
      </c>
    </row>
    <row r="323">
      <c r="A323" s="40">
        <f t="array" ref="A323">IFNA(index(PlayerValues!A:A,match(IFNA(vlookup(B323,'Special Names'!A:B,2,FALSE),B323),PlayerValues!E:E,0)),"N/A")</f>
        <v>16788</v>
      </c>
      <c r="B323" s="4" t="s">
        <v>621</v>
      </c>
      <c r="C323" s="4" t="s">
        <v>287</v>
      </c>
      <c r="D323" s="94">
        <v>1656.0</v>
      </c>
    </row>
    <row r="324">
      <c r="A324" s="40">
        <f t="array" ref="A324">IFNA(index(PlayerValues!A:A,match(IFNA(vlookup(B324,'Special Names'!A:B,2,FALSE),B324),PlayerValues!E:E,0)),"N/A")</f>
        <v>16601</v>
      </c>
      <c r="B324" s="4" t="s">
        <v>648</v>
      </c>
      <c r="C324" s="4" t="s">
        <v>278</v>
      </c>
      <c r="D324" s="94">
        <v>1652.0</v>
      </c>
    </row>
    <row r="325">
      <c r="A325" s="40">
        <f t="array" ref="A325">IFNA(index(PlayerValues!A:A,match(IFNA(vlookup(B325,'Special Names'!A:B,2,FALSE),B325),PlayerValues!E:E,0)),"N/A")</f>
        <v>16207</v>
      </c>
      <c r="B325" s="4" t="s">
        <v>636</v>
      </c>
      <c r="C325" s="4" t="s">
        <v>287</v>
      </c>
      <c r="D325" s="94">
        <v>1650.0</v>
      </c>
    </row>
    <row r="326">
      <c r="A326" s="40">
        <f t="array" ref="A326">IFNA(index(PlayerValues!A:A,match(IFNA(vlookup(B326,'Special Names'!A:B,2,FALSE),B326),PlayerValues!E:E,0)),"N/A")</f>
        <v>17058</v>
      </c>
      <c r="B326" s="4" t="s">
        <v>641</v>
      </c>
      <c r="C326" s="4" t="s">
        <v>278</v>
      </c>
      <c r="D326" s="94">
        <v>1649.0</v>
      </c>
    </row>
    <row r="327">
      <c r="A327" s="40">
        <f t="array" ref="A327">IFNA(index(PlayerValues!A:A,match(IFNA(vlookup(B327,'Special Names'!A:B,2,FALSE),B327),PlayerValues!E:E,0)),"N/A")</f>
        <v>15759</v>
      </c>
      <c r="B327" s="4" t="s">
        <v>662</v>
      </c>
      <c r="C327" s="4" t="s">
        <v>287</v>
      </c>
      <c r="D327" s="94">
        <v>1641.0</v>
      </c>
    </row>
    <row r="328">
      <c r="A328" s="40">
        <f t="array" ref="A328">IFNA(index(PlayerValues!A:A,match(IFNA(vlookup(B328,'Special Names'!A:B,2,FALSE),B328),PlayerValues!E:E,0)),"N/A")</f>
        <v>15319</v>
      </c>
      <c r="B328" s="4" t="s">
        <v>644</v>
      </c>
      <c r="C328" s="4" t="s">
        <v>287</v>
      </c>
      <c r="D328" s="94">
        <v>1637.0</v>
      </c>
    </row>
    <row r="329">
      <c r="A329" s="40">
        <f t="array" ref="A329">IFNA(index(PlayerValues!A:A,match(IFNA(vlookup(B329,'Special Names'!A:B,2,FALSE),B329),PlayerValues!E:E,0)),"N/A")</f>
        <v>16595</v>
      </c>
      <c r="B329" s="4" t="s">
        <v>664</v>
      </c>
      <c r="C329" s="4" t="s">
        <v>278</v>
      </c>
      <c r="D329" s="94">
        <v>1634.0</v>
      </c>
    </row>
    <row r="330">
      <c r="A330" s="40">
        <f t="array" ref="A330">IFNA(index(PlayerValues!A:A,match(IFNA(vlookup(B330,'Special Names'!A:B,2,FALSE),B330),PlayerValues!E:E,0)),"N/A")</f>
        <v>15337</v>
      </c>
      <c r="B330" s="4" t="s">
        <v>655</v>
      </c>
      <c r="C330" s="4" t="s">
        <v>298</v>
      </c>
      <c r="D330" s="94">
        <v>2000.0</v>
      </c>
    </row>
    <row r="331">
      <c r="A331" s="40" t="str">
        <f t="array" ref="A331">IFNA(index(PlayerValues!A:A,match(IFNA(vlookup(B331,'Special Names'!A:B,2,FALSE),B331),PlayerValues!E:E,0)),"N/A")</f>
        <v>N/A</v>
      </c>
      <c r="B331" s="4" t="s">
        <v>90</v>
      </c>
      <c r="C331" s="4" t="s">
        <v>325</v>
      </c>
      <c r="D331" s="94">
        <v>1600.0</v>
      </c>
    </row>
    <row r="332">
      <c r="A332" s="40">
        <f t="array" ref="A332">IFNA(index(PlayerValues!A:A,match(IFNA(vlookup(B332,'Special Names'!A:B,2,FALSE),B332),PlayerValues!E:E,0)),"N/A")</f>
        <v>17205</v>
      </c>
      <c r="B332" s="4" t="s">
        <v>665</v>
      </c>
      <c r="C332" s="4" t="s">
        <v>287</v>
      </c>
      <c r="D332" s="94">
        <v>1590.0</v>
      </c>
    </row>
    <row r="333">
      <c r="A333" s="40">
        <f t="array" ref="A333">IFNA(index(PlayerValues!A:A,match(IFNA(vlookup(B333,'Special Names'!A:B,2,FALSE),B333),PlayerValues!E:E,0)),"N/A")</f>
        <v>15752</v>
      </c>
      <c r="B333" s="4" t="s">
        <v>647</v>
      </c>
      <c r="C333" s="4" t="s">
        <v>287</v>
      </c>
      <c r="D333" s="94">
        <v>1588.0</v>
      </c>
    </row>
    <row r="334">
      <c r="A334" s="40">
        <f t="array" ref="A334">IFNA(index(PlayerValues!A:A,match(IFNA(vlookup(B334,'Special Names'!A:B,2,FALSE),B334),PlayerValues!E:E,0)),"N/A")</f>
        <v>16175</v>
      </c>
      <c r="B334" s="4" t="s">
        <v>654</v>
      </c>
      <c r="C334" s="4" t="s">
        <v>278</v>
      </c>
      <c r="D334" s="94">
        <v>1585.0</v>
      </c>
    </row>
    <row r="335">
      <c r="A335" s="40">
        <f t="array" ref="A335">IFNA(index(PlayerValues!A:A,match(IFNA(vlookup(B335,'Special Names'!A:B,2,FALSE),B335),PlayerValues!E:E,0)),"N/A")</f>
        <v>17234</v>
      </c>
      <c r="B335" s="4" t="s">
        <v>653</v>
      </c>
      <c r="C335" s="4" t="s">
        <v>287</v>
      </c>
      <c r="D335" s="94">
        <v>1581.0</v>
      </c>
    </row>
    <row r="336">
      <c r="A336" s="40">
        <f t="array" ref="A336">IFNA(index(PlayerValues!A:A,match(IFNA(vlookup(B336,'Special Names'!A:B,2,FALSE),B336),PlayerValues!E:E,0)),"N/A")</f>
        <v>16633</v>
      </c>
      <c r="B336" s="4" t="s">
        <v>656</v>
      </c>
      <c r="C336" s="4" t="s">
        <v>287</v>
      </c>
      <c r="D336" s="94">
        <v>1580.0</v>
      </c>
    </row>
    <row r="337">
      <c r="A337" s="40">
        <f t="array" ref="A337">IFNA(index(PlayerValues!A:A,match(IFNA(vlookup(B337,'Special Names'!A:B,2,FALSE),B337),PlayerValues!E:E,0)),"N/A")</f>
        <v>16688</v>
      </c>
      <c r="B337" s="4" t="s">
        <v>688</v>
      </c>
      <c r="C337" s="4" t="s">
        <v>278</v>
      </c>
      <c r="D337" s="94">
        <v>1570.0</v>
      </c>
    </row>
    <row r="338">
      <c r="A338" s="40">
        <f t="array" ref="A338">IFNA(index(PlayerValues!A:A,match(IFNA(vlookup(B338,'Special Names'!A:B,2,FALSE),B338),PlayerValues!E:E,0)),"N/A")</f>
        <v>11222</v>
      </c>
      <c r="B338" s="4" t="s">
        <v>622</v>
      </c>
      <c r="C338" s="4" t="s">
        <v>287</v>
      </c>
      <c r="D338" s="94">
        <v>1566.0</v>
      </c>
    </row>
    <row r="339">
      <c r="A339" s="40">
        <f t="array" ref="A339">IFNA(index(PlayerValues!A:A,match(IFNA(vlookup(B339,'Special Names'!A:B,2,FALSE),B339),PlayerValues!E:E,0)),"N/A")</f>
        <v>15777</v>
      </c>
      <c r="B339" s="4" t="s">
        <v>694</v>
      </c>
      <c r="C339" s="4" t="s">
        <v>287</v>
      </c>
      <c r="D339" s="94">
        <v>1550.0</v>
      </c>
    </row>
    <row r="340">
      <c r="A340" s="40">
        <f t="array" ref="A340">IFNA(index(PlayerValues!A:A,match(IFNA(vlookup(B340,'Special Names'!A:B,2,FALSE),B340),PlayerValues!E:E,0)),"N/A")</f>
        <v>15713</v>
      </c>
      <c r="B340" s="4" t="s">
        <v>732</v>
      </c>
      <c r="C340" s="4" t="s">
        <v>278</v>
      </c>
      <c r="D340" s="94">
        <v>1548.0</v>
      </c>
    </row>
    <row r="341">
      <c r="A341" s="40">
        <f t="array" ref="A341">IFNA(index(PlayerValues!A:A,match(IFNA(vlookup(B341,'Special Names'!A:B,2,FALSE),B341),PlayerValues!E:E,0)),"N/A")</f>
        <v>16149</v>
      </c>
      <c r="B341" s="4" t="s">
        <v>740</v>
      </c>
      <c r="C341" s="4" t="s">
        <v>283</v>
      </c>
      <c r="D341" s="94">
        <v>1542.0</v>
      </c>
    </row>
    <row r="342">
      <c r="A342" s="40">
        <f t="array" ref="A342">IFNA(index(PlayerValues!A:A,match(IFNA(vlookup(B342,'Special Names'!A:B,2,FALSE),B342),PlayerValues!E:E,0)),"N/A")</f>
        <v>16792</v>
      </c>
      <c r="B342" s="4" t="s">
        <v>704</v>
      </c>
      <c r="C342" s="4" t="s">
        <v>287</v>
      </c>
      <c r="D342" s="94">
        <v>1536.0</v>
      </c>
    </row>
    <row r="343">
      <c r="A343" s="40">
        <f t="array" ref="A343">IFNA(index(PlayerValues!A:A,match(IFNA(vlookup(B343,'Special Names'!A:B,2,FALSE),B343),PlayerValues!E:E,0)),"N/A")</f>
        <v>14122</v>
      </c>
      <c r="B343" s="4" t="s">
        <v>663</v>
      </c>
      <c r="C343" s="4" t="s">
        <v>287</v>
      </c>
      <c r="D343" s="94">
        <v>1526.0</v>
      </c>
    </row>
    <row r="344">
      <c r="A344" s="40" t="str">
        <f t="array" ref="A344">IFNA(index(PlayerValues!A:A,match(IFNA(vlookup(B344,'Special Names'!A:B,2,FALSE),B344),PlayerValues!E:E,0)),"N/A")</f>
        <v>N/A</v>
      </c>
      <c r="B344" s="4" t="s">
        <v>116</v>
      </c>
      <c r="C344" s="4" t="s">
        <v>325</v>
      </c>
      <c r="D344" s="94">
        <v>1521.0</v>
      </c>
    </row>
    <row r="345">
      <c r="A345" s="40" t="str">
        <f t="array" ref="A345">IFNA(index(PlayerValues!A:A,match(IFNA(vlookup(B345,'Special Names'!A:B,2,FALSE),B345),PlayerValues!E:E,0)),"N/A")</f>
        <v>N/A</v>
      </c>
      <c r="B345" s="4" t="s">
        <v>91</v>
      </c>
      <c r="C345" s="4" t="s">
        <v>325</v>
      </c>
      <c r="D345" s="94">
        <v>1518.0</v>
      </c>
    </row>
    <row r="346">
      <c r="A346" s="40">
        <f t="array" ref="A346">IFNA(index(PlayerValues!A:A,match(IFNA(vlookup(B346,'Special Names'!A:B,2,FALSE),B346),PlayerValues!E:E,0)),"N/A")</f>
        <v>17467</v>
      </c>
      <c r="B346" s="4" t="s">
        <v>575</v>
      </c>
      <c r="C346" s="4" t="s">
        <v>283</v>
      </c>
      <c r="D346" s="94">
        <v>1516.0</v>
      </c>
    </row>
    <row r="347">
      <c r="A347" s="40">
        <f t="array" ref="A347">IFNA(index(PlayerValues!A:A,match(IFNA(vlookup(B347,'Special Names'!A:B,2,FALSE),B347),PlayerValues!E:E,0)),"N/A")</f>
        <v>15873</v>
      </c>
      <c r="B347" s="4" t="s">
        <v>681</v>
      </c>
      <c r="C347" s="4" t="s">
        <v>298</v>
      </c>
      <c r="D347" s="94">
        <v>1871.0</v>
      </c>
    </row>
    <row r="348">
      <c r="A348" s="40">
        <f t="array" ref="A348">IFNA(index(PlayerValues!A:A,match(IFNA(vlookup(B348,'Special Names'!A:B,2,FALSE),B348),PlayerValues!E:E,0)),"N/A")</f>
        <v>16390</v>
      </c>
      <c r="B348" s="4" t="s">
        <v>689</v>
      </c>
      <c r="C348" s="4" t="s">
        <v>278</v>
      </c>
      <c r="D348" s="94">
        <v>1497.0</v>
      </c>
    </row>
    <row r="349">
      <c r="A349" s="40">
        <f t="array" ref="A349">IFNA(index(PlayerValues!A:A,match(IFNA(vlookup(B349,'Special Names'!A:B,2,FALSE),B349),PlayerValues!E:E,0)),"N/A")</f>
        <v>17037</v>
      </c>
      <c r="B349" s="4" t="s">
        <v>727</v>
      </c>
      <c r="C349" s="4" t="s">
        <v>283</v>
      </c>
      <c r="D349" s="94">
        <v>1497.0</v>
      </c>
    </row>
    <row r="350">
      <c r="A350" s="40">
        <f t="array" ref="A350">IFNA(index(PlayerValues!A:A,match(IFNA(vlookup(B350,'Special Names'!A:B,2,FALSE),B350),PlayerValues!E:E,0)),"N/A")</f>
        <v>16631</v>
      </c>
      <c r="B350" s="4" t="s">
        <v>800</v>
      </c>
      <c r="C350" s="4" t="s">
        <v>287</v>
      </c>
      <c r="D350" s="94">
        <v>1487.0</v>
      </c>
    </row>
    <row r="351">
      <c r="A351" s="40">
        <f t="array" ref="A351">IFNA(index(PlayerValues!A:A,match(IFNA(vlookup(B351,'Special Names'!A:B,2,FALSE),B351),PlayerValues!E:E,0)),"N/A")</f>
        <v>12140</v>
      </c>
      <c r="B351" s="4" t="s">
        <v>702</v>
      </c>
      <c r="C351" s="4" t="s">
        <v>283</v>
      </c>
      <c r="D351" s="94">
        <v>1485.0</v>
      </c>
    </row>
    <row r="352">
      <c r="A352" s="40">
        <f t="array" ref="A352">IFNA(index(PlayerValues!A:A,match(IFNA(vlookup(B352,'Special Names'!A:B,2,FALSE),B352),PlayerValues!E:E,0)),"N/A")</f>
        <v>17528</v>
      </c>
      <c r="B352" s="4" t="s">
        <v>579</v>
      </c>
      <c r="C352" s="4" t="s">
        <v>287</v>
      </c>
      <c r="D352" s="94">
        <v>1482.0</v>
      </c>
    </row>
    <row r="353">
      <c r="A353" s="40">
        <f t="array" ref="A353">IFNA(index(PlayerValues!A:A,match(IFNA(vlookup(B353,'Special Names'!A:B,2,FALSE),B353),PlayerValues!E:E,0)),"N/A")</f>
        <v>15252</v>
      </c>
      <c r="B353" s="4" t="s">
        <v>715</v>
      </c>
      <c r="C353" s="4" t="s">
        <v>283</v>
      </c>
      <c r="D353" s="94">
        <v>1481.0</v>
      </c>
    </row>
    <row r="354">
      <c r="A354" s="40">
        <f t="array" ref="A354">IFNA(index(PlayerValues!A:A,match(IFNA(vlookup(B354,'Special Names'!A:B,2,FALSE),B354),PlayerValues!E:E,0)),"N/A")</f>
        <v>16384</v>
      </c>
      <c r="B354" s="4" t="s">
        <v>696</v>
      </c>
      <c r="C354" s="4" t="s">
        <v>283</v>
      </c>
      <c r="D354" s="94">
        <v>1465.0</v>
      </c>
    </row>
    <row r="355">
      <c r="A355" s="40">
        <f t="array" ref="A355">IFNA(index(PlayerValues!A:A,match(IFNA(vlookup(B355,'Special Names'!A:B,2,FALSE),B355),PlayerValues!E:E,0)),"N/A")</f>
        <v>13418</v>
      </c>
      <c r="B355" s="4" t="s">
        <v>706</v>
      </c>
      <c r="C355" s="4" t="s">
        <v>287</v>
      </c>
      <c r="D355" s="94">
        <v>1442.0</v>
      </c>
    </row>
    <row r="356">
      <c r="A356" s="40">
        <f t="array" ref="A356">IFNA(index(PlayerValues!A:A,match(IFNA(vlookup(B356,'Special Names'!A:B,2,FALSE),B356),PlayerValues!E:E,0)),"N/A")</f>
        <v>17254</v>
      </c>
      <c r="B356" s="4" t="s">
        <v>679</v>
      </c>
      <c r="C356" s="4" t="s">
        <v>287</v>
      </c>
      <c r="D356" s="94">
        <v>1435.0</v>
      </c>
    </row>
    <row r="357">
      <c r="A357" s="40">
        <f t="array" ref="A357">IFNA(index(PlayerValues!A:A,match(IFNA(vlookup(B357,'Special Names'!A:B,2,FALSE),B357),PlayerValues!E:E,0)),"N/A")</f>
        <v>16642</v>
      </c>
      <c r="B357" s="4" t="s">
        <v>691</v>
      </c>
      <c r="C357" s="4" t="s">
        <v>298</v>
      </c>
      <c r="D357" s="94">
        <v>1788.0</v>
      </c>
    </row>
    <row r="358">
      <c r="A358" s="40">
        <f t="array" ref="A358">IFNA(index(PlayerValues!A:A,match(IFNA(vlookup(B358,'Special Names'!A:B,2,FALSE),B358),PlayerValues!E:E,0)),"N/A")</f>
        <v>12141</v>
      </c>
      <c r="B358" s="4" t="s">
        <v>744</v>
      </c>
      <c r="C358" s="4" t="s">
        <v>283</v>
      </c>
      <c r="D358" s="94">
        <v>1417.0</v>
      </c>
    </row>
    <row r="359">
      <c r="A359" s="40">
        <f t="array" ref="A359">IFNA(index(PlayerValues!A:A,match(IFNA(vlookup(B359,'Special Names'!A:B,2,FALSE),B359),PlayerValues!E:E,0)),"N/A")</f>
        <v>15292</v>
      </c>
      <c r="B359" s="4" t="s">
        <v>682</v>
      </c>
      <c r="C359" s="4" t="s">
        <v>287</v>
      </c>
      <c r="D359" s="94">
        <v>1412.0</v>
      </c>
    </row>
    <row r="360">
      <c r="A360" s="40">
        <f t="array" ref="A360">IFNA(index(PlayerValues!A:A,match(IFNA(vlookup(B360,'Special Names'!A:B,2,FALSE),B360),PlayerValues!E:E,0)),"N/A")</f>
        <v>12678</v>
      </c>
      <c r="B360" s="4" t="s">
        <v>703</v>
      </c>
      <c r="C360" s="4" t="s">
        <v>298</v>
      </c>
      <c r="D360" s="94">
        <v>1781.0</v>
      </c>
    </row>
    <row r="361">
      <c r="A361" s="40">
        <f t="array" ref="A361">IFNA(index(PlayerValues!A:A,match(IFNA(vlookup(B361,'Special Names'!A:B,2,FALSE),B361),PlayerValues!E:E,0)),"N/A")</f>
        <v>14137</v>
      </c>
      <c r="B361" s="4" t="s">
        <v>676</v>
      </c>
      <c r="C361" s="4" t="s">
        <v>298</v>
      </c>
      <c r="D361" s="94">
        <v>1773.0</v>
      </c>
    </row>
    <row r="362">
      <c r="A362" s="40">
        <f t="array" ref="A362">IFNA(index(PlayerValues!A:A,match(IFNA(vlookup(B362,'Special Names'!A:B,2,FALSE),B362),PlayerValues!E:E,0)),"N/A")</f>
        <v>17269</v>
      </c>
      <c r="B362" s="4" t="s">
        <v>718</v>
      </c>
      <c r="C362" s="4" t="s">
        <v>287</v>
      </c>
      <c r="D362" s="94">
        <v>1401.0</v>
      </c>
    </row>
    <row r="363">
      <c r="A363" s="40">
        <f t="array" ref="A363">IFNA(index(PlayerValues!A:A,match(IFNA(vlookup(B363,'Special Names'!A:B,2,FALSE),B363),PlayerValues!E:E,0)),"N/A")</f>
        <v>14080</v>
      </c>
      <c r="B363" s="4" t="s">
        <v>716</v>
      </c>
      <c r="C363" s="4" t="s">
        <v>278</v>
      </c>
      <c r="D363" s="94">
        <v>1396.0</v>
      </c>
    </row>
    <row r="364">
      <c r="A364" s="40">
        <f t="array" ref="A364">IFNA(index(PlayerValues!A:A,match(IFNA(vlookup(B364,'Special Names'!A:B,2,FALSE),B364),PlayerValues!E:E,0)),"N/A")</f>
        <v>16621</v>
      </c>
      <c r="B364" s="4" t="s">
        <v>672</v>
      </c>
      <c r="C364" s="4" t="s">
        <v>287</v>
      </c>
      <c r="D364" s="94">
        <v>1395.0</v>
      </c>
    </row>
    <row r="365">
      <c r="A365" s="40">
        <f t="array" ref="A365">IFNA(index(PlayerValues!A:A,match(IFNA(vlookup(B365,'Special Names'!A:B,2,FALSE),B365),PlayerValues!E:E,0)),"N/A")</f>
        <v>17481</v>
      </c>
      <c r="B365" s="4" t="s">
        <v>540</v>
      </c>
      <c r="C365" s="4" t="s">
        <v>278</v>
      </c>
      <c r="D365" s="94">
        <v>1393.0</v>
      </c>
    </row>
    <row r="366">
      <c r="A366" s="40">
        <f t="array" ref="A366">IFNA(index(PlayerValues!A:A,match(IFNA(vlookup(B366,'Special Names'!A:B,2,FALSE),B366),PlayerValues!E:E,0)),"N/A")</f>
        <v>17062</v>
      </c>
      <c r="B366" s="4" t="s">
        <v>701</v>
      </c>
      <c r="C366" s="4" t="s">
        <v>278</v>
      </c>
      <c r="D366" s="94">
        <v>1388.0</v>
      </c>
    </row>
    <row r="367">
      <c r="A367" s="40">
        <f t="array" ref="A367">IFNA(index(PlayerValues!A:A,match(IFNA(vlookup(B367,'Special Names'!A:B,2,FALSE),B367),PlayerValues!E:E,0)),"N/A")</f>
        <v>17054</v>
      </c>
      <c r="B367" s="4" t="s">
        <v>670</v>
      </c>
      <c r="C367" s="4" t="s">
        <v>278</v>
      </c>
      <c r="D367" s="94">
        <v>1373.0</v>
      </c>
    </row>
    <row r="368">
      <c r="A368" s="40">
        <f t="array" ref="A368">IFNA(index(PlayerValues!A:A,match(IFNA(vlookup(B368,'Special Names'!A:B,2,FALSE),B368),PlayerValues!E:E,0)),"N/A")</f>
        <v>13672</v>
      </c>
      <c r="B368" s="4" t="s">
        <v>667</v>
      </c>
      <c r="C368" s="4" t="s">
        <v>298</v>
      </c>
      <c r="D368" s="94">
        <v>1724.0</v>
      </c>
    </row>
    <row r="369">
      <c r="A369" s="40">
        <f t="array" ref="A369">IFNA(index(PlayerValues!A:A,match(IFNA(vlookup(B369,'Special Names'!A:B,2,FALSE),B369),PlayerValues!E:E,0)),"N/A")</f>
        <v>17077</v>
      </c>
      <c r="B369" s="4" t="s">
        <v>714</v>
      </c>
      <c r="C369" s="4" t="s">
        <v>287</v>
      </c>
      <c r="D369" s="94">
        <v>1352.0</v>
      </c>
    </row>
    <row r="370">
      <c r="A370" s="40">
        <f t="array" ref="A370">IFNA(index(PlayerValues!A:A,match(IFNA(vlookup(B370,'Special Names'!A:B,2,FALSE),B370),PlayerValues!E:E,0)),"N/A")</f>
        <v>17514</v>
      </c>
      <c r="B370" s="4" t="s">
        <v>422</v>
      </c>
      <c r="C370" s="4" t="s">
        <v>287</v>
      </c>
      <c r="D370" s="94">
        <v>1347.0</v>
      </c>
    </row>
    <row r="371">
      <c r="A371" s="40">
        <f t="array" ref="A371">IFNA(index(PlayerValues!A:A,match(IFNA(vlookup(B371,'Special Names'!A:B,2,FALSE),B371),PlayerValues!E:E,0)),"N/A")</f>
        <v>15332</v>
      </c>
      <c r="B371" s="4" t="s">
        <v>698</v>
      </c>
      <c r="C371" s="4" t="s">
        <v>298</v>
      </c>
      <c r="D371" s="94">
        <v>1711.0</v>
      </c>
    </row>
    <row r="372">
      <c r="A372" s="40">
        <f t="array" ref="A372">IFNA(index(PlayerValues!A:A,match(IFNA(vlookup(B372,'Special Names'!A:B,2,FALSE),B372),PlayerValues!E:E,0)),"N/A")</f>
        <v>14086</v>
      </c>
      <c r="B372" s="4" t="s">
        <v>639</v>
      </c>
      <c r="C372" s="4" t="s">
        <v>278</v>
      </c>
      <c r="D372" s="94">
        <v>1336.0</v>
      </c>
    </row>
    <row r="373">
      <c r="A373" s="40">
        <f t="array" ref="A373">IFNA(index(PlayerValues!A:A,match(IFNA(vlookup(B373,'Special Names'!A:B,2,FALSE),B373),PlayerValues!E:E,0)),"N/A")</f>
        <v>16608</v>
      </c>
      <c r="B373" s="4" t="s">
        <v>629</v>
      </c>
      <c r="C373" s="4" t="s">
        <v>278</v>
      </c>
      <c r="D373" s="94">
        <v>1336.0</v>
      </c>
    </row>
    <row r="374">
      <c r="A374" s="40">
        <f t="array" ref="A374">IFNA(index(PlayerValues!A:A,match(IFNA(vlookup(B374,'Special Names'!A:B,2,FALSE),B374),PlayerValues!E:E,0)),"N/A")</f>
        <v>15738</v>
      </c>
      <c r="B374" s="4" t="s">
        <v>634</v>
      </c>
      <c r="C374" s="4" t="s">
        <v>278</v>
      </c>
      <c r="D374" s="94">
        <v>1322.0</v>
      </c>
    </row>
    <row r="375">
      <c r="A375" s="40">
        <f t="array" ref="A375">IFNA(index(PlayerValues!A:A,match(IFNA(vlookup(B375,'Special Names'!A:B,2,FALSE),B375),PlayerValues!E:E,0)),"N/A")</f>
        <v>16183</v>
      </c>
      <c r="B375" s="4" t="s">
        <v>678</v>
      </c>
      <c r="C375" s="4" t="s">
        <v>287</v>
      </c>
      <c r="D375" s="94">
        <v>1303.0</v>
      </c>
    </row>
    <row r="376">
      <c r="A376" s="40">
        <f t="array" ref="A376">IFNA(index(PlayerValues!A:A,match(IFNA(vlookup(B376,'Special Names'!A:B,2,FALSE),B376),PlayerValues!E:E,0)),"N/A")</f>
        <v>14095</v>
      </c>
      <c r="B376" s="4" t="s">
        <v>680</v>
      </c>
      <c r="C376" s="4" t="s">
        <v>278</v>
      </c>
      <c r="D376" s="94">
        <v>1296.0</v>
      </c>
    </row>
    <row r="377">
      <c r="A377" s="40" t="str">
        <f t="array" ref="A377">IFNA(index(PlayerValues!A:A,match(IFNA(vlookup(B377,'Special Names'!A:B,2,FALSE),B377),PlayerValues!E:E,0)),"N/A")</f>
        <v>N/A</v>
      </c>
      <c r="B377" s="4" t="s">
        <v>117</v>
      </c>
      <c r="C377" s="4" t="s">
        <v>325</v>
      </c>
      <c r="D377" s="94">
        <v>1295.0</v>
      </c>
    </row>
    <row r="378">
      <c r="A378" s="40">
        <f t="array" ref="A378">IFNA(index(PlayerValues!A:A,match(IFNA(vlookup(B378,'Special Names'!A:B,2,FALSE),B378),PlayerValues!E:E,0)),"N/A")</f>
        <v>16645</v>
      </c>
      <c r="B378" s="4" t="s">
        <v>651</v>
      </c>
      <c r="C378" s="4" t="s">
        <v>298</v>
      </c>
      <c r="D378" s="94">
        <v>1659.0</v>
      </c>
    </row>
    <row r="379">
      <c r="A379" s="40">
        <f t="array" ref="A379">IFNA(index(PlayerValues!A:A,match(IFNA(vlookup(B379,'Special Names'!A:B,2,FALSE),B379),PlayerValues!E:E,0)),"N/A")</f>
        <v>15288</v>
      </c>
      <c r="B379" s="4" t="s">
        <v>700</v>
      </c>
      <c r="C379" s="4" t="s">
        <v>287</v>
      </c>
      <c r="D379" s="94">
        <v>1287.0</v>
      </c>
    </row>
    <row r="380">
      <c r="A380" s="40">
        <f t="array" ref="A380">IFNA(index(PlayerValues!A:A,match(IFNA(vlookup(B380,'Special Names'!A:B,2,FALSE),B380),PlayerValues!E:E,0)),"N/A")</f>
        <v>15702</v>
      </c>
      <c r="B380" s="4" t="s">
        <v>723</v>
      </c>
      <c r="C380" s="4" t="s">
        <v>283</v>
      </c>
      <c r="D380" s="94">
        <v>1270.0</v>
      </c>
    </row>
    <row r="381">
      <c r="A381" s="40">
        <f t="array" ref="A381">IFNA(index(PlayerValues!A:A,match(IFNA(vlookup(B381,'Special Names'!A:B,2,FALSE),B381),PlayerValues!E:E,0)),"N/A")</f>
        <v>14108</v>
      </c>
      <c r="B381" s="4" t="s">
        <v>673</v>
      </c>
      <c r="C381" s="4" t="s">
        <v>287</v>
      </c>
      <c r="D381" s="94">
        <v>1265.0</v>
      </c>
    </row>
    <row r="382">
      <c r="A382" s="40">
        <f t="array" ref="A382">IFNA(index(PlayerValues!A:A,match(IFNA(vlookup(B382,'Special Names'!A:B,2,FALSE),B382),PlayerValues!E:E,0)),"N/A")</f>
        <v>14592</v>
      </c>
      <c r="B382" s="4" t="s">
        <v>705</v>
      </c>
      <c r="C382" s="4" t="s">
        <v>287</v>
      </c>
      <c r="D382" s="94">
        <v>1257.0</v>
      </c>
    </row>
    <row r="383">
      <c r="A383" s="40">
        <f t="array" ref="A383">IFNA(index(PlayerValues!A:A,match(IFNA(vlookup(B383,'Special Names'!A:B,2,FALSE),B383),PlayerValues!E:E,0)),"N/A")</f>
        <v>17097</v>
      </c>
      <c r="B383" s="4" t="s">
        <v>659</v>
      </c>
      <c r="C383" s="4" t="s">
        <v>287</v>
      </c>
      <c r="D383" s="94">
        <v>1256.0</v>
      </c>
    </row>
    <row r="384">
      <c r="A384" s="40">
        <f t="array" ref="A384">IFNA(index(PlayerValues!A:A,match(IFNA(vlookup(B384,'Special Names'!A:B,2,FALSE),B384),PlayerValues!E:E,0)),"N/A")</f>
        <v>16333</v>
      </c>
      <c r="B384" s="4" t="s">
        <v>711</v>
      </c>
      <c r="C384" s="4" t="s">
        <v>298</v>
      </c>
      <c r="D384" s="94">
        <v>1621.0</v>
      </c>
    </row>
    <row r="385">
      <c r="A385" s="40">
        <f t="array" ref="A385">IFNA(index(PlayerValues!A:A,match(IFNA(vlookup(B385,'Special Names'!A:B,2,FALSE),B385),PlayerValues!E:E,0)),"N/A")</f>
        <v>16221</v>
      </c>
      <c r="B385" s="4" t="s">
        <v>725</v>
      </c>
      <c r="C385" s="4" t="s">
        <v>298</v>
      </c>
      <c r="D385" s="94">
        <v>1620.0</v>
      </c>
    </row>
    <row r="386">
      <c r="A386" s="40">
        <f t="array" ref="A386">IFNA(index(PlayerValues!A:A,match(IFNA(vlookup(B386,'Special Names'!A:B,2,FALSE),B386),PlayerValues!E:E,0)),"N/A")</f>
        <v>17063</v>
      </c>
      <c r="B386" s="4" t="s">
        <v>686</v>
      </c>
      <c r="C386" s="4" t="s">
        <v>278</v>
      </c>
      <c r="D386" s="94">
        <v>1251.0</v>
      </c>
    </row>
    <row r="387">
      <c r="A387" s="40">
        <f t="array" ref="A387">IFNA(index(PlayerValues!A:A,match(IFNA(vlookup(B387,'Special Names'!A:B,2,FALSE),B387),PlayerValues!E:E,0)),"N/A")</f>
        <v>16636</v>
      </c>
      <c r="B387" s="4" t="s">
        <v>699</v>
      </c>
      <c r="C387" s="4" t="s">
        <v>287</v>
      </c>
      <c r="D387" s="94">
        <v>1248.0</v>
      </c>
    </row>
    <row r="388">
      <c r="A388" s="40">
        <f t="array" ref="A388">IFNA(index(PlayerValues!A:A,match(IFNA(vlookup(B388,'Special Names'!A:B,2,FALSE),B388),PlayerValues!E:E,0)),"N/A")</f>
        <v>14789</v>
      </c>
      <c r="B388" s="4" t="s">
        <v>721</v>
      </c>
      <c r="C388" s="4" t="s">
        <v>283</v>
      </c>
      <c r="D388" s="94">
        <v>1243.0</v>
      </c>
    </row>
    <row r="389">
      <c r="A389" s="40">
        <f t="array" ref="A389">IFNA(index(PlayerValues!A:A,match(IFNA(vlookup(B389,'Special Names'!A:B,2,FALSE),B389),PlayerValues!E:E,0)),"N/A")</f>
        <v>16883</v>
      </c>
      <c r="B389" s="4" t="s">
        <v>683</v>
      </c>
      <c r="C389" s="4" t="s">
        <v>287</v>
      </c>
      <c r="D389" s="94">
        <v>1233.0</v>
      </c>
    </row>
    <row r="390">
      <c r="A390" s="40">
        <f t="array" ref="A390">IFNA(index(PlayerValues!A:A,match(IFNA(vlookup(B390,'Special Names'!A:B,2,FALSE),B390),PlayerValues!E:E,0)),"N/A")</f>
        <v>15727</v>
      </c>
      <c r="B390" s="4" t="s">
        <v>730</v>
      </c>
      <c r="C390" s="4" t="s">
        <v>278</v>
      </c>
      <c r="D390" s="94">
        <v>1230.0</v>
      </c>
    </row>
    <row r="391">
      <c r="A391" s="40">
        <f t="array" ref="A391">IFNA(index(PlayerValues!A:A,match(IFNA(vlookup(B391,'Special Names'!A:B,2,FALSE),B391),PlayerValues!E:E,0)),"N/A")</f>
        <v>16199</v>
      </c>
      <c r="B391" s="4" t="s">
        <v>687</v>
      </c>
      <c r="C391" s="4" t="s">
        <v>287</v>
      </c>
      <c r="D391" s="94">
        <v>1226.0</v>
      </c>
    </row>
    <row r="392">
      <c r="A392" s="40">
        <f t="array" ref="A392">IFNA(index(PlayerValues!A:A,match(IFNA(vlookup(B392,'Special Names'!A:B,2,FALSE),B392),PlayerValues!E:E,0)),"N/A")</f>
        <v>15981</v>
      </c>
      <c r="B392" s="4" t="s">
        <v>729</v>
      </c>
      <c r="C392" s="4" t="s">
        <v>287</v>
      </c>
      <c r="D392" s="94">
        <v>1223.0</v>
      </c>
    </row>
    <row r="393">
      <c r="A393" s="40">
        <f t="array" ref="A393">IFNA(index(PlayerValues!A:A,match(IFNA(vlookup(B393,'Special Names'!A:B,2,FALSE),B393),PlayerValues!E:E,0)),"N/A")</f>
        <v>9064</v>
      </c>
      <c r="B393" s="4" t="s">
        <v>761</v>
      </c>
      <c r="C393" s="4" t="s">
        <v>283</v>
      </c>
      <c r="D393" s="94">
        <v>1218.0</v>
      </c>
    </row>
    <row r="394">
      <c r="A394" s="40">
        <f t="array" ref="A394">IFNA(index(PlayerValues!A:A,match(IFNA(vlookup(B394,'Special Names'!A:B,2,FALSE),B394),PlayerValues!E:E,0)),"N/A")</f>
        <v>17057</v>
      </c>
      <c r="B394" s="4" t="s">
        <v>708</v>
      </c>
      <c r="C394" s="4" t="s">
        <v>278</v>
      </c>
      <c r="D394" s="94">
        <v>1205.0</v>
      </c>
    </row>
    <row r="395">
      <c r="A395" s="40">
        <f t="array" ref="A395">IFNA(index(PlayerValues!A:A,match(IFNA(vlookup(B395,'Special Names'!A:B,2,FALSE),B395),PlayerValues!E:E,0)),"N/A")</f>
        <v>13193</v>
      </c>
      <c r="B395" s="4" t="s">
        <v>773</v>
      </c>
      <c r="C395" s="4" t="s">
        <v>298</v>
      </c>
      <c r="D395" s="94">
        <v>1568.0</v>
      </c>
    </row>
    <row r="396">
      <c r="A396" s="40">
        <f t="array" ref="A396">IFNA(index(PlayerValues!A:A,match(IFNA(vlookup(B396,'Special Names'!A:B,2,FALSE),B396),PlayerValues!E:E,0)),"N/A")</f>
        <v>13131</v>
      </c>
      <c r="B396" s="4" t="s">
        <v>815</v>
      </c>
      <c r="C396" s="4" t="s">
        <v>278</v>
      </c>
      <c r="D396" s="94">
        <v>1195.0</v>
      </c>
    </row>
    <row r="397">
      <c r="A397" s="40">
        <f t="array" ref="A397">IFNA(index(PlayerValues!A:A,match(IFNA(vlookup(B397,'Special Names'!A:B,2,FALSE),B397),PlayerValues!E:E,0)),"N/A")</f>
        <v>16385</v>
      </c>
      <c r="B397" s="4" t="s">
        <v>690</v>
      </c>
      <c r="C397" s="4" t="s">
        <v>278</v>
      </c>
      <c r="D397" s="94">
        <v>1193.0</v>
      </c>
    </row>
    <row r="398">
      <c r="A398" s="40">
        <f t="array" ref="A398">IFNA(index(PlayerValues!A:A,match(IFNA(vlookup(B398,'Special Names'!A:B,2,FALSE),B398),PlayerValues!E:E,0)),"N/A")</f>
        <v>15240</v>
      </c>
      <c r="B398" s="4" t="s">
        <v>751</v>
      </c>
      <c r="C398" s="4" t="s">
        <v>283</v>
      </c>
      <c r="D398" s="94">
        <v>1183.0</v>
      </c>
    </row>
    <row r="399">
      <c r="A399" s="40">
        <f t="array" ref="A399">IFNA(index(PlayerValues!A:A,match(IFNA(vlookup(B399,'Special Names'!A:B,2,FALSE),B399),PlayerValues!E:E,0)),"N/A")</f>
        <v>13289</v>
      </c>
      <c r="B399" s="4" t="s">
        <v>746</v>
      </c>
      <c r="C399" s="4" t="s">
        <v>287</v>
      </c>
      <c r="D399" s="94">
        <v>1180.0</v>
      </c>
    </row>
    <row r="400">
      <c r="A400" s="40">
        <f t="array" ref="A400">IFNA(index(PlayerValues!A:A,match(IFNA(vlookup(B400,'Special Names'!A:B,2,FALSE),B400),PlayerValues!E:E,0)),"N/A")</f>
        <v>17109</v>
      </c>
      <c r="B400" s="4" t="s">
        <v>707</v>
      </c>
      <c r="C400" s="4" t="s">
        <v>298</v>
      </c>
      <c r="D400" s="94">
        <v>1541.0</v>
      </c>
    </row>
    <row r="401">
      <c r="A401" s="40">
        <f t="array" ref="A401">IFNA(index(PlayerValues!A:A,match(IFNA(vlookup(B401,'Special Names'!A:B,2,FALSE),B401),PlayerValues!E:E,0)),"N/A")</f>
        <v>15692</v>
      </c>
      <c r="B401" s="4" t="s">
        <v>750</v>
      </c>
      <c r="C401" s="4" t="s">
        <v>283</v>
      </c>
      <c r="D401" s="94">
        <v>1159.0</v>
      </c>
    </row>
    <row r="402">
      <c r="A402" s="40">
        <f t="array" ref="A402">IFNA(index(PlayerValues!A:A,match(IFNA(vlookup(B402,'Special Names'!A:B,2,FALSE),B402),PlayerValues!E:E,0)),"N/A")</f>
        <v>16387</v>
      </c>
      <c r="B402" s="4" t="s">
        <v>646</v>
      </c>
      <c r="C402" s="4" t="s">
        <v>278</v>
      </c>
      <c r="D402" s="94">
        <v>1158.0</v>
      </c>
    </row>
    <row r="403">
      <c r="A403" s="40">
        <f t="array" ref="A403">IFNA(index(PlayerValues!A:A,match(IFNA(vlookup(B403,'Special Names'!A:B,2,FALSE),B403),PlayerValues!E:E,0)),"N/A")</f>
        <v>17546</v>
      </c>
      <c r="B403" s="4" t="s">
        <v>671</v>
      </c>
      <c r="C403" s="4" t="s">
        <v>298</v>
      </c>
      <c r="D403" s="94">
        <v>1522.0</v>
      </c>
    </row>
    <row r="404">
      <c r="A404" s="40">
        <f t="array" ref="A404">IFNA(index(PlayerValues!A:A,match(IFNA(vlookup(B404,'Special Names'!A:B,2,FALSE),B404),PlayerValues!E:E,0)),"N/A")</f>
        <v>14067</v>
      </c>
      <c r="B404" s="4" t="s">
        <v>735</v>
      </c>
      <c r="C404" s="4" t="s">
        <v>283</v>
      </c>
      <c r="D404" s="94">
        <v>1153.0</v>
      </c>
    </row>
    <row r="405">
      <c r="A405" s="40">
        <f t="array" ref="A405">IFNA(index(PlayerValues!A:A,match(IFNA(vlookup(B405,'Special Names'!A:B,2,FALSE),B405),PlayerValues!E:E,0)),"N/A")</f>
        <v>15730</v>
      </c>
      <c r="B405" s="4" t="s">
        <v>734</v>
      </c>
      <c r="C405" s="4" t="s">
        <v>278</v>
      </c>
      <c r="D405" s="94">
        <v>1153.0</v>
      </c>
    </row>
    <row r="406">
      <c r="A406" s="40">
        <f t="array" ref="A406">IFNA(index(PlayerValues!A:A,match(IFNA(vlookup(B406,'Special Names'!A:B,2,FALSE),B406),PlayerValues!E:E,0)),"N/A")</f>
        <v>16393</v>
      </c>
      <c r="B406" s="4" t="s">
        <v>768</v>
      </c>
      <c r="C406" s="4" t="s">
        <v>287</v>
      </c>
      <c r="D406" s="94">
        <v>1152.0</v>
      </c>
    </row>
    <row r="407">
      <c r="A407" s="40">
        <f t="array" ref="A407">IFNA(index(PlayerValues!A:A,match(IFNA(vlookup(B407,'Special Names'!A:B,2,FALSE),B407),PlayerValues!E:E,0)),"N/A")</f>
        <v>16746</v>
      </c>
      <c r="B407" s="4" t="s">
        <v>709</v>
      </c>
      <c r="C407" s="4" t="s">
        <v>278</v>
      </c>
      <c r="D407" s="94">
        <v>1149.0</v>
      </c>
    </row>
    <row r="408">
      <c r="A408" s="40">
        <f t="array" ref="A408">IFNA(index(PlayerValues!A:A,match(IFNA(vlookup(B408,'Special Names'!A:B,2,FALSE),B408),PlayerValues!E:E,0)),"N/A")</f>
        <v>14845</v>
      </c>
      <c r="B408" s="4" t="s">
        <v>717</v>
      </c>
      <c r="C408" s="4" t="s">
        <v>287</v>
      </c>
      <c r="D408" s="94">
        <v>1138.0</v>
      </c>
    </row>
    <row r="409">
      <c r="A409" s="40">
        <f t="array" ref="A409">IFNA(index(PlayerValues!A:A,match(IFNA(vlookup(B409,'Special Names'!A:B,2,FALSE),B409),PlayerValues!E:E,0)),"N/A")</f>
        <v>17050</v>
      </c>
      <c r="B409" s="4" t="s">
        <v>713</v>
      </c>
      <c r="C409" s="4" t="s">
        <v>278</v>
      </c>
      <c r="D409" s="94">
        <v>1137.0</v>
      </c>
    </row>
    <row r="410">
      <c r="A410" s="40">
        <f t="array" ref="A410">IFNA(index(PlayerValues!A:A,match(IFNA(vlookup(B410,'Special Names'!A:B,2,FALSE),B410),PlayerValues!E:E,0)),"N/A")</f>
        <v>15258</v>
      </c>
      <c r="B410" s="4" t="s">
        <v>757</v>
      </c>
      <c r="C410" s="4" t="s">
        <v>278</v>
      </c>
      <c r="D410" s="94">
        <v>1133.0</v>
      </c>
    </row>
    <row r="411">
      <c r="A411" s="40">
        <f t="array" ref="A411">IFNA(index(PlayerValues!A:A,match(IFNA(vlookup(B411,'Special Names'!A:B,2,FALSE),B411),PlayerValues!E:E,0)),"N/A")</f>
        <v>16640</v>
      </c>
      <c r="B411" s="4" t="s">
        <v>712</v>
      </c>
      <c r="C411" s="4" t="s">
        <v>287</v>
      </c>
      <c r="D411" s="94">
        <v>1122.0</v>
      </c>
    </row>
    <row r="412">
      <c r="A412" s="40">
        <f t="array" ref="A412">IFNA(index(PlayerValues!A:A,match(IFNA(vlookup(B412,'Special Names'!A:B,2,FALSE),B412),PlayerValues!E:E,0)),"N/A")</f>
        <v>15239</v>
      </c>
      <c r="B412" s="4" t="s">
        <v>802</v>
      </c>
      <c r="C412" s="4" t="s">
        <v>283</v>
      </c>
      <c r="D412" s="94">
        <v>1120.0</v>
      </c>
    </row>
    <row r="413">
      <c r="A413" s="40">
        <f t="array" ref="A413">IFNA(index(PlayerValues!A:A,match(IFNA(vlookup(B413,'Special Names'!A:B,2,FALSE),B413),PlayerValues!E:E,0)),"N/A")</f>
        <v>16637</v>
      </c>
      <c r="B413" s="4" t="s">
        <v>736</v>
      </c>
      <c r="C413" s="4" t="s">
        <v>287</v>
      </c>
      <c r="D413" s="94">
        <v>1115.0</v>
      </c>
    </row>
    <row r="414">
      <c r="A414" s="40">
        <f t="array" ref="A414">IFNA(index(PlayerValues!A:A,match(IFNA(vlookup(B414,'Special Names'!A:B,2,FALSE),B414),PlayerValues!E:E,0)),"N/A")</f>
        <v>11247</v>
      </c>
      <c r="B414" s="4" t="s">
        <v>816</v>
      </c>
      <c r="C414" s="4" t="s">
        <v>298</v>
      </c>
      <c r="D414" s="94">
        <v>1482.0</v>
      </c>
    </row>
    <row r="415">
      <c r="A415" s="40">
        <f t="array" ref="A415">IFNA(index(PlayerValues!A:A,match(IFNA(vlookup(B415,'Special Names'!A:B,2,FALSE),B415),PlayerValues!E:E,0)),"N/A")</f>
        <v>15785</v>
      </c>
      <c r="B415" s="4" t="s">
        <v>763</v>
      </c>
      <c r="C415" s="4" t="s">
        <v>287</v>
      </c>
      <c r="D415" s="94">
        <v>1107.0</v>
      </c>
    </row>
    <row r="416">
      <c r="A416" s="40">
        <f t="array" ref="A416">IFNA(index(PlayerValues!A:A,match(IFNA(vlookup(B416,'Special Names'!A:B,2,FALSE),B416),PlayerValues!E:E,0)),"N/A")</f>
        <v>17192</v>
      </c>
      <c r="B416" s="4" t="s">
        <v>677</v>
      </c>
      <c r="C416" s="4" t="s">
        <v>287</v>
      </c>
      <c r="D416" s="94">
        <v>1097.0</v>
      </c>
    </row>
    <row r="417">
      <c r="A417" s="40">
        <f t="array" ref="A417">IFNA(index(PlayerValues!A:A,match(IFNA(vlookup(B417,'Special Names'!A:B,2,FALSE),B417),PlayerValues!E:E,0)),"N/A")</f>
        <v>16197</v>
      </c>
      <c r="B417" s="4" t="s">
        <v>726</v>
      </c>
      <c r="C417" s="4" t="s">
        <v>287</v>
      </c>
      <c r="D417" s="94">
        <v>1080.0</v>
      </c>
    </row>
    <row r="418">
      <c r="A418" s="40">
        <f t="array" ref="A418">IFNA(index(PlayerValues!A:A,match(IFNA(vlookup(B418,'Special Names'!A:B,2,FALSE),B418),PlayerValues!E:E,0)),"N/A")</f>
        <v>15693</v>
      </c>
      <c r="B418" s="4" t="s">
        <v>755</v>
      </c>
      <c r="C418" s="4" t="s">
        <v>283</v>
      </c>
      <c r="D418" s="94">
        <v>1074.0</v>
      </c>
    </row>
    <row r="419">
      <c r="A419" s="40">
        <f t="array" ref="A419">IFNA(index(PlayerValues!A:A,match(IFNA(vlookup(B419,'Special Names'!A:B,2,FALSE),B419),PlayerValues!E:E,0)),"N/A")</f>
        <v>16451</v>
      </c>
      <c r="B419" s="4" t="s">
        <v>769</v>
      </c>
      <c r="C419" s="4" t="s">
        <v>287</v>
      </c>
      <c r="D419" s="94">
        <v>1073.0</v>
      </c>
    </row>
    <row r="420">
      <c r="A420" s="40">
        <f t="array" ref="A420">IFNA(index(PlayerValues!A:A,match(IFNA(vlookup(B420,'Special Names'!A:B,2,FALSE),B420),PlayerValues!E:E,0)),"N/A")</f>
        <v>15718</v>
      </c>
      <c r="B420" s="4" t="s">
        <v>753</v>
      </c>
      <c r="C420" s="4" t="s">
        <v>278</v>
      </c>
      <c r="D420" s="94">
        <v>1053.0</v>
      </c>
    </row>
    <row r="421">
      <c r="A421" s="40">
        <f t="array" ref="A421">IFNA(index(PlayerValues!A:A,match(IFNA(vlookup(B421,'Special Names'!A:B,2,FALSE),B421),PlayerValues!E:E,0)),"N/A")</f>
        <v>16678</v>
      </c>
      <c r="B421" s="4" t="s">
        <v>758</v>
      </c>
      <c r="C421" s="4" t="s">
        <v>278</v>
      </c>
      <c r="D421" s="94">
        <v>1053.0</v>
      </c>
    </row>
    <row r="422">
      <c r="A422" s="40">
        <f t="array" ref="A422">IFNA(index(PlayerValues!A:A,match(IFNA(vlookup(B422,'Special Names'!A:B,2,FALSE),B422),PlayerValues!E:E,0)),"N/A")</f>
        <v>16168</v>
      </c>
      <c r="B422" s="4" t="s">
        <v>738</v>
      </c>
      <c r="C422" s="4" t="s">
        <v>278</v>
      </c>
      <c r="D422" s="94">
        <v>1046.0</v>
      </c>
    </row>
    <row r="423">
      <c r="A423" s="40">
        <f t="array" ref="A423">IFNA(index(PlayerValues!A:A,match(IFNA(vlookup(B423,'Special Names'!A:B,2,FALSE),B423),PlayerValues!E:E,0)),"N/A")</f>
        <v>14118</v>
      </c>
      <c r="B423" s="4" t="s">
        <v>771</v>
      </c>
      <c r="C423" s="4" t="s">
        <v>287</v>
      </c>
      <c r="D423" s="94">
        <v>1045.0</v>
      </c>
    </row>
    <row r="424">
      <c r="A424" s="40">
        <f t="array" ref="A424">IFNA(index(PlayerValues!A:A,match(IFNA(vlookup(B424,'Special Names'!A:B,2,FALSE),B424),PlayerValues!E:E,0)),"N/A")</f>
        <v>17175</v>
      </c>
      <c r="B424" s="4" t="s">
        <v>747</v>
      </c>
      <c r="C424" s="4" t="s">
        <v>287</v>
      </c>
      <c r="D424" s="94">
        <v>1043.0</v>
      </c>
    </row>
    <row r="425">
      <c r="A425" s="40">
        <f t="array" ref="A425">IFNA(index(PlayerValues!A:A,match(IFNA(vlookup(B425,'Special Names'!A:B,2,FALSE),B425),PlayerValues!E:E,0)),"N/A")</f>
        <v>15795</v>
      </c>
      <c r="B425" s="4" t="s">
        <v>669</v>
      </c>
      <c r="C425" s="4" t="s">
        <v>298</v>
      </c>
      <c r="D425" s="94">
        <v>1406.0</v>
      </c>
    </row>
    <row r="426">
      <c r="A426" s="40">
        <f t="array" ref="A426">IFNA(index(PlayerValues!A:A,match(IFNA(vlookup(B426,'Special Names'!A:B,2,FALSE),B426),PlayerValues!E:E,0)),"N/A")</f>
        <v>13138</v>
      </c>
      <c r="B426" s="4" t="s">
        <v>817</v>
      </c>
      <c r="C426" s="4" t="s">
        <v>278</v>
      </c>
      <c r="D426" s="94">
        <v>1039.0</v>
      </c>
    </row>
    <row r="427">
      <c r="A427" s="40">
        <f t="array" ref="A427">IFNA(index(PlayerValues!A:A,match(IFNA(vlookup(B427,'Special Names'!A:B,2,FALSE),B427),PlayerValues!E:E,0)),"N/A")</f>
        <v>16858</v>
      </c>
      <c r="B427" s="4" t="s">
        <v>754</v>
      </c>
      <c r="C427" s="4" t="s">
        <v>287</v>
      </c>
      <c r="D427" s="94">
        <v>1037.0</v>
      </c>
    </row>
    <row r="428">
      <c r="A428" s="40">
        <f t="array" ref="A428">IFNA(index(PlayerValues!A:A,match(IFNA(vlookup(B428,'Special Names'!A:B,2,FALSE),B428),PlayerValues!E:E,0)),"N/A")</f>
        <v>15717</v>
      </c>
      <c r="B428" s="4" t="s">
        <v>745</v>
      </c>
      <c r="C428" s="4" t="s">
        <v>278</v>
      </c>
      <c r="D428" s="94">
        <v>1035.0</v>
      </c>
    </row>
    <row r="429">
      <c r="A429" s="40">
        <f t="array" ref="A429">IFNA(index(PlayerValues!A:A,match(IFNA(vlookup(B429,'Special Names'!A:B,2,FALSE),B429),PlayerValues!E:E,0)),"N/A")</f>
        <v>16648</v>
      </c>
      <c r="B429" s="4" t="s">
        <v>748</v>
      </c>
      <c r="C429" s="4" t="s">
        <v>298</v>
      </c>
      <c r="D429" s="94">
        <v>1399.0</v>
      </c>
    </row>
    <row r="430">
      <c r="A430" s="40">
        <f t="array" ref="A430">IFNA(index(PlayerValues!A:A,match(IFNA(vlookup(B430,'Special Names'!A:B,2,FALSE),B430),PlayerValues!E:E,0)),"N/A")</f>
        <v>15330</v>
      </c>
      <c r="B430" s="4" t="s">
        <v>749</v>
      </c>
      <c r="C430" s="4" t="s">
        <v>298</v>
      </c>
      <c r="D430" s="94">
        <v>1397.0</v>
      </c>
    </row>
    <row r="431">
      <c r="A431" s="40">
        <f t="array" ref="A431">IFNA(index(PlayerValues!A:A,match(IFNA(vlookup(B431,'Special Names'!A:B,2,FALSE),B431),PlayerValues!E:E,0)),"N/A")</f>
        <v>15626</v>
      </c>
      <c r="B431" s="4" t="s">
        <v>766</v>
      </c>
      <c r="C431" s="4" t="s">
        <v>298</v>
      </c>
      <c r="D431" s="94">
        <v>1393.0</v>
      </c>
    </row>
    <row r="432">
      <c r="A432" s="40">
        <f t="array" ref="A432">IFNA(index(PlayerValues!A:A,match(IFNA(vlookup(B432,'Special Names'!A:B,2,FALSE),B432),PlayerValues!E:E,0)),"N/A")</f>
        <v>14057</v>
      </c>
      <c r="B432" s="4" t="s">
        <v>765</v>
      </c>
      <c r="C432" s="4" t="s">
        <v>283</v>
      </c>
      <c r="D432" s="94">
        <v>1021.0</v>
      </c>
    </row>
    <row r="433">
      <c r="A433" s="40">
        <f t="array" ref="A433">IFNA(index(PlayerValues!A:A,match(IFNA(vlookup(B433,'Special Names'!A:B,2,FALSE),B433),PlayerValues!E:E,0)),"N/A")</f>
        <v>16205</v>
      </c>
      <c r="B433" s="4" t="s">
        <v>742</v>
      </c>
      <c r="C433" s="4" t="s">
        <v>287</v>
      </c>
      <c r="D433" s="94">
        <v>1016.0</v>
      </c>
    </row>
    <row r="434">
      <c r="A434" s="40">
        <f t="array" ref="A434">IFNA(index(PlayerValues!A:A,match(IFNA(vlookup(B434,'Special Names'!A:B,2,FALSE),B434),PlayerValues!E:E,0)),"N/A")</f>
        <v>16170</v>
      </c>
      <c r="B434" s="4" t="s">
        <v>801</v>
      </c>
      <c r="C434" s="4" t="s">
        <v>278</v>
      </c>
      <c r="D434" s="94">
        <v>1009.0</v>
      </c>
    </row>
    <row r="435">
      <c r="A435" s="40">
        <f t="array" ref="A435">IFNA(index(PlayerValues!A:A,match(IFNA(vlookup(B435,'Special Names'!A:B,2,FALSE),B435),PlayerValues!E:E,0)),"N/A")</f>
        <v>15720</v>
      </c>
      <c r="B435" s="4" t="s">
        <v>795</v>
      </c>
      <c r="C435" s="4" t="s">
        <v>278</v>
      </c>
      <c r="D435" s="94">
        <v>1005.0</v>
      </c>
    </row>
    <row r="436">
      <c r="A436" s="40">
        <f t="array" ref="A436">IFNA(index(PlayerValues!A:A,match(IFNA(vlookup(B436,'Special Names'!A:B,2,FALSE),B436),PlayerValues!E:E,0)),"N/A")</f>
        <v>15109</v>
      </c>
      <c r="B436" s="4" t="s">
        <v>728</v>
      </c>
      <c r="C436" s="4" t="s">
        <v>287</v>
      </c>
      <c r="D436" s="94">
        <v>1001.0</v>
      </c>
    </row>
    <row r="437">
      <c r="A437" s="40">
        <f t="array" ref="A437">IFNA(index(PlayerValues!A:A,match(IFNA(vlookup(B437,'Special Names'!A:B,2,FALSE),B437),PlayerValues!E:E,0)),"N/A")</f>
        <v>15766</v>
      </c>
      <c r="B437" s="4" t="s">
        <v>759</v>
      </c>
      <c r="C437" s="4" t="s">
        <v>287</v>
      </c>
      <c r="D437" s="94">
        <v>988.0</v>
      </c>
    </row>
    <row r="438">
      <c r="A438" s="40">
        <f t="array" ref="A438">IFNA(index(PlayerValues!A:A,match(IFNA(vlookup(B438,'Special Names'!A:B,2,FALSE),B438),PlayerValues!E:E,0)),"N/A")</f>
        <v>16219</v>
      </c>
      <c r="B438" s="4" t="s">
        <v>739</v>
      </c>
      <c r="C438" s="4" t="s">
        <v>298</v>
      </c>
      <c r="D438" s="94">
        <v>1351.0</v>
      </c>
    </row>
    <row r="439">
      <c r="A439" s="40">
        <f t="array" ref="A439">IFNA(index(PlayerValues!A:A,match(IFNA(vlookup(B439,'Special Names'!A:B,2,FALSE),B439),PlayerValues!E:E,0)),"N/A")</f>
        <v>12263</v>
      </c>
      <c r="B439" s="4" t="s">
        <v>697</v>
      </c>
      <c r="C439" s="4" t="s">
        <v>298</v>
      </c>
      <c r="D439" s="94">
        <v>1348.0</v>
      </c>
    </row>
    <row r="440">
      <c r="A440" s="40">
        <f t="array" ref="A440">IFNA(index(PlayerValues!A:A,match(IFNA(vlookup(B440,'Special Names'!A:B,2,FALSE),B440),PlayerValues!E:E,0)),"N/A")</f>
        <v>17466</v>
      </c>
      <c r="B440" s="4" t="s">
        <v>492</v>
      </c>
      <c r="C440" s="4" t="s">
        <v>283</v>
      </c>
      <c r="D440" s="94">
        <v>970.0</v>
      </c>
    </row>
    <row r="441">
      <c r="A441" s="40">
        <f t="array" ref="A441">IFNA(index(PlayerValues!A:A,match(IFNA(vlookup(B441,'Special Names'!A:B,2,FALSE),B441),PlayerValues!E:E,0)),"N/A")</f>
        <v>16176</v>
      </c>
      <c r="B441" s="4" t="s">
        <v>812</v>
      </c>
      <c r="C441" s="4" t="s">
        <v>278</v>
      </c>
      <c r="D441" s="94">
        <v>967.0</v>
      </c>
    </row>
    <row r="442">
      <c r="A442" s="40">
        <f t="array" ref="A442">IFNA(index(PlayerValues!A:A,match(IFNA(vlookup(B442,'Special Names'!A:B,2,FALSE),B442),PlayerValues!E:E,0)),"N/A")</f>
        <v>16416</v>
      </c>
      <c r="B442" s="4" t="s">
        <v>752</v>
      </c>
      <c r="C442" s="4" t="s">
        <v>287</v>
      </c>
      <c r="D442" s="94">
        <v>966.0</v>
      </c>
    </row>
    <row r="443">
      <c r="A443" s="40">
        <f t="array" ref="A443">IFNA(index(PlayerValues!A:A,match(IFNA(vlookup(B443,'Special Names'!A:B,2,FALSE),B443),PlayerValues!E:E,0)),"N/A")</f>
        <v>14799</v>
      </c>
      <c r="B443" s="4" t="s">
        <v>829</v>
      </c>
      <c r="C443" s="4" t="s">
        <v>278</v>
      </c>
      <c r="D443" s="94">
        <v>965.0</v>
      </c>
    </row>
    <row r="444">
      <c r="A444" s="40">
        <f t="array" ref="A444">IFNA(index(PlayerValues!A:A,match(IFNA(vlookup(B444,'Special Names'!A:B,2,FALSE),B444),PlayerValues!E:E,0)),"N/A")</f>
        <v>15263</v>
      </c>
      <c r="B444" s="4" t="s">
        <v>804</v>
      </c>
      <c r="C444" s="4" t="s">
        <v>278</v>
      </c>
      <c r="D444" s="94">
        <v>962.0</v>
      </c>
    </row>
    <row r="445">
      <c r="A445" s="40">
        <f t="array" ref="A445">IFNA(index(PlayerValues!A:A,match(IFNA(vlookup(B445,'Special Names'!A:B,2,FALSE),B445),PlayerValues!E:E,0)),"N/A")</f>
        <v>17468</v>
      </c>
      <c r="B445" s="4" t="s">
        <v>514</v>
      </c>
      <c r="C445" s="4" t="s">
        <v>283</v>
      </c>
      <c r="D445" s="94">
        <v>959.0</v>
      </c>
    </row>
    <row r="446">
      <c r="A446" s="40">
        <f t="array" ref="A446">IFNA(index(PlayerValues!A:A,match(IFNA(vlookup(B446,'Special Names'!A:B,2,FALSE),B446),PlayerValues!E:E,0)),"N/A")</f>
        <v>17479</v>
      </c>
      <c r="B446" s="4" t="s">
        <v>756</v>
      </c>
      <c r="C446" s="4" t="s">
        <v>278</v>
      </c>
      <c r="D446" s="94">
        <v>959.0</v>
      </c>
    </row>
    <row r="447">
      <c r="A447" s="40">
        <f t="array" ref="A447">IFNA(index(PlayerValues!A:A,match(IFNA(vlookup(B447,'Special Names'!A:B,2,FALSE),B447),PlayerValues!E:E,0)),"N/A")</f>
        <v>16773</v>
      </c>
      <c r="B447" s="4" t="s">
        <v>783</v>
      </c>
      <c r="C447" s="4" t="s">
        <v>278</v>
      </c>
      <c r="D447" s="94">
        <v>957.0</v>
      </c>
    </row>
    <row r="448">
      <c r="A448" s="40">
        <f t="array" ref="A448">IFNA(index(PlayerValues!A:A,match(IFNA(vlookup(B448,'Special Names'!A:B,2,FALSE),B448),PlayerValues!E:E,0)),"N/A")</f>
        <v>14849</v>
      </c>
      <c r="B448" s="4" t="s">
        <v>733</v>
      </c>
      <c r="C448" s="4" t="s">
        <v>287</v>
      </c>
      <c r="D448" s="94">
        <v>956.0</v>
      </c>
    </row>
    <row r="449">
      <c r="A449" s="40">
        <f t="array" ref="A449">IFNA(index(PlayerValues!A:A,match(IFNA(vlookup(B449,'Special Names'!A:B,2,FALSE),B449),PlayerValues!E:E,0)),"N/A")</f>
        <v>16751</v>
      </c>
      <c r="B449" s="4" t="s">
        <v>762</v>
      </c>
      <c r="C449" s="4" t="s">
        <v>287</v>
      </c>
      <c r="D449" s="94">
        <v>956.0</v>
      </c>
    </row>
    <row r="450">
      <c r="A450" s="40">
        <f t="array" ref="A450">IFNA(index(PlayerValues!A:A,match(IFNA(vlookup(B450,'Special Names'!A:B,2,FALSE),B450),PlayerValues!E:E,0)),"N/A")</f>
        <v>15723</v>
      </c>
      <c r="B450" s="4" t="s">
        <v>798</v>
      </c>
      <c r="C450" s="4" t="s">
        <v>278</v>
      </c>
      <c r="D450" s="94">
        <v>948.0</v>
      </c>
    </row>
    <row r="451">
      <c r="A451" s="40">
        <f t="array" ref="A451">IFNA(index(PlayerValues!A:A,match(IFNA(vlookup(B451,'Special Names'!A:B,2,FALSE),B451),PlayerValues!E:E,0)),"N/A")</f>
        <v>16624</v>
      </c>
      <c r="B451" s="4" t="s">
        <v>796</v>
      </c>
      <c r="C451" s="4" t="s">
        <v>287</v>
      </c>
      <c r="D451" s="94">
        <v>945.0</v>
      </c>
    </row>
    <row r="452">
      <c r="A452" s="40">
        <f t="array" ref="A452">IFNA(index(PlayerValues!A:A,match(IFNA(vlookup(B452,'Special Names'!A:B,2,FALSE),B452),PlayerValues!E:E,0)),"N/A")</f>
        <v>12785</v>
      </c>
      <c r="B452" s="4" t="s">
        <v>772</v>
      </c>
      <c r="C452" s="4" t="s">
        <v>287</v>
      </c>
      <c r="D452" s="94">
        <v>942.0</v>
      </c>
    </row>
    <row r="453">
      <c r="A453" s="40">
        <f t="array" ref="A453">IFNA(index(PlayerValues!A:A,match(IFNA(vlookup(B453,'Special Names'!A:B,2,FALSE),B453),PlayerValues!E:E,0)),"N/A")</f>
        <v>16599</v>
      </c>
      <c r="B453" s="4" t="s">
        <v>737</v>
      </c>
      <c r="C453" s="4" t="s">
        <v>278</v>
      </c>
      <c r="D453" s="94">
        <v>923.0</v>
      </c>
    </row>
    <row r="454">
      <c r="A454" s="40">
        <f t="array" ref="A454">IFNA(index(PlayerValues!A:A,match(IFNA(vlookup(B454,'Special Names'!A:B,2,FALSE),B454),PlayerValues!E:E,0)),"N/A")</f>
        <v>16159</v>
      </c>
      <c r="B454" s="4" t="s">
        <v>819</v>
      </c>
      <c r="C454" s="4" t="s">
        <v>283</v>
      </c>
      <c r="D454" s="94">
        <v>921.0</v>
      </c>
    </row>
    <row r="455">
      <c r="A455" s="40">
        <f t="array" ref="A455">IFNA(index(PlayerValues!A:A,match(IFNA(vlookup(B455,'Special Names'!A:B,2,FALSE),B455),PlayerValues!E:E,0)),"N/A")</f>
        <v>15804</v>
      </c>
      <c r="B455" s="4" t="s">
        <v>821</v>
      </c>
      <c r="C455" s="4" t="s">
        <v>298</v>
      </c>
      <c r="D455" s="94">
        <v>1284.0</v>
      </c>
    </row>
    <row r="456">
      <c r="A456" s="40">
        <f t="array" ref="A456">IFNA(index(PlayerValues!A:A,match(IFNA(vlookup(B456,'Special Names'!A:B,2,FALSE),B456),PlayerValues!E:E,0)),"N/A")</f>
        <v>13595</v>
      </c>
      <c r="B456" s="4" t="s">
        <v>818</v>
      </c>
      <c r="C456" s="4" t="s">
        <v>283</v>
      </c>
      <c r="D456" s="94">
        <v>907.0</v>
      </c>
    </row>
    <row r="457">
      <c r="A457" s="40">
        <f t="array" ref="A457">IFNA(index(PlayerValues!A:A,match(IFNA(vlookup(B457,'Special Names'!A:B,2,FALSE),B457),PlayerValues!E:E,0)),"N/A")</f>
        <v>17510</v>
      </c>
      <c r="B457" s="4" t="s">
        <v>661</v>
      </c>
      <c r="C457" s="4" t="s">
        <v>287</v>
      </c>
      <c r="D457" s="94">
        <v>906.0</v>
      </c>
    </row>
    <row r="458">
      <c r="A458" s="40">
        <f t="array" ref="A458">IFNA(index(PlayerValues!A:A,match(IFNA(vlookup(B458,'Special Names'!A:B,2,FALSE),B458),PlayerValues!E:E,0)),"N/A")</f>
        <v>15758</v>
      </c>
      <c r="B458" s="4" t="s">
        <v>724</v>
      </c>
      <c r="C458" s="4" t="s">
        <v>287</v>
      </c>
      <c r="D458" s="94">
        <v>902.0</v>
      </c>
    </row>
    <row r="459">
      <c r="A459" s="40">
        <f t="array" ref="A459">IFNA(index(PlayerValues!A:A,match(IFNA(vlookup(B459,'Special Names'!A:B,2,FALSE),B459),PlayerValues!E:E,0)),"N/A")</f>
        <v>16686</v>
      </c>
      <c r="B459" s="4" t="s">
        <v>805</v>
      </c>
      <c r="C459" s="4" t="s">
        <v>287</v>
      </c>
      <c r="D459" s="94">
        <v>897.0</v>
      </c>
    </row>
    <row r="460">
      <c r="A460" s="40">
        <f t="array" ref="A460">IFNA(index(PlayerValues!A:A,match(IFNA(vlookup(B460,'Special Names'!A:B,2,FALSE),B460),PlayerValues!E:E,0)),"N/A")</f>
        <v>17337</v>
      </c>
      <c r="B460" s="4" t="s">
        <v>793</v>
      </c>
      <c r="C460" s="4" t="s">
        <v>278</v>
      </c>
      <c r="D460" s="94">
        <v>897.0</v>
      </c>
    </row>
    <row r="461">
      <c r="A461" s="40">
        <f t="array" ref="A461">IFNA(index(PlayerValues!A:A,match(IFNA(vlookup(B461,'Special Names'!A:B,2,FALSE),B461),PlayerValues!E:E,0)),"N/A")</f>
        <v>14864</v>
      </c>
      <c r="B461" s="4" t="s">
        <v>789</v>
      </c>
      <c r="C461" s="4" t="s">
        <v>287</v>
      </c>
      <c r="D461" s="94">
        <v>896.0</v>
      </c>
    </row>
    <row r="462">
      <c r="A462" s="40">
        <f t="array" ref="A462">IFNA(index(PlayerValues!A:A,match(IFNA(vlookup(B462,'Special Names'!A:B,2,FALSE),B462),PlayerValues!E:E,0)),"N/A")</f>
        <v>14223</v>
      </c>
      <c r="B462" s="4" t="s">
        <v>785</v>
      </c>
      <c r="C462" s="4" t="s">
        <v>278</v>
      </c>
      <c r="D462" s="94">
        <v>870.0</v>
      </c>
    </row>
    <row r="463">
      <c r="A463" s="40">
        <f t="array" ref="A463">IFNA(index(PlayerValues!A:A,match(IFNA(vlookup(B463,'Special Names'!A:B,2,FALSE),B463),PlayerValues!E:E,0)),"N/A")</f>
        <v>13133</v>
      </c>
      <c r="B463" s="4" t="s">
        <v>764</v>
      </c>
      <c r="C463" s="4" t="s">
        <v>278</v>
      </c>
      <c r="D463" s="94">
        <v>860.0</v>
      </c>
    </row>
    <row r="464">
      <c r="A464" s="40">
        <f t="array" ref="A464">IFNA(index(PlayerValues!A:A,match(IFNA(vlookup(B464,'Special Names'!A:B,2,FALSE),B464),PlayerValues!E:E,0)),"N/A")</f>
        <v>16606</v>
      </c>
      <c r="B464" s="4" t="s">
        <v>743</v>
      </c>
      <c r="C464" s="4" t="s">
        <v>278</v>
      </c>
      <c r="D464" s="94">
        <v>860.0</v>
      </c>
    </row>
    <row r="465">
      <c r="A465" s="40">
        <f t="array" ref="A465">IFNA(index(PlayerValues!A:A,match(IFNA(vlookup(B465,'Special Names'!A:B,2,FALSE),B465),PlayerValues!E:E,0)),"N/A")</f>
        <v>14079</v>
      </c>
      <c r="B465" s="4" t="s">
        <v>830</v>
      </c>
      <c r="C465" s="4" t="s">
        <v>278</v>
      </c>
      <c r="D465" s="94">
        <v>852.0</v>
      </c>
    </row>
    <row r="466">
      <c r="A466" s="40">
        <f t="array" ref="A466">IFNA(index(PlayerValues!A:A,match(IFNA(vlookup(B466,'Special Names'!A:B,2,FALSE),B466),PlayerValues!E:E,0)),"N/A")</f>
        <v>15271</v>
      </c>
      <c r="B466" s="4" t="s">
        <v>741</v>
      </c>
      <c r="C466" s="4" t="s">
        <v>278</v>
      </c>
      <c r="D466" s="94">
        <v>841.0</v>
      </c>
    </row>
    <row r="467">
      <c r="A467" s="40">
        <f t="array" ref="A467">IFNA(index(PlayerValues!A:A,match(IFNA(vlookup(B467,'Special Names'!A:B,2,FALSE),B467),PlayerValues!E:E,0)),"N/A")</f>
        <v>17486</v>
      </c>
      <c r="B467" s="4" t="s">
        <v>695</v>
      </c>
      <c r="C467" s="4" t="s">
        <v>278</v>
      </c>
      <c r="D467" s="94">
        <v>822.0</v>
      </c>
    </row>
    <row r="468">
      <c r="A468" s="40">
        <f t="array" ref="A468">IFNA(index(PlayerValues!A:A,match(IFNA(vlookup(B468,'Special Names'!A:B,2,FALSE),B468),PlayerValues!E:E,0)),"N/A")</f>
        <v>13610</v>
      </c>
      <c r="B468" s="4" t="s">
        <v>825</v>
      </c>
      <c r="C468" s="4" t="s">
        <v>278</v>
      </c>
      <c r="D468" s="94">
        <v>810.0</v>
      </c>
    </row>
    <row r="469">
      <c r="A469" s="40">
        <f t="array" ref="A469">IFNA(index(PlayerValues!A:A,match(IFNA(vlookup(B469,'Special Names'!A:B,2,FALSE),B469),PlayerValues!E:E,0)),"N/A")</f>
        <v>17519</v>
      </c>
      <c r="B469" s="4" t="s">
        <v>593</v>
      </c>
      <c r="C469" s="4" t="s">
        <v>287</v>
      </c>
      <c r="D469" s="94">
        <v>806.0</v>
      </c>
    </row>
    <row r="470">
      <c r="A470" s="40">
        <f t="array" ref="A470">IFNA(index(PlayerValues!A:A,match(IFNA(vlookup(B470,'Special Names'!A:B,2,FALSE),B470),PlayerValues!E:E,0)),"N/A")</f>
        <v>13143</v>
      </c>
      <c r="B470" s="4" t="s">
        <v>786</v>
      </c>
      <c r="C470" s="4" t="s">
        <v>278</v>
      </c>
      <c r="D470" s="94">
        <v>786.0</v>
      </c>
    </row>
    <row r="471">
      <c r="A471" s="40">
        <f t="array" ref="A471">IFNA(index(PlayerValues!A:A,match(IFNA(vlookup(B471,'Special Names'!A:B,2,FALSE),B471),PlayerValues!E:E,0)),"N/A")</f>
        <v>16623</v>
      </c>
      <c r="B471" s="4" t="s">
        <v>803</v>
      </c>
      <c r="C471" s="4" t="s">
        <v>287</v>
      </c>
      <c r="D471" s="94">
        <v>753.0</v>
      </c>
    </row>
    <row r="472">
      <c r="A472" s="40">
        <f t="array" ref="A472">IFNA(index(PlayerValues!A:A,match(IFNA(vlookup(B472,'Special Names'!A:B,2,FALSE),B472),PlayerValues!E:E,0)),"N/A")</f>
        <v>16957</v>
      </c>
      <c r="B472" s="4" t="s">
        <v>806</v>
      </c>
      <c r="C472" s="4" t="s">
        <v>278</v>
      </c>
      <c r="D472" s="94">
        <v>745.0</v>
      </c>
    </row>
    <row r="473">
      <c r="A473" s="40">
        <f t="array" ref="A473">IFNA(index(PlayerValues!A:A,match(IFNA(vlookup(B473,'Special Names'!A:B,2,FALSE),B473),PlayerValues!E:E,0)),"N/A")</f>
        <v>17487</v>
      </c>
      <c r="B473" s="4" t="s">
        <v>692</v>
      </c>
      <c r="C473" s="4" t="s">
        <v>278</v>
      </c>
      <c r="D473" s="94">
        <v>724.0</v>
      </c>
    </row>
    <row r="474">
      <c r="A474" s="40">
        <f t="array" ref="A474">IFNA(index(PlayerValues!A:A,match(IFNA(vlookup(B474,'Special Names'!A:B,2,FALSE),B474),PlayerValues!E:E,0)),"N/A")</f>
        <v>11232</v>
      </c>
      <c r="B474" s="4" t="s">
        <v>826</v>
      </c>
      <c r="C474" s="4" t="s">
        <v>287</v>
      </c>
      <c r="D474" s="94">
        <v>708.0</v>
      </c>
    </row>
    <row r="475">
      <c r="A475" s="40">
        <f t="array" ref="A475">IFNA(index(PlayerValues!A:A,match(IFNA(vlookup(B475,'Special Names'!A:B,2,FALSE),B475),PlayerValues!E:E,0)),"N/A")</f>
        <v>17567</v>
      </c>
      <c r="B475" s="4" t="s">
        <v>571</v>
      </c>
      <c r="C475" s="4" t="s">
        <v>298</v>
      </c>
      <c r="D475" s="94">
        <v>1062.0</v>
      </c>
    </row>
    <row r="476">
      <c r="A476" s="40">
        <f t="array" ref="A476">IFNA(index(PlayerValues!A:A,match(IFNA(vlookup(B476,'Special Names'!A:B,2,FALSE),B476),PlayerValues!E:E,0)),"N/A")</f>
        <v>15796</v>
      </c>
      <c r="B476" s="4" t="s">
        <v>794</v>
      </c>
      <c r="C476" s="4" t="s">
        <v>298</v>
      </c>
      <c r="D476" s="94">
        <v>1036.0</v>
      </c>
    </row>
    <row r="477">
      <c r="A477" s="40">
        <f t="array" ref="A477">IFNA(index(PlayerValues!A:A,match(IFNA(vlookup(B477,'Special Names'!A:B,2,FALSE),B477),PlayerValues!E:E,0)),"N/A")</f>
        <v>17485</v>
      </c>
      <c r="B477" s="4" t="s">
        <v>522</v>
      </c>
      <c r="C477" s="4" t="s">
        <v>278</v>
      </c>
      <c r="D477" s="94">
        <v>642.0</v>
      </c>
    </row>
    <row r="478">
      <c r="A478" s="40">
        <f t="array" ref="A478">IFNA(index(PlayerValues!A:A,match(IFNA(vlookup(B478,'Special Names'!A:B,2,FALSE),B478),PlayerValues!E:E,0)),"N/A")</f>
        <v>17475</v>
      </c>
      <c r="B478" s="4" t="s">
        <v>615</v>
      </c>
      <c r="C478" s="4" t="s">
        <v>278</v>
      </c>
      <c r="D478" s="94">
        <v>638.0</v>
      </c>
    </row>
    <row r="479">
      <c r="A479" s="40">
        <f t="array" ref="A479">IFNA(index(PlayerValues!A:A,match(IFNA(vlookup(B479,'Special Names'!A:B,2,FALSE),B479),PlayerValues!E:E,0)),"N/A")</f>
        <v>17038</v>
      </c>
      <c r="B479" s="4" t="s">
        <v>774</v>
      </c>
      <c r="C479" s="4" t="s">
        <v>283</v>
      </c>
      <c r="D479" s="94">
        <v>606.0</v>
      </c>
    </row>
    <row r="480">
      <c r="A480" s="40">
        <f t="array" ref="A480">IFNA(index(PlayerValues!A:A,match(IFNA(vlookup(B480,'Special Names'!A:B,2,FALSE),B480),PlayerValues!E:E,0)),"N/A")</f>
        <v>13176</v>
      </c>
      <c r="B480" s="4" t="s">
        <v>807</v>
      </c>
      <c r="C480" s="4" t="s">
        <v>287</v>
      </c>
      <c r="D480" s="94">
        <v>594.0</v>
      </c>
    </row>
    <row r="481">
      <c r="A481" s="40">
        <f t="array" ref="A481">IFNA(index(PlayerValues!A:A,match(IFNA(vlookup(B481,'Special Names'!A:B,2,FALSE),B481),PlayerValues!E:E,0)),"N/A")</f>
        <v>17243</v>
      </c>
      <c r="B481" s="4" t="s">
        <v>810</v>
      </c>
      <c r="C481" s="4" t="s">
        <v>298</v>
      </c>
      <c r="D481" s="94">
        <v>931.0</v>
      </c>
    </row>
    <row r="482">
      <c r="A482" s="40">
        <f t="array" ref="A482">IFNA(index(PlayerValues!A:A,match(IFNA(vlookup(B482,'Special Names'!A:B,2,FALSE),B482),PlayerValues!E:E,0)),"N/A")</f>
        <v>16413</v>
      </c>
      <c r="B482" s="4" t="s">
        <v>781</v>
      </c>
      <c r="C482" s="4" t="s">
        <v>287</v>
      </c>
      <c r="D482" s="94">
        <v>581.0</v>
      </c>
    </row>
    <row r="483">
      <c r="A483" s="40">
        <f t="array" ref="A483">IFNA(index(PlayerValues!A:A,match(IFNA(vlookup(B483,'Special Names'!A:B,2,FALSE),B483),PlayerValues!E:E,0)),"N/A")</f>
        <v>14358</v>
      </c>
      <c r="B483" s="4" t="s">
        <v>813</v>
      </c>
      <c r="C483" s="4" t="s">
        <v>283</v>
      </c>
      <c r="D483" s="94">
        <v>578.0</v>
      </c>
    </row>
    <row r="484">
      <c r="A484" s="40">
        <f t="array" ref="A484">IFNA(index(PlayerValues!A:A,match(IFNA(vlookup(B484,'Special Names'!A:B,2,FALSE),B484),PlayerValues!E:E,0)),"N/A")</f>
        <v>13763</v>
      </c>
      <c r="B484" s="4" t="s">
        <v>831</v>
      </c>
      <c r="C484" s="4" t="s">
        <v>298</v>
      </c>
      <c r="D484" s="94">
        <v>927.0</v>
      </c>
    </row>
    <row r="485">
      <c r="A485" s="40">
        <f t="array" ref="A485">IFNA(index(PlayerValues!A:A,match(IFNA(vlookup(B485,'Special Names'!A:B,2,FALSE),B485),PlayerValues!E:E,0)),"N/A")</f>
        <v>17545</v>
      </c>
      <c r="B485" s="4" t="s">
        <v>719</v>
      </c>
      <c r="C485" s="4" t="s">
        <v>298</v>
      </c>
      <c r="D485" s="94">
        <v>924.0</v>
      </c>
    </row>
    <row r="486">
      <c r="A486" s="40">
        <f t="array" ref="A486">IFNA(index(PlayerValues!A:A,match(IFNA(vlookup(B486,'Special Names'!A:B,2,FALSE),B486),PlayerValues!E:E,0)),"N/A")</f>
        <v>14875</v>
      </c>
      <c r="B486" s="4" t="s">
        <v>820</v>
      </c>
      <c r="C486" s="4" t="s">
        <v>298</v>
      </c>
      <c r="D486" s="94">
        <v>923.0</v>
      </c>
    </row>
    <row r="487">
      <c r="A487" s="40">
        <f t="array" ref="A487">IFNA(index(PlayerValues!A:A,match(IFNA(vlookup(B487,'Special Names'!A:B,2,FALSE),B487),PlayerValues!E:E,0)),"N/A")</f>
        <v>12187</v>
      </c>
      <c r="B487" s="4" t="s">
        <v>832</v>
      </c>
      <c r="C487" s="4" t="s">
        <v>287</v>
      </c>
      <c r="D487" s="94">
        <v>572.0</v>
      </c>
    </row>
    <row r="488">
      <c r="A488" s="40">
        <f t="array" ref="A488">IFNA(index(PlayerValues!A:A,match(IFNA(vlookup(B488,'Special Names'!A:B,2,FALSE),B488),PlayerValues!E:E,0)),"N/A")</f>
        <v>15285</v>
      </c>
      <c r="B488" s="4" t="s">
        <v>792</v>
      </c>
      <c r="C488" s="4" t="s">
        <v>287</v>
      </c>
      <c r="D488" s="94">
        <v>572.0</v>
      </c>
    </row>
    <row r="489">
      <c r="A489" s="40">
        <f t="array" ref="A489">IFNA(index(PlayerValues!A:A,match(IFNA(vlookup(B489,'Special Names'!A:B,2,FALSE),B489),PlayerValues!E:E,0)),"N/A")</f>
        <v>16613</v>
      </c>
      <c r="B489" s="4" t="s">
        <v>782</v>
      </c>
      <c r="C489" s="4" t="s">
        <v>278</v>
      </c>
      <c r="D489" s="94">
        <v>572.0</v>
      </c>
    </row>
    <row r="490">
      <c r="A490" s="40">
        <f t="array" ref="A490">IFNA(index(PlayerValues!A:A,match(IFNA(vlookup(B490,'Special Names'!A:B,2,FALSE),B490),PlayerValues!E:E,0)),"N/A")</f>
        <v>17282</v>
      </c>
      <c r="B490" s="4" t="s">
        <v>833</v>
      </c>
      <c r="C490" s="4" t="s">
        <v>283</v>
      </c>
      <c r="D490" s="94">
        <v>572.0</v>
      </c>
    </row>
    <row r="491">
      <c r="A491" s="40">
        <f t="array" ref="A491">IFNA(index(PlayerValues!A:A,match(IFNA(vlookup(B491,'Special Names'!A:B,2,FALSE),B491),PlayerValues!E:E,0)),"N/A")</f>
        <v>14239</v>
      </c>
      <c r="B491" s="4" t="s">
        <v>824</v>
      </c>
      <c r="C491" s="4" t="s">
        <v>298</v>
      </c>
      <c r="D491" s="94">
        <v>924.0</v>
      </c>
    </row>
    <row r="492">
      <c r="A492" s="40">
        <f t="array" ref="A492">IFNA(index(PlayerValues!A:A,match(IFNA(vlookup(B492,'Special Names'!A:B,2,FALSE),B492),PlayerValues!E:E,0)),"N/A")</f>
        <v>17521</v>
      </c>
      <c r="B492" s="4" t="s">
        <v>573</v>
      </c>
      <c r="C492" s="4" t="s">
        <v>287</v>
      </c>
      <c r="D492" s="94">
        <v>454.0</v>
      </c>
    </row>
    <row r="493">
      <c r="A493" s="40">
        <f t="array" ref="A493">IFNA(index(PlayerValues!A:A,match(IFNA(vlookup(B493,'Special Names'!A:B,2,FALSE),B493),PlayerValues!E:E,0)),"N/A")</f>
        <v>17548</v>
      </c>
      <c r="B493" s="4" t="s">
        <v>594</v>
      </c>
      <c r="C493" s="4" t="s">
        <v>298</v>
      </c>
      <c r="D493" s="94">
        <v>781.0</v>
      </c>
    </row>
    <row r="494">
      <c r="A494" s="40">
        <f t="array" ref="A494">IFNA(index(PlayerValues!A:A,match(IFNA(vlookup(B494,'Special Names'!A:B,2,FALSE),B494),PlayerValues!E:E,0)),"N/A")</f>
        <v>17529</v>
      </c>
      <c r="B494" s="4" t="s">
        <v>608</v>
      </c>
      <c r="C494" s="4" t="s">
        <v>287</v>
      </c>
      <c r="D494" s="94">
        <v>352.0</v>
      </c>
    </row>
    <row r="495">
      <c r="A495" s="40">
        <f t="array" ref="A495">IFNA(index(PlayerValues!A:A,match(IFNA(vlookup(B495,'Special Names'!A:B,2,FALSE),B495),PlayerValues!E:E,0)),"N/A")</f>
        <v>17607</v>
      </c>
      <c r="B495" s="4" t="s">
        <v>526</v>
      </c>
      <c r="C495" s="4" t="s">
        <v>298</v>
      </c>
      <c r="D495" s="94">
        <v>676.0</v>
      </c>
    </row>
    <row r="496">
      <c r="A496" s="40">
        <f t="array" ref="A496">IFNA(index(PlayerValues!A:A,match(IFNA(vlookup(B496,'Special Names'!A:B,2,FALSE),B496),PlayerValues!E:E,0)),"N/A")</f>
        <v>17599</v>
      </c>
      <c r="B496" s="4" t="s">
        <v>496</v>
      </c>
      <c r="C496" s="4" t="s">
        <v>287</v>
      </c>
      <c r="D496" s="94">
        <v>224.0</v>
      </c>
    </row>
    <row r="497">
      <c r="A497" s="40">
        <f t="array" ref="A497">IFNA(index(PlayerValues!A:A,match(IFNA(vlookup(B497,'Special Names'!A:B,2,FALSE),B497),PlayerValues!E:E,0)),"N/A")</f>
        <v>17549</v>
      </c>
      <c r="B497" s="4" t="s">
        <v>720</v>
      </c>
      <c r="C497" s="4" t="s">
        <v>298</v>
      </c>
      <c r="D497" s="94">
        <v>651.0</v>
      </c>
    </row>
    <row r="498">
      <c r="A498" s="40">
        <f t="array" ref="A498">IFNA(index(PlayerValues!A:A,match(IFNA(vlookup(B498,'Special Names'!A:B,2,FALSE),B498),PlayerValues!E:E,0)),"N/A")</f>
        <v>17685</v>
      </c>
      <c r="B498" s="4" t="s">
        <v>630</v>
      </c>
      <c r="C498" s="4" t="s">
        <v>278</v>
      </c>
      <c r="D498" s="94">
        <v>212.0</v>
      </c>
    </row>
    <row r="499">
      <c r="A499" s="40">
        <f t="array" ref="A499">IFNA(index(PlayerValues!A:A,match(IFNA(vlookup(B499,'Special Names'!A:B,2,FALSE),B499),PlayerValues!E:E,0)),"N/A")</f>
        <v>17654</v>
      </c>
      <c r="B499" s="4" t="s">
        <v>767</v>
      </c>
      <c r="C499" s="4" t="s">
        <v>283</v>
      </c>
      <c r="D499" s="94">
        <v>123.0</v>
      </c>
    </row>
    <row r="500">
      <c r="A500" s="40">
        <f t="array" ref="A500">IFNA(index(PlayerValues!A:A,match(IFNA(vlookup(B500,'Special Names'!A:B,2,FALSE),B500),PlayerValues!E:E,0)),"N/A")</f>
        <v>17591</v>
      </c>
      <c r="B500" s="4" t="s">
        <v>834</v>
      </c>
      <c r="C500" s="4" t="s">
        <v>298</v>
      </c>
      <c r="D500" s="94">
        <v>541.0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9999.0</v>
      </c>
    </row>
    <row r="502">
      <c r="A502" s="40">
        <f t="array" ref="A502">IFNA(index(PlayerValues!A:A,match(IFNA(vlookup(B502,'Special Names'!A:B,2,FALSE),B502),PlayerValues!E:E,0)),"N/A")</f>
        <v>16161</v>
      </c>
      <c r="B502" s="4" t="s">
        <v>277</v>
      </c>
      <c r="C502" s="4" t="s">
        <v>278</v>
      </c>
      <c r="D502" s="94">
        <v>9992.0</v>
      </c>
    </row>
    <row r="503">
      <c r="A503" s="40">
        <f t="array" ref="A503">IFNA(index(PlayerValues!A:A,match(IFNA(vlookup(B503,'Special Names'!A:B,2,FALSE),B503),PlayerValues!E:E,0)),"N/A")</f>
        <v>15281</v>
      </c>
      <c r="B503" s="4" t="s">
        <v>286</v>
      </c>
      <c r="C503" s="4" t="s">
        <v>287</v>
      </c>
      <c r="D503" s="94">
        <v>9893.0</v>
      </c>
    </row>
    <row r="504">
      <c r="A504" s="40">
        <f t="array" ref="A504">IFNA(index(PlayerValues!A:A,match(IFNA(vlookup(B504,'Special Names'!A:B,2,FALSE),B504),PlayerValues!E:E,0)),"N/A")</f>
        <v>16185</v>
      </c>
      <c r="B504" s="4" t="s">
        <v>290</v>
      </c>
      <c r="C504" s="4" t="s">
        <v>287</v>
      </c>
      <c r="D504" s="94">
        <v>9873.0</v>
      </c>
    </row>
    <row r="505">
      <c r="A505" s="40">
        <f t="array" ref="A505">IFNA(index(PlayerValues!A:A,match(IFNA(vlookup(B505,'Special Names'!A:B,2,FALSE),B505),PlayerValues!E:E,0)),"N/A")</f>
        <v>16162</v>
      </c>
      <c r="B505" s="4" t="s">
        <v>281</v>
      </c>
      <c r="C505" s="4" t="s">
        <v>278</v>
      </c>
      <c r="D505" s="94">
        <v>9605.0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9504.0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8579.0</v>
      </c>
    </row>
    <row r="508">
      <c r="A508" s="40">
        <f t="array" ref="A508">IFNA(index(PlayerValues!A:A,match(IFNA(vlookup(B508,'Special Names'!A:B,2,FALSE),B508),PlayerValues!E:E,0)),"N/A")</f>
        <v>16641</v>
      </c>
      <c r="B508" s="4" t="s">
        <v>297</v>
      </c>
      <c r="C508" s="4" t="s">
        <v>298</v>
      </c>
      <c r="D508" s="94">
        <v>8802.0</v>
      </c>
    </row>
    <row r="509">
      <c r="A509" s="40">
        <f t="array" ref="A509">IFNA(index(PlayerValues!A:A,match(IFNA(vlookup(B509,'Special Names'!A:B,2,FALSE),B509),PlayerValues!E:E,0)),"N/A")</f>
        <v>16581</v>
      </c>
      <c r="B509" s="4" t="s">
        <v>315</v>
      </c>
      <c r="C509" s="4" t="s">
        <v>283</v>
      </c>
      <c r="D509" s="94">
        <v>7866.0</v>
      </c>
    </row>
    <row r="510">
      <c r="A510" s="40">
        <f t="array" ref="A510">IFNA(index(PlayerValues!A:A,match(IFNA(vlookup(B510,'Special Names'!A:B,2,FALSE),B510),PlayerValues!E:E,0)),"N/A")</f>
        <v>16615</v>
      </c>
      <c r="B510" s="4" t="s">
        <v>309</v>
      </c>
      <c r="C510" s="4" t="s">
        <v>287</v>
      </c>
      <c r="D510" s="94">
        <v>7858.0</v>
      </c>
    </row>
    <row r="511">
      <c r="A511" s="40">
        <f t="array" ref="A511">IFNA(index(PlayerValues!A:A,match(IFNA(vlookup(B511,'Special Names'!A:B,2,FALSE),B511),PlayerValues!E:E,0)),"N/A")</f>
        <v>16579</v>
      </c>
      <c r="B511" s="4" t="s">
        <v>302</v>
      </c>
      <c r="C511" s="4" t="s">
        <v>283</v>
      </c>
      <c r="D511" s="94">
        <v>7796.0</v>
      </c>
    </row>
    <row r="512">
      <c r="A512" s="40">
        <f t="array" ref="A512">IFNA(index(PlayerValues!A:A,match(IFNA(vlookup(B512,'Special Names'!A:B,2,FALSE),B512),PlayerValues!E:E,0)),"N/A")</f>
        <v>14836</v>
      </c>
      <c r="B512" s="4" t="s">
        <v>306</v>
      </c>
      <c r="C512" s="4" t="s">
        <v>287</v>
      </c>
      <c r="D512" s="94">
        <v>7766.0</v>
      </c>
    </row>
    <row r="513">
      <c r="A513" s="40">
        <f t="array" ref="A513">IFNA(index(PlayerValues!A:A,match(IFNA(vlookup(B513,'Special Names'!A:B,2,FALSE),B513),PlayerValues!E:E,0)),"N/A")</f>
        <v>15287</v>
      </c>
      <c r="B513" s="4" t="s">
        <v>299</v>
      </c>
      <c r="C513" s="4" t="s">
        <v>287</v>
      </c>
      <c r="D513" s="94">
        <v>7693.0</v>
      </c>
    </row>
    <row r="514">
      <c r="A514" s="40">
        <f t="array" ref="A514">IFNA(index(PlayerValues!A:A,match(IFNA(vlookup(B514,'Special Names'!A:B,2,FALSE),B514),PlayerValues!E:E,0)),"N/A")</f>
        <v>13593</v>
      </c>
      <c r="B514" s="4" t="s">
        <v>305</v>
      </c>
      <c r="C514" s="4" t="s">
        <v>283</v>
      </c>
      <c r="D514" s="94">
        <v>7671.0</v>
      </c>
    </row>
    <row r="515">
      <c r="A515" s="40">
        <f t="array" ref="A515">IFNA(index(PlayerValues!A:A,match(IFNA(vlookup(B515,'Special Names'!A:B,2,FALSE),B515),PlayerValues!E:E,0)),"N/A")</f>
        <v>17472</v>
      </c>
      <c r="B515" s="4" t="s">
        <v>310</v>
      </c>
      <c r="C515" s="4" t="s">
        <v>278</v>
      </c>
      <c r="D515" s="94">
        <v>7586.0</v>
      </c>
    </row>
    <row r="516">
      <c r="A516" s="40">
        <f t="array" ref="A516">IFNA(index(PlayerValues!A:A,match(IFNA(vlookup(B516,'Special Names'!A:B,2,FALSE),B516),PlayerValues!E:E,0)),"N/A")</f>
        <v>17042</v>
      </c>
      <c r="B516" s="4" t="s">
        <v>314</v>
      </c>
      <c r="C516" s="4" t="s">
        <v>278</v>
      </c>
      <c r="D516" s="94">
        <v>7569.0</v>
      </c>
    </row>
    <row r="517">
      <c r="A517" s="40">
        <f t="array" ref="A517">IFNA(index(PlayerValues!A:A,match(IFNA(vlookup(B517,'Special Names'!A:B,2,FALSE),B517),PlayerValues!E:E,0)),"N/A")</f>
        <v>15794</v>
      </c>
      <c r="B517" s="4" t="s">
        <v>313</v>
      </c>
      <c r="C517" s="4" t="s">
        <v>298</v>
      </c>
      <c r="D517" s="94">
        <v>8371.0</v>
      </c>
    </row>
    <row r="518">
      <c r="A518" s="40">
        <f t="array" ref="A518">IFNA(index(PlayerValues!A:A,match(IFNA(vlookup(B518,'Special Names'!A:B,2,FALSE),B518),PlayerValues!E:E,0)),"N/A")</f>
        <v>14777</v>
      </c>
      <c r="B518" s="4" t="s">
        <v>318</v>
      </c>
      <c r="C518" s="4" t="s">
        <v>283</v>
      </c>
      <c r="D518" s="94">
        <v>7544.0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7315.0</v>
      </c>
    </row>
    <row r="520">
      <c r="A520" s="40" t="str">
        <f t="array" ref="A520">IFNA(index(PlayerValues!A:A,match(IFNA(vlookup(B520,'Special Names'!A:B,2,FALSE),B520),PlayerValues!E:E,0)),"N/A")</f>
        <v>N/A</v>
      </c>
      <c r="B520" s="4" t="s">
        <v>92</v>
      </c>
      <c r="C520" s="4" t="s">
        <v>325</v>
      </c>
      <c r="D520" s="94">
        <v>7022.0</v>
      </c>
    </row>
    <row r="521">
      <c r="A521" s="40">
        <f t="array" ref="A521">IFNA(index(PlayerValues!A:A,match(IFNA(vlookup(B521,'Special Names'!A:B,2,FALSE),B521),PlayerValues!E:E,0)),"N/A")</f>
        <v>15751</v>
      </c>
      <c r="B521" s="4" t="s">
        <v>328</v>
      </c>
      <c r="C521" s="4" t="s">
        <v>287</v>
      </c>
      <c r="D521" s="94">
        <v>6916.0</v>
      </c>
    </row>
    <row r="522">
      <c r="A522" s="40">
        <f t="array" ref="A522">IFNA(index(PlayerValues!A:A,match(IFNA(vlookup(B522,'Special Names'!A:B,2,FALSE),B522),PlayerValues!E:E,0)),"N/A")</f>
        <v>16167</v>
      </c>
      <c r="B522" s="4" t="s">
        <v>323</v>
      </c>
      <c r="C522" s="4" t="s">
        <v>278</v>
      </c>
      <c r="D522" s="94">
        <v>6862.0</v>
      </c>
    </row>
    <row r="523">
      <c r="A523" s="40">
        <f t="array" ref="A523">IFNA(index(PlayerValues!A:A,match(IFNA(vlookup(B523,'Special Names'!A:B,2,FALSE),B523),PlayerValues!E:E,0)),"N/A")</f>
        <v>13116</v>
      </c>
      <c r="B523" s="4" t="s">
        <v>345</v>
      </c>
      <c r="C523" s="4" t="s">
        <v>283</v>
      </c>
      <c r="D523" s="94">
        <v>6837.0</v>
      </c>
    </row>
    <row r="524">
      <c r="A524" s="40">
        <f t="array" ref="A524">IFNA(index(PlayerValues!A:A,match(IFNA(vlookup(B524,'Special Names'!A:B,2,FALSE),B524),PlayerValues!E:E,0)),"N/A")</f>
        <v>14779</v>
      </c>
      <c r="B524" s="4" t="s">
        <v>327</v>
      </c>
      <c r="C524" s="4" t="s">
        <v>283</v>
      </c>
      <c r="D524" s="94">
        <v>6796.0</v>
      </c>
    </row>
    <row r="525">
      <c r="A525" s="40">
        <f t="array" ref="A525">IFNA(index(PlayerValues!A:A,match(IFNA(vlookup(B525,'Special Names'!A:B,2,FALSE),B525),PlayerValues!E:E,0)),"N/A")</f>
        <v>17044</v>
      </c>
      <c r="B525" s="4" t="s">
        <v>322</v>
      </c>
      <c r="C525" s="4" t="s">
        <v>278</v>
      </c>
      <c r="D525" s="94">
        <v>6694.0</v>
      </c>
    </row>
    <row r="526">
      <c r="A526" s="40">
        <f t="array" ref="A526">IFNA(index(PlayerValues!A:A,match(IFNA(vlookup(B526,'Special Names'!A:B,2,FALSE),B526),PlayerValues!E:E,0)),"N/A")</f>
        <v>17032</v>
      </c>
      <c r="B526" s="4" t="s">
        <v>348</v>
      </c>
      <c r="C526" s="4" t="s">
        <v>283</v>
      </c>
      <c r="D526" s="94">
        <v>6632.0</v>
      </c>
    </row>
    <row r="527">
      <c r="A527" s="40">
        <f t="array" ref="A527">IFNA(index(PlayerValues!A:A,match(IFNA(vlookup(B527,'Special Names'!A:B,2,FALSE),B527),PlayerValues!E:E,0)),"N/A")</f>
        <v>17071</v>
      </c>
      <c r="B527" s="4" t="s">
        <v>341</v>
      </c>
      <c r="C527" s="4" t="s">
        <v>287</v>
      </c>
      <c r="D527" s="94">
        <v>6627.0</v>
      </c>
    </row>
    <row r="528">
      <c r="A528" s="40">
        <f t="array" ref="A528">IFNA(index(PlayerValues!A:A,match(IFNA(vlookup(B528,'Special Names'!A:B,2,FALSE),B528),PlayerValues!E:E,0)),"N/A")</f>
        <v>16582</v>
      </c>
      <c r="B528" s="4" t="s">
        <v>343</v>
      </c>
      <c r="C528" s="4" t="s">
        <v>283</v>
      </c>
      <c r="D528" s="94">
        <v>6232.0</v>
      </c>
    </row>
    <row r="529">
      <c r="A529" s="40">
        <f t="array" ref="A529">IFNA(index(PlayerValues!A:A,match(IFNA(vlookup(B529,'Special Names'!A:B,2,FALSE),B529),PlayerValues!E:E,0)),"N/A")</f>
        <v>15237</v>
      </c>
      <c r="B529" s="4" t="s">
        <v>336</v>
      </c>
      <c r="C529" s="4" t="s">
        <v>283</v>
      </c>
      <c r="D529" s="94">
        <v>6220.0</v>
      </c>
    </row>
    <row r="530">
      <c r="A530" s="40">
        <f t="array" ref="A530">IFNA(index(PlayerValues!A:A,match(IFNA(vlookup(B530,'Special Names'!A:B,2,FALSE),B530),PlayerValues!E:E,0)),"N/A")</f>
        <v>14783</v>
      </c>
      <c r="B530" s="4" t="s">
        <v>342</v>
      </c>
      <c r="C530" s="4" t="s">
        <v>283</v>
      </c>
      <c r="D530" s="94">
        <v>6146.0</v>
      </c>
    </row>
    <row r="531">
      <c r="A531" s="40">
        <f t="array" ref="A531">IFNA(index(PlayerValues!A:A,match(IFNA(vlookup(B531,'Special Names'!A:B,2,FALSE),B531),PlayerValues!E:E,0)),"N/A")</f>
        <v>15715</v>
      </c>
      <c r="B531" s="4" t="s">
        <v>331</v>
      </c>
      <c r="C531" s="4" t="s">
        <v>278</v>
      </c>
      <c r="D531" s="94">
        <v>6124.0</v>
      </c>
    </row>
    <row r="532">
      <c r="A532" s="40">
        <f t="array" ref="A532">IFNA(index(PlayerValues!A:A,match(IFNA(vlookup(B532,'Special Names'!A:B,2,FALSE),B532),PlayerValues!E:E,0)),"N/A")</f>
        <v>17081</v>
      </c>
      <c r="B532" s="4" t="s">
        <v>340</v>
      </c>
      <c r="C532" s="4" t="s">
        <v>287</v>
      </c>
      <c r="D532" s="94">
        <v>6117.0</v>
      </c>
    </row>
    <row r="533">
      <c r="A533" s="40">
        <f t="array" ref="A533">IFNA(index(PlayerValues!A:A,match(IFNA(vlookup(B533,'Special Names'!A:B,2,FALSE),B533),PlayerValues!E:E,0)),"N/A")</f>
        <v>17104</v>
      </c>
      <c r="B533" s="4" t="s">
        <v>333</v>
      </c>
      <c r="C533" s="4" t="s">
        <v>298</v>
      </c>
      <c r="D533" s="94">
        <v>6766.0</v>
      </c>
    </row>
    <row r="534">
      <c r="A534" s="40">
        <f t="array" ref="A534">IFNA(index(PlayerValues!A:A,match(IFNA(vlookup(B534,'Special Names'!A:B,2,FALSE),B534),PlayerValues!E:E,0)),"N/A")</f>
        <v>14802</v>
      </c>
      <c r="B534" s="4" t="s">
        <v>332</v>
      </c>
      <c r="C534" s="4" t="s">
        <v>278</v>
      </c>
      <c r="D534" s="94">
        <v>6033.0</v>
      </c>
    </row>
    <row r="535">
      <c r="A535" s="40">
        <f t="array" ref="A535">IFNA(index(PlayerValues!A:A,match(IFNA(vlookup(B535,'Special Names'!A:B,2,FALSE),B535),PlayerValues!E:E,0)),"N/A")</f>
        <v>15762</v>
      </c>
      <c r="B535" s="4" t="s">
        <v>337</v>
      </c>
      <c r="C535" s="4" t="s">
        <v>287</v>
      </c>
      <c r="D535" s="94">
        <v>5970.0</v>
      </c>
    </row>
    <row r="536">
      <c r="A536" s="40">
        <f t="array" ref="A536">IFNA(index(PlayerValues!A:A,match(IFNA(vlookup(B536,'Special Names'!A:B,2,FALSE),B536),PlayerValues!E:E,0)),"N/A")</f>
        <v>15698</v>
      </c>
      <c r="B536" s="4" t="s">
        <v>358</v>
      </c>
      <c r="C536" s="4" t="s">
        <v>283</v>
      </c>
      <c r="D536" s="94">
        <v>5895.0</v>
      </c>
    </row>
    <row r="537">
      <c r="A537" s="40">
        <f t="array" ref="A537">IFNA(index(PlayerValues!A:A,match(IFNA(vlookup(B537,'Special Names'!A:B,2,FALSE),B537),PlayerValues!E:E,0)),"N/A")</f>
        <v>15753</v>
      </c>
      <c r="B537" s="4" t="s">
        <v>359</v>
      </c>
      <c r="C537" s="4" t="s">
        <v>287</v>
      </c>
      <c r="D537" s="94">
        <v>5736.0</v>
      </c>
    </row>
    <row r="538">
      <c r="A538" s="40">
        <f t="array" ref="A538">IFNA(index(PlayerValues!A:A,match(IFNA(vlookup(B538,'Special Names'!A:B,2,FALSE),B538),PlayerValues!E:E,0)),"N/A")</f>
        <v>17102</v>
      </c>
      <c r="B538" s="4" t="s">
        <v>344</v>
      </c>
      <c r="C538" s="4" t="s">
        <v>298</v>
      </c>
      <c r="D538" s="94">
        <v>6376.0</v>
      </c>
    </row>
    <row r="539">
      <c r="A539" s="40">
        <f t="array" ref="A539">IFNA(index(PlayerValues!A:A,match(IFNA(vlookup(B539,'Special Names'!A:B,2,FALSE),B539),PlayerValues!E:E,0)),"N/A")</f>
        <v>17497</v>
      </c>
      <c r="B539" s="4" t="s">
        <v>365</v>
      </c>
      <c r="C539" s="4" t="s">
        <v>287</v>
      </c>
      <c r="D539" s="94">
        <v>5692.0</v>
      </c>
    </row>
    <row r="540">
      <c r="A540" s="40" t="str">
        <f t="array" ref="A540">IFNA(index(PlayerValues!A:A,match(IFNA(vlookup(B540,'Special Names'!A:B,2,FALSE),B540),PlayerValues!E:E,0)),"N/A")</f>
        <v>N/A</v>
      </c>
      <c r="B540" s="4" t="s">
        <v>79</v>
      </c>
      <c r="C540" s="4" t="s">
        <v>325</v>
      </c>
      <c r="D540" s="94">
        <v>5668.0</v>
      </c>
    </row>
    <row r="541">
      <c r="A541" s="40">
        <f t="array" ref="A541">IFNA(index(PlayerValues!A:A,match(IFNA(vlookup(B541,'Special Names'!A:B,2,FALSE),B541),PlayerValues!E:E,0)),"N/A")</f>
        <v>17462</v>
      </c>
      <c r="B541" s="4" t="s">
        <v>375</v>
      </c>
      <c r="C541" s="4" t="s">
        <v>283</v>
      </c>
      <c r="D541" s="94">
        <v>5649.0</v>
      </c>
    </row>
    <row r="542">
      <c r="A542" s="40">
        <f t="array" ref="A542">IFNA(index(PlayerValues!A:A,match(IFNA(vlookup(B542,'Special Names'!A:B,2,FALSE),B542),PlayerValues!E:E,0)),"N/A")</f>
        <v>15290</v>
      </c>
      <c r="B542" s="4" t="s">
        <v>355</v>
      </c>
      <c r="C542" s="4" t="s">
        <v>287</v>
      </c>
      <c r="D542" s="94">
        <v>5638.0</v>
      </c>
    </row>
    <row r="543">
      <c r="A543" s="40">
        <f t="array" ref="A543">IFNA(index(PlayerValues!A:A,match(IFNA(vlookup(B543,'Special Names'!A:B,2,FALSE),B543),PlayerValues!E:E,0)),"N/A")</f>
        <v>14782</v>
      </c>
      <c r="B543" s="4" t="s">
        <v>385</v>
      </c>
      <c r="C543" s="4" t="s">
        <v>283</v>
      </c>
      <c r="D543" s="94">
        <v>5637.0</v>
      </c>
    </row>
    <row r="544">
      <c r="A544" s="40">
        <f t="array" ref="A544">IFNA(index(PlayerValues!A:A,match(IFNA(vlookup(B544,'Special Names'!A:B,2,FALSE),B544),PlayerValues!E:E,0)),"N/A")</f>
        <v>15754</v>
      </c>
      <c r="B544" s="4" t="s">
        <v>354</v>
      </c>
      <c r="C544" s="4" t="s">
        <v>287</v>
      </c>
      <c r="D544" s="94">
        <v>5611.0</v>
      </c>
    </row>
    <row r="545">
      <c r="A545" s="40" t="str">
        <f t="array" ref="A545">IFNA(index(PlayerValues!A:A,match(IFNA(vlookup(B545,'Special Names'!A:B,2,FALSE),B545),PlayerValues!E:E,0)),"N/A")</f>
        <v>N/A</v>
      </c>
      <c r="B545" s="4" t="s">
        <v>93</v>
      </c>
      <c r="C545" s="4" t="s">
        <v>325</v>
      </c>
      <c r="D545" s="94">
        <v>5571.0</v>
      </c>
    </row>
    <row r="546">
      <c r="A546" s="40">
        <f t="array" ref="A546">IFNA(index(PlayerValues!A:A,match(IFNA(vlookup(B546,'Special Names'!A:B,2,FALSE),B546),PlayerValues!E:E,0)),"N/A")</f>
        <v>15711</v>
      </c>
      <c r="B546" s="4" t="s">
        <v>349</v>
      </c>
      <c r="C546" s="4" t="s">
        <v>278</v>
      </c>
      <c r="D546" s="94">
        <v>5531.0</v>
      </c>
    </row>
    <row r="547">
      <c r="A547" s="40">
        <f t="array" ref="A547">IFNA(index(PlayerValues!A:A,match(IFNA(vlookup(B547,'Special Names'!A:B,2,FALSE),B547),PlayerValues!E:E,0)),"N/A")</f>
        <v>17043</v>
      </c>
      <c r="B547" s="4" t="s">
        <v>397</v>
      </c>
      <c r="C547" s="4" t="s">
        <v>278</v>
      </c>
      <c r="D547" s="94">
        <v>5477.0</v>
      </c>
    </row>
    <row r="548">
      <c r="A548" s="40">
        <f t="array" ref="A548">IFNA(index(PlayerValues!A:A,match(IFNA(vlookup(B548,'Special Names'!A:B,2,FALSE),B548),PlayerValues!E:E,0)),"N/A")</f>
        <v>17051</v>
      </c>
      <c r="B548" s="4" t="s">
        <v>386</v>
      </c>
      <c r="C548" s="4" t="s">
        <v>278</v>
      </c>
      <c r="D548" s="94">
        <v>5458.0</v>
      </c>
    </row>
    <row r="549">
      <c r="A549" s="40">
        <f t="array" ref="A549">IFNA(index(PlayerValues!A:A,match(IFNA(vlookup(B549,'Special Names'!A:B,2,FALSE),B549),PlayerValues!E:E,0)),"N/A")</f>
        <v>16627</v>
      </c>
      <c r="B549" s="4" t="s">
        <v>351</v>
      </c>
      <c r="C549" s="4" t="s">
        <v>287</v>
      </c>
      <c r="D549" s="94">
        <v>5397.0</v>
      </c>
    </row>
    <row r="550">
      <c r="A550" s="40">
        <f t="array" ref="A550">IFNA(index(PlayerValues!A:A,match(IFNA(vlookup(B550,'Special Names'!A:B,2,FALSE),B550),PlayerValues!E:E,0)),"N/A")</f>
        <v>16616</v>
      </c>
      <c r="B550" s="4" t="s">
        <v>389</v>
      </c>
      <c r="C550" s="4" t="s">
        <v>287</v>
      </c>
      <c r="D550" s="94">
        <v>5363.0</v>
      </c>
    </row>
    <row r="551">
      <c r="A551" s="40">
        <f t="array" ref="A551">IFNA(index(PlayerValues!A:A,match(IFNA(vlookup(B551,'Special Names'!A:B,2,FALSE),B551),PlayerValues!E:E,0)),"N/A")</f>
        <v>15708</v>
      </c>
      <c r="B551" s="4" t="s">
        <v>382</v>
      </c>
      <c r="C551" s="4" t="s">
        <v>278</v>
      </c>
      <c r="D551" s="94">
        <v>5286.0</v>
      </c>
    </row>
    <row r="552">
      <c r="A552" s="40">
        <f t="array" ref="A552">IFNA(index(PlayerValues!A:A,match(IFNA(vlookup(B552,'Special Names'!A:B,2,FALSE),B552),PlayerValues!E:E,0)),"N/A")</f>
        <v>17070</v>
      </c>
      <c r="B552" s="4" t="s">
        <v>370</v>
      </c>
      <c r="C552" s="4" t="s">
        <v>287</v>
      </c>
      <c r="D552" s="94">
        <v>5278.0</v>
      </c>
    </row>
    <row r="553">
      <c r="A553" s="40">
        <f t="array" ref="A553">IFNA(index(PlayerValues!A:A,match(IFNA(vlookup(B553,'Special Names'!A:B,2,FALSE),B553),PlayerValues!E:E,0)),"N/A")</f>
        <v>17030</v>
      </c>
      <c r="B553" s="4" t="s">
        <v>406</v>
      </c>
      <c r="C553" s="4" t="s">
        <v>283</v>
      </c>
      <c r="D553" s="94">
        <v>5248.0</v>
      </c>
    </row>
    <row r="554">
      <c r="A554" s="40">
        <f t="array" ref="A554">IFNA(index(PlayerValues!A:A,match(IFNA(vlookup(B554,'Special Names'!A:B,2,FALSE),B554),PlayerValues!E:E,0)),"N/A")</f>
        <v>17498</v>
      </c>
      <c r="B554" s="4" t="s">
        <v>396</v>
      </c>
      <c r="C554" s="4" t="s">
        <v>287</v>
      </c>
      <c r="D554" s="94">
        <v>5212.0</v>
      </c>
    </row>
    <row r="555">
      <c r="A555" s="40">
        <f t="array" ref="A555">IFNA(index(PlayerValues!A:A,match(IFNA(vlookup(B555,'Special Names'!A:B,2,FALSE),B555),PlayerValues!E:E,0)),"N/A")</f>
        <v>16194</v>
      </c>
      <c r="B555" s="4" t="s">
        <v>398</v>
      </c>
      <c r="C555" s="4" t="s">
        <v>287</v>
      </c>
      <c r="D555" s="94">
        <v>5191.0</v>
      </c>
    </row>
    <row r="556">
      <c r="A556" s="40">
        <f t="array" ref="A556">IFNA(index(PlayerValues!A:A,match(IFNA(vlookup(B556,'Special Names'!A:B,2,FALSE),B556),PlayerValues!E:E,0)),"N/A")</f>
        <v>15282</v>
      </c>
      <c r="B556" s="4" t="s">
        <v>364</v>
      </c>
      <c r="C556" s="4" t="s">
        <v>287</v>
      </c>
      <c r="D556" s="94">
        <v>5158.0</v>
      </c>
    </row>
    <row r="557">
      <c r="A557" s="40">
        <f t="array" ref="A557">IFNA(index(PlayerValues!A:A,match(IFNA(vlookup(B557,'Special Names'!A:B,2,FALSE),B557),PlayerValues!E:E,0)),"N/A")</f>
        <v>16614</v>
      </c>
      <c r="B557" s="4" t="s">
        <v>403</v>
      </c>
      <c r="C557" s="4" t="s">
        <v>287</v>
      </c>
      <c r="D557" s="94">
        <v>5109.0</v>
      </c>
    </row>
    <row r="558">
      <c r="A558" s="40">
        <f t="array" ref="A558">IFNA(index(PlayerValues!A:A,match(IFNA(vlookup(B558,'Special Names'!A:B,2,FALSE),B558),PlayerValues!E:E,0)),"N/A")</f>
        <v>17499</v>
      </c>
      <c r="B558" s="4" t="s">
        <v>402</v>
      </c>
      <c r="C558" s="4" t="s">
        <v>287</v>
      </c>
      <c r="D558" s="94">
        <v>5081.0</v>
      </c>
    </row>
    <row r="559">
      <c r="A559" s="40">
        <f t="array" ref="A559">IFNA(index(PlayerValues!A:A,match(IFNA(vlookup(B559,'Special Names'!A:B,2,FALSE),B559),PlayerValues!E:E,0)),"N/A")</f>
        <v>13130</v>
      </c>
      <c r="B559" s="4" t="s">
        <v>374</v>
      </c>
      <c r="C559" s="4" t="s">
        <v>278</v>
      </c>
      <c r="D559" s="94">
        <v>4978.0</v>
      </c>
    </row>
    <row r="560">
      <c r="A560" s="40" t="str">
        <f t="array" ref="A560">IFNA(index(PlayerValues!A:A,match(IFNA(vlookup(B560,'Special Names'!A:B,2,FALSE),B560),PlayerValues!E:E,0)),"N/A")</f>
        <v>N/A</v>
      </c>
      <c r="B560" s="4" t="s">
        <v>104</v>
      </c>
      <c r="C560" s="4" t="s">
        <v>325</v>
      </c>
      <c r="D560" s="94">
        <v>4949.0</v>
      </c>
    </row>
    <row r="561">
      <c r="A561" s="40">
        <f t="array" ref="A561">IFNA(index(PlayerValues!A:A,match(IFNA(vlookup(B561,'Special Names'!A:B,2,FALSE),B561),PlayerValues!E:E,0)),"N/A")</f>
        <v>16598</v>
      </c>
      <c r="B561" s="4" t="s">
        <v>408</v>
      </c>
      <c r="C561" s="4" t="s">
        <v>278</v>
      </c>
      <c r="D561" s="94">
        <v>4931.0</v>
      </c>
    </row>
    <row r="562">
      <c r="A562" s="40">
        <f t="array" ref="A562">IFNA(index(PlayerValues!A:A,match(IFNA(vlookup(B562,'Special Names'!A:B,2,FALSE),B562),PlayerValues!E:E,0)),"N/A")</f>
        <v>16618</v>
      </c>
      <c r="B562" s="4" t="s">
        <v>411</v>
      </c>
      <c r="C562" s="4" t="s">
        <v>287</v>
      </c>
      <c r="D562" s="94">
        <v>4930.0</v>
      </c>
    </row>
    <row r="563">
      <c r="A563" s="40">
        <f t="array" ref="A563">IFNA(index(PlayerValues!A:A,match(IFNA(vlookup(B563,'Special Names'!A:B,2,FALSE),B563),PlayerValues!E:E,0)),"N/A")</f>
        <v>12620</v>
      </c>
      <c r="B563" s="4" t="s">
        <v>394</v>
      </c>
      <c r="C563" s="4" t="s">
        <v>283</v>
      </c>
      <c r="D563" s="94">
        <v>4918.0</v>
      </c>
    </row>
    <row r="564">
      <c r="A564" s="40">
        <f t="array" ref="A564">IFNA(index(PlayerValues!A:A,match(IFNA(vlookup(B564,'Special Names'!A:B,2,FALSE),B564),PlayerValues!E:E,0)),"N/A")</f>
        <v>16150</v>
      </c>
      <c r="B564" s="4" t="s">
        <v>414</v>
      </c>
      <c r="C564" s="4" t="s">
        <v>283</v>
      </c>
      <c r="D564" s="94">
        <v>4912.0</v>
      </c>
    </row>
    <row r="565">
      <c r="A565" s="40">
        <f t="array" ref="A565">IFNA(index(PlayerValues!A:A,match(IFNA(vlookup(B565,'Special Names'!A:B,2,FALSE),B565),PlayerValues!E:E,0)),"N/A")</f>
        <v>17103</v>
      </c>
      <c r="B565" s="4" t="s">
        <v>405</v>
      </c>
      <c r="C565" s="4" t="s">
        <v>298</v>
      </c>
      <c r="D565" s="94">
        <v>5477.0</v>
      </c>
    </row>
    <row r="566">
      <c r="A566" s="40">
        <f t="array" ref="A566">IFNA(index(PlayerValues!A:A,match(IFNA(vlookup(B566,'Special Names'!A:B,2,FALSE),B566),PlayerValues!E:E,0)),"N/A")</f>
        <v>15284</v>
      </c>
      <c r="B566" s="4" t="s">
        <v>390</v>
      </c>
      <c r="C566" s="4" t="s">
        <v>287</v>
      </c>
      <c r="D566" s="94">
        <v>4900.0</v>
      </c>
    </row>
    <row r="567">
      <c r="A567" s="40" t="str">
        <f t="array" ref="A567">IFNA(index(PlayerValues!A:A,match(IFNA(vlookup(B567,'Special Names'!A:B,2,FALSE),B567),PlayerValues!E:E,0)),"N/A")</f>
        <v>N/A</v>
      </c>
      <c r="B567" s="4" t="s">
        <v>94</v>
      </c>
      <c r="C567" s="4" t="s">
        <v>325</v>
      </c>
      <c r="D567" s="94">
        <v>4899.0</v>
      </c>
    </row>
    <row r="568">
      <c r="A568" s="40">
        <f t="array" ref="A568">IFNA(index(PlayerValues!A:A,match(IFNA(vlookup(B568,'Special Names'!A:B,2,FALSE),B568),PlayerValues!E:E,0)),"N/A")</f>
        <v>14835</v>
      </c>
      <c r="B568" s="4" t="s">
        <v>392</v>
      </c>
      <c r="C568" s="4" t="s">
        <v>287</v>
      </c>
      <c r="D568" s="94">
        <v>4895.0</v>
      </c>
    </row>
    <row r="569">
      <c r="A569" s="40">
        <f t="array" ref="A569">IFNA(index(PlayerValues!A:A,match(IFNA(vlookup(B569,'Special Names'!A:B,2,FALSE),B569),PlayerValues!E:E,0)),"N/A")</f>
        <v>16181</v>
      </c>
      <c r="B569" s="4" t="s">
        <v>350</v>
      </c>
      <c r="C569" s="4" t="s">
        <v>278</v>
      </c>
      <c r="D569" s="94">
        <v>4892.0</v>
      </c>
    </row>
    <row r="570">
      <c r="A570" s="40">
        <f t="array" ref="A570">IFNA(index(PlayerValues!A:A,match(IFNA(vlookup(B570,'Special Names'!A:B,2,FALSE),B570),PlayerValues!E:E,0)),"N/A")</f>
        <v>13604</v>
      </c>
      <c r="B570" s="4" t="s">
        <v>378</v>
      </c>
      <c r="C570" s="4" t="s">
        <v>278</v>
      </c>
      <c r="D570" s="94">
        <v>4883.0</v>
      </c>
    </row>
    <row r="571">
      <c r="A571" s="40">
        <f t="array" ref="A571">IFNA(index(PlayerValues!A:A,match(IFNA(vlookup(B571,'Special Names'!A:B,2,FALSE),B571),PlayerValues!E:E,0)),"N/A")</f>
        <v>15710</v>
      </c>
      <c r="B571" s="4" t="s">
        <v>395</v>
      </c>
      <c r="C571" s="4" t="s">
        <v>278</v>
      </c>
      <c r="D571" s="94">
        <v>4863.0</v>
      </c>
    </row>
    <row r="572">
      <c r="A572" s="40">
        <f t="array" ref="A572">IFNA(index(PlayerValues!A:A,match(IFNA(vlookup(B572,'Special Names'!A:B,2,FALSE),B572),PlayerValues!E:E,0)),"N/A")</f>
        <v>14104</v>
      </c>
      <c r="B572" s="4" t="s">
        <v>379</v>
      </c>
      <c r="C572" s="4" t="s">
        <v>287</v>
      </c>
      <c r="D572" s="94">
        <v>4854.0</v>
      </c>
    </row>
    <row r="573">
      <c r="A573" s="40">
        <f t="array" ref="A573">IFNA(index(PlayerValues!A:A,match(IFNA(vlookup(B573,'Special Names'!A:B,2,FALSE),B573),PlayerValues!E:E,0)),"N/A")</f>
        <v>17039</v>
      </c>
      <c r="B573" s="4" t="s">
        <v>400</v>
      </c>
      <c r="C573" s="4" t="s">
        <v>283</v>
      </c>
      <c r="D573" s="94">
        <v>4841.0</v>
      </c>
    </row>
    <row r="574">
      <c r="A574" s="40">
        <f t="array" ref="A574">IFNA(index(PlayerValues!A:A,match(IFNA(vlookup(B574,'Special Names'!A:B,2,FALSE),B574),PlayerValues!E:E,0)),"N/A")</f>
        <v>13592</v>
      </c>
      <c r="B574" s="4" t="s">
        <v>418</v>
      </c>
      <c r="C574" s="4" t="s">
        <v>283</v>
      </c>
      <c r="D574" s="94">
        <v>4806.0</v>
      </c>
    </row>
    <row r="575">
      <c r="A575" s="40">
        <f t="array" ref="A575">IFNA(index(PlayerValues!A:A,match(IFNA(vlookup(B575,'Special Names'!A:B,2,FALSE),B575),PlayerValues!E:E,0)),"N/A")</f>
        <v>15756</v>
      </c>
      <c r="B575" s="4" t="s">
        <v>399</v>
      </c>
      <c r="C575" s="4" t="s">
        <v>287</v>
      </c>
      <c r="D575" s="94">
        <v>4797.0</v>
      </c>
    </row>
    <row r="576">
      <c r="A576" s="40">
        <f t="array" ref="A576">IFNA(index(PlayerValues!A:A,match(IFNA(vlookup(B576,'Special Names'!A:B,2,FALSE),B576),PlayerValues!E:E,0)),"N/A")</f>
        <v>16222</v>
      </c>
      <c r="B576" s="4" t="s">
        <v>393</v>
      </c>
      <c r="C576" s="4" t="s">
        <v>298</v>
      </c>
      <c r="D576" s="94">
        <v>5323.0</v>
      </c>
    </row>
    <row r="577">
      <c r="A577" s="40">
        <f t="array" ref="A577">IFNA(index(PlayerValues!A:A,match(IFNA(vlookup(B577,'Special Names'!A:B,2,FALSE),B577),PlayerValues!E:E,0)),"N/A")</f>
        <v>13590</v>
      </c>
      <c r="B577" s="4" t="s">
        <v>409</v>
      </c>
      <c r="C577" s="4" t="s">
        <v>283</v>
      </c>
      <c r="D577" s="94">
        <v>4746.0</v>
      </c>
    </row>
    <row r="578">
      <c r="A578" s="40">
        <f t="array" ref="A578">IFNA(index(PlayerValues!A:A,match(IFNA(vlookup(B578,'Special Names'!A:B,2,FALSE),B578),PlayerValues!E:E,0)),"N/A")</f>
        <v>12611</v>
      </c>
      <c r="B578" s="4" t="s">
        <v>410</v>
      </c>
      <c r="C578" s="4" t="s">
        <v>283</v>
      </c>
      <c r="D578" s="94">
        <v>4670.0</v>
      </c>
    </row>
    <row r="579">
      <c r="A579" s="40">
        <f t="array" ref="A579">IFNA(index(PlayerValues!A:A,match(IFNA(vlookup(B579,'Special Names'!A:B,2,FALSE),B579),PlayerValues!E:E,0)),"N/A")</f>
        <v>16190</v>
      </c>
      <c r="B579" s="4" t="s">
        <v>371</v>
      </c>
      <c r="C579" s="4" t="s">
        <v>287</v>
      </c>
      <c r="D579" s="94">
        <v>4655.0</v>
      </c>
    </row>
    <row r="580">
      <c r="A580" s="40" t="str">
        <f t="array" ref="A580">IFNA(index(PlayerValues!A:A,match(IFNA(vlookup(B580,'Special Names'!A:B,2,FALSE),B580),PlayerValues!E:E,0)),"N/A")</f>
        <v>N/A</v>
      </c>
      <c r="B580" s="4" t="s">
        <v>80</v>
      </c>
      <c r="C580" s="4" t="s">
        <v>325</v>
      </c>
      <c r="D580" s="94">
        <v>4579.0</v>
      </c>
    </row>
    <row r="581">
      <c r="A581" s="40">
        <f t="array" ref="A581">IFNA(index(PlayerValues!A:A,match(IFNA(vlookup(B581,'Special Names'!A:B,2,FALSE),B581),PlayerValues!E:E,0)),"N/A")</f>
        <v>17473</v>
      </c>
      <c r="B581" s="4" t="s">
        <v>391</v>
      </c>
      <c r="C581" s="4" t="s">
        <v>278</v>
      </c>
      <c r="D581" s="94">
        <v>4577.0</v>
      </c>
    </row>
    <row r="582">
      <c r="A582" s="40">
        <f t="array" ref="A582">IFNA(index(PlayerValues!A:A,match(IFNA(vlookup(B582,'Special Names'!A:B,2,FALSE),B582),PlayerValues!E:E,0)),"N/A")</f>
        <v>16214</v>
      </c>
      <c r="B582" s="4" t="s">
        <v>413</v>
      </c>
      <c r="C582" s="4" t="s">
        <v>298</v>
      </c>
      <c r="D582" s="94">
        <v>5093.0</v>
      </c>
    </row>
    <row r="583">
      <c r="A583" s="40">
        <f t="array" ref="A583">IFNA(index(PlayerValues!A:A,match(IFNA(vlookup(B583,'Special Names'!A:B,2,FALSE),B583),PlayerValues!E:E,0)),"N/A")</f>
        <v>16148</v>
      </c>
      <c r="B583" s="4" t="s">
        <v>426</v>
      </c>
      <c r="C583" s="4" t="s">
        <v>283</v>
      </c>
      <c r="D583" s="94">
        <v>4543.0</v>
      </c>
    </row>
    <row r="584">
      <c r="A584" s="40">
        <f t="array" ref="A584">IFNA(index(PlayerValues!A:A,match(IFNA(vlookup(B584,'Special Names'!A:B,2,FALSE),B584),PlayerValues!E:E,0)),"N/A")</f>
        <v>17045</v>
      </c>
      <c r="B584" s="4" t="s">
        <v>407</v>
      </c>
      <c r="C584" s="4" t="s">
        <v>278</v>
      </c>
      <c r="D584" s="94">
        <v>4478.0</v>
      </c>
    </row>
    <row r="585">
      <c r="A585" s="40">
        <f t="array" ref="A585">IFNA(index(PlayerValues!A:A,match(IFNA(vlookup(B585,'Special Names'!A:B,2,FALSE),B585),PlayerValues!E:E,0)),"N/A")</f>
        <v>14073</v>
      </c>
      <c r="B585" s="4" t="s">
        <v>464</v>
      </c>
      <c r="C585" s="4" t="s">
        <v>278</v>
      </c>
      <c r="D585" s="94">
        <v>4451.0</v>
      </c>
    </row>
    <row r="586">
      <c r="A586" s="40">
        <f t="array" ref="A586">IFNA(index(PlayerValues!A:A,match(IFNA(vlookup(B586,'Special Names'!A:B,2,FALSE),B586),PlayerValues!E:E,0)),"N/A")</f>
        <v>15253</v>
      </c>
      <c r="B586" s="4" t="s">
        <v>415</v>
      </c>
      <c r="C586" s="4" t="s">
        <v>278</v>
      </c>
      <c r="D586" s="94">
        <v>4432.0</v>
      </c>
    </row>
    <row r="587">
      <c r="A587" s="40">
        <f t="array" ref="A587">IFNA(index(PlayerValues!A:A,match(IFNA(vlookup(B587,'Special Names'!A:B,2,FALSE),B587),PlayerValues!E:E,0)),"N/A")</f>
        <v>15329</v>
      </c>
      <c r="B587" s="4" t="s">
        <v>416</v>
      </c>
      <c r="C587" s="4" t="s">
        <v>298</v>
      </c>
      <c r="D587" s="94">
        <v>4969.0</v>
      </c>
    </row>
    <row r="588">
      <c r="A588" s="40">
        <f t="array" ref="A588">IFNA(index(PlayerValues!A:A,match(IFNA(vlookup(B588,'Special Names'!A:B,2,FALSE),B588),PlayerValues!E:E,0)),"N/A")</f>
        <v>15256</v>
      </c>
      <c r="B588" s="4" t="s">
        <v>401</v>
      </c>
      <c r="C588" s="4" t="s">
        <v>278</v>
      </c>
      <c r="D588" s="94">
        <v>4416.0</v>
      </c>
    </row>
    <row r="589">
      <c r="A589" s="40" t="str">
        <f t="array" ref="A589">IFNA(index(PlayerValues!A:A,match(IFNA(vlookup(B589,'Special Names'!A:B,2,FALSE),B589),PlayerValues!E:E,0)),"N/A")</f>
        <v>N/A</v>
      </c>
      <c r="B589" s="4" t="s">
        <v>105</v>
      </c>
      <c r="C589" s="4" t="s">
        <v>325</v>
      </c>
      <c r="D589" s="94">
        <v>4409.0</v>
      </c>
    </row>
    <row r="590">
      <c r="A590" s="40">
        <f t="array" ref="A590">IFNA(index(PlayerValues!A:A,match(IFNA(vlookup(B590,'Special Names'!A:B,2,FALSE),B590),PlayerValues!E:E,0)),"N/A")</f>
        <v>17501</v>
      </c>
      <c r="B590" s="4" t="s">
        <v>404</v>
      </c>
      <c r="C590" s="4" t="s">
        <v>287</v>
      </c>
      <c r="D590" s="94">
        <v>4407.0</v>
      </c>
    </row>
    <row r="591">
      <c r="A591" s="40">
        <f t="array" ref="A591">IFNA(index(PlayerValues!A:A,match(IFNA(vlookup(B591,'Special Names'!A:B,2,FALSE),B591),PlayerValues!E:E,0)),"N/A")</f>
        <v>15768</v>
      </c>
      <c r="B591" s="4" t="s">
        <v>432</v>
      </c>
      <c r="C591" s="4" t="s">
        <v>287</v>
      </c>
      <c r="D591" s="94">
        <v>4162.0</v>
      </c>
    </row>
    <row r="592">
      <c r="A592" s="40">
        <f t="array" ref="A592">IFNA(index(PlayerValues!A:A,match(IFNA(vlookup(B592,'Special Names'!A:B,2,FALSE),B592),PlayerValues!E:E,0)),"N/A")</f>
        <v>14056</v>
      </c>
      <c r="B592" s="4" t="s">
        <v>423</v>
      </c>
      <c r="C592" s="4" t="s">
        <v>283</v>
      </c>
      <c r="D592" s="94">
        <v>4099.0</v>
      </c>
    </row>
    <row r="593">
      <c r="A593" s="40">
        <f t="array" ref="A593">IFNA(index(PlayerValues!A:A,match(IFNA(vlookup(B593,'Special Names'!A:B,2,FALSE),B593),PlayerValues!E:E,0)),"N/A")</f>
        <v>15694</v>
      </c>
      <c r="B593" s="4" t="s">
        <v>434</v>
      </c>
      <c r="C593" s="4" t="s">
        <v>283</v>
      </c>
      <c r="D593" s="94">
        <v>4077.0</v>
      </c>
    </row>
    <row r="594">
      <c r="A594" s="40">
        <f t="array" ref="A594">IFNA(index(PlayerValues!A:A,match(IFNA(vlookup(B594,'Special Names'!A:B,2,FALSE),B594),PlayerValues!E:E,0)),"N/A")</f>
        <v>17543</v>
      </c>
      <c r="B594" s="4" t="s">
        <v>436</v>
      </c>
      <c r="C594" s="4" t="s">
        <v>298</v>
      </c>
      <c r="D594" s="94">
        <v>4568.0</v>
      </c>
    </row>
    <row r="595">
      <c r="A595" s="40">
        <f t="array" ref="A595">IFNA(index(PlayerValues!A:A,match(IFNA(vlookup(B595,'Special Names'!A:B,2,FALSE),B595),PlayerValues!E:E,0)),"N/A")</f>
        <v>14059</v>
      </c>
      <c r="B595" s="4" t="s">
        <v>435</v>
      </c>
      <c r="C595" s="4" t="s">
        <v>283</v>
      </c>
      <c r="D595" s="94">
        <v>4011.0</v>
      </c>
    </row>
    <row r="596">
      <c r="A596" s="40">
        <f t="array" ref="A596">IFNA(index(PlayerValues!A:A,match(IFNA(vlookup(B596,'Special Names'!A:B,2,FALSE),B596),PlayerValues!E:E,0)),"N/A")</f>
        <v>16186</v>
      </c>
      <c r="B596" s="4" t="s">
        <v>425</v>
      </c>
      <c r="C596" s="4" t="s">
        <v>287</v>
      </c>
      <c r="D596" s="94">
        <v>3973.0</v>
      </c>
    </row>
    <row r="597">
      <c r="A597" s="40">
        <f t="array" ref="A597">IFNA(index(PlayerValues!A:A,match(IFNA(vlookup(B597,'Special Names'!A:B,2,FALSE),B597),PlayerValues!E:E,0)),"N/A")</f>
        <v>17052</v>
      </c>
      <c r="B597" s="4" t="s">
        <v>417</v>
      </c>
      <c r="C597" s="4" t="s">
        <v>278</v>
      </c>
      <c r="D597" s="94">
        <v>3930.0</v>
      </c>
    </row>
    <row r="598">
      <c r="A598" s="40" t="str">
        <f t="array" ref="A598">IFNA(index(PlayerValues!A:A,match(IFNA(vlookup(B598,'Special Names'!A:B,2,FALSE),B598),PlayerValues!E:E,0)),"N/A")</f>
        <v>N/A</v>
      </c>
      <c r="B598" s="4" t="s">
        <v>95</v>
      </c>
      <c r="C598" s="4" t="s">
        <v>325</v>
      </c>
      <c r="D598" s="94">
        <v>3898.0</v>
      </c>
    </row>
    <row r="599">
      <c r="A599" s="40" t="str">
        <f t="array" ref="A599">IFNA(index(PlayerValues!A:A,match(IFNA(vlookup(B599,'Special Names'!A:B,2,FALSE),B599),PlayerValues!E:E,0)),"N/A")</f>
        <v>N/A</v>
      </c>
      <c r="B599" s="4" t="s">
        <v>107</v>
      </c>
      <c r="C599" s="4" t="s">
        <v>325</v>
      </c>
      <c r="D599" s="94">
        <v>3883.0</v>
      </c>
    </row>
    <row r="600">
      <c r="A600" s="40">
        <f t="array" ref="A600">IFNA(index(PlayerValues!A:A,match(IFNA(vlookup(B600,'Special Names'!A:B,2,FALSE),B600),PlayerValues!E:E,0)),"N/A")</f>
        <v>17099</v>
      </c>
      <c r="B600" s="4" t="s">
        <v>474</v>
      </c>
      <c r="C600" s="4" t="s">
        <v>298</v>
      </c>
      <c r="D600" s="94">
        <v>4362.0</v>
      </c>
    </row>
    <row r="601">
      <c r="A601" s="40" t="str">
        <f t="array" ref="A601">IFNA(index(PlayerValues!A:A,match(IFNA(vlookup(B601,'Special Names'!A:B,2,FALSE),B601),PlayerValues!E:E,0)),"N/A")</f>
        <v>N/A</v>
      </c>
      <c r="B601" s="4" t="s">
        <v>81</v>
      </c>
      <c r="C601" s="4" t="s">
        <v>325</v>
      </c>
      <c r="D601" s="94">
        <v>3862.0</v>
      </c>
    </row>
    <row r="602">
      <c r="A602" s="40">
        <f t="array" ref="A602">IFNA(index(PlayerValues!A:A,match(IFNA(vlookup(B602,'Special Names'!A:B,2,FALSE),B602),PlayerValues!E:E,0)),"N/A")</f>
        <v>17502</v>
      </c>
      <c r="B602" s="4" t="s">
        <v>451</v>
      </c>
      <c r="C602" s="4" t="s">
        <v>287</v>
      </c>
      <c r="D602" s="94">
        <v>3828.0</v>
      </c>
    </row>
    <row r="603">
      <c r="A603" s="40">
        <f t="array" ref="A603">IFNA(index(PlayerValues!A:A,match(IFNA(vlookup(B603,'Special Names'!A:B,2,FALSE),B603),PlayerValues!E:E,0)),"N/A")</f>
        <v>12626</v>
      </c>
      <c r="B603" s="4" t="s">
        <v>419</v>
      </c>
      <c r="C603" s="4" t="s">
        <v>278</v>
      </c>
      <c r="D603" s="94">
        <v>3818.0</v>
      </c>
    </row>
    <row r="604">
      <c r="A604" s="40">
        <f t="array" ref="A604">IFNA(index(PlayerValues!A:A,match(IFNA(vlookup(B604,'Special Names'!A:B,2,FALSE),B604),PlayerValues!E:E,0)),"N/A")</f>
        <v>13635</v>
      </c>
      <c r="B604" s="4" t="s">
        <v>424</v>
      </c>
      <c r="C604" s="4" t="s">
        <v>287</v>
      </c>
      <c r="D604" s="94">
        <v>3806.0</v>
      </c>
    </row>
    <row r="605">
      <c r="A605" s="40">
        <f t="array" ref="A605">IFNA(index(PlayerValues!A:A,match(IFNA(vlookup(B605,'Special Names'!A:B,2,FALSE),B605),PlayerValues!E:E,0)),"N/A")</f>
        <v>14102</v>
      </c>
      <c r="B605" s="4" t="s">
        <v>444</v>
      </c>
      <c r="C605" s="4" t="s">
        <v>287</v>
      </c>
      <c r="D605" s="94">
        <v>3731.0</v>
      </c>
    </row>
    <row r="606">
      <c r="A606" s="40">
        <f t="array" ref="A606">IFNA(index(PlayerValues!A:A,match(IFNA(vlookup(B606,'Special Names'!A:B,2,FALSE),B606),PlayerValues!E:E,0)),"N/A")</f>
        <v>16206</v>
      </c>
      <c r="B606" s="4" t="s">
        <v>431</v>
      </c>
      <c r="C606" s="4" t="s">
        <v>287</v>
      </c>
      <c r="D606" s="94">
        <v>3709.0</v>
      </c>
    </row>
    <row r="607">
      <c r="A607" s="40">
        <f t="array" ref="A607">IFNA(index(PlayerValues!A:A,match(IFNA(vlookup(B607,'Special Names'!A:B,2,FALSE),B607),PlayerValues!E:E,0)),"N/A")</f>
        <v>17075</v>
      </c>
      <c r="B607" s="4" t="s">
        <v>429</v>
      </c>
      <c r="C607" s="4" t="s">
        <v>287</v>
      </c>
      <c r="D607" s="94">
        <v>3707.0</v>
      </c>
    </row>
    <row r="608">
      <c r="A608" s="40">
        <f t="array" ref="A608">IFNA(index(PlayerValues!A:A,match(IFNA(vlookup(B608,'Special Names'!A:B,2,FALSE),B608),PlayerValues!E:E,0)),"N/A")</f>
        <v>9431</v>
      </c>
      <c r="B608" s="4" t="s">
        <v>428</v>
      </c>
      <c r="C608" s="4" t="s">
        <v>283</v>
      </c>
      <c r="D608" s="94">
        <v>3703.0</v>
      </c>
    </row>
    <row r="609">
      <c r="A609" s="40">
        <f t="array" ref="A609">IFNA(index(PlayerValues!A:A,match(IFNA(vlookup(B609,'Special Names'!A:B,2,FALSE),B609),PlayerValues!E:E,0)),"N/A")</f>
        <v>17463</v>
      </c>
      <c r="B609" s="4" t="s">
        <v>433</v>
      </c>
      <c r="C609" s="4" t="s">
        <v>283</v>
      </c>
      <c r="D609" s="94">
        <v>3690.0</v>
      </c>
    </row>
    <row r="610">
      <c r="A610" s="40">
        <f t="array" ref="A610">IFNA(index(PlayerValues!A:A,match(IFNA(vlookup(B610,'Special Names'!A:B,2,FALSE),B610),PlayerValues!E:E,0)),"N/A")</f>
        <v>15789</v>
      </c>
      <c r="B610" s="4" t="s">
        <v>421</v>
      </c>
      <c r="C610" s="4" t="s">
        <v>287</v>
      </c>
      <c r="D610" s="94">
        <v>3667.0</v>
      </c>
    </row>
    <row r="611">
      <c r="A611" s="40">
        <f t="array" ref="A611">IFNA(index(PlayerValues!A:A,match(IFNA(vlookup(B611,'Special Names'!A:B,2,FALSE),B611),PlayerValues!E:E,0)),"N/A")</f>
        <v>17068</v>
      </c>
      <c r="B611" s="4" t="s">
        <v>450</v>
      </c>
      <c r="C611" s="4" t="s">
        <v>278</v>
      </c>
      <c r="D611" s="94">
        <v>3649.0</v>
      </c>
    </row>
    <row r="612">
      <c r="A612" s="40">
        <f t="array" ref="A612">IFNA(index(PlayerValues!A:A,match(IFNA(vlookup(B612,'Special Names'!A:B,2,FALSE),B612),PlayerValues!E:E,0)),"N/A")</f>
        <v>15757</v>
      </c>
      <c r="B612" s="4" t="s">
        <v>449</v>
      </c>
      <c r="C612" s="4" t="s">
        <v>287</v>
      </c>
      <c r="D612" s="94">
        <v>3582.0</v>
      </c>
    </row>
    <row r="613">
      <c r="A613" s="40">
        <f t="array" ref="A613">IFNA(index(PlayerValues!A:A,match(IFNA(vlookup(B613,'Special Names'!A:B,2,FALSE),B613),PlayerValues!E:E,0)),"N/A")</f>
        <v>17066</v>
      </c>
      <c r="B613" s="4" t="s">
        <v>446</v>
      </c>
      <c r="C613" s="4" t="s">
        <v>278</v>
      </c>
      <c r="D613" s="94">
        <v>3570.0</v>
      </c>
    </row>
    <row r="614">
      <c r="A614" s="40">
        <f t="array" ref="A614">IFNA(index(PlayerValues!A:A,match(IFNA(vlookup(B614,'Special Names'!A:B,2,FALSE),B614),PlayerValues!E:E,0)),"N/A")</f>
        <v>16622</v>
      </c>
      <c r="B614" s="4" t="s">
        <v>517</v>
      </c>
      <c r="C614" s="4" t="s">
        <v>287</v>
      </c>
      <c r="D614" s="94">
        <v>3550.0</v>
      </c>
    </row>
    <row r="615">
      <c r="A615" s="40">
        <f t="array" ref="A615">IFNA(index(PlayerValues!A:A,match(IFNA(vlookup(B615,'Special Names'!A:B,2,FALSE),B615),PlayerValues!E:E,0)),"N/A")</f>
        <v>14797</v>
      </c>
      <c r="B615" s="4" t="s">
        <v>420</v>
      </c>
      <c r="C615" s="4" t="s">
        <v>278</v>
      </c>
      <c r="D615" s="94">
        <v>3547.0</v>
      </c>
    </row>
    <row r="616">
      <c r="A616" s="40">
        <f t="array" ref="A616">IFNA(index(PlayerValues!A:A,match(IFNA(vlookup(B616,'Special Names'!A:B,2,FALSE),B616),PlayerValues!E:E,0)),"N/A")</f>
        <v>17083</v>
      </c>
      <c r="B616" s="4" t="s">
        <v>479</v>
      </c>
      <c r="C616" s="4" t="s">
        <v>287</v>
      </c>
      <c r="D616" s="94">
        <v>3507.0</v>
      </c>
    </row>
    <row r="617">
      <c r="A617" s="40">
        <f t="array" ref="A617">IFNA(index(PlayerValues!A:A,match(IFNA(vlookup(B617,'Special Names'!A:B,2,FALSE),B617),PlayerValues!E:E,0)),"N/A")</f>
        <v>16192</v>
      </c>
      <c r="B617" s="4" t="s">
        <v>412</v>
      </c>
      <c r="C617" s="4" t="s">
        <v>287</v>
      </c>
      <c r="D617" s="94">
        <v>3483.0</v>
      </c>
    </row>
    <row r="618">
      <c r="A618" s="40">
        <f t="array" ref="A618">IFNA(index(PlayerValues!A:A,match(IFNA(vlookup(B618,'Special Names'!A:B,2,FALSE),B618),PlayerValues!E:E,0)),"N/A")</f>
        <v>14109</v>
      </c>
      <c r="B618" s="4" t="s">
        <v>437</v>
      </c>
      <c r="C618" s="4" t="s">
        <v>287</v>
      </c>
      <c r="D618" s="94">
        <v>3463.0</v>
      </c>
    </row>
    <row r="619">
      <c r="A619" s="40">
        <f t="array" ref="A619">IFNA(index(PlayerValues!A:A,match(IFNA(vlookup(B619,'Special Names'!A:B,2,FALSE),B619),PlayerValues!E:E,0)),"N/A")</f>
        <v>16187</v>
      </c>
      <c r="B619" s="4" t="s">
        <v>441</v>
      </c>
      <c r="C619" s="4" t="s">
        <v>287</v>
      </c>
      <c r="D619" s="94">
        <v>3458.0</v>
      </c>
    </row>
    <row r="620">
      <c r="A620" s="40">
        <f t="array" ref="A620">IFNA(index(PlayerValues!A:A,match(IFNA(vlookup(B620,'Special Names'!A:B,2,FALSE),B620),PlayerValues!E:E,0)),"N/A")</f>
        <v>11675</v>
      </c>
      <c r="B620" s="4" t="s">
        <v>438</v>
      </c>
      <c r="C620" s="4" t="s">
        <v>287</v>
      </c>
      <c r="D620" s="94">
        <v>3425.0</v>
      </c>
    </row>
    <row r="621">
      <c r="A621" s="40">
        <f t="array" ref="A621">IFNA(index(PlayerValues!A:A,match(IFNA(vlookup(B621,'Special Names'!A:B,2,FALSE),B621),PlayerValues!E:E,0)),"N/A")</f>
        <v>17544</v>
      </c>
      <c r="B621" s="4" t="s">
        <v>470</v>
      </c>
      <c r="C621" s="4" t="s">
        <v>298</v>
      </c>
      <c r="D621" s="94">
        <v>3876.0</v>
      </c>
    </row>
    <row r="622">
      <c r="A622" s="40">
        <f t="array" ref="A622">IFNA(index(PlayerValues!A:A,match(IFNA(vlookup(B622,'Special Names'!A:B,2,FALSE),B622),PlayerValues!E:E,0)),"N/A")</f>
        <v>17500</v>
      </c>
      <c r="B622" s="4" t="s">
        <v>430</v>
      </c>
      <c r="C622" s="4" t="s">
        <v>287</v>
      </c>
      <c r="D622" s="94">
        <v>3415.0</v>
      </c>
    </row>
    <row r="623">
      <c r="A623" s="40">
        <f t="array" ref="A623">IFNA(index(PlayerValues!A:A,match(IFNA(vlookup(B623,'Special Names'!A:B,2,FALSE),B623),PlayerValues!E:E,0)),"N/A")</f>
        <v>16188</v>
      </c>
      <c r="B623" s="4" t="s">
        <v>439</v>
      </c>
      <c r="C623" s="4" t="s">
        <v>287</v>
      </c>
      <c r="D623" s="94">
        <v>3392.0</v>
      </c>
    </row>
    <row r="624">
      <c r="A624" s="40" t="str">
        <f t="array" ref="A624">IFNA(index(PlayerValues!A:A,match(IFNA(vlookup(B624,'Special Names'!A:B,2,FALSE),B624),PlayerValues!E:E,0)),"N/A")</f>
        <v>N/A</v>
      </c>
      <c r="B624" s="4" t="s">
        <v>96</v>
      </c>
      <c r="C624" s="4" t="s">
        <v>325</v>
      </c>
      <c r="D624" s="94">
        <v>3392.0</v>
      </c>
    </row>
    <row r="625">
      <c r="A625" s="40">
        <f t="array" ref="A625">IFNA(index(PlayerValues!A:A,match(IFNA(vlookup(B625,'Special Names'!A:B,2,FALSE),B625),PlayerValues!E:E,0)),"N/A")</f>
        <v>16620</v>
      </c>
      <c r="B625" s="4" t="s">
        <v>467</v>
      </c>
      <c r="C625" s="4" t="s">
        <v>287</v>
      </c>
      <c r="D625" s="94">
        <v>3379.0</v>
      </c>
    </row>
    <row r="626">
      <c r="A626" s="40">
        <f t="array" ref="A626">IFNA(index(PlayerValues!A:A,match(IFNA(vlookup(B626,'Special Names'!A:B,2,FALSE),B626),PlayerValues!E:E,0)),"N/A")</f>
        <v>14071</v>
      </c>
      <c r="B626" s="4" t="s">
        <v>440</v>
      </c>
      <c r="C626" s="4" t="s">
        <v>278</v>
      </c>
      <c r="D626" s="94">
        <v>3375.0</v>
      </c>
    </row>
    <row r="627">
      <c r="A627" s="40">
        <f t="array" ref="A627">IFNA(index(PlayerValues!A:A,match(IFNA(vlookup(B627,'Special Names'!A:B,2,FALSE),B627),PlayerValues!E:E,0)),"N/A")</f>
        <v>14842</v>
      </c>
      <c r="B627" s="4" t="s">
        <v>456</v>
      </c>
      <c r="C627" s="4" t="s">
        <v>287</v>
      </c>
      <c r="D627" s="94">
        <v>3362.0</v>
      </c>
    </row>
    <row r="628">
      <c r="A628" s="40">
        <f t="array" ref="A628">IFNA(index(PlayerValues!A:A,match(IFNA(vlookup(B628,'Special Names'!A:B,2,FALSE),B628),PlayerValues!E:E,0)),"N/A")</f>
        <v>16169</v>
      </c>
      <c r="B628" s="4" t="s">
        <v>457</v>
      </c>
      <c r="C628" s="4" t="s">
        <v>278</v>
      </c>
      <c r="D628" s="94">
        <v>3361.0</v>
      </c>
    </row>
    <row r="629">
      <c r="A629" s="40">
        <f t="array" ref="A629">IFNA(index(PlayerValues!A:A,match(IFNA(vlookup(B629,'Special Names'!A:B,2,FALSE),B629),PlayerValues!E:E,0)),"N/A")</f>
        <v>15798</v>
      </c>
      <c r="B629" s="4" t="s">
        <v>443</v>
      </c>
      <c r="C629" s="4" t="s">
        <v>298</v>
      </c>
      <c r="D629" s="94">
        <v>3808.0</v>
      </c>
    </row>
    <row r="630">
      <c r="A630" s="40">
        <f t="array" ref="A630">IFNA(index(PlayerValues!A:A,match(IFNA(vlookup(B630,'Special Names'!A:B,2,FALSE),B630),PlayerValues!E:E,0)),"N/A")</f>
        <v>15779</v>
      </c>
      <c r="B630" s="4" t="s">
        <v>461</v>
      </c>
      <c r="C630" s="4" t="s">
        <v>287</v>
      </c>
      <c r="D630" s="94">
        <v>3342.0</v>
      </c>
    </row>
    <row r="631">
      <c r="A631" s="40">
        <f t="array" ref="A631">IFNA(index(PlayerValues!A:A,match(IFNA(vlookup(B631,'Special Names'!A:B,2,FALSE),B631),PlayerValues!E:E,0)),"N/A")</f>
        <v>15261</v>
      </c>
      <c r="B631" s="4" t="s">
        <v>466</v>
      </c>
      <c r="C631" s="4" t="s">
        <v>278</v>
      </c>
      <c r="D631" s="94">
        <v>3341.0</v>
      </c>
    </row>
    <row r="632">
      <c r="A632" s="40">
        <f t="array" ref="A632">IFNA(index(PlayerValues!A:A,match(IFNA(vlookup(B632,'Special Names'!A:B,2,FALSE),B632),PlayerValues!E:E,0)),"N/A")</f>
        <v>16184</v>
      </c>
      <c r="B632" s="4" t="s">
        <v>445</v>
      </c>
      <c r="C632" s="4" t="s">
        <v>287</v>
      </c>
      <c r="D632" s="94">
        <v>3333.0</v>
      </c>
    </row>
    <row r="633">
      <c r="A633" s="40">
        <f t="array" ref="A633">IFNA(index(PlayerValues!A:A,match(IFNA(vlookup(B633,'Special Names'!A:B,2,FALSE),B633),PlayerValues!E:E,0)),"N/A")</f>
        <v>13299</v>
      </c>
      <c r="B633" s="4" t="s">
        <v>448</v>
      </c>
      <c r="C633" s="4" t="s">
        <v>298</v>
      </c>
      <c r="D633" s="94">
        <v>3768.0</v>
      </c>
    </row>
    <row r="634">
      <c r="A634" s="40">
        <f t="array" ref="A634">IFNA(index(PlayerValues!A:A,match(IFNA(vlookup(B634,'Special Names'!A:B,2,FALSE),B634),PlayerValues!E:E,0)),"N/A")</f>
        <v>17074</v>
      </c>
      <c r="B634" s="4" t="s">
        <v>475</v>
      </c>
      <c r="C634" s="4" t="s">
        <v>287</v>
      </c>
      <c r="D634" s="94">
        <v>3312.0</v>
      </c>
    </row>
    <row r="635">
      <c r="A635" s="40">
        <f t="array" ref="A635">IFNA(index(PlayerValues!A:A,match(IFNA(vlookup(B635,'Special Names'!A:B,2,FALSE),B635),PlayerValues!E:E,0)),"N/A")</f>
        <v>15799</v>
      </c>
      <c r="B635" s="4" t="s">
        <v>468</v>
      </c>
      <c r="C635" s="4" t="s">
        <v>298</v>
      </c>
      <c r="D635" s="94">
        <v>3740.0</v>
      </c>
    </row>
    <row r="636">
      <c r="A636" s="40">
        <f t="array" ref="A636">IFNA(index(PlayerValues!A:A,match(IFNA(vlookup(B636,'Special Names'!A:B,2,FALSE),B636),PlayerValues!E:E,0)),"N/A")</f>
        <v>11671</v>
      </c>
      <c r="B636" s="4" t="s">
        <v>463</v>
      </c>
      <c r="C636" s="4" t="s">
        <v>287</v>
      </c>
      <c r="D636" s="94">
        <v>3277.0</v>
      </c>
    </row>
    <row r="637">
      <c r="A637" s="40" t="str">
        <f t="array" ref="A637">IFNA(index(PlayerValues!A:A,match(IFNA(vlookup(B637,'Special Names'!A:B,2,FALSE),B637),PlayerValues!E:E,0)),"N/A")</f>
        <v>N/A</v>
      </c>
      <c r="B637" s="4" t="s">
        <v>82</v>
      </c>
      <c r="C637" s="4" t="s">
        <v>325</v>
      </c>
      <c r="D637" s="94">
        <v>3259.0</v>
      </c>
    </row>
    <row r="638">
      <c r="A638" s="40">
        <f t="array" ref="A638">IFNA(index(PlayerValues!A:A,match(IFNA(vlookup(B638,'Special Names'!A:B,2,FALSE),B638),PlayerValues!E:E,0)),"N/A")</f>
        <v>14127</v>
      </c>
      <c r="B638" s="4" t="s">
        <v>486</v>
      </c>
      <c r="C638" s="4" t="s">
        <v>287</v>
      </c>
      <c r="D638" s="94">
        <v>3243.0</v>
      </c>
    </row>
    <row r="639">
      <c r="A639" s="40">
        <f t="array" ref="A639">IFNA(index(PlayerValues!A:A,match(IFNA(vlookup(B639,'Special Names'!A:B,2,FALSE),B639),PlayerValues!E:E,0)),"N/A")</f>
        <v>13630</v>
      </c>
      <c r="B639" s="4" t="s">
        <v>465</v>
      </c>
      <c r="C639" s="4" t="s">
        <v>287</v>
      </c>
      <c r="D639" s="94">
        <v>3238.0</v>
      </c>
    </row>
    <row r="640">
      <c r="A640" s="40">
        <f t="array" ref="A640">IFNA(index(PlayerValues!A:A,match(IFNA(vlookup(B640,'Special Names'!A:B,2,FALSE),B640),PlayerValues!E:E,0)),"N/A")</f>
        <v>16213</v>
      </c>
      <c r="B640" s="4" t="s">
        <v>458</v>
      </c>
      <c r="C640" s="4" t="s">
        <v>298</v>
      </c>
      <c r="D640" s="94">
        <v>3665.0</v>
      </c>
    </row>
    <row r="641">
      <c r="A641" s="40" t="str">
        <f t="array" ref="A641">IFNA(index(PlayerValues!A:A,match(IFNA(vlookup(B641,'Special Names'!A:B,2,FALSE),B641),PlayerValues!E:E,0)),"N/A")</f>
        <v>N/A</v>
      </c>
      <c r="B641" s="4" t="s">
        <v>97</v>
      </c>
      <c r="C641" s="4" t="s">
        <v>325</v>
      </c>
      <c r="D641" s="94">
        <v>3207.0</v>
      </c>
    </row>
    <row r="642">
      <c r="A642" s="40">
        <f t="array" ref="A642">IFNA(index(PlayerValues!A:A,match(IFNA(vlookup(B642,'Special Names'!A:B,2,FALSE),B642),PlayerValues!E:E,0)),"N/A")</f>
        <v>16593</v>
      </c>
      <c r="B642" s="4" t="s">
        <v>442</v>
      </c>
      <c r="C642" s="4" t="s">
        <v>278</v>
      </c>
      <c r="D642" s="94">
        <v>3186.0</v>
      </c>
    </row>
    <row r="643">
      <c r="A643" s="40">
        <f t="array" ref="A643">IFNA(index(PlayerValues!A:A,match(IFNA(vlookup(B643,'Special Names'!A:B,2,FALSE),B643),PlayerValues!E:E,0)),"N/A")</f>
        <v>14823</v>
      </c>
      <c r="B643" s="4" t="s">
        <v>459</v>
      </c>
      <c r="C643" s="4" t="s">
        <v>278</v>
      </c>
      <c r="D643" s="94">
        <v>3183.0</v>
      </c>
    </row>
    <row r="644">
      <c r="A644" s="40">
        <f t="array" ref="A644">IFNA(index(PlayerValues!A:A,match(IFNA(vlookup(B644,'Special Names'!A:B,2,FALSE),B644),PlayerValues!E:E,0)),"N/A")</f>
        <v>16583</v>
      </c>
      <c r="B644" s="4" t="s">
        <v>493</v>
      </c>
      <c r="C644" s="4" t="s">
        <v>283</v>
      </c>
      <c r="D644" s="94">
        <v>3143.0</v>
      </c>
    </row>
    <row r="645">
      <c r="A645" s="40">
        <f t="array" ref="A645">IFNA(index(PlayerValues!A:A,match(IFNA(vlookup(B645,'Special Names'!A:B,2,FALSE),B645),PlayerValues!E:E,0)),"N/A")</f>
        <v>15742</v>
      </c>
      <c r="B645" s="4" t="s">
        <v>447</v>
      </c>
      <c r="C645" s="4" t="s">
        <v>278</v>
      </c>
      <c r="D645" s="94">
        <v>3130.0</v>
      </c>
    </row>
    <row r="646">
      <c r="A646" s="40">
        <f t="array" ref="A646">IFNA(index(PlayerValues!A:A,match(IFNA(vlookup(B646,'Special Names'!A:B,2,FALSE),B646),PlayerValues!E:E,0)),"N/A")</f>
        <v>14800</v>
      </c>
      <c r="B646" s="4" t="s">
        <v>472</v>
      </c>
      <c r="C646" s="4" t="s">
        <v>278</v>
      </c>
      <c r="D646" s="94">
        <v>3129.0</v>
      </c>
    </row>
    <row r="647">
      <c r="A647" s="40" t="str">
        <f t="array" ref="A647">IFNA(index(PlayerValues!A:A,match(IFNA(vlookup(B647,'Special Names'!A:B,2,FALSE),B647),PlayerValues!E:E,0)),"N/A")</f>
        <v>N/A</v>
      </c>
      <c r="B647" s="4" t="s">
        <v>108</v>
      </c>
      <c r="C647" s="4" t="s">
        <v>325</v>
      </c>
      <c r="D647" s="94">
        <v>3108.0</v>
      </c>
    </row>
    <row r="648">
      <c r="A648" s="40">
        <f t="array" ref="A648">IFNA(index(PlayerValues!A:A,match(IFNA(vlookup(B648,'Special Names'!A:B,2,FALSE),B648),PlayerValues!E:E,0)),"N/A")</f>
        <v>16809</v>
      </c>
      <c r="B648" s="4" t="s">
        <v>455</v>
      </c>
      <c r="C648" s="4" t="s">
        <v>287</v>
      </c>
      <c r="D648" s="94">
        <v>3039.0</v>
      </c>
    </row>
    <row r="649">
      <c r="A649" s="40">
        <f t="array" ref="A649">IFNA(index(PlayerValues!A:A,match(IFNA(vlookup(B649,'Special Names'!A:B,2,FALSE),B649),PlayerValues!E:E,0)),"N/A")</f>
        <v>16597</v>
      </c>
      <c r="B649" s="4" t="s">
        <v>427</v>
      </c>
      <c r="C649" s="4" t="s">
        <v>278</v>
      </c>
      <c r="D649" s="94">
        <v>3038.0</v>
      </c>
    </row>
    <row r="650">
      <c r="A650" s="40">
        <f t="array" ref="A650">IFNA(index(PlayerValues!A:A,match(IFNA(vlookup(B650,'Special Names'!A:B,2,FALSE),B650),PlayerValues!E:E,0)),"N/A")</f>
        <v>16080</v>
      </c>
      <c r="B650" s="4" t="s">
        <v>499</v>
      </c>
      <c r="C650" s="4" t="s">
        <v>287</v>
      </c>
      <c r="D650" s="94">
        <v>3036.0</v>
      </c>
    </row>
    <row r="651">
      <c r="A651" s="40" t="str">
        <f t="array" ref="A651">IFNA(index(PlayerValues!A:A,match(IFNA(vlookup(B651,'Special Names'!A:B,2,FALSE),B651),PlayerValues!E:E,0)),"N/A")</f>
        <v>N/A</v>
      </c>
      <c r="B651" s="4" t="s">
        <v>84</v>
      </c>
      <c r="C651" s="4" t="s">
        <v>325</v>
      </c>
      <c r="D651" s="94">
        <v>3033.0</v>
      </c>
    </row>
    <row r="652">
      <c r="A652" s="40">
        <f t="array" ref="A652">IFNA(index(PlayerValues!A:A,match(IFNA(vlookup(B652,'Special Names'!A:B,2,FALSE),B652),PlayerValues!E:E,0)),"N/A")</f>
        <v>16269</v>
      </c>
      <c r="B652" s="4" t="s">
        <v>481</v>
      </c>
      <c r="C652" s="4" t="s">
        <v>298</v>
      </c>
      <c r="D652" s="94">
        <v>3441.0</v>
      </c>
    </row>
    <row r="653">
      <c r="A653" s="40">
        <f t="array" ref="A653">IFNA(index(PlayerValues!A:A,match(IFNA(vlookup(B653,'Special Names'!A:B,2,FALSE),B653),PlayerValues!E:E,0)),"N/A")</f>
        <v>15761</v>
      </c>
      <c r="B653" s="4" t="s">
        <v>491</v>
      </c>
      <c r="C653" s="4" t="s">
        <v>287</v>
      </c>
      <c r="D653" s="94">
        <v>3008.0</v>
      </c>
    </row>
    <row r="654">
      <c r="A654" s="40">
        <f t="array" ref="A654">IFNA(index(PlayerValues!A:A,match(IFNA(vlookup(B654,'Special Names'!A:B,2,FALSE),B654),PlayerValues!E:E,0)),"N/A")</f>
        <v>16628</v>
      </c>
      <c r="B654" s="4" t="s">
        <v>490</v>
      </c>
      <c r="C654" s="4" t="s">
        <v>287</v>
      </c>
      <c r="D654" s="94">
        <v>2998.0</v>
      </c>
    </row>
    <row r="655">
      <c r="A655" s="40">
        <f t="array" ref="A655">IFNA(index(PlayerValues!A:A,match(IFNA(vlookup(B655,'Special Names'!A:B,2,FALSE),B655),PlayerValues!E:E,0)),"N/A")</f>
        <v>16584</v>
      </c>
      <c r="B655" s="4" t="s">
        <v>569</v>
      </c>
      <c r="C655" s="4" t="s">
        <v>283</v>
      </c>
      <c r="D655" s="94">
        <v>2949.0</v>
      </c>
    </row>
    <row r="656">
      <c r="A656" s="40">
        <f t="array" ref="A656">IFNA(index(PlayerValues!A:A,match(IFNA(vlookup(B656,'Special Names'!A:B,2,FALSE),B656),PlayerValues!E:E,0)),"N/A")</f>
        <v>17053</v>
      </c>
      <c r="B656" s="4" t="s">
        <v>484</v>
      </c>
      <c r="C656" s="4" t="s">
        <v>278</v>
      </c>
      <c r="D656" s="94">
        <v>2944.0</v>
      </c>
    </row>
    <row r="657">
      <c r="A657" s="40">
        <f t="array" ref="A657">IFNA(index(PlayerValues!A:A,match(IFNA(vlookup(B657,'Special Names'!A:B,2,FALSE),B657),PlayerValues!E:E,0)),"N/A")</f>
        <v>13163</v>
      </c>
      <c r="B657" s="4" t="s">
        <v>473</v>
      </c>
      <c r="C657" s="4" t="s">
        <v>287</v>
      </c>
      <c r="D657" s="94">
        <v>2925.0</v>
      </c>
    </row>
    <row r="658">
      <c r="A658" s="40">
        <f t="array" ref="A658">IFNA(index(PlayerValues!A:A,match(IFNA(vlookup(B658,'Special Names'!A:B,2,FALSE),B658),PlayerValues!E:E,0)),"N/A")</f>
        <v>15259</v>
      </c>
      <c r="B658" s="4" t="s">
        <v>453</v>
      </c>
      <c r="C658" s="4" t="s">
        <v>278</v>
      </c>
      <c r="D658" s="94">
        <v>2924.0</v>
      </c>
    </row>
    <row r="659">
      <c r="A659" s="40" t="str">
        <f t="array" ref="A659">IFNA(index(PlayerValues!A:A,match(IFNA(vlookup(B659,'Special Names'!A:B,2,FALSE),B659),PlayerValues!E:E,0)),"N/A")</f>
        <v>N/A</v>
      </c>
      <c r="B659" s="4" t="s">
        <v>109</v>
      </c>
      <c r="C659" s="4" t="s">
        <v>325</v>
      </c>
      <c r="D659" s="94">
        <v>2915.0</v>
      </c>
    </row>
    <row r="660">
      <c r="A660" s="40">
        <f t="array" ref="A660">IFNA(index(PlayerValues!A:A,match(IFNA(vlookup(B660,'Special Names'!A:B,2,FALSE),B660),PlayerValues!E:E,0)),"N/A")</f>
        <v>17256</v>
      </c>
      <c r="B660" s="4" t="s">
        <v>462</v>
      </c>
      <c r="C660" s="4" t="s">
        <v>278</v>
      </c>
      <c r="D660" s="94">
        <v>2899.0</v>
      </c>
    </row>
    <row r="661">
      <c r="A661" s="40">
        <f t="array" ref="A661">IFNA(index(PlayerValues!A:A,match(IFNA(vlookup(B661,'Special Names'!A:B,2,FALSE),B661),PlayerValues!E:E,0)),"N/A")</f>
        <v>17477</v>
      </c>
      <c r="B661" s="4" t="s">
        <v>452</v>
      </c>
      <c r="C661" s="4" t="s">
        <v>278</v>
      </c>
      <c r="D661" s="94">
        <v>2887.0</v>
      </c>
    </row>
    <row r="662">
      <c r="A662" s="40">
        <f t="array" ref="A662">IFNA(index(PlayerValues!A:A,match(IFNA(vlookup(B662,'Special Names'!A:B,2,FALSE),B662),PlayerValues!E:E,0)),"N/A")</f>
        <v>16723</v>
      </c>
      <c r="B662" s="4" t="s">
        <v>502</v>
      </c>
      <c r="C662" s="4" t="s">
        <v>298</v>
      </c>
      <c r="D662" s="94">
        <v>3301.0</v>
      </c>
    </row>
    <row r="663">
      <c r="A663" s="40">
        <f t="array" ref="A663">IFNA(index(PlayerValues!A:A,match(IFNA(vlookup(B663,'Special Names'!A:B,2,FALSE),B663),PlayerValues!E:E,0)),"N/A")</f>
        <v>17506</v>
      </c>
      <c r="B663" s="4" t="s">
        <v>471</v>
      </c>
      <c r="C663" s="4" t="s">
        <v>287</v>
      </c>
      <c r="D663" s="94">
        <v>2875.0</v>
      </c>
    </row>
    <row r="664">
      <c r="A664" s="40">
        <f t="array" ref="A664">IFNA(index(PlayerValues!A:A,match(IFNA(vlookup(B664,'Special Names'!A:B,2,FALSE),B664),PlayerValues!E:E,0)),"N/A")</f>
        <v>17476</v>
      </c>
      <c r="B664" s="4" t="s">
        <v>494</v>
      </c>
      <c r="C664" s="4" t="s">
        <v>278</v>
      </c>
      <c r="D664" s="94">
        <v>2852.0</v>
      </c>
    </row>
    <row r="665">
      <c r="A665" s="40">
        <f t="array" ref="A665">IFNA(index(PlayerValues!A:A,match(IFNA(vlookup(B665,'Special Names'!A:B,2,FALSE),B665),PlayerValues!E:E,0)),"N/A")</f>
        <v>15255</v>
      </c>
      <c r="B665" s="4" t="s">
        <v>477</v>
      </c>
      <c r="C665" s="4" t="s">
        <v>278</v>
      </c>
      <c r="D665" s="94">
        <v>2852.0</v>
      </c>
    </row>
    <row r="666">
      <c r="A666" s="40">
        <f t="array" ref="A666">IFNA(index(PlayerValues!A:A,match(IFNA(vlookup(B666,'Special Names'!A:B,2,FALSE),B666),PlayerValues!E:E,0)),"N/A")</f>
        <v>14138</v>
      </c>
      <c r="B666" s="4" t="s">
        <v>531</v>
      </c>
      <c r="C666" s="4" t="s">
        <v>298</v>
      </c>
      <c r="D666" s="94">
        <v>3253.0</v>
      </c>
    </row>
    <row r="667">
      <c r="A667" s="40">
        <f t="array" ref="A667">IFNA(index(PlayerValues!A:A,match(IFNA(vlookup(B667,'Special Names'!A:B,2,FALSE),B667),PlayerValues!E:E,0)),"N/A")</f>
        <v>17031</v>
      </c>
      <c r="B667" s="4" t="s">
        <v>535</v>
      </c>
      <c r="C667" s="4" t="s">
        <v>283</v>
      </c>
      <c r="D667" s="94">
        <v>2825.0</v>
      </c>
    </row>
    <row r="668">
      <c r="A668" s="40">
        <f t="array" ref="A668">IFNA(index(PlayerValues!A:A,match(IFNA(vlookup(B668,'Special Names'!A:B,2,FALSE),B668),PlayerValues!E:E,0)),"N/A")</f>
        <v>15712</v>
      </c>
      <c r="B668" s="4" t="s">
        <v>488</v>
      </c>
      <c r="C668" s="4" t="s">
        <v>278</v>
      </c>
      <c r="D668" s="94">
        <v>2820.0</v>
      </c>
    </row>
    <row r="669">
      <c r="A669" s="40">
        <f t="array" ref="A669">IFNA(index(PlayerValues!A:A,match(IFNA(vlookup(B669,'Special Names'!A:B,2,FALSE),B669),PlayerValues!E:E,0)),"N/A")</f>
        <v>13671</v>
      </c>
      <c r="B669" s="4" t="s">
        <v>506</v>
      </c>
      <c r="C669" s="4" t="s">
        <v>298</v>
      </c>
      <c r="D669" s="94">
        <v>3230.0</v>
      </c>
    </row>
    <row r="670">
      <c r="A670" s="40">
        <f t="array" ref="A670">IFNA(index(PlayerValues!A:A,match(IFNA(vlookup(B670,'Special Names'!A:B,2,FALSE),B670),PlayerValues!E:E,0)),"N/A")</f>
        <v>15889</v>
      </c>
      <c r="B670" s="4" t="s">
        <v>503</v>
      </c>
      <c r="C670" s="4" t="s">
        <v>298</v>
      </c>
      <c r="D670" s="94">
        <v>3212.0</v>
      </c>
    </row>
    <row r="671">
      <c r="A671" s="40">
        <f t="array" ref="A671">IFNA(index(PlayerValues!A:A,match(IFNA(vlookup(B671,'Special Names'!A:B,2,FALSE),B671),PlayerValues!E:E,0)),"N/A")</f>
        <v>17072</v>
      </c>
      <c r="B671" s="4" t="s">
        <v>508</v>
      </c>
      <c r="C671" s="4" t="s">
        <v>287</v>
      </c>
      <c r="D671" s="94">
        <v>2781.0</v>
      </c>
    </row>
    <row r="672">
      <c r="A672" s="40">
        <f t="array" ref="A672">IFNA(index(PlayerValues!A:A,match(IFNA(vlookup(B672,'Special Names'!A:B,2,FALSE),B672),PlayerValues!E:E,0)),"N/A")</f>
        <v>17157</v>
      </c>
      <c r="B672" s="4" t="s">
        <v>524</v>
      </c>
      <c r="C672" s="4" t="s">
        <v>287</v>
      </c>
      <c r="D672" s="94">
        <v>2781.0</v>
      </c>
    </row>
    <row r="673">
      <c r="A673" s="40">
        <f t="array" ref="A673">IFNA(index(PlayerValues!A:A,match(IFNA(vlookup(B673,'Special Names'!A:B,2,FALSE),B673),PlayerValues!E:E,0)),"N/A")</f>
        <v>14085</v>
      </c>
      <c r="B673" s="4" t="s">
        <v>489</v>
      </c>
      <c r="C673" s="4" t="s">
        <v>278</v>
      </c>
      <c r="D673" s="94">
        <v>2770.0</v>
      </c>
    </row>
    <row r="674">
      <c r="A674" s="40" t="str">
        <f t="array" ref="A674">IFNA(index(PlayerValues!A:A,match(IFNA(vlookup(B674,'Special Names'!A:B,2,FALSE),B674),PlayerValues!E:E,0)),"N/A")</f>
        <v>N/A</v>
      </c>
      <c r="B674" s="4" t="s">
        <v>110</v>
      </c>
      <c r="C674" s="4" t="s">
        <v>325</v>
      </c>
      <c r="D674" s="94">
        <v>2768.0</v>
      </c>
    </row>
    <row r="675">
      <c r="A675" s="40">
        <f t="array" ref="A675">IFNA(index(PlayerValues!A:A,match(IFNA(vlookup(B675,'Special Names'!A:B,2,FALSE),B675),PlayerValues!E:E,0)),"N/A")</f>
        <v>15241</v>
      </c>
      <c r="B675" s="4" t="s">
        <v>546</v>
      </c>
      <c r="C675" s="4" t="s">
        <v>283</v>
      </c>
      <c r="D675" s="94">
        <v>2767.0</v>
      </c>
    </row>
    <row r="676">
      <c r="A676" s="40">
        <f t="array" ref="A676">IFNA(index(PlayerValues!A:A,match(IFNA(vlookup(B676,'Special Names'!A:B,2,FALSE),B676),PlayerValues!E:E,0)),"N/A")</f>
        <v>16193</v>
      </c>
      <c r="B676" s="4" t="s">
        <v>487</v>
      </c>
      <c r="C676" s="4" t="s">
        <v>287</v>
      </c>
      <c r="D676" s="94">
        <v>2766.0</v>
      </c>
    </row>
    <row r="677">
      <c r="A677" s="40" t="str">
        <f t="array" ref="A677">IFNA(index(PlayerValues!A:A,match(IFNA(vlookup(B677,'Special Names'!A:B,2,FALSE),B677),PlayerValues!E:E,0)),"N/A")</f>
        <v>N/A</v>
      </c>
      <c r="B677" s="4" t="s">
        <v>85</v>
      </c>
      <c r="C677" s="4" t="s">
        <v>325</v>
      </c>
      <c r="D677" s="94">
        <v>2765.0</v>
      </c>
    </row>
    <row r="678">
      <c r="A678" s="40">
        <f t="array" ref="A678">IFNA(index(PlayerValues!A:A,match(IFNA(vlookup(B678,'Special Names'!A:B,2,FALSE),B678),PlayerValues!E:E,0)),"N/A")</f>
        <v>14778</v>
      </c>
      <c r="B678" s="4" t="s">
        <v>564</v>
      </c>
      <c r="C678" s="4" t="s">
        <v>283</v>
      </c>
      <c r="D678" s="94">
        <v>2764.0</v>
      </c>
    </row>
    <row r="679">
      <c r="A679" s="40">
        <f t="array" ref="A679">IFNA(index(PlayerValues!A:A,match(IFNA(vlookup(B679,'Special Names'!A:B,2,FALSE),B679),PlayerValues!E:E,0)),"N/A")</f>
        <v>16619</v>
      </c>
      <c r="B679" s="4" t="s">
        <v>538</v>
      </c>
      <c r="C679" s="4" t="s">
        <v>287</v>
      </c>
      <c r="D679" s="94">
        <v>2751.0</v>
      </c>
    </row>
    <row r="680">
      <c r="A680" s="40">
        <f t="array" ref="A680">IFNA(index(PlayerValues!A:A,match(IFNA(vlookup(B680,'Special Names'!A:B,2,FALSE),B680),PlayerValues!E:E,0)),"N/A")</f>
        <v>12616</v>
      </c>
      <c r="B680" s="4" t="s">
        <v>529</v>
      </c>
      <c r="C680" s="4" t="s">
        <v>283</v>
      </c>
      <c r="D680" s="94">
        <v>2743.0</v>
      </c>
    </row>
    <row r="681">
      <c r="A681" s="40">
        <f t="array" ref="A681">IFNA(index(PlayerValues!A:A,match(IFNA(vlookup(B681,'Special Names'!A:B,2,FALSE),B681),PlayerValues!E:E,0)),"N/A")</f>
        <v>17047</v>
      </c>
      <c r="B681" s="4" t="s">
        <v>510</v>
      </c>
      <c r="C681" s="4" t="s">
        <v>278</v>
      </c>
      <c r="D681" s="94">
        <v>2740.0</v>
      </c>
    </row>
    <row r="682">
      <c r="A682" s="40">
        <f t="array" ref="A682">IFNA(index(PlayerValues!A:A,match(IFNA(vlookup(B682,'Special Names'!A:B,2,FALSE),B682),PlayerValues!E:E,0)),"N/A")</f>
        <v>17073</v>
      </c>
      <c r="B682" s="4" t="s">
        <v>547</v>
      </c>
      <c r="C682" s="4" t="s">
        <v>287</v>
      </c>
      <c r="D682" s="94">
        <v>2737.0</v>
      </c>
    </row>
    <row r="683">
      <c r="A683" s="40">
        <f t="array" ref="A683">IFNA(index(PlayerValues!A:A,match(IFNA(vlookup(B683,'Special Names'!A:B,2,FALSE),B683),PlayerValues!E:E,0)),"N/A")</f>
        <v>17503</v>
      </c>
      <c r="B683" s="4" t="s">
        <v>480</v>
      </c>
      <c r="C683" s="4" t="s">
        <v>287</v>
      </c>
      <c r="D683" s="94">
        <v>2726.0</v>
      </c>
    </row>
    <row r="684">
      <c r="A684" s="40">
        <f t="array" ref="A684">IFNA(index(PlayerValues!A:A,match(IFNA(vlookup(B684,'Special Names'!A:B,2,FALSE),B684),PlayerValues!E:E,0)),"N/A")</f>
        <v>17080</v>
      </c>
      <c r="B684" s="4" t="s">
        <v>532</v>
      </c>
      <c r="C684" s="4" t="s">
        <v>287</v>
      </c>
      <c r="D684" s="94">
        <v>2726.0</v>
      </c>
    </row>
    <row r="685">
      <c r="A685" s="40">
        <f t="array" ref="A685">IFNA(index(PlayerValues!A:A,match(IFNA(vlookup(B685,'Special Names'!A:B,2,FALSE),B685),PlayerValues!E:E,0)),"N/A")</f>
        <v>17098</v>
      </c>
      <c r="B685" s="4" t="s">
        <v>533</v>
      </c>
      <c r="C685" s="4" t="s">
        <v>287</v>
      </c>
      <c r="D685" s="94">
        <v>2722.0</v>
      </c>
    </row>
    <row r="686">
      <c r="A686" s="40">
        <f t="array" ref="A686">IFNA(index(PlayerValues!A:A,match(IFNA(vlookup(B686,'Special Names'!A:B,2,FALSE),B686),PlayerValues!E:E,0)),"N/A")</f>
        <v>17107</v>
      </c>
      <c r="B686" s="4" t="s">
        <v>478</v>
      </c>
      <c r="C686" s="4" t="s">
        <v>298</v>
      </c>
      <c r="D686" s="94">
        <v>3130.0</v>
      </c>
    </row>
    <row r="687">
      <c r="A687" s="40">
        <f t="array" ref="A687">IFNA(index(PlayerValues!A:A,match(IFNA(vlookup(B687,'Special Names'!A:B,2,FALSE),B687),PlayerValues!E:E,0)),"N/A")</f>
        <v>15721</v>
      </c>
      <c r="B687" s="4" t="s">
        <v>504</v>
      </c>
      <c r="C687" s="4" t="s">
        <v>278</v>
      </c>
      <c r="D687" s="94">
        <v>2714.0</v>
      </c>
    </row>
    <row r="688">
      <c r="A688" s="40">
        <f t="array" ref="A688">IFNA(index(PlayerValues!A:A,match(IFNA(vlookup(B688,'Special Names'!A:B,2,FALSE),B688),PlayerValues!E:E,0)),"N/A")</f>
        <v>16596</v>
      </c>
      <c r="B688" s="4" t="s">
        <v>501</v>
      </c>
      <c r="C688" s="4" t="s">
        <v>278</v>
      </c>
      <c r="D688" s="94">
        <v>2705.0</v>
      </c>
    </row>
    <row r="689">
      <c r="A689" s="40">
        <f t="array" ref="A689">IFNA(index(PlayerValues!A:A,match(IFNA(vlookup(B689,'Special Names'!A:B,2,FALSE),B689),PlayerValues!E:E,0)),"N/A")</f>
        <v>14833</v>
      </c>
      <c r="B689" s="4" t="s">
        <v>553</v>
      </c>
      <c r="C689" s="4" t="s">
        <v>287</v>
      </c>
      <c r="D689" s="94">
        <v>2704.0</v>
      </c>
    </row>
    <row r="690">
      <c r="A690" s="40">
        <f t="array" ref="A690">IFNA(index(PlayerValues!A:A,match(IFNA(vlookup(B690,'Special Names'!A:B,2,FALSE),B690),PlayerValues!E:E,0)),"N/A")</f>
        <v>15972</v>
      </c>
      <c r="B690" s="4" t="s">
        <v>469</v>
      </c>
      <c r="C690" s="4" t="s">
        <v>278</v>
      </c>
      <c r="D690" s="94">
        <v>2702.0</v>
      </c>
    </row>
    <row r="691">
      <c r="A691" s="40">
        <f t="array" ref="A691">IFNA(index(PlayerValues!A:A,match(IFNA(vlookup(B691,'Special Names'!A:B,2,FALSE),B691),PlayerValues!E:E,0)),"N/A")</f>
        <v>17105</v>
      </c>
      <c r="B691" s="4" t="s">
        <v>525</v>
      </c>
      <c r="C691" s="4" t="s">
        <v>298</v>
      </c>
      <c r="D691" s="94">
        <v>3109.0</v>
      </c>
    </row>
    <row r="692">
      <c r="A692" s="40">
        <f t="array" ref="A692">IFNA(index(PlayerValues!A:A,match(IFNA(vlookup(B692,'Special Names'!A:B,2,FALSE),B692),PlayerValues!E:E,0)),"N/A")</f>
        <v>16165</v>
      </c>
      <c r="B692" s="4" t="s">
        <v>520</v>
      </c>
      <c r="C692" s="4" t="s">
        <v>278</v>
      </c>
      <c r="D692" s="94">
        <v>2679.0</v>
      </c>
    </row>
    <row r="693">
      <c r="A693" s="40">
        <f t="array" ref="A693">IFNA(index(PlayerValues!A:A,match(IFNA(vlookup(B693,'Special Names'!A:B,2,FALSE),B693),PlayerValues!E:E,0)),"N/A")</f>
        <v>14860</v>
      </c>
      <c r="B693" s="4" t="s">
        <v>554</v>
      </c>
      <c r="C693" s="4" t="s">
        <v>287</v>
      </c>
      <c r="D693" s="94">
        <v>2664.0</v>
      </c>
    </row>
    <row r="694">
      <c r="A694" s="40">
        <f t="array" ref="A694">IFNA(index(PlayerValues!A:A,match(IFNA(vlookup(B694,'Special Names'!A:B,2,FALSE),B694),PlayerValues!E:E,0)),"N/A")</f>
        <v>17171</v>
      </c>
      <c r="B694" s="4" t="s">
        <v>561</v>
      </c>
      <c r="C694" s="4" t="s">
        <v>287</v>
      </c>
      <c r="D694" s="94">
        <v>2652.0</v>
      </c>
    </row>
    <row r="695">
      <c r="A695" s="40">
        <f t="array" ref="A695">IFNA(index(PlayerValues!A:A,match(IFNA(vlookup(B695,'Special Names'!A:B,2,FALSE),B695),PlayerValues!E:E,0)),"N/A")</f>
        <v>16195</v>
      </c>
      <c r="B695" s="4" t="s">
        <v>509</v>
      </c>
      <c r="C695" s="4" t="s">
        <v>287</v>
      </c>
      <c r="D695" s="94">
        <v>2649.0</v>
      </c>
    </row>
    <row r="696">
      <c r="A696" s="40">
        <f t="array" ref="A696">IFNA(index(PlayerValues!A:A,match(IFNA(vlookup(B696,'Special Names'!A:B,2,FALSE),B696),PlayerValues!E:E,0)),"N/A")</f>
        <v>16747</v>
      </c>
      <c r="B696" s="4" t="s">
        <v>555</v>
      </c>
      <c r="C696" s="4" t="s">
        <v>278</v>
      </c>
      <c r="D696" s="94">
        <v>2647.0</v>
      </c>
    </row>
    <row r="697">
      <c r="A697" s="40">
        <f t="array" ref="A697">IFNA(index(PlayerValues!A:A,match(IFNA(vlookup(B697,'Special Names'!A:B,2,FALSE),B697),PlayerValues!E:E,0)),"N/A")</f>
        <v>17505</v>
      </c>
      <c r="B697" s="4" t="s">
        <v>528</v>
      </c>
      <c r="C697" s="4" t="s">
        <v>287</v>
      </c>
      <c r="D697" s="94">
        <v>2646.0</v>
      </c>
    </row>
    <row r="698">
      <c r="A698" s="40" t="str">
        <f t="array" ref="A698">IFNA(index(PlayerValues!A:A,match(IFNA(vlookup(B698,'Special Names'!A:B,2,FALSE),B698),PlayerValues!E:E,0)),"N/A")</f>
        <v>N/A</v>
      </c>
      <c r="B698" s="4" t="s">
        <v>98</v>
      </c>
      <c r="C698" s="4" t="s">
        <v>325</v>
      </c>
      <c r="D698" s="94">
        <v>2638.0</v>
      </c>
    </row>
    <row r="699">
      <c r="A699" s="40">
        <f t="array" ref="A699">IFNA(index(PlayerValues!A:A,match(IFNA(vlookup(B699,'Special Names'!A:B,2,FALSE),B699),PlayerValues!E:E,0)),"N/A")</f>
        <v>17082</v>
      </c>
      <c r="B699" s="4" t="s">
        <v>498</v>
      </c>
      <c r="C699" s="4" t="s">
        <v>287</v>
      </c>
      <c r="D699" s="94">
        <v>2608.0</v>
      </c>
    </row>
    <row r="700">
      <c r="A700" s="40">
        <f t="array" ref="A700">IFNA(index(PlayerValues!A:A,match(IFNA(vlookup(B700,'Special Names'!A:B,2,FALSE),B700),PlayerValues!E:E,0)),"N/A")</f>
        <v>13674</v>
      </c>
      <c r="B700" s="4" t="s">
        <v>511</v>
      </c>
      <c r="C700" s="4" t="s">
        <v>298</v>
      </c>
      <c r="D700" s="94">
        <v>3010.0</v>
      </c>
    </row>
    <row r="701">
      <c r="A701" s="40">
        <f t="array" ref="A701">IFNA(index(PlayerValues!A:A,match(IFNA(vlookup(B701,'Special Names'!A:B,2,FALSE),B701),PlayerValues!E:E,0)),"N/A")</f>
        <v>17509</v>
      </c>
      <c r="B701" s="4" t="s">
        <v>551</v>
      </c>
      <c r="C701" s="4" t="s">
        <v>287</v>
      </c>
      <c r="D701" s="94">
        <v>2599.0</v>
      </c>
    </row>
    <row r="702">
      <c r="A702" s="40">
        <f t="array" ref="A702">IFNA(index(PlayerValues!A:A,match(IFNA(vlookup(B702,'Special Names'!A:B,2,FALSE),B702),PlayerValues!E:E,0)),"N/A")</f>
        <v>17108</v>
      </c>
      <c r="B702" s="4" t="s">
        <v>542</v>
      </c>
      <c r="C702" s="4" t="s">
        <v>298</v>
      </c>
      <c r="D702" s="94">
        <v>2984.0</v>
      </c>
    </row>
    <row r="703">
      <c r="A703" s="40">
        <f t="array" ref="A703">IFNA(index(PlayerValues!A:A,match(IFNA(vlookup(B703,'Special Names'!A:B,2,FALSE),B703),PlayerValues!E:E,0)),"N/A")</f>
        <v>16287</v>
      </c>
      <c r="B703" s="4" t="s">
        <v>516</v>
      </c>
      <c r="C703" s="4" t="s">
        <v>287</v>
      </c>
      <c r="D703" s="94">
        <v>2560.0</v>
      </c>
    </row>
    <row r="704">
      <c r="A704" s="40">
        <f t="array" ref="A704">IFNA(index(PlayerValues!A:A,match(IFNA(vlookup(B704,'Special Names'!A:B,2,FALSE),B704),PlayerValues!E:E,0)),"N/A")</f>
        <v>16626</v>
      </c>
      <c r="B704" s="4" t="s">
        <v>515</v>
      </c>
      <c r="C704" s="4" t="s">
        <v>287</v>
      </c>
      <c r="D704" s="94">
        <v>2557.0</v>
      </c>
    </row>
    <row r="705">
      <c r="A705" s="40">
        <f t="array" ref="A705">IFNA(index(PlayerValues!A:A,match(IFNA(vlookup(B705,'Special Names'!A:B,2,FALSE),B705),PlayerValues!E:E,0)),"N/A")</f>
        <v>16617</v>
      </c>
      <c r="B705" s="4" t="s">
        <v>541</v>
      </c>
      <c r="C705" s="4" t="s">
        <v>287</v>
      </c>
      <c r="D705" s="94">
        <v>2538.0</v>
      </c>
    </row>
    <row r="706">
      <c r="A706" s="40">
        <f t="array" ref="A706">IFNA(index(PlayerValues!A:A,match(IFNA(vlookup(B706,'Special Names'!A:B,2,FALSE),B706),PlayerValues!E:E,0)),"N/A")</f>
        <v>17482</v>
      </c>
      <c r="B706" s="4" t="s">
        <v>460</v>
      </c>
      <c r="C706" s="4" t="s">
        <v>278</v>
      </c>
      <c r="D706" s="94">
        <v>2523.0</v>
      </c>
    </row>
    <row r="707">
      <c r="A707" s="40">
        <f t="array" ref="A707">IFNA(index(PlayerValues!A:A,match(IFNA(vlookup(B707,'Special Names'!A:B,2,FALSE),B707),PlayerValues!E:E,0)),"N/A")</f>
        <v>17134</v>
      </c>
      <c r="B707" s="4" t="s">
        <v>548</v>
      </c>
      <c r="C707" s="4" t="s">
        <v>287</v>
      </c>
      <c r="D707" s="94">
        <v>2518.0</v>
      </c>
    </row>
    <row r="708">
      <c r="A708" s="40">
        <f t="array" ref="A708">IFNA(index(PlayerValues!A:A,match(IFNA(vlookup(B708,'Special Names'!A:B,2,FALSE),B708),PlayerValues!E:E,0)),"N/A")</f>
        <v>17048</v>
      </c>
      <c r="B708" s="4" t="s">
        <v>539</v>
      </c>
      <c r="C708" s="4" t="s">
        <v>278</v>
      </c>
      <c r="D708" s="94">
        <v>2496.0</v>
      </c>
    </row>
    <row r="709">
      <c r="A709" s="40">
        <f t="array" ref="A709">IFNA(index(PlayerValues!A:A,match(IFNA(vlookup(B709,'Special Names'!A:B,2,FALSE),B709),PlayerValues!E:E,0)),"N/A")</f>
        <v>16684</v>
      </c>
      <c r="B709" s="4" t="s">
        <v>500</v>
      </c>
      <c r="C709" s="4" t="s">
        <v>287</v>
      </c>
      <c r="D709" s="94">
        <v>2490.0</v>
      </c>
    </row>
    <row r="710">
      <c r="A710" s="40">
        <f t="array" ref="A710">IFNA(index(PlayerValues!A:A,match(IFNA(vlookup(B710,'Special Names'!A:B,2,FALSE),B710),PlayerValues!E:E,0)),"N/A")</f>
        <v>16164</v>
      </c>
      <c r="B710" s="4" t="s">
        <v>512</v>
      </c>
      <c r="C710" s="4" t="s">
        <v>278</v>
      </c>
      <c r="D710" s="94">
        <v>2489.0</v>
      </c>
    </row>
    <row r="711">
      <c r="A711" s="40">
        <f t="array" ref="A711">IFNA(index(PlayerValues!A:A,match(IFNA(vlookup(B711,'Special Names'!A:B,2,FALSE),B711),PlayerValues!E:E,0)),"N/A")</f>
        <v>16174</v>
      </c>
      <c r="B711" s="4" t="s">
        <v>505</v>
      </c>
      <c r="C711" s="4" t="s">
        <v>278</v>
      </c>
      <c r="D711" s="94">
        <v>2483.0</v>
      </c>
    </row>
    <row r="712">
      <c r="A712" s="40">
        <f t="array" ref="A712">IFNA(index(PlayerValues!A:A,match(IFNA(vlookup(B712,'Special Names'!A:B,2,FALSE),B712),PlayerValues!E:E,0)),"N/A")</f>
        <v>17511</v>
      </c>
      <c r="B712" s="4" t="s">
        <v>485</v>
      </c>
      <c r="C712" s="4" t="s">
        <v>287</v>
      </c>
      <c r="D712" s="94">
        <v>2468.0</v>
      </c>
    </row>
    <row r="713">
      <c r="A713" s="40">
        <f t="array" ref="A713">IFNA(index(PlayerValues!A:A,match(IFNA(vlookup(B713,'Special Names'!A:B,2,FALSE),B713),PlayerValues!E:E,0)),"N/A")</f>
        <v>14840</v>
      </c>
      <c r="B713" s="4" t="s">
        <v>731</v>
      </c>
      <c r="C713" s="4" t="s">
        <v>287</v>
      </c>
      <c r="D713" s="94">
        <v>2465.0</v>
      </c>
    </row>
    <row r="714">
      <c r="A714" s="40">
        <f t="array" ref="A714">IFNA(index(PlayerValues!A:A,match(IFNA(vlookup(B714,'Special Names'!A:B,2,FALSE),B714),PlayerValues!E:E,0)),"N/A")</f>
        <v>16178</v>
      </c>
      <c r="B714" s="4" t="s">
        <v>507</v>
      </c>
      <c r="C714" s="4" t="s">
        <v>278</v>
      </c>
      <c r="D714" s="94">
        <v>2463.0</v>
      </c>
    </row>
    <row r="715">
      <c r="A715" s="40">
        <f t="array" ref="A715">IFNA(index(PlayerValues!A:A,match(IFNA(vlookup(B715,'Special Names'!A:B,2,FALSE),B715),PlayerValues!E:E,0)),"N/A")</f>
        <v>17507</v>
      </c>
      <c r="B715" s="4" t="s">
        <v>495</v>
      </c>
      <c r="C715" s="4" t="s">
        <v>287</v>
      </c>
      <c r="D715" s="94">
        <v>2448.0</v>
      </c>
    </row>
    <row r="716">
      <c r="A716" s="40" t="str">
        <f t="array" ref="A716">IFNA(index(PlayerValues!A:A,match(IFNA(vlookup(B716,'Special Names'!A:B,2,FALSE),B716),PlayerValues!E:E,0)),"N/A")</f>
        <v>N/A</v>
      </c>
      <c r="B716" s="4" t="s">
        <v>557</v>
      </c>
      <c r="C716" s="4" t="s">
        <v>278</v>
      </c>
      <c r="D716" s="94">
        <v>2437.0</v>
      </c>
    </row>
    <row r="717">
      <c r="A717" s="40" t="str">
        <f t="array" ref="A717">IFNA(index(PlayerValues!A:A,match(IFNA(vlookup(B717,'Special Names'!A:B,2,FALSE),B717),PlayerValues!E:E,0)),"N/A")</f>
        <v>N/A</v>
      </c>
      <c r="B717" s="4" t="s">
        <v>99</v>
      </c>
      <c r="C717" s="4" t="s">
        <v>325</v>
      </c>
      <c r="D717" s="94">
        <v>2435.0</v>
      </c>
    </row>
    <row r="718">
      <c r="A718" s="40">
        <f t="array" ref="A718">IFNA(index(PlayerValues!A:A,match(IFNA(vlookup(B718,'Special Names'!A:B,2,FALSE),B718),PlayerValues!E:E,0)),"N/A")</f>
        <v>13192</v>
      </c>
      <c r="B718" s="4" t="s">
        <v>563</v>
      </c>
      <c r="C718" s="4" t="s">
        <v>298</v>
      </c>
      <c r="D718" s="94">
        <v>2836.0</v>
      </c>
    </row>
    <row r="719">
      <c r="A719" s="40">
        <f t="array" ref="A719">IFNA(index(PlayerValues!A:A,match(IFNA(vlookup(B719,'Special Names'!A:B,2,FALSE),B719),PlayerValues!E:E,0)),"N/A")</f>
        <v>11244</v>
      </c>
      <c r="B719" s="4" t="s">
        <v>519</v>
      </c>
      <c r="C719" s="4" t="s">
        <v>298</v>
      </c>
      <c r="D719" s="94">
        <v>2807.0</v>
      </c>
    </row>
    <row r="720">
      <c r="A720" s="40">
        <f t="array" ref="A720">IFNA(index(PlayerValues!A:A,match(IFNA(vlookup(B720,'Special Names'!A:B,2,FALSE),B720),PlayerValues!E:E,0)),"N/A")</f>
        <v>15716</v>
      </c>
      <c r="B720" s="4" t="s">
        <v>545</v>
      </c>
      <c r="C720" s="4" t="s">
        <v>278</v>
      </c>
      <c r="D720" s="94">
        <v>2404.0</v>
      </c>
    </row>
    <row r="721">
      <c r="A721" s="40">
        <f t="array" ref="A721">IFNA(index(PlayerValues!A:A,match(IFNA(vlookup(B721,'Special Names'!A:B,2,FALSE),B721),PlayerValues!E:E,0)),"N/A")</f>
        <v>14861</v>
      </c>
      <c r="B721" s="4" t="s">
        <v>523</v>
      </c>
      <c r="C721" s="4" t="s">
        <v>298</v>
      </c>
      <c r="D721" s="94">
        <v>2783.0</v>
      </c>
    </row>
    <row r="722">
      <c r="A722" s="40">
        <f t="array" ref="A722">IFNA(index(PlayerValues!A:A,match(IFNA(vlookup(B722,'Special Names'!A:B,2,FALSE),B722),PlayerValues!E:E,0)),"N/A")</f>
        <v>17106</v>
      </c>
      <c r="B722" s="4" t="s">
        <v>550</v>
      </c>
      <c r="C722" s="4" t="s">
        <v>298</v>
      </c>
      <c r="D722" s="94">
        <v>2782.0</v>
      </c>
    </row>
    <row r="723">
      <c r="A723" s="40">
        <f t="array" ref="A723">IFNA(index(PlayerValues!A:A,match(IFNA(vlookup(B723,'Special Names'!A:B,2,FALSE),B723),PlayerValues!E:E,0)),"N/A")</f>
        <v>16204</v>
      </c>
      <c r="B723" s="4" t="s">
        <v>530</v>
      </c>
      <c r="C723" s="4" t="s">
        <v>287</v>
      </c>
      <c r="D723" s="94">
        <v>2377.0</v>
      </c>
    </row>
    <row r="724">
      <c r="A724" s="40">
        <f t="array" ref="A724">IFNA(index(PlayerValues!A:A,match(IFNA(vlookup(B724,'Special Names'!A:B,2,FALSE),B724),PlayerValues!E:E,0)),"N/A")</f>
        <v>16649</v>
      </c>
      <c r="B724" s="4" t="s">
        <v>586</v>
      </c>
      <c r="C724" s="4" t="s">
        <v>298</v>
      </c>
      <c r="D724" s="94">
        <v>2771.0</v>
      </c>
    </row>
    <row r="725">
      <c r="A725" s="40">
        <f t="array" ref="A725">IFNA(index(PlayerValues!A:A,match(IFNA(vlookup(B725,'Special Names'!A:B,2,FALSE),B725),PlayerValues!E:E,0)),"N/A")</f>
        <v>14136</v>
      </c>
      <c r="B725" s="4" t="s">
        <v>536</v>
      </c>
      <c r="C725" s="4" t="s">
        <v>287</v>
      </c>
      <c r="D725" s="94">
        <v>2370.0</v>
      </c>
    </row>
    <row r="726">
      <c r="A726" s="40">
        <f t="array" ref="A726">IFNA(index(PlayerValues!A:A,match(IFNA(vlookup(B726,'Special Names'!A:B,2,FALSE),B726),PlayerValues!E:E,0)),"N/A")</f>
        <v>15786</v>
      </c>
      <c r="B726" s="4" t="s">
        <v>521</v>
      </c>
      <c r="C726" s="4" t="s">
        <v>287</v>
      </c>
      <c r="D726" s="94">
        <v>2369.0</v>
      </c>
    </row>
    <row r="727">
      <c r="A727" s="40">
        <f t="array" ref="A727">IFNA(index(PlayerValues!A:A,match(IFNA(vlookup(B727,'Special Names'!A:B,2,FALSE),B727),PlayerValues!E:E,0)),"N/A")</f>
        <v>17078</v>
      </c>
      <c r="B727" s="4" t="s">
        <v>543</v>
      </c>
      <c r="C727" s="4" t="s">
        <v>287</v>
      </c>
      <c r="D727" s="94">
        <v>2369.0</v>
      </c>
    </row>
    <row r="728">
      <c r="A728" s="40">
        <f t="array" ref="A728">IFNA(index(PlayerValues!A:A,match(IFNA(vlookup(B728,'Special Names'!A:B,2,FALSE),B728),PlayerValues!E:E,0)),"N/A")</f>
        <v>16152</v>
      </c>
      <c r="B728" s="4" t="s">
        <v>601</v>
      </c>
      <c r="C728" s="4" t="s">
        <v>283</v>
      </c>
      <c r="D728" s="94">
        <v>2363.0</v>
      </c>
    </row>
    <row r="729">
      <c r="A729" s="40">
        <f t="array" ref="A729">IFNA(index(PlayerValues!A:A,match(IFNA(vlookup(B729,'Special Names'!A:B,2,FALSE),B729),PlayerValues!E:E,0)),"N/A")</f>
        <v>16594</v>
      </c>
      <c r="B729" s="4" t="s">
        <v>607</v>
      </c>
      <c r="C729" s="4" t="s">
        <v>278</v>
      </c>
      <c r="D729" s="94">
        <v>2360.0</v>
      </c>
    </row>
    <row r="730">
      <c r="A730" s="40">
        <f t="array" ref="A730">IFNA(index(PlayerValues!A:A,match(IFNA(vlookup(B730,'Special Names'!A:B,2,FALSE),B730),PlayerValues!E:E,0)),"N/A")</f>
        <v>17033</v>
      </c>
      <c r="B730" s="4" t="s">
        <v>570</v>
      </c>
      <c r="C730" s="4" t="s">
        <v>283</v>
      </c>
      <c r="D730" s="94">
        <v>2358.0</v>
      </c>
    </row>
    <row r="731">
      <c r="A731" s="40">
        <f t="array" ref="A731">IFNA(index(PlayerValues!A:A,match(IFNA(vlookup(B731,'Special Names'!A:B,2,FALSE),B731),PlayerValues!E:E,0)),"N/A")</f>
        <v>15802</v>
      </c>
      <c r="B731" s="4" t="s">
        <v>566</v>
      </c>
      <c r="C731" s="4" t="s">
        <v>298</v>
      </c>
      <c r="D731" s="94">
        <v>2744.0</v>
      </c>
    </row>
    <row r="732">
      <c r="A732" s="40">
        <f t="array" ref="A732">IFNA(index(PlayerValues!A:A,match(IFNA(vlookup(B732,'Special Names'!A:B,2,FALSE),B732),PlayerValues!E:E,0)),"N/A")</f>
        <v>16036</v>
      </c>
      <c r="B732" s="4" t="s">
        <v>592</v>
      </c>
      <c r="C732" s="4" t="s">
        <v>298</v>
      </c>
      <c r="D732" s="94">
        <v>2738.0</v>
      </c>
    </row>
    <row r="733">
      <c r="A733" s="40">
        <f t="array" ref="A733">IFNA(index(PlayerValues!A:A,match(IFNA(vlookup(B733,'Special Names'!A:B,2,FALSE),B733),PlayerValues!E:E,0)),"N/A")</f>
        <v>12676</v>
      </c>
      <c r="B733" s="4" t="s">
        <v>537</v>
      </c>
      <c r="C733" s="4" t="s">
        <v>298</v>
      </c>
      <c r="D733" s="94">
        <v>2736.0</v>
      </c>
    </row>
    <row r="734">
      <c r="A734" s="40">
        <f t="array" ref="A734">IFNA(index(PlayerValues!A:A,match(IFNA(vlookup(B734,'Special Names'!A:B,2,FALSE),B734),PlayerValues!E:E,0)),"N/A")</f>
        <v>16166</v>
      </c>
      <c r="B734" s="4" t="s">
        <v>567</v>
      </c>
      <c r="C734" s="4" t="s">
        <v>278</v>
      </c>
      <c r="D734" s="94">
        <v>2312.0</v>
      </c>
    </row>
    <row r="735">
      <c r="A735" s="40">
        <f t="array" ref="A735">IFNA(index(PlayerValues!A:A,match(IFNA(vlookup(B735,'Special Names'!A:B,2,FALSE),B735),PlayerValues!E:E,0)),"N/A")</f>
        <v>15749</v>
      </c>
      <c r="B735" s="4" t="s">
        <v>574</v>
      </c>
      <c r="C735" s="4" t="s">
        <v>278</v>
      </c>
      <c r="D735" s="94">
        <v>2310.0</v>
      </c>
    </row>
    <row r="736">
      <c r="A736" s="40">
        <f t="array" ref="A736">IFNA(index(PlayerValues!A:A,match(IFNA(vlookup(B736,'Special Names'!A:B,2,FALSE),B736),PlayerValues!E:E,0)),"N/A")</f>
        <v>16757</v>
      </c>
      <c r="B736" s="4" t="s">
        <v>558</v>
      </c>
      <c r="C736" s="4" t="s">
        <v>278</v>
      </c>
      <c r="D736" s="94">
        <v>2309.0</v>
      </c>
    </row>
    <row r="737">
      <c r="A737" s="40">
        <f t="array" ref="A737">IFNA(index(PlayerValues!A:A,match(IFNA(vlookup(B737,'Special Names'!A:B,2,FALSE),B737),PlayerValues!E:E,0)),"N/A")</f>
        <v>13772</v>
      </c>
      <c r="B737" s="4" t="s">
        <v>544</v>
      </c>
      <c r="C737" s="4" t="s">
        <v>298</v>
      </c>
      <c r="D737" s="94">
        <v>2693.0</v>
      </c>
    </row>
    <row r="738">
      <c r="A738" s="40">
        <f t="array" ref="A738">IFNA(index(PlayerValues!A:A,match(IFNA(vlookup(B738,'Special Names'!A:B,2,FALSE),B738),PlayerValues!E:E,0)),"N/A")</f>
        <v>17474</v>
      </c>
      <c r="B738" s="4" t="s">
        <v>513</v>
      </c>
      <c r="C738" s="4" t="s">
        <v>278</v>
      </c>
      <c r="D738" s="94">
        <v>2292.0</v>
      </c>
    </row>
    <row r="739">
      <c r="A739" s="40">
        <f t="array" ref="A739">IFNA(index(PlayerValues!A:A,match(IFNA(vlookup(B739,'Special Names'!A:B,2,FALSE),B739),PlayerValues!E:E,0)),"N/A")</f>
        <v>17508</v>
      </c>
      <c r="B739" s="4" t="s">
        <v>534</v>
      </c>
      <c r="C739" s="4" t="s">
        <v>287</v>
      </c>
      <c r="D739" s="94">
        <v>2266.0</v>
      </c>
    </row>
    <row r="740">
      <c r="A740" s="40" t="str">
        <f t="array" ref="A740">IFNA(index(PlayerValues!A:A,match(IFNA(vlookup(B740,'Special Names'!A:B,2,FALSE),B740),PlayerValues!E:E,0)),"N/A")</f>
        <v>N/A</v>
      </c>
      <c r="B740" s="4" t="s">
        <v>86</v>
      </c>
      <c r="C740" s="4" t="s">
        <v>325</v>
      </c>
      <c r="D740" s="94">
        <v>2265.0</v>
      </c>
    </row>
    <row r="741">
      <c r="A741" s="40">
        <f t="array" ref="A741">IFNA(index(PlayerValues!A:A,match(IFNA(vlookup(B741,'Special Names'!A:B,2,FALSE),B741),PlayerValues!E:E,0)),"N/A")</f>
        <v>16189</v>
      </c>
      <c r="B741" s="4" t="s">
        <v>582</v>
      </c>
      <c r="C741" s="4" t="s">
        <v>287</v>
      </c>
      <c r="D741" s="94">
        <v>2242.0</v>
      </c>
    </row>
    <row r="742">
      <c r="A742" s="40">
        <f t="array" ref="A742">IFNA(index(PlayerValues!A:A,match(IFNA(vlookup(B742,'Special Names'!A:B,2,FALSE),B742),PlayerValues!E:E,0)),"N/A")</f>
        <v>17512</v>
      </c>
      <c r="B742" s="4" t="s">
        <v>483</v>
      </c>
      <c r="C742" s="4" t="s">
        <v>287</v>
      </c>
      <c r="D742" s="94">
        <v>2241.0</v>
      </c>
    </row>
    <row r="743">
      <c r="A743" s="40">
        <f t="array" ref="A743">IFNA(index(PlayerValues!A:A,match(IFNA(vlookup(B743,'Special Names'!A:B,2,FALSE),B743),PlayerValues!E:E,0)),"N/A")</f>
        <v>17517</v>
      </c>
      <c r="B743" s="4" t="s">
        <v>454</v>
      </c>
      <c r="C743" s="4" t="s">
        <v>287</v>
      </c>
      <c r="D743" s="94">
        <v>2235.0</v>
      </c>
    </row>
    <row r="744">
      <c r="A744" s="40">
        <f t="array" ref="A744">IFNA(index(PlayerValues!A:A,match(IFNA(vlookup(B744,'Special Names'!A:B,2,FALSE),B744),PlayerValues!E:E,0)),"N/A")</f>
        <v>13319</v>
      </c>
      <c r="B744" s="4" t="s">
        <v>549</v>
      </c>
      <c r="C744" s="4" t="s">
        <v>278</v>
      </c>
      <c r="D744" s="94">
        <v>2235.0</v>
      </c>
    </row>
    <row r="745">
      <c r="A745" s="40">
        <f t="array" ref="A745">IFNA(index(PlayerValues!A:A,match(IFNA(vlookup(B745,'Special Names'!A:B,2,FALSE),B745),PlayerValues!E:E,0)),"N/A")</f>
        <v>16610</v>
      </c>
      <c r="B745" s="4" t="s">
        <v>562</v>
      </c>
      <c r="C745" s="4" t="s">
        <v>278</v>
      </c>
      <c r="D745" s="94">
        <v>2233.0</v>
      </c>
    </row>
    <row r="746">
      <c r="A746" s="40">
        <f t="array" ref="A746">IFNA(index(PlayerValues!A:A,match(IFNA(vlookup(B746,'Special Names'!A:B,2,FALSE),B746),PlayerValues!E:E,0)),"N/A")</f>
        <v>17478</v>
      </c>
      <c r="B746" s="4" t="s">
        <v>527</v>
      </c>
      <c r="C746" s="4" t="s">
        <v>278</v>
      </c>
      <c r="D746" s="94">
        <v>2207.0</v>
      </c>
    </row>
    <row r="747">
      <c r="A747" s="40">
        <f t="array" ref="A747">IFNA(index(PlayerValues!A:A,match(IFNA(vlookup(B747,'Special Names'!A:B,2,FALSE),B747),PlayerValues!E:E,0)),"N/A")</f>
        <v>17079</v>
      </c>
      <c r="B747" s="4" t="s">
        <v>572</v>
      </c>
      <c r="C747" s="4" t="s">
        <v>287</v>
      </c>
      <c r="D747" s="94">
        <v>2201.0</v>
      </c>
    </row>
    <row r="748">
      <c r="A748" s="40">
        <f t="array" ref="A748">IFNA(index(PlayerValues!A:A,match(IFNA(vlookup(B748,'Special Names'!A:B,2,FALSE),B748),PlayerValues!E:E,0)),"N/A")</f>
        <v>16212</v>
      </c>
      <c r="B748" s="4" t="s">
        <v>568</v>
      </c>
      <c r="C748" s="4" t="s">
        <v>298</v>
      </c>
      <c r="D748" s="94">
        <v>2554.0</v>
      </c>
    </row>
    <row r="749">
      <c r="A749" s="40" t="str">
        <f t="array" ref="A749">IFNA(index(PlayerValues!A:A,match(IFNA(vlookup(B749,'Special Names'!A:B,2,FALSE),B749),PlayerValues!E:E,0)),"N/A")</f>
        <v>N/A</v>
      </c>
      <c r="B749" s="4" t="s">
        <v>100</v>
      </c>
      <c r="C749" s="4" t="s">
        <v>325</v>
      </c>
      <c r="D749" s="94">
        <v>2163.0</v>
      </c>
    </row>
    <row r="750">
      <c r="A750" s="40">
        <f t="array" ref="A750">IFNA(index(PlayerValues!A:A,match(IFNA(vlookup(B750,'Special Names'!A:B,2,FALSE),B750),PlayerValues!E:E,0)),"N/A")</f>
        <v>17046</v>
      </c>
      <c r="B750" s="4" t="s">
        <v>602</v>
      </c>
      <c r="C750" s="4" t="s">
        <v>278</v>
      </c>
      <c r="D750" s="94">
        <v>2157.0</v>
      </c>
    </row>
    <row r="751">
      <c r="A751" s="40" t="str">
        <f t="array" ref="A751">IFNA(index(PlayerValues!A:A,match(IFNA(vlookup(B751,'Special Names'!A:B,2,FALSE),B751),PlayerValues!E:E,0)),"N/A")</f>
        <v>N/A</v>
      </c>
      <c r="B751" s="4" t="s">
        <v>112</v>
      </c>
      <c r="C751" s="4" t="s">
        <v>325</v>
      </c>
      <c r="D751" s="94">
        <v>2151.0</v>
      </c>
    </row>
    <row r="752">
      <c r="A752" s="40">
        <f t="array" ref="A752">IFNA(index(PlayerValues!A:A,match(IFNA(vlookup(B752,'Special Names'!A:B,2,FALSE),B752),PlayerValues!E:E,0)),"N/A")</f>
        <v>11150</v>
      </c>
      <c r="B752" s="4" t="s">
        <v>559</v>
      </c>
      <c r="C752" s="4" t="s">
        <v>283</v>
      </c>
      <c r="D752" s="94">
        <v>2147.0</v>
      </c>
    </row>
    <row r="753">
      <c r="A753" s="40">
        <f t="array" ref="A753">IFNA(index(PlayerValues!A:A,match(IFNA(vlookup(B753,'Special Names'!A:B,2,FALSE),B753),PlayerValues!E:E,0)),"N/A")</f>
        <v>17056</v>
      </c>
      <c r="B753" s="4" t="s">
        <v>581</v>
      </c>
      <c r="C753" s="4" t="s">
        <v>278</v>
      </c>
      <c r="D753" s="94">
        <v>2147.0</v>
      </c>
    </row>
    <row r="754">
      <c r="A754" s="40">
        <f t="array" ref="A754">IFNA(index(PlayerValues!A:A,match(IFNA(vlookup(B754,'Special Names'!A:B,2,FALSE),B754),PlayerValues!E:E,0)),"N/A")</f>
        <v>15238</v>
      </c>
      <c r="B754" s="4" t="s">
        <v>613</v>
      </c>
      <c r="C754" s="4" t="s">
        <v>283</v>
      </c>
      <c r="D754" s="94">
        <v>2141.0</v>
      </c>
    </row>
    <row r="755">
      <c r="A755" s="40">
        <f t="array" ref="A755">IFNA(index(PlayerValues!A:A,match(IFNA(vlookup(B755,'Special Names'!A:B,2,FALSE),B755),PlayerValues!E:E,0)),"N/A")</f>
        <v>12186</v>
      </c>
      <c r="B755" s="4" t="s">
        <v>497</v>
      </c>
      <c r="C755" s="4" t="s">
        <v>287</v>
      </c>
      <c r="D755" s="94">
        <v>2140.0</v>
      </c>
    </row>
    <row r="756">
      <c r="A756" s="40">
        <f t="array" ref="A756">IFNA(index(PlayerValues!A:A,match(IFNA(vlookup(B756,'Special Names'!A:B,2,FALSE),B756),PlayerValues!E:E,0)),"N/A")</f>
        <v>15331</v>
      </c>
      <c r="B756" s="4" t="s">
        <v>560</v>
      </c>
      <c r="C756" s="4" t="s">
        <v>298</v>
      </c>
      <c r="D756" s="94">
        <v>2530.0</v>
      </c>
    </row>
    <row r="757">
      <c r="A757" s="40">
        <f t="array" ref="A757">IFNA(index(PlayerValues!A:A,match(IFNA(vlookup(B757,'Special Names'!A:B,2,FALSE),B757),PlayerValues!E:E,0)),"N/A")</f>
        <v>14974</v>
      </c>
      <c r="B757" s="4" t="s">
        <v>611</v>
      </c>
      <c r="C757" s="4" t="s">
        <v>287</v>
      </c>
      <c r="D757" s="94">
        <v>2133.0</v>
      </c>
    </row>
    <row r="758">
      <c r="A758" s="40">
        <f t="array" ref="A758">IFNA(index(PlayerValues!A:A,match(IFNA(vlookup(B758,'Special Names'!A:B,2,FALSE),B758),PlayerValues!E:E,0)),"N/A")</f>
        <v>12801</v>
      </c>
      <c r="B758" s="4" t="s">
        <v>722</v>
      </c>
      <c r="C758" s="4" t="s">
        <v>287</v>
      </c>
      <c r="D758" s="94">
        <v>2122.0</v>
      </c>
    </row>
    <row r="759">
      <c r="A759" s="40" t="str">
        <f t="array" ref="A759">IFNA(index(PlayerValues!A:A,match(IFNA(vlookup(B759,'Special Names'!A:B,2,FALSE),B759),PlayerValues!E:E,0)),"N/A")</f>
        <v>N/A</v>
      </c>
      <c r="B759" s="4" t="s">
        <v>87</v>
      </c>
      <c r="C759" s="4" t="s">
        <v>325</v>
      </c>
      <c r="D759" s="94">
        <v>2116.0</v>
      </c>
    </row>
    <row r="760">
      <c r="A760" s="40">
        <f t="array" ref="A760">IFNA(index(PlayerValues!A:A,match(IFNA(vlookup(B760,'Special Names'!A:B,2,FALSE),B760),PlayerValues!E:E,0)),"N/A")</f>
        <v>16643</v>
      </c>
      <c r="B760" s="4" t="s">
        <v>609</v>
      </c>
      <c r="C760" s="4" t="s">
        <v>298</v>
      </c>
      <c r="D760" s="94">
        <v>2491.0</v>
      </c>
    </row>
    <row r="761">
      <c r="A761" s="40">
        <f t="array" ref="A761">IFNA(index(PlayerValues!A:A,match(IFNA(vlookup(B761,'Special Names'!A:B,2,FALSE),B761),PlayerValues!E:E,0)),"N/A")</f>
        <v>16432</v>
      </c>
      <c r="B761" s="4" t="s">
        <v>620</v>
      </c>
      <c r="C761" s="4" t="s">
        <v>278</v>
      </c>
      <c r="D761" s="94">
        <v>2086.0</v>
      </c>
    </row>
    <row r="762">
      <c r="A762" s="40">
        <f t="array" ref="A762">IFNA(index(PlayerValues!A:A,match(IFNA(vlookup(B762,'Special Names'!A:B,2,FALSE),B762),PlayerValues!E:E,0)),"N/A")</f>
        <v>17076</v>
      </c>
      <c r="B762" s="4" t="s">
        <v>585</v>
      </c>
      <c r="C762" s="4" t="s">
        <v>287</v>
      </c>
      <c r="D762" s="94">
        <v>2086.0</v>
      </c>
    </row>
    <row r="763">
      <c r="A763" s="40">
        <f t="array" ref="A763">IFNA(index(PlayerValues!A:A,match(IFNA(vlookup(B763,'Special Names'!A:B,2,FALSE),B763),PlayerValues!E:E,0)),"N/A")</f>
        <v>17055</v>
      </c>
      <c r="B763" s="4" t="s">
        <v>565</v>
      </c>
      <c r="C763" s="4" t="s">
        <v>278</v>
      </c>
      <c r="D763" s="94">
        <v>2082.0</v>
      </c>
    </row>
    <row r="764">
      <c r="A764" s="40">
        <f t="array" ref="A764">IFNA(index(PlayerValues!A:A,match(IFNA(vlookup(B764,'Special Names'!A:B,2,FALSE),B764),PlayerValues!E:E,0)),"N/A")</f>
        <v>17087</v>
      </c>
      <c r="B764" s="4" t="s">
        <v>600</v>
      </c>
      <c r="C764" s="4" t="s">
        <v>287</v>
      </c>
      <c r="D764" s="94">
        <v>2082.0</v>
      </c>
    </row>
    <row r="765">
      <c r="A765" s="40" t="str">
        <f t="array" ref="A765">IFNA(index(PlayerValues!A:A,match(IFNA(vlookup(B765,'Special Names'!A:B,2,FALSE),B765),PlayerValues!E:E,0)),"N/A")</f>
        <v>N/A</v>
      </c>
      <c r="B765" s="4" t="s">
        <v>113</v>
      </c>
      <c r="C765" s="4" t="s">
        <v>325</v>
      </c>
      <c r="D765" s="94">
        <v>2076.0</v>
      </c>
    </row>
    <row r="766">
      <c r="A766" s="40">
        <f t="array" ref="A766">IFNA(index(PlayerValues!A:A,match(IFNA(vlookup(B766,'Special Names'!A:B,2,FALSE),B766),PlayerValues!E:E,0)),"N/A")</f>
        <v>13633</v>
      </c>
      <c r="B766" s="4" t="s">
        <v>625</v>
      </c>
      <c r="C766" s="4" t="s">
        <v>287</v>
      </c>
      <c r="D766" s="94">
        <v>2066.0</v>
      </c>
    </row>
    <row r="767">
      <c r="A767" s="40">
        <f t="array" ref="A767">IFNA(index(PlayerValues!A:A,match(IFNA(vlookup(B767,'Special Names'!A:B,2,FALSE),B767),PlayerValues!E:E,0)),"N/A")</f>
        <v>17061</v>
      </c>
      <c r="B767" s="4" t="s">
        <v>580</v>
      </c>
      <c r="C767" s="4" t="s">
        <v>278</v>
      </c>
      <c r="D767" s="94">
        <v>2065.0</v>
      </c>
    </row>
    <row r="768">
      <c r="A768" s="40">
        <f t="array" ref="A768">IFNA(index(PlayerValues!A:A,match(IFNA(vlookup(B768,'Special Names'!A:B,2,FALSE),B768),PlayerValues!E:E,0)),"N/A")</f>
        <v>15293</v>
      </c>
      <c r="B768" s="4" t="s">
        <v>578</v>
      </c>
      <c r="C768" s="4" t="s">
        <v>287</v>
      </c>
      <c r="D768" s="94">
        <v>2061.0</v>
      </c>
    </row>
    <row r="769">
      <c r="A769" s="40">
        <f t="array" ref="A769">IFNA(index(PlayerValues!A:A,match(IFNA(vlookup(B769,'Special Names'!A:B,2,FALSE),B769),PlayerValues!E:E,0)),"N/A")</f>
        <v>16639</v>
      </c>
      <c r="B769" s="4" t="s">
        <v>599</v>
      </c>
      <c r="C769" s="4" t="s">
        <v>287</v>
      </c>
      <c r="D769" s="94">
        <v>2051.0</v>
      </c>
    </row>
    <row r="770">
      <c r="A770" s="40">
        <f t="array" ref="A770">IFNA(index(PlayerValues!A:A,match(IFNA(vlookup(B770,'Special Names'!A:B,2,FALSE),B770),PlayerValues!E:E,0)),"N/A")</f>
        <v>13132</v>
      </c>
      <c r="B770" s="4" t="s">
        <v>598</v>
      </c>
      <c r="C770" s="4" t="s">
        <v>278</v>
      </c>
      <c r="D770" s="94">
        <v>2045.0</v>
      </c>
    </row>
    <row r="771">
      <c r="A771" s="40">
        <f t="array" ref="A771">IFNA(index(PlayerValues!A:A,match(IFNA(vlookup(B771,'Special Names'!A:B,2,FALSE),B771),PlayerValues!E:E,0)),"N/A")</f>
        <v>14867</v>
      </c>
      <c r="B771" s="4" t="s">
        <v>591</v>
      </c>
      <c r="C771" s="4" t="s">
        <v>298</v>
      </c>
      <c r="D771" s="94">
        <v>2433.0</v>
      </c>
    </row>
    <row r="772">
      <c r="A772" s="40">
        <f t="array" ref="A772">IFNA(index(PlayerValues!A:A,match(IFNA(vlookup(B772,'Special Names'!A:B,2,FALSE),B772),PlayerValues!E:E,0)),"N/A")</f>
        <v>17060</v>
      </c>
      <c r="B772" s="4" t="s">
        <v>603</v>
      </c>
      <c r="C772" s="4" t="s">
        <v>278</v>
      </c>
      <c r="D772" s="94">
        <v>2043.0</v>
      </c>
    </row>
    <row r="773">
      <c r="A773" s="40">
        <f t="array" ref="A773">IFNA(index(PlayerValues!A:A,match(IFNA(vlookup(B773,'Special Names'!A:B,2,FALSE),B773),PlayerValues!E:E,0)),"N/A")</f>
        <v>17069</v>
      </c>
      <c r="B773" s="4" t="s">
        <v>604</v>
      </c>
      <c r="C773" s="4" t="s">
        <v>278</v>
      </c>
      <c r="D773" s="94">
        <v>2039.0</v>
      </c>
    </row>
    <row r="774">
      <c r="A774" s="40">
        <f t="array" ref="A774">IFNA(index(PlayerValues!A:A,match(IFNA(vlookup(B774,'Special Names'!A:B,2,FALSE),B774),PlayerValues!E:E,0)),"N/A")</f>
        <v>16342</v>
      </c>
      <c r="B774" s="4" t="s">
        <v>583</v>
      </c>
      <c r="C774" s="4" t="s">
        <v>287</v>
      </c>
      <c r="D774" s="94">
        <v>2031.0</v>
      </c>
    </row>
    <row r="775">
      <c r="A775" s="40" t="str">
        <f t="array" ref="A775">IFNA(index(PlayerValues!A:A,match(IFNA(vlookup(B775,'Special Names'!A:B,2,FALSE),B775),PlayerValues!E:E,0)),"N/A")</f>
        <v>N/A</v>
      </c>
      <c r="B775" s="4" t="s">
        <v>88</v>
      </c>
      <c r="C775" s="4" t="s">
        <v>325</v>
      </c>
      <c r="D775" s="94">
        <v>2023.0</v>
      </c>
    </row>
    <row r="776">
      <c r="A776" s="40">
        <f t="array" ref="A776">IFNA(index(PlayerValues!A:A,match(IFNA(vlookup(B776,'Special Names'!A:B,2,FALSE),B776),PlayerValues!E:E,0)),"N/A")</f>
        <v>14871</v>
      </c>
      <c r="B776" s="4" t="s">
        <v>584</v>
      </c>
      <c r="C776" s="4" t="s">
        <v>298</v>
      </c>
      <c r="D776" s="94">
        <v>2400.0</v>
      </c>
    </row>
    <row r="777">
      <c r="A777" s="40">
        <f t="array" ref="A777">IFNA(index(PlayerValues!A:A,match(IFNA(vlookup(B777,'Special Names'!A:B,2,FALSE),B777),PlayerValues!E:E,0)),"N/A")</f>
        <v>13146</v>
      </c>
      <c r="B777" s="4" t="s">
        <v>652</v>
      </c>
      <c r="C777" s="4" t="s">
        <v>278</v>
      </c>
      <c r="D777" s="94">
        <v>1984.0</v>
      </c>
    </row>
    <row r="778">
      <c r="A778" s="40">
        <f t="array" ref="A778">IFNA(index(PlayerValues!A:A,match(IFNA(vlookup(B778,'Special Names'!A:B,2,FALSE),B778),PlayerValues!E:E,0)),"N/A")</f>
        <v>10700</v>
      </c>
      <c r="B778" s="4" t="s">
        <v>596</v>
      </c>
      <c r="C778" s="4" t="s">
        <v>283</v>
      </c>
      <c r="D778" s="94">
        <v>1981.0</v>
      </c>
    </row>
    <row r="779">
      <c r="A779" s="40">
        <f t="array" ref="A779">IFNA(index(PlayerValues!A:A,match(IFNA(vlookup(B779,'Special Names'!A:B,2,FALSE),B779),PlayerValues!E:E,0)),"N/A")</f>
        <v>16191</v>
      </c>
      <c r="B779" s="4" t="s">
        <v>666</v>
      </c>
      <c r="C779" s="4" t="s">
        <v>287</v>
      </c>
      <c r="D779" s="94">
        <v>1980.0</v>
      </c>
    </row>
    <row r="780">
      <c r="A780" s="40">
        <f t="array" ref="A780">IFNA(index(PlayerValues!A:A,match(IFNA(vlookup(B780,'Special Names'!A:B,2,FALSE),B780),PlayerValues!E:E,0)),"N/A")</f>
        <v>17036</v>
      </c>
      <c r="B780" s="4" t="s">
        <v>617</v>
      </c>
      <c r="C780" s="4" t="s">
        <v>283</v>
      </c>
      <c r="D780" s="94">
        <v>1971.0</v>
      </c>
    </row>
    <row r="781">
      <c r="A781" s="40">
        <f t="array" ref="A781">IFNA(index(PlayerValues!A:A,match(IFNA(vlookup(B781,'Special Names'!A:B,2,FALSE),B781),PlayerValues!E:E,0)),"N/A")</f>
        <v>16171</v>
      </c>
      <c r="B781" s="4" t="s">
        <v>618</v>
      </c>
      <c r="C781" s="4" t="s">
        <v>278</v>
      </c>
      <c r="D781" s="94">
        <v>1957.0</v>
      </c>
    </row>
    <row r="782">
      <c r="A782" s="40">
        <f t="array" ref="A782">IFNA(index(PlayerValues!A:A,match(IFNA(vlookup(B782,'Special Names'!A:B,2,FALSE),B782),PlayerValues!E:E,0)),"N/A")</f>
        <v>16603</v>
      </c>
      <c r="B782" s="4" t="s">
        <v>587</v>
      </c>
      <c r="C782" s="4" t="s">
        <v>278</v>
      </c>
      <c r="D782" s="94">
        <v>1954.0</v>
      </c>
    </row>
    <row r="783">
      <c r="A783" s="40">
        <f t="array" ref="A783">IFNA(index(PlayerValues!A:A,match(IFNA(vlookup(B783,'Special Names'!A:B,2,FALSE),B783),PlayerValues!E:E,0)),"N/A")</f>
        <v>13629</v>
      </c>
      <c r="B783" s="4" t="s">
        <v>619</v>
      </c>
      <c r="C783" s="4" t="s">
        <v>287</v>
      </c>
      <c r="D783" s="94">
        <v>1952.0</v>
      </c>
    </row>
    <row r="784">
      <c r="A784" s="40">
        <f t="array" ref="A784">IFNA(index(PlayerValues!A:A,match(IFNA(vlookup(B784,'Special Names'!A:B,2,FALSE),B784),PlayerValues!E:E,0)),"N/A")</f>
        <v>17184</v>
      </c>
      <c r="B784" s="4" t="s">
        <v>588</v>
      </c>
      <c r="C784" s="4" t="s">
        <v>287</v>
      </c>
      <c r="D784" s="94">
        <v>1936.0</v>
      </c>
    </row>
    <row r="785">
      <c r="A785" s="40">
        <f t="array" ref="A785">IFNA(index(PlayerValues!A:A,match(IFNA(vlookup(B785,'Special Names'!A:B,2,FALSE),B785),PlayerValues!E:E,0)),"N/A")</f>
        <v>16216</v>
      </c>
      <c r="B785" s="4" t="s">
        <v>595</v>
      </c>
      <c r="C785" s="4" t="s">
        <v>298</v>
      </c>
      <c r="D785" s="94">
        <v>2304.0</v>
      </c>
    </row>
    <row r="786">
      <c r="A786" s="40">
        <f t="array" ref="A786">IFNA(index(PlayerValues!A:A,match(IFNA(vlookup(B786,'Special Names'!A:B,2,FALSE),B786),PlayerValues!E:E,0)),"N/A")</f>
        <v>13189</v>
      </c>
      <c r="B786" s="4" t="s">
        <v>626</v>
      </c>
      <c r="C786" s="4" t="s">
        <v>298</v>
      </c>
      <c r="D786" s="94">
        <v>2303.0</v>
      </c>
    </row>
    <row r="787">
      <c r="A787" s="40">
        <f t="array" ref="A787">IFNA(index(PlayerValues!A:A,match(IFNA(vlookup(B787,'Special Names'!A:B,2,FALSE),B787),PlayerValues!E:E,0)),"N/A")</f>
        <v>17049</v>
      </c>
      <c r="B787" s="4" t="s">
        <v>624</v>
      </c>
      <c r="C787" s="4" t="s">
        <v>278</v>
      </c>
      <c r="D787" s="94">
        <v>1907.0</v>
      </c>
    </row>
    <row r="788">
      <c r="A788" s="40">
        <f t="array" ref="A788">IFNA(index(PlayerValues!A:A,match(IFNA(vlookup(B788,'Special Names'!A:B,2,FALSE),B788),PlayerValues!E:E,0)),"N/A")</f>
        <v>13113</v>
      </c>
      <c r="B788" s="4" t="s">
        <v>606</v>
      </c>
      <c r="C788" s="4" t="s">
        <v>283</v>
      </c>
      <c r="D788" s="94">
        <v>1895.0</v>
      </c>
    </row>
    <row r="789">
      <c r="A789" s="40" t="str">
        <f t="array" ref="A789">IFNA(index(PlayerValues!A:A,match(IFNA(vlookup(B789,'Special Names'!A:B,2,FALSE),B789),PlayerValues!E:E,0)),"N/A")</f>
        <v>N/A</v>
      </c>
      <c r="B789" s="4" t="s">
        <v>101</v>
      </c>
      <c r="C789" s="4" t="s">
        <v>325</v>
      </c>
      <c r="D789" s="94">
        <v>1881.0</v>
      </c>
    </row>
    <row r="790">
      <c r="A790" s="40">
        <f t="array" ref="A790">IFNA(index(PlayerValues!A:A,match(IFNA(vlookup(B790,'Special Names'!A:B,2,FALSE),B790),PlayerValues!E:E,0)),"N/A")</f>
        <v>15254</v>
      </c>
      <c r="B790" s="4" t="s">
        <v>633</v>
      </c>
      <c r="C790" s="4" t="s">
        <v>278</v>
      </c>
      <c r="D790" s="94">
        <v>1877.0</v>
      </c>
    </row>
    <row r="791">
      <c r="A791" s="40">
        <f t="array" ref="A791">IFNA(index(PlayerValues!A:A,match(IFNA(vlookup(B791,'Special Names'!A:B,2,FALSE),B791),PlayerValues!E:E,0)),"N/A")</f>
        <v>16604</v>
      </c>
      <c r="B791" s="4" t="s">
        <v>476</v>
      </c>
      <c r="C791" s="4" t="s">
        <v>278</v>
      </c>
      <c r="D791" s="94">
        <v>1857.0</v>
      </c>
    </row>
    <row r="792">
      <c r="A792" s="40">
        <f t="array" ref="A792">IFNA(index(PlayerValues!A:A,match(IFNA(vlookup(B792,'Special Names'!A:B,2,FALSE),B792),PlayerValues!E:E,0)),"N/A")</f>
        <v>17034</v>
      </c>
      <c r="B792" s="4" t="s">
        <v>643</v>
      </c>
      <c r="C792" s="4" t="s">
        <v>283</v>
      </c>
      <c r="D792" s="94">
        <v>1851.0</v>
      </c>
    </row>
    <row r="793">
      <c r="A793" s="40">
        <f t="array" ref="A793">IFNA(index(PlayerValues!A:A,match(IFNA(vlookup(B793,'Special Names'!A:B,2,FALSE),B793),PlayerValues!E:E,0)),"N/A")</f>
        <v>16644</v>
      </c>
      <c r="B793" s="4" t="s">
        <v>640</v>
      </c>
      <c r="C793" s="4" t="s">
        <v>298</v>
      </c>
      <c r="D793" s="94">
        <v>2230.0</v>
      </c>
    </row>
    <row r="794">
      <c r="A794" s="40">
        <f t="array" ref="A794">IFNA(index(PlayerValues!A:A,match(IFNA(vlookup(B794,'Special Names'!A:B,2,FALSE),B794),PlayerValues!E:E,0)),"N/A")</f>
        <v>17547</v>
      </c>
      <c r="B794" s="4" t="s">
        <v>552</v>
      </c>
      <c r="C794" s="4" t="s">
        <v>298</v>
      </c>
      <c r="D794" s="94">
        <v>2217.0</v>
      </c>
    </row>
    <row r="795">
      <c r="A795" s="40">
        <f t="array" ref="A795">IFNA(index(PlayerValues!A:A,match(IFNA(vlookup(B795,'Special Names'!A:B,2,FALSE),B795),PlayerValues!E:E,0)),"N/A")</f>
        <v>16215</v>
      </c>
      <c r="B795" s="4" t="s">
        <v>637</v>
      </c>
      <c r="C795" s="4" t="s">
        <v>298</v>
      </c>
      <c r="D795" s="94">
        <v>2216.0</v>
      </c>
    </row>
    <row r="796">
      <c r="A796" s="40" t="str">
        <f t="array" ref="A796">IFNA(index(PlayerValues!A:A,match(IFNA(vlookup(B796,'Special Names'!A:B,2,FALSE),B796),PlayerValues!E:E,0)),"N/A")</f>
        <v>N/A</v>
      </c>
      <c r="B796" s="4" t="s">
        <v>114</v>
      </c>
      <c r="C796" s="4" t="s">
        <v>325</v>
      </c>
      <c r="D796" s="94">
        <v>1832.0</v>
      </c>
    </row>
    <row r="797">
      <c r="A797" s="40">
        <f t="array" ref="A797">IFNA(index(PlayerValues!A:A,match(IFNA(vlookup(B797,'Special Names'!A:B,2,FALSE),B797),PlayerValues!E:E,0)),"N/A")</f>
        <v>15787</v>
      </c>
      <c r="B797" s="4" t="s">
        <v>610</v>
      </c>
      <c r="C797" s="4" t="s">
        <v>287</v>
      </c>
      <c r="D797" s="94">
        <v>1831.0</v>
      </c>
    </row>
    <row r="798">
      <c r="A798" s="40">
        <f t="array" ref="A798">IFNA(index(PlayerValues!A:A,match(IFNA(vlookup(B798,'Special Names'!A:B,2,FALSE),B798),PlayerValues!E:E,0)),"N/A")</f>
        <v>15788</v>
      </c>
      <c r="B798" s="4" t="s">
        <v>627</v>
      </c>
      <c r="C798" s="4" t="s">
        <v>287</v>
      </c>
      <c r="D798" s="94">
        <v>1826.0</v>
      </c>
    </row>
    <row r="799">
      <c r="A799" s="40">
        <f t="array" ref="A799">IFNA(index(PlayerValues!A:A,match(IFNA(vlookup(B799,'Special Names'!A:B,2,FALSE),B799),PlayerValues!E:E,0)),"N/A")</f>
        <v>17086</v>
      </c>
      <c r="B799" s="4" t="s">
        <v>612</v>
      </c>
      <c r="C799" s="4" t="s">
        <v>287</v>
      </c>
      <c r="D799" s="94">
        <v>1820.0</v>
      </c>
    </row>
    <row r="800">
      <c r="A800" s="40">
        <f t="array" ref="A800">IFNA(index(PlayerValues!A:A,match(IFNA(vlookup(B800,'Special Names'!A:B,2,FALSE),B800),PlayerValues!E:E,0)),"N/A")</f>
        <v>17035</v>
      </c>
      <c r="B800" s="4" t="s">
        <v>650</v>
      </c>
      <c r="C800" s="4" t="s">
        <v>283</v>
      </c>
      <c r="D800" s="94">
        <v>1811.0</v>
      </c>
    </row>
    <row r="801">
      <c r="A801" s="40">
        <f t="array" ref="A801">IFNA(index(PlayerValues!A:A,match(IFNA(vlookup(B801,'Special Names'!A:B,2,FALSE),B801),PlayerValues!E:E,0)),"N/A")</f>
        <v>16752</v>
      </c>
      <c r="B801" s="4" t="s">
        <v>597</v>
      </c>
      <c r="C801" s="4" t="s">
        <v>278</v>
      </c>
      <c r="D801" s="94">
        <v>1809.0</v>
      </c>
    </row>
    <row r="802">
      <c r="A802" s="40">
        <f t="array" ref="A802">IFNA(index(PlayerValues!A:A,match(IFNA(vlookup(B802,'Special Names'!A:B,2,FALSE),B802),PlayerValues!E:E,0)),"N/A")</f>
        <v>13164</v>
      </c>
      <c r="B802" s="4" t="s">
        <v>632</v>
      </c>
      <c r="C802" s="4" t="s">
        <v>287</v>
      </c>
      <c r="D802" s="94">
        <v>1808.0</v>
      </c>
    </row>
    <row r="803">
      <c r="A803" s="40">
        <f t="array" ref="A803">IFNA(index(PlayerValues!A:A,match(IFNA(vlookup(B803,'Special Names'!A:B,2,FALSE),B803),PlayerValues!E:E,0)),"N/A")</f>
        <v>14105</v>
      </c>
      <c r="B803" s="4" t="s">
        <v>675</v>
      </c>
      <c r="C803" s="4" t="s">
        <v>287</v>
      </c>
      <c r="D803" s="94">
        <v>1800.0</v>
      </c>
    </row>
    <row r="804">
      <c r="A804" s="40">
        <f t="array" ref="A804">IFNA(index(PlayerValues!A:A,match(IFNA(vlookup(B804,'Special Names'!A:B,2,FALSE),B804),PlayerValues!E:E,0)),"N/A")</f>
        <v>7836</v>
      </c>
      <c r="B804" s="4" t="s">
        <v>590</v>
      </c>
      <c r="C804" s="4" t="s">
        <v>283</v>
      </c>
      <c r="D804" s="94">
        <v>1794.0</v>
      </c>
    </row>
    <row r="805">
      <c r="A805" s="40">
        <f t="array" ref="A805">IFNA(index(PlayerValues!A:A,match(IFNA(vlookup(B805,'Special Names'!A:B,2,FALSE),B805),PlayerValues!E:E,0)),"N/A")</f>
        <v>16201</v>
      </c>
      <c r="B805" s="4" t="s">
        <v>589</v>
      </c>
      <c r="C805" s="4" t="s">
        <v>287</v>
      </c>
      <c r="D805" s="94">
        <v>1781.0</v>
      </c>
    </row>
    <row r="806">
      <c r="A806" s="40">
        <f t="array" ref="A806">IFNA(index(PlayerValues!A:A,match(IFNA(vlookup(B806,'Special Names'!A:B,2,FALSE),B806),PlayerValues!E:E,0)),"N/A")</f>
        <v>17465</v>
      </c>
      <c r="B806" s="4" t="s">
        <v>649</v>
      </c>
      <c r="C806" s="4" t="s">
        <v>283</v>
      </c>
      <c r="D806" s="94">
        <v>1768.0</v>
      </c>
    </row>
    <row r="807">
      <c r="A807" s="40">
        <f t="array" ref="A807">IFNA(index(PlayerValues!A:A,match(IFNA(vlookup(B807,'Special Names'!A:B,2,FALSE),B807),PlayerValues!E:E,0)),"N/A")</f>
        <v>14143</v>
      </c>
      <c r="B807" s="4" t="s">
        <v>635</v>
      </c>
      <c r="C807" s="4" t="s">
        <v>298</v>
      </c>
      <c r="D807" s="94">
        <v>2146.0</v>
      </c>
    </row>
    <row r="808">
      <c r="A808" s="40">
        <f t="array" ref="A808">IFNA(index(PlayerValues!A:A,match(IFNA(vlookup(B808,'Special Names'!A:B,2,FALSE),B808),PlayerValues!E:E,0)),"N/A")</f>
        <v>17096</v>
      </c>
      <c r="B808" s="4" t="s">
        <v>638</v>
      </c>
      <c r="C808" s="4" t="s">
        <v>287</v>
      </c>
      <c r="D808" s="94">
        <v>1759.0</v>
      </c>
    </row>
    <row r="809">
      <c r="A809" s="40">
        <f t="array" ref="A809">IFNA(index(PlayerValues!A:A,match(IFNA(vlookup(B809,'Special Names'!A:B,2,FALSE),B809),PlayerValues!E:E,0)),"N/A")</f>
        <v>16778</v>
      </c>
      <c r="B809" s="4" t="s">
        <v>577</v>
      </c>
      <c r="C809" s="4" t="s">
        <v>287</v>
      </c>
      <c r="D809" s="94">
        <v>1752.0</v>
      </c>
    </row>
    <row r="810">
      <c r="A810" s="40">
        <f t="array" ref="A810">IFNA(index(PlayerValues!A:A,match(IFNA(vlookup(B810,'Special Names'!A:B,2,FALSE),B810),PlayerValues!E:E,0)),"N/A")</f>
        <v>17520</v>
      </c>
      <c r="B810" s="4" t="s">
        <v>518</v>
      </c>
      <c r="C810" s="4" t="s">
        <v>287</v>
      </c>
      <c r="D810" s="94">
        <v>1739.0</v>
      </c>
    </row>
    <row r="811">
      <c r="A811" s="40">
        <f t="array" ref="A811">IFNA(index(PlayerValues!A:A,match(IFNA(vlookup(B811,'Special Names'!A:B,2,FALSE),B811),PlayerValues!E:E,0)),"N/A")</f>
        <v>16635</v>
      </c>
      <c r="B811" s="4" t="s">
        <v>645</v>
      </c>
      <c r="C811" s="4" t="s">
        <v>287</v>
      </c>
      <c r="D811" s="94">
        <v>1734.0</v>
      </c>
    </row>
    <row r="812">
      <c r="A812" s="40">
        <f t="array" ref="A812">IFNA(index(PlayerValues!A:A,match(IFNA(vlookup(B812,'Special Names'!A:B,2,FALSE),B812),PlayerValues!E:E,0)),"N/A")</f>
        <v>15755</v>
      </c>
      <c r="B812" s="4" t="s">
        <v>628</v>
      </c>
      <c r="C812" s="4" t="s">
        <v>287</v>
      </c>
      <c r="D812" s="94">
        <v>1729.0</v>
      </c>
    </row>
    <row r="813">
      <c r="A813" s="40" t="str">
        <f t="array" ref="A813">IFNA(index(PlayerValues!A:A,match(IFNA(vlookup(B813,'Special Names'!A:B,2,FALSE),B813),PlayerValues!E:E,0)),"N/A")</f>
        <v>N/A</v>
      </c>
      <c r="B813" s="4" t="s">
        <v>89</v>
      </c>
      <c r="C813" s="4" t="s">
        <v>325</v>
      </c>
      <c r="D813" s="94">
        <v>1720.0</v>
      </c>
    </row>
    <row r="814">
      <c r="A814" s="40">
        <f t="array" ref="A814">IFNA(index(PlayerValues!A:A,match(IFNA(vlookup(B814,'Special Names'!A:B,2,FALSE),B814),PlayerValues!E:E,0)),"N/A")</f>
        <v>16586</v>
      </c>
      <c r="B814" s="4" t="s">
        <v>658</v>
      </c>
      <c r="C814" s="4" t="s">
        <v>283</v>
      </c>
      <c r="D814" s="94">
        <v>1717.0</v>
      </c>
    </row>
    <row r="815">
      <c r="A815" s="40">
        <f t="array" ref="A815">IFNA(index(PlayerValues!A:A,match(IFNA(vlookup(B815,'Special Names'!A:B,2,FALSE),B815),PlayerValues!E:E,0)),"N/A")</f>
        <v>15301</v>
      </c>
      <c r="B815" s="4" t="s">
        <v>657</v>
      </c>
      <c r="C815" s="4" t="s">
        <v>287</v>
      </c>
      <c r="D815" s="94">
        <v>1709.0</v>
      </c>
    </row>
    <row r="816">
      <c r="A816" s="40">
        <f t="array" ref="A816">IFNA(index(PlayerValues!A:A,match(IFNA(vlookup(B816,'Special Names'!A:B,2,FALSE),B816),PlayerValues!E:E,0)),"N/A")</f>
        <v>15797</v>
      </c>
      <c r="B816" s="4" t="s">
        <v>556</v>
      </c>
      <c r="C816" s="4" t="s">
        <v>298</v>
      </c>
      <c r="D816" s="94">
        <v>2087.0</v>
      </c>
    </row>
    <row r="817">
      <c r="A817" s="40" t="str">
        <f t="array" ref="A817">IFNA(index(PlayerValues!A:A,match(IFNA(vlookup(B817,'Special Names'!A:B,2,FALSE),B817),PlayerValues!E:E,0)),"N/A")</f>
        <v>N/A</v>
      </c>
      <c r="B817" s="4" t="s">
        <v>102</v>
      </c>
      <c r="C817" s="4" t="s">
        <v>325</v>
      </c>
      <c r="D817" s="94">
        <v>1689.0</v>
      </c>
    </row>
    <row r="818">
      <c r="A818" s="40">
        <f t="array" ref="A818">IFNA(index(PlayerValues!A:A,match(IFNA(vlookup(B818,'Special Names'!A:B,2,FALSE),B818),PlayerValues!E:E,0)),"N/A")</f>
        <v>16585</v>
      </c>
      <c r="B818" s="4" t="s">
        <v>623</v>
      </c>
      <c r="C818" s="4" t="s">
        <v>283</v>
      </c>
      <c r="D818" s="94">
        <v>1687.0</v>
      </c>
    </row>
    <row r="819">
      <c r="A819" s="40" t="str">
        <f t="array" ref="A819">IFNA(index(PlayerValues!A:A,match(IFNA(vlookup(B819,'Special Names'!A:B,2,FALSE),B819),PlayerValues!E:E,0)),"N/A")</f>
        <v>N/A</v>
      </c>
      <c r="B819" s="4" t="s">
        <v>115</v>
      </c>
      <c r="C819" s="4" t="s">
        <v>325</v>
      </c>
      <c r="D819" s="94">
        <v>1672.0</v>
      </c>
    </row>
    <row r="820">
      <c r="A820" s="40">
        <f t="array" ref="A820">IFNA(index(PlayerValues!A:A,match(IFNA(vlookup(B820,'Special Names'!A:B,2,FALSE),B820),PlayerValues!E:E,0)),"N/A")</f>
        <v>17064</v>
      </c>
      <c r="B820" s="4" t="s">
        <v>631</v>
      </c>
      <c r="C820" s="4" t="s">
        <v>278</v>
      </c>
      <c r="D820" s="94">
        <v>1671.0</v>
      </c>
    </row>
    <row r="821">
      <c r="A821" s="40" t="str">
        <f t="array" ref="A821">IFNA(index(PlayerValues!A:A,match(IFNA(vlookup(B821,'Special Names'!A:B,2,FALSE),B821),PlayerValues!E:E,0)),"N/A")</f>
        <v>N/A</v>
      </c>
      <c r="B821" s="4" t="s">
        <v>103</v>
      </c>
      <c r="C821" s="4" t="s">
        <v>325</v>
      </c>
      <c r="D821" s="94">
        <v>1669.0</v>
      </c>
    </row>
    <row r="822">
      <c r="A822" s="40">
        <f t="array" ref="A822">IFNA(index(PlayerValues!A:A,match(IFNA(vlookup(B822,'Special Names'!A:B,2,FALSE),B822),PlayerValues!E:E,0)),"N/A")</f>
        <v>16629</v>
      </c>
      <c r="B822" s="4" t="s">
        <v>605</v>
      </c>
      <c r="C822" s="4" t="s">
        <v>287</v>
      </c>
      <c r="D822" s="94">
        <v>1661.0</v>
      </c>
    </row>
    <row r="823">
      <c r="A823" s="40">
        <f t="array" ref="A823">IFNA(index(PlayerValues!A:A,match(IFNA(vlookup(B823,'Special Names'!A:B,2,FALSE),B823),PlayerValues!E:E,0)),"N/A")</f>
        <v>16788</v>
      </c>
      <c r="B823" s="4" t="s">
        <v>621</v>
      </c>
      <c r="C823" s="4" t="s">
        <v>287</v>
      </c>
      <c r="D823" s="94">
        <v>1656.0</v>
      </c>
    </row>
    <row r="824">
      <c r="A824" s="40">
        <f t="array" ref="A824">IFNA(index(PlayerValues!A:A,match(IFNA(vlookup(B824,'Special Names'!A:B,2,FALSE),B824),PlayerValues!E:E,0)),"N/A")</f>
        <v>16601</v>
      </c>
      <c r="B824" s="4" t="s">
        <v>648</v>
      </c>
      <c r="C824" s="4" t="s">
        <v>278</v>
      </c>
      <c r="D824" s="94">
        <v>1652.0</v>
      </c>
    </row>
    <row r="825">
      <c r="A825" s="40">
        <f t="array" ref="A825">IFNA(index(PlayerValues!A:A,match(IFNA(vlookup(B825,'Special Names'!A:B,2,FALSE),B825),PlayerValues!E:E,0)),"N/A")</f>
        <v>16207</v>
      </c>
      <c r="B825" s="4" t="s">
        <v>636</v>
      </c>
      <c r="C825" s="4" t="s">
        <v>287</v>
      </c>
      <c r="D825" s="94">
        <v>1650.0</v>
      </c>
    </row>
    <row r="826">
      <c r="A826" s="40">
        <f t="array" ref="A826">IFNA(index(PlayerValues!A:A,match(IFNA(vlookup(B826,'Special Names'!A:B,2,FALSE),B826),PlayerValues!E:E,0)),"N/A")</f>
        <v>17058</v>
      </c>
      <c r="B826" s="4" t="s">
        <v>641</v>
      </c>
      <c r="C826" s="4" t="s">
        <v>278</v>
      </c>
      <c r="D826" s="94">
        <v>1649.0</v>
      </c>
    </row>
    <row r="827">
      <c r="A827" s="40">
        <f t="array" ref="A827">IFNA(index(PlayerValues!A:A,match(IFNA(vlookup(B827,'Special Names'!A:B,2,FALSE),B827),PlayerValues!E:E,0)),"N/A")</f>
        <v>15759</v>
      </c>
      <c r="B827" s="4" t="s">
        <v>662</v>
      </c>
      <c r="C827" s="4" t="s">
        <v>287</v>
      </c>
      <c r="D827" s="94">
        <v>1641.0</v>
      </c>
    </row>
    <row r="828">
      <c r="A828" s="40">
        <f t="array" ref="A828">IFNA(index(PlayerValues!A:A,match(IFNA(vlookup(B828,'Special Names'!A:B,2,FALSE),B828),PlayerValues!E:E,0)),"N/A")</f>
        <v>15319</v>
      </c>
      <c r="B828" s="4" t="s">
        <v>644</v>
      </c>
      <c r="C828" s="4" t="s">
        <v>287</v>
      </c>
      <c r="D828" s="94">
        <v>1637.0</v>
      </c>
    </row>
    <row r="829">
      <c r="A829" s="40">
        <f t="array" ref="A829">IFNA(index(PlayerValues!A:A,match(IFNA(vlookup(B829,'Special Names'!A:B,2,FALSE),B829),PlayerValues!E:E,0)),"N/A")</f>
        <v>16595</v>
      </c>
      <c r="B829" s="4" t="s">
        <v>664</v>
      </c>
      <c r="C829" s="4" t="s">
        <v>278</v>
      </c>
      <c r="D829" s="94">
        <v>1634.0</v>
      </c>
    </row>
    <row r="830">
      <c r="A830" s="40">
        <f t="array" ref="A830">IFNA(index(PlayerValues!A:A,match(IFNA(vlookup(B830,'Special Names'!A:B,2,FALSE),B830),PlayerValues!E:E,0)),"N/A")</f>
        <v>15337</v>
      </c>
      <c r="B830" s="4" t="s">
        <v>655</v>
      </c>
      <c r="C830" s="4" t="s">
        <v>298</v>
      </c>
      <c r="D830" s="94">
        <v>2000.0</v>
      </c>
    </row>
    <row r="831">
      <c r="A831" s="40" t="str">
        <f t="array" ref="A831">IFNA(index(PlayerValues!A:A,match(IFNA(vlookup(B831,'Special Names'!A:B,2,FALSE),B831),PlayerValues!E:E,0)),"N/A")</f>
        <v>N/A</v>
      </c>
      <c r="B831" s="4" t="s">
        <v>90</v>
      </c>
      <c r="C831" s="4" t="s">
        <v>325</v>
      </c>
      <c r="D831" s="94">
        <v>1600.0</v>
      </c>
    </row>
    <row r="832">
      <c r="A832" s="40">
        <f t="array" ref="A832">IFNA(index(PlayerValues!A:A,match(IFNA(vlookup(B832,'Special Names'!A:B,2,FALSE),B832),PlayerValues!E:E,0)),"N/A")</f>
        <v>17205</v>
      </c>
      <c r="B832" s="4" t="s">
        <v>665</v>
      </c>
      <c r="C832" s="4" t="s">
        <v>287</v>
      </c>
      <c r="D832" s="94">
        <v>1590.0</v>
      </c>
    </row>
    <row r="833">
      <c r="A833" s="40">
        <f t="array" ref="A833">IFNA(index(PlayerValues!A:A,match(IFNA(vlookup(B833,'Special Names'!A:B,2,FALSE),B833),PlayerValues!E:E,0)),"N/A")</f>
        <v>15752</v>
      </c>
      <c r="B833" s="4" t="s">
        <v>647</v>
      </c>
      <c r="C833" s="4" t="s">
        <v>287</v>
      </c>
      <c r="D833" s="94">
        <v>1588.0</v>
      </c>
    </row>
    <row r="834">
      <c r="A834" s="40">
        <f t="array" ref="A834">IFNA(index(PlayerValues!A:A,match(IFNA(vlookup(B834,'Special Names'!A:B,2,FALSE),B834),PlayerValues!E:E,0)),"N/A")</f>
        <v>16175</v>
      </c>
      <c r="B834" s="4" t="s">
        <v>654</v>
      </c>
      <c r="C834" s="4" t="s">
        <v>278</v>
      </c>
      <c r="D834" s="94">
        <v>1585.0</v>
      </c>
    </row>
    <row r="835">
      <c r="A835" s="40">
        <f t="array" ref="A835">IFNA(index(PlayerValues!A:A,match(IFNA(vlookup(B835,'Special Names'!A:B,2,FALSE),B835),PlayerValues!E:E,0)),"N/A")</f>
        <v>17234</v>
      </c>
      <c r="B835" s="4" t="s">
        <v>653</v>
      </c>
      <c r="C835" s="4" t="s">
        <v>287</v>
      </c>
      <c r="D835" s="94">
        <v>1581.0</v>
      </c>
    </row>
    <row r="836">
      <c r="A836" s="40">
        <f t="array" ref="A836">IFNA(index(PlayerValues!A:A,match(IFNA(vlookup(B836,'Special Names'!A:B,2,FALSE),B836),PlayerValues!E:E,0)),"N/A")</f>
        <v>16633</v>
      </c>
      <c r="B836" s="4" t="s">
        <v>656</v>
      </c>
      <c r="C836" s="4" t="s">
        <v>287</v>
      </c>
      <c r="D836" s="94">
        <v>1580.0</v>
      </c>
    </row>
    <row r="837">
      <c r="A837" s="40">
        <f t="array" ref="A837">IFNA(index(PlayerValues!A:A,match(IFNA(vlookup(B837,'Special Names'!A:B,2,FALSE),B837),PlayerValues!E:E,0)),"N/A")</f>
        <v>16688</v>
      </c>
      <c r="B837" s="4" t="s">
        <v>688</v>
      </c>
      <c r="C837" s="4" t="s">
        <v>278</v>
      </c>
      <c r="D837" s="94">
        <v>1570.0</v>
      </c>
    </row>
    <row r="838">
      <c r="A838" s="40">
        <f t="array" ref="A838">IFNA(index(PlayerValues!A:A,match(IFNA(vlookup(B838,'Special Names'!A:B,2,FALSE),B838),PlayerValues!E:E,0)),"N/A")</f>
        <v>11222</v>
      </c>
      <c r="B838" s="4" t="s">
        <v>622</v>
      </c>
      <c r="C838" s="4" t="s">
        <v>287</v>
      </c>
      <c r="D838" s="94">
        <v>1566.0</v>
      </c>
    </row>
    <row r="839">
      <c r="A839" s="40">
        <f t="array" ref="A839">IFNA(index(PlayerValues!A:A,match(IFNA(vlookup(B839,'Special Names'!A:B,2,FALSE),B839),PlayerValues!E:E,0)),"N/A")</f>
        <v>15777</v>
      </c>
      <c r="B839" s="4" t="s">
        <v>694</v>
      </c>
      <c r="C839" s="4" t="s">
        <v>287</v>
      </c>
      <c r="D839" s="94">
        <v>1550.0</v>
      </c>
    </row>
    <row r="840">
      <c r="A840" s="40">
        <f t="array" ref="A840">IFNA(index(PlayerValues!A:A,match(IFNA(vlookup(B840,'Special Names'!A:B,2,FALSE),B840),PlayerValues!E:E,0)),"N/A")</f>
        <v>15713</v>
      </c>
      <c r="B840" s="4" t="s">
        <v>732</v>
      </c>
      <c r="C840" s="4" t="s">
        <v>278</v>
      </c>
      <c r="D840" s="94">
        <v>1548.0</v>
      </c>
    </row>
    <row r="841">
      <c r="A841" s="40">
        <f t="array" ref="A841">IFNA(index(PlayerValues!A:A,match(IFNA(vlookup(B841,'Special Names'!A:B,2,FALSE),B841),PlayerValues!E:E,0)),"N/A")</f>
        <v>16149</v>
      </c>
      <c r="B841" s="4" t="s">
        <v>740</v>
      </c>
      <c r="C841" s="4" t="s">
        <v>283</v>
      </c>
      <c r="D841" s="94">
        <v>1542.0</v>
      </c>
    </row>
    <row r="842">
      <c r="A842" s="40">
        <f t="array" ref="A842">IFNA(index(PlayerValues!A:A,match(IFNA(vlookup(B842,'Special Names'!A:B,2,FALSE),B842),PlayerValues!E:E,0)),"N/A")</f>
        <v>16792</v>
      </c>
      <c r="B842" s="4" t="s">
        <v>704</v>
      </c>
      <c r="C842" s="4" t="s">
        <v>287</v>
      </c>
      <c r="D842" s="94">
        <v>1536.0</v>
      </c>
    </row>
    <row r="843">
      <c r="A843" s="40">
        <f t="array" ref="A843">IFNA(index(PlayerValues!A:A,match(IFNA(vlookup(B843,'Special Names'!A:B,2,FALSE),B843),PlayerValues!E:E,0)),"N/A")</f>
        <v>14122</v>
      </c>
      <c r="B843" s="4" t="s">
        <v>663</v>
      </c>
      <c r="C843" s="4" t="s">
        <v>287</v>
      </c>
      <c r="D843" s="94">
        <v>1526.0</v>
      </c>
    </row>
    <row r="844">
      <c r="A844" s="40" t="str">
        <f t="array" ref="A844">IFNA(index(PlayerValues!A:A,match(IFNA(vlookup(B844,'Special Names'!A:B,2,FALSE),B844),PlayerValues!E:E,0)),"N/A")</f>
        <v>N/A</v>
      </c>
      <c r="B844" s="4" t="s">
        <v>116</v>
      </c>
      <c r="C844" s="4" t="s">
        <v>325</v>
      </c>
      <c r="D844" s="94">
        <v>1521.0</v>
      </c>
    </row>
    <row r="845">
      <c r="A845" s="40" t="str">
        <f t="array" ref="A845">IFNA(index(PlayerValues!A:A,match(IFNA(vlookup(B845,'Special Names'!A:B,2,FALSE),B845),PlayerValues!E:E,0)),"N/A")</f>
        <v>N/A</v>
      </c>
      <c r="B845" s="4" t="s">
        <v>91</v>
      </c>
      <c r="C845" s="4" t="s">
        <v>325</v>
      </c>
      <c r="D845" s="94">
        <v>1518.0</v>
      </c>
    </row>
    <row r="846">
      <c r="A846" s="40">
        <f t="array" ref="A846">IFNA(index(PlayerValues!A:A,match(IFNA(vlookup(B846,'Special Names'!A:B,2,FALSE),B846),PlayerValues!E:E,0)),"N/A")</f>
        <v>17467</v>
      </c>
      <c r="B846" s="4" t="s">
        <v>575</v>
      </c>
      <c r="C846" s="4" t="s">
        <v>283</v>
      </c>
      <c r="D846" s="94">
        <v>1516.0</v>
      </c>
    </row>
    <row r="847">
      <c r="A847" s="40">
        <f t="array" ref="A847">IFNA(index(PlayerValues!A:A,match(IFNA(vlookup(B847,'Special Names'!A:B,2,FALSE),B847),PlayerValues!E:E,0)),"N/A")</f>
        <v>15873</v>
      </c>
      <c r="B847" s="4" t="s">
        <v>681</v>
      </c>
      <c r="C847" s="4" t="s">
        <v>298</v>
      </c>
      <c r="D847" s="94">
        <v>1871.0</v>
      </c>
    </row>
    <row r="848">
      <c r="A848" s="40">
        <f t="array" ref="A848">IFNA(index(PlayerValues!A:A,match(IFNA(vlookup(B848,'Special Names'!A:B,2,FALSE),B848),PlayerValues!E:E,0)),"N/A")</f>
        <v>16390</v>
      </c>
      <c r="B848" s="4" t="s">
        <v>689</v>
      </c>
      <c r="C848" s="4" t="s">
        <v>278</v>
      </c>
      <c r="D848" s="94">
        <v>1497.0</v>
      </c>
    </row>
    <row r="849">
      <c r="A849" s="40">
        <f t="array" ref="A849">IFNA(index(PlayerValues!A:A,match(IFNA(vlookup(B849,'Special Names'!A:B,2,FALSE),B849),PlayerValues!E:E,0)),"N/A")</f>
        <v>17037</v>
      </c>
      <c r="B849" s="4" t="s">
        <v>727</v>
      </c>
      <c r="C849" s="4" t="s">
        <v>283</v>
      </c>
      <c r="D849" s="94">
        <v>1497.0</v>
      </c>
    </row>
    <row r="850">
      <c r="A850" s="40">
        <f t="array" ref="A850">IFNA(index(PlayerValues!A:A,match(IFNA(vlookup(B850,'Special Names'!A:B,2,FALSE),B850),PlayerValues!E:E,0)),"N/A")</f>
        <v>16631</v>
      </c>
      <c r="B850" s="4" t="s">
        <v>800</v>
      </c>
      <c r="C850" s="4" t="s">
        <v>287</v>
      </c>
      <c r="D850" s="94">
        <v>1487.0</v>
      </c>
    </row>
    <row r="851">
      <c r="A851" s="40">
        <f t="array" ref="A851">IFNA(index(PlayerValues!A:A,match(IFNA(vlookup(B851,'Special Names'!A:B,2,FALSE),B851),PlayerValues!E:E,0)),"N/A")</f>
        <v>12140</v>
      </c>
      <c r="B851" s="4" t="s">
        <v>702</v>
      </c>
      <c r="C851" s="4" t="s">
        <v>283</v>
      </c>
      <c r="D851" s="94">
        <v>1485.0</v>
      </c>
    </row>
    <row r="852">
      <c r="A852" s="40">
        <f t="array" ref="A852">IFNA(index(PlayerValues!A:A,match(IFNA(vlookup(B852,'Special Names'!A:B,2,FALSE),B852),PlayerValues!E:E,0)),"N/A")</f>
        <v>17528</v>
      </c>
      <c r="B852" s="4" t="s">
        <v>579</v>
      </c>
      <c r="C852" s="4" t="s">
        <v>287</v>
      </c>
      <c r="D852" s="94">
        <v>1482.0</v>
      </c>
    </row>
    <row r="853">
      <c r="A853" s="40">
        <f t="array" ref="A853">IFNA(index(PlayerValues!A:A,match(IFNA(vlookup(B853,'Special Names'!A:B,2,FALSE),B853),PlayerValues!E:E,0)),"N/A")</f>
        <v>15252</v>
      </c>
      <c r="B853" s="4" t="s">
        <v>715</v>
      </c>
      <c r="C853" s="4" t="s">
        <v>283</v>
      </c>
      <c r="D853" s="94">
        <v>1481.0</v>
      </c>
    </row>
    <row r="854">
      <c r="A854" s="40">
        <f t="array" ref="A854">IFNA(index(PlayerValues!A:A,match(IFNA(vlookup(B854,'Special Names'!A:B,2,FALSE),B854),PlayerValues!E:E,0)),"N/A")</f>
        <v>16384</v>
      </c>
      <c r="B854" s="4" t="s">
        <v>696</v>
      </c>
      <c r="C854" s="4" t="s">
        <v>283</v>
      </c>
      <c r="D854" s="94">
        <v>1465.0</v>
      </c>
    </row>
    <row r="855">
      <c r="A855" s="40">
        <f t="array" ref="A855">IFNA(index(PlayerValues!A:A,match(IFNA(vlookup(B855,'Special Names'!A:B,2,FALSE),B855),PlayerValues!E:E,0)),"N/A")</f>
        <v>13418</v>
      </c>
      <c r="B855" s="4" t="s">
        <v>706</v>
      </c>
      <c r="C855" s="4" t="s">
        <v>287</v>
      </c>
      <c r="D855" s="94">
        <v>1442.0</v>
      </c>
    </row>
    <row r="856">
      <c r="A856" s="40">
        <f t="array" ref="A856">IFNA(index(PlayerValues!A:A,match(IFNA(vlookup(B856,'Special Names'!A:B,2,FALSE),B856),PlayerValues!E:E,0)),"N/A")</f>
        <v>17254</v>
      </c>
      <c r="B856" s="4" t="s">
        <v>679</v>
      </c>
      <c r="C856" s="4" t="s">
        <v>287</v>
      </c>
      <c r="D856" s="94">
        <v>1435.0</v>
      </c>
    </row>
    <row r="857">
      <c r="A857" s="40">
        <f t="array" ref="A857">IFNA(index(PlayerValues!A:A,match(IFNA(vlookup(B857,'Special Names'!A:B,2,FALSE),B857),PlayerValues!E:E,0)),"N/A")</f>
        <v>16642</v>
      </c>
      <c r="B857" s="4" t="s">
        <v>691</v>
      </c>
      <c r="C857" s="4" t="s">
        <v>298</v>
      </c>
      <c r="D857" s="94">
        <v>1788.0</v>
      </c>
    </row>
    <row r="858">
      <c r="A858" s="40">
        <f t="array" ref="A858">IFNA(index(PlayerValues!A:A,match(IFNA(vlookup(B858,'Special Names'!A:B,2,FALSE),B858),PlayerValues!E:E,0)),"N/A")</f>
        <v>12141</v>
      </c>
      <c r="B858" s="4" t="s">
        <v>744</v>
      </c>
      <c r="C858" s="4" t="s">
        <v>283</v>
      </c>
      <c r="D858" s="94">
        <v>1417.0</v>
      </c>
    </row>
    <row r="859">
      <c r="A859" s="40">
        <f t="array" ref="A859">IFNA(index(PlayerValues!A:A,match(IFNA(vlookup(B859,'Special Names'!A:B,2,FALSE),B859),PlayerValues!E:E,0)),"N/A")</f>
        <v>15292</v>
      </c>
      <c r="B859" s="4" t="s">
        <v>682</v>
      </c>
      <c r="C859" s="4" t="s">
        <v>287</v>
      </c>
      <c r="D859" s="94">
        <v>1412.0</v>
      </c>
    </row>
    <row r="860">
      <c r="A860" s="40">
        <f t="array" ref="A860">IFNA(index(PlayerValues!A:A,match(IFNA(vlookup(B860,'Special Names'!A:B,2,FALSE),B860),PlayerValues!E:E,0)),"N/A")</f>
        <v>12678</v>
      </c>
      <c r="B860" s="4" t="s">
        <v>703</v>
      </c>
      <c r="C860" s="4" t="s">
        <v>298</v>
      </c>
      <c r="D860" s="94">
        <v>1781.0</v>
      </c>
    </row>
    <row r="861">
      <c r="A861" s="40">
        <f t="array" ref="A861">IFNA(index(PlayerValues!A:A,match(IFNA(vlookup(B861,'Special Names'!A:B,2,FALSE),B861),PlayerValues!E:E,0)),"N/A")</f>
        <v>14137</v>
      </c>
      <c r="B861" s="4" t="s">
        <v>676</v>
      </c>
      <c r="C861" s="4" t="s">
        <v>298</v>
      </c>
      <c r="D861" s="94">
        <v>1773.0</v>
      </c>
    </row>
    <row r="862">
      <c r="A862" s="40">
        <f t="array" ref="A862">IFNA(index(PlayerValues!A:A,match(IFNA(vlookup(B862,'Special Names'!A:B,2,FALSE),B862),PlayerValues!E:E,0)),"N/A")</f>
        <v>17269</v>
      </c>
      <c r="B862" s="4" t="s">
        <v>718</v>
      </c>
      <c r="C862" s="4" t="s">
        <v>287</v>
      </c>
      <c r="D862" s="94">
        <v>1401.0</v>
      </c>
    </row>
    <row r="863">
      <c r="A863" s="40">
        <f t="array" ref="A863">IFNA(index(PlayerValues!A:A,match(IFNA(vlookup(B863,'Special Names'!A:B,2,FALSE),B863),PlayerValues!E:E,0)),"N/A")</f>
        <v>14080</v>
      </c>
      <c r="B863" s="4" t="s">
        <v>716</v>
      </c>
      <c r="C863" s="4" t="s">
        <v>278</v>
      </c>
      <c r="D863" s="94">
        <v>1396.0</v>
      </c>
    </row>
    <row r="864">
      <c r="A864" s="40">
        <f t="array" ref="A864">IFNA(index(PlayerValues!A:A,match(IFNA(vlookup(B864,'Special Names'!A:B,2,FALSE),B864),PlayerValues!E:E,0)),"N/A")</f>
        <v>16621</v>
      </c>
      <c r="B864" s="4" t="s">
        <v>672</v>
      </c>
      <c r="C864" s="4" t="s">
        <v>287</v>
      </c>
      <c r="D864" s="94">
        <v>1395.0</v>
      </c>
    </row>
    <row r="865">
      <c r="A865" s="40">
        <f t="array" ref="A865">IFNA(index(PlayerValues!A:A,match(IFNA(vlookup(B865,'Special Names'!A:B,2,FALSE),B865),PlayerValues!E:E,0)),"N/A")</f>
        <v>17481</v>
      </c>
      <c r="B865" s="4" t="s">
        <v>540</v>
      </c>
      <c r="C865" s="4" t="s">
        <v>278</v>
      </c>
      <c r="D865" s="94">
        <v>1393.0</v>
      </c>
    </row>
    <row r="866">
      <c r="A866" s="40">
        <f t="array" ref="A866">IFNA(index(PlayerValues!A:A,match(IFNA(vlookup(B866,'Special Names'!A:B,2,FALSE),B866),PlayerValues!E:E,0)),"N/A")</f>
        <v>17062</v>
      </c>
      <c r="B866" s="4" t="s">
        <v>701</v>
      </c>
      <c r="C866" s="4" t="s">
        <v>278</v>
      </c>
      <c r="D866" s="94">
        <v>1388.0</v>
      </c>
    </row>
    <row r="867">
      <c r="A867" s="40">
        <f t="array" ref="A867">IFNA(index(PlayerValues!A:A,match(IFNA(vlookup(B867,'Special Names'!A:B,2,FALSE),B867),PlayerValues!E:E,0)),"N/A")</f>
        <v>17054</v>
      </c>
      <c r="B867" s="4" t="s">
        <v>670</v>
      </c>
      <c r="C867" s="4" t="s">
        <v>278</v>
      </c>
      <c r="D867" s="94">
        <v>1373.0</v>
      </c>
    </row>
    <row r="868">
      <c r="A868" s="40">
        <f t="array" ref="A868">IFNA(index(PlayerValues!A:A,match(IFNA(vlookup(B868,'Special Names'!A:B,2,FALSE),B868),PlayerValues!E:E,0)),"N/A")</f>
        <v>13672</v>
      </c>
      <c r="B868" s="4" t="s">
        <v>667</v>
      </c>
      <c r="C868" s="4" t="s">
        <v>298</v>
      </c>
      <c r="D868" s="94">
        <v>1724.0</v>
      </c>
    </row>
    <row r="869">
      <c r="A869" s="40">
        <f t="array" ref="A869">IFNA(index(PlayerValues!A:A,match(IFNA(vlookup(B869,'Special Names'!A:B,2,FALSE),B869),PlayerValues!E:E,0)),"N/A")</f>
        <v>17077</v>
      </c>
      <c r="B869" s="4" t="s">
        <v>714</v>
      </c>
      <c r="C869" s="4" t="s">
        <v>287</v>
      </c>
      <c r="D869" s="94">
        <v>1352.0</v>
      </c>
    </row>
    <row r="870">
      <c r="A870" s="40">
        <f t="array" ref="A870">IFNA(index(PlayerValues!A:A,match(IFNA(vlookup(B870,'Special Names'!A:B,2,FALSE),B870),PlayerValues!E:E,0)),"N/A")</f>
        <v>17514</v>
      </c>
      <c r="B870" s="4" t="s">
        <v>422</v>
      </c>
      <c r="C870" s="4" t="s">
        <v>287</v>
      </c>
      <c r="D870" s="94">
        <v>1347.0</v>
      </c>
    </row>
    <row r="871">
      <c r="A871" s="40">
        <f t="array" ref="A871">IFNA(index(PlayerValues!A:A,match(IFNA(vlookup(B871,'Special Names'!A:B,2,FALSE),B871),PlayerValues!E:E,0)),"N/A")</f>
        <v>15332</v>
      </c>
      <c r="B871" s="4" t="s">
        <v>698</v>
      </c>
      <c r="C871" s="4" t="s">
        <v>298</v>
      </c>
      <c r="D871" s="94">
        <v>1711.0</v>
      </c>
    </row>
    <row r="872">
      <c r="A872" s="40">
        <f t="array" ref="A872">IFNA(index(PlayerValues!A:A,match(IFNA(vlookup(B872,'Special Names'!A:B,2,FALSE),B872),PlayerValues!E:E,0)),"N/A")</f>
        <v>14086</v>
      </c>
      <c r="B872" s="4" t="s">
        <v>639</v>
      </c>
      <c r="C872" s="4" t="s">
        <v>278</v>
      </c>
      <c r="D872" s="94">
        <v>1336.0</v>
      </c>
    </row>
    <row r="873">
      <c r="A873" s="40">
        <f t="array" ref="A873">IFNA(index(PlayerValues!A:A,match(IFNA(vlookup(B873,'Special Names'!A:B,2,FALSE),B873),PlayerValues!E:E,0)),"N/A")</f>
        <v>16608</v>
      </c>
      <c r="B873" s="4" t="s">
        <v>629</v>
      </c>
      <c r="C873" s="4" t="s">
        <v>278</v>
      </c>
      <c r="D873" s="94">
        <v>1336.0</v>
      </c>
    </row>
    <row r="874">
      <c r="A874" s="40">
        <f t="array" ref="A874">IFNA(index(PlayerValues!A:A,match(IFNA(vlookup(B874,'Special Names'!A:B,2,FALSE),B874),PlayerValues!E:E,0)),"N/A")</f>
        <v>15738</v>
      </c>
      <c r="B874" s="4" t="s">
        <v>634</v>
      </c>
      <c r="C874" s="4" t="s">
        <v>278</v>
      </c>
      <c r="D874" s="94">
        <v>1322.0</v>
      </c>
    </row>
    <row r="875">
      <c r="A875" s="40">
        <f t="array" ref="A875">IFNA(index(PlayerValues!A:A,match(IFNA(vlookup(B875,'Special Names'!A:B,2,FALSE),B875),PlayerValues!E:E,0)),"N/A")</f>
        <v>16183</v>
      </c>
      <c r="B875" s="4" t="s">
        <v>678</v>
      </c>
      <c r="C875" s="4" t="s">
        <v>287</v>
      </c>
      <c r="D875" s="94">
        <v>1303.0</v>
      </c>
    </row>
    <row r="876">
      <c r="A876" s="40">
        <f t="array" ref="A876">IFNA(index(PlayerValues!A:A,match(IFNA(vlookup(B876,'Special Names'!A:B,2,FALSE),B876),PlayerValues!E:E,0)),"N/A")</f>
        <v>14095</v>
      </c>
      <c r="B876" s="4" t="s">
        <v>680</v>
      </c>
      <c r="C876" s="4" t="s">
        <v>278</v>
      </c>
      <c r="D876" s="94">
        <v>1296.0</v>
      </c>
    </row>
    <row r="877">
      <c r="A877" s="40" t="str">
        <f t="array" ref="A877">IFNA(index(PlayerValues!A:A,match(IFNA(vlookup(B877,'Special Names'!A:B,2,FALSE),B877),PlayerValues!E:E,0)),"N/A")</f>
        <v>N/A</v>
      </c>
      <c r="B877" s="4" t="s">
        <v>117</v>
      </c>
      <c r="C877" s="4" t="s">
        <v>325</v>
      </c>
      <c r="D877" s="94">
        <v>1295.0</v>
      </c>
    </row>
    <row r="878">
      <c r="A878" s="40">
        <f t="array" ref="A878">IFNA(index(PlayerValues!A:A,match(IFNA(vlookup(B878,'Special Names'!A:B,2,FALSE),B878),PlayerValues!E:E,0)),"N/A")</f>
        <v>16645</v>
      </c>
      <c r="B878" s="4" t="s">
        <v>651</v>
      </c>
      <c r="C878" s="4" t="s">
        <v>298</v>
      </c>
      <c r="D878" s="94">
        <v>1659.0</v>
      </c>
    </row>
    <row r="879">
      <c r="A879" s="40">
        <f t="array" ref="A879">IFNA(index(PlayerValues!A:A,match(IFNA(vlookup(B879,'Special Names'!A:B,2,FALSE),B879),PlayerValues!E:E,0)),"N/A")</f>
        <v>15288</v>
      </c>
      <c r="B879" s="4" t="s">
        <v>700</v>
      </c>
      <c r="C879" s="4" t="s">
        <v>287</v>
      </c>
      <c r="D879" s="94">
        <v>1287.0</v>
      </c>
    </row>
    <row r="880">
      <c r="A880" s="40">
        <f t="array" ref="A880">IFNA(index(PlayerValues!A:A,match(IFNA(vlookup(B880,'Special Names'!A:B,2,FALSE),B880),PlayerValues!E:E,0)),"N/A")</f>
        <v>15702</v>
      </c>
      <c r="B880" s="4" t="s">
        <v>723</v>
      </c>
      <c r="C880" s="4" t="s">
        <v>283</v>
      </c>
      <c r="D880" s="94">
        <v>1270.0</v>
      </c>
    </row>
    <row r="881">
      <c r="A881" s="40">
        <f t="array" ref="A881">IFNA(index(PlayerValues!A:A,match(IFNA(vlookup(B881,'Special Names'!A:B,2,FALSE),B881),PlayerValues!E:E,0)),"N/A")</f>
        <v>14108</v>
      </c>
      <c r="B881" s="4" t="s">
        <v>673</v>
      </c>
      <c r="C881" s="4" t="s">
        <v>287</v>
      </c>
      <c r="D881" s="94">
        <v>1265.0</v>
      </c>
    </row>
    <row r="882">
      <c r="A882" s="40">
        <f t="array" ref="A882">IFNA(index(PlayerValues!A:A,match(IFNA(vlookup(B882,'Special Names'!A:B,2,FALSE),B882),PlayerValues!E:E,0)),"N/A")</f>
        <v>14592</v>
      </c>
      <c r="B882" s="4" t="s">
        <v>705</v>
      </c>
      <c r="C882" s="4" t="s">
        <v>287</v>
      </c>
      <c r="D882" s="94">
        <v>1257.0</v>
      </c>
    </row>
    <row r="883">
      <c r="A883" s="40">
        <f t="array" ref="A883">IFNA(index(PlayerValues!A:A,match(IFNA(vlookup(B883,'Special Names'!A:B,2,FALSE),B883),PlayerValues!E:E,0)),"N/A")</f>
        <v>17097</v>
      </c>
      <c r="B883" s="4" t="s">
        <v>659</v>
      </c>
      <c r="C883" s="4" t="s">
        <v>287</v>
      </c>
      <c r="D883" s="94">
        <v>1256.0</v>
      </c>
    </row>
    <row r="884">
      <c r="A884" s="40">
        <f t="array" ref="A884">IFNA(index(PlayerValues!A:A,match(IFNA(vlookup(B884,'Special Names'!A:B,2,FALSE),B884),PlayerValues!E:E,0)),"N/A")</f>
        <v>16333</v>
      </c>
      <c r="B884" s="4" t="s">
        <v>711</v>
      </c>
      <c r="C884" s="4" t="s">
        <v>298</v>
      </c>
      <c r="D884" s="94">
        <v>1621.0</v>
      </c>
    </row>
    <row r="885">
      <c r="A885" s="40">
        <f t="array" ref="A885">IFNA(index(PlayerValues!A:A,match(IFNA(vlookup(B885,'Special Names'!A:B,2,FALSE),B885),PlayerValues!E:E,0)),"N/A")</f>
        <v>16221</v>
      </c>
      <c r="B885" s="4" t="s">
        <v>725</v>
      </c>
      <c r="C885" s="4" t="s">
        <v>298</v>
      </c>
      <c r="D885" s="94">
        <v>1620.0</v>
      </c>
    </row>
    <row r="886">
      <c r="A886" s="40">
        <f t="array" ref="A886">IFNA(index(PlayerValues!A:A,match(IFNA(vlookup(B886,'Special Names'!A:B,2,FALSE),B886),PlayerValues!E:E,0)),"N/A")</f>
        <v>17063</v>
      </c>
      <c r="B886" s="4" t="s">
        <v>686</v>
      </c>
      <c r="C886" s="4" t="s">
        <v>278</v>
      </c>
      <c r="D886" s="94">
        <v>1251.0</v>
      </c>
    </row>
    <row r="887">
      <c r="A887" s="40">
        <f t="array" ref="A887">IFNA(index(PlayerValues!A:A,match(IFNA(vlookup(B887,'Special Names'!A:B,2,FALSE),B887),PlayerValues!E:E,0)),"N/A")</f>
        <v>16636</v>
      </c>
      <c r="B887" s="4" t="s">
        <v>699</v>
      </c>
      <c r="C887" s="4" t="s">
        <v>287</v>
      </c>
      <c r="D887" s="94">
        <v>1248.0</v>
      </c>
    </row>
    <row r="888">
      <c r="A888" s="40">
        <f t="array" ref="A888">IFNA(index(PlayerValues!A:A,match(IFNA(vlookup(B888,'Special Names'!A:B,2,FALSE),B888),PlayerValues!E:E,0)),"N/A")</f>
        <v>14789</v>
      </c>
      <c r="B888" s="4" t="s">
        <v>721</v>
      </c>
      <c r="C888" s="4" t="s">
        <v>283</v>
      </c>
      <c r="D888" s="94">
        <v>1243.0</v>
      </c>
    </row>
    <row r="889">
      <c r="A889" s="40">
        <f t="array" ref="A889">IFNA(index(PlayerValues!A:A,match(IFNA(vlookup(B889,'Special Names'!A:B,2,FALSE),B889),PlayerValues!E:E,0)),"N/A")</f>
        <v>16883</v>
      </c>
      <c r="B889" s="4" t="s">
        <v>683</v>
      </c>
      <c r="C889" s="4" t="s">
        <v>287</v>
      </c>
      <c r="D889" s="94">
        <v>1233.0</v>
      </c>
    </row>
    <row r="890">
      <c r="A890" s="40">
        <f t="array" ref="A890">IFNA(index(PlayerValues!A:A,match(IFNA(vlookup(B890,'Special Names'!A:B,2,FALSE),B890),PlayerValues!E:E,0)),"N/A")</f>
        <v>15727</v>
      </c>
      <c r="B890" s="4" t="s">
        <v>730</v>
      </c>
      <c r="C890" s="4" t="s">
        <v>278</v>
      </c>
      <c r="D890" s="94">
        <v>1230.0</v>
      </c>
    </row>
    <row r="891">
      <c r="A891" s="40">
        <f t="array" ref="A891">IFNA(index(PlayerValues!A:A,match(IFNA(vlookup(B891,'Special Names'!A:B,2,FALSE),B891),PlayerValues!E:E,0)),"N/A")</f>
        <v>16199</v>
      </c>
      <c r="B891" s="4" t="s">
        <v>687</v>
      </c>
      <c r="C891" s="4" t="s">
        <v>287</v>
      </c>
      <c r="D891" s="94">
        <v>1226.0</v>
      </c>
    </row>
    <row r="892">
      <c r="A892" s="40">
        <f t="array" ref="A892">IFNA(index(PlayerValues!A:A,match(IFNA(vlookup(B892,'Special Names'!A:B,2,FALSE),B892),PlayerValues!E:E,0)),"N/A")</f>
        <v>15981</v>
      </c>
      <c r="B892" s="4" t="s">
        <v>729</v>
      </c>
      <c r="C892" s="4" t="s">
        <v>287</v>
      </c>
      <c r="D892" s="94">
        <v>1223.0</v>
      </c>
    </row>
    <row r="893">
      <c r="A893" s="40">
        <f t="array" ref="A893">IFNA(index(PlayerValues!A:A,match(IFNA(vlookup(B893,'Special Names'!A:B,2,FALSE),B893),PlayerValues!E:E,0)),"N/A")</f>
        <v>9064</v>
      </c>
      <c r="B893" s="4" t="s">
        <v>761</v>
      </c>
      <c r="C893" s="4" t="s">
        <v>283</v>
      </c>
      <c r="D893" s="94">
        <v>1218.0</v>
      </c>
    </row>
    <row r="894">
      <c r="A894" s="40">
        <f t="array" ref="A894">IFNA(index(PlayerValues!A:A,match(IFNA(vlookup(B894,'Special Names'!A:B,2,FALSE),B894),PlayerValues!E:E,0)),"N/A")</f>
        <v>17057</v>
      </c>
      <c r="B894" s="4" t="s">
        <v>708</v>
      </c>
      <c r="C894" s="4" t="s">
        <v>278</v>
      </c>
      <c r="D894" s="94">
        <v>1205.0</v>
      </c>
    </row>
    <row r="895">
      <c r="A895" s="40">
        <f t="array" ref="A895">IFNA(index(PlayerValues!A:A,match(IFNA(vlookup(B895,'Special Names'!A:B,2,FALSE),B895),PlayerValues!E:E,0)),"N/A")</f>
        <v>13193</v>
      </c>
      <c r="B895" s="4" t="s">
        <v>773</v>
      </c>
      <c r="C895" s="4" t="s">
        <v>298</v>
      </c>
      <c r="D895" s="94">
        <v>1568.0</v>
      </c>
    </row>
    <row r="896">
      <c r="A896" s="40">
        <f t="array" ref="A896">IFNA(index(PlayerValues!A:A,match(IFNA(vlookup(B896,'Special Names'!A:B,2,FALSE),B896),PlayerValues!E:E,0)),"N/A")</f>
        <v>13131</v>
      </c>
      <c r="B896" s="4" t="s">
        <v>815</v>
      </c>
      <c r="C896" s="4" t="s">
        <v>278</v>
      </c>
      <c r="D896" s="94">
        <v>1195.0</v>
      </c>
    </row>
    <row r="897">
      <c r="A897" s="40">
        <f t="array" ref="A897">IFNA(index(PlayerValues!A:A,match(IFNA(vlookup(B897,'Special Names'!A:B,2,FALSE),B897),PlayerValues!E:E,0)),"N/A")</f>
        <v>16385</v>
      </c>
      <c r="B897" s="4" t="s">
        <v>690</v>
      </c>
      <c r="C897" s="4" t="s">
        <v>278</v>
      </c>
      <c r="D897" s="94">
        <v>1193.0</v>
      </c>
    </row>
    <row r="898">
      <c r="A898" s="40">
        <f t="array" ref="A898">IFNA(index(PlayerValues!A:A,match(IFNA(vlookup(B898,'Special Names'!A:B,2,FALSE),B898),PlayerValues!E:E,0)),"N/A")</f>
        <v>15240</v>
      </c>
      <c r="B898" s="4" t="s">
        <v>751</v>
      </c>
      <c r="C898" s="4" t="s">
        <v>283</v>
      </c>
      <c r="D898" s="94">
        <v>1183.0</v>
      </c>
    </row>
    <row r="899">
      <c r="A899" s="40">
        <f t="array" ref="A899">IFNA(index(PlayerValues!A:A,match(IFNA(vlookup(B899,'Special Names'!A:B,2,FALSE),B899),PlayerValues!E:E,0)),"N/A")</f>
        <v>13289</v>
      </c>
      <c r="B899" s="4" t="s">
        <v>746</v>
      </c>
      <c r="C899" s="4" t="s">
        <v>287</v>
      </c>
      <c r="D899" s="94">
        <v>1180.0</v>
      </c>
    </row>
    <row r="900">
      <c r="A900" s="40">
        <f t="array" ref="A900">IFNA(index(PlayerValues!A:A,match(IFNA(vlookup(B900,'Special Names'!A:B,2,FALSE),B900),PlayerValues!E:E,0)),"N/A")</f>
        <v>17109</v>
      </c>
      <c r="B900" s="4" t="s">
        <v>707</v>
      </c>
      <c r="C900" s="4" t="s">
        <v>298</v>
      </c>
      <c r="D900" s="94">
        <v>1541.0</v>
      </c>
    </row>
    <row r="901">
      <c r="A901" s="40">
        <f t="array" ref="A901">IFNA(index(PlayerValues!A:A,match(IFNA(vlookup(B901,'Special Names'!A:B,2,FALSE),B901),PlayerValues!E:E,0)),"N/A")</f>
        <v>15692</v>
      </c>
      <c r="B901" s="4" t="s">
        <v>750</v>
      </c>
      <c r="C901" s="4" t="s">
        <v>283</v>
      </c>
      <c r="D901" s="94">
        <v>1159.0</v>
      </c>
    </row>
    <row r="902">
      <c r="A902" s="40">
        <f t="array" ref="A902">IFNA(index(PlayerValues!A:A,match(IFNA(vlookup(B902,'Special Names'!A:B,2,FALSE),B902),PlayerValues!E:E,0)),"N/A")</f>
        <v>16387</v>
      </c>
      <c r="B902" s="4" t="s">
        <v>646</v>
      </c>
      <c r="C902" s="4" t="s">
        <v>278</v>
      </c>
      <c r="D902" s="94">
        <v>1158.0</v>
      </c>
    </row>
    <row r="903">
      <c r="A903" s="40">
        <f t="array" ref="A903">IFNA(index(PlayerValues!A:A,match(IFNA(vlookup(B903,'Special Names'!A:B,2,FALSE),B903),PlayerValues!E:E,0)),"N/A")</f>
        <v>17546</v>
      </c>
      <c r="B903" s="4" t="s">
        <v>671</v>
      </c>
      <c r="C903" s="4" t="s">
        <v>298</v>
      </c>
      <c r="D903" s="94">
        <v>1522.0</v>
      </c>
    </row>
    <row r="904">
      <c r="A904" s="40">
        <f t="array" ref="A904">IFNA(index(PlayerValues!A:A,match(IFNA(vlookup(B904,'Special Names'!A:B,2,FALSE),B904),PlayerValues!E:E,0)),"N/A")</f>
        <v>14067</v>
      </c>
      <c r="B904" s="4" t="s">
        <v>735</v>
      </c>
      <c r="C904" s="4" t="s">
        <v>283</v>
      </c>
      <c r="D904" s="94">
        <v>1153.0</v>
      </c>
    </row>
    <row r="905">
      <c r="A905" s="40">
        <f t="array" ref="A905">IFNA(index(PlayerValues!A:A,match(IFNA(vlookup(B905,'Special Names'!A:B,2,FALSE),B905),PlayerValues!E:E,0)),"N/A")</f>
        <v>15730</v>
      </c>
      <c r="B905" s="4" t="s">
        <v>734</v>
      </c>
      <c r="C905" s="4" t="s">
        <v>278</v>
      </c>
      <c r="D905" s="94">
        <v>1153.0</v>
      </c>
    </row>
    <row r="906">
      <c r="A906" s="40">
        <f t="array" ref="A906">IFNA(index(PlayerValues!A:A,match(IFNA(vlookup(B906,'Special Names'!A:B,2,FALSE),B906),PlayerValues!E:E,0)),"N/A")</f>
        <v>16393</v>
      </c>
      <c r="B906" s="4" t="s">
        <v>768</v>
      </c>
      <c r="C906" s="4" t="s">
        <v>287</v>
      </c>
      <c r="D906" s="94">
        <v>1152.0</v>
      </c>
    </row>
    <row r="907">
      <c r="A907" s="40">
        <f t="array" ref="A907">IFNA(index(PlayerValues!A:A,match(IFNA(vlookup(B907,'Special Names'!A:B,2,FALSE),B907),PlayerValues!E:E,0)),"N/A")</f>
        <v>16746</v>
      </c>
      <c r="B907" s="4" t="s">
        <v>709</v>
      </c>
      <c r="C907" s="4" t="s">
        <v>278</v>
      </c>
      <c r="D907" s="94">
        <v>1149.0</v>
      </c>
    </row>
    <row r="908">
      <c r="A908" s="40">
        <f t="array" ref="A908">IFNA(index(PlayerValues!A:A,match(IFNA(vlookup(B908,'Special Names'!A:B,2,FALSE),B908),PlayerValues!E:E,0)),"N/A")</f>
        <v>14845</v>
      </c>
      <c r="B908" s="4" t="s">
        <v>717</v>
      </c>
      <c r="C908" s="4" t="s">
        <v>287</v>
      </c>
      <c r="D908" s="94">
        <v>1138.0</v>
      </c>
    </row>
    <row r="909">
      <c r="A909" s="40">
        <f t="array" ref="A909">IFNA(index(PlayerValues!A:A,match(IFNA(vlookup(B909,'Special Names'!A:B,2,FALSE),B909),PlayerValues!E:E,0)),"N/A")</f>
        <v>17050</v>
      </c>
      <c r="B909" s="4" t="s">
        <v>713</v>
      </c>
      <c r="C909" s="4" t="s">
        <v>278</v>
      </c>
      <c r="D909" s="94">
        <v>1137.0</v>
      </c>
    </row>
    <row r="910">
      <c r="A910" s="40">
        <f t="array" ref="A910">IFNA(index(PlayerValues!A:A,match(IFNA(vlookup(B910,'Special Names'!A:B,2,FALSE),B910),PlayerValues!E:E,0)),"N/A")</f>
        <v>15258</v>
      </c>
      <c r="B910" s="4" t="s">
        <v>757</v>
      </c>
      <c r="C910" s="4" t="s">
        <v>278</v>
      </c>
      <c r="D910" s="94">
        <v>1133.0</v>
      </c>
    </row>
    <row r="911">
      <c r="A911" s="40">
        <f t="array" ref="A911">IFNA(index(PlayerValues!A:A,match(IFNA(vlookup(B911,'Special Names'!A:B,2,FALSE),B911),PlayerValues!E:E,0)),"N/A")</f>
        <v>16640</v>
      </c>
      <c r="B911" s="4" t="s">
        <v>712</v>
      </c>
      <c r="C911" s="4" t="s">
        <v>287</v>
      </c>
      <c r="D911" s="94">
        <v>1122.0</v>
      </c>
    </row>
    <row r="912">
      <c r="A912" s="40">
        <f t="array" ref="A912">IFNA(index(PlayerValues!A:A,match(IFNA(vlookup(B912,'Special Names'!A:B,2,FALSE),B912),PlayerValues!E:E,0)),"N/A")</f>
        <v>15239</v>
      </c>
      <c r="B912" s="4" t="s">
        <v>802</v>
      </c>
      <c r="C912" s="4" t="s">
        <v>283</v>
      </c>
      <c r="D912" s="94">
        <v>1120.0</v>
      </c>
    </row>
    <row r="913">
      <c r="A913" s="40">
        <f t="array" ref="A913">IFNA(index(PlayerValues!A:A,match(IFNA(vlookup(B913,'Special Names'!A:B,2,FALSE),B913),PlayerValues!E:E,0)),"N/A")</f>
        <v>16637</v>
      </c>
      <c r="B913" s="4" t="s">
        <v>736</v>
      </c>
      <c r="C913" s="4" t="s">
        <v>287</v>
      </c>
      <c r="D913" s="94">
        <v>1115.0</v>
      </c>
    </row>
    <row r="914">
      <c r="A914" s="40">
        <f t="array" ref="A914">IFNA(index(PlayerValues!A:A,match(IFNA(vlookup(B914,'Special Names'!A:B,2,FALSE),B914),PlayerValues!E:E,0)),"N/A")</f>
        <v>11247</v>
      </c>
      <c r="B914" s="4" t="s">
        <v>816</v>
      </c>
      <c r="C914" s="4" t="s">
        <v>298</v>
      </c>
      <c r="D914" s="94">
        <v>1482.0</v>
      </c>
    </row>
    <row r="915">
      <c r="A915" s="40">
        <f t="array" ref="A915">IFNA(index(PlayerValues!A:A,match(IFNA(vlookup(B915,'Special Names'!A:B,2,FALSE),B915),PlayerValues!E:E,0)),"N/A")</f>
        <v>15785</v>
      </c>
      <c r="B915" s="4" t="s">
        <v>763</v>
      </c>
      <c r="C915" s="4" t="s">
        <v>287</v>
      </c>
      <c r="D915" s="94">
        <v>1107.0</v>
      </c>
    </row>
    <row r="916">
      <c r="A916" s="40">
        <f t="array" ref="A916">IFNA(index(PlayerValues!A:A,match(IFNA(vlookup(B916,'Special Names'!A:B,2,FALSE),B916),PlayerValues!E:E,0)),"N/A")</f>
        <v>17192</v>
      </c>
      <c r="B916" s="4" t="s">
        <v>677</v>
      </c>
      <c r="C916" s="4" t="s">
        <v>287</v>
      </c>
      <c r="D916" s="94">
        <v>1097.0</v>
      </c>
    </row>
    <row r="917">
      <c r="A917" s="40">
        <f t="array" ref="A917">IFNA(index(PlayerValues!A:A,match(IFNA(vlookup(B917,'Special Names'!A:B,2,FALSE),B917),PlayerValues!E:E,0)),"N/A")</f>
        <v>16197</v>
      </c>
      <c r="B917" s="4" t="s">
        <v>726</v>
      </c>
      <c r="C917" s="4" t="s">
        <v>287</v>
      </c>
      <c r="D917" s="94">
        <v>1080.0</v>
      </c>
    </row>
    <row r="918">
      <c r="A918" s="40">
        <f t="array" ref="A918">IFNA(index(PlayerValues!A:A,match(IFNA(vlookup(B918,'Special Names'!A:B,2,FALSE),B918),PlayerValues!E:E,0)),"N/A")</f>
        <v>15693</v>
      </c>
      <c r="B918" s="4" t="s">
        <v>755</v>
      </c>
      <c r="C918" s="4" t="s">
        <v>283</v>
      </c>
      <c r="D918" s="94">
        <v>1074.0</v>
      </c>
    </row>
    <row r="919">
      <c r="A919" s="40">
        <f t="array" ref="A919">IFNA(index(PlayerValues!A:A,match(IFNA(vlookup(B919,'Special Names'!A:B,2,FALSE),B919),PlayerValues!E:E,0)),"N/A")</f>
        <v>16451</v>
      </c>
      <c r="B919" s="4" t="s">
        <v>769</v>
      </c>
      <c r="C919" s="4" t="s">
        <v>287</v>
      </c>
      <c r="D919" s="94">
        <v>1073.0</v>
      </c>
    </row>
    <row r="920">
      <c r="A920" s="40">
        <f t="array" ref="A920">IFNA(index(PlayerValues!A:A,match(IFNA(vlookup(B920,'Special Names'!A:B,2,FALSE),B920),PlayerValues!E:E,0)),"N/A")</f>
        <v>15718</v>
      </c>
      <c r="B920" s="4" t="s">
        <v>753</v>
      </c>
      <c r="C920" s="4" t="s">
        <v>278</v>
      </c>
      <c r="D920" s="94">
        <v>1053.0</v>
      </c>
    </row>
    <row r="921">
      <c r="A921" s="40">
        <f t="array" ref="A921">IFNA(index(PlayerValues!A:A,match(IFNA(vlookup(B921,'Special Names'!A:B,2,FALSE),B921),PlayerValues!E:E,0)),"N/A")</f>
        <v>16678</v>
      </c>
      <c r="B921" s="4" t="s">
        <v>758</v>
      </c>
      <c r="C921" s="4" t="s">
        <v>278</v>
      </c>
      <c r="D921" s="94">
        <v>1053.0</v>
      </c>
    </row>
    <row r="922">
      <c r="A922" s="40">
        <f t="array" ref="A922">IFNA(index(PlayerValues!A:A,match(IFNA(vlookup(B922,'Special Names'!A:B,2,FALSE),B922),PlayerValues!E:E,0)),"N/A")</f>
        <v>16168</v>
      </c>
      <c r="B922" s="4" t="s">
        <v>738</v>
      </c>
      <c r="C922" s="4" t="s">
        <v>278</v>
      </c>
      <c r="D922" s="94">
        <v>1046.0</v>
      </c>
    </row>
    <row r="923">
      <c r="A923" s="40">
        <f t="array" ref="A923">IFNA(index(PlayerValues!A:A,match(IFNA(vlookup(B923,'Special Names'!A:B,2,FALSE),B923),PlayerValues!E:E,0)),"N/A")</f>
        <v>14118</v>
      </c>
      <c r="B923" s="4" t="s">
        <v>771</v>
      </c>
      <c r="C923" s="4" t="s">
        <v>287</v>
      </c>
      <c r="D923" s="94">
        <v>1045.0</v>
      </c>
    </row>
    <row r="924">
      <c r="A924" s="40">
        <f t="array" ref="A924">IFNA(index(PlayerValues!A:A,match(IFNA(vlookup(B924,'Special Names'!A:B,2,FALSE),B924),PlayerValues!E:E,0)),"N/A")</f>
        <v>17175</v>
      </c>
      <c r="B924" s="4" t="s">
        <v>747</v>
      </c>
      <c r="C924" s="4" t="s">
        <v>287</v>
      </c>
      <c r="D924" s="94">
        <v>1043.0</v>
      </c>
    </row>
    <row r="925">
      <c r="A925" s="40">
        <f t="array" ref="A925">IFNA(index(PlayerValues!A:A,match(IFNA(vlookup(B925,'Special Names'!A:B,2,FALSE),B925),PlayerValues!E:E,0)),"N/A")</f>
        <v>15795</v>
      </c>
      <c r="B925" s="4" t="s">
        <v>669</v>
      </c>
      <c r="C925" s="4" t="s">
        <v>298</v>
      </c>
      <c r="D925" s="94">
        <v>1406.0</v>
      </c>
    </row>
    <row r="926">
      <c r="A926" s="40">
        <f t="array" ref="A926">IFNA(index(PlayerValues!A:A,match(IFNA(vlookup(B926,'Special Names'!A:B,2,FALSE),B926),PlayerValues!E:E,0)),"N/A")</f>
        <v>13138</v>
      </c>
      <c r="B926" s="4" t="s">
        <v>817</v>
      </c>
      <c r="C926" s="4" t="s">
        <v>278</v>
      </c>
      <c r="D926" s="94">
        <v>1039.0</v>
      </c>
    </row>
    <row r="927">
      <c r="A927" s="40">
        <f t="array" ref="A927">IFNA(index(PlayerValues!A:A,match(IFNA(vlookup(B927,'Special Names'!A:B,2,FALSE),B927),PlayerValues!E:E,0)),"N/A")</f>
        <v>16858</v>
      </c>
      <c r="B927" s="4" t="s">
        <v>754</v>
      </c>
      <c r="C927" s="4" t="s">
        <v>287</v>
      </c>
      <c r="D927" s="94">
        <v>1037.0</v>
      </c>
    </row>
    <row r="928">
      <c r="A928" s="40">
        <f t="array" ref="A928">IFNA(index(PlayerValues!A:A,match(IFNA(vlookup(B928,'Special Names'!A:B,2,FALSE),B928),PlayerValues!E:E,0)),"N/A")</f>
        <v>15717</v>
      </c>
      <c r="B928" s="4" t="s">
        <v>745</v>
      </c>
      <c r="C928" s="4" t="s">
        <v>278</v>
      </c>
      <c r="D928" s="94">
        <v>1035.0</v>
      </c>
    </row>
    <row r="929">
      <c r="A929" s="40">
        <f t="array" ref="A929">IFNA(index(PlayerValues!A:A,match(IFNA(vlookup(B929,'Special Names'!A:B,2,FALSE),B929),PlayerValues!E:E,0)),"N/A")</f>
        <v>16648</v>
      </c>
      <c r="B929" s="4" t="s">
        <v>748</v>
      </c>
      <c r="C929" s="4" t="s">
        <v>298</v>
      </c>
      <c r="D929" s="94">
        <v>1399.0</v>
      </c>
    </row>
    <row r="930">
      <c r="A930" s="40">
        <f t="array" ref="A930">IFNA(index(PlayerValues!A:A,match(IFNA(vlookup(B930,'Special Names'!A:B,2,FALSE),B930),PlayerValues!E:E,0)),"N/A")</f>
        <v>15330</v>
      </c>
      <c r="B930" s="4" t="s">
        <v>749</v>
      </c>
      <c r="C930" s="4" t="s">
        <v>298</v>
      </c>
      <c r="D930" s="94">
        <v>1397.0</v>
      </c>
    </row>
    <row r="931">
      <c r="A931" s="40">
        <f t="array" ref="A931">IFNA(index(PlayerValues!A:A,match(IFNA(vlookup(B931,'Special Names'!A:B,2,FALSE),B931),PlayerValues!E:E,0)),"N/A")</f>
        <v>15626</v>
      </c>
      <c r="B931" s="4" t="s">
        <v>766</v>
      </c>
      <c r="C931" s="4" t="s">
        <v>298</v>
      </c>
      <c r="D931" s="94">
        <v>1393.0</v>
      </c>
    </row>
    <row r="932">
      <c r="A932" s="40">
        <f t="array" ref="A932">IFNA(index(PlayerValues!A:A,match(IFNA(vlookup(B932,'Special Names'!A:B,2,FALSE),B932),PlayerValues!E:E,0)),"N/A")</f>
        <v>14057</v>
      </c>
      <c r="B932" s="4" t="s">
        <v>765</v>
      </c>
      <c r="C932" s="4" t="s">
        <v>283</v>
      </c>
      <c r="D932" s="94">
        <v>1021.0</v>
      </c>
    </row>
    <row r="933">
      <c r="A933" s="40">
        <f t="array" ref="A933">IFNA(index(PlayerValues!A:A,match(IFNA(vlookup(B933,'Special Names'!A:B,2,FALSE),B933),PlayerValues!E:E,0)),"N/A")</f>
        <v>16205</v>
      </c>
      <c r="B933" s="4" t="s">
        <v>742</v>
      </c>
      <c r="C933" s="4" t="s">
        <v>287</v>
      </c>
      <c r="D933" s="94">
        <v>1016.0</v>
      </c>
    </row>
    <row r="934">
      <c r="A934" s="40">
        <f t="array" ref="A934">IFNA(index(PlayerValues!A:A,match(IFNA(vlookup(B934,'Special Names'!A:B,2,FALSE),B934),PlayerValues!E:E,0)),"N/A")</f>
        <v>16170</v>
      </c>
      <c r="B934" s="4" t="s">
        <v>801</v>
      </c>
      <c r="C934" s="4" t="s">
        <v>278</v>
      </c>
      <c r="D934" s="94">
        <v>1009.0</v>
      </c>
    </row>
    <row r="935">
      <c r="A935" s="40">
        <f t="array" ref="A935">IFNA(index(PlayerValues!A:A,match(IFNA(vlookup(B935,'Special Names'!A:B,2,FALSE),B935),PlayerValues!E:E,0)),"N/A")</f>
        <v>15720</v>
      </c>
      <c r="B935" s="4" t="s">
        <v>795</v>
      </c>
      <c r="C935" s="4" t="s">
        <v>278</v>
      </c>
      <c r="D935" s="94">
        <v>1005.0</v>
      </c>
    </row>
    <row r="936">
      <c r="A936" s="40">
        <f t="array" ref="A936">IFNA(index(PlayerValues!A:A,match(IFNA(vlookup(B936,'Special Names'!A:B,2,FALSE),B936),PlayerValues!E:E,0)),"N/A")</f>
        <v>15109</v>
      </c>
      <c r="B936" s="4" t="s">
        <v>728</v>
      </c>
      <c r="C936" s="4" t="s">
        <v>287</v>
      </c>
      <c r="D936" s="94">
        <v>1001.0</v>
      </c>
    </row>
    <row r="937">
      <c r="A937" s="40">
        <f t="array" ref="A937">IFNA(index(PlayerValues!A:A,match(IFNA(vlookup(B937,'Special Names'!A:B,2,FALSE),B937),PlayerValues!E:E,0)),"N/A")</f>
        <v>15766</v>
      </c>
      <c r="B937" s="4" t="s">
        <v>759</v>
      </c>
      <c r="C937" s="4" t="s">
        <v>287</v>
      </c>
      <c r="D937" s="94">
        <v>988.0</v>
      </c>
    </row>
    <row r="938">
      <c r="A938" s="40">
        <f t="array" ref="A938">IFNA(index(PlayerValues!A:A,match(IFNA(vlookup(B938,'Special Names'!A:B,2,FALSE),B938),PlayerValues!E:E,0)),"N/A")</f>
        <v>16219</v>
      </c>
      <c r="B938" s="4" t="s">
        <v>739</v>
      </c>
      <c r="C938" s="4" t="s">
        <v>298</v>
      </c>
      <c r="D938" s="94">
        <v>1351.0</v>
      </c>
    </row>
    <row r="939">
      <c r="A939" s="40">
        <f t="array" ref="A939">IFNA(index(PlayerValues!A:A,match(IFNA(vlookup(B939,'Special Names'!A:B,2,FALSE),B939),PlayerValues!E:E,0)),"N/A")</f>
        <v>12263</v>
      </c>
      <c r="B939" s="4" t="s">
        <v>697</v>
      </c>
      <c r="C939" s="4" t="s">
        <v>298</v>
      </c>
      <c r="D939" s="94">
        <v>1348.0</v>
      </c>
    </row>
    <row r="940">
      <c r="A940" s="40">
        <f t="array" ref="A940">IFNA(index(PlayerValues!A:A,match(IFNA(vlookup(B940,'Special Names'!A:B,2,FALSE),B940),PlayerValues!E:E,0)),"N/A")</f>
        <v>17466</v>
      </c>
      <c r="B940" s="4" t="s">
        <v>492</v>
      </c>
      <c r="C940" s="4" t="s">
        <v>283</v>
      </c>
      <c r="D940" s="94">
        <v>970.0</v>
      </c>
    </row>
    <row r="941">
      <c r="A941" s="40">
        <f t="array" ref="A941">IFNA(index(PlayerValues!A:A,match(IFNA(vlookup(B941,'Special Names'!A:B,2,FALSE),B941),PlayerValues!E:E,0)),"N/A")</f>
        <v>16176</v>
      </c>
      <c r="B941" s="4" t="s">
        <v>812</v>
      </c>
      <c r="C941" s="4" t="s">
        <v>278</v>
      </c>
      <c r="D941" s="94">
        <v>967.0</v>
      </c>
    </row>
    <row r="942">
      <c r="A942" s="40">
        <f t="array" ref="A942">IFNA(index(PlayerValues!A:A,match(IFNA(vlookup(B942,'Special Names'!A:B,2,FALSE),B942),PlayerValues!E:E,0)),"N/A")</f>
        <v>16416</v>
      </c>
      <c r="B942" s="4" t="s">
        <v>752</v>
      </c>
      <c r="C942" s="4" t="s">
        <v>287</v>
      </c>
      <c r="D942" s="94">
        <v>966.0</v>
      </c>
    </row>
    <row r="943">
      <c r="A943" s="40">
        <f t="array" ref="A943">IFNA(index(PlayerValues!A:A,match(IFNA(vlookup(B943,'Special Names'!A:B,2,FALSE),B943),PlayerValues!E:E,0)),"N/A")</f>
        <v>14799</v>
      </c>
      <c r="B943" s="4" t="s">
        <v>829</v>
      </c>
      <c r="C943" s="4" t="s">
        <v>278</v>
      </c>
      <c r="D943" s="94">
        <v>965.0</v>
      </c>
    </row>
    <row r="944">
      <c r="A944" s="40">
        <f t="array" ref="A944">IFNA(index(PlayerValues!A:A,match(IFNA(vlookup(B944,'Special Names'!A:B,2,FALSE),B944),PlayerValues!E:E,0)),"N/A")</f>
        <v>15263</v>
      </c>
      <c r="B944" s="4" t="s">
        <v>804</v>
      </c>
      <c r="C944" s="4" t="s">
        <v>278</v>
      </c>
      <c r="D944" s="94">
        <v>962.0</v>
      </c>
    </row>
    <row r="945">
      <c r="A945" s="40">
        <f t="array" ref="A945">IFNA(index(PlayerValues!A:A,match(IFNA(vlookup(B945,'Special Names'!A:B,2,FALSE),B945),PlayerValues!E:E,0)),"N/A")</f>
        <v>17468</v>
      </c>
      <c r="B945" s="4" t="s">
        <v>514</v>
      </c>
      <c r="C945" s="4" t="s">
        <v>283</v>
      </c>
      <c r="D945" s="94">
        <v>959.0</v>
      </c>
    </row>
    <row r="946">
      <c r="A946" s="40">
        <f t="array" ref="A946">IFNA(index(PlayerValues!A:A,match(IFNA(vlookup(B946,'Special Names'!A:B,2,FALSE),B946),PlayerValues!E:E,0)),"N/A")</f>
        <v>17479</v>
      </c>
      <c r="B946" s="4" t="s">
        <v>756</v>
      </c>
      <c r="C946" s="4" t="s">
        <v>278</v>
      </c>
      <c r="D946" s="94">
        <v>959.0</v>
      </c>
    </row>
    <row r="947">
      <c r="A947" s="40">
        <f t="array" ref="A947">IFNA(index(PlayerValues!A:A,match(IFNA(vlookup(B947,'Special Names'!A:B,2,FALSE),B947),PlayerValues!E:E,0)),"N/A")</f>
        <v>16773</v>
      </c>
      <c r="B947" s="4" t="s">
        <v>783</v>
      </c>
      <c r="C947" s="4" t="s">
        <v>278</v>
      </c>
      <c r="D947" s="94">
        <v>957.0</v>
      </c>
    </row>
    <row r="948">
      <c r="A948" s="40">
        <f t="array" ref="A948">IFNA(index(PlayerValues!A:A,match(IFNA(vlookup(B948,'Special Names'!A:B,2,FALSE),B948),PlayerValues!E:E,0)),"N/A")</f>
        <v>14849</v>
      </c>
      <c r="B948" s="4" t="s">
        <v>733</v>
      </c>
      <c r="C948" s="4" t="s">
        <v>287</v>
      </c>
      <c r="D948" s="94">
        <v>956.0</v>
      </c>
    </row>
    <row r="949">
      <c r="A949" s="40">
        <f t="array" ref="A949">IFNA(index(PlayerValues!A:A,match(IFNA(vlookup(B949,'Special Names'!A:B,2,FALSE),B949),PlayerValues!E:E,0)),"N/A")</f>
        <v>16751</v>
      </c>
      <c r="B949" s="4" t="s">
        <v>762</v>
      </c>
      <c r="C949" s="4" t="s">
        <v>287</v>
      </c>
      <c r="D949" s="94">
        <v>956.0</v>
      </c>
    </row>
    <row r="950">
      <c r="A950" s="40">
        <f t="array" ref="A950">IFNA(index(PlayerValues!A:A,match(IFNA(vlookup(B950,'Special Names'!A:B,2,FALSE),B950),PlayerValues!E:E,0)),"N/A")</f>
        <v>15723</v>
      </c>
      <c r="B950" s="4" t="s">
        <v>798</v>
      </c>
      <c r="C950" s="4" t="s">
        <v>278</v>
      </c>
      <c r="D950" s="94">
        <v>948.0</v>
      </c>
    </row>
    <row r="951">
      <c r="A951" s="40">
        <f t="array" ref="A951">IFNA(index(PlayerValues!A:A,match(IFNA(vlookup(B951,'Special Names'!A:B,2,FALSE),B951),PlayerValues!E:E,0)),"N/A")</f>
        <v>16624</v>
      </c>
      <c r="B951" s="4" t="s">
        <v>796</v>
      </c>
      <c r="C951" s="4" t="s">
        <v>287</v>
      </c>
      <c r="D951" s="94">
        <v>945.0</v>
      </c>
    </row>
    <row r="952">
      <c r="A952" s="40">
        <f t="array" ref="A952">IFNA(index(PlayerValues!A:A,match(IFNA(vlookup(B952,'Special Names'!A:B,2,FALSE),B952),PlayerValues!E:E,0)),"N/A")</f>
        <v>12785</v>
      </c>
      <c r="B952" s="4" t="s">
        <v>772</v>
      </c>
      <c r="C952" s="4" t="s">
        <v>287</v>
      </c>
      <c r="D952" s="94">
        <v>942.0</v>
      </c>
    </row>
    <row r="953">
      <c r="A953" s="40">
        <f t="array" ref="A953">IFNA(index(PlayerValues!A:A,match(IFNA(vlookup(B953,'Special Names'!A:B,2,FALSE),B953),PlayerValues!E:E,0)),"N/A")</f>
        <v>16599</v>
      </c>
      <c r="B953" s="4" t="s">
        <v>737</v>
      </c>
      <c r="C953" s="4" t="s">
        <v>278</v>
      </c>
      <c r="D953" s="94">
        <v>923.0</v>
      </c>
    </row>
    <row r="954">
      <c r="A954" s="40">
        <f t="array" ref="A954">IFNA(index(PlayerValues!A:A,match(IFNA(vlookup(B954,'Special Names'!A:B,2,FALSE),B954),PlayerValues!E:E,0)),"N/A")</f>
        <v>16159</v>
      </c>
      <c r="B954" s="4" t="s">
        <v>819</v>
      </c>
      <c r="C954" s="4" t="s">
        <v>283</v>
      </c>
      <c r="D954" s="94">
        <v>921.0</v>
      </c>
    </row>
    <row r="955">
      <c r="A955" s="40">
        <f t="array" ref="A955">IFNA(index(PlayerValues!A:A,match(IFNA(vlookup(B955,'Special Names'!A:B,2,FALSE),B955),PlayerValues!E:E,0)),"N/A")</f>
        <v>15804</v>
      </c>
      <c r="B955" s="4" t="s">
        <v>821</v>
      </c>
      <c r="C955" s="4" t="s">
        <v>298</v>
      </c>
      <c r="D955" s="94">
        <v>1284.0</v>
      </c>
    </row>
    <row r="956">
      <c r="A956" s="40">
        <f t="array" ref="A956">IFNA(index(PlayerValues!A:A,match(IFNA(vlookup(B956,'Special Names'!A:B,2,FALSE),B956),PlayerValues!E:E,0)),"N/A")</f>
        <v>13595</v>
      </c>
      <c r="B956" s="4" t="s">
        <v>818</v>
      </c>
      <c r="C956" s="4" t="s">
        <v>283</v>
      </c>
      <c r="D956" s="94">
        <v>907.0</v>
      </c>
    </row>
    <row r="957">
      <c r="A957" s="40">
        <f t="array" ref="A957">IFNA(index(PlayerValues!A:A,match(IFNA(vlookup(B957,'Special Names'!A:B,2,FALSE),B957),PlayerValues!E:E,0)),"N/A")</f>
        <v>17510</v>
      </c>
      <c r="B957" s="4" t="s">
        <v>661</v>
      </c>
      <c r="C957" s="4" t="s">
        <v>287</v>
      </c>
      <c r="D957" s="94">
        <v>906.0</v>
      </c>
    </row>
    <row r="958">
      <c r="A958" s="40">
        <f t="array" ref="A958">IFNA(index(PlayerValues!A:A,match(IFNA(vlookup(B958,'Special Names'!A:B,2,FALSE),B958),PlayerValues!E:E,0)),"N/A")</f>
        <v>15758</v>
      </c>
      <c r="B958" s="4" t="s">
        <v>724</v>
      </c>
      <c r="C958" s="4" t="s">
        <v>287</v>
      </c>
      <c r="D958" s="94">
        <v>902.0</v>
      </c>
    </row>
    <row r="959">
      <c r="A959" s="40">
        <f t="array" ref="A959">IFNA(index(PlayerValues!A:A,match(IFNA(vlookup(B959,'Special Names'!A:B,2,FALSE),B959),PlayerValues!E:E,0)),"N/A")</f>
        <v>16686</v>
      </c>
      <c r="B959" s="4" t="s">
        <v>805</v>
      </c>
      <c r="C959" s="4" t="s">
        <v>287</v>
      </c>
      <c r="D959" s="94">
        <v>897.0</v>
      </c>
    </row>
    <row r="960">
      <c r="A960" s="40">
        <f t="array" ref="A960">IFNA(index(PlayerValues!A:A,match(IFNA(vlookup(B960,'Special Names'!A:B,2,FALSE),B960),PlayerValues!E:E,0)),"N/A")</f>
        <v>17337</v>
      </c>
      <c r="B960" s="4" t="s">
        <v>793</v>
      </c>
      <c r="C960" s="4" t="s">
        <v>278</v>
      </c>
      <c r="D960" s="94">
        <v>897.0</v>
      </c>
    </row>
    <row r="961">
      <c r="A961" s="40">
        <f t="array" ref="A961">IFNA(index(PlayerValues!A:A,match(IFNA(vlookup(B961,'Special Names'!A:B,2,FALSE),B961),PlayerValues!E:E,0)),"N/A")</f>
        <v>14864</v>
      </c>
      <c r="B961" s="4" t="s">
        <v>789</v>
      </c>
      <c r="C961" s="4" t="s">
        <v>287</v>
      </c>
      <c r="D961" s="94">
        <v>896.0</v>
      </c>
    </row>
    <row r="962">
      <c r="A962" s="40">
        <f t="array" ref="A962">IFNA(index(PlayerValues!A:A,match(IFNA(vlookup(B962,'Special Names'!A:B,2,FALSE),B962),PlayerValues!E:E,0)),"N/A")</f>
        <v>14223</v>
      </c>
      <c r="B962" s="4" t="s">
        <v>785</v>
      </c>
      <c r="C962" s="4" t="s">
        <v>278</v>
      </c>
      <c r="D962" s="94">
        <v>870.0</v>
      </c>
    </row>
    <row r="963">
      <c r="A963" s="40">
        <f t="array" ref="A963">IFNA(index(PlayerValues!A:A,match(IFNA(vlookup(B963,'Special Names'!A:B,2,FALSE),B963),PlayerValues!E:E,0)),"N/A")</f>
        <v>13133</v>
      </c>
      <c r="B963" s="4" t="s">
        <v>764</v>
      </c>
      <c r="C963" s="4" t="s">
        <v>278</v>
      </c>
      <c r="D963" s="94">
        <v>860.0</v>
      </c>
    </row>
    <row r="964">
      <c r="A964" s="40">
        <f t="array" ref="A964">IFNA(index(PlayerValues!A:A,match(IFNA(vlookup(B964,'Special Names'!A:B,2,FALSE),B964),PlayerValues!E:E,0)),"N/A")</f>
        <v>16606</v>
      </c>
      <c r="B964" s="4" t="s">
        <v>743</v>
      </c>
      <c r="C964" s="4" t="s">
        <v>278</v>
      </c>
      <c r="D964" s="94">
        <v>860.0</v>
      </c>
    </row>
    <row r="965">
      <c r="A965" s="40">
        <f t="array" ref="A965">IFNA(index(PlayerValues!A:A,match(IFNA(vlookup(B965,'Special Names'!A:B,2,FALSE),B965),PlayerValues!E:E,0)),"N/A")</f>
        <v>14079</v>
      </c>
      <c r="B965" s="4" t="s">
        <v>830</v>
      </c>
      <c r="C965" s="4" t="s">
        <v>278</v>
      </c>
      <c r="D965" s="94">
        <v>852.0</v>
      </c>
    </row>
    <row r="966">
      <c r="A966" s="40">
        <f t="array" ref="A966">IFNA(index(PlayerValues!A:A,match(IFNA(vlookup(B966,'Special Names'!A:B,2,FALSE),B966),PlayerValues!E:E,0)),"N/A")</f>
        <v>15271</v>
      </c>
      <c r="B966" s="4" t="s">
        <v>741</v>
      </c>
      <c r="C966" s="4" t="s">
        <v>278</v>
      </c>
      <c r="D966" s="94">
        <v>841.0</v>
      </c>
    </row>
    <row r="967">
      <c r="A967" s="40">
        <f t="array" ref="A967">IFNA(index(PlayerValues!A:A,match(IFNA(vlookup(B967,'Special Names'!A:B,2,FALSE),B967),PlayerValues!E:E,0)),"N/A")</f>
        <v>17486</v>
      </c>
      <c r="B967" s="4" t="s">
        <v>695</v>
      </c>
      <c r="C967" s="4" t="s">
        <v>278</v>
      </c>
      <c r="D967" s="94">
        <v>822.0</v>
      </c>
    </row>
    <row r="968">
      <c r="A968" s="40">
        <f t="array" ref="A968">IFNA(index(PlayerValues!A:A,match(IFNA(vlookup(B968,'Special Names'!A:B,2,FALSE),B968),PlayerValues!E:E,0)),"N/A")</f>
        <v>13610</v>
      </c>
      <c r="B968" s="4" t="s">
        <v>825</v>
      </c>
      <c r="C968" s="4" t="s">
        <v>278</v>
      </c>
      <c r="D968" s="94">
        <v>810.0</v>
      </c>
    </row>
    <row r="969">
      <c r="A969" s="40">
        <f t="array" ref="A969">IFNA(index(PlayerValues!A:A,match(IFNA(vlookup(B969,'Special Names'!A:B,2,FALSE),B969),PlayerValues!E:E,0)),"N/A")</f>
        <v>17519</v>
      </c>
      <c r="B969" s="4" t="s">
        <v>593</v>
      </c>
      <c r="C969" s="4" t="s">
        <v>287</v>
      </c>
      <c r="D969" s="94">
        <v>806.0</v>
      </c>
    </row>
    <row r="970">
      <c r="A970" s="40">
        <f t="array" ref="A970">IFNA(index(PlayerValues!A:A,match(IFNA(vlookup(B970,'Special Names'!A:B,2,FALSE),B970),PlayerValues!E:E,0)),"N/A")</f>
        <v>13143</v>
      </c>
      <c r="B970" s="4" t="s">
        <v>786</v>
      </c>
      <c r="C970" s="4" t="s">
        <v>278</v>
      </c>
      <c r="D970" s="94">
        <v>786.0</v>
      </c>
    </row>
    <row r="971">
      <c r="A971" s="40">
        <f t="array" ref="A971">IFNA(index(PlayerValues!A:A,match(IFNA(vlookup(B971,'Special Names'!A:B,2,FALSE),B971),PlayerValues!E:E,0)),"N/A")</f>
        <v>16623</v>
      </c>
      <c r="B971" s="4" t="s">
        <v>803</v>
      </c>
      <c r="C971" s="4" t="s">
        <v>287</v>
      </c>
      <c r="D971" s="94">
        <v>753.0</v>
      </c>
    </row>
    <row r="972">
      <c r="A972" s="40">
        <f t="array" ref="A972">IFNA(index(PlayerValues!A:A,match(IFNA(vlookup(B972,'Special Names'!A:B,2,FALSE),B972),PlayerValues!E:E,0)),"N/A")</f>
        <v>16957</v>
      </c>
      <c r="B972" s="4" t="s">
        <v>806</v>
      </c>
      <c r="C972" s="4" t="s">
        <v>278</v>
      </c>
      <c r="D972" s="94">
        <v>745.0</v>
      </c>
    </row>
    <row r="973">
      <c r="A973" s="40">
        <f t="array" ref="A973">IFNA(index(PlayerValues!A:A,match(IFNA(vlookup(B973,'Special Names'!A:B,2,FALSE),B973),PlayerValues!E:E,0)),"N/A")</f>
        <v>17487</v>
      </c>
      <c r="B973" s="4" t="s">
        <v>692</v>
      </c>
      <c r="C973" s="4" t="s">
        <v>278</v>
      </c>
      <c r="D973" s="94">
        <v>724.0</v>
      </c>
    </row>
    <row r="974">
      <c r="A974" s="40">
        <f t="array" ref="A974">IFNA(index(PlayerValues!A:A,match(IFNA(vlookup(B974,'Special Names'!A:B,2,FALSE),B974),PlayerValues!E:E,0)),"N/A")</f>
        <v>11232</v>
      </c>
      <c r="B974" s="4" t="s">
        <v>826</v>
      </c>
      <c r="C974" s="4" t="s">
        <v>287</v>
      </c>
      <c r="D974" s="94">
        <v>708.0</v>
      </c>
    </row>
    <row r="975">
      <c r="A975" s="40">
        <f t="array" ref="A975">IFNA(index(PlayerValues!A:A,match(IFNA(vlookup(B975,'Special Names'!A:B,2,FALSE),B975),PlayerValues!E:E,0)),"N/A")</f>
        <v>17567</v>
      </c>
      <c r="B975" s="4" t="s">
        <v>571</v>
      </c>
      <c r="C975" s="4" t="s">
        <v>298</v>
      </c>
      <c r="D975" s="94">
        <v>1062.0</v>
      </c>
    </row>
    <row r="976">
      <c r="A976" s="40">
        <f t="array" ref="A976">IFNA(index(PlayerValues!A:A,match(IFNA(vlookup(B976,'Special Names'!A:B,2,FALSE),B976),PlayerValues!E:E,0)),"N/A")</f>
        <v>15796</v>
      </c>
      <c r="B976" s="4" t="s">
        <v>794</v>
      </c>
      <c r="C976" s="4" t="s">
        <v>298</v>
      </c>
      <c r="D976" s="94">
        <v>1036.0</v>
      </c>
    </row>
    <row r="977">
      <c r="A977" s="40">
        <f t="array" ref="A977">IFNA(index(PlayerValues!A:A,match(IFNA(vlookup(B977,'Special Names'!A:B,2,FALSE),B977),PlayerValues!E:E,0)),"N/A")</f>
        <v>17485</v>
      </c>
      <c r="B977" s="4" t="s">
        <v>522</v>
      </c>
      <c r="C977" s="4" t="s">
        <v>278</v>
      </c>
      <c r="D977" s="94">
        <v>642.0</v>
      </c>
    </row>
    <row r="978">
      <c r="A978" s="40">
        <f t="array" ref="A978">IFNA(index(PlayerValues!A:A,match(IFNA(vlookup(B978,'Special Names'!A:B,2,FALSE),B978),PlayerValues!E:E,0)),"N/A")</f>
        <v>17475</v>
      </c>
      <c r="B978" s="4" t="s">
        <v>615</v>
      </c>
      <c r="C978" s="4" t="s">
        <v>278</v>
      </c>
      <c r="D978" s="94">
        <v>638.0</v>
      </c>
    </row>
    <row r="979">
      <c r="A979" s="40">
        <f t="array" ref="A979">IFNA(index(PlayerValues!A:A,match(IFNA(vlookup(B979,'Special Names'!A:B,2,FALSE),B979),PlayerValues!E:E,0)),"N/A")</f>
        <v>17038</v>
      </c>
      <c r="B979" s="4" t="s">
        <v>774</v>
      </c>
      <c r="C979" s="4" t="s">
        <v>283</v>
      </c>
      <c r="D979" s="94">
        <v>606.0</v>
      </c>
    </row>
    <row r="980">
      <c r="A980" s="40">
        <f t="array" ref="A980">IFNA(index(PlayerValues!A:A,match(IFNA(vlookup(B980,'Special Names'!A:B,2,FALSE),B980),PlayerValues!E:E,0)),"N/A")</f>
        <v>13176</v>
      </c>
      <c r="B980" s="4" t="s">
        <v>807</v>
      </c>
      <c r="C980" s="4" t="s">
        <v>287</v>
      </c>
      <c r="D980" s="94">
        <v>594.0</v>
      </c>
    </row>
    <row r="981">
      <c r="A981" s="40">
        <f t="array" ref="A981">IFNA(index(PlayerValues!A:A,match(IFNA(vlookup(B981,'Special Names'!A:B,2,FALSE),B981),PlayerValues!E:E,0)),"N/A")</f>
        <v>17243</v>
      </c>
      <c r="B981" s="4" t="s">
        <v>810</v>
      </c>
      <c r="C981" s="4" t="s">
        <v>298</v>
      </c>
      <c r="D981" s="94">
        <v>931.0</v>
      </c>
    </row>
    <row r="982">
      <c r="A982" s="40">
        <f t="array" ref="A982">IFNA(index(PlayerValues!A:A,match(IFNA(vlookup(B982,'Special Names'!A:B,2,FALSE),B982),PlayerValues!E:E,0)),"N/A")</f>
        <v>16413</v>
      </c>
      <c r="B982" s="4" t="s">
        <v>781</v>
      </c>
      <c r="C982" s="4" t="s">
        <v>287</v>
      </c>
      <c r="D982" s="94">
        <v>581.0</v>
      </c>
    </row>
    <row r="983">
      <c r="A983" s="40">
        <f t="array" ref="A983">IFNA(index(PlayerValues!A:A,match(IFNA(vlookup(B983,'Special Names'!A:B,2,FALSE),B983),PlayerValues!E:E,0)),"N/A")</f>
        <v>14358</v>
      </c>
      <c r="B983" s="4" t="s">
        <v>813</v>
      </c>
      <c r="C983" s="4" t="s">
        <v>283</v>
      </c>
      <c r="D983" s="94">
        <v>578.0</v>
      </c>
    </row>
    <row r="984">
      <c r="A984" s="40">
        <f t="array" ref="A984">IFNA(index(PlayerValues!A:A,match(IFNA(vlookup(B984,'Special Names'!A:B,2,FALSE),B984),PlayerValues!E:E,0)),"N/A")</f>
        <v>13763</v>
      </c>
      <c r="B984" s="4" t="s">
        <v>831</v>
      </c>
      <c r="C984" s="4" t="s">
        <v>298</v>
      </c>
      <c r="D984" s="94">
        <v>927.0</v>
      </c>
    </row>
    <row r="985">
      <c r="A985" s="40">
        <f t="array" ref="A985">IFNA(index(PlayerValues!A:A,match(IFNA(vlookup(B985,'Special Names'!A:B,2,FALSE),B985),PlayerValues!E:E,0)),"N/A")</f>
        <v>17545</v>
      </c>
      <c r="B985" s="4" t="s">
        <v>719</v>
      </c>
      <c r="C985" s="4" t="s">
        <v>298</v>
      </c>
      <c r="D985" s="94">
        <v>924.0</v>
      </c>
    </row>
    <row r="986">
      <c r="A986" s="40">
        <f t="array" ref="A986">IFNA(index(PlayerValues!A:A,match(IFNA(vlookup(B986,'Special Names'!A:B,2,FALSE),B986),PlayerValues!E:E,0)),"N/A")</f>
        <v>14875</v>
      </c>
      <c r="B986" s="4" t="s">
        <v>820</v>
      </c>
      <c r="C986" s="4" t="s">
        <v>298</v>
      </c>
      <c r="D986" s="94">
        <v>923.0</v>
      </c>
    </row>
    <row r="987">
      <c r="A987" s="40">
        <f t="array" ref="A987">IFNA(index(PlayerValues!A:A,match(IFNA(vlookup(B987,'Special Names'!A:B,2,FALSE),B987),PlayerValues!E:E,0)),"N/A")</f>
        <v>12187</v>
      </c>
      <c r="B987" s="4" t="s">
        <v>832</v>
      </c>
      <c r="C987" s="4" t="s">
        <v>287</v>
      </c>
      <c r="D987" s="94">
        <v>572.0</v>
      </c>
    </row>
    <row r="988">
      <c r="A988" s="40">
        <f t="array" ref="A988">IFNA(index(PlayerValues!A:A,match(IFNA(vlookup(B988,'Special Names'!A:B,2,FALSE),B988),PlayerValues!E:E,0)),"N/A")</f>
        <v>15285</v>
      </c>
      <c r="B988" s="4" t="s">
        <v>792</v>
      </c>
      <c r="C988" s="4" t="s">
        <v>287</v>
      </c>
      <c r="D988" s="94">
        <v>572.0</v>
      </c>
    </row>
    <row r="989">
      <c r="A989" s="40">
        <f t="array" ref="A989">IFNA(index(PlayerValues!A:A,match(IFNA(vlookup(B989,'Special Names'!A:B,2,FALSE),B989),PlayerValues!E:E,0)),"N/A")</f>
        <v>16613</v>
      </c>
      <c r="B989" s="4" t="s">
        <v>782</v>
      </c>
      <c r="C989" s="4" t="s">
        <v>278</v>
      </c>
      <c r="D989" s="94">
        <v>572.0</v>
      </c>
    </row>
    <row r="990">
      <c r="A990" s="40">
        <f t="array" ref="A990">IFNA(index(PlayerValues!A:A,match(IFNA(vlookup(B990,'Special Names'!A:B,2,FALSE),B990),PlayerValues!E:E,0)),"N/A")</f>
        <v>17282</v>
      </c>
      <c r="B990" s="4" t="s">
        <v>833</v>
      </c>
      <c r="C990" s="4" t="s">
        <v>283</v>
      </c>
      <c r="D990" s="94">
        <v>572.0</v>
      </c>
    </row>
    <row r="991">
      <c r="A991" s="40">
        <f t="array" ref="A991">IFNA(index(PlayerValues!A:A,match(IFNA(vlookup(B991,'Special Names'!A:B,2,FALSE),B991),PlayerValues!E:E,0)),"N/A")</f>
        <v>14239</v>
      </c>
      <c r="B991" s="4" t="s">
        <v>824</v>
      </c>
      <c r="C991" s="4" t="s">
        <v>298</v>
      </c>
      <c r="D991" s="94">
        <v>924.0</v>
      </c>
    </row>
    <row r="992">
      <c r="A992" s="40">
        <f t="array" ref="A992">IFNA(index(PlayerValues!A:A,match(IFNA(vlookup(B992,'Special Names'!A:B,2,FALSE),B992),PlayerValues!E:E,0)),"N/A")</f>
        <v>17521</v>
      </c>
      <c r="B992" s="4" t="s">
        <v>573</v>
      </c>
      <c r="C992" s="4" t="s">
        <v>287</v>
      </c>
      <c r="D992" s="94">
        <v>454.0</v>
      </c>
    </row>
    <row r="993">
      <c r="A993" s="40">
        <f t="array" ref="A993">IFNA(index(PlayerValues!A:A,match(IFNA(vlookup(B993,'Special Names'!A:B,2,FALSE),B993),PlayerValues!E:E,0)),"N/A")</f>
        <v>17548</v>
      </c>
      <c r="B993" s="4" t="s">
        <v>594</v>
      </c>
      <c r="C993" s="4" t="s">
        <v>298</v>
      </c>
      <c r="D993" s="94">
        <v>781.0</v>
      </c>
    </row>
    <row r="994">
      <c r="A994" s="40">
        <f t="array" ref="A994">IFNA(index(PlayerValues!A:A,match(IFNA(vlookup(B994,'Special Names'!A:B,2,FALSE),B994),PlayerValues!E:E,0)),"N/A")</f>
        <v>17529</v>
      </c>
      <c r="B994" s="4" t="s">
        <v>608</v>
      </c>
      <c r="C994" s="4" t="s">
        <v>287</v>
      </c>
      <c r="D994" s="94">
        <v>352.0</v>
      </c>
    </row>
    <row r="995">
      <c r="A995" s="40">
        <f t="array" ref="A995">IFNA(index(PlayerValues!A:A,match(IFNA(vlookup(B995,'Special Names'!A:B,2,FALSE),B995),PlayerValues!E:E,0)),"N/A")</f>
        <v>17607</v>
      </c>
      <c r="B995" s="4" t="s">
        <v>526</v>
      </c>
      <c r="C995" s="4" t="s">
        <v>298</v>
      </c>
      <c r="D995" s="94">
        <v>676.0</v>
      </c>
    </row>
    <row r="996">
      <c r="A996" s="40">
        <f t="array" ref="A996">IFNA(index(PlayerValues!A:A,match(IFNA(vlookup(B996,'Special Names'!A:B,2,FALSE),B996),PlayerValues!E:E,0)),"N/A")</f>
        <v>17599</v>
      </c>
      <c r="B996" s="4" t="s">
        <v>496</v>
      </c>
      <c r="C996" s="4" t="s">
        <v>287</v>
      </c>
      <c r="D996" s="94">
        <v>224.0</v>
      </c>
    </row>
    <row r="997">
      <c r="A997" s="40">
        <f t="array" ref="A997">IFNA(index(PlayerValues!A:A,match(IFNA(vlookup(B997,'Special Names'!A:B,2,FALSE),B997),PlayerValues!E:E,0)),"N/A")</f>
        <v>17549</v>
      </c>
      <c r="B997" s="4" t="s">
        <v>720</v>
      </c>
      <c r="C997" s="4" t="s">
        <v>298</v>
      </c>
      <c r="D997" s="94">
        <v>651.0</v>
      </c>
    </row>
    <row r="998">
      <c r="A998" s="40">
        <f t="array" ref="A998">IFNA(index(PlayerValues!A:A,match(IFNA(vlookup(B998,'Special Names'!A:B,2,FALSE),B998),PlayerValues!E:E,0)),"N/A")</f>
        <v>17685</v>
      </c>
      <c r="B998" s="4" t="s">
        <v>630</v>
      </c>
      <c r="C998" s="4" t="s">
        <v>278</v>
      </c>
      <c r="D998" s="94">
        <v>212.0</v>
      </c>
    </row>
    <row r="999">
      <c r="A999" s="40">
        <f t="array" ref="A999">IFNA(index(PlayerValues!A:A,match(IFNA(vlookup(B999,'Special Names'!A:B,2,FALSE),B999),PlayerValues!E:E,0)),"N/A")</f>
        <v>17654</v>
      </c>
      <c r="B999" s="4" t="s">
        <v>767</v>
      </c>
      <c r="C999" s="4" t="s">
        <v>283</v>
      </c>
      <c r="D999" s="94">
        <v>123.0</v>
      </c>
    </row>
    <row r="1000">
      <c r="A1000" s="40">
        <f t="array" ref="A1000">IFNA(index(PlayerValues!A:A,match(IFNA(vlookup(B1000,'Special Names'!A:B,2,FALSE),B1000),PlayerValues!E:E,0)),"N/A")</f>
        <v>17591</v>
      </c>
      <c r="B1000" s="4" t="s">
        <v>834</v>
      </c>
      <c r="C1000" s="4" t="s">
        <v>298</v>
      </c>
      <c r="D1000" s="94">
        <v>541.0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9999.0</v>
      </c>
    </row>
    <row r="1002">
      <c r="A1002" s="40">
        <f t="array" ref="A1002">IFNA(index(PlayerValues!A:A,match(IFNA(vlookup(B1002,'Special Names'!A:B,2,FALSE),B1002),PlayerValues!E:E,0)),"N/A")</f>
        <v>16161</v>
      </c>
      <c r="B1002" s="4" t="s">
        <v>277</v>
      </c>
      <c r="C1002" s="4" t="s">
        <v>278</v>
      </c>
      <c r="D1002" s="94">
        <v>9992.0</v>
      </c>
    </row>
    <row r="1003">
      <c r="A1003" s="40">
        <f t="array" ref="A1003">IFNA(index(PlayerValues!A:A,match(IFNA(vlookup(B1003,'Special Names'!A:B,2,FALSE),B1003),PlayerValues!E:E,0)),"N/A")</f>
        <v>15281</v>
      </c>
      <c r="B1003" s="4" t="s">
        <v>286</v>
      </c>
      <c r="C1003" s="4" t="s">
        <v>287</v>
      </c>
      <c r="D1003" s="94">
        <v>9893.0</v>
      </c>
    </row>
    <row r="1004">
      <c r="A1004" s="40">
        <f t="array" ref="A1004">IFNA(index(PlayerValues!A:A,match(IFNA(vlookup(B1004,'Special Names'!A:B,2,FALSE),B1004),PlayerValues!E:E,0)),"N/A")</f>
        <v>16185</v>
      </c>
      <c r="B1004" s="4" t="s">
        <v>290</v>
      </c>
      <c r="C1004" s="4" t="s">
        <v>287</v>
      </c>
      <c r="D1004" s="94">
        <v>9873.0</v>
      </c>
    </row>
    <row r="1005">
      <c r="A1005" s="40">
        <f t="array" ref="A1005">IFNA(index(PlayerValues!A:A,match(IFNA(vlookup(B1005,'Special Names'!A:B,2,FALSE),B1005),PlayerValues!E:E,0)),"N/A")</f>
        <v>16162</v>
      </c>
      <c r="B1005" s="4" t="s">
        <v>281</v>
      </c>
      <c r="C1005" s="4" t="s">
        <v>278</v>
      </c>
      <c r="D1005" s="94">
        <v>9605.0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9504.0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8579.0</v>
      </c>
    </row>
    <row r="1008">
      <c r="A1008" s="40">
        <f t="array" ref="A1008">IFNA(index(PlayerValues!A:A,match(IFNA(vlookup(B1008,'Special Names'!A:B,2,FALSE),B1008),PlayerValues!E:E,0)),"N/A")</f>
        <v>16641</v>
      </c>
      <c r="B1008" s="4" t="s">
        <v>297</v>
      </c>
      <c r="C1008" s="4" t="s">
        <v>298</v>
      </c>
      <c r="D1008" s="94">
        <v>8802.0</v>
      </c>
    </row>
    <row r="1009">
      <c r="A1009" s="40">
        <f t="array" ref="A1009">IFNA(index(PlayerValues!A:A,match(IFNA(vlookup(B1009,'Special Names'!A:B,2,FALSE),B1009),PlayerValues!E:E,0)),"N/A")</f>
        <v>16581</v>
      </c>
      <c r="B1009" s="4" t="s">
        <v>315</v>
      </c>
      <c r="C1009" s="4" t="s">
        <v>283</v>
      </c>
      <c r="D1009" s="94">
        <v>7866.0</v>
      </c>
    </row>
    <row r="1010">
      <c r="A1010" s="40">
        <f t="array" ref="A1010">IFNA(index(PlayerValues!A:A,match(IFNA(vlookup(B1010,'Special Names'!A:B,2,FALSE),B1010),PlayerValues!E:E,0)),"N/A")</f>
        <v>16615</v>
      </c>
      <c r="B1010" s="4" t="s">
        <v>309</v>
      </c>
      <c r="C1010" s="4" t="s">
        <v>287</v>
      </c>
      <c r="D1010" s="94">
        <v>7852.0</v>
      </c>
    </row>
    <row r="1011">
      <c r="A1011" s="40">
        <f t="array" ref="A1011">IFNA(index(PlayerValues!A:A,match(IFNA(vlookup(B1011,'Special Names'!A:B,2,FALSE),B1011),PlayerValues!E:E,0)),"N/A")</f>
        <v>16579</v>
      </c>
      <c r="B1011" s="4" t="s">
        <v>302</v>
      </c>
      <c r="C1011" s="4" t="s">
        <v>283</v>
      </c>
      <c r="D1011" s="94">
        <v>7796.0</v>
      </c>
    </row>
    <row r="1012">
      <c r="A1012" s="40">
        <f t="array" ref="A1012">IFNA(index(PlayerValues!A:A,match(IFNA(vlookup(B1012,'Special Names'!A:B,2,FALSE),B1012),PlayerValues!E:E,0)),"N/A")</f>
        <v>14836</v>
      </c>
      <c r="B1012" s="4" t="s">
        <v>306</v>
      </c>
      <c r="C1012" s="4" t="s">
        <v>287</v>
      </c>
      <c r="D1012" s="94">
        <v>7772.0</v>
      </c>
    </row>
    <row r="1013">
      <c r="A1013" s="40">
        <f t="array" ref="A1013">IFNA(index(PlayerValues!A:A,match(IFNA(vlookup(B1013,'Special Names'!A:B,2,FALSE),B1013),PlayerValues!E:E,0)),"N/A")</f>
        <v>15287</v>
      </c>
      <c r="B1013" s="4" t="s">
        <v>299</v>
      </c>
      <c r="C1013" s="4" t="s">
        <v>287</v>
      </c>
      <c r="D1013" s="94">
        <v>7693.0</v>
      </c>
    </row>
    <row r="1014">
      <c r="A1014" s="40">
        <f t="array" ref="A1014">IFNA(index(PlayerValues!A:A,match(IFNA(vlookup(B1014,'Special Names'!A:B,2,FALSE),B1014),PlayerValues!E:E,0)),"N/A")</f>
        <v>13593</v>
      </c>
      <c r="B1014" s="4" t="s">
        <v>305</v>
      </c>
      <c r="C1014" s="4" t="s">
        <v>283</v>
      </c>
      <c r="D1014" s="94">
        <v>7671.0</v>
      </c>
    </row>
    <row r="1015">
      <c r="A1015" s="40">
        <f t="array" ref="A1015">IFNA(index(PlayerValues!A:A,match(IFNA(vlookup(B1015,'Special Names'!A:B,2,FALSE),B1015),PlayerValues!E:E,0)),"N/A")</f>
        <v>17472</v>
      </c>
      <c r="B1015" s="4" t="s">
        <v>310</v>
      </c>
      <c r="C1015" s="4" t="s">
        <v>278</v>
      </c>
      <c r="D1015" s="94">
        <v>7586.0</v>
      </c>
    </row>
    <row r="1016">
      <c r="A1016" s="40">
        <f t="array" ref="A1016">IFNA(index(PlayerValues!A:A,match(IFNA(vlookup(B1016,'Special Names'!A:B,2,FALSE),B1016),PlayerValues!E:E,0)),"N/A")</f>
        <v>17042</v>
      </c>
      <c r="B1016" s="4" t="s">
        <v>314</v>
      </c>
      <c r="C1016" s="4" t="s">
        <v>278</v>
      </c>
      <c r="D1016" s="94">
        <v>7569.0</v>
      </c>
    </row>
    <row r="1017">
      <c r="A1017" s="40">
        <f t="array" ref="A1017">IFNA(index(PlayerValues!A:A,match(IFNA(vlookup(B1017,'Special Names'!A:B,2,FALSE),B1017),PlayerValues!E:E,0)),"N/A")</f>
        <v>15794</v>
      </c>
      <c r="B1017" s="4" t="s">
        <v>313</v>
      </c>
      <c r="C1017" s="4" t="s">
        <v>298</v>
      </c>
      <c r="D1017" s="94">
        <v>8371.0</v>
      </c>
    </row>
    <row r="1018">
      <c r="A1018" s="40">
        <f t="array" ref="A1018">IFNA(index(PlayerValues!A:A,match(IFNA(vlookup(B1018,'Special Names'!A:B,2,FALSE),B1018),PlayerValues!E:E,0)),"N/A")</f>
        <v>14777</v>
      </c>
      <c r="B1018" s="4" t="s">
        <v>318</v>
      </c>
      <c r="C1018" s="4" t="s">
        <v>283</v>
      </c>
      <c r="D1018" s="94">
        <v>7544.0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7315.0</v>
      </c>
    </row>
    <row r="1020">
      <c r="A1020" s="40" t="str">
        <f t="array" ref="A1020">IFNA(index(PlayerValues!A:A,match(IFNA(vlookup(B1020,'Special Names'!A:B,2,FALSE),B1020),PlayerValues!E:E,0)),"N/A")</f>
        <v>N/A</v>
      </c>
      <c r="B1020" s="4" t="s">
        <v>92</v>
      </c>
      <c r="C1020" s="4" t="s">
        <v>325</v>
      </c>
      <c r="D1020" s="94">
        <v>7022.0</v>
      </c>
    </row>
    <row r="1021">
      <c r="A1021" s="40">
        <f t="array" ref="A1021">IFNA(index(PlayerValues!A:A,match(IFNA(vlookup(B1021,'Special Names'!A:B,2,FALSE),B1021),PlayerValues!E:E,0)),"N/A")</f>
        <v>15751</v>
      </c>
      <c r="B1021" s="4" t="s">
        <v>328</v>
      </c>
      <c r="C1021" s="4" t="s">
        <v>287</v>
      </c>
      <c r="D1021" s="94">
        <v>6916.0</v>
      </c>
    </row>
    <row r="1022">
      <c r="A1022" s="40">
        <f t="array" ref="A1022">IFNA(index(PlayerValues!A:A,match(IFNA(vlookup(B1022,'Special Names'!A:B,2,FALSE),B1022),PlayerValues!E:E,0)),"N/A")</f>
        <v>16167</v>
      </c>
      <c r="B1022" s="4" t="s">
        <v>323</v>
      </c>
      <c r="C1022" s="4" t="s">
        <v>278</v>
      </c>
      <c r="D1022" s="94">
        <v>6862.0</v>
      </c>
    </row>
    <row r="1023">
      <c r="A1023" s="40">
        <f t="array" ref="A1023">IFNA(index(PlayerValues!A:A,match(IFNA(vlookup(B1023,'Special Names'!A:B,2,FALSE),B1023),PlayerValues!E:E,0)),"N/A")</f>
        <v>13116</v>
      </c>
      <c r="B1023" s="4" t="s">
        <v>345</v>
      </c>
      <c r="C1023" s="4" t="s">
        <v>283</v>
      </c>
      <c r="D1023" s="94">
        <v>6837.0</v>
      </c>
    </row>
    <row r="1024">
      <c r="A1024" s="40">
        <f t="array" ref="A1024">IFNA(index(PlayerValues!A:A,match(IFNA(vlookup(B1024,'Special Names'!A:B,2,FALSE),B1024),PlayerValues!E:E,0)),"N/A")</f>
        <v>14779</v>
      </c>
      <c r="B1024" s="4" t="s">
        <v>327</v>
      </c>
      <c r="C1024" s="4" t="s">
        <v>283</v>
      </c>
      <c r="D1024" s="94">
        <v>6796.0</v>
      </c>
    </row>
    <row r="1025">
      <c r="A1025" s="40">
        <f t="array" ref="A1025">IFNA(index(PlayerValues!A:A,match(IFNA(vlookup(B1025,'Special Names'!A:B,2,FALSE),B1025),PlayerValues!E:E,0)),"N/A")</f>
        <v>17044</v>
      </c>
      <c r="B1025" s="4" t="s">
        <v>322</v>
      </c>
      <c r="C1025" s="4" t="s">
        <v>278</v>
      </c>
      <c r="D1025" s="94">
        <v>6694.0</v>
      </c>
    </row>
    <row r="1026">
      <c r="A1026" s="40">
        <f t="array" ref="A1026">IFNA(index(PlayerValues!A:A,match(IFNA(vlookup(B1026,'Special Names'!A:B,2,FALSE),B1026),PlayerValues!E:E,0)),"N/A")</f>
        <v>17032</v>
      </c>
      <c r="B1026" s="4" t="s">
        <v>348</v>
      </c>
      <c r="C1026" s="4" t="s">
        <v>283</v>
      </c>
      <c r="D1026" s="94">
        <v>6632.0</v>
      </c>
    </row>
    <row r="1027">
      <c r="A1027" s="40">
        <f t="array" ref="A1027">IFNA(index(PlayerValues!A:A,match(IFNA(vlookup(B1027,'Special Names'!A:B,2,FALSE),B1027),PlayerValues!E:E,0)),"N/A")</f>
        <v>17071</v>
      </c>
      <c r="B1027" s="4" t="s">
        <v>341</v>
      </c>
      <c r="C1027" s="4" t="s">
        <v>287</v>
      </c>
      <c r="D1027" s="94">
        <v>6627.0</v>
      </c>
    </row>
    <row r="1028">
      <c r="A1028" s="40">
        <f t="array" ref="A1028">IFNA(index(PlayerValues!A:A,match(IFNA(vlookup(B1028,'Special Names'!A:B,2,FALSE),B1028),PlayerValues!E:E,0)),"N/A")</f>
        <v>16582</v>
      </c>
      <c r="B1028" s="4" t="s">
        <v>343</v>
      </c>
      <c r="C1028" s="4" t="s">
        <v>283</v>
      </c>
      <c r="D1028" s="94">
        <v>6232.0</v>
      </c>
    </row>
    <row r="1029">
      <c r="A1029" s="40">
        <f t="array" ref="A1029">IFNA(index(PlayerValues!A:A,match(IFNA(vlookup(B1029,'Special Names'!A:B,2,FALSE),B1029),PlayerValues!E:E,0)),"N/A")</f>
        <v>15237</v>
      </c>
      <c r="B1029" s="4" t="s">
        <v>336</v>
      </c>
      <c r="C1029" s="4" t="s">
        <v>283</v>
      </c>
      <c r="D1029" s="94">
        <v>6220.0</v>
      </c>
    </row>
    <row r="1030">
      <c r="A1030" s="40">
        <f t="array" ref="A1030">IFNA(index(PlayerValues!A:A,match(IFNA(vlookup(B1030,'Special Names'!A:B,2,FALSE),B1030),PlayerValues!E:E,0)),"N/A")</f>
        <v>14783</v>
      </c>
      <c r="B1030" s="4" t="s">
        <v>342</v>
      </c>
      <c r="C1030" s="4" t="s">
        <v>283</v>
      </c>
      <c r="D1030" s="94">
        <v>6146.0</v>
      </c>
    </row>
    <row r="1031">
      <c r="A1031" s="40">
        <f t="array" ref="A1031">IFNA(index(PlayerValues!A:A,match(IFNA(vlookup(B1031,'Special Names'!A:B,2,FALSE),B1031),PlayerValues!E:E,0)),"N/A")</f>
        <v>15715</v>
      </c>
      <c r="B1031" s="4" t="s">
        <v>331</v>
      </c>
      <c r="C1031" s="4" t="s">
        <v>278</v>
      </c>
      <c r="D1031" s="94">
        <v>6124.0</v>
      </c>
    </row>
    <row r="1032">
      <c r="A1032" s="40">
        <f t="array" ref="A1032">IFNA(index(PlayerValues!A:A,match(IFNA(vlookup(B1032,'Special Names'!A:B,2,FALSE),B1032),PlayerValues!E:E,0)),"N/A")</f>
        <v>17081</v>
      </c>
      <c r="B1032" s="4" t="s">
        <v>340</v>
      </c>
      <c r="C1032" s="4" t="s">
        <v>287</v>
      </c>
      <c r="D1032" s="94">
        <v>6117.0</v>
      </c>
    </row>
    <row r="1033">
      <c r="A1033" s="40">
        <f t="array" ref="A1033">IFNA(index(PlayerValues!A:A,match(IFNA(vlookup(B1033,'Special Names'!A:B,2,FALSE),B1033),PlayerValues!E:E,0)),"N/A")</f>
        <v>17104</v>
      </c>
      <c r="B1033" s="4" t="s">
        <v>333</v>
      </c>
      <c r="C1033" s="4" t="s">
        <v>298</v>
      </c>
      <c r="D1033" s="94">
        <v>6766.0</v>
      </c>
    </row>
    <row r="1034">
      <c r="A1034" s="40">
        <f t="array" ref="A1034">IFNA(index(PlayerValues!A:A,match(IFNA(vlookup(B1034,'Special Names'!A:B,2,FALSE),B1034),PlayerValues!E:E,0)),"N/A")</f>
        <v>14802</v>
      </c>
      <c r="B1034" s="4" t="s">
        <v>332</v>
      </c>
      <c r="C1034" s="4" t="s">
        <v>278</v>
      </c>
      <c r="D1034" s="94">
        <v>6033.0</v>
      </c>
    </row>
    <row r="1035">
      <c r="A1035" s="40">
        <f t="array" ref="A1035">IFNA(index(PlayerValues!A:A,match(IFNA(vlookup(B1035,'Special Names'!A:B,2,FALSE),B1035),PlayerValues!E:E,0)),"N/A")</f>
        <v>15762</v>
      </c>
      <c r="B1035" s="4" t="s">
        <v>337</v>
      </c>
      <c r="C1035" s="4" t="s">
        <v>287</v>
      </c>
      <c r="D1035" s="94">
        <v>5970.0</v>
      </c>
    </row>
    <row r="1036">
      <c r="A1036" s="40">
        <f t="array" ref="A1036">IFNA(index(PlayerValues!A:A,match(IFNA(vlookup(B1036,'Special Names'!A:B,2,FALSE),B1036),PlayerValues!E:E,0)),"N/A")</f>
        <v>15698</v>
      </c>
      <c r="B1036" s="4" t="s">
        <v>358</v>
      </c>
      <c r="C1036" s="4" t="s">
        <v>283</v>
      </c>
      <c r="D1036" s="94">
        <v>5895.0</v>
      </c>
    </row>
    <row r="1037">
      <c r="A1037" s="40">
        <f t="array" ref="A1037">IFNA(index(PlayerValues!A:A,match(IFNA(vlookup(B1037,'Special Names'!A:B,2,FALSE),B1037),PlayerValues!E:E,0)),"N/A")</f>
        <v>15753</v>
      </c>
      <c r="B1037" s="4" t="s">
        <v>359</v>
      </c>
      <c r="C1037" s="4" t="s">
        <v>287</v>
      </c>
      <c r="D1037" s="94">
        <v>5736.0</v>
      </c>
    </row>
    <row r="1038">
      <c r="A1038" s="40">
        <f t="array" ref="A1038">IFNA(index(PlayerValues!A:A,match(IFNA(vlookup(B1038,'Special Names'!A:B,2,FALSE),B1038),PlayerValues!E:E,0)),"N/A")</f>
        <v>17102</v>
      </c>
      <c r="B1038" s="4" t="s">
        <v>344</v>
      </c>
      <c r="C1038" s="4" t="s">
        <v>298</v>
      </c>
      <c r="D1038" s="94">
        <v>6376.0</v>
      </c>
    </row>
    <row r="1039">
      <c r="A1039" s="40">
        <f t="array" ref="A1039">IFNA(index(PlayerValues!A:A,match(IFNA(vlookup(B1039,'Special Names'!A:B,2,FALSE),B1039),PlayerValues!E:E,0)),"N/A")</f>
        <v>17497</v>
      </c>
      <c r="B1039" s="4" t="s">
        <v>365</v>
      </c>
      <c r="C1039" s="4" t="s">
        <v>287</v>
      </c>
      <c r="D1039" s="94">
        <v>5692.0</v>
      </c>
    </row>
    <row r="1040">
      <c r="A1040" s="40" t="str">
        <f t="array" ref="A1040">IFNA(index(PlayerValues!A:A,match(IFNA(vlookup(B1040,'Special Names'!A:B,2,FALSE),B1040),PlayerValues!E:E,0)),"N/A")</f>
        <v>N/A</v>
      </c>
      <c r="B1040" s="4" t="s">
        <v>79</v>
      </c>
      <c r="C1040" s="4" t="s">
        <v>325</v>
      </c>
      <c r="D1040" s="94">
        <v>5668.0</v>
      </c>
    </row>
    <row r="1041">
      <c r="A1041" s="40">
        <f t="array" ref="A1041">IFNA(index(PlayerValues!A:A,match(IFNA(vlookup(B1041,'Special Names'!A:B,2,FALSE),B1041),PlayerValues!E:E,0)),"N/A")</f>
        <v>17462</v>
      </c>
      <c r="B1041" s="4" t="s">
        <v>375</v>
      </c>
      <c r="C1041" s="4" t="s">
        <v>283</v>
      </c>
      <c r="D1041" s="94">
        <v>5649.0</v>
      </c>
    </row>
    <row r="1042">
      <c r="A1042" s="40">
        <f t="array" ref="A1042">IFNA(index(PlayerValues!A:A,match(IFNA(vlookup(B1042,'Special Names'!A:B,2,FALSE),B1042),PlayerValues!E:E,0)),"N/A")</f>
        <v>15290</v>
      </c>
      <c r="B1042" s="4" t="s">
        <v>355</v>
      </c>
      <c r="C1042" s="4" t="s">
        <v>287</v>
      </c>
      <c r="D1042" s="94">
        <v>5638.0</v>
      </c>
    </row>
    <row r="1043">
      <c r="A1043" s="40">
        <f t="array" ref="A1043">IFNA(index(PlayerValues!A:A,match(IFNA(vlookup(B1043,'Special Names'!A:B,2,FALSE),B1043),PlayerValues!E:E,0)),"N/A")</f>
        <v>14782</v>
      </c>
      <c r="B1043" s="4" t="s">
        <v>385</v>
      </c>
      <c r="C1043" s="4" t="s">
        <v>283</v>
      </c>
      <c r="D1043" s="94">
        <v>5637.0</v>
      </c>
    </row>
    <row r="1044">
      <c r="A1044" s="40">
        <f t="array" ref="A1044">IFNA(index(PlayerValues!A:A,match(IFNA(vlookup(B1044,'Special Names'!A:B,2,FALSE),B1044),PlayerValues!E:E,0)),"N/A")</f>
        <v>15754</v>
      </c>
      <c r="B1044" s="4" t="s">
        <v>354</v>
      </c>
      <c r="C1044" s="4" t="s">
        <v>287</v>
      </c>
      <c r="D1044" s="94">
        <v>5618.0</v>
      </c>
    </row>
    <row r="1045">
      <c r="A1045" s="40" t="str">
        <f t="array" ref="A1045">IFNA(index(PlayerValues!A:A,match(IFNA(vlookup(B1045,'Special Names'!A:B,2,FALSE),B1045),PlayerValues!E:E,0)),"N/A")</f>
        <v>N/A</v>
      </c>
      <c r="B1045" s="4" t="s">
        <v>93</v>
      </c>
      <c r="C1045" s="4" t="s">
        <v>325</v>
      </c>
      <c r="D1045" s="94">
        <v>5577.0</v>
      </c>
    </row>
    <row r="1046">
      <c r="A1046" s="40">
        <f t="array" ref="A1046">IFNA(index(PlayerValues!A:A,match(IFNA(vlookup(B1046,'Special Names'!A:B,2,FALSE),B1046),PlayerValues!E:E,0)),"N/A")</f>
        <v>15711</v>
      </c>
      <c r="B1046" s="4" t="s">
        <v>349</v>
      </c>
      <c r="C1046" s="4" t="s">
        <v>278</v>
      </c>
      <c r="D1046" s="94">
        <v>5531.0</v>
      </c>
    </row>
    <row r="1047">
      <c r="A1047" s="40">
        <f t="array" ref="A1047">IFNA(index(PlayerValues!A:A,match(IFNA(vlookup(B1047,'Special Names'!A:B,2,FALSE),B1047),PlayerValues!E:E,0)),"N/A")</f>
        <v>17043</v>
      </c>
      <c r="B1047" s="4" t="s">
        <v>397</v>
      </c>
      <c r="C1047" s="4" t="s">
        <v>278</v>
      </c>
      <c r="D1047" s="94">
        <v>5477.0</v>
      </c>
    </row>
    <row r="1048">
      <c r="A1048" s="40">
        <f t="array" ref="A1048">IFNA(index(PlayerValues!A:A,match(IFNA(vlookup(B1048,'Special Names'!A:B,2,FALSE),B1048),PlayerValues!E:E,0)),"N/A")</f>
        <v>17051</v>
      </c>
      <c r="B1048" s="4" t="s">
        <v>386</v>
      </c>
      <c r="C1048" s="4" t="s">
        <v>278</v>
      </c>
      <c r="D1048" s="94">
        <v>5458.0</v>
      </c>
    </row>
    <row r="1049">
      <c r="A1049" s="40">
        <f t="array" ref="A1049">IFNA(index(PlayerValues!A:A,match(IFNA(vlookup(B1049,'Special Names'!A:B,2,FALSE),B1049),PlayerValues!E:E,0)),"N/A")</f>
        <v>16627</v>
      </c>
      <c r="B1049" s="4" t="s">
        <v>351</v>
      </c>
      <c r="C1049" s="4" t="s">
        <v>287</v>
      </c>
      <c r="D1049" s="94">
        <v>5397.0</v>
      </c>
    </row>
    <row r="1050">
      <c r="A1050" s="40">
        <f t="array" ref="A1050">IFNA(index(PlayerValues!A:A,match(IFNA(vlookup(B1050,'Special Names'!A:B,2,FALSE),B1050),PlayerValues!E:E,0)),"N/A")</f>
        <v>16616</v>
      </c>
      <c r="B1050" s="4" t="s">
        <v>389</v>
      </c>
      <c r="C1050" s="4" t="s">
        <v>287</v>
      </c>
      <c r="D1050" s="94">
        <v>5357.0</v>
      </c>
    </row>
    <row r="1051">
      <c r="A1051" s="40">
        <f t="array" ref="A1051">IFNA(index(PlayerValues!A:A,match(IFNA(vlookup(B1051,'Special Names'!A:B,2,FALSE),B1051),PlayerValues!E:E,0)),"N/A")</f>
        <v>15708</v>
      </c>
      <c r="B1051" s="4" t="s">
        <v>382</v>
      </c>
      <c r="C1051" s="4" t="s">
        <v>278</v>
      </c>
      <c r="D1051" s="94">
        <v>5279.0</v>
      </c>
    </row>
    <row r="1052">
      <c r="A1052" s="40">
        <f t="array" ref="A1052">IFNA(index(PlayerValues!A:A,match(IFNA(vlookup(B1052,'Special Names'!A:B,2,FALSE),B1052),PlayerValues!E:E,0)),"N/A")</f>
        <v>17070</v>
      </c>
      <c r="B1052" s="4" t="s">
        <v>370</v>
      </c>
      <c r="C1052" s="4" t="s">
        <v>287</v>
      </c>
      <c r="D1052" s="94">
        <v>5278.0</v>
      </c>
    </row>
    <row r="1053">
      <c r="A1053" s="40">
        <f t="array" ref="A1053">IFNA(index(PlayerValues!A:A,match(IFNA(vlookup(B1053,'Special Names'!A:B,2,FALSE),B1053),PlayerValues!E:E,0)),"N/A")</f>
        <v>17030</v>
      </c>
      <c r="B1053" s="4" t="s">
        <v>406</v>
      </c>
      <c r="C1053" s="4" t="s">
        <v>283</v>
      </c>
      <c r="D1053" s="94">
        <v>5248.0</v>
      </c>
    </row>
    <row r="1054">
      <c r="A1054" s="40">
        <f t="array" ref="A1054">IFNA(index(PlayerValues!A:A,match(IFNA(vlookup(B1054,'Special Names'!A:B,2,FALSE),B1054),PlayerValues!E:E,0)),"N/A")</f>
        <v>17498</v>
      </c>
      <c r="B1054" s="4" t="s">
        <v>396</v>
      </c>
      <c r="C1054" s="4" t="s">
        <v>287</v>
      </c>
      <c r="D1054" s="94">
        <v>5211.0</v>
      </c>
    </row>
    <row r="1055">
      <c r="A1055" s="40">
        <f t="array" ref="A1055">IFNA(index(PlayerValues!A:A,match(IFNA(vlookup(B1055,'Special Names'!A:B,2,FALSE),B1055),PlayerValues!E:E,0)),"N/A")</f>
        <v>16194</v>
      </c>
      <c r="B1055" s="4" t="s">
        <v>398</v>
      </c>
      <c r="C1055" s="4" t="s">
        <v>287</v>
      </c>
      <c r="D1055" s="94">
        <v>5191.0</v>
      </c>
    </row>
    <row r="1056">
      <c r="A1056" s="40">
        <f t="array" ref="A1056">IFNA(index(PlayerValues!A:A,match(IFNA(vlookup(B1056,'Special Names'!A:B,2,FALSE),B1056),PlayerValues!E:E,0)),"N/A")</f>
        <v>15282</v>
      </c>
      <c r="B1056" s="4" t="s">
        <v>364</v>
      </c>
      <c r="C1056" s="4" t="s">
        <v>287</v>
      </c>
      <c r="D1056" s="94">
        <v>5158.0</v>
      </c>
    </row>
    <row r="1057">
      <c r="A1057" s="40">
        <f t="array" ref="A1057">IFNA(index(PlayerValues!A:A,match(IFNA(vlookup(B1057,'Special Names'!A:B,2,FALSE),B1057),PlayerValues!E:E,0)),"N/A")</f>
        <v>16614</v>
      </c>
      <c r="B1057" s="4" t="s">
        <v>403</v>
      </c>
      <c r="C1057" s="4" t="s">
        <v>287</v>
      </c>
      <c r="D1057" s="94">
        <v>5109.0</v>
      </c>
    </row>
    <row r="1058">
      <c r="A1058" s="40">
        <f t="array" ref="A1058">IFNA(index(PlayerValues!A:A,match(IFNA(vlookup(B1058,'Special Names'!A:B,2,FALSE),B1058),PlayerValues!E:E,0)),"N/A")</f>
        <v>17499</v>
      </c>
      <c r="B1058" s="4" t="s">
        <v>402</v>
      </c>
      <c r="C1058" s="4" t="s">
        <v>287</v>
      </c>
      <c r="D1058" s="94">
        <v>5081.0</v>
      </c>
    </row>
    <row r="1059">
      <c r="A1059" s="40">
        <f t="array" ref="A1059">IFNA(index(PlayerValues!A:A,match(IFNA(vlookup(B1059,'Special Names'!A:B,2,FALSE),B1059),PlayerValues!E:E,0)),"N/A")</f>
        <v>13130</v>
      </c>
      <c r="B1059" s="4" t="s">
        <v>374</v>
      </c>
      <c r="C1059" s="4" t="s">
        <v>278</v>
      </c>
      <c r="D1059" s="94">
        <v>4978.0</v>
      </c>
    </row>
    <row r="1060">
      <c r="A1060" s="40" t="str">
        <f t="array" ref="A1060">IFNA(index(PlayerValues!A:A,match(IFNA(vlookup(B1060,'Special Names'!A:B,2,FALSE),B1060),PlayerValues!E:E,0)),"N/A")</f>
        <v>N/A</v>
      </c>
      <c r="B1060" s="4" t="s">
        <v>104</v>
      </c>
      <c r="C1060" s="4" t="s">
        <v>325</v>
      </c>
      <c r="D1060" s="94">
        <v>4949.0</v>
      </c>
    </row>
    <row r="1061">
      <c r="A1061" s="40">
        <f t="array" ref="A1061">IFNA(index(PlayerValues!A:A,match(IFNA(vlookup(B1061,'Special Names'!A:B,2,FALSE),B1061),PlayerValues!E:E,0)),"N/A")</f>
        <v>16598</v>
      </c>
      <c r="B1061" s="4" t="s">
        <v>408</v>
      </c>
      <c r="C1061" s="4" t="s">
        <v>278</v>
      </c>
      <c r="D1061" s="94">
        <v>4931.0</v>
      </c>
    </row>
    <row r="1062">
      <c r="A1062" s="40">
        <f t="array" ref="A1062">IFNA(index(PlayerValues!A:A,match(IFNA(vlookup(B1062,'Special Names'!A:B,2,FALSE),B1062),PlayerValues!E:E,0)),"N/A")</f>
        <v>16618</v>
      </c>
      <c r="B1062" s="4" t="s">
        <v>411</v>
      </c>
      <c r="C1062" s="4" t="s">
        <v>287</v>
      </c>
      <c r="D1062" s="94">
        <v>4930.0</v>
      </c>
    </row>
    <row r="1063">
      <c r="A1063" s="40">
        <f t="array" ref="A1063">IFNA(index(PlayerValues!A:A,match(IFNA(vlookup(B1063,'Special Names'!A:B,2,FALSE),B1063),PlayerValues!E:E,0)),"N/A")</f>
        <v>12620</v>
      </c>
      <c r="B1063" s="4" t="s">
        <v>394</v>
      </c>
      <c r="C1063" s="4" t="s">
        <v>283</v>
      </c>
      <c r="D1063" s="94">
        <v>4918.0</v>
      </c>
    </row>
    <row r="1064">
      <c r="A1064" s="40">
        <f t="array" ref="A1064">IFNA(index(PlayerValues!A:A,match(IFNA(vlookup(B1064,'Special Names'!A:B,2,FALSE),B1064),PlayerValues!E:E,0)),"N/A")</f>
        <v>16150</v>
      </c>
      <c r="B1064" s="4" t="s">
        <v>414</v>
      </c>
      <c r="C1064" s="4" t="s">
        <v>283</v>
      </c>
      <c r="D1064" s="94">
        <v>4912.0</v>
      </c>
    </row>
    <row r="1065">
      <c r="A1065" s="40">
        <f t="array" ref="A1065">IFNA(index(PlayerValues!A:A,match(IFNA(vlookup(B1065,'Special Names'!A:B,2,FALSE),B1065),PlayerValues!E:E,0)),"N/A")</f>
        <v>17103</v>
      </c>
      <c r="B1065" s="4" t="s">
        <v>405</v>
      </c>
      <c r="C1065" s="4" t="s">
        <v>298</v>
      </c>
      <c r="D1065" s="94">
        <v>5477.0</v>
      </c>
    </row>
    <row r="1066">
      <c r="A1066" s="40">
        <f t="array" ref="A1066">IFNA(index(PlayerValues!A:A,match(IFNA(vlookup(B1066,'Special Names'!A:B,2,FALSE),B1066),PlayerValues!E:E,0)),"N/A")</f>
        <v>15284</v>
      </c>
      <c r="B1066" s="4" t="s">
        <v>390</v>
      </c>
      <c r="C1066" s="4" t="s">
        <v>287</v>
      </c>
      <c r="D1066" s="94">
        <v>4900.0</v>
      </c>
    </row>
    <row r="1067">
      <c r="A1067" s="40" t="str">
        <f t="array" ref="A1067">IFNA(index(PlayerValues!A:A,match(IFNA(vlookup(B1067,'Special Names'!A:B,2,FALSE),B1067),PlayerValues!E:E,0)),"N/A")</f>
        <v>N/A</v>
      </c>
      <c r="B1067" s="4" t="s">
        <v>94</v>
      </c>
      <c r="C1067" s="4" t="s">
        <v>325</v>
      </c>
      <c r="D1067" s="94">
        <v>4899.0</v>
      </c>
    </row>
    <row r="1068">
      <c r="A1068" s="40">
        <f t="array" ref="A1068">IFNA(index(PlayerValues!A:A,match(IFNA(vlookup(B1068,'Special Names'!A:B,2,FALSE),B1068),PlayerValues!E:E,0)),"N/A")</f>
        <v>14835</v>
      </c>
      <c r="B1068" s="4" t="s">
        <v>392</v>
      </c>
      <c r="C1068" s="4" t="s">
        <v>287</v>
      </c>
      <c r="D1068" s="94">
        <v>4895.0</v>
      </c>
    </row>
    <row r="1069">
      <c r="A1069" s="40">
        <f t="array" ref="A1069">IFNA(index(PlayerValues!A:A,match(IFNA(vlookup(B1069,'Special Names'!A:B,2,FALSE),B1069),PlayerValues!E:E,0)),"N/A")</f>
        <v>16181</v>
      </c>
      <c r="B1069" s="4" t="s">
        <v>350</v>
      </c>
      <c r="C1069" s="4" t="s">
        <v>278</v>
      </c>
      <c r="D1069" s="94">
        <v>4892.0</v>
      </c>
    </row>
    <row r="1070">
      <c r="A1070" s="40">
        <f t="array" ref="A1070">IFNA(index(PlayerValues!A:A,match(IFNA(vlookup(B1070,'Special Names'!A:B,2,FALSE),B1070),PlayerValues!E:E,0)),"N/A")</f>
        <v>13604</v>
      </c>
      <c r="B1070" s="4" t="s">
        <v>378</v>
      </c>
      <c r="C1070" s="4" t="s">
        <v>278</v>
      </c>
      <c r="D1070" s="94">
        <v>4883.0</v>
      </c>
    </row>
    <row r="1071">
      <c r="A1071" s="40">
        <f t="array" ref="A1071">IFNA(index(PlayerValues!A:A,match(IFNA(vlookup(B1071,'Special Names'!A:B,2,FALSE),B1071),PlayerValues!E:E,0)),"N/A")</f>
        <v>15710</v>
      </c>
      <c r="B1071" s="4" t="s">
        <v>395</v>
      </c>
      <c r="C1071" s="4" t="s">
        <v>278</v>
      </c>
      <c r="D1071" s="94">
        <v>4863.0</v>
      </c>
    </row>
    <row r="1072">
      <c r="A1072" s="40">
        <f t="array" ref="A1072">IFNA(index(PlayerValues!A:A,match(IFNA(vlookup(B1072,'Special Names'!A:B,2,FALSE),B1072),PlayerValues!E:E,0)),"N/A")</f>
        <v>14104</v>
      </c>
      <c r="B1072" s="4" t="s">
        <v>379</v>
      </c>
      <c r="C1072" s="4" t="s">
        <v>287</v>
      </c>
      <c r="D1072" s="94">
        <v>4848.0</v>
      </c>
    </row>
    <row r="1073">
      <c r="A1073" s="40">
        <f t="array" ref="A1073">IFNA(index(PlayerValues!A:A,match(IFNA(vlookup(B1073,'Special Names'!A:B,2,FALSE),B1073),PlayerValues!E:E,0)),"N/A")</f>
        <v>17039</v>
      </c>
      <c r="B1073" s="4" t="s">
        <v>400</v>
      </c>
      <c r="C1073" s="4" t="s">
        <v>283</v>
      </c>
      <c r="D1073" s="94">
        <v>4841.0</v>
      </c>
    </row>
    <row r="1074">
      <c r="A1074" s="40">
        <f t="array" ref="A1074">IFNA(index(PlayerValues!A:A,match(IFNA(vlookup(B1074,'Special Names'!A:B,2,FALSE),B1074),PlayerValues!E:E,0)),"N/A")</f>
        <v>13592</v>
      </c>
      <c r="B1074" s="4" t="s">
        <v>418</v>
      </c>
      <c r="C1074" s="4" t="s">
        <v>283</v>
      </c>
      <c r="D1074" s="94">
        <v>4812.0</v>
      </c>
    </row>
    <row r="1075">
      <c r="A1075" s="40">
        <f t="array" ref="A1075">IFNA(index(PlayerValues!A:A,match(IFNA(vlookup(B1075,'Special Names'!A:B,2,FALSE),B1075),PlayerValues!E:E,0)),"N/A")</f>
        <v>15756</v>
      </c>
      <c r="B1075" s="4" t="s">
        <v>399</v>
      </c>
      <c r="C1075" s="4" t="s">
        <v>287</v>
      </c>
      <c r="D1075" s="94">
        <v>4797.0</v>
      </c>
    </row>
    <row r="1076">
      <c r="A1076" s="40">
        <f t="array" ref="A1076">IFNA(index(PlayerValues!A:A,match(IFNA(vlookup(B1076,'Special Names'!A:B,2,FALSE),B1076),PlayerValues!E:E,0)),"N/A")</f>
        <v>16222</v>
      </c>
      <c r="B1076" s="4" t="s">
        <v>393</v>
      </c>
      <c r="C1076" s="4" t="s">
        <v>298</v>
      </c>
      <c r="D1076" s="94">
        <v>5323.0</v>
      </c>
    </row>
    <row r="1077">
      <c r="A1077" s="40">
        <f t="array" ref="A1077">IFNA(index(PlayerValues!A:A,match(IFNA(vlookup(B1077,'Special Names'!A:B,2,FALSE),B1077),PlayerValues!E:E,0)),"N/A")</f>
        <v>13590</v>
      </c>
      <c r="B1077" s="4" t="s">
        <v>409</v>
      </c>
      <c r="C1077" s="4" t="s">
        <v>283</v>
      </c>
      <c r="D1077" s="94">
        <v>4746.0</v>
      </c>
    </row>
    <row r="1078">
      <c r="A1078" s="40">
        <f t="array" ref="A1078">IFNA(index(PlayerValues!A:A,match(IFNA(vlookup(B1078,'Special Names'!A:B,2,FALSE),B1078),PlayerValues!E:E,0)),"N/A")</f>
        <v>12611</v>
      </c>
      <c r="B1078" s="4" t="s">
        <v>410</v>
      </c>
      <c r="C1078" s="4" t="s">
        <v>283</v>
      </c>
      <c r="D1078" s="94">
        <v>4670.0</v>
      </c>
    </row>
    <row r="1079">
      <c r="A1079" s="40">
        <f t="array" ref="A1079">IFNA(index(PlayerValues!A:A,match(IFNA(vlookup(B1079,'Special Names'!A:B,2,FALSE),B1079),PlayerValues!E:E,0)),"N/A")</f>
        <v>16190</v>
      </c>
      <c r="B1079" s="4" t="s">
        <v>371</v>
      </c>
      <c r="C1079" s="4" t="s">
        <v>287</v>
      </c>
      <c r="D1079" s="94">
        <v>4655.0</v>
      </c>
    </row>
    <row r="1080">
      <c r="A1080" s="40" t="str">
        <f t="array" ref="A1080">IFNA(index(PlayerValues!A:A,match(IFNA(vlookup(B1080,'Special Names'!A:B,2,FALSE),B1080),PlayerValues!E:E,0)),"N/A")</f>
        <v>N/A</v>
      </c>
      <c r="B1080" s="4" t="s">
        <v>80</v>
      </c>
      <c r="C1080" s="4" t="s">
        <v>325</v>
      </c>
      <c r="D1080" s="94">
        <v>4579.0</v>
      </c>
    </row>
    <row r="1081">
      <c r="A1081" s="40">
        <f t="array" ref="A1081">IFNA(index(PlayerValues!A:A,match(IFNA(vlookup(B1081,'Special Names'!A:B,2,FALSE),B1081),PlayerValues!E:E,0)),"N/A")</f>
        <v>17473</v>
      </c>
      <c r="B1081" s="4" t="s">
        <v>391</v>
      </c>
      <c r="C1081" s="4" t="s">
        <v>278</v>
      </c>
      <c r="D1081" s="94">
        <v>4577.0</v>
      </c>
    </row>
    <row r="1082">
      <c r="A1082" s="40">
        <f t="array" ref="A1082">IFNA(index(PlayerValues!A:A,match(IFNA(vlookup(B1082,'Special Names'!A:B,2,FALSE),B1082),PlayerValues!E:E,0)),"N/A")</f>
        <v>16214</v>
      </c>
      <c r="B1082" s="4" t="s">
        <v>413</v>
      </c>
      <c r="C1082" s="4" t="s">
        <v>298</v>
      </c>
      <c r="D1082" s="94">
        <v>5093.0</v>
      </c>
    </row>
    <row r="1083">
      <c r="A1083" s="40">
        <f t="array" ref="A1083">IFNA(index(PlayerValues!A:A,match(IFNA(vlookup(B1083,'Special Names'!A:B,2,FALSE),B1083),PlayerValues!E:E,0)),"N/A")</f>
        <v>16148</v>
      </c>
      <c r="B1083" s="4" t="s">
        <v>426</v>
      </c>
      <c r="C1083" s="4" t="s">
        <v>283</v>
      </c>
      <c r="D1083" s="94">
        <v>4543.0</v>
      </c>
    </row>
    <row r="1084">
      <c r="A1084" s="40">
        <f t="array" ref="A1084">IFNA(index(PlayerValues!A:A,match(IFNA(vlookup(B1084,'Special Names'!A:B,2,FALSE),B1084),PlayerValues!E:E,0)),"N/A")</f>
        <v>17045</v>
      </c>
      <c r="B1084" s="4" t="s">
        <v>407</v>
      </c>
      <c r="C1084" s="4" t="s">
        <v>278</v>
      </c>
      <c r="D1084" s="94">
        <v>4478.0</v>
      </c>
    </row>
    <row r="1085">
      <c r="A1085" s="40">
        <f t="array" ref="A1085">IFNA(index(PlayerValues!A:A,match(IFNA(vlookup(B1085,'Special Names'!A:B,2,FALSE),B1085),PlayerValues!E:E,0)),"N/A")</f>
        <v>14073</v>
      </c>
      <c r="B1085" s="4" t="s">
        <v>464</v>
      </c>
      <c r="C1085" s="4" t="s">
        <v>278</v>
      </c>
      <c r="D1085" s="94">
        <v>4451.0</v>
      </c>
    </row>
    <row r="1086">
      <c r="A1086" s="40">
        <f t="array" ref="A1086">IFNA(index(PlayerValues!A:A,match(IFNA(vlookup(B1086,'Special Names'!A:B,2,FALSE),B1086),PlayerValues!E:E,0)),"N/A")</f>
        <v>15253</v>
      </c>
      <c r="B1086" s="4" t="s">
        <v>415</v>
      </c>
      <c r="C1086" s="4" t="s">
        <v>278</v>
      </c>
      <c r="D1086" s="94">
        <v>4432.0</v>
      </c>
    </row>
    <row r="1087">
      <c r="A1087" s="40">
        <f t="array" ref="A1087">IFNA(index(PlayerValues!A:A,match(IFNA(vlookup(B1087,'Special Names'!A:B,2,FALSE),B1087),PlayerValues!E:E,0)),"N/A")</f>
        <v>15329</v>
      </c>
      <c r="B1087" s="4" t="s">
        <v>416</v>
      </c>
      <c r="C1087" s="4" t="s">
        <v>298</v>
      </c>
      <c r="D1087" s="94">
        <v>4969.0</v>
      </c>
    </row>
    <row r="1088">
      <c r="A1088" s="40">
        <f t="array" ref="A1088">IFNA(index(PlayerValues!A:A,match(IFNA(vlookup(B1088,'Special Names'!A:B,2,FALSE),B1088),PlayerValues!E:E,0)),"N/A")</f>
        <v>15256</v>
      </c>
      <c r="B1088" s="4" t="s">
        <v>401</v>
      </c>
      <c r="C1088" s="4" t="s">
        <v>278</v>
      </c>
      <c r="D1088" s="94">
        <v>4416.0</v>
      </c>
    </row>
    <row r="1089">
      <c r="A1089" s="40" t="str">
        <f t="array" ref="A1089">IFNA(index(PlayerValues!A:A,match(IFNA(vlookup(B1089,'Special Names'!A:B,2,FALSE),B1089),PlayerValues!E:E,0)),"N/A")</f>
        <v>N/A</v>
      </c>
      <c r="B1089" s="4" t="s">
        <v>105</v>
      </c>
      <c r="C1089" s="4" t="s">
        <v>325</v>
      </c>
      <c r="D1089" s="94">
        <v>4409.0</v>
      </c>
    </row>
    <row r="1090">
      <c r="A1090" s="40">
        <f t="array" ref="A1090">IFNA(index(PlayerValues!A:A,match(IFNA(vlookup(B1090,'Special Names'!A:B,2,FALSE),B1090),PlayerValues!E:E,0)),"N/A")</f>
        <v>17501</v>
      </c>
      <c r="B1090" s="4" t="s">
        <v>404</v>
      </c>
      <c r="C1090" s="4" t="s">
        <v>287</v>
      </c>
      <c r="D1090" s="94">
        <v>4408.0</v>
      </c>
    </row>
    <row r="1091">
      <c r="A1091" s="40">
        <f t="array" ref="A1091">IFNA(index(PlayerValues!A:A,match(IFNA(vlookup(B1091,'Special Names'!A:B,2,FALSE),B1091),PlayerValues!E:E,0)),"N/A")</f>
        <v>15768</v>
      </c>
      <c r="B1091" s="4" t="s">
        <v>432</v>
      </c>
      <c r="C1091" s="4" t="s">
        <v>287</v>
      </c>
      <c r="D1091" s="94">
        <v>4162.0</v>
      </c>
    </row>
    <row r="1092">
      <c r="A1092" s="40">
        <f t="array" ref="A1092">IFNA(index(PlayerValues!A:A,match(IFNA(vlookup(B1092,'Special Names'!A:B,2,FALSE),B1092),PlayerValues!E:E,0)),"N/A")</f>
        <v>14056</v>
      </c>
      <c r="B1092" s="4" t="s">
        <v>423</v>
      </c>
      <c r="C1092" s="4" t="s">
        <v>283</v>
      </c>
      <c r="D1092" s="94">
        <v>4099.0</v>
      </c>
    </row>
    <row r="1093">
      <c r="A1093" s="40">
        <f t="array" ref="A1093">IFNA(index(PlayerValues!A:A,match(IFNA(vlookup(B1093,'Special Names'!A:B,2,FALSE),B1093),PlayerValues!E:E,0)),"N/A")</f>
        <v>15694</v>
      </c>
      <c r="B1093" s="4" t="s">
        <v>434</v>
      </c>
      <c r="C1093" s="4" t="s">
        <v>283</v>
      </c>
      <c r="D1093" s="94">
        <v>4077.0</v>
      </c>
    </row>
    <row r="1094">
      <c r="A1094" s="40">
        <f t="array" ref="A1094">IFNA(index(PlayerValues!A:A,match(IFNA(vlookup(B1094,'Special Names'!A:B,2,FALSE),B1094),PlayerValues!E:E,0)),"N/A")</f>
        <v>17543</v>
      </c>
      <c r="B1094" s="4" t="s">
        <v>436</v>
      </c>
      <c r="C1094" s="4" t="s">
        <v>298</v>
      </c>
      <c r="D1094" s="94">
        <v>4568.0</v>
      </c>
    </row>
    <row r="1095">
      <c r="A1095" s="40">
        <f t="array" ref="A1095">IFNA(index(PlayerValues!A:A,match(IFNA(vlookup(B1095,'Special Names'!A:B,2,FALSE),B1095),PlayerValues!E:E,0)),"N/A")</f>
        <v>14059</v>
      </c>
      <c r="B1095" s="4" t="s">
        <v>435</v>
      </c>
      <c r="C1095" s="4" t="s">
        <v>283</v>
      </c>
      <c r="D1095" s="94">
        <v>4011.0</v>
      </c>
    </row>
    <row r="1096">
      <c r="A1096" s="40">
        <f t="array" ref="A1096">IFNA(index(PlayerValues!A:A,match(IFNA(vlookup(B1096,'Special Names'!A:B,2,FALSE),B1096),PlayerValues!E:E,0)),"N/A")</f>
        <v>16186</v>
      </c>
      <c r="B1096" s="4" t="s">
        <v>425</v>
      </c>
      <c r="C1096" s="4" t="s">
        <v>287</v>
      </c>
      <c r="D1096" s="94">
        <v>3967.0</v>
      </c>
    </row>
    <row r="1097">
      <c r="A1097" s="40">
        <f t="array" ref="A1097">IFNA(index(PlayerValues!A:A,match(IFNA(vlookup(B1097,'Special Names'!A:B,2,FALSE),B1097),PlayerValues!E:E,0)),"N/A")</f>
        <v>17052</v>
      </c>
      <c r="B1097" s="4" t="s">
        <v>417</v>
      </c>
      <c r="C1097" s="4" t="s">
        <v>278</v>
      </c>
      <c r="D1097" s="94">
        <v>3930.0</v>
      </c>
    </row>
    <row r="1098">
      <c r="A1098" s="40" t="str">
        <f t="array" ref="A1098">IFNA(index(PlayerValues!A:A,match(IFNA(vlookup(B1098,'Special Names'!A:B,2,FALSE),B1098),PlayerValues!E:E,0)),"N/A")</f>
        <v>N/A</v>
      </c>
      <c r="B1098" s="4" t="s">
        <v>95</v>
      </c>
      <c r="C1098" s="4" t="s">
        <v>325</v>
      </c>
      <c r="D1098" s="94">
        <v>3899.0</v>
      </c>
    </row>
    <row r="1099">
      <c r="A1099" s="40" t="str">
        <f t="array" ref="A1099">IFNA(index(PlayerValues!A:A,match(IFNA(vlookup(B1099,'Special Names'!A:B,2,FALSE),B1099),PlayerValues!E:E,0)),"N/A")</f>
        <v>N/A</v>
      </c>
      <c r="B1099" s="4" t="s">
        <v>107</v>
      </c>
      <c r="C1099" s="4" t="s">
        <v>325</v>
      </c>
      <c r="D1099" s="94">
        <v>3889.0</v>
      </c>
    </row>
    <row r="1100">
      <c r="A1100" s="40">
        <f t="array" ref="A1100">IFNA(index(PlayerValues!A:A,match(IFNA(vlookup(B1100,'Special Names'!A:B,2,FALSE),B1100),PlayerValues!E:E,0)),"N/A")</f>
        <v>17099</v>
      </c>
      <c r="B1100" s="4" t="s">
        <v>474</v>
      </c>
      <c r="C1100" s="4" t="s">
        <v>298</v>
      </c>
      <c r="D1100" s="94">
        <v>4362.0</v>
      </c>
    </row>
    <row r="1101">
      <c r="A1101" s="40" t="str">
        <f t="array" ref="A1101">IFNA(index(PlayerValues!A:A,match(IFNA(vlookup(B1101,'Special Names'!A:B,2,FALSE),B1101),PlayerValues!E:E,0)),"N/A")</f>
        <v>N/A</v>
      </c>
      <c r="B1101" s="4" t="s">
        <v>81</v>
      </c>
      <c r="C1101" s="4" t="s">
        <v>325</v>
      </c>
      <c r="D1101" s="94">
        <v>3857.0</v>
      </c>
    </row>
    <row r="1102">
      <c r="A1102" s="40">
        <f t="array" ref="A1102">IFNA(index(PlayerValues!A:A,match(IFNA(vlookup(B1102,'Special Names'!A:B,2,FALSE),B1102),PlayerValues!E:E,0)),"N/A")</f>
        <v>17502</v>
      </c>
      <c r="B1102" s="4" t="s">
        <v>451</v>
      </c>
      <c r="C1102" s="4" t="s">
        <v>287</v>
      </c>
      <c r="D1102" s="94">
        <v>3828.0</v>
      </c>
    </row>
    <row r="1103">
      <c r="A1103" s="40">
        <f t="array" ref="A1103">IFNA(index(PlayerValues!A:A,match(IFNA(vlookup(B1103,'Special Names'!A:B,2,FALSE),B1103),PlayerValues!E:E,0)),"N/A")</f>
        <v>12626</v>
      </c>
      <c r="B1103" s="4" t="s">
        <v>419</v>
      </c>
      <c r="C1103" s="4" t="s">
        <v>278</v>
      </c>
      <c r="D1103" s="94">
        <v>3818.0</v>
      </c>
    </row>
    <row r="1104">
      <c r="A1104" s="40">
        <f t="array" ref="A1104">IFNA(index(PlayerValues!A:A,match(IFNA(vlookup(B1104,'Special Names'!A:B,2,FALSE),B1104),PlayerValues!E:E,0)),"N/A")</f>
        <v>13635</v>
      </c>
      <c r="B1104" s="4" t="s">
        <v>424</v>
      </c>
      <c r="C1104" s="4" t="s">
        <v>287</v>
      </c>
      <c r="D1104" s="94">
        <v>3806.0</v>
      </c>
    </row>
    <row r="1105">
      <c r="A1105" s="40">
        <f t="array" ref="A1105">IFNA(index(PlayerValues!A:A,match(IFNA(vlookup(B1105,'Special Names'!A:B,2,FALSE),B1105),PlayerValues!E:E,0)),"N/A")</f>
        <v>14102</v>
      </c>
      <c r="B1105" s="4" t="s">
        <v>444</v>
      </c>
      <c r="C1105" s="4" t="s">
        <v>287</v>
      </c>
      <c r="D1105" s="94">
        <v>3732.0</v>
      </c>
    </row>
    <row r="1106">
      <c r="A1106" s="40">
        <f t="array" ref="A1106">IFNA(index(PlayerValues!A:A,match(IFNA(vlookup(B1106,'Special Names'!A:B,2,FALSE),B1106),PlayerValues!E:E,0)),"N/A")</f>
        <v>16206</v>
      </c>
      <c r="B1106" s="4" t="s">
        <v>431</v>
      </c>
      <c r="C1106" s="4" t="s">
        <v>287</v>
      </c>
      <c r="D1106" s="94">
        <v>3709.0</v>
      </c>
    </row>
    <row r="1107">
      <c r="A1107" s="40">
        <f t="array" ref="A1107">IFNA(index(PlayerValues!A:A,match(IFNA(vlookup(B1107,'Special Names'!A:B,2,FALSE),B1107),PlayerValues!E:E,0)),"N/A")</f>
        <v>17075</v>
      </c>
      <c r="B1107" s="4" t="s">
        <v>429</v>
      </c>
      <c r="C1107" s="4" t="s">
        <v>287</v>
      </c>
      <c r="D1107" s="94">
        <v>3701.0</v>
      </c>
    </row>
    <row r="1108">
      <c r="A1108" s="40">
        <f t="array" ref="A1108">IFNA(index(PlayerValues!A:A,match(IFNA(vlookup(B1108,'Special Names'!A:B,2,FALSE),B1108),PlayerValues!E:E,0)),"N/A")</f>
        <v>9431</v>
      </c>
      <c r="B1108" s="4" t="s">
        <v>428</v>
      </c>
      <c r="C1108" s="4" t="s">
        <v>283</v>
      </c>
      <c r="D1108" s="94">
        <v>3697.0</v>
      </c>
    </row>
    <row r="1109">
      <c r="A1109" s="40">
        <f t="array" ref="A1109">IFNA(index(PlayerValues!A:A,match(IFNA(vlookup(B1109,'Special Names'!A:B,2,FALSE),B1109),PlayerValues!E:E,0)),"N/A")</f>
        <v>17463</v>
      </c>
      <c r="B1109" s="4" t="s">
        <v>433</v>
      </c>
      <c r="C1109" s="4" t="s">
        <v>283</v>
      </c>
      <c r="D1109" s="94">
        <v>3696.0</v>
      </c>
    </row>
    <row r="1110">
      <c r="A1110" s="40">
        <f t="array" ref="A1110">IFNA(index(PlayerValues!A:A,match(IFNA(vlookup(B1110,'Special Names'!A:B,2,FALSE),B1110),PlayerValues!E:E,0)),"N/A")</f>
        <v>15789</v>
      </c>
      <c r="B1110" s="4" t="s">
        <v>421</v>
      </c>
      <c r="C1110" s="4" t="s">
        <v>287</v>
      </c>
      <c r="D1110" s="94">
        <v>3667.0</v>
      </c>
    </row>
    <row r="1111">
      <c r="A1111" s="40">
        <f t="array" ref="A1111">IFNA(index(PlayerValues!A:A,match(IFNA(vlookup(B1111,'Special Names'!A:B,2,FALSE),B1111),PlayerValues!E:E,0)),"N/A")</f>
        <v>17068</v>
      </c>
      <c r="B1111" s="4" t="s">
        <v>450</v>
      </c>
      <c r="C1111" s="4" t="s">
        <v>278</v>
      </c>
      <c r="D1111" s="94">
        <v>3649.0</v>
      </c>
    </row>
    <row r="1112">
      <c r="A1112" s="40">
        <f t="array" ref="A1112">IFNA(index(PlayerValues!A:A,match(IFNA(vlookup(B1112,'Special Names'!A:B,2,FALSE),B1112),PlayerValues!E:E,0)),"N/A")</f>
        <v>15757</v>
      </c>
      <c r="B1112" s="4" t="s">
        <v>449</v>
      </c>
      <c r="C1112" s="4" t="s">
        <v>287</v>
      </c>
      <c r="D1112" s="94">
        <v>3582.0</v>
      </c>
    </row>
    <row r="1113">
      <c r="A1113" s="40">
        <f t="array" ref="A1113">IFNA(index(PlayerValues!A:A,match(IFNA(vlookup(B1113,'Special Names'!A:B,2,FALSE),B1113),PlayerValues!E:E,0)),"N/A")</f>
        <v>17066</v>
      </c>
      <c r="B1113" s="4" t="s">
        <v>446</v>
      </c>
      <c r="C1113" s="4" t="s">
        <v>278</v>
      </c>
      <c r="D1113" s="94">
        <v>3576.0</v>
      </c>
    </row>
    <row r="1114">
      <c r="A1114" s="40">
        <f t="array" ref="A1114">IFNA(index(PlayerValues!A:A,match(IFNA(vlookup(B1114,'Special Names'!A:B,2,FALSE),B1114),PlayerValues!E:E,0)),"N/A")</f>
        <v>16622</v>
      </c>
      <c r="B1114" s="4" t="s">
        <v>517</v>
      </c>
      <c r="C1114" s="4" t="s">
        <v>287</v>
      </c>
      <c r="D1114" s="94">
        <v>3556.0</v>
      </c>
    </row>
    <row r="1115">
      <c r="A1115" s="40">
        <f t="array" ref="A1115">IFNA(index(PlayerValues!A:A,match(IFNA(vlookup(B1115,'Special Names'!A:B,2,FALSE),B1115),PlayerValues!E:E,0)),"N/A")</f>
        <v>14797</v>
      </c>
      <c r="B1115" s="4" t="s">
        <v>420</v>
      </c>
      <c r="C1115" s="4" t="s">
        <v>278</v>
      </c>
      <c r="D1115" s="94">
        <v>3547.0</v>
      </c>
    </row>
    <row r="1116">
      <c r="A1116" s="40">
        <f t="array" ref="A1116">IFNA(index(PlayerValues!A:A,match(IFNA(vlookup(B1116,'Special Names'!A:B,2,FALSE),B1116),PlayerValues!E:E,0)),"N/A")</f>
        <v>17083</v>
      </c>
      <c r="B1116" s="4" t="s">
        <v>479</v>
      </c>
      <c r="C1116" s="4" t="s">
        <v>287</v>
      </c>
      <c r="D1116" s="94">
        <v>3507.0</v>
      </c>
    </row>
    <row r="1117">
      <c r="A1117" s="40">
        <f t="array" ref="A1117">IFNA(index(PlayerValues!A:A,match(IFNA(vlookup(B1117,'Special Names'!A:B,2,FALSE),B1117),PlayerValues!E:E,0)),"N/A")</f>
        <v>16192</v>
      </c>
      <c r="B1117" s="4" t="s">
        <v>412</v>
      </c>
      <c r="C1117" s="4" t="s">
        <v>287</v>
      </c>
      <c r="D1117" s="94">
        <v>3482.0</v>
      </c>
    </row>
    <row r="1118">
      <c r="A1118" s="40">
        <f t="array" ref="A1118">IFNA(index(PlayerValues!A:A,match(IFNA(vlookup(B1118,'Special Names'!A:B,2,FALSE),B1118),PlayerValues!E:E,0)),"N/A")</f>
        <v>14109</v>
      </c>
      <c r="B1118" s="4" t="s">
        <v>437</v>
      </c>
      <c r="C1118" s="4" t="s">
        <v>287</v>
      </c>
      <c r="D1118" s="94">
        <v>3463.0</v>
      </c>
    </row>
    <row r="1119">
      <c r="A1119" s="40">
        <f t="array" ref="A1119">IFNA(index(PlayerValues!A:A,match(IFNA(vlookup(B1119,'Special Names'!A:B,2,FALSE),B1119),PlayerValues!E:E,0)),"N/A")</f>
        <v>16187</v>
      </c>
      <c r="B1119" s="4" t="s">
        <v>441</v>
      </c>
      <c r="C1119" s="4" t="s">
        <v>287</v>
      </c>
      <c r="D1119" s="94">
        <v>3457.0</v>
      </c>
    </row>
    <row r="1120">
      <c r="A1120" s="40">
        <f t="array" ref="A1120">IFNA(index(PlayerValues!A:A,match(IFNA(vlookup(B1120,'Special Names'!A:B,2,FALSE),B1120),PlayerValues!E:E,0)),"N/A")</f>
        <v>11675</v>
      </c>
      <c r="B1120" s="4" t="s">
        <v>438</v>
      </c>
      <c r="C1120" s="4" t="s">
        <v>287</v>
      </c>
      <c r="D1120" s="94">
        <v>3425.0</v>
      </c>
    </row>
    <row r="1121">
      <c r="A1121" s="40">
        <f t="array" ref="A1121">IFNA(index(PlayerValues!A:A,match(IFNA(vlookup(B1121,'Special Names'!A:B,2,FALSE),B1121),PlayerValues!E:E,0)),"N/A")</f>
        <v>17544</v>
      </c>
      <c r="B1121" s="4" t="s">
        <v>470</v>
      </c>
      <c r="C1121" s="4" t="s">
        <v>298</v>
      </c>
      <c r="D1121" s="94">
        <v>3876.0</v>
      </c>
    </row>
    <row r="1122">
      <c r="A1122" s="40">
        <f t="array" ref="A1122">IFNA(index(PlayerValues!A:A,match(IFNA(vlookup(B1122,'Special Names'!A:B,2,FALSE),B1122),PlayerValues!E:E,0)),"N/A")</f>
        <v>17500</v>
      </c>
      <c r="B1122" s="4" t="s">
        <v>430</v>
      </c>
      <c r="C1122" s="4" t="s">
        <v>287</v>
      </c>
      <c r="D1122" s="94">
        <v>3415.0</v>
      </c>
    </row>
    <row r="1123">
      <c r="A1123" s="40">
        <f t="array" ref="A1123">IFNA(index(PlayerValues!A:A,match(IFNA(vlookup(B1123,'Special Names'!A:B,2,FALSE),B1123),PlayerValues!E:E,0)),"N/A")</f>
        <v>16188</v>
      </c>
      <c r="B1123" s="4" t="s">
        <v>439</v>
      </c>
      <c r="C1123" s="4" t="s">
        <v>287</v>
      </c>
      <c r="D1123" s="94">
        <v>3392.0</v>
      </c>
    </row>
    <row r="1124">
      <c r="A1124" s="40" t="str">
        <f t="array" ref="A1124">IFNA(index(PlayerValues!A:A,match(IFNA(vlookup(B1124,'Special Names'!A:B,2,FALSE),B1124),PlayerValues!E:E,0)),"N/A")</f>
        <v>N/A</v>
      </c>
      <c r="B1124" s="4" t="s">
        <v>96</v>
      </c>
      <c r="C1124" s="4" t="s">
        <v>325</v>
      </c>
      <c r="D1124" s="94">
        <v>3392.0</v>
      </c>
    </row>
    <row r="1125">
      <c r="A1125" s="40">
        <f t="array" ref="A1125">IFNA(index(PlayerValues!A:A,match(IFNA(vlookup(B1125,'Special Names'!A:B,2,FALSE),B1125),PlayerValues!E:E,0)),"N/A")</f>
        <v>16620</v>
      </c>
      <c r="B1125" s="4" t="s">
        <v>467</v>
      </c>
      <c r="C1125" s="4" t="s">
        <v>287</v>
      </c>
      <c r="D1125" s="94">
        <v>3379.0</v>
      </c>
    </row>
    <row r="1126">
      <c r="A1126" s="40">
        <f t="array" ref="A1126">IFNA(index(PlayerValues!A:A,match(IFNA(vlookup(B1126,'Special Names'!A:B,2,FALSE),B1126),PlayerValues!E:E,0)),"N/A")</f>
        <v>14071</v>
      </c>
      <c r="B1126" s="4" t="s">
        <v>440</v>
      </c>
      <c r="C1126" s="4" t="s">
        <v>278</v>
      </c>
      <c r="D1126" s="94">
        <v>3375.0</v>
      </c>
    </row>
    <row r="1127">
      <c r="A1127" s="40">
        <f t="array" ref="A1127">IFNA(index(PlayerValues!A:A,match(IFNA(vlookup(B1127,'Special Names'!A:B,2,FALSE),B1127),PlayerValues!E:E,0)),"N/A")</f>
        <v>14842</v>
      </c>
      <c r="B1127" s="4" t="s">
        <v>456</v>
      </c>
      <c r="C1127" s="4" t="s">
        <v>287</v>
      </c>
      <c r="D1127" s="94">
        <v>3362.0</v>
      </c>
    </row>
    <row r="1128">
      <c r="A1128" s="40">
        <f t="array" ref="A1128">IFNA(index(PlayerValues!A:A,match(IFNA(vlookup(B1128,'Special Names'!A:B,2,FALSE),B1128),PlayerValues!E:E,0)),"N/A")</f>
        <v>15798</v>
      </c>
      <c r="B1128" s="4" t="s">
        <v>443</v>
      </c>
      <c r="C1128" s="4" t="s">
        <v>298</v>
      </c>
      <c r="D1128" s="94">
        <v>3808.0</v>
      </c>
    </row>
    <row r="1129">
      <c r="A1129" s="40">
        <f t="array" ref="A1129">IFNA(index(PlayerValues!A:A,match(IFNA(vlookup(B1129,'Special Names'!A:B,2,FALSE),B1129),PlayerValues!E:E,0)),"N/A")</f>
        <v>16169</v>
      </c>
      <c r="B1129" s="4" t="s">
        <v>457</v>
      </c>
      <c r="C1129" s="4" t="s">
        <v>278</v>
      </c>
      <c r="D1129" s="94">
        <v>3355.0</v>
      </c>
    </row>
    <row r="1130">
      <c r="A1130" s="40">
        <f t="array" ref="A1130">IFNA(index(PlayerValues!A:A,match(IFNA(vlookup(B1130,'Special Names'!A:B,2,FALSE),B1130),PlayerValues!E:E,0)),"N/A")</f>
        <v>15779</v>
      </c>
      <c r="B1130" s="4" t="s">
        <v>461</v>
      </c>
      <c r="C1130" s="4" t="s">
        <v>287</v>
      </c>
      <c r="D1130" s="94">
        <v>3342.0</v>
      </c>
    </row>
    <row r="1131">
      <c r="A1131" s="40">
        <f t="array" ref="A1131">IFNA(index(PlayerValues!A:A,match(IFNA(vlookup(B1131,'Special Names'!A:B,2,FALSE),B1131),PlayerValues!E:E,0)),"N/A")</f>
        <v>15261</v>
      </c>
      <c r="B1131" s="4" t="s">
        <v>466</v>
      </c>
      <c r="C1131" s="4" t="s">
        <v>278</v>
      </c>
      <c r="D1131" s="94">
        <v>3341.0</v>
      </c>
    </row>
    <row r="1132">
      <c r="A1132" s="40">
        <f t="array" ref="A1132">IFNA(index(PlayerValues!A:A,match(IFNA(vlookup(B1132,'Special Names'!A:B,2,FALSE),B1132),PlayerValues!E:E,0)),"N/A")</f>
        <v>16184</v>
      </c>
      <c r="B1132" s="4" t="s">
        <v>445</v>
      </c>
      <c r="C1132" s="4" t="s">
        <v>287</v>
      </c>
      <c r="D1132" s="94">
        <v>3333.0</v>
      </c>
    </row>
    <row r="1133">
      <c r="A1133" s="40">
        <f t="array" ref="A1133">IFNA(index(PlayerValues!A:A,match(IFNA(vlookup(B1133,'Special Names'!A:B,2,FALSE),B1133),PlayerValues!E:E,0)),"N/A")</f>
        <v>13299</v>
      </c>
      <c r="B1133" s="4" t="s">
        <v>448</v>
      </c>
      <c r="C1133" s="4" t="s">
        <v>298</v>
      </c>
      <c r="D1133" s="94">
        <v>3768.0</v>
      </c>
    </row>
    <row r="1134">
      <c r="A1134" s="40">
        <f t="array" ref="A1134">IFNA(index(PlayerValues!A:A,match(IFNA(vlookup(B1134,'Special Names'!A:B,2,FALSE),B1134),PlayerValues!E:E,0)),"N/A")</f>
        <v>17074</v>
      </c>
      <c r="B1134" s="4" t="s">
        <v>475</v>
      </c>
      <c r="C1134" s="4" t="s">
        <v>287</v>
      </c>
      <c r="D1134" s="94">
        <v>3312.0</v>
      </c>
    </row>
    <row r="1135">
      <c r="A1135" s="40">
        <f t="array" ref="A1135">IFNA(index(PlayerValues!A:A,match(IFNA(vlookup(B1135,'Special Names'!A:B,2,FALSE),B1135),PlayerValues!E:E,0)),"N/A")</f>
        <v>15799</v>
      </c>
      <c r="B1135" s="4" t="s">
        <v>468</v>
      </c>
      <c r="C1135" s="4" t="s">
        <v>298</v>
      </c>
      <c r="D1135" s="94">
        <v>3740.0</v>
      </c>
    </row>
    <row r="1136">
      <c r="A1136" s="40">
        <f t="array" ref="A1136">IFNA(index(PlayerValues!A:A,match(IFNA(vlookup(B1136,'Special Names'!A:B,2,FALSE),B1136),PlayerValues!E:E,0)),"N/A")</f>
        <v>11671</v>
      </c>
      <c r="B1136" s="4" t="s">
        <v>463</v>
      </c>
      <c r="C1136" s="4" t="s">
        <v>287</v>
      </c>
      <c r="D1136" s="94">
        <v>3277.0</v>
      </c>
    </row>
    <row r="1137">
      <c r="A1137" s="40" t="str">
        <f t="array" ref="A1137">IFNA(index(PlayerValues!A:A,match(IFNA(vlookup(B1137,'Special Names'!A:B,2,FALSE),B1137),PlayerValues!E:E,0)),"N/A")</f>
        <v>N/A</v>
      </c>
      <c r="B1137" s="4" t="s">
        <v>82</v>
      </c>
      <c r="C1137" s="4" t="s">
        <v>325</v>
      </c>
      <c r="D1137" s="94">
        <v>3259.0</v>
      </c>
    </row>
    <row r="1138">
      <c r="A1138" s="40">
        <f t="array" ref="A1138">IFNA(index(PlayerValues!A:A,match(IFNA(vlookup(B1138,'Special Names'!A:B,2,FALSE),B1138),PlayerValues!E:E,0)),"N/A")</f>
        <v>14127</v>
      </c>
      <c r="B1138" s="4" t="s">
        <v>486</v>
      </c>
      <c r="C1138" s="4" t="s">
        <v>287</v>
      </c>
      <c r="D1138" s="94">
        <v>3243.0</v>
      </c>
    </row>
    <row r="1139">
      <c r="A1139" s="40">
        <f t="array" ref="A1139">IFNA(index(PlayerValues!A:A,match(IFNA(vlookup(B1139,'Special Names'!A:B,2,FALSE),B1139),PlayerValues!E:E,0)),"N/A")</f>
        <v>13630</v>
      </c>
      <c r="B1139" s="4" t="s">
        <v>465</v>
      </c>
      <c r="C1139" s="4" t="s">
        <v>287</v>
      </c>
      <c r="D1139" s="94">
        <v>3238.0</v>
      </c>
    </row>
    <row r="1140">
      <c r="A1140" s="40">
        <f t="array" ref="A1140">IFNA(index(PlayerValues!A:A,match(IFNA(vlookup(B1140,'Special Names'!A:B,2,FALSE),B1140),PlayerValues!E:E,0)),"N/A")</f>
        <v>16213</v>
      </c>
      <c r="B1140" s="4" t="s">
        <v>458</v>
      </c>
      <c r="C1140" s="4" t="s">
        <v>298</v>
      </c>
      <c r="D1140" s="94">
        <v>3678.0</v>
      </c>
    </row>
    <row r="1141">
      <c r="A1141" s="40" t="str">
        <f t="array" ref="A1141">IFNA(index(PlayerValues!A:A,match(IFNA(vlookup(B1141,'Special Names'!A:B,2,FALSE),B1141),PlayerValues!E:E,0)),"N/A")</f>
        <v>N/A</v>
      </c>
      <c r="B1141" s="4" t="s">
        <v>97</v>
      </c>
      <c r="C1141" s="4" t="s">
        <v>325</v>
      </c>
      <c r="D1141" s="94">
        <v>3200.0</v>
      </c>
    </row>
    <row r="1142">
      <c r="A1142" s="40">
        <f t="array" ref="A1142">IFNA(index(PlayerValues!A:A,match(IFNA(vlookup(B1142,'Special Names'!A:B,2,FALSE),B1142),PlayerValues!E:E,0)),"N/A")</f>
        <v>16593</v>
      </c>
      <c r="B1142" s="4" t="s">
        <v>442</v>
      </c>
      <c r="C1142" s="4" t="s">
        <v>278</v>
      </c>
      <c r="D1142" s="94">
        <v>3186.0</v>
      </c>
    </row>
    <row r="1143">
      <c r="A1143" s="40">
        <f t="array" ref="A1143">IFNA(index(PlayerValues!A:A,match(IFNA(vlookup(B1143,'Special Names'!A:B,2,FALSE),B1143),PlayerValues!E:E,0)),"N/A")</f>
        <v>14823</v>
      </c>
      <c r="B1143" s="4" t="s">
        <v>459</v>
      </c>
      <c r="C1143" s="4" t="s">
        <v>278</v>
      </c>
      <c r="D1143" s="94">
        <v>3183.0</v>
      </c>
    </row>
    <row r="1144">
      <c r="A1144" s="40">
        <f t="array" ref="A1144">IFNA(index(PlayerValues!A:A,match(IFNA(vlookup(B1144,'Special Names'!A:B,2,FALSE),B1144),PlayerValues!E:E,0)),"N/A")</f>
        <v>16583</v>
      </c>
      <c r="B1144" s="4" t="s">
        <v>493</v>
      </c>
      <c r="C1144" s="4" t="s">
        <v>283</v>
      </c>
      <c r="D1144" s="94">
        <v>3136.0</v>
      </c>
    </row>
    <row r="1145">
      <c r="A1145" s="40">
        <f t="array" ref="A1145">IFNA(index(PlayerValues!A:A,match(IFNA(vlookup(B1145,'Special Names'!A:B,2,FALSE),B1145),PlayerValues!E:E,0)),"N/A")</f>
        <v>15742</v>
      </c>
      <c r="B1145" s="4" t="s">
        <v>447</v>
      </c>
      <c r="C1145" s="4" t="s">
        <v>278</v>
      </c>
      <c r="D1145" s="94">
        <v>3130.0</v>
      </c>
    </row>
    <row r="1146">
      <c r="A1146" s="40">
        <f t="array" ref="A1146">IFNA(index(PlayerValues!A:A,match(IFNA(vlookup(B1146,'Special Names'!A:B,2,FALSE),B1146),PlayerValues!E:E,0)),"N/A")</f>
        <v>14800</v>
      </c>
      <c r="B1146" s="4" t="s">
        <v>472</v>
      </c>
      <c r="C1146" s="4" t="s">
        <v>278</v>
      </c>
      <c r="D1146" s="94">
        <v>3129.0</v>
      </c>
    </row>
    <row r="1147">
      <c r="A1147" s="40" t="str">
        <f t="array" ref="A1147">IFNA(index(PlayerValues!A:A,match(IFNA(vlookup(B1147,'Special Names'!A:B,2,FALSE),B1147),PlayerValues!E:E,0)),"N/A")</f>
        <v>N/A</v>
      </c>
      <c r="B1147" s="4" t="s">
        <v>108</v>
      </c>
      <c r="C1147" s="4" t="s">
        <v>325</v>
      </c>
      <c r="D1147" s="94">
        <v>3113.0</v>
      </c>
    </row>
    <row r="1148">
      <c r="A1148" s="40">
        <f t="array" ref="A1148">IFNA(index(PlayerValues!A:A,match(IFNA(vlookup(B1148,'Special Names'!A:B,2,FALSE),B1148),PlayerValues!E:E,0)),"N/A")</f>
        <v>16809</v>
      </c>
      <c r="B1148" s="4" t="s">
        <v>455</v>
      </c>
      <c r="C1148" s="4" t="s">
        <v>287</v>
      </c>
      <c r="D1148" s="94">
        <v>3039.0</v>
      </c>
    </row>
    <row r="1149">
      <c r="A1149" s="40">
        <f t="array" ref="A1149">IFNA(index(PlayerValues!A:A,match(IFNA(vlookup(B1149,'Special Names'!A:B,2,FALSE),B1149),PlayerValues!E:E,0)),"N/A")</f>
        <v>16597</v>
      </c>
      <c r="B1149" s="4" t="s">
        <v>427</v>
      </c>
      <c r="C1149" s="4" t="s">
        <v>278</v>
      </c>
      <c r="D1149" s="94">
        <v>3038.0</v>
      </c>
    </row>
    <row r="1150">
      <c r="A1150" s="40">
        <f t="array" ref="A1150">IFNA(index(PlayerValues!A:A,match(IFNA(vlookup(B1150,'Special Names'!A:B,2,FALSE),B1150),PlayerValues!E:E,0)),"N/A")</f>
        <v>16080</v>
      </c>
      <c r="B1150" s="4" t="s">
        <v>499</v>
      </c>
      <c r="C1150" s="4" t="s">
        <v>287</v>
      </c>
      <c r="D1150" s="94">
        <v>3036.0</v>
      </c>
    </row>
    <row r="1151">
      <c r="A1151" s="40" t="str">
        <f t="array" ref="A1151">IFNA(index(PlayerValues!A:A,match(IFNA(vlookup(B1151,'Special Names'!A:B,2,FALSE),B1151),PlayerValues!E:E,0)),"N/A")</f>
        <v>N/A</v>
      </c>
      <c r="B1151" s="4" t="s">
        <v>84</v>
      </c>
      <c r="C1151" s="4" t="s">
        <v>325</v>
      </c>
      <c r="D1151" s="94">
        <v>3033.0</v>
      </c>
    </row>
    <row r="1152">
      <c r="A1152" s="40">
        <f t="array" ref="A1152">IFNA(index(PlayerValues!A:A,match(IFNA(vlookup(B1152,'Special Names'!A:B,2,FALSE),B1152),PlayerValues!E:E,0)),"N/A")</f>
        <v>15761</v>
      </c>
      <c r="B1152" s="4" t="s">
        <v>491</v>
      </c>
      <c r="C1152" s="4" t="s">
        <v>287</v>
      </c>
      <c r="D1152" s="94">
        <v>3008.0</v>
      </c>
    </row>
    <row r="1153">
      <c r="A1153" s="40">
        <f t="array" ref="A1153">IFNA(index(PlayerValues!A:A,match(IFNA(vlookup(B1153,'Special Names'!A:B,2,FALSE),B1153),PlayerValues!E:E,0)),"N/A")</f>
        <v>16269</v>
      </c>
      <c r="B1153" s="4" t="s">
        <v>481</v>
      </c>
      <c r="C1153" s="4" t="s">
        <v>298</v>
      </c>
      <c r="D1153" s="94">
        <v>3435.0</v>
      </c>
    </row>
    <row r="1154">
      <c r="A1154" s="40">
        <f t="array" ref="A1154">IFNA(index(PlayerValues!A:A,match(IFNA(vlookup(B1154,'Special Names'!A:B,2,FALSE),B1154),PlayerValues!E:E,0)),"N/A")</f>
        <v>16628</v>
      </c>
      <c r="B1154" s="4" t="s">
        <v>490</v>
      </c>
      <c r="C1154" s="4" t="s">
        <v>287</v>
      </c>
      <c r="D1154" s="94">
        <v>2998.0</v>
      </c>
    </row>
    <row r="1155">
      <c r="A1155" s="40">
        <f t="array" ref="A1155">IFNA(index(PlayerValues!A:A,match(IFNA(vlookup(B1155,'Special Names'!A:B,2,FALSE),B1155),PlayerValues!E:E,0)),"N/A")</f>
        <v>16584</v>
      </c>
      <c r="B1155" s="4" t="s">
        <v>569</v>
      </c>
      <c r="C1155" s="4" t="s">
        <v>283</v>
      </c>
      <c r="D1155" s="94">
        <v>2949.0</v>
      </c>
    </row>
    <row r="1156">
      <c r="A1156" s="40">
        <f t="array" ref="A1156">IFNA(index(PlayerValues!A:A,match(IFNA(vlookup(B1156,'Special Names'!A:B,2,FALSE),B1156),PlayerValues!E:E,0)),"N/A")</f>
        <v>17053</v>
      </c>
      <c r="B1156" s="4" t="s">
        <v>484</v>
      </c>
      <c r="C1156" s="4" t="s">
        <v>278</v>
      </c>
      <c r="D1156" s="94">
        <v>2944.0</v>
      </c>
    </row>
    <row r="1157">
      <c r="A1157" s="40">
        <f t="array" ref="A1157">IFNA(index(PlayerValues!A:A,match(IFNA(vlookup(B1157,'Special Names'!A:B,2,FALSE),B1157),PlayerValues!E:E,0)),"N/A")</f>
        <v>13163</v>
      </c>
      <c r="B1157" s="4" t="s">
        <v>473</v>
      </c>
      <c r="C1157" s="4" t="s">
        <v>287</v>
      </c>
      <c r="D1157" s="94">
        <v>2925.0</v>
      </c>
    </row>
    <row r="1158">
      <c r="A1158" s="40">
        <f t="array" ref="A1158">IFNA(index(PlayerValues!A:A,match(IFNA(vlookup(B1158,'Special Names'!A:B,2,FALSE),B1158),PlayerValues!E:E,0)),"N/A")</f>
        <v>15259</v>
      </c>
      <c r="B1158" s="4" t="s">
        <v>453</v>
      </c>
      <c r="C1158" s="4" t="s">
        <v>278</v>
      </c>
      <c r="D1158" s="94">
        <v>2924.0</v>
      </c>
    </row>
    <row r="1159">
      <c r="A1159" s="40" t="str">
        <f t="array" ref="A1159">IFNA(index(PlayerValues!A:A,match(IFNA(vlookup(B1159,'Special Names'!A:B,2,FALSE),B1159),PlayerValues!E:E,0)),"N/A")</f>
        <v>N/A</v>
      </c>
      <c r="B1159" s="4" t="s">
        <v>109</v>
      </c>
      <c r="C1159" s="4" t="s">
        <v>325</v>
      </c>
      <c r="D1159" s="94">
        <v>2915.0</v>
      </c>
    </row>
    <row r="1160">
      <c r="A1160" s="40">
        <f t="array" ref="A1160">IFNA(index(PlayerValues!A:A,match(IFNA(vlookup(B1160,'Special Names'!A:B,2,FALSE),B1160),PlayerValues!E:E,0)),"N/A")</f>
        <v>17256</v>
      </c>
      <c r="B1160" s="4" t="s">
        <v>462</v>
      </c>
      <c r="C1160" s="4" t="s">
        <v>278</v>
      </c>
      <c r="D1160" s="94">
        <v>2899.0</v>
      </c>
    </row>
    <row r="1161">
      <c r="A1161" s="40">
        <f t="array" ref="A1161">IFNA(index(PlayerValues!A:A,match(IFNA(vlookup(B1161,'Special Names'!A:B,2,FALSE),B1161),PlayerValues!E:E,0)),"N/A")</f>
        <v>17477</v>
      </c>
      <c r="B1161" s="4" t="s">
        <v>452</v>
      </c>
      <c r="C1161" s="4" t="s">
        <v>278</v>
      </c>
      <c r="D1161" s="94">
        <v>2887.0</v>
      </c>
    </row>
    <row r="1162">
      <c r="A1162" s="40">
        <f t="array" ref="A1162">IFNA(index(PlayerValues!A:A,match(IFNA(vlookup(B1162,'Special Names'!A:B,2,FALSE),B1162),PlayerValues!E:E,0)),"N/A")</f>
        <v>16723</v>
      </c>
      <c r="B1162" s="4" t="s">
        <v>502</v>
      </c>
      <c r="C1162" s="4" t="s">
        <v>298</v>
      </c>
      <c r="D1162" s="94">
        <v>3301.0</v>
      </c>
    </row>
    <row r="1163">
      <c r="A1163" s="40">
        <f t="array" ref="A1163">IFNA(index(PlayerValues!A:A,match(IFNA(vlookup(B1163,'Special Names'!A:B,2,FALSE),B1163),PlayerValues!E:E,0)),"N/A")</f>
        <v>17506</v>
      </c>
      <c r="B1163" s="4" t="s">
        <v>471</v>
      </c>
      <c r="C1163" s="4" t="s">
        <v>287</v>
      </c>
      <c r="D1163" s="94">
        <v>2875.0</v>
      </c>
    </row>
    <row r="1164">
      <c r="A1164" s="40">
        <f t="array" ref="A1164">IFNA(index(PlayerValues!A:A,match(IFNA(vlookup(B1164,'Special Names'!A:B,2,FALSE),B1164),PlayerValues!E:E,0)),"N/A")</f>
        <v>17476</v>
      </c>
      <c r="B1164" s="4" t="s">
        <v>494</v>
      </c>
      <c r="C1164" s="4" t="s">
        <v>278</v>
      </c>
      <c r="D1164" s="94">
        <v>2852.0</v>
      </c>
    </row>
    <row r="1165">
      <c r="A1165" s="40">
        <f t="array" ref="A1165">IFNA(index(PlayerValues!A:A,match(IFNA(vlookup(B1165,'Special Names'!A:B,2,FALSE),B1165),PlayerValues!E:E,0)),"N/A")</f>
        <v>15255</v>
      </c>
      <c r="B1165" s="4" t="s">
        <v>477</v>
      </c>
      <c r="C1165" s="4" t="s">
        <v>278</v>
      </c>
      <c r="D1165" s="94">
        <v>2852.0</v>
      </c>
    </row>
    <row r="1166">
      <c r="A1166" s="40">
        <f t="array" ref="A1166">IFNA(index(PlayerValues!A:A,match(IFNA(vlookup(B1166,'Special Names'!A:B,2,FALSE),B1166),PlayerValues!E:E,0)),"N/A")</f>
        <v>14138</v>
      </c>
      <c r="B1166" s="4" t="s">
        <v>531</v>
      </c>
      <c r="C1166" s="4" t="s">
        <v>298</v>
      </c>
      <c r="D1166" s="94">
        <v>3253.0</v>
      </c>
    </row>
    <row r="1167">
      <c r="A1167" s="40">
        <f t="array" ref="A1167">IFNA(index(PlayerValues!A:A,match(IFNA(vlookup(B1167,'Special Names'!A:B,2,FALSE),B1167),PlayerValues!E:E,0)),"N/A")</f>
        <v>15712</v>
      </c>
      <c r="B1167" s="4" t="s">
        <v>488</v>
      </c>
      <c r="C1167" s="4" t="s">
        <v>278</v>
      </c>
      <c r="D1167" s="94">
        <v>2826.0</v>
      </c>
    </row>
    <row r="1168">
      <c r="A1168" s="40">
        <f t="array" ref="A1168">IFNA(index(PlayerValues!A:A,match(IFNA(vlookup(B1168,'Special Names'!A:B,2,FALSE),B1168),PlayerValues!E:E,0)),"N/A")</f>
        <v>17031</v>
      </c>
      <c r="B1168" s="4" t="s">
        <v>535</v>
      </c>
      <c r="C1168" s="4" t="s">
        <v>283</v>
      </c>
      <c r="D1168" s="94">
        <v>2825.0</v>
      </c>
    </row>
    <row r="1169">
      <c r="A1169" s="40">
        <f t="array" ref="A1169">IFNA(index(PlayerValues!A:A,match(IFNA(vlookup(B1169,'Special Names'!A:B,2,FALSE),B1169),PlayerValues!E:E,0)),"N/A")</f>
        <v>13671</v>
      </c>
      <c r="B1169" s="4" t="s">
        <v>506</v>
      </c>
      <c r="C1169" s="4" t="s">
        <v>298</v>
      </c>
      <c r="D1169" s="94">
        <v>3230.0</v>
      </c>
    </row>
    <row r="1170">
      <c r="A1170" s="40">
        <f t="array" ref="A1170">IFNA(index(PlayerValues!A:A,match(IFNA(vlookup(B1170,'Special Names'!A:B,2,FALSE),B1170),PlayerValues!E:E,0)),"N/A")</f>
        <v>15889</v>
      </c>
      <c r="B1170" s="4" t="s">
        <v>503</v>
      </c>
      <c r="C1170" s="4" t="s">
        <v>298</v>
      </c>
      <c r="D1170" s="94">
        <v>3212.0</v>
      </c>
    </row>
    <row r="1171">
      <c r="A1171" s="40">
        <f t="array" ref="A1171">IFNA(index(PlayerValues!A:A,match(IFNA(vlookup(B1171,'Special Names'!A:B,2,FALSE),B1171),PlayerValues!E:E,0)),"N/A")</f>
        <v>17072</v>
      </c>
      <c r="B1171" s="4" t="s">
        <v>508</v>
      </c>
      <c r="C1171" s="4" t="s">
        <v>287</v>
      </c>
      <c r="D1171" s="94">
        <v>2781.0</v>
      </c>
    </row>
    <row r="1172">
      <c r="A1172" s="40">
        <f t="array" ref="A1172">IFNA(index(PlayerValues!A:A,match(IFNA(vlookup(B1172,'Special Names'!A:B,2,FALSE),B1172),PlayerValues!E:E,0)),"N/A")</f>
        <v>17157</v>
      </c>
      <c r="B1172" s="4" t="s">
        <v>524</v>
      </c>
      <c r="C1172" s="4" t="s">
        <v>287</v>
      </c>
      <c r="D1172" s="94">
        <v>2781.0</v>
      </c>
    </row>
    <row r="1173">
      <c r="A1173" s="40">
        <f t="array" ref="A1173">IFNA(index(PlayerValues!A:A,match(IFNA(vlookup(B1173,'Special Names'!A:B,2,FALSE),B1173),PlayerValues!E:E,0)),"N/A")</f>
        <v>14085</v>
      </c>
      <c r="B1173" s="4" t="s">
        <v>489</v>
      </c>
      <c r="C1173" s="4" t="s">
        <v>278</v>
      </c>
      <c r="D1173" s="94">
        <v>2770.0</v>
      </c>
    </row>
    <row r="1174">
      <c r="A1174" s="40" t="str">
        <f t="array" ref="A1174">IFNA(index(PlayerValues!A:A,match(IFNA(vlookup(B1174,'Special Names'!A:B,2,FALSE),B1174),PlayerValues!E:E,0)),"N/A")</f>
        <v>N/A</v>
      </c>
      <c r="B1174" s="4" t="s">
        <v>110</v>
      </c>
      <c r="C1174" s="4" t="s">
        <v>325</v>
      </c>
      <c r="D1174" s="94">
        <v>2768.0</v>
      </c>
    </row>
    <row r="1175">
      <c r="A1175" s="40">
        <f t="array" ref="A1175">IFNA(index(PlayerValues!A:A,match(IFNA(vlookup(B1175,'Special Names'!A:B,2,FALSE),B1175),PlayerValues!E:E,0)),"N/A")</f>
        <v>15241</v>
      </c>
      <c r="B1175" s="4" t="s">
        <v>546</v>
      </c>
      <c r="C1175" s="4" t="s">
        <v>283</v>
      </c>
      <c r="D1175" s="94">
        <v>2767.0</v>
      </c>
    </row>
    <row r="1176">
      <c r="A1176" s="40">
        <f t="array" ref="A1176">IFNA(index(PlayerValues!A:A,match(IFNA(vlookup(B1176,'Special Names'!A:B,2,FALSE),B1176),PlayerValues!E:E,0)),"N/A")</f>
        <v>16193</v>
      </c>
      <c r="B1176" s="4" t="s">
        <v>487</v>
      </c>
      <c r="C1176" s="4" t="s">
        <v>287</v>
      </c>
      <c r="D1176" s="94">
        <v>2766.0</v>
      </c>
    </row>
    <row r="1177">
      <c r="A1177" s="40" t="str">
        <f t="array" ref="A1177">IFNA(index(PlayerValues!A:A,match(IFNA(vlookup(B1177,'Special Names'!A:B,2,FALSE),B1177),PlayerValues!E:E,0)),"N/A")</f>
        <v>N/A</v>
      </c>
      <c r="B1177" s="4" t="s">
        <v>85</v>
      </c>
      <c r="C1177" s="4" t="s">
        <v>325</v>
      </c>
      <c r="D1177" s="94">
        <v>2765.0</v>
      </c>
    </row>
    <row r="1178">
      <c r="A1178" s="40">
        <f t="array" ref="A1178">IFNA(index(PlayerValues!A:A,match(IFNA(vlookup(B1178,'Special Names'!A:B,2,FALSE),B1178),PlayerValues!E:E,0)),"N/A")</f>
        <v>14778</v>
      </c>
      <c r="B1178" s="4" t="s">
        <v>564</v>
      </c>
      <c r="C1178" s="4" t="s">
        <v>283</v>
      </c>
      <c r="D1178" s="94">
        <v>2764.0</v>
      </c>
    </row>
    <row r="1179">
      <c r="A1179" s="40">
        <f t="array" ref="A1179">IFNA(index(PlayerValues!A:A,match(IFNA(vlookup(B1179,'Special Names'!A:B,2,FALSE),B1179),PlayerValues!E:E,0)),"N/A")</f>
        <v>16619</v>
      </c>
      <c r="B1179" s="4" t="s">
        <v>538</v>
      </c>
      <c r="C1179" s="4" t="s">
        <v>287</v>
      </c>
      <c r="D1179" s="94">
        <v>2751.0</v>
      </c>
    </row>
    <row r="1180">
      <c r="A1180" s="40">
        <f t="array" ref="A1180">IFNA(index(PlayerValues!A:A,match(IFNA(vlookup(B1180,'Special Names'!A:B,2,FALSE),B1180),PlayerValues!E:E,0)),"N/A")</f>
        <v>12616</v>
      </c>
      <c r="B1180" s="4" t="s">
        <v>529</v>
      </c>
      <c r="C1180" s="4" t="s">
        <v>283</v>
      </c>
      <c r="D1180" s="94">
        <v>2743.0</v>
      </c>
    </row>
    <row r="1181">
      <c r="A1181" s="40">
        <f t="array" ref="A1181">IFNA(index(PlayerValues!A:A,match(IFNA(vlookup(B1181,'Special Names'!A:B,2,FALSE),B1181),PlayerValues!E:E,0)),"N/A")</f>
        <v>17047</v>
      </c>
      <c r="B1181" s="4" t="s">
        <v>510</v>
      </c>
      <c r="C1181" s="4" t="s">
        <v>278</v>
      </c>
      <c r="D1181" s="94">
        <v>2740.0</v>
      </c>
    </row>
    <row r="1182">
      <c r="A1182" s="40">
        <f t="array" ref="A1182">IFNA(index(PlayerValues!A:A,match(IFNA(vlookup(B1182,'Special Names'!A:B,2,FALSE),B1182),PlayerValues!E:E,0)),"N/A")</f>
        <v>17073</v>
      </c>
      <c r="B1182" s="4" t="s">
        <v>547</v>
      </c>
      <c r="C1182" s="4" t="s">
        <v>287</v>
      </c>
      <c r="D1182" s="94">
        <v>2737.0</v>
      </c>
    </row>
    <row r="1183">
      <c r="A1183" s="40">
        <f t="array" ref="A1183">IFNA(index(PlayerValues!A:A,match(IFNA(vlookup(B1183,'Special Names'!A:B,2,FALSE),B1183),PlayerValues!E:E,0)),"N/A")</f>
        <v>17080</v>
      </c>
      <c r="B1183" s="4" t="s">
        <v>532</v>
      </c>
      <c r="C1183" s="4" t="s">
        <v>287</v>
      </c>
      <c r="D1183" s="94">
        <v>2732.0</v>
      </c>
    </row>
    <row r="1184">
      <c r="A1184" s="40">
        <f t="array" ref="A1184">IFNA(index(PlayerValues!A:A,match(IFNA(vlookup(B1184,'Special Names'!A:B,2,FALSE),B1184),PlayerValues!E:E,0)),"N/A")</f>
        <v>17503</v>
      </c>
      <c r="B1184" s="4" t="s">
        <v>480</v>
      </c>
      <c r="C1184" s="4" t="s">
        <v>287</v>
      </c>
      <c r="D1184" s="94">
        <v>2726.0</v>
      </c>
    </row>
    <row r="1185">
      <c r="A1185" s="40">
        <f t="array" ref="A1185">IFNA(index(PlayerValues!A:A,match(IFNA(vlookup(B1185,'Special Names'!A:B,2,FALSE),B1185),PlayerValues!E:E,0)),"N/A")</f>
        <v>17098</v>
      </c>
      <c r="B1185" s="4" t="s">
        <v>533</v>
      </c>
      <c r="C1185" s="4" t="s">
        <v>287</v>
      </c>
      <c r="D1185" s="94">
        <v>2722.0</v>
      </c>
    </row>
    <row r="1186">
      <c r="A1186" s="40">
        <f t="array" ref="A1186">IFNA(index(PlayerValues!A:A,match(IFNA(vlookup(B1186,'Special Names'!A:B,2,FALSE),B1186),PlayerValues!E:E,0)),"N/A")</f>
        <v>17107</v>
      </c>
      <c r="B1186" s="4" t="s">
        <v>478</v>
      </c>
      <c r="C1186" s="4" t="s">
        <v>298</v>
      </c>
      <c r="D1186" s="94">
        <v>3130.0</v>
      </c>
    </row>
    <row r="1187">
      <c r="A1187" s="40">
        <f t="array" ref="A1187">IFNA(index(PlayerValues!A:A,match(IFNA(vlookup(B1187,'Special Names'!A:B,2,FALSE),B1187),PlayerValues!E:E,0)),"N/A")</f>
        <v>15721</v>
      </c>
      <c r="B1187" s="4" t="s">
        <v>504</v>
      </c>
      <c r="C1187" s="4" t="s">
        <v>278</v>
      </c>
      <c r="D1187" s="94">
        <v>2714.0</v>
      </c>
    </row>
    <row r="1188">
      <c r="A1188" s="40">
        <f t="array" ref="A1188">IFNA(index(PlayerValues!A:A,match(IFNA(vlookup(B1188,'Special Names'!A:B,2,FALSE),B1188),PlayerValues!E:E,0)),"N/A")</f>
        <v>16596</v>
      </c>
      <c r="B1188" s="4" t="s">
        <v>501</v>
      </c>
      <c r="C1188" s="4" t="s">
        <v>278</v>
      </c>
      <c r="D1188" s="94">
        <v>2705.0</v>
      </c>
    </row>
    <row r="1189">
      <c r="A1189" s="40">
        <f t="array" ref="A1189">IFNA(index(PlayerValues!A:A,match(IFNA(vlookup(B1189,'Special Names'!A:B,2,FALSE),B1189),PlayerValues!E:E,0)),"N/A")</f>
        <v>14833</v>
      </c>
      <c r="B1189" s="4" t="s">
        <v>553</v>
      </c>
      <c r="C1189" s="4" t="s">
        <v>287</v>
      </c>
      <c r="D1189" s="94">
        <v>2704.0</v>
      </c>
    </row>
    <row r="1190">
      <c r="A1190" s="40">
        <f t="array" ref="A1190">IFNA(index(PlayerValues!A:A,match(IFNA(vlookup(B1190,'Special Names'!A:B,2,FALSE),B1190),PlayerValues!E:E,0)),"N/A")</f>
        <v>15972</v>
      </c>
      <c r="B1190" s="4" t="s">
        <v>469</v>
      </c>
      <c r="C1190" s="4" t="s">
        <v>278</v>
      </c>
      <c r="D1190" s="94">
        <v>2702.0</v>
      </c>
    </row>
    <row r="1191">
      <c r="A1191" s="40">
        <f t="array" ref="A1191">IFNA(index(PlayerValues!A:A,match(IFNA(vlookup(B1191,'Special Names'!A:B,2,FALSE),B1191),PlayerValues!E:E,0)),"N/A")</f>
        <v>17105</v>
      </c>
      <c r="B1191" s="4" t="s">
        <v>525</v>
      </c>
      <c r="C1191" s="4" t="s">
        <v>298</v>
      </c>
      <c r="D1191" s="94">
        <v>3109.0</v>
      </c>
    </row>
    <row r="1192">
      <c r="A1192" s="40">
        <f t="array" ref="A1192">IFNA(index(PlayerValues!A:A,match(IFNA(vlookup(B1192,'Special Names'!A:B,2,FALSE),B1192),PlayerValues!E:E,0)),"N/A")</f>
        <v>16165</v>
      </c>
      <c r="B1192" s="4" t="s">
        <v>520</v>
      </c>
      <c r="C1192" s="4" t="s">
        <v>278</v>
      </c>
      <c r="D1192" s="94">
        <v>2673.0</v>
      </c>
    </row>
    <row r="1193">
      <c r="A1193" s="40">
        <f t="array" ref="A1193">IFNA(index(PlayerValues!A:A,match(IFNA(vlookup(B1193,'Special Names'!A:B,2,FALSE),B1193),PlayerValues!E:E,0)),"N/A")</f>
        <v>14860</v>
      </c>
      <c r="B1193" s="4" t="s">
        <v>554</v>
      </c>
      <c r="C1193" s="4" t="s">
        <v>287</v>
      </c>
      <c r="D1193" s="94">
        <v>2664.0</v>
      </c>
    </row>
    <row r="1194">
      <c r="A1194" s="40">
        <f t="array" ref="A1194">IFNA(index(PlayerValues!A:A,match(IFNA(vlookup(B1194,'Special Names'!A:B,2,FALSE),B1194),PlayerValues!E:E,0)),"N/A")</f>
        <v>17171</v>
      </c>
      <c r="B1194" s="4" t="s">
        <v>561</v>
      </c>
      <c r="C1194" s="4" t="s">
        <v>287</v>
      </c>
      <c r="D1194" s="94">
        <v>2652.0</v>
      </c>
    </row>
    <row r="1195">
      <c r="A1195" s="40">
        <f t="array" ref="A1195">IFNA(index(PlayerValues!A:A,match(IFNA(vlookup(B1195,'Special Names'!A:B,2,FALSE),B1195),PlayerValues!E:E,0)),"N/A")</f>
        <v>16195</v>
      </c>
      <c r="B1195" s="4" t="s">
        <v>509</v>
      </c>
      <c r="C1195" s="4" t="s">
        <v>287</v>
      </c>
      <c r="D1195" s="94">
        <v>2649.0</v>
      </c>
    </row>
    <row r="1196">
      <c r="A1196" s="40">
        <f t="array" ref="A1196">IFNA(index(PlayerValues!A:A,match(IFNA(vlookup(B1196,'Special Names'!A:B,2,FALSE),B1196),PlayerValues!E:E,0)),"N/A")</f>
        <v>16747</v>
      </c>
      <c r="B1196" s="4" t="s">
        <v>555</v>
      </c>
      <c r="C1196" s="4" t="s">
        <v>278</v>
      </c>
      <c r="D1196" s="94">
        <v>2647.0</v>
      </c>
    </row>
    <row r="1197">
      <c r="A1197" s="40">
        <f t="array" ref="A1197">IFNA(index(PlayerValues!A:A,match(IFNA(vlookup(B1197,'Special Names'!A:B,2,FALSE),B1197),PlayerValues!E:E,0)),"N/A")</f>
        <v>17505</v>
      </c>
      <c r="B1197" s="4" t="s">
        <v>528</v>
      </c>
      <c r="C1197" s="4" t="s">
        <v>287</v>
      </c>
      <c r="D1197" s="94">
        <v>2646.0</v>
      </c>
    </row>
    <row r="1198">
      <c r="A1198" s="40" t="str">
        <f t="array" ref="A1198">IFNA(index(PlayerValues!A:A,match(IFNA(vlookup(B1198,'Special Names'!A:B,2,FALSE),B1198),PlayerValues!E:E,0)),"N/A")</f>
        <v>N/A</v>
      </c>
      <c r="B1198" s="4" t="s">
        <v>98</v>
      </c>
      <c r="C1198" s="4" t="s">
        <v>325</v>
      </c>
      <c r="D1198" s="94">
        <v>2638.0</v>
      </c>
    </row>
    <row r="1199">
      <c r="A1199" s="40">
        <f t="array" ref="A1199">IFNA(index(PlayerValues!A:A,match(IFNA(vlookup(B1199,'Special Names'!A:B,2,FALSE),B1199),PlayerValues!E:E,0)),"N/A")</f>
        <v>17082</v>
      </c>
      <c r="B1199" s="4" t="s">
        <v>498</v>
      </c>
      <c r="C1199" s="4" t="s">
        <v>287</v>
      </c>
      <c r="D1199" s="94">
        <v>2608.0</v>
      </c>
    </row>
    <row r="1200">
      <c r="A1200" s="40">
        <f t="array" ref="A1200">IFNA(index(PlayerValues!A:A,match(IFNA(vlookup(B1200,'Special Names'!A:B,2,FALSE),B1200),PlayerValues!E:E,0)),"N/A")</f>
        <v>13674</v>
      </c>
      <c r="B1200" s="4" t="s">
        <v>511</v>
      </c>
      <c r="C1200" s="4" t="s">
        <v>298</v>
      </c>
      <c r="D1200" s="94">
        <v>3017.0</v>
      </c>
    </row>
    <row r="1201">
      <c r="A1201" s="40">
        <f t="array" ref="A1201">IFNA(index(PlayerValues!A:A,match(IFNA(vlookup(B1201,'Special Names'!A:B,2,FALSE),B1201),PlayerValues!E:E,0)),"N/A")</f>
        <v>17509</v>
      </c>
      <c r="B1201" s="4" t="s">
        <v>551</v>
      </c>
      <c r="C1201" s="4" t="s">
        <v>287</v>
      </c>
      <c r="D1201" s="94">
        <v>2593.0</v>
      </c>
    </row>
    <row r="1202">
      <c r="A1202" s="40">
        <f t="array" ref="A1202">IFNA(index(PlayerValues!A:A,match(IFNA(vlookup(B1202,'Special Names'!A:B,2,FALSE),B1202),PlayerValues!E:E,0)),"N/A")</f>
        <v>17108</v>
      </c>
      <c r="B1202" s="4" t="s">
        <v>542</v>
      </c>
      <c r="C1202" s="4" t="s">
        <v>298</v>
      </c>
      <c r="D1202" s="94">
        <v>2984.0</v>
      </c>
    </row>
    <row r="1203">
      <c r="A1203" s="40">
        <f t="array" ref="A1203">IFNA(index(PlayerValues!A:A,match(IFNA(vlookup(B1203,'Special Names'!A:B,2,FALSE),B1203),PlayerValues!E:E,0)),"N/A")</f>
        <v>16287</v>
      </c>
      <c r="B1203" s="4" t="s">
        <v>516</v>
      </c>
      <c r="C1203" s="4" t="s">
        <v>287</v>
      </c>
      <c r="D1203" s="94">
        <v>2560.0</v>
      </c>
    </row>
    <row r="1204">
      <c r="A1204" s="40">
        <f t="array" ref="A1204">IFNA(index(PlayerValues!A:A,match(IFNA(vlookup(B1204,'Special Names'!A:B,2,FALSE),B1204),PlayerValues!E:E,0)),"N/A")</f>
        <v>16626</v>
      </c>
      <c r="B1204" s="4" t="s">
        <v>515</v>
      </c>
      <c r="C1204" s="4" t="s">
        <v>287</v>
      </c>
      <c r="D1204" s="94">
        <v>2557.0</v>
      </c>
    </row>
    <row r="1205">
      <c r="A1205" s="40">
        <f t="array" ref="A1205">IFNA(index(PlayerValues!A:A,match(IFNA(vlookup(B1205,'Special Names'!A:B,2,FALSE),B1205),PlayerValues!E:E,0)),"N/A")</f>
        <v>16617</v>
      </c>
      <c r="B1205" s="4" t="s">
        <v>541</v>
      </c>
      <c r="C1205" s="4" t="s">
        <v>287</v>
      </c>
      <c r="D1205" s="94">
        <v>2538.0</v>
      </c>
    </row>
    <row r="1206">
      <c r="A1206" s="40">
        <f t="array" ref="A1206">IFNA(index(PlayerValues!A:A,match(IFNA(vlookup(B1206,'Special Names'!A:B,2,FALSE),B1206),PlayerValues!E:E,0)),"N/A")</f>
        <v>17482</v>
      </c>
      <c r="B1206" s="4" t="s">
        <v>460</v>
      </c>
      <c r="C1206" s="4" t="s">
        <v>278</v>
      </c>
      <c r="D1206" s="94">
        <v>2523.0</v>
      </c>
    </row>
    <row r="1207">
      <c r="A1207" s="40">
        <f t="array" ref="A1207">IFNA(index(PlayerValues!A:A,match(IFNA(vlookup(B1207,'Special Names'!A:B,2,FALSE),B1207),PlayerValues!E:E,0)),"N/A")</f>
        <v>17134</v>
      </c>
      <c r="B1207" s="4" t="s">
        <v>548</v>
      </c>
      <c r="C1207" s="4" t="s">
        <v>287</v>
      </c>
      <c r="D1207" s="94">
        <v>2518.0</v>
      </c>
    </row>
    <row r="1208">
      <c r="A1208" s="40">
        <f t="array" ref="A1208">IFNA(index(PlayerValues!A:A,match(IFNA(vlookup(B1208,'Special Names'!A:B,2,FALSE),B1208),PlayerValues!E:E,0)),"N/A")</f>
        <v>17048</v>
      </c>
      <c r="B1208" s="4" t="s">
        <v>539</v>
      </c>
      <c r="C1208" s="4" t="s">
        <v>278</v>
      </c>
      <c r="D1208" s="94">
        <v>2496.0</v>
      </c>
    </row>
    <row r="1209">
      <c r="A1209" s="40">
        <f t="array" ref="A1209">IFNA(index(PlayerValues!A:A,match(IFNA(vlookup(B1209,'Special Names'!A:B,2,FALSE),B1209),PlayerValues!E:E,0)),"N/A")</f>
        <v>16684</v>
      </c>
      <c r="B1209" s="4" t="s">
        <v>500</v>
      </c>
      <c r="C1209" s="4" t="s">
        <v>287</v>
      </c>
      <c r="D1209" s="94">
        <v>2490.0</v>
      </c>
    </row>
    <row r="1210">
      <c r="A1210" s="40">
        <f t="array" ref="A1210">IFNA(index(PlayerValues!A:A,match(IFNA(vlookup(B1210,'Special Names'!A:B,2,FALSE),B1210),PlayerValues!E:E,0)),"N/A")</f>
        <v>16164</v>
      </c>
      <c r="B1210" s="4" t="s">
        <v>512</v>
      </c>
      <c r="C1210" s="4" t="s">
        <v>278</v>
      </c>
      <c r="D1210" s="94">
        <v>2489.0</v>
      </c>
    </row>
    <row r="1211">
      <c r="A1211" s="40">
        <f t="array" ref="A1211">IFNA(index(PlayerValues!A:A,match(IFNA(vlookup(B1211,'Special Names'!A:B,2,FALSE),B1211),PlayerValues!E:E,0)),"N/A")</f>
        <v>16174</v>
      </c>
      <c r="B1211" s="4" t="s">
        <v>505</v>
      </c>
      <c r="C1211" s="4" t="s">
        <v>278</v>
      </c>
      <c r="D1211" s="94">
        <v>2483.0</v>
      </c>
    </row>
    <row r="1212">
      <c r="A1212" s="40">
        <f t="array" ref="A1212">IFNA(index(PlayerValues!A:A,match(IFNA(vlookup(B1212,'Special Names'!A:B,2,FALSE),B1212),PlayerValues!E:E,0)),"N/A")</f>
        <v>17511</v>
      </c>
      <c r="B1212" s="4" t="s">
        <v>485</v>
      </c>
      <c r="C1212" s="4" t="s">
        <v>287</v>
      </c>
      <c r="D1212" s="94">
        <v>2468.0</v>
      </c>
    </row>
    <row r="1213">
      <c r="A1213" s="40">
        <f t="array" ref="A1213">IFNA(index(PlayerValues!A:A,match(IFNA(vlookup(B1213,'Special Names'!A:B,2,FALSE),B1213),PlayerValues!E:E,0)),"N/A")</f>
        <v>14840</v>
      </c>
      <c r="B1213" s="4" t="s">
        <v>731</v>
      </c>
      <c r="C1213" s="4" t="s">
        <v>287</v>
      </c>
      <c r="D1213" s="94">
        <v>2465.0</v>
      </c>
    </row>
    <row r="1214">
      <c r="A1214" s="40">
        <f t="array" ref="A1214">IFNA(index(PlayerValues!A:A,match(IFNA(vlookup(B1214,'Special Names'!A:B,2,FALSE),B1214),PlayerValues!E:E,0)),"N/A")</f>
        <v>16178</v>
      </c>
      <c r="B1214" s="4" t="s">
        <v>507</v>
      </c>
      <c r="C1214" s="4" t="s">
        <v>278</v>
      </c>
      <c r="D1214" s="94">
        <v>2463.0</v>
      </c>
    </row>
    <row r="1215">
      <c r="A1215" s="40">
        <f t="array" ref="A1215">IFNA(index(PlayerValues!A:A,match(IFNA(vlookup(B1215,'Special Names'!A:B,2,FALSE),B1215),PlayerValues!E:E,0)),"N/A")</f>
        <v>17507</v>
      </c>
      <c r="B1215" s="4" t="s">
        <v>495</v>
      </c>
      <c r="C1215" s="4" t="s">
        <v>287</v>
      </c>
      <c r="D1215" s="94">
        <v>2448.0</v>
      </c>
    </row>
    <row r="1216">
      <c r="A1216" s="40" t="str">
        <f t="array" ref="A1216">IFNA(index(PlayerValues!A:A,match(IFNA(vlookup(B1216,'Special Names'!A:B,2,FALSE),B1216),PlayerValues!E:E,0)),"N/A")</f>
        <v>N/A</v>
      </c>
      <c r="B1216" s="4" t="s">
        <v>557</v>
      </c>
      <c r="C1216" s="4" t="s">
        <v>278</v>
      </c>
      <c r="D1216" s="94">
        <v>2437.0</v>
      </c>
    </row>
    <row r="1217">
      <c r="A1217" s="40" t="str">
        <f t="array" ref="A1217">IFNA(index(PlayerValues!A:A,match(IFNA(vlookup(B1217,'Special Names'!A:B,2,FALSE),B1217),PlayerValues!E:E,0)),"N/A")</f>
        <v>N/A</v>
      </c>
      <c r="B1217" s="4" t="s">
        <v>99</v>
      </c>
      <c r="C1217" s="4" t="s">
        <v>325</v>
      </c>
      <c r="D1217" s="94">
        <v>2435.0</v>
      </c>
    </row>
    <row r="1218">
      <c r="A1218" s="40">
        <f t="array" ref="A1218">IFNA(index(PlayerValues!A:A,match(IFNA(vlookup(B1218,'Special Names'!A:B,2,FALSE),B1218),PlayerValues!E:E,0)),"N/A")</f>
        <v>13192</v>
      </c>
      <c r="B1218" s="4" t="s">
        <v>563</v>
      </c>
      <c r="C1218" s="4" t="s">
        <v>298</v>
      </c>
      <c r="D1218" s="94">
        <v>2836.0</v>
      </c>
    </row>
    <row r="1219">
      <c r="A1219" s="40">
        <f t="array" ref="A1219">IFNA(index(PlayerValues!A:A,match(IFNA(vlookup(B1219,'Special Names'!A:B,2,FALSE),B1219),PlayerValues!E:E,0)),"N/A")</f>
        <v>11244</v>
      </c>
      <c r="B1219" s="4" t="s">
        <v>519</v>
      </c>
      <c r="C1219" s="4" t="s">
        <v>298</v>
      </c>
      <c r="D1219" s="94">
        <v>2807.0</v>
      </c>
    </row>
    <row r="1220">
      <c r="A1220" s="40">
        <f t="array" ref="A1220">IFNA(index(PlayerValues!A:A,match(IFNA(vlookup(B1220,'Special Names'!A:B,2,FALSE),B1220),PlayerValues!E:E,0)),"N/A")</f>
        <v>15716</v>
      </c>
      <c r="B1220" s="4" t="s">
        <v>545</v>
      </c>
      <c r="C1220" s="4" t="s">
        <v>278</v>
      </c>
      <c r="D1220" s="94">
        <v>2404.0</v>
      </c>
    </row>
    <row r="1221">
      <c r="A1221" s="40">
        <f t="array" ref="A1221">IFNA(index(PlayerValues!A:A,match(IFNA(vlookup(B1221,'Special Names'!A:B,2,FALSE),B1221),PlayerValues!E:E,0)),"N/A")</f>
        <v>14861</v>
      </c>
      <c r="B1221" s="4" t="s">
        <v>523</v>
      </c>
      <c r="C1221" s="4" t="s">
        <v>298</v>
      </c>
      <c r="D1221" s="94">
        <v>2790.0</v>
      </c>
    </row>
    <row r="1222">
      <c r="A1222" s="40">
        <f t="array" ref="A1222">IFNA(index(PlayerValues!A:A,match(IFNA(vlookup(B1222,'Special Names'!A:B,2,FALSE),B1222),PlayerValues!E:E,0)),"N/A")</f>
        <v>17106</v>
      </c>
      <c r="B1222" s="4" t="s">
        <v>550</v>
      </c>
      <c r="C1222" s="4" t="s">
        <v>298</v>
      </c>
      <c r="D1222" s="94">
        <v>2776.0</v>
      </c>
    </row>
    <row r="1223">
      <c r="A1223" s="40">
        <f t="array" ref="A1223">IFNA(index(PlayerValues!A:A,match(IFNA(vlookup(B1223,'Special Names'!A:B,2,FALSE),B1223),PlayerValues!E:E,0)),"N/A")</f>
        <v>16204</v>
      </c>
      <c r="B1223" s="4" t="s">
        <v>530</v>
      </c>
      <c r="C1223" s="4" t="s">
        <v>287</v>
      </c>
      <c r="D1223" s="94">
        <v>2377.0</v>
      </c>
    </row>
    <row r="1224">
      <c r="A1224" s="40">
        <f t="array" ref="A1224">IFNA(index(PlayerValues!A:A,match(IFNA(vlookup(B1224,'Special Names'!A:B,2,FALSE),B1224),PlayerValues!E:E,0)),"N/A")</f>
        <v>14136</v>
      </c>
      <c r="B1224" s="4" t="s">
        <v>536</v>
      </c>
      <c r="C1224" s="4" t="s">
        <v>287</v>
      </c>
      <c r="D1224" s="94">
        <v>2376.0</v>
      </c>
    </row>
    <row r="1225">
      <c r="A1225" s="40">
        <f t="array" ref="A1225">IFNA(index(PlayerValues!A:A,match(IFNA(vlookup(B1225,'Special Names'!A:B,2,FALSE),B1225),PlayerValues!E:E,0)),"N/A")</f>
        <v>15786</v>
      </c>
      <c r="B1225" s="4" t="s">
        <v>521</v>
      </c>
      <c r="C1225" s="4" t="s">
        <v>287</v>
      </c>
      <c r="D1225" s="94">
        <v>2369.0</v>
      </c>
    </row>
    <row r="1226">
      <c r="A1226" s="40">
        <f t="array" ref="A1226">IFNA(index(PlayerValues!A:A,match(IFNA(vlookup(B1226,'Special Names'!A:B,2,FALSE),B1226),PlayerValues!E:E,0)),"N/A")</f>
        <v>17078</v>
      </c>
      <c r="B1226" s="4" t="s">
        <v>543</v>
      </c>
      <c r="C1226" s="4" t="s">
        <v>287</v>
      </c>
      <c r="D1226" s="94">
        <v>2369.0</v>
      </c>
    </row>
    <row r="1227">
      <c r="A1227" s="40">
        <f t="array" ref="A1227">IFNA(index(PlayerValues!A:A,match(IFNA(vlookup(B1227,'Special Names'!A:B,2,FALSE),B1227),PlayerValues!E:E,0)),"N/A")</f>
        <v>16649</v>
      </c>
      <c r="B1227" s="4" t="s">
        <v>586</v>
      </c>
      <c r="C1227" s="4" t="s">
        <v>298</v>
      </c>
      <c r="D1227" s="94">
        <v>2766.0</v>
      </c>
    </row>
    <row r="1228">
      <c r="A1228" s="40">
        <f t="array" ref="A1228">IFNA(index(PlayerValues!A:A,match(IFNA(vlookup(B1228,'Special Names'!A:B,2,FALSE),B1228),PlayerValues!E:E,0)),"N/A")</f>
        <v>16152</v>
      </c>
      <c r="B1228" s="4" t="s">
        <v>601</v>
      </c>
      <c r="C1228" s="4" t="s">
        <v>283</v>
      </c>
      <c r="D1228" s="94">
        <v>2363.0</v>
      </c>
    </row>
    <row r="1229">
      <c r="A1229" s="40">
        <f t="array" ref="A1229">IFNA(index(PlayerValues!A:A,match(IFNA(vlookup(B1229,'Special Names'!A:B,2,FALSE),B1229),PlayerValues!E:E,0)),"N/A")</f>
        <v>16594</v>
      </c>
      <c r="B1229" s="4" t="s">
        <v>607</v>
      </c>
      <c r="C1229" s="4" t="s">
        <v>278</v>
      </c>
      <c r="D1229" s="94">
        <v>2360.0</v>
      </c>
    </row>
    <row r="1230">
      <c r="A1230" s="40">
        <f t="array" ref="A1230">IFNA(index(PlayerValues!A:A,match(IFNA(vlookup(B1230,'Special Names'!A:B,2,FALSE),B1230),PlayerValues!E:E,0)),"N/A")</f>
        <v>17033</v>
      </c>
      <c r="B1230" s="4" t="s">
        <v>570</v>
      </c>
      <c r="C1230" s="4" t="s">
        <v>283</v>
      </c>
      <c r="D1230" s="94">
        <v>2358.0</v>
      </c>
    </row>
    <row r="1231">
      <c r="A1231" s="40">
        <f t="array" ref="A1231">IFNA(index(PlayerValues!A:A,match(IFNA(vlookup(B1231,'Special Names'!A:B,2,FALSE),B1231),PlayerValues!E:E,0)),"N/A")</f>
        <v>15802</v>
      </c>
      <c r="B1231" s="4" t="s">
        <v>566</v>
      </c>
      <c r="C1231" s="4" t="s">
        <v>298</v>
      </c>
      <c r="D1231" s="94">
        <v>2744.0</v>
      </c>
    </row>
    <row r="1232">
      <c r="A1232" s="40">
        <f t="array" ref="A1232">IFNA(index(PlayerValues!A:A,match(IFNA(vlookup(B1232,'Special Names'!A:B,2,FALSE),B1232),PlayerValues!E:E,0)),"N/A")</f>
        <v>16036</v>
      </c>
      <c r="B1232" s="4" t="s">
        <v>592</v>
      </c>
      <c r="C1232" s="4" t="s">
        <v>298</v>
      </c>
      <c r="D1232" s="94">
        <v>2738.0</v>
      </c>
    </row>
    <row r="1233">
      <c r="A1233" s="40">
        <f t="array" ref="A1233">IFNA(index(PlayerValues!A:A,match(IFNA(vlookup(B1233,'Special Names'!A:B,2,FALSE),B1233),PlayerValues!E:E,0)),"N/A")</f>
        <v>12676</v>
      </c>
      <c r="B1233" s="4" t="s">
        <v>537</v>
      </c>
      <c r="C1233" s="4" t="s">
        <v>298</v>
      </c>
      <c r="D1233" s="94">
        <v>2736.0</v>
      </c>
    </row>
    <row r="1234">
      <c r="A1234" s="40">
        <f t="array" ref="A1234">IFNA(index(PlayerValues!A:A,match(IFNA(vlookup(B1234,'Special Names'!A:B,2,FALSE),B1234),PlayerValues!E:E,0)),"N/A")</f>
        <v>16166</v>
      </c>
      <c r="B1234" s="4" t="s">
        <v>567</v>
      </c>
      <c r="C1234" s="4" t="s">
        <v>278</v>
      </c>
      <c r="D1234" s="94">
        <v>2312.0</v>
      </c>
    </row>
    <row r="1235">
      <c r="A1235" s="40">
        <f t="array" ref="A1235">IFNA(index(PlayerValues!A:A,match(IFNA(vlookup(B1235,'Special Names'!A:B,2,FALSE),B1235),PlayerValues!E:E,0)),"N/A")</f>
        <v>15749</v>
      </c>
      <c r="B1235" s="4" t="s">
        <v>574</v>
      </c>
      <c r="C1235" s="4" t="s">
        <v>278</v>
      </c>
      <c r="D1235" s="94">
        <v>2310.0</v>
      </c>
    </row>
    <row r="1236">
      <c r="A1236" s="40">
        <f t="array" ref="A1236">IFNA(index(PlayerValues!A:A,match(IFNA(vlookup(B1236,'Special Names'!A:B,2,FALSE),B1236),PlayerValues!E:E,0)),"N/A")</f>
        <v>16757</v>
      </c>
      <c r="B1236" s="4" t="s">
        <v>558</v>
      </c>
      <c r="C1236" s="4" t="s">
        <v>278</v>
      </c>
      <c r="D1236" s="94">
        <v>2309.0</v>
      </c>
    </row>
    <row r="1237">
      <c r="A1237" s="40">
        <f t="array" ref="A1237">IFNA(index(PlayerValues!A:A,match(IFNA(vlookup(B1237,'Special Names'!A:B,2,FALSE),B1237),PlayerValues!E:E,0)),"N/A")</f>
        <v>17474</v>
      </c>
      <c r="B1237" s="4" t="s">
        <v>513</v>
      </c>
      <c r="C1237" s="4" t="s">
        <v>278</v>
      </c>
      <c r="D1237" s="94">
        <v>2292.0</v>
      </c>
    </row>
    <row r="1238">
      <c r="A1238" s="40">
        <f t="array" ref="A1238">IFNA(index(PlayerValues!A:A,match(IFNA(vlookup(B1238,'Special Names'!A:B,2,FALSE),B1238),PlayerValues!E:E,0)),"N/A")</f>
        <v>13772</v>
      </c>
      <c r="B1238" s="4" t="s">
        <v>544</v>
      </c>
      <c r="C1238" s="4" t="s">
        <v>298</v>
      </c>
      <c r="D1238" s="94">
        <v>2687.0</v>
      </c>
    </row>
    <row r="1239">
      <c r="A1239" s="40">
        <f t="array" ref="A1239">IFNA(index(PlayerValues!A:A,match(IFNA(vlookup(B1239,'Special Names'!A:B,2,FALSE),B1239),PlayerValues!E:E,0)),"N/A")</f>
        <v>17508</v>
      </c>
      <c r="B1239" s="4" t="s">
        <v>534</v>
      </c>
      <c r="C1239" s="4" t="s">
        <v>287</v>
      </c>
      <c r="D1239" s="94">
        <v>2272.0</v>
      </c>
    </row>
    <row r="1240">
      <c r="A1240" s="40" t="str">
        <f t="array" ref="A1240">IFNA(index(PlayerValues!A:A,match(IFNA(vlookup(B1240,'Special Names'!A:B,2,FALSE),B1240),PlayerValues!E:E,0)),"N/A")</f>
        <v>N/A</v>
      </c>
      <c r="B1240" s="4" t="s">
        <v>86</v>
      </c>
      <c r="C1240" s="4" t="s">
        <v>325</v>
      </c>
      <c r="D1240" s="94">
        <v>2265.0</v>
      </c>
    </row>
    <row r="1241">
      <c r="A1241" s="40">
        <f t="array" ref="A1241">IFNA(index(PlayerValues!A:A,match(IFNA(vlookup(B1241,'Special Names'!A:B,2,FALSE),B1241),PlayerValues!E:E,0)),"N/A")</f>
        <v>16189</v>
      </c>
      <c r="B1241" s="4" t="s">
        <v>582</v>
      </c>
      <c r="C1241" s="4" t="s">
        <v>287</v>
      </c>
      <c r="D1241" s="94">
        <v>2242.0</v>
      </c>
    </row>
    <row r="1242">
      <c r="A1242" s="40">
        <f t="array" ref="A1242">IFNA(index(PlayerValues!A:A,match(IFNA(vlookup(B1242,'Special Names'!A:B,2,FALSE),B1242),PlayerValues!E:E,0)),"N/A")</f>
        <v>17512</v>
      </c>
      <c r="B1242" s="4" t="s">
        <v>483</v>
      </c>
      <c r="C1242" s="4" t="s">
        <v>287</v>
      </c>
      <c r="D1242" s="94">
        <v>2241.0</v>
      </c>
    </row>
    <row r="1243">
      <c r="A1243" s="40">
        <f t="array" ref="A1243">IFNA(index(PlayerValues!A:A,match(IFNA(vlookup(B1243,'Special Names'!A:B,2,FALSE),B1243),PlayerValues!E:E,0)),"N/A")</f>
        <v>17517</v>
      </c>
      <c r="B1243" s="4" t="s">
        <v>454</v>
      </c>
      <c r="C1243" s="4" t="s">
        <v>287</v>
      </c>
      <c r="D1243" s="94">
        <v>2235.0</v>
      </c>
    </row>
    <row r="1244">
      <c r="A1244" s="40">
        <f t="array" ref="A1244">IFNA(index(PlayerValues!A:A,match(IFNA(vlookup(B1244,'Special Names'!A:B,2,FALSE),B1244),PlayerValues!E:E,0)),"N/A")</f>
        <v>13319</v>
      </c>
      <c r="B1244" s="4" t="s">
        <v>549</v>
      </c>
      <c r="C1244" s="4" t="s">
        <v>278</v>
      </c>
      <c r="D1244" s="94">
        <v>2235.0</v>
      </c>
    </row>
    <row r="1245">
      <c r="A1245" s="40">
        <f t="array" ref="A1245">IFNA(index(PlayerValues!A:A,match(IFNA(vlookup(B1245,'Special Names'!A:B,2,FALSE),B1245),PlayerValues!E:E,0)),"N/A")</f>
        <v>16610</v>
      </c>
      <c r="B1245" s="4" t="s">
        <v>562</v>
      </c>
      <c r="C1245" s="4" t="s">
        <v>278</v>
      </c>
      <c r="D1245" s="94">
        <v>2233.0</v>
      </c>
    </row>
    <row r="1246">
      <c r="A1246" s="40">
        <f t="array" ref="A1246">IFNA(index(PlayerValues!A:A,match(IFNA(vlookup(B1246,'Special Names'!A:B,2,FALSE),B1246),PlayerValues!E:E,0)),"N/A")</f>
        <v>17478</v>
      </c>
      <c r="B1246" s="4" t="s">
        <v>527</v>
      </c>
      <c r="C1246" s="4" t="s">
        <v>278</v>
      </c>
      <c r="D1246" s="94">
        <v>2207.0</v>
      </c>
    </row>
    <row r="1247">
      <c r="A1247" s="40">
        <f t="array" ref="A1247">IFNA(index(PlayerValues!A:A,match(IFNA(vlookup(B1247,'Special Names'!A:B,2,FALSE),B1247),PlayerValues!E:E,0)),"N/A")</f>
        <v>17079</v>
      </c>
      <c r="B1247" s="4" t="s">
        <v>572</v>
      </c>
      <c r="C1247" s="4" t="s">
        <v>287</v>
      </c>
      <c r="D1247" s="94">
        <v>2201.0</v>
      </c>
    </row>
    <row r="1248">
      <c r="A1248" s="40">
        <f t="array" ref="A1248">IFNA(index(PlayerValues!A:A,match(IFNA(vlookup(B1248,'Special Names'!A:B,2,FALSE),B1248),PlayerValues!E:E,0)),"N/A")</f>
        <v>16212</v>
      </c>
      <c r="B1248" s="4" t="s">
        <v>568</v>
      </c>
      <c r="C1248" s="4" t="s">
        <v>298</v>
      </c>
      <c r="D1248" s="94">
        <v>2554.0</v>
      </c>
    </row>
    <row r="1249">
      <c r="A1249" s="40" t="str">
        <f t="array" ref="A1249">IFNA(index(PlayerValues!A:A,match(IFNA(vlookup(B1249,'Special Names'!A:B,2,FALSE),B1249),PlayerValues!E:E,0)),"N/A")</f>
        <v>N/A</v>
      </c>
      <c r="B1249" s="4" t="s">
        <v>100</v>
      </c>
      <c r="C1249" s="4" t="s">
        <v>325</v>
      </c>
      <c r="D1249" s="94">
        <v>2163.0</v>
      </c>
    </row>
    <row r="1250">
      <c r="A1250" s="40">
        <f t="array" ref="A1250">IFNA(index(PlayerValues!A:A,match(IFNA(vlookup(B1250,'Special Names'!A:B,2,FALSE),B1250),PlayerValues!E:E,0)),"N/A")</f>
        <v>17046</v>
      </c>
      <c r="B1250" s="4" t="s">
        <v>602</v>
      </c>
      <c r="C1250" s="4" t="s">
        <v>278</v>
      </c>
      <c r="D1250" s="94">
        <v>2157.0</v>
      </c>
    </row>
    <row r="1251">
      <c r="A1251" s="40" t="str">
        <f t="array" ref="A1251">IFNA(index(PlayerValues!A:A,match(IFNA(vlookup(B1251,'Special Names'!A:B,2,FALSE),B1251),PlayerValues!E:E,0)),"N/A")</f>
        <v>N/A</v>
      </c>
      <c r="B1251" s="4" t="s">
        <v>112</v>
      </c>
      <c r="C1251" s="4" t="s">
        <v>325</v>
      </c>
      <c r="D1251" s="94">
        <v>2151.0</v>
      </c>
    </row>
    <row r="1252">
      <c r="A1252" s="40">
        <f t="array" ref="A1252">IFNA(index(PlayerValues!A:A,match(IFNA(vlookup(B1252,'Special Names'!A:B,2,FALSE),B1252),PlayerValues!E:E,0)),"N/A")</f>
        <v>11150</v>
      </c>
      <c r="B1252" s="4" t="s">
        <v>559</v>
      </c>
      <c r="C1252" s="4" t="s">
        <v>283</v>
      </c>
      <c r="D1252" s="94">
        <v>2147.0</v>
      </c>
    </row>
    <row r="1253">
      <c r="A1253" s="40">
        <f t="array" ref="A1253">IFNA(index(PlayerValues!A:A,match(IFNA(vlookup(B1253,'Special Names'!A:B,2,FALSE),B1253),PlayerValues!E:E,0)),"N/A")</f>
        <v>17056</v>
      </c>
      <c r="B1253" s="4" t="s">
        <v>581</v>
      </c>
      <c r="C1253" s="4" t="s">
        <v>278</v>
      </c>
      <c r="D1253" s="94">
        <v>2147.0</v>
      </c>
    </row>
    <row r="1254">
      <c r="A1254" s="40">
        <f t="array" ref="A1254">IFNA(index(PlayerValues!A:A,match(IFNA(vlookup(B1254,'Special Names'!A:B,2,FALSE),B1254),PlayerValues!E:E,0)),"N/A")</f>
        <v>15238</v>
      </c>
      <c r="B1254" s="4" t="s">
        <v>613</v>
      </c>
      <c r="C1254" s="4" t="s">
        <v>283</v>
      </c>
      <c r="D1254" s="94">
        <v>2141.0</v>
      </c>
    </row>
    <row r="1255">
      <c r="A1255" s="40">
        <f t="array" ref="A1255">IFNA(index(PlayerValues!A:A,match(IFNA(vlookup(B1255,'Special Names'!A:B,2,FALSE),B1255),PlayerValues!E:E,0)),"N/A")</f>
        <v>12186</v>
      </c>
      <c r="B1255" s="4" t="s">
        <v>497</v>
      </c>
      <c r="C1255" s="4" t="s">
        <v>287</v>
      </c>
      <c r="D1255" s="94">
        <v>2140.0</v>
      </c>
    </row>
    <row r="1256">
      <c r="A1256" s="40">
        <f t="array" ref="A1256">IFNA(index(PlayerValues!A:A,match(IFNA(vlookup(B1256,'Special Names'!A:B,2,FALSE),B1256),PlayerValues!E:E,0)),"N/A")</f>
        <v>15331</v>
      </c>
      <c r="B1256" s="4" t="s">
        <v>560</v>
      </c>
      <c r="C1256" s="4" t="s">
        <v>298</v>
      </c>
      <c r="D1256" s="94">
        <v>2530.0</v>
      </c>
    </row>
    <row r="1257">
      <c r="A1257" s="40">
        <f t="array" ref="A1257">IFNA(index(PlayerValues!A:A,match(IFNA(vlookup(B1257,'Special Names'!A:B,2,FALSE),B1257),PlayerValues!E:E,0)),"N/A")</f>
        <v>14974</v>
      </c>
      <c r="B1257" s="4" t="s">
        <v>611</v>
      </c>
      <c r="C1257" s="4" t="s">
        <v>287</v>
      </c>
      <c r="D1257" s="94">
        <v>2133.0</v>
      </c>
    </row>
    <row r="1258">
      <c r="A1258" s="40">
        <f t="array" ref="A1258">IFNA(index(PlayerValues!A:A,match(IFNA(vlookup(B1258,'Special Names'!A:B,2,FALSE),B1258),PlayerValues!E:E,0)),"N/A")</f>
        <v>12801</v>
      </c>
      <c r="B1258" s="4" t="s">
        <v>722</v>
      </c>
      <c r="C1258" s="4" t="s">
        <v>287</v>
      </c>
      <c r="D1258" s="94">
        <v>2122.0</v>
      </c>
    </row>
    <row r="1259">
      <c r="A1259" s="40" t="str">
        <f t="array" ref="A1259">IFNA(index(PlayerValues!A:A,match(IFNA(vlookup(B1259,'Special Names'!A:B,2,FALSE),B1259),PlayerValues!E:E,0)),"N/A")</f>
        <v>N/A</v>
      </c>
      <c r="B1259" s="4" t="s">
        <v>87</v>
      </c>
      <c r="C1259" s="4" t="s">
        <v>325</v>
      </c>
      <c r="D1259" s="94">
        <v>2116.0</v>
      </c>
    </row>
    <row r="1260">
      <c r="A1260" s="40">
        <f t="array" ref="A1260">IFNA(index(PlayerValues!A:A,match(IFNA(vlookup(B1260,'Special Names'!A:B,2,FALSE),B1260),PlayerValues!E:E,0)),"N/A")</f>
        <v>16643</v>
      </c>
      <c r="B1260" s="4" t="s">
        <v>609</v>
      </c>
      <c r="C1260" s="4" t="s">
        <v>298</v>
      </c>
      <c r="D1260" s="94">
        <v>2491.0</v>
      </c>
    </row>
    <row r="1261">
      <c r="A1261" s="40">
        <f t="array" ref="A1261">IFNA(index(PlayerValues!A:A,match(IFNA(vlookup(B1261,'Special Names'!A:B,2,FALSE),B1261),PlayerValues!E:E,0)),"N/A")</f>
        <v>16432</v>
      </c>
      <c r="B1261" s="4" t="s">
        <v>620</v>
      </c>
      <c r="C1261" s="4" t="s">
        <v>278</v>
      </c>
      <c r="D1261" s="94">
        <v>2086.0</v>
      </c>
    </row>
    <row r="1262">
      <c r="A1262" s="40">
        <f t="array" ref="A1262">IFNA(index(PlayerValues!A:A,match(IFNA(vlookup(B1262,'Special Names'!A:B,2,FALSE),B1262),PlayerValues!E:E,0)),"N/A")</f>
        <v>17076</v>
      </c>
      <c r="B1262" s="4" t="s">
        <v>585</v>
      </c>
      <c r="C1262" s="4" t="s">
        <v>287</v>
      </c>
      <c r="D1262" s="94">
        <v>2086.0</v>
      </c>
    </row>
    <row r="1263">
      <c r="A1263" s="40">
        <f t="array" ref="A1263">IFNA(index(PlayerValues!A:A,match(IFNA(vlookup(B1263,'Special Names'!A:B,2,FALSE),B1263),PlayerValues!E:E,0)),"N/A")</f>
        <v>17055</v>
      </c>
      <c r="B1263" s="4" t="s">
        <v>565</v>
      </c>
      <c r="C1263" s="4" t="s">
        <v>278</v>
      </c>
      <c r="D1263" s="94">
        <v>2082.0</v>
      </c>
    </row>
    <row r="1264">
      <c r="A1264" s="40">
        <f t="array" ref="A1264">IFNA(index(PlayerValues!A:A,match(IFNA(vlookup(B1264,'Special Names'!A:B,2,FALSE),B1264),PlayerValues!E:E,0)),"N/A")</f>
        <v>17087</v>
      </c>
      <c r="B1264" s="4" t="s">
        <v>600</v>
      </c>
      <c r="C1264" s="4" t="s">
        <v>287</v>
      </c>
      <c r="D1264" s="94">
        <v>2082.0</v>
      </c>
    </row>
    <row r="1265">
      <c r="A1265" s="40" t="str">
        <f t="array" ref="A1265">IFNA(index(PlayerValues!A:A,match(IFNA(vlookup(B1265,'Special Names'!A:B,2,FALSE),B1265),PlayerValues!E:E,0)),"N/A")</f>
        <v>N/A</v>
      </c>
      <c r="B1265" s="4" t="s">
        <v>113</v>
      </c>
      <c r="C1265" s="4" t="s">
        <v>325</v>
      </c>
      <c r="D1265" s="94">
        <v>2076.0</v>
      </c>
    </row>
    <row r="1266">
      <c r="A1266" s="40">
        <f t="array" ref="A1266">IFNA(index(PlayerValues!A:A,match(IFNA(vlookup(B1266,'Special Names'!A:B,2,FALSE),B1266),PlayerValues!E:E,0)),"N/A")</f>
        <v>13633</v>
      </c>
      <c r="B1266" s="4" t="s">
        <v>625</v>
      </c>
      <c r="C1266" s="4" t="s">
        <v>287</v>
      </c>
      <c r="D1266" s="94">
        <v>2066.0</v>
      </c>
    </row>
    <row r="1267">
      <c r="A1267" s="40">
        <f t="array" ref="A1267">IFNA(index(PlayerValues!A:A,match(IFNA(vlookup(B1267,'Special Names'!A:B,2,FALSE),B1267),PlayerValues!E:E,0)),"N/A")</f>
        <v>17061</v>
      </c>
      <c r="B1267" s="4" t="s">
        <v>580</v>
      </c>
      <c r="C1267" s="4" t="s">
        <v>278</v>
      </c>
      <c r="D1267" s="94">
        <v>2065.0</v>
      </c>
    </row>
    <row r="1268">
      <c r="A1268" s="40">
        <f t="array" ref="A1268">IFNA(index(PlayerValues!A:A,match(IFNA(vlookup(B1268,'Special Names'!A:B,2,FALSE),B1268),PlayerValues!E:E,0)),"N/A")</f>
        <v>15293</v>
      </c>
      <c r="B1268" s="4" t="s">
        <v>578</v>
      </c>
      <c r="C1268" s="4" t="s">
        <v>287</v>
      </c>
      <c r="D1268" s="94">
        <v>2061.0</v>
      </c>
    </row>
    <row r="1269">
      <c r="A1269" s="40">
        <f t="array" ref="A1269">IFNA(index(PlayerValues!A:A,match(IFNA(vlookup(B1269,'Special Names'!A:B,2,FALSE),B1269),PlayerValues!E:E,0)),"N/A")</f>
        <v>16639</v>
      </c>
      <c r="B1269" s="4" t="s">
        <v>599</v>
      </c>
      <c r="C1269" s="4" t="s">
        <v>287</v>
      </c>
      <c r="D1269" s="94">
        <v>2051.0</v>
      </c>
    </row>
    <row r="1270">
      <c r="A1270" s="40">
        <f t="array" ref="A1270">IFNA(index(PlayerValues!A:A,match(IFNA(vlookup(B1270,'Special Names'!A:B,2,FALSE),B1270),PlayerValues!E:E,0)),"N/A")</f>
        <v>13132</v>
      </c>
      <c r="B1270" s="4" t="s">
        <v>598</v>
      </c>
      <c r="C1270" s="4" t="s">
        <v>278</v>
      </c>
      <c r="D1270" s="94">
        <v>2045.0</v>
      </c>
    </row>
    <row r="1271">
      <c r="A1271" s="40">
        <f t="array" ref="A1271">IFNA(index(PlayerValues!A:A,match(IFNA(vlookup(B1271,'Special Names'!A:B,2,FALSE),B1271),PlayerValues!E:E,0)),"N/A")</f>
        <v>14867</v>
      </c>
      <c r="B1271" s="4" t="s">
        <v>591</v>
      </c>
      <c r="C1271" s="4" t="s">
        <v>298</v>
      </c>
      <c r="D1271" s="94">
        <v>2433.0</v>
      </c>
    </row>
    <row r="1272">
      <c r="A1272" s="40">
        <f t="array" ref="A1272">IFNA(index(PlayerValues!A:A,match(IFNA(vlookup(B1272,'Special Names'!A:B,2,FALSE),B1272),PlayerValues!E:E,0)),"N/A")</f>
        <v>17060</v>
      </c>
      <c r="B1272" s="4" t="s">
        <v>603</v>
      </c>
      <c r="C1272" s="4" t="s">
        <v>278</v>
      </c>
      <c r="D1272" s="94">
        <v>2043.0</v>
      </c>
    </row>
    <row r="1273">
      <c r="A1273" s="40">
        <f t="array" ref="A1273">IFNA(index(PlayerValues!A:A,match(IFNA(vlookup(B1273,'Special Names'!A:B,2,FALSE),B1273),PlayerValues!E:E,0)),"N/A")</f>
        <v>17069</v>
      </c>
      <c r="B1273" s="4" t="s">
        <v>604</v>
      </c>
      <c r="C1273" s="4" t="s">
        <v>278</v>
      </c>
      <c r="D1273" s="94">
        <v>2039.0</v>
      </c>
    </row>
    <row r="1274">
      <c r="A1274" s="40">
        <f t="array" ref="A1274">IFNA(index(PlayerValues!A:A,match(IFNA(vlookup(B1274,'Special Names'!A:B,2,FALSE),B1274),PlayerValues!E:E,0)),"N/A")</f>
        <v>16342</v>
      </c>
      <c r="B1274" s="4" t="s">
        <v>583</v>
      </c>
      <c r="C1274" s="4" t="s">
        <v>287</v>
      </c>
      <c r="D1274" s="94">
        <v>2031.0</v>
      </c>
    </row>
    <row r="1275">
      <c r="A1275" s="40" t="str">
        <f t="array" ref="A1275">IFNA(index(PlayerValues!A:A,match(IFNA(vlookup(B1275,'Special Names'!A:B,2,FALSE),B1275),PlayerValues!E:E,0)),"N/A")</f>
        <v>N/A</v>
      </c>
      <c r="B1275" s="4" t="s">
        <v>88</v>
      </c>
      <c r="C1275" s="4" t="s">
        <v>325</v>
      </c>
      <c r="D1275" s="94">
        <v>2023.0</v>
      </c>
    </row>
    <row r="1276">
      <c r="A1276" s="40">
        <f t="array" ref="A1276">IFNA(index(PlayerValues!A:A,match(IFNA(vlookup(B1276,'Special Names'!A:B,2,FALSE),B1276),PlayerValues!E:E,0)),"N/A")</f>
        <v>14871</v>
      </c>
      <c r="B1276" s="4" t="s">
        <v>584</v>
      </c>
      <c r="C1276" s="4" t="s">
        <v>298</v>
      </c>
      <c r="D1276" s="94">
        <v>2400.0</v>
      </c>
    </row>
    <row r="1277">
      <c r="A1277" s="40">
        <f t="array" ref="A1277">IFNA(index(PlayerValues!A:A,match(IFNA(vlookup(B1277,'Special Names'!A:B,2,FALSE),B1277),PlayerValues!E:E,0)),"N/A")</f>
        <v>13146</v>
      </c>
      <c r="B1277" s="4" t="s">
        <v>652</v>
      </c>
      <c r="C1277" s="4" t="s">
        <v>278</v>
      </c>
      <c r="D1277" s="94">
        <v>1984.0</v>
      </c>
    </row>
    <row r="1278">
      <c r="A1278" s="40">
        <f t="array" ref="A1278">IFNA(index(PlayerValues!A:A,match(IFNA(vlookup(B1278,'Special Names'!A:B,2,FALSE),B1278),PlayerValues!E:E,0)),"N/A")</f>
        <v>10700</v>
      </c>
      <c r="B1278" s="4" t="s">
        <v>596</v>
      </c>
      <c r="C1278" s="4" t="s">
        <v>283</v>
      </c>
      <c r="D1278" s="94">
        <v>1981.0</v>
      </c>
    </row>
    <row r="1279">
      <c r="A1279" s="40">
        <f t="array" ref="A1279">IFNA(index(PlayerValues!A:A,match(IFNA(vlookup(B1279,'Special Names'!A:B,2,FALSE),B1279),PlayerValues!E:E,0)),"N/A")</f>
        <v>16191</v>
      </c>
      <c r="B1279" s="4" t="s">
        <v>666</v>
      </c>
      <c r="C1279" s="4" t="s">
        <v>287</v>
      </c>
      <c r="D1279" s="94">
        <v>1980.0</v>
      </c>
    </row>
    <row r="1280">
      <c r="A1280" s="40">
        <f t="array" ref="A1280">IFNA(index(PlayerValues!A:A,match(IFNA(vlookup(B1280,'Special Names'!A:B,2,FALSE),B1280),PlayerValues!E:E,0)),"N/A")</f>
        <v>17036</v>
      </c>
      <c r="B1280" s="4" t="s">
        <v>617</v>
      </c>
      <c r="C1280" s="4" t="s">
        <v>283</v>
      </c>
      <c r="D1280" s="94">
        <v>1971.0</v>
      </c>
    </row>
    <row r="1281">
      <c r="A1281" s="40">
        <f t="array" ref="A1281">IFNA(index(PlayerValues!A:A,match(IFNA(vlookup(B1281,'Special Names'!A:B,2,FALSE),B1281),PlayerValues!E:E,0)),"N/A")</f>
        <v>16171</v>
      </c>
      <c r="B1281" s="4" t="s">
        <v>618</v>
      </c>
      <c r="C1281" s="4" t="s">
        <v>278</v>
      </c>
      <c r="D1281" s="94">
        <v>1957.0</v>
      </c>
    </row>
    <row r="1282">
      <c r="A1282" s="40">
        <f t="array" ref="A1282">IFNA(index(PlayerValues!A:A,match(IFNA(vlookup(B1282,'Special Names'!A:B,2,FALSE),B1282),PlayerValues!E:E,0)),"N/A")</f>
        <v>16603</v>
      </c>
      <c r="B1282" s="4" t="s">
        <v>587</v>
      </c>
      <c r="C1282" s="4" t="s">
        <v>278</v>
      </c>
      <c r="D1282" s="94">
        <v>1954.0</v>
      </c>
    </row>
    <row r="1283">
      <c r="A1283" s="40">
        <f t="array" ref="A1283">IFNA(index(PlayerValues!A:A,match(IFNA(vlookup(B1283,'Special Names'!A:B,2,FALSE),B1283),PlayerValues!E:E,0)),"N/A")</f>
        <v>13629</v>
      </c>
      <c r="B1283" s="4" t="s">
        <v>619</v>
      </c>
      <c r="C1283" s="4" t="s">
        <v>287</v>
      </c>
      <c r="D1283" s="94">
        <v>1952.0</v>
      </c>
    </row>
    <row r="1284">
      <c r="A1284" s="40">
        <f t="array" ref="A1284">IFNA(index(PlayerValues!A:A,match(IFNA(vlookup(B1284,'Special Names'!A:B,2,FALSE),B1284),PlayerValues!E:E,0)),"N/A")</f>
        <v>17184</v>
      </c>
      <c r="B1284" s="4" t="s">
        <v>588</v>
      </c>
      <c r="C1284" s="4" t="s">
        <v>287</v>
      </c>
      <c r="D1284" s="94">
        <v>1936.0</v>
      </c>
    </row>
    <row r="1285">
      <c r="A1285" s="40">
        <f t="array" ref="A1285">IFNA(index(PlayerValues!A:A,match(IFNA(vlookup(B1285,'Special Names'!A:B,2,FALSE),B1285),PlayerValues!E:E,0)),"N/A")</f>
        <v>16216</v>
      </c>
      <c r="B1285" s="4" t="s">
        <v>595</v>
      </c>
      <c r="C1285" s="4" t="s">
        <v>298</v>
      </c>
      <c r="D1285" s="94">
        <v>2304.0</v>
      </c>
    </row>
    <row r="1286">
      <c r="A1286" s="40">
        <f t="array" ref="A1286">IFNA(index(PlayerValues!A:A,match(IFNA(vlookup(B1286,'Special Names'!A:B,2,FALSE),B1286),PlayerValues!E:E,0)),"N/A")</f>
        <v>13189</v>
      </c>
      <c r="B1286" s="4" t="s">
        <v>626</v>
      </c>
      <c r="C1286" s="4" t="s">
        <v>298</v>
      </c>
      <c r="D1286" s="94">
        <v>2296.0</v>
      </c>
    </row>
    <row r="1287">
      <c r="A1287" s="40">
        <f t="array" ref="A1287">IFNA(index(PlayerValues!A:A,match(IFNA(vlookup(B1287,'Special Names'!A:B,2,FALSE),B1287),PlayerValues!E:E,0)),"N/A")</f>
        <v>17049</v>
      </c>
      <c r="B1287" s="4" t="s">
        <v>624</v>
      </c>
      <c r="C1287" s="4" t="s">
        <v>278</v>
      </c>
      <c r="D1287" s="94">
        <v>1907.0</v>
      </c>
    </row>
    <row r="1288">
      <c r="A1288" s="40">
        <f t="array" ref="A1288">IFNA(index(PlayerValues!A:A,match(IFNA(vlookup(B1288,'Special Names'!A:B,2,FALSE),B1288),PlayerValues!E:E,0)),"N/A")</f>
        <v>13113</v>
      </c>
      <c r="B1288" s="4" t="s">
        <v>606</v>
      </c>
      <c r="C1288" s="4" t="s">
        <v>283</v>
      </c>
      <c r="D1288" s="94">
        <v>1895.0</v>
      </c>
    </row>
    <row r="1289">
      <c r="A1289" s="40" t="str">
        <f t="array" ref="A1289">IFNA(index(PlayerValues!A:A,match(IFNA(vlookup(B1289,'Special Names'!A:B,2,FALSE),B1289),PlayerValues!E:E,0)),"N/A")</f>
        <v>N/A</v>
      </c>
      <c r="B1289" s="4" t="s">
        <v>101</v>
      </c>
      <c r="C1289" s="4" t="s">
        <v>325</v>
      </c>
      <c r="D1289" s="94">
        <v>1881.0</v>
      </c>
    </row>
    <row r="1290">
      <c r="A1290" s="40">
        <f t="array" ref="A1290">IFNA(index(PlayerValues!A:A,match(IFNA(vlookup(B1290,'Special Names'!A:B,2,FALSE),B1290),PlayerValues!E:E,0)),"N/A")</f>
        <v>15254</v>
      </c>
      <c r="B1290" s="4" t="s">
        <v>633</v>
      </c>
      <c r="C1290" s="4" t="s">
        <v>278</v>
      </c>
      <c r="D1290" s="94">
        <v>1877.0</v>
      </c>
    </row>
    <row r="1291">
      <c r="A1291" s="40">
        <f t="array" ref="A1291">IFNA(index(PlayerValues!A:A,match(IFNA(vlookup(B1291,'Special Names'!A:B,2,FALSE),B1291),PlayerValues!E:E,0)),"N/A")</f>
        <v>16604</v>
      </c>
      <c r="B1291" s="4" t="s">
        <v>476</v>
      </c>
      <c r="C1291" s="4" t="s">
        <v>278</v>
      </c>
      <c r="D1291" s="94">
        <v>1857.0</v>
      </c>
    </row>
    <row r="1292">
      <c r="A1292" s="40">
        <f t="array" ref="A1292">IFNA(index(PlayerValues!A:A,match(IFNA(vlookup(B1292,'Special Names'!A:B,2,FALSE),B1292),PlayerValues!E:E,0)),"N/A")</f>
        <v>17034</v>
      </c>
      <c r="B1292" s="4" t="s">
        <v>643</v>
      </c>
      <c r="C1292" s="4" t="s">
        <v>283</v>
      </c>
      <c r="D1292" s="94">
        <v>1851.0</v>
      </c>
    </row>
    <row r="1293">
      <c r="A1293" s="40">
        <f t="array" ref="A1293">IFNA(index(PlayerValues!A:A,match(IFNA(vlookup(B1293,'Special Names'!A:B,2,FALSE),B1293),PlayerValues!E:E,0)),"N/A")</f>
        <v>16644</v>
      </c>
      <c r="B1293" s="4" t="s">
        <v>640</v>
      </c>
      <c r="C1293" s="4" t="s">
        <v>298</v>
      </c>
      <c r="D1293" s="94">
        <v>2230.0</v>
      </c>
    </row>
    <row r="1294">
      <c r="A1294" s="40">
        <f t="array" ref="A1294">IFNA(index(PlayerValues!A:A,match(IFNA(vlookup(B1294,'Special Names'!A:B,2,FALSE),B1294),PlayerValues!E:E,0)),"N/A")</f>
        <v>17547</v>
      </c>
      <c r="B1294" s="4" t="s">
        <v>552</v>
      </c>
      <c r="C1294" s="4" t="s">
        <v>298</v>
      </c>
      <c r="D1294" s="94">
        <v>2217.0</v>
      </c>
    </row>
    <row r="1295">
      <c r="A1295" s="40">
        <f t="array" ref="A1295">IFNA(index(PlayerValues!A:A,match(IFNA(vlookup(B1295,'Special Names'!A:B,2,FALSE),B1295),PlayerValues!E:E,0)),"N/A")</f>
        <v>16215</v>
      </c>
      <c r="B1295" s="4" t="s">
        <v>637</v>
      </c>
      <c r="C1295" s="4" t="s">
        <v>298</v>
      </c>
      <c r="D1295" s="94">
        <v>2216.0</v>
      </c>
    </row>
    <row r="1296">
      <c r="A1296" s="40" t="str">
        <f t="array" ref="A1296">IFNA(index(PlayerValues!A:A,match(IFNA(vlookup(B1296,'Special Names'!A:B,2,FALSE),B1296),PlayerValues!E:E,0)),"N/A")</f>
        <v>N/A</v>
      </c>
      <c r="B1296" s="4" t="s">
        <v>114</v>
      </c>
      <c r="C1296" s="4" t="s">
        <v>325</v>
      </c>
      <c r="D1296" s="94">
        <v>1832.0</v>
      </c>
    </row>
    <row r="1297">
      <c r="A1297" s="40">
        <f t="array" ref="A1297">IFNA(index(PlayerValues!A:A,match(IFNA(vlookup(B1297,'Special Names'!A:B,2,FALSE),B1297),PlayerValues!E:E,0)),"N/A")</f>
        <v>15788</v>
      </c>
      <c r="B1297" s="4" t="s">
        <v>627</v>
      </c>
      <c r="C1297" s="4" t="s">
        <v>287</v>
      </c>
      <c r="D1297" s="94">
        <v>1826.0</v>
      </c>
    </row>
    <row r="1298">
      <c r="A1298" s="40">
        <f t="array" ref="A1298">IFNA(index(PlayerValues!A:A,match(IFNA(vlookup(B1298,'Special Names'!A:B,2,FALSE),B1298),PlayerValues!E:E,0)),"N/A")</f>
        <v>15787</v>
      </c>
      <c r="B1298" s="4" t="s">
        <v>610</v>
      </c>
      <c r="C1298" s="4" t="s">
        <v>287</v>
      </c>
      <c r="D1298" s="94">
        <v>1825.0</v>
      </c>
    </row>
    <row r="1299">
      <c r="A1299" s="40">
        <f t="array" ref="A1299">IFNA(index(PlayerValues!A:A,match(IFNA(vlookup(B1299,'Special Names'!A:B,2,FALSE),B1299),PlayerValues!E:E,0)),"N/A")</f>
        <v>17086</v>
      </c>
      <c r="B1299" s="4" t="s">
        <v>612</v>
      </c>
      <c r="C1299" s="4" t="s">
        <v>287</v>
      </c>
      <c r="D1299" s="94">
        <v>1820.0</v>
      </c>
    </row>
    <row r="1300">
      <c r="A1300" s="40">
        <f t="array" ref="A1300">IFNA(index(PlayerValues!A:A,match(IFNA(vlookup(B1300,'Special Names'!A:B,2,FALSE),B1300),PlayerValues!E:E,0)),"N/A")</f>
        <v>13164</v>
      </c>
      <c r="B1300" s="4" t="s">
        <v>632</v>
      </c>
      <c r="C1300" s="4" t="s">
        <v>287</v>
      </c>
      <c r="D1300" s="94">
        <v>1814.0</v>
      </c>
    </row>
    <row r="1301">
      <c r="A1301" s="40">
        <f t="array" ref="A1301">IFNA(index(PlayerValues!A:A,match(IFNA(vlookup(B1301,'Special Names'!A:B,2,FALSE),B1301),PlayerValues!E:E,0)),"N/A")</f>
        <v>17035</v>
      </c>
      <c r="B1301" s="4" t="s">
        <v>650</v>
      </c>
      <c r="C1301" s="4" t="s">
        <v>283</v>
      </c>
      <c r="D1301" s="94">
        <v>1811.0</v>
      </c>
    </row>
    <row r="1302">
      <c r="A1302" s="40">
        <f t="array" ref="A1302">IFNA(index(PlayerValues!A:A,match(IFNA(vlookup(B1302,'Special Names'!A:B,2,FALSE),B1302),PlayerValues!E:E,0)),"N/A")</f>
        <v>16752</v>
      </c>
      <c r="B1302" s="4" t="s">
        <v>597</v>
      </c>
      <c r="C1302" s="4" t="s">
        <v>278</v>
      </c>
      <c r="D1302" s="94">
        <v>1809.0</v>
      </c>
    </row>
    <row r="1303">
      <c r="A1303" s="40">
        <f t="array" ref="A1303">IFNA(index(PlayerValues!A:A,match(IFNA(vlookup(B1303,'Special Names'!A:B,2,FALSE),B1303),PlayerValues!E:E,0)),"N/A")</f>
        <v>14105</v>
      </c>
      <c r="B1303" s="4" t="s">
        <v>675</v>
      </c>
      <c r="C1303" s="4" t="s">
        <v>287</v>
      </c>
      <c r="D1303" s="94">
        <v>1800.0</v>
      </c>
    </row>
    <row r="1304">
      <c r="A1304" s="40">
        <f t="array" ref="A1304">IFNA(index(PlayerValues!A:A,match(IFNA(vlookup(B1304,'Special Names'!A:B,2,FALSE),B1304),PlayerValues!E:E,0)),"N/A")</f>
        <v>7836</v>
      </c>
      <c r="B1304" s="4" t="s">
        <v>590</v>
      </c>
      <c r="C1304" s="4" t="s">
        <v>283</v>
      </c>
      <c r="D1304" s="94">
        <v>1794.0</v>
      </c>
    </row>
    <row r="1305">
      <c r="A1305" s="40">
        <f t="array" ref="A1305">IFNA(index(PlayerValues!A:A,match(IFNA(vlookup(B1305,'Special Names'!A:B,2,FALSE),B1305),PlayerValues!E:E,0)),"N/A")</f>
        <v>16201</v>
      </c>
      <c r="B1305" s="4" t="s">
        <v>589</v>
      </c>
      <c r="C1305" s="4" t="s">
        <v>287</v>
      </c>
      <c r="D1305" s="94">
        <v>1781.0</v>
      </c>
    </row>
    <row r="1306">
      <c r="A1306" s="40">
        <f t="array" ref="A1306">IFNA(index(PlayerValues!A:A,match(IFNA(vlookup(B1306,'Special Names'!A:B,2,FALSE),B1306),PlayerValues!E:E,0)),"N/A")</f>
        <v>17465</v>
      </c>
      <c r="B1306" s="4" t="s">
        <v>649</v>
      </c>
      <c r="C1306" s="4" t="s">
        <v>283</v>
      </c>
      <c r="D1306" s="94">
        <v>1768.0</v>
      </c>
    </row>
    <row r="1307">
      <c r="A1307" s="40">
        <f t="array" ref="A1307">IFNA(index(PlayerValues!A:A,match(IFNA(vlookup(B1307,'Special Names'!A:B,2,FALSE),B1307),PlayerValues!E:E,0)),"N/A")</f>
        <v>14143</v>
      </c>
      <c r="B1307" s="4" t="s">
        <v>635</v>
      </c>
      <c r="C1307" s="4" t="s">
        <v>298</v>
      </c>
      <c r="D1307" s="94">
        <v>2146.0</v>
      </c>
    </row>
    <row r="1308">
      <c r="A1308" s="40">
        <f t="array" ref="A1308">IFNA(index(PlayerValues!A:A,match(IFNA(vlookup(B1308,'Special Names'!A:B,2,FALSE),B1308),PlayerValues!E:E,0)),"N/A")</f>
        <v>17096</v>
      </c>
      <c r="B1308" s="4" t="s">
        <v>638</v>
      </c>
      <c r="C1308" s="4" t="s">
        <v>287</v>
      </c>
      <c r="D1308" s="94">
        <v>1759.0</v>
      </c>
    </row>
    <row r="1309">
      <c r="A1309" s="40">
        <f t="array" ref="A1309">IFNA(index(PlayerValues!A:A,match(IFNA(vlookup(B1309,'Special Names'!A:B,2,FALSE),B1309),PlayerValues!E:E,0)),"N/A")</f>
        <v>16778</v>
      </c>
      <c r="B1309" s="4" t="s">
        <v>577</v>
      </c>
      <c r="C1309" s="4" t="s">
        <v>287</v>
      </c>
      <c r="D1309" s="94">
        <v>1752.0</v>
      </c>
    </row>
    <row r="1310">
      <c r="A1310" s="40">
        <f t="array" ref="A1310">IFNA(index(PlayerValues!A:A,match(IFNA(vlookup(B1310,'Special Names'!A:B,2,FALSE),B1310),PlayerValues!E:E,0)),"N/A")</f>
        <v>17520</v>
      </c>
      <c r="B1310" s="4" t="s">
        <v>518</v>
      </c>
      <c r="C1310" s="4" t="s">
        <v>287</v>
      </c>
      <c r="D1310" s="94">
        <v>1739.0</v>
      </c>
    </row>
    <row r="1311">
      <c r="A1311" s="40">
        <f t="array" ref="A1311">IFNA(index(PlayerValues!A:A,match(IFNA(vlookup(B1311,'Special Names'!A:B,2,FALSE),B1311),PlayerValues!E:E,0)),"N/A")</f>
        <v>16635</v>
      </c>
      <c r="B1311" s="4" t="s">
        <v>645</v>
      </c>
      <c r="C1311" s="4" t="s">
        <v>287</v>
      </c>
      <c r="D1311" s="94">
        <v>1734.0</v>
      </c>
    </row>
    <row r="1312">
      <c r="A1312" s="40">
        <f t="array" ref="A1312">IFNA(index(PlayerValues!A:A,match(IFNA(vlookup(B1312,'Special Names'!A:B,2,FALSE),B1312),PlayerValues!E:E,0)),"N/A")</f>
        <v>15755</v>
      </c>
      <c r="B1312" s="4" t="s">
        <v>628</v>
      </c>
      <c r="C1312" s="4" t="s">
        <v>287</v>
      </c>
      <c r="D1312" s="94">
        <v>1729.0</v>
      </c>
    </row>
    <row r="1313">
      <c r="A1313" s="40" t="str">
        <f t="array" ref="A1313">IFNA(index(PlayerValues!A:A,match(IFNA(vlookup(B1313,'Special Names'!A:B,2,FALSE),B1313),PlayerValues!E:E,0)),"N/A")</f>
        <v>N/A</v>
      </c>
      <c r="B1313" s="4" t="s">
        <v>89</v>
      </c>
      <c r="C1313" s="4" t="s">
        <v>325</v>
      </c>
      <c r="D1313" s="94">
        <v>1720.0</v>
      </c>
    </row>
    <row r="1314">
      <c r="A1314" s="40">
        <f t="array" ref="A1314">IFNA(index(PlayerValues!A:A,match(IFNA(vlookup(B1314,'Special Names'!A:B,2,FALSE),B1314),PlayerValues!E:E,0)),"N/A")</f>
        <v>16586</v>
      </c>
      <c r="B1314" s="4" t="s">
        <v>658</v>
      </c>
      <c r="C1314" s="4" t="s">
        <v>283</v>
      </c>
      <c r="D1314" s="94">
        <v>1717.0</v>
      </c>
    </row>
    <row r="1315">
      <c r="A1315" s="40">
        <f t="array" ref="A1315">IFNA(index(PlayerValues!A:A,match(IFNA(vlookup(B1315,'Special Names'!A:B,2,FALSE),B1315),PlayerValues!E:E,0)),"N/A")</f>
        <v>15301</v>
      </c>
      <c r="B1315" s="4" t="s">
        <v>657</v>
      </c>
      <c r="C1315" s="4" t="s">
        <v>287</v>
      </c>
      <c r="D1315" s="94">
        <v>1709.0</v>
      </c>
    </row>
    <row r="1316">
      <c r="A1316" s="40">
        <f t="array" ref="A1316">IFNA(index(PlayerValues!A:A,match(IFNA(vlookup(B1316,'Special Names'!A:B,2,FALSE),B1316),PlayerValues!E:E,0)),"N/A")</f>
        <v>15797</v>
      </c>
      <c r="B1316" s="4" t="s">
        <v>556</v>
      </c>
      <c r="C1316" s="4" t="s">
        <v>298</v>
      </c>
      <c r="D1316" s="94">
        <v>2087.0</v>
      </c>
    </row>
    <row r="1317">
      <c r="A1317" s="40" t="str">
        <f t="array" ref="A1317">IFNA(index(PlayerValues!A:A,match(IFNA(vlookup(B1317,'Special Names'!A:B,2,FALSE),B1317),PlayerValues!E:E,0)),"N/A")</f>
        <v>N/A</v>
      </c>
      <c r="B1317" s="4" t="s">
        <v>102</v>
      </c>
      <c r="C1317" s="4" t="s">
        <v>325</v>
      </c>
      <c r="D1317" s="94">
        <v>1689.0</v>
      </c>
    </row>
    <row r="1318">
      <c r="A1318" s="40">
        <f t="array" ref="A1318">IFNA(index(PlayerValues!A:A,match(IFNA(vlookup(B1318,'Special Names'!A:B,2,FALSE),B1318),PlayerValues!E:E,0)),"N/A")</f>
        <v>16585</v>
      </c>
      <c r="B1318" s="4" t="s">
        <v>623</v>
      </c>
      <c r="C1318" s="4" t="s">
        <v>283</v>
      </c>
      <c r="D1318" s="94">
        <v>1687.0</v>
      </c>
    </row>
    <row r="1319">
      <c r="A1319" s="40" t="str">
        <f t="array" ref="A1319">IFNA(index(PlayerValues!A:A,match(IFNA(vlookup(B1319,'Special Names'!A:B,2,FALSE),B1319),PlayerValues!E:E,0)),"N/A")</f>
        <v>N/A</v>
      </c>
      <c r="B1319" s="4" t="s">
        <v>115</v>
      </c>
      <c r="C1319" s="4" t="s">
        <v>325</v>
      </c>
      <c r="D1319" s="94">
        <v>1672.0</v>
      </c>
    </row>
    <row r="1320">
      <c r="A1320" s="40">
        <f t="array" ref="A1320">IFNA(index(PlayerValues!A:A,match(IFNA(vlookup(B1320,'Special Names'!A:B,2,FALSE),B1320),PlayerValues!E:E,0)),"N/A")</f>
        <v>17064</v>
      </c>
      <c r="B1320" s="4" t="s">
        <v>631</v>
      </c>
      <c r="C1320" s="4" t="s">
        <v>278</v>
      </c>
      <c r="D1320" s="94">
        <v>1671.0</v>
      </c>
    </row>
    <row r="1321">
      <c r="A1321" s="40" t="str">
        <f t="array" ref="A1321">IFNA(index(PlayerValues!A:A,match(IFNA(vlookup(B1321,'Special Names'!A:B,2,FALSE),B1321),PlayerValues!E:E,0)),"N/A")</f>
        <v>N/A</v>
      </c>
      <c r="B1321" s="4" t="s">
        <v>103</v>
      </c>
      <c r="C1321" s="4" t="s">
        <v>325</v>
      </c>
      <c r="D1321" s="94">
        <v>1669.0</v>
      </c>
    </row>
    <row r="1322">
      <c r="A1322" s="40">
        <f t="array" ref="A1322">IFNA(index(PlayerValues!A:A,match(IFNA(vlookup(B1322,'Special Names'!A:B,2,FALSE),B1322),PlayerValues!E:E,0)),"N/A")</f>
        <v>16629</v>
      </c>
      <c r="B1322" s="4" t="s">
        <v>605</v>
      </c>
      <c r="C1322" s="4" t="s">
        <v>287</v>
      </c>
      <c r="D1322" s="94">
        <v>1667.0</v>
      </c>
    </row>
    <row r="1323">
      <c r="A1323" s="40">
        <f t="array" ref="A1323">IFNA(index(PlayerValues!A:A,match(IFNA(vlookup(B1323,'Special Names'!A:B,2,FALSE),B1323),PlayerValues!E:E,0)),"N/A")</f>
        <v>16788</v>
      </c>
      <c r="B1323" s="4" t="s">
        <v>621</v>
      </c>
      <c r="C1323" s="4" t="s">
        <v>287</v>
      </c>
      <c r="D1323" s="94">
        <v>1656.0</v>
      </c>
    </row>
    <row r="1324">
      <c r="A1324" s="40">
        <f t="array" ref="A1324">IFNA(index(PlayerValues!A:A,match(IFNA(vlookup(B1324,'Special Names'!A:B,2,FALSE),B1324),PlayerValues!E:E,0)),"N/A")</f>
        <v>16601</v>
      </c>
      <c r="B1324" s="4" t="s">
        <v>648</v>
      </c>
      <c r="C1324" s="4" t="s">
        <v>278</v>
      </c>
      <c r="D1324" s="94">
        <v>1652.0</v>
      </c>
    </row>
    <row r="1325">
      <c r="A1325" s="40">
        <f t="array" ref="A1325">IFNA(index(PlayerValues!A:A,match(IFNA(vlookup(B1325,'Special Names'!A:B,2,FALSE),B1325),PlayerValues!E:E,0)),"N/A")</f>
        <v>16207</v>
      </c>
      <c r="B1325" s="4" t="s">
        <v>636</v>
      </c>
      <c r="C1325" s="4" t="s">
        <v>287</v>
      </c>
      <c r="D1325" s="94">
        <v>1650.0</v>
      </c>
    </row>
    <row r="1326">
      <c r="A1326" s="40">
        <f t="array" ref="A1326">IFNA(index(PlayerValues!A:A,match(IFNA(vlookup(B1326,'Special Names'!A:B,2,FALSE),B1326),PlayerValues!E:E,0)),"N/A")</f>
        <v>17058</v>
      </c>
      <c r="B1326" s="4" t="s">
        <v>641</v>
      </c>
      <c r="C1326" s="4" t="s">
        <v>278</v>
      </c>
      <c r="D1326" s="94">
        <v>1649.0</v>
      </c>
    </row>
    <row r="1327">
      <c r="A1327" s="40">
        <f t="array" ref="A1327">IFNA(index(PlayerValues!A:A,match(IFNA(vlookup(B1327,'Special Names'!A:B,2,FALSE),B1327),PlayerValues!E:E,0)),"N/A")</f>
        <v>15759</v>
      </c>
      <c r="B1327" s="4" t="s">
        <v>662</v>
      </c>
      <c r="C1327" s="4" t="s">
        <v>287</v>
      </c>
      <c r="D1327" s="94">
        <v>1641.0</v>
      </c>
    </row>
    <row r="1328">
      <c r="A1328" s="40">
        <f t="array" ref="A1328">IFNA(index(PlayerValues!A:A,match(IFNA(vlookup(B1328,'Special Names'!A:B,2,FALSE),B1328),PlayerValues!E:E,0)),"N/A")</f>
        <v>15319</v>
      </c>
      <c r="B1328" s="4" t="s">
        <v>644</v>
      </c>
      <c r="C1328" s="4" t="s">
        <v>287</v>
      </c>
      <c r="D1328" s="94">
        <v>1637.0</v>
      </c>
    </row>
    <row r="1329">
      <c r="A1329" s="40">
        <f t="array" ref="A1329">IFNA(index(PlayerValues!A:A,match(IFNA(vlookup(B1329,'Special Names'!A:B,2,FALSE),B1329),PlayerValues!E:E,0)),"N/A")</f>
        <v>16595</v>
      </c>
      <c r="B1329" s="4" t="s">
        <v>664</v>
      </c>
      <c r="C1329" s="4" t="s">
        <v>278</v>
      </c>
      <c r="D1329" s="94">
        <v>1634.0</v>
      </c>
    </row>
    <row r="1330">
      <c r="A1330" s="40">
        <f t="array" ref="A1330">IFNA(index(PlayerValues!A:A,match(IFNA(vlookup(B1330,'Special Names'!A:B,2,FALSE),B1330),PlayerValues!E:E,0)),"N/A")</f>
        <v>15337</v>
      </c>
      <c r="B1330" s="4" t="s">
        <v>655</v>
      </c>
      <c r="C1330" s="4" t="s">
        <v>298</v>
      </c>
      <c r="D1330" s="94">
        <v>2000.0</v>
      </c>
    </row>
    <row r="1331">
      <c r="A1331" s="40" t="str">
        <f t="array" ref="A1331">IFNA(index(PlayerValues!A:A,match(IFNA(vlookup(B1331,'Special Names'!A:B,2,FALSE),B1331),PlayerValues!E:E,0)),"N/A")</f>
        <v>N/A</v>
      </c>
      <c r="B1331" s="4" t="s">
        <v>90</v>
      </c>
      <c r="C1331" s="4" t="s">
        <v>325</v>
      </c>
      <c r="D1331" s="94">
        <v>1600.0</v>
      </c>
    </row>
    <row r="1332">
      <c r="A1332" s="40">
        <f t="array" ref="A1332">IFNA(index(PlayerValues!A:A,match(IFNA(vlookup(B1332,'Special Names'!A:B,2,FALSE),B1332),PlayerValues!E:E,0)),"N/A")</f>
        <v>17205</v>
      </c>
      <c r="B1332" s="4" t="s">
        <v>665</v>
      </c>
      <c r="C1332" s="4" t="s">
        <v>287</v>
      </c>
      <c r="D1332" s="94">
        <v>1590.0</v>
      </c>
    </row>
    <row r="1333">
      <c r="A1333" s="40">
        <f t="array" ref="A1333">IFNA(index(PlayerValues!A:A,match(IFNA(vlookup(B1333,'Special Names'!A:B,2,FALSE),B1333),PlayerValues!E:E,0)),"N/A")</f>
        <v>15752</v>
      </c>
      <c r="B1333" s="4" t="s">
        <v>647</v>
      </c>
      <c r="C1333" s="4" t="s">
        <v>287</v>
      </c>
      <c r="D1333" s="94">
        <v>1588.0</v>
      </c>
    </row>
    <row r="1334">
      <c r="A1334" s="40">
        <f t="array" ref="A1334">IFNA(index(PlayerValues!A:A,match(IFNA(vlookup(B1334,'Special Names'!A:B,2,FALSE),B1334),PlayerValues!E:E,0)),"N/A")</f>
        <v>16175</v>
      </c>
      <c r="B1334" s="4" t="s">
        <v>654</v>
      </c>
      <c r="C1334" s="4" t="s">
        <v>278</v>
      </c>
      <c r="D1334" s="94">
        <v>1585.0</v>
      </c>
    </row>
    <row r="1335">
      <c r="A1335" s="40">
        <f t="array" ref="A1335">IFNA(index(PlayerValues!A:A,match(IFNA(vlookup(B1335,'Special Names'!A:B,2,FALSE),B1335),PlayerValues!E:E,0)),"N/A")</f>
        <v>17234</v>
      </c>
      <c r="B1335" s="4" t="s">
        <v>653</v>
      </c>
      <c r="C1335" s="4" t="s">
        <v>287</v>
      </c>
      <c r="D1335" s="94">
        <v>1581.0</v>
      </c>
    </row>
    <row r="1336">
      <c r="A1336" s="40">
        <f t="array" ref="A1336">IFNA(index(PlayerValues!A:A,match(IFNA(vlookup(B1336,'Special Names'!A:B,2,FALSE),B1336),PlayerValues!E:E,0)),"N/A")</f>
        <v>16633</v>
      </c>
      <c r="B1336" s="4" t="s">
        <v>656</v>
      </c>
      <c r="C1336" s="4" t="s">
        <v>287</v>
      </c>
      <c r="D1336" s="94">
        <v>1580.0</v>
      </c>
    </row>
    <row r="1337">
      <c r="A1337" s="40">
        <f t="array" ref="A1337">IFNA(index(PlayerValues!A:A,match(IFNA(vlookup(B1337,'Special Names'!A:B,2,FALSE),B1337),PlayerValues!E:E,0)),"N/A")</f>
        <v>16688</v>
      </c>
      <c r="B1337" s="4" t="s">
        <v>688</v>
      </c>
      <c r="C1337" s="4" t="s">
        <v>278</v>
      </c>
      <c r="D1337" s="94">
        <v>1570.0</v>
      </c>
    </row>
    <row r="1338">
      <c r="A1338" s="40">
        <f t="array" ref="A1338">IFNA(index(PlayerValues!A:A,match(IFNA(vlookup(B1338,'Special Names'!A:B,2,FALSE),B1338),PlayerValues!E:E,0)),"N/A")</f>
        <v>11222</v>
      </c>
      <c r="B1338" s="4" t="s">
        <v>622</v>
      </c>
      <c r="C1338" s="4" t="s">
        <v>287</v>
      </c>
      <c r="D1338" s="94">
        <v>1566.0</v>
      </c>
    </row>
    <row r="1339">
      <c r="A1339" s="40">
        <f t="array" ref="A1339">IFNA(index(PlayerValues!A:A,match(IFNA(vlookup(B1339,'Special Names'!A:B,2,FALSE),B1339),PlayerValues!E:E,0)),"N/A")</f>
        <v>15777</v>
      </c>
      <c r="B1339" s="4" t="s">
        <v>694</v>
      </c>
      <c r="C1339" s="4" t="s">
        <v>287</v>
      </c>
      <c r="D1339" s="94">
        <v>1550.0</v>
      </c>
    </row>
    <row r="1340">
      <c r="A1340" s="40">
        <f t="array" ref="A1340">IFNA(index(PlayerValues!A:A,match(IFNA(vlookup(B1340,'Special Names'!A:B,2,FALSE),B1340),PlayerValues!E:E,0)),"N/A")</f>
        <v>15713</v>
      </c>
      <c r="B1340" s="4" t="s">
        <v>732</v>
      </c>
      <c r="C1340" s="4" t="s">
        <v>278</v>
      </c>
      <c r="D1340" s="94">
        <v>1548.0</v>
      </c>
    </row>
    <row r="1341">
      <c r="A1341" s="40">
        <f t="array" ref="A1341">IFNA(index(PlayerValues!A:A,match(IFNA(vlookup(B1341,'Special Names'!A:B,2,FALSE),B1341),PlayerValues!E:E,0)),"N/A")</f>
        <v>16149</v>
      </c>
      <c r="B1341" s="4" t="s">
        <v>740</v>
      </c>
      <c r="C1341" s="4" t="s">
        <v>283</v>
      </c>
      <c r="D1341" s="94">
        <v>1542.0</v>
      </c>
    </row>
    <row r="1342">
      <c r="A1342" s="40">
        <f t="array" ref="A1342">IFNA(index(PlayerValues!A:A,match(IFNA(vlookup(B1342,'Special Names'!A:B,2,FALSE),B1342),PlayerValues!E:E,0)),"N/A")</f>
        <v>16792</v>
      </c>
      <c r="B1342" s="4" t="s">
        <v>704</v>
      </c>
      <c r="C1342" s="4" t="s">
        <v>287</v>
      </c>
      <c r="D1342" s="94">
        <v>1536.0</v>
      </c>
    </row>
    <row r="1343">
      <c r="A1343" s="40">
        <f t="array" ref="A1343">IFNA(index(PlayerValues!A:A,match(IFNA(vlookup(B1343,'Special Names'!A:B,2,FALSE),B1343),PlayerValues!E:E,0)),"N/A")</f>
        <v>14122</v>
      </c>
      <c r="B1343" s="4" t="s">
        <v>663</v>
      </c>
      <c r="C1343" s="4" t="s">
        <v>287</v>
      </c>
      <c r="D1343" s="94">
        <v>1526.0</v>
      </c>
    </row>
    <row r="1344">
      <c r="A1344" s="40" t="str">
        <f t="array" ref="A1344">IFNA(index(PlayerValues!A:A,match(IFNA(vlookup(B1344,'Special Names'!A:B,2,FALSE),B1344),PlayerValues!E:E,0)),"N/A")</f>
        <v>N/A</v>
      </c>
      <c r="B1344" s="4" t="s">
        <v>116</v>
      </c>
      <c r="C1344" s="4" t="s">
        <v>325</v>
      </c>
      <c r="D1344" s="94">
        <v>1521.0</v>
      </c>
    </row>
    <row r="1345">
      <c r="A1345" s="40" t="str">
        <f t="array" ref="A1345">IFNA(index(PlayerValues!A:A,match(IFNA(vlookup(B1345,'Special Names'!A:B,2,FALSE),B1345),PlayerValues!E:E,0)),"N/A")</f>
        <v>N/A</v>
      </c>
      <c r="B1345" s="4" t="s">
        <v>91</v>
      </c>
      <c r="C1345" s="4" t="s">
        <v>325</v>
      </c>
      <c r="D1345" s="94">
        <v>1518.0</v>
      </c>
    </row>
    <row r="1346">
      <c r="A1346" s="40">
        <f t="array" ref="A1346">IFNA(index(PlayerValues!A:A,match(IFNA(vlookup(B1346,'Special Names'!A:B,2,FALSE),B1346),PlayerValues!E:E,0)),"N/A")</f>
        <v>17467</v>
      </c>
      <c r="B1346" s="4" t="s">
        <v>575</v>
      </c>
      <c r="C1346" s="4" t="s">
        <v>283</v>
      </c>
      <c r="D1346" s="94">
        <v>1516.0</v>
      </c>
    </row>
    <row r="1347">
      <c r="A1347" s="40">
        <f t="array" ref="A1347">IFNA(index(PlayerValues!A:A,match(IFNA(vlookup(B1347,'Special Names'!A:B,2,FALSE),B1347),PlayerValues!E:E,0)),"N/A")</f>
        <v>15873</v>
      </c>
      <c r="B1347" s="4" t="s">
        <v>681</v>
      </c>
      <c r="C1347" s="4" t="s">
        <v>298</v>
      </c>
      <c r="D1347" s="94">
        <v>1871.0</v>
      </c>
    </row>
    <row r="1348">
      <c r="A1348" s="40">
        <f t="array" ref="A1348">IFNA(index(PlayerValues!A:A,match(IFNA(vlookup(B1348,'Special Names'!A:B,2,FALSE),B1348),PlayerValues!E:E,0)),"N/A")</f>
        <v>16390</v>
      </c>
      <c r="B1348" s="4" t="s">
        <v>689</v>
      </c>
      <c r="C1348" s="4" t="s">
        <v>278</v>
      </c>
      <c r="D1348" s="94">
        <v>1497.0</v>
      </c>
    </row>
    <row r="1349">
      <c r="A1349" s="40">
        <f t="array" ref="A1349">IFNA(index(PlayerValues!A:A,match(IFNA(vlookup(B1349,'Special Names'!A:B,2,FALSE),B1349),PlayerValues!E:E,0)),"N/A")</f>
        <v>17037</v>
      </c>
      <c r="B1349" s="4" t="s">
        <v>727</v>
      </c>
      <c r="C1349" s="4" t="s">
        <v>283</v>
      </c>
      <c r="D1349" s="94">
        <v>1497.0</v>
      </c>
    </row>
    <row r="1350">
      <c r="A1350" s="40">
        <f t="array" ref="A1350">IFNA(index(PlayerValues!A:A,match(IFNA(vlookup(B1350,'Special Names'!A:B,2,FALSE),B1350),PlayerValues!E:E,0)),"N/A")</f>
        <v>16631</v>
      </c>
      <c r="B1350" s="4" t="s">
        <v>800</v>
      </c>
      <c r="C1350" s="4" t="s">
        <v>287</v>
      </c>
      <c r="D1350" s="94">
        <v>1487.0</v>
      </c>
    </row>
    <row r="1351">
      <c r="A1351" s="40">
        <f t="array" ref="A1351">IFNA(index(PlayerValues!A:A,match(IFNA(vlookup(B1351,'Special Names'!A:B,2,FALSE),B1351),PlayerValues!E:E,0)),"N/A")</f>
        <v>12140</v>
      </c>
      <c r="B1351" s="4" t="s">
        <v>702</v>
      </c>
      <c r="C1351" s="4" t="s">
        <v>283</v>
      </c>
      <c r="D1351" s="94">
        <v>1485.0</v>
      </c>
    </row>
    <row r="1352">
      <c r="A1352" s="40">
        <f t="array" ref="A1352">IFNA(index(PlayerValues!A:A,match(IFNA(vlookup(B1352,'Special Names'!A:B,2,FALSE),B1352),PlayerValues!E:E,0)),"N/A")</f>
        <v>17528</v>
      </c>
      <c r="B1352" s="4" t="s">
        <v>579</v>
      </c>
      <c r="C1352" s="4" t="s">
        <v>287</v>
      </c>
      <c r="D1352" s="94">
        <v>1482.0</v>
      </c>
    </row>
    <row r="1353">
      <c r="A1353" s="40">
        <f t="array" ref="A1353">IFNA(index(PlayerValues!A:A,match(IFNA(vlookup(B1353,'Special Names'!A:B,2,FALSE),B1353),PlayerValues!E:E,0)),"N/A")</f>
        <v>15252</v>
      </c>
      <c r="B1353" s="4" t="s">
        <v>715</v>
      </c>
      <c r="C1353" s="4" t="s">
        <v>283</v>
      </c>
      <c r="D1353" s="94">
        <v>1481.0</v>
      </c>
    </row>
    <row r="1354">
      <c r="A1354" s="40">
        <f t="array" ref="A1354">IFNA(index(PlayerValues!A:A,match(IFNA(vlookup(B1354,'Special Names'!A:B,2,FALSE),B1354),PlayerValues!E:E,0)),"N/A")</f>
        <v>16384</v>
      </c>
      <c r="B1354" s="4" t="s">
        <v>696</v>
      </c>
      <c r="C1354" s="4" t="s">
        <v>283</v>
      </c>
      <c r="D1354" s="94">
        <v>1465.0</v>
      </c>
    </row>
    <row r="1355">
      <c r="A1355" s="40">
        <f t="array" ref="A1355">IFNA(index(PlayerValues!A:A,match(IFNA(vlookup(B1355,'Special Names'!A:B,2,FALSE),B1355),PlayerValues!E:E,0)),"N/A")</f>
        <v>13418</v>
      </c>
      <c r="B1355" s="4" t="s">
        <v>706</v>
      </c>
      <c r="C1355" s="4" t="s">
        <v>287</v>
      </c>
      <c r="D1355" s="94">
        <v>1442.0</v>
      </c>
    </row>
    <row r="1356">
      <c r="A1356" s="40">
        <f t="array" ref="A1356">IFNA(index(PlayerValues!A:A,match(IFNA(vlookup(B1356,'Special Names'!A:B,2,FALSE),B1356),PlayerValues!E:E,0)),"N/A")</f>
        <v>17254</v>
      </c>
      <c r="B1356" s="4" t="s">
        <v>679</v>
      </c>
      <c r="C1356" s="4" t="s">
        <v>287</v>
      </c>
      <c r="D1356" s="94">
        <v>1435.0</v>
      </c>
    </row>
    <row r="1357">
      <c r="A1357" s="40">
        <f t="array" ref="A1357">IFNA(index(PlayerValues!A:A,match(IFNA(vlookup(B1357,'Special Names'!A:B,2,FALSE),B1357),PlayerValues!E:E,0)),"N/A")</f>
        <v>16642</v>
      </c>
      <c r="B1357" s="4" t="s">
        <v>691</v>
      </c>
      <c r="C1357" s="4" t="s">
        <v>298</v>
      </c>
      <c r="D1357" s="94">
        <v>1788.0</v>
      </c>
    </row>
    <row r="1358">
      <c r="A1358" s="40">
        <f t="array" ref="A1358">IFNA(index(PlayerValues!A:A,match(IFNA(vlookup(B1358,'Special Names'!A:B,2,FALSE),B1358),PlayerValues!E:E,0)),"N/A")</f>
        <v>12141</v>
      </c>
      <c r="B1358" s="4" t="s">
        <v>744</v>
      </c>
      <c r="C1358" s="4" t="s">
        <v>283</v>
      </c>
      <c r="D1358" s="94">
        <v>1417.0</v>
      </c>
    </row>
    <row r="1359">
      <c r="A1359" s="40">
        <f t="array" ref="A1359">IFNA(index(PlayerValues!A:A,match(IFNA(vlookup(B1359,'Special Names'!A:B,2,FALSE),B1359),PlayerValues!E:E,0)),"N/A")</f>
        <v>15292</v>
      </c>
      <c r="B1359" s="4" t="s">
        <v>682</v>
      </c>
      <c r="C1359" s="4" t="s">
        <v>287</v>
      </c>
      <c r="D1359" s="94">
        <v>1412.0</v>
      </c>
    </row>
    <row r="1360">
      <c r="A1360" s="40">
        <f t="array" ref="A1360">IFNA(index(PlayerValues!A:A,match(IFNA(vlookup(B1360,'Special Names'!A:B,2,FALSE),B1360),PlayerValues!E:E,0)),"N/A")</f>
        <v>12678</v>
      </c>
      <c r="B1360" s="4" t="s">
        <v>703</v>
      </c>
      <c r="C1360" s="4" t="s">
        <v>298</v>
      </c>
      <c r="D1360" s="94">
        <v>1781.0</v>
      </c>
    </row>
    <row r="1361">
      <c r="A1361" s="40">
        <f t="array" ref="A1361">IFNA(index(PlayerValues!A:A,match(IFNA(vlookup(B1361,'Special Names'!A:B,2,FALSE),B1361),PlayerValues!E:E,0)),"N/A")</f>
        <v>14137</v>
      </c>
      <c r="B1361" s="4" t="s">
        <v>676</v>
      </c>
      <c r="C1361" s="4" t="s">
        <v>298</v>
      </c>
      <c r="D1361" s="94">
        <v>1773.0</v>
      </c>
    </row>
    <row r="1362">
      <c r="A1362" s="40">
        <f t="array" ref="A1362">IFNA(index(PlayerValues!A:A,match(IFNA(vlookup(B1362,'Special Names'!A:B,2,FALSE),B1362),PlayerValues!E:E,0)),"N/A")</f>
        <v>17269</v>
      </c>
      <c r="B1362" s="4" t="s">
        <v>718</v>
      </c>
      <c r="C1362" s="4" t="s">
        <v>287</v>
      </c>
      <c r="D1362" s="94">
        <v>1401.0</v>
      </c>
    </row>
    <row r="1363">
      <c r="A1363" s="40">
        <f t="array" ref="A1363">IFNA(index(PlayerValues!A:A,match(IFNA(vlookup(B1363,'Special Names'!A:B,2,FALSE),B1363),PlayerValues!E:E,0)),"N/A")</f>
        <v>14080</v>
      </c>
      <c r="B1363" s="4" t="s">
        <v>716</v>
      </c>
      <c r="C1363" s="4" t="s">
        <v>278</v>
      </c>
      <c r="D1363" s="94">
        <v>1396.0</v>
      </c>
    </row>
    <row r="1364">
      <c r="A1364" s="40">
        <f t="array" ref="A1364">IFNA(index(PlayerValues!A:A,match(IFNA(vlookup(B1364,'Special Names'!A:B,2,FALSE),B1364),PlayerValues!E:E,0)),"N/A")</f>
        <v>16621</v>
      </c>
      <c r="B1364" s="4" t="s">
        <v>672</v>
      </c>
      <c r="C1364" s="4" t="s">
        <v>287</v>
      </c>
      <c r="D1364" s="94">
        <v>1395.0</v>
      </c>
    </row>
    <row r="1365">
      <c r="A1365" s="40">
        <f t="array" ref="A1365">IFNA(index(PlayerValues!A:A,match(IFNA(vlookup(B1365,'Special Names'!A:B,2,FALSE),B1365),PlayerValues!E:E,0)),"N/A")</f>
        <v>17481</v>
      </c>
      <c r="B1365" s="4" t="s">
        <v>540</v>
      </c>
      <c r="C1365" s="4" t="s">
        <v>278</v>
      </c>
      <c r="D1365" s="94">
        <v>1393.0</v>
      </c>
    </row>
    <row r="1366">
      <c r="A1366" s="40">
        <f t="array" ref="A1366">IFNA(index(PlayerValues!A:A,match(IFNA(vlookup(B1366,'Special Names'!A:B,2,FALSE),B1366),PlayerValues!E:E,0)),"N/A")</f>
        <v>17062</v>
      </c>
      <c r="B1366" s="4" t="s">
        <v>701</v>
      </c>
      <c r="C1366" s="4" t="s">
        <v>278</v>
      </c>
      <c r="D1366" s="94">
        <v>1388.0</v>
      </c>
    </row>
    <row r="1367">
      <c r="A1367" s="40">
        <f t="array" ref="A1367">IFNA(index(PlayerValues!A:A,match(IFNA(vlookup(B1367,'Special Names'!A:B,2,FALSE),B1367),PlayerValues!E:E,0)),"N/A")</f>
        <v>17054</v>
      </c>
      <c r="B1367" s="4" t="s">
        <v>670</v>
      </c>
      <c r="C1367" s="4" t="s">
        <v>278</v>
      </c>
      <c r="D1367" s="94">
        <v>1373.0</v>
      </c>
    </row>
    <row r="1368">
      <c r="A1368" s="40">
        <f t="array" ref="A1368">IFNA(index(PlayerValues!A:A,match(IFNA(vlookup(B1368,'Special Names'!A:B,2,FALSE),B1368),PlayerValues!E:E,0)),"N/A")</f>
        <v>13672</v>
      </c>
      <c r="B1368" s="4" t="s">
        <v>667</v>
      </c>
      <c r="C1368" s="4" t="s">
        <v>298</v>
      </c>
      <c r="D1368" s="94">
        <v>1724.0</v>
      </c>
    </row>
    <row r="1369">
      <c r="A1369" s="40">
        <f t="array" ref="A1369">IFNA(index(PlayerValues!A:A,match(IFNA(vlookup(B1369,'Special Names'!A:B,2,FALSE),B1369),PlayerValues!E:E,0)),"N/A")</f>
        <v>17077</v>
      </c>
      <c r="B1369" s="4" t="s">
        <v>714</v>
      </c>
      <c r="C1369" s="4" t="s">
        <v>287</v>
      </c>
      <c r="D1369" s="94">
        <v>1352.0</v>
      </c>
    </row>
    <row r="1370">
      <c r="A1370" s="40">
        <f t="array" ref="A1370">IFNA(index(PlayerValues!A:A,match(IFNA(vlookup(B1370,'Special Names'!A:B,2,FALSE),B1370),PlayerValues!E:E,0)),"N/A")</f>
        <v>17514</v>
      </c>
      <c r="B1370" s="4" t="s">
        <v>422</v>
      </c>
      <c r="C1370" s="4" t="s">
        <v>287</v>
      </c>
      <c r="D1370" s="94">
        <v>1347.0</v>
      </c>
    </row>
    <row r="1371">
      <c r="A1371" s="40">
        <f t="array" ref="A1371">IFNA(index(PlayerValues!A:A,match(IFNA(vlookup(B1371,'Special Names'!A:B,2,FALSE),B1371),PlayerValues!E:E,0)),"N/A")</f>
        <v>15332</v>
      </c>
      <c r="B1371" s="4" t="s">
        <v>698</v>
      </c>
      <c r="C1371" s="4" t="s">
        <v>298</v>
      </c>
      <c r="D1371" s="94">
        <v>1711.0</v>
      </c>
    </row>
    <row r="1372">
      <c r="A1372" s="40">
        <f t="array" ref="A1372">IFNA(index(PlayerValues!A:A,match(IFNA(vlookup(B1372,'Special Names'!A:B,2,FALSE),B1372),PlayerValues!E:E,0)),"N/A")</f>
        <v>14086</v>
      </c>
      <c r="B1372" s="4" t="s">
        <v>639</v>
      </c>
      <c r="C1372" s="4" t="s">
        <v>278</v>
      </c>
      <c r="D1372" s="94">
        <v>1336.0</v>
      </c>
    </row>
    <row r="1373">
      <c r="A1373" s="40">
        <f t="array" ref="A1373">IFNA(index(PlayerValues!A:A,match(IFNA(vlookup(B1373,'Special Names'!A:B,2,FALSE),B1373),PlayerValues!E:E,0)),"N/A")</f>
        <v>16608</v>
      </c>
      <c r="B1373" s="4" t="s">
        <v>629</v>
      </c>
      <c r="C1373" s="4" t="s">
        <v>278</v>
      </c>
      <c r="D1373" s="94">
        <v>1336.0</v>
      </c>
    </row>
    <row r="1374">
      <c r="A1374" s="40">
        <f t="array" ref="A1374">IFNA(index(PlayerValues!A:A,match(IFNA(vlookup(B1374,'Special Names'!A:B,2,FALSE),B1374),PlayerValues!E:E,0)),"N/A")</f>
        <v>15738</v>
      </c>
      <c r="B1374" s="4" t="s">
        <v>634</v>
      </c>
      <c r="C1374" s="4" t="s">
        <v>278</v>
      </c>
      <c r="D1374" s="94">
        <v>1322.0</v>
      </c>
    </row>
    <row r="1375">
      <c r="A1375" s="40">
        <f t="array" ref="A1375">IFNA(index(PlayerValues!A:A,match(IFNA(vlookup(B1375,'Special Names'!A:B,2,FALSE),B1375),PlayerValues!E:E,0)),"N/A")</f>
        <v>16183</v>
      </c>
      <c r="B1375" s="4" t="s">
        <v>678</v>
      </c>
      <c r="C1375" s="4" t="s">
        <v>287</v>
      </c>
      <c r="D1375" s="94">
        <v>1303.0</v>
      </c>
    </row>
    <row r="1376">
      <c r="A1376" s="40">
        <f t="array" ref="A1376">IFNA(index(PlayerValues!A:A,match(IFNA(vlookup(B1376,'Special Names'!A:B,2,FALSE),B1376),PlayerValues!E:E,0)),"N/A")</f>
        <v>14095</v>
      </c>
      <c r="B1376" s="4" t="s">
        <v>680</v>
      </c>
      <c r="C1376" s="4" t="s">
        <v>278</v>
      </c>
      <c r="D1376" s="94">
        <v>1296.0</v>
      </c>
    </row>
    <row r="1377">
      <c r="A1377" s="40" t="str">
        <f t="array" ref="A1377">IFNA(index(PlayerValues!A:A,match(IFNA(vlookup(B1377,'Special Names'!A:B,2,FALSE),B1377),PlayerValues!E:E,0)),"N/A")</f>
        <v>N/A</v>
      </c>
      <c r="B1377" s="4" t="s">
        <v>117</v>
      </c>
      <c r="C1377" s="4" t="s">
        <v>325</v>
      </c>
      <c r="D1377" s="94">
        <v>1295.0</v>
      </c>
    </row>
    <row r="1378">
      <c r="A1378" s="40">
        <f t="array" ref="A1378">IFNA(index(PlayerValues!A:A,match(IFNA(vlookup(B1378,'Special Names'!A:B,2,FALSE),B1378),PlayerValues!E:E,0)),"N/A")</f>
        <v>16645</v>
      </c>
      <c r="B1378" s="4" t="s">
        <v>651</v>
      </c>
      <c r="C1378" s="4" t="s">
        <v>298</v>
      </c>
      <c r="D1378" s="94">
        <v>1659.0</v>
      </c>
    </row>
    <row r="1379">
      <c r="A1379" s="40">
        <f t="array" ref="A1379">IFNA(index(PlayerValues!A:A,match(IFNA(vlookup(B1379,'Special Names'!A:B,2,FALSE),B1379),PlayerValues!E:E,0)),"N/A")</f>
        <v>15288</v>
      </c>
      <c r="B1379" s="4" t="s">
        <v>700</v>
      </c>
      <c r="C1379" s="4" t="s">
        <v>287</v>
      </c>
      <c r="D1379" s="94">
        <v>1287.0</v>
      </c>
    </row>
    <row r="1380">
      <c r="A1380" s="40">
        <f t="array" ref="A1380">IFNA(index(PlayerValues!A:A,match(IFNA(vlookup(B1380,'Special Names'!A:B,2,FALSE),B1380),PlayerValues!E:E,0)),"N/A")</f>
        <v>15702</v>
      </c>
      <c r="B1380" s="4" t="s">
        <v>723</v>
      </c>
      <c r="C1380" s="4" t="s">
        <v>283</v>
      </c>
      <c r="D1380" s="94">
        <v>1270.0</v>
      </c>
    </row>
    <row r="1381">
      <c r="A1381" s="40">
        <f t="array" ref="A1381">IFNA(index(PlayerValues!A:A,match(IFNA(vlookup(B1381,'Special Names'!A:B,2,FALSE),B1381),PlayerValues!E:E,0)),"N/A")</f>
        <v>14108</v>
      </c>
      <c r="B1381" s="4" t="s">
        <v>673</v>
      </c>
      <c r="C1381" s="4" t="s">
        <v>287</v>
      </c>
      <c r="D1381" s="94">
        <v>1265.0</v>
      </c>
    </row>
    <row r="1382">
      <c r="A1382" s="40">
        <f t="array" ref="A1382">IFNA(index(PlayerValues!A:A,match(IFNA(vlookup(B1382,'Special Names'!A:B,2,FALSE),B1382),PlayerValues!E:E,0)),"N/A")</f>
        <v>14592</v>
      </c>
      <c r="B1382" s="4" t="s">
        <v>705</v>
      </c>
      <c r="C1382" s="4" t="s">
        <v>287</v>
      </c>
      <c r="D1382" s="94">
        <v>1257.0</v>
      </c>
    </row>
    <row r="1383">
      <c r="A1383" s="40">
        <f t="array" ref="A1383">IFNA(index(PlayerValues!A:A,match(IFNA(vlookup(B1383,'Special Names'!A:B,2,FALSE),B1383),PlayerValues!E:E,0)),"N/A")</f>
        <v>17097</v>
      </c>
      <c r="B1383" s="4" t="s">
        <v>659</v>
      </c>
      <c r="C1383" s="4" t="s">
        <v>287</v>
      </c>
      <c r="D1383" s="94">
        <v>1256.0</v>
      </c>
    </row>
    <row r="1384">
      <c r="A1384" s="40">
        <f t="array" ref="A1384">IFNA(index(PlayerValues!A:A,match(IFNA(vlookup(B1384,'Special Names'!A:B,2,FALSE),B1384),PlayerValues!E:E,0)),"N/A")</f>
        <v>16333</v>
      </c>
      <c r="B1384" s="4" t="s">
        <v>711</v>
      </c>
      <c r="C1384" s="4" t="s">
        <v>298</v>
      </c>
      <c r="D1384" s="94">
        <v>1621.0</v>
      </c>
    </row>
    <row r="1385">
      <c r="A1385" s="40">
        <f t="array" ref="A1385">IFNA(index(PlayerValues!A:A,match(IFNA(vlookup(B1385,'Special Names'!A:B,2,FALSE),B1385),PlayerValues!E:E,0)),"N/A")</f>
        <v>16221</v>
      </c>
      <c r="B1385" s="4" t="s">
        <v>725</v>
      </c>
      <c r="C1385" s="4" t="s">
        <v>298</v>
      </c>
      <c r="D1385" s="94">
        <v>1620.0</v>
      </c>
    </row>
    <row r="1386">
      <c r="A1386" s="40">
        <f t="array" ref="A1386">IFNA(index(PlayerValues!A:A,match(IFNA(vlookup(B1386,'Special Names'!A:B,2,FALSE),B1386),PlayerValues!E:E,0)),"N/A")</f>
        <v>17063</v>
      </c>
      <c r="B1386" s="4" t="s">
        <v>686</v>
      </c>
      <c r="C1386" s="4" t="s">
        <v>278</v>
      </c>
      <c r="D1386" s="94">
        <v>1251.0</v>
      </c>
    </row>
    <row r="1387">
      <c r="A1387" s="40">
        <f t="array" ref="A1387">IFNA(index(PlayerValues!A:A,match(IFNA(vlookup(B1387,'Special Names'!A:B,2,FALSE),B1387),PlayerValues!E:E,0)),"N/A")</f>
        <v>16636</v>
      </c>
      <c r="B1387" s="4" t="s">
        <v>699</v>
      </c>
      <c r="C1387" s="4" t="s">
        <v>287</v>
      </c>
      <c r="D1387" s="94">
        <v>1248.0</v>
      </c>
    </row>
    <row r="1388">
      <c r="A1388" s="40">
        <f t="array" ref="A1388">IFNA(index(PlayerValues!A:A,match(IFNA(vlookup(B1388,'Special Names'!A:B,2,FALSE),B1388),PlayerValues!E:E,0)),"N/A")</f>
        <v>14789</v>
      </c>
      <c r="B1388" s="4" t="s">
        <v>721</v>
      </c>
      <c r="C1388" s="4" t="s">
        <v>283</v>
      </c>
      <c r="D1388" s="94">
        <v>1243.0</v>
      </c>
    </row>
    <row r="1389">
      <c r="A1389" s="40">
        <f t="array" ref="A1389">IFNA(index(PlayerValues!A:A,match(IFNA(vlookup(B1389,'Special Names'!A:B,2,FALSE),B1389),PlayerValues!E:E,0)),"N/A")</f>
        <v>16883</v>
      </c>
      <c r="B1389" s="4" t="s">
        <v>683</v>
      </c>
      <c r="C1389" s="4" t="s">
        <v>287</v>
      </c>
      <c r="D1389" s="94">
        <v>1233.0</v>
      </c>
    </row>
    <row r="1390">
      <c r="A1390" s="40">
        <f t="array" ref="A1390">IFNA(index(PlayerValues!A:A,match(IFNA(vlookup(B1390,'Special Names'!A:B,2,FALSE),B1390),PlayerValues!E:E,0)),"N/A")</f>
        <v>15727</v>
      </c>
      <c r="B1390" s="4" t="s">
        <v>730</v>
      </c>
      <c r="C1390" s="4" t="s">
        <v>278</v>
      </c>
      <c r="D1390" s="94">
        <v>1230.0</v>
      </c>
    </row>
    <row r="1391">
      <c r="A1391" s="40">
        <f t="array" ref="A1391">IFNA(index(PlayerValues!A:A,match(IFNA(vlookup(B1391,'Special Names'!A:B,2,FALSE),B1391),PlayerValues!E:E,0)),"N/A")</f>
        <v>16199</v>
      </c>
      <c r="B1391" s="4" t="s">
        <v>687</v>
      </c>
      <c r="C1391" s="4" t="s">
        <v>287</v>
      </c>
      <c r="D1391" s="94">
        <v>1226.0</v>
      </c>
    </row>
    <row r="1392">
      <c r="A1392" s="40">
        <f t="array" ref="A1392">IFNA(index(PlayerValues!A:A,match(IFNA(vlookup(B1392,'Special Names'!A:B,2,FALSE),B1392),PlayerValues!E:E,0)),"N/A")</f>
        <v>15981</v>
      </c>
      <c r="B1392" s="4" t="s">
        <v>729</v>
      </c>
      <c r="C1392" s="4" t="s">
        <v>287</v>
      </c>
      <c r="D1392" s="94">
        <v>1223.0</v>
      </c>
    </row>
    <row r="1393">
      <c r="A1393" s="40">
        <f t="array" ref="A1393">IFNA(index(PlayerValues!A:A,match(IFNA(vlookup(B1393,'Special Names'!A:B,2,FALSE),B1393),PlayerValues!E:E,0)),"N/A")</f>
        <v>9064</v>
      </c>
      <c r="B1393" s="4" t="s">
        <v>761</v>
      </c>
      <c r="C1393" s="4" t="s">
        <v>283</v>
      </c>
      <c r="D1393" s="94">
        <v>1218.0</v>
      </c>
    </row>
    <row r="1394">
      <c r="A1394" s="40">
        <f t="array" ref="A1394">IFNA(index(PlayerValues!A:A,match(IFNA(vlookup(B1394,'Special Names'!A:B,2,FALSE),B1394),PlayerValues!E:E,0)),"N/A")</f>
        <v>17057</v>
      </c>
      <c r="B1394" s="4" t="s">
        <v>708</v>
      </c>
      <c r="C1394" s="4" t="s">
        <v>278</v>
      </c>
      <c r="D1394" s="94">
        <v>1205.0</v>
      </c>
    </row>
    <row r="1395">
      <c r="A1395" s="40">
        <f t="array" ref="A1395">IFNA(index(PlayerValues!A:A,match(IFNA(vlookup(B1395,'Special Names'!A:B,2,FALSE),B1395),PlayerValues!E:E,0)),"N/A")</f>
        <v>13193</v>
      </c>
      <c r="B1395" s="4" t="s">
        <v>773</v>
      </c>
      <c r="C1395" s="4" t="s">
        <v>298</v>
      </c>
      <c r="D1395" s="94">
        <v>1568.0</v>
      </c>
    </row>
    <row r="1396">
      <c r="A1396" s="40">
        <f t="array" ref="A1396">IFNA(index(PlayerValues!A:A,match(IFNA(vlookup(B1396,'Special Names'!A:B,2,FALSE),B1396),PlayerValues!E:E,0)),"N/A")</f>
        <v>13131</v>
      </c>
      <c r="B1396" s="4" t="s">
        <v>815</v>
      </c>
      <c r="C1396" s="4" t="s">
        <v>278</v>
      </c>
      <c r="D1396" s="94">
        <v>1195.0</v>
      </c>
    </row>
    <row r="1397">
      <c r="A1397" s="40">
        <f t="array" ref="A1397">IFNA(index(PlayerValues!A:A,match(IFNA(vlookup(B1397,'Special Names'!A:B,2,FALSE),B1397),PlayerValues!E:E,0)),"N/A")</f>
        <v>16385</v>
      </c>
      <c r="B1397" s="4" t="s">
        <v>690</v>
      </c>
      <c r="C1397" s="4" t="s">
        <v>278</v>
      </c>
      <c r="D1397" s="94">
        <v>1193.0</v>
      </c>
    </row>
    <row r="1398">
      <c r="A1398" s="40">
        <f t="array" ref="A1398">IFNA(index(PlayerValues!A:A,match(IFNA(vlookup(B1398,'Special Names'!A:B,2,FALSE),B1398),PlayerValues!E:E,0)),"N/A")</f>
        <v>15240</v>
      </c>
      <c r="B1398" s="4" t="s">
        <v>751</v>
      </c>
      <c r="C1398" s="4" t="s">
        <v>283</v>
      </c>
      <c r="D1398" s="94">
        <v>1183.0</v>
      </c>
    </row>
    <row r="1399">
      <c r="A1399" s="40">
        <f t="array" ref="A1399">IFNA(index(PlayerValues!A:A,match(IFNA(vlookup(B1399,'Special Names'!A:B,2,FALSE),B1399),PlayerValues!E:E,0)),"N/A")</f>
        <v>13289</v>
      </c>
      <c r="B1399" s="4" t="s">
        <v>746</v>
      </c>
      <c r="C1399" s="4" t="s">
        <v>287</v>
      </c>
      <c r="D1399" s="94">
        <v>1180.0</v>
      </c>
    </row>
    <row r="1400">
      <c r="A1400" s="40">
        <f t="array" ref="A1400">IFNA(index(PlayerValues!A:A,match(IFNA(vlookup(B1400,'Special Names'!A:B,2,FALSE),B1400),PlayerValues!E:E,0)),"N/A")</f>
        <v>17109</v>
      </c>
      <c r="B1400" s="4" t="s">
        <v>707</v>
      </c>
      <c r="C1400" s="4" t="s">
        <v>298</v>
      </c>
      <c r="D1400" s="94">
        <v>1541.0</v>
      </c>
    </row>
    <row r="1401">
      <c r="A1401" s="40">
        <f t="array" ref="A1401">IFNA(index(PlayerValues!A:A,match(IFNA(vlookup(B1401,'Special Names'!A:B,2,FALSE),B1401),PlayerValues!E:E,0)),"N/A")</f>
        <v>15692</v>
      </c>
      <c r="B1401" s="4" t="s">
        <v>750</v>
      </c>
      <c r="C1401" s="4" t="s">
        <v>283</v>
      </c>
      <c r="D1401" s="94">
        <v>1159.0</v>
      </c>
    </row>
    <row r="1402">
      <c r="A1402" s="40">
        <f t="array" ref="A1402">IFNA(index(PlayerValues!A:A,match(IFNA(vlookup(B1402,'Special Names'!A:B,2,FALSE),B1402),PlayerValues!E:E,0)),"N/A")</f>
        <v>16387</v>
      </c>
      <c r="B1402" s="4" t="s">
        <v>646</v>
      </c>
      <c r="C1402" s="4" t="s">
        <v>278</v>
      </c>
      <c r="D1402" s="94">
        <v>1158.0</v>
      </c>
    </row>
    <row r="1403">
      <c r="A1403" s="40">
        <f t="array" ref="A1403">IFNA(index(PlayerValues!A:A,match(IFNA(vlookup(B1403,'Special Names'!A:B,2,FALSE),B1403),PlayerValues!E:E,0)),"N/A")</f>
        <v>17546</v>
      </c>
      <c r="B1403" s="4" t="s">
        <v>671</v>
      </c>
      <c r="C1403" s="4" t="s">
        <v>298</v>
      </c>
      <c r="D1403" s="94">
        <v>1522.0</v>
      </c>
    </row>
    <row r="1404">
      <c r="A1404" s="40">
        <f t="array" ref="A1404">IFNA(index(PlayerValues!A:A,match(IFNA(vlookup(B1404,'Special Names'!A:B,2,FALSE),B1404),PlayerValues!E:E,0)),"N/A")</f>
        <v>14067</v>
      </c>
      <c r="B1404" s="4" t="s">
        <v>735</v>
      </c>
      <c r="C1404" s="4" t="s">
        <v>283</v>
      </c>
      <c r="D1404" s="94">
        <v>1153.0</v>
      </c>
    </row>
    <row r="1405">
      <c r="A1405" s="40">
        <f t="array" ref="A1405">IFNA(index(PlayerValues!A:A,match(IFNA(vlookup(B1405,'Special Names'!A:B,2,FALSE),B1405),PlayerValues!E:E,0)),"N/A")</f>
        <v>15730</v>
      </c>
      <c r="B1405" s="4" t="s">
        <v>734</v>
      </c>
      <c r="C1405" s="4" t="s">
        <v>278</v>
      </c>
      <c r="D1405" s="94">
        <v>1153.0</v>
      </c>
    </row>
    <row r="1406">
      <c r="A1406" s="40">
        <f t="array" ref="A1406">IFNA(index(PlayerValues!A:A,match(IFNA(vlookup(B1406,'Special Names'!A:B,2,FALSE),B1406),PlayerValues!E:E,0)),"N/A")</f>
        <v>16393</v>
      </c>
      <c r="B1406" s="4" t="s">
        <v>768</v>
      </c>
      <c r="C1406" s="4" t="s">
        <v>287</v>
      </c>
      <c r="D1406" s="94">
        <v>1152.0</v>
      </c>
    </row>
    <row r="1407">
      <c r="A1407" s="40">
        <f t="array" ref="A1407">IFNA(index(PlayerValues!A:A,match(IFNA(vlookup(B1407,'Special Names'!A:B,2,FALSE),B1407),PlayerValues!E:E,0)),"N/A")</f>
        <v>16746</v>
      </c>
      <c r="B1407" s="4" t="s">
        <v>709</v>
      </c>
      <c r="C1407" s="4" t="s">
        <v>278</v>
      </c>
      <c r="D1407" s="94">
        <v>1149.0</v>
      </c>
    </row>
    <row r="1408">
      <c r="A1408" s="40">
        <f t="array" ref="A1408">IFNA(index(PlayerValues!A:A,match(IFNA(vlookup(B1408,'Special Names'!A:B,2,FALSE),B1408),PlayerValues!E:E,0)),"N/A")</f>
        <v>14845</v>
      </c>
      <c r="B1408" s="4" t="s">
        <v>717</v>
      </c>
      <c r="C1408" s="4" t="s">
        <v>287</v>
      </c>
      <c r="D1408" s="94">
        <v>1138.0</v>
      </c>
    </row>
    <row r="1409">
      <c r="A1409" s="40">
        <f t="array" ref="A1409">IFNA(index(PlayerValues!A:A,match(IFNA(vlookup(B1409,'Special Names'!A:B,2,FALSE),B1409),PlayerValues!E:E,0)),"N/A")</f>
        <v>17050</v>
      </c>
      <c r="B1409" s="4" t="s">
        <v>713</v>
      </c>
      <c r="C1409" s="4" t="s">
        <v>278</v>
      </c>
      <c r="D1409" s="94">
        <v>1137.0</v>
      </c>
    </row>
    <row r="1410">
      <c r="A1410" s="40">
        <f t="array" ref="A1410">IFNA(index(PlayerValues!A:A,match(IFNA(vlookup(B1410,'Special Names'!A:B,2,FALSE),B1410),PlayerValues!E:E,0)),"N/A")</f>
        <v>15258</v>
      </c>
      <c r="B1410" s="4" t="s">
        <v>757</v>
      </c>
      <c r="C1410" s="4" t="s">
        <v>278</v>
      </c>
      <c r="D1410" s="94">
        <v>1133.0</v>
      </c>
    </row>
    <row r="1411">
      <c r="A1411" s="40">
        <f t="array" ref="A1411">IFNA(index(PlayerValues!A:A,match(IFNA(vlookup(B1411,'Special Names'!A:B,2,FALSE),B1411),PlayerValues!E:E,0)),"N/A")</f>
        <v>16640</v>
      </c>
      <c r="B1411" s="4" t="s">
        <v>712</v>
      </c>
      <c r="C1411" s="4" t="s">
        <v>287</v>
      </c>
      <c r="D1411" s="94">
        <v>1122.0</v>
      </c>
    </row>
    <row r="1412">
      <c r="A1412" s="40">
        <f t="array" ref="A1412">IFNA(index(PlayerValues!A:A,match(IFNA(vlookup(B1412,'Special Names'!A:B,2,FALSE),B1412),PlayerValues!E:E,0)),"N/A")</f>
        <v>15239</v>
      </c>
      <c r="B1412" s="4" t="s">
        <v>802</v>
      </c>
      <c r="C1412" s="4" t="s">
        <v>283</v>
      </c>
      <c r="D1412" s="94">
        <v>1120.0</v>
      </c>
    </row>
    <row r="1413">
      <c r="A1413" s="40">
        <f t="array" ref="A1413">IFNA(index(PlayerValues!A:A,match(IFNA(vlookup(B1413,'Special Names'!A:B,2,FALSE),B1413),PlayerValues!E:E,0)),"N/A")</f>
        <v>16637</v>
      </c>
      <c r="B1413" s="4" t="s">
        <v>736</v>
      </c>
      <c r="C1413" s="4" t="s">
        <v>287</v>
      </c>
      <c r="D1413" s="94">
        <v>1115.0</v>
      </c>
    </row>
    <row r="1414">
      <c r="A1414" s="40">
        <f t="array" ref="A1414">IFNA(index(PlayerValues!A:A,match(IFNA(vlookup(B1414,'Special Names'!A:B,2,FALSE),B1414),PlayerValues!E:E,0)),"N/A")</f>
        <v>11247</v>
      </c>
      <c r="B1414" s="4" t="s">
        <v>816</v>
      </c>
      <c r="C1414" s="4" t="s">
        <v>298</v>
      </c>
      <c r="D1414" s="94">
        <v>1482.0</v>
      </c>
    </row>
    <row r="1415">
      <c r="A1415" s="40">
        <f t="array" ref="A1415">IFNA(index(PlayerValues!A:A,match(IFNA(vlookup(B1415,'Special Names'!A:B,2,FALSE),B1415),PlayerValues!E:E,0)),"N/A")</f>
        <v>15785</v>
      </c>
      <c r="B1415" s="4" t="s">
        <v>763</v>
      </c>
      <c r="C1415" s="4" t="s">
        <v>287</v>
      </c>
      <c r="D1415" s="94">
        <v>1107.0</v>
      </c>
    </row>
    <row r="1416">
      <c r="A1416" s="40">
        <f t="array" ref="A1416">IFNA(index(PlayerValues!A:A,match(IFNA(vlookup(B1416,'Special Names'!A:B,2,FALSE),B1416),PlayerValues!E:E,0)),"N/A")</f>
        <v>17192</v>
      </c>
      <c r="B1416" s="4" t="s">
        <v>677</v>
      </c>
      <c r="C1416" s="4" t="s">
        <v>287</v>
      </c>
      <c r="D1416" s="94">
        <v>1097.0</v>
      </c>
    </row>
    <row r="1417">
      <c r="A1417" s="40">
        <f t="array" ref="A1417">IFNA(index(PlayerValues!A:A,match(IFNA(vlookup(B1417,'Special Names'!A:B,2,FALSE),B1417),PlayerValues!E:E,0)),"N/A")</f>
        <v>16197</v>
      </c>
      <c r="B1417" s="4" t="s">
        <v>726</v>
      </c>
      <c r="C1417" s="4" t="s">
        <v>287</v>
      </c>
      <c r="D1417" s="94">
        <v>1080.0</v>
      </c>
    </row>
    <row r="1418">
      <c r="A1418" s="40">
        <f t="array" ref="A1418">IFNA(index(PlayerValues!A:A,match(IFNA(vlookup(B1418,'Special Names'!A:B,2,FALSE),B1418),PlayerValues!E:E,0)),"N/A")</f>
        <v>15693</v>
      </c>
      <c r="B1418" s="4" t="s">
        <v>755</v>
      </c>
      <c r="C1418" s="4" t="s">
        <v>283</v>
      </c>
      <c r="D1418" s="94">
        <v>1074.0</v>
      </c>
    </row>
    <row r="1419">
      <c r="A1419" s="40">
        <f t="array" ref="A1419">IFNA(index(PlayerValues!A:A,match(IFNA(vlookup(B1419,'Special Names'!A:B,2,FALSE),B1419),PlayerValues!E:E,0)),"N/A")</f>
        <v>16451</v>
      </c>
      <c r="B1419" s="4" t="s">
        <v>769</v>
      </c>
      <c r="C1419" s="4" t="s">
        <v>287</v>
      </c>
      <c r="D1419" s="94">
        <v>1073.0</v>
      </c>
    </row>
    <row r="1420">
      <c r="A1420" s="40">
        <f t="array" ref="A1420">IFNA(index(PlayerValues!A:A,match(IFNA(vlookup(B1420,'Special Names'!A:B,2,FALSE),B1420),PlayerValues!E:E,0)),"N/A")</f>
        <v>15718</v>
      </c>
      <c r="B1420" s="4" t="s">
        <v>753</v>
      </c>
      <c r="C1420" s="4" t="s">
        <v>278</v>
      </c>
      <c r="D1420" s="94">
        <v>1053.0</v>
      </c>
    </row>
    <row r="1421">
      <c r="A1421" s="40">
        <f t="array" ref="A1421">IFNA(index(PlayerValues!A:A,match(IFNA(vlookup(B1421,'Special Names'!A:B,2,FALSE),B1421),PlayerValues!E:E,0)),"N/A")</f>
        <v>16678</v>
      </c>
      <c r="B1421" s="4" t="s">
        <v>758</v>
      </c>
      <c r="C1421" s="4" t="s">
        <v>278</v>
      </c>
      <c r="D1421" s="94">
        <v>1053.0</v>
      </c>
    </row>
    <row r="1422">
      <c r="A1422" s="40">
        <f t="array" ref="A1422">IFNA(index(PlayerValues!A:A,match(IFNA(vlookup(B1422,'Special Names'!A:B,2,FALSE),B1422),PlayerValues!E:E,0)),"N/A")</f>
        <v>16168</v>
      </c>
      <c r="B1422" s="4" t="s">
        <v>738</v>
      </c>
      <c r="C1422" s="4" t="s">
        <v>278</v>
      </c>
      <c r="D1422" s="94">
        <v>1046.0</v>
      </c>
    </row>
    <row r="1423">
      <c r="A1423" s="40">
        <f t="array" ref="A1423">IFNA(index(PlayerValues!A:A,match(IFNA(vlookup(B1423,'Special Names'!A:B,2,FALSE),B1423),PlayerValues!E:E,0)),"N/A")</f>
        <v>14118</v>
      </c>
      <c r="B1423" s="4" t="s">
        <v>771</v>
      </c>
      <c r="C1423" s="4" t="s">
        <v>287</v>
      </c>
      <c r="D1423" s="94">
        <v>1045.0</v>
      </c>
    </row>
    <row r="1424">
      <c r="A1424" s="40">
        <f t="array" ref="A1424">IFNA(index(PlayerValues!A:A,match(IFNA(vlookup(B1424,'Special Names'!A:B,2,FALSE),B1424),PlayerValues!E:E,0)),"N/A")</f>
        <v>17175</v>
      </c>
      <c r="B1424" s="4" t="s">
        <v>747</v>
      </c>
      <c r="C1424" s="4" t="s">
        <v>287</v>
      </c>
      <c r="D1424" s="94">
        <v>1043.0</v>
      </c>
    </row>
    <row r="1425">
      <c r="A1425" s="40">
        <f t="array" ref="A1425">IFNA(index(PlayerValues!A:A,match(IFNA(vlookup(B1425,'Special Names'!A:B,2,FALSE),B1425),PlayerValues!E:E,0)),"N/A")</f>
        <v>15795</v>
      </c>
      <c r="B1425" s="4" t="s">
        <v>669</v>
      </c>
      <c r="C1425" s="4" t="s">
        <v>298</v>
      </c>
      <c r="D1425" s="94">
        <v>1406.0</v>
      </c>
    </row>
    <row r="1426">
      <c r="A1426" s="40">
        <f t="array" ref="A1426">IFNA(index(PlayerValues!A:A,match(IFNA(vlookup(B1426,'Special Names'!A:B,2,FALSE),B1426),PlayerValues!E:E,0)),"N/A")</f>
        <v>13138</v>
      </c>
      <c r="B1426" s="4" t="s">
        <v>817</v>
      </c>
      <c r="C1426" s="4" t="s">
        <v>278</v>
      </c>
      <c r="D1426" s="94">
        <v>1039.0</v>
      </c>
    </row>
    <row r="1427">
      <c r="A1427" s="40">
        <f t="array" ref="A1427">IFNA(index(PlayerValues!A:A,match(IFNA(vlookup(B1427,'Special Names'!A:B,2,FALSE),B1427),PlayerValues!E:E,0)),"N/A")</f>
        <v>16858</v>
      </c>
      <c r="B1427" s="4" t="s">
        <v>754</v>
      </c>
      <c r="C1427" s="4" t="s">
        <v>287</v>
      </c>
      <c r="D1427" s="94">
        <v>1037.0</v>
      </c>
    </row>
    <row r="1428">
      <c r="A1428" s="40">
        <f t="array" ref="A1428">IFNA(index(PlayerValues!A:A,match(IFNA(vlookup(B1428,'Special Names'!A:B,2,FALSE),B1428),PlayerValues!E:E,0)),"N/A")</f>
        <v>15717</v>
      </c>
      <c r="B1428" s="4" t="s">
        <v>745</v>
      </c>
      <c r="C1428" s="4" t="s">
        <v>278</v>
      </c>
      <c r="D1428" s="94">
        <v>1035.0</v>
      </c>
    </row>
    <row r="1429">
      <c r="A1429" s="40">
        <f t="array" ref="A1429">IFNA(index(PlayerValues!A:A,match(IFNA(vlookup(B1429,'Special Names'!A:B,2,FALSE),B1429),PlayerValues!E:E,0)),"N/A")</f>
        <v>16648</v>
      </c>
      <c r="B1429" s="4" t="s">
        <v>748</v>
      </c>
      <c r="C1429" s="4" t="s">
        <v>298</v>
      </c>
      <c r="D1429" s="94">
        <v>1399.0</v>
      </c>
    </row>
    <row r="1430">
      <c r="A1430" s="40">
        <f t="array" ref="A1430">IFNA(index(PlayerValues!A:A,match(IFNA(vlookup(B1430,'Special Names'!A:B,2,FALSE),B1430),PlayerValues!E:E,0)),"N/A")</f>
        <v>15330</v>
      </c>
      <c r="B1430" s="4" t="s">
        <v>749</v>
      </c>
      <c r="C1430" s="4" t="s">
        <v>298</v>
      </c>
      <c r="D1430" s="94">
        <v>1397.0</v>
      </c>
    </row>
    <row r="1431">
      <c r="A1431" s="40">
        <f t="array" ref="A1431">IFNA(index(PlayerValues!A:A,match(IFNA(vlookup(B1431,'Special Names'!A:B,2,FALSE),B1431),PlayerValues!E:E,0)),"N/A")</f>
        <v>15626</v>
      </c>
      <c r="B1431" s="4" t="s">
        <v>766</v>
      </c>
      <c r="C1431" s="4" t="s">
        <v>298</v>
      </c>
      <c r="D1431" s="94">
        <v>1393.0</v>
      </c>
    </row>
    <row r="1432">
      <c r="A1432" s="40">
        <f t="array" ref="A1432">IFNA(index(PlayerValues!A:A,match(IFNA(vlookup(B1432,'Special Names'!A:B,2,FALSE),B1432),PlayerValues!E:E,0)),"N/A")</f>
        <v>14057</v>
      </c>
      <c r="B1432" s="4" t="s">
        <v>765</v>
      </c>
      <c r="C1432" s="4" t="s">
        <v>283</v>
      </c>
      <c r="D1432" s="94">
        <v>1021.0</v>
      </c>
    </row>
    <row r="1433">
      <c r="A1433" s="40">
        <f t="array" ref="A1433">IFNA(index(PlayerValues!A:A,match(IFNA(vlookup(B1433,'Special Names'!A:B,2,FALSE),B1433),PlayerValues!E:E,0)),"N/A")</f>
        <v>16205</v>
      </c>
      <c r="B1433" s="4" t="s">
        <v>742</v>
      </c>
      <c r="C1433" s="4" t="s">
        <v>287</v>
      </c>
      <c r="D1433" s="94">
        <v>1016.0</v>
      </c>
    </row>
    <row r="1434">
      <c r="A1434" s="40">
        <f t="array" ref="A1434">IFNA(index(PlayerValues!A:A,match(IFNA(vlookup(B1434,'Special Names'!A:B,2,FALSE),B1434),PlayerValues!E:E,0)),"N/A")</f>
        <v>16170</v>
      </c>
      <c r="B1434" s="4" t="s">
        <v>801</v>
      </c>
      <c r="C1434" s="4" t="s">
        <v>278</v>
      </c>
      <c r="D1434" s="94">
        <v>1009.0</v>
      </c>
    </row>
    <row r="1435">
      <c r="A1435" s="40">
        <f t="array" ref="A1435">IFNA(index(PlayerValues!A:A,match(IFNA(vlookup(B1435,'Special Names'!A:B,2,FALSE),B1435),PlayerValues!E:E,0)),"N/A")</f>
        <v>15720</v>
      </c>
      <c r="B1435" s="4" t="s">
        <v>795</v>
      </c>
      <c r="C1435" s="4" t="s">
        <v>278</v>
      </c>
      <c r="D1435" s="94">
        <v>1005.0</v>
      </c>
    </row>
    <row r="1436">
      <c r="A1436" s="40">
        <f t="array" ref="A1436">IFNA(index(PlayerValues!A:A,match(IFNA(vlookup(B1436,'Special Names'!A:B,2,FALSE),B1436),PlayerValues!E:E,0)),"N/A")</f>
        <v>15109</v>
      </c>
      <c r="B1436" s="4" t="s">
        <v>728</v>
      </c>
      <c r="C1436" s="4" t="s">
        <v>287</v>
      </c>
      <c r="D1436" s="94">
        <v>1001.0</v>
      </c>
    </row>
    <row r="1437">
      <c r="A1437" s="40">
        <f t="array" ref="A1437">IFNA(index(PlayerValues!A:A,match(IFNA(vlookup(B1437,'Special Names'!A:B,2,FALSE),B1437),PlayerValues!E:E,0)),"N/A")</f>
        <v>15766</v>
      </c>
      <c r="B1437" s="4" t="s">
        <v>759</v>
      </c>
      <c r="C1437" s="4" t="s">
        <v>287</v>
      </c>
      <c r="D1437" s="94">
        <v>988.0</v>
      </c>
    </row>
    <row r="1438">
      <c r="A1438" s="40">
        <f t="array" ref="A1438">IFNA(index(PlayerValues!A:A,match(IFNA(vlookup(B1438,'Special Names'!A:B,2,FALSE),B1438),PlayerValues!E:E,0)),"N/A")</f>
        <v>16219</v>
      </c>
      <c r="B1438" s="4" t="s">
        <v>739</v>
      </c>
      <c r="C1438" s="4" t="s">
        <v>298</v>
      </c>
      <c r="D1438" s="94">
        <v>1351.0</v>
      </c>
    </row>
    <row r="1439">
      <c r="A1439" s="40">
        <f t="array" ref="A1439">IFNA(index(PlayerValues!A:A,match(IFNA(vlookup(B1439,'Special Names'!A:B,2,FALSE),B1439),PlayerValues!E:E,0)),"N/A")</f>
        <v>12263</v>
      </c>
      <c r="B1439" s="4" t="s">
        <v>697</v>
      </c>
      <c r="C1439" s="4" t="s">
        <v>298</v>
      </c>
      <c r="D1439" s="94">
        <v>1348.0</v>
      </c>
    </row>
    <row r="1440">
      <c r="A1440" s="40">
        <f t="array" ref="A1440">IFNA(index(PlayerValues!A:A,match(IFNA(vlookup(B1440,'Special Names'!A:B,2,FALSE),B1440),PlayerValues!E:E,0)),"N/A")</f>
        <v>17466</v>
      </c>
      <c r="B1440" s="4" t="s">
        <v>492</v>
      </c>
      <c r="C1440" s="4" t="s">
        <v>283</v>
      </c>
      <c r="D1440" s="94">
        <v>970.0</v>
      </c>
    </row>
    <row r="1441">
      <c r="A1441" s="40">
        <f t="array" ref="A1441">IFNA(index(PlayerValues!A:A,match(IFNA(vlookup(B1441,'Special Names'!A:B,2,FALSE),B1441),PlayerValues!E:E,0)),"N/A")</f>
        <v>16176</v>
      </c>
      <c r="B1441" s="4" t="s">
        <v>812</v>
      </c>
      <c r="C1441" s="4" t="s">
        <v>278</v>
      </c>
      <c r="D1441" s="94">
        <v>967.0</v>
      </c>
    </row>
    <row r="1442">
      <c r="A1442" s="40">
        <f t="array" ref="A1442">IFNA(index(PlayerValues!A:A,match(IFNA(vlookup(B1442,'Special Names'!A:B,2,FALSE),B1442),PlayerValues!E:E,0)),"N/A")</f>
        <v>16416</v>
      </c>
      <c r="B1442" s="4" t="s">
        <v>752</v>
      </c>
      <c r="C1442" s="4" t="s">
        <v>287</v>
      </c>
      <c r="D1442" s="94">
        <v>966.0</v>
      </c>
    </row>
    <row r="1443">
      <c r="A1443" s="40">
        <f t="array" ref="A1443">IFNA(index(PlayerValues!A:A,match(IFNA(vlookup(B1443,'Special Names'!A:B,2,FALSE),B1443),PlayerValues!E:E,0)),"N/A")</f>
        <v>14799</v>
      </c>
      <c r="B1443" s="4" t="s">
        <v>829</v>
      </c>
      <c r="C1443" s="4" t="s">
        <v>278</v>
      </c>
      <c r="D1443" s="94">
        <v>965.0</v>
      </c>
    </row>
    <row r="1444">
      <c r="A1444" s="40">
        <f t="array" ref="A1444">IFNA(index(PlayerValues!A:A,match(IFNA(vlookup(B1444,'Special Names'!A:B,2,FALSE),B1444),PlayerValues!E:E,0)),"N/A")</f>
        <v>15263</v>
      </c>
      <c r="B1444" s="4" t="s">
        <v>804</v>
      </c>
      <c r="C1444" s="4" t="s">
        <v>278</v>
      </c>
      <c r="D1444" s="94">
        <v>962.0</v>
      </c>
    </row>
    <row r="1445">
      <c r="A1445" s="40">
        <f t="array" ref="A1445">IFNA(index(PlayerValues!A:A,match(IFNA(vlookup(B1445,'Special Names'!A:B,2,FALSE),B1445),PlayerValues!E:E,0)),"N/A")</f>
        <v>17468</v>
      </c>
      <c r="B1445" s="4" t="s">
        <v>514</v>
      </c>
      <c r="C1445" s="4" t="s">
        <v>283</v>
      </c>
      <c r="D1445" s="94">
        <v>959.0</v>
      </c>
    </row>
    <row r="1446">
      <c r="A1446" s="40">
        <f t="array" ref="A1446">IFNA(index(PlayerValues!A:A,match(IFNA(vlookup(B1446,'Special Names'!A:B,2,FALSE),B1446),PlayerValues!E:E,0)),"N/A")</f>
        <v>17479</v>
      </c>
      <c r="B1446" s="4" t="s">
        <v>756</v>
      </c>
      <c r="C1446" s="4" t="s">
        <v>278</v>
      </c>
      <c r="D1446" s="94">
        <v>959.0</v>
      </c>
    </row>
    <row r="1447">
      <c r="A1447" s="40">
        <f t="array" ref="A1447">IFNA(index(PlayerValues!A:A,match(IFNA(vlookup(B1447,'Special Names'!A:B,2,FALSE),B1447),PlayerValues!E:E,0)),"N/A")</f>
        <v>16773</v>
      </c>
      <c r="B1447" s="4" t="s">
        <v>783</v>
      </c>
      <c r="C1447" s="4" t="s">
        <v>278</v>
      </c>
      <c r="D1447" s="94">
        <v>957.0</v>
      </c>
    </row>
    <row r="1448">
      <c r="A1448" s="40">
        <f t="array" ref="A1448">IFNA(index(PlayerValues!A:A,match(IFNA(vlookup(B1448,'Special Names'!A:B,2,FALSE),B1448),PlayerValues!E:E,0)),"N/A")</f>
        <v>14849</v>
      </c>
      <c r="B1448" s="4" t="s">
        <v>733</v>
      </c>
      <c r="C1448" s="4" t="s">
        <v>287</v>
      </c>
      <c r="D1448" s="94">
        <v>956.0</v>
      </c>
    </row>
    <row r="1449">
      <c r="A1449" s="40">
        <f t="array" ref="A1449">IFNA(index(PlayerValues!A:A,match(IFNA(vlookup(B1449,'Special Names'!A:B,2,FALSE),B1449),PlayerValues!E:E,0)),"N/A")</f>
        <v>16751</v>
      </c>
      <c r="B1449" s="4" t="s">
        <v>762</v>
      </c>
      <c r="C1449" s="4" t="s">
        <v>287</v>
      </c>
      <c r="D1449" s="94">
        <v>956.0</v>
      </c>
    </row>
    <row r="1450">
      <c r="A1450" s="40">
        <f t="array" ref="A1450">IFNA(index(PlayerValues!A:A,match(IFNA(vlookup(B1450,'Special Names'!A:B,2,FALSE),B1450),PlayerValues!E:E,0)),"N/A")</f>
        <v>15723</v>
      </c>
      <c r="B1450" s="4" t="s">
        <v>798</v>
      </c>
      <c r="C1450" s="4" t="s">
        <v>278</v>
      </c>
      <c r="D1450" s="94">
        <v>948.0</v>
      </c>
    </row>
    <row r="1451">
      <c r="A1451" s="40">
        <f t="array" ref="A1451">IFNA(index(PlayerValues!A:A,match(IFNA(vlookup(B1451,'Special Names'!A:B,2,FALSE),B1451),PlayerValues!E:E,0)),"N/A")</f>
        <v>16624</v>
      </c>
      <c r="B1451" s="4" t="s">
        <v>796</v>
      </c>
      <c r="C1451" s="4" t="s">
        <v>287</v>
      </c>
      <c r="D1451" s="94">
        <v>945.0</v>
      </c>
    </row>
    <row r="1452">
      <c r="A1452" s="40">
        <f t="array" ref="A1452">IFNA(index(PlayerValues!A:A,match(IFNA(vlookup(B1452,'Special Names'!A:B,2,FALSE),B1452),PlayerValues!E:E,0)),"N/A")</f>
        <v>12785</v>
      </c>
      <c r="B1452" s="4" t="s">
        <v>772</v>
      </c>
      <c r="C1452" s="4" t="s">
        <v>287</v>
      </c>
      <c r="D1452" s="94">
        <v>942.0</v>
      </c>
    </row>
    <row r="1453">
      <c r="A1453" s="40">
        <f t="array" ref="A1453">IFNA(index(PlayerValues!A:A,match(IFNA(vlookup(B1453,'Special Names'!A:B,2,FALSE),B1453),PlayerValues!E:E,0)),"N/A")</f>
        <v>16599</v>
      </c>
      <c r="B1453" s="4" t="s">
        <v>737</v>
      </c>
      <c r="C1453" s="4" t="s">
        <v>278</v>
      </c>
      <c r="D1453" s="94">
        <v>923.0</v>
      </c>
    </row>
    <row r="1454">
      <c r="A1454" s="40">
        <f t="array" ref="A1454">IFNA(index(PlayerValues!A:A,match(IFNA(vlookup(B1454,'Special Names'!A:B,2,FALSE),B1454),PlayerValues!E:E,0)),"N/A")</f>
        <v>16159</v>
      </c>
      <c r="B1454" s="4" t="s">
        <v>819</v>
      </c>
      <c r="C1454" s="4" t="s">
        <v>283</v>
      </c>
      <c r="D1454" s="94">
        <v>921.0</v>
      </c>
    </row>
    <row r="1455">
      <c r="A1455" s="40">
        <f t="array" ref="A1455">IFNA(index(PlayerValues!A:A,match(IFNA(vlookup(B1455,'Special Names'!A:B,2,FALSE),B1455),PlayerValues!E:E,0)),"N/A")</f>
        <v>15804</v>
      </c>
      <c r="B1455" s="4" t="s">
        <v>821</v>
      </c>
      <c r="C1455" s="4" t="s">
        <v>298</v>
      </c>
      <c r="D1455" s="94">
        <v>1284.0</v>
      </c>
    </row>
    <row r="1456">
      <c r="A1456" s="40">
        <f t="array" ref="A1456">IFNA(index(PlayerValues!A:A,match(IFNA(vlookup(B1456,'Special Names'!A:B,2,FALSE),B1456),PlayerValues!E:E,0)),"N/A")</f>
        <v>13595</v>
      </c>
      <c r="B1456" s="4" t="s">
        <v>818</v>
      </c>
      <c r="C1456" s="4" t="s">
        <v>283</v>
      </c>
      <c r="D1456" s="94">
        <v>907.0</v>
      </c>
    </row>
    <row r="1457">
      <c r="A1457" s="40">
        <f t="array" ref="A1457">IFNA(index(PlayerValues!A:A,match(IFNA(vlookup(B1457,'Special Names'!A:B,2,FALSE),B1457),PlayerValues!E:E,0)),"N/A")</f>
        <v>17510</v>
      </c>
      <c r="B1457" s="4" t="s">
        <v>661</v>
      </c>
      <c r="C1457" s="4" t="s">
        <v>287</v>
      </c>
      <c r="D1457" s="94">
        <v>906.0</v>
      </c>
    </row>
    <row r="1458">
      <c r="A1458" s="40">
        <f t="array" ref="A1458">IFNA(index(PlayerValues!A:A,match(IFNA(vlookup(B1458,'Special Names'!A:B,2,FALSE),B1458),PlayerValues!E:E,0)),"N/A")</f>
        <v>15758</v>
      </c>
      <c r="B1458" s="4" t="s">
        <v>724</v>
      </c>
      <c r="C1458" s="4" t="s">
        <v>287</v>
      </c>
      <c r="D1458" s="94">
        <v>902.0</v>
      </c>
    </row>
    <row r="1459">
      <c r="A1459" s="40">
        <f t="array" ref="A1459">IFNA(index(PlayerValues!A:A,match(IFNA(vlookup(B1459,'Special Names'!A:B,2,FALSE),B1459),PlayerValues!E:E,0)),"N/A")</f>
        <v>16686</v>
      </c>
      <c r="B1459" s="4" t="s">
        <v>805</v>
      </c>
      <c r="C1459" s="4" t="s">
        <v>287</v>
      </c>
      <c r="D1459" s="94">
        <v>897.0</v>
      </c>
    </row>
    <row r="1460">
      <c r="A1460" s="40">
        <f t="array" ref="A1460">IFNA(index(PlayerValues!A:A,match(IFNA(vlookup(B1460,'Special Names'!A:B,2,FALSE),B1460),PlayerValues!E:E,0)),"N/A")</f>
        <v>17337</v>
      </c>
      <c r="B1460" s="4" t="s">
        <v>793</v>
      </c>
      <c r="C1460" s="4" t="s">
        <v>278</v>
      </c>
      <c r="D1460" s="94">
        <v>897.0</v>
      </c>
    </row>
    <row r="1461">
      <c r="A1461" s="40">
        <f t="array" ref="A1461">IFNA(index(PlayerValues!A:A,match(IFNA(vlookup(B1461,'Special Names'!A:B,2,FALSE),B1461),PlayerValues!E:E,0)),"N/A")</f>
        <v>14864</v>
      </c>
      <c r="B1461" s="4" t="s">
        <v>789</v>
      </c>
      <c r="C1461" s="4" t="s">
        <v>287</v>
      </c>
      <c r="D1461" s="94">
        <v>896.0</v>
      </c>
    </row>
    <row r="1462">
      <c r="A1462" s="40">
        <f t="array" ref="A1462">IFNA(index(PlayerValues!A:A,match(IFNA(vlookup(B1462,'Special Names'!A:B,2,FALSE),B1462),PlayerValues!E:E,0)),"N/A")</f>
        <v>14223</v>
      </c>
      <c r="B1462" s="4" t="s">
        <v>785</v>
      </c>
      <c r="C1462" s="4" t="s">
        <v>278</v>
      </c>
      <c r="D1462" s="94">
        <v>870.0</v>
      </c>
    </row>
    <row r="1463">
      <c r="A1463" s="40">
        <f t="array" ref="A1463">IFNA(index(PlayerValues!A:A,match(IFNA(vlookup(B1463,'Special Names'!A:B,2,FALSE),B1463),PlayerValues!E:E,0)),"N/A")</f>
        <v>13133</v>
      </c>
      <c r="B1463" s="4" t="s">
        <v>764</v>
      </c>
      <c r="C1463" s="4" t="s">
        <v>278</v>
      </c>
      <c r="D1463" s="94">
        <v>860.0</v>
      </c>
    </row>
    <row r="1464">
      <c r="A1464" s="40">
        <f t="array" ref="A1464">IFNA(index(PlayerValues!A:A,match(IFNA(vlookup(B1464,'Special Names'!A:B,2,FALSE),B1464),PlayerValues!E:E,0)),"N/A")</f>
        <v>16606</v>
      </c>
      <c r="B1464" s="4" t="s">
        <v>743</v>
      </c>
      <c r="C1464" s="4" t="s">
        <v>278</v>
      </c>
      <c r="D1464" s="94">
        <v>860.0</v>
      </c>
    </row>
    <row r="1465">
      <c r="A1465" s="40">
        <f t="array" ref="A1465">IFNA(index(PlayerValues!A:A,match(IFNA(vlookup(B1465,'Special Names'!A:B,2,FALSE),B1465),PlayerValues!E:E,0)),"N/A")</f>
        <v>14079</v>
      </c>
      <c r="B1465" s="4" t="s">
        <v>830</v>
      </c>
      <c r="C1465" s="4" t="s">
        <v>278</v>
      </c>
      <c r="D1465" s="94">
        <v>852.0</v>
      </c>
    </row>
    <row r="1466">
      <c r="A1466" s="40">
        <f t="array" ref="A1466">IFNA(index(PlayerValues!A:A,match(IFNA(vlookup(B1466,'Special Names'!A:B,2,FALSE),B1466),PlayerValues!E:E,0)),"N/A")</f>
        <v>15271</v>
      </c>
      <c r="B1466" s="4" t="s">
        <v>741</v>
      </c>
      <c r="C1466" s="4" t="s">
        <v>278</v>
      </c>
      <c r="D1466" s="94">
        <v>841.0</v>
      </c>
    </row>
    <row r="1467">
      <c r="A1467" s="40">
        <f t="array" ref="A1467">IFNA(index(PlayerValues!A:A,match(IFNA(vlookup(B1467,'Special Names'!A:B,2,FALSE),B1467),PlayerValues!E:E,0)),"N/A")</f>
        <v>17486</v>
      </c>
      <c r="B1467" s="4" t="s">
        <v>695</v>
      </c>
      <c r="C1467" s="4" t="s">
        <v>278</v>
      </c>
      <c r="D1467" s="94">
        <v>822.0</v>
      </c>
    </row>
    <row r="1468">
      <c r="A1468" s="40">
        <f t="array" ref="A1468">IFNA(index(PlayerValues!A:A,match(IFNA(vlookup(B1468,'Special Names'!A:B,2,FALSE),B1468),PlayerValues!E:E,0)),"N/A")</f>
        <v>13610</v>
      </c>
      <c r="B1468" s="4" t="s">
        <v>825</v>
      </c>
      <c r="C1468" s="4" t="s">
        <v>278</v>
      </c>
      <c r="D1468" s="94">
        <v>810.0</v>
      </c>
    </row>
    <row r="1469">
      <c r="A1469" s="40">
        <f t="array" ref="A1469">IFNA(index(PlayerValues!A:A,match(IFNA(vlookup(B1469,'Special Names'!A:B,2,FALSE),B1469),PlayerValues!E:E,0)),"N/A")</f>
        <v>17519</v>
      </c>
      <c r="B1469" s="4" t="s">
        <v>593</v>
      </c>
      <c r="C1469" s="4" t="s">
        <v>287</v>
      </c>
      <c r="D1469" s="94">
        <v>806.0</v>
      </c>
    </row>
    <row r="1470">
      <c r="A1470" s="40">
        <f t="array" ref="A1470">IFNA(index(PlayerValues!A:A,match(IFNA(vlookup(B1470,'Special Names'!A:B,2,FALSE),B1470),PlayerValues!E:E,0)),"N/A")</f>
        <v>13143</v>
      </c>
      <c r="B1470" s="4" t="s">
        <v>786</v>
      </c>
      <c r="C1470" s="4" t="s">
        <v>278</v>
      </c>
      <c r="D1470" s="94">
        <v>786.0</v>
      </c>
    </row>
    <row r="1471">
      <c r="A1471" s="40">
        <f t="array" ref="A1471">IFNA(index(PlayerValues!A:A,match(IFNA(vlookup(B1471,'Special Names'!A:B,2,FALSE),B1471),PlayerValues!E:E,0)),"N/A")</f>
        <v>16623</v>
      </c>
      <c r="B1471" s="4" t="s">
        <v>803</v>
      </c>
      <c r="C1471" s="4" t="s">
        <v>287</v>
      </c>
      <c r="D1471" s="94">
        <v>753.0</v>
      </c>
    </row>
    <row r="1472">
      <c r="A1472" s="40">
        <f t="array" ref="A1472">IFNA(index(PlayerValues!A:A,match(IFNA(vlookup(B1472,'Special Names'!A:B,2,FALSE),B1472),PlayerValues!E:E,0)),"N/A")</f>
        <v>16957</v>
      </c>
      <c r="B1472" s="4" t="s">
        <v>806</v>
      </c>
      <c r="C1472" s="4" t="s">
        <v>278</v>
      </c>
      <c r="D1472" s="94">
        <v>745.0</v>
      </c>
    </row>
    <row r="1473">
      <c r="A1473" s="40">
        <f t="array" ref="A1473">IFNA(index(PlayerValues!A:A,match(IFNA(vlookup(B1473,'Special Names'!A:B,2,FALSE),B1473),PlayerValues!E:E,0)),"N/A")</f>
        <v>17487</v>
      </c>
      <c r="B1473" s="4" t="s">
        <v>692</v>
      </c>
      <c r="C1473" s="4" t="s">
        <v>278</v>
      </c>
      <c r="D1473" s="94">
        <v>724.0</v>
      </c>
    </row>
    <row r="1474">
      <c r="A1474" s="40">
        <f t="array" ref="A1474">IFNA(index(PlayerValues!A:A,match(IFNA(vlookup(B1474,'Special Names'!A:B,2,FALSE),B1474),PlayerValues!E:E,0)),"N/A")</f>
        <v>11232</v>
      </c>
      <c r="B1474" s="4" t="s">
        <v>826</v>
      </c>
      <c r="C1474" s="4" t="s">
        <v>287</v>
      </c>
      <c r="D1474" s="94">
        <v>708.0</v>
      </c>
    </row>
    <row r="1475">
      <c r="A1475" s="40">
        <f t="array" ref="A1475">IFNA(index(PlayerValues!A:A,match(IFNA(vlookup(B1475,'Special Names'!A:B,2,FALSE),B1475),PlayerValues!E:E,0)),"N/A")</f>
        <v>17567</v>
      </c>
      <c r="B1475" s="4" t="s">
        <v>571</v>
      </c>
      <c r="C1475" s="4" t="s">
        <v>298</v>
      </c>
      <c r="D1475" s="94">
        <v>1062.0</v>
      </c>
    </row>
    <row r="1476">
      <c r="A1476" s="40">
        <f t="array" ref="A1476">IFNA(index(PlayerValues!A:A,match(IFNA(vlookup(B1476,'Special Names'!A:B,2,FALSE),B1476),PlayerValues!E:E,0)),"N/A")</f>
        <v>15796</v>
      </c>
      <c r="B1476" s="4" t="s">
        <v>794</v>
      </c>
      <c r="C1476" s="4" t="s">
        <v>298</v>
      </c>
      <c r="D1476" s="94">
        <v>1036.0</v>
      </c>
    </row>
    <row r="1477">
      <c r="A1477" s="40">
        <f t="array" ref="A1477">IFNA(index(PlayerValues!A:A,match(IFNA(vlookup(B1477,'Special Names'!A:B,2,FALSE),B1477),PlayerValues!E:E,0)),"N/A")</f>
        <v>17485</v>
      </c>
      <c r="B1477" s="4" t="s">
        <v>522</v>
      </c>
      <c r="C1477" s="4" t="s">
        <v>278</v>
      </c>
      <c r="D1477" s="94">
        <v>642.0</v>
      </c>
    </row>
    <row r="1478">
      <c r="A1478" s="40">
        <f t="array" ref="A1478">IFNA(index(PlayerValues!A:A,match(IFNA(vlookup(B1478,'Special Names'!A:B,2,FALSE),B1478),PlayerValues!E:E,0)),"N/A")</f>
        <v>17475</v>
      </c>
      <c r="B1478" s="4" t="s">
        <v>615</v>
      </c>
      <c r="C1478" s="4" t="s">
        <v>278</v>
      </c>
      <c r="D1478" s="94">
        <v>638.0</v>
      </c>
    </row>
    <row r="1479">
      <c r="A1479" s="40">
        <f t="array" ref="A1479">IFNA(index(PlayerValues!A:A,match(IFNA(vlookup(B1479,'Special Names'!A:B,2,FALSE),B1479),PlayerValues!E:E,0)),"N/A")</f>
        <v>17038</v>
      </c>
      <c r="B1479" s="4" t="s">
        <v>774</v>
      </c>
      <c r="C1479" s="4" t="s">
        <v>283</v>
      </c>
      <c r="D1479" s="94">
        <v>612.0</v>
      </c>
    </row>
    <row r="1480">
      <c r="A1480" s="40">
        <f t="array" ref="A1480">IFNA(index(PlayerValues!A:A,match(IFNA(vlookup(B1480,'Special Names'!A:B,2,FALSE),B1480),PlayerValues!E:E,0)),"N/A")</f>
        <v>13176</v>
      </c>
      <c r="B1480" s="4" t="s">
        <v>807</v>
      </c>
      <c r="C1480" s="4" t="s">
        <v>287</v>
      </c>
      <c r="D1480" s="94">
        <v>594.0</v>
      </c>
    </row>
    <row r="1481">
      <c r="A1481" s="40">
        <f t="array" ref="A1481">IFNA(index(PlayerValues!A:A,match(IFNA(vlookup(B1481,'Special Names'!A:B,2,FALSE),B1481),PlayerValues!E:E,0)),"N/A")</f>
        <v>16413</v>
      </c>
      <c r="B1481" s="4" t="s">
        <v>781</v>
      </c>
      <c r="C1481" s="4" t="s">
        <v>287</v>
      </c>
      <c r="D1481" s="94">
        <v>581.0</v>
      </c>
    </row>
    <row r="1482">
      <c r="A1482" s="40">
        <f t="array" ref="A1482">IFNA(index(PlayerValues!A:A,match(IFNA(vlookup(B1482,'Special Names'!A:B,2,FALSE),B1482),PlayerValues!E:E,0)),"N/A")</f>
        <v>14358</v>
      </c>
      <c r="B1482" s="4" t="s">
        <v>813</v>
      </c>
      <c r="C1482" s="4" t="s">
        <v>283</v>
      </c>
      <c r="D1482" s="94">
        <v>578.0</v>
      </c>
    </row>
    <row r="1483">
      <c r="A1483" s="40">
        <f t="array" ref="A1483">IFNA(index(PlayerValues!A:A,match(IFNA(vlookup(B1483,'Special Names'!A:B,2,FALSE),B1483),PlayerValues!E:E,0)),"N/A")</f>
        <v>13763</v>
      </c>
      <c r="B1483" s="4" t="s">
        <v>831</v>
      </c>
      <c r="C1483" s="4" t="s">
        <v>298</v>
      </c>
      <c r="D1483" s="94">
        <v>926.0</v>
      </c>
    </row>
    <row r="1484">
      <c r="A1484" s="40">
        <f t="array" ref="A1484">IFNA(index(PlayerValues!A:A,match(IFNA(vlookup(B1484,'Special Names'!A:B,2,FALSE),B1484),PlayerValues!E:E,0)),"N/A")</f>
        <v>17243</v>
      </c>
      <c r="B1484" s="4" t="s">
        <v>810</v>
      </c>
      <c r="C1484" s="4" t="s">
        <v>298</v>
      </c>
      <c r="D1484" s="94">
        <v>926.0</v>
      </c>
    </row>
    <row r="1485">
      <c r="A1485" s="40">
        <f t="array" ref="A1485">IFNA(index(PlayerValues!A:A,match(IFNA(vlookup(B1485,'Special Names'!A:B,2,FALSE),B1485),PlayerValues!E:E,0)),"N/A")</f>
        <v>17545</v>
      </c>
      <c r="B1485" s="4" t="s">
        <v>719</v>
      </c>
      <c r="C1485" s="4" t="s">
        <v>298</v>
      </c>
      <c r="D1485" s="94">
        <v>924.0</v>
      </c>
    </row>
    <row r="1486">
      <c r="A1486" s="40">
        <f t="array" ref="A1486">IFNA(index(PlayerValues!A:A,match(IFNA(vlookup(B1486,'Special Names'!A:B,2,FALSE),B1486),PlayerValues!E:E,0)),"N/A")</f>
        <v>14875</v>
      </c>
      <c r="B1486" s="4" t="s">
        <v>820</v>
      </c>
      <c r="C1486" s="4" t="s">
        <v>298</v>
      </c>
      <c r="D1486" s="94">
        <v>923.0</v>
      </c>
    </row>
    <row r="1487">
      <c r="A1487" s="40">
        <f t="array" ref="A1487">IFNA(index(PlayerValues!A:A,match(IFNA(vlookup(B1487,'Special Names'!A:B,2,FALSE),B1487),PlayerValues!E:E,0)),"N/A")</f>
        <v>12187</v>
      </c>
      <c r="B1487" s="4" t="s">
        <v>832</v>
      </c>
      <c r="C1487" s="4" t="s">
        <v>287</v>
      </c>
      <c r="D1487" s="94">
        <v>572.0</v>
      </c>
    </row>
    <row r="1488">
      <c r="A1488" s="40">
        <f t="array" ref="A1488">IFNA(index(PlayerValues!A:A,match(IFNA(vlookup(B1488,'Special Names'!A:B,2,FALSE),B1488),PlayerValues!E:E,0)),"N/A")</f>
        <v>15285</v>
      </c>
      <c r="B1488" s="4" t="s">
        <v>792</v>
      </c>
      <c r="C1488" s="4" t="s">
        <v>287</v>
      </c>
      <c r="D1488" s="94">
        <v>572.0</v>
      </c>
    </row>
    <row r="1489">
      <c r="A1489" s="40">
        <f t="array" ref="A1489">IFNA(index(PlayerValues!A:A,match(IFNA(vlookup(B1489,'Special Names'!A:B,2,FALSE),B1489),PlayerValues!E:E,0)),"N/A")</f>
        <v>16613</v>
      </c>
      <c r="B1489" s="4" t="s">
        <v>782</v>
      </c>
      <c r="C1489" s="4" t="s">
        <v>278</v>
      </c>
      <c r="D1489" s="94">
        <v>572.0</v>
      </c>
    </row>
    <row r="1490">
      <c r="A1490" s="40">
        <f t="array" ref="A1490">IFNA(index(PlayerValues!A:A,match(IFNA(vlookup(B1490,'Special Names'!A:B,2,FALSE),B1490),PlayerValues!E:E,0)),"N/A")</f>
        <v>17282</v>
      </c>
      <c r="B1490" s="4" t="s">
        <v>833</v>
      </c>
      <c r="C1490" s="4" t="s">
        <v>283</v>
      </c>
      <c r="D1490" s="94">
        <v>572.0</v>
      </c>
    </row>
    <row r="1491">
      <c r="A1491" s="40">
        <f t="array" ref="A1491">IFNA(index(PlayerValues!A:A,match(IFNA(vlookup(B1491,'Special Names'!A:B,2,FALSE),B1491),PlayerValues!E:E,0)),"N/A")</f>
        <v>14239</v>
      </c>
      <c r="B1491" s="4" t="s">
        <v>824</v>
      </c>
      <c r="C1491" s="4" t="s">
        <v>298</v>
      </c>
      <c r="D1491" s="94">
        <v>924.0</v>
      </c>
    </row>
    <row r="1492">
      <c r="A1492" s="40">
        <f t="array" ref="A1492">IFNA(index(PlayerValues!A:A,match(IFNA(vlookup(B1492,'Special Names'!A:B,2,FALSE),B1492),PlayerValues!E:E,0)),"N/A")</f>
        <v>17521</v>
      </c>
      <c r="B1492" s="4" t="s">
        <v>573</v>
      </c>
      <c r="C1492" s="4" t="s">
        <v>287</v>
      </c>
      <c r="D1492" s="94">
        <v>454.0</v>
      </c>
    </row>
    <row r="1493">
      <c r="A1493" s="40">
        <f t="array" ref="A1493">IFNA(index(PlayerValues!A:A,match(IFNA(vlookup(B1493,'Special Names'!A:B,2,FALSE),B1493),PlayerValues!E:E,0)),"N/A")</f>
        <v>17548</v>
      </c>
      <c r="B1493" s="4" t="s">
        <v>594</v>
      </c>
      <c r="C1493" s="4" t="s">
        <v>298</v>
      </c>
      <c r="D1493" s="94">
        <v>781.0</v>
      </c>
    </row>
    <row r="1494">
      <c r="A1494" s="40">
        <f t="array" ref="A1494">IFNA(index(PlayerValues!A:A,match(IFNA(vlookup(B1494,'Special Names'!A:B,2,FALSE),B1494),PlayerValues!E:E,0)),"N/A")</f>
        <v>17529</v>
      </c>
      <c r="B1494" s="4" t="s">
        <v>608</v>
      </c>
      <c r="C1494" s="4" t="s">
        <v>287</v>
      </c>
      <c r="D1494" s="94">
        <v>352.0</v>
      </c>
    </row>
    <row r="1495">
      <c r="A1495" s="40">
        <f t="array" ref="A1495">IFNA(index(PlayerValues!A:A,match(IFNA(vlookup(B1495,'Special Names'!A:B,2,FALSE),B1495),PlayerValues!E:E,0)),"N/A")</f>
        <v>17607</v>
      </c>
      <c r="B1495" s="4" t="s">
        <v>526</v>
      </c>
      <c r="C1495" s="4" t="s">
        <v>298</v>
      </c>
      <c r="D1495" s="94">
        <v>676.0</v>
      </c>
    </row>
    <row r="1496">
      <c r="A1496" s="40">
        <f t="array" ref="A1496">IFNA(index(PlayerValues!A:A,match(IFNA(vlookup(B1496,'Special Names'!A:B,2,FALSE),B1496),PlayerValues!E:E,0)),"N/A")</f>
        <v>17599</v>
      </c>
      <c r="B1496" s="4" t="s">
        <v>496</v>
      </c>
      <c r="C1496" s="4" t="s">
        <v>287</v>
      </c>
      <c r="D1496" s="94">
        <v>224.0</v>
      </c>
    </row>
    <row r="1497">
      <c r="A1497" s="40">
        <f t="array" ref="A1497">IFNA(index(PlayerValues!A:A,match(IFNA(vlookup(B1497,'Special Names'!A:B,2,FALSE),B1497),PlayerValues!E:E,0)),"N/A")</f>
        <v>17549</v>
      </c>
      <c r="B1497" s="4" t="s">
        <v>720</v>
      </c>
      <c r="C1497" s="4" t="s">
        <v>298</v>
      </c>
      <c r="D1497" s="94">
        <v>651.0</v>
      </c>
    </row>
    <row r="1498">
      <c r="A1498" s="40">
        <f t="array" ref="A1498">IFNA(index(PlayerValues!A:A,match(IFNA(vlookup(B1498,'Special Names'!A:B,2,FALSE),B1498),PlayerValues!E:E,0)),"N/A")</f>
        <v>17685</v>
      </c>
      <c r="B1498" s="4" t="s">
        <v>630</v>
      </c>
      <c r="C1498" s="4" t="s">
        <v>278</v>
      </c>
      <c r="D1498" s="94">
        <v>212.0</v>
      </c>
    </row>
    <row r="1499">
      <c r="A1499" s="40">
        <f t="array" ref="A1499">IFNA(index(PlayerValues!A:A,match(IFNA(vlookup(B1499,'Special Names'!A:B,2,FALSE),B1499),PlayerValues!E:E,0)),"N/A")</f>
        <v>17654</v>
      </c>
      <c r="B1499" s="4" t="s">
        <v>767</v>
      </c>
      <c r="C1499" s="4" t="s">
        <v>283</v>
      </c>
      <c r="D1499" s="94">
        <v>123.0</v>
      </c>
    </row>
    <row r="1500">
      <c r="A1500" s="40">
        <f t="array" ref="A1500">IFNA(index(PlayerValues!A:A,match(IFNA(vlookup(B1500,'Special Names'!A:B,2,FALSE),B1500),PlayerValues!E:E,0)),"N/A")</f>
        <v>17591</v>
      </c>
      <c r="B1500" s="4" t="s">
        <v>834</v>
      </c>
      <c r="C1500" s="4" t="s">
        <v>298</v>
      </c>
      <c r="D1500" s="94">
        <v>541.0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9999.0</v>
      </c>
    </row>
    <row r="1502">
      <c r="A1502" s="40">
        <f t="array" ref="A1502">IFNA(index(PlayerValues!A:A,match(IFNA(vlookup(B1502,'Special Names'!A:B,2,FALSE),B1502),PlayerValues!E:E,0)),"N/A")</f>
        <v>16161</v>
      </c>
      <c r="B1502" s="4" t="s">
        <v>277</v>
      </c>
      <c r="C1502" s="4" t="s">
        <v>278</v>
      </c>
      <c r="D1502" s="94">
        <v>9992.0</v>
      </c>
    </row>
    <row r="1503">
      <c r="A1503" s="40">
        <f t="array" ref="A1503">IFNA(index(PlayerValues!A:A,match(IFNA(vlookup(B1503,'Special Names'!A:B,2,FALSE),B1503),PlayerValues!E:E,0)),"N/A")</f>
        <v>15281</v>
      </c>
      <c r="B1503" s="4" t="s">
        <v>286</v>
      </c>
      <c r="C1503" s="4" t="s">
        <v>287</v>
      </c>
      <c r="D1503" s="94">
        <v>9893.0</v>
      </c>
    </row>
    <row r="1504">
      <c r="A1504" s="40">
        <f t="array" ref="A1504">IFNA(index(PlayerValues!A:A,match(IFNA(vlookup(B1504,'Special Names'!A:B,2,FALSE),B1504),PlayerValues!E:E,0)),"N/A")</f>
        <v>16185</v>
      </c>
      <c r="B1504" s="4" t="s">
        <v>290</v>
      </c>
      <c r="C1504" s="4" t="s">
        <v>287</v>
      </c>
      <c r="D1504" s="94">
        <v>9873.0</v>
      </c>
    </row>
    <row r="1505">
      <c r="A1505" s="40">
        <f t="array" ref="A1505">IFNA(index(PlayerValues!A:A,match(IFNA(vlookup(B1505,'Special Names'!A:B,2,FALSE),B1505),PlayerValues!E:E,0)),"N/A")</f>
        <v>16162</v>
      </c>
      <c r="B1505" s="4" t="s">
        <v>281</v>
      </c>
      <c r="C1505" s="4" t="s">
        <v>278</v>
      </c>
      <c r="D1505" s="94">
        <v>9605.0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9504.0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8579.0</v>
      </c>
    </row>
    <row r="1508">
      <c r="A1508" s="40">
        <f t="array" ref="A1508">IFNA(index(PlayerValues!A:A,match(IFNA(vlookup(B1508,'Special Names'!A:B,2,FALSE),B1508),PlayerValues!E:E,0)),"N/A")</f>
        <v>16641</v>
      </c>
      <c r="B1508" s="4" t="s">
        <v>297</v>
      </c>
      <c r="C1508" s="4" t="s">
        <v>298</v>
      </c>
      <c r="D1508" s="94">
        <v>8802.0</v>
      </c>
    </row>
    <row r="1509">
      <c r="A1509" s="40">
        <f t="array" ref="A1509">IFNA(index(PlayerValues!A:A,match(IFNA(vlookup(B1509,'Special Names'!A:B,2,FALSE),B1509),PlayerValues!E:E,0)),"N/A")</f>
        <v>16581</v>
      </c>
      <c r="B1509" s="4" t="s">
        <v>315</v>
      </c>
      <c r="C1509" s="4" t="s">
        <v>283</v>
      </c>
      <c r="D1509" s="94">
        <v>7866.0</v>
      </c>
    </row>
    <row r="1510">
      <c r="A1510" s="40">
        <f t="array" ref="A1510">IFNA(index(PlayerValues!A:A,match(IFNA(vlookup(B1510,'Special Names'!A:B,2,FALSE),B1510),PlayerValues!E:E,0)),"N/A")</f>
        <v>16615</v>
      </c>
      <c r="B1510" s="4" t="s">
        <v>309</v>
      </c>
      <c r="C1510" s="4" t="s">
        <v>287</v>
      </c>
      <c r="D1510" s="94">
        <v>7852.0</v>
      </c>
    </row>
    <row r="1511">
      <c r="A1511" s="40">
        <f t="array" ref="A1511">IFNA(index(PlayerValues!A:A,match(IFNA(vlookup(B1511,'Special Names'!A:B,2,FALSE),B1511),PlayerValues!E:E,0)),"N/A")</f>
        <v>16579</v>
      </c>
      <c r="B1511" s="4" t="s">
        <v>302</v>
      </c>
      <c r="C1511" s="4" t="s">
        <v>283</v>
      </c>
      <c r="D1511" s="94">
        <v>7796.0</v>
      </c>
    </row>
    <row r="1512">
      <c r="A1512" s="40">
        <f t="array" ref="A1512">IFNA(index(PlayerValues!A:A,match(IFNA(vlookup(B1512,'Special Names'!A:B,2,FALSE),B1512),PlayerValues!E:E,0)),"N/A")</f>
        <v>14836</v>
      </c>
      <c r="B1512" s="4" t="s">
        <v>306</v>
      </c>
      <c r="C1512" s="4" t="s">
        <v>287</v>
      </c>
      <c r="D1512" s="94">
        <v>7772.0</v>
      </c>
    </row>
    <row r="1513">
      <c r="A1513" s="40">
        <f t="array" ref="A1513">IFNA(index(PlayerValues!A:A,match(IFNA(vlookup(B1513,'Special Names'!A:B,2,FALSE),B1513),PlayerValues!E:E,0)),"N/A")</f>
        <v>15287</v>
      </c>
      <c r="B1513" s="4" t="s">
        <v>299</v>
      </c>
      <c r="C1513" s="4" t="s">
        <v>287</v>
      </c>
      <c r="D1513" s="94">
        <v>7693.0</v>
      </c>
    </row>
    <row r="1514">
      <c r="A1514" s="40">
        <f t="array" ref="A1514">IFNA(index(PlayerValues!A:A,match(IFNA(vlookup(B1514,'Special Names'!A:B,2,FALSE),B1514),PlayerValues!E:E,0)),"N/A")</f>
        <v>13593</v>
      </c>
      <c r="B1514" s="4" t="s">
        <v>305</v>
      </c>
      <c r="C1514" s="4" t="s">
        <v>283</v>
      </c>
      <c r="D1514" s="94">
        <v>7671.0</v>
      </c>
    </row>
    <row r="1515">
      <c r="A1515" s="40">
        <f t="array" ref="A1515">IFNA(index(PlayerValues!A:A,match(IFNA(vlookup(B1515,'Special Names'!A:B,2,FALSE),B1515),PlayerValues!E:E,0)),"N/A")</f>
        <v>17472</v>
      </c>
      <c r="B1515" s="4" t="s">
        <v>310</v>
      </c>
      <c r="C1515" s="4" t="s">
        <v>278</v>
      </c>
      <c r="D1515" s="94">
        <v>7586.0</v>
      </c>
    </row>
    <row r="1516">
      <c r="A1516" s="40">
        <f t="array" ref="A1516">IFNA(index(PlayerValues!A:A,match(IFNA(vlookup(B1516,'Special Names'!A:B,2,FALSE),B1516),PlayerValues!E:E,0)),"N/A")</f>
        <v>17042</v>
      </c>
      <c r="B1516" s="4" t="s">
        <v>314</v>
      </c>
      <c r="C1516" s="4" t="s">
        <v>278</v>
      </c>
      <c r="D1516" s="94">
        <v>7569.0</v>
      </c>
    </row>
    <row r="1517">
      <c r="A1517" s="40">
        <f t="array" ref="A1517">IFNA(index(PlayerValues!A:A,match(IFNA(vlookup(B1517,'Special Names'!A:B,2,FALSE),B1517),PlayerValues!E:E,0)),"N/A")</f>
        <v>15794</v>
      </c>
      <c r="B1517" s="4" t="s">
        <v>313</v>
      </c>
      <c r="C1517" s="4" t="s">
        <v>298</v>
      </c>
      <c r="D1517" s="94">
        <v>8371.0</v>
      </c>
    </row>
    <row r="1518">
      <c r="A1518" s="40">
        <f t="array" ref="A1518">IFNA(index(PlayerValues!A:A,match(IFNA(vlookup(B1518,'Special Names'!A:B,2,FALSE),B1518),PlayerValues!E:E,0)),"N/A")</f>
        <v>14777</v>
      </c>
      <c r="B1518" s="4" t="s">
        <v>318</v>
      </c>
      <c r="C1518" s="4" t="s">
        <v>283</v>
      </c>
      <c r="D1518" s="94">
        <v>7544.0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7315.0</v>
      </c>
    </row>
    <row r="1520">
      <c r="A1520" s="40" t="str">
        <f t="array" ref="A1520">IFNA(index(PlayerValues!A:A,match(IFNA(vlookup(B1520,'Special Names'!A:B,2,FALSE),B1520),PlayerValues!E:E,0)),"N/A")</f>
        <v>N/A</v>
      </c>
      <c r="B1520" s="4" t="s">
        <v>92</v>
      </c>
      <c r="C1520" s="4" t="s">
        <v>325</v>
      </c>
      <c r="D1520" s="94">
        <v>7022.0</v>
      </c>
    </row>
    <row r="1521">
      <c r="A1521" s="40">
        <f t="array" ref="A1521">IFNA(index(PlayerValues!A:A,match(IFNA(vlookup(B1521,'Special Names'!A:B,2,FALSE),B1521),PlayerValues!E:E,0)),"N/A")</f>
        <v>15751</v>
      </c>
      <c r="B1521" s="4" t="s">
        <v>328</v>
      </c>
      <c r="C1521" s="4" t="s">
        <v>287</v>
      </c>
      <c r="D1521" s="94">
        <v>6916.0</v>
      </c>
    </row>
    <row r="1522">
      <c r="A1522" s="40">
        <f t="array" ref="A1522">IFNA(index(PlayerValues!A:A,match(IFNA(vlookup(B1522,'Special Names'!A:B,2,FALSE),B1522),PlayerValues!E:E,0)),"N/A")</f>
        <v>16167</v>
      </c>
      <c r="B1522" s="4" t="s">
        <v>323</v>
      </c>
      <c r="C1522" s="4" t="s">
        <v>278</v>
      </c>
      <c r="D1522" s="94">
        <v>6862.0</v>
      </c>
    </row>
    <row r="1523">
      <c r="A1523" s="40">
        <f t="array" ref="A1523">IFNA(index(PlayerValues!A:A,match(IFNA(vlookup(B1523,'Special Names'!A:B,2,FALSE),B1523),PlayerValues!E:E,0)),"N/A")</f>
        <v>13116</v>
      </c>
      <c r="B1523" s="4" t="s">
        <v>345</v>
      </c>
      <c r="C1523" s="4" t="s">
        <v>283</v>
      </c>
      <c r="D1523" s="94">
        <v>6837.0</v>
      </c>
    </row>
    <row r="1524">
      <c r="A1524" s="40">
        <f t="array" ref="A1524">IFNA(index(PlayerValues!A:A,match(IFNA(vlookup(B1524,'Special Names'!A:B,2,FALSE),B1524),PlayerValues!E:E,0)),"N/A")</f>
        <v>14779</v>
      </c>
      <c r="B1524" s="4" t="s">
        <v>327</v>
      </c>
      <c r="C1524" s="4" t="s">
        <v>283</v>
      </c>
      <c r="D1524" s="94">
        <v>6796.0</v>
      </c>
    </row>
    <row r="1525">
      <c r="A1525" s="40">
        <f t="array" ref="A1525">IFNA(index(PlayerValues!A:A,match(IFNA(vlookup(B1525,'Special Names'!A:B,2,FALSE),B1525),PlayerValues!E:E,0)),"N/A")</f>
        <v>17044</v>
      </c>
      <c r="B1525" s="4" t="s">
        <v>322</v>
      </c>
      <c r="C1525" s="4" t="s">
        <v>278</v>
      </c>
      <c r="D1525" s="94">
        <v>6694.0</v>
      </c>
    </row>
    <row r="1526">
      <c r="A1526" s="40">
        <f t="array" ref="A1526">IFNA(index(PlayerValues!A:A,match(IFNA(vlookup(B1526,'Special Names'!A:B,2,FALSE),B1526),PlayerValues!E:E,0)),"N/A")</f>
        <v>17032</v>
      </c>
      <c r="B1526" s="4" t="s">
        <v>348</v>
      </c>
      <c r="C1526" s="4" t="s">
        <v>283</v>
      </c>
      <c r="D1526" s="94">
        <v>6632.0</v>
      </c>
    </row>
    <row r="1527">
      <c r="A1527" s="40">
        <f t="array" ref="A1527">IFNA(index(PlayerValues!A:A,match(IFNA(vlookup(B1527,'Special Names'!A:B,2,FALSE),B1527),PlayerValues!E:E,0)),"N/A")</f>
        <v>17071</v>
      </c>
      <c r="B1527" s="4" t="s">
        <v>341</v>
      </c>
      <c r="C1527" s="4" t="s">
        <v>287</v>
      </c>
      <c r="D1527" s="94">
        <v>6627.0</v>
      </c>
    </row>
    <row r="1528">
      <c r="A1528" s="40">
        <f t="array" ref="A1528">IFNA(index(PlayerValues!A:A,match(IFNA(vlookup(B1528,'Special Names'!A:B,2,FALSE),B1528),PlayerValues!E:E,0)),"N/A")</f>
        <v>16582</v>
      </c>
      <c r="B1528" s="4" t="s">
        <v>343</v>
      </c>
      <c r="C1528" s="4" t="s">
        <v>283</v>
      </c>
      <c r="D1528" s="94">
        <v>6232.0</v>
      </c>
    </row>
    <row r="1529">
      <c r="A1529" s="40">
        <f t="array" ref="A1529">IFNA(index(PlayerValues!A:A,match(IFNA(vlookup(B1529,'Special Names'!A:B,2,FALSE),B1529),PlayerValues!E:E,0)),"N/A")</f>
        <v>15237</v>
      </c>
      <c r="B1529" s="4" t="s">
        <v>336</v>
      </c>
      <c r="C1529" s="4" t="s">
        <v>283</v>
      </c>
      <c r="D1529" s="94">
        <v>6220.0</v>
      </c>
    </row>
    <row r="1530">
      <c r="A1530" s="40">
        <f t="array" ref="A1530">IFNA(index(PlayerValues!A:A,match(IFNA(vlookup(B1530,'Special Names'!A:B,2,FALSE),B1530),PlayerValues!E:E,0)),"N/A")</f>
        <v>14783</v>
      </c>
      <c r="B1530" s="4" t="s">
        <v>342</v>
      </c>
      <c r="C1530" s="4" t="s">
        <v>283</v>
      </c>
      <c r="D1530" s="94">
        <v>6146.0</v>
      </c>
    </row>
    <row r="1531">
      <c r="A1531" s="40">
        <f t="array" ref="A1531">IFNA(index(PlayerValues!A:A,match(IFNA(vlookup(B1531,'Special Names'!A:B,2,FALSE),B1531),PlayerValues!E:E,0)),"N/A")</f>
        <v>15715</v>
      </c>
      <c r="B1531" s="4" t="s">
        <v>331</v>
      </c>
      <c r="C1531" s="4" t="s">
        <v>278</v>
      </c>
      <c r="D1531" s="94">
        <v>6124.0</v>
      </c>
    </row>
    <row r="1532">
      <c r="A1532" s="40">
        <f t="array" ref="A1532">IFNA(index(PlayerValues!A:A,match(IFNA(vlookup(B1532,'Special Names'!A:B,2,FALSE),B1532),PlayerValues!E:E,0)),"N/A")</f>
        <v>17081</v>
      </c>
      <c r="B1532" s="4" t="s">
        <v>340</v>
      </c>
      <c r="C1532" s="4" t="s">
        <v>287</v>
      </c>
      <c r="D1532" s="94">
        <v>6117.0</v>
      </c>
    </row>
    <row r="1533">
      <c r="A1533" s="40">
        <f t="array" ref="A1533">IFNA(index(PlayerValues!A:A,match(IFNA(vlookup(B1533,'Special Names'!A:B,2,FALSE),B1533),PlayerValues!E:E,0)),"N/A")</f>
        <v>17104</v>
      </c>
      <c r="B1533" s="4" t="s">
        <v>333</v>
      </c>
      <c r="C1533" s="4" t="s">
        <v>298</v>
      </c>
      <c r="D1533" s="94">
        <v>6766.0</v>
      </c>
    </row>
    <row r="1534">
      <c r="A1534" s="40">
        <f t="array" ref="A1534">IFNA(index(PlayerValues!A:A,match(IFNA(vlookup(B1534,'Special Names'!A:B,2,FALSE),B1534),PlayerValues!E:E,0)),"N/A")</f>
        <v>14802</v>
      </c>
      <c r="B1534" s="4" t="s">
        <v>332</v>
      </c>
      <c r="C1534" s="4" t="s">
        <v>278</v>
      </c>
      <c r="D1534" s="94">
        <v>6033.0</v>
      </c>
    </row>
    <row r="1535">
      <c r="A1535" s="40">
        <f t="array" ref="A1535">IFNA(index(PlayerValues!A:A,match(IFNA(vlookup(B1535,'Special Names'!A:B,2,FALSE),B1535),PlayerValues!E:E,0)),"N/A")</f>
        <v>15762</v>
      </c>
      <c r="B1535" s="4" t="s">
        <v>337</v>
      </c>
      <c r="C1535" s="4" t="s">
        <v>287</v>
      </c>
      <c r="D1535" s="94">
        <v>5970.0</v>
      </c>
    </row>
    <row r="1536">
      <c r="A1536" s="40">
        <f t="array" ref="A1536">IFNA(index(PlayerValues!A:A,match(IFNA(vlookup(B1536,'Special Names'!A:B,2,FALSE),B1536),PlayerValues!E:E,0)),"N/A")</f>
        <v>15698</v>
      </c>
      <c r="B1536" s="4" t="s">
        <v>358</v>
      </c>
      <c r="C1536" s="4" t="s">
        <v>283</v>
      </c>
      <c r="D1536" s="94">
        <v>5895.0</v>
      </c>
    </row>
    <row r="1537">
      <c r="A1537" s="40">
        <f t="array" ref="A1537">IFNA(index(PlayerValues!A:A,match(IFNA(vlookup(B1537,'Special Names'!A:B,2,FALSE),B1537),PlayerValues!E:E,0)),"N/A")</f>
        <v>15753</v>
      </c>
      <c r="B1537" s="4" t="s">
        <v>359</v>
      </c>
      <c r="C1537" s="4" t="s">
        <v>287</v>
      </c>
      <c r="D1537" s="94">
        <v>5736.0</v>
      </c>
    </row>
    <row r="1538">
      <c r="A1538" s="40">
        <f t="array" ref="A1538">IFNA(index(PlayerValues!A:A,match(IFNA(vlookup(B1538,'Special Names'!A:B,2,FALSE),B1538),PlayerValues!E:E,0)),"N/A")</f>
        <v>17102</v>
      </c>
      <c r="B1538" s="4" t="s">
        <v>344</v>
      </c>
      <c r="C1538" s="4" t="s">
        <v>298</v>
      </c>
      <c r="D1538" s="94">
        <v>6376.0</v>
      </c>
    </row>
    <row r="1539">
      <c r="A1539" s="40">
        <f t="array" ref="A1539">IFNA(index(PlayerValues!A:A,match(IFNA(vlookup(B1539,'Special Names'!A:B,2,FALSE),B1539),PlayerValues!E:E,0)),"N/A")</f>
        <v>17497</v>
      </c>
      <c r="B1539" s="4" t="s">
        <v>365</v>
      </c>
      <c r="C1539" s="4" t="s">
        <v>287</v>
      </c>
      <c r="D1539" s="94">
        <v>5692.0</v>
      </c>
    </row>
    <row r="1540">
      <c r="A1540" s="40" t="str">
        <f t="array" ref="A1540">IFNA(index(PlayerValues!A:A,match(IFNA(vlookup(B1540,'Special Names'!A:B,2,FALSE),B1540),PlayerValues!E:E,0)),"N/A")</f>
        <v>N/A</v>
      </c>
      <c r="B1540" s="4" t="s">
        <v>79</v>
      </c>
      <c r="C1540" s="4" t="s">
        <v>325</v>
      </c>
      <c r="D1540" s="94">
        <v>5668.0</v>
      </c>
    </row>
    <row r="1541">
      <c r="A1541" s="40">
        <f t="array" ref="A1541">IFNA(index(PlayerValues!A:A,match(IFNA(vlookup(B1541,'Special Names'!A:B,2,FALSE),B1541),PlayerValues!E:E,0)),"N/A")</f>
        <v>17462</v>
      </c>
      <c r="B1541" s="4" t="s">
        <v>375</v>
      </c>
      <c r="C1541" s="4" t="s">
        <v>283</v>
      </c>
      <c r="D1541" s="94">
        <v>5649.0</v>
      </c>
    </row>
    <row r="1542">
      <c r="A1542" s="40">
        <f t="array" ref="A1542">IFNA(index(PlayerValues!A:A,match(IFNA(vlookup(B1542,'Special Names'!A:B,2,FALSE),B1542),PlayerValues!E:E,0)),"N/A")</f>
        <v>15290</v>
      </c>
      <c r="B1542" s="4" t="s">
        <v>355</v>
      </c>
      <c r="C1542" s="4" t="s">
        <v>287</v>
      </c>
      <c r="D1542" s="94">
        <v>5638.0</v>
      </c>
    </row>
    <row r="1543">
      <c r="A1543" s="40">
        <f t="array" ref="A1543">IFNA(index(PlayerValues!A:A,match(IFNA(vlookup(B1543,'Special Names'!A:B,2,FALSE),B1543),PlayerValues!E:E,0)),"N/A")</f>
        <v>14782</v>
      </c>
      <c r="B1543" s="4" t="s">
        <v>385</v>
      </c>
      <c r="C1543" s="4" t="s">
        <v>283</v>
      </c>
      <c r="D1543" s="94">
        <v>5637.0</v>
      </c>
    </row>
    <row r="1544">
      <c r="A1544" s="40">
        <f t="array" ref="A1544">IFNA(index(PlayerValues!A:A,match(IFNA(vlookup(B1544,'Special Names'!A:B,2,FALSE),B1544),PlayerValues!E:E,0)),"N/A")</f>
        <v>15754</v>
      </c>
      <c r="B1544" s="4" t="s">
        <v>354</v>
      </c>
      <c r="C1544" s="4" t="s">
        <v>287</v>
      </c>
      <c r="D1544" s="94">
        <v>5618.0</v>
      </c>
    </row>
    <row r="1545">
      <c r="A1545" s="40" t="str">
        <f t="array" ref="A1545">IFNA(index(PlayerValues!A:A,match(IFNA(vlookup(B1545,'Special Names'!A:B,2,FALSE),B1545),PlayerValues!E:E,0)),"N/A")</f>
        <v>N/A</v>
      </c>
      <c r="B1545" s="4" t="s">
        <v>93</v>
      </c>
      <c r="C1545" s="4" t="s">
        <v>325</v>
      </c>
      <c r="D1545" s="94">
        <v>5577.0</v>
      </c>
    </row>
    <row r="1546">
      <c r="A1546" s="40">
        <f t="array" ref="A1546">IFNA(index(PlayerValues!A:A,match(IFNA(vlookup(B1546,'Special Names'!A:B,2,FALSE),B1546),PlayerValues!E:E,0)),"N/A")</f>
        <v>15711</v>
      </c>
      <c r="B1546" s="4" t="s">
        <v>349</v>
      </c>
      <c r="C1546" s="4" t="s">
        <v>278</v>
      </c>
      <c r="D1546" s="94">
        <v>5531.0</v>
      </c>
    </row>
    <row r="1547">
      <c r="A1547" s="40">
        <f t="array" ref="A1547">IFNA(index(PlayerValues!A:A,match(IFNA(vlookup(B1547,'Special Names'!A:B,2,FALSE),B1547),PlayerValues!E:E,0)),"N/A")</f>
        <v>17043</v>
      </c>
      <c r="B1547" s="4" t="s">
        <v>397</v>
      </c>
      <c r="C1547" s="4" t="s">
        <v>278</v>
      </c>
      <c r="D1547" s="94">
        <v>5477.0</v>
      </c>
    </row>
    <row r="1548">
      <c r="A1548" s="40">
        <f t="array" ref="A1548">IFNA(index(PlayerValues!A:A,match(IFNA(vlookup(B1548,'Special Names'!A:B,2,FALSE),B1548),PlayerValues!E:E,0)),"N/A")</f>
        <v>17051</v>
      </c>
      <c r="B1548" s="4" t="s">
        <v>386</v>
      </c>
      <c r="C1548" s="4" t="s">
        <v>278</v>
      </c>
      <c r="D1548" s="94">
        <v>5458.0</v>
      </c>
    </row>
    <row r="1549">
      <c r="A1549" s="40">
        <f t="array" ref="A1549">IFNA(index(PlayerValues!A:A,match(IFNA(vlookup(B1549,'Special Names'!A:B,2,FALSE),B1549),PlayerValues!E:E,0)),"N/A")</f>
        <v>16627</v>
      </c>
      <c r="B1549" s="4" t="s">
        <v>351</v>
      </c>
      <c r="C1549" s="4" t="s">
        <v>287</v>
      </c>
      <c r="D1549" s="94">
        <v>5397.0</v>
      </c>
    </row>
    <row r="1550">
      <c r="A1550" s="40">
        <f t="array" ref="A1550">IFNA(index(PlayerValues!A:A,match(IFNA(vlookup(B1550,'Special Names'!A:B,2,FALSE),B1550),PlayerValues!E:E,0)),"N/A")</f>
        <v>16616</v>
      </c>
      <c r="B1550" s="4" t="s">
        <v>389</v>
      </c>
      <c r="C1550" s="4" t="s">
        <v>287</v>
      </c>
      <c r="D1550" s="94">
        <v>5357.0</v>
      </c>
    </row>
    <row r="1551">
      <c r="A1551" s="40">
        <f t="array" ref="A1551">IFNA(index(PlayerValues!A:A,match(IFNA(vlookup(B1551,'Special Names'!A:B,2,FALSE),B1551),PlayerValues!E:E,0)),"N/A")</f>
        <v>15708</v>
      </c>
      <c r="B1551" s="4" t="s">
        <v>382</v>
      </c>
      <c r="C1551" s="4" t="s">
        <v>278</v>
      </c>
      <c r="D1551" s="94">
        <v>5279.0</v>
      </c>
    </row>
    <row r="1552">
      <c r="A1552" s="40">
        <f t="array" ref="A1552">IFNA(index(PlayerValues!A:A,match(IFNA(vlookup(B1552,'Special Names'!A:B,2,FALSE),B1552),PlayerValues!E:E,0)),"N/A")</f>
        <v>17070</v>
      </c>
      <c r="B1552" s="4" t="s">
        <v>370</v>
      </c>
      <c r="C1552" s="4" t="s">
        <v>287</v>
      </c>
      <c r="D1552" s="94">
        <v>5278.0</v>
      </c>
    </row>
    <row r="1553">
      <c r="A1553" s="40">
        <f t="array" ref="A1553">IFNA(index(PlayerValues!A:A,match(IFNA(vlookup(B1553,'Special Names'!A:B,2,FALSE),B1553),PlayerValues!E:E,0)),"N/A")</f>
        <v>17030</v>
      </c>
      <c r="B1553" s="4" t="s">
        <v>406</v>
      </c>
      <c r="C1553" s="4" t="s">
        <v>283</v>
      </c>
      <c r="D1553" s="94">
        <v>5248.0</v>
      </c>
    </row>
    <row r="1554">
      <c r="A1554" s="40">
        <f t="array" ref="A1554">IFNA(index(PlayerValues!A:A,match(IFNA(vlookup(B1554,'Special Names'!A:B,2,FALSE),B1554),PlayerValues!E:E,0)),"N/A")</f>
        <v>17498</v>
      </c>
      <c r="B1554" s="4" t="s">
        <v>396</v>
      </c>
      <c r="C1554" s="4" t="s">
        <v>287</v>
      </c>
      <c r="D1554" s="94">
        <v>5211.0</v>
      </c>
    </row>
    <row r="1555">
      <c r="A1555" s="40">
        <f t="array" ref="A1555">IFNA(index(PlayerValues!A:A,match(IFNA(vlookup(B1555,'Special Names'!A:B,2,FALSE),B1555),PlayerValues!E:E,0)),"N/A")</f>
        <v>16194</v>
      </c>
      <c r="B1555" s="4" t="s">
        <v>398</v>
      </c>
      <c r="C1555" s="4" t="s">
        <v>287</v>
      </c>
      <c r="D1555" s="94">
        <v>5191.0</v>
      </c>
    </row>
    <row r="1556">
      <c r="A1556" s="40">
        <f t="array" ref="A1556">IFNA(index(PlayerValues!A:A,match(IFNA(vlookup(B1556,'Special Names'!A:B,2,FALSE),B1556),PlayerValues!E:E,0)),"N/A")</f>
        <v>15282</v>
      </c>
      <c r="B1556" s="4" t="s">
        <v>364</v>
      </c>
      <c r="C1556" s="4" t="s">
        <v>287</v>
      </c>
      <c r="D1556" s="94">
        <v>5158.0</v>
      </c>
    </row>
    <row r="1557">
      <c r="A1557" s="40">
        <f t="array" ref="A1557">IFNA(index(PlayerValues!A:A,match(IFNA(vlookup(B1557,'Special Names'!A:B,2,FALSE),B1557),PlayerValues!E:E,0)),"N/A")</f>
        <v>16614</v>
      </c>
      <c r="B1557" s="4" t="s">
        <v>403</v>
      </c>
      <c r="C1557" s="4" t="s">
        <v>287</v>
      </c>
      <c r="D1557" s="94">
        <v>5109.0</v>
      </c>
    </row>
    <row r="1558">
      <c r="A1558" s="40">
        <f t="array" ref="A1558">IFNA(index(PlayerValues!A:A,match(IFNA(vlookup(B1558,'Special Names'!A:B,2,FALSE),B1558),PlayerValues!E:E,0)),"N/A")</f>
        <v>17499</v>
      </c>
      <c r="B1558" s="4" t="s">
        <v>402</v>
      </c>
      <c r="C1558" s="4" t="s">
        <v>287</v>
      </c>
      <c r="D1558" s="94">
        <v>5081.0</v>
      </c>
    </row>
    <row r="1559">
      <c r="A1559" s="40">
        <f t="array" ref="A1559">IFNA(index(PlayerValues!A:A,match(IFNA(vlookup(B1559,'Special Names'!A:B,2,FALSE),B1559),PlayerValues!E:E,0)),"N/A")</f>
        <v>13130</v>
      </c>
      <c r="B1559" s="4" t="s">
        <v>374</v>
      </c>
      <c r="C1559" s="4" t="s">
        <v>278</v>
      </c>
      <c r="D1559" s="94">
        <v>4978.0</v>
      </c>
    </row>
    <row r="1560">
      <c r="A1560" s="40" t="str">
        <f t="array" ref="A1560">IFNA(index(PlayerValues!A:A,match(IFNA(vlookup(B1560,'Special Names'!A:B,2,FALSE),B1560),PlayerValues!E:E,0)),"N/A")</f>
        <v>N/A</v>
      </c>
      <c r="B1560" s="4" t="s">
        <v>104</v>
      </c>
      <c r="C1560" s="4" t="s">
        <v>325</v>
      </c>
      <c r="D1560" s="94">
        <v>4949.0</v>
      </c>
    </row>
    <row r="1561">
      <c r="A1561" s="40">
        <f t="array" ref="A1561">IFNA(index(PlayerValues!A:A,match(IFNA(vlookup(B1561,'Special Names'!A:B,2,FALSE),B1561),PlayerValues!E:E,0)),"N/A")</f>
        <v>16598</v>
      </c>
      <c r="B1561" s="4" t="s">
        <v>408</v>
      </c>
      <c r="C1561" s="4" t="s">
        <v>278</v>
      </c>
      <c r="D1561" s="94">
        <v>4931.0</v>
      </c>
    </row>
    <row r="1562">
      <c r="A1562" s="40">
        <f t="array" ref="A1562">IFNA(index(PlayerValues!A:A,match(IFNA(vlookup(B1562,'Special Names'!A:B,2,FALSE),B1562),PlayerValues!E:E,0)),"N/A")</f>
        <v>16618</v>
      </c>
      <c r="B1562" s="4" t="s">
        <v>411</v>
      </c>
      <c r="C1562" s="4" t="s">
        <v>287</v>
      </c>
      <c r="D1562" s="94">
        <v>4930.0</v>
      </c>
    </row>
    <row r="1563">
      <c r="A1563" s="40">
        <f t="array" ref="A1563">IFNA(index(PlayerValues!A:A,match(IFNA(vlookup(B1563,'Special Names'!A:B,2,FALSE),B1563),PlayerValues!E:E,0)),"N/A")</f>
        <v>12620</v>
      </c>
      <c r="B1563" s="4" t="s">
        <v>394</v>
      </c>
      <c r="C1563" s="4" t="s">
        <v>283</v>
      </c>
      <c r="D1563" s="94">
        <v>4918.0</v>
      </c>
    </row>
    <row r="1564">
      <c r="A1564" s="40">
        <f t="array" ref="A1564">IFNA(index(PlayerValues!A:A,match(IFNA(vlookup(B1564,'Special Names'!A:B,2,FALSE),B1564),PlayerValues!E:E,0)),"N/A")</f>
        <v>16150</v>
      </c>
      <c r="B1564" s="4" t="s">
        <v>414</v>
      </c>
      <c r="C1564" s="4" t="s">
        <v>283</v>
      </c>
      <c r="D1564" s="94">
        <v>4912.0</v>
      </c>
    </row>
    <row r="1565">
      <c r="A1565" s="40">
        <f t="array" ref="A1565">IFNA(index(PlayerValues!A:A,match(IFNA(vlookup(B1565,'Special Names'!A:B,2,FALSE),B1565),PlayerValues!E:E,0)),"N/A")</f>
        <v>17103</v>
      </c>
      <c r="B1565" s="4" t="s">
        <v>405</v>
      </c>
      <c r="C1565" s="4" t="s">
        <v>298</v>
      </c>
      <c r="D1565" s="94">
        <v>5477.0</v>
      </c>
    </row>
    <row r="1566">
      <c r="A1566" s="40">
        <f t="array" ref="A1566">IFNA(index(PlayerValues!A:A,match(IFNA(vlookup(B1566,'Special Names'!A:B,2,FALSE),B1566),PlayerValues!E:E,0)),"N/A")</f>
        <v>15284</v>
      </c>
      <c r="B1566" s="4" t="s">
        <v>390</v>
      </c>
      <c r="C1566" s="4" t="s">
        <v>287</v>
      </c>
      <c r="D1566" s="94">
        <v>4900.0</v>
      </c>
    </row>
    <row r="1567">
      <c r="A1567" s="40" t="str">
        <f t="array" ref="A1567">IFNA(index(PlayerValues!A:A,match(IFNA(vlookup(B1567,'Special Names'!A:B,2,FALSE),B1567),PlayerValues!E:E,0)),"N/A")</f>
        <v>N/A</v>
      </c>
      <c r="B1567" s="4" t="s">
        <v>94</v>
      </c>
      <c r="C1567" s="4" t="s">
        <v>325</v>
      </c>
      <c r="D1567" s="94">
        <v>4899.0</v>
      </c>
    </row>
    <row r="1568">
      <c r="A1568" s="40">
        <f t="array" ref="A1568">IFNA(index(PlayerValues!A:A,match(IFNA(vlookup(B1568,'Special Names'!A:B,2,FALSE),B1568),PlayerValues!E:E,0)),"N/A")</f>
        <v>14835</v>
      </c>
      <c r="B1568" s="4" t="s">
        <v>392</v>
      </c>
      <c r="C1568" s="4" t="s">
        <v>287</v>
      </c>
      <c r="D1568" s="94">
        <v>4895.0</v>
      </c>
    </row>
    <row r="1569">
      <c r="A1569" s="40">
        <f t="array" ref="A1569">IFNA(index(PlayerValues!A:A,match(IFNA(vlookup(B1569,'Special Names'!A:B,2,FALSE),B1569),PlayerValues!E:E,0)),"N/A")</f>
        <v>16181</v>
      </c>
      <c r="B1569" s="4" t="s">
        <v>350</v>
      </c>
      <c r="C1569" s="4" t="s">
        <v>278</v>
      </c>
      <c r="D1569" s="94">
        <v>4892.0</v>
      </c>
    </row>
    <row r="1570">
      <c r="A1570" s="40">
        <f t="array" ref="A1570">IFNA(index(PlayerValues!A:A,match(IFNA(vlookup(B1570,'Special Names'!A:B,2,FALSE),B1570),PlayerValues!E:E,0)),"N/A")</f>
        <v>13604</v>
      </c>
      <c r="B1570" s="4" t="s">
        <v>378</v>
      </c>
      <c r="C1570" s="4" t="s">
        <v>278</v>
      </c>
      <c r="D1570" s="94">
        <v>4883.0</v>
      </c>
    </row>
    <row r="1571">
      <c r="A1571" s="40">
        <f t="array" ref="A1571">IFNA(index(PlayerValues!A:A,match(IFNA(vlookup(B1571,'Special Names'!A:B,2,FALSE),B1571),PlayerValues!E:E,0)),"N/A")</f>
        <v>15710</v>
      </c>
      <c r="B1571" s="4" t="s">
        <v>395</v>
      </c>
      <c r="C1571" s="4" t="s">
        <v>278</v>
      </c>
      <c r="D1571" s="94">
        <v>4863.0</v>
      </c>
    </row>
    <row r="1572">
      <c r="A1572" s="40">
        <f t="array" ref="A1572">IFNA(index(PlayerValues!A:A,match(IFNA(vlookup(B1572,'Special Names'!A:B,2,FALSE),B1572),PlayerValues!E:E,0)),"N/A")</f>
        <v>14104</v>
      </c>
      <c r="B1572" s="4" t="s">
        <v>379</v>
      </c>
      <c r="C1572" s="4" t="s">
        <v>287</v>
      </c>
      <c r="D1572" s="94">
        <v>4848.0</v>
      </c>
    </row>
    <row r="1573">
      <c r="A1573" s="40">
        <f t="array" ref="A1573">IFNA(index(PlayerValues!A:A,match(IFNA(vlookup(B1573,'Special Names'!A:B,2,FALSE),B1573),PlayerValues!E:E,0)),"N/A")</f>
        <v>17039</v>
      </c>
      <c r="B1573" s="4" t="s">
        <v>400</v>
      </c>
      <c r="C1573" s="4" t="s">
        <v>283</v>
      </c>
      <c r="D1573" s="94">
        <v>4841.0</v>
      </c>
    </row>
    <row r="1574">
      <c r="A1574" s="40">
        <f t="array" ref="A1574">IFNA(index(PlayerValues!A:A,match(IFNA(vlookup(B1574,'Special Names'!A:B,2,FALSE),B1574),PlayerValues!E:E,0)),"N/A")</f>
        <v>13592</v>
      </c>
      <c r="B1574" s="4" t="s">
        <v>418</v>
      </c>
      <c r="C1574" s="4" t="s">
        <v>283</v>
      </c>
      <c r="D1574" s="94">
        <v>4812.0</v>
      </c>
    </row>
    <row r="1575">
      <c r="A1575" s="40">
        <f t="array" ref="A1575">IFNA(index(PlayerValues!A:A,match(IFNA(vlookup(B1575,'Special Names'!A:B,2,FALSE),B1575),PlayerValues!E:E,0)),"N/A")</f>
        <v>15756</v>
      </c>
      <c r="B1575" s="4" t="s">
        <v>399</v>
      </c>
      <c r="C1575" s="4" t="s">
        <v>287</v>
      </c>
      <c r="D1575" s="94">
        <v>4797.0</v>
      </c>
    </row>
    <row r="1576">
      <c r="A1576" s="40">
        <f t="array" ref="A1576">IFNA(index(PlayerValues!A:A,match(IFNA(vlookup(B1576,'Special Names'!A:B,2,FALSE),B1576),PlayerValues!E:E,0)),"N/A")</f>
        <v>16222</v>
      </c>
      <c r="B1576" s="4" t="s">
        <v>393</v>
      </c>
      <c r="C1576" s="4" t="s">
        <v>298</v>
      </c>
      <c r="D1576" s="94">
        <v>5323.0</v>
      </c>
    </row>
    <row r="1577">
      <c r="A1577" s="40">
        <f t="array" ref="A1577">IFNA(index(PlayerValues!A:A,match(IFNA(vlookup(B1577,'Special Names'!A:B,2,FALSE),B1577),PlayerValues!E:E,0)),"N/A")</f>
        <v>13590</v>
      </c>
      <c r="B1577" s="4" t="s">
        <v>409</v>
      </c>
      <c r="C1577" s="4" t="s">
        <v>283</v>
      </c>
      <c r="D1577" s="94">
        <v>4746.0</v>
      </c>
    </row>
    <row r="1578">
      <c r="A1578" s="40">
        <f t="array" ref="A1578">IFNA(index(PlayerValues!A:A,match(IFNA(vlookup(B1578,'Special Names'!A:B,2,FALSE),B1578),PlayerValues!E:E,0)),"N/A")</f>
        <v>12611</v>
      </c>
      <c r="B1578" s="4" t="s">
        <v>410</v>
      </c>
      <c r="C1578" s="4" t="s">
        <v>283</v>
      </c>
      <c r="D1578" s="94">
        <v>4670.0</v>
      </c>
    </row>
    <row r="1579">
      <c r="A1579" s="40">
        <f t="array" ref="A1579">IFNA(index(PlayerValues!A:A,match(IFNA(vlookup(B1579,'Special Names'!A:B,2,FALSE),B1579),PlayerValues!E:E,0)),"N/A")</f>
        <v>16190</v>
      </c>
      <c r="B1579" s="4" t="s">
        <v>371</v>
      </c>
      <c r="C1579" s="4" t="s">
        <v>287</v>
      </c>
      <c r="D1579" s="94">
        <v>4655.0</v>
      </c>
    </row>
    <row r="1580">
      <c r="A1580" s="40" t="str">
        <f t="array" ref="A1580">IFNA(index(PlayerValues!A:A,match(IFNA(vlookup(B1580,'Special Names'!A:B,2,FALSE),B1580),PlayerValues!E:E,0)),"N/A")</f>
        <v>N/A</v>
      </c>
      <c r="B1580" s="4" t="s">
        <v>80</v>
      </c>
      <c r="C1580" s="4" t="s">
        <v>325</v>
      </c>
      <c r="D1580" s="94">
        <v>4579.0</v>
      </c>
    </row>
    <row r="1581">
      <c r="A1581" s="40">
        <f t="array" ref="A1581">IFNA(index(PlayerValues!A:A,match(IFNA(vlookup(B1581,'Special Names'!A:B,2,FALSE),B1581),PlayerValues!E:E,0)),"N/A")</f>
        <v>17473</v>
      </c>
      <c r="B1581" s="4" t="s">
        <v>391</v>
      </c>
      <c r="C1581" s="4" t="s">
        <v>278</v>
      </c>
      <c r="D1581" s="94">
        <v>4577.0</v>
      </c>
    </row>
    <row r="1582">
      <c r="A1582" s="40">
        <f t="array" ref="A1582">IFNA(index(PlayerValues!A:A,match(IFNA(vlookup(B1582,'Special Names'!A:B,2,FALSE),B1582),PlayerValues!E:E,0)),"N/A")</f>
        <v>16214</v>
      </c>
      <c r="B1582" s="4" t="s">
        <v>413</v>
      </c>
      <c r="C1582" s="4" t="s">
        <v>298</v>
      </c>
      <c r="D1582" s="94">
        <v>5093.0</v>
      </c>
    </row>
    <row r="1583">
      <c r="A1583" s="40">
        <f t="array" ref="A1583">IFNA(index(PlayerValues!A:A,match(IFNA(vlookup(B1583,'Special Names'!A:B,2,FALSE),B1583),PlayerValues!E:E,0)),"N/A")</f>
        <v>16148</v>
      </c>
      <c r="B1583" s="4" t="s">
        <v>426</v>
      </c>
      <c r="C1583" s="4" t="s">
        <v>283</v>
      </c>
      <c r="D1583" s="94">
        <v>4543.0</v>
      </c>
    </row>
    <row r="1584">
      <c r="A1584" s="40">
        <f t="array" ref="A1584">IFNA(index(PlayerValues!A:A,match(IFNA(vlookup(B1584,'Special Names'!A:B,2,FALSE),B1584),PlayerValues!E:E,0)),"N/A")</f>
        <v>17045</v>
      </c>
      <c r="B1584" s="4" t="s">
        <v>407</v>
      </c>
      <c r="C1584" s="4" t="s">
        <v>278</v>
      </c>
      <c r="D1584" s="94">
        <v>4478.0</v>
      </c>
    </row>
    <row r="1585">
      <c r="A1585" s="40">
        <f t="array" ref="A1585">IFNA(index(PlayerValues!A:A,match(IFNA(vlookup(B1585,'Special Names'!A:B,2,FALSE),B1585),PlayerValues!E:E,0)),"N/A")</f>
        <v>14073</v>
      </c>
      <c r="B1585" s="4" t="s">
        <v>464</v>
      </c>
      <c r="C1585" s="4" t="s">
        <v>278</v>
      </c>
      <c r="D1585" s="94">
        <v>4451.0</v>
      </c>
    </row>
    <row r="1586">
      <c r="A1586" s="40">
        <f t="array" ref="A1586">IFNA(index(PlayerValues!A:A,match(IFNA(vlookup(B1586,'Special Names'!A:B,2,FALSE),B1586),PlayerValues!E:E,0)),"N/A")</f>
        <v>15253</v>
      </c>
      <c r="B1586" s="4" t="s">
        <v>415</v>
      </c>
      <c r="C1586" s="4" t="s">
        <v>278</v>
      </c>
      <c r="D1586" s="94">
        <v>4432.0</v>
      </c>
    </row>
    <row r="1587">
      <c r="A1587" s="40">
        <f t="array" ref="A1587">IFNA(index(PlayerValues!A:A,match(IFNA(vlookup(B1587,'Special Names'!A:B,2,FALSE),B1587),PlayerValues!E:E,0)),"N/A")</f>
        <v>15329</v>
      </c>
      <c r="B1587" s="4" t="s">
        <v>416</v>
      </c>
      <c r="C1587" s="4" t="s">
        <v>298</v>
      </c>
      <c r="D1587" s="94">
        <v>4969.0</v>
      </c>
    </row>
    <row r="1588">
      <c r="A1588" s="40">
        <f t="array" ref="A1588">IFNA(index(PlayerValues!A:A,match(IFNA(vlookup(B1588,'Special Names'!A:B,2,FALSE),B1588),PlayerValues!E:E,0)),"N/A")</f>
        <v>15256</v>
      </c>
      <c r="B1588" s="4" t="s">
        <v>401</v>
      </c>
      <c r="C1588" s="4" t="s">
        <v>278</v>
      </c>
      <c r="D1588" s="94">
        <v>4416.0</v>
      </c>
    </row>
    <row r="1589">
      <c r="A1589" s="40" t="str">
        <f t="array" ref="A1589">IFNA(index(PlayerValues!A:A,match(IFNA(vlookup(B1589,'Special Names'!A:B,2,FALSE),B1589),PlayerValues!E:E,0)),"N/A")</f>
        <v>N/A</v>
      </c>
      <c r="B1589" s="4" t="s">
        <v>105</v>
      </c>
      <c r="C1589" s="4" t="s">
        <v>325</v>
      </c>
      <c r="D1589" s="94">
        <v>4409.0</v>
      </c>
    </row>
    <row r="1590">
      <c r="A1590" s="40">
        <f t="array" ref="A1590">IFNA(index(PlayerValues!A:A,match(IFNA(vlookup(B1590,'Special Names'!A:B,2,FALSE),B1590),PlayerValues!E:E,0)),"N/A")</f>
        <v>17501</v>
      </c>
      <c r="B1590" s="4" t="s">
        <v>404</v>
      </c>
      <c r="C1590" s="4" t="s">
        <v>287</v>
      </c>
      <c r="D1590" s="94">
        <v>4408.0</v>
      </c>
    </row>
    <row r="1591">
      <c r="A1591" s="40">
        <f t="array" ref="A1591">IFNA(index(PlayerValues!A:A,match(IFNA(vlookup(B1591,'Special Names'!A:B,2,FALSE),B1591),PlayerValues!E:E,0)),"N/A")</f>
        <v>15768</v>
      </c>
      <c r="B1591" s="4" t="s">
        <v>432</v>
      </c>
      <c r="C1591" s="4" t="s">
        <v>287</v>
      </c>
      <c r="D1591" s="94">
        <v>4162.0</v>
      </c>
    </row>
    <row r="1592">
      <c r="A1592" s="40">
        <f t="array" ref="A1592">IFNA(index(PlayerValues!A:A,match(IFNA(vlookup(B1592,'Special Names'!A:B,2,FALSE),B1592),PlayerValues!E:E,0)),"N/A")</f>
        <v>14056</v>
      </c>
      <c r="B1592" s="4" t="s">
        <v>423</v>
      </c>
      <c r="C1592" s="4" t="s">
        <v>283</v>
      </c>
      <c r="D1592" s="94">
        <v>4099.0</v>
      </c>
    </row>
    <row r="1593">
      <c r="A1593" s="40">
        <f t="array" ref="A1593">IFNA(index(PlayerValues!A:A,match(IFNA(vlookup(B1593,'Special Names'!A:B,2,FALSE),B1593),PlayerValues!E:E,0)),"N/A")</f>
        <v>15694</v>
      </c>
      <c r="B1593" s="4" t="s">
        <v>434</v>
      </c>
      <c r="C1593" s="4" t="s">
        <v>283</v>
      </c>
      <c r="D1593" s="94">
        <v>4077.0</v>
      </c>
    </row>
    <row r="1594">
      <c r="A1594" s="40">
        <f t="array" ref="A1594">IFNA(index(PlayerValues!A:A,match(IFNA(vlookup(B1594,'Special Names'!A:B,2,FALSE),B1594),PlayerValues!E:E,0)),"N/A")</f>
        <v>17543</v>
      </c>
      <c r="B1594" s="4" t="s">
        <v>436</v>
      </c>
      <c r="C1594" s="4" t="s">
        <v>298</v>
      </c>
      <c r="D1594" s="94">
        <v>4568.0</v>
      </c>
    </row>
    <row r="1595">
      <c r="A1595" s="40">
        <f t="array" ref="A1595">IFNA(index(PlayerValues!A:A,match(IFNA(vlookup(B1595,'Special Names'!A:B,2,FALSE),B1595),PlayerValues!E:E,0)),"N/A")</f>
        <v>14059</v>
      </c>
      <c r="B1595" s="4" t="s">
        <v>435</v>
      </c>
      <c r="C1595" s="4" t="s">
        <v>283</v>
      </c>
      <c r="D1595" s="94">
        <v>4011.0</v>
      </c>
    </row>
    <row r="1596">
      <c r="A1596" s="40">
        <f t="array" ref="A1596">IFNA(index(PlayerValues!A:A,match(IFNA(vlookup(B1596,'Special Names'!A:B,2,FALSE),B1596),PlayerValues!E:E,0)),"N/A")</f>
        <v>16186</v>
      </c>
      <c r="B1596" s="4" t="s">
        <v>425</v>
      </c>
      <c r="C1596" s="4" t="s">
        <v>287</v>
      </c>
      <c r="D1596" s="94">
        <v>3967.0</v>
      </c>
    </row>
    <row r="1597">
      <c r="A1597" s="40">
        <f t="array" ref="A1597">IFNA(index(PlayerValues!A:A,match(IFNA(vlookup(B1597,'Special Names'!A:B,2,FALSE),B1597),PlayerValues!E:E,0)),"N/A")</f>
        <v>17052</v>
      </c>
      <c r="B1597" s="4" t="s">
        <v>417</v>
      </c>
      <c r="C1597" s="4" t="s">
        <v>278</v>
      </c>
      <c r="D1597" s="94">
        <v>3930.0</v>
      </c>
    </row>
    <row r="1598">
      <c r="A1598" s="40" t="str">
        <f t="array" ref="A1598">IFNA(index(PlayerValues!A:A,match(IFNA(vlookup(B1598,'Special Names'!A:B,2,FALSE),B1598),PlayerValues!E:E,0)),"N/A")</f>
        <v>N/A</v>
      </c>
      <c r="B1598" s="4" t="s">
        <v>95</v>
      </c>
      <c r="C1598" s="4" t="s">
        <v>325</v>
      </c>
      <c r="D1598" s="94">
        <v>3899.0</v>
      </c>
    </row>
    <row r="1599">
      <c r="A1599" s="40" t="str">
        <f t="array" ref="A1599">IFNA(index(PlayerValues!A:A,match(IFNA(vlookup(B1599,'Special Names'!A:B,2,FALSE),B1599),PlayerValues!E:E,0)),"N/A")</f>
        <v>N/A</v>
      </c>
      <c r="B1599" s="4" t="s">
        <v>107</v>
      </c>
      <c r="C1599" s="4" t="s">
        <v>325</v>
      </c>
      <c r="D1599" s="94">
        <v>3889.0</v>
      </c>
    </row>
    <row r="1600">
      <c r="A1600" s="40">
        <f t="array" ref="A1600">IFNA(index(PlayerValues!A:A,match(IFNA(vlookup(B1600,'Special Names'!A:B,2,FALSE),B1600),PlayerValues!E:E,0)),"N/A")</f>
        <v>17099</v>
      </c>
      <c r="B1600" s="4" t="s">
        <v>474</v>
      </c>
      <c r="C1600" s="4" t="s">
        <v>298</v>
      </c>
      <c r="D1600" s="94">
        <v>4362.0</v>
      </c>
    </row>
    <row r="1601">
      <c r="A1601" s="40" t="str">
        <f t="array" ref="A1601">IFNA(index(PlayerValues!A:A,match(IFNA(vlookup(B1601,'Special Names'!A:B,2,FALSE),B1601),PlayerValues!E:E,0)),"N/A")</f>
        <v>N/A</v>
      </c>
      <c r="B1601" s="4" t="s">
        <v>81</v>
      </c>
      <c r="C1601" s="4" t="s">
        <v>325</v>
      </c>
      <c r="D1601" s="94">
        <v>3857.0</v>
      </c>
    </row>
    <row r="1602">
      <c r="A1602" s="40">
        <f t="array" ref="A1602">IFNA(index(PlayerValues!A:A,match(IFNA(vlookup(B1602,'Special Names'!A:B,2,FALSE),B1602),PlayerValues!E:E,0)),"N/A")</f>
        <v>17502</v>
      </c>
      <c r="B1602" s="4" t="s">
        <v>451</v>
      </c>
      <c r="C1602" s="4" t="s">
        <v>287</v>
      </c>
      <c r="D1602" s="94">
        <v>3828.0</v>
      </c>
    </row>
    <row r="1603">
      <c r="A1603" s="40">
        <f t="array" ref="A1603">IFNA(index(PlayerValues!A:A,match(IFNA(vlookup(B1603,'Special Names'!A:B,2,FALSE),B1603),PlayerValues!E:E,0)),"N/A")</f>
        <v>12626</v>
      </c>
      <c r="B1603" s="4" t="s">
        <v>419</v>
      </c>
      <c r="C1603" s="4" t="s">
        <v>278</v>
      </c>
      <c r="D1603" s="94">
        <v>3818.0</v>
      </c>
    </row>
    <row r="1604">
      <c r="A1604" s="40">
        <f t="array" ref="A1604">IFNA(index(PlayerValues!A:A,match(IFNA(vlookup(B1604,'Special Names'!A:B,2,FALSE),B1604),PlayerValues!E:E,0)),"N/A")</f>
        <v>13635</v>
      </c>
      <c r="B1604" s="4" t="s">
        <v>424</v>
      </c>
      <c r="C1604" s="4" t="s">
        <v>287</v>
      </c>
      <c r="D1604" s="94">
        <v>3806.0</v>
      </c>
    </row>
    <row r="1605">
      <c r="A1605" s="40">
        <f t="array" ref="A1605">IFNA(index(PlayerValues!A:A,match(IFNA(vlookup(B1605,'Special Names'!A:B,2,FALSE),B1605),PlayerValues!E:E,0)),"N/A")</f>
        <v>14102</v>
      </c>
      <c r="B1605" s="4" t="s">
        <v>444</v>
      </c>
      <c r="C1605" s="4" t="s">
        <v>287</v>
      </c>
      <c r="D1605" s="94">
        <v>3732.0</v>
      </c>
    </row>
    <row r="1606">
      <c r="A1606" s="40">
        <f t="array" ref="A1606">IFNA(index(PlayerValues!A:A,match(IFNA(vlookup(B1606,'Special Names'!A:B,2,FALSE),B1606),PlayerValues!E:E,0)),"N/A")</f>
        <v>16206</v>
      </c>
      <c r="B1606" s="4" t="s">
        <v>431</v>
      </c>
      <c r="C1606" s="4" t="s">
        <v>287</v>
      </c>
      <c r="D1606" s="94">
        <v>3709.0</v>
      </c>
    </row>
    <row r="1607">
      <c r="A1607" s="40">
        <f t="array" ref="A1607">IFNA(index(PlayerValues!A:A,match(IFNA(vlookup(B1607,'Special Names'!A:B,2,FALSE),B1607),PlayerValues!E:E,0)),"N/A")</f>
        <v>17075</v>
      </c>
      <c r="B1607" s="4" t="s">
        <v>429</v>
      </c>
      <c r="C1607" s="4" t="s">
        <v>287</v>
      </c>
      <c r="D1607" s="94">
        <v>3701.0</v>
      </c>
    </row>
    <row r="1608">
      <c r="A1608" s="40">
        <f t="array" ref="A1608">IFNA(index(PlayerValues!A:A,match(IFNA(vlookup(B1608,'Special Names'!A:B,2,FALSE),B1608),PlayerValues!E:E,0)),"N/A")</f>
        <v>9431</v>
      </c>
      <c r="B1608" s="4" t="s">
        <v>428</v>
      </c>
      <c r="C1608" s="4" t="s">
        <v>283</v>
      </c>
      <c r="D1608" s="94">
        <v>3697.0</v>
      </c>
    </row>
    <row r="1609">
      <c r="A1609" s="40">
        <f t="array" ref="A1609">IFNA(index(PlayerValues!A:A,match(IFNA(vlookup(B1609,'Special Names'!A:B,2,FALSE),B1609),PlayerValues!E:E,0)),"N/A")</f>
        <v>17463</v>
      </c>
      <c r="B1609" s="4" t="s">
        <v>433</v>
      </c>
      <c r="C1609" s="4" t="s">
        <v>283</v>
      </c>
      <c r="D1609" s="94">
        <v>3696.0</v>
      </c>
    </row>
    <row r="1610">
      <c r="A1610" s="40">
        <f t="array" ref="A1610">IFNA(index(PlayerValues!A:A,match(IFNA(vlookup(B1610,'Special Names'!A:B,2,FALSE),B1610),PlayerValues!E:E,0)),"N/A")</f>
        <v>15789</v>
      </c>
      <c r="B1610" s="4" t="s">
        <v>421</v>
      </c>
      <c r="C1610" s="4" t="s">
        <v>287</v>
      </c>
      <c r="D1610" s="94">
        <v>3667.0</v>
      </c>
    </row>
    <row r="1611">
      <c r="A1611" s="40">
        <f t="array" ref="A1611">IFNA(index(PlayerValues!A:A,match(IFNA(vlookup(B1611,'Special Names'!A:B,2,FALSE),B1611),PlayerValues!E:E,0)),"N/A")</f>
        <v>17068</v>
      </c>
      <c r="B1611" s="4" t="s">
        <v>450</v>
      </c>
      <c r="C1611" s="4" t="s">
        <v>278</v>
      </c>
      <c r="D1611" s="94">
        <v>3649.0</v>
      </c>
    </row>
    <row r="1612">
      <c r="A1612" s="40">
        <f t="array" ref="A1612">IFNA(index(PlayerValues!A:A,match(IFNA(vlookup(B1612,'Special Names'!A:B,2,FALSE),B1612),PlayerValues!E:E,0)),"N/A")</f>
        <v>15757</v>
      </c>
      <c r="B1612" s="4" t="s">
        <v>449</v>
      </c>
      <c r="C1612" s="4" t="s">
        <v>287</v>
      </c>
      <c r="D1612" s="94">
        <v>3582.0</v>
      </c>
    </row>
    <row r="1613">
      <c r="A1613" s="40">
        <f t="array" ref="A1613">IFNA(index(PlayerValues!A:A,match(IFNA(vlookup(B1613,'Special Names'!A:B,2,FALSE),B1613),PlayerValues!E:E,0)),"N/A")</f>
        <v>17066</v>
      </c>
      <c r="B1613" s="4" t="s">
        <v>446</v>
      </c>
      <c r="C1613" s="4" t="s">
        <v>278</v>
      </c>
      <c r="D1613" s="94">
        <v>3576.0</v>
      </c>
    </row>
    <row r="1614">
      <c r="A1614" s="40">
        <f t="array" ref="A1614">IFNA(index(PlayerValues!A:A,match(IFNA(vlookup(B1614,'Special Names'!A:B,2,FALSE),B1614),PlayerValues!E:E,0)),"N/A")</f>
        <v>16622</v>
      </c>
      <c r="B1614" s="4" t="s">
        <v>517</v>
      </c>
      <c r="C1614" s="4" t="s">
        <v>287</v>
      </c>
      <c r="D1614" s="94">
        <v>3556.0</v>
      </c>
    </row>
    <row r="1615">
      <c r="A1615" s="40">
        <f t="array" ref="A1615">IFNA(index(PlayerValues!A:A,match(IFNA(vlookup(B1615,'Special Names'!A:B,2,FALSE),B1615),PlayerValues!E:E,0)),"N/A")</f>
        <v>14797</v>
      </c>
      <c r="B1615" s="4" t="s">
        <v>420</v>
      </c>
      <c r="C1615" s="4" t="s">
        <v>278</v>
      </c>
      <c r="D1615" s="94">
        <v>3547.0</v>
      </c>
    </row>
    <row r="1616">
      <c r="A1616" s="40">
        <f t="array" ref="A1616">IFNA(index(PlayerValues!A:A,match(IFNA(vlookup(B1616,'Special Names'!A:B,2,FALSE),B1616),PlayerValues!E:E,0)),"N/A")</f>
        <v>17083</v>
      </c>
      <c r="B1616" s="4" t="s">
        <v>479</v>
      </c>
      <c r="C1616" s="4" t="s">
        <v>287</v>
      </c>
      <c r="D1616" s="94">
        <v>3507.0</v>
      </c>
    </row>
    <row r="1617">
      <c r="A1617" s="40">
        <f t="array" ref="A1617">IFNA(index(PlayerValues!A:A,match(IFNA(vlookup(B1617,'Special Names'!A:B,2,FALSE),B1617),PlayerValues!E:E,0)),"N/A")</f>
        <v>16192</v>
      </c>
      <c r="B1617" s="4" t="s">
        <v>412</v>
      </c>
      <c r="C1617" s="4" t="s">
        <v>287</v>
      </c>
      <c r="D1617" s="94">
        <v>3482.0</v>
      </c>
    </row>
    <row r="1618">
      <c r="A1618" s="40">
        <f t="array" ref="A1618">IFNA(index(PlayerValues!A:A,match(IFNA(vlookup(B1618,'Special Names'!A:B,2,FALSE),B1618),PlayerValues!E:E,0)),"N/A")</f>
        <v>14109</v>
      </c>
      <c r="B1618" s="4" t="s">
        <v>437</v>
      </c>
      <c r="C1618" s="4" t="s">
        <v>287</v>
      </c>
      <c r="D1618" s="94">
        <v>3463.0</v>
      </c>
    </row>
    <row r="1619">
      <c r="A1619" s="40">
        <f t="array" ref="A1619">IFNA(index(PlayerValues!A:A,match(IFNA(vlookup(B1619,'Special Names'!A:B,2,FALSE),B1619),PlayerValues!E:E,0)),"N/A")</f>
        <v>16187</v>
      </c>
      <c r="B1619" s="4" t="s">
        <v>441</v>
      </c>
      <c r="C1619" s="4" t="s">
        <v>287</v>
      </c>
      <c r="D1619" s="94">
        <v>3457.0</v>
      </c>
    </row>
    <row r="1620">
      <c r="A1620" s="40">
        <f t="array" ref="A1620">IFNA(index(PlayerValues!A:A,match(IFNA(vlookup(B1620,'Special Names'!A:B,2,FALSE),B1620),PlayerValues!E:E,0)),"N/A")</f>
        <v>11675</v>
      </c>
      <c r="B1620" s="4" t="s">
        <v>438</v>
      </c>
      <c r="C1620" s="4" t="s">
        <v>287</v>
      </c>
      <c r="D1620" s="94">
        <v>3425.0</v>
      </c>
    </row>
    <row r="1621">
      <c r="A1621" s="40">
        <f t="array" ref="A1621">IFNA(index(PlayerValues!A:A,match(IFNA(vlookup(B1621,'Special Names'!A:B,2,FALSE),B1621),PlayerValues!E:E,0)),"N/A")</f>
        <v>17544</v>
      </c>
      <c r="B1621" s="4" t="s">
        <v>470</v>
      </c>
      <c r="C1621" s="4" t="s">
        <v>298</v>
      </c>
      <c r="D1621" s="94">
        <v>3876.0</v>
      </c>
    </row>
    <row r="1622">
      <c r="A1622" s="40">
        <f t="array" ref="A1622">IFNA(index(PlayerValues!A:A,match(IFNA(vlookup(B1622,'Special Names'!A:B,2,FALSE),B1622),PlayerValues!E:E,0)),"N/A")</f>
        <v>17500</v>
      </c>
      <c r="B1622" s="4" t="s">
        <v>430</v>
      </c>
      <c r="C1622" s="4" t="s">
        <v>287</v>
      </c>
      <c r="D1622" s="94">
        <v>3415.0</v>
      </c>
    </row>
    <row r="1623">
      <c r="A1623" s="40">
        <f t="array" ref="A1623">IFNA(index(PlayerValues!A:A,match(IFNA(vlookup(B1623,'Special Names'!A:B,2,FALSE),B1623),PlayerValues!E:E,0)),"N/A")</f>
        <v>16188</v>
      </c>
      <c r="B1623" s="4" t="s">
        <v>439</v>
      </c>
      <c r="C1623" s="4" t="s">
        <v>287</v>
      </c>
      <c r="D1623" s="94">
        <v>3392.0</v>
      </c>
    </row>
    <row r="1624">
      <c r="A1624" s="40" t="str">
        <f t="array" ref="A1624">IFNA(index(PlayerValues!A:A,match(IFNA(vlookup(B1624,'Special Names'!A:B,2,FALSE),B1624),PlayerValues!E:E,0)),"N/A")</f>
        <v>N/A</v>
      </c>
      <c r="B1624" s="4" t="s">
        <v>96</v>
      </c>
      <c r="C1624" s="4" t="s">
        <v>325</v>
      </c>
      <c r="D1624" s="94">
        <v>3392.0</v>
      </c>
    </row>
    <row r="1625">
      <c r="A1625" s="40">
        <f t="array" ref="A1625">IFNA(index(PlayerValues!A:A,match(IFNA(vlookup(B1625,'Special Names'!A:B,2,FALSE),B1625),PlayerValues!E:E,0)),"N/A")</f>
        <v>16620</v>
      </c>
      <c r="B1625" s="4" t="s">
        <v>467</v>
      </c>
      <c r="C1625" s="4" t="s">
        <v>287</v>
      </c>
      <c r="D1625" s="94">
        <v>3379.0</v>
      </c>
    </row>
    <row r="1626">
      <c r="A1626" s="40">
        <f t="array" ref="A1626">IFNA(index(PlayerValues!A:A,match(IFNA(vlookup(B1626,'Special Names'!A:B,2,FALSE),B1626),PlayerValues!E:E,0)),"N/A")</f>
        <v>14071</v>
      </c>
      <c r="B1626" s="4" t="s">
        <v>440</v>
      </c>
      <c r="C1626" s="4" t="s">
        <v>278</v>
      </c>
      <c r="D1626" s="94">
        <v>3375.0</v>
      </c>
    </row>
    <row r="1627">
      <c r="A1627" s="40">
        <f t="array" ref="A1627">IFNA(index(PlayerValues!A:A,match(IFNA(vlookup(B1627,'Special Names'!A:B,2,FALSE),B1627),PlayerValues!E:E,0)),"N/A")</f>
        <v>14842</v>
      </c>
      <c r="B1627" s="4" t="s">
        <v>456</v>
      </c>
      <c r="C1627" s="4" t="s">
        <v>287</v>
      </c>
      <c r="D1627" s="94">
        <v>3362.0</v>
      </c>
    </row>
    <row r="1628">
      <c r="A1628" s="40">
        <f t="array" ref="A1628">IFNA(index(PlayerValues!A:A,match(IFNA(vlookup(B1628,'Special Names'!A:B,2,FALSE),B1628),PlayerValues!E:E,0)),"N/A")</f>
        <v>15798</v>
      </c>
      <c r="B1628" s="4" t="s">
        <v>443</v>
      </c>
      <c r="C1628" s="4" t="s">
        <v>298</v>
      </c>
      <c r="D1628" s="94">
        <v>3808.0</v>
      </c>
    </row>
    <row r="1629">
      <c r="A1629" s="40">
        <f t="array" ref="A1629">IFNA(index(PlayerValues!A:A,match(IFNA(vlookup(B1629,'Special Names'!A:B,2,FALSE),B1629),PlayerValues!E:E,0)),"N/A")</f>
        <v>16169</v>
      </c>
      <c r="B1629" s="4" t="s">
        <v>457</v>
      </c>
      <c r="C1629" s="4" t="s">
        <v>278</v>
      </c>
      <c r="D1629" s="94">
        <v>3355.0</v>
      </c>
    </row>
    <row r="1630">
      <c r="A1630" s="40">
        <f t="array" ref="A1630">IFNA(index(PlayerValues!A:A,match(IFNA(vlookup(B1630,'Special Names'!A:B,2,FALSE),B1630),PlayerValues!E:E,0)),"N/A")</f>
        <v>15779</v>
      </c>
      <c r="B1630" s="4" t="s">
        <v>461</v>
      </c>
      <c r="C1630" s="4" t="s">
        <v>287</v>
      </c>
      <c r="D1630" s="94">
        <v>3342.0</v>
      </c>
    </row>
    <row r="1631">
      <c r="A1631" s="40">
        <f t="array" ref="A1631">IFNA(index(PlayerValues!A:A,match(IFNA(vlookup(B1631,'Special Names'!A:B,2,FALSE),B1631),PlayerValues!E:E,0)),"N/A")</f>
        <v>15261</v>
      </c>
      <c r="B1631" s="4" t="s">
        <v>466</v>
      </c>
      <c r="C1631" s="4" t="s">
        <v>278</v>
      </c>
      <c r="D1631" s="94">
        <v>3341.0</v>
      </c>
    </row>
    <row r="1632">
      <c r="A1632" s="40">
        <f t="array" ref="A1632">IFNA(index(PlayerValues!A:A,match(IFNA(vlookup(B1632,'Special Names'!A:B,2,FALSE),B1632),PlayerValues!E:E,0)),"N/A")</f>
        <v>16184</v>
      </c>
      <c r="B1632" s="4" t="s">
        <v>445</v>
      </c>
      <c r="C1632" s="4" t="s">
        <v>287</v>
      </c>
      <c r="D1632" s="94">
        <v>3333.0</v>
      </c>
    </row>
    <row r="1633">
      <c r="A1633" s="40">
        <f t="array" ref="A1633">IFNA(index(PlayerValues!A:A,match(IFNA(vlookup(B1633,'Special Names'!A:B,2,FALSE),B1633),PlayerValues!E:E,0)),"N/A")</f>
        <v>13299</v>
      </c>
      <c r="B1633" s="4" t="s">
        <v>448</v>
      </c>
      <c r="C1633" s="4" t="s">
        <v>298</v>
      </c>
      <c r="D1633" s="94">
        <v>3768.0</v>
      </c>
    </row>
    <row r="1634">
      <c r="A1634" s="40">
        <f t="array" ref="A1634">IFNA(index(PlayerValues!A:A,match(IFNA(vlookup(B1634,'Special Names'!A:B,2,FALSE),B1634),PlayerValues!E:E,0)),"N/A")</f>
        <v>17074</v>
      </c>
      <c r="B1634" s="4" t="s">
        <v>475</v>
      </c>
      <c r="C1634" s="4" t="s">
        <v>287</v>
      </c>
      <c r="D1634" s="94">
        <v>3312.0</v>
      </c>
    </row>
    <row r="1635">
      <c r="A1635" s="40">
        <f t="array" ref="A1635">IFNA(index(PlayerValues!A:A,match(IFNA(vlookup(B1635,'Special Names'!A:B,2,FALSE),B1635),PlayerValues!E:E,0)),"N/A")</f>
        <v>15799</v>
      </c>
      <c r="B1635" s="4" t="s">
        <v>468</v>
      </c>
      <c r="C1635" s="4" t="s">
        <v>298</v>
      </c>
      <c r="D1635" s="94">
        <v>3740.0</v>
      </c>
    </row>
    <row r="1636">
      <c r="A1636" s="40">
        <f t="array" ref="A1636">IFNA(index(PlayerValues!A:A,match(IFNA(vlookup(B1636,'Special Names'!A:B,2,FALSE),B1636),PlayerValues!E:E,0)),"N/A")</f>
        <v>11671</v>
      </c>
      <c r="B1636" s="4" t="s">
        <v>463</v>
      </c>
      <c r="C1636" s="4" t="s">
        <v>287</v>
      </c>
      <c r="D1636" s="94">
        <v>3277.0</v>
      </c>
    </row>
    <row r="1637">
      <c r="A1637" s="40" t="str">
        <f t="array" ref="A1637">IFNA(index(PlayerValues!A:A,match(IFNA(vlookup(B1637,'Special Names'!A:B,2,FALSE),B1637),PlayerValues!E:E,0)),"N/A")</f>
        <v>N/A</v>
      </c>
      <c r="B1637" s="4" t="s">
        <v>82</v>
      </c>
      <c r="C1637" s="4" t="s">
        <v>325</v>
      </c>
      <c r="D1637" s="94">
        <v>3259.0</v>
      </c>
    </row>
    <row r="1638">
      <c r="A1638" s="40">
        <f t="array" ref="A1638">IFNA(index(PlayerValues!A:A,match(IFNA(vlookup(B1638,'Special Names'!A:B,2,FALSE),B1638),PlayerValues!E:E,0)),"N/A")</f>
        <v>14127</v>
      </c>
      <c r="B1638" s="4" t="s">
        <v>486</v>
      </c>
      <c r="C1638" s="4" t="s">
        <v>287</v>
      </c>
      <c r="D1638" s="94">
        <v>3243.0</v>
      </c>
    </row>
    <row r="1639">
      <c r="A1639" s="40">
        <f t="array" ref="A1639">IFNA(index(PlayerValues!A:A,match(IFNA(vlookup(B1639,'Special Names'!A:B,2,FALSE),B1639),PlayerValues!E:E,0)),"N/A")</f>
        <v>13630</v>
      </c>
      <c r="B1639" s="4" t="s">
        <v>465</v>
      </c>
      <c r="C1639" s="4" t="s">
        <v>287</v>
      </c>
      <c r="D1639" s="94">
        <v>3238.0</v>
      </c>
    </row>
    <row r="1640">
      <c r="A1640" s="40">
        <f t="array" ref="A1640">IFNA(index(PlayerValues!A:A,match(IFNA(vlookup(B1640,'Special Names'!A:B,2,FALSE),B1640),PlayerValues!E:E,0)),"N/A")</f>
        <v>16213</v>
      </c>
      <c r="B1640" s="4" t="s">
        <v>458</v>
      </c>
      <c r="C1640" s="4" t="s">
        <v>298</v>
      </c>
      <c r="D1640" s="94">
        <v>3678.0</v>
      </c>
    </row>
    <row r="1641">
      <c r="A1641" s="40" t="str">
        <f t="array" ref="A1641">IFNA(index(PlayerValues!A:A,match(IFNA(vlookup(B1641,'Special Names'!A:B,2,FALSE),B1641),PlayerValues!E:E,0)),"N/A")</f>
        <v>N/A</v>
      </c>
      <c r="B1641" s="4" t="s">
        <v>97</v>
      </c>
      <c r="C1641" s="4" t="s">
        <v>325</v>
      </c>
      <c r="D1641" s="94">
        <v>3200.0</v>
      </c>
    </row>
    <row r="1642">
      <c r="A1642" s="40">
        <f t="array" ref="A1642">IFNA(index(PlayerValues!A:A,match(IFNA(vlookup(B1642,'Special Names'!A:B,2,FALSE),B1642),PlayerValues!E:E,0)),"N/A")</f>
        <v>16593</v>
      </c>
      <c r="B1642" s="4" t="s">
        <v>442</v>
      </c>
      <c r="C1642" s="4" t="s">
        <v>278</v>
      </c>
      <c r="D1642" s="94">
        <v>3186.0</v>
      </c>
    </row>
    <row r="1643">
      <c r="A1643" s="40">
        <f t="array" ref="A1643">IFNA(index(PlayerValues!A:A,match(IFNA(vlookup(B1643,'Special Names'!A:B,2,FALSE),B1643),PlayerValues!E:E,0)),"N/A")</f>
        <v>14823</v>
      </c>
      <c r="B1643" s="4" t="s">
        <v>459</v>
      </c>
      <c r="C1643" s="4" t="s">
        <v>278</v>
      </c>
      <c r="D1643" s="94">
        <v>3183.0</v>
      </c>
    </row>
    <row r="1644">
      <c r="A1644" s="40">
        <f t="array" ref="A1644">IFNA(index(PlayerValues!A:A,match(IFNA(vlookup(B1644,'Special Names'!A:B,2,FALSE),B1644),PlayerValues!E:E,0)),"N/A")</f>
        <v>16583</v>
      </c>
      <c r="B1644" s="4" t="s">
        <v>493</v>
      </c>
      <c r="C1644" s="4" t="s">
        <v>283</v>
      </c>
      <c r="D1644" s="94">
        <v>3136.0</v>
      </c>
    </row>
    <row r="1645">
      <c r="A1645" s="40">
        <f t="array" ref="A1645">IFNA(index(PlayerValues!A:A,match(IFNA(vlookup(B1645,'Special Names'!A:B,2,FALSE),B1645),PlayerValues!E:E,0)),"N/A")</f>
        <v>15742</v>
      </c>
      <c r="B1645" s="4" t="s">
        <v>447</v>
      </c>
      <c r="C1645" s="4" t="s">
        <v>278</v>
      </c>
      <c r="D1645" s="94">
        <v>3130.0</v>
      </c>
    </row>
    <row r="1646">
      <c r="A1646" s="40">
        <f t="array" ref="A1646">IFNA(index(PlayerValues!A:A,match(IFNA(vlookup(B1646,'Special Names'!A:B,2,FALSE),B1646),PlayerValues!E:E,0)),"N/A")</f>
        <v>14800</v>
      </c>
      <c r="B1646" s="4" t="s">
        <v>472</v>
      </c>
      <c r="C1646" s="4" t="s">
        <v>278</v>
      </c>
      <c r="D1646" s="94">
        <v>3129.0</v>
      </c>
    </row>
    <row r="1647">
      <c r="A1647" s="40" t="str">
        <f t="array" ref="A1647">IFNA(index(PlayerValues!A:A,match(IFNA(vlookup(B1647,'Special Names'!A:B,2,FALSE),B1647),PlayerValues!E:E,0)),"N/A")</f>
        <v>N/A</v>
      </c>
      <c r="B1647" s="4" t="s">
        <v>108</v>
      </c>
      <c r="C1647" s="4" t="s">
        <v>325</v>
      </c>
      <c r="D1647" s="94">
        <v>3113.0</v>
      </c>
    </row>
    <row r="1648">
      <c r="A1648" s="40">
        <f t="array" ref="A1648">IFNA(index(PlayerValues!A:A,match(IFNA(vlookup(B1648,'Special Names'!A:B,2,FALSE),B1648),PlayerValues!E:E,0)),"N/A")</f>
        <v>16809</v>
      </c>
      <c r="B1648" s="4" t="s">
        <v>455</v>
      </c>
      <c r="C1648" s="4" t="s">
        <v>287</v>
      </c>
      <c r="D1648" s="94">
        <v>3039.0</v>
      </c>
    </row>
    <row r="1649">
      <c r="A1649" s="40">
        <f t="array" ref="A1649">IFNA(index(PlayerValues!A:A,match(IFNA(vlookup(B1649,'Special Names'!A:B,2,FALSE),B1649),PlayerValues!E:E,0)),"N/A")</f>
        <v>16597</v>
      </c>
      <c r="B1649" s="4" t="s">
        <v>427</v>
      </c>
      <c r="C1649" s="4" t="s">
        <v>278</v>
      </c>
      <c r="D1649" s="94">
        <v>3038.0</v>
      </c>
    </row>
    <row r="1650">
      <c r="A1650" s="40">
        <f t="array" ref="A1650">IFNA(index(PlayerValues!A:A,match(IFNA(vlookup(B1650,'Special Names'!A:B,2,FALSE),B1650),PlayerValues!E:E,0)),"N/A")</f>
        <v>16080</v>
      </c>
      <c r="B1650" s="4" t="s">
        <v>499</v>
      </c>
      <c r="C1650" s="4" t="s">
        <v>287</v>
      </c>
      <c r="D1650" s="94">
        <v>3036.0</v>
      </c>
    </row>
    <row r="1651">
      <c r="A1651" s="40" t="str">
        <f t="array" ref="A1651">IFNA(index(PlayerValues!A:A,match(IFNA(vlookup(B1651,'Special Names'!A:B,2,FALSE),B1651),PlayerValues!E:E,0)),"N/A")</f>
        <v>N/A</v>
      </c>
      <c r="B1651" s="4" t="s">
        <v>84</v>
      </c>
      <c r="C1651" s="4" t="s">
        <v>325</v>
      </c>
      <c r="D1651" s="94">
        <v>3033.0</v>
      </c>
    </row>
    <row r="1652">
      <c r="A1652" s="40">
        <f t="array" ref="A1652">IFNA(index(PlayerValues!A:A,match(IFNA(vlookup(B1652,'Special Names'!A:B,2,FALSE),B1652),PlayerValues!E:E,0)),"N/A")</f>
        <v>15761</v>
      </c>
      <c r="B1652" s="4" t="s">
        <v>491</v>
      </c>
      <c r="C1652" s="4" t="s">
        <v>287</v>
      </c>
      <c r="D1652" s="94">
        <v>3008.0</v>
      </c>
    </row>
    <row r="1653">
      <c r="A1653" s="40">
        <f t="array" ref="A1653">IFNA(index(PlayerValues!A:A,match(IFNA(vlookup(B1653,'Special Names'!A:B,2,FALSE),B1653),PlayerValues!E:E,0)),"N/A")</f>
        <v>16269</v>
      </c>
      <c r="B1653" s="4" t="s">
        <v>481</v>
      </c>
      <c r="C1653" s="4" t="s">
        <v>298</v>
      </c>
      <c r="D1653" s="94">
        <v>3435.0</v>
      </c>
    </row>
    <row r="1654">
      <c r="A1654" s="40">
        <f t="array" ref="A1654">IFNA(index(PlayerValues!A:A,match(IFNA(vlookup(B1654,'Special Names'!A:B,2,FALSE),B1654),PlayerValues!E:E,0)),"N/A")</f>
        <v>16628</v>
      </c>
      <c r="B1654" s="4" t="s">
        <v>490</v>
      </c>
      <c r="C1654" s="4" t="s">
        <v>287</v>
      </c>
      <c r="D1654" s="94">
        <v>2998.0</v>
      </c>
    </row>
    <row r="1655">
      <c r="A1655" s="40">
        <f t="array" ref="A1655">IFNA(index(PlayerValues!A:A,match(IFNA(vlookup(B1655,'Special Names'!A:B,2,FALSE),B1655),PlayerValues!E:E,0)),"N/A")</f>
        <v>16584</v>
      </c>
      <c r="B1655" s="4" t="s">
        <v>569</v>
      </c>
      <c r="C1655" s="4" t="s">
        <v>283</v>
      </c>
      <c r="D1655" s="94">
        <v>2949.0</v>
      </c>
    </row>
    <row r="1656">
      <c r="A1656" s="40">
        <f t="array" ref="A1656">IFNA(index(PlayerValues!A:A,match(IFNA(vlookup(B1656,'Special Names'!A:B,2,FALSE),B1656),PlayerValues!E:E,0)),"N/A")</f>
        <v>17053</v>
      </c>
      <c r="B1656" s="4" t="s">
        <v>484</v>
      </c>
      <c r="C1656" s="4" t="s">
        <v>278</v>
      </c>
      <c r="D1656" s="94">
        <v>2944.0</v>
      </c>
    </row>
    <row r="1657">
      <c r="A1657" s="40">
        <f t="array" ref="A1657">IFNA(index(PlayerValues!A:A,match(IFNA(vlookup(B1657,'Special Names'!A:B,2,FALSE),B1657),PlayerValues!E:E,0)),"N/A")</f>
        <v>13163</v>
      </c>
      <c r="B1657" s="4" t="s">
        <v>473</v>
      </c>
      <c r="C1657" s="4" t="s">
        <v>287</v>
      </c>
      <c r="D1657" s="94">
        <v>2925.0</v>
      </c>
    </row>
    <row r="1658">
      <c r="A1658" s="40">
        <f t="array" ref="A1658">IFNA(index(PlayerValues!A:A,match(IFNA(vlookup(B1658,'Special Names'!A:B,2,FALSE),B1658),PlayerValues!E:E,0)),"N/A")</f>
        <v>15259</v>
      </c>
      <c r="B1658" s="4" t="s">
        <v>453</v>
      </c>
      <c r="C1658" s="4" t="s">
        <v>278</v>
      </c>
      <c r="D1658" s="94">
        <v>2924.0</v>
      </c>
    </row>
    <row r="1659">
      <c r="A1659" s="40" t="str">
        <f t="array" ref="A1659">IFNA(index(PlayerValues!A:A,match(IFNA(vlookup(B1659,'Special Names'!A:B,2,FALSE),B1659),PlayerValues!E:E,0)),"N/A")</f>
        <v>N/A</v>
      </c>
      <c r="B1659" s="4" t="s">
        <v>109</v>
      </c>
      <c r="C1659" s="4" t="s">
        <v>325</v>
      </c>
      <c r="D1659" s="94">
        <v>2915.0</v>
      </c>
    </row>
    <row r="1660">
      <c r="A1660" s="40">
        <f t="array" ref="A1660">IFNA(index(PlayerValues!A:A,match(IFNA(vlookup(B1660,'Special Names'!A:B,2,FALSE),B1660),PlayerValues!E:E,0)),"N/A")</f>
        <v>17256</v>
      </c>
      <c r="B1660" s="4" t="s">
        <v>462</v>
      </c>
      <c r="C1660" s="4" t="s">
        <v>278</v>
      </c>
      <c r="D1660" s="94">
        <v>2899.0</v>
      </c>
    </row>
    <row r="1661">
      <c r="A1661" s="40">
        <f t="array" ref="A1661">IFNA(index(PlayerValues!A:A,match(IFNA(vlookup(B1661,'Special Names'!A:B,2,FALSE),B1661),PlayerValues!E:E,0)),"N/A")</f>
        <v>17477</v>
      </c>
      <c r="B1661" s="4" t="s">
        <v>452</v>
      </c>
      <c r="C1661" s="4" t="s">
        <v>278</v>
      </c>
      <c r="D1661" s="94">
        <v>2887.0</v>
      </c>
    </row>
    <row r="1662">
      <c r="A1662" s="40">
        <f t="array" ref="A1662">IFNA(index(PlayerValues!A:A,match(IFNA(vlookup(B1662,'Special Names'!A:B,2,FALSE),B1662),PlayerValues!E:E,0)),"N/A")</f>
        <v>16723</v>
      </c>
      <c r="B1662" s="4" t="s">
        <v>502</v>
      </c>
      <c r="C1662" s="4" t="s">
        <v>298</v>
      </c>
      <c r="D1662" s="94">
        <v>3301.0</v>
      </c>
    </row>
    <row r="1663">
      <c r="A1663" s="40">
        <f t="array" ref="A1663">IFNA(index(PlayerValues!A:A,match(IFNA(vlookup(B1663,'Special Names'!A:B,2,FALSE),B1663),PlayerValues!E:E,0)),"N/A")</f>
        <v>17506</v>
      </c>
      <c r="B1663" s="4" t="s">
        <v>471</v>
      </c>
      <c r="C1663" s="4" t="s">
        <v>287</v>
      </c>
      <c r="D1663" s="94">
        <v>2875.0</v>
      </c>
    </row>
    <row r="1664">
      <c r="A1664" s="40">
        <f t="array" ref="A1664">IFNA(index(PlayerValues!A:A,match(IFNA(vlookup(B1664,'Special Names'!A:B,2,FALSE),B1664),PlayerValues!E:E,0)),"N/A")</f>
        <v>17476</v>
      </c>
      <c r="B1664" s="4" t="s">
        <v>494</v>
      </c>
      <c r="C1664" s="4" t="s">
        <v>278</v>
      </c>
      <c r="D1664" s="94">
        <v>2852.0</v>
      </c>
    </row>
    <row r="1665">
      <c r="A1665" s="40">
        <f t="array" ref="A1665">IFNA(index(PlayerValues!A:A,match(IFNA(vlookup(B1665,'Special Names'!A:B,2,FALSE),B1665),PlayerValues!E:E,0)),"N/A")</f>
        <v>15255</v>
      </c>
      <c r="B1665" s="4" t="s">
        <v>477</v>
      </c>
      <c r="C1665" s="4" t="s">
        <v>278</v>
      </c>
      <c r="D1665" s="94">
        <v>2852.0</v>
      </c>
    </row>
    <row r="1666">
      <c r="A1666" s="40">
        <f t="array" ref="A1666">IFNA(index(PlayerValues!A:A,match(IFNA(vlookup(B1666,'Special Names'!A:B,2,FALSE),B1666),PlayerValues!E:E,0)),"N/A")</f>
        <v>14138</v>
      </c>
      <c r="B1666" s="4" t="s">
        <v>531</v>
      </c>
      <c r="C1666" s="4" t="s">
        <v>298</v>
      </c>
      <c r="D1666" s="94">
        <v>3253.0</v>
      </c>
    </row>
    <row r="1667">
      <c r="A1667" s="40">
        <f t="array" ref="A1667">IFNA(index(PlayerValues!A:A,match(IFNA(vlookup(B1667,'Special Names'!A:B,2,FALSE),B1667),PlayerValues!E:E,0)),"N/A")</f>
        <v>15712</v>
      </c>
      <c r="B1667" s="4" t="s">
        <v>488</v>
      </c>
      <c r="C1667" s="4" t="s">
        <v>278</v>
      </c>
      <c r="D1667" s="94">
        <v>2826.0</v>
      </c>
    </row>
    <row r="1668">
      <c r="A1668" s="40">
        <f t="array" ref="A1668">IFNA(index(PlayerValues!A:A,match(IFNA(vlookup(B1668,'Special Names'!A:B,2,FALSE),B1668),PlayerValues!E:E,0)),"N/A")</f>
        <v>17031</v>
      </c>
      <c r="B1668" s="4" t="s">
        <v>535</v>
      </c>
      <c r="C1668" s="4" t="s">
        <v>283</v>
      </c>
      <c r="D1668" s="94">
        <v>2825.0</v>
      </c>
    </row>
    <row r="1669">
      <c r="A1669" s="40">
        <f t="array" ref="A1669">IFNA(index(PlayerValues!A:A,match(IFNA(vlookup(B1669,'Special Names'!A:B,2,FALSE),B1669),PlayerValues!E:E,0)),"N/A")</f>
        <v>13671</v>
      </c>
      <c r="B1669" s="4" t="s">
        <v>506</v>
      </c>
      <c r="C1669" s="4" t="s">
        <v>298</v>
      </c>
      <c r="D1669" s="94">
        <v>3230.0</v>
      </c>
    </row>
    <row r="1670">
      <c r="A1670" s="40">
        <f t="array" ref="A1670">IFNA(index(PlayerValues!A:A,match(IFNA(vlookup(B1670,'Special Names'!A:B,2,FALSE),B1670),PlayerValues!E:E,0)),"N/A")</f>
        <v>15889</v>
      </c>
      <c r="B1670" s="4" t="s">
        <v>503</v>
      </c>
      <c r="C1670" s="4" t="s">
        <v>298</v>
      </c>
      <c r="D1670" s="94">
        <v>3212.0</v>
      </c>
    </row>
    <row r="1671">
      <c r="A1671" s="40">
        <f t="array" ref="A1671">IFNA(index(PlayerValues!A:A,match(IFNA(vlookup(B1671,'Special Names'!A:B,2,FALSE),B1671),PlayerValues!E:E,0)),"N/A")</f>
        <v>17072</v>
      </c>
      <c r="B1671" s="4" t="s">
        <v>508</v>
      </c>
      <c r="C1671" s="4" t="s">
        <v>287</v>
      </c>
      <c r="D1671" s="94">
        <v>2781.0</v>
      </c>
    </row>
    <row r="1672">
      <c r="A1672" s="40">
        <f t="array" ref="A1672">IFNA(index(PlayerValues!A:A,match(IFNA(vlookup(B1672,'Special Names'!A:B,2,FALSE),B1672),PlayerValues!E:E,0)),"N/A")</f>
        <v>17157</v>
      </c>
      <c r="B1672" s="4" t="s">
        <v>524</v>
      </c>
      <c r="C1672" s="4" t="s">
        <v>287</v>
      </c>
      <c r="D1672" s="94">
        <v>2781.0</v>
      </c>
    </row>
    <row r="1673">
      <c r="A1673" s="40">
        <f t="array" ref="A1673">IFNA(index(PlayerValues!A:A,match(IFNA(vlookup(B1673,'Special Names'!A:B,2,FALSE),B1673),PlayerValues!E:E,0)),"N/A")</f>
        <v>14085</v>
      </c>
      <c r="B1673" s="4" t="s">
        <v>489</v>
      </c>
      <c r="C1673" s="4" t="s">
        <v>278</v>
      </c>
      <c r="D1673" s="94">
        <v>2770.0</v>
      </c>
    </row>
    <row r="1674">
      <c r="A1674" s="40" t="str">
        <f t="array" ref="A1674">IFNA(index(PlayerValues!A:A,match(IFNA(vlookup(B1674,'Special Names'!A:B,2,FALSE),B1674),PlayerValues!E:E,0)),"N/A")</f>
        <v>N/A</v>
      </c>
      <c r="B1674" s="4" t="s">
        <v>110</v>
      </c>
      <c r="C1674" s="4" t="s">
        <v>325</v>
      </c>
      <c r="D1674" s="94">
        <v>2768.0</v>
      </c>
    </row>
    <row r="1675">
      <c r="A1675" s="40">
        <f t="array" ref="A1675">IFNA(index(PlayerValues!A:A,match(IFNA(vlookup(B1675,'Special Names'!A:B,2,FALSE),B1675),PlayerValues!E:E,0)),"N/A")</f>
        <v>15241</v>
      </c>
      <c r="B1675" s="4" t="s">
        <v>546</v>
      </c>
      <c r="C1675" s="4" t="s">
        <v>283</v>
      </c>
      <c r="D1675" s="94">
        <v>2767.0</v>
      </c>
    </row>
    <row r="1676">
      <c r="A1676" s="40">
        <f t="array" ref="A1676">IFNA(index(PlayerValues!A:A,match(IFNA(vlookup(B1676,'Special Names'!A:B,2,FALSE),B1676),PlayerValues!E:E,0)),"N/A")</f>
        <v>16193</v>
      </c>
      <c r="B1676" s="4" t="s">
        <v>487</v>
      </c>
      <c r="C1676" s="4" t="s">
        <v>287</v>
      </c>
      <c r="D1676" s="94">
        <v>2766.0</v>
      </c>
    </row>
    <row r="1677">
      <c r="A1677" s="40" t="str">
        <f t="array" ref="A1677">IFNA(index(PlayerValues!A:A,match(IFNA(vlookup(B1677,'Special Names'!A:B,2,FALSE),B1677),PlayerValues!E:E,0)),"N/A")</f>
        <v>N/A</v>
      </c>
      <c r="B1677" s="4" t="s">
        <v>85</v>
      </c>
      <c r="C1677" s="4" t="s">
        <v>325</v>
      </c>
      <c r="D1677" s="94">
        <v>2765.0</v>
      </c>
    </row>
    <row r="1678">
      <c r="A1678" s="40">
        <f t="array" ref="A1678">IFNA(index(PlayerValues!A:A,match(IFNA(vlookup(B1678,'Special Names'!A:B,2,FALSE),B1678),PlayerValues!E:E,0)),"N/A")</f>
        <v>14778</v>
      </c>
      <c r="B1678" s="4" t="s">
        <v>564</v>
      </c>
      <c r="C1678" s="4" t="s">
        <v>283</v>
      </c>
      <c r="D1678" s="94">
        <v>2764.0</v>
      </c>
    </row>
    <row r="1679">
      <c r="A1679" s="40">
        <f t="array" ref="A1679">IFNA(index(PlayerValues!A:A,match(IFNA(vlookup(B1679,'Special Names'!A:B,2,FALSE),B1679),PlayerValues!E:E,0)),"N/A")</f>
        <v>16619</v>
      </c>
      <c r="B1679" s="4" t="s">
        <v>538</v>
      </c>
      <c r="C1679" s="4" t="s">
        <v>287</v>
      </c>
      <c r="D1679" s="94">
        <v>2751.0</v>
      </c>
    </row>
    <row r="1680">
      <c r="A1680" s="40">
        <f t="array" ref="A1680">IFNA(index(PlayerValues!A:A,match(IFNA(vlookup(B1680,'Special Names'!A:B,2,FALSE),B1680),PlayerValues!E:E,0)),"N/A")</f>
        <v>12616</v>
      </c>
      <c r="B1680" s="4" t="s">
        <v>529</v>
      </c>
      <c r="C1680" s="4" t="s">
        <v>283</v>
      </c>
      <c r="D1680" s="94">
        <v>2743.0</v>
      </c>
    </row>
    <row r="1681">
      <c r="A1681" s="40">
        <f t="array" ref="A1681">IFNA(index(PlayerValues!A:A,match(IFNA(vlookup(B1681,'Special Names'!A:B,2,FALSE),B1681),PlayerValues!E:E,0)),"N/A")</f>
        <v>17047</v>
      </c>
      <c r="B1681" s="4" t="s">
        <v>510</v>
      </c>
      <c r="C1681" s="4" t="s">
        <v>278</v>
      </c>
      <c r="D1681" s="94">
        <v>2740.0</v>
      </c>
    </row>
    <row r="1682">
      <c r="A1682" s="40">
        <f t="array" ref="A1682">IFNA(index(PlayerValues!A:A,match(IFNA(vlookup(B1682,'Special Names'!A:B,2,FALSE),B1682),PlayerValues!E:E,0)),"N/A")</f>
        <v>17073</v>
      </c>
      <c r="B1682" s="4" t="s">
        <v>547</v>
      </c>
      <c r="C1682" s="4" t="s">
        <v>287</v>
      </c>
      <c r="D1682" s="94">
        <v>2737.0</v>
      </c>
    </row>
    <row r="1683">
      <c r="A1683" s="40">
        <f t="array" ref="A1683">IFNA(index(PlayerValues!A:A,match(IFNA(vlookup(B1683,'Special Names'!A:B,2,FALSE),B1683),PlayerValues!E:E,0)),"N/A")</f>
        <v>17080</v>
      </c>
      <c r="B1683" s="4" t="s">
        <v>532</v>
      </c>
      <c r="C1683" s="4" t="s">
        <v>287</v>
      </c>
      <c r="D1683" s="94">
        <v>2732.0</v>
      </c>
    </row>
    <row r="1684">
      <c r="A1684" s="40">
        <f t="array" ref="A1684">IFNA(index(PlayerValues!A:A,match(IFNA(vlookup(B1684,'Special Names'!A:B,2,FALSE),B1684),PlayerValues!E:E,0)),"N/A")</f>
        <v>17503</v>
      </c>
      <c r="B1684" s="4" t="s">
        <v>480</v>
      </c>
      <c r="C1684" s="4" t="s">
        <v>287</v>
      </c>
      <c r="D1684" s="94">
        <v>2726.0</v>
      </c>
    </row>
    <row r="1685">
      <c r="A1685" s="40">
        <f t="array" ref="A1685">IFNA(index(PlayerValues!A:A,match(IFNA(vlookup(B1685,'Special Names'!A:B,2,FALSE),B1685),PlayerValues!E:E,0)),"N/A")</f>
        <v>17098</v>
      </c>
      <c r="B1685" s="4" t="s">
        <v>533</v>
      </c>
      <c r="C1685" s="4" t="s">
        <v>287</v>
      </c>
      <c r="D1685" s="94">
        <v>2722.0</v>
      </c>
    </row>
    <row r="1686">
      <c r="A1686" s="40">
        <f t="array" ref="A1686">IFNA(index(PlayerValues!A:A,match(IFNA(vlookup(B1686,'Special Names'!A:B,2,FALSE),B1686),PlayerValues!E:E,0)),"N/A")</f>
        <v>17107</v>
      </c>
      <c r="B1686" s="4" t="s">
        <v>478</v>
      </c>
      <c r="C1686" s="4" t="s">
        <v>298</v>
      </c>
      <c r="D1686" s="94">
        <v>3130.0</v>
      </c>
    </row>
    <row r="1687">
      <c r="A1687" s="40">
        <f t="array" ref="A1687">IFNA(index(PlayerValues!A:A,match(IFNA(vlookup(B1687,'Special Names'!A:B,2,FALSE),B1687),PlayerValues!E:E,0)),"N/A")</f>
        <v>15721</v>
      </c>
      <c r="B1687" s="4" t="s">
        <v>504</v>
      </c>
      <c r="C1687" s="4" t="s">
        <v>278</v>
      </c>
      <c r="D1687" s="94">
        <v>2714.0</v>
      </c>
    </row>
    <row r="1688">
      <c r="A1688" s="40">
        <f t="array" ref="A1688">IFNA(index(PlayerValues!A:A,match(IFNA(vlookup(B1688,'Special Names'!A:B,2,FALSE),B1688),PlayerValues!E:E,0)),"N/A")</f>
        <v>16596</v>
      </c>
      <c r="B1688" s="4" t="s">
        <v>501</v>
      </c>
      <c r="C1688" s="4" t="s">
        <v>278</v>
      </c>
      <c r="D1688" s="94">
        <v>2705.0</v>
      </c>
    </row>
    <row r="1689">
      <c r="A1689" s="40">
        <f t="array" ref="A1689">IFNA(index(PlayerValues!A:A,match(IFNA(vlookup(B1689,'Special Names'!A:B,2,FALSE),B1689),PlayerValues!E:E,0)),"N/A")</f>
        <v>14833</v>
      </c>
      <c r="B1689" s="4" t="s">
        <v>553</v>
      </c>
      <c r="C1689" s="4" t="s">
        <v>287</v>
      </c>
      <c r="D1689" s="94">
        <v>2704.0</v>
      </c>
    </row>
    <row r="1690">
      <c r="A1690" s="40">
        <f t="array" ref="A1690">IFNA(index(PlayerValues!A:A,match(IFNA(vlookup(B1690,'Special Names'!A:B,2,FALSE),B1690),PlayerValues!E:E,0)),"N/A")</f>
        <v>15972</v>
      </c>
      <c r="B1690" s="4" t="s">
        <v>469</v>
      </c>
      <c r="C1690" s="4" t="s">
        <v>278</v>
      </c>
      <c r="D1690" s="94">
        <v>2702.0</v>
      </c>
    </row>
    <row r="1691">
      <c r="A1691" s="40">
        <f t="array" ref="A1691">IFNA(index(PlayerValues!A:A,match(IFNA(vlookup(B1691,'Special Names'!A:B,2,FALSE),B1691),PlayerValues!E:E,0)),"N/A")</f>
        <v>17105</v>
      </c>
      <c r="B1691" s="4" t="s">
        <v>525</v>
      </c>
      <c r="C1691" s="4" t="s">
        <v>298</v>
      </c>
      <c r="D1691" s="94">
        <v>3109.0</v>
      </c>
    </row>
    <row r="1692">
      <c r="A1692" s="40">
        <f t="array" ref="A1692">IFNA(index(PlayerValues!A:A,match(IFNA(vlookup(B1692,'Special Names'!A:B,2,FALSE),B1692),PlayerValues!E:E,0)),"N/A")</f>
        <v>16165</v>
      </c>
      <c r="B1692" s="4" t="s">
        <v>520</v>
      </c>
      <c r="C1692" s="4" t="s">
        <v>278</v>
      </c>
      <c r="D1692" s="94">
        <v>2673.0</v>
      </c>
    </row>
    <row r="1693">
      <c r="A1693" s="40">
        <f t="array" ref="A1693">IFNA(index(PlayerValues!A:A,match(IFNA(vlookup(B1693,'Special Names'!A:B,2,FALSE),B1693),PlayerValues!E:E,0)),"N/A")</f>
        <v>14860</v>
      </c>
      <c r="B1693" s="4" t="s">
        <v>554</v>
      </c>
      <c r="C1693" s="4" t="s">
        <v>287</v>
      </c>
      <c r="D1693" s="94">
        <v>2664.0</v>
      </c>
    </row>
    <row r="1694">
      <c r="A1694" s="40">
        <f t="array" ref="A1694">IFNA(index(PlayerValues!A:A,match(IFNA(vlookup(B1694,'Special Names'!A:B,2,FALSE),B1694),PlayerValues!E:E,0)),"N/A")</f>
        <v>17171</v>
      </c>
      <c r="B1694" s="4" t="s">
        <v>561</v>
      </c>
      <c r="C1694" s="4" t="s">
        <v>287</v>
      </c>
      <c r="D1694" s="94">
        <v>2652.0</v>
      </c>
    </row>
    <row r="1695">
      <c r="A1695" s="40">
        <f t="array" ref="A1695">IFNA(index(PlayerValues!A:A,match(IFNA(vlookup(B1695,'Special Names'!A:B,2,FALSE),B1695),PlayerValues!E:E,0)),"N/A")</f>
        <v>16195</v>
      </c>
      <c r="B1695" s="4" t="s">
        <v>509</v>
      </c>
      <c r="C1695" s="4" t="s">
        <v>287</v>
      </c>
      <c r="D1695" s="94">
        <v>2649.0</v>
      </c>
    </row>
    <row r="1696">
      <c r="A1696" s="40">
        <f t="array" ref="A1696">IFNA(index(PlayerValues!A:A,match(IFNA(vlookup(B1696,'Special Names'!A:B,2,FALSE),B1696),PlayerValues!E:E,0)),"N/A")</f>
        <v>16747</v>
      </c>
      <c r="B1696" s="4" t="s">
        <v>555</v>
      </c>
      <c r="C1696" s="4" t="s">
        <v>278</v>
      </c>
      <c r="D1696" s="94">
        <v>2647.0</v>
      </c>
    </row>
    <row r="1697">
      <c r="A1697" s="40">
        <f t="array" ref="A1697">IFNA(index(PlayerValues!A:A,match(IFNA(vlookup(B1697,'Special Names'!A:B,2,FALSE),B1697),PlayerValues!E:E,0)),"N/A")</f>
        <v>17505</v>
      </c>
      <c r="B1697" s="4" t="s">
        <v>528</v>
      </c>
      <c r="C1697" s="4" t="s">
        <v>287</v>
      </c>
      <c r="D1697" s="94">
        <v>2646.0</v>
      </c>
    </row>
    <row r="1698">
      <c r="A1698" s="40" t="str">
        <f t="array" ref="A1698">IFNA(index(PlayerValues!A:A,match(IFNA(vlookup(B1698,'Special Names'!A:B,2,FALSE),B1698),PlayerValues!E:E,0)),"N/A")</f>
        <v>N/A</v>
      </c>
      <c r="B1698" s="4" t="s">
        <v>98</v>
      </c>
      <c r="C1698" s="4" t="s">
        <v>325</v>
      </c>
      <c r="D1698" s="94">
        <v>2638.0</v>
      </c>
    </row>
    <row r="1699">
      <c r="A1699" s="40">
        <f t="array" ref="A1699">IFNA(index(PlayerValues!A:A,match(IFNA(vlookup(B1699,'Special Names'!A:B,2,FALSE),B1699),PlayerValues!E:E,0)),"N/A")</f>
        <v>17082</v>
      </c>
      <c r="B1699" s="4" t="s">
        <v>498</v>
      </c>
      <c r="C1699" s="4" t="s">
        <v>287</v>
      </c>
      <c r="D1699" s="94">
        <v>2608.0</v>
      </c>
    </row>
    <row r="1700">
      <c r="A1700" s="40">
        <f t="array" ref="A1700">IFNA(index(PlayerValues!A:A,match(IFNA(vlookup(B1700,'Special Names'!A:B,2,FALSE),B1700),PlayerValues!E:E,0)),"N/A")</f>
        <v>13674</v>
      </c>
      <c r="B1700" s="4" t="s">
        <v>511</v>
      </c>
      <c r="C1700" s="4" t="s">
        <v>298</v>
      </c>
      <c r="D1700" s="94">
        <v>3017.0</v>
      </c>
    </row>
    <row r="1701">
      <c r="A1701" s="40">
        <f t="array" ref="A1701">IFNA(index(PlayerValues!A:A,match(IFNA(vlookup(B1701,'Special Names'!A:B,2,FALSE),B1701),PlayerValues!E:E,0)),"N/A")</f>
        <v>17509</v>
      </c>
      <c r="B1701" s="4" t="s">
        <v>551</v>
      </c>
      <c r="C1701" s="4" t="s">
        <v>287</v>
      </c>
      <c r="D1701" s="94">
        <v>2593.0</v>
      </c>
    </row>
    <row r="1702">
      <c r="A1702" s="40">
        <f t="array" ref="A1702">IFNA(index(PlayerValues!A:A,match(IFNA(vlookup(B1702,'Special Names'!A:B,2,FALSE),B1702),PlayerValues!E:E,0)),"N/A")</f>
        <v>17108</v>
      </c>
      <c r="B1702" s="4" t="s">
        <v>542</v>
      </c>
      <c r="C1702" s="4" t="s">
        <v>298</v>
      </c>
      <c r="D1702" s="94">
        <v>2984.0</v>
      </c>
    </row>
    <row r="1703">
      <c r="A1703" s="40">
        <f t="array" ref="A1703">IFNA(index(PlayerValues!A:A,match(IFNA(vlookup(B1703,'Special Names'!A:B,2,FALSE),B1703),PlayerValues!E:E,0)),"N/A")</f>
        <v>16287</v>
      </c>
      <c r="B1703" s="4" t="s">
        <v>516</v>
      </c>
      <c r="C1703" s="4" t="s">
        <v>287</v>
      </c>
      <c r="D1703" s="94">
        <v>2560.0</v>
      </c>
    </row>
    <row r="1704">
      <c r="A1704" s="40">
        <f t="array" ref="A1704">IFNA(index(PlayerValues!A:A,match(IFNA(vlookup(B1704,'Special Names'!A:B,2,FALSE),B1704),PlayerValues!E:E,0)),"N/A")</f>
        <v>16626</v>
      </c>
      <c r="B1704" s="4" t="s">
        <v>515</v>
      </c>
      <c r="C1704" s="4" t="s">
        <v>287</v>
      </c>
      <c r="D1704" s="94">
        <v>2557.0</v>
      </c>
    </row>
    <row r="1705">
      <c r="A1705" s="40">
        <f t="array" ref="A1705">IFNA(index(PlayerValues!A:A,match(IFNA(vlookup(B1705,'Special Names'!A:B,2,FALSE),B1705),PlayerValues!E:E,0)),"N/A")</f>
        <v>16617</v>
      </c>
      <c r="B1705" s="4" t="s">
        <v>541</v>
      </c>
      <c r="C1705" s="4" t="s">
        <v>287</v>
      </c>
      <c r="D1705" s="94">
        <v>2538.0</v>
      </c>
    </row>
    <row r="1706">
      <c r="A1706" s="40">
        <f t="array" ref="A1706">IFNA(index(PlayerValues!A:A,match(IFNA(vlookup(B1706,'Special Names'!A:B,2,FALSE),B1706),PlayerValues!E:E,0)),"N/A")</f>
        <v>17482</v>
      </c>
      <c r="B1706" s="4" t="s">
        <v>460</v>
      </c>
      <c r="C1706" s="4" t="s">
        <v>278</v>
      </c>
      <c r="D1706" s="94">
        <v>2523.0</v>
      </c>
    </row>
    <row r="1707">
      <c r="A1707" s="40">
        <f t="array" ref="A1707">IFNA(index(PlayerValues!A:A,match(IFNA(vlookup(B1707,'Special Names'!A:B,2,FALSE),B1707),PlayerValues!E:E,0)),"N/A")</f>
        <v>17134</v>
      </c>
      <c r="B1707" s="4" t="s">
        <v>548</v>
      </c>
      <c r="C1707" s="4" t="s">
        <v>287</v>
      </c>
      <c r="D1707" s="94">
        <v>2518.0</v>
      </c>
    </row>
    <row r="1708">
      <c r="A1708" s="40">
        <f t="array" ref="A1708">IFNA(index(PlayerValues!A:A,match(IFNA(vlookup(B1708,'Special Names'!A:B,2,FALSE),B1708),PlayerValues!E:E,0)),"N/A")</f>
        <v>17048</v>
      </c>
      <c r="B1708" s="4" t="s">
        <v>539</v>
      </c>
      <c r="C1708" s="4" t="s">
        <v>278</v>
      </c>
      <c r="D1708" s="94">
        <v>2496.0</v>
      </c>
    </row>
    <row r="1709">
      <c r="A1709" s="40">
        <f t="array" ref="A1709">IFNA(index(PlayerValues!A:A,match(IFNA(vlookup(B1709,'Special Names'!A:B,2,FALSE),B1709),PlayerValues!E:E,0)),"N/A")</f>
        <v>16684</v>
      </c>
      <c r="B1709" s="4" t="s">
        <v>500</v>
      </c>
      <c r="C1709" s="4" t="s">
        <v>287</v>
      </c>
      <c r="D1709" s="94">
        <v>2490.0</v>
      </c>
    </row>
    <row r="1710">
      <c r="A1710" s="40">
        <f t="array" ref="A1710">IFNA(index(PlayerValues!A:A,match(IFNA(vlookup(B1710,'Special Names'!A:B,2,FALSE),B1710),PlayerValues!E:E,0)),"N/A")</f>
        <v>16164</v>
      </c>
      <c r="B1710" s="4" t="s">
        <v>512</v>
      </c>
      <c r="C1710" s="4" t="s">
        <v>278</v>
      </c>
      <c r="D1710" s="94">
        <v>2489.0</v>
      </c>
    </row>
    <row r="1711">
      <c r="A1711" s="40">
        <f t="array" ref="A1711">IFNA(index(PlayerValues!A:A,match(IFNA(vlookup(B1711,'Special Names'!A:B,2,FALSE),B1711),PlayerValues!E:E,0)),"N/A")</f>
        <v>16174</v>
      </c>
      <c r="B1711" s="4" t="s">
        <v>505</v>
      </c>
      <c r="C1711" s="4" t="s">
        <v>278</v>
      </c>
      <c r="D1711" s="94">
        <v>2483.0</v>
      </c>
    </row>
    <row r="1712">
      <c r="A1712" s="40">
        <f t="array" ref="A1712">IFNA(index(PlayerValues!A:A,match(IFNA(vlookup(B1712,'Special Names'!A:B,2,FALSE),B1712),PlayerValues!E:E,0)),"N/A")</f>
        <v>17511</v>
      </c>
      <c r="B1712" s="4" t="s">
        <v>485</v>
      </c>
      <c r="C1712" s="4" t="s">
        <v>287</v>
      </c>
      <c r="D1712" s="94">
        <v>2468.0</v>
      </c>
    </row>
    <row r="1713">
      <c r="A1713" s="40">
        <f t="array" ref="A1713">IFNA(index(PlayerValues!A:A,match(IFNA(vlookup(B1713,'Special Names'!A:B,2,FALSE),B1713),PlayerValues!E:E,0)),"N/A")</f>
        <v>14840</v>
      </c>
      <c r="B1713" s="4" t="s">
        <v>731</v>
      </c>
      <c r="C1713" s="4" t="s">
        <v>287</v>
      </c>
      <c r="D1713" s="94">
        <v>2465.0</v>
      </c>
    </row>
    <row r="1714">
      <c r="A1714" s="40">
        <f t="array" ref="A1714">IFNA(index(PlayerValues!A:A,match(IFNA(vlookup(B1714,'Special Names'!A:B,2,FALSE),B1714),PlayerValues!E:E,0)),"N/A")</f>
        <v>16178</v>
      </c>
      <c r="B1714" s="4" t="s">
        <v>507</v>
      </c>
      <c r="C1714" s="4" t="s">
        <v>278</v>
      </c>
      <c r="D1714" s="94">
        <v>2463.0</v>
      </c>
    </row>
    <row r="1715">
      <c r="A1715" s="40">
        <f t="array" ref="A1715">IFNA(index(PlayerValues!A:A,match(IFNA(vlookup(B1715,'Special Names'!A:B,2,FALSE),B1715),PlayerValues!E:E,0)),"N/A")</f>
        <v>17507</v>
      </c>
      <c r="B1715" s="4" t="s">
        <v>495</v>
      </c>
      <c r="C1715" s="4" t="s">
        <v>287</v>
      </c>
      <c r="D1715" s="94">
        <v>2448.0</v>
      </c>
    </row>
    <row r="1716">
      <c r="A1716" s="40" t="str">
        <f t="array" ref="A1716">IFNA(index(PlayerValues!A:A,match(IFNA(vlookup(B1716,'Special Names'!A:B,2,FALSE),B1716),PlayerValues!E:E,0)),"N/A")</f>
        <v>N/A</v>
      </c>
      <c r="B1716" s="4" t="s">
        <v>557</v>
      </c>
      <c r="C1716" s="4" t="s">
        <v>278</v>
      </c>
      <c r="D1716" s="94">
        <v>2437.0</v>
      </c>
    </row>
    <row r="1717">
      <c r="A1717" s="40" t="str">
        <f t="array" ref="A1717">IFNA(index(PlayerValues!A:A,match(IFNA(vlookup(B1717,'Special Names'!A:B,2,FALSE),B1717),PlayerValues!E:E,0)),"N/A")</f>
        <v>N/A</v>
      </c>
      <c r="B1717" s="4" t="s">
        <v>99</v>
      </c>
      <c r="C1717" s="4" t="s">
        <v>325</v>
      </c>
      <c r="D1717" s="94">
        <v>2435.0</v>
      </c>
    </row>
    <row r="1718">
      <c r="A1718" s="40">
        <f t="array" ref="A1718">IFNA(index(PlayerValues!A:A,match(IFNA(vlookup(B1718,'Special Names'!A:B,2,FALSE),B1718),PlayerValues!E:E,0)),"N/A")</f>
        <v>13192</v>
      </c>
      <c r="B1718" s="4" t="s">
        <v>563</v>
      </c>
      <c r="C1718" s="4" t="s">
        <v>298</v>
      </c>
      <c r="D1718" s="94">
        <v>2836.0</v>
      </c>
    </row>
    <row r="1719">
      <c r="A1719" s="40">
        <f t="array" ref="A1719">IFNA(index(PlayerValues!A:A,match(IFNA(vlookup(B1719,'Special Names'!A:B,2,FALSE),B1719),PlayerValues!E:E,0)),"N/A")</f>
        <v>11244</v>
      </c>
      <c r="B1719" s="4" t="s">
        <v>519</v>
      </c>
      <c r="C1719" s="4" t="s">
        <v>298</v>
      </c>
      <c r="D1719" s="94">
        <v>2807.0</v>
      </c>
    </row>
    <row r="1720">
      <c r="A1720" s="40">
        <f t="array" ref="A1720">IFNA(index(PlayerValues!A:A,match(IFNA(vlookup(B1720,'Special Names'!A:B,2,FALSE),B1720),PlayerValues!E:E,0)),"N/A")</f>
        <v>15716</v>
      </c>
      <c r="B1720" s="4" t="s">
        <v>545</v>
      </c>
      <c r="C1720" s="4" t="s">
        <v>278</v>
      </c>
      <c r="D1720" s="94">
        <v>2404.0</v>
      </c>
    </row>
    <row r="1721">
      <c r="A1721" s="40">
        <f t="array" ref="A1721">IFNA(index(PlayerValues!A:A,match(IFNA(vlookup(B1721,'Special Names'!A:B,2,FALSE),B1721),PlayerValues!E:E,0)),"N/A")</f>
        <v>14861</v>
      </c>
      <c r="B1721" s="4" t="s">
        <v>523</v>
      </c>
      <c r="C1721" s="4" t="s">
        <v>298</v>
      </c>
      <c r="D1721" s="94">
        <v>2790.0</v>
      </c>
    </row>
    <row r="1722">
      <c r="A1722" s="40">
        <f t="array" ref="A1722">IFNA(index(PlayerValues!A:A,match(IFNA(vlookup(B1722,'Special Names'!A:B,2,FALSE),B1722),PlayerValues!E:E,0)),"N/A")</f>
        <v>17106</v>
      </c>
      <c r="B1722" s="4" t="s">
        <v>550</v>
      </c>
      <c r="C1722" s="4" t="s">
        <v>298</v>
      </c>
      <c r="D1722" s="94">
        <v>2776.0</v>
      </c>
    </row>
    <row r="1723">
      <c r="A1723" s="40">
        <f t="array" ref="A1723">IFNA(index(PlayerValues!A:A,match(IFNA(vlookup(B1723,'Special Names'!A:B,2,FALSE),B1723),PlayerValues!E:E,0)),"N/A")</f>
        <v>16204</v>
      </c>
      <c r="B1723" s="4" t="s">
        <v>530</v>
      </c>
      <c r="C1723" s="4" t="s">
        <v>287</v>
      </c>
      <c r="D1723" s="94">
        <v>2377.0</v>
      </c>
    </row>
    <row r="1724">
      <c r="A1724" s="40">
        <f t="array" ref="A1724">IFNA(index(PlayerValues!A:A,match(IFNA(vlookup(B1724,'Special Names'!A:B,2,FALSE),B1724),PlayerValues!E:E,0)),"N/A")</f>
        <v>14136</v>
      </c>
      <c r="B1724" s="4" t="s">
        <v>536</v>
      </c>
      <c r="C1724" s="4" t="s">
        <v>287</v>
      </c>
      <c r="D1724" s="94">
        <v>2376.0</v>
      </c>
    </row>
    <row r="1725">
      <c r="A1725" s="40">
        <f t="array" ref="A1725">IFNA(index(PlayerValues!A:A,match(IFNA(vlookup(B1725,'Special Names'!A:B,2,FALSE),B1725),PlayerValues!E:E,0)),"N/A")</f>
        <v>15786</v>
      </c>
      <c r="B1725" s="4" t="s">
        <v>521</v>
      </c>
      <c r="C1725" s="4" t="s">
        <v>287</v>
      </c>
      <c r="D1725" s="94">
        <v>2369.0</v>
      </c>
    </row>
    <row r="1726">
      <c r="A1726" s="40">
        <f t="array" ref="A1726">IFNA(index(PlayerValues!A:A,match(IFNA(vlookup(B1726,'Special Names'!A:B,2,FALSE),B1726),PlayerValues!E:E,0)),"N/A")</f>
        <v>17078</v>
      </c>
      <c r="B1726" s="4" t="s">
        <v>543</v>
      </c>
      <c r="C1726" s="4" t="s">
        <v>287</v>
      </c>
      <c r="D1726" s="94">
        <v>2369.0</v>
      </c>
    </row>
    <row r="1727">
      <c r="A1727" s="40">
        <f t="array" ref="A1727">IFNA(index(PlayerValues!A:A,match(IFNA(vlookup(B1727,'Special Names'!A:B,2,FALSE),B1727),PlayerValues!E:E,0)),"N/A")</f>
        <v>16649</v>
      </c>
      <c r="B1727" s="4" t="s">
        <v>586</v>
      </c>
      <c r="C1727" s="4" t="s">
        <v>298</v>
      </c>
      <c r="D1727" s="94">
        <v>2766.0</v>
      </c>
    </row>
    <row r="1728">
      <c r="A1728" s="40">
        <f t="array" ref="A1728">IFNA(index(PlayerValues!A:A,match(IFNA(vlookup(B1728,'Special Names'!A:B,2,FALSE),B1728),PlayerValues!E:E,0)),"N/A")</f>
        <v>16152</v>
      </c>
      <c r="B1728" s="4" t="s">
        <v>601</v>
      </c>
      <c r="C1728" s="4" t="s">
        <v>283</v>
      </c>
      <c r="D1728" s="94">
        <v>2363.0</v>
      </c>
    </row>
    <row r="1729">
      <c r="A1729" s="40">
        <f t="array" ref="A1729">IFNA(index(PlayerValues!A:A,match(IFNA(vlookup(B1729,'Special Names'!A:B,2,FALSE),B1729),PlayerValues!E:E,0)),"N/A")</f>
        <v>16594</v>
      </c>
      <c r="B1729" s="4" t="s">
        <v>607</v>
      </c>
      <c r="C1729" s="4" t="s">
        <v>278</v>
      </c>
      <c r="D1729" s="94">
        <v>2360.0</v>
      </c>
    </row>
    <row r="1730">
      <c r="A1730" s="40">
        <f t="array" ref="A1730">IFNA(index(PlayerValues!A:A,match(IFNA(vlookup(B1730,'Special Names'!A:B,2,FALSE),B1730),PlayerValues!E:E,0)),"N/A")</f>
        <v>17033</v>
      </c>
      <c r="B1730" s="4" t="s">
        <v>570</v>
      </c>
      <c r="C1730" s="4" t="s">
        <v>283</v>
      </c>
      <c r="D1730" s="94">
        <v>2358.0</v>
      </c>
    </row>
    <row r="1731">
      <c r="A1731" s="40">
        <f t="array" ref="A1731">IFNA(index(PlayerValues!A:A,match(IFNA(vlookup(B1731,'Special Names'!A:B,2,FALSE),B1731),PlayerValues!E:E,0)),"N/A")</f>
        <v>15802</v>
      </c>
      <c r="B1731" s="4" t="s">
        <v>566</v>
      </c>
      <c r="C1731" s="4" t="s">
        <v>298</v>
      </c>
      <c r="D1731" s="94">
        <v>2744.0</v>
      </c>
    </row>
    <row r="1732">
      <c r="A1732" s="40">
        <f t="array" ref="A1732">IFNA(index(PlayerValues!A:A,match(IFNA(vlookup(B1732,'Special Names'!A:B,2,FALSE),B1732),PlayerValues!E:E,0)),"N/A")</f>
        <v>16036</v>
      </c>
      <c r="B1732" s="4" t="s">
        <v>592</v>
      </c>
      <c r="C1732" s="4" t="s">
        <v>298</v>
      </c>
      <c r="D1732" s="94">
        <v>2738.0</v>
      </c>
    </row>
    <row r="1733">
      <c r="A1733" s="40">
        <f t="array" ref="A1733">IFNA(index(PlayerValues!A:A,match(IFNA(vlookup(B1733,'Special Names'!A:B,2,FALSE),B1733),PlayerValues!E:E,0)),"N/A")</f>
        <v>12676</v>
      </c>
      <c r="B1733" s="4" t="s">
        <v>537</v>
      </c>
      <c r="C1733" s="4" t="s">
        <v>298</v>
      </c>
      <c r="D1733" s="94">
        <v>2736.0</v>
      </c>
    </row>
    <row r="1734">
      <c r="A1734" s="40">
        <f t="array" ref="A1734">IFNA(index(PlayerValues!A:A,match(IFNA(vlookup(B1734,'Special Names'!A:B,2,FALSE),B1734),PlayerValues!E:E,0)),"N/A")</f>
        <v>16166</v>
      </c>
      <c r="B1734" s="4" t="s">
        <v>567</v>
      </c>
      <c r="C1734" s="4" t="s">
        <v>278</v>
      </c>
      <c r="D1734" s="94">
        <v>2312.0</v>
      </c>
    </row>
    <row r="1735">
      <c r="A1735" s="40">
        <f t="array" ref="A1735">IFNA(index(PlayerValues!A:A,match(IFNA(vlookup(B1735,'Special Names'!A:B,2,FALSE),B1735),PlayerValues!E:E,0)),"N/A")</f>
        <v>15749</v>
      </c>
      <c r="B1735" s="4" t="s">
        <v>574</v>
      </c>
      <c r="C1735" s="4" t="s">
        <v>278</v>
      </c>
      <c r="D1735" s="94">
        <v>2310.0</v>
      </c>
    </row>
    <row r="1736">
      <c r="A1736" s="40">
        <f t="array" ref="A1736">IFNA(index(PlayerValues!A:A,match(IFNA(vlookup(B1736,'Special Names'!A:B,2,FALSE),B1736),PlayerValues!E:E,0)),"N/A")</f>
        <v>16757</v>
      </c>
      <c r="B1736" s="4" t="s">
        <v>558</v>
      </c>
      <c r="C1736" s="4" t="s">
        <v>278</v>
      </c>
      <c r="D1736" s="94">
        <v>2309.0</v>
      </c>
    </row>
    <row r="1737">
      <c r="A1737" s="40">
        <f t="array" ref="A1737">IFNA(index(PlayerValues!A:A,match(IFNA(vlookup(B1737,'Special Names'!A:B,2,FALSE),B1737),PlayerValues!E:E,0)),"N/A")</f>
        <v>17474</v>
      </c>
      <c r="B1737" s="4" t="s">
        <v>513</v>
      </c>
      <c r="C1737" s="4" t="s">
        <v>278</v>
      </c>
      <c r="D1737" s="94">
        <v>2292.0</v>
      </c>
    </row>
    <row r="1738">
      <c r="A1738" s="40">
        <f t="array" ref="A1738">IFNA(index(PlayerValues!A:A,match(IFNA(vlookup(B1738,'Special Names'!A:B,2,FALSE),B1738),PlayerValues!E:E,0)),"N/A")</f>
        <v>13772</v>
      </c>
      <c r="B1738" s="4" t="s">
        <v>544</v>
      </c>
      <c r="C1738" s="4" t="s">
        <v>298</v>
      </c>
      <c r="D1738" s="94">
        <v>2687.0</v>
      </c>
    </row>
    <row r="1739">
      <c r="A1739" s="40">
        <f t="array" ref="A1739">IFNA(index(PlayerValues!A:A,match(IFNA(vlookup(B1739,'Special Names'!A:B,2,FALSE),B1739),PlayerValues!E:E,0)),"N/A")</f>
        <v>17508</v>
      </c>
      <c r="B1739" s="4" t="s">
        <v>534</v>
      </c>
      <c r="C1739" s="4" t="s">
        <v>287</v>
      </c>
      <c r="D1739" s="94">
        <v>2272.0</v>
      </c>
    </row>
    <row r="1740">
      <c r="A1740" s="40" t="str">
        <f t="array" ref="A1740">IFNA(index(PlayerValues!A:A,match(IFNA(vlookup(B1740,'Special Names'!A:B,2,FALSE),B1740),PlayerValues!E:E,0)),"N/A")</f>
        <v>N/A</v>
      </c>
      <c r="B1740" s="4" t="s">
        <v>86</v>
      </c>
      <c r="C1740" s="4" t="s">
        <v>325</v>
      </c>
      <c r="D1740" s="94">
        <v>2265.0</v>
      </c>
    </row>
    <row r="1741">
      <c r="A1741" s="40">
        <f t="array" ref="A1741">IFNA(index(PlayerValues!A:A,match(IFNA(vlookup(B1741,'Special Names'!A:B,2,FALSE),B1741),PlayerValues!E:E,0)),"N/A")</f>
        <v>16189</v>
      </c>
      <c r="B1741" s="4" t="s">
        <v>582</v>
      </c>
      <c r="C1741" s="4" t="s">
        <v>287</v>
      </c>
      <c r="D1741" s="94">
        <v>2242.0</v>
      </c>
    </row>
    <row r="1742">
      <c r="A1742" s="40">
        <f t="array" ref="A1742">IFNA(index(PlayerValues!A:A,match(IFNA(vlookup(B1742,'Special Names'!A:B,2,FALSE),B1742),PlayerValues!E:E,0)),"N/A")</f>
        <v>17512</v>
      </c>
      <c r="B1742" s="4" t="s">
        <v>483</v>
      </c>
      <c r="C1742" s="4" t="s">
        <v>287</v>
      </c>
      <c r="D1742" s="94">
        <v>2241.0</v>
      </c>
    </row>
    <row r="1743">
      <c r="A1743" s="40">
        <f t="array" ref="A1743">IFNA(index(PlayerValues!A:A,match(IFNA(vlookup(B1743,'Special Names'!A:B,2,FALSE),B1743),PlayerValues!E:E,0)),"N/A")</f>
        <v>17517</v>
      </c>
      <c r="B1743" s="4" t="s">
        <v>454</v>
      </c>
      <c r="C1743" s="4" t="s">
        <v>287</v>
      </c>
      <c r="D1743" s="94">
        <v>2235.0</v>
      </c>
    </row>
    <row r="1744">
      <c r="A1744" s="40">
        <f t="array" ref="A1744">IFNA(index(PlayerValues!A:A,match(IFNA(vlookup(B1744,'Special Names'!A:B,2,FALSE),B1744),PlayerValues!E:E,0)),"N/A")</f>
        <v>13319</v>
      </c>
      <c r="B1744" s="4" t="s">
        <v>549</v>
      </c>
      <c r="C1744" s="4" t="s">
        <v>278</v>
      </c>
      <c r="D1744" s="94">
        <v>2235.0</v>
      </c>
    </row>
    <row r="1745">
      <c r="A1745" s="40">
        <f t="array" ref="A1745">IFNA(index(PlayerValues!A:A,match(IFNA(vlookup(B1745,'Special Names'!A:B,2,FALSE),B1745),PlayerValues!E:E,0)),"N/A")</f>
        <v>16610</v>
      </c>
      <c r="B1745" s="4" t="s">
        <v>562</v>
      </c>
      <c r="C1745" s="4" t="s">
        <v>278</v>
      </c>
      <c r="D1745" s="94">
        <v>2233.0</v>
      </c>
    </row>
    <row r="1746">
      <c r="A1746" s="40">
        <f t="array" ref="A1746">IFNA(index(PlayerValues!A:A,match(IFNA(vlookup(B1746,'Special Names'!A:B,2,FALSE),B1746),PlayerValues!E:E,0)),"N/A")</f>
        <v>17478</v>
      </c>
      <c r="B1746" s="4" t="s">
        <v>527</v>
      </c>
      <c r="C1746" s="4" t="s">
        <v>278</v>
      </c>
      <c r="D1746" s="94">
        <v>2207.0</v>
      </c>
    </row>
    <row r="1747">
      <c r="A1747" s="40">
        <f t="array" ref="A1747">IFNA(index(PlayerValues!A:A,match(IFNA(vlookup(B1747,'Special Names'!A:B,2,FALSE),B1747),PlayerValues!E:E,0)),"N/A")</f>
        <v>17079</v>
      </c>
      <c r="B1747" s="4" t="s">
        <v>572</v>
      </c>
      <c r="C1747" s="4" t="s">
        <v>287</v>
      </c>
      <c r="D1747" s="94">
        <v>2201.0</v>
      </c>
    </row>
    <row r="1748">
      <c r="A1748" s="40">
        <f t="array" ref="A1748">IFNA(index(PlayerValues!A:A,match(IFNA(vlookup(B1748,'Special Names'!A:B,2,FALSE),B1748),PlayerValues!E:E,0)),"N/A")</f>
        <v>16212</v>
      </c>
      <c r="B1748" s="4" t="s">
        <v>568</v>
      </c>
      <c r="C1748" s="4" t="s">
        <v>298</v>
      </c>
      <c r="D1748" s="94">
        <v>2554.0</v>
      </c>
    </row>
    <row r="1749">
      <c r="A1749" s="40" t="str">
        <f t="array" ref="A1749">IFNA(index(PlayerValues!A:A,match(IFNA(vlookup(B1749,'Special Names'!A:B,2,FALSE),B1749),PlayerValues!E:E,0)),"N/A")</f>
        <v>N/A</v>
      </c>
      <c r="B1749" s="4" t="s">
        <v>100</v>
      </c>
      <c r="C1749" s="4" t="s">
        <v>325</v>
      </c>
      <c r="D1749" s="94">
        <v>2163.0</v>
      </c>
    </row>
    <row r="1750">
      <c r="A1750" s="40">
        <f t="array" ref="A1750">IFNA(index(PlayerValues!A:A,match(IFNA(vlookup(B1750,'Special Names'!A:B,2,FALSE),B1750),PlayerValues!E:E,0)),"N/A")</f>
        <v>17046</v>
      </c>
      <c r="B1750" s="4" t="s">
        <v>602</v>
      </c>
      <c r="C1750" s="4" t="s">
        <v>278</v>
      </c>
      <c r="D1750" s="94">
        <v>2157.0</v>
      </c>
    </row>
    <row r="1751">
      <c r="A1751" s="40" t="str">
        <f t="array" ref="A1751">IFNA(index(PlayerValues!A:A,match(IFNA(vlookup(B1751,'Special Names'!A:B,2,FALSE),B1751),PlayerValues!E:E,0)),"N/A")</f>
        <v>N/A</v>
      </c>
      <c r="B1751" s="4" t="s">
        <v>112</v>
      </c>
      <c r="C1751" s="4" t="s">
        <v>325</v>
      </c>
      <c r="D1751" s="94">
        <v>2151.0</v>
      </c>
    </row>
    <row r="1752">
      <c r="A1752" s="40">
        <f t="array" ref="A1752">IFNA(index(PlayerValues!A:A,match(IFNA(vlookup(B1752,'Special Names'!A:B,2,FALSE),B1752),PlayerValues!E:E,0)),"N/A")</f>
        <v>11150</v>
      </c>
      <c r="B1752" s="4" t="s">
        <v>559</v>
      </c>
      <c r="C1752" s="4" t="s">
        <v>283</v>
      </c>
      <c r="D1752" s="94">
        <v>2147.0</v>
      </c>
    </row>
    <row r="1753">
      <c r="A1753" s="40">
        <f t="array" ref="A1753">IFNA(index(PlayerValues!A:A,match(IFNA(vlookup(B1753,'Special Names'!A:B,2,FALSE),B1753),PlayerValues!E:E,0)),"N/A")</f>
        <v>17056</v>
      </c>
      <c r="B1753" s="4" t="s">
        <v>581</v>
      </c>
      <c r="C1753" s="4" t="s">
        <v>278</v>
      </c>
      <c r="D1753" s="94">
        <v>2147.0</v>
      </c>
    </row>
    <row r="1754">
      <c r="A1754" s="40">
        <f t="array" ref="A1754">IFNA(index(PlayerValues!A:A,match(IFNA(vlookup(B1754,'Special Names'!A:B,2,FALSE),B1754),PlayerValues!E:E,0)),"N/A")</f>
        <v>15238</v>
      </c>
      <c r="B1754" s="4" t="s">
        <v>613</v>
      </c>
      <c r="C1754" s="4" t="s">
        <v>283</v>
      </c>
      <c r="D1754" s="94">
        <v>2141.0</v>
      </c>
    </row>
    <row r="1755">
      <c r="A1755" s="40">
        <f t="array" ref="A1755">IFNA(index(PlayerValues!A:A,match(IFNA(vlookup(B1755,'Special Names'!A:B,2,FALSE),B1755),PlayerValues!E:E,0)),"N/A")</f>
        <v>12186</v>
      </c>
      <c r="B1755" s="4" t="s">
        <v>497</v>
      </c>
      <c r="C1755" s="4" t="s">
        <v>287</v>
      </c>
      <c r="D1755" s="94">
        <v>2140.0</v>
      </c>
    </row>
    <row r="1756">
      <c r="A1756" s="40">
        <f t="array" ref="A1756">IFNA(index(PlayerValues!A:A,match(IFNA(vlookup(B1756,'Special Names'!A:B,2,FALSE),B1756),PlayerValues!E:E,0)),"N/A")</f>
        <v>15331</v>
      </c>
      <c r="B1756" s="4" t="s">
        <v>560</v>
      </c>
      <c r="C1756" s="4" t="s">
        <v>298</v>
      </c>
      <c r="D1756" s="94">
        <v>2530.0</v>
      </c>
    </row>
    <row r="1757">
      <c r="A1757" s="40">
        <f t="array" ref="A1757">IFNA(index(PlayerValues!A:A,match(IFNA(vlookup(B1757,'Special Names'!A:B,2,FALSE),B1757),PlayerValues!E:E,0)),"N/A")</f>
        <v>14974</v>
      </c>
      <c r="B1757" s="4" t="s">
        <v>611</v>
      </c>
      <c r="C1757" s="4" t="s">
        <v>287</v>
      </c>
      <c r="D1757" s="94">
        <v>2133.0</v>
      </c>
    </row>
    <row r="1758">
      <c r="A1758" s="40">
        <f t="array" ref="A1758">IFNA(index(PlayerValues!A:A,match(IFNA(vlookup(B1758,'Special Names'!A:B,2,FALSE),B1758),PlayerValues!E:E,0)),"N/A")</f>
        <v>12801</v>
      </c>
      <c r="B1758" s="4" t="s">
        <v>722</v>
      </c>
      <c r="C1758" s="4" t="s">
        <v>287</v>
      </c>
      <c r="D1758" s="94">
        <v>2122.0</v>
      </c>
    </row>
    <row r="1759">
      <c r="A1759" s="40" t="str">
        <f t="array" ref="A1759">IFNA(index(PlayerValues!A:A,match(IFNA(vlookup(B1759,'Special Names'!A:B,2,FALSE),B1759),PlayerValues!E:E,0)),"N/A")</f>
        <v>N/A</v>
      </c>
      <c r="B1759" s="4" t="s">
        <v>87</v>
      </c>
      <c r="C1759" s="4" t="s">
        <v>325</v>
      </c>
      <c r="D1759" s="94">
        <v>2116.0</v>
      </c>
    </row>
    <row r="1760">
      <c r="A1760" s="40">
        <f t="array" ref="A1760">IFNA(index(PlayerValues!A:A,match(IFNA(vlookup(B1760,'Special Names'!A:B,2,FALSE),B1760),PlayerValues!E:E,0)),"N/A")</f>
        <v>16643</v>
      </c>
      <c r="B1760" s="4" t="s">
        <v>609</v>
      </c>
      <c r="C1760" s="4" t="s">
        <v>298</v>
      </c>
      <c r="D1760" s="94">
        <v>2491.0</v>
      </c>
    </row>
    <row r="1761">
      <c r="A1761" s="40">
        <f t="array" ref="A1761">IFNA(index(PlayerValues!A:A,match(IFNA(vlookup(B1761,'Special Names'!A:B,2,FALSE),B1761),PlayerValues!E:E,0)),"N/A")</f>
        <v>16432</v>
      </c>
      <c r="B1761" s="4" t="s">
        <v>620</v>
      </c>
      <c r="C1761" s="4" t="s">
        <v>278</v>
      </c>
      <c r="D1761" s="94">
        <v>2086.0</v>
      </c>
    </row>
    <row r="1762">
      <c r="A1762" s="40">
        <f t="array" ref="A1762">IFNA(index(PlayerValues!A:A,match(IFNA(vlookup(B1762,'Special Names'!A:B,2,FALSE),B1762),PlayerValues!E:E,0)),"N/A")</f>
        <v>17076</v>
      </c>
      <c r="B1762" s="4" t="s">
        <v>585</v>
      </c>
      <c r="C1762" s="4" t="s">
        <v>287</v>
      </c>
      <c r="D1762" s="94">
        <v>2086.0</v>
      </c>
    </row>
    <row r="1763">
      <c r="A1763" s="40">
        <f t="array" ref="A1763">IFNA(index(PlayerValues!A:A,match(IFNA(vlookup(B1763,'Special Names'!A:B,2,FALSE),B1763),PlayerValues!E:E,0)),"N/A")</f>
        <v>17055</v>
      </c>
      <c r="B1763" s="4" t="s">
        <v>565</v>
      </c>
      <c r="C1763" s="4" t="s">
        <v>278</v>
      </c>
      <c r="D1763" s="94">
        <v>2082.0</v>
      </c>
    </row>
    <row r="1764">
      <c r="A1764" s="40">
        <f t="array" ref="A1764">IFNA(index(PlayerValues!A:A,match(IFNA(vlookup(B1764,'Special Names'!A:B,2,FALSE),B1764),PlayerValues!E:E,0)),"N/A")</f>
        <v>17087</v>
      </c>
      <c r="B1764" s="4" t="s">
        <v>600</v>
      </c>
      <c r="C1764" s="4" t="s">
        <v>287</v>
      </c>
      <c r="D1764" s="94">
        <v>2082.0</v>
      </c>
    </row>
    <row r="1765">
      <c r="A1765" s="40" t="str">
        <f t="array" ref="A1765">IFNA(index(PlayerValues!A:A,match(IFNA(vlookup(B1765,'Special Names'!A:B,2,FALSE),B1765),PlayerValues!E:E,0)),"N/A")</f>
        <v>N/A</v>
      </c>
      <c r="B1765" s="4" t="s">
        <v>113</v>
      </c>
      <c r="C1765" s="4" t="s">
        <v>325</v>
      </c>
      <c r="D1765" s="94">
        <v>2076.0</v>
      </c>
    </row>
    <row r="1766">
      <c r="A1766" s="40">
        <f t="array" ref="A1766">IFNA(index(PlayerValues!A:A,match(IFNA(vlookup(B1766,'Special Names'!A:B,2,FALSE),B1766),PlayerValues!E:E,0)),"N/A")</f>
        <v>13633</v>
      </c>
      <c r="B1766" s="4" t="s">
        <v>625</v>
      </c>
      <c r="C1766" s="4" t="s">
        <v>287</v>
      </c>
      <c r="D1766" s="94">
        <v>2066.0</v>
      </c>
    </row>
    <row r="1767">
      <c r="A1767" s="40">
        <f t="array" ref="A1767">IFNA(index(PlayerValues!A:A,match(IFNA(vlookup(B1767,'Special Names'!A:B,2,FALSE),B1767),PlayerValues!E:E,0)),"N/A")</f>
        <v>17061</v>
      </c>
      <c r="B1767" s="4" t="s">
        <v>580</v>
      </c>
      <c r="C1767" s="4" t="s">
        <v>278</v>
      </c>
      <c r="D1767" s="94">
        <v>2065.0</v>
      </c>
    </row>
    <row r="1768">
      <c r="A1768" s="40">
        <f t="array" ref="A1768">IFNA(index(PlayerValues!A:A,match(IFNA(vlookup(B1768,'Special Names'!A:B,2,FALSE),B1768),PlayerValues!E:E,0)),"N/A")</f>
        <v>15293</v>
      </c>
      <c r="B1768" s="4" t="s">
        <v>578</v>
      </c>
      <c r="C1768" s="4" t="s">
        <v>287</v>
      </c>
      <c r="D1768" s="94">
        <v>2061.0</v>
      </c>
    </row>
    <row r="1769">
      <c r="A1769" s="40">
        <f t="array" ref="A1769">IFNA(index(PlayerValues!A:A,match(IFNA(vlookup(B1769,'Special Names'!A:B,2,FALSE),B1769),PlayerValues!E:E,0)),"N/A")</f>
        <v>16639</v>
      </c>
      <c r="B1769" s="4" t="s">
        <v>599</v>
      </c>
      <c r="C1769" s="4" t="s">
        <v>287</v>
      </c>
      <c r="D1769" s="94">
        <v>2051.0</v>
      </c>
    </row>
    <row r="1770">
      <c r="A1770" s="40">
        <f t="array" ref="A1770">IFNA(index(PlayerValues!A:A,match(IFNA(vlookup(B1770,'Special Names'!A:B,2,FALSE),B1770),PlayerValues!E:E,0)),"N/A")</f>
        <v>13132</v>
      </c>
      <c r="B1770" s="4" t="s">
        <v>598</v>
      </c>
      <c r="C1770" s="4" t="s">
        <v>278</v>
      </c>
      <c r="D1770" s="94">
        <v>2045.0</v>
      </c>
    </row>
    <row r="1771">
      <c r="A1771" s="40">
        <f t="array" ref="A1771">IFNA(index(PlayerValues!A:A,match(IFNA(vlookup(B1771,'Special Names'!A:B,2,FALSE),B1771),PlayerValues!E:E,0)),"N/A")</f>
        <v>14867</v>
      </c>
      <c r="B1771" s="4" t="s">
        <v>591</v>
      </c>
      <c r="C1771" s="4" t="s">
        <v>298</v>
      </c>
      <c r="D1771" s="94">
        <v>2433.0</v>
      </c>
    </row>
    <row r="1772">
      <c r="A1772" s="40">
        <f t="array" ref="A1772">IFNA(index(PlayerValues!A:A,match(IFNA(vlookup(B1772,'Special Names'!A:B,2,FALSE),B1772),PlayerValues!E:E,0)),"N/A")</f>
        <v>17060</v>
      </c>
      <c r="B1772" s="4" t="s">
        <v>603</v>
      </c>
      <c r="C1772" s="4" t="s">
        <v>278</v>
      </c>
      <c r="D1772" s="94">
        <v>2043.0</v>
      </c>
    </row>
    <row r="1773">
      <c r="A1773" s="40">
        <f t="array" ref="A1773">IFNA(index(PlayerValues!A:A,match(IFNA(vlookup(B1773,'Special Names'!A:B,2,FALSE),B1773),PlayerValues!E:E,0)),"N/A")</f>
        <v>17069</v>
      </c>
      <c r="B1773" s="4" t="s">
        <v>604</v>
      </c>
      <c r="C1773" s="4" t="s">
        <v>278</v>
      </c>
      <c r="D1773" s="94">
        <v>2039.0</v>
      </c>
    </row>
    <row r="1774">
      <c r="A1774" s="40">
        <f t="array" ref="A1774">IFNA(index(PlayerValues!A:A,match(IFNA(vlookup(B1774,'Special Names'!A:B,2,FALSE),B1774),PlayerValues!E:E,0)),"N/A")</f>
        <v>16342</v>
      </c>
      <c r="B1774" s="4" t="s">
        <v>583</v>
      </c>
      <c r="C1774" s="4" t="s">
        <v>287</v>
      </c>
      <c r="D1774" s="94">
        <v>2031.0</v>
      </c>
    </row>
    <row r="1775">
      <c r="A1775" s="40" t="str">
        <f t="array" ref="A1775">IFNA(index(PlayerValues!A:A,match(IFNA(vlookup(B1775,'Special Names'!A:B,2,FALSE),B1775),PlayerValues!E:E,0)),"N/A")</f>
        <v>N/A</v>
      </c>
      <c r="B1775" s="4" t="s">
        <v>88</v>
      </c>
      <c r="C1775" s="4" t="s">
        <v>325</v>
      </c>
      <c r="D1775" s="94">
        <v>2023.0</v>
      </c>
    </row>
    <row r="1776">
      <c r="A1776" s="40">
        <f t="array" ref="A1776">IFNA(index(PlayerValues!A:A,match(IFNA(vlookup(B1776,'Special Names'!A:B,2,FALSE),B1776),PlayerValues!E:E,0)),"N/A")</f>
        <v>14871</v>
      </c>
      <c r="B1776" s="4" t="s">
        <v>584</v>
      </c>
      <c r="C1776" s="4" t="s">
        <v>298</v>
      </c>
      <c r="D1776" s="94">
        <v>2400.0</v>
      </c>
    </row>
    <row r="1777">
      <c r="A1777" s="40">
        <f t="array" ref="A1777">IFNA(index(PlayerValues!A:A,match(IFNA(vlookup(B1777,'Special Names'!A:B,2,FALSE),B1777),PlayerValues!E:E,0)),"N/A")</f>
        <v>13146</v>
      </c>
      <c r="B1777" s="4" t="s">
        <v>652</v>
      </c>
      <c r="C1777" s="4" t="s">
        <v>278</v>
      </c>
      <c r="D1777" s="94">
        <v>1984.0</v>
      </c>
    </row>
    <row r="1778">
      <c r="A1778" s="40">
        <f t="array" ref="A1778">IFNA(index(PlayerValues!A:A,match(IFNA(vlookup(B1778,'Special Names'!A:B,2,FALSE),B1778),PlayerValues!E:E,0)),"N/A")</f>
        <v>10700</v>
      </c>
      <c r="B1778" s="4" t="s">
        <v>596</v>
      </c>
      <c r="C1778" s="4" t="s">
        <v>283</v>
      </c>
      <c r="D1778" s="94">
        <v>1981.0</v>
      </c>
    </row>
    <row r="1779">
      <c r="A1779" s="40">
        <f t="array" ref="A1779">IFNA(index(PlayerValues!A:A,match(IFNA(vlookup(B1779,'Special Names'!A:B,2,FALSE),B1779),PlayerValues!E:E,0)),"N/A")</f>
        <v>16191</v>
      </c>
      <c r="B1779" s="4" t="s">
        <v>666</v>
      </c>
      <c r="C1779" s="4" t="s">
        <v>287</v>
      </c>
      <c r="D1779" s="94">
        <v>1980.0</v>
      </c>
    </row>
    <row r="1780">
      <c r="A1780" s="40">
        <f t="array" ref="A1780">IFNA(index(PlayerValues!A:A,match(IFNA(vlookup(B1780,'Special Names'!A:B,2,FALSE),B1780),PlayerValues!E:E,0)),"N/A")</f>
        <v>17036</v>
      </c>
      <c r="B1780" s="4" t="s">
        <v>617</v>
      </c>
      <c r="C1780" s="4" t="s">
        <v>283</v>
      </c>
      <c r="D1780" s="94">
        <v>1971.0</v>
      </c>
    </row>
    <row r="1781">
      <c r="A1781" s="40">
        <f t="array" ref="A1781">IFNA(index(PlayerValues!A:A,match(IFNA(vlookup(B1781,'Special Names'!A:B,2,FALSE),B1781),PlayerValues!E:E,0)),"N/A")</f>
        <v>16171</v>
      </c>
      <c r="B1781" s="4" t="s">
        <v>618</v>
      </c>
      <c r="C1781" s="4" t="s">
        <v>278</v>
      </c>
      <c r="D1781" s="94">
        <v>1957.0</v>
      </c>
    </row>
    <row r="1782">
      <c r="A1782" s="40">
        <f t="array" ref="A1782">IFNA(index(PlayerValues!A:A,match(IFNA(vlookup(B1782,'Special Names'!A:B,2,FALSE),B1782),PlayerValues!E:E,0)),"N/A")</f>
        <v>16603</v>
      </c>
      <c r="B1782" s="4" t="s">
        <v>587</v>
      </c>
      <c r="C1782" s="4" t="s">
        <v>278</v>
      </c>
      <c r="D1782" s="94">
        <v>1954.0</v>
      </c>
    </row>
    <row r="1783">
      <c r="A1783" s="40">
        <f t="array" ref="A1783">IFNA(index(PlayerValues!A:A,match(IFNA(vlookup(B1783,'Special Names'!A:B,2,FALSE),B1783),PlayerValues!E:E,0)),"N/A")</f>
        <v>13629</v>
      </c>
      <c r="B1783" s="4" t="s">
        <v>619</v>
      </c>
      <c r="C1783" s="4" t="s">
        <v>287</v>
      </c>
      <c r="D1783" s="94">
        <v>1952.0</v>
      </c>
    </row>
    <row r="1784">
      <c r="A1784" s="40">
        <f t="array" ref="A1784">IFNA(index(PlayerValues!A:A,match(IFNA(vlookup(B1784,'Special Names'!A:B,2,FALSE),B1784),PlayerValues!E:E,0)),"N/A")</f>
        <v>17184</v>
      </c>
      <c r="B1784" s="4" t="s">
        <v>588</v>
      </c>
      <c r="C1784" s="4" t="s">
        <v>287</v>
      </c>
      <c r="D1784" s="94">
        <v>1936.0</v>
      </c>
    </row>
    <row r="1785">
      <c r="A1785" s="40">
        <f t="array" ref="A1785">IFNA(index(PlayerValues!A:A,match(IFNA(vlookup(B1785,'Special Names'!A:B,2,FALSE),B1785),PlayerValues!E:E,0)),"N/A")</f>
        <v>16216</v>
      </c>
      <c r="B1785" s="4" t="s">
        <v>595</v>
      </c>
      <c r="C1785" s="4" t="s">
        <v>298</v>
      </c>
      <c r="D1785" s="94">
        <v>2304.0</v>
      </c>
    </row>
    <row r="1786">
      <c r="A1786" s="40">
        <f t="array" ref="A1786">IFNA(index(PlayerValues!A:A,match(IFNA(vlookup(B1786,'Special Names'!A:B,2,FALSE),B1786),PlayerValues!E:E,0)),"N/A")</f>
        <v>13189</v>
      </c>
      <c r="B1786" s="4" t="s">
        <v>626</v>
      </c>
      <c r="C1786" s="4" t="s">
        <v>298</v>
      </c>
      <c r="D1786" s="94">
        <v>2296.0</v>
      </c>
    </row>
    <row r="1787">
      <c r="A1787" s="40">
        <f t="array" ref="A1787">IFNA(index(PlayerValues!A:A,match(IFNA(vlookup(B1787,'Special Names'!A:B,2,FALSE),B1787),PlayerValues!E:E,0)),"N/A")</f>
        <v>17049</v>
      </c>
      <c r="B1787" s="4" t="s">
        <v>624</v>
      </c>
      <c r="C1787" s="4" t="s">
        <v>278</v>
      </c>
      <c r="D1787" s="94">
        <v>1907.0</v>
      </c>
    </row>
    <row r="1788">
      <c r="A1788" s="40">
        <f t="array" ref="A1788">IFNA(index(PlayerValues!A:A,match(IFNA(vlookup(B1788,'Special Names'!A:B,2,FALSE),B1788),PlayerValues!E:E,0)),"N/A")</f>
        <v>13113</v>
      </c>
      <c r="B1788" s="4" t="s">
        <v>606</v>
      </c>
      <c r="C1788" s="4" t="s">
        <v>283</v>
      </c>
      <c r="D1788" s="94">
        <v>1895.0</v>
      </c>
    </row>
    <row r="1789">
      <c r="A1789" s="40" t="str">
        <f t="array" ref="A1789">IFNA(index(PlayerValues!A:A,match(IFNA(vlookup(B1789,'Special Names'!A:B,2,FALSE),B1789),PlayerValues!E:E,0)),"N/A")</f>
        <v>N/A</v>
      </c>
      <c r="B1789" s="4" t="s">
        <v>101</v>
      </c>
      <c r="C1789" s="4" t="s">
        <v>325</v>
      </c>
      <c r="D1789" s="94">
        <v>1881.0</v>
      </c>
    </row>
    <row r="1790">
      <c r="A1790" s="40">
        <f t="array" ref="A1790">IFNA(index(PlayerValues!A:A,match(IFNA(vlookup(B1790,'Special Names'!A:B,2,FALSE),B1790),PlayerValues!E:E,0)),"N/A")</f>
        <v>15254</v>
      </c>
      <c r="B1790" s="4" t="s">
        <v>633</v>
      </c>
      <c r="C1790" s="4" t="s">
        <v>278</v>
      </c>
      <c r="D1790" s="94">
        <v>1877.0</v>
      </c>
    </row>
    <row r="1791">
      <c r="A1791" s="40">
        <f t="array" ref="A1791">IFNA(index(PlayerValues!A:A,match(IFNA(vlookup(B1791,'Special Names'!A:B,2,FALSE),B1791),PlayerValues!E:E,0)),"N/A")</f>
        <v>16604</v>
      </c>
      <c r="B1791" s="4" t="s">
        <v>476</v>
      </c>
      <c r="C1791" s="4" t="s">
        <v>278</v>
      </c>
      <c r="D1791" s="94">
        <v>1857.0</v>
      </c>
    </row>
    <row r="1792">
      <c r="A1792" s="40">
        <f t="array" ref="A1792">IFNA(index(PlayerValues!A:A,match(IFNA(vlookup(B1792,'Special Names'!A:B,2,FALSE),B1792),PlayerValues!E:E,0)),"N/A")</f>
        <v>17034</v>
      </c>
      <c r="B1792" s="4" t="s">
        <v>643</v>
      </c>
      <c r="C1792" s="4" t="s">
        <v>283</v>
      </c>
      <c r="D1792" s="94">
        <v>1851.0</v>
      </c>
    </row>
    <row r="1793">
      <c r="A1793" s="40">
        <f t="array" ref="A1793">IFNA(index(PlayerValues!A:A,match(IFNA(vlookup(B1793,'Special Names'!A:B,2,FALSE),B1793),PlayerValues!E:E,0)),"N/A")</f>
        <v>16644</v>
      </c>
      <c r="B1793" s="4" t="s">
        <v>640</v>
      </c>
      <c r="C1793" s="4" t="s">
        <v>298</v>
      </c>
      <c r="D1793" s="94">
        <v>2230.0</v>
      </c>
    </row>
    <row r="1794">
      <c r="A1794" s="40">
        <f t="array" ref="A1794">IFNA(index(PlayerValues!A:A,match(IFNA(vlookup(B1794,'Special Names'!A:B,2,FALSE),B1794),PlayerValues!E:E,0)),"N/A")</f>
        <v>17547</v>
      </c>
      <c r="B1794" s="4" t="s">
        <v>552</v>
      </c>
      <c r="C1794" s="4" t="s">
        <v>298</v>
      </c>
      <c r="D1794" s="94">
        <v>2217.0</v>
      </c>
    </row>
    <row r="1795">
      <c r="A1795" s="40">
        <f t="array" ref="A1795">IFNA(index(PlayerValues!A:A,match(IFNA(vlookup(B1795,'Special Names'!A:B,2,FALSE),B1795),PlayerValues!E:E,0)),"N/A")</f>
        <v>16215</v>
      </c>
      <c r="B1795" s="4" t="s">
        <v>637</v>
      </c>
      <c r="C1795" s="4" t="s">
        <v>298</v>
      </c>
      <c r="D1795" s="94">
        <v>2216.0</v>
      </c>
    </row>
    <row r="1796">
      <c r="A1796" s="40" t="str">
        <f t="array" ref="A1796">IFNA(index(PlayerValues!A:A,match(IFNA(vlookup(B1796,'Special Names'!A:B,2,FALSE),B1796),PlayerValues!E:E,0)),"N/A")</f>
        <v>N/A</v>
      </c>
      <c r="B1796" s="4" t="s">
        <v>114</v>
      </c>
      <c r="C1796" s="4" t="s">
        <v>325</v>
      </c>
      <c r="D1796" s="94">
        <v>1832.0</v>
      </c>
    </row>
    <row r="1797">
      <c r="A1797" s="40">
        <f t="array" ref="A1797">IFNA(index(PlayerValues!A:A,match(IFNA(vlookup(B1797,'Special Names'!A:B,2,FALSE),B1797),PlayerValues!E:E,0)),"N/A")</f>
        <v>15788</v>
      </c>
      <c r="B1797" s="4" t="s">
        <v>627</v>
      </c>
      <c r="C1797" s="4" t="s">
        <v>287</v>
      </c>
      <c r="D1797" s="94">
        <v>1826.0</v>
      </c>
    </row>
    <row r="1798">
      <c r="A1798" s="40">
        <f t="array" ref="A1798">IFNA(index(PlayerValues!A:A,match(IFNA(vlookup(B1798,'Special Names'!A:B,2,FALSE),B1798),PlayerValues!E:E,0)),"N/A")</f>
        <v>15787</v>
      </c>
      <c r="B1798" s="4" t="s">
        <v>610</v>
      </c>
      <c r="C1798" s="4" t="s">
        <v>287</v>
      </c>
      <c r="D1798" s="94">
        <v>1825.0</v>
      </c>
    </row>
    <row r="1799">
      <c r="A1799" s="40">
        <f t="array" ref="A1799">IFNA(index(PlayerValues!A:A,match(IFNA(vlookup(B1799,'Special Names'!A:B,2,FALSE),B1799),PlayerValues!E:E,0)),"N/A")</f>
        <v>17086</v>
      </c>
      <c r="B1799" s="4" t="s">
        <v>612</v>
      </c>
      <c r="C1799" s="4" t="s">
        <v>287</v>
      </c>
      <c r="D1799" s="94">
        <v>1820.0</v>
      </c>
    </row>
    <row r="1800">
      <c r="A1800" s="40">
        <f t="array" ref="A1800">IFNA(index(PlayerValues!A:A,match(IFNA(vlookup(B1800,'Special Names'!A:B,2,FALSE),B1800),PlayerValues!E:E,0)),"N/A")</f>
        <v>13164</v>
      </c>
      <c r="B1800" s="4" t="s">
        <v>632</v>
      </c>
      <c r="C1800" s="4" t="s">
        <v>287</v>
      </c>
      <c r="D1800" s="94">
        <v>1814.0</v>
      </c>
    </row>
    <row r="1801">
      <c r="A1801" s="40">
        <f t="array" ref="A1801">IFNA(index(PlayerValues!A:A,match(IFNA(vlookup(B1801,'Special Names'!A:B,2,FALSE),B1801),PlayerValues!E:E,0)),"N/A")</f>
        <v>17035</v>
      </c>
      <c r="B1801" s="4" t="s">
        <v>650</v>
      </c>
      <c r="C1801" s="4" t="s">
        <v>283</v>
      </c>
      <c r="D1801" s="94">
        <v>1811.0</v>
      </c>
    </row>
    <row r="1802">
      <c r="A1802" s="40">
        <f t="array" ref="A1802">IFNA(index(PlayerValues!A:A,match(IFNA(vlookup(B1802,'Special Names'!A:B,2,FALSE),B1802),PlayerValues!E:E,0)),"N/A")</f>
        <v>16752</v>
      </c>
      <c r="B1802" s="4" t="s">
        <v>597</v>
      </c>
      <c r="C1802" s="4" t="s">
        <v>278</v>
      </c>
      <c r="D1802" s="94">
        <v>1809.0</v>
      </c>
    </row>
    <row r="1803">
      <c r="A1803" s="40">
        <f t="array" ref="A1803">IFNA(index(PlayerValues!A:A,match(IFNA(vlookup(B1803,'Special Names'!A:B,2,FALSE),B1803),PlayerValues!E:E,0)),"N/A")</f>
        <v>14105</v>
      </c>
      <c r="B1803" s="4" t="s">
        <v>675</v>
      </c>
      <c r="C1803" s="4" t="s">
        <v>287</v>
      </c>
      <c r="D1803" s="94">
        <v>1800.0</v>
      </c>
    </row>
    <row r="1804">
      <c r="A1804" s="40">
        <f t="array" ref="A1804">IFNA(index(PlayerValues!A:A,match(IFNA(vlookup(B1804,'Special Names'!A:B,2,FALSE),B1804),PlayerValues!E:E,0)),"N/A")</f>
        <v>7836</v>
      </c>
      <c r="B1804" s="4" t="s">
        <v>590</v>
      </c>
      <c r="C1804" s="4" t="s">
        <v>283</v>
      </c>
      <c r="D1804" s="94">
        <v>1794.0</v>
      </c>
    </row>
    <row r="1805">
      <c r="A1805" s="40">
        <f t="array" ref="A1805">IFNA(index(PlayerValues!A:A,match(IFNA(vlookup(B1805,'Special Names'!A:B,2,FALSE),B1805),PlayerValues!E:E,0)),"N/A")</f>
        <v>16201</v>
      </c>
      <c r="B1805" s="4" t="s">
        <v>589</v>
      </c>
      <c r="C1805" s="4" t="s">
        <v>287</v>
      </c>
      <c r="D1805" s="94">
        <v>1781.0</v>
      </c>
    </row>
    <row r="1806">
      <c r="A1806" s="40">
        <f t="array" ref="A1806">IFNA(index(PlayerValues!A:A,match(IFNA(vlookup(B1806,'Special Names'!A:B,2,FALSE),B1806),PlayerValues!E:E,0)),"N/A")</f>
        <v>17465</v>
      </c>
      <c r="B1806" s="4" t="s">
        <v>649</v>
      </c>
      <c r="C1806" s="4" t="s">
        <v>283</v>
      </c>
      <c r="D1806" s="94">
        <v>1768.0</v>
      </c>
    </row>
    <row r="1807">
      <c r="A1807" s="40">
        <f t="array" ref="A1807">IFNA(index(PlayerValues!A:A,match(IFNA(vlookup(B1807,'Special Names'!A:B,2,FALSE),B1807),PlayerValues!E:E,0)),"N/A")</f>
        <v>14143</v>
      </c>
      <c r="B1807" s="4" t="s">
        <v>635</v>
      </c>
      <c r="C1807" s="4" t="s">
        <v>298</v>
      </c>
      <c r="D1807" s="94">
        <v>2146.0</v>
      </c>
    </row>
    <row r="1808">
      <c r="A1808" s="40">
        <f t="array" ref="A1808">IFNA(index(PlayerValues!A:A,match(IFNA(vlookup(B1808,'Special Names'!A:B,2,FALSE),B1808),PlayerValues!E:E,0)),"N/A")</f>
        <v>17096</v>
      </c>
      <c r="B1808" s="4" t="s">
        <v>638</v>
      </c>
      <c r="C1808" s="4" t="s">
        <v>287</v>
      </c>
      <c r="D1808" s="94">
        <v>1759.0</v>
      </c>
    </row>
    <row r="1809">
      <c r="A1809" s="40">
        <f t="array" ref="A1809">IFNA(index(PlayerValues!A:A,match(IFNA(vlookup(B1809,'Special Names'!A:B,2,FALSE),B1809),PlayerValues!E:E,0)),"N/A")</f>
        <v>16778</v>
      </c>
      <c r="B1809" s="4" t="s">
        <v>577</v>
      </c>
      <c r="C1809" s="4" t="s">
        <v>287</v>
      </c>
      <c r="D1809" s="94">
        <v>1752.0</v>
      </c>
    </row>
    <row r="1810">
      <c r="A1810" s="40">
        <f t="array" ref="A1810">IFNA(index(PlayerValues!A:A,match(IFNA(vlookup(B1810,'Special Names'!A:B,2,FALSE),B1810),PlayerValues!E:E,0)),"N/A")</f>
        <v>17520</v>
      </c>
      <c r="B1810" s="4" t="s">
        <v>518</v>
      </c>
      <c r="C1810" s="4" t="s">
        <v>287</v>
      </c>
      <c r="D1810" s="94">
        <v>1739.0</v>
      </c>
    </row>
    <row r="1811">
      <c r="A1811" s="40">
        <f t="array" ref="A1811">IFNA(index(PlayerValues!A:A,match(IFNA(vlookup(B1811,'Special Names'!A:B,2,FALSE),B1811),PlayerValues!E:E,0)),"N/A")</f>
        <v>16635</v>
      </c>
      <c r="B1811" s="4" t="s">
        <v>645</v>
      </c>
      <c r="C1811" s="4" t="s">
        <v>287</v>
      </c>
      <c r="D1811" s="94">
        <v>1734.0</v>
      </c>
    </row>
    <row r="1812">
      <c r="A1812" s="40">
        <f t="array" ref="A1812">IFNA(index(PlayerValues!A:A,match(IFNA(vlookup(B1812,'Special Names'!A:B,2,FALSE),B1812),PlayerValues!E:E,0)),"N/A")</f>
        <v>15755</v>
      </c>
      <c r="B1812" s="4" t="s">
        <v>628</v>
      </c>
      <c r="C1812" s="4" t="s">
        <v>287</v>
      </c>
      <c r="D1812" s="94">
        <v>1729.0</v>
      </c>
    </row>
    <row r="1813">
      <c r="A1813" s="40" t="str">
        <f t="array" ref="A1813">IFNA(index(PlayerValues!A:A,match(IFNA(vlookup(B1813,'Special Names'!A:B,2,FALSE),B1813),PlayerValues!E:E,0)),"N/A")</f>
        <v>N/A</v>
      </c>
      <c r="B1813" s="4" t="s">
        <v>89</v>
      </c>
      <c r="C1813" s="4" t="s">
        <v>325</v>
      </c>
      <c r="D1813" s="94">
        <v>1720.0</v>
      </c>
    </row>
    <row r="1814">
      <c r="A1814" s="40">
        <f t="array" ref="A1814">IFNA(index(PlayerValues!A:A,match(IFNA(vlookup(B1814,'Special Names'!A:B,2,FALSE),B1814),PlayerValues!E:E,0)),"N/A")</f>
        <v>16586</v>
      </c>
      <c r="B1814" s="4" t="s">
        <v>658</v>
      </c>
      <c r="C1814" s="4" t="s">
        <v>283</v>
      </c>
      <c r="D1814" s="94">
        <v>1717.0</v>
      </c>
    </row>
    <row r="1815">
      <c r="A1815" s="40">
        <f t="array" ref="A1815">IFNA(index(PlayerValues!A:A,match(IFNA(vlookup(B1815,'Special Names'!A:B,2,FALSE),B1815),PlayerValues!E:E,0)),"N/A")</f>
        <v>15301</v>
      </c>
      <c r="B1815" s="4" t="s">
        <v>657</v>
      </c>
      <c r="C1815" s="4" t="s">
        <v>287</v>
      </c>
      <c r="D1815" s="94">
        <v>1709.0</v>
      </c>
    </row>
    <row r="1816">
      <c r="A1816" s="40">
        <f t="array" ref="A1816">IFNA(index(PlayerValues!A:A,match(IFNA(vlookup(B1816,'Special Names'!A:B,2,FALSE),B1816),PlayerValues!E:E,0)),"N/A")</f>
        <v>15797</v>
      </c>
      <c r="B1816" s="4" t="s">
        <v>556</v>
      </c>
      <c r="C1816" s="4" t="s">
        <v>298</v>
      </c>
      <c r="D1816" s="94">
        <v>2087.0</v>
      </c>
    </row>
    <row r="1817">
      <c r="A1817" s="40" t="str">
        <f t="array" ref="A1817">IFNA(index(PlayerValues!A:A,match(IFNA(vlookup(B1817,'Special Names'!A:B,2,FALSE),B1817),PlayerValues!E:E,0)),"N/A")</f>
        <v>N/A</v>
      </c>
      <c r="B1817" s="4" t="s">
        <v>102</v>
      </c>
      <c r="C1817" s="4" t="s">
        <v>325</v>
      </c>
      <c r="D1817" s="94">
        <v>1689.0</v>
      </c>
    </row>
    <row r="1818">
      <c r="A1818" s="40">
        <f t="array" ref="A1818">IFNA(index(PlayerValues!A:A,match(IFNA(vlookup(B1818,'Special Names'!A:B,2,FALSE),B1818),PlayerValues!E:E,0)),"N/A")</f>
        <v>16585</v>
      </c>
      <c r="B1818" s="4" t="s">
        <v>623</v>
      </c>
      <c r="C1818" s="4" t="s">
        <v>283</v>
      </c>
      <c r="D1818" s="94">
        <v>1687.0</v>
      </c>
    </row>
    <row r="1819">
      <c r="A1819" s="40" t="str">
        <f t="array" ref="A1819">IFNA(index(PlayerValues!A:A,match(IFNA(vlookup(B1819,'Special Names'!A:B,2,FALSE),B1819),PlayerValues!E:E,0)),"N/A")</f>
        <v>N/A</v>
      </c>
      <c r="B1819" s="4" t="s">
        <v>115</v>
      </c>
      <c r="C1819" s="4" t="s">
        <v>325</v>
      </c>
      <c r="D1819" s="94">
        <v>1672.0</v>
      </c>
    </row>
    <row r="1820">
      <c r="A1820" s="40">
        <f t="array" ref="A1820">IFNA(index(PlayerValues!A:A,match(IFNA(vlookup(B1820,'Special Names'!A:B,2,FALSE),B1820),PlayerValues!E:E,0)),"N/A")</f>
        <v>17064</v>
      </c>
      <c r="B1820" s="4" t="s">
        <v>631</v>
      </c>
      <c r="C1820" s="4" t="s">
        <v>278</v>
      </c>
      <c r="D1820" s="94">
        <v>1671.0</v>
      </c>
    </row>
    <row r="1821">
      <c r="A1821" s="40" t="str">
        <f t="array" ref="A1821">IFNA(index(PlayerValues!A:A,match(IFNA(vlookup(B1821,'Special Names'!A:B,2,FALSE),B1821),PlayerValues!E:E,0)),"N/A")</f>
        <v>N/A</v>
      </c>
      <c r="B1821" s="4" t="s">
        <v>103</v>
      </c>
      <c r="C1821" s="4" t="s">
        <v>325</v>
      </c>
      <c r="D1821" s="94">
        <v>1669.0</v>
      </c>
    </row>
    <row r="1822">
      <c r="A1822" s="40">
        <f t="array" ref="A1822">IFNA(index(PlayerValues!A:A,match(IFNA(vlookup(B1822,'Special Names'!A:B,2,FALSE),B1822),PlayerValues!E:E,0)),"N/A")</f>
        <v>16629</v>
      </c>
      <c r="B1822" s="4" t="s">
        <v>605</v>
      </c>
      <c r="C1822" s="4" t="s">
        <v>287</v>
      </c>
      <c r="D1822" s="94">
        <v>1667.0</v>
      </c>
    </row>
    <row r="1823">
      <c r="A1823" s="40">
        <f t="array" ref="A1823">IFNA(index(PlayerValues!A:A,match(IFNA(vlookup(B1823,'Special Names'!A:B,2,FALSE),B1823),PlayerValues!E:E,0)),"N/A")</f>
        <v>16788</v>
      </c>
      <c r="B1823" s="4" t="s">
        <v>621</v>
      </c>
      <c r="C1823" s="4" t="s">
        <v>287</v>
      </c>
      <c r="D1823" s="94">
        <v>1656.0</v>
      </c>
    </row>
    <row r="1824">
      <c r="A1824" s="40">
        <f t="array" ref="A1824">IFNA(index(PlayerValues!A:A,match(IFNA(vlookup(B1824,'Special Names'!A:B,2,FALSE),B1824),PlayerValues!E:E,0)),"N/A")</f>
        <v>16601</v>
      </c>
      <c r="B1824" s="4" t="s">
        <v>648</v>
      </c>
      <c r="C1824" s="4" t="s">
        <v>278</v>
      </c>
      <c r="D1824" s="94">
        <v>1652.0</v>
      </c>
    </row>
    <row r="1825">
      <c r="A1825" s="40">
        <f t="array" ref="A1825">IFNA(index(PlayerValues!A:A,match(IFNA(vlookup(B1825,'Special Names'!A:B,2,FALSE),B1825),PlayerValues!E:E,0)),"N/A")</f>
        <v>16207</v>
      </c>
      <c r="B1825" s="4" t="s">
        <v>636</v>
      </c>
      <c r="C1825" s="4" t="s">
        <v>287</v>
      </c>
      <c r="D1825" s="94">
        <v>1650.0</v>
      </c>
    </row>
    <row r="1826">
      <c r="A1826" s="40">
        <f t="array" ref="A1826">IFNA(index(PlayerValues!A:A,match(IFNA(vlookup(B1826,'Special Names'!A:B,2,FALSE),B1826),PlayerValues!E:E,0)),"N/A")</f>
        <v>17058</v>
      </c>
      <c r="B1826" s="4" t="s">
        <v>641</v>
      </c>
      <c r="C1826" s="4" t="s">
        <v>278</v>
      </c>
      <c r="D1826" s="94">
        <v>1649.0</v>
      </c>
    </row>
    <row r="1827">
      <c r="A1827" s="40">
        <f t="array" ref="A1827">IFNA(index(PlayerValues!A:A,match(IFNA(vlookup(B1827,'Special Names'!A:B,2,FALSE),B1827),PlayerValues!E:E,0)),"N/A")</f>
        <v>15759</v>
      </c>
      <c r="B1827" s="4" t="s">
        <v>662</v>
      </c>
      <c r="C1827" s="4" t="s">
        <v>287</v>
      </c>
      <c r="D1827" s="94">
        <v>1641.0</v>
      </c>
    </row>
    <row r="1828">
      <c r="A1828" s="40">
        <f t="array" ref="A1828">IFNA(index(PlayerValues!A:A,match(IFNA(vlookup(B1828,'Special Names'!A:B,2,FALSE),B1828),PlayerValues!E:E,0)),"N/A")</f>
        <v>15319</v>
      </c>
      <c r="B1828" s="4" t="s">
        <v>644</v>
      </c>
      <c r="C1828" s="4" t="s">
        <v>287</v>
      </c>
      <c r="D1828" s="94">
        <v>1637.0</v>
      </c>
    </row>
    <row r="1829">
      <c r="A1829" s="40">
        <f t="array" ref="A1829">IFNA(index(PlayerValues!A:A,match(IFNA(vlookup(B1829,'Special Names'!A:B,2,FALSE),B1829),PlayerValues!E:E,0)),"N/A")</f>
        <v>16595</v>
      </c>
      <c r="B1829" s="4" t="s">
        <v>664</v>
      </c>
      <c r="C1829" s="4" t="s">
        <v>278</v>
      </c>
      <c r="D1829" s="94">
        <v>1634.0</v>
      </c>
    </row>
    <row r="1830">
      <c r="A1830" s="40">
        <f t="array" ref="A1830">IFNA(index(PlayerValues!A:A,match(IFNA(vlookup(B1830,'Special Names'!A:B,2,FALSE),B1830),PlayerValues!E:E,0)),"N/A")</f>
        <v>15337</v>
      </c>
      <c r="B1830" s="4" t="s">
        <v>655</v>
      </c>
      <c r="C1830" s="4" t="s">
        <v>298</v>
      </c>
      <c r="D1830" s="94">
        <v>2000.0</v>
      </c>
    </row>
    <row r="1831">
      <c r="A1831" s="40" t="str">
        <f t="array" ref="A1831">IFNA(index(PlayerValues!A:A,match(IFNA(vlookup(B1831,'Special Names'!A:B,2,FALSE),B1831),PlayerValues!E:E,0)),"N/A")</f>
        <v>N/A</v>
      </c>
      <c r="B1831" s="4" t="s">
        <v>90</v>
      </c>
      <c r="C1831" s="4" t="s">
        <v>325</v>
      </c>
      <c r="D1831" s="94">
        <v>1600.0</v>
      </c>
    </row>
    <row r="1832">
      <c r="A1832" s="40">
        <f t="array" ref="A1832">IFNA(index(PlayerValues!A:A,match(IFNA(vlookup(B1832,'Special Names'!A:B,2,FALSE),B1832),PlayerValues!E:E,0)),"N/A")</f>
        <v>17205</v>
      </c>
      <c r="B1832" s="4" t="s">
        <v>665</v>
      </c>
      <c r="C1832" s="4" t="s">
        <v>287</v>
      </c>
      <c r="D1832" s="94">
        <v>1590.0</v>
      </c>
    </row>
    <row r="1833">
      <c r="A1833" s="40">
        <f t="array" ref="A1833">IFNA(index(PlayerValues!A:A,match(IFNA(vlookup(B1833,'Special Names'!A:B,2,FALSE),B1833),PlayerValues!E:E,0)),"N/A")</f>
        <v>15752</v>
      </c>
      <c r="B1833" s="4" t="s">
        <v>647</v>
      </c>
      <c r="C1833" s="4" t="s">
        <v>287</v>
      </c>
      <c r="D1833" s="94">
        <v>1588.0</v>
      </c>
    </row>
    <row r="1834">
      <c r="A1834" s="40">
        <f t="array" ref="A1834">IFNA(index(PlayerValues!A:A,match(IFNA(vlookup(B1834,'Special Names'!A:B,2,FALSE),B1834),PlayerValues!E:E,0)),"N/A")</f>
        <v>16175</v>
      </c>
      <c r="B1834" s="4" t="s">
        <v>654</v>
      </c>
      <c r="C1834" s="4" t="s">
        <v>278</v>
      </c>
      <c r="D1834" s="94">
        <v>1585.0</v>
      </c>
    </row>
    <row r="1835">
      <c r="A1835" s="40">
        <f t="array" ref="A1835">IFNA(index(PlayerValues!A:A,match(IFNA(vlookup(B1835,'Special Names'!A:B,2,FALSE),B1835),PlayerValues!E:E,0)),"N/A")</f>
        <v>17234</v>
      </c>
      <c r="B1835" s="4" t="s">
        <v>653</v>
      </c>
      <c r="C1835" s="4" t="s">
        <v>287</v>
      </c>
      <c r="D1835" s="94">
        <v>1581.0</v>
      </c>
    </row>
    <row r="1836">
      <c r="A1836" s="40">
        <f t="array" ref="A1836">IFNA(index(PlayerValues!A:A,match(IFNA(vlookup(B1836,'Special Names'!A:B,2,FALSE),B1836),PlayerValues!E:E,0)),"N/A")</f>
        <v>16633</v>
      </c>
      <c r="B1836" s="4" t="s">
        <v>656</v>
      </c>
      <c r="C1836" s="4" t="s">
        <v>287</v>
      </c>
      <c r="D1836" s="94">
        <v>1580.0</v>
      </c>
    </row>
    <row r="1837">
      <c r="A1837" s="40">
        <f t="array" ref="A1837">IFNA(index(PlayerValues!A:A,match(IFNA(vlookup(B1837,'Special Names'!A:B,2,FALSE),B1837),PlayerValues!E:E,0)),"N/A")</f>
        <v>16688</v>
      </c>
      <c r="B1837" s="4" t="s">
        <v>688</v>
      </c>
      <c r="C1837" s="4" t="s">
        <v>278</v>
      </c>
      <c r="D1837" s="94">
        <v>1570.0</v>
      </c>
    </row>
    <row r="1838">
      <c r="A1838" s="40">
        <f t="array" ref="A1838">IFNA(index(PlayerValues!A:A,match(IFNA(vlookup(B1838,'Special Names'!A:B,2,FALSE),B1838),PlayerValues!E:E,0)),"N/A")</f>
        <v>11222</v>
      </c>
      <c r="B1838" s="4" t="s">
        <v>622</v>
      </c>
      <c r="C1838" s="4" t="s">
        <v>287</v>
      </c>
      <c r="D1838" s="94">
        <v>1566.0</v>
      </c>
    </row>
    <row r="1839">
      <c r="A1839" s="40">
        <f t="array" ref="A1839">IFNA(index(PlayerValues!A:A,match(IFNA(vlookup(B1839,'Special Names'!A:B,2,FALSE),B1839),PlayerValues!E:E,0)),"N/A")</f>
        <v>15777</v>
      </c>
      <c r="B1839" s="4" t="s">
        <v>694</v>
      </c>
      <c r="C1839" s="4" t="s">
        <v>287</v>
      </c>
      <c r="D1839" s="94">
        <v>1550.0</v>
      </c>
    </row>
    <row r="1840">
      <c r="A1840" s="40">
        <f t="array" ref="A1840">IFNA(index(PlayerValues!A:A,match(IFNA(vlookup(B1840,'Special Names'!A:B,2,FALSE),B1840),PlayerValues!E:E,0)),"N/A")</f>
        <v>15713</v>
      </c>
      <c r="B1840" s="4" t="s">
        <v>732</v>
      </c>
      <c r="C1840" s="4" t="s">
        <v>278</v>
      </c>
      <c r="D1840" s="94">
        <v>1548.0</v>
      </c>
    </row>
    <row r="1841">
      <c r="A1841" s="40">
        <f t="array" ref="A1841">IFNA(index(PlayerValues!A:A,match(IFNA(vlookup(B1841,'Special Names'!A:B,2,FALSE),B1841),PlayerValues!E:E,0)),"N/A")</f>
        <v>16149</v>
      </c>
      <c r="B1841" s="4" t="s">
        <v>740</v>
      </c>
      <c r="C1841" s="4" t="s">
        <v>283</v>
      </c>
      <c r="D1841" s="94">
        <v>1542.0</v>
      </c>
    </row>
    <row r="1842">
      <c r="A1842" s="40">
        <f t="array" ref="A1842">IFNA(index(PlayerValues!A:A,match(IFNA(vlookup(B1842,'Special Names'!A:B,2,FALSE),B1842),PlayerValues!E:E,0)),"N/A")</f>
        <v>16792</v>
      </c>
      <c r="B1842" s="4" t="s">
        <v>704</v>
      </c>
      <c r="C1842" s="4" t="s">
        <v>287</v>
      </c>
      <c r="D1842" s="94">
        <v>1536.0</v>
      </c>
    </row>
    <row r="1843">
      <c r="A1843" s="40">
        <f t="array" ref="A1843">IFNA(index(PlayerValues!A:A,match(IFNA(vlookup(B1843,'Special Names'!A:B,2,FALSE),B1843),PlayerValues!E:E,0)),"N/A")</f>
        <v>14122</v>
      </c>
      <c r="B1843" s="4" t="s">
        <v>663</v>
      </c>
      <c r="C1843" s="4" t="s">
        <v>287</v>
      </c>
      <c r="D1843" s="94">
        <v>1526.0</v>
      </c>
    </row>
    <row r="1844">
      <c r="A1844" s="40" t="str">
        <f t="array" ref="A1844">IFNA(index(PlayerValues!A:A,match(IFNA(vlookup(B1844,'Special Names'!A:B,2,FALSE),B1844),PlayerValues!E:E,0)),"N/A")</f>
        <v>N/A</v>
      </c>
      <c r="B1844" s="4" t="s">
        <v>116</v>
      </c>
      <c r="C1844" s="4" t="s">
        <v>325</v>
      </c>
      <c r="D1844" s="94">
        <v>1521.0</v>
      </c>
    </row>
    <row r="1845">
      <c r="A1845" s="40" t="str">
        <f t="array" ref="A1845">IFNA(index(PlayerValues!A:A,match(IFNA(vlookup(B1845,'Special Names'!A:B,2,FALSE),B1845),PlayerValues!E:E,0)),"N/A")</f>
        <v>N/A</v>
      </c>
      <c r="B1845" s="4" t="s">
        <v>91</v>
      </c>
      <c r="C1845" s="4" t="s">
        <v>325</v>
      </c>
      <c r="D1845" s="94">
        <v>1518.0</v>
      </c>
    </row>
    <row r="1846">
      <c r="A1846" s="40">
        <f t="array" ref="A1846">IFNA(index(PlayerValues!A:A,match(IFNA(vlookup(B1846,'Special Names'!A:B,2,FALSE),B1846),PlayerValues!E:E,0)),"N/A")</f>
        <v>17467</v>
      </c>
      <c r="B1846" s="4" t="s">
        <v>575</v>
      </c>
      <c r="C1846" s="4" t="s">
        <v>283</v>
      </c>
      <c r="D1846" s="94">
        <v>1516.0</v>
      </c>
    </row>
    <row r="1847">
      <c r="A1847" s="40">
        <f t="array" ref="A1847">IFNA(index(PlayerValues!A:A,match(IFNA(vlookup(B1847,'Special Names'!A:B,2,FALSE),B1847),PlayerValues!E:E,0)),"N/A")</f>
        <v>15873</v>
      </c>
      <c r="B1847" s="4" t="s">
        <v>681</v>
      </c>
      <c r="C1847" s="4" t="s">
        <v>298</v>
      </c>
      <c r="D1847" s="94">
        <v>1871.0</v>
      </c>
    </row>
    <row r="1848">
      <c r="A1848" s="40">
        <f t="array" ref="A1848">IFNA(index(PlayerValues!A:A,match(IFNA(vlookup(B1848,'Special Names'!A:B,2,FALSE),B1848),PlayerValues!E:E,0)),"N/A")</f>
        <v>16390</v>
      </c>
      <c r="B1848" s="4" t="s">
        <v>689</v>
      </c>
      <c r="C1848" s="4" t="s">
        <v>278</v>
      </c>
      <c r="D1848" s="94">
        <v>1497.0</v>
      </c>
    </row>
    <row r="1849">
      <c r="A1849" s="40">
        <f t="array" ref="A1849">IFNA(index(PlayerValues!A:A,match(IFNA(vlookup(B1849,'Special Names'!A:B,2,FALSE),B1849),PlayerValues!E:E,0)),"N/A")</f>
        <v>17037</v>
      </c>
      <c r="B1849" s="4" t="s">
        <v>727</v>
      </c>
      <c r="C1849" s="4" t="s">
        <v>283</v>
      </c>
      <c r="D1849" s="94">
        <v>1497.0</v>
      </c>
    </row>
    <row r="1850">
      <c r="A1850" s="40">
        <f t="array" ref="A1850">IFNA(index(PlayerValues!A:A,match(IFNA(vlookup(B1850,'Special Names'!A:B,2,FALSE),B1850),PlayerValues!E:E,0)),"N/A")</f>
        <v>16631</v>
      </c>
      <c r="B1850" s="4" t="s">
        <v>800</v>
      </c>
      <c r="C1850" s="4" t="s">
        <v>287</v>
      </c>
      <c r="D1850" s="94">
        <v>1487.0</v>
      </c>
    </row>
    <row r="1851">
      <c r="A1851" s="40">
        <f t="array" ref="A1851">IFNA(index(PlayerValues!A:A,match(IFNA(vlookup(B1851,'Special Names'!A:B,2,FALSE),B1851),PlayerValues!E:E,0)),"N/A")</f>
        <v>12140</v>
      </c>
      <c r="B1851" s="4" t="s">
        <v>702</v>
      </c>
      <c r="C1851" s="4" t="s">
        <v>283</v>
      </c>
      <c r="D1851" s="94">
        <v>1485.0</v>
      </c>
    </row>
    <row r="1852">
      <c r="A1852" s="40">
        <f t="array" ref="A1852">IFNA(index(PlayerValues!A:A,match(IFNA(vlookup(B1852,'Special Names'!A:B,2,FALSE),B1852),PlayerValues!E:E,0)),"N/A")</f>
        <v>17528</v>
      </c>
      <c r="B1852" s="4" t="s">
        <v>579</v>
      </c>
      <c r="C1852" s="4" t="s">
        <v>287</v>
      </c>
      <c r="D1852" s="94">
        <v>1482.0</v>
      </c>
    </row>
    <row r="1853">
      <c r="A1853" s="40">
        <f t="array" ref="A1853">IFNA(index(PlayerValues!A:A,match(IFNA(vlookup(B1853,'Special Names'!A:B,2,FALSE),B1853),PlayerValues!E:E,0)),"N/A")</f>
        <v>15252</v>
      </c>
      <c r="B1853" s="4" t="s">
        <v>715</v>
      </c>
      <c r="C1853" s="4" t="s">
        <v>283</v>
      </c>
      <c r="D1853" s="94">
        <v>1481.0</v>
      </c>
    </row>
    <row r="1854">
      <c r="A1854" s="40">
        <f t="array" ref="A1854">IFNA(index(PlayerValues!A:A,match(IFNA(vlookup(B1854,'Special Names'!A:B,2,FALSE),B1854),PlayerValues!E:E,0)),"N/A")</f>
        <v>16384</v>
      </c>
      <c r="B1854" s="4" t="s">
        <v>696</v>
      </c>
      <c r="C1854" s="4" t="s">
        <v>283</v>
      </c>
      <c r="D1854" s="94">
        <v>1465.0</v>
      </c>
    </row>
    <row r="1855">
      <c r="A1855" s="40">
        <f t="array" ref="A1855">IFNA(index(PlayerValues!A:A,match(IFNA(vlookup(B1855,'Special Names'!A:B,2,FALSE),B1855),PlayerValues!E:E,0)),"N/A")</f>
        <v>13418</v>
      </c>
      <c r="B1855" s="4" t="s">
        <v>706</v>
      </c>
      <c r="C1855" s="4" t="s">
        <v>287</v>
      </c>
      <c r="D1855" s="94">
        <v>1442.0</v>
      </c>
    </row>
    <row r="1856">
      <c r="A1856" s="40">
        <f t="array" ref="A1856">IFNA(index(PlayerValues!A:A,match(IFNA(vlookup(B1856,'Special Names'!A:B,2,FALSE),B1856),PlayerValues!E:E,0)),"N/A")</f>
        <v>17254</v>
      </c>
      <c r="B1856" s="4" t="s">
        <v>679</v>
      </c>
      <c r="C1856" s="4" t="s">
        <v>287</v>
      </c>
      <c r="D1856" s="94">
        <v>1435.0</v>
      </c>
    </row>
    <row r="1857">
      <c r="A1857" s="40">
        <f t="array" ref="A1857">IFNA(index(PlayerValues!A:A,match(IFNA(vlookup(B1857,'Special Names'!A:B,2,FALSE),B1857),PlayerValues!E:E,0)),"N/A")</f>
        <v>16642</v>
      </c>
      <c r="B1857" s="4" t="s">
        <v>691</v>
      </c>
      <c r="C1857" s="4" t="s">
        <v>298</v>
      </c>
      <c r="D1857" s="94">
        <v>1788.0</v>
      </c>
    </row>
    <row r="1858">
      <c r="A1858" s="40">
        <f t="array" ref="A1858">IFNA(index(PlayerValues!A:A,match(IFNA(vlookup(B1858,'Special Names'!A:B,2,FALSE),B1858),PlayerValues!E:E,0)),"N/A")</f>
        <v>12141</v>
      </c>
      <c r="B1858" s="4" t="s">
        <v>744</v>
      </c>
      <c r="C1858" s="4" t="s">
        <v>283</v>
      </c>
      <c r="D1858" s="94">
        <v>1417.0</v>
      </c>
    </row>
    <row r="1859">
      <c r="A1859" s="40">
        <f t="array" ref="A1859">IFNA(index(PlayerValues!A:A,match(IFNA(vlookup(B1859,'Special Names'!A:B,2,FALSE),B1859),PlayerValues!E:E,0)),"N/A")</f>
        <v>15292</v>
      </c>
      <c r="B1859" s="4" t="s">
        <v>682</v>
      </c>
      <c r="C1859" s="4" t="s">
        <v>287</v>
      </c>
      <c r="D1859" s="94">
        <v>1412.0</v>
      </c>
    </row>
    <row r="1860">
      <c r="A1860" s="40">
        <f t="array" ref="A1860">IFNA(index(PlayerValues!A:A,match(IFNA(vlookup(B1860,'Special Names'!A:B,2,FALSE),B1860),PlayerValues!E:E,0)),"N/A")</f>
        <v>12678</v>
      </c>
      <c r="B1860" s="4" t="s">
        <v>703</v>
      </c>
      <c r="C1860" s="4" t="s">
        <v>298</v>
      </c>
      <c r="D1860" s="94">
        <v>1781.0</v>
      </c>
    </row>
    <row r="1861">
      <c r="A1861" s="40">
        <f t="array" ref="A1861">IFNA(index(PlayerValues!A:A,match(IFNA(vlookup(B1861,'Special Names'!A:B,2,FALSE),B1861),PlayerValues!E:E,0)),"N/A")</f>
        <v>14137</v>
      </c>
      <c r="B1861" s="4" t="s">
        <v>676</v>
      </c>
      <c r="C1861" s="4" t="s">
        <v>298</v>
      </c>
      <c r="D1861" s="94">
        <v>1773.0</v>
      </c>
    </row>
    <row r="1862">
      <c r="A1862" s="40">
        <f t="array" ref="A1862">IFNA(index(PlayerValues!A:A,match(IFNA(vlookup(B1862,'Special Names'!A:B,2,FALSE),B1862),PlayerValues!E:E,0)),"N/A")</f>
        <v>17269</v>
      </c>
      <c r="B1862" s="4" t="s">
        <v>718</v>
      </c>
      <c r="C1862" s="4" t="s">
        <v>287</v>
      </c>
      <c r="D1862" s="94">
        <v>1401.0</v>
      </c>
    </row>
    <row r="1863">
      <c r="A1863" s="40">
        <f t="array" ref="A1863">IFNA(index(PlayerValues!A:A,match(IFNA(vlookup(B1863,'Special Names'!A:B,2,FALSE),B1863),PlayerValues!E:E,0)),"N/A")</f>
        <v>14080</v>
      </c>
      <c r="B1863" s="4" t="s">
        <v>716</v>
      </c>
      <c r="C1863" s="4" t="s">
        <v>278</v>
      </c>
      <c r="D1863" s="94">
        <v>1396.0</v>
      </c>
    </row>
    <row r="1864">
      <c r="A1864" s="40">
        <f t="array" ref="A1864">IFNA(index(PlayerValues!A:A,match(IFNA(vlookup(B1864,'Special Names'!A:B,2,FALSE),B1864),PlayerValues!E:E,0)),"N/A")</f>
        <v>16621</v>
      </c>
      <c r="B1864" s="4" t="s">
        <v>672</v>
      </c>
      <c r="C1864" s="4" t="s">
        <v>287</v>
      </c>
      <c r="D1864" s="94">
        <v>1395.0</v>
      </c>
    </row>
    <row r="1865">
      <c r="A1865" s="40">
        <f t="array" ref="A1865">IFNA(index(PlayerValues!A:A,match(IFNA(vlookup(B1865,'Special Names'!A:B,2,FALSE),B1865),PlayerValues!E:E,0)),"N/A")</f>
        <v>17481</v>
      </c>
      <c r="B1865" s="4" t="s">
        <v>540</v>
      </c>
      <c r="C1865" s="4" t="s">
        <v>278</v>
      </c>
      <c r="D1865" s="94">
        <v>1393.0</v>
      </c>
    </row>
    <row r="1866">
      <c r="A1866" s="40">
        <f t="array" ref="A1866">IFNA(index(PlayerValues!A:A,match(IFNA(vlookup(B1866,'Special Names'!A:B,2,FALSE),B1866),PlayerValues!E:E,0)),"N/A")</f>
        <v>17062</v>
      </c>
      <c r="B1866" s="4" t="s">
        <v>701</v>
      </c>
      <c r="C1866" s="4" t="s">
        <v>278</v>
      </c>
      <c r="D1866" s="94">
        <v>1388.0</v>
      </c>
    </row>
    <row r="1867">
      <c r="A1867" s="40">
        <f t="array" ref="A1867">IFNA(index(PlayerValues!A:A,match(IFNA(vlookup(B1867,'Special Names'!A:B,2,FALSE),B1867),PlayerValues!E:E,0)),"N/A")</f>
        <v>17054</v>
      </c>
      <c r="B1867" s="4" t="s">
        <v>670</v>
      </c>
      <c r="C1867" s="4" t="s">
        <v>278</v>
      </c>
      <c r="D1867" s="94">
        <v>1373.0</v>
      </c>
    </row>
    <row r="1868">
      <c r="A1868" s="40">
        <f t="array" ref="A1868">IFNA(index(PlayerValues!A:A,match(IFNA(vlookup(B1868,'Special Names'!A:B,2,FALSE),B1868),PlayerValues!E:E,0)),"N/A")</f>
        <v>13672</v>
      </c>
      <c r="B1868" s="4" t="s">
        <v>667</v>
      </c>
      <c r="C1868" s="4" t="s">
        <v>298</v>
      </c>
      <c r="D1868" s="94">
        <v>1724.0</v>
      </c>
    </row>
    <row r="1869">
      <c r="A1869" s="40">
        <f t="array" ref="A1869">IFNA(index(PlayerValues!A:A,match(IFNA(vlookup(B1869,'Special Names'!A:B,2,FALSE),B1869),PlayerValues!E:E,0)),"N/A")</f>
        <v>17077</v>
      </c>
      <c r="B1869" s="4" t="s">
        <v>714</v>
      </c>
      <c r="C1869" s="4" t="s">
        <v>287</v>
      </c>
      <c r="D1869" s="94">
        <v>1352.0</v>
      </c>
    </row>
    <row r="1870">
      <c r="A1870" s="40">
        <f t="array" ref="A1870">IFNA(index(PlayerValues!A:A,match(IFNA(vlookup(B1870,'Special Names'!A:B,2,FALSE),B1870),PlayerValues!E:E,0)),"N/A")</f>
        <v>17514</v>
      </c>
      <c r="B1870" s="4" t="s">
        <v>422</v>
      </c>
      <c r="C1870" s="4" t="s">
        <v>287</v>
      </c>
      <c r="D1870" s="94">
        <v>1347.0</v>
      </c>
    </row>
    <row r="1871">
      <c r="A1871" s="40">
        <f t="array" ref="A1871">IFNA(index(PlayerValues!A:A,match(IFNA(vlookup(B1871,'Special Names'!A:B,2,FALSE),B1871),PlayerValues!E:E,0)),"N/A")</f>
        <v>15332</v>
      </c>
      <c r="B1871" s="4" t="s">
        <v>698</v>
      </c>
      <c r="C1871" s="4" t="s">
        <v>298</v>
      </c>
      <c r="D1871" s="94">
        <v>1711.0</v>
      </c>
    </row>
    <row r="1872">
      <c r="A1872" s="40">
        <f t="array" ref="A1872">IFNA(index(PlayerValues!A:A,match(IFNA(vlookup(B1872,'Special Names'!A:B,2,FALSE),B1872),PlayerValues!E:E,0)),"N/A")</f>
        <v>14086</v>
      </c>
      <c r="B1872" s="4" t="s">
        <v>639</v>
      </c>
      <c r="C1872" s="4" t="s">
        <v>278</v>
      </c>
      <c r="D1872" s="94">
        <v>1336.0</v>
      </c>
    </row>
    <row r="1873">
      <c r="A1873" s="40">
        <f t="array" ref="A1873">IFNA(index(PlayerValues!A:A,match(IFNA(vlookup(B1873,'Special Names'!A:B,2,FALSE),B1873),PlayerValues!E:E,0)),"N/A")</f>
        <v>16608</v>
      </c>
      <c r="B1873" s="4" t="s">
        <v>629</v>
      </c>
      <c r="C1873" s="4" t="s">
        <v>278</v>
      </c>
      <c r="D1873" s="94">
        <v>1336.0</v>
      </c>
    </row>
    <row r="1874">
      <c r="A1874" s="40">
        <f t="array" ref="A1874">IFNA(index(PlayerValues!A:A,match(IFNA(vlookup(B1874,'Special Names'!A:B,2,FALSE),B1874),PlayerValues!E:E,0)),"N/A")</f>
        <v>15738</v>
      </c>
      <c r="B1874" s="4" t="s">
        <v>634</v>
      </c>
      <c r="C1874" s="4" t="s">
        <v>278</v>
      </c>
      <c r="D1874" s="94">
        <v>1322.0</v>
      </c>
    </row>
    <row r="1875">
      <c r="A1875" s="40">
        <f t="array" ref="A1875">IFNA(index(PlayerValues!A:A,match(IFNA(vlookup(B1875,'Special Names'!A:B,2,FALSE),B1875),PlayerValues!E:E,0)),"N/A")</f>
        <v>16183</v>
      </c>
      <c r="B1875" s="4" t="s">
        <v>678</v>
      </c>
      <c r="C1875" s="4" t="s">
        <v>287</v>
      </c>
      <c r="D1875" s="94">
        <v>1303.0</v>
      </c>
    </row>
    <row r="1876">
      <c r="A1876" s="40">
        <f t="array" ref="A1876">IFNA(index(PlayerValues!A:A,match(IFNA(vlookup(B1876,'Special Names'!A:B,2,FALSE),B1876),PlayerValues!E:E,0)),"N/A")</f>
        <v>14095</v>
      </c>
      <c r="B1876" s="4" t="s">
        <v>680</v>
      </c>
      <c r="C1876" s="4" t="s">
        <v>278</v>
      </c>
      <c r="D1876" s="94">
        <v>1296.0</v>
      </c>
    </row>
    <row r="1877">
      <c r="A1877" s="40" t="str">
        <f t="array" ref="A1877">IFNA(index(PlayerValues!A:A,match(IFNA(vlookup(B1877,'Special Names'!A:B,2,FALSE),B1877),PlayerValues!E:E,0)),"N/A")</f>
        <v>N/A</v>
      </c>
      <c r="B1877" s="4" t="s">
        <v>117</v>
      </c>
      <c r="C1877" s="4" t="s">
        <v>325</v>
      </c>
      <c r="D1877" s="94">
        <v>1295.0</v>
      </c>
    </row>
    <row r="1878">
      <c r="A1878" s="40">
        <f t="array" ref="A1878">IFNA(index(PlayerValues!A:A,match(IFNA(vlookup(B1878,'Special Names'!A:B,2,FALSE),B1878),PlayerValues!E:E,0)),"N/A")</f>
        <v>16645</v>
      </c>
      <c r="B1878" s="4" t="s">
        <v>651</v>
      </c>
      <c r="C1878" s="4" t="s">
        <v>298</v>
      </c>
      <c r="D1878" s="94">
        <v>1659.0</v>
      </c>
    </row>
    <row r="1879">
      <c r="A1879" s="40">
        <f t="array" ref="A1879">IFNA(index(PlayerValues!A:A,match(IFNA(vlookup(B1879,'Special Names'!A:B,2,FALSE),B1879),PlayerValues!E:E,0)),"N/A")</f>
        <v>15288</v>
      </c>
      <c r="B1879" s="4" t="s">
        <v>700</v>
      </c>
      <c r="C1879" s="4" t="s">
        <v>287</v>
      </c>
      <c r="D1879" s="94">
        <v>1287.0</v>
      </c>
    </row>
    <row r="1880">
      <c r="A1880" s="40">
        <f t="array" ref="A1880">IFNA(index(PlayerValues!A:A,match(IFNA(vlookup(B1880,'Special Names'!A:B,2,FALSE),B1880),PlayerValues!E:E,0)),"N/A")</f>
        <v>15702</v>
      </c>
      <c r="B1880" s="4" t="s">
        <v>723</v>
      </c>
      <c r="C1880" s="4" t="s">
        <v>283</v>
      </c>
      <c r="D1880" s="94">
        <v>1270.0</v>
      </c>
    </row>
    <row r="1881">
      <c r="A1881" s="40">
        <f t="array" ref="A1881">IFNA(index(PlayerValues!A:A,match(IFNA(vlookup(B1881,'Special Names'!A:B,2,FALSE),B1881),PlayerValues!E:E,0)),"N/A")</f>
        <v>14108</v>
      </c>
      <c r="B1881" s="4" t="s">
        <v>673</v>
      </c>
      <c r="C1881" s="4" t="s">
        <v>287</v>
      </c>
      <c r="D1881" s="94">
        <v>1265.0</v>
      </c>
    </row>
    <row r="1882">
      <c r="A1882" s="40">
        <f t="array" ref="A1882">IFNA(index(PlayerValues!A:A,match(IFNA(vlookup(B1882,'Special Names'!A:B,2,FALSE),B1882),PlayerValues!E:E,0)),"N/A")</f>
        <v>14592</v>
      </c>
      <c r="B1882" s="4" t="s">
        <v>705</v>
      </c>
      <c r="C1882" s="4" t="s">
        <v>287</v>
      </c>
      <c r="D1882" s="94">
        <v>1257.0</v>
      </c>
    </row>
    <row r="1883">
      <c r="A1883" s="40">
        <f t="array" ref="A1883">IFNA(index(PlayerValues!A:A,match(IFNA(vlookup(B1883,'Special Names'!A:B,2,FALSE),B1883),PlayerValues!E:E,0)),"N/A")</f>
        <v>17097</v>
      </c>
      <c r="B1883" s="4" t="s">
        <v>659</v>
      </c>
      <c r="C1883" s="4" t="s">
        <v>287</v>
      </c>
      <c r="D1883" s="94">
        <v>1256.0</v>
      </c>
    </row>
    <row r="1884">
      <c r="A1884" s="40">
        <f t="array" ref="A1884">IFNA(index(PlayerValues!A:A,match(IFNA(vlookup(B1884,'Special Names'!A:B,2,FALSE),B1884),PlayerValues!E:E,0)),"N/A")</f>
        <v>16333</v>
      </c>
      <c r="B1884" s="4" t="s">
        <v>711</v>
      </c>
      <c r="C1884" s="4" t="s">
        <v>298</v>
      </c>
      <c r="D1884" s="94">
        <v>1621.0</v>
      </c>
    </row>
    <row r="1885">
      <c r="A1885" s="40">
        <f t="array" ref="A1885">IFNA(index(PlayerValues!A:A,match(IFNA(vlookup(B1885,'Special Names'!A:B,2,FALSE),B1885),PlayerValues!E:E,0)),"N/A")</f>
        <v>16221</v>
      </c>
      <c r="B1885" s="4" t="s">
        <v>725</v>
      </c>
      <c r="C1885" s="4" t="s">
        <v>298</v>
      </c>
      <c r="D1885" s="94">
        <v>1620.0</v>
      </c>
    </row>
    <row r="1886">
      <c r="A1886" s="40">
        <f t="array" ref="A1886">IFNA(index(PlayerValues!A:A,match(IFNA(vlookup(B1886,'Special Names'!A:B,2,FALSE),B1886),PlayerValues!E:E,0)),"N/A")</f>
        <v>17063</v>
      </c>
      <c r="B1886" s="4" t="s">
        <v>686</v>
      </c>
      <c r="C1886" s="4" t="s">
        <v>278</v>
      </c>
      <c r="D1886" s="94">
        <v>1251.0</v>
      </c>
    </row>
    <row r="1887">
      <c r="A1887" s="40">
        <f t="array" ref="A1887">IFNA(index(PlayerValues!A:A,match(IFNA(vlookup(B1887,'Special Names'!A:B,2,FALSE),B1887),PlayerValues!E:E,0)),"N/A")</f>
        <v>16636</v>
      </c>
      <c r="B1887" s="4" t="s">
        <v>699</v>
      </c>
      <c r="C1887" s="4" t="s">
        <v>287</v>
      </c>
      <c r="D1887" s="94">
        <v>1248.0</v>
      </c>
    </row>
    <row r="1888">
      <c r="A1888" s="40">
        <f t="array" ref="A1888">IFNA(index(PlayerValues!A:A,match(IFNA(vlookup(B1888,'Special Names'!A:B,2,FALSE),B1888),PlayerValues!E:E,0)),"N/A")</f>
        <v>14789</v>
      </c>
      <c r="B1888" s="4" t="s">
        <v>721</v>
      </c>
      <c r="C1888" s="4" t="s">
        <v>283</v>
      </c>
      <c r="D1888" s="94">
        <v>1243.0</v>
      </c>
    </row>
    <row r="1889">
      <c r="A1889" s="40">
        <f t="array" ref="A1889">IFNA(index(PlayerValues!A:A,match(IFNA(vlookup(B1889,'Special Names'!A:B,2,FALSE),B1889),PlayerValues!E:E,0)),"N/A")</f>
        <v>16883</v>
      </c>
      <c r="B1889" s="4" t="s">
        <v>683</v>
      </c>
      <c r="C1889" s="4" t="s">
        <v>287</v>
      </c>
      <c r="D1889" s="94">
        <v>1233.0</v>
      </c>
    </row>
    <row r="1890">
      <c r="A1890" s="40">
        <f t="array" ref="A1890">IFNA(index(PlayerValues!A:A,match(IFNA(vlookup(B1890,'Special Names'!A:B,2,FALSE),B1890),PlayerValues!E:E,0)),"N/A")</f>
        <v>15727</v>
      </c>
      <c r="B1890" s="4" t="s">
        <v>730</v>
      </c>
      <c r="C1890" s="4" t="s">
        <v>278</v>
      </c>
      <c r="D1890" s="94">
        <v>1230.0</v>
      </c>
    </row>
    <row r="1891">
      <c r="A1891" s="40">
        <f t="array" ref="A1891">IFNA(index(PlayerValues!A:A,match(IFNA(vlookup(B1891,'Special Names'!A:B,2,FALSE),B1891),PlayerValues!E:E,0)),"N/A")</f>
        <v>16199</v>
      </c>
      <c r="B1891" s="4" t="s">
        <v>687</v>
      </c>
      <c r="C1891" s="4" t="s">
        <v>287</v>
      </c>
      <c r="D1891" s="94">
        <v>1226.0</v>
      </c>
    </row>
    <row r="1892">
      <c r="A1892" s="40">
        <f t="array" ref="A1892">IFNA(index(PlayerValues!A:A,match(IFNA(vlookup(B1892,'Special Names'!A:B,2,FALSE),B1892),PlayerValues!E:E,0)),"N/A")</f>
        <v>15981</v>
      </c>
      <c r="B1892" s="4" t="s">
        <v>729</v>
      </c>
      <c r="C1892" s="4" t="s">
        <v>287</v>
      </c>
      <c r="D1892" s="94">
        <v>1223.0</v>
      </c>
    </row>
    <row r="1893">
      <c r="A1893" s="40">
        <f t="array" ref="A1893">IFNA(index(PlayerValues!A:A,match(IFNA(vlookup(B1893,'Special Names'!A:B,2,FALSE),B1893),PlayerValues!E:E,0)),"N/A")</f>
        <v>9064</v>
      </c>
      <c r="B1893" s="4" t="s">
        <v>761</v>
      </c>
      <c r="C1893" s="4" t="s">
        <v>283</v>
      </c>
      <c r="D1893" s="94">
        <v>1218.0</v>
      </c>
    </row>
    <row r="1894">
      <c r="A1894" s="40">
        <f t="array" ref="A1894">IFNA(index(PlayerValues!A:A,match(IFNA(vlookup(B1894,'Special Names'!A:B,2,FALSE),B1894),PlayerValues!E:E,0)),"N/A")</f>
        <v>17057</v>
      </c>
      <c r="B1894" s="4" t="s">
        <v>708</v>
      </c>
      <c r="C1894" s="4" t="s">
        <v>278</v>
      </c>
      <c r="D1894" s="94">
        <v>1205.0</v>
      </c>
    </row>
    <row r="1895">
      <c r="A1895" s="40">
        <f t="array" ref="A1895">IFNA(index(PlayerValues!A:A,match(IFNA(vlookup(B1895,'Special Names'!A:B,2,FALSE),B1895),PlayerValues!E:E,0)),"N/A")</f>
        <v>13193</v>
      </c>
      <c r="B1895" s="4" t="s">
        <v>773</v>
      </c>
      <c r="C1895" s="4" t="s">
        <v>298</v>
      </c>
      <c r="D1895" s="94">
        <v>1568.0</v>
      </c>
    </row>
    <row r="1896">
      <c r="A1896" s="40">
        <f t="array" ref="A1896">IFNA(index(PlayerValues!A:A,match(IFNA(vlookup(B1896,'Special Names'!A:B,2,FALSE),B1896),PlayerValues!E:E,0)),"N/A")</f>
        <v>13131</v>
      </c>
      <c r="B1896" s="4" t="s">
        <v>815</v>
      </c>
      <c r="C1896" s="4" t="s">
        <v>278</v>
      </c>
      <c r="D1896" s="94">
        <v>1195.0</v>
      </c>
    </row>
    <row r="1897">
      <c r="A1897" s="40">
        <f t="array" ref="A1897">IFNA(index(PlayerValues!A:A,match(IFNA(vlookup(B1897,'Special Names'!A:B,2,FALSE),B1897),PlayerValues!E:E,0)),"N/A")</f>
        <v>16385</v>
      </c>
      <c r="B1897" s="4" t="s">
        <v>690</v>
      </c>
      <c r="C1897" s="4" t="s">
        <v>278</v>
      </c>
      <c r="D1897" s="94">
        <v>1193.0</v>
      </c>
    </row>
    <row r="1898">
      <c r="A1898" s="40">
        <f t="array" ref="A1898">IFNA(index(PlayerValues!A:A,match(IFNA(vlookup(B1898,'Special Names'!A:B,2,FALSE),B1898),PlayerValues!E:E,0)),"N/A")</f>
        <v>15240</v>
      </c>
      <c r="B1898" s="4" t="s">
        <v>751</v>
      </c>
      <c r="C1898" s="4" t="s">
        <v>283</v>
      </c>
      <c r="D1898" s="94">
        <v>1183.0</v>
      </c>
    </row>
    <row r="1899">
      <c r="A1899" s="40">
        <f t="array" ref="A1899">IFNA(index(PlayerValues!A:A,match(IFNA(vlookup(B1899,'Special Names'!A:B,2,FALSE),B1899),PlayerValues!E:E,0)),"N/A")</f>
        <v>13289</v>
      </c>
      <c r="B1899" s="4" t="s">
        <v>746</v>
      </c>
      <c r="C1899" s="4" t="s">
        <v>287</v>
      </c>
      <c r="D1899" s="94">
        <v>1180.0</v>
      </c>
    </row>
    <row r="1900">
      <c r="A1900" s="40">
        <f t="array" ref="A1900">IFNA(index(PlayerValues!A:A,match(IFNA(vlookup(B1900,'Special Names'!A:B,2,FALSE),B1900),PlayerValues!E:E,0)),"N/A")</f>
        <v>17109</v>
      </c>
      <c r="B1900" s="4" t="s">
        <v>707</v>
      </c>
      <c r="C1900" s="4" t="s">
        <v>298</v>
      </c>
      <c r="D1900" s="94">
        <v>1541.0</v>
      </c>
    </row>
    <row r="1901">
      <c r="A1901" s="40">
        <f t="array" ref="A1901">IFNA(index(PlayerValues!A:A,match(IFNA(vlookup(B1901,'Special Names'!A:B,2,FALSE),B1901),PlayerValues!E:E,0)),"N/A")</f>
        <v>15692</v>
      </c>
      <c r="B1901" s="4" t="s">
        <v>750</v>
      </c>
      <c r="C1901" s="4" t="s">
        <v>283</v>
      </c>
      <c r="D1901" s="94">
        <v>1159.0</v>
      </c>
    </row>
    <row r="1902">
      <c r="A1902" s="40">
        <f t="array" ref="A1902">IFNA(index(PlayerValues!A:A,match(IFNA(vlookup(B1902,'Special Names'!A:B,2,FALSE),B1902),PlayerValues!E:E,0)),"N/A")</f>
        <v>16387</v>
      </c>
      <c r="B1902" s="4" t="s">
        <v>646</v>
      </c>
      <c r="C1902" s="4" t="s">
        <v>278</v>
      </c>
      <c r="D1902" s="94">
        <v>1158.0</v>
      </c>
    </row>
    <row r="1903">
      <c r="A1903" s="40">
        <f t="array" ref="A1903">IFNA(index(PlayerValues!A:A,match(IFNA(vlookup(B1903,'Special Names'!A:B,2,FALSE),B1903),PlayerValues!E:E,0)),"N/A")</f>
        <v>17546</v>
      </c>
      <c r="B1903" s="4" t="s">
        <v>671</v>
      </c>
      <c r="C1903" s="4" t="s">
        <v>298</v>
      </c>
      <c r="D1903" s="94">
        <v>1522.0</v>
      </c>
    </row>
    <row r="1904">
      <c r="A1904" s="40">
        <f t="array" ref="A1904">IFNA(index(PlayerValues!A:A,match(IFNA(vlookup(B1904,'Special Names'!A:B,2,FALSE),B1904),PlayerValues!E:E,0)),"N/A")</f>
        <v>14067</v>
      </c>
      <c r="B1904" s="4" t="s">
        <v>735</v>
      </c>
      <c r="C1904" s="4" t="s">
        <v>283</v>
      </c>
      <c r="D1904" s="94">
        <v>1153.0</v>
      </c>
    </row>
    <row r="1905">
      <c r="A1905" s="40">
        <f t="array" ref="A1905">IFNA(index(PlayerValues!A:A,match(IFNA(vlookup(B1905,'Special Names'!A:B,2,FALSE),B1905),PlayerValues!E:E,0)),"N/A")</f>
        <v>15730</v>
      </c>
      <c r="B1905" s="4" t="s">
        <v>734</v>
      </c>
      <c r="C1905" s="4" t="s">
        <v>278</v>
      </c>
      <c r="D1905" s="94">
        <v>1153.0</v>
      </c>
    </row>
    <row r="1906">
      <c r="A1906" s="40">
        <f t="array" ref="A1906">IFNA(index(PlayerValues!A:A,match(IFNA(vlookup(B1906,'Special Names'!A:B,2,FALSE),B1906),PlayerValues!E:E,0)),"N/A")</f>
        <v>16393</v>
      </c>
      <c r="B1906" s="4" t="s">
        <v>768</v>
      </c>
      <c r="C1906" s="4" t="s">
        <v>287</v>
      </c>
      <c r="D1906" s="94">
        <v>1152.0</v>
      </c>
    </row>
    <row r="1907">
      <c r="A1907" s="40">
        <f t="array" ref="A1907">IFNA(index(PlayerValues!A:A,match(IFNA(vlookup(B1907,'Special Names'!A:B,2,FALSE),B1907),PlayerValues!E:E,0)),"N/A")</f>
        <v>16746</v>
      </c>
      <c r="B1907" s="4" t="s">
        <v>709</v>
      </c>
      <c r="C1907" s="4" t="s">
        <v>278</v>
      </c>
      <c r="D1907" s="94">
        <v>1149.0</v>
      </c>
    </row>
    <row r="1908">
      <c r="A1908" s="40">
        <f t="array" ref="A1908">IFNA(index(PlayerValues!A:A,match(IFNA(vlookup(B1908,'Special Names'!A:B,2,FALSE),B1908),PlayerValues!E:E,0)),"N/A")</f>
        <v>14845</v>
      </c>
      <c r="B1908" s="4" t="s">
        <v>717</v>
      </c>
      <c r="C1908" s="4" t="s">
        <v>287</v>
      </c>
      <c r="D1908" s="94">
        <v>1138.0</v>
      </c>
    </row>
    <row r="1909">
      <c r="A1909" s="40">
        <f t="array" ref="A1909">IFNA(index(PlayerValues!A:A,match(IFNA(vlookup(B1909,'Special Names'!A:B,2,FALSE),B1909),PlayerValues!E:E,0)),"N/A")</f>
        <v>17050</v>
      </c>
      <c r="B1909" s="4" t="s">
        <v>713</v>
      </c>
      <c r="C1909" s="4" t="s">
        <v>278</v>
      </c>
      <c r="D1909" s="94">
        <v>1137.0</v>
      </c>
    </row>
    <row r="1910">
      <c r="A1910" s="40">
        <f t="array" ref="A1910">IFNA(index(PlayerValues!A:A,match(IFNA(vlookup(B1910,'Special Names'!A:B,2,FALSE),B1910),PlayerValues!E:E,0)),"N/A")</f>
        <v>15258</v>
      </c>
      <c r="B1910" s="4" t="s">
        <v>757</v>
      </c>
      <c r="C1910" s="4" t="s">
        <v>278</v>
      </c>
      <c r="D1910" s="94">
        <v>1133.0</v>
      </c>
    </row>
    <row r="1911">
      <c r="A1911" s="40">
        <f t="array" ref="A1911">IFNA(index(PlayerValues!A:A,match(IFNA(vlookup(B1911,'Special Names'!A:B,2,FALSE),B1911),PlayerValues!E:E,0)),"N/A")</f>
        <v>16640</v>
      </c>
      <c r="B1911" s="4" t="s">
        <v>712</v>
      </c>
      <c r="C1911" s="4" t="s">
        <v>287</v>
      </c>
      <c r="D1911" s="94">
        <v>1122.0</v>
      </c>
    </row>
    <row r="1912">
      <c r="A1912" s="40">
        <f t="array" ref="A1912">IFNA(index(PlayerValues!A:A,match(IFNA(vlookup(B1912,'Special Names'!A:B,2,FALSE),B1912),PlayerValues!E:E,0)),"N/A")</f>
        <v>15239</v>
      </c>
      <c r="B1912" s="4" t="s">
        <v>802</v>
      </c>
      <c r="C1912" s="4" t="s">
        <v>283</v>
      </c>
      <c r="D1912" s="94">
        <v>1120.0</v>
      </c>
    </row>
    <row r="1913">
      <c r="A1913" s="40">
        <f t="array" ref="A1913">IFNA(index(PlayerValues!A:A,match(IFNA(vlookup(B1913,'Special Names'!A:B,2,FALSE),B1913),PlayerValues!E:E,0)),"N/A")</f>
        <v>16637</v>
      </c>
      <c r="B1913" s="4" t="s">
        <v>736</v>
      </c>
      <c r="C1913" s="4" t="s">
        <v>287</v>
      </c>
      <c r="D1913" s="94">
        <v>1115.0</v>
      </c>
    </row>
    <row r="1914">
      <c r="A1914" s="40">
        <f t="array" ref="A1914">IFNA(index(PlayerValues!A:A,match(IFNA(vlookup(B1914,'Special Names'!A:B,2,FALSE),B1914),PlayerValues!E:E,0)),"N/A")</f>
        <v>11247</v>
      </c>
      <c r="B1914" s="4" t="s">
        <v>816</v>
      </c>
      <c r="C1914" s="4" t="s">
        <v>298</v>
      </c>
      <c r="D1914" s="94">
        <v>1482.0</v>
      </c>
    </row>
    <row r="1915">
      <c r="A1915" s="40">
        <f t="array" ref="A1915">IFNA(index(PlayerValues!A:A,match(IFNA(vlookup(B1915,'Special Names'!A:B,2,FALSE),B1915),PlayerValues!E:E,0)),"N/A")</f>
        <v>15785</v>
      </c>
      <c r="B1915" s="4" t="s">
        <v>763</v>
      </c>
      <c r="C1915" s="4" t="s">
        <v>287</v>
      </c>
      <c r="D1915" s="94">
        <v>1107.0</v>
      </c>
    </row>
    <row r="1916">
      <c r="A1916" s="40">
        <f t="array" ref="A1916">IFNA(index(PlayerValues!A:A,match(IFNA(vlookup(B1916,'Special Names'!A:B,2,FALSE),B1916),PlayerValues!E:E,0)),"N/A")</f>
        <v>17192</v>
      </c>
      <c r="B1916" s="4" t="s">
        <v>677</v>
      </c>
      <c r="C1916" s="4" t="s">
        <v>287</v>
      </c>
      <c r="D1916" s="94">
        <v>1097.0</v>
      </c>
    </row>
    <row r="1917">
      <c r="A1917" s="40">
        <f t="array" ref="A1917">IFNA(index(PlayerValues!A:A,match(IFNA(vlookup(B1917,'Special Names'!A:B,2,FALSE),B1917),PlayerValues!E:E,0)),"N/A")</f>
        <v>16197</v>
      </c>
      <c r="B1917" s="4" t="s">
        <v>726</v>
      </c>
      <c r="C1917" s="4" t="s">
        <v>287</v>
      </c>
      <c r="D1917" s="94">
        <v>1080.0</v>
      </c>
    </row>
    <row r="1918">
      <c r="A1918" s="40">
        <f t="array" ref="A1918">IFNA(index(PlayerValues!A:A,match(IFNA(vlookup(B1918,'Special Names'!A:B,2,FALSE),B1918),PlayerValues!E:E,0)),"N/A")</f>
        <v>15693</v>
      </c>
      <c r="B1918" s="4" t="s">
        <v>755</v>
      </c>
      <c r="C1918" s="4" t="s">
        <v>283</v>
      </c>
      <c r="D1918" s="94">
        <v>1074.0</v>
      </c>
    </row>
    <row r="1919">
      <c r="A1919" s="40">
        <f t="array" ref="A1919">IFNA(index(PlayerValues!A:A,match(IFNA(vlookup(B1919,'Special Names'!A:B,2,FALSE),B1919),PlayerValues!E:E,0)),"N/A")</f>
        <v>16451</v>
      </c>
      <c r="B1919" s="4" t="s">
        <v>769</v>
      </c>
      <c r="C1919" s="4" t="s">
        <v>287</v>
      </c>
      <c r="D1919" s="94">
        <v>1073.0</v>
      </c>
    </row>
    <row r="1920">
      <c r="A1920" s="40">
        <f t="array" ref="A1920">IFNA(index(PlayerValues!A:A,match(IFNA(vlookup(B1920,'Special Names'!A:B,2,FALSE),B1920),PlayerValues!E:E,0)),"N/A")</f>
        <v>15718</v>
      </c>
      <c r="B1920" s="4" t="s">
        <v>753</v>
      </c>
      <c r="C1920" s="4" t="s">
        <v>278</v>
      </c>
      <c r="D1920" s="94">
        <v>1053.0</v>
      </c>
    </row>
    <row r="1921">
      <c r="A1921" s="40">
        <f t="array" ref="A1921">IFNA(index(PlayerValues!A:A,match(IFNA(vlookup(B1921,'Special Names'!A:B,2,FALSE),B1921),PlayerValues!E:E,0)),"N/A")</f>
        <v>16678</v>
      </c>
      <c r="B1921" s="4" t="s">
        <v>758</v>
      </c>
      <c r="C1921" s="4" t="s">
        <v>278</v>
      </c>
      <c r="D1921" s="94">
        <v>1053.0</v>
      </c>
    </row>
    <row r="1922">
      <c r="A1922" s="40">
        <f t="array" ref="A1922">IFNA(index(PlayerValues!A:A,match(IFNA(vlookup(B1922,'Special Names'!A:B,2,FALSE),B1922),PlayerValues!E:E,0)),"N/A")</f>
        <v>16168</v>
      </c>
      <c r="B1922" s="4" t="s">
        <v>738</v>
      </c>
      <c r="C1922" s="4" t="s">
        <v>278</v>
      </c>
      <c r="D1922" s="94">
        <v>1046.0</v>
      </c>
    </row>
    <row r="1923">
      <c r="A1923" s="40">
        <f t="array" ref="A1923">IFNA(index(PlayerValues!A:A,match(IFNA(vlookup(B1923,'Special Names'!A:B,2,FALSE),B1923),PlayerValues!E:E,0)),"N/A")</f>
        <v>14118</v>
      </c>
      <c r="B1923" s="4" t="s">
        <v>771</v>
      </c>
      <c r="C1923" s="4" t="s">
        <v>287</v>
      </c>
      <c r="D1923" s="94">
        <v>1045.0</v>
      </c>
    </row>
    <row r="1924">
      <c r="A1924" s="40">
        <f t="array" ref="A1924">IFNA(index(PlayerValues!A:A,match(IFNA(vlookup(B1924,'Special Names'!A:B,2,FALSE),B1924),PlayerValues!E:E,0)),"N/A")</f>
        <v>17175</v>
      </c>
      <c r="B1924" s="4" t="s">
        <v>747</v>
      </c>
      <c r="C1924" s="4" t="s">
        <v>287</v>
      </c>
      <c r="D1924" s="94">
        <v>1043.0</v>
      </c>
    </row>
    <row r="1925">
      <c r="A1925" s="40">
        <f t="array" ref="A1925">IFNA(index(PlayerValues!A:A,match(IFNA(vlookup(B1925,'Special Names'!A:B,2,FALSE),B1925),PlayerValues!E:E,0)),"N/A")</f>
        <v>15795</v>
      </c>
      <c r="B1925" s="4" t="s">
        <v>669</v>
      </c>
      <c r="C1925" s="4" t="s">
        <v>298</v>
      </c>
      <c r="D1925" s="94">
        <v>1406.0</v>
      </c>
    </row>
    <row r="1926">
      <c r="A1926" s="40">
        <f t="array" ref="A1926">IFNA(index(PlayerValues!A:A,match(IFNA(vlookup(B1926,'Special Names'!A:B,2,FALSE),B1926),PlayerValues!E:E,0)),"N/A")</f>
        <v>13138</v>
      </c>
      <c r="B1926" s="4" t="s">
        <v>817</v>
      </c>
      <c r="C1926" s="4" t="s">
        <v>278</v>
      </c>
      <c r="D1926" s="94">
        <v>1039.0</v>
      </c>
    </row>
    <row r="1927">
      <c r="A1927" s="40">
        <f t="array" ref="A1927">IFNA(index(PlayerValues!A:A,match(IFNA(vlookup(B1927,'Special Names'!A:B,2,FALSE),B1927),PlayerValues!E:E,0)),"N/A")</f>
        <v>16858</v>
      </c>
      <c r="B1927" s="4" t="s">
        <v>754</v>
      </c>
      <c r="C1927" s="4" t="s">
        <v>287</v>
      </c>
      <c r="D1927" s="94">
        <v>1037.0</v>
      </c>
    </row>
    <row r="1928">
      <c r="A1928" s="40">
        <f t="array" ref="A1928">IFNA(index(PlayerValues!A:A,match(IFNA(vlookup(B1928,'Special Names'!A:B,2,FALSE),B1928),PlayerValues!E:E,0)),"N/A")</f>
        <v>15717</v>
      </c>
      <c r="B1928" s="4" t="s">
        <v>745</v>
      </c>
      <c r="C1928" s="4" t="s">
        <v>278</v>
      </c>
      <c r="D1928" s="94">
        <v>1035.0</v>
      </c>
    </row>
    <row r="1929">
      <c r="A1929" s="40">
        <f t="array" ref="A1929">IFNA(index(PlayerValues!A:A,match(IFNA(vlookup(B1929,'Special Names'!A:B,2,FALSE),B1929),PlayerValues!E:E,0)),"N/A")</f>
        <v>16648</v>
      </c>
      <c r="B1929" s="4" t="s">
        <v>748</v>
      </c>
      <c r="C1929" s="4" t="s">
        <v>298</v>
      </c>
      <c r="D1929" s="94">
        <v>1399.0</v>
      </c>
    </row>
    <row r="1930">
      <c r="A1930" s="40">
        <f t="array" ref="A1930">IFNA(index(PlayerValues!A:A,match(IFNA(vlookup(B1930,'Special Names'!A:B,2,FALSE),B1930),PlayerValues!E:E,0)),"N/A")</f>
        <v>15330</v>
      </c>
      <c r="B1930" s="4" t="s">
        <v>749</v>
      </c>
      <c r="C1930" s="4" t="s">
        <v>298</v>
      </c>
      <c r="D1930" s="94">
        <v>1397.0</v>
      </c>
    </row>
    <row r="1931">
      <c r="A1931" s="40">
        <f t="array" ref="A1931">IFNA(index(PlayerValues!A:A,match(IFNA(vlookup(B1931,'Special Names'!A:B,2,FALSE),B1931),PlayerValues!E:E,0)),"N/A")</f>
        <v>15626</v>
      </c>
      <c r="B1931" s="4" t="s">
        <v>766</v>
      </c>
      <c r="C1931" s="4" t="s">
        <v>298</v>
      </c>
      <c r="D1931" s="94">
        <v>1393.0</v>
      </c>
    </row>
    <row r="1932">
      <c r="A1932" s="40">
        <f t="array" ref="A1932">IFNA(index(PlayerValues!A:A,match(IFNA(vlookup(B1932,'Special Names'!A:B,2,FALSE),B1932),PlayerValues!E:E,0)),"N/A")</f>
        <v>14057</v>
      </c>
      <c r="B1932" s="4" t="s">
        <v>765</v>
      </c>
      <c r="C1932" s="4" t="s">
        <v>283</v>
      </c>
      <c r="D1932" s="94">
        <v>1021.0</v>
      </c>
    </row>
    <row r="1933">
      <c r="A1933" s="40">
        <f t="array" ref="A1933">IFNA(index(PlayerValues!A:A,match(IFNA(vlookup(B1933,'Special Names'!A:B,2,FALSE),B1933),PlayerValues!E:E,0)),"N/A")</f>
        <v>16205</v>
      </c>
      <c r="B1933" s="4" t="s">
        <v>742</v>
      </c>
      <c r="C1933" s="4" t="s">
        <v>287</v>
      </c>
      <c r="D1933" s="94">
        <v>1016.0</v>
      </c>
    </row>
    <row r="1934">
      <c r="A1934" s="40">
        <f t="array" ref="A1934">IFNA(index(PlayerValues!A:A,match(IFNA(vlookup(B1934,'Special Names'!A:B,2,FALSE),B1934),PlayerValues!E:E,0)),"N/A")</f>
        <v>16170</v>
      </c>
      <c r="B1934" s="4" t="s">
        <v>801</v>
      </c>
      <c r="C1934" s="4" t="s">
        <v>278</v>
      </c>
      <c r="D1934" s="94">
        <v>1009.0</v>
      </c>
    </row>
    <row r="1935">
      <c r="A1935" s="40">
        <f t="array" ref="A1935">IFNA(index(PlayerValues!A:A,match(IFNA(vlookup(B1935,'Special Names'!A:B,2,FALSE),B1935),PlayerValues!E:E,0)),"N/A")</f>
        <v>15720</v>
      </c>
      <c r="B1935" s="4" t="s">
        <v>795</v>
      </c>
      <c r="C1935" s="4" t="s">
        <v>278</v>
      </c>
      <c r="D1935" s="94">
        <v>1005.0</v>
      </c>
    </row>
    <row r="1936">
      <c r="A1936" s="40">
        <f t="array" ref="A1936">IFNA(index(PlayerValues!A:A,match(IFNA(vlookup(B1936,'Special Names'!A:B,2,FALSE),B1936),PlayerValues!E:E,0)),"N/A")</f>
        <v>15109</v>
      </c>
      <c r="B1936" s="4" t="s">
        <v>728</v>
      </c>
      <c r="C1936" s="4" t="s">
        <v>287</v>
      </c>
      <c r="D1936" s="94">
        <v>1001.0</v>
      </c>
    </row>
    <row r="1937">
      <c r="A1937" s="40">
        <f t="array" ref="A1937">IFNA(index(PlayerValues!A:A,match(IFNA(vlookup(B1937,'Special Names'!A:B,2,FALSE),B1937),PlayerValues!E:E,0)),"N/A")</f>
        <v>15766</v>
      </c>
      <c r="B1937" s="4" t="s">
        <v>759</v>
      </c>
      <c r="C1937" s="4" t="s">
        <v>287</v>
      </c>
      <c r="D1937" s="94">
        <v>988.0</v>
      </c>
    </row>
    <row r="1938">
      <c r="A1938" s="40">
        <f t="array" ref="A1938">IFNA(index(PlayerValues!A:A,match(IFNA(vlookup(B1938,'Special Names'!A:B,2,FALSE),B1938),PlayerValues!E:E,0)),"N/A")</f>
        <v>16219</v>
      </c>
      <c r="B1938" s="4" t="s">
        <v>739</v>
      </c>
      <c r="C1938" s="4" t="s">
        <v>298</v>
      </c>
      <c r="D1938" s="94">
        <v>1351.0</v>
      </c>
    </row>
    <row r="1939">
      <c r="A1939" s="40">
        <f t="array" ref="A1939">IFNA(index(PlayerValues!A:A,match(IFNA(vlookup(B1939,'Special Names'!A:B,2,FALSE),B1939),PlayerValues!E:E,0)),"N/A")</f>
        <v>12263</v>
      </c>
      <c r="B1939" s="4" t="s">
        <v>697</v>
      </c>
      <c r="C1939" s="4" t="s">
        <v>298</v>
      </c>
      <c r="D1939" s="94">
        <v>1348.0</v>
      </c>
    </row>
    <row r="1940">
      <c r="A1940" s="40">
        <f t="array" ref="A1940">IFNA(index(PlayerValues!A:A,match(IFNA(vlookup(B1940,'Special Names'!A:B,2,FALSE),B1940),PlayerValues!E:E,0)),"N/A")</f>
        <v>17466</v>
      </c>
      <c r="B1940" s="4" t="s">
        <v>492</v>
      </c>
      <c r="C1940" s="4" t="s">
        <v>283</v>
      </c>
      <c r="D1940" s="94">
        <v>970.0</v>
      </c>
    </row>
    <row r="1941">
      <c r="A1941" s="40">
        <f t="array" ref="A1941">IFNA(index(PlayerValues!A:A,match(IFNA(vlookup(B1941,'Special Names'!A:B,2,FALSE),B1941),PlayerValues!E:E,0)),"N/A")</f>
        <v>16176</v>
      </c>
      <c r="B1941" s="4" t="s">
        <v>812</v>
      </c>
      <c r="C1941" s="4" t="s">
        <v>278</v>
      </c>
      <c r="D1941" s="94">
        <v>967.0</v>
      </c>
    </row>
    <row r="1942">
      <c r="A1942" s="40">
        <f t="array" ref="A1942">IFNA(index(PlayerValues!A:A,match(IFNA(vlookup(B1942,'Special Names'!A:B,2,FALSE),B1942),PlayerValues!E:E,0)),"N/A")</f>
        <v>16416</v>
      </c>
      <c r="B1942" s="4" t="s">
        <v>752</v>
      </c>
      <c r="C1942" s="4" t="s">
        <v>287</v>
      </c>
      <c r="D1942" s="94">
        <v>966.0</v>
      </c>
    </row>
    <row r="1943">
      <c r="A1943" s="40">
        <f t="array" ref="A1943">IFNA(index(PlayerValues!A:A,match(IFNA(vlookup(B1943,'Special Names'!A:B,2,FALSE),B1943),PlayerValues!E:E,0)),"N/A")</f>
        <v>14799</v>
      </c>
      <c r="B1943" s="4" t="s">
        <v>829</v>
      </c>
      <c r="C1943" s="4" t="s">
        <v>278</v>
      </c>
      <c r="D1943" s="94">
        <v>965.0</v>
      </c>
    </row>
    <row r="1944">
      <c r="A1944" s="40">
        <f t="array" ref="A1944">IFNA(index(PlayerValues!A:A,match(IFNA(vlookup(B1944,'Special Names'!A:B,2,FALSE),B1944),PlayerValues!E:E,0)),"N/A")</f>
        <v>15263</v>
      </c>
      <c r="B1944" s="4" t="s">
        <v>804</v>
      </c>
      <c r="C1944" s="4" t="s">
        <v>278</v>
      </c>
      <c r="D1944" s="94">
        <v>962.0</v>
      </c>
    </row>
    <row r="1945">
      <c r="A1945" s="40">
        <f t="array" ref="A1945">IFNA(index(PlayerValues!A:A,match(IFNA(vlookup(B1945,'Special Names'!A:B,2,FALSE),B1945),PlayerValues!E:E,0)),"N/A")</f>
        <v>17468</v>
      </c>
      <c r="B1945" s="4" t="s">
        <v>514</v>
      </c>
      <c r="C1945" s="4" t="s">
        <v>283</v>
      </c>
      <c r="D1945" s="94">
        <v>959.0</v>
      </c>
    </row>
    <row r="1946">
      <c r="A1946" s="40">
        <f t="array" ref="A1946">IFNA(index(PlayerValues!A:A,match(IFNA(vlookup(B1946,'Special Names'!A:B,2,FALSE),B1946),PlayerValues!E:E,0)),"N/A")</f>
        <v>17479</v>
      </c>
      <c r="B1946" s="4" t="s">
        <v>756</v>
      </c>
      <c r="C1946" s="4" t="s">
        <v>278</v>
      </c>
      <c r="D1946" s="94">
        <v>959.0</v>
      </c>
    </row>
    <row r="1947">
      <c r="A1947" s="40">
        <f t="array" ref="A1947">IFNA(index(PlayerValues!A:A,match(IFNA(vlookup(B1947,'Special Names'!A:B,2,FALSE),B1947),PlayerValues!E:E,0)),"N/A")</f>
        <v>16773</v>
      </c>
      <c r="B1947" s="4" t="s">
        <v>783</v>
      </c>
      <c r="C1947" s="4" t="s">
        <v>278</v>
      </c>
      <c r="D1947" s="94">
        <v>957.0</v>
      </c>
    </row>
    <row r="1948">
      <c r="A1948" s="40">
        <f t="array" ref="A1948">IFNA(index(PlayerValues!A:A,match(IFNA(vlookup(B1948,'Special Names'!A:B,2,FALSE),B1948),PlayerValues!E:E,0)),"N/A")</f>
        <v>14849</v>
      </c>
      <c r="B1948" s="4" t="s">
        <v>733</v>
      </c>
      <c r="C1948" s="4" t="s">
        <v>287</v>
      </c>
      <c r="D1948" s="94">
        <v>956.0</v>
      </c>
    </row>
    <row r="1949">
      <c r="A1949" s="40">
        <f t="array" ref="A1949">IFNA(index(PlayerValues!A:A,match(IFNA(vlookup(B1949,'Special Names'!A:B,2,FALSE),B1949),PlayerValues!E:E,0)),"N/A")</f>
        <v>16751</v>
      </c>
      <c r="B1949" s="4" t="s">
        <v>762</v>
      </c>
      <c r="C1949" s="4" t="s">
        <v>287</v>
      </c>
      <c r="D1949" s="94">
        <v>956.0</v>
      </c>
    </row>
    <row r="1950">
      <c r="A1950" s="40">
        <f t="array" ref="A1950">IFNA(index(PlayerValues!A:A,match(IFNA(vlookup(B1950,'Special Names'!A:B,2,FALSE),B1950),PlayerValues!E:E,0)),"N/A")</f>
        <v>15723</v>
      </c>
      <c r="B1950" s="4" t="s">
        <v>798</v>
      </c>
      <c r="C1950" s="4" t="s">
        <v>278</v>
      </c>
      <c r="D1950" s="94">
        <v>948.0</v>
      </c>
    </row>
    <row r="1951">
      <c r="A1951" s="40">
        <f t="array" ref="A1951">IFNA(index(PlayerValues!A:A,match(IFNA(vlookup(B1951,'Special Names'!A:B,2,FALSE),B1951),PlayerValues!E:E,0)),"N/A")</f>
        <v>16624</v>
      </c>
      <c r="B1951" s="4" t="s">
        <v>796</v>
      </c>
      <c r="C1951" s="4" t="s">
        <v>287</v>
      </c>
      <c r="D1951" s="94">
        <v>945.0</v>
      </c>
    </row>
    <row r="1952">
      <c r="A1952" s="40">
        <f t="array" ref="A1952">IFNA(index(PlayerValues!A:A,match(IFNA(vlookup(B1952,'Special Names'!A:B,2,FALSE),B1952),PlayerValues!E:E,0)),"N/A")</f>
        <v>12785</v>
      </c>
      <c r="B1952" s="4" t="s">
        <v>772</v>
      </c>
      <c r="C1952" s="4" t="s">
        <v>287</v>
      </c>
      <c r="D1952" s="94">
        <v>942.0</v>
      </c>
    </row>
    <row r="1953">
      <c r="A1953" s="40">
        <f t="array" ref="A1953">IFNA(index(PlayerValues!A:A,match(IFNA(vlookup(B1953,'Special Names'!A:B,2,FALSE),B1953),PlayerValues!E:E,0)),"N/A")</f>
        <v>16599</v>
      </c>
      <c r="B1953" s="4" t="s">
        <v>737</v>
      </c>
      <c r="C1953" s="4" t="s">
        <v>278</v>
      </c>
      <c r="D1953" s="94">
        <v>923.0</v>
      </c>
    </row>
    <row r="1954">
      <c r="A1954" s="40">
        <f t="array" ref="A1954">IFNA(index(PlayerValues!A:A,match(IFNA(vlookup(B1954,'Special Names'!A:B,2,FALSE),B1954),PlayerValues!E:E,0)),"N/A")</f>
        <v>16159</v>
      </c>
      <c r="B1954" s="4" t="s">
        <v>819</v>
      </c>
      <c r="C1954" s="4" t="s">
        <v>283</v>
      </c>
      <c r="D1954" s="94">
        <v>921.0</v>
      </c>
    </row>
    <row r="1955">
      <c r="A1955" s="40">
        <f t="array" ref="A1955">IFNA(index(PlayerValues!A:A,match(IFNA(vlookup(B1955,'Special Names'!A:B,2,FALSE),B1955),PlayerValues!E:E,0)),"N/A")</f>
        <v>15804</v>
      </c>
      <c r="B1955" s="4" t="s">
        <v>821</v>
      </c>
      <c r="C1955" s="4" t="s">
        <v>298</v>
      </c>
      <c r="D1955" s="94">
        <v>1284.0</v>
      </c>
    </row>
    <row r="1956">
      <c r="A1956" s="40">
        <f t="array" ref="A1956">IFNA(index(PlayerValues!A:A,match(IFNA(vlookup(B1956,'Special Names'!A:B,2,FALSE),B1956),PlayerValues!E:E,0)),"N/A")</f>
        <v>13595</v>
      </c>
      <c r="B1956" s="4" t="s">
        <v>818</v>
      </c>
      <c r="C1956" s="4" t="s">
        <v>283</v>
      </c>
      <c r="D1956" s="94">
        <v>907.0</v>
      </c>
    </row>
    <row r="1957">
      <c r="A1957" s="40">
        <f t="array" ref="A1957">IFNA(index(PlayerValues!A:A,match(IFNA(vlookup(B1957,'Special Names'!A:B,2,FALSE),B1957),PlayerValues!E:E,0)),"N/A")</f>
        <v>17510</v>
      </c>
      <c r="B1957" s="4" t="s">
        <v>661</v>
      </c>
      <c r="C1957" s="4" t="s">
        <v>287</v>
      </c>
      <c r="D1957" s="94">
        <v>906.0</v>
      </c>
    </row>
    <row r="1958">
      <c r="A1958" s="40">
        <f t="array" ref="A1958">IFNA(index(PlayerValues!A:A,match(IFNA(vlookup(B1958,'Special Names'!A:B,2,FALSE),B1958),PlayerValues!E:E,0)),"N/A")</f>
        <v>15758</v>
      </c>
      <c r="B1958" s="4" t="s">
        <v>724</v>
      </c>
      <c r="C1958" s="4" t="s">
        <v>287</v>
      </c>
      <c r="D1958" s="94">
        <v>902.0</v>
      </c>
    </row>
    <row r="1959">
      <c r="A1959" s="40">
        <f t="array" ref="A1959">IFNA(index(PlayerValues!A:A,match(IFNA(vlookup(B1959,'Special Names'!A:B,2,FALSE),B1959),PlayerValues!E:E,0)),"N/A")</f>
        <v>16686</v>
      </c>
      <c r="B1959" s="4" t="s">
        <v>805</v>
      </c>
      <c r="C1959" s="4" t="s">
        <v>287</v>
      </c>
      <c r="D1959" s="94">
        <v>897.0</v>
      </c>
    </row>
    <row r="1960">
      <c r="A1960" s="40">
        <f t="array" ref="A1960">IFNA(index(PlayerValues!A:A,match(IFNA(vlookup(B1960,'Special Names'!A:B,2,FALSE),B1960),PlayerValues!E:E,0)),"N/A")</f>
        <v>17337</v>
      </c>
      <c r="B1960" s="4" t="s">
        <v>793</v>
      </c>
      <c r="C1960" s="4" t="s">
        <v>278</v>
      </c>
      <c r="D1960" s="94">
        <v>897.0</v>
      </c>
    </row>
    <row r="1961">
      <c r="A1961" s="40">
        <f t="array" ref="A1961">IFNA(index(PlayerValues!A:A,match(IFNA(vlookup(B1961,'Special Names'!A:B,2,FALSE),B1961),PlayerValues!E:E,0)),"N/A")</f>
        <v>14864</v>
      </c>
      <c r="B1961" s="4" t="s">
        <v>789</v>
      </c>
      <c r="C1961" s="4" t="s">
        <v>287</v>
      </c>
      <c r="D1961" s="94">
        <v>896.0</v>
      </c>
    </row>
    <row r="1962">
      <c r="A1962" s="40">
        <f t="array" ref="A1962">IFNA(index(PlayerValues!A:A,match(IFNA(vlookup(B1962,'Special Names'!A:B,2,FALSE),B1962),PlayerValues!E:E,0)),"N/A")</f>
        <v>14223</v>
      </c>
      <c r="B1962" s="4" t="s">
        <v>785</v>
      </c>
      <c r="C1962" s="4" t="s">
        <v>278</v>
      </c>
      <c r="D1962" s="94">
        <v>870.0</v>
      </c>
    </row>
    <row r="1963">
      <c r="A1963" s="40">
        <f t="array" ref="A1963">IFNA(index(PlayerValues!A:A,match(IFNA(vlookup(B1963,'Special Names'!A:B,2,FALSE),B1963),PlayerValues!E:E,0)),"N/A")</f>
        <v>13133</v>
      </c>
      <c r="B1963" s="4" t="s">
        <v>764</v>
      </c>
      <c r="C1963" s="4" t="s">
        <v>278</v>
      </c>
      <c r="D1963" s="94">
        <v>860.0</v>
      </c>
    </row>
    <row r="1964">
      <c r="A1964" s="40">
        <f t="array" ref="A1964">IFNA(index(PlayerValues!A:A,match(IFNA(vlookup(B1964,'Special Names'!A:B,2,FALSE),B1964),PlayerValues!E:E,0)),"N/A")</f>
        <v>16606</v>
      </c>
      <c r="B1964" s="4" t="s">
        <v>743</v>
      </c>
      <c r="C1964" s="4" t="s">
        <v>278</v>
      </c>
      <c r="D1964" s="94">
        <v>860.0</v>
      </c>
    </row>
    <row r="1965">
      <c r="A1965" s="40">
        <f t="array" ref="A1965">IFNA(index(PlayerValues!A:A,match(IFNA(vlookup(B1965,'Special Names'!A:B,2,FALSE),B1965),PlayerValues!E:E,0)),"N/A")</f>
        <v>14079</v>
      </c>
      <c r="B1965" s="4" t="s">
        <v>830</v>
      </c>
      <c r="C1965" s="4" t="s">
        <v>278</v>
      </c>
      <c r="D1965" s="94">
        <v>852.0</v>
      </c>
    </row>
    <row r="1966">
      <c r="A1966" s="40">
        <f t="array" ref="A1966">IFNA(index(PlayerValues!A:A,match(IFNA(vlookup(B1966,'Special Names'!A:B,2,FALSE),B1966),PlayerValues!E:E,0)),"N/A")</f>
        <v>15271</v>
      </c>
      <c r="B1966" s="4" t="s">
        <v>741</v>
      </c>
      <c r="C1966" s="4" t="s">
        <v>278</v>
      </c>
      <c r="D1966" s="94">
        <v>841.0</v>
      </c>
    </row>
    <row r="1967">
      <c r="A1967" s="40">
        <f t="array" ref="A1967">IFNA(index(PlayerValues!A:A,match(IFNA(vlookup(B1967,'Special Names'!A:B,2,FALSE),B1967),PlayerValues!E:E,0)),"N/A")</f>
        <v>17486</v>
      </c>
      <c r="B1967" s="4" t="s">
        <v>695</v>
      </c>
      <c r="C1967" s="4" t="s">
        <v>278</v>
      </c>
      <c r="D1967" s="94">
        <v>822.0</v>
      </c>
    </row>
    <row r="1968">
      <c r="A1968" s="40">
        <f t="array" ref="A1968">IFNA(index(PlayerValues!A:A,match(IFNA(vlookup(B1968,'Special Names'!A:B,2,FALSE),B1968),PlayerValues!E:E,0)),"N/A")</f>
        <v>13610</v>
      </c>
      <c r="B1968" s="4" t="s">
        <v>825</v>
      </c>
      <c r="C1968" s="4" t="s">
        <v>278</v>
      </c>
      <c r="D1968" s="94">
        <v>810.0</v>
      </c>
    </row>
    <row r="1969">
      <c r="A1969" s="40">
        <f t="array" ref="A1969">IFNA(index(PlayerValues!A:A,match(IFNA(vlookup(B1969,'Special Names'!A:B,2,FALSE),B1969),PlayerValues!E:E,0)),"N/A")</f>
        <v>17519</v>
      </c>
      <c r="B1969" s="4" t="s">
        <v>593</v>
      </c>
      <c r="C1969" s="4" t="s">
        <v>287</v>
      </c>
      <c r="D1969" s="94">
        <v>806.0</v>
      </c>
    </row>
    <row r="1970">
      <c r="A1970" s="40">
        <f t="array" ref="A1970">IFNA(index(PlayerValues!A:A,match(IFNA(vlookup(B1970,'Special Names'!A:B,2,FALSE),B1970),PlayerValues!E:E,0)),"N/A")</f>
        <v>13143</v>
      </c>
      <c r="B1970" s="4" t="s">
        <v>786</v>
      </c>
      <c r="C1970" s="4" t="s">
        <v>278</v>
      </c>
      <c r="D1970" s="94">
        <v>786.0</v>
      </c>
    </row>
    <row r="1971">
      <c r="A1971" s="40">
        <f t="array" ref="A1971">IFNA(index(PlayerValues!A:A,match(IFNA(vlookup(B1971,'Special Names'!A:B,2,FALSE),B1971),PlayerValues!E:E,0)),"N/A")</f>
        <v>16623</v>
      </c>
      <c r="B1971" s="4" t="s">
        <v>803</v>
      </c>
      <c r="C1971" s="4" t="s">
        <v>287</v>
      </c>
      <c r="D1971" s="94">
        <v>753.0</v>
      </c>
    </row>
    <row r="1972">
      <c r="A1972" s="40">
        <f t="array" ref="A1972">IFNA(index(PlayerValues!A:A,match(IFNA(vlookup(B1972,'Special Names'!A:B,2,FALSE),B1972),PlayerValues!E:E,0)),"N/A")</f>
        <v>16957</v>
      </c>
      <c r="B1972" s="4" t="s">
        <v>806</v>
      </c>
      <c r="C1972" s="4" t="s">
        <v>278</v>
      </c>
      <c r="D1972" s="94">
        <v>745.0</v>
      </c>
    </row>
    <row r="1973">
      <c r="A1973" s="40">
        <f t="array" ref="A1973">IFNA(index(PlayerValues!A:A,match(IFNA(vlookup(B1973,'Special Names'!A:B,2,FALSE),B1973),PlayerValues!E:E,0)),"N/A")</f>
        <v>17487</v>
      </c>
      <c r="B1973" s="4" t="s">
        <v>692</v>
      </c>
      <c r="C1973" s="4" t="s">
        <v>278</v>
      </c>
      <c r="D1973" s="94">
        <v>724.0</v>
      </c>
    </row>
    <row r="1974">
      <c r="A1974" s="40">
        <f t="array" ref="A1974">IFNA(index(PlayerValues!A:A,match(IFNA(vlookup(B1974,'Special Names'!A:B,2,FALSE),B1974),PlayerValues!E:E,0)),"N/A")</f>
        <v>11232</v>
      </c>
      <c r="B1974" s="4" t="s">
        <v>826</v>
      </c>
      <c r="C1974" s="4" t="s">
        <v>287</v>
      </c>
      <c r="D1974" s="94">
        <v>708.0</v>
      </c>
    </row>
    <row r="1975">
      <c r="A1975" s="40">
        <f t="array" ref="A1975">IFNA(index(PlayerValues!A:A,match(IFNA(vlookup(B1975,'Special Names'!A:B,2,FALSE),B1975),PlayerValues!E:E,0)),"N/A")</f>
        <v>17567</v>
      </c>
      <c r="B1975" s="4" t="s">
        <v>571</v>
      </c>
      <c r="C1975" s="4" t="s">
        <v>298</v>
      </c>
      <c r="D1975" s="94">
        <v>1062.0</v>
      </c>
    </row>
    <row r="1976">
      <c r="A1976" s="40">
        <f t="array" ref="A1976">IFNA(index(PlayerValues!A:A,match(IFNA(vlookup(B1976,'Special Names'!A:B,2,FALSE),B1976),PlayerValues!E:E,0)),"N/A")</f>
        <v>15796</v>
      </c>
      <c r="B1976" s="4" t="s">
        <v>794</v>
      </c>
      <c r="C1976" s="4" t="s">
        <v>298</v>
      </c>
      <c r="D1976" s="94">
        <v>1036.0</v>
      </c>
    </row>
    <row r="1977">
      <c r="A1977" s="40">
        <f t="array" ref="A1977">IFNA(index(PlayerValues!A:A,match(IFNA(vlookup(B1977,'Special Names'!A:B,2,FALSE),B1977),PlayerValues!E:E,0)),"N/A")</f>
        <v>17485</v>
      </c>
      <c r="B1977" s="4" t="s">
        <v>522</v>
      </c>
      <c r="C1977" s="4" t="s">
        <v>278</v>
      </c>
      <c r="D1977" s="94">
        <v>642.0</v>
      </c>
    </row>
    <row r="1978">
      <c r="A1978" s="40">
        <f t="array" ref="A1978">IFNA(index(PlayerValues!A:A,match(IFNA(vlookup(B1978,'Special Names'!A:B,2,FALSE),B1978),PlayerValues!E:E,0)),"N/A")</f>
        <v>17475</v>
      </c>
      <c r="B1978" s="4" t="s">
        <v>615</v>
      </c>
      <c r="C1978" s="4" t="s">
        <v>278</v>
      </c>
      <c r="D1978" s="94">
        <v>638.0</v>
      </c>
    </row>
    <row r="1979">
      <c r="A1979" s="40">
        <f t="array" ref="A1979">IFNA(index(PlayerValues!A:A,match(IFNA(vlookup(B1979,'Special Names'!A:B,2,FALSE),B1979),PlayerValues!E:E,0)),"N/A")</f>
        <v>17038</v>
      </c>
      <c r="B1979" s="4" t="s">
        <v>774</v>
      </c>
      <c r="C1979" s="4" t="s">
        <v>283</v>
      </c>
      <c r="D1979" s="94">
        <v>612.0</v>
      </c>
    </row>
    <row r="1980">
      <c r="A1980" s="40">
        <f t="array" ref="A1980">IFNA(index(PlayerValues!A:A,match(IFNA(vlookup(B1980,'Special Names'!A:B,2,FALSE),B1980),PlayerValues!E:E,0)),"N/A")</f>
        <v>13176</v>
      </c>
      <c r="B1980" s="4" t="s">
        <v>807</v>
      </c>
      <c r="C1980" s="4" t="s">
        <v>287</v>
      </c>
      <c r="D1980" s="94">
        <v>594.0</v>
      </c>
    </row>
    <row r="1981">
      <c r="A1981" s="40">
        <f t="array" ref="A1981">IFNA(index(PlayerValues!A:A,match(IFNA(vlookup(B1981,'Special Names'!A:B,2,FALSE),B1981),PlayerValues!E:E,0)),"N/A")</f>
        <v>16413</v>
      </c>
      <c r="B1981" s="4" t="s">
        <v>781</v>
      </c>
      <c r="C1981" s="4" t="s">
        <v>287</v>
      </c>
      <c r="D1981" s="94">
        <v>581.0</v>
      </c>
    </row>
    <row r="1982">
      <c r="A1982" s="40">
        <f t="array" ref="A1982">IFNA(index(PlayerValues!A:A,match(IFNA(vlookup(B1982,'Special Names'!A:B,2,FALSE),B1982),PlayerValues!E:E,0)),"N/A")</f>
        <v>14358</v>
      </c>
      <c r="B1982" s="4" t="s">
        <v>813</v>
      </c>
      <c r="C1982" s="4" t="s">
        <v>283</v>
      </c>
      <c r="D1982" s="94">
        <v>578.0</v>
      </c>
    </row>
    <row r="1983">
      <c r="A1983" s="40">
        <f t="array" ref="A1983">IFNA(index(PlayerValues!A:A,match(IFNA(vlookup(B1983,'Special Names'!A:B,2,FALSE),B1983),PlayerValues!E:E,0)),"N/A")</f>
        <v>13763</v>
      </c>
      <c r="B1983" s="4" t="s">
        <v>831</v>
      </c>
      <c r="C1983" s="4" t="s">
        <v>298</v>
      </c>
      <c r="D1983" s="94">
        <v>926.0</v>
      </c>
    </row>
    <row r="1984">
      <c r="A1984" s="40">
        <f t="array" ref="A1984">IFNA(index(PlayerValues!A:A,match(IFNA(vlookup(B1984,'Special Names'!A:B,2,FALSE),B1984),PlayerValues!E:E,0)),"N/A")</f>
        <v>17243</v>
      </c>
      <c r="B1984" s="4" t="s">
        <v>810</v>
      </c>
      <c r="C1984" s="4" t="s">
        <v>298</v>
      </c>
      <c r="D1984" s="94">
        <v>926.0</v>
      </c>
    </row>
    <row r="1985">
      <c r="A1985" s="40">
        <f t="array" ref="A1985">IFNA(index(PlayerValues!A:A,match(IFNA(vlookup(B1985,'Special Names'!A:B,2,FALSE),B1985),PlayerValues!E:E,0)),"N/A")</f>
        <v>17545</v>
      </c>
      <c r="B1985" s="4" t="s">
        <v>719</v>
      </c>
      <c r="C1985" s="4" t="s">
        <v>298</v>
      </c>
      <c r="D1985" s="94">
        <v>924.0</v>
      </c>
    </row>
    <row r="1986">
      <c r="A1986" s="40">
        <f t="array" ref="A1986">IFNA(index(PlayerValues!A:A,match(IFNA(vlookup(B1986,'Special Names'!A:B,2,FALSE),B1986),PlayerValues!E:E,0)),"N/A")</f>
        <v>14875</v>
      </c>
      <c r="B1986" s="4" t="s">
        <v>820</v>
      </c>
      <c r="C1986" s="4" t="s">
        <v>298</v>
      </c>
      <c r="D1986" s="94">
        <v>923.0</v>
      </c>
    </row>
    <row r="1987">
      <c r="A1987" s="40">
        <f t="array" ref="A1987">IFNA(index(PlayerValues!A:A,match(IFNA(vlookup(B1987,'Special Names'!A:B,2,FALSE),B1987),PlayerValues!E:E,0)),"N/A")</f>
        <v>12187</v>
      </c>
      <c r="B1987" s="4" t="s">
        <v>832</v>
      </c>
      <c r="C1987" s="4" t="s">
        <v>287</v>
      </c>
      <c r="D1987" s="94">
        <v>572.0</v>
      </c>
    </row>
    <row r="1988">
      <c r="A1988" s="40">
        <f t="array" ref="A1988">IFNA(index(PlayerValues!A:A,match(IFNA(vlookup(B1988,'Special Names'!A:B,2,FALSE),B1988),PlayerValues!E:E,0)),"N/A")</f>
        <v>15285</v>
      </c>
      <c r="B1988" s="4" t="s">
        <v>792</v>
      </c>
      <c r="C1988" s="4" t="s">
        <v>287</v>
      </c>
      <c r="D1988" s="94">
        <v>572.0</v>
      </c>
    </row>
    <row r="1989">
      <c r="A1989" s="40">
        <f t="array" ref="A1989">IFNA(index(PlayerValues!A:A,match(IFNA(vlookup(B1989,'Special Names'!A:B,2,FALSE),B1989),PlayerValues!E:E,0)),"N/A")</f>
        <v>16613</v>
      </c>
      <c r="B1989" s="4" t="s">
        <v>782</v>
      </c>
      <c r="C1989" s="4" t="s">
        <v>278</v>
      </c>
      <c r="D1989" s="94">
        <v>572.0</v>
      </c>
    </row>
    <row r="1990">
      <c r="A1990" s="40">
        <f t="array" ref="A1990">IFNA(index(PlayerValues!A:A,match(IFNA(vlookup(B1990,'Special Names'!A:B,2,FALSE),B1990),PlayerValues!E:E,0)),"N/A")</f>
        <v>17282</v>
      </c>
      <c r="B1990" s="4" t="s">
        <v>833</v>
      </c>
      <c r="C1990" s="4" t="s">
        <v>283</v>
      </c>
      <c r="D1990" s="94">
        <v>572.0</v>
      </c>
    </row>
    <row r="1991">
      <c r="A1991" s="40">
        <f t="array" ref="A1991">IFNA(index(PlayerValues!A:A,match(IFNA(vlookup(B1991,'Special Names'!A:B,2,FALSE),B1991),PlayerValues!E:E,0)),"N/A")</f>
        <v>14239</v>
      </c>
      <c r="B1991" s="4" t="s">
        <v>824</v>
      </c>
      <c r="C1991" s="4" t="s">
        <v>298</v>
      </c>
      <c r="D1991" s="94">
        <v>924.0</v>
      </c>
    </row>
    <row r="1992">
      <c r="A1992" s="40">
        <f t="array" ref="A1992">IFNA(index(PlayerValues!A:A,match(IFNA(vlookup(B1992,'Special Names'!A:B,2,FALSE),B1992),PlayerValues!E:E,0)),"N/A")</f>
        <v>17521</v>
      </c>
      <c r="B1992" s="4" t="s">
        <v>573</v>
      </c>
      <c r="C1992" s="4" t="s">
        <v>287</v>
      </c>
      <c r="D1992" s="94">
        <v>454.0</v>
      </c>
    </row>
    <row r="1993">
      <c r="A1993" s="40">
        <f t="array" ref="A1993">IFNA(index(PlayerValues!A:A,match(IFNA(vlookup(B1993,'Special Names'!A:B,2,FALSE),B1993),PlayerValues!E:E,0)),"N/A")</f>
        <v>17548</v>
      </c>
      <c r="B1993" s="4" t="s">
        <v>594</v>
      </c>
      <c r="C1993" s="4" t="s">
        <v>298</v>
      </c>
      <c r="D1993" s="94">
        <v>781.0</v>
      </c>
    </row>
    <row r="1994">
      <c r="A1994" s="40">
        <f t="array" ref="A1994">IFNA(index(PlayerValues!A:A,match(IFNA(vlookup(B1994,'Special Names'!A:B,2,FALSE),B1994),PlayerValues!E:E,0)),"N/A")</f>
        <v>17529</v>
      </c>
      <c r="B1994" s="4" t="s">
        <v>608</v>
      </c>
      <c r="C1994" s="4" t="s">
        <v>287</v>
      </c>
      <c r="D1994" s="94">
        <v>352.0</v>
      </c>
    </row>
    <row r="1995">
      <c r="A1995" s="40">
        <f t="array" ref="A1995">IFNA(index(PlayerValues!A:A,match(IFNA(vlookup(B1995,'Special Names'!A:B,2,FALSE),B1995),PlayerValues!E:E,0)),"N/A")</f>
        <v>17607</v>
      </c>
      <c r="B1995" s="4" t="s">
        <v>526</v>
      </c>
      <c r="C1995" s="4" t="s">
        <v>298</v>
      </c>
      <c r="D1995" s="94">
        <v>676.0</v>
      </c>
    </row>
    <row r="1996">
      <c r="A1996" s="40">
        <f t="array" ref="A1996">IFNA(index(PlayerValues!A:A,match(IFNA(vlookup(B1996,'Special Names'!A:B,2,FALSE),B1996),PlayerValues!E:E,0)),"N/A")</f>
        <v>17599</v>
      </c>
      <c r="B1996" s="4" t="s">
        <v>496</v>
      </c>
      <c r="C1996" s="4" t="s">
        <v>287</v>
      </c>
      <c r="D1996" s="94">
        <v>224.0</v>
      </c>
    </row>
    <row r="1997">
      <c r="A1997" s="40">
        <f t="array" ref="A1997">IFNA(index(PlayerValues!A:A,match(IFNA(vlookup(B1997,'Special Names'!A:B,2,FALSE),B1997),PlayerValues!E:E,0)),"N/A")</f>
        <v>17549</v>
      </c>
      <c r="B1997" s="4" t="s">
        <v>720</v>
      </c>
      <c r="C1997" s="4" t="s">
        <v>298</v>
      </c>
      <c r="D1997" s="94">
        <v>651.0</v>
      </c>
    </row>
    <row r="1998">
      <c r="A1998" s="40">
        <f t="array" ref="A1998">IFNA(index(PlayerValues!A:A,match(IFNA(vlookup(B1998,'Special Names'!A:B,2,FALSE),B1998),PlayerValues!E:E,0)),"N/A")</f>
        <v>17685</v>
      </c>
      <c r="B1998" s="4" t="s">
        <v>630</v>
      </c>
      <c r="C1998" s="4" t="s">
        <v>278</v>
      </c>
      <c r="D1998" s="94">
        <v>212.0</v>
      </c>
    </row>
    <row r="1999">
      <c r="A1999" s="40">
        <f t="array" ref="A1999">IFNA(index(PlayerValues!A:A,match(IFNA(vlookup(B1999,'Special Names'!A:B,2,FALSE),B1999),PlayerValues!E:E,0)),"N/A")</f>
        <v>17654</v>
      </c>
      <c r="B1999" s="4" t="s">
        <v>767</v>
      </c>
      <c r="C1999" s="4" t="s">
        <v>283</v>
      </c>
      <c r="D1999" s="94">
        <v>123.0</v>
      </c>
    </row>
    <row r="2000">
      <c r="A2000" s="40">
        <f t="array" ref="A2000">IFNA(index(PlayerValues!A:A,match(IFNA(vlookup(B2000,'Special Names'!A:B,2,FALSE),B2000),PlayerValues!E:E,0)),"N/A")</f>
        <v>17591</v>
      </c>
      <c r="B2000" s="4" t="s">
        <v>834</v>
      </c>
      <c r="C2000" s="4" t="s">
        <v>298</v>
      </c>
      <c r="D2000" s="94">
        <v>541.0</v>
      </c>
    </row>
    <row r="2001">
      <c r="A2001" s="40">
        <f t="array" ref="A2001">IFNA(index(PlayerValues!A:A,match(IFNA(vlookup(B2001,'Special Names'!A:B,2,FALSE),B2001),PlayerValues!E:E,0)),"N/A")</f>
        <v>13589</v>
      </c>
      <c r="B2001" s="4" t="s">
        <v>282</v>
      </c>
      <c r="C2001" s="4" t="s">
        <v>283</v>
      </c>
      <c r="D2001" s="94">
        <v>9999.0</v>
      </c>
    </row>
    <row r="2002">
      <c r="A2002" s="40">
        <f t="array" ref="A2002">IFNA(index(PlayerValues!A:A,match(IFNA(vlookup(B2002,'Special Names'!A:B,2,FALSE),B2002),PlayerValues!E:E,0)),"N/A")</f>
        <v>16161</v>
      </c>
      <c r="B2002" s="4" t="s">
        <v>277</v>
      </c>
      <c r="C2002" s="4" t="s">
        <v>278</v>
      </c>
      <c r="D2002" s="94">
        <v>9992.0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9893.0</v>
      </c>
    </row>
    <row r="2004">
      <c r="A2004" s="40">
        <f t="array" ref="A2004">IFNA(index(PlayerValues!A:A,match(IFNA(vlookup(B2004,'Special Names'!A:B,2,FALSE),B2004),PlayerValues!E:E,0)),"N/A")</f>
        <v>16185</v>
      </c>
      <c r="B2004" s="4" t="s">
        <v>290</v>
      </c>
      <c r="C2004" s="4" t="s">
        <v>287</v>
      </c>
      <c r="D2004" s="94">
        <v>9873.0</v>
      </c>
    </row>
    <row r="2005">
      <c r="A2005" s="40">
        <f t="array" ref="A2005">IFNA(index(PlayerValues!A:A,match(IFNA(vlookup(B2005,'Special Names'!A:B,2,FALSE),B2005),PlayerValues!E:E,0)),"N/A")</f>
        <v>16162</v>
      </c>
      <c r="B2005" s="4" t="s">
        <v>281</v>
      </c>
      <c r="C2005" s="4" t="s">
        <v>278</v>
      </c>
      <c r="D2005" s="94">
        <v>9605.0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9504.0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8579.0</v>
      </c>
    </row>
    <row r="2008">
      <c r="A2008" s="40">
        <f t="array" ref="A2008">IFNA(index(PlayerValues!A:A,match(IFNA(vlookup(B2008,'Special Names'!A:B,2,FALSE),B2008),PlayerValues!E:E,0)),"N/A")</f>
        <v>16641</v>
      </c>
      <c r="B2008" s="4" t="s">
        <v>297</v>
      </c>
      <c r="C2008" s="4" t="s">
        <v>298</v>
      </c>
      <c r="D2008" s="94">
        <v>8802.0</v>
      </c>
    </row>
    <row r="2009">
      <c r="A2009" s="40">
        <f t="array" ref="A2009">IFNA(index(PlayerValues!A:A,match(IFNA(vlookup(B2009,'Special Names'!A:B,2,FALSE),B2009),PlayerValues!E:E,0)),"N/A")</f>
        <v>16581</v>
      </c>
      <c r="B2009" s="4" t="s">
        <v>315</v>
      </c>
      <c r="C2009" s="4" t="s">
        <v>283</v>
      </c>
      <c r="D2009" s="94">
        <v>7866.0</v>
      </c>
    </row>
    <row r="2010">
      <c r="A2010" s="40">
        <f t="array" ref="A2010">IFNA(index(PlayerValues!A:A,match(IFNA(vlookup(B2010,'Special Names'!A:B,2,FALSE),B2010),PlayerValues!E:E,0)),"N/A")</f>
        <v>16615</v>
      </c>
      <c r="B2010" s="4" t="s">
        <v>309</v>
      </c>
      <c r="C2010" s="4" t="s">
        <v>287</v>
      </c>
      <c r="D2010" s="94">
        <v>7858.0</v>
      </c>
    </row>
    <row r="2011">
      <c r="A2011" s="40">
        <f t="array" ref="A2011">IFNA(index(PlayerValues!A:A,match(IFNA(vlookup(B2011,'Special Names'!A:B,2,FALSE),B2011),PlayerValues!E:E,0)),"N/A")</f>
        <v>16579</v>
      </c>
      <c r="B2011" s="4" t="s">
        <v>302</v>
      </c>
      <c r="C2011" s="4" t="s">
        <v>283</v>
      </c>
      <c r="D2011" s="94">
        <v>7796.0</v>
      </c>
    </row>
    <row r="2012">
      <c r="A2012" s="40">
        <f t="array" ref="A2012">IFNA(index(PlayerValues!A:A,match(IFNA(vlookup(B2012,'Special Names'!A:B,2,FALSE),B2012),PlayerValues!E:E,0)),"N/A")</f>
        <v>14836</v>
      </c>
      <c r="B2012" s="4" t="s">
        <v>306</v>
      </c>
      <c r="C2012" s="4" t="s">
        <v>287</v>
      </c>
      <c r="D2012" s="94">
        <v>7766.0</v>
      </c>
    </row>
    <row r="2013">
      <c r="A2013" s="40">
        <f t="array" ref="A2013">IFNA(index(PlayerValues!A:A,match(IFNA(vlookup(B2013,'Special Names'!A:B,2,FALSE),B2013),PlayerValues!E:E,0)),"N/A")</f>
        <v>15287</v>
      </c>
      <c r="B2013" s="4" t="s">
        <v>299</v>
      </c>
      <c r="C2013" s="4" t="s">
        <v>287</v>
      </c>
      <c r="D2013" s="94">
        <v>7693.0</v>
      </c>
    </row>
    <row r="2014">
      <c r="A2014" s="40">
        <f t="array" ref="A2014">IFNA(index(PlayerValues!A:A,match(IFNA(vlookup(B2014,'Special Names'!A:B,2,FALSE),B2014),PlayerValues!E:E,0)),"N/A")</f>
        <v>13593</v>
      </c>
      <c r="B2014" s="4" t="s">
        <v>305</v>
      </c>
      <c r="C2014" s="4" t="s">
        <v>283</v>
      </c>
      <c r="D2014" s="94">
        <v>7671.0</v>
      </c>
    </row>
    <row r="2015">
      <c r="A2015" s="40">
        <f t="array" ref="A2015">IFNA(index(PlayerValues!A:A,match(IFNA(vlookup(B2015,'Special Names'!A:B,2,FALSE),B2015),PlayerValues!E:E,0)),"N/A")</f>
        <v>17472</v>
      </c>
      <c r="B2015" s="4" t="s">
        <v>310</v>
      </c>
      <c r="C2015" s="4" t="s">
        <v>278</v>
      </c>
      <c r="D2015" s="94">
        <v>7586.0</v>
      </c>
    </row>
    <row r="2016">
      <c r="A2016" s="40">
        <f t="array" ref="A2016">IFNA(index(PlayerValues!A:A,match(IFNA(vlookup(B2016,'Special Names'!A:B,2,FALSE),B2016),PlayerValues!E:E,0)),"N/A")</f>
        <v>17042</v>
      </c>
      <c r="B2016" s="4" t="s">
        <v>314</v>
      </c>
      <c r="C2016" s="4" t="s">
        <v>278</v>
      </c>
      <c r="D2016" s="94">
        <v>7569.0</v>
      </c>
    </row>
    <row r="2017">
      <c r="A2017" s="40">
        <f t="array" ref="A2017">IFNA(index(PlayerValues!A:A,match(IFNA(vlookup(B2017,'Special Names'!A:B,2,FALSE),B2017),PlayerValues!E:E,0)),"N/A")</f>
        <v>15794</v>
      </c>
      <c r="B2017" s="4" t="s">
        <v>313</v>
      </c>
      <c r="C2017" s="4" t="s">
        <v>298</v>
      </c>
      <c r="D2017" s="94">
        <v>8371.0</v>
      </c>
    </row>
    <row r="2018">
      <c r="A2018" s="40">
        <f t="array" ref="A2018">IFNA(index(PlayerValues!A:A,match(IFNA(vlookup(B2018,'Special Names'!A:B,2,FALSE),B2018),PlayerValues!E:E,0)),"N/A")</f>
        <v>14777</v>
      </c>
      <c r="B2018" s="4" t="s">
        <v>318</v>
      </c>
      <c r="C2018" s="4" t="s">
        <v>283</v>
      </c>
      <c r="D2018" s="94">
        <v>7544.0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7315.0</v>
      </c>
    </row>
    <row r="2020">
      <c r="A2020" s="40" t="str">
        <f t="array" ref="A2020">IFNA(index(PlayerValues!A:A,match(IFNA(vlookup(B2020,'Special Names'!A:B,2,FALSE),B2020),PlayerValues!E:E,0)),"N/A")</f>
        <v>N/A</v>
      </c>
      <c r="B2020" s="4" t="s">
        <v>92</v>
      </c>
      <c r="C2020" s="4" t="s">
        <v>325</v>
      </c>
      <c r="D2020" s="94">
        <v>7022.0</v>
      </c>
    </row>
    <row r="2021">
      <c r="A2021" s="40">
        <f t="array" ref="A2021">IFNA(index(PlayerValues!A:A,match(IFNA(vlookup(B2021,'Special Names'!A:B,2,FALSE),B2021),PlayerValues!E:E,0)),"N/A")</f>
        <v>15751</v>
      </c>
      <c r="B2021" s="4" t="s">
        <v>328</v>
      </c>
      <c r="C2021" s="4" t="s">
        <v>287</v>
      </c>
      <c r="D2021" s="94">
        <v>6916.0</v>
      </c>
    </row>
    <row r="2022">
      <c r="A2022" s="40">
        <f t="array" ref="A2022">IFNA(index(PlayerValues!A:A,match(IFNA(vlookup(B2022,'Special Names'!A:B,2,FALSE),B2022),PlayerValues!E:E,0)),"N/A")</f>
        <v>16167</v>
      </c>
      <c r="B2022" s="4" t="s">
        <v>323</v>
      </c>
      <c r="C2022" s="4" t="s">
        <v>278</v>
      </c>
      <c r="D2022" s="94">
        <v>6862.0</v>
      </c>
    </row>
    <row r="2023">
      <c r="A2023" s="40">
        <f t="array" ref="A2023">IFNA(index(PlayerValues!A:A,match(IFNA(vlookup(B2023,'Special Names'!A:B,2,FALSE),B2023),PlayerValues!E:E,0)),"N/A")</f>
        <v>13116</v>
      </c>
      <c r="B2023" s="4" t="s">
        <v>345</v>
      </c>
      <c r="C2023" s="4" t="s">
        <v>283</v>
      </c>
      <c r="D2023" s="94">
        <v>6837.0</v>
      </c>
    </row>
    <row r="2024">
      <c r="A2024" s="40">
        <f t="array" ref="A2024">IFNA(index(PlayerValues!A:A,match(IFNA(vlookup(B2024,'Special Names'!A:B,2,FALSE),B2024),PlayerValues!E:E,0)),"N/A")</f>
        <v>14779</v>
      </c>
      <c r="B2024" s="4" t="s">
        <v>327</v>
      </c>
      <c r="C2024" s="4" t="s">
        <v>283</v>
      </c>
      <c r="D2024" s="94">
        <v>6796.0</v>
      </c>
    </row>
    <row r="2025">
      <c r="A2025" s="40">
        <f t="array" ref="A2025">IFNA(index(PlayerValues!A:A,match(IFNA(vlookup(B2025,'Special Names'!A:B,2,FALSE),B2025),PlayerValues!E:E,0)),"N/A")</f>
        <v>17044</v>
      </c>
      <c r="B2025" s="4" t="s">
        <v>322</v>
      </c>
      <c r="C2025" s="4" t="s">
        <v>278</v>
      </c>
      <c r="D2025" s="94">
        <v>6694.0</v>
      </c>
    </row>
    <row r="2026">
      <c r="A2026" s="40">
        <f t="array" ref="A2026">IFNA(index(PlayerValues!A:A,match(IFNA(vlookup(B2026,'Special Names'!A:B,2,FALSE),B2026),PlayerValues!E:E,0)),"N/A")</f>
        <v>17032</v>
      </c>
      <c r="B2026" s="4" t="s">
        <v>348</v>
      </c>
      <c r="C2026" s="4" t="s">
        <v>283</v>
      </c>
      <c r="D2026" s="94">
        <v>6632.0</v>
      </c>
    </row>
    <row r="2027">
      <c r="A2027" s="40">
        <f t="array" ref="A2027">IFNA(index(PlayerValues!A:A,match(IFNA(vlookup(B2027,'Special Names'!A:B,2,FALSE),B2027),PlayerValues!E:E,0)),"N/A")</f>
        <v>17071</v>
      </c>
      <c r="B2027" s="4" t="s">
        <v>341</v>
      </c>
      <c r="C2027" s="4" t="s">
        <v>287</v>
      </c>
      <c r="D2027" s="94">
        <v>6627.0</v>
      </c>
    </row>
    <row r="2028">
      <c r="A2028" s="40">
        <f t="array" ref="A2028">IFNA(index(PlayerValues!A:A,match(IFNA(vlookup(B2028,'Special Names'!A:B,2,FALSE),B2028),PlayerValues!E:E,0)),"N/A")</f>
        <v>16582</v>
      </c>
      <c r="B2028" s="4" t="s">
        <v>343</v>
      </c>
      <c r="C2028" s="4" t="s">
        <v>283</v>
      </c>
      <c r="D2028" s="94">
        <v>6232.0</v>
      </c>
    </row>
    <row r="2029">
      <c r="A2029" s="40">
        <f t="array" ref="A2029">IFNA(index(PlayerValues!A:A,match(IFNA(vlookup(B2029,'Special Names'!A:B,2,FALSE),B2029),PlayerValues!E:E,0)),"N/A")</f>
        <v>15237</v>
      </c>
      <c r="B2029" s="4" t="s">
        <v>336</v>
      </c>
      <c r="C2029" s="4" t="s">
        <v>283</v>
      </c>
      <c r="D2029" s="94">
        <v>6220.0</v>
      </c>
    </row>
    <row r="2030">
      <c r="A2030" s="40">
        <f t="array" ref="A2030">IFNA(index(PlayerValues!A:A,match(IFNA(vlookup(B2030,'Special Names'!A:B,2,FALSE),B2030),PlayerValues!E:E,0)),"N/A")</f>
        <v>14783</v>
      </c>
      <c r="B2030" s="4" t="s">
        <v>342</v>
      </c>
      <c r="C2030" s="4" t="s">
        <v>283</v>
      </c>
      <c r="D2030" s="94">
        <v>6146.0</v>
      </c>
    </row>
    <row r="2031">
      <c r="A2031" s="40">
        <f t="array" ref="A2031">IFNA(index(PlayerValues!A:A,match(IFNA(vlookup(B2031,'Special Names'!A:B,2,FALSE),B2031),PlayerValues!E:E,0)),"N/A")</f>
        <v>15715</v>
      </c>
      <c r="B2031" s="4" t="s">
        <v>331</v>
      </c>
      <c r="C2031" s="4" t="s">
        <v>278</v>
      </c>
      <c r="D2031" s="94">
        <v>6124.0</v>
      </c>
    </row>
    <row r="2032">
      <c r="A2032" s="40">
        <f t="array" ref="A2032">IFNA(index(PlayerValues!A:A,match(IFNA(vlookup(B2032,'Special Names'!A:B,2,FALSE),B2032),PlayerValues!E:E,0)),"N/A")</f>
        <v>17081</v>
      </c>
      <c r="B2032" s="4" t="s">
        <v>340</v>
      </c>
      <c r="C2032" s="4" t="s">
        <v>287</v>
      </c>
      <c r="D2032" s="94">
        <v>6117.0</v>
      </c>
    </row>
    <row r="2033">
      <c r="A2033" s="40">
        <f t="array" ref="A2033">IFNA(index(PlayerValues!A:A,match(IFNA(vlookup(B2033,'Special Names'!A:B,2,FALSE),B2033),PlayerValues!E:E,0)),"N/A")</f>
        <v>17104</v>
      </c>
      <c r="B2033" s="4" t="s">
        <v>333</v>
      </c>
      <c r="C2033" s="4" t="s">
        <v>298</v>
      </c>
      <c r="D2033" s="94">
        <v>6766.0</v>
      </c>
    </row>
    <row r="2034">
      <c r="A2034" s="40">
        <f t="array" ref="A2034">IFNA(index(PlayerValues!A:A,match(IFNA(vlookup(B2034,'Special Names'!A:B,2,FALSE),B2034),PlayerValues!E:E,0)),"N/A")</f>
        <v>14802</v>
      </c>
      <c r="B2034" s="4" t="s">
        <v>332</v>
      </c>
      <c r="C2034" s="4" t="s">
        <v>278</v>
      </c>
      <c r="D2034" s="94">
        <v>6033.0</v>
      </c>
    </row>
    <row r="2035">
      <c r="A2035" s="40">
        <f t="array" ref="A2035">IFNA(index(PlayerValues!A:A,match(IFNA(vlookup(B2035,'Special Names'!A:B,2,FALSE),B2035),PlayerValues!E:E,0)),"N/A")</f>
        <v>15762</v>
      </c>
      <c r="B2035" s="4" t="s">
        <v>337</v>
      </c>
      <c r="C2035" s="4" t="s">
        <v>287</v>
      </c>
      <c r="D2035" s="94">
        <v>5970.0</v>
      </c>
    </row>
    <row r="2036">
      <c r="A2036" s="40">
        <f t="array" ref="A2036">IFNA(index(PlayerValues!A:A,match(IFNA(vlookup(B2036,'Special Names'!A:B,2,FALSE),B2036),PlayerValues!E:E,0)),"N/A")</f>
        <v>15698</v>
      </c>
      <c r="B2036" s="4" t="s">
        <v>358</v>
      </c>
      <c r="C2036" s="4" t="s">
        <v>283</v>
      </c>
      <c r="D2036" s="94">
        <v>5895.0</v>
      </c>
    </row>
    <row r="2037">
      <c r="A2037" s="40">
        <f t="array" ref="A2037">IFNA(index(PlayerValues!A:A,match(IFNA(vlookup(B2037,'Special Names'!A:B,2,FALSE),B2037),PlayerValues!E:E,0)),"N/A")</f>
        <v>15753</v>
      </c>
      <c r="B2037" s="4" t="s">
        <v>359</v>
      </c>
      <c r="C2037" s="4" t="s">
        <v>287</v>
      </c>
      <c r="D2037" s="94">
        <v>5736.0</v>
      </c>
    </row>
    <row r="2038">
      <c r="A2038" s="40">
        <f t="array" ref="A2038">IFNA(index(PlayerValues!A:A,match(IFNA(vlookup(B2038,'Special Names'!A:B,2,FALSE),B2038),PlayerValues!E:E,0)),"N/A")</f>
        <v>17102</v>
      </c>
      <c r="B2038" s="4" t="s">
        <v>344</v>
      </c>
      <c r="C2038" s="4" t="s">
        <v>298</v>
      </c>
      <c r="D2038" s="94">
        <v>6376.0</v>
      </c>
    </row>
    <row r="2039">
      <c r="A2039" s="40">
        <f t="array" ref="A2039">IFNA(index(PlayerValues!A:A,match(IFNA(vlookup(B2039,'Special Names'!A:B,2,FALSE),B2039),PlayerValues!E:E,0)),"N/A")</f>
        <v>17497</v>
      </c>
      <c r="B2039" s="4" t="s">
        <v>365</v>
      </c>
      <c r="C2039" s="4" t="s">
        <v>287</v>
      </c>
      <c r="D2039" s="94">
        <v>5692.0</v>
      </c>
    </row>
    <row r="2040">
      <c r="A2040" s="40" t="str">
        <f t="array" ref="A2040">IFNA(index(PlayerValues!A:A,match(IFNA(vlookup(B2040,'Special Names'!A:B,2,FALSE),B2040),PlayerValues!E:E,0)),"N/A")</f>
        <v>N/A</v>
      </c>
      <c r="B2040" s="4" t="s">
        <v>79</v>
      </c>
      <c r="C2040" s="4" t="s">
        <v>325</v>
      </c>
      <c r="D2040" s="94">
        <v>5668.0</v>
      </c>
    </row>
    <row r="2041">
      <c r="A2041" s="40">
        <f t="array" ref="A2041">IFNA(index(PlayerValues!A:A,match(IFNA(vlookup(B2041,'Special Names'!A:B,2,FALSE),B2041),PlayerValues!E:E,0)),"N/A")</f>
        <v>17462</v>
      </c>
      <c r="B2041" s="4" t="s">
        <v>375</v>
      </c>
      <c r="C2041" s="4" t="s">
        <v>283</v>
      </c>
      <c r="D2041" s="94">
        <v>5649.0</v>
      </c>
    </row>
    <row r="2042">
      <c r="A2042" s="40">
        <f t="array" ref="A2042">IFNA(index(PlayerValues!A:A,match(IFNA(vlookup(B2042,'Special Names'!A:B,2,FALSE),B2042),PlayerValues!E:E,0)),"N/A")</f>
        <v>15290</v>
      </c>
      <c r="B2042" s="4" t="s">
        <v>355</v>
      </c>
      <c r="C2042" s="4" t="s">
        <v>287</v>
      </c>
      <c r="D2042" s="94">
        <v>5638.0</v>
      </c>
    </row>
    <row r="2043">
      <c r="A2043" s="40">
        <f t="array" ref="A2043">IFNA(index(PlayerValues!A:A,match(IFNA(vlookup(B2043,'Special Names'!A:B,2,FALSE),B2043),PlayerValues!E:E,0)),"N/A")</f>
        <v>14782</v>
      </c>
      <c r="B2043" s="4" t="s">
        <v>385</v>
      </c>
      <c r="C2043" s="4" t="s">
        <v>283</v>
      </c>
      <c r="D2043" s="94">
        <v>5637.0</v>
      </c>
    </row>
    <row r="2044">
      <c r="A2044" s="40">
        <f t="array" ref="A2044">IFNA(index(PlayerValues!A:A,match(IFNA(vlookup(B2044,'Special Names'!A:B,2,FALSE),B2044),PlayerValues!E:E,0)),"N/A")</f>
        <v>15754</v>
      </c>
      <c r="B2044" s="4" t="s">
        <v>354</v>
      </c>
      <c r="C2044" s="4" t="s">
        <v>287</v>
      </c>
      <c r="D2044" s="94">
        <v>5611.0</v>
      </c>
    </row>
    <row r="2045">
      <c r="A2045" s="40" t="str">
        <f t="array" ref="A2045">IFNA(index(PlayerValues!A:A,match(IFNA(vlookup(B2045,'Special Names'!A:B,2,FALSE),B2045),PlayerValues!E:E,0)),"N/A")</f>
        <v>N/A</v>
      </c>
      <c r="B2045" s="4" t="s">
        <v>93</v>
      </c>
      <c r="C2045" s="4" t="s">
        <v>325</v>
      </c>
      <c r="D2045" s="94">
        <v>5571.0</v>
      </c>
    </row>
    <row r="2046">
      <c r="A2046" s="40">
        <f t="array" ref="A2046">IFNA(index(PlayerValues!A:A,match(IFNA(vlookup(B2046,'Special Names'!A:B,2,FALSE),B2046),PlayerValues!E:E,0)),"N/A")</f>
        <v>15711</v>
      </c>
      <c r="B2046" s="4" t="s">
        <v>349</v>
      </c>
      <c r="C2046" s="4" t="s">
        <v>278</v>
      </c>
      <c r="D2046" s="94">
        <v>5531.0</v>
      </c>
    </row>
    <row r="2047">
      <c r="A2047" s="40">
        <f t="array" ref="A2047">IFNA(index(PlayerValues!A:A,match(IFNA(vlookup(B2047,'Special Names'!A:B,2,FALSE),B2047),PlayerValues!E:E,0)),"N/A")</f>
        <v>17043</v>
      </c>
      <c r="B2047" s="4" t="s">
        <v>397</v>
      </c>
      <c r="C2047" s="4" t="s">
        <v>278</v>
      </c>
      <c r="D2047" s="94">
        <v>5477.0</v>
      </c>
    </row>
    <row r="2048">
      <c r="A2048" s="40">
        <f t="array" ref="A2048">IFNA(index(PlayerValues!A:A,match(IFNA(vlookup(B2048,'Special Names'!A:B,2,FALSE),B2048),PlayerValues!E:E,0)),"N/A")</f>
        <v>17051</v>
      </c>
      <c r="B2048" s="4" t="s">
        <v>386</v>
      </c>
      <c r="C2048" s="4" t="s">
        <v>278</v>
      </c>
      <c r="D2048" s="94">
        <v>5458.0</v>
      </c>
    </row>
    <row r="2049">
      <c r="A2049" s="40">
        <f t="array" ref="A2049">IFNA(index(PlayerValues!A:A,match(IFNA(vlookup(B2049,'Special Names'!A:B,2,FALSE),B2049),PlayerValues!E:E,0)),"N/A")</f>
        <v>16627</v>
      </c>
      <c r="B2049" s="4" t="s">
        <v>351</v>
      </c>
      <c r="C2049" s="4" t="s">
        <v>287</v>
      </c>
      <c r="D2049" s="94">
        <v>5397.0</v>
      </c>
    </row>
    <row r="2050">
      <c r="A2050" s="40">
        <f t="array" ref="A2050">IFNA(index(PlayerValues!A:A,match(IFNA(vlookup(B2050,'Special Names'!A:B,2,FALSE),B2050),PlayerValues!E:E,0)),"N/A")</f>
        <v>16616</v>
      </c>
      <c r="B2050" s="4" t="s">
        <v>389</v>
      </c>
      <c r="C2050" s="4" t="s">
        <v>287</v>
      </c>
      <c r="D2050" s="94">
        <v>5363.0</v>
      </c>
    </row>
    <row r="2051">
      <c r="A2051" s="40">
        <f t="array" ref="A2051">IFNA(index(PlayerValues!A:A,match(IFNA(vlookup(B2051,'Special Names'!A:B,2,FALSE),B2051),PlayerValues!E:E,0)),"N/A")</f>
        <v>15708</v>
      </c>
      <c r="B2051" s="4" t="s">
        <v>382</v>
      </c>
      <c r="C2051" s="4" t="s">
        <v>278</v>
      </c>
      <c r="D2051" s="94">
        <v>5286.0</v>
      </c>
    </row>
    <row r="2052">
      <c r="A2052" s="40">
        <f t="array" ref="A2052">IFNA(index(PlayerValues!A:A,match(IFNA(vlookup(B2052,'Special Names'!A:B,2,FALSE),B2052),PlayerValues!E:E,0)),"N/A")</f>
        <v>17070</v>
      </c>
      <c r="B2052" s="4" t="s">
        <v>370</v>
      </c>
      <c r="C2052" s="4" t="s">
        <v>287</v>
      </c>
      <c r="D2052" s="94">
        <v>5278.0</v>
      </c>
    </row>
    <row r="2053">
      <c r="A2053" s="40">
        <f t="array" ref="A2053">IFNA(index(PlayerValues!A:A,match(IFNA(vlookup(B2053,'Special Names'!A:B,2,FALSE),B2053),PlayerValues!E:E,0)),"N/A")</f>
        <v>17030</v>
      </c>
      <c r="B2053" s="4" t="s">
        <v>406</v>
      </c>
      <c r="C2053" s="4" t="s">
        <v>283</v>
      </c>
      <c r="D2053" s="94">
        <v>5248.0</v>
      </c>
    </row>
    <row r="2054">
      <c r="A2054" s="40">
        <f t="array" ref="A2054">IFNA(index(PlayerValues!A:A,match(IFNA(vlookup(B2054,'Special Names'!A:B,2,FALSE),B2054),PlayerValues!E:E,0)),"N/A")</f>
        <v>17498</v>
      </c>
      <c r="B2054" s="4" t="s">
        <v>396</v>
      </c>
      <c r="C2054" s="4" t="s">
        <v>287</v>
      </c>
      <c r="D2054" s="94">
        <v>5212.0</v>
      </c>
    </row>
    <row r="2055">
      <c r="A2055" s="40">
        <f t="array" ref="A2055">IFNA(index(PlayerValues!A:A,match(IFNA(vlookup(B2055,'Special Names'!A:B,2,FALSE),B2055),PlayerValues!E:E,0)),"N/A")</f>
        <v>16194</v>
      </c>
      <c r="B2055" s="4" t="s">
        <v>398</v>
      </c>
      <c r="C2055" s="4" t="s">
        <v>287</v>
      </c>
      <c r="D2055" s="94">
        <v>5191.0</v>
      </c>
    </row>
    <row r="2056">
      <c r="A2056" s="40">
        <f t="array" ref="A2056">IFNA(index(PlayerValues!A:A,match(IFNA(vlookup(B2056,'Special Names'!A:B,2,FALSE),B2056),PlayerValues!E:E,0)),"N/A")</f>
        <v>15282</v>
      </c>
      <c r="B2056" s="4" t="s">
        <v>364</v>
      </c>
      <c r="C2056" s="4" t="s">
        <v>287</v>
      </c>
      <c r="D2056" s="94">
        <v>5158.0</v>
      </c>
    </row>
    <row r="2057">
      <c r="A2057" s="40">
        <f t="array" ref="A2057">IFNA(index(PlayerValues!A:A,match(IFNA(vlookup(B2057,'Special Names'!A:B,2,FALSE),B2057),PlayerValues!E:E,0)),"N/A")</f>
        <v>16614</v>
      </c>
      <c r="B2057" s="4" t="s">
        <v>403</v>
      </c>
      <c r="C2057" s="4" t="s">
        <v>287</v>
      </c>
      <c r="D2057" s="94">
        <v>5109.0</v>
      </c>
    </row>
    <row r="2058">
      <c r="A2058" s="40">
        <f t="array" ref="A2058">IFNA(index(PlayerValues!A:A,match(IFNA(vlookup(B2058,'Special Names'!A:B,2,FALSE),B2058),PlayerValues!E:E,0)),"N/A")</f>
        <v>17499</v>
      </c>
      <c r="B2058" s="4" t="s">
        <v>402</v>
      </c>
      <c r="C2058" s="4" t="s">
        <v>287</v>
      </c>
      <c r="D2058" s="94">
        <v>5081.0</v>
      </c>
    </row>
    <row r="2059">
      <c r="A2059" s="40">
        <f t="array" ref="A2059">IFNA(index(PlayerValues!A:A,match(IFNA(vlookup(B2059,'Special Names'!A:B,2,FALSE),B2059),PlayerValues!E:E,0)),"N/A")</f>
        <v>13130</v>
      </c>
      <c r="B2059" s="4" t="s">
        <v>374</v>
      </c>
      <c r="C2059" s="4" t="s">
        <v>278</v>
      </c>
      <c r="D2059" s="94">
        <v>4978.0</v>
      </c>
    </row>
    <row r="2060">
      <c r="A2060" s="40" t="str">
        <f t="array" ref="A2060">IFNA(index(PlayerValues!A:A,match(IFNA(vlookup(B2060,'Special Names'!A:B,2,FALSE),B2060),PlayerValues!E:E,0)),"N/A")</f>
        <v>N/A</v>
      </c>
      <c r="B2060" s="4" t="s">
        <v>104</v>
      </c>
      <c r="C2060" s="4" t="s">
        <v>325</v>
      </c>
      <c r="D2060" s="94">
        <v>4949.0</v>
      </c>
    </row>
    <row r="2061">
      <c r="A2061" s="40">
        <f t="array" ref="A2061">IFNA(index(PlayerValues!A:A,match(IFNA(vlookup(B2061,'Special Names'!A:B,2,FALSE),B2061),PlayerValues!E:E,0)),"N/A")</f>
        <v>16598</v>
      </c>
      <c r="B2061" s="4" t="s">
        <v>408</v>
      </c>
      <c r="C2061" s="4" t="s">
        <v>278</v>
      </c>
      <c r="D2061" s="94">
        <v>4931.0</v>
      </c>
    </row>
    <row r="2062">
      <c r="A2062" s="40">
        <f t="array" ref="A2062">IFNA(index(PlayerValues!A:A,match(IFNA(vlookup(B2062,'Special Names'!A:B,2,FALSE),B2062),PlayerValues!E:E,0)),"N/A")</f>
        <v>16618</v>
      </c>
      <c r="B2062" s="4" t="s">
        <v>411</v>
      </c>
      <c r="C2062" s="4" t="s">
        <v>287</v>
      </c>
      <c r="D2062" s="94">
        <v>4930.0</v>
      </c>
    </row>
    <row r="2063">
      <c r="A2063" s="40">
        <f t="array" ref="A2063">IFNA(index(PlayerValues!A:A,match(IFNA(vlookup(B2063,'Special Names'!A:B,2,FALSE),B2063),PlayerValues!E:E,0)),"N/A")</f>
        <v>12620</v>
      </c>
      <c r="B2063" s="4" t="s">
        <v>394</v>
      </c>
      <c r="C2063" s="4" t="s">
        <v>283</v>
      </c>
      <c r="D2063" s="94">
        <v>4918.0</v>
      </c>
    </row>
    <row r="2064">
      <c r="A2064" s="40">
        <f t="array" ref="A2064">IFNA(index(PlayerValues!A:A,match(IFNA(vlookup(B2064,'Special Names'!A:B,2,FALSE),B2064),PlayerValues!E:E,0)),"N/A")</f>
        <v>16150</v>
      </c>
      <c r="B2064" s="4" t="s">
        <v>414</v>
      </c>
      <c r="C2064" s="4" t="s">
        <v>283</v>
      </c>
      <c r="D2064" s="94">
        <v>4912.0</v>
      </c>
    </row>
    <row r="2065">
      <c r="A2065" s="40">
        <f t="array" ref="A2065">IFNA(index(PlayerValues!A:A,match(IFNA(vlookup(B2065,'Special Names'!A:B,2,FALSE),B2065),PlayerValues!E:E,0)),"N/A")</f>
        <v>17103</v>
      </c>
      <c r="B2065" s="4" t="s">
        <v>405</v>
      </c>
      <c r="C2065" s="4" t="s">
        <v>298</v>
      </c>
      <c r="D2065" s="94">
        <v>5477.0</v>
      </c>
    </row>
    <row r="2066">
      <c r="A2066" s="40">
        <f t="array" ref="A2066">IFNA(index(PlayerValues!A:A,match(IFNA(vlookup(B2066,'Special Names'!A:B,2,FALSE),B2066),PlayerValues!E:E,0)),"N/A")</f>
        <v>15284</v>
      </c>
      <c r="B2066" s="4" t="s">
        <v>390</v>
      </c>
      <c r="C2066" s="4" t="s">
        <v>287</v>
      </c>
      <c r="D2066" s="94">
        <v>4900.0</v>
      </c>
    </row>
    <row r="2067">
      <c r="A2067" s="40" t="str">
        <f t="array" ref="A2067">IFNA(index(PlayerValues!A:A,match(IFNA(vlookup(B2067,'Special Names'!A:B,2,FALSE),B2067),PlayerValues!E:E,0)),"N/A")</f>
        <v>N/A</v>
      </c>
      <c r="B2067" s="4" t="s">
        <v>94</v>
      </c>
      <c r="C2067" s="4" t="s">
        <v>325</v>
      </c>
      <c r="D2067" s="94">
        <v>4899.0</v>
      </c>
    </row>
    <row r="2068">
      <c r="A2068" s="40">
        <f t="array" ref="A2068">IFNA(index(PlayerValues!A:A,match(IFNA(vlookup(B2068,'Special Names'!A:B,2,FALSE),B2068),PlayerValues!E:E,0)),"N/A")</f>
        <v>14835</v>
      </c>
      <c r="B2068" s="4" t="s">
        <v>392</v>
      </c>
      <c r="C2068" s="4" t="s">
        <v>287</v>
      </c>
      <c r="D2068" s="94">
        <v>4895.0</v>
      </c>
    </row>
    <row r="2069">
      <c r="A2069" s="40">
        <f t="array" ref="A2069">IFNA(index(PlayerValues!A:A,match(IFNA(vlookup(B2069,'Special Names'!A:B,2,FALSE),B2069),PlayerValues!E:E,0)),"N/A")</f>
        <v>16181</v>
      </c>
      <c r="B2069" s="4" t="s">
        <v>350</v>
      </c>
      <c r="C2069" s="4" t="s">
        <v>278</v>
      </c>
      <c r="D2069" s="94">
        <v>4892.0</v>
      </c>
    </row>
    <row r="2070">
      <c r="A2070" s="40">
        <f t="array" ref="A2070">IFNA(index(PlayerValues!A:A,match(IFNA(vlookup(B2070,'Special Names'!A:B,2,FALSE),B2070),PlayerValues!E:E,0)),"N/A")</f>
        <v>13604</v>
      </c>
      <c r="B2070" s="4" t="s">
        <v>378</v>
      </c>
      <c r="C2070" s="4" t="s">
        <v>278</v>
      </c>
      <c r="D2070" s="94">
        <v>4883.0</v>
      </c>
    </row>
    <row r="2071">
      <c r="A2071" s="40">
        <f t="array" ref="A2071">IFNA(index(PlayerValues!A:A,match(IFNA(vlookup(B2071,'Special Names'!A:B,2,FALSE),B2071),PlayerValues!E:E,0)),"N/A")</f>
        <v>15710</v>
      </c>
      <c r="B2071" s="4" t="s">
        <v>395</v>
      </c>
      <c r="C2071" s="4" t="s">
        <v>278</v>
      </c>
      <c r="D2071" s="94">
        <v>4863.0</v>
      </c>
    </row>
    <row r="2072">
      <c r="A2072" s="40">
        <f t="array" ref="A2072">IFNA(index(PlayerValues!A:A,match(IFNA(vlookup(B2072,'Special Names'!A:B,2,FALSE),B2072),PlayerValues!E:E,0)),"N/A")</f>
        <v>14104</v>
      </c>
      <c r="B2072" s="4" t="s">
        <v>379</v>
      </c>
      <c r="C2072" s="4" t="s">
        <v>287</v>
      </c>
      <c r="D2072" s="94">
        <v>4854.0</v>
      </c>
    </row>
    <row r="2073">
      <c r="A2073" s="40">
        <f t="array" ref="A2073">IFNA(index(PlayerValues!A:A,match(IFNA(vlookup(B2073,'Special Names'!A:B,2,FALSE),B2073),PlayerValues!E:E,0)),"N/A")</f>
        <v>17039</v>
      </c>
      <c r="B2073" s="4" t="s">
        <v>400</v>
      </c>
      <c r="C2073" s="4" t="s">
        <v>283</v>
      </c>
      <c r="D2073" s="94">
        <v>4841.0</v>
      </c>
    </row>
    <row r="2074">
      <c r="A2074" s="40">
        <f t="array" ref="A2074">IFNA(index(PlayerValues!A:A,match(IFNA(vlookup(B2074,'Special Names'!A:B,2,FALSE),B2074),PlayerValues!E:E,0)),"N/A")</f>
        <v>13592</v>
      </c>
      <c r="B2074" s="4" t="s">
        <v>418</v>
      </c>
      <c r="C2074" s="4" t="s">
        <v>283</v>
      </c>
      <c r="D2074" s="94">
        <v>4806.0</v>
      </c>
    </row>
    <row r="2075">
      <c r="A2075" s="40">
        <f t="array" ref="A2075">IFNA(index(PlayerValues!A:A,match(IFNA(vlookup(B2075,'Special Names'!A:B,2,FALSE),B2075),PlayerValues!E:E,0)),"N/A")</f>
        <v>15756</v>
      </c>
      <c r="B2075" s="4" t="s">
        <v>399</v>
      </c>
      <c r="C2075" s="4" t="s">
        <v>287</v>
      </c>
      <c r="D2075" s="94">
        <v>4797.0</v>
      </c>
    </row>
    <row r="2076">
      <c r="A2076" s="40">
        <f t="array" ref="A2076">IFNA(index(PlayerValues!A:A,match(IFNA(vlookup(B2076,'Special Names'!A:B,2,FALSE),B2076),PlayerValues!E:E,0)),"N/A")</f>
        <v>16222</v>
      </c>
      <c r="B2076" s="4" t="s">
        <v>393</v>
      </c>
      <c r="C2076" s="4" t="s">
        <v>298</v>
      </c>
      <c r="D2076" s="94">
        <v>5323.0</v>
      </c>
    </row>
    <row r="2077">
      <c r="A2077" s="40">
        <f t="array" ref="A2077">IFNA(index(PlayerValues!A:A,match(IFNA(vlookup(B2077,'Special Names'!A:B,2,FALSE),B2077),PlayerValues!E:E,0)),"N/A")</f>
        <v>13590</v>
      </c>
      <c r="B2077" s="4" t="s">
        <v>409</v>
      </c>
      <c r="C2077" s="4" t="s">
        <v>283</v>
      </c>
      <c r="D2077" s="94">
        <v>4746.0</v>
      </c>
    </row>
    <row r="2078">
      <c r="A2078" s="40">
        <f t="array" ref="A2078">IFNA(index(PlayerValues!A:A,match(IFNA(vlookup(B2078,'Special Names'!A:B,2,FALSE),B2078),PlayerValues!E:E,0)),"N/A")</f>
        <v>12611</v>
      </c>
      <c r="B2078" s="4" t="s">
        <v>410</v>
      </c>
      <c r="C2078" s="4" t="s">
        <v>283</v>
      </c>
      <c r="D2078" s="94">
        <v>4670.0</v>
      </c>
    </row>
    <row r="2079">
      <c r="A2079" s="40">
        <f t="array" ref="A2079">IFNA(index(PlayerValues!A:A,match(IFNA(vlookup(B2079,'Special Names'!A:B,2,FALSE),B2079),PlayerValues!E:E,0)),"N/A")</f>
        <v>16190</v>
      </c>
      <c r="B2079" s="4" t="s">
        <v>371</v>
      </c>
      <c r="C2079" s="4" t="s">
        <v>287</v>
      </c>
      <c r="D2079" s="94">
        <v>4655.0</v>
      </c>
    </row>
    <row r="2080">
      <c r="A2080" s="40" t="str">
        <f t="array" ref="A2080">IFNA(index(PlayerValues!A:A,match(IFNA(vlookup(B2080,'Special Names'!A:B,2,FALSE),B2080),PlayerValues!E:E,0)),"N/A")</f>
        <v>N/A</v>
      </c>
      <c r="B2080" s="4" t="s">
        <v>80</v>
      </c>
      <c r="C2080" s="4" t="s">
        <v>325</v>
      </c>
      <c r="D2080" s="94">
        <v>4579.0</v>
      </c>
    </row>
    <row r="2081">
      <c r="A2081" s="40">
        <f t="array" ref="A2081">IFNA(index(PlayerValues!A:A,match(IFNA(vlookup(B2081,'Special Names'!A:B,2,FALSE),B2081),PlayerValues!E:E,0)),"N/A")</f>
        <v>17473</v>
      </c>
      <c r="B2081" s="4" t="s">
        <v>391</v>
      </c>
      <c r="C2081" s="4" t="s">
        <v>278</v>
      </c>
      <c r="D2081" s="94">
        <v>4577.0</v>
      </c>
    </row>
    <row r="2082">
      <c r="A2082" s="40">
        <f t="array" ref="A2082">IFNA(index(PlayerValues!A:A,match(IFNA(vlookup(B2082,'Special Names'!A:B,2,FALSE),B2082),PlayerValues!E:E,0)),"N/A")</f>
        <v>16214</v>
      </c>
      <c r="B2082" s="4" t="s">
        <v>413</v>
      </c>
      <c r="C2082" s="4" t="s">
        <v>298</v>
      </c>
      <c r="D2082" s="94">
        <v>5093.0</v>
      </c>
    </row>
    <row r="2083">
      <c r="A2083" s="40">
        <f t="array" ref="A2083">IFNA(index(PlayerValues!A:A,match(IFNA(vlookup(B2083,'Special Names'!A:B,2,FALSE),B2083),PlayerValues!E:E,0)),"N/A")</f>
        <v>16148</v>
      </c>
      <c r="B2083" s="4" t="s">
        <v>426</v>
      </c>
      <c r="C2083" s="4" t="s">
        <v>283</v>
      </c>
      <c r="D2083" s="94">
        <v>4543.0</v>
      </c>
    </row>
    <row r="2084">
      <c r="A2084" s="40">
        <f t="array" ref="A2084">IFNA(index(PlayerValues!A:A,match(IFNA(vlookup(B2084,'Special Names'!A:B,2,FALSE),B2084),PlayerValues!E:E,0)),"N/A")</f>
        <v>17045</v>
      </c>
      <c r="B2084" s="4" t="s">
        <v>407</v>
      </c>
      <c r="C2084" s="4" t="s">
        <v>278</v>
      </c>
      <c r="D2084" s="94">
        <v>4478.0</v>
      </c>
    </row>
    <row r="2085">
      <c r="A2085" s="40">
        <f t="array" ref="A2085">IFNA(index(PlayerValues!A:A,match(IFNA(vlookup(B2085,'Special Names'!A:B,2,FALSE),B2085),PlayerValues!E:E,0)),"N/A")</f>
        <v>14073</v>
      </c>
      <c r="B2085" s="4" t="s">
        <v>464</v>
      </c>
      <c r="C2085" s="4" t="s">
        <v>278</v>
      </c>
      <c r="D2085" s="94">
        <v>4451.0</v>
      </c>
    </row>
    <row r="2086">
      <c r="A2086" s="40">
        <f t="array" ref="A2086">IFNA(index(PlayerValues!A:A,match(IFNA(vlookup(B2086,'Special Names'!A:B,2,FALSE),B2086),PlayerValues!E:E,0)),"N/A")</f>
        <v>15253</v>
      </c>
      <c r="B2086" s="4" t="s">
        <v>415</v>
      </c>
      <c r="C2086" s="4" t="s">
        <v>278</v>
      </c>
      <c r="D2086" s="94">
        <v>4432.0</v>
      </c>
    </row>
    <row r="2087">
      <c r="A2087" s="40">
        <f t="array" ref="A2087">IFNA(index(PlayerValues!A:A,match(IFNA(vlookup(B2087,'Special Names'!A:B,2,FALSE),B2087),PlayerValues!E:E,0)),"N/A")</f>
        <v>15329</v>
      </c>
      <c r="B2087" s="4" t="s">
        <v>416</v>
      </c>
      <c r="C2087" s="4" t="s">
        <v>298</v>
      </c>
      <c r="D2087" s="94">
        <v>4969.0</v>
      </c>
    </row>
    <row r="2088">
      <c r="A2088" s="40">
        <f t="array" ref="A2088">IFNA(index(PlayerValues!A:A,match(IFNA(vlookup(B2088,'Special Names'!A:B,2,FALSE),B2088),PlayerValues!E:E,0)),"N/A")</f>
        <v>15256</v>
      </c>
      <c r="B2088" s="4" t="s">
        <v>401</v>
      </c>
      <c r="C2088" s="4" t="s">
        <v>278</v>
      </c>
      <c r="D2088" s="94">
        <v>4416.0</v>
      </c>
    </row>
    <row r="2089">
      <c r="A2089" s="40" t="str">
        <f t="array" ref="A2089">IFNA(index(PlayerValues!A:A,match(IFNA(vlookup(B2089,'Special Names'!A:B,2,FALSE),B2089),PlayerValues!E:E,0)),"N/A")</f>
        <v>N/A</v>
      </c>
      <c r="B2089" s="4" t="s">
        <v>105</v>
      </c>
      <c r="C2089" s="4" t="s">
        <v>325</v>
      </c>
      <c r="D2089" s="94">
        <v>4409.0</v>
      </c>
    </row>
    <row r="2090">
      <c r="A2090" s="40">
        <f t="array" ref="A2090">IFNA(index(PlayerValues!A:A,match(IFNA(vlookup(B2090,'Special Names'!A:B,2,FALSE),B2090),PlayerValues!E:E,0)),"N/A")</f>
        <v>17501</v>
      </c>
      <c r="B2090" s="4" t="s">
        <v>404</v>
      </c>
      <c r="C2090" s="4" t="s">
        <v>287</v>
      </c>
      <c r="D2090" s="94">
        <v>4407.0</v>
      </c>
    </row>
    <row r="2091">
      <c r="A2091" s="40">
        <f t="array" ref="A2091">IFNA(index(PlayerValues!A:A,match(IFNA(vlookup(B2091,'Special Names'!A:B,2,FALSE),B2091),PlayerValues!E:E,0)),"N/A")</f>
        <v>15768</v>
      </c>
      <c r="B2091" s="4" t="s">
        <v>432</v>
      </c>
      <c r="C2091" s="4" t="s">
        <v>287</v>
      </c>
      <c r="D2091" s="94">
        <v>4162.0</v>
      </c>
    </row>
    <row r="2092">
      <c r="A2092" s="40">
        <f t="array" ref="A2092">IFNA(index(PlayerValues!A:A,match(IFNA(vlookup(B2092,'Special Names'!A:B,2,FALSE),B2092),PlayerValues!E:E,0)),"N/A")</f>
        <v>14056</v>
      </c>
      <c r="B2092" s="4" t="s">
        <v>423</v>
      </c>
      <c r="C2092" s="4" t="s">
        <v>283</v>
      </c>
      <c r="D2092" s="94">
        <v>4099.0</v>
      </c>
    </row>
    <row r="2093">
      <c r="A2093" s="40">
        <f t="array" ref="A2093">IFNA(index(PlayerValues!A:A,match(IFNA(vlookup(B2093,'Special Names'!A:B,2,FALSE),B2093),PlayerValues!E:E,0)),"N/A")</f>
        <v>15694</v>
      </c>
      <c r="B2093" s="4" t="s">
        <v>434</v>
      </c>
      <c r="C2093" s="4" t="s">
        <v>283</v>
      </c>
      <c r="D2093" s="94">
        <v>4077.0</v>
      </c>
    </row>
    <row r="2094">
      <c r="A2094" s="40">
        <f t="array" ref="A2094">IFNA(index(PlayerValues!A:A,match(IFNA(vlookup(B2094,'Special Names'!A:B,2,FALSE),B2094),PlayerValues!E:E,0)),"N/A")</f>
        <v>17543</v>
      </c>
      <c r="B2094" s="4" t="s">
        <v>436</v>
      </c>
      <c r="C2094" s="4" t="s">
        <v>298</v>
      </c>
      <c r="D2094" s="94">
        <v>4568.0</v>
      </c>
    </row>
    <row r="2095">
      <c r="A2095" s="40">
        <f t="array" ref="A2095">IFNA(index(PlayerValues!A:A,match(IFNA(vlookup(B2095,'Special Names'!A:B,2,FALSE),B2095),PlayerValues!E:E,0)),"N/A")</f>
        <v>14059</v>
      </c>
      <c r="B2095" s="4" t="s">
        <v>435</v>
      </c>
      <c r="C2095" s="4" t="s">
        <v>283</v>
      </c>
      <c r="D2095" s="94">
        <v>4011.0</v>
      </c>
    </row>
    <row r="2096">
      <c r="A2096" s="40">
        <f t="array" ref="A2096">IFNA(index(PlayerValues!A:A,match(IFNA(vlookup(B2096,'Special Names'!A:B,2,FALSE),B2096),PlayerValues!E:E,0)),"N/A")</f>
        <v>16186</v>
      </c>
      <c r="B2096" s="4" t="s">
        <v>425</v>
      </c>
      <c r="C2096" s="4" t="s">
        <v>287</v>
      </c>
      <c r="D2096" s="94">
        <v>3973.0</v>
      </c>
    </row>
    <row r="2097">
      <c r="A2097" s="40">
        <f t="array" ref="A2097">IFNA(index(PlayerValues!A:A,match(IFNA(vlookup(B2097,'Special Names'!A:B,2,FALSE),B2097),PlayerValues!E:E,0)),"N/A")</f>
        <v>17052</v>
      </c>
      <c r="B2097" s="4" t="s">
        <v>417</v>
      </c>
      <c r="C2097" s="4" t="s">
        <v>278</v>
      </c>
      <c r="D2097" s="94">
        <v>3930.0</v>
      </c>
    </row>
    <row r="2098">
      <c r="A2098" s="40" t="str">
        <f t="array" ref="A2098">IFNA(index(PlayerValues!A:A,match(IFNA(vlookup(B2098,'Special Names'!A:B,2,FALSE),B2098),PlayerValues!E:E,0)),"N/A")</f>
        <v>N/A</v>
      </c>
      <c r="B2098" s="4" t="s">
        <v>95</v>
      </c>
      <c r="C2098" s="4" t="s">
        <v>325</v>
      </c>
      <c r="D2098" s="94">
        <v>3898.0</v>
      </c>
    </row>
    <row r="2099">
      <c r="A2099" s="40" t="str">
        <f t="array" ref="A2099">IFNA(index(PlayerValues!A:A,match(IFNA(vlookup(B2099,'Special Names'!A:B,2,FALSE),B2099),PlayerValues!E:E,0)),"N/A")</f>
        <v>N/A</v>
      </c>
      <c r="B2099" s="4" t="s">
        <v>107</v>
      </c>
      <c r="C2099" s="4" t="s">
        <v>325</v>
      </c>
      <c r="D2099" s="94">
        <v>3883.0</v>
      </c>
    </row>
    <row r="2100">
      <c r="A2100" s="40">
        <f t="array" ref="A2100">IFNA(index(PlayerValues!A:A,match(IFNA(vlookup(B2100,'Special Names'!A:B,2,FALSE),B2100),PlayerValues!E:E,0)),"N/A")</f>
        <v>17099</v>
      </c>
      <c r="B2100" s="4" t="s">
        <v>474</v>
      </c>
      <c r="C2100" s="4" t="s">
        <v>298</v>
      </c>
      <c r="D2100" s="94">
        <v>4362.0</v>
      </c>
    </row>
    <row r="2101">
      <c r="A2101" s="40" t="str">
        <f t="array" ref="A2101">IFNA(index(PlayerValues!A:A,match(IFNA(vlookup(B2101,'Special Names'!A:B,2,FALSE),B2101),PlayerValues!E:E,0)),"N/A")</f>
        <v>N/A</v>
      </c>
      <c r="B2101" s="4" t="s">
        <v>81</v>
      </c>
      <c r="C2101" s="4" t="s">
        <v>325</v>
      </c>
      <c r="D2101" s="94">
        <v>3862.0</v>
      </c>
    </row>
    <row r="2102">
      <c r="A2102" s="40">
        <f t="array" ref="A2102">IFNA(index(PlayerValues!A:A,match(IFNA(vlookup(B2102,'Special Names'!A:B,2,FALSE),B2102),PlayerValues!E:E,0)),"N/A")</f>
        <v>17502</v>
      </c>
      <c r="B2102" s="4" t="s">
        <v>451</v>
      </c>
      <c r="C2102" s="4" t="s">
        <v>287</v>
      </c>
      <c r="D2102" s="94">
        <v>3828.0</v>
      </c>
    </row>
    <row r="2103">
      <c r="A2103" s="40">
        <f t="array" ref="A2103">IFNA(index(PlayerValues!A:A,match(IFNA(vlookup(B2103,'Special Names'!A:B,2,FALSE),B2103),PlayerValues!E:E,0)),"N/A")</f>
        <v>12626</v>
      </c>
      <c r="B2103" s="4" t="s">
        <v>419</v>
      </c>
      <c r="C2103" s="4" t="s">
        <v>278</v>
      </c>
      <c r="D2103" s="94">
        <v>3818.0</v>
      </c>
    </row>
    <row r="2104">
      <c r="A2104" s="40">
        <f t="array" ref="A2104">IFNA(index(PlayerValues!A:A,match(IFNA(vlookup(B2104,'Special Names'!A:B,2,FALSE),B2104),PlayerValues!E:E,0)),"N/A")</f>
        <v>13635</v>
      </c>
      <c r="B2104" s="4" t="s">
        <v>424</v>
      </c>
      <c r="C2104" s="4" t="s">
        <v>287</v>
      </c>
      <c r="D2104" s="94">
        <v>3806.0</v>
      </c>
    </row>
    <row r="2105">
      <c r="A2105" s="40">
        <f t="array" ref="A2105">IFNA(index(PlayerValues!A:A,match(IFNA(vlookup(B2105,'Special Names'!A:B,2,FALSE),B2105),PlayerValues!E:E,0)),"N/A")</f>
        <v>14102</v>
      </c>
      <c r="B2105" s="4" t="s">
        <v>444</v>
      </c>
      <c r="C2105" s="4" t="s">
        <v>287</v>
      </c>
      <c r="D2105" s="94">
        <v>3731.0</v>
      </c>
    </row>
    <row r="2106">
      <c r="A2106" s="40">
        <f t="array" ref="A2106">IFNA(index(PlayerValues!A:A,match(IFNA(vlookup(B2106,'Special Names'!A:B,2,FALSE),B2106),PlayerValues!E:E,0)),"N/A")</f>
        <v>16206</v>
      </c>
      <c r="B2106" s="4" t="s">
        <v>431</v>
      </c>
      <c r="C2106" s="4" t="s">
        <v>287</v>
      </c>
      <c r="D2106" s="94">
        <v>3709.0</v>
      </c>
    </row>
    <row r="2107">
      <c r="A2107" s="40">
        <f t="array" ref="A2107">IFNA(index(PlayerValues!A:A,match(IFNA(vlookup(B2107,'Special Names'!A:B,2,FALSE),B2107),PlayerValues!E:E,0)),"N/A")</f>
        <v>17075</v>
      </c>
      <c r="B2107" s="4" t="s">
        <v>429</v>
      </c>
      <c r="C2107" s="4" t="s">
        <v>287</v>
      </c>
      <c r="D2107" s="94">
        <v>3707.0</v>
      </c>
    </row>
    <row r="2108">
      <c r="A2108" s="40">
        <f t="array" ref="A2108">IFNA(index(PlayerValues!A:A,match(IFNA(vlookup(B2108,'Special Names'!A:B,2,FALSE),B2108),PlayerValues!E:E,0)),"N/A")</f>
        <v>9431</v>
      </c>
      <c r="B2108" s="4" t="s">
        <v>428</v>
      </c>
      <c r="C2108" s="4" t="s">
        <v>283</v>
      </c>
      <c r="D2108" s="94">
        <v>3703.0</v>
      </c>
    </row>
    <row r="2109">
      <c r="A2109" s="40">
        <f t="array" ref="A2109">IFNA(index(PlayerValues!A:A,match(IFNA(vlookup(B2109,'Special Names'!A:B,2,FALSE),B2109),PlayerValues!E:E,0)),"N/A")</f>
        <v>17463</v>
      </c>
      <c r="B2109" s="4" t="s">
        <v>433</v>
      </c>
      <c r="C2109" s="4" t="s">
        <v>283</v>
      </c>
      <c r="D2109" s="94">
        <v>3690.0</v>
      </c>
    </row>
    <row r="2110">
      <c r="A2110" s="40">
        <f t="array" ref="A2110">IFNA(index(PlayerValues!A:A,match(IFNA(vlookup(B2110,'Special Names'!A:B,2,FALSE),B2110),PlayerValues!E:E,0)),"N/A")</f>
        <v>15789</v>
      </c>
      <c r="B2110" s="4" t="s">
        <v>421</v>
      </c>
      <c r="C2110" s="4" t="s">
        <v>287</v>
      </c>
      <c r="D2110" s="94">
        <v>3667.0</v>
      </c>
    </row>
    <row r="2111">
      <c r="A2111" s="40">
        <f t="array" ref="A2111">IFNA(index(PlayerValues!A:A,match(IFNA(vlookup(B2111,'Special Names'!A:B,2,FALSE),B2111),PlayerValues!E:E,0)),"N/A")</f>
        <v>17068</v>
      </c>
      <c r="B2111" s="4" t="s">
        <v>450</v>
      </c>
      <c r="C2111" s="4" t="s">
        <v>278</v>
      </c>
      <c r="D2111" s="94">
        <v>3649.0</v>
      </c>
    </row>
    <row r="2112">
      <c r="A2112" s="40">
        <f t="array" ref="A2112">IFNA(index(PlayerValues!A:A,match(IFNA(vlookup(B2112,'Special Names'!A:B,2,FALSE),B2112),PlayerValues!E:E,0)),"N/A")</f>
        <v>15757</v>
      </c>
      <c r="B2112" s="4" t="s">
        <v>449</v>
      </c>
      <c r="C2112" s="4" t="s">
        <v>287</v>
      </c>
      <c r="D2112" s="94">
        <v>3582.0</v>
      </c>
    </row>
    <row r="2113">
      <c r="A2113" s="40">
        <f t="array" ref="A2113">IFNA(index(PlayerValues!A:A,match(IFNA(vlookup(B2113,'Special Names'!A:B,2,FALSE),B2113),PlayerValues!E:E,0)),"N/A")</f>
        <v>17066</v>
      </c>
      <c r="B2113" s="4" t="s">
        <v>446</v>
      </c>
      <c r="C2113" s="4" t="s">
        <v>278</v>
      </c>
      <c r="D2113" s="94">
        <v>3570.0</v>
      </c>
    </row>
    <row r="2114">
      <c r="A2114" s="40">
        <f t="array" ref="A2114">IFNA(index(PlayerValues!A:A,match(IFNA(vlookup(B2114,'Special Names'!A:B,2,FALSE),B2114),PlayerValues!E:E,0)),"N/A")</f>
        <v>16622</v>
      </c>
      <c r="B2114" s="4" t="s">
        <v>517</v>
      </c>
      <c r="C2114" s="4" t="s">
        <v>287</v>
      </c>
      <c r="D2114" s="94">
        <v>3550.0</v>
      </c>
    </row>
    <row r="2115">
      <c r="A2115" s="40">
        <f t="array" ref="A2115">IFNA(index(PlayerValues!A:A,match(IFNA(vlookup(B2115,'Special Names'!A:B,2,FALSE),B2115),PlayerValues!E:E,0)),"N/A")</f>
        <v>14797</v>
      </c>
      <c r="B2115" s="4" t="s">
        <v>420</v>
      </c>
      <c r="C2115" s="4" t="s">
        <v>278</v>
      </c>
      <c r="D2115" s="94">
        <v>3547.0</v>
      </c>
    </row>
    <row r="2116">
      <c r="A2116" s="40">
        <f t="array" ref="A2116">IFNA(index(PlayerValues!A:A,match(IFNA(vlookup(B2116,'Special Names'!A:B,2,FALSE),B2116),PlayerValues!E:E,0)),"N/A")</f>
        <v>17083</v>
      </c>
      <c r="B2116" s="4" t="s">
        <v>479</v>
      </c>
      <c r="C2116" s="4" t="s">
        <v>287</v>
      </c>
      <c r="D2116" s="94">
        <v>3507.0</v>
      </c>
    </row>
    <row r="2117">
      <c r="A2117" s="40">
        <f t="array" ref="A2117">IFNA(index(PlayerValues!A:A,match(IFNA(vlookup(B2117,'Special Names'!A:B,2,FALSE),B2117),PlayerValues!E:E,0)),"N/A")</f>
        <v>16192</v>
      </c>
      <c r="B2117" s="4" t="s">
        <v>412</v>
      </c>
      <c r="C2117" s="4" t="s">
        <v>287</v>
      </c>
      <c r="D2117" s="94">
        <v>3483.0</v>
      </c>
    </row>
    <row r="2118">
      <c r="A2118" s="40">
        <f t="array" ref="A2118">IFNA(index(PlayerValues!A:A,match(IFNA(vlookup(B2118,'Special Names'!A:B,2,FALSE),B2118),PlayerValues!E:E,0)),"N/A")</f>
        <v>14109</v>
      </c>
      <c r="B2118" s="4" t="s">
        <v>437</v>
      </c>
      <c r="C2118" s="4" t="s">
        <v>287</v>
      </c>
      <c r="D2118" s="94">
        <v>3463.0</v>
      </c>
    </row>
    <row r="2119">
      <c r="A2119" s="40">
        <f t="array" ref="A2119">IFNA(index(PlayerValues!A:A,match(IFNA(vlookup(B2119,'Special Names'!A:B,2,FALSE),B2119),PlayerValues!E:E,0)),"N/A")</f>
        <v>16187</v>
      </c>
      <c r="B2119" s="4" t="s">
        <v>441</v>
      </c>
      <c r="C2119" s="4" t="s">
        <v>287</v>
      </c>
      <c r="D2119" s="94">
        <v>3458.0</v>
      </c>
    </row>
    <row r="2120">
      <c r="A2120" s="40">
        <f t="array" ref="A2120">IFNA(index(PlayerValues!A:A,match(IFNA(vlookup(B2120,'Special Names'!A:B,2,FALSE),B2120),PlayerValues!E:E,0)),"N/A")</f>
        <v>11675</v>
      </c>
      <c r="B2120" s="4" t="s">
        <v>438</v>
      </c>
      <c r="C2120" s="4" t="s">
        <v>287</v>
      </c>
      <c r="D2120" s="94">
        <v>3425.0</v>
      </c>
    </row>
    <row r="2121">
      <c r="A2121" s="40">
        <f t="array" ref="A2121">IFNA(index(PlayerValues!A:A,match(IFNA(vlookup(B2121,'Special Names'!A:B,2,FALSE),B2121),PlayerValues!E:E,0)),"N/A")</f>
        <v>17544</v>
      </c>
      <c r="B2121" s="4" t="s">
        <v>470</v>
      </c>
      <c r="C2121" s="4" t="s">
        <v>298</v>
      </c>
      <c r="D2121" s="94">
        <v>3876.0</v>
      </c>
    </row>
    <row r="2122">
      <c r="A2122" s="40">
        <f t="array" ref="A2122">IFNA(index(PlayerValues!A:A,match(IFNA(vlookup(B2122,'Special Names'!A:B,2,FALSE),B2122),PlayerValues!E:E,0)),"N/A")</f>
        <v>17500</v>
      </c>
      <c r="B2122" s="4" t="s">
        <v>430</v>
      </c>
      <c r="C2122" s="4" t="s">
        <v>287</v>
      </c>
      <c r="D2122" s="94">
        <v>3415.0</v>
      </c>
    </row>
    <row r="2123">
      <c r="A2123" s="40">
        <f t="array" ref="A2123">IFNA(index(PlayerValues!A:A,match(IFNA(vlookup(B2123,'Special Names'!A:B,2,FALSE),B2123),PlayerValues!E:E,0)),"N/A")</f>
        <v>16188</v>
      </c>
      <c r="B2123" s="4" t="s">
        <v>439</v>
      </c>
      <c r="C2123" s="4" t="s">
        <v>287</v>
      </c>
      <c r="D2123" s="94">
        <v>3392.0</v>
      </c>
    </row>
    <row r="2124">
      <c r="A2124" s="40" t="str">
        <f t="array" ref="A2124">IFNA(index(PlayerValues!A:A,match(IFNA(vlookup(B2124,'Special Names'!A:B,2,FALSE),B2124),PlayerValues!E:E,0)),"N/A")</f>
        <v>N/A</v>
      </c>
      <c r="B2124" s="4" t="s">
        <v>96</v>
      </c>
      <c r="C2124" s="4" t="s">
        <v>325</v>
      </c>
      <c r="D2124" s="94">
        <v>3392.0</v>
      </c>
    </row>
    <row r="2125">
      <c r="A2125" s="40">
        <f t="array" ref="A2125">IFNA(index(PlayerValues!A:A,match(IFNA(vlookup(B2125,'Special Names'!A:B,2,FALSE),B2125),PlayerValues!E:E,0)),"N/A")</f>
        <v>16620</v>
      </c>
      <c r="B2125" s="4" t="s">
        <v>467</v>
      </c>
      <c r="C2125" s="4" t="s">
        <v>287</v>
      </c>
      <c r="D2125" s="94">
        <v>3379.0</v>
      </c>
    </row>
    <row r="2126">
      <c r="A2126" s="40">
        <f t="array" ref="A2126">IFNA(index(PlayerValues!A:A,match(IFNA(vlookup(B2126,'Special Names'!A:B,2,FALSE),B2126),PlayerValues!E:E,0)),"N/A")</f>
        <v>14071</v>
      </c>
      <c r="B2126" s="4" t="s">
        <v>440</v>
      </c>
      <c r="C2126" s="4" t="s">
        <v>278</v>
      </c>
      <c r="D2126" s="94">
        <v>3375.0</v>
      </c>
    </row>
    <row r="2127">
      <c r="A2127" s="40">
        <f t="array" ref="A2127">IFNA(index(PlayerValues!A:A,match(IFNA(vlookup(B2127,'Special Names'!A:B,2,FALSE),B2127),PlayerValues!E:E,0)),"N/A")</f>
        <v>14842</v>
      </c>
      <c r="B2127" s="4" t="s">
        <v>456</v>
      </c>
      <c r="C2127" s="4" t="s">
        <v>287</v>
      </c>
      <c r="D2127" s="94">
        <v>3362.0</v>
      </c>
    </row>
    <row r="2128">
      <c r="A2128" s="40">
        <f t="array" ref="A2128">IFNA(index(PlayerValues!A:A,match(IFNA(vlookup(B2128,'Special Names'!A:B,2,FALSE),B2128),PlayerValues!E:E,0)),"N/A")</f>
        <v>16169</v>
      </c>
      <c r="B2128" s="4" t="s">
        <v>457</v>
      </c>
      <c r="C2128" s="4" t="s">
        <v>278</v>
      </c>
      <c r="D2128" s="94">
        <v>3361.0</v>
      </c>
    </row>
    <row r="2129">
      <c r="A2129" s="40">
        <f t="array" ref="A2129">IFNA(index(PlayerValues!A:A,match(IFNA(vlookup(B2129,'Special Names'!A:B,2,FALSE),B2129),PlayerValues!E:E,0)),"N/A")</f>
        <v>15798</v>
      </c>
      <c r="B2129" s="4" t="s">
        <v>443</v>
      </c>
      <c r="C2129" s="4" t="s">
        <v>298</v>
      </c>
      <c r="D2129" s="94">
        <v>3808.0</v>
      </c>
    </row>
    <row r="2130">
      <c r="A2130" s="40">
        <f t="array" ref="A2130">IFNA(index(PlayerValues!A:A,match(IFNA(vlookup(B2130,'Special Names'!A:B,2,FALSE),B2130),PlayerValues!E:E,0)),"N/A")</f>
        <v>15779</v>
      </c>
      <c r="B2130" s="4" t="s">
        <v>461</v>
      </c>
      <c r="C2130" s="4" t="s">
        <v>287</v>
      </c>
      <c r="D2130" s="94">
        <v>3342.0</v>
      </c>
    </row>
    <row r="2131">
      <c r="A2131" s="40">
        <f t="array" ref="A2131">IFNA(index(PlayerValues!A:A,match(IFNA(vlookup(B2131,'Special Names'!A:B,2,FALSE),B2131),PlayerValues!E:E,0)),"N/A")</f>
        <v>15261</v>
      </c>
      <c r="B2131" s="4" t="s">
        <v>466</v>
      </c>
      <c r="C2131" s="4" t="s">
        <v>278</v>
      </c>
      <c r="D2131" s="94">
        <v>3341.0</v>
      </c>
    </row>
    <row r="2132">
      <c r="A2132" s="40">
        <f t="array" ref="A2132">IFNA(index(PlayerValues!A:A,match(IFNA(vlookup(B2132,'Special Names'!A:B,2,FALSE),B2132),PlayerValues!E:E,0)),"N/A")</f>
        <v>16184</v>
      </c>
      <c r="B2132" s="4" t="s">
        <v>445</v>
      </c>
      <c r="C2132" s="4" t="s">
        <v>287</v>
      </c>
      <c r="D2132" s="94">
        <v>3333.0</v>
      </c>
    </row>
    <row r="2133">
      <c r="A2133" s="40">
        <f t="array" ref="A2133">IFNA(index(PlayerValues!A:A,match(IFNA(vlookup(B2133,'Special Names'!A:B,2,FALSE),B2133),PlayerValues!E:E,0)),"N/A")</f>
        <v>13299</v>
      </c>
      <c r="B2133" s="4" t="s">
        <v>448</v>
      </c>
      <c r="C2133" s="4" t="s">
        <v>298</v>
      </c>
      <c r="D2133" s="94">
        <v>3768.0</v>
      </c>
    </row>
    <row r="2134">
      <c r="A2134" s="40">
        <f t="array" ref="A2134">IFNA(index(PlayerValues!A:A,match(IFNA(vlookup(B2134,'Special Names'!A:B,2,FALSE),B2134),PlayerValues!E:E,0)),"N/A")</f>
        <v>17074</v>
      </c>
      <c r="B2134" s="4" t="s">
        <v>475</v>
      </c>
      <c r="C2134" s="4" t="s">
        <v>287</v>
      </c>
      <c r="D2134" s="94">
        <v>3312.0</v>
      </c>
    </row>
    <row r="2135">
      <c r="A2135" s="40">
        <f t="array" ref="A2135">IFNA(index(PlayerValues!A:A,match(IFNA(vlookup(B2135,'Special Names'!A:B,2,FALSE),B2135),PlayerValues!E:E,0)),"N/A")</f>
        <v>15799</v>
      </c>
      <c r="B2135" s="4" t="s">
        <v>468</v>
      </c>
      <c r="C2135" s="4" t="s">
        <v>298</v>
      </c>
      <c r="D2135" s="94">
        <v>3740.0</v>
      </c>
    </row>
    <row r="2136">
      <c r="A2136" s="40">
        <f t="array" ref="A2136">IFNA(index(PlayerValues!A:A,match(IFNA(vlookup(B2136,'Special Names'!A:B,2,FALSE),B2136),PlayerValues!E:E,0)),"N/A")</f>
        <v>11671</v>
      </c>
      <c r="B2136" s="4" t="s">
        <v>463</v>
      </c>
      <c r="C2136" s="4" t="s">
        <v>287</v>
      </c>
      <c r="D2136" s="94">
        <v>3277.0</v>
      </c>
    </row>
    <row r="2137">
      <c r="A2137" s="40" t="str">
        <f t="array" ref="A2137">IFNA(index(PlayerValues!A:A,match(IFNA(vlookup(B2137,'Special Names'!A:B,2,FALSE),B2137),PlayerValues!E:E,0)),"N/A")</f>
        <v>N/A</v>
      </c>
      <c r="B2137" s="4" t="s">
        <v>82</v>
      </c>
      <c r="C2137" s="4" t="s">
        <v>325</v>
      </c>
      <c r="D2137" s="94">
        <v>3259.0</v>
      </c>
    </row>
    <row r="2138">
      <c r="A2138" s="40">
        <f t="array" ref="A2138">IFNA(index(PlayerValues!A:A,match(IFNA(vlookup(B2138,'Special Names'!A:B,2,FALSE),B2138),PlayerValues!E:E,0)),"N/A")</f>
        <v>14127</v>
      </c>
      <c r="B2138" s="4" t="s">
        <v>486</v>
      </c>
      <c r="C2138" s="4" t="s">
        <v>287</v>
      </c>
      <c r="D2138" s="94">
        <v>3243.0</v>
      </c>
    </row>
    <row r="2139">
      <c r="A2139" s="40">
        <f t="array" ref="A2139">IFNA(index(PlayerValues!A:A,match(IFNA(vlookup(B2139,'Special Names'!A:B,2,FALSE),B2139),PlayerValues!E:E,0)),"N/A")</f>
        <v>13630</v>
      </c>
      <c r="B2139" s="4" t="s">
        <v>465</v>
      </c>
      <c r="C2139" s="4" t="s">
        <v>287</v>
      </c>
      <c r="D2139" s="94">
        <v>3238.0</v>
      </c>
    </row>
    <row r="2140">
      <c r="A2140" s="40">
        <f t="array" ref="A2140">IFNA(index(PlayerValues!A:A,match(IFNA(vlookup(B2140,'Special Names'!A:B,2,FALSE),B2140),PlayerValues!E:E,0)),"N/A")</f>
        <v>16213</v>
      </c>
      <c r="B2140" s="4" t="s">
        <v>458</v>
      </c>
      <c r="C2140" s="4" t="s">
        <v>298</v>
      </c>
      <c r="D2140" s="94">
        <v>3665.0</v>
      </c>
    </row>
    <row r="2141">
      <c r="A2141" s="40" t="str">
        <f t="array" ref="A2141">IFNA(index(PlayerValues!A:A,match(IFNA(vlookup(B2141,'Special Names'!A:B,2,FALSE),B2141),PlayerValues!E:E,0)),"N/A")</f>
        <v>N/A</v>
      </c>
      <c r="B2141" s="4" t="s">
        <v>97</v>
      </c>
      <c r="C2141" s="4" t="s">
        <v>325</v>
      </c>
      <c r="D2141" s="94">
        <v>3207.0</v>
      </c>
    </row>
    <row r="2142">
      <c r="A2142" s="40">
        <f t="array" ref="A2142">IFNA(index(PlayerValues!A:A,match(IFNA(vlookup(B2142,'Special Names'!A:B,2,FALSE),B2142),PlayerValues!E:E,0)),"N/A")</f>
        <v>16593</v>
      </c>
      <c r="B2142" s="4" t="s">
        <v>442</v>
      </c>
      <c r="C2142" s="4" t="s">
        <v>278</v>
      </c>
      <c r="D2142" s="94">
        <v>3186.0</v>
      </c>
    </row>
    <row r="2143">
      <c r="A2143" s="40">
        <f t="array" ref="A2143">IFNA(index(PlayerValues!A:A,match(IFNA(vlookup(B2143,'Special Names'!A:B,2,FALSE),B2143),PlayerValues!E:E,0)),"N/A")</f>
        <v>14823</v>
      </c>
      <c r="B2143" s="4" t="s">
        <v>459</v>
      </c>
      <c r="C2143" s="4" t="s">
        <v>278</v>
      </c>
      <c r="D2143" s="94">
        <v>3183.0</v>
      </c>
    </row>
    <row r="2144">
      <c r="A2144" s="40">
        <f t="array" ref="A2144">IFNA(index(PlayerValues!A:A,match(IFNA(vlookup(B2144,'Special Names'!A:B,2,FALSE),B2144),PlayerValues!E:E,0)),"N/A")</f>
        <v>16583</v>
      </c>
      <c r="B2144" s="4" t="s">
        <v>493</v>
      </c>
      <c r="C2144" s="4" t="s">
        <v>283</v>
      </c>
      <c r="D2144" s="94">
        <v>3143.0</v>
      </c>
    </row>
    <row r="2145">
      <c r="A2145" s="40">
        <f t="array" ref="A2145">IFNA(index(PlayerValues!A:A,match(IFNA(vlookup(B2145,'Special Names'!A:B,2,FALSE),B2145),PlayerValues!E:E,0)),"N/A")</f>
        <v>15742</v>
      </c>
      <c r="B2145" s="4" t="s">
        <v>447</v>
      </c>
      <c r="C2145" s="4" t="s">
        <v>278</v>
      </c>
      <c r="D2145" s="94">
        <v>3130.0</v>
      </c>
    </row>
    <row r="2146">
      <c r="A2146" s="40">
        <f t="array" ref="A2146">IFNA(index(PlayerValues!A:A,match(IFNA(vlookup(B2146,'Special Names'!A:B,2,FALSE),B2146),PlayerValues!E:E,0)),"N/A")</f>
        <v>14800</v>
      </c>
      <c r="B2146" s="4" t="s">
        <v>472</v>
      </c>
      <c r="C2146" s="4" t="s">
        <v>278</v>
      </c>
      <c r="D2146" s="94">
        <v>3129.0</v>
      </c>
    </row>
    <row r="2147">
      <c r="A2147" s="40" t="str">
        <f t="array" ref="A2147">IFNA(index(PlayerValues!A:A,match(IFNA(vlookup(B2147,'Special Names'!A:B,2,FALSE),B2147),PlayerValues!E:E,0)),"N/A")</f>
        <v>N/A</v>
      </c>
      <c r="B2147" s="4" t="s">
        <v>108</v>
      </c>
      <c r="C2147" s="4" t="s">
        <v>325</v>
      </c>
      <c r="D2147" s="94">
        <v>3108.0</v>
      </c>
    </row>
    <row r="2148">
      <c r="A2148" s="40">
        <f t="array" ref="A2148">IFNA(index(PlayerValues!A:A,match(IFNA(vlookup(B2148,'Special Names'!A:B,2,FALSE),B2148),PlayerValues!E:E,0)),"N/A")</f>
        <v>16809</v>
      </c>
      <c r="B2148" s="4" t="s">
        <v>455</v>
      </c>
      <c r="C2148" s="4" t="s">
        <v>287</v>
      </c>
      <c r="D2148" s="94">
        <v>3039.0</v>
      </c>
    </row>
    <row r="2149">
      <c r="A2149" s="40">
        <f t="array" ref="A2149">IFNA(index(PlayerValues!A:A,match(IFNA(vlookup(B2149,'Special Names'!A:B,2,FALSE),B2149),PlayerValues!E:E,0)),"N/A")</f>
        <v>16597</v>
      </c>
      <c r="B2149" s="4" t="s">
        <v>427</v>
      </c>
      <c r="C2149" s="4" t="s">
        <v>278</v>
      </c>
      <c r="D2149" s="94">
        <v>3038.0</v>
      </c>
    </row>
    <row r="2150">
      <c r="A2150" s="40">
        <f t="array" ref="A2150">IFNA(index(PlayerValues!A:A,match(IFNA(vlookup(B2150,'Special Names'!A:B,2,FALSE),B2150),PlayerValues!E:E,0)),"N/A")</f>
        <v>16080</v>
      </c>
      <c r="B2150" s="4" t="s">
        <v>499</v>
      </c>
      <c r="C2150" s="4" t="s">
        <v>287</v>
      </c>
      <c r="D2150" s="94">
        <v>3036.0</v>
      </c>
    </row>
    <row r="2151">
      <c r="A2151" s="40" t="str">
        <f t="array" ref="A2151">IFNA(index(PlayerValues!A:A,match(IFNA(vlookup(B2151,'Special Names'!A:B,2,FALSE),B2151),PlayerValues!E:E,0)),"N/A")</f>
        <v>N/A</v>
      </c>
      <c r="B2151" s="4" t="s">
        <v>84</v>
      </c>
      <c r="C2151" s="4" t="s">
        <v>325</v>
      </c>
      <c r="D2151" s="94">
        <v>3033.0</v>
      </c>
    </row>
    <row r="2152">
      <c r="A2152" s="40">
        <f t="array" ref="A2152">IFNA(index(PlayerValues!A:A,match(IFNA(vlookup(B2152,'Special Names'!A:B,2,FALSE),B2152),PlayerValues!E:E,0)),"N/A")</f>
        <v>16269</v>
      </c>
      <c r="B2152" s="4" t="s">
        <v>481</v>
      </c>
      <c r="C2152" s="4" t="s">
        <v>298</v>
      </c>
      <c r="D2152" s="94">
        <v>3441.0</v>
      </c>
    </row>
    <row r="2153">
      <c r="A2153" s="40">
        <f t="array" ref="A2153">IFNA(index(PlayerValues!A:A,match(IFNA(vlookup(B2153,'Special Names'!A:B,2,FALSE),B2153),PlayerValues!E:E,0)),"N/A")</f>
        <v>15761</v>
      </c>
      <c r="B2153" s="4" t="s">
        <v>491</v>
      </c>
      <c r="C2153" s="4" t="s">
        <v>287</v>
      </c>
      <c r="D2153" s="94">
        <v>3008.0</v>
      </c>
    </row>
    <row r="2154">
      <c r="A2154" s="40">
        <f t="array" ref="A2154">IFNA(index(PlayerValues!A:A,match(IFNA(vlookup(B2154,'Special Names'!A:B,2,FALSE),B2154),PlayerValues!E:E,0)),"N/A")</f>
        <v>16628</v>
      </c>
      <c r="B2154" s="4" t="s">
        <v>490</v>
      </c>
      <c r="C2154" s="4" t="s">
        <v>287</v>
      </c>
      <c r="D2154" s="94">
        <v>2998.0</v>
      </c>
    </row>
    <row r="2155">
      <c r="A2155" s="40">
        <f t="array" ref="A2155">IFNA(index(PlayerValues!A:A,match(IFNA(vlookup(B2155,'Special Names'!A:B,2,FALSE),B2155),PlayerValues!E:E,0)),"N/A")</f>
        <v>16584</v>
      </c>
      <c r="B2155" s="4" t="s">
        <v>569</v>
      </c>
      <c r="C2155" s="4" t="s">
        <v>283</v>
      </c>
      <c r="D2155" s="94">
        <v>2949.0</v>
      </c>
    </row>
    <row r="2156">
      <c r="A2156" s="40">
        <f t="array" ref="A2156">IFNA(index(PlayerValues!A:A,match(IFNA(vlookup(B2156,'Special Names'!A:B,2,FALSE),B2156),PlayerValues!E:E,0)),"N/A")</f>
        <v>17053</v>
      </c>
      <c r="B2156" s="4" t="s">
        <v>484</v>
      </c>
      <c r="C2156" s="4" t="s">
        <v>278</v>
      </c>
      <c r="D2156" s="94">
        <v>2944.0</v>
      </c>
    </row>
    <row r="2157">
      <c r="A2157" s="40">
        <f t="array" ref="A2157">IFNA(index(PlayerValues!A:A,match(IFNA(vlookup(B2157,'Special Names'!A:B,2,FALSE),B2157),PlayerValues!E:E,0)),"N/A")</f>
        <v>13163</v>
      </c>
      <c r="B2157" s="4" t="s">
        <v>473</v>
      </c>
      <c r="C2157" s="4" t="s">
        <v>287</v>
      </c>
      <c r="D2157" s="94">
        <v>2925.0</v>
      </c>
    </row>
    <row r="2158">
      <c r="A2158" s="40">
        <f t="array" ref="A2158">IFNA(index(PlayerValues!A:A,match(IFNA(vlookup(B2158,'Special Names'!A:B,2,FALSE),B2158),PlayerValues!E:E,0)),"N/A")</f>
        <v>15259</v>
      </c>
      <c r="B2158" s="4" t="s">
        <v>453</v>
      </c>
      <c r="C2158" s="4" t="s">
        <v>278</v>
      </c>
      <c r="D2158" s="94">
        <v>2924.0</v>
      </c>
    </row>
    <row r="2159">
      <c r="A2159" s="40" t="str">
        <f t="array" ref="A2159">IFNA(index(PlayerValues!A:A,match(IFNA(vlookup(B2159,'Special Names'!A:B,2,FALSE),B2159),PlayerValues!E:E,0)),"N/A")</f>
        <v>N/A</v>
      </c>
      <c r="B2159" s="4" t="s">
        <v>109</v>
      </c>
      <c r="C2159" s="4" t="s">
        <v>325</v>
      </c>
      <c r="D2159" s="94">
        <v>2915.0</v>
      </c>
    </row>
    <row r="2160">
      <c r="A2160" s="40">
        <f t="array" ref="A2160">IFNA(index(PlayerValues!A:A,match(IFNA(vlookup(B2160,'Special Names'!A:B,2,FALSE),B2160),PlayerValues!E:E,0)),"N/A")</f>
        <v>17256</v>
      </c>
      <c r="B2160" s="4" t="s">
        <v>462</v>
      </c>
      <c r="C2160" s="4" t="s">
        <v>278</v>
      </c>
      <c r="D2160" s="94">
        <v>2899.0</v>
      </c>
    </row>
    <row r="2161">
      <c r="A2161" s="40">
        <f t="array" ref="A2161">IFNA(index(PlayerValues!A:A,match(IFNA(vlookup(B2161,'Special Names'!A:B,2,FALSE),B2161),PlayerValues!E:E,0)),"N/A")</f>
        <v>17477</v>
      </c>
      <c r="B2161" s="4" t="s">
        <v>452</v>
      </c>
      <c r="C2161" s="4" t="s">
        <v>278</v>
      </c>
      <c r="D2161" s="94">
        <v>2887.0</v>
      </c>
    </row>
    <row r="2162">
      <c r="A2162" s="40">
        <f t="array" ref="A2162">IFNA(index(PlayerValues!A:A,match(IFNA(vlookup(B2162,'Special Names'!A:B,2,FALSE),B2162),PlayerValues!E:E,0)),"N/A")</f>
        <v>16723</v>
      </c>
      <c r="B2162" s="4" t="s">
        <v>502</v>
      </c>
      <c r="C2162" s="4" t="s">
        <v>298</v>
      </c>
      <c r="D2162" s="94">
        <v>3301.0</v>
      </c>
    </row>
    <row r="2163">
      <c r="A2163" s="40">
        <f t="array" ref="A2163">IFNA(index(PlayerValues!A:A,match(IFNA(vlookup(B2163,'Special Names'!A:B,2,FALSE),B2163),PlayerValues!E:E,0)),"N/A")</f>
        <v>17506</v>
      </c>
      <c r="B2163" s="4" t="s">
        <v>471</v>
      </c>
      <c r="C2163" s="4" t="s">
        <v>287</v>
      </c>
      <c r="D2163" s="94">
        <v>2875.0</v>
      </c>
    </row>
    <row r="2164">
      <c r="A2164" s="40">
        <f t="array" ref="A2164">IFNA(index(PlayerValues!A:A,match(IFNA(vlookup(B2164,'Special Names'!A:B,2,FALSE),B2164),PlayerValues!E:E,0)),"N/A")</f>
        <v>17476</v>
      </c>
      <c r="B2164" s="4" t="s">
        <v>494</v>
      </c>
      <c r="C2164" s="4" t="s">
        <v>278</v>
      </c>
      <c r="D2164" s="94">
        <v>2852.0</v>
      </c>
    </row>
    <row r="2165">
      <c r="A2165" s="40">
        <f t="array" ref="A2165">IFNA(index(PlayerValues!A:A,match(IFNA(vlookup(B2165,'Special Names'!A:B,2,FALSE),B2165),PlayerValues!E:E,0)),"N/A")</f>
        <v>15255</v>
      </c>
      <c r="B2165" s="4" t="s">
        <v>477</v>
      </c>
      <c r="C2165" s="4" t="s">
        <v>278</v>
      </c>
      <c r="D2165" s="94">
        <v>2852.0</v>
      </c>
    </row>
    <row r="2166">
      <c r="A2166" s="40">
        <f t="array" ref="A2166">IFNA(index(PlayerValues!A:A,match(IFNA(vlookup(B2166,'Special Names'!A:B,2,FALSE),B2166),PlayerValues!E:E,0)),"N/A")</f>
        <v>14138</v>
      </c>
      <c r="B2166" s="4" t="s">
        <v>531</v>
      </c>
      <c r="C2166" s="4" t="s">
        <v>298</v>
      </c>
      <c r="D2166" s="94">
        <v>3253.0</v>
      </c>
    </row>
    <row r="2167">
      <c r="A2167" s="40">
        <f t="array" ref="A2167">IFNA(index(PlayerValues!A:A,match(IFNA(vlookup(B2167,'Special Names'!A:B,2,FALSE),B2167),PlayerValues!E:E,0)),"N/A")</f>
        <v>17031</v>
      </c>
      <c r="B2167" s="4" t="s">
        <v>535</v>
      </c>
      <c r="C2167" s="4" t="s">
        <v>283</v>
      </c>
      <c r="D2167" s="94">
        <v>2825.0</v>
      </c>
    </row>
    <row r="2168">
      <c r="A2168" s="40">
        <f t="array" ref="A2168">IFNA(index(PlayerValues!A:A,match(IFNA(vlookup(B2168,'Special Names'!A:B,2,FALSE),B2168),PlayerValues!E:E,0)),"N/A")</f>
        <v>15712</v>
      </c>
      <c r="B2168" s="4" t="s">
        <v>488</v>
      </c>
      <c r="C2168" s="4" t="s">
        <v>278</v>
      </c>
      <c r="D2168" s="94">
        <v>2820.0</v>
      </c>
    </row>
    <row r="2169">
      <c r="A2169" s="40">
        <f t="array" ref="A2169">IFNA(index(PlayerValues!A:A,match(IFNA(vlookup(B2169,'Special Names'!A:B,2,FALSE),B2169),PlayerValues!E:E,0)),"N/A")</f>
        <v>13671</v>
      </c>
      <c r="B2169" s="4" t="s">
        <v>506</v>
      </c>
      <c r="C2169" s="4" t="s">
        <v>298</v>
      </c>
      <c r="D2169" s="94">
        <v>3230.0</v>
      </c>
    </row>
    <row r="2170">
      <c r="A2170" s="40">
        <f t="array" ref="A2170">IFNA(index(PlayerValues!A:A,match(IFNA(vlookup(B2170,'Special Names'!A:B,2,FALSE),B2170),PlayerValues!E:E,0)),"N/A")</f>
        <v>15889</v>
      </c>
      <c r="B2170" s="4" t="s">
        <v>503</v>
      </c>
      <c r="C2170" s="4" t="s">
        <v>298</v>
      </c>
      <c r="D2170" s="94">
        <v>3212.0</v>
      </c>
    </row>
    <row r="2171">
      <c r="A2171" s="40">
        <f t="array" ref="A2171">IFNA(index(PlayerValues!A:A,match(IFNA(vlookup(B2171,'Special Names'!A:B,2,FALSE),B2171),PlayerValues!E:E,0)),"N/A")</f>
        <v>17072</v>
      </c>
      <c r="B2171" s="4" t="s">
        <v>508</v>
      </c>
      <c r="C2171" s="4" t="s">
        <v>287</v>
      </c>
      <c r="D2171" s="94">
        <v>2781.0</v>
      </c>
    </row>
    <row r="2172">
      <c r="A2172" s="40">
        <f t="array" ref="A2172">IFNA(index(PlayerValues!A:A,match(IFNA(vlookup(B2172,'Special Names'!A:B,2,FALSE),B2172),PlayerValues!E:E,0)),"N/A")</f>
        <v>17157</v>
      </c>
      <c r="B2172" s="4" t="s">
        <v>524</v>
      </c>
      <c r="C2172" s="4" t="s">
        <v>287</v>
      </c>
      <c r="D2172" s="94">
        <v>2781.0</v>
      </c>
    </row>
    <row r="2173">
      <c r="A2173" s="40">
        <f t="array" ref="A2173">IFNA(index(PlayerValues!A:A,match(IFNA(vlookup(B2173,'Special Names'!A:B,2,FALSE),B2173),PlayerValues!E:E,0)),"N/A")</f>
        <v>14085</v>
      </c>
      <c r="B2173" s="4" t="s">
        <v>489</v>
      </c>
      <c r="C2173" s="4" t="s">
        <v>278</v>
      </c>
      <c r="D2173" s="94">
        <v>2770.0</v>
      </c>
    </row>
    <row r="2174">
      <c r="A2174" s="40" t="str">
        <f t="array" ref="A2174">IFNA(index(PlayerValues!A:A,match(IFNA(vlookup(B2174,'Special Names'!A:B,2,FALSE),B2174),PlayerValues!E:E,0)),"N/A")</f>
        <v>N/A</v>
      </c>
      <c r="B2174" s="4" t="s">
        <v>110</v>
      </c>
      <c r="C2174" s="4" t="s">
        <v>325</v>
      </c>
      <c r="D2174" s="94">
        <v>2768.0</v>
      </c>
    </row>
    <row r="2175">
      <c r="A2175" s="40">
        <f t="array" ref="A2175">IFNA(index(PlayerValues!A:A,match(IFNA(vlookup(B2175,'Special Names'!A:B,2,FALSE),B2175),PlayerValues!E:E,0)),"N/A")</f>
        <v>15241</v>
      </c>
      <c r="B2175" s="4" t="s">
        <v>546</v>
      </c>
      <c r="C2175" s="4" t="s">
        <v>283</v>
      </c>
      <c r="D2175" s="94">
        <v>2767.0</v>
      </c>
    </row>
    <row r="2176">
      <c r="A2176" s="40">
        <f t="array" ref="A2176">IFNA(index(PlayerValues!A:A,match(IFNA(vlookup(B2176,'Special Names'!A:B,2,FALSE),B2176),PlayerValues!E:E,0)),"N/A")</f>
        <v>16193</v>
      </c>
      <c r="B2176" s="4" t="s">
        <v>487</v>
      </c>
      <c r="C2176" s="4" t="s">
        <v>287</v>
      </c>
      <c r="D2176" s="94">
        <v>2766.0</v>
      </c>
    </row>
    <row r="2177">
      <c r="A2177" s="40" t="str">
        <f t="array" ref="A2177">IFNA(index(PlayerValues!A:A,match(IFNA(vlookup(B2177,'Special Names'!A:B,2,FALSE),B2177),PlayerValues!E:E,0)),"N/A")</f>
        <v>N/A</v>
      </c>
      <c r="B2177" s="4" t="s">
        <v>85</v>
      </c>
      <c r="C2177" s="4" t="s">
        <v>325</v>
      </c>
      <c r="D2177" s="94">
        <v>2765.0</v>
      </c>
    </row>
    <row r="2178">
      <c r="A2178" s="40">
        <f t="array" ref="A2178">IFNA(index(PlayerValues!A:A,match(IFNA(vlookup(B2178,'Special Names'!A:B,2,FALSE),B2178),PlayerValues!E:E,0)),"N/A")</f>
        <v>14778</v>
      </c>
      <c r="B2178" s="4" t="s">
        <v>564</v>
      </c>
      <c r="C2178" s="4" t="s">
        <v>283</v>
      </c>
      <c r="D2178" s="94">
        <v>2764.0</v>
      </c>
    </row>
    <row r="2179">
      <c r="A2179" s="40">
        <f t="array" ref="A2179">IFNA(index(PlayerValues!A:A,match(IFNA(vlookup(B2179,'Special Names'!A:B,2,FALSE),B2179),PlayerValues!E:E,0)),"N/A")</f>
        <v>16619</v>
      </c>
      <c r="B2179" s="4" t="s">
        <v>538</v>
      </c>
      <c r="C2179" s="4" t="s">
        <v>287</v>
      </c>
      <c r="D2179" s="94">
        <v>2751.0</v>
      </c>
    </row>
    <row r="2180">
      <c r="A2180" s="40">
        <f t="array" ref="A2180">IFNA(index(PlayerValues!A:A,match(IFNA(vlookup(B2180,'Special Names'!A:B,2,FALSE),B2180),PlayerValues!E:E,0)),"N/A")</f>
        <v>12616</v>
      </c>
      <c r="B2180" s="4" t="s">
        <v>529</v>
      </c>
      <c r="C2180" s="4" t="s">
        <v>283</v>
      </c>
      <c r="D2180" s="94">
        <v>2743.0</v>
      </c>
    </row>
    <row r="2181">
      <c r="A2181" s="40">
        <f t="array" ref="A2181">IFNA(index(PlayerValues!A:A,match(IFNA(vlookup(B2181,'Special Names'!A:B,2,FALSE),B2181),PlayerValues!E:E,0)),"N/A")</f>
        <v>17047</v>
      </c>
      <c r="B2181" s="4" t="s">
        <v>510</v>
      </c>
      <c r="C2181" s="4" t="s">
        <v>278</v>
      </c>
      <c r="D2181" s="94">
        <v>2740.0</v>
      </c>
    </row>
    <row r="2182">
      <c r="A2182" s="40">
        <f t="array" ref="A2182">IFNA(index(PlayerValues!A:A,match(IFNA(vlookup(B2182,'Special Names'!A:B,2,FALSE),B2182),PlayerValues!E:E,0)),"N/A")</f>
        <v>17073</v>
      </c>
      <c r="B2182" s="4" t="s">
        <v>547</v>
      </c>
      <c r="C2182" s="4" t="s">
        <v>287</v>
      </c>
      <c r="D2182" s="94">
        <v>2737.0</v>
      </c>
    </row>
    <row r="2183">
      <c r="A2183" s="40">
        <f t="array" ref="A2183">IFNA(index(PlayerValues!A:A,match(IFNA(vlookup(B2183,'Special Names'!A:B,2,FALSE),B2183),PlayerValues!E:E,0)),"N/A")</f>
        <v>17503</v>
      </c>
      <c r="B2183" s="4" t="s">
        <v>480</v>
      </c>
      <c r="C2183" s="4" t="s">
        <v>287</v>
      </c>
      <c r="D2183" s="94">
        <v>2726.0</v>
      </c>
    </row>
    <row r="2184">
      <c r="A2184" s="40">
        <f t="array" ref="A2184">IFNA(index(PlayerValues!A:A,match(IFNA(vlookup(B2184,'Special Names'!A:B,2,FALSE),B2184),PlayerValues!E:E,0)),"N/A")</f>
        <v>17080</v>
      </c>
      <c r="B2184" s="4" t="s">
        <v>532</v>
      </c>
      <c r="C2184" s="4" t="s">
        <v>287</v>
      </c>
      <c r="D2184" s="94">
        <v>2726.0</v>
      </c>
    </row>
    <row r="2185">
      <c r="A2185" s="40">
        <f t="array" ref="A2185">IFNA(index(PlayerValues!A:A,match(IFNA(vlookup(B2185,'Special Names'!A:B,2,FALSE),B2185),PlayerValues!E:E,0)),"N/A")</f>
        <v>17098</v>
      </c>
      <c r="B2185" s="4" t="s">
        <v>533</v>
      </c>
      <c r="C2185" s="4" t="s">
        <v>287</v>
      </c>
      <c r="D2185" s="94">
        <v>2722.0</v>
      </c>
    </row>
    <row r="2186">
      <c r="A2186" s="40">
        <f t="array" ref="A2186">IFNA(index(PlayerValues!A:A,match(IFNA(vlookup(B2186,'Special Names'!A:B,2,FALSE),B2186),PlayerValues!E:E,0)),"N/A")</f>
        <v>17107</v>
      </c>
      <c r="B2186" s="4" t="s">
        <v>478</v>
      </c>
      <c r="C2186" s="4" t="s">
        <v>298</v>
      </c>
      <c r="D2186" s="94">
        <v>3130.0</v>
      </c>
    </row>
    <row r="2187">
      <c r="A2187" s="40">
        <f t="array" ref="A2187">IFNA(index(PlayerValues!A:A,match(IFNA(vlookup(B2187,'Special Names'!A:B,2,FALSE),B2187),PlayerValues!E:E,0)),"N/A")</f>
        <v>15721</v>
      </c>
      <c r="B2187" s="4" t="s">
        <v>504</v>
      </c>
      <c r="C2187" s="4" t="s">
        <v>278</v>
      </c>
      <c r="D2187" s="94">
        <v>2714.0</v>
      </c>
    </row>
    <row r="2188">
      <c r="A2188" s="40">
        <f t="array" ref="A2188">IFNA(index(PlayerValues!A:A,match(IFNA(vlookup(B2188,'Special Names'!A:B,2,FALSE),B2188),PlayerValues!E:E,0)),"N/A")</f>
        <v>16596</v>
      </c>
      <c r="B2188" s="4" t="s">
        <v>501</v>
      </c>
      <c r="C2188" s="4" t="s">
        <v>278</v>
      </c>
      <c r="D2188" s="94">
        <v>2705.0</v>
      </c>
    </row>
    <row r="2189">
      <c r="A2189" s="40">
        <f t="array" ref="A2189">IFNA(index(PlayerValues!A:A,match(IFNA(vlookup(B2189,'Special Names'!A:B,2,FALSE),B2189),PlayerValues!E:E,0)),"N/A")</f>
        <v>14833</v>
      </c>
      <c r="B2189" s="4" t="s">
        <v>553</v>
      </c>
      <c r="C2189" s="4" t="s">
        <v>287</v>
      </c>
      <c r="D2189" s="94">
        <v>2704.0</v>
      </c>
    </row>
    <row r="2190">
      <c r="A2190" s="40">
        <f t="array" ref="A2190">IFNA(index(PlayerValues!A:A,match(IFNA(vlookup(B2190,'Special Names'!A:B,2,FALSE),B2190),PlayerValues!E:E,0)),"N/A")</f>
        <v>15972</v>
      </c>
      <c r="B2190" s="4" t="s">
        <v>469</v>
      </c>
      <c r="C2190" s="4" t="s">
        <v>278</v>
      </c>
      <c r="D2190" s="94">
        <v>2702.0</v>
      </c>
    </row>
    <row r="2191">
      <c r="A2191" s="40">
        <f t="array" ref="A2191">IFNA(index(PlayerValues!A:A,match(IFNA(vlookup(B2191,'Special Names'!A:B,2,FALSE),B2191),PlayerValues!E:E,0)),"N/A")</f>
        <v>17105</v>
      </c>
      <c r="B2191" s="4" t="s">
        <v>525</v>
      </c>
      <c r="C2191" s="4" t="s">
        <v>298</v>
      </c>
      <c r="D2191" s="94">
        <v>3109.0</v>
      </c>
    </row>
    <row r="2192">
      <c r="A2192" s="40">
        <f t="array" ref="A2192">IFNA(index(PlayerValues!A:A,match(IFNA(vlookup(B2192,'Special Names'!A:B,2,FALSE),B2192),PlayerValues!E:E,0)),"N/A")</f>
        <v>16165</v>
      </c>
      <c r="B2192" s="4" t="s">
        <v>520</v>
      </c>
      <c r="C2192" s="4" t="s">
        <v>278</v>
      </c>
      <c r="D2192" s="94">
        <v>2679.0</v>
      </c>
    </row>
    <row r="2193">
      <c r="A2193" s="40">
        <f t="array" ref="A2193">IFNA(index(PlayerValues!A:A,match(IFNA(vlookup(B2193,'Special Names'!A:B,2,FALSE),B2193),PlayerValues!E:E,0)),"N/A")</f>
        <v>14860</v>
      </c>
      <c r="B2193" s="4" t="s">
        <v>554</v>
      </c>
      <c r="C2193" s="4" t="s">
        <v>287</v>
      </c>
      <c r="D2193" s="94">
        <v>2664.0</v>
      </c>
    </row>
    <row r="2194">
      <c r="A2194" s="40">
        <f t="array" ref="A2194">IFNA(index(PlayerValues!A:A,match(IFNA(vlookup(B2194,'Special Names'!A:B,2,FALSE),B2194),PlayerValues!E:E,0)),"N/A")</f>
        <v>17171</v>
      </c>
      <c r="B2194" s="4" t="s">
        <v>561</v>
      </c>
      <c r="C2194" s="4" t="s">
        <v>287</v>
      </c>
      <c r="D2194" s="94">
        <v>2652.0</v>
      </c>
    </row>
    <row r="2195">
      <c r="A2195" s="40">
        <f t="array" ref="A2195">IFNA(index(PlayerValues!A:A,match(IFNA(vlookup(B2195,'Special Names'!A:B,2,FALSE),B2195),PlayerValues!E:E,0)),"N/A")</f>
        <v>16195</v>
      </c>
      <c r="B2195" s="4" t="s">
        <v>509</v>
      </c>
      <c r="C2195" s="4" t="s">
        <v>287</v>
      </c>
      <c r="D2195" s="94">
        <v>2649.0</v>
      </c>
    </row>
    <row r="2196">
      <c r="A2196" s="40">
        <f t="array" ref="A2196">IFNA(index(PlayerValues!A:A,match(IFNA(vlookup(B2196,'Special Names'!A:B,2,FALSE),B2196),PlayerValues!E:E,0)),"N/A")</f>
        <v>16747</v>
      </c>
      <c r="B2196" s="4" t="s">
        <v>555</v>
      </c>
      <c r="C2196" s="4" t="s">
        <v>278</v>
      </c>
      <c r="D2196" s="94">
        <v>2647.0</v>
      </c>
    </row>
    <row r="2197">
      <c r="A2197" s="40">
        <f t="array" ref="A2197">IFNA(index(PlayerValues!A:A,match(IFNA(vlookup(B2197,'Special Names'!A:B,2,FALSE),B2197),PlayerValues!E:E,0)),"N/A")</f>
        <v>17505</v>
      </c>
      <c r="B2197" s="4" t="s">
        <v>528</v>
      </c>
      <c r="C2197" s="4" t="s">
        <v>287</v>
      </c>
      <c r="D2197" s="94">
        <v>2646.0</v>
      </c>
    </row>
    <row r="2198">
      <c r="A2198" s="40" t="str">
        <f t="array" ref="A2198">IFNA(index(PlayerValues!A:A,match(IFNA(vlookup(B2198,'Special Names'!A:B,2,FALSE),B2198),PlayerValues!E:E,0)),"N/A")</f>
        <v>N/A</v>
      </c>
      <c r="B2198" s="4" t="s">
        <v>98</v>
      </c>
      <c r="C2198" s="4" t="s">
        <v>325</v>
      </c>
      <c r="D2198" s="94">
        <v>2638.0</v>
      </c>
    </row>
    <row r="2199">
      <c r="A2199" s="40">
        <f t="array" ref="A2199">IFNA(index(PlayerValues!A:A,match(IFNA(vlookup(B2199,'Special Names'!A:B,2,FALSE),B2199),PlayerValues!E:E,0)),"N/A")</f>
        <v>17082</v>
      </c>
      <c r="B2199" s="4" t="s">
        <v>498</v>
      </c>
      <c r="C2199" s="4" t="s">
        <v>287</v>
      </c>
      <c r="D2199" s="94">
        <v>2608.0</v>
      </c>
    </row>
    <row r="2200">
      <c r="A2200" s="40">
        <f t="array" ref="A2200">IFNA(index(PlayerValues!A:A,match(IFNA(vlookup(B2200,'Special Names'!A:B,2,FALSE),B2200),PlayerValues!E:E,0)),"N/A")</f>
        <v>13674</v>
      </c>
      <c r="B2200" s="4" t="s">
        <v>511</v>
      </c>
      <c r="C2200" s="4" t="s">
        <v>298</v>
      </c>
      <c r="D2200" s="94">
        <v>3010.0</v>
      </c>
    </row>
    <row r="2201">
      <c r="A2201" s="40">
        <f t="array" ref="A2201">IFNA(index(PlayerValues!A:A,match(IFNA(vlookup(B2201,'Special Names'!A:B,2,FALSE),B2201),PlayerValues!E:E,0)),"N/A")</f>
        <v>17509</v>
      </c>
      <c r="B2201" s="4" t="s">
        <v>551</v>
      </c>
      <c r="C2201" s="4" t="s">
        <v>287</v>
      </c>
      <c r="D2201" s="94">
        <v>2599.0</v>
      </c>
    </row>
    <row r="2202">
      <c r="A2202" s="40">
        <f t="array" ref="A2202">IFNA(index(PlayerValues!A:A,match(IFNA(vlookup(B2202,'Special Names'!A:B,2,FALSE),B2202),PlayerValues!E:E,0)),"N/A")</f>
        <v>17108</v>
      </c>
      <c r="B2202" s="4" t="s">
        <v>542</v>
      </c>
      <c r="C2202" s="4" t="s">
        <v>298</v>
      </c>
      <c r="D2202" s="94">
        <v>2984.0</v>
      </c>
    </row>
    <row r="2203">
      <c r="A2203" s="40">
        <f t="array" ref="A2203">IFNA(index(PlayerValues!A:A,match(IFNA(vlookup(B2203,'Special Names'!A:B,2,FALSE),B2203),PlayerValues!E:E,0)),"N/A")</f>
        <v>16287</v>
      </c>
      <c r="B2203" s="4" t="s">
        <v>516</v>
      </c>
      <c r="C2203" s="4" t="s">
        <v>287</v>
      </c>
      <c r="D2203" s="94">
        <v>2560.0</v>
      </c>
    </row>
    <row r="2204">
      <c r="A2204" s="40">
        <f t="array" ref="A2204">IFNA(index(PlayerValues!A:A,match(IFNA(vlookup(B2204,'Special Names'!A:B,2,FALSE),B2204),PlayerValues!E:E,0)),"N/A")</f>
        <v>16626</v>
      </c>
      <c r="B2204" s="4" t="s">
        <v>515</v>
      </c>
      <c r="C2204" s="4" t="s">
        <v>287</v>
      </c>
      <c r="D2204" s="94">
        <v>2557.0</v>
      </c>
    </row>
    <row r="2205">
      <c r="A2205" s="40">
        <f t="array" ref="A2205">IFNA(index(PlayerValues!A:A,match(IFNA(vlookup(B2205,'Special Names'!A:B,2,FALSE),B2205),PlayerValues!E:E,0)),"N/A")</f>
        <v>16617</v>
      </c>
      <c r="B2205" s="4" t="s">
        <v>541</v>
      </c>
      <c r="C2205" s="4" t="s">
        <v>287</v>
      </c>
      <c r="D2205" s="94">
        <v>2538.0</v>
      </c>
    </row>
    <row r="2206">
      <c r="A2206" s="40">
        <f t="array" ref="A2206">IFNA(index(PlayerValues!A:A,match(IFNA(vlookup(B2206,'Special Names'!A:B,2,FALSE),B2206),PlayerValues!E:E,0)),"N/A")</f>
        <v>17482</v>
      </c>
      <c r="B2206" s="4" t="s">
        <v>460</v>
      </c>
      <c r="C2206" s="4" t="s">
        <v>278</v>
      </c>
      <c r="D2206" s="94">
        <v>2523.0</v>
      </c>
    </row>
    <row r="2207">
      <c r="A2207" s="40">
        <f t="array" ref="A2207">IFNA(index(PlayerValues!A:A,match(IFNA(vlookup(B2207,'Special Names'!A:B,2,FALSE),B2207),PlayerValues!E:E,0)),"N/A")</f>
        <v>17134</v>
      </c>
      <c r="B2207" s="4" t="s">
        <v>548</v>
      </c>
      <c r="C2207" s="4" t="s">
        <v>287</v>
      </c>
      <c r="D2207" s="94">
        <v>2518.0</v>
      </c>
    </row>
    <row r="2208">
      <c r="A2208" s="40">
        <f t="array" ref="A2208">IFNA(index(PlayerValues!A:A,match(IFNA(vlookup(B2208,'Special Names'!A:B,2,FALSE),B2208),PlayerValues!E:E,0)),"N/A")</f>
        <v>17048</v>
      </c>
      <c r="B2208" s="4" t="s">
        <v>539</v>
      </c>
      <c r="C2208" s="4" t="s">
        <v>278</v>
      </c>
      <c r="D2208" s="94">
        <v>2496.0</v>
      </c>
    </row>
    <row r="2209">
      <c r="A2209" s="40">
        <f t="array" ref="A2209">IFNA(index(PlayerValues!A:A,match(IFNA(vlookup(B2209,'Special Names'!A:B,2,FALSE),B2209),PlayerValues!E:E,0)),"N/A")</f>
        <v>16684</v>
      </c>
      <c r="B2209" s="4" t="s">
        <v>500</v>
      </c>
      <c r="C2209" s="4" t="s">
        <v>287</v>
      </c>
      <c r="D2209" s="94">
        <v>2490.0</v>
      </c>
    </row>
    <row r="2210">
      <c r="A2210" s="40">
        <f t="array" ref="A2210">IFNA(index(PlayerValues!A:A,match(IFNA(vlookup(B2210,'Special Names'!A:B,2,FALSE),B2210),PlayerValues!E:E,0)),"N/A")</f>
        <v>16164</v>
      </c>
      <c r="B2210" s="4" t="s">
        <v>512</v>
      </c>
      <c r="C2210" s="4" t="s">
        <v>278</v>
      </c>
      <c r="D2210" s="94">
        <v>2489.0</v>
      </c>
    </row>
    <row r="2211">
      <c r="A2211" s="40">
        <f t="array" ref="A2211">IFNA(index(PlayerValues!A:A,match(IFNA(vlookup(B2211,'Special Names'!A:B,2,FALSE),B2211),PlayerValues!E:E,0)),"N/A")</f>
        <v>16174</v>
      </c>
      <c r="B2211" s="4" t="s">
        <v>505</v>
      </c>
      <c r="C2211" s="4" t="s">
        <v>278</v>
      </c>
      <c r="D2211" s="94">
        <v>2483.0</v>
      </c>
    </row>
    <row r="2212">
      <c r="A2212" s="40">
        <f t="array" ref="A2212">IFNA(index(PlayerValues!A:A,match(IFNA(vlookup(B2212,'Special Names'!A:B,2,FALSE),B2212),PlayerValues!E:E,0)),"N/A")</f>
        <v>17511</v>
      </c>
      <c r="B2212" s="4" t="s">
        <v>485</v>
      </c>
      <c r="C2212" s="4" t="s">
        <v>287</v>
      </c>
      <c r="D2212" s="94">
        <v>2468.0</v>
      </c>
    </row>
    <row r="2213">
      <c r="A2213" s="40">
        <f t="array" ref="A2213">IFNA(index(PlayerValues!A:A,match(IFNA(vlookup(B2213,'Special Names'!A:B,2,FALSE),B2213),PlayerValues!E:E,0)),"N/A")</f>
        <v>14840</v>
      </c>
      <c r="B2213" s="4" t="s">
        <v>731</v>
      </c>
      <c r="C2213" s="4" t="s">
        <v>287</v>
      </c>
      <c r="D2213" s="94">
        <v>2465.0</v>
      </c>
    </row>
    <row r="2214">
      <c r="A2214" s="40">
        <f t="array" ref="A2214">IFNA(index(PlayerValues!A:A,match(IFNA(vlookup(B2214,'Special Names'!A:B,2,FALSE),B2214),PlayerValues!E:E,0)),"N/A")</f>
        <v>16178</v>
      </c>
      <c r="B2214" s="4" t="s">
        <v>507</v>
      </c>
      <c r="C2214" s="4" t="s">
        <v>278</v>
      </c>
      <c r="D2214" s="94">
        <v>2463.0</v>
      </c>
    </row>
    <row r="2215">
      <c r="A2215" s="40">
        <f t="array" ref="A2215">IFNA(index(PlayerValues!A:A,match(IFNA(vlookup(B2215,'Special Names'!A:B,2,FALSE),B2215),PlayerValues!E:E,0)),"N/A")</f>
        <v>17507</v>
      </c>
      <c r="B2215" s="4" t="s">
        <v>495</v>
      </c>
      <c r="C2215" s="4" t="s">
        <v>287</v>
      </c>
      <c r="D2215" s="94">
        <v>2448.0</v>
      </c>
    </row>
    <row r="2216">
      <c r="A2216" s="40" t="str">
        <f t="array" ref="A2216">IFNA(index(PlayerValues!A:A,match(IFNA(vlookup(B2216,'Special Names'!A:B,2,FALSE),B2216),PlayerValues!E:E,0)),"N/A")</f>
        <v>N/A</v>
      </c>
      <c r="B2216" s="4" t="s">
        <v>557</v>
      </c>
      <c r="C2216" s="4" t="s">
        <v>278</v>
      </c>
      <c r="D2216" s="94">
        <v>2437.0</v>
      </c>
    </row>
    <row r="2217">
      <c r="A2217" s="40" t="str">
        <f t="array" ref="A2217">IFNA(index(PlayerValues!A:A,match(IFNA(vlookup(B2217,'Special Names'!A:B,2,FALSE),B2217),PlayerValues!E:E,0)),"N/A")</f>
        <v>N/A</v>
      </c>
      <c r="B2217" s="4" t="s">
        <v>99</v>
      </c>
      <c r="C2217" s="4" t="s">
        <v>325</v>
      </c>
      <c r="D2217" s="94">
        <v>2435.0</v>
      </c>
    </row>
    <row r="2218">
      <c r="A2218" s="40">
        <f t="array" ref="A2218">IFNA(index(PlayerValues!A:A,match(IFNA(vlookup(B2218,'Special Names'!A:B,2,FALSE),B2218),PlayerValues!E:E,0)),"N/A")</f>
        <v>13192</v>
      </c>
      <c r="B2218" s="4" t="s">
        <v>563</v>
      </c>
      <c r="C2218" s="4" t="s">
        <v>298</v>
      </c>
      <c r="D2218" s="94">
        <v>2836.0</v>
      </c>
    </row>
    <row r="2219">
      <c r="A2219" s="40">
        <f t="array" ref="A2219">IFNA(index(PlayerValues!A:A,match(IFNA(vlookup(B2219,'Special Names'!A:B,2,FALSE),B2219),PlayerValues!E:E,0)),"N/A")</f>
        <v>11244</v>
      </c>
      <c r="B2219" s="4" t="s">
        <v>519</v>
      </c>
      <c r="C2219" s="4" t="s">
        <v>298</v>
      </c>
      <c r="D2219" s="94">
        <v>2807.0</v>
      </c>
    </row>
    <row r="2220">
      <c r="A2220" s="40">
        <f t="array" ref="A2220">IFNA(index(PlayerValues!A:A,match(IFNA(vlookup(B2220,'Special Names'!A:B,2,FALSE),B2220),PlayerValues!E:E,0)),"N/A")</f>
        <v>15716</v>
      </c>
      <c r="B2220" s="4" t="s">
        <v>545</v>
      </c>
      <c r="C2220" s="4" t="s">
        <v>278</v>
      </c>
      <c r="D2220" s="94">
        <v>2404.0</v>
      </c>
    </row>
    <row r="2221">
      <c r="A2221" s="40">
        <f t="array" ref="A2221">IFNA(index(PlayerValues!A:A,match(IFNA(vlookup(B2221,'Special Names'!A:B,2,FALSE),B2221),PlayerValues!E:E,0)),"N/A")</f>
        <v>14861</v>
      </c>
      <c r="B2221" s="4" t="s">
        <v>523</v>
      </c>
      <c r="C2221" s="4" t="s">
        <v>298</v>
      </c>
      <c r="D2221" s="94">
        <v>2783.0</v>
      </c>
    </row>
    <row r="2222">
      <c r="A2222" s="40">
        <f t="array" ref="A2222">IFNA(index(PlayerValues!A:A,match(IFNA(vlookup(B2222,'Special Names'!A:B,2,FALSE),B2222),PlayerValues!E:E,0)),"N/A")</f>
        <v>17106</v>
      </c>
      <c r="B2222" s="4" t="s">
        <v>550</v>
      </c>
      <c r="C2222" s="4" t="s">
        <v>298</v>
      </c>
      <c r="D2222" s="94">
        <v>2782.0</v>
      </c>
    </row>
    <row r="2223">
      <c r="A2223" s="40">
        <f t="array" ref="A2223">IFNA(index(PlayerValues!A:A,match(IFNA(vlookup(B2223,'Special Names'!A:B,2,FALSE),B2223),PlayerValues!E:E,0)),"N/A")</f>
        <v>16204</v>
      </c>
      <c r="B2223" s="4" t="s">
        <v>530</v>
      </c>
      <c r="C2223" s="4" t="s">
        <v>287</v>
      </c>
      <c r="D2223" s="94">
        <v>2377.0</v>
      </c>
    </row>
    <row r="2224">
      <c r="A2224" s="40">
        <f t="array" ref="A2224">IFNA(index(PlayerValues!A:A,match(IFNA(vlookup(B2224,'Special Names'!A:B,2,FALSE),B2224),PlayerValues!E:E,0)),"N/A")</f>
        <v>16649</v>
      </c>
      <c r="B2224" s="4" t="s">
        <v>586</v>
      </c>
      <c r="C2224" s="4" t="s">
        <v>298</v>
      </c>
      <c r="D2224" s="94">
        <v>2771.0</v>
      </c>
    </row>
    <row r="2225">
      <c r="A2225" s="40">
        <f t="array" ref="A2225">IFNA(index(PlayerValues!A:A,match(IFNA(vlookup(B2225,'Special Names'!A:B,2,FALSE),B2225),PlayerValues!E:E,0)),"N/A")</f>
        <v>14136</v>
      </c>
      <c r="B2225" s="4" t="s">
        <v>536</v>
      </c>
      <c r="C2225" s="4" t="s">
        <v>287</v>
      </c>
      <c r="D2225" s="94">
        <v>2370.0</v>
      </c>
    </row>
    <row r="2226">
      <c r="A2226" s="40">
        <f t="array" ref="A2226">IFNA(index(PlayerValues!A:A,match(IFNA(vlookup(B2226,'Special Names'!A:B,2,FALSE),B2226),PlayerValues!E:E,0)),"N/A")</f>
        <v>15786</v>
      </c>
      <c r="B2226" s="4" t="s">
        <v>521</v>
      </c>
      <c r="C2226" s="4" t="s">
        <v>287</v>
      </c>
      <c r="D2226" s="94">
        <v>2369.0</v>
      </c>
    </row>
    <row r="2227">
      <c r="A2227" s="40">
        <f t="array" ref="A2227">IFNA(index(PlayerValues!A:A,match(IFNA(vlookup(B2227,'Special Names'!A:B,2,FALSE),B2227),PlayerValues!E:E,0)),"N/A")</f>
        <v>17078</v>
      </c>
      <c r="B2227" s="4" t="s">
        <v>543</v>
      </c>
      <c r="C2227" s="4" t="s">
        <v>287</v>
      </c>
      <c r="D2227" s="94">
        <v>2369.0</v>
      </c>
    </row>
    <row r="2228">
      <c r="A2228" s="40">
        <f t="array" ref="A2228">IFNA(index(PlayerValues!A:A,match(IFNA(vlookup(B2228,'Special Names'!A:B,2,FALSE),B2228),PlayerValues!E:E,0)),"N/A")</f>
        <v>16152</v>
      </c>
      <c r="B2228" s="4" t="s">
        <v>601</v>
      </c>
      <c r="C2228" s="4" t="s">
        <v>283</v>
      </c>
      <c r="D2228" s="94">
        <v>2363.0</v>
      </c>
    </row>
    <row r="2229">
      <c r="A2229" s="40">
        <f t="array" ref="A2229">IFNA(index(PlayerValues!A:A,match(IFNA(vlookup(B2229,'Special Names'!A:B,2,FALSE),B2229),PlayerValues!E:E,0)),"N/A")</f>
        <v>16594</v>
      </c>
      <c r="B2229" s="4" t="s">
        <v>607</v>
      </c>
      <c r="C2229" s="4" t="s">
        <v>278</v>
      </c>
      <c r="D2229" s="94">
        <v>2360.0</v>
      </c>
    </row>
    <row r="2230">
      <c r="A2230" s="40">
        <f t="array" ref="A2230">IFNA(index(PlayerValues!A:A,match(IFNA(vlookup(B2230,'Special Names'!A:B,2,FALSE),B2230),PlayerValues!E:E,0)),"N/A")</f>
        <v>17033</v>
      </c>
      <c r="B2230" s="4" t="s">
        <v>570</v>
      </c>
      <c r="C2230" s="4" t="s">
        <v>283</v>
      </c>
      <c r="D2230" s="94">
        <v>2358.0</v>
      </c>
    </row>
    <row r="2231">
      <c r="A2231" s="40">
        <f t="array" ref="A2231">IFNA(index(PlayerValues!A:A,match(IFNA(vlookup(B2231,'Special Names'!A:B,2,FALSE),B2231),PlayerValues!E:E,0)),"N/A")</f>
        <v>15802</v>
      </c>
      <c r="B2231" s="4" t="s">
        <v>566</v>
      </c>
      <c r="C2231" s="4" t="s">
        <v>298</v>
      </c>
      <c r="D2231" s="94">
        <v>2744.0</v>
      </c>
    </row>
    <row r="2232">
      <c r="A2232" s="40">
        <f t="array" ref="A2232">IFNA(index(PlayerValues!A:A,match(IFNA(vlookup(B2232,'Special Names'!A:B,2,FALSE),B2232),PlayerValues!E:E,0)),"N/A")</f>
        <v>16036</v>
      </c>
      <c r="B2232" s="4" t="s">
        <v>592</v>
      </c>
      <c r="C2232" s="4" t="s">
        <v>298</v>
      </c>
      <c r="D2232" s="94">
        <v>2738.0</v>
      </c>
    </row>
    <row r="2233">
      <c r="A2233" s="40">
        <f t="array" ref="A2233">IFNA(index(PlayerValues!A:A,match(IFNA(vlookup(B2233,'Special Names'!A:B,2,FALSE),B2233),PlayerValues!E:E,0)),"N/A")</f>
        <v>12676</v>
      </c>
      <c r="B2233" s="4" t="s">
        <v>537</v>
      </c>
      <c r="C2233" s="4" t="s">
        <v>298</v>
      </c>
      <c r="D2233" s="94">
        <v>2736.0</v>
      </c>
    </row>
    <row r="2234">
      <c r="A2234" s="40">
        <f t="array" ref="A2234">IFNA(index(PlayerValues!A:A,match(IFNA(vlookup(B2234,'Special Names'!A:B,2,FALSE),B2234),PlayerValues!E:E,0)),"N/A")</f>
        <v>16166</v>
      </c>
      <c r="B2234" s="4" t="s">
        <v>567</v>
      </c>
      <c r="C2234" s="4" t="s">
        <v>278</v>
      </c>
      <c r="D2234" s="94">
        <v>2312.0</v>
      </c>
    </row>
    <row r="2235">
      <c r="A2235" s="40">
        <f t="array" ref="A2235">IFNA(index(PlayerValues!A:A,match(IFNA(vlookup(B2235,'Special Names'!A:B,2,FALSE),B2235),PlayerValues!E:E,0)),"N/A")</f>
        <v>15749</v>
      </c>
      <c r="B2235" s="4" t="s">
        <v>574</v>
      </c>
      <c r="C2235" s="4" t="s">
        <v>278</v>
      </c>
      <c r="D2235" s="94">
        <v>2310.0</v>
      </c>
    </row>
    <row r="2236">
      <c r="A2236" s="40">
        <f t="array" ref="A2236">IFNA(index(PlayerValues!A:A,match(IFNA(vlookup(B2236,'Special Names'!A:B,2,FALSE),B2236),PlayerValues!E:E,0)),"N/A")</f>
        <v>16757</v>
      </c>
      <c r="B2236" s="4" t="s">
        <v>558</v>
      </c>
      <c r="C2236" s="4" t="s">
        <v>278</v>
      </c>
      <c r="D2236" s="94">
        <v>2309.0</v>
      </c>
    </row>
    <row r="2237">
      <c r="A2237" s="40">
        <f t="array" ref="A2237">IFNA(index(PlayerValues!A:A,match(IFNA(vlookup(B2237,'Special Names'!A:B,2,FALSE),B2237),PlayerValues!E:E,0)),"N/A")</f>
        <v>13772</v>
      </c>
      <c r="B2237" s="4" t="s">
        <v>544</v>
      </c>
      <c r="C2237" s="4" t="s">
        <v>298</v>
      </c>
      <c r="D2237" s="94">
        <v>2693.0</v>
      </c>
    </row>
    <row r="2238">
      <c r="A2238" s="40">
        <f t="array" ref="A2238">IFNA(index(PlayerValues!A:A,match(IFNA(vlookup(B2238,'Special Names'!A:B,2,FALSE),B2238),PlayerValues!E:E,0)),"N/A")</f>
        <v>17474</v>
      </c>
      <c r="B2238" s="4" t="s">
        <v>513</v>
      </c>
      <c r="C2238" s="4" t="s">
        <v>278</v>
      </c>
      <c r="D2238" s="94">
        <v>2292.0</v>
      </c>
    </row>
    <row r="2239">
      <c r="A2239" s="40">
        <f t="array" ref="A2239">IFNA(index(PlayerValues!A:A,match(IFNA(vlookup(B2239,'Special Names'!A:B,2,FALSE),B2239),PlayerValues!E:E,0)),"N/A")</f>
        <v>17508</v>
      </c>
      <c r="B2239" s="4" t="s">
        <v>534</v>
      </c>
      <c r="C2239" s="4" t="s">
        <v>287</v>
      </c>
      <c r="D2239" s="94">
        <v>2266.0</v>
      </c>
    </row>
    <row r="2240">
      <c r="A2240" s="40" t="str">
        <f t="array" ref="A2240">IFNA(index(PlayerValues!A:A,match(IFNA(vlookup(B2240,'Special Names'!A:B,2,FALSE),B2240),PlayerValues!E:E,0)),"N/A")</f>
        <v>N/A</v>
      </c>
      <c r="B2240" s="4" t="s">
        <v>86</v>
      </c>
      <c r="C2240" s="4" t="s">
        <v>325</v>
      </c>
      <c r="D2240" s="94">
        <v>2265.0</v>
      </c>
    </row>
    <row r="2241">
      <c r="A2241" s="40">
        <f t="array" ref="A2241">IFNA(index(PlayerValues!A:A,match(IFNA(vlookup(B2241,'Special Names'!A:B,2,FALSE),B2241),PlayerValues!E:E,0)),"N/A")</f>
        <v>16189</v>
      </c>
      <c r="B2241" s="4" t="s">
        <v>582</v>
      </c>
      <c r="C2241" s="4" t="s">
        <v>287</v>
      </c>
      <c r="D2241" s="94">
        <v>2242.0</v>
      </c>
    </row>
    <row r="2242">
      <c r="A2242" s="40">
        <f t="array" ref="A2242">IFNA(index(PlayerValues!A:A,match(IFNA(vlookup(B2242,'Special Names'!A:B,2,FALSE),B2242),PlayerValues!E:E,0)),"N/A")</f>
        <v>17512</v>
      </c>
      <c r="B2242" s="4" t="s">
        <v>483</v>
      </c>
      <c r="C2242" s="4" t="s">
        <v>287</v>
      </c>
      <c r="D2242" s="94">
        <v>2241.0</v>
      </c>
    </row>
    <row r="2243">
      <c r="A2243" s="40">
        <f t="array" ref="A2243">IFNA(index(PlayerValues!A:A,match(IFNA(vlookup(B2243,'Special Names'!A:B,2,FALSE),B2243),PlayerValues!E:E,0)),"N/A")</f>
        <v>17517</v>
      </c>
      <c r="B2243" s="4" t="s">
        <v>454</v>
      </c>
      <c r="C2243" s="4" t="s">
        <v>287</v>
      </c>
      <c r="D2243" s="94">
        <v>2235.0</v>
      </c>
    </row>
    <row r="2244">
      <c r="A2244" s="40">
        <f t="array" ref="A2244">IFNA(index(PlayerValues!A:A,match(IFNA(vlookup(B2244,'Special Names'!A:B,2,FALSE),B2244),PlayerValues!E:E,0)),"N/A")</f>
        <v>13319</v>
      </c>
      <c r="B2244" s="4" t="s">
        <v>549</v>
      </c>
      <c r="C2244" s="4" t="s">
        <v>278</v>
      </c>
      <c r="D2244" s="94">
        <v>2235.0</v>
      </c>
    </row>
    <row r="2245">
      <c r="A2245" s="40">
        <f t="array" ref="A2245">IFNA(index(PlayerValues!A:A,match(IFNA(vlookup(B2245,'Special Names'!A:B,2,FALSE),B2245),PlayerValues!E:E,0)),"N/A")</f>
        <v>16610</v>
      </c>
      <c r="B2245" s="4" t="s">
        <v>562</v>
      </c>
      <c r="C2245" s="4" t="s">
        <v>278</v>
      </c>
      <c r="D2245" s="94">
        <v>2233.0</v>
      </c>
    </row>
    <row r="2246">
      <c r="A2246" s="40">
        <f t="array" ref="A2246">IFNA(index(PlayerValues!A:A,match(IFNA(vlookup(B2246,'Special Names'!A:B,2,FALSE),B2246),PlayerValues!E:E,0)),"N/A")</f>
        <v>17478</v>
      </c>
      <c r="B2246" s="4" t="s">
        <v>527</v>
      </c>
      <c r="C2246" s="4" t="s">
        <v>278</v>
      </c>
      <c r="D2246" s="94">
        <v>2207.0</v>
      </c>
    </row>
    <row r="2247">
      <c r="A2247" s="40">
        <f t="array" ref="A2247">IFNA(index(PlayerValues!A:A,match(IFNA(vlookup(B2247,'Special Names'!A:B,2,FALSE),B2247),PlayerValues!E:E,0)),"N/A")</f>
        <v>17079</v>
      </c>
      <c r="B2247" s="4" t="s">
        <v>572</v>
      </c>
      <c r="C2247" s="4" t="s">
        <v>287</v>
      </c>
      <c r="D2247" s="94">
        <v>2201.0</v>
      </c>
    </row>
    <row r="2248">
      <c r="A2248" s="40">
        <f t="array" ref="A2248">IFNA(index(PlayerValues!A:A,match(IFNA(vlookup(B2248,'Special Names'!A:B,2,FALSE),B2248),PlayerValues!E:E,0)),"N/A")</f>
        <v>16212</v>
      </c>
      <c r="B2248" s="4" t="s">
        <v>568</v>
      </c>
      <c r="C2248" s="4" t="s">
        <v>298</v>
      </c>
      <c r="D2248" s="94">
        <v>2554.0</v>
      </c>
    </row>
    <row r="2249">
      <c r="A2249" s="40" t="str">
        <f t="array" ref="A2249">IFNA(index(PlayerValues!A:A,match(IFNA(vlookup(B2249,'Special Names'!A:B,2,FALSE),B2249),PlayerValues!E:E,0)),"N/A")</f>
        <v>N/A</v>
      </c>
      <c r="B2249" s="4" t="s">
        <v>100</v>
      </c>
      <c r="C2249" s="4" t="s">
        <v>325</v>
      </c>
      <c r="D2249" s="94">
        <v>2163.0</v>
      </c>
    </row>
    <row r="2250">
      <c r="A2250" s="40">
        <f t="array" ref="A2250">IFNA(index(PlayerValues!A:A,match(IFNA(vlookup(B2250,'Special Names'!A:B,2,FALSE),B2250),PlayerValues!E:E,0)),"N/A")</f>
        <v>17046</v>
      </c>
      <c r="B2250" s="4" t="s">
        <v>602</v>
      </c>
      <c r="C2250" s="4" t="s">
        <v>278</v>
      </c>
      <c r="D2250" s="94">
        <v>2157.0</v>
      </c>
    </row>
    <row r="2251">
      <c r="A2251" s="40" t="str">
        <f t="array" ref="A2251">IFNA(index(PlayerValues!A:A,match(IFNA(vlookup(B2251,'Special Names'!A:B,2,FALSE),B2251),PlayerValues!E:E,0)),"N/A")</f>
        <v>N/A</v>
      </c>
      <c r="B2251" s="4" t="s">
        <v>112</v>
      </c>
      <c r="C2251" s="4" t="s">
        <v>325</v>
      </c>
      <c r="D2251" s="94">
        <v>2151.0</v>
      </c>
    </row>
    <row r="2252">
      <c r="A2252" s="40">
        <f t="array" ref="A2252">IFNA(index(PlayerValues!A:A,match(IFNA(vlookup(B2252,'Special Names'!A:B,2,FALSE),B2252),PlayerValues!E:E,0)),"N/A")</f>
        <v>11150</v>
      </c>
      <c r="B2252" s="4" t="s">
        <v>559</v>
      </c>
      <c r="C2252" s="4" t="s">
        <v>283</v>
      </c>
      <c r="D2252" s="94">
        <v>2147.0</v>
      </c>
    </row>
    <row r="2253">
      <c r="A2253" s="40">
        <f t="array" ref="A2253">IFNA(index(PlayerValues!A:A,match(IFNA(vlookup(B2253,'Special Names'!A:B,2,FALSE),B2253),PlayerValues!E:E,0)),"N/A")</f>
        <v>17056</v>
      </c>
      <c r="B2253" s="4" t="s">
        <v>581</v>
      </c>
      <c r="C2253" s="4" t="s">
        <v>278</v>
      </c>
      <c r="D2253" s="94">
        <v>2147.0</v>
      </c>
    </row>
    <row r="2254">
      <c r="A2254" s="40">
        <f t="array" ref="A2254">IFNA(index(PlayerValues!A:A,match(IFNA(vlookup(B2254,'Special Names'!A:B,2,FALSE),B2254),PlayerValues!E:E,0)),"N/A")</f>
        <v>15238</v>
      </c>
      <c r="B2254" s="4" t="s">
        <v>613</v>
      </c>
      <c r="C2254" s="4" t="s">
        <v>283</v>
      </c>
      <c r="D2254" s="94">
        <v>2141.0</v>
      </c>
    </row>
    <row r="2255">
      <c r="A2255" s="40">
        <f t="array" ref="A2255">IFNA(index(PlayerValues!A:A,match(IFNA(vlookup(B2255,'Special Names'!A:B,2,FALSE),B2255),PlayerValues!E:E,0)),"N/A")</f>
        <v>12186</v>
      </c>
      <c r="B2255" s="4" t="s">
        <v>497</v>
      </c>
      <c r="C2255" s="4" t="s">
        <v>287</v>
      </c>
      <c r="D2255" s="94">
        <v>2140.0</v>
      </c>
    </row>
    <row r="2256">
      <c r="A2256" s="40">
        <f t="array" ref="A2256">IFNA(index(PlayerValues!A:A,match(IFNA(vlookup(B2256,'Special Names'!A:B,2,FALSE),B2256),PlayerValues!E:E,0)),"N/A")</f>
        <v>15331</v>
      </c>
      <c r="B2256" s="4" t="s">
        <v>560</v>
      </c>
      <c r="C2256" s="4" t="s">
        <v>298</v>
      </c>
      <c r="D2256" s="94">
        <v>2530.0</v>
      </c>
    </row>
    <row r="2257">
      <c r="A2257" s="40">
        <f t="array" ref="A2257">IFNA(index(PlayerValues!A:A,match(IFNA(vlookup(B2257,'Special Names'!A:B,2,FALSE),B2257),PlayerValues!E:E,0)),"N/A")</f>
        <v>14974</v>
      </c>
      <c r="B2257" s="4" t="s">
        <v>611</v>
      </c>
      <c r="C2257" s="4" t="s">
        <v>287</v>
      </c>
      <c r="D2257" s="94">
        <v>2133.0</v>
      </c>
    </row>
    <row r="2258">
      <c r="A2258" s="40">
        <f t="array" ref="A2258">IFNA(index(PlayerValues!A:A,match(IFNA(vlookup(B2258,'Special Names'!A:B,2,FALSE),B2258),PlayerValues!E:E,0)),"N/A")</f>
        <v>12801</v>
      </c>
      <c r="B2258" s="4" t="s">
        <v>722</v>
      </c>
      <c r="C2258" s="4" t="s">
        <v>287</v>
      </c>
      <c r="D2258" s="94">
        <v>2122.0</v>
      </c>
    </row>
    <row r="2259">
      <c r="A2259" s="40" t="str">
        <f t="array" ref="A2259">IFNA(index(PlayerValues!A:A,match(IFNA(vlookup(B2259,'Special Names'!A:B,2,FALSE),B2259),PlayerValues!E:E,0)),"N/A")</f>
        <v>N/A</v>
      </c>
      <c r="B2259" s="4" t="s">
        <v>87</v>
      </c>
      <c r="C2259" s="4" t="s">
        <v>325</v>
      </c>
      <c r="D2259" s="94">
        <v>2116.0</v>
      </c>
    </row>
    <row r="2260">
      <c r="A2260" s="40">
        <f t="array" ref="A2260">IFNA(index(PlayerValues!A:A,match(IFNA(vlookup(B2260,'Special Names'!A:B,2,FALSE),B2260),PlayerValues!E:E,0)),"N/A")</f>
        <v>16643</v>
      </c>
      <c r="B2260" s="4" t="s">
        <v>609</v>
      </c>
      <c r="C2260" s="4" t="s">
        <v>298</v>
      </c>
      <c r="D2260" s="94">
        <v>2491.0</v>
      </c>
    </row>
    <row r="2261">
      <c r="A2261" s="40">
        <f t="array" ref="A2261">IFNA(index(PlayerValues!A:A,match(IFNA(vlookup(B2261,'Special Names'!A:B,2,FALSE),B2261),PlayerValues!E:E,0)),"N/A")</f>
        <v>16432</v>
      </c>
      <c r="B2261" s="4" t="s">
        <v>620</v>
      </c>
      <c r="C2261" s="4" t="s">
        <v>278</v>
      </c>
      <c r="D2261" s="94">
        <v>2086.0</v>
      </c>
    </row>
    <row r="2262">
      <c r="A2262" s="40">
        <f t="array" ref="A2262">IFNA(index(PlayerValues!A:A,match(IFNA(vlookup(B2262,'Special Names'!A:B,2,FALSE),B2262),PlayerValues!E:E,0)),"N/A")</f>
        <v>17076</v>
      </c>
      <c r="B2262" s="4" t="s">
        <v>585</v>
      </c>
      <c r="C2262" s="4" t="s">
        <v>287</v>
      </c>
      <c r="D2262" s="94">
        <v>2086.0</v>
      </c>
    </row>
    <row r="2263">
      <c r="A2263" s="40">
        <f t="array" ref="A2263">IFNA(index(PlayerValues!A:A,match(IFNA(vlookup(B2263,'Special Names'!A:B,2,FALSE),B2263),PlayerValues!E:E,0)),"N/A")</f>
        <v>17055</v>
      </c>
      <c r="B2263" s="4" t="s">
        <v>565</v>
      </c>
      <c r="C2263" s="4" t="s">
        <v>278</v>
      </c>
      <c r="D2263" s="94">
        <v>2082.0</v>
      </c>
    </row>
    <row r="2264">
      <c r="A2264" s="40">
        <f t="array" ref="A2264">IFNA(index(PlayerValues!A:A,match(IFNA(vlookup(B2264,'Special Names'!A:B,2,FALSE),B2264),PlayerValues!E:E,0)),"N/A")</f>
        <v>17087</v>
      </c>
      <c r="B2264" s="4" t="s">
        <v>600</v>
      </c>
      <c r="C2264" s="4" t="s">
        <v>287</v>
      </c>
      <c r="D2264" s="94">
        <v>2082.0</v>
      </c>
    </row>
    <row r="2265">
      <c r="A2265" s="40" t="str">
        <f t="array" ref="A2265">IFNA(index(PlayerValues!A:A,match(IFNA(vlookup(B2265,'Special Names'!A:B,2,FALSE),B2265),PlayerValues!E:E,0)),"N/A")</f>
        <v>N/A</v>
      </c>
      <c r="B2265" s="4" t="s">
        <v>113</v>
      </c>
      <c r="C2265" s="4" t="s">
        <v>325</v>
      </c>
      <c r="D2265" s="94">
        <v>2076.0</v>
      </c>
    </row>
    <row r="2266">
      <c r="A2266" s="40">
        <f t="array" ref="A2266">IFNA(index(PlayerValues!A:A,match(IFNA(vlookup(B2266,'Special Names'!A:B,2,FALSE),B2266),PlayerValues!E:E,0)),"N/A")</f>
        <v>13633</v>
      </c>
      <c r="B2266" s="4" t="s">
        <v>625</v>
      </c>
      <c r="C2266" s="4" t="s">
        <v>287</v>
      </c>
      <c r="D2266" s="94">
        <v>2066.0</v>
      </c>
    </row>
    <row r="2267">
      <c r="A2267" s="40">
        <f t="array" ref="A2267">IFNA(index(PlayerValues!A:A,match(IFNA(vlookup(B2267,'Special Names'!A:B,2,FALSE),B2267),PlayerValues!E:E,0)),"N/A")</f>
        <v>17061</v>
      </c>
      <c r="B2267" s="4" t="s">
        <v>580</v>
      </c>
      <c r="C2267" s="4" t="s">
        <v>278</v>
      </c>
      <c r="D2267" s="94">
        <v>2065.0</v>
      </c>
    </row>
    <row r="2268">
      <c r="A2268" s="40">
        <f t="array" ref="A2268">IFNA(index(PlayerValues!A:A,match(IFNA(vlookup(B2268,'Special Names'!A:B,2,FALSE),B2268),PlayerValues!E:E,0)),"N/A")</f>
        <v>15293</v>
      </c>
      <c r="B2268" s="4" t="s">
        <v>578</v>
      </c>
      <c r="C2268" s="4" t="s">
        <v>287</v>
      </c>
      <c r="D2268" s="94">
        <v>2061.0</v>
      </c>
    </row>
    <row r="2269">
      <c r="A2269" s="40">
        <f t="array" ref="A2269">IFNA(index(PlayerValues!A:A,match(IFNA(vlookup(B2269,'Special Names'!A:B,2,FALSE),B2269),PlayerValues!E:E,0)),"N/A")</f>
        <v>16639</v>
      </c>
      <c r="B2269" s="4" t="s">
        <v>599</v>
      </c>
      <c r="C2269" s="4" t="s">
        <v>287</v>
      </c>
      <c r="D2269" s="94">
        <v>2051.0</v>
      </c>
    </row>
    <row r="2270">
      <c r="A2270" s="40">
        <f t="array" ref="A2270">IFNA(index(PlayerValues!A:A,match(IFNA(vlookup(B2270,'Special Names'!A:B,2,FALSE),B2270),PlayerValues!E:E,0)),"N/A")</f>
        <v>13132</v>
      </c>
      <c r="B2270" s="4" t="s">
        <v>598</v>
      </c>
      <c r="C2270" s="4" t="s">
        <v>278</v>
      </c>
      <c r="D2270" s="94">
        <v>2045.0</v>
      </c>
    </row>
    <row r="2271">
      <c r="A2271" s="40">
        <f t="array" ref="A2271">IFNA(index(PlayerValues!A:A,match(IFNA(vlookup(B2271,'Special Names'!A:B,2,FALSE),B2271),PlayerValues!E:E,0)),"N/A")</f>
        <v>14867</v>
      </c>
      <c r="B2271" s="4" t="s">
        <v>591</v>
      </c>
      <c r="C2271" s="4" t="s">
        <v>298</v>
      </c>
      <c r="D2271" s="94">
        <v>2433.0</v>
      </c>
    </row>
    <row r="2272">
      <c r="A2272" s="40">
        <f t="array" ref="A2272">IFNA(index(PlayerValues!A:A,match(IFNA(vlookup(B2272,'Special Names'!A:B,2,FALSE),B2272),PlayerValues!E:E,0)),"N/A")</f>
        <v>17060</v>
      </c>
      <c r="B2272" s="4" t="s">
        <v>603</v>
      </c>
      <c r="C2272" s="4" t="s">
        <v>278</v>
      </c>
      <c r="D2272" s="94">
        <v>2043.0</v>
      </c>
    </row>
    <row r="2273">
      <c r="A2273" s="40">
        <f t="array" ref="A2273">IFNA(index(PlayerValues!A:A,match(IFNA(vlookup(B2273,'Special Names'!A:B,2,FALSE),B2273),PlayerValues!E:E,0)),"N/A")</f>
        <v>17069</v>
      </c>
      <c r="B2273" s="4" t="s">
        <v>604</v>
      </c>
      <c r="C2273" s="4" t="s">
        <v>278</v>
      </c>
      <c r="D2273" s="94">
        <v>2039.0</v>
      </c>
    </row>
    <row r="2274">
      <c r="A2274" s="40">
        <f t="array" ref="A2274">IFNA(index(PlayerValues!A:A,match(IFNA(vlookup(B2274,'Special Names'!A:B,2,FALSE),B2274),PlayerValues!E:E,0)),"N/A")</f>
        <v>16342</v>
      </c>
      <c r="B2274" s="4" t="s">
        <v>583</v>
      </c>
      <c r="C2274" s="4" t="s">
        <v>287</v>
      </c>
      <c r="D2274" s="94">
        <v>2031.0</v>
      </c>
    </row>
    <row r="2275">
      <c r="A2275" s="40" t="str">
        <f t="array" ref="A2275">IFNA(index(PlayerValues!A:A,match(IFNA(vlookup(B2275,'Special Names'!A:B,2,FALSE),B2275),PlayerValues!E:E,0)),"N/A")</f>
        <v>N/A</v>
      </c>
      <c r="B2275" s="4" t="s">
        <v>88</v>
      </c>
      <c r="C2275" s="4" t="s">
        <v>325</v>
      </c>
      <c r="D2275" s="94">
        <v>2023.0</v>
      </c>
    </row>
    <row r="2276">
      <c r="A2276" s="40">
        <f t="array" ref="A2276">IFNA(index(PlayerValues!A:A,match(IFNA(vlookup(B2276,'Special Names'!A:B,2,FALSE),B2276),PlayerValues!E:E,0)),"N/A")</f>
        <v>14871</v>
      </c>
      <c r="B2276" s="4" t="s">
        <v>584</v>
      </c>
      <c r="C2276" s="4" t="s">
        <v>298</v>
      </c>
      <c r="D2276" s="94">
        <v>2400.0</v>
      </c>
    </row>
    <row r="2277">
      <c r="A2277" s="40">
        <f t="array" ref="A2277">IFNA(index(PlayerValues!A:A,match(IFNA(vlookup(B2277,'Special Names'!A:B,2,FALSE),B2277),PlayerValues!E:E,0)),"N/A")</f>
        <v>13146</v>
      </c>
      <c r="B2277" s="4" t="s">
        <v>652</v>
      </c>
      <c r="C2277" s="4" t="s">
        <v>278</v>
      </c>
      <c r="D2277" s="94">
        <v>1984.0</v>
      </c>
    </row>
    <row r="2278">
      <c r="A2278" s="40">
        <f t="array" ref="A2278">IFNA(index(PlayerValues!A:A,match(IFNA(vlookup(B2278,'Special Names'!A:B,2,FALSE),B2278),PlayerValues!E:E,0)),"N/A")</f>
        <v>10700</v>
      </c>
      <c r="B2278" s="4" t="s">
        <v>596</v>
      </c>
      <c r="C2278" s="4" t="s">
        <v>283</v>
      </c>
      <c r="D2278" s="94">
        <v>1981.0</v>
      </c>
    </row>
    <row r="2279">
      <c r="A2279" s="40">
        <f t="array" ref="A2279">IFNA(index(PlayerValues!A:A,match(IFNA(vlookup(B2279,'Special Names'!A:B,2,FALSE),B2279),PlayerValues!E:E,0)),"N/A")</f>
        <v>16191</v>
      </c>
      <c r="B2279" s="4" t="s">
        <v>666</v>
      </c>
      <c r="C2279" s="4" t="s">
        <v>287</v>
      </c>
      <c r="D2279" s="94">
        <v>1980.0</v>
      </c>
    </row>
    <row r="2280">
      <c r="A2280" s="40">
        <f t="array" ref="A2280">IFNA(index(PlayerValues!A:A,match(IFNA(vlookup(B2280,'Special Names'!A:B,2,FALSE),B2280),PlayerValues!E:E,0)),"N/A")</f>
        <v>17036</v>
      </c>
      <c r="B2280" s="4" t="s">
        <v>617</v>
      </c>
      <c r="C2280" s="4" t="s">
        <v>283</v>
      </c>
      <c r="D2280" s="94">
        <v>1971.0</v>
      </c>
    </row>
    <row r="2281">
      <c r="A2281" s="40">
        <f t="array" ref="A2281">IFNA(index(PlayerValues!A:A,match(IFNA(vlookup(B2281,'Special Names'!A:B,2,FALSE),B2281),PlayerValues!E:E,0)),"N/A")</f>
        <v>16171</v>
      </c>
      <c r="B2281" s="4" t="s">
        <v>618</v>
      </c>
      <c r="C2281" s="4" t="s">
        <v>278</v>
      </c>
      <c r="D2281" s="94">
        <v>1957.0</v>
      </c>
    </row>
    <row r="2282">
      <c r="A2282" s="40">
        <f t="array" ref="A2282">IFNA(index(PlayerValues!A:A,match(IFNA(vlookup(B2282,'Special Names'!A:B,2,FALSE),B2282),PlayerValues!E:E,0)),"N/A")</f>
        <v>16603</v>
      </c>
      <c r="B2282" s="4" t="s">
        <v>587</v>
      </c>
      <c r="C2282" s="4" t="s">
        <v>278</v>
      </c>
      <c r="D2282" s="94">
        <v>1954.0</v>
      </c>
    </row>
    <row r="2283">
      <c r="A2283" s="40">
        <f t="array" ref="A2283">IFNA(index(PlayerValues!A:A,match(IFNA(vlookup(B2283,'Special Names'!A:B,2,FALSE),B2283),PlayerValues!E:E,0)),"N/A")</f>
        <v>13629</v>
      </c>
      <c r="B2283" s="4" t="s">
        <v>619</v>
      </c>
      <c r="C2283" s="4" t="s">
        <v>287</v>
      </c>
      <c r="D2283" s="94">
        <v>1952.0</v>
      </c>
    </row>
    <row r="2284">
      <c r="A2284" s="40">
        <f t="array" ref="A2284">IFNA(index(PlayerValues!A:A,match(IFNA(vlookup(B2284,'Special Names'!A:B,2,FALSE),B2284),PlayerValues!E:E,0)),"N/A")</f>
        <v>17184</v>
      </c>
      <c r="B2284" s="4" t="s">
        <v>588</v>
      </c>
      <c r="C2284" s="4" t="s">
        <v>287</v>
      </c>
      <c r="D2284" s="94">
        <v>1936.0</v>
      </c>
    </row>
    <row r="2285">
      <c r="A2285" s="40">
        <f t="array" ref="A2285">IFNA(index(PlayerValues!A:A,match(IFNA(vlookup(B2285,'Special Names'!A:B,2,FALSE),B2285),PlayerValues!E:E,0)),"N/A")</f>
        <v>16216</v>
      </c>
      <c r="B2285" s="4" t="s">
        <v>595</v>
      </c>
      <c r="C2285" s="4" t="s">
        <v>298</v>
      </c>
      <c r="D2285" s="94">
        <v>2304.0</v>
      </c>
    </row>
    <row r="2286">
      <c r="A2286" s="40">
        <f t="array" ref="A2286">IFNA(index(PlayerValues!A:A,match(IFNA(vlookup(B2286,'Special Names'!A:B,2,FALSE),B2286),PlayerValues!E:E,0)),"N/A")</f>
        <v>13189</v>
      </c>
      <c r="B2286" s="4" t="s">
        <v>626</v>
      </c>
      <c r="C2286" s="4" t="s">
        <v>298</v>
      </c>
      <c r="D2286" s="94">
        <v>2296.0</v>
      </c>
    </row>
    <row r="2287">
      <c r="A2287" s="40">
        <f t="array" ref="A2287">IFNA(index(PlayerValues!A:A,match(IFNA(vlookup(B2287,'Special Names'!A:B,2,FALSE),B2287),PlayerValues!E:E,0)),"N/A")</f>
        <v>17049</v>
      </c>
      <c r="B2287" s="4" t="s">
        <v>624</v>
      </c>
      <c r="C2287" s="4" t="s">
        <v>278</v>
      </c>
      <c r="D2287" s="94">
        <v>1907.0</v>
      </c>
    </row>
    <row r="2288">
      <c r="A2288" s="40">
        <f t="array" ref="A2288">IFNA(index(PlayerValues!A:A,match(IFNA(vlookup(B2288,'Special Names'!A:B,2,FALSE),B2288),PlayerValues!E:E,0)),"N/A")</f>
        <v>13113</v>
      </c>
      <c r="B2288" s="4" t="s">
        <v>606</v>
      </c>
      <c r="C2288" s="4" t="s">
        <v>283</v>
      </c>
      <c r="D2288" s="94">
        <v>1895.0</v>
      </c>
    </row>
    <row r="2289">
      <c r="A2289" s="40" t="str">
        <f t="array" ref="A2289">IFNA(index(PlayerValues!A:A,match(IFNA(vlookup(B2289,'Special Names'!A:B,2,FALSE),B2289),PlayerValues!E:E,0)),"N/A")</f>
        <v>N/A</v>
      </c>
      <c r="B2289" s="4" t="s">
        <v>101</v>
      </c>
      <c r="C2289" s="4" t="s">
        <v>325</v>
      </c>
      <c r="D2289" s="94">
        <v>1881.0</v>
      </c>
    </row>
    <row r="2290">
      <c r="A2290" s="40">
        <f t="array" ref="A2290">IFNA(index(PlayerValues!A:A,match(IFNA(vlookup(B2290,'Special Names'!A:B,2,FALSE),B2290),PlayerValues!E:E,0)),"N/A")</f>
        <v>15254</v>
      </c>
      <c r="B2290" s="4" t="s">
        <v>633</v>
      </c>
      <c r="C2290" s="4" t="s">
        <v>278</v>
      </c>
      <c r="D2290" s="94">
        <v>1877.0</v>
      </c>
    </row>
    <row r="2291">
      <c r="A2291" s="40">
        <f t="array" ref="A2291">IFNA(index(PlayerValues!A:A,match(IFNA(vlookup(B2291,'Special Names'!A:B,2,FALSE),B2291),PlayerValues!E:E,0)),"N/A")</f>
        <v>16604</v>
      </c>
      <c r="B2291" s="4" t="s">
        <v>476</v>
      </c>
      <c r="C2291" s="4" t="s">
        <v>278</v>
      </c>
      <c r="D2291" s="94">
        <v>1857.0</v>
      </c>
    </row>
    <row r="2292">
      <c r="A2292" s="40">
        <f t="array" ref="A2292">IFNA(index(PlayerValues!A:A,match(IFNA(vlookup(B2292,'Special Names'!A:B,2,FALSE),B2292),PlayerValues!E:E,0)),"N/A")</f>
        <v>17034</v>
      </c>
      <c r="B2292" s="4" t="s">
        <v>643</v>
      </c>
      <c r="C2292" s="4" t="s">
        <v>283</v>
      </c>
      <c r="D2292" s="94">
        <v>1851.0</v>
      </c>
    </row>
    <row r="2293">
      <c r="A2293" s="40">
        <f t="array" ref="A2293">IFNA(index(PlayerValues!A:A,match(IFNA(vlookup(B2293,'Special Names'!A:B,2,FALSE),B2293),PlayerValues!E:E,0)),"N/A")</f>
        <v>16644</v>
      </c>
      <c r="B2293" s="4" t="s">
        <v>640</v>
      </c>
      <c r="C2293" s="4" t="s">
        <v>298</v>
      </c>
      <c r="D2293" s="94">
        <v>2230.0</v>
      </c>
    </row>
    <row r="2294">
      <c r="A2294" s="40">
        <f t="array" ref="A2294">IFNA(index(PlayerValues!A:A,match(IFNA(vlookup(B2294,'Special Names'!A:B,2,FALSE),B2294),PlayerValues!E:E,0)),"N/A")</f>
        <v>17547</v>
      </c>
      <c r="B2294" s="4" t="s">
        <v>552</v>
      </c>
      <c r="C2294" s="4" t="s">
        <v>298</v>
      </c>
      <c r="D2294" s="94">
        <v>2217.0</v>
      </c>
    </row>
    <row r="2295">
      <c r="A2295" s="40">
        <f t="array" ref="A2295">IFNA(index(PlayerValues!A:A,match(IFNA(vlookup(B2295,'Special Names'!A:B,2,FALSE),B2295),PlayerValues!E:E,0)),"N/A")</f>
        <v>16215</v>
      </c>
      <c r="B2295" s="4" t="s">
        <v>637</v>
      </c>
      <c r="C2295" s="4" t="s">
        <v>298</v>
      </c>
      <c r="D2295" s="94">
        <v>2216.0</v>
      </c>
    </row>
    <row r="2296">
      <c r="A2296" s="40" t="str">
        <f t="array" ref="A2296">IFNA(index(PlayerValues!A:A,match(IFNA(vlookup(B2296,'Special Names'!A:B,2,FALSE),B2296),PlayerValues!E:E,0)),"N/A")</f>
        <v>N/A</v>
      </c>
      <c r="B2296" s="4" t="s">
        <v>114</v>
      </c>
      <c r="C2296" s="4" t="s">
        <v>325</v>
      </c>
      <c r="D2296" s="94">
        <v>1832.0</v>
      </c>
    </row>
    <row r="2297">
      <c r="A2297" s="40">
        <f t="array" ref="A2297">IFNA(index(PlayerValues!A:A,match(IFNA(vlookup(B2297,'Special Names'!A:B,2,FALSE),B2297),PlayerValues!E:E,0)),"N/A")</f>
        <v>15787</v>
      </c>
      <c r="B2297" s="4" t="s">
        <v>610</v>
      </c>
      <c r="C2297" s="4" t="s">
        <v>287</v>
      </c>
      <c r="D2297" s="94">
        <v>1831.0</v>
      </c>
    </row>
    <row r="2298">
      <c r="A2298" s="40">
        <f t="array" ref="A2298">IFNA(index(PlayerValues!A:A,match(IFNA(vlookup(B2298,'Special Names'!A:B,2,FALSE),B2298),PlayerValues!E:E,0)),"N/A")</f>
        <v>15788</v>
      </c>
      <c r="B2298" s="4" t="s">
        <v>627</v>
      </c>
      <c r="C2298" s="4" t="s">
        <v>287</v>
      </c>
      <c r="D2298" s="94">
        <v>1826.0</v>
      </c>
    </row>
    <row r="2299">
      <c r="A2299" s="40">
        <f t="array" ref="A2299">IFNA(index(PlayerValues!A:A,match(IFNA(vlookup(B2299,'Special Names'!A:B,2,FALSE),B2299),PlayerValues!E:E,0)),"N/A")</f>
        <v>17086</v>
      </c>
      <c r="B2299" s="4" t="s">
        <v>612</v>
      </c>
      <c r="C2299" s="4" t="s">
        <v>287</v>
      </c>
      <c r="D2299" s="94">
        <v>1820.0</v>
      </c>
    </row>
    <row r="2300">
      <c r="A2300" s="40">
        <f t="array" ref="A2300">IFNA(index(PlayerValues!A:A,match(IFNA(vlookup(B2300,'Special Names'!A:B,2,FALSE),B2300),PlayerValues!E:E,0)),"N/A")</f>
        <v>17035</v>
      </c>
      <c r="B2300" s="4" t="s">
        <v>650</v>
      </c>
      <c r="C2300" s="4" t="s">
        <v>283</v>
      </c>
      <c r="D2300" s="94">
        <v>1811.0</v>
      </c>
    </row>
    <row r="2301">
      <c r="A2301" s="40">
        <f t="array" ref="A2301">IFNA(index(PlayerValues!A:A,match(IFNA(vlookup(B2301,'Special Names'!A:B,2,FALSE),B2301),PlayerValues!E:E,0)),"N/A")</f>
        <v>16752</v>
      </c>
      <c r="B2301" s="4" t="s">
        <v>597</v>
      </c>
      <c r="C2301" s="4" t="s">
        <v>278</v>
      </c>
      <c r="D2301" s="94">
        <v>1809.0</v>
      </c>
    </row>
    <row r="2302">
      <c r="A2302" s="40">
        <f t="array" ref="A2302">IFNA(index(PlayerValues!A:A,match(IFNA(vlookup(B2302,'Special Names'!A:B,2,FALSE),B2302),PlayerValues!E:E,0)),"N/A")</f>
        <v>13164</v>
      </c>
      <c r="B2302" s="4" t="s">
        <v>632</v>
      </c>
      <c r="C2302" s="4" t="s">
        <v>287</v>
      </c>
      <c r="D2302" s="94">
        <v>1808.0</v>
      </c>
    </row>
    <row r="2303">
      <c r="A2303" s="40">
        <f t="array" ref="A2303">IFNA(index(PlayerValues!A:A,match(IFNA(vlookup(B2303,'Special Names'!A:B,2,FALSE),B2303),PlayerValues!E:E,0)),"N/A")</f>
        <v>14105</v>
      </c>
      <c r="B2303" s="4" t="s">
        <v>675</v>
      </c>
      <c r="C2303" s="4" t="s">
        <v>287</v>
      </c>
      <c r="D2303" s="94">
        <v>1800.0</v>
      </c>
    </row>
    <row r="2304">
      <c r="A2304" s="40">
        <f t="array" ref="A2304">IFNA(index(PlayerValues!A:A,match(IFNA(vlookup(B2304,'Special Names'!A:B,2,FALSE),B2304),PlayerValues!E:E,0)),"N/A")</f>
        <v>7836</v>
      </c>
      <c r="B2304" s="4" t="s">
        <v>590</v>
      </c>
      <c r="C2304" s="4" t="s">
        <v>283</v>
      </c>
      <c r="D2304" s="94">
        <v>1794.0</v>
      </c>
    </row>
    <row r="2305">
      <c r="A2305" s="40">
        <f t="array" ref="A2305">IFNA(index(PlayerValues!A:A,match(IFNA(vlookup(B2305,'Special Names'!A:B,2,FALSE),B2305),PlayerValues!E:E,0)),"N/A")</f>
        <v>16201</v>
      </c>
      <c r="B2305" s="4" t="s">
        <v>589</v>
      </c>
      <c r="C2305" s="4" t="s">
        <v>287</v>
      </c>
      <c r="D2305" s="94">
        <v>1781.0</v>
      </c>
    </row>
    <row r="2306">
      <c r="A2306" s="40">
        <f t="array" ref="A2306">IFNA(index(PlayerValues!A:A,match(IFNA(vlookup(B2306,'Special Names'!A:B,2,FALSE),B2306),PlayerValues!E:E,0)),"N/A")</f>
        <v>17465</v>
      </c>
      <c r="B2306" s="4" t="s">
        <v>649</v>
      </c>
      <c r="C2306" s="4" t="s">
        <v>283</v>
      </c>
      <c r="D2306" s="94">
        <v>1768.0</v>
      </c>
    </row>
    <row r="2307">
      <c r="A2307" s="40">
        <f t="array" ref="A2307">IFNA(index(PlayerValues!A:A,match(IFNA(vlookup(B2307,'Special Names'!A:B,2,FALSE),B2307),PlayerValues!E:E,0)),"N/A")</f>
        <v>14143</v>
      </c>
      <c r="B2307" s="4" t="s">
        <v>635</v>
      </c>
      <c r="C2307" s="4" t="s">
        <v>298</v>
      </c>
      <c r="D2307" s="94">
        <v>2146.0</v>
      </c>
    </row>
    <row r="2308">
      <c r="A2308" s="40">
        <f t="array" ref="A2308">IFNA(index(PlayerValues!A:A,match(IFNA(vlookup(B2308,'Special Names'!A:B,2,FALSE),B2308),PlayerValues!E:E,0)),"N/A")</f>
        <v>17096</v>
      </c>
      <c r="B2308" s="4" t="s">
        <v>638</v>
      </c>
      <c r="C2308" s="4" t="s">
        <v>287</v>
      </c>
      <c r="D2308" s="94">
        <v>1759.0</v>
      </c>
    </row>
    <row r="2309">
      <c r="A2309" s="40">
        <f t="array" ref="A2309">IFNA(index(PlayerValues!A:A,match(IFNA(vlookup(B2309,'Special Names'!A:B,2,FALSE),B2309),PlayerValues!E:E,0)),"N/A")</f>
        <v>16778</v>
      </c>
      <c r="B2309" s="4" t="s">
        <v>577</v>
      </c>
      <c r="C2309" s="4" t="s">
        <v>287</v>
      </c>
      <c r="D2309" s="94">
        <v>1752.0</v>
      </c>
    </row>
    <row r="2310">
      <c r="A2310" s="40">
        <f t="array" ref="A2310">IFNA(index(PlayerValues!A:A,match(IFNA(vlookup(B2310,'Special Names'!A:B,2,FALSE),B2310),PlayerValues!E:E,0)),"N/A")</f>
        <v>17520</v>
      </c>
      <c r="B2310" s="4" t="s">
        <v>518</v>
      </c>
      <c r="C2310" s="4" t="s">
        <v>287</v>
      </c>
      <c r="D2310" s="94">
        <v>1739.0</v>
      </c>
    </row>
    <row r="2311">
      <c r="A2311" s="40">
        <f t="array" ref="A2311">IFNA(index(PlayerValues!A:A,match(IFNA(vlookup(B2311,'Special Names'!A:B,2,FALSE),B2311),PlayerValues!E:E,0)),"N/A")</f>
        <v>16635</v>
      </c>
      <c r="B2311" s="4" t="s">
        <v>645</v>
      </c>
      <c r="C2311" s="4" t="s">
        <v>287</v>
      </c>
      <c r="D2311" s="94">
        <v>1734.0</v>
      </c>
    </row>
    <row r="2312">
      <c r="A2312" s="40">
        <f t="array" ref="A2312">IFNA(index(PlayerValues!A:A,match(IFNA(vlookup(B2312,'Special Names'!A:B,2,FALSE),B2312),PlayerValues!E:E,0)),"N/A")</f>
        <v>15755</v>
      </c>
      <c r="B2312" s="4" t="s">
        <v>628</v>
      </c>
      <c r="C2312" s="4" t="s">
        <v>287</v>
      </c>
      <c r="D2312" s="94">
        <v>1729.0</v>
      </c>
    </row>
    <row r="2313">
      <c r="A2313" s="40" t="str">
        <f t="array" ref="A2313">IFNA(index(PlayerValues!A:A,match(IFNA(vlookup(B2313,'Special Names'!A:B,2,FALSE),B2313),PlayerValues!E:E,0)),"N/A")</f>
        <v>N/A</v>
      </c>
      <c r="B2313" s="4" t="s">
        <v>89</v>
      </c>
      <c r="C2313" s="4" t="s">
        <v>325</v>
      </c>
      <c r="D2313" s="94">
        <v>1720.0</v>
      </c>
    </row>
    <row r="2314">
      <c r="A2314" s="40">
        <f t="array" ref="A2314">IFNA(index(PlayerValues!A:A,match(IFNA(vlookup(B2314,'Special Names'!A:B,2,FALSE),B2314),PlayerValues!E:E,0)),"N/A")</f>
        <v>16586</v>
      </c>
      <c r="B2314" s="4" t="s">
        <v>658</v>
      </c>
      <c r="C2314" s="4" t="s">
        <v>283</v>
      </c>
      <c r="D2314" s="94">
        <v>1717.0</v>
      </c>
    </row>
    <row r="2315">
      <c r="A2315" s="40">
        <f t="array" ref="A2315">IFNA(index(PlayerValues!A:A,match(IFNA(vlookup(B2315,'Special Names'!A:B,2,FALSE),B2315),PlayerValues!E:E,0)),"N/A")</f>
        <v>15301</v>
      </c>
      <c r="B2315" s="4" t="s">
        <v>657</v>
      </c>
      <c r="C2315" s="4" t="s">
        <v>287</v>
      </c>
      <c r="D2315" s="94">
        <v>1709.0</v>
      </c>
    </row>
    <row r="2316">
      <c r="A2316" s="40">
        <f t="array" ref="A2316">IFNA(index(PlayerValues!A:A,match(IFNA(vlookup(B2316,'Special Names'!A:B,2,FALSE),B2316),PlayerValues!E:E,0)),"N/A")</f>
        <v>15797</v>
      </c>
      <c r="B2316" s="4" t="s">
        <v>556</v>
      </c>
      <c r="C2316" s="4" t="s">
        <v>298</v>
      </c>
      <c r="D2316" s="94">
        <v>2087.0</v>
      </c>
    </row>
    <row r="2317">
      <c r="A2317" s="40" t="str">
        <f t="array" ref="A2317">IFNA(index(PlayerValues!A:A,match(IFNA(vlookup(B2317,'Special Names'!A:B,2,FALSE),B2317),PlayerValues!E:E,0)),"N/A")</f>
        <v>N/A</v>
      </c>
      <c r="B2317" s="4" t="s">
        <v>102</v>
      </c>
      <c r="C2317" s="4" t="s">
        <v>325</v>
      </c>
      <c r="D2317" s="94">
        <v>1689.0</v>
      </c>
    </row>
    <row r="2318">
      <c r="A2318" s="40">
        <f t="array" ref="A2318">IFNA(index(PlayerValues!A:A,match(IFNA(vlookup(B2318,'Special Names'!A:B,2,FALSE),B2318),PlayerValues!E:E,0)),"N/A")</f>
        <v>16585</v>
      </c>
      <c r="B2318" s="4" t="s">
        <v>623</v>
      </c>
      <c r="C2318" s="4" t="s">
        <v>283</v>
      </c>
      <c r="D2318" s="94">
        <v>1687.0</v>
      </c>
    </row>
    <row r="2319">
      <c r="A2319" s="40" t="str">
        <f t="array" ref="A2319">IFNA(index(PlayerValues!A:A,match(IFNA(vlookup(B2319,'Special Names'!A:B,2,FALSE),B2319),PlayerValues!E:E,0)),"N/A")</f>
        <v>N/A</v>
      </c>
      <c r="B2319" s="4" t="s">
        <v>115</v>
      </c>
      <c r="C2319" s="4" t="s">
        <v>325</v>
      </c>
      <c r="D2319" s="94">
        <v>1672.0</v>
      </c>
    </row>
    <row r="2320">
      <c r="A2320" s="40">
        <f t="array" ref="A2320">IFNA(index(PlayerValues!A:A,match(IFNA(vlookup(B2320,'Special Names'!A:B,2,FALSE),B2320),PlayerValues!E:E,0)),"N/A")</f>
        <v>17064</v>
      </c>
      <c r="B2320" s="4" t="s">
        <v>631</v>
      </c>
      <c r="C2320" s="4" t="s">
        <v>278</v>
      </c>
      <c r="D2320" s="94">
        <v>1671.0</v>
      </c>
    </row>
    <row r="2321">
      <c r="A2321" s="40" t="str">
        <f t="array" ref="A2321">IFNA(index(PlayerValues!A:A,match(IFNA(vlookup(B2321,'Special Names'!A:B,2,FALSE),B2321),PlayerValues!E:E,0)),"N/A")</f>
        <v>N/A</v>
      </c>
      <c r="B2321" s="4" t="s">
        <v>103</v>
      </c>
      <c r="C2321" s="4" t="s">
        <v>325</v>
      </c>
      <c r="D2321" s="94">
        <v>1669.0</v>
      </c>
    </row>
    <row r="2322">
      <c r="A2322" s="40">
        <f t="array" ref="A2322">IFNA(index(PlayerValues!A:A,match(IFNA(vlookup(B2322,'Special Names'!A:B,2,FALSE),B2322),PlayerValues!E:E,0)),"N/A")</f>
        <v>16629</v>
      </c>
      <c r="B2322" s="4" t="s">
        <v>605</v>
      </c>
      <c r="C2322" s="4" t="s">
        <v>287</v>
      </c>
      <c r="D2322" s="94">
        <v>1667.0</v>
      </c>
    </row>
    <row r="2323">
      <c r="A2323" s="40">
        <f t="array" ref="A2323">IFNA(index(PlayerValues!A:A,match(IFNA(vlookup(B2323,'Special Names'!A:B,2,FALSE),B2323),PlayerValues!E:E,0)),"N/A")</f>
        <v>16788</v>
      </c>
      <c r="B2323" s="4" t="s">
        <v>621</v>
      </c>
      <c r="C2323" s="4" t="s">
        <v>287</v>
      </c>
      <c r="D2323" s="94">
        <v>1656.0</v>
      </c>
    </row>
    <row r="2324">
      <c r="A2324" s="40">
        <f t="array" ref="A2324">IFNA(index(PlayerValues!A:A,match(IFNA(vlookup(B2324,'Special Names'!A:B,2,FALSE),B2324),PlayerValues!E:E,0)),"N/A")</f>
        <v>16601</v>
      </c>
      <c r="B2324" s="4" t="s">
        <v>648</v>
      </c>
      <c r="C2324" s="4" t="s">
        <v>278</v>
      </c>
      <c r="D2324" s="94">
        <v>1652.0</v>
      </c>
    </row>
    <row r="2325">
      <c r="A2325" s="40">
        <f t="array" ref="A2325">IFNA(index(PlayerValues!A:A,match(IFNA(vlookup(B2325,'Special Names'!A:B,2,FALSE),B2325),PlayerValues!E:E,0)),"N/A")</f>
        <v>16207</v>
      </c>
      <c r="B2325" s="4" t="s">
        <v>636</v>
      </c>
      <c r="C2325" s="4" t="s">
        <v>287</v>
      </c>
      <c r="D2325" s="94">
        <v>1650.0</v>
      </c>
    </row>
    <row r="2326">
      <c r="A2326" s="40">
        <f t="array" ref="A2326">IFNA(index(PlayerValues!A:A,match(IFNA(vlookup(B2326,'Special Names'!A:B,2,FALSE),B2326),PlayerValues!E:E,0)),"N/A")</f>
        <v>17058</v>
      </c>
      <c r="B2326" s="4" t="s">
        <v>641</v>
      </c>
      <c r="C2326" s="4" t="s">
        <v>278</v>
      </c>
      <c r="D2326" s="94">
        <v>1649.0</v>
      </c>
    </row>
    <row r="2327">
      <c r="A2327" s="40">
        <f t="array" ref="A2327">IFNA(index(PlayerValues!A:A,match(IFNA(vlookup(B2327,'Special Names'!A:B,2,FALSE),B2327),PlayerValues!E:E,0)),"N/A")</f>
        <v>15759</v>
      </c>
      <c r="B2327" s="4" t="s">
        <v>662</v>
      </c>
      <c r="C2327" s="4" t="s">
        <v>287</v>
      </c>
      <c r="D2327" s="94">
        <v>1641.0</v>
      </c>
    </row>
    <row r="2328">
      <c r="A2328" s="40">
        <f t="array" ref="A2328">IFNA(index(PlayerValues!A:A,match(IFNA(vlookup(B2328,'Special Names'!A:B,2,FALSE),B2328),PlayerValues!E:E,0)),"N/A")</f>
        <v>15319</v>
      </c>
      <c r="B2328" s="4" t="s">
        <v>644</v>
      </c>
      <c r="C2328" s="4" t="s">
        <v>287</v>
      </c>
      <c r="D2328" s="94">
        <v>1637.0</v>
      </c>
    </row>
    <row r="2329">
      <c r="A2329" s="40">
        <f t="array" ref="A2329">IFNA(index(PlayerValues!A:A,match(IFNA(vlookup(B2329,'Special Names'!A:B,2,FALSE),B2329),PlayerValues!E:E,0)),"N/A")</f>
        <v>16595</v>
      </c>
      <c r="B2329" s="4" t="s">
        <v>664</v>
      </c>
      <c r="C2329" s="4" t="s">
        <v>278</v>
      </c>
      <c r="D2329" s="94">
        <v>1634.0</v>
      </c>
    </row>
    <row r="2330">
      <c r="A2330" s="40">
        <f t="array" ref="A2330">IFNA(index(PlayerValues!A:A,match(IFNA(vlookup(B2330,'Special Names'!A:B,2,FALSE),B2330),PlayerValues!E:E,0)),"N/A")</f>
        <v>15337</v>
      </c>
      <c r="B2330" s="4" t="s">
        <v>655</v>
      </c>
      <c r="C2330" s="4" t="s">
        <v>298</v>
      </c>
      <c r="D2330" s="94">
        <v>2000.0</v>
      </c>
    </row>
    <row r="2331">
      <c r="A2331" s="40" t="str">
        <f t="array" ref="A2331">IFNA(index(PlayerValues!A:A,match(IFNA(vlookup(B2331,'Special Names'!A:B,2,FALSE),B2331),PlayerValues!E:E,0)),"N/A")</f>
        <v>N/A</v>
      </c>
      <c r="B2331" s="4" t="s">
        <v>90</v>
      </c>
      <c r="C2331" s="4" t="s">
        <v>325</v>
      </c>
      <c r="D2331" s="94">
        <v>1600.0</v>
      </c>
    </row>
    <row r="2332">
      <c r="A2332" s="40">
        <f t="array" ref="A2332">IFNA(index(PlayerValues!A:A,match(IFNA(vlookup(B2332,'Special Names'!A:B,2,FALSE),B2332),PlayerValues!E:E,0)),"N/A")</f>
        <v>17205</v>
      </c>
      <c r="B2332" s="4" t="s">
        <v>665</v>
      </c>
      <c r="C2332" s="4" t="s">
        <v>287</v>
      </c>
      <c r="D2332" s="94">
        <v>1590.0</v>
      </c>
    </row>
    <row r="2333">
      <c r="A2333" s="40">
        <f t="array" ref="A2333">IFNA(index(PlayerValues!A:A,match(IFNA(vlookup(B2333,'Special Names'!A:B,2,FALSE),B2333),PlayerValues!E:E,0)),"N/A")</f>
        <v>15752</v>
      </c>
      <c r="B2333" s="4" t="s">
        <v>647</v>
      </c>
      <c r="C2333" s="4" t="s">
        <v>287</v>
      </c>
      <c r="D2333" s="94">
        <v>1588.0</v>
      </c>
    </row>
    <row r="2334">
      <c r="A2334" s="40">
        <f t="array" ref="A2334">IFNA(index(PlayerValues!A:A,match(IFNA(vlookup(B2334,'Special Names'!A:B,2,FALSE),B2334),PlayerValues!E:E,0)),"N/A")</f>
        <v>16175</v>
      </c>
      <c r="B2334" s="4" t="s">
        <v>654</v>
      </c>
      <c r="C2334" s="4" t="s">
        <v>278</v>
      </c>
      <c r="D2334" s="94">
        <v>1585.0</v>
      </c>
    </row>
    <row r="2335">
      <c r="A2335" s="40">
        <f t="array" ref="A2335">IFNA(index(PlayerValues!A:A,match(IFNA(vlookup(B2335,'Special Names'!A:B,2,FALSE),B2335),PlayerValues!E:E,0)),"N/A")</f>
        <v>17234</v>
      </c>
      <c r="B2335" s="4" t="s">
        <v>653</v>
      </c>
      <c r="C2335" s="4" t="s">
        <v>287</v>
      </c>
      <c r="D2335" s="94">
        <v>1581.0</v>
      </c>
    </row>
    <row r="2336">
      <c r="A2336" s="40">
        <f t="array" ref="A2336">IFNA(index(PlayerValues!A:A,match(IFNA(vlookup(B2336,'Special Names'!A:B,2,FALSE),B2336),PlayerValues!E:E,0)),"N/A")</f>
        <v>16633</v>
      </c>
      <c r="B2336" s="4" t="s">
        <v>656</v>
      </c>
      <c r="C2336" s="4" t="s">
        <v>287</v>
      </c>
      <c r="D2336" s="94">
        <v>1580.0</v>
      </c>
    </row>
    <row r="2337">
      <c r="A2337" s="40">
        <f t="array" ref="A2337">IFNA(index(PlayerValues!A:A,match(IFNA(vlookup(B2337,'Special Names'!A:B,2,FALSE),B2337),PlayerValues!E:E,0)),"N/A")</f>
        <v>16688</v>
      </c>
      <c r="B2337" s="4" t="s">
        <v>688</v>
      </c>
      <c r="C2337" s="4" t="s">
        <v>278</v>
      </c>
      <c r="D2337" s="94">
        <v>1570.0</v>
      </c>
    </row>
    <row r="2338">
      <c r="A2338" s="40">
        <f t="array" ref="A2338">IFNA(index(PlayerValues!A:A,match(IFNA(vlookup(B2338,'Special Names'!A:B,2,FALSE),B2338),PlayerValues!E:E,0)),"N/A")</f>
        <v>11222</v>
      </c>
      <c r="B2338" s="4" t="s">
        <v>622</v>
      </c>
      <c r="C2338" s="4" t="s">
        <v>287</v>
      </c>
      <c r="D2338" s="94">
        <v>1566.0</v>
      </c>
    </row>
    <row r="2339">
      <c r="A2339" s="40">
        <f t="array" ref="A2339">IFNA(index(PlayerValues!A:A,match(IFNA(vlookup(B2339,'Special Names'!A:B,2,FALSE),B2339),PlayerValues!E:E,0)),"N/A")</f>
        <v>15777</v>
      </c>
      <c r="B2339" s="4" t="s">
        <v>694</v>
      </c>
      <c r="C2339" s="4" t="s">
        <v>287</v>
      </c>
      <c r="D2339" s="94">
        <v>1550.0</v>
      </c>
    </row>
    <row r="2340">
      <c r="A2340" s="40">
        <f t="array" ref="A2340">IFNA(index(PlayerValues!A:A,match(IFNA(vlookup(B2340,'Special Names'!A:B,2,FALSE),B2340),PlayerValues!E:E,0)),"N/A")</f>
        <v>15713</v>
      </c>
      <c r="B2340" s="4" t="s">
        <v>732</v>
      </c>
      <c r="C2340" s="4" t="s">
        <v>278</v>
      </c>
      <c r="D2340" s="94">
        <v>1548.0</v>
      </c>
    </row>
    <row r="2341">
      <c r="A2341" s="40">
        <f t="array" ref="A2341">IFNA(index(PlayerValues!A:A,match(IFNA(vlookup(B2341,'Special Names'!A:B,2,FALSE),B2341),PlayerValues!E:E,0)),"N/A")</f>
        <v>16149</v>
      </c>
      <c r="B2341" s="4" t="s">
        <v>740</v>
      </c>
      <c r="C2341" s="4" t="s">
        <v>283</v>
      </c>
      <c r="D2341" s="94">
        <v>1542.0</v>
      </c>
    </row>
    <row r="2342">
      <c r="A2342" s="40">
        <f t="array" ref="A2342">IFNA(index(PlayerValues!A:A,match(IFNA(vlookup(B2342,'Special Names'!A:B,2,FALSE),B2342),PlayerValues!E:E,0)),"N/A")</f>
        <v>16792</v>
      </c>
      <c r="B2342" s="4" t="s">
        <v>704</v>
      </c>
      <c r="C2342" s="4" t="s">
        <v>287</v>
      </c>
      <c r="D2342" s="94">
        <v>1536.0</v>
      </c>
    </row>
    <row r="2343">
      <c r="A2343" s="40">
        <f t="array" ref="A2343">IFNA(index(PlayerValues!A:A,match(IFNA(vlookup(B2343,'Special Names'!A:B,2,FALSE),B2343),PlayerValues!E:E,0)),"N/A")</f>
        <v>14122</v>
      </c>
      <c r="B2343" s="4" t="s">
        <v>663</v>
      </c>
      <c r="C2343" s="4" t="s">
        <v>287</v>
      </c>
      <c r="D2343" s="94">
        <v>1526.0</v>
      </c>
    </row>
    <row r="2344">
      <c r="A2344" s="40" t="str">
        <f t="array" ref="A2344">IFNA(index(PlayerValues!A:A,match(IFNA(vlookup(B2344,'Special Names'!A:B,2,FALSE),B2344),PlayerValues!E:E,0)),"N/A")</f>
        <v>N/A</v>
      </c>
      <c r="B2344" s="4" t="s">
        <v>116</v>
      </c>
      <c r="C2344" s="4" t="s">
        <v>325</v>
      </c>
      <c r="D2344" s="94">
        <v>1521.0</v>
      </c>
    </row>
    <row r="2345">
      <c r="A2345" s="40" t="str">
        <f t="array" ref="A2345">IFNA(index(PlayerValues!A:A,match(IFNA(vlookup(B2345,'Special Names'!A:B,2,FALSE),B2345),PlayerValues!E:E,0)),"N/A")</f>
        <v>N/A</v>
      </c>
      <c r="B2345" s="4" t="s">
        <v>91</v>
      </c>
      <c r="C2345" s="4" t="s">
        <v>325</v>
      </c>
      <c r="D2345" s="94">
        <v>1518.0</v>
      </c>
    </row>
    <row r="2346">
      <c r="A2346" s="40">
        <f t="array" ref="A2346">IFNA(index(PlayerValues!A:A,match(IFNA(vlookup(B2346,'Special Names'!A:B,2,FALSE),B2346),PlayerValues!E:E,0)),"N/A")</f>
        <v>17467</v>
      </c>
      <c r="B2346" s="4" t="s">
        <v>575</v>
      </c>
      <c r="C2346" s="4" t="s">
        <v>283</v>
      </c>
      <c r="D2346" s="94">
        <v>1516.0</v>
      </c>
    </row>
    <row r="2347">
      <c r="A2347" s="40">
        <f t="array" ref="A2347">IFNA(index(PlayerValues!A:A,match(IFNA(vlookup(B2347,'Special Names'!A:B,2,FALSE),B2347),PlayerValues!E:E,0)),"N/A")</f>
        <v>15873</v>
      </c>
      <c r="B2347" s="4" t="s">
        <v>681</v>
      </c>
      <c r="C2347" s="4" t="s">
        <v>298</v>
      </c>
      <c r="D2347" s="94">
        <v>1871.0</v>
      </c>
    </row>
    <row r="2348">
      <c r="A2348" s="40">
        <f t="array" ref="A2348">IFNA(index(PlayerValues!A:A,match(IFNA(vlookup(B2348,'Special Names'!A:B,2,FALSE),B2348),PlayerValues!E:E,0)),"N/A")</f>
        <v>16390</v>
      </c>
      <c r="B2348" s="4" t="s">
        <v>689</v>
      </c>
      <c r="C2348" s="4" t="s">
        <v>278</v>
      </c>
      <c r="D2348" s="94">
        <v>1497.0</v>
      </c>
    </row>
    <row r="2349">
      <c r="A2349" s="40">
        <f t="array" ref="A2349">IFNA(index(PlayerValues!A:A,match(IFNA(vlookup(B2349,'Special Names'!A:B,2,FALSE),B2349),PlayerValues!E:E,0)),"N/A")</f>
        <v>17037</v>
      </c>
      <c r="B2349" s="4" t="s">
        <v>727</v>
      </c>
      <c r="C2349" s="4" t="s">
        <v>283</v>
      </c>
      <c r="D2349" s="94">
        <v>1497.0</v>
      </c>
    </row>
    <row r="2350">
      <c r="A2350" s="40">
        <f t="array" ref="A2350">IFNA(index(PlayerValues!A:A,match(IFNA(vlookup(B2350,'Special Names'!A:B,2,FALSE),B2350),PlayerValues!E:E,0)),"N/A")</f>
        <v>16631</v>
      </c>
      <c r="B2350" s="4" t="s">
        <v>800</v>
      </c>
      <c r="C2350" s="4" t="s">
        <v>287</v>
      </c>
      <c r="D2350" s="94">
        <v>1487.0</v>
      </c>
    </row>
    <row r="2351">
      <c r="A2351" s="40">
        <f t="array" ref="A2351">IFNA(index(PlayerValues!A:A,match(IFNA(vlookup(B2351,'Special Names'!A:B,2,FALSE),B2351),PlayerValues!E:E,0)),"N/A")</f>
        <v>12140</v>
      </c>
      <c r="B2351" s="4" t="s">
        <v>702</v>
      </c>
      <c r="C2351" s="4" t="s">
        <v>283</v>
      </c>
      <c r="D2351" s="94">
        <v>1485.0</v>
      </c>
    </row>
    <row r="2352">
      <c r="A2352" s="40">
        <f t="array" ref="A2352">IFNA(index(PlayerValues!A:A,match(IFNA(vlookup(B2352,'Special Names'!A:B,2,FALSE),B2352),PlayerValues!E:E,0)),"N/A")</f>
        <v>17528</v>
      </c>
      <c r="B2352" s="4" t="s">
        <v>579</v>
      </c>
      <c r="C2352" s="4" t="s">
        <v>287</v>
      </c>
      <c r="D2352" s="94">
        <v>1482.0</v>
      </c>
    </row>
    <row r="2353">
      <c r="A2353" s="40">
        <f t="array" ref="A2353">IFNA(index(PlayerValues!A:A,match(IFNA(vlookup(B2353,'Special Names'!A:B,2,FALSE),B2353),PlayerValues!E:E,0)),"N/A")</f>
        <v>15252</v>
      </c>
      <c r="B2353" s="4" t="s">
        <v>715</v>
      </c>
      <c r="C2353" s="4" t="s">
        <v>283</v>
      </c>
      <c r="D2353" s="94">
        <v>1481.0</v>
      </c>
    </row>
    <row r="2354">
      <c r="A2354" s="40">
        <f t="array" ref="A2354">IFNA(index(PlayerValues!A:A,match(IFNA(vlookup(B2354,'Special Names'!A:B,2,FALSE),B2354),PlayerValues!E:E,0)),"N/A")</f>
        <v>16384</v>
      </c>
      <c r="B2354" s="4" t="s">
        <v>696</v>
      </c>
      <c r="C2354" s="4" t="s">
        <v>283</v>
      </c>
      <c r="D2354" s="94">
        <v>1465.0</v>
      </c>
    </row>
    <row r="2355">
      <c r="A2355" s="40">
        <f t="array" ref="A2355">IFNA(index(PlayerValues!A:A,match(IFNA(vlookup(B2355,'Special Names'!A:B,2,FALSE),B2355),PlayerValues!E:E,0)),"N/A")</f>
        <v>13418</v>
      </c>
      <c r="B2355" s="4" t="s">
        <v>706</v>
      </c>
      <c r="C2355" s="4" t="s">
        <v>287</v>
      </c>
      <c r="D2355" s="94">
        <v>1442.0</v>
      </c>
    </row>
    <row r="2356">
      <c r="A2356" s="40">
        <f t="array" ref="A2356">IFNA(index(PlayerValues!A:A,match(IFNA(vlookup(B2356,'Special Names'!A:B,2,FALSE),B2356),PlayerValues!E:E,0)),"N/A")</f>
        <v>17254</v>
      </c>
      <c r="B2356" s="4" t="s">
        <v>679</v>
      </c>
      <c r="C2356" s="4" t="s">
        <v>287</v>
      </c>
      <c r="D2356" s="94">
        <v>1435.0</v>
      </c>
    </row>
    <row r="2357">
      <c r="A2357" s="40">
        <f t="array" ref="A2357">IFNA(index(PlayerValues!A:A,match(IFNA(vlookup(B2357,'Special Names'!A:B,2,FALSE),B2357),PlayerValues!E:E,0)),"N/A")</f>
        <v>16642</v>
      </c>
      <c r="B2357" s="4" t="s">
        <v>691</v>
      </c>
      <c r="C2357" s="4" t="s">
        <v>298</v>
      </c>
      <c r="D2357" s="94">
        <v>1788.0</v>
      </c>
    </row>
    <row r="2358">
      <c r="A2358" s="40">
        <f t="array" ref="A2358">IFNA(index(PlayerValues!A:A,match(IFNA(vlookup(B2358,'Special Names'!A:B,2,FALSE),B2358),PlayerValues!E:E,0)),"N/A")</f>
        <v>12141</v>
      </c>
      <c r="B2358" s="4" t="s">
        <v>744</v>
      </c>
      <c r="C2358" s="4" t="s">
        <v>283</v>
      </c>
      <c r="D2358" s="94">
        <v>1417.0</v>
      </c>
    </row>
    <row r="2359">
      <c r="A2359" s="40">
        <f t="array" ref="A2359">IFNA(index(PlayerValues!A:A,match(IFNA(vlookup(B2359,'Special Names'!A:B,2,FALSE),B2359),PlayerValues!E:E,0)),"N/A")</f>
        <v>15292</v>
      </c>
      <c r="B2359" s="4" t="s">
        <v>682</v>
      </c>
      <c r="C2359" s="4" t="s">
        <v>287</v>
      </c>
      <c r="D2359" s="94">
        <v>1412.0</v>
      </c>
    </row>
    <row r="2360">
      <c r="A2360" s="40">
        <f t="array" ref="A2360">IFNA(index(PlayerValues!A:A,match(IFNA(vlookup(B2360,'Special Names'!A:B,2,FALSE),B2360),PlayerValues!E:E,0)),"N/A")</f>
        <v>12678</v>
      </c>
      <c r="B2360" s="4" t="s">
        <v>703</v>
      </c>
      <c r="C2360" s="4" t="s">
        <v>298</v>
      </c>
      <c r="D2360" s="94">
        <v>1781.0</v>
      </c>
    </row>
    <row r="2361">
      <c r="A2361" s="40">
        <f t="array" ref="A2361">IFNA(index(PlayerValues!A:A,match(IFNA(vlookup(B2361,'Special Names'!A:B,2,FALSE),B2361),PlayerValues!E:E,0)),"N/A")</f>
        <v>14137</v>
      </c>
      <c r="B2361" s="4" t="s">
        <v>676</v>
      </c>
      <c r="C2361" s="4" t="s">
        <v>298</v>
      </c>
      <c r="D2361" s="94">
        <v>1773.0</v>
      </c>
    </row>
    <row r="2362">
      <c r="A2362" s="40">
        <f t="array" ref="A2362">IFNA(index(PlayerValues!A:A,match(IFNA(vlookup(B2362,'Special Names'!A:B,2,FALSE),B2362),PlayerValues!E:E,0)),"N/A")</f>
        <v>17269</v>
      </c>
      <c r="B2362" s="4" t="s">
        <v>718</v>
      </c>
      <c r="C2362" s="4" t="s">
        <v>287</v>
      </c>
      <c r="D2362" s="94">
        <v>1401.0</v>
      </c>
    </row>
    <row r="2363">
      <c r="A2363" s="40">
        <f t="array" ref="A2363">IFNA(index(PlayerValues!A:A,match(IFNA(vlookup(B2363,'Special Names'!A:B,2,FALSE),B2363),PlayerValues!E:E,0)),"N/A")</f>
        <v>14080</v>
      </c>
      <c r="B2363" s="4" t="s">
        <v>716</v>
      </c>
      <c r="C2363" s="4" t="s">
        <v>278</v>
      </c>
      <c r="D2363" s="94">
        <v>1396.0</v>
      </c>
    </row>
    <row r="2364">
      <c r="A2364" s="40">
        <f t="array" ref="A2364">IFNA(index(PlayerValues!A:A,match(IFNA(vlookup(B2364,'Special Names'!A:B,2,FALSE),B2364),PlayerValues!E:E,0)),"N/A")</f>
        <v>16621</v>
      </c>
      <c r="B2364" s="4" t="s">
        <v>672</v>
      </c>
      <c r="C2364" s="4" t="s">
        <v>287</v>
      </c>
      <c r="D2364" s="94">
        <v>1395.0</v>
      </c>
    </row>
    <row r="2365">
      <c r="A2365" s="40">
        <f t="array" ref="A2365">IFNA(index(PlayerValues!A:A,match(IFNA(vlookup(B2365,'Special Names'!A:B,2,FALSE),B2365),PlayerValues!E:E,0)),"N/A")</f>
        <v>17481</v>
      </c>
      <c r="B2365" s="4" t="s">
        <v>540</v>
      </c>
      <c r="C2365" s="4" t="s">
        <v>278</v>
      </c>
      <c r="D2365" s="94">
        <v>1393.0</v>
      </c>
    </row>
    <row r="2366">
      <c r="A2366" s="40">
        <f t="array" ref="A2366">IFNA(index(PlayerValues!A:A,match(IFNA(vlookup(B2366,'Special Names'!A:B,2,FALSE),B2366),PlayerValues!E:E,0)),"N/A")</f>
        <v>17062</v>
      </c>
      <c r="B2366" s="4" t="s">
        <v>701</v>
      </c>
      <c r="C2366" s="4" t="s">
        <v>278</v>
      </c>
      <c r="D2366" s="94">
        <v>1388.0</v>
      </c>
    </row>
    <row r="2367">
      <c r="A2367" s="40">
        <f t="array" ref="A2367">IFNA(index(PlayerValues!A:A,match(IFNA(vlookup(B2367,'Special Names'!A:B,2,FALSE),B2367),PlayerValues!E:E,0)),"N/A")</f>
        <v>17054</v>
      </c>
      <c r="B2367" s="4" t="s">
        <v>670</v>
      </c>
      <c r="C2367" s="4" t="s">
        <v>278</v>
      </c>
      <c r="D2367" s="94">
        <v>1373.0</v>
      </c>
    </row>
    <row r="2368">
      <c r="A2368" s="40">
        <f t="array" ref="A2368">IFNA(index(PlayerValues!A:A,match(IFNA(vlookup(B2368,'Special Names'!A:B,2,FALSE),B2368),PlayerValues!E:E,0)),"N/A")</f>
        <v>13672</v>
      </c>
      <c r="B2368" s="4" t="s">
        <v>667</v>
      </c>
      <c r="C2368" s="4" t="s">
        <v>298</v>
      </c>
      <c r="D2368" s="94">
        <v>1724.0</v>
      </c>
    </row>
    <row r="2369">
      <c r="A2369" s="40">
        <f t="array" ref="A2369">IFNA(index(PlayerValues!A:A,match(IFNA(vlookup(B2369,'Special Names'!A:B,2,FALSE),B2369),PlayerValues!E:E,0)),"N/A")</f>
        <v>17077</v>
      </c>
      <c r="B2369" s="4" t="s">
        <v>714</v>
      </c>
      <c r="C2369" s="4" t="s">
        <v>287</v>
      </c>
      <c r="D2369" s="94">
        <v>1352.0</v>
      </c>
    </row>
    <row r="2370">
      <c r="A2370" s="40">
        <f t="array" ref="A2370">IFNA(index(PlayerValues!A:A,match(IFNA(vlookup(B2370,'Special Names'!A:B,2,FALSE),B2370),PlayerValues!E:E,0)),"N/A")</f>
        <v>17514</v>
      </c>
      <c r="B2370" s="4" t="s">
        <v>422</v>
      </c>
      <c r="C2370" s="4" t="s">
        <v>287</v>
      </c>
      <c r="D2370" s="94">
        <v>1347.0</v>
      </c>
    </row>
    <row r="2371">
      <c r="A2371" s="40">
        <f t="array" ref="A2371">IFNA(index(PlayerValues!A:A,match(IFNA(vlookup(B2371,'Special Names'!A:B,2,FALSE),B2371),PlayerValues!E:E,0)),"N/A")</f>
        <v>15332</v>
      </c>
      <c r="B2371" s="4" t="s">
        <v>698</v>
      </c>
      <c r="C2371" s="4" t="s">
        <v>298</v>
      </c>
      <c r="D2371" s="94">
        <v>1711.0</v>
      </c>
    </row>
    <row r="2372">
      <c r="A2372" s="40">
        <f t="array" ref="A2372">IFNA(index(PlayerValues!A:A,match(IFNA(vlookup(B2372,'Special Names'!A:B,2,FALSE),B2372),PlayerValues!E:E,0)),"N/A")</f>
        <v>14086</v>
      </c>
      <c r="B2372" s="4" t="s">
        <v>639</v>
      </c>
      <c r="C2372" s="4" t="s">
        <v>278</v>
      </c>
      <c r="D2372" s="94">
        <v>1336.0</v>
      </c>
    </row>
    <row r="2373">
      <c r="A2373" s="40">
        <f t="array" ref="A2373">IFNA(index(PlayerValues!A:A,match(IFNA(vlookup(B2373,'Special Names'!A:B,2,FALSE),B2373),PlayerValues!E:E,0)),"N/A")</f>
        <v>16608</v>
      </c>
      <c r="B2373" s="4" t="s">
        <v>629</v>
      </c>
      <c r="C2373" s="4" t="s">
        <v>278</v>
      </c>
      <c r="D2373" s="94">
        <v>1336.0</v>
      </c>
    </row>
    <row r="2374">
      <c r="A2374" s="40">
        <f t="array" ref="A2374">IFNA(index(PlayerValues!A:A,match(IFNA(vlookup(B2374,'Special Names'!A:B,2,FALSE),B2374),PlayerValues!E:E,0)),"N/A")</f>
        <v>15738</v>
      </c>
      <c r="B2374" s="4" t="s">
        <v>634</v>
      </c>
      <c r="C2374" s="4" t="s">
        <v>278</v>
      </c>
      <c r="D2374" s="94">
        <v>1322.0</v>
      </c>
    </row>
    <row r="2375">
      <c r="A2375" s="40">
        <f t="array" ref="A2375">IFNA(index(PlayerValues!A:A,match(IFNA(vlookup(B2375,'Special Names'!A:B,2,FALSE),B2375),PlayerValues!E:E,0)),"N/A")</f>
        <v>16183</v>
      </c>
      <c r="B2375" s="4" t="s">
        <v>678</v>
      </c>
      <c r="C2375" s="4" t="s">
        <v>287</v>
      </c>
      <c r="D2375" s="94">
        <v>1303.0</v>
      </c>
    </row>
    <row r="2376">
      <c r="A2376" s="40">
        <f t="array" ref="A2376">IFNA(index(PlayerValues!A:A,match(IFNA(vlookup(B2376,'Special Names'!A:B,2,FALSE),B2376),PlayerValues!E:E,0)),"N/A")</f>
        <v>14095</v>
      </c>
      <c r="B2376" s="4" t="s">
        <v>680</v>
      </c>
      <c r="C2376" s="4" t="s">
        <v>278</v>
      </c>
      <c r="D2376" s="94">
        <v>1296.0</v>
      </c>
    </row>
    <row r="2377">
      <c r="A2377" s="40" t="str">
        <f t="array" ref="A2377">IFNA(index(PlayerValues!A:A,match(IFNA(vlookup(B2377,'Special Names'!A:B,2,FALSE),B2377),PlayerValues!E:E,0)),"N/A")</f>
        <v>N/A</v>
      </c>
      <c r="B2377" s="4" t="s">
        <v>117</v>
      </c>
      <c r="C2377" s="4" t="s">
        <v>325</v>
      </c>
      <c r="D2377" s="94">
        <v>1295.0</v>
      </c>
    </row>
    <row r="2378">
      <c r="A2378" s="40">
        <f t="array" ref="A2378">IFNA(index(PlayerValues!A:A,match(IFNA(vlookup(B2378,'Special Names'!A:B,2,FALSE),B2378),PlayerValues!E:E,0)),"N/A")</f>
        <v>16645</v>
      </c>
      <c r="B2378" s="4" t="s">
        <v>651</v>
      </c>
      <c r="C2378" s="4" t="s">
        <v>298</v>
      </c>
      <c r="D2378" s="94">
        <v>1659.0</v>
      </c>
    </row>
    <row r="2379">
      <c r="A2379" s="40">
        <f t="array" ref="A2379">IFNA(index(PlayerValues!A:A,match(IFNA(vlookup(B2379,'Special Names'!A:B,2,FALSE),B2379),PlayerValues!E:E,0)),"N/A")</f>
        <v>15288</v>
      </c>
      <c r="B2379" s="4" t="s">
        <v>700</v>
      </c>
      <c r="C2379" s="4" t="s">
        <v>287</v>
      </c>
      <c r="D2379" s="94">
        <v>1287.0</v>
      </c>
    </row>
    <row r="2380">
      <c r="A2380" s="40">
        <f t="array" ref="A2380">IFNA(index(PlayerValues!A:A,match(IFNA(vlookup(B2380,'Special Names'!A:B,2,FALSE),B2380),PlayerValues!E:E,0)),"N/A")</f>
        <v>15702</v>
      </c>
      <c r="B2380" s="4" t="s">
        <v>723</v>
      </c>
      <c r="C2380" s="4" t="s">
        <v>283</v>
      </c>
      <c r="D2380" s="94">
        <v>1270.0</v>
      </c>
    </row>
    <row r="2381">
      <c r="A2381" s="40">
        <f t="array" ref="A2381">IFNA(index(PlayerValues!A:A,match(IFNA(vlookup(B2381,'Special Names'!A:B,2,FALSE),B2381),PlayerValues!E:E,0)),"N/A")</f>
        <v>14108</v>
      </c>
      <c r="B2381" s="4" t="s">
        <v>673</v>
      </c>
      <c r="C2381" s="4" t="s">
        <v>287</v>
      </c>
      <c r="D2381" s="94">
        <v>1265.0</v>
      </c>
    </row>
    <row r="2382">
      <c r="A2382" s="40">
        <f t="array" ref="A2382">IFNA(index(PlayerValues!A:A,match(IFNA(vlookup(B2382,'Special Names'!A:B,2,FALSE),B2382),PlayerValues!E:E,0)),"N/A")</f>
        <v>14592</v>
      </c>
      <c r="B2382" s="4" t="s">
        <v>705</v>
      </c>
      <c r="C2382" s="4" t="s">
        <v>287</v>
      </c>
      <c r="D2382" s="94">
        <v>1257.0</v>
      </c>
    </row>
    <row r="2383">
      <c r="A2383" s="40">
        <f t="array" ref="A2383">IFNA(index(PlayerValues!A:A,match(IFNA(vlookup(B2383,'Special Names'!A:B,2,FALSE),B2383),PlayerValues!E:E,0)),"N/A")</f>
        <v>17097</v>
      </c>
      <c r="B2383" s="4" t="s">
        <v>659</v>
      </c>
      <c r="C2383" s="4" t="s">
        <v>287</v>
      </c>
      <c r="D2383" s="94">
        <v>1256.0</v>
      </c>
    </row>
    <row r="2384">
      <c r="A2384" s="40">
        <f t="array" ref="A2384">IFNA(index(PlayerValues!A:A,match(IFNA(vlookup(B2384,'Special Names'!A:B,2,FALSE),B2384),PlayerValues!E:E,0)),"N/A")</f>
        <v>16333</v>
      </c>
      <c r="B2384" s="4" t="s">
        <v>711</v>
      </c>
      <c r="C2384" s="4" t="s">
        <v>298</v>
      </c>
      <c r="D2384" s="94">
        <v>1621.0</v>
      </c>
    </row>
    <row r="2385">
      <c r="A2385" s="40">
        <f t="array" ref="A2385">IFNA(index(PlayerValues!A:A,match(IFNA(vlookup(B2385,'Special Names'!A:B,2,FALSE),B2385),PlayerValues!E:E,0)),"N/A")</f>
        <v>16221</v>
      </c>
      <c r="B2385" s="4" t="s">
        <v>725</v>
      </c>
      <c r="C2385" s="4" t="s">
        <v>298</v>
      </c>
      <c r="D2385" s="94">
        <v>1620.0</v>
      </c>
    </row>
    <row r="2386">
      <c r="A2386" s="40">
        <f t="array" ref="A2386">IFNA(index(PlayerValues!A:A,match(IFNA(vlookup(B2386,'Special Names'!A:B,2,FALSE),B2386),PlayerValues!E:E,0)),"N/A")</f>
        <v>17063</v>
      </c>
      <c r="B2386" s="4" t="s">
        <v>686</v>
      </c>
      <c r="C2386" s="4" t="s">
        <v>278</v>
      </c>
      <c r="D2386" s="94">
        <v>1251.0</v>
      </c>
    </row>
    <row r="2387">
      <c r="A2387" s="40">
        <f t="array" ref="A2387">IFNA(index(PlayerValues!A:A,match(IFNA(vlookup(B2387,'Special Names'!A:B,2,FALSE),B2387),PlayerValues!E:E,0)),"N/A")</f>
        <v>16636</v>
      </c>
      <c r="B2387" s="4" t="s">
        <v>699</v>
      </c>
      <c r="C2387" s="4" t="s">
        <v>287</v>
      </c>
      <c r="D2387" s="94">
        <v>1248.0</v>
      </c>
    </row>
    <row r="2388">
      <c r="A2388" s="40">
        <f t="array" ref="A2388">IFNA(index(PlayerValues!A:A,match(IFNA(vlookup(B2388,'Special Names'!A:B,2,FALSE),B2388),PlayerValues!E:E,0)),"N/A")</f>
        <v>14789</v>
      </c>
      <c r="B2388" s="4" t="s">
        <v>721</v>
      </c>
      <c r="C2388" s="4" t="s">
        <v>283</v>
      </c>
      <c r="D2388" s="94">
        <v>1243.0</v>
      </c>
    </row>
    <row r="2389">
      <c r="A2389" s="40">
        <f t="array" ref="A2389">IFNA(index(PlayerValues!A:A,match(IFNA(vlookup(B2389,'Special Names'!A:B,2,FALSE),B2389),PlayerValues!E:E,0)),"N/A")</f>
        <v>16883</v>
      </c>
      <c r="B2389" s="4" t="s">
        <v>683</v>
      </c>
      <c r="C2389" s="4" t="s">
        <v>287</v>
      </c>
      <c r="D2389" s="94">
        <v>1233.0</v>
      </c>
    </row>
    <row r="2390">
      <c r="A2390" s="40">
        <f t="array" ref="A2390">IFNA(index(PlayerValues!A:A,match(IFNA(vlookup(B2390,'Special Names'!A:B,2,FALSE),B2390),PlayerValues!E:E,0)),"N/A")</f>
        <v>15727</v>
      </c>
      <c r="B2390" s="4" t="s">
        <v>730</v>
      </c>
      <c r="C2390" s="4" t="s">
        <v>278</v>
      </c>
      <c r="D2390" s="94">
        <v>1230.0</v>
      </c>
    </row>
    <row r="2391">
      <c r="A2391" s="40">
        <f t="array" ref="A2391">IFNA(index(PlayerValues!A:A,match(IFNA(vlookup(B2391,'Special Names'!A:B,2,FALSE),B2391),PlayerValues!E:E,0)),"N/A")</f>
        <v>16199</v>
      </c>
      <c r="B2391" s="4" t="s">
        <v>687</v>
      </c>
      <c r="C2391" s="4" t="s">
        <v>287</v>
      </c>
      <c r="D2391" s="94">
        <v>1226.0</v>
      </c>
    </row>
    <row r="2392">
      <c r="A2392" s="40">
        <f t="array" ref="A2392">IFNA(index(PlayerValues!A:A,match(IFNA(vlookup(B2392,'Special Names'!A:B,2,FALSE),B2392),PlayerValues!E:E,0)),"N/A")</f>
        <v>15981</v>
      </c>
      <c r="B2392" s="4" t="s">
        <v>729</v>
      </c>
      <c r="C2392" s="4" t="s">
        <v>287</v>
      </c>
      <c r="D2392" s="94">
        <v>1223.0</v>
      </c>
    </row>
    <row r="2393">
      <c r="A2393" s="40">
        <f t="array" ref="A2393">IFNA(index(PlayerValues!A:A,match(IFNA(vlookup(B2393,'Special Names'!A:B,2,FALSE),B2393),PlayerValues!E:E,0)),"N/A")</f>
        <v>9064</v>
      </c>
      <c r="B2393" s="4" t="s">
        <v>761</v>
      </c>
      <c r="C2393" s="4" t="s">
        <v>283</v>
      </c>
      <c r="D2393" s="94">
        <v>1218.0</v>
      </c>
    </row>
    <row r="2394">
      <c r="A2394" s="40">
        <f t="array" ref="A2394">IFNA(index(PlayerValues!A:A,match(IFNA(vlookup(B2394,'Special Names'!A:B,2,FALSE),B2394),PlayerValues!E:E,0)),"N/A")</f>
        <v>17057</v>
      </c>
      <c r="B2394" s="4" t="s">
        <v>708</v>
      </c>
      <c r="C2394" s="4" t="s">
        <v>278</v>
      </c>
      <c r="D2394" s="94">
        <v>1205.0</v>
      </c>
    </row>
    <row r="2395">
      <c r="A2395" s="40">
        <f t="array" ref="A2395">IFNA(index(PlayerValues!A:A,match(IFNA(vlookup(B2395,'Special Names'!A:B,2,FALSE),B2395),PlayerValues!E:E,0)),"N/A")</f>
        <v>13193</v>
      </c>
      <c r="B2395" s="4" t="s">
        <v>773</v>
      </c>
      <c r="C2395" s="4" t="s">
        <v>298</v>
      </c>
      <c r="D2395" s="94">
        <v>1568.0</v>
      </c>
    </row>
    <row r="2396">
      <c r="A2396" s="40">
        <f t="array" ref="A2396">IFNA(index(PlayerValues!A:A,match(IFNA(vlookup(B2396,'Special Names'!A:B,2,FALSE),B2396),PlayerValues!E:E,0)),"N/A")</f>
        <v>13131</v>
      </c>
      <c r="B2396" s="4" t="s">
        <v>815</v>
      </c>
      <c r="C2396" s="4" t="s">
        <v>278</v>
      </c>
      <c r="D2396" s="94">
        <v>1195.0</v>
      </c>
    </row>
    <row r="2397">
      <c r="A2397" s="40">
        <f t="array" ref="A2397">IFNA(index(PlayerValues!A:A,match(IFNA(vlookup(B2397,'Special Names'!A:B,2,FALSE),B2397),PlayerValues!E:E,0)),"N/A")</f>
        <v>16385</v>
      </c>
      <c r="B2397" s="4" t="s">
        <v>690</v>
      </c>
      <c r="C2397" s="4" t="s">
        <v>278</v>
      </c>
      <c r="D2397" s="94">
        <v>1193.0</v>
      </c>
    </row>
    <row r="2398">
      <c r="A2398" s="40">
        <f t="array" ref="A2398">IFNA(index(PlayerValues!A:A,match(IFNA(vlookup(B2398,'Special Names'!A:B,2,FALSE),B2398),PlayerValues!E:E,0)),"N/A")</f>
        <v>15240</v>
      </c>
      <c r="B2398" s="4" t="s">
        <v>751</v>
      </c>
      <c r="C2398" s="4" t="s">
        <v>283</v>
      </c>
      <c r="D2398" s="94">
        <v>1183.0</v>
      </c>
    </row>
    <row r="2399">
      <c r="A2399" s="40">
        <f t="array" ref="A2399">IFNA(index(PlayerValues!A:A,match(IFNA(vlookup(B2399,'Special Names'!A:B,2,FALSE),B2399),PlayerValues!E:E,0)),"N/A")</f>
        <v>13289</v>
      </c>
      <c r="B2399" s="4" t="s">
        <v>746</v>
      </c>
      <c r="C2399" s="4" t="s">
        <v>287</v>
      </c>
      <c r="D2399" s="94">
        <v>1180.0</v>
      </c>
    </row>
    <row r="2400">
      <c r="A2400" s="40">
        <f t="array" ref="A2400">IFNA(index(PlayerValues!A:A,match(IFNA(vlookup(B2400,'Special Names'!A:B,2,FALSE),B2400),PlayerValues!E:E,0)),"N/A")</f>
        <v>17109</v>
      </c>
      <c r="B2400" s="4" t="s">
        <v>707</v>
      </c>
      <c r="C2400" s="4" t="s">
        <v>298</v>
      </c>
      <c r="D2400" s="94">
        <v>1541.0</v>
      </c>
    </row>
    <row r="2401">
      <c r="A2401" s="40">
        <f t="array" ref="A2401">IFNA(index(PlayerValues!A:A,match(IFNA(vlookup(B2401,'Special Names'!A:B,2,FALSE),B2401),PlayerValues!E:E,0)),"N/A")</f>
        <v>15692</v>
      </c>
      <c r="B2401" s="4" t="s">
        <v>750</v>
      </c>
      <c r="C2401" s="4" t="s">
        <v>283</v>
      </c>
      <c r="D2401" s="94">
        <v>1159.0</v>
      </c>
    </row>
    <row r="2402">
      <c r="A2402" s="40">
        <f t="array" ref="A2402">IFNA(index(PlayerValues!A:A,match(IFNA(vlookup(B2402,'Special Names'!A:B,2,FALSE),B2402),PlayerValues!E:E,0)),"N/A")</f>
        <v>16387</v>
      </c>
      <c r="B2402" s="4" t="s">
        <v>646</v>
      </c>
      <c r="C2402" s="4" t="s">
        <v>278</v>
      </c>
      <c r="D2402" s="94">
        <v>1158.0</v>
      </c>
    </row>
    <row r="2403">
      <c r="A2403" s="40">
        <f t="array" ref="A2403">IFNA(index(PlayerValues!A:A,match(IFNA(vlookup(B2403,'Special Names'!A:B,2,FALSE),B2403),PlayerValues!E:E,0)),"N/A")</f>
        <v>17546</v>
      </c>
      <c r="B2403" s="4" t="s">
        <v>671</v>
      </c>
      <c r="C2403" s="4" t="s">
        <v>298</v>
      </c>
      <c r="D2403" s="94">
        <v>1522.0</v>
      </c>
    </row>
    <row r="2404">
      <c r="A2404" s="40">
        <f t="array" ref="A2404">IFNA(index(PlayerValues!A:A,match(IFNA(vlookup(B2404,'Special Names'!A:B,2,FALSE),B2404),PlayerValues!E:E,0)),"N/A")</f>
        <v>14067</v>
      </c>
      <c r="B2404" s="4" t="s">
        <v>735</v>
      </c>
      <c r="C2404" s="4" t="s">
        <v>283</v>
      </c>
      <c r="D2404" s="94">
        <v>1153.0</v>
      </c>
    </row>
    <row r="2405">
      <c r="A2405" s="40">
        <f t="array" ref="A2405">IFNA(index(PlayerValues!A:A,match(IFNA(vlookup(B2405,'Special Names'!A:B,2,FALSE),B2405),PlayerValues!E:E,0)),"N/A")</f>
        <v>15730</v>
      </c>
      <c r="B2405" s="4" t="s">
        <v>734</v>
      </c>
      <c r="C2405" s="4" t="s">
        <v>278</v>
      </c>
      <c r="D2405" s="94">
        <v>1153.0</v>
      </c>
    </row>
    <row r="2406">
      <c r="A2406" s="40">
        <f t="array" ref="A2406">IFNA(index(PlayerValues!A:A,match(IFNA(vlookup(B2406,'Special Names'!A:B,2,FALSE),B2406),PlayerValues!E:E,0)),"N/A")</f>
        <v>16393</v>
      </c>
      <c r="B2406" s="4" t="s">
        <v>768</v>
      </c>
      <c r="C2406" s="4" t="s">
        <v>287</v>
      </c>
      <c r="D2406" s="94">
        <v>1152.0</v>
      </c>
    </row>
    <row r="2407">
      <c r="A2407" s="40">
        <f t="array" ref="A2407">IFNA(index(PlayerValues!A:A,match(IFNA(vlookup(B2407,'Special Names'!A:B,2,FALSE),B2407),PlayerValues!E:E,0)),"N/A")</f>
        <v>16746</v>
      </c>
      <c r="B2407" s="4" t="s">
        <v>709</v>
      </c>
      <c r="C2407" s="4" t="s">
        <v>278</v>
      </c>
      <c r="D2407" s="94">
        <v>1149.0</v>
      </c>
    </row>
    <row r="2408">
      <c r="A2408" s="40">
        <f t="array" ref="A2408">IFNA(index(PlayerValues!A:A,match(IFNA(vlookup(B2408,'Special Names'!A:B,2,FALSE),B2408),PlayerValues!E:E,0)),"N/A")</f>
        <v>14845</v>
      </c>
      <c r="B2408" s="4" t="s">
        <v>717</v>
      </c>
      <c r="C2408" s="4" t="s">
        <v>287</v>
      </c>
      <c r="D2408" s="94">
        <v>1138.0</v>
      </c>
    </row>
    <row r="2409">
      <c r="A2409" s="40">
        <f t="array" ref="A2409">IFNA(index(PlayerValues!A:A,match(IFNA(vlookup(B2409,'Special Names'!A:B,2,FALSE),B2409),PlayerValues!E:E,0)),"N/A")</f>
        <v>17050</v>
      </c>
      <c r="B2409" s="4" t="s">
        <v>713</v>
      </c>
      <c r="C2409" s="4" t="s">
        <v>278</v>
      </c>
      <c r="D2409" s="94">
        <v>1137.0</v>
      </c>
    </row>
    <row r="2410">
      <c r="A2410" s="40">
        <f t="array" ref="A2410">IFNA(index(PlayerValues!A:A,match(IFNA(vlookup(B2410,'Special Names'!A:B,2,FALSE),B2410),PlayerValues!E:E,0)),"N/A")</f>
        <v>15258</v>
      </c>
      <c r="B2410" s="4" t="s">
        <v>757</v>
      </c>
      <c r="C2410" s="4" t="s">
        <v>278</v>
      </c>
      <c r="D2410" s="94">
        <v>1133.0</v>
      </c>
    </row>
    <row r="2411">
      <c r="A2411" s="40">
        <f t="array" ref="A2411">IFNA(index(PlayerValues!A:A,match(IFNA(vlookup(B2411,'Special Names'!A:B,2,FALSE),B2411),PlayerValues!E:E,0)),"N/A")</f>
        <v>16640</v>
      </c>
      <c r="B2411" s="4" t="s">
        <v>712</v>
      </c>
      <c r="C2411" s="4" t="s">
        <v>287</v>
      </c>
      <c r="D2411" s="94">
        <v>1122.0</v>
      </c>
    </row>
    <row r="2412">
      <c r="A2412" s="40">
        <f t="array" ref="A2412">IFNA(index(PlayerValues!A:A,match(IFNA(vlookup(B2412,'Special Names'!A:B,2,FALSE),B2412),PlayerValues!E:E,0)),"N/A")</f>
        <v>15239</v>
      </c>
      <c r="B2412" s="4" t="s">
        <v>802</v>
      </c>
      <c r="C2412" s="4" t="s">
        <v>283</v>
      </c>
      <c r="D2412" s="94">
        <v>1120.0</v>
      </c>
    </row>
    <row r="2413">
      <c r="A2413" s="40">
        <f t="array" ref="A2413">IFNA(index(PlayerValues!A:A,match(IFNA(vlookup(B2413,'Special Names'!A:B,2,FALSE),B2413),PlayerValues!E:E,0)),"N/A")</f>
        <v>16637</v>
      </c>
      <c r="B2413" s="4" t="s">
        <v>736</v>
      </c>
      <c r="C2413" s="4" t="s">
        <v>287</v>
      </c>
      <c r="D2413" s="94">
        <v>1115.0</v>
      </c>
    </row>
    <row r="2414">
      <c r="A2414" s="40">
        <f t="array" ref="A2414">IFNA(index(PlayerValues!A:A,match(IFNA(vlookup(B2414,'Special Names'!A:B,2,FALSE),B2414),PlayerValues!E:E,0)),"N/A")</f>
        <v>11247</v>
      </c>
      <c r="B2414" s="4" t="s">
        <v>816</v>
      </c>
      <c r="C2414" s="4" t="s">
        <v>298</v>
      </c>
      <c r="D2414" s="94">
        <v>1482.0</v>
      </c>
    </row>
    <row r="2415">
      <c r="A2415" s="40">
        <f t="array" ref="A2415">IFNA(index(PlayerValues!A:A,match(IFNA(vlookup(B2415,'Special Names'!A:B,2,FALSE),B2415),PlayerValues!E:E,0)),"N/A")</f>
        <v>15785</v>
      </c>
      <c r="B2415" s="4" t="s">
        <v>763</v>
      </c>
      <c r="C2415" s="4" t="s">
        <v>287</v>
      </c>
      <c r="D2415" s="94">
        <v>1107.0</v>
      </c>
    </row>
    <row r="2416">
      <c r="A2416" s="40">
        <f t="array" ref="A2416">IFNA(index(PlayerValues!A:A,match(IFNA(vlookup(B2416,'Special Names'!A:B,2,FALSE),B2416),PlayerValues!E:E,0)),"N/A")</f>
        <v>17192</v>
      </c>
      <c r="B2416" s="4" t="s">
        <v>677</v>
      </c>
      <c r="C2416" s="4" t="s">
        <v>287</v>
      </c>
      <c r="D2416" s="94">
        <v>1097.0</v>
      </c>
    </row>
    <row r="2417">
      <c r="A2417" s="40">
        <f t="array" ref="A2417">IFNA(index(PlayerValues!A:A,match(IFNA(vlookup(B2417,'Special Names'!A:B,2,FALSE),B2417),PlayerValues!E:E,0)),"N/A")</f>
        <v>16197</v>
      </c>
      <c r="B2417" s="4" t="s">
        <v>726</v>
      </c>
      <c r="C2417" s="4" t="s">
        <v>287</v>
      </c>
      <c r="D2417" s="94">
        <v>1080.0</v>
      </c>
    </row>
    <row r="2418">
      <c r="A2418" s="40">
        <f t="array" ref="A2418">IFNA(index(PlayerValues!A:A,match(IFNA(vlookup(B2418,'Special Names'!A:B,2,FALSE),B2418),PlayerValues!E:E,0)),"N/A")</f>
        <v>15693</v>
      </c>
      <c r="B2418" s="4" t="s">
        <v>755</v>
      </c>
      <c r="C2418" s="4" t="s">
        <v>283</v>
      </c>
      <c r="D2418" s="94">
        <v>1074.0</v>
      </c>
    </row>
    <row r="2419">
      <c r="A2419" s="40">
        <f t="array" ref="A2419">IFNA(index(PlayerValues!A:A,match(IFNA(vlookup(B2419,'Special Names'!A:B,2,FALSE),B2419),PlayerValues!E:E,0)),"N/A")</f>
        <v>16451</v>
      </c>
      <c r="B2419" s="4" t="s">
        <v>769</v>
      </c>
      <c r="C2419" s="4" t="s">
        <v>287</v>
      </c>
      <c r="D2419" s="94">
        <v>1073.0</v>
      </c>
    </row>
    <row r="2420">
      <c r="A2420" s="40">
        <f t="array" ref="A2420">IFNA(index(PlayerValues!A:A,match(IFNA(vlookup(B2420,'Special Names'!A:B,2,FALSE),B2420),PlayerValues!E:E,0)),"N/A")</f>
        <v>15718</v>
      </c>
      <c r="B2420" s="4" t="s">
        <v>753</v>
      </c>
      <c r="C2420" s="4" t="s">
        <v>278</v>
      </c>
      <c r="D2420" s="94">
        <v>1053.0</v>
      </c>
    </row>
    <row r="2421">
      <c r="A2421" s="40">
        <f t="array" ref="A2421">IFNA(index(PlayerValues!A:A,match(IFNA(vlookup(B2421,'Special Names'!A:B,2,FALSE),B2421),PlayerValues!E:E,0)),"N/A")</f>
        <v>16678</v>
      </c>
      <c r="B2421" s="4" t="s">
        <v>758</v>
      </c>
      <c r="C2421" s="4" t="s">
        <v>278</v>
      </c>
      <c r="D2421" s="94">
        <v>1053.0</v>
      </c>
    </row>
    <row r="2422">
      <c r="A2422" s="40">
        <f t="array" ref="A2422">IFNA(index(PlayerValues!A:A,match(IFNA(vlookup(B2422,'Special Names'!A:B,2,FALSE),B2422),PlayerValues!E:E,0)),"N/A")</f>
        <v>16168</v>
      </c>
      <c r="B2422" s="4" t="s">
        <v>738</v>
      </c>
      <c r="C2422" s="4" t="s">
        <v>278</v>
      </c>
      <c r="D2422" s="94">
        <v>1046.0</v>
      </c>
    </row>
    <row r="2423">
      <c r="A2423" s="40">
        <f t="array" ref="A2423">IFNA(index(PlayerValues!A:A,match(IFNA(vlookup(B2423,'Special Names'!A:B,2,FALSE),B2423),PlayerValues!E:E,0)),"N/A")</f>
        <v>14118</v>
      </c>
      <c r="B2423" s="4" t="s">
        <v>771</v>
      </c>
      <c r="C2423" s="4" t="s">
        <v>287</v>
      </c>
      <c r="D2423" s="94">
        <v>1045.0</v>
      </c>
    </row>
    <row r="2424">
      <c r="A2424" s="40">
        <f t="array" ref="A2424">IFNA(index(PlayerValues!A:A,match(IFNA(vlookup(B2424,'Special Names'!A:B,2,FALSE),B2424),PlayerValues!E:E,0)),"N/A")</f>
        <v>17175</v>
      </c>
      <c r="B2424" s="4" t="s">
        <v>747</v>
      </c>
      <c r="C2424" s="4" t="s">
        <v>287</v>
      </c>
      <c r="D2424" s="94">
        <v>1043.0</v>
      </c>
    </row>
    <row r="2425">
      <c r="A2425" s="40">
        <f t="array" ref="A2425">IFNA(index(PlayerValues!A:A,match(IFNA(vlookup(B2425,'Special Names'!A:B,2,FALSE),B2425),PlayerValues!E:E,0)),"N/A")</f>
        <v>15795</v>
      </c>
      <c r="B2425" s="4" t="s">
        <v>669</v>
      </c>
      <c r="C2425" s="4" t="s">
        <v>298</v>
      </c>
      <c r="D2425" s="94">
        <v>1406.0</v>
      </c>
    </row>
    <row r="2426">
      <c r="A2426" s="40">
        <f t="array" ref="A2426">IFNA(index(PlayerValues!A:A,match(IFNA(vlookup(B2426,'Special Names'!A:B,2,FALSE),B2426),PlayerValues!E:E,0)),"N/A")</f>
        <v>13138</v>
      </c>
      <c r="B2426" s="4" t="s">
        <v>817</v>
      </c>
      <c r="C2426" s="4" t="s">
        <v>278</v>
      </c>
      <c r="D2426" s="94">
        <v>1039.0</v>
      </c>
    </row>
    <row r="2427">
      <c r="A2427" s="40">
        <f t="array" ref="A2427">IFNA(index(PlayerValues!A:A,match(IFNA(vlookup(B2427,'Special Names'!A:B,2,FALSE),B2427),PlayerValues!E:E,0)),"N/A")</f>
        <v>16858</v>
      </c>
      <c r="B2427" s="4" t="s">
        <v>754</v>
      </c>
      <c r="C2427" s="4" t="s">
        <v>287</v>
      </c>
      <c r="D2427" s="94">
        <v>1037.0</v>
      </c>
    </row>
    <row r="2428">
      <c r="A2428" s="40">
        <f t="array" ref="A2428">IFNA(index(PlayerValues!A:A,match(IFNA(vlookup(B2428,'Special Names'!A:B,2,FALSE),B2428),PlayerValues!E:E,0)),"N/A")</f>
        <v>15717</v>
      </c>
      <c r="B2428" s="4" t="s">
        <v>745</v>
      </c>
      <c r="C2428" s="4" t="s">
        <v>278</v>
      </c>
      <c r="D2428" s="94">
        <v>1035.0</v>
      </c>
    </row>
    <row r="2429">
      <c r="A2429" s="40">
        <f t="array" ref="A2429">IFNA(index(PlayerValues!A:A,match(IFNA(vlookup(B2429,'Special Names'!A:B,2,FALSE),B2429),PlayerValues!E:E,0)),"N/A")</f>
        <v>16648</v>
      </c>
      <c r="B2429" s="4" t="s">
        <v>748</v>
      </c>
      <c r="C2429" s="4" t="s">
        <v>298</v>
      </c>
      <c r="D2429" s="94">
        <v>1399.0</v>
      </c>
    </row>
    <row r="2430">
      <c r="A2430" s="40">
        <f t="array" ref="A2430">IFNA(index(PlayerValues!A:A,match(IFNA(vlookup(B2430,'Special Names'!A:B,2,FALSE),B2430),PlayerValues!E:E,0)),"N/A")</f>
        <v>15330</v>
      </c>
      <c r="B2430" s="4" t="s">
        <v>749</v>
      </c>
      <c r="C2430" s="4" t="s">
        <v>298</v>
      </c>
      <c r="D2430" s="94">
        <v>1397.0</v>
      </c>
    </row>
    <row r="2431">
      <c r="A2431" s="40">
        <f t="array" ref="A2431">IFNA(index(PlayerValues!A:A,match(IFNA(vlookup(B2431,'Special Names'!A:B,2,FALSE),B2431),PlayerValues!E:E,0)),"N/A")</f>
        <v>15626</v>
      </c>
      <c r="B2431" s="4" t="s">
        <v>766</v>
      </c>
      <c r="C2431" s="4" t="s">
        <v>298</v>
      </c>
      <c r="D2431" s="94">
        <v>1393.0</v>
      </c>
    </row>
    <row r="2432">
      <c r="A2432" s="40">
        <f t="array" ref="A2432">IFNA(index(PlayerValues!A:A,match(IFNA(vlookup(B2432,'Special Names'!A:B,2,FALSE),B2432),PlayerValues!E:E,0)),"N/A")</f>
        <v>14057</v>
      </c>
      <c r="B2432" s="4" t="s">
        <v>765</v>
      </c>
      <c r="C2432" s="4" t="s">
        <v>283</v>
      </c>
      <c r="D2432" s="94">
        <v>1021.0</v>
      </c>
    </row>
    <row r="2433">
      <c r="A2433" s="40">
        <f t="array" ref="A2433">IFNA(index(PlayerValues!A:A,match(IFNA(vlookup(B2433,'Special Names'!A:B,2,FALSE),B2433),PlayerValues!E:E,0)),"N/A")</f>
        <v>16205</v>
      </c>
      <c r="B2433" s="4" t="s">
        <v>742</v>
      </c>
      <c r="C2433" s="4" t="s">
        <v>287</v>
      </c>
      <c r="D2433" s="94">
        <v>1016.0</v>
      </c>
    </row>
    <row r="2434">
      <c r="A2434" s="40">
        <f t="array" ref="A2434">IFNA(index(PlayerValues!A:A,match(IFNA(vlookup(B2434,'Special Names'!A:B,2,FALSE),B2434),PlayerValues!E:E,0)),"N/A")</f>
        <v>16170</v>
      </c>
      <c r="B2434" s="4" t="s">
        <v>801</v>
      </c>
      <c r="C2434" s="4" t="s">
        <v>278</v>
      </c>
      <c r="D2434" s="94">
        <v>1009.0</v>
      </c>
    </row>
    <row r="2435">
      <c r="A2435" s="40">
        <f t="array" ref="A2435">IFNA(index(PlayerValues!A:A,match(IFNA(vlookup(B2435,'Special Names'!A:B,2,FALSE),B2435),PlayerValues!E:E,0)),"N/A")</f>
        <v>15720</v>
      </c>
      <c r="B2435" s="4" t="s">
        <v>795</v>
      </c>
      <c r="C2435" s="4" t="s">
        <v>278</v>
      </c>
      <c r="D2435" s="94">
        <v>1005.0</v>
      </c>
    </row>
    <row r="2436">
      <c r="A2436" s="40">
        <f t="array" ref="A2436">IFNA(index(PlayerValues!A:A,match(IFNA(vlookup(B2436,'Special Names'!A:B,2,FALSE),B2436),PlayerValues!E:E,0)),"N/A")</f>
        <v>15109</v>
      </c>
      <c r="B2436" s="4" t="s">
        <v>728</v>
      </c>
      <c r="C2436" s="4" t="s">
        <v>287</v>
      </c>
      <c r="D2436" s="94">
        <v>1001.0</v>
      </c>
    </row>
    <row r="2437">
      <c r="A2437" s="40">
        <f t="array" ref="A2437">IFNA(index(PlayerValues!A:A,match(IFNA(vlookup(B2437,'Special Names'!A:B,2,FALSE),B2437),PlayerValues!E:E,0)),"N/A")</f>
        <v>15766</v>
      </c>
      <c r="B2437" s="4" t="s">
        <v>759</v>
      </c>
      <c r="C2437" s="4" t="s">
        <v>287</v>
      </c>
      <c r="D2437" s="94">
        <v>988.0</v>
      </c>
    </row>
    <row r="2438">
      <c r="A2438" s="40">
        <f t="array" ref="A2438">IFNA(index(PlayerValues!A:A,match(IFNA(vlookup(B2438,'Special Names'!A:B,2,FALSE),B2438),PlayerValues!E:E,0)),"N/A")</f>
        <v>16219</v>
      </c>
      <c r="B2438" s="4" t="s">
        <v>739</v>
      </c>
      <c r="C2438" s="4" t="s">
        <v>298</v>
      </c>
      <c r="D2438" s="94">
        <v>1351.0</v>
      </c>
    </row>
    <row r="2439">
      <c r="A2439" s="40">
        <f t="array" ref="A2439">IFNA(index(PlayerValues!A:A,match(IFNA(vlookup(B2439,'Special Names'!A:B,2,FALSE),B2439),PlayerValues!E:E,0)),"N/A")</f>
        <v>12263</v>
      </c>
      <c r="B2439" s="4" t="s">
        <v>697</v>
      </c>
      <c r="C2439" s="4" t="s">
        <v>298</v>
      </c>
      <c r="D2439" s="94">
        <v>1348.0</v>
      </c>
    </row>
    <row r="2440">
      <c r="A2440" s="40">
        <f t="array" ref="A2440">IFNA(index(PlayerValues!A:A,match(IFNA(vlookup(B2440,'Special Names'!A:B,2,FALSE),B2440),PlayerValues!E:E,0)),"N/A")</f>
        <v>17466</v>
      </c>
      <c r="B2440" s="4" t="s">
        <v>492</v>
      </c>
      <c r="C2440" s="4" t="s">
        <v>283</v>
      </c>
      <c r="D2440" s="94">
        <v>970.0</v>
      </c>
    </row>
    <row r="2441">
      <c r="A2441" s="40">
        <f t="array" ref="A2441">IFNA(index(PlayerValues!A:A,match(IFNA(vlookup(B2441,'Special Names'!A:B,2,FALSE),B2441),PlayerValues!E:E,0)),"N/A")</f>
        <v>16176</v>
      </c>
      <c r="B2441" s="4" t="s">
        <v>812</v>
      </c>
      <c r="C2441" s="4" t="s">
        <v>278</v>
      </c>
      <c r="D2441" s="94">
        <v>967.0</v>
      </c>
    </row>
    <row r="2442">
      <c r="A2442" s="40">
        <f t="array" ref="A2442">IFNA(index(PlayerValues!A:A,match(IFNA(vlookup(B2442,'Special Names'!A:B,2,FALSE),B2442),PlayerValues!E:E,0)),"N/A")</f>
        <v>16416</v>
      </c>
      <c r="B2442" s="4" t="s">
        <v>752</v>
      </c>
      <c r="C2442" s="4" t="s">
        <v>287</v>
      </c>
      <c r="D2442" s="94">
        <v>966.0</v>
      </c>
    </row>
    <row r="2443">
      <c r="A2443" s="40">
        <f t="array" ref="A2443">IFNA(index(PlayerValues!A:A,match(IFNA(vlookup(B2443,'Special Names'!A:B,2,FALSE),B2443),PlayerValues!E:E,0)),"N/A")</f>
        <v>14799</v>
      </c>
      <c r="B2443" s="4" t="s">
        <v>829</v>
      </c>
      <c r="C2443" s="4" t="s">
        <v>278</v>
      </c>
      <c r="D2443" s="94">
        <v>965.0</v>
      </c>
    </row>
    <row r="2444">
      <c r="A2444" s="40">
        <f t="array" ref="A2444">IFNA(index(PlayerValues!A:A,match(IFNA(vlookup(B2444,'Special Names'!A:B,2,FALSE),B2444),PlayerValues!E:E,0)),"N/A")</f>
        <v>15263</v>
      </c>
      <c r="B2444" s="4" t="s">
        <v>804</v>
      </c>
      <c r="C2444" s="4" t="s">
        <v>278</v>
      </c>
      <c r="D2444" s="94">
        <v>962.0</v>
      </c>
    </row>
    <row r="2445">
      <c r="A2445" s="40">
        <f t="array" ref="A2445">IFNA(index(PlayerValues!A:A,match(IFNA(vlookup(B2445,'Special Names'!A:B,2,FALSE),B2445),PlayerValues!E:E,0)),"N/A")</f>
        <v>17468</v>
      </c>
      <c r="B2445" s="4" t="s">
        <v>514</v>
      </c>
      <c r="C2445" s="4" t="s">
        <v>283</v>
      </c>
      <c r="D2445" s="94">
        <v>959.0</v>
      </c>
    </row>
    <row r="2446">
      <c r="A2446" s="40">
        <f t="array" ref="A2446">IFNA(index(PlayerValues!A:A,match(IFNA(vlookup(B2446,'Special Names'!A:B,2,FALSE),B2446),PlayerValues!E:E,0)),"N/A")</f>
        <v>17479</v>
      </c>
      <c r="B2446" s="4" t="s">
        <v>756</v>
      </c>
      <c r="C2446" s="4" t="s">
        <v>278</v>
      </c>
      <c r="D2446" s="94">
        <v>959.0</v>
      </c>
    </row>
    <row r="2447">
      <c r="A2447" s="40">
        <f t="array" ref="A2447">IFNA(index(PlayerValues!A:A,match(IFNA(vlookup(B2447,'Special Names'!A:B,2,FALSE),B2447),PlayerValues!E:E,0)),"N/A")</f>
        <v>16773</v>
      </c>
      <c r="B2447" s="4" t="s">
        <v>783</v>
      </c>
      <c r="C2447" s="4" t="s">
        <v>278</v>
      </c>
      <c r="D2447" s="94">
        <v>957.0</v>
      </c>
    </row>
    <row r="2448">
      <c r="A2448" s="40">
        <f t="array" ref="A2448">IFNA(index(PlayerValues!A:A,match(IFNA(vlookup(B2448,'Special Names'!A:B,2,FALSE),B2448),PlayerValues!E:E,0)),"N/A")</f>
        <v>14849</v>
      </c>
      <c r="B2448" s="4" t="s">
        <v>733</v>
      </c>
      <c r="C2448" s="4" t="s">
        <v>287</v>
      </c>
      <c r="D2448" s="94">
        <v>956.0</v>
      </c>
    </row>
    <row r="2449">
      <c r="A2449" s="40">
        <f t="array" ref="A2449">IFNA(index(PlayerValues!A:A,match(IFNA(vlookup(B2449,'Special Names'!A:B,2,FALSE),B2449),PlayerValues!E:E,0)),"N/A")</f>
        <v>16751</v>
      </c>
      <c r="B2449" s="4" t="s">
        <v>762</v>
      </c>
      <c r="C2449" s="4" t="s">
        <v>287</v>
      </c>
      <c r="D2449" s="94">
        <v>956.0</v>
      </c>
    </row>
    <row r="2450">
      <c r="A2450" s="40">
        <f t="array" ref="A2450">IFNA(index(PlayerValues!A:A,match(IFNA(vlookup(B2450,'Special Names'!A:B,2,FALSE),B2450),PlayerValues!E:E,0)),"N/A")</f>
        <v>15723</v>
      </c>
      <c r="B2450" s="4" t="s">
        <v>798</v>
      </c>
      <c r="C2450" s="4" t="s">
        <v>278</v>
      </c>
      <c r="D2450" s="94">
        <v>948.0</v>
      </c>
    </row>
    <row r="2451">
      <c r="A2451" s="40">
        <f t="array" ref="A2451">IFNA(index(PlayerValues!A:A,match(IFNA(vlookup(B2451,'Special Names'!A:B,2,FALSE),B2451),PlayerValues!E:E,0)),"N/A")</f>
        <v>16624</v>
      </c>
      <c r="B2451" s="4" t="s">
        <v>796</v>
      </c>
      <c r="C2451" s="4" t="s">
        <v>287</v>
      </c>
      <c r="D2451" s="94">
        <v>945.0</v>
      </c>
    </row>
    <row r="2452">
      <c r="A2452" s="40">
        <f t="array" ref="A2452">IFNA(index(PlayerValues!A:A,match(IFNA(vlookup(B2452,'Special Names'!A:B,2,FALSE),B2452),PlayerValues!E:E,0)),"N/A")</f>
        <v>12785</v>
      </c>
      <c r="B2452" s="4" t="s">
        <v>772</v>
      </c>
      <c r="C2452" s="4" t="s">
        <v>287</v>
      </c>
      <c r="D2452" s="94">
        <v>942.0</v>
      </c>
    </row>
    <row r="2453">
      <c r="A2453" s="40">
        <f t="array" ref="A2453">IFNA(index(PlayerValues!A:A,match(IFNA(vlookup(B2453,'Special Names'!A:B,2,FALSE),B2453),PlayerValues!E:E,0)),"N/A")</f>
        <v>16599</v>
      </c>
      <c r="B2453" s="4" t="s">
        <v>737</v>
      </c>
      <c r="C2453" s="4" t="s">
        <v>278</v>
      </c>
      <c r="D2453" s="94">
        <v>923.0</v>
      </c>
    </row>
    <row r="2454">
      <c r="A2454" s="40">
        <f t="array" ref="A2454">IFNA(index(PlayerValues!A:A,match(IFNA(vlookup(B2454,'Special Names'!A:B,2,FALSE),B2454),PlayerValues!E:E,0)),"N/A")</f>
        <v>16159</v>
      </c>
      <c r="B2454" s="4" t="s">
        <v>819</v>
      </c>
      <c r="C2454" s="4" t="s">
        <v>283</v>
      </c>
      <c r="D2454" s="94">
        <v>921.0</v>
      </c>
    </row>
    <row r="2455">
      <c r="A2455" s="40">
        <f t="array" ref="A2455">IFNA(index(PlayerValues!A:A,match(IFNA(vlookup(B2455,'Special Names'!A:B,2,FALSE),B2455),PlayerValues!E:E,0)),"N/A")</f>
        <v>15804</v>
      </c>
      <c r="B2455" s="4" t="s">
        <v>821</v>
      </c>
      <c r="C2455" s="4" t="s">
        <v>298</v>
      </c>
      <c r="D2455" s="94">
        <v>1284.0</v>
      </c>
    </row>
    <row r="2456">
      <c r="A2456" s="40">
        <f t="array" ref="A2456">IFNA(index(PlayerValues!A:A,match(IFNA(vlookup(B2456,'Special Names'!A:B,2,FALSE),B2456),PlayerValues!E:E,0)),"N/A")</f>
        <v>13595</v>
      </c>
      <c r="B2456" s="4" t="s">
        <v>818</v>
      </c>
      <c r="C2456" s="4" t="s">
        <v>283</v>
      </c>
      <c r="D2456" s="94">
        <v>907.0</v>
      </c>
    </row>
    <row r="2457">
      <c r="A2457" s="40">
        <f t="array" ref="A2457">IFNA(index(PlayerValues!A:A,match(IFNA(vlookup(B2457,'Special Names'!A:B,2,FALSE),B2457),PlayerValues!E:E,0)),"N/A")</f>
        <v>17510</v>
      </c>
      <c r="B2457" s="4" t="s">
        <v>661</v>
      </c>
      <c r="C2457" s="4" t="s">
        <v>287</v>
      </c>
      <c r="D2457" s="94">
        <v>906.0</v>
      </c>
    </row>
    <row r="2458">
      <c r="A2458" s="40">
        <f t="array" ref="A2458">IFNA(index(PlayerValues!A:A,match(IFNA(vlookup(B2458,'Special Names'!A:B,2,FALSE),B2458),PlayerValues!E:E,0)),"N/A")</f>
        <v>15758</v>
      </c>
      <c r="B2458" s="4" t="s">
        <v>724</v>
      </c>
      <c r="C2458" s="4" t="s">
        <v>287</v>
      </c>
      <c r="D2458" s="94">
        <v>902.0</v>
      </c>
    </row>
    <row r="2459">
      <c r="A2459" s="40">
        <f t="array" ref="A2459">IFNA(index(PlayerValues!A:A,match(IFNA(vlookup(B2459,'Special Names'!A:B,2,FALSE),B2459),PlayerValues!E:E,0)),"N/A")</f>
        <v>16686</v>
      </c>
      <c r="B2459" s="4" t="s">
        <v>805</v>
      </c>
      <c r="C2459" s="4" t="s">
        <v>287</v>
      </c>
      <c r="D2459" s="94">
        <v>897.0</v>
      </c>
    </row>
    <row r="2460">
      <c r="A2460" s="40">
        <f t="array" ref="A2460">IFNA(index(PlayerValues!A:A,match(IFNA(vlookup(B2460,'Special Names'!A:B,2,FALSE),B2460),PlayerValues!E:E,0)),"N/A")</f>
        <v>17337</v>
      </c>
      <c r="B2460" s="4" t="s">
        <v>793</v>
      </c>
      <c r="C2460" s="4" t="s">
        <v>278</v>
      </c>
      <c r="D2460" s="94">
        <v>897.0</v>
      </c>
    </row>
    <row r="2461">
      <c r="A2461" s="40">
        <f t="array" ref="A2461">IFNA(index(PlayerValues!A:A,match(IFNA(vlookup(B2461,'Special Names'!A:B,2,FALSE),B2461),PlayerValues!E:E,0)),"N/A")</f>
        <v>14864</v>
      </c>
      <c r="B2461" s="4" t="s">
        <v>789</v>
      </c>
      <c r="C2461" s="4" t="s">
        <v>287</v>
      </c>
      <c r="D2461" s="94">
        <v>896.0</v>
      </c>
    </row>
    <row r="2462">
      <c r="A2462" s="40">
        <f t="array" ref="A2462">IFNA(index(PlayerValues!A:A,match(IFNA(vlookup(B2462,'Special Names'!A:B,2,FALSE),B2462),PlayerValues!E:E,0)),"N/A")</f>
        <v>14223</v>
      </c>
      <c r="B2462" s="4" t="s">
        <v>785</v>
      </c>
      <c r="C2462" s="4" t="s">
        <v>278</v>
      </c>
      <c r="D2462" s="94">
        <v>870.0</v>
      </c>
    </row>
    <row r="2463">
      <c r="A2463" s="40">
        <f t="array" ref="A2463">IFNA(index(PlayerValues!A:A,match(IFNA(vlookup(B2463,'Special Names'!A:B,2,FALSE),B2463),PlayerValues!E:E,0)),"N/A")</f>
        <v>13133</v>
      </c>
      <c r="B2463" s="4" t="s">
        <v>764</v>
      </c>
      <c r="C2463" s="4" t="s">
        <v>278</v>
      </c>
      <c r="D2463" s="94">
        <v>860.0</v>
      </c>
    </row>
    <row r="2464">
      <c r="A2464" s="40">
        <f t="array" ref="A2464">IFNA(index(PlayerValues!A:A,match(IFNA(vlookup(B2464,'Special Names'!A:B,2,FALSE),B2464),PlayerValues!E:E,0)),"N/A")</f>
        <v>16606</v>
      </c>
      <c r="B2464" s="4" t="s">
        <v>743</v>
      </c>
      <c r="C2464" s="4" t="s">
        <v>278</v>
      </c>
      <c r="D2464" s="94">
        <v>860.0</v>
      </c>
    </row>
    <row r="2465">
      <c r="A2465" s="40">
        <f t="array" ref="A2465">IFNA(index(PlayerValues!A:A,match(IFNA(vlookup(B2465,'Special Names'!A:B,2,FALSE),B2465),PlayerValues!E:E,0)),"N/A")</f>
        <v>14079</v>
      </c>
      <c r="B2465" s="4" t="s">
        <v>830</v>
      </c>
      <c r="C2465" s="4" t="s">
        <v>278</v>
      </c>
      <c r="D2465" s="94">
        <v>852.0</v>
      </c>
    </row>
    <row r="2466">
      <c r="A2466" s="40">
        <f t="array" ref="A2466">IFNA(index(PlayerValues!A:A,match(IFNA(vlookup(B2466,'Special Names'!A:B,2,FALSE),B2466),PlayerValues!E:E,0)),"N/A")</f>
        <v>15271</v>
      </c>
      <c r="B2466" s="4" t="s">
        <v>741</v>
      </c>
      <c r="C2466" s="4" t="s">
        <v>278</v>
      </c>
      <c r="D2466" s="94">
        <v>841.0</v>
      </c>
    </row>
    <row r="2467">
      <c r="A2467" s="40">
        <f t="array" ref="A2467">IFNA(index(PlayerValues!A:A,match(IFNA(vlookup(B2467,'Special Names'!A:B,2,FALSE),B2467),PlayerValues!E:E,0)),"N/A")</f>
        <v>17486</v>
      </c>
      <c r="B2467" s="4" t="s">
        <v>695</v>
      </c>
      <c r="C2467" s="4" t="s">
        <v>278</v>
      </c>
      <c r="D2467" s="94">
        <v>822.0</v>
      </c>
    </row>
    <row r="2468">
      <c r="A2468" s="40">
        <f t="array" ref="A2468">IFNA(index(PlayerValues!A:A,match(IFNA(vlookup(B2468,'Special Names'!A:B,2,FALSE),B2468),PlayerValues!E:E,0)),"N/A")</f>
        <v>13610</v>
      </c>
      <c r="B2468" s="4" t="s">
        <v>825</v>
      </c>
      <c r="C2468" s="4" t="s">
        <v>278</v>
      </c>
      <c r="D2468" s="94">
        <v>810.0</v>
      </c>
    </row>
    <row r="2469">
      <c r="A2469" s="40">
        <f t="array" ref="A2469">IFNA(index(PlayerValues!A:A,match(IFNA(vlookup(B2469,'Special Names'!A:B,2,FALSE),B2469),PlayerValues!E:E,0)),"N/A")</f>
        <v>17519</v>
      </c>
      <c r="B2469" s="4" t="s">
        <v>593</v>
      </c>
      <c r="C2469" s="4" t="s">
        <v>287</v>
      </c>
      <c r="D2469" s="94">
        <v>806.0</v>
      </c>
    </row>
    <row r="2470">
      <c r="A2470" s="40">
        <f t="array" ref="A2470">IFNA(index(PlayerValues!A:A,match(IFNA(vlookup(B2470,'Special Names'!A:B,2,FALSE),B2470),PlayerValues!E:E,0)),"N/A")</f>
        <v>13143</v>
      </c>
      <c r="B2470" s="4" t="s">
        <v>786</v>
      </c>
      <c r="C2470" s="4" t="s">
        <v>278</v>
      </c>
      <c r="D2470" s="94">
        <v>786.0</v>
      </c>
    </row>
    <row r="2471">
      <c r="A2471" s="40">
        <f t="array" ref="A2471">IFNA(index(PlayerValues!A:A,match(IFNA(vlookup(B2471,'Special Names'!A:B,2,FALSE),B2471),PlayerValues!E:E,0)),"N/A")</f>
        <v>16623</v>
      </c>
      <c r="B2471" s="4" t="s">
        <v>803</v>
      </c>
      <c r="C2471" s="4" t="s">
        <v>287</v>
      </c>
      <c r="D2471" s="94">
        <v>753.0</v>
      </c>
    </row>
    <row r="2472">
      <c r="A2472" s="40">
        <f t="array" ref="A2472">IFNA(index(PlayerValues!A:A,match(IFNA(vlookup(B2472,'Special Names'!A:B,2,FALSE),B2472),PlayerValues!E:E,0)),"N/A")</f>
        <v>16957</v>
      </c>
      <c r="B2472" s="4" t="s">
        <v>806</v>
      </c>
      <c r="C2472" s="4" t="s">
        <v>278</v>
      </c>
      <c r="D2472" s="94">
        <v>745.0</v>
      </c>
    </row>
    <row r="2473">
      <c r="A2473" s="40">
        <f t="array" ref="A2473">IFNA(index(PlayerValues!A:A,match(IFNA(vlookup(B2473,'Special Names'!A:B,2,FALSE),B2473),PlayerValues!E:E,0)),"N/A")</f>
        <v>17487</v>
      </c>
      <c r="B2473" s="4" t="s">
        <v>692</v>
      </c>
      <c r="C2473" s="4" t="s">
        <v>278</v>
      </c>
      <c r="D2473" s="94">
        <v>724.0</v>
      </c>
    </row>
    <row r="2474">
      <c r="A2474" s="40">
        <f t="array" ref="A2474">IFNA(index(PlayerValues!A:A,match(IFNA(vlookup(B2474,'Special Names'!A:B,2,FALSE),B2474),PlayerValues!E:E,0)),"N/A")</f>
        <v>11232</v>
      </c>
      <c r="B2474" s="4" t="s">
        <v>826</v>
      </c>
      <c r="C2474" s="4" t="s">
        <v>287</v>
      </c>
      <c r="D2474" s="94">
        <v>708.0</v>
      </c>
    </row>
    <row r="2475">
      <c r="A2475" s="40">
        <f t="array" ref="A2475">IFNA(index(PlayerValues!A:A,match(IFNA(vlookup(B2475,'Special Names'!A:B,2,FALSE),B2475),PlayerValues!E:E,0)),"N/A")</f>
        <v>17567</v>
      </c>
      <c r="B2475" s="4" t="s">
        <v>571</v>
      </c>
      <c r="C2475" s="4" t="s">
        <v>298</v>
      </c>
      <c r="D2475" s="94">
        <v>1062.0</v>
      </c>
    </row>
    <row r="2476">
      <c r="A2476" s="40">
        <f t="array" ref="A2476">IFNA(index(PlayerValues!A:A,match(IFNA(vlookup(B2476,'Special Names'!A:B,2,FALSE),B2476),PlayerValues!E:E,0)),"N/A")</f>
        <v>15796</v>
      </c>
      <c r="B2476" s="4" t="s">
        <v>794</v>
      </c>
      <c r="C2476" s="4" t="s">
        <v>298</v>
      </c>
      <c r="D2476" s="94">
        <v>1036.0</v>
      </c>
    </row>
    <row r="2477">
      <c r="A2477" s="40">
        <f t="array" ref="A2477">IFNA(index(PlayerValues!A:A,match(IFNA(vlookup(B2477,'Special Names'!A:B,2,FALSE),B2477),PlayerValues!E:E,0)),"N/A")</f>
        <v>17485</v>
      </c>
      <c r="B2477" s="4" t="s">
        <v>522</v>
      </c>
      <c r="C2477" s="4" t="s">
        <v>278</v>
      </c>
      <c r="D2477" s="94">
        <v>642.0</v>
      </c>
    </row>
    <row r="2478">
      <c r="A2478" s="40">
        <f t="array" ref="A2478">IFNA(index(PlayerValues!A:A,match(IFNA(vlookup(B2478,'Special Names'!A:B,2,FALSE),B2478),PlayerValues!E:E,0)),"N/A")</f>
        <v>17475</v>
      </c>
      <c r="B2478" s="4" t="s">
        <v>615</v>
      </c>
      <c r="C2478" s="4" t="s">
        <v>278</v>
      </c>
      <c r="D2478" s="94">
        <v>638.0</v>
      </c>
    </row>
    <row r="2479">
      <c r="A2479" s="40">
        <f t="array" ref="A2479">IFNA(index(PlayerValues!A:A,match(IFNA(vlookup(B2479,'Special Names'!A:B,2,FALSE),B2479),PlayerValues!E:E,0)),"N/A")</f>
        <v>17038</v>
      </c>
      <c r="B2479" s="4" t="s">
        <v>774</v>
      </c>
      <c r="C2479" s="4" t="s">
        <v>283</v>
      </c>
      <c r="D2479" s="94">
        <v>606.0</v>
      </c>
    </row>
    <row r="2480">
      <c r="A2480" s="40">
        <f t="array" ref="A2480">IFNA(index(PlayerValues!A:A,match(IFNA(vlookup(B2480,'Special Names'!A:B,2,FALSE),B2480),PlayerValues!E:E,0)),"N/A")</f>
        <v>13176</v>
      </c>
      <c r="B2480" s="4" t="s">
        <v>807</v>
      </c>
      <c r="C2480" s="4" t="s">
        <v>287</v>
      </c>
      <c r="D2480" s="94">
        <v>594.0</v>
      </c>
    </row>
    <row r="2481">
      <c r="A2481" s="40">
        <f t="array" ref="A2481">IFNA(index(PlayerValues!A:A,match(IFNA(vlookup(B2481,'Special Names'!A:B,2,FALSE),B2481),PlayerValues!E:E,0)),"N/A")</f>
        <v>17243</v>
      </c>
      <c r="B2481" s="4" t="s">
        <v>810</v>
      </c>
      <c r="C2481" s="4" t="s">
        <v>298</v>
      </c>
      <c r="D2481" s="94">
        <v>931.0</v>
      </c>
    </row>
    <row r="2482">
      <c r="A2482" s="40">
        <f t="array" ref="A2482">IFNA(index(PlayerValues!A:A,match(IFNA(vlookup(B2482,'Special Names'!A:B,2,FALSE),B2482),PlayerValues!E:E,0)),"N/A")</f>
        <v>16413</v>
      </c>
      <c r="B2482" s="4" t="s">
        <v>781</v>
      </c>
      <c r="C2482" s="4" t="s">
        <v>287</v>
      </c>
      <c r="D2482" s="94">
        <v>581.0</v>
      </c>
    </row>
    <row r="2483">
      <c r="A2483" s="40">
        <f t="array" ref="A2483">IFNA(index(PlayerValues!A:A,match(IFNA(vlookup(B2483,'Special Names'!A:B,2,FALSE),B2483),PlayerValues!E:E,0)),"N/A")</f>
        <v>14358</v>
      </c>
      <c r="B2483" s="4" t="s">
        <v>813</v>
      </c>
      <c r="C2483" s="4" t="s">
        <v>283</v>
      </c>
      <c r="D2483" s="94">
        <v>578.0</v>
      </c>
    </row>
    <row r="2484">
      <c r="A2484" s="40">
        <f t="array" ref="A2484">IFNA(index(PlayerValues!A:A,match(IFNA(vlookup(B2484,'Special Names'!A:B,2,FALSE),B2484),PlayerValues!E:E,0)),"N/A")</f>
        <v>13763</v>
      </c>
      <c r="B2484" s="4" t="s">
        <v>831</v>
      </c>
      <c r="C2484" s="4" t="s">
        <v>298</v>
      </c>
      <c r="D2484" s="94">
        <v>927.0</v>
      </c>
    </row>
    <row r="2485">
      <c r="A2485" s="40">
        <f t="array" ref="A2485">IFNA(index(PlayerValues!A:A,match(IFNA(vlookup(B2485,'Special Names'!A:B,2,FALSE),B2485),PlayerValues!E:E,0)),"N/A")</f>
        <v>17545</v>
      </c>
      <c r="B2485" s="4" t="s">
        <v>719</v>
      </c>
      <c r="C2485" s="4" t="s">
        <v>298</v>
      </c>
      <c r="D2485" s="94">
        <v>924.0</v>
      </c>
    </row>
    <row r="2486">
      <c r="A2486" s="40">
        <f t="array" ref="A2486">IFNA(index(PlayerValues!A:A,match(IFNA(vlookup(B2486,'Special Names'!A:B,2,FALSE),B2486),PlayerValues!E:E,0)),"N/A")</f>
        <v>14875</v>
      </c>
      <c r="B2486" s="4" t="s">
        <v>820</v>
      </c>
      <c r="C2486" s="4" t="s">
        <v>298</v>
      </c>
      <c r="D2486" s="94">
        <v>923.0</v>
      </c>
    </row>
    <row r="2487">
      <c r="A2487" s="40">
        <f t="array" ref="A2487">IFNA(index(PlayerValues!A:A,match(IFNA(vlookup(B2487,'Special Names'!A:B,2,FALSE),B2487),PlayerValues!E:E,0)),"N/A")</f>
        <v>12187</v>
      </c>
      <c r="B2487" s="4" t="s">
        <v>832</v>
      </c>
      <c r="C2487" s="4" t="s">
        <v>287</v>
      </c>
      <c r="D2487" s="94">
        <v>572.0</v>
      </c>
    </row>
    <row r="2488">
      <c r="A2488" s="40">
        <f t="array" ref="A2488">IFNA(index(PlayerValues!A:A,match(IFNA(vlookup(B2488,'Special Names'!A:B,2,FALSE),B2488),PlayerValues!E:E,0)),"N/A")</f>
        <v>15285</v>
      </c>
      <c r="B2488" s="4" t="s">
        <v>792</v>
      </c>
      <c r="C2488" s="4" t="s">
        <v>287</v>
      </c>
      <c r="D2488" s="94">
        <v>572.0</v>
      </c>
    </row>
    <row r="2489">
      <c r="A2489" s="40">
        <f t="array" ref="A2489">IFNA(index(PlayerValues!A:A,match(IFNA(vlookup(B2489,'Special Names'!A:B,2,FALSE),B2489),PlayerValues!E:E,0)),"N/A")</f>
        <v>16613</v>
      </c>
      <c r="B2489" s="4" t="s">
        <v>782</v>
      </c>
      <c r="C2489" s="4" t="s">
        <v>278</v>
      </c>
      <c r="D2489" s="94">
        <v>572.0</v>
      </c>
    </row>
    <row r="2490">
      <c r="A2490" s="40">
        <f t="array" ref="A2490">IFNA(index(PlayerValues!A:A,match(IFNA(vlookup(B2490,'Special Names'!A:B,2,FALSE),B2490),PlayerValues!E:E,0)),"N/A")</f>
        <v>17282</v>
      </c>
      <c r="B2490" s="4" t="s">
        <v>833</v>
      </c>
      <c r="C2490" s="4" t="s">
        <v>283</v>
      </c>
      <c r="D2490" s="94">
        <v>572.0</v>
      </c>
    </row>
    <row r="2491">
      <c r="A2491" s="40">
        <f t="array" ref="A2491">IFNA(index(PlayerValues!A:A,match(IFNA(vlookup(B2491,'Special Names'!A:B,2,FALSE),B2491),PlayerValues!E:E,0)),"N/A")</f>
        <v>14239</v>
      </c>
      <c r="B2491" s="4" t="s">
        <v>824</v>
      </c>
      <c r="C2491" s="4" t="s">
        <v>298</v>
      </c>
      <c r="D2491" s="94">
        <v>924.0</v>
      </c>
    </row>
    <row r="2492">
      <c r="A2492" s="40">
        <f t="array" ref="A2492">IFNA(index(PlayerValues!A:A,match(IFNA(vlookup(B2492,'Special Names'!A:B,2,FALSE),B2492),PlayerValues!E:E,0)),"N/A")</f>
        <v>17521</v>
      </c>
      <c r="B2492" s="4" t="s">
        <v>573</v>
      </c>
      <c r="C2492" s="4" t="s">
        <v>287</v>
      </c>
      <c r="D2492" s="94">
        <v>454.0</v>
      </c>
    </row>
    <row r="2493">
      <c r="A2493" s="40">
        <f t="array" ref="A2493">IFNA(index(PlayerValues!A:A,match(IFNA(vlookup(B2493,'Special Names'!A:B,2,FALSE),B2493),PlayerValues!E:E,0)),"N/A")</f>
        <v>17548</v>
      </c>
      <c r="B2493" s="4" t="s">
        <v>594</v>
      </c>
      <c r="C2493" s="4" t="s">
        <v>298</v>
      </c>
      <c r="D2493" s="94">
        <v>781.0</v>
      </c>
    </row>
    <row r="2494">
      <c r="A2494" s="40">
        <f t="array" ref="A2494">IFNA(index(PlayerValues!A:A,match(IFNA(vlookup(B2494,'Special Names'!A:B,2,FALSE),B2494),PlayerValues!E:E,0)),"N/A")</f>
        <v>17529</v>
      </c>
      <c r="B2494" s="4" t="s">
        <v>608</v>
      </c>
      <c r="C2494" s="4" t="s">
        <v>287</v>
      </c>
      <c r="D2494" s="94">
        <v>352.0</v>
      </c>
    </row>
    <row r="2495">
      <c r="A2495" s="40">
        <f t="array" ref="A2495">IFNA(index(PlayerValues!A:A,match(IFNA(vlookup(B2495,'Special Names'!A:B,2,FALSE),B2495),PlayerValues!E:E,0)),"N/A")</f>
        <v>17607</v>
      </c>
      <c r="B2495" s="4" t="s">
        <v>526</v>
      </c>
      <c r="C2495" s="4" t="s">
        <v>298</v>
      </c>
      <c r="D2495" s="94">
        <v>676.0</v>
      </c>
    </row>
    <row r="2496">
      <c r="A2496" s="40">
        <f t="array" ref="A2496">IFNA(index(PlayerValues!A:A,match(IFNA(vlookup(B2496,'Special Names'!A:B,2,FALSE),B2496),PlayerValues!E:E,0)),"N/A")</f>
        <v>17599</v>
      </c>
      <c r="B2496" s="4" t="s">
        <v>496</v>
      </c>
      <c r="C2496" s="4" t="s">
        <v>287</v>
      </c>
      <c r="D2496" s="94">
        <v>224.0</v>
      </c>
    </row>
    <row r="2497">
      <c r="A2497" s="40">
        <f t="array" ref="A2497">IFNA(index(PlayerValues!A:A,match(IFNA(vlookup(B2497,'Special Names'!A:B,2,FALSE),B2497),PlayerValues!E:E,0)),"N/A")</f>
        <v>17549</v>
      </c>
      <c r="B2497" s="4" t="s">
        <v>720</v>
      </c>
      <c r="C2497" s="4" t="s">
        <v>298</v>
      </c>
      <c r="D2497" s="94">
        <v>651.0</v>
      </c>
    </row>
    <row r="2498">
      <c r="A2498" s="40">
        <f t="array" ref="A2498">IFNA(index(PlayerValues!A:A,match(IFNA(vlookup(B2498,'Special Names'!A:B,2,FALSE),B2498),PlayerValues!E:E,0)),"N/A")</f>
        <v>17685</v>
      </c>
      <c r="B2498" s="4" t="s">
        <v>630</v>
      </c>
      <c r="C2498" s="4" t="s">
        <v>278</v>
      </c>
      <c r="D2498" s="94">
        <v>212.0</v>
      </c>
    </row>
    <row r="2499">
      <c r="A2499" s="40">
        <f t="array" ref="A2499">IFNA(index(PlayerValues!A:A,match(IFNA(vlookup(B2499,'Special Names'!A:B,2,FALSE),B2499),PlayerValues!E:E,0)),"N/A")</f>
        <v>17654</v>
      </c>
      <c r="B2499" s="4" t="s">
        <v>767</v>
      </c>
      <c r="C2499" s="4" t="s">
        <v>283</v>
      </c>
      <c r="D2499" s="94">
        <v>123.0</v>
      </c>
    </row>
    <row r="2500">
      <c r="A2500" s="40">
        <f t="array" ref="A2500">IFNA(index(PlayerValues!A:A,match(IFNA(vlookup(B2500,'Special Names'!A:B,2,FALSE),B2500),PlayerValues!E:E,0)),"N/A")</f>
        <v>17591</v>
      </c>
      <c r="B2500" s="4" t="s">
        <v>834</v>
      </c>
      <c r="C2500" s="4" t="s">
        <v>298</v>
      </c>
      <c r="D2500" s="94">
        <v>541.0</v>
      </c>
    </row>
    <row r="2501">
      <c r="A2501" s="40">
        <f t="array" ref="A2501">IFNA(index(PlayerValues!A:A,match(IFNA(vlookup(B2501,'Special Names'!A:B,2,FALSE),B2501),PlayerValues!E:E,0)),"N/A")</f>
        <v>13589</v>
      </c>
      <c r="B2501" s="4" t="s">
        <v>282</v>
      </c>
      <c r="C2501" s="4" t="s">
        <v>283</v>
      </c>
      <c r="D2501" s="94">
        <v>9999.0</v>
      </c>
    </row>
    <row r="2502">
      <c r="A2502" s="40">
        <f t="array" ref="A2502">IFNA(index(PlayerValues!A:A,match(IFNA(vlookup(B2502,'Special Names'!A:B,2,FALSE),B2502),PlayerValues!E:E,0)),"N/A")</f>
        <v>16161</v>
      </c>
      <c r="B2502" s="4" t="s">
        <v>277</v>
      </c>
      <c r="C2502" s="4" t="s">
        <v>278</v>
      </c>
      <c r="D2502" s="94">
        <v>9992.0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9893.0</v>
      </c>
    </row>
    <row r="2504">
      <c r="A2504" s="40">
        <f t="array" ref="A2504">IFNA(index(PlayerValues!A:A,match(IFNA(vlookup(B2504,'Special Names'!A:B,2,FALSE),B2504),PlayerValues!E:E,0)),"N/A")</f>
        <v>16185</v>
      </c>
      <c r="B2504" s="4" t="s">
        <v>290</v>
      </c>
      <c r="C2504" s="4" t="s">
        <v>287</v>
      </c>
      <c r="D2504" s="94">
        <v>9873.0</v>
      </c>
    </row>
    <row r="2505">
      <c r="A2505" s="40">
        <f t="array" ref="A2505">IFNA(index(PlayerValues!A:A,match(IFNA(vlookup(B2505,'Special Names'!A:B,2,FALSE),B2505),PlayerValues!E:E,0)),"N/A")</f>
        <v>16162</v>
      </c>
      <c r="B2505" s="4" t="s">
        <v>281</v>
      </c>
      <c r="C2505" s="4" t="s">
        <v>278</v>
      </c>
      <c r="D2505" s="94">
        <v>9605.0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9504.0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8579.0</v>
      </c>
    </row>
    <row r="2508">
      <c r="A2508" s="40">
        <f t="array" ref="A2508">IFNA(index(PlayerValues!A:A,match(IFNA(vlookup(B2508,'Special Names'!A:B,2,FALSE),B2508),PlayerValues!E:E,0)),"N/A")</f>
        <v>16641</v>
      </c>
      <c r="B2508" s="4" t="s">
        <v>297</v>
      </c>
      <c r="C2508" s="4" t="s">
        <v>298</v>
      </c>
      <c r="D2508" s="94">
        <v>8802.0</v>
      </c>
    </row>
    <row r="2509">
      <c r="A2509" s="40">
        <f t="array" ref="A2509">IFNA(index(PlayerValues!A:A,match(IFNA(vlookup(B2509,'Special Names'!A:B,2,FALSE),B2509),PlayerValues!E:E,0)),"N/A")</f>
        <v>16581</v>
      </c>
      <c r="B2509" s="4" t="s">
        <v>315</v>
      </c>
      <c r="C2509" s="4" t="s">
        <v>283</v>
      </c>
      <c r="D2509" s="94">
        <v>7866.0</v>
      </c>
    </row>
    <row r="2510">
      <c r="A2510" s="40">
        <f t="array" ref="A2510">IFNA(index(PlayerValues!A:A,match(IFNA(vlookup(B2510,'Special Names'!A:B,2,FALSE),B2510),PlayerValues!E:E,0)),"N/A")</f>
        <v>16615</v>
      </c>
      <c r="B2510" s="4" t="s">
        <v>309</v>
      </c>
      <c r="C2510" s="4" t="s">
        <v>287</v>
      </c>
      <c r="D2510" s="94">
        <v>7858.0</v>
      </c>
    </row>
    <row r="2511">
      <c r="A2511" s="40">
        <f t="array" ref="A2511">IFNA(index(PlayerValues!A:A,match(IFNA(vlookup(B2511,'Special Names'!A:B,2,FALSE),B2511),PlayerValues!E:E,0)),"N/A")</f>
        <v>16579</v>
      </c>
      <c r="B2511" s="4" t="s">
        <v>302</v>
      </c>
      <c r="C2511" s="4" t="s">
        <v>283</v>
      </c>
      <c r="D2511" s="94">
        <v>7796.0</v>
      </c>
    </row>
    <row r="2512">
      <c r="A2512" s="40">
        <f t="array" ref="A2512">IFNA(index(PlayerValues!A:A,match(IFNA(vlookup(B2512,'Special Names'!A:B,2,FALSE),B2512),PlayerValues!E:E,0)),"N/A")</f>
        <v>14836</v>
      </c>
      <c r="B2512" s="4" t="s">
        <v>306</v>
      </c>
      <c r="C2512" s="4" t="s">
        <v>287</v>
      </c>
      <c r="D2512" s="94">
        <v>7766.0</v>
      </c>
    </row>
    <row r="2513">
      <c r="A2513" s="40">
        <f t="array" ref="A2513">IFNA(index(PlayerValues!A:A,match(IFNA(vlookup(B2513,'Special Names'!A:B,2,FALSE),B2513),PlayerValues!E:E,0)),"N/A")</f>
        <v>15287</v>
      </c>
      <c r="B2513" s="4" t="s">
        <v>299</v>
      </c>
      <c r="C2513" s="4" t="s">
        <v>287</v>
      </c>
      <c r="D2513" s="94">
        <v>7693.0</v>
      </c>
    </row>
    <row r="2514">
      <c r="A2514" s="40">
        <f t="array" ref="A2514">IFNA(index(PlayerValues!A:A,match(IFNA(vlookup(B2514,'Special Names'!A:B,2,FALSE),B2514),PlayerValues!E:E,0)),"N/A")</f>
        <v>13593</v>
      </c>
      <c r="B2514" s="4" t="s">
        <v>305</v>
      </c>
      <c r="C2514" s="4" t="s">
        <v>283</v>
      </c>
      <c r="D2514" s="94">
        <v>7671.0</v>
      </c>
    </row>
    <row r="2515">
      <c r="A2515" s="40">
        <f t="array" ref="A2515">IFNA(index(PlayerValues!A:A,match(IFNA(vlookup(B2515,'Special Names'!A:B,2,FALSE),B2515),PlayerValues!E:E,0)),"N/A")</f>
        <v>17472</v>
      </c>
      <c r="B2515" s="4" t="s">
        <v>310</v>
      </c>
      <c r="C2515" s="4" t="s">
        <v>278</v>
      </c>
      <c r="D2515" s="94">
        <v>7586.0</v>
      </c>
    </row>
    <row r="2516">
      <c r="A2516" s="40">
        <f t="array" ref="A2516">IFNA(index(PlayerValues!A:A,match(IFNA(vlookup(B2516,'Special Names'!A:B,2,FALSE),B2516),PlayerValues!E:E,0)),"N/A")</f>
        <v>17042</v>
      </c>
      <c r="B2516" s="4" t="s">
        <v>314</v>
      </c>
      <c r="C2516" s="4" t="s">
        <v>278</v>
      </c>
      <c r="D2516" s="94">
        <v>7569.0</v>
      </c>
    </row>
    <row r="2517">
      <c r="A2517" s="40">
        <f t="array" ref="A2517">IFNA(index(PlayerValues!A:A,match(IFNA(vlookup(B2517,'Special Names'!A:B,2,FALSE),B2517),PlayerValues!E:E,0)),"N/A")</f>
        <v>15794</v>
      </c>
      <c r="B2517" s="4" t="s">
        <v>313</v>
      </c>
      <c r="C2517" s="4" t="s">
        <v>298</v>
      </c>
      <c r="D2517" s="94">
        <v>8371.0</v>
      </c>
    </row>
    <row r="2518">
      <c r="A2518" s="40">
        <f t="array" ref="A2518">IFNA(index(PlayerValues!A:A,match(IFNA(vlookup(B2518,'Special Names'!A:B,2,FALSE),B2518),PlayerValues!E:E,0)),"N/A")</f>
        <v>14777</v>
      </c>
      <c r="B2518" s="4" t="s">
        <v>318</v>
      </c>
      <c r="C2518" s="4" t="s">
        <v>283</v>
      </c>
      <c r="D2518" s="94">
        <v>7544.0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7315.0</v>
      </c>
    </row>
    <row r="2520">
      <c r="A2520" s="40" t="str">
        <f t="array" ref="A2520">IFNA(index(PlayerValues!A:A,match(IFNA(vlookup(B2520,'Special Names'!A:B,2,FALSE),B2520),PlayerValues!E:E,0)),"N/A")</f>
        <v>N/A</v>
      </c>
      <c r="B2520" s="4" t="s">
        <v>92</v>
      </c>
      <c r="C2520" s="4" t="s">
        <v>325</v>
      </c>
      <c r="D2520" s="94">
        <v>7022.0</v>
      </c>
    </row>
    <row r="2521">
      <c r="A2521" s="40">
        <f t="array" ref="A2521">IFNA(index(PlayerValues!A:A,match(IFNA(vlookup(B2521,'Special Names'!A:B,2,FALSE),B2521),PlayerValues!E:E,0)),"N/A")</f>
        <v>15751</v>
      </c>
      <c r="B2521" s="4" t="s">
        <v>328</v>
      </c>
      <c r="C2521" s="4" t="s">
        <v>287</v>
      </c>
      <c r="D2521" s="94">
        <v>6916.0</v>
      </c>
    </row>
    <row r="2522">
      <c r="A2522" s="40">
        <f t="array" ref="A2522">IFNA(index(PlayerValues!A:A,match(IFNA(vlookup(B2522,'Special Names'!A:B,2,FALSE),B2522),PlayerValues!E:E,0)),"N/A")</f>
        <v>16167</v>
      </c>
      <c r="B2522" s="4" t="s">
        <v>323</v>
      </c>
      <c r="C2522" s="4" t="s">
        <v>278</v>
      </c>
      <c r="D2522" s="94">
        <v>6862.0</v>
      </c>
    </row>
    <row r="2523">
      <c r="A2523" s="40">
        <f t="array" ref="A2523">IFNA(index(PlayerValues!A:A,match(IFNA(vlookup(B2523,'Special Names'!A:B,2,FALSE),B2523),PlayerValues!E:E,0)),"N/A")</f>
        <v>13116</v>
      </c>
      <c r="B2523" s="4" t="s">
        <v>345</v>
      </c>
      <c r="C2523" s="4" t="s">
        <v>283</v>
      </c>
      <c r="D2523" s="94">
        <v>6837.0</v>
      </c>
    </row>
    <row r="2524">
      <c r="A2524" s="40">
        <f t="array" ref="A2524">IFNA(index(PlayerValues!A:A,match(IFNA(vlookup(B2524,'Special Names'!A:B,2,FALSE),B2524),PlayerValues!E:E,0)),"N/A")</f>
        <v>14779</v>
      </c>
      <c r="B2524" s="4" t="s">
        <v>327</v>
      </c>
      <c r="C2524" s="4" t="s">
        <v>283</v>
      </c>
      <c r="D2524" s="94">
        <v>6796.0</v>
      </c>
    </row>
    <row r="2525">
      <c r="A2525" s="40">
        <f t="array" ref="A2525">IFNA(index(PlayerValues!A:A,match(IFNA(vlookup(B2525,'Special Names'!A:B,2,FALSE),B2525),PlayerValues!E:E,0)),"N/A")</f>
        <v>17044</v>
      </c>
      <c r="B2525" s="4" t="s">
        <v>322</v>
      </c>
      <c r="C2525" s="4" t="s">
        <v>278</v>
      </c>
      <c r="D2525" s="94">
        <v>6694.0</v>
      </c>
    </row>
    <row r="2526">
      <c r="A2526" s="40">
        <f t="array" ref="A2526">IFNA(index(PlayerValues!A:A,match(IFNA(vlookup(B2526,'Special Names'!A:B,2,FALSE),B2526),PlayerValues!E:E,0)),"N/A")</f>
        <v>17032</v>
      </c>
      <c r="B2526" s="4" t="s">
        <v>348</v>
      </c>
      <c r="C2526" s="4" t="s">
        <v>283</v>
      </c>
      <c r="D2526" s="94">
        <v>6632.0</v>
      </c>
    </row>
    <row r="2527">
      <c r="A2527" s="40">
        <f t="array" ref="A2527">IFNA(index(PlayerValues!A:A,match(IFNA(vlookup(B2527,'Special Names'!A:B,2,FALSE),B2527),PlayerValues!E:E,0)),"N/A")</f>
        <v>17071</v>
      </c>
      <c r="B2527" s="4" t="s">
        <v>341</v>
      </c>
      <c r="C2527" s="4" t="s">
        <v>287</v>
      </c>
      <c r="D2527" s="94">
        <v>6627.0</v>
      </c>
    </row>
    <row r="2528">
      <c r="A2528" s="40">
        <f t="array" ref="A2528">IFNA(index(PlayerValues!A:A,match(IFNA(vlookup(B2528,'Special Names'!A:B,2,FALSE),B2528),PlayerValues!E:E,0)),"N/A")</f>
        <v>16582</v>
      </c>
      <c r="B2528" s="4" t="s">
        <v>343</v>
      </c>
      <c r="C2528" s="4" t="s">
        <v>283</v>
      </c>
      <c r="D2528" s="94">
        <v>6232.0</v>
      </c>
    </row>
    <row r="2529">
      <c r="A2529" s="40">
        <f t="array" ref="A2529">IFNA(index(PlayerValues!A:A,match(IFNA(vlookup(B2529,'Special Names'!A:B,2,FALSE),B2529),PlayerValues!E:E,0)),"N/A")</f>
        <v>15237</v>
      </c>
      <c r="B2529" s="4" t="s">
        <v>336</v>
      </c>
      <c r="C2529" s="4" t="s">
        <v>283</v>
      </c>
      <c r="D2529" s="94">
        <v>6220.0</v>
      </c>
    </row>
    <row r="2530">
      <c r="A2530" s="40">
        <f t="array" ref="A2530">IFNA(index(PlayerValues!A:A,match(IFNA(vlookup(B2530,'Special Names'!A:B,2,FALSE),B2530),PlayerValues!E:E,0)),"N/A")</f>
        <v>14783</v>
      </c>
      <c r="B2530" s="4" t="s">
        <v>342</v>
      </c>
      <c r="C2530" s="4" t="s">
        <v>283</v>
      </c>
      <c r="D2530" s="94">
        <v>6146.0</v>
      </c>
    </row>
    <row r="2531">
      <c r="A2531" s="40">
        <f t="array" ref="A2531">IFNA(index(PlayerValues!A:A,match(IFNA(vlookup(B2531,'Special Names'!A:B,2,FALSE),B2531),PlayerValues!E:E,0)),"N/A")</f>
        <v>15715</v>
      </c>
      <c r="B2531" s="4" t="s">
        <v>331</v>
      </c>
      <c r="C2531" s="4" t="s">
        <v>278</v>
      </c>
      <c r="D2531" s="94">
        <v>6124.0</v>
      </c>
    </row>
    <row r="2532">
      <c r="A2532" s="40">
        <f t="array" ref="A2532">IFNA(index(PlayerValues!A:A,match(IFNA(vlookup(B2532,'Special Names'!A:B,2,FALSE),B2532),PlayerValues!E:E,0)),"N/A")</f>
        <v>17081</v>
      </c>
      <c r="B2532" s="4" t="s">
        <v>340</v>
      </c>
      <c r="C2532" s="4" t="s">
        <v>287</v>
      </c>
      <c r="D2532" s="94">
        <v>6117.0</v>
      </c>
    </row>
    <row r="2533">
      <c r="A2533" s="40">
        <f t="array" ref="A2533">IFNA(index(PlayerValues!A:A,match(IFNA(vlookup(B2533,'Special Names'!A:B,2,FALSE),B2533),PlayerValues!E:E,0)),"N/A")</f>
        <v>17104</v>
      </c>
      <c r="B2533" s="4" t="s">
        <v>333</v>
      </c>
      <c r="C2533" s="4" t="s">
        <v>298</v>
      </c>
      <c r="D2533" s="94">
        <v>6766.0</v>
      </c>
    </row>
    <row r="2534">
      <c r="A2534" s="40">
        <f t="array" ref="A2534">IFNA(index(PlayerValues!A:A,match(IFNA(vlookup(B2534,'Special Names'!A:B,2,FALSE),B2534),PlayerValues!E:E,0)),"N/A")</f>
        <v>14802</v>
      </c>
      <c r="B2534" s="4" t="s">
        <v>332</v>
      </c>
      <c r="C2534" s="4" t="s">
        <v>278</v>
      </c>
      <c r="D2534" s="94">
        <v>6033.0</v>
      </c>
    </row>
    <row r="2535">
      <c r="A2535" s="40">
        <f t="array" ref="A2535">IFNA(index(PlayerValues!A:A,match(IFNA(vlookup(B2535,'Special Names'!A:B,2,FALSE),B2535),PlayerValues!E:E,0)),"N/A")</f>
        <v>15762</v>
      </c>
      <c r="B2535" s="4" t="s">
        <v>337</v>
      </c>
      <c r="C2535" s="4" t="s">
        <v>287</v>
      </c>
      <c r="D2535" s="94">
        <v>5970.0</v>
      </c>
    </row>
    <row r="2536">
      <c r="A2536" s="40">
        <f t="array" ref="A2536">IFNA(index(PlayerValues!A:A,match(IFNA(vlookup(B2536,'Special Names'!A:B,2,FALSE),B2536),PlayerValues!E:E,0)),"N/A")</f>
        <v>15698</v>
      </c>
      <c r="B2536" s="4" t="s">
        <v>358</v>
      </c>
      <c r="C2536" s="4" t="s">
        <v>283</v>
      </c>
      <c r="D2536" s="94">
        <v>5895.0</v>
      </c>
    </row>
    <row r="2537">
      <c r="A2537" s="40">
        <f t="array" ref="A2537">IFNA(index(PlayerValues!A:A,match(IFNA(vlookup(B2537,'Special Names'!A:B,2,FALSE),B2537),PlayerValues!E:E,0)),"N/A")</f>
        <v>15753</v>
      </c>
      <c r="B2537" s="4" t="s">
        <v>359</v>
      </c>
      <c r="C2537" s="4" t="s">
        <v>287</v>
      </c>
      <c r="D2537" s="94">
        <v>5736.0</v>
      </c>
    </row>
    <row r="2538">
      <c r="A2538" s="40">
        <f t="array" ref="A2538">IFNA(index(PlayerValues!A:A,match(IFNA(vlookup(B2538,'Special Names'!A:B,2,FALSE),B2538),PlayerValues!E:E,0)),"N/A")</f>
        <v>17102</v>
      </c>
      <c r="B2538" s="4" t="s">
        <v>344</v>
      </c>
      <c r="C2538" s="4" t="s">
        <v>298</v>
      </c>
      <c r="D2538" s="94">
        <v>6376.0</v>
      </c>
    </row>
    <row r="2539">
      <c r="A2539" s="40">
        <f t="array" ref="A2539">IFNA(index(PlayerValues!A:A,match(IFNA(vlookup(B2539,'Special Names'!A:B,2,FALSE),B2539),PlayerValues!E:E,0)),"N/A")</f>
        <v>17497</v>
      </c>
      <c r="B2539" s="4" t="s">
        <v>365</v>
      </c>
      <c r="C2539" s="4" t="s">
        <v>287</v>
      </c>
      <c r="D2539" s="94">
        <v>5692.0</v>
      </c>
    </row>
    <row r="2540">
      <c r="A2540" s="40" t="str">
        <f t="array" ref="A2540">IFNA(index(PlayerValues!A:A,match(IFNA(vlookup(B2540,'Special Names'!A:B,2,FALSE),B2540),PlayerValues!E:E,0)),"N/A")</f>
        <v>N/A</v>
      </c>
      <c r="B2540" s="4" t="s">
        <v>79</v>
      </c>
      <c r="C2540" s="4" t="s">
        <v>325</v>
      </c>
      <c r="D2540" s="94">
        <v>5668.0</v>
      </c>
    </row>
    <row r="2541">
      <c r="A2541" s="40">
        <f t="array" ref="A2541">IFNA(index(PlayerValues!A:A,match(IFNA(vlookup(B2541,'Special Names'!A:B,2,FALSE),B2541),PlayerValues!E:E,0)),"N/A")</f>
        <v>17462</v>
      </c>
      <c r="B2541" s="4" t="s">
        <v>375</v>
      </c>
      <c r="C2541" s="4" t="s">
        <v>283</v>
      </c>
      <c r="D2541" s="94">
        <v>5649.0</v>
      </c>
    </row>
    <row r="2542">
      <c r="A2542" s="40">
        <f t="array" ref="A2542">IFNA(index(PlayerValues!A:A,match(IFNA(vlookup(B2542,'Special Names'!A:B,2,FALSE),B2542),PlayerValues!E:E,0)),"N/A")</f>
        <v>15290</v>
      </c>
      <c r="B2542" s="4" t="s">
        <v>355</v>
      </c>
      <c r="C2542" s="4" t="s">
        <v>287</v>
      </c>
      <c r="D2542" s="94">
        <v>5638.0</v>
      </c>
    </row>
    <row r="2543">
      <c r="A2543" s="40">
        <f t="array" ref="A2543">IFNA(index(PlayerValues!A:A,match(IFNA(vlookup(B2543,'Special Names'!A:B,2,FALSE),B2543),PlayerValues!E:E,0)),"N/A")</f>
        <v>14782</v>
      </c>
      <c r="B2543" s="4" t="s">
        <v>385</v>
      </c>
      <c r="C2543" s="4" t="s">
        <v>283</v>
      </c>
      <c r="D2543" s="94">
        <v>5637.0</v>
      </c>
    </row>
    <row r="2544">
      <c r="A2544" s="40">
        <f t="array" ref="A2544">IFNA(index(PlayerValues!A:A,match(IFNA(vlookup(B2544,'Special Names'!A:B,2,FALSE),B2544),PlayerValues!E:E,0)),"N/A")</f>
        <v>15754</v>
      </c>
      <c r="B2544" s="4" t="s">
        <v>354</v>
      </c>
      <c r="C2544" s="4" t="s">
        <v>287</v>
      </c>
      <c r="D2544" s="94">
        <v>5611.0</v>
      </c>
    </row>
    <row r="2545">
      <c r="A2545" s="40" t="str">
        <f t="array" ref="A2545">IFNA(index(PlayerValues!A:A,match(IFNA(vlookup(B2545,'Special Names'!A:B,2,FALSE),B2545),PlayerValues!E:E,0)),"N/A")</f>
        <v>N/A</v>
      </c>
      <c r="B2545" s="4" t="s">
        <v>93</v>
      </c>
      <c r="C2545" s="4" t="s">
        <v>325</v>
      </c>
      <c r="D2545" s="94">
        <v>5571.0</v>
      </c>
    </row>
    <row r="2546">
      <c r="A2546" s="40">
        <f t="array" ref="A2546">IFNA(index(PlayerValues!A:A,match(IFNA(vlookup(B2546,'Special Names'!A:B,2,FALSE),B2546),PlayerValues!E:E,0)),"N/A")</f>
        <v>15711</v>
      </c>
      <c r="B2546" s="4" t="s">
        <v>349</v>
      </c>
      <c r="C2546" s="4" t="s">
        <v>278</v>
      </c>
      <c r="D2546" s="94">
        <v>5531.0</v>
      </c>
    </row>
    <row r="2547">
      <c r="A2547" s="40">
        <f t="array" ref="A2547">IFNA(index(PlayerValues!A:A,match(IFNA(vlookup(B2547,'Special Names'!A:B,2,FALSE),B2547),PlayerValues!E:E,0)),"N/A")</f>
        <v>17043</v>
      </c>
      <c r="B2547" s="4" t="s">
        <v>397</v>
      </c>
      <c r="C2547" s="4" t="s">
        <v>278</v>
      </c>
      <c r="D2547" s="94">
        <v>5477.0</v>
      </c>
    </row>
    <row r="2548">
      <c r="A2548" s="40">
        <f t="array" ref="A2548">IFNA(index(PlayerValues!A:A,match(IFNA(vlookup(B2548,'Special Names'!A:B,2,FALSE),B2548),PlayerValues!E:E,0)),"N/A")</f>
        <v>17051</v>
      </c>
      <c r="B2548" s="4" t="s">
        <v>386</v>
      </c>
      <c r="C2548" s="4" t="s">
        <v>278</v>
      </c>
      <c r="D2548" s="94">
        <v>5458.0</v>
      </c>
    </row>
    <row r="2549">
      <c r="A2549" s="40">
        <f t="array" ref="A2549">IFNA(index(PlayerValues!A:A,match(IFNA(vlookup(B2549,'Special Names'!A:B,2,FALSE),B2549),PlayerValues!E:E,0)),"N/A")</f>
        <v>16627</v>
      </c>
      <c r="B2549" s="4" t="s">
        <v>351</v>
      </c>
      <c r="C2549" s="4" t="s">
        <v>287</v>
      </c>
      <c r="D2549" s="94">
        <v>5397.0</v>
      </c>
    </row>
    <row r="2550">
      <c r="A2550" s="40">
        <f t="array" ref="A2550">IFNA(index(PlayerValues!A:A,match(IFNA(vlookup(B2550,'Special Names'!A:B,2,FALSE),B2550),PlayerValues!E:E,0)),"N/A")</f>
        <v>16616</v>
      </c>
      <c r="B2550" s="4" t="s">
        <v>389</v>
      </c>
      <c r="C2550" s="4" t="s">
        <v>287</v>
      </c>
      <c r="D2550" s="94">
        <v>5363.0</v>
      </c>
    </row>
    <row r="2551">
      <c r="A2551" s="40">
        <f t="array" ref="A2551">IFNA(index(PlayerValues!A:A,match(IFNA(vlookup(B2551,'Special Names'!A:B,2,FALSE),B2551),PlayerValues!E:E,0)),"N/A")</f>
        <v>15708</v>
      </c>
      <c r="B2551" s="4" t="s">
        <v>382</v>
      </c>
      <c r="C2551" s="4" t="s">
        <v>278</v>
      </c>
      <c r="D2551" s="94">
        <v>5286.0</v>
      </c>
    </row>
    <row r="2552">
      <c r="A2552" s="40">
        <f t="array" ref="A2552">IFNA(index(PlayerValues!A:A,match(IFNA(vlookup(B2552,'Special Names'!A:B,2,FALSE),B2552),PlayerValues!E:E,0)),"N/A")</f>
        <v>17070</v>
      </c>
      <c r="B2552" s="4" t="s">
        <v>370</v>
      </c>
      <c r="C2552" s="4" t="s">
        <v>287</v>
      </c>
      <c r="D2552" s="94">
        <v>5278.0</v>
      </c>
    </row>
    <row r="2553">
      <c r="A2553" s="40">
        <f t="array" ref="A2553">IFNA(index(PlayerValues!A:A,match(IFNA(vlookup(B2553,'Special Names'!A:B,2,FALSE),B2553),PlayerValues!E:E,0)),"N/A")</f>
        <v>17030</v>
      </c>
      <c r="B2553" s="4" t="s">
        <v>406</v>
      </c>
      <c r="C2553" s="4" t="s">
        <v>283</v>
      </c>
      <c r="D2553" s="94">
        <v>5248.0</v>
      </c>
    </row>
    <row r="2554">
      <c r="A2554" s="40">
        <f t="array" ref="A2554">IFNA(index(PlayerValues!A:A,match(IFNA(vlookup(B2554,'Special Names'!A:B,2,FALSE),B2554),PlayerValues!E:E,0)),"N/A")</f>
        <v>17498</v>
      </c>
      <c r="B2554" s="4" t="s">
        <v>396</v>
      </c>
      <c r="C2554" s="4" t="s">
        <v>287</v>
      </c>
      <c r="D2554" s="94">
        <v>5212.0</v>
      </c>
    </row>
    <row r="2555">
      <c r="A2555" s="40">
        <f t="array" ref="A2555">IFNA(index(PlayerValues!A:A,match(IFNA(vlookup(B2555,'Special Names'!A:B,2,FALSE),B2555),PlayerValues!E:E,0)),"N/A")</f>
        <v>16194</v>
      </c>
      <c r="B2555" s="4" t="s">
        <v>398</v>
      </c>
      <c r="C2555" s="4" t="s">
        <v>287</v>
      </c>
      <c r="D2555" s="94">
        <v>5191.0</v>
      </c>
    </row>
    <row r="2556">
      <c r="A2556" s="40">
        <f t="array" ref="A2556">IFNA(index(PlayerValues!A:A,match(IFNA(vlookup(B2556,'Special Names'!A:B,2,FALSE),B2556),PlayerValues!E:E,0)),"N/A")</f>
        <v>15282</v>
      </c>
      <c r="B2556" s="4" t="s">
        <v>364</v>
      </c>
      <c r="C2556" s="4" t="s">
        <v>287</v>
      </c>
      <c r="D2556" s="94">
        <v>5158.0</v>
      </c>
    </row>
    <row r="2557">
      <c r="A2557" s="40">
        <f t="array" ref="A2557">IFNA(index(PlayerValues!A:A,match(IFNA(vlookup(B2557,'Special Names'!A:B,2,FALSE),B2557),PlayerValues!E:E,0)),"N/A")</f>
        <v>16614</v>
      </c>
      <c r="B2557" s="4" t="s">
        <v>403</v>
      </c>
      <c r="C2557" s="4" t="s">
        <v>287</v>
      </c>
      <c r="D2557" s="94">
        <v>5109.0</v>
      </c>
    </row>
    <row r="2558">
      <c r="A2558" s="40">
        <f t="array" ref="A2558">IFNA(index(PlayerValues!A:A,match(IFNA(vlookup(B2558,'Special Names'!A:B,2,FALSE),B2558),PlayerValues!E:E,0)),"N/A")</f>
        <v>17499</v>
      </c>
      <c r="B2558" s="4" t="s">
        <v>402</v>
      </c>
      <c r="C2558" s="4" t="s">
        <v>287</v>
      </c>
      <c r="D2558" s="94">
        <v>5081.0</v>
      </c>
    </row>
    <row r="2559">
      <c r="A2559" s="40">
        <f t="array" ref="A2559">IFNA(index(PlayerValues!A:A,match(IFNA(vlookup(B2559,'Special Names'!A:B,2,FALSE),B2559),PlayerValues!E:E,0)),"N/A")</f>
        <v>13130</v>
      </c>
      <c r="B2559" s="4" t="s">
        <v>374</v>
      </c>
      <c r="C2559" s="4" t="s">
        <v>278</v>
      </c>
      <c r="D2559" s="94">
        <v>4978.0</v>
      </c>
    </row>
    <row r="2560">
      <c r="A2560" s="40" t="str">
        <f t="array" ref="A2560">IFNA(index(PlayerValues!A:A,match(IFNA(vlookup(B2560,'Special Names'!A:B,2,FALSE),B2560),PlayerValues!E:E,0)),"N/A")</f>
        <v>N/A</v>
      </c>
      <c r="B2560" s="4" t="s">
        <v>104</v>
      </c>
      <c r="C2560" s="4" t="s">
        <v>325</v>
      </c>
      <c r="D2560" s="94">
        <v>4949.0</v>
      </c>
    </row>
    <row r="2561">
      <c r="A2561" s="40">
        <f t="array" ref="A2561">IFNA(index(PlayerValues!A:A,match(IFNA(vlookup(B2561,'Special Names'!A:B,2,FALSE),B2561),PlayerValues!E:E,0)),"N/A")</f>
        <v>16598</v>
      </c>
      <c r="B2561" s="4" t="s">
        <v>408</v>
      </c>
      <c r="C2561" s="4" t="s">
        <v>278</v>
      </c>
      <c r="D2561" s="94">
        <v>4931.0</v>
      </c>
    </row>
    <row r="2562">
      <c r="A2562" s="40">
        <f t="array" ref="A2562">IFNA(index(PlayerValues!A:A,match(IFNA(vlookup(B2562,'Special Names'!A:B,2,FALSE),B2562),PlayerValues!E:E,0)),"N/A")</f>
        <v>16618</v>
      </c>
      <c r="B2562" s="4" t="s">
        <v>411</v>
      </c>
      <c r="C2562" s="4" t="s">
        <v>287</v>
      </c>
      <c r="D2562" s="94">
        <v>4930.0</v>
      </c>
    </row>
    <row r="2563">
      <c r="A2563" s="40">
        <f t="array" ref="A2563">IFNA(index(PlayerValues!A:A,match(IFNA(vlookup(B2563,'Special Names'!A:B,2,FALSE),B2563),PlayerValues!E:E,0)),"N/A")</f>
        <v>12620</v>
      </c>
      <c r="B2563" s="4" t="s">
        <v>394</v>
      </c>
      <c r="C2563" s="4" t="s">
        <v>283</v>
      </c>
      <c r="D2563" s="94">
        <v>4918.0</v>
      </c>
    </row>
    <row r="2564">
      <c r="A2564" s="40">
        <f t="array" ref="A2564">IFNA(index(PlayerValues!A:A,match(IFNA(vlookup(B2564,'Special Names'!A:B,2,FALSE),B2564),PlayerValues!E:E,0)),"N/A")</f>
        <v>16150</v>
      </c>
      <c r="B2564" s="4" t="s">
        <v>414</v>
      </c>
      <c r="C2564" s="4" t="s">
        <v>283</v>
      </c>
      <c r="D2564" s="94">
        <v>4912.0</v>
      </c>
    </row>
    <row r="2565">
      <c r="A2565" s="40">
        <f t="array" ref="A2565">IFNA(index(PlayerValues!A:A,match(IFNA(vlookup(B2565,'Special Names'!A:B,2,FALSE),B2565),PlayerValues!E:E,0)),"N/A")</f>
        <v>17103</v>
      </c>
      <c r="B2565" s="4" t="s">
        <v>405</v>
      </c>
      <c r="C2565" s="4" t="s">
        <v>298</v>
      </c>
      <c r="D2565" s="94">
        <v>5477.0</v>
      </c>
    </row>
    <row r="2566">
      <c r="A2566" s="40">
        <f t="array" ref="A2566">IFNA(index(PlayerValues!A:A,match(IFNA(vlookup(B2566,'Special Names'!A:B,2,FALSE),B2566),PlayerValues!E:E,0)),"N/A")</f>
        <v>15284</v>
      </c>
      <c r="B2566" s="4" t="s">
        <v>390</v>
      </c>
      <c r="C2566" s="4" t="s">
        <v>287</v>
      </c>
      <c r="D2566" s="94">
        <v>4900.0</v>
      </c>
    </row>
    <row r="2567">
      <c r="A2567" s="40" t="str">
        <f t="array" ref="A2567">IFNA(index(PlayerValues!A:A,match(IFNA(vlookup(B2567,'Special Names'!A:B,2,FALSE),B2567),PlayerValues!E:E,0)),"N/A")</f>
        <v>N/A</v>
      </c>
      <c r="B2567" s="4" t="s">
        <v>94</v>
      </c>
      <c r="C2567" s="4" t="s">
        <v>325</v>
      </c>
      <c r="D2567" s="94">
        <v>4899.0</v>
      </c>
    </row>
    <row r="2568">
      <c r="A2568" s="40">
        <f t="array" ref="A2568">IFNA(index(PlayerValues!A:A,match(IFNA(vlookup(B2568,'Special Names'!A:B,2,FALSE),B2568),PlayerValues!E:E,0)),"N/A")</f>
        <v>14835</v>
      </c>
      <c r="B2568" s="4" t="s">
        <v>392</v>
      </c>
      <c r="C2568" s="4" t="s">
        <v>287</v>
      </c>
      <c r="D2568" s="94">
        <v>4895.0</v>
      </c>
    </row>
    <row r="2569">
      <c r="A2569" s="40">
        <f t="array" ref="A2569">IFNA(index(PlayerValues!A:A,match(IFNA(vlookup(B2569,'Special Names'!A:B,2,FALSE),B2569),PlayerValues!E:E,0)),"N/A")</f>
        <v>16181</v>
      </c>
      <c r="B2569" s="4" t="s">
        <v>350</v>
      </c>
      <c r="C2569" s="4" t="s">
        <v>278</v>
      </c>
      <c r="D2569" s="94">
        <v>4892.0</v>
      </c>
    </row>
    <row r="2570">
      <c r="A2570" s="40">
        <f t="array" ref="A2570">IFNA(index(PlayerValues!A:A,match(IFNA(vlookup(B2570,'Special Names'!A:B,2,FALSE),B2570),PlayerValues!E:E,0)),"N/A")</f>
        <v>13604</v>
      </c>
      <c r="B2570" s="4" t="s">
        <v>378</v>
      </c>
      <c r="C2570" s="4" t="s">
        <v>278</v>
      </c>
      <c r="D2570" s="94">
        <v>4883.0</v>
      </c>
    </row>
    <row r="2571">
      <c r="A2571" s="40">
        <f t="array" ref="A2571">IFNA(index(PlayerValues!A:A,match(IFNA(vlookup(B2571,'Special Names'!A:B,2,FALSE),B2571),PlayerValues!E:E,0)),"N/A")</f>
        <v>15710</v>
      </c>
      <c r="B2571" s="4" t="s">
        <v>395</v>
      </c>
      <c r="C2571" s="4" t="s">
        <v>278</v>
      </c>
      <c r="D2571" s="94">
        <v>4863.0</v>
      </c>
    </row>
    <row r="2572">
      <c r="A2572" s="40">
        <f t="array" ref="A2572">IFNA(index(PlayerValues!A:A,match(IFNA(vlookup(B2572,'Special Names'!A:B,2,FALSE),B2572),PlayerValues!E:E,0)),"N/A")</f>
        <v>14104</v>
      </c>
      <c r="B2572" s="4" t="s">
        <v>379</v>
      </c>
      <c r="C2572" s="4" t="s">
        <v>287</v>
      </c>
      <c r="D2572" s="94">
        <v>4854.0</v>
      </c>
    </row>
    <row r="2573">
      <c r="A2573" s="40">
        <f t="array" ref="A2573">IFNA(index(PlayerValues!A:A,match(IFNA(vlookup(B2573,'Special Names'!A:B,2,FALSE),B2573),PlayerValues!E:E,0)),"N/A")</f>
        <v>17039</v>
      </c>
      <c r="B2573" s="4" t="s">
        <v>400</v>
      </c>
      <c r="C2573" s="4" t="s">
        <v>283</v>
      </c>
      <c r="D2573" s="94">
        <v>4841.0</v>
      </c>
    </row>
    <row r="2574">
      <c r="A2574" s="40">
        <f t="array" ref="A2574">IFNA(index(PlayerValues!A:A,match(IFNA(vlookup(B2574,'Special Names'!A:B,2,FALSE),B2574),PlayerValues!E:E,0)),"N/A")</f>
        <v>13592</v>
      </c>
      <c r="B2574" s="4" t="s">
        <v>418</v>
      </c>
      <c r="C2574" s="4" t="s">
        <v>283</v>
      </c>
      <c r="D2574" s="94">
        <v>4806.0</v>
      </c>
    </row>
    <row r="2575">
      <c r="A2575" s="40">
        <f t="array" ref="A2575">IFNA(index(PlayerValues!A:A,match(IFNA(vlookup(B2575,'Special Names'!A:B,2,FALSE),B2575),PlayerValues!E:E,0)),"N/A")</f>
        <v>15756</v>
      </c>
      <c r="B2575" s="4" t="s">
        <v>399</v>
      </c>
      <c r="C2575" s="4" t="s">
        <v>287</v>
      </c>
      <c r="D2575" s="94">
        <v>4797.0</v>
      </c>
    </row>
    <row r="2576">
      <c r="A2576" s="40">
        <f t="array" ref="A2576">IFNA(index(PlayerValues!A:A,match(IFNA(vlookup(B2576,'Special Names'!A:B,2,FALSE),B2576),PlayerValues!E:E,0)),"N/A")</f>
        <v>16222</v>
      </c>
      <c r="B2576" s="4" t="s">
        <v>393</v>
      </c>
      <c r="C2576" s="4" t="s">
        <v>298</v>
      </c>
      <c r="D2576" s="94">
        <v>5323.0</v>
      </c>
    </row>
    <row r="2577">
      <c r="A2577" s="40">
        <f t="array" ref="A2577">IFNA(index(PlayerValues!A:A,match(IFNA(vlookup(B2577,'Special Names'!A:B,2,FALSE),B2577),PlayerValues!E:E,0)),"N/A")</f>
        <v>13590</v>
      </c>
      <c r="B2577" s="4" t="s">
        <v>409</v>
      </c>
      <c r="C2577" s="4" t="s">
        <v>283</v>
      </c>
      <c r="D2577" s="94">
        <v>4746.0</v>
      </c>
    </row>
    <row r="2578">
      <c r="A2578" s="40">
        <f t="array" ref="A2578">IFNA(index(PlayerValues!A:A,match(IFNA(vlookup(B2578,'Special Names'!A:B,2,FALSE),B2578),PlayerValues!E:E,0)),"N/A")</f>
        <v>12611</v>
      </c>
      <c r="B2578" s="4" t="s">
        <v>410</v>
      </c>
      <c r="C2578" s="4" t="s">
        <v>283</v>
      </c>
      <c r="D2578" s="94">
        <v>4670.0</v>
      </c>
    </row>
    <row r="2579">
      <c r="A2579" s="40">
        <f t="array" ref="A2579">IFNA(index(PlayerValues!A:A,match(IFNA(vlookup(B2579,'Special Names'!A:B,2,FALSE),B2579),PlayerValues!E:E,0)),"N/A")</f>
        <v>16190</v>
      </c>
      <c r="B2579" s="4" t="s">
        <v>371</v>
      </c>
      <c r="C2579" s="4" t="s">
        <v>287</v>
      </c>
      <c r="D2579" s="94">
        <v>4655.0</v>
      </c>
    </row>
    <row r="2580">
      <c r="A2580" s="40" t="str">
        <f t="array" ref="A2580">IFNA(index(PlayerValues!A:A,match(IFNA(vlookup(B2580,'Special Names'!A:B,2,FALSE),B2580),PlayerValues!E:E,0)),"N/A")</f>
        <v>N/A</v>
      </c>
      <c r="B2580" s="4" t="s">
        <v>80</v>
      </c>
      <c r="C2580" s="4" t="s">
        <v>325</v>
      </c>
      <c r="D2580" s="94">
        <v>4579.0</v>
      </c>
    </row>
    <row r="2581">
      <c r="A2581" s="40">
        <f t="array" ref="A2581">IFNA(index(PlayerValues!A:A,match(IFNA(vlookup(B2581,'Special Names'!A:B,2,FALSE),B2581),PlayerValues!E:E,0)),"N/A")</f>
        <v>17473</v>
      </c>
      <c r="B2581" s="4" t="s">
        <v>391</v>
      </c>
      <c r="C2581" s="4" t="s">
        <v>278</v>
      </c>
      <c r="D2581" s="94">
        <v>4577.0</v>
      </c>
    </row>
    <row r="2582">
      <c r="A2582" s="40">
        <f t="array" ref="A2582">IFNA(index(PlayerValues!A:A,match(IFNA(vlookup(B2582,'Special Names'!A:B,2,FALSE),B2582),PlayerValues!E:E,0)),"N/A")</f>
        <v>16214</v>
      </c>
      <c r="B2582" s="4" t="s">
        <v>413</v>
      </c>
      <c r="C2582" s="4" t="s">
        <v>298</v>
      </c>
      <c r="D2582" s="94">
        <v>5093.0</v>
      </c>
    </row>
    <row r="2583">
      <c r="A2583" s="40">
        <f t="array" ref="A2583">IFNA(index(PlayerValues!A:A,match(IFNA(vlookup(B2583,'Special Names'!A:B,2,FALSE),B2583),PlayerValues!E:E,0)),"N/A")</f>
        <v>16148</v>
      </c>
      <c r="B2583" s="4" t="s">
        <v>426</v>
      </c>
      <c r="C2583" s="4" t="s">
        <v>283</v>
      </c>
      <c r="D2583" s="94">
        <v>4543.0</v>
      </c>
    </row>
    <row r="2584">
      <c r="A2584" s="40">
        <f t="array" ref="A2584">IFNA(index(PlayerValues!A:A,match(IFNA(vlookup(B2584,'Special Names'!A:B,2,FALSE),B2584),PlayerValues!E:E,0)),"N/A")</f>
        <v>17045</v>
      </c>
      <c r="B2584" s="4" t="s">
        <v>407</v>
      </c>
      <c r="C2584" s="4" t="s">
        <v>278</v>
      </c>
      <c r="D2584" s="94">
        <v>4478.0</v>
      </c>
    </row>
    <row r="2585">
      <c r="A2585" s="40">
        <f t="array" ref="A2585">IFNA(index(PlayerValues!A:A,match(IFNA(vlookup(B2585,'Special Names'!A:B,2,FALSE),B2585),PlayerValues!E:E,0)),"N/A")</f>
        <v>14073</v>
      </c>
      <c r="B2585" s="4" t="s">
        <v>464</v>
      </c>
      <c r="C2585" s="4" t="s">
        <v>278</v>
      </c>
      <c r="D2585" s="94">
        <v>4451.0</v>
      </c>
    </row>
    <row r="2586">
      <c r="A2586" s="40">
        <f t="array" ref="A2586">IFNA(index(PlayerValues!A:A,match(IFNA(vlookup(B2586,'Special Names'!A:B,2,FALSE),B2586),PlayerValues!E:E,0)),"N/A")</f>
        <v>15253</v>
      </c>
      <c r="B2586" s="4" t="s">
        <v>415</v>
      </c>
      <c r="C2586" s="4" t="s">
        <v>278</v>
      </c>
      <c r="D2586" s="94">
        <v>4432.0</v>
      </c>
    </row>
    <row r="2587">
      <c r="A2587" s="40">
        <f t="array" ref="A2587">IFNA(index(PlayerValues!A:A,match(IFNA(vlookup(B2587,'Special Names'!A:B,2,FALSE),B2587),PlayerValues!E:E,0)),"N/A")</f>
        <v>15329</v>
      </c>
      <c r="B2587" s="4" t="s">
        <v>416</v>
      </c>
      <c r="C2587" s="4" t="s">
        <v>298</v>
      </c>
      <c r="D2587" s="94">
        <v>4969.0</v>
      </c>
    </row>
    <row r="2588">
      <c r="A2588" s="40">
        <f t="array" ref="A2588">IFNA(index(PlayerValues!A:A,match(IFNA(vlookup(B2588,'Special Names'!A:B,2,FALSE),B2588),PlayerValues!E:E,0)),"N/A")</f>
        <v>15256</v>
      </c>
      <c r="B2588" s="4" t="s">
        <v>401</v>
      </c>
      <c r="C2588" s="4" t="s">
        <v>278</v>
      </c>
      <c r="D2588" s="94">
        <v>4416.0</v>
      </c>
    </row>
    <row r="2589">
      <c r="A2589" s="40" t="str">
        <f t="array" ref="A2589">IFNA(index(PlayerValues!A:A,match(IFNA(vlookup(B2589,'Special Names'!A:B,2,FALSE),B2589),PlayerValues!E:E,0)),"N/A")</f>
        <v>N/A</v>
      </c>
      <c r="B2589" s="4" t="s">
        <v>105</v>
      </c>
      <c r="C2589" s="4" t="s">
        <v>325</v>
      </c>
      <c r="D2589" s="94">
        <v>4409.0</v>
      </c>
    </row>
    <row r="2590">
      <c r="A2590" s="40">
        <f t="array" ref="A2590">IFNA(index(PlayerValues!A:A,match(IFNA(vlookup(B2590,'Special Names'!A:B,2,FALSE),B2590),PlayerValues!E:E,0)),"N/A")</f>
        <v>17501</v>
      </c>
      <c r="B2590" s="4" t="s">
        <v>404</v>
      </c>
      <c r="C2590" s="4" t="s">
        <v>287</v>
      </c>
      <c r="D2590" s="94">
        <v>4407.0</v>
      </c>
    </row>
    <row r="2591">
      <c r="A2591" s="40">
        <f t="array" ref="A2591">IFNA(index(PlayerValues!A:A,match(IFNA(vlookup(B2591,'Special Names'!A:B,2,FALSE),B2591),PlayerValues!E:E,0)),"N/A")</f>
        <v>15768</v>
      </c>
      <c r="B2591" s="4" t="s">
        <v>432</v>
      </c>
      <c r="C2591" s="4" t="s">
        <v>287</v>
      </c>
      <c r="D2591" s="94">
        <v>4162.0</v>
      </c>
    </row>
    <row r="2592">
      <c r="A2592" s="40">
        <f t="array" ref="A2592">IFNA(index(PlayerValues!A:A,match(IFNA(vlookup(B2592,'Special Names'!A:B,2,FALSE),B2592),PlayerValues!E:E,0)),"N/A")</f>
        <v>14056</v>
      </c>
      <c r="B2592" s="4" t="s">
        <v>423</v>
      </c>
      <c r="C2592" s="4" t="s">
        <v>283</v>
      </c>
      <c r="D2592" s="94">
        <v>4099.0</v>
      </c>
    </row>
    <row r="2593">
      <c r="A2593" s="40">
        <f t="array" ref="A2593">IFNA(index(PlayerValues!A:A,match(IFNA(vlookup(B2593,'Special Names'!A:B,2,FALSE),B2593),PlayerValues!E:E,0)),"N/A")</f>
        <v>15694</v>
      </c>
      <c r="B2593" s="4" t="s">
        <v>434</v>
      </c>
      <c r="C2593" s="4" t="s">
        <v>283</v>
      </c>
      <c r="D2593" s="94">
        <v>4077.0</v>
      </c>
    </row>
    <row r="2594">
      <c r="A2594" s="40">
        <f t="array" ref="A2594">IFNA(index(PlayerValues!A:A,match(IFNA(vlookup(B2594,'Special Names'!A:B,2,FALSE),B2594),PlayerValues!E:E,0)),"N/A")</f>
        <v>17543</v>
      </c>
      <c r="B2594" s="4" t="s">
        <v>436</v>
      </c>
      <c r="C2594" s="4" t="s">
        <v>298</v>
      </c>
      <c r="D2594" s="94">
        <v>4568.0</v>
      </c>
    </row>
    <row r="2595">
      <c r="A2595" s="40">
        <f t="array" ref="A2595">IFNA(index(PlayerValues!A:A,match(IFNA(vlookup(B2595,'Special Names'!A:B,2,FALSE),B2595),PlayerValues!E:E,0)),"N/A")</f>
        <v>14059</v>
      </c>
      <c r="B2595" s="4" t="s">
        <v>435</v>
      </c>
      <c r="C2595" s="4" t="s">
        <v>283</v>
      </c>
      <c r="D2595" s="94">
        <v>4011.0</v>
      </c>
    </row>
    <row r="2596">
      <c r="A2596" s="40">
        <f t="array" ref="A2596">IFNA(index(PlayerValues!A:A,match(IFNA(vlookup(B2596,'Special Names'!A:B,2,FALSE),B2596),PlayerValues!E:E,0)),"N/A")</f>
        <v>16186</v>
      </c>
      <c r="B2596" s="4" t="s">
        <v>425</v>
      </c>
      <c r="C2596" s="4" t="s">
        <v>287</v>
      </c>
      <c r="D2596" s="94">
        <v>3973.0</v>
      </c>
    </row>
    <row r="2597">
      <c r="A2597" s="40">
        <f t="array" ref="A2597">IFNA(index(PlayerValues!A:A,match(IFNA(vlookup(B2597,'Special Names'!A:B,2,FALSE),B2597),PlayerValues!E:E,0)),"N/A")</f>
        <v>17052</v>
      </c>
      <c r="B2597" s="4" t="s">
        <v>417</v>
      </c>
      <c r="C2597" s="4" t="s">
        <v>278</v>
      </c>
      <c r="D2597" s="94">
        <v>3930.0</v>
      </c>
    </row>
    <row r="2598">
      <c r="A2598" s="40" t="str">
        <f t="array" ref="A2598">IFNA(index(PlayerValues!A:A,match(IFNA(vlookup(B2598,'Special Names'!A:B,2,FALSE),B2598),PlayerValues!E:E,0)),"N/A")</f>
        <v>N/A</v>
      </c>
      <c r="B2598" s="4" t="s">
        <v>95</v>
      </c>
      <c r="C2598" s="4" t="s">
        <v>325</v>
      </c>
      <c r="D2598" s="94">
        <v>3898.0</v>
      </c>
    </row>
    <row r="2599">
      <c r="A2599" s="40" t="str">
        <f t="array" ref="A2599">IFNA(index(PlayerValues!A:A,match(IFNA(vlookup(B2599,'Special Names'!A:B,2,FALSE),B2599),PlayerValues!E:E,0)),"N/A")</f>
        <v>N/A</v>
      </c>
      <c r="B2599" s="4" t="s">
        <v>107</v>
      </c>
      <c r="C2599" s="4" t="s">
        <v>325</v>
      </c>
      <c r="D2599" s="94">
        <v>3883.0</v>
      </c>
    </row>
    <row r="2600">
      <c r="A2600" s="40">
        <f t="array" ref="A2600">IFNA(index(PlayerValues!A:A,match(IFNA(vlookup(B2600,'Special Names'!A:B,2,FALSE),B2600),PlayerValues!E:E,0)),"N/A")</f>
        <v>17099</v>
      </c>
      <c r="B2600" s="4" t="s">
        <v>474</v>
      </c>
      <c r="C2600" s="4" t="s">
        <v>298</v>
      </c>
      <c r="D2600" s="94">
        <v>4362.0</v>
      </c>
    </row>
    <row r="2601">
      <c r="A2601" s="40" t="str">
        <f t="array" ref="A2601">IFNA(index(PlayerValues!A:A,match(IFNA(vlookup(B2601,'Special Names'!A:B,2,FALSE),B2601),PlayerValues!E:E,0)),"N/A")</f>
        <v>N/A</v>
      </c>
      <c r="B2601" s="4" t="s">
        <v>81</v>
      </c>
      <c r="C2601" s="4" t="s">
        <v>325</v>
      </c>
      <c r="D2601" s="94">
        <v>3862.0</v>
      </c>
    </row>
    <row r="2602">
      <c r="A2602" s="40">
        <f t="array" ref="A2602">IFNA(index(PlayerValues!A:A,match(IFNA(vlookup(B2602,'Special Names'!A:B,2,FALSE),B2602),PlayerValues!E:E,0)),"N/A")</f>
        <v>17502</v>
      </c>
      <c r="B2602" s="4" t="s">
        <v>451</v>
      </c>
      <c r="C2602" s="4" t="s">
        <v>287</v>
      </c>
      <c r="D2602" s="94">
        <v>3828.0</v>
      </c>
    </row>
    <row r="2603">
      <c r="A2603" s="40">
        <f t="array" ref="A2603">IFNA(index(PlayerValues!A:A,match(IFNA(vlookup(B2603,'Special Names'!A:B,2,FALSE),B2603),PlayerValues!E:E,0)),"N/A")</f>
        <v>12626</v>
      </c>
      <c r="B2603" s="4" t="s">
        <v>419</v>
      </c>
      <c r="C2603" s="4" t="s">
        <v>278</v>
      </c>
      <c r="D2603" s="94">
        <v>3818.0</v>
      </c>
    </row>
    <row r="2604">
      <c r="A2604" s="40">
        <f t="array" ref="A2604">IFNA(index(PlayerValues!A:A,match(IFNA(vlookup(B2604,'Special Names'!A:B,2,FALSE),B2604),PlayerValues!E:E,0)),"N/A")</f>
        <v>13635</v>
      </c>
      <c r="B2604" s="4" t="s">
        <v>424</v>
      </c>
      <c r="C2604" s="4" t="s">
        <v>287</v>
      </c>
      <c r="D2604" s="94">
        <v>3806.0</v>
      </c>
    </row>
    <row r="2605">
      <c r="A2605" s="40">
        <f t="array" ref="A2605">IFNA(index(PlayerValues!A:A,match(IFNA(vlookup(B2605,'Special Names'!A:B,2,FALSE),B2605),PlayerValues!E:E,0)),"N/A")</f>
        <v>14102</v>
      </c>
      <c r="B2605" s="4" t="s">
        <v>444</v>
      </c>
      <c r="C2605" s="4" t="s">
        <v>287</v>
      </c>
      <c r="D2605" s="94">
        <v>3731.0</v>
      </c>
    </row>
    <row r="2606">
      <c r="A2606" s="40">
        <f t="array" ref="A2606">IFNA(index(PlayerValues!A:A,match(IFNA(vlookup(B2606,'Special Names'!A:B,2,FALSE),B2606),PlayerValues!E:E,0)),"N/A")</f>
        <v>16206</v>
      </c>
      <c r="B2606" s="4" t="s">
        <v>431</v>
      </c>
      <c r="C2606" s="4" t="s">
        <v>287</v>
      </c>
      <c r="D2606" s="94">
        <v>3709.0</v>
      </c>
    </row>
    <row r="2607">
      <c r="A2607" s="40">
        <f t="array" ref="A2607">IFNA(index(PlayerValues!A:A,match(IFNA(vlookup(B2607,'Special Names'!A:B,2,FALSE),B2607),PlayerValues!E:E,0)),"N/A")</f>
        <v>17075</v>
      </c>
      <c r="B2607" s="4" t="s">
        <v>429</v>
      </c>
      <c r="C2607" s="4" t="s">
        <v>287</v>
      </c>
      <c r="D2607" s="94">
        <v>3707.0</v>
      </c>
    </row>
    <row r="2608">
      <c r="A2608" s="40">
        <f t="array" ref="A2608">IFNA(index(PlayerValues!A:A,match(IFNA(vlookup(B2608,'Special Names'!A:B,2,FALSE),B2608),PlayerValues!E:E,0)),"N/A")</f>
        <v>9431</v>
      </c>
      <c r="B2608" s="4" t="s">
        <v>428</v>
      </c>
      <c r="C2608" s="4" t="s">
        <v>283</v>
      </c>
      <c r="D2608" s="94">
        <v>3703.0</v>
      </c>
    </row>
    <row r="2609">
      <c r="A2609" s="40">
        <f t="array" ref="A2609">IFNA(index(PlayerValues!A:A,match(IFNA(vlookup(B2609,'Special Names'!A:B,2,FALSE),B2609),PlayerValues!E:E,0)),"N/A")</f>
        <v>17463</v>
      </c>
      <c r="B2609" s="4" t="s">
        <v>433</v>
      </c>
      <c r="C2609" s="4" t="s">
        <v>283</v>
      </c>
      <c r="D2609" s="94">
        <v>3690.0</v>
      </c>
    </row>
    <row r="2610">
      <c r="A2610" s="40">
        <f t="array" ref="A2610">IFNA(index(PlayerValues!A:A,match(IFNA(vlookup(B2610,'Special Names'!A:B,2,FALSE),B2610),PlayerValues!E:E,0)),"N/A")</f>
        <v>15789</v>
      </c>
      <c r="B2610" s="4" t="s">
        <v>421</v>
      </c>
      <c r="C2610" s="4" t="s">
        <v>287</v>
      </c>
      <c r="D2610" s="94">
        <v>3667.0</v>
      </c>
    </row>
    <row r="2611">
      <c r="A2611" s="40">
        <f t="array" ref="A2611">IFNA(index(PlayerValues!A:A,match(IFNA(vlookup(B2611,'Special Names'!A:B,2,FALSE),B2611),PlayerValues!E:E,0)),"N/A")</f>
        <v>17068</v>
      </c>
      <c r="B2611" s="4" t="s">
        <v>450</v>
      </c>
      <c r="C2611" s="4" t="s">
        <v>278</v>
      </c>
      <c r="D2611" s="94">
        <v>3649.0</v>
      </c>
    </row>
    <row r="2612">
      <c r="A2612" s="40">
        <f t="array" ref="A2612">IFNA(index(PlayerValues!A:A,match(IFNA(vlookup(B2612,'Special Names'!A:B,2,FALSE),B2612),PlayerValues!E:E,0)),"N/A")</f>
        <v>15757</v>
      </c>
      <c r="B2612" s="4" t="s">
        <v>449</v>
      </c>
      <c r="C2612" s="4" t="s">
        <v>287</v>
      </c>
      <c r="D2612" s="94">
        <v>3582.0</v>
      </c>
    </row>
    <row r="2613">
      <c r="A2613" s="40">
        <f t="array" ref="A2613">IFNA(index(PlayerValues!A:A,match(IFNA(vlookup(B2613,'Special Names'!A:B,2,FALSE),B2613),PlayerValues!E:E,0)),"N/A")</f>
        <v>17066</v>
      </c>
      <c r="B2613" s="4" t="s">
        <v>446</v>
      </c>
      <c r="C2613" s="4" t="s">
        <v>278</v>
      </c>
      <c r="D2613" s="94">
        <v>3570.0</v>
      </c>
    </row>
    <row r="2614">
      <c r="A2614" s="40">
        <f t="array" ref="A2614">IFNA(index(PlayerValues!A:A,match(IFNA(vlookup(B2614,'Special Names'!A:B,2,FALSE),B2614),PlayerValues!E:E,0)),"N/A")</f>
        <v>16622</v>
      </c>
      <c r="B2614" s="4" t="s">
        <v>517</v>
      </c>
      <c r="C2614" s="4" t="s">
        <v>287</v>
      </c>
      <c r="D2614" s="94">
        <v>3550.0</v>
      </c>
    </row>
    <row r="2615">
      <c r="A2615" s="40">
        <f t="array" ref="A2615">IFNA(index(PlayerValues!A:A,match(IFNA(vlookup(B2615,'Special Names'!A:B,2,FALSE),B2615),PlayerValues!E:E,0)),"N/A")</f>
        <v>14797</v>
      </c>
      <c r="B2615" s="4" t="s">
        <v>420</v>
      </c>
      <c r="C2615" s="4" t="s">
        <v>278</v>
      </c>
      <c r="D2615" s="94">
        <v>3547.0</v>
      </c>
    </row>
    <row r="2616">
      <c r="A2616" s="40">
        <f t="array" ref="A2616">IFNA(index(PlayerValues!A:A,match(IFNA(vlookup(B2616,'Special Names'!A:B,2,FALSE),B2616),PlayerValues!E:E,0)),"N/A")</f>
        <v>17083</v>
      </c>
      <c r="B2616" s="4" t="s">
        <v>479</v>
      </c>
      <c r="C2616" s="4" t="s">
        <v>287</v>
      </c>
      <c r="D2616" s="94">
        <v>3507.0</v>
      </c>
    </row>
    <row r="2617">
      <c r="A2617" s="40">
        <f t="array" ref="A2617">IFNA(index(PlayerValues!A:A,match(IFNA(vlookup(B2617,'Special Names'!A:B,2,FALSE),B2617),PlayerValues!E:E,0)),"N/A")</f>
        <v>16192</v>
      </c>
      <c r="B2617" s="4" t="s">
        <v>412</v>
      </c>
      <c r="C2617" s="4" t="s">
        <v>287</v>
      </c>
      <c r="D2617" s="94">
        <v>3483.0</v>
      </c>
    </row>
    <row r="2618">
      <c r="A2618" s="40">
        <f t="array" ref="A2618">IFNA(index(PlayerValues!A:A,match(IFNA(vlookup(B2618,'Special Names'!A:B,2,FALSE),B2618),PlayerValues!E:E,0)),"N/A")</f>
        <v>14109</v>
      </c>
      <c r="B2618" s="4" t="s">
        <v>437</v>
      </c>
      <c r="C2618" s="4" t="s">
        <v>287</v>
      </c>
      <c r="D2618" s="94">
        <v>3463.0</v>
      </c>
    </row>
    <row r="2619">
      <c r="A2619" s="40">
        <f t="array" ref="A2619">IFNA(index(PlayerValues!A:A,match(IFNA(vlookup(B2619,'Special Names'!A:B,2,FALSE),B2619),PlayerValues!E:E,0)),"N/A")</f>
        <v>16187</v>
      </c>
      <c r="B2619" s="4" t="s">
        <v>441</v>
      </c>
      <c r="C2619" s="4" t="s">
        <v>287</v>
      </c>
      <c r="D2619" s="94">
        <v>3458.0</v>
      </c>
    </row>
    <row r="2620">
      <c r="A2620" s="40">
        <f t="array" ref="A2620">IFNA(index(PlayerValues!A:A,match(IFNA(vlookup(B2620,'Special Names'!A:B,2,FALSE),B2620),PlayerValues!E:E,0)),"N/A")</f>
        <v>11675</v>
      </c>
      <c r="B2620" s="4" t="s">
        <v>438</v>
      </c>
      <c r="C2620" s="4" t="s">
        <v>287</v>
      </c>
      <c r="D2620" s="94">
        <v>3425.0</v>
      </c>
    </row>
    <row r="2621">
      <c r="A2621" s="40">
        <f t="array" ref="A2621">IFNA(index(PlayerValues!A:A,match(IFNA(vlookup(B2621,'Special Names'!A:B,2,FALSE),B2621),PlayerValues!E:E,0)),"N/A")</f>
        <v>17544</v>
      </c>
      <c r="B2621" s="4" t="s">
        <v>470</v>
      </c>
      <c r="C2621" s="4" t="s">
        <v>298</v>
      </c>
      <c r="D2621" s="94">
        <v>3876.0</v>
      </c>
    </row>
    <row r="2622">
      <c r="A2622" s="40">
        <f t="array" ref="A2622">IFNA(index(PlayerValues!A:A,match(IFNA(vlookup(B2622,'Special Names'!A:B,2,FALSE),B2622),PlayerValues!E:E,0)),"N/A")</f>
        <v>17500</v>
      </c>
      <c r="B2622" s="4" t="s">
        <v>430</v>
      </c>
      <c r="C2622" s="4" t="s">
        <v>287</v>
      </c>
      <c r="D2622" s="94">
        <v>3415.0</v>
      </c>
    </row>
    <row r="2623">
      <c r="A2623" s="40">
        <f t="array" ref="A2623">IFNA(index(PlayerValues!A:A,match(IFNA(vlookup(B2623,'Special Names'!A:B,2,FALSE),B2623),PlayerValues!E:E,0)),"N/A")</f>
        <v>16188</v>
      </c>
      <c r="B2623" s="4" t="s">
        <v>439</v>
      </c>
      <c r="C2623" s="4" t="s">
        <v>287</v>
      </c>
      <c r="D2623" s="94">
        <v>3392.0</v>
      </c>
    </row>
    <row r="2624">
      <c r="A2624" s="40" t="str">
        <f t="array" ref="A2624">IFNA(index(PlayerValues!A:A,match(IFNA(vlookup(B2624,'Special Names'!A:B,2,FALSE),B2624),PlayerValues!E:E,0)),"N/A")</f>
        <v>N/A</v>
      </c>
      <c r="B2624" s="4" t="s">
        <v>96</v>
      </c>
      <c r="C2624" s="4" t="s">
        <v>325</v>
      </c>
      <c r="D2624" s="94">
        <v>3392.0</v>
      </c>
    </row>
    <row r="2625">
      <c r="A2625" s="40">
        <f t="array" ref="A2625">IFNA(index(PlayerValues!A:A,match(IFNA(vlookup(B2625,'Special Names'!A:B,2,FALSE),B2625),PlayerValues!E:E,0)),"N/A")</f>
        <v>16620</v>
      </c>
      <c r="B2625" s="4" t="s">
        <v>467</v>
      </c>
      <c r="C2625" s="4" t="s">
        <v>287</v>
      </c>
      <c r="D2625" s="94">
        <v>3379.0</v>
      </c>
    </row>
    <row r="2626">
      <c r="A2626" s="40">
        <f t="array" ref="A2626">IFNA(index(PlayerValues!A:A,match(IFNA(vlookup(B2626,'Special Names'!A:B,2,FALSE),B2626),PlayerValues!E:E,0)),"N/A")</f>
        <v>14071</v>
      </c>
      <c r="B2626" s="4" t="s">
        <v>440</v>
      </c>
      <c r="C2626" s="4" t="s">
        <v>278</v>
      </c>
      <c r="D2626" s="94">
        <v>3375.0</v>
      </c>
    </row>
    <row r="2627">
      <c r="A2627" s="40">
        <f t="array" ref="A2627">IFNA(index(PlayerValues!A:A,match(IFNA(vlookup(B2627,'Special Names'!A:B,2,FALSE),B2627),PlayerValues!E:E,0)),"N/A")</f>
        <v>14842</v>
      </c>
      <c r="B2627" s="4" t="s">
        <v>456</v>
      </c>
      <c r="C2627" s="4" t="s">
        <v>287</v>
      </c>
      <c r="D2627" s="94">
        <v>3362.0</v>
      </c>
    </row>
    <row r="2628">
      <c r="A2628" s="40">
        <f t="array" ref="A2628">IFNA(index(PlayerValues!A:A,match(IFNA(vlookup(B2628,'Special Names'!A:B,2,FALSE),B2628),PlayerValues!E:E,0)),"N/A")</f>
        <v>16169</v>
      </c>
      <c r="B2628" s="4" t="s">
        <v>457</v>
      </c>
      <c r="C2628" s="4" t="s">
        <v>278</v>
      </c>
      <c r="D2628" s="94">
        <v>3361.0</v>
      </c>
    </row>
    <row r="2629">
      <c r="A2629" s="40">
        <f t="array" ref="A2629">IFNA(index(PlayerValues!A:A,match(IFNA(vlookup(B2629,'Special Names'!A:B,2,FALSE),B2629),PlayerValues!E:E,0)),"N/A")</f>
        <v>15798</v>
      </c>
      <c r="B2629" s="4" t="s">
        <v>443</v>
      </c>
      <c r="C2629" s="4" t="s">
        <v>298</v>
      </c>
      <c r="D2629" s="94">
        <v>3808.0</v>
      </c>
    </row>
    <row r="2630">
      <c r="A2630" s="40">
        <f t="array" ref="A2630">IFNA(index(PlayerValues!A:A,match(IFNA(vlookup(B2630,'Special Names'!A:B,2,FALSE),B2630),PlayerValues!E:E,0)),"N/A")</f>
        <v>15779</v>
      </c>
      <c r="B2630" s="4" t="s">
        <v>461</v>
      </c>
      <c r="C2630" s="4" t="s">
        <v>287</v>
      </c>
      <c r="D2630" s="94">
        <v>3342.0</v>
      </c>
    </row>
    <row r="2631">
      <c r="A2631" s="40">
        <f t="array" ref="A2631">IFNA(index(PlayerValues!A:A,match(IFNA(vlookup(B2631,'Special Names'!A:B,2,FALSE),B2631),PlayerValues!E:E,0)),"N/A")</f>
        <v>15261</v>
      </c>
      <c r="B2631" s="4" t="s">
        <v>466</v>
      </c>
      <c r="C2631" s="4" t="s">
        <v>278</v>
      </c>
      <c r="D2631" s="94">
        <v>3341.0</v>
      </c>
    </row>
    <row r="2632">
      <c r="A2632" s="40">
        <f t="array" ref="A2632">IFNA(index(PlayerValues!A:A,match(IFNA(vlookup(B2632,'Special Names'!A:B,2,FALSE),B2632),PlayerValues!E:E,0)),"N/A")</f>
        <v>16184</v>
      </c>
      <c r="B2632" s="4" t="s">
        <v>445</v>
      </c>
      <c r="C2632" s="4" t="s">
        <v>287</v>
      </c>
      <c r="D2632" s="94">
        <v>3333.0</v>
      </c>
    </row>
    <row r="2633">
      <c r="A2633" s="40">
        <f t="array" ref="A2633">IFNA(index(PlayerValues!A:A,match(IFNA(vlookup(B2633,'Special Names'!A:B,2,FALSE),B2633),PlayerValues!E:E,0)),"N/A")</f>
        <v>13299</v>
      </c>
      <c r="B2633" s="4" t="s">
        <v>448</v>
      </c>
      <c r="C2633" s="4" t="s">
        <v>298</v>
      </c>
      <c r="D2633" s="94">
        <v>3768.0</v>
      </c>
    </row>
    <row r="2634">
      <c r="A2634" s="40">
        <f t="array" ref="A2634">IFNA(index(PlayerValues!A:A,match(IFNA(vlookup(B2634,'Special Names'!A:B,2,FALSE),B2634),PlayerValues!E:E,0)),"N/A")</f>
        <v>17074</v>
      </c>
      <c r="B2634" s="4" t="s">
        <v>475</v>
      </c>
      <c r="C2634" s="4" t="s">
        <v>287</v>
      </c>
      <c r="D2634" s="94">
        <v>3312.0</v>
      </c>
    </row>
    <row r="2635">
      <c r="A2635" s="40">
        <f t="array" ref="A2635">IFNA(index(PlayerValues!A:A,match(IFNA(vlookup(B2635,'Special Names'!A:B,2,FALSE),B2635),PlayerValues!E:E,0)),"N/A")</f>
        <v>15799</v>
      </c>
      <c r="B2635" s="4" t="s">
        <v>468</v>
      </c>
      <c r="C2635" s="4" t="s">
        <v>298</v>
      </c>
      <c r="D2635" s="94">
        <v>3740.0</v>
      </c>
    </row>
    <row r="2636">
      <c r="A2636" s="40">
        <f t="array" ref="A2636">IFNA(index(PlayerValues!A:A,match(IFNA(vlookup(B2636,'Special Names'!A:B,2,FALSE),B2636),PlayerValues!E:E,0)),"N/A")</f>
        <v>11671</v>
      </c>
      <c r="B2636" s="4" t="s">
        <v>463</v>
      </c>
      <c r="C2636" s="4" t="s">
        <v>287</v>
      </c>
      <c r="D2636" s="94">
        <v>3277.0</v>
      </c>
    </row>
    <row r="2637">
      <c r="A2637" s="40" t="str">
        <f t="array" ref="A2637">IFNA(index(PlayerValues!A:A,match(IFNA(vlookup(B2637,'Special Names'!A:B,2,FALSE),B2637),PlayerValues!E:E,0)),"N/A")</f>
        <v>N/A</v>
      </c>
      <c r="B2637" s="4" t="s">
        <v>82</v>
      </c>
      <c r="C2637" s="4" t="s">
        <v>325</v>
      </c>
      <c r="D2637" s="94">
        <v>3259.0</v>
      </c>
    </row>
    <row r="2638">
      <c r="A2638" s="40">
        <f t="array" ref="A2638">IFNA(index(PlayerValues!A:A,match(IFNA(vlookup(B2638,'Special Names'!A:B,2,FALSE),B2638),PlayerValues!E:E,0)),"N/A")</f>
        <v>14127</v>
      </c>
      <c r="B2638" s="4" t="s">
        <v>486</v>
      </c>
      <c r="C2638" s="4" t="s">
        <v>287</v>
      </c>
      <c r="D2638" s="94">
        <v>3243.0</v>
      </c>
    </row>
    <row r="2639">
      <c r="A2639" s="40">
        <f t="array" ref="A2639">IFNA(index(PlayerValues!A:A,match(IFNA(vlookup(B2639,'Special Names'!A:B,2,FALSE),B2639),PlayerValues!E:E,0)),"N/A")</f>
        <v>13630</v>
      </c>
      <c r="B2639" s="4" t="s">
        <v>465</v>
      </c>
      <c r="C2639" s="4" t="s">
        <v>287</v>
      </c>
      <c r="D2639" s="94">
        <v>3238.0</v>
      </c>
    </row>
    <row r="2640">
      <c r="A2640" s="40">
        <f t="array" ref="A2640">IFNA(index(PlayerValues!A:A,match(IFNA(vlookup(B2640,'Special Names'!A:B,2,FALSE),B2640),PlayerValues!E:E,0)),"N/A")</f>
        <v>16213</v>
      </c>
      <c r="B2640" s="4" t="s">
        <v>458</v>
      </c>
      <c r="C2640" s="4" t="s">
        <v>298</v>
      </c>
      <c r="D2640" s="94">
        <v>3665.0</v>
      </c>
    </row>
    <row r="2641">
      <c r="A2641" s="40" t="str">
        <f t="array" ref="A2641">IFNA(index(PlayerValues!A:A,match(IFNA(vlookup(B2641,'Special Names'!A:B,2,FALSE),B2641),PlayerValues!E:E,0)),"N/A")</f>
        <v>N/A</v>
      </c>
      <c r="B2641" s="4" t="s">
        <v>97</v>
      </c>
      <c r="C2641" s="4" t="s">
        <v>325</v>
      </c>
      <c r="D2641" s="94">
        <v>3207.0</v>
      </c>
    </row>
    <row r="2642">
      <c r="A2642" s="40">
        <f t="array" ref="A2642">IFNA(index(PlayerValues!A:A,match(IFNA(vlookup(B2642,'Special Names'!A:B,2,FALSE),B2642),PlayerValues!E:E,0)),"N/A")</f>
        <v>16593</v>
      </c>
      <c r="B2642" s="4" t="s">
        <v>442</v>
      </c>
      <c r="C2642" s="4" t="s">
        <v>278</v>
      </c>
      <c r="D2642" s="94">
        <v>3186.0</v>
      </c>
    </row>
    <row r="2643">
      <c r="A2643" s="40">
        <f t="array" ref="A2643">IFNA(index(PlayerValues!A:A,match(IFNA(vlookup(B2643,'Special Names'!A:B,2,FALSE),B2643),PlayerValues!E:E,0)),"N/A")</f>
        <v>14823</v>
      </c>
      <c r="B2643" s="4" t="s">
        <v>459</v>
      </c>
      <c r="C2643" s="4" t="s">
        <v>278</v>
      </c>
      <c r="D2643" s="94">
        <v>3183.0</v>
      </c>
    </row>
    <row r="2644">
      <c r="A2644" s="40">
        <f t="array" ref="A2644">IFNA(index(PlayerValues!A:A,match(IFNA(vlookup(B2644,'Special Names'!A:B,2,FALSE),B2644),PlayerValues!E:E,0)),"N/A")</f>
        <v>16583</v>
      </c>
      <c r="B2644" s="4" t="s">
        <v>493</v>
      </c>
      <c r="C2644" s="4" t="s">
        <v>283</v>
      </c>
      <c r="D2644" s="94">
        <v>3143.0</v>
      </c>
    </row>
    <row r="2645">
      <c r="A2645" s="40">
        <f t="array" ref="A2645">IFNA(index(PlayerValues!A:A,match(IFNA(vlookup(B2645,'Special Names'!A:B,2,FALSE),B2645),PlayerValues!E:E,0)),"N/A")</f>
        <v>15742</v>
      </c>
      <c r="B2645" s="4" t="s">
        <v>447</v>
      </c>
      <c r="C2645" s="4" t="s">
        <v>278</v>
      </c>
      <c r="D2645" s="94">
        <v>3130.0</v>
      </c>
    </row>
    <row r="2646">
      <c r="A2646" s="40">
        <f t="array" ref="A2646">IFNA(index(PlayerValues!A:A,match(IFNA(vlookup(B2646,'Special Names'!A:B,2,FALSE),B2646),PlayerValues!E:E,0)),"N/A")</f>
        <v>14800</v>
      </c>
      <c r="B2646" s="4" t="s">
        <v>472</v>
      </c>
      <c r="C2646" s="4" t="s">
        <v>278</v>
      </c>
      <c r="D2646" s="94">
        <v>3129.0</v>
      </c>
    </row>
    <row r="2647">
      <c r="A2647" s="40" t="str">
        <f t="array" ref="A2647">IFNA(index(PlayerValues!A:A,match(IFNA(vlookup(B2647,'Special Names'!A:B,2,FALSE),B2647),PlayerValues!E:E,0)),"N/A")</f>
        <v>N/A</v>
      </c>
      <c r="B2647" s="4" t="s">
        <v>108</v>
      </c>
      <c r="C2647" s="4" t="s">
        <v>325</v>
      </c>
      <c r="D2647" s="94">
        <v>3108.0</v>
      </c>
    </row>
    <row r="2648">
      <c r="A2648" s="40">
        <f t="array" ref="A2648">IFNA(index(PlayerValues!A:A,match(IFNA(vlookup(B2648,'Special Names'!A:B,2,FALSE),B2648),PlayerValues!E:E,0)),"N/A")</f>
        <v>16809</v>
      </c>
      <c r="B2648" s="4" t="s">
        <v>455</v>
      </c>
      <c r="C2648" s="4" t="s">
        <v>287</v>
      </c>
      <c r="D2648" s="94">
        <v>3039.0</v>
      </c>
    </row>
    <row r="2649">
      <c r="A2649" s="40">
        <f t="array" ref="A2649">IFNA(index(PlayerValues!A:A,match(IFNA(vlookup(B2649,'Special Names'!A:B,2,FALSE),B2649),PlayerValues!E:E,0)),"N/A")</f>
        <v>16597</v>
      </c>
      <c r="B2649" s="4" t="s">
        <v>427</v>
      </c>
      <c r="C2649" s="4" t="s">
        <v>278</v>
      </c>
      <c r="D2649" s="94">
        <v>3038.0</v>
      </c>
    </row>
    <row r="2650">
      <c r="A2650" s="40">
        <f t="array" ref="A2650">IFNA(index(PlayerValues!A:A,match(IFNA(vlookup(B2650,'Special Names'!A:B,2,FALSE),B2650),PlayerValues!E:E,0)),"N/A")</f>
        <v>16080</v>
      </c>
      <c r="B2650" s="4" t="s">
        <v>499</v>
      </c>
      <c r="C2650" s="4" t="s">
        <v>287</v>
      </c>
      <c r="D2650" s="94">
        <v>3036.0</v>
      </c>
    </row>
    <row r="2651">
      <c r="A2651" s="40" t="str">
        <f t="array" ref="A2651">IFNA(index(PlayerValues!A:A,match(IFNA(vlookup(B2651,'Special Names'!A:B,2,FALSE),B2651),PlayerValues!E:E,0)),"N/A")</f>
        <v>N/A</v>
      </c>
      <c r="B2651" s="4" t="s">
        <v>84</v>
      </c>
      <c r="C2651" s="4" t="s">
        <v>325</v>
      </c>
      <c r="D2651" s="94">
        <v>3033.0</v>
      </c>
    </row>
    <row r="2652">
      <c r="A2652" s="40">
        <f t="array" ref="A2652">IFNA(index(PlayerValues!A:A,match(IFNA(vlookup(B2652,'Special Names'!A:B,2,FALSE),B2652),PlayerValues!E:E,0)),"N/A")</f>
        <v>16269</v>
      </c>
      <c r="B2652" s="4" t="s">
        <v>481</v>
      </c>
      <c r="C2652" s="4" t="s">
        <v>298</v>
      </c>
      <c r="D2652" s="94">
        <v>3441.0</v>
      </c>
    </row>
    <row r="2653">
      <c r="A2653" s="40">
        <f t="array" ref="A2653">IFNA(index(PlayerValues!A:A,match(IFNA(vlookup(B2653,'Special Names'!A:B,2,FALSE),B2653),PlayerValues!E:E,0)),"N/A")</f>
        <v>15761</v>
      </c>
      <c r="B2653" s="4" t="s">
        <v>491</v>
      </c>
      <c r="C2653" s="4" t="s">
        <v>287</v>
      </c>
      <c r="D2653" s="94">
        <v>3008.0</v>
      </c>
    </row>
    <row r="2654">
      <c r="A2654" s="40">
        <f t="array" ref="A2654">IFNA(index(PlayerValues!A:A,match(IFNA(vlookup(B2654,'Special Names'!A:B,2,FALSE),B2654),PlayerValues!E:E,0)),"N/A")</f>
        <v>16628</v>
      </c>
      <c r="B2654" s="4" t="s">
        <v>490</v>
      </c>
      <c r="C2654" s="4" t="s">
        <v>287</v>
      </c>
      <c r="D2654" s="94">
        <v>2998.0</v>
      </c>
    </row>
    <row r="2655">
      <c r="A2655" s="40">
        <f t="array" ref="A2655">IFNA(index(PlayerValues!A:A,match(IFNA(vlookup(B2655,'Special Names'!A:B,2,FALSE),B2655),PlayerValues!E:E,0)),"N/A")</f>
        <v>16584</v>
      </c>
      <c r="B2655" s="4" t="s">
        <v>569</v>
      </c>
      <c r="C2655" s="4" t="s">
        <v>283</v>
      </c>
      <c r="D2655" s="94">
        <v>2949.0</v>
      </c>
    </row>
    <row r="2656">
      <c r="A2656" s="40">
        <f t="array" ref="A2656">IFNA(index(PlayerValues!A:A,match(IFNA(vlookup(B2656,'Special Names'!A:B,2,FALSE),B2656),PlayerValues!E:E,0)),"N/A")</f>
        <v>17053</v>
      </c>
      <c r="B2656" s="4" t="s">
        <v>484</v>
      </c>
      <c r="C2656" s="4" t="s">
        <v>278</v>
      </c>
      <c r="D2656" s="94">
        <v>2944.0</v>
      </c>
    </row>
    <row r="2657">
      <c r="A2657" s="40">
        <f t="array" ref="A2657">IFNA(index(PlayerValues!A:A,match(IFNA(vlookup(B2657,'Special Names'!A:B,2,FALSE),B2657),PlayerValues!E:E,0)),"N/A")</f>
        <v>13163</v>
      </c>
      <c r="B2657" s="4" t="s">
        <v>473</v>
      </c>
      <c r="C2657" s="4" t="s">
        <v>287</v>
      </c>
      <c r="D2657" s="94">
        <v>2925.0</v>
      </c>
    </row>
    <row r="2658">
      <c r="A2658" s="40">
        <f t="array" ref="A2658">IFNA(index(PlayerValues!A:A,match(IFNA(vlookup(B2658,'Special Names'!A:B,2,FALSE),B2658),PlayerValues!E:E,0)),"N/A")</f>
        <v>15259</v>
      </c>
      <c r="B2658" s="4" t="s">
        <v>453</v>
      </c>
      <c r="C2658" s="4" t="s">
        <v>278</v>
      </c>
      <c r="D2658" s="94">
        <v>2924.0</v>
      </c>
    </row>
    <row r="2659">
      <c r="A2659" s="40" t="str">
        <f t="array" ref="A2659">IFNA(index(PlayerValues!A:A,match(IFNA(vlookup(B2659,'Special Names'!A:B,2,FALSE),B2659),PlayerValues!E:E,0)),"N/A")</f>
        <v>N/A</v>
      </c>
      <c r="B2659" s="4" t="s">
        <v>109</v>
      </c>
      <c r="C2659" s="4" t="s">
        <v>325</v>
      </c>
      <c r="D2659" s="94">
        <v>2915.0</v>
      </c>
    </row>
    <row r="2660">
      <c r="A2660" s="40">
        <f t="array" ref="A2660">IFNA(index(PlayerValues!A:A,match(IFNA(vlookup(B2660,'Special Names'!A:B,2,FALSE),B2660),PlayerValues!E:E,0)),"N/A")</f>
        <v>17256</v>
      </c>
      <c r="B2660" s="4" t="s">
        <v>462</v>
      </c>
      <c r="C2660" s="4" t="s">
        <v>278</v>
      </c>
      <c r="D2660" s="94">
        <v>2899.0</v>
      </c>
    </row>
    <row r="2661">
      <c r="A2661" s="40">
        <f t="array" ref="A2661">IFNA(index(PlayerValues!A:A,match(IFNA(vlookup(B2661,'Special Names'!A:B,2,FALSE),B2661),PlayerValues!E:E,0)),"N/A")</f>
        <v>17477</v>
      </c>
      <c r="B2661" s="4" t="s">
        <v>452</v>
      </c>
      <c r="C2661" s="4" t="s">
        <v>278</v>
      </c>
      <c r="D2661" s="94">
        <v>2887.0</v>
      </c>
    </row>
    <row r="2662">
      <c r="A2662" s="40">
        <f t="array" ref="A2662">IFNA(index(PlayerValues!A:A,match(IFNA(vlookup(B2662,'Special Names'!A:B,2,FALSE),B2662),PlayerValues!E:E,0)),"N/A")</f>
        <v>16723</v>
      </c>
      <c r="B2662" s="4" t="s">
        <v>502</v>
      </c>
      <c r="C2662" s="4" t="s">
        <v>298</v>
      </c>
      <c r="D2662" s="94">
        <v>3301.0</v>
      </c>
    </row>
    <row r="2663">
      <c r="A2663" s="40">
        <f t="array" ref="A2663">IFNA(index(PlayerValues!A:A,match(IFNA(vlookup(B2663,'Special Names'!A:B,2,FALSE),B2663),PlayerValues!E:E,0)),"N/A")</f>
        <v>17506</v>
      </c>
      <c r="B2663" s="4" t="s">
        <v>471</v>
      </c>
      <c r="C2663" s="4" t="s">
        <v>287</v>
      </c>
      <c r="D2663" s="94">
        <v>2875.0</v>
      </c>
    </row>
    <row r="2664">
      <c r="A2664" s="40">
        <f t="array" ref="A2664">IFNA(index(PlayerValues!A:A,match(IFNA(vlookup(B2664,'Special Names'!A:B,2,FALSE),B2664),PlayerValues!E:E,0)),"N/A")</f>
        <v>17476</v>
      </c>
      <c r="B2664" s="4" t="s">
        <v>494</v>
      </c>
      <c r="C2664" s="4" t="s">
        <v>278</v>
      </c>
      <c r="D2664" s="94">
        <v>2852.0</v>
      </c>
    </row>
    <row r="2665">
      <c r="A2665" s="40">
        <f t="array" ref="A2665">IFNA(index(PlayerValues!A:A,match(IFNA(vlookup(B2665,'Special Names'!A:B,2,FALSE),B2665),PlayerValues!E:E,0)),"N/A")</f>
        <v>15255</v>
      </c>
      <c r="B2665" s="4" t="s">
        <v>477</v>
      </c>
      <c r="C2665" s="4" t="s">
        <v>278</v>
      </c>
      <c r="D2665" s="94">
        <v>2852.0</v>
      </c>
    </row>
    <row r="2666">
      <c r="A2666" s="40">
        <f t="array" ref="A2666">IFNA(index(PlayerValues!A:A,match(IFNA(vlookup(B2666,'Special Names'!A:B,2,FALSE),B2666),PlayerValues!E:E,0)),"N/A")</f>
        <v>14138</v>
      </c>
      <c r="B2666" s="4" t="s">
        <v>531</v>
      </c>
      <c r="C2666" s="4" t="s">
        <v>298</v>
      </c>
      <c r="D2666" s="94">
        <v>3253.0</v>
      </c>
    </row>
    <row r="2667">
      <c r="A2667" s="40">
        <f t="array" ref="A2667">IFNA(index(PlayerValues!A:A,match(IFNA(vlookup(B2667,'Special Names'!A:B,2,FALSE),B2667),PlayerValues!E:E,0)),"N/A")</f>
        <v>17031</v>
      </c>
      <c r="B2667" s="4" t="s">
        <v>535</v>
      </c>
      <c r="C2667" s="4" t="s">
        <v>283</v>
      </c>
      <c r="D2667" s="94">
        <v>2825.0</v>
      </c>
    </row>
    <row r="2668">
      <c r="A2668" s="40">
        <f t="array" ref="A2668">IFNA(index(PlayerValues!A:A,match(IFNA(vlookup(B2668,'Special Names'!A:B,2,FALSE),B2668),PlayerValues!E:E,0)),"N/A")</f>
        <v>15712</v>
      </c>
      <c r="B2668" s="4" t="s">
        <v>488</v>
      </c>
      <c r="C2668" s="4" t="s">
        <v>278</v>
      </c>
      <c r="D2668" s="94">
        <v>2820.0</v>
      </c>
    </row>
    <row r="2669">
      <c r="A2669" s="40">
        <f t="array" ref="A2669">IFNA(index(PlayerValues!A:A,match(IFNA(vlookup(B2669,'Special Names'!A:B,2,FALSE),B2669),PlayerValues!E:E,0)),"N/A")</f>
        <v>13671</v>
      </c>
      <c r="B2669" s="4" t="s">
        <v>506</v>
      </c>
      <c r="C2669" s="4" t="s">
        <v>298</v>
      </c>
      <c r="D2669" s="94">
        <v>3230.0</v>
      </c>
    </row>
    <row r="2670">
      <c r="A2670" s="40">
        <f t="array" ref="A2670">IFNA(index(PlayerValues!A:A,match(IFNA(vlookup(B2670,'Special Names'!A:B,2,FALSE),B2670),PlayerValues!E:E,0)),"N/A")</f>
        <v>15889</v>
      </c>
      <c r="B2670" s="4" t="s">
        <v>503</v>
      </c>
      <c r="C2670" s="4" t="s">
        <v>298</v>
      </c>
      <c r="D2670" s="94">
        <v>3212.0</v>
      </c>
    </row>
    <row r="2671">
      <c r="A2671" s="40">
        <f t="array" ref="A2671">IFNA(index(PlayerValues!A:A,match(IFNA(vlookup(B2671,'Special Names'!A:B,2,FALSE),B2671),PlayerValues!E:E,0)),"N/A")</f>
        <v>17072</v>
      </c>
      <c r="B2671" s="4" t="s">
        <v>508</v>
      </c>
      <c r="C2671" s="4" t="s">
        <v>287</v>
      </c>
      <c r="D2671" s="94">
        <v>2781.0</v>
      </c>
    </row>
    <row r="2672">
      <c r="A2672" s="40">
        <f t="array" ref="A2672">IFNA(index(PlayerValues!A:A,match(IFNA(vlookup(B2672,'Special Names'!A:B,2,FALSE),B2672),PlayerValues!E:E,0)),"N/A")</f>
        <v>17157</v>
      </c>
      <c r="B2672" s="4" t="s">
        <v>524</v>
      </c>
      <c r="C2672" s="4" t="s">
        <v>287</v>
      </c>
      <c r="D2672" s="94">
        <v>2781.0</v>
      </c>
    </row>
    <row r="2673">
      <c r="A2673" s="40">
        <f t="array" ref="A2673">IFNA(index(PlayerValues!A:A,match(IFNA(vlookup(B2673,'Special Names'!A:B,2,FALSE),B2673),PlayerValues!E:E,0)),"N/A")</f>
        <v>14085</v>
      </c>
      <c r="B2673" s="4" t="s">
        <v>489</v>
      </c>
      <c r="C2673" s="4" t="s">
        <v>278</v>
      </c>
      <c r="D2673" s="94">
        <v>2770.0</v>
      </c>
    </row>
    <row r="2674">
      <c r="A2674" s="40" t="str">
        <f t="array" ref="A2674">IFNA(index(PlayerValues!A:A,match(IFNA(vlookup(B2674,'Special Names'!A:B,2,FALSE),B2674),PlayerValues!E:E,0)),"N/A")</f>
        <v>N/A</v>
      </c>
      <c r="B2674" s="4" t="s">
        <v>110</v>
      </c>
      <c r="C2674" s="4" t="s">
        <v>325</v>
      </c>
      <c r="D2674" s="94">
        <v>2768.0</v>
      </c>
    </row>
    <row r="2675">
      <c r="A2675" s="40">
        <f t="array" ref="A2675">IFNA(index(PlayerValues!A:A,match(IFNA(vlookup(B2675,'Special Names'!A:B,2,FALSE),B2675),PlayerValues!E:E,0)),"N/A")</f>
        <v>15241</v>
      </c>
      <c r="B2675" s="4" t="s">
        <v>546</v>
      </c>
      <c r="C2675" s="4" t="s">
        <v>283</v>
      </c>
      <c r="D2675" s="94">
        <v>2767.0</v>
      </c>
    </row>
    <row r="2676">
      <c r="A2676" s="40">
        <f t="array" ref="A2676">IFNA(index(PlayerValues!A:A,match(IFNA(vlookup(B2676,'Special Names'!A:B,2,FALSE),B2676),PlayerValues!E:E,0)),"N/A")</f>
        <v>16193</v>
      </c>
      <c r="B2676" s="4" t="s">
        <v>487</v>
      </c>
      <c r="C2676" s="4" t="s">
        <v>287</v>
      </c>
      <c r="D2676" s="94">
        <v>2766.0</v>
      </c>
    </row>
    <row r="2677">
      <c r="A2677" s="40" t="str">
        <f t="array" ref="A2677">IFNA(index(PlayerValues!A:A,match(IFNA(vlookup(B2677,'Special Names'!A:B,2,FALSE),B2677),PlayerValues!E:E,0)),"N/A")</f>
        <v>N/A</v>
      </c>
      <c r="B2677" s="4" t="s">
        <v>85</v>
      </c>
      <c r="C2677" s="4" t="s">
        <v>325</v>
      </c>
      <c r="D2677" s="94">
        <v>2765.0</v>
      </c>
    </row>
    <row r="2678">
      <c r="A2678" s="40">
        <f t="array" ref="A2678">IFNA(index(PlayerValues!A:A,match(IFNA(vlookup(B2678,'Special Names'!A:B,2,FALSE),B2678),PlayerValues!E:E,0)),"N/A")</f>
        <v>14778</v>
      </c>
      <c r="B2678" s="4" t="s">
        <v>564</v>
      </c>
      <c r="C2678" s="4" t="s">
        <v>283</v>
      </c>
      <c r="D2678" s="94">
        <v>2764.0</v>
      </c>
    </row>
    <row r="2679">
      <c r="A2679" s="40">
        <f t="array" ref="A2679">IFNA(index(PlayerValues!A:A,match(IFNA(vlookup(B2679,'Special Names'!A:B,2,FALSE),B2679),PlayerValues!E:E,0)),"N/A")</f>
        <v>16619</v>
      </c>
      <c r="B2679" s="4" t="s">
        <v>538</v>
      </c>
      <c r="C2679" s="4" t="s">
        <v>287</v>
      </c>
      <c r="D2679" s="94">
        <v>2751.0</v>
      </c>
    </row>
    <row r="2680">
      <c r="A2680" s="40">
        <f t="array" ref="A2680">IFNA(index(PlayerValues!A:A,match(IFNA(vlookup(B2680,'Special Names'!A:B,2,FALSE),B2680),PlayerValues!E:E,0)),"N/A")</f>
        <v>12616</v>
      </c>
      <c r="B2680" s="4" t="s">
        <v>529</v>
      </c>
      <c r="C2680" s="4" t="s">
        <v>283</v>
      </c>
      <c r="D2680" s="94">
        <v>2743.0</v>
      </c>
    </row>
    <row r="2681">
      <c r="A2681" s="40">
        <f t="array" ref="A2681">IFNA(index(PlayerValues!A:A,match(IFNA(vlookup(B2681,'Special Names'!A:B,2,FALSE),B2681),PlayerValues!E:E,0)),"N/A")</f>
        <v>17047</v>
      </c>
      <c r="B2681" s="4" t="s">
        <v>510</v>
      </c>
      <c r="C2681" s="4" t="s">
        <v>278</v>
      </c>
      <c r="D2681" s="94">
        <v>2740.0</v>
      </c>
    </row>
    <row r="2682">
      <c r="A2682" s="40">
        <f t="array" ref="A2682">IFNA(index(PlayerValues!A:A,match(IFNA(vlookup(B2682,'Special Names'!A:B,2,FALSE),B2682),PlayerValues!E:E,0)),"N/A")</f>
        <v>17073</v>
      </c>
      <c r="B2682" s="4" t="s">
        <v>547</v>
      </c>
      <c r="C2682" s="4" t="s">
        <v>287</v>
      </c>
      <c r="D2682" s="94">
        <v>2737.0</v>
      </c>
    </row>
    <row r="2683">
      <c r="A2683" s="40">
        <f t="array" ref="A2683">IFNA(index(PlayerValues!A:A,match(IFNA(vlookup(B2683,'Special Names'!A:B,2,FALSE),B2683),PlayerValues!E:E,0)),"N/A")</f>
        <v>17503</v>
      </c>
      <c r="B2683" s="4" t="s">
        <v>480</v>
      </c>
      <c r="C2683" s="4" t="s">
        <v>287</v>
      </c>
      <c r="D2683" s="94">
        <v>2726.0</v>
      </c>
    </row>
    <row r="2684">
      <c r="A2684" s="40">
        <f t="array" ref="A2684">IFNA(index(PlayerValues!A:A,match(IFNA(vlookup(B2684,'Special Names'!A:B,2,FALSE),B2684),PlayerValues!E:E,0)),"N/A")</f>
        <v>17080</v>
      </c>
      <c r="B2684" s="4" t="s">
        <v>532</v>
      </c>
      <c r="C2684" s="4" t="s">
        <v>287</v>
      </c>
      <c r="D2684" s="94">
        <v>2726.0</v>
      </c>
    </row>
    <row r="2685">
      <c r="A2685" s="40">
        <f t="array" ref="A2685">IFNA(index(PlayerValues!A:A,match(IFNA(vlookup(B2685,'Special Names'!A:B,2,FALSE),B2685),PlayerValues!E:E,0)),"N/A")</f>
        <v>17098</v>
      </c>
      <c r="B2685" s="4" t="s">
        <v>533</v>
      </c>
      <c r="C2685" s="4" t="s">
        <v>287</v>
      </c>
      <c r="D2685" s="94">
        <v>2722.0</v>
      </c>
    </row>
    <row r="2686">
      <c r="A2686" s="40">
        <f t="array" ref="A2686">IFNA(index(PlayerValues!A:A,match(IFNA(vlookup(B2686,'Special Names'!A:B,2,FALSE),B2686),PlayerValues!E:E,0)),"N/A")</f>
        <v>17107</v>
      </c>
      <c r="B2686" s="4" t="s">
        <v>478</v>
      </c>
      <c r="C2686" s="4" t="s">
        <v>298</v>
      </c>
      <c r="D2686" s="94">
        <v>3130.0</v>
      </c>
    </row>
    <row r="2687">
      <c r="A2687" s="40">
        <f t="array" ref="A2687">IFNA(index(PlayerValues!A:A,match(IFNA(vlookup(B2687,'Special Names'!A:B,2,FALSE),B2687),PlayerValues!E:E,0)),"N/A")</f>
        <v>15721</v>
      </c>
      <c r="B2687" s="4" t="s">
        <v>504</v>
      </c>
      <c r="C2687" s="4" t="s">
        <v>278</v>
      </c>
      <c r="D2687" s="94">
        <v>2714.0</v>
      </c>
    </row>
    <row r="2688">
      <c r="A2688" s="40">
        <f t="array" ref="A2688">IFNA(index(PlayerValues!A:A,match(IFNA(vlookup(B2688,'Special Names'!A:B,2,FALSE),B2688),PlayerValues!E:E,0)),"N/A")</f>
        <v>16596</v>
      </c>
      <c r="B2688" s="4" t="s">
        <v>501</v>
      </c>
      <c r="C2688" s="4" t="s">
        <v>278</v>
      </c>
      <c r="D2688" s="94">
        <v>2705.0</v>
      </c>
    </row>
    <row r="2689">
      <c r="A2689" s="40">
        <f t="array" ref="A2689">IFNA(index(PlayerValues!A:A,match(IFNA(vlookup(B2689,'Special Names'!A:B,2,FALSE),B2689),PlayerValues!E:E,0)),"N/A")</f>
        <v>14833</v>
      </c>
      <c r="B2689" s="4" t="s">
        <v>553</v>
      </c>
      <c r="C2689" s="4" t="s">
        <v>287</v>
      </c>
      <c r="D2689" s="94">
        <v>2704.0</v>
      </c>
    </row>
    <row r="2690">
      <c r="A2690" s="40">
        <f t="array" ref="A2690">IFNA(index(PlayerValues!A:A,match(IFNA(vlookup(B2690,'Special Names'!A:B,2,FALSE),B2690),PlayerValues!E:E,0)),"N/A")</f>
        <v>15972</v>
      </c>
      <c r="B2690" s="4" t="s">
        <v>469</v>
      </c>
      <c r="C2690" s="4" t="s">
        <v>278</v>
      </c>
      <c r="D2690" s="94">
        <v>2702.0</v>
      </c>
    </row>
    <row r="2691">
      <c r="A2691" s="40">
        <f t="array" ref="A2691">IFNA(index(PlayerValues!A:A,match(IFNA(vlookup(B2691,'Special Names'!A:B,2,FALSE),B2691),PlayerValues!E:E,0)),"N/A")</f>
        <v>17105</v>
      </c>
      <c r="B2691" s="4" t="s">
        <v>525</v>
      </c>
      <c r="C2691" s="4" t="s">
        <v>298</v>
      </c>
      <c r="D2691" s="94">
        <v>3109.0</v>
      </c>
    </row>
    <row r="2692">
      <c r="A2692" s="40">
        <f t="array" ref="A2692">IFNA(index(PlayerValues!A:A,match(IFNA(vlookup(B2692,'Special Names'!A:B,2,FALSE),B2692),PlayerValues!E:E,0)),"N/A")</f>
        <v>16165</v>
      </c>
      <c r="B2692" s="4" t="s">
        <v>520</v>
      </c>
      <c r="C2692" s="4" t="s">
        <v>278</v>
      </c>
      <c r="D2692" s="94">
        <v>2679.0</v>
      </c>
    </row>
    <row r="2693">
      <c r="A2693" s="40">
        <f t="array" ref="A2693">IFNA(index(PlayerValues!A:A,match(IFNA(vlookup(B2693,'Special Names'!A:B,2,FALSE),B2693),PlayerValues!E:E,0)),"N/A")</f>
        <v>14860</v>
      </c>
      <c r="B2693" s="4" t="s">
        <v>554</v>
      </c>
      <c r="C2693" s="4" t="s">
        <v>287</v>
      </c>
      <c r="D2693" s="94">
        <v>2664.0</v>
      </c>
    </row>
    <row r="2694">
      <c r="A2694" s="40">
        <f t="array" ref="A2694">IFNA(index(PlayerValues!A:A,match(IFNA(vlookup(B2694,'Special Names'!A:B,2,FALSE),B2694),PlayerValues!E:E,0)),"N/A")</f>
        <v>17171</v>
      </c>
      <c r="B2694" s="4" t="s">
        <v>561</v>
      </c>
      <c r="C2694" s="4" t="s">
        <v>287</v>
      </c>
      <c r="D2694" s="94">
        <v>2652.0</v>
      </c>
    </row>
    <row r="2695">
      <c r="A2695" s="40">
        <f t="array" ref="A2695">IFNA(index(PlayerValues!A:A,match(IFNA(vlookup(B2695,'Special Names'!A:B,2,FALSE),B2695),PlayerValues!E:E,0)),"N/A")</f>
        <v>16195</v>
      </c>
      <c r="B2695" s="4" t="s">
        <v>509</v>
      </c>
      <c r="C2695" s="4" t="s">
        <v>287</v>
      </c>
      <c r="D2695" s="94">
        <v>2649.0</v>
      </c>
    </row>
    <row r="2696">
      <c r="A2696" s="40">
        <f t="array" ref="A2696">IFNA(index(PlayerValues!A:A,match(IFNA(vlookup(B2696,'Special Names'!A:B,2,FALSE),B2696),PlayerValues!E:E,0)),"N/A")</f>
        <v>16747</v>
      </c>
      <c r="B2696" s="4" t="s">
        <v>555</v>
      </c>
      <c r="C2696" s="4" t="s">
        <v>278</v>
      </c>
      <c r="D2696" s="94">
        <v>2647.0</v>
      </c>
    </row>
    <row r="2697">
      <c r="A2697" s="40">
        <f t="array" ref="A2697">IFNA(index(PlayerValues!A:A,match(IFNA(vlookup(B2697,'Special Names'!A:B,2,FALSE),B2697),PlayerValues!E:E,0)),"N/A")</f>
        <v>17505</v>
      </c>
      <c r="B2697" s="4" t="s">
        <v>528</v>
      </c>
      <c r="C2697" s="4" t="s">
        <v>287</v>
      </c>
      <c r="D2697" s="94">
        <v>2646.0</v>
      </c>
    </row>
    <row r="2698">
      <c r="A2698" s="40" t="str">
        <f t="array" ref="A2698">IFNA(index(PlayerValues!A:A,match(IFNA(vlookup(B2698,'Special Names'!A:B,2,FALSE),B2698),PlayerValues!E:E,0)),"N/A")</f>
        <v>N/A</v>
      </c>
      <c r="B2698" s="4" t="s">
        <v>98</v>
      </c>
      <c r="C2698" s="4" t="s">
        <v>325</v>
      </c>
      <c r="D2698" s="94">
        <v>2638.0</v>
      </c>
    </row>
    <row r="2699">
      <c r="A2699" s="40">
        <f t="array" ref="A2699">IFNA(index(PlayerValues!A:A,match(IFNA(vlookup(B2699,'Special Names'!A:B,2,FALSE),B2699),PlayerValues!E:E,0)),"N/A")</f>
        <v>17082</v>
      </c>
      <c r="B2699" s="4" t="s">
        <v>498</v>
      </c>
      <c r="C2699" s="4" t="s">
        <v>287</v>
      </c>
      <c r="D2699" s="94">
        <v>2608.0</v>
      </c>
    </row>
    <row r="2700">
      <c r="A2700" s="40">
        <f t="array" ref="A2700">IFNA(index(PlayerValues!A:A,match(IFNA(vlookup(B2700,'Special Names'!A:B,2,FALSE),B2700),PlayerValues!E:E,0)),"N/A")</f>
        <v>13674</v>
      </c>
      <c r="B2700" s="4" t="s">
        <v>511</v>
      </c>
      <c r="C2700" s="4" t="s">
        <v>298</v>
      </c>
      <c r="D2700" s="94">
        <v>3010.0</v>
      </c>
    </row>
    <row r="2701">
      <c r="A2701" s="40">
        <f t="array" ref="A2701">IFNA(index(PlayerValues!A:A,match(IFNA(vlookup(B2701,'Special Names'!A:B,2,FALSE),B2701),PlayerValues!E:E,0)),"N/A")</f>
        <v>17509</v>
      </c>
      <c r="B2701" s="4" t="s">
        <v>551</v>
      </c>
      <c r="C2701" s="4" t="s">
        <v>287</v>
      </c>
      <c r="D2701" s="94">
        <v>2599.0</v>
      </c>
    </row>
    <row r="2702">
      <c r="A2702" s="40">
        <f t="array" ref="A2702">IFNA(index(PlayerValues!A:A,match(IFNA(vlookup(B2702,'Special Names'!A:B,2,FALSE),B2702),PlayerValues!E:E,0)),"N/A")</f>
        <v>17108</v>
      </c>
      <c r="B2702" s="4" t="s">
        <v>542</v>
      </c>
      <c r="C2702" s="4" t="s">
        <v>298</v>
      </c>
      <c r="D2702" s="94">
        <v>2984.0</v>
      </c>
    </row>
    <row r="2703">
      <c r="A2703" s="40">
        <f t="array" ref="A2703">IFNA(index(PlayerValues!A:A,match(IFNA(vlookup(B2703,'Special Names'!A:B,2,FALSE),B2703),PlayerValues!E:E,0)),"N/A")</f>
        <v>16287</v>
      </c>
      <c r="B2703" s="4" t="s">
        <v>516</v>
      </c>
      <c r="C2703" s="4" t="s">
        <v>287</v>
      </c>
      <c r="D2703" s="94">
        <v>2560.0</v>
      </c>
    </row>
    <row r="2704">
      <c r="A2704" s="40">
        <f t="array" ref="A2704">IFNA(index(PlayerValues!A:A,match(IFNA(vlookup(B2704,'Special Names'!A:B,2,FALSE),B2704),PlayerValues!E:E,0)),"N/A")</f>
        <v>16626</v>
      </c>
      <c r="B2704" s="4" t="s">
        <v>515</v>
      </c>
      <c r="C2704" s="4" t="s">
        <v>287</v>
      </c>
      <c r="D2704" s="94">
        <v>2557.0</v>
      </c>
    </row>
    <row r="2705">
      <c r="A2705" s="40">
        <f t="array" ref="A2705">IFNA(index(PlayerValues!A:A,match(IFNA(vlookup(B2705,'Special Names'!A:B,2,FALSE),B2705),PlayerValues!E:E,0)),"N/A")</f>
        <v>16617</v>
      </c>
      <c r="B2705" s="4" t="s">
        <v>541</v>
      </c>
      <c r="C2705" s="4" t="s">
        <v>287</v>
      </c>
      <c r="D2705" s="94">
        <v>2538.0</v>
      </c>
    </row>
    <row r="2706">
      <c r="A2706" s="40">
        <f t="array" ref="A2706">IFNA(index(PlayerValues!A:A,match(IFNA(vlookup(B2706,'Special Names'!A:B,2,FALSE),B2706),PlayerValues!E:E,0)),"N/A")</f>
        <v>17482</v>
      </c>
      <c r="B2706" s="4" t="s">
        <v>460</v>
      </c>
      <c r="C2706" s="4" t="s">
        <v>278</v>
      </c>
      <c r="D2706" s="94">
        <v>2523.0</v>
      </c>
    </row>
    <row r="2707">
      <c r="A2707" s="40">
        <f t="array" ref="A2707">IFNA(index(PlayerValues!A:A,match(IFNA(vlookup(B2707,'Special Names'!A:B,2,FALSE),B2707),PlayerValues!E:E,0)),"N/A")</f>
        <v>17134</v>
      </c>
      <c r="B2707" s="4" t="s">
        <v>548</v>
      </c>
      <c r="C2707" s="4" t="s">
        <v>287</v>
      </c>
      <c r="D2707" s="94">
        <v>2518.0</v>
      </c>
    </row>
    <row r="2708">
      <c r="A2708" s="40">
        <f t="array" ref="A2708">IFNA(index(PlayerValues!A:A,match(IFNA(vlookup(B2708,'Special Names'!A:B,2,FALSE),B2708),PlayerValues!E:E,0)),"N/A")</f>
        <v>17048</v>
      </c>
      <c r="B2708" s="4" t="s">
        <v>539</v>
      </c>
      <c r="C2708" s="4" t="s">
        <v>278</v>
      </c>
      <c r="D2708" s="94">
        <v>2496.0</v>
      </c>
    </row>
    <row r="2709">
      <c r="A2709" s="40">
        <f t="array" ref="A2709">IFNA(index(PlayerValues!A:A,match(IFNA(vlookup(B2709,'Special Names'!A:B,2,FALSE),B2709),PlayerValues!E:E,0)),"N/A")</f>
        <v>16684</v>
      </c>
      <c r="B2709" s="4" t="s">
        <v>500</v>
      </c>
      <c r="C2709" s="4" t="s">
        <v>287</v>
      </c>
      <c r="D2709" s="94">
        <v>2490.0</v>
      </c>
    </row>
    <row r="2710">
      <c r="A2710" s="40">
        <f t="array" ref="A2710">IFNA(index(PlayerValues!A:A,match(IFNA(vlookup(B2710,'Special Names'!A:B,2,FALSE),B2710),PlayerValues!E:E,0)),"N/A")</f>
        <v>16164</v>
      </c>
      <c r="B2710" s="4" t="s">
        <v>512</v>
      </c>
      <c r="C2710" s="4" t="s">
        <v>278</v>
      </c>
      <c r="D2710" s="94">
        <v>2489.0</v>
      </c>
    </row>
    <row r="2711">
      <c r="A2711" s="40">
        <f t="array" ref="A2711">IFNA(index(PlayerValues!A:A,match(IFNA(vlookup(B2711,'Special Names'!A:B,2,FALSE),B2711),PlayerValues!E:E,0)),"N/A")</f>
        <v>16174</v>
      </c>
      <c r="B2711" s="4" t="s">
        <v>505</v>
      </c>
      <c r="C2711" s="4" t="s">
        <v>278</v>
      </c>
      <c r="D2711" s="94">
        <v>2483.0</v>
      </c>
    </row>
    <row r="2712">
      <c r="A2712" s="40">
        <f t="array" ref="A2712">IFNA(index(PlayerValues!A:A,match(IFNA(vlookup(B2712,'Special Names'!A:B,2,FALSE),B2712),PlayerValues!E:E,0)),"N/A")</f>
        <v>17511</v>
      </c>
      <c r="B2712" s="4" t="s">
        <v>485</v>
      </c>
      <c r="C2712" s="4" t="s">
        <v>287</v>
      </c>
      <c r="D2712" s="94">
        <v>2468.0</v>
      </c>
    </row>
    <row r="2713">
      <c r="A2713" s="40">
        <f t="array" ref="A2713">IFNA(index(PlayerValues!A:A,match(IFNA(vlookup(B2713,'Special Names'!A:B,2,FALSE),B2713),PlayerValues!E:E,0)),"N/A")</f>
        <v>14840</v>
      </c>
      <c r="B2713" s="4" t="s">
        <v>731</v>
      </c>
      <c r="C2713" s="4" t="s">
        <v>287</v>
      </c>
      <c r="D2713" s="94">
        <v>2465.0</v>
      </c>
    </row>
    <row r="2714">
      <c r="A2714" s="40">
        <f t="array" ref="A2714">IFNA(index(PlayerValues!A:A,match(IFNA(vlookup(B2714,'Special Names'!A:B,2,FALSE),B2714),PlayerValues!E:E,0)),"N/A")</f>
        <v>16178</v>
      </c>
      <c r="B2714" s="4" t="s">
        <v>507</v>
      </c>
      <c r="C2714" s="4" t="s">
        <v>278</v>
      </c>
      <c r="D2714" s="94">
        <v>2463.0</v>
      </c>
    </row>
    <row r="2715">
      <c r="A2715" s="40">
        <f t="array" ref="A2715">IFNA(index(PlayerValues!A:A,match(IFNA(vlookup(B2715,'Special Names'!A:B,2,FALSE),B2715),PlayerValues!E:E,0)),"N/A")</f>
        <v>17507</v>
      </c>
      <c r="B2715" s="4" t="s">
        <v>495</v>
      </c>
      <c r="C2715" s="4" t="s">
        <v>287</v>
      </c>
      <c r="D2715" s="94">
        <v>2448.0</v>
      </c>
    </row>
    <row r="2716">
      <c r="A2716" s="40" t="str">
        <f t="array" ref="A2716">IFNA(index(PlayerValues!A:A,match(IFNA(vlookup(B2716,'Special Names'!A:B,2,FALSE),B2716),PlayerValues!E:E,0)),"N/A")</f>
        <v>N/A</v>
      </c>
      <c r="B2716" s="4" t="s">
        <v>557</v>
      </c>
      <c r="C2716" s="4" t="s">
        <v>278</v>
      </c>
      <c r="D2716" s="94">
        <v>2437.0</v>
      </c>
    </row>
    <row r="2717">
      <c r="A2717" s="40" t="str">
        <f t="array" ref="A2717">IFNA(index(PlayerValues!A:A,match(IFNA(vlookup(B2717,'Special Names'!A:B,2,FALSE),B2717),PlayerValues!E:E,0)),"N/A")</f>
        <v>N/A</v>
      </c>
      <c r="B2717" s="4" t="s">
        <v>99</v>
      </c>
      <c r="C2717" s="4" t="s">
        <v>325</v>
      </c>
      <c r="D2717" s="94">
        <v>2435.0</v>
      </c>
    </row>
    <row r="2718">
      <c r="A2718" s="40">
        <f t="array" ref="A2718">IFNA(index(PlayerValues!A:A,match(IFNA(vlookup(B2718,'Special Names'!A:B,2,FALSE),B2718),PlayerValues!E:E,0)),"N/A")</f>
        <v>13192</v>
      </c>
      <c r="B2718" s="4" t="s">
        <v>563</v>
      </c>
      <c r="C2718" s="4" t="s">
        <v>298</v>
      </c>
      <c r="D2718" s="94">
        <v>2836.0</v>
      </c>
    </row>
    <row r="2719">
      <c r="A2719" s="40">
        <f t="array" ref="A2719">IFNA(index(PlayerValues!A:A,match(IFNA(vlookup(B2719,'Special Names'!A:B,2,FALSE),B2719),PlayerValues!E:E,0)),"N/A")</f>
        <v>11244</v>
      </c>
      <c r="B2719" s="4" t="s">
        <v>519</v>
      </c>
      <c r="C2719" s="4" t="s">
        <v>298</v>
      </c>
      <c r="D2719" s="94">
        <v>2807.0</v>
      </c>
    </row>
    <row r="2720">
      <c r="A2720" s="40">
        <f t="array" ref="A2720">IFNA(index(PlayerValues!A:A,match(IFNA(vlookup(B2720,'Special Names'!A:B,2,FALSE),B2720),PlayerValues!E:E,0)),"N/A")</f>
        <v>15716</v>
      </c>
      <c r="B2720" s="4" t="s">
        <v>545</v>
      </c>
      <c r="C2720" s="4" t="s">
        <v>278</v>
      </c>
      <c r="D2720" s="94">
        <v>2404.0</v>
      </c>
    </row>
    <row r="2721">
      <c r="A2721" s="40">
        <f t="array" ref="A2721">IFNA(index(PlayerValues!A:A,match(IFNA(vlookup(B2721,'Special Names'!A:B,2,FALSE),B2721),PlayerValues!E:E,0)),"N/A")</f>
        <v>14861</v>
      </c>
      <c r="B2721" s="4" t="s">
        <v>523</v>
      </c>
      <c r="C2721" s="4" t="s">
        <v>298</v>
      </c>
      <c r="D2721" s="94">
        <v>2783.0</v>
      </c>
    </row>
    <row r="2722">
      <c r="A2722" s="40">
        <f t="array" ref="A2722">IFNA(index(PlayerValues!A:A,match(IFNA(vlookup(B2722,'Special Names'!A:B,2,FALSE),B2722),PlayerValues!E:E,0)),"N/A")</f>
        <v>17106</v>
      </c>
      <c r="B2722" s="4" t="s">
        <v>550</v>
      </c>
      <c r="C2722" s="4" t="s">
        <v>298</v>
      </c>
      <c r="D2722" s="94">
        <v>2782.0</v>
      </c>
    </row>
    <row r="2723">
      <c r="A2723" s="40">
        <f t="array" ref="A2723">IFNA(index(PlayerValues!A:A,match(IFNA(vlookup(B2723,'Special Names'!A:B,2,FALSE),B2723),PlayerValues!E:E,0)),"N/A")</f>
        <v>16204</v>
      </c>
      <c r="B2723" s="4" t="s">
        <v>530</v>
      </c>
      <c r="C2723" s="4" t="s">
        <v>287</v>
      </c>
      <c r="D2723" s="94">
        <v>2377.0</v>
      </c>
    </row>
    <row r="2724">
      <c r="A2724" s="40">
        <f t="array" ref="A2724">IFNA(index(PlayerValues!A:A,match(IFNA(vlookup(B2724,'Special Names'!A:B,2,FALSE),B2724),PlayerValues!E:E,0)),"N/A")</f>
        <v>16649</v>
      </c>
      <c r="B2724" s="4" t="s">
        <v>586</v>
      </c>
      <c r="C2724" s="4" t="s">
        <v>298</v>
      </c>
      <c r="D2724" s="94">
        <v>2771.0</v>
      </c>
    </row>
    <row r="2725">
      <c r="A2725" s="40">
        <f t="array" ref="A2725">IFNA(index(PlayerValues!A:A,match(IFNA(vlookup(B2725,'Special Names'!A:B,2,FALSE),B2725),PlayerValues!E:E,0)),"N/A")</f>
        <v>14136</v>
      </c>
      <c r="B2725" s="4" t="s">
        <v>536</v>
      </c>
      <c r="C2725" s="4" t="s">
        <v>287</v>
      </c>
      <c r="D2725" s="94">
        <v>2370.0</v>
      </c>
    </row>
    <row r="2726">
      <c r="A2726" s="40">
        <f t="array" ref="A2726">IFNA(index(PlayerValues!A:A,match(IFNA(vlookup(B2726,'Special Names'!A:B,2,FALSE),B2726),PlayerValues!E:E,0)),"N/A")</f>
        <v>15786</v>
      </c>
      <c r="B2726" s="4" t="s">
        <v>521</v>
      </c>
      <c r="C2726" s="4" t="s">
        <v>287</v>
      </c>
      <c r="D2726" s="94">
        <v>2369.0</v>
      </c>
    </row>
    <row r="2727">
      <c r="A2727" s="40">
        <f t="array" ref="A2727">IFNA(index(PlayerValues!A:A,match(IFNA(vlookup(B2727,'Special Names'!A:B,2,FALSE),B2727),PlayerValues!E:E,0)),"N/A")</f>
        <v>17078</v>
      </c>
      <c r="B2727" s="4" t="s">
        <v>543</v>
      </c>
      <c r="C2727" s="4" t="s">
        <v>287</v>
      </c>
      <c r="D2727" s="94">
        <v>2369.0</v>
      </c>
    </row>
    <row r="2728">
      <c r="A2728" s="40">
        <f t="array" ref="A2728">IFNA(index(PlayerValues!A:A,match(IFNA(vlookup(B2728,'Special Names'!A:B,2,FALSE),B2728),PlayerValues!E:E,0)),"N/A")</f>
        <v>16152</v>
      </c>
      <c r="B2728" s="4" t="s">
        <v>601</v>
      </c>
      <c r="C2728" s="4" t="s">
        <v>283</v>
      </c>
      <c r="D2728" s="94">
        <v>2363.0</v>
      </c>
    </row>
    <row r="2729">
      <c r="A2729" s="40">
        <f t="array" ref="A2729">IFNA(index(PlayerValues!A:A,match(IFNA(vlookup(B2729,'Special Names'!A:B,2,FALSE),B2729),PlayerValues!E:E,0)),"N/A")</f>
        <v>16594</v>
      </c>
      <c r="B2729" s="4" t="s">
        <v>607</v>
      </c>
      <c r="C2729" s="4" t="s">
        <v>278</v>
      </c>
      <c r="D2729" s="94">
        <v>2360.0</v>
      </c>
    </row>
    <row r="2730">
      <c r="A2730" s="40">
        <f t="array" ref="A2730">IFNA(index(PlayerValues!A:A,match(IFNA(vlookup(B2730,'Special Names'!A:B,2,FALSE),B2730),PlayerValues!E:E,0)),"N/A")</f>
        <v>17033</v>
      </c>
      <c r="B2730" s="4" t="s">
        <v>570</v>
      </c>
      <c r="C2730" s="4" t="s">
        <v>283</v>
      </c>
      <c r="D2730" s="94">
        <v>2358.0</v>
      </c>
    </row>
    <row r="2731">
      <c r="A2731" s="40">
        <f t="array" ref="A2731">IFNA(index(PlayerValues!A:A,match(IFNA(vlookup(B2731,'Special Names'!A:B,2,FALSE),B2731),PlayerValues!E:E,0)),"N/A")</f>
        <v>15802</v>
      </c>
      <c r="B2731" s="4" t="s">
        <v>566</v>
      </c>
      <c r="C2731" s="4" t="s">
        <v>298</v>
      </c>
      <c r="D2731" s="94">
        <v>2744.0</v>
      </c>
    </row>
    <row r="2732">
      <c r="A2732" s="40">
        <f t="array" ref="A2732">IFNA(index(PlayerValues!A:A,match(IFNA(vlookup(B2732,'Special Names'!A:B,2,FALSE),B2732),PlayerValues!E:E,0)),"N/A")</f>
        <v>16036</v>
      </c>
      <c r="B2732" s="4" t="s">
        <v>592</v>
      </c>
      <c r="C2732" s="4" t="s">
        <v>298</v>
      </c>
      <c r="D2732" s="94">
        <v>2738.0</v>
      </c>
    </row>
    <row r="2733">
      <c r="A2733" s="40">
        <f t="array" ref="A2733">IFNA(index(PlayerValues!A:A,match(IFNA(vlookup(B2733,'Special Names'!A:B,2,FALSE),B2733),PlayerValues!E:E,0)),"N/A")</f>
        <v>12676</v>
      </c>
      <c r="B2733" s="4" t="s">
        <v>537</v>
      </c>
      <c r="C2733" s="4" t="s">
        <v>298</v>
      </c>
      <c r="D2733" s="94">
        <v>2736.0</v>
      </c>
    </row>
    <row r="2734">
      <c r="A2734" s="40">
        <f t="array" ref="A2734">IFNA(index(PlayerValues!A:A,match(IFNA(vlookup(B2734,'Special Names'!A:B,2,FALSE),B2734),PlayerValues!E:E,0)),"N/A")</f>
        <v>16166</v>
      </c>
      <c r="B2734" s="4" t="s">
        <v>567</v>
      </c>
      <c r="C2734" s="4" t="s">
        <v>278</v>
      </c>
      <c r="D2734" s="94">
        <v>2312.0</v>
      </c>
    </row>
    <row r="2735">
      <c r="A2735" s="40">
        <f t="array" ref="A2735">IFNA(index(PlayerValues!A:A,match(IFNA(vlookup(B2735,'Special Names'!A:B,2,FALSE),B2735),PlayerValues!E:E,0)),"N/A")</f>
        <v>15749</v>
      </c>
      <c r="B2735" s="4" t="s">
        <v>574</v>
      </c>
      <c r="C2735" s="4" t="s">
        <v>278</v>
      </c>
      <c r="D2735" s="94">
        <v>2310.0</v>
      </c>
    </row>
    <row r="2736">
      <c r="A2736" s="40">
        <f t="array" ref="A2736">IFNA(index(PlayerValues!A:A,match(IFNA(vlookup(B2736,'Special Names'!A:B,2,FALSE),B2736),PlayerValues!E:E,0)),"N/A")</f>
        <v>16757</v>
      </c>
      <c r="B2736" s="4" t="s">
        <v>558</v>
      </c>
      <c r="C2736" s="4" t="s">
        <v>278</v>
      </c>
      <c r="D2736" s="94">
        <v>2309.0</v>
      </c>
    </row>
    <row r="2737">
      <c r="A2737" s="40">
        <f t="array" ref="A2737">IFNA(index(PlayerValues!A:A,match(IFNA(vlookup(B2737,'Special Names'!A:B,2,FALSE),B2737),PlayerValues!E:E,0)),"N/A")</f>
        <v>13772</v>
      </c>
      <c r="B2737" s="4" t="s">
        <v>544</v>
      </c>
      <c r="C2737" s="4" t="s">
        <v>298</v>
      </c>
      <c r="D2737" s="94">
        <v>2693.0</v>
      </c>
    </row>
    <row r="2738">
      <c r="A2738" s="40">
        <f t="array" ref="A2738">IFNA(index(PlayerValues!A:A,match(IFNA(vlookup(B2738,'Special Names'!A:B,2,FALSE),B2738),PlayerValues!E:E,0)),"N/A")</f>
        <v>17474</v>
      </c>
      <c r="B2738" s="4" t="s">
        <v>513</v>
      </c>
      <c r="C2738" s="4" t="s">
        <v>278</v>
      </c>
      <c r="D2738" s="94">
        <v>2292.0</v>
      </c>
    </row>
    <row r="2739">
      <c r="A2739" s="40">
        <f t="array" ref="A2739">IFNA(index(PlayerValues!A:A,match(IFNA(vlookup(B2739,'Special Names'!A:B,2,FALSE),B2739),PlayerValues!E:E,0)),"N/A")</f>
        <v>17508</v>
      </c>
      <c r="B2739" s="4" t="s">
        <v>534</v>
      </c>
      <c r="C2739" s="4" t="s">
        <v>287</v>
      </c>
      <c r="D2739" s="94">
        <v>2266.0</v>
      </c>
    </row>
    <row r="2740">
      <c r="A2740" s="40" t="str">
        <f t="array" ref="A2740">IFNA(index(PlayerValues!A:A,match(IFNA(vlookup(B2740,'Special Names'!A:B,2,FALSE),B2740),PlayerValues!E:E,0)),"N/A")</f>
        <v>N/A</v>
      </c>
      <c r="B2740" s="4" t="s">
        <v>86</v>
      </c>
      <c r="C2740" s="4" t="s">
        <v>325</v>
      </c>
      <c r="D2740" s="94">
        <v>2265.0</v>
      </c>
    </row>
    <row r="2741">
      <c r="A2741" s="40">
        <f t="array" ref="A2741">IFNA(index(PlayerValues!A:A,match(IFNA(vlookup(B2741,'Special Names'!A:B,2,FALSE),B2741),PlayerValues!E:E,0)),"N/A")</f>
        <v>16189</v>
      </c>
      <c r="B2741" s="4" t="s">
        <v>582</v>
      </c>
      <c r="C2741" s="4" t="s">
        <v>287</v>
      </c>
      <c r="D2741" s="94">
        <v>2242.0</v>
      </c>
    </row>
    <row r="2742">
      <c r="A2742" s="40">
        <f t="array" ref="A2742">IFNA(index(PlayerValues!A:A,match(IFNA(vlookup(B2742,'Special Names'!A:B,2,FALSE),B2742),PlayerValues!E:E,0)),"N/A")</f>
        <v>17512</v>
      </c>
      <c r="B2742" s="4" t="s">
        <v>483</v>
      </c>
      <c r="C2742" s="4" t="s">
        <v>287</v>
      </c>
      <c r="D2742" s="94">
        <v>2241.0</v>
      </c>
    </row>
    <row r="2743">
      <c r="A2743" s="40">
        <f t="array" ref="A2743">IFNA(index(PlayerValues!A:A,match(IFNA(vlookup(B2743,'Special Names'!A:B,2,FALSE),B2743),PlayerValues!E:E,0)),"N/A")</f>
        <v>17517</v>
      </c>
      <c r="B2743" s="4" t="s">
        <v>454</v>
      </c>
      <c r="C2743" s="4" t="s">
        <v>287</v>
      </c>
      <c r="D2743" s="94">
        <v>2235.0</v>
      </c>
    </row>
    <row r="2744">
      <c r="A2744" s="40">
        <f t="array" ref="A2744">IFNA(index(PlayerValues!A:A,match(IFNA(vlookup(B2744,'Special Names'!A:B,2,FALSE),B2744),PlayerValues!E:E,0)),"N/A")</f>
        <v>13319</v>
      </c>
      <c r="B2744" s="4" t="s">
        <v>549</v>
      </c>
      <c r="C2744" s="4" t="s">
        <v>278</v>
      </c>
      <c r="D2744" s="94">
        <v>2235.0</v>
      </c>
    </row>
    <row r="2745">
      <c r="A2745" s="40">
        <f t="array" ref="A2745">IFNA(index(PlayerValues!A:A,match(IFNA(vlookup(B2745,'Special Names'!A:B,2,FALSE),B2745),PlayerValues!E:E,0)),"N/A")</f>
        <v>16610</v>
      </c>
      <c r="B2745" s="4" t="s">
        <v>562</v>
      </c>
      <c r="C2745" s="4" t="s">
        <v>278</v>
      </c>
      <c r="D2745" s="94">
        <v>2233.0</v>
      </c>
    </row>
    <row r="2746">
      <c r="A2746" s="40">
        <f t="array" ref="A2746">IFNA(index(PlayerValues!A:A,match(IFNA(vlookup(B2746,'Special Names'!A:B,2,FALSE),B2746),PlayerValues!E:E,0)),"N/A")</f>
        <v>17478</v>
      </c>
      <c r="B2746" s="4" t="s">
        <v>527</v>
      </c>
      <c r="C2746" s="4" t="s">
        <v>278</v>
      </c>
      <c r="D2746" s="94">
        <v>2207.0</v>
      </c>
    </row>
    <row r="2747">
      <c r="A2747" s="40">
        <f t="array" ref="A2747">IFNA(index(PlayerValues!A:A,match(IFNA(vlookup(B2747,'Special Names'!A:B,2,FALSE),B2747),PlayerValues!E:E,0)),"N/A")</f>
        <v>17079</v>
      </c>
      <c r="B2747" s="4" t="s">
        <v>572</v>
      </c>
      <c r="C2747" s="4" t="s">
        <v>287</v>
      </c>
      <c r="D2747" s="94">
        <v>2201.0</v>
      </c>
    </row>
    <row r="2748">
      <c r="A2748" s="40">
        <f t="array" ref="A2748">IFNA(index(PlayerValues!A:A,match(IFNA(vlookup(B2748,'Special Names'!A:B,2,FALSE),B2748),PlayerValues!E:E,0)),"N/A")</f>
        <v>16212</v>
      </c>
      <c r="B2748" s="4" t="s">
        <v>568</v>
      </c>
      <c r="C2748" s="4" t="s">
        <v>298</v>
      </c>
      <c r="D2748" s="94">
        <v>2554.0</v>
      </c>
    </row>
    <row r="2749">
      <c r="A2749" s="40" t="str">
        <f t="array" ref="A2749">IFNA(index(PlayerValues!A:A,match(IFNA(vlookup(B2749,'Special Names'!A:B,2,FALSE),B2749),PlayerValues!E:E,0)),"N/A")</f>
        <v>N/A</v>
      </c>
      <c r="B2749" s="4" t="s">
        <v>100</v>
      </c>
      <c r="C2749" s="4" t="s">
        <v>325</v>
      </c>
      <c r="D2749" s="94">
        <v>2163.0</v>
      </c>
    </row>
    <row r="2750">
      <c r="A2750" s="40">
        <f t="array" ref="A2750">IFNA(index(PlayerValues!A:A,match(IFNA(vlookup(B2750,'Special Names'!A:B,2,FALSE),B2750),PlayerValues!E:E,0)),"N/A")</f>
        <v>17046</v>
      </c>
      <c r="B2750" s="4" t="s">
        <v>602</v>
      </c>
      <c r="C2750" s="4" t="s">
        <v>278</v>
      </c>
      <c r="D2750" s="94">
        <v>2157.0</v>
      </c>
    </row>
    <row r="2751">
      <c r="A2751" s="40" t="str">
        <f t="array" ref="A2751">IFNA(index(PlayerValues!A:A,match(IFNA(vlookup(B2751,'Special Names'!A:B,2,FALSE),B2751),PlayerValues!E:E,0)),"N/A")</f>
        <v>N/A</v>
      </c>
      <c r="B2751" s="4" t="s">
        <v>112</v>
      </c>
      <c r="C2751" s="4" t="s">
        <v>325</v>
      </c>
      <c r="D2751" s="94">
        <v>2151.0</v>
      </c>
    </row>
    <row r="2752">
      <c r="A2752" s="40">
        <f t="array" ref="A2752">IFNA(index(PlayerValues!A:A,match(IFNA(vlookup(B2752,'Special Names'!A:B,2,FALSE),B2752),PlayerValues!E:E,0)),"N/A")</f>
        <v>11150</v>
      </c>
      <c r="B2752" s="4" t="s">
        <v>559</v>
      </c>
      <c r="C2752" s="4" t="s">
        <v>283</v>
      </c>
      <c r="D2752" s="94">
        <v>2147.0</v>
      </c>
    </row>
    <row r="2753">
      <c r="A2753" s="40">
        <f t="array" ref="A2753">IFNA(index(PlayerValues!A:A,match(IFNA(vlookup(B2753,'Special Names'!A:B,2,FALSE),B2753),PlayerValues!E:E,0)),"N/A")</f>
        <v>17056</v>
      </c>
      <c r="B2753" s="4" t="s">
        <v>581</v>
      </c>
      <c r="C2753" s="4" t="s">
        <v>278</v>
      </c>
      <c r="D2753" s="94">
        <v>2147.0</v>
      </c>
    </row>
    <row r="2754">
      <c r="A2754" s="40">
        <f t="array" ref="A2754">IFNA(index(PlayerValues!A:A,match(IFNA(vlookup(B2754,'Special Names'!A:B,2,FALSE),B2754),PlayerValues!E:E,0)),"N/A")</f>
        <v>15238</v>
      </c>
      <c r="B2754" s="4" t="s">
        <v>613</v>
      </c>
      <c r="C2754" s="4" t="s">
        <v>283</v>
      </c>
      <c r="D2754" s="94">
        <v>2141.0</v>
      </c>
    </row>
    <row r="2755">
      <c r="A2755" s="40">
        <f t="array" ref="A2755">IFNA(index(PlayerValues!A:A,match(IFNA(vlookup(B2755,'Special Names'!A:B,2,FALSE),B2755),PlayerValues!E:E,0)),"N/A")</f>
        <v>12186</v>
      </c>
      <c r="B2755" s="4" t="s">
        <v>497</v>
      </c>
      <c r="C2755" s="4" t="s">
        <v>287</v>
      </c>
      <c r="D2755" s="94">
        <v>2140.0</v>
      </c>
    </row>
    <row r="2756">
      <c r="A2756" s="40">
        <f t="array" ref="A2756">IFNA(index(PlayerValues!A:A,match(IFNA(vlookup(B2756,'Special Names'!A:B,2,FALSE),B2756),PlayerValues!E:E,0)),"N/A")</f>
        <v>15331</v>
      </c>
      <c r="B2756" s="4" t="s">
        <v>560</v>
      </c>
      <c r="C2756" s="4" t="s">
        <v>298</v>
      </c>
      <c r="D2756" s="94">
        <v>2530.0</v>
      </c>
    </row>
    <row r="2757">
      <c r="A2757" s="40">
        <f t="array" ref="A2757">IFNA(index(PlayerValues!A:A,match(IFNA(vlookup(B2757,'Special Names'!A:B,2,FALSE),B2757),PlayerValues!E:E,0)),"N/A")</f>
        <v>14974</v>
      </c>
      <c r="B2757" s="4" t="s">
        <v>611</v>
      </c>
      <c r="C2757" s="4" t="s">
        <v>287</v>
      </c>
      <c r="D2757" s="94">
        <v>2133.0</v>
      </c>
    </row>
    <row r="2758">
      <c r="A2758" s="40">
        <f t="array" ref="A2758">IFNA(index(PlayerValues!A:A,match(IFNA(vlookup(B2758,'Special Names'!A:B,2,FALSE),B2758),PlayerValues!E:E,0)),"N/A")</f>
        <v>12801</v>
      </c>
      <c r="B2758" s="4" t="s">
        <v>722</v>
      </c>
      <c r="C2758" s="4" t="s">
        <v>287</v>
      </c>
      <c r="D2758" s="94">
        <v>2122.0</v>
      </c>
    </row>
    <row r="2759">
      <c r="A2759" s="40" t="str">
        <f t="array" ref="A2759">IFNA(index(PlayerValues!A:A,match(IFNA(vlookup(B2759,'Special Names'!A:B,2,FALSE),B2759),PlayerValues!E:E,0)),"N/A")</f>
        <v>N/A</v>
      </c>
      <c r="B2759" s="4" t="s">
        <v>87</v>
      </c>
      <c r="C2759" s="4" t="s">
        <v>325</v>
      </c>
      <c r="D2759" s="94">
        <v>2116.0</v>
      </c>
    </row>
    <row r="2760">
      <c r="A2760" s="40">
        <f t="array" ref="A2760">IFNA(index(PlayerValues!A:A,match(IFNA(vlookup(B2760,'Special Names'!A:B,2,FALSE),B2760),PlayerValues!E:E,0)),"N/A")</f>
        <v>16643</v>
      </c>
      <c r="B2760" s="4" t="s">
        <v>609</v>
      </c>
      <c r="C2760" s="4" t="s">
        <v>298</v>
      </c>
      <c r="D2760" s="94">
        <v>2491.0</v>
      </c>
    </row>
    <row r="2761">
      <c r="A2761" s="40">
        <f t="array" ref="A2761">IFNA(index(PlayerValues!A:A,match(IFNA(vlookup(B2761,'Special Names'!A:B,2,FALSE),B2761),PlayerValues!E:E,0)),"N/A")</f>
        <v>16432</v>
      </c>
      <c r="B2761" s="4" t="s">
        <v>620</v>
      </c>
      <c r="C2761" s="4" t="s">
        <v>278</v>
      </c>
      <c r="D2761" s="94">
        <v>2086.0</v>
      </c>
    </row>
    <row r="2762">
      <c r="A2762" s="40">
        <f t="array" ref="A2762">IFNA(index(PlayerValues!A:A,match(IFNA(vlookup(B2762,'Special Names'!A:B,2,FALSE),B2762),PlayerValues!E:E,0)),"N/A")</f>
        <v>17076</v>
      </c>
      <c r="B2762" s="4" t="s">
        <v>585</v>
      </c>
      <c r="C2762" s="4" t="s">
        <v>287</v>
      </c>
      <c r="D2762" s="94">
        <v>2086.0</v>
      </c>
    </row>
    <row r="2763">
      <c r="A2763" s="40">
        <f t="array" ref="A2763">IFNA(index(PlayerValues!A:A,match(IFNA(vlookup(B2763,'Special Names'!A:B,2,FALSE),B2763),PlayerValues!E:E,0)),"N/A")</f>
        <v>17055</v>
      </c>
      <c r="B2763" s="4" t="s">
        <v>565</v>
      </c>
      <c r="C2763" s="4" t="s">
        <v>278</v>
      </c>
      <c r="D2763" s="94">
        <v>2082.0</v>
      </c>
    </row>
    <row r="2764">
      <c r="A2764" s="40">
        <f t="array" ref="A2764">IFNA(index(PlayerValues!A:A,match(IFNA(vlookup(B2764,'Special Names'!A:B,2,FALSE),B2764),PlayerValues!E:E,0)),"N/A")</f>
        <v>17087</v>
      </c>
      <c r="B2764" s="4" t="s">
        <v>600</v>
      </c>
      <c r="C2764" s="4" t="s">
        <v>287</v>
      </c>
      <c r="D2764" s="94">
        <v>2082.0</v>
      </c>
    </row>
    <row r="2765">
      <c r="A2765" s="40" t="str">
        <f t="array" ref="A2765">IFNA(index(PlayerValues!A:A,match(IFNA(vlookup(B2765,'Special Names'!A:B,2,FALSE),B2765),PlayerValues!E:E,0)),"N/A")</f>
        <v>N/A</v>
      </c>
      <c r="B2765" s="4" t="s">
        <v>113</v>
      </c>
      <c r="C2765" s="4" t="s">
        <v>325</v>
      </c>
      <c r="D2765" s="94">
        <v>2076.0</v>
      </c>
    </row>
    <row r="2766">
      <c r="A2766" s="40">
        <f t="array" ref="A2766">IFNA(index(PlayerValues!A:A,match(IFNA(vlookup(B2766,'Special Names'!A:B,2,FALSE),B2766),PlayerValues!E:E,0)),"N/A")</f>
        <v>13633</v>
      </c>
      <c r="B2766" s="4" t="s">
        <v>625</v>
      </c>
      <c r="C2766" s="4" t="s">
        <v>287</v>
      </c>
      <c r="D2766" s="94">
        <v>2066.0</v>
      </c>
    </row>
    <row r="2767">
      <c r="A2767" s="40">
        <f t="array" ref="A2767">IFNA(index(PlayerValues!A:A,match(IFNA(vlookup(B2767,'Special Names'!A:B,2,FALSE),B2767),PlayerValues!E:E,0)),"N/A")</f>
        <v>17061</v>
      </c>
      <c r="B2767" s="4" t="s">
        <v>580</v>
      </c>
      <c r="C2767" s="4" t="s">
        <v>278</v>
      </c>
      <c r="D2767" s="94">
        <v>2065.0</v>
      </c>
    </row>
    <row r="2768">
      <c r="A2768" s="40">
        <f t="array" ref="A2768">IFNA(index(PlayerValues!A:A,match(IFNA(vlookup(B2768,'Special Names'!A:B,2,FALSE),B2768),PlayerValues!E:E,0)),"N/A")</f>
        <v>15293</v>
      </c>
      <c r="B2768" s="4" t="s">
        <v>578</v>
      </c>
      <c r="C2768" s="4" t="s">
        <v>287</v>
      </c>
      <c r="D2768" s="94">
        <v>2061.0</v>
      </c>
    </row>
    <row r="2769">
      <c r="A2769" s="40">
        <f t="array" ref="A2769">IFNA(index(PlayerValues!A:A,match(IFNA(vlookup(B2769,'Special Names'!A:B,2,FALSE),B2769),PlayerValues!E:E,0)),"N/A")</f>
        <v>16639</v>
      </c>
      <c r="B2769" s="4" t="s">
        <v>599</v>
      </c>
      <c r="C2769" s="4" t="s">
        <v>287</v>
      </c>
      <c r="D2769" s="94">
        <v>2051.0</v>
      </c>
    </row>
    <row r="2770">
      <c r="A2770" s="40">
        <f t="array" ref="A2770">IFNA(index(PlayerValues!A:A,match(IFNA(vlookup(B2770,'Special Names'!A:B,2,FALSE),B2770),PlayerValues!E:E,0)),"N/A")</f>
        <v>13132</v>
      </c>
      <c r="B2770" s="4" t="s">
        <v>598</v>
      </c>
      <c r="C2770" s="4" t="s">
        <v>278</v>
      </c>
      <c r="D2770" s="94">
        <v>2045.0</v>
      </c>
    </row>
    <row r="2771">
      <c r="A2771" s="40">
        <f t="array" ref="A2771">IFNA(index(PlayerValues!A:A,match(IFNA(vlookup(B2771,'Special Names'!A:B,2,FALSE),B2771),PlayerValues!E:E,0)),"N/A")</f>
        <v>14867</v>
      </c>
      <c r="B2771" s="4" t="s">
        <v>591</v>
      </c>
      <c r="C2771" s="4" t="s">
        <v>298</v>
      </c>
      <c r="D2771" s="94">
        <v>2433.0</v>
      </c>
    </row>
    <row r="2772">
      <c r="A2772" s="40">
        <f t="array" ref="A2772">IFNA(index(PlayerValues!A:A,match(IFNA(vlookup(B2772,'Special Names'!A:B,2,FALSE),B2772),PlayerValues!E:E,0)),"N/A")</f>
        <v>17060</v>
      </c>
      <c r="B2772" s="4" t="s">
        <v>603</v>
      </c>
      <c r="C2772" s="4" t="s">
        <v>278</v>
      </c>
      <c r="D2772" s="94">
        <v>2043.0</v>
      </c>
    </row>
    <row r="2773">
      <c r="A2773" s="40">
        <f t="array" ref="A2773">IFNA(index(PlayerValues!A:A,match(IFNA(vlookup(B2773,'Special Names'!A:B,2,FALSE),B2773),PlayerValues!E:E,0)),"N/A")</f>
        <v>17069</v>
      </c>
      <c r="B2773" s="4" t="s">
        <v>604</v>
      </c>
      <c r="C2773" s="4" t="s">
        <v>278</v>
      </c>
      <c r="D2773" s="94">
        <v>2039.0</v>
      </c>
    </row>
    <row r="2774">
      <c r="A2774" s="40">
        <f t="array" ref="A2774">IFNA(index(PlayerValues!A:A,match(IFNA(vlookup(B2774,'Special Names'!A:B,2,FALSE),B2774),PlayerValues!E:E,0)),"N/A")</f>
        <v>16342</v>
      </c>
      <c r="B2774" s="4" t="s">
        <v>583</v>
      </c>
      <c r="C2774" s="4" t="s">
        <v>287</v>
      </c>
      <c r="D2774" s="94">
        <v>2031.0</v>
      </c>
    </row>
    <row r="2775">
      <c r="A2775" s="40" t="str">
        <f t="array" ref="A2775">IFNA(index(PlayerValues!A:A,match(IFNA(vlookup(B2775,'Special Names'!A:B,2,FALSE),B2775),PlayerValues!E:E,0)),"N/A")</f>
        <v>N/A</v>
      </c>
      <c r="B2775" s="4" t="s">
        <v>88</v>
      </c>
      <c r="C2775" s="4" t="s">
        <v>325</v>
      </c>
      <c r="D2775" s="94">
        <v>2023.0</v>
      </c>
    </row>
    <row r="2776">
      <c r="A2776" s="40">
        <f t="array" ref="A2776">IFNA(index(PlayerValues!A:A,match(IFNA(vlookup(B2776,'Special Names'!A:B,2,FALSE),B2776),PlayerValues!E:E,0)),"N/A")</f>
        <v>14871</v>
      </c>
      <c r="B2776" s="4" t="s">
        <v>584</v>
      </c>
      <c r="C2776" s="4" t="s">
        <v>298</v>
      </c>
      <c r="D2776" s="94">
        <v>2400.0</v>
      </c>
    </row>
    <row r="2777">
      <c r="A2777" s="40">
        <f t="array" ref="A2777">IFNA(index(PlayerValues!A:A,match(IFNA(vlookup(B2777,'Special Names'!A:B,2,FALSE),B2777),PlayerValues!E:E,0)),"N/A")</f>
        <v>13146</v>
      </c>
      <c r="B2777" s="4" t="s">
        <v>652</v>
      </c>
      <c r="C2777" s="4" t="s">
        <v>278</v>
      </c>
      <c r="D2777" s="94">
        <v>1984.0</v>
      </c>
    </row>
    <row r="2778">
      <c r="A2778" s="40">
        <f t="array" ref="A2778">IFNA(index(PlayerValues!A:A,match(IFNA(vlookup(B2778,'Special Names'!A:B,2,FALSE),B2778),PlayerValues!E:E,0)),"N/A")</f>
        <v>10700</v>
      </c>
      <c r="B2778" s="4" t="s">
        <v>596</v>
      </c>
      <c r="C2778" s="4" t="s">
        <v>283</v>
      </c>
      <c r="D2778" s="94">
        <v>1981.0</v>
      </c>
    </row>
    <row r="2779">
      <c r="A2779" s="40">
        <f t="array" ref="A2779">IFNA(index(PlayerValues!A:A,match(IFNA(vlookup(B2779,'Special Names'!A:B,2,FALSE),B2779),PlayerValues!E:E,0)),"N/A")</f>
        <v>16191</v>
      </c>
      <c r="B2779" s="4" t="s">
        <v>666</v>
      </c>
      <c r="C2779" s="4" t="s">
        <v>287</v>
      </c>
      <c r="D2779" s="94">
        <v>1980.0</v>
      </c>
    </row>
    <row r="2780">
      <c r="A2780" s="40">
        <f t="array" ref="A2780">IFNA(index(PlayerValues!A:A,match(IFNA(vlookup(B2780,'Special Names'!A:B,2,FALSE),B2780),PlayerValues!E:E,0)),"N/A")</f>
        <v>17036</v>
      </c>
      <c r="B2780" s="4" t="s">
        <v>617</v>
      </c>
      <c r="C2780" s="4" t="s">
        <v>283</v>
      </c>
      <c r="D2780" s="94">
        <v>1971.0</v>
      </c>
    </row>
    <row r="2781">
      <c r="A2781" s="40">
        <f t="array" ref="A2781">IFNA(index(PlayerValues!A:A,match(IFNA(vlookup(B2781,'Special Names'!A:B,2,FALSE),B2781),PlayerValues!E:E,0)),"N/A")</f>
        <v>16171</v>
      </c>
      <c r="B2781" s="4" t="s">
        <v>618</v>
      </c>
      <c r="C2781" s="4" t="s">
        <v>278</v>
      </c>
      <c r="D2781" s="94">
        <v>1957.0</v>
      </c>
    </row>
    <row r="2782">
      <c r="A2782" s="40">
        <f t="array" ref="A2782">IFNA(index(PlayerValues!A:A,match(IFNA(vlookup(B2782,'Special Names'!A:B,2,FALSE),B2782),PlayerValues!E:E,0)),"N/A")</f>
        <v>16603</v>
      </c>
      <c r="B2782" s="4" t="s">
        <v>587</v>
      </c>
      <c r="C2782" s="4" t="s">
        <v>278</v>
      </c>
      <c r="D2782" s="94">
        <v>1954.0</v>
      </c>
    </row>
    <row r="2783">
      <c r="A2783" s="40">
        <f t="array" ref="A2783">IFNA(index(PlayerValues!A:A,match(IFNA(vlookup(B2783,'Special Names'!A:B,2,FALSE),B2783),PlayerValues!E:E,0)),"N/A")</f>
        <v>13629</v>
      </c>
      <c r="B2783" s="4" t="s">
        <v>619</v>
      </c>
      <c r="C2783" s="4" t="s">
        <v>287</v>
      </c>
      <c r="D2783" s="94">
        <v>1952.0</v>
      </c>
    </row>
    <row r="2784">
      <c r="A2784" s="40">
        <f t="array" ref="A2784">IFNA(index(PlayerValues!A:A,match(IFNA(vlookup(B2784,'Special Names'!A:B,2,FALSE),B2784),PlayerValues!E:E,0)),"N/A")</f>
        <v>17184</v>
      </c>
      <c r="B2784" s="4" t="s">
        <v>588</v>
      </c>
      <c r="C2784" s="4" t="s">
        <v>287</v>
      </c>
      <c r="D2784" s="94">
        <v>1936.0</v>
      </c>
    </row>
    <row r="2785">
      <c r="A2785" s="40">
        <f t="array" ref="A2785">IFNA(index(PlayerValues!A:A,match(IFNA(vlookup(B2785,'Special Names'!A:B,2,FALSE),B2785),PlayerValues!E:E,0)),"N/A")</f>
        <v>16216</v>
      </c>
      <c r="B2785" s="4" t="s">
        <v>595</v>
      </c>
      <c r="C2785" s="4" t="s">
        <v>298</v>
      </c>
      <c r="D2785" s="94">
        <v>2304.0</v>
      </c>
    </row>
    <row r="2786">
      <c r="A2786" s="40">
        <f t="array" ref="A2786">IFNA(index(PlayerValues!A:A,match(IFNA(vlookup(B2786,'Special Names'!A:B,2,FALSE),B2786),PlayerValues!E:E,0)),"N/A")</f>
        <v>13189</v>
      </c>
      <c r="B2786" s="4" t="s">
        <v>626</v>
      </c>
      <c r="C2786" s="4" t="s">
        <v>298</v>
      </c>
      <c r="D2786" s="94">
        <v>2296.0</v>
      </c>
    </row>
    <row r="2787">
      <c r="A2787" s="40">
        <f t="array" ref="A2787">IFNA(index(PlayerValues!A:A,match(IFNA(vlookup(B2787,'Special Names'!A:B,2,FALSE),B2787),PlayerValues!E:E,0)),"N/A")</f>
        <v>17049</v>
      </c>
      <c r="B2787" s="4" t="s">
        <v>624</v>
      </c>
      <c r="C2787" s="4" t="s">
        <v>278</v>
      </c>
      <c r="D2787" s="94">
        <v>1907.0</v>
      </c>
    </row>
    <row r="2788">
      <c r="A2788" s="40">
        <f t="array" ref="A2788">IFNA(index(PlayerValues!A:A,match(IFNA(vlookup(B2788,'Special Names'!A:B,2,FALSE),B2788),PlayerValues!E:E,0)),"N/A")</f>
        <v>13113</v>
      </c>
      <c r="B2788" s="4" t="s">
        <v>606</v>
      </c>
      <c r="C2788" s="4" t="s">
        <v>283</v>
      </c>
      <c r="D2788" s="94">
        <v>1895.0</v>
      </c>
    </row>
    <row r="2789">
      <c r="A2789" s="40" t="str">
        <f t="array" ref="A2789">IFNA(index(PlayerValues!A:A,match(IFNA(vlookup(B2789,'Special Names'!A:B,2,FALSE),B2789),PlayerValues!E:E,0)),"N/A")</f>
        <v>N/A</v>
      </c>
      <c r="B2789" s="4" t="s">
        <v>101</v>
      </c>
      <c r="C2789" s="4" t="s">
        <v>325</v>
      </c>
      <c r="D2789" s="94">
        <v>1881.0</v>
      </c>
    </row>
    <row r="2790">
      <c r="A2790" s="40">
        <f t="array" ref="A2790">IFNA(index(PlayerValues!A:A,match(IFNA(vlookup(B2790,'Special Names'!A:B,2,FALSE),B2790),PlayerValues!E:E,0)),"N/A")</f>
        <v>15254</v>
      </c>
      <c r="B2790" s="4" t="s">
        <v>633</v>
      </c>
      <c r="C2790" s="4" t="s">
        <v>278</v>
      </c>
      <c r="D2790" s="94">
        <v>1877.0</v>
      </c>
    </row>
    <row r="2791">
      <c r="A2791" s="40">
        <f t="array" ref="A2791">IFNA(index(PlayerValues!A:A,match(IFNA(vlookup(B2791,'Special Names'!A:B,2,FALSE),B2791),PlayerValues!E:E,0)),"N/A")</f>
        <v>16604</v>
      </c>
      <c r="B2791" s="4" t="s">
        <v>476</v>
      </c>
      <c r="C2791" s="4" t="s">
        <v>278</v>
      </c>
      <c r="D2791" s="94">
        <v>1857.0</v>
      </c>
    </row>
    <row r="2792">
      <c r="A2792" s="40">
        <f t="array" ref="A2792">IFNA(index(PlayerValues!A:A,match(IFNA(vlookup(B2792,'Special Names'!A:B,2,FALSE),B2792),PlayerValues!E:E,0)),"N/A")</f>
        <v>17034</v>
      </c>
      <c r="B2792" s="4" t="s">
        <v>643</v>
      </c>
      <c r="C2792" s="4" t="s">
        <v>283</v>
      </c>
      <c r="D2792" s="94">
        <v>1851.0</v>
      </c>
    </row>
    <row r="2793">
      <c r="A2793" s="40">
        <f t="array" ref="A2793">IFNA(index(PlayerValues!A:A,match(IFNA(vlookup(B2793,'Special Names'!A:B,2,FALSE),B2793),PlayerValues!E:E,0)),"N/A")</f>
        <v>16644</v>
      </c>
      <c r="B2793" s="4" t="s">
        <v>640</v>
      </c>
      <c r="C2793" s="4" t="s">
        <v>298</v>
      </c>
      <c r="D2793" s="94">
        <v>2230.0</v>
      </c>
    </row>
    <row r="2794">
      <c r="A2794" s="40">
        <f t="array" ref="A2794">IFNA(index(PlayerValues!A:A,match(IFNA(vlookup(B2794,'Special Names'!A:B,2,FALSE),B2794),PlayerValues!E:E,0)),"N/A")</f>
        <v>17547</v>
      </c>
      <c r="B2794" s="4" t="s">
        <v>552</v>
      </c>
      <c r="C2794" s="4" t="s">
        <v>298</v>
      </c>
      <c r="D2794" s="94">
        <v>2217.0</v>
      </c>
    </row>
    <row r="2795">
      <c r="A2795" s="40">
        <f t="array" ref="A2795">IFNA(index(PlayerValues!A:A,match(IFNA(vlookup(B2795,'Special Names'!A:B,2,FALSE),B2795),PlayerValues!E:E,0)),"N/A")</f>
        <v>16215</v>
      </c>
      <c r="B2795" s="4" t="s">
        <v>637</v>
      </c>
      <c r="C2795" s="4" t="s">
        <v>298</v>
      </c>
      <c r="D2795" s="94">
        <v>2216.0</v>
      </c>
    </row>
    <row r="2796">
      <c r="A2796" s="40" t="str">
        <f t="array" ref="A2796">IFNA(index(PlayerValues!A:A,match(IFNA(vlookup(B2796,'Special Names'!A:B,2,FALSE),B2796),PlayerValues!E:E,0)),"N/A")</f>
        <v>N/A</v>
      </c>
      <c r="B2796" s="4" t="s">
        <v>114</v>
      </c>
      <c r="C2796" s="4" t="s">
        <v>325</v>
      </c>
      <c r="D2796" s="94">
        <v>1832.0</v>
      </c>
    </row>
    <row r="2797">
      <c r="A2797" s="40">
        <f t="array" ref="A2797">IFNA(index(PlayerValues!A:A,match(IFNA(vlookup(B2797,'Special Names'!A:B,2,FALSE),B2797),PlayerValues!E:E,0)),"N/A")</f>
        <v>15787</v>
      </c>
      <c r="B2797" s="4" t="s">
        <v>610</v>
      </c>
      <c r="C2797" s="4" t="s">
        <v>287</v>
      </c>
      <c r="D2797" s="94">
        <v>1831.0</v>
      </c>
    </row>
    <row r="2798">
      <c r="A2798" s="40">
        <f t="array" ref="A2798">IFNA(index(PlayerValues!A:A,match(IFNA(vlookup(B2798,'Special Names'!A:B,2,FALSE),B2798),PlayerValues!E:E,0)),"N/A")</f>
        <v>15788</v>
      </c>
      <c r="B2798" s="4" t="s">
        <v>627</v>
      </c>
      <c r="C2798" s="4" t="s">
        <v>287</v>
      </c>
      <c r="D2798" s="94">
        <v>1826.0</v>
      </c>
    </row>
    <row r="2799">
      <c r="A2799" s="40">
        <f t="array" ref="A2799">IFNA(index(PlayerValues!A:A,match(IFNA(vlookup(B2799,'Special Names'!A:B,2,FALSE),B2799),PlayerValues!E:E,0)),"N/A")</f>
        <v>17086</v>
      </c>
      <c r="B2799" s="4" t="s">
        <v>612</v>
      </c>
      <c r="C2799" s="4" t="s">
        <v>287</v>
      </c>
      <c r="D2799" s="94">
        <v>1820.0</v>
      </c>
    </row>
    <row r="2800">
      <c r="A2800" s="40">
        <f t="array" ref="A2800">IFNA(index(PlayerValues!A:A,match(IFNA(vlookup(B2800,'Special Names'!A:B,2,FALSE),B2800),PlayerValues!E:E,0)),"N/A")</f>
        <v>17035</v>
      </c>
      <c r="B2800" s="4" t="s">
        <v>650</v>
      </c>
      <c r="C2800" s="4" t="s">
        <v>283</v>
      </c>
      <c r="D2800" s="94">
        <v>1811.0</v>
      </c>
    </row>
    <row r="2801">
      <c r="A2801" s="40">
        <f t="array" ref="A2801">IFNA(index(PlayerValues!A:A,match(IFNA(vlookup(B2801,'Special Names'!A:B,2,FALSE),B2801),PlayerValues!E:E,0)),"N/A")</f>
        <v>16752</v>
      </c>
      <c r="B2801" s="4" t="s">
        <v>597</v>
      </c>
      <c r="C2801" s="4" t="s">
        <v>278</v>
      </c>
      <c r="D2801" s="94">
        <v>1809.0</v>
      </c>
    </row>
    <row r="2802">
      <c r="A2802" s="40">
        <f t="array" ref="A2802">IFNA(index(PlayerValues!A:A,match(IFNA(vlookup(B2802,'Special Names'!A:B,2,FALSE),B2802),PlayerValues!E:E,0)),"N/A")</f>
        <v>13164</v>
      </c>
      <c r="B2802" s="4" t="s">
        <v>632</v>
      </c>
      <c r="C2802" s="4" t="s">
        <v>287</v>
      </c>
      <c r="D2802" s="94">
        <v>1808.0</v>
      </c>
    </row>
    <row r="2803">
      <c r="A2803" s="40">
        <f t="array" ref="A2803">IFNA(index(PlayerValues!A:A,match(IFNA(vlookup(B2803,'Special Names'!A:B,2,FALSE),B2803),PlayerValues!E:E,0)),"N/A")</f>
        <v>14105</v>
      </c>
      <c r="B2803" s="4" t="s">
        <v>675</v>
      </c>
      <c r="C2803" s="4" t="s">
        <v>287</v>
      </c>
      <c r="D2803" s="94">
        <v>1800.0</v>
      </c>
    </row>
    <row r="2804">
      <c r="A2804" s="40">
        <f t="array" ref="A2804">IFNA(index(PlayerValues!A:A,match(IFNA(vlookup(B2804,'Special Names'!A:B,2,FALSE),B2804),PlayerValues!E:E,0)),"N/A")</f>
        <v>7836</v>
      </c>
      <c r="B2804" s="4" t="s">
        <v>590</v>
      </c>
      <c r="C2804" s="4" t="s">
        <v>283</v>
      </c>
      <c r="D2804" s="94">
        <v>1794.0</v>
      </c>
    </row>
    <row r="2805">
      <c r="A2805" s="40">
        <f t="array" ref="A2805">IFNA(index(PlayerValues!A:A,match(IFNA(vlookup(B2805,'Special Names'!A:B,2,FALSE),B2805),PlayerValues!E:E,0)),"N/A")</f>
        <v>16201</v>
      </c>
      <c r="B2805" s="4" t="s">
        <v>589</v>
      </c>
      <c r="C2805" s="4" t="s">
        <v>287</v>
      </c>
      <c r="D2805" s="94">
        <v>1781.0</v>
      </c>
    </row>
    <row r="2806">
      <c r="A2806" s="40">
        <f t="array" ref="A2806">IFNA(index(PlayerValues!A:A,match(IFNA(vlookup(B2806,'Special Names'!A:B,2,FALSE),B2806),PlayerValues!E:E,0)),"N/A")</f>
        <v>17465</v>
      </c>
      <c r="B2806" s="4" t="s">
        <v>649</v>
      </c>
      <c r="C2806" s="4" t="s">
        <v>283</v>
      </c>
      <c r="D2806" s="94">
        <v>1768.0</v>
      </c>
    </row>
    <row r="2807">
      <c r="A2807" s="40">
        <f t="array" ref="A2807">IFNA(index(PlayerValues!A:A,match(IFNA(vlookup(B2807,'Special Names'!A:B,2,FALSE),B2807),PlayerValues!E:E,0)),"N/A")</f>
        <v>14143</v>
      </c>
      <c r="B2807" s="4" t="s">
        <v>635</v>
      </c>
      <c r="C2807" s="4" t="s">
        <v>298</v>
      </c>
      <c r="D2807" s="94">
        <v>2146.0</v>
      </c>
    </row>
    <row r="2808">
      <c r="A2808" s="40">
        <f t="array" ref="A2808">IFNA(index(PlayerValues!A:A,match(IFNA(vlookup(B2808,'Special Names'!A:B,2,FALSE),B2808),PlayerValues!E:E,0)),"N/A")</f>
        <v>17096</v>
      </c>
      <c r="B2808" s="4" t="s">
        <v>638</v>
      </c>
      <c r="C2808" s="4" t="s">
        <v>287</v>
      </c>
      <c r="D2808" s="94">
        <v>1759.0</v>
      </c>
    </row>
    <row r="2809">
      <c r="A2809" s="40">
        <f t="array" ref="A2809">IFNA(index(PlayerValues!A:A,match(IFNA(vlookup(B2809,'Special Names'!A:B,2,FALSE),B2809),PlayerValues!E:E,0)),"N/A")</f>
        <v>16778</v>
      </c>
      <c r="B2809" s="4" t="s">
        <v>577</v>
      </c>
      <c r="C2809" s="4" t="s">
        <v>287</v>
      </c>
      <c r="D2809" s="94">
        <v>1752.0</v>
      </c>
    </row>
    <row r="2810">
      <c r="A2810" s="40">
        <f t="array" ref="A2810">IFNA(index(PlayerValues!A:A,match(IFNA(vlookup(B2810,'Special Names'!A:B,2,FALSE),B2810),PlayerValues!E:E,0)),"N/A")</f>
        <v>17520</v>
      </c>
      <c r="B2810" s="4" t="s">
        <v>518</v>
      </c>
      <c r="C2810" s="4" t="s">
        <v>287</v>
      </c>
      <c r="D2810" s="94">
        <v>1739.0</v>
      </c>
    </row>
    <row r="2811">
      <c r="A2811" s="40">
        <f t="array" ref="A2811">IFNA(index(PlayerValues!A:A,match(IFNA(vlookup(B2811,'Special Names'!A:B,2,FALSE),B2811),PlayerValues!E:E,0)),"N/A")</f>
        <v>16635</v>
      </c>
      <c r="B2811" s="4" t="s">
        <v>645</v>
      </c>
      <c r="C2811" s="4" t="s">
        <v>287</v>
      </c>
      <c r="D2811" s="94">
        <v>1734.0</v>
      </c>
    </row>
    <row r="2812">
      <c r="A2812" s="40">
        <f t="array" ref="A2812">IFNA(index(PlayerValues!A:A,match(IFNA(vlookup(B2812,'Special Names'!A:B,2,FALSE),B2812),PlayerValues!E:E,0)),"N/A")</f>
        <v>15755</v>
      </c>
      <c r="B2812" s="4" t="s">
        <v>628</v>
      </c>
      <c r="C2812" s="4" t="s">
        <v>287</v>
      </c>
      <c r="D2812" s="94">
        <v>1729.0</v>
      </c>
    </row>
    <row r="2813">
      <c r="A2813" s="40" t="str">
        <f t="array" ref="A2813">IFNA(index(PlayerValues!A:A,match(IFNA(vlookup(B2813,'Special Names'!A:B,2,FALSE),B2813),PlayerValues!E:E,0)),"N/A")</f>
        <v>N/A</v>
      </c>
      <c r="B2813" s="4" t="s">
        <v>89</v>
      </c>
      <c r="C2813" s="4" t="s">
        <v>325</v>
      </c>
      <c r="D2813" s="94">
        <v>1720.0</v>
      </c>
    </row>
    <row r="2814">
      <c r="A2814" s="40">
        <f t="array" ref="A2814">IFNA(index(PlayerValues!A:A,match(IFNA(vlookup(B2814,'Special Names'!A:B,2,FALSE),B2814),PlayerValues!E:E,0)),"N/A")</f>
        <v>16586</v>
      </c>
      <c r="B2814" s="4" t="s">
        <v>658</v>
      </c>
      <c r="C2814" s="4" t="s">
        <v>283</v>
      </c>
      <c r="D2814" s="94">
        <v>1717.0</v>
      </c>
    </row>
    <row r="2815">
      <c r="A2815" s="40">
        <f t="array" ref="A2815">IFNA(index(PlayerValues!A:A,match(IFNA(vlookup(B2815,'Special Names'!A:B,2,FALSE),B2815),PlayerValues!E:E,0)),"N/A")</f>
        <v>15301</v>
      </c>
      <c r="B2815" s="4" t="s">
        <v>657</v>
      </c>
      <c r="C2815" s="4" t="s">
        <v>287</v>
      </c>
      <c r="D2815" s="94">
        <v>1709.0</v>
      </c>
    </row>
    <row r="2816">
      <c r="A2816" s="40">
        <f t="array" ref="A2816">IFNA(index(PlayerValues!A:A,match(IFNA(vlookup(B2816,'Special Names'!A:B,2,FALSE),B2816),PlayerValues!E:E,0)),"N/A")</f>
        <v>15797</v>
      </c>
      <c r="B2816" s="4" t="s">
        <v>556</v>
      </c>
      <c r="C2816" s="4" t="s">
        <v>298</v>
      </c>
      <c r="D2816" s="94">
        <v>2087.0</v>
      </c>
    </row>
    <row r="2817">
      <c r="A2817" s="40" t="str">
        <f t="array" ref="A2817">IFNA(index(PlayerValues!A:A,match(IFNA(vlookup(B2817,'Special Names'!A:B,2,FALSE),B2817),PlayerValues!E:E,0)),"N/A")</f>
        <v>N/A</v>
      </c>
      <c r="B2817" s="4" t="s">
        <v>102</v>
      </c>
      <c r="C2817" s="4" t="s">
        <v>325</v>
      </c>
      <c r="D2817" s="94">
        <v>1689.0</v>
      </c>
    </row>
    <row r="2818">
      <c r="A2818" s="40">
        <f t="array" ref="A2818">IFNA(index(PlayerValues!A:A,match(IFNA(vlookup(B2818,'Special Names'!A:B,2,FALSE),B2818),PlayerValues!E:E,0)),"N/A")</f>
        <v>16585</v>
      </c>
      <c r="B2818" s="4" t="s">
        <v>623</v>
      </c>
      <c r="C2818" s="4" t="s">
        <v>283</v>
      </c>
      <c r="D2818" s="94">
        <v>1687.0</v>
      </c>
    </row>
    <row r="2819">
      <c r="A2819" s="40" t="str">
        <f t="array" ref="A2819">IFNA(index(PlayerValues!A:A,match(IFNA(vlookup(B2819,'Special Names'!A:B,2,FALSE),B2819),PlayerValues!E:E,0)),"N/A")</f>
        <v>N/A</v>
      </c>
      <c r="B2819" s="4" t="s">
        <v>115</v>
      </c>
      <c r="C2819" s="4" t="s">
        <v>325</v>
      </c>
      <c r="D2819" s="94">
        <v>1672.0</v>
      </c>
    </row>
    <row r="2820">
      <c r="A2820" s="40">
        <f t="array" ref="A2820">IFNA(index(PlayerValues!A:A,match(IFNA(vlookup(B2820,'Special Names'!A:B,2,FALSE),B2820),PlayerValues!E:E,0)),"N/A")</f>
        <v>17064</v>
      </c>
      <c r="B2820" s="4" t="s">
        <v>631</v>
      </c>
      <c r="C2820" s="4" t="s">
        <v>278</v>
      </c>
      <c r="D2820" s="94">
        <v>1671.0</v>
      </c>
    </row>
    <row r="2821">
      <c r="A2821" s="40" t="str">
        <f t="array" ref="A2821">IFNA(index(PlayerValues!A:A,match(IFNA(vlookup(B2821,'Special Names'!A:B,2,FALSE),B2821),PlayerValues!E:E,0)),"N/A")</f>
        <v>N/A</v>
      </c>
      <c r="B2821" s="4" t="s">
        <v>103</v>
      </c>
      <c r="C2821" s="4" t="s">
        <v>325</v>
      </c>
      <c r="D2821" s="94">
        <v>1669.0</v>
      </c>
    </row>
    <row r="2822">
      <c r="A2822" s="40">
        <f t="array" ref="A2822">IFNA(index(PlayerValues!A:A,match(IFNA(vlookup(B2822,'Special Names'!A:B,2,FALSE),B2822),PlayerValues!E:E,0)),"N/A")</f>
        <v>16629</v>
      </c>
      <c r="B2822" s="4" t="s">
        <v>605</v>
      </c>
      <c r="C2822" s="4" t="s">
        <v>287</v>
      </c>
      <c r="D2822" s="94">
        <v>1667.0</v>
      </c>
    </row>
    <row r="2823">
      <c r="A2823" s="40">
        <f t="array" ref="A2823">IFNA(index(PlayerValues!A:A,match(IFNA(vlookup(B2823,'Special Names'!A:B,2,FALSE),B2823),PlayerValues!E:E,0)),"N/A")</f>
        <v>16788</v>
      </c>
      <c r="B2823" s="4" t="s">
        <v>621</v>
      </c>
      <c r="C2823" s="4" t="s">
        <v>287</v>
      </c>
      <c r="D2823" s="94">
        <v>1656.0</v>
      </c>
    </row>
    <row r="2824">
      <c r="A2824" s="40">
        <f t="array" ref="A2824">IFNA(index(PlayerValues!A:A,match(IFNA(vlookup(B2824,'Special Names'!A:B,2,FALSE),B2824),PlayerValues!E:E,0)),"N/A")</f>
        <v>16601</v>
      </c>
      <c r="B2824" s="4" t="s">
        <v>648</v>
      </c>
      <c r="C2824" s="4" t="s">
        <v>278</v>
      </c>
      <c r="D2824" s="94">
        <v>1652.0</v>
      </c>
    </row>
    <row r="2825">
      <c r="A2825" s="40">
        <f t="array" ref="A2825">IFNA(index(PlayerValues!A:A,match(IFNA(vlookup(B2825,'Special Names'!A:B,2,FALSE),B2825),PlayerValues!E:E,0)),"N/A")</f>
        <v>16207</v>
      </c>
      <c r="B2825" s="4" t="s">
        <v>636</v>
      </c>
      <c r="C2825" s="4" t="s">
        <v>287</v>
      </c>
      <c r="D2825" s="94">
        <v>1650.0</v>
      </c>
    </row>
    <row r="2826">
      <c r="A2826" s="40">
        <f t="array" ref="A2826">IFNA(index(PlayerValues!A:A,match(IFNA(vlookup(B2826,'Special Names'!A:B,2,FALSE),B2826),PlayerValues!E:E,0)),"N/A")</f>
        <v>17058</v>
      </c>
      <c r="B2826" s="4" t="s">
        <v>641</v>
      </c>
      <c r="C2826" s="4" t="s">
        <v>278</v>
      </c>
      <c r="D2826" s="94">
        <v>1649.0</v>
      </c>
    </row>
    <row r="2827">
      <c r="A2827" s="40">
        <f t="array" ref="A2827">IFNA(index(PlayerValues!A:A,match(IFNA(vlookup(B2827,'Special Names'!A:B,2,FALSE),B2827),PlayerValues!E:E,0)),"N/A")</f>
        <v>15759</v>
      </c>
      <c r="B2827" s="4" t="s">
        <v>662</v>
      </c>
      <c r="C2827" s="4" t="s">
        <v>287</v>
      </c>
      <c r="D2827" s="94">
        <v>1641.0</v>
      </c>
    </row>
    <row r="2828">
      <c r="A2828" s="40">
        <f t="array" ref="A2828">IFNA(index(PlayerValues!A:A,match(IFNA(vlookup(B2828,'Special Names'!A:B,2,FALSE),B2828),PlayerValues!E:E,0)),"N/A")</f>
        <v>15319</v>
      </c>
      <c r="B2828" s="4" t="s">
        <v>644</v>
      </c>
      <c r="C2828" s="4" t="s">
        <v>287</v>
      </c>
      <c r="D2828" s="94">
        <v>1637.0</v>
      </c>
    </row>
    <row r="2829">
      <c r="A2829" s="40">
        <f t="array" ref="A2829">IFNA(index(PlayerValues!A:A,match(IFNA(vlookup(B2829,'Special Names'!A:B,2,FALSE),B2829),PlayerValues!E:E,0)),"N/A")</f>
        <v>16595</v>
      </c>
      <c r="B2829" s="4" t="s">
        <v>664</v>
      </c>
      <c r="C2829" s="4" t="s">
        <v>278</v>
      </c>
      <c r="D2829" s="94">
        <v>1634.0</v>
      </c>
    </row>
    <row r="2830">
      <c r="A2830" s="40">
        <f t="array" ref="A2830">IFNA(index(PlayerValues!A:A,match(IFNA(vlookup(B2830,'Special Names'!A:B,2,FALSE),B2830),PlayerValues!E:E,0)),"N/A")</f>
        <v>15337</v>
      </c>
      <c r="B2830" s="4" t="s">
        <v>655</v>
      </c>
      <c r="C2830" s="4" t="s">
        <v>298</v>
      </c>
      <c r="D2830" s="94">
        <v>2000.0</v>
      </c>
    </row>
    <row r="2831">
      <c r="A2831" s="40" t="str">
        <f t="array" ref="A2831">IFNA(index(PlayerValues!A:A,match(IFNA(vlookup(B2831,'Special Names'!A:B,2,FALSE),B2831),PlayerValues!E:E,0)),"N/A")</f>
        <v>N/A</v>
      </c>
      <c r="B2831" s="4" t="s">
        <v>90</v>
      </c>
      <c r="C2831" s="4" t="s">
        <v>325</v>
      </c>
      <c r="D2831" s="94">
        <v>1600.0</v>
      </c>
    </row>
    <row r="2832">
      <c r="A2832" s="40">
        <f t="array" ref="A2832">IFNA(index(PlayerValues!A:A,match(IFNA(vlookup(B2832,'Special Names'!A:B,2,FALSE),B2832),PlayerValues!E:E,0)),"N/A")</f>
        <v>17205</v>
      </c>
      <c r="B2832" s="4" t="s">
        <v>665</v>
      </c>
      <c r="C2832" s="4" t="s">
        <v>287</v>
      </c>
      <c r="D2832" s="94">
        <v>1590.0</v>
      </c>
    </row>
    <row r="2833">
      <c r="A2833" s="40">
        <f t="array" ref="A2833">IFNA(index(PlayerValues!A:A,match(IFNA(vlookup(B2833,'Special Names'!A:B,2,FALSE),B2833),PlayerValues!E:E,0)),"N/A")</f>
        <v>15752</v>
      </c>
      <c r="B2833" s="4" t="s">
        <v>647</v>
      </c>
      <c r="C2833" s="4" t="s">
        <v>287</v>
      </c>
      <c r="D2833" s="94">
        <v>1588.0</v>
      </c>
    </row>
    <row r="2834">
      <c r="A2834" s="40">
        <f t="array" ref="A2834">IFNA(index(PlayerValues!A:A,match(IFNA(vlookup(B2834,'Special Names'!A:B,2,FALSE),B2834),PlayerValues!E:E,0)),"N/A")</f>
        <v>16175</v>
      </c>
      <c r="B2834" s="4" t="s">
        <v>654</v>
      </c>
      <c r="C2834" s="4" t="s">
        <v>278</v>
      </c>
      <c r="D2834" s="94">
        <v>1585.0</v>
      </c>
    </row>
    <row r="2835">
      <c r="A2835" s="40">
        <f t="array" ref="A2835">IFNA(index(PlayerValues!A:A,match(IFNA(vlookup(B2835,'Special Names'!A:B,2,FALSE),B2835),PlayerValues!E:E,0)),"N/A")</f>
        <v>17234</v>
      </c>
      <c r="B2835" s="4" t="s">
        <v>653</v>
      </c>
      <c r="C2835" s="4" t="s">
        <v>287</v>
      </c>
      <c r="D2835" s="94">
        <v>1581.0</v>
      </c>
    </row>
    <row r="2836">
      <c r="A2836" s="40">
        <f t="array" ref="A2836">IFNA(index(PlayerValues!A:A,match(IFNA(vlookup(B2836,'Special Names'!A:B,2,FALSE),B2836),PlayerValues!E:E,0)),"N/A")</f>
        <v>16633</v>
      </c>
      <c r="B2836" s="4" t="s">
        <v>656</v>
      </c>
      <c r="C2836" s="4" t="s">
        <v>287</v>
      </c>
      <c r="D2836" s="94">
        <v>1580.0</v>
      </c>
    </row>
    <row r="2837">
      <c r="A2837" s="40">
        <f t="array" ref="A2837">IFNA(index(PlayerValues!A:A,match(IFNA(vlookup(B2837,'Special Names'!A:B,2,FALSE),B2837),PlayerValues!E:E,0)),"N/A")</f>
        <v>16688</v>
      </c>
      <c r="B2837" s="4" t="s">
        <v>688</v>
      </c>
      <c r="C2837" s="4" t="s">
        <v>278</v>
      </c>
      <c r="D2837" s="94">
        <v>1570.0</v>
      </c>
    </row>
    <row r="2838">
      <c r="A2838" s="40">
        <f t="array" ref="A2838">IFNA(index(PlayerValues!A:A,match(IFNA(vlookup(B2838,'Special Names'!A:B,2,FALSE),B2838),PlayerValues!E:E,0)),"N/A")</f>
        <v>11222</v>
      </c>
      <c r="B2838" s="4" t="s">
        <v>622</v>
      </c>
      <c r="C2838" s="4" t="s">
        <v>287</v>
      </c>
      <c r="D2838" s="94">
        <v>1566.0</v>
      </c>
    </row>
    <row r="2839">
      <c r="A2839" s="40">
        <f t="array" ref="A2839">IFNA(index(PlayerValues!A:A,match(IFNA(vlookup(B2839,'Special Names'!A:B,2,FALSE),B2839),PlayerValues!E:E,0)),"N/A")</f>
        <v>15777</v>
      </c>
      <c r="B2839" s="4" t="s">
        <v>694</v>
      </c>
      <c r="C2839" s="4" t="s">
        <v>287</v>
      </c>
      <c r="D2839" s="94">
        <v>1550.0</v>
      </c>
    </row>
    <row r="2840">
      <c r="A2840" s="40">
        <f t="array" ref="A2840">IFNA(index(PlayerValues!A:A,match(IFNA(vlookup(B2840,'Special Names'!A:B,2,FALSE),B2840),PlayerValues!E:E,0)),"N/A")</f>
        <v>15713</v>
      </c>
      <c r="B2840" s="4" t="s">
        <v>732</v>
      </c>
      <c r="C2840" s="4" t="s">
        <v>278</v>
      </c>
      <c r="D2840" s="94">
        <v>1548.0</v>
      </c>
    </row>
    <row r="2841">
      <c r="A2841" s="40">
        <f t="array" ref="A2841">IFNA(index(PlayerValues!A:A,match(IFNA(vlookup(B2841,'Special Names'!A:B,2,FALSE),B2841),PlayerValues!E:E,0)),"N/A")</f>
        <v>16149</v>
      </c>
      <c r="B2841" s="4" t="s">
        <v>740</v>
      </c>
      <c r="C2841" s="4" t="s">
        <v>283</v>
      </c>
      <c r="D2841" s="94">
        <v>1542.0</v>
      </c>
    </row>
    <row r="2842">
      <c r="A2842" s="40">
        <f t="array" ref="A2842">IFNA(index(PlayerValues!A:A,match(IFNA(vlookup(B2842,'Special Names'!A:B,2,FALSE),B2842),PlayerValues!E:E,0)),"N/A")</f>
        <v>16792</v>
      </c>
      <c r="B2842" s="4" t="s">
        <v>704</v>
      </c>
      <c r="C2842" s="4" t="s">
        <v>287</v>
      </c>
      <c r="D2842" s="94">
        <v>1536.0</v>
      </c>
    </row>
    <row r="2843">
      <c r="A2843" s="40">
        <f t="array" ref="A2843">IFNA(index(PlayerValues!A:A,match(IFNA(vlookup(B2843,'Special Names'!A:B,2,FALSE),B2843),PlayerValues!E:E,0)),"N/A")</f>
        <v>14122</v>
      </c>
      <c r="B2843" s="4" t="s">
        <v>663</v>
      </c>
      <c r="C2843" s="4" t="s">
        <v>287</v>
      </c>
      <c r="D2843" s="94">
        <v>1526.0</v>
      </c>
    </row>
    <row r="2844">
      <c r="A2844" s="40" t="str">
        <f t="array" ref="A2844">IFNA(index(PlayerValues!A:A,match(IFNA(vlookup(B2844,'Special Names'!A:B,2,FALSE),B2844),PlayerValues!E:E,0)),"N/A")</f>
        <v>N/A</v>
      </c>
      <c r="B2844" s="4" t="s">
        <v>116</v>
      </c>
      <c r="C2844" s="4" t="s">
        <v>325</v>
      </c>
      <c r="D2844" s="94">
        <v>1521.0</v>
      </c>
    </row>
    <row r="2845">
      <c r="A2845" s="40" t="str">
        <f t="array" ref="A2845">IFNA(index(PlayerValues!A:A,match(IFNA(vlookup(B2845,'Special Names'!A:B,2,FALSE),B2845),PlayerValues!E:E,0)),"N/A")</f>
        <v>N/A</v>
      </c>
      <c r="B2845" s="4" t="s">
        <v>91</v>
      </c>
      <c r="C2845" s="4" t="s">
        <v>325</v>
      </c>
      <c r="D2845" s="94">
        <v>1518.0</v>
      </c>
    </row>
    <row r="2846">
      <c r="A2846" s="40">
        <f t="array" ref="A2846">IFNA(index(PlayerValues!A:A,match(IFNA(vlookup(B2846,'Special Names'!A:B,2,FALSE),B2846),PlayerValues!E:E,0)),"N/A")</f>
        <v>17467</v>
      </c>
      <c r="B2846" s="4" t="s">
        <v>575</v>
      </c>
      <c r="C2846" s="4" t="s">
        <v>283</v>
      </c>
      <c r="D2846" s="94">
        <v>1516.0</v>
      </c>
    </row>
    <row r="2847">
      <c r="A2847" s="40">
        <f t="array" ref="A2847">IFNA(index(PlayerValues!A:A,match(IFNA(vlookup(B2847,'Special Names'!A:B,2,FALSE),B2847),PlayerValues!E:E,0)),"N/A")</f>
        <v>15873</v>
      </c>
      <c r="B2847" s="4" t="s">
        <v>681</v>
      </c>
      <c r="C2847" s="4" t="s">
        <v>298</v>
      </c>
      <c r="D2847" s="94">
        <v>1871.0</v>
      </c>
    </row>
    <row r="2848">
      <c r="A2848" s="40">
        <f t="array" ref="A2848">IFNA(index(PlayerValues!A:A,match(IFNA(vlookup(B2848,'Special Names'!A:B,2,FALSE),B2848),PlayerValues!E:E,0)),"N/A")</f>
        <v>16390</v>
      </c>
      <c r="B2848" s="4" t="s">
        <v>689</v>
      </c>
      <c r="C2848" s="4" t="s">
        <v>278</v>
      </c>
      <c r="D2848" s="94">
        <v>1497.0</v>
      </c>
    </row>
    <row r="2849">
      <c r="A2849" s="40">
        <f t="array" ref="A2849">IFNA(index(PlayerValues!A:A,match(IFNA(vlookup(B2849,'Special Names'!A:B,2,FALSE),B2849),PlayerValues!E:E,0)),"N/A")</f>
        <v>17037</v>
      </c>
      <c r="B2849" s="4" t="s">
        <v>727</v>
      </c>
      <c r="C2849" s="4" t="s">
        <v>283</v>
      </c>
      <c r="D2849" s="94">
        <v>1497.0</v>
      </c>
    </row>
    <row r="2850">
      <c r="A2850" s="40">
        <f t="array" ref="A2850">IFNA(index(PlayerValues!A:A,match(IFNA(vlookup(B2850,'Special Names'!A:B,2,FALSE),B2850),PlayerValues!E:E,0)),"N/A")</f>
        <v>16631</v>
      </c>
      <c r="B2850" s="4" t="s">
        <v>800</v>
      </c>
      <c r="C2850" s="4" t="s">
        <v>287</v>
      </c>
      <c r="D2850" s="94">
        <v>1487.0</v>
      </c>
    </row>
    <row r="2851">
      <c r="A2851" s="40">
        <f t="array" ref="A2851">IFNA(index(PlayerValues!A:A,match(IFNA(vlookup(B2851,'Special Names'!A:B,2,FALSE),B2851),PlayerValues!E:E,0)),"N/A")</f>
        <v>12140</v>
      </c>
      <c r="B2851" s="4" t="s">
        <v>702</v>
      </c>
      <c r="C2851" s="4" t="s">
        <v>283</v>
      </c>
      <c r="D2851" s="94">
        <v>1485.0</v>
      </c>
    </row>
    <row r="2852">
      <c r="A2852" s="40">
        <f t="array" ref="A2852">IFNA(index(PlayerValues!A:A,match(IFNA(vlookup(B2852,'Special Names'!A:B,2,FALSE),B2852),PlayerValues!E:E,0)),"N/A")</f>
        <v>17528</v>
      </c>
      <c r="B2852" s="4" t="s">
        <v>579</v>
      </c>
      <c r="C2852" s="4" t="s">
        <v>287</v>
      </c>
      <c r="D2852" s="94">
        <v>1482.0</v>
      </c>
    </row>
    <row r="2853">
      <c r="A2853" s="40">
        <f t="array" ref="A2853">IFNA(index(PlayerValues!A:A,match(IFNA(vlookup(B2853,'Special Names'!A:B,2,FALSE),B2853),PlayerValues!E:E,0)),"N/A")</f>
        <v>15252</v>
      </c>
      <c r="B2853" s="4" t="s">
        <v>715</v>
      </c>
      <c r="C2853" s="4" t="s">
        <v>283</v>
      </c>
      <c r="D2853" s="94">
        <v>1481.0</v>
      </c>
    </row>
    <row r="2854">
      <c r="A2854" s="40">
        <f t="array" ref="A2854">IFNA(index(PlayerValues!A:A,match(IFNA(vlookup(B2854,'Special Names'!A:B,2,FALSE),B2854),PlayerValues!E:E,0)),"N/A")</f>
        <v>16384</v>
      </c>
      <c r="B2854" s="4" t="s">
        <v>696</v>
      </c>
      <c r="C2854" s="4" t="s">
        <v>283</v>
      </c>
      <c r="D2854" s="94">
        <v>1465.0</v>
      </c>
    </row>
    <row r="2855">
      <c r="A2855" s="40">
        <f t="array" ref="A2855">IFNA(index(PlayerValues!A:A,match(IFNA(vlookup(B2855,'Special Names'!A:B,2,FALSE),B2855),PlayerValues!E:E,0)),"N/A")</f>
        <v>13418</v>
      </c>
      <c r="B2855" s="4" t="s">
        <v>706</v>
      </c>
      <c r="C2855" s="4" t="s">
        <v>287</v>
      </c>
      <c r="D2855" s="94">
        <v>1442.0</v>
      </c>
    </row>
    <row r="2856">
      <c r="A2856" s="40">
        <f t="array" ref="A2856">IFNA(index(PlayerValues!A:A,match(IFNA(vlookup(B2856,'Special Names'!A:B,2,FALSE),B2856),PlayerValues!E:E,0)),"N/A")</f>
        <v>17254</v>
      </c>
      <c r="B2856" s="4" t="s">
        <v>679</v>
      </c>
      <c r="C2856" s="4" t="s">
        <v>287</v>
      </c>
      <c r="D2856" s="94">
        <v>1435.0</v>
      </c>
    </row>
    <row r="2857">
      <c r="A2857" s="40">
        <f t="array" ref="A2857">IFNA(index(PlayerValues!A:A,match(IFNA(vlookup(B2857,'Special Names'!A:B,2,FALSE),B2857),PlayerValues!E:E,0)),"N/A")</f>
        <v>16642</v>
      </c>
      <c r="B2857" s="4" t="s">
        <v>691</v>
      </c>
      <c r="C2857" s="4" t="s">
        <v>298</v>
      </c>
      <c r="D2857" s="94">
        <v>1788.0</v>
      </c>
    </row>
    <row r="2858">
      <c r="A2858" s="40">
        <f t="array" ref="A2858">IFNA(index(PlayerValues!A:A,match(IFNA(vlookup(B2858,'Special Names'!A:B,2,FALSE),B2858),PlayerValues!E:E,0)),"N/A")</f>
        <v>12141</v>
      </c>
      <c r="B2858" s="4" t="s">
        <v>744</v>
      </c>
      <c r="C2858" s="4" t="s">
        <v>283</v>
      </c>
      <c r="D2858" s="94">
        <v>1417.0</v>
      </c>
    </row>
    <row r="2859">
      <c r="A2859" s="40">
        <f t="array" ref="A2859">IFNA(index(PlayerValues!A:A,match(IFNA(vlookup(B2859,'Special Names'!A:B,2,FALSE),B2859),PlayerValues!E:E,0)),"N/A")</f>
        <v>15292</v>
      </c>
      <c r="B2859" s="4" t="s">
        <v>682</v>
      </c>
      <c r="C2859" s="4" t="s">
        <v>287</v>
      </c>
      <c r="D2859" s="94">
        <v>1412.0</v>
      </c>
    </row>
    <row r="2860">
      <c r="A2860" s="40">
        <f t="array" ref="A2860">IFNA(index(PlayerValues!A:A,match(IFNA(vlookup(B2860,'Special Names'!A:B,2,FALSE),B2860),PlayerValues!E:E,0)),"N/A")</f>
        <v>12678</v>
      </c>
      <c r="B2860" s="4" t="s">
        <v>703</v>
      </c>
      <c r="C2860" s="4" t="s">
        <v>298</v>
      </c>
      <c r="D2860" s="94">
        <v>1781.0</v>
      </c>
    </row>
    <row r="2861">
      <c r="A2861" s="40">
        <f t="array" ref="A2861">IFNA(index(PlayerValues!A:A,match(IFNA(vlookup(B2861,'Special Names'!A:B,2,FALSE),B2861),PlayerValues!E:E,0)),"N/A")</f>
        <v>14137</v>
      </c>
      <c r="B2861" s="4" t="s">
        <v>676</v>
      </c>
      <c r="C2861" s="4" t="s">
        <v>298</v>
      </c>
      <c r="D2861" s="94">
        <v>1773.0</v>
      </c>
    </row>
    <row r="2862">
      <c r="A2862" s="40">
        <f t="array" ref="A2862">IFNA(index(PlayerValues!A:A,match(IFNA(vlookup(B2862,'Special Names'!A:B,2,FALSE),B2862),PlayerValues!E:E,0)),"N/A")</f>
        <v>17269</v>
      </c>
      <c r="B2862" s="4" t="s">
        <v>718</v>
      </c>
      <c r="C2862" s="4" t="s">
        <v>287</v>
      </c>
      <c r="D2862" s="94">
        <v>1401.0</v>
      </c>
    </row>
    <row r="2863">
      <c r="A2863" s="40">
        <f t="array" ref="A2863">IFNA(index(PlayerValues!A:A,match(IFNA(vlookup(B2863,'Special Names'!A:B,2,FALSE),B2863),PlayerValues!E:E,0)),"N/A")</f>
        <v>14080</v>
      </c>
      <c r="B2863" s="4" t="s">
        <v>716</v>
      </c>
      <c r="C2863" s="4" t="s">
        <v>278</v>
      </c>
      <c r="D2863" s="94">
        <v>1396.0</v>
      </c>
    </row>
    <row r="2864">
      <c r="A2864" s="40">
        <f t="array" ref="A2864">IFNA(index(PlayerValues!A:A,match(IFNA(vlookup(B2864,'Special Names'!A:B,2,FALSE),B2864),PlayerValues!E:E,0)),"N/A")</f>
        <v>16621</v>
      </c>
      <c r="B2864" s="4" t="s">
        <v>672</v>
      </c>
      <c r="C2864" s="4" t="s">
        <v>287</v>
      </c>
      <c r="D2864" s="94">
        <v>1395.0</v>
      </c>
    </row>
    <row r="2865">
      <c r="A2865" s="40">
        <f t="array" ref="A2865">IFNA(index(PlayerValues!A:A,match(IFNA(vlookup(B2865,'Special Names'!A:B,2,FALSE),B2865),PlayerValues!E:E,0)),"N/A")</f>
        <v>17481</v>
      </c>
      <c r="B2865" s="4" t="s">
        <v>540</v>
      </c>
      <c r="C2865" s="4" t="s">
        <v>278</v>
      </c>
      <c r="D2865" s="94">
        <v>1393.0</v>
      </c>
    </row>
    <row r="2866">
      <c r="A2866" s="40">
        <f t="array" ref="A2866">IFNA(index(PlayerValues!A:A,match(IFNA(vlookup(B2866,'Special Names'!A:B,2,FALSE),B2866),PlayerValues!E:E,0)),"N/A")</f>
        <v>17062</v>
      </c>
      <c r="B2866" s="4" t="s">
        <v>701</v>
      </c>
      <c r="C2866" s="4" t="s">
        <v>278</v>
      </c>
      <c r="D2866" s="94">
        <v>1388.0</v>
      </c>
    </row>
    <row r="2867">
      <c r="A2867" s="40">
        <f t="array" ref="A2867">IFNA(index(PlayerValues!A:A,match(IFNA(vlookup(B2867,'Special Names'!A:B,2,FALSE),B2867),PlayerValues!E:E,0)),"N/A")</f>
        <v>17054</v>
      </c>
      <c r="B2867" s="4" t="s">
        <v>670</v>
      </c>
      <c r="C2867" s="4" t="s">
        <v>278</v>
      </c>
      <c r="D2867" s="94">
        <v>1373.0</v>
      </c>
    </row>
    <row r="2868">
      <c r="A2868" s="40">
        <f t="array" ref="A2868">IFNA(index(PlayerValues!A:A,match(IFNA(vlookup(B2868,'Special Names'!A:B,2,FALSE),B2868),PlayerValues!E:E,0)),"N/A")</f>
        <v>13672</v>
      </c>
      <c r="B2868" s="4" t="s">
        <v>667</v>
      </c>
      <c r="C2868" s="4" t="s">
        <v>298</v>
      </c>
      <c r="D2868" s="94">
        <v>1724.0</v>
      </c>
    </row>
    <row r="2869">
      <c r="A2869" s="40">
        <f t="array" ref="A2869">IFNA(index(PlayerValues!A:A,match(IFNA(vlookup(B2869,'Special Names'!A:B,2,FALSE),B2869),PlayerValues!E:E,0)),"N/A")</f>
        <v>17077</v>
      </c>
      <c r="B2869" s="4" t="s">
        <v>714</v>
      </c>
      <c r="C2869" s="4" t="s">
        <v>287</v>
      </c>
      <c r="D2869" s="94">
        <v>1352.0</v>
      </c>
    </row>
    <row r="2870">
      <c r="A2870" s="40">
        <f t="array" ref="A2870">IFNA(index(PlayerValues!A:A,match(IFNA(vlookup(B2870,'Special Names'!A:B,2,FALSE),B2870),PlayerValues!E:E,0)),"N/A")</f>
        <v>17514</v>
      </c>
      <c r="B2870" s="4" t="s">
        <v>422</v>
      </c>
      <c r="C2870" s="4" t="s">
        <v>287</v>
      </c>
      <c r="D2870" s="94">
        <v>1347.0</v>
      </c>
    </row>
    <row r="2871">
      <c r="A2871" s="40">
        <f t="array" ref="A2871">IFNA(index(PlayerValues!A:A,match(IFNA(vlookup(B2871,'Special Names'!A:B,2,FALSE),B2871),PlayerValues!E:E,0)),"N/A")</f>
        <v>15332</v>
      </c>
      <c r="B2871" s="4" t="s">
        <v>698</v>
      </c>
      <c r="C2871" s="4" t="s">
        <v>298</v>
      </c>
      <c r="D2871" s="94">
        <v>1711.0</v>
      </c>
    </row>
    <row r="2872">
      <c r="A2872" s="40">
        <f t="array" ref="A2872">IFNA(index(PlayerValues!A:A,match(IFNA(vlookup(B2872,'Special Names'!A:B,2,FALSE),B2872),PlayerValues!E:E,0)),"N/A")</f>
        <v>14086</v>
      </c>
      <c r="B2872" s="4" t="s">
        <v>639</v>
      </c>
      <c r="C2872" s="4" t="s">
        <v>278</v>
      </c>
      <c r="D2872" s="94">
        <v>1336.0</v>
      </c>
    </row>
    <row r="2873">
      <c r="A2873" s="40">
        <f t="array" ref="A2873">IFNA(index(PlayerValues!A:A,match(IFNA(vlookup(B2873,'Special Names'!A:B,2,FALSE),B2873),PlayerValues!E:E,0)),"N/A")</f>
        <v>16608</v>
      </c>
      <c r="B2873" s="4" t="s">
        <v>629</v>
      </c>
      <c r="C2873" s="4" t="s">
        <v>278</v>
      </c>
      <c r="D2873" s="94">
        <v>1336.0</v>
      </c>
    </row>
    <row r="2874">
      <c r="A2874" s="40">
        <f t="array" ref="A2874">IFNA(index(PlayerValues!A:A,match(IFNA(vlookup(B2874,'Special Names'!A:B,2,FALSE),B2874),PlayerValues!E:E,0)),"N/A")</f>
        <v>15738</v>
      </c>
      <c r="B2874" s="4" t="s">
        <v>634</v>
      </c>
      <c r="C2874" s="4" t="s">
        <v>278</v>
      </c>
      <c r="D2874" s="94">
        <v>1322.0</v>
      </c>
    </row>
    <row r="2875">
      <c r="A2875" s="40">
        <f t="array" ref="A2875">IFNA(index(PlayerValues!A:A,match(IFNA(vlookup(B2875,'Special Names'!A:B,2,FALSE),B2875),PlayerValues!E:E,0)),"N/A")</f>
        <v>16183</v>
      </c>
      <c r="B2875" s="4" t="s">
        <v>678</v>
      </c>
      <c r="C2875" s="4" t="s">
        <v>287</v>
      </c>
      <c r="D2875" s="94">
        <v>1303.0</v>
      </c>
    </row>
    <row r="2876">
      <c r="A2876" s="40">
        <f t="array" ref="A2876">IFNA(index(PlayerValues!A:A,match(IFNA(vlookup(B2876,'Special Names'!A:B,2,FALSE),B2876),PlayerValues!E:E,0)),"N/A")</f>
        <v>14095</v>
      </c>
      <c r="B2876" s="4" t="s">
        <v>680</v>
      </c>
      <c r="C2876" s="4" t="s">
        <v>278</v>
      </c>
      <c r="D2876" s="94">
        <v>1296.0</v>
      </c>
    </row>
    <row r="2877">
      <c r="A2877" s="40" t="str">
        <f t="array" ref="A2877">IFNA(index(PlayerValues!A:A,match(IFNA(vlookup(B2877,'Special Names'!A:B,2,FALSE),B2877),PlayerValues!E:E,0)),"N/A")</f>
        <v>N/A</v>
      </c>
      <c r="B2877" s="4" t="s">
        <v>117</v>
      </c>
      <c r="C2877" s="4" t="s">
        <v>325</v>
      </c>
      <c r="D2877" s="94">
        <v>1295.0</v>
      </c>
    </row>
    <row r="2878">
      <c r="A2878" s="40">
        <f t="array" ref="A2878">IFNA(index(PlayerValues!A:A,match(IFNA(vlookup(B2878,'Special Names'!A:B,2,FALSE),B2878),PlayerValues!E:E,0)),"N/A")</f>
        <v>16645</v>
      </c>
      <c r="B2878" s="4" t="s">
        <v>651</v>
      </c>
      <c r="C2878" s="4" t="s">
        <v>298</v>
      </c>
      <c r="D2878" s="94">
        <v>1659.0</v>
      </c>
    </row>
    <row r="2879">
      <c r="A2879" s="40">
        <f t="array" ref="A2879">IFNA(index(PlayerValues!A:A,match(IFNA(vlookup(B2879,'Special Names'!A:B,2,FALSE),B2879),PlayerValues!E:E,0)),"N/A")</f>
        <v>15288</v>
      </c>
      <c r="B2879" s="4" t="s">
        <v>700</v>
      </c>
      <c r="C2879" s="4" t="s">
        <v>287</v>
      </c>
      <c r="D2879" s="94">
        <v>1287.0</v>
      </c>
    </row>
    <row r="2880">
      <c r="A2880" s="40">
        <f t="array" ref="A2880">IFNA(index(PlayerValues!A:A,match(IFNA(vlookup(B2880,'Special Names'!A:B,2,FALSE),B2880),PlayerValues!E:E,0)),"N/A")</f>
        <v>15702</v>
      </c>
      <c r="B2880" s="4" t="s">
        <v>723</v>
      </c>
      <c r="C2880" s="4" t="s">
        <v>283</v>
      </c>
      <c r="D2880" s="94">
        <v>1270.0</v>
      </c>
    </row>
    <row r="2881">
      <c r="A2881" s="40">
        <f t="array" ref="A2881">IFNA(index(PlayerValues!A:A,match(IFNA(vlookup(B2881,'Special Names'!A:B,2,FALSE),B2881),PlayerValues!E:E,0)),"N/A")</f>
        <v>14108</v>
      </c>
      <c r="B2881" s="4" t="s">
        <v>673</v>
      </c>
      <c r="C2881" s="4" t="s">
        <v>287</v>
      </c>
      <c r="D2881" s="94">
        <v>1265.0</v>
      </c>
    </row>
    <row r="2882">
      <c r="A2882" s="40">
        <f t="array" ref="A2882">IFNA(index(PlayerValues!A:A,match(IFNA(vlookup(B2882,'Special Names'!A:B,2,FALSE),B2882),PlayerValues!E:E,0)),"N/A")</f>
        <v>14592</v>
      </c>
      <c r="B2882" s="4" t="s">
        <v>705</v>
      </c>
      <c r="C2882" s="4" t="s">
        <v>287</v>
      </c>
      <c r="D2882" s="94">
        <v>1257.0</v>
      </c>
    </row>
    <row r="2883">
      <c r="A2883" s="40">
        <f t="array" ref="A2883">IFNA(index(PlayerValues!A:A,match(IFNA(vlookup(B2883,'Special Names'!A:B,2,FALSE),B2883),PlayerValues!E:E,0)),"N/A")</f>
        <v>17097</v>
      </c>
      <c r="B2883" s="4" t="s">
        <v>659</v>
      </c>
      <c r="C2883" s="4" t="s">
        <v>287</v>
      </c>
      <c r="D2883" s="94">
        <v>1256.0</v>
      </c>
    </row>
    <row r="2884">
      <c r="A2884" s="40">
        <f t="array" ref="A2884">IFNA(index(PlayerValues!A:A,match(IFNA(vlookup(B2884,'Special Names'!A:B,2,FALSE),B2884),PlayerValues!E:E,0)),"N/A")</f>
        <v>16333</v>
      </c>
      <c r="B2884" s="4" t="s">
        <v>711</v>
      </c>
      <c r="C2884" s="4" t="s">
        <v>298</v>
      </c>
      <c r="D2884" s="94">
        <v>1621.0</v>
      </c>
    </row>
    <row r="2885">
      <c r="A2885" s="40">
        <f t="array" ref="A2885">IFNA(index(PlayerValues!A:A,match(IFNA(vlookup(B2885,'Special Names'!A:B,2,FALSE),B2885),PlayerValues!E:E,0)),"N/A")</f>
        <v>16221</v>
      </c>
      <c r="B2885" s="4" t="s">
        <v>725</v>
      </c>
      <c r="C2885" s="4" t="s">
        <v>298</v>
      </c>
      <c r="D2885" s="94">
        <v>1620.0</v>
      </c>
    </row>
    <row r="2886">
      <c r="A2886" s="40">
        <f t="array" ref="A2886">IFNA(index(PlayerValues!A:A,match(IFNA(vlookup(B2886,'Special Names'!A:B,2,FALSE),B2886),PlayerValues!E:E,0)),"N/A")</f>
        <v>17063</v>
      </c>
      <c r="B2886" s="4" t="s">
        <v>686</v>
      </c>
      <c r="C2886" s="4" t="s">
        <v>278</v>
      </c>
      <c r="D2886" s="94">
        <v>1251.0</v>
      </c>
    </row>
    <row r="2887">
      <c r="A2887" s="40">
        <f t="array" ref="A2887">IFNA(index(PlayerValues!A:A,match(IFNA(vlookup(B2887,'Special Names'!A:B,2,FALSE),B2887),PlayerValues!E:E,0)),"N/A")</f>
        <v>16636</v>
      </c>
      <c r="B2887" s="4" t="s">
        <v>699</v>
      </c>
      <c r="C2887" s="4" t="s">
        <v>287</v>
      </c>
      <c r="D2887" s="94">
        <v>1248.0</v>
      </c>
    </row>
    <row r="2888">
      <c r="A2888" s="40">
        <f t="array" ref="A2888">IFNA(index(PlayerValues!A:A,match(IFNA(vlookup(B2888,'Special Names'!A:B,2,FALSE),B2888),PlayerValues!E:E,0)),"N/A")</f>
        <v>14789</v>
      </c>
      <c r="B2888" s="4" t="s">
        <v>721</v>
      </c>
      <c r="C2888" s="4" t="s">
        <v>283</v>
      </c>
      <c r="D2888" s="94">
        <v>1243.0</v>
      </c>
    </row>
    <row r="2889">
      <c r="A2889" s="40">
        <f t="array" ref="A2889">IFNA(index(PlayerValues!A:A,match(IFNA(vlookup(B2889,'Special Names'!A:B,2,FALSE),B2889),PlayerValues!E:E,0)),"N/A")</f>
        <v>16883</v>
      </c>
      <c r="B2889" s="4" t="s">
        <v>683</v>
      </c>
      <c r="C2889" s="4" t="s">
        <v>287</v>
      </c>
      <c r="D2889" s="94">
        <v>1233.0</v>
      </c>
    </row>
    <row r="2890">
      <c r="A2890" s="40">
        <f t="array" ref="A2890">IFNA(index(PlayerValues!A:A,match(IFNA(vlookup(B2890,'Special Names'!A:B,2,FALSE),B2890),PlayerValues!E:E,0)),"N/A")</f>
        <v>15727</v>
      </c>
      <c r="B2890" s="4" t="s">
        <v>730</v>
      </c>
      <c r="C2890" s="4" t="s">
        <v>278</v>
      </c>
      <c r="D2890" s="94">
        <v>1230.0</v>
      </c>
    </row>
    <row r="2891">
      <c r="A2891" s="40">
        <f t="array" ref="A2891">IFNA(index(PlayerValues!A:A,match(IFNA(vlookup(B2891,'Special Names'!A:B,2,FALSE),B2891),PlayerValues!E:E,0)),"N/A")</f>
        <v>16199</v>
      </c>
      <c r="B2891" s="4" t="s">
        <v>687</v>
      </c>
      <c r="C2891" s="4" t="s">
        <v>287</v>
      </c>
      <c r="D2891" s="94">
        <v>1226.0</v>
      </c>
    </row>
    <row r="2892">
      <c r="A2892" s="40">
        <f t="array" ref="A2892">IFNA(index(PlayerValues!A:A,match(IFNA(vlookup(B2892,'Special Names'!A:B,2,FALSE),B2892),PlayerValues!E:E,0)),"N/A")</f>
        <v>15981</v>
      </c>
      <c r="B2892" s="4" t="s">
        <v>729</v>
      </c>
      <c r="C2892" s="4" t="s">
        <v>287</v>
      </c>
      <c r="D2892" s="94">
        <v>1223.0</v>
      </c>
    </row>
    <row r="2893">
      <c r="A2893" s="40">
        <f t="array" ref="A2893">IFNA(index(PlayerValues!A:A,match(IFNA(vlookup(B2893,'Special Names'!A:B,2,FALSE),B2893),PlayerValues!E:E,0)),"N/A")</f>
        <v>9064</v>
      </c>
      <c r="B2893" s="4" t="s">
        <v>761</v>
      </c>
      <c r="C2893" s="4" t="s">
        <v>283</v>
      </c>
      <c r="D2893" s="94">
        <v>1218.0</v>
      </c>
    </row>
    <row r="2894">
      <c r="A2894" s="40">
        <f t="array" ref="A2894">IFNA(index(PlayerValues!A:A,match(IFNA(vlookup(B2894,'Special Names'!A:B,2,FALSE),B2894),PlayerValues!E:E,0)),"N/A")</f>
        <v>17057</v>
      </c>
      <c r="B2894" s="4" t="s">
        <v>708</v>
      </c>
      <c r="C2894" s="4" t="s">
        <v>278</v>
      </c>
      <c r="D2894" s="94">
        <v>1205.0</v>
      </c>
    </row>
    <row r="2895">
      <c r="A2895" s="40">
        <f t="array" ref="A2895">IFNA(index(PlayerValues!A:A,match(IFNA(vlookup(B2895,'Special Names'!A:B,2,FALSE),B2895),PlayerValues!E:E,0)),"N/A")</f>
        <v>13193</v>
      </c>
      <c r="B2895" s="4" t="s">
        <v>773</v>
      </c>
      <c r="C2895" s="4" t="s">
        <v>298</v>
      </c>
      <c r="D2895" s="94">
        <v>1568.0</v>
      </c>
    </row>
    <row r="2896">
      <c r="A2896" s="40">
        <f t="array" ref="A2896">IFNA(index(PlayerValues!A:A,match(IFNA(vlookup(B2896,'Special Names'!A:B,2,FALSE),B2896),PlayerValues!E:E,0)),"N/A")</f>
        <v>13131</v>
      </c>
      <c r="B2896" s="4" t="s">
        <v>815</v>
      </c>
      <c r="C2896" s="4" t="s">
        <v>278</v>
      </c>
      <c r="D2896" s="94">
        <v>1195.0</v>
      </c>
    </row>
    <row r="2897">
      <c r="A2897" s="40">
        <f t="array" ref="A2897">IFNA(index(PlayerValues!A:A,match(IFNA(vlookup(B2897,'Special Names'!A:B,2,FALSE),B2897),PlayerValues!E:E,0)),"N/A")</f>
        <v>16385</v>
      </c>
      <c r="B2897" s="4" t="s">
        <v>690</v>
      </c>
      <c r="C2897" s="4" t="s">
        <v>278</v>
      </c>
      <c r="D2897" s="94">
        <v>1193.0</v>
      </c>
    </row>
    <row r="2898">
      <c r="A2898" s="40">
        <f t="array" ref="A2898">IFNA(index(PlayerValues!A:A,match(IFNA(vlookup(B2898,'Special Names'!A:B,2,FALSE),B2898),PlayerValues!E:E,0)),"N/A")</f>
        <v>15240</v>
      </c>
      <c r="B2898" s="4" t="s">
        <v>751</v>
      </c>
      <c r="C2898" s="4" t="s">
        <v>283</v>
      </c>
      <c r="D2898" s="94">
        <v>1183.0</v>
      </c>
    </row>
    <row r="2899">
      <c r="A2899" s="40">
        <f t="array" ref="A2899">IFNA(index(PlayerValues!A:A,match(IFNA(vlookup(B2899,'Special Names'!A:B,2,FALSE),B2899),PlayerValues!E:E,0)),"N/A")</f>
        <v>13289</v>
      </c>
      <c r="B2899" s="4" t="s">
        <v>746</v>
      </c>
      <c r="C2899" s="4" t="s">
        <v>287</v>
      </c>
      <c r="D2899" s="94">
        <v>1180.0</v>
      </c>
    </row>
    <row r="2900">
      <c r="A2900" s="40">
        <f t="array" ref="A2900">IFNA(index(PlayerValues!A:A,match(IFNA(vlookup(B2900,'Special Names'!A:B,2,FALSE),B2900),PlayerValues!E:E,0)),"N/A")</f>
        <v>17109</v>
      </c>
      <c r="B2900" s="4" t="s">
        <v>707</v>
      </c>
      <c r="C2900" s="4" t="s">
        <v>298</v>
      </c>
      <c r="D2900" s="94">
        <v>1541.0</v>
      </c>
    </row>
    <row r="2901">
      <c r="A2901" s="40">
        <f t="array" ref="A2901">IFNA(index(PlayerValues!A:A,match(IFNA(vlookup(B2901,'Special Names'!A:B,2,FALSE),B2901),PlayerValues!E:E,0)),"N/A")</f>
        <v>15692</v>
      </c>
      <c r="B2901" s="4" t="s">
        <v>750</v>
      </c>
      <c r="C2901" s="4" t="s">
        <v>283</v>
      </c>
      <c r="D2901" s="94">
        <v>1159.0</v>
      </c>
    </row>
    <row r="2902">
      <c r="A2902" s="40">
        <f t="array" ref="A2902">IFNA(index(PlayerValues!A:A,match(IFNA(vlookup(B2902,'Special Names'!A:B,2,FALSE),B2902),PlayerValues!E:E,0)),"N/A")</f>
        <v>16387</v>
      </c>
      <c r="B2902" s="4" t="s">
        <v>646</v>
      </c>
      <c r="C2902" s="4" t="s">
        <v>278</v>
      </c>
      <c r="D2902" s="94">
        <v>1158.0</v>
      </c>
    </row>
    <row r="2903">
      <c r="A2903" s="40">
        <f t="array" ref="A2903">IFNA(index(PlayerValues!A:A,match(IFNA(vlookup(B2903,'Special Names'!A:B,2,FALSE),B2903),PlayerValues!E:E,0)),"N/A")</f>
        <v>17546</v>
      </c>
      <c r="B2903" s="4" t="s">
        <v>671</v>
      </c>
      <c r="C2903" s="4" t="s">
        <v>298</v>
      </c>
      <c r="D2903" s="94">
        <v>1522.0</v>
      </c>
    </row>
    <row r="2904">
      <c r="A2904" s="40">
        <f t="array" ref="A2904">IFNA(index(PlayerValues!A:A,match(IFNA(vlookup(B2904,'Special Names'!A:B,2,FALSE),B2904),PlayerValues!E:E,0)),"N/A")</f>
        <v>14067</v>
      </c>
      <c r="B2904" s="4" t="s">
        <v>735</v>
      </c>
      <c r="C2904" s="4" t="s">
        <v>283</v>
      </c>
      <c r="D2904" s="94">
        <v>1153.0</v>
      </c>
    </row>
    <row r="2905">
      <c r="A2905" s="40">
        <f t="array" ref="A2905">IFNA(index(PlayerValues!A:A,match(IFNA(vlookup(B2905,'Special Names'!A:B,2,FALSE),B2905),PlayerValues!E:E,0)),"N/A")</f>
        <v>15730</v>
      </c>
      <c r="B2905" s="4" t="s">
        <v>734</v>
      </c>
      <c r="C2905" s="4" t="s">
        <v>278</v>
      </c>
      <c r="D2905" s="94">
        <v>1153.0</v>
      </c>
    </row>
    <row r="2906">
      <c r="A2906" s="40">
        <f t="array" ref="A2906">IFNA(index(PlayerValues!A:A,match(IFNA(vlookup(B2906,'Special Names'!A:B,2,FALSE),B2906),PlayerValues!E:E,0)),"N/A")</f>
        <v>16393</v>
      </c>
      <c r="B2906" s="4" t="s">
        <v>768</v>
      </c>
      <c r="C2906" s="4" t="s">
        <v>287</v>
      </c>
      <c r="D2906" s="94">
        <v>1152.0</v>
      </c>
    </row>
    <row r="2907">
      <c r="A2907" s="40">
        <f t="array" ref="A2907">IFNA(index(PlayerValues!A:A,match(IFNA(vlookup(B2907,'Special Names'!A:B,2,FALSE),B2907),PlayerValues!E:E,0)),"N/A")</f>
        <v>16746</v>
      </c>
      <c r="B2907" s="4" t="s">
        <v>709</v>
      </c>
      <c r="C2907" s="4" t="s">
        <v>278</v>
      </c>
      <c r="D2907" s="94">
        <v>1149.0</v>
      </c>
    </row>
    <row r="2908">
      <c r="A2908" s="40">
        <f t="array" ref="A2908">IFNA(index(PlayerValues!A:A,match(IFNA(vlookup(B2908,'Special Names'!A:B,2,FALSE),B2908),PlayerValues!E:E,0)),"N/A")</f>
        <v>14845</v>
      </c>
      <c r="B2908" s="4" t="s">
        <v>717</v>
      </c>
      <c r="C2908" s="4" t="s">
        <v>287</v>
      </c>
      <c r="D2908" s="94">
        <v>1138.0</v>
      </c>
    </row>
    <row r="2909">
      <c r="A2909" s="40">
        <f t="array" ref="A2909">IFNA(index(PlayerValues!A:A,match(IFNA(vlookup(B2909,'Special Names'!A:B,2,FALSE),B2909),PlayerValues!E:E,0)),"N/A")</f>
        <v>17050</v>
      </c>
      <c r="B2909" s="4" t="s">
        <v>713</v>
      </c>
      <c r="C2909" s="4" t="s">
        <v>278</v>
      </c>
      <c r="D2909" s="94">
        <v>1137.0</v>
      </c>
    </row>
    <row r="2910">
      <c r="A2910" s="40">
        <f t="array" ref="A2910">IFNA(index(PlayerValues!A:A,match(IFNA(vlookup(B2910,'Special Names'!A:B,2,FALSE),B2910),PlayerValues!E:E,0)),"N/A")</f>
        <v>15258</v>
      </c>
      <c r="B2910" s="4" t="s">
        <v>757</v>
      </c>
      <c r="C2910" s="4" t="s">
        <v>278</v>
      </c>
      <c r="D2910" s="94">
        <v>1133.0</v>
      </c>
    </row>
    <row r="2911">
      <c r="A2911" s="40">
        <f t="array" ref="A2911">IFNA(index(PlayerValues!A:A,match(IFNA(vlookup(B2911,'Special Names'!A:B,2,FALSE),B2911),PlayerValues!E:E,0)),"N/A")</f>
        <v>16640</v>
      </c>
      <c r="B2911" s="4" t="s">
        <v>712</v>
      </c>
      <c r="C2911" s="4" t="s">
        <v>287</v>
      </c>
      <c r="D2911" s="94">
        <v>1122.0</v>
      </c>
    </row>
    <row r="2912">
      <c r="A2912" s="40">
        <f t="array" ref="A2912">IFNA(index(PlayerValues!A:A,match(IFNA(vlookup(B2912,'Special Names'!A:B,2,FALSE),B2912),PlayerValues!E:E,0)),"N/A")</f>
        <v>15239</v>
      </c>
      <c r="B2912" s="4" t="s">
        <v>802</v>
      </c>
      <c r="C2912" s="4" t="s">
        <v>283</v>
      </c>
      <c r="D2912" s="94">
        <v>1120.0</v>
      </c>
    </row>
    <row r="2913">
      <c r="A2913" s="40">
        <f t="array" ref="A2913">IFNA(index(PlayerValues!A:A,match(IFNA(vlookup(B2913,'Special Names'!A:B,2,FALSE),B2913),PlayerValues!E:E,0)),"N/A")</f>
        <v>16637</v>
      </c>
      <c r="B2913" s="4" t="s">
        <v>736</v>
      </c>
      <c r="C2913" s="4" t="s">
        <v>287</v>
      </c>
      <c r="D2913" s="94">
        <v>1115.0</v>
      </c>
    </row>
    <row r="2914">
      <c r="A2914" s="40">
        <f t="array" ref="A2914">IFNA(index(PlayerValues!A:A,match(IFNA(vlookup(B2914,'Special Names'!A:B,2,FALSE),B2914),PlayerValues!E:E,0)),"N/A")</f>
        <v>11247</v>
      </c>
      <c r="B2914" s="4" t="s">
        <v>816</v>
      </c>
      <c r="C2914" s="4" t="s">
        <v>298</v>
      </c>
      <c r="D2914" s="94">
        <v>1482.0</v>
      </c>
    </row>
    <row r="2915">
      <c r="A2915" s="40">
        <f t="array" ref="A2915">IFNA(index(PlayerValues!A:A,match(IFNA(vlookup(B2915,'Special Names'!A:B,2,FALSE),B2915),PlayerValues!E:E,0)),"N/A")</f>
        <v>15785</v>
      </c>
      <c r="B2915" s="4" t="s">
        <v>763</v>
      </c>
      <c r="C2915" s="4" t="s">
        <v>287</v>
      </c>
      <c r="D2915" s="94">
        <v>1107.0</v>
      </c>
    </row>
    <row r="2916">
      <c r="A2916" s="40">
        <f t="array" ref="A2916">IFNA(index(PlayerValues!A:A,match(IFNA(vlookup(B2916,'Special Names'!A:B,2,FALSE),B2916),PlayerValues!E:E,0)),"N/A")</f>
        <v>17192</v>
      </c>
      <c r="B2916" s="4" t="s">
        <v>677</v>
      </c>
      <c r="C2916" s="4" t="s">
        <v>287</v>
      </c>
      <c r="D2916" s="94">
        <v>1097.0</v>
      </c>
    </row>
    <row r="2917">
      <c r="A2917" s="40">
        <f t="array" ref="A2917">IFNA(index(PlayerValues!A:A,match(IFNA(vlookup(B2917,'Special Names'!A:B,2,FALSE),B2917),PlayerValues!E:E,0)),"N/A")</f>
        <v>16197</v>
      </c>
      <c r="B2917" s="4" t="s">
        <v>726</v>
      </c>
      <c r="C2917" s="4" t="s">
        <v>287</v>
      </c>
      <c r="D2917" s="94">
        <v>1080.0</v>
      </c>
    </row>
    <row r="2918">
      <c r="A2918" s="40">
        <f t="array" ref="A2918">IFNA(index(PlayerValues!A:A,match(IFNA(vlookup(B2918,'Special Names'!A:B,2,FALSE),B2918),PlayerValues!E:E,0)),"N/A")</f>
        <v>15693</v>
      </c>
      <c r="B2918" s="4" t="s">
        <v>755</v>
      </c>
      <c r="C2918" s="4" t="s">
        <v>283</v>
      </c>
      <c r="D2918" s="94">
        <v>1074.0</v>
      </c>
    </row>
    <row r="2919">
      <c r="A2919" s="40">
        <f t="array" ref="A2919">IFNA(index(PlayerValues!A:A,match(IFNA(vlookup(B2919,'Special Names'!A:B,2,FALSE),B2919),PlayerValues!E:E,0)),"N/A")</f>
        <v>16451</v>
      </c>
      <c r="B2919" s="4" t="s">
        <v>769</v>
      </c>
      <c r="C2919" s="4" t="s">
        <v>287</v>
      </c>
      <c r="D2919" s="94">
        <v>1073.0</v>
      </c>
    </row>
    <row r="2920">
      <c r="A2920" s="40">
        <f t="array" ref="A2920">IFNA(index(PlayerValues!A:A,match(IFNA(vlookup(B2920,'Special Names'!A:B,2,FALSE),B2920),PlayerValues!E:E,0)),"N/A")</f>
        <v>15718</v>
      </c>
      <c r="B2920" s="4" t="s">
        <v>753</v>
      </c>
      <c r="C2920" s="4" t="s">
        <v>278</v>
      </c>
      <c r="D2920" s="94">
        <v>1053.0</v>
      </c>
    </row>
    <row r="2921">
      <c r="A2921" s="40">
        <f t="array" ref="A2921">IFNA(index(PlayerValues!A:A,match(IFNA(vlookup(B2921,'Special Names'!A:B,2,FALSE),B2921),PlayerValues!E:E,0)),"N/A")</f>
        <v>16678</v>
      </c>
      <c r="B2921" s="4" t="s">
        <v>758</v>
      </c>
      <c r="C2921" s="4" t="s">
        <v>278</v>
      </c>
      <c r="D2921" s="94">
        <v>1053.0</v>
      </c>
    </row>
    <row r="2922">
      <c r="A2922" s="40">
        <f t="array" ref="A2922">IFNA(index(PlayerValues!A:A,match(IFNA(vlookup(B2922,'Special Names'!A:B,2,FALSE),B2922),PlayerValues!E:E,0)),"N/A")</f>
        <v>16168</v>
      </c>
      <c r="B2922" s="4" t="s">
        <v>738</v>
      </c>
      <c r="C2922" s="4" t="s">
        <v>278</v>
      </c>
      <c r="D2922" s="94">
        <v>1046.0</v>
      </c>
    </row>
    <row r="2923">
      <c r="A2923" s="40">
        <f t="array" ref="A2923">IFNA(index(PlayerValues!A:A,match(IFNA(vlookup(B2923,'Special Names'!A:B,2,FALSE),B2923),PlayerValues!E:E,0)),"N/A")</f>
        <v>14118</v>
      </c>
      <c r="B2923" s="4" t="s">
        <v>771</v>
      </c>
      <c r="C2923" s="4" t="s">
        <v>287</v>
      </c>
      <c r="D2923" s="94">
        <v>1045.0</v>
      </c>
    </row>
    <row r="2924">
      <c r="A2924" s="40">
        <f t="array" ref="A2924">IFNA(index(PlayerValues!A:A,match(IFNA(vlookup(B2924,'Special Names'!A:B,2,FALSE),B2924),PlayerValues!E:E,0)),"N/A")</f>
        <v>17175</v>
      </c>
      <c r="B2924" s="4" t="s">
        <v>747</v>
      </c>
      <c r="C2924" s="4" t="s">
        <v>287</v>
      </c>
      <c r="D2924" s="94">
        <v>1043.0</v>
      </c>
    </row>
    <row r="2925">
      <c r="A2925" s="40">
        <f t="array" ref="A2925">IFNA(index(PlayerValues!A:A,match(IFNA(vlookup(B2925,'Special Names'!A:B,2,FALSE),B2925),PlayerValues!E:E,0)),"N/A")</f>
        <v>15795</v>
      </c>
      <c r="B2925" s="4" t="s">
        <v>669</v>
      </c>
      <c r="C2925" s="4" t="s">
        <v>298</v>
      </c>
      <c r="D2925" s="94">
        <v>1406.0</v>
      </c>
    </row>
    <row r="2926">
      <c r="A2926" s="40">
        <f t="array" ref="A2926">IFNA(index(PlayerValues!A:A,match(IFNA(vlookup(B2926,'Special Names'!A:B,2,FALSE),B2926),PlayerValues!E:E,0)),"N/A")</f>
        <v>13138</v>
      </c>
      <c r="B2926" s="4" t="s">
        <v>817</v>
      </c>
      <c r="C2926" s="4" t="s">
        <v>278</v>
      </c>
      <c r="D2926" s="94">
        <v>1039.0</v>
      </c>
    </row>
    <row r="2927">
      <c r="A2927" s="40">
        <f t="array" ref="A2927">IFNA(index(PlayerValues!A:A,match(IFNA(vlookup(B2927,'Special Names'!A:B,2,FALSE),B2927),PlayerValues!E:E,0)),"N/A")</f>
        <v>16858</v>
      </c>
      <c r="B2927" s="4" t="s">
        <v>754</v>
      </c>
      <c r="C2927" s="4" t="s">
        <v>287</v>
      </c>
      <c r="D2927" s="94">
        <v>1037.0</v>
      </c>
    </row>
    <row r="2928">
      <c r="A2928" s="40">
        <f t="array" ref="A2928">IFNA(index(PlayerValues!A:A,match(IFNA(vlookup(B2928,'Special Names'!A:B,2,FALSE),B2928),PlayerValues!E:E,0)),"N/A")</f>
        <v>15717</v>
      </c>
      <c r="B2928" s="4" t="s">
        <v>745</v>
      </c>
      <c r="C2928" s="4" t="s">
        <v>278</v>
      </c>
      <c r="D2928" s="94">
        <v>1035.0</v>
      </c>
    </row>
    <row r="2929">
      <c r="A2929" s="40">
        <f t="array" ref="A2929">IFNA(index(PlayerValues!A:A,match(IFNA(vlookup(B2929,'Special Names'!A:B,2,FALSE),B2929),PlayerValues!E:E,0)),"N/A")</f>
        <v>16648</v>
      </c>
      <c r="B2929" s="4" t="s">
        <v>748</v>
      </c>
      <c r="C2929" s="4" t="s">
        <v>298</v>
      </c>
      <c r="D2929" s="94">
        <v>1399.0</v>
      </c>
    </row>
    <row r="2930">
      <c r="A2930" s="40">
        <f t="array" ref="A2930">IFNA(index(PlayerValues!A:A,match(IFNA(vlookup(B2930,'Special Names'!A:B,2,FALSE),B2930),PlayerValues!E:E,0)),"N/A")</f>
        <v>15330</v>
      </c>
      <c r="B2930" s="4" t="s">
        <v>749</v>
      </c>
      <c r="C2930" s="4" t="s">
        <v>298</v>
      </c>
      <c r="D2930" s="94">
        <v>1397.0</v>
      </c>
    </row>
    <row r="2931">
      <c r="A2931" s="40">
        <f t="array" ref="A2931">IFNA(index(PlayerValues!A:A,match(IFNA(vlookup(B2931,'Special Names'!A:B,2,FALSE),B2931),PlayerValues!E:E,0)),"N/A")</f>
        <v>15626</v>
      </c>
      <c r="B2931" s="4" t="s">
        <v>766</v>
      </c>
      <c r="C2931" s="4" t="s">
        <v>298</v>
      </c>
      <c r="D2931" s="94">
        <v>1393.0</v>
      </c>
    </row>
    <row r="2932">
      <c r="A2932" s="40">
        <f t="array" ref="A2932">IFNA(index(PlayerValues!A:A,match(IFNA(vlookup(B2932,'Special Names'!A:B,2,FALSE),B2932),PlayerValues!E:E,0)),"N/A")</f>
        <v>14057</v>
      </c>
      <c r="B2932" s="4" t="s">
        <v>765</v>
      </c>
      <c r="C2932" s="4" t="s">
        <v>283</v>
      </c>
      <c r="D2932" s="94">
        <v>1021.0</v>
      </c>
    </row>
    <row r="2933">
      <c r="A2933" s="40">
        <f t="array" ref="A2933">IFNA(index(PlayerValues!A:A,match(IFNA(vlookup(B2933,'Special Names'!A:B,2,FALSE),B2933),PlayerValues!E:E,0)),"N/A")</f>
        <v>16205</v>
      </c>
      <c r="B2933" s="4" t="s">
        <v>742</v>
      </c>
      <c r="C2933" s="4" t="s">
        <v>287</v>
      </c>
      <c r="D2933" s="94">
        <v>1016.0</v>
      </c>
    </row>
    <row r="2934">
      <c r="A2934" s="40">
        <f t="array" ref="A2934">IFNA(index(PlayerValues!A:A,match(IFNA(vlookup(B2934,'Special Names'!A:B,2,FALSE),B2934),PlayerValues!E:E,0)),"N/A")</f>
        <v>16170</v>
      </c>
      <c r="B2934" s="4" t="s">
        <v>801</v>
      </c>
      <c r="C2934" s="4" t="s">
        <v>278</v>
      </c>
      <c r="D2934" s="94">
        <v>1009.0</v>
      </c>
    </row>
    <row r="2935">
      <c r="A2935" s="40">
        <f t="array" ref="A2935">IFNA(index(PlayerValues!A:A,match(IFNA(vlookup(B2935,'Special Names'!A:B,2,FALSE),B2935),PlayerValues!E:E,0)),"N/A")</f>
        <v>15720</v>
      </c>
      <c r="B2935" s="4" t="s">
        <v>795</v>
      </c>
      <c r="C2935" s="4" t="s">
        <v>278</v>
      </c>
      <c r="D2935" s="94">
        <v>1005.0</v>
      </c>
    </row>
    <row r="2936">
      <c r="A2936" s="40">
        <f t="array" ref="A2936">IFNA(index(PlayerValues!A:A,match(IFNA(vlookup(B2936,'Special Names'!A:B,2,FALSE),B2936),PlayerValues!E:E,0)),"N/A")</f>
        <v>15109</v>
      </c>
      <c r="B2936" s="4" t="s">
        <v>728</v>
      </c>
      <c r="C2936" s="4" t="s">
        <v>287</v>
      </c>
      <c r="D2936" s="94">
        <v>1001.0</v>
      </c>
    </row>
    <row r="2937">
      <c r="A2937" s="40">
        <f t="array" ref="A2937">IFNA(index(PlayerValues!A:A,match(IFNA(vlookup(B2937,'Special Names'!A:B,2,FALSE),B2937),PlayerValues!E:E,0)),"N/A")</f>
        <v>15766</v>
      </c>
      <c r="B2937" s="4" t="s">
        <v>759</v>
      </c>
      <c r="C2937" s="4" t="s">
        <v>287</v>
      </c>
      <c r="D2937" s="94">
        <v>988.0</v>
      </c>
    </row>
    <row r="2938">
      <c r="A2938" s="40">
        <f t="array" ref="A2938">IFNA(index(PlayerValues!A:A,match(IFNA(vlookup(B2938,'Special Names'!A:B,2,FALSE),B2938),PlayerValues!E:E,0)),"N/A")</f>
        <v>16219</v>
      </c>
      <c r="B2938" s="4" t="s">
        <v>739</v>
      </c>
      <c r="C2938" s="4" t="s">
        <v>298</v>
      </c>
      <c r="D2938" s="94">
        <v>1351.0</v>
      </c>
    </row>
    <row r="2939">
      <c r="A2939" s="40">
        <f t="array" ref="A2939">IFNA(index(PlayerValues!A:A,match(IFNA(vlookup(B2939,'Special Names'!A:B,2,FALSE),B2939),PlayerValues!E:E,0)),"N/A")</f>
        <v>12263</v>
      </c>
      <c r="B2939" s="4" t="s">
        <v>697</v>
      </c>
      <c r="C2939" s="4" t="s">
        <v>298</v>
      </c>
      <c r="D2939" s="94">
        <v>1348.0</v>
      </c>
    </row>
    <row r="2940">
      <c r="A2940" s="40">
        <f t="array" ref="A2940">IFNA(index(PlayerValues!A:A,match(IFNA(vlookup(B2940,'Special Names'!A:B,2,FALSE),B2940),PlayerValues!E:E,0)),"N/A")</f>
        <v>17466</v>
      </c>
      <c r="B2940" s="4" t="s">
        <v>492</v>
      </c>
      <c r="C2940" s="4" t="s">
        <v>283</v>
      </c>
      <c r="D2940" s="94">
        <v>970.0</v>
      </c>
    </row>
    <row r="2941">
      <c r="A2941" s="40">
        <f t="array" ref="A2941">IFNA(index(PlayerValues!A:A,match(IFNA(vlookup(B2941,'Special Names'!A:B,2,FALSE),B2941),PlayerValues!E:E,0)),"N/A")</f>
        <v>16176</v>
      </c>
      <c r="B2941" s="4" t="s">
        <v>812</v>
      </c>
      <c r="C2941" s="4" t="s">
        <v>278</v>
      </c>
      <c r="D2941" s="94">
        <v>967.0</v>
      </c>
    </row>
    <row r="2942">
      <c r="A2942" s="40">
        <f t="array" ref="A2942">IFNA(index(PlayerValues!A:A,match(IFNA(vlookup(B2942,'Special Names'!A:B,2,FALSE),B2942),PlayerValues!E:E,0)),"N/A")</f>
        <v>16416</v>
      </c>
      <c r="B2942" s="4" t="s">
        <v>752</v>
      </c>
      <c r="C2942" s="4" t="s">
        <v>287</v>
      </c>
      <c r="D2942" s="94">
        <v>966.0</v>
      </c>
    </row>
    <row r="2943">
      <c r="A2943" s="40">
        <f t="array" ref="A2943">IFNA(index(PlayerValues!A:A,match(IFNA(vlookup(B2943,'Special Names'!A:B,2,FALSE),B2943),PlayerValues!E:E,0)),"N/A")</f>
        <v>14799</v>
      </c>
      <c r="B2943" s="4" t="s">
        <v>829</v>
      </c>
      <c r="C2943" s="4" t="s">
        <v>278</v>
      </c>
      <c r="D2943" s="94">
        <v>965.0</v>
      </c>
    </row>
    <row r="2944">
      <c r="A2944" s="40">
        <f t="array" ref="A2944">IFNA(index(PlayerValues!A:A,match(IFNA(vlookup(B2944,'Special Names'!A:B,2,FALSE),B2944),PlayerValues!E:E,0)),"N/A")</f>
        <v>15263</v>
      </c>
      <c r="B2944" s="4" t="s">
        <v>804</v>
      </c>
      <c r="C2944" s="4" t="s">
        <v>278</v>
      </c>
      <c r="D2944" s="94">
        <v>962.0</v>
      </c>
    </row>
    <row r="2945">
      <c r="A2945" s="40">
        <f t="array" ref="A2945">IFNA(index(PlayerValues!A:A,match(IFNA(vlookup(B2945,'Special Names'!A:B,2,FALSE),B2945),PlayerValues!E:E,0)),"N/A")</f>
        <v>17468</v>
      </c>
      <c r="B2945" s="4" t="s">
        <v>514</v>
      </c>
      <c r="C2945" s="4" t="s">
        <v>283</v>
      </c>
      <c r="D2945" s="94">
        <v>959.0</v>
      </c>
    </row>
    <row r="2946">
      <c r="A2946" s="40">
        <f t="array" ref="A2946">IFNA(index(PlayerValues!A:A,match(IFNA(vlookup(B2946,'Special Names'!A:B,2,FALSE),B2946),PlayerValues!E:E,0)),"N/A")</f>
        <v>17479</v>
      </c>
      <c r="B2946" s="4" t="s">
        <v>756</v>
      </c>
      <c r="C2946" s="4" t="s">
        <v>278</v>
      </c>
      <c r="D2946" s="94">
        <v>959.0</v>
      </c>
    </row>
    <row r="2947">
      <c r="A2947" s="40">
        <f t="array" ref="A2947">IFNA(index(PlayerValues!A:A,match(IFNA(vlookup(B2947,'Special Names'!A:B,2,FALSE),B2947),PlayerValues!E:E,0)),"N/A")</f>
        <v>16773</v>
      </c>
      <c r="B2947" s="4" t="s">
        <v>783</v>
      </c>
      <c r="C2947" s="4" t="s">
        <v>278</v>
      </c>
      <c r="D2947" s="94">
        <v>957.0</v>
      </c>
    </row>
    <row r="2948">
      <c r="A2948" s="40">
        <f t="array" ref="A2948">IFNA(index(PlayerValues!A:A,match(IFNA(vlookup(B2948,'Special Names'!A:B,2,FALSE),B2948),PlayerValues!E:E,0)),"N/A")</f>
        <v>14849</v>
      </c>
      <c r="B2948" s="4" t="s">
        <v>733</v>
      </c>
      <c r="C2948" s="4" t="s">
        <v>287</v>
      </c>
      <c r="D2948" s="94">
        <v>956.0</v>
      </c>
    </row>
    <row r="2949">
      <c r="A2949" s="40">
        <f t="array" ref="A2949">IFNA(index(PlayerValues!A:A,match(IFNA(vlookup(B2949,'Special Names'!A:B,2,FALSE),B2949),PlayerValues!E:E,0)),"N/A")</f>
        <v>16751</v>
      </c>
      <c r="B2949" s="4" t="s">
        <v>762</v>
      </c>
      <c r="C2949" s="4" t="s">
        <v>287</v>
      </c>
      <c r="D2949" s="94">
        <v>956.0</v>
      </c>
    </row>
    <row r="2950">
      <c r="A2950" s="40">
        <f t="array" ref="A2950">IFNA(index(PlayerValues!A:A,match(IFNA(vlookup(B2950,'Special Names'!A:B,2,FALSE),B2950),PlayerValues!E:E,0)),"N/A")</f>
        <v>15723</v>
      </c>
      <c r="B2950" s="4" t="s">
        <v>798</v>
      </c>
      <c r="C2950" s="4" t="s">
        <v>278</v>
      </c>
      <c r="D2950" s="94">
        <v>948.0</v>
      </c>
    </row>
    <row r="2951">
      <c r="A2951" s="40">
        <f t="array" ref="A2951">IFNA(index(PlayerValues!A:A,match(IFNA(vlookup(B2951,'Special Names'!A:B,2,FALSE),B2951),PlayerValues!E:E,0)),"N/A")</f>
        <v>16624</v>
      </c>
      <c r="B2951" s="4" t="s">
        <v>796</v>
      </c>
      <c r="C2951" s="4" t="s">
        <v>287</v>
      </c>
      <c r="D2951" s="94">
        <v>945.0</v>
      </c>
    </row>
    <row r="2952">
      <c r="A2952" s="40">
        <f t="array" ref="A2952">IFNA(index(PlayerValues!A:A,match(IFNA(vlookup(B2952,'Special Names'!A:B,2,FALSE),B2952),PlayerValues!E:E,0)),"N/A")</f>
        <v>12785</v>
      </c>
      <c r="B2952" s="4" t="s">
        <v>772</v>
      </c>
      <c r="C2952" s="4" t="s">
        <v>287</v>
      </c>
      <c r="D2952" s="94">
        <v>942.0</v>
      </c>
    </row>
    <row r="2953">
      <c r="A2953" s="40">
        <f t="array" ref="A2953">IFNA(index(PlayerValues!A:A,match(IFNA(vlookup(B2953,'Special Names'!A:B,2,FALSE),B2953),PlayerValues!E:E,0)),"N/A")</f>
        <v>16599</v>
      </c>
      <c r="B2953" s="4" t="s">
        <v>737</v>
      </c>
      <c r="C2953" s="4" t="s">
        <v>278</v>
      </c>
      <c r="D2953" s="94">
        <v>923.0</v>
      </c>
    </row>
    <row r="2954">
      <c r="A2954" s="40">
        <f t="array" ref="A2954">IFNA(index(PlayerValues!A:A,match(IFNA(vlookup(B2954,'Special Names'!A:B,2,FALSE),B2954),PlayerValues!E:E,0)),"N/A")</f>
        <v>16159</v>
      </c>
      <c r="B2954" s="4" t="s">
        <v>819</v>
      </c>
      <c r="C2954" s="4" t="s">
        <v>283</v>
      </c>
      <c r="D2954" s="94">
        <v>921.0</v>
      </c>
    </row>
    <row r="2955">
      <c r="A2955" s="40">
        <f t="array" ref="A2955">IFNA(index(PlayerValues!A:A,match(IFNA(vlookup(B2955,'Special Names'!A:B,2,FALSE),B2955),PlayerValues!E:E,0)),"N/A")</f>
        <v>15804</v>
      </c>
      <c r="B2955" s="4" t="s">
        <v>821</v>
      </c>
      <c r="C2955" s="4" t="s">
        <v>298</v>
      </c>
      <c r="D2955" s="94">
        <v>1284.0</v>
      </c>
    </row>
    <row r="2956">
      <c r="A2956" s="40">
        <f t="array" ref="A2956">IFNA(index(PlayerValues!A:A,match(IFNA(vlookup(B2956,'Special Names'!A:B,2,FALSE),B2956),PlayerValues!E:E,0)),"N/A")</f>
        <v>13595</v>
      </c>
      <c r="B2956" s="4" t="s">
        <v>818</v>
      </c>
      <c r="C2956" s="4" t="s">
        <v>283</v>
      </c>
      <c r="D2956" s="94">
        <v>907.0</v>
      </c>
    </row>
    <row r="2957">
      <c r="A2957" s="40">
        <f t="array" ref="A2957">IFNA(index(PlayerValues!A:A,match(IFNA(vlookup(B2957,'Special Names'!A:B,2,FALSE),B2957),PlayerValues!E:E,0)),"N/A")</f>
        <v>17510</v>
      </c>
      <c r="B2957" s="4" t="s">
        <v>661</v>
      </c>
      <c r="C2957" s="4" t="s">
        <v>287</v>
      </c>
      <c r="D2957" s="94">
        <v>906.0</v>
      </c>
    </row>
    <row r="2958">
      <c r="A2958" s="40">
        <f t="array" ref="A2958">IFNA(index(PlayerValues!A:A,match(IFNA(vlookup(B2958,'Special Names'!A:B,2,FALSE),B2958),PlayerValues!E:E,0)),"N/A")</f>
        <v>15758</v>
      </c>
      <c r="B2958" s="4" t="s">
        <v>724</v>
      </c>
      <c r="C2958" s="4" t="s">
        <v>287</v>
      </c>
      <c r="D2958" s="94">
        <v>902.0</v>
      </c>
    </row>
    <row r="2959">
      <c r="A2959" s="40">
        <f t="array" ref="A2959">IFNA(index(PlayerValues!A:A,match(IFNA(vlookup(B2959,'Special Names'!A:B,2,FALSE),B2959),PlayerValues!E:E,0)),"N/A")</f>
        <v>16686</v>
      </c>
      <c r="B2959" s="4" t="s">
        <v>805</v>
      </c>
      <c r="C2959" s="4" t="s">
        <v>287</v>
      </c>
      <c r="D2959" s="94">
        <v>897.0</v>
      </c>
    </row>
    <row r="2960">
      <c r="A2960" s="40">
        <f t="array" ref="A2960">IFNA(index(PlayerValues!A:A,match(IFNA(vlookup(B2960,'Special Names'!A:B,2,FALSE),B2960),PlayerValues!E:E,0)),"N/A")</f>
        <v>17337</v>
      </c>
      <c r="B2960" s="4" t="s">
        <v>793</v>
      </c>
      <c r="C2960" s="4" t="s">
        <v>278</v>
      </c>
      <c r="D2960" s="94">
        <v>897.0</v>
      </c>
    </row>
    <row r="2961">
      <c r="A2961" s="40">
        <f t="array" ref="A2961">IFNA(index(PlayerValues!A:A,match(IFNA(vlookup(B2961,'Special Names'!A:B,2,FALSE),B2961),PlayerValues!E:E,0)),"N/A")</f>
        <v>14864</v>
      </c>
      <c r="B2961" s="4" t="s">
        <v>789</v>
      </c>
      <c r="C2961" s="4" t="s">
        <v>287</v>
      </c>
      <c r="D2961" s="94">
        <v>896.0</v>
      </c>
    </row>
    <row r="2962">
      <c r="A2962" s="40">
        <f t="array" ref="A2962">IFNA(index(PlayerValues!A:A,match(IFNA(vlookup(B2962,'Special Names'!A:B,2,FALSE),B2962),PlayerValues!E:E,0)),"N/A")</f>
        <v>14223</v>
      </c>
      <c r="B2962" s="4" t="s">
        <v>785</v>
      </c>
      <c r="C2962" s="4" t="s">
        <v>278</v>
      </c>
      <c r="D2962" s="94">
        <v>870.0</v>
      </c>
    </row>
    <row r="2963">
      <c r="A2963" s="40">
        <f t="array" ref="A2963">IFNA(index(PlayerValues!A:A,match(IFNA(vlookup(B2963,'Special Names'!A:B,2,FALSE),B2963),PlayerValues!E:E,0)),"N/A")</f>
        <v>13133</v>
      </c>
      <c r="B2963" s="4" t="s">
        <v>764</v>
      </c>
      <c r="C2963" s="4" t="s">
        <v>278</v>
      </c>
      <c r="D2963" s="94">
        <v>860.0</v>
      </c>
    </row>
    <row r="2964">
      <c r="A2964" s="40">
        <f t="array" ref="A2964">IFNA(index(PlayerValues!A:A,match(IFNA(vlookup(B2964,'Special Names'!A:B,2,FALSE),B2964),PlayerValues!E:E,0)),"N/A")</f>
        <v>16606</v>
      </c>
      <c r="B2964" s="4" t="s">
        <v>743</v>
      </c>
      <c r="C2964" s="4" t="s">
        <v>278</v>
      </c>
      <c r="D2964" s="94">
        <v>860.0</v>
      </c>
    </row>
    <row r="2965">
      <c r="A2965" s="40">
        <f t="array" ref="A2965">IFNA(index(PlayerValues!A:A,match(IFNA(vlookup(B2965,'Special Names'!A:B,2,FALSE),B2965),PlayerValues!E:E,0)),"N/A")</f>
        <v>14079</v>
      </c>
      <c r="B2965" s="4" t="s">
        <v>830</v>
      </c>
      <c r="C2965" s="4" t="s">
        <v>278</v>
      </c>
      <c r="D2965" s="94">
        <v>852.0</v>
      </c>
    </row>
    <row r="2966">
      <c r="A2966" s="40">
        <f t="array" ref="A2966">IFNA(index(PlayerValues!A:A,match(IFNA(vlookup(B2966,'Special Names'!A:B,2,FALSE),B2966),PlayerValues!E:E,0)),"N/A")</f>
        <v>15271</v>
      </c>
      <c r="B2966" s="4" t="s">
        <v>741</v>
      </c>
      <c r="C2966" s="4" t="s">
        <v>278</v>
      </c>
      <c r="D2966" s="94">
        <v>841.0</v>
      </c>
    </row>
    <row r="2967">
      <c r="A2967" s="40">
        <f t="array" ref="A2967">IFNA(index(PlayerValues!A:A,match(IFNA(vlookup(B2967,'Special Names'!A:B,2,FALSE),B2967),PlayerValues!E:E,0)),"N/A")</f>
        <v>17486</v>
      </c>
      <c r="B2967" s="4" t="s">
        <v>695</v>
      </c>
      <c r="C2967" s="4" t="s">
        <v>278</v>
      </c>
      <c r="D2967" s="94">
        <v>822.0</v>
      </c>
    </row>
    <row r="2968">
      <c r="A2968" s="40">
        <f t="array" ref="A2968">IFNA(index(PlayerValues!A:A,match(IFNA(vlookup(B2968,'Special Names'!A:B,2,FALSE),B2968),PlayerValues!E:E,0)),"N/A")</f>
        <v>13610</v>
      </c>
      <c r="B2968" s="4" t="s">
        <v>825</v>
      </c>
      <c r="C2968" s="4" t="s">
        <v>278</v>
      </c>
      <c r="D2968" s="94">
        <v>810.0</v>
      </c>
    </row>
    <row r="2969">
      <c r="A2969" s="40">
        <f t="array" ref="A2969">IFNA(index(PlayerValues!A:A,match(IFNA(vlookup(B2969,'Special Names'!A:B,2,FALSE),B2969),PlayerValues!E:E,0)),"N/A")</f>
        <v>17519</v>
      </c>
      <c r="B2969" s="4" t="s">
        <v>593</v>
      </c>
      <c r="C2969" s="4" t="s">
        <v>287</v>
      </c>
      <c r="D2969" s="94">
        <v>806.0</v>
      </c>
    </row>
    <row r="2970">
      <c r="A2970" s="40">
        <f t="array" ref="A2970">IFNA(index(PlayerValues!A:A,match(IFNA(vlookup(B2970,'Special Names'!A:B,2,FALSE),B2970),PlayerValues!E:E,0)),"N/A")</f>
        <v>13143</v>
      </c>
      <c r="B2970" s="4" t="s">
        <v>786</v>
      </c>
      <c r="C2970" s="4" t="s">
        <v>278</v>
      </c>
      <c r="D2970" s="94">
        <v>786.0</v>
      </c>
    </row>
    <row r="2971">
      <c r="A2971" s="40">
        <f t="array" ref="A2971">IFNA(index(PlayerValues!A:A,match(IFNA(vlookup(B2971,'Special Names'!A:B,2,FALSE),B2971),PlayerValues!E:E,0)),"N/A")</f>
        <v>16623</v>
      </c>
      <c r="B2971" s="4" t="s">
        <v>803</v>
      </c>
      <c r="C2971" s="4" t="s">
        <v>287</v>
      </c>
      <c r="D2971" s="94">
        <v>753.0</v>
      </c>
    </row>
    <row r="2972">
      <c r="A2972" s="40">
        <f t="array" ref="A2972">IFNA(index(PlayerValues!A:A,match(IFNA(vlookup(B2972,'Special Names'!A:B,2,FALSE),B2972),PlayerValues!E:E,0)),"N/A")</f>
        <v>16957</v>
      </c>
      <c r="B2972" s="4" t="s">
        <v>806</v>
      </c>
      <c r="C2972" s="4" t="s">
        <v>278</v>
      </c>
      <c r="D2972" s="94">
        <v>745.0</v>
      </c>
    </row>
    <row r="2973">
      <c r="A2973" s="40">
        <f t="array" ref="A2973">IFNA(index(PlayerValues!A:A,match(IFNA(vlookup(B2973,'Special Names'!A:B,2,FALSE),B2973),PlayerValues!E:E,0)),"N/A")</f>
        <v>17487</v>
      </c>
      <c r="B2973" s="4" t="s">
        <v>692</v>
      </c>
      <c r="C2973" s="4" t="s">
        <v>278</v>
      </c>
      <c r="D2973" s="94">
        <v>724.0</v>
      </c>
    </row>
    <row r="2974">
      <c r="A2974" s="40">
        <f t="array" ref="A2974">IFNA(index(PlayerValues!A:A,match(IFNA(vlookup(B2974,'Special Names'!A:B,2,FALSE),B2974),PlayerValues!E:E,0)),"N/A")</f>
        <v>11232</v>
      </c>
      <c r="B2974" s="4" t="s">
        <v>826</v>
      </c>
      <c r="C2974" s="4" t="s">
        <v>287</v>
      </c>
      <c r="D2974" s="94">
        <v>708.0</v>
      </c>
    </row>
    <row r="2975">
      <c r="A2975" s="40">
        <f t="array" ref="A2975">IFNA(index(PlayerValues!A:A,match(IFNA(vlookup(B2975,'Special Names'!A:B,2,FALSE),B2975),PlayerValues!E:E,0)),"N/A")</f>
        <v>17567</v>
      </c>
      <c r="B2975" s="4" t="s">
        <v>571</v>
      </c>
      <c r="C2975" s="4" t="s">
        <v>298</v>
      </c>
      <c r="D2975" s="94">
        <v>1062.0</v>
      </c>
    </row>
    <row r="2976">
      <c r="A2976" s="40">
        <f t="array" ref="A2976">IFNA(index(PlayerValues!A:A,match(IFNA(vlookup(B2976,'Special Names'!A:B,2,FALSE),B2976),PlayerValues!E:E,0)),"N/A")</f>
        <v>15796</v>
      </c>
      <c r="B2976" s="4" t="s">
        <v>794</v>
      </c>
      <c r="C2976" s="4" t="s">
        <v>298</v>
      </c>
      <c r="D2976" s="94">
        <v>1036.0</v>
      </c>
    </row>
    <row r="2977">
      <c r="A2977" s="40">
        <f t="array" ref="A2977">IFNA(index(PlayerValues!A:A,match(IFNA(vlookup(B2977,'Special Names'!A:B,2,FALSE),B2977),PlayerValues!E:E,0)),"N/A")</f>
        <v>17485</v>
      </c>
      <c r="B2977" s="4" t="s">
        <v>522</v>
      </c>
      <c r="C2977" s="4" t="s">
        <v>278</v>
      </c>
      <c r="D2977" s="94">
        <v>642.0</v>
      </c>
    </row>
    <row r="2978">
      <c r="A2978" s="40">
        <f t="array" ref="A2978">IFNA(index(PlayerValues!A:A,match(IFNA(vlookup(B2978,'Special Names'!A:B,2,FALSE),B2978),PlayerValues!E:E,0)),"N/A")</f>
        <v>17475</v>
      </c>
      <c r="B2978" s="4" t="s">
        <v>615</v>
      </c>
      <c r="C2978" s="4" t="s">
        <v>278</v>
      </c>
      <c r="D2978" s="94">
        <v>638.0</v>
      </c>
    </row>
    <row r="2979">
      <c r="A2979" s="40">
        <f t="array" ref="A2979">IFNA(index(PlayerValues!A:A,match(IFNA(vlookup(B2979,'Special Names'!A:B,2,FALSE),B2979),PlayerValues!E:E,0)),"N/A")</f>
        <v>17038</v>
      </c>
      <c r="B2979" s="4" t="s">
        <v>774</v>
      </c>
      <c r="C2979" s="4" t="s">
        <v>283</v>
      </c>
      <c r="D2979" s="94">
        <v>606.0</v>
      </c>
    </row>
    <row r="2980">
      <c r="A2980" s="40">
        <f t="array" ref="A2980">IFNA(index(PlayerValues!A:A,match(IFNA(vlookup(B2980,'Special Names'!A:B,2,FALSE),B2980),PlayerValues!E:E,0)),"N/A")</f>
        <v>13176</v>
      </c>
      <c r="B2980" s="4" t="s">
        <v>807</v>
      </c>
      <c r="C2980" s="4" t="s">
        <v>287</v>
      </c>
      <c r="D2980" s="94">
        <v>594.0</v>
      </c>
    </row>
    <row r="2981">
      <c r="A2981" s="40">
        <f t="array" ref="A2981">IFNA(index(PlayerValues!A:A,match(IFNA(vlookup(B2981,'Special Names'!A:B,2,FALSE),B2981),PlayerValues!E:E,0)),"N/A")</f>
        <v>17243</v>
      </c>
      <c r="B2981" s="4" t="s">
        <v>810</v>
      </c>
      <c r="C2981" s="4" t="s">
        <v>298</v>
      </c>
      <c r="D2981" s="94">
        <v>931.0</v>
      </c>
    </row>
    <row r="2982">
      <c r="A2982" s="40">
        <f t="array" ref="A2982">IFNA(index(PlayerValues!A:A,match(IFNA(vlookup(B2982,'Special Names'!A:B,2,FALSE),B2982),PlayerValues!E:E,0)),"N/A")</f>
        <v>16413</v>
      </c>
      <c r="B2982" s="4" t="s">
        <v>781</v>
      </c>
      <c r="C2982" s="4" t="s">
        <v>287</v>
      </c>
      <c r="D2982" s="94">
        <v>581.0</v>
      </c>
    </row>
    <row r="2983">
      <c r="A2983" s="40">
        <f t="array" ref="A2983">IFNA(index(PlayerValues!A:A,match(IFNA(vlookup(B2983,'Special Names'!A:B,2,FALSE),B2983),PlayerValues!E:E,0)),"N/A")</f>
        <v>14358</v>
      </c>
      <c r="B2983" s="4" t="s">
        <v>813</v>
      </c>
      <c r="C2983" s="4" t="s">
        <v>283</v>
      </c>
      <c r="D2983" s="94">
        <v>578.0</v>
      </c>
    </row>
    <row r="2984">
      <c r="A2984" s="40">
        <f t="array" ref="A2984">IFNA(index(PlayerValues!A:A,match(IFNA(vlookup(B2984,'Special Names'!A:B,2,FALSE),B2984),PlayerValues!E:E,0)),"N/A")</f>
        <v>13763</v>
      </c>
      <c r="B2984" s="4" t="s">
        <v>831</v>
      </c>
      <c r="C2984" s="4" t="s">
        <v>298</v>
      </c>
      <c r="D2984" s="94">
        <v>927.0</v>
      </c>
    </row>
    <row r="2985">
      <c r="A2985" s="40">
        <f t="array" ref="A2985">IFNA(index(PlayerValues!A:A,match(IFNA(vlookup(B2985,'Special Names'!A:B,2,FALSE),B2985),PlayerValues!E:E,0)),"N/A")</f>
        <v>17545</v>
      </c>
      <c r="B2985" s="4" t="s">
        <v>719</v>
      </c>
      <c r="C2985" s="4" t="s">
        <v>298</v>
      </c>
      <c r="D2985" s="94">
        <v>924.0</v>
      </c>
    </row>
    <row r="2986">
      <c r="A2986" s="40">
        <f t="array" ref="A2986">IFNA(index(PlayerValues!A:A,match(IFNA(vlookup(B2986,'Special Names'!A:B,2,FALSE),B2986),PlayerValues!E:E,0)),"N/A")</f>
        <v>14875</v>
      </c>
      <c r="B2986" s="4" t="s">
        <v>820</v>
      </c>
      <c r="C2986" s="4" t="s">
        <v>298</v>
      </c>
      <c r="D2986" s="94">
        <v>923.0</v>
      </c>
    </row>
    <row r="2987">
      <c r="A2987" s="40">
        <f t="array" ref="A2987">IFNA(index(PlayerValues!A:A,match(IFNA(vlookup(B2987,'Special Names'!A:B,2,FALSE),B2987),PlayerValues!E:E,0)),"N/A")</f>
        <v>12187</v>
      </c>
      <c r="B2987" s="4" t="s">
        <v>832</v>
      </c>
      <c r="C2987" s="4" t="s">
        <v>287</v>
      </c>
      <c r="D2987" s="94">
        <v>572.0</v>
      </c>
    </row>
    <row r="2988">
      <c r="A2988" s="40">
        <f t="array" ref="A2988">IFNA(index(PlayerValues!A:A,match(IFNA(vlookup(B2988,'Special Names'!A:B,2,FALSE),B2988),PlayerValues!E:E,0)),"N/A")</f>
        <v>15285</v>
      </c>
      <c r="B2988" s="4" t="s">
        <v>792</v>
      </c>
      <c r="C2988" s="4" t="s">
        <v>287</v>
      </c>
      <c r="D2988" s="94">
        <v>572.0</v>
      </c>
    </row>
    <row r="2989">
      <c r="A2989" s="40">
        <f t="array" ref="A2989">IFNA(index(PlayerValues!A:A,match(IFNA(vlookup(B2989,'Special Names'!A:B,2,FALSE),B2989),PlayerValues!E:E,0)),"N/A")</f>
        <v>16613</v>
      </c>
      <c r="B2989" s="4" t="s">
        <v>782</v>
      </c>
      <c r="C2989" s="4" t="s">
        <v>278</v>
      </c>
      <c r="D2989" s="94">
        <v>572.0</v>
      </c>
    </row>
    <row r="2990">
      <c r="A2990" s="40">
        <f t="array" ref="A2990">IFNA(index(PlayerValues!A:A,match(IFNA(vlookup(B2990,'Special Names'!A:B,2,FALSE),B2990),PlayerValues!E:E,0)),"N/A")</f>
        <v>17282</v>
      </c>
      <c r="B2990" s="4" t="s">
        <v>833</v>
      </c>
      <c r="C2990" s="4" t="s">
        <v>283</v>
      </c>
      <c r="D2990" s="94">
        <v>572.0</v>
      </c>
    </row>
    <row r="2991">
      <c r="A2991" s="40">
        <f t="array" ref="A2991">IFNA(index(PlayerValues!A:A,match(IFNA(vlookup(B2991,'Special Names'!A:B,2,FALSE),B2991),PlayerValues!E:E,0)),"N/A")</f>
        <v>14239</v>
      </c>
      <c r="B2991" s="4" t="s">
        <v>824</v>
      </c>
      <c r="C2991" s="4" t="s">
        <v>298</v>
      </c>
      <c r="D2991" s="94">
        <v>924.0</v>
      </c>
    </row>
    <row r="2992">
      <c r="A2992" s="40">
        <f t="array" ref="A2992">IFNA(index(PlayerValues!A:A,match(IFNA(vlookup(B2992,'Special Names'!A:B,2,FALSE),B2992),PlayerValues!E:E,0)),"N/A")</f>
        <v>17521</v>
      </c>
      <c r="B2992" s="4" t="s">
        <v>573</v>
      </c>
      <c r="C2992" s="4" t="s">
        <v>287</v>
      </c>
      <c r="D2992" s="94">
        <v>454.0</v>
      </c>
    </row>
    <row r="2993">
      <c r="A2993" s="40">
        <f t="array" ref="A2993">IFNA(index(PlayerValues!A:A,match(IFNA(vlookup(B2993,'Special Names'!A:B,2,FALSE),B2993),PlayerValues!E:E,0)),"N/A")</f>
        <v>17548</v>
      </c>
      <c r="B2993" s="4" t="s">
        <v>594</v>
      </c>
      <c r="C2993" s="4" t="s">
        <v>298</v>
      </c>
      <c r="D2993" s="94">
        <v>781.0</v>
      </c>
    </row>
    <row r="2994">
      <c r="A2994" s="40">
        <f t="array" ref="A2994">IFNA(index(PlayerValues!A:A,match(IFNA(vlookup(B2994,'Special Names'!A:B,2,FALSE),B2994),PlayerValues!E:E,0)),"N/A")</f>
        <v>17529</v>
      </c>
      <c r="B2994" s="4" t="s">
        <v>608</v>
      </c>
      <c r="C2994" s="4" t="s">
        <v>287</v>
      </c>
      <c r="D2994" s="94">
        <v>352.0</v>
      </c>
    </row>
    <row r="2995">
      <c r="A2995" s="40">
        <f t="array" ref="A2995">IFNA(index(PlayerValues!A:A,match(IFNA(vlookup(B2995,'Special Names'!A:B,2,FALSE),B2995),PlayerValues!E:E,0)),"N/A")</f>
        <v>17607</v>
      </c>
      <c r="B2995" s="4" t="s">
        <v>526</v>
      </c>
      <c r="C2995" s="4" t="s">
        <v>298</v>
      </c>
      <c r="D2995" s="94">
        <v>676.0</v>
      </c>
    </row>
    <row r="2996">
      <c r="A2996" s="40">
        <f t="array" ref="A2996">IFNA(index(PlayerValues!A:A,match(IFNA(vlookup(B2996,'Special Names'!A:B,2,FALSE),B2996),PlayerValues!E:E,0)),"N/A")</f>
        <v>17599</v>
      </c>
      <c r="B2996" s="4" t="s">
        <v>496</v>
      </c>
      <c r="C2996" s="4" t="s">
        <v>287</v>
      </c>
      <c r="D2996" s="94">
        <v>224.0</v>
      </c>
    </row>
    <row r="2997">
      <c r="A2997" s="40">
        <f t="array" ref="A2997">IFNA(index(PlayerValues!A:A,match(IFNA(vlookup(B2997,'Special Names'!A:B,2,FALSE),B2997),PlayerValues!E:E,0)),"N/A")</f>
        <v>17549</v>
      </c>
      <c r="B2997" s="4" t="s">
        <v>720</v>
      </c>
      <c r="C2997" s="4" t="s">
        <v>298</v>
      </c>
      <c r="D2997" s="94">
        <v>651.0</v>
      </c>
    </row>
    <row r="2998">
      <c r="A2998" s="40">
        <f t="array" ref="A2998">IFNA(index(PlayerValues!A:A,match(IFNA(vlookup(B2998,'Special Names'!A:B,2,FALSE),B2998),PlayerValues!E:E,0)),"N/A")</f>
        <v>17685</v>
      </c>
      <c r="B2998" s="4" t="s">
        <v>630</v>
      </c>
      <c r="C2998" s="4" t="s">
        <v>278</v>
      </c>
      <c r="D2998" s="94">
        <v>212.0</v>
      </c>
    </row>
    <row r="2999">
      <c r="A2999" s="40">
        <f t="array" ref="A2999">IFNA(index(PlayerValues!A:A,match(IFNA(vlookup(B2999,'Special Names'!A:B,2,FALSE),B2999),PlayerValues!E:E,0)),"N/A")</f>
        <v>17654</v>
      </c>
      <c r="B2999" s="4" t="s">
        <v>767</v>
      </c>
      <c r="C2999" s="4" t="s">
        <v>283</v>
      </c>
      <c r="D2999" s="94">
        <v>123.0</v>
      </c>
    </row>
    <row r="3000">
      <c r="A3000" s="40">
        <f t="array" ref="A3000">IFNA(index(PlayerValues!A:A,match(IFNA(vlookup(B3000,'Special Names'!A:B,2,FALSE),B3000),PlayerValues!E:E,0)),"N/A")</f>
        <v>17591</v>
      </c>
      <c r="B3000" s="4" t="s">
        <v>834</v>
      </c>
      <c r="C3000" s="4" t="s">
        <v>298</v>
      </c>
      <c r="D3000" s="94">
        <v>541.0</v>
      </c>
    </row>
    <row r="3001">
      <c r="A3001" s="40">
        <f t="array" ref="A3001">IFNA(index(PlayerValues!A:A,match(IFNA(vlookup(B3001,'Special Names'!A:B,2,FALSE),B3001),PlayerValues!E:E,0)),"N/A")</f>
        <v>13589</v>
      </c>
      <c r="B3001" s="4" t="s">
        <v>282</v>
      </c>
      <c r="C3001" s="4" t="s">
        <v>283</v>
      </c>
      <c r="D3001" s="94">
        <v>9999.0</v>
      </c>
    </row>
    <row r="3002">
      <c r="A3002" s="40">
        <f t="array" ref="A3002">IFNA(index(PlayerValues!A:A,match(IFNA(vlookup(B3002,'Special Names'!A:B,2,FALSE),B3002),PlayerValues!E:E,0)),"N/A")</f>
        <v>16161</v>
      </c>
      <c r="B3002" s="4" t="s">
        <v>277</v>
      </c>
      <c r="C3002" s="4" t="s">
        <v>278</v>
      </c>
      <c r="D3002" s="94">
        <v>9992.0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9893.0</v>
      </c>
    </row>
    <row r="3004">
      <c r="A3004" s="40">
        <f t="array" ref="A3004">IFNA(index(PlayerValues!A:A,match(IFNA(vlookup(B3004,'Special Names'!A:B,2,FALSE),B3004),PlayerValues!E:E,0)),"N/A")</f>
        <v>16185</v>
      </c>
      <c r="B3004" s="4" t="s">
        <v>290</v>
      </c>
      <c r="C3004" s="4" t="s">
        <v>287</v>
      </c>
      <c r="D3004" s="94">
        <v>9873.0</v>
      </c>
    </row>
    <row r="3005">
      <c r="A3005" s="40">
        <f t="array" ref="A3005">IFNA(index(PlayerValues!A:A,match(IFNA(vlookup(B3005,'Special Names'!A:B,2,FALSE),B3005),PlayerValues!E:E,0)),"N/A")</f>
        <v>16162</v>
      </c>
      <c r="B3005" s="4" t="s">
        <v>281</v>
      </c>
      <c r="C3005" s="4" t="s">
        <v>278</v>
      </c>
      <c r="D3005" s="94">
        <v>9605.0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9504.0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8579.0</v>
      </c>
    </row>
    <row r="3008">
      <c r="A3008" s="40">
        <f t="array" ref="A3008">IFNA(index(PlayerValues!A:A,match(IFNA(vlookup(B3008,'Special Names'!A:B,2,FALSE),B3008),PlayerValues!E:E,0)),"N/A")</f>
        <v>16641</v>
      </c>
      <c r="B3008" s="4" t="s">
        <v>297</v>
      </c>
      <c r="C3008" s="4" t="s">
        <v>298</v>
      </c>
      <c r="D3008" s="94">
        <v>8802.0</v>
      </c>
    </row>
    <row r="3009">
      <c r="A3009" s="40">
        <f t="array" ref="A3009">IFNA(index(PlayerValues!A:A,match(IFNA(vlookup(B3009,'Special Names'!A:B,2,FALSE),B3009),PlayerValues!E:E,0)),"N/A")</f>
        <v>16581</v>
      </c>
      <c r="B3009" s="4" t="s">
        <v>315</v>
      </c>
      <c r="C3009" s="4" t="s">
        <v>283</v>
      </c>
      <c r="D3009" s="94">
        <v>7866.0</v>
      </c>
    </row>
    <row r="3010">
      <c r="A3010" s="40">
        <f t="array" ref="A3010">IFNA(index(PlayerValues!A:A,match(IFNA(vlookup(B3010,'Special Names'!A:B,2,FALSE),B3010),PlayerValues!E:E,0)),"N/A")</f>
        <v>16615</v>
      </c>
      <c r="B3010" s="4" t="s">
        <v>309</v>
      </c>
      <c r="C3010" s="4" t="s">
        <v>287</v>
      </c>
      <c r="D3010" s="94">
        <v>7852.0</v>
      </c>
    </row>
    <row r="3011">
      <c r="A3011" s="40">
        <f t="array" ref="A3011">IFNA(index(PlayerValues!A:A,match(IFNA(vlookup(B3011,'Special Names'!A:B,2,FALSE),B3011),PlayerValues!E:E,0)),"N/A")</f>
        <v>16579</v>
      </c>
      <c r="B3011" s="4" t="s">
        <v>302</v>
      </c>
      <c r="C3011" s="4" t="s">
        <v>283</v>
      </c>
      <c r="D3011" s="94">
        <v>7796.0</v>
      </c>
    </row>
    <row r="3012">
      <c r="A3012" s="40">
        <f t="array" ref="A3012">IFNA(index(PlayerValues!A:A,match(IFNA(vlookup(B3012,'Special Names'!A:B,2,FALSE),B3012),PlayerValues!E:E,0)),"N/A")</f>
        <v>14836</v>
      </c>
      <c r="B3012" s="4" t="s">
        <v>306</v>
      </c>
      <c r="C3012" s="4" t="s">
        <v>287</v>
      </c>
      <c r="D3012" s="94">
        <v>7772.0</v>
      </c>
    </row>
    <row r="3013">
      <c r="A3013" s="40">
        <f t="array" ref="A3013">IFNA(index(PlayerValues!A:A,match(IFNA(vlookup(B3013,'Special Names'!A:B,2,FALSE),B3013),PlayerValues!E:E,0)),"N/A")</f>
        <v>15287</v>
      </c>
      <c r="B3013" s="4" t="s">
        <v>299</v>
      </c>
      <c r="C3013" s="4" t="s">
        <v>287</v>
      </c>
      <c r="D3013" s="94">
        <v>7693.0</v>
      </c>
    </row>
    <row r="3014">
      <c r="A3014" s="40">
        <f t="array" ref="A3014">IFNA(index(PlayerValues!A:A,match(IFNA(vlookup(B3014,'Special Names'!A:B,2,FALSE),B3014),PlayerValues!E:E,0)),"N/A")</f>
        <v>13593</v>
      </c>
      <c r="B3014" s="4" t="s">
        <v>305</v>
      </c>
      <c r="C3014" s="4" t="s">
        <v>283</v>
      </c>
      <c r="D3014" s="94">
        <v>7671.0</v>
      </c>
    </row>
    <row r="3015">
      <c r="A3015" s="40">
        <f t="array" ref="A3015">IFNA(index(PlayerValues!A:A,match(IFNA(vlookup(B3015,'Special Names'!A:B,2,FALSE),B3015),PlayerValues!E:E,0)),"N/A")</f>
        <v>17472</v>
      </c>
      <c r="B3015" s="4" t="s">
        <v>310</v>
      </c>
      <c r="C3015" s="4" t="s">
        <v>278</v>
      </c>
      <c r="D3015" s="94">
        <v>7586.0</v>
      </c>
    </row>
    <row r="3016">
      <c r="A3016" s="40">
        <f t="array" ref="A3016">IFNA(index(PlayerValues!A:A,match(IFNA(vlookup(B3016,'Special Names'!A:B,2,FALSE),B3016),PlayerValues!E:E,0)),"N/A")</f>
        <v>17042</v>
      </c>
      <c r="B3016" s="4" t="s">
        <v>314</v>
      </c>
      <c r="C3016" s="4" t="s">
        <v>278</v>
      </c>
      <c r="D3016" s="94">
        <v>7569.0</v>
      </c>
    </row>
    <row r="3017">
      <c r="A3017" s="40">
        <f t="array" ref="A3017">IFNA(index(PlayerValues!A:A,match(IFNA(vlookup(B3017,'Special Names'!A:B,2,FALSE),B3017),PlayerValues!E:E,0)),"N/A")</f>
        <v>15794</v>
      </c>
      <c r="B3017" s="4" t="s">
        <v>313</v>
      </c>
      <c r="C3017" s="4" t="s">
        <v>298</v>
      </c>
      <c r="D3017" s="94">
        <v>8371.0</v>
      </c>
    </row>
    <row r="3018">
      <c r="A3018" s="40">
        <f t="array" ref="A3018">IFNA(index(PlayerValues!A:A,match(IFNA(vlookup(B3018,'Special Names'!A:B,2,FALSE),B3018),PlayerValues!E:E,0)),"N/A")</f>
        <v>14777</v>
      </c>
      <c r="B3018" s="4" t="s">
        <v>318</v>
      </c>
      <c r="C3018" s="4" t="s">
        <v>283</v>
      </c>
      <c r="D3018" s="94">
        <v>7544.0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7315.0</v>
      </c>
    </row>
    <row r="3020">
      <c r="A3020" s="40" t="str">
        <f t="array" ref="A3020">IFNA(index(PlayerValues!A:A,match(IFNA(vlookup(B3020,'Special Names'!A:B,2,FALSE),B3020),PlayerValues!E:E,0)),"N/A")</f>
        <v>N/A</v>
      </c>
      <c r="B3020" s="4" t="s">
        <v>92</v>
      </c>
      <c r="C3020" s="4" t="s">
        <v>325</v>
      </c>
      <c r="D3020" s="94">
        <v>7022.0</v>
      </c>
    </row>
    <row r="3021">
      <c r="A3021" s="40">
        <f t="array" ref="A3021">IFNA(index(PlayerValues!A:A,match(IFNA(vlookup(B3021,'Special Names'!A:B,2,FALSE),B3021),PlayerValues!E:E,0)),"N/A")</f>
        <v>15751</v>
      </c>
      <c r="B3021" s="4" t="s">
        <v>328</v>
      </c>
      <c r="C3021" s="4" t="s">
        <v>287</v>
      </c>
      <c r="D3021" s="94">
        <v>6916.0</v>
      </c>
    </row>
    <row r="3022">
      <c r="A3022" s="40">
        <f t="array" ref="A3022">IFNA(index(PlayerValues!A:A,match(IFNA(vlookup(B3022,'Special Names'!A:B,2,FALSE),B3022),PlayerValues!E:E,0)),"N/A")</f>
        <v>16167</v>
      </c>
      <c r="B3022" s="4" t="s">
        <v>323</v>
      </c>
      <c r="C3022" s="4" t="s">
        <v>278</v>
      </c>
      <c r="D3022" s="94">
        <v>6862.0</v>
      </c>
    </row>
    <row r="3023">
      <c r="A3023" s="40">
        <f t="array" ref="A3023">IFNA(index(PlayerValues!A:A,match(IFNA(vlookup(B3023,'Special Names'!A:B,2,FALSE),B3023),PlayerValues!E:E,0)),"N/A")</f>
        <v>13116</v>
      </c>
      <c r="B3023" s="4" t="s">
        <v>345</v>
      </c>
      <c r="C3023" s="4" t="s">
        <v>283</v>
      </c>
      <c r="D3023" s="94">
        <v>6837.0</v>
      </c>
    </row>
    <row r="3024">
      <c r="A3024" s="40">
        <f t="array" ref="A3024">IFNA(index(PlayerValues!A:A,match(IFNA(vlookup(B3024,'Special Names'!A:B,2,FALSE),B3024),PlayerValues!E:E,0)),"N/A")</f>
        <v>14779</v>
      </c>
      <c r="B3024" s="4" t="s">
        <v>327</v>
      </c>
      <c r="C3024" s="4" t="s">
        <v>283</v>
      </c>
      <c r="D3024" s="94">
        <v>6796.0</v>
      </c>
    </row>
    <row r="3025">
      <c r="A3025" s="40">
        <f t="array" ref="A3025">IFNA(index(PlayerValues!A:A,match(IFNA(vlookup(B3025,'Special Names'!A:B,2,FALSE),B3025),PlayerValues!E:E,0)),"N/A")</f>
        <v>17044</v>
      </c>
      <c r="B3025" s="4" t="s">
        <v>322</v>
      </c>
      <c r="C3025" s="4" t="s">
        <v>278</v>
      </c>
      <c r="D3025" s="94">
        <v>6694.0</v>
      </c>
    </row>
    <row r="3026">
      <c r="A3026" s="40">
        <f t="array" ref="A3026">IFNA(index(PlayerValues!A:A,match(IFNA(vlookup(B3026,'Special Names'!A:B,2,FALSE),B3026),PlayerValues!E:E,0)),"N/A")</f>
        <v>17032</v>
      </c>
      <c r="B3026" s="4" t="s">
        <v>348</v>
      </c>
      <c r="C3026" s="4" t="s">
        <v>283</v>
      </c>
      <c r="D3026" s="94">
        <v>6632.0</v>
      </c>
    </row>
    <row r="3027">
      <c r="A3027" s="40">
        <f t="array" ref="A3027">IFNA(index(PlayerValues!A:A,match(IFNA(vlookup(B3027,'Special Names'!A:B,2,FALSE),B3027),PlayerValues!E:E,0)),"N/A")</f>
        <v>17071</v>
      </c>
      <c r="B3027" s="4" t="s">
        <v>341</v>
      </c>
      <c r="C3027" s="4" t="s">
        <v>287</v>
      </c>
      <c r="D3027" s="94">
        <v>6627.0</v>
      </c>
    </row>
    <row r="3028">
      <c r="A3028" s="40">
        <f t="array" ref="A3028">IFNA(index(PlayerValues!A:A,match(IFNA(vlookup(B3028,'Special Names'!A:B,2,FALSE),B3028),PlayerValues!E:E,0)),"N/A")</f>
        <v>16582</v>
      </c>
      <c r="B3028" s="4" t="s">
        <v>343</v>
      </c>
      <c r="C3028" s="4" t="s">
        <v>283</v>
      </c>
      <c r="D3028" s="94">
        <v>6232.0</v>
      </c>
    </row>
    <row r="3029">
      <c r="A3029" s="40">
        <f t="array" ref="A3029">IFNA(index(PlayerValues!A:A,match(IFNA(vlookup(B3029,'Special Names'!A:B,2,FALSE),B3029),PlayerValues!E:E,0)),"N/A")</f>
        <v>15237</v>
      </c>
      <c r="B3029" s="4" t="s">
        <v>336</v>
      </c>
      <c r="C3029" s="4" t="s">
        <v>283</v>
      </c>
      <c r="D3029" s="94">
        <v>6220.0</v>
      </c>
    </row>
    <row r="3030">
      <c r="A3030" s="40">
        <f t="array" ref="A3030">IFNA(index(PlayerValues!A:A,match(IFNA(vlookup(B3030,'Special Names'!A:B,2,FALSE),B3030),PlayerValues!E:E,0)),"N/A")</f>
        <v>14783</v>
      </c>
      <c r="B3030" s="4" t="s">
        <v>342</v>
      </c>
      <c r="C3030" s="4" t="s">
        <v>283</v>
      </c>
      <c r="D3030" s="94">
        <v>6146.0</v>
      </c>
    </row>
    <row r="3031">
      <c r="A3031" s="40">
        <f t="array" ref="A3031">IFNA(index(PlayerValues!A:A,match(IFNA(vlookup(B3031,'Special Names'!A:B,2,FALSE),B3031),PlayerValues!E:E,0)),"N/A")</f>
        <v>15715</v>
      </c>
      <c r="B3031" s="4" t="s">
        <v>331</v>
      </c>
      <c r="C3031" s="4" t="s">
        <v>278</v>
      </c>
      <c r="D3031" s="94">
        <v>6124.0</v>
      </c>
    </row>
    <row r="3032">
      <c r="A3032" s="40">
        <f t="array" ref="A3032">IFNA(index(PlayerValues!A:A,match(IFNA(vlookup(B3032,'Special Names'!A:B,2,FALSE),B3032),PlayerValues!E:E,0)),"N/A")</f>
        <v>17081</v>
      </c>
      <c r="B3032" s="4" t="s">
        <v>340</v>
      </c>
      <c r="C3032" s="4" t="s">
        <v>287</v>
      </c>
      <c r="D3032" s="94">
        <v>6117.0</v>
      </c>
    </row>
    <row r="3033">
      <c r="A3033" s="40">
        <f t="array" ref="A3033">IFNA(index(PlayerValues!A:A,match(IFNA(vlookup(B3033,'Special Names'!A:B,2,FALSE),B3033),PlayerValues!E:E,0)),"N/A")</f>
        <v>17104</v>
      </c>
      <c r="B3033" s="4" t="s">
        <v>333</v>
      </c>
      <c r="C3033" s="4" t="s">
        <v>298</v>
      </c>
      <c r="D3033" s="94">
        <v>6766.0</v>
      </c>
    </row>
    <row r="3034">
      <c r="A3034" s="40">
        <f t="array" ref="A3034">IFNA(index(PlayerValues!A:A,match(IFNA(vlookup(B3034,'Special Names'!A:B,2,FALSE),B3034),PlayerValues!E:E,0)),"N/A")</f>
        <v>14802</v>
      </c>
      <c r="B3034" s="4" t="s">
        <v>332</v>
      </c>
      <c r="C3034" s="4" t="s">
        <v>278</v>
      </c>
      <c r="D3034" s="94">
        <v>6033.0</v>
      </c>
    </row>
    <row r="3035">
      <c r="A3035" s="40">
        <f t="array" ref="A3035">IFNA(index(PlayerValues!A:A,match(IFNA(vlookup(B3035,'Special Names'!A:B,2,FALSE),B3035),PlayerValues!E:E,0)),"N/A")</f>
        <v>15762</v>
      </c>
      <c r="B3035" s="4" t="s">
        <v>337</v>
      </c>
      <c r="C3035" s="4" t="s">
        <v>287</v>
      </c>
      <c r="D3035" s="94">
        <v>5970.0</v>
      </c>
    </row>
    <row r="3036">
      <c r="A3036" s="40">
        <f t="array" ref="A3036">IFNA(index(PlayerValues!A:A,match(IFNA(vlookup(B3036,'Special Names'!A:B,2,FALSE),B3036),PlayerValues!E:E,0)),"N/A")</f>
        <v>15698</v>
      </c>
      <c r="B3036" s="4" t="s">
        <v>358</v>
      </c>
      <c r="C3036" s="4" t="s">
        <v>283</v>
      </c>
      <c r="D3036" s="94">
        <v>5895.0</v>
      </c>
    </row>
    <row r="3037">
      <c r="A3037" s="40">
        <f t="array" ref="A3037">IFNA(index(PlayerValues!A:A,match(IFNA(vlookup(B3037,'Special Names'!A:B,2,FALSE),B3037),PlayerValues!E:E,0)),"N/A")</f>
        <v>15753</v>
      </c>
      <c r="B3037" s="4" t="s">
        <v>359</v>
      </c>
      <c r="C3037" s="4" t="s">
        <v>287</v>
      </c>
      <c r="D3037" s="94">
        <v>5736.0</v>
      </c>
    </row>
    <row r="3038">
      <c r="A3038" s="40">
        <f t="array" ref="A3038">IFNA(index(PlayerValues!A:A,match(IFNA(vlookup(B3038,'Special Names'!A:B,2,FALSE),B3038),PlayerValues!E:E,0)),"N/A")</f>
        <v>17102</v>
      </c>
      <c r="B3038" s="4" t="s">
        <v>344</v>
      </c>
      <c r="C3038" s="4" t="s">
        <v>298</v>
      </c>
      <c r="D3038" s="94">
        <v>6376.0</v>
      </c>
    </row>
    <row r="3039">
      <c r="A3039" s="40">
        <f t="array" ref="A3039">IFNA(index(PlayerValues!A:A,match(IFNA(vlookup(B3039,'Special Names'!A:B,2,FALSE),B3039),PlayerValues!E:E,0)),"N/A")</f>
        <v>17497</v>
      </c>
      <c r="B3039" s="4" t="s">
        <v>365</v>
      </c>
      <c r="C3039" s="4" t="s">
        <v>287</v>
      </c>
      <c r="D3039" s="94">
        <v>5692.0</v>
      </c>
    </row>
    <row r="3040">
      <c r="A3040" s="40" t="str">
        <f t="array" ref="A3040">IFNA(index(PlayerValues!A:A,match(IFNA(vlookup(B3040,'Special Names'!A:B,2,FALSE),B3040),PlayerValues!E:E,0)),"N/A")</f>
        <v>N/A</v>
      </c>
      <c r="B3040" s="4" t="s">
        <v>79</v>
      </c>
      <c r="C3040" s="4" t="s">
        <v>325</v>
      </c>
      <c r="D3040" s="94">
        <v>5668.0</v>
      </c>
    </row>
    <row r="3041">
      <c r="A3041" s="40">
        <f t="array" ref="A3041">IFNA(index(PlayerValues!A:A,match(IFNA(vlookup(B3041,'Special Names'!A:B,2,FALSE),B3041),PlayerValues!E:E,0)),"N/A")</f>
        <v>17462</v>
      </c>
      <c r="B3041" s="4" t="s">
        <v>375</v>
      </c>
      <c r="C3041" s="4" t="s">
        <v>283</v>
      </c>
      <c r="D3041" s="94">
        <v>5649.0</v>
      </c>
    </row>
    <row r="3042">
      <c r="A3042" s="40">
        <f t="array" ref="A3042">IFNA(index(PlayerValues!A:A,match(IFNA(vlookup(B3042,'Special Names'!A:B,2,FALSE),B3042),PlayerValues!E:E,0)),"N/A")</f>
        <v>15290</v>
      </c>
      <c r="B3042" s="4" t="s">
        <v>355</v>
      </c>
      <c r="C3042" s="4" t="s">
        <v>287</v>
      </c>
      <c r="D3042" s="94">
        <v>5638.0</v>
      </c>
    </row>
    <row r="3043">
      <c r="A3043" s="40">
        <f t="array" ref="A3043">IFNA(index(PlayerValues!A:A,match(IFNA(vlookup(B3043,'Special Names'!A:B,2,FALSE),B3043),PlayerValues!E:E,0)),"N/A")</f>
        <v>14782</v>
      </c>
      <c r="B3043" s="4" t="s">
        <v>385</v>
      </c>
      <c r="C3043" s="4" t="s">
        <v>283</v>
      </c>
      <c r="D3043" s="94">
        <v>5637.0</v>
      </c>
    </row>
    <row r="3044">
      <c r="A3044" s="40">
        <f t="array" ref="A3044">IFNA(index(PlayerValues!A:A,match(IFNA(vlookup(B3044,'Special Names'!A:B,2,FALSE),B3044),PlayerValues!E:E,0)),"N/A")</f>
        <v>15754</v>
      </c>
      <c r="B3044" s="4" t="s">
        <v>354</v>
      </c>
      <c r="C3044" s="4" t="s">
        <v>287</v>
      </c>
      <c r="D3044" s="94">
        <v>5618.0</v>
      </c>
    </row>
    <row r="3045">
      <c r="A3045" s="40" t="str">
        <f t="array" ref="A3045">IFNA(index(PlayerValues!A:A,match(IFNA(vlookup(B3045,'Special Names'!A:B,2,FALSE),B3045),PlayerValues!E:E,0)),"N/A")</f>
        <v>N/A</v>
      </c>
      <c r="B3045" s="4" t="s">
        <v>93</v>
      </c>
      <c r="C3045" s="4" t="s">
        <v>325</v>
      </c>
      <c r="D3045" s="94">
        <v>5577.0</v>
      </c>
    </row>
    <row r="3046">
      <c r="A3046" s="40">
        <f t="array" ref="A3046">IFNA(index(PlayerValues!A:A,match(IFNA(vlookup(B3046,'Special Names'!A:B,2,FALSE),B3046),PlayerValues!E:E,0)),"N/A")</f>
        <v>15711</v>
      </c>
      <c r="B3046" s="4" t="s">
        <v>349</v>
      </c>
      <c r="C3046" s="4" t="s">
        <v>278</v>
      </c>
      <c r="D3046" s="94">
        <v>5531.0</v>
      </c>
    </row>
    <row r="3047">
      <c r="A3047" s="40">
        <f t="array" ref="A3047">IFNA(index(PlayerValues!A:A,match(IFNA(vlookup(B3047,'Special Names'!A:B,2,FALSE),B3047),PlayerValues!E:E,0)),"N/A")</f>
        <v>17043</v>
      </c>
      <c r="B3047" s="4" t="s">
        <v>397</v>
      </c>
      <c r="C3047" s="4" t="s">
        <v>278</v>
      </c>
      <c r="D3047" s="94">
        <v>5477.0</v>
      </c>
    </row>
    <row r="3048">
      <c r="A3048" s="40">
        <f t="array" ref="A3048">IFNA(index(PlayerValues!A:A,match(IFNA(vlookup(B3048,'Special Names'!A:B,2,FALSE),B3048),PlayerValues!E:E,0)),"N/A")</f>
        <v>17051</v>
      </c>
      <c r="B3048" s="4" t="s">
        <v>386</v>
      </c>
      <c r="C3048" s="4" t="s">
        <v>278</v>
      </c>
      <c r="D3048" s="94">
        <v>5458.0</v>
      </c>
    </row>
    <row r="3049">
      <c r="A3049" s="40">
        <f t="array" ref="A3049">IFNA(index(PlayerValues!A:A,match(IFNA(vlookup(B3049,'Special Names'!A:B,2,FALSE),B3049),PlayerValues!E:E,0)),"N/A")</f>
        <v>16627</v>
      </c>
      <c r="B3049" s="4" t="s">
        <v>351</v>
      </c>
      <c r="C3049" s="4" t="s">
        <v>287</v>
      </c>
      <c r="D3049" s="94">
        <v>5397.0</v>
      </c>
    </row>
    <row r="3050">
      <c r="A3050" s="40">
        <f t="array" ref="A3050">IFNA(index(PlayerValues!A:A,match(IFNA(vlookup(B3050,'Special Names'!A:B,2,FALSE),B3050),PlayerValues!E:E,0)),"N/A")</f>
        <v>16616</v>
      </c>
      <c r="B3050" s="4" t="s">
        <v>389</v>
      </c>
      <c r="C3050" s="4" t="s">
        <v>287</v>
      </c>
      <c r="D3050" s="94">
        <v>5357.0</v>
      </c>
    </row>
    <row r="3051">
      <c r="A3051" s="40">
        <f t="array" ref="A3051">IFNA(index(PlayerValues!A:A,match(IFNA(vlookup(B3051,'Special Names'!A:B,2,FALSE),B3051),PlayerValues!E:E,0)),"N/A")</f>
        <v>15708</v>
      </c>
      <c r="B3051" s="4" t="s">
        <v>382</v>
      </c>
      <c r="C3051" s="4" t="s">
        <v>278</v>
      </c>
      <c r="D3051" s="94">
        <v>5279.0</v>
      </c>
    </row>
    <row r="3052">
      <c r="A3052" s="40">
        <f t="array" ref="A3052">IFNA(index(PlayerValues!A:A,match(IFNA(vlookup(B3052,'Special Names'!A:B,2,FALSE),B3052),PlayerValues!E:E,0)),"N/A")</f>
        <v>17070</v>
      </c>
      <c r="B3052" s="4" t="s">
        <v>370</v>
      </c>
      <c r="C3052" s="4" t="s">
        <v>287</v>
      </c>
      <c r="D3052" s="94">
        <v>5278.0</v>
      </c>
    </row>
    <row r="3053">
      <c r="A3053" s="40">
        <f t="array" ref="A3053">IFNA(index(PlayerValues!A:A,match(IFNA(vlookup(B3053,'Special Names'!A:B,2,FALSE),B3053),PlayerValues!E:E,0)),"N/A")</f>
        <v>17030</v>
      </c>
      <c r="B3053" s="4" t="s">
        <v>406</v>
      </c>
      <c r="C3053" s="4" t="s">
        <v>283</v>
      </c>
      <c r="D3053" s="94">
        <v>5248.0</v>
      </c>
    </row>
    <row r="3054">
      <c r="A3054" s="40">
        <f t="array" ref="A3054">IFNA(index(PlayerValues!A:A,match(IFNA(vlookup(B3054,'Special Names'!A:B,2,FALSE),B3054),PlayerValues!E:E,0)),"N/A")</f>
        <v>17498</v>
      </c>
      <c r="B3054" s="4" t="s">
        <v>396</v>
      </c>
      <c r="C3054" s="4" t="s">
        <v>287</v>
      </c>
      <c r="D3054" s="94">
        <v>5211.0</v>
      </c>
    </row>
    <row r="3055">
      <c r="A3055" s="40">
        <f t="array" ref="A3055">IFNA(index(PlayerValues!A:A,match(IFNA(vlookup(B3055,'Special Names'!A:B,2,FALSE),B3055),PlayerValues!E:E,0)),"N/A")</f>
        <v>16194</v>
      </c>
      <c r="B3055" s="4" t="s">
        <v>398</v>
      </c>
      <c r="C3055" s="4" t="s">
        <v>287</v>
      </c>
      <c r="D3055" s="94">
        <v>5191.0</v>
      </c>
    </row>
    <row r="3056">
      <c r="A3056" s="40">
        <f t="array" ref="A3056">IFNA(index(PlayerValues!A:A,match(IFNA(vlookup(B3056,'Special Names'!A:B,2,FALSE),B3056),PlayerValues!E:E,0)),"N/A")</f>
        <v>15282</v>
      </c>
      <c r="B3056" s="4" t="s">
        <v>364</v>
      </c>
      <c r="C3056" s="4" t="s">
        <v>287</v>
      </c>
      <c r="D3056" s="94">
        <v>5158.0</v>
      </c>
    </row>
    <row r="3057">
      <c r="A3057" s="40">
        <f t="array" ref="A3057">IFNA(index(PlayerValues!A:A,match(IFNA(vlookup(B3057,'Special Names'!A:B,2,FALSE),B3057),PlayerValues!E:E,0)),"N/A")</f>
        <v>16614</v>
      </c>
      <c r="B3057" s="4" t="s">
        <v>403</v>
      </c>
      <c r="C3057" s="4" t="s">
        <v>287</v>
      </c>
      <c r="D3057" s="94">
        <v>5109.0</v>
      </c>
    </row>
    <row r="3058">
      <c r="A3058" s="40">
        <f t="array" ref="A3058">IFNA(index(PlayerValues!A:A,match(IFNA(vlookup(B3058,'Special Names'!A:B,2,FALSE),B3058),PlayerValues!E:E,0)),"N/A")</f>
        <v>17499</v>
      </c>
      <c r="B3058" s="4" t="s">
        <v>402</v>
      </c>
      <c r="C3058" s="4" t="s">
        <v>287</v>
      </c>
      <c r="D3058" s="94">
        <v>5081.0</v>
      </c>
    </row>
    <row r="3059">
      <c r="A3059" s="40">
        <f t="array" ref="A3059">IFNA(index(PlayerValues!A:A,match(IFNA(vlookup(B3059,'Special Names'!A:B,2,FALSE),B3059),PlayerValues!E:E,0)),"N/A")</f>
        <v>13130</v>
      </c>
      <c r="B3059" s="4" t="s">
        <v>374</v>
      </c>
      <c r="C3059" s="4" t="s">
        <v>278</v>
      </c>
      <c r="D3059" s="94">
        <v>4978.0</v>
      </c>
    </row>
    <row r="3060">
      <c r="A3060" s="40" t="str">
        <f t="array" ref="A3060">IFNA(index(PlayerValues!A:A,match(IFNA(vlookup(B3060,'Special Names'!A:B,2,FALSE),B3060),PlayerValues!E:E,0)),"N/A")</f>
        <v>N/A</v>
      </c>
      <c r="B3060" s="4" t="s">
        <v>104</v>
      </c>
      <c r="C3060" s="4" t="s">
        <v>325</v>
      </c>
      <c r="D3060" s="94">
        <v>4949.0</v>
      </c>
    </row>
    <row r="3061">
      <c r="A3061" s="40">
        <f t="array" ref="A3061">IFNA(index(PlayerValues!A:A,match(IFNA(vlookup(B3061,'Special Names'!A:B,2,FALSE),B3061),PlayerValues!E:E,0)),"N/A")</f>
        <v>16598</v>
      </c>
      <c r="B3061" s="4" t="s">
        <v>408</v>
      </c>
      <c r="C3061" s="4" t="s">
        <v>278</v>
      </c>
      <c r="D3061" s="94">
        <v>4931.0</v>
      </c>
    </row>
    <row r="3062">
      <c r="A3062" s="40">
        <f t="array" ref="A3062">IFNA(index(PlayerValues!A:A,match(IFNA(vlookup(B3062,'Special Names'!A:B,2,FALSE),B3062),PlayerValues!E:E,0)),"N/A")</f>
        <v>16618</v>
      </c>
      <c r="B3062" s="4" t="s">
        <v>411</v>
      </c>
      <c r="C3062" s="4" t="s">
        <v>287</v>
      </c>
      <c r="D3062" s="94">
        <v>4930.0</v>
      </c>
    </row>
    <row r="3063">
      <c r="A3063" s="40">
        <f t="array" ref="A3063">IFNA(index(PlayerValues!A:A,match(IFNA(vlookup(B3063,'Special Names'!A:B,2,FALSE),B3063),PlayerValues!E:E,0)),"N/A")</f>
        <v>12620</v>
      </c>
      <c r="B3063" s="4" t="s">
        <v>394</v>
      </c>
      <c r="C3063" s="4" t="s">
        <v>283</v>
      </c>
      <c r="D3063" s="94">
        <v>4918.0</v>
      </c>
    </row>
    <row r="3064">
      <c r="A3064" s="40">
        <f t="array" ref="A3064">IFNA(index(PlayerValues!A:A,match(IFNA(vlookup(B3064,'Special Names'!A:B,2,FALSE),B3064),PlayerValues!E:E,0)),"N/A")</f>
        <v>16150</v>
      </c>
      <c r="B3064" s="4" t="s">
        <v>414</v>
      </c>
      <c r="C3064" s="4" t="s">
        <v>283</v>
      </c>
      <c r="D3064" s="94">
        <v>4912.0</v>
      </c>
    </row>
    <row r="3065">
      <c r="A3065" s="40">
        <f t="array" ref="A3065">IFNA(index(PlayerValues!A:A,match(IFNA(vlookup(B3065,'Special Names'!A:B,2,FALSE),B3065),PlayerValues!E:E,0)),"N/A")</f>
        <v>17103</v>
      </c>
      <c r="B3065" s="4" t="s">
        <v>405</v>
      </c>
      <c r="C3065" s="4" t="s">
        <v>298</v>
      </c>
      <c r="D3065" s="94">
        <v>5477.0</v>
      </c>
    </row>
    <row r="3066">
      <c r="A3066" s="40">
        <f t="array" ref="A3066">IFNA(index(PlayerValues!A:A,match(IFNA(vlookup(B3066,'Special Names'!A:B,2,FALSE),B3066),PlayerValues!E:E,0)),"N/A")</f>
        <v>15284</v>
      </c>
      <c r="B3066" s="4" t="s">
        <v>390</v>
      </c>
      <c r="C3066" s="4" t="s">
        <v>287</v>
      </c>
      <c r="D3066" s="94">
        <v>4900.0</v>
      </c>
    </row>
    <row r="3067">
      <c r="A3067" s="40" t="str">
        <f t="array" ref="A3067">IFNA(index(PlayerValues!A:A,match(IFNA(vlookup(B3067,'Special Names'!A:B,2,FALSE),B3067),PlayerValues!E:E,0)),"N/A")</f>
        <v>N/A</v>
      </c>
      <c r="B3067" s="4" t="s">
        <v>94</v>
      </c>
      <c r="C3067" s="4" t="s">
        <v>325</v>
      </c>
      <c r="D3067" s="94">
        <v>4899.0</v>
      </c>
    </row>
    <row r="3068">
      <c r="A3068" s="40">
        <f t="array" ref="A3068">IFNA(index(PlayerValues!A:A,match(IFNA(vlookup(B3068,'Special Names'!A:B,2,FALSE),B3068),PlayerValues!E:E,0)),"N/A")</f>
        <v>14835</v>
      </c>
      <c r="B3068" s="4" t="s">
        <v>392</v>
      </c>
      <c r="C3068" s="4" t="s">
        <v>287</v>
      </c>
      <c r="D3068" s="94">
        <v>4895.0</v>
      </c>
    </row>
    <row r="3069">
      <c r="A3069" s="40">
        <f t="array" ref="A3069">IFNA(index(PlayerValues!A:A,match(IFNA(vlookup(B3069,'Special Names'!A:B,2,FALSE),B3069),PlayerValues!E:E,0)),"N/A")</f>
        <v>16181</v>
      </c>
      <c r="B3069" s="4" t="s">
        <v>350</v>
      </c>
      <c r="C3069" s="4" t="s">
        <v>278</v>
      </c>
      <c r="D3069" s="94">
        <v>4892.0</v>
      </c>
    </row>
    <row r="3070">
      <c r="A3070" s="40">
        <f t="array" ref="A3070">IFNA(index(PlayerValues!A:A,match(IFNA(vlookup(B3070,'Special Names'!A:B,2,FALSE),B3070),PlayerValues!E:E,0)),"N/A")</f>
        <v>13604</v>
      </c>
      <c r="B3070" s="4" t="s">
        <v>378</v>
      </c>
      <c r="C3070" s="4" t="s">
        <v>278</v>
      </c>
      <c r="D3070" s="94">
        <v>4883.0</v>
      </c>
    </row>
    <row r="3071">
      <c r="A3071" s="40">
        <f t="array" ref="A3071">IFNA(index(PlayerValues!A:A,match(IFNA(vlookup(B3071,'Special Names'!A:B,2,FALSE),B3071),PlayerValues!E:E,0)),"N/A")</f>
        <v>15710</v>
      </c>
      <c r="B3071" s="4" t="s">
        <v>395</v>
      </c>
      <c r="C3071" s="4" t="s">
        <v>278</v>
      </c>
      <c r="D3071" s="94">
        <v>4863.0</v>
      </c>
    </row>
    <row r="3072">
      <c r="A3072" s="40">
        <f t="array" ref="A3072">IFNA(index(PlayerValues!A:A,match(IFNA(vlookup(B3072,'Special Names'!A:B,2,FALSE),B3072),PlayerValues!E:E,0)),"N/A")</f>
        <v>14104</v>
      </c>
      <c r="B3072" s="4" t="s">
        <v>379</v>
      </c>
      <c r="C3072" s="4" t="s">
        <v>287</v>
      </c>
      <c r="D3072" s="94">
        <v>4848.0</v>
      </c>
    </row>
    <row r="3073">
      <c r="A3073" s="40">
        <f t="array" ref="A3073">IFNA(index(PlayerValues!A:A,match(IFNA(vlookup(B3073,'Special Names'!A:B,2,FALSE),B3073),PlayerValues!E:E,0)),"N/A")</f>
        <v>17039</v>
      </c>
      <c r="B3073" s="4" t="s">
        <v>400</v>
      </c>
      <c r="C3073" s="4" t="s">
        <v>283</v>
      </c>
      <c r="D3073" s="94">
        <v>4841.0</v>
      </c>
    </row>
    <row r="3074">
      <c r="A3074" s="40">
        <f t="array" ref="A3074">IFNA(index(PlayerValues!A:A,match(IFNA(vlookup(B3074,'Special Names'!A:B,2,FALSE),B3074),PlayerValues!E:E,0)),"N/A")</f>
        <v>13592</v>
      </c>
      <c r="B3074" s="4" t="s">
        <v>418</v>
      </c>
      <c r="C3074" s="4" t="s">
        <v>283</v>
      </c>
      <c r="D3074" s="94">
        <v>4812.0</v>
      </c>
    </row>
    <row r="3075">
      <c r="A3075" s="40">
        <f t="array" ref="A3075">IFNA(index(PlayerValues!A:A,match(IFNA(vlookup(B3075,'Special Names'!A:B,2,FALSE),B3075),PlayerValues!E:E,0)),"N/A")</f>
        <v>15756</v>
      </c>
      <c r="B3075" s="4" t="s">
        <v>399</v>
      </c>
      <c r="C3075" s="4" t="s">
        <v>287</v>
      </c>
      <c r="D3075" s="94">
        <v>4797.0</v>
      </c>
    </row>
    <row r="3076">
      <c r="A3076" s="40">
        <f t="array" ref="A3076">IFNA(index(PlayerValues!A:A,match(IFNA(vlookup(B3076,'Special Names'!A:B,2,FALSE),B3076),PlayerValues!E:E,0)),"N/A")</f>
        <v>16222</v>
      </c>
      <c r="B3076" s="4" t="s">
        <v>393</v>
      </c>
      <c r="C3076" s="4" t="s">
        <v>298</v>
      </c>
      <c r="D3076" s="94">
        <v>5323.0</v>
      </c>
    </row>
    <row r="3077">
      <c r="A3077" s="40">
        <f t="array" ref="A3077">IFNA(index(PlayerValues!A:A,match(IFNA(vlookup(B3077,'Special Names'!A:B,2,FALSE),B3077),PlayerValues!E:E,0)),"N/A")</f>
        <v>13590</v>
      </c>
      <c r="B3077" s="4" t="s">
        <v>409</v>
      </c>
      <c r="C3077" s="4" t="s">
        <v>283</v>
      </c>
      <c r="D3077" s="94">
        <v>4746.0</v>
      </c>
    </row>
    <row r="3078">
      <c r="A3078" s="40">
        <f t="array" ref="A3078">IFNA(index(PlayerValues!A:A,match(IFNA(vlookup(B3078,'Special Names'!A:B,2,FALSE),B3078),PlayerValues!E:E,0)),"N/A")</f>
        <v>12611</v>
      </c>
      <c r="B3078" s="4" t="s">
        <v>410</v>
      </c>
      <c r="C3078" s="4" t="s">
        <v>283</v>
      </c>
      <c r="D3078" s="94">
        <v>4670.0</v>
      </c>
    </row>
    <row r="3079">
      <c r="A3079" s="40">
        <f t="array" ref="A3079">IFNA(index(PlayerValues!A:A,match(IFNA(vlookup(B3079,'Special Names'!A:B,2,FALSE),B3079),PlayerValues!E:E,0)),"N/A")</f>
        <v>16190</v>
      </c>
      <c r="B3079" s="4" t="s">
        <v>371</v>
      </c>
      <c r="C3079" s="4" t="s">
        <v>287</v>
      </c>
      <c r="D3079" s="94">
        <v>4655.0</v>
      </c>
    </row>
    <row r="3080">
      <c r="A3080" s="40" t="str">
        <f t="array" ref="A3080">IFNA(index(PlayerValues!A:A,match(IFNA(vlookup(B3080,'Special Names'!A:B,2,FALSE),B3080),PlayerValues!E:E,0)),"N/A")</f>
        <v>N/A</v>
      </c>
      <c r="B3080" s="4" t="s">
        <v>80</v>
      </c>
      <c r="C3080" s="4" t="s">
        <v>325</v>
      </c>
      <c r="D3080" s="94">
        <v>4579.0</v>
      </c>
    </row>
    <row r="3081">
      <c r="A3081" s="40">
        <f t="array" ref="A3081">IFNA(index(PlayerValues!A:A,match(IFNA(vlookup(B3081,'Special Names'!A:B,2,FALSE),B3081),PlayerValues!E:E,0)),"N/A")</f>
        <v>17473</v>
      </c>
      <c r="B3081" s="4" t="s">
        <v>391</v>
      </c>
      <c r="C3081" s="4" t="s">
        <v>278</v>
      </c>
      <c r="D3081" s="94">
        <v>4577.0</v>
      </c>
    </row>
    <row r="3082">
      <c r="A3082" s="40">
        <f t="array" ref="A3082">IFNA(index(PlayerValues!A:A,match(IFNA(vlookup(B3082,'Special Names'!A:B,2,FALSE),B3082),PlayerValues!E:E,0)),"N/A")</f>
        <v>16214</v>
      </c>
      <c r="B3082" s="4" t="s">
        <v>413</v>
      </c>
      <c r="C3082" s="4" t="s">
        <v>298</v>
      </c>
      <c r="D3082" s="94">
        <v>5093.0</v>
      </c>
    </row>
    <row r="3083">
      <c r="A3083" s="40">
        <f t="array" ref="A3083">IFNA(index(PlayerValues!A:A,match(IFNA(vlookup(B3083,'Special Names'!A:B,2,FALSE),B3083),PlayerValues!E:E,0)),"N/A")</f>
        <v>16148</v>
      </c>
      <c r="B3083" s="4" t="s">
        <v>426</v>
      </c>
      <c r="C3083" s="4" t="s">
        <v>283</v>
      </c>
      <c r="D3083" s="94">
        <v>4543.0</v>
      </c>
    </row>
    <row r="3084">
      <c r="A3084" s="40">
        <f t="array" ref="A3084">IFNA(index(PlayerValues!A:A,match(IFNA(vlookup(B3084,'Special Names'!A:B,2,FALSE),B3084),PlayerValues!E:E,0)),"N/A")</f>
        <v>17045</v>
      </c>
      <c r="B3084" s="4" t="s">
        <v>407</v>
      </c>
      <c r="C3084" s="4" t="s">
        <v>278</v>
      </c>
      <c r="D3084" s="94">
        <v>4478.0</v>
      </c>
    </row>
    <row r="3085">
      <c r="A3085" s="40">
        <f t="array" ref="A3085">IFNA(index(PlayerValues!A:A,match(IFNA(vlookup(B3085,'Special Names'!A:B,2,FALSE),B3085),PlayerValues!E:E,0)),"N/A")</f>
        <v>14073</v>
      </c>
      <c r="B3085" s="4" t="s">
        <v>464</v>
      </c>
      <c r="C3085" s="4" t="s">
        <v>278</v>
      </c>
      <c r="D3085" s="94">
        <v>4451.0</v>
      </c>
    </row>
    <row r="3086">
      <c r="A3086" s="40">
        <f t="array" ref="A3086">IFNA(index(PlayerValues!A:A,match(IFNA(vlookup(B3086,'Special Names'!A:B,2,FALSE),B3086),PlayerValues!E:E,0)),"N/A")</f>
        <v>15253</v>
      </c>
      <c r="B3086" s="4" t="s">
        <v>415</v>
      </c>
      <c r="C3086" s="4" t="s">
        <v>278</v>
      </c>
      <c r="D3086" s="94">
        <v>4432.0</v>
      </c>
    </row>
    <row r="3087">
      <c r="A3087" s="40">
        <f t="array" ref="A3087">IFNA(index(PlayerValues!A:A,match(IFNA(vlookup(B3087,'Special Names'!A:B,2,FALSE),B3087),PlayerValues!E:E,0)),"N/A")</f>
        <v>15329</v>
      </c>
      <c r="B3087" s="4" t="s">
        <v>416</v>
      </c>
      <c r="C3087" s="4" t="s">
        <v>298</v>
      </c>
      <c r="D3087" s="94">
        <v>4969.0</v>
      </c>
    </row>
    <row r="3088">
      <c r="A3088" s="40">
        <f t="array" ref="A3088">IFNA(index(PlayerValues!A:A,match(IFNA(vlookup(B3088,'Special Names'!A:B,2,FALSE),B3088),PlayerValues!E:E,0)),"N/A")</f>
        <v>15256</v>
      </c>
      <c r="B3088" s="4" t="s">
        <v>401</v>
      </c>
      <c r="C3088" s="4" t="s">
        <v>278</v>
      </c>
      <c r="D3088" s="94">
        <v>4416.0</v>
      </c>
    </row>
    <row r="3089">
      <c r="A3089" s="40" t="str">
        <f t="array" ref="A3089">IFNA(index(PlayerValues!A:A,match(IFNA(vlookup(B3089,'Special Names'!A:B,2,FALSE),B3089),PlayerValues!E:E,0)),"N/A")</f>
        <v>N/A</v>
      </c>
      <c r="B3089" s="4" t="s">
        <v>105</v>
      </c>
      <c r="C3089" s="4" t="s">
        <v>325</v>
      </c>
      <c r="D3089" s="94">
        <v>4409.0</v>
      </c>
    </row>
    <row r="3090">
      <c r="A3090" s="40">
        <f t="array" ref="A3090">IFNA(index(PlayerValues!A:A,match(IFNA(vlookup(B3090,'Special Names'!A:B,2,FALSE),B3090),PlayerValues!E:E,0)),"N/A")</f>
        <v>17501</v>
      </c>
      <c r="B3090" s="4" t="s">
        <v>404</v>
      </c>
      <c r="C3090" s="4" t="s">
        <v>287</v>
      </c>
      <c r="D3090" s="94">
        <v>4408.0</v>
      </c>
    </row>
    <row r="3091">
      <c r="A3091" s="40">
        <f t="array" ref="A3091">IFNA(index(PlayerValues!A:A,match(IFNA(vlookup(B3091,'Special Names'!A:B,2,FALSE),B3091),PlayerValues!E:E,0)),"N/A")</f>
        <v>15768</v>
      </c>
      <c r="B3091" s="4" t="s">
        <v>432</v>
      </c>
      <c r="C3091" s="4" t="s">
        <v>287</v>
      </c>
      <c r="D3091" s="94">
        <v>4162.0</v>
      </c>
    </row>
    <row r="3092">
      <c r="A3092" s="40">
        <f t="array" ref="A3092">IFNA(index(PlayerValues!A:A,match(IFNA(vlookup(B3092,'Special Names'!A:B,2,FALSE),B3092),PlayerValues!E:E,0)),"N/A")</f>
        <v>14056</v>
      </c>
      <c r="B3092" s="4" t="s">
        <v>423</v>
      </c>
      <c r="C3092" s="4" t="s">
        <v>283</v>
      </c>
      <c r="D3092" s="94">
        <v>4099.0</v>
      </c>
    </row>
    <row r="3093">
      <c r="A3093" s="40">
        <f t="array" ref="A3093">IFNA(index(PlayerValues!A:A,match(IFNA(vlookup(B3093,'Special Names'!A:B,2,FALSE),B3093),PlayerValues!E:E,0)),"N/A")</f>
        <v>15694</v>
      </c>
      <c r="B3093" s="4" t="s">
        <v>434</v>
      </c>
      <c r="C3093" s="4" t="s">
        <v>283</v>
      </c>
      <c r="D3093" s="94">
        <v>4077.0</v>
      </c>
    </row>
    <row r="3094">
      <c r="A3094" s="40">
        <f t="array" ref="A3094">IFNA(index(PlayerValues!A:A,match(IFNA(vlookup(B3094,'Special Names'!A:B,2,FALSE),B3094),PlayerValues!E:E,0)),"N/A")</f>
        <v>17543</v>
      </c>
      <c r="B3094" s="4" t="s">
        <v>436</v>
      </c>
      <c r="C3094" s="4" t="s">
        <v>298</v>
      </c>
      <c r="D3094" s="94">
        <v>4568.0</v>
      </c>
    </row>
    <row r="3095">
      <c r="A3095" s="40">
        <f t="array" ref="A3095">IFNA(index(PlayerValues!A:A,match(IFNA(vlookup(B3095,'Special Names'!A:B,2,FALSE),B3095),PlayerValues!E:E,0)),"N/A")</f>
        <v>14059</v>
      </c>
      <c r="B3095" s="4" t="s">
        <v>435</v>
      </c>
      <c r="C3095" s="4" t="s">
        <v>283</v>
      </c>
      <c r="D3095" s="94">
        <v>4011.0</v>
      </c>
    </row>
    <row r="3096">
      <c r="A3096" s="40">
        <f t="array" ref="A3096">IFNA(index(PlayerValues!A:A,match(IFNA(vlookup(B3096,'Special Names'!A:B,2,FALSE),B3096),PlayerValues!E:E,0)),"N/A")</f>
        <v>16186</v>
      </c>
      <c r="B3096" s="4" t="s">
        <v>425</v>
      </c>
      <c r="C3096" s="4" t="s">
        <v>287</v>
      </c>
      <c r="D3096" s="94">
        <v>3967.0</v>
      </c>
    </row>
    <row r="3097">
      <c r="A3097" s="40">
        <f t="array" ref="A3097">IFNA(index(PlayerValues!A:A,match(IFNA(vlookup(B3097,'Special Names'!A:B,2,FALSE),B3097),PlayerValues!E:E,0)),"N/A")</f>
        <v>17052</v>
      </c>
      <c r="B3097" s="4" t="s">
        <v>417</v>
      </c>
      <c r="C3097" s="4" t="s">
        <v>278</v>
      </c>
      <c r="D3097" s="94">
        <v>3930.0</v>
      </c>
    </row>
    <row r="3098">
      <c r="A3098" s="40" t="str">
        <f t="array" ref="A3098">IFNA(index(PlayerValues!A:A,match(IFNA(vlookup(B3098,'Special Names'!A:B,2,FALSE),B3098),PlayerValues!E:E,0)),"N/A")</f>
        <v>N/A</v>
      </c>
      <c r="B3098" s="4" t="s">
        <v>95</v>
      </c>
      <c r="C3098" s="4" t="s">
        <v>325</v>
      </c>
      <c r="D3098" s="94">
        <v>3899.0</v>
      </c>
    </row>
    <row r="3099">
      <c r="A3099" s="40" t="str">
        <f t="array" ref="A3099">IFNA(index(PlayerValues!A:A,match(IFNA(vlookup(B3099,'Special Names'!A:B,2,FALSE),B3099),PlayerValues!E:E,0)),"N/A")</f>
        <v>N/A</v>
      </c>
      <c r="B3099" s="4" t="s">
        <v>107</v>
      </c>
      <c r="C3099" s="4" t="s">
        <v>325</v>
      </c>
      <c r="D3099" s="94">
        <v>3889.0</v>
      </c>
    </row>
    <row r="3100">
      <c r="A3100" s="40">
        <f t="array" ref="A3100">IFNA(index(PlayerValues!A:A,match(IFNA(vlookup(B3100,'Special Names'!A:B,2,FALSE),B3100),PlayerValues!E:E,0)),"N/A")</f>
        <v>17099</v>
      </c>
      <c r="B3100" s="4" t="s">
        <v>474</v>
      </c>
      <c r="C3100" s="4" t="s">
        <v>298</v>
      </c>
      <c r="D3100" s="94">
        <v>4362.0</v>
      </c>
    </row>
    <row r="3101">
      <c r="A3101" s="40" t="str">
        <f t="array" ref="A3101">IFNA(index(PlayerValues!A:A,match(IFNA(vlookup(B3101,'Special Names'!A:B,2,FALSE),B3101),PlayerValues!E:E,0)),"N/A")</f>
        <v>N/A</v>
      </c>
      <c r="B3101" s="4" t="s">
        <v>81</v>
      </c>
      <c r="C3101" s="4" t="s">
        <v>325</v>
      </c>
      <c r="D3101" s="94">
        <v>3857.0</v>
      </c>
    </row>
    <row r="3102">
      <c r="A3102" s="40">
        <f t="array" ref="A3102">IFNA(index(PlayerValues!A:A,match(IFNA(vlookup(B3102,'Special Names'!A:B,2,FALSE),B3102),PlayerValues!E:E,0)),"N/A")</f>
        <v>17502</v>
      </c>
      <c r="B3102" s="4" t="s">
        <v>451</v>
      </c>
      <c r="C3102" s="4" t="s">
        <v>287</v>
      </c>
      <c r="D3102" s="94">
        <v>3828.0</v>
      </c>
    </row>
    <row r="3103">
      <c r="A3103" s="40">
        <f t="array" ref="A3103">IFNA(index(PlayerValues!A:A,match(IFNA(vlookup(B3103,'Special Names'!A:B,2,FALSE),B3103),PlayerValues!E:E,0)),"N/A")</f>
        <v>12626</v>
      </c>
      <c r="B3103" s="4" t="s">
        <v>419</v>
      </c>
      <c r="C3103" s="4" t="s">
        <v>278</v>
      </c>
      <c r="D3103" s="94">
        <v>3818.0</v>
      </c>
    </row>
    <row r="3104">
      <c r="A3104" s="40">
        <f t="array" ref="A3104">IFNA(index(PlayerValues!A:A,match(IFNA(vlookup(B3104,'Special Names'!A:B,2,FALSE),B3104),PlayerValues!E:E,0)),"N/A")</f>
        <v>13635</v>
      </c>
      <c r="B3104" s="4" t="s">
        <v>424</v>
      </c>
      <c r="C3104" s="4" t="s">
        <v>287</v>
      </c>
      <c r="D3104" s="94">
        <v>3806.0</v>
      </c>
    </row>
    <row r="3105">
      <c r="A3105" s="40">
        <f t="array" ref="A3105">IFNA(index(PlayerValues!A:A,match(IFNA(vlookup(B3105,'Special Names'!A:B,2,FALSE),B3105),PlayerValues!E:E,0)),"N/A")</f>
        <v>14102</v>
      </c>
      <c r="B3105" s="4" t="s">
        <v>444</v>
      </c>
      <c r="C3105" s="4" t="s">
        <v>287</v>
      </c>
      <c r="D3105" s="94">
        <v>3732.0</v>
      </c>
    </row>
    <row r="3106">
      <c r="A3106" s="40">
        <f t="array" ref="A3106">IFNA(index(PlayerValues!A:A,match(IFNA(vlookup(B3106,'Special Names'!A:B,2,FALSE),B3106),PlayerValues!E:E,0)),"N/A")</f>
        <v>16206</v>
      </c>
      <c r="B3106" s="4" t="s">
        <v>431</v>
      </c>
      <c r="C3106" s="4" t="s">
        <v>287</v>
      </c>
      <c r="D3106" s="94">
        <v>3709.0</v>
      </c>
    </row>
    <row r="3107">
      <c r="A3107" s="40">
        <f t="array" ref="A3107">IFNA(index(PlayerValues!A:A,match(IFNA(vlookup(B3107,'Special Names'!A:B,2,FALSE),B3107),PlayerValues!E:E,0)),"N/A")</f>
        <v>17075</v>
      </c>
      <c r="B3107" s="4" t="s">
        <v>429</v>
      </c>
      <c r="C3107" s="4" t="s">
        <v>287</v>
      </c>
      <c r="D3107" s="94">
        <v>3701.0</v>
      </c>
    </row>
    <row r="3108">
      <c r="A3108" s="40">
        <f t="array" ref="A3108">IFNA(index(PlayerValues!A:A,match(IFNA(vlookup(B3108,'Special Names'!A:B,2,FALSE),B3108),PlayerValues!E:E,0)),"N/A")</f>
        <v>9431</v>
      </c>
      <c r="B3108" s="4" t="s">
        <v>428</v>
      </c>
      <c r="C3108" s="4" t="s">
        <v>283</v>
      </c>
      <c r="D3108" s="94">
        <v>3697.0</v>
      </c>
    </row>
    <row r="3109">
      <c r="A3109" s="40">
        <f t="array" ref="A3109">IFNA(index(PlayerValues!A:A,match(IFNA(vlookup(B3109,'Special Names'!A:B,2,FALSE),B3109),PlayerValues!E:E,0)),"N/A")</f>
        <v>17463</v>
      </c>
      <c r="B3109" s="4" t="s">
        <v>433</v>
      </c>
      <c r="C3109" s="4" t="s">
        <v>283</v>
      </c>
      <c r="D3109" s="94">
        <v>3696.0</v>
      </c>
    </row>
    <row r="3110">
      <c r="A3110" s="40">
        <f t="array" ref="A3110">IFNA(index(PlayerValues!A:A,match(IFNA(vlookup(B3110,'Special Names'!A:B,2,FALSE),B3110),PlayerValues!E:E,0)),"N/A")</f>
        <v>15789</v>
      </c>
      <c r="B3110" s="4" t="s">
        <v>421</v>
      </c>
      <c r="C3110" s="4" t="s">
        <v>287</v>
      </c>
      <c r="D3110" s="94">
        <v>3667.0</v>
      </c>
    </row>
    <row r="3111">
      <c r="A3111" s="40">
        <f t="array" ref="A3111">IFNA(index(PlayerValues!A:A,match(IFNA(vlookup(B3111,'Special Names'!A:B,2,FALSE),B3111),PlayerValues!E:E,0)),"N/A")</f>
        <v>17068</v>
      </c>
      <c r="B3111" s="4" t="s">
        <v>450</v>
      </c>
      <c r="C3111" s="4" t="s">
        <v>278</v>
      </c>
      <c r="D3111" s="94">
        <v>3649.0</v>
      </c>
    </row>
    <row r="3112">
      <c r="A3112" s="40">
        <f t="array" ref="A3112">IFNA(index(PlayerValues!A:A,match(IFNA(vlookup(B3112,'Special Names'!A:B,2,FALSE),B3112),PlayerValues!E:E,0)),"N/A")</f>
        <v>15757</v>
      </c>
      <c r="B3112" s="4" t="s">
        <v>449</v>
      </c>
      <c r="C3112" s="4" t="s">
        <v>287</v>
      </c>
      <c r="D3112" s="94">
        <v>3582.0</v>
      </c>
    </row>
    <row r="3113">
      <c r="A3113" s="40">
        <f t="array" ref="A3113">IFNA(index(PlayerValues!A:A,match(IFNA(vlookup(B3113,'Special Names'!A:B,2,FALSE),B3113),PlayerValues!E:E,0)),"N/A")</f>
        <v>17066</v>
      </c>
      <c r="B3113" s="4" t="s">
        <v>446</v>
      </c>
      <c r="C3113" s="4" t="s">
        <v>278</v>
      </c>
      <c r="D3113" s="94">
        <v>3576.0</v>
      </c>
    </row>
    <row r="3114">
      <c r="A3114" s="40">
        <f t="array" ref="A3114">IFNA(index(PlayerValues!A:A,match(IFNA(vlookup(B3114,'Special Names'!A:B,2,FALSE),B3114),PlayerValues!E:E,0)),"N/A")</f>
        <v>16622</v>
      </c>
      <c r="B3114" s="4" t="s">
        <v>517</v>
      </c>
      <c r="C3114" s="4" t="s">
        <v>287</v>
      </c>
      <c r="D3114" s="94">
        <v>3556.0</v>
      </c>
    </row>
    <row r="3115">
      <c r="A3115" s="40">
        <f t="array" ref="A3115">IFNA(index(PlayerValues!A:A,match(IFNA(vlookup(B3115,'Special Names'!A:B,2,FALSE),B3115),PlayerValues!E:E,0)),"N/A")</f>
        <v>14797</v>
      </c>
      <c r="B3115" s="4" t="s">
        <v>420</v>
      </c>
      <c r="C3115" s="4" t="s">
        <v>278</v>
      </c>
      <c r="D3115" s="94">
        <v>3547.0</v>
      </c>
    </row>
    <row r="3116">
      <c r="A3116" s="40">
        <f t="array" ref="A3116">IFNA(index(PlayerValues!A:A,match(IFNA(vlookup(B3116,'Special Names'!A:B,2,FALSE),B3116),PlayerValues!E:E,0)),"N/A")</f>
        <v>17083</v>
      </c>
      <c r="B3116" s="4" t="s">
        <v>479</v>
      </c>
      <c r="C3116" s="4" t="s">
        <v>287</v>
      </c>
      <c r="D3116" s="94">
        <v>3507.0</v>
      </c>
    </row>
    <row r="3117">
      <c r="A3117" s="40">
        <f t="array" ref="A3117">IFNA(index(PlayerValues!A:A,match(IFNA(vlookup(B3117,'Special Names'!A:B,2,FALSE),B3117),PlayerValues!E:E,0)),"N/A")</f>
        <v>16192</v>
      </c>
      <c r="B3117" s="4" t="s">
        <v>412</v>
      </c>
      <c r="C3117" s="4" t="s">
        <v>287</v>
      </c>
      <c r="D3117" s="94">
        <v>3482.0</v>
      </c>
    </row>
    <row r="3118">
      <c r="A3118" s="40">
        <f t="array" ref="A3118">IFNA(index(PlayerValues!A:A,match(IFNA(vlookup(B3118,'Special Names'!A:B,2,FALSE),B3118),PlayerValues!E:E,0)),"N/A")</f>
        <v>14109</v>
      </c>
      <c r="B3118" s="4" t="s">
        <v>437</v>
      </c>
      <c r="C3118" s="4" t="s">
        <v>287</v>
      </c>
      <c r="D3118" s="94">
        <v>3463.0</v>
      </c>
    </row>
    <row r="3119">
      <c r="A3119" s="40">
        <f t="array" ref="A3119">IFNA(index(PlayerValues!A:A,match(IFNA(vlookup(B3119,'Special Names'!A:B,2,FALSE),B3119),PlayerValues!E:E,0)),"N/A")</f>
        <v>16187</v>
      </c>
      <c r="B3119" s="4" t="s">
        <v>441</v>
      </c>
      <c r="C3119" s="4" t="s">
        <v>287</v>
      </c>
      <c r="D3119" s="94">
        <v>3457.0</v>
      </c>
    </row>
    <row r="3120">
      <c r="A3120" s="40">
        <f t="array" ref="A3120">IFNA(index(PlayerValues!A:A,match(IFNA(vlookup(B3120,'Special Names'!A:B,2,FALSE),B3120),PlayerValues!E:E,0)),"N/A")</f>
        <v>11675</v>
      </c>
      <c r="B3120" s="4" t="s">
        <v>438</v>
      </c>
      <c r="C3120" s="4" t="s">
        <v>287</v>
      </c>
      <c r="D3120" s="94">
        <v>3425.0</v>
      </c>
    </row>
    <row r="3121">
      <c r="A3121" s="40">
        <f t="array" ref="A3121">IFNA(index(PlayerValues!A:A,match(IFNA(vlookup(B3121,'Special Names'!A:B,2,FALSE),B3121),PlayerValues!E:E,0)),"N/A")</f>
        <v>17544</v>
      </c>
      <c r="B3121" s="4" t="s">
        <v>470</v>
      </c>
      <c r="C3121" s="4" t="s">
        <v>298</v>
      </c>
      <c r="D3121" s="94">
        <v>3876.0</v>
      </c>
    </row>
    <row r="3122">
      <c r="A3122" s="40">
        <f t="array" ref="A3122">IFNA(index(PlayerValues!A:A,match(IFNA(vlookup(B3122,'Special Names'!A:B,2,FALSE),B3122),PlayerValues!E:E,0)),"N/A")</f>
        <v>17500</v>
      </c>
      <c r="B3122" s="4" t="s">
        <v>430</v>
      </c>
      <c r="C3122" s="4" t="s">
        <v>287</v>
      </c>
      <c r="D3122" s="94">
        <v>3415.0</v>
      </c>
    </row>
    <row r="3123">
      <c r="A3123" s="40">
        <f t="array" ref="A3123">IFNA(index(PlayerValues!A:A,match(IFNA(vlookup(B3123,'Special Names'!A:B,2,FALSE),B3123),PlayerValues!E:E,0)),"N/A")</f>
        <v>16188</v>
      </c>
      <c r="B3123" s="4" t="s">
        <v>439</v>
      </c>
      <c r="C3123" s="4" t="s">
        <v>287</v>
      </c>
      <c r="D3123" s="94">
        <v>3392.0</v>
      </c>
    </row>
    <row r="3124">
      <c r="A3124" s="40" t="str">
        <f t="array" ref="A3124">IFNA(index(PlayerValues!A:A,match(IFNA(vlookup(B3124,'Special Names'!A:B,2,FALSE),B3124),PlayerValues!E:E,0)),"N/A")</f>
        <v>N/A</v>
      </c>
      <c r="B3124" s="4" t="s">
        <v>96</v>
      </c>
      <c r="C3124" s="4" t="s">
        <v>325</v>
      </c>
      <c r="D3124" s="94">
        <v>3392.0</v>
      </c>
    </row>
    <row r="3125">
      <c r="A3125" s="40">
        <f t="array" ref="A3125">IFNA(index(PlayerValues!A:A,match(IFNA(vlookup(B3125,'Special Names'!A:B,2,FALSE),B3125),PlayerValues!E:E,0)),"N/A")</f>
        <v>16620</v>
      </c>
      <c r="B3125" s="4" t="s">
        <v>467</v>
      </c>
      <c r="C3125" s="4" t="s">
        <v>287</v>
      </c>
      <c r="D3125" s="94">
        <v>3379.0</v>
      </c>
    </row>
    <row r="3126">
      <c r="A3126" s="40">
        <f t="array" ref="A3126">IFNA(index(PlayerValues!A:A,match(IFNA(vlookup(B3126,'Special Names'!A:B,2,FALSE),B3126),PlayerValues!E:E,0)),"N/A")</f>
        <v>14071</v>
      </c>
      <c r="B3126" s="4" t="s">
        <v>440</v>
      </c>
      <c r="C3126" s="4" t="s">
        <v>278</v>
      </c>
      <c r="D3126" s="94">
        <v>3375.0</v>
      </c>
    </row>
    <row r="3127">
      <c r="A3127" s="40">
        <f t="array" ref="A3127">IFNA(index(PlayerValues!A:A,match(IFNA(vlookup(B3127,'Special Names'!A:B,2,FALSE),B3127),PlayerValues!E:E,0)),"N/A")</f>
        <v>14842</v>
      </c>
      <c r="B3127" s="4" t="s">
        <v>456</v>
      </c>
      <c r="C3127" s="4" t="s">
        <v>287</v>
      </c>
      <c r="D3127" s="94">
        <v>3362.0</v>
      </c>
    </row>
    <row r="3128">
      <c r="A3128" s="40">
        <f t="array" ref="A3128">IFNA(index(PlayerValues!A:A,match(IFNA(vlookup(B3128,'Special Names'!A:B,2,FALSE),B3128),PlayerValues!E:E,0)),"N/A")</f>
        <v>15798</v>
      </c>
      <c r="B3128" s="4" t="s">
        <v>443</v>
      </c>
      <c r="C3128" s="4" t="s">
        <v>298</v>
      </c>
      <c r="D3128" s="94">
        <v>3808.0</v>
      </c>
    </row>
    <row r="3129">
      <c r="A3129" s="40">
        <f t="array" ref="A3129">IFNA(index(PlayerValues!A:A,match(IFNA(vlookup(B3129,'Special Names'!A:B,2,FALSE),B3129),PlayerValues!E:E,0)),"N/A")</f>
        <v>16169</v>
      </c>
      <c r="B3129" s="4" t="s">
        <v>457</v>
      </c>
      <c r="C3129" s="4" t="s">
        <v>278</v>
      </c>
      <c r="D3129" s="94">
        <v>3355.0</v>
      </c>
    </row>
    <row r="3130">
      <c r="A3130" s="40">
        <f t="array" ref="A3130">IFNA(index(PlayerValues!A:A,match(IFNA(vlookup(B3130,'Special Names'!A:B,2,FALSE),B3130),PlayerValues!E:E,0)),"N/A")</f>
        <v>15779</v>
      </c>
      <c r="B3130" s="4" t="s">
        <v>461</v>
      </c>
      <c r="C3130" s="4" t="s">
        <v>287</v>
      </c>
      <c r="D3130" s="94">
        <v>3342.0</v>
      </c>
    </row>
    <row r="3131">
      <c r="A3131" s="40">
        <f t="array" ref="A3131">IFNA(index(PlayerValues!A:A,match(IFNA(vlookup(B3131,'Special Names'!A:B,2,FALSE),B3131),PlayerValues!E:E,0)),"N/A")</f>
        <v>15261</v>
      </c>
      <c r="B3131" s="4" t="s">
        <v>466</v>
      </c>
      <c r="C3131" s="4" t="s">
        <v>278</v>
      </c>
      <c r="D3131" s="94">
        <v>3341.0</v>
      </c>
    </row>
    <row r="3132">
      <c r="A3132" s="40">
        <f t="array" ref="A3132">IFNA(index(PlayerValues!A:A,match(IFNA(vlookup(B3132,'Special Names'!A:B,2,FALSE),B3132),PlayerValues!E:E,0)),"N/A")</f>
        <v>16184</v>
      </c>
      <c r="B3132" s="4" t="s">
        <v>445</v>
      </c>
      <c r="C3132" s="4" t="s">
        <v>287</v>
      </c>
      <c r="D3132" s="94">
        <v>3333.0</v>
      </c>
    </row>
    <row r="3133">
      <c r="A3133" s="40">
        <f t="array" ref="A3133">IFNA(index(PlayerValues!A:A,match(IFNA(vlookup(B3133,'Special Names'!A:B,2,FALSE),B3133),PlayerValues!E:E,0)),"N/A")</f>
        <v>13299</v>
      </c>
      <c r="B3133" s="4" t="s">
        <v>448</v>
      </c>
      <c r="C3133" s="4" t="s">
        <v>298</v>
      </c>
      <c r="D3133" s="94">
        <v>3768.0</v>
      </c>
    </row>
    <row r="3134">
      <c r="A3134" s="40">
        <f t="array" ref="A3134">IFNA(index(PlayerValues!A:A,match(IFNA(vlookup(B3134,'Special Names'!A:B,2,FALSE),B3134),PlayerValues!E:E,0)),"N/A")</f>
        <v>17074</v>
      </c>
      <c r="B3134" s="4" t="s">
        <v>475</v>
      </c>
      <c r="C3134" s="4" t="s">
        <v>287</v>
      </c>
      <c r="D3134" s="94">
        <v>3312.0</v>
      </c>
    </row>
    <row r="3135">
      <c r="A3135" s="40">
        <f t="array" ref="A3135">IFNA(index(PlayerValues!A:A,match(IFNA(vlookup(B3135,'Special Names'!A:B,2,FALSE),B3135),PlayerValues!E:E,0)),"N/A")</f>
        <v>15799</v>
      </c>
      <c r="B3135" s="4" t="s">
        <v>468</v>
      </c>
      <c r="C3135" s="4" t="s">
        <v>298</v>
      </c>
      <c r="D3135" s="94">
        <v>3740.0</v>
      </c>
    </row>
    <row r="3136">
      <c r="A3136" s="40">
        <f t="array" ref="A3136">IFNA(index(PlayerValues!A:A,match(IFNA(vlookup(B3136,'Special Names'!A:B,2,FALSE),B3136),PlayerValues!E:E,0)),"N/A")</f>
        <v>11671</v>
      </c>
      <c r="B3136" s="4" t="s">
        <v>463</v>
      </c>
      <c r="C3136" s="4" t="s">
        <v>287</v>
      </c>
      <c r="D3136" s="94">
        <v>3277.0</v>
      </c>
    </row>
    <row r="3137">
      <c r="A3137" s="40" t="str">
        <f t="array" ref="A3137">IFNA(index(PlayerValues!A:A,match(IFNA(vlookup(B3137,'Special Names'!A:B,2,FALSE),B3137),PlayerValues!E:E,0)),"N/A")</f>
        <v>N/A</v>
      </c>
      <c r="B3137" s="4" t="s">
        <v>82</v>
      </c>
      <c r="C3137" s="4" t="s">
        <v>325</v>
      </c>
      <c r="D3137" s="94">
        <v>3259.0</v>
      </c>
    </row>
    <row r="3138">
      <c r="A3138" s="40">
        <f t="array" ref="A3138">IFNA(index(PlayerValues!A:A,match(IFNA(vlookup(B3138,'Special Names'!A:B,2,FALSE),B3138),PlayerValues!E:E,0)),"N/A")</f>
        <v>14127</v>
      </c>
      <c r="B3138" s="4" t="s">
        <v>486</v>
      </c>
      <c r="C3138" s="4" t="s">
        <v>287</v>
      </c>
      <c r="D3138" s="94">
        <v>3243.0</v>
      </c>
    </row>
    <row r="3139">
      <c r="A3139" s="40">
        <f t="array" ref="A3139">IFNA(index(PlayerValues!A:A,match(IFNA(vlookup(B3139,'Special Names'!A:B,2,FALSE),B3139),PlayerValues!E:E,0)),"N/A")</f>
        <v>13630</v>
      </c>
      <c r="B3139" s="4" t="s">
        <v>465</v>
      </c>
      <c r="C3139" s="4" t="s">
        <v>287</v>
      </c>
      <c r="D3139" s="94">
        <v>3238.0</v>
      </c>
    </row>
    <row r="3140">
      <c r="A3140" s="40">
        <f t="array" ref="A3140">IFNA(index(PlayerValues!A:A,match(IFNA(vlookup(B3140,'Special Names'!A:B,2,FALSE),B3140),PlayerValues!E:E,0)),"N/A")</f>
        <v>16213</v>
      </c>
      <c r="B3140" s="4" t="s">
        <v>458</v>
      </c>
      <c r="C3140" s="4" t="s">
        <v>298</v>
      </c>
      <c r="D3140" s="94">
        <v>3678.0</v>
      </c>
    </row>
    <row r="3141">
      <c r="A3141" s="40" t="str">
        <f t="array" ref="A3141">IFNA(index(PlayerValues!A:A,match(IFNA(vlookup(B3141,'Special Names'!A:B,2,FALSE),B3141),PlayerValues!E:E,0)),"N/A")</f>
        <v>N/A</v>
      </c>
      <c r="B3141" s="4" t="s">
        <v>97</v>
      </c>
      <c r="C3141" s="4" t="s">
        <v>325</v>
      </c>
      <c r="D3141" s="94">
        <v>3200.0</v>
      </c>
    </row>
    <row r="3142">
      <c r="A3142" s="40">
        <f t="array" ref="A3142">IFNA(index(PlayerValues!A:A,match(IFNA(vlookup(B3142,'Special Names'!A:B,2,FALSE),B3142),PlayerValues!E:E,0)),"N/A")</f>
        <v>16593</v>
      </c>
      <c r="B3142" s="4" t="s">
        <v>442</v>
      </c>
      <c r="C3142" s="4" t="s">
        <v>278</v>
      </c>
      <c r="D3142" s="94">
        <v>3186.0</v>
      </c>
    </row>
    <row r="3143">
      <c r="A3143" s="40">
        <f t="array" ref="A3143">IFNA(index(PlayerValues!A:A,match(IFNA(vlookup(B3143,'Special Names'!A:B,2,FALSE),B3143),PlayerValues!E:E,0)),"N/A")</f>
        <v>14823</v>
      </c>
      <c r="B3143" s="4" t="s">
        <v>459</v>
      </c>
      <c r="C3143" s="4" t="s">
        <v>278</v>
      </c>
      <c r="D3143" s="94">
        <v>3183.0</v>
      </c>
    </row>
    <row r="3144">
      <c r="A3144" s="40">
        <f t="array" ref="A3144">IFNA(index(PlayerValues!A:A,match(IFNA(vlookup(B3144,'Special Names'!A:B,2,FALSE),B3144),PlayerValues!E:E,0)),"N/A")</f>
        <v>16583</v>
      </c>
      <c r="B3144" s="4" t="s">
        <v>493</v>
      </c>
      <c r="C3144" s="4" t="s">
        <v>283</v>
      </c>
      <c r="D3144" s="94">
        <v>3136.0</v>
      </c>
    </row>
    <row r="3145">
      <c r="A3145" s="40">
        <f t="array" ref="A3145">IFNA(index(PlayerValues!A:A,match(IFNA(vlookup(B3145,'Special Names'!A:B,2,FALSE),B3145),PlayerValues!E:E,0)),"N/A")</f>
        <v>15742</v>
      </c>
      <c r="B3145" s="4" t="s">
        <v>447</v>
      </c>
      <c r="C3145" s="4" t="s">
        <v>278</v>
      </c>
      <c r="D3145" s="94">
        <v>3130.0</v>
      </c>
    </row>
    <row r="3146">
      <c r="A3146" s="40">
        <f t="array" ref="A3146">IFNA(index(PlayerValues!A:A,match(IFNA(vlookup(B3146,'Special Names'!A:B,2,FALSE),B3146),PlayerValues!E:E,0)),"N/A")</f>
        <v>14800</v>
      </c>
      <c r="B3146" s="4" t="s">
        <v>472</v>
      </c>
      <c r="C3146" s="4" t="s">
        <v>278</v>
      </c>
      <c r="D3146" s="94">
        <v>3129.0</v>
      </c>
    </row>
    <row r="3147">
      <c r="A3147" s="40" t="str">
        <f t="array" ref="A3147">IFNA(index(PlayerValues!A:A,match(IFNA(vlookup(B3147,'Special Names'!A:B,2,FALSE),B3147),PlayerValues!E:E,0)),"N/A")</f>
        <v>N/A</v>
      </c>
      <c r="B3147" s="4" t="s">
        <v>108</v>
      </c>
      <c r="C3147" s="4" t="s">
        <v>325</v>
      </c>
      <c r="D3147" s="94">
        <v>3113.0</v>
      </c>
    </row>
    <row r="3148">
      <c r="A3148" s="40">
        <f t="array" ref="A3148">IFNA(index(PlayerValues!A:A,match(IFNA(vlookup(B3148,'Special Names'!A:B,2,FALSE),B3148),PlayerValues!E:E,0)),"N/A")</f>
        <v>16809</v>
      </c>
      <c r="B3148" s="4" t="s">
        <v>455</v>
      </c>
      <c r="C3148" s="4" t="s">
        <v>287</v>
      </c>
      <c r="D3148" s="94">
        <v>3039.0</v>
      </c>
    </row>
    <row r="3149">
      <c r="A3149" s="40">
        <f t="array" ref="A3149">IFNA(index(PlayerValues!A:A,match(IFNA(vlookup(B3149,'Special Names'!A:B,2,FALSE),B3149),PlayerValues!E:E,0)),"N/A")</f>
        <v>16597</v>
      </c>
      <c r="B3149" s="4" t="s">
        <v>427</v>
      </c>
      <c r="C3149" s="4" t="s">
        <v>278</v>
      </c>
      <c r="D3149" s="94">
        <v>3038.0</v>
      </c>
    </row>
    <row r="3150">
      <c r="A3150" s="40">
        <f t="array" ref="A3150">IFNA(index(PlayerValues!A:A,match(IFNA(vlookup(B3150,'Special Names'!A:B,2,FALSE),B3150),PlayerValues!E:E,0)),"N/A")</f>
        <v>16080</v>
      </c>
      <c r="B3150" s="4" t="s">
        <v>499</v>
      </c>
      <c r="C3150" s="4" t="s">
        <v>287</v>
      </c>
      <c r="D3150" s="94">
        <v>3036.0</v>
      </c>
    </row>
    <row r="3151">
      <c r="A3151" s="40" t="str">
        <f t="array" ref="A3151">IFNA(index(PlayerValues!A:A,match(IFNA(vlookup(B3151,'Special Names'!A:B,2,FALSE),B3151),PlayerValues!E:E,0)),"N/A")</f>
        <v>N/A</v>
      </c>
      <c r="B3151" s="4" t="s">
        <v>84</v>
      </c>
      <c r="C3151" s="4" t="s">
        <v>325</v>
      </c>
      <c r="D3151" s="94">
        <v>3033.0</v>
      </c>
    </row>
    <row r="3152">
      <c r="A3152" s="40">
        <f t="array" ref="A3152">IFNA(index(PlayerValues!A:A,match(IFNA(vlookup(B3152,'Special Names'!A:B,2,FALSE),B3152),PlayerValues!E:E,0)),"N/A")</f>
        <v>15761</v>
      </c>
      <c r="B3152" s="4" t="s">
        <v>491</v>
      </c>
      <c r="C3152" s="4" t="s">
        <v>287</v>
      </c>
      <c r="D3152" s="94">
        <v>3008.0</v>
      </c>
    </row>
    <row r="3153">
      <c r="A3153" s="40">
        <f t="array" ref="A3153">IFNA(index(PlayerValues!A:A,match(IFNA(vlookup(B3153,'Special Names'!A:B,2,FALSE),B3153),PlayerValues!E:E,0)),"N/A")</f>
        <v>16269</v>
      </c>
      <c r="B3153" s="4" t="s">
        <v>481</v>
      </c>
      <c r="C3153" s="4" t="s">
        <v>298</v>
      </c>
      <c r="D3153" s="94">
        <v>3435.0</v>
      </c>
    </row>
    <row r="3154">
      <c r="A3154" s="40">
        <f t="array" ref="A3154">IFNA(index(PlayerValues!A:A,match(IFNA(vlookup(B3154,'Special Names'!A:B,2,FALSE),B3154),PlayerValues!E:E,0)),"N/A")</f>
        <v>16628</v>
      </c>
      <c r="B3154" s="4" t="s">
        <v>490</v>
      </c>
      <c r="C3154" s="4" t="s">
        <v>287</v>
      </c>
      <c r="D3154" s="94">
        <v>2998.0</v>
      </c>
    </row>
    <row r="3155">
      <c r="A3155" s="40">
        <f t="array" ref="A3155">IFNA(index(PlayerValues!A:A,match(IFNA(vlookup(B3155,'Special Names'!A:B,2,FALSE),B3155),PlayerValues!E:E,0)),"N/A")</f>
        <v>16584</v>
      </c>
      <c r="B3155" s="4" t="s">
        <v>569</v>
      </c>
      <c r="C3155" s="4" t="s">
        <v>283</v>
      </c>
      <c r="D3155" s="94">
        <v>2949.0</v>
      </c>
    </row>
    <row r="3156">
      <c r="A3156" s="40">
        <f t="array" ref="A3156">IFNA(index(PlayerValues!A:A,match(IFNA(vlookup(B3156,'Special Names'!A:B,2,FALSE),B3156),PlayerValues!E:E,0)),"N/A")</f>
        <v>17053</v>
      </c>
      <c r="B3156" s="4" t="s">
        <v>484</v>
      </c>
      <c r="C3156" s="4" t="s">
        <v>278</v>
      </c>
      <c r="D3156" s="94">
        <v>2944.0</v>
      </c>
    </row>
    <row r="3157">
      <c r="A3157" s="40">
        <f t="array" ref="A3157">IFNA(index(PlayerValues!A:A,match(IFNA(vlookup(B3157,'Special Names'!A:B,2,FALSE),B3157),PlayerValues!E:E,0)),"N/A")</f>
        <v>13163</v>
      </c>
      <c r="B3157" s="4" t="s">
        <v>473</v>
      </c>
      <c r="C3157" s="4" t="s">
        <v>287</v>
      </c>
      <c r="D3157" s="94">
        <v>2925.0</v>
      </c>
    </row>
    <row r="3158">
      <c r="A3158" s="40">
        <f t="array" ref="A3158">IFNA(index(PlayerValues!A:A,match(IFNA(vlookup(B3158,'Special Names'!A:B,2,FALSE),B3158),PlayerValues!E:E,0)),"N/A")</f>
        <v>15259</v>
      </c>
      <c r="B3158" s="4" t="s">
        <v>453</v>
      </c>
      <c r="C3158" s="4" t="s">
        <v>278</v>
      </c>
      <c r="D3158" s="94">
        <v>2924.0</v>
      </c>
    </row>
    <row r="3159">
      <c r="A3159" s="40" t="str">
        <f t="array" ref="A3159">IFNA(index(PlayerValues!A:A,match(IFNA(vlookup(B3159,'Special Names'!A:B,2,FALSE),B3159),PlayerValues!E:E,0)),"N/A")</f>
        <v>N/A</v>
      </c>
      <c r="B3159" s="4" t="s">
        <v>109</v>
      </c>
      <c r="C3159" s="4" t="s">
        <v>325</v>
      </c>
      <c r="D3159" s="94">
        <v>2915.0</v>
      </c>
    </row>
    <row r="3160">
      <c r="A3160" s="40">
        <f t="array" ref="A3160">IFNA(index(PlayerValues!A:A,match(IFNA(vlookup(B3160,'Special Names'!A:B,2,FALSE),B3160),PlayerValues!E:E,0)),"N/A")</f>
        <v>17256</v>
      </c>
      <c r="B3160" s="4" t="s">
        <v>462</v>
      </c>
      <c r="C3160" s="4" t="s">
        <v>278</v>
      </c>
      <c r="D3160" s="94">
        <v>2899.0</v>
      </c>
    </row>
    <row r="3161">
      <c r="A3161" s="40">
        <f t="array" ref="A3161">IFNA(index(PlayerValues!A:A,match(IFNA(vlookup(B3161,'Special Names'!A:B,2,FALSE),B3161),PlayerValues!E:E,0)),"N/A")</f>
        <v>17477</v>
      </c>
      <c r="B3161" s="4" t="s">
        <v>452</v>
      </c>
      <c r="C3161" s="4" t="s">
        <v>278</v>
      </c>
      <c r="D3161" s="94">
        <v>2887.0</v>
      </c>
    </row>
    <row r="3162">
      <c r="A3162" s="40">
        <f t="array" ref="A3162">IFNA(index(PlayerValues!A:A,match(IFNA(vlookup(B3162,'Special Names'!A:B,2,FALSE),B3162),PlayerValues!E:E,0)),"N/A")</f>
        <v>16723</v>
      </c>
      <c r="B3162" s="4" t="s">
        <v>502</v>
      </c>
      <c r="C3162" s="4" t="s">
        <v>298</v>
      </c>
      <c r="D3162" s="94">
        <v>3301.0</v>
      </c>
    </row>
    <row r="3163">
      <c r="A3163" s="40">
        <f t="array" ref="A3163">IFNA(index(PlayerValues!A:A,match(IFNA(vlookup(B3163,'Special Names'!A:B,2,FALSE),B3163),PlayerValues!E:E,0)),"N/A")</f>
        <v>17506</v>
      </c>
      <c r="B3163" s="4" t="s">
        <v>471</v>
      </c>
      <c r="C3163" s="4" t="s">
        <v>287</v>
      </c>
      <c r="D3163" s="94">
        <v>2875.0</v>
      </c>
    </row>
    <row r="3164">
      <c r="A3164" s="40">
        <f t="array" ref="A3164">IFNA(index(PlayerValues!A:A,match(IFNA(vlookup(B3164,'Special Names'!A:B,2,FALSE),B3164),PlayerValues!E:E,0)),"N/A")</f>
        <v>17476</v>
      </c>
      <c r="B3164" s="4" t="s">
        <v>494</v>
      </c>
      <c r="C3164" s="4" t="s">
        <v>278</v>
      </c>
      <c r="D3164" s="94">
        <v>2852.0</v>
      </c>
    </row>
    <row r="3165">
      <c r="A3165" s="40">
        <f t="array" ref="A3165">IFNA(index(PlayerValues!A:A,match(IFNA(vlookup(B3165,'Special Names'!A:B,2,FALSE),B3165),PlayerValues!E:E,0)),"N/A")</f>
        <v>15255</v>
      </c>
      <c r="B3165" s="4" t="s">
        <v>477</v>
      </c>
      <c r="C3165" s="4" t="s">
        <v>278</v>
      </c>
      <c r="D3165" s="94">
        <v>2852.0</v>
      </c>
    </row>
    <row r="3166">
      <c r="A3166" s="40">
        <f t="array" ref="A3166">IFNA(index(PlayerValues!A:A,match(IFNA(vlookup(B3166,'Special Names'!A:B,2,FALSE),B3166),PlayerValues!E:E,0)),"N/A")</f>
        <v>14138</v>
      </c>
      <c r="B3166" s="4" t="s">
        <v>531</v>
      </c>
      <c r="C3166" s="4" t="s">
        <v>298</v>
      </c>
      <c r="D3166" s="94">
        <v>3253.0</v>
      </c>
    </row>
    <row r="3167">
      <c r="A3167" s="40">
        <f t="array" ref="A3167">IFNA(index(PlayerValues!A:A,match(IFNA(vlookup(B3167,'Special Names'!A:B,2,FALSE),B3167),PlayerValues!E:E,0)),"N/A")</f>
        <v>15712</v>
      </c>
      <c r="B3167" s="4" t="s">
        <v>488</v>
      </c>
      <c r="C3167" s="4" t="s">
        <v>278</v>
      </c>
      <c r="D3167" s="94">
        <v>2826.0</v>
      </c>
    </row>
    <row r="3168">
      <c r="A3168" s="40">
        <f t="array" ref="A3168">IFNA(index(PlayerValues!A:A,match(IFNA(vlookup(B3168,'Special Names'!A:B,2,FALSE),B3168),PlayerValues!E:E,0)),"N/A")</f>
        <v>17031</v>
      </c>
      <c r="B3168" s="4" t="s">
        <v>535</v>
      </c>
      <c r="C3168" s="4" t="s">
        <v>283</v>
      </c>
      <c r="D3168" s="94">
        <v>2825.0</v>
      </c>
    </row>
    <row r="3169">
      <c r="A3169" s="40">
        <f t="array" ref="A3169">IFNA(index(PlayerValues!A:A,match(IFNA(vlookup(B3169,'Special Names'!A:B,2,FALSE),B3169),PlayerValues!E:E,0)),"N/A")</f>
        <v>13671</v>
      </c>
      <c r="B3169" s="4" t="s">
        <v>506</v>
      </c>
      <c r="C3169" s="4" t="s">
        <v>298</v>
      </c>
      <c r="D3169" s="94">
        <v>3230.0</v>
      </c>
    </row>
    <row r="3170">
      <c r="A3170" s="40">
        <f t="array" ref="A3170">IFNA(index(PlayerValues!A:A,match(IFNA(vlookup(B3170,'Special Names'!A:B,2,FALSE),B3170),PlayerValues!E:E,0)),"N/A")</f>
        <v>15889</v>
      </c>
      <c r="B3170" s="4" t="s">
        <v>503</v>
      </c>
      <c r="C3170" s="4" t="s">
        <v>298</v>
      </c>
      <c r="D3170" s="94">
        <v>3212.0</v>
      </c>
    </row>
    <row r="3171">
      <c r="A3171" s="40">
        <f t="array" ref="A3171">IFNA(index(PlayerValues!A:A,match(IFNA(vlookup(B3171,'Special Names'!A:B,2,FALSE),B3171),PlayerValues!E:E,0)),"N/A")</f>
        <v>17072</v>
      </c>
      <c r="B3171" s="4" t="s">
        <v>508</v>
      </c>
      <c r="C3171" s="4" t="s">
        <v>287</v>
      </c>
      <c r="D3171" s="94">
        <v>2781.0</v>
      </c>
    </row>
    <row r="3172">
      <c r="A3172" s="40">
        <f t="array" ref="A3172">IFNA(index(PlayerValues!A:A,match(IFNA(vlookup(B3172,'Special Names'!A:B,2,FALSE),B3172),PlayerValues!E:E,0)),"N/A")</f>
        <v>17157</v>
      </c>
      <c r="B3172" s="4" t="s">
        <v>524</v>
      </c>
      <c r="C3172" s="4" t="s">
        <v>287</v>
      </c>
      <c r="D3172" s="94">
        <v>2781.0</v>
      </c>
    </row>
    <row r="3173">
      <c r="A3173" s="40">
        <f t="array" ref="A3173">IFNA(index(PlayerValues!A:A,match(IFNA(vlookup(B3173,'Special Names'!A:B,2,FALSE),B3173),PlayerValues!E:E,0)),"N/A")</f>
        <v>14085</v>
      </c>
      <c r="B3173" s="4" t="s">
        <v>489</v>
      </c>
      <c r="C3173" s="4" t="s">
        <v>278</v>
      </c>
      <c r="D3173" s="94">
        <v>2770.0</v>
      </c>
    </row>
    <row r="3174">
      <c r="A3174" s="40" t="str">
        <f t="array" ref="A3174">IFNA(index(PlayerValues!A:A,match(IFNA(vlookup(B3174,'Special Names'!A:B,2,FALSE),B3174),PlayerValues!E:E,0)),"N/A")</f>
        <v>N/A</v>
      </c>
      <c r="B3174" s="4" t="s">
        <v>110</v>
      </c>
      <c r="C3174" s="4" t="s">
        <v>325</v>
      </c>
      <c r="D3174" s="94">
        <v>2768.0</v>
      </c>
    </row>
    <row r="3175">
      <c r="A3175" s="40">
        <f t="array" ref="A3175">IFNA(index(PlayerValues!A:A,match(IFNA(vlookup(B3175,'Special Names'!A:B,2,FALSE),B3175),PlayerValues!E:E,0)),"N/A")</f>
        <v>15241</v>
      </c>
      <c r="B3175" s="4" t="s">
        <v>546</v>
      </c>
      <c r="C3175" s="4" t="s">
        <v>283</v>
      </c>
      <c r="D3175" s="94">
        <v>2767.0</v>
      </c>
    </row>
    <row r="3176">
      <c r="A3176" s="40">
        <f t="array" ref="A3176">IFNA(index(PlayerValues!A:A,match(IFNA(vlookup(B3176,'Special Names'!A:B,2,FALSE),B3176),PlayerValues!E:E,0)),"N/A")</f>
        <v>16193</v>
      </c>
      <c r="B3176" s="4" t="s">
        <v>487</v>
      </c>
      <c r="C3176" s="4" t="s">
        <v>287</v>
      </c>
      <c r="D3176" s="94">
        <v>2766.0</v>
      </c>
    </row>
    <row r="3177">
      <c r="A3177" s="40" t="str">
        <f t="array" ref="A3177">IFNA(index(PlayerValues!A:A,match(IFNA(vlookup(B3177,'Special Names'!A:B,2,FALSE),B3177),PlayerValues!E:E,0)),"N/A")</f>
        <v>N/A</v>
      </c>
      <c r="B3177" s="4" t="s">
        <v>85</v>
      </c>
      <c r="C3177" s="4" t="s">
        <v>325</v>
      </c>
      <c r="D3177" s="94">
        <v>2765.0</v>
      </c>
    </row>
    <row r="3178">
      <c r="A3178" s="40">
        <f t="array" ref="A3178">IFNA(index(PlayerValues!A:A,match(IFNA(vlookup(B3178,'Special Names'!A:B,2,FALSE),B3178),PlayerValues!E:E,0)),"N/A")</f>
        <v>14778</v>
      </c>
      <c r="B3178" s="4" t="s">
        <v>564</v>
      </c>
      <c r="C3178" s="4" t="s">
        <v>283</v>
      </c>
      <c r="D3178" s="94">
        <v>2764.0</v>
      </c>
    </row>
    <row r="3179">
      <c r="A3179" s="40">
        <f t="array" ref="A3179">IFNA(index(PlayerValues!A:A,match(IFNA(vlookup(B3179,'Special Names'!A:B,2,FALSE),B3179),PlayerValues!E:E,0)),"N/A")</f>
        <v>16619</v>
      </c>
      <c r="B3179" s="4" t="s">
        <v>538</v>
      </c>
      <c r="C3179" s="4" t="s">
        <v>287</v>
      </c>
      <c r="D3179" s="94">
        <v>2751.0</v>
      </c>
    </row>
    <row r="3180">
      <c r="A3180" s="40">
        <f t="array" ref="A3180">IFNA(index(PlayerValues!A:A,match(IFNA(vlookup(B3180,'Special Names'!A:B,2,FALSE),B3180),PlayerValues!E:E,0)),"N/A")</f>
        <v>12616</v>
      </c>
      <c r="B3180" s="4" t="s">
        <v>529</v>
      </c>
      <c r="C3180" s="4" t="s">
        <v>283</v>
      </c>
      <c r="D3180" s="94">
        <v>2743.0</v>
      </c>
    </row>
    <row r="3181">
      <c r="A3181" s="40">
        <f t="array" ref="A3181">IFNA(index(PlayerValues!A:A,match(IFNA(vlookup(B3181,'Special Names'!A:B,2,FALSE),B3181),PlayerValues!E:E,0)),"N/A")</f>
        <v>17047</v>
      </c>
      <c r="B3181" s="4" t="s">
        <v>510</v>
      </c>
      <c r="C3181" s="4" t="s">
        <v>278</v>
      </c>
      <c r="D3181" s="94">
        <v>2740.0</v>
      </c>
    </row>
    <row r="3182">
      <c r="A3182" s="40">
        <f t="array" ref="A3182">IFNA(index(PlayerValues!A:A,match(IFNA(vlookup(B3182,'Special Names'!A:B,2,FALSE),B3182),PlayerValues!E:E,0)),"N/A")</f>
        <v>17073</v>
      </c>
      <c r="B3182" s="4" t="s">
        <v>547</v>
      </c>
      <c r="C3182" s="4" t="s">
        <v>287</v>
      </c>
      <c r="D3182" s="94">
        <v>2737.0</v>
      </c>
    </row>
    <row r="3183">
      <c r="A3183" s="40">
        <f t="array" ref="A3183">IFNA(index(PlayerValues!A:A,match(IFNA(vlookup(B3183,'Special Names'!A:B,2,FALSE),B3183),PlayerValues!E:E,0)),"N/A")</f>
        <v>17080</v>
      </c>
      <c r="B3183" s="4" t="s">
        <v>532</v>
      </c>
      <c r="C3183" s="4" t="s">
        <v>287</v>
      </c>
      <c r="D3183" s="94">
        <v>2732.0</v>
      </c>
    </row>
    <row r="3184">
      <c r="A3184" s="40">
        <f t="array" ref="A3184">IFNA(index(PlayerValues!A:A,match(IFNA(vlookup(B3184,'Special Names'!A:B,2,FALSE),B3184),PlayerValues!E:E,0)),"N/A")</f>
        <v>17503</v>
      </c>
      <c r="B3184" s="4" t="s">
        <v>480</v>
      </c>
      <c r="C3184" s="4" t="s">
        <v>287</v>
      </c>
      <c r="D3184" s="94">
        <v>2726.0</v>
      </c>
    </row>
    <row r="3185">
      <c r="A3185" s="40">
        <f t="array" ref="A3185">IFNA(index(PlayerValues!A:A,match(IFNA(vlookup(B3185,'Special Names'!A:B,2,FALSE),B3185),PlayerValues!E:E,0)),"N/A")</f>
        <v>17098</v>
      </c>
      <c r="B3185" s="4" t="s">
        <v>533</v>
      </c>
      <c r="C3185" s="4" t="s">
        <v>287</v>
      </c>
      <c r="D3185" s="94">
        <v>2722.0</v>
      </c>
    </row>
    <row r="3186">
      <c r="A3186" s="40">
        <f t="array" ref="A3186">IFNA(index(PlayerValues!A:A,match(IFNA(vlookup(B3186,'Special Names'!A:B,2,FALSE),B3186),PlayerValues!E:E,0)),"N/A")</f>
        <v>17107</v>
      </c>
      <c r="B3186" s="4" t="s">
        <v>478</v>
      </c>
      <c r="C3186" s="4" t="s">
        <v>298</v>
      </c>
      <c r="D3186" s="94">
        <v>3130.0</v>
      </c>
    </row>
    <row r="3187">
      <c r="A3187" s="40">
        <f t="array" ref="A3187">IFNA(index(PlayerValues!A:A,match(IFNA(vlookup(B3187,'Special Names'!A:B,2,FALSE),B3187),PlayerValues!E:E,0)),"N/A")</f>
        <v>15721</v>
      </c>
      <c r="B3187" s="4" t="s">
        <v>504</v>
      </c>
      <c r="C3187" s="4" t="s">
        <v>278</v>
      </c>
      <c r="D3187" s="94">
        <v>2714.0</v>
      </c>
    </row>
    <row r="3188">
      <c r="A3188" s="40">
        <f t="array" ref="A3188">IFNA(index(PlayerValues!A:A,match(IFNA(vlookup(B3188,'Special Names'!A:B,2,FALSE),B3188),PlayerValues!E:E,0)),"N/A")</f>
        <v>16596</v>
      </c>
      <c r="B3188" s="4" t="s">
        <v>501</v>
      </c>
      <c r="C3188" s="4" t="s">
        <v>278</v>
      </c>
      <c r="D3188" s="94">
        <v>2705.0</v>
      </c>
    </row>
    <row r="3189">
      <c r="A3189" s="40">
        <f t="array" ref="A3189">IFNA(index(PlayerValues!A:A,match(IFNA(vlookup(B3189,'Special Names'!A:B,2,FALSE),B3189),PlayerValues!E:E,0)),"N/A")</f>
        <v>14833</v>
      </c>
      <c r="B3189" s="4" t="s">
        <v>553</v>
      </c>
      <c r="C3189" s="4" t="s">
        <v>287</v>
      </c>
      <c r="D3189" s="94">
        <v>2704.0</v>
      </c>
    </row>
    <row r="3190">
      <c r="A3190" s="40">
        <f t="array" ref="A3190">IFNA(index(PlayerValues!A:A,match(IFNA(vlookup(B3190,'Special Names'!A:B,2,FALSE),B3190),PlayerValues!E:E,0)),"N/A")</f>
        <v>15972</v>
      </c>
      <c r="B3190" s="4" t="s">
        <v>469</v>
      </c>
      <c r="C3190" s="4" t="s">
        <v>278</v>
      </c>
      <c r="D3190" s="94">
        <v>2702.0</v>
      </c>
    </row>
    <row r="3191">
      <c r="A3191" s="40">
        <f t="array" ref="A3191">IFNA(index(PlayerValues!A:A,match(IFNA(vlookup(B3191,'Special Names'!A:B,2,FALSE),B3191),PlayerValues!E:E,0)),"N/A")</f>
        <v>17105</v>
      </c>
      <c r="B3191" s="4" t="s">
        <v>525</v>
      </c>
      <c r="C3191" s="4" t="s">
        <v>298</v>
      </c>
      <c r="D3191" s="94">
        <v>3109.0</v>
      </c>
    </row>
    <row r="3192">
      <c r="A3192" s="40">
        <f t="array" ref="A3192">IFNA(index(PlayerValues!A:A,match(IFNA(vlookup(B3192,'Special Names'!A:B,2,FALSE),B3192),PlayerValues!E:E,0)),"N/A")</f>
        <v>16165</v>
      </c>
      <c r="B3192" s="4" t="s">
        <v>520</v>
      </c>
      <c r="C3192" s="4" t="s">
        <v>278</v>
      </c>
      <c r="D3192" s="94">
        <v>2673.0</v>
      </c>
    </row>
    <row r="3193">
      <c r="A3193" s="40">
        <f t="array" ref="A3193">IFNA(index(PlayerValues!A:A,match(IFNA(vlookup(B3193,'Special Names'!A:B,2,FALSE),B3193),PlayerValues!E:E,0)),"N/A")</f>
        <v>14860</v>
      </c>
      <c r="B3193" s="4" t="s">
        <v>554</v>
      </c>
      <c r="C3193" s="4" t="s">
        <v>287</v>
      </c>
      <c r="D3193" s="94">
        <v>2664.0</v>
      </c>
    </row>
    <row r="3194">
      <c r="A3194" s="40">
        <f t="array" ref="A3194">IFNA(index(PlayerValues!A:A,match(IFNA(vlookup(B3194,'Special Names'!A:B,2,FALSE),B3194),PlayerValues!E:E,0)),"N/A")</f>
        <v>17171</v>
      </c>
      <c r="B3194" s="4" t="s">
        <v>561</v>
      </c>
      <c r="C3194" s="4" t="s">
        <v>287</v>
      </c>
      <c r="D3194" s="94">
        <v>2652.0</v>
      </c>
    </row>
    <row r="3195">
      <c r="A3195" s="40">
        <f t="array" ref="A3195">IFNA(index(PlayerValues!A:A,match(IFNA(vlookup(B3195,'Special Names'!A:B,2,FALSE),B3195),PlayerValues!E:E,0)),"N/A")</f>
        <v>16195</v>
      </c>
      <c r="B3195" s="4" t="s">
        <v>509</v>
      </c>
      <c r="C3195" s="4" t="s">
        <v>287</v>
      </c>
      <c r="D3195" s="94">
        <v>2649.0</v>
      </c>
    </row>
    <row r="3196">
      <c r="A3196" s="40">
        <f t="array" ref="A3196">IFNA(index(PlayerValues!A:A,match(IFNA(vlookup(B3196,'Special Names'!A:B,2,FALSE),B3196),PlayerValues!E:E,0)),"N/A")</f>
        <v>16747</v>
      </c>
      <c r="B3196" s="4" t="s">
        <v>555</v>
      </c>
      <c r="C3196" s="4" t="s">
        <v>278</v>
      </c>
      <c r="D3196" s="94">
        <v>2647.0</v>
      </c>
    </row>
    <row r="3197">
      <c r="A3197" s="40">
        <f t="array" ref="A3197">IFNA(index(PlayerValues!A:A,match(IFNA(vlookup(B3197,'Special Names'!A:B,2,FALSE),B3197),PlayerValues!E:E,0)),"N/A")</f>
        <v>17505</v>
      </c>
      <c r="B3197" s="4" t="s">
        <v>528</v>
      </c>
      <c r="C3197" s="4" t="s">
        <v>287</v>
      </c>
      <c r="D3197" s="94">
        <v>2646.0</v>
      </c>
    </row>
    <row r="3198">
      <c r="A3198" s="40" t="str">
        <f t="array" ref="A3198">IFNA(index(PlayerValues!A:A,match(IFNA(vlookup(B3198,'Special Names'!A:B,2,FALSE),B3198),PlayerValues!E:E,0)),"N/A")</f>
        <v>N/A</v>
      </c>
      <c r="B3198" s="4" t="s">
        <v>98</v>
      </c>
      <c r="C3198" s="4" t="s">
        <v>325</v>
      </c>
      <c r="D3198" s="94">
        <v>2638.0</v>
      </c>
    </row>
    <row r="3199">
      <c r="A3199" s="40">
        <f t="array" ref="A3199">IFNA(index(PlayerValues!A:A,match(IFNA(vlookup(B3199,'Special Names'!A:B,2,FALSE),B3199),PlayerValues!E:E,0)),"N/A")</f>
        <v>17082</v>
      </c>
      <c r="B3199" s="4" t="s">
        <v>498</v>
      </c>
      <c r="C3199" s="4" t="s">
        <v>287</v>
      </c>
      <c r="D3199" s="94">
        <v>2608.0</v>
      </c>
    </row>
    <row r="3200">
      <c r="A3200" s="40">
        <f t="array" ref="A3200">IFNA(index(PlayerValues!A:A,match(IFNA(vlookup(B3200,'Special Names'!A:B,2,FALSE),B3200),PlayerValues!E:E,0)),"N/A")</f>
        <v>13674</v>
      </c>
      <c r="B3200" s="4" t="s">
        <v>511</v>
      </c>
      <c r="C3200" s="4" t="s">
        <v>298</v>
      </c>
      <c r="D3200" s="94">
        <v>3017.0</v>
      </c>
    </row>
    <row r="3201">
      <c r="A3201" s="40">
        <f t="array" ref="A3201">IFNA(index(PlayerValues!A:A,match(IFNA(vlookup(B3201,'Special Names'!A:B,2,FALSE),B3201),PlayerValues!E:E,0)),"N/A")</f>
        <v>17509</v>
      </c>
      <c r="B3201" s="4" t="s">
        <v>551</v>
      </c>
      <c r="C3201" s="4" t="s">
        <v>287</v>
      </c>
      <c r="D3201" s="94">
        <v>2593.0</v>
      </c>
    </row>
    <row r="3202">
      <c r="A3202" s="40">
        <f t="array" ref="A3202">IFNA(index(PlayerValues!A:A,match(IFNA(vlookup(B3202,'Special Names'!A:B,2,FALSE),B3202),PlayerValues!E:E,0)),"N/A")</f>
        <v>17108</v>
      </c>
      <c r="B3202" s="4" t="s">
        <v>542</v>
      </c>
      <c r="C3202" s="4" t="s">
        <v>298</v>
      </c>
      <c r="D3202" s="94">
        <v>2984.0</v>
      </c>
    </row>
    <row r="3203">
      <c r="A3203" s="40">
        <f t="array" ref="A3203">IFNA(index(PlayerValues!A:A,match(IFNA(vlookup(B3203,'Special Names'!A:B,2,FALSE),B3203),PlayerValues!E:E,0)),"N/A")</f>
        <v>16287</v>
      </c>
      <c r="B3203" s="4" t="s">
        <v>516</v>
      </c>
      <c r="C3203" s="4" t="s">
        <v>287</v>
      </c>
      <c r="D3203" s="94">
        <v>2560.0</v>
      </c>
    </row>
    <row r="3204">
      <c r="A3204" s="40">
        <f t="array" ref="A3204">IFNA(index(PlayerValues!A:A,match(IFNA(vlookup(B3204,'Special Names'!A:B,2,FALSE),B3204),PlayerValues!E:E,0)),"N/A")</f>
        <v>16626</v>
      </c>
      <c r="B3204" s="4" t="s">
        <v>515</v>
      </c>
      <c r="C3204" s="4" t="s">
        <v>287</v>
      </c>
      <c r="D3204" s="94">
        <v>2557.0</v>
      </c>
    </row>
    <row r="3205">
      <c r="A3205" s="40">
        <f t="array" ref="A3205">IFNA(index(PlayerValues!A:A,match(IFNA(vlookup(B3205,'Special Names'!A:B,2,FALSE),B3205),PlayerValues!E:E,0)),"N/A")</f>
        <v>16617</v>
      </c>
      <c r="B3205" s="4" t="s">
        <v>541</v>
      </c>
      <c r="C3205" s="4" t="s">
        <v>287</v>
      </c>
      <c r="D3205" s="94">
        <v>2538.0</v>
      </c>
    </row>
    <row r="3206">
      <c r="A3206" s="40">
        <f t="array" ref="A3206">IFNA(index(PlayerValues!A:A,match(IFNA(vlookup(B3206,'Special Names'!A:B,2,FALSE),B3206),PlayerValues!E:E,0)),"N/A")</f>
        <v>17482</v>
      </c>
      <c r="B3206" s="4" t="s">
        <v>460</v>
      </c>
      <c r="C3206" s="4" t="s">
        <v>278</v>
      </c>
      <c r="D3206" s="94">
        <v>2523.0</v>
      </c>
    </row>
    <row r="3207">
      <c r="A3207" s="40">
        <f t="array" ref="A3207">IFNA(index(PlayerValues!A:A,match(IFNA(vlookup(B3207,'Special Names'!A:B,2,FALSE),B3207),PlayerValues!E:E,0)),"N/A")</f>
        <v>17134</v>
      </c>
      <c r="B3207" s="4" t="s">
        <v>548</v>
      </c>
      <c r="C3207" s="4" t="s">
        <v>287</v>
      </c>
      <c r="D3207" s="94">
        <v>2518.0</v>
      </c>
    </row>
    <row r="3208">
      <c r="A3208" s="40">
        <f t="array" ref="A3208">IFNA(index(PlayerValues!A:A,match(IFNA(vlookup(B3208,'Special Names'!A:B,2,FALSE),B3208),PlayerValues!E:E,0)),"N/A")</f>
        <v>17048</v>
      </c>
      <c r="B3208" s="4" t="s">
        <v>539</v>
      </c>
      <c r="C3208" s="4" t="s">
        <v>278</v>
      </c>
      <c r="D3208" s="94">
        <v>2496.0</v>
      </c>
    </row>
    <row r="3209">
      <c r="A3209" s="40">
        <f t="array" ref="A3209">IFNA(index(PlayerValues!A:A,match(IFNA(vlookup(B3209,'Special Names'!A:B,2,FALSE),B3209),PlayerValues!E:E,0)),"N/A")</f>
        <v>16684</v>
      </c>
      <c r="B3209" s="4" t="s">
        <v>500</v>
      </c>
      <c r="C3209" s="4" t="s">
        <v>287</v>
      </c>
      <c r="D3209" s="94">
        <v>2490.0</v>
      </c>
    </row>
    <row r="3210">
      <c r="A3210" s="40">
        <f t="array" ref="A3210">IFNA(index(PlayerValues!A:A,match(IFNA(vlookup(B3210,'Special Names'!A:B,2,FALSE),B3210),PlayerValues!E:E,0)),"N/A")</f>
        <v>16164</v>
      </c>
      <c r="B3210" s="4" t="s">
        <v>512</v>
      </c>
      <c r="C3210" s="4" t="s">
        <v>278</v>
      </c>
      <c r="D3210" s="94">
        <v>2489.0</v>
      </c>
    </row>
    <row r="3211">
      <c r="A3211" s="40">
        <f t="array" ref="A3211">IFNA(index(PlayerValues!A:A,match(IFNA(vlookup(B3211,'Special Names'!A:B,2,FALSE),B3211),PlayerValues!E:E,0)),"N/A")</f>
        <v>16174</v>
      </c>
      <c r="B3211" s="4" t="s">
        <v>505</v>
      </c>
      <c r="C3211" s="4" t="s">
        <v>278</v>
      </c>
      <c r="D3211" s="94">
        <v>2483.0</v>
      </c>
    </row>
    <row r="3212">
      <c r="A3212" s="40">
        <f t="array" ref="A3212">IFNA(index(PlayerValues!A:A,match(IFNA(vlookup(B3212,'Special Names'!A:B,2,FALSE),B3212),PlayerValues!E:E,0)),"N/A")</f>
        <v>17511</v>
      </c>
      <c r="B3212" s="4" t="s">
        <v>485</v>
      </c>
      <c r="C3212" s="4" t="s">
        <v>287</v>
      </c>
      <c r="D3212" s="94">
        <v>2468.0</v>
      </c>
    </row>
    <row r="3213">
      <c r="A3213" s="40">
        <f t="array" ref="A3213">IFNA(index(PlayerValues!A:A,match(IFNA(vlookup(B3213,'Special Names'!A:B,2,FALSE),B3213),PlayerValues!E:E,0)),"N/A")</f>
        <v>14840</v>
      </c>
      <c r="B3213" s="4" t="s">
        <v>731</v>
      </c>
      <c r="C3213" s="4" t="s">
        <v>287</v>
      </c>
      <c r="D3213" s="94">
        <v>2465.0</v>
      </c>
    </row>
    <row r="3214">
      <c r="A3214" s="40">
        <f t="array" ref="A3214">IFNA(index(PlayerValues!A:A,match(IFNA(vlookup(B3214,'Special Names'!A:B,2,FALSE),B3214),PlayerValues!E:E,0)),"N/A")</f>
        <v>16178</v>
      </c>
      <c r="B3214" s="4" t="s">
        <v>507</v>
      </c>
      <c r="C3214" s="4" t="s">
        <v>278</v>
      </c>
      <c r="D3214" s="94">
        <v>2463.0</v>
      </c>
    </row>
    <row r="3215">
      <c r="A3215" s="40">
        <f t="array" ref="A3215">IFNA(index(PlayerValues!A:A,match(IFNA(vlookup(B3215,'Special Names'!A:B,2,FALSE),B3215),PlayerValues!E:E,0)),"N/A")</f>
        <v>17507</v>
      </c>
      <c r="B3215" s="4" t="s">
        <v>495</v>
      </c>
      <c r="C3215" s="4" t="s">
        <v>287</v>
      </c>
      <c r="D3215" s="94">
        <v>2448.0</v>
      </c>
    </row>
    <row r="3216">
      <c r="A3216" s="40" t="str">
        <f t="array" ref="A3216">IFNA(index(PlayerValues!A:A,match(IFNA(vlookup(B3216,'Special Names'!A:B,2,FALSE),B3216),PlayerValues!E:E,0)),"N/A")</f>
        <v>N/A</v>
      </c>
      <c r="B3216" s="4" t="s">
        <v>557</v>
      </c>
      <c r="C3216" s="4" t="s">
        <v>278</v>
      </c>
      <c r="D3216" s="94">
        <v>2437.0</v>
      </c>
    </row>
    <row r="3217">
      <c r="A3217" s="40" t="str">
        <f t="array" ref="A3217">IFNA(index(PlayerValues!A:A,match(IFNA(vlookup(B3217,'Special Names'!A:B,2,FALSE),B3217),PlayerValues!E:E,0)),"N/A")</f>
        <v>N/A</v>
      </c>
      <c r="B3217" s="4" t="s">
        <v>99</v>
      </c>
      <c r="C3217" s="4" t="s">
        <v>325</v>
      </c>
      <c r="D3217" s="94">
        <v>2435.0</v>
      </c>
    </row>
    <row r="3218">
      <c r="A3218" s="40">
        <f t="array" ref="A3218">IFNA(index(PlayerValues!A:A,match(IFNA(vlookup(B3218,'Special Names'!A:B,2,FALSE),B3218),PlayerValues!E:E,0)),"N/A")</f>
        <v>13192</v>
      </c>
      <c r="B3218" s="4" t="s">
        <v>563</v>
      </c>
      <c r="C3218" s="4" t="s">
        <v>298</v>
      </c>
      <c r="D3218" s="94">
        <v>2836.0</v>
      </c>
    </row>
    <row r="3219">
      <c r="A3219" s="40">
        <f t="array" ref="A3219">IFNA(index(PlayerValues!A:A,match(IFNA(vlookup(B3219,'Special Names'!A:B,2,FALSE),B3219),PlayerValues!E:E,0)),"N/A")</f>
        <v>11244</v>
      </c>
      <c r="B3219" s="4" t="s">
        <v>519</v>
      </c>
      <c r="C3219" s="4" t="s">
        <v>298</v>
      </c>
      <c r="D3219" s="94">
        <v>2807.0</v>
      </c>
    </row>
    <row r="3220">
      <c r="A3220" s="40">
        <f t="array" ref="A3220">IFNA(index(PlayerValues!A:A,match(IFNA(vlookup(B3220,'Special Names'!A:B,2,FALSE),B3220),PlayerValues!E:E,0)),"N/A")</f>
        <v>15716</v>
      </c>
      <c r="B3220" s="4" t="s">
        <v>545</v>
      </c>
      <c r="C3220" s="4" t="s">
        <v>278</v>
      </c>
      <c r="D3220" s="94">
        <v>2404.0</v>
      </c>
    </row>
    <row r="3221">
      <c r="A3221" s="40">
        <f t="array" ref="A3221">IFNA(index(PlayerValues!A:A,match(IFNA(vlookup(B3221,'Special Names'!A:B,2,FALSE),B3221),PlayerValues!E:E,0)),"N/A")</f>
        <v>14861</v>
      </c>
      <c r="B3221" s="4" t="s">
        <v>523</v>
      </c>
      <c r="C3221" s="4" t="s">
        <v>298</v>
      </c>
      <c r="D3221" s="94">
        <v>2790.0</v>
      </c>
    </row>
    <row r="3222">
      <c r="A3222" s="40">
        <f t="array" ref="A3222">IFNA(index(PlayerValues!A:A,match(IFNA(vlookup(B3222,'Special Names'!A:B,2,FALSE),B3222),PlayerValues!E:E,0)),"N/A")</f>
        <v>17106</v>
      </c>
      <c r="B3222" s="4" t="s">
        <v>550</v>
      </c>
      <c r="C3222" s="4" t="s">
        <v>298</v>
      </c>
      <c r="D3222" s="94">
        <v>2776.0</v>
      </c>
    </row>
    <row r="3223">
      <c r="A3223" s="40">
        <f t="array" ref="A3223">IFNA(index(PlayerValues!A:A,match(IFNA(vlookup(B3223,'Special Names'!A:B,2,FALSE),B3223),PlayerValues!E:E,0)),"N/A")</f>
        <v>16204</v>
      </c>
      <c r="B3223" s="4" t="s">
        <v>530</v>
      </c>
      <c r="C3223" s="4" t="s">
        <v>287</v>
      </c>
      <c r="D3223" s="94">
        <v>2377.0</v>
      </c>
    </row>
    <row r="3224">
      <c r="A3224" s="40">
        <f t="array" ref="A3224">IFNA(index(PlayerValues!A:A,match(IFNA(vlookup(B3224,'Special Names'!A:B,2,FALSE),B3224),PlayerValues!E:E,0)),"N/A")</f>
        <v>14136</v>
      </c>
      <c r="B3224" s="4" t="s">
        <v>536</v>
      </c>
      <c r="C3224" s="4" t="s">
        <v>287</v>
      </c>
      <c r="D3224" s="94">
        <v>2376.0</v>
      </c>
    </row>
    <row r="3225">
      <c r="A3225" s="40">
        <f t="array" ref="A3225">IFNA(index(PlayerValues!A:A,match(IFNA(vlookup(B3225,'Special Names'!A:B,2,FALSE),B3225),PlayerValues!E:E,0)),"N/A")</f>
        <v>15786</v>
      </c>
      <c r="B3225" s="4" t="s">
        <v>521</v>
      </c>
      <c r="C3225" s="4" t="s">
        <v>287</v>
      </c>
      <c r="D3225" s="94">
        <v>2369.0</v>
      </c>
    </row>
    <row r="3226">
      <c r="A3226" s="40">
        <f t="array" ref="A3226">IFNA(index(PlayerValues!A:A,match(IFNA(vlookup(B3226,'Special Names'!A:B,2,FALSE),B3226),PlayerValues!E:E,0)),"N/A")</f>
        <v>17078</v>
      </c>
      <c r="B3226" s="4" t="s">
        <v>543</v>
      </c>
      <c r="C3226" s="4" t="s">
        <v>287</v>
      </c>
      <c r="D3226" s="94">
        <v>2369.0</v>
      </c>
    </row>
    <row r="3227">
      <c r="A3227" s="40">
        <f t="array" ref="A3227">IFNA(index(PlayerValues!A:A,match(IFNA(vlookup(B3227,'Special Names'!A:B,2,FALSE),B3227),PlayerValues!E:E,0)),"N/A")</f>
        <v>16649</v>
      </c>
      <c r="B3227" s="4" t="s">
        <v>586</v>
      </c>
      <c r="C3227" s="4" t="s">
        <v>298</v>
      </c>
      <c r="D3227" s="94">
        <v>2766.0</v>
      </c>
    </row>
    <row r="3228">
      <c r="A3228" s="40">
        <f t="array" ref="A3228">IFNA(index(PlayerValues!A:A,match(IFNA(vlookup(B3228,'Special Names'!A:B,2,FALSE),B3228),PlayerValues!E:E,0)),"N/A")</f>
        <v>16152</v>
      </c>
      <c r="B3228" s="4" t="s">
        <v>601</v>
      </c>
      <c r="C3228" s="4" t="s">
        <v>283</v>
      </c>
      <c r="D3228" s="94">
        <v>2363.0</v>
      </c>
    </row>
    <row r="3229">
      <c r="A3229" s="40">
        <f t="array" ref="A3229">IFNA(index(PlayerValues!A:A,match(IFNA(vlookup(B3229,'Special Names'!A:B,2,FALSE),B3229),PlayerValues!E:E,0)),"N/A")</f>
        <v>16594</v>
      </c>
      <c r="B3229" s="4" t="s">
        <v>607</v>
      </c>
      <c r="C3229" s="4" t="s">
        <v>278</v>
      </c>
      <c r="D3229" s="94">
        <v>2360.0</v>
      </c>
    </row>
    <row r="3230">
      <c r="A3230" s="40">
        <f t="array" ref="A3230">IFNA(index(PlayerValues!A:A,match(IFNA(vlookup(B3230,'Special Names'!A:B,2,FALSE),B3230),PlayerValues!E:E,0)),"N/A")</f>
        <v>17033</v>
      </c>
      <c r="B3230" s="4" t="s">
        <v>570</v>
      </c>
      <c r="C3230" s="4" t="s">
        <v>283</v>
      </c>
      <c r="D3230" s="94">
        <v>2358.0</v>
      </c>
    </row>
    <row r="3231">
      <c r="A3231" s="40">
        <f t="array" ref="A3231">IFNA(index(PlayerValues!A:A,match(IFNA(vlookup(B3231,'Special Names'!A:B,2,FALSE),B3231),PlayerValues!E:E,0)),"N/A")</f>
        <v>15802</v>
      </c>
      <c r="B3231" s="4" t="s">
        <v>566</v>
      </c>
      <c r="C3231" s="4" t="s">
        <v>298</v>
      </c>
      <c r="D3231" s="94">
        <v>2744.0</v>
      </c>
    </row>
    <row r="3232">
      <c r="A3232" s="40">
        <f t="array" ref="A3232">IFNA(index(PlayerValues!A:A,match(IFNA(vlookup(B3232,'Special Names'!A:B,2,FALSE),B3232),PlayerValues!E:E,0)),"N/A")</f>
        <v>16036</v>
      </c>
      <c r="B3232" s="4" t="s">
        <v>592</v>
      </c>
      <c r="C3232" s="4" t="s">
        <v>298</v>
      </c>
      <c r="D3232" s="94">
        <v>2738.0</v>
      </c>
    </row>
    <row r="3233">
      <c r="A3233" s="40">
        <f t="array" ref="A3233">IFNA(index(PlayerValues!A:A,match(IFNA(vlookup(B3233,'Special Names'!A:B,2,FALSE),B3233),PlayerValues!E:E,0)),"N/A")</f>
        <v>12676</v>
      </c>
      <c r="B3233" s="4" t="s">
        <v>537</v>
      </c>
      <c r="C3233" s="4" t="s">
        <v>298</v>
      </c>
      <c r="D3233" s="94">
        <v>2736.0</v>
      </c>
    </row>
    <row r="3234">
      <c r="A3234" s="40">
        <f t="array" ref="A3234">IFNA(index(PlayerValues!A:A,match(IFNA(vlookup(B3234,'Special Names'!A:B,2,FALSE),B3234),PlayerValues!E:E,0)),"N/A")</f>
        <v>16166</v>
      </c>
      <c r="B3234" s="4" t="s">
        <v>567</v>
      </c>
      <c r="C3234" s="4" t="s">
        <v>278</v>
      </c>
      <c r="D3234" s="94">
        <v>2312.0</v>
      </c>
    </row>
    <row r="3235">
      <c r="A3235" s="40">
        <f t="array" ref="A3235">IFNA(index(PlayerValues!A:A,match(IFNA(vlookup(B3235,'Special Names'!A:B,2,FALSE),B3235),PlayerValues!E:E,0)),"N/A")</f>
        <v>15749</v>
      </c>
      <c r="B3235" s="4" t="s">
        <v>574</v>
      </c>
      <c r="C3235" s="4" t="s">
        <v>278</v>
      </c>
      <c r="D3235" s="94">
        <v>2310.0</v>
      </c>
    </row>
    <row r="3236">
      <c r="A3236" s="40">
        <f t="array" ref="A3236">IFNA(index(PlayerValues!A:A,match(IFNA(vlookup(B3236,'Special Names'!A:B,2,FALSE),B3236),PlayerValues!E:E,0)),"N/A")</f>
        <v>16757</v>
      </c>
      <c r="B3236" s="4" t="s">
        <v>558</v>
      </c>
      <c r="C3236" s="4" t="s">
        <v>278</v>
      </c>
      <c r="D3236" s="94">
        <v>2309.0</v>
      </c>
    </row>
    <row r="3237">
      <c r="A3237" s="40">
        <f t="array" ref="A3237">IFNA(index(PlayerValues!A:A,match(IFNA(vlookup(B3237,'Special Names'!A:B,2,FALSE),B3237),PlayerValues!E:E,0)),"N/A")</f>
        <v>17474</v>
      </c>
      <c r="B3237" s="4" t="s">
        <v>513</v>
      </c>
      <c r="C3237" s="4" t="s">
        <v>278</v>
      </c>
      <c r="D3237" s="94">
        <v>2292.0</v>
      </c>
    </row>
    <row r="3238">
      <c r="A3238" s="40">
        <f t="array" ref="A3238">IFNA(index(PlayerValues!A:A,match(IFNA(vlookup(B3238,'Special Names'!A:B,2,FALSE),B3238),PlayerValues!E:E,0)),"N/A")</f>
        <v>13772</v>
      </c>
      <c r="B3238" s="4" t="s">
        <v>544</v>
      </c>
      <c r="C3238" s="4" t="s">
        <v>298</v>
      </c>
      <c r="D3238" s="94">
        <v>2687.0</v>
      </c>
    </row>
    <row r="3239">
      <c r="A3239" s="40">
        <f t="array" ref="A3239">IFNA(index(PlayerValues!A:A,match(IFNA(vlookup(B3239,'Special Names'!A:B,2,FALSE),B3239),PlayerValues!E:E,0)),"N/A")</f>
        <v>17508</v>
      </c>
      <c r="B3239" s="4" t="s">
        <v>534</v>
      </c>
      <c r="C3239" s="4" t="s">
        <v>287</v>
      </c>
      <c r="D3239" s="94">
        <v>2272.0</v>
      </c>
    </row>
    <row r="3240">
      <c r="A3240" s="40" t="str">
        <f t="array" ref="A3240">IFNA(index(PlayerValues!A:A,match(IFNA(vlookup(B3240,'Special Names'!A:B,2,FALSE),B3240),PlayerValues!E:E,0)),"N/A")</f>
        <v>N/A</v>
      </c>
      <c r="B3240" s="4" t="s">
        <v>86</v>
      </c>
      <c r="C3240" s="4" t="s">
        <v>325</v>
      </c>
      <c r="D3240" s="94">
        <v>2265.0</v>
      </c>
    </row>
    <row r="3241">
      <c r="A3241" s="40">
        <f t="array" ref="A3241">IFNA(index(PlayerValues!A:A,match(IFNA(vlookup(B3241,'Special Names'!A:B,2,FALSE),B3241),PlayerValues!E:E,0)),"N/A")</f>
        <v>16189</v>
      </c>
      <c r="B3241" s="4" t="s">
        <v>582</v>
      </c>
      <c r="C3241" s="4" t="s">
        <v>287</v>
      </c>
      <c r="D3241" s="94">
        <v>2242.0</v>
      </c>
    </row>
    <row r="3242">
      <c r="A3242" s="40">
        <f t="array" ref="A3242">IFNA(index(PlayerValues!A:A,match(IFNA(vlookup(B3242,'Special Names'!A:B,2,FALSE),B3242),PlayerValues!E:E,0)),"N/A")</f>
        <v>17512</v>
      </c>
      <c r="B3242" s="4" t="s">
        <v>483</v>
      </c>
      <c r="C3242" s="4" t="s">
        <v>287</v>
      </c>
      <c r="D3242" s="94">
        <v>2241.0</v>
      </c>
    </row>
    <row r="3243">
      <c r="A3243" s="40">
        <f t="array" ref="A3243">IFNA(index(PlayerValues!A:A,match(IFNA(vlookup(B3243,'Special Names'!A:B,2,FALSE),B3243),PlayerValues!E:E,0)),"N/A")</f>
        <v>17517</v>
      </c>
      <c r="B3243" s="4" t="s">
        <v>454</v>
      </c>
      <c r="C3243" s="4" t="s">
        <v>287</v>
      </c>
      <c r="D3243" s="94">
        <v>2235.0</v>
      </c>
    </row>
    <row r="3244">
      <c r="A3244" s="40">
        <f t="array" ref="A3244">IFNA(index(PlayerValues!A:A,match(IFNA(vlookup(B3244,'Special Names'!A:B,2,FALSE),B3244),PlayerValues!E:E,0)),"N/A")</f>
        <v>13319</v>
      </c>
      <c r="B3244" s="4" t="s">
        <v>549</v>
      </c>
      <c r="C3244" s="4" t="s">
        <v>278</v>
      </c>
      <c r="D3244" s="94">
        <v>2235.0</v>
      </c>
    </row>
    <row r="3245">
      <c r="A3245" s="40">
        <f t="array" ref="A3245">IFNA(index(PlayerValues!A:A,match(IFNA(vlookup(B3245,'Special Names'!A:B,2,FALSE),B3245),PlayerValues!E:E,0)),"N/A")</f>
        <v>16610</v>
      </c>
      <c r="B3245" s="4" t="s">
        <v>562</v>
      </c>
      <c r="C3245" s="4" t="s">
        <v>278</v>
      </c>
      <c r="D3245" s="94">
        <v>2233.0</v>
      </c>
    </row>
    <row r="3246">
      <c r="A3246" s="40">
        <f t="array" ref="A3246">IFNA(index(PlayerValues!A:A,match(IFNA(vlookup(B3246,'Special Names'!A:B,2,FALSE),B3246),PlayerValues!E:E,0)),"N/A")</f>
        <v>17478</v>
      </c>
      <c r="B3246" s="4" t="s">
        <v>527</v>
      </c>
      <c r="C3246" s="4" t="s">
        <v>278</v>
      </c>
      <c r="D3246" s="94">
        <v>2207.0</v>
      </c>
    </row>
    <row r="3247">
      <c r="A3247" s="40">
        <f t="array" ref="A3247">IFNA(index(PlayerValues!A:A,match(IFNA(vlookup(B3247,'Special Names'!A:B,2,FALSE),B3247),PlayerValues!E:E,0)),"N/A")</f>
        <v>17079</v>
      </c>
      <c r="B3247" s="4" t="s">
        <v>572</v>
      </c>
      <c r="C3247" s="4" t="s">
        <v>287</v>
      </c>
      <c r="D3247" s="94">
        <v>2201.0</v>
      </c>
    </row>
    <row r="3248">
      <c r="A3248" s="40">
        <f t="array" ref="A3248">IFNA(index(PlayerValues!A:A,match(IFNA(vlookup(B3248,'Special Names'!A:B,2,FALSE),B3248),PlayerValues!E:E,0)),"N/A")</f>
        <v>16212</v>
      </c>
      <c r="B3248" s="4" t="s">
        <v>568</v>
      </c>
      <c r="C3248" s="4" t="s">
        <v>298</v>
      </c>
      <c r="D3248" s="94">
        <v>2554.0</v>
      </c>
    </row>
    <row r="3249">
      <c r="A3249" s="40" t="str">
        <f t="array" ref="A3249">IFNA(index(PlayerValues!A:A,match(IFNA(vlookup(B3249,'Special Names'!A:B,2,FALSE),B3249),PlayerValues!E:E,0)),"N/A")</f>
        <v>N/A</v>
      </c>
      <c r="B3249" s="4" t="s">
        <v>100</v>
      </c>
      <c r="C3249" s="4" t="s">
        <v>325</v>
      </c>
      <c r="D3249" s="94">
        <v>2163.0</v>
      </c>
    </row>
    <row r="3250">
      <c r="A3250" s="40">
        <f t="array" ref="A3250">IFNA(index(PlayerValues!A:A,match(IFNA(vlookup(B3250,'Special Names'!A:B,2,FALSE),B3250),PlayerValues!E:E,0)),"N/A")</f>
        <v>17046</v>
      </c>
      <c r="B3250" s="4" t="s">
        <v>602</v>
      </c>
      <c r="C3250" s="4" t="s">
        <v>278</v>
      </c>
      <c r="D3250" s="94">
        <v>2157.0</v>
      </c>
    </row>
    <row r="3251">
      <c r="A3251" s="40" t="str">
        <f t="array" ref="A3251">IFNA(index(PlayerValues!A:A,match(IFNA(vlookup(B3251,'Special Names'!A:B,2,FALSE),B3251),PlayerValues!E:E,0)),"N/A")</f>
        <v>N/A</v>
      </c>
      <c r="B3251" s="4" t="s">
        <v>112</v>
      </c>
      <c r="C3251" s="4" t="s">
        <v>325</v>
      </c>
      <c r="D3251" s="94">
        <v>2151.0</v>
      </c>
    </row>
    <row r="3252">
      <c r="A3252" s="40">
        <f t="array" ref="A3252">IFNA(index(PlayerValues!A:A,match(IFNA(vlookup(B3252,'Special Names'!A:B,2,FALSE),B3252),PlayerValues!E:E,0)),"N/A")</f>
        <v>11150</v>
      </c>
      <c r="B3252" s="4" t="s">
        <v>559</v>
      </c>
      <c r="C3252" s="4" t="s">
        <v>283</v>
      </c>
      <c r="D3252" s="94">
        <v>2147.0</v>
      </c>
    </row>
    <row r="3253">
      <c r="A3253" s="40">
        <f t="array" ref="A3253">IFNA(index(PlayerValues!A:A,match(IFNA(vlookup(B3253,'Special Names'!A:B,2,FALSE),B3253),PlayerValues!E:E,0)),"N/A")</f>
        <v>17056</v>
      </c>
      <c r="B3253" s="4" t="s">
        <v>581</v>
      </c>
      <c r="C3253" s="4" t="s">
        <v>278</v>
      </c>
      <c r="D3253" s="94">
        <v>2147.0</v>
      </c>
    </row>
    <row r="3254">
      <c r="A3254" s="40">
        <f t="array" ref="A3254">IFNA(index(PlayerValues!A:A,match(IFNA(vlookup(B3254,'Special Names'!A:B,2,FALSE),B3254),PlayerValues!E:E,0)),"N/A")</f>
        <v>15238</v>
      </c>
      <c r="B3254" s="4" t="s">
        <v>613</v>
      </c>
      <c r="C3254" s="4" t="s">
        <v>283</v>
      </c>
      <c r="D3254" s="94">
        <v>2141.0</v>
      </c>
    </row>
    <row r="3255">
      <c r="A3255" s="40">
        <f t="array" ref="A3255">IFNA(index(PlayerValues!A:A,match(IFNA(vlookup(B3255,'Special Names'!A:B,2,FALSE),B3255),PlayerValues!E:E,0)),"N/A")</f>
        <v>12186</v>
      </c>
      <c r="B3255" s="4" t="s">
        <v>497</v>
      </c>
      <c r="C3255" s="4" t="s">
        <v>287</v>
      </c>
      <c r="D3255" s="94">
        <v>2140.0</v>
      </c>
    </row>
    <row r="3256">
      <c r="A3256" s="40">
        <f t="array" ref="A3256">IFNA(index(PlayerValues!A:A,match(IFNA(vlookup(B3256,'Special Names'!A:B,2,FALSE),B3256),PlayerValues!E:E,0)),"N/A")</f>
        <v>15331</v>
      </c>
      <c r="B3256" s="4" t="s">
        <v>560</v>
      </c>
      <c r="C3256" s="4" t="s">
        <v>298</v>
      </c>
      <c r="D3256" s="94">
        <v>2530.0</v>
      </c>
    </row>
    <row r="3257">
      <c r="A3257" s="40">
        <f t="array" ref="A3257">IFNA(index(PlayerValues!A:A,match(IFNA(vlookup(B3257,'Special Names'!A:B,2,FALSE),B3257),PlayerValues!E:E,0)),"N/A")</f>
        <v>14974</v>
      </c>
      <c r="B3257" s="4" t="s">
        <v>611</v>
      </c>
      <c r="C3257" s="4" t="s">
        <v>287</v>
      </c>
      <c r="D3257" s="94">
        <v>2133.0</v>
      </c>
    </row>
    <row r="3258">
      <c r="A3258" s="40">
        <f t="array" ref="A3258">IFNA(index(PlayerValues!A:A,match(IFNA(vlookup(B3258,'Special Names'!A:B,2,FALSE),B3258),PlayerValues!E:E,0)),"N/A")</f>
        <v>12801</v>
      </c>
      <c r="B3258" s="4" t="s">
        <v>722</v>
      </c>
      <c r="C3258" s="4" t="s">
        <v>287</v>
      </c>
      <c r="D3258" s="94">
        <v>2122.0</v>
      </c>
    </row>
    <row r="3259">
      <c r="A3259" s="40" t="str">
        <f t="array" ref="A3259">IFNA(index(PlayerValues!A:A,match(IFNA(vlookup(B3259,'Special Names'!A:B,2,FALSE),B3259),PlayerValues!E:E,0)),"N/A")</f>
        <v>N/A</v>
      </c>
      <c r="B3259" s="4" t="s">
        <v>87</v>
      </c>
      <c r="C3259" s="4" t="s">
        <v>325</v>
      </c>
      <c r="D3259" s="94">
        <v>2116.0</v>
      </c>
    </row>
    <row r="3260">
      <c r="A3260" s="40">
        <f t="array" ref="A3260">IFNA(index(PlayerValues!A:A,match(IFNA(vlookup(B3260,'Special Names'!A:B,2,FALSE),B3260),PlayerValues!E:E,0)),"N/A")</f>
        <v>16643</v>
      </c>
      <c r="B3260" s="4" t="s">
        <v>609</v>
      </c>
      <c r="C3260" s="4" t="s">
        <v>298</v>
      </c>
      <c r="D3260" s="94">
        <v>2491.0</v>
      </c>
    </row>
    <row r="3261">
      <c r="A3261" s="40">
        <f t="array" ref="A3261">IFNA(index(PlayerValues!A:A,match(IFNA(vlookup(B3261,'Special Names'!A:B,2,FALSE),B3261),PlayerValues!E:E,0)),"N/A")</f>
        <v>16432</v>
      </c>
      <c r="B3261" s="4" t="s">
        <v>620</v>
      </c>
      <c r="C3261" s="4" t="s">
        <v>278</v>
      </c>
      <c r="D3261" s="94">
        <v>2086.0</v>
      </c>
    </row>
    <row r="3262">
      <c r="A3262" s="40">
        <f t="array" ref="A3262">IFNA(index(PlayerValues!A:A,match(IFNA(vlookup(B3262,'Special Names'!A:B,2,FALSE),B3262),PlayerValues!E:E,0)),"N/A")</f>
        <v>17076</v>
      </c>
      <c r="B3262" s="4" t="s">
        <v>585</v>
      </c>
      <c r="C3262" s="4" t="s">
        <v>287</v>
      </c>
      <c r="D3262" s="94">
        <v>2086.0</v>
      </c>
    </row>
    <row r="3263">
      <c r="A3263" s="40">
        <f t="array" ref="A3263">IFNA(index(PlayerValues!A:A,match(IFNA(vlookup(B3263,'Special Names'!A:B,2,FALSE),B3263),PlayerValues!E:E,0)),"N/A")</f>
        <v>17055</v>
      </c>
      <c r="B3263" s="4" t="s">
        <v>565</v>
      </c>
      <c r="C3263" s="4" t="s">
        <v>278</v>
      </c>
      <c r="D3263" s="94">
        <v>2082.0</v>
      </c>
    </row>
    <row r="3264">
      <c r="A3264" s="40">
        <f t="array" ref="A3264">IFNA(index(PlayerValues!A:A,match(IFNA(vlookup(B3264,'Special Names'!A:B,2,FALSE),B3264),PlayerValues!E:E,0)),"N/A")</f>
        <v>17087</v>
      </c>
      <c r="B3264" s="4" t="s">
        <v>600</v>
      </c>
      <c r="C3264" s="4" t="s">
        <v>287</v>
      </c>
      <c r="D3264" s="94">
        <v>2082.0</v>
      </c>
    </row>
    <row r="3265">
      <c r="A3265" s="40" t="str">
        <f t="array" ref="A3265">IFNA(index(PlayerValues!A:A,match(IFNA(vlookup(B3265,'Special Names'!A:B,2,FALSE),B3265),PlayerValues!E:E,0)),"N/A")</f>
        <v>N/A</v>
      </c>
      <c r="B3265" s="4" t="s">
        <v>113</v>
      </c>
      <c r="C3265" s="4" t="s">
        <v>325</v>
      </c>
      <c r="D3265" s="94">
        <v>2076.0</v>
      </c>
    </row>
    <row r="3266">
      <c r="A3266" s="40">
        <f t="array" ref="A3266">IFNA(index(PlayerValues!A:A,match(IFNA(vlookup(B3266,'Special Names'!A:B,2,FALSE),B3266),PlayerValues!E:E,0)),"N/A")</f>
        <v>13633</v>
      </c>
      <c r="B3266" s="4" t="s">
        <v>625</v>
      </c>
      <c r="C3266" s="4" t="s">
        <v>287</v>
      </c>
      <c r="D3266" s="94">
        <v>2066.0</v>
      </c>
    </row>
    <row r="3267">
      <c r="A3267" s="40">
        <f t="array" ref="A3267">IFNA(index(PlayerValues!A:A,match(IFNA(vlookup(B3267,'Special Names'!A:B,2,FALSE),B3267),PlayerValues!E:E,0)),"N/A")</f>
        <v>17061</v>
      </c>
      <c r="B3267" s="4" t="s">
        <v>580</v>
      </c>
      <c r="C3267" s="4" t="s">
        <v>278</v>
      </c>
      <c r="D3267" s="94">
        <v>2065.0</v>
      </c>
    </row>
    <row r="3268">
      <c r="A3268" s="40">
        <f t="array" ref="A3268">IFNA(index(PlayerValues!A:A,match(IFNA(vlookup(B3268,'Special Names'!A:B,2,FALSE),B3268),PlayerValues!E:E,0)),"N/A")</f>
        <v>15293</v>
      </c>
      <c r="B3268" s="4" t="s">
        <v>578</v>
      </c>
      <c r="C3268" s="4" t="s">
        <v>287</v>
      </c>
      <c r="D3268" s="94">
        <v>2061.0</v>
      </c>
    </row>
    <row r="3269">
      <c r="A3269" s="40">
        <f t="array" ref="A3269">IFNA(index(PlayerValues!A:A,match(IFNA(vlookup(B3269,'Special Names'!A:B,2,FALSE),B3269),PlayerValues!E:E,0)),"N/A")</f>
        <v>16639</v>
      </c>
      <c r="B3269" s="4" t="s">
        <v>599</v>
      </c>
      <c r="C3269" s="4" t="s">
        <v>287</v>
      </c>
      <c r="D3269" s="94">
        <v>2051.0</v>
      </c>
    </row>
    <row r="3270">
      <c r="A3270" s="40">
        <f t="array" ref="A3270">IFNA(index(PlayerValues!A:A,match(IFNA(vlookup(B3270,'Special Names'!A:B,2,FALSE),B3270),PlayerValues!E:E,0)),"N/A")</f>
        <v>13132</v>
      </c>
      <c r="B3270" s="4" t="s">
        <v>598</v>
      </c>
      <c r="C3270" s="4" t="s">
        <v>278</v>
      </c>
      <c r="D3270" s="94">
        <v>2045.0</v>
      </c>
    </row>
    <row r="3271">
      <c r="A3271" s="40">
        <f t="array" ref="A3271">IFNA(index(PlayerValues!A:A,match(IFNA(vlookup(B3271,'Special Names'!A:B,2,FALSE),B3271),PlayerValues!E:E,0)),"N/A")</f>
        <v>14867</v>
      </c>
      <c r="B3271" s="4" t="s">
        <v>591</v>
      </c>
      <c r="C3271" s="4" t="s">
        <v>298</v>
      </c>
      <c r="D3271" s="94">
        <v>2433.0</v>
      </c>
    </row>
    <row r="3272">
      <c r="A3272" s="40">
        <f t="array" ref="A3272">IFNA(index(PlayerValues!A:A,match(IFNA(vlookup(B3272,'Special Names'!A:B,2,FALSE),B3272),PlayerValues!E:E,0)),"N/A")</f>
        <v>17060</v>
      </c>
      <c r="B3272" s="4" t="s">
        <v>603</v>
      </c>
      <c r="C3272" s="4" t="s">
        <v>278</v>
      </c>
      <c r="D3272" s="94">
        <v>2043.0</v>
      </c>
    </row>
    <row r="3273">
      <c r="A3273" s="40">
        <f t="array" ref="A3273">IFNA(index(PlayerValues!A:A,match(IFNA(vlookup(B3273,'Special Names'!A:B,2,FALSE),B3273),PlayerValues!E:E,0)),"N/A")</f>
        <v>17069</v>
      </c>
      <c r="B3273" s="4" t="s">
        <v>604</v>
      </c>
      <c r="C3273" s="4" t="s">
        <v>278</v>
      </c>
      <c r="D3273" s="94">
        <v>2039.0</v>
      </c>
    </row>
    <row r="3274">
      <c r="A3274" s="40">
        <f t="array" ref="A3274">IFNA(index(PlayerValues!A:A,match(IFNA(vlookup(B3274,'Special Names'!A:B,2,FALSE),B3274),PlayerValues!E:E,0)),"N/A")</f>
        <v>16342</v>
      </c>
      <c r="B3274" s="4" t="s">
        <v>583</v>
      </c>
      <c r="C3274" s="4" t="s">
        <v>287</v>
      </c>
      <c r="D3274" s="94">
        <v>2031.0</v>
      </c>
    </row>
    <row r="3275">
      <c r="A3275" s="40" t="str">
        <f t="array" ref="A3275">IFNA(index(PlayerValues!A:A,match(IFNA(vlookup(B3275,'Special Names'!A:B,2,FALSE),B3275),PlayerValues!E:E,0)),"N/A")</f>
        <v>N/A</v>
      </c>
      <c r="B3275" s="4" t="s">
        <v>88</v>
      </c>
      <c r="C3275" s="4" t="s">
        <v>325</v>
      </c>
      <c r="D3275" s="94">
        <v>2023.0</v>
      </c>
    </row>
    <row r="3276">
      <c r="A3276" s="40">
        <f t="array" ref="A3276">IFNA(index(PlayerValues!A:A,match(IFNA(vlookup(B3276,'Special Names'!A:B,2,FALSE),B3276),PlayerValues!E:E,0)),"N/A")</f>
        <v>14871</v>
      </c>
      <c r="B3276" s="4" t="s">
        <v>584</v>
      </c>
      <c r="C3276" s="4" t="s">
        <v>298</v>
      </c>
      <c r="D3276" s="94">
        <v>2400.0</v>
      </c>
    </row>
    <row r="3277">
      <c r="A3277" s="40">
        <f t="array" ref="A3277">IFNA(index(PlayerValues!A:A,match(IFNA(vlookup(B3277,'Special Names'!A:B,2,FALSE),B3277),PlayerValues!E:E,0)),"N/A")</f>
        <v>13146</v>
      </c>
      <c r="B3277" s="4" t="s">
        <v>652</v>
      </c>
      <c r="C3277" s="4" t="s">
        <v>278</v>
      </c>
      <c r="D3277" s="94">
        <v>1984.0</v>
      </c>
    </row>
    <row r="3278">
      <c r="A3278" s="40">
        <f t="array" ref="A3278">IFNA(index(PlayerValues!A:A,match(IFNA(vlookup(B3278,'Special Names'!A:B,2,FALSE),B3278),PlayerValues!E:E,0)),"N/A")</f>
        <v>10700</v>
      </c>
      <c r="B3278" s="4" t="s">
        <v>596</v>
      </c>
      <c r="C3278" s="4" t="s">
        <v>283</v>
      </c>
      <c r="D3278" s="94">
        <v>1981.0</v>
      </c>
    </row>
    <row r="3279">
      <c r="A3279" s="40">
        <f t="array" ref="A3279">IFNA(index(PlayerValues!A:A,match(IFNA(vlookup(B3279,'Special Names'!A:B,2,FALSE),B3279),PlayerValues!E:E,0)),"N/A")</f>
        <v>16191</v>
      </c>
      <c r="B3279" s="4" t="s">
        <v>666</v>
      </c>
      <c r="C3279" s="4" t="s">
        <v>287</v>
      </c>
      <c r="D3279" s="94">
        <v>1980.0</v>
      </c>
    </row>
    <row r="3280">
      <c r="A3280" s="40">
        <f t="array" ref="A3280">IFNA(index(PlayerValues!A:A,match(IFNA(vlookup(B3280,'Special Names'!A:B,2,FALSE),B3280),PlayerValues!E:E,0)),"N/A")</f>
        <v>17036</v>
      </c>
      <c r="B3280" s="4" t="s">
        <v>617</v>
      </c>
      <c r="C3280" s="4" t="s">
        <v>283</v>
      </c>
      <c r="D3280" s="94">
        <v>1971.0</v>
      </c>
    </row>
    <row r="3281">
      <c r="A3281" s="40">
        <f t="array" ref="A3281">IFNA(index(PlayerValues!A:A,match(IFNA(vlookup(B3281,'Special Names'!A:B,2,FALSE),B3281),PlayerValues!E:E,0)),"N/A")</f>
        <v>16171</v>
      </c>
      <c r="B3281" s="4" t="s">
        <v>618</v>
      </c>
      <c r="C3281" s="4" t="s">
        <v>278</v>
      </c>
      <c r="D3281" s="94">
        <v>1957.0</v>
      </c>
    </row>
    <row r="3282">
      <c r="A3282" s="40">
        <f t="array" ref="A3282">IFNA(index(PlayerValues!A:A,match(IFNA(vlookup(B3282,'Special Names'!A:B,2,FALSE),B3282),PlayerValues!E:E,0)),"N/A")</f>
        <v>16603</v>
      </c>
      <c r="B3282" s="4" t="s">
        <v>587</v>
      </c>
      <c r="C3282" s="4" t="s">
        <v>278</v>
      </c>
      <c r="D3282" s="94">
        <v>1954.0</v>
      </c>
    </row>
    <row r="3283">
      <c r="A3283" s="40">
        <f t="array" ref="A3283">IFNA(index(PlayerValues!A:A,match(IFNA(vlookup(B3283,'Special Names'!A:B,2,FALSE),B3283),PlayerValues!E:E,0)),"N/A")</f>
        <v>13629</v>
      </c>
      <c r="B3283" s="4" t="s">
        <v>619</v>
      </c>
      <c r="C3283" s="4" t="s">
        <v>287</v>
      </c>
      <c r="D3283" s="94">
        <v>1952.0</v>
      </c>
    </row>
    <row r="3284">
      <c r="A3284" s="40">
        <f t="array" ref="A3284">IFNA(index(PlayerValues!A:A,match(IFNA(vlookup(B3284,'Special Names'!A:B,2,FALSE),B3284),PlayerValues!E:E,0)),"N/A")</f>
        <v>17184</v>
      </c>
      <c r="B3284" s="4" t="s">
        <v>588</v>
      </c>
      <c r="C3284" s="4" t="s">
        <v>287</v>
      </c>
      <c r="D3284" s="94">
        <v>1936.0</v>
      </c>
    </row>
    <row r="3285">
      <c r="A3285" s="40">
        <f t="array" ref="A3285">IFNA(index(PlayerValues!A:A,match(IFNA(vlookup(B3285,'Special Names'!A:B,2,FALSE),B3285),PlayerValues!E:E,0)),"N/A")</f>
        <v>16216</v>
      </c>
      <c r="B3285" s="4" t="s">
        <v>595</v>
      </c>
      <c r="C3285" s="4" t="s">
        <v>298</v>
      </c>
      <c r="D3285" s="94">
        <v>2304.0</v>
      </c>
    </row>
    <row r="3286">
      <c r="A3286" s="40">
        <f t="array" ref="A3286">IFNA(index(PlayerValues!A:A,match(IFNA(vlookup(B3286,'Special Names'!A:B,2,FALSE),B3286),PlayerValues!E:E,0)),"N/A")</f>
        <v>13189</v>
      </c>
      <c r="B3286" s="4" t="s">
        <v>626</v>
      </c>
      <c r="C3286" s="4" t="s">
        <v>298</v>
      </c>
      <c r="D3286" s="94">
        <v>2296.0</v>
      </c>
    </row>
    <row r="3287">
      <c r="A3287" s="40">
        <f t="array" ref="A3287">IFNA(index(PlayerValues!A:A,match(IFNA(vlookup(B3287,'Special Names'!A:B,2,FALSE),B3287),PlayerValues!E:E,0)),"N/A")</f>
        <v>17049</v>
      </c>
      <c r="B3287" s="4" t="s">
        <v>624</v>
      </c>
      <c r="C3287" s="4" t="s">
        <v>278</v>
      </c>
      <c r="D3287" s="94">
        <v>1907.0</v>
      </c>
    </row>
    <row r="3288">
      <c r="A3288" s="40">
        <f t="array" ref="A3288">IFNA(index(PlayerValues!A:A,match(IFNA(vlookup(B3288,'Special Names'!A:B,2,FALSE),B3288),PlayerValues!E:E,0)),"N/A")</f>
        <v>13113</v>
      </c>
      <c r="B3288" s="4" t="s">
        <v>606</v>
      </c>
      <c r="C3288" s="4" t="s">
        <v>283</v>
      </c>
      <c r="D3288" s="94">
        <v>1895.0</v>
      </c>
    </row>
    <row r="3289">
      <c r="A3289" s="40" t="str">
        <f t="array" ref="A3289">IFNA(index(PlayerValues!A:A,match(IFNA(vlookup(B3289,'Special Names'!A:B,2,FALSE),B3289),PlayerValues!E:E,0)),"N/A")</f>
        <v>N/A</v>
      </c>
      <c r="B3289" s="4" t="s">
        <v>101</v>
      </c>
      <c r="C3289" s="4" t="s">
        <v>325</v>
      </c>
      <c r="D3289" s="94">
        <v>1881.0</v>
      </c>
    </row>
    <row r="3290">
      <c r="A3290" s="40">
        <f t="array" ref="A3290">IFNA(index(PlayerValues!A:A,match(IFNA(vlookup(B3290,'Special Names'!A:B,2,FALSE),B3290),PlayerValues!E:E,0)),"N/A")</f>
        <v>15254</v>
      </c>
      <c r="B3290" s="4" t="s">
        <v>633</v>
      </c>
      <c r="C3290" s="4" t="s">
        <v>278</v>
      </c>
      <c r="D3290" s="94">
        <v>1877.0</v>
      </c>
    </row>
    <row r="3291">
      <c r="A3291" s="40">
        <f t="array" ref="A3291">IFNA(index(PlayerValues!A:A,match(IFNA(vlookup(B3291,'Special Names'!A:B,2,FALSE),B3291),PlayerValues!E:E,0)),"N/A")</f>
        <v>16604</v>
      </c>
      <c r="B3291" s="4" t="s">
        <v>476</v>
      </c>
      <c r="C3291" s="4" t="s">
        <v>278</v>
      </c>
      <c r="D3291" s="94">
        <v>1857.0</v>
      </c>
    </row>
    <row r="3292">
      <c r="A3292" s="40">
        <f t="array" ref="A3292">IFNA(index(PlayerValues!A:A,match(IFNA(vlookup(B3292,'Special Names'!A:B,2,FALSE),B3292),PlayerValues!E:E,0)),"N/A")</f>
        <v>17034</v>
      </c>
      <c r="B3292" s="4" t="s">
        <v>643</v>
      </c>
      <c r="C3292" s="4" t="s">
        <v>283</v>
      </c>
      <c r="D3292" s="94">
        <v>1851.0</v>
      </c>
    </row>
    <row r="3293">
      <c r="A3293" s="40">
        <f t="array" ref="A3293">IFNA(index(PlayerValues!A:A,match(IFNA(vlookup(B3293,'Special Names'!A:B,2,FALSE),B3293),PlayerValues!E:E,0)),"N/A")</f>
        <v>16644</v>
      </c>
      <c r="B3293" s="4" t="s">
        <v>640</v>
      </c>
      <c r="C3293" s="4" t="s">
        <v>298</v>
      </c>
      <c r="D3293" s="94">
        <v>2230.0</v>
      </c>
    </row>
    <row r="3294">
      <c r="A3294" s="40">
        <f t="array" ref="A3294">IFNA(index(PlayerValues!A:A,match(IFNA(vlookup(B3294,'Special Names'!A:B,2,FALSE),B3294),PlayerValues!E:E,0)),"N/A")</f>
        <v>17547</v>
      </c>
      <c r="B3294" s="4" t="s">
        <v>552</v>
      </c>
      <c r="C3294" s="4" t="s">
        <v>298</v>
      </c>
      <c r="D3294" s="94">
        <v>2217.0</v>
      </c>
    </row>
    <row r="3295">
      <c r="A3295" s="40">
        <f t="array" ref="A3295">IFNA(index(PlayerValues!A:A,match(IFNA(vlookup(B3295,'Special Names'!A:B,2,FALSE),B3295),PlayerValues!E:E,0)),"N/A")</f>
        <v>16215</v>
      </c>
      <c r="B3295" s="4" t="s">
        <v>637</v>
      </c>
      <c r="C3295" s="4" t="s">
        <v>298</v>
      </c>
      <c r="D3295" s="94">
        <v>2216.0</v>
      </c>
    </row>
    <row r="3296">
      <c r="A3296" s="40" t="str">
        <f t="array" ref="A3296">IFNA(index(PlayerValues!A:A,match(IFNA(vlookup(B3296,'Special Names'!A:B,2,FALSE),B3296),PlayerValues!E:E,0)),"N/A")</f>
        <v>N/A</v>
      </c>
      <c r="B3296" s="4" t="s">
        <v>114</v>
      </c>
      <c r="C3296" s="4" t="s">
        <v>325</v>
      </c>
      <c r="D3296" s="94">
        <v>1832.0</v>
      </c>
    </row>
    <row r="3297">
      <c r="A3297" s="40">
        <f t="array" ref="A3297">IFNA(index(PlayerValues!A:A,match(IFNA(vlookup(B3297,'Special Names'!A:B,2,FALSE),B3297),PlayerValues!E:E,0)),"N/A")</f>
        <v>15788</v>
      </c>
      <c r="B3297" s="4" t="s">
        <v>627</v>
      </c>
      <c r="C3297" s="4" t="s">
        <v>287</v>
      </c>
      <c r="D3297" s="94">
        <v>1826.0</v>
      </c>
    </row>
    <row r="3298">
      <c r="A3298" s="40">
        <f t="array" ref="A3298">IFNA(index(PlayerValues!A:A,match(IFNA(vlookup(B3298,'Special Names'!A:B,2,FALSE),B3298),PlayerValues!E:E,0)),"N/A")</f>
        <v>15787</v>
      </c>
      <c r="B3298" s="4" t="s">
        <v>610</v>
      </c>
      <c r="C3298" s="4" t="s">
        <v>287</v>
      </c>
      <c r="D3298" s="94">
        <v>1825.0</v>
      </c>
    </row>
    <row r="3299">
      <c r="A3299" s="40">
        <f t="array" ref="A3299">IFNA(index(PlayerValues!A:A,match(IFNA(vlookup(B3299,'Special Names'!A:B,2,FALSE),B3299),PlayerValues!E:E,0)),"N/A")</f>
        <v>17086</v>
      </c>
      <c r="B3299" s="4" t="s">
        <v>612</v>
      </c>
      <c r="C3299" s="4" t="s">
        <v>287</v>
      </c>
      <c r="D3299" s="94">
        <v>1820.0</v>
      </c>
    </row>
    <row r="3300">
      <c r="A3300" s="40">
        <f t="array" ref="A3300">IFNA(index(PlayerValues!A:A,match(IFNA(vlookup(B3300,'Special Names'!A:B,2,FALSE),B3300),PlayerValues!E:E,0)),"N/A")</f>
        <v>13164</v>
      </c>
      <c r="B3300" s="4" t="s">
        <v>632</v>
      </c>
      <c r="C3300" s="4" t="s">
        <v>287</v>
      </c>
      <c r="D3300" s="94">
        <v>1814.0</v>
      </c>
    </row>
    <row r="3301">
      <c r="A3301" s="40">
        <f t="array" ref="A3301">IFNA(index(PlayerValues!A:A,match(IFNA(vlookup(B3301,'Special Names'!A:B,2,FALSE),B3301),PlayerValues!E:E,0)),"N/A")</f>
        <v>17035</v>
      </c>
      <c r="B3301" s="4" t="s">
        <v>650</v>
      </c>
      <c r="C3301" s="4" t="s">
        <v>283</v>
      </c>
      <c r="D3301" s="94">
        <v>1811.0</v>
      </c>
    </row>
    <row r="3302">
      <c r="A3302" s="40">
        <f t="array" ref="A3302">IFNA(index(PlayerValues!A:A,match(IFNA(vlookup(B3302,'Special Names'!A:B,2,FALSE),B3302),PlayerValues!E:E,0)),"N/A")</f>
        <v>16752</v>
      </c>
      <c r="B3302" s="4" t="s">
        <v>597</v>
      </c>
      <c r="C3302" s="4" t="s">
        <v>278</v>
      </c>
      <c r="D3302" s="94">
        <v>1809.0</v>
      </c>
    </row>
    <row r="3303">
      <c r="A3303" s="40">
        <f t="array" ref="A3303">IFNA(index(PlayerValues!A:A,match(IFNA(vlookup(B3303,'Special Names'!A:B,2,FALSE),B3303),PlayerValues!E:E,0)),"N/A")</f>
        <v>14105</v>
      </c>
      <c r="B3303" s="4" t="s">
        <v>675</v>
      </c>
      <c r="C3303" s="4" t="s">
        <v>287</v>
      </c>
      <c r="D3303" s="94">
        <v>1800.0</v>
      </c>
    </row>
    <row r="3304">
      <c r="A3304" s="40">
        <f t="array" ref="A3304">IFNA(index(PlayerValues!A:A,match(IFNA(vlookup(B3304,'Special Names'!A:B,2,FALSE),B3304),PlayerValues!E:E,0)),"N/A")</f>
        <v>7836</v>
      </c>
      <c r="B3304" s="4" t="s">
        <v>590</v>
      </c>
      <c r="C3304" s="4" t="s">
        <v>283</v>
      </c>
      <c r="D3304" s="94">
        <v>1794.0</v>
      </c>
    </row>
    <row r="3305">
      <c r="A3305" s="40">
        <f t="array" ref="A3305">IFNA(index(PlayerValues!A:A,match(IFNA(vlookup(B3305,'Special Names'!A:B,2,FALSE),B3305),PlayerValues!E:E,0)),"N/A")</f>
        <v>16201</v>
      </c>
      <c r="B3305" s="4" t="s">
        <v>589</v>
      </c>
      <c r="C3305" s="4" t="s">
        <v>287</v>
      </c>
      <c r="D3305" s="94">
        <v>1781.0</v>
      </c>
    </row>
    <row r="3306">
      <c r="A3306" s="40">
        <f t="array" ref="A3306">IFNA(index(PlayerValues!A:A,match(IFNA(vlookup(B3306,'Special Names'!A:B,2,FALSE),B3306),PlayerValues!E:E,0)),"N/A")</f>
        <v>17465</v>
      </c>
      <c r="B3306" s="4" t="s">
        <v>649</v>
      </c>
      <c r="C3306" s="4" t="s">
        <v>283</v>
      </c>
      <c r="D3306" s="94">
        <v>1768.0</v>
      </c>
    </row>
    <row r="3307">
      <c r="A3307" s="40">
        <f t="array" ref="A3307">IFNA(index(PlayerValues!A:A,match(IFNA(vlookup(B3307,'Special Names'!A:B,2,FALSE),B3307),PlayerValues!E:E,0)),"N/A")</f>
        <v>14143</v>
      </c>
      <c r="B3307" s="4" t="s">
        <v>635</v>
      </c>
      <c r="C3307" s="4" t="s">
        <v>298</v>
      </c>
      <c r="D3307" s="94">
        <v>2146.0</v>
      </c>
    </row>
    <row r="3308">
      <c r="A3308" s="40">
        <f t="array" ref="A3308">IFNA(index(PlayerValues!A:A,match(IFNA(vlookup(B3308,'Special Names'!A:B,2,FALSE),B3308),PlayerValues!E:E,0)),"N/A")</f>
        <v>17096</v>
      </c>
      <c r="B3308" s="4" t="s">
        <v>638</v>
      </c>
      <c r="C3308" s="4" t="s">
        <v>287</v>
      </c>
      <c r="D3308" s="94">
        <v>1759.0</v>
      </c>
    </row>
    <row r="3309">
      <c r="A3309" s="40">
        <f t="array" ref="A3309">IFNA(index(PlayerValues!A:A,match(IFNA(vlookup(B3309,'Special Names'!A:B,2,FALSE),B3309),PlayerValues!E:E,0)),"N/A")</f>
        <v>16778</v>
      </c>
      <c r="B3309" s="4" t="s">
        <v>577</v>
      </c>
      <c r="C3309" s="4" t="s">
        <v>287</v>
      </c>
      <c r="D3309" s="94">
        <v>1752.0</v>
      </c>
    </row>
    <row r="3310">
      <c r="A3310" s="40">
        <f t="array" ref="A3310">IFNA(index(PlayerValues!A:A,match(IFNA(vlookup(B3310,'Special Names'!A:B,2,FALSE),B3310),PlayerValues!E:E,0)),"N/A")</f>
        <v>17520</v>
      </c>
      <c r="B3310" s="4" t="s">
        <v>518</v>
      </c>
      <c r="C3310" s="4" t="s">
        <v>287</v>
      </c>
      <c r="D3310" s="94">
        <v>1739.0</v>
      </c>
    </row>
    <row r="3311">
      <c r="A3311" s="40">
        <f t="array" ref="A3311">IFNA(index(PlayerValues!A:A,match(IFNA(vlookup(B3311,'Special Names'!A:B,2,FALSE),B3311),PlayerValues!E:E,0)),"N/A")</f>
        <v>16635</v>
      </c>
      <c r="B3311" s="4" t="s">
        <v>645</v>
      </c>
      <c r="C3311" s="4" t="s">
        <v>287</v>
      </c>
      <c r="D3311" s="94">
        <v>1734.0</v>
      </c>
    </row>
    <row r="3312">
      <c r="A3312" s="40">
        <f t="array" ref="A3312">IFNA(index(PlayerValues!A:A,match(IFNA(vlookup(B3312,'Special Names'!A:B,2,FALSE),B3312),PlayerValues!E:E,0)),"N/A")</f>
        <v>15755</v>
      </c>
      <c r="B3312" s="4" t="s">
        <v>628</v>
      </c>
      <c r="C3312" s="4" t="s">
        <v>287</v>
      </c>
      <c r="D3312" s="94">
        <v>1729.0</v>
      </c>
    </row>
    <row r="3313">
      <c r="A3313" s="40" t="str">
        <f t="array" ref="A3313">IFNA(index(PlayerValues!A:A,match(IFNA(vlookup(B3313,'Special Names'!A:B,2,FALSE),B3313),PlayerValues!E:E,0)),"N/A")</f>
        <v>N/A</v>
      </c>
      <c r="B3313" s="4" t="s">
        <v>89</v>
      </c>
      <c r="C3313" s="4" t="s">
        <v>325</v>
      </c>
      <c r="D3313" s="94">
        <v>1720.0</v>
      </c>
    </row>
    <row r="3314">
      <c r="A3314" s="40">
        <f t="array" ref="A3314">IFNA(index(PlayerValues!A:A,match(IFNA(vlookup(B3314,'Special Names'!A:B,2,FALSE),B3314),PlayerValues!E:E,0)),"N/A")</f>
        <v>16586</v>
      </c>
      <c r="B3314" s="4" t="s">
        <v>658</v>
      </c>
      <c r="C3314" s="4" t="s">
        <v>283</v>
      </c>
      <c r="D3314" s="94">
        <v>1717.0</v>
      </c>
    </row>
    <row r="3315">
      <c r="A3315" s="40">
        <f t="array" ref="A3315">IFNA(index(PlayerValues!A:A,match(IFNA(vlookup(B3315,'Special Names'!A:B,2,FALSE),B3315),PlayerValues!E:E,0)),"N/A")</f>
        <v>15301</v>
      </c>
      <c r="B3315" s="4" t="s">
        <v>657</v>
      </c>
      <c r="C3315" s="4" t="s">
        <v>287</v>
      </c>
      <c r="D3315" s="94">
        <v>1709.0</v>
      </c>
    </row>
    <row r="3316">
      <c r="A3316" s="40">
        <f t="array" ref="A3316">IFNA(index(PlayerValues!A:A,match(IFNA(vlookup(B3316,'Special Names'!A:B,2,FALSE),B3316),PlayerValues!E:E,0)),"N/A")</f>
        <v>15797</v>
      </c>
      <c r="B3316" s="4" t="s">
        <v>556</v>
      </c>
      <c r="C3316" s="4" t="s">
        <v>298</v>
      </c>
      <c r="D3316" s="94">
        <v>2087.0</v>
      </c>
    </row>
    <row r="3317">
      <c r="A3317" s="40" t="str">
        <f t="array" ref="A3317">IFNA(index(PlayerValues!A:A,match(IFNA(vlookup(B3317,'Special Names'!A:B,2,FALSE),B3317),PlayerValues!E:E,0)),"N/A")</f>
        <v>N/A</v>
      </c>
      <c r="B3317" s="4" t="s">
        <v>102</v>
      </c>
      <c r="C3317" s="4" t="s">
        <v>325</v>
      </c>
      <c r="D3317" s="94">
        <v>1689.0</v>
      </c>
    </row>
    <row r="3318">
      <c r="A3318" s="40">
        <f t="array" ref="A3318">IFNA(index(PlayerValues!A:A,match(IFNA(vlookup(B3318,'Special Names'!A:B,2,FALSE),B3318),PlayerValues!E:E,0)),"N/A")</f>
        <v>16585</v>
      </c>
      <c r="B3318" s="4" t="s">
        <v>623</v>
      </c>
      <c r="C3318" s="4" t="s">
        <v>283</v>
      </c>
      <c r="D3318" s="94">
        <v>1687.0</v>
      </c>
    </row>
    <row r="3319">
      <c r="A3319" s="40" t="str">
        <f t="array" ref="A3319">IFNA(index(PlayerValues!A:A,match(IFNA(vlookup(B3319,'Special Names'!A:B,2,FALSE),B3319),PlayerValues!E:E,0)),"N/A")</f>
        <v>N/A</v>
      </c>
      <c r="B3319" s="4" t="s">
        <v>115</v>
      </c>
      <c r="C3319" s="4" t="s">
        <v>325</v>
      </c>
      <c r="D3319" s="94">
        <v>1672.0</v>
      </c>
    </row>
    <row r="3320">
      <c r="A3320" s="40">
        <f t="array" ref="A3320">IFNA(index(PlayerValues!A:A,match(IFNA(vlookup(B3320,'Special Names'!A:B,2,FALSE),B3320),PlayerValues!E:E,0)),"N/A")</f>
        <v>17064</v>
      </c>
      <c r="B3320" s="4" t="s">
        <v>631</v>
      </c>
      <c r="C3320" s="4" t="s">
        <v>278</v>
      </c>
      <c r="D3320" s="94">
        <v>1671.0</v>
      </c>
    </row>
    <row r="3321">
      <c r="A3321" s="40" t="str">
        <f t="array" ref="A3321">IFNA(index(PlayerValues!A:A,match(IFNA(vlookup(B3321,'Special Names'!A:B,2,FALSE),B3321),PlayerValues!E:E,0)),"N/A")</f>
        <v>N/A</v>
      </c>
      <c r="B3321" s="4" t="s">
        <v>103</v>
      </c>
      <c r="C3321" s="4" t="s">
        <v>325</v>
      </c>
      <c r="D3321" s="94">
        <v>1669.0</v>
      </c>
    </row>
    <row r="3322">
      <c r="A3322" s="40">
        <f t="array" ref="A3322">IFNA(index(PlayerValues!A:A,match(IFNA(vlookup(B3322,'Special Names'!A:B,2,FALSE),B3322),PlayerValues!E:E,0)),"N/A")</f>
        <v>16629</v>
      </c>
      <c r="B3322" s="4" t="s">
        <v>605</v>
      </c>
      <c r="C3322" s="4" t="s">
        <v>287</v>
      </c>
      <c r="D3322" s="94">
        <v>1667.0</v>
      </c>
    </row>
    <row r="3323">
      <c r="A3323" s="40">
        <f t="array" ref="A3323">IFNA(index(PlayerValues!A:A,match(IFNA(vlookup(B3323,'Special Names'!A:B,2,FALSE),B3323),PlayerValues!E:E,0)),"N/A")</f>
        <v>16788</v>
      </c>
      <c r="B3323" s="4" t="s">
        <v>621</v>
      </c>
      <c r="C3323" s="4" t="s">
        <v>287</v>
      </c>
      <c r="D3323" s="94">
        <v>1656.0</v>
      </c>
    </row>
    <row r="3324">
      <c r="A3324" s="40">
        <f t="array" ref="A3324">IFNA(index(PlayerValues!A:A,match(IFNA(vlookup(B3324,'Special Names'!A:B,2,FALSE),B3324),PlayerValues!E:E,0)),"N/A")</f>
        <v>16601</v>
      </c>
      <c r="B3324" s="4" t="s">
        <v>648</v>
      </c>
      <c r="C3324" s="4" t="s">
        <v>278</v>
      </c>
      <c r="D3324" s="94">
        <v>1652.0</v>
      </c>
    </row>
    <row r="3325">
      <c r="A3325" s="40">
        <f t="array" ref="A3325">IFNA(index(PlayerValues!A:A,match(IFNA(vlookup(B3325,'Special Names'!A:B,2,FALSE),B3325),PlayerValues!E:E,0)),"N/A")</f>
        <v>16207</v>
      </c>
      <c r="B3325" s="4" t="s">
        <v>636</v>
      </c>
      <c r="C3325" s="4" t="s">
        <v>287</v>
      </c>
      <c r="D3325" s="94">
        <v>1650.0</v>
      </c>
    </row>
    <row r="3326">
      <c r="A3326" s="40">
        <f t="array" ref="A3326">IFNA(index(PlayerValues!A:A,match(IFNA(vlookup(B3326,'Special Names'!A:B,2,FALSE),B3326),PlayerValues!E:E,0)),"N/A")</f>
        <v>17058</v>
      </c>
      <c r="B3326" s="4" t="s">
        <v>641</v>
      </c>
      <c r="C3326" s="4" t="s">
        <v>278</v>
      </c>
      <c r="D3326" s="94">
        <v>1649.0</v>
      </c>
    </row>
    <row r="3327">
      <c r="A3327" s="40">
        <f t="array" ref="A3327">IFNA(index(PlayerValues!A:A,match(IFNA(vlookup(B3327,'Special Names'!A:B,2,FALSE),B3327),PlayerValues!E:E,0)),"N/A")</f>
        <v>15759</v>
      </c>
      <c r="B3327" s="4" t="s">
        <v>662</v>
      </c>
      <c r="C3327" s="4" t="s">
        <v>287</v>
      </c>
      <c r="D3327" s="94">
        <v>1641.0</v>
      </c>
    </row>
    <row r="3328">
      <c r="A3328" s="40">
        <f t="array" ref="A3328">IFNA(index(PlayerValues!A:A,match(IFNA(vlookup(B3328,'Special Names'!A:B,2,FALSE),B3328),PlayerValues!E:E,0)),"N/A")</f>
        <v>15319</v>
      </c>
      <c r="B3328" s="4" t="s">
        <v>644</v>
      </c>
      <c r="C3328" s="4" t="s">
        <v>287</v>
      </c>
      <c r="D3328" s="94">
        <v>1637.0</v>
      </c>
    </row>
    <row r="3329">
      <c r="A3329" s="40">
        <f t="array" ref="A3329">IFNA(index(PlayerValues!A:A,match(IFNA(vlookup(B3329,'Special Names'!A:B,2,FALSE),B3329),PlayerValues!E:E,0)),"N/A")</f>
        <v>16595</v>
      </c>
      <c r="B3329" s="4" t="s">
        <v>664</v>
      </c>
      <c r="C3329" s="4" t="s">
        <v>278</v>
      </c>
      <c r="D3329" s="94">
        <v>1634.0</v>
      </c>
    </row>
    <row r="3330">
      <c r="A3330" s="40">
        <f t="array" ref="A3330">IFNA(index(PlayerValues!A:A,match(IFNA(vlookup(B3330,'Special Names'!A:B,2,FALSE),B3330),PlayerValues!E:E,0)),"N/A")</f>
        <v>15337</v>
      </c>
      <c r="B3330" s="4" t="s">
        <v>655</v>
      </c>
      <c r="C3330" s="4" t="s">
        <v>298</v>
      </c>
      <c r="D3330" s="94">
        <v>2000.0</v>
      </c>
    </row>
    <row r="3331">
      <c r="A3331" s="40" t="str">
        <f t="array" ref="A3331">IFNA(index(PlayerValues!A:A,match(IFNA(vlookup(B3331,'Special Names'!A:B,2,FALSE),B3331),PlayerValues!E:E,0)),"N/A")</f>
        <v>N/A</v>
      </c>
      <c r="B3331" s="4" t="s">
        <v>90</v>
      </c>
      <c r="C3331" s="4" t="s">
        <v>325</v>
      </c>
      <c r="D3331" s="94">
        <v>1600.0</v>
      </c>
    </row>
    <row r="3332">
      <c r="A3332" s="40">
        <f t="array" ref="A3332">IFNA(index(PlayerValues!A:A,match(IFNA(vlookup(B3332,'Special Names'!A:B,2,FALSE),B3332),PlayerValues!E:E,0)),"N/A")</f>
        <v>17205</v>
      </c>
      <c r="B3332" s="4" t="s">
        <v>665</v>
      </c>
      <c r="C3332" s="4" t="s">
        <v>287</v>
      </c>
      <c r="D3332" s="94">
        <v>1590.0</v>
      </c>
    </row>
    <row r="3333">
      <c r="A3333" s="40">
        <f t="array" ref="A3333">IFNA(index(PlayerValues!A:A,match(IFNA(vlookup(B3333,'Special Names'!A:B,2,FALSE),B3333),PlayerValues!E:E,0)),"N/A")</f>
        <v>15752</v>
      </c>
      <c r="B3333" s="4" t="s">
        <v>647</v>
      </c>
      <c r="C3333" s="4" t="s">
        <v>287</v>
      </c>
      <c r="D3333" s="94">
        <v>1588.0</v>
      </c>
    </row>
    <row r="3334">
      <c r="A3334" s="40">
        <f t="array" ref="A3334">IFNA(index(PlayerValues!A:A,match(IFNA(vlookup(B3334,'Special Names'!A:B,2,FALSE),B3334),PlayerValues!E:E,0)),"N/A")</f>
        <v>16175</v>
      </c>
      <c r="B3334" s="4" t="s">
        <v>654</v>
      </c>
      <c r="C3334" s="4" t="s">
        <v>278</v>
      </c>
      <c r="D3334" s="94">
        <v>1585.0</v>
      </c>
    </row>
    <row r="3335">
      <c r="A3335" s="40">
        <f t="array" ref="A3335">IFNA(index(PlayerValues!A:A,match(IFNA(vlookup(B3335,'Special Names'!A:B,2,FALSE),B3335),PlayerValues!E:E,0)),"N/A")</f>
        <v>17234</v>
      </c>
      <c r="B3335" s="4" t="s">
        <v>653</v>
      </c>
      <c r="C3335" s="4" t="s">
        <v>287</v>
      </c>
      <c r="D3335" s="94">
        <v>1581.0</v>
      </c>
    </row>
    <row r="3336">
      <c r="A3336" s="40">
        <f t="array" ref="A3336">IFNA(index(PlayerValues!A:A,match(IFNA(vlookup(B3336,'Special Names'!A:B,2,FALSE),B3336),PlayerValues!E:E,0)),"N/A")</f>
        <v>16633</v>
      </c>
      <c r="B3336" s="4" t="s">
        <v>656</v>
      </c>
      <c r="C3336" s="4" t="s">
        <v>287</v>
      </c>
      <c r="D3336" s="94">
        <v>1580.0</v>
      </c>
    </row>
    <row r="3337">
      <c r="A3337" s="40">
        <f t="array" ref="A3337">IFNA(index(PlayerValues!A:A,match(IFNA(vlookup(B3337,'Special Names'!A:B,2,FALSE),B3337),PlayerValues!E:E,0)),"N/A")</f>
        <v>16688</v>
      </c>
      <c r="B3337" s="4" t="s">
        <v>688</v>
      </c>
      <c r="C3337" s="4" t="s">
        <v>278</v>
      </c>
      <c r="D3337" s="94">
        <v>1570.0</v>
      </c>
    </row>
    <row r="3338">
      <c r="A3338" s="40">
        <f t="array" ref="A3338">IFNA(index(PlayerValues!A:A,match(IFNA(vlookup(B3338,'Special Names'!A:B,2,FALSE),B3338),PlayerValues!E:E,0)),"N/A")</f>
        <v>11222</v>
      </c>
      <c r="B3338" s="4" t="s">
        <v>622</v>
      </c>
      <c r="C3338" s="4" t="s">
        <v>287</v>
      </c>
      <c r="D3338" s="94">
        <v>1566.0</v>
      </c>
    </row>
    <row r="3339">
      <c r="A3339" s="40">
        <f t="array" ref="A3339">IFNA(index(PlayerValues!A:A,match(IFNA(vlookup(B3339,'Special Names'!A:B,2,FALSE),B3339),PlayerValues!E:E,0)),"N/A")</f>
        <v>15777</v>
      </c>
      <c r="B3339" s="4" t="s">
        <v>694</v>
      </c>
      <c r="C3339" s="4" t="s">
        <v>287</v>
      </c>
      <c r="D3339" s="94">
        <v>1550.0</v>
      </c>
    </row>
    <row r="3340">
      <c r="A3340" s="40">
        <f t="array" ref="A3340">IFNA(index(PlayerValues!A:A,match(IFNA(vlookup(B3340,'Special Names'!A:B,2,FALSE),B3340),PlayerValues!E:E,0)),"N/A")</f>
        <v>15713</v>
      </c>
      <c r="B3340" s="4" t="s">
        <v>732</v>
      </c>
      <c r="C3340" s="4" t="s">
        <v>278</v>
      </c>
      <c r="D3340" s="94">
        <v>1548.0</v>
      </c>
    </row>
    <row r="3341">
      <c r="A3341" s="40">
        <f t="array" ref="A3341">IFNA(index(PlayerValues!A:A,match(IFNA(vlookup(B3341,'Special Names'!A:B,2,FALSE),B3341),PlayerValues!E:E,0)),"N/A")</f>
        <v>16149</v>
      </c>
      <c r="B3341" s="4" t="s">
        <v>740</v>
      </c>
      <c r="C3341" s="4" t="s">
        <v>283</v>
      </c>
      <c r="D3341" s="94">
        <v>1542.0</v>
      </c>
    </row>
    <row r="3342">
      <c r="A3342" s="40">
        <f t="array" ref="A3342">IFNA(index(PlayerValues!A:A,match(IFNA(vlookup(B3342,'Special Names'!A:B,2,FALSE),B3342),PlayerValues!E:E,0)),"N/A")</f>
        <v>16792</v>
      </c>
      <c r="B3342" s="4" t="s">
        <v>704</v>
      </c>
      <c r="C3342" s="4" t="s">
        <v>287</v>
      </c>
      <c r="D3342" s="94">
        <v>1536.0</v>
      </c>
    </row>
    <row r="3343">
      <c r="A3343" s="40">
        <f t="array" ref="A3343">IFNA(index(PlayerValues!A:A,match(IFNA(vlookup(B3343,'Special Names'!A:B,2,FALSE),B3343),PlayerValues!E:E,0)),"N/A")</f>
        <v>14122</v>
      </c>
      <c r="B3343" s="4" t="s">
        <v>663</v>
      </c>
      <c r="C3343" s="4" t="s">
        <v>287</v>
      </c>
      <c r="D3343" s="94">
        <v>1526.0</v>
      </c>
    </row>
    <row r="3344">
      <c r="A3344" s="40" t="str">
        <f t="array" ref="A3344">IFNA(index(PlayerValues!A:A,match(IFNA(vlookup(B3344,'Special Names'!A:B,2,FALSE),B3344),PlayerValues!E:E,0)),"N/A")</f>
        <v>N/A</v>
      </c>
      <c r="B3344" s="4" t="s">
        <v>116</v>
      </c>
      <c r="C3344" s="4" t="s">
        <v>325</v>
      </c>
      <c r="D3344" s="94">
        <v>1521.0</v>
      </c>
    </row>
    <row r="3345">
      <c r="A3345" s="40" t="str">
        <f t="array" ref="A3345">IFNA(index(PlayerValues!A:A,match(IFNA(vlookup(B3345,'Special Names'!A:B,2,FALSE),B3345),PlayerValues!E:E,0)),"N/A")</f>
        <v>N/A</v>
      </c>
      <c r="B3345" s="4" t="s">
        <v>91</v>
      </c>
      <c r="C3345" s="4" t="s">
        <v>325</v>
      </c>
      <c r="D3345" s="94">
        <v>1518.0</v>
      </c>
    </row>
    <row r="3346">
      <c r="A3346" s="40">
        <f t="array" ref="A3346">IFNA(index(PlayerValues!A:A,match(IFNA(vlookup(B3346,'Special Names'!A:B,2,FALSE),B3346),PlayerValues!E:E,0)),"N/A")</f>
        <v>17467</v>
      </c>
      <c r="B3346" s="4" t="s">
        <v>575</v>
      </c>
      <c r="C3346" s="4" t="s">
        <v>283</v>
      </c>
      <c r="D3346" s="94">
        <v>1516.0</v>
      </c>
    </row>
    <row r="3347">
      <c r="A3347" s="40">
        <f t="array" ref="A3347">IFNA(index(PlayerValues!A:A,match(IFNA(vlookup(B3347,'Special Names'!A:B,2,FALSE),B3347),PlayerValues!E:E,0)),"N/A")</f>
        <v>15873</v>
      </c>
      <c r="B3347" s="4" t="s">
        <v>681</v>
      </c>
      <c r="C3347" s="4" t="s">
        <v>298</v>
      </c>
      <c r="D3347" s="94">
        <v>1871.0</v>
      </c>
    </row>
    <row r="3348">
      <c r="A3348" s="40">
        <f t="array" ref="A3348">IFNA(index(PlayerValues!A:A,match(IFNA(vlookup(B3348,'Special Names'!A:B,2,FALSE),B3348),PlayerValues!E:E,0)),"N/A")</f>
        <v>16390</v>
      </c>
      <c r="B3348" s="4" t="s">
        <v>689</v>
      </c>
      <c r="C3348" s="4" t="s">
        <v>278</v>
      </c>
      <c r="D3348" s="94">
        <v>1497.0</v>
      </c>
    </row>
    <row r="3349">
      <c r="A3349" s="40">
        <f t="array" ref="A3349">IFNA(index(PlayerValues!A:A,match(IFNA(vlookup(B3349,'Special Names'!A:B,2,FALSE),B3349),PlayerValues!E:E,0)),"N/A")</f>
        <v>17037</v>
      </c>
      <c r="B3349" s="4" t="s">
        <v>727</v>
      </c>
      <c r="C3349" s="4" t="s">
        <v>283</v>
      </c>
      <c r="D3349" s="94">
        <v>1497.0</v>
      </c>
    </row>
    <row r="3350">
      <c r="A3350" s="40">
        <f t="array" ref="A3350">IFNA(index(PlayerValues!A:A,match(IFNA(vlookup(B3350,'Special Names'!A:B,2,FALSE),B3350),PlayerValues!E:E,0)),"N/A")</f>
        <v>16631</v>
      </c>
      <c r="B3350" s="4" t="s">
        <v>800</v>
      </c>
      <c r="C3350" s="4" t="s">
        <v>287</v>
      </c>
      <c r="D3350" s="94">
        <v>1487.0</v>
      </c>
    </row>
    <row r="3351">
      <c r="A3351" s="40">
        <f t="array" ref="A3351">IFNA(index(PlayerValues!A:A,match(IFNA(vlookup(B3351,'Special Names'!A:B,2,FALSE),B3351),PlayerValues!E:E,0)),"N/A")</f>
        <v>12140</v>
      </c>
      <c r="B3351" s="4" t="s">
        <v>702</v>
      </c>
      <c r="C3351" s="4" t="s">
        <v>283</v>
      </c>
      <c r="D3351" s="94">
        <v>1485.0</v>
      </c>
    </row>
    <row r="3352">
      <c r="A3352" s="40">
        <f t="array" ref="A3352">IFNA(index(PlayerValues!A:A,match(IFNA(vlookup(B3352,'Special Names'!A:B,2,FALSE),B3352),PlayerValues!E:E,0)),"N/A")</f>
        <v>17528</v>
      </c>
      <c r="B3352" s="4" t="s">
        <v>579</v>
      </c>
      <c r="C3352" s="4" t="s">
        <v>287</v>
      </c>
      <c r="D3352" s="94">
        <v>1482.0</v>
      </c>
    </row>
    <row r="3353">
      <c r="A3353" s="40">
        <f t="array" ref="A3353">IFNA(index(PlayerValues!A:A,match(IFNA(vlookup(B3353,'Special Names'!A:B,2,FALSE),B3353),PlayerValues!E:E,0)),"N/A")</f>
        <v>15252</v>
      </c>
      <c r="B3353" s="4" t="s">
        <v>715</v>
      </c>
      <c r="C3353" s="4" t="s">
        <v>283</v>
      </c>
      <c r="D3353" s="94">
        <v>1481.0</v>
      </c>
    </row>
    <row r="3354">
      <c r="A3354" s="40">
        <f t="array" ref="A3354">IFNA(index(PlayerValues!A:A,match(IFNA(vlookup(B3354,'Special Names'!A:B,2,FALSE),B3354),PlayerValues!E:E,0)),"N/A")</f>
        <v>16384</v>
      </c>
      <c r="B3354" s="4" t="s">
        <v>696</v>
      </c>
      <c r="C3354" s="4" t="s">
        <v>283</v>
      </c>
      <c r="D3354" s="94">
        <v>1465.0</v>
      </c>
    </row>
    <row r="3355">
      <c r="A3355" s="40">
        <f t="array" ref="A3355">IFNA(index(PlayerValues!A:A,match(IFNA(vlookup(B3355,'Special Names'!A:B,2,FALSE),B3355),PlayerValues!E:E,0)),"N/A")</f>
        <v>13418</v>
      </c>
      <c r="B3355" s="4" t="s">
        <v>706</v>
      </c>
      <c r="C3355" s="4" t="s">
        <v>287</v>
      </c>
      <c r="D3355" s="94">
        <v>1442.0</v>
      </c>
    </row>
    <row r="3356">
      <c r="A3356" s="40">
        <f t="array" ref="A3356">IFNA(index(PlayerValues!A:A,match(IFNA(vlookup(B3356,'Special Names'!A:B,2,FALSE),B3356),PlayerValues!E:E,0)),"N/A")</f>
        <v>17254</v>
      </c>
      <c r="B3356" s="4" t="s">
        <v>679</v>
      </c>
      <c r="C3356" s="4" t="s">
        <v>287</v>
      </c>
      <c r="D3356" s="94">
        <v>1435.0</v>
      </c>
    </row>
    <row r="3357">
      <c r="A3357" s="40">
        <f t="array" ref="A3357">IFNA(index(PlayerValues!A:A,match(IFNA(vlookup(B3357,'Special Names'!A:B,2,FALSE),B3357),PlayerValues!E:E,0)),"N/A")</f>
        <v>16642</v>
      </c>
      <c r="B3357" s="4" t="s">
        <v>691</v>
      </c>
      <c r="C3357" s="4" t="s">
        <v>298</v>
      </c>
      <c r="D3357" s="94">
        <v>1788.0</v>
      </c>
    </row>
    <row r="3358">
      <c r="A3358" s="40">
        <f t="array" ref="A3358">IFNA(index(PlayerValues!A:A,match(IFNA(vlookup(B3358,'Special Names'!A:B,2,FALSE),B3358),PlayerValues!E:E,0)),"N/A")</f>
        <v>12141</v>
      </c>
      <c r="B3358" s="4" t="s">
        <v>744</v>
      </c>
      <c r="C3358" s="4" t="s">
        <v>283</v>
      </c>
      <c r="D3358" s="94">
        <v>1417.0</v>
      </c>
    </row>
    <row r="3359">
      <c r="A3359" s="40">
        <f t="array" ref="A3359">IFNA(index(PlayerValues!A:A,match(IFNA(vlookup(B3359,'Special Names'!A:B,2,FALSE),B3359),PlayerValues!E:E,0)),"N/A")</f>
        <v>15292</v>
      </c>
      <c r="B3359" s="4" t="s">
        <v>682</v>
      </c>
      <c r="C3359" s="4" t="s">
        <v>287</v>
      </c>
      <c r="D3359" s="94">
        <v>1412.0</v>
      </c>
    </row>
    <row r="3360">
      <c r="A3360" s="40">
        <f t="array" ref="A3360">IFNA(index(PlayerValues!A:A,match(IFNA(vlookup(B3360,'Special Names'!A:B,2,FALSE),B3360),PlayerValues!E:E,0)),"N/A")</f>
        <v>12678</v>
      </c>
      <c r="B3360" s="4" t="s">
        <v>703</v>
      </c>
      <c r="C3360" s="4" t="s">
        <v>298</v>
      </c>
      <c r="D3360" s="94">
        <v>1781.0</v>
      </c>
    </row>
    <row r="3361">
      <c r="A3361" s="40">
        <f t="array" ref="A3361">IFNA(index(PlayerValues!A:A,match(IFNA(vlookup(B3361,'Special Names'!A:B,2,FALSE),B3361),PlayerValues!E:E,0)),"N/A")</f>
        <v>14137</v>
      </c>
      <c r="B3361" s="4" t="s">
        <v>676</v>
      </c>
      <c r="C3361" s="4" t="s">
        <v>298</v>
      </c>
      <c r="D3361" s="94">
        <v>1773.0</v>
      </c>
    </row>
    <row r="3362">
      <c r="A3362" s="40">
        <f t="array" ref="A3362">IFNA(index(PlayerValues!A:A,match(IFNA(vlookup(B3362,'Special Names'!A:B,2,FALSE),B3362),PlayerValues!E:E,0)),"N/A")</f>
        <v>17269</v>
      </c>
      <c r="B3362" s="4" t="s">
        <v>718</v>
      </c>
      <c r="C3362" s="4" t="s">
        <v>287</v>
      </c>
      <c r="D3362" s="94">
        <v>1401.0</v>
      </c>
    </row>
    <row r="3363">
      <c r="A3363" s="40">
        <f t="array" ref="A3363">IFNA(index(PlayerValues!A:A,match(IFNA(vlookup(B3363,'Special Names'!A:B,2,FALSE),B3363),PlayerValues!E:E,0)),"N/A")</f>
        <v>14080</v>
      </c>
      <c r="B3363" s="4" t="s">
        <v>716</v>
      </c>
      <c r="C3363" s="4" t="s">
        <v>278</v>
      </c>
      <c r="D3363" s="94">
        <v>1396.0</v>
      </c>
    </row>
    <row r="3364">
      <c r="A3364" s="40">
        <f t="array" ref="A3364">IFNA(index(PlayerValues!A:A,match(IFNA(vlookup(B3364,'Special Names'!A:B,2,FALSE),B3364),PlayerValues!E:E,0)),"N/A")</f>
        <v>16621</v>
      </c>
      <c r="B3364" s="4" t="s">
        <v>672</v>
      </c>
      <c r="C3364" s="4" t="s">
        <v>287</v>
      </c>
      <c r="D3364" s="94">
        <v>1395.0</v>
      </c>
    </row>
    <row r="3365">
      <c r="A3365" s="40">
        <f t="array" ref="A3365">IFNA(index(PlayerValues!A:A,match(IFNA(vlookup(B3365,'Special Names'!A:B,2,FALSE),B3365),PlayerValues!E:E,0)),"N/A")</f>
        <v>17481</v>
      </c>
      <c r="B3365" s="4" t="s">
        <v>540</v>
      </c>
      <c r="C3365" s="4" t="s">
        <v>278</v>
      </c>
      <c r="D3365" s="94">
        <v>1393.0</v>
      </c>
    </row>
    <row r="3366">
      <c r="A3366" s="40">
        <f t="array" ref="A3366">IFNA(index(PlayerValues!A:A,match(IFNA(vlookup(B3366,'Special Names'!A:B,2,FALSE),B3366),PlayerValues!E:E,0)),"N/A")</f>
        <v>17062</v>
      </c>
      <c r="B3366" s="4" t="s">
        <v>701</v>
      </c>
      <c r="C3366" s="4" t="s">
        <v>278</v>
      </c>
      <c r="D3366" s="94">
        <v>1388.0</v>
      </c>
    </row>
    <row r="3367">
      <c r="A3367" s="40">
        <f t="array" ref="A3367">IFNA(index(PlayerValues!A:A,match(IFNA(vlookup(B3367,'Special Names'!A:B,2,FALSE),B3367),PlayerValues!E:E,0)),"N/A")</f>
        <v>17054</v>
      </c>
      <c r="B3367" s="4" t="s">
        <v>670</v>
      </c>
      <c r="C3367" s="4" t="s">
        <v>278</v>
      </c>
      <c r="D3367" s="94">
        <v>1373.0</v>
      </c>
    </row>
    <row r="3368">
      <c r="A3368" s="40">
        <f t="array" ref="A3368">IFNA(index(PlayerValues!A:A,match(IFNA(vlookup(B3368,'Special Names'!A:B,2,FALSE),B3368),PlayerValues!E:E,0)),"N/A")</f>
        <v>13672</v>
      </c>
      <c r="B3368" s="4" t="s">
        <v>667</v>
      </c>
      <c r="C3368" s="4" t="s">
        <v>298</v>
      </c>
      <c r="D3368" s="94">
        <v>1724.0</v>
      </c>
    </row>
    <row r="3369">
      <c r="A3369" s="40">
        <f t="array" ref="A3369">IFNA(index(PlayerValues!A:A,match(IFNA(vlookup(B3369,'Special Names'!A:B,2,FALSE),B3369),PlayerValues!E:E,0)),"N/A")</f>
        <v>17077</v>
      </c>
      <c r="B3369" s="4" t="s">
        <v>714</v>
      </c>
      <c r="C3369" s="4" t="s">
        <v>287</v>
      </c>
      <c r="D3369" s="94">
        <v>1352.0</v>
      </c>
    </row>
    <row r="3370">
      <c r="A3370" s="40">
        <f t="array" ref="A3370">IFNA(index(PlayerValues!A:A,match(IFNA(vlookup(B3370,'Special Names'!A:B,2,FALSE),B3370),PlayerValues!E:E,0)),"N/A")</f>
        <v>17514</v>
      </c>
      <c r="B3370" s="4" t="s">
        <v>422</v>
      </c>
      <c r="C3370" s="4" t="s">
        <v>287</v>
      </c>
      <c r="D3370" s="94">
        <v>1347.0</v>
      </c>
    </row>
    <row r="3371">
      <c r="A3371" s="40">
        <f t="array" ref="A3371">IFNA(index(PlayerValues!A:A,match(IFNA(vlookup(B3371,'Special Names'!A:B,2,FALSE),B3371),PlayerValues!E:E,0)),"N/A")</f>
        <v>15332</v>
      </c>
      <c r="B3371" s="4" t="s">
        <v>698</v>
      </c>
      <c r="C3371" s="4" t="s">
        <v>298</v>
      </c>
      <c r="D3371" s="94">
        <v>1711.0</v>
      </c>
    </row>
    <row r="3372">
      <c r="A3372" s="40">
        <f t="array" ref="A3372">IFNA(index(PlayerValues!A:A,match(IFNA(vlookup(B3372,'Special Names'!A:B,2,FALSE),B3372),PlayerValues!E:E,0)),"N/A")</f>
        <v>14086</v>
      </c>
      <c r="B3372" s="4" t="s">
        <v>639</v>
      </c>
      <c r="C3372" s="4" t="s">
        <v>278</v>
      </c>
      <c r="D3372" s="94">
        <v>1336.0</v>
      </c>
    </row>
    <row r="3373">
      <c r="A3373" s="40">
        <f t="array" ref="A3373">IFNA(index(PlayerValues!A:A,match(IFNA(vlookup(B3373,'Special Names'!A:B,2,FALSE),B3373),PlayerValues!E:E,0)),"N/A")</f>
        <v>16608</v>
      </c>
      <c r="B3373" s="4" t="s">
        <v>629</v>
      </c>
      <c r="C3373" s="4" t="s">
        <v>278</v>
      </c>
      <c r="D3373" s="94">
        <v>1336.0</v>
      </c>
    </row>
    <row r="3374">
      <c r="A3374" s="40">
        <f t="array" ref="A3374">IFNA(index(PlayerValues!A:A,match(IFNA(vlookup(B3374,'Special Names'!A:B,2,FALSE),B3374),PlayerValues!E:E,0)),"N/A")</f>
        <v>15738</v>
      </c>
      <c r="B3374" s="4" t="s">
        <v>634</v>
      </c>
      <c r="C3374" s="4" t="s">
        <v>278</v>
      </c>
      <c r="D3374" s="94">
        <v>1322.0</v>
      </c>
    </row>
    <row r="3375">
      <c r="A3375" s="40">
        <f t="array" ref="A3375">IFNA(index(PlayerValues!A:A,match(IFNA(vlookup(B3375,'Special Names'!A:B,2,FALSE),B3375),PlayerValues!E:E,0)),"N/A")</f>
        <v>16183</v>
      </c>
      <c r="B3375" s="4" t="s">
        <v>678</v>
      </c>
      <c r="C3375" s="4" t="s">
        <v>287</v>
      </c>
      <c r="D3375" s="94">
        <v>1303.0</v>
      </c>
    </row>
    <row r="3376">
      <c r="A3376" s="40">
        <f t="array" ref="A3376">IFNA(index(PlayerValues!A:A,match(IFNA(vlookup(B3376,'Special Names'!A:B,2,FALSE),B3376),PlayerValues!E:E,0)),"N/A")</f>
        <v>14095</v>
      </c>
      <c r="B3376" s="4" t="s">
        <v>680</v>
      </c>
      <c r="C3376" s="4" t="s">
        <v>278</v>
      </c>
      <c r="D3376" s="94">
        <v>1296.0</v>
      </c>
    </row>
    <row r="3377">
      <c r="A3377" s="40" t="str">
        <f t="array" ref="A3377">IFNA(index(PlayerValues!A:A,match(IFNA(vlookup(B3377,'Special Names'!A:B,2,FALSE),B3377),PlayerValues!E:E,0)),"N/A")</f>
        <v>N/A</v>
      </c>
      <c r="B3377" s="4" t="s">
        <v>117</v>
      </c>
      <c r="C3377" s="4" t="s">
        <v>325</v>
      </c>
      <c r="D3377" s="94">
        <v>1295.0</v>
      </c>
    </row>
    <row r="3378">
      <c r="A3378" s="40">
        <f t="array" ref="A3378">IFNA(index(PlayerValues!A:A,match(IFNA(vlookup(B3378,'Special Names'!A:B,2,FALSE),B3378),PlayerValues!E:E,0)),"N/A")</f>
        <v>16645</v>
      </c>
      <c r="B3378" s="4" t="s">
        <v>651</v>
      </c>
      <c r="C3378" s="4" t="s">
        <v>298</v>
      </c>
      <c r="D3378" s="94">
        <v>1659.0</v>
      </c>
    </row>
    <row r="3379">
      <c r="A3379" s="40">
        <f t="array" ref="A3379">IFNA(index(PlayerValues!A:A,match(IFNA(vlookup(B3379,'Special Names'!A:B,2,FALSE),B3379),PlayerValues!E:E,0)),"N/A")</f>
        <v>15288</v>
      </c>
      <c r="B3379" s="4" t="s">
        <v>700</v>
      </c>
      <c r="C3379" s="4" t="s">
        <v>287</v>
      </c>
      <c r="D3379" s="94">
        <v>1287.0</v>
      </c>
    </row>
    <row r="3380">
      <c r="A3380" s="40">
        <f t="array" ref="A3380">IFNA(index(PlayerValues!A:A,match(IFNA(vlookup(B3380,'Special Names'!A:B,2,FALSE),B3380),PlayerValues!E:E,0)),"N/A")</f>
        <v>15702</v>
      </c>
      <c r="B3380" s="4" t="s">
        <v>723</v>
      </c>
      <c r="C3380" s="4" t="s">
        <v>283</v>
      </c>
      <c r="D3380" s="94">
        <v>1270.0</v>
      </c>
    </row>
    <row r="3381">
      <c r="A3381" s="40">
        <f t="array" ref="A3381">IFNA(index(PlayerValues!A:A,match(IFNA(vlookup(B3381,'Special Names'!A:B,2,FALSE),B3381),PlayerValues!E:E,0)),"N/A")</f>
        <v>14108</v>
      </c>
      <c r="B3381" s="4" t="s">
        <v>673</v>
      </c>
      <c r="C3381" s="4" t="s">
        <v>287</v>
      </c>
      <c r="D3381" s="94">
        <v>1265.0</v>
      </c>
    </row>
    <row r="3382">
      <c r="A3382" s="40">
        <f t="array" ref="A3382">IFNA(index(PlayerValues!A:A,match(IFNA(vlookup(B3382,'Special Names'!A:B,2,FALSE),B3382),PlayerValues!E:E,0)),"N/A")</f>
        <v>14592</v>
      </c>
      <c r="B3382" s="4" t="s">
        <v>705</v>
      </c>
      <c r="C3382" s="4" t="s">
        <v>287</v>
      </c>
      <c r="D3382" s="94">
        <v>1257.0</v>
      </c>
    </row>
    <row r="3383">
      <c r="A3383" s="40">
        <f t="array" ref="A3383">IFNA(index(PlayerValues!A:A,match(IFNA(vlookup(B3383,'Special Names'!A:B,2,FALSE),B3383),PlayerValues!E:E,0)),"N/A")</f>
        <v>17097</v>
      </c>
      <c r="B3383" s="4" t="s">
        <v>659</v>
      </c>
      <c r="C3383" s="4" t="s">
        <v>287</v>
      </c>
      <c r="D3383" s="94">
        <v>1256.0</v>
      </c>
    </row>
    <row r="3384">
      <c r="A3384" s="40">
        <f t="array" ref="A3384">IFNA(index(PlayerValues!A:A,match(IFNA(vlookup(B3384,'Special Names'!A:B,2,FALSE),B3384),PlayerValues!E:E,0)),"N/A")</f>
        <v>16333</v>
      </c>
      <c r="B3384" s="4" t="s">
        <v>711</v>
      </c>
      <c r="C3384" s="4" t="s">
        <v>298</v>
      </c>
      <c r="D3384" s="94">
        <v>1621.0</v>
      </c>
    </row>
    <row r="3385">
      <c r="A3385" s="40">
        <f t="array" ref="A3385">IFNA(index(PlayerValues!A:A,match(IFNA(vlookup(B3385,'Special Names'!A:B,2,FALSE),B3385),PlayerValues!E:E,0)),"N/A")</f>
        <v>16221</v>
      </c>
      <c r="B3385" s="4" t="s">
        <v>725</v>
      </c>
      <c r="C3385" s="4" t="s">
        <v>298</v>
      </c>
      <c r="D3385" s="94">
        <v>1620.0</v>
      </c>
    </row>
    <row r="3386">
      <c r="A3386" s="40">
        <f t="array" ref="A3386">IFNA(index(PlayerValues!A:A,match(IFNA(vlookup(B3386,'Special Names'!A:B,2,FALSE),B3386),PlayerValues!E:E,0)),"N/A")</f>
        <v>17063</v>
      </c>
      <c r="B3386" s="4" t="s">
        <v>686</v>
      </c>
      <c r="C3386" s="4" t="s">
        <v>278</v>
      </c>
      <c r="D3386" s="94">
        <v>1251.0</v>
      </c>
    </row>
    <row r="3387">
      <c r="A3387" s="40">
        <f t="array" ref="A3387">IFNA(index(PlayerValues!A:A,match(IFNA(vlookup(B3387,'Special Names'!A:B,2,FALSE),B3387),PlayerValues!E:E,0)),"N/A")</f>
        <v>16636</v>
      </c>
      <c r="B3387" s="4" t="s">
        <v>699</v>
      </c>
      <c r="C3387" s="4" t="s">
        <v>287</v>
      </c>
      <c r="D3387" s="94">
        <v>1248.0</v>
      </c>
    </row>
    <row r="3388">
      <c r="A3388" s="40">
        <f t="array" ref="A3388">IFNA(index(PlayerValues!A:A,match(IFNA(vlookup(B3388,'Special Names'!A:B,2,FALSE),B3388),PlayerValues!E:E,0)),"N/A")</f>
        <v>14789</v>
      </c>
      <c r="B3388" s="4" t="s">
        <v>721</v>
      </c>
      <c r="C3388" s="4" t="s">
        <v>283</v>
      </c>
      <c r="D3388" s="94">
        <v>1243.0</v>
      </c>
    </row>
    <row r="3389">
      <c r="A3389" s="40">
        <f t="array" ref="A3389">IFNA(index(PlayerValues!A:A,match(IFNA(vlookup(B3389,'Special Names'!A:B,2,FALSE),B3389),PlayerValues!E:E,0)),"N/A")</f>
        <v>16883</v>
      </c>
      <c r="B3389" s="4" t="s">
        <v>683</v>
      </c>
      <c r="C3389" s="4" t="s">
        <v>287</v>
      </c>
      <c r="D3389" s="94">
        <v>1233.0</v>
      </c>
    </row>
    <row r="3390">
      <c r="A3390" s="40">
        <f t="array" ref="A3390">IFNA(index(PlayerValues!A:A,match(IFNA(vlookup(B3390,'Special Names'!A:B,2,FALSE),B3390),PlayerValues!E:E,0)),"N/A")</f>
        <v>15727</v>
      </c>
      <c r="B3390" s="4" t="s">
        <v>730</v>
      </c>
      <c r="C3390" s="4" t="s">
        <v>278</v>
      </c>
      <c r="D3390" s="94">
        <v>1230.0</v>
      </c>
    </row>
    <row r="3391">
      <c r="A3391" s="40">
        <f t="array" ref="A3391">IFNA(index(PlayerValues!A:A,match(IFNA(vlookup(B3391,'Special Names'!A:B,2,FALSE),B3391),PlayerValues!E:E,0)),"N/A")</f>
        <v>16199</v>
      </c>
      <c r="B3391" s="4" t="s">
        <v>687</v>
      </c>
      <c r="C3391" s="4" t="s">
        <v>287</v>
      </c>
      <c r="D3391" s="94">
        <v>1226.0</v>
      </c>
    </row>
    <row r="3392">
      <c r="A3392" s="40">
        <f t="array" ref="A3392">IFNA(index(PlayerValues!A:A,match(IFNA(vlookup(B3392,'Special Names'!A:B,2,FALSE),B3392),PlayerValues!E:E,0)),"N/A")</f>
        <v>15981</v>
      </c>
      <c r="B3392" s="4" t="s">
        <v>729</v>
      </c>
      <c r="C3392" s="4" t="s">
        <v>287</v>
      </c>
      <c r="D3392" s="94">
        <v>1223.0</v>
      </c>
    </row>
    <row r="3393">
      <c r="A3393" s="40">
        <f t="array" ref="A3393">IFNA(index(PlayerValues!A:A,match(IFNA(vlookup(B3393,'Special Names'!A:B,2,FALSE),B3393),PlayerValues!E:E,0)),"N/A")</f>
        <v>9064</v>
      </c>
      <c r="B3393" s="4" t="s">
        <v>761</v>
      </c>
      <c r="C3393" s="4" t="s">
        <v>283</v>
      </c>
      <c r="D3393" s="94">
        <v>1218.0</v>
      </c>
    </row>
    <row r="3394">
      <c r="A3394" s="40">
        <f t="array" ref="A3394">IFNA(index(PlayerValues!A:A,match(IFNA(vlookup(B3394,'Special Names'!A:B,2,FALSE),B3394),PlayerValues!E:E,0)),"N/A")</f>
        <v>17057</v>
      </c>
      <c r="B3394" s="4" t="s">
        <v>708</v>
      </c>
      <c r="C3394" s="4" t="s">
        <v>278</v>
      </c>
      <c r="D3394" s="94">
        <v>1205.0</v>
      </c>
    </row>
    <row r="3395">
      <c r="A3395" s="40">
        <f t="array" ref="A3395">IFNA(index(PlayerValues!A:A,match(IFNA(vlookup(B3395,'Special Names'!A:B,2,FALSE),B3395),PlayerValues!E:E,0)),"N/A")</f>
        <v>13193</v>
      </c>
      <c r="B3395" s="4" t="s">
        <v>773</v>
      </c>
      <c r="C3395" s="4" t="s">
        <v>298</v>
      </c>
      <c r="D3395" s="94">
        <v>1568.0</v>
      </c>
    </row>
    <row r="3396">
      <c r="A3396" s="40">
        <f t="array" ref="A3396">IFNA(index(PlayerValues!A:A,match(IFNA(vlookup(B3396,'Special Names'!A:B,2,FALSE),B3396),PlayerValues!E:E,0)),"N/A")</f>
        <v>13131</v>
      </c>
      <c r="B3396" s="4" t="s">
        <v>815</v>
      </c>
      <c r="C3396" s="4" t="s">
        <v>278</v>
      </c>
      <c r="D3396" s="94">
        <v>1195.0</v>
      </c>
    </row>
    <row r="3397">
      <c r="A3397" s="40">
        <f t="array" ref="A3397">IFNA(index(PlayerValues!A:A,match(IFNA(vlookup(B3397,'Special Names'!A:B,2,FALSE),B3397),PlayerValues!E:E,0)),"N/A")</f>
        <v>16385</v>
      </c>
      <c r="B3397" s="4" t="s">
        <v>690</v>
      </c>
      <c r="C3397" s="4" t="s">
        <v>278</v>
      </c>
      <c r="D3397" s="94">
        <v>1193.0</v>
      </c>
    </row>
    <row r="3398">
      <c r="A3398" s="40">
        <f t="array" ref="A3398">IFNA(index(PlayerValues!A:A,match(IFNA(vlookup(B3398,'Special Names'!A:B,2,FALSE),B3398),PlayerValues!E:E,0)),"N/A")</f>
        <v>15240</v>
      </c>
      <c r="B3398" s="4" t="s">
        <v>751</v>
      </c>
      <c r="C3398" s="4" t="s">
        <v>283</v>
      </c>
      <c r="D3398" s="94">
        <v>1183.0</v>
      </c>
    </row>
    <row r="3399">
      <c r="A3399" s="40">
        <f t="array" ref="A3399">IFNA(index(PlayerValues!A:A,match(IFNA(vlookup(B3399,'Special Names'!A:B,2,FALSE),B3399),PlayerValues!E:E,0)),"N/A")</f>
        <v>13289</v>
      </c>
      <c r="B3399" s="4" t="s">
        <v>746</v>
      </c>
      <c r="C3399" s="4" t="s">
        <v>287</v>
      </c>
      <c r="D3399" s="94">
        <v>1180.0</v>
      </c>
    </row>
    <row r="3400">
      <c r="A3400" s="40">
        <f t="array" ref="A3400">IFNA(index(PlayerValues!A:A,match(IFNA(vlookup(B3400,'Special Names'!A:B,2,FALSE),B3400),PlayerValues!E:E,0)),"N/A")</f>
        <v>17109</v>
      </c>
      <c r="B3400" s="4" t="s">
        <v>707</v>
      </c>
      <c r="C3400" s="4" t="s">
        <v>298</v>
      </c>
      <c r="D3400" s="94">
        <v>1541.0</v>
      </c>
    </row>
    <row r="3401">
      <c r="A3401" s="40">
        <f t="array" ref="A3401">IFNA(index(PlayerValues!A:A,match(IFNA(vlookup(B3401,'Special Names'!A:B,2,FALSE),B3401),PlayerValues!E:E,0)),"N/A")</f>
        <v>15692</v>
      </c>
      <c r="B3401" s="4" t="s">
        <v>750</v>
      </c>
      <c r="C3401" s="4" t="s">
        <v>283</v>
      </c>
      <c r="D3401" s="94">
        <v>1159.0</v>
      </c>
    </row>
    <row r="3402">
      <c r="A3402" s="40">
        <f t="array" ref="A3402">IFNA(index(PlayerValues!A:A,match(IFNA(vlookup(B3402,'Special Names'!A:B,2,FALSE),B3402),PlayerValues!E:E,0)),"N/A")</f>
        <v>16387</v>
      </c>
      <c r="B3402" s="4" t="s">
        <v>646</v>
      </c>
      <c r="C3402" s="4" t="s">
        <v>278</v>
      </c>
      <c r="D3402" s="94">
        <v>1158.0</v>
      </c>
    </row>
    <row r="3403">
      <c r="A3403" s="40">
        <f t="array" ref="A3403">IFNA(index(PlayerValues!A:A,match(IFNA(vlookup(B3403,'Special Names'!A:B,2,FALSE),B3403),PlayerValues!E:E,0)),"N/A")</f>
        <v>17546</v>
      </c>
      <c r="B3403" s="4" t="s">
        <v>671</v>
      </c>
      <c r="C3403" s="4" t="s">
        <v>298</v>
      </c>
      <c r="D3403" s="94">
        <v>1522.0</v>
      </c>
    </row>
    <row r="3404">
      <c r="A3404" s="40">
        <f t="array" ref="A3404">IFNA(index(PlayerValues!A:A,match(IFNA(vlookup(B3404,'Special Names'!A:B,2,FALSE),B3404),PlayerValues!E:E,0)),"N/A")</f>
        <v>14067</v>
      </c>
      <c r="B3404" s="4" t="s">
        <v>735</v>
      </c>
      <c r="C3404" s="4" t="s">
        <v>283</v>
      </c>
      <c r="D3404" s="94">
        <v>1153.0</v>
      </c>
    </row>
    <row r="3405">
      <c r="A3405" s="40">
        <f t="array" ref="A3405">IFNA(index(PlayerValues!A:A,match(IFNA(vlookup(B3405,'Special Names'!A:B,2,FALSE),B3405),PlayerValues!E:E,0)),"N/A")</f>
        <v>15730</v>
      </c>
      <c r="B3405" s="4" t="s">
        <v>734</v>
      </c>
      <c r="C3405" s="4" t="s">
        <v>278</v>
      </c>
      <c r="D3405" s="94">
        <v>1153.0</v>
      </c>
    </row>
    <row r="3406">
      <c r="A3406" s="40">
        <f t="array" ref="A3406">IFNA(index(PlayerValues!A:A,match(IFNA(vlookup(B3406,'Special Names'!A:B,2,FALSE),B3406),PlayerValues!E:E,0)),"N/A")</f>
        <v>16393</v>
      </c>
      <c r="B3406" s="4" t="s">
        <v>768</v>
      </c>
      <c r="C3406" s="4" t="s">
        <v>287</v>
      </c>
      <c r="D3406" s="94">
        <v>1152.0</v>
      </c>
    </row>
    <row r="3407">
      <c r="A3407" s="40">
        <f t="array" ref="A3407">IFNA(index(PlayerValues!A:A,match(IFNA(vlookup(B3407,'Special Names'!A:B,2,FALSE),B3407),PlayerValues!E:E,0)),"N/A")</f>
        <v>16746</v>
      </c>
      <c r="B3407" s="4" t="s">
        <v>709</v>
      </c>
      <c r="C3407" s="4" t="s">
        <v>278</v>
      </c>
      <c r="D3407" s="94">
        <v>1149.0</v>
      </c>
    </row>
    <row r="3408">
      <c r="A3408" s="40">
        <f t="array" ref="A3408">IFNA(index(PlayerValues!A:A,match(IFNA(vlookup(B3408,'Special Names'!A:B,2,FALSE),B3408),PlayerValues!E:E,0)),"N/A")</f>
        <v>14845</v>
      </c>
      <c r="B3408" s="4" t="s">
        <v>717</v>
      </c>
      <c r="C3408" s="4" t="s">
        <v>287</v>
      </c>
      <c r="D3408" s="94">
        <v>1138.0</v>
      </c>
    </row>
    <row r="3409">
      <c r="A3409" s="40">
        <f t="array" ref="A3409">IFNA(index(PlayerValues!A:A,match(IFNA(vlookup(B3409,'Special Names'!A:B,2,FALSE),B3409),PlayerValues!E:E,0)),"N/A")</f>
        <v>17050</v>
      </c>
      <c r="B3409" s="4" t="s">
        <v>713</v>
      </c>
      <c r="C3409" s="4" t="s">
        <v>278</v>
      </c>
      <c r="D3409" s="94">
        <v>1137.0</v>
      </c>
    </row>
    <row r="3410">
      <c r="A3410" s="40">
        <f t="array" ref="A3410">IFNA(index(PlayerValues!A:A,match(IFNA(vlookup(B3410,'Special Names'!A:B,2,FALSE),B3410),PlayerValues!E:E,0)),"N/A")</f>
        <v>15258</v>
      </c>
      <c r="B3410" s="4" t="s">
        <v>757</v>
      </c>
      <c r="C3410" s="4" t="s">
        <v>278</v>
      </c>
      <c r="D3410" s="94">
        <v>1133.0</v>
      </c>
    </row>
    <row r="3411">
      <c r="A3411" s="40">
        <f t="array" ref="A3411">IFNA(index(PlayerValues!A:A,match(IFNA(vlookup(B3411,'Special Names'!A:B,2,FALSE),B3411),PlayerValues!E:E,0)),"N/A")</f>
        <v>16640</v>
      </c>
      <c r="B3411" s="4" t="s">
        <v>712</v>
      </c>
      <c r="C3411" s="4" t="s">
        <v>287</v>
      </c>
      <c r="D3411" s="94">
        <v>1122.0</v>
      </c>
    </row>
    <row r="3412">
      <c r="A3412" s="40">
        <f t="array" ref="A3412">IFNA(index(PlayerValues!A:A,match(IFNA(vlookup(B3412,'Special Names'!A:B,2,FALSE),B3412),PlayerValues!E:E,0)),"N/A")</f>
        <v>15239</v>
      </c>
      <c r="B3412" s="4" t="s">
        <v>802</v>
      </c>
      <c r="C3412" s="4" t="s">
        <v>283</v>
      </c>
      <c r="D3412" s="94">
        <v>1120.0</v>
      </c>
    </row>
    <row r="3413">
      <c r="A3413" s="40">
        <f t="array" ref="A3413">IFNA(index(PlayerValues!A:A,match(IFNA(vlookup(B3413,'Special Names'!A:B,2,FALSE),B3413),PlayerValues!E:E,0)),"N/A")</f>
        <v>16637</v>
      </c>
      <c r="B3413" s="4" t="s">
        <v>736</v>
      </c>
      <c r="C3413" s="4" t="s">
        <v>287</v>
      </c>
      <c r="D3413" s="94">
        <v>1115.0</v>
      </c>
    </row>
    <row r="3414">
      <c r="A3414" s="40">
        <f t="array" ref="A3414">IFNA(index(PlayerValues!A:A,match(IFNA(vlookup(B3414,'Special Names'!A:B,2,FALSE),B3414),PlayerValues!E:E,0)),"N/A")</f>
        <v>11247</v>
      </c>
      <c r="B3414" s="4" t="s">
        <v>816</v>
      </c>
      <c r="C3414" s="4" t="s">
        <v>298</v>
      </c>
      <c r="D3414" s="94">
        <v>1482.0</v>
      </c>
    </row>
    <row r="3415">
      <c r="A3415" s="40">
        <f t="array" ref="A3415">IFNA(index(PlayerValues!A:A,match(IFNA(vlookup(B3415,'Special Names'!A:B,2,FALSE),B3415),PlayerValues!E:E,0)),"N/A")</f>
        <v>15785</v>
      </c>
      <c r="B3415" s="4" t="s">
        <v>763</v>
      </c>
      <c r="C3415" s="4" t="s">
        <v>287</v>
      </c>
      <c r="D3415" s="94">
        <v>1107.0</v>
      </c>
    </row>
    <row r="3416">
      <c r="A3416" s="40">
        <f t="array" ref="A3416">IFNA(index(PlayerValues!A:A,match(IFNA(vlookup(B3416,'Special Names'!A:B,2,FALSE),B3416),PlayerValues!E:E,0)),"N/A")</f>
        <v>17192</v>
      </c>
      <c r="B3416" s="4" t="s">
        <v>677</v>
      </c>
      <c r="C3416" s="4" t="s">
        <v>287</v>
      </c>
      <c r="D3416" s="94">
        <v>1097.0</v>
      </c>
    </row>
    <row r="3417">
      <c r="A3417" s="40">
        <f t="array" ref="A3417">IFNA(index(PlayerValues!A:A,match(IFNA(vlookup(B3417,'Special Names'!A:B,2,FALSE),B3417),PlayerValues!E:E,0)),"N/A")</f>
        <v>16197</v>
      </c>
      <c r="B3417" s="4" t="s">
        <v>726</v>
      </c>
      <c r="C3417" s="4" t="s">
        <v>287</v>
      </c>
      <c r="D3417" s="94">
        <v>1080.0</v>
      </c>
    </row>
    <row r="3418">
      <c r="A3418" s="40">
        <f t="array" ref="A3418">IFNA(index(PlayerValues!A:A,match(IFNA(vlookup(B3418,'Special Names'!A:B,2,FALSE),B3418),PlayerValues!E:E,0)),"N/A")</f>
        <v>15693</v>
      </c>
      <c r="B3418" s="4" t="s">
        <v>755</v>
      </c>
      <c r="C3418" s="4" t="s">
        <v>283</v>
      </c>
      <c r="D3418" s="94">
        <v>1074.0</v>
      </c>
    </row>
    <row r="3419">
      <c r="A3419" s="40">
        <f t="array" ref="A3419">IFNA(index(PlayerValues!A:A,match(IFNA(vlookup(B3419,'Special Names'!A:B,2,FALSE),B3419),PlayerValues!E:E,0)),"N/A")</f>
        <v>16451</v>
      </c>
      <c r="B3419" s="4" t="s">
        <v>769</v>
      </c>
      <c r="C3419" s="4" t="s">
        <v>287</v>
      </c>
      <c r="D3419" s="94">
        <v>1073.0</v>
      </c>
    </row>
    <row r="3420">
      <c r="A3420" s="40">
        <f t="array" ref="A3420">IFNA(index(PlayerValues!A:A,match(IFNA(vlookup(B3420,'Special Names'!A:B,2,FALSE),B3420),PlayerValues!E:E,0)),"N/A")</f>
        <v>15718</v>
      </c>
      <c r="B3420" s="4" t="s">
        <v>753</v>
      </c>
      <c r="C3420" s="4" t="s">
        <v>278</v>
      </c>
      <c r="D3420" s="94">
        <v>1053.0</v>
      </c>
    </row>
    <row r="3421">
      <c r="A3421" s="40">
        <f t="array" ref="A3421">IFNA(index(PlayerValues!A:A,match(IFNA(vlookup(B3421,'Special Names'!A:B,2,FALSE),B3421),PlayerValues!E:E,0)),"N/A")</f>
        <v>16678</v>
      </c>
      <c r="B3421" s="4" t="s">
        <v>758</v>
      </c>
      <c r="C3421" s="4" t="s">
        <v>278</v>
      </c>
      <c r="D3421" s="94">
        <v>1053.0</v>
      </c>
    </row>
    <row r="3422">
      <c r="A3422" s="40">
        <f t="array" ref="A3422">IFNA(index(PlayerValues!A:A,match(IFNA(vlookup(B3422,'Special Names'!A:B,2,FALSE),B3422),PlayerValues!E:E,0)),"N/A")</f>
        <v>16168</v>
      </c>
      <c r="B3422" s="4" t="s">
        <v>738</v>
      </c>
      <c r="C3422" s="4" t="s">
        <v>278</v>
      </c>
      <c r="D3422" s="94">
        <v>1046.0</v>
      </c>
    </row>
    <row r="3423">
      <c r="A3423" s="40">
        <f t="array" ref="A3423">IFNA(index(PlayerValues!A:A,match(IFNA(vlookup(B3423,'Special Names'!A:B,2,FALSE),B3423),PlayerValues!E:E,0)),"N/A")</f>
        <v>14118</v>
      </c>
      <c r="B3423" s="4" t="s">
        <v>771</v>
      </c>
      <c r="C3423" s="4" t="s">
        <v>287</v>
      </c>
      <c r="D3423" s="94">
        <v>1045.0</v>
      </c>
    </row>
    <row r="3424">
      <c r="A3424" s="40">
        <f t="array" ref="A3424">IFNA(index(PlayerValues!A:A,match(IFNA(vlookup(B3424,'Special Names'!A:B,2,FALSE),B3424),PlayerValues!E:E,0)),"N/A")</f>
        <v>17175</v>
      </c>
      <c r="B3424" s="4" t="s">
        <v>747</v>
      </c>
      <c r="C3424" s="4" t="s">
        <v>287</v>
      </c>
      <c r="D3424" s="94">
        <v>1043.0</v>
      </c>
    </row>
    <row r="3425">
      <c r="A3425" s="40">
        <f t="array" ref="A3425">IFNA(index(PlayerValues!A:A,match(IFNA(vlookup(B3425,'Special Names'!A:B,2,FALSE),B3425),PlayerValues!E:E,0)),"N/A")</f>
        <v>15795</v>
      </c>
      <c r="B3425" s="4" t="s">
        <v>669</v>
      </c>
      <c r="C3425" s="4" t="s">
        <v>298</v>
      </c>
      <c r="D3425" s="94">
        <v>1406.0</v>
      </c>
    </row>
    <row r="3426">
      <c r="A3426" s="40">
        <f t="array" ref="A3426">IFNA(index(PlayerValues!A:A,match(IFNA(vlookup(B3426,'Special Names'!A:B,2,FALSE),B3426),PlayerValues!E:E,0)),"N/A")</f>
        <v>13138</v>
      </c>
      <c r="B3426" s="4" t="s">
        <v>817</v>
      </c>
      <c r="C3426" s="4" t="s">
        <v>278</v>
      </c>
      <c r="D3426" s="94">
        <v>1039.0</v>
      </c>
    </row>
    <row r="3427">
      <c r="A3427" s="40">
        <f t="array" ref="A3427">IFNA(index(PlayerValues!A:A,match(IFNA(vlookup(B3427,'Special Names'!A:B,2,FALSE),B3427),PlayerValues!E:E,0)),"N/A")</f>
        <v>16858</v>
      </c>
      <c r="B3427" s="4" t="s">
        <v>754</v>
      </c>
      <c r="C3427" s="4" t="s">
        <v>287</v>
      </c>
      <c r="D3427" s="94">
        <v>1037.0</v>
      </c>
    </row>
    <row r="3428">
      <c r="A3428" s="40">
        <f t="array" ref="A3428">IFNA(index(PlayerValues!A:A,match(IFNA(vlookup(B3428,'Special Names'!A:B,2,FALSE),B3428),PlayerValues!E:E,0)),"N/A")</f>
        <v>15717</v>
      </c>
      <c r="B3428" s="4" t="s">
        <v>745</v>
      </c>
      <c r="C3428" s="4" t="s">
        <v>278</v>
      </c>
      <c r="D3428" s="94">
        <v>1035.0</v>
      </c>
    </row>
    <row r="3429">
      <c r="A3429" s="40">
        <f t="array" ref="A3429">IFNA(index(PlayerValues!A:A,match(IFNA(vlookup(B3429,'Special Names'!A:B,2,FALSE),B3429),PlayerValues!E:E,0)),"N/A")</f>
        <v>16648</v>
      </c>
      <c r="B3429" s="4" t="s">
        <v>748</v>
      </c>
      <c r="C3429" s="4" t="s">
        <v>298</v>
      </c>
      <c r="D3429" s="94">
        <v>1399.0</v>
      </c>
    </row>
    <row r="3430">
      <c r="A3430" s="40">
        <f t="array" ref="A3430">IFNA(index(PlayerValues!A:A,match(IFNA(vlookup(B3430,'Special Names'!A:B,2,FALSE),B3430),PlayerValues!E:E,0)),"N/A")</f>
        <v>15330</v>
      </c>
      <c r="B3430" s="4" t="s">
        <v>749</v>
      </c>
      <c r="C3430" s="4" t="s">
        <v>298</v>
      </c>
      <c r="D3430" s="94">
        <v>1397.0</v>
      </c>
    </row>
    <row r="3431">
      <c r="A3431" s="40">
        <f t="array" ref="A3431">IFNA(index(PlayerValues!A:A,match(IFNA(vlookup(B3431,'Special Names'!A:B,2,FALSE),B3431),PlayerValues!E:E,0)),"N/A")</f>
        <v>15626</v>
      </c>
      <c r="B3431" s="4" t="s">
        <v>766</v>
      </c>
      <c r="C3431" s="4" t="s">
        <v>298</v>
      </c>
      <c r="D3431" s="94">
        <v>1393.0</v>
      </c>
    </row>
    <row r="3432">
      <c r="A3432" s="40">
        <f t="array" ref="A3432">IFNA(index(PlayerValues!A:A,match(IFNA(vlookup(B3432,'Special Names'!A:B,2,FALSE),B3432),PlayerValues!E:E,0)),"N/A")</f>
        <v>14057</v>
      </c>
      <c r="B3432" s="4" t="s">
        <v>765</v>
      </c>
      <c r="C3432" s="4" t="s">
        <v>283</v>
      </c>
      <c r="D3432" s="94">
        <v>1021.0</v>
      </c>
    </row>
    <row r="3433">
      <c r="A3433" s="40">
        <f t="array" ref="A3433">IFNA(index(PlayerValues!A:A,match(IFNA(vlookup(B3433,'Special Names'!A:B,2,FALSE),B3433),PlayerValues!E:E,0)),"N/A")</f>
        <v>16205</v>
      </c>
      <c r="B3433" s="4" t="s">
        <v>742</v>
      </c>
      <c r="C3433" s="4" t="s">
        <v>287</v>
      </c>
      <c r="D3433" s="94">
        <v>1016.0</v>
      </c>
    </row>
    <row r="3434">
      <c r="A3434" s="40">
        <f t="array" ref="A3434">IFNA(index(PlayerValues!A:A,match(IFNA(vlookup(B3434,'Special Names'!A:B,2,FALSE),B3434),PlayerValues!E:E,0)),"N/A")</f>
        <v>16170</v>
      </c>
      <c r="B3434" s="4" t="s">
        <v>801</v>
      </c>
      <c r="C3434" s="4" t="s">
        <v>278</v>
      </c>
      <c r="D3434" s="94">
        <v>1009.0</v>
      </c>
    </row>
    <row r="3435">
      <c r="A3435" s="40">
        <f t="array" ref="A3435">IFNA(index(PlayerValues!A:A,match(IFNA(vlookup(B3435,'Special Names'!A:B,2,FALSE),B3435),PlayerValues!E:E,0)),"N/A")</f>
        <v>15720</v>
      </c>
      <c r="B3435" s="4" t="s">
        <v>795</v>
      </c>
      <c r="C3435" s="4" t="s">
        <v>278</v>
      </c>
      <c r="D3435" s="94">
        <v>1005.0</v>
      </c>
    </row>
    <row r="3436">
      <c r="A3436" s="40">
        <f t="array" ref="A3436">IFNA(index(PlayerValues!A:A,match(IFNA(vlookup(B3436,'Special Names'!A:B,2,FALSE),B3436),PlayerValues!E:E,0)),"N/A")</f>
        <v>15109</v>
      </c>
      <c r="B3436" s="4" t="s">
        <v>728</v>
      </c>
      <c r="C3436" s="4" t="s">
        <v>287</v>
      </c>
      <c r="D3436" s="94">
        <v>1001.0</v>
      </c>
    </row>
    <row r="3437">
      <c r="A3437" s="40">
        <f t="array" ref="A3437">IFNA(index(PlayerValues!A:A,match(IFNA(vlookup(B3437,'Special Names'!A:B,2,FALSE),B3437),PlayerValues!E:E,0)),"N/A")</f>
        <v>15766</v>
      </c>
      <c r="B3437" s="4" t="s">
        <v>759</v>
      </c>
      <c r="C3437" s="4" t="s">
        <v>287</v>
      </c>
      <c r="D3437" s="94">
        <v>988.0</v>
      </c>
    </row>
    <row r="3438">
      <c r="A3438" s="40">
        <f t="array" ref="A3438">IFNA(index(PlayerValues!A:A,match(IFNA(vlookup(B3438,'Special Names'!A:B,2,FALSE),B3438),PlayerValues!E:E,0)),"N/A")</f>
        <v>16219</v>
      </c>
      <c r="B3438" s="4" t="s">
        <v>739</v>
      </c>
      <c r="C3438" s="4" t="s">
        <v>298</v>
      </c>
      <c r="D3438" s="94">
        <v>1351.0</v>
      </c>
    </row>
    <row r="3439">
      <c r="A3439" s="40">
        <f t="array" ref="A3439">IFNA(index(PlayerValues!A:A,match(IFNA(vlookup(B3439,'Special Names'!A:B,2,FALSE),B3439),PlayerValues!E:E,0)),"N/A")</f>
        <v>12263</v>
      </c>
      <c r="B3439" s="4" t="s">
        <v>697</v>
      </c>
      <c r="C3439" s="4" t="s">
        <v>298</v>
      </c>
      <c r="D3439" s="94">
        <v>1348.0</v>
      </c>
    </row>
    <row r="3440">
      <c r="A3440" s="40">
        <f t="array" ref="A3440">IFNA(index(PlayerValues!A:A,match(IFNA(vlookup(B3440,'Special Names'!A:B,2,FALSE),B3440),PlayerValues!E:E,0)),"N/A")</f>
        <v>17466</v>
      </c>
      <c r="B3440" s="4" t="s">
        <v>492</v>
      </c>
      <c r="C3440" s="4" t="s">
        <v>283</v>
      </c>
      <c r="D3440" s="94">
        <v>970.0</v>
      </c>
    </row>
    <row r="3441">
      <c r="A3441" s="40">
        <f t="array" ref="A3441">IFNA(index(PlayerValues!A:A,match(IFNA(vlookup(B3441,'Special Names'!A:B,2,FALSE),B3441),PlayerValues!E:E,0)),"N/A")</f>
        <v>16176</v>
      </c>
      <c r="B3441" s="4" t="s">
        <v>812</v>
      </c>
      <c r="C3441" s="4" t="s">
        <v>278</v>
      </c>
      <c r="D3441" s="94">
        <v>967.0</v>
      </c>
    </row>
    <row r="3442">
      <c r="A3442" s="40">
        <f t="array" ref="A3442">IFNA(index(PlayerValues!A:A,match(IFNA(vlookup(B3442,'Special Names'!A:B,2,FALSE),B3442),PlayerValues!E:E,0)),"N/A")</f>
        <v>16416</v>
      </c>
      <c r="B3442" s="4" t="s">
        <v>752</v>
      </c>
      <c r="C3442" s="4" t="s">
        <v>287</v>
      </c>
      <c r="D3442" s="94">
        <v>966.0</v>
      </c>
    </row>
    <row r="3443">
      <c r="A3443" s="40">
        <f t="array" ref="A3443">IFNA(index(PlayerValues!A:A,match(IFNA(vlookup(B3443,'Special Names'!A:B,2,FALSE),B3443),PlayerValues!E:E,0)),"N/A")</f>
        <v>14799</v>
      </c>
      <c r="B3443" s="4" t="s">
        <v>829</v>
      </c>
      <c r="C3443" s="4" t="s">
        <v>278</v>
      </c>
      <c r="D3443" s="94">
        <v>965.0</v>
      </c>
    </row>
    <row r="3444">
      <c r="A3444" s="40">
        <f t="array" ref="A3444">IFNA(index(PlayerValues!A:A,match(IFNA(vlookup(B3444,'Special Names'!A:B,2,FALSE),B3444),PlayerValues!E:E,0)),"N/A")</f>
        <v>15263</v>
      </c>
      <c r="B3444" s="4" t="s">
        <v>804</v>
      </c>
      <c r="C3444" s="4" t="s">
        <v>278</v>
      </c>
      <c r="D3444" s="94">
        <v>962.0</v>
      </c>
    </row>
    <row r="3445">
      <c r="A3445" s="40">
        <f t="array" ref="A3445">IFNA(index(PlayerValues!A:A,match(IFNA(vlookup(B3445,'Special Names'!A:B,2,FALSE),B3445),PlayerValues!E:E,0)),"N/A")</f>
        <v>17468</v>
      </c>
      <c r="B3445" s="4" t="s">
        <v>514</v>
      </c>
      <c r="C3445" s="4" t="s">
        <v>283</v>
      </c>
      <c r="D3445" s="94">
        <v>959.0</v>
      </c>
    </row>
    <row r="3446">
      <c r="A3446" s="40">
        <f t="array" ref="A3446">IFNA(index(PlayerValues!A:A,match(IFNA(vlookup(B3446,'Special Names'!A:B,2,FALSE),B3446),PlayerValues!E:E,0)),"N/A")</f>
        <v>17479</v>
      </c>
      <c r="B3446" s="4" t="s">
        <v>756</v>
      </c>
      <c r="C3446" s="4" t="s">
        <v>278</v>
      </c>
      <c r="D3446" s="94">
        <v>959.0</v>
      </c>
    </row>
    <row r="3447">
      <c r="A3447" s="40">
        <f t="array" ref="A3447">IFNA(index(PlayerValues!A:A,match(IFNA(vlookup(B3447,'Special Names'!A:B,2,FALSE),B3447),PlayerValues!E:E,0)),"N/A")</f>
        <v>16773</v>
      </c>
      <c r="B3447" s="4" t="s">
        <v>783</v>
      </c>
      <c r="C3447" s="4" t="s">
        <v>278</v>
      </c>
      <c r="D3447" s="94">
        <v>957.0</v>
      </c>
    </row>
    <row r="3448">
      <c r="A3448" s="40">
        <f t="array" ref="A3448">IFNA(index(PlayerValues!A:A,match(IFNA(vlookup(B3448,'Special Names'!A:B,2,FALSE),B3448),PlayerValues!E:E,0)),"N/A")</f>
        <v>14849</v>
      </c>
      <c r="B3448" s="4" t="s">
        <v>733</v>
      </c>
      <c r="C3448" s="4" t="s">
        <v>287</v>
      </c>
      <c r="D3448" s="94">
        <v>956.0</v>
      </c>
    </row>
    <row r="3449">
      <c r="A3449" s="40">
        <f t="array" ref="A3449">IFNA(index(PlayerValues!A:A,match(IFNA(vlookup(B3449,'Special Names'!A:B,2,FALSE),B3449),PlayerValues!E:E,0)),"N/A")</f>
        <v>16751</v>
      </c>
      <c r="B3449" s="4" t="s">
        <v>762</v>
      </c>
      <c r="C3449" s="4" t="s">
        <v>287</v>
      </c>
      <c r="D3449" s="94">
        <v>956.0</v>
      </c>
    </row>
    <row r="3450">
      <c r="A3450" s="40">
        <f t="array" ref="A3450">IFNA(index(PlayerValues!A:A,match(IFNA(vlookup(B3450,'Special Names'!A:B,2,FALSE),B3450),PlayerValues!E:E,0)),"N/A")</f>
        <v>15723</v>
      </c>
      <c r="B3450" s="4" t="s">
        <v>798</v>
      </c>
      <c r="C3450" s="4" t="s">
        <v>278</v>
      </c>
      <c r="D3450" s="94">
        <v>948.0</v>
      </c>
    </row>
    <row r="3451">
      <c r="A3451" s="40">
        <f t="array" ref="A3451">IFNA(index(PlayerValues!A:A,match(IFNA(vlookup(B3451,'Special Names'!A:B,2,FALSE),B3451),PlayerValues!E:E,0)),"N/A")</f>
        <v>16624</v>
      </c>
      <c r="B3451" s="4" t="s">
        <v>796</v>
      </c>
      <c r="C3451" s="4" t="s">
        <v>287</v>
      </c>
      <c r="D3451" s="94">
        <v>945.0</v>
      </c>
    </row>
    <row r="3452">
      <c r="A3452" s="40">
        <f t="array" ref="A3452">IFNA(index(PlayerValues!A:A,match(IFNA(vlookup(B3452,'Special Names'!A:B,2,FALSE),B3452),PlayerValues!E:E,0)),"N/A")</f>
        <v>12785</v>
      </c>
      <c r="B3452" s="4" t="s">
        <v>772</v>
      </c>
      <c r="C3452" s="4" t="s">
        <v>287</v>
      </c>
      <c r="D3452" s="94">
        <v>942.0</v>
      </c>
    </row>
    <row r="3453">
      <c r="A3453" s="40">
        <f t="array" ref="A3453">IFNA(index(PlayerValues!A:A,match(IFNA(vlookup(B3453,'Special Names'!A:B,2,FALSE),B3453),PlayerValues!E:E,0)),"N/A")</f>
        <v>16599</v>
      </c>
      <c r="B3453" s="4" t="s">
        <v>737</v>
      </c>
      <c r="C3453" s="4" t="s">
        <v>278</v>
      </c>
      <c r="D3453" s="94">
        <v>923.0</v>
      </c>
    </row>
    <row r="3454">
      <c r="A3454" s="40">
        <f t="array" ref="A3454">IFNA(index(PlayerValues!A:A,match(IFNA(vlookup(B3454,'Special Names'!A:B,2,FALSE),B3454),PlayerValues!E:E,0)),"N/A")</f>
        <v>16159</v>
      </c>
      <c r="B3454" s="4" t="s">
        <v>819</v>
      </c>
      <c r="C3454" s="4" t="s">
        <v>283</v>
      </c>
      <c r="D3454" s="94">
        <v>921.0</v>
      </c>
    </row>
    <row r="3455">
      <c r="A3455" s="40">
        <f t="array" ref="A3455">IFNA(index(PlayerValues!A:A,match(IFNA(vlookup(B3455,'Special Names'!A:B,2,FALSE),B3455),PlayerValues!E:E,0)),"N/A")</f>
        <v>15804</v>
      </c>
      <c r="B3455" s="4" t="s">
        <v>821</v>
      </c>
      <c r="C3455" s="4" t="s">
        <v>298</v>
      </c>
      <c r="D3455" s="94">
        <v>1284.0</v>
      </c>
    </row>
    <row r="3456">
      <c r="A3456" s="40">
        <f t="array" ref="A3456">IFNA(index(PlayerValues!A:A,match(IFNA(vlookup(B3456,'Special Names'!A:B,2,FALSE),B3456),PlayerValues!E:E,0)),"N/A")</f>
        <v>13595</v>
      </c>
      <c r="B3456" s="4" t="s">
        <v>818</v>
      </c>
      <c r="C3456" s="4" t="s">
        <v>283</v>
      </c>
      <c r="D3456" s="94">
        <v>907.0</v>
      </c>
    </row>
    <row r="3457">
      <c r="A3457" s="40">
        <f t="array" ref="A3457">IFNA(index(PlayerValues!A:A,match(IFNA(vlookup(B3457,'Special Names'!A:B,2,FALSE),B3457),PlayerValues!E:E,0)),"N/A")</f>
        <v>17510</v>
      </c>
      <c r="B3457" s="4" t="s">
        <v>661</v>
      </c>
      <c r="C3457" s="4" t="s">
        <v>287</v>
      </c>
      <c r="D3457" s="94">
        <v>906.0</v>
      </c>
    </row>
    <row r="3458">
      <c r="A3458" s="40">
        <f t="array" ref="A3458">IFNA(index(PlayerValues!A:A,match(IFNA(vlookup(B3458,'Special Names'!A:B,2,FALSE),B3458),PlayerValues!E:E,0)),"N/A")</f>
        <v>15758</v>
      </c>
      <c r="B3458" s="4" t="s">
        <v>724</v>
      </c>
      <c r="C3458" s="4" t="s">
        <v>287</v>
      </c>
      <c r="D3458" s="94">
        <v>902.0</v>
      </c>
    </row>
    <row r="3459">
      <c r="A3459" s="40">
        <f t="array" ref="A3459">IFNA(index(PlayerValues!A:A,match(IFNA(vlookup(B3459,'Special Names'!A:B,2,FALSE),B3459),PlayerValues!E:E,0)),"N/A")</f>
        <v>16686</v>
      </c>
      <c r="B3459" s="4" t="s">
        <v>805</v>
      </c>
      <c r="C3459" s="4" t="s">
        <v>287</v>
      </c>
      <c r="D3459" s="94">
        <v>897.0</v>
      </c>
    </row>
    <row r="3460">
      <c r="A3460" s="40">
        <f t="array" ref="A3460">IFNA(index(PlayerValues!A:A,match(IFNA(vlookup(B3460,'Special Names'!A:B,2,FALSE),B3460),PlayerValues!E:E,0)),"N/A")</f>
        <v>17337</v>
      </c>
      <c r="B3460" s="4" t="s">
        <v>793</v>
      </c>
      <c r="C3460" s="4" t="s">
        <v>278</v>
      </c>
      <c r="D3460" s="94">
        <v>897.0</v>
      </c>
    </row>
    <row r="3461">
      <c r="A3461" s="40">
        <f t="array" ref="A3461">IFNA(index(PlayerValues!A:A,match(IFNA(vlookup(B3461,'Special Names'!A:B,2,FALSE),B3461),PlayerValues!E:E,0)),"N/A")</f>
        <v>14864</v>
      </c>
      <c r="B3461" s="4" t="s">
        <v>789</v>
      </c>
      <c r="C3461" s="4" t="s">
        <v>287</v>
      </c>
      <c r="D3461" s="94">
        <v>896.0</v>
      </c>
    </row>
    <row r="3462">
      <c r="A3462" s="40">
        <f t="array" ref="A3462">IFNA(index(PlayerValues!A:A,match(IFNA(vlookup(B3462,'Special Names'!A:B,2,FALSE),B3462),PlayerValues!E:E,0)),"N/A")</f>
        <v>14223</v>
      </c>
      <c r="B3462" s="4" t="s">
        <v>785</v>
      </c>
      <c r="C3462" s="4" t="s">
        <v>278</v>
      </c>
      <c r="D3462" s="94">
        <v>870.0</v>
      </c>
    </row>
    <row r="3463">
      <c r="A3463" s="40">
        <f t="array" ref="A3463">IFNA(index(PlayerValues!A:A,match(IFNA(vlookup(B3463,'Special Names'!A:B,2,FALSE),B3463),PlayerValues!E:E,0)),"N/A")</f>
        <v>13133</v>
      </c>
      <c r="B3463" s="4" t="s">
        <v>764</v>
      </c>
      <c r="C3463" s="4" t="s">
        <v>278</v>
      </c>
      <c r="D3463" s="94">
        <v>860.0</v>
      </c>
    </row>
    <row r="3464">
      <c r="A3464" s="40">
        <f t="array" ref="A3464">IFNA(index(PlayerValues!A:A,match(IFNA(vlookup(B3464,'Special Names'!A:B,2,FALSE),B3464),PlayerValues!E:E,0)),"N/A")</f>
        <v>16606</v>
      </c>
      <c r="B3464" s="4" t="s">
        <v>743</v>
      </c>
      <c r="C3464" s="4" t="s">
        <v>278</v>
      </c>
      <c r="D3464" s="94">
        <v>860.0</v>
      </c>
    </row>
    <row r="3465">
      <c r="A3465" s="40">
        <f t="array" ref="A3465">IFNA(index(PlayerValues!A:A,match(IFNA(vlookup(B3465,'Special Names'!A:B,2,FALSE),B3465),PlayerValues!E:E,0)),"N/A")</f>
        <v>14079</v>
      </c>
      <c r="B3465" s="4" t="s">
        <v>830</v>
      </c>
      <c r="C3465" s="4" t="s">
        <v>278</v>
      </c>
      <c r="D3465" s="94">
        <v>852.0</v>
      </c>
    </row>
    <row r="3466">
      <c r="A3466" s="40">
        <f t="array" ref="A3466">IFNA(index(PlayerValues!A:A,match(IFNA(vlookup(B3466,'Special Names'!A:B,2,FALSE),B3466),PlayerValues!E:E,0)),"N/A")</f>
        <v>15271</v>
      </c>
      <c r="B3466" s="4" t="s">
        <v>741</v>
      </c>
      <c r="C3466" s="4" t="s">
        <v>278</v>
      </c>
      <c r="D3466" s="94">
        <v>841.0</v>
      </c>
    </row>
    <row r="3467">
      <c r="A3467" s="40">
        <f t="array" ref="A3467">IFNA(index(PlayerValues!A:A,match(IFNA(vlookup(B3467,'Special Names'!A:B,2,FALSE),B3467),PlayerValues!E:E,0)),"N/A")</f>
        <v>17486</v>
      </c>
      <c r="B3467" s="4" t="s">
        <v>695</v>
      </c>
      <c r="C3467" s="4" t="s">
        <v>278</v>
      </c>
      <c r="D3467" s="94">
        <v>822.0</v>
      </c>
    </row>
    <row r="3468">
      <c r="A3468" s="40">
        <f t="array" ref="A3468">IFNA(index(PlayerValues!A:A,match(IFNA(vlookup(B3468,'Special Names'!A:B,2,FALSE),B3468),PlayerValues!E:E,0)),"N/A")</f>
        <v>13610</v>
      </c>
      <c r="B3468" s="4" t="s">
        <v>825</v>
      </c>
      <c r="C3468" s="4" t="s">
        <v>278</v>
      </c>
      <c r="D3468" s="94">
        <v>810.0</v>
      </c>
    </row>
    <row r="3469">
      <c r="A3469" s="40">
        <f t="array" ref="A3469">IFNA(index(PlayerValues!A:A,match(IFNA(vlookup(B3469,'Special Names'!A:B,2,FALSE),B3469),PlayerValues!E:E,0)),"N/A")</f>
        <v>17519</v>
      </c>
      <c r="B3469" s="4" t="s">
        <v>593</v>
      </c>
      <c r="C3469" s="4" t="s">
        <v>287</v>
      </c>
      <c r="D3469" s="94">
        <v>806.0</v>
      </c>
    </row>
    <row r="3470">
      <c r="A3470" s="40">
        <f t="array" ref="A3470">IFNA(index(PlayerValues!A:A,match(IFNA(vlookup(B3470,'Special Names'!A:B,2,FALSE),B3470),PlayerValues!E:E,0)),"N/A")</f>
        <v>13143</v>
      </c>
      <c r="B3470" s="4" t="s">
        <v>786</v>
      </c>
      <c r="C3470" s="4" t="s">
        <v>278</v>
      </c>
      <c r="D3470" s="94">
        <v>786.0</v>
      </c>
    </row>
    <row r="3471">
      <c r="A3471" s="40">
        <f t="array" ref="A3471">IFNA(index(PlayerValues!A:A,match(IFNA(vlookup(B3471,'Special Names'!A:B,2,FALSE),B3471),PlayerValues!E:E,0)),"N/A")</f>
        <v>16623</v>
      </c>
      <c r="B3471" s="4" t="s">
        <v>803</v>
      </c>
      <c r="C3471" s="4" t="s">
        <v>287</v>
      </c>
      <c r="D3471" s="94">
        <v>753.0</v>
      </c>
    </row>
    <row r="3472">
      <c r="A3472" s="40">
        <f t="array" ref="A3472">IFNA(index(PlayerValues!A:A,match(IFNA(vlookup(B3472,'Special Names'!A:B,2,FALSE),B3472),PlayerValues!E:E,0)),"N/A")</f>
        <v>16957</v>
      </c>
      <c r="B3472" s="4" t="s">
        <v>806</v>
      </c>
      <c r="C3472" s="4" t="s">
        <v>278</v>
      </c>
      <c r="D3472" s="94">
        <v>745.0</v>
      </c>
    </row>
    <row r="3473">
      <c r="A3473" s="40">
        <f t="array" ref="A3473">IFNA(index(PlayerValues!A:A,match(IFNA(vlookup(B3473,'Special Names'!A:B,2,FALSE),B3473),PlayerValues!E:E,0)),"N/A")</f>
        <v>17487</v>
      </c>
      <c r="B3473" s="4" t="s">
        <v>692</v>
      </c>
      <c r="C3473" s="4" t="s">
        <v>278</v>
      </c>
      <c r="D3473" s="94">
        <v>724.0</v>
      </c>
    </row>
    <row r="3474">
      <c r="A3474" s="40">
        <f t="array" ref="A3474">IFNA(index(PlayerValues!A:A,match(IFNA(vlookup(B3474,'Special Names'!A:B,2,FALSE),B3474),PlayerValues!E:E,0)),"N/A")</f>
        <v>11232</v>
      </c>
      <c r="B3474" s="4" t="s">
        <v>826</v>
      </c>
      <c r="C3474" s="4" t="s">
        <v>287</v>
      </c>
      <c r="D3474" s="94">
        <v>708.0</v>
      </c>
    </row>
    <row r="3475">
      <c r="A3475" s="40">
        <f t="array" ref="A3475">IFNA(index(PlayerValues!A:A,match(IFNA(vlookup(B3475,'Special Names'!A:B,2,FALSE),B3475),PlayerValues!E:E,0)),"N/A")</f>
        <v>17567</v>
      </c>
      <c r="B3475" s="4" t="s">
        <v>571</v>
      </c>
      <c r="C3475" s="4" t="s">
        <v>298</v>
      </c>
      <c r="D3475" s="94">
        <v>1062.0</v>
      </c>
    </row>
    <row r="3476">
      <c r="A3476" s="40">
        <f t="array" ref="A3476">IFNA(index(PlayerValues!A:A,match(IFNA(vlookup(B3476,'Special Names'!A:B,2,FALSE),B3476),PlayerValues!E:E,0)),"N/A")</f>
        <v>15796</v>
      </c>
      <c r="B3476" s="4" t="s">
        <v>794</v>
      </c>
      <c r="C3476" s="4" t="s">
        <v>298</v>
      </c>
      <c r="D3476" s="94">
        <v>1036.0</v>
      </c>
    </row>
    <row r="3477">
      <c r="A3477" s="40">
        <f t="array" ref="A3477">IFNA(index(PlayerValues!A:A,match(IFNA(vlookup(B3477,'Special Names'!A:B,2,FALSE),B3477),PlayerValues!E:E,0)),"N/A")</f>
        <v>17485</v>
      </c>
      <c r="B3477" s="4" t="s">
        <v>522</v>
      </c>
      <c r="C3477" s="4" t="s">
        <v>278</v>
      </c>
      <c r="D3477" s="94">
        <v>642.0</v>
      </c>
    </row>
    <row r="3478">
      <c r="A3478" s="40">
        <f t="array" ref="A3478">IFNA(index(PlayerValues!A:A,match(IFNA(vlookup(B3478,'Special Names'!A:B,2,FALSE),B3478),PlayerValues!E:E,0)),"N/A")</f>
        <v>17475</v>
      </c>
      <c r="B3478" s="4" t="s">
        <v>615</v>
      </c>
      <c r="C3478" s="4" t="s">
        <v>278</v>
      </c>
      <c r="D3478" s="94">
        <v>638.0</v>
      </c>
    </row>
    <row r="3479">
      <c r="A3479" s="40">
        <f t="array" ref="A3479">IFNA(index(PlayerValues!A:A,match(IFNA(vlookup(B3479,'Special Names'!A:B,2,FALSE),B3479),PlayerValues!E:E,0)),"N/A")</f>
        <v>17038</v>
      </c>
      <c r="B3479" s="4" t="s">
        <v>774</v>
      </c>
      <c r="C3479" s="4" t="s">
        <v>283</v>
      </c>
      <c r="D3479" s="94">
        <v>612.0</v>
      </c>
    </row>
    <row r="3480">
      <c r="A3480" s="40">
        <f t="array" ref="A3480">IFNA(index(PlayerValues!A:A,match(IFNA(vlookup(B3480,'Special Names'!A:B,2,FALSE),B3480),PlayerValues!E:E,0)),"N/A")</f>
        <v>13176</v>
      </c>
      <c r="B3480" s="4" t="s">
        <v>807</v>
      </c>
      <c r="C3480" s="4" t="s">
        <v>287</v>
      </c>
      <c r="D3480" s="94">
        <v>594.0</v>
      </c>
    </row>
    <row r="3481">
      <c r="A3481" s="40">
        <f t="array" ref="A3481">IFNA(index(PlayerValues!A:A,match(IFNA(vlookup(B3481,'Special Names'!A:B,2,FALSE),B3481),PlayerValues!E:E,0)),"N/A")</f>
        <v>16413</v>
      </c>
      <c r="B3481" s="4" t="s">
        <v>781</v>
      </c>
      <c r="C3481" s="4" t="s">
        <v>287</v>
      </c>
      <c r="D3481" s="94">
        <v>581.0</v>
      </c>
    </row>
    <row r="3482">
      <c r="A3482" s="40">
        <f t="array" ref="A3482">IFNA(index(PlayerValues!A:A,match(IFNA(vlookup(B3482,'Special Names'!A:B,2,FALSE),B3482),PlayerValues!E:E,0)),"N/A")</f>
        <v>14358</v>
      </c>
      <c r="B3482" s="4" t="s">
        <v>813</v>
      </c>
      <c r="C3482" s="4" t="s">
        <v>283</v>
      </c>
      <c r="D3482" s="94">
        <v>578.0</v>
      </c>
    </row>
    <row r="3483">
      <c r="A3483" s="40">
        <f t="array" ref="A3483">IFNA(index(PlayerValues!A:A,match(IFNA(vlookup(B3483,'Special Names'!A:B,2,FALSE),B3483),PlayerValues!E:E,0)),"N/A")</f>
        <v>13763</v>
      </c>
      <c r="B3483" s="4" t="s">
        <v>831</v>
      </c>
      <c r="C3483" s="4" t="s">
        <v>298</v>
      </c>
      <c r="D3483" s="94">
        <v>926.0</v>
      </c>
    </row>
    <row r="3484">
      <c r="A3484" s="40">
        <f t="array" ref="A3484">IFNA(index(PlayerValues!A:A,match(IFNA(vlookup(B3484,'Special Names'!A:B,2,FALSE),B3484),PlayerValues!E:E,0)),"N/A")</f>
        <v>17243</v>
      </c>
      <c r="B3484" s="4" t="s">
        <v>810</v>
      </c>
      <c r="C3484" s="4" t="s">
        <v>298</v>
      </c>
      <c r="D3484" s="94">
        <v>926.0</v>
      </c>
    </row>
    <row r="3485">
      <c r="A3485" s="40">
        <f t="array" ref="A3485">IFNA(index(PlayerValues!A:A,match(IFNA(vlookup(B3485,'Special Names'!A:B,2,FALSE),B3485),PlayerValues!E:E,0)),"N/A")</f>
        <v>17545</v>
      </c>
      <c r="B3485" s="4" t="s">
        <v>719</v>
      </c>
      <c r="C3485" s="4" t="s">
        <v>298</v>
      </c>
      <c r="D3485" s="94">
        <v>924.0</v>
      </c>
    </row>
    <row r="3486">
      <c r="A3486" s="40">
        <f t="array" ref="A3486">IFNA(index(PlayerValues!A:A,match(IFNA(vlookup(B3486,'Special Names'!A:B,2,FALSE),B3486),PlayerValues!E:E,0)),"N/A")</f>
        <v>14875</v>
      </c>
      <c r="B3486" s="4" t="s">
        <v>820</v>
      </c>
      <c r="C3486" s="4" t="s">
        <v>298</v>
      </c>
      <c r="D3486" s="94">
        <v>923.0</v>
      </c>
    </row>
    <row r="3487">
      <c r="A3487" s="40">
        <f t="array" ref="A3487">IFNA(index(PlayerValues!A:A,match(IFNA(vlookup(B3487,'Special Names'!A:B,2,FALSE),B3487),PlayerValues!E:E,0)),"N/A")</f>
        <v>12187</v>
      </c>
      <c r="B3487" s="4" t="s">
        <v>832</v>
      </c>
      <c r="C3487" s="4" t="s">
        <v>287</v>
      </c>
      <c r="D3487" s="94">
        <v>572.0</v>
      </c>
    </row>
    <row r="3488">
      <c r="A3488" s="40">
        <f t="array" ref="A3488">IFNA(index(PlayerValues!A:A,match(IFNA(vlookup(B3488,'Special Names'!A:B,2,FALSE),B3488),PlayerValues!E:E,0)),"N/A")</f>
        <v>15285</v>
      </c>
      <c r="B3488" s="4" t="s">
        <v>792</v>
      </c>
      <c r="C3488" s="4" t="s">
        <v>287</v>
      </c>
      <c r="D3488" s="94">
        <v>572.0</v>
      </c>
    </row>
    <row r="3489">
      <c r="A3489" s="40">
        <f t="array" ref="A3489">IFNA(index(PlayerValues!A:A,match(IFNA(vlookup(B3489,'Special Names'!A:B,2,FALSE),B3489),PlayerValues!E:E,0)),"N/A")</f>
        <v>16613</v>
      </c>
      <c r="B3489" s="4" t="s">
        <v>782</v>
      </c>
      <c r="C3489" s="4" t="s">
        <v>278</v>
      </c>
      <c r="D3489" s="94">
        <v>572.0</v>
      </c>
    </row>
    <row r="3490">
      <c r="A3490" s="40">
        <f t="array" ref="A3490">IFNA(index(PlayerValues!A:A,match(IFNA(vlookup(B3490,'Special Names'!A:B,2,FALSE),B3490),PlayerValues!E:E,0)),"N/A")</f>
        <v>17282</v>
      </c>
      <c r="B3490" s="4" t="s">
        <v>833</v>
      </c>
      <c r="C3490" s="4" t="s">
        <v>283</v>
      </c>
      <c r="D3490" s="94">
        <v>572.0</v>
      </c>
    </row>
    <row r="3491">
      <c r="A3491" s="40">
        <f t="array" ref="A3491">IFNA(index(PlayerValues!A:A,match(IFNA(vlookup(B3491,'Special Names'!A:B,2,FALSE),B3491),PlayerValues!E:E,0)),"N/A")</f>
        <v>14239</v>
      </c>
      <c r="B3491" s="4" t="s">
        <v>824</v>
      </c>
      <c r="C3491" s="4" t="s">
        <v>298</v>
      </c>
      <c r="D3491" s="94">
        <v>924.0</v>
      </c>
    </row>
    <row r="3492">
      <c r="A3492" s="40">
        <f t="array" ref="A3492">IFNA(index(PlayerValues!A:A,match(IFNA(vlookup(B3492,'Special Names'!A:B,2,FALSE),B3492),PlayerValues!E:E,0)),"N/A")</f>
        <v>17521</v>
      </c>
      <c r="B3492" s="4" t="s">
        <v>573</v>
      </c>
      <c r="C3492" s="4" t="s">
        <v>287</v>
      </c>
      <c r="D3492" s="94">
        <v>454.0</v>
      </c>
    </row>
    <row r="3493">
      <c r="A3493" s="40">
        <f t="array" ref="A3493">IFNA(index(PlayerValues!A:A,match(IFNA(vlookup(B3493,'Special Names'!A:B,2,FALSE),B3493),PlayerValues!E:E,0)),"N/A")</f>
        <v>17548</v>
      </c>
      <c r="B3493" s="4" t="s">
        <v>594</v>
      </c>
      <c r="C3493" s="4" t="s">
        <v>298</v>
      </c>
      <c r="D3493" s="94">
        <v>781.0</v>
      </c>
    </row>
    <row r="3494">
      <c r="A3494" s="40">
        <f t="array" ref="A3494">IFNA(index(PlayerValues!A:A,match(IFNA(vlookup(B3494,'Special Names'!A:B,2,FALSE),B3494),PlayerValues!E:E,0)),"N/A")</f>
        <v>17529</v>
      </c>
      <c r="B3494" s="4" t="s">
        <v>608</v>
      </c>
      <c r="C3494" s="4" t="s">
        <v>287</v>
      </c>
      <c r="D3494" s="94">
        <v>352.0</v>
      </c>
    </row>
    <row r="3495">
      <c r="A3495" s="40">
        <f t="array" ref="A3495">IFNA(index(PlayerValues!A:A,match(IFNA(vlookup(B3495,'Special Names'!A:B,2,FALSE),B3495),PlayerValues!E:E,0)),"N/A")</f>
        <v>17607</v>
      </c>
      <c r="B3495" s="4" t="s">
        <v>526</v>
      </c>
      <c r="C3495" s="4" t="s">
        <v>298</v>
      </c>
      <c r="D3495" s="94">
        <v>676.0</v>
      </c>
    </row>
    <row r="3496">
      <c r="A3496" s="40">
        <f t="array" ref="A3496">IFNA(index(PlayerValues!A:A,match(IFNA(vlookup(B3496,'Special Names'!A:B,2,FALSE),B3496),PlayerValues!E:E,0)),"N/A")</f>
        <v>17599</v>
      </c>
      <c r="B3496" s="4" t="s">
        <v>496</v>
      </c>
      <c r="C3496" s="4" t="s">
        <v>287</v>
      </c>
      <c r="D3496" s="94">
        <v>224.0</v>
      </c>
    </row>
    <row r="3497">
      <c r="A3497" s="40">
        <f t="array" ref="A3497">IFNA(index(PlayerValues!A:A,match(IFNA(vlookup(B3497,'Special Names'!A:B,2,FALSE),B3497),PlayerValues!E:E,0)),"N/A")</f>
        <v>17549</v>
      </c>
      <c r="B3497" s="4" t="s">
        <v>720</v>
      </c>
      <c r="C3497" s="4" t="s">
        <v>298</v>
      </c>
      <c r="D3497" s="94">
        <v>651.0</v>
      </c>
    </row>
    <row r="3498">
      <c r="A3498" s="40">
        <f t="array" ref="A3498">IFNA(index(PlayerValues!A:A,match(IFNA(vlookup(B3498,'Special Names'!A:B,2,FALSE),B3498),PlayerValues!E:E,0)),"N/A")</f>
        <v>17685</v>
      </c>
      <c r="B3498" s="4" t="s">
        <v>630</v>
      </c>
      <c r="C3498" s="4" t="s">
        <v>278</v>
      </c>
      <c r="D3498" s="94">
        <v>212.0</v>
      </c>
    </row>
    <row r="3499">
      <c r="A3499" s="40">
        <f t="array" ref="A3499">IFNA(index(PlayerValues!A:A,match(IFNA(vlookup(B3499,'Special Names'!A:B,2,FALSE),B3499),PlayerValues!E:E,0)),"N/A")</f>
        <v>17654</v>
      </c>
      <c r="B3499" s="4" t="s">
        <v>767</v>
      </c>
      <c r="C3499" s="4" t="s">
        <v>283</v>
      </c>
      <c r="D3499" s="94">
        <v>123.0</v>
      </c>
    </row>
    <row r="3500">
      <c r="A3500" s="40">
        <f t="array" ref="A3500">IFNA(index(PlayerValues!A:A,match(IFNA(vlookup(B3500,'Special Names'!A:B,2,FALSE),B3500),PlayerValues!E:E,0)),"N/A")</f>
        <v>17591</v>
      </c>
      <c r="B3500" s="4" t="s">
        <v>834</v>
      </c>
      <c r="C3500" s="4" t="s">
        <v>298</v>
      </c>
      <c r="D3500" s="94">
        <v>541.0</v>
      </c>
    </row>
    <row r="3501">
      <c r="A3501" s="40">
        <f t="array" ref="A3501">IFNA(index(PlayerValues!A:A,match(IFNA(vlookup(B3501,'Special Names'!A:B,2,FALSE),B3501),PlayerValues!E:E,0)),"N/A")</f>
        <v>13589</v>
      </c>
      <c r="B3501" s="4" t="s">
        <v>282</v>
      </c>
      <c r="C3501" s="4" t="s">
        <v>283</v>
      </c>
      <c r="D3501" s="94">
        <v>9999.0</v>
      </c>
    </row>
    <row r="3502">
      <c r="A3502" s="40">
        <f t="array" ref="A3502">IFNA(index(PlayerValues!A:A,match(IFNA(vlookup(B3502,'Special Names'!A:B,2,FALSE),B3502),PlayerValues!E:E,0)),"N/A")</f>
        <v>16161</v>
      </c>
      <c r="B3502" s="4" t="s">
        <v>277</v>
      </c>
      <c r="C3502" s="4" t="s">
        <v>278</v>
      </c>
      <c r="D3502" s="94">
        <v>9992.0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9893.0</v>
      </c>
    </row>
    <row r="3504">
      <c r="A3504" s="40">
        <f t="array" ref="A3504">IFNA(index(PlayerValues!A:A,match(IFNA(vlookup(B3504,'Special Names'!A:B,2,FALSE),B3504),PlayerValues!E:E,0)),"N/A")</f>
        <v>16185</v>
      </c>
      <c r="B3504" s="4" t="s">
        <v>290</v>
      </c>
      <c r="C3504" s="4" t="s">
        <v>287</v>
      </c>
      <c r="D3504" s="94">
        <v>9873.0</v>
      </c>
    </row>
    <row r="3505">
      <c r="A3505" s="40">
        <f t="array" ref="A3505">IFNA(index(PlayerValues!A:A,match(IFNA(vlookup(B3505,'Special Names'!A:B,2,FALSE),B3505),PlayerValues!E:E,0)),"N/A")</f>
        <v>16162</v>
      </c>
      <c r="B3505" s="4" t="s">
        <v>281</v>
      </c>
      <c r="C3505" s="4" t="s">
        <v>278</v>
      </c>
      <c r="D3505" s="94">
        <v>9605.0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9504.0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8579.0</v>
      </c>
    </row>
    <row r="3508">
      <c r="A3508" s="40">
        <f t="array" ref="A3508">IFNA(index(PlayerValues!A:A,match(IFNA(vlookup(B3508,'Special Names'!A:B,2,FALSE),B3508),PlayerValues!E:E,0)),"N/A")</f>
        <v>16641</v>
      </c>
      <c r="B3508" s="4" t="s">
        <v>297</v>
      </c>
      <c r="C3508" s="4" t="s">
        <v>298</v>
      </c>
      <c r="D3508" s="94">
        <v>8802.0</v>
      </c>
    </row>
    <row r="3509">
      <c r="A3509" s="40">
        <f t="array" ref="A3509">IFNA(index(PlayerValues!A:A,match(IFNA(vlookup(B3509,'Special Names'!A:B,2,FALSE),B3509),PlayerValues!E:E,0)),"N/A")</f>
        <v>16581</v>
      </c>
      <c r="B3509" s="4" t="s">
        <v>315</v>
      </c>
      <c r="C3509" s="4" t="s">
        <v>283</v>
      </c>
      <c r="D3509" s="94">
        <v>7866.0</v>
      </c>
    </row>
    <row r="3510">
      <c r="A3510" s="40">
        <f t="array" ref="A3510">IFNA(index(PlayerValues!A:A,match(IFNA(vlookup(B3510,'Special Names'!A:B,2,FALSE),B3510),PlayerValues!E:E,0)),"N/A")</f>
        <v>16615</v>
      </c>
      <c r="B3510" s="4" t="s">
        <v>309</v>
      </c>
      <c r="C3510" s="4" t="s">
        <v>287</v>
      </c>
      <c r="D3510" s="94">
        <v>7858.0</v>
      </c>
    </row>
    <row r="3511">
      <c r="A3511" s="40">
        <f t="array" ref="A3511">IFNA(index(PlayerValues!A:A,match(IFNA(vlookup(B3511,'Special Names'!A:B,2,FALSE),B3511),PlayerValues!E:E,0)),"N/A")</f>
        <v>16579</v>
      </c>
      <c r="B3511" s="4" t="s">
        <v>302</v>
      </c>
      <c r="C3511" s="4" t="s">
        <v>283</v>
      </c>
      <c r="D3511" s="94">
        <v>7796.0</v>
      </c>
    </row>
    <row r="3512">
      <c r="A3512" s="40">
        <f t="array" ref="A3512">IFNA(index(PlayerValues!A:A,match(IFNA(vlookup(B3512,'Special Names'!A:B,2,FALSE),B3512),PlayerValues!E:E,0)),"N/A")</f>
        <v>14836</v>
      </c>
      <c r="B3512" s="4" t="s">
        <v>306</v>
      </c>
      <c r="C3512" s="4" t="s">
        <v>287</v>
      </c>
      <c r="D3512" s="94">
        <v>7766.0</v>
      </c>
    </row>
    <row r="3513">
      <c r="A3513" s="40">
        <f t="array" ref="A3513">IFNA(index(PlayerValues!A:A,match(IFNA(vlookup(B3513,'Special Names'!A:B,2,FALSE),B3513),PlayerValues!E:E,0)),"N/A")</f>
        <v>15287</v>
      </c>
      <c r="B3513" s="4" t="s">
        <v>299</v>
      </c>
      <c r="C3513" s="4" t="s">
        <v>287</v>
      </c>
      <c r="D3513" s="94">
        <v>7693.0</v>
      </c>
    </row>
    <row r="3514">
      <c r="A3514" s="40">
        <f t="array" ref="A3514">IFNA(index(PlayerValues!A:A,match(IFNA(vlookup(B3514,'Special Names'!A:B,2,FALSE),B3514),PlayerValues!E:E,0)),"N/A")</f>
        <v>13593</v>
      </c>
      <c r="B3514" s="4" t="s">
        <v>305</v>
      </c>
      <c r="C3514" s="4" t="s">
        <v>283</v>
      </c>
      <c r="D3514" s="94">
        <v>7671.0</v>
      </c>
    </row>
    <row r="3515">
      <c r="A3515" s="40">
        <f t="array" ref="A3515">IFNA(index(PlayerValues!A:A,match(IFNA(vlookup(B3515,'Special Names'!A:B,2,FALSE),B3515),PlayerValues!E:E,0)),"N/A")</f>
        <v>17472</v>
      </c>
      <c r="B3515" s="4" t="s">
        <v>310</v>
      </c>
      <c r="C3515" s="4" t="s">
        <v>278</v>
      </c>
      <c r="D3515" s="94">
        <v>7586.0</v>
      </c>
    </row>
    <row r="3516">
      <c r="A3516" s="40">
        <f t="array" ref="A3516">IFNA(index(PlayerValues!A:A,match(IFNA(vlookup(B3516,'Special Names'!A:B,2,FALSE),B3516),PlayerValues!E:E,0)),"N/A")</f>
        <v>17042</v>
      </c>
      <c r="B3516" s="4" t="s">
        <v>314</v>
      </c>
      <c r="C3516" s="4" t="s">
        <v>278</v>
      </c>
      <c r="D3516" s="94">
        <v>7569.0</v>
      </c>
    </row>
    <row r="3517">
      <c r="A3517" s="40">
        <f t="array" ref="A3517">IFNA(index(PlayerValues!A:A,match(IFNA(vlookup(B3517,'Special Names'!A:B,2,FALSE),B3517),PlayerValues!E:E,0)),"N/A")</f>
        <v>15794</v>
      </c>
      <c r="B3517" s="4" t="s">
        <v>313</v>
      </c>
      <c r="C3517" s="4" t="s">
        <v>298</v>
      </c>
      <c r="D3517" s="94">
        <v>8371.0</v>
      </c>
    </row>
    <row r="3518">
      <c r="A3518" s="40">
        <f t="array" ref="A3518">IFNA(index(PlayerValues!A:A,match(IFNA(vlookup(B3518,'Special Names'!A:B,2,FALSE),B3518),PlayerValues!E:E,0)),"N/A")</f>
        <v>14777</v>
      </c>
      <c r="B3518" s="4" t="s">
        <v>318</v>
      </c>
      <c r="C3518" s="4" t="s">
        <v>283</v>
      </c>
      <c r="D3518" s="94">
        <v>7544.0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7315.0</v>
      </c>
    </row>
    <row r="3520">
      <c r="A3520" s="40" t="str">
        <f t="array" ref="A3520">IFNA(index(PlayerValues!A:A,match(IFNA(vlookup(B3520,'Special Names'!A:B,2,FALSE),B3520),PlayerValues!E:E,0)),"N/A")</f>
        <v>N/A</v>
      </c>
      <c r="B3520" s="4" t="s">
        <v>92</v>
      </c>
      <c r="C3520" s="4" t="s">
        <v>325</v>
      </c>
      <c r="D3520" s="94">
        <v>7022.0</v>
      </c>
    </row>
    <row r="3521">
      <c r="A3521" s="40">
        <f t="array" ref="A3521">IFNA(index(PlayerValues!A:A,match(IFNA(vlookup(B3521,'Special Names'!A:B,2,FALSE),B3521),PlayerValues!E:E,0)),"N/A")</f>
        <v>15751</v>
      </c>
      <c r="B3521" s="4" t="s">
        <v>328</v>
      </c>
      <c r="C3521" s="4" t="s">
        <v>287</v>
      </c>
      <c r="D3521" s="94">
        <v>6916.0</v>
      </c>
    </row>
    <row r="3522">
      <c r="A3522" s="40">
        <f t="array" ref="A3522">IFNA(index(PlayerValues!A:A,match(IFNA(vlookup(B3522,'Special Names'!A:B,2,FALSE),B3522),PlayerValues!E:E,0)),"N/A")</f>
        <v>16167</v>
      </c>
      <c r="B3522" s="4" t="s">
        <v>323</v>
      </c>
      <c r="C3522" s="4" t="s">
        <v>278</v>
      </c>
      <c r="D3522" s="94">
        <v>6862.0</v>
      </c>
    </row>
    <row r="3523">
      <c r="A3523" s="40">
        <f t="array" ref="A3523">IFNA(index(PlayerValues!A:A,match(IFNA(vlookup(B3523,'Special Names'!A:B,2,FALSE),B3523),PlayerValues!E:E,0)),"N/A")</f>
        <v>13116</v>
      </c>
      <c r="B3523" s="4" t="s">
        <v>345</v>
      </c>
      <c r="C3523" s="4" t="s">
        <v>283</v>
      </c>
      <c r="D3523" s="94">
        <v>6837.0</v>
      </c>
    </row>
    <row r="3524">
      <c r="A3524" s="40">
        <f t="array" ref="A3524">IFNA(index(PlayerValues!A:A,match(IFNA(vlookup(B3524,'Special Names'!A:B,2,FALSE),B3524),PlayerValues!E:E,0)),"N/A")</f>
        <v>14779</v>
      </c>
      <c r="B3524" s="4" t="s">
        <v>327</v>
      </c>
      <c r="C3524" s="4" t="s">
        <v>283</v>
      </c>
      <c r="D3524" s="94">
        <v>6796.0</v>
      </c>
    </row>
    <row r="3525">
      <c r="A3525" s="40">
        <f t="array" ref="A3525">IFNA(index(PlayerValues!A:A,match(IFNA(vlookup(B3525,'Special Names'!A:B,2,FALSE),B3525),PlayerValues!E:E,0)),"N/A")</f>
        <v>17044</v>
      </c>
      <c r="B3525" s="4" t="s">
        <v>322</v>
      </c>
      <c r="C3525" s="4" t="s">
        <v>278</v>
      </c>
      <c r="D3525" s="94">
        <v>6694.0</v>
      </c>
    </row>
    <row r="3526">
      <c r="A3526" s="40">
        <f t="array" ref="A3526">IFNA(index(PlayerValues!A:A,match(IFNA(vlookup(B3526,'Special Names'!A:B,2,FALSE),B3526),PlayerValues!E:E,0)),"N/A")</f>
        <v>17032</v>
      </c>
      <c r="B3526" s="4" t="s">
        <v>348</v>
      </c>
      <c r="C3526" s="4" t="s">
        <v>283</v>
      </c>
      <c r="D3526" s="94">
        <v>6632.0</v>
      </c>
    </row>
    <row r="3527">
      <c r="A3527" s="40">
        <f t="array" ref="A3527">IFNA(index(PlayerValues!A:A,match(IFNA(vlookup(B3527,'Special Names'!A:B,2,FALSE),B3527),PlayerValues!E:E,0)),"N/A")</f>
        <v>17071</v>
      </c>
      <c r="B3527" s="4" t="s">
        <v>341</v>
      </c>
      <c r="C3527" s="4" t="s">
        <v>287</v>
      </c>
      <c r="D3527" s="94">
        <v>6627.0</v>
      </c>
    </row>
    <row r="3528">
      <c r="A3528" s="40">
        <f t="array" ref="A3528">IFNA(index(PlayerValues!A:A,match(IFNA(vlookup(B3528,'Special Names'!A:B,2,FALSE),B3528),PlayerValues!E:E,0)),"N/A")</f>
        <v>16582</v>
      </c>
      <c r="B3528" s="4" t="s">
        <v>343</v>
      </c>
      <c r="C3528" s="4" t="s">
        <v>283</v>
      </c>
      <c r="D3528" s="94">
        <v>6232.0</v>
      </c>
    </row>
    <row r="3529">
      <c r="A3529" s="40">
        <f t="array" ref="A3529">IFNA(index(PlayerValues!A:A,match(IFNA(vlookup(B3529,'Special Names'!A:B,2,FALSE),B3529),PlayerValues!E:E,0)),"N/A")</f>
        <v>15237</v>
      </c>
      <c r="B3529" s="4" t="s">
        <v>336</v>
      </c>
      <c r="C3529" s="4" t="s">
        <v>283</v>
      </c>
      <c r="D3529" s="94">
        <v>6220.0</v>
      </c>
    </row>
    <row r="3530">
      <c r="A3530" s="40">
        <f t="array" ref="A3530">IFNA(index(PlayerValues!A:A,match(IFNA(vlookup(B3530,'Special Names'!A:B,2,FALSE),B3530),PlayerValues!E:E,0)),"N/A")</f>
        <v>14783</v>
      </c>
      <c r="B3530" s="4" t="s">
        <v>342</v>
      </c>
      <c r="C3530" s="4" t="s">
        <v>283</v>
      </c>
      <c r="D3530" s="94">
        <v>6146.0</v>
      </c>
    </row>
    <row r="3531">
      <c r="A3531" s="40">
        <f t="array" ref="A3531">IFNA(index(PlayerValues!A:A,match(IFNA(vlookup(B3531,'Special Names'!A:B,2,FALSE),B3531),PlayerValues!E:E,0)),"N/A")</f>
        <v>15715</v>
      </c>
      <c r="B3531" s="4" t="s">
        <v>331</v>
      </c>
      <c r="C3531" s="4" t="s">
        <v>278</v>
      </c>
      <c r="D3531" s="94">
        <v>6124.0</v>
      </c>
    </row>
    <row r="3532">
      <c r="A3532" s="40">
        <f t="array" ref="A3532">IFNA(index(PlayerValues!A:A,match(IFNA(vlookup(B3532,'Special Names'!A:B,2,FALSE),B3532),PlayerValues!E:E,0)),"N/A")</f>
        <v>17081</v>
      </c>
      <c r="B3532" s="4" t="s">
        <v>340</v>
      </c>
      <c r="C3532" s="4" t="s">
        <v>287</v>
      </c>
      <c r="D3532" s="94">
        <v>6117.0</v>
      </c>
    </row>
    <row r="3533">
      <c r="A3533" s="40">
        <f t="array" ref="A3533">IFNA(index(PlayerValues!A:A,match(IFNA(vlookup(B3533,'Special Names'!A:B,2,FALSE),B3533),PlayerValues!E:E,0)),"N/A")</f>
        <v>17104</v>
      </c>
      <c r="B3533" s="4" t="s">
        <v>333</v>
      </c>
      <c r="C3533" s="4" t="s">
        <v>298</v>
      </c>
      <c r="D3533" s="94">
        <v>6766.0</v>
      </c>
    </row>
    <row r="3534">
      <c r="A3534" s="40">
        <f t="array" ref="A3534">IFNA(index(PlayerValues!A:A,match(IFNA(vlookup(B3534,'Special Names'!A:B,2,FALSE),B3534),PlayerValues!E:E,0)),"N/A")</f>
        <v>14802</v>
      </c>
      <c r="B3534" s="4" t="s">
        <v>332</v>
      </c>
      <c r="C3534" s="4" t="s">
        <v>278</v>
      </c>
      <c r="D3534" s="94">
        <v>6033.0</v>
      </c>
    </row>
    <row r="3535">
      <c r="A3535" s="40">
        <f t="array" ref="A3535">IFNA(index(PlayerValues!A:A,match(IFNA(vlookup(B3535,'Special Names'!A:B,2,FALSE),B3535),PlayerValues!E:E,0)),"N/A")</f>
        <v>15762</v>
      </c>
      <c r="B3535" s="4" t="s">
        <v>337</v>
      </c>
      <c r="C3535" s="4" t="s">
        <v>287</v>
      </c>
      <c r="D3535" s="94">
        <v>5970.0</v>
      </c>
    </row>
    <row r="3536">
      <c r="A3536" s="40">
        <f t="array" ref="A3536">IFNA(index(PlayerValues!A:A,match(IFNA(vlookup(B3536,'Special Names'!A:B,2,FALSE),B3536),PlayerValues!E:E,0)),"N/A")</f>
        <v>15698</v>
      </c>
      <c r="B3536" s="4" t="s">
        <v>358</v>
      </c>
      <c r="C3536" s="4" t="s">
        <v>283</v>
      </c>
      <c r="D3536" s="94">
        <v>5895.0</v>
      </c>
    </row>
    <row r="3537">
      <c r="A3537" s="40">
        <f t="array" ref="A3537">IFNA(index(PlayerValues!A:A,match(IFNA(vlookup(B3537,'Special Names'!A:B,2,FALSE),B3537),PlayerValues!E:E,0)),"N/A")</f>
        <v>15753</v>
      </c>
      <c r="B3537" s="4" t="s">
        <v>359</v>
      </c>
      <c r="C3537" s="4" t="s">
        <v>287</v>
      </c>
      <c r="D3537" s="94">
        <v>5736.0</v>
      </c>
    </row>
    <row r="3538">
      <c r="A3538" s="40">
        <f t="array" ref="A3538">IFNA(index(PlayerValues!A:A,match(IFNA(vlookup(B3538,'Special Names'!A:B,2,FALSE),B3538),PlayerValues!E:E,0)),"N/A")</f>
        <v>17102</v>
      </c>
      <c r="B3538" s="4" t="s">
        <v>344</v>
      </c>
      <c r="C3538" s="4" t="s">
        <v>298</v>
      </c>
      <c r="D3538" s="94">
        <v>6376.0</v>
      </c>
    </row>
    <row r="3539">
      <c r="A3539" s="40">
        <f t="array" ref="A3539">IFNA(index(PlayerValues!A:A,match(IFNA(vlookup(B3539,'Special Names'!A:B,2,FALSE),B3539),PlayerValues!E:E,0)),"N/A")</f>
        <v>17497</v>
      </c>
      <c r="B3539" s="4" t="s">
        <v>365</v>
      </c>
      <c r="C3539" s="4" t="s">
        <v>287</v>
      </c>
      <c r="D3539" s="94">
        <v>5692.0</v>
      </c>
    </row>
    <row r="3540">
      <c r="A3540" s="40" t="str">
        <f t="array" ref="A3540">IFNA(index(PlayerValues!A:A,match(IFNA(vlookup(B3540,'Special Names'!A:B,2,FALSE),B3540),PlayerValues!E:E,0)),"N/A")</f>
        <v>N/A</v>
      </c>
      <c r="B3540" s="4" t="s">
        <v>79</v>
      </c>
      <c r="C3540" s="4" t="s">
        <v>325</v>
      </c>
      <c r="D3540" s="94">
        <v>5668.0</v>
      </c>
    </row>
    <row r="3541">
      <c r="A3541" s="40">
        <f t="array" ref="A3541">IFNA(index(PlayerValues!A:A,match(IFNA(vlookup(B3541,'Special Names'!A:B,2,FALSE),B3541),PlayerValues!E:E,0)),"N/A")</f>
        <v>17462</v>
      </c>
      <c r="B3541" s="4" t="s">
        <v>375</v>
      </c>
      <c r="C3541" s="4" t="s">
        <v>283</v>
      </c>
      <c r="D3541" s="94">
        <v>5649.0</v>
      </c>
    </row>
    <row r="3542">
      <c r="A3542" s="40">
        <f t="array" ref="A3542">IFNA(index(PlayerValues!A:A,match(IFNA(vlookup(B3542,'Special Names'!A:B,2,FALSE),B3542),PlayerValues!E:E,0)),"N/A")</f>
        <v>15290</v>
      </c>
      <c r="B3542" s="4" t="s">
        <v>355</v>
      </c>
      <c r="C3542" s="4" t="s">
        <v>287</v>
      </c>
      <c r="D3542" s="94">
        <v>5638.0</v>
      </c>
    </row>
    <row r="3543">
      <c r="A3543" s="40">
        <f t="array" ref="A3543">IFNA(index(PlayerValues!A:A,match(IFNA(vlookup(B3543,'Special Names'!A:B,2,FALSE),B3543),PlayerValues!E:E,0)),"N/A")</f>
        <v>14782</v>
      </c>
      <c r="B3543" s="4" t="s">
        <v>385</v>
      </c>
      <c r="C3543" s="4" t="s">
        <v>283</v>
      </c>
      <c r="D3543" s="94">
        <v>5637.0</v>
      </c>
    </row>
    <row r="3544">
      <c r="A3544" s="40">
        <f t="array" ref="A3544">IFNA(index(PlayerValues!A:A,match(IFNA(vlookup(B3544,'Special Names'!A:B,2,FALSE),B3544),PlayerValues!E:E,0)),"N/A")</f>
        <v>15754</v>
      </c>
      <c r="B3544" s="4" t="s">
        <v>354</v>
      </c>
      <c r="C3544" s="4" t="s">
        <v>287</v>
      </c>
      <c r="D3544" s="94">
        <v>5611.0</v>
      </c>
    </row>
    <row r="3545">
      <c r="A3545" s="40" t="str">
        <f t="array" ref="A3545">IFNA(index(PlayerValues!A:A,match(IFNA(vlookup(B3545,'Special Names'!A:B,2,FALSE),B3545),PlayerValues!E:E,0)),"N/A")</f>
        <v>N/A</v>
      </c>
      <c r="B3545" s="4" t="s">
        <v>93</v>
      </c>
      <c r="C3545" s="4" t="s">
        <v>325</v>
      </c>
      <c r="D3545" s="94">
        <v>5571.0</v>
      </c>
    </row>
    <row r="3546">
      <c r="A3546" s="40">
        <f t="array" ref="A3546">IFNA(index(PlayerValues!A:A,match(IFNA(vlookup(B3546,'Special Names'!A:B,2,FALSE),B3546),PlayerValues!E:E,0)),"N/A")</f>
        <v>15711</v>
      </c>
      <c r="B3546" s="4" t="s">
        <v>349</v>
      </c>
      <c r="C3546" s="4" t="s">
        <v>278</v>
      </c>
      <c r="D3546" s="94">
        <v>5531.0</v>
      </c>
    </row>
    <row r="3547">
      <c r="A3547" s="40">
        <f t="array" ref="A3547">IFNA(index(PlayerValues!A:A,match(IFNA(vlookup(B3547,'Special Names'!A:B,2,FALSE),B3547),PlayerValues!E:E,0)),"N/A")</f>
        <v>17043</v>
      </c>
      <c r="B3547" s="4" t="s">
        <v>397</v>
      </c>
      <c r="C3547" s="4" t="s">
        <v>278</v>
      </c>
      <c r="D3547" s="94">
        <v>5477.0</v>
      </c>
    </row>
    <row r="3548">
      <c r="A3548" s="40">
        <f t="array" ref="A3548">IFNA(index(PlayerValues!A:A,match(IFNA(vlookup(B3548,'Special Names'!A:B,2,FALSE),B3548),PlayerValues!E:E,0)),"N/A")</f>
        <v>17051</v>
      </c>
      <c r="B3548" s="4" t="s">
        <v>386</v>
      </c>
      <c r="C3548" s="4" t="s">
        <v>278</v>
      </c>
      <c r="D3548" s="94">
        <v>5458.0</v>
      </c>
    </row>
    <row r="3549">
      <c r="A3549" s="40">
        <f t="array" ref="A3549">IFNA(index(PlayerValues!A:A,match(IFNA(vlookup(B3549,'Special Names'!A:B,2,FALSE),B3549),PlayerValues!E:E,0)),"N/A")</f>
        <v>16627</v>
      </c>
      <c r="B3549" s="4" t="s">
        <v>351</v>
      </c>
      <c r="C3549" s="4" t="s">
        <v>287</v>
      </c>
      <c r="D3549" s="94">
        <v>5397.0</v>
      </c>
    </row>
    <row r="3550">
      <c r="A3550" s="40">
        <f t="array" ref="A3550">IFNA(index(PlayerValues!A:A,match(IFNA(vlookup(B3550,'Special Names'!A:B,2,FALSE),B3550),PlayerValues!E:E,0)),"N/A")</f>
        <v>16616</v>
      </c>
      <c r="B3550" s="4" t="s">
        <v>389</v>
      </c>
      <c r="C3550" s="4" t="s">
        <v>287</v>
      </c>
      <c r="D3550" s="94">
        <v>5363.0</v>
      </c>
    </row>
    <row r="3551">
      <c r="A3551" s="40">
        <f t="array" ref="A3551">IFNA(index(PlayerValues!A:A,match(IFNA(vlookup(B3551,'Special Names'!A:B,2,FALSE),B3551),PlayerValues!E:E,0)),"N/A")</f>
        <v>15708</v>
      </c>
      <c r="B3551" s="4" t="s">
        <v>382</v>
      </c>
      <c r="C3551" s="4" t="s">
        <v>278</v>
      </c>
      <c r="D3551" s="94">
        <v>5286.0</v>
      </c>
    </row>
    <row r="3552">
      <c r="A3552" s="40">
        <f t="array" ref="A3552">IFNA(index(PlayerValues!A:A,match(IFNA(vlookup(B3552,'Special Names'!A:B,2,FALSE),B3552),PlayerValues!E:E,0)),"N/A")</f>
        <v>17070</v>
      </c>
      <c r="B3552" s="4" t="s">
        <v>370</v>
      </c>
      <c r="C3552" s="4" t="s">
        <v>287</v>
      </c>
      <c r="D3552" s="94">
        <v>5278.0</v>
      </c>
    </row>
    <row r="3553">
      <c r="A3553" s="40">
        <f t="array" ref="A3553">IFNA(index(PlayerValues!A:A,match(IFNA(vlookup(B3553,'Special Names'!A:B,2,FALSE),B3553),PlayerValues!E:E,0)),"N/A")</f>
        <v>17030</v>
      </c>
      <c r="B3553" s="4" t="s">
        <v>406</v>
      </c>
      <c r="C3553" s="4" t="s">
        <v>283</v>
      </c>
      <c r="D3553" s="94">
        <v>5248.0</v>
      </c>
    </row>
    <row r="3554">
      <c r="A3554" s="40">
        <f t="array" ref="A3554">IFNA(index(PlayerValues!A:A,match(IFNA(vlookup(B3554,'Special Names'!A:B,2,FALSE),B3554),PlayerValues!E:E,0)),"N/A")</f>
        <v>17498</v>
      </c>
      <c r="B3554" s="4" t="s">
        <v>396</v>
      </c>
      <c r="C3554" s="4" t="s">
        <v>287</v>
      </c>
      <c r="D3554" s="94">
        <v>5212.0</v>
      </c>
    </row>
    <row r="3555">
      <c r="A3555" s="40">
        <f t="array" ref="A3555">IFNA(index(PlayerValues!A:A,match(IFNA(vlookup(B3555,'Special Names'!A:B,2,FALSE),B3555),PlayerValues!E:E,0)),"N/A")</f>
        <v>16194</v>
      </c>
      <c r="B3555" s="4" t="s">
        <v>398</v>
      </c>
      <c r="C3555" s="4" t="s">
        <v>287</v>
      </c>
      <c r="D3555" s="94">
        <v>5191.0</v>
      </c>
    </row>
    <row r="3556">
      <c r="A3556" s="40">
        <f t="array" ref="A3556">IFNA(index(PlayerValues!A:A,match(IFNA(vlookup(B3556,'Special Names'!A:B,2,FALSE),B3556),PlayerValues!E:E,0)),"N/A")</f>
        <v>15282</v>
      </c>
      <c r="B3556" s="4" t="s">
        <v>364</v>
      </c>
      <c r="C3556" s="4" t="s">
        <v>287</v>
      </c>
      <c r="D3556" s="94">
        <v>5158.0</v>
      </c>
    </row>
    <row r="3557">
      <c r="A3557" s="40">
        <f t="array" ref="A3557">IFNA(index(PlayerValues!A:A,match(IFNA(vlookup(B3557,'Special Names'!A:B,2,FALSE),B3557),PlayerValues!E:E,0)),"N/A")</f>
        <v>16614</v>
      </c>
      <c r="B3557" s="4" t="s">
        <v>403</v>
      </c>
      <c r="C3557" s="4" t="s">
        <v>287</v>
      </c>
      <c r="D3557" s="94">
        <v>5109.0</v>
      </c>
    </row>
    <row r="3558">
      <c r="A3558" s="40">
        <f t="array" ref="A3558">IFNA(index(PlayerValues!A:A,match(IFNA(vlookup(B3558,'Special Names'!A:B,2,FALSE),B3558),PlayerValues!E:E,0)),"N/A")</f>
        <v>17499</v>
      </c>
      <c r="B3558" s="4" t="s">
        <v>402</v>
      </c>
      <c r="C3558" s="4" t="s">
        <v>287</v>
      </c>
      <c r="D3558" s="94">
        <v>5081.0</v>
      </c>
    </row>
    <row r="3559">
      <c r="A3559" s="40">
        <f t="array" ref="A3559">IFNA(index(PlayerValues!A:A,match(IFNA(vlookup(B3559,'Special Names'!A:B,2,FALSE),B3559),PlayerValues!E:E,0)),"N/A")</f>
        <v>13130</v>
      </c>
      <c r="B3559" s="4" t="s">
        <v>374</v>
      </c>
      <c r="C3559" s="4" t="s">
        <v>278</v>
      </c>
      <c r="D3559" s="94">
        <v>4978.0</v>
      </c>
    </row>
    <row r="3560">
      <c r="A3560" s="40" t="str">
        <f t="array" ref="A3560">IFNA(index(PlayerValues!A:A,match(IFNA(vlookup(B3560,'Special Names'!A:B,2,FALSE),B3560),PlayerValues!E:E,0)),"N/A")</f>
        <v>N/A</v>
      </c>
      <c r="B3560" s="4" t="s">
        <v>104</v>
      </c>
      <c r="C3560" s="4" t="s">
        <v>325</v>
      </c>
      <c r="D3560" s="94">
        <v>4949.0</v>
      </c>
    </row>
    <row r="3561">
      <c r="A3561" s="40">
        <f t="array" ref="A3561">IFNA(index(PlayerValues!A:A,match(IFNA(vlookup(B3561,'Special Names'!A:B,2,FALSE),B3561),PlayerValues!E:E,0)),"N/A")</f>
        <v>16598</v>
      </c>
      <c r="B3561" s="4" t="s">
        <v>408</v>
      </c>
      <c r="C3561" s="4" t="s">
        <v>278</v>
      </c>
      <c r="D3561" s="94">
        <v>4931.0</v>
      </c>
    </row>
    <row r="3562">
      <c r="A3562" s="40">
        <f t="array" ref="A3562">IFNA(index(PlayerValues!A:A,match(IFNA(vlookup(B3562,'Special Names'!A:B,2,FALSE),B3562),PlayerValues!E:E,0)),"N/A")</f>
        <v>16618</v>
      </c>
      <c r="B3562" s="4" t="s">
        <v>411</v>
      </c>
      <c r="C3562" s="4" t="s">
        <v>287</v>
      </c>
      <c r="D3562" s="94">
        <v>4930.0</v>
      </c>
    </row>
    <row r="3563">
      <c r="A3563" s="40">
        <f t="array" ref="A3563">IFNA(index(PlayerValues!A:A,match(IFNA(vlookup(B3563,'Special Names'!A:B,2,FALSE),B3563),PlayerValues!E:E,0)),"N/A")</f>
        <v>12620</v>
      </c>
      <c r="B3563" s="4" t="s">
        <v>394</v>
      </c>
      <c r="C3563" s="4" t="s">
        <v>283</v>
      </c>
      <c r="D3563" s="94">
        <v>4918.0</v>
      </c>
    </row>
    <row r="3564">
      <c r="A3564" s="40">
        <f t="array" ref="A3564">IFNA(index(PlayerValues!A:A,match(IFNA(vlookup(B3564,'Special Names'!A:B,2,FALSE),B3564),PlayerValues!E:E,0)),"N/A")</f>
        <v>16150</v>
      </c>
      <c r="B3564" s="4" t="s">
        <v>414</v>
      </c>
      <c r="C3564" s="4" t="s">
        <v>283</v>
      </c>
      <c r="D3564" s="94">
        <v>4912.0</v>
      </c>
    </row>
    <row r="3565">
      <c r="A3565" s="40">
        <f t="array" ref="A3565">IFNA(index(PlayerValues!A:A,match(IFNA(vlookup(B3565,'Special Names'!A:B,2,FALSE),B3565),PlayerValues!E:E,0)),"N/A")</f>
        <v>17103</v>
      </c>
      <c r="B3565" s="4" t="s">
        <v>405</v>
      </c>
      <c r="C3565" s="4" t="s">
        <v>298</v>
      </c>
      <c r="D3565" s="94">
        <v>5477.0</v>
      </c>
    </row>
    <row r="3566">
      <c r="A3566" s="40">
        <f t="array" ref="A3566">IFNA(index(PlayerValues!A:A,match(IFNA(vlookup(B3566,'Special Names'!A:B,2,FALSE),B3566),PlayerValues!E:E,0)),"N/A")</f>
        <v>15284</v>
      </c>
      <c r="B3566" s="4" t="s">
        <v>390</v>
      </c>
      <c r="C3566" s="4" t="s">
        <v>287</v>
      </c>
      <c r="D3566" s="94">
        <v>4900.0</v>
      </c>
    </row>
    <row r="3567">
      <c r="A3567" s="40" t="str">
        <f t="array" ref="A3567">IFNA(index(PlayerValues!A:A,match(IFNA(vlookup(B3567,'Special Names'!A:B,2,FALSE),B3567),PlayerValues!E:E,0)),"N/A")</f>
        <v>N/A</v>
      </c>
      <c r="B3567" s="4" t="s">
        <v>94</v>
      </c>
      <c r="C3567" s="4" t="s">
        <v>325</v>
      </c>
      <c r="D3567" s="94">
        <v>4899.0</v>
      </c>
    </row>
    <row r="3568">
      <c r="A3568" s="40">
        <f t="array" ref="A3568">IFNA(index(PlayerValues!A:A,match(IFNA(vlookup(B3568,'Special Names'!A:B,2,FALSE),B3568),PlayerValues!E:E,0)),"N/A")</f>
        <v>14835</v>
      </c>
      <c r="B3568" s="4" t="s">
        <v>392</v>
      </c>
      <c r="C3568" s="4" t="s">
        <v>287</v>
      </c>
      <c r="D3568" s="94">
        <v>4895.0</v>
      </c>
    </row>
    <row r="3569">
      <c r="A3569" s="40">
        <f t="array" ref="A3569">IFNA(index(PlayerValues!A:A,match(IFNA(vlookup(B3569,'Special Names'!A:B,2,FALSE),B3569),PlayerValues!E:E,0)),"N/A")</f>
        <v>16181</v>
      </c>
      <c r="B3569" s="4" t="s">
        <v>350</v>
      </c>
      <c r="C3569" s="4" t="s">
        <v>278</v>
      </c>
      <c r="D3569" s="94">
        <v>4892.0</v>
      </c>
    </row>
    <row r="3570">
      <c r="A3570" s="40">
        <f t="array" ref="A3570">IFNA(index(PlayerValues!A:A,match(IFNA(vlookup(B3570,'Special Names'!A:B,2,FALSE),B3570),PlayerValues!E:E,0)),"N/A")</f>
        <v>13604</v>
      </c>
      <c r="B3570" s="4" t="s">
        <v>378</v>
      </c>
      <c r="C3570" s="4" t="s">
        <v>278</v>
      </c>
      <c r="D3570" s="94">
        <v>4883.0</v>
      </c>
    </row>
    <row r="3571">
      <c r="A3571" s="40">
        <f t="array" ref="A3571">IFNA(index(PlayerValues!A:A,match(IFNA(vlookup(B3571,'Special Names'!A:B,2,FALSE),B3571),PlayerValues!E:E,0)),"N/A")</f>
        <v>15710</v>
      </c>
      <c r="B3571" s="4" t="s">
        <v>395</v>
      </c>
      <c r="C3571" s="4" t="s">
        <v>278</v>
      </c>
      <c r="D3571" s="94">
        <v>4863.0</v>
      </c>
    </row>
    <row r="3572">
      <c r="A3572" s="40">
        <f t="array" ref="A3572">IFNA(index(PlayerValues!A:A,match(IFNA(vlookup(B3572,'Special Names'!A:B,2,FALSE),B3572),PlayerValues!E:E,0)),"N/A")</f>
        <v>14104</v>
      </c>
      <c r="B3572" s="4" t="s">
        <v>379</v>
      </c>
      <c r="C3572" s="4" t="s">
        <v>287</v>
      </c>
      <c r="D3572" s="94">
        <v>4854.0</v>
      </c>
    </row>
    <row r="3573">
      <c r="A3573" s="40">
        <f t="array" ref="A3573">IFNA(index(PlayerValues!A:A,match(IFNA(vlookup(B3573,'Special Names'!A:B,2,FALSE),B3573),PlayerValues!E:E,0)),"N/A")</f>
        <v>17039</v>
      </c>
      <c r="B3573" s="4" t="s">
        <v>400</v>
      </c>
      <c r="C3573" s="4" t="s">
        <v>283</v>
      </c>
      <c r="D3573" s="94">
        <v>4841.0</v>
      </c>
    </row>
    <row r="3574">
      <c r="A3574" s="40">
        <f t="array" ref="A3574">IFNA(index(PlayerValues!A:A,match(IFNA(vlookup(B3574,'Special Names'!A:B,2,FALSE),B3574),PlayerValues!E:E,0)),"N/A")</f>
        <v>13592</v>
      </c>
      <c r="B3574" s="4" t="s">
        <v>418</v>
      </c>
      <c r="C3574" s="4" t="s">
        <v>283</v>
      </c>
      <c r="D3574" s="94">
        <v>4806.0</v>
      </c>
    </row>
    <row r="3575">
      <c r="A3575" s="40">
        <f t="array" ref="A3575">IFNA(index(PlayerValues!A:A,match(IFNA(vlookup(B3575,'Special Names'!A:B,2,FALSE),B3575),PlayerValues!E:E,0)),"N/A")</f>
        <v>15756</v>
      </c>
      <c r="B3575" s="4" t="s">
        <v>399</v>
      </c>
      <c r="C3575" s="4" t="s">
        <v>287</v>
      </c>
      <c r="D3575" s="94">
        <v>4797.0</v>
      </c>
    </row>
    <row r="3576">
      <c r="A3576" s="40">
        <f t="array" ref="A3576">IFNA(index(PlayerValues!A:A,match(IFNA(vlookup(B3576,'Special Names'!A:B,2,FALSE),B3576),PlayerValues!E:E,0)),"N/A")</f>
        <v>16222</v>
      </c>
      <c r="B3576" s="4" t="s">
        <v>393</v>
      </c>
      <c r="C3576" s="4" t="s">
        <v>298</v>
      </c>
      <c r="D3576" s="94">
        <v>5323.0</v>
      </c>
    </row>
    <row r="3577">
      <c r="A3577" s="40">
        <f t="array" ref="A3577">IFNA(index(PlayerValues!A:A,match(IFNA(vlookup(B3577,'Special Names'!A:B,2,FALSE),B3577),PlayerValues!E:E,0)),"N/A")</f>
        <v>13590</v>
      </c>
      <c r="B3577" s="4" t="s">
        <v>409</v>
      </c>
      <c r="C3577" s="4" t="s">
        <v>283</v>
      </c>
      <c r="D3577" s="94">
        <v>4746.0</v>
      </c>
    </row>
    <row r="3578">
      <c r="A3578" s="40">
        <f t="array" ref="A3578">IFNA(index(PlayerValues!A:A,match(IFNA(vlookup(B3578,'Special Names'!A:B,2,FALSE),B3578),PlayerValues!E:E,0)),"N/A")</f>
        <v>12611</v>
      </c>
      <c r="B3578" s="4" t="s">
        <v>410</v>
      </c>
      <c r="C3578" s="4" t="s">
        <v>283</v>
      </c>
      <c r="D3578" s="94">
        <v>4670.0</v>
      </c>
    </row>
    <row r="3579">
      <c r="A3579" s="40">
        <f t="array" ref="A3579">IFNA(index(PlayerValues!A:A,match(IFNA(vlookup(B3579,'Special Names'!A:B,2,FALSE),B3579),PlayerValues!E:E,0)),"N/A")</f>
        <v>16190</v>
      </c>
      <c r="B3579" s="4" t="s">
        <v>371</v>
      </c>
      <c r="C3579" s="4" t="s">
        <v>287</v>
      </c>
      <c r="D3579" s="94">
        <v>4655.0</v>
      </c>
    </row>
    <row r="3580">
      <c r="A3580" s="40" t="str">
        <f t="array" ref="A3580">IFNA(index(PlayerValues!A:A,match(IFNA(vlookup(B3580,'Special Names'!A:B,2,FALSE),B3580),PlayerValues!E:E,0)),"N/A")</f>
        <v>N/A</v>
      </c>
      <c r="B3580" s="4" t="s">
        <v>80</v>
      </c>
      <c r="C3580" s="4" t="s">
        <v>325</v>
      </c>
      <c r="D3580" s="94">
        <v>4579.0</v>
      </c>
    </row>
    <row r="3581">
      <c r="A3581" s="40">
        <f t="array" ref="A3581">IFNA(index(PlayerValues!A:A,match(IFNA(vlookup(B3581,'Special Names'!A:B,2,FALSE),B3581),PlayerValues!E:E,0)),"N/A")</f>
        <v>17473</v>
      </c>
      <c r="B3581" s="4" t="s">
        <v>391</v>
      </c>
      <c r="C3581" s="4" t="s">
        <v>278</v>
      </c>
      <c r="D3581" s="94">
        <v>4577.0</v>
      </c>
    </row>
    <row r="3582">
      <c r="A3582" s="40">
        <f t="array" ref="A3582">IFNA(index(PlayerValues!A:A,match(IFNA(vlookup(B3582,'Special Names'!A:B,2,FALSE),B3582),PlayerValues!E:E,0)),"N/A")</f>
        <v>16214</v>
      </c>
      <c r="B3582" s="4" t="s">
        <v>413</v>
      </c>
      <c r="C3582" s="4" t="s">
        <v>298</v>
      </c>
      <c r="D3582" s="94">
        <v>5093.0</v>
      </c>
    </row>
    <row r="3583">
      <c r="A3583" s="40">
        <f t="array" ref="A3583">IFNA(index(PlayerValues!A:A,match(IFNA(vlookup(B3583,'Special Names'!A:B,2,FALSE),B3583),PlayerValues!E:E,0)),"N/A")</f>
        <v>16148</v>
      </c>
      <c r="B3583" s="4" t="s">
        <v>426</v>
      </c>
      <c r="C3583" s="4" t="s">
        <v>283</v>
      </c>
      <c r="D3583" s="94">
        <v>4543.0</v>
      </c>
    </row>
    <row r="3584">
      <c r="A3584" s="40">
        <f t="array" ref="A3584">IFNA(index(PlayerValues!A:A,match(IFNA(vlookup(B3584,'Special Names'!A:B,2,FALSE),B3584),PlayerValues!E:E,0)),"N/A")</f>
        <v>17045</v>
      </c>
      <c r="B3584" s="4" t="s">
        <v>407</v>
      </c>
      <c r="C3584" s="4" t="s">
        <v>278</v>
      </c>
      <c r="D3584" s="94">
        <v>4478.0</v>
      </c>
    </row>
    <row r="3585">
      <c r="A3585" s="40">
        <f t="array" ref="A3585">IFNA(index(PlayerValues!A:A,match(IFNA(vlookup(B3585,'Special Names'!A:B,2,FALSE),B3585),PlayerValues!E:E,0)),"N/A")</f>
        <v>14073</v>
      </c>
      <c r="B3585" s="4" t="s">
        <v>464</v>
      </c>
      <c r="C3585" s="4" t="s">
        <v>278</v>
      </c>
      <c r="D3585" s="94">
        <v>4451.0</v>
      </c>
    </row>
    <row r="3586">
      <c r="A3586" s="40">
        <f t="array" ref="A3586">IFNA(index(PlayerValues!A:A,match(IFNA(vlookup(B3586,'Special Names'!A:B,2,FALSE),B3586),PlayerValues!E:E,0)),"N/A")</f>
        <v>15253</v>
      </c>
      <c r="B3586" s="4" t="s">
        <v>415</v>
      </c>
      <c r="C3586" s="4" t="s">
        <v>278</v>
      </c>
      <c r="D3586" s="94">
        <v>4432.0</v>
      </c>
    </row>
    <row r="3587">
      <c r="A3587" s="40">
        <f t="array" ref="A3587">IFNA(index(PlayerValues!A:A,match(IFNA(vlookup(B3587,'Special Names'!A:B,2,FALSE),B3587),PlayerValues!E:E,0)),"N/A")</f>
        <v>15329</v>
      </c>
      <c r="B3587" s="4" t="s">
        <v>416</v>
      </c>
      <c r="C3587" s="4" t="s">
        <v>298</v>
      </c>
      <c r="D3587" s="94">
        <v>4969.0</v>
      </c>
    </row>
    <row r="3588">
      <c r="A3588" s="40">
        <f t="array" ref="A3588">IFNA(index(PlayerValues!A:A,match(IFNA(vlookup(B3588,'Special Names'!A:B,2,FALSE),B3588),PlayerValues!E:E,0)),"N/A")</f>
        <v>15256</v>
      </c>
      <c r="B3588" s="4" t="s">
        <v>401</v>
      </c>
      <c r="C3588" s="4" t="s">
        <v>278</v>
      </c>
      <c r="D3588" s="94">
        <v>4416.0</v>
      </c>
    </row>
    <row r="3589">
      <c r="A3589" s="40" t="str">
        <f t="array" ref="A3589">IFNA(index(PlayerValues!A:A,match(IFNA(vlookup(B3589,'Special Names'!A:B,2,FALSE),B3589),PlayerValues!E:E,0)),"N/A")</f>
        <v>N/A</v>
      </c>
      <c r="B3589" s="4" t="s">
        <v>105</v>
      </c>
      <c r="C3589" s="4" t="s">
        <v>325</v>
      </c>
      <c r="D3589" s="94">
        <v>4409.0</v>
      </c>
    </row>
    <row r="3590">
      <c r="A3590" s="40">
        <f t="array" ref="A3590">IFNA(index(PlayerValues!A:A,match(IFNA(vlookup(B3590,'Special Names'!A:B,2,FALSE),B3590),PlayerValues!E:E,0)),"N/A")</f>
        <v>17501</v>
      </c>
      <c r="B3590" s="4" t="s">
        <v>404</v>
      </c>
      <c r="C3590" s="4" t="s">
        <v>287</v>
      </c>
      <c r="D3590" s="94">
        <v>4407.0</v>
      </c>
    </row>
    <row r="3591">
      <c r="A3591" s="40">
        <f t="array" ref="A3591">IFNA(index(PlayerValues!A:A,match(IFNA(vlookup(B3591,'Special Names'!A:B,2,FALSE),B3591),PlayerValues!E:E,0)),"N/A")</f>
        <v>15768</v>
      </c>
      <c r="B3591" s="4" t="s">
        <v>432</v>
      </c>
      <c r="C3591" s="4" t="s">
        <v>287</v>
      </c>
      <c r="D3591" s="94">
        <v>4162.0</v>
      </c>
    </row>
    <row r="3592">
      <c r="A3592" s="40">
        <f t="array" ref="A3592">IFNA(index(PlayerValues!A:A,match(IFNA(vlookup(B3592,'Special Names'!A:B,2,FALSE),B3592),PlayerValues!E:E,0)),"N/A")</f>
        <v>14056</v>
      </c>
      <c r="B3592" s="4" t="s">
        <v>423</v>
      </c>
      <c r="C3592" s="4" t="s">
        <v>283</v>
      </c>
      <c r="D3592" s="94">
        <v>4099.0</v>
      </c>
    </row>
    <row r="3593">
      <c r="A3593" s="40">
        <f t="array" ref="A3593">IFNA(index(PlayerValues!A:A,match(IFNA(vlookup(B3593,'Special Names'!A:B,2,FALSE),B3593),PlayerValues!E:E,0)),"N/A")</f>
        <v>15694</v>
      </c>
      <c r="B3593" s="4" t="s">
        <v>434</v>
      </c>
      <c r="C3593" s="4" t="s">
        <v>283</v>
      </c>
      <c r="D3593" s="94">
        <v>4077.0</v>
      </c>
    </row>
    <row r="3594">
      <c r="A3594" s="40">
        <f t="array" ref="A3594">IFNA(index(PlayerValues!A:A,match(IFNA(vlookup(B3594,'Special Names'!A:B,2,FALSE),B3594),PlayerValues!E:E,0)),"N/A")</f>
        <v>17543</v>
      </c>
      <c r="B3594" s="4" t="s">
        <v>436</v>
      </c>
      <c r="C3594" s="4" t="s">
        <v>298</v>
      </c>
      <c r="D3594" s="94">
        <v>4568.0</v>
      </c>
    </row>
    <row r="3595">
      <c r="A3595" s="40">
        <f t="array" ref="A3595">IFNA(index(PlayerValues!A:A,match(IFNA(vlookup(B3595,'Special Names'!A:B,2,FALSE),B3595),PlayerValues!E:E,0)),"N/A")</f>
        <v>14059</v>
      </c>
      <c r="B3595" s="4" t="s">
        <v>435</v>
      </c>
      <c r="C3595" s="4" t="s">
        <v>283</v>
      </c>
      <c r="D3595" s="94">
        <v>4011.0</v>
      </c>
    </row>
    <row r="3596">
      <c r="A3596" s="40">
        <f t="array" ref="A3596">IFNA(index(PlayerValues!A:A,match(IFNA(vlookup(B3596,'Special Names'!A:B,2,FALSE),B3596),PlayerValues!E:E,0)),"N/A")</f>
        <v>16186</v>
      </c>
      <c r="B3596" s="4" t="s">
        <v>425</v>
      </c>
      <c r="C3596" s="4" t="s">
        <v>287</v>
      </c>
      <c r="D3596" s="94">
        <v>3973.0</v>
      </c>
    </row>
    <row r="3597">
      <c r="A3597" s="40">
        <f t="array" ref="A3597">IFNA(index(PlayerValues!A:A,match(IFNA(vlookup(B3597,'Special Names'!A:B,2,FALSE),B3597),PlayerValues!E:E,0)),"N/A")</f>
        <v>17052</v>
      </c>
      <c r="B3597" s="4" t="s">
        <v>417</v>
      </c>
      <c r="C3597" s="4" t="s">
        <v>278</v>
      </c>
      <c r="D3597" s="94">
        <v>3930.0</v>
      </c>
    </row>
    <row r="3598">
      <c r="A3598" s="40" t="str">
        <f t="array" ref="A3598">IFNA(index(PlayerValues!A:A,match(IFNA(vlookup(B3598,'Special Names'!A:B,2,FALSE),B3598),PlayerValues!E:E,0)),"N/A")</f>
        <v>N/A</v>
      </c>
      <c r="B3598" s="4" t="s">
        <v>95</v>
      </c>
      <c r="C3598" s="4" t="s">
        <v>325</v>
      </c>
      <c r="D3598" s="94">
        <v>3898.0</v>
      </c>
    </row>
    <row r="3599">
      <c r="A3599" s="40" t="str">
        <f t="array" ref="A3599">IFNA(index(PlayerValues!A:A,match(IFNA(vlookup(B3599,'Special Names'!A:B,2,FALSE),B3599),PlayerValues!E:E,0)),"N/A")</f>
        <v>N/A</v>
      </c>
      <c r="B3599" s="4" t="s">
        <v>107</v>
      </c>
      <c r="C3599" s="4" t="s">
        <v>325</v>
      </c>
      <c r="D3599" s="94">
        <v>3883.0</v>
      </c>
    </row>
    <row r="3600">
      <c r="A3600" s="40">
        <f t="array" ref="A3600">IFNA(index(PlayerValues!A:A,match(IFNA(vlookup(B3600,'Special Names'!A:B,2,FALSE),B3600),PlayerValues!E:E,0)),"N/A")</f>
        <v>17099</v>
      </c>
      <c r="B3600" s="4" t="s">
        <v>474</v>
      </c>
      <c r="C3600" s="4" t="s">
        <v>298</v>
      </c>
      <c r="D3600" s="94">
        <v>4362.0</v>
      </c>
    </row>
    <row r="3601">
      <c r="A3601" s="40" t="str">
        <f t="array" ref="A3601">IFNA(index(PlayerValues!A:A,match(IFNA(vlookup(B3601,'Special Names'!A:B,2,FALSE),B3601),PlayerValues!E:E,0)),"N/A")</f>
        <v>N/A</v>
      </c>
      <c r="B3601" s="4" t="s">
        <v>81</v>
      </c>
      <c r="C3601" s="4" t="s">
        <v>325</v>
      </c>
      <c r="D3601" s="94">
        <v>3862.0</v>
      </c>
    </row>
    <row r="3602">
      <c r="A3602" s="40">
        <f t="array" ref="A3602">IFNA(index(PlayerValues!A:A,match(IFNA(vlookup(B3602,'Special Names'!A:B,2,FALSE),B3602),PlayerValues!E:E,0)),"N/A")</f>
        <v>17502</v>
      </c>
      <c r="B3602" s="4" t="s">
        <v>451</v>
      </c>
      <c r="C3602" s="4" t="s">
        <v>287</v>
      </c>
      <c r="D3602" s="94">
        <v>3828.0</v>
      </c>
    </row>
    <row r="3603">
      <c r="A3603" s="40">
        <f t="array" ref="A3603">IFNA(index(PlayerValues!A:A,match(IFNA(vlookup(B3603,'Special Names'!A:B,2,FALSE),B3603),PlayerValues!E:E,0)),"N/A")</f>
        <v>12626</v>
      </c>
      <c r="B3603" s="4" t="s">
        <v>419</v>
      </c>
      <c r="C3603" s="4" t="s">
        <v>278</v>
      </c>
      <c r="D3603" s="94">
        <v>3818.0</v>
      </c>
    </row>
    <row r="3604">
      <c r="A3604" s="40">
        <f t="array" ref="A3604">IFNA(index(PlayerValues!A:A,match(IFNA(vlookup(B3604,'Special Names'!A:B,2,FALSE),B3604),PlayerValues!E:E,0)),"N/A")</f>
        <v>13635</v>
      </c>
      <c r="B3604" s="4" t="s">
        <v>424</v>
      </c>
      <c r="C3604" s="4" t="s">
        <v>287</v>
      </c>
      <c r="D3604" s="94">
        <v>3806.0</v>
      </c>
    </row>
    <row r="3605">
      <c r="A3605" s="40">
        <f t="array" ref="A3605">IFNA(index(PlayerValues!A:A,match(IFNA(vlookup(B3605,'Special Names'!A:B,2,FALSE),B3605),PlayerValues!E:E,0)),"N/A")</f>
        <v>14102</v>
      </c>
      <c r="B3605" s="4" t="s">
        <v>444</v>
      </c>
      <c r="C3605" s="4" t="s">
        <v>287</v>
      </c>
      <c r="D3605" s="94">
        <v>3731.0</v>
      </c>
    </row>
    <row r="3606">
      <c r="A3606" s="40">
        <f t="array" ref="A3606">IFNA(index(PlayerValues!A:A,match(IFNA(vlookup(B3606,'Special Names'!A:B,2,FALSE),B3606),PlayerValues!E:E,0)),"N/A")</f>
        <v>16206</v>
      </c>
      <c r="B3606" s="4" t="s">
        <v>431</v>
      </c>
      <c r="C3606" s="4" t="s">
        <v>287</v>
      </c>
      <c r="D3606" s="94">
        <v>3709.0</v>
      </c>
    </row>
    <row r="3607">
      <c r="A3607" s="40">
        <f t="array" ref="A3607">IFNA(index(PlayerValues!A:A,match(IFNA(vlookup(B3607,'Special Names'!A:B,2,FALSE),B3607),PlayerValues!E:E,0)),"N/A")</f>
        <v>17075</v>
      </c>
      <c r="B3607" s="4" t="s">
        <v>429</v>
      </c>
      <c r="C3607" s="4" t="s">
        <v>287</v>
      </c>
      <c r="D3607" s="94">
        <v>3707.0</v>
      </c>
    </row>
    <row r="3608">
      <c r="A3608" s="40">
        <f t="array" ref="A3608">IFNA(index(PlayerValues!A:A,match(IFNA(vlookup(B3608,'Special Names'!A:B,2,FALSE),B3608),PlayerValues!E:E,0)),"N/A")</f>
        <v>9431</v>
      </c>
      <c r="B3608" s="4" t="s">
        <v>428</v>
      </c>
      <c r="C3608" s="4" t="s">
        <v>283</v>
      </c>
      <c r="D3608" s="94">
        <v>3703.0</v>
      </c>
    </row>
    <row r="3609">
      <c r="A3609" s="40">
        <f t="array" ref="A3609">IFNA(index(PlayerValues!A:A,match(IFNA(vlookup(B3609,'Special Names'!A:B,2,FALSE),B3609),PlayerValues!E:E,0)),"N/A")</f>
        <v>17463</v>
      </c>
      <c r="B3609" s="4" t="s">
        <v>433</v>
      </c>
      <c r="C3609" s="4" t="s">
        <v>283</v>
      </c>
      <c r="D3609" s="94">
        <v>3690.0</v>
      </c>
    </row>
    <row r="3610">
      <c r="A3610" s="40">
        <f t="array" ref="A3610">IFNA(index(PlayerValues!A:A,match(IFNA(vlookup(B3610,'Special Names'!A:B,2,FALSE),B3610),PlayerValues!E:E,0)),"N/A")</f>
        <v>15789</v>
      </c>
      <c r="B3610" s="4" t="s">
        <v>421</v>
      </c>
      <c r="C3610" s="4" t="s">
        <v>287</v>
      </c>
      <c r="D3610" s="94">
        <v>3667.0</v>
      </c>
    </row>
    <row r="3611">
      <c r="A3611" s="40">
        <f t="array" ref="A3611">IFNA(index(PlayerValues!A:A,match(IFNA(vlookup(B3611,'Special Names'!A:B,2,FALSE),B3611),PlayerValues!E:E,0)),"N/A")</f>
        <v>17068</v>
      </c>
      <c r="B3611" s="4" t="s">
        <v>450</v>
      </c>
      <c r="C3611" s="4" t="s">
        <v>278</v>
      </c>
      <c r="D3611" s="94">
        <v>3649.0</v>
      </c>
    </row>
    <row r="3612">
      <c r="A3612" s="40">
        <f t="array" ref="A3612">IFNA(index(PlayerValues!A:A,match(IFNA(vlookup(B3612,'Special Names'!A:B,2,FALSE),B3612),PlayerValues!E:E,0)),"N/A")</f>
        <v>15757</v>
      </c>
      <c r="B3612" s="4" t="s">
        <v>449</v>
      </c>
      <c r="C3612" s="4" t="s">
        <v>287</v>
      </c>
      <c r="D3612" s="94">
        <v>3582.0</v>
      </c>
    </row>
    <row r="3613">
      <c r="A3613" s="40">
        <f t="array" ref="A3613">IFNA(index(PlayerValues!A:A,match(IFNA(vlookup(B3613,'Special Names'!A:B,2,FALSE),B3613),PlayerValues!E:E,0)),"N/A")</f>
        <v>17066</v>
      </c>
      <c r="B3613" s="4" t="s">
        <v>446</v>
      </c>
      <c r="C3613" s="4" t="s">
        <v>278</v>
      </c>
      <c r="D3613" s="94">
        <v>3570.0</v>
      </c>
    </row>
    <row r="3614">
      <c r="A3614" s="40">
        <f t="array" ref="A3614">IFNA(index(PlayerValues!A:A,match(IFNA(vlookup(B3614,'Special Names'!A:B,2,FALSE),B3614),PlayerValues!E:E,0)),"N/A")</f>
        <v>16622</v>
      </c>
      <c r="B3614" s="4" t="s">
        <v>517</v>
      </c>
      <c r="C3614" s="4" t="s">
        <v>287</v>
      </c>
      <c r="D3614" s="94">
        <v>3550.0</v>
      </c>
    </row>
    <row r="3615">
      <c r="A3615" s="40">
        <f t="array" ref="A3615">IFNA(index(PlayerValues!A:A,match(IFNA(vlookup(B3615,'Special Names'!A:B,2,FALSE),B3615),PlayerValues!E:E,0)),"N/A")</f>
        <v>14797</v>
      </c>
      <c r="B3615" s="4" t="s">
        <v>420</v>
      </c>
      <c r="C3615" s="4" t="s">
        <v>278</v>
      </c>
      <c r="D3615" s="94">
        <v>3547.0</v>
      </c>
    </row>
    <row r="3616">
      <c r="A3616" s="40">
        <f t="array" ref="A3616">IFNA(index(PlayerValues!A:A,match(IFNA(vlookup(B3616,'Special Names'!A:B,2,FALSE),B3616),PlayerValues!E:E,0)),"N/A")</f>
        <v>17083</v>
      </c>
      <c r="B3616" s="4" t="s">
        <v>479</v>
      </c>
      <c r="C3616" s="4" t="s">
        <v>287</v>
      </c>
      <c r="D3616" s="94">
        <v>3507.0</v>
      </c>
    </row>
    <row r="3617">
      <c r="A3617" s="40">
        <f t="array" ref="A3617">IFNA(index(PlayerValues!A:A,match(IFNA(vlookup(B3617,'Special Names'!A:B,2,FALSE),B3617),PlayerValues!E:E,0)),"N/A")</f>
        <v>16192</v>
      </c>
      <c r="B3617" s="4" t="s">
        <v>412</v>
      </c>
      <c r="C3617" s="4" t="s">
        <v>287</v>
      </c>
      <c r="D3617" s="94">
        <v>3483.0</v>
      </c>
    </row>
    <row r="3618">
      <c r="A3618" s="40">
        <f t="array" ref="A3618">IFNA(index(PlayerValues!A:A,match(IFNA(vlookup(B3618,'Special Names'!A:B,2,FALSE),B3618),PlayerValues!E:E,0)),"N/A")</f>
        <v>14109</v>
      </c>
      <c r="B3618" s="4" t="s">
        <v>437</v>
      </c>
      <c r="C3618" s="4" t="s">
        <v>287</v>
      </c>
      <c r="D3618" s="94">
        <v>3463.0</v>
      </c>
    </row>
    <row r="3619">
      <c r="A3619" s="40">
        <f t="array" ref="A3619">IFNA(index(PlayerValues!A:A,match(IFNA(vlookup(B3619,'Special Names'!A:B,2,FALSE),B3619),PlayerValues!E:E,0)),"N/A")</f>
        <v>16187</v>
      </c>
      <c r="B3619" s="4" t="s">
        <v>441</v>
      </c>
      <c r="C3619" s="4" t="s">
        <v>287</v>
      </c>
      <c r="D3619" s="94">
        <v>3458.0</v>
      </c>
    </row>
    <row r="3620">
      <c r="A3620" s="40">
        <f t="array" ref="A3620">IFNA(index(PlayerValues!A:A,match(IFNA(vlookup(B3620,'Special Names'!A:B,2,FALSE),B3620),PlayerValues!E:E,0)),"N/A")</f>
        <v>11675</v>
      </c>
      <c r="B3620" s="4" t="s">
        <v>438</v>
      </c>
      <c r="C3620" s="4" t="s">
        <v>287</v>
      </c>
      <c r="D3620" s="94">
        <v>3425.0</v>
      </c>
    </row>
    <row r="3621">
      <c r="A3621" s="40">
        <f t="array" ref="A3621">IFNA(index(PlayerValues!A:A,match(IFNA(vlookup(B3621,'Special Names'!A:B,2,FALSE),B3621),PlayerValues!E:E,0)),"N/A")</f>
        <v>17544</v>
      </c>
      <c r="B3621" s="4" t="s">
        <v>470</v>
      </c>
      <c r="C3621" s="4" t="s">
        <v>298</v>
      </c>
      <c r="D3621" s="94">
        <v>3876.0</v>
      </c>
    </row>
    <row r="3622">
      <c r="A3622" s="40">
        <f t="array" ref="A3622">IFNA(index(PlayerValues!A:A,match(IFNA(vlookup(B3622,'Special Names'!A:B,2,FALSE),B3622),PlayerValues!E:E,0)),"N/A")</f>
        <v>17500</v>
      </c>
      <c r="B3622" s="4" t="s">
        <v>430</v>
      </c>
      <c r="C3622" s="4" t="s">
        <v>287</v>
      </c>
      <c r="D3622" s="94">
        <v>3415.0</v>
      </c>
    </row>
    <row r="3623">
      <c r="A3623" s="40">
        <f t="array" ref="A3623">IFNA(index(PlayerValues!A:A,match(IFNA(vlookup(B3623,'Special Names'!A:B,2,FALSE),B3623),PlayerValues!E:E,0)),"N/A")</f>
        <v>16188</v>
      </c>
      <c r="B3623" s="4" t="s">
        <v>439</v>
      </c>
      <c r="C3623" s="4" t="s">
        <v>287</v>
      </c>
      <c r="D3623" s="94">
        <v>3392.0</v>
      </c>
    </row>
    <row r="3624">
      <c r="A3624" s="40" t="str">
        <f t="array" ref="A3624">IFNA(index(PlayerValues!A:A,match(IFNA(vlookup(B3624,'Special Names'!A:B,2,FALSE),B3624),PlayerValues!E:E,0)),"N/A")</f>
        <v>N/A</v>
      </c>
      <c r="B3624" s="4" t="s">
        <v>96</v>
      </c>
      <c r="C3624" s="4" t="s">
        <v>325</v>
      </c>
      <c r="D3624" s="94">
        <v>3392.0</v>
      </c>
    </row>
    <row r="3625">
      <c r="A3625" s="40">
        <f t="array" ref="A3625">IFNA(index(PlayerValues!A:A,match(IFNA(vlookup(B3625,'Special Names'!A:B,2,FALSE),B3625),PlayerValues!E:E,0)),"N/A")</f>
        <v>16620</v>
      </c>
      <c r="B3625" s="4" t="s">
        <v>467</v>
      </c>
      <c r="C3625" s="4" t="s">
        <v>287</v>
      </c>
      <c r="D3625" s="94">
        <v>3379.0</v>
      </c>
    </row>
    <row r="3626">
      <c r="A3626" s="40">
        <f t="array" ref="A3626">IFNA(index(PlayerValues!A:A,match(IFNA(vlookup(B3626,'Special Names'!A:B,2,FALSE),B3626),PlayerValues!E:E,0)),"N/A")</f>
        <v>14071</v>
      </c>
      <c r="B3626" s="4" t="s">
        <v>440</v>
      </c>
      <c r="C3626" s="4" t="s">
        <v>278</v>
      </c>
      <c r="D3626" s="94">
        <v>3375.0</v>
      </c>
    </row>
    <row r="3627">
      <c r="A3627" s="40">
        <f t="array" ref="A3627">IFNA(index(PlayerValues!A:A,match(IFNA(vlookup(B3627,'Special Names'!A:B,2,FALSE),B3627),PlayerValues!E:E,0)),"N/A")</f>
        <v>14842</v>
      </c>
      <c r="B3627" s="4" t="s">
        <v>456</v>
      </c>
      <c r="C3627" s="4" t="s">
        <v>287</v>
      </c>
      <c r="D3627" s="94">
        <v>3362.0</v>
      </c>
    </row>
    <row r="3628">
      <c r="A3628" s="40">
        <f t="array" ref="A3628">IFNA(index(PlayerValues!A:A,match(IFNA(vlookup(B3628,'Special Names'!A:B,2,FALSE),B3628),PlayerValues!E:E,0)),"N/A")</f>
        <v>16169</v>
      </c>
      <c r="B3628" s="4" t="s">
        <v>457</v>
      </c>
      <c r="C3628" s="4" t="s">
        <v>278</v>
      </c>
      <c r="D3628" s="94">
        <v>3361.0</v>
      </c>
    </row>
    <row r="3629">
      <c r="A3629" s="40">
        <f t="array" ref="A3629">IFNA(index(PlayerValues!A:A,match(IFNA(vlookup(B3629,'Special Names'!A:B,2,FALSE),B3629),PlayerValues!E:E,0)),"N/A")</f>
        <v>15798</v>
      </c>
      <c r="B3629" s="4" t="s">
        <v>443</v>
      </c>
      <c r="C3629" s="4" t="s">
        <v>298</v>
      </c>
      <c r="D3629" s="94">
        <v>3808.0</v>
      </c>
    </row>
    <row r="3630">
      <c r="A3630" s="40">
        <f t="array" ref="A3630">IFNA(index(PlayerValues!A:A,match(IFNA(vlookup(B3630,'Special Names'!A:B,2,FALSE),B3630),PlayerValues!E:E,0)),"N/A")</f>
        <v>15779</v>
      </c>
      <c r="B3630" s="4" t="s">
        <v>461</v>
      </c>
      <c r="C3630" s="4" t="s">
        <v>287</v>
      </c>
      <c r="D3630" s="94">
        <v>3342.0</v>
      </c>
    </row>
    <row r="3631">
      <c r="A3631" s="40">
        <f t="array" ref="A3631">IFNA(index(PlayerValues!A:A,match(IFNA(vlookup(B3631,'Special Names'!A:B,2,FALSE),B3631),PlayerValues!E:E,0)),"N/A")</f>
        <v>15261</v>
      </c>
      <c r="B3631" s="4" t="s">
        <v>466</v>
      </c>
      <c r="C3631" s="4" t="s">
        <v>278</v>
      </c>
      <c r="D3631" s="94">
        <v>3341.0</v>
      </c>
    </row>
    <row r="3632">
      <c r="A3632" s="40">
        <f t="array" ref="A3632">IFNA(index(PlayerValues!A:A,match(IFNA(vlookup(B3632,'Special Names'!A:B,2,FALSE),B3632),PlayerValues!E:E,0)),"N/A")</f>
        <v>16184</v>
      </c>
      <c r="B3632" s="4" t="s">
        <v>445</v>
      </c>
      <c r="C3632" s="4" t="s">
        <v>287</v>
      </c>
      <c r="D3632" s="94">
        <v>3333.0</v>
      </c>
    </row>
    <row r="3633">
      <c r="A3633" s="40">
        <f t="array" ref="A3633">IFNA(index(PlayerValues!A:A,match(IFNA(vlookup(B3633,'Special Names'!A:B,2,FALSE),B3633),PlayerValues!E:E,0)),"N/A")</f>
        <v>13299</v>
      </c>
      <c r="B3633" s="4" t="s">
        <v>448</v>
      </c>
      <c r="C3633" s="4" t="s">
        <v>298</v>
      </c>
      <c r="D3633" s="94">
        <v>3768.0</v>
      </c>
    </row>
    <row r="3634">
      <c r="A3634" s="40">
        <f t="array" ref="A3634">IFNA(index(PlayerValues!A:A,match(IFNA(vlookup(B3634,'Special Names'!A:B,2,FALSE),B3634),PlayerValues!E:E,0)),"N/A")</f>
        <v>17074</v>
      </c>
      <c r="B3634" s="4" t="s">
        <v>475</v>
      </c>
      <c r="C3634" s="4" t="s">
        <v>287</v>
      </c>
      <c r="D3634" s="94">
        <v>3312.0</v>
      </c>
    </row>
    <row r="3635">
      <c r="A3635" s="40">
        <f t="array" ref="A3635">IFNA(index(PlayerValues!A:A,match(IFNA(vlookup(B3635,'Special Names'!A:B,2,FALSE),B3635),PlayerValues!E:E,0)),"N/A")</f>
        <v>15799</v>
      </c>
      <c r="B3635" s="4" t="s">
        <v>468</v>
      </c>
      <c r="C3635" s="4" t="s">
        <v>298</v>
      </c>
      <c r="D3635" s="94">
        <v>3740.0</v>
      </c>
    </row>
    <row r="3636">
      <c r="A3636" s="40">
        <f t="array" ref="A3636">IFNA(index(PlayerValues!A:A,match(IFNA(vlookup(B3636,'Special Names'!A:B,2,FALSE),B3636),PlayerValues!E:E,0)),"N/A")</f>
        <v>11671</v>
      </c>
      <c r="B3636" s="4" t="s">
        <v>463</v>
      </c>
      <c r="C3636" s="4" t="s">
        <v>287</v>
      </c>
      <c r="D3636" s="94">
        <v>3277.0</v>
      </c>
    </row>
    <row r="3637">
      <c r="A3637" s="40" t="str">
        <f t="array" ref="A3637">IFNA(index(PlayerValues!A:A,match(IFNA(vlookup(B3637,'Special Names'!A:B,2,FALSE),B3637),PlayerValues!E:E,0)),"N/A")</f>
        <v>N/A</v>
      </c>
      <c r="B3637" s="4" t="s">
        <v>82</v>
      </c>
      <c r="C3637" s="4" t="s">
        <v>325</v>
      </c>
      <c r="D3637" s="94">
        <v>3259.0</v>
      </c>
    </row>
    <row r="3638">
      <c r="A3638" s="40">
        <f t="array" ref="A3638">IFNA(index(PlayerValues!A:A,match(IFNA(vlookup(B3638,'Special Names'!A:B,2,FALSE),B3638),PlayerValues!E:E,0)),"N/A")</f>
        <v>14127</v>
      </c>
      <c r="B3638" s="4" t="s">
        <v>486</v>
      </c>
      <c r="C3638" s="4" t="s">
        <v>287</v>
      </c>
      <c r="D3638" s="94">
        <v>3243.0</v>
      </c>
    </row>
    <row r="3639">
      <c r="A3639" s="40">
        <f t="array" ref="A3639">IFNA(index(PlayerValues!A:A,match(IFNA(vlookup(B3639,'Special Names'!A:B,2,FALSE),B3639),PlayerValues!E:E,0)),"N/A")</f>
        <v>13630</v>
      </c>
      <c r="B3639" s="4" t="s">
        <v>465</v>
      </c>
      <c r="C3639" s="4" t="s">
        <v>287</v>
      </c>
      <c r="D3639" s="94">
        <v>3238.0</v>
      </c>
    </row>
    <row r="3640">
      <c r="A3640" s="40">
        <f t="array" ref="A3640">IFNA(index(PlayerValues!A:A,match(IFNA(vlookup(B3640,'Special Names'!A:B,2,FALSE),B3640),PlayerValues!E:E,0)),"N/A")</f>
        <v>16213</v>
      </c>
      <c r="B3640" s="4" t="s">
        <v>458</v>
      </c>
      <c r="C3640" s="4" t="s">
        <v>298</v>
      </c>
      <c r="D3640" s="94">
        <v>3665.0</v>
      </c>
    </row>
    <row r="3641">
      <c r="A3641" s="40" t="str">
        <f t="array" ref="A3641">IFNA(index(PlayerValues!A:A,match(IFNA(vlookup(B3641,'Special Names'!A:B,2,FALSE),B3641),PlayerValues!E:E,0)),"N/A")</f>
        <v>N/A</v>
      </c>
      <c r="B3641" s="4" t="s">
        <v>97</v>
      </c>
      <c r="C3641" s="4" t="s">
        <v>325</v>
      </c>
      <c r="D3641" s="94">
        <v>3207.0</v>
      </c>
    </row>
    <row r="3642">
      <c r="A3642" s="40">
        <f t="array" ref="A3642">IFNA(index(PlayerValues!A:A,match(IFNA(vlookup(B3642,'Special Names'!A:B,2,FALSE),B3642),PlayerValues!E:E,0)),"N/A")</f>
        <v>16593</v>
      </c>
      <c r="B3642" s="4" t="s">
        <v>442</v>
      </c>
      <c r="C3642" s="4" t="s">
        <v>278</v>
      </c>
      <c r="D3642" s="94">
        <v>3186.0</v>
      </c>
    </row>
    <row r="3643">
      <c r="A3643" s="40">
        <f t="array" ref="A3643">IFNA(index(PlayerValues!A:A,match(IFNA(vlookup(B3643,'Special Names'!A:B,2,FALSE),B3643),PlayerValues!E:E,0)),"N/A")</f>
        <v>14823</v>
      </c>
      <c r="B3643" s="4" t="s">
        <v>459</v>
      </c>
      <c r="C3643" s="4" t="s">
        <v>278</v>
      </c>
      <c r="D3643" s="94">
        <v>3183.0</v>
      </c>
    </row>
    <row r="3644">
      <c r="A3644" s="40">
        <f t="array" ref="A3644">IFNA(index(PlayerValues!A:A,match(IFNA(vlookup(B3644,'Special Names'!A:B,2,FALSE),B3644),PlayerValues!E:E,0)),"N/A")</f>
        <v>16583</v>
      </c>
      <c r="B3644" s="4" t="s">
        <v>493</v>
      </c>
      <c r="C3644" s="4" t="s">
        <v>283</v>
      </c>
      <c r="D3644" s="94">
        <v>3143.0</v>
      </c>
    </row>
    <row r="3645">
      <c r="A3645" s="40">
        <f t="array" ref="A3645">IFNA(index(PlayerValues!A:A,match(IFNA(vlookup(B3645,'Special Names'!A:B,2,FALSE),B3645),PlayerValues!E:E,0)),"N/A")</f>
        <v>15742</v>
      </c>
      <c r="B3645" s="4" t="s">
        <v>447</v>
      </c>
      <c r="C3645" s="4" t="s">
        <v>278</v>
      </c>
      <c r="D3645" s="94">
        <v>3130.0</v>
      </c>
    </row>
    <row r="3646">
      <c r="A3646" s="40">
        <f t="array" ref="A3646">IFNA(index(PlayerValues!A:A,match(IFNA(vlookup(B3646,'Special Names'!A:B,2,FALSE),B3646),PlayerValues!E:E,0)),"N/A")</f>
        <v>14800</v>
      </c>
      <c r="B3646" s="4" t="s">
        <v>472</v>
      </c>
      <c r="C3646" s="4" t="s">
        <v>278</v>
      </c>
      <c r="D3646" s="94">
        <v>3129.0</v>
      </c>
    </row>
    <row r="3647">
      <c r="A3647" s="40" t="str">
        <f t="array" ref="A3647">IFNA(index(PlayerValues!A:A,match(IFNA(vlookup(B3647,'Special Names'!A:B,2,FALSE),B3647),PlayerValues!E:E,0)),"N/A")</f>
        <v>N/A</v>
      </c>
      <c r="B3647" s="4" t="s">
        <v>108</v>
      </c>
      <c r="C3647" s="4" t="s">
        <v>325</v>
      </c>
      <c r="D3647" s="94">
        <v>3108.0</v>
      </c>
    </row>
    <row r="3648">
      <c r="A3648" s="40">
        <f t="array" ref="A3648">IFNA(index(PlayerValues!A:A,match(IFNA(vlookup(B3648,'Special Names'!A:B,2,FALSE),B3648),PlayerValues!E:E,0)),"N/A")</f>
        <v>16809</v>
      </c>
      <c r="B3648" s="4" t="s">
        <v>455</v>
      </c>
      <c r="C3648" s="4" t="s">
        <v>287</v>
      </c>
      <c r="D3648" s="94">
        <v>3039.0</v>
      </c>
    </row>
    <row r="3649">
      <c r="A3649" s="40">
        <f t="array" ref="A3649">IFNA(index(PlayerValues!A:A,match(IFNA(vlookup(B3649,'Special Names'!A:B,2,FALSE),B3649),PlayerValues!E:E,0)),"N/A")</f>
        <v>16597</v>
      </c>
      <c r="B3649" s="4" t="s">
        <v>427</v>
      </c>
      <c r="C3649" s="4" t="s">
        <v>278</v>
      </c>
      <c r="D3649" s="94">
        <v>3038.0</v>
      </c>
    </row>
    <row r="3650">
      <c r="A3650" s="40">
        <f t="array" ref="A3650">IFNA(index(PlayerValues!A:A,match(IFNA(vlookup(B3650,'Special Names'!A:B,2,FALSE),B3650),PlayerValues!E:E,0)),"N/A")</f>
        <v>16080</v>
      </c>
      <c r="B3650" s="4" t="s">
        <v>499</v>
      </c>
      <c r="C3650" s="4" t="s">
        <v>287</v>
      </c>
      <c r="D3650" s="94">
        <v>3036.0</v>
      </c>
    </row>
    <row r="3651">
      <c r="A3651" s="40" t="str">
        <f t="array" ref="A3651">IFNA(index(PlayerValues!A:A,match(IFNA(vlookup(B3651,'Special Names'!A:B,2,FALSE),B3651),PlayerValues!E:E,0)),"N/A")</f>
        <v>N/A</v>
      </c>
      <c r="B3651" s="4" t="s">
        <v>84</v>
      </c>
      <c r="C3651" s="4" t="s">
        <v>325</v>
      </c>
      <c r="D3651" s="94">
        <v>3033.0</v>
      </c>
    </row>
    <row r="3652">
      <c r="A3652" s="40">
        <f t="array" ref="A3652">IFNA(index(PlayerValues!A:A,match(IFNA(vlookup(B3652,'Special Names'!A:B,2,FALSE),B3652),PlayerValues!E:E,0)),"N/A")</f>
        <v>16269</v>
      </c>
      <c r="B3652" s="4" t="s">
        <v>481</v>
      </c>
      <c r="C3652" s="4" t="s">
        <v>298</v>
      </c>
      <c r="D3652" s="94">
        <v>3441.0</v>
      </c>
    </row>
    <row r="3653">
      <c r="A3653" s="40">
        <f t="array" ref="A3653">IFNA(index(PlayerValues!A:A,match(IFNA(vlookup(B3653,'Special Names'!A:B,2,FALSE),B3653),PlayerValues!E:E,0)),"N/A")</f>
        <v>15761</v>
      </c>
      <c r="B3653" s="4" t="s">
        <v>491</v>
      </c>
      <c r="C3653" s="4" t="s">
        <v>287</v>
      </c>
      <c r="D3653" s="94">
        <v>3008.0</v>
      </c>
    </row>
    <row r="3654">
      <c r="A3654" s="40">
        <f t="array" ref="A3654">IFNA(index(PlayerValues!A:A,match(IFNA(vlookup(B3654,'Special Names'!A:B,2,FALSE),B3654),PlayerValues!E:E,0)),"N/A")</f>
        <v>16628</v>
      </c>
      <c r="B3654" s="4" t="s">
        <v>490</v>
      </c>
      <c r="C3654" s="4" t="s">
        <v>287</v>
      </c>
      <c r="D3654" s="94">
        <v>2998.0</v>
      </c>
    </row>
    <row r="3655">
      <c r="A3655" s="40">
        <f t="array" ref="A3655">IFNA(index(PlayerValues!A:A,match(IFNA(vlookup(B3655,'Special Names'!A:B,2,FALSE),B3655),PlayerValues!E:E,0)),"N/A")</f>
        <v>16584</v>
      </c>
      <c r="B3655" s="4" t="s">
        <v>569</v>
      </c>
      <c r="C3655" s="4" t="s">
        <v>283</v>
      </c>
      <c r="D3655" s="94">
        <v>2949.0</v>
      </c>
    </row>
    <row r="3656">
      <c r="A3656" s="40">
        <f t="array" ref="A3656">IFNA(index(PlayerValues!A:A,match(IFNA(vlookup(B3656,'Special Names'!A:B,2,FALSE),B3656),PlayerValues!E:E,0)),"N/A")</f>
        <v>17053</v>
      </c>
      <c r="B3656" s="4" t="s">
        <v>484</v>
      </c>
      <c r="C3656" s="4" t="s">
        <v>278</v>
      </c>
      <c r="D3656" s="94">
        <v>2944.0</v>
      </c>
    </row>
    <row r="3657">
      <c r="A3657" s="40">
        <f t="array" ref="A3657">IFNA(index(PlayerValues!A:A,match(IFNA(vlookup(B3657,'Special Names'!A:B,2,FALSE),B3657),PlayerValues!E:E,0)),"N/A")</f>
        <v>13163</v>
      </c>
      <c r="B3657" s="4" t="s">
        <v>473</v>
      </c>
      <c r="C3657" s="4" t="s">
        <v>287</v>
      </c>
      <c r="D3657" s="94">
        <v>2925.0</v>
      </c>
    </row>
    <row r="3658">
      <c r="A3658" s="40">
        <f t="array" ref="A3658">IFNA(index(PlayerValues!A:A,match(IFNA(vlookup(B3658,'Special Names'!A:B,2,FALSE),B3658),PlayerValues!E:E,0)),"N/A")</f>
        <v>15259</v>
      </c>
      <c r="B3658" s="4" t="s">
        <v>453</v>
      </c>
      <c r="C3658" s="4" t="s">
        <v>278</v>
      </c>
      <c r="D3658" s="94">
        <v>2924.0</v>
      </c>
    </row>
    <row r="3659">
      <c r="A3659" s="40" t="str">
        <f t="array" ref="A3659">IFNA(index(PlayerValues!A:A,match(IFNA(vlookup(B3659,'Special Names'!A:B,2,FALSE),B3659),PlayerValues!E:E,0)),"N/A")</f>
        <v>N/A</v>
      </c>
      <c r="B3659" s="4" t="s">
        <v>109</v>
      </c>
      <c r="C3659" s="4" t="s">
        <v>325</v>
      </c>
      <c r="D3659" s="94">
        <v>2915.0</v>
      </c>
    </row>
    <row r="3660">
      <c r="A3660" s="40">
        <f t="array" ref="A3660">IFNA(index(PlayerValues!A:A,match(IFNA(vlookup(B3660,'Special Names'!A:B,2,FALSE),B3660),PlayerValues!E:E,0)),"N/A")</f>
        <v>17256</v>
      </c>
      <c r="B3660" s="4" t="s">
        <v>462</v>
      </c>
      <c r="C3660" s="4" t="s">
        <v>278</v>
      </c>
      <c r="D3660" s="94">
        <v>2899.0</v>
      </c>
    </row>
    <row r="3661">
      <c r="A3661" s="40">
        <f t="array" ref="A3661">IFNA(index(PlayerValues!A:A,match(IFNA(vlookup(B3661,'Special Names'!A:B,2,FALSE),B3661),PlayerValues!E:E,0)),"N/A")</f>
        <v>17477</v>
      </c>
      <c r="B3661" s="4" t="s">
        <v>452</v>
      </c>
      <c r="C3661" s="4" t="s">
        <v>278</v>
      </c>
      <c r="D3661" s="94">
        <v>2887.0</v>
      </c>
    </row>
    <row r="3662">
      <c r="A3662" s="40">
        <f t="array" ref="A3662">IFNA(index(PlayerValues!A:A,match(IFNA(vlookup(B3662,'Special Names'!A:B,2,FALSE),B3662),PlayerValues!E:E,0)),"N/A")</f>
        <v>16723</v>
      </c>
      <c r="B3662" s="4" t="s">
        <v>502</v>
      </c>
      <c r="C3662" s="4" t="s">
        <v>298</v>
      </c>
      <c r="D3662" s="94">
        <v>3301.0</v>
      </c>
    </row>
    <row r="3663">
      <c r="A3663" s="40">
        <f t="array" ref="A3663">IFNA(index(PlayerValues!A:A,match(IFNA(vlookup(B3663,'Special Names'!A:B,2,FALSE),B3663),PlayerValues!E:E,0)),"N/A")</f>
        <v>17506</v>
      </c>
      <c r="B3663" s="4" t="s">
        <v>471</v>
      </c>
      <c r="C3663" s="4" t="s">
        <v>287</v>
      </c>
      <c r="D3663" s="94">
        <v>2875.0</v>
      </c>
    </row>
    <row r="3664">
      <c r="A3664" s="40">
        <f t="array" ref="A3664">IFNA(index(PlayerValues!A:A,match(IFNA(vlookup(B3664,'Special Names'!A:B,2,FALSE),B3664),PlayerValues!E:E,0)),"N/A")</f>
        <v>17476</v>
      </c>
      <c r="B3664" s="4" t="s">
        <v>494</v>
      </c>
      <c r="C3664" s="4" t="s">
        <v>278</v>
      </c>
      <c r="D3664" s="94">
        <v>2852.0</v>
      </c>
    </row>
    <row r="3665">
      <c r="A3665" s="40">
        <f t="array" ref="A3665">IFNA(index(PlayerValues!A:A,match(IFNA(vlookup(B3665,'Special Names'!A:B,2,FALSE),B3665),PlayerValues!E:E,0)),"N/A")</f>
        <v>15255</v>
      </c>
      <c r="B3665" s="4" t="s">
        <v>477</v>
      </c>
      <c r="C3665" s="4" t="s">
        <v>278</v>
      </c>
      <c r="D3665" s="94">
        <v>2852.0</v>
      </c>
    </row>
    <row r="3666">
      <c r="A3666" s="40">
        <f t="array" ref="A3666">IFNA(index(PlayerValues!A:A,match(IFNA(vlookup(B3666,'Special Names'!A:B,2,FALSE),B3666),PlayerValues!E:E,0)),"N/A")</f>
        <v>14138</v>
      </c>
      <c r="B3666" s="4" t="s">
        <v>531</v>
      </c>
      <c r="C3666" s="4" t="s">
        <v>298</v>
      </c>
      <c r="D3666" s="94">
        <v>3253.0</v>
      </c>
    </row>
    <row r="3667">
      <c r="A3667" s="40">
        <f t="array" ref="A3667">IFNA(index(PlayerValues!A:A,match(IFNA(vlookup(B3667,'Special Names'!A:B,2,FALSE),B3667),PlayerValues!E:E,0)),"N/A")</f>
        <v>17031</v>
      </c>
      <c r="B3667" s="4" t="s">
        <v>535</v>
      </c>
      <c r="C3667" s="4" t="s">
        <v>283</v>
      </c>
      <c r="D3667" s="94">
        <v>2825.0</v>
      </c>
    </row>
    <row r="3668">
      <c r="A3668" s="40">
        <f t="array" ref="A3668">IFNA(index(PlayerValues!A:A,match(IFNA(vlookup(B3668,'Special Names'!A:B,2,FALSE),B3668),PlayerValues!E:E,0)),"N/A")</f>
        <v>15712</v>
      </c>
      <c r="B3668" s="4" t="s">
        <v>488</v>
      </c>
      <c r="C3668" s="4" t="s">
        <v>278</v>
      </c>
      <c r="D3668" s="94">
        <v>2820.0</v>
      </c>
    </row>
    <row r="3669">
      <c r="A3669" s="40">
        <f t="array" ref="A3669">IFNA(index(PlayerValues!A:A,match(IFNA(vlookup(B3669,'Special Names'!A:B,2,FALSE),B3669),PlayerValues!E:E,0)),"N/A")</f>
        <v>13671</v>
      </c>
      <c r="B3669" s="4" t="s">
        <v>506</v>
      </c>
      <c r="C3669" s="4" t="s">
        <v>298</v>
      </c>
      <c r="D3669" s="94">
        <v>3230.0</v>
      </c>
    </row>
    <row r="3670">
      <c r="A3670" s="40">
        <f t="array" ref="A3670">IFNA(index(PlayerValues!A:A,match(IFNA(vlookup(B3670,'Special Names'!A:B,2,FALSE),B3670),PlayerValues!E:E,0)),"N/A")</f>
        <v>15889</v>
      </c>
      <c r="B3670" s="4" t="s">
        <v>503</v>
      </c>
      <c r="C3670" s="4" t="s">
        <v>298</v>
      </c>
      <c r="D3670" s="94">
        <v>3212.0</v>
      </c>
    </row>
    <row r="3671">
      <c r="A3671" s="40">
        <f t="array" ref="A3671">IFNA(index(PlayerValues!A:A,match(IFNA(vlookup(B3671,'Special Names'!A:B,2,FALSE),B3671),PlayerValues!E:E,0)),"N/A")</f>
        <v>17072</v>
      </c>
      <c r="B3671" s="4" t="s">
        <v>508</v>
      </c>
      <c r="C3671" s="4" t="s">
        <v>287</v>
      </c>
      <c r="D3671" s="94">
        <v>2781.0</v>
      </c>
    </row>
    <row r="3672">
      <c r="A3672" s="40">
        <f t="array" ref="A3672">IFNA(index(PlayerValues!A:A,match(IFNA(vlookup(B3672,'Special Names'!A:B,2,FALSE),B3672),PlayerValues!E:E,0)),"N/A")</f>
        <v>17157</v>
      </c>
      <c r="B3672" s="4" t="s">
        <v>524</v>
      </c>
      <c r="C3672" s="4" t="s">
        <v>287</v>
      </c>
      <c r="D3672" s="94">
        <v>2781.0</v>
      </c>
    </row>
    <row r="3673">
      <c r="A3673" s="40">
        <f t="array" ref="A3673">IFNA(index(PlayerValues!A:A,match(IFNA(vlookup(B3673,'Special Names'!A:B,2,FALSE),B3673),PlayerValues!E:E,0)),"N/A")</f>
        <v>14085</v>
      </c>
      <c r="B3673" s="4" t="s">
        <v>489</v>
      </c>
      <c r="C3673" s="4" t="s">
        <v>278</v>
      </c>
      <c r="D3673" s="94">
        <v>2770.0</v>
      </c>
    </row>
    <row r="3674">
      <c r="A3674" s="40" t="str">
        <f t="array" ref="A3674">IFNA(index(PlayerValues!A:A,match(IFNA(vlookup(B3674,'Special Names'!A:B,2,FALSE),B3674),PlayerValues!E:E,0)),"N/A")</f>
        <v>N/A</v>
      </c>
      <c r="B3674" s="4" t="s">
        <v>110</v>
      </c>
      <c r="C3674" s="4" t="s">
        <v>325</v>
      </c>
      <c r="D3674" s="94">
        <v>2768.0</v>
      </c>
    </row>
    <row r="3675">
      <c r="A3675" s="40">
        <f t="array" ref="A3675">IFNA(index(PlayerValues!A:A,match(IFNA(vlookup(B3675,'Special Names'!A:B,2,FALSE),B3675),PlayerValues!E:E,0)),"N/A")</f>
        <v>15241</v>
      </c>
      <c r="B3675" s="4" t="s">
        <v>546</v>
      </c>
      <c r="C3675" s="4" t="s">
        <v>283</v>
      </c>
      <c r="D3675" s="94">
        <v>2767.0</v>
      </c>
    </row>
    <row r="3676">
      <c r="A3676" s="40">
        <f t="array" ref="A3676">IFNA(index(PlayerValues!A:A,match(IFNA(vlookup(B3676,'Special Names'!A:B,2,FALSE),B3676),PlayerValues!E:E,0)),"N/A")</f>
        <v>16193</v>
      </c>
      <c r="B3676" s="4" t="s">
        <v>487</v>
      </c>
      <c r="C3676" s="4" t="s">
        <v>287</v>
      </c>
      <c r="D3676" s="94">
        <v>2766.0</v>
      </c>
    </row>
    <row r="3677">
      <c r="A3677" s="40" t="str">
        <f t="array" ref="A3677">IFNA(index(PlayerValues!A:A,match(IFNA(vlookup(B3677,'Special Names'!A:B,2,FALSE),B3677),PlayerValues!E:E,0)),"N/A")</f>
        <v>N/A</v>
      </c>
      <c r="B3677" s="4" t="s">
        <v>85</v>
      </c>
      <c r="C3677" s="4" t="s">
        <v>325</v>
      </c>
      <c r="D3677" s="94">
        <v>2765.0</v>
      </c>
    </row>
    <row r="3678">
      <c r="A3678" s="40">
        <f t="array" ref="A3678">IFNA(index(PlayerValues!A:A,match(IFNA(vlookup(B3678,'Special Names'!A:B,2,FALSE),B3678),PlayerValues!E:E,0)),"N/A")</f>
        <v>14778</v>
      </c>
      <c r="B3678" s="4" t="s">
        <v>564</v>
      </c>
      <c r="C3678" s="4" t="s">
        <v>283</v>
      </c>
      <c r="D3678" s="94">
        <v>2764.0</v>
      </c>
    </row>
    <row r="3679">
      <c r="A3679" s="40">
        <f t="array" ref="A3679">IFNA(index(PlayerValues!A:A,match(IFNA(vlookup(B3679,'Special Names'!A:B,2,FALSE),B3679),PlayerValues!E:E,0)),"N/A")</f>
        <v>16619</v>
      </c>
      <c r="B3679" s="4" t="s">
        <v>538</v>
      </c>
      <c r="C3679" s="4" t="s">
        <v>287</v>
      </c>
      <c r="D3679" s="94">
        <v>2751.0</v>
      </c>
    </row>
    <row r="3680">
      <c r="A3680" s="40">
        <f t="array" ref="A3680">IFNA(index(PlayerValues!A:A,match(IFNA(vlookup(B3680,'Special Names'!A:B,2,FALSE),B3680),PlayerValues!E:E,0)),"N/A")</f>
        <v>12616</v>
      </c>
      <c r="B3680" s="4" t="s">
        <v>529</v>
      </c>
      <c r="C3680" s="4" t="s">
        <v>283</v>
      </c>
      <c r="D3680" s="94">
        <v>2743.0</v>
      </c>
    </row>
    <row r="3681">
      <c r="A3681" s="40">
        <f t="array" ref="A3681">IFNA(index(PlayerValues!A:A,match(IFNA(vlookup(B3681,'Special Names'!A:B,2,FALSE),B3681),PlayerValues!E:E,0)),"N/A")</f>
        <v>17047</v>
      </c>
      <c r="B3681" s="4" t="s">
        <v>510</v>
      </c>
      <c r="C3681" s="4" t="s">
        <v>278</v>
      </c>
      <c r="D3681" s="94">
        <v>2740.0</v>
      </c>
    </row>
    <row r="3682">
      <c r="A3682" s="40">
        <f t="array" ref="A3682">IFNA(index(PlayerValues!A:A,match(IFNA(vlookup(B3682,'Special Names'!A:B,2,FALSE),B3682),PlayerValues!E:E,0)),"N/A")</f>
        <v>17073</v>
      </c>
      <c r="B3682" s="4" t="s">
        <v>547</v>
      </c>
      <c r="C3682" s="4" t="s">
        <v>287</v>
      </c>
      <c r="D3682" s="94">
        <v>2737.0</v>
      </c>
    </row>
    <row r="3683">
      <c r="A3683" s="40">
        <f t="array" ref="A3683">IFNA(index(PlayerValues!A:A,match(IFNA(vlookup(B3683,'Special Names'!A:B,2,FALSE),B3683),PlayerValues!E:E,0)),"N/A")</f>
        <v>17503</v>
      </c>
      <c r="B3683" s="4" t="s">
        <v>480</v>
      </c>
      <c r="C3683" s="4" t="s">
        <v>287</v>
      </c>
      <c r="D3683" s="94">
        <v>2726.0</v>
      </c>
    </row>
    <row r="3684">
      <c r="A3684" s="40">
        <f t="array" ref="A3684">IFNA(index(PlayerValues!A:A,match(IFNA(vlookup(B3684,'Special Names'!A:B,2,FALSE),B3684),PlayerValues!E:E,0)),"N/A")</f>
        <v>17080</v>
      </c>
      <c r="B3684" s="4" t="s">
        <v>532</v>
      </c>
      <c r="C3684" s="4" t="s">
        <v>287</v>
      </c>
      <c r="D3684" s="94">
        <v>2726.0</v>
      </c>
    </row>
    <row r="3685">
      <c r="A3685" s="40">
        <f t="array" ref="A3685">IFNA(index(PlayerValues!A:A,match(IFNA(vlookup(B3685,'Special Names'!A:B,2,FALSE),B3685),PlayerValues!E:E,0)),"N/A")</f>
        <v>17098</v>
      </c>
      <c r="B3685" s="4" t="s">
        <v>533</v>
      </c>
      <c r="C3685" s="4" t="s">
        <v>287</v>
      </c>
      <c r="D3685" s="94">
        <v>2722.0</v>
      </c>
    </row>
    <row r="3686">
      <c r="A3686" s="40">
        <f t="array" ref="A3686">IFNA(index(PlayerValues!A:A,match(IFNA(vlookup(B3686,'Special Names'!A:B,2,FALSE),B3686),PlayerValues!E:E,0)),"N/A")</f>
        <v>17107</v>
      </c>
      <c r="B3686" s="4" t="s">
        <v>478</v>
      </c>
      <c r="C3686" s="4" t="s">
        <v>298</v>
      </c>
      <c r="D3686" s="94">
        <v>3130.0</v>
      </c>
    </row>
    <row r="3687">
      <c r="A3687" s="40">
        <f t="array" ref="A3687">IFNA(index(PlayerValues!A:A,match(IFNA(vlookup(B3687,'Special Names'!A:B,2,FALSE),B3687),PlayerValues!E:E,0)),"N/A")</f>
        <v>15721</v>
      </c>
      <c r="B3687" s="4" t="s">
        <v>504</v>
      </c>
      <c r="C3687" s="4" t="s">
        <v>278</v>
      </c>
      <c r="D3687" s="94">
        <v>2714.0</v>
      </c>
    </row>
    <row r="3688">
      <c r="A3688" s="40">
        <f t="array" ref="A3688">IFNA(index(PlayerValues!A:A,match(IFNA(vlookup(B3688,'Special Names'!A:B,2,FALSE),B3688),PlayerValues!E:E,0)),"N/A")</f>
        <v>16596</v>
      </c>
      <c r="B3688" s="4" t="s">
        <v>501</v>
      </c>
      <c r="C3688" s="4" t="s">
        <v>278</v>
      </c>
      <c r="D3688" s="94">
        <v>2705.0</v>
      </c>
    </row>
    <row r="3689">
      <c r="A3689" s="40">
        <f t="array" ref="A3689">IFNA(index(PlayerValues!A:A,match(IFNA(vlookup(B3689,'Special Names'!A:B,2,FALSE),B3689),PlayerValues!E:E,0)),"N/A")</f>
        <v>14833</v>
      </c>
      <c r="B3689" s="4" t="s">
        <v>553</v>
      </c>
      <c r="C3689" s="4" t="s">
        <v>287</v>
      </c>
      <c r="D3689" s="94">
        <v>2704.0</v>
      </c>
    </row>
    <row r="3690">
      <c r="A3690" s="40">
        <f t="array" ref="A3690">IFNA(index(PlayerValues!A:A,match(IFNA(vlookup(B3690,'Special Names'!A:B,2,FALSE),B3690),PlayerValues!E:E,0)),"N/A")</f>
        <v>15972</v>
      </c>
      <c r="B3690" s="4" t="s">
        <v>469</v>
      </c>
      <c r="C3690" s="4" t="s">
        <v>278</v>
      </c>
      <c r="D3690" s="94">
        <v>2702.0</v>
      </c>
    </row>
    <row r="3691">
      <c r="A3691" s="40">
        <f t="array" ref="A3691">IFNA(index(PlayerValues!A:A,match(IFNA(vlookup(B3691,'Special Names'!A:B,2,FALSE),B3691),PlayerValues!E:E,0)),"N/A")</f>
        <v>17105</v>
      </c>
      <c r="B3691" s="4" t="s">
        <v>525</v>
      </c>
      <c r="C3691" s="4" t="s">
        <v>298</v>
      </c>
      <c r="D3691" s="94">
        <v>3109.0</v>
      </c>
    </row>
    <row r="3692">
      <c r="A3692" s="40">
        <f t="array" ref="A3692">IFNA(index(PlayerValues!A:A,match(IFNA(vlookup(B3692,'Special Names'!A:B,2,FALSE),B3692),PlayerValues!E:E,0)),"N/A")</f>
        <v>16165</v>
      </c>
      <c r="B3692" s="4" t="s">
        <v>520</v>
      </c>
      <c r="C3692" s="4" t="s">
        <v>278</v>
      </c>
      <c r="D3692" s="94">
        <v>2679.0</v>
      </c>
    </row>
    <row r="3693">
      <c r="A3693" s="40">
        <f t="array" ref="A3693">IFNA(index(PlayerValues!A:A,match(IFNA(vlookup(B3693,'Special Names'!A:B,2,FALSE),B3693),PlayerValues!E:E,0)),"N/A")</f>
        <v>14860</v>
      </c>
      <c r="B3693" s="4" t="s">
        <v>554</v>
      </c>
      <c r="C3693" s="4" t="s">
        <v>287</v>
      </c>
      <c r="D3693" s="94">
        <v>2664.0</v>
      </c>
    </row>
    <row r="3694">
      <c r="A3694" s="40">
        <f t="array" ref="A3694">IFNA(index(PlayerValues!A:A,match(IFNA(vlookup(B3694,'Special Names'!A:B,2,FALSE),B3694),PlayerValues!E:E,0)),"N/A")</f>
        <v>17171</v>
      </c>
      <c r="B3694" s="4" t="s">
        <v>561</v>
      </c>
      <c r="C3694" s="4" t="s">
        <v>287</v>
      </c>
      <c r="D3694" s="94">
        <v>2652.0</v>
      </c>
    </row>
    <row r="3695">
      <c r="A3695" s="40">
        <f t="array" ref="A3695">IFNA(index(PlayerValues!A:A,match(IFNA(vlookup(B3695,'Special Names'!A:B,2,FALSE),B3695),PlayerValues!E:E,0)),"N/A")</f>
        <v>16195</v>
      </c>
      <c r="B3695" s="4" t="s">
        <v>509</v>
      </c>
      <c r="C3695" s="4" t="s">
        <v>287</v>
      </c>
      <c r="D3695" s="94">
        <v>2649.0</v>
      </c>
    </row>
    <row r="3696">
      <c r="A3696" s="40">
        <f t="array" ref="A3696">IFNA(index(PlayerValues!A:A,match(IFNA(vlookup(B3696,'Special Names'!A:B,2,FALSE),B3696),PlayerValues!E:E,0)),"N/A")</f>
        <v>16747</v>
      </c>
      <c r="B3696" s="4" t="s">
        <v>555</v>
      </c>
      <c r="C3696" s="4" t="s">
        <v>278</v>
      </c>
      <c r="D3696" s="94">
        <v>2647.0</v>
      </c>
    </row>
    <row r="3697">
      <c r="A3697" s="40">
        <f t="array" ref="A3697">IFNA(index(PlayerValues!A:A,match(IFNA(vlookup(B3697,'Special Names'!A:B,2,FALSE),B3697),PlayerValues!E:E,0)),"N/A")</f>
        <v>17505</v>
      </c>
      <c r="B3697" s="4" t="s">
        <v>528</v>
      </c>
      <c r="C3697" s="4" t="s">
        <v>287</v>
      </c>
      <c r="D3697" s="94">
        <v>2646.0</v>
      </c>
    </row>
    <row r="3698">
      <c r="A3698" s="40" t="str">
        <f t="array" ref="A3698">IFNA(index(PlayerValues!A:A,match(IFNA(vlookup(B3698,'Special Names'!A:B,2,FALSE),B3698),PlayerValues!E:E,0)),"N/A")</f>
        <v>N/A</v>
      </c>
      <c r="B3698" s="4" t="s">
        <v>98</v>
      </c>
      <c r="C3698" s="4" t="s">
        <v>325</v>
      </c>
      <c r="D3698" s="94">
        <v>2638.0</v>
      </c>
    </row>
    <row r="3699">
      <c r="A3699" s="40">
        <f t="array" ref="A3699">IFNA(index(PlayerValues!A:A,match(IFNA(vlookup(B3699,'Special Names'!A:B,2,FALSE),B3699),PlayerValues!E:E,0)),"N/A")</f>
        <v>17082</v>
      </c>
      <c r="B3699" s="4" t="s">
        <v>498</v>
      </c>
      <c r="C3699" s="4" t="s">
        <v>287</v>
      </c>
      <c r="D3699" s="94">
        <v>2608.0</v>
      </c>
    </row>
    <row r="3700">
      <c r="A3700" s="40">
        <f t="array" ref="A3700">IFNA(index(PlayerValues!A:A,match(IFNA(vlookup(B3700,'Special Names'!A:B,2,FALSE),B3700),PlayerValues!E:E,0)),"N/A")</f>
        <v>13674</v>
      </c>
      <c r="B3700" s="4" t="s">
        <v>511</v>
      </c>
      <c r="C3700" s="4" t="s">
        <v>298</v>
      </c>
      <c r="D3700" s="94">
        <v>3010.0</v>
      </c>
    </row>
    <row r="3701">
      <c r="A3701" s="40">
        <f t="array" ref="A3701">IFNA(index(PlayerValues!A:A,match(IFNA(vlookup(B3701,'Special Names'!A:B,2,FALSE),B3701),PlayerValues!E:E,0)),"N/A")</f>
        <v>17509</v>
      </c>
      <c r="B3701" s="4" t="s">
        <v>551</v>
      </c>
      <c r="C3701" s="4" t="s">
        <v>287</v>
      </c>
      <c r="D3701" s="94">
        <v>2599.0</v>
      </c>
    </row>
    <row r="3702">
      <c r="A3702" s="40">
        <f t="array" ref="A3702">IFNA(index(PlayerValues!A:A,match(IFNA(vlookup(B3702,'Special Names'!A:B,2,FALSE),B3702),PlayerValues!E:E,0)),"N/A")</f>
        <v>17108</v>
      </c>
      <c r="B3702" s="4" t="s">
        <v>542</v>
      </c>
      <c r="C3702" s="4" t="s">
        <v>298</v>
      </c>
      <c r="D3702" s="94">
        <v>2984.0</v>
      </c>
    </row>
    <row r="3703">
      <c r="A3703" s="40">
        <f t="array" ref="A3703">IFNA(index(PlayerValues!A:A,match(IFNA(vlookup(B3703,'Special Names'!A:B,2,FALSE),B3703),PlayerValues!E:E,0)),"N/A")</f>
        <v>16287</v>
      </c>
      <c r="B3703" s="4" t="s">
        <v>516</v>
      </c>
      <c r="C3703" s="4" t="s">
        <v>287</v>
      </c>
      <c r="D3703" s="94">
        <v>2560.0</v>
      </c>
    </row>
    <row r="3704">
      <c r="A3704" s="40">
        <f t="array" ref="A3704">IFNA(index(PlayerValues!A:A,match(IFNA(vlookup(B3704,'Special Names'!A:B,2,FALSE),B3704),PlayerValues!E:E,0)),"N/A")</f>
        <v>16626</v>
      </c>
      <c r="B3704" s="4" t="s">
        <v>515</v>
      </c>
      <c r="C3704" s="4" t="s">
        <v>287</v>
      </c>
      <c r="D3704" s="94">
        <v>2557.0</v>
      </c>
    </row>
    <row r="3705">
      <c r="A3705" s="40">
        <f t="array" ref="A3705">IFNA(index(PlayerValues!A:A,match(IFNA(vlookup(B3705,'Special Names'!A:B,2,FALSE),B3705),PlayerValues!E:E,0)),"N/A")</f>
        <v>16617</v>
      </c>
      <c r="B3705" s="4" t="s">
        <v>541</v>
      </c>
      <c r="C3705" s="4" t="s">
        <v>287</v>
      </c>
      <c r="D3705" s="94">
        <v>2538.0</v>
      </c>
    </row>
    <row r="3706">
      <c r="A3706" s="40">
        <f t="array" ref="A3706">IFNA(index(PlayerValues!A:A,match(IFNA(vlookup(B3706,'Special Names'!A:B,2,FALSE),B3706),PlayerValues!E:E,0)),"N/A")</f>
        <v>17482</v>
      </c>
      <c r="B3706" s="4" t="s">
        <v>460</v>
      </c>
      <c r="C3706" s="4" t="s">
        <v>278</v>
      </c>
      <c r="D3706" s="94">
        <v>2523.0</v>
      </c>
    </row>
    <row r="3707">
      <c r="A3707" s="40">
        <f t="array" ref="A3707">IFNA(index(PlayerValues!A:A,match(IFNA(vlookup(B3707,'Special Names'!A:B,2,FALSE),B3707),PlayerValues!E:E,0)),"N/A")</f>
        <v>17134</v>
      </c>
      <c r="B3707" s="4" t="s">
        <v>548</v>
      </c>
      <c r="C3707" s="4" t="s">
        <v>287</v>
      </c>
      <c r="D3707" s="94">
        <v>2518.0</v>
      </c>
    </row>
    <row r="3708">
      <c r="A3708" s="40">
        <f t="array" ref="A3708">IFNA(index(PlayerValues!A:A,match(IFNA(vlookup(B3708,'Special Names'!A:B,2,FALSE),B3708),PlayerValues!E:E,0)),"N/A")</f>
        <v>17048</v>
      </c>
      <c r="B3708" s="4" t="s">
        <v>539</v>
      </c>
      <c r="C3708" s="4" t="s">
        <v>278</v>
      </c>
      <c r="D3708" s="94">
        <v>2496.0</v>
      </c>
    </row>
    <row r="3709">
      <c r="A3709" s="40">
        <f t="array" ref="A3709">IFNA(index(PlayerValues!A:A,match(IFNA(vlookup(B3709,'Special Names'!A:B,2,FALSE),B3709),PlayerValues!E:E,0)),"N/A")</f>
        <v>16684</v>
      </c>
      <c r="B3709" s="4" t="s">
        <v>500</v>
      </c>
      <c r="C3709" s="4" t="s">
        <v>287</v>
      </c>
      <c r="D3709" s="94">
        <v>2490.0</v>
      </c>
    </row>
    <row r="3710">
      <c r="A3710" s="40">
        <f t="array" ref="A3710">IFNA(index(PlayerValues!A:A,match(IFNA(vlookup(B3710,'Special Names'!A:B,2,FALSE),B3710),PlayerValues!E:E,0)),"N/A")</f>
        <v>16164</v>
      </c>
      <c r="B3710" s="4" t="s">
        <v>512</v>
      </c>
      <c r="C3710" s="4" t="s">
        <v>278</v>
      </c>
      <c r="D3710" s="94">
        <v>2489.0</v>
      </c>
    </row>
    <row r="3711">
      <c r="A3711" s="40">
        <f t="array" ref="A3711">IFNA(index(PlayerValues!A:A,match(IFNA(vlookup(B3711,'Special Names'!A:B,2,FALSE),B3711),PlayerValues!E:E,0)),"N/A")</f>
        <v>16174</v>
      </c>
      <c r="B3711" s="4" t="s">
        <v>505</v>
      </c>
      <c r="C3711" s="4" t="s">
        <v>278</v>
      </c>
      <c r="D3711" s="94">
        <v>2483.0</v>
      </c>
    </row>
    <row r="3712">
      <c r="A3712" s="40">
        <f t="array" ref="A3712">IFNA(index(PlayerValues!A:A,match(IFNA(vlookup(B3712,'Special Names'!A:B,2,FALSE),B3712),PlayerValues!E:E,0)),"N/A")</f>
        <v>17511</v>
      </c>
      <c r="B3712" s="4" t="s">
        <v>485</v>
      </c>
      <c r="C3712" s="4" t="s">
        <v>287</v>
      </c>
      <c r="D3712" s="94">
        <v>2468.0</v>
      </c>
    </row>
    <row r="3713">
      <c r="A3713" s="40">
        <f t="array" ref="A3713">IFNA(index(PlayerValues!A:A,match(IFNA(vlookup(B3713,'Special Names'!A:B,2,FALSE),B3713),PlayerValues!E:E,0)),"N/A")</f>
        <v>14840</v>
      </c>
      <c r="B3713" s="4" t="s">
        <v>731</v>
      </c>
      <c r="C3713" s="4" t="s">
        <v>287</v>
      </c>
      <c r="D3713" s="94">
        <v>2465.0</v>
      </c>
    </row>
    <row r="3714">
      <c r="A3714" s="40">
        <f t="array" ref="A3714">IFNA(index(PlayerValues!A:A,match(IFNA(vlookup(B3714,'Special Names'!A:B,2,FALSE),B3714),PlayerValues!E:E,0)),"N/A")</f>
        <v>16178</v>
      </c>
      <c r="B3714" s="4" t="s">
        <v>507</v>
      </c>
      <c r="C3714" s="4" t="s">
        <v>278</v>
      </c>
      <c r="D3714" s="94">
        <v>2463.0</v>
      </c>
    </row>
    <row r="3715">
      <c r="A3715" s="40">
        <f t="array" ref="A3715">IFNA(index(PlayerValues!A:A,match(IFNA(vlookup(B3715,'Special Names'!A:B,2,FALSE),B3715),PlayerValues!E:E,0)),"N/A")</f>
        <v>17507</v>
      </c>
      <c r="B3715" s="4" t="s">
        <v>495</v>
      </c>
      <c r="C3715" s="4" t="s">
        <v>287</v>
      </c>
      <c r="D3715" s="94">
        <v>2448.0</v>
      </c>
    </row>
    <row r="3716">
      <c r="A3716" s="40" t="str">
        <f t="array" ref="A3716">IFNA(index(PlayerValues!A:A,match(IFNA(vlookup(B3716,'Special Names'!A:B,2,FALSE),B3716),PlayerValues!E:E,0)),"N/A")</f>
        <v>N/A</v>
      </c>
      <c r="B3716" s="4" t="s">
        <v>557</v>
      </c>
      <c r="C3716" s="4" t="s">
        <v>278</v>
      </c>
      <c r="D3716" s="94">
        <v>2437.0</v>
      </c>
    </row>
    <row r="3717">
      <c r="A3717" s="40" t="str">
        <f t="array" ref="A3717">IFNA(index(PlayerValues!A:A,match(IFNA(vlookup(B3717,'Special Names'!A:B,2,FALSE),B3717),PlayerValues!E:E,0)),"N/A")</f>
        <v>N/A</v>
      </c>
      <c r="B3717" s="4" t="s">
        <v>99</v>
      </c>
      <c r="C3717" s="4" t="s">
        <v>325</v>
      </c>
      <c r="D3717" s="94">
        <v>2435.0</v>
      </c>
    </row>
    <row r="3718">
      <c r="A3718" s="40">
        <f t="array" ref="A3718">IFNA(index(PlayerValues!A:A,match(IFNA(vlookup(B3718,'Special Names'!A:B,2,FALSE),B3718),PlayerValues!E:E,0)),"N/A")</f>
        <v>13192</v>
      </c>
      <c r="B3718" s="4" t="s">
        <v>563</v>
      </c>
      <c r="C3718" s="4" t="s">
        <v>298</v>
      </c>
      <c r="D3718" s="94">
        <v>2836.0</v>
      </c>
    </row>
    <row r="3719">
      <c r="A3719" s="40">
        <f t="array" ref="A3719">IFNA(index(PlayerValues!A:A,match(IFNA(vlookup(B3719,'Special Names'!A:B,2,FALSE),B3719),PlayerValues!E:E,0)),"N/A")</f>
        <v>11244</v>
      </c>
      <c r="B3719" s="4" t="s">
        <v>519</v>
      </c>
      <c r="C3719" s="4" t="s">
        <v>298</v>
      </c>
      <c r="D3719" s="94">
        <v>2807.0</v>
      </c>
    </row>
    <row r="3720">
      <c r="A3720" s="40">
        <f t="array" ref="A3720">IFNA(index(PlayerValues!A:A,match(IFNA(vlookup(B3720,'Special Names'!A:B,2,FALSE),B3720),PlayerValues!E:E,0)),"N/A")</f>
        <v>15716</v>
      </c>
      <c r="B3720" s="4" t="s">
        <v>545</v>
      </c>
      <c r="C3720" s="4" t="s">
        <v>278</v>
      </c>
      <c r="D3720" s="94">
        <v>2404.0</v>
      </c>
    </row>
    <row r="3721">
      <c r="A3721" s="40">
        <f t="array" ref="A3721">IFNA(index(PlayerValues!A:A,match(IFNA(vlookup(B3721,'Special Names'!A:B,2,FALSE),B3721),PlayerValues!E:E,0)),"N/A")</f>
        <v>14861</v>
      </c>
      <c r="B3721" s="4" t="s">
        <v>523</v>
      </c>
      <c r="C3721" s="4" t="s">
        <v>298</v>
      </c>
      <c r="D3721" s="94">
        <v>2783.0</v>
      </c>
    </row>
    <row r="3722">
      <c r="A3722" s="40">
        <f t="array" ref="A3722">IFNA(index(PlayerValues!A:A,match(IFNA(vlookup(B3722,'Special Names'!A:B,2,FALSE),B3722),PlayerValues!E:E,0)),"N/A")</f>
        <v>17106</v>
      </c>
      <c r="B3722" s="4" t="s">
        <v>550</v>
      </c>
      <c r="C3722" s="4" t="s">
        <v>298</v>
      </c>
      <c r="D3722" s="94">
        <v>2782.0</v>
      </c>
    </row>
    <row r="3723">
      <c r="A3723" s="40">
        <f t="array" ref="A3723">IFNA(index(PlayerValues!A:A,match(IFNA(vlookup(B3723,'Special Names'!A:B,2,FALSE),B3723),PlayerValues!E:E,0)),"N/A")</f>
        <v>16204</v>
      </c>
      <c r="B3723" s="4" t="s">
        <v>530</v>
      </c>
      <c r="C3723" s="4" t="s">
        <v>287</v>
      </c>
      <c r="D3723" s="94">
        <v>2377.0</v>
      </c>
    </row>
    <row r="3724">
      <c r="A3724" s="40">
        <f t="array" ref="A3724">IFNA(index(PlayerValues!A:A,match(IFNA(vlookup(B3724,'Special Names'!A:B,2,FALSE),B3724),PlayerValues!E:E,0)),"N/A")</f>
        <v>16649</v>
      </c>
      <c r="B3724" s="4" t="s">
        <v>586</v>
      </c>
      <c r="C3724" s="4" t="s">
        <v>298</v>
      </c>
      <c r="D3724" s="94">
        <v>2771.0</v>
      </c>
    </row>
    <row r="3725">
      <c r="A3725" s="40">
        <f t="array" ref="A3725">IFNA(index(PlayerValues!A:A,match(IFNA(vlookup(B3725,'Special Names'!A:B,2,FALSE),B3725),PlayerValues!E:E,0)),"N/A")</f>
        <v>14136</v>
      </c>
      <c r="B3725" s="4" t="s">
        <v>536</v>
      </c>
      <c r="C3725" s="4" t="s">
        <v>287</v>
      </c>
      <c r="D3725" s="94">
        <v>2370.0</v>
      </c>
    </row>
    <row r="3726">
      <c r="A3726" s="40">
        <f t="array" ref="A3726">IFNA(index(PlayerValues!A:A,match(IFNA(vlookup(B3726,'Special Names'!A:B,2,FALSE),B3726),PlayerValues!E:E,0)),"N/A")</f>
        <v>15786</v>
      </c>
      <c r="B3726" s="4" t="s">
        <v>521</v>
      </c>
      <c r="C3726" s="4" t="s">
        <v>287</v>
      </c>
      <c r="D3726" s="94">
        <v>2369.0</v>
      </c>
    </row>
    <row r="3727">
      <c r="A3727" s="40">
        <f t="array" ref="A3727">IFNA(index(PlayerValues!A:A,match(IFNA(vlookup(B3727,'Special Names'!A:B,2,FALSE),B3727),PlayerValues!E:E,0)),"N/A")</f>
        <v>17078</v>
      </c>
      <c r="B3727" s="4" t="s">
        <v>543</v>
      </c>
      <c r="C3727" s="4" t="s">
        <v>287</v>
      </c>
      <c r="D3727" s="94">
        <v>2369.0</v>
      </c>
    </row>
    <row r="3728">
      <c r="A3728" s="40">
        <f t="array" ref="A3728">IFNA(index(PlayerValues!A:A,match(IFNA(vlookup(B3728,'Special Names'!A:B,2,FALSE),B3728),PlayerValues!E:E,0)),"N/A")</f>
        <v>16152</v>
      </c>
      <c r="B3728" s="4" t="s">
        <v>601</v>
      </c>
      <c r="C3728" s="4" t="s">
        <v>283</v>
      </c>
      <c r="D3728" s="94">
        <v>2363.0</v>
      </c>
    </row>
    <row r="3729">
      <c r="A3729" s="40">
        <f t="array" ref="A3729">IFNA(index(PlayerValues!A:A,match(IFNA(vlookup(B3729,'Special Names'!A:B,2,FALSE),B3729),PlayerValues!E:E,0)),"N/A")</f>
        <v>16594</v>
      </c>
      <c r="B3729" s="4" t="s">
        <v>607</v>
      </c>
      <c r="C3729" s="4" t="s">
        <v>278</v>
      </c>
      <c r="D3729" s="94">
        <v>2360.0</v>
      </c>
    </row>
    <row r="3730">
      <c r="A3730" s="40">
        <f t="array" ref="A3730">IFNA(index(PlayerValues!A:A,match(IFNA(vlookup(B3730,'Special Names'!A:B,2,FALSE),B3730),PlayerValues!E:E,0)),"N/A")</f>
        <v>17033</v>
      </c>
      <c r="B3730" s="4" t="s">
        <v>570</v>
      </c>
      <c r="C3730" s="4" t="s">
        <v>283</v>
      </c>
      <c r="D3730" s="94">
        <v>2358.0</v>
      </c>
    </row>
    <row r="3731">
      <c r="A3731" s="40">
        <f t="array" ref="A3731">IFNA(index(PlayerValues!A:A,match(IFNA(vlookup(B3731,'Special Names'!A:B,2,FALSE),B3731),PlayerValues!E:E,0)),"N/A")</f>
        <v>15802</v>
      </c>
      <c r="B3731" s="4" t="s">
        <v>566</v>
      </c>
      <c r="C3731" s="4" t="s">
        <v>298</v>
      </c>
      <c r="D3731" s="94">
        <v>2744.0</v>
      </c>
    </row>
    <row r="3732">
      <c r="A3732" s="40">
        <f t="array" ref="A3732">IFNA(index(PlayerValues!A:A,match(IFNA(vlookup(B3732,'Special Names'!A:B,2,FALSE),B3732),PlayerValues!E:E,0)),"N/A")</f>
        <v>16036</v>
      </c>
      <c r="B3732" s="4" t="s">
        <v>592</v>
      </c>
      <c r="C3732" s="4" t="s">
        <v>298</v>
      </c>
      <c r="D3732" s="94">
        <v>2738.0</v>
      </c>
    </row>
    <row r="3733">
      <c r="A3733" s="40">
        <f t="array" ref="A3733">IFNA(index(PlayerValues!A:A,match(IFNA(vlookup(B3733,'Special Names'!A:B,2,FALSE),B3733),PlayerValues!E:E,0)),"N/A")</f>
        <v>12676</v>
      </c>
      <c r="B3733" s="4" t="s">
        <v>537</v>
      </c>
      <c r="C3733" s="4" t="s">
        <v>298</v>
      </c>
      <c r="D3733" s="94">
        <v>2736.0</v>
      </c>
    </row>
    <row r="3734">
      <c r="A3734" s="40">
        <f t="array" ref="A3734">IFNA(index(PlayerValues!A:A,match(IFNA(vlookup(B3734,'Special Names'!A:B,2,FALSE),B3734),PlayerValues!E:E,0)),"N/A")</f>
        <v>16166</v>
      </c>
      <c r="B3734" s="4" t="s">
        <v>567</v>
      </c>
      <c r="C3734" s="4" t="s">
        <v>278</v>
      </c>
      <c r="D3734" s="94">
        <v>2312.0</v>
      </c>
    </row>
    <row r="3735">
      <c r="A3735" s="40">
        <f t="array" ref="A3735">IFNA(index(PlayerValues!A:A,match(IFNA(vlookup(B3735,'Special Names'!A:B,2,FALSE),B3735),PlayerValues!E:E,0)),"N/A")</f>
        <v>15749</v>
      </c>
      <c r="B3735" s="4" t="s">
        <v>574</v>
      </c>
      <c r="C3735" s="4" t="s">
        <v>278</v>
      </c>
      <c r="D3735" s="94">
        <v>2310.0</v>
      </c>
    </row>
    <row r="3736">
      <c r="A3736" s="40">
        <f t="array" ref="A3736">IFNA(index(PlayerValues!A:A,match(IFNA(vlookup(B3736,'Special Names'!A:B,2,FALSE),B3736),PlayerValues!E:E,0)),"N/A")</f>
        <v>16757</v>
      </c>
      <c r="B3736" s="4" t="s">
        <v>558</v>
      </c>
      <c r="C3736" s="4" t="s">
        <v>278</v>
      </c>
      <c r="D3736" s="94">
        <v>2309.0</v>
      </c>
    </row>
    <row r="3737">
      <c r="A3737" s="40">
        <f t="array" ref="A3737">IFNA(index(PlayerValues!A:A,match(IFNA(vlookup(B3737,'Special Names'!A:B,2,FALSE),B3737),PlayerValues!E:E,0)),"N/A")</f>
        <v>13772</v>
      </c>
      <c r="B3737" s="4" t="s">
        <v>544</v>
      </c>
      <c r="C3737" s="4" t="s">
        <v>298</v>
      </c>
      <c r="D3737" s="94">
        <v>2693.0</v>
      </c>
    </row>
    <row r="3738">
      <c r="A3738" s="40">
        <f t="array" ref="A3738">IFNA(index(PlayerValues!A:A,match(IFNA(vlookup(B3738,'Special Names'!A:B,2,FALSE),B3738),PlayerValues!E:E,0)),"N/A")</f>
        <v>17474</v>
      </c>
      <c r="B3738" s="4" t="s">
        <v>513</v>
      </c>
      <c r="C3738" s="4" t="s">
        <v>278</v>
      </c>
      <c r="D3738" s="94">
        <v>2292.0</v>
      </c>
    </row>
    <row r="3739">
      <c r="A3739" s="40">
        <f t="array" ref="A3739">IFNA(index(PlayerValues!A:A,match(IFNA(vlookup(B3739,'Special Names'!A:B,2,FALSE),B3739),PlayerValues!E:E,0)),"N/A")</f>
        <v>17508</v>
      </c>
      <c r="B3739" s="4" t="s">
        <v>534</v>
      </c>
      <c r="C3739" s="4" t="s">
        <v>287</v>
      </c>
      <c r="D3739" s="94">
        <v>2266.0</v>
      </c>
    </row>
    <row r="3740">
      <c r="A3740" s="40" t="str">
        <f t="array" ref="A3740">IFNA(index(PlayerValues!A:A,match(IFNA(vlookup(B3740,'Special Names'!A:B,2,FALSE),B3740),PlayerValues!E:E,0)),"N/A")</f>
        <v>N/A</v>
      </c>
      <c r="B3740" s="4" t="s">
        <v>86</v>
      </c>
      <c r="C3740" s="4" t="s">
        <v>325</v>
      </c>
      <c r="D3740" s="94">
        <v>2265.0</v>
      </c>
    </row>
    <row r="3741">
      <c r="A3741" s="40">
        <f t="array" ref="A3741">IFNA(index(PlayerValues!A:A,match(IFNA(vlookup(B3741,'Special Names'!A:B,2,FALSE),B3741),PlayerValues!E:E,0)),"N/A")</f>
        <v>16189</v>
      </c>
      <c r="B3741" s="4" t="s">
        <v>582</v>
      </c>
      <c r="C3741" s="4" t="s">
        <v>287</v>
      </c>
      <c r="D3741" s="94">
        <v>2242.0</v>
      </c>
    </row>
    <row r="3742">
      <c r="A3742" s="40">
        <f t="array" ref="A3742">IFNA(index(PlayerValues!A:A,match(IFNA(vlookup(B3742,'Special Names'!A:B,2,FALSE),B3742),PlayerValues!E:E,0)),"N/A")</f>
        <v>17512</v>
      </c>
      <c r="B3742" s="4" t="s">
        <v>483</v>
      </c>
      <c r="C3742" s="4" t="s">
        <v>287</v>
      </c>
      <c r="D3742" s="94">
        <v>2241.0</v>
      </c>
    </row>
    <row r="3743">
      <c r="A3743" s="40">
        <f t="array" ref="A3743">IFNA(index(PlayerValues!A:A,match(IFNA(vlookup(B3743,'Special Names'!A:B,2,FALSE),B3743),PlayerValues!E:E,0)),"N/A")</f>
        <v>17517</v>
      </c>
      <c r="B3743" s="4" t="s">
        <v>454</v>
      </c>
      <c r="C3743" s="4" t="s">
        <v>287</v>
      </c>
      <c r="D3743" s="94">
        <v>2235.0</v>
      </c>
    </row>
    <row r="3744">
      <c r="A3744" s="40">
        <f t="array" ref="A3744">IFNA(index(PlayerValues!A:A,match(IFNA(vlookup(B3744,'Special Names'!A:B,2,FALSE),B3744),PlayerValues!E:E,0)),"N/A")</f>
        <v>13319</v>
      </c>
      <c r="B3744" s="4" t="s">
        <v>549</v>
      </c>
      <c r="C3744" s="4" t="s">
        <v>278</v>
      </c>
      <c r="D3744" s="94">
        <v>2235.0</v>
      </c>
    </row>
    <row r="3745">
      <c r="A3745" s="40">
        <f t="array" ref="A3745">IFNA(index(PlayerValues!A:A,match(IFNA(vlookup(B3745,'Special Names'!A:B,2,FALSE),B3745),PlayerValues!E:E,0)),"N/A")</f>
        <v>16610</v>
      </c>
      <c r="B3745" s="4" t="s">
        <v>562</v>
      </c>
      <c r="C3745" s="4" t="s">
        <v>278</v>
      </c>
      <c r="D3745" s="94">
        <v>2233.0</v>
      </c>
    </row>
    <row r="3746">
      <c r="A3746" s="40">
        <f t="array" ref="A3746">IFNA(index(PlayerValues!A:A,match(IFNA(vlookup(B3746,'Special Names'!A:B,2,FALSE),B3746),PlayerValues!E:E,0)),"N/A")</f>
        <v>17478</v>
      </c>
      <c r="B3746" s="4" t="s">
        <v>527</v>
      </c>
      <c r="C3746" s="4" t="s">
        <v>278</v>
      </c>
      <c r="D3746" s="94">
        <v>2207.0</v>
      </c>
    </row>
    <row r="3747">
      <c r="A3747" s="40">
        <f t="array" ref="A3747">IFNA(index(PlayerValues!A:A,match(IFNA(vlookup(B3747,'Special Names'!A:B,2,FALSE),B3747),PlayerValues!E:E,0)),"N/A")</f>
        <v>17079</v>
      </c>
      <c r="B3747" s="4" t="s">
        <v>572</v>
      </c>
      <c r="C3747" s="4" t="s">
        <v>287</v>
      </c>
      <c r="D3747" s="94">
        <v>2201.0</v>
      </c>
    </row>
    <row r="3748">
      <c r="A3748" s="40">
        <f t="array" ref="A3748">IFNA(index(PlayerValues!A:A,match(IFNA(vlookup(B3748,'Special Names'!A:B,2,FALSE),B3748),PlayerValues!E:E,0)),"N/A")</f>
        <v>16212</v>
      </c>
      <c r="B3748" s="4" t="s">
        <v>568</v>
      </c>
      <c r="C3748" s="4" t="s">
        <v>298</v>
      </c>
      <c r="D3748" s="94">
        <v>2554.0</v>
      </c>
    </row>
    <row r="3749">
      <c r="A3749" s="40" t="str">
        <f t="array" ref="A3749">IFNA(index(PlayerValues!A:A,match(IFNA(vlookup(B3749,'Special Names'!A:B,2,FALSE),B3749),PlayerValues!E:E,0)),"N/A")</f>
        <v>N/A</v>
      </c>
      <c r="B3749" s="4" t="s">
        <v>100</v>
      </c>
      <c r="C3749" s="4" t="s">
        <v>325</v>
      </c>
      <c r="D3749" s="94">
        <v>2163.0</v>
      </c>
    </row>
    <row r="3750">
      <c r="A3750" s="40">
        <f t="array" ref="A3750">IFNA(index(PlayerValues!A:A,match(IFNA(vlookup(B3750,'Special Names'!A:B,2,FALSE),B3750),PlayerValues!E:E,0)),"N/A")</f>
        <v>17046</v>
      </c>
      <c r="B3750" s="4" t="s">
        <v>602</v>
      </c>
      <c r="C3750" s="4" t="s">
        <v>278</v>
      </c>
      <c r="D3750" s="94">
        <v>2157.0</v>
      </c>
    </row>
    <row r="3751">
      <c r="A3751" s="40" t="str">
        <f t="array" ref="A3751">IFNA(index(PlayerValues!A:A,match(IFNA(vlookup(B3751,'Special Names'!A:B,2,FALSE),B3751),PlayerValues!E:E,0)),"N/A")</f>
        <v>N/A</v>
      </c>
      <c r="B3751" s="4" t="s">
        <v>112</v>
      </c>
      <c r="C3751" s="4" t="s">
        <v>325</v>
      </c>
      <c r="D3751" s="94">
        <v>2151.0</v>
      </c>
    </row>
    <row r="3752">
      <c r="A3752" s="40">
        <f t="array" ref="A3752">IFNA(index(PlayerValues!A:A,match(IFNA(vlookup(B3752,'Special Names'!A:B,2,FALSE),B3752),PlayerValues!E:E,0)),"N/A")</f>
        <v>11150</v>
      </c>
      <c r="B3752" s="4" t="s">
        <v>559</v>
      </c>
      <c r="C3752" s="4" t="s">
        <v>283</v>
      </c>
      <c r="D3752" s="94">
        <v>2147.0</v>
      </c>
    </row>
    <row r="3753">
      <c r="A3753" s="40">
        <f t="array" ref="A3753">IFNA(index(PlayerValues!A:A,match(IFNA(vlookup(B3753,'Special Names'!A:B,2,FALSE),B3753),PlayerValues!E:E,0)),"N/A")</f>
        <v>17056</v>
      </c>
      <c r="B3753" s="4" t="s">
        <v>581</v>
      </c>
      <c r="C3753" s="4" t="s">
        <v>278</v>
      </c>
      <c r="D3753" s="94">
        <v>2147.0</v>
      </c>
    </row>
    <row r="3754">
      <c r="A3754" s="40">
        <f t="array" ref="A3754">IFNA(index(PlayerValues!A:A,match(IFNA(vlookup(B3754,'Special Names'!A:B,2,FALSE),B3754),PlayerValues!E:E,0)),"N/A")</f>
        <v>15238</v>
      </c>
      <c r="B3754" s="4" t="s">
        <v>613</v>
      </c>
      <c r="C3754" s="4" t="s">
        <v>283</v>
      </c>
      <c r="D3754" s="94">
        <v>2141.0</v>
      </c>
    </row>
    <row r="3755">
      <c r="A3755" s="40">
        <f t="array" ref="A3755">IFNA(index(PlayerValues!A:A,match(IFNA(vlookup(B3755,'Special Names'!A:B,2,FALSE),B3755),PlayerValues!E:E,0)),"N/A")</f>
        <v>12186</v>
      </c>
      <c r="B3755" s="4" t="s">
        <v>497</v>
      </c>
      <c r="C3755" s="4" t="s">
        <v>287</v>
      </c>
      <c r="D3755" s="94">
        <v>2140.0</v>
      </c>
    </row>
    <row r="3756">
      <c r="A3756" s="40">
        <f t="array" ref="A3756">IFNA(index(PlayerValues!A:A,match(IFNA(vlookup(B3756,'Special Names'!A:B,2,FALSE),B3756),PlayerValues!E:E,0)),"N/A")</f>
        <v>15331</v>
      </c>
      <c r="B3756" s="4" t="s">
        <v>560</v>
      </c>
      <c r="C3756" s="4" t="s">
        <v>298</v>
      </c>
      <c r="D3756" s="94">
        <v>2530.0</v>
      </c>
    </row>
    <row r="3757">
      <c r="A3757" s="40">
        <f t="array" ref="A3757">IFNA(index(PlayerValues!A:A,match(IFNA(vlookup(B3757,'Special Names'!A:B,2,FALSE),B3757),PlayerValues!E:E,0)),"N/A")</f>
        <v>14974</v>
      </c>
      <c r="B3757" s="4" t="s">
        <v>611</v>
      </c>
      <c r="C3757" s="4" t="s">
        <v>287</v>
      </c>
      <c r="D3757" s="94">
        <v>2133.0</v>
      </c>
    </row>
    <row r="3758">
      <c r="A3758" s="40">
        <f t="array" ref="A3758">IFNA(index(PlayerValues!A:A,match(IFNA(vlookup(B3758,'Special Names'!A:B,2,FALSE),B3758),PlayerValues!E:E,0)),"N/A")</f>
        <v>12801</v>
      </c>
      <c r="B3758" s="4" t="s">
        <v>722</v>
      </c>
      <c r="C3758" s="4" t="s">
        <v>287</v>
      </c>
      <c r="D3758" s="94">
        <v>2122.0</v>
      </c>
    </row>
    <row r="3759">
      <c r="A3759" s="40" t="str">
        <f t="array" ref="A3759">IFNA(index(PlayerValues!A:A,match(IFNA(vlookup(B3759,'Special Names'!A:B,2,FALSE),B3759),PlayerValues!E:E,0)),"N/A")</f>
        <v>N/A</v>
      </c>
      <c r="B3759" s="4" t="s">
        <v>87</v>
      </c>
      <c r="C3759" s="4" t="s">
        <v>325</v>
      </c>
      <c r="D3759" s="94">
        <v>2116.0</v>
      </c>
    </row>
    <row r="3760">
      <c r="A3760" s="40">
        <f t="array" ref="A3760">IFNA(index(PlayerValues!A:A,match(IFNA(vlookup(B3760,'Special Names'!A:B,2,FALSE),B3760),PlayerValues!E:E,0)),"N/A")</f>
        <v>16643</v>
      </c>
      <c r="B3760" s="4" t="s">
        <v>609</v>
      </c>
      <c r="C3760" s="4" t="s">
        <v>298</v>
      </c>
      <c r="D3760" s="94">
        <v>2491.0</v>
      </c>
    </row>
    <row r="3761">
      <c r="A3761" s="40">
        <f t="array" ref="A3761">IFNA(index(PlayerValues!A:A,match(IFNA(vlookup(B3761,'Special Names'!A:B,2,FALSE),B3761),PlayerValues!E:E,0)),"N/A")</f>
        <v>16432</v>
      </c>
      <c r="B3761" s="4" t="s">
        <v>620</v>
      </c>
      <c r="C3761" s="4" t="s">
        <v>278</v>
      </c>
      <c r="D3761" s="94">
        <v>2086.0</v>
      </c>
    </row>
    <row r="3762">
      <c r="A3762" s="40">
        <f t="array" ref="A3762">IFNA(index(PlayerValues!A:A,match(IFNA(vlookup(B3762,'Special Names'!A:B,2,FALSE),B3762),PlayerValues!E:E,0)),"N/A")</f>
        <v>17076</v>
      </c>
      <c r="B3762" s="4" t="s">
        <v>585</v>
      </c>
      <c r="C3762" s="4" t="s">
        <v>287</v>
      </c>
      <c r="D3762" s="94">
        <v>2086.0</v>
      </c>
    </row>
    <row r="3763">
      <c r="A3763" s="40">
        <f t="array" ref="A3763">IFNA(index(PlayerValues!A:A,match(IFNA(vlookup(B3763,'Special Names'!A:B,2,FALSE),B3763),PlayerValues!E:E,0)),"N/A")</f>
        <v>17055</v>
      </c>
      <c r="B3763" s="4" t="s">
        <v>565</v>
      </c>
      <c r="C3763" s="4" t="s">
        <v>278</v>
      </c>
      <c r="D3763" s="94">
        <v>2082.0</v>
      </c>
    </row>
    <row r="3764">
      <c r="A3764" s="40">
        <f t="array" ref="A3764">IFNA(index(PlayerValues!A:A,match(IFNA(vlookup(B3764,'Special Names'!A:B,2,FALSE),B3764),PlayerValues!E:E,0)),"N/A")</f>
        <v>17087</v>
      </c>
      <c r="B3764" s="4" t="s">
        <v>600</v>
      </c>
      <c r="C3764" s="4" t="s">
        <v>287</v>
      </c>
      <c r="D3764" s="94">
        <v>2082.0</v>
      </c>
    </row>
    <row r="3765">
      <c r="A3765" s="40" t="str">
        <f t="array" ref="A3765">IFNA(index(PlayerValues!A:A,match(IFNA(vlookup(B3765,'Special Names'!A:B,2,FALSE),B3765),PlayerValues!E:E,0)),"N/A")</f>
        <v>N/A</v>
      </c>
      <c r="B3765" s="4" t="s">
        <v>113</v>
      </c>
      <c r="C3765" s="4" t="s">
        <v>325</v>
      </c>
      <c r="D3765" s="94">
        <v>2076.0</v>
      </c>
    </row>
    <row r="3766">
      <c r="A3766" s="40">
        <f t="array" ref="A3766">IFNA(index(PlayerValues!A:A,match(IFNA(vlookup(B3766,'Special Names'!A:B,2,FALSE),B3766),PlayerValues!E:E,0)),"N/A")</f>
        <v>13633</v>
      </c>
      <c r="B3766" s="4" t="s">
        <v>625</v>
      </c>
      <c r="C3766" s="4" t="s">
        <v>287</v>
      </c>
      <c r="D3766" s="94">
        <v>2066.0</v>
      </c>
    </row>
    <row r="3767">
      <c r="A3767" s="40">
        <f t="array" ref="A3767">IFNA(index(PlayerValues!A:A,match(IFNA(vlookup(B3767,'Special Names'!A:B,2,FALSE),B3767),PlayerValues!E:E,0)),"N/A")</f>
        <v>17061</v>
      </c>
      <c r="B3767" s="4" t="s">
        <v>580</v>
      </c>
      <c r="C3767" s="4" t="s">
        <v>278</v>
      </c>
      <c r="D3767" s="94">
        <v>2065.0</v>
      </c>
    </row>
    <row r="3768">
      <c r="A3768" s="40">
        <f t="array" ref="A3768">IFNA(index(PlayerValues!A:A,match(IFNA(vlookup(B3768,'Special Names'!A:B,2,FALSE),B3768),PlayerValues!E:E,0)),"N/A")</f>
        <v>15293</v>
      </c>
      <c r="B3768" s="4" t="s">
        <v>578</v>
      </c>
      <c r="C3768" s="4" t="s">
        <v>287</v>
      </c>
      <c r="D3768" s="94">
        <v>2061.0</v>
      </c>
    </row>
    <row r="3769">
      <c r="A3769" s="40">
        <f t="array" ref="A3769">IFNA(index(PlayerValues!A:A,match(IFNA(vlookup(B3769,'Special Names'!A:B,2,FALSE),B3769),PlayerValues!E:E,0)),"N/A")</f>
        <v>16639</v>
      </c>
      <c r="B3769" s="4" t="s">
        <v>599</v>
      </c>
      <c r="C3769" s="4" t="s">
        <v>287</v>
      </c>
      <c r="D3769" s="94">
        <v>2051.0</v>
      </c>
    </row>
    <row r="3770">
      <c r="A3770" s="40">
        <f t="array" ref="A3770">IFNA(index(PlayerValues!A:A,match(IFNA(vlookup(B3770,'Special Names'!A:B,2,FALSE),B3770),PlayerValues!E:E,0)),"N/A")</f>
        <v>13132</v>
      </c>
      <c r="B3770" s="4" t="s">
        <v>598</v>
      </c>
      <c r="C3770" s="4" t="s">
        <v>278</v>
      </c>
      <c r="D3770" s="94">
        <v>2045.0</v>
      </c>
    </row>
    <row r="3771">
      <c r="A3771" s="40">
        <f t="array" ref="A3771">IFNA(index(PlayerValues!A:A,match(IFNA(vlookup(B3771,'Special Names'!A:B,2,FALSE),B3771),PlayerValues!E:E,0)),"N/A")</f>
        <v>14867</v>
      </c>
      <c r="B3771" s="4" t="s">
        <v>591</v>
      </c>
      <c r="C3771" s="4" t="s">
        <v>298</v>
      </c>
      <c r="D3771" s="94">
        <v>2433.0</v>
      </c>
    </row>
    <row r="3772">
      <c r="A3772" s="40">
        <f t="array" ref="A3772">IFNA(index(PlayerValues!A:A,match(IFNA(vlookup(B3772,'Special Names'!A:B,2,FALSE),B3772),PlayerValues!E:E,0)),"N/A")</f>
        <v>17060</v>
      </c>
      <c r="B3772" s="4" t="s">
        <v>603</v>
      </c>
      <c r="C3772" s="4" t="s">
        <v>278</v>
      </c>
      <c r="D3772" s="94">
        <v>2043.0</v>
      </c>
    </row>
    <row r="3773">
      <c r="A3773" s="40">
        <f t="array" ref="A3773">IFNA(index(PlayerValues!A:A,match(IFNA(vlookup(B3773,'Special Names'!A:B,2,FALSE),B3773),PlayerValues!E:E,0)),"N/A")</f>
        <v>17069</v>
      </c>
      <c r="B3773" s="4" t="s">
        <v>604</v>
      </c>
      <c r="C3773" s="4" t="s">
        <v>278</v>
      </c>
      <c r="D3773" s="94">
        <v>2039.0</v>
      </c>
    </row>
    <row r="3774">
      <c r="A3774" s="40">
        <f t="array" ref="A3774">IFNA(index(PlayerValues!A:A,match(IFNA(vlookup(B3774,'Special Names'!A:B,2,FALSE),B3774),PlayerValues!E:E,0)),"N/A")</f>
        <v>16342</v>
      </c>
      <c r="B3774" s="4" t="s">
        <v>583</v>
      </c>
      <c r="C3774" s="4" t="s">
        <v>287</v>
      </c>
      <c r="D3774" s="94">
        <v>2031.0</v>
      </c>
    </row>
    <row r="3775">
      <c r="A3775" s="40" t="str">
        <f t="array" ref="A3775">IFNA(index(PlayerValues!A:A,match(IFNA(vlookup(B3775,'Special Names'!A:B,2,FALSE),B3775),PlayerValues!E:E,0)),"N/A")</f>
        <v>N/A</v>
      </c>
      <c r="B3775" s="4" t="s">
        <v>88</v>
      </c>
      <c r="C3775" s="4" t="s">
        <v>325</v>
      </c>
      <c r="D3775" s="94">
        <v>2023.0</v>
      </c>
    </row>
    <row r="3776">
      <c r="A3776" s="40">
        <f t="array" ref="A3776">IFNA(index(PlayerValues!A:A,match(IFNA(vlookup(B3776,'Special Names'!A:B,2,FALSE),B3776),PlayerValues!E:E,0)),"N/A")</f>
        <v>14871</v>
      </c>
      <c r="B3776" s="4" t="s">
        <v>584</v>
      </c>
      <c r="C3776" s="4" t="s">
        <v>298</v>
      </c>
      <c r="D3776" s="94">
        <v>2400.0</v>
      </c>
    </row>
    <row r="3777">
      <c r="A3777" s="40">
        <f t="array" ref="A3777">IFNA(index(PlayerValues!A:A,match(IFNA(vlookup(B3777,'Special Names'!A:B,2,FALSE),B3777),PlayerValues!E:E,0)),"N/A")</f>
        <v>13146</v>
      </c>
      <c r="B3777" s="4" t="s">
        <v>652</v>
      </c>
      <c r="C3777" s="4" t="s">
        <v>278</v>
      </c>
      <c r="D3777" s="94">
        <v>1984.0</v>
      </c>
    </row>
    <row r="3778">
      <c r="A3778" s="40">
        <f t="array" ref="A3778">IFNA(index(PlayerValues!A:A,match(IFNA(vlookup(B3778,'Special Names'!A:B,2,FALSE),B3778),PlayerValues!E:E,0)),"N/A")</f>
        <v>10700</v>
      </c>
      <c r="B3778" s="4" t="s">
        <v>596</v>
      </c>
      <c r="C3778" s="4" t="s">
        <v>283</v>
      </c>
      <c r="D3778" s="94">
        <v>1981.0</v>
      </c>
    </row>
    <row r="3779">
      <c r="A3779" s="40">
        <f t="array" ref="A3779">IFNA(index(PlayerValues!A:A,match(IFNA(vlookup(B3779,'Special Names'!A:B,2,FALSE),B3779),PlayerValues!E:E,0)),"N/A")</f>
        <v>16191</v>
      </c>
      <c r="B3779" s="4" t="s">
        <v>666</v>
      </c>
      <c r="C3779" s="4" t="s">
        <v>287</v>
      </c>
      <c r="D3779" s="94">
        <v>1980.0</v>
      </c>
    </row>
    <row r="3780">
      <c r="A3780" s="40">
        <f t="array" ref="A3780">IFNA(index(PlayerValues!A:A,match(IFNA(vlookup(B3780,'Special Names'!A:B,2,FALSE),B3780),PlayerValues!E:E,0)),"N/A")</f>
        <v>17036</v>
      </c>
      <c r="B3780" s="4" t="s">
        <v>617</v>
      </c>
      <c r="C3780" s="4" t="s">
        <v>283</v>
      </c>
      <c r="D3780" s="94">
        <v>1971.0</v>
      </c>
    </row>
    <row r="3781">
      <c r="A3781" s="40">
        <f t="array" ref="A3781">IFNA(index(PlayerValues!A:A,match(IFNA(vlookup(B3781,'Special Names'!A:B,2,FALSE),B3781),PlayerValues!E:E,0)),"N/A")</f>
        <v>16171</v>
      </c>
      <c r="B3781" s="4" t="s">
        <v>618</v>
      </c>
      <c r="C3781" s="4" t="s">
        <v>278</v>
      </c>
      <c r="D3781" s="94">
        <v>1957.0</v>
      </c>
    </row>
    <row r="3782">
      <c r="A3782" s="40">
        <f t="array" ref="A3782">IFNA(index(PlayerValues!A:A,match(IFNA(vlookup(B3782,'Special Names'!A:B,2,FALSE),B3782),PlayerValues!E:E,0)),"N/A")</f>
        <v>16603</v>
      </c>
      <c r="B3782" s="4" t="s">
        <v>587</v>
      </c>
      <c r="C3782" s="4" t="s">
        <v>278</v>
      </c>
      <c r="D3782" s="94">
        <v>1954.0</v>
      </c>
    </row>
    <row r="3783">
      <c r="A3783" s="40">
        <f t="array" ref="A3783">IFNA(index(PlayerValues!A:A,match(IFNA(vlookup(B3783,'Special Names'!A:B,2,FALSE),B3783),PlayerValues!E:E,0)),"N/A")</f>
        <v>13629</v>
      </c>
      <c r="B3783" s="4" t="s">
        <v>619</v>
      </c>
      <c r="C3783" s="4" t="s">
        <v>287</v>
      </c>
      <c r="D3783" s="94">
        <v>1952.0</v>
      </c>
    </row>
    <row r="3784">
      <c r="A3784" s="40">
        <f t="array" ref="A3784">IFNA(index(PlayerValues!A:A,match(IFNA(vlookup(B3784,'Special Names'!A:B,2,FALSE),B3784),PlayerValues!E:E,0)),"N/A")</f>
        <v>17184</v>
      </c>
      <c r="B3784" s="4" t="s">
        <v>588</v>
      </c>
      <c r="C3784" s="4" t="s">
        <v>287</v>
      </c>
      <c r="D3784" s="94">
        <v>1936.0</v>
      </c>
    </row>
    <row r="3785">
      <c r="A3785" s="40">
        <f t="array" ref="A3785">IFNA(index(PlayerValues!A:A,match(IFNA(vlookup(B3785,'Special Names'!A:B,2,FALSE),B3785),PlayerValues!E:E,0)),"N/A")</f>
        <v>16216</v>
      </c>
      <c r="B3785" s="4" t="s">
        <v>595</v>
      </c>
      <c r="C3785" s="4" t="s">
        <v>298</v>
      </c>
      <c r="D3785" s="94">
        <v>2304.0</v>
      </c>
    </row>
    <row r="3786">
      <c r="A3786" s="40">
        <f t="array" ref="A3786">IFNA(index(PlayerValues!A:A,match(IFNA(vlookup(B3786,'Special Names'!A:B,2,FALSE),B3786),PlayerValues!E:E,0)),"N/A")</f>
        <v>13189</v>
      </c>
      <c r="B3786" s="4" t="s">
        <v>626</v>
      </c>
      <c r="C3786" s="4" t="s">
        <v>298</v>
      </c>
      <c r="D3786" s="94">
        <v>2296.0</v>
      </c>
    </row>
    <row r="3787">
      <c r="A3787" s="40">
        <f t="array" ref="A3787">IFNA(index(PlayerValues!A:A,match(IFNA(vlookup(B3787,'Special Names'!A:B,2,FALSE),B3787),PlayerValues!E:E,0)),"N/A")</f>
        <v>17049</v>
      </c>
      <c r="B3787" s="4" t="s">
        <v>624</v>
      </c>
      <c r="C3787" s="4" t="s">
        <v>278</v>
      </c>
      <c r="D3787" s="94">
        <v>1907.0</v>
      </c>
    </row>
    <row r="3788">
      <c r="A3788" s="40">
        <f t="array" ref="A3788">IFNA(index(PlayerValues!A:A,match(IFNA(vlookup(B3788,'Special Names'!A:B,2,FALSE),B3788),PlayerValues!E:E,0)),"N/A")</f>
        <v>13113</v>
      </c>
      <c r="B3788" s="4" t="s">
        <v>606</v>
      </c>
      <c r="C3788" s="4" t="s">
        <v>283</v>
      </c>
      <c r="D3788" s="94">
        <v>1895.0</v>
      </c>
    </row>
    <row r="3789">
      <c r="A3789" s="40" t="str">
        <f t="array" ref="A3789">IFNA(index(PlayerValues!A:A,match(IFNA(vlookup(B3789,'Special Names'!A:B,2,FALSE),B3789),PlayerValues!E:E,0)),"N/A")</f>
        <v>N/A</v>
      </c>
      <c r="B3789" s="4" t="s">
        <v>101</v>
      </c>
      <c r="C3789" s="4" t="s">
        <v>325</v>
      </c>
      <c r="D3789" s="94">
        <v>1881.0</v>
      </c>
    </row>
    <row r="3790">
      <c r="A3790" s="40">
        <f t="array" ref="A3790">IFNA(index(PlayerValues!A:A,match(IFNA(vlookup(B3790,'Special Names'!A:B,2,FALSE),B3790),PlayerValues!E:E,0)),"N/A")</f>
        <v>15254</v>
      </c>
      <c r="B3790" s="4" t="s">
        <v>633</v>
      </c>
      <c r="C3790" s="4" t="s">
        <v>278</v>
      </c>
      <c r="D3790" s="94">
        <v>1877.0</v>
      </c>
    </row>
    <row r="3791">
      <c r="A3791" s="40">
        <f t="array" ref="A3791">IFNA(index(PlayerValues!A:A,match(IFNA(vlookup(B3791,'Special Names'!A:B,2,FALSE),B3791),PlayerValues!E:E,0)),"N/A")</f>
        <v>16604</v>
      </c>
      <c r="B3791" s="4" t="s">
        <v>476</v>
      </c>
      <c r="C3791" s="4" t="s">
        <v>278</v>
      </c>
      <c r="D3791" s="94">
        <v>1857.0</v>
      </c>
    </row>
    <row r="3792">
      <c r="A3792" s="40">
        <f t="array" ref="A3792">IFNA(index(PlayerValues!A:A,match(IFNA(vlookup(B3792,'Special Names'!A:B,2,FALSE),B3792),PlayerValues!E:E,0)),"N/A")</f>
        <v>17034</v>
      </c>
      <c r="B3792" s="4" t="s">
        <v>643</v>
      </c>
      <c r="C3792" s="4" t="s">
        <v>283</v>
      </c>
      <c r="D3792" s="94">
        <v>1851.0</v>
      </c>
    </row>
    <row r="3793">
      <c r="A3793" s="40">
        <f t="array" ref="A3793">IFNA(index(PlayerValues!A:A,match(IFNA(vlookup(B3793,'Special Names'!A:B,2,FALSE),B3793),PlayerValues!E:E,0)),"N/A")</f>
        <v>16644</v>
      </c>
      <c r="B3793" s="4" t="s">
        <v>640</v>
      </c>
      <c r="C3793" s="4" t="s">
        <v>298</v>
      </c>
      <c r="D3793" s="94">
        <v>2230.0</v>
      </c>
    </row>
    <row r="3794">
      <c r="A3794" s="40">
        <f t="array" ref="A3794">IFNA(index(PlayerValues!A:A,match(IFNA(vlookup(B3794,'Special Names'!A:B,2,FALSE),B3794),PlayerValues!E:E,0)),"N/A")</f>
        <v>17547</v>
      </c>
      <c r="B3794" s="4" t="s">
        <v>552</v>
      </c>
      <c r="C3794" s="4" t="s">
        <v>298</v>
      </c>
      <c r="D3794" s="94">
        <v>2217.0</v>
      </c>
    </row>
    <row r="3795">
      <c r="A3795" s="40">
        <f t="array" ref="A3795">IFNA(index(PlayerValues!A:A,match(IFNA(vlookup(B3795,'Special Names'!A:B,2,FALSE),B3795),PlayerValues!E:E,0)),"N/A")</f>
        <v>16215</v>
      </c>
      <c r="B3795" s="4" t="s">
        <v>637</v>
      </c>
      <c r="C3795" s="4" t="s">
        <v>298</v>
      </c>
      <c r="D3795" s="94">
        <v>2216.0</v>
      </c>
    </row>
    <row r="3796">
      <c r="A3796" s="40" t="str">
        <f t="array" ref="A3796">IFNA(index(PlayerValues!A:A,match(IFNA(vlookup(B3796,'Special Names'!A:B,2,FALSE),B3796),PlayerValues!E:E,0)),"N/A")</f>
        <v>N/A</v>
      </c>
      <c r="B3796" s="4" t="s">
        <v>114</v>
      </c>
      <c r="C3796" s="4" t="s">
        <v>325</v>
      </c>
      <c r="D3796" s="94">
        <v>1832.0</v>
      </c>
    </row>
    <row r="3797">
      <c r="A3797" s="40">
        <f t="array" ref="A3797">IFNA(index(PlayerValues!A:A,match(IFNA(vlookup(B3797,'Special Names'!A:B,2,FALSE),B3797),PlayerValues!E:E,0)),"N/A")</f>
        <v>15787</v>
      </c>
      <c r="B3797" s="4" t="s">
        <v>610</v>
      </c>
      <c r="C3797" s="4" t="s">
        <v>287</v>
      </c>
      <c r="D3797" s="94">
        <v>1831.0</v>
      </c>
    </row>
    <row r="3798">
      <c r="A3798" s="40">
        <f t="array" ref="A3798">IFNA(index(PlayerValues!A:A,match(IFNA(vlookup(B3798,'Special Names'!A:B,2,FALSE),B3798),PlayerValues!E:E,0)),"N/A")</f>
        <v>15788</v>
      </c>
      <c r="B3798" s="4" t="s">
        <v>627</v>
      </c>
      <c r="C3798" s="4" t="s">
        <v>287</v>
      </c>
      <c r="D3798" s="94">
        <v>1826.0</v>
      </c>
    </row>
    <row r="3799">
      <c r="A3799" s="40">
        <f t="array" ref="A3799">IFNA(index(PlayerValues!A:A,match(IFNA(vlookup(B3799,'Special Names'!A:B,2,FALSE),B3799),PlayerValues!E:E,0)),"N/A")</f>
        <v>17086</v>
      </c>
      <c r="B3799" s="4" t="s">
        <v>612</v>
      </c>
      <c r="C3799" s="4" t="s">
        <v>287</v>
      </c>
      <c r="D3799" s="94">
        <v>1820.0</v>
      </c>
    </row>
    <row r="3800">
      <c r="A3800" s="40">
        <f t="array" ref="A3800">IFNA(index(PlayerValues!A:A,match(IFNA(vlookup(B3800,'Special Names'!A:B,2,FALSE),B3800),PlayerValues!E:E,0)),"N/A")</f>
        <v>17035</v>
      </c>
      <c r="B3800" s="4" t="s">
        <v>650</v>
      </c>
      <c r="C3800" s="4" t="s">
        <v>283</v>
      </c>
      <c r="D3800" s="94">
        <v>1811.0</v>
      </c>
    </row>
    <row r="3801">
      <c r="A3801" s="40">
        <f t="array" ref="A3801">IFNA(index(PlayerValues!A:A,match(IFNA(vlookup(B3801,'Special Names'!A:B,2,FALSE),B3801),PlayerValues!E:E,0)),"N/A")</f>
        <v>16752</v>
      </c>
      <c r="B3801" s="4" t="s">
        <v>597</v>
      </c>
      <c r="C3801" s="4" t="s">
        <v>278</v>
      </c>
      <c r="D3801" s="94">
        <v>1809.0</v>
      </c>
    </row>
    <row r="3802">
      <c r="A3802" s="40">
        <f t="array" ref="A3802">IFNA(index(PlayerValues!A:A,match(IFNA(vlookup(B3802,'Special Names'!A:B,2,FALSE),B3802),PlayerValues!E:E,0)),"N/A")</f>
        <v>13164</v>
      </c>
      <c r="B3802" s="4" t="s">
        <v>632</v>
      </c>
      <c r="C3802" s="4" t="s">
        <v>287</v>
      </c>
      <c r="D3802" s="94">
        <v>1808.0</v>
      </c>
    </row>
    <row r="3803">
      <c r="A3803" s="40">
        <f t="array" ref="A3803">IFNA(index(PlayerValues!A:A,match(IFNA(vlookup(B3803,'Special Names'!A:B,2,FALSE),B3803),PlayerValues!E:E,0)),"N/A")</f>
        <v>14105</v>
      </c>
      <c r="B3803" s="4" t="s">
        <v>675</v>
      </c>
      <c r="C3803" s="4" t="s">
        <v>287</v>
      </c>
      <c r="D3803" s="94">
        <v>1800.0</v>
      </c>
    </row>
    <row r="3804">
      <c r="A3804" s="40">
        <f t="array" ref="A3804">IFNA(index(PlayerValues!A:A,match(IFNA(vlookup(B3804,'Special Names'!A:B,2,FALSE),B3804),PlayerValues!E:E,0)),"N/A")</f>
        <v>7836</v>
      </c>
      <c r="B3804" s="4" t="s">
        <v>590</v>
      </c>
      <c r="C3804" s="4" t="s">
        <v>283</v>
      </c>
      <c r="D3804" s="94">
        <v>1794.0</v>
      </c>
    </row>
    <row r="3805">
      <c r="A3805" s="40">
        <f t="array" ref="A3805">IFNA(index(PlayerValues!A:A,match(IFNA(vlookup(B3805,'Special Names'!A:B,2,FALSE),B3805),PlayerValues!E:E,0)),"N/A")</f>
        <v>16201</v>
      </c>
      <c r="B3805" s="4" t="s">
        <v>589</v>
      </c>
      <c r="C3805" s="4" t="s">
        <v>287</v>
      </c>
      <c r="D3805" s="94">
        <v>1781.0</v>
      </c>
    </row>
    <row r="3806">
      <c r="A3806" s="40">
        <f t="array" ref="A3806">IFNA(index(PlayerValues!A:A,match(IFNA(vlookup(B3806,'Special Names'!A:B,2,FALSE),B3806),PlayerValues!E:E,0)),"N/A")</f>
        <v>17465</v>
      </c>
      <c r="B3806" s="4" t="s">
        <v>649</v>
      </c>
      <c r="C3806" s="4" t="s">
        <v>283</v>
      </c>
      <c r="D3806" s="94">
        <v>1768.0</v>
      </c>
    </row>
    <row r="3807">
      <c r="A3807" s="40">
        <f t="array" ref="A3807">IFNA(index(PlayerValues!A:A,match(IFNA(vlookup(B3807,'Special Names'!A:B,2,FALSE),B3807),PlayerValues!E:E,0)),"N/A")</f>
        <v>14143</v>
      </c>
      <c r="B3807" s="4" t="s">
        <v>635</v>
      </c>
      <c r="C3807" s="4" t="s">
        <v>298</v>
      </c>
      <c r="D3807" s="94">
        <v>2146.0</v>
      </c>
    </row>
    <row r="3808">
      <c r="A3808" s="40">
        <f t="array" ref="A3808">IFNA(index(PlayerValues!A:A,match(IFNA(vlookup(B3808,'Special Names'!A:B,2,FALSE),B3808),PlayerValues!E:E,0)),"N/A")</f>
        <v>17096</v>
      </c>
      <c r="B3808" s="4" t="s">
        <v>638</v>
      </c>
      <c r="C3808" s="4" t="s">
        <v>287</v>
      </c>
      <c r="D3808" s="94">
        <v>1759.0</v>
      </c>
    </row>
    <row r="3809">
      <c r="A3809" s="40">
        <f t="array" ref="A3809">IFNA(index(PlayerValues!A:A,match(IFNA(vlookup(B3809,'Special Names'!A:B,2,FALSE),B3809),PlayerValues!E:E,0)),"N/A")</f>
        <v>16778</v>
      </c>
      <c r="B3809" s="4" t="s">
        <v>577</v>
      </c>
      <c r="C3809" s="4" t="s">
        <v>287</v>
      </c>
      <c r="D3809" s="94">
        <v>1752.0</v>
      </c>
    </row>
    <row r="3810">
      <c r="A3810" s="40">
        <f t="array" ref="A3810">IFNA(index(PlayerValues!A:A,match(IFNA(vlookup(B3810,'Special Names'!A:B,2,FALSE),B3810),PlayerValues!E:E,0)),"N/A")</f>
        <v>17520</v>
      </c>
      <c r="B3810" s="4" t="s">
        <v>518</v>
      </c>
      <c r="C3810" s="4" t="s">
        <v>287</v>
      </c>
      <c r="D3810" s="94">
        <v>1739.0</v>
      </c>
    </row>
    <row r="3811">
      <c r="A3811" s="40">
        <f t="array" ref="A3811">IFNA(index(PlayerValues!A:A,match(IFNA(vlookup(B3811,'Special Names'!A:B,2,FALSE),B3811),PlayerValues!E:E,0)),"N/A")</f>
        <v>16635</v>
      </c>
      <c r="B3811" s="4" t="s">
        <v>645</v>
      </c>
      <c r="C3811" s="4" t="s">
        <v>287</v>
      </c>
      <c r="D3811" s="94">
        <v>1734.0</v>
      </c>
    </row>
    <row r="3812">
      <c r="A3812" s="40">
        <f t="array" ref="A3812">IFNA(index(PlayerValues!A:A,match(IFNA(vlookup(B3812,'Special Names'!A:B,2,FALSE),B3812),PlayerValues!E:E,0)),"N/A")</f>
        <v>15755</v>
      </c>
      <c r="B3812" s="4" t="s">
        <v>628</v>
      </c>
      <c r="C3812" s="4" t="s">
        <v>287</v>
      </c>
      <c r="D3812" s="94">
        <v>1729.0</v>
      </c>
    </row>
    <row r="3813">
      <c r="A3813" s="40" t="str">
        <f t="array" ref="A3813">IFNA(index(PlayerValues!A:A,match(IFNA(vlookup(B3813,'Special Names'!A:B,2,FALSE),B3813),PlayerValues!E:E,0)),"N/A")</f>
        <v>N/A</v>
      </c>
      <c r="B3813" s="4" t="s">
        <v>89</v>
      </c>
      <c r="C3813" s="4" t="s">
        <v>325</v>
      </c>
      <c r="D3813" s="94">
        <v>1720.0</v>
      </c>
    </row>
    <row r="3814">
      <c r="A3814" s="40">
        <f t="array" ref="A3814">IFNA(index(PlayerValues!A:A,match(IFNA(vlookup(B3814,'Special Names'!A:B,2,FALSE),B3814),PlayerValues!E:E,0)),"N/A")</f>
        <v>16586</v>
      </c>
      <c r="B3814" s="4" t="s">
        <v>658</v>
      </c>
      <c r="C3814" s="4" t="s">
        <v>283</v>
      </c>
      <c r="D3814" s="94">
        <v>1717.0</v>
      </c>
    </row>
    <row r="3815">
      <c r="A3815" s="40">
        <f t="array" ref="A3815">IFNA(index(PlayerValues!A:A,match(IFNA(vlookup(B3815,'Special Names'!A:B,2,FALSE),B3815),PlayerValues!E:E,0)),"N/A")</f>
        <v>15301</v>
      </c>
      <c r="B3815" s="4" t="s">
        <v>657</v>
      </c>
      <c r="C3815" s="4" t="s">
        <v>287</v>
      </c>
      <c r="D3815" s="94">
        <v>1709.0</v>
      </c>
    </row>
    <row r="3816">
      <c r="A3816" s="40">
        <f t="array" ref="A3816">IFNA(index(PlayerValues!A:A,match(IFNA(vlookup(B3816,'Special Names'!A:B,2,FALSE),B3816),PlayerValues!E:E,0)),"N/A")</f>
        <v>15797</v>
      </c>
      <c r="B3816" s="4" t="s">
        <v>556</v>
      </c>
      <c r="C3816" s="4" t="s">
        <v>298</v>
      </c>
      <c r="D3816" s="94">
        <v>2087.0</v>
      </c>
    </row>
    <row r="3817">
      <c r="A3817" s="40" t="str">
        <f t="array" ref="A3817">IFNA(index(PlayerValues!A:A,match(IFNA(vlookup(B3817,'Special Names'!A:B,2,FALSE),B3817),PlayerValues!E:E,0)),"N/A")</f>
        <v>N/A</v>
      </c>
      <c r="B3817" s="4" t="s">
        <v>102</v>
      </c>
      <c r="C3817" s="4" t="s">
        <v>325</v>
      </c>
      <c r="D3817" s="94">
        <v>1689.0</v>
      </c>
    </row>
    <row r="3818">
      <c r="A3818" s="40">
        <f t="array" ref="A3818">IFNA(index(PlayerValues!A:A,match(IFNA(vlookup(B3818,'Special Names'!A:B,2,FALSE),B3818),PlayerValues!E:E,0)),"N/A")</f>
        <v>16585</v>
      </c>
      <c r="B3818" s="4" t="s">
        <v>623</v>
      </c>
      <c r="C3818" s="4" t="s">
        <v>283</v>
      </c>
      <c r="D3818" s="94">
        <v>1687.0</v>
      </c>
    </row>
    <row r="3819">
      <c r="A3819" s="40" t="str">
        <f t="array" ref="A3819">IFNA(index(PlayerValues!A:A,match(IFNA(vlookup(B3819,'Special Names'!A:B,2,FALSE),B3819),PlayerValues!E:E,0)),"N/A")</f>
        <v>N/A</v>
      </c>
      <c r="B3819" s="4" t="s">
        <v>115</v>
      </c>
      <c r="C3819" s="4" t="s">
        <v>325</v>
      </c>
      <c r="D3819" s="94">
        <v>1672.0</v>
      </c>
    </row>
    <row r="3820">
      <c r="A3820" s="40">
        <f t="array" ref="A3820">IFNA(index(PlayerValues!A:A,match(IFNA(vlookup(B3820,'Special Names'!A:B,2,FALSE),B3820),PlayerValues!E:E,0)),"N/A")</f>
        <v>17064</v>
      </c>
      <c r="B3820" s="4" t="s">
        <v>631</v>
      </c>
      <c r="C3820" s="4" t="s">
        <v>278</v>
      </c>
      <c r="D3820" s="94">
        <v>1671.0</v>
      </c>
    </row>
    <row r="3821">
      <c r="A3821" s="40" t="str">
        <f t="array" ref="A3821">IFNA(index(PlayerValues!A:A,match(IFNA(vlookup(B3821,'Special Names'!A:B,2,FALSE),B3821),PlayerValues!E:E,0)),"N/A")</f>
        <v>N/A</v>
      </c>
      <c r="B3821" s="4" t="s">
        <v>103</v>
      </c>
      <c r="C3821" s="4" t="s">
        <v>325</v>
      </c>
      <c r="D3821" s="94">
        <v>1669.0</v>
      </c>
    </row>
    <row r="3822">
      <c r="A3822" s="40">
        <f t="array" ref="A3822">IFNA(index(PlayerValues!A:A,match(IFNA(vlookup(B3822,'Special Names'!A:B,2,FALSE),B3822),PlayerValues!E:E,0)),"N/A")</f>
        <v>16629</v>
      </c>
      <c r="B3822" s="4" t="s">
        <v>605</v>
      </c>
      <c r="C3822" s="4" t="s">
        <v>287</v>
      </c>
      <c r="D3822" s="94">
        <v>1667.0</v>
      </c>
    </row>
    <row r="3823">
      <c r="A3823" s="40">
        <f t="array" ref="A3823">IFNA(index(PlayerValues!A:A,match(IFNA(vlookup(B3823,'Special Names'!A:B,2,FALSE),B3823),PlayerValues!E:E,0)),"N/A")</f>
        <v>16788</v>
      </c>
      <c r="B3823" s="4" t="s">
        <v>621</v>
      </c>
      <c r="C3823" s="4" t="s">
        <v>287</v>
      </c>
      <c r="D3823" s="94">
        <v>1656.0</v>
      </c>
    </row>
    <row r="3824">
      <c r="A3824" s="40">
        <f t="array" ref="A3824">IFNA(index(PlayerValues!A:A,match(IFNA(vlookup(B3824,'Special Names'!A:B,2,FALSE),B3824),PlayerValues!E:E,0)),"N/A")</f>
        <v>16601</v>
      </c>
      <c r="B3824" s="4" t="s">
        <v>648</v>
      </c>
      <c r="C3824" s="4" t="s">
        <v>278</v>
      </c>
      <c r="D3824" s="94">
        <v>1652.0</v>
      </c>
    </row>
    <row r="3825">
      <c r="A3825" s="40">
        <f t="array" ref="A3825">IFNA(index(PlayerValues!A:A,match(IFNA(vlookup(B3825,'Special Names'!A:B,2,FALSE),B3825),PlayerValues!E:E,0)),"N/A")</f>
        <v>16207</v>
      </c>
      <c r="B3825" s="4" t="s">
        <v>636</v>
      </c>
      <c r="C3825" s="4" t="s">
        <v>287</v>
      </c>
      <c r="D3825" s="94">
        <v>1650.0</v>
      </c>
    </row>
    <row r="3826">
      <c r="A3826" s="40">
        <f t="array" ref="A3826">IFNA(index(PlayerValues!A:A,match(IFNA(vlookup(B3826,'Special Names'!A:B,2,FALSE),B3826),PlayerValues!E:E,0)),"N/A")</f>
        <v>17058</v>
      </c>
      <c r="B3826" s="4" t="s">
        <v>641</v>
      </c>
      <c r="C3826" s="4" t="s">
        <v>278</v>
      </c>
      <c r="D3826" s="94">
        <v>1649.0</v>
      </c>
    </row>
    <row r="3827">
      <c r="A3827" s="40">
        <f t="array" ref="A3827">IFNA(index(PlayerValues!A:A,match(IFNA(vlookup(B3827,'Special Names'!A:B,2,FALSE),B3827),PlayerValues!E:E,0)),"N/A")</f>
        <v>15759</v>
      </c>
      <c r="B3827" s="4" t="s">
        <v>662</v>
      </c>
      <c r="C3827" s="4" t="s">
        <v>287</v>
      </c>
      <c r="D3827" s="94">
        <v>1641.0</v>
      </c>
    </row>
    <row r="3828">
      <c r="A3828" s="40">
        <f t="array" ref="A3828">IFNA(index(PlayerValues!A:A,match(IFNA(vlookup(B3828,'Special Names'!A:B,2,FALSE),B3828),PlayerValues!E:E,0)),"N/A")</f>
        <v>15319</v>
      </c>
      <c r="B3828" s="4" t="s">
        <v>644</v>
      </c>
      <c r="C3828" s="4" t="s">
        <v>287</v>
      </c>
      <c r="D3828" s="94">
        <v>1637.0</v>
      </c>
    </row>
    <row r="3829">
      <c r="A3829" s="40">
        <f t="array" ref="A3829">IFNA(index(PlayerValues!A:A,match(IFNA(vlookup(B3829,'Special Names'!A:B,2,FALSE),B3829),PlayerValues!E:E,0)),"N/A")</f>
        <v>16595</v>
      </c>
      <c r="B3829" s="4" t="s">
        <v>664</v>
      </c>
      <c r="C3829" s="4" t="s">
        <v>278</v>
      </c>
      <c r="D3829" s="94">
        <v>1634.0</v>
      </c>
    </row>
    <row r="3830">
      <c r="A3830" s="40">
        <f t="array" ref="A3830">IFNA(index(PlayerValues!A:A,match(IFNA(vlookup(B3830,'Special Names'!A:B,2,FALSE),B3830),PlayerValues!E:E,0)),"N/A")</f>
        <v>15337</v>
      </c>
      <c r="B3830" s="4" t="s">
        <v>655</v>
      </c>
      <c r="C3830" s="4" t="s">
        <v>298</v>
      </c>
      <c r="D3830" s="94">
        <v>2000.0</v>
      </c>
    </row>
    <row r="3831">
      <c r="A3831" s="40" t="str">
        <f t="array" ref="A3831">IFNA(index(PlayerValues!A:A,match(IFNA(vlookup(B3831,'Special Names'!A:B,2,FALSE),B3831),PlayerValues!E:E,0)),"N/A")</f>
        <v>N/A</v>
      </c>
      <c r="B3831" s="4" t="s">
        <v>90</v>
      </c>
      <c r="C3831" s="4" t="s">
        <v>325</v>
      </c>
      <c r="D3831" s="94">
        <v>1600.0</v>
      </c>
    </row>
    <row r="3832">
      <c r="A3832" s="40">
        <f t="array" ref="A3832">IFNA(index(PlayerValues!A:A,match(IFNA(vlookup(B3832,'Special Names'!A:B,2,FALSE),B3832),PlayerValues!E:E,0)),"N/A")</f>
        <v>17205</v>
      </c>
      <c r="B3832" s="4" t="s">
        <v>665</v>
      </c>
      <c r="C3832" s="4" t="s">
        <v>287</v>
      </c>
      <c r="D3832" s="94">
        <v>1590.0</v>
      </c>
    </row>
    <row r="3833">
      <c r="A3833" s="40">
        <f t="array" ref="A3833">IFNA(index(PlayerValues!A:A,match(IFNA(vlookup(B3833,'Special Names'!A:B,2,FALSE),B3833),PlayerValues!E:E,0)),"N/A")</f>
        <v>15752</v>
      </c>
      <c r="B3833" s="4" t="s">
        <v>647</v>
      </c>
      <c r="C3833" s="4" t="s">
        <v>287</v>
      </c>
      <c r="D3833" s="94">
        <v>1588.0</v>
      </c>
    </row>
    <row r="3834">
      <c r="A3834" s="40">
        <f t="array" ref="A3834">IFNA(index(PlayerValues!A:A,match(IFNA(vlookup(B3834,'Special Names'!A:B,2,FALSE),B3834),PlayerValues!E:E,0)),"N/A")</f>
        <v>16175</v>
      </c>
      <c r="B3834" s="4" t="s">
        <v>654</v>
      </c>
      <c r="C3834" s="4" t="s">
        <v>278</v>
      </c>
      <c r="D3834" s="94">
        <v>1585.0</v>
      </c>
    </row>
    <row r="3835">
      <c r="A3835" s="40">
        <f t="array" ref="A3835">IFNA(index(PlayerValues!A:A,match(IFNA(vlookup(B3835,'Special Names'!A:B,2,FALSE),B3835),PlayerValues!E:E,0)),"N/A")</f>
        <v>17234</v>
      </c>
      <c r="B3835" s="4" t="s">
        <v>653</v>
      </c>
      <c r="C3835" s="4" t="s">
        <v>287</v>
      </c>
      <c r="D3835" s="94">
        <v>1581.0</v>
      </c>
    </row>
    <row r="3836">
      <c r="A3836" s="40">
        <f t="array" ref="A3836">IFNA(index(PlayerValues!A:A,match(IFNA(vlookup(B3836,'Special Names'!A:B,2,FALSE),B3836),PlayerValues!E:E,0)),"N/A")</f>
        <v>16633</v>
      </c>
      <c r="B3836" s="4" t="s">
        <v>656</v>
      </c>
      <c r="C3836" s="4" t="s">
        <v>287</v>
      </c>
      <c r="D3836" s="94">
        <v>1580.0</v>
      </c>
    </row>
    <row r="3837">
      <c r="A3837" s="40">
        <f t="array" ref="A3837">IFNA(index(PlayerValues!A:A,match(IFNA(vlookup(B3837,'Special Names'!A:B,2,FALSE),B3837),PlayerValues!E:E,0)),"N/A")</f>
        <v>16688</v>
      </c>
      <c r="B3837" s="4" t="s">
        <v>688</v>
      </c>
      <c r="C3837" s="4" t="s">
        <v>278</v>
      </c>
      <c r="D3837" s="94">
        <v>1570.0</v>
      </c>
    </row>
    <row r="3838">
      <c r="A3838" s="40">
        <f t="array" ref="A3838">IFNA(index(PlayerValues!A:A,match(IFNA(vlookup(B3838,'Special Names'!A:B,2,FALSE),B3838),PlayerValues!E:E,0)),"N/A")</f>
        <v>11222</v>
      </c>
      <c r="B3838" s="4" t="s">
        <v>622</v>
      </c>
      <c r="C3838" s="4" t="s">
        <v>287</v>
      </c>
      <c r="D3838" s="94">
        <v>1566.0</v>
      </c>
    </row>
    <row r="3839">
      <c r="A3839" s="40">
        <f t="array" ref="A3839">IFNA(index(PlayerValues!A:A,match(IFNA(vlookup(B3839,'Special Names'!A:B,2,FALSE),B3839),PlayerValues!E:E,0)),"N/A")</f>
        <v>15777</v>
      </c>
      <c r="B3839" s="4" t="s">
        <v>694</v>
      </c>
      <c r="C3839" s="4" t="s">
        <v>287</v>
      </c>
      <c r="D3839" s="94">
        <v>1550.0</v>
      </c>
    </row>
    <row r="3840">
      <c r="A3840" s="40">
        <f t="array" ref="A3840">IFNA(index(PlayerValues!A:A,match(IFNA(vlookup(B3840,'Special Names'!A:B,2,FALSE),B3840),PlayerValues!E:E,0)),"N/A")</f>
        <v>15713</v>
      </c>
      <c r="B3840" s="4" t="s">
        <v>732</v>
      </c>
      <c r="C3840" s="4" t="s">
        <v>278</v>
      </c>
      <c r="D3840" s="94">
        <v>1548.0</v>
      </c>
    </row>
    <row r="3841">
      <c r="A3841" s="40">
        <f t="array" ref="A3841">IFNA(index(PlayerValues!A:A,match(IFNA(vlookup(B3841,'Special Names'!A:B,2,FALSE),B3841),PlayerValues!E:E,0)),"N/A")</f>
        <v>16149</v>
      </c>
      <c r="B3841" s="4" t="s">
        <v>740</v>
      </c>
      <c r="C3841" s="4" t="s">
        <v>283</v>
      </c>
      <c r="D3841" s="94">
        <v>1542.0</v>
      </c>
    </row>
    <row r="3842">
      <c r="A3842" s="40">
        <f t="array" ref="A3842">IFNA(index(PlayerValues!A:A,match(IFNA(vlookup(B3842,'Special Names'!A:B,2,FALSE),B3842),PlayerValues!E:E,0)),"N/A")</f>
        <v>16792</v>
      </c>
      <c r="B3842" s="4" t="s">
        <v>704</v>
      </c>
      <c r="C3842" s="4" t="s">
        <v>287</v>
      </c>
      <c r="D3842" s="94">
        <v>1536.0</v>
      </c>
    </row>
    <row r="3843">
      <c r="A3843" s="40">
        <f t="array" ref="A3843">IFNA(index(PlayerValues!A:A,match(IFNA(vlookup(B3843,'Special Names'!A:B,2,FALSE),B3843),PlayerValues!E:E,0)),"N/A")</f>
        <v>14122</v>
      </c>
      <c r="B3843" s="4" t="s">
        <v>663</v>
      </c>
      <c r="C3843" s="4" t="s">
        <v>287</v>
      </c>
      <c r="D3843" s="94">
        <v>1526.0</v>
      </c>
    </row>
    <row r="3844">
      <c r="A3844" s="40" t="str">
        <f t="array" ref="A3844">IFNA(index(PlayerValues!A:A,match(IFNA(vlookup(B3844,'Special Names'!A:B,2,FALSE),B3844),PlayerValues!E:E,0)),"N/A")</f>
        <v>N/A</v>
      </c>
      <c r="B3844" s="4" t="s">
        <v>116</v>
      </c>
      <c r="C3844" s="4" t="s">
        <v>325</v>
      </c>
      <c r="D3844" s="94">
        <v>1521.0</v>
      </c>
    </row>
    <row r="3845">
      <c r="A3845" s="40" t="str">
        <f t="array" ref="A3845">IFNA(index(PlayerValues!A:A,match(IFNA(vlookup(B3845,'Special Names'!A:B,2,FALSE),B3845),PlayerValues!E:E,0)),"N/A")</f>
        <v>N/A</v>
      </c>
      <c r="B3845" s="4" t="s">
        <v>91</v>
      </c>
      <c r="C3845" s="4" t="s">
        <v>325</v>
      </c>
      <c r="D3845" s="94">
        <v>1518.0</v>
      </c>
    </row>
    <row r="3846">
      <c r="A3846" s="40">
        <f t="array" ref="A3846">IFNA(index(PlayerValues!A:A,match(IFNA(vlookup(B3846,'Special Names'!A:B,2,FALSE),B3846),PlayerValues!E:E,0)),"N/A")</f>
        <v>17467</v>
      </c>
      <c r="B3846" s="4" t="s">
        <v>575</v>
      </c>
      <c r="C3846" s="4" t="s">
        <v>283</v>
      </c>
      <c r="D3846" s="94">
        <v>1516.0</v>
      </c>
    </row>
    <row r="3847">
      <c r="A3847" s="40">
        <f t="array" ref="A3847">IFNA(index(PlayerValues!A:A,match(IFNA(vlookup(B3847,'Special Names'!A:B,2,FALSE),B3847),PlayerValues!E:E,0)),"N/A")</f>
        <v>15873</v>
      </c>
      <c r="B3847" s="4" t="s">
        <v>681</v>
      </c>
      <c r="C3847" s="4" t="s">
        <v>298</v>
      </c>
      <c r="D3847" s="94">
        <v>1871.0</v>
      </c>
    </row>
    <row r="3848">
      <c r="A3848" s="40">
        <f t="array" ref="A3848">IFNA(index(PlayerValues!A:A,match(IFNA(vlookup(B3848,'Special Names'!A:B,2,FALSE),B3848),PlayerValues!E:E,0)),"N/A")</f>
        <v>16390</v>
      </c>
      <c r="B3848" s="4" t="s">
        <v>689</v>
      </c>
      <c r="C3848" s="4" t="s">
        <v>278</v>
      </c>
      <c r="D3848" s="94">
        <v>1497.0</v>
      </c>
    </row>
    <row r="3849">
      <c r="A3849" s="40">
        <f t="array" ref="A3849">IFNA(index(PlayerValues!A:A,match(IFNA(vlookup(B3849,'Special Names'!A:B,2,FALSE),B3849),PlayerValues!E:E,0)),"N/A")</f>
        <v>17037</v>
      </c>
      <c r="B3849" s="4" t="s">
        <v>727</v>
      </c>
      <c r="C3849" s="4" t="s">
        <v>283</v>
      </c>
      <c r="D3849" s="94">
        <v>1497.0</v>
      </c>
    </row>
    <row r="3850">
      <c r="A3850" s="40">
        <f t="array" ref="A3850">IFNA(index(PlayerValues!A:A,match(IFNA(vlookup(B3850,'Special Names'!A:B,2,FALSE),B3850),PlayerValues!E:E,0)),"N/A")</f>
        <v>16631</v>
      </c>
      <c r="B3850" s="4" t="s">
        <v>800</v>
      </c>
      <c r="C3850" s="4" t="s">
        <v>287</v>
      </c>
      <c r="D3850" s="94">
        <v>1487.0</v>
      </c>
    </row>
    <row r="3851">
      <c r="A3851" s="40">
        <f t="array" ref="A3851">IFNA(index(PlayerValues!A:A,match(IFNA(vlookup(B3851,'Special Names'!A:B,2,FALSE),B3851),PlayerValues!E:E,0)),"N/A")</f>
        <v>12140</v>
      </c>
      <c r="B3851" s="4" t="s">
        <v>702</v>
      </c>
      <c r="C3851" s="4" t="s">
        <v>283</v>
      </c>
      <c r="D3851" s="94">
        <v>1485.0</v>
      </c>
    </row>
    <row r="3852">
      <c r="A3852" s="40">
        <f t="array" ref="A3852">IFNA(index(PlayerValues!A:A,match(IFNA(vlookup(B3852,'Special Names'!A:B,2,FALSE),B3852),PlayerValues!E:E,0)),"N/A")</f>
        <v>17528</v>
      </c>
      <c r="B3852" s="4" t="s">
        <v>579</v>
      </c>
      <c r="C3852" s="4" t="s">
        <v>287</v>
      </c>
      <c r="D3852" s="94">
        <v>1482.0</v>
      </c>
    </row>
    <row r="3853">
      <c r="A3853" s="40">
        <f t="array" ref="A3853">IFNA(index(PlayerValues!A:A,match(IFNA(vlookup(B3853,'Special Names'!A:B,2,FALSE),B3853),PlayerValues!E:E,0)),"N/A")</f>
        <v>15252</v>
      </c>
      <c r="B3853" s="4" t="s">
        <v>715</v>
      </c>
      <c r="C3853" s="4" t="s">
        <v>283</v>
      </c>
      <c r="D3853" s="94">
        <v>1481.0</v>
      </c>
    </row>
    <row r="3854">
      <c r="A3854" s="40">
        <f t="array" ref="A3854">IFNA(index(PlayerValues!A:A,match(IFNA(vlookup(B3854,'Special Names'!A:B,2,FALSE),B3854),PlayerValues!E:E,0)),"N/A")</f>
        <v>16384</v>
      </c>
      <c r="B3854" s="4" t="s">
        <v>696</v>
      </c>
      <c r="C3854" s="4" t="s">
        <v>283</v>
      </c>
      <c r="D3854" s="94">
        <v>1465.0</v>
      </c>
    </row>
    <row r="3855">
      <c r="A3855" s="40">
        <f t="array" ref="A3855">IFNA(index(PlayerValues!A:A,match(IFNA(vlookup(B3855,'Special Names'!A:B,2,FALSE),B3855),PlayerValues!E:E,0)),"N/A")</f>
        <v>13418</v>
      </c>
      <c r="B3855" s="4" t="s">
        <v>706</v>
      </c>
      <c r="C3855" s="4" t="s">
        <v>287</v>
      </c>
      <c r="D3855" s="94">
        <v>1442.0</v>
      </c>
    </row>
    <row r="3856">
      <c r="A3856" s="40">
        <f t="array" ref="A3856">IFNA(index(PlayerValues!A:A,match(IFNA(vlookup(B3856,'Special Names'!A:B,2,FALSE),B3856),PlayerValues!E:E,0)),"N/A")</f>
        <v>17254</v>
      </c>
      <c r="B3856" s="4" t="s">
        <v>679</v>
      </c>
      <c r="C3856" s="4" t="s">
        <v>287</v>
      </c>
      <c r="D3856" s="94">
        <v>1435.0</v>
      </c>
    </row>
    <row r="3857">
      <c r="A3857" s="40">
        <f t="array" ref="A3857">IFNA(index(PlayerValues!A:A,match(IFNA(vlookup(B3857,'Special Names'!A:B,2,FALSE),B3857),PlayerValues!E:E,0)),"N/A")</f>
        <v>16642</v>
      </c>
      <c r="B3857" s="4" t="s">
        <v>691</v>
      </c>
      <c r="C3857" s="4" t="s">
        <v>298</v>
      </c>
      <c r="D3857" s="94">
        <v>1788.0</v>
      </c>
    </row>
    <row r="3858">
      <c r="A3858" s="40">
        <f t="array" ref="A3858">IFNA(index(PlayerValues!A:A,match(IFNA(vlookup(B3858,'Special Names'!A:B,2,FALSE),B3858),PlayerValues!E:E,0)),"N/A")</f>
        <v>12141</v>
      </c>
      <c r="B3858" s="4" t="s">
        <v>744</v>
      </c>
      <c r="C3858" s="4" t="s">
        <v>283</v>
      </c>
      <c r="D3858" s="94">
        <v>1417.0</v>
      </c>
    </row>
    <row r="3859">
      <c r="A3859" s="40">
        <f t="array" ref="A3859">IFNA(index(PlayerValues!A:A,match(IFNA(vlookup(B3859,'Special Names'!A:B,2,FALSE),B3859),PlayerValues!E:E,0)),"N/A")</f>
        <v>15292</v>
      </c>
      <c r="B3859" s="4" t="s">
        <v>682</v>
      </c>
      <c r="C3859" s="4" t="s">
        <v>287</v>
      </c>
      <c r="D3859" s="94">
        <v>1412.0</v>
      </c>
    </row>
    <row r="3860">
      <c r="A3860" s="40">
        <f t="array" ref="A3860">IFNA(index(PlayerValues!A:A,match(IFNA(vlookup(B3860,'Special Names'!A:B,2,FALSE),B3860),PlayerValues!E:E,0)),"N/A")</f>
        <v>12678</v>
      </c>
      <c r="B3860" s="4" t="s">
        <v>703</v>
      </c>
      <c r="C3860" s="4" t="s">
        <v>298</v>
      </c>
      <c r="D3860" s="94">
        <v>1781.0</v>
      </c>
    </row>
    <row r="3861">
      <c r="A3861" s="40">
        <f t="array" ref="A3861">IFNA(index(PlayerValues!A:A,match(IFNA(vlookup(B3861,'Special Names'!A:B,2,FALSE),B3861),PlayerValues!E:E,0)),"N/A")</f>
        <v>14137</v>
      </c>
      <c r="B3861" s="4" t="s">
        <v>676</v>
      </c>
      <c r="C3861" s="4" t="s">
        <v>298</v>
      </c>
      <c r="D3861" s="94">
        <v>1773.0</v>
      </c>
    </row>
    <row r="3862">
      <c r="A3862" s="40">
        <f t="array" ref="A3862">IFNA(index(PlayerValues!A:A,match(IFNA(vlookup(B3862,'Special Names'!A:B,2,FALSE),B3862),PlayerValues!E:E,0)),"N/A")</f>
        <v>17269</v>
      </c>
      <c r="B3862" s="4" t="s">
        <v>718</v>
      </c>
      <c r="C3862" s="4" t="s">
        <v>287</v>
      </c>
      <c r="D3862" s="94">
        <v>1401.0</v>
      </c>
    </row>
    <row r="3863">
      <c r="A3863" s="40">
        <f t="array" ref="A3863">IFNA(index(PlayerValues!A:A,match(IFNA(vlookup(B3863,'Special Names'!A:B,2,FALSE),B3863),PlayerValues!E:E,0)),"N/A")</f>
        <v>14080</v>
      </c>
      <c r="B3863" s="4" t="s">
        <v>716</v>
      </c>
      <c r="C3863" s="4" t="s">
        <v>278</v>
      </c>
      <c r="D3863" s="94">
        <v>1396.0</v>
      </c>
    </row>
    <row r="3864">
      <c r="A3864" s="40">
        <f t="array" ref="A3864">IFNA(index(PlayerValues!A:A,match(IFNA(vlookup(B3864,'Special Names'!A:B,2,FALSE),B3864),PlayerValues!E:E,0)),"N/A")</f>
        <v>16621</v>
      </c>
      <c r="B3864" s="4" t="s">
        <v>672</v>
      </c>
      <c r="C3864" s="4" t="s">
        <v>287</v>
      </c>
      <c r="D3864" s="94">
        <v>1395.0</v>
      </c>
    </row>
    <row r="3865">
      <c r="A3865" s="40">
        <f t="array" ref="A3865">IFNA(index(PlayerValues!A:A,match(IFNA(vlookup(B3865,'Special Names'!A:B,2,FALSE),B3865),PlayerValues!E:E,0)),"N/A")</f>
        <v>17481</v>
      </c>
      <c r="B3865" s="4" t="s">
        <v>540</v>
      </c>
      <c r="C3865" s="4" t="s">
        <v>278</v>
      </c>
      <c r="D3865" s="94">
        <v>1393.0</v>
      </c>
    </row>
    <row r="3866">
      <c r="A3866" s="40">
        <f t="array" ref="A3866">IFNA(index(PlayerValues!A:A,match(IFNA(vlookup(B3866,'Special Names'!A:B,2,FALSE),B3866),PlayerValues!E:E,0)),"N/A")</f>
        <v>17062</v>
      </c>
      <c r="B3866" s="4" t="s">
        <v>701</v>
      </c>
      <c r="C3866" s="4" t="s">
        <v>278</v>
      </c>
      <c r="D3866" s="94">
        <v>1388.0</v>
      </c>
    </row>
    <row r="3867">
      <c r="A3867" s="40">
        <f t="array" ref="A3867">IFNA(index(PlayerValues!A:A,match(IFNA(vlookup(B3867,'Special Names'!A:B,2,FALSE),B3867),PlayerValues!E:E,0)),"N/A")</f>
        <v>17054</v>
      </c>
      <c r="B3867" s="4" t="s">
        <v>670</v>
      </c>
      <c r="C3867" s="4" t="s">
        <v>278</v>
      </c>
      <c r="D3867" s="94">
        <v>1373.0</v>
      </c>
    </row>
    <row r="3868">
      <c r="A3868" s="40">
        <f t="array" ref="A3868">IFNA(index(PlayerValues!A:A,match(IFNA(vlookup(B3868,'Special Names'!A:B,2,FALSE),B3868),PlayerValues!E:E,0)),"N/A")</f>
        <v>13672</v>
      </c>
      <c r="B3868" s="4" t="s">
        <v>667</v>
      </c>
      <c r="C3868" s="4" t="s">
        <v>298</v>
      </c>
      <c r="D3868" s="94">
        <v>1724.0</v>
      </c>
    </row>
    <row r="3869">
      <c r="A3869" s="40">
        <f t="array" ref="A3869">IFNA(index(PlayerValues!A:A,match(IFNA(vlookup(B3869,'Special Names'!A:B,2,FALSE),B3869),PlayerValues!E:E,0)),"N/A")</f>
        <v>17077</v>
      </c>
      <c r="B3869" s="4" t="s">
        <v>714</v>
      </c>
      <c r="C3869" s="4" t="s">
        <v>287</v>
      </c>
      <c r="D3869" s="94">
        <v>1352.0</v>
      </c>
    </row>
    <row r="3870">
      <c r="A3870" s="40">
        <f t="array" ref="A3870">IFNA(index(PlayerValues!A:A,match(IFNA(vlookup(B3870,'Special Names'!A:B,2,FALSE),B3870),PlayerValues!E:E,0)),"N/A")</f>
        <v>17514</v>
      </c>
      <c r="B3870" s="4" t="s">
        <v>422</v>
      </c>
      <c r="C3870" s="4" t="s">
        <v>287</v>
      </c>
      <c r="D3870" s="94">
        <v>1347.0</v>
      </c>
    </row>
    <row r="3871">
      <c r="A3871" s="40">
        <f t="array" ref="A3871">IFNA(index(PlayerValues!A:A,match(IFNA(vlookup(B3871,'Special Names'!A:B,2,FALSE),B3871),PlayerValues!E:E,0)),"N/A")</f>
        <v>15332</v>
      </c>
      <c r="B3871" s="4" t="s">
        <v>698</v>
      </c>
      <c r="C3871" s="4" t="s">
        <v>298</v>
      </c>
      <c r="D3871" s="94">
        <v>1711.0</v>
      </c>
    </row>
    <row r="3872">
      <c r="A3872" s="40">
        <f t="array" ref="A3872">IFNA(index(PlayerValues!A:A,match(IFNA(vlookup(B3872,'Special Names'!A:B,2,FALSE),B3872),PlayerValues!E:E,0)),"N/A")</f>
        <v>14086</v>
      </c>
      <c r="B3872" s="4" t="s">
        <v>639</v>
      </c>
      <c r="C3872" s="4" t="s">
        <v>278</v>
      </c>
      <c r="D3872" s="94">
        <v>1336.0</v>
      </c>
    </row>
    <row r="3873">
      <c r="A3873" s="40">
        <f t="array" ref="A3873">IFNA(index(PlayerValues!A:A,match(IFNA(vlookup(B3873,'Special Names'!A:B,2,FALSE),B3873),PlayerValues!E:E,0)),"N/A")</f>
        <v>16608</v>
      </c>
      <c r="B3873" s="4" t="s">
        <v>629</v>
      </c>
      <c r="C3873" s="4" t="s">
        <v>278</v>
      </c>
      <c r="D3873" s="94">
        <v>1336.0</v>
      </c>
    </row>
    <row r="3874">
      <c r="A3874" s="40">
        <f t="array" ref="A3874">IFNA(index(PlayerValues!A:A,match(IFNA(vlookup(B3874,'Special Names'!A:B,2,FALSE),B3874),PlayerValues!E:E,0)),"N/A")</f>
        <v>15738</v>
      </c>
      <c r="B3874" s="4" t="s">
        <v>634</v>
      </c>
      <c r="C3874" s="4" t="s">
        <v>278</v>
      </c>
      <c r="D3874" s="94">
        <v>1322.0</v>
      </c>
    </row>
    <row r="3875">
      <c r="A3875" s="40">
        <f t="array" ref="A3875">IFNA(index(PlayerValues!A:A,match(IFNA(vlookup(B3875,'Special Names'!A:B,2,FALSE),B3875),PlayerValues!E:E,0)),"N/A")</f>
        <v>16183</v>
      </c>
      <c r="B3875" s="4" t="s">
        <v>678</v>
      </c>
      <c r="C3875" s="4" t="s">
        <v>287</v>
      </c>
      <c r="D3875" s="94">
        <v>1303.0</v>
      </c>
    </row>
    <row r="3876">
      <c r="A3876" s="40">
        <f t="array" ref="A3876">IFNA(index(PlayerValues!A:A,match(IFNA(vlookup(B3876,'Special Names'!A:B,2,FALSE),B3876),PlayerValues!E:E,0)),"N/A")</f>
        <v>14095</v>
      </c>
      <c r="B3876" s="4" t="s">
        <v>680</v>
      </c>
      <c r="C3876" s="4" t="s">
        <v>278</v>
      </c>
      <c r="D3876" s="94">
        <v>1296.0</v>
      </c>
    </row>
    <row r="3877">
      <c r="A3877" s="40" t="str">
        <f t="array" ref="A3877">IFNA(index(PlayerValues!A:A,match(IFNA(vlookup(B3877,'Special Names'!A:B,2,FALSE),B3877),PlayerValues!E:E,0)),"N/A")</f>
        <v>N/A</v>
      </c>
      <c r="B3877" s="4" t="s">
        <v>117</v>
      </c>
      <c r="C3877" s="4" t="s">
        <v>325</v>
      </c>
      <c r="D3877" s="94">
        <v>1295.0</v>
      </c>
    </row>
    <row r="3878">
      <c r="A3878" s="40">
        <f t="array" ref="A3878">IFNA(index(PlayerValues!A:A,match(IFNA(vlookup(B3878,'Special Names'!A:B,2,FALSE),B3878),PlayerValues!E:E,0)),"N/A")</f>
        <v>16645</v>
      </c>
      <c r="B3878" s="4" t="s">
        <v>651</v>
      </c>
      <c r="C3878" s="4" t="s">
        <v>298</v>
      </c>
      <c r="D3878" s="94">
        <v>1659.0</v>
      </c>
    </row>
    <row r="3879">
      <c r="A3879" s="40">
        <f t="array" ref="A3879">IFNA(index(PlayerValues!A:A,match(IFNA(vlookup(B3879,'Special Names'!A:B,2,FALSE),B3879),PlayerValues!E:E,0)),"N/A")</f>
        <v>15288</v>
      </c>
      <c r="B3879" s="4" t="s">
        <v>700</v>
      </c>
      <c r="C3879" s="4" t="s">
        <v>287</v>
      </c>
      <c r="D3879" s="94">
        <v>1287.0</v>
      </c>
    </row>
    <row r="3880">
      <c r="A3880" s="40">
        <f t="array" ref="A3880">IFNA(index(PlayerValues!A:A,match(IFNA(vlookup(B3880,'Special Names'!A:B,2,FALSE),B3880),PlayerValues!E:E,0)),"N/A")</f>
        <v>15702</v>
      </c>
      <c r="B3880" s="4" t="s">
        <v>723</v>
      </c>
      <c r="C3880" s="4" t="s">
        <v>283</v>
      </c>
      <c r="D3880" s="94">
        <v>1270.0</v>
      </c>
    </row>
    <row r="3881">
      <c r="A3881" s="40">
        <f t="array" ref="A3881">IFNA(index(PlayerValues!A:A,match(IFNA(vlookup(B3881,'Special Names'!A:B,2,FALSE),B3881),PlayerValues!E:E,0)),"N/A")</f>
        <v>14108</v>
      </c>
      <c r="B3881" s="4" t="s">
        <v>673</v>
      </c>
      <c r="C3881" s="4" t="s">
        <v>287</v>
      </c>
      <c r="D3881" s="94">
        <v>1265.0</v>
      </c>
    </row>
    <row r="3882">
      <c r="A3882" s="40">
        <f t="array" ref="A3882">IFNA(index(PlayerValues!A:A,match(IFNA(vlookup(B3882,'Special Names'!A:B,2,FALSE),B3882),PlayerValues!E:E,0)),"N/A")</f>
        <v>14592</v>
      </c>
      <c r="B3882" s="4" t="s">
        <v>705</v>
      </c>
      <c r="C3882" s="4" t="s">
        <v>287</v>
      </c>
      <c r="D3882" s="94">
        <v>1257.0</v>
      </c>
    </row>
    <row r="3883">
      <c r="A3883" s="40">
        <f t="array" ref="A3883">IFNA(index(PlayerValues!A:A,match(IFNA(vlookup(B3883,'Special Names'!A:B,2,FALSE),B3883),PlayerValues!E:E,0)),"N/A")</f>
        <v>17097</v>
      </c>
      <c r="B3883" s="4" t="s">
        <v>659</v>
      </c>
      <c r="C3883" s="4" t="s">
        <v>287</v>
      </c>
      <c r="D3883" s="94">
        <v>1256.0</v>
      </c>
    </row>
    <row r="3884">
      <c r="A3884" s="40">
        <f t="array" ref="A3884">IFNA(index(PlayerValues!A:A,match(IFNA(vlookup(B3884,'Special Names'!A:B,2,FALSE),B3884),PlayerValues!E:E,0)),"N/A")</f>
        <v>16333</v>
      </c>
      <c r="B3884" s="4" t="s">
        <v>711</v>
      </c>
      <c r="C3884" s="4" t="s">
        <v>298</v>
      </c>
      <c r="D3884" s="94">
        <v>1621.0</v>
      </c>
    </row>
    <row r="3885">
      <c r="A3885" s="40">
        <f t="array" ref="A3885">IFNA(index(PlayerValues!A:A,match(IFNA(vlookup(B3885,'Special Names'!A:B,2,FALSE),B3885),PlayerValues!E:E,0)),"N/A")</f>
        <v>16221</v>
      </c>
      <c r="B3885" s="4" t="s">
        <v>725</v>
      </c>
      <c r="C3885" s="4" t="s">
        <v>298</v>
      </c>
      <c r="D3885" s="94">
        <v>1620.0</v>
      </c>
    </row>
    <row r="3886">
      <c r="A3886" s="40">
        <f t="array" ref="A3886">IFNA(index(PlayerValues!A:A,match(IFNA(vlookup(B3886,'Special Names'!A:B,2,FALSE),B3886),PlayerValues!E:E,0)),"N/A")</f>
        <v>17063</v>
      </c>
      <c r="B3886" s="4" t="s">
        <v>686</v>
      </c>
      <c r="C3886" s="4" t="s">
        <v>278</v>
      </c>
      <c r="D3886" s="94">
        <v>1251.0</v>
      </c>
    </row>
    <row r="3887">
      <c r="A3887" s="40">
        <f t="array" ref="A3887">IFNA(index(PlayerValues!A:A,match(IFNA(vlookup(B3887,'Special Names'!A:B,2,FALSE),B3887),PlayerValues!E:E,0)),"N/A")</f>
        <v>16636</v>
      </c>
      <c r="B3887" s="4" t="s">
        <v>699</v>
      </c>
      <c r="C3887" s="4" t="s">
        <v>287</v>
      </c>
      <c r="D3887" s="94">
        <v>1248.0</v>
      </c>
    </row>
    <row r="3888">
      <c r="A3888" s="40">
        <f t="array" ref="A3888">IFNA(index(PlayerValues!A:A,match(IFNA(vlookup(B3888,'Special Names'!A:B,2,FALSE),B3888),PlayerValues!E:E,0)),"N/A")</f>
        <v>14789</v>
      </c>
      <c r="B3888" s="4" t="s">
        <v>721</v>
      </c>
      <c r="C3888" s="4" t="s">
        <v>283</v>
      </c>
      <c r="D3888" s="94">
        <v>1243.0</v>
      </c>
    </row>
    <row r="3889">
      <c r="A3889" s="40">
        <f t="array" ref="A3889">IFNA(index(PlayerValues!A:A,match(IFNA(vlookup(B3889,'Special Names'!A:B,2,FALSE),B3889),PlayerValues!E:E,0)),"N/A")</f>
        <v>16883</v>
      </c>
      <c r="B3889" s="4" t="s">
        <v>683</v>
      </c>
      <c r="C3889" s="4" t="s">
        <v>287</v>
      </c>
      <c r="D3889" s="94">
        <v>1233.0</v>
      </c>
    </row>
    <row r="3890">
      <c r="A3890" s="40">
        <f t="array" ref="A3890">IFNA(index(PlayerValues!A:A,match(IFNA(vlookup(B3890,'Special Names'!A:B,2,FALSE),B3890),PlayerValues!E:E,0)),"N/A")</f>
        <v>15727</v>
      </c>
      <c r="B3890" s="4" t="s">
        <v>730</v>
      </c>
      <c r="C3890" s="4" t="s">
        <v>278</v>
      </c>
      <c r="D3890" s="94">
        <v>1230.0</v>
      </c>
    </row>
    <row r="3891">
      <c r="A3891" s="40">
        <f t="array" ref="A3891">IFNA(index(PlayerValues!A:A,match(IFNA(vlookup(B3891,'Special Names'!A:B,2,FALSE),B3891),PlayerValues!E:E,0)),"N/A")</f>
        <v>16199</v>
      </c>
      <c r="B3891" s="4" t="s">
        <v>687</v>
      </c>
      <c r="C3891" s="4" t="s">
        <v>287</v>
      </c>
      <c r="D3891" s="94">
        <v>1226.0</v>
      </c>
    </row>
    <row r="3892">
      <c r="A3892" s="40">
        <f t="array" ref="A3892">IFNA(index(PlayerValues!A:A,match(IFNA(vlookup(B3892,'Special Names'!A:B,2,FALSE),B3892),PlayerValues!E:E,0)),"N/A")</f>
        <v>15981</v>
      </c>
      <c r="B3892" s="4" t="s">
        <v>729</v>
      </c>
      <c r="C3892" s="4" t="s">
        <v>287</v>
      </c>
      <c r="D3892" s="94">
        <v>1223.0</v>
      </c>
    </row>
    <row r="3893">
      <c r="A3893" s="40">
        <f t="array" ref="A3893">IFNA(index(PlayerValues!A:A,match(IFNA(vlookup(B3893,'Special Names'!A:B,2,FALSE),B3893),PlayerValues!E:E,0)),"N/A")</f>
        <v>9064</v>
      </c>
      <c r="B3893" s="4" t="s">
        <v>761</v>
      </c>
      <c r="C3893" s="4" t="s">
        <v>283</v>
      </c>
      <c r="D3893" s="94">
        <v>1218.0</v>
      </c>
    </row>
    <row r="3894">
      <c r="A3894" s="40">
        <f t="array" ref="A3894">IFNA(index(PlayerValues!A:A,match(IFNA(vlookup(B3894,'Special Names'!A:B,2,FALSE),B3894),PlayerValues!E:E,0)),"N/A")</f>
        <v>17057</v>
      </c>
      <c r="B3894" s="4" t="s">
        <v>708</v>
      </c>
      <c r="C3894" s="4" t="s">
        <v>278</v>
      </c>
      <c r="D3894" s="94">
        <v>1205.0</v>
      </c>
    </row>
    <row r="3895">
      <c r="A3895" s="40">
        <f t="array" ref="A3895">IFNA(index(PlayerValues!A:A,match(IFNA(vlookup(B3895,'Special Names'!A:B,2,FALSE),B3895),PlayerValues!E:E,0)),"N/A")</f>
        <v>13193</v>
      </c>
      <c r="B3895" s="4" t="s">
        <v>773</v>
      </c>
      <c r="C3895" s="4" t="s">
        <v>298</v>
      </c>
      <c r="D3895" s="94">
        <v>1568.0</v>
      </c>
    </row>
    <row r="3896">
      <c r="A3896" s="40">
        <f t="array" ref="A3896">IFNA(index(PlayerValues!A:A,match(IFNA(vlookup(B3896,'Special Names'!A:B,2,FALSE),B3896),PlayerValues!E:E,0)),"N/A")</f>
        <v>13131</v>
      </c>
      <c r="B3896" s="4" t="s">
        <v>815</v>
      </c>
      <c r="C3896" s="4" t="s">
        <v>278</v>
      </c>
      <c r="D3896" s="94">
        <v>1195.0</v>
      </c>
    </row>
    <row r="3897">
      <c r="A3897" s="40">
        <f t="array" ref="A3897">IFNA(index(PlayerValues!A:A,match(IFNA(vlookup(B3897,'Special Names'!A:B,2,FALSE),B3897),PlayerValues!E:E,0)),"N/A")</f>
        <v>16385</v>
      </c>
      <c r="B3897" s="4" t="s">
        <v>690</v>
      </c>
      <c r="C3897" s="4" t="s">
        <v>278</v>
      </c>
      <c r="D3897" s="94">
        <v>1193.0</v>
      </c>
    </row>
    <row r="3898">
      <c r="A3898" s="40">
        <f t="array" ref="A3898">IFNA(index(PlayerValues!A:A,match(IFNA(vlookup(B3898,'Special Names'!A:B,2,FALSE),B3898),PlayerValues!E:E,0)),"N/A")</f>
        <v>15240</v>
      </c>
      <c r="B3898" s="4" t="s">
        <v>751</v>
      </c>
      <c r="C3898" s="4" t="s">
        <v>283</v>
      </c>
      <c r="D3898" s="94">
        <v>1183.0</v>
      </c>
    </row>
    <row r="3899">
      <c r="A3899" s="40">
        <f t="array" ref="A3899">IFNA(index(PlayerValues!A:A,match(IFNA(vlookup(B3899,'Special Names'!A:B,2,FALSE),B3899),PlayerValues!E:E,0)),"N/A")</f>
        <v>13289</v>
      </c>
      <c r="B3899" s="4" t="s">
        <v>746</v>
      </c>
      <c r="C3899" s="4" t="s">
        <v>287</v>
      </c>
      <c r="D3899" s="94">
        <v>1180.0</v>
      </c>
    </row>
    <row r="3900">
      <c r="A3900" s="40">
        <f t="array" ref="A3900">IFNA(index(PlayerValues!A:A,match(IFNA(vlookup(B3900,'Special Names'!A:B,2,FALSE),B3900),PlayerValues!E:E,0)),"N/A")</f>
        <v>17109</v>
      </c>
      <c r="B3900" s="4" t="s">
        <v>707</v>
      </c>
      <c r="C3900" s="4" t="s">
        <v>298</v>
      </c>
      <c r="D3900" s="94">
        <v>1541.0</v>
      </c>
    </row>
    <row r="3901">
      <c r="A3901" s="40">
        <f t="array" ref="A3901">IFNA(index(PlayerValues!A:A,match(IFNA(vlookup(B3901,'Special Names'!A:B,2,FALSE),B3901),PlayerValues!E:E,0)),"N/A")</f>
        <v>15692</v>
      </c>
      <c r="B3901" s="4" t="s">
        <v>750</v>
      </c>
      <c r="C3901" s="4" t="s">
        <v>283</v>
      </c>
      <c r="D3901" s="94">
        <v>1159.0</v>
      </c>
    </row>
    <row r="3902">
      <c r="A3902" s="40">
        <f t="array" ref="A3902">IFNA(index(PlayerValues!A:A,match(IFNA(vlookup(B3902,'Special Names'!A:B,2,FALSE),B3902),PlayerValues!E:E,0)),"N/A")</f>
        <v>16387</v>
      </c>
      <c r="B3902" s="4" t="s">
        <v>646</v>
      </c>
      <c r="C3902" s="4" t="s">
        <v>278</v>
      </c>
      <c r="D3902" s="94">
        <v>1158.0</v>
      </c>
    </row>
    <row r="3903">
      <c r="A3903" s="40">
        <f t="array" ref="A3903">IFNA(index(PlayerValues!A:A,match(IFNA(vlookup(B3903,'Special Names'!A:B,2,FALSE),B3903),PlayerValues!E:E,0)),"N/A")</f>
        <v>17546</v>
      </c>
      <c r="B3903" s="4" t="s">
        <v>671</v>
      </c>
      <c r="C3903" s="4" t="s">
        <v>298</v>
      </c>
      <c r="D3903" s="94">
        <v>1522.0</v>
      </c>
    </row>
    <row r="3904">
      <c r="A3904" s="40">
        <f t="array" ref="A3904">IFNA(index(PlayerValues!A:A,match(IFNA(vlookup(B3904,'Special Names'!A:B,2,FALSE),B3904),PlayerValues!E:E,0)),"N/A")</f>
        <v>14067</v>
      </c>
      <c r="B3904" s="4" t="s">
        <v>735</v>
      </c>
      <c r="C3904" s="4" t="s">
        <v>283</v>
      </c>
      <c r="D3904" s="94">
        <v>1153.0</v>
      </c>
    </row>
    <row r="3905">
      <c r="A3905" s="40">
        <f t="array" ref="A3905">IFNA(index(PlayerValues!A:A,match(IFNA(vlookup(B3905,'Special Names'!A:B,2,FALSE),B3905),PlayerValues!E:E,0)),"N/A")</f>
        <v>15730</v>
      </c>
      <c r="B3905" s="4" t="s">
        <v>734</v>
      </c>
      <c r="C3905" s="4" t="s">
        <v>278</v>
      </c>
      <c r="D3905" s="94">
        <v>1153.0</v>
      </c>
    </row>
    <row r="3906">
      <c r="A3906" s="40">
        <f t="array" ref="A3906">IFNA(index(PlayerValues!A:A,match(IFNA(vlookup(B3906,'Special Names'!A:B,2,FALSE),B3906),PlayerValues!E:E,0)),"N/A")</f>
        <v>16393</v>
      </c>
      <c r="B3906" s="4" t="s">
        <v>768</v>
      </c>
      <c r="C3906" s="4" t="s">
        <v>287</v>
      </c>
      <c r="D3906" s="94">
        <v>1152.0</v>
      </c>
    </row>
    <row r="3907">
      <c r="A3907" s="40">
        <f t="array" ref="A3907">IFNA(index(PlayerValues!A:A,match(IFNA(vlookup(B3907,'Special Names'!A:B,2,FALSE),B3907),PlayerValues!E:E,0)),"N/A")</f>
        <v>16746</v>
      </c>
      <c r="B3907" s="4" t="s">
        <v>709</v>
      </c>
      <c r="C3907" s="4" t="s">
        <v>278</v>
      </c>
      <c r="D3907" s="94">
        <v>1149.0</v>
      </c>
    </row>
    <row r="3908">
      <c r="A3908" s="40">
        <f t="array" ref="A3908">IFNA(index(PlayerValues!A:A,match(IFNA(vlookup(B3908,'Special Names'!A:B,2,FALSE),B3908),PlayerValues!E:E,0)),"N/A")</f>
        <v>14845</v>
      </c>
      <c r="B3908" s="4" t="s">
        <v>717</v>
      </c>
      <c r="C3908" s="4" t="s">
        <v>287</v>
      </c>
      <c r="D3908" s="94">
        <v>1138.0</v>
      </c>
    </row>
    <row r="3909">
      <c r="A3909" s="40">
        <f t="array" ref="A3909">IFNA(index(PlayerValues!A:A,match(IFNA(vlookup(B3909,'Special Names'!A:B,2,FALSE),B3909),PlayerValues!E:E,0)),"N/A")</f>
        <v>17050</v>
      </c>
      <c r="B3909" s="4" t="s">
        <v>713</v>
      </c>
      <c r="C3909" s="4" t="s">
        <v>278</v>
      </c>
      <c r="D3909" s="94">
        <v>1137.0</v>
      </c>
    </row>
    <row r="3910">
      <c r="A3910" s="40">
        <f t="array" ref="A3910">IFNA(index(PlayerValues!A:A,match(IFNA(vlookup(B3910,'Special Names'!A:B,2,FALSE),B3910),PlayerValues!E:E,0)),"N/A")</f>
        <v>15258</v>
      </c>
      <c r="B3910" s="4" t="s">
        <v>757</v>
      </c>
      <c r="C3910" s="4" t="s">
        <v>278</v>
      </c>
      <c r="D3910" s="94">
        <v>1133.0</v>
      </c>
    </row>
    <row r="3911">
      <c r="A3911" s="40">
        <f t="array" ref="A3911">IFNA(index(PlayerValues!A:A,match(IFNA(vlookup(B3911,'Special Names'!A:B,2,FALSE),B3911),PlayerValues!E:E,0)),"N/A")</f>
        <v>16640</v>
      </c>
      <c r="B3911" s="4" t="s">
        <v>712</v>
      </c>
      <c r="C3911" s="4" t="s">
        <v>287</v>
      </c>
      <c r="D3911" s="94">
        <v>1122.0</v>
      </c>
    </row>
    <row r="3912">
      <c r="A3912" s="40">
        <f t="array" ref="A3912">IFNA(index(PlayerValues!A:A,match(IFNA(vlookup(B3912,'Special Names'!A:B,2,FALSE),B3912),PlayerValues!E:E,0)),"N/A")</f>
        <v>15239</v>
      </c>
      <c r="B3912" s="4" t="s">
        <v>802</v>
      </c>
      <c r="C3912" s="4" t="s">
        <v>283</v>
      </c>
      <c r="D3912" s="94">
        <v>1120.0</v>
      </c>
    </row>
    <row r="3913">
      <c r="A3913" s="40">
        <f t="array" ref="A3913">IFNA(index(PlayerValues!A:A,match(IFNA(vlookup(B3913,'Special Names'!A:B,2,FALSE),B3913),PlayerValues!E:E,0)),"N/A")</f>
        <v>16637</v>
      </c>
      <c r="B3913" s="4" t="s">
        <v>736</v>
      </c>
      <c r="C3913" s="4" t="s">
        <v>287</v>
      </c>
      <c r="D3913" s="94">
        <v>1115.0</v>
      </c>
    </row>
    <row r="3914">
      <c r="A3914" s="40">
        <f t="array" ref="A3914">IFNA(index(PlayerValues!A:A,match(IFNA(vlookup(B3914,'Special Names'!A:B,2,FALSE),B3914),PlayerValues!E:E,0)),"N/A")</f>
        <v>11247</v>
      </c>
      <c r="B3914" s="4" t="s">
        <v>816</v>
      </c>
      <c r="C3914" s="4" t="s">
        <v>298</v>
      </c>
      <c r="D3914" s="94">
        <v>1482.0</v>
      </c>
    </row>
    <row r="3915">
      <c r="A3915" s="40">
        <f t="array" ref="A3915">IFNA(index(PlayerValues!A:A,match(IFNA(vlookup(B3915,'Special Names'!A:B,2,FALSE),B3915),PlayerValues!E:E,0)),"N/A")</f>
        <v>15785</v>
      </c>
      <c r="B3915" s="4" t="s">
        <v>763</v>
      </c>
      <c r="C3915" s="4" t="s">
        <v>287</v>
      </c>
      <c r="D3915" s="94">
        <v>1107.0</v>
      </c>
    </row>
    <row r="3916">
      <c r="A3916" s="40">
        <f t="array" ref="A3916">IFNA(index(PlayerValues!A:A,match(IFNA(vlookup(B3916,'Special Names'!A:B,2,FALSE),B3916),PlayerValues!E:E,0)),"N/A")</f>
        <v>17192</v>
      </c>
      <c r="B3916" s="4" t="s">
        <v>677</v>
      </c>
      <c r="C3916" s="4" t="s">
        <v>287</v>
      </c>
      <c r="D3916" s="94">
        <v>1097.0</v>
      </c>
    </row>
    <row r="3917">
      <c r="A3917" s="40">
        <f t="array" ref="A3917">IFNA(index(PlayerValues!A:A,match(IFNA(vlookup(B3917,'Special Names'!A:B,2,FALSE),B3917),PlayerValues!E:E,0)),"N/A")</f>
        <v>16197</v>
      </c>
      <c r="B3917" s="4" t="s">
        <v>726</v>
      </c>
      <c r="C3917" s="4" t="s">
        <v>287</v>
      </c>
      <c r="D3917" s="94">
        <v>1080.0</v>
      </c>
    </row>
    <row r="3918">
      <c r="A3918" s="40">
        <f t="array" ref="A3918">IFNA(index(PlayerValues!A:A,match(IFNA(vlookup(B3918,'Special Names'!A:B,2,FALSE),B3918),PlayerValues!E:E,0)),"N/A")</f>
        <v>15693</v>
      </c>
      <c r="B3918" s="4" t="s">
        <v>755</v>
      </c>
      <c r="C3918" s="4" t="s">
        <v>283</v>
      </c>
      <c r="D3918" s="94">
        <v>1074.0</v>
      </c>
    </row>
    <row r="3919">
      <c r="A3919" s="40">
        <f t="array" ref="A3919">IFNA(index(PlayerValues!A:A,match(IFNA(vlookup(B3919,'Special Names'!A:B,2,FALSE),B3919),PlayerValues!E:E,0)),"N/A")</f>
        <v>16451</v>
      </c>
      <c r="B3919" s="4" t="s">
        <v>769</v>
      </c>
      <c r="C3919" s="4" t="s">
        <v>287</v>
      </c>
      <c r="D3919" s="94">
        <v>1073.0</v>
      </c>
    </row>
    <row r="3920">
      <c r="A3920" s="40">
        <f t="array" ref="A3920">IFNA(index(PlayerValues!A:A,match(IFNA(vlookup(B3920,'Special Names'!A:B,2,FALSE),B3920),PlayerValues!E:E,0)),"N/A")</f>
        <v>15718</v>
      </c>
      <c r="B3920" s="4" t="s">
        <v>753</v>
      </c>
      <c r="C3920" s="4" t="s">
        <v>278</v>
      </c>
      <c r="D3920" s="94">
        <v>1053.0</v>
      </c>
    </row>
    <row r="3921">
      <c r="A3921" s="40">
        <f t="array" ref="A3921">IFNA(index(PlayerValues!A:A,match(IFNA(vlookup(B3921,'Special Names'!A:B,2,FALSE),B3921),PlayerValues!E:E,0)),"N/A")</f>
        <v>16678</v>
      </c>
      <c r="B3921" s="4" t="s">
        <v>758</v>
      </c>
      <c r="C3921" s="4" t="s">
        <v>278</v>
      </c>
      <c r="D3921" s="94">
        <v>1053.0</v>
      </c>
    </row>
    <row r="3922">
      <c r="A3922" s="40">
        <f t="array" ref="A3922">IFNA(index(PlayerValues!A:A,match(IFNA(vlookup(B3922,'Special Names'!A:B,2,FALSE),B3922),PlayerValues!E:E,0)),"N/A")</f>
        <v>16168</v>
      </c>
      <c r="B3922" s="4" t="s">
        <v>738</v>
      </c>
      <c r="C3922" s="4" t="s">
        <v>278</v>
      </c>
      <c r="D3922" s="94">
        <v>1046.0</v>
      </c>
    </row>
    <row r="3923">
      <c r="A3923" s="40">
        <f t="array" ref="A3923">IFNA(index(PlayerValues!A:A,match(IFNA(vlookup(B3923,'Special Names'!A:B,2,FALSE),B3923),PlayerValues!E:E,0)),"N/A")</f>
        <v>14118</v>
      </c>
      <c r="B3923" s="4" t="s">
        <v>771</v>
      </c>
      <c r="C3923" s="4" t="s">
        <v>287</v>
      </c>
      <c r="D3923" s="94">
        <v>1045.0</v>
      </c>
    </row>
    <row r="3924">
      <c r="A3924" s="40">
        <f t="array" ref="A3924">IFNA(index(PlayerValues!A:A,match(IFNA(vlookup(B3924,'Special Names'!A:B,2,FALSE),B3924),PlayerValues!E:E,0)),"N/A")</f>
        <v>17175</v>
      </c>
      <c r="B3924" s="4" t="s">
        <v>747</v>
      </c>
      <c r="C3924" s="4" t="s">
        <v>287</v>
      </c>
      <c r="D3924" s="94">
        <v>1043.0</v>
      </c>
    </row>
    <row r="3925">
      <c r="A3925" s="40">
        <f t="array" ref="A3925">IFNA(index(PlayerValues!A:A,match(IFNA(vlookup(B3925,'Special Names'!A:B,2,FALSE),B3925),PlayerValues!E:E,0)),"N/A")</f>
        <v>15795</v>
      </c>
      <c r="B3925" s="4" t="s">
        <v>669</v>
      </c>
      <c r="C3925" s="4" t="s">
        <v>298</v>
      </c>
      <c r="D3925" s="94">
        <v>1406.0</v>
      </c>
    </row>
    <row r="3926">
      <c r="A3926" s="40">
        <f t="array" ref="A3926">IFNA(index(PlayerValues!A:A,match(IFNA(vlookup(B3926,'Special Names'!A:B,2,FALSE),B3926),PlayerValues!E:E,0)),"N/A")</f>
        <v>13138</v>
      </c>
      <c r="B3926" s="4" t="s">
        <v>817</v>
      </c>
      <c r="C3926" s="4" t="s">
        <v>278</v>
      </c>
      <c r="D3926" s="94">
        <v>1039.0</v>
      </c>
    </row>
    <row r="3927">
      <c r="A3927" s="40">
        <f t="array" ref="A3927">IFNA(index(PlayerValues!A:A,match(IFNA(vlookup(B3927,'Special Names'!A:B,2,FALSE),B3927),PlayerValues!E:E,0)),"N/A")</f>
        <v>16858</v>
      </c>
      <c r="B3927" s="4" t="s">
        <v>754</v>
      </c>
      <c r="C3927" s="4" t="s">
        <v>287</v>
      </c>
      <c r="D3927" s="94">
        <v>1037.0</v>
      </c>
    </row>
    <row r="3928">
      <c r="A3928" s="40">
        <f t="array" ref="A3928">IFNA(index(PlayerValues!A:A,match(IFNA(vlookup(B3928,'Special Names'!A:B,2,FALSE),B3928),PlayerValues!E:E,0)),"N/A")</f>
        <v>15717</v>
      </c>
      <c r="B3928" s="4" t="s">
        <v>745</v>
      </c>
      <c r="C3928" s="4" t="s">
        <v>278</v>
      </c>
      <c r="D3928" s="94">
        <v>1035.0</v>
      </c>
    </row>
    <row r="3929">
      <c r="A3929" s="40">
        <f t="array" ref="A3929">IFNA(index(PlayerValues!A:A,match(IFNA(vlookup(B3929,'Special Names'!A:B,2,FALSE),B3929),PlayerValues!E:E,0)),"N/A")</f>
        <v>16648</v>
      </c>
      <c r="B3929" s="4" t="s">
        <v>748</v>
      </c>
      <c r="C3929" s="4" t="s">
        <v>298</v>
      </c>
      <c r="D3929" s="94">
        <v>1399.0</v>
      </c>
    </row>
    <row r="3930">
      <c r="A3930" s="40">
        <f t="array" ref="A3930">IFNA(index(PlayerValues!A:A,match(IFNA(vlookup(B3930,'Special Names'!A:B,2,FALSE),B3930),PlayerValues!E:E,0)),"N/A")</f>
        <v>15330</v>
      </c>
      <c r="B3930" s="4" t="s">
        <v>749</v>
      </c>
      <c r="C3930" s="4" t="s">
        <v>298</v>
      </c>
      <c r="D3930" s="94">
        <v>1397.0</v>
      </c>
    </row>
    <row r="3931">
      <c r="A3931" s="40">
        <f t="array" ref="A3931">IFNA(index(PlayerValues!A:A,match(IFNA(vlookup(B3931,'Special Names'!A:B,2,FALSE),B3931),PlayerValues!E:E,0)),"N/A")</f>
        <v>15626</v>
      </c>
      <c r="B3931" s="4" t="s">
        <v>766</v>
      </c>
      <c r="C3931" s="4" t="s">
        <v>298</v>
      </c>
      <c r="D3931" s="94">
        <v>1393.0</v>
      </c>
    </row>
    <row r="3932">
      <c r="A3932" s="40">
        <f t="array" ref="A3932">IFNA(index(PlayerValues!A:A,match(IFNA(vlookup(B3932,'Special Names'!A:B,2,FALSE),B3932),PlayerValues!E:E,0)),"N/A")</f>
        <v>14057</v>
      </c>
      <c r="B3932" s="4" t="s">
        <v>765</v>
      </c>
      <c r="C3932" s="4" t="s">
        <v>283</v>
      </c>
      <c r="D3932" s="94">
        <v>1021.0</v>
      </c>
    </row>
    <row r="3933">
      <c r="A3933" s="40">
        <f t="array" ref="A3933">IFNA(index(PlayerValues!A:A,match(IFNA(vlookup(B3933,'Special Names'!A:B,2,FALSE),B3933),PlayerValues!E:E,0)),"N/A")</f>
        <v>16205</v>
      </c>
      <c r="B3933" s="4" t="s">
        <v>742</v>
      </c>
      <c r="C3933" s="4" t="s">
        <v>287</v>
      </c>
      <c r="D3933" s="94">
        <v>1016.0</v>
      </c>
    </row>
    <row r="3934">
      <c r="A3934" s="40">
        <f t="array" ref="A3934">IFNA(index(PlayerValues!A:A,match(IFNA(vlookup(B3934,'Special Names'!A:B,2,FALSE),B3934),PlayerValues!E:E,0)),"N/A")</f>
        <v>16170</v>
      </c>
      <c r="B3934" s="4" t="s">
        <v>801</v>
      </c>
      <c r="C3934" s="4" t="s">
        <v>278</v>
      </c>
      <c r="D3934" s="94">
        <v>1009.0</v>
      </c>
    </row>
    <row r="3935">
      <c r="A3935" s="40">
        <f t="array" ref="A3935">IFNA(index(PlayerValues!A:A,match(IFNA(vlookup(B3935,'Special Names'!A:B,2,FALSE),B3935),PlayerValues!E:E,0)),"N/A")</f>
        <v>15720</v>
      </c>
      <c r="B3935" s="4" t="s">
        <v>795</v>
      </c>
      <c r="C3935" s="4" t="s">
        <v>278</v>
      </c>
      <c r="D3935" s="94">
        <v>1005.0</v>
      </c>
    </row>
    <row r="3936">
      <c r="A3936" s="40">
        <f t="array" ref="A3936">IFNA(index(PlayerValues!A:A,match(IFNA(vlookup(B3936,'Special Names'!A:B,2,FALSE),B3936),PlayerValues!E:E,0)),"N/A")</f>
        <v>15109</v>
      </c>
      <c r="B3936" s="4" t="s">
        <v>728</v>
      </c>
      <c r="C3936" s="4" t="s">
        <v>287</v>
      </c>
      <c r="D3936" s="94">
        <v>1001.0</v>
      </c>
    </row>
    <row r="3937">
      <c r="A3937" s="40">
        <f t="array" ref="A3937">IFNA(index(PlayerValues!A:A,match(IFNA(vlookup(B3937,'Special Names'!A:B,2,FALSE),B3937),PlayerValues!E:E,0)),"N/A")</f>
        <v>15766</v>
      </c>
      <c r="B3937" s="4" t="s">
        <v>759</v>
      </c>
      <c r="C3937" s="4" t="s">
        <v>287</v>
      </c>
      <c r="D3937" s="94">
        <v>988.0</v>
      </c>
    </row>
    <row r="3938">
      <c r="A3938" s="40">
        <f t="array" ref="A3938">IFNA(index(PlayerValues!A:A,match(IFNA(vlookup(B3938,'Special Names'!A:B,2,FALSE),B3938),PlayerValues!E:E,0)),"N/A")</f>
        <v>16219</v>
      </c>
      <c r="B3938" s="4" t="s">
        <v>739</v>
      </c>
      <c r="C3938" s="4" t="s">
        <v>298</v>
      </c>
      <c r="D3938" s="94">
        <v>1351.0</v>
      </c>
    </row>
    <row r="3939">
      <c r="A3939" s="40">
        <f t="array" ref="A3939">IFNA(index(PlayerValues!A:A,match(IFNA(vlookup(B3939,'Special Names'!A:B,2,FALSE),B3939),PlayerValues!E:E,0)),"N/A")</f>
        <v>12263</v>
      </c>
      <c r="B3939" s="4" t="s">
        <v>697</v>
      </c>
      <c r="C3939" s="4" t="s">
        <v>298</v>
      </c>
      <c r="D3939" s="94">
        <v>1348.0</v>
      </c>
    </row>
    <row r="3940">
      <c r="A3940" s="40">
        <f t="array" ref="A3940">IFNA(index(PlayerValues!A:A,match(IFNA(vlookup(B3940,'Special Names'!A:B,2,FALSE),B3940),PlayerValues!E:E,0)),"N/A")</f>
        <v>17466</v>
      </c>
      <c r="B3940" s="4" t="s">
        <v>492</v>
      </c>
      <c r="C3940" s="4" t="s">
        <v>283</v>
      </c>
      <c r="D3940" s="94">
        <v>970.0</v>
      </c>
    </row>
    <row r="3941">
      <c r="A3941" s="40">
        <f t="array" ref="A3941">IFNA(index(PlayerValues!A:A,match(IFNA(vlookup(B3941,'Special Names'!A:B,2,FALSE),B3941),PlayerValues!E:E,0)),"N/A")</f>
        <v>16176</v>
      </c>
      <c r="B3941" s="4" t="s">
        <v>812</v>
      </c>
      <c r="C3941" s="4" t="s">
        <v>278</v>
      </c>
      <c r="D3941" s="94">
        <v>967.0</v>
      </c>
    </row>
    <row r="3942">
      <c r="A3942" s="40">
        <f t="array" ref="A3942">IFNA(index(PlayerValues!A:A,match(IFNA(vlookup(B3942,'Special Names'!A:B,2,FALSE),B3942),PlayerValues!E:E,0)),"N/A")</f>
        <v>16416</v>
      </c>
      <c r="B3942" s="4" t="s">
        <v>752</v>
      </c>
      <c r="C3942" s="4" t="s">
        <v>287</v>
      </c>
      <c r="D3942" s="94">
        <v>966.0</v>
      </c>
    </row>
    <row r="3943">
      <c r="A3943" s="40">
        <f t="array" ref="A3943">IFNA(index(PlayerValues!A:A,match(IFNA(vlookup(B3943,'Special Names'!A:B,2,FALSE),B3943),PlayerValues!E:E,0)),"N/A")</f>
        <v>14799</v>
      </c>
      <c r="B3943" s="4" t="s">
        <v>829</v>
      </c>
      <c r="C3943" s="4" t="s">
        <v>278</v>
      </c>
      <c r="D3943" s="94">
        <v>965.0</v>
      </c>
    </row>
    <row r="3944">
      <c r="A3944" s="40">
        <f t="array" ref="A3944">IFNA(index(PlayerValues!A:A,match(IFNA(vlookup(B3944,'Special Names'!A:B,2,FALSE),B3944),PlayerValues!E:E,0)),"N/A")</f>
        <v>15263</v>
      </c>
      <c r="B3944" s="4" t="s">
        <v>804</v>
      </c>
      <c r="C3944" s="4" t="s">
        <v>278</v>
      </c>
      <c r="D3944" s="94">
        <v>962.0</v>
      </c>
    </row>
    <row r="3945">
      <c r="A3945" s="40">
        <f t="array" ref="A3945">IFNA(index(PlayerValues!A:A,match(IFNA(vlookup(B3945,'Special Names'!A:B,2,FALSE),B3945),PlayerValues!E:E,0)),"N/A")</f>
        <v>17468</v>
      </c>
      <c r="B3945" s="4" t="s">
        <v>514</v>
      </c>
      <c r="C3945" s="4" t="s">
        <v>283</v>
      </c>
      <c r="D3945" s="94">
        <v>959.0</v>
      </c>
    </row>
    <row r="3946">
      <c r="A3946" s="40">
        <f t="array" ref="A3946">IFNA(index(PlayerValues!A:A,match(IFNA(vlookup(B3946,'Special Names'!A:B,2,FALSE),B3946),PlayerValues!E:E,0)),"N/A")</f>
        <v>17479</v>
      </c>
      <c r="B3946" s="4" t="s">
        <v>756</v>
      </c>
      <c r="C3946" s="4" t="s">
        <v>278</v>
      </c>
      <c r="D3946" s="94">
        <v>959.0</v>
      </c>
    </row>
    <row r="3947">
      <c r="A3947" s="40">
        <f t="array" ref="A3947">IFNA(index(PlayerValues!A:A,match(IFNA(vlookup(B3947,'Special Names'!A:B,2,FALSE),B3947),PlayerValues!E:E,0)),"N/A")</f>
        <v>16773</v>
      </c>
      <c r="B3947" s="4" t="s">
        <v>783</v>
      </c>
      <c r="C3947" s="4" t="s">
        <v>278</v>
      </c>
      <c r="D3947" s="94">
        <v>957.0</v>
      </c>
    </row>
    <row r="3948">
      <c r="A3948" s="40">
        <f t="array" ref="A3948">IFNA(index(PlayerValues!A:A,match(IFNA(vlookup(B3948,'Special Names'!A:B,2,FALSE),B3948),PlayerValues!E:E,0)),"N/A")</f>
        <v>14849</v>
      </c>
      <c r="B3948" s="4" t="s">
        <v>733</v>
      </c>
      <c r="C3948" s="4" t="s">
        <v>287</v>
      </c>
      <c r="D3948" s="94">
        <v>956.0</v>
      </c>
    </row>
    <row r="3949">
      <c r="A3949" s="40">
        <f t="array" ref="A3949">IFNA(index(PlayerValues!A:A,match(IFNA(vlookup(B3949,'Special Names'!A:B,2,FALSE),B3949),PlayerValues!E:E,0)),"N/A")</f>
        <v>16751</v>
      </c>
      <c r="B3949" s="4" t="s">
        <v>762</v>
      </c>
      <c r="C3949" s="4" t="s">
        <v>287</v>
      </c>
      <c r="D3949" s="94">
        <v>956.0</v>
      </c>
    </row>
    <row r="3950">
      <c r="A3950" s="40">
        <f t="array" ref="A3950">IFNA(index(PlayerValues!A:A,match(IFNA(vlookup(B3950,'Special Names'!A:B,2,FALSE),B3950),PlayerValues!E:E,0)),"N/A")</f>
        <v>15723</v>
      </c>
      <c r="B3950" s="4" t="s">
        <v>798</v>
      </c>
      <c r="C3950" s="4" t="s">
        <v>278</v>
      </c>
      <c r="D3950" s="94">
        <v>948.0</v>
      </c>
    </row>
    <row r="3951">
      <c r="A3951" s="40">
        <f t="array" ref="A3951">IFNA(index(PlayerValues!A:A,match(IFNA(vlookup(B3951,'Special Names'!A:B,2,FALSE),B3951),PlayerValues!E:E,0)),"N/A")</f>
        <v>16624</v>
      </c>
      <c r="B3951" s="4" t="s">
        <v>796</v>
      </c>
      <c r="C3951" s="4" t="s">
        <v>287</v>
      </c>
      <c r="D3951" s="94">
        <v>945.0</v>
      </c>
    </row>
    <row r="3952">
      <c r="A3952" s="40">
        <f t="array" ref="A3952">IFNA(index(PlayerValues!A:A,match(IFNA(vlookup(B3952,'Special Names'!A:B,2,FALSE),B3952),PlayerValues!E:E,0)),"N/A")</f>
        <v>12785</v>
      </c>
      <c r="B3952" s="4" t="s">
        <v>772</v>
      </c>
      <c r="C3952" s="4" t="s">
        <v>287</v>
      </c>
      <c r="D3952" s="94">
        <v>942.0</v>
      </c>
    </row>
    <row r="3953">
      <c r="A3953" s="40">
        <f t="array" ref="A3953">IFNA(index(PlayerValues!A:A,match(IFNA(vlookup(B3953,'Special Names'!A:B,2,FALSE),B3953),PlayerValues!E:E,0)),"N/A")</f>
        <v>16599</v>
      </c>
      <c r="B3953" s="4" t="s">
        <v>737</v>
      </c>
      <c r="C3953" s="4" t="s">
        <v>278</v>
      </c>
      <c r="D3953" s="94">
        <v>923.0</v>
      </c>
    </row>
    <row r="3954">
      <c r="A3954" s="40">
        <f t="array" ref="A3954">IFNA(index(PlayerValues!A:A,match(IFNA(vlookup(B3954,'Special Names'!A:B,2,FALSE),B3954),PlayerValues!E:E,0)),"N/A")</f>
        <v>16159</v>
      </c>
      <c r="B3954" s="4" t="s">
        <v>819</v>
      </c>
      <c r="C3954" s="4" t="s">
        <v>283</v>
      </c>
      <c r="D3954" s="94">
        <v>921.0</v>
      </c>
    </row>
    <row r="3955">
      <c r="A3955" s="40">
        <f t="array" ref="A3955">IFNA(index(PlayerValues!A:A,match(IFNA(vlookup(B3955,'Special Names'!A:B,2,FALSE),B3955),PlayerValues!E:E,0)),"N/A")</f>
        <v>15804</v>
      </c>
      <c r="B3955" s="4" t="s">
        <v>821</v>
      </c>
      <c r="C3955" s="4" t="s">
        <v>298</v>
      </c>
      <c r="D3955" s="94">
        <v>1284.0</v>
      </c>
    </row>
    <row r="3956">
      <c r="A3956" s="40">
        <f t="array" ref="A3956">IFNA(index(PlayerValues!A:A,match(IFNA(vlookup(B3956,'Special Names'!A:B,2,FALSE),B3956),PlayerValues!E:E,0)),"N/A")</f>
        <v>13595</v>
      </c>
      <c r="B3956" s="4" t="s">
        <v>818</v>
      </c>
      <c r="C3956" s="4" t="s">
        <v>283</v>
      </c>
      <c r="D3956" s="94">
        <v>907.0</v>
      </c>
    </row>
    <row r="3957">
      <c r="A3957" s="40">
        <f t="array" ref="A3957">IFNA(index(PlayerValues!A:A,match(IFNA(vlookup(B3957,'Special Names'!A:B,2,FALSE),B3957),PlayerValues!E:E,0)),"N/A")</f>
        <v>17510</v>
      </c>
      <c r="B3957" s="4" t="s">
        <v>661</v>
      </c>
      <c r="C3957" s="4" t="s">
        <v>287</v>
      </c>
      <c r="D3957" s="94">
        <v>906.0</v>
      </c>
    </row>
    <row r="3958">
      <c r="A3958" s="40">
        <f t="array" ref="A3958">IFNA(index(PlayerValues!A:A,match(IFNA(vlookup(B3958,'Special Names'!A:B,2,FALSE),B3958),PlayerValues!E:E,0)),"N/A")</f>
        <v>15758</v>
      </c>
      <c r="B3958" s="4" t="s">
        <v>724</v>
      </c>
      <c r="C3958" s="4" t="s">
        <v>287</v>
      </c>
      <c r="D3958" s="94">
        <v>902.0</v>
      </c>
    </row>
    <row r="3959">
      <c r="A3959" s="40">
        <f t="array" ref="A3959">IFNA(index(PlayerValues!A:A,match(IFNA(vlookup(B3959,'Special Names'!A:B,2,FALSE),B3959),PlayerValues!E:E,0)),"N/A")</f>
        <v>16686</v>
      </c>
      <c r="B3959" s="4" t="s">
        <v>805</v>
      </c>
      <c r="C3959" s="4" t="s">
        <v>287</v>
      </c>
      <c r="D3959" s="94">
        <v>897.0</v>
      </c>
    </row>
    <row r="3960">
      <c r="A3960" s="40">
        <f t="array" ref="A3960">IFNA(index(PlayerValues!A:A,match(IFNA(vlookup(B3960,'Special Names'!A:B,2,FALSE),B3960),PlayerValues!E:E,0)),"N/A")</f>
        <v>17337</v>
      </c>
      <c r="B3960" s="4" t="s">
        <v>793</v>
      </c>
      <c r="C3960" s="4" t="s">
        <v>278</v>
      </c>
      <c r="D3960" s="94">
        <v>897.0</v>
      </c>
    </row>
    <row r="3961">
      <c r="A3961" s="40">
        <f t="array" ref="A3961">IFNA(index(PlayerValues!A:A,match(IFNA(vlookup(B3961,'Special Names'!A:B,2,FALSE),B3961),PlayerValues!E:E,0)),"N/A")</f>
        <v>14864</v>
      </c>
      <c r="B3961" s="4" t="s">
        <v>789</v>
      </c>
      <c r="C3961" s="4" t="s">
        <v>287</v>
      </c>
      <c r="D3961" s="94">
        <v>896.0</v>
      </c>
    </row>
    <row r="3962">
      <c r="A3962" s="40">
        <f t="array" ref="A3962">IFNA(index(PlayerValues!A:A,match(IFNA(vlookup(B3962,'Special Names'!A:B,2,FALSE),B3962),PlayerValues!E:E,0)),"N/A")</f>
        <v>14223</v>
      </c>
      <c r="B3962" s="4" t="s">
        <v>785</v>
      </c>
      <c r="C3962" s="4" t="s">
        <v>278</v>
      </c>
      <c r="D3962" s="94">
        <v>870.0</v>
      </c>
    </row>
    <row r="3963">
      <c r="A3963" s="40">
        <f t="array" ref="A3963">IFNA(index(PlayerValues!A:A,match(IFNA(vlookup(B3963,'Special Names'!A:B,2,FALSE),B3963),PlayerValues!E:E,0)),"N/A")</f>
        <v>13133</v>
      </c>
      <c r="B3963" s="4" t="s">
        <v>764</v>
      </c>
      <c r="C3963" s="4" t="s">
        <v>278</v>
      </c>
      <c r="D3963" s="94">
        <v>860.0</v>
      </c>
    </row>
    <row r="3964">
      <c r="A3964" s="40">
        <f t="array" ref="A3964">IFNA(index(PlayerValues!A:A,match(IFNA(vlookup(B3964,'Special Names'!A:B,2,FALSE),B3964),PlayerValues!E:E,0)),"N/A")</f>
        <v>16606</v>
      </c>
      <c r="B3964" s="4" t="s">
        <v>743</v>
      </c>
      <c r="C3964" s="4" t="s">
        <v>278</v>
      </c>
      <c r="D3964" s="94">
        <v>860.0</v>
      </c>
    </row>
    <row r="3965">
      <c r="A3965" s="40">
        <f t="array" ref="A3965">IFNA(index(PlayerValues!A:A,match(IFNA(vlookup(B3965,'Special Names'!A:B,2,FALSE),B3965),PlayerValues!E:E,0)),"N/A")</f>
        <v>14079</v>
      </c>
      <c r="B3965" s="4" t="s">
        <v>830</v>
      </c>
      <c r="C3965" s="4" t="s">
        <v>278</v>
      </c>
      <c r="D3965" s="94">
        <v>852.0</v>
      </c>
    </row>
    <row r="3966">
      <c r="A3966" s="40">
        <f t="array" ref="A3966">IFNA(index(PlayerValues!A:A,match(IFNA(vlookup(B3966,'Special Names'!A:B,2,FALSE),B3966),PlayerValues!E:E,0)),"N/A")</f>
        <v>15271</v>
      </c>
      <c r="B3966" s="4" t="s">
        <v>741</v>
      </c>
      <c r="C3966" s="4" t="s">
        <v>278</v>
      </c>
      <c r="D3966" s="94">
        <v>841.0</v>
      </c>
    </row>
    <row r="3967">
      <c r="A3967" s="40">
        <f t="array" ref="A3967">IFNA(index(PlayerValues!A:A,match(IFNA(vlookup(B3967,'Special Names'!A:B,2,FALSE),B3967),PlayerValues!E:E,0)),"N/A")</f>
        <v>17486</v>
      </c>
      <c r="B3967" s="4" t="s">
        <v>695</v>
      </c>
      <c r="C3967" s="4" t="s">
        <v>278</v>
      </c>
      <c r="D3967" s="94">
        <v>822.0</v>
      </c>
    </row>
    <row r="3968">
      <c r="A3968" s="40">
        <f t="array" ref="A3968">IFNA(index(PlayerValues!A:A,match(IFNA(vlookup(B3968,'Special Names'!A:B,2,FALSE),B3968),PlayerValues!E:E,0)),"N/A")</f>
        <v>13610</v>
      </c>
      <c r="B3968" s="4" t="s">
        <v>825</v>
      </c>
      <c r="C3968" s="4" t="s">
        <v>278</v>
      </c>
      <c r="D3968" s="94">
        <v>810.0</v>
      </c>
    </row>
    <row r="3969">
      <c r="A3969" s="40">
        <f t="array" ref="A3969">IFNA(index(PlayerValues!A:A,match(IFNA(vlookup(B3969,'Special Names'!A:B,2,FALSE),B3969),PlayerValues!E:E,0)),"N/A")</f>
        <v>17519</v>
      </c>
      <c r="B3969" s="4" t="s">
        <v>593</v>
      </c>
      <c r="C3969" s="4" t="s">
        <v>287</v>
      </c>
      <c r="D3969" s="94">
        <v>806.0</v>
      </c>
    </row>
    <row r="3970">
      <c r="A3970" s="40">
        <f t="array" ref="A3970">IFNA(index(PlayerValues!A:A,match(IFNA(vlookup(B3970,'Special Names'!A:B,2,FALSE),B3970),PlayerValues!E:E,0)),"N/A")</f>
        <v>13143</v>
      </c>
      <c r="B3970" s="4" t="s">
        <v>786</v>
      </c>
      <c r="C3970" s="4" t="s">
        <v>278</v>
      </c>
      <c r="D3970" s="94">
        <v>786.0</v>
      </c>
    </row>
    <row r="3971">
      <c r="A3971" s="40">
        <f t="array" ref="A3971">IFNA(index(PlayerValues!A:A,match(IFNA(vlookup(B3971,'Special Names'!A:B,2,FALSE),B3971),PlayerValues!E:E,0)),"N/A")</f>
        <v>16623</v>
      </c>
      <c r="B3971" s="4" t="s">
        <v>803</v>
      </c>
      <c r="C3971" s="4" t="s">
        <v>287</v>
      </c>
      <c r="D3971" s="94">
        <v>753.0</v>
      </c>
    </row>
    <row r="3972">
      <c r="A3972" s="40">
        <f t="array" ref="A3972">IFNA(index(PlayerValues!A:A,match(IFNA(vlookup(B3972,'Special Names'!A:B,2,FALSE),B3972),PlayerValues!E:E,0)),"N/A")</f>
        <v>16957</v>
      </c>
      <c r="B3972" s="4" t="s">
        <v>806</v>
      </c>
      <c r="C3972" s="4" t="s">
        <v>278</v>
      </c>
      <c r="D3972" s="94">
        <v>745.0</v>
      </c>
    </row>
    <row r="3973">
      <c r="A3973" s="40">
        <f t="array" ref="A3973">IFNA(index(PlayerValues!A:A,match(IFNA(vlookup(B3973,'Special Names'!A:B,2,FALSE),B3973),PlayerValues!E:E,0)),"N/A")</f>
        <v>17487</v>
      </c>
      <c r="B3973" s="4" t="s">
        <v>692</v>
      </c>
      <c r="C3973" s="4" t="s">
        <v>278</v>
      </c>
      <c r="D3973" s="94">
        <v>724.0</v>
      </c>
    </row>
    <row r="3974">
      <c r="A3974" s="40">
        <f t="array" ref="A3974">IFNA(index(PlayerValues!A:A,match(IFNA(vlookup(B3974,'Special Names'!A:B,2,FALSE),B3974),PlayerValues!E:E,0)),"N/A")</f>
        <v>11232</v>
      </c>
      <c r="B3974" s="4" t="s">
        <v>826</v>
      </c>
      <c r="C3974" s="4" t="s">
        <v>287</v>
      </c>
      <c r="D3974" s="94">
        <v>708.0</v>
      </c>
    </row>
    <row r="3975">
      <c r="A3975" s="40">
        <f t="array" ref="A3975">IFNA(index(PlayerValues!A:A,match(IFNA(vlookup(B3975,'Special Names'!A:B,2,FALSE),B3975),PlayerValues!E:E,0)),"N/A")</f>
        <v>17567</v>
      </c>
      <c r="B3975" s="4" t="s">
        <v>571</v>
      </c>
      <c r="C3975" s="4" t="s">
        <v>298</v>
      </c>
      <c r="D3975" s="94">
        <v>1062.0</v>
      </c>
    </row>
    <row r="3976">
      <c r="A3976" s="40">
        <f t="array" ref="A3976">IFNA(index(PlayerValues!A:A,match(IFNA(vlookup(B3976,'Special Names'!A:B,2,FALSE),B3976),PlayerValues!E:E,0)),"N/A")</f>
        <v>15796</v>
      </c>
      <c r="B3976" s="4" t="s">
        <v>794</v>
      </c>
      <c r="C3976" s="4" t="s">
        <v>298</v>
      </c>
      <c r="D3976" s="94">
        <v>1036.0</v>
      </c>
    </row>
    <row r="3977">
      <c r="A3977" s="40">
        <f t="array" ref="A3977">IFNA(index(PlayerValues!A:A,match(IFNA(vlookup(B3977,'Special Names'!A:B,2,FALSE),B3977),PlayerValues!E:E,0)),"N/A")</f>
        <v>17485</v>
      </c>
      <c r="B3977" s="4" t="s">
        <v>522</v>
      </c>
      <c r="C3977" s="4" t="s">
        <v>278</v>
      </c>
      <c r="D3977" s="94">
        <v>642.0</v>
      </c>
    </row>
    <row r="3978">
      <c r="A3978" s="40">
        <f t="array" ref="A3978">IFNA(index(PlayerValues!A:A,match(IFNA(vlookup(B3978,'Special Names'!A:B,2,FALSE),B3978),PlayerValues!E:E,0)),"N/A")</f>
        <v>17475</v>
      </c>
      <c r="B3978" s="4" t="s">
        <v>615</v>
      </c>
      <c r="C3978" s="4" t="s">
        <v>278</v>
      </c>
      <c r="D3978" s="94">
        <v>638.0</v>
      </c>
    </row>
    <row r="3979">
      <c r="A3979" s="40">
        <f t="array" ref="A3979">IFNA(index(PlayerValues!A:A,match(IFNA(vlookup(B3979,'Special Names'!A:B,2,FALSE),B3979),PlayerValues!E:E,0)),"N/A")</f>
        <v>17038</v>
      </c>
      <c r="B3979" s="4" t="s">
        <v>774</v>
      </c>
      <c r="C3979" s="4" t="s">
        <v>283</v>
      </c>
      <c r="D3979" s="94">
        <v>606.0</v>
      </c>
    </row>
    <row r="3980">
      <c r="A3980" s="40">
        <f t="array" ref="A3980">IFNA(index(PlayerValues!A:A,match(IFNA(vlookup(B3980,'Special Names'!A:B,2,FALSE),B3980),PlayerValues!E:E,0)),"N/A")</f>
        <v>13176</v>
      </c>
      <c r="B3980" s="4" t="s">
        <v>807</v>
      </c>
      <c r="C3980" s="4" t="s">
        <v>287</v>
      </c>
      <c r="D3980" s="94">
        <v>594.0</v>
      </c>
    </row>
    <row r="3981">
      <c r="A3981" s="40">
        <f t="array" ref="A3981">IFNA(index(PlayerValues!A:A,match(IFNA(vlookup(B3981,'Special Names'!A:B,2,FALSE),B3981),PlayerValues!E:E,0)),"N/A")</f>
        <v>17243</v>
      </c>
      <c r="B3981" s="4" t="s">
        <v>810</v>
      </c>
      <c r="C3981" s="4" t="s">
        <v>298</v>
      </c>
      <c r="D3981" s="94">
        <v>931.0</v>
      </c>
    </row>
    <row r="3982">
      <c r="A3982" s="40">
        <f t="array" ref="A3982">IFNA(index(PlayerValues!A:A,match(IFNA(vlookup(B3982,'Special Names'!A:B,2,FALSE),B3982),PlayerValues!E:E,0)),"N/A")</f>
        <v>16413</v>
      </c>
      <c r="B3982" s="4" t="s">
        <v>781</v>
      </c>
      <c r="C3982" s="4" t="s">
        <v>287</v>
      </c>
      <c r="D3982" s="94">
        <v>581.0</v>
      </c>
    </row>
    <row r="3983">
      <c r="A3983" s="40">
        <f t="array" ref="A3983">IFNA(index(PlayerValues!A:A,match(IFNA(vlookup(B3983,'Special Names'!A:B,2,FALSE),B3983),PlayerValues!E:E,0)),"N/A")</f>
        <v>14358</v>
      </c>
      <c r="B3983" s="4" t="s">
        <v>813</v>
      </c>
      <c r="C3983" s="4" t="s">
        <v>283</v>
      </c>
      <c r="D3983" s="94">
        <v>578.0</v>
      </c>
    </row>
    <row r="3984">
      <c r="A3984" s="40">
        <f t="array" ref="A3984">IFNA(index(PlayerValues!A:A,match(IFNA(vlookup(B3984,'Special Names'!A:B,2,FALSE),B3984),PlayerValues!E:E,0)),"N/A")</f>
        <v>13763</v>
      </c>
      <c r="B3984" s="4" t="s">
        <v>831</v>
      </c>
      <c r="C3984" s="4" t="s">
        <v>298</v>
      </c>
      <c r="D3984" s="94">
        <v>927.0</v>
      </c>
    </row>
    <row r="3985">
      <c r="A3985" s="40">
        <f t="array" ref="A3985">IFNA(index(PlayerValues!A:A,match(IFNA(vlookup(B3985,'Special Names'!A:B,2,FALSE),B3985),PlayerValues!E:E,0)),"N/A")</f>
        <v>17545</v>
      </c>
      <c r="B3985" s="4" t="s">
        <v>719</v>
      </c>
      <c r="C3985" s="4" t="s">
        <v>298</v>
      </c>
      <c r="D3985" s="94">
        <v>924.0</v>
      </c>
    </row>
    <row r="3986">
      <c r="A3986" s="40">
        <f t="array" ref="A3986">IFNA(index(PlayerValues!A:A,match(IFNA(vlookup(B3986,'Special Names'!A:B,2,FALSE),B3986),PlayerValues!E:E,0)),"N/A")</f>
        <v>14875</v>
      </c>
      <c r="B3986" s="4" t="s">
        <v>820</v>
      </c>
      <c r="C3986" s="4" t="s">
        <v>298</v>
      </c>
      <c r="D3986" s="94">
        <v>923.0</v>
      </c>
    </row>
    <row r="3987">
      <c r="A3987" s="40">
        <f t="array" ref="A3987">IFNA(index(PlayerValues!A:A,match(IFNA(vlookup(B3987,'Special Names'!A:B,2,FALSE),B3987),PlayerValues!E:E,0)),"N/A")</f>
        <v>12187</v>
      </c>
      <c r="B3987" s="4" t="s">
        <v>832</v>
      </c>
      <c r="C3987" s="4" t="s">
        <v>287</v>
      </c>
      <c r="D3987" s="94">
        <v>572.0</v>
      </c>
    </row>
    <row r="3988">
      <c r="A3988" s="40">
        <f t="array" ref="A3988">IFNA(index(PlayerValues!A:A,match(IFNA(vlookup(B3988,'Special Names'!A:B,2,FALSE),B3988),PlayerValues!E:E,0)),"N/A")</f>
        <v>15285</v>
      </c>
      <c r="B3988" s="4" t="s">
        <v>792</v>
      </c>
      <c r="C3988" s="4" t="s">
        <v>287</v>
      </c>
      <c r="D3988" s="94">
        <v>572.0</v>
      </c>
    </row>
    <row r="3989">
      <c r="A3989" s="40">
        <f t="array" ref="A3989">IFNA(index(PlayerValues!A:A,match(IFNA(vlookup(B3989,'Special Names'!A:B,2,FALSE),B3989),PlayerValues!E:E,0)),"N/A")</f>
        <v>16613</v>
      </c>
      <c r="B3989" s="4" t="s">
        <v>782</v>
      </c>
      <c r="C3989" s="4" t="s">
        <v>278</v>
      </c>
      <c r="D3989" s="94">
        <v>572.0</v>
      </c>
    </row>
    <row r="3990">
      <c r="A3990" s="40">
        <f t="array" ref="A3990">IFNA(index(PlayerValues!A:A,match(IFNA(vlookup(B3990,'Special Names'!A:B,2,FALSE),B3990),PlayerValues!E:E,0)),"N/A")</f>
        <v>17282</v>
      </c>
      <c r="B3990" s="4" t="s">
        <v>833</v>
      </c>
      <c r="C3990" s="4" t="s">
        <v>283</v>
      </c>
      <c r="D3990" s="94">
        <v>572.0</v>
      </c>
    </row>
    <row r="3991">
      <c r="A3991" s="40">
        <f t="array" ref="A3991">IFNA(index(PlayerValues!A:A,match(IFNA(vlookup(B3991,'Special Names'!A:B,2,FALSE),B3991),PlayerValues!E:E,0)),"N/A")</f>
        <v>14239</v>
      </c>
      <c r="B3991" s="4" t="s">
        <v>824</v>
      </c>
      <c r="C3991" s="4" t="s">
        <v>298</v>
      </c>
      <c r="D3991" s="94">
        <v>924.0</v>
      </c>
    </row>
    <row r="3992">
      <c r="A3992" s="40">
        <f t="array" ref="A3992">IFNA(index(PlayerValues!A:A,match(IFNA(vlookup(B3992,'Special Names'!A:B,2,FALSE),B3992),PlayerValues!E:E,0)),"N/A")</f>
        <v>17521</v>
      </c>
      <c r="B3992" s="4" t="s">
        <v>573</v>
      </c>
      <c r="C3992" s="4" t="s">
        <v>287</v>
      </c>
      <c r="D3992" s="94">
        <v>454.0</v>
      </c>
    </row>
    <row r="3993">
      <c r="A3993" s="40">
        <f t="array" ref="A3993">IFNA(index(PlayerValues!A:A,match(IFNA(vlookup(B3993,'Special Names'!A:B,2,FALSE),B3993),PlayerValues!E:E,0)),"N/A")</f>
        <v>17548</v>
      </c>
      <c r="B3993" s="4" t="s">
        <v>594</v>
      </c>
      <c r="C3993" s="4" t="s">
        <v>298</v>
      </c>
      <c r="D3993" s="94">
        <v>781.0</v>
      </c>
    </row>
    <row r="3994">
      <c r="A3994" s="40">
        <f t="array" ref="A3994">IFNA(index(PlayerValues!A:A,match(IFNA(vlookup(B3994,'Special Names'!A:B,2,FALSE),B3994),PlayerValues!E:E,0)),"N/A")</f>
        <v>17529</v>
      </c>
      <c r="B3994" s="4" t="s">
        <v>608</v>
      </c>
      <c r="C3994" s="4" t="s">
        <v>287</v>
      </c>
      <c r="D3994" s="94">
        <v>352.0</v>
      </c>
    </row>
    <row r="3995">
      <c r="A3995" s="40">
        <f t="array" ref="A3995">IFNA(index(PlayerValues!A:A,match(IFNA(vlookup(B3995,'Special Names'!A:B,2,FALSE),B3995),PlayerValues!E:E,0)),"N/A")</f>
        <v>17607</v>
      </c>
      <c r="B3995" s="4" t="s">
        <v>526</v>
      </c>
      <c r="C3995" s="4" t="s">
        <v>298</v>
      </c>
      <c r="D3995" s="94">
        <v>676.0</v>
      </c>
    </row>
    <row r="3996">
      <c r="A3996" s="40">
        <f t="array" ref="A3996">IFNA(index(PlayerValues!A:A,match(IFNA(vlookup(B3996,'Special Names'!A:B,2,FALSE),B3996),PlayerValues!E:E,0)),"N/A")</f>
        <v>17599</v>
      </c>
      <c r="B3996" s="4" t="s">
        <v>496</v>
      </c>
      <c r="C3996" s="4" t="s">
        <v>287</v>
      </c>
      <c r="D3996" s="94">
        <v>224.0</v>
      </c>
    </row>
    <row r="3997">
      <c r="A3997" s="40">
        <f t="array" ref="A3997">IFNA(index(PlayerValues!A:A,match(IFNA(vlookup(B3997,'Special Names'!A:B,2,FALSE),B3997),PlayerValues!E:E,0)),"N/A")</f>
        <v>17549</v>
      </c>
      <c r="B3997" s="4" t="s">
        <v>720</v>
      </c>
      <c r="C3997" s="4" t="s">
        <v>298</v>
      </c>
      <c r="D3997" s="94">
        <v>651.0</v>
      </c>
    </row>
    <row r="3998">
      <c r="A3998" s="40">
        <f t="array" ref="A3998">IFNA(index(PlayerValues!A:A,match(IFNA(vlookup(B3998,'Special Names'!A:B,2,FALSE),B3998),PlayerValues!E:E,0)),"N/A")</f>
        <v>17685</v>
      </c>
      <c r="B3998" s="4" t="s">
        <v>630</v>
      </c>
      <c r="C3998" s="4" t="s">
        <v>278</v>
      </c>
      <c r="D3998" s="94">
        <v>212.0</v>
      </c>
    </row>
    <row r="3999">
      <c r="A3999" s="40">
        <f t="array" ref="A3999">IFNA(index(PlayerValues!A:A,match(IFNA(vlookup(B3999,'Special Names'!A:B,2,FALSE),B3999),PlayerValues!E:E,0)),"N/A")</f>
        <v>17654</v>
      </c>
      <c r="B3999" s="4" t="s">
        <v>767</v>
      </c>
      <c r="C3999" s="4" t="s">
        <v>283</v>
      </c>
      <c r="D3999" s="94">
        <v>123.0</v>
      </c>
    </row>
    <row r="4000">
      <c r="A4000" s="40">
        <f t="array" ref="A4000">IFNA(index(PlayerValues!A:A,match(IFNA(vlookup(B4000,'Special Names'!A:B,2,FALSE),B4000),PlayerValues!E:E,0)),"N/A")</f>
        <v>17591</v>
      </c>
      <c r="B4000" s="4" t="s">
        <v>834</v>
      </c>
      <c r="C4000" s="4" t="s">
        <v>298</v>
      </c>
      <c r="D4000" s="94">
        <v>541.0</v>
      </c>
    </row>
    <row r="4001">
      <c r="A4001" s="40">
        <f t="array" ref="A4001">IFNA(index(PlayerValues!A:A,match(IFNA(vlookup(B4001,'Special Names'!A:B,2,FALSE),B4001),PlayerValues!E:E,0)),"N/A")</f>
        <v>13589</v>
      </c>
      <c r="B4001" s="4" t="s">
        <v>282</v>
      </c>
      <c r="C4001" s="4" t="s">
        <v>283</v>
      </c>
      <c r="D4001" s="94">
        <v>9999.0</v>
      </c>
    </row>
    <row r="4002">
      <c r="A4002" s="40">
        <f t="array" ref="A4002">IFNA(index(PlayerValues!A:A,match(IFNA(vlookup(B4002,'Special Names'!A:B,2,FALSE),B4002),PlayerValues!E:E,0)),"N/A")</f>
        <v>16161</v>
      </c>
      <c r="B4002" s="4" t="s">
        <v>277</v>
      </c>
      <c r="C4002" s="4" t="s">
        <v>278</v>
      </c>
      <c r="D4002" s="94">
        <v>9992.0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9893.0</v>
      </c>
    </row>
    <row r="4004">
      <c r="A4004" s="40">
        <f t="array" ref="A4004">IFNA(index(PlayerValues!A:A,match(IFNA(vlookup(B4004,'Special Names'!A:B,2,FALSE),B4004),PlayerValues!E:E,0)),"N/A")</f>
        <v>16185</v>
      </c>
      <c r="B4004" s="4" t="s">
        <v>290</v>
      </c>
      <c r="C4004" s="4" t="s">
        <v>287</v>
      </c>
      <c r="D4004" s="94">
        <v>9873.0</v>
      </c>
    </row>
    <row r="4005">
      <c r="A4005" s="40">
        <f t="array" ref="A4005">IFNA(index(PlayerValues!A:A,match(IFNA(vlookup(B4005,'Special Names'!A:B,2,FALSE),B4005),PlayerValues!E:E,0)),"N/A")</f>
        <v>16162</v>
      </c>
      <c r="B4005" s="4" t="s">
        <v>281</v>
      </c>
      <c r="C4005" s="4" t="s">
        <v>278</v>
      </c>
      <c r="D4005" s="94">
        <v>9605.0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9504.0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8579.0</v>
      </c>
    </row>
    <row r="4008">
      <c r="A4008" s="40">
        <f t="array" ref="A4008">IFNA(index(PlayerValues!A:A,match(IFNA(vlookup(B4008,'Special Names'!A:B,2,FALSE),B4008),PlayerValues!E:E,0)),"N/A")</f>
        <v>16641</v>
      </c>
      <c r="B4008" s="4" t="s">
        <v>297</v>
      </c>
      <c r="C4008" s="4" t="s">
        <v>298</v>
      </c>
      <c r="D4008" s="94">
        <v>8802.0</v>
      </c>
    </row>
    <row r="4009">
      <c r="A4009" s="40">
        <f t="array" ref="A4009">IFNA(index(PlayerValues!A:A,match(IFNA(vlookup(B4009,'Special Names'!A:B,2,FALSE),B4009),PlayerValues!E:E,0)),"N/A")</f>
        <v>16581</v>
      </c>
      <c r="B4009" s="4" t="s">
        <v>315</v>
      </c>
      <c r="C4009" s="4" t="s">
        <v>283</v>
      </c>
      <c r="D4009" s="94">
        <v>7866.0</v>
      </c>
    </row>
    <row r="4010">
      <c r="A4010" s="40">
        <f t="array" ref="A4010">IFNA(index(PlayerValues!A:A,match(IFNA(vlookup(B4010,'Special Names'!A:B,2,FALSE),B4010),PlayerValues!E:E,0)),"N/A")</f>
        <v>16615</v>
      </c>
      <c r="B4010" s="4" t="s">
        <v>309</v>
      </c>
      <c r="C4010" s="4" t="s">
        <v>287</v>
      </c>
      <c r="D4010" s="94">
        <v>7858.0</v>
      </c>
    </row>
    <row r="4011">
      <c r="A4011" s="40">
        <f t="array" ref="A4011">IFNA(index(PlayerValues!A:A,match(IFNA(vlookup(B4011,'Special Names'!A:B,2,FALSE),B4011),PlayerValues!E:E,0)),"N/A")</f>
        <v>16579</v>
      </c>
      <c r="B4011" s="4" t="s">
        <v>302</v>
      </c>
      <c r="C4011" s="4" t="s">
        <v>283</v>
      </c>
      <c r="D4011" s="94">
        <v>7796.0</v>
      </c>
    </row>
    <row r="4012">
      <c r="A4012" s="40">
        <f t="array" ref="A4012">IFNA(index(PlayerValues!A:A,match(IFNA(vlookup(B4012,'Special Names'!A:B,2,FALSE),B4012),PlayerValues!E:E,0)),"N/A")</f>
        <v>14836</v>
      </c>
      <c r="B4012" s="4" t="s">
        <v>306</v>
      </c>
      <c r="C4012" s="4" t="s">
        <v>287</v>
      </c>
      <c r="D4012" s="94">
        <v>7766.0</v>
      </c>
    </row>
    <row r="4013">
      <c r="A4013" s="40">
        <f t="array" ref="A4013">IFNA(index(PlayerValues!A:A,match(IFNA(vlookup(B4013,'Special Names'!A:B,2,FALSE),B4013),PlayerValues!E:E,0)),"N/A")</f>
        <v>15287</v>
      </c>
      <c r="B4013" s="4" t="s">
        <v>299</v>
      </c>
      <c r="C4013" s="4" t="s">
        <v>287</v>
      </c>
      <c r="D4013" s="94">
        <v>7693.0</v>
      </c>
    </row>
    <row r="4014">
      <c r="A4014" s="40">
        <f t="array" ref="A4014">IFNA(index(PlayerValues!A:A,match(IFNA(vlookup(B4014,'Special Names'!A:B,2,FALSE),B4014),PlayerValues!E:E,0)),"N/A")</f>
        <v>13593</v>
      </c>
      <c r="B4014" s="4" t="s">
        <v>305</v>
      </c>
      <c r="C4014" s="4" t="s">
        <v>283</v>
      </c>
      <c r="D4014" s="94">
        <v>7671.0</v>
      </c>
    </row>
    <row r="4015">
      <c r="A4015" s="40">
        <f t="array" ref="A4015">IFNA(index(PlayerValues!A:A,match(IFNA(vlookup(B4015,'Special Names'!A:B,2,FALSE),B4015),PlayerValues!E:E,0)),"N/A")</f>
        <v>17472</v>
      </c>
      <c r="B4015" s="4" t="s">
        <v>310</v>
      </c>
      <c r="C4015" s="4" t="s">
        <v>278</v>
      </c>
      <c r="D4015" s="94">
        <v>7586.0</v>
      </c>
    </row>
    <row r="4016">
      <c r="A4016" s="40">
        <f t="array" ref="A4016">IFNA(index(PlayerValues!A:A,match(IFNA(vlookup(B4016,'Special Names'!A:B,2,FALSE),B4016),PlayerValues!E:E,0)),"N/A")</f>
        <v>17042</v>
      </c>
      <c r="B4016" s="4" t="s">
        <v>314</v>
      </c>
      <c r="C4016" s="4" t="s">
        <v>278</v>
      </c>
      <c r="D4016" s="94">
        <v>7569.0</v>
      </c>
    </row>
    <row r="4017">
      <c r="A4017" s="40">
        <f t="array" ref="A4017">IFNA(index(PlayerValues!A:A,match(IFNA(vlookup(B4017,'Special Names'!A:B,2,FALSE),B4017),PlayerValues!E:E,0)),"N/A")</f>
        <v>15794</v>
      </c>
      <c r="B4017" s="4" t="s">
        <v>313</v>
      </c>
      <c r="C4017" s="4" t="s">
        <v>298</v>
      </c>
      <c r="D4017" s="94">
        <v>8371.0</v>
      </c>
    </row>
    <row r="4018">
      <c r="A4018" s="40">
        <f t="array" ref="A4018">IFNA(index(PlayerValues!A:A,match(IFNA(vlookup(B4018,'Special Names'!A:B,2,FALSE),B4018),PlayerValues!E:E,0)),"N/A")</f>
        <v>14777</v>
      </c>
      <c r="B4018" s="4" t="s">
        <v>318</v>
      </c>
      <c r="C4018" s="4" t="s">
        <v>283</v>
      </c>
      <c r="D4018" s="94">
        <v>7544.0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7315.0</v>
      </c>
    </row>
    <row r="4020">
      <c r="A4020" s="40" t="str">
        <f t="array" ref="A4020">IFNA(index(PlayerValues!A:A,match(IFNA(vlookup(B4020,'Special Names'!A:B,2,FALSE),B4020),PlayerValues!E:E,0)),"N/A")</f>
        <v>N/A</v>
      </c>
      <c r="B4020" s="4" t="s">
        <v>92</v>
      </c>
      <c r="C4020" s="4" t="s">
        <v>325</v>
      </c>
      <c r="D4020" s="94">
        <v>7022.0</v>
      </c>
    </row>
    <row r="4021">
      <c r="A4021" s="40">
        <f t="array" ref="A4021">IFNA(index(PlayerValues!A:A,match(IFNA(vlookup(B4021,'Special Names'!A:B,2,FALSE),B4021),PlayerValues!E:E,0)),"N/A")</f>
        <v>15751</v>
      </c>
      <c r="B4021" s="4" t="s">
        <v>328</v>
      </c>
      <c r="C4021" s="4" t="s">
        <v>287</v>
      </c>
      <c r="D4021" s="94">
        <v>6916.0</v>
      </c>
    </row>
    <row r="4022">
      <c r="A4022" s="40">
        <f t="array" ref="A4022">IFNA(index(PlayerValues!A:A,match(IFNA(vlookup(B4022,'Special Names'!A:B,2,FALSE),B4022),PlayerValues!E:E,0)),"N/A")</f>
        <v>16167</v>
      </c>
      <c r="B4022" s="4" t="s">
        <v>323</v>
      </c>
      <c r="C4022" s="4" t="s">
        <v>278</v>
      </c>
      <c r="D4022" s="94">
        <v>6862.0</v>
      </c>
    </row>
    <row r="4023">
      <c r="A4023" s="40">
        <f t="array" ref="A4023">IFNA(index(PlayerValues!A:A,match(IFNA(vlookup(B4023,'Special Names'!A:B,2,FALSE),B4023),PlayerValues!E:E,0)),"N/A")</f>
        <v>13116</v>
      </c>
      <c r="B4023" s="4" t="s">
        <v>345</v>
      </c>
      <c r="C4023" s="4" t="s">
        <v>283</v>
      </c>
      <c r="D4023" s="94">
        <v>6837.0</v>
      </c>
    </row>
    <row r="4024">
      <c r="A4024" s="40">
        <f t="array" ref="A4024">IFNA(index(PlayerValues!A:A,match(IFNA(vlookup(B4024,'Special Names'!A:B,2,FALSE),B4024),PlayerValues!E:E,0)),"N/A")</f>
        <v>14779</v>
      </c>
      <c r="B4024" s="4" t="s">
        <v>327</v>
      </c>
      <c r="C4024" s="4" t="s">
        <v>283</v>
      </c>
      <c r="D4024" s="94">
        <v>6796.0</v>
      </c>
    </row>
    <row r="4025">
      <c r="A4025" s="40">
        <f t="array" ref="A4025">IFNA(index(PlayerValues!A:A,match(IFNA(vlookup(B4025,'Special Names'!A:B,2,FALSE),B4025),PlayerValues!E:E,0)),"N/A")</f>
        <v>17044</v>
      </c>
      <c r="B4025" s="4" t="s">
        <v>322</v>
      </c>
      <c r="C4025" s="4" t="s">
        <v>278</v>
      </c>
      <c r="D4025" s="94">
        <v>6694.0</v>
      </c>
    </row>
    <row r="4026">
      <c r="A4026" s="40">
        <f t="array" ref="A4026">IFNA(index(PlayerValues!A:A,match(IFNA(vlookup(B4026,'Special Names'!A:B,2,FALSE),B4026),PlayerValues!E:E,0)),"N/A")</f>
        <v>17032</v>
      </c>
      <c r="B4026" s="4" t="s">
        <v>348</v>
      </c>
      <c r="C4026" s="4" t="s">
        <v>283</v>
      </c>
      <c r="D4026" s="94">
        <v>6632.0</v>
      </c>
    </row>
    <row r="4027">
      <c r="A4027" s="40">
        <f t="array" ref="A4027">IFNA(index(PlayerValues!A:A,match(IFNA(vlookup(B4027,'Special Names'!A:B,2,FALSE),B4027),PlayerValues!E:E,0)),"N/A")</f>
        <v>17071</v>
      </c>
      <c r="B4027" s="4" t="s">
        <v>341</v>
      </c>
      <c r="C4027" s="4" t="s">
        <v>287</v>
      </c>
      <c r="D4027" s="94">
        <v>6627.0</v>
      </c>
    </row>
    <row r="4028">
      <c r="A4028" s="40">
        <f t="array" ref="A4028">IFNA(index(PlayerValues!A:A,match(IFNA(vlookup(B4028,'Special Names'!A:B,2,FALSE),B4028),PlayerValues!E:E,0)),"N/A")</f>
        <v>16582</v>
      </c>
      <c r="B4028" s="4" t="s">
        <v>343</v>
      </c>
      <c r="C4028" s="4" t="s">
        <v>283</v>
      </c>
      <c r="D4028" s="94">
        <v>6232.0</v>
      </c>
    </row>
    <row r="4029">
      <c r="A4029" s="40">
        <f t="array" ref="A4029">IFNA(index(PlayerValues!A:A,match(IFNA(vlookup(B4029,'Special Names'!A:B,2,FALSE),B4029),PlayerValues!E:E,0)),"N/A")</f>
        <v>15237</v>
      </c>
      <c r="B4029" s="4" t="s">
        <v>336</v>
      </c>
      <c r="C4029" s="4" t="s">
        <v>283</v>
      </c>
      <c r="D4029" s="94">
        <v>6220.0</v>
      </c>
    </row>
    <row r="4030">
      <c r="A4030" s="40">
        <f t="array" ref="A4030">IFNA(index(PlayerValues!A:A,match(IFNA(vlookup(B4030,'Special Names'!A:B,2,FALSE),B4030),PlayerValues!E:E,0)),"N/A")</f>
        <v>14783</v>
      </c>
      <c r="B4030" s="4" t="s">
        <v>342</v>
      </c>
      <c r="C4030" s="4" t="s">
        <v>283</v>
      </c>
      <c r="D4030" s="94">
        <v>6146.0</v>
      </c>
    </row>
    <row r="4031">
      <c r="A4031" s="40">
        <f t="array" ref="A4031">IFNA(index(PlayerValues!A:A,match(IFNA(vlookup(B4031,'Special Names'!A:B,2,FALSE),B4031),PlayerValues!E:E,0)),"N/A")</f>
        <v>15715</v>
      </c>
      <c r="B4031" s="4" t="s">
        <v>331</v>
      </c>
      <c r="C4031" s="4" t="s">
        <v>278</v>
      </c>
      <c r="D4031" s="94">
        <v>6124.0</v>
      </c>
    </row>
    <row r="4032">
      <c r="A4032" s="40">
        <f t="array" ref="A4032">IFNA(index(PlayerValues!A:A,match(IFNA(vlookup(B4032,'Special Names'!A:B,2,FALSE),B4032),PlayerValues!E:E,0)),"N/A")</f>
        <v>17081</v>
      </c>
      <c r="B4032" s="4" t="s">
        <v>340</v>
      </c>
      <c r="C4032" s="4" t="s">
        <v>287</v>
      </c>
      <c r="D4032" s="94">
        <v>6117.0</v>
      </c>
    </row>
    <row r="4033">
      <c r="A4033" s="40">
        <f t="array" ref="A4033">IFNA(index(PlayerValues!A:A,match(IFNA(vlookup(B4033,'Special Names'!A:B,2,FALSE),B4033),PlayerValues!E:E,0)),"N/A")</f>
        <v>17104</v>
      </c>
      <c r="B4033" s="4" t="s">
        <v>333</v>
      </c>
      <c r="C4033" s="4" t="s">
        <v>298</v>
      </c>
      <c r="D4033" s="94">
        <v>6766.0</v>
      </c>
    </row>
    <row r="4034">
      <c r="A4034" s="40">
        <f t="array" ref="A4034">IFNA(index(PlayerValues!A:A,match(IFNA(vlookup(B4034,'Special Names'!A:B,2,FALSE),B4034),PlayerValues!E:E,0)),"N/A")</f>
        <v>14802</v>
      </c>
      <c r="B4034" s="4" t="s">
        <v>332</v>
      </c>
      <c r="C4034" s="4" t="s">
        <v>278</v>
      </c>
      <c r="D4034" s="94">
        <v>6033.0</v>
      </c>
    </row>
    <row r="4035">
      <c r="A4035" s="40">
        <f t="array" ref="A4035">IFNA(index(PlayerValues!A:A,match(IFNA(vlookup(B4035,'Special Names'!A:B,2,FALSE),B4035),PlayerValues!E:E,0)),"N/A")</f>
        <v>15762</v>
      </c>
      <c r="B4035" s="4" t="s">
        <v>337</v>
      </c>
      <c r="C4035" s="4" t="s">
        <v>287</v>
      </c>
      <c r="D4035" s="94">
        <v>5970.0</v>
      </c>
    </row>
    <row r="4036">
      <c r="A4036" s="40">
        <f t="array" ref="A4036">IFNA(index(PlayerValues!A:A,match(IFNA(vlookup(B4036,'Special Names'!A:B,2,FALSE),B4036),PlayerValues!E:E,0)),"N/A")</f>
        <v>15698</v>
      </c>
      <c r="B4036" s="4" t="s">
        <v>358</v>
      </c>
      <c r="C4036" s="4" t="s">
        <v>283</v>
      </c>
      <c r="D4036" s="94">
        <v>5895.0</v>
      </c>
    </row>
    <row r="4037">
      <c r="A4037" s="40">
        <f t="array" ref="A4037">IFNA(index(PlayerValues!A:A,match(IFNA(vlookup(B4037,'Special Names'!A:B,2,FALSE),B4037),PlayerValues!E:E,0)),"N/A")</f>
        <v>15753</v>
      </c>
      <c r="B4037" s="4" t="s">
        <v>359</v>
      </c>
      <c r="C4037" s="4" t="s">
        <v>287</v>
      </c>
      <c r="D4037" s="94">
        <v>5736.0</v>
      </c>
    </row>
    <row r="4038">
      <c r="A4038" s="40">
        <f t="array" ref="A4038">IFNA(index(PlayerValues!A:A,match(IFNA(vlookup(B4038,'Special Names'!A:B,2,FALSE),B4038),PlayerValues!E:E,0)),"N/A")</f>
        <v>17102</v>
      </c>
      <c r="B4038" s="4" t="s">
        <v>344</v>
      </c>
      <c r="C4038" s="4" t="s">
        <v>298</v>
      </c>
      <c r="D4038" s="94">
        <v>6376.0</v>
      </c>
    </row>
    <row r="4039">
      <c r="A4039" s="40">
        <f t="array" ref="A4039">IFNA(index(PlayerValues!A:A,match(IFNA(vlookup(B4039,'Special Names'!A:B,2,FALSE),B4039),PlayerValues!E:E,0)),"N/A")</f>
        <v>17497</v>
      </c>
      <c r="B4039" s="4" t="s">
        <v>365</v>
      </c>
      <c r="C4039" s="4" t="s">
        <v>287</v>
      </c>
      <c r="D4039" s="94">
        <v>5692.0</v>
      </c>
    </row>
    <row r="4040">
      <c r="A4040" s="40" t="str">
        <f t="array" ref="A4040">IFNA(index(PlayerValues!A:A,match(IFNA(vlookup(B4040,'Special Names'!A:B,2,FALSE),B4040),PlayerValues!E:E,0)),"N/A")</f>
        <v>N/A</v>
      </c>
      <c r="B4040" s="4" t="s">
        <v>79</v>
      </c>
      <c r="C4040" s="4" t="s">
        <v>325</v>
      </c>
      <c r="D4040" s="94">
        <v>5668.0</v>
      </c>
    </row>
    <row r="4041">
      <c r="A4041" s="40">
        <f t="array" ref="A4041">IFNA(index(PlayerValues!A:A,match(IFNA(vlookup(B4041,'Special Names'!A:B,2,FALSE),B4041),PlayerValues!E:E,0)),"N/A")</f>
        <v>17462</v>
      </c>
      <c r="B4041" s="4" t="s">
        <v>375</v>
      </c>
      <c r="C4041" s="4" t="s">
        <v>283</v>
      </c>
      <c r="D4041" s="94">
        <v>5649.0</v>
      </c>
    </row>
    <row r="4042">
      <c r="A4042" s="40">
        <f t="array" ref="A4042">IFNA(index(PlayerValues!A:A,match(IFNA(vlookup(B4042,'Special Names'!A:B,2,FALSE),B4042),PlayerValues!E:E,0)),"N/A")</f>
        <v>15290</v>
      </c>
      <c r="B4042" s="4" t="s">
        <v>355</v>
      </c>
      <c r="C4042" s="4" t="s">
        <v>287</v>
      </c>
      <c r="D4042" s="94">
        <v>5638.0</v>
      </c>
    </row>
    <row r="4043">
      <c r="A4043" s="40">
        <f t="array" ref="A4043">IFNA(index(PlayerValues!A:A,match(IFNA(vlookup(B4043,'Special Names'!A:B,2,FALSE),B4043),PlayerValues!E:E,0)),"N/A")</f>
        <v>14782</v>
      </c>
      <c r="B4043" s="4" t="s">
        <v>385</v>
      </c>
      <c r="C4043" s="4" t="s">
        <v>283</v>
      </c>
      <c r="D4043" s="94">
        <v>5637.0</v>
      </c>
    </row>
    <row r="4044">
      <c r="A4044" s="40">
        <f t="array" ref="A4044">IFNA(index(PlayerValues!A:A,match(IFNA(vlookup(B4044,'Special Names'!A:B,2,FALSE),B4044),PlayerValues!E:E,0)),"N/A")</f>
        <v>15754</v>
      </c>
      <c r="B4044" s="4" t="s">
        <v>354</v>
      </c>
      <c r="C4044" s="4" t="s">
        <v>287</v>
      </c>
      <c r="D4044" s="94">
        <v>5611.0</v>
      </c>
    </row>
    <row r="4045">
      <c r="A4045" s="40" t="str">
        <f t="array" ref="A4045">IFNA(index(PlayerValues!A:A,match(IFNA(vlookup(B4045,'Special Names'!A:B,2,FALSE),B4045),PlayerValues!E:E,0)),"N/A")</f>
        <v>N/A</v>
      </c>
      <c r="B4045" s="4" t="s">
        <v>93</v>
      </c>
      <c r="C4045" s="4" t="s">
        <v>325</v>
      </c>
      <c r="D4045" s="94">
        <v>5571.0</v>
      </c>
    </row>
    <row r="4046">
      <c r="A4046" s="40">
        <f t="array" ref="A4046">IFNA(index(PlayerValues!A:A,match(IFNA(vlookup(B4046,'Special Names'!A:B,2,FALSE),B4046),PlayerValues!E:E,0)),"N/A")</f>
        <v>15711</v>
      </c>
      <c r="B4046" s="4" t="s">
        <v>349</v>
      </c>
      <c r="C4046" s="4" t="s">
        <v>278</v>
      </c>
      <c r="D4046" s="94">
        <v>5531.0</v>
      </c>
    </row>
    <row r="4047">
      <c r="A4047" s="40">
        <f t="array" ref="A4047">IFNA(index(PlayerValues!A:A,match(IFNA(vlookup(B4047,'Special Names'!A:B,2,FALSE),B4047),PlayerValues!E:E,0)),"N/A")</f>
        <v>17043</v>
      </c>
      <c r="B4047" s="4" t="s">
        <v>397</v>
      </c>
      <c r="C4047" s="4" t="s">
        <v>278</v>
      </c>
      <c r="D4047" s="94">
        <v>5477.0</v>
      </c>
    </row>
    <row r="4048">
      <c r="A4048" s="40">
        <f t="array" ref="A4048">IFNA(index(PlayerValues!A:A,match(IFNA(vlookup(B4048,'Special Names'!A:B,2,FALSE),B4048),PlayerValues!E:E,0)),"N/A")</f>
        <v>17051</v>
      </c>
      <c r="B4048" s="4" t="s">
        <v>386</v>
      </c>
      <c r="C4048" s="4" t="s">
        <v>278</v>
      </c>
      <c r="D4048" s="94">
        <v>5458.0</v>
      </c>
    </row>
    <row r="4049">
      <c r="A4049" s="40">
        <f t="array" ref="A4049">IFNA(index(PlayerValues!A:A,match(IFNA(vlookup(B4049,'Special Names'!A:B,2,FALSE),B4049),PlayerValues!E:E,0)),"N/A")</f>
        <v>16627</v>
      </c>
      <c r="B4049" s="4" t="s">
        <v>351</v>
      </c>
      <c r="C4049" s="4" t="s">
        <v>287</v>
      </c>
      <c r="D4049" s="94">
        <v>5397.0</v>
      </c>
    </row>
    <row r="4050">
      <c r="A4050" s="40">
        <f t="array" ref="A4050">IFNA(index(PlayerValues!A:A,match(IFNA(vlookup(B4050,'Special Names'!A:B,2,FALSE),B4050),PlayerValues!E:E,0)),"N/A")</f>
        <v>16616</v>
      </c>
      <c r="B4050" s="4" t="s">
        <v>389</v>
      </c>
      <c r="C4050" s="4" t="s">
        <v>287</v>
      </c>
      <c r="D4050" s="94">
        <v>5363.0</v>
      </c>
    </row>
    <row r="4051">
      <c r="A4051" s="40">
        <f t="array" ref="A4051">IFNA(index(PlayerValues!A:A,match(IFNA(vlookup(B4051,'Special Names'!A:B,2,FALSE),B4051),PlayerValues!E:E,0)),"N/A")</f>
        <v>15708</v>
      </c>
      <c r="B4051" s="4" t="s">
        <v>382</v>
      </c>
      <c r="C4051" s="4" t="s">
        <v>278</v>
      </c>
      <c r="D4051" s="94">
        <v>5286.0</v>
      </c>
    </row>
    <row r="4052">
      <c r="A4052" s="40">
        <f t="array" ref="A4052">IFNA(index(PlayerValues!A:A,match(IFNA(vlookup(B4052,'Special Names'!A:B,2,FALSE),B4052),PlayerValues!E:E,0)),"N/A")</f>
        <v>17070</v>
      </c>
      <c r="B4052" s="4" t="s">
        <v>370</v>
      </c>
      <c r="C4052" s="4" t="s">
        <v>287</v>
      </c>
      <c r="D4052" s="94">
        <v>5278.0</v>
      </c>
    </row>
    <row r="4053">
      <c r="A4053" s="40">
        <f t="array" ref="A4053">IFNA(index(PlayerValues!A:A,match(IFNA(vlookup(B4053,'Special Names'!A:B,2,FALSE),B4053),PlayerValues!E:E,0)),"N/A")</f>
        <v>17030</v>
      </c>
      <c r="B4053" s="4" t="s">
        <v>406</v>
      </c>
      <c r="C4053" s="4" t="s">
        <v>283</v>
      </c>
      <c r="D4053" s="94">
        <v>5248.0</v>
      </c>
    </row>
    <row r="4054">
      <c r="A4054" s="40">
        <f t="array" ref="A4054">IFNA(index(PlayerValues!A:A,match(IFNA(vlookup(B4054,'Special Names'!A:B,2,FALSE),B4054),PlayerValues!E:E,0)),"N/A")</f>
        <v>17498</v>
      </c>
      <c r="B4054" s="4" t="s">
        <v>396</v>
      </c>
      <c r="C4054" s="4" t="s">
        <v>287</v>
      </c>
      <c r="D4054" s="94">
        <v>5212.0</v>
      </c>
    </row>
    <row r="4055">
      <c r="A4055" s="40">
        <f t="array" ref="A4055">IFNA(index(PlayerValues!A:A,match(IFNA(vlookup(B4055,'Special Names'!A:B,2,FALSE),B4055),PlayerValues!E:E,0)),"N/A")</f>
        <v>16194</v>
      </c>
      <c r="B4055" s="4" t="s">
        <v>398</v>
      </c>
      <c r="C4055" s="4" t="s">
        <v>287</v>
      </c>
      <c r="D4055" s="94">
        <v>5191.0</v>
      </c>
    </row>
    <row r="4056">
      <c r="A4056" s="40">
        <f t="array" ref="A4056">IFNA(index(PlayerValues!A:A,match(IFNA(vlookup(B4056,'Special Names'!A:B,2,FALSE),B4056),PlayerValues!E:E,0)),"N/A")</f>
        <v>15282</v>
      </c>
      <c r="B4056" s="4" t="s">
        <v>364</v>
      </c>
      <c r="C4056" s="4" t="s">
        <v>287</v>
      </c>
      <c r="D4056" s="94">
        <v>5158.0</v>
      </c>
    </row>
    <row r="4057">
      <c r="A4057" s="40">
        <f t="array" ref="A4057">IFNA(index(PlayerValues!A:A,match(IFNA(vlookup(B4057,'Special Names'!A:B,2,FALSE),B4057),PlayerValues!E:E,0)),"N/A")</f>
        <v>16614</v>
      </c>
      <c r="B4057" s="4" t="s">
        <v>403</v>
      </c>
      <c r="C4057" s="4" t="s">
        <v>287</v>
      </c>
      <c r="D4057" s="94">
        <v>5109.0</v>
      </c>
    </row>
    <row r="4058">
      <c r="A4058" s="40">
        <f t="array" ref="A4058">IFNA(index(PlayerValues!A:A,match(IFNA(vlookup(B4058,'Special Names'!A:B,2,FALSE),B4058),PlayerValues!E:E,0)),"N/A")</f>
        <v>17499</v>
      </c>
      <c r="B4058" s="4" t="s">
        <v>402</v>
      </c>
      <c r="C4058" s="4" t="s">
        <v>287</v>
      </c>
      <c r="D4058" s="94">
        <v>5081.0</v>
      </c>
    </row>
    <row r="4059">
      <c r="A4059" s="40">
        <f t="array" ref="A4059">IFNA(index(PlayerValues!A:A,match(IFNA(vlookup(B4059,'Special Names'!A:B,2,FALSE),B4059),PlayerValues!E:E,0)),"N/A")</f>
        <v>13130</v>
      </c>
      <c r="B4059" s="4" t="s">
        <v>374</v>
      </c>
      <c r="C4059" s="4" t="s">
        <v>278</v>
      </c>
      <c r="D4059" s="94">
        <v>4978.0</v>
      </c>
    </row>
    <row r="4060">
      <c r="A4060" s="40" t="str">
        <f t="array" ref="A4060">IFNA(index(PlayerValues!A:A,match(IFNA(vlookup(B4060,'Special Names'!A:B,2,FALSE),B4060),PlayerValues!E:E,0)),"N/A")</f>
        <v>N/A</v>
      </c>
      <c r="B4060" s="4" t="s">
        <v>104</v>
      </c>
      <c r="C4060" s="4" t="s">
        <v>325</v>
      </c>
      <c r="D4060" s="94">
        <v>4949.0</v>
      </c>
    </row>
    <row r="4061">
      <c r="A4061" s="40">
        <f t="array" ref="A4061">IFNA(index(PlayerValues!A:A,match(IFNA(vlookup(B4061,'Special Names'!A:B,2,FALSE),B4061),PlayerValues!E:E,0)),"N/A")</f>
        <v>16598</v>
      </c>
      <c r="B4061" s="4" t="s">
        <v>408</v>
      </c>
      <c r="C4061" s="4" t="s">
        <v>278</v>
      </c>
      <c r="D4061" s="94">
        <v>4931.0</v>
      </c>
    </row>
    <row r="4062">
      <c r="A4062" s="40">
        <f t="array" ref="A4062">IFNA(index(PlayerValues!A:A,match(IFNA(vlookup(B4062,'Special Names'!A:B,2,FALSE),B4062),PlayerValues!E:E,0)),"N/A")</f>
        <v>16618</v>
      </c>
      <c r="B4062" s="4" t="s">
        <v>411</v>
      </c>
      <c r="C4062" s="4" t="s">
        <v>287</v>
      </c>
      <c r="D4062" s="94">
        <v>4930.0</v>
      </c>
    </row>
    <row r="4063">
      <c r="A4063" s="40">
        <f t="array" ref="A4063">IFNA(index(PlayerValues!A:A,match(IFNA(vlookup(B4063,'Special Names'!A:B,2,FALSE),B4063),PlayerValues!E:E,0)),"N/A")</f>
        <v>12620</v>
      </c>
      <c r="B4063" s="4" t="s">
        <v>394</v>
      </c>
      <c r="C4063" s="4" t="s">
        <v>283</v>
      </c>
      <c r="D4063" s="94">
        <v>4918.0</v>
      </c>
    </row>
    <row r="4064">
      <c r="A4064" s="40">
        <f t="array" ref="A4064">IFNA(index(PlayerValues!A:A,match(IFNA(vlookup(B4064,'Special Names'!A:B,2,FALSE),B4064),PlayerValues!E:E,0)),"N/A")</f>
        <v>16150</v>
      </c>
      <c r="B4064" s="4" t="s">
        <v>414</v>
      </c>
      <c r="C4064" s="4" t="s">
        <v>283</v>
      </c>
      <c r="D4064" s="94">
        <v>4912.0</v>
      </c>
    </row>
    <row r="4065">
      <c r="A4065" s="40">
        <f t="array" ref="A4065">IFNA(index(PlayerValues!A:A,match(IFNA(vlookup(B4065,'Special Names'!A:B,2,FALSE),B4065),PlayerValues!E:E,0)),"N/A")</f>
        <v>17103</v>
      </c>
      <c r="B4065" s="4" t="s">
        <v>405</v>
      </c>
      <c r="C4065" s="4" t="s">
        <v>298</v>
      </c>
      <c r="D4065" s="94">
        <v>5477.0</v>
      </c>
    </row>
    <row r="4066">
      <c r="A4066" s="40">
        <f t="array" ref="A4066">IFNA(index(PlayerValues!A:A,match(IFNA(vlookup(B4066,'Special Names'!A:B,2,FALSE),B4066),PlayerValues!E:E,0)),"N/A")</f>
        <v>15284</v>
      </c>
      <c r="B4066" s="4" t="s">
        <v>390</v>
      </c>
      <c r="C4066" s="4" t="s">
        <v>287</v>
      </c>
      <c r="D4066" s="94">
        <v>4900.0</v>
      </c>
    </row>
    <row r="4067">
      <c r="A4067" s="40" t="str">
        <f t="array" ref="A4067">IFNA(index(PlayerValues!A:A,match(IFNA(vlookup(B4067,'Special Names'!A:B,2,FALSE),B4067),PlayerValues!E:E,0)),"N/A")</f>
        <v>N/A</v>
      </c>
      <c r="B4067" s="4" t="s">
        <v>94</v>
      </c>
      <c r="C4067" s="4" t="s">
        <v>325</v>
      </c>
      <c r="D4067" s="94">
        <v>4899.0</v>
      </c>
    </row>
    <row r="4068">
      <c r="A4068" s="40">
        <f t="array" ref="A4068">IFNA(index(PlayerValues!A:A,match(IFNA(vlookup(B4068,'Special Names'!A:B,2,FALSE),B4068),PlayerValues!E:E,0)),"N/A")</f>
        <v>14835</v>
      </c>
      <c r="B4068" s="4" t="s">
        <v>392</v>
      </c>
      <c r="C4068" s="4" t="s">
        <v>287</v>
      </c>
      <c r="D4068" s="94">
        <v>4895.0</v>
      </c>
    </row>
    <row r="4069">
      <c r="A4069" s="40">
        <f t="array" ref="A4069">IFNA(index(PlayerValues!A:A,match(IFNA(vlookup(B4069,'Special Names'!A:B,2,FALSE),B4069),PlayerValues!E:E,0)),"N/A")</f>
        <v>16181</v>
      </c>
      <c r="B4069" s="4" t="s">
        <v>350</v>
      </c>
      <c r="C4069" s="4" t="s">
        <v>278</v>
      </c>
      <c r="D4069" s="94">
        <v>4892.0</v>
      </c>
    </row>
    <row r="4070">
      <c r="A4070" s="40">
        <f t="array" ref="A4070">IFNA(index(PlayerValues!A:A,match(IFNA(vlookup(B4070,'Special Names'!A:B,2,FALSE),B4070),PlayerValues!E:E,0)),"N/A")</f>
        <v>13604</v>
      </c>
      <c r="B4070" s="4" t="s">
        <v>378</v>
      </c>
      <c r="C4070" s="4" t="s">
        <v>278</v>
      </c>
      <c r="D4070" s="94">
        <v>4883.0</v>
      </c>
    </row>
    <row r="4071">
      <c r="A4071" s="40">
        <f t="array" ref="A4071">IFNA(index(PlayerValues!A:A,match(IFNA(vlookup(B4071,'Special Names'!A:B,2,FALSE),B4071),PlayerValues!E:E,0)),"N/A")</f>
        <v>15710</v>
      </c>
      <c r="B4071" s="4" t="s">
        <v>395</v>
      </c>
      <c r="C4071" s="4" t="s">
        <v>278</v>
      </c>
      <c r="D4071" s="94">
        <v>4863.0</v>
      </c>
    </row>
    <row r="4072">
      <c r="A4072" s="40">
        <f t="array" ref="A4072">IFNA(index(PlayerValues!A:A,match(IFNA(vlookup(B4072,'Special Names'!A:B,2,FALSE),B4072),PlayerValues!E:E,0)),"N/A")</f>
        <v>14104</v>
      </c>
      <c r="B4072" s="4" t="s">
        <v>379</v>
      </c>
      <c r="C4072" s="4" t="s">
        <v>287</v>
      </c>
      <c r="D4072" s="94">
        <v>4854.0</v>
      </c>
    </row>
    <row r="4073">
      <c r="A4073" s="40">
        <f t="array" ref="A4073">IFNA(index(PlayerValues!A:A,match(IFNA(vlookup(B4073,'Special Names'!A:B,2,FALSE),B4073),PlayerValues!E:E,0)),"N/A")</f>
        <v>17039</v>
      </c>
      <c r="B4073" s="4" t="s">
        <v>400</v>
      </c>
      <c r="C4073" s="4" t="s">
        <v>283</v>
      </c>
      <c r="D4073" s="94">
        <v>4841.0</v>
      </c>
    </row>
    <row r="4074">
      <c r="A4074" s="40">
        <f t="array" ref="A4074">IFNA(index(PlayerValues!A:A,match(IFNA(vlookup(B4074,'Special Names'!A:B,2,FALSE),B4074),PlayerValues!E:E,0)),"N/A")</f>
        <v>13592</v>
      </c>
      <c r="B4074" s="4" t="s">
        <v>418</v>
      </c>
      <c r="C4074" s="4" t="s">
        <v>283</v>
      </c>
      <c r="D4074" s="94">
        <v>4806.0</v>
      </c>
    </row>
    <row r="4075">
      <c r="A4075" s="40">
        <f t="array" ref="A4075">IFNA(index(PlayerValues!A:A,match(IFNA(vlookup(B4075,'Special Names'!A:B,2,FALSE),B4075),PlayerValues!E:E,0)),"N/A")</f>
        <v>15756</v>
      </c>
      <c r="B4075" s="4" t="s">
        <v>399</v>
      </c>
      <c r="C4075" s="4" t="s">
        <v>287</v>
      </c>
      <c r="D4075" s="94">
        <v>4797.0</v>
      </c>
    </row>
    <row r="4076">
      <c r="A4076" s="40">
        <f t="array" ref="A4076">IFNA(index(PlayerValues!A:A,match(IFNA(vlookup(B4076,'Special Names'!A:B,2,FALSE),B4076),PlayerValues!E:E,0)),"N/A")</f>
        <v>16222</v>
      </c>
      <c r="B4076" s="4" t="s">
        <v>393</v>
      </c>
      <c r="C4076" s="4" t="s">
        <v>298</v>
      </c>
      <c r="D4076" s="94">
        <v>5323.0</v>
      </c>
    </row>
    <row r="4077">
      <c r="A4077" s="40">
        <f t="array" ref="A4077">IFNA(index(PlayerValues!A:A,match(IFNA(vlookup(B4077,'Special Names'!A:B,2,FALSE),B4077),PlayerValues!E:E,0)),"N/A")</f>
        <v>13590</v>
      </c>
      <c r="B4077" s="4" t="s">
        <v>409</v>
      </c>
      <c r="C4077" s="4" t="s">
        <v>283</v>
      </c>
      <c r="D4077" s="94">
        <v>4746.0</v>
      </c>
    </row>
    <row r="4078">
      <c r="A4078" s="40">
        <f t="array" ref="A4078">IFNA(index(PlayerValues!A:A,match(IFNA(vlookup(B4078,'Special Names'!A:B,2,FALSE),B4078),PlayerValues!E:E,0)),"N/A")</f>
        <v>12611</v>
      </c>
      <c r="B4078" s="4" t="s">
        <v>410</v>
      </c>
      <c r="C4078" s="4" t="s">
        <v>283</v>
      </c>
      <c r="D4078" s="94">
        <v>4670.0</v>
      </c>
    </row>
    <row r="4079">
      <c r="A4079" s="40">
        <f t="array" ref="A4079">IFNA(index(PlayerValues!A:A,match(IFNA(vlookup(B4079,'Special Names'!A:B,2,FALSE),B4079),PlayerValues!E:E,0)),"N/A")</f>
        <v>16190</v>
      </c>
      <c r="B4079" s="4" t="s">
        <v>371</v>
      </c>
      <c r="C4079" s="4" t="s">
        <v>287</v>
      </c>
      <c r="D4079" s="94">
        <v>4655.0</v>
      </c>
    </row>
    <row r="4080">
      <c r="A4080" s="40" t="str">
        <f t="array" ref="A4080">IFNA(index(PlayerValues!A:A,match(IFNA(vlookup(B4080,'Special Names'!A:B,2,FALSE),B4080),PlayerValues!E:E,0)),"N/A")</f>
        <v>N/A</v>
      </c>
      <c r="B4080" s="4" t="s">
        <v>80</v>
      </c>
      <c r="C4080" s="4" t="s">
        <v>325</v>
      </c>
      <c r="D4080" s="94">
        <v>4579.0</v>
      </c>
    </row>
    <row r="4081">
      <c r="A4081" s="40">
        <f t="array" ref="A4081">IFNA(index(PlayerValues!A:A,match(IFNA(vlookup(B4081,'Special Names'!A:B,2,FALSE),B4081),PlayerValues!E:E,0)),"N/A")</f>
        <v>17473</v>
      </c>
      <c r="B4081" s="4" t="s">
        <v>391</v>
      </c>
      <c r="C4081" s="4" t="s">
        <v>278</v>
      </c>
      <c r="D4081" s="94">
        <v>4577.0</v>
      </c>
    </row>
    <row r="4082">
      <c r="A4082" s="40">
        <f t="array" ref="A4082">IFNA(index(PlayerValues!A:A,match(IFNA(vlookup(B4082,'Special Names'!A:B,2,FALSE),B4082),PlayerValues!E:E,0)),"N/A")</f>
        <v>16214</v>
      </c>
      <c r="B4082" s="4" t="s">
        <v>413</v>
      </c>
      <c r="C4082" s="4" t="s">
        <v>298</v>
      </c>
      <c r="D4082" s="94">
        <v>5093.0</v>
      </c>
    </row>
    <row r="4083">
      <c r="A4083" s="40">
        <f t="array" ref="A4083">IFNA(index(PlayerValues!A:A,match(IFNA(vlookup(B4083,'Special Names'!A:B,2,FALSE),B4083),PlayerValues!E:E,0)),"N/A")</f>
        <v>16148</v>
      </c>
      <c r="B4083" s="4" t="s">
        <v>426</v>
      </c>
      <c r="C4083" s="4" t="s">
        <v>283</v>
      </c>
      <c r="D4083" s="94">
        <v>4543.0</v>
      </c>
    </row>
    <row r="4084">
      <c r="A4084" s="40">
        <f t="array" ref="A4084">IFNA(index(PlayerValues!A:A,match(IFNA(vlookup(B4084,'Special Names'!A:B,2,FALSE),B4084),PlayerValues!E:E,0)),"N/A")</f>
        <v>17045</v>
      </c>
      <c r="B4084" s="4" t="s">
        <v>407</v>
      </c>
      <c r="C4084" s="4" t="s">
        <v>278</v>
      </c>
      <c r="D4084" s="94">
        <v>4478.0</v>
      </c>
    </row>
    <row r="4085">
      <c r="A4085" s="40">
        <f t="array" ref="A4085">IFNA(index(PlayerValues!A:A,match(IFNA(vlookup(B4085,'Special Names'!A:B,2,FALSE),B4085),PlayerValues!E:E,0)),"N/A")</f>
        <v>14073</v>
      </c>
      <c r="B4085" s="4" t="s">
        <v>464</v>
      </c>
      <c r="C4085" s="4" t="s">
        <v>278</v>
      </c>
      <c r="D4085" s="94">
        <v>4451.0</v>
      </c>
    </row>
    <row r="4086">
      <c r="A4086" s="40">
        <f t="array" ref="A4086">IFNA(index(PlayerValues!A:A,match(IFNA(vlookup(B4086,'Special Names'!A:B,2,FALSE),B4086),PlayerValues!E:E,0)),"N/A")</f>
        <v>15253</v>
      </c>
      <c r="B4086" s="4" t="s">
        <v>415</v>
      </c>
      <c r="C4086" s="4" t="s">
        <v>278</v>
      </c>
      <c r="D4086" s="94">
        <v>4432.0</v>
      </c>
    </row>
    <row r="4087">
      <c r="A4087" s="40">
        <f t="array" ref="A4087">IFNA(index(PlayerValues!A:A,match(IFNA(vlookup(B4087,'Special Names'!A:B,2,FALSE),B4087),PlayerValues!E:E,0)),"N/A")</f>
        <v>15329</v>
      </c>
      <c r="B4087" s="4" t="s">
        <v>416</v>
      </c>
      <c r="C4087" s="4" t="s">
        <v>298</v>
      </c>
      <c r="D4087" s="94">
        <v>4969.0</v>
      </c>
    </row>
    <row r="4088">
      <c r="A4088" s="40">
        <f t="array" ref="A4088">IFNA(index(PlayerValues!A:A,match(IFNA(vlookup(B4088,'Special Names'!A:B,2,FALSE),B4088),PlayerValues!E:E,0)),"N/A")</f>
        <v>15256</v>
      </c>
      <c r="B4088" s="4" t="s">
        <v>401</v>
      </c>
      <c r="C4088" s="4" t="s">
        <v>278</v>
      </c>
      <c r="D4088" s="94">
        <v>4416.0</v>
      </c>
    </row>
    <row r="4089">
      <c r="A4089" s="40" t="str">
        <f t="array" ref="A4089">IFNA(index(PlayerValues!A:A,match(IFNA(vlookup(B4089,'Special Names'!A:B,2,FALSE),B4089),PlayerValues!E:E,0)),"N/A")</f>
        <v>N/A</v>
      </c>
      <c r="B4089" s="4" t="s">
        <v>105</v>
      </c>
      <c r="C4089" s="4" t="s">
        <v>325</v>
      </c>
      <c r="D4089" s="94">
        <v>4409.0</v>
      </c>
    </row>
    <row r="4090">
      <c r="A4090" s="40">
        <f t="array" ref="A4090">IFNA(index(PlayerValues!A:A,match(IFNA(vlookup(B4090,'Special Names'!A:B,2,FALSE),B4090),PlayerValues!E:E,0)),"N/A")</f>
        <v>17501</v>
      </c>
      <c r="B4090" s="4" t="s">
        <v>404</v>
      </c>
      <c r="C4090" s="4" t="s">
        <v>287</v>
      </c>
      <c r="D4090" s="94">
        <v>4407.0</v>
      </c>
    </row>
    <row r="4091">
      <c r="A4091" s="40">
        <f t="array" ref="A4091">IFNA(index(PlayerValues!A:A,match(IFNA(vlookup(B4091,'Special Names'!A:B,2,FALSE),B4091),PlayerValues!E:E,0)),"N/A")</f>
        <v>15768</v>
      </c>
      <c r="B4091" s="4" t="s">
        <v>432</v>
      </c>
      <c r="C4091" s="4" t="s">
        <v>287</v>
      </c>
      <c r="D4091" s="94">
        <v>4162.0</v>
      </c>
    </row>
    <row r="4092">
      <c r="A4092" s="40">
        <f t="array" ref="A4092">IFNA(index(PlayerValues!A:A,match(IFNA(vlookup(B4092,'Special Names'!A:B,2,FALSE),B4092),PlayerValues!E:E,0)),"N/A")</f>
        <v>14056</v>
      </c>
      <c r="B4092" s="4" t="s">
        <v>423</v>
      </c>
      <c r="C4092" s="4" t="s">
        <v>283</v>
      </c>
      <c r="D4092" s="94">
        <v>4099.0</v>
      </c>
    </row>
    <row r="4093">
      <c r="A4093" s="40">
        <f t="array" ref="A4093">IFNA(index(PlayerValues!A:A,match(IFNA(vlookup(B4093,'Special Names'!A:B,2,FALSE),B4093),PlayerValues!E:E,0)),"N/A")</f>
        <v>15694</v>
      </c>
      <c r="B4093" s="4" t="s">
        <v>434</v>
      </c>
      <c r="C4093" s="4" t="s">
        <v>283</v>
      </c>
      <c r="D4093" s="94">
        <v>4077.0</v>
      </c>
    </row>
    <row r="4094">
      <c r="A4094" s="40">
        <f t="array" ref="A4094">IFNA(index(PlayerValues!A:A,match(IFNA(vlookup(B4094,'Special Names'!A:B,2,FALSE),B4094),PlayerValues!E:E,0)),"N/A")</f>
        <v>17543</v>
      </c>
      <c r="B4094" s="4" t="s">
        <v>436</v>
      </c>
      <c r="C4094" s="4" t="s">
        <v>298</v>
      </c>
      <c r="D4094" s="94">
        <v>4568.0</v>
      </c>
    </row>
    <row r="4095">
      <c r="A4095" s="40">
        <f t="array" ref="A4095">IFNA(index(PlayerValues!A:A,match(IFNA(vlookup(B4095,'Special Names'!A:B,2,FALSE),B4095),PlayerValues!E:E,0)),"N/A")</f>
        <v>14059</v>
      </c>
      <c r="B4095" s="4" t="s">
        <v>435</v>
      </c>
      <c r="C4095" s="4" t="s">
        <v>283</v>
      </c>
      <c r="D4095" s="94">
        <v>4011.0</v>
      </c>
    </row>
    <row r="4096">
      <c r="A4096" s="40">
        <f t="array" ref="A4096">IFNA(index(PlayerValues!A:A,match(IFNA(vlookup(B4096,'Special Names'!A:B,2,FALSE),B4096),PlayerValues!E:E,0)),"N/A")</f>
        <v>16186</v>
      </c>
      <c r="B4096" s="4" t="s">
        <v>425</v>
      </c>
      <c r="C4096" s="4" t="s">
        <v>287</v>
      </c>
      <c r="D4096" s="94">
        <v>3973.0</v>
      </c>
    </row>
    <row r="4097">
      <c r="A4097" s="40">
        <f t="array" ref="A4097">IFNA(index(PlayerValues!A:A,match(IFNA(vlookup(B4097,'Special Names'!A:B,2,FALSE),B4097),PlayerValues!E:E,0)),"N/A")</f>
        <v>17052</v>
      </c>
      <c r="B4097" s="4" t="s">
        <v>417</v>
      </c>
      <c r="C4097" s="4" t="s">
        <v>278</v>
      </c>
      <c r="D4097" s="94">
        <v>3930.0</v>
      </c>
    </row>
    <row r="4098">
      <c r="A4098" s="40" t="str">
        <f t="array" ref="A4098">IFNA(index(PlayerValues!A:A,match(IFNA(vlookup(B4098,'Special Names'!A:B,2,FALSE),B4098),PlayerValues!E:E,0)),"N/A")</f>
        <v>N/A</v>
      </c>
      <c r="B4098" s="4" t="s">
        <v>95</v>
      </c>
      <c r="C4098" s="4" t="s">
        <v>325</v>
      </c>
      <c r="D4098" s="94">
        <v>3898.0</v>
      </c>
    </row>
    <row r="4099">
      <c r="A4099" s="40" t="str">
        <f t="array" ref="A4099">IFNA(index(PlayerValues!A:A,match(IFNA(vlookup(B4099,'Special Names'!A:B,2,FALSE),B4099),PlayerValues!E:E,0)),"N/A")</f>
        <v>N/A</v>
      </c>
      <c r="B4099" s="4" t="s">
        <v>107</v>
      </c>
      <c r="C4099" s="4" t="s">
        <v>325</v>
      </c>
      <c r="D4099" s="94">
        <v>3883.0</v>
      </c>
    </row>
    <row r="4100">
      <c r="A4100" s="40">
        <f t="array" ref="A4100">IFNA(index(PlayerValues!A:A,match(IFNA(vlookup(B4100,'Special Names'!A:B,2,FALSE),B4100),PlayerValues!E:E,0)),"N/A")</f>
        <v>17099</v>
      </c>
      <c r="B4100" s="4" t="s">
        <v>474</v>
      </c>
      <c r="C4100" s="4" t="s">
        <v>298</v>
      </c>
      <c r="D4100" s="94">
        <v>4362.0</v>
      </c>
    </row>
    <row r="4101">
      <c r="A4101" s="40" t="str">
        <f t="array" ref="A4101">IFNA(index(PlayerValues!A:A,match(IFNA(vlookup(B4101,'Special Names'!A:B,2,FALSE),B4101),PlayerValues!E:E,0)),"N/A")</f>
        <v>N/A</v>
      </c>
      <c r="B4101" s="4" t="s">
        <v>81</v>
      </c>
      <c r="C4101" s="4" t="s">
        <v>325</v>
      </c>
      <c r="D4101" s="94">
        <v>3862.0</v>
      </c>
    </row>
    <row r="4102">
      <c r="A4102" s="40">
        <f t="array" ref="A4102">IFNA(index(PlayerValues!A:A,match(IFNA(vlookup(B4102,'Special Names'!A:B,2,FALSE),B4102),PlayerValues!E:E,0)),"N/A")</f>
        <v>17502</v>
      </c>
      <c r="B4102" s="4" t="s">
        <v>451</v>
      </c>
      <c r="C4102" s="4" t="s">
        <v>287</v>
      </c>
      <c r="D4102" s="94">
        <v>3828.0</v>
      </c>
    </row>
    <row r="4103">
      <c r="A4103" s="40">
        <f t="array" ref="A4103">IFNA(index(PlayerValues!A:A,match(IFNA(vlookup(B4103,'Special Names'!A:B,2,FALSE),B4103),PlayerValues!E:E,0)),"N/A")</f>
        <v>12626</v>
      </c>
      <c r="B4103" s="4" t="s">
        <v>419</v>
      </c>
      <c r="C4103" s="4" t="s">
        <v>278</v>
      </c>
      <c r="D4103" s="94">
        <v>3818.0</v>
      </c>
    </row>
    <row r="4104">
      <c r="A4104" s="40">
        <f t="array" ref="A4104">IFNA(index(PlayerValues!A:A,match(IFNA(vlookup(B4104,'Special Names'!A:B,2,FALSE),B4104),PlayerValues!E:E,0)),"N/A")</f>
        <v>13635</v>
      </c>
      <c r="B4104" s="4" t="s">
        <v>424</v>
      </c>
      <c r="C4104" s="4" t="s">
        <v>287</v>
      </c>
      <c r="D4104" s="94">
        <v>3806.0</v>
      </c>
    </row>
    <row r="4105">
      <c r="A4105" s="40">
        <f t="array" ref="A4105">IFNA(index(PlayerValues!A:A,match(IFNA(vlookup(B4105,'Special Names'!A:B,2,FALSE),B4105),PlayerValues!E:E,0)),"N/A")</f>
        <v>14102</v>
      </c>
      <c r="B4105" s="4" t="s">
        <v>444</v>
      </c>
      <c r="C4105" s="4" t="s">
        <v>287</v>
      </c>
      <c r="D4105" s="94">
        <v>3731.0</v>
      </c>
    </row>
    <row r="4106">
      <c r="A4106" s="40">
        <f t="array" ref="A4106">IFNA(index(PlayerValues!A:A,match(IFNA(vlookup(B4106,'Special Names'!A:B,2,FALSE),B4106),PlayerValues!E:E,0)),"N/A")</f>
        <v>16206</v>
      </c>
      <c r="B4106" s="4" t="s">
        <v>431</v>
      </c>
      <c r="C4106" s="4" t="s">
        <v>287</v>
      </c>
      <c r="D4106" s="94">
        <v>3709.0</v>
      </c>
    </row>
    <row r="4107">
      <c r="A4107" s="40">
        <f t="array" ref="A4107">IFNA(index(PlayerValues!A:A,match(IFNA(vlookup(B4107,'Special Names'!A:B,2,FALSE),B4107),PlayerValues!E:E,0)),"N/A")</f>
        <v>17075</v>
      </c>
      <c r="B4107" s="4" t="s">
        <v>429</v>
      </c>
      <c r="C4107" s="4" t="s">
        <v>287</v>
      </c>
      <c r="D4107" s="94">
        <v>3707.0</v>
      </c>
    </row>
    <row r="4108">
      <c r="A4108" s="40">
        <f t="array" ref="A4108">IFNA(index(PlayerValues!A:A,match(IFNA(vlookup(B4108,'Special Names'!A:B,2,FALSE),B4108),PlayerValues!E:E,0)),"N/A")</f>
        <v>9431</v>
      </c>
      <c r="B4108" s="4" t="s">
        <v>428</v>
      </c>
      <c r="C4108" s="4" t="s">
        <v>283</v>
      </c>
      <c r="D4108" s="94">
        <v>3703.0</v>
      </c>
    </row>
    <row r="4109">
      <c r="A4109" s="40">
        <f t="array" ref="A4109">IFNA(index(PlayerValues!A:A,match(IFNA(vlookup(B4109,'Special Names'!A:B,2,FALSE),B4109),PlayerValues!E:E,0)),"N/A")</f>
        <v>17463</v>
      </c>
      <c r="B4109" s="4" t="s">
        <v>433</v>
      </c>
      <c r="C4109" s="4" t="s">
        <v>283</v>
      </c>
      <c r="D4109" s="94">
        <v>3690.0</v>
      </c>
    </row>
    <row r="4110">
      <c r="A4110" s="40">
        <f t="array" ref="A4110">IFNA(index(PlayerValues!A:A,match(IFNA(vlookup(B4110,'Special Names'!A:B,2,FALSE),B4110),PlayerValues!E:E,0)),"N/A")</f>
        <v>15789</v>
      </c>
      <c r="B4110" s="4" t="s">
        <v>421</v>
      </c>
      <c r="C4110" s="4" t="s">
        <v>287</v>
      </c>
      <c r="D4110" s="94">
        <v>3667.0</v>
      </c>
    </row>
    <row r="4111">
      <c r="A4111" s="40">
        <f t="array" ref="A4111">IFNA(index(PlayerValues!A:A,match(IFNA(vlookup(B4111,'Special Names'!A:B,2,FALSE),B4111),PlayerValues!E:E,0)),"N/A")</f>
        <v>17068</v>
      </c>
      <c r="B4111" s="4" t="s">
        <v>450</v>
      </c>
      <c r="C4111" s="4" t="s">
        <v>278</v>
      </c>
      <c r="D4111" s="94">
        <v>3649.0</v>
      </c>
    </row>
    <row r="4112">
      <c r="A4112" s="40">
        <f t="array" ref="A4112">IFNA(index(PlayerValues!A:A,match(IFNA(vlookup(B4112,'Special Names'!A:B,2,FALSE),B4112),PlayerValues!E:E,0)),"N/A")</f>
        <v>15757</v>
      </c>
      <c r="B4112" s="4" t="s">
        <v>449</v>
      </c>
      <c r="C4112" s="4" t="s">
        <v>287</v>
      </c>
      <c r="D4112" s="94">
        <v>3582.0</v>
      </c>
    </row>
    <row r="4113">
      <c r="A4113" s="40">
        <f t="array" ref="A4113">IFNA(index(PlayerValues!A:A,match(IFNA(vlookup(B4113,'Special Names'!A:B,2,FALSE),B4113),PlayerValues!E:E,0)),"N/A")</f>
        <v>17066</v>
      </c>
      <c r="B4113" s="4" t="s">
        <v>446</v>
      </c>
      <c r="C4113" s="4" t="s">
        <v>278</v>
      </c>
      <c r="D4113" s="94">
        <v>3570.0</v>
      </c>
    </row>
    <row r="4114">
      <c r="A4114" s="40">
        <f t="array" ref="A4114">IFNA(index(PlayerValues!A:A,match(IFNA(vlookup(B4114,'Special Names'!A:B,2,FALSE),B4114),PlayerValues!E:E,0)),"N/A")</f>
        <v>16622</v>
      </c>
      <c r="B4114" s="4" t="s">
        <v>517</v>
      </c>
      <c r="C4114" s="4" t="s">
        <v>287</v>
      </c>
      <c r="D4114" s="94">
        <v>3550.0</v>
      </c>
    </row>
    <row r="4115">
      <c r="A4115" s="40">
        <f t="array" ref="A4115">IFNA(index(PlayerValues!A:A,match(IFNA(vlookup(B4115,'Special Names'!A:B,2,FALSE),B4115),PlayerValues!E:E,0)),"N/A")</f>
        <v>14797</v>
      </c>
      <c r="B4115" s="4" t="s">
        <v>420</v>
      </c>
      <c r="C4115" s="4" t="s">
        <v>278</v>
      </c>
      <c r="D4115" s="94">
        <v>3547.0</v>
      </c>
    </row>
    <row r="4116">
      <c r="A4116" s="40">
        <f t="array" ref="A4116">IFNA(index(PlayerValues!A:A,match(IFNA(vlookup(B4116,'Special Names'!A:B,2,FALSE),B4116),PlayerValues!E:E,0)),"N/A")</f>
        <v>17083</v>
      </c>
      <c r="B4116" s="4" t="s">
        <v>479</v>
      </c>
      <c r="C4116" s="4" t="s">
        <v>287</v>
      </c>
      <c r="D4116" s="94">
        <v>3507.0</v>
      </c>
    </row>
    <row r="4117">
      <c r="A4117" s="40">
        <f t="array" ref="A4117">IFNA(index(PlayerValues!A:A,match(IFNA(vlookup(B4117,'Special Names'!A:B,2,FALSE),B4117),PlayerValues!E:E,0)),"N/A")</f>
        <v>16192</v>
      </c>
      <c r="B4117" s="4" t="s">
        <v>412</v>
      </c>
      <c r="C4117" s="4" t="s">
        <v>287</v>
      </c>
      <c r="D4117" s="94">
        <v>3483.0</v>
      </c>
    </row>
    <row r="4118">
      <c r="A4118" s="40">
        <f t="array" ref="A4118">IFNA(index(PlayerValues!A:A,match(IFNA(vlookup(B4118,'Special Names'!A:B,2,FALSE),B4118),PlayerValues!E:E,0)),"N/A")</f>
        <v>14109</v>
      </c>
      <c r="B4118" s="4" t="s">
        <v>437</v>
      </c>
      <c r="C4118" s="4" t="s">
        <v>287</v>
      </c>
      <c r="D4118" s="94">
        <v>3463.0</v>
      </c>
    </row>
    <row r="4119">
      <c r="A4119" s="40">
        <f t="array" ref="A4119">IFNA(index(PlayerValues!A:A,match(IFNA(vlookup(B4119,'Special Names'!A:B,2,FALSE),B4119),PlayerValues!E:E,0)),"N/A")</f>
        <v>16187</v>
      </c>
      <c r="B4119" s="4" t="s">
        <v>441</v>
      </c>
      <c r="C4119" s="4" t="s">
        <v>287</v>
      </c>
      <c r="D4119" s="94">
        <v>3458.0</v>
      </c>
    </row>
    <row r="4120">
      <c r="A4120" s="40">
        <f t="array" ref="A4120">IFNA(index(PlayerValues!A:A,match(IFNA(vlookup(B4120,'Special Names'!A:B,2,FALSE),B4120),PlayerValues!E:E,0)),"N/A")</f>
        <v>11675</v>
      </c>
      <c r="B4120" s="4" t="s">
        <v>438</v>
      </c>
      <c r="C4120" s="4" t="s">
        <v>287</v>
      </c>
      <c r="D4120" s="94">
        <v>3425.0</v>
      </c>
    </row>
    <row r="4121">
      <c r="A4121" s="40">
        <f t="array" ref="A4121">IFNA(index(PlayerValues!A:A,match(IFNA(vlookup(B4121,'Special Names'!A:B,2,FALSE),B4121),PlayerValues!E:E,0)),"N/A")</f>
        <v>17544</v>
      </c>
      <c r="B4121" s="4" t="s">
        <v>470</v>
      </c>
      <c r="C4121" s="4" t="s">
        <v>298</v>
      </c>
      <c r="D4121" s="94">
        <v>3876.0</v>
      </c>
    </row>
    <row r="4122">
      <c r="A4122" s="40">
        <f t="array" ref="A4122">IFNA(index(PlayerValues!A:A,match(IFNA(vlookup(B4122,'Special Names'!A:B,2,FALSE),B4122),PlayerValues!E:E,0)),"N/A")</f>
        <v>17500</v>
      </c>
      <c r="B4122" s="4" t="s">
        <v>430</v>
      </c>
      <c r="C4122" s="4" t="s">
        <v>287</v>
      </c>
      <c r="D4122" s="94">
        <v>3415.0</v>
      </c>
    </row>
    <row r="4123">
      <c r="A4123" s="40">
        <f t="array" ref="A4123">IFNA(index(PlayerValues!A:A,match(IFNA(vlookup(B4123,'Special Names'!A:B,2,FALSE),B4123),PlayerValues!E:E,0)),"N/A")</f>
        <v>16188</v>
      </c>
      <c r="B4123" s="4" t="s">
        <v>439</v>
      </c>
      <c r="C4123" s="4" t="s">
        <v>287</v>
      </c>
      <c r="D4123" s="94">
        <v>3392.0</v>
      </c>
    </row>
    <row r="4124">
      <c r="A4124" s="40" t="str">
        <f t="array" ref="A4124">IFNA(index(PlayerValues!A:A,match(IFNA(vlookup(B4124,'Special Names'!A:B,2,FALSE),B4124),PlayerValues!E:E,0)),"N/A")</f>
        <v>N/A</v>
      </c>
      <c r="B4124" s="4" t="s">
        <v>96</v>
      </c>
      <c r="C4124" s="4" t="s">
        <v>325</v>
      </c>
      <c r="D4124" s="94">
        <v>3392.0</v>
      </c>
    </row>
    <row r="4125">
      <c r="A4125" s="40">
        <f t="array" ref="A4125">IFNA(index(PlayerValues!A:A,match(IFNA(vlookup(B4125,'Special Names'!A:B,2,FALSE),B4125),PlayerValues!E:E,0)),"N/A")</f>
        <v>16620</v>
      </c>
      <c r="B4125" s="4" t="s">
        <v>467</v>
      </c>
      <c r="C4125" s="4" t="s">
        <v>287</v>
      </c>
      <c r="D4125" s="94">
        <v>3379.0</v>
      </c>
    </row>
    <row r="4126">
      <c r="A4126" s="40">
        <f t="array" ref="A4126">IFNA(index(PlayerValues!A:A,match(IFNA(vlookup(B4126,'Special Names'!A:B,2,FALSE),B4126),PlayerValues!E:E,0)),"N/A")</f>
        <v>14071</v>
      </c>
      <c r="B4126" s="4" t="s">
        <v>440</v>
      </c>
      <c r="C4126" s="4" t="s">
        <v>278</v>
      </c>
      <c r="D4126" s="94">
        <v>3375.0</v>
      </c>
    </row>
    <row r="4127">
      <c r="A4127" s="40">
        <f t="array" ref="A4127">IFNA(index(PlayerValues!A:A,match(IFNA(vlookup(B4127,'Special Names'!A:B,2,FALSE),B4127),PlayerValues!E:E,0)),"N/A")</f>
        <v>14842</v>
      </c>
      <c r="B4127" s="4" t="s">
        <v>456</v>
      </c>
      <c r="C4127" s="4" t="s">
        <v>287</v>
      </c>
      <c r="D4127" s="94">
        <v>3362.0</v>
      </c>
    </row>
    <row r="4128">
      <c r="A4128" s="40">
        <f t="array" ref="A4128">IFNA(index(PlayerValues!A:A,match(IFNA(vlookup(B4128,'Special Names'!A:B,2,FALSE),B4128),PlayerValues!E:E,0)),"N/A")</f>
        <v>16169</v>
      </c>
      <c r="B4128" s="4" t="s">
        <v>457</v>
      </c>
      <c r="C4128" s="4" t="s">
        <v>278</v>
      </c>
      <c r="D4128" s="94">
        <v>3361.0</v>
      </c>
    </row>
    <row r="4129">
      <c r="A4129" s="40">
        <f t="array" ref="A4129">IFNA(index(PlayerValues!A:A,match(IFNA(vlookup(B4129,'Special Names'!A:B,2,FALSE),B4129),PlayerValues!E:E,0)),"N/A")</f>
        <v>15798</v>
      </c>
      <c r="B4129" s="4" t="s">
        <v>443</v>
      </c>
      <c r="C4129" s="4" t="s">
        <v>298</v>
      </c>
      <c r="D4129" s="94">
        <v>3808.0</v>
      </c>
    </row>
    <row r="4130">
      <c r="A4130" s="40">
        <f t="array" ref="A4130">IFNA(index(PlayerValues!A:A,match(IFNA(vlookup(B4130,'Special Names'!A:B,2,FALSE),B4130),PlayerValues!E:E,0)),"N/A")</f>
        <v>15779</v>
      </c>
      <c r="B4130" s="4" t="s">
        <v>461</v>
      </c>
      <c r="C4130" s="4" t="s">
        <v>287</v>
      </c>
      <c r="D4130" s="94">
        <v>3342.0</v>
      </c>
    </row>
    <row r="4131">
      <c r="A4131" s="40">
        <f t="array" ref="A4131">IFNA(index(PlayerValues!A:A,match(IFNA(vlookup(B4131,'Special Names'!A:B,2,FALSE),B4131),PlayerValues!E:E,0)),"N/A")</f>
        <v>15261</v>
      </c>
      <c r="B4131" s="4" t="s">
        <v>466</v>
      </c>
      <c r="C4131" s="4" t="s">
        <v>278</v>
      </c>
      <c r="D4131" s="94">
        <v>3341.0</v>
      </c>
    </row>
    <row r="4132">
      <c r="A4132" s="40">
        <f t="array" ref="A4132">IFNA(index(PlayerValues!A:A,match(IFNA(vlookup(B4132,'Special Names'!A:B,2,FALSE),B4132),PlayerValues!E:E,0)),"N/A")</f>
        <v>16184</v>
      </c>
      <c r="B4132" s="4" t="s">
        <v>445</v>
      </c>
      <c r="C4132" s="4" t="s">
        <v>287</v>
      </c>
      <c r="D4132" s="94">
        <v>3333.0</v>
      </c>
    </row>
    <row r="4133">
      <c r="A4133" s="40">
        <f t="array" ref="A4133">IFNA(index(PlayerValues!A:A,match(IFNA(vlookup(B4133,'Special Names'!A:B,2,FALSE),B4133),PlayerValues!E:E,0)),"N/A")</f>
        <v>13299</v>
      </c>
      <c r="B4133" s="4" t="s">
        <v>448</v>
      </c>
      <c r="C4133" s="4" t="s">
        <v>298</v>
      </c>
      <c r="D4133" s="94">
        <v>3768.0</v>
      </c>
    </row>
    <row r="4134">
      <c r="A4134" s="40">
        <f t="array" ref="A4134">IFNA(index(PlayerValues!A:A,match(IFNA(vlookup(B4134,'Special Names'!A:B,2,FALSE),B4134),PlayerValues!E:E,0)),"N/A")</f>
        <v>17074</v>
      </c>
      <c r="B4134" s="4" t="s">
        <v>475</v>
      </c>
      <c r="C4134" s="4" t="s">
        <v>287</v>
      </c>
      <c r="D4134" s="94">
        <v>3312.0</v>
      </c>
    </row>
    <row r="4135">
      <c r="A4135" s="40">
        <f t="array" ref="A4135">IFNA(index(PlayerValues!A:A,match(IFNA(vlookup(B4135,'Special Names'!A:B,2,FALSE),B4135),PlayerValues!E:E,0)),"N/A")</f>
        <v>15799</v>
      </c>
      <c r="B4135" s="4" t="s">
        <v>468</v>
      </c>
      <c r="C4135" s="4" t="s">
        <v>298</v>
      </c>
      <c r="D4135" s="94">
        <v>3740.0</v>
      </c>
    </row>
    <row r="4136">
      <c r="A4136" s="40">
        <f t="array" ref="A4136">IFNA(index(PlayerValues!A:A,match(IFNA(vlookup(B4136,'Special Names'!A:B,2,FALSE),B4136),PlayerValues!E:E,0)),"N/A")</f>
        <v>11671</v>
      </c>
      <c r="B4136" s="4" t="s">
        <v>463</v>
      </c>
      <c r="C4136" s="4" t="s">
        <v>287</v>
      </c>
      <c r="D4136" s="94">
        <v>3277.0</v>
      </c>
    </row>
    <row r="4137">
      <c r="A4137" s="40" t="str">
        <f t="array" ref="A4137">IFNA(index(PlayerValues!A:A,match(IFNA(vlookup(B4137,'Special Names'!A:B,2,FALSE),B4137),PlayerValues!E:E,0)),"N/A")</f>
        <v>N/A</v>
      </c>
      <c r="B4137" s="4" t="s">
        <v>82</v>
      </c>
      <c r="C4137" s="4" t="s">
        <v>325</v>
      </c>
      <c r="D4137" s="94">
        <v>3259.0</v>
      </c>
    </row>
    <row r="4138">
      <c r="A4138" s="40">
        <f t="array" ref="A4138">IFNA(index(PlayerValues!A:A,match(IFNA(vlookup(B4138,'Special Names'!A:B,2,FALSE),B4138),PlayerValues!E:E,0)),"N/A")</f>
        <v>14127</v>
      </c>
      <c r="B4138" s="4" t="s">
        <v>486</v>
      </c>
      <c r="C4138" s="4" t="s">
        <v>287</v>
      </c>
      <c r="D4138" s="94">
        <v>3243.0</v>
      </c>
    </row>
    <row r="4139">
      <c r="A4139" s="40">
        <f t="array" ref="A4139">IFNA(index(PlayerValues!A:A,match(IFNA(vlookup(B4139,'Special Names'!A:B,2,FALSE),B4139),PlayerValues!E:E,0)),"N/A")</f>
        <v>13630</v>
      </c>
      <c r="B4139" s="4" t="s">
        <v>465</v>
      </c>
      <c r="C4139" s="4" t="s">
        <v>287</v>
      </c>
      <c r="D4139" s="94">
        <v>3238.0</v>
      </c>
    </row>
    <row r="4140">
      <c r="A4140" s="40">
        <f t="array" ref="A4140">IFNA(index(PlayerValues!A:A,match(IFNA(vlookup(B4140,'Special Names'!A:B,2,FALSE),B4140),PlayerValues!E:E,0)),"N/A")</f>
        <v>16213</v>
      </c>
      <c r="B4140" s="4" t="s">
        <v>458</v>
      </c>
      <c r="C4140" s="4" t="s">
        <v>298</v>
      </c>
      <c r="D4140" s="94">
        <v>3665.0</v>
      </c>
    </row>
    <row r="4141">
      <c r="A4141" s="40" t="str">
        <f t="array" ref="A4141">IFNA(index(PlayerValues!A:A,match(IFNA(vlookup(B4141,'Special Names'!A:B,2,FALSE),B4141),PlayerValues!E:E,0)),"N/A")</f>
        <v>N/A</v>
      </c>
      <c r="B4141" s="4" t="s">
        <v>97</v>
      </c>
      <c r="C4141" s="4" t="s">
        <v>325</v>
      </c>
      <c r="D4141" s="94">
        <v>3207.0</v>
      </c>
    </row>
    <row r="4142">
      <c r="A4142" s="40">
        <f t="array" ref="A4142">IFNA(index(PlayerValues!A:A,match(IFNA(vlookup(B4142,'Special Names'!A:B,2,FALSE),B4142),PlayerValues!E:E,0)),"N/A")</f>
        <v>16593</v>
      </c>
      <c r="B4142" s="4" t="s">
        <v>442</v>
      </c>
      <c r="C4142" s="4" t="s">
        <v>278</v>
      </c>
      <c r="D4142" s="94">
        <v>3186.0</v>
      </c>
    </row>
    <row r="4143">
      <c r="A4143" s="40">
        <f t="array" ref="A4143">IFNA(index(PlayerValues!A:A,match(IFNA(vlookup(B4143,'Special Names'!A:B,2,FALSE),B4143),PlayerValues!E:E,0)),"N/A")</f>
        <v>14823</v>
      </c>
      <c r="B4143" s="4" t="s">
        <v>459</v>
      </c>
      <c r="C4143" s="4" t="s">
        <v>278</v>
      </c>
      <c r="D4143" s="94">
        <v>3183.0</v>
      </c>
    </row>
    <row r="4144">
      <c r="A4144" s="40">
        <f t="array" ref="A4144">IFNA(index(PlayerValues!A:A,match(IFNA(vlookup(B4144,'Special Names'!A:B,2,FALSE),B4144),PlayerValues!E:E,0)),"N/A")</f>
        <v>16583</v>
      </c>
      <c r="B4144" s="4" t="s">
        <v>493</v>
      </c>
      <c r="C4144" s="4" t="s">
        <v>283</v>
      </c>
      <c r="D4144" s="94">
        <v>3143.0</v>
      </c>
    </row>
    <row r="4145">
      <c r="A4145" s="40">
        <f t="array" ref="A4145">IFNA(index(PlayerValues!A:A,match(IFNA(vlookup(B4145,'Special Names'!A:B,2,FALSE),B4145),PlayerValues!E:E,0)),"N/A")</f>
        <v>15742</v>
      </c>
      <c r="B4145" s="4" t="s">
        <v>447</v>
      </c>
      <c r="C4145" s="4" t="s">
        <v>278</v>
      </c>
      <c r="D4145" s="94">
        <v>3130.0</v>
      </c>
    </row>
    <row r="4146">
      <c r="A4146" s="40">
        <f t="array" ref="A4146">IFNA(index(PlayerValues!A:A,match(IFNA(vlookup(B4146,'Special Names'!A:B,2,FALSE),B4146),PlayerValues!E:E,0)),"N/A")</f>
        <v>14800</v>
      </c>
      <c r="B4146" s="4" t="s">
        <v>472</v>
      </c>
      <c r="C4146" s="4" t="s">
        <v>278</v>
      </c>
      <c r="D4146" s="94">
        <v>3129.0</v>
      </c>
    </row>
    <row r="4147">
      <c r="A4147" s="40" t="str">
        <f t="array" ref="A4147">IFNA(index(PlayerValues!A:A,match(IFNA(vlookup(B4147,'Special Names'!A:B,2,FALSE),B4147),PlayerValues!E:E,0)),"N/A")</f>
        <v>N/A</v>
      </c>
      <c r="B4147" s="4" t="s">
        <v>108</v>
      </c>
      <c r="C4147" s="4" t="s">
        <v>325</v>
      </c>
      <c r="D4147" s="94">
        <v>3108.0</v>
      </c>
    </row>
    <row r="4148">
      <c r="A4148" s="40">
        <f t="array" ref="A4148">IFNA(index(PlayerValues!A:A,match(IFNA(vlookup(B4148,'Special Names'!A:B,2,FALSE),B4148),PlayerValues!E:E,0)),"N/A")</f>
        <v>16809</v>
      </c>
      <c r="B4148" s="4" t="s">
        <v>455</v>
      </c>
      <c r="C4148" s="4" t="s">
        <v>287</v>
      </c>
      <c r="D4148" s="94">
        <v>3039.0</v>
      </c>
    </row>
    <row r="4149">
      <c r="A4149" s="40">
        <f t="array" ref="A4149">IFNA(index(PlayerValues!A:A,match(IFNA(vlookup(B4149,'Special Names'!A:B,2,FALSE),B4149),PlayerValues!E:E,0)),"N/A")</f>
        <v>16597</v>
      </c>
      <c r="B4149" s="4" t="s">
        <v>427</v>
      </c>
      <c r="C4149" s="4" t="s">
        <v>278</v>
      </c>
      <c r="D4149" s="94">
        <v>3038.0</v>
      </c>
    </row>
    <row r="4150">
      <c r="A4150" s="40">
        <f t="array" ref="A4150">IFNA(index(PlayerValues!A:A,match(IFNA(vlookup(B4150,'Special Names'!A:B,2,FALSE),B4150),PlayerValues!E:E,0)),"N/A")</f>
        <v>16080</v>
      </c>
      <c r="B4150" s="4" t="s">
        <v>499</v>
      </c>
      <c r="C4150" s="4" t="s">
        <v>287</v>
      </c>
      <c r="D4150" s="94">
        <v>3036.0</v>
      </c>
    </row>
    <row r="4151">
      <c r="A4151" s="40" t="str">
        <f t="array" ref="A4151">IFNA(index(PlayerValues!A:A,match(IFNA(vlookup(B4151,'Special Names'!A:B,2,FALSE),B4151),PlayerValues!E:E,0)),"N/A")</f>
        <v>N/A</v>
      </c>
      <c r="B4151" s="4" t="s">
        <v>84</v>
      </c>
      <c r="C4151" s="4" t="s">
        <v>325</v>
      </c>
      <c r="D4151" s="94">
        <v>3033.0</v>
      </c>
    </row>
    <row r="4152">
      <c r="A4152" s="40">
        <f t="array" ref="A4152">IFNA(index(PlayerValues!A:A,match(IFNA(vlookup(B4152,'Special Names'!A:B,2,FALSE),B4152),PlayerValues!E:E,0)),"N/A")</f>
        <v>16269</v>
      </c>
      <c r="B4152" s="4" t="s">
        <v>481</v>
      </c>
      <c r="C4152" s="4" t="s">
        <v>298</v>
      </c>
      <c r="D4152" s="94">
        <v>3441.0</v>
      </c>
    </row>
    <row r="4153">
      <c r="A4153" s="40">
        <f t="array" ref="A4153">IFNA(index(PlayerValues!A:A,match(IFNA(vlookup(B4153,'Special Names'!A:B,2,FALSE),B4153),PlayerValues!E:E,0)),"N/A")</f>
        <v>15761</v>
      </c>
      <c r="B4153" s="4" t="s">
        <v>491</v>
      </c>
      <c r="C4153" s="4" t="s">
        <v>287</v>
      </c>
      <c r="D4153" s="94">
        <v>3008.0</v>
      </c>
    </row>
    <row r="4154">
      <c r="A4154" s="40">
        <f t="array" ref="A4154">IFNA(index(PlayerValues!A:A,match(IFNA(vlookup(B4154,'Special Names'!A:B,2,FALSE),B4154),PlayerValues!E:E,0)),"N/A")</f>
        <v>16628</v>
      </c>
      <c r="B4154" s="4" t="s">
        <v>490</v>
      </c>
      <c r="C4154" s="4" t="s">
        <v>287</v>
      </c>
      <c r="D4154" s="94">
        <v>2998.0</v>
      </c>
    </row>
    <row r="4155">
      <c r="A4155" s="40">
        <f t="array" ref="A4155">IFNA(index(PlayerValues!A:A,match(IFNA(vlookup(B4155,'Special Names'!A:B,2,FALSE),B4155),PlayerValues!E:E,0)),"N/A")</f>
        <v>16584</v>
      </c>
      <c r="B4155" s="4" t="s">
        <v>569</v>
      </c>
      <c r="C4155" s="4" t="s">
        <v>283</v>
      </c>
      <c r="D4155" s="94">
        <v>2949.0</v>
      </c>
    </row>
    <row r="4156">
      <c r="A4156" s="40">
        <f t="array" ref="A4156">IFNA(index(PlayerValues!A:A,match(IFNA(vlookup(B4156,'Special Names'!A:B,2,FALSE),B4156),PlayerValues!E:E,0)),"N/A")</f>
        <v>17053</v>
      </c>
      <c r="B4156" s="4" t="s">
        <v>484</v>
      </c>
      <c r="C4156" s="4" t="s">
        <v>278</v>
      </c>
      <c r="D4156" s="94">
        <v>2944.0</v>
      </c>
    </row>
    <row r="4157">
      <c r="A4157" s="40">
        <f t="array" ref="A4157">IFNA(index(PlayerValues!A:A,match(IFNA(vlookup(B4157,'Special Names'!A:B,2,FALSE),B4157),PlayerValues!E:E,0)),"N/A")</f>
        <v>13163</v>
      </c>
      <c r="B4157" s="4" t="s">
        <v>473</v>
      </c>
      <c r="C4157" s="4" t="s">
        <v>287</v>
      </c>
      <c r="D4157" s="94">
        <v>2925.0</v>
      </c>
    </row>
    <row r="4158">
      <c r="A4158" s="40">
        <f t="array" ref="A4158">IFNA(index(PlayerValues!A:A,match(IFNA(vlookup(B4158,'Special Names'!A:B,2,FALSE),B4158),PlayerValues!E:E,0)),"N/A")</f>
        <v>15259</v>
      </c>
      <c r="B4158" s="4" t="s">
        <v>453</v>
      </c>
      <c r="C4158" s="4" t="s">
        <v>278</v>
      </c>
      <c r="D4158" s="94">
        <v>2924.0</v>
      </c>
    </row>
    <row r="4159">
      <c r="A4159" s="40" t="str">
        <f t="array" ref="A4159">IFNA(index(PlayerValues!A:A,match(IFNA(vlookup(B4159,'Special Names'!A:B,2,FALSE),B4159),PlayerValues!E:E,0)),"N/A")</f>
        <v>N/A</v>
      </c>
      <c r="B4159" s="4" t="s">
        <v>109</v>
      </c>
      <c r="C4159" s="4" t="s">
        <v>325</v>
      </c>
      <c r="D4159" s="94">
        <v>2915.0</v>
      </c>
    </row>
    <row r="4160">
      <c r="A4160" s="40">
        <f t="array" ref="A4160">IFNA(index(PlayerValues!A:A,match(IFNA(vlookup(B4160,'Special Names'!A:B,2,FALSE),B4160),PlayerValues!E:E,0)),"N/A")</f>
        <v>17256</v>
      </c>
      <c r="B4160" s="4" t="s">
        <v>462</v>
      </c>
      <c r="C4160" s="4" t="s">
        <v>278</v>
      </c>
      <c r="D4160" s="94">
        <v>2899.0</v>
      </c>
    </row>
    <row r="4161">
      <c r="A4161" s="40">
        <f t="array" ref="A4161">IFNA(index(PlayerValues!A:A,match(IFNA(vlookup(B4161,'Special Names'!A:B,2,FALSE),B4161),PlayerValues!E:E,0)),"N/A")</f>
        <v>17477</v>
      </c>
      <c r="B4161" s="4" t="s">
        <v>452</v>
      </c>
      <c r="C4161" s="4" t="s">
        <v>278</v>
      </c>
      <c r="D4161" s="94">
        <v>2887.0</v>
      </c>
    </row>
    <row r="4162">
      <c r="A4162" s="40">
        <f t="array" ref="A4162">IFNA(index(PlayerValues!A:A,match(IFNA(vlookup(B4162,'Special Names'!A:B,2,FALSE),B4162),PlayerValues!E:E,0)),"N/A")</f>
        <v>16723</v>
      </c>
      <c r="B4162" s="4" t="s">
        <v>502</v>
      </c>
      <c r="C4162" s="4" t="s">
        <v>298</v>
      </c>
      <c r="D4162" s="94">
        <v>3301.0</v>
      </c>
    </row>
    <row r="4163">
      <c r="A4163" s="40">
        <f t="array" ref="A4163">IFNA(index(PlayerValues!A:A,match(IFNA(vlookup(B4163,'Special Names'!A:B,2,FALSE),B4163),PlayerValues!E:E,0)),"N/A")</f>
        <v>17506</v>
      </c>
      <c r="B4163" s="4" t="s">
        <v>471</v>
      </c>
      <c r="C4163" s="4" t="s">
        <v>287</v>
      </c>
      <c r="D4163" s="94">
        <v>2875.0</v>
      </c>
    </row>
    <row r="4164">
      <c r="A4164" s="40">
        <f t="array" ref="A4164">IFNA(index(PlayerValues!A:A,match(IFNA(vlookup(B4164,'Special Names'!A:B,2,FALSE),B4164),PlayerValues!E:E,0)),"N/A")</f>
        <v>17476</v>
      </c>
      <c r="B4164" s="4" t="s">
        <v>494</v>
      </c>
      <c r="C4164" s="4" t="s">
        <v>278</v>
      </c>
      <c r="D4164" s="94">
        <v>2852.0</v>
      </c>
    </row>
    <row r="4165">
      <c r="A4165" s="40">
        <f t="array" ref="A4165">IFNA(index(PlayerValues!A:A,match(IFNA(vlookup(B4165,'Special Names'!A:B,2,FALSE),B4165),PlayerValues!E:E,0)),"N/A")</f>
        <v>15255</v>
      </c>
      <c r="B4165" s="4" t="s">
        <v>477</v>
      </c>
      <c r="C4165" s="4" t="s">
        <v>278</v>
      </c>
      <c r="D4165" s="94">
        <v>2852.0</v>
      </c>
    </row>
    <row r="4166">
      <c r="A4166" s="40">
        <f t="array" ref="A4166">IFNA(index(PlayerValues!A:A,match(IFNA(vlookup(B4166,'Special Names'!A:B,2,FALSE),B4166),PlayerValues!E:E,0)),"N/A")</f>
        <v>14138</v>
      </c>
      <c r="B4166" s="4" t="s">
        <v>531</v>
      </c>
      <c r="C4166" s="4" t="s">
        <v>298</v>
      </c>
      <c r="D4166" s="94">
        <v>3253.0</v>
      </c>
    </row>
    <row r="4167">
      <c r="A4167" s="40">
        <f t="array" ref="A4167">IFNA(index(PlayerValues!A:A,match(IFNA(vlookup(B4167,'Special Names'!A:B,2,FALSE),B4167),PlayerValues!E:E,0)),"N/A")</f>
        <v>17031</v>
      </c>
      <c r="B4167" s="4" t="s">
        <v>535</v>
      </c>
      <c r="C4167" s="4" t="s">
        <v>283</v>
      </c>
      <c r="D4167" s="94">
        <v>2825.0</v>
      </c>
    </row>
    <row r="4168">
      <c r="A4168" s="40">
        <f t="array" ref="A4168">IFNA(index(PlayerValues!A:A,match(IFNA(vlookup(B4168,'Special Names'!A:B,2,FALSE),B4168),PlayerValues!E:E,0)),"N/A")</f>
        <v>15712</v>
      </c>
      <c r="B4168" s="4" t="s">
        <v>488</v>
      </c>
      <c r="C4168" s="4" t="s">
        <v>278</v>
      </c>
      <c r="D4168" s="94">
        <v>2820.0</v>
      </c>
    </row>
    <row r="4169">
      <c r="A4169" s="40">
        <f t="array" ref="A4169">IFNA(index(PlayerValues!A:A,match(IFNA(vlookup(B4169,'Special Names'!A:B,2,FALSE),B4169),PlayerValues!E:E,0)),"N/A")</f>
        <v>13671</v>
      </c>
      <c r="B4169" s="4" t="s">
        <v>506</v>
      </c>
      <c r="C4169" s="4" t="s">
        <v>298</v>
      </c>
      <c r="D4169" s="94">
        <v>3230.0</v>
      </c>
    </row>
    <row r="4170">
      <c r="A4170" s="40">
        <f t="array" ref="A4170">IFNA(index(PlayerValues!A:A,match(IFNA(vlookup(B4170,'Special Names'!A:B,2,FALSE),B4170),PlayerValues!E:E,0)),"N/A")</f>
        <v>15889</v>
      </c>
      <c r="B4170" s="4" t="s">
        <v>503</v>
      </c>
      <c r="C4170" s="4" t="s">
        <v>298</v>
      </c>
      <c r="D4170" s="94">
        <v>3212.0</v>
      </c>
    </row>
    <row r="4171">
      <c r="A4171" s="40">
        <f t="array" ref="A4171">IFNA(index(PlayerValues!A:A,match(IFNA(vlookup(B4171,'Special Names'!A:B,2,FALSE),B4171),PlayerValues!E:E,0)),"N/A")</f>
        <v>17072</v>
      </c>
      <c r="B4171" s="4" t="s">
        <v>508</v>
      </c>
      <c r="C4171" s="4" t="s">
        <v>287</v>
      </c>
      <c r="D4171" s="94">
        <v>2781.0</v>
      </c>
    </row>
    <row r="4172">
      <c r="A4172" s="40">
        <f t="array" ref="A4172">IFNA(index(PlayerValues!A:A,match(IFNA(vlookup(B4172,'Special Names'!A:B,2,FALSE),B4172),PlayerValues!E:E,0)),"N/A")</f>
        <v>17157</v>
      </c>
      <c r="B4172" s="4" t="s">
        <v>524</v>
      </c>
      <c r="C4172" s="4" t="s">
        <v>287</v>
      </c>
      <c r="D4172" s="94">
        <v>2781.0</v>
      </c>
    </row>
    <row r="4173">
      <c r="A4173" s="40">
        <f t="array" ref="A4173">IFNA(index(PlayerValues!A:A,match(IFNA(vlookup(B4173,'Special Names'!A:B,2,FALSE),B4173),PlayerValues!E:E,0)),"N/A")</f>
        <v>14085</v>
      </c>
      <c r="B4173" s="4" t="s">
        <v>489</v>
      </c>
      <c r="C4173" s="4" t="s">
        <v>278</v>
      </c>
      <c r="D4173" s="94">
        <v>2770.0</v>
      </c>
    </row>
    <row r="4174">
      <c r="A4174" s="40" t="str">
        <f t="array" ref="A4174">IFNA(index(PlayerValues!A:A,match(IFNA(vlookup(B4174,'Special Names'!A:B,2,FALSE),B4174),PlayerValues!E:E,0)),"N/A")</f>
        <v>N/A</v>
      </c>
      <c r="B4174" s="4" t="s">
        <v>110</v>
      </c>
      <c r="C4174" s="4" t="s">
        <v>325</v>
      </c>
      <c r="D4174" s="94">
        <v>2768.0</v>
      </c>
    </row>
    <row r="4175">
      <c r="A4175" s="40">
        <f t="array" ref="A4175">IFNA(index(PlayerValues!A:A,match(IFNA(vlookup(B4175,'Special Names'!A:B,2,FALSE),B4175),PlayerValues!E:E,0)),"N/A")</f>
        <v>15241</v>
      </c>
      <c r="B4175" s="4" t="s">
        <v>546</v>
      </c>
      <c r="C4175" s="4" t="s">
        <v>283</v>
      </c>
      <c r="D4175" s="94">
        <v>2767.0</v>
      </c>
    </row>
    <row r="4176">
      <c r="A4176" s="40">
        <f t="array" ref="A4176">IFNA(index(PlayerValues!A:A,match(IFNA(vlookup(B4176,'Special Names'!A:B,2,FALSE),B4176),PlayerValues!E:E,0)),"N/A")</f>
        <v>16193</v>
      </c>
      <c r="B4176" s="4" t="s">
        <v>487</v>
      </c>
      <c r="C4176" s="4" t="s">
        <v>287</v>
      </c>
      <c r="D4176" s="94">
        <v>2766.0</v>
      </c>
    </row>
    <row r="4177">
      <c r="A4177" s="40" t="str">
        <f t="array" ref="A4177">IFNA(index(PlayerValues!A:A,match(IFNA(vlookup(B4177,'Special Names'!A:B,2,FALSE),B4177),PlayerValues!E:E,0)),"N/A")</f>
        <v>N/A</v>
      </c>
      <c r="B4177" s="4" t="s">
        <v>85</v>
      </c>
      <c r="C4177" s="4" t="s">
        <v>325</v>
      </c>
      <c r="D4177" s="94">
        <v>2765.0</v>
      </c>
    </row>
    <row r="4178">
      <c r="A4178" s="40">
        <f t="array" ref="A4178">IFNA(index(PlayerValues!A:A,match(IFNA(vlookup(B4178,'Special Names'!A:B,2,FALSE),B4178),PlayerValues!E:E,0)),"N/A")</f>
        <v>14778</v>
      </c>
      <c r="B4178" s="4" t="s">
        <v>564</v>
      </c>
      <c r="C4178" s="4" t="s">
        <v>283</v>
      </c>
      <c r="D4178" s="94">
        <v>2764.0</v>
      </c>
    </row>
    <row r="4179">
      <c r="A4179" s="40">
        <f t="array" ref="A4179">IFNA(index(PlayerValues!A:A,match(IFNA(vlookup(B4179,'Special Names'!A:B,2,FALSE),B4179),PlayerValues!E:E,0)),"N/A")</f>
        <v>16619</v>
      </c>
      <c r="B4179" s="4" t="s">
        <v>538</v>
      </c>
      <c r="C4179" s="4" t="s">
        <v>287</v>
      </c>
      <c r="D4179" s="94">
        <v>2751.0</v>
      </c>
    </row>
    <row r="4180">
      <c r="A4180" s="40">
        <f t="array" ref="A4180">IFNA(index(PlayerValues!A:A,match(IFNA(vlookup(B4180,'Special Names'!A:B,2,FALSE),B4180),PlayerValues!E:E,0)),"N/A")</f>
        <v>12616</v>
      </c>
      <c r="B4180" s="4" t="s">
        <v>529</v>
      </c>
      <c r="C4180" s="4" t="s">
        <v>283</v>
      </c>
      <c r="D4180" s="94">
        <v>2743.0</v>
      </c>
    </row>
    <row r="4181">
      <c r="A4181" s="40">
        <f t="array" ref="A4181">IFNA(index(PlayerValues!A:A,match(IFNA(vlookup(B4181,'Special Names'!A:B,2,FALSE),B4181),PlayerValues!E:E,0)),"N/A")</f>
        <v>17047</v>
      </c>
      <c r="B4181" s="4" t="s">
        <v>510</v>
      </c>
      <c r="C4181" s="4" t="s">
        <v>278</v>
      </c>
      <c r="D4181" s="94">
        <v>2740.0</v>
      </c>
    </row>
    <row r="4182">
      <c r="A4182" s="40">
        <f t="array" ref="A4182">IFNA(index(PlayerValues!A:A,match(IFNA(vlookup(B4182,'Special Names'!A:B,2,FALSE),B4182),PlayerValues!E:E,0)),"N/A")</f>
        <v>17073</v>
      </c>
      <c r="B4182" s="4" t="s">
        <v>547</v>
      </c>
      <c r="C4182" s="4" t="s">
        <v>287</v>
      </c>
      <c r="D4182" s="94">
        <v>2737.0</v>
      </c>
    </row>
    <row r="4183">
      <c r="A4183" s="40">
        <f t="array" ref="A4183">IFNA(index(PlayerValues!A:A,match(IFNA(vlookup(B4183,'Special Names'!A:B,2,FALSE),B4183),PlayerValues!E:E,0)),"N/A")</f>
        <v>17503</v>
      </c>
      <c r="B4183" s="4" t="s">
        <v>480</v>
      </c>
      <c r="C4183" s="4" t="s">
        <v>287</v>
      </c>
      <c r="D4183" s="94">
        <v>2726.0</v>
      </c>
    </row>
    <row r="4184">
      <c r="A4184" s="40">
        <f t="array" ref="A4184">IFNA(index(PlayerValues!A:A,match(IFNA(vlookup(B4184,'Special Names'!A:B,2,FALSE),B4184),PlayerValues!E:E,0)),"N/A")</f>
        <v>17080</v>
      </c>
      <c r="B4184" s="4" t="s">
        <v>532</v>
      </c>
      <c r="C4184" s="4" t="s">
        <v>287</v>
      </c>
      <c r="D4184" s="94">
        <v>2726.0</v>
      </c>
    </row>
    <row r="4185">
      <c r="A4185" s="40">
        <f t="array" ref="A4185">IFNA(index(PlayerValues!A:A,match(IFNA(vlookup(B4185,'Special Names'!A:B,2,FALSE),B4185),PlayerValues!E:E,0)),"N/A")</f>
        <v>17098</v>
      </c>
      <c r="B4185" s="4" t="s">
        <v>533</v>
      </c>
      <c r="C4185" s="4" t="s">
        <v>287</v>
      </c>
      <c r="D4185" s="94">
        <v>2722.0</v>
      </c>
    </row>
    <row r="4186">
      <c r="A4186" s="40">
        <f t="array" ref="A4186">IFNA(index(PlayerValues!A:A,match(IFNA(vlookup(B4186,'Special Names'!A:B,2,FALSE),B4186),PlayerValues!E:E,0)),"N/A")</f>
        <v>17107</v>
      </c>
      <c r="B4186" s="4" t="s">
        <v>478</v>
      </c>
      <c r="C4186" s="4" t="s">
        <v>298</v>
      </c>
      <c r="D4186" s="94">
        <v>3130.0</v>
      </c>
    </row>
    <row r="4187">
      <c r="A4187" s="40">
        <f t="array" ref="A4187">IFNA(index(PlayerValues!A:A,match(IFNA(vlookup(B4187,'Special Names'!A:B,2,FALSE),B4187),PlayerValues!E:E,0)),"N/A")</f>
        <v>15721</v>
      </c>
      <c r="B4187" s="4" t="s">
        <v>504</v>
      </c>
      <c r="C4187" s="4" t="s">
        <v>278</v>
      </c>
      <c r="D4187" s="94">
        <v>2714.0</v>
      </c>
    </row>
    <row r="4188">
      <c r="A4188" s="40">
        <f t="array" ref="A4188">IFNA(index(PlayerValues!A:A,match(IFNA(vlookup(B4188,'Special Names'!A:B,2,FALSE),B4188),PlayerValues!E:E,0)),"N/A")</f>
        <v>16596</v>
      </c>
      <c r="B4188" s="4" t="s">
        <v>501</v>
      </c>
      <c r="C4188" s="4" t="s">
        <v>278</v>
      </c>
      <c r="D4188" s="94">
        <v>2705.0</v>
      </c>
    </row>
    <row r="4189">
      <c r="A4189" s="40">
        <f t="array" ref="A4189">IFNA(index(PlayerValues!A:A,match(IFNA(vlookup(B4189,'Special Names'!A:B,2,FALSE),B4189),PlayerValues!E:E,0)),"N/A")</f>
        <v>14833</v>
      </c>
      <c r="B4189" s="4" t="s">
        <v>553</v>
      </c>
      <c r="C4189" s="4" t="s">
        <v>287</v>
      </c>
      <c r="D4189" s="94">
        <v>2704.0</v>
      </c>
    </row>
    <row r="4190">
      <c r="A4190" s="40">
        <f t="array" ref="A4190">IFNA(index(PlayerValues!A:A,match(IFNA(vlookup(B4190,'Special Names'!A:B,2,FALSE),B4190),PlayerValues!E:E,0)),"N/A")</f>
        <v>15972</v>
      </c>
      <c r="B4190" s="4" t="s">
        <v>469</v>
      </c>
      <c r="C4190" s="4" t="s">
        <v>278</v>
      </c>
      <c r="D4190" s="94">
        <v>2702.0</v>
      </c>
    </row>
    <row r="4191">
      <c r="A4191" s="40">
        <f t="array" ref="A4191">IFNA(index(PlayerValues!A:A,match(IFNA(vlookup(B4191,'Special Names'!A:B,2,FALSE),B4191),PlayerValues!E:E,0)),"N/A")</f>
        <v>17105</v>
      </c>
      <c r="B4191" s="4" t="s">
        <v>525</v>
      </c>
      <c r="C4191" s="4" t="s">
        <v>298</v>
      </c>
      <c r="D4191" s="94">
        <v>3109.0</v>
      </c>
    </row>
    <row r="4192">
      <c r="A4192" s="40">
        <f t="array" ref="A4192">IFNA(index(PlayerValues!A:A,match(IFNA(vlookup(B4192,'Special Names'!A:B,2,FALSE),B4192),PlayerValues!E:E,0)),"N/A")</f>
        <v>16165</v>
      </c>
      <c r="B4192" s="4" t="s">
        <v>520</v>
      </c>
      <c r="C4192" s="4" t="s">
        <v>278</v>
      </c>
      <c r="D4192" s="94">
        <v>2679.0</v>
      </c>
    </row>
    <row r="4193">
      <c r="A4193" s="40">
        <f t="array" ref="A4193">IFNA(index(PlayerValues!A:A,match(IFNA(vlookup(B4193,'Special Names'!A:B,2,FALSE),B4193),PlayerValues!E:E,0)),"N/A")</f>
        <v>14860</v>
      </c>
      <c r="B4193" s="4" t="s">
        <v>554</v>
      </c>
      <c r="C4193" s="4" t="s">
        <v>287</v>
      </c>
      <c r="D4193" s="94">
        <v>2664.0</v>
      </c>
    </row>
    <row r="4194">
      <c r="A4194" s="40">
        <f t="array" ref="A4194">IFNA(index(PlayerValues!A:A,match(IFNA(vlookup(B4194,'Special Names'!A:B,2,FALSE),B4194),PlayerValues!E:E,0)),"N/A")</f>
        <v>17171</v>
      </c>
      <c r="B4194" s="4" t="s">
        <v>561</v>
      </c>
      <c r="C4194" s="4" t="s">
        <v>287</v>
      </c>
      <c r="D4194" s="94">
        <v>2652.0</v>
      </c>
    </row>
    <row r="4195">
      <c r="A4195" s="40">
        <f t="array" ref="A4195">IFNA(index(PlayerValues!A:A,match(IFNA(vlookup(B4195,'Special Names'!A:B,2,FALSE),B4195),PlayerValues!E:E,0)),"N/A")</f>
        <v>16195</v>
      </c>
      <c r="B4195" s="4" t="s">
        <v>509</v>
      </c>
      <c r="C4195" s="4" t="s">
        <v>287</v>
      </c>
      <c r="D4195" s="94">
        <v>2649.0</v>
      </c>
    </row>
    <row r="4196">
      <c r="A4196" s="40">
        <f t="array" ref="A4196">IFNA(index(PlayerValues!A:A,match(IFNA(vlookup(B4196,'Special Names'!A:B,2,FALSE),B4196),PlayerValues!E:E,0)),"N/A")</f>
        <v>16747</v>
      </c>
      <c r="B4196" s="4" t="s">
        <v>555</v>
      </c>
      <c r="C4196" s="4" t="s">
        <v>278</v>
      </c>
      <c r="D4196" s="94">
        <v>2647.0</v>
      </c>
    </row>
    <row r="4197">
      <c r="A4197" s="40">
        <f t="array" ref="A4197">IFNA(index(PlayerValues!A:A,match(IFNA(vlookup(B4197,'Special Names'!A:B,2,FALSE),B4197),PlayerValues!E:E,0)),"N/A")</f>
        <v>17505</v>
      </c>
      <c r="B4197" s="4" t="s">
        <v>528</v>
      </c>
      <c r="C4197" s="4" t="s">
        <v>287</v>
      </c>
      <c r="D4197" s="94">
        <v>2646.0</v>
      </c>
    </row>
    <row r="4198">
      <c r="A4198" s="40" t="str">
        <f t="array" ref="A4198">IFNA(index(PlayerValues!A:A,match(IFNA(vlookup(B4198,'Special Names'!A:B,2,FALSE),B4198),PlayerValues!E:E,0)),"N/A")</f>
        <v>N/A</v>
      </c>
      <c r="B4198" s="4" t="s">
        <v>98</v>
      </c>
      <c r="C4198" s="4" t="s">
        <v>325</v>
      </c>
      <c r="D4198" s="94">
        <v>2638.0</v>
      </c>
    </row>
    <row r="4199">
      <c r="A4199" s="40">
        <f t="array" ref="A4199">IFNA(index(PlayerValues!A:A,match(IFNA(vlookup(B4199,'Special Names'!A:B,2,FALSE),B4199),PlayerValues!E:E,0)),"N/A")</f>
        <v>17082</v>
      </c>
      <c r="B4199" s="4" t="s">
        <v>498</v>
      </c>
      <c r="C4199" s="4" t="s">
        <v>287</v>
      </c>
      <c r="D4199" s="94">
        <v>2608.0</v>
      </c>
    </row>
    <row r="4200">
      <c r="A4200" s="40">
        <f t="array" ref="A4200">IFNA(index(PlayerValues!A:A,match(IFNA(vlookup(B4200,'Special Names'!A:B,2,FALSE),B4200),PlayerValues!E:E,0)),"N/A")</f>
        <v>13674</v>
      </c>
      <c r="B4200" s="4" t="s">
        <v>511</v>
      </c>
      <c r="C4200" s="4" t="s">
        <v>298</v>
      </c>
      <c r="D4200" s="94">
        <v>3010.0</v>
      </c>
    </row>
    <row r="4201">
      <c r="A4201" s="40">
        <f t="array" ref="A4201">IFNA(index(PlayerValues!A:A,match(IFNA(vlookup(B4201,'Special Names'!A:B,2,FALSE),B4201),PlayerValues!E:E,0)),"N/A")</f>
        <v>17509</v>
      </c>
      <c r="B4201" s="4" t="s">
        <v>551</v>
      </c>
      <c r="C4201" s="4" t="s">
        <v>287</v>
      </c>
      <c r="D4201" s="94">
        <v>2599.0</v>
      </c>
    </row>
    <row r="4202">
      <c r="A4202" s="40">
        <f t="array" ref="A4202">IFNA(index(PlayerValues!A:A,match(IFNA(vlookup(B4202,'Special Names'!A:B,2,FALSE),B4202),PlayerValues!E:E,0)),"N/A")</f>
        <v>17108</v>
      </c>
      <c r="B4202" s="4" t="s">
        <v>542</v>
      </c>
      <c r="C4202" s="4" t="s">
        <v>298</v>
      </c>
      <c r="D4202" s="94">
        <v>2984.0</v>
      </c>
    </row>
    <row r="4203">
      <c r="A4203" s="40">
        <f t="array" ref="A4203">IFNA(index(PlayerValues!A:A,match(IFNA(vlookup(B4203,'Special Names'!A:B,2,FALSE),B4203),PlayerValues!E:E,0)),"N/A")</f>
        <v>16287</v>
      </c>
      <c r="B4203" s="4" t="s">
        <v>516</v>
      </c>
      <c r="C4203" s="4" t="s">
        <v>287</v>
      </c>
      <c r="D4203" s="94">
        <v>2560.0</v>
      </c>
    </row>
    <row r="4204">
      <c r="A4204" s="40">
        <f t="array" ref="A4204">IFNA(index(PlayerValues!A:A,match(IFNA(vlookup(B4204,'Special Names'!A:B,2,FALSE),B4204),PlayerValues!E:E,0)),"N/A")</f>
        <v>16626</v>
      </c>
      <c r="B4204" s="4" t="s">
        <v>515</v>
      </c>
      <c r="C4204" s="4" t="s">
        <v>287</v>
      </c>
      <c r="D4204" s="94">
        <v>2557.0</v>
      </c>
    </row>
    <row r="4205">
      <c r="A4205" s="40">
        <f t="array" ref="A4205">IFNA(index(PlayerValues!A:A,match(IFNA(vlookup(B4205,'Special Names'!A:B,2,FALSE),B4205),PlayerValues!E:E,0)),"N/A")</f>
        <v>16617</v>
      </c>
      <c r="B4205" s="4" t="s">
        <v>541</v>
      </c>
      <c r="C4205" s="4" t="s">
        <v>287</v>
      </c>
      <c r="D4205" s="94">
        <v>2538.0</v>
      </c>
    </row>
    <row r="4206">
      <c r="A4206" s="40">
        <f t="array" ref="A4206">IFNA(index(PlayerValues!A:A,match(IFNA(vlookup(B4206,'Special Names'!A:B,2,FALSE),B4206),PlayerValues!E:E,0)),"N/A")</f>
        <v>17482</v>
      </c>
      <c r="B4206" s="4" t="s">
        <v>460</v>
      </c>
      <c r="C4206" s="4" t="s">
        <v>278</v>
      </c>
      <c r="D4206" s="94">
        <v>2523.0</v>
      </c>
    </row>
    <row r="4207">
      <c r="A4207" s="40">
        <f t="array" ref="A4207">IFNA(index(PlayerValues!A:A,match(IFNA(vlookup(B4207,'Special Names'!A:B,2,FALSE),B4207),PlayerValues!E:E,0)),"N/A")</f>
        <v>17134</v>
      </c>
      <c r="B4207" s="4" t="s">
        <v>548</v>
      </c>
      <c r="C4207" s="4" t="s">
        <v>287</v>
      </c>
      <c r="D4207" s="94">
        <v>2518.0</v>
      </c>
    </row>
    <row r="4208">
      <c r="A4208" s="40">
        <f t="array" ref="A4208">IFNA(index(PlayerValues!A:A,match(IFNA(vlookup(B4208,'Special Names'!A:B,2,FALSE),B4208),PlayerValues!E:E,0)),"N/A")</f>
        <v>17048</v>
      </c>
      <c r="B4208" s="4" t="s">
        <v>539</v>
      </c>
      <c r="C4208" s="4" t="s">
        <v>278</v>
      </c>
      <c r="D4208" s="94">
        <v>2496.0</v>
      </c>
    </row>
    <row r="4209">
      <c r="A4209" s="40">
        <f t="array" ref="A4209">IFNA(index(PlayerValues!A:A,match(IFNA(vlookup(B4209,'Special Names'!A:B,2,FALSE),B4209),PlayerValues!E:E,0)),"N/A")</f>
        <v>16684</v>
      </c>
      <c r="B4209" s="4" t="s">
        <v>500</v>
      </c>
      <c r="C4209" s="4" t="s">
        <v>287</v>
      </c>
      <c r="D4209" s="94">
        <v>2490.0</v>
      </c>
    </row>
    <row r="4210">
      <c r="A4210" s="40">
        <f t="array" ref="A4210">IFNA(index(PlayerValues!A:A,match(IFNA(vlookup(B4210,'Special Names'!A:B,2,FALSE),B4210),PlayerValues!E:E,0)),"N/A")</f>
        <v>16164</v>
      </c>
      <c r="B4210" s="4" t="s">
        <v>512</v>
      </c>
      <c r="C4210" s="4" t="s">
        <v>278</v>
      </c>
      <c r="D4210" s="94">
        <v>2489.0</v>
      </c>
    </row>
    <row r="4211">
      <c r="A4211" s="40">
        <f t="array" ref="A4211">IFNA(index(PlayerValues!A:A,match(IFNA(vlookup(B4211,'Special Names'!A:B,2,FALSE),B4211),PlayerValues!E:E,0)),"N/A")</f>
        <v>16174</v>
      </c>
      <c r="B4211" s="4" t="s">
        <v>505</v>
      </c>
      <c r="C4211" s="4" t="s">
        <v>278</v>
      </c>
      <c r="D4211" s="94">
        <v>2483.0</v>
      </c>
    </row>
    <row r="4212">
      <c r="A4212" s="40">
        <f t="array" ref="A4212">IFNA(index(PlayerValues!A:A,match(IFNA(vlookup(B4212,'Special Names'!A:B,2,FALSE),B4212),PlayerValues!E:E,0)),"N/A")</f>
        <v>17511</v>
      </c>
      <c r="B4212" s="4" t="s">
        <v>485</v>
      </c>
      <c r="C4212" s="4" t="s">
        <v>287</v>
      </c>
      <c r="D4212" s="94">
        <v>2468.0</v>
      </c>
    </row>
    <row r="4213">
      <c r="A4213" s="40">
        <f t="array" ref="A4213">IFNA(index(PlayerValues!A:A,match(IFNA(vlookup(B4213,'Special Names'!A:B,2,FALSE),B4213),PlayerValues!E:E,0)),"N/A")</f>
        <v>14840</v>
      </c>
      <c r="B4213" s="4" t="s">
        <v>731</v>
      </c>
      <c r="C4213" s="4" t="s">
        <v>287</v>
      </c>
      <c r="D4213" s="94">
        <v>2465.0</v>
      </c>
    </row>
    <row r="4214">
      <c r="A4214" s="40">
        <f t="array" ref="A4214">IFNA(index(PlayerValues!A:A,match(IFNA(vlookup(B4214,'Special Names'!A:B,2,FALSE),B4214),PlayerValues!E:E,0)),"N/A")</f>
        <v>16178</v>
      </c>
      <c r="B4214" s="4" t="s">
        <v>507</v>
      </c>
      <c r="C4214" s="4" t="s">
        <v>278</v>
      </c>
      <c r="D4214" s="94">
        <v>2463.0</v>
      </c>
    </row>
    <row r="4215">
      <c r="A4215" s="40">
        <f t="array" ref="A4215">IFNA(index(PlayerValues!A:A,match(IFNA(vlookup(B4215,'Special Names'!A:B,2,FALSE),B4215),PlayerValues!E:E,0)),"N/A")</f>
        <v>17507</v>
      </c>
      <c r="B4215" s="4" t="s">
        <v>495</v>
      </c>
      <c r="C4215" s="4" t="s">
        <v>287</v>
      </c>
      <c r="D4215" s="94">
        <v>2448.0</v>
      </c>
    </row>
    <row r="4216">
      <c r="A4216" s="40" t="str">
        <f t="array" ref="A4216">IFNA(index(PlayerValues!A:A,match(IFNA(vlookup(B4216,'Special Names'!A:B,2,FALSE),B4216),PlayerValues!E:E,0)),"N/A")</f>
        <v>N/A</v>
      </c>
      <c r="B4216" s="4" t="s">
        <v>557</v>
      </c>
      <c r="C4216" s="4" t="s">
        <v>278</v>
      </c>
      <c r="D4216" s="94">
        <v>2437.0</v>
      </c>
    </row>
    <row r="4217">
      <c r="A4217" s="40" t="str">
        <f t="array" ref="A4217">IFNA(index(PlayerValues!A:A,match(IFNA(vlookup(B4217,'Special Names'!A:B,2,FALSE),B4217),PlayerValues!E:E,0)),"N/A")</f>
        <v>N/A</v>
      </c>
      <c r="B4217" s="4" t="s">
        <v>99</v>
      </c>
      <c r="C4217" s="4" t="s">
        <v>325</v>
      </c>
      <c r="D4217" s="94">
        <v>2435.0</v>
      </c>
    </row>
    <row r="4218">
      <c r="A4218" s="40">
        <f t="array" ref="A4218">IFNA(index(PlayerValues!A:A,match(IFNA(vlookup(B4218,'Special Names'!A:B,2,FALSE),B4218),PlayerValues!E:E,0)),"N/A")</f>
        <v>13192</v>
      </c>
      <c r="B4218" s="4" t="s">
        <v>563</v>
      </c>
      <c r="C4218" s="4" t="s">
        <v>298</v>
      </c>
      <c r="D4218" s="94">
        <v>2836.0</v>
      </c>
    </row>
    <row r="4219">
      <c r="A4219" s="40">
        <f t="array" ref="A4219">IFNA(index(PlayerValues!A:A,match(IFNA(vlookup(B4219,'Special Names'!A:B,2,FALSE),B4219),PlayerValues!E:E,0)),"N/A")</f>
        <v>11244</v>
      </c>
      <c r="B4219" s="4" t="s">
        <v>519</v>
      </c>
      <c r="C4219" s="4" t="s">
        <v>298</v>
      </c>
      <c r="D4219" s="94">
        <v>2807.0</v>
      </c>
    </row>
    <row r="4220">
      <c r="A4220" s="40">
        <f t="array" ref="A4220">IFNA(index(PlayerValues!A:A,match(IFNA(vlookup(B4220,'Special Names'!A:B,2,FALSE),B4220),PlayerValues!E:E,0)),"N/A")</f>
        <v>15716</v>
      </c>
      <c r="B4220" s="4" t="s">
        <v>545</v>
      </c>
      <c r="C4220" s="4" t="s">
        <v>278</v>
      </c>
      <c r="D4220" s="94">
        <v>2404.0</v>
      </c>
    </row>
    <row r="4221">
      <c r="A4221" s="40">
        <f t="array" ref="A4221">IFNA(index(PlayerValues!A:A,match(IFNA(vlookup(B4221,'Special Names'!A:B,2,FALSE),B4221),PlayerValues!E:E,0)),"N/A")</f>
        <v>14861</v>
      </c>
      <c r="B4221" s="4" t="s">
        <v>523</v>
      </c>
      <c r="C4221" s="4" t="s">
        <v>298</v>
      </c>
      <c r="D4221" s="94">
        <v>2783.0</v>
      </c>
    </row>
    <row r="4222">
      <c r="A4222" s="40">
        <f t="array" ref="A4222">IFNA(index(PlayerValues!A:A,match(IFNA(vlookup(B4222,'Special Names'!A:B,2,FALSE),B4222),PlayerValues!E:E,0)),"N/A")</f>
        <v>17106</v>
      </c>
      <c r="B4222" s="4" t="s">
        <v>550</v>
      </c>
      <c r="C4222" s="4" t="s">
        <v>298</v>
      </c>
      <c r="D4222" s="94">
        <v>2782.0</v>
      </c>
    </row>
    <row r="4223">
      <c r="A4223" s="40">
        <f t="array" ref="A4223">IFNA(index(PlayerValues!A:A,match(IFNA(vlookup(B4223,'Special Names'!A:B,2,FALSE),B4223),PlayerValues!E:E,0)),"N/A")</f>
        <v>16204</v>
      </c>
      <c r="B4223" s="4" t="s">
        <v>530</v>
      </c>
      <c r="C4223" s="4" t="s">
        <v>287</v>
      </c>
      <c r="D4223" s="94">
        <v>2377.0</v>
      </c>
    </row>
    <row r="4224">
      <c r="A4224" s="40">
        <f t="array" ref="A4224">IFNA(index(PlayerValues!A:A,match(IFNA(vlookup(B4224,'Special Names'!A:B,2,FALSE),B4224),PlayerValues!E:E,0)),"N/A")</f>
        <v>16649</v>
      </c>
      <c r="B4224" s="4" t="s">
        <v>586</v>
      </c>
      <c r="C4224" s="4" t="s">
        <v>298</v>
      </c>
      <c r="D4224" s="94">
        <v>2771.0</v>
      </c>
    </row>
    <row r="4225">
      <c r="A4225" s="40">
        <f t="array" ref="A4225">IFNA(index(PlayerValues!A:A,match(IFNA(vlookup(B4225,'Special Names'!A:B,2,FALSE),B4225),PlayerValues!E:E,0)),"N/A")</f>
        <v>14136</v>
      </c>
      <c r="B4225" s="4" t="s">
        <v>536</v>
      </c>
      <c r="C4225" s="4" t="s">
        <v>287</v>
      </c>
      <c r="D4225" s="94">
        <v>2370.0</v>
      </c>
    </row>
    <row r="4226">
      <c r="A4226" s="40">
        <f t="array" ref="A4226">IFNA(index(PlayerValues!A:A,match(IFNA(vlookup(B4226,'Special Names'!A:B,2,FALSE),B4226),PlayerValues!E:E,0)),"N/A")</f>
        <v>15786</v>
      </c>
      <c r="B4226" s="4" t="s">
        <v>521</v>
      </c>
      <c r="C4226" s="4" t="s">
        <v>287</v>
      </c>
      <c r="D4226" s="94">
        <v>2369.0</v>
      </c>
    </row>
    <row r="4227">
      <c r="A4227" s="40">
        <f t="array" ref="A4227">IFNA(index(PlayerValues!A:A,match(IFNA(vlookup(B4227,'Special Names'!A:B,2,FALSE),B4227),PlayerValues!E:E,0)),"N/A")</f>
        <v>17078</v>
      </c>
      <c r="B4227" s="4" t="s">
        <v>543</v>
      </c>
      <c r="C4227" s="4" t="s">
        <v>287</v>
      </c>
      <c r="D4227" s="94">
        <v>2369.0</v>
      </c>
    </row>
    <row r="4228">
      <c r="A4228" s="40">
        <f t="array" ref="A4228">IFNA(index(PlayerValues!A:A,match(IFNA(vlookup(B4228,'Special Names'!A:B,2,FALSE),B4228),PlayerValues!E:E,0)),"N/A")</f>
        <v>16152</v>
      </c>
      <c r="B4228" s="4" t="s">
        <v>601</v>
      </c>
      <c r="C4228" s="4" t="s">
        <v>283</v>
      </c>
      <c r="D4228" s="94">
        <v>2363.0</v>
      </c>
    </row>
    <row r="4229">
      <c r="A4229" s="40">
        <f t="array" ref="A4229">IFNA(index(PlayerValues!A:A,match(IFNA(vlookup(B4229,'Special Names'!A:B,2,FALSE),B4229),PlayerValues!E:E,0)),"N/A")</f>
        <v>16594</v>
      </c>
      <c r="B4229" s="4" t="s">
        <v>607</v>
      </c>
      <c r="C4229" s="4" t="s">
        <v>278</v>
      </c>
      <c r="D4229" s="94">
        <v>2360.0</v>
      </c>
    </row>
    <row r="4230">
      <c r="A4230" s="40">
        <f t="array" ref="A4230">IFNA(index(PlayerValues!A:A,match(IFNA(vlookup(B4230,'Special Names'!A:B,2,FALSE),B4230),PlayerValues!E:E,0)),"N/A")</f>
        <v>17033</v>
      </c>
      <c r="B4230" s="4" t="s">
        <v>570</v>
      </c>
      <c r="C4230" s="4" t="s">
        <v>283</v>
      </c>
      <c r="D4230" s="94">
        <v>2358.0</v>
      </c>
    </row>
    <row r="4231">
      <c r="A4231" s="40">
        <f t="array" ref="A4231">IFNA(index(PlayerValues!A:A,match(IFNA(vlookup(B4231,'Special Names'!A:B,2,FALSE),B4231),PlayerValues!E:E,0)),"N/A")</f>
        <v>15802</v>
      </c>
      <c r="B4231" s="4" t="s">
        <v>566</v>
      </c>
      <c r="C4231" s="4" t="s">
        <v>298</v>
      </c>
      <c r="D4231" s="94">
        <v>2744.0</v>
      </c>
    </row>
    <row r="4232">
      <c r="A4232" s="40">
        <f t="array" ref="A4232">IFNA(index(PlayerValues!A:A,match(IFNA(vlookup(B4232,'Special Names'!A:B,2,FALSE),B4232),PlayerValues!E:E,0)),"N/A")</f>
        <v>16036</v>
      </c>
      <c r="B4232" s="4" t="s">
        <v>592</v>
      </c>
      <c r="C4232" s="4" t="s">
        <v>298</v>
      </c>
      <c r="D4232" s="94">
        <v>2738.0</v>
      </c>
    </row>
    <row r="4233">
      <c r="A4233" s="40">
        <f t="array" ref="A4233">IFNA(index(PlayerValues!A:A,match(IFNA(vlookup(B4233,'Special Names'!A:B,2,FALSE),B4233),PlayerValues!E:E,0)),"N/A")</f>
        <v>12676</v>
      </c>
      <c r="B4233" s="4" t="s">
        <v>537</v>
      </c>
      <c r="C4233" s="4" t="s">
        <v>298</v>
      </c>
      <c r="D4233" s="94">
        <v>2736.0</v>
      </c>
    </row>
    <row r="4234">
      <c r="A4234" s="40">
        <f t="array" ref="A4234">IFNA(index(PlayerValues!A:A,match(IFNA(vlookup(B4234,'Special Names'!A:B,2,FALSE),B4234),PlayerValues!E:E,0)),"N/A")</f>
        <v>16166</v>
      </c>
      <c r="B4234" s="4" t="s">
        <v>567</v>
      </c>
      <c r="C4234" s="4" t="s">
        <v>278</v>
      </c>
      <c r="D4234" s="94">
        <v>2312.0</v>
      </c>
    </row>
    <row r="4235">
      <c r="A4235" s="40">
        <f t="array" ref="A4235">IFNA(index(PlayerValues!A:A,match(IFNA(vlookup(B4235,'Special Names'!A:B,2,FALSE),B4235),PlayerValues!E:E,0)),"N/A")</f>
        <v>15749</v>
      </c>
      <c r="B4235" s="4" t="s">
        <v>574</v>
      </c>
      <c r="C4235" s="4" t="s">
        <v>278</v>
      </c>
      <c r="D4235" s="94">
        <v>2310.0</v>
      </c>
    </row>
    <row r="4236">
      <c r="A4236" s="40">
        <f t="array" ref="A4236">IFNA(index(PlayerValues!A:A,match(IFNA(vlookup(B4236,'Special Names'!A:B,2,FALSE),B4236),PlayerValues!E:E,0)),"N/A")</f>
        <v>16757</v>
      </c>
      <c r="B4236" s="4" t="s">
        <v>558</v>
      </c>
      <c r="C4236" s="4" t="s">
        <v>278</v>
      </c>
      <c r="D4236" s="94">
        <v>2309.0</v>
      </c>
    </row>
    <row r="4237">
      <c r="A4237" s="40">
        <f t="array" ref="A4237">IFNA(index(PlayerValues!A:A,match(IFNA(vlookup(B4237,'Special Names'!A:B,2,FALSE),B4237),PlayerValues!E:E,0)),"N/A")</f>
        <v>13772</v>
      </c>
      <c r="B4237" s="4" t="s">
        <v>544</v>
      </c>
      <c r="C4237" s="4" t="s">
        <v>298</v>
      </c>
      <c r="D4237" s="94">
        <v>2693.0</v>
      </c>
    </row>
    <row r="4238">
      <c r="A4238" s="40">
        <f t="array" ref="A4238">IFNA(index(PlayerValues!A:A,match(IFNA(vlookup(B4238,'Special Names'!A:B,2,FALSE),B4238),PlayerValues!E:E,0)),"N/A")</f>
        <v>17474</v>
      </c>
      <c r="B4238" s="4" t="s">
        <v>513</v>
      </c>
      <c r="C4238" s="4" t="s">
        <v>278</v>
      </c>
      <c r="D4238" s="94">
        <v>2292.0</v>
      </c>
    </row>
    <row r="4239">
      <c r="A4239" s="40">
        <f t="array" ref="A4239">IFNA(index(PlayerValues!A:A,match(IFNA(vlookup(B4239,'Special Names'!A:B,2,FALSE),B4239),PlayerValues!E:E,0)),"N/A")</f>
        <v>17508</v>
      </c>
      <c r="B4239" s="4" t="s">
        <v>534</v>
      </c>
      <c r="C4239" s="4" t="s">
        <v>287</v>
      </c>
      <c r="D4239" s="94">
        <v>2266.0</v>
      </c>
    </row>
    <row r="4240">
      <c r="A4240" s="40" t="str">
        <f t="array" ref="A4240">IFNA(index(PlayerValues!A:A,match(IFNA(vlookup(B4240,'Special Names'!A:B,2,FALSE),B4240),PlayerValues!E:E,0)),"N/A")</f>
        <v>N/A</v>
      </c>
      <c r="B4240" s="4" t="s">
        <v>86</v>
      </c>
      <c r="C4240" s="4" t="s">
        <v>325</v>
      </c>
      <c r="D4240" s="94">
        <v>2265.0</v>
      </c>
    </row>
    <row r="4241">
      <c r="A4241" s="40">
        <f t="array" ref="A4241">IFNA(index(PlayerValues!A:A,match(IFNA(vlookup(B4241,'Special Names'!A:B,2,FALSE),B4241),PlayerValues!E:E,0)),"N/A")</f>
        <v>16189</v>
      </c>
      <c r="B4241" s="4" t="s">
        <v>582</v>
      </c>
      <c r="C4241" s="4" t="s">
        <v>287</v>
      </c>
      <c r="D4241" s="94">
        <v>2242.0</v>
      </c>
    </row>
    <row r="4242">
      <c r="A4242" s="40">
        <f t="array" ref="A4242">IFNA(index(PlayerValues!A:A,match(IFNA(vlookup(B4242,'Special Names'!A:B,2,FALSE),B4242),PlayerValues!E:E,0)),"N/A")</f>
        <v>17512</v>
      </c>
      <c r="B4242" s="4" t="s">
        <v>483</v>
      </c>
      <c r="C4242" s="4" t="s">
        <v>287</v>
      </c>
      <c r="D4242" s="94">
        <v>2241.0</v>
      </c>
    </row>
    <row r="4243">
      <c r="A4243" s="40">
        <f t="array" ref="A4243">IFNA(index(PlayerValues!A:A,match(IFNA(vlookup(B4243,'Special Names'!A:B,2,FALSE),B4243),PlayerValues!E:E,0)),"N/A")</f>
        <v>17517</v>
      </c>
      <c r="B4243" s="4" t="s">
        <v>454</v>
      </c>
      <c r="C4243" s="4" t="s">
        <v>287</v>
      </c>
      <c r="D4243" s="94">
        <v>2235.0</v>
      </c>
    </row>
    <row r="4244">
      <c r="A4244" s="40">
        <f t="array" ref="A4244">IFNA(index(PlayerValues!A:A,match(IFNA(vlookup(B4244,'Special Names'!A:B,2,FALSE),B4244),PlayerValues!E:E,0)),"N/A")</f>
        <v>13319</v>
      </c>
      <c r="B4244" s="4" t="s">
        <v>549</v>
      </c>
      <c r="C4244" s="4" t="s">
        <v>278</v>
      </c>
      <c r="D4244" s="94">
        <v>2235.0</v>
      </c>
    </row>
    <row r="4245">
      <c r="A4245" s="40">
        <f t="array" ref="A4245">IFNA(index(PlayerValues!A:A,match(IFNA(vlookup(B4245,'Special Names'!A:B,2,FALSE),B4245),PlayerValues!E:E,0)),"N/A")</f>
        <v>16610</v>
      </c>
      <c r="B4245" s="4" t="s">
        <v>562</v>
      </c>
      <c r="C4245" s="4" t="s">
        <v>278</v>
      </c>
      <c r="D4245" s="94">
        <v>2233.0</v>
      </c>
    </row>
    <row r="4246">
      <c r="A4246" s="40">
        <f t="array" ref="A4246">IFNA(index(PlayerValues!A:A,match(IFNA(vlookup(B4246,'Special Names'!A:B,2,FALSE),B4246),PlayerValues!E:E,0)),"N/A")</f>
        <v>17478</v>
      </c>
      <c r="B4246" s="4" t="s">
        <v>527</v>
      </c>
      <c r="C4246" s="4" t="s">
        <v>278</v>
      </c>
      <c r="D4246" s="94">
        <v>2207.0</v>
      </c>
    </row>
    <row r="4247">
      <c r="A4247" s="40">
        <f t="array" ref="A4247">IFNA(index(PlayerValues!A:A,match(IFNA(vlookup(B4247,'Special Names'!A:B,2,FALSE),B4247),PlayerValues!E:E,0)),"N/A")</f>
        <v>17079</v>
      </c>
      <c r="B4247" s="4" t="s">
        <v>572</v>
      </c>
      <c r="C4247" s="4" t="s">
        <v>287</v>
      </c>
      <c r="D4247" s="94">
        <v>2201.0</v>
      </c>
    </row>
    <row r="4248">
      <c r="A4248" s="40">
        <f t="array" ref="A4248">IFNA(index(PlayerValues!A:A,match(IFNA(vlookup(B4248,'Special Names'!A:B,2,FALSE),B4248),PlayerValues!E:E,0)),"N/A")</f>
        <v>16212</v>
      </c>
      <c r="B4248" s="4" t="s">
        <v>568</v>
      </c>
      <c r="C4248" s="4" t="s">
        <v>298</v>
      </c>
      <c r="D4248" s="94">
        <v>2554.0</v>
      </c>
    </row>
    <row r="4249">
      <c r="A4249" s="40" t="str">
        <f t="array" ref="A4249">IFNA(index(PlayerValues!A:A,match(IFNA(vlookup(B4249,'Special Names'!A:B,2,FALSE),B4249),PlayerValues!E:E,0)),"N/A")</f>
        <v>N/A</v>
      </c>
      <c r="B4249" s="4" t="s">
        <v>100</v>
      </c>
      <c r="C4249" s="4" t="s">
        <v>325</v>
      </c>
      <c r="D4249" s="94">
        <v>2163.0</v>
      </c>
    </row>
    <row r="4250">
      <c r="A4250" s="40">
        <f t="array" ref="A4250">IFNA(index(PlayerValues!A:A,match(IFNA(vlookup(B4250,'Special Names'!A:B,2,FALSE),B4250),PlayerValues!E:E,0)),"N/A")</f>
        <v>17046</v>
      </c>
      <c r="B4250" s="4" t="s">
        <v>602</v>
      </c>
      <c r="C4250" s="4" t="s">
        <v>278</v>
      </c>
      <c r="D4250" s="94">
        <v>2157.0</v>
      </c>
    </row>
    <row r="4251">
      <c r="A4251" s="40" t="str">
        <f t="array" ref="A4251">IFNA(index(PlayerValues!A:A,match(IFNA(vlookup(B4251,'Special Names'!A:B,2,FALSE),B4251),PlayerValues!E:E,0)),"N/A")</f>
        <v>N/A</v>
      </c>
      <c r="B4251" s="4" t="s">
        <v>112</v>
      </c>
      <c r="C4251" s="4" t="s">
        <v>325</v>
      </c>
      <c r="D4251" s="94">
        <v>2151.0</v>
      </c>
    </row>
    <row r="4252">
      <c r="A4252" s="40">
        <f t="array" ref="A4252">IFNA(index(PlayerValues!A:A,match(IFNA(vlookup(B4252,'Special Names'!A:B,2,FALSE),B4252),PlayerValues!E:E,0)),"N/A")</f>
        <v>11150</v>
      </c>
      <c r="B4252" s="4" t="s">
        <v>559</v>
      </c>
      <c r="C4252" s="4" t="s">
        <v>283</v>
      </c>
      <c r="D4252" s="94">
        <v>2147.0</v>
      </c>
    </row>
    <row r="4253">
      <c r="A4253" s="40">
        <f t="array" ref="A4253">IFNA(index(PlayerValues!A:A,match(IFNA(vlookup(B4253,'Special Names'!A:B,2,FALSE),B4253),PlayerValues!E:E,0)),"N/A")</f>
        <v>17056</v>
      </c>
      <c r="B4253" s="4" t="s">
        <v>581</v>
      </c>
      <c r="C4253" s="4" t="s">
        <v>278</v>
      </c>
      <c r="D4253" s="94">
        <v>2147.0</v>
      </c>
    </row>
    <row r="4254">
      <c r="A4254" s="40">
        <f t="array" ref="A4254">IFNA(index(PlayerValues!A:A,match(IFNA(vlookup(B4254,'Special Names'!A:B,2,FALSE),B4254),PlayerValues!E:E,0)),"N/A")</f>
        <v>15238</v>
      </c>
      <c r="B4254" s="4" t="s">
        <v>613</v>
      </c>
      <c r="C4254" s="4" t="s">
        <v>283</v>
      </c>
      <c r="D4254" s="94">
        <v>2141.0</v>
      </c>
    </row>
    <row r="4255">
      <c r="A4255" s="40">
        <f t="array" ref="A4255">IFNA(index(PlayerValues!A:A,match(IFNA(vlookup(B4255,'Special Names'!A:B,2,FALSE),B4255),PlayerValues!E:E,0)),"N/A")</f>
        <v>12186</v>
      </c>
      <c r="B4255" s="4" t="s">
        <v>497</v>
      </c>
      <c r="C4255" s="4" t="s">
        <v>287</v>
      </c>
      <c r="D4255" s="94">
        <v>2140.0</v>
      </c>
    </row>
    <row r="4256">
      <c r="A4256" s="40">
        <f t="array" ref="A4256">IFNA(index(PlayerValues!A:A,match(IFNA(vlookup(B4256,'Special Names'!A:B,2,FALSE),B4256),PlayerValues!E:E,0)),"N/A")</f>
        <v>15331</v>
      </c>
      <c r="B4256" s="4" t="s">
        <v>560</v>
      </c>
      <c r="C4256" s="4" t="s">
        <v>298</v>
      </c>
      <c r="D4256" s="94">
        <v>2530.0</v>
      </c>
    </row>
    <row r="4257">
      <c r="A4257" s="40">
        <f t="array" ref="A4257">IFNA(index(PlayerValues!A:A,match(IFNA(vlookup(B4257,'Special Names'!A:B,2,FALSE),B4257),PlayerValues!E:E,0)),"N/A")</f>
        <v>14974</v>
      </c>
      <c r="B4257" s="4" t="s">
        <v>611</v>
      </c>
      <c r="C4257" s="4" t="s">
        <v>287</v>
      </c>
      <c r="D4257" s="94">
        <v>2133.0</v>
      </c>
    </row>
    <row r="4258">
      <c r="A4258" s="40">
        <f t="array" ref="A4258">IFNA(index(PlayerValues!A:A,match(IFNA(vlookup(B4258,'Special Names'!A:B,2,FALSE),B4258),PlayerValues!E:E,0)),"N/A")</f>
        <v>12801</v>
      </c>
      <c r="B4258" s="4" t="s">
        <v>722</v>
      </c>
      <c r="C4258" s="4" t="s">
        <v>287</v>
      </c>
      <c r="D4258" s="94">
        <v>2122.0</v>
      </c>
    </row>
    <row r="4259">
      <c r="A4259" s="40" t="str">
        <f t="array" ref="A4259">IFNA(index(PlayerValues!A:A,match(IFNA(vlookup(B4259,'Special Names'!A:B,2,FALSE),B4259),PlayerValues!E:E,0)),"N/A")</f>
        <v>N/A</v>
      </c>
      <c r="B4259" s="4" t="s">
        <v>87</v>
      </c>
      <c r="C4259" s="4" t="s">
        <v>325</v>
      </c>
      <c r="D4259" s="94">
        <v>2116.0</v>
      </c>
    </row>
    <row r="4260">
      <c r="A4260" s="40">
        <f t="array" ref="A4260">IFNA(index(PlayerValues!A:A,match(IFNA(vlookup(B4260,'Special Names'!A:B,2,FALSE),B4260),PlayerValues!E:E,0)),"N/A")</f>
        <v>16643</v>
      </c>
      <c r="B4260" s="4" t="s">
        <v>609</v>
      </c>
      <c r="C4260" s="4" t="s">
        <v>298</v>
      </c>
      <c r="D4260" s="94">
        <v>2491.0</v>
      </c>
    </row>
    <row r="4261">
      <c r="A4261" s="40">
        <f t="array" ref="A4261">IFNA(index(PlayerValues!A:A,match(IFNA(vlookup(B4261,'Special Names'!A:B,2,FALSE),B4261),PlayerValues!E:E,0)),"N/A")</f>
        <v>16432</v>
      </c>
      <c r="B4261" s="4" t="s">
        <v>620</v>
      </c>
      <c r="C4261" s="4" t="s">
        <v>278</v>
      </c>
      <c r="D4261" s="94">
        <v>2086.0</v>
      </c>
    </row>
    <row r="4262">
      <c r="A4262" s="40">
        <f t="array" ref="A4262">IFNA(index(PlayerValues!A:A,match(IFNA(vlookup(B4262,'Special Names'!A:B,2,FALSE),B4262),PlayerValues!E:E,0)),"N/A")</f>
        <v>17076</v>
      </c>
      <c r="B4262" s="4" t="s">
        <v>585</v>
      </c>
      <c r="C4262" s="4" t="s">
        <v>287</v>
      </c>
      <c r="D4262" s="94">
        <v>2086.0</v>
      </c>
    </row>
    <row r="4263">
      <c r="A4263" s="40">
        <f t="array" ref="A4263">IFNA(index(PlayerValues!A:A,match(IFNA(vlookup(B4263,'Special Names'!A:B,2,FALSE),B4263),PlayerValues!E:E,0)),"N/A")</f>
        <v>17055</v>
      </c>
      <c r="B4263" s="4" t="s">
        <v>565</v>
      </c>
      <c r="C4263" s="4" t="s">
        <v>278</v>
      </c>
      <c r="D4263" s="94">
        <v>2082.0</v>
      </c>
    </row>
    <row r="4264">
      <c r="A4264" s="40">
        <f t="array" ref="A4264">IFNA(index(PlayerValues!A:A,match(IFNA(vlookup(B4264,'Special Names'!A:B,2,FALSE),B4264),PlayerValues!E:E,0)),"N/A")</f>
        <v>17087</v>
      </c>
      <c r="B4264" s="4" t="s">
        <v>600</v>
      </c>
      <c r="C4264" s="4" t="s">
        <v>287</v>
      </c>
      <c r="D4264" s="94">
        <v>2082.0</v>
      </c>
    </row>
    <row r="4265">
      <c r="A4265" s="40" t="str">
        <f t="array" ref="A4265">IFNA(index(PlayerValues!A:A,match(IFNA(vlookup(B4265,'Special Names'!A:B,2,FALSE),B4265),PlayerValues!E:E,0)),"N/A")</f>
        <v>N/A</v>
      </c>
      <c r="B4265" s="4" t="s">
        <v>113</v>
      </c>
      <c r="C4265" s="4" t="s">
        <v>325</v>
      </c>
      <c r="D4265" s="94">
        <v>2076.0</v>
      </c>
    </row>
    <row r="4266">
      <c r="A4266" s="40">
        <f t="array" ref="A4266">IFNA(index(PlayerValues!A:A,match(IFNA(vlookup(B4266,'Special Names'!A:B,2,FALSE),B4266),PlayerValues!E:E,0)),"N/A")</f>
        <v>13633</v>
      </c>
      <c r="B4266" s="4" t="s">
        <v>625</v>
      </c>
      <c r="C4266" s="4" t="s">
        <v>287</v>
      </c>
      <c r="D4266" s="94">
        <v>2066.0</v>
      </c>
    </row>
    <row r="4267">
      <c r="A4267" s="40">
        <f t="array" ref="A4267">IFNA(index(PlayerValues!A:A,match(IFNA(vlookup(B4267,'Special Names'!A:B,2,FALSE),B4267),PlayerValues!E:E,0)),"N/A")</f>
        <v>17061</v>
      </c>
      <c r="B4267" s="4" t="s">
        <v>580</v>
      </c>
      <c r="C4267" s="4" t="s">
        <v>278</v>
      </c>
      <c r="D4267" s="94">
        <v>2065.0</v>
      </c>
    </row>
    <row r="4268">
      <c r="A4268" s="40">
        <f t="array" ref="A4268">IFNA(index(PlayerValues!A:A,match(IFNA(vlookup(B4268,'Special Names'!A:B,2,FALSE),B4268),PlayerValues!E:E,0)),"N/A")</f>
        <v>15293</v>
      </c>
      <c r="B4268" s="4" t="s">
        <v>578</v>
      </c>
      <c r="C4268" s="4" t="s">
        <v>287</v>
      </c>
      <c r="D4268" s="94">
        <v>2061.0</v>
      </c>
    </row>
    <row r="4269">
      <c r="A4269" s="40">
        <f t="array" ref="A4269">IFNA(index(PlayerValues!A:A,match(IFNA(vlookup(B4269,'Special Names'!A:B,2,FALSE),B4269),PlayerValues!E:E,0)),"N/A")</f>
        <v>16639</v>
      </c>
      <c r="B4269" s="4" t="s">
        <v>599</v>
      </c>
      <c r="C4269" s="4" t="s">
        <v>287</v>
      </c>
      <c r="D4269" s="94">
        <v>2051.0</v>
      </c>
    </row>
    <row r="4270">
      <c r="A4270" s="40">
        <f t="array" ref="A4270">IFNA(index(PlayerValues!A:A,match(IFNA(vlookup(B4270,'Special Names'!A:B,2,FALSE),B4270),PlayerValues!E:E,0)),"N/A")</f>
        <v>13132</v>
      </c>
      <c r="B4270" s="4" t="s">
        <v>598</v>
      </c>
      <c r="C4270" s="4" t="s">
        <v>278</v>
      </c>
      <c r="D4270" s="94">
        <v>2045.0</v>
      </c>
    </row>
    <row r="4271">
      <c r="A4271" s="40">
        <f t="array" ref="A4271">IFNA(index(PlayerValues!A:A,match(IFNA(vlookup(B4271,'Special Names'!A:B,2,FALSE),B4271),PlayerValues!E:E,0)),"N/A")</f>
        <v>14867</v>
      </c>
      <c r="B4271" s="4" t="s">
        <v>591</v>
      </c>
      <c r="C4271" s="4" t="s">
        <v>298</v>
      </c>
      <c r="D4271" s="94">
        <v>2433.0</v>
      </c>
    </row>
    <row r="4272">
      <c r="A4272" s="40">
        <f t="array" ref="A4272">IFNA(index(PlayerValues!A:A,match(IFNA(vlookup(B4272,'Special Names'!A:B,2,FALSE),B4272),PlayerValues!E:E,0)),"N/A")</f>
        <v>17060</v>
      </c>
      <c r="B4272" s="4" t="s">
        <v>603</v>
      </c>
      <c r="C4272" s="4" t="s">
        <v>278</v>
      </c>
      <c r="D4272" s="94">
        <v>2043.0</v>
      </c>
    </row>
    <row r="4273">
      <c r="A4273" s="40">
        <f t="array" ref="A4273">IFNA(index(PlayerValues!A:A,match(IFNA(vlookup(B4273,'Special Names'!A:B,2,FALSE),B4273),PlayerValues!E:E,0)),"N/A")</f>
        <v>17069</v>
      </c>
      <c r="B4273" s="4" t="s">
        <v>604</v>
      </c>
      <c r="C4273" s="4" t="s">
        <v>278</v>
      </c>
      <c r="D4273" s="94">
        <v>2039.0</v>
      </c>
    </row>
    <row r="4274">
      <c r="A4274" s="40">
        <f t="array" ref="A4274">IFNA(index(PlayerValues!A:A,match(IFNA(vlookup(B4274,'Special Names'!A:B,2,FALSE),B4274),PlayerValues!E:E,0)),"N/A")</f>
        <v>16342</v>
      </c>
      <c r="B4274" s="4" t="s">
        <v>583</v>
      </c>
      <c r="C4274" s="4" t="s">
        <v>287</v>
      </c>
      <c r="D4274" s="94">
        <v>2031.0</v>
      </c>
    </row>
    <row r="4275">
      <c r="A4275" s="40" t="str">
        <f t="array" ref="A4275">IFNA(index(PlayerValues!A:A,match(IFNA(vlookup(B4275,'Special Names'!A:B,2,FALSE),B4275),PlayerValues!E:E,0)),"N/A")</f>
        <v>N/A</v>
      </c>
      <c r="B4275" s="4" t="s">
        <v>88</v>
      </c>
      <c r="C4275" s="4" t="s">
        <v>325</v>
      </c>
      <c r="D4275" s="94">
        <v>2023.0</v>
      </c>
    </row>
    <row r="4276">
      <c r="A4276" s="40">
        <f t="array" ref="A4276">IFNA(index(PlayerValues!A:A,match(IFNA(vlookup(B4276,'Special Names'!A:B,2,FALSE),B4276),PlayerValues!E:E,0)),"N/A")</f>
        <v>14871</v>
      </c>
      <c r="B4276" s="4" t="s">
        <v>584</v>
      </c>
      <c r="C4276" s="4" t="s">
        <v>298</v>
      </c>
      <c r="D4276" s="94">
        <v>2400.0</v>
      </c>
    </row>
    <row r="4277">
      <c r="A4277" s="40">
        <f t="array" ref="A4277">IFNA(index(PlayerValues!A:A,match(IFNA(vlookup(B4277,'Special Names'!A:B,2,FALSE),B4277),PlayerValues!E:E,0)),"N/A")</f>
        <v>13146</v>
      </c>
      <c r="B4277" s="4" t="s">
        <v>652</v>
      </c>
      <c r="C4277" s="4" t="s">
        <v>278</v>
      </c>
      <c r="D4277" s="94">
        <v>1984.0</v>
      </c>
    </row>
    <row r="4278">
      <c r="A4278" s="40">
        <f t="array" ref="A4278">IFNA(index(PlayerValues!A:A,match(IFNA(vlookup(B4278,'Special Names'!A:B,2,FALSE),B4278),PlayerValues!E:E,0)),"N/A")</f>
        <v>10700</v>
      </c>
      <c r="B4278" s="4" t="s">
        <v>596</v>
      </c>
      <c r="C4278" s="4" t="s">
        <v>283</v>
      </c>
      <c r="D4278" s="94">
        <v>1981.0</v>
      </c>
    </row>
    <row r="4279">
      <c r="A4279" s="40">
        <f t="array" ref="A4279">IFNA(index(PlayerValues!A:A,match(IFNA(vlookup(B4279,'Special Names'!A:B,2,FALSE),B4279),PlayerValues!E:E,0)),"N/A")</f>
        <v>16191</v>
      </c>
      <c r="B4279" s="4" t="s">
        <v>666</v>
      </c>
      <c r="C4279" s="4" t="s">
        <v>287</v>
      </c>
      <c r="D4279" s="94">
        <v>1980.0</v>
      </c>
    </row>
    <row r="4280">
      <c r="A4280" s="40">
        <f t="array" ref="A4280">IFNA(index(PlayerValues!A:A,match(IFNA(vlookup(B4280,'Special Names'!A:B,2,FALSE),B4280),PlayerValues!E:E,0)),"N/A")</f>
        <v>17036</v>
      </c>
      <c r="B4280" s="4" t="s">
        <v>617</v>
      </c>
      <c r="C4280" s="4" t="s">
        <v>283</v>
      </c>
      <c r="D4280" s="94">
        <v>1971.0</v>
      </c>
    </row>
    <row r="4281">
      <c r="A4281" s="40">
        <f t="array" ref="A4281">IFNA(index(PlayerValues!A:A,match(IFNA(vlookup(B4281,'Special Names'!A:B,2,FALSE),B4281),PlayerValues!E:E,0)),"N/A")</f>
        <v>16171</v>
      </c>
      <c r="B4281" s="4" t="s">
        <v>618</v>
      </c>
      <c r="C4281" s="4" t="s">
        <v>278</v>
      </c>
      <c r="D4281" s="94">
        <v>1957.0</v>
      </c>
    </row>
    <row r="4282">
      <c r="A4282" s="40">
        <f t="array" ref="A4282">IFNA(index(PlayerValues!A:A,match(IFNA(vlookup(B4282,'Special Names'!A:B,2,FALSE),B4282),PlayerValues!E:E,0)),"N/A")</f>
        <v>16603</v>
      </c>
      <c r="B4282" s="4" t="s">
        <v>587</v>
      </c>
      <c r="C4282" s="4" t="s">
        <v>278</v>
      </c>
      <c r="D4282" s="94">
        <v>1954.0</v>
      </c>
    </row>
    <row r="4283">
      <c r="A4283" s="40">
        <f t="array" ref="A4283">IFNA(index(PlayerValues!A:A,match(IFNA(vlookup(B4283,'Special Names'!A:B,2,FALSE),B4283),PlayerValues!E:E,0)),"N/A")</f>
        <v>13629</v>
      </c>
      <c r="B4283" s="4" t="s">
        <v>619</v>
      </c>
      <c r="C4283" s="4" t="s">
        <v>287</v>
      </c>
      <c r="D4283" s="94">
        <v>1952.0</v>
      </c>
    </row>
    <row r="4284">
      <c r="A4284" s="40">
        <f t="array" ref="A4284">IFNA(index(PlayerValues!A:A,match(IFNA(vlookup(B4284,'Special Names'!A:B,2,FALSE),B4284),PlayerValues!E:E,0)),"N/A")</f>
        <v>17184</v>
      </c>
      <c r="B4284" s="4" t="s">
        <v>588</v>
      </c>
      <c r="C4284" s="4" t="s">
        <v>287</v>
      </c>
      <c r="D4284" s="94">
        <v>1936.0</v>
      </c>
    </row>
    <row r="4285">
      <c r="A4285" s="40">
        <f t="array" ref="A4285">IFNA(index(PlayerValues!A:A,match(IFNA(vlookup(B4285,'Special Names'!A:B,2,FALSE),B4285),PlayerValues!E:E,0)),"N/A")</f>
        <v>16216</v>
      </c>
      <c r="B4285" s="4" t="s">
        <v>595</v>
      </c>
      <c r="C4285" s="4" t="s">
        <v>298</v>
      </c>
      <c r="D4285" s="94">
        <v>2304.0</v>
      </c>
    </row>
    <row r="4286">
      <c r="A4286" s="40">
        <f t="array" ref="A4286">IFNA(index(PlayerValues!A:A,match(IFNA(vlookup(B4286,'Special Names'!A:B,2,FALSE),B4286),PlayerValues!E:E,0)),"N/A")</f>
        <v>13189</v>
      </c>
      <c r="B4286" s="4" t="s">
        <v>626</v>
      </c>
      <c r="C4286" s="4" t="s">
        <v>298</v>
      </c>
      <c r="D4286" s="94">
        <v>2296.0</v>
      </c>
    </row>
    <row r="4287">
      <c r="A4287" s="40">
        <f t="array" ref="A4287">IFNA(index(PlayerValues!A:A,match(IFNA(vlookup(B4287,'Special Names'!A:B,2,FALSE),B4287),PlayerValues!E:E,0)),"N/A")</f>
        <v>17049</v>
      </c>
      <c r="B4287" s="4" t="s">
        <v>624</v>
      </c>
      <c r="C4287" s="4" t="s">
        <v>278</v>
      </c>
      <c r="D4287" s="94">
        <v>1907.0</v>
      </c>
    </row>
    <row r="4288">
      <c r="A4288" s="40">
        <f t="array" ref="A4288">IFNA(index(PlayerValues!A:A,match(IFNA(vlookup(B4288,'Special Names'!A:B,2,FALSE),B4288),PlayerValues!E:E,0)),"N/A")</f>
        <v>13113</v>
      </c>
      <c r="B4288" s="4" t="s">
        <v>606</v>
      </c>
      <c r="C4288" s="4" t="s">
        <v>283</v>
      </c>
      <c r="D4288" s="94">
        <v>1895.0</v>
      </c>
    </row>
    <row r="4289">
      <c r="A4289" s="40" t="str">
        <f t="array" ref="A4289">IFNA(index(PlayerValues!A:A,match(IFNA(vlookup(B4289,'Special Names'!A:B,2,FALSE),B4289),PlayerValues!E:E,0)),"N/A")</f>
        <v>N/A</v>
      </c>
      <c r="B4289" s="4" t="s">
        <v>101</v>
      </c>
      <c r="C4289" s="4" t="s">
        <v>325</v>
      </c>
      <c r="D4289" s="94">
        <v>1881.0</v>
      </c>
    </row>
    <row r="4290">
      <c r="A4290" s="40">
        <f t="array" ref="A4290">IFNA(index(PlayerValues!A:A,match(IFNA(vlookup(B4290,'Special Names'!A:B,2,FALSE),B4290),PlayerValues!E:E,0)),"N/A")</f>
        <v>15254</v>
      </c>
      <c r="B4290" s="4" t="s">
        <v>633</v>
      </c>
      <c r="C4290" s="4" t="s">
        <v>278</v>
      </c>
      <c r="D4290" s="94">
        <v>1877.0</v>
      </c>
    </row>
    <row r="4291">
      <c r="A4291" s="40">
        <f t="array" ref="A4291">IFNA(index(PlayerValues!A:A,match(IFNA(vlookup(B4291,'Special Names'!A:B,2,FALSE),B4291),PlayerValues!E:E,0)),"N/A")</f>
        <v>16604</v>
      </c>
      <c r="B4291" s="4" t="s">
        <v>476</v>
      </c>
      <c r="C4291" s="4" t="s">
        <v>278</v>
      </c>
      <c r="D4291" s="94">
        <v>1857.0</v>
      </c>
    </row>
    <row r="4292">
      <c r="A4292" s="40">
        <f t="array" ref="A4292">IFNA(index(PlayerValues!A:A,match(IFNA(vlookup(B4292,'Special Names'!A:B,2,FALSE),B4292),PlayerValues!E:E,0)),"N/A")</f>
        <v>17034</v>
      </c>
      <c r="B4292" s="4" t="s">
        <v>643</v>
      </c>
      <c r="C4292" s="4" t="s">
        <v>283</v>
      </c>
      <c r="D4292" s="94">
        <v>1851.0</v>
      </c>
    </row>
    <row r="4293">
      <c r="A4293" s="40">
        <f t="array" ref="A4293">IFNA(index(PlayerValues!A:A,match(IFNA(vlookup(B4293,'Special Names'!A:B,2,FALSE),B4293),PlayerValues!E:E,0)),"N/A")</f>
        <v>16644</v>
      </c>
      <c r="B4293" s="4" t="s">
        <v>640</v>
      </c>
      <c r="C4293" s="4" t="s">
        <v>298</v>
      </c>
      <c r="D4293" s="94">
        <v>2230.0</v>
      </c>
    </row>
    <row r="4294">
      <c r="A4294" s="40">
        <f t="array" ref="A4294">IFNA(index(PlayerValues!A:A,match(IFNA(vlookup(B4294,'Special Names'!A:B,2,FALSE),B4294),PlayerValues!E:E,0)),"N/A")</f>
        <v>17547</v>
      </c>
      <c r="B4294" s="4" t="s">
        <v>552</v>
      </c>
      <c r="C4294" s="4" t="s">
        <v>298</v>
      </c>
      <c r="D4294" s="94">
        <v>2217.0</v>
      </c>
    </row>
    <row r="4295">
      <c r="A4295" s="40">
        <f t="array" ref="A4295">IFNA(index(PlayerValues!A:A,match(IFNA(vlookup(B4295,'Special Names'!A:B,2,FALSE),B4295),PlayerValues!E:E,0)),"N/A")</f>
        <v>16215</v>
      </c>
      <c r="B4295" s="4" t="s">
        <v>637</v>
      </c>
      <c r="C4295" s="4" t="s">
        <v>298</v>
      </c>
      <c r="D4295" s="94">
        <v>2216.0</v>
      </c>
    </row>
    <row r="4296">
      <c r="A4296" s="40" t="str">
        <f t="array" ref="A4296">IFNA(index(PlayerValues!A:A,match(IFNA(vlookup(B4296,'Special Names'!A:B,2,FALSE),B4296),PlayerValues!E:E,0)),"N/A")</f>
        <v>N/A</v>
      </c>
      <c r="B4296" s="4" t="s">
        <v>114</v>
      </c>
      <c r="C4296" s="4" t="s">
        <v>325</v>
      </c>
      <c r="D4296" s="94">
        <v>1832.0</v>
      </c>
    </row>
    <row r="4297">
      <c r="A4297" s="40">
        <f t="array" ref="A4297">IFNA(index(PlayerValues!A:A,match(IFNA(vlookup(B4297,'Special Names'!A:B,2,FALSE),B4297),PlayerValues!E:E,0)),"N/A")</f>
        <v>15787</v>
      </c>
      <c r="B4297" s="4" t="s">
        <v>610</v>
      </c>
      <c r="C4297" s="4" t="s">
        <v>287</v>
      </c>
      <c r="D4297" s="94">
        <v>1831.0</v>
      </c>
    </row>
    <row r="4298">
      <c r="A4298" s="40">
        <f t="array" ref="A4298">IFNA(index(PlayerValues!A:A,match(IFNA(vlookup(B4298,'Special Names'!A:B,2,FALSE),B4298),PlayerValues!E:E,0)),"N/A")</f>
        <v>15788</v>
      </c>
      <c r="B4298" s="4" t="s">
        <v>627</v>
      </c>
      <c r="C4298" s="4" t="s">
        <v>287</v>
      </c>
      <c r="D4298" s="94">
        <v>1826.0</v>
      </c>
    </row>
    <row r="4299">
      <c r="A4299" s="40">
        <f t="array" ref="A4299">IFNA(index(PlayerValues!A:A,match(IFNA(vlookup(B4299,'Special Names'!A:B,2,FALSE),B4299),PlayerValues!E:E,0)),"N/A")</f>
        <v>17086</v>
      </c>
      <c r="B4299" s="4" t="s">
        <v>612</v>
      </c>
      <c r="C4299" s="4" t="s">
        <v>287</v>
      </c>
      <c r="D4299" s="94">
        <v>1820.0</v>
      </c>
    </row>
    <row r="4300">
      <c r="A4300" s="40">
        <f t="array" ref="A4300">IFNA(index(PlayerValues!A:A,match(IFNA(vlookup(B4300,'Special Names'!A:B,2,FALSE),B4300),PlayerValues!E:E,0)),"N/A")</f>
        <v>17035</v>
      </c>
      <c r="B4300" s="4" t="s">
        <v>650</v>
      </c>
      <c r="C4300" s="4" t="s">
        <v>283</v>
      </c>
      <c r="D4300" s="94">
        <v>1811.0</v>
      </c>
    </row>
    <row r="4301">
      <c r="A4301" s="40">
        <f t="array" ref="A4301">IFNA(index(PlayerValues!A:A,match(IFNA(vlookup(B4301,'Special Names'!A:B,2,FALSE),B4301),PlayerValues!E:E,0)),"N/A")</f>
        <v>16752</v>
      </c>
      <c r="B4301" s="4" t="s">
        <v>597</v>
      </c>
      <c r="C4301" s="4" t="s">
        <v>278</v>
      </c>
      <c r="D4301" s="94">
        <v>1809.0</v>
      </c>
    </row>
    <row r="4302">
      <c r="A4302" s="40">
        <f t="array" ref="A4302">IFNA(index(PlayerValues!A:A,match(IFNA(vlookup(B4302,'Special Names'!A:B,2,FALSE),B4302),PlayerValues!E:E,0)),"N/A")</f>
        <v>13164</v>
      </c>
      <c r="B4302" s="4" t="s">
        <v>632</v>
      </c>
      <c r="C4302" s="4" t="s">
        <v>287</v>
      </c>
      <c r="D4302" s="94">
        <v>1808.0</v>
      </c>
    </row>
    <row r="4303">
      <c r="A4303" s="40">
        <f t="array" ref="A4303">IFNA(index(PlayerValues!A:A,match(IFNA(vlookup(B4303,'Special Names'!A:B,2,FALSE),B4303),PlayerValues!E:E,0)),"N/A")</f>
        <v>14105</v>
      </c>
      <c r="B4303" s="4" t="s">
        <v>675</v>
      </c>
      <c r="C4303" s="4" t="s">
        <v>287</v>
      </c>
      <c r="D4303" s="94">
        <v>1800.0</v>
      </c>
    </row>
    <row r="4304">
      <c r="A4304" s="40">
        <f t="array" ref="A4304">IFNA(index(PlayerValues!A:A,match(IFNA(vlookup(B4304,'Special Names'!A:B,2,FALSE),B4304),PlayerValues!E:E,0)),"N/A")</f>
        <v>7836</v>
      </c>
      <c r="B4304" s="4" t="s">
        <v>590</v>
      </c>
      <c r="C4304" s="4" t="s">
        <v>283</v>
      </c>
      <c r="D4304" s="94">
        <v>1794.0</v>
      </c>
    </row>
    <row r="4305">
      <c r="A4305" s="40">
        <f t="array" ref="A4305">IFNA(index(PlayerValues!A:A,match(IFNA(vlookup(B4305,'Special Names'!A:B,2,FALSE),B4305),PlayerValues!E:E,0)),"N/A")</f>
        <v>16201</v>
      </c>
      <c r="B4305" s="4" t="s">
        <v>589</v>
      </c>
      <c r="C4305" s="4" t="s">
        <v>287</v>
      </c>
      <c r="D4305" s="94">
        <v>1781.0</v>
      </c>
    </row>
    <row r="4306">
      <c r="A4306" s="40">
        <f t="array" ref="A4306">IFNA(index(PlayerValues!A:A,match(IFNA(vlookup(B4306,'Special Names'!A:B,2,FALSE),B4306),PlayerValues!E:E,0)),"N/A")</f>
        <v>17465</v>
      </c>
      <c r="B4306" s="4" t="s">
        <v>649</v>
      </c>
      <c r="C4306" s="4" t="s">
        <v>283</v>
      </c>
      <c r="D4306" s="94">
        <v>1768.0</v>
      </c>
    </row>
    <row r="4307">
      <c r="A4307" s="40">
        <f t="array" ref="A4307">IFNA(index(PlayerValues!A:A,match(IFNA(vlookup(B4307,'Special Names'!A:B,2,FALSE),B4307),PlayerValues!E:E,0)),"N/A")</f>
        <v>14143</v>
      </c>
      <c r="B4307" s="4" t="s">
        <v>635</v>
      </c>
      <c r="C4307" s="4" t="s">
        <v>298</v>
      </c>
      <c r="D4307" s="94">
        <v>2146.0</v>
      </c>
    </row>
    <row r="4308">
      <c r="A4308" s="40">
        <f t="array" ref="A4308">IFNA(index(PlayerValues!A:A,match(IFNA(vlookup(B4308,'Special Names'!A:B,2,FALSE),B4308),PlayerValues!E:E,0)),"N/A")</f>
        <v>17096</v>
      </c>
      <c r="B4308" s="4" t="s">
        <v>638</v>
      </c>
      <c r="C4308" s="4" t="s">
        <v>287</v>
      </c>
      <c r="D4308" s="94">
        <v>1759.0</v>
      </c>
    </row>
    <row r="4309">
      <c r="A4309" s="40">
        <f t="array" ref="A4309">IFNA(index(PlayerValues!A:A,match(IFNA(vlookup(B4309,'Special Names'!A:B,2,FALSE),B4309),PlayerValues!E:E,0)),"N/A")</f>
        <v>16778</v>
      </c>
      <c r="B4309" s="4" t="s">
        <v>577</v>
      </c>
      <c r="C4309" s="4" t="s">
        <v>287</v>
      </c>
      <c r="D4309" s="94">
        <v>1752.0</v>
      </c>
    </row>
    <row r="4310">
      <c r="A4310" s="40">
        <f t="array" ref="A4310">IFNA(index(PlayerValues!A:A,match(IFNA(vlookup(B4310,'Special Names'!A:B,2,FALSE),B4310),PlayerValues!E:E,0)),"N/A")</f>
        <v>17520</v>
      </c>
      <c r="B4310" s="4" t="s">
        <v>518</v>
      </c>
      <c r="C4310" s="4" t="s">
        <v>287</v>
      </c>
      <c r="D4310" s="94">
        <v>1739.0</v>
      </c>
    </row>
    <row r="4311">
      <c r="A4311" s="40">
        <f t="array" ref="A4311">IFNA(index(PlayerValues!A:A,match(IFNA(vlookup(B4311,'Special Names'!A:B,2,FALSE),B4311),PlayerValues!E:E,0)),"N/A")</f>
        <v>16635</v>
      </c>
      <c r="B4311" s="4" t="s">
        <v>645</v>
      </c>
      <c r="C4311" s="4" t="s">
        <v>287</v>
      </c>
      <c r="D4311" s="94">
        <v>1734.0</v>
      </c>
    </row>
    <row r="4312">
      <c r="A4312" s="40">
        <f t="array" ref="A4312">IFNA(index(PlayerValues!A:A,match(IFNA(vlookup(B4312,'Special Names'!A:B,2,FALSE),B4312),PlayerValues!E:E,0)),"N/A")</f>
        <v>15755</v>
      </c>
      <c r="B4312" s="4" t="s">
        <v>628</v>
      </c>
      <c r="C4312" s="4" t="s">
        <v>287</v>
      </c>
      <c r="D4312" s="94">
        <v>1729.0</v>
      </c>
    </row>
    <row r="4313">
      <c r="A4313" s="40" t="str">
        <f t="array" ref="A4313">IFNA(index(PlayerValues!A:A,match(IFNA(vlookup(B4313,'Special Names'!A:B,2,FALSE),B4313),PlayerValues!E:E,0)),"N/A")</f>
        <v>N/A</v>
      </c>
      <c r="B4313" s="4" t="s">
        <v>89</v>
      </c>
      <c r="C4313" s="4" t="s">
        <v>325</v>
      </c>
      <c r="D4313" s="94">
        <v>1720.0</v>
      </c>
    </row>
    <row r="4314">
      <c r="A4314" s="40">
        <f t="array" ref="A4314">IFNA(index(PlayerValues!A:A,match(IFNA(vlookup(B4314,'Special Names'!A:B,2,FALSE),B4314),PlayerValues!E:E,0)),"N/A")</f>
        <v>16586</v>
      </c>
      <c r="B4314" s="4" t="s">
        <v>658</v>
      </c>
      <c r="C4314" s="4" t="s">
        <v>283</v>
      </c>
      <c r="D4314" s="94">
        <v>1717.0</v>
      </c>
    </row>
    <row r="4315">
      <c r="A4315" s="40">
        <f t="array" ref="A4315">IFNA(index(PlayerValues!A:A,match(IFNA(vlookup(B4315,'Special Names'!A:B,2,FALSE),B4315),PlayerValues!E:E,0)),"N/A")</f>
        <v>15301</v>
      </c>
      <c r="B4315" s="4" t="s">
        <v>657</v>
      </c>
      <c r="C4315" s="4" t="s">
        <v>287</v>
      </c>
      <c r="D4315" s="94">
        <v>1709.0</v>
      </c>
    </row>
    <row r="4316">
      <c r="A4316" s="40">
        <f t="array" ref="A4316">IFNA(index(PlayerValues!A:A,match(IFNA(vlookup(B4316,'Special Names'!A:B,2,FALSE),B4316),PlayerValues!E:E,0)),"N/A")</f>
        <v>15797</v>
      </c>
      <c r="B4316" s="4" t="s">
        <v>556</v>
      </c>
      <c r="C4316" s="4" t="s">
        <v>298</v>
      </c>
      <c r="D4316" s="94">
        <v>2087.0</v>
      </c>
    </row>
    <row r="4317">
      <c r="A4317" s="40" t="str">
        <f t="array" ref="A4317">IFNA(index(PlayerValues!A:A,match(IFNA(vlookup(B4317,'Special Names'!A:B,2,FALSE),B4317),PlayerValues!E:E,0)),"N/A")</f>
        <v>N/A</v>
      </c>
      <c r="B4317" s="4" t="s">
        <v>102</v>
      </c>
      <c r="C4317" s="4" t="s">
        <v>325</v>
      </c>
      <c r="D4317" s="94">
        <v>1689.0</v>
      </c>
    </row>
    <row r="4318">
      <c r="A4318" s="40">
        <f t="array" ref="A4318">IFNA(index(PlayerValues!A:A,match(IFNA(vlookup(B4318,'Special Names'!A:B,2,FALSE),B4318),PlayerValues!E:E,0)),"N/A")</f>
        <v>16585</v>
      </c>
      <c r="B4318" s="4" t="s">
        <v>623</v>
      </c>
      <c r="C4318" s="4" t="s">
        <v>283</v>
      </c>
      <c r="D4318" s="94">
        <v>1687.0</v>
      </c>
    </row>
    <row r="4319">
      <c r="A4319" s="40" t="str">
        <f t="array" ref="A4319">IFNA(index(PlayerValues!A:A,match(IFNA(vlookup(B4319,'Special Names'!A:B,2,FALSE),B4319),PlayerValues!E:E,0)),"N/A")</f>
        <v>N/A</v>
      </c>
      <c r="B4319" s="4" t="s">
        <v>115</v>
      </c>
      <c r="C4319" s="4" t="s">
        <v>325</v>
      </c>
      <c r="D4319" s="94">
        <v>1672.0</v>
      </c>
    </row>
    <row r="4320">
      <c r="A4320" s="40">
        <f t="array" ref="A4320">IFNA(index(PlayerValues!A:A,match(IFNA(vlookup(B4320,'Special Names'!A:B,2,FALSE),B4320),PlayerValues!E:E,0)),"N/A")</f>
        <v>17064</v>
      </c>
      <c r="B4320" s="4" t="s">
        <v>631</v>
      </c>
      <c r="C4320" s="4" t="s">
        <v>278</v>
      </c>
      <c r="D4320" s="94">
        <v>1671.0</v>
      </c>
    </row>
    <row r="4321">
      <c r="A4321" s="40" t="str">
        <f t="array" ref="A4321">IFNA(index(PlayerValues!A:A,match(IFNA(vlookup(B4321,'Special Names'!A:B,2,FALSE),B4321),PlayerValues!E:E,0)),"N/A")</f>
        <v>N/A</v>
      </c>
      <c r="B4321" s="4" t="s">
        <v>103</v>
      </c>
      <c r="C4321" s="4" t="s">
        <v>325</v>
      </c>
      <c r="D4321" s="94">
        <v>1669.0</v>
      </c>
    </row>
    <row r="4322">
      <c r="A4322" s="40">
        <f t="array" ref="A4322">IFNA(index(PlayerValues!A:A,match(IFNA(vlookup(B4322,'Special Names'!A:B,2,FALSE),B4322),PlayerValues!E:E,0)),"N/A")</f>
        <v>16629</v>
      </c>
      <c r="B4322" s="4" t="s">
        <v>605</v>
      </c>
      <c r="C4322" s="4" t="s">
        <v>287</v>
      </c>
      <c r="D4322" s="94">
        <v>1667.0</v>
      </c>
    </row>
    <row r="4323">
      <c r="A4323" s="40">
        <f t="array" ref="A4323">IFNA(index(PlayerValues!A:A,match(IFNA(vlookup(B4323,'Special Names'!A:B,2,FALSE),B4323),PlayerValues!E:E,0)),"N/A")</f>
        <v>16788</v>
      </c>
      <c r="B4323" s="4" t="s">
        <v>621</v>
      </c>
      <c r="C4323" s="4" t="s">
        <v>287</v>
      </c>
      <c r="D4323" s="94">
        <v>1656.0</v>
      </c>
    </row>
    <row r="4324">
      <c r="A4324" s="40">
        <f t="array" ref="A4324">IFNA(index(PlayerValues!A:A,match(IFNA(vlookup(B4324,'Special Names'!A:B,2,FALSE),B4324),PlayerValues!E:E,0)),"N/A")</f>
        <v>16601</v>
      </c>
      <c r="B4324" s="4" t="s">
        <v>648</v>
      </c>
      <c r="C4324" s="4" t="s">
        <v>278</v>
      </c>
      <c r="D4324" s="94">
        <v>1652.0</v>
      </c>
    </row>
    <row r="4325">
      <c r="A4325" s="40">
        <f t="array" ref="A4325">IFNA(index(PlayerValues!A:A,match(IFNA(vlookup(B4325,'Special Names'!A:B,2,FALSE),B4325),PlayerValues!E:E,0)),"N/A")</f>
        <v>16207</v>
      </c>
      <c r="B4325" s="4" t="s">
        <v>636</v>
      </c>
      <c r="C4325" s="4" t="s">
        <v>287</v>
      </c>
      <c r="D4325" s="94">
        <v>1650.0</v>
      </c>
    </row>
    <row r="4326">
      <c r="A4326" s="40">
        <f t="array" ref="A4326">IFNA(index(PlayerValues!A:A,match(IFNA(vlookup(B4326,'Special Names'!A:B,2,FALSE),B4326),PlayerValues!E:E,0)),"N/A")</f>
        <v>17058</v>
      </c>
      <c r="B4326" s="4" t="s">
        <v>641</v>
      </c>
      <c r="C4326" s="4" t="s">
        <v>278</v>
      </c>
      <c r="D4326" s="94">
        <v>1649.0</v>
      </c>
    </row>
    <row r="4327">
      <c r="A4327" s="40">
        <f t="array" ref="A4327">IFNA(index(PlayerValues!A:A,match(IFNA(vlookup(B4327,'Special Names'!A:B,2,FALSE),B4327),PlayerValues!E:E,0)),"N/A")</f>
        <v>15759</v>
      </c>
      <c r="B4327" s="4" t="s">
        <v>662</v>
      </c>
      <c r="C4327" s="4" t="s">
        <v>287</v>
      </c>
      <c r="D4327" s="94">
        <v>1641.0</v>
      </c>
    </row>
    <row r="4328">
      <c r="A4328" s="40">
        <f t="array" ref="A4328">IFNA(index(PlayerValues!A:A,match(IFNA(vlookup(B4328,'Special Names'!A:B,2,FALSE),B4328),PlayerValues!E:E,0)),"N/A")</f>
        <v>15319</v>
      </c>
      <c r="B4328" s="4" t="s">
        <v>644</v>
      </c>
      <c r="C4328" s="4" t="s">
        <v>287</v>
      </c>
      <c r="D4328" s="94">
        <v>1637.0</v>
      </c>
    </row>
    <row r="4329">
      <c r="A4329" s="40">
        <f t="array" ref="A4329">IFNA(index(PlayerValues!A:A,match(IFNA(vlookup(B4329,'Special Names'!A:B,2,FALSE),B4329),PlayerValues!E:E,0)),"N/A")</f>
        <v>16595</v>
      </c>
      <c r="B4329" s="4" t="s">
        <v>664</v>
      </c>
      <c r="C4329" s="4" t="s">
        <v>278</v>
      </c>
      <c r="D4329" s="94">
        <v>1634.0</v>
      </c>
    </row>
    <row r="4330">
      <c r="A4330" s="40">
        <f t="array" ref="A4330">IFNA(index(PlayerValues!A:A,match(IFNA(vlookup(B4330,'Special Names'!A:B,2,FALSE),B4330),PlayerValues!E:E,0)),"N/A")</f>
        <v>15337</v>
      </c>
      <c r="B4330" s="4" t="s">
        <v>655</v>
      </c>
      <c r="C4330" s="4" t="s">
        <v>298</v>
      </c>
      <c r="D4330" s="94">
        <v>2000.0</v>
      </c>
    </row>
    <row r="4331">
      <c r="A4331" s="40" t="str">
        <f t="array" ref="A4331">IFNA(index(PlayerValues!A:A,match(IFNA(vlookup(B4331,'Special Names'!A:B,2,FALSE),B4331),PlayerValues!E:E,0)),"N/A")</f>
        <v>N/A</v>
      </c>
      <c r="B4331" s="4" t="s">
        <v>90</v>
      </c>
      <c r="C4331" s="4" t="s">
        <v>325</v>
      </c>
      <c r="D4331" s="94">
        <v>1600.0</v>
      </c>
    </row>
    <row r="4332">
      <c r="A4332" s="40">
        <f t="array" ref="A4332">IFNA(index(PlayerValues!A:A,match(IFNA(vlookup(B4332,'Special Names'!A:B,2,FALSE),B4332),PlayerValues!E:E,0)),"N/A")</f>
        <v>17205</v>
      </c>
      <c r="B4332" s="4" t="s">
        <v>665</v>
      </c>
      <c r="C4332" s="4" t="s">
        <v>287</v>
      </c>
      <c r="D4332" s="94">
        <v>1590.0</v>
      </c>
    </row>
    <row r="4333">
      <c r="A4333" s="40">
        <f t="array" ref="A4333">IFNA(index(PlayerValues!A:A,match(IFNA(vlookup(B4333,'Special Names'!A:B,2,FALSE),B4333),PlayerValues!E:E,0)),"N/A")</f>
        <v>15752</v>
      </c>
      <c r="B4333" s="4" t="s">
        <v>647</v>
      </c>
      <c r="C4333" s="4" t="s">
        <v>287</v>
      </c>
      <c r="D4333" s="94">
        <v>1588.0</v>
      </c>
    </row>
    <row r="4334">
      <c r="A4334" s="40">
        <f t="array" ref="A4334">IFNA(index(PlayerValues!A:A,match(IFNA(vlookup(B4334,'Special Names'!A:B,2,FALSE),B4334),PlayerValues!E:E,0)),"N/A")</f>
        <v>16175</v>
      </c>
      <c r="B4334" s="4" t="s">
        <v>654</v>
      </c>
      <c r="C4334" s="4" t="s">
        <v>278</v>
      </c>
      <c r="D4334" s="94">
        <v>1585.0</v>
      </c>
    </row>
    <row r="4335">
      <c r="A4335" s="40">
        <f t="array" ref="A4335">IFNA(index(PlayerValues!A:A,match(IFNA(vlookup(B4335,'Special Names'!A:B,2,FALSE),B4335),PlayerValues!E:E,0)),"N/A")</f>
        <v>17234</v>
      </c>
      <c r="B4335" s="4" t="s">
        <v>653</v>
      </c>
      <c r="C4335" s="4" t="s">
        <v>287</v>
      </c>
      <c r="D4335" s="94">
        <v>1581.0</v>
      </c>
    </row>
    <row r="4336">
      <c r="A4336" s="40">
        <f t="array" ref="A4336">IFNA(index(PlayerValues!A:A,match(IFNA(vlookup(B4336,'Special Names'!A:B,2,FALSE),B4336),PlayerValues!E:E,0)),"N/A")</f>
        <v>16633</v>
      </c>
      <c r="B4336" s="4" t="s">
        <v>656</v>
      </c>
      <c r="C4336" s="4" t="s">
        <v>287</v>
      </c>
      <c r="D4336" s="94">
        <v>1580.0</v>
      </c>
    </row>
    <row r="4337">
      <c r="A4337" s="40">
        <f t="array" ref="A4337">IFNA(index(PlayerValues!A:A,match(IFNA(vlookup(B4337,'Special Names'!A:B,2,FALSE),B4337),PlayerValues!E:E,0)),"N/A")</f>
        <v>16688</v>
      </c>
      <c r="B4337" s="4" t="s">
        <v>688</v>
      </c>
      <c r="C4337" s="4" t="s">
        <v>278</v>
      </c>
      <c r="D4337" s="94">
        <v>1570.0</v>
      </c>
    </row>
    <row r="4338">
      <c r="A4338" s="40">
        <f t="array" ref="A4338">IFNA(index(PlayerValues!A:A,match(IFNA(vlookup(B4338,'Special Names'!A:B,2,FALSE),B4338),PlayerValues!E:E,0)),"N/A")</f>
        <v>11222</v>
      </c>
      <c r="B4338" s="4" t="s">
        <v>622</v>
      </c>
      <c r="C4338" s="4" t="s">
        <v>287</v>
      </c>
      <c r="D4338" s="94">
        <v>1566.0</v>
      </c>
    </row>
    <row r="4339">
      <c r="A4339" s="40">
        <f t="array" ref="A4339">IFNA(index(PlayerValues!A:A,match(IFNA(vlookup(B4339,'Special Names'!A:B,2,FALSE),B4339),PlayerValues!E:E,0)),"N/A")</f>
        <v>15777</v>
      </c>
      <c r="B4339" s="4" t="s">
        <v>694</v>
      </c>
      <c r="C4339" s="4" t="s">
        <v>287</v>
      </c>
      <c r="D4339" s="94">
        <v>1550.0</v>
      </c>
    </row>
    <row r="4340">
      <c r="A4340" s="40">
        <f t="array" ref="A4340">IFNA(index(PlayerValues!A:A,match(IFNA(vlookup(B4340,'Special Names'!A:B,2,FALSE),B4340),PlayerValues!E:E,0)),"N/A")</f>
        <v>15713</v>
      </c>
      <c r="B4340" s="4" t="s">
        <v>732</v>
      </c>
      <c r="C4340" s="4" t="s">
        <v>278</v>
      </c>
      <c r="D4340" s="94">
        <v>1548.0</v>
      </c>
    </row>
    <row r="4341">
      <c r="A4341" s="40">
        <f t="array" ref="A4341">IFNA(index(PlayerValues!A:A,match(IFNA(vlookup(B4341,'Special Names'!A:B,2,FALSE),B4341),PlayerValues!E:E,0)),"N/A")</f>
        <v>16149</v>
      </c>
      <c r="B4341" s="4" t="s">
        <v>740</v>
      </c>
      <c r="C4341" s="4" t="s">
        <v>283</v>
      </c>
      <c r="D4341" s="94">
        <v>1542.0</v>
      </c>
    </row>
    <row r="4342">
      <c r="A4342" s="40">
        <f t="array" ref="A4342">IFNA(index(PlayerValues!A:A,match(IFNA(vlookup(B4342,'Special Names'!A:B,2,FALSE),B4342),PlayerValues!E:E,0)),"N/A")</f>
        <v>16792</v>
      </c>
      <c r="B4342" s="4" t="s">
        <v>704</v>
      </c>
      <c r="C4342" s="4" t="s">
        <v>287</v>
      </c>
      <c r="D4342" s="94">
        <v>1536.0</v>
      </c>
    </row>
    <row r="4343">
      <c r="A4343" s="40">
        <f t="array" ref="A4343">IFNA(index(PlayerValues!A:A,match(IFNA(vlookup(B4343,'Special Names'!A:B,2,FALSE),B4343),PlayerValues!E:E,0)),"N/A")</f>
        <v>14122</v>
      </c>
      <c r="B4343" s="4" t="s">
        <v>663</v>
      </c>
      <c r="C4343" s="4" t="s">
        <v>287</v>
      </c>
      <c r="D4343" s="94">
        <v>1526.0</v>
      </c>
    </row>
    <row r="4344">
      <c r="A4344" s="40" t="str">
        <f t="array" ref="A4344">IFNA(index(PlayerValues!A:A,match(IFNA(vlookup(B4344,'Special Names'!A:B,2,FALSE),B4344),PlayerValues!E:E,0)),"N/A")</f>
        <v>N/A</v>
      </c>
      <c r="B4344" s="4" t="s">
        <v>116</v>
      </c>
      <c r="C4344" s="4" t="s">
        <v>325</v>
      </c>
      <c r="D4344" s="94">
        <v>1521.0</v>
      </c>
    </row>
    <row r="4345">
      <c r="A4345" s="40" t="str">
        <f t="array" ref="A4345">IFNA(index(PlayerValues!A:A,match(IFNA(vlookup(B4345,'Special Names'!A:B,2,FALSE),B4345),PlayerValues!E:E,0)),"N/A")</f>
        <v>N/A</v>
      </c>
      <c r="B4345" s="4" t="s">
        <v>91</v>
      </c>
      <c r="C4345" s="4" t="s">
        <v>325</v>
      </c>
      <c r="D4345" s="94">
        <v>1518.0</v>
      </c>
    </row>
    <row r="4346">
      <c r="A4346" s="40">
        <f t="array" ref="A4346">IFNA(index(PlayerValues!A:A,match(IFNA(vlookup(B4346,'Special Names'!A:B,2,FALSE),B4346),PlayerValues!E:E,0)),"N/A")</f>
        <v>17467</v>
      </c>
      <c r="B4346" s="4" t="s">
        <v>575</v>
      </c>
      <c r="C4346" s="4" t="s">
        <v>283</v>
      </c>
      <c r="D4346" s="94">
        <v>1516.0</v>
      </c>
    </row>
    <row r="4347">
      <c r="A4347" s="40">
        <f t="array" ref="A4347">IFNA(index(PlayerValues!A:A,match(IFNA(vlookup(B4347,'Special Names'!A:B,2,FALSE),B4347),PlayerValues!E:E,0)),"N/A")</f>
        <v>15873</v>
      </c>
      <c r="B4347" s="4" t="s">
        <v>681</v>
      </c>
      <c r="C4347" s="4" t="s">
        <v>298</v>
      </c>
      <c r="D4347" s="94">
        <v>1871.0</v>
      </c>
    </row>
    <row r="4348">
      <c r="A4348" s="40">
        <f t="array" ref="A4348">IFNA(index(PlayerValues!A:A,match(IFNA(vlookup(B4348,'Special Names'!A:B,2,FALSE),B4348),PlayerValues!E:E,0)),"N/A")</f>
        <v>16390</v>
      </c>
      <c r="B4348" s="4" t="s">
        <v>689</v>
      </c>
      <c r="C4348" s="4" t="s">
        <v>278</v>
      </c>
      <c r="D4348" s="94">
        <v>1497.0</v>
      </c>
    </row>
    <row r="4349">
      <c r="A4349" s="40">
        <f t="array" ref="A4349">IFNA(index(PlayerValues!A:A,match(IFNA(vlookup(B4349,'Special Names'!A:B,2,FALSE),B4349),PlayerValues!E:E,0)),"N/A")</f>
        <v>17037</v>
      </c>
      <c r="B4349" s="4" t="s">
        <v>727</v>
      </c>
      <c r="C4349" s="4" t="s">
        <v>283</v>
      </c>
      <c r="D4349" s="94">
        <v>1497.0</v>
      </c>
    </row>
    <row r="4350">
      <c r="A4350" s="40">
        <f t="array" ref="A4350">IFNA(index(PlayerValues!A:A,match(IFNA(vlookup(B4350,'Special Names'!A:B,2,FALSE),B4350),PlayerValues!E:E,0)),"N/A")</f>
        <v>16631</v>
      </c>
      <c r="B4350" s="4" t="s">
        <v>800</v>
      </c>
      <c r="C4350" s="4" t="s">
        <v>287</v>
      </c>
      <c r="D4350" s="94">
        <v>1487.0</v>
      </c>
    </row>
    <row r="4351">
      <c r="A4351" s="40">
        <f t="array" ref="A4351">IFNA(index(PlayerValues!A:A,match(IFNA(vlookup(B4351,'Special Names'!A:B,2,FALSE),B4351),PlayerValues!E:E,0)),"N/A")</f>
        <v>12140</v>
      </c>
      <c r="B4351" s="4" t="s">
        <v>702</v>
      </c>
      <c r="C4351" s="4" t="s">
        <v>283</v>
      </c>
      <c r="D4351" s="94">
        <v>1485.0</v>
      </c>
    </row>
    <row r="4352">
      <c r="A4352" s="40">
        <f t="array" ref="A4352">IFNA(index(PlayerValues!A:A,match(IFNA(vlookup(B4352,'Special Names'!A:B,2,FALSE),B4352),PlayerValues!E:E,0)),"N/A")</f>
        <v>17528</v>
      </c>
      <c r="B4352" s="4" t="s">
        <v>579</v>
      </c>
      <c r="C4352" s="4" t="s">
        <v>287</v>
      </c>
      <c r="D4352" s="94">
        <v>1482.0</v>
      </c>
    </row>
    <row r="4353">
      <c r="A4353" s="40">
        <f t="array" ref="A4353">IFNA(index(PlayerValues!A:A,match(IFNA(vlookup(B4353,'Special Names'!A:B,2,FALSE),B4353),PlayerValues!E:E,0)),"N/A")</f>
        <v>15252</v>
      </c>
      <c r="B4353" s="4" t="s">
        <v>715</v>
      </c>
      <c r="C4353" s="4" t="s">
        <v>283</v>
      </c>
      <c r="D4353" s="94">
        <v>1481.0</v>
      </c>
    </row>
    <row r="4354">
      <c r="A4354" s="40">
        <f t="array" ref="A4354">IFNA(index(PlayerValues!A:A,match(IFNA(vlookup(B4354,'Special Names'!A:B,2,FALSE),B4354),PlayerValues!E:E,0)),"N/A")</f>
        <v>16384</v>
      </c>
      <c r="B4354" s="4" t="s">
        <v>696</v>
      </c>
      <c r="C4354" s="4" t="s">
        <v>283</v>
      </c>
      <c r="D4354" s="94">
        <v>1465.0</v>
      </c>
    </row>
    <row r="4355">
      <c r="A4355" s="40">
        <f t="array" ref="A4355">IFNA(index(PlayerValues!A:A,match(IFNA(vlookup(B4355,'Special Names'!A:B,2,FALSE),B4355),PlayerValues!E:E,0)),"N/A")</f>
        <v>13418</v>
      </c>
      <c r="B4355" s="4" t="s">
        <v>706</v>
      </c>
      <c r="C4355" s="4" t="s">
        <v>287</v>
      </c>
      <c r="D4355" s="94">
        <v>1442.0</v>
      </c>
    </row>
    <row r="4356">
      <c r="A4356" s="40">
        <f t="array" ref="A4356">IFNA(index(PlayerValues!A:A,match(IFNA(vlookup(B4356,'Special Names'!A:B,2,FALSE),B4356),PlayerValues!E:E,0)),"N/A")</f>
        <v>17254</v>
      </c>
      <c r="B4356" s="4" t="s">
        <v>679</v>
      </c>
      <c r="C4356" s="4" t="s">
        <v>287</v>
      </c>
      <c r="D4356" s="94">
        <v>1435.0</v>
      </c>
    </row>
    <row r="4357">
      <c r="A4357" s="40">
        <f t="array" ref="A4357">IFNA(index(PlayerValues!A:A,match(IFNA(vlookup(B4357,'Special Names'!A:B,2,FALSE),B4357),PlayerValues!E:E,0)),"N/A")</f>
        <v>16642</v>
      </c>
      <c r="B4357" s="4" t="s">
        <v>691</v>
      </c>
      <c r="C4357" s="4" t="s">
        <v>298</v>
      </c>
      <c r="D4357" s="94">
        <v>1788.0</v>
      </c>
    </row>
    <row r="4358">
      <c r="A4358" s="40">
        <f t="array" ref="A4358">IFNA(index(PlayerValues!A:A,match(IFNA(vlookup(B4358,'Special Names'!A:B,2,FALSE),B4358),PlayerValues!E:E,0)),"N/A")</f>
        <v>12141</v>
      </c>
      <c r="B4358" s="4" t="s">
        <v>744</v>
      </c>
      <c r="C4358" s="4" t="s">
        <v>283</v>
      </c>
      <c r="D4358" s="94">
        <v>1417.0</v>
      </c>
    </row>
    <row r="4359">
      <c r="A4359" s="40">
        <f t="array" ref="A4359">IFNA(index(PlayerValues!A:A,match(IFNA(vlookup(B4359,'Special Names'!A:B,2,FALSE),B4359),PlayerValues!E:E,0)),"N/A")</f>
        <v>15292</v>
      </c>
      <c r="B4359" s="4" t="s">
        <v>682</v>
      </c>
      <c r="C4359" s="4" t="s">
        <v>287</v>
      </c>
      <c r="D4359" s="94">
        <v>1412.0</v>
      </c>
    </row>
    <row r="4360">
      <c r="A4360" s="40">
        <f t="array" ref="A4360">IFNA(index(PlayerValues!A:A,match(IFNA(vlookup(B4360,'Special Names'!A:B,2,FALSE),B4360),PlayerValues!E:E,0)),"N/A")</f>
        <v>12678</v>
      </c>
      <c r="B4360" s="4" t="s">
        <v>703</v>
      </c>
      <c r="C4360" s="4" t="s">
        <v>298</v>
      </c>
      <c r="D4360" s="94">
        <v>1781.0</v>
      </c>
    </row>
    <row r="4361">
      <c r="A4361" s="40">
        <f t="array" ref="A4361">IFNA(index(PlayerValues!A:A,match(IFNA(vlookup(B4361,'Special Names'!A:B,2,FALSE),B4361),PlayerValues!E:E,0)),"N/A")</f>
        <v>14137</v>
      </c>
      <c r="B4361" s="4" t="s">
        <v>676</v>
      </c>
      <c r="C4361" s="4" t="s">
        <v>298</v>
      </c>
      <c r="D4361" s="94">
        <v>1773.0</v>
      </c>
    </row>
    <row r="4362">
      <c r="A4362" s="40">
        <f t="array" ref="A4362">IFNA(index(PlayerValues!A:A,match(IFNA(vlookup(B4362,'Special Names'!A:B,2,FALSE),B4362),PlayerValues!E:E,0)),"N/A")</f>
        <v>17269</v>
      </c>
      <c r="B4362" s="4" t="s">
        <v>718</v>
      </c>
      <c r="C4362" s="4" t="s">
        <v>287</v>
      </c>
      <c r="D4362" s="94">
        <v>1401.0</v>
      </c>
    </row>
    <row r="4363">
      <c r="A4363" s="40">
        <f t="array" ref="A4363">IFNA(index(PlayerValues!A:A,match(IFNA(vlookup(B4363,'Special Names'!A:B,2,FALSE),B4363),PlayerValues!E:E,0)),"N/A")</f>
        <v>14080</v>
      </c>
      <c r="B4363" s="4" t="s">
        <v>716</v>
      </c>
      <c r="C4363" s="4" t="s">
        <v>278</v>
      </c>
      <c r="D4363" s="94">
        <v>1396.0</v>
      </c>
    </row>
    <row r="4364">
      <c r="A4364" s="40">
        <f t="array" ref="A4364">IFNA(index(PlayerValues!A:A,match(IFNA(vlookup(B4364,'Special Names'!A:B,2,FALSE),B4364),PlayerValues!E:E,0)),"N/A")</f>
        <v>16621</v>
      </c>
      <c r="B4364" s="4" t="s">
        <v>672</v>
      </c>
      <c r="C4364" s="4" t="s">
        <v>287</v>
      </c>
      <c r="D4364" s="94">
        <v>1395.0</v>
      </c>
    </row>
    <row r="4365">
      <c r="A4365" s="40">
        <f t="array" ref="A4365">IFNA(index(PlayerValues!A:A,match(IFNA(vlookup(B4365,'Special Names'!A:B,2,FALSE),B4365),PlayerValues!E:E,0)),"N/A")</f>
        <v>17481</v>
      </c>
      <c r="B4365" s="4" t="s">
        <v>540</v>
      </c>
      <c r="C4365" s="4" t="s">
        <v>278</v>
      </c>
      <c r="D4365" s="94">
        <v>1393.0</v>
      </c>
    </row>
    <row r="4366">
      <c r="A4366" s="40">
        <f t="array" ref="A4366">IFNA(index(PlayerValues!A:A,match(IFNA(vlookup(B4366,'Special Names'!A:B,2,FALSE),B4366),PlayerValues!E:E,0)),"N/A")</f>
        <v>17062</v>
      </c>
      <c r="B4366" s="4" t="s">
        <v>701</v>
      </c>
      <c r="C4366" s="4" t="s">
        <v>278</v>
      </c>
      <c r="D4366" s="94">
        <v>1388.0</v>
      </c>
    </row>
    <row r="4367">
      <c r="A4367" s="40">
        <f t="array" ref="A4367">IFNA(index(PlayerValues!A:A,match(IFNA(vlookup(B4367,'Special Names'!A:B,2,FALSE),B4367),PlayerValues!E:E,0)),"N/A")</f>
        <v>17054</v>
      </c>
      <c r="B4367" s="4" t="s">
        <v>670</v>
      </c>
      <c r="C4367" s="4" t="s">
        <v>278</v>
      </c>
      <c r="D4367" s="94">
        <v>1373.0</v>
      </c>
    </row>
    <row r="4368">
      <c r="A4368" s="40">
        <f t="array" ref="A4368">IFNA(index(PlayerValues!A:A,match(IFNA(vlookup(B4368,'Special Names'!A:B,2,FALSE),B4368),PlayerValues!E:E,0)),"N/A")</f>
        <v>13672</v>
      </c>
      <c r="B4368" s="4" t="s">
        <v>667</v>
      </c>
      <c r="C4368" s="4" t="s">
        <v>298</v>
      </c>
      <c r="D4368" s="94">
        <v>1724.0</v>
      </c>
    </row>
    <row r="4369">
      <c r="A4369" s="40">
        <f t="array" ref="A4369">IFNA(index(PlayerValues!A:A,match(IFNA(vlookup(B4369,'Special Names'!A:B,2,FALSE),B4369),PlayerValues!E:E,0)),"N/A")</f>
        <v>17077</v>
      </c>
      <c r="B4369" s="4" t="s">
        <v>714</v>
      </c>
      <c r="C4369" s="4" t="s">
        <v>287</v>
      </c>
      <c r="D4369" s="94">
        <v>1352.0</v>
      </c>
    </row>
    <row r="4370">
      <c r="A4370" s="40">
        <f t="array" ref="A4370">IFNA(index(PlayerValues!A:A,match(IFNA(vlookup(B4370,'Special Names'!A:B,2,FALSE),B4370),PlayerValues!E:E,0)),"N/A")</f>
        <v>17514</v>
      </c>
      <c r="B4370" s="4" t="s">
        <v>422</v>
      </c>
      <c r="C4370" s="4" t="s">
        <v>287</v>
      </c>
      <c r="D4370" s="94">
        <v>1347.0</v>
      </c>
    </row>
    <row r="4371">
      <c r="A4371" s="40">
        <f t="array" ref="A4371">IFNA(index(PlayerValues!A:A,match(IFNA(vlookup(B4371,'Special Names'!A:B,2,FALSE),B4371),PlayerValues!E:E,0)),"N/A")</f>
        <v>15332</v>
      </c>
      <c r="B4371" s="4" t="s">
        <v>698</v>
      </c>
      <c r="C4371" s="4" t="s">
        <v>298</v>
      </c>
      <c r="D4371" s="94">
        <v>1711.0</v>
      </c>
    </row>
    <row r="4372">
      <c r="A4372" s="40">
        <f t="array" ref="A4372">IFNA(index(PlayerValues!A:A,match(IFNA(vlookup(B4372,'Special Names'!A:B,2,FALSE),B4372),PlayerValues!E:E,0)),"N/A")</f>
        <v>14086</v>
      </c>
      <c r="B4372" s="4" t="s">
        <v>639</v>
      </c>
      <c r="C4372" s="4" t="s">
        <v>278</v>
      </c>
      <c r="D4372" s="94">
        <v>1336.0</v>
      </c>
    </row>
    <row r="4373">
      <c r="A4373" s="40">
        <f t="array" ref="A4373">IFNA(index(PlayerValues!A:A,match(IFNA(vlookup(B4373,'Special Names'!A:B,2,FALSE),B4373),PlayerValues!E:E,0)),"N/A")</f>
        <v>16608</v>
      </c>
      <c r="B4373" s="4" t="s">
        <v>629</v>
      </c>
      <c r="C4373" s="4" t="s">
        <v>278</v>
      </c>
      <c r="D4373" s="94">
        <v>1336.0</v>
      </c>
    </row>
    <row r="4374">
      <c r="A4374" s="40">
        <f t="array" ref="A4374">IFNA(index(PlayerValues!A:A,match(IFNA(vlookup(B4374,'Special Names'!A:B,2,FALSE),B4374),PlayerValues!E:E,0)),"N/A")</f>
        <v>15738</v>
      </c>
      <c r="B4374" s="4" t="s">
        <v>634</v>
      </c>
      <c r="C4374" s="4" t="s">
        <v>278</v>
      </c>
      <c r="D4374" s="94">
        <v>1322.0</v>
      </c>
    </row>
    <row r="4375">
      <c r="A4375" s="40">
        <f t="array" ref="A4375">IFNA(index(PlayerValues!A:A,match(IFNA(vlookup(B4375,'Special Names'!A:B,2,FALSE),B4375),PlayerValues!E:E,0)),"N/A")</f>
        <v>16183</v>
      </c>
      <c r="B4375" s="4" t="s">
        <v>678</v>
      </c>
      <c r="C4375" s="4" t="s">
        <v>287</v>
      </c>
      <c r="D4375" s="94">
        <v>1303.0</v>
      </c>
    </row>
    <row r="4376">
      <c r="A4376" s="40">
        <f t="array" ref="A4376">IFNA(index(PlayerValues!A:A,match(IFNA(vlookup(B4376,'Special Names'!A:B,2,FALSE),B4376),PlayerValues!E:E,0)),"N/A")</f>
        <v>14095</v>
      </c>
      <c r="B4376" s="4" t="s">
        <v>680</v>
      </c>
      <c r="C4376" s="4" t="s">
        <v>278</v>
      </c>
      <c r="D4376" s="94">
        <v>1296.0</v>
      </c>
    </row>
    <row r="4377">
      <c r="A4377" s="40" t="str">
        <f t="array" ref="A4377">IFNA(index(PlayerValues!A:A,match(IFNA(vlookup(B4377,'Special Names'!A:B,2,FALSE),B4377),PlayerValues!E:E,0)),"N/A")</f>
        <v>N/A</v>
      </c>
      <c r="B4377" s="4" t="s">
        <v>117</v>
      </c>
      <c r="C4377" s="4" t="s">
        <v>325</v>
      </c>
      <c r="D4377" s="94">
        <v>1295.0</v>
      </c>
    </row>
    <row r="4378">
      <c r="A4378" s="40">
        <f t="array" ref="A4378">IFNA(index(PlayerValues!A:A,match(IFNA(vlookup(B4378,'Special Names'!A:B,2,FALSE),B4378),PlayerValues!E:E,0)),"N/A")</f>
        <v>16645</v>
      </c>
      <c r="B4378" s="4" t="s">
        <v>651</v>
      </c>
      <c r="C4378" s="4" t="s">
        <v>298</v>
      </c>
      <c r="D4378" s="94">
        <v>1659.0</v>
      </c>
    </row>
    <row r="4379">
      <c r="A4379" s="40">
        <f t="array" ref="A4379">IFNA(index(PlayerValues!A:A,match(IFNA(vlookup(B4379,'Special Names'!A:B,2,FALSE),B4379),PlayerValues!E:E,0)),"N/A")</f>
        <v>15288</v>
      </c>
      <c r="B4379" s="4" t="s">
        <v>700</v>
      </c>
      <c r="C4379" s="4" t="s">
        <v>287</v>
      </c>
      <c r="D4379" s="94">
        <v>1287.0</v>
      </c>
    </row>
    <row r="4380">
      <c r="A4380" s="40">
        <f t="array" ref="A4380">IFNA(index(PlayerValues!A:A,match(IFNA(vlookup(B4380,'Special Names'!A:B,2,FALSE),B4380),PlayerValues!E:E,0)),"N/A")</f>
        <v>15702</v>
      </c>
      <c r="B4380" s="4" t="s">
        <v>723</v>
      </c>
      <c r="C4380" s="4" t="s">
        <v>283</v>
      </c>
      <c r="D4380" s="94">
        <v>1270.0</v>
      </c>
    </row>
    <row r="4381">
      <c r="A4381" s="40">
        <f t="array" ref="A4381">IFNA(index(PlayerValues!A:A,match(IFNA(vlookup(B4381,'Special Names'!A:B,2,FALSE),B4381),PlayerValues!E:E,0)),"N/A")</f>
        <v>14108</v>
      </c>
      <c r="B4381" s="4" t="s">
        <v>673</v>
      </c>
      <c r="C4381" s="4" t="s">
        <v>287</v>
      </c>
      <c r="D4381" s="94">
        <v>1265.0</v>
      </c>
    </row>
    <row r="4382">
      <c r="A4382" s="40">
        <f t="array" ref="A4382">IFNA(index(PlayerValues!A:A,match(IFNA(vlookup(B4382,'Special Names'!A:B,2,FALSE),B4382),PlayerValues!E:E,0)),"N/A")</f>
        <v>14592</v>
      </c>
      <c r="B4382" s="4" t="s">
        <v>705</v>
      </c>
      <c r="C4382" s="4" t="s">
        <v>287</v>
      </c>
      <c r="D4382" s="94">
        <v>1257.0</v>
      </c>
    </row>
    <row r="4383">
      <c r="A4383" s="40">
        <f t="array" ref="A4383">IFNA(index(PlayerValues!A:A,match(IFNA(vlookup(B4383,'Special Names'!A:B,2,FALSE),B4383),PlayerValues!E:E,0)),"N/A")</f>
        <v>17097</v>
      </c>
      <c r="B4383" s="4" t="s">
        <v>659</v>
      </c>
      <c r="C4383" s="4" t="s">
        <v>287</v>
      </c>
      <c r="D4383" s="94">
        <v>1256.0</v>
      </c>
    </row>
    <row r="4384">
      <c r="A4384" s="40">
        <f t="array" ref="A4384">IFNA(index(PlayerValues!A:A,match(IFNA(vlookup(B4384,'Special Names'!A:B,2,FALSE),B4384),PlayerValues!E:E,0)),"N/A")</f>
        <v>16333</v>
      </c>
      <c r="B4384" s="4" t="s">
        <v>711</v>
      </c>
      <c r="C4384" s="4" t="s">
        <v>298</v>
      </c>
      <c r="D4384" s="94">
        <v>1621.0</v>
      </c>
    </row>
    <row r="4385">
      <c r="A4385" s="40">
        <f t="array" ref="A4385">IFNA(index(PlayerValues!A:A,match(IFNA(vlookup(B4385,'Special Names'!A:B,2,FALSE),B4385),PlayerValues!E:E,0)),"N/A")</f>
        <v>16221</v>
      </c>
      <c r="B4385" s="4" t="s">
        <v>725</v>
      </c>
      <c r="C4385" s="4" t="s">
        <v>298</v>
      </c>
      <c r="D4385" s="94">
        <v>1620.0</v>
      </c>
    </row>
    <row r="4386">
      <c r="A4386" s="40">
        <f t="array" ref="A4386">IFNA(index(PlayerValues!A:A,match(IFNA(vlookup(B4386,'Special Names'!A:B,2,FALSE),B4386),PlayerValues!E:E,0)),"N/A")</f>
        <v>17063</v>
      </c>
      <c r="B4386" s="4" t="s">
        <v>686</v>
      </c>
      <c r="C4386" s="4" t="s">
        <v>278</v>
      </c>
      <c r="D4386" s="94">
        <v>1251.0</v>
      </c>
    </row>
    <row r="4387">
      <c r="A4387" s="40">
        <f t="array" ref="A4387">IFNA(index(PlayerValues!A:A,match(IFNA(vlookup(B4387,'Special Names'!A:B,2,FALSE),B4387),PlayerValues!E:E,0)),"N/A")</f>
        <v>16636</v>
      </c>
      <c r="B4387" s="4" t="s">
        <v>699</v>
      </c>
      <c r="C4387" s="4" t="s">
        <v>287</v>
      </c>
      <c r="D4387" s="94">
        <v>1248.0</v>
      </c>
    </row>
    <row r="4388">
      <c r="A4388" s="40">
        <f t="array" ref="A4388">IFNA(index(PlayerValues!A:A,match(IFNA(vlookup(B4388,'Special Names'!A:B,2,FALSE),B4388),PlayerValues!E:E,0)),"N/A")</f>
        <v>14789</v>
      </c>
      <c r="B4388" s="4" t="s">
        <v>721</v>
      </c>
      <c r="C4388" s="4" t="s">
        <v>283</v>
      </c>
      <c r="D4388" s="94">
        <v>1243.0</v>
      </c>
    </row>
    <row r="4389">
      <c r="A4389" s="40">
        <f t="array" ref="A4389">IFNA(index(PlayerValues!A:A,match(IFNA(vlookup(B4389,'Special Names'!A:B,2,FALSE),B4389),PlayerValues!E:E,0)),"N/A")</f>
        <v>16883</v>
      </c>
      <c r="B4389" s="4" t="s">
        <v>683</v>
      </c>
      <c r="C4389" s="4" t="s">
        <v>287</v>
      </c>
      <c r="D4389" s="94">
        <v>1233.0</v>
      </c>
    </row>
    <row r="4390">
      <c r="A4390" s="40">
        <f t="array" ref="A4390">IFNA(index(PlayerValues!A:A,match(IFNA(vlookup(B4390,'Special Names'!A:B,2,FALSE),B4390),PlayerValues!E:E,0)),"N/A")</f>
        <v>15727</v>
      </c>
      <c r="B4390" s="4" t="s">
        <v>730</v>
      </c>
      <c r="C4390" s="4" t="s">
        <v>278</v>
      </c>
      <c r="D4390" s="94">
        <v>1230.0</v>
      </c>
    </row>
    <row r="4391">
      <c r="A4391" s="40">
        <f t="array" ref="A4391">IFNA(index(PlayerValues!A:A,match(IFNA(vlookup(B4391,'Special Names'!A:B,2,FALSE),B4391),PlayerValues!E:E,0)),"N/A")</f>
        <v>16199</v>
      </c>
      <c r="B4391" s="4" t="s">
        <v>687</v>
      </c>
      <c r="C4391" s="4" t="s">
        <v>287</v>
      </c>
      <c r="D4391" s="94">
        <v>1226.0</v>
      </c>
    </row>
    <row r="4392">
      <c r="A4392" s="40">
        <f t="array" ref="A4392">IFNA(index(PlayerValues!A:A,match(IFNA(vlookup(B4392,'Special Names'!A:B,2,FALSE),B4392),PlayerValues!E:E,0)),"N/A")</f>
        <v>15981</v>
      </c>
      <c r="B4392" s="4" t="s">
        <v>729</v>
      </c>
      <c r="C4392" s="4" t="s">
        <v>287</v>
      </c>
      <c r="D4392" s="94">
        <v>1223.0</v>
      </c>
    </row>
    <row r="4393">
      <c r="A4393" s="40">
        <f t="array" ref="A4393">IFNA(index(PlayerValues!A:A,match(IFNA(vlookup(B4393,'Special Names'!A:B,2,FALSE),B4393),PlayerValues!E:E,0)),"N/A")</f>
        <v>9064</v>
      </c>
      <c r="B4393" s="4" t="s">
        <v>761</v>
      </c>
      <c r="C4393" s="4" t="s">
        <v>283</v>
      </c>
      <c r="D4393" s="94">
        <v>1218.0</v>
      </c>
    </row>
    <row r="4394">
      <c r="A4394" s="40">
        <f t="array" ref="A4394">IFNA(index(PlayerValues!A:A,match(IFNA(vlookup(B4394,'Special Names'!A:B,2,FALSE),B4394),PlayerValues!E:E,0)),"N/A")</f>
        <v>17057</v>
      </c>
      <c r="B4394" s="4" t="s">
        <v>708</v>
      </c>
      <c r="C4394" s="4" t="s">
        <v>278</v>
      </c>
      <c r="D4394" s="94">
        <v>1205.0</v>
      </c>
    </row>
    <row r="4395">
      <c r="A4395" s="40">
        <f t="array" ref="A4395">IFNA(index(PlayerValues!A:A,match(IFNA(vlookup(B4395,'Special Names'!A:B,2,FALSE),B4395),PlayerValues!E:E,0)),"N/A")</f>
        <v>13193</v>
      </c>
      <c r="B4395" s="4" t="s">
        <v>773</v>
      </c>
      <c r="C4395" s="4" t="s">
        <v>298</v>
      </c>
      <c r="D4395" s="94">
        <v>1568.0</v>
      </c>
    </row>
    <row r="4396">
      <c r="A4396" s="40">
        <f t="array" ref="A4396">IFNA(index(PlayerValues!A:A,match(IFNA(vlookup(B4396,'Special Names'!A:B,2,FALSE),B4396),PlayerValues!E:E,0)),"N/A")</f>
        <v>13131</v>
      </c>
      <c r="B4396" s="4" t="s">
        <v>815</v>
      </c>
      <c r="C4396" s="4" t="s">
        <v>278</v>
      </c>
      <c r="D4396" s="94">
        <v>1195.0</v>
      </c>
    </row>
    <row r="4397">
      <c r="A4397" s="40">
        <f t="array" ref="A4397">IFNA(index(PlayerValues!A:A,match(IFNA(vlookup(B4397,'Special Names'!A:B,2,FALSE),B4397),PlayerValues!E:E,0)),"N/A")</f>
        <v>16385</v>
      </c>
      <c r="B4397" s="4" t="s">
        <v>690</v>
      </c>
      <c r="C4397" s="4" t="s">
        <v>278</v>
      </c>
      <c r="D4397" s="94">
        <v>1193.0</v>
      </c>
    </row>
    <row r="4398">
      <c r="A4398" s="40">
        <f t="array" ref="A4398">IFNA(index(PlayerValues!A:A,match(IFNA(vlookup(B4398,'Special Names'!A:B,2,FALSE),B4398),PlayerValues!E:E,0)),"N/A")</f>
        <v>15240</v>
      </c>
      <c r="B4398" s="4" t="s">
        <v>751</v>
      </c>
      <c r="C4398" s="4" t="s">
        <v>283</v>
      </c>
      <c r="D4398" s="94">
        <v>1183.0</v>
      </c>
    </row>
    <row r="4399">
      <c r="A4399" s="40">
        <f t="array" ref="A4399">IFNA(index(PlayerValues!A:A,match(IFNA(vlookup(B4399,'Special Names'!A:B,2,FALSE),B4399),PlayerValues!E:E,0)),"N/A")</f>
        <v>13289</v>
      </c>
      <c r="B4399" s="4" t="s">
        <v>746</v>
      </c>
      <c r="C4399" s="4" t="s">
        <v>287</v>
      </c>
      <c r="D4399" s="94">
        <v>1180.0</v>
      </c>
    </row>
    <row r="4400">
      <c r="A4400" s="40">
        <f t="array" ref="A4400">IFNA(index(PlayerValues!A:A,match(IFNA(vlookup(B4400,'Special Names'!A:B,2,FALSE),B4400),PlayerValues!E:E,0)),"N/A")</f>
        <v>17109</v>
      </c>
      <c r="B4400" s="4" t="s">
        <v>707</v>
      </c>
      <c r="C4400" s="4" t="s">
        <v>298</v>
      </c>
      <c r="D4400" s="94">
        <v>1541.0</v>
      </c>
    </row>
    <row r="4401">
      <c r="A4401" s="40">
        <f t="array" ref="A4401">IFNA(index(PlayerValues!A:A,match(IFNA(vlookup(B4401,'Special Names'!A:B,2,FALSE),B4401),PlayerValues!E:E,0)),"N/A")</f>
        <v>15692</v>
      </c>
      <c r="B4401" s="4" t="s">
        <v>750</v>
      </c>
      <c r="C4401" s="4" t="s">
        <v>283</v>
      </c>
      <c r="D4401" s="94">
        <v>1159.0</v>
      </c>
    </row>
    <row r="4402">
      <c r="A4402" s="40">
        <f t="array" ref="A4402">IFNA(index(PlayerValues!A:A,match(IFNA(vlookup(B4402,'Special Names'!A:B,2,FALSE),B4402),PlayerValues!E:E,0)),"N/A")</f>
        <v>16387</v>
      </c>
      <c r="B4402" s="4" t="s">
        <v>646</v>
      </c>
      <c r="C4402" s="4" t="s">
        <v>278</v>
      </c>
      <c r="D4402" s="94">
        <v>1158.0</v>
      </c>
    </row>
    <row r="4403">
      <c r="A4403" s="40">
        <f t="array" ref="A4403">IFNA(index(PlayerValues!A:A,match(IFNA(vlookup(B4403,'Special Names'!A:B,2,FALSE),B4403),PlayerValues!E:E,0)),"N/A")</f>
        <v>17546</v>
      </c>
      <c r="B4403" s="4" t="s">
        <v>671</v>
      </c>
      <c r="C4403" s="4" t="s">
        <v>298</v>
      </c>
      <c r="D4403" s="94">
        <v>1522.0</v>
      </c>
    </row>
    <row r="4404">
      <c r="A4404" s="40">
        <f t="array" ref="A4404">IFNA(index(PlayerValues!A:A,match(IFNA(vlookup(B4404,'Special Names'!A:B,2,FALSE),B4404),PlayerValues!E:E,0)),"N/A")</f>
        <v>14067</v>
      </c>
      <c r="B4404" s="4" t="s">
        <v>735</v>
      </c>
      <c r="C4404" s="4" t="s">
        <v>283</v>
      </c>
      <c r="D4404" s="94">
        <v>1153.0</v>
      </c>
    </row>
    <row r="4405">
      <c r="A4405" s="40">
        <f t="array" ref="A4405">IFNA(index(PlayerValues!A:A,match(IFNA(vlookup(B4405,'Special Names'!A:B,2,FALSE),B4405),PlayerValues!E:E,0)),"N/A")</f>
        <v>15730</v>
      </c>
      <c r="B4405" s="4" t="s">
        <v>734</v>
      </c>
      <c r="C4405" s="4" t="s">
        <v>278</v>
      </c>
      <c r="D4405" s="94">
        <v>1153.0</v>
      </c>
    </row>
    <row r="4406">
      <c r="A4406" s="40">
        <f t="array" ref="A4406">IFNA(index(PlayerValues!A:A,match(IFNA(vlookup(B4406,'Special Names'!A:B,2,FALSE),B4406),PlayerValues!E:E,0)),"N/A")</f>
        <v>16393</v>
      </c>
      <c r="B4406" s="4" t="s">
        <v>768</v>
      </c>
      <c r="C4406" s="4" t="s">
        <v>287</v>
      </c>
      <c r="D4406" s="94">
        <v>1152.0</v>
      </c>
    </row>
    <row r="4407">
      <c r="A4407" s="40">
        <f t="array" ref="A4407">IFNA(index(PlayerValues!A:A,match(IFNA(vlookup(B4407,'Special Names'!A:B,2,FALSE),B4407),PlayerValues!E:E,0)),"N/A")</f>
        <v>16746</v>
      </c>
      <c r="B4407" s="4" t="s">
        <v>709</v>
      </c>
      <c r="C4407" s="4" t="s">
        <v>278</v>
      </c>
      <c r="D4407" s="94">
        <v>1149.0</v>
      </c>
    </row>
    <row r="4408">
      <c r="A4408" s="40">
        <f t="array" ref="A4408">IFNA(index(PlayerValues!A:A,match(IFNA(vlookup(B4408,'Special Names'!A:B,2,FALSE),B4408),PlayerValues!E:E,0)),"N/A")</f>
        <v>14845</v>
      </c>
      <c r="B4408" s="4" t="s">
        <v>717</v>
      </c>
      <c r="C4408" s="4" t="s">
        <v>287</v>
      </c>
      <c r="D4408" s="94">
        <v>1138.0</v>
      </c>
    </row>
    <row r="4409">
      <c r="A4409" s="40">
        <f t="array" ref="A4409">IFNA(index(PlayerValues!A:A,match(IFNA(vlookup(B4409,'Special Names'!A:B,2,FALSE),B4409),PlayerValues!E:E,0)),"N/A")</f>
        <v>17050</v>
      </c>
      <c r="B4409" s="4" t="s">
        <v>713</v>
      </c>
      <c r="C4409" s="4" t="s">
        <v>278</v>
      </c>
      <c r="D4409" s="94">
        <v>1137.0</v>
      </c>
    </row>
    <row r="4410">
      <c r="A4410" s="40">
        <f t="array" ref="A4410">IFNA(index(PlayerValues!A:A,match(IFNA(vlookup(B4410,'Special Names'!A:B,2,FALSE),B4410),PlayerValues!E:E,0)),"N/A")</f>
        <v>15258</v>
      </c>
      <c r="B4410" s="4" t="s">
        <v>757</v>
      </c>
      <c r="C4410" s="4" t="s">
        <v>278</v>
      </c>
      <c r="D4410" s="94">
        <v>1133.0</v>
      </c>
    </row>
    <row r="4411">
      <c r="A4411" s="40">
        <f t="array" ref="A4411">IFNA(index(PlayerValues!A:A,match(IFNA(vlookup(B4411,'Special Names'!A:B,2,FALSE),B4411),PlayerValues!E:E,0)),"N/A")</f>
        <v>16640</v>
      </c>
      <c r="B4411" s="4" t="s">
        <v>712</v>
      </c>
      <c r="C4411" s="4" t="s">
        <v>287</v>
      </c>
      <c r="D4411" s="94">
        <v>1122.0</v>
      </c>
    </row>
    <row r="4412">
      <c r="A4412" s="40">
        <f t="array" ref="A4412">IFNA(index(PlayerValues!A:A,match(IFNA(vlookup(B4412,'Special Names'!A:B,2,FALSE),B4412),PlayerValues!E:E,0)),"N/A")</f>
        <v>15239</v>
      </c>
      <c r="B4412" s="4" t="s">
        <v>802</v>
      </c>
      <c r="C4412" s="4" t="s">
        <v>283</v>
      </c>
      <c r="D4412" s="94">
        <v>1120.0</v>
      </c>
    </row>
    <row r="4413">
      <c r="A4413" s="40">
        <f t="array" ref="A4413">IFNA(index(PlayerValues!A:A,match(IFNA(vlookup(B4413,'Special Names'!A:B,2,FALSE),B4413),PlayerValues!E:E,0)),"N/A")</f>
        <v>16637</v>
      </c>
      <c r="B4413" s="4" t="s">
        <v>736</v>
      </c>
      <c r="C4413" s="4" t="s">
        <v>287</v>
      </c>
      <c r="D4413" s="94">
        <v>1115.0</v>
      </c>
    </row>
    <row r="4414">
      <c r="A4414" s="40">
        <f t="array" ref="A4414">IFNA(index(PlayerValues!A:A,match(IFNA(vlookup(B4414,'Special Names'!A:B,2,FALSE),B4414),PlayerValues!E:E,0)),"N/A")</f>
        <v>11247</v>
      </c>
      <c r="B4414" s="4" t="s">
        <v>816</v>
      </c>
      <c r="C4414" s="4" t="s">
        <v>298</v>
      </c>
      <c r="D4414" s="94">
        <v>1482.0</v>
      </c>
    </row>
    <row r="4415">
      <c r="A4415" s="40">
        <f t="array" ref="A4415">IFNA(index(PlayerValues!A:A,match(IFNA(vlookup(B4415,'Special Names'!A:B,2,FALSE),B4415),PlayerValues!E:E,0)),"N/A")</f>
        <v>15785</v>
      </c>
      <c r="B4415" s="4" t="s">
        <v>763</v>
      </c>
      <c r="C4415" s="4" t="s">
        <v>287</v>
      </c>
      <c r="D4415" s="94">
        <v>1107.0</v>
      </c>
    </row>
    <row r="4416">
      <c r="A4416" s="40">
        <f t="array" ref="A4416">IFNA(index(PlayerValues!A:A,match(IFNA(vlookup(B4416,'Special Names'!A:B,2,FALSE),B4416),PlayerValues!E:E,0)),"N/A")</f>
        <v>17192</v>
      </c>
      <c r="B4416" s="4" t="s">
        <v>677</v>
      </c>
      <c r="C4416" s="4" t="s">
        <v>287</v>
      </c>
      <c r="D4416" s="94">
        <v>1097.0</v>
      </c>
    </row>
    <row r="4417">
      <c r="A4417" s="40">
        <f t="array" ref="A4417">IFNA(index(PlayerValues!A:A,match(IFNA(vlookup(B4417,'Special Names'!A:B,2,FALSE),B4417),PlayerValues!E:E,0)),"N/A")</f>
        <v>16197</v>
      </c>
      <c r="B4417" s="4" t="s">
        <v>726</v>
      </c>
      <c r="C4417" s="4" t="s">
        <v>287</v>
      </c>
      <c r="D4417" s="94">
        <v>1080.0</v>
      </c>
    </row>
    <row r="4418">
      <c r="A4418" s="40">
        <f t="array" ref="A4418">IFNA(index(PlayerValues!A:A,match(IFNA(vlookup(B4418,'Special Names'!A:B,2,FALSE),B4418),PlayerValues!E:E,0)),"N/A")</f>
        <v>15693</v>
      </c>
      <c r="B4418" s="4" t="s">
        <v>755</v>
      </c>
      <c r="C4418" s="4" t="s">
        <v>283</v>
      </c>
      <c r="D4418" s="94">
        <v>1074.0</v>
      </c>
    </row>
    <row r="4419">
      <c r="A4419" s="40">
        <f t="array" ref="A4419">IFNA(index(PlayerValues!A:A,match(IFNA(vlookup(B4419,'Special Names'!A:B,2,FALSE),B4419),PlayerValues!E:E,0)),"N/A")</f>
        <v>16451</v>
      </c>
      <c r="B4419" s="4" t="s">
        <v>769</v>
      </c>
      <c r="C4419" s="4" t="s">
        <v>287</v>
      </c>
      <c r="D4419" s="94">
        <v>1073.0</v>
      </c>
    </row>
    <row r="4420">
      <c r="A4420" s="40">
        <f t="array" ref="A4420">IFNA(index(PlayerValues!A:A,match(IFNA(vlookup(B4420,'Special Names'!A:B,2,FALSE),B4420),PlayerValues!E:E,0)),"N/A")</f>
        <v>15718</v>
      </c>
      <c r="B4420" s="4" t="s">
        <v>753</v>
      </c>
      <c r="C4420" s="4" t="s">
        <v>278</v>
      </c>
      <c r="D4420" s="94">
        <v>1053.0</v>
      </c>
    </row>
    <row r="4421">
      <c r="A4421" s="40">
        <f t="array" ref="A4421">IFNA(index(PlayerValues!A:A,match(IFNA(vlookup(B4421,'Special Names'!A:B,2,FALSE),B4421),PlayerValues!E:E,0)),"N/A")</f>
        <v>16678</v>
      </c>
      <c r="B4421" s="4" t="s">
        <v>758</v>
      </c>
      <c r="C4421" s="4" t="s">
        <v>278</v>
      </c>
      <c r="D4421" s="94">
        <v>1053.0</v>
      </c>
    </row>
    <row r="4422">
      <c r="A4422" s="40">
        <f t="array" ref="A4422">IFNA(index(PlayerValues!A:A,match(IFNA(vlookup(B4422,'Special Names'!A:B,2,FALSE),B4422),PlayerValues!E:E,0)),"N/A")</f>
        <v>16168</v>
      </c>
      <c r="B4422" s="4" t="s">
        <v>738</v>
      </c>
      <c r="C4422" s="4" t="s">
        <v>278</v>
      </c>
      <c r="D4422" s="94">
        <v>1046.0</v>
      </c>
    </row>
    <row r="4423">
      <c r="A4423" s="40">
        <f t="array" ref="A4423">IFNA(index(PlayerValues!A:A,match(IFNA(vlookup(B4423,'Special Names'!A:B,2,FALSE),B4423),PlayerValues!E:E,0)),"N/A")</f>
        <v>14118</v>
      </c>
      <c r="B4423" s="4" t="s">
        <v>771</v>
      </c>
      <c r="C4423" s="4" t="s">
        <v>287</v>
      </c>
      <c r="D4423" s="94">
        <v>1045.0</v>
      </c>
    </row>
    <row r="4424">
      <c r="A4424" s="40">
        <f t="array" ref="A4424">IFNA(index(PlayerValues!A:A,match(IFNA(vlookup(B4424,'Special Names'!A:B,2,FALSE),B4424),PlayerValues!E:E,0)),"N/A")</f>
        <v>17175</v>
      </c>
      <c r="B4424" s="4" t="s">
        <v>747</v>
      </c>
      <c r="C4424" s="4" t="s">
        <v>287</v>
      </c>
      <c r="D4424" s="94">
        <v>1043.0</v>
      </c>
    </row>
    <row r="4425">
      <c r="A4425" s="40">
        <f t="array" ref="A4425">IFNA(index(PlayerValues!A:A,match(IFNA(vlookup(B4425,'Special Names'!A:B,2,FALSE),B4425),PlayerValues!E:E,0)),"N/A")</f>
        <v>15795</v>
      </c>
      <c r="B4425" s="4" t="s">
        <v>669</v>
      </c>
      <c r="C4425" s="4" t="s">
        <v>298</v>
      </c>
      <c r="D4425" s="94">
        <v>1406.0</v>
      </c>
    </row>
    <row r="4426">
      <c r="A4426" s="40">
        <f t="array" ref="A4426">IFNA(index(PlayerValues!A:A,match(IFNA(vlookup(B4426,'Special Names'!A:B,2,FALSE),B4426),PlayerValues!E:E,0)),"N/A")</f>
        <v>13138</v>
      </c>
      <c r="B4426" s="4" t="s">
        <v>817</v>
      </c>
      <c r="C4426" s="4" t="s">
        <v>278</v>
      </c>
      <c r="D4426" s="94">
        <v>1039.0</v>
      </c>
    </row>
    <row r="4427">
      <c r="A4427" s="40">
        <f t="array" ref="A4427">IFNA(index(PlayerValues!A:A,match(IFNA(vlookup(B4427,'Special Names'!A:B,2,FALSE),B4427),PlayerValues!E:E,0)),"N/A")</f>
        <v>16858</v>
      </c>
      <c r="B4427" s="4" t="s">
        <v>754</v>
      </c>
      <c r="C4427" s="4" t="s">
        <v>287</v>
      </c>
      <c r="D4427" s="94">
        <v>1037.0</v>
      </c>
    </row>
    <row r="4428">
      <c r="A4428" s="40">
        <f t="array" ref="A4428">IFNA(index(PlayerValues!A:A,match(IFNA(vlookup(B4428,'Special Names'!A:B,2,FALSE),B4428),PlayerValues!E:E,0)),"N/A")</f>
        <v>15717</v>
      </c>
      <c r="B4428" s="4" t="s">
        <v>745</v>
      </c>
      <c r="C4428" s="4" t="s">
        <v>278</v>
      </c>
      <c r="D4428" s="94">
        <v>1035.0</v>
      </c>
    </row>
    <row r="4429">
      <c r="A4429" s="40">
        <f t="array" ref="A4429">IFNA(index(PlayerValues!A:A,match(IFNA(vlookup(B4429,'Special Names'!A:B,2,FALSE),B4429),PlayerValues!E:E,0)),"N/A")</f>
        <v>16648</v>
      </c>
      <c r="B4429" s="4" t="s">
        <v>748</v>
      </c>
      <c r="C4429" s="4" t="s">
        <v>298</v>
      </c>
      <c r="D4429" s="94">
        <v>1399.0</v>
      </c>
    </row>
    <row r="4430">
      <c r="A4430" s="40">
        <f t="array" ref="A4430">IFNA(index(PlayerValues!A:A,match(IFNA(vlookup(B4430,'Special Names'!A:B,2,FALSE),B4430),PlayerValues!E:E,0)),"N/A")</f>
        <v>15330</v>
      </c>
      <c r="B4430" s="4" t="s">
        <v>749</v>
      </c>
      <c r="C4430" s="4" t="s">
        <v>298</v>
      </c>
      <c r="D4430" s="94">
        <v>1397.0</v>
      </c>
    </row>
    <row r="4431">
      <c r="A4431" s="40">
        <f t="array" ref="A4431">IFNA(index(PlayerValues!A:A,match(IFNA(vlookup(B4431,'Special Names'!A:B,2,FALSE),B4431),PlayerValues!E:E,0)),"N/A")</f>
        <v>15626</v>
      </c>
      <c r="B4431" s="4" t="s">
        <v>766</v>
      </c>
      <c r="C4431" s="4" t="s">
        <v>298</v>
      </c>
      <c r="D4431" s="94">
        <v>1393.0</v>
      </c>
    </row>
    <row r="4432">
      <c r="A4432" s="40">
        <f t="array" ref="A4432">IFNA(index(PlayerValues!A:A,match(IFNA(vlookup(B4432,'Special Names'!A:B,2,FALSE),B4432),PlayerValues!E:E,0)),"N/A")</f>
        <v>14057</v>
      </c>
      <c r="B4432" s="4" t="s">
        <v>765</v>
      </c>
      <c r="C4432" s="4" t="s">
        <v>283</v>
      </c>
      <c r="D4432" s="94">
        <v>1021.0</v>
      </c>
    </row>
    <row r="4433">
      <c r="A4433" s="40">
        <f t="array" ref="A4433">IFNA(index(PlayerValues!A:A,match(IFNA(vlookup(B4433,'Special Names'!A:B,2,FALSE),B4433),PlayerValues!E:E,0)),"N/A")</f>
        <v>16205</v>
      </c>
      <c r="B4433" s="4" t="s">
        <v>742</v>
      </c>
      <c r="C4433" s="4" t="s">
        <v>287</v>
      </c>
      <c r="D4433" s="94">
        <v>1016.0</v>
      </c>
    </row>
    <row r="4434">
      <c r="A4434" s="40">
        <f t="array" ref="A4434">IFNA(index(PlayerValues!A:A,match(IFNA(vlookup(B4434,'Special Names'!A:B,2,FALSE),B4434),PlayerValues!E:E,0)),"N/A")</f>
        <v>16170</v>
      </c>
      <c r="B4434" s="4" t="s">
        <v>801</v>
      </c>
      <c r="C4434" s="4" t="s">
        <v>278</v>
      </c>
      <c r="D4434" s="94">
        <v>1009.0</v>
      </c>
    </row>
    <row r="4435">
      <c r="A4435" s="40">
        <f t="array" ref="A4435">IFNA(index(PlayerValues!A:A,match(IFNA(vlookup(B4435,'Special Names'!A:B,2,FALSE),B4435),PlayerValues!E:E,0)),"N/A")</f>
        <v>15720</v>
      </c>
      <c r="B4435" s="4" t="s">
        <v>795</v>
      </c>
      <c r="C4435" s="4" t="s">
        <v>278</v>
      </c>
      <c r="D4435" s="94">
        <v>1005.0</v>
      </c>
    </row>
    <row r="4436">
      <c r="A4436" s="40">
        <f t="array" ref="A4436">IFNA(index(PlayerValues!A:A,match(IFNA(vlookup(B4436,'Special Names'!A:B,2,FALSE),B4436),PlayerValues!E:E,0)),"N/A")</f>
        <v>15109</v>
      </c>
      <c r="B4436" s="4" t="s">
        <v>728</v>
      </c>
      <c r="C4436" s="4" t="s">
        <v>287</v>
      </c>
      <c r="D4436" s="94">
        <v>1001.0</v>
      </c>
    </row>
    <row r="4437">
      <c r="A4437" s="40">
        <f t="array" ref="A4437">IFNA(index(PlayerValues!A:A,match(IFNA(vlookup(B4437,'Special Names'!A:B,2,FALSE),B4437),PlayerValues!E:E,0)),"N/A")</f>
        <v>15766</v>
      </c>
      <c r="B4437" s="4" t="s">
        <v>759</v>
      </c>
      <c r="C4437" s="4" t="s">
        <v>287</v>
      </c>
      <c r="D4437" s="94">
        <v>988.0</v>
      </c>
    </row>
    <row r="4438">
      <c r="A4438" s="40">
        <f t="array" ref="A4438">IFNA(index(PlayerValues!A:A,match(IFNA(vlookup(B4438,'Special Names'!A:B,2,FALSE),B4438),PlayerValues!E:E,0)),"N/A")</f>
        <v>16219</v>
      </c>
      <c r="B4438" s="4" t="s">
        <v>739</v>
      </c>
      <c r="C4438" s="4" t="s">
        <v>298</v>
      </c>
      <c r="D4438" s="94">
        <v>1351.0</v>
      </c>
    </row>
    <row r="4439">
      <c r="A4439" s="40">
        <f t="array" ref="A4439">IFNA(index(PlayerValues!A:A,match(IFNA(vlookup(B4439,'Special Names'!A:B,2,FALSE),B4439),PlayerValues!E:E,0)),"N/A")</f>
        <v>12263</v>
      </c>
      <c r="B4439" s="4" t="s">
        <v>697</v>
      </c>
      <c r="C4439" s="4" t="s">
        <v>298</v>
      </c>
      <c r="D4439" s="94">
        <v>1348.0</v>
      </c>
    </row>
    <row r="4440">
      <c r="A4440" s="40">
        <f t="array" ref="A4440">IFNA(index(PlayerValues!A:A,match(IFNA(vlookup(B4440,'Special Names'!A:B,2,FALSE),B4440),PlayerValues!E:E,0)),"N/A")</f>
        <v>17466</v>
      </c>
      <c r="B4440" s="4" t="s">
        <v>492</v>
      </c>
      <c r="C4440" s="4" t="s">
        <v>283</v>
      </c>
      <c r="D4440" s="94">
        <v>970.0</v>
      </c>
    </row>
    <row r="4441">
      <c r="A4441" s="40">
        <f t="array" ref="A4441">IFNA(index(PlayerValues!A:A,match(IFNA(vlookup(B4441,'Special Names'!A:B,2,FALSE),B4441),PlayerValues!E:E,0)),"N/A")</f>
        <v>16176</v>
      </c>
      <c r="B4441" s="4" t="s">
        <v>812</v>
      </c>
      <c r="C4441" s="4" t="s">
        <v>278</v>
      </c>
      <c r="D4441" s="94">
        <v>967.0</v>
      </c>
    </row>
    <row r="4442">
      <c r="A4442" s="40">
        <f t="array" ref="A4442">IFNA(index(PlayerValues!A:A,match(IFNA(vlookup(B4442,'Special Names'!A:B,2,FALSE),B4442),PlayerValues!E:E,0)),"N/A")</f>
        <v>16416</v>
      </c>
      <c r="B4442" s="4" t="s">
        <v>752</v>
      </c>
      <c r="C4442" s="4" t="s">
        <v>287</v>
      </c>
      <c r="D4442" s="94">
        <v>966.0</v>
      </c>
    </row>
    <row r="4443">
      <c r="A4443" s="40">
        <f t="array" ref="A4443">IFNA(index(PlayerValues!A:A,match(IFNA(vlookup(B4443,'Special Names'!A:B,2,FALSE),B4443),PlayerValues!E:E,0)),"N/A")</f>
        <v>14799</v>
      </c>
      <c r="B4443" s="4" t="s">
        <v>829</v>
      </c>
      <c r="C4443" s="4" t="s">
        <v>278</v>
      </c>
      <c r="D4443" s="94">
        <v>965.0</v>
      </c>
    </row>
    <row r="4444">
      <c r="A4444" s="40">
        <f t="array" ref="A4444">IFNA(index(PlayerValues!A:A,match(IFNA(vlookup(B4444,'Special Names'!A:B,2,FALSE),B4444),PlayerValues!E:E,0)),"N/A")</f>
        <v>15263</v>
      </c>
      <c r="B4444" s="4" t="s">
        <v>804</v>
      </c>
      <c r="C4444" s="4" t="s">
        <v>278</v>
      </c>
      <c r="D4444" s="94">
        <v>962.0</v>
      </c>
    </row>
    <row r="4445">
      <c r="A4445" s="40">
        <f t="array" ref="A4445">IFNA(index(PlayerValues!A:A,match(IFNA(vlookup(B4445,'Special Names'!A:B,2,FALSE),B4445),PlayerValues!E:E,0)),"N/A")</f>
        <v>17468</v>
      </c>
      <c r="B4445" s="4" t="s">
        <v>514</v>
      </c>
      <c r="C4445" s="4" t="s">
        <v>283</v>
      </c>
      <c r="D4445" s="94">
        <v>959.0</v>
      </c>
    </row>
    <row r="4446">
      <c r="A4446" s="40">
        <f t="array" ref="A4446">IFNA(index(PlayerValues!A:A,match(IFNA(vlookup(B4446,'Special Names'!A:B,2,FALSE),B4446),PlayerValues!E:E,0)),"N/A")</f>
        <v>17479</v>
      </c>
      <c r="B4446" s="4" t="s">
        <v>756</v>
      </c>
      <c r="C4446" s="4" t="s">
        <v>278</v>
      </c>
      <c r="D4446" s="94">
        <v>959.0</v>
      </c>
    </row>
    <row r="4447">
      <c r="A4447" s="40">
        <f t="array" ref="A4447">IFNA(index(PlayerValues!A:A,match(IFNA(vlookup(B4447,'Special Names'!A:B,2,FALSE),B4447),PlayerValues!E:E,0)),"N/A")</f>
        <v>16773</v>
      </c>
      <c r="B4447" s="4" t="s">
        <v>783</v>
      </c>
      <c r="C4447" s="4" t="s">
        <v>278</v>
      </c>
      <c r="D4447" s="94">
        <v>957.0</v>
      </c>
    </row>
    <row r="4448">
      <c r="A4448" s="40">
        <f t="array" ref="A4448">IFNA(index(PlayerValues!A:A,match(IFNA(vlookup(B4448,'Special Names'!A:B,2,FALSE),B4448),PlayerValues!E:E,0)),"N/A")</f>
        <v>14849</v>
      </c>
      <c r="B4448" s="4" t="s">
        <v>733</v>
      </c>
      <c r="C4448" s="4" t="s">
        <v>287</v>
      </c>
      <c r="D4448" s="94">
        <v>956.0</v>
      </c>
    </row>
    <row r="4449">
      <c r="A4449" s="40">
        <f t="array" ref="A4449">IFNA(index(PlayerValues!A:A,match(IFNA(vlookup(B4449,'Special Names'!A:B,2,FALSE),B4449),PlayerValues!E:E,0)),"N/A")</f>
        <v>16751</v>
      </c>
      <c r="B4449" s="4" t="s">
        <v>762</v>
      </c>
      <c r="C4449" s="4" t="s">
        <v>287</v>
      </c>
      <c r="D4449" s="94">
        <v>956.0</v>
      </c>
    </row>
    <row r="4450">
      <c r="A4450" s="40">
        <f t="array" ref="A4450">IFNA(index(PlayerValues!A:A,match(IFNA(vlookup(B4450,'Special Names'!A:B,2,FALSE),B4450),PlayerValues!E:E,0)),"N/A")</f>
        <v>15723</v>
      </c>
      <c r="B4450" s="4" t="s">
        <v>798</v>
      </c>
      <c r="C4450" s="4" t="s">
        <v>278</v>
      </c>
      <c r="D4450" s="94">
        <v>948.0</v>
      </c>
    </row>
    <row r="4451">
      <c r="A4451" s="40">
        <f t="array" ref="A4451">IFNA(index(PlayerValues!A:A,match(IFNA(vlookup(B4451,'Special Names'!A:B,2,FALSE),B4451),PlayerValues!E:E,0)),"N/A")</f>
        <v>16624</v>
      </c>
      <c r="B4451" s="4" t="s">
        <v>796</v>
      </c>
      <c r="C4451" s="4" t="s">
        <v>287</v>
      </c>
      <c r="D4451" s="94">
        <v>945.0</v>
      </c>
    </row>
    <row r="4452">
      <c r="A4452" s="40">
        <f t="array" ref="A4452">IFNA(index(PlayerValues!A:A,match(IFNA(vlookup(B4452,'Special Names'!A:B,2,FALSE),B4452),PlayerValues!E:E,0)),"N/A")</f>
        <v>12785</v>
      </c>
      <c r="B4452" s="4" t="s">
        <v>772</v>
      </c>
      <c r="C4452" s="4" t="s">
        <v>287</v>
      </c>
      <c r="D4452" s="94">
        <v>942.0</v>
      </c>
    </row>
    <row r="4453">
      <c r="A4453" s="40">
        <f t="array" ref="A4453">IFNA(index(PlayerValues!A:A,match(IFNA(vlookup(B4453,'Special Names'!A:B,2,FALSE),B4453),PlayerValues!E:E,0)),"N/A")</f>
        <v>16599</v>
      </c>
      <c r="B4453" s="4" t="s">
        <v>737</v>
      </c>
      <c r="C4453" s="4" t="s">
        <v>278</v>
      </c>
      <c r="D4453" s="94">
        <v>923.0</v>
      </c>
    </row>
    <row r="4454">
      <c r="A4454" s="40">
        <f t="array" ref="A4454">IFNA(index(PlayerValues!A:A,match(IFNA(vlookup(B4454,'Special Names'!A:B,2,FALSE),B4454),PlayerValues!E:E,0)),"N/A")</f>
        <v>16159</v>
      </c>
      <c r="B4454" s="4" t="s">
        <v>819</v>
      </c>
      <c r="C4454" s="4" t="s">
        <v>283</v>
      </c>
      <c r="D4454" s="94">
        <v>921.0</v>
      </c>
    </row>
    <row r="4455">
      <c r="A4455" s="40">
        <f t="array" ref="A4455">IFNA(index(PlayerValues!A:A,match(IFNA(vlookup(B4455,'Special Names'!A:B,2,FALSE),B4455),PlayerValues!E:E,0)),"N/A")</f>
        <v>15804</v>
      </c>
      <c r="B4455" s="4" t="s">
        <v>821</v>
      </c>
      <c r="C4455" s="4" t="s">
        <v>298</v>
      </c>
      <c r="D4455" s="94">
        <v>1284.0</v>
      </c>
    </row>
    <row r="4456">
      <c r="A4456" s="40">
        <f t="array" ref="A4456">IFNA(index(PlayerValues!A:A,match(IFNA(vlookup(B4456,'Special Names'!A:B,2,FALSE),B4456),PlayerValues!E:E,0)),"N/A")</f>
        <v>13595</v>
      </c>
      <c r="B4456" s="4" t="s">
        <v>818</v>
      </c>
      <c r="C4456" s="4" t="s">
        <v>283</v>
      </c>
      <c r="D4456" s="94">
        <v>907.0</v>
      </c>
    </row>
    <row r="4457">
      <c r="A4457" s="40">
        <f t="array" ref="A4457">IFNA(index(PlayerValues!A:A,match(IFNA(vlookup(B4457,'Special Names'!A:B,2,FALSE),B4457),PlayerValues!E:E,0)),"N/A")</f>
        <v>17510</v>
      </c>
      <c r="B4457" s="4" t="s">
        <v>661</v>
      </c>
      <c r="C4457" s="4" t="s">
        <v>287</v>
      </c>
      <c r="D4457" s="94">
        <v>906.0</v>
      </c>
    </row>
    <row r="4458">
      <c r="A4458" s="40">
        <f t="array" ref="A4458">IFNA(index(PlayerValues!A:A,match(IFNA(vlookup(B4458,'Special Names'!A:B,2,FALSE),B4458),PlayerValues!E:E,0)),"N/A")</f>
        <v>15758</v>
      </c>
      <c r="B4458" s="4" t="s">
        <v>724</v>
      </c>
      <c r="C4458" s="4" t="s">
        <v>287</v>
      </c>
      <c r="D4458" s="94">
        <v>902.0</v>
      </c>
    </row>
    <row r="4459">
      <c r="A4459" s="40">
        <f t="array" ref="A4459">IFNA(index(PlayerValues!A:A,match(IFNA(vlookup(B4459,'Special Names'!A:B,2,FALSE),B4459),PlayerValues!E:E,0)),"N/A")</f>
        <v>16686</v>
      </c>
      <c r="B4459" s="4" t="s">
        <v>805</v>
      </c>
      <c r="C4459" s="4" t="s">
        <v>287</v>
      </c>
      <c r="D4459" s="94">
        <v>897.0</v>
      </c>
    </row>
    <row r="4460">
      <c r="A4460" s="40">
        <f t="array" ref="A4460">IFNA(index(PlayerValues!A:A,match(IFNA(vlookup(B4460,'Special Names'!A:B,2,FALSE),B4460),PlayerValues!E:E,0)),"N/A")</f>
        <v>17337</v>
      </c>
      <c r="B4460" s="4" t="s">
        <v>793</v>
      </c>
      <c r="C4460" s="4" t="s">
        <v>278</v>
      </c>
      <c r="D4460" s="94">
        <v>897.0</v>
      </c>
    </row>
    <row r="4461">
      <c r="A4461" s="40">
        <f t="array" ref="A4461">IFNA(index(PlayerValues!A:A,match(IFNA(vlookup(B4461,'Special Names'!A:B,2,FALSE),B4461),PlayerValues!E:E,0)),"N/A")</f>
        <v>14864</v>
      </c>
      <c r="B4461" s="4" t="s">
        <v>789</v>
      </c>
      <c r="C4461" s="4" t="s">
        <v>287</v>
      </c>
      <c r="D4461" s="94">
        <v>896.0</v>
      </c>
    </row>
    <row r="4462">
      <c r="A4462" s="40">
        <f t="array" ref="A4462">IFNA(index(PlayerValues!A:A,match(IFNA(vlookup(B4462,'Special Names'!A:B,2,FALSE),B4462),PlayerValues!E:E,0)),"N/A")</f>
        <v>14223</v>
      </c>
      <c r="B4462" s="4" t="s">
        <v>785</v>
      </c>
      <c r="C4462" s="4" t="s">
        <v>278</v>
      </c>
      <c r="D4462" s="94">
        <v>870.0</v>
      </c>
    </row>
    <row r="4463">
      <c r="A4463" s="40">
        <f t="array" ref="A4463">IFNA(index(PlayerValues!A:A,match(IFNA(vlookup(B4463,'Special Names'!A:B,2,FALSE),B4463),PlayerValues!E:E,0)),"N/A")</f>
        <v>13133</v>
      </c>
      <c r="B4463" s="4" t="s">
        <v>764</v>
      </c>
      <c r="C4463" s="4" t="s">
        <v>278</v>
      </c>
      <c r="D4463" s="94">
        <v>860.0</v>
      </c>
    </row>
    <row r="4464">
      <c r="A4464" s="40">
        <f t="array" ref="A4464">IFNA(index(PlayerValues!A:A,match(IFNA(vlookup(B4464,'Special Names'!A:B,2,FALSE),B4464),PlayerValues!E:E,0)),"N/A")</f>
        <v>16606</v>
      </c>
      <c r="B4464" s="4" t="s">
        <v>743</v>
      </c>
      <c r="C4464" s="4" t="s">
        <v>278</v>
      </c>
      <c r="D4464" s="94">
        <v>860.0</v>
      </c>
    </row>
    <row r="4465">
      <c r="A4465" s="40">
        <f t="array" ref="A4465">IFNA(index(PlayerValues!A:A,match(IFNA(vlookup(B4465,'Special Names'!A:B,2,FALSE),B4465),PlayerValues!E:E,0)),"N/A")</f>
        <v>14079</v>
      </c>
      <c r="B4465" s="4" t="s">
        <v>830</v>
      </c>
      <c r="C4465" s="4" t="s">
        <v>278</v>
      </c>
      <c r="D4465" s="94">
        <v>852.0</v>
      </c>
    </row>
    <row r="4466">
      <c r="A4466" s="40">
        <f t="array" ref="A4466">IFNA(index(PlayerValues!A:A,match(IFNA(vlookup(B4466,'Special Names'!A:B,2,FALSE),B4466),PlayerValues!E:E,0)),"N/A")</f>
        <v>15271</v>
      </c>
      <c r="B4466" s="4" t="s">
        <v>741</v>
      </c>
      <c r="C4466" s="4" t="s">
        <v>278</v>
      </c>
      <c r="D4466" s="94">
        <v>841.0</v>
      </c>
    </row>
    <row r="4467">
      <c r="A4467" s="40">
        <f t="array" ref="A4467">IFNA(index(PlayerValues!A:A,match(IFNA(vlookup(B4467,'Special Names'!A:B,2,FALSE),B4467),PlayerValues!E:E,0)),"N/A")</f>
        <v>17486</v>
      </c>
      <c r="B4467" s="4" t="s">
        <v>695</v>
      </c>
      <c r="C4467" s="4" t="s">
        <v>278</v>
      </c>
      <c r="D4467" s="94">
        <v>822.0</v>
      </c>
    </row>
    <row r="4468">
      <c r="A4468" s="40">
        <f t="array" ref="A4468">IFNA(index(PlayerValues!A:A,match(IFNA(vlookup(B4468,'Special Names'!A:B,2,FALSE),B4468),PlayerValues!E:E,0)),"N/A")</f>
        <v>13610</v>
      </c>
      <c r="B4468" s="4" t="s">
        <v>825</v>
      </c>
      <c r="C4468" s="4" t="s">
        <v>278</v>
      </c>
      <c r="D4468" s="94">
        <v>810.0</v>
      </c>
    </row>
    <row r="4469">
      <c r="A4469" s="40">
        <f t="array" ref="A4469">IFNA(index(PlayerValues!A:A,match(IFNA(vlookup(B4469,'Special Names'!A:B,2,FALSE),B4469),PlayerValues!E:E,0)),"N/A")</f>
        <v>17519</v>
      </c>
      <c r="B4469" s="4" t="s">
        <v>593</v>
      </c>
      <c r="C4469" s="4" t="s">
        <v>287</v>
      </c>
      <c r="D4469" s="94">
        <v>806.0</v>
      </c>
    </row>
    <row r="4470">
      <c r="A4470" s="40">
        <f t="array" ref="A4470">IFNA(index(PlayerValues!A:A,match(IFNA(vlookup(B4470,'Special Names'!A:B,2,FALSE),B4470),PlayerValues!E:E,0)),"N/A")</f>
        <v>13143</v>
      </c>
      <c r="B4470" s="4" t="s">
        <v>786</v>
      </c>
      <c r="C4470" s="4" t="s">
        <v>278</v>
      </c>
      <c r="D4470" s="94">
        <v>786.0</v>
      </c>
    </row>
    <row r="4471">
      <c r="A4471" s="40">
        <f t="array" ref="A4471">IFNA(index(PlayerValues!A:A,match(IFNA(vlookup(B4471,'Special Names'!A:B,2,FALSE),B4471),PlayerValues!E:E,0)),"N/A")</f>
        <v>16623</v>
      </c>
      <c r="B4471" s="4" t="s">
        <v>803</v>
      </c>
      <c r="C4471" s="4" t="s">
        <v>287</v>
      </c>
      <c r="D4471" s="94">
        <v>753.0</v>
      </c>
    </row>
    <row r="4472">
      <c r="A4472" s="40">
        <f t="array" ref="A4472">IFNA(index(PlayerValues!A:A,match(IFNA(vlookup(B4472,'Special Names'!A:B,2,FALSE),B4472),PlayerValues!E:E,0)),"N/A")</f>
        <v>16957</v>
      </c>
      <c r="B4472" s="4" t="s">
        <v>806</v>
      </c>
      <c r="C4472" s="4" t="s">
        <v>278</v>
      </c>
      <c r="D4472" s="94">
        <v>745.0</v>
      </c>
    </row>
    <row r="4473">
      <c r="A4473" s="40">
        <f t="array" ref="A4473">IFNA(index(PlayerValues!A:A,match(IFNA(vlookup(B4473,'Special Names'!A:B,2,FALSE),B4473),PlayerValues!E:E,0)),"N/A")</f>
        <v>17487</v>
      </c>
      <c r="B4473" s="4" t="s">
        <v>692</v>
      </c>
      <c r="C4473" s="4" t="s">
        <v>278</v>
      </c>
      <c r="D4473" s="94">
        <v>724.0</v>
      </c>
    </row>
    <row r="4474">
      <c r="A4474" s="40">
        <f t="array" ref="A4474">IFNA(index(PlayerValues!A:A,match(IFNA(vlookup(B4474,'Special Names'!A:B,2,FALSE),B4474),PlayerValues!E:E,0)),"N/A")</f>
        <v>11232</v>
      </c>
      <c r="B4474" s="4" t="s">
        <v>826</v>
      </c>
      <c r="C4474" s="4" t="s">
        <v>287</v>
      </c>
      <c r="D4474" s="94">
        <v>708.0</v>
      </c>
    </row>
    <row r="4475">
      <c r="A4475" s="40">
        <f t="array" ref="A4475">IFNA(index(PlayerValues!A:A,match(IFNA(vlookup(B4475,'Special Names'!A:B,2,FALSE),B4475),PlayerValues!E:E,0)),"N/A")</f>
        <v>17567</v>
      </c>
      <c r="B4475" s="4" t="s">
        <v>571</v>
      </c>
      <c r="C4475" s="4" t="s">
        <v>298</v>
      </c>
      <c r="D4475" s="94">
        <v>1062.0</v>
      </c>
    </row>
    <row r="4476">
      <c r="A4476" s="40">
        <f t="array" ref="A4476">IFNA(index(PlayerValues!A:A,match(IFNA(vlookup(B4476,'Special Names'!A:B,2,FALSE),B4476),PlayerValues!E:E,0)),"N/A")</f>
        <v>15796</v>
      </c>
      <c r="B4476" s="4" t="s">
        <v>794</v>
      </c>
      <c r="C4476" s="4" t="s">
        <v>298</v>
      </c>
      <c r="D4476" s="94">
        <v>1036.0</v>
      </c>
    </row>
    <row r="4477">
      <c r="A4477" s="40">
        <f t="array" ref="A4477">IFNA(index(PlayerValues!A:A,match(IFNA(vlookup(B4477,'Special Names'!A:B,2,FALSE),B4477),PlayerValues!E:E,0)),"N/A")</f>
        <v>17485</v>
      </c>
      <c r="B4477" s="4" t="s">
        <v>522</v>
      </c>
      <c r="C4477" s="4" t="s">
        <v>278</v>
      </c>
      <c r="D4477" s="94">
        <v>642.0</v>
      </c>
    </row>
    <row r="4478">
      <c r="A4478" s="40">
        <f t="array" ref="A4478">IFNA(index(PlayerValues!A:A,match(IFNA(vlookup(B4478,'Special Names'!A:B,2,FALSE),B4478),PlayerValues!E:E,0)),"N/A")</f>
        <v>17475</v>
      </c>
      <c r="B4478" s="4" t="s">
        <v>615</v>
      </c>
      <c r="C4478" s="4" t="s">
        <v>278</v>
      </c>
      <c r="D4478" s="94">
        <v>638.0</v>
      </c>
    </row>
    <row r="4479">
      <c r="A4479" s="40">
        <f t="array" ref="A4479">IFNA(index(PlayerValues!A:A,match(IFNA(vlookup(B4479,'Special Names'!A:B,2,FALSE),B4479),PlayerValues!E:E,0)),"N/A")</f>
        <v>17038</v>
      </c>
      <c r="B4479" s="4" t="s">
        <v>774</v>
      </c>
      <c r="C4479" s="4" t="s">
        <v>283</v>
      </c>
      <c r="D4479" s="94">
        <v>606.0</v>
      </c>
    </row>
    <row r="4480">
      <c r="A4480" s="40">
        <f t="array" ref="A4480">IFNA(index(PlayerValues!A:A,match(IFNA(vlookup(B4480,'Special Names'!A:B,2,FALSE),B4480),PlayerValues!E:E,0)),"N/A")</f>
        <v>13176</v>
      </c>
      <c r="B4480" s="4" t="s">
        <v>807</v>
      </c>
      <c r="C4480" s="4" t="s">
        <v>287</v>
      </c>
      <c r="D4480" s="94">
        <v>594.0</v>
      </c>
    </row>
    <row r="4481">
      <c r="A4481" s="40">
        <f t="array" ref="A4481">IFNA(index(PlayerValues!A:A,match(IFNA(vlookup(B4481,'Special Names'!A:B,2,FALSE),B4481),PlayerValues!E:E,0)),"N/A")</f>
        <v>17243</v>
      </c>
      <c r="B4481" s="4" t="s">
        <v>810</v>
      </c>
      <c r="C4481" s="4" t="s">
        <v>298</v>
      </c>
      <c r="D4481" s="94">
        <v>931.0</v>
      </c>
    </row>
    <row r="4482">
      <c r="A4482" s="40">
        <f t="array" ref="A4482">IFNA(index(PlayerValues!A:A,match(IFNA(vlookup(B4482,'Special Names'!A:B,2,FALSE),B4482),PlayerValues!E:E,0)),"N/A")</f>
        <v>16413</v>
      </c>
      <c r="B4482" s="4" t="s">
        <v>781</v>
      </c>
      <c r="C4482" s="4" t="s">
        <v>287</v>
      </c>
      <c r="D4482" s="94">
        <v>581.0</v>
      </c>
    </row>
    <row r="4483">
      <c r="A4483" s="40">
        <f t="array" ref="A4483">IFNA(index(PlayerValues!A:A,match(IFNA(vlookup(B4483,'Special Names'!A:B,2,FALSE),B4483),PlayerValues!E:E,0)),"N/A")</f>
        <v>14358</v>
      </c>
      <c r="B4483" s="4" t="s">
        <v>813</v>
      </c>
      <c r="C4483" s="4" t="s">
        <v>283</v>
      </c>
      <c r="D4483" s="94">
        <v>578.0</v>
      </c>
    </row>
    <row r="4484">
      <c r="A4484" s="40">
        <f t="array" ref="A4484">IFNA(index(PlayerValues!A:A,match(IFNA(vlookup(B4484,'Special Names'!A:B,2,FALSE),B4484),PlayerValues!E:E,0)),"N/A")</f>
        <v>13763</v>
      </c>
      <c r="B4484" s="4" t="s">
        <v>831</v>
      </c>
      <c r="C4484" s="4" t="s">
        <v>298</v>
      </c>
      <c r="D4484" s="94">
        <v>927.0</v>
      </c>
    </row>
    <row r="4485">
      <c r="A4485" s="40">
        <f t="array" ref="A4485">IFNA(index(PlayerValues!A:A,match(IFNA(vlookup(B4485,'Special Names'!A:B,2,FALSE),B4485),PlayerValues!E:E,0)),"N/A")</f>
        <v>17545</v>
      </c>
      <c r="B4485" s="4" t="s">
        <v>719</v>
      </c>
      <c r="C4485" s="4" t="s">
        <v>298</v>
      </c>
      <c r="D4485" s="94">
        <v>924.0</v>
      </c>
    </row>
    <row r="4486">
      <c r="A4486" s="40">
        <f t="array" ref="A4486">IFNA(index(PlayerValues!A:A,match(IFNA(vlookup(B4486,'Special Names'!A:B,2,FALSE),B4486),PlayerValues!E:E,0)),"N/A")</f>
        <v>14875</v>
      </c>
      <c r="B4486" s="4" t="s">
        <v>820</v>
      </c>
      <c r="C4486" s="4" t="s">
        <v>298</v>
      </c>
      <c r="D4486" s="94">
        <v>923.0</v>
      </c>
    </row>
    <row r="4487">
      <c r="A4487" s="40">
        <f t="array" ref="A4487">IFNA(index(PlayerValues!A:A,match(IFNA(vlookup(B4487,'Special Names'!A:B,2,FALSE),B4487),PlayerValues!E:E,0)),"N/A")</f>
        <v>12187</v>
      </c>
      <c r="B4487" s="4" t="s">
        <v>832</v>
      </c>
      <c r="C4487" s="4" t="s">
        <v>287</v>
      </c>
      <c r="D4487" s="94">
        <v>572.0</v>
      </c>
    </row>
    <row r="4488">
      <c r="A4488" s="40">
        <f t="array" ref="A4488">IFNA(index(PlayerValues!A:A,match(IFNA(vlookup(B4488,'Special Names'!A:B,2,FALSE),B4488),PlayerValues!E:E,0)),"N/A")</f>
        <v>15285</v>
      </c>
      <c r="B4488" s="4" t="s">
        <v>792</v>
      </c>
      <c r="C4488" s="4" t="s">
        <v>287</v>
      </c>
      <c r="D4488" s="94">
        <v>572.0</v>
      </c>
    </row>
    <row r="4489">
      <c r="A4489" s="40">
        <f t="array" ref="A4489">IFNA(index(PlayerValues!A:A,match(IFNA(vlookup(B4489,'Special Names'!A:B,2,FALSE),B4489),PlayerValues!E:E,0)),"N/A")</f>
        <v>16613</v>
      </c>
      <c r="B4489" s="4" t="s">
        <v>782</v>
      </c>
      <c r="C4489" s="4" t="s">
        <v>278</v>
      </c>
      <c r="D4489" s="94">
        <v>572.0</v>
      </c>
    </row>
    <row r="4490">
      <c r="A4490" s="40">
        <f t="array" ref="A4490">IFNA(index(PlayerValues!A:A,match(IFNA(vlookup(B4490,'Special Names'!A:B,2,FALSE),B4490),PlayerValues!E:E,0)),"N/A")</f>
        <v>17282</v>
      </c>
      <c r="B4490" s="4" t="s">
        <v>833</v>
      </c>
      <c r="C4490" s="4" t="s">
        <v>283</v>
      </c>
      <c r="D4490" s="94">
        <v>572.0</v>
      </c>
    </row>
    <row r="4491">
      <c r="A4491" s="40">
        <f t="array" ref="A4491">IFNA(index(PlayerValues!A:A,match(IFNA(vlookup(B4491,'Special Names'!A:B,2,FALSE),B4491),PlayerValues!E:E,0)),"N/A")</f>
        <v>14239</v>
      </c>
      <c r="B4491" s="4" t="s">
        <v>824</v>
      </c>
      <c r="C4491" s="4" t="s">
        <v>298</v>
      </c>
      <c r="D4491" s="94">
        <v>924.0</v>
      </c>
    </row>
    <row r="4492">
      <c r="A4492" s="40">
        <f t="array" ref="A4492">IFNA(index(PlayerValues!A:A,match(IFNA(vlookup(B4492,'Special Names'!A:B,2,FALSE),B4492),PlayerValues!E:E,0)),"N/A")</f>
        <v>17521</v>
      </c>
      <c r="B4492" s="4" t="s">
        <v>573</v>
      </c>
      <c r="C4492" s="4" t="s">
        <v>287</v>
      </c>
      <c r="D4492" s="94">
        <v>454.0</v>
      </c>
    </row>
    <row r="4493">
      <c r="A4493" s="40">
        <f t="array" ref="A4493">IFNA(index(PlayerValues!A:A,match(IFNA(vlookup(B4493,'Special Names'!A:B,2,FALSE),B4493),PlayerValues!E:E,0)),"N/A")</f>
        <v>17548</v>
      </c>
      <c r="B4493" s="4" t="s">
        <v>594</v>
      </c>
      <c r="C4493" s="4" t="s">
        <v>298</v>
      </c>
      <c r="D4493" s="94">
        <v>781.0</v>
      </c>
    </row>
    <row r="4494">
      <c r="A4494" s="40">
        <f t="array" ref="A4494">IFNA(index(PlayerValues!A:A,match(IFNA(vlookup(B4494,'Special Names'!A:B,2,FALSE),B4494),PlayerValues!E:E,0)),"N/A")</f>
        <v>17529</v>
      </c>
      <c r="B4494" s="4" t="s">
        <v>608</v>
      </c>
      <c r="C4494" s="4" t="s">
        <v>287</v>
      </c>
      <c r="D4494" s="94">
        <v>352.0</v>
      </c>
    </row>
    <row r="4495">
      <c r="A4495" s="40">
        <f t="array" ref="A4495">IFNA(index(PlayerValues!A:A,match(IFNA(vlookup(B4495,'Special Names'!A:B,2,FALSE),B4495),PlayerValues!E:E,0)),"N/A")</f>
        <v>17607</v>
      </c>
      <c r="B4495" s="4" t="s">
        <v>526</v>
      </c>
      <c r="C4495" s="4" t="s">
        <v>298</v>
      </c>
      <c r="D4495" s="94">
        <v>676.0</v>
      </c>
    </row>
    <row r="4496">
      <c r="A4496" s="40">
        <f t="array" ref="A4496">IFNA(index(PlayerValues!A:A,match(IFNA(vlookup(B4496,'Special Names'!A:B,2,FALSE),B4496),PlayerValues!E:E,0)),"N/A")</f>
        <v>17599</v>
      </c>
      <c r="B4496" s="4" t="s">
        <v>496</v>
      </c>
      <c r="C4496" s="4" t="s">
        <v>287</v>
      </c>
      <c r="D4496" s="94">
        <v>224.0</v>
      </c>
    </row>
    <row r="4497">
      <c r="A4497" s="40">
        <f t="array" ref="A4497">IFNA(index(PlayerValues!A:A,match(IFNA(vlookup(B4497,'Special Names'!A:B,2,FALSE),B4497),PlayerValues!E:E,0)),"N/A")</f>
        <v>17549</v>
      </c>
      <c r="B4497" s="4" t="s">
        <v>720</v>
      </c>
      <c r="C4497" s="4" t="s">
        <v>298</v>
      </c>
      <c r="D4497" s="94">
        <v>651.0</v>
      </c>
    </row>
    <row r="4498">
      <c r="A4498" s="40">
        <f t="array" ref="A4498">IFNA(index(PlayerValues!A:A,match(IFNA(vlookup(B4498,'Special Names'!A:B,2,FALSE),B4498),PlayerValues!E:E,0)),"N/A")</f>
        <v>17685</v>
      </c>
      <c r="B4498" s="4" t="s">
        <v>630</v>
      </c>
      <c r="C4498" s="4" t="s">
        <v>278</v>
      </c>
      <c r="D4498" s="94">
        <v>212.0</v>
      </c>
    </row>
    <row r="4499">
      <c r="A4499" s="40">
        <f t="array" ref="A4499">IFNA(index(PlayerValues!A:A,match(IFNA(vlookup(B4499,'Special Names'!A:B,2,FALSE),B4499),PlayerValues!E:E,0)),"N/A")</f>
        <v>17654</v>
      </c>
      <c r="B4499" s="4" t="s">
        <v>767</v>
      </c>
      <c r="C4499" s="4" t="s">
        <v>283</v>
      </c>
      <c r="D4499" s="94">
        <v>123.0</v>
      </c>
    </row>
    <row r="4500">
      <c r="A4500" s="40">
        <f t="array" ref="A4500">IFNA(index(PlayerValues!A:A,match(IFNA(vlookup(B4500,'Special Names'!A:B,2,FALSE),B4500),PlayerValues!E:E,0)),"N/A")</f>
        <v>17591</v>
      </c>
      <c r="B4500" s="4" t="s">
        <v>834</v>
      </c>
      <c r="C4500" s="4" t="s">
        <v>298</v>
      </c>
      <c r="D4500" s="94">
        <v>541.0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9999.0</v>
      </c>
    </row>
    <row r="4502">
      <c r="A4502" s="40">
        <f t="array" ref="A4502">IFNA(index(PlayerValues!A:A,match(IFNA(vlookup(B4502,'Special Names'!A:B,2,FALSE),B4502),PlayerValues!E:E,0)),"N/A")</f>
        <v>16161</v>
      </c>
      <c r="B4502" s="4" t="s">
        <v>277</v>
      </c>
      <c r="C4502" s="4" t="s">
        <v>278</v>
      </c>
      <c r="D4502" s="94">
        <v>9992.0</v>
      </c>
    </row>
    <row r="4503">
      <c r="A4503" s="40">
        <f t="array" ref="A4503">IFNA(index(PlayerValues!A:A,match(IFNA(vlookup(B4503,'Special Names'!A:B,2,FALSE),B4503),PlayerValues!E:E,0)),"N/A")</f>
        <v>15281</v>
      </c>
      <c r="B4503" s="4" t="s">
        <v>286</v>
      </c>
      <c r="C4503" s="4" t="s">
        <v>287</v>
      </c>
      <c r="D4503" s="94">
        <v>9893.0</v>
      </c>
    </row>
    <row r="4504">
      <c r="A4504" s="40">
        <f t="array" ref="A4504">IFNA(index(PlayerValues!A:A,match(IFNA(vlookup(B4504,'Special Names'!A:B,2,FALSE),B4504),PlayerValues!E:E,0)),"N/A")</f>
        <v>16185</v>
      </c>
      <c r="B4504" s="4" t="s">
        <v>290</v>
      </c>
      <c r="C4504" s="4" t="s">
        <v>287</v>
      </c>
      <c r="D4504" s="94">
        <v>9873.0</v>
      </c>
    </row>
    <row r="4505">
      <c r="A4505" s="40">
        <f t="array" ref="A4505">IFNA(index(PlayerValues!A:A,match(IFNA(vlookup(B4505,'Special Names'!A:B,2,FALSE),B4505),PlayerValues!E:E,0)),"N/A")</f>
        <v>16162</v>
      </c>
      <c r="B4505" s="4" t="s">
        <v>281</v>
      </c>
      <c r="C4505" s="4" t="s">
        <v>278</v>
      </c>
      <c r="D4505" s="94">
        <v>9605.0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9504.0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8579.0</v>
      </c>
    </row>
    <row r="4508">
      <c r="A4508" s="40">
        <f t="array" ref="A4508">IFNA(index(PlayerValues!A:A,match(IFNA(vlookup(B4508,'Special Names'!A:B,2,FALSE),B4508),PlayerValues!E:E,0)),"N/A")</f>
        <v>16641</v>
      </c>
      <c r="B4508" s="4" t="s">
        <v>297</v>
      </c>
      <c r="C4508" s="4" t="s">
        <v>298</v>
      </c>
      <c r="D4508" s="94">
        <v>8802.0</v>
      </c>
    </row>
    <row r="4509">
      <c r="A4509" s="40">
        <f t="array" ref="A4509">IFNA(index(PlayerValues!A:A,match(IFNA(vlookup(B4509,'Special Names'!A:B,2,FALSE),B4509),PlayerValues!E:E,0)),"N/A")</f>
        <v>16581</v>
      </c>
      <c r="B4509" s="4" t="s">
        <v>315</v>
      </c>
      <c r="C4509" s="4" t="s">
        <v>283</v>
      </c>
      <c r="D4509" s="94">
        <v>7866.0</v>
      </c>
    </row>
    <row r="4510">
      <c r="A4510" s="40">
        <f t="array" ref="A4510">IFNA(index(PlayerValues!A:A,match(IFNA(vlookup(B4510,'Special Names'!A:B,2,FALSE),B4510),PlayerValues!E:E,0)),"N/A")</f>
        <v>16615</v>
      </c>
      <c r="B4510" s="4" t="s">
        <v>309</v>
      </c>
      <c r="C4510" s="4" t="s">
        <v>287</v>
      </c>
      <c r="D4510" s="94">
        <v>7858.0</v>
      </c>
    </row>
    <row r="4511">
      <c r="A4511" s="40">
        <f t="array" ref="A4511">IFNA(index(PlayerValues!A:A,match(IFNA(vlookup(B4511,'Special Names'!A:B,2,FALSE),B4511),PlayerValues!E:E,0)),"N/A")</f>
        <v>16579</v>
      </c>
      <c r="B4511" s="4" t="s">
        <v>302</v>
      </c>
      <c r="C4511" s="4" t="s">
        <v>283</v>
      </c>
      <c r="D4511" s="94">
        <v>7796.0</v>
      </c>
    </row>
    <row r="4512">
      <c r="A4512" s="40">
        <f t="array" ref="A4512">IFNA(index(PlayerValues!A:A,match(IFNA(vlookup(B4512,'Special Names'!A:B,2,FALSE),B4512),PlayerValues!E:E,0)),"N/A")</f>
        <v>14836</v>
      </c>
      <c r="B4512" s="4" t="s">
        <v>306</v>
      </c>
      <c r="C4512" s="4" t="s">
        <v>287</v>
      </c>
      <c r="D4512" s="94">
        <v>7766.0</v>
      </c>
    </row>
    <row r="4513">
      <c r="A4513" s="40">
        <f t="array" ref="A4513">IFNA(index(PlayerValues!A:A,match(IFNA(vlookup(B4513,'Special Names'!A:B,2,FALSE),B4513),PlayerValues!E:E,0)),"N/A")</f>
        <v>15287</v>
      </c>
      <c r="B4513" s="4" t="s">
        <v>299</v>
      </c>
      <c r="C4513" s="4" t="s">
        <v>287</v>
      </c>
      <c r="D4513" s="94">
        <v>7693.0</v>
      </c>
    </row>
    <row r="4514">
      <c r="A4514" s="40">
        <f t="array" ref="A4514">IFNA(index(PlayerValues!A:A,match(IFNA(vlookup(B4514,'Special Names'!A:B,2,FALSE),B4514),PlayerValues!E:E,0)),"N/A")</f>
        <v>13593</v>
      </c>
      <c r="B4514" s="4" t="s">
        <v>305</v>
      </c>
      <c r="C4514" s="4" t="s">
        <v>283</v>
      </c>
      <c r="D4514" s="94">
        <v>7671.0</v>
      </c>
    </row>
    <row r="4515">
      <c r="A4515" s="40">
        <f t="array" ref="A4515">IFNA(index(PlayerValues!A:A,match(IFNA(vlookup(B4515,'Special Names'!A:B,2,FALSE),B4515),PlayerValues!E:E,0)),"N/A")</f>
        <v>17472</v>
      </c>
      <c r="B4515" s="4" t="s">
        <v>310</v>
      </c>
      <c r="C4515" s="4" t="s">
        <v>278</v>
      </c>
      <c r="D4515" s="94">
        <v>7586.0</v>
      </c>
    </row>
    <row r="4516">
      <c r="A4516" s="40">
        <f t="array" ref="A4516">IFNA(index(PlayerValues!A:A,match(IFNA(vlookup(B4516,'Special Names'!A:B,2,FALSE),B4516),PlayerValues!E:E,0)),"N/A")</f>
        <v>17042</v>
      </c>
      <c r="B4516" s="4" t="s">
        <v>314</v>
      </c>
      <c r="C4516" s="4" t="s">
        <v>278</v>
      </c>
      <c r="D4516" s="94">
        <v>7569.0</v>
      </c>
    </row>
    <row r="4517">
      <c r="A4517" s="40">
        <f t="array" ref="A4517">IFNA(index(PlayerValues!A:A,match(IFNA(vlookup(B4517,'Special Names'!A:B,2,FALSE),B4517),PlayerValues!E:E,0)),"N/A")</f>
        <v>15794</v>
      </c>
      <c r="B4517" s="4" t="s">
        <v>313</v>
      </c>
      <c r="C4517" s="4" t="s">
        <v>298</v>
      </c>
      <c r="D4517" s="94">
        <v>8371.0</v>
      </c>
    </row>
    <row r="4518">
      <c r="A4518" s="40">
        <f t="array" ref="A4518">IFNA(index(PlayerValues!A:A,match(IFNA(vlookup(B4518,'Special Names'!A:B,2,FALSE),B4518),PlayerValues!E:E,0)),"N/A")</f>
        <v>14777</v>
      </c>
      <c r="B4518" s="4" t="s">
        <v>318</v>
      </c>
      <c r="C4518" s="4" t="s">
        <v>283</v>
      </c>
      <c r="D4518" s="94">
        <v>7544.0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7315.0</v>
      </c>
    </row>
    <row r="4520">
      <c r="A4520" s="40" t="str">
        <f t="array" ref="A4520">IFNA(index(PlayerValues!A:A,match(IFNA(vlookup(B4520,'Special Names'!A:B,2,FALSE),B4520),PlayerValues!E:E,0)),"N/A")</f>
        <v>N/A</v>
      </c>
      <c r="B4520" s="4" t="s">
        <v>92</v>
      </c>
      <c r="C4520" s="4" t="s">
        <v>325</v>
      </c>
      <c r="D4520" s="94">
        <v>7022.0</v>
      </c>
    </row>
    <row r="4521">
      <c r="A4521" s="40">
        <f t="array" ref="A4521">IFNA(index(PlayerValues!A:A,match(IFNA(vlookup(B4521,'Special Names'!A:B,2,FALSE),B4521),PlayerValues!E:E,0)),"N/A")</f>
        <v>15751</v>
      </c>
      <c r="B4521" s="4" t="s">
        <v>328</v>
      </c>
      <c r="C4521" s="4" t="s">
        <v>287</v>
      </c>
      <c r="D4521" s="94">
        <v>6916.0</v>
      </c>
    </row>
    <row r="4522">
      <c r="A4522" s="40">
        <f t="array" ref="A4522">IFNA(index(PlayerValues!A:A,match(IFNA(vlookup(B4522,'Special Names'!A:B,2,FALSE),B4522),PlayerValues!E:E,0)),"N/A")</f>
        <v>16167</v>
      </c>
      <c r="B4522" s="4" t="s">
        <v>323</v>
      </c>
      <c r="C4522" s="4" t="s">
        <v>278</v>
      </c>
      <c r="D4522" s="94">
        <v>6862.0</v>
      </c>
    </row>
    <row r="4523">
      <c r="A4523" s="40">
        <f t="array" ref="A4523">IFNA(index(PlayerValues!A:A,match(IFNA(vlookup(B4523,'Special Names'!A:B,2,FALSE),B4523),PlayerValues!E:E,0)),"N/A")</f>
        <v>13116</v>
      </c>
      <c r="B4523" s="4" t="s">
        <v>345</v>
      </c>
      <c r="C4523" s="4" t="s">
        <v>283</v>
      </c>
      <c r="D4523" s="94">
        <v>6837.0</v>
      </c>
    </row>
    <row r="4524">
      <c r="A4524" s="40">
        <f t="array" ref="A4524">IFNA(index(PlayerValues!A:A,match(IFNA(vlookup(B4524,'Special Names'!A:B,2,FALSE),B4524),PlayerValues!E:E,0)),"N/A")</f>
        <v>14779</v>
      </c>
      <c r="B4524" s="4" t="s">
        <v>327</v>
      </c>
      <c r="C4524" s="4" t="s">
        <v>283</v>
      </c>
      <c r="D4524" s="94">
        <v>6796.0</v>
      </c>
    </row>
    <row r="4525">
      <c r="A4525" s="40">
        <f t="array" ref="A4525">IFNA(index(PlayerValues!A:A,match(IFNA(vlookup(B4525,'Special Names'!A:B,2,FALSE),B4525),PlayerValues!E:E,0)),"N/A")</f>
        <v>17044</v>
      </c>
      <c r="B4525" s="4" t="s">
        <v>322</v>
      </c>
      <c r="C4525" s="4" t="s">
        <v>278</v>
      </c>
      <c r="D4525" s="94">
        <v>6694.0</v>
      </c>
    </row>
    <row r="4526">
      <c r="A4526" s="40">
        <f t="array" ref="A4526">IFNA(index(PlayerValues!A:A,match(IFNA(vlookup(B4526,'Special Names'!A:B,2,FALSE),B4526),PlayerValues!E:E,0)),"N/A")</f>
        <v>17032</v>
      </c>
      <c r="B4526" s="4" t="s">
        <v>348</v>
      </c>
      <c r="C4526" s="4" t="s">
        <v>283</v>
      </c>
      <c r="D4526" s="94">
        <v>6632.0</v>
      </c>
    </row>
    <row r="4527">
      <c r="A4527" s="40">
        <f t="array" ref="A4527">IFNA(index(PlayerValues!A:A,match(IFNA(vlookup(B4527,'Special Names'!A:B,2,FALSE),B4527),PlayerValues!E:E,0)),"N/A")</f>
        <v>17071</v>
      </c>
      <c r="B4527" s="4" t="s">
        <v>341</v>
      </c>
      <c r="C4527" s="4" t="s">
        <v>287</v>
      </c>
      <c r="D4527" s="94">
        <v>6627.0</v>
      </c>
    </row>
    <row r="4528">
      <c r="A4528" s="40">
        <f t="array" ref="A4528">IFNA(index(PlayerValues!A:A,match(IFNA(vlookup(B4528,'Special Names'!A:B,2,FALSE),B4528),PlayerValues!E:E,0)),"N/A")</f>
        <v>16582</v>
      </c>
      <c r="B4528" s="4" t="s">
        <v>343</v>
      </c>
      <c r="C4528" s="4" t="s">
        <v>283</v>
      </c>
      <c r="D4528" s="94">
        <v>6232.0</v>
      </c>
    </row>
    <row r="4529">
      <c r="A4529" s="40">
        <f t="array" ref="A4529">IFNA(index(PlayerValues!A:A,match(IFNA(vlookup(B4529,'Special Names'!A:B,2,FALSE),B4529),PlayerValues!E:E,0)),"N/A")</f>
        <v>15237</v>
      </c>
      <c r="B4529" s="4" t="s">
        <v>336</v>
      </c>
      <c r="C4529" s="4" t="s">
        <v>283</v>
      </c>
      <c r="D4529" s="94">
        <v>6220.0</v>
      </c>
    </row>
    <row r="4530">
      <c r="A4530" s="40">
        <f t="array" ref="A4530">IFNA(index(PlayerValues!A:A,match(IFNA(vlookup(B4530,'Special Names'!A:B,2,FALSE),B4530),PlayerValues!E:E,0)),"N/A")</f>
        <v>14783</v>
      </c>
      <c r="B4530" s="4" t="s">
        <v>342</v>
      </c>
      <c r="C4530" s="4" t="s">
        <v>283</v>
      </c>
      <c r="D4530" s="94">
        <v>6146.0</v>
      </c>
    </row>
    <row r="4531">
      <c r="A4531" s="40">
        <f t="array" ref="A4531">IFNA(index(PlayerValues!A:A,match(IFNA(vlookup(B4531,'Special Names'!A:B,2,FALSE),B4531),PlayerValues!E:E,0)),"N/A")</f>
        <v>15715</v>
      </c>
      <c r="B4531" s="4" t="s">
        <v>331</v>
      </c>
      <c r="C4531" s="4" t="s">
        <v>278</v>
      </c>
      <c r="D4531" s="94">
        <v>6124.0</v>
      </c>
    </row>
    <row r="4532">
      <c r="A4532" s="40">
        <f t="array" ref="A4532">IFNA(index(PlayerValues!A:A,match(IFNA(vlookup(B4532,'Special Names'!A:B,2,FALSE),B4532),PlayerValues!E:E,0)),"N/A")</f>
        <v>17081</v>
      </c>
      <c r="B4532" s="4" t="s">
        <v>340</v>
      </c>
      <c r="C4532" s="4" t="s">
        <v>287</v>
      </c>
      <c r="D4532" s="94">
        <v>6117.0</v>
      </c>
    </row>
    <row r="4533">
      <c r="A4533" s="40">
        <f t="array" ref="A4533">IFNA(index(PlayerValues!A:A,match(IFNA(vlookup(B4533,'Special Names'!A:B,2,FALSE),B4533),PlayerValues!E:E,0)),"N/A")</f>
        <v>17104</v>
      </c>
      <c r="B4533" s="4" t="s">
        <v>333</v>
      </c>
      <c r="C4533" s="4" t="s">
        <v>298</v>
      </c>
      <c r="D4533" s="94">
        <v>6766.0</v>
      </c>
    </row>
    <row r="4534">
      <c r="A4534" s="40">
        <f t="array" ref="A4534">IFNA(index(PlayerValues!A:A,match(IFNA(vlookup(B4534,'Special Names'!A:B,2,FALSE),B4534),PlayerValues!E:E,0)),"N/A")</f>
        <v>14802</v>
      </c>
      <c r="B4534" s="4" t="s">
        <v>332</v>
      </c>
      <c r="C4534" s="4" t="s">
        <v>278</v>
      </c>
      <c r="D4534" s="94">
        <v>6033.0</v>
      </c>
    </row>
    <row r="4535">
      <c r="A4535" s="40">
        <f t="array" ref="A4535">IFNA(index(PlayerValues!A:A,match(IFNA(vlookup(B4535,'Special Names'!A:B,2,FALSE),B4535),PlayerValues!E:E,0)),"N/A")</f>
        <v>15762</v>
      </c>
      <c r="B4535" s="4" t="s">
        <v>337</v>
      </c>
      <c r="C4535" s="4" t="s">
        <v>287</v>
      </c>
      <c r="D4535" s="94">
        <v>5970.0</v>
      </c>
    </row>
    <row r="4536">
      <c r="A4536" s="40">
        <f t="array" ref="A4536">IFNA(index(PlayerValues!A:A,match(IFNA(vlookup(B4536,'Special Names'!A:B,2,FALSE),B4536),PlayerValues!E:E,0)),"N/A")</f>
        <v>15698</v>
      </c>
      <c r="B4536" s="4" t="s">
        <v>358</v>
      </c>
      <c r="C4536" s="4" t="s">
        <v>283</v>
      </c>
      <c r="D4536" s="94">
        <v>5895.0</v>
      </c>
    </row>
    <row r="4537">
      <c r="A4537" s="40">
        <f t="array" ref="A4537">IFNA(index(PlayerValues!A:A,match(IFNA(vlookup(B4537,'Special Names'!A:B,2,FALSE),B4537),PlayerValues!E:E,0)),"N/A")</f>
        <v>15753</v>
      </c>
      <c r="B4537" s="4" t="s">
        <v>359</v>
      </c>
      <c r="C4537" s="4" t="s">
        <v>287</v>
      </c>
      <c r="D4537" s="94">
        <v>5736.0</v>
      </c>
    </row>
    <row r="4538">
      <c r="A4538" s="40">
        <f t="array" ref="A4538">IFNA(index(PlayerValues!A:A,match(IFNA(vlookup(B4538,'Special Names'!A:B,2,FALSE),B4538),PlayerValues!E:E,0)),"N/A")</f>
        <v>17102</v>
      </c>
      <c r="B4538" s="4" t="s">
        <v>344</v>
      </c>
      <c r="C4538" s="4" t="s">
        <v>298</v>
      </c>
      <c r="D4538" s="94">
        <v>6376.0</v>
      </c>
    </row>
    <row r="4539">
      <c r="A4539" s="40">
        <f t="array" ref="A4539">IFNA(index(PlayerValues!A:A,match(IFNA(vlookup(B4539,'Special Names'!A:B,2,FALSE),B4539),PlayerValues!E:E,0)),"N/A")</f>
        <v>17497</v>
      </c>
      <c r="B4539" s="4" t="s">
        <v>365</v>
      </c>
      <c r="C4539" s="4" t="s">
        <v>287</v>
      </c>
      <c r="D4539" s="94">
        <v>5692.0</v>
      </c>
    </row>
    <row r="4540">
      <c r="A4540" s="40" t="str">
        <f t="array" ref="A4540">IFNA(index(PlayerValues!A:A,match(IFNA(vlookup(B4540,'Special Names'!A:B,2,FALSE),B4540),PlayerValues!E:E,0)),"N/A")</f>
        <v>N/A</v>
      </c>
      <c r="B4540" s="4" t="s">
        <v>79</v>
      </c>
      <c r="C4540" s="4" t="s">
        <v>325</v>
      </c>
      <c r="D4540" s="94">
        <v>5668.0</v>
      </c>
    </row>
    <row r="4541">
      <c r="A4541" s="40">
        <f t="array" ref="A4541">IFNA(index(PlayerValues!A:A,match(IFNA(vlookup(B4541,'Special Names'!A:B,2,FALSE),B4541),PlayerValues!E:E,0)),"N/A")</f>
        <v>17462</v>
      </c>
      <c r="B4541" s="4" t="s">
        <v>375</v>
      </c>
      <c r="C4541" s="4" t="s">
        <v>283</v>
      </c>
      <c r="D4541" s="94">
        <v>5649.0</v>
      </c>
    </row>
    <row r="4542">
      <c r="A4542" s="40">
        <f t="array" ref="A4542">IFNA(index(PlayerValues!A:A,match(IFNA(vlookup(B4542,'Special Names'!A:B,2,FALSE),B4542),PlayerValues!E:E,0)),"N/A")</f>
        <v>15290</v>
      </c>
      <c r="B4542" s="4" t="s">
        <v>355</v>
      </c>
      <c r="C4542" s="4" t="s">
        <v>287</v>
      </c>
      <c r="D4542" s="94">
        <v>5638.0</v>
      </c>
    </row>
    <row r="4543">
      <c r="A4543" s="40">
        <f t="array" ref="A4543">IFNA(index(PlayerValues!A:A,match(IFNA(vlookup(B4543,'Special Names'!A:B,2,FALSE),B4543),PlayerValues!E:E,0)),"N/A")</f>
        <v>14782</v>
      </c>
      <c r="B4543" s="4" t="s">
        <v>385</v>
      </c>
      <c r="C4543" s="4" t="s">
        <v>283</v>
      </c>
      <c r="D4543" s="94">
        <v>5637.0</v>
      </c>
    </row>
    <row r="4544">
      <c r="A4544" s="40">
        <f t="array" ref="A4544">IFNA(index(PlayerValues!A:A,match(IFNA(vlookup(B4544,'Special Names'!A:B,2,FALSE),B4544),PlayerValues!E:E,0)),"N/A")</f>
        <v>15754</v>
      </c>
      <c r="B4544" s="4" t="s">
        <v>354</v>
      </c>
      <c r="C4544" s="4" t="s">
        <v>287</v>
      </c>
      <c r="D4544" s="94">
        <v>5611.0</v>
      </c>
    </row>
    <row r="4545">
      <c r="A4545" s="40" t="str">
        <f t="array" ref="A4545">IFNA(index(PlayerValues!A:A,match(IFNA(vlookup(B4545,'Special Names'!A:B,2,FALSE),B4545),PlayerValues!E:E,0)),"N/A")</f>
        <v>N/A</v>
      </c>
      <c r="B4545" s="4" t="s">
        <v>93</v>
      </c>
      <c r="C4545" s="4" t="s">
        <v>325</v>
      </c>
      <c r="D4545" s="94">
        <v>5571.0</v>
      </c>
    </row>
    <row r="4546">
      <c r="A4546" s="40">
        <f t="array" ref="A4546">IFNA(index(PlayerValues!A:A,match(IFNA(vlookup(B4546,'Special Names'!A:B,2,FALSE),B4546),PlayerValues!E:E,0)),"N/A")</f>
        <v>15711</v>
      </c>
      <c r="B4546" s="4" t="s">
        <v>349</v>
      </c>
      <c r="C4546" s="4" t="s">
        <v>278</v>
      </c>
      <c r="D4546" s="94">
        <v>5531.0</v>
      </c>
    </row>
    <row r="4547">
      <c r="A4547" s="40">
        <f t="array" ref="A4547">IFNA(index(PlayerValues!A:A,match(IFNA(vlookup(B4547,'Special Names'!A:B,2,FALSE),B4547),PlayerValues!E:E,0)),"N/A")</f>
        <v>17043</v>
      </c>
      <c r="B4547" s="4" t="s">
        <v>397</v>
      </c>
      <c r="C4547" s="4" t="s">
        <v>278</v>
      </c>
      <c r="D4547" s="94">
        <v>5477.0</v>
      </c>
    </row>
    <row r="4548">
      <c r="A4548" s="40">
        <f t="array" ref="A4548">IFNA(index(PlayerValues!A:A,match(IFNA(vlookup(B4548,'Special Names'!A:B,2,FALSE),B4548),PlayerValues!E:E,0)),"N/A")</f>
        <v>17051</v>
      </c>
      <c r="B4548" s="4" t="s">
        <v>386</v>
      </c>
      <c r="C4548" s="4" t="s">
        <v>278</v>
      </c>
      <c r="D4548" s="94">
        <v>5458.0</v>
      </c>
    </row>
    <row r="4549">
      <c r="A4549" s="40">
        <f t="array" ref="A4549">IFNA(index(PlayerValues!A:A,match(IFNA(vlookup(B4549,'Special Names'!A:B,2,FALSE),B4549),PlayerValues!E:E,0)),"N/A")</f>
        <v>16627</v>
      </c>
      <c r="B4549" s="4" t="s">
        <v>351</v>
      </c>
      <c r="C4549" s="4" t="s">
        <v>287</v>
      </c>
      <c r="D4549" s="94">
        <v>5397.0</v>
      </c>
    </row>
    <row r="4550">
      <c r="A4550" s="40">
        <f t="array" ref="A4550">IFNA(index(PlayerValues!A:A,match(IFNA(vlookup(B4550,'Special Names'!A:B,2,FALSE),B4550),PlayerValues!E:E,0)),"N/A")</f>
        <v>16616</v>
      </c>
      <c r="B4550" s="4" t="s">
        <v>389</v>
      </c>
      <c r="C4550" s="4" t="s">
        <v>287</v>
      </c>
      <c r="D4550" s="94">
        <v>5363.0</v>
      </c>
    </row>
    <row r="4551">
      <c r="A4551" s="40">
        <f t="array" ref="A4551">IFNA(index(PlayerValues!A:A,match(IFNA(vlookup(B4551,'Special Names'!A:B,2,FALSE),B4551),PlayerValues!E:E,0)),"N/A")</f>
        <v>15708</v>
      </c>
      <c r="B4551" s="4" t="s">
        <v>382</v>
      </c>
      <c r="C4551" s="4" t="s">
        <v>278</v>
      </c>
      <c r="D4551" s="94">
        <v>5286.0</v>
      </c>
    </row>
    <row r="4552">
      <c r="A4552" s="40">
        <f t="array" ref="A4552">IFNA(index(PlayerValues!A:A,match(IFNA(vlookup(B4552,'Special Names'!A:B,2,FALSE),B4552),PlayerValues!E:E,0)),"N/A")</f>
        <v>17070</v>
      </c>
      <c r="B4552" s="4" t="s">
        <v>370</v>
      </c>
      <c r="C4552" s="4" t="s">
        <v>287</v>
      </c>
      <c r="D4552" s="94">
        <v>5278.0</v>
      </c>
    </row>
    <row r="4553">
      <c r="A4553" s="40">
        <f t="array" ref="A4553">IFNA(index(PlayerValues!A:A,match(IFNA(vlookup(B4553,'Special Names'!A:B,2,FALSE),B4553),PlayerValues!E:E,0)),"N/A")</f>
        <v>17030</v>
      </c>
      <c r="B4553" s="4" t="s">
        <v>406</v>
      </c>
      <c r="C4553" s="4" t="s">
        <v>283</v>
      </c>
      <c r="D4553" s="94">
        <v>5248.0</v>
      </c>
    </row>
    <row r="4554">
      <c r="A4554" s="40">
        <f t="array" ref="A4554">IFNA(index(PlayerValues!A:A,match(IFNA(vlookup(B4554,'Special Names'!A:B,2,FALSE),B4554),PlayerValues!E:E,0)),"N/A")</f>
        <v>17498</v>
      </c>
      <c r="B4554" s="4" t="s">
        <v>396</v>
      </c>
      <c r="C4554" s="4" t="s">
        <v>287</v>
      </c>
      <c r="D4554" s="94">
        <v>5212.0</v>
      </c>
    </row>
    <row r="4555">
      <c r="A4555" s="40">
        <f t="array" ref="A4555">IFNA(index(PlayerValues!A:A,match(IFNA(vlookup(B4555,'Special Names'!A:B,2,FALSE),B4555),PlayerValues!E:E,0)),"N/A")</f>
        <v>16194</v>
      </c>
      <c r="B4555" s="4" t="s">
        <v>398</v>
      </c>
      <c r="C4555" s="4" t="s">
        <v>287</v>
      </c>
      <c r="D4555" s="94">
        <v>5191.0</v>
      </c>
    </row>
    <row r="4556">
      <c r="A4556" s="40">
        <f t="array" ref="A4556">IFNA(index(PlayerValues!A:A,match(IFNA(vlookup(B4556,'Special Names'!A:B,2,FALSE),B4556),PlayerValues!E:E,0)),"N/A")</f>
        <v>15282</v>
      </c>
      <c r="B4556" s="4" t="s">
        <v>364</v>
      </c>
      <c r="C4556" s="4" t="s">
        <v>287</v>
      </c>
      <c r="D4556" s="94">
        <v>5158.0</v>
      </c>
    </row>
    <row r="4557">
      <c r="A4557" s="40">
        <f t="array" ref="A4557">IFNA(index(PlayerValues!A:A,match(IFNA(vlookup(B4557,'Special Names'!A:B,2,FALSE),B4557),PlayerValues!E:E,0)),"N/A")</f>
        <v>16614</v>
      </c>
      <c r="B4557" s="4" t="s">
        <v>403</v>
      </c>
      <c r="C4557" s="4" t="s">
        <v>287</v>
      </c>
      <c r="D4557" s="94">
        <v>5109.0</v>
      </c>
    </row>
    <row r="4558">
      <c r="A4558" s="40">
        <f t="array" ref="A4558">IFNA(index(PlayerValues!A:A,match(IFNA(vlookup(B4558,'Special Names'!A:B,2,FALSE),B4558),PlayerValues!E:E,0)),"N/A")</f>
        <v>17499</v>
      </c>
      <c r="B4558" s="4" t="s">
        <v>402</v>
      </c>
      <c r="C4558" s="4" t="s">
        <v>287</v>
      </c>
      <c r="D4558" s="94">
        <v>5081.0</v>
      </c>
    </row>
    <row r="4559">
      <c r="A4559" s="40">
        <f t="array" ref="A4559">IFNA(index(PlayerValues!A:A,match(IFNA(vlookup(B4559,'Special Names'!A:B,2,FALSE),B4559),PlayerValues!E:E,0)),"N/A")</f>
        <v>13130</v>
      </c>
      <c r="B4559" s="4" t="s">
        <v>374</v>
      </c>
      <c r="C4559" s="4" t="s">
        <v>278</v>
      </c>
      <c r="D4559" s="94">
        <v>4978.0</v>
      </c>
    </row>
    <row r="4560">
      <c r="A4560" s="40" t="str">
        <f t="array" ref="A4560">IFNA(index(PlayerValues!A:A,match(IFNA(vlookup(B4560,'Special Names'!A:B,2,FALSE),B4560),PlayerValues!E:E,0)),"N/A")</f>
        <v>N/A</v>
      </c>
      <c r="B4560" s="4" t="s">
        <v>104</v>
      </c>
      <c r="C4560" s="4" t="s">
        <v>325</v>
      </c>
      <c r="D4560" s="94">
        <v>4949.0</v>
      </c>
    </row>
    <row r="4561">
      <c r="A4561" s="40">
        <f t="array" ref="A4561">IFNA(index(PlayerValues!A:A,match(IFNA(vlookup(B4561,'Special Names'!A:B,2,FALSE),B4561),PlayerValues!E:E,0)),"N/A")</f>
        <v>16598</v>
      </c>
      <c r="B4561" s="4" t="s">
        <v>408</v>
      </c>
      <c r="C4561" s="4" t="s">
        <v>278</v>
      </c>
      <c r="D4561" s="94">
        <v>4931.0</v>
      </c>
    </row>
    <row r="4562">
      <c r="A4562" s="40">
        <f t="array" ref="A4562">IFNA(index(PlayerValues!A:A,match(IFNA(vlookup(B4562,'Special Names'!A:B,2,FALSE),B4562),PlayerValues!E:E,0)),"N/A")</f>
        <v>16618</v>
      </c>
      <c r="B4562" s="4" t="s">
        <v>411</v>
      </c>
      <c r="C4562" s="4" t="s">
        <v>287</v>
      </c>
      <c r="D4562" s="94">
        <v>4930.0</v>
      </c>
    </row>
    <row r="4563">
      <c r="A4563" s="40">
        <f t="array" ref="A4563">IFNA(index(PlayerValues!A:A,match(IFNA(vlookup(B4563,'Special Names'!A:B,2,FALSE),B4563),PlayerValues!E:E,0)),"N/A")</f>
        <v>12620</v>
      </c>
      <c r="B4563" s="4" t="s">
        <v>394</v>
      </c>
      <c r="C4563" s="4" t="s">
        <v>283</v>
      </c>
      <c r="D4563" s="94">
        <v>4918.0</v>
      </c>
    </row>
    <row r="4564">
      <c r="A4564" s="40">
        <f t="array" ref="A4564">IFNA(index(PlayerValues!A:A,match(IFNA(vlookup(B4564,'Special Names'!A:B,2,FALSE),B4564),PlayerValues!E:E,0)),"N/A")</f>
        <v>16150</v>
      </c>
      <c r="B4564" s="4" t="s">
        <v>414</v>
      </c>
      <c r="C4564" s="4" t="s">
        <v>283</v>
      </c>
      <c r="D4564" s="94">
        <v>4912.0</v>
      </c>
    </row>
    <row r="4565">
      <c r="A4565" s="40">
        <f t="array" ref="A4565">IFNA(index(PlayerValues!A:A,match(IFNA(vlookup(B4565,'Special Names'!A:B,2,FALSE),B4565),PlayerValues!E:E,0)),"N/A")</f>
        <v>17103</v>
      </c>
      <c r="B4565" s="4" t="s">
        <v>405</v>
      </c>
      <c r="C4565" s="4" t="s">
        <v>298</v>
      </c>
      <c r="D4565" s="94">
        <v>5477.0</v>
      </c>
    </row>
    <row r="4566">
      <c r="A4566" s="40">
        <f t="array" ref="A4566">IFNA(index(PlayerValues!A:A,match(IFNA(vlookup(B4566,'Special Names'!A:B,2,FALSE),B4566),PlayerValues!E:E,0)),"N/A")</f>
        <v>15284</v>
      </c>
      <c r="B4566" s="4" t="s">
        <v>390</v>
      </c>
      <c r="C4566" s="4" t="s">
        <v>287</v>
      </c>
      <c r="D4566" s="94">
        <v>4900.0</v>
      </c>
    </row>
    <row r="4567">
      <c r="A4567" s="40" t="str">
        <f t="array" ref="A4567">IFNA(index(PlayerValues!A:A,match(IFNA(vlookup(B4567,'Special Names'!A:B,2,FALSE),B4567),PlayerValues!E:E,0)),"N/A")</f>
        <v>N/A</v>
      </c>
      <c r="B4567" s="4" t="s">
        <v>94</v>
      </c>
      <c r="C4567" s="4" t="s">
        <v>325</v>
      </c>
      <c r="D4567" s="94">
        <v>4899.0</v>
      </c>
    </row>
    <row r="4568">
      <c r="A4568" s="40">
        <f t="array" ref="A4568">IFNA(index(PlayerValues!A:A,match(IFNA(vlookup(B4568,'Special Names'!A:B,2,FALSE),B4568),PlayerValues!E:E,0)),"N/A")</f>
        <v>14835</v>
      </c>
      <c r="B4568" s="4" t="s">
        <v>392</v>
      </c>
      <c r="C4568" s="4" t="s">
        <v>287</v>
      </c>
      <c r="D4568" s="94">
        <v>4895.0</v>
      </c>
    </row>
    <row r="4569">
      <c r="A4569" s="40">
        <f t="array" ref="A4569">IFNA(index(PlayerValues!A:A,match(IFNA(vlookup(B4569,'Special Names'!A:B,2,FALSE),B4569),PlayerValues!E:E,0)),"N/A")</f>
        <v>16181</v>
      </c>
      <c r="B4569" s="4" t="s">
        <v>350</v>
      </c>
      <c r="C4569" s="4" t="s">
        <v>278</v>
      </c>
      <c r="D4569" s="94">
        <v>4892.0</v>
      </c>
    </row>
    <row r="4570">
      <c r="A4570" s="40">
        <f t="array" ref="A4570">IFNA(index(PlayerValues!A:A,match(IFNA(vlookup(B4570,'Special Names'!A:B,2,FALSE),B4570),PlayerValues!E:E,0)),"N/A")</f>
        <v>13604</v>
      </c>
      <c r="B4570" s="4" t="s">
        <v>378</v>
      </c>
      <c r="C4570" s="4" t="s">
        <v>278</v>
      </c>
      <c r="D4570" s="94">
        <v>4883.0</v>
      </c>
    </row>
    <row r="4571">
      <c r="A4571" s="40">
        <f t="array" ref="A4571">IFNA(index(PlayerValues!A:A,match(IFNA(vlookup(B4571,'Special Names'!A:B,2,FALSE),B4571),PlayerValues!E:E,0)),"N/A")</f>
        <v>15710</v>
      </c>
      <c r="B4571" s="4" t="s">
        <v>395</v>
      </c>
      <c r="C4571" s="4" t="s">
        <v>278</v>
      </c>
      <c r="D4571" s="94">
        <v>4863.0</v>
      </c>
    </row>
    <row r="4572">
      <c r="A4572" s="40">
        <f t="array" ref="A4572">IFNA(index(PlayerValues!A:A,match(IFNA(vlookup(B4572,'Special Names'!A:B,2,FALSE),B4572),PlayerValues!E:E,0)),"N/A")</f>
        <v>14104</v>
      </c>
      <c r="B4572" s="4" t="s">
        <v>379</v>
      </c>
      <c r="C4572" s="4" t="s">
        <v>287</v>
      </c>
      <c r="D4572" s="94">
        <v>4854.0</v>
      </c>
    </row>
    <row r="4573">
      <c r="A4573" s="40">
        <f t="array" ref="A4573">IFNA(index(PlayerValues!A:A,match(IFNA(vlookup(B4573,'Special Names'!A:B,2,FALSE),B4573),PlayerValues!E:E,0)),"N/A")</f>
        <v>17039</v>
      </c>
      <c r="B4573" s="4" t="s">
        <v>400</v>
      </c>
      <c r="C4573" s="4" t="s">
        <v>283</v>
      </c>
      <c r="D4573" s="94">
        <v>4841.0</v>
      </c>
    </row>
    <row r="4574">
      <c r="A4574" s="40">
        <f t="array" ref="A4574">IFNA(index(PlayerValues!A:A,match(IFNA(vlookup(B4574,'Special Names'!A:B,2,FALSE),B4574),PlayerValues!E:E,0)),"N/A")</f>
        <v>13592</v>
      </c>
      <c r="B4574" s="4" t="s">
        <v>418</v>
      </c>
      <c r="C4574" s="4" t="s">
        <v>283</v>
      </c>
      <c r="D4574" s="94">
        <v>4806.0</v>
      </c>
    </row>
    <row r="4575">
      <c r="A4575" s="40">
        <f t="array" ref="A4575">IFNA(index(PlayerValues!A:A,match(IFNA(vlookup(B4575,'Special Names'!A:B,2,FALSE),B4575),PlayerValues!E:E,0)),"N/A")</f>
        <v>15756</v>
      </c>
      <c r="B4575" s="4" t="s">
        <v>399</v>
      </c>
      <c r="C4575" s="4" t="s">
        <v>287</v>
      </c>
      <c r="D4575" s="94">
        <v>4797.0</v>
      </c>
    </row>
    <row r="4576">
      <c r="A4576" s="40">
        <f t="array" ref="A4576">IFNA(index(PlayerValues!A:A,match(IFNA(vlookup(B4576,'Special Names'!A:B,2,FALSE),B4576),PlayerValues!E:E,0)),"N/A")</f>
        <v>16222</v>
      </c>
      <c r="B4576" s="4" t="s">
        <v>393</v>
      </c>
      <c r="C4576" s="4" t="s">
        <v>298</v>
      </c>
      <c r="D4576" s="94">
        <v>5323.0</v>
      </c>
    </row>
    <row r="4577">
      <c r="A4577" s="40">
        <f t="array" ref="A4577">IFNA(index(PlayerValues!A:A,match(IFNA(vlookup(B4577,'Special Names'!A:B,2,FALSE),B4577),PlayerValues!E:E,0)),"N/A")</f>
        <v>13590</v>
      </c>
      <c r="B4577" s="4" t="s">
        <v>409</v>
      </c>
      <c r="C4577" s="4" t="s">
        <v>283</v>
      </c>
      <c r="D4577" s="94">
        <v>4746.0</v>
      </c>
    </row>
    <row r="4578">
      <c r="A4578" s="40">
        <f t="array" ref="A4578">IFNA(index(PlayerValues!A:A,match(IFNA(vlookup(B4578,'Special Names'!A:B,2,FALSE),B4578),PlayerValues!E:E,0)),"N/A")</f>
        <v>12611</v>
      </c>
      <c r="B4578" s="4" t="s">
        <v>410</v>
      </c>
      <c r="C4578" s="4" t="s">
        <v>283</v>
      </c>
      <c r="D4578" s="94">
        <v>4670.0</v>
      </c>
    </row>
    <row r="4579">
      <c r="A4579" s="40">
        <f t="array" ref="A4579">IFNA(index(PlayerValues!A:A,match(IFNA(vlookup(B4579,'Special Names'!A:B,2,FALSE),B4579),PlayerValues!E:E,0)),"N/A")</f>
        <v>16190</v>
      </c>
      <c r="B4579" s="4" t="s">
        <v>371</v>
      </c>
      <c r="C4579" s="4" t="s">
        <v>287</v>
      </c>
      <c r="D4579" s="94">
        <v>4655.0</v>
      </c>
    </row>
    <row r="4580">
      <c r="A4580" s="40" t="str">
        <f t="array" ref="A4580">IFNA(index(PlayerValues!A:A,match(IFNA(vlookup(B4580,'Special Names'!A:B,2,FALSE),B4580),PlayerValues!E:E,0)),"N/A")</f>
        <v>N/A</v>
      </c>
      <c r="B4580" s="4" t="s">
        <v>80</v>
      </c>
      <c r="C4580" s="4" t="s">
        <v>325</v>
      </c>
      <c r="D4580" s="94">
        <v>4579.0</v>
      </c>
    </row>
    <row r="4581">
      <c r="A4581" s="40">
        <f t="array" ref="A4581">IFNA(index(PlayerValues!A:A,match(IFNA(vlookup(B4581,'Special Names'!A:B,2,FALSE),B4581),PlayerValues!E:E,0)),"N/A")</f>
        <v>17473</v>
      </c>
      <c r="B4581" s="4" t="s">
        <v>391</v>
      </c>
      <c r="C4581" s="4" t="s">
        <v>278</v>
      </c>
      <c r="D4581" s="94">
        <v>4577.0</v>
      </c>
    </row>
    <row r="4582">
      <c r="A4582" s="40">
        <f t="array" ref="A4582">IFNA(index(PlayerValues!A:A,match(IFNA(vlookup(B4582,'Special Names'!A:B,2,FALSE),B4582),PlayerValues!E:E,0)),"N/A")</f>
        <v>16214</v>
      </c>
      <c r="B4582" s="4" t="s">
        <v>413</v>
      </c>
      <c r="C4582" s="4" t="s">
        <v>298</v>
      </c>
      <c r="D4582" s="94">
        <v>5093.0</v>
      </c>
    </row>
    <row r="4583">
      <c r="A4583" s="40">
        <f t="array" ref="A4583">IFNA(index(PlayerValues!A:A,match(IFNA(vlookup(B4583,'Special Names'!A:B,2,FALSE),B4583),PlayerValues!E:E,0)),"N/A")</f>
        <v>16148</v>
      </c>
      <c r="B4583" s="4" t="s">
        <v>426</v>
      </c>
      <c r="C4583" s="4" t="s">
        <v>283</v>
      </c>
      <c r="D4583" s="94">
        <v>4543.0</v>
      </c>
    </row>
    <row r="4584">
      <c r="A4584" s="40">
        <f t="array" ref="A4584">IFNA(index(PlayerValues!A:A,match(IFNA(vlookup(B4584,'Special Names'!A:B,2,FALSE),B4584),PlayerValues!E:E,0)),"N/A")</f>
        <v>17045</v>
      </c>
      <c r="B4584" s="4" t="s">
        <v>407</v>
      </c>
      <c r="C4584" s="4" t="s">
        <v>278</v>
      </c>
      <c r="D4584" s="94">
        <v>4478.0</v>
      </c>
    </row>
    <row r="4585">
      <c r="A4585" s="40">
        <f t="array" ref="A4585">IFNA(index(PlayerValues!A:A,match(IFNA(vlookup(B4585,'Special Names'!A:B,2,FALSE),B4585),PlayerValues!E:E,0)),"N/A")</f>
        <v>14073</v>
      </c>
      <c r="B4585" s="4" t="s">
        <v>464</v>
      </c>
      <c r="C4585" s="4" t="s">
        <v>278</v>
      </c>
      <c r="D4585" s="94">
        <v>4451.0</v>
      </c>
    </row>
    <row r="4586">
      <c r="A4586" s="40">
        <f t="array" ref="A4586">IFNA(index(PlayerValues!A:A,match(IFNA(vlookup(B4586,'Special Names'!A:B,2,FALSE),B4586),PlayerValues!E:E,0)),"N/A")</f>
        <v>15253</v>
      </c>
      <c r="B4586" s="4" t="s">
        <v>415</v>
      </c>
      <c r="C4586" s="4" t="s">
        <v>278</v>
      </c>
      <c r="D4586" s="94">
        <v>4432.0</v>
      </c>
    </row>
    <row r="4587">
      <c r="A4587" s="40">
        <f t="array" ref="A4587">IFNA(index(PlayerValues!A:A,match(IFNA(vlookup(B4587,'Special Names'!A:B,2,FALSE),B4587),PlayerValues!E:E,0)),"N/A")</f>
        <v>15329</v>
      </c>
      <c r="B4587" s="4" t="s">
        <v>416</v>
      </c>
      <c r="C4587" s="4" t="s">
        <v>298</v>
      </c>
      <c r="D4587" s="94">
        <v>4969.0</v>
      </c>
    </row>
    <row r="4588">
      <c r="A4588" s="40">
        <f t="array" ref="A4588">IFNA(index(PlayerValues!A:A,match(IFNA(vlookup(B4588,'Special Names'!A:B,2,FALSE),B4588),PlayerValues!E:E,0)),"N/A")</f>
        <v>15256</v>
      </c>
      <c r="B4588" s="4" t="s">
        <v>401</v>
      </c>
      <c r="C4588" s="4" t="s">
        <v>278</v>
      </c>
      <c r="D4588" s="94">
        <v>4416.0</v>
      </c>
    </row>
    <row r="4589">
      <c r="A4589" s="40" t="str">
        <f t="array" ref="A4589">IFNA(index(PlayerValues!A:A,match(IFNA(vlookup(B4589,'Special Names'!A:B,2,FALSE),B4589),PlayerValues!E:E,0)),"N/A")</f>
        <v>N/A</v>
      </c>
      <c r="B4589" s="4" t="s">
        <v>105</v>
      </c>
      <c r="C4589" s="4" t="s">
        <v>325</v>
      </c>
      <c r="D4589" s="94">
        <v>4409.0</v>
      </c>
    </row>
    <row r="4590">
      <c r="A4590" s="40">
        <f t="array" ref="A4590">IFNA(index(PlayerValues!A:A,match(IFNA(vlookup(B4590,'Special Names'!A:B,2,FALSE),B4590),PlayerValues!E:E,0)),"N/A")</f>
        <v>17501</v>
      </c>
      <c r="B4590" s="4" t="s">
        <v>404</v>
      </c>
      <c r="C4590" s="4" t="s">
        <v>287</v>
      </c>
      <c r="D4590" s="94">
        <v>4407.0</v>
      </c>
    </row>
    <row r="4591">
      <c r="A4591" s="40">
        <f t="array" ref="A4591">IFNA(index(PlayerValues!A:A,match(IFNA(vlookup(B4591,'Special Names'!A:B,2,FALSE),B4591),PlayerValues!E:E,0)),"N/A")</f>
        <v>15768</v>
      </c>
      <c r="B4591" s="4" t="s">
        <v>432</v>
      </c>
      <c r="C4591" s="4" t="s">
        <v>287</v>
      </c>
      <c r="D4591" s="94">
        <v>4162.0</v>
      </c>
    </row>
    <row r="4592">
      <c r="A4592" s="40">
        <f t="array" ref="A4592">IFNA(index(PlayerValues!A:A,match(IFNA(vlookup(B4592,'Special Names'!A:B,2,FALSE),B4592),PlayerValues!E:E,0)),"N/A")</f>
        <v>14056</v>
      </c>
      <c r="B4592" s="4" t="s">
        <v>423</v>
      </c>
      <c r="C4592" s="4" t="s">
        <v>283</v>
      </c>
      <c r="D4592" s="94">
        <v>4099.0</v>
      </c>
    </row>
    <row r="4593">
      <c r="A4593" s="40">
        <f t="array" ref="A4593">IFNA(index(PlayerValues!A:A,match(IFNA(vlookup(B4593,'Special Names'!A:B,2,FALSE),B4593),PlayerValues!E:E,0)),"N/A")</f>
        <v>15694</v>
      </c>
      <c r="B4593" s="4" t="s">
        <v>434</v>
      </c>
      <c r="C4593" s="4" t="s">
        <v>283</v>
      </c>
      <c r="D4593" s="94">
        <v>4077.0</v>
      </c>
    </row>
    <row r="4594">
      <c r="A4594" s="40">
        <f t="array" ref="A4594">IFNA(index(PlayerValues!A:A,match(IFNA(vlookup(B4594,'Special Names'!A:B,2,FALSE),B4594),PlayerValues!E:E,0)),"N/A")</f>
        <v>17543</v>
      </c>
      <c r="B4594" s="4" t="s">
        <v>436</v>
      </c>
      <c r="C4594" s="4" t="s">
        <v>298</v>
      </c>
      <c r="D4594" s="94">
        <v>4568.0</v>
      </c>
    </row>
    <row r="4595">
      <c r="A4595" s="40">
        <f t="array" ref="A4595">IFNA(index(PlayerValues!A:A,match(IFNA(vlookup(B4595,'Special Names'!A:B,2,FALSE),B4595),PlayerValues!E:E,0)),"N/A")</f>
        <v>14059</v>
      </c>
      <c r="B4595" s="4" t="s">
        <v>435</v>
      </c>
      <c r="C4595" s="4" t="s">
        <v>283</v>
      </c>
      <c r="D4595" s="94">
        <v>4011.0</v>
      </c>
    </row>
    <row r="4596">
      <c r="A4596" s="40">
        <f t="array" ref="A4596">IFNA(index(PlayerValues!A:A,match(IFNA(vlookup(B4596,'Special Names'!A:B,2,FALSE),B4596),PlayerValues!E:E,0)),"N/A")</f>
        <v>16186</v>
      </c>
      <c r="B4596" s="4" t="s">
        <v>425</v>
      </c>
      <c r="C4596" s="4" t="s">
        <v>287</v>
      </c>
      <c r="D4596" s="94">
        <v>3973.0</v>
      </c>
    </row>
    <row r="4597">
      <c r="A4597" s="40">
        <f t="array" ref="A4597">IFNA(index(PlayerValues!A:A,match(IFNA(vlookup(B4597,'Special Names'!A:B,2,FALSE),B4597),PlayerValues!E:E,0)),"N/A")</f>
        <v>17052</v>
      </c>
      <c r="B4597" s="4" t="s">
        <v>417</v>
      </c>
      <c r="C4597" s="4" t="s">
        <v>278</v>
      </c>
      <c r="D4597" s="94">
        <v>3930.0</v>
      </c>
    </row>
    <row r="4598">
      <c r="A4598" s="40" t="str">
        <f t="array" ref="A4598">IFNA(index(PlayerValues!A:A,match(IFNA(vlookup(B4598,'Special Names'!A:B,2,FALSE),B4598),PlayerValues!E:E,0)),"N/A")</f>
        <v>N/A</v>
      </c>
      <c r="B4598" s="4" t="s">
        <v>95</v>
      </c>
      <c r="C4598" s="4" t="s">
        <v>325</v>
      </c>
      <c r="D4598" s="94">
        <v>3898.0</v>
      </c>
    </row>
    <row r="4599">
      <c r="A4599" s="40" t="str">
        <f t="array" ref="A4599">IFNA(index(PlayerValues!A:A,match(IFNA(vlookup(B4599,'Special Names'!A:B,2,FALSE),B4599),PlayerValues!E:E,0)),"N/A")</f>
        <v>N/A</v>
      </c>
      <c r="B4599" s="4" t="s">
        <v>107</v>
      </c>
      <c r="C4599" s="4" t="s">
        <v>325</v>
      </c>
      <c r="D4599" s="94">
        <v>3883.0</v>
      </c>
    </row>
    <row r="4600">
      <c r="A4600" s="40">
        <f t="array" ref="A4600">IFNA(index(PlayerValues!A:A,match(IFNA(vlookup(B4600,'Special Names'!A:B,2,FALSE),B4600),PlayerValues!E:E,0)),"N/A")</f>
        <v>17099</v>
      </c>
      <c r="B4600" s="4" t="s">
        <v>474</v>
      </c>
      <c r="C4600" s="4" t="s">
        <v>298</v>
      </c>
      <c r="D4600" s="94">
        <v>4362.0</v>
      </c>
    </row>
    <row r="4601">
      <c r="A4601" s="40" t="str">
        <f t="array" ref="A4601">IFNA(index(PlayerValues!A:A,match(IFNA(vlookup(B4601,'Special Names'!A:B,2,FALSE),B4601),PlayerValues!E:E,0)),"N/A")</f>
        <v>N/A</v>
      </c>
      <c r="B4601" s="4" t="s">
        <v>81</v>
      </c>
      <c r="C4601" s="4" t="s">
        <v>325</v>
      </c>
      <c r="D4601" s="94">
        <v>3862.0</v>
      </c>
    </row>
    <row r="4602">
      <c r="A4602" s="40">
        <f t="array" ref="A4602">IFNA(index(PlayerValues!A:A,match(IFNA(vlookup(B4602,'Special Names'!A:B,2,FALSE),B4602),PlayerValues!E:E,0)),"N/A")</f>
        <v>17502</v>
      </c>
      <c r="B4602" s="4" t="s">
        <v>451</v>
      </c>
      <c r="C4602" s="4" t="s">
        <v>287</v>
      </c>
      <c r="D4602" s="94">
        <v>3828.0</v>
      </c>
    </row>
    <row r="4603">
      <c r="A4603" s="40">
        <f t="array" ref="A4603">IFNA(index(PlayerValues!A:A,match(IFNA(vlookup(B4603,'Special Names'!A:B,2,FALSE),B4603),PlayerValues!E:E,0)),"N/A")</f>
        <v>12626</v>
      </c>
      <c r="B4603" s="4" t="s">
        <v>419</v>
      </c>
      <c r="C4603" s="4" t="s">
        <v>278</v>
      </c>
      <c r="D4603" s="94">
        <v>3818.0</v>
      </c>
    </row>
    <row r="4604">
      <c r="A4604" s="40">
        <f t="array" ref="A4604">IFNA(index(PlayerValues!A:A,match(IFNA(vlookup(B4604,'Special Names'!A:B,2,FALSE),B4604),PlayerValues!E:E,0)),"N/A")</f>
        <v>13635</v>
      </c>
      <c r="B4604" s="4" t="s">
        <v>424</v>
      </c>
      <c r="C4604" s="4" t="s">
        <v>287</v>
      </c>
      <c r="D4604" s="94">
        <v>3806.0</v>
      </c>
    </row>
    <row r="4605">
      <c r="A4605" s="40">
        <f t="array" ref="A4605">IFNA(index(PlayerValues!A:A,match(IFNA(vlookup(B4605,'Special Names'!A:B,2,FALSE),B4605),PlayerValues!E:E,0)),"N/A")</f>
        <v>14102</v>
      </c>
      <c r="B4605" s="4" t="s">
        <v>444</v>
      </c>
      <c r="C4605" s="4" t="s">
        <v>287</v>
      </c>
      <c r="D4605" s="94">
        <v>3731.0</v>
      </c>
    </row>
    <row r="4606">
      <c r="A4606" s="40">
        <f t="array" ref="A4606">IFNA(index(PlayerValues!A:A,match(IFNA(vlookup(B4606,'Special Names'!A:B,2,FALSE),B4606),PlayerValues!E:E,0)),"N/A")</f>
        <v>16206</v>
      </c>
      <c r="B4606" s="4" t="s">
        <v>431</v>
      </c>
      <c r="C4606" s="4" t="s">
        <v>287</v>
      </c>
      <c r="D4606" s="94">
        <v>3709.0</v>
      </c>
    </row>
    <row r="4607">
      <c r="A4607" s="40">
        <f t="array" ref="A4607">IFNA(index(PlayerValues!A:A,match(IFNA(vlookup(B4607,'Special Names'!A:B,2,FALSE),B4607),PlayerValues!E:E,0)),"N/A")</f>
        <v>17075</v>
      </c>
      <c r="B4607" s="4" t="s">
        <v>429</v>
      </c>
      <c r="C4607" s="4" t="s">
        <v>287</v>
      </c>
      <c r="D4607" s="94">
        <v>3707.0</v>
      </c>
    </row>
    <row r="4608">
      <c r="A4608" s="40">
        <f t="array" ref="A4608">IFNA(index(PlayerValues!A:A,match(IFNA(vlookup(B4608,'Special Names'!A:B,2,FALSE),B4608),PlayerValues!E:E,0)),"N/A")</f>
        <v>9431</v>
      </c>
      <c r="B4608" s="4" t="s">
        <v>428</v>
      </c>
      <c r="C4608" s="4" t="s">
        <v>283</v>
      </c>
      <c r="D4608" s="94">
        <v>3703.0</v>
      </c>
    </row>
    <row r="4609">
      <c r="A4609" s="40">
        <f t="array" ref="A4609">IFNA(index(PlayerValues!A:A,match(IFNA(vlookup(B4609,'Special Names'!A:B,2,FALSE),B4609),PlayerValues!E:E,0)),"N/A")</f>
        <v>17463</v>
      </c>
      <c r="B4609" s="4" t="s">
        <v>433</v>
      </c>
      <c r="C4609" s="4" t="s">
        <v>283</v>
      </c>
      <c r="D4609" s="94">
        <v>3690.0</v>
      </c>
    </row>
    <row r="4610">
      <c r="A4610" s="40">
        <f t="array" ref="A4610">IFNA(index(PlayerValues!A:A,match(IFNA(vlookup(B4610,'Special Names'!A:B,2,FALSE),B4610),PlayerValues!E:E,0)),"N/A")</f>
        <v>15789</v>
      </c>
      <c r="B4610" s="4" t="s">
        <v>421</v>
      </c>
      <c r="C4610" s="4" t="s">
        <v>287</v>
      </c>
      <c r="D4610" s="94">
        <v>3667.0</v>
      </c>
    </row>
    <row r="4611">
      <c r="A4611" s="40">
        <f t="array" ref="A4611">IFNA(index(PlayerValues!A:A,match(IFNA(vlookup(B4611,'Special Names'!A:B,2,FALSE),B4611),PlayerValues!E:E,0)),"N/A")</f>
        <v>17068</v>
      </c>
      <c r="B4611" s="4" t="s">
        <v>450</v>
      </c>
      <c r="C4611" s="4" t="s">
        <v>278</v>
      </c>
      <c r="D4611" s="94">
        <v>3649.0</v>
      </c>
    </row>
    <row r="4612">
      <c r="A4612" s="40">
        <f t="array" ref="A4612">IFNA(index(PlayerValues!A:A,match(IFNA(vlookup(B4612,'Special Names'!A:B,2,FALSE),B4612),PlayerValues!E:E,0)),"N/A")</f>
        <v>15757</v>
      </c>
      <c r="B4612" s="4" t="s">
        <v>449</v>
      </c>
      <c r="C4612" s="4" t="s">
        <v>287</v>
      </c>
      <c r="D4612" s="94">
        <v>3582.0</v>
      </c>
    </row>
    <row r="4613">
      <c r="A4613" s="40">
        <f t="array" ref="A4613">IFNA(index(PlayerValues!A:A,match(IFNA(vlookup(B4613,'Special Names'!A:B,2,FALSE),B4613),PlayerValues!E:E,0)),"N/A")</f>
        <v>17066</v>
      </c>
      <c r="B4613" s="4" t="s">
        <v>446</v>
      </c>
      <c r="C4613" s="4" t="s">
        <v>278</v>
      </c>
      <c r="D4613" s="94">
        <v>3570.0</v>
      </c>
    </row>
    <row r="4614">
      <c r="A4614" s="40">
        <f t="array" ref="A4614">IFNA(index(PlayerValues!A:A,match(IFNA(vlookup(B4614,'Special Names'!A:B,2,FALSE),B4614),PlayerValues!E:E,0)),"N/A")</f>
        <v>16622</v>
      </c>
      <c r="B4614" s="4" t="s">
        <v>517</v>
      </c>
      <c r="C4614" s="4" t="s">
        <v>287</v>
      </c>
      <c r="D4614" s="94">
        <v>3550.0</v>
      </c>
    </row>
    <row r="4615">
      <c r="A4615" s="40">
        <f t="array" ref="A4615">IFNA(index(PlayerValues!A:A,match(IFNA(vlookup(B4615,'Special Names'!A:B,2,FALSE),B4615),PlayerValues!E:E,0)),"N/A")</f>
        <v>14797</v>
      </c>
      <c r="B4615" s="4" t="s">
        <v>420</v>
      </c>
      <c r="C4615" s="4" t="s">
        <v>278</v>
      </c>
      <c r="D4615" s="94">
        <v>3547.0</v>
      </c>
    </row>
    <row r="4616">
      <c r="A4616" s="40">
        <f t="array" ref="A4616">IFNA(index(PlayerValues!A:A,match(IFNA(vlookup(B4616,'Special Names'!A:B,2,FALSE),B4616),PlayerValues!E:E,0)),"N/A")</f>
        <v>17083</v>
      </c>
      <c r="B4616" s="4" t="s">
        <v>479</v>
      </c>
      <c r="C4616" s="4" t="s">
        <v>287</v>
      </c>
      <c r="D4616" s="94">
        <v>3507.0</v>
      </c>
    </row>
    <row r="4617">
      <c r="A4617" s="40">
        <f t="array" ref="A4617">IFNA(index(PlayerValues!A:A,match(IFNA(vlookup(B4617,'Special Names'!A:B,2,FALSE),B4617),PlayerValues!E:E,0)),"N/A")</f>
        <v>16192</v>
      </c>
      <c r="B4617" s="4" t="s">
        <v>412</v>
      </c>
      <c r="C4617" s="4" t="s">
        <v>287</v>
      </c>
      <c r="D4617" s="94">
        <v>3483.0</v>
      </c>
    </row>
    <row r="4618">
      <c r="A4618" s="40">
        <f t="array" ref="A4618">IFNA(index(PlayerValues!A:A,match(IFNA(vlookup(B4618,'Special Names'!A:B,2,FALSE),B4618),PlayerValues!E:E,0)),"N/A")</f>
        <v>14109</v>
      </c>
      <c r="B4618" s="4" t="s">
        <v>437</v>
      </c>
      <c r="C4618" s="4" t="s">
        <v>287</v>
      </c>
      <c r="D4618" s="94">
        <v>3463.0</v>
      </c>
    </row>
    <row r="4619">
      <c r="A4619" s="40">
        <f t="array" ref="A4619">IFNA(index(PlayerValues!A:A,match(IFNA(vlookup(B4619,'Special Names'!A:B,2,FALSE),B4619),PlayerValues!E:E,0)),"N/A")</f>
        <v>16187</v>
      </c>
      <c r="B4619" s="4" t="s">
        <v>441</v>
      </c>
      <c r="C4619" s="4" t="s">
        <v>287</v>
      </c>
      <c r="D4619" s="94">
        <v>3458.0</v>
      </c>
    </row>
    <row r="4620">
      <c r="A4620" s="40">
        <f t="array" ref="A4620">IFNA(index(PlayerValues!A:A,match(IFNA(vlookup(B4620,'Special Names'!A:B,2,FALSE),B4620),PlayerValues!E:E,0)),"N/A")</f>
        <v>11675</v>
      </c>
      <c r="B4620" s="4" t="s">
        <v>438</v>
      </c>
      <c r="C4620" s="4" t="s">
        <v>287</v>
      </c>
      <c r="D4620" s="94">
        <v>3425.0</v>
      </c>
    </row>
    <row r="4621">
      <c r="A4621" s="40">
        <f t="array" ref="A4621">IFNA(index(PlayerValues!A:A,match(IFNA(vlookup(B4621,'Special Names'!A:B,2,FALSE),B4621),PlayerValues!E:E,0)),"N/A")</f>
        <v>17544</v>
      </c>
      <c r="B4621" s="4" t="s">
        <v>470</v>
      </c>
      <c r="C4621" s="4" t="s">
        <v>298</v>
      </c>
      <c r="D4621" s="94">
        <v>3876.0</v>
      </c>
    </row>
    <row r="4622">
      <c r="A4622" s="40">
        <f t="array" ref="A4622">IFNA(index(PlayerValues!A:A,match(IFNA(vlookup(B4622,'Special Names'!A:B,2,FALSE),B4622),PlayerValues!E:E,0)),"N/A")</f>
        <v>17500</v>
      </c>
      <c r="B4622" s="4" t="s">
        <v>430</v>
      </c>
      <c r="C4622" s="4" t="s">
        <v>287</v>
      </c>
      <c r="D4622" s="94">
        <v>3415.0</v>
      </c>
    </row>
    <row r="4623">
      <c r="A4623" s="40">
        <f t="array" ref="A4623">IFNA(index(PlayerValues!A:A,match(IFNA(vlookup(B4623,'Special Names'!A:B,2,FALSE),B4623),PlayerValues!E:E,0)),"N/A")</f>
        <v>16188</v>
      </c>
      <c r="B4623" s="4" t="s">
        <v>439</v>
      </c>
      <c r="C4623" s="4" t="s">
        <v>287</v>
      </c>
      <c r="D4623" s="94">
        <v>3392.0</v>
      </c>
    </row>
    <row r="4624">
      <c r="A4624" s="40" t="str">
        <f t="array" ref="A4624">IFNA(index(PlayerValues!A:A,match(IFNA(vlookup(B4624,'Special Names'!A:B,2,FALSE),B4624),PlayerValues!E:E,0)),"N/A")</f>
        <v>N/A</v>
      </c>
      <c r="B4624" s="4" t="s">
        <v>96</v>
      </c>
      <c r="C4624" s="4" t="s">
        <v>325</v>
      </c>
      <c r="D4624" s="94">
        <v>3392.0</v>
      </c>
    </row>
    <row r="4625">
      <c r="A4625" s="40">
        <f t="array" ref="A4625">IFNA(index(PlayerValues!A:A,match(IFNA(vlookup(B4625,'Special Names'!A:B,2,FALSE),B4625),PlayerValues!E:E,0)),"N/A")</f>
        <v>16620</v>
      </c>
      <c r="B4625" s="4" t="s">
        <v>467</v>
      </c>
      <c r="C4625" s="4" t="s">
        <v>287</v>
      </c>
      <c r="D4625" s="94">
        <v>3379.0</v>
      </c>
    </row>
    <row r="4626">
      <c r="A4626" s="40">
        <f t="array" ref="A4626">IFNA(index(PlayerValues!A:A,match(IFNA(vlookup(B4626,'Special Names'!A:B,2,FALSE),B4626),PlayerValues!E:E,0)),"N/A")</f>
        <v>14071</v>
      </c>
      <c r="B4626" s="4" t="s">
        <v>440</v>
      </c>
      <c r="C4626" s="4" t="s">
        <v>278</v>
      </c>
      <c r="D4626" s="94">
        <v>3375.0</v>
      </c>
    </row>
    <row r="4627">
      <c r="A4627" s="40">
        <f t="array" ref="A4627">IFNA(index(PlayerValues!A:A,match(IFNA(vlookup(B4627,'Special Names'!A:B,2,FALSE),B4627),PlayerValues!E:E,0)),"N/A")</f>
        <v>14842</v>
      </c>
      <c r="B4627" s="4" t="s">
        <v>456</v>
      </c>
      <c r="C4627" s="4" t="s">
        <v>287</v>
      </c>
      <c r="D4627" s="94">
        <v>3362.0</v>
      </c>
    </row>
    <row r="4628">
      <c r="A4628" s="40">
        <f t="array" ref="A4628">IFNA(index(PlayerValues!A:A,match(IFNA(vlookup(B4628,'Special Names'!A:B,2,FALSE),B4628),PlayerValues!E:E,0)),"N/A")</f>
        <v>16169</v>
      </c>
      <c r="B4628" s="4" t="s">
        <v>457</v>
      </c>
      <c r="C4628" s="4" t="s">
        <v>278</v>
      </c>
      <c r="D4628" s="94">
        <v>3361.0</v>
      </c>
    </row>
    <row r="4629">
      <c r="A4629" s="40">
        <f t="array" ref="A4629">IFNA(index(PlayerValues!A:A,match(IFNA(vlookup(B4629,'Special Names'!A:B,2,FALSE),B4629),PlayerValues!E:E,0)),"N/A")</f>
        <v>15798</v>
      </c>
      <c r="B4629" s="4" t="s">
        <v>443</v>
      </c>
      <c r="C4629" s="4" t="s">
        <v>298</v>
      </c>
      <c r="D4629" s="94">
        <v>3808.0</v>
      </c>
    </row>
    <row r="4630">
      <c r="A4630" s="40">
        <f t="array" ref="A4630">IFNA(index(PlayerValues!A:A,match(IFNA(vlookup(B4630,'Special Names'!A:B,2,FALSE),B4630),PlayerValues!E:E,0)),"N/A")</f>
        <v>15779</v>
      </c>
      <c r="B4630" s="4" t="s">
        <v>461</v>
      </c>
      <c r="C4630" s="4" t="s">
        <v>287</v>
      </c>
      <c r="D4630" s="94">
        <v>3342.0</v>
      </c>
    </row>
    <row r="4631">
      <c r="A4631" s="40">
        <f t="array" ref="A4631">IFNA(index(PlayerValues!A:A,match(IFNA(vlookup(B4631,'Special Names'!A:B,2,FALSE),B4631),PlayerValues!E:E,0)),"N/A")</f>
        <v>15261</v>
      </c>
      <c r="B4631" s="4" t="s">
        <v>466</v>
      </c>
      <c r="C4631" s="4" t="s">
        <v>278</v>
      </c>
      <c r="D4631" s="94">
        <v>3341.0</v>
      </c>
    </row>
    <row r="4632">
      <c r="A4632" s="40">
        <f t="array" ref="A4632">IFNA(index(PlayerValues!A:A,match(IFNA(vlookup(B4632,'Special Names'!A:B,2,FALSE),B4632),PlayerValues!E:E,0)),"N/A")</f>
        <v>16184</v>
      </c>
      <c r="B4632" s="4" t="s">
        <v>445</v>
      </c>
      <c r="C4632" s="4" t="s">
        <v>287</v>
      </c>
      <c r="D4632" s="94">
        <v>3333.0</v>
      </c>
    </row>
    <row r="4633">
      <c r="A4633" s="40">
        <f t="array" ref="A4633">IFNA(index(PlayerValues!A:A,match(IFNA(vlookup(B4633,'Special Names'!A:B,2,FALSE),B4633),PlayerValues!E:E,0)),"N/A")</f>
        <v>13299</v>
      </c>
      <c r="B4633" s="4" t="s">
        <v>448</v>
      </c>
      <c r="C4633" s="4" t="s">
        <v>298</v>
      </c>
      <c r="D4633" s="94">
        <v>3768.0</v>
      </c>
    </row>
    <row r="4634">
      <c r="A4634" s="40">
        <f t="array" ref="A4634">IFNA(index(PlayerValues!A:A,match(IFNA(vlookup(B4634,'Special Names'!A:B,2,FALSE),B4634),PlayerValues!E:E,0)),"N/A")</f>
        <v>17074</v>
      </c>
      <c r="B4634" s="4" t="s">
        <v>475</v>
      </c>
      <c r="C4634" s="4" t="s">
        <v>287</v>
      </c>
      <c r="D4634" s="94">
        <v>3312.0</v>
      </c>
    </row>
    <row r="4635">
      <c r="A4635" s="40">
        <f t="array" ref="A4635">IFNA(index(PlayerValues!A:A,match(IFNA(vlookup(B4635,'Special Names'!A:B,2,FALSE),B4635),PlayerValues!E:E,0)),"N/A")</f>
        <v>15799</v>
      </c>
      <c r="B4635" s="4" t="s">
        <v>468</v>
      </c>
      <c r="C4635" s="4" t="s">
        <v>298</v>
      </c>
      <c r="D4635" s="94">
        <v>3740.0</v>
      </c>
    </row>
    <row r="4636">
      <c r="A4636" s="40">
        <f t="array" ref="A4636">IFNA(index(PlayerValues!A:A,match(IFNA(vlookup(B4636,'Special Names'!A:B,2,FALSE),B4636),PlayerValues!E:E,0)),"N/A")</f>
        <v>11671</v>
      </c>
      <c r="B4636" s="4" t="s">
        <v>463</v>
      </c>
      <c r="C4636" s="4" t="s">
        <v>287</v>
      </c>
      <c r="D4636" s="94">
        <v>3277.0</v>
      </c>
    </row>
    <row r="4637">
      <c r="A4637" s="40" t="str">
        <f t="array" ref="A4637">IFNA(index(PlayerValues!A:A,match(IFNA(vlookup(B4637,'Special Names'!A:B,2,FALSE),B4637),PlayerValues!E:E,0)),"N/A")</f>
        <v>N/A</v>
      </c>
      <c r="B4637" s="4" t="s">
        <v>82</v>
      </c>
      <c r="C4637" s="4" t="s">
        <v>325</v>
      </c>
      <c r="D4637" s="94">
        <v>3259.0</v>
      </c>
    </row>
    <row r="4638">
      <c r="A4638" s="40">
        <f t="array" ref="A4638">IFNA(index(PlayerValues!A:A,match(IFNA(vlookup(B4638,'Special Names'!A:B,2,FALSE),B4638),PlayerValues!E:E,0)),"N/A")</f>
        <v>14127</v>
      </c>
      <c r="B4638" s="4" t="s">
        <v>486</v>
      </c>
      <c r="C4638" s="4" t="s">
        <v>287</v>
      </c>
      <c r="D4638" s="94">
        <v>3243.0</v>
      </c>
    </row>
    <row r="4639">
      <c r="A4639" s="40">
        <f t="array" ref="A4639">IFNA(index(PlayerValues!A:A,match(IFNA(vlookup(B4639,'Special Names'!A:B,2,FALSE),B4639),PlayerValues!E:E,0)),"N/A")</f>
        <v>13630</v>
      </c>
      <c r="B4639" s="4" t="s">
        <v>465</v>
      </c>
      <c r="C4639" s="4" t="s">
        <v>287</v>
      </c>
      <c r="D4639" s="94">
        <v>3238.0</v>
      </c>
    </row>
    <row r="4640">
      <c r="A4640" s="40">
        <f t="array" ref="A4640">IFNA(index(PlayerValues!A:A,match(IFNA(vlookup(B4640,'Special Names'!A:B,2,FALSE),B4640),PlayerValues!E:E,0)),"N/A")</f>
        <v>16213</v>
      </c>
      <c r="B4640" s="4" t="s">
        <v>458</v>
      </c>
      <c r="C4640" s="4" t="s">
        <v>298</v>
      </c>
      <c r="D4640" s="94">
        <v>3665.0</v>
      </c>
    </row>
    <row r="4641">
      <c r="A4641" s="40" t="str">
        <f t="array" ref="A4641">IFNA(index(PlayerValues!A:A,match(IFNA(vlookup(B4641,'Special Names'!A:B,2,FALSE),B4641),PlayerValues!E:E,0)),"N/A")</f>
        <v>N/A</v>
      </c>
      <c r="B4641" s="4" t="s">
        <v>97</v>
      </c>
      <c r="C4641" s="4" t="s">
        <v>325</v>
      </c>
      <c r="D4641" s="94">
        <v>3207.0</v>
      </c>
    </row>
    <row r="4642">
      <c r="A4642" s="40">
        <f t="array" ref="A4642">IFNA(index(PlayerValues!A:A,match(IFNA(vlookup(B4642,'Special Names'!A:B,2,FALSE),B4642),PlayerValues!E:E,0)),"N/A")</f>
        <v>16593</v>
      </c>
      <c r="B4642" s="4" t="s">
        <v>442</v>
      </c>
      <c r="C4642" s="4" t="s">
        <v>278</v>
      </c>
      <c r="D4642" s="94">
        <v>3186.0</v>
      </c>
    </row>
    <row r="4643">
      <c r="A4643" s="40">
        <f t="array" ref="A4643">IFNA(index(PlayerValues!A:A,match(IFNA(vlookup(B4643,'Special Names'!A:B,2,FALSE),B4643),PlayerValues!E:E,0)),"N/A")</f>
        <v>14823</v>
      </c>
      <c r="B4643" s="4" t="s">
        <v>459</v>
      </c>
      <c r="C4643" s="4" t="s">
        <v>278</v>
      </c>
      <c r="D4643" s="94">
        <v>3183.0</v>
      </c>
    </row>
    <row r="4644">
      <c r="A4644" s="40">
        <f t="array" ref="A4644">IFNA(index(PlayerValues!A:A,match(IFNA(vlookup(B4644,'Special Names'!A:B,2,FALSE),B4644),PlayerValues!E:E,0)),"N/A")</f>
        <v>16583</v>
      </c>
      <c r="B4644" s="4" t="s">
        <v>493</v>
      </c>
      <c r="C4644" s="4" t="s">
        <v>283</v>
      </c>
      <c r="D4644" s="94">
        <v>3143.0</v>
      </c>
    </row>
    <row r="4645">
      <c r="A4645" s="40">
        <f t="array" ref="A4645">IFNA(index(PlayerValues!A:A,match(IFNA(vlookup(B4645,'Special Names'!A:B,2,FALSE),B4645),PlayerValues!E:E,0)),"N/A")</f>
        <v>15742</v>
      </c>
      <c r="B4645" s="4" t="s">
        <v>447</v>
      </c>
      <c r="C4645" s="4" t="s">
        <v>278</v>
      </c>
      <c r="D4645" s="94">
        <v>3130.0</v>
      </c>
    </row>
    <row r="4646">
      <c r="A4646" s="40">
        <f t="array" ref="A4646">IFNA(index(PlayerValues!A:A,match(IFNA(vlookup(B4646,'Special Names'!A:B,2,FALSE),B4646),PlayerValues!E:E,0)),"N/A")</f>
        <v>14800</v>
      </c>
      <c r="B4646" s="4" t="s">
        <v>472</v>
      </c>
      <c r="C4646" s="4" t="s">
        <v>278</v>
      </c>
      <c r="D4646" s="94">
        <v>3129.0</v>
      </c>
    </row>
    <row r="4647">
      <c r="A4647" s="40" t="str">
        <f t="array" ref="A4647">IFNA(index(PlayerValues!A:A,match(IFNA(vlookup(B4647,'Special Names'!A:B,2,FALSE),B4647),PlayerValues!E:E,0)),"N/A")</f>
        <v>N/A</v>
      </c>
      <c r="B4647" s="4" t="s">
        <v>108</v>
      </c>
      <c r="C4647" s="4" t="s">
        <v>325</v>
      </c>
      <c r="D4647" s="94">
        <v>3108.0</v>
      </c>
    </row>
    <row r="4648">
      <c r="A4648" s="40">
        <f t="array" ref="A4648">IFNA(index(PlayerValues!A:A,match(IFNA(vlookup(B4648,'Special Names'!A:B,2,FALSE),B4648),PlayerValues!E:E,0)),"N/A")</f>
        <v>16809</v>
      </c>
      <c r="B4648" s="4" t="s">
        <v>455</v>
      </c>
      <c r="C4648" s="4" t="s">
        <v>287</v>
      </c>
      <c r="D4648" s="94">
        <v>3039.0</v>
      </c>
    </row>
    <row r="4649">
      <c r="A4649" s="40">
        <f t="array" ref="A4649">IFNA(index(PlayerValues!A:A,match(IFNA(vlookup(B4649,'Special Names'!A:B,2,FALSE),B4649),PlayerValues!E:E,0)),"N/A")</f>
        <v>16597</v>
      </c>
      <c r="B4649" s="4" t="s">
        <v>427</v>
      </c>
      <c r="C4649" s="4" t="s">
        <v>278</v>
      </c>
      <c r="D4649" s="94">
        <v>3038.0</v>
      </c>
    </row>
    <row r="4650">
      <c r="A4650" s="40">
        <f t="array" ref="A4650">IFNA(index(PlayerValues!A:A,match(IFNA(vlookup(B4650,'Special Names'!A:B,2,FALSE),B4650),PlayerValues!E:E,0)),"N/A")</f>
        <v>16080</v>
      </c>
      <c r="B4650" s="4" t="s">
        <v>499</v>
      </c>
      <c r="C4650" s="4" t="s">
        <v>287</v>
      </c>
      <c r="D4650" s="94">
        <v>3036.0</v>
      </c>
    </row>
    <row r="4651">
      <c r="A4651" s="40" t="str">
        <f t="array" ref="A4651">IFNA(index(PlayerValues!A:A,match(IFNA(vlookup(B4651,'Special Names'!A:B,2,FALSE),B4651),PlayerValues!E:E,0)),"N/A")</f>
        <v>N/A</v>
      </c>
      <c r="B4651" s="4" t="s">
        <v>84</v>
      </c>
      <c r="C4651" s="4" t="s">
        <v>325</v>
      </c>
      <c r="D4651" s="94">
        <v>3033.0</v>
      </c>
    </row>
    <row r="4652">
      <c r="A4652" s="40">
        <f t="array" ref="A4652">IFNA(index(PlayerValues!A:A,match(IFNA(vlookup(B4652,'Special Names'!A:B,2,FALSE),B4652),PlayerValues!E:E,0)),"N/A")</f>
        <v>16269</v>
      </c>
      <c r="B4652" s="4" t="s">
        <v>481</v>
      </c>
      <c r="C4652" s="4" t="s">
        <v>298</v>
      </c>
      <c r="D4652" s="94">
        <v>3441.0</v>
      </c>
    </row>
    <row r="4653">
      <c r="A4653" s="40">
        <f t="array" ref="A4653">IFNA(index(PlayerValues!A:A,match(IFNA(vlookup(B4653,'Special Names'!A:B,2,FALSE),B4653),PlayerValues!E:E,0)),"N/A")</f>
        <v>15761</v>
      </c>
      <c r="B4653" s="4" t="s">
        <v>491</v>
      </c>
      <c r="C4653" s="4" t="s">
        <v>287</v>
      </c>
      <c r="D4653" s="94">
        <v>3008.0</v>
      </c>
    </row>
    <row r="4654">
      <c r="A4654" s="40">
        <f t="array" ref="A4654">IFNA(index(PlayerValues!A:A,match(IFNA(vlookup(B4654,'Special Names'!A:B,2,FALSE),B4654),PlayerValues!E:E,0)),"N/A")</f>
        <v>16628</v>
      </c>
      <c r="B4654" s="4" t="s">
        <v>490</v>
      </c>
      <c r="C4654" s="4" t="s">
        <v>287</v>
      </c>
      <c r="D4654" s="94">
        <v>2998.0</v>
      </c>
    </row>
    <row r="4655">
      <c r="A4655" s="40">
        <f t="array" ref="A4655">IFNA(index(PlayerValues!A:A,match(IFNA(vlookup(B4655,'Special Names'!A:B,2,FALSE),B4655),PlayerValues!E:E,0)),"N/A")</f>
        <v>16584</v>
      </c>
      <c r="B4655" s="4" t="s">
        <v>569</v>
      </c>
      <c r="C4655" s="4" t="s">
        <v>283</v>
      </c>
      <c r="D4655" s="94">
        <v>2949.0</v>
      </c>
    </row>
    <row r="4656">
      <c r="A4656" s="40">
        <f t="array" ref="A4656">IFNA(index(PlayerValues!A:A,match(IFNA(vlookup(B4656,'Special Names'!A:B,2,FALSE),B4656),PlayerValues!E:E,0)),"N/A")</f>
        <v>17053</v>
      </c>
      <c r="B4656" s="4" t="s">
        <v>484</v>
      </c>
      <c r="C4656" s="4" t="s">
        <v>278</v>
      </c>
      <c r="D4656" s="94">
        <v>2944.0</v>
      </c>
    </row>
    <row r="4657">
      <c r="A4657" s="40">
        <f t="array" ref="A4657">IFNA(index(PlayerValues!A:A,match(IFNA(vlookup(B4657,'Special Names'!A:B,2,FALSE),B4657),PlayerValues!E:E,0)),"N/A")</f>
        <v>13163</v>
      </c>
      <c r="B4657" s="4" t="s">
        <v>473</v>
      </c>
      <c r="C4657" s="4" t="s">
        <v>287</v>
      </c>
      <c r="D4657" s="94">
        <v>2925.0</v>
      </c>
    </row>
    <row r="4658">
      <c r="A4658" s="40">
        <f t="array" ref="A4658">IFNA(index(PlayerValues!A:A,match(IFNA(vlookup(B4658,'Special Names'!A:B,2,FALSE),B4658),PlayerValues!E:E,0)),"N/A")</f>
        <v>15259</v>
      </c>
      <c r="B4658" s="4" t="s">
        <v>453</v>
      </c>
      <c r="C4658" s="4" t="s">
        <v>278</v>
      </c>
      <c r="D4658" s="94">
        <v>2924.0</v>
      </c>
    </row>
    <row r="4659">
      <c r="A4659" s="40" t="str">
        <f t="array" ref="A4659">IFNA(index(PlayerValues!A:A,match(IFNA(vlookup(B4659,'Special Names'!A:B,2,FALSE),B4659),PlayerValues!E:E,0)),"N/A")</f>
        <v>N/A</v>
      </c>
      <c r="B4659" s="4" t="s">
        <v>109</v>
      </c>
      <c r="C4659" s="4" t="s">
        <v>325</v>
      </c>
      <c r="D4659" s="94">
        <v>2915.0</v>
      </c>
    </row>
    <row r="4660">
      <c r="A4660" s="40">
        <f t="array" ref="A4660">IFNA(index(PlayerValues!A:A,match(IFNA(vlookup(B4660,'Special Names'!A:B,2,FALSE),B4660),PlayerValues!E:E,0)),"N/A")</f>
        <v>17256</v>
      </c>
      <c r="B4660" s="4" t="s">
        <v>462</v>
      </c>
      <c r="C4660" s="4" t="s">
        <v>278</v>
      </c>
      <c r="D4660" s="94">
        <v>2899.0</v>
      </c>
    </row>
    <row r="4661">
      <c r="A4661" s="40">
        <f t="array" ref="A4661">IFNA(index(PlayerValues!A:A,match(IFNA(vlookup(B4661,'Special Names'!A:B,2,FALSE),B4661),PlayerValues!E:E,0)),"N/A")</f>
        <v>17477</v>
      </c>
      <c r="B4661" s="4" t="s">
        <v>452</v>
      </c>
      <c r="C4661" s="4" t="s">
        <v>278</v>
      </c>
      <c r="D4661" s="94">
        <v>2887.0</v>
      </c>
    </row>
    <row r="4662">
      <c r="A4662" s="40">
        <f t="array" ref="A4662">IFNA(index(PlayerValues!A:A,match(IFNA(vlookup(B4662,'Special Names'!A:B,2,FALSE),B4662),PlayerValues!E:E,0)),"N/A")</f>
        <v>16723</v>
      </c>
      <c r="B4662" s="4" t="s">
        <v>502</v>
      </c>
      <c r="C4662" s="4" t="s">
        <v>298</v>
      </c>
      <c r="D4662" s="94">
        <v>3301.0</v>
      </c>
    </row>
    <row r="4663">
      <c r="A4663" s="40">
        <f t="array" ref="A4663">IFNA(index(PlayerValues!A:A,match(IFNA(vlookup(B4663,'Special Names'!A:B,2,FALSE),B4663),PlayerValues!E:E,0)),"N/A")</f>
        <v>17506</v>
      </c>
      <c r="B4663" s="4" t="s">
        <v>471</v>
      </c>
      <c r="C4663" s="4" t="s">
        <v>287</v>
      </c>
      <c r="D4663" s="94">
        <v>2875.0</v>
      </c>
    </row>
    <row r="4664">
      <c r="A4664" s="40">
        <f t="array" ref="A4664">IFNA(index(PlayerValues!A:A,match(IFNA(vlookup(B4664,'Special Names'!A:B,2,FALSE),B4664),PlayerValues!E:E,0)),"N/A")</f>
        <v>17476</v>
      </c>
      <c r="B4664" s="4" t="s">
        <v>494</v>
      </c>
      <c r="C4664" s="4" t="s">
        <v>278</v>
      </c>
      <c r="D4664" s="94">
        <v>2852.0</v>
      </c>
    </row>
    <row r="4665">
      <c r="A4665" s="40">
        <f t="array" ref="A4665">IFNA(index(PlayerValues!A:A,match(IFNA(vlookup(B4665,'Special Names'!A:B,2,FALSE),B4665),PlayerValues!E:E,0)),"N/A")</f>
        <v>15255</v>
      </c>
      <c r="B4665" s="4" t="s">
        <v>477</v>
      </c>
      <c r="C4665" s="4" t="s">
        <v>278</v>
      </c>
      <c r="D4665" s="94">
        <v>2852.0</v>
      </c>
    </row>
    <row r="4666">
      <c r="A4666" s="40">
        <f t="array" ref="A4666">IFNA(index(PlayerValues!A:A,match(IFNA(vlookup(B4666,'Special Names'!A:B,2,FALSE),B4666),PlayerValues!E:E,0)),"N/A")</f>
        <v>14138</v>
      </c>
      <c r="B4666" s="4" t="s">
        <v>531</v>
      </c>
      <c r="C4666" s="4" t="s">
        <v>298</v>
      </c>
      <c r="D4666" s="94">
        <v>3253.0</v>
      </c>
    </row>
    <row r="4667">
      <c r="A4667" s="40">
        <f t="array" ref="A4667">IFNA(index(PlayerValues!A:A,match(IFNA(vlookup(B4667,'Special Names'!A:B,2,FALSE),B4667),PlayerValues!E:E,0)),"N/A")</f>
        <v>17031</v>
      </c>
      <c r="B4667" s="4" t="s">
        <v>535</v>
      </c>
      <c r="C4667" s="4" t="s">
        <v>283</v>
      </c>
      <c r="D4667" s="94">
        <v>2825.0</v>
      </c>
    </row>
    <row r="4668">
      <c r="A4668" s="40">
        <f t="array" ref="A4668">IFNA(index(PlayerValues!A:A,match(IFNA(vlookup(B4668,'Special Names'!A:B,2,FALSE),B4668),PlayerValues!E:E,0)),"N/A")</f>
        <v>15712</v>
      </c>
      <c r="B4668" s="4" t="s">
        <v>488</v>
      </c>
      <c r="C4668" s="4" t="s">
        <v>278</v>
      </c>
      <c r="D4668" s="94">
        <v>2820.0</v>
      </c>
    </row>
    <row r="4669">
      <c r="A4669" s="40">
        <f t="array" ref="A4669">IFNA(index(PlayerValues!A:A,match(IFNA(vlookup(B4669,'Special Names'!A:B,2,FALSE),B4669),PlayerValues!E:E,0)),"N/A")</f>
        <v>13671</v>
      </c>
      <c r="B4669" s="4" t="s">
        <v>506</v>
      </c>
      <c r="C4669" s="4" t="s">
        <v>298</v>
      </c>
      <c r="D4669" s="94">
        <v>3230.0</v>
      </c>
    </row>
    <row r="4670">
      <c r="A4670" s="40">
        <f t="array" ref="A4670">IFNA(index(PlayerValues!A:A,match(IFNA(vlookup(B4670,'Special Names'!A:B,2,FALSE),B4670),PlayerValues!E:E,0)),"N/A")</f>
        <v>15889</v>
      </c>
      <c r="B4670" s="4" t="s">
        <v>503</v>
      </c>
      <c r="C4670" s="4" t="s">
        <v>298</v>
      </c>
      <c r="D4670" s="94">
        <v>3212.0</v>
      </c>
    </row>
    <row r="4671">
      <c r="A4671" s="40">
        <f t="array" ref="A4671">IFNA(index(PlayerValues!A:A,match(IFNA(vlookup(B4671,'Special Names'!A:B,2,FALSE),B4671),PlayerValues!E:E,0)),"N/A")</f>
        <v>17072</v>
      </c>
      <c r="B4671" s="4" t="s">
        <v>508</v>
      </c>
      <c r="C4671" s="4" t="s">
        <v>287</v>
      </c>
      <c r="D4671" s="94">
        <v>2781.0</v>
      </c>
    </row>
    <row r="4672">
      <c r="A4672" s="40">
        <f t="array" ref="A4672">IFNA(index(PlayerValues!A:A,match(IFNA(vlookup(B4672,'Special Names'!A:B,2,FALSE),B4672),PlayerValues!E:E,0)),"N/A")</f>
        <v>17157</v>
      </c>
      <c r="B4672" s="4" t="s">
        <v>524</v>
      </c>
      <c r="C4672" s="4" t="s">
        <v>287</v>
      </c>
      <c r="D4672" s="94">
        <v>2781.0</v>
      </c>
    </row>
    <row r="4673">
      <c r="A4673" s="40">
        <f t="array" ref="A4673">IFNA(index(PlayerValues!A:A,match(IFNA(vlookup(B4673,'Special Names'!A:B,2,FALSE),B4673),PlayerValues!E:E,0)),"N/A")</f>
        <v>14085</v>
      </c>
      <c r="B4673" s="4" t="s">
        <v>489</v>
      </c>
      <c r="C4673" s="4" t="s">
        <v>278</v>
      </c>
      <c r="D4673" s="94">
        <v>2770.0</v>
      </c>
    </row>
    <row r="4674">
      <c r="A4674" s="40" t="str">
        <f t="array" ref="A4674">IFNA(index(PlayerValues!A:A,match(IFNA(vlookup(B4674,'Special Names'!A:B,2,FALSE),B4674),PlayerValues!E:E,0)),"N/A")</f>
        <v>N/A</v>
      </c>
      <c r="B4674" s="4" t="s">
        <v>110</v>
      </c>
      <c r="C4674" s="4" t="s">
        <v>325</v>
      </c>
      <c r="D4674" s="94">
        <v>2768.0</v>
      </c>
    </row>
    <row r="4675">
      <c r="A4675" s="40">
        <f t="array" ref="A4675">IFNA(index(PlayerValues!A:A,match(IFNA(vlookup(B4675,'Special Names'!A:B,2,FALSE),B4675),PlayerValues!E:E,0)),"N/A")</f>
        <v>15241</v>
      </c>
      <c r="B4675" s="4" t="s">
        <v>546</v>
      </c>
      <c r="C4675" s="4" t="s">
        <v>283</v>
      </c>
      <c r="D4675" s="94">
        <v>2767.0</v>
      </c>
    </row>
    <row r="4676">
      <c r="A4676" s="40">
        <f t="array" ref="A4676">IFNA(index(PlayerValues!A:A,match(IFNA(vlookup(B4676,'Special Names'!A:B,2,FALSE),B4676),PlayerValues!E:E,0)),"N/A")</f>
        <v>16193</v>
      </c>
      <c r="B4676" s="4" t="s">
        <v>487</v>
      </c>
      <c r="C4676" s="4" t="s">
        <v>287</v>
      </c>
      <c r="D4676" s="94">
        <v>2766.0</v>
      </c>
    </row>
    <row r="4677">
      <c r="A4677" s="40" t="str">
        <f t="array" ref="A4677">IFNA(index(PlayerValues!A:A,match(IFNA(vlookup(B4677,'Special Names'!A:B,2,FALSE),B4677),PlayerValues!E:E,0)),"N/A")</f>
        <v>N/A</v>
      </c>
      <c r="B4677" s="4" t="s">
        <v>85</v>
      </c>
      <c r="C4677" s="4" t="s">
        <v>325</v>
      </c>
      <c r="D4677" s="94">
        <v>2765.0</v>
      </c>
    </row>
    <row r="4678">
      <c r="A4678" s="40">
        <f t="array" ref="A4678">IFNA(index(PlayerValues!A:A,match(IFNA(vlookup(B4678,'Special Names'!A:B,2,FALSE),B4678),PlayerValues!E:E,0)),"N/A")</f>
        <v>14778</v>
      </c>
      <c r="B4678" s="4" t="s">
        <v>564</v>
      </c>
      <c r="C4678" s="4" t="s">
        <v>283</v>
      </c>
      <c r="D4678" s="94">
        <v>2764.0</v>
      </c>
    </row>
    <row r="4679">
      <c r="A4679" s="40">
        <f t="array" ref="A4679">IFNA(index(PlayerValues!A:A,match(IFNA(vlookup(B4679,'Special Names'!A:B,2,FALSE),B4679),PlayerValues!E:E,0)),"N/A")</f>
        <v>16619</v>
      </c>
      <c r="B4679" s="4" t="s">
        <v>538</v>
      </c>
      <c r="C4679" s="4" t="s">
        <v>287</v>
      </c>
      <c r="D4679" s="94">
        <v>2751.0</v>
      </c>
    </row>
    <row r="4680">
      <c r="A4680" s="40">
        <f t="array" ref="A4680">IFNA(index(PlayerValues!A:A,match(IFNA(vlookup(B4680,'Special Names'!A:B,2,FALSE),B4680),PlayerValues!E:E,0)),"N/A")</f>
        <v>12616</v>
      </c>
      <c r="B4680" s="4" t="s">
        <v>529</v>
      </c>
      <c r="C4680" s="4" t="s">
        <v>283</v>
      </c>
      <c r="D4680" s="94">
        <v>2743.0</v>
      </c>
    </row>
    <row r="4681">
      <c r="A4681" s="40">
        <f t="array" ref="A4681">IFNA(index(PlayerValues!A:A,match(IFNA(vlookup(B4681,'Special Names'!A:B,2,FALSE),B4681),PlayerValues!E:E,0)),"N/A")</f>
        <v>17047</v>
      </c>
      <c r="B4681" s="4" t="s">
        <v>510</v>
      </c>
      <c r="C4681" s="4" t="s">
        <v>278</v>
      </c>
      <c r="D4681" s="94">
        <v>2740.0</v>
      </c>
    </row>
    <row r="4682">
      <c r="A4682" s="40">
        <f t="array" ref="A4682">IFNA(index(PlayerValues!A:A,match(IFNA(vlookup(B4682,'Special Names'!A:B,2,FALSE),B4682),PlayerValues!E:E,0)),"N/A")</f>
        <v>17073</v>
      </c>
      <c r="B4682" s="4" t="s">
        <v>547</v>
      </c>
      <c r="C4682" s="4" t="s">
        <v>287</v>
      </c>
      <c r="D4682" s="94">
        <v>2737.0</v>
      </c>
    </row>
    <row r="4683">
      <c r="A4683" s="40">
        <f t="array" ref="A4683">IFNA(index(PlayerValues!A:A,match(IFNA(vlookup(B4683,'Special Names'!A:B,2,FALSE),B4683),PlayerValues!E:E,0)),"N/A")</f>
        <v>17503</v>
      </c>
      <c r="B4683" s="4" t="s">
        <v>480</v>
      </c>
      <c r="C4683" s="4" t="s">
        <v>287</v>
      </c>
      <c r="D4683" s="94">
        <v>2726.0</v>
      </c>
    </row>
    <row r="4684">
      <c r="A4684" s="40">
        <f t="array" ref="A4684">IFNA(index(PlayerValues!A:A,match(IFNA(vlookup(B4684,'Special Names'!A:B,2,FALSE),B4684),PlayerValues!E:E,0)),"N/A")</f>
        <v>17080</v>
      </c>
      <c r="B4684" s="4" t="s">
        <v>532</v>
      </c>
      <c r="C4684" s="4" t="s">
        <v>287</v>
      </c>
      <c r="D4684" s="94">
        <v>2726.0</v>
      </c>
    </row>
    <row r="4685">
      <c r="A4685" s="40">
        <f t="array" ref="A4685">IFNA(index(PlayerValues!A:A,match(IFNA(vlookup(B4685,'Special Names'!A:B,2,FALSE),B4685),PlayerValues!E:E,0)),"N/A")</f>
        <v>17098</v>
      </c>
      <c r="B4685" s="4" t="s">
        <v>533</v>
      </c>
      <c r="C4685" s="4" t="s">
        <v>287</v>
      </c>
      <c r="D4685" s="94">
        <v>2722.0</v>
      </c>
    </row>
    <row r="4686">
      <c r="A4686" s="40">
        <f t="array" ref="A4686">IFNA(index(PlayerValues!A:A,match(IFNA(vlookup(B4686,'Special Names'!A:B,2,FALSE),B4686),PlayerValues!E:E,0)),"N/A")</f>
        <v>17107</v>
      </c>
      <c r="B4686" s="4" t="s">
        <v>478</v>
      </c>
      <c r="C4686" s="4" t="s">
        <v>298</v>
      </c>
      <c r="D4686" s="94">
        <v>3130.0</v>
      </c>
    </row>
    <row r="4687">
      <c r="A4687" s="40">
        <f t="array" ref="A4687">IFNA(index(PlayerValues!A:A,match(IFNA(vlookup(B4687,'Special Names'!A:B,2,FALSE),B4687),PlayerValues!E:E,0)),"N/A")</f>
        <v>15721</v>
      </c>
      <c r="B4687" s="4" t="s">
        <v>504</v>
      </c>
      <c r="C4687" s="4" t="s">
        <v>278</v>
      </c>
      <c r="D4687" s="94">
        <v>2714.0</v>
      </c>
    </row>
    <row r="4688">
      <c r="A4688" s="40">
        <f t="array" ref="A4688">IFNA(index(PlayerValues!A:A,match(IFNA(vlookup(B4688,'Special Names'!A:B,2,FALSE),B4688),PlayerValues!E:E,0)),"N/A")</f>
        <v>16596</v>
      </c>
      <c r="B4688" s="4" t="s">
        <v>501</v>
      </c>
      <c r="C4688" s="4" t="s">
        <v>278</v>
      </c>
      <c r="D4688" s="94">
        <v>2705.0</v>
      </c>
    </row>
    <row r="4689">
      <c r="A4689" s="40">
        <f t="array" ref="A4689">IFNA(index(PlayerValues!A:A,match(IFNA(vlookup(B4689,'Special Names'!A:B,2,FALSE),B4689),PlayerValues!E:E,0)),"N/A")</f>
        <v>14833</v>
      </c>
      <c r="B4689" s="4" t="s">
        <v>553</v>
      </c>
      <c r="C4689" s="4" t="s">
        <v>287</v>
      </c>
      <c r="D4689" s="94">
        <v>2704.0</v>
      </c>
    </row>
    <row r="4690">
      <c r="A4690" s="40">
        <f t="array" ref="A4690">IFNA(index(PlayerValues!A:A,match(IFNA(vlookup(B4690,'Special Names'!A:B,2,FALSE),B4690),PlayerValues!E:E,0)),"N/A")</f>
        <v>15972</v>
      </c>
      <c r="B4690" s="4" t="s">
        <v>469</v>
      </c>
      <c r="C4690" s="4" t="s">
        <v>278</v>
      </c>
      <c r="D4690" s="94">
        <v>2702.0</v>
      </c>
    </row>
    <row r="4691">
      <c r="A4691" s="40">
        <f t="array" ref="A4691">IFNA(index(PlayerValues!A:A,match(IFNA(vlookup(B4691,'Special Names'!A:B,2,FALSE),B4691),PlayerValues!E:E,0)),"N/A")</f>
        <v>17105</v>
      </c>
      <c r="B4691" s="4" t="s">
        <v>525</v>
      </c>
      <c r="C4691" s="4" t="s">
        <v>298</v>
      </c>
      <c r="D4691" s="94">
        <v>3109.0</v>
      </c>
    </row>
    <row r="4692">
      <c r="A4692" s="40">
        <f t="array" ref="A4692">IFNA(index(PlayerValues!A:A,match(IFNA(vlookup(B4692,'Special Names'!A:B,2,FALSE),B4692),PlayerValues!E:E,0)),"N/A")</f>
        <v>16165</v>
      </c>
      <c r="B4692" s="4" t="s">
        <v>520</v>
      </c>
      <c r="C4692" s="4" t="s">
        <v>278</v>
      </c>
      <c r="D4692" s="94">
        <v>2679.0</v>
      </c>
    </row>
    <row r="4693">
      <c r="A4693" s="40">
        <f t="array" ref="A4693">IFNA(index(PlayerValues!A:A,match(IFNA(vlookup(B4693,'Special Names'!A:B,2,FALSE),B4693),PlayerValues!E:E,0)),"N/A")</f>
        <v>14860</v>
      </c>
      <c r="B4693" s="4" t="s">
        <v>554</v>
      </c>
      <c r="C4693" s="4" t="s">
        <v>287</v>
      </c>
      <c r="D4693" s="94">
        <v>2664.0</v>
      </c>
    </row>
    <row r="4694">
      <c r="A4694" s="40">
        <f t="array" ref="A4694">IFNA(index(PlayerValues!A:A,match(IFNA(vlookup(B4694,'Special Names'!A:B,2,FALSE),B4694),PlayerValues!E:E,0)),"N/A")</f>
        <v>17171</v>
      </c>
      <c r="B4694" s="4" t="s">
        <v>561</v>
      </c>
      <c r="C4694" s="4" t="s">
        <v>287</v>
      </c>
      <c r="D4694" s="94">
        <v>2652.0</v>
      </c>
    </row>
    <row r="4695">
      <c r="A4695" s="40">
        <f t="array" ref="A4695">IFNA(index(PlayerValues!A:A,match(IFNA(vlookup(B4695,'Special Names'!A:B,2,FALSE),B4695),PlayerValues!E:E,0)),"N/A")</f>
        <v>16195</v>
      </c>
      <c r="B4695" s="4" t="s">
        <v>509</v>
      </c>
      <c r="C4695" s="4" t="s">
        <v>287</v>
      </c>
      <c r="D4695" s="94">
        <v>2649.0</v>
      </c>
    </row>
    <row r="4696">
      <c r="A4696" s="40">
        <f t="array" ref="A4696">IFNA(index(PlayerValues!A:A,match(IFNA(vlookup(B4696,'Special Names'!A:B,2,FALSE),B4696),PlayerValues!E:E,0)),"N/A")</f>
        <v>16747</v>
      </c>
      <c r="B4696" s="4" t="s">
        <v>555</v>
      </c>
      <c r="C4696" s="4" t="s">
        <v>278</v>
      </c>
      <c r="D4696" s="94">
        <v>2647.0</v>
      </c>
    </row>
    <row r="4697">
      <c r="A4697" s="40">
        <f t="array" ref="A4697">IFNA(index(PlayerValues!A:A,match(IFNA(vlookup(B4697,'Special Names'!A:B,2,FALSE),B4697),PlayerValues!E:E,0)),"N/A")</f>
        <v>17505</v>
      </c>
      <c r="B4697" s="4" t="s">
        <v>528</v>
      </c>
      <c r="C4697" s="4" t="s">
        <v>287</v>
      </c>
      <c r="D4697" s="94">
        <v>2646.0</v>
      </c>
    </row>
    <row r="4698">
      <c r="A4698" s="40" t="str">
        <f t="array" ref="A4698">IFNA(index(PlayerValues!A:A,match(IFNA(vlookup(B4698,'Special Names'!A:B,2,FALSE),B4698),PlayerValues!E:E,0)),"N/A")</f>
        <v>N/A</v>
      </c>
      <c r="B4698" s="4" t="s">
        <v>98</v>
      </c>
      <c r="C4698" s="4" t="s">
        <v>325</v>
      </c>
      <c r="D4698" s="94">
        <v>2638.0</v>
      </c>
    </row>
    <row r="4699">
      <c r="A4699" s="40">
        <f t="array" ref="A4699">IFNA(index(PlayerValues!A:A,match(IFNA(vlookup(B4699,'Special Names'!A:B,2,FALSE),B4699),PlayerValues!E:E,0)),"N/A")</f>
        <v>17082</v>
      </c>
      <c r="B4699" s="4" t="s">
        <v>498</v>
      </c>
      <c r="C4699" s="4" t="s">
        <v>287</v>
      </c>
      <c r="D4699" s="94">
        <v>2608.0</v>
      </c>
    </row>
    <row r="4700">
      <c r="A4700" s="40">
        <f t="array" ref="A4700">IFNA(index(PlayerValues!A:A,match(IFNA(vlookup(B4700,'Special Names'!A:B,2,FALSE),B4700),PlayerValues!E:E,0)),"N/A")</f>
        <v>13674</v>
      </c>
      <c r="B4700" s="4" t="s">
        <v>511</v>
      </c>
      <c r="C4700" s="4" t="s">
        <v>298</v>
      </c>
      <c r="D4700" s="94">
        <v>3010.0</v>
      </c>
    </row>
    <row r="4701">
      <c r="A4701" s="40">
        <f t="array" ref="A4701">IFNA(index(PlayerValues!A:A,match(IFNA(vlookup(B4701,'Special Names'!A:B,2,FALSE),B4701),PlayerValues!E:E,0)),"N/A")</f>
        <v>17509</v>
      </c>
      <c r="B4701" s="4" t="s">
        <v>551</v>
      </c>
      <c r="C4701" s="4" t="s">
        <v>287</v>
      </c>
      <c r="D4701" s="94">
        <v>2599.0</v>
      </c>
    </row>
    <row r="4702">
      <c r="A4702" s="40">
        <f t="array" ref="A4702">IFNA(index(PlayerValues!A:A,match(IFNA(vlookup(B4702,'Special Names'!A:B,2,FALSE),B4702),PlayerValues!E:E,0)),"N/A")</f>
        <v>17108</v>
      </c>
      <c r="B4702" s="4" t="s">
        <v>542</v>
      </c>
      <c r="C4702" s="4" t="s">
        <v>298</v>
      </c>
      <c r="D4702" s="94">
        <v>2984.0</v>
      </c>
    </row>
    <row r="4703">
      <c r="A4703" s="40">
        <f t="array" ref="A4703">IFNA(index(PlayerValues!A:A,match(IFNA(vlookup(B4703,'Special Names'!A:B,2,FALSE),B4703),PlayerValues!E:E,0)),"N/A")</f>
        <v>16287</v>
      </c>
      <c r="B4703" s="4" t="s">
        <v>516</v>
      </c>
      <c r="C4703" s="4" t="s">
        <v>287</v>
      </c>
      <c r="D4703" s="94">
        <v>2560.0</v>
      </c>
    </row>
    <row r="4704">
      <c r="A4704" s="40">
        <f t="array" ref="A4704">IFNA(index(PlayerValues!A:A,match(IFNA(vlookup(B4704,'Special Names'!A:B,2,FALSE),B4704),PlayerValues!E:E,0)),"N/A")</f>
        <v>16626</v>
      </c>
      <c r="B4704" s="4" t="s">
        <v>515</v>
      </c>
      <c r="C4704" s="4" t="s">
        <v>287</v>
      </c>
      <c r="D4704" s="94">
        <v>2557.0</v>
      </c>
    </row>
    <row r="4705">
      <c r="A4705" s="40">
        <f t="array" ref="A4705">IFNA(index(PlayerValues!A:A,match(IFNA(vlookup(B4705,'Special Names'!A:B,2,FALSE),B4705),PlayerValues!E:E,0)),"N/A")</f>
        <v>16617</v>
      </c>
      <c r="B4705" s="4" t="s">
        <v>541</v>
      </c>
      <c r="C4705" s="4" t="s">
        <v>287</v>
      </c>
      <c r="D4705" s="94">
        <v>2538.0</v>
      </c>
    </row>
    <row r="4706">
      <c r="A4706" s="40">
        <f t="array" ref="A4706">IFNA(index(PlayerValues!A:A,match(IFNA(vlookup(B4706,'Special Names'!A:B,2,FALSE),B4706),PlayerValues!E:E,0)),"N/A")</f>
        <v>17482</v>
      </c>
      <c r="B4706" s="4" t="s">
        <v>460</v>
      </c>
      <c r="C4706" s="4" t="s">
        <v>278</v>
      </c>
      <c r="D4706" s="94">
        <v>2523.0</v>
      </c>
    </row>
    <row r="4707">
      <c r="A4707" s="40">
        <f t="array" ref="A4707">IFNA(index(PlayerValues!A:A,match(IFNA(vlookup(B4707,'Special Names'!A:B,2,FALSE),B4707),PlayerValues!E:E,0)),"N/A")</f>
        <v>17134</v>
      </c>
      <c r="B4707" s="4" t="s">
        <v>548</v>
      </c>
      <c r="C4707" s="4" t="s">
        <v>287</v>
      </c>
      <c r="D4707" s="94">
        <v>2518.0</v>
      </c>
    </row>
    <row r="4708">
      <c r="A4708" s="40">
        <f t="array" ref="A4708">IFNA(index(PlayerValues!A:A,match(IFNA(vlookup(B4708,'Special Names'!A:B,2,FALSE),B4708),PlayerValues!E:E,0)),"N/A")</f>
        <v>17048</v>
      </c>
      <c r="B4708" s="4" t="s">
        <v>539</v>
      </c>
      <c r="C4708" s="4" t="s">
        <v>278</v>
      </c>
      <c r="D4708" s="94">
        <v>2496.0</v>
      </c>
    </row>
    <row r="4709">
      <c r="A4709" s="40">
        <f t="array" ref="A4709">IFNA(index(PlayerValues!A:A,match(IFNA(vlookup(B4709,'Special Names'!A:B,2,FALSE),B4709),PlayerValues!E:E,0)),"N/A")</f>
        <v>16684</v>
      </c>
      <c r="B4709" s="4" t="s">
        <v>500</v>
      </c>
      <c r="C4709" s="4" t="s">
        <v>287</v>
      </c>
      <c r="D4709" s="94">
        <v>2490.0</v>
      </c>
    </row>
    <row r="4710">
      <c r="A4710" s="40">
        <f t="array" ref="A4710">IFNA(index(PlayerValues!A:A,match(IFNA(vlookup(B4710,'Special Names'!A:B,2,FALSE),B4710),PlayerValues!E:E,0)),"N/A")</f>
        <v>16164</v>
      </c>
      <c r="B4710" s="4" t="s">
        <v>512</v>
      </c>
      <c r="C4710" s="4" t="s">
        <v>278</v>
      </c>
      <c r="D4710" s="94">
        <v>2489.0</v>
      </c>
    </row>
    <row r="4711">
      <c r="A4711" s="40">
        <f t="array" ref="A4711">IFNA(index(PlayerValues!A:A,match(IFNA(vlookup(B4711,'Special Names'!A:B,2,FALSE),B4711),PlayerValues!E:E,0)),"N/A")</f>
        <v>16174</v>
      </c>
      <c r="B4711" s="4" t="s">
        <v>505</v>
      </c>
      <c r="C4711" s="4" t="s">
        <v>278</v>
      </c>
      <c r="D4711" s="94">
        <v>2483.0</v>
      </c>
    </row>
    <row r="4712">
      <c r="A4712" s="40">
        <f t="array" ref="A4712">IFNA(index(PlayerValues!A:A,match(IFNA(vlookup(B4712,'Special Names'!A:B,2,FALSE),B4712),PlayerValues!E:E,0)),"N/A")</f>
        <v>17511</v>
      </c>
      <c r="B4712" s="4" t="s">
        <v>485</v>
      </c>
      <c r="C4712" s="4" t="s">
        <v>287</v>
      </c>
      <c r="D4712" s="94">
        <v>2468.0</v>
      </c>
    </row>
    <row r="4713">
      <c r="A4713" s="40">
        <f t="array" ref="A4713">IFNA(index(PlayerValues!A:A,match(IFNA(vlookup(B4713,'Special Names'!A:B,2,FALSE),B4713),PlayerValues!E:E,0)),"N/A")</f>
        <v>14840</v>
      </c>
      <c r="B4713" s="4" t="s">
        <v>731</v>
      </c>
      <c r="C4713" s="4" t="s">
        <v>287</v>
      </c>
      <c r="D4713" s="94">
        <v>2465.0</v>
      </c>
    </row>
    <row r="4714">
      <c r="A4714" s="40">
        <f t="array" ref="A4714">IFNA(index(PlayerValues!A:A,match(IFNA(vlookup(B4714,'Special Names'!A:B,2,FALSE),B4714),PlayerValues!E:E,0)),"N/A")</f>
        <v>16178</v>
      </c>
      <c r="B4714" s="4" t="s">
        <v>507</v>
      </c>
      <c r="C4714" s="4" t="s">
        <v>278</v>
      </c>
      <c r="D4714" s="94">
        <v>2463.0</v>
      </c>
    </row>
    <row r="4715">
      <c r="A4715" s="40">
        <f t="array" ref="A4715">IFNA(index(PlayerValues!A:A,match(IFNA(vlookup(B4715,'Special Names'!A:B,2,FALSE),B4715),PlayerValues!E:E,0)),"N/A")</f>
        <v>17507</v>
      </c>
      <c r="B4715" s="4" t="s">
        <v>495</v>
      </c>
      <c r="C4715" s="4" t="s">
        <v>287</v>
      </c>
      <c r="D4715" s="94">
        <v>2448.0</v>
      </c>
    </row>
    <row r="4716">
      <c r="A4716" s="40" t="str">
        <f t="array" ref="A4716">IFNA(index(PlayerValues!A:A,match(IFNA(vlookup(B4716,'Special Names'!A:B,2,FALSE),B4716),PlayerValues!E:E,0)),"N/A")</f>
        <v>N/A</v>
      </c>
      <c r="B4716" s="4" t="s">
        <v>557</v>
      </c>
      <c r="C4716" s="4" t="s">
        <v>278</v>
      </c>
      <c r="D4716" s="94">
        <v>2437.0</v>
      </c>
    </row>
    <row r="4717">
      <c r="A4717" s="40" t="str">
        <f t="array" ref="A4717">IFNA(index(PlayerValues!A:A,match(IFNA(vlookup(B4717,'Special Names'!A:B,2,FALSE),B4717),PlayerValues!E:E,0)),"N/A")</f>
        <v>N/A</v>
      </c>
      <c r="B4717" s="4" t="s">
        <v>99</v>
      </c>
      <c r="C4717" s="4" t="s">
        <v>325</v>
      </c>
      <c r="D4717" s="94">
        <v>2435.0</v>
      </c>
    </row>
    <row r="4718">
      <c r="A4718" s="40">
        <f t="array" ref="A4718">IFNA(index(PlayerValues!A:A,match(IFNA(vlookup(B4718,'Special Names'!A:B,2,FALSE),B4718),PlayerValues!E:E,0)),"N/A")</f>
        <v>13192</v>
      </c>
      <c r="B4718" s="4" t="s">
        <v>563</v>
      </c>
      <c r="C4718" s="4" t="s">
        <v>298</v>
      </c>
      <c r="D4718" s="94">
        <v>2836.0</v>
      </c>
    </row>
    <row r="4719">
      <c r="A4719" s="40">
        <f t="array" ref="A4719">IFNA(index(PlayerValues!A:A,match(IFNA(vlookup(B4719,'Special Names'!A:B,2,FALSE),B4719),PlayerValues!E:E,0)),"N/A")</f>
        <v>11244</v>
      </c>
      <c r="B4719" s="4" t="s">
        <v>519</v>
      </c>
      <c r="C4719" s="4" t="s">
        <v>298</v>
      </c>
      <c r="D4719" s="94">
        <v>2807.0</v>
      </c>
    </row>
    <row r="4720">
      <c r="A4720" s="40">
        <f t="array" ref="A4720">IFNA(index(PlayerValues!A:A,match(IFNA(vlookup(B4720,'Special Names'!A:B,2,FALSE),B4720),PlayerValues!E:E,0)),"N/A")</f>
        <v>15716</v>
      </c>
      <c r="B4720" s="4" t="s">
        <v>545</v>
      </c>
      <c r="C4720" s="4" t="s">
        <v>278</v>
      </c>
      <c r="D4720" s="94">
        <v>2404.0</v>
      </c>
    </row>
    <row r="4721">
      <c r="A4721" s="40">
        <f t="array" ref="A4721">IFNA(index(PlayerValues!A:A,match(IFNA(vlookup(B4721,'Special Names'!A:B,2,FALSE),B4721),PlayerValues!E:E,0)),"N/A")</f>
        <v>14861</v>
      </c>
      <c r="B4721" s="4" t="s">
        <v>523</v>
      </c>
      <c r="C4721" s="4" t="s">
        <v>298</v>
      </c>
      <c r="D4721" s="94">
        <v>2783.0</v>
      </c>
    </row>
    <row r="4722">
      <c r="A4722" s="40">
        <f t="array" ref="A4722">IFNA(index(PlayerValues!A:A,match(IFNA(vlookup(B4722,'Special Names'!A:B,2,FALSE),B4722),PlayerValues!E:E,0)),"N/A")</f>
        <v>17106</v>
      </c>
      <c r="B4722" s="4" t="s">
        <v>550</v>
      </c>
      <c r="C4722" s="4" t="s">
        <v>298</v>
      </c>
      <c r="D4722" s="94">
        <v>2782.0</v>
      </c>
    </row>
    <row r="4723">
      <c r="A4723" s="40">
        <f t="array" ref="A4723">IFNA(index(PlayerValues!A:A,match(IFNA(vlookup(B4723,'Special Names'!A:B,2,FALSE),B4723),PlayerValues!E:E,0)),"N/A")</f>
        <v>16204</v>
      </c>
      <c r="B4723" s="4" t="s">
        <v>530</v>
      </c>
      <c r="C4723" s="4" t="s">
        <v>287</v>
      </c>
      <c r="D4723" s="94">
        <v>2377.0</v>
      </c>
    </row>
    <row r="4724">
      <c r="A4724" s="40">
        <f t="array" ref="A4724">IFNA(index(PlayerValues!A:A,match(IFNA(vlookup(B4724,'Special Names'!A:B,2,FALSE),B4724),PlayerValues!E:E,0)),"N/A")</f>
        <v>16649</v>
      </c>
      <c r="B4724" s="4" t="s">
        <v>586</v>
      </c>
      <c r="C4724" s="4" t="s">
        <v>298</v>
      </c>
      <c r="D4724" s="94">
        <v>2771.0</v>
      </c>
    </row>
    <row r="4725">
      <c r="A4725" s="40">
        <f t="array" ref="A4725">IFNA(index(PlayerValues!A:A,match(IFNA(vlookup(B4725,'Special Names'!A:B,2,FALSE),B4725),PlayerValues!E:E,0)),"N/A")</f>
        <v>14136</v>
      </c>
      <c r="B4725" s="4" t="s">
        <v>536</v>
      </c>
      <c r="C4725" s="4" t="s">
        <v>287</v>
      </c>
      <c r="D4725" s="94">
        <v>2370.0</v>
      </c>
    </row>
    <row r="4726">
      <c r="A4726" s="40">
        <f t="array" ref="A4726">IFNA(index(PlayerValues!A:A,match(IFNA(vlookup(B4726,'Special Names'!A:B,2,FALSE),B4726),PlayerValues!E:E,0)),"N/A")</f>
        <v>15786</v>
      </c>
      <c r="B4726" s="4" t="s">
        <v>521</v>
      </c>
      <c r="C4726" s="4" t="s">
        <v>287</v>
      </c>
      <c r="D4726" s="94">
        <v>2369.0</v>
      </c>
    </row>
    <row r="4727">
      <c r="A4727" s="40">
        <f t="array" ref="A4727">IFNA(index(PlayerValues!A:A,match(IFNA(vlookup(B4727,'Special Names'!A:B,2,FALSE),B4727),PlayerValues!E:E,0)),"N/A")</f>
        <v>17078</v>
      </c>
      <c r="B4727" s="4" t="s">
        <v>543</v>
      </c>
      <c r="C4727" s="4" t="s">
        <v>287</v>
      </c>
      <c r="D4727" s="94">
        <v>2369.0</v>
      </c>
    </row>
    <row r="4728">
      <c r="A4728" s="40">
        <f t="array" ref="A4728">IFNA(index(PlayerValues!A:A,match(IFNA(vlookup(B4728,'Special Names'!A:B,2,FALSE),B4728),PlayerValues!E:E,0)),"N/A")</f>
        <v>16152</v>
      </c>
      <c r="B4728" s="4" t="s">
        <v>601</v>
      </c>
      <c r="C4728" s="4" t="s">
        <v>283</v>
      </c>
      <c r="D4728" s="94">
        <v>2363.0</v>
      </c>
    </row>
    <row r="4729">
      <c r="A4729" s="40">
        <f t="array" ref="A4729">IFNA(index(PlayerValues!A:A,match(IFNA(vlookup(B4729,'Special Names'!A:B,2,FALSE),B4729),PlayerValues!E:E,0)),"N/A")</f>
        <v>16594</v>
      </c>
      <c r="B4729" s="4" t="s">
        <v>607</v>
      </c>
      <c r="C4729" s="4" t="s">
        <v>278</v>
      </c>
      <c r="D4729" s="94">
        <v>2360.0</v>
      </c>
    </row>
    <row r="4730">
      <c r="A4730" s="40">
        <f t="array" ref="A4730">IFNA(index(PlayerValues!A:A,match(IFNA(vlookup(B4730,'Special Names'!A:B,2,FALSE),B4730),PlayerValues!E:E,0)),"N/A")</f>
        <v>17033</v>
      </c>
      <c r="B4730" s="4" t="s">
        <v>570</v>
      </c>
      <c r="C4730" s="4" t="s">
        <v>283</v>
      </c>
      <c r="D4730" s="94">
        <v>2358.0</v>
      </c>
    </row>
    <row r="4731">
      <c r="A4731" s="40">
        <f t="array" ref="A4731">IFNA(index(PlayerValues!A:A,match(IFNA(vlookup(B4731,'Special Names'!A:B,2,FALSE),B4731),PlayerValues!E:E,0)),"N/A")</f>
        <v>15802</v>
      </c>
      <c r="B4731" s="4" t="s">
        <v>566</v>
      </c>
      <c r="C4731" s="4" t="s">
        <v>298</v>
      </c>
      <c r="D4731" s="94">
        <v>2744.0</v>
      </c>
    </row>
    <row r="4732">
      <c r="A4732" s="40">
        <f t="array" ref="A4732">IFNA(index(PlayerValues!A:A,match(IFNA(vlookup(B4732,'Special Names'!A:B,2,FALSE),B4732),PlayerValues!E:E,0)),"N/A")</f>
        <v>16036</v>
      </c>
      <c r="B4732" s="4" t="s">
        <v>592</v>
      </c>
      <c r="C4732" s="4" t="s">
        <v>298</v>
      </c>
      <c r="D4732" s="94">
        <v>2738.0</v>
      </c>
    </row>
    <row r="4733">
      <c r="A4733" s="40">
        <f t="array" ref="A4733">IFNA(index(PlayerValues!A:A,match(IFNA(vlookup(B4733,'Special Names'!A:B,2,FALSE),B4733),PlayerValues!E:E,0)),"N/A")</f>
        <v>12676</v>
      </c>
      <c r="B4733" s="4" t="s">
        <v>537</v>
      </c>
      <c r="C4733" s="4" t="s">
        <v>298</v>
      </c>
      <c r="D4733" s="94">
        <v>2736.0</v>
      </c>
    </row>
    <row r="4734">
      <c r="A4734" s="40">
        <f t="array" ref="A4734">IFNA(index(PlayerValues!A:A,match(IFNA(vlookup(B4734,'Special Names'!A:B,2,FALSE),B4734),PlayerValues!E:E,0)),"N/A")</f>
        <v>16166</v>
      </c>
      <c r="B4734" s="4" t="s">
        <v>567</v>
      </c>
      <c r="C4734" s="4" t="s">
        <v>278</v>
      </c>
      <c r="D4734" s="94">
        <v>2312.0</v>
      </c>
    </row>
    <row r="4735">
      <c r="A4735" s="40">
        <f t="array" ref="A4735">IFNA(index(PlayerValues!A:A,match(IFNA(vlookup(B4735,'Special Names'!A:B,2,FALSE),B4735),PlayerValues!E:E,0)),"N/A")</f>
        <v>15749</v>
      </c>
      <c r="B4735" s="4" t="s">
        <v>574</v>
      </c>
      <c r="C4735" s="4" t="s">
        <v>278</v>
      </c>
      <c r="D4735" s="94">
        <v>2310.0</v>
      </c>
    </row>
    <row r="4736">
      <c r="A4736" s="40">
        <f t="array" ref="A4736">IFNA(index(PlayerValues!A:A,match(IFNA(vlookup(B4736,'Special Names'!A:B,2,FALSE),B4736),PlayerValues!E:E,0)),"N/A")</f>
        <v>16757</v>
      </c>
      <c r="B4736" s="4" t="s">
        <v>558</v>
      </c>
      <c r="C4736" s="4" t="s">
        <v>278</v>
      </c>
      <c r="D4736" s="94">
        <v>2309.0</v>
      </c>
    </row>
    <row r="4737">
      <c r="A4737" s="40">
        <f t="array" ref="A4737">IFNA(index(PlayerValues!A:A,match(IFNA(vlookup(B4737,'Special Names'!A:B,2,FALSE),B4737),PlayerValues!E:E,0)),"N/A")</f>
        <v>13772</v>
      </c>
      <c r="B4737" s="4" t="s">
        <v>544</v>
      </c>
      <c r="C4737" s="4" t="s">
        <v>298</v>
      </c>
      <c r="D4737" s="94">
        <v>2693.0</v>
      </c>
    </row>
    <row r="4738">
      <c r="A4738" s="40">
        <f t="array" ref="A4738">IFNA(index(PlayerValues!A:A,match(IFNA(vlookup(B4738,'Special Names'!A:B,2,FALSE),B4738),PlayerValues!E:E,0)),"N/A")</f>
        <v>17474</v>
      </c>
      <c r="B4738" s="4" t="s">
        <v>513</v>
      </c>
      <c r="C4738" s="4" t="s">
        <v>278</v>
      </c>
      <c r="D4738" s="94">
        <v>2292.0</v>
      </c>
    </row>
    <row r="4739">
      <c r="A4739" s="40">
        <f t="array" ref="A4739">IFNA(index(PlayerValues!A:A,match(IFNA(vlookup(B4739,'Special Names'!A:B,2,FALSE),B4739),PlayerValues!E:E,0)),"N/A")</f>
        <v>17508</v>
      </c>
      <c r="B4739" s="4" t="s">
        <v>534</v>
      </c>
      <c r="C4739" s="4" t="s">
        <v>287</v>
      </c>
      <c r="D4739" s="94">
        <v>2266.0</v>
      </c>
    </row>
    <row r="4740">
      <c r="A4740" s="40" t="str">
        <f t="array" ref="A4740">IFNA(index(PlayerValues!A:A,match(IFNA(vlookup(B4740,'Special Names'!A:B,2,FALSE),B4740),PlayerValues!E:E,0)),"N/A")</f>
        <v>N/A</v>
      </c>
      <c r="B4740" s="4" t="s">
        <v>86</v>
      </c>
      <c r="C4740" s="4" t="s">
        <v>325</v>
      </c>
      <c r="D4740" s="94">
        <v>2265.0</v>
      </c>
    </row>
    <row r="4741">
      <c r="A4741" s="40">
        <f t="array" ref="A4741">IFNA(index(PlayerValues!A:A,match(IFNA(vlookup(B4741,'Special Names'!A:B,2,FALSE),B4741),PlayerValues!E:E,0)),"N/A")</f>
        <v>16189</v>
      </c>
      <c r="B4741" s="4" t="s">
        <v>582</v>
      </c>
      <c r="C4741" s="4" t="s">
        <v>287</v>
      </c>
      <c r="D4741" s="94">
        <v>2242.0</v>
      </c>
    </row>
    <row r="4742">
      <c r="A4742" s="40">
        <f t="array" ref="A4742">IFNA(index(PlayerValues!A:A,match(IFNA(vlookup(B4742,'Special Names'!A:B,2,FALSE),B4742),PlayerValues!E:E,0)),"N/A")</f>
        <v>17512</v>
      </c>
      <c r="B4742" s="4" t="s">
        <v>483</v>
      </c>
      <c r="C4742" s="4" t="s">
        <v>287</v>
      </c>
      <c r="D4742" s="94">
        <v>2241.0</v>
      </c>
    </row>
    <row r="4743">
      <c r="A4743" s="40">
        <f t="array" ref="A4743">IFNA(index(PlayerValues!A:A,match(IFNA(vlookup(B4743,'Special Names'!A:B,2,FALSE),B4743),PlayerValues!E:E,0)),"N/A")</f>
        <v>17517</v>
      </c>
      <c r="B4743" s="4" t="s">
        <v>454</v>
      </c>
      <c r="C4743" s="4" t="s">
        <v>287</v>
      </c>
      <c r="D4743" s="94">
        <v>2235.0</v>
      </c>
    </row>
    <row r="4744">
      <c r="A4744" s="40">
        <f t="array" ref="A4744">IFNA(index(PlayerValues!A:A,match(IFNA(vlookup(B4744,'Special Names'!A:B,2,FALSE),B4744),PlayerValues!E:E,0)),"N/A")</f>
        <v>13319</v>
      </c>
      <c r="B4744" s="4" t="s">
        <v>549</v>
      </c>
      <c r="C4744" s="4" t="s">
        <v>278</v>
      </c>
      <c r="D4744" s="94">
        <v>2235.0</v>
      </c>
    </row>
    <row r="4745">
      <c r="A4745" s="40">
        <f t="array" ref="A4745">IFNA(index(PlayerValues!A:A,match(IFNA(vlookup(B4745,'Special Names'!A:B,2,FALSE),B4745),PlayerValues!E:E,0)),"N/A")</f>
        <v>16610</v>
      </c>
      <c r="B4745" s="4" t="s">
        <v>562</v>
      </c>
      <c r="C4745" s="4" t="s">
        <v>278</v>
      </c>
      <c r="D4745" s="94">
        <v>2233.0</v>
      </c>
    </row>
    <row r="4746">
      <c r="A4746" s="40">
        <f t="array" ref="A4746">IFNA(index(PlayerValues!A:A,match(IFNA(vlookup(B4746,'Special Names'!A:B,2,FALSE),B4746),PlayerValues!E:E,0)),"N/A")</f>
        <v>17478</v>
      </c>
      <c r="B4746" s="4" t="s">
        <v>527</v>
      </c>
      <c r="C4746" s="4" t="s">
        <v>278</v>
      </c>
      <c r="D4746" s="94">
        <v>2207.0</v>
      </c>
    </row>
    <row r="4747">
      <c r="A4747" s="40">
        <f t="array" ref="A4747">IFNA(index(PlayerValues!A:A,match(IFNA(vlookup(B4747,'Special Names'!A:B,2,FALSE),B4747),PlayerValues!E:E,0)),"N/A")</f>
        <v>17079</v>
      </c>
      <c r="B4747" s="4" t="s">
        <v>572</v>
      </c>
      <c r="C4747" s="4" t="s">
        <v>287</v>
      </c>
      <c r="D4747" s="94">
        <v>2201.0</v>
      </c>
    </row>
    <row r="4748">
      <c r="A4748" s="40">
        <f t="array" ref="A4748">IFNA(index(PlayerValues!A:A,match(IFNA(vlookup(B4748,'Special Names'!A:B,2,FALSE),B4748),PlayerValues!E:E,0)),"N/A")</f>
        <v>16212</v>
      </c>
      <c r="B4748" s="4" t="s">
        <v>568</v>
      </c>
      <c r="C4748" s="4" t="s">
        <v>298</v>
      </c>
      <c r="D4748" s="94">
        <v>2554.0</v>
      </c>
    </row>
    <row r="4749">
      <c r="A4749" s="40" t="str">
        <f t="array" ref="A4749">IFNA(index(PlayerValues!A:A,match(IFNA(vlookup(B4749,'Special Names'!A:B,2,FALSE),B4749),PlayerValues!E:E,0)),"N/A")</f>
        <v>N/A</v>
      </c>
      <c r="B4749" s="4" t="s">
        <v>100</v>
      </c>
      <c r="C4749" s="4" t="s">
        <v>325</v>
      </c>
      <c r="D4749" s="94">
        <v>2163.0</v>
      </c>
    </row>
    <row r="4750">
      <c r="A4750" s="40">
        <f t="array" ref="A4750">IFNA(index(PlayerValues!A:A,match(IFNA(vlookup(B4750,'Special Names'!A:B,2,FALSE),B4750),PlayerValues!E:E,0)),"N/A")</f>
        <v>17046</v>
      </c>
      <c r="B4750" s="4" t="s">
        <v>602</v>
      </c>
      <c r="C4750" s="4" t="s">
        <v>278</v>
      </c>
      <c r="D4750" s="94">
        <v>2157.0</v>
      </c>
    </row>
    <row r="4751">
      <c r="A4751" s="40" t="str">
        <f t="array" ref="A4751">IFNA(index(PlayerValues!A:A,match(IFNA(vlookup(B4751,'Special Names'!A:B,2,FALSE),B4751),PlayerValues!E:E,0)),"N/A")</f>
        <v>N/A</v>
      </c>
      <c r="B4751" s="4" t="s">
        <v>112</v>
      </c>
      <c r="C4751" s="4" t="s">
        <v>325</v>
      </c>
      <c r="D4751" s="94">
        <v>2151.0</v>
      </c>
    </row>
    <row r="4752">
      <c r="A4752" s="40">
        <f t="array" ref="A4752">IFNA(index(PlayerValues!A:A,match(IFNA(vlookup(B4752,'Special Names'!A:B,2,FALSE),B4752),PlayerValues!E:E,0)),"N/A")</f>
        <v>11150</v>
      </c>
      <c r="B4752" s="4" t="s">
        <v>559</v>
      </c>
      <c r="C4752" s="4" t="s">
        <v>283</v>
      </c>
      <c r="D4752" s="94">
        <v>2147.0</v>
      </c>
    </row>
    <row r="4753">
      <c r="A4753" s="40">
        <f t="array" ref="A4753">IFNA(index(PlayerValues!A:A,match(IFNA(vlookup(B4753,'Special Names'!A:B,2,FALSE),B4753),PlayerValues!E:E,0)),"N/A")</f>
        <v>17056</v>
      </c>
      <c r="B4753" s="4" t="s">
        <v>581</v>
      </c>
      <c r="C4753" s="4" t="s">
        <v>278</v>
      </c>
      <c r="D4753" s="94">
        <v>2147.0</v>
      </c>
    </row>
    <row r="4754">
      <c r="A4754" s="40">
        <f t="array" ref="A4754">IFNA(index(PlayerValues!A:A,match(IFNA(vlookup(B4754,'Special Names'!A:B,2,FALSE),B4754),PlayerValues!E:E,0)),"N/A")</f>
        <v>15238</v>
      </c>
      <c r="B4754" s="4" t="s">
        <v>613</v>
      </c>
      <c r="C4754" s="4" t="s">
        <v>283</v>
      </c>
      <c r="D4754" s="94">
        <v>2141.0</v>
      </c>
    </row>
    <row r="4755">
      <c r="A4755" s="40">
        <f t="array" ref="A4755">IFNA(index(PlayerValues!A:A,match(IFNA(vlookup(B4755,'Special Names'!A:B,2,FALSE),B4755),PlayerValues!E:E,0)),"N/A")</f>
        <v>12186</v>
      </c>
      <c r="B4755" s="4" t="s">
        <v>497</v>
      </c>
      <c r="C4755" s="4" t="s">
        <v>287</v>
      </c>
      <c r="D4755" s="94">
        <v>2140.0</v>
      </c>
    </row>
    <row r="4756">
      <c r="A4756" s="40">
        <f t="array" ref="A4756">IFNA(index(PlayerValues!A:A,match(IFNA(vlookup(B4756,'Special Names'!A:B,2,FALSE),B4756),PlayerValues!E:E,0)),"N/A")</f>
        <v>15331</v>
      </c>
      <c r="B4756" s="4" t="s">
        <v>560</v>
      </c>
      <c r="C4756" s="4" t="s">
        <v>298</v>
      </c>
      <c r="D4756" s="94">
        <v>2530.0</v>
      </c>
    </row>
    <row r="4757">
      <c r="A4757" s="40">
        <f t="array" ref="A4757">IFNA(index(PlayerValues!A:A,match(IFNA(vlookup(B4757,'Special Names'!A:B,2,FALSE),B4757),PlayerValues!E:E,0)),"N/A")</f>
        <v>14974</v>
      </c>
      <c r="B4757" s="4" t="s">
        <v>611</v>
      </c>
      <c r="C4757" s="4" t="s">
        <v>287</v>
      </c>
      <c r="D4757" s="94">
        <v>2133.0</v>
      </c>
    </row>
    <row r="4758">
      <c r="A4758" s="40">
        <f t="array" ref="A4758">IFNA(index(PlayerValues!A:A,match(IFNA(vlookup(B4758,'Special Names'!A:B,2,FALSE),B4758),PlayerValues!E:E,0)),"N/A")</f>
        <v>12801</v>
      </c>
      <c r="B4758" s="4" t="s">
        <v>722</v>
      </c>
      <c r="C4758" s="4" t="s">
        <v>287</v>
      </c>
      <c r="D4758" s="94">
        <v>2122.0</v>
      </c>
    </row>
    <row r="4759">
      <c r="A4759" s="40" t="str">
        <f t="array" ref="A4759">IFNA(index(PlayerValues!A:A,match(IFNA(vlookup(B4759,'Special Names'!A:B,2,FALSE),B4759),PlayerValues!E:E,0)),"N/A")</f>
        <v>N/A</v>
      </c>
      <c r="B4759" s="4" t="s">
        <v>87</v>
      </c>
      <c r="C4759" s="4" t="s">
        <v>325</v>
      </c>
      <c r="D4759" s="94">
        <v>2116.0</v>
      </c>
    </row>
    <row r="4760">
      <c r="A4760" s="40">
        <f t="array" ref="A4760">IFNA(index(PlayerValues!A:A,match(IFNA(vlookup(B4760,'Special Names'!A:B,2,FALSE),B4760),PlayerValues!E:E,0)),"N/A")</f>
        <v>16643</v>
      </c>
      <c r="B4760" s="4" t="s">
        <v>609</v>
      </c>
      <c r="C4760" s="4" t="s">
        <v>298</v>
      </c>
      <c r="D4760" s="94">
        <v>2491.0</v>
      </c>
    </row>
    <row r="4761">
      <c r="A4761" s="40">
        <f t="array" ref="A4761">IFNA(index(PlayerValues!A:A,match(IFNA(vlookup(B4761,'Special Names'!A:B,2,FALSE),B4761),PlayerValues!E:E,0)),"N/A")</f>
        <v>16432</v>
      </c>
      <c r="B4761" s="4" t="s">
        <v>620</v>
      </c>
      <c r="C4761" s="4" t="s">
        <v>278</v>
      </c>
      <c r="D4761" s="94">
        <v>2086.0</v>
      </c>
    </row>
    <row r="4762">
      <c r="A4762" s="40">
        <f t="array" ref="A4762">IFNA(index(PlayerValues!A:A,match(IFNA(vlookup(B4762,'Special Names'!A:B,2,FALSE),B4762),PlayerValues!E:E,0)),"N/A")</f>
        <v>17076</v>
      </c>
      <c r="B4762" s="4" t="s">
        <v>585</v>
      </c>
      <c r="C4762" s="4" t="s">
        <v>287</v>
      </c>
      <c r="D4762" s="94">
        <v>2086.0</v>
      </c>
    </row>
    <row r="4763">
      <c r="A4763" s="40">
        <f t="array" ref="A4763">IFNA(index(PlayerValues!A:A,match(IFNA(vlookup(B4763,'Special Names'!A:B,2,FALSE),B4763),PlayerValues!E:E,0)),"N/A")</f>
        <v>17055</v>
      </c>
      <c r="B4763" s="4" t="s">
        <v>565</v>
      </c>
      <c r="C4763" s="4" t="s">
        <v>278</v>
      </c>
      <c r="D4763" s="94">
        <v>2082.0</v>
      </c>
    </row>
    <row r="4764">
      <c r="A4764" s="40">
        <f t="array" ref="A4764">IFNA(index(PlayerValues!A:A,match(IFNA(vlookup(B4764,'Special Names'!A:B,2,FALSE),B4764),PlayerValues!E:E,0)),"N/A")</f>
        <v>17087</v>
      </c>
      <c r="B4764" s="4" t="s">
        <v>600</v>
      </c>
      <c r="C4764" s="4" t="s">
        <v>287</v>
      </c>
      <c r="D4764" s="94">
        <v>2082.0</v>
      </c>
    </row>
    <row r="4765">
      <c r="A4765" s="40" t="str">
        <f t="array" ref="A4765">IFNA(index(PlayerValues!A:A,match(IFNA(vlookup(B4765,'Special Names'!A:B,2,FALSE),B4765),PlayerValues!E:E,0)),"N/A")</f>
        <v>N/A</v>
      </c>
      <c r="B4765" s="4" t="s">
        <v>113</v>
      </c>
      <c r="C4765" s="4" t="s">
        <v>325</v>
      </c>
      <c r="D4765" s="94">
        <v>2076.0</v>
      </c>
    </row>
    <row r="4766">
      <c r="A4766" s="40">
        <f t="array" ref="A4766">IFNA(index(PlayerValues!A:A,match(IFNA(vlookup(B4766,'Special Names'!A:B,2,FALSE),B4766),PlayerValues!E:E,0)),"N/A")</f>
        <v>13633</v>
      </c>
      <c r="B4766" s="4" t="s">
        <v>625</v>
      </c>
      <c r="C4766" s="4" t="s">
        <v>287</v>
      </c>
      <c r="D4766" s="94">
        <v>2066.0</v>
      </c>
    </row>
    <row r="4767">
      <c r="A4767" s="40">
        <f t="array" ref="A4767">IFNA(index(PlayerValues!A:A,match(IFNA(vlookup(B4767,'Special Names'!A:B,2,FALSE),B4767),PlayerValues!E:E,0)),"N/A")</f>
        <v>17061</v>
      </c>
      <c r="B4767" s="4" t="s">
        <v>580</v>
      </c>
      <c r="C4767" s="4" t="s">
        <v>278</v>
      </c>
      <c r="D4767" s="94">
        <v>2065.0</v>
      </c>
    </row>
    <row r="4768">
      <c r="A4768" s="40">
        <f t="array" ref="A4768">IFNA(index(PlayerValues!A:A,match(IFNA(vlookup(B4768,'Special Names'!A:B,2,FALSE),B4768),PlayerValues!E:E,0)),"N/A")</f>
        <v>15293</v>
      </c>
      <c r="B4768" s="4" t="s">
        <v>578</v>
      </c>
      <c r="C4768" s="4" t="s">
        <v>287</v>
      </c>
      <c r="D4768" s="94">
        <v>2061.0</v>
      </c>
    </row>
    <row r="4769">
      <c r="A4769" s="40">
        <f t="array" ref="A4769">IFNA(index(PlayerValues!A:A,match(IFNA(vlookup(B4769,'Special Names'!A:B,2,FALSE),B4769),PlayerValues!E:E,0)),"N/A")</f>
        <v>16639</v>
      </c>
      <c r="B4769" s="4" t="s">
        <v>599</v>
      </c>
      <c r="C4769" s="4" t="s">
        <v>287</v>
      </c>
      <c r="D4769" s="94">
        <v>2051.0</v>
      </c>
    </row>
    <row r="4770">
      <c r="A4770" s="40">
        <f t="array" ref="A4770">IFNA(index(PlayerValues!A:A,match(IFNA(vlookup(B4770,'Special Names'!A:B,2,FALSE),B4770),PlayerValues!E:E,0)),"N/A")</f>
        <v>13132</v>
      </c>
      <c r="B4770" s="4" t="s">
        <v>598</v>
      </c>
      <c r="C4770" s="4" t="s">
        <v>278</v>
      </c>
      <c r="D4770" s="94">
        <v>2045.0</v>
      </c>
    </row>
    <row r="4771">
      <c r="A4771" s="40">
        <f t="array" ref="A4771">IFNA(index(PlayerValues!A:A,match(IFNA(vlookup(B4771,'Special Names'!A:B,2,FALSE),B4771),PlayerValues!E:E,0)),"N/A")</f>
        <v>14867</v>
      </c>
      <c r="B4771" s="4" t="s">
        <v>591</v>
      </c>
      <c r="C4771" s="4" t="s">
        <v>298</v>
      </c>
      <c r="D4771" s="94">
        <v>2433.0</v>
      </c>
    </row>
    <row r="4772">
      <c r="A4772" s="40">
        <f t="array" ref="A4772">IFNA(index(PlayerValues!A:A,match(IFNA(vlookup(B4772,'Special Names'!A:B,2,FALSE),B4772),PlayerValues!E:E,0)),"N/A")</f>
        <v>17060</v>
      </c>
      <c r="B4772" s="4" t="s">
        <v>603</v>
      </c>
      <c r="C4772" s="4" t="s">
        <v>278</v>
      </c>
      <c r="D4772" s="94">
        <v>2043.0</v>
      </c>
    </row>
    <row r="4773">
      <c r="A4773" s="40">
        <f t="array" ref="A4773">IFNA(index(PlayerValues!A:A,match(IFNA(vlookup(B4773,'Special Names'!A:B,2,FALSE),B4773),PlayerValues!E:E,0)),"N/A")</f>
        <v>17069</v>
      </c>
      <c r="B4773" s="4" t="s">
        <v>604</v>
      </c>
      <c r="C4773" s="4" t="s">
        <v>278</v>
      </c>
      <c r="D4773" s="94">
        <v>2039.0</v>
      </c>
    </row>
    <row r="4774">
      <c r="A4774" s="40">
        <f t="array" ref="A4774">IFNA(index(PlayerValues!A:A,match(IFNA(vlookup(B4774,'Special Names'!A:B,2,FALSE),B4774),PlayerValues!E:E,0)),"N/A")</f>
        <v>16342</v>
      </c>
      <c r="B4774" s="4" t="s">
        <v>583</v>
      </c>
      <c r="C4774" s="4" t="s">
        <v>287</v>
      </c>
      <c r="D4774" s="94">
        <v>2031.0</v>
      </c>
    </row>
    <row r="4775">
      <c r="A4775" s="40" t="str">
        <f t="array" ref="A4775">IFNA(index(PlayerValues!A:A,match(IFNA(vlookup(B4775,'Special Names'!A:B,2,FALSE),B4775),PlayerValues!E:E,0)),"N/A")</f>
        <v>N/A</v>
      </c>
      <c r="B4775" s="4" t="s">
        <v>88</v>
      </c>
      <c r="C4775" s="4" t="s">
        <v>325</v>
      </c>
      <c r="D4775" s="94">
        <v>2023.0</v>
      </c>
    </row>
    <row r="4776">
      <c r="A4776" s="40">
        <f t="array" ref="A4776">IFNA(index(PlayerValues!A:A,match(IFNA(vlookup(B4776,'Special Names'!A:B,2,FALSE),B4776),PlayerValues!E:E,0)),"N/A")</f>
        <v>14871</v>
      </c>
      <c r="B4776" s="4" t="s">
        <v>584</v>
      </c>
      <c r="C4776" s="4" t="s">
        <v>298</v>
      </c>
      <c r="D4776" s="94">
        <v>2400.0</v>
      </c>
    </row>
    <row r="4777">
      <c r="A4777" s="40">
        <f t="array" ref="A4777">IFNA(index(PlayerValues!A:A,match(IFNA(vlookup(B4777,'Special Names'!A:B,2,FALSE),B4777),PlayerValues!E:E,0)),"N/A")</f>
        <v>13146</v>
      </c>
      <c r="B4777" s="4" t="s">
        <v>652</v>
      </c>
      <c r="C4777" s="4" t="s">
        <v>278</v>
      </c>
      <c r="D4777" s="94">
        <v>1984.0</v>
      </c>
    </row>
    <row r="4778">
      <c r="A4778" s="40">
        <f t="array" ref="A4778">IFNA(index(PlayerValues!A:A,match(IFNA(vlookup(B4778,'Special Names'!A:B,2,FALSE),B4778),PlayerValues!E:E,0)),"N/A")</f>
        <v>10700</v>
      </c>
      <c r="B4778" s="4" t="s">
        <v>596</v>
      </c>
      <c r="C4778" s="4" t="s">
        <v>283</v>
      </c>
      <c r="D4778" s="94">
        <v>1981.0</v>
      </c>
    </row>
    <row r="4779">
      <c r="A4779" s="40">
        <f t="array" ref="A4779">IFNA(index(PlayerValues!A:A,match(IFNA(vlookup(B4779,'Special Names'!A:B,2,FALSE),B4779),PlayerValues!E:E,0)),"N/A")</f>
        <v>16191</v>
      </c>
      <c r="B4779" s="4" t="s">
        <v>666</v>
      </c>
      <c r="C4779" s="4" t="s">
        <v>287</v>
      </c>
      <c r="D4779" s="94">
        <v>1980.0</v>
      </c>
    </row>
    <row r="4780">
      <c r="A4780" s="40">
        <f t="array" ref="A4780">IFNA(index(PlayerValues!A:A,match(IFNA(vlookup(B4780,'Special Names'!A:B,2,FALSE),B4780),PlayerValues!E:E,0)),"N/A")</f>
        <v>17036</v>
      </c>
      <c r="B4780" s="4" t="s">
        <v>617</v>
      </c>
      <c r="C4780" s="4" t="s">
        <v>283</v>
      </c>
      <c r="D4780" s="94">
        <v>1971.0</v>
      </c>
    </row>
    <row r="4781">
      <c r="A4781" s="40">
        <f t="array" ref="A4781">IFNA(index(PlayerValues!A:A,match(IFNA(vlookup(B4781,'Special Names'!A:B,2,FALSE),B4781),PlayerValues!E:E,0)),"N/A")</f>
        <v>16171</v>
      </c>
      <c r="B4781" s="4" t="s">
        <v>618</v>
      </c>
      <c r="C4781" s="4" t="s">
        <v>278</v>
      </c>
      <c r="D4781" s="94">
        <v>1957.0</v>
      </c>
    </row>
    <row r="4782">
      <c r="A4782" s="40">
        <f t="array" ref="A4782">IFNA(index(PlayerValues!A:A,match(IFNA(vlookup(B4782,'Special Names'!A:B,2,FALSE),B4782),PlayerValues!E:E,0)),"N/A")</f>
        <v>16603</v>
      </c>
      <c r="B4782" s="4" t="s">
        <v>587</v>
      </c>
      <c r="C4782" s="4" t="s">
        <v>278</v>
      </c>
      <c r="D4782" s="94">
        <v>1954.0</v>
      </c>
    </row>
    <row r="4783">
      <c r="A4783" s="40">
        <f t="array" ref="A4783">IFNA(index(PlayerValues!A:A,match(IFNA(vlookup(B4783,'Special Names'!A:B,2,FALSE),B4783),PlayerValues!E:E,0)),"N/A")</f>
        <v>13629</v>
      </c>
      <c r="B4783" s="4" t="s">
        <v>619</v>
      </c>
      <c r="C4783" s="4" t="s">
        <v>287</v>
      </c>
      <c r="D4783" s="94">
        <v>1952.0</v>
      </c>
    </row>
    <row r="4784">
      <c r="A4784" s="40">
        <f t="array" ref="A4784">IFNA(index(PlayerValues!A:A,match(IFNA(vlookup(B4784,'Special Names'!A:B,2,FALSE),B4784),PlayerValues!E:E,0)),"N/A")</f>
        <v>17184</v>
      </c>
      <c r="B4784" s="4" t="s">
        <v>588</v>
      </c>
      <c r="C4784" s="4" t="s">
        <v>287</v>
      </c>
      <c r="D4784" s="94">
        <v>1936.0</v>
      </c>
    </row>
    <row r="4785">
      <c r="A4785" s="40">
        <f t="array" ref="A4785">IFNA(index(PlayerValues!A:A,match(IFNA(vlookup(B4785,'Special Names'!A:B,2,FALSE),B4785),PlayerValues!E:E,0)),"N/A")</f>
        <v>16216</v>
      </c>
      <c r="B4785" s="4" t="s">
        <v>595</v>
      </c>
      <c r="C4785" s="4" t="s">
        <v>298</v>
      </c>
      <c r="D4785" s="94">
        <v>2304.0</v>
      </c>
    </row>
    <row r="4786">
      <c r="A4786" s="40">
        <f t="array" ref="A4786">IFNA(index(PlayerValues!A:A,match(IFNA(vlookup(B4786,'Special Names'!A:B,2,FALSE),B4786),PlayerValues!E:E,0)),"N/A")</f>
        <v>13189</v>
      </c>
      <c r="B4786" s="4" t="s">
        <v>626</v>
      </c>
      <c r="C4786" s="4" t="s">
        <v>298</v>
      </c>
      <c r="D4786" s="94">
        <v>2303.0</v>
      </c>
    </row>
    <row r="4787">
      <c r="A4787" s="40">
        <f t="array" ref="A4787">IFNA(index(PlayerValues!A:A,match(IFNA(vlookup(B4787,'Special Names'!A:B,2,FALSE),B4787),PlayerValues!E:E,0)),"N/A")</f>
        <v>17049</v>
      </c>
      <c r="B4787" s="4" t="s">
        <v>624</v>
      </c>
      <c r="C4787" s="4" t="s">
        <v>278</v>
      </c>
      <c r="D4787" s="94">
        <v>1907.0</v>
      </c>
    </row>
    <row r="4788">
      <c r="A4788" s="40">
        <f t="array" ref="A4788">IFNA(index(PlayerValues!A:A,match(IFNA(vlookup(B4788,'Special Names'!A:B,2,FALSE),B4788),PlayerValues!E:E,0)),"N/A")</f>
        <v>13113</v>
      </c>
      <c r="B4788" s="4" t="s">
        <v>606</v>
      </c>
      <c r="C4788" s="4" t="s">
        <v>283</v>
      </c>
      <c r="D4788" s="94">
        <v>1895.0</v>
      </c>
    </row>
    <row r="4789">
      <c r="A4789" s="40" t="str">
        <f t="array" ref="A4789">IFNA(index(PlayerValues!A:A,match(IFNA(vlookup(B4789,'Special Names'!A:B,2,FALSE),B4789),PlayerValues!E:E,0)),"N/A")</f>
        <v>N/A</v>
      </c>
      <c r="B4789" s="4" t="s">
        <v>101</v>
      </c>
      <c r="C4789" s="4" t="s">
        <v>325</v>
      </c>
      <c r="D4789" s="94">
        <v>1881.0</v>
      </c>
    </row>
    <row r="4790">
      <c r="A4790" s="40">
        <f t="array" ref="A4790">IFNA(index(PlayerValues!A:A,match(IFNA(vlookup(B4790,'Special Names'!A:B,2,FALSE),B4790),PlayerValues!E:E,0)),"N/A")</f>
        <v>15254</v>
      </c>
      <c r="B4790" s="4" t="s">
        <v>633</v>
      </c>
      <c r="C4790" s="4" t="s">
        <v>278</v>
      </c>
      <c r="D4790" s="94">
        <v>1877.0</v>
      </c>
    </row>
    <row r="4791">
      <c r="A4791" s="40">
        <f t="array" ref="A4791">IFNA(index(PlayerValues!A:A,match(IFNA(vlookup(B4791,'Special Names'!A:B,2,FALSE),B4791),PlayerValues!E:E,0)),"N/A")</f>
        <v>16604</v>
      </c>
      <c r="B4791" s="4" t="s">
        <v>476</v>
      </c>
      <c r="C4791" s="4" t="s">
        <v>278</v>
      </c>
      <c r="D4791" s="94">
        <v>1857.0</v>
      </c>
    </row>
    <row r="4792">
      <c r="A4792" s="40">
        <f t="array" ref="A4792">IFNA(index(PlayerValues!A:A,match(IFNA(vlookup(B4792,'Special Names'!A:B,2,FALSE),B4792),PlayerValues!E:E,0)),"N/A")</f>
        <v>17034</v>
      </c>
      <c r="B4792" s="4" t="s">
        <v>643</v>
      </c>
      <c r="C4792" s="4" t="s">
        <v>283</v>
      </c>
      <c r="D4792" s="94">
        <v>1851.0</v>
      </c>
    </row>
    <row r="4793">
      <c r="A4793" s="40">
        <f t="array" ref="A4793">IFNA(index(PlayerValues!A:A,match(IFNA(vlookup(B4793,'Special Names'!A:B,2,FALSE),B4793),PlayerValues!E:E,0)),"N/A")</f>
        <v>16644</v>
      </c>
      <c r="B4793" s="4" t="s">
        <v>640</v>
      </c>
      <c r="C4793" s="4" t="s">
        <v>298</v>
      </c>
      <c r="D4793" s="94">
        <v>2230.0</v>
      </c>
    </row>
    <row r="4794">
      <c r="A4794" s="40">
        <f t="array" ref="A4794">IFNA(index(PlayerValues!A:A,match(IFNA(vlookup(B4794,'Special Names'!A:B,2,FALSE),B4794),PlayerValues!E:E,0)),"N/A")</f>
        <v>17547</v>
      </c>
      <c r="B4794" s="4" t="s">
        <v>552</v>
      </c>
      <c r="C4794" s="4" t="s">
        <v>298</v>
      </c>
      <c r="D4794" s="94">
        <v>2217.0</v>
      </c>
    </row>
    <row r="4795">
      <c r="A4795" s="40">
        <f t="array" ref="A4795">IFNA(index(PlayerValues!A:A,match(IFNA(vlookup(B4795,'Special Names'!A:B,2,FALSE),B4795),PlayerValues!E:E,0)),"N/A")</f>
        <v>16215</v>
      </c>
      <c r="B4795" s="4" t="s">
        <v>637</v>
      </c>
      <c r="C4795" s="4" t="s">
        <v>298</v>
      </c>
      <c r="D4795" s="94">
        <v>2216.0</v>
      </c>
    </row>
    <row r="4796">
      <c r="A4796" s="40" t="str">
        <f t="array" ref="A4796">IFNA(index(PlayerValues!A:A,match(IFNA(vlookup(B4796,'Special Names'!A:B,2,FALSE),B4796),PlayerValues!E:E,0)),"N/A")</f>
        <v>N/A</v>
      </c>
      <c r="B4796" s="4" t="s">
        <v>114</v>
      </c>
      <c r="C4796" s="4" t="s">
        <v>325</v>
      </c>
      <c r="D4796" s="94">
        <v>1832.0</v>
      </c>
    </row>
    <row r="4797">
      <c r="A4797" s="40">
        <f t="array" ref="A4797">IFNA(index(PlayerValues!A:A,match(IFNA(vlookup(B4797,'Special Names'!A:B,2,FALSE),B4797),PlayerValues!E:E,0)),"N/A")</f>
        <v>15787</v>
      </c>
      <c r="B4797" s="4" t="s">
        <v>610</v>
      </c>
      <c r="C4797" s="4" t="s">
        <v>287</v>
      </c>
      <c r="D4797" s="94">
        <v>1831.0</v>
      </c>
    </row>
    <row r="4798">
      <c r="A4798" s="40">
        <f t="array" ref="A4798">IFNA(index(PlayerValues!A:A,match(IFNA(vlookup(B4798,'Special Names'!A:B,2,FALSE),B4798),PlayerValues!E:E,0)),"N/A")</f>
        <v>15788</v>
      </c>
      <c r="B4798" s="4" t="s">
        <v>627</v>
      </c>
      <c r="C4798" s="4" t="s">
        <v>287</v>
      </c>
      <c r="D4798" s="94">
        <v>1826.0</v>
      </c>
    </row>
    <row r="4799">
      <c r="A4799" s="40">
        <f t="array" ref="A4799">IFNA(index(PlayerValues!A:A,match(IFNA(vlookup(B4799,'Special Names'!A:B,2,FALSE),B4799),PlayerValues!E:E,0)),"N/A")</f>
        <v>17086</v>
      </c>
      <c r="B4799" s="4" t="s">
        <v>612</v>
      </c>
      <c r="C4799" s="4" t="s">
        <v>287</v>
      </c>
      <c r="D4799" s="94">
        <v>1820.0</v>
      </c>
    </row>
    <row r="4800">
      <c r="A4800" s="40">
        <f t="array" ref="A4800">IFNA(index(PlayerValues!A:A,match(IFNA(vlookup(B4800,'Special Names'!A:B,2,FALSE),B4800),PlayerValues!E:E,0)),"N/A")</f>
        <v>17035</v>
      </c>
      <c r="B4800" s="4" t="s">
        <v>650</v>
      </c>
      <c r="C4800" s="4" t="s">
        <v>283</v>
      </c>
      <c r="D4800" s="94">
        <v>1811.0</v>
      </c>
    </row>
    <row r="4801">
      <c r="A4801" s="40">
        <f t="array" ref="A4801">IFNA(index(PlayerValues!A:A,match(IFNA(vlookup(B4801,'Special Names'!A:B,2,FALSE),B4801),PlayerValues!E:E,0)),"N/A")</f>
        <v>16752</v>
      </c>
      <c r="B4801" s="4" t="s">
        <v>597</v>
      </c>
      <c r="C4801" s="4" t="s">
        <v>278</v>
      </c>
      <c r="D4801" s="94">
        <v>1809.0</v>
      </c>
    </row>
    <row r="4802">
      <c r="A4802" s="40">
        <f t="array" ref="A4802">IFNA(index(PlayerValues!A:A,match(IFNA(vlookup(B4802,'Special Names'!A:B,2,FALSE),B4802),PlayerValues!E:E,0)),"N/A")</f>
        <v>13164</v>
      </c>
      <c r="B4802" s="4" t="s">
        <v>632</v>
      </c>
      <c r="C4802" s="4" t="s">
        <v>287</v>
      </c>
      <c r="D4802" s="94">
        <v>1808.0</v>
      </c>
    </row>
    <row r="4803">
      <c r="A4803" s="40">
        <f t="array" ref="A4803">IFNA(index(PlayerValues!A:A,match(IFNA(vlookup(B4803,'Special Names'!A:B,2,FALSE),B4803),PlayerValues!E:E,0)),"N/A")</f>
        <v>14105</v>
      </c>
      <c r="B4803" s="4" t="s">
        <v>675</v>
      </c>
      <c r="C4803" s="4" t="s">
        <v>287</v>
      </c>
      <c r="D4803" s="94">
        <v>1800.0</v>
      </c>
    </row>
    <row r="4804">
      <c r="A4804" s="40">
        <f t="array" ref="A4804">IFNA(index(PlayerValues!A:A,match(IFNA(vlookup(B4804,'Special Names'!A:B,2,FALSE),B4804),PlayerValues!E:E,0)),"N/A")</f>
        <v>7836</v>
      </c>
      <c r="B4804" s="4" t="s">
        <v>590</v>
      </c>
      <c r="C4804" s="4" t="s">
        <v>283</v>
      </c>
      <c r="D4804" s="94">
        <v>1794.0</v>
      </c>
    </row>
    <row r="4805">
      <c r="A4805" s="40">
        <f t="array" ref="A4805">IFNA(index(PlayerValues!A:A,match(IFNA(vlookup(B4805,'Special Names'!A:B,2,FALSE),B4805),PlayerValues!E:E,0)),"N/A")</f>
        <v>16201</v>
      </c>
      <c r="B4805" s="4" t="s">
        <v>589</v>
      </c>
      <c r="C4805" s="4" t="s">
        <v>287</v>
      </c>
      <c r="D4805" s="94">
        <v>1781.0</v>
      </c>
    </row>
    <row r="4806">
      <c r="A4806" s="40">
        <f t="array" ref="A4806">IFNA(index(PlayerValues!A:A,match(IFNA(vlookup(B4806,'Special Names'!A:B,2,FALSE),B4806),PlayerValues!E:E,0)),"N/A")</f>
        <v>17465</v>
      </c>
      <c r="B4806" s="4" t="s">
        <v>649</v>
      </c>
      <c r="C4806" s="4" t="s">
        <v>283</v>
      </c>
      <c r="D4806" s="94">
        <v>1768.0</v>
      </c>
    </row>
    <row r="4807">
      <c r="A4807" s="40">
        <f t="array" ref="A4807">IFNA(index(PlayerValues!A:A,match(IFNA(vlookup(B4807,'Special Names'!A:B,2,FALSE),B4807),PlayerValues!E:E,0)),"N/A")</f>
        <v>14143</v>
      </c>
      <c r="B4807" s="4" t="s">
        <v>635</v>
      </c>
      <c r="C4807" s="4" t="s">
        <v>298</v>
      </c>
      <c r="D4807" s="94">
        <v>2146.0</v>
      </c>
    </row>
    <row r="4808">
      <c r="A4808" s="40">
        <f t="array" ref="A4808">IFNA(index(PlayerValues!A:A,match(IFNA(vlookup(B4808,'Special Names'!A:B,2,FALSE),B4808),PlayerValues!E:E,0)),"N/A")</f>
        <v>17096</v>
      </c>
      <c r="B4808" s="4" t="s">
        <v>638</v>
      </c>
      <c r="C4808" s="4" t="s">
        <v>287</v>
      </c>
      <c r="D4808" s="94">
        <v>1759.0</v>
      </c>
    </row>
    <row r="4809">
      <c r="A4809" s="40">
        <f t="array" ref="A4809">IFNA(index(PlayerValues!A:A,match(IFNA(vlookup(B4809,'Special Names'!A:B,2,FALSE),B4809),PlayerValues!E:E,0)),"N/A")</f>
        <v>16778</v>
      </c>
      <c r="B4809" s="4" t="s">
        <v>577</v>
      </c>
      <c r="C4809" s="4" t="s">
        <v>287</v>
      </c>
      <c r="D4809" s="94">
        <v>1752.0</v>
      </c>
    </row>
    <row r="4810">
      <c r="A4810" s="40">
        <f t="array" ref="A4810">IFNA(index(PlayerValues!A:A,match(IFNA(vlookup(B4810,'Special Names'!A:B,2,FALSE),B4810),PlayerValues!E:E,0)),"N/A")</f>
        <v>17520</v>
      </c>
      <c r="B4810" s="4" t="s">
        <v>518</v>
      </c>
      <c r="C4810" s="4" t="s">
        <v>287</v>
      </c>
      <c r="D4810" s="94">
        <v>1739.0</v>
      </c>
    </row>
    <row r="4811">
      <c r="A4811" s="40">
        <f t="array" ref="A4811">IFNA(index(PlayerValues!A:A,match(IFNA(vlookup(B4811,'Special Names'!A:B,2,FALSE),B4811),PlayerValues!E:E,0)),"N/A")</f>
        <v>16635</v>
      </c>
      <c r="B4811" s="4" t="s">
        <v>645</v>
      </c>
      <c r="C4811" s="4" t="s">
        <v>287</v>
      </c>
      <c r="D4811" s="94">
        <v>1734.0</v>
      </c>
    </row>
    <row r="4812">
      <c r="A4812" s="40">
        <f t="array" ref="A4812">IFNA(index(PlayerValues!A:A,match(IFNA(vlookup(B4812,'Special Names'!A:B,2,FALSE),B4812),PlayerValues!E:E,0)),"N/A")</f>
        <v>15755</v>
      </c>
      <c r="B4812" s="4" t="s">
        <v>628</v>
      </c>
      <c r="C4812" s="4" t="s">
        <v>287</v>
      </c>
      <c r="D4812" s="94">
        <v>1729.0</v>
      </c>
    </row>
    <row r="4813">
      <c r="A4813" s="40" t="str">
        <f t="array" ref="A4813">IFNA(index(PlayerValues!A:A,match(IFNA(vlookup(B4813,'Special Names'!A:B,2,FALSE),B4813),PlayerValues!E:E,0)),"N/A")</f>
        <v>N/A</v>
      </c>
      <c r="B4813" s="4" t="s">
        <v>89</v>
      </c>
      <c r="C4813" s="4" t="s">
        <v>325</v>
      </c>
      <c r="D4813" s="94">
        <v>1720.0</v>
      </c>
    </row>
    <row r="4814">
      <c r="A4814" s="40">
        <f t="array" ref="A4814">IFNA(index(PlayerValues!A:A,match(IFNA(vlookup(B4814,'Special Names'!A:B,2,FALSE),B4814),PlayerValues!E:E,0)),"N/A")</f>
        <v>16586</v>
      </c>
      <c r="B4814" s="4" t="s">
        <v>658</v>
      </c>
      <c r="C4814" s="4" t="s">
        <v>283</v>
      </c>
      <c r="D4814" s="94">
        <v>1717.0</v>
      </c>
    </row>
    <row r="4815">
      <c r="A4815" s="40">
        <f t="array" ref="A4815">IFNA(index(PlayerValues!A:A,match(IFNA(vlookup(B4815,'Special Names'!A:B,2,FALSE),B4815),PlayerValues!E:E,0)),"N/A")</f>
        <v>15301</v>
      </c>
      <c r="B4815" s="4" t="s">
        <v>657</v>
      </c>
      <c r="C4815" s="4" t="s">
        <v>287</v>
      </c>
      <c r="D4815" s="94">
        <v>1709.0</v>
      </c>
    </row>
    <row r="4816">
      <c r="A4816" s="40">
        <f t="array" ref="A4816">IFNA(index(PlayerValues!A:A,match(IFNA(vlookup(B4816,'Special Names'!A:B,2,FALSE),B4816),PlayerValues!E:E,0)),"N/A")</f>
        <v>15797</v>
      </c>
      <c r="B4816" s="4" t="s">
        <v>556</v>
      </c>
      <c r="C4816" s="4" t="s">
        <v>298</v>
      </c>
      <c r="D4816" s="94">
        <v>2087.0</v>
      </c>
    </row>
    <row r="4817">
      <c r="A4817" s="40" t="str">
        <f t="array" ref="A4817">IFNA(index(PlayerValues!A:A,match(IFNA(vlookup(B4817,'Special Names'!A:B,2,FALSE),B4817),PlayerValues!E:E,0)),"N/A")</f>
        <v>N/A</v>
      </c>
      <c r="B4817" s="4" t="s">
        <v>102</v>
      </c>
      <c r="C4817" s="4" t="s">
        <v>325</v>
      </c>
      <c r="D4817" s="94">
        <v>1689.0</v>
      </c>
    </row>
    <row r="4818">
      <c r="A4818" s="40">
        <f t="array" ref="A4818">IFNA(index(PlayerValues!A:A,match(IFNA(vlookup(B4818,'Special Names'!A:B,2,FALSE),B4818),PlayerValues!E:E,0)),"N/A")</f>
        <v>16585</v>
      </c>
      <c r="B4818" s="4" t="s">
        <v>623</v>
      </c>
      <c r="C4818" s="4" t="s">
        <v>283</v>
      </c>
      <c r="D4818" s="94">
        <v>1687.0</v>
      </c>
    </row>
    <row r="4819">
      <c r="A4819" s="40" t="str">
        <f t="array" ref="A4819">IFNA(index(PlayerValues!A:A,match(IFNA(vlookup(B4819,'Special Names'!A:B,2,FALSE),B4819),PlayerValues!E:E,0)),"N/A")</f>
        <v>N/A</v>
      </c>
      <c r="B4819" s="4" t="s">
        <v>115</v>
      </c>
      <c r="C4819" s="4" t="s">
        <v>325</v>
      </c>
      <c r="D4819" s="94">
        <v>1672.0</v>
      </c>
    </row>
    <row r="4820">
      <c r="A4820" s="40">
        <f t="array" ref="A4820">IFNA(index(PlayerValues!A:A,match(IFNA(vlookup(B4820,'Special Names'!A:B,2,FALSE),B4820),PlayerValues!E:E,0)),"N/A")</f>
        <v>17064</v>
      </c>
      <c r="B4820" s="4" t="s">
        <v>631</v>
      </c>
      <c r="C4820" s="4" t="s">
        <v>278</v>
      </c>
      <c r="D4820" s="94">
        <v>1671.0</v>
      </c>
    </row>
    <row r="4821">
      <c r="A4821" s="40" t="str">
        <f t="array" ref="A4821">IFNA(index(PlayerValues!A:A,match(IFNA(vlookup(B4821,'Special Names'!A:B,2,FALSE),B4821),PlayerValues!E:E,0)),"N/A")</f>
        <v>N/A</v>
      </c>
      <c r="B4821" s="4" t="s">
        <v>103</v>
      </c>
      <c r="C4821" s="4" t="s">
        <v>325</v>
      </c>
      <c r="D4821" s="94">
        <v>1669.0</v>
      </c>
    </row>
    <row r="4822">
      <c r="A4822" s="40">
        <f t="array" ref="A4822">IFNA(index(PlayerValues!A:A,match(IFNA(vlookup(B4822,'Special Names'!A:B,2,FALSE),B4822),PlayerValues!E:E,0)),"N/A")</f>
        <v>16629</v>
      </c>
      <c r="B4822" s="4" t="s">
        <v>605</v>
      </c>
      <c r="C4822" s="4" t="s">
        <v>287</v>
      </c>
      <c r="D4822" s="94">
        <v>1661.0</v>
      </c>
    </row>
    <row r="4823">
      <c r="A4823" s="40">
        <f t="array" ref="A4823">IFNA(index(PlayerValues!A:A,match(IFNA(vlookup(B4823,'Special Names'!A:B,2,FALSE),B4823),PlayerValues!E:E,0)),"N/A")</f>
        <v>16788</v>
      </c>
      <c r="B4823" s="4" t="s">
        <v>621</v>
      </c>
      <c r="C4823" s="4" t="s">
        <v>287</v>
      </c>
      <c r="D4823" s="94">
        <v>1656.0</v>
      </c>
    </row>
    <row r="4824">
      <c r="A4824" s="40">
        <f t="array" ref="A4824">IFNA(index(PlayerValues!A:A,match(IFNA(vlookup(B4824,'Special Names'!A:B,2,FALSE),B4824),PlayerValues!E:E,0)),"N/A")</f>
        <v>16601</v>
      </c>
      <c r="B4824" s="4" t="s">
        <v>648</v>
      </c>
      <c r="C4824" s="4" t="s">
        <v>278</v>
      </c>
      <c r="D4824" s="94">
        <v>1652.0</v>
      </c>
    </row>
    <row r="4825">
      <c r="A4825" s="40">
        <f t="array" ref="A4825">IFNA(index(PlayerValues!A:A,match(IFNA(vlookup(B4825,'Special Names'!A:B,2,FALSE),B4825),PlayerValues!E:E,0)),"N/A")</f>
        <v>16207</v>
      </c>
      <c r="B4825" s="4" t="s">
        <v>636</v>
      </c>
      <c r="C4825" s="4" t="s">
        <v>287</v>
      </c>
      <c r="D4825" s="94">
        <v>1650.0</v>
      </c>
    </row>
    <row r="4826">
      <c r="A4826" s="40">
        <f t="array" ref="A4826">IFNA(index(PlayerValues!A:A,match(IFNA(vlookup(B4826,'Special Names'!A:B,2,FALSE),B4826),PlayerValues!E:E,0)),"N/A")</f>
        <v>17058</v>
      </c>
      <c r="B4826" s="4" t="s">
        <v>641</v>
      </c>
      <c r="C4826" s="4" t="s">
        <v>278</v>
      </c>
      <c r="D4826" s="94">
        <v>1649.0</v>
      </c>
    </row>
    <row r="4827">
      <c r="A4827" s="40">
        <f t="array" ref="A4827">IFNA(index(PlayerValues!A:A,match(IFNA(vlookup(B4827,'Special Names'!A:B,2,FALSE),B4827),PlayerValues!E:E,0)),"N/A")</f>
        <v>15759</v>
      </c>
      <c r="B4827" s="4" t="s">
        <v>662</v>
      </c>
      <c r="C4827" s="4" t="s">
        <v>287</v>
      </c>
      <c r="D4827" s="94">
        <v>1641.0</v>
      </c>
    </row>
    <row r="4828">
      <c r="A4828" s="40">
        <f t="array" ref="A4828">IFNA(index(PlayerValues!A:A,match(IFNA(vlookup(B4828,'Special Names'!A:B,2,FALSE),B4828),PlayerValues!E:E,0)),"N/A")</f>
        <v>15319</v>
      </c>
      <c r="B4828" s="4" t="s">
        <v>644</v>
      </c>
      <c r="C4828" s="4" t="s">
        <v>287</v>
      </c>
      <c r="D4828" s="94">
        <v>1637.0</v>
      </c>
    </row>
    <row r="4829">
      <c r="A4829" s="40">
        <f t="array" ref="A4829">IFNA(index(PlayerValues!A:A,match(IFNA(vlookup(B4829,'Special Names'!A:B,2,FALSE),B4829),PlayerValues!E:E,0)),"N/A")</f>
        <v>16595</v>
      </c>
      <c r="B4829" s="4" t="s">
        <v>664</v>
      </c>
      <c r="C4829" s="4" t="s">
        <v>278</v>
      </c>
      <c r="D4829" s="94">
        <v>1634.0</v>
      </c>
    </row>
    <row r="4830">
      <c r="A4830" s="40">
        <f t="array" ref="A4830">IFNA(index(PlayerValues!A:A,match(IFNA(vlookup(B4830,'Special Names'!A:B,2,FALSE),B4830),PlayerValues!E:E,0)),"N/A")</f>
        <v>15337</v>
      </c>
      <c r="B4830" s="4" t="s">
        <v>655</v>
      </c>
      <c r="C4830" s="4" t="s">
        <v>298</v>
      </c>
      <c r="D4830" s="94">
        <v>2000.0</v>
      </c>
    </row>
    <row r="4831">
      <c r="A4831" s="40" t="str">
        <f t="array" ref="A4831">IFNA(index(PlayerValues!A:A,match(IFNA(vlookup(B4831,'Special Names'!A:B,2,FALSE),B4831),PlayerValues!E:E,0)),"N/A")</f>
        <v>N/A</v>
      </c>
      <c r="B4831" s="4" t="s">
        <v>90</v>
      </c>
      <c r="C4831" s="4" t="s">
        <v>325</v>
      </c>
      <c r="D4831" s="94">
        <v>1600.0</v>
      </c>
    </row>
    <row r="4832">
      <c r="A4832" s="40">
        <f t="array" ref="A4832">IFNA(index(PlayerValues!A:A,match(IFNA(vlookup(B4832,'Special Names'!A:B,2,FALSE),B4832),PlayerValues!E:E,0)),"N/A")</f>
        <v>17205</v>
      </c>
      <c r="B4832" s="4" t="s">
        <v>665</v>
      </c>
      <c r="C4832" s="4" t="s">
        <v>287</v>
      </c>
      <c r="D4832" s="94">
        <v>1590.0</v>
      </c>
    </row>
    <row r="4833">
      <c r="A4833" s="40">
        <f t="array" ref="A4833">IFNA(index(PlayerValues!A:A,match(IFNA(vlookup(B4833,'Special Names'!A:B,2,FALSE),B4833),PlayerValues!E:E,0)),"N/A")</f>
        <v>15752</v>
      </c>
      <c r="B4833" s="4" t="s">
        <v>647</v>
      </c>
      <c r="C4833" s="4" t="s">
        <v>287</v>
      </c>
      <c r="D4833" s="94">
        <v>1588.0</v>
      </c>
    </row>
    <row r="4834">
      <c r="A4834" s="40">
        <f t="array" ref="A4834">IFNA(index(PlayerValues!A:A,match(IFNA(vlookup(B4834,'Special Names'!A:B,2,FALSE),B4834),PlayerValues!E:E,0)),"N/A")</f>
        <v>16175</v>
      </c>
      <c r="B4834" s="4" t="s">
        <v>654</v>
      </c>
      <c r="C4834" s="4" t="s">
        <v>278</v>
      </c>
      <c r="D4834" s="94">
        <v>1585.0</v>
      </c>
    </row>
    <row r="4835">
      <c r="A4835" s="40">
        <f t="array" ref="A4835">IFNA(index(PlayerValues!A:A,match(IFNA(vlookup(B4835,'Special Names'!A:B,2,FALSE),B4835),PlayerValues!E:E,0)),"N/A")</f>
        <v>17234</v>
      </c>
      <c r="B4835" s="4" t="s">
        <v>653</v>
      </c>
      <c r="C4835" s="4" t="s">
        <v>287</v>
      </c>
      <c r="D4835" s="94">
        <v>1581.0</v>
      </c>
    </row>
    <row r="4836">
      <c r="A4836" s="40">
        <f t="array" ref="A4836">IFNA(index(PlayerValues!A:A,match(IFNA(vlookup(B4836,'Special Names'!A:B,2,FALSE),B4836),PlayerValues!E:E,0)),"N/A")</f>
        <v>16633</v>
      </c>
      <c r="B4836" s="4" t="s">
        <v>656</v>
      </c>
      <c r="C4836" s="4" t="s">
        <v>287</v>
      </c>
      <c r="D4836" s="94">
        <v>1580.0</v>
      </c>
    </row>
    <row r="4837">
      <c r="A4837" s="40">
        <f t="array" ref="A4837">IFNA(index(PlayerValues!A:A,match(IFNA(vlookup(B4837,'Special Names'!A:B,2,FALSE),B4837),PlayerValues!E:E,0)),"N/A")</f>
        <v>16688</v>
      </c>
      <c r="B4837" s="4" t="s">
        <v>688</v>
      </c>
      <c r="C4837" s="4" t="s">
        <v>278</v>
      </c>
      <c r="D4837" s="94">
        <v>1570.0</v>
      </c>
    </row>
    <row r="4838">
      <c r="A4838" s="40">
        <f t="array" ref="A4838">IFNA(index(PlayerValues!A:A,match(IFNA(vlookup(B4838,'Special Names'!A:B,2,FALSE),B4838),PlayerValues!E:E,0)),"N/A")</f>
        <v>11222</v>
      </c>
      <c r="B4838" s="4" t="s">
        <v>622</v>
      </c>
      <c r="C4838" s="4" t="s">
        <v>287</v>
      </c>
      <c r="D4838" s="94">
        <v>1566.0</v>
      </c>
    </row>
    <row r="4839">
      <c r="A4839" s="40">
        <f t="array" ref="A4839">IFNA(index(PlayerValues!A:A,match(IFNA(vlookup(B4839,'Special Names'!A:B,2,FALSE),B4839),PlayerValues!E:E,0)),"N/A")</f>
        <v>15777</v>
      </c>
      <c r="B4839" s="4" t="s">
        <v>694</v>
      </c>
      <c r="C4839" s="4" t="s">
        <v>287</v>
      </c>
      <c r="D4839" s="94">
        <v>1550.0</v>
      </c>
    </row>
    <row r="4840">
      <c r="A4840" s="40">
        <f t="array" ref="A4840">IFNA(index(PlayerValues!A:A,match(IFNA(vlookup(B4840,'Special Names'!A:B,2,FALSE),B4840),PlayerValues!E:E,0)),"N/A")</f>
        <v>15713</v>
      </c>
      <c r="B4840" s="4" t="s">
        <v>732</v>
      </c>
      <c r="C4840" s="4" t="s">
        <v>278</v>
      </c>
      <c r="D4840" s="94">
        <v>1548.0</v>
      </c>
    </row>
    <row r="4841">
      <c r="A4841" s="40">
        <f t="array" ref="A4841">IFNA(index(PlayerValues!A:A,match(IFNA(vlookup(B4841,'Special Names'!A:B,2,FALSE),B4841),PlayerValues!E:E,0)),"N/A")</f>
        <v>16149</v>
      </c>
      <c r="B4841" s="4" t="s">
        <v>740</v>
      </c>
      <c r="C4841" s="4" t="s">
        <v>283</v>
      </c>
      <c r="D4841" s="94">
        <v>1542.0</v>
      </c>
    </row>
    <row r="4842">
      <c r="A4842" s="40">
        <f t="array" ref="A4842">IFNA(index(PlayerValues!A:A,match(IFNA(vlookup(B4842,'Special Names'!A:B,2,FALSE),B4842),PlayerValues!E:E,0)),"N/A")</f>
        <v>16792</v>
      </c>
      <c r="B4842" s="4" t="s">
        <v>704</v>
      </c>
      <c r="C4842" s="4" t="s">
        <v>287</v>
      </c>
      <c r="D4842" s="94">
        <v>1536.0</v>
      </c>
    </row>
    <row r="4843">
      <c r="A4843" s="40">
        <f t="array" ref="A4843">IFNA(index(PlayerValues!A:A,match(IFNA(vlookup(B4843,'Special Names'!A:B,2,FALSE),B4843),PlayerValues!E:E,0)),"N/A")</f>
        <v>14122</v>
      </c>
      <c r="B4843" s="4" t="s">
        <v>663</v>
      </c>
      <c r="C4843" s="4" t="s">
        <v>287</v>
      </c>
      <c r="D4843" s="94">
        <v>1526.0</v>
      </c>
    </row>
    <row r="4844">
      <c r="A4844" s="40" t="str">
        <f t="array" ref="A4844">IFNA(index(PlayerValues!A:A,match(IFNA(vlookup(B4844,'Special Names'!A:B,2,FALSE),B4844),PlayerValues!E:E,0)),"N/A")</f>
        <v>N/A</v>
      </c>
      <c r="B4844" s="4" t="s">
        <v>116</v>
      </c>
      <c r="C4844" s="4" t="s">
        <v>325</v>
      </c>
      <c r="D4844" s="94">
        <v>1521.0</v>
      </c>
    </row>
    <row r="4845">
      <c r="A4845" s="40" t="str">
        <f t="array" ref="A4845">IFNA(index(PlayerValues!A:A,match(IFNA(vlookup(B4845,'Special Names'!A:B,2,FALSE),B4845),PlayerValues!E:E,0)),"N/A")</f>
        <v>N/A</v>
      </c>
      <c r="B4845" s="4" t="s">
        <v>91</v>
      </c>
      <c r="C4845" s="4" t="s">
        <v>325</v>
      </c>
      <c r="D4845" s="94">
        <v>1518.0</v>
      </c>
    </row>
    <row r="4846">
      <c r="A4846" s="40">
        <f t="array" ref="A4846">IFNA(index(PlayerValues!A:A,match(IFNA(vlookup(B4846,'Special Names'!A:B,2,FALSE),B4846),PlayerValues!E:E,0)),"N/A")</f>
        <v>17467</v>
      </c>
      <c r="B4846" s="4" t="s">
        <v>575</v>
      </c>
      <c r="C4846" s="4" t="s">
        <v>283</v>
      </c>
      <c r="D4846" s="94">
        <v>1516.0</v>
      </c>
    </row>
    <row r="4847">
      <c r="A4847" s="40">
        <f t="array" ref="A4847">IFNA(index(PlayerValues!A:A,match(IFNA(vlookup(B4847,'Special Names'!A:B,2,FALSE),B4847),PlayerValues!E:E,0)),"N/A")</f>
        <v>15873</v>
      </c>
      <c r="B4847" s="4" t="s">
        <v>681</v>
      </c>
      <c r="C4847" s="4" t="s">
        <v>298</v>
      </c>
      <c r="D4847" s="94">
        <v>1871.0</v>
      </c>
    </row>
    <row r="4848">
      <c r="A4848" s="40">
        <f t="array" ref="A4848">IFNA(index(PlayerValues!A:A,match(IFNA(vlookup(B4848,'Special Names'!A:B,2,FALSE),B4848),PlayerValues!E:E,0)),"N/A")</f>
        <v>16390</v>
      </c>
      <c r="B4848" s="4" t="s">
        <v>689</v>
      </c>
      <c r="C4848" s="4" t="s">
        <v>278</v>
      </c>
      <c r="D4848" s="94">
        <v>1497.0</v>
      </c>
    </row>
    <row r="4849">
      <c r="A4849" s="40">
        <f t="array" ref="A4849">IFNA(index(PlayerValues!A:A,match(IFNA(vlookup(B4849,'Special Names'!A:B,2,FALSE),B4849),PlayerValues!E:E,0)),"N/A")</f>
        <v>17037</v>
      </c>
      <c r="B4849" s="4" t="s">
        <v>727</v>
      </c>
      <c r="C4849" s="4" t="s">
        <v>283</v>
      </c>
      <c r="D4849" s="94">
        <v>1497.0</v>
      </c>
    </row>
    <row r="4850">
      <c r="A4850" s="40">
        <f t="array" ref="A4850">IFNA(index(PlayerValues!A:A,match(IFNA(vlookup(B4850,'Special Names'!A:B,2,FALSE),B4850),PlayerValues!E:E,0)),"N/A")</f>
        <v>16631</v>
      </c>
      <c r="B4850" s="4" t="s">
        <v>800</v>
      </c>
      <c r="C4850" s="4" t="s">
        <v>287</v>
      </c>
      <c r="D4850" s="94">
        <v>1487.0</v>
      </c>
    </row>
    <row r="4851">
      <c r="A4851" s="40">
        <f t="array" ref="A4851">IFNA(index(PlayerValues!A:A,match(IFNA(vlookup(B4851,'Special Names'!A:B,2,FALSE),B4851),PlayerValues!E:E,0)),"N/A")</f>
        <v>12140</v>
      </c>
      <c r="B4851" s="4" t="s">
        <v>702</v>
      </c>
      <c r="C4851" s="4" t="s">
        <v>283</v>
      </c>
      <c r="D4851" s="94">
        <v>1485.0</v>
      </c>
    </row>
    <row r="4852">
      <c r="A4852" s="40">
        <f t="array" ref="A4852">IFNA(index(PlayerValues!A:A,match(IFNA(vlookup(B4852,'Special Names'!A:B,2,FALSE),B4852),PlayerValues!E:E,0)),"N/A")</f>
        <v>17528</v>
      </c>
      <c r="B4852" s="4" t="s">
        <v>579</v>
      </c>
      <c r="C4852" s="4" t="s">
        <v>287</v>
      </c>
      <c r="D4852" s="94">
        <v>1482.0</v>
      </c>
    </row>
    <row r="4853">
      <c r="A4853" s="40">
        <f t="array" ref="A4853">IFNA(index(PlayerValues!A:A,match(IFNA(vlookup(B4853,'Special Names'!A:B,2,FALSE),B4853),PlayerValues!E:E,0)),"N/A")</f>
        <v>15252</v>
      </c>
      <c r="B4853" s="4" t="s">
        <v>715</v>
      </c>
      <c r="C4853" s="4" t="s">
        <v>283</v>
      </c>
      <c r="D4853" s="94">
        <v>1481.0</v>
      </c>
    </row>
    <row r="4854">
      <c r="A4854" s="40">
        <f t="array" ref="A4854">IFNA(index(PlayerValues!A:A,match(IFNA(vlookup(B4854,'Special Names'!A:B,2,FALSE),B4854),PlayerValues!E:E,0)),"N/A")</f>
        <v>16384</v>
      </c>
      <c r="B4854" s="4" t="s">
        <v>696</v>
      </c>
      <c r="C4854" s="4" t="s">
        <v>283</v>
      </c>
      <c r="D4854" s="94">
        <v>1465.0</v>
      </c>
    </row>
    <row r="4855">
      <c r="A4855" s="40">
        <f t="array" ref="A4855">IFNA(index(PlayerValues!A:A,match(IFNA(vlookup(B4855,'Special Names'!A:B,2,FALSE),B4855),PlayerValues!E:E,0)),"N/A")</f>
        <v>13418</v>
      </c>
      <c r="B4855" s="4" t="s">
        <v>706</v>
      </c>
      <c r="C4855" s="4" t="s">
        <v>287</v>
      </c>
      <c r="D4855" s="94">
        <v>1442.0</v>
      </c>
    </row>
    <row r="4856">
      <c r="A4856" s="40">
        <f t="array" ref="A4856">IFNA(index(PlayerValues!A:A,match(IFNA(vlookup(B4856,'Special Names'!A:B,2,FALSE),B4856),PlayerValues!E:E,0)),"N/A")</f>
        <v>17254</v>
      </c>
      <c r="B4856" s="4" t="s">
        <v>679</v>
      </c>
      <c r="C4856" s="4" t="s">
        <v>287</v>
      </c>
      <c r="D4856" s="94">
        <v>1435.0</v>
      </c>
    </row>
    <row r="4857">
      <c r="A4857" s="40">
        <f t="array" ref="A4857">IFNA(index(PlayerValues!A:A,match(IFNA(vlookup(B4857,'Special Names'!A:B,2,FALSE),B4857),PlayerValues!E:E,0)),"N/A")</f>
        <v>16642</v>
      </c>
      <c r="B4857" s="4" t="s">
        <v>691</v>
      </c>
      <c r="C4857" s="4" t="s">
        <v>298</v>
      </c>
      <c r="D4857" s="94">
        <v>1788.0</v>
      </c>
    </row>
    <row r="4858">
      <c r="A4858" s="40">
        <f t="array" ref="A4858">IFNA(index(PlayerValues!A:A,match(IFNA(vlookup(B4858,'Special Names'!A:B,2,FALSE),B4858),PlayerValues!E:E,0)),"N/A")</f>
        <v>12141</v>
      </c>
      <c r="B4858" s="4" t="s">
        <v>744</v>
      </c>
      <c r="C4858" s="4" t="s">
        <v>283</v>
      </c>
      <c r="D4858" s="94">
        <v>1417.0</v>
      </c>
    </row>
    <row r="4859">
      <c r="A4859" s="40">
        <f t="array" ref="A4859">IFNA(index(PlayerValues!A:A,match(IFNA(vlookup(B4859,'Special Names'!A:B,2,FALSE),B4859),PlayerValues!E:E,0)),"N/A")</f>
        <v>15292</v>
      </c>
      <c r="B4859" s="4" t="s">
        <v>682</v>
      </c>
      <c r="C4859" s="4" t="s">
        <v>287</v>
      </c>
      <c r="D4859" s="94">
        <v>1412.0</v>
      </c>
    </row>
    <row r="4860">
      <c r="A4860" s="40">
        <f t="array" ref="A4860">IFNA(index(PlayerValues!A:A,match(IFNA(vlookup(B4860,'Special Names'!A:B,2,FALSE),B4860),PlayerValues!E:E,0)),"N/A")</f>
        <v>12678</v>
      </c>
      <c r="B4860" s="4" t="s">
        <v>703</v>
      </c>
      <c r="C4860" s="4" t="s">
        <v>298</v>
      </c>
      <c r="D4860" s="94">
        <v>1781.0</v>
      </c>
    </row>
    <row r="4861">
      <c r="A4861" s="40">
        <f t="array" ref="A4861">IFNA(index(PlayerValues!A:A,match(IFNA(vlookup(B4861,'Special Names'!A:B,2,FALSE),B4861),PlayerValues!E:E,0)),"N/A")</f>
        <v>14137</v>
      </c>
      <c r="B4861" s="4" t="s">
        <v>676</v>
      </c>
      <c r="C4861" s="4" t="s">
        <v>298</v>
      </c>
      <c r="D4861" s="94">
        <v>1773.0</v>
      </c>
    </row>
    <row r="4862">
      <c r="A4862" s="40">
        <f t="array" ref="A4862">IFNA(index(PlayerValues!A:A,match(IFNA(vlookup(B4862,'Special Names'!A:B,2,FALSE),B4862),PlayerValues!E:E,0)),"N/A")</f>
        <v>17269</v>
      </c>
      <c r="B4862" s="4" t="s">
        <v>718</v>
      </c>
      <c r="C4862" s="4" t="s">
        <v>287</v>
      </c>
      <c r="D4862" s="94">
        <v>1401.0</v>
      </c>
    </row>
    <row r="4863">
      <c r="A4863" s="40">
        <f t="array" ref="A4863">IFNA(index(PlayerValues!A:A,match(IFNA(vlookup(B4863,'Special Names'!A:B,2,FALSE),B4863),PlayerValues!E:E,0)),"N/A")</f>
        <v>14080</v>
      </c>
      <c r="B4863" s="4" t="s">
        <v>716</v>
      </c>
      <c r="C4863" s="4" t="s">
        <v>278</v>
      </c>
      <c r="D4863" s="94">
        <v>1396.0</v>
      </c>
    </row>
    <row r="4864">
      <c r="A4864" s="40">
        <f t="array" ref="A4864">IFNA(index(PlayerValues!A:A,match(IFNA(vlookup(B4864,'Special Names'!A:B,2,FALSE),B4864),PlayerValues!E:E,0)),"N/A")</f>
        <v>16621</v>
      </c>
      <c r="B4864" s="4" t="s">
        <v>672</v>
      </c>
      <c r="C4864" s="4" t="s">
        <v>287</v>
      </c>
      <c r="D4864" s="94">
        <v>1395.0</v>
      </c>
    </row>
    <row r="4865">
      <c r="A4865" s="40">
        <f t="array" ref="A4865">IFNA(index(PlayerValues!A:A,match(IFNA(vlookup(B4865,'Special Names'!A:B,2,FALSE),B4865),PlayerValues!E:E,0)),"N/A")</f>
        <v>17481</v>
      </c>
      <c r="B4865" s="4" t="s">
        <v>540</v>
      </c>
      <c r="C4865" s="4" t="s">
        <v>278</v>
      </c>
      <c r="D4865" s="94">
        <v>1393.0</v>
      </c>
    </row>
    <row r="4866">
      <c r="A4866" s="40">
        <f t="array" ref="A4866">IFNA(index(PlayerValues!A:A,match(IFNA(vlookup(B4866,'Special Names'!A:B,2,FALSE),B4866),PlayerValues!E:E,0)),"N/A")</f>
        <v>17062</v>
      </c>
      <c r="B4866" s="4" t="s">
        <v>701</v>
      </c>
      <c r="C4866" s="4" t="s">
        <v>278</v>
      </c>
      <c r="D4866" s="94">
        <v>1388.0</v>
      </c>
    </row>
    <row r="4867">
      <c r="A4867" s="40">
        <f t="array" ref="A4867">IFNA(index(PlayerValues!A:A,match(IFNA(vlookup(B4867,'Special Names'!A:B,2,FALSE),B4867),PlayerValues!E:E,0)),"N/A")</f>
        <v>17054</v>
      </c>
      <c r="B4867" s="4" t="s">
        <v>670</v>
      </c>
      <c r="C4867" s="4" t="s">
        <v>278</v>
      </c>
      <c r="D4867" s="94">
        <v>1373.0</v>
      </c>
    </row>
    <row r="4868">
      <c r="A4868" s="40">
        <f t="array" ref="A4868">IFNA(index(PlayerValues!A:A,match(IFNA(vlookup(B4868,'Special Names'!A:B,2,FALSE),B4868),PlayerValues!E:E,0)),"N/A")</f>
        <v>13672</v>
      </c>
      <c r="B4868" s="4" t="s">
        <v>667</v>
      </c>
      <c r="C4868" s="4" t="s">
        <v>298</v>
      </c>
      <c r="D4868" s="94">
        <v>1724.0</v>
      </c>
    </row>
    <row r="4869">
      <c r="A4869" s="40">
        <f t="array" ref="A4869">IFNA(index(PlayerValues!A:A,match(IFNA(vlookup(B4869,'Special Names'!A:B,2,FALSE),B4869),PlayerValues!E:E,0)),"N/A")</f>
        <v>17077</v>
      </c>
      <c r="B4869" s="4" t="s">
        <v>714</v>
      </c>
      <c r="C4869" s="4" t="s">
        <v>287</v>
      </c>
      <c r="D4869" s="94">
        <v>1352.0</v>
      </c>
    </row>
    <row r="4870">
      <c r="A4870" s="40">
        <f t="array" ref="A4870">IFNA(index(PlayerValues!A:A,match(IFNA(vlookup(B4870,'Special Names'!A:B,2,FALSE),B4870),PlayerValues!E:E,0)),"N/A")</f>
        <v>17514</v>
      </c>
      <c r="B4870" s="4" t="s">
        <v>422</v>
      </c>
      <c r="C4870" s="4" t="s">
        <v>287</v>
      </c>
      <c r="D4870" s="94">
        <v>1347.0</v>
      </c>
    </row>
    <row r="4871">
      <c r="A4871" s="40">
        <f t="array" ref="A4871">IFNA(index(PlayerValues!A:A,match(IFNA(vlookup(B4871,'Special Names'!A:B,2,FALSE),B4871),PlayerValues!E:E,0)),"N/A")</f>
        <v>15332</v>
      </c>
      <c r="B4871" s="4" t="s">
        <v>698</v>
      </c>
      <c r="C4871" s="4" t="s">
        <v>298</v>
      </c>
      <c r="D4871" s="94">
        <v>1711.0</v>
      </c>
    </row>
    <row r="4872">
      <c r="A4872" s="40">
        <f t="array" ref="A4872">IFNA(index(PlayerValues!A:A,match(IFNA(vlookup(B4872,'Special Names'!A:B,2,FALSE),B4872),PlayerValues!E:E,0)),"N/A")</f>
        <v>14086</v>
      </c>
      <c r="B4872" s="4" t="s">
        <v>639</v>
      </c>
      <c r="C4872" s="4" t="s">
        <v>278</v>
      </c>
      <c r="D4872" s="94">
        <v>1336.0</v>
      </c>
    </row>
    <row r="4873">
      <c r="A4873" s="40">
        <f t="array" ref="A4873">IFNA(index(PlayerValues!A:A,match(IFNA(vlookup(B4873,'Special Names'!A:B,2,FALSE),B4873),PlayerValues!E:E,0)),"N/A")</f>
        <v>16608</v>
      </c>
      <c r="B4873" s="4" t="s">
        <v>629</v>
      </c>
      <c r="C4873" s="4" t="s">
        <v>278</v>
      </c>
      <c r="D4873" s="94">
        <v>1336.0</v>
      </c>
    </row>
    <row r="4874">
      <c r="A4874" s="40">
        <f t="array" ref="A4874">IFNA(index(PlayerValues!A:A,match(IFNA(vlookup(B4874,'Special Names'!A:B,2,FALSE),B4874),PlayerValues!E:E,0)),"N/A")</f>
        <v>15738</v>
      </c>
      <c r="B4874" s="4" t="s">
        <v>634</v>
      </c>
      <c r="C4874" s="4" t="s">
        <v>278</v>
      </c>
      <c r="D4874" s="94">
        <v>1322.0</v>
      </c>
    </row>
    <row r="4875">
      <c r="A4875" s="40">
        <f t="array" ref="A4875">IFNA(index(PlayerValues!A:A,match(IFNA(vlookup(B4875,'Special Names'!A:B,2,FALSE),B4875),PlayerValues!E:E,0)),"N/A")</f>
        <v>16183</v>
      </c>
      <c r="B4875" s="4" t="s">
        <v>678</v>
      </c>
      <c r="C4875" s="4" t="s">
        <v>287</v>
      </c>
      <c r="D4875" s="94">
        <v>1303.0</v>
      </c>
    </row>
    <row r="4876">
      <c r="A4876" s="40">
        <f t="array" ref="A4876">IFNA(index(PlayerValues!A:A,match(IFNA(vlookup(B4876,'Special Names'!A:B,2,FALSE),B4876),PlayerValues!E:E,0)),"N/A")</f>
        <v>14095</v>
      </c>
      <c r="B4876" s="4" t="s">
        <v>680</v>
      </c>
      <c r="C4876" s="4" t="s">
        <v>278</v>
      </c>
      <c r="D4876" s="94">
        <v>1296.0</v>
      </c>
    </row>
    <row r="4877">
      <c r="A4877" s="40" t="str">
        <f t="array" ref="A4877">IFNA(index(PlayerValues!A:A,match(IFNA(vlookup(B4877,'Special Names'!A:B,2,FALSE),B4877),PlayerValues!E:E,0)),"N/A")</f>
        <v>N/A</v>
      </c>
      <c r="B4877" s="4" t="s">
        <v>117</v>
      </c>
      <c r="C4877" s="4" t="s">
        <v>325</v>
      </c>
      <c r="D4877" s="94">
        <v>1295.0</v>
      </c>
    </row>
    <row r="4878">
      <c r="A4878" s="40">
        <f t="array" ref="A4878">IFNA(index(PlayerValues!A:A,match(IFNA(vlookup(B4878,'Special Names'!A:B,2,FALSE),B4878),PlayerValues!E:E,0)),"N/A")</f>
        <v>16645</v>
      </c>
      <c r="B4878" s="4" t="s">
        <v>651</v>
      </c>
      <c r="C4878" s="4" t="s">
        <v>298</v>
      </c>
      <c r="D4878" s="94">
        <v>1659.0</v>
      </c>
    </row>
    <row r="4879">
      <c r="A4879" s="40">
        <f t="array" ref="A4879">IFNA(index(PlayerValues!A:A,match(IFNA(vlookup(B4879,'Special Names'!A:B,2,FALSE),B4879),PlayerValues!E:E,0)),"N/A")</f>
        <v>15288</v>
      </c>
      <c r="B4879" s="4" t="s">
        <v>700</v>
      </c>
      <c r="C4879" s="4" t="s">
        <v>287</v>
      </c>
      <c r="D4879" s="94">
        <v>1287.0</v>
      </c>
    </row>
    <row r="4880">
      <c r="A4880" s="40">
        <f t="array" ref="A4880">IFNA(index(PlayerValues!A:A,match(IFNA(vlookup(B4880,'Special Names'!A:B,2,FALSE),B4880),PlayerValues!E:E,0)),"N/A")</f>
        <v>15702</v>
      </c>
      <c r="B4880" s="4" t="s">
        <v>723</v>
      </c>
      <c r="C4880" s="4" t="s">
        <v>283</v>
      </c>
      <c r="D4880" s="94">
        <v>1270.0</v>
      </c>
    </row>
    <row r="4881">
      <c r="A4881" s="40">
        <f t="array" ref="A4881">IFNA(index(PlayerValues!A:A,match(IFNA(vlookup(B4881,'Special Names'!A:B,2,FALSE),B4881),PlayerValues!E:E,0)),"N/A")</f>
        <v>14108</v>
      </c>
      <c r="B4881" s="4" t="s">
        <v>673</v>
      </c>
      <c r="C4881" s="4" t="s">
        <v>287</v>
      </c>
      <c r="D4881" s="94">
        <v>1265.0</v>
      </c>
    </row>
    <row r="4882">
      <c r="A4882" s="40">
        <f t="array" ref="A4882">IFNA(index(PlayerValues!A:A,match(IFNA(vlookup(B4882,'Special Names'!A:B,2,FALSE),B4882),PlayerValues!E:E,0)),"N/A")</f>
        <v>14592</v>
      </c>
      <c r="B4882" s="4" t="s">
        <v>705</v>
      </c>
      <c r="C4882" s="4" t="s">
        <v>287</v>
      </c>
      <c r="D4882" s="94">
        <v>1257.0</v>
      </c>
    </row>
    <row r="4883">
      <c r="A4883" s="40">
        <f t="array" ref="A4883">IFNA(index(PlayerValues!A:A,match(IFNA(vlookup(B4883,'Special Names'!A:B,2,FALSE),B4883),PlayerValues!E:E,0)),"N/A")</f>
        <v>17097</v>
      </c>
      <c r="B4883" s="4" t="s">
        <v>659</v>
      </c>
      <c r="C4883" s="4" t="s">
        <v>287</v>
      </c>
      <c r="D4883" s="94">
        <v>1256.0</v>
      </c>
    </row>
    <row r="4884">
      <c r="A4884" s="40">
        <f t="array" ref="A4884">IFNA(index(PlayerValues!A:A,match(IFNA(vlookup(B4884,'Special Names'!A:B,2,FALSE),B4884),PlayerValues!E:E,0)),"N/A")</f>
        <v>16333</v>
      </c>
      <c r="B4884" s="4" t="s">
        <v>711</v>
      </c>
      <c r="C4884" s="4" t="s">
        <v>298</v>
      </c>
      <c r="D4884" s="94">
        <v>1621.0</v>
      </c>
    </row>
    <row r="4885">
      <c r="A4885" s="40">
        <f t="array" ref="A4885">IFNA(index(PlayerValues!A:A,match(IFNA(vlookup(B4885,'Special Names'!A:B,2,FALSE),B4885),PlayerValues!E:E,0)),"N/A")</f>
        <v>16221</v>
      </c>
      <c r="B4885" s="4" t="s">
        <v>725</v>
      </c>
      <c r="C4885" s="4" t="s">
        <v>298</v>
      </c>
      <c r="D4885" s="94">
        <v>1620.0</v>
      </c>
    </row>
    <row r="4886">
      <c r="A4886" s="40">
        <f t="array" ref="A4886">IFNA(index(PlayerValues!A:A,match(IFNA(vlookup(B4886,'Special Names'!A:B,2,FALSE),B4886),PlayerValues!E:E,0)),"N/A")</f>
        <v>17063</v>
      </c>
      <c r="B4886" s="4" t="s">
        <v>686</v>
      </c>
      <c r="C4886" s="4" t="s">
        <v>278</v>
      </c>
      <c r="D4886" s="94">
        <v>1251.0</v>
      </c>
    </row>
    <row r="4887">
      <c r="A4887" s="40">
        <f t="array" ref="A4887">IFNA(index(PlayerValues!A:A,match(IFNA(vlookup(B4887,'Special Names'!A:B,2,FALSE),B4887),PlayerValues!E:E,0)),"N/A")</f>
        <v>16636</v>
      </c>
      <c r="B4887" s="4" t="s">
        <v>699</v>
      </c>
      <c r="C4887" s="4" t="s">
        <v>287</v>
      </c>
      <c r="D4887" s="94">
        <v>1248.0</v>
      </c>
    </row>
    <row r="4888">
      <c r="A4888" s="40">
        <f t="array" ref="A4888">IFNA(index(PlayerValues!A:A,match(IFNA(vlookup(B4888,'Special Names'!A:B,2,FALSE),B4888),PlayerValues!E:E,0)),"N/A")</f>
        <v>14789</v>
      </c>
      <c r="B4888" s="4" t="s">
        <v>721</v>
      </c>
      <c r="C4888" s="4" t="s">
        <v>283</v>
      </c>
      <c r="D4888" s="94">
        <v>1243.0</v>
      </c>
    </row>
    <row r="4889">
      <c r="A4889" s="40">
        <f t="array" ref="A4889">IFNA(index(PlayerValues!A:A,match(IFNA(vlookup(B4889,'Special Names'!A:B,2,FALSE),B4889),PlayerValues!E:E,0)),"N/A")</f>
        <v>16883</v>
      </c>
      <c r="B4889" s="4" t="s">
        <v>683</v>
      </c>
      <c r="C4889" s="4" t="s">
        <v>287</v>
      </c>
      <c r="D4889" s="94">
        <v>1233.0</v>
      </c>
    </row>
    <row r="4890">
      <c r="A4890" s="40">
        <f t="array" ref="A4890">IFNA(index(PlayerValues!A:A,match(IFNA(vlookup(B4890,'Special Names'!A:B,2,FALSE),B4890),PlayerValues!E:E,0)),"N/A")</f>
        <v>15727</v>
      </c>
      <c r="B4890" s="4" t="s">
        <v>730</v>
      </c>
      <c r="C4890" s="4" t="s">
        <v>278</v>
      </c>
      <c r="D4890" s="94">
        <v>1230.0</v>
      </c>
    </row>
    <row r="4891">
      <c r="A4891" s="40">
        <f t="array" ref="A4891">IFNA(index(PlayerValues!A:A,match(IFNA(vlookup(B4891,'Special Names'!A:B,2,FALSE),B4891),PlayerValues!E:E,0)),"N/A")</f>
        <v>16199</v>
      </c>
      <c r="B4891" s="4" t="s">
        <v>687</v>
      </c>
      <c r="C4891" s="4" t="s">
        <v>287</v>
      </c>
      <c r="D4891" s="94">
        <v>1226.0</v>
      </c>
    </row>
    <row r="4892">
      <c r="A4892" s="40">
        <f t="array" ref="A4892">IFNA(index(PlayerValues!A:A,match(IFNA(vlookup(B4892,'Special Names'!A:B,2,FALSE),B4892),PlayerValues!E:E,0)),"N/A")</f>
        <v>15981</v>
      </c>
      <c r="B4892" s="4" t="s">
        <v>729</v>
      </c>
      <c r="C4892" s="4" t="s">
        <v>287</v>
      </c>
      <c r="D4892" s="94">
        <v>1223.0</v>
      </c>
    </row>
    <row r="4893">
      <c r="A4893" s="40">
        <f t="array" ref="A4893">IFNA(index(PlayerValues!A:A,match(IFNA(vlookup(B4893,'Special Names'!A:B,2,FALSE),B4893),PlayerValues!E:E,0)),"N/A")</f>
        <v>9064</v>
      </c>
      <c r="B4893" s="4" t="s">
        <v>761</v>
      </c>
      <c r="C4893" s="4" t="s">
        <v>283</v>
      </c>
      <c r="D4893" s="94">
        <v>1218.0</v>
      </c>
    </row>
    <row r="4894">
      <c r="A4894" s="40">
        <f t="array" ref="A4894">IFNA(index(PlayerValues!A:A,match(IFNA(vlookup(B4894,'Special Names'!A:B,2,FALSE),B4894),PlayerValues!E:E,0)),"N/A")</f>
        <v>17057</v>
      </c>
      <c r="B4894" s="4" t="s">
        <v>708</v>
      </c>
      <c r="C4894" s="4" t="s">
        <v>278</v>
      </c>
      <c r="D4894" s="94">
        <v>1205.0</v>
      </c>
    </row>
    <row r="4895">
      <c r="A4895" s="40">
        <f t="array" ref="A4895">IFNA(index(PlayerValues!A:A,match(IFNA(vlookup(B4895,'Special Names'!A:B,2,FALSE),B4895),PlayerValues!E:E,0)),"N/A")</f>
        <v>13193</v>
      </c>
      <c r="B4895" s="4" t="s">
        <v>773</v>
      </c>
      <c r="C4895" s="4" t="s">
        <v>298</v>
      </c>
      <c r="D4895" s="94">
        <v>1568.0</v>
      </c>
    </row>
    <row r="4896">
      <c r="A4896" s="40">
        <f t="array" ref="A4896">IFNA(index(PlayerValues!A:A,match(IFNA(vlookup(B4896,'Special Names'!A:B,2,FALSE),B4896),PlayerValues!E:E,0)),"N/A")</f>
        <v>13131</v>
      </c>
      <c r="B4896" s="4" t="s">
        <v>815</v>
      </c>
      <c r="C4896" s="4" t="s">
        <v>278</v>
      </c>
      <c r="D4896" s="94">
        <v>1195.0</v>
      </c>
    </row>
    <row r="4897">
      <c r="A4897" s="40">
        <f t="array" ref="A4897">IFNA(index(PlayerValues!A:A,match(IFNA(vlookup(B4897,'Special Names'!A:B,2,FALSE),B4897),PlayerValues!E:E,0)),"N/A")</f>
        <v>16385</v>
      </c>
      <c r="B4897" s="4" t="s">
        <v>690</v>
      </c>
      <c r="C4897" s="4" t="s">
        <v>278</v>
      </c>
      <c r="D4897" s="94">
        <v>1193.0</v>
      </c>
    </row>
    <row r="4898">
      <c r="A4898" s="40">
        <f t="array" ref="A4898">IFNA(index(PlayerValues!A:A,match(IFNA(vlookup(B4898,'Special Names'!A:B,2,FALSE),B4898),PlayerValues!E:E,0)),"N/A")</f>
        <v>15240</v>
      </c>
      <c r="B4898" s="4" t="s">
        <v>751</v>
      </c>
      <c r="C4898" s="4" t="s">
        <v>283</v>
      </c>
      <c r="D4898" s="94">
        <v>1183.0</v>
      </c>
    </row>
    <row r="4899">
      <c r="A4899" s="40">
        <f t="array" ref="A4899">IFNA(index(PlayerValues!A:A,match(IFNA(vlookup(B4899,'Special Names'!A:B,2,FALSE),B4899),PlayerValues!E:E,0)),"N/A")</f>
        <v>13289</v>
      </c>
      <c r="B4899" s="4" t="s">
        <v>746</v>
      </c>
      <c r="C4899" s="4" t="s">
        <v>287</v>
      </c>
      <c r="D4899" s="94">
        <v>1180.0</v>
      </c>
    </row>
    <row r="4900">
      <c r="A4900" s="40">
        <f t="array" ref="A4900">IFNA(index(PlayerValues!A:A,match(IFNA(vlookup(B4900,'Special Names'!A:B,2,FALSE),B4900),PlayerValues!E:E,0)),"N/A")</f>
        <v>17109</v>
      </c>
      <c r="B4900" s="4" t="s">
        <v>707</v>
      </c>
      <c r="C4900" s="4" t="s">
        <v>298</v>
      </c>
      <c r="D4900" s="94">
        <v>1541.0</v>
      </c>
    </row>
    <row r="4901">
      <c r="A4901" s="40">
        <f t="array" ref="A4901">IFNA(index(PlayerValues!A:A,match(IFNA(vlookup(B4901,'Special Names'!A:B,2,FALSE),B4901),PlayerValues!E:E,0)),"N/A")</f>
        <v>15692</v>
      </c>
      <c r="B4901" s="4" t="s">
        <v>750</v>
      </c>
      <c r="C4901" s="4" t="s">
        <v>283</v>
      </c>
      <c r="D4901" s="94">
        <v>1159.0</v>
      </c>
    </row>
    <row r="4902">
      <c r="A4902" s="40">
        <f t="array" ref="A4902">IFNA(index(PlayerValues!A:A,match(IFNA(vlookup(B4902,'Special Names'!A:B,2,FALSE),B4902),PlayerValues!E:E,0)),"N/A")</f>
        <v>16387</v>
      </c>
      <c r="B4902" s="4" t="s">
        <v>646</v>
      </c>
      <c r="C4902" s="4" t="s">
        <v>278</v>
      </c>
      <c r="D4902" s="94">
        <v>1158.0</v>
      </c>
    </row>
    <row r="4903">
      <c r="A4903" s="40">
        <f t="array" ref="A4903">IFNA(index(PlayerValues!A:A,match(IFNA(vlookup(B4903,'Special Names'!A:B,2,FALSE),B4903),PlayerValues!E:E,0)),"N/A")</f>
        <v>17546</v>
      </c>
      <c r="B4903" s="4" t="s">
        <v>671</v>
      </c>
      <c r="C4903" s="4" t="s">
        <v>298</v>
      </c>
      <c r="D4903" s="94">
        <v>1522.0</v>
      </c>
    </row>
    <row r="4904">
      <c r="A4904" s="40">
        <f t="array" ref="A4904">IFNA(index(PlayerValues!A:A,match(IFNA(vlookup(B4904,'Special Names'!A:B,2,FALSE),B4904),PlayerValues!E:E,0)),"N/A")</f>
        <v>14067</v>
      </c>
      <c r="B4904" s="4" t="s">
        <v>735</v>
      </c>
      <c r="C4904" s="4" t="s">
        <v>283</v>
      </c>
      <c r="D4904" s="94">
        <v>1153.0</v>
      </c>
    </row>
    <row r="4905">
      <c r="A4905" s="40">
        <f t="array" ref="A4905">IFNA(index(PlayerValues!A:A,match(IFNA(vlookup(B4905,'Special Names'!A:B,2,FALSE),B4905),PlayerValues!E:E,0)),"N/A")</f>
        <v>15730</v>
      </c>
      <c r="B4905" s="4" t="s">
        <v>734</v>
      </c>
      <c r="C4905" s="4" t="s">
        <v>278</v>
      </c>
      <c r="D4905" s="94">
        <v>1153.0</v>
      </c>
    </row>
    <row r="4906">
      <c r="A4906" s="40">
        <f t="array" ref="A4906">IFNA(index(PlayerValues!A:A,match(IFNA(vlookup(B4906,'Special Names'!A:B,2,FALSE),B4906),PlayerValues!E:E,0)),"N/A")</f>
        <v>16393</v>
      </c>
      <c r="B4906" s="4" t="s">
        <v>768</v>
      </c>
      <c r="C4906" s="4" t="s">
        <v>287</v>
      </c>
      <c r="D4906" s="94">
        <v>1152.0</v>
      </c>
    </row>
    <row r="4907">
      <c r="A4907" s="40">
        <f t="array" ref="A4907">IFNA(index(PlayerValues!A:A,match(IFNA(vlookup(B4907,'Special Names'!A:B,2,FALSE),B4907),PlayerValues!E:E,0)),"N/A")</f>
        <v>16746</v>
      </c>
      <c r="B4907" s="4" t="s">
        <v>709</v>
      </c>
      <c r="C4907" s="4" t="s">
        <v>278</v>
      </c>
      <c r="D4907" s="94">
        <v>1149.0</v>
      </c>
    </row>
    <row r="4908">
      <c r="A4908" s="40">
        <f t="array" ref="A4908">IFNA(index(PlayerValues!A:A,match(IFNA(vlookup(B4908,'Special Names'!A:B,2,FALSE),B4908),PlayerValues!E:E,0)),"N/A")</f>
        <v>14845</v>
      </c>
      <c r="B4908" s="4" t="s">
        <v>717</v>
      </c>
      <c r="C4908" s="4" t="s">
        <v>287</v>
      </c>
      <c r="D4908" s="94">
        <v>1138.0</v>
      </c>
    </row>
    <row r="4909">
      <c r="A4909" s="40">
        <f t="array" ref="A4909">IFNA(index(PlayerValues!A:A,match(IFNA(vlookup(B4909,'Special Names'!A:B,2,FALSE),B4909),PlayerValues!E:E,0)),"N/A")</f>
        <v>17050</v>
      </c>
      <c r="B4909" s="4" t="s">
        <v>713</v>
      </c>
      <c r="C4909" s="4" t="s">
        <v>278</v>
      </c>
      <c r="D4909" s="94">
        <v>1137.0</v>
      </c>
    </row>
    <row r="4910">
      <c r="A4910" s="40">
        <f t="array" ref="A4910">IFNA(index(PlayerValues!A:A,match(IFNA(vlookup(B4910,'Special Names'!A:B,2,FALSE),B4910),PlayerValues!E:E,0)),"N/A")</f>
        <v>15258</v>
      </c>
      <c r="B4910" s="4" t="s">
        <v>757</v>
      </c>
      <c r="C4910" s="4" t="s">
        <v>278</v>
      </c>
      <c r="D4910" s="94">
        <v>1133.0</v>
      </c>
    </row>
    <row r="4911">
      <c r="A4911" s="40">
        <f t="array" ref="A4911">IFNA(index(PlayerValues!A:A,match(IFNA(vlookup(B4911,'Special Names'!A:B,2,FALSE),B4911),PlayerValues!E:E,0)),"N/A")</f>
        <v>16640</v>
      </c>
      <c r="B4911" s="4" t="s">
        <v>712</v>
      </c>
      <c r="C4911" s="4" t="s">
        <v>287</v>
      </c>
      <c r="D4911" s="94">
        <v>1122.0</v>
      </c>
    </row>
    <row r="4912">
      <c r="A4912" s="40">
        <f t="array" ref="A4912">IFNA(index(PlayerValues!A:A,match(IFNA(vlookup(B4912,'Special Names'!A:B,2,FALSE),B4912),PlayerValues!E:E,0)),"N/A")</f>
        <v>15239</v>
      </c>
      <c r="B4912" s="4" t="s">
        <v>802</v>
      </c>
      <c r="C4912" s="4" t="s">
        <v>283</v>
      </c>
      <c r="D4912" s="94">
        <v>1120.0</v>
      </c>
    </row>
    <row r="4913">
      <c r="A4913" s="40">
        <f t="array" ref="A4913">IFNA(index(PlayerValues!A:A,match(IFNA(vlookup(B4913,'Special Names'!A:B,2,FALSE),B4913),PlayerValues!E:E,0)),"N/A")</f>
        <v>16637</v>
      </c>
      <c r="B4913" s="4" t="s">
        <v>736</v>
      </c>
      <c r="C4913" s="4" t="s">
        <v>287</v>
      </c>
      <c r="D4913" s="94">
        <v>1115.0</v>
      </c>
    </row>
    <row r="4914">
      <c r="A4914" s="40">
        <f t="array" ref="A4914">IFNA(index(PlayerValues!A:A,match(IFNA(vlookup(B4914,'Special Names'!A:B,2,FALSE),B4914),PlayerValues!E:E,0)),"N/A")</f>
        <v>11247</v>
      </c>
      <c r="B4914" s="4" t="s">
        <v>816</v>
      </c>
      <c r="C4914" s="4" t="s">
        <v>298</v>
      </c>
      <c r="D4914" s="94">
        <v>1482.0</v>
      </c>
    </row>
    <row r="4915">
      <c r="A4915" s="40">
        <f t="array" ref="A4915">IFNA(index(PlayerValues!A:A,match(IFNA(vlookup(B4915,'Special Names'!A:B,2,FALSE),B4915),PlayerValues!E:E,0)),"N/A")</f>
        <v>15785</v>
      </c>
      <c r="B4915" s="4" t="s">
        <v>763</v>
      </c>
      <c r="C4915" s="4" t="s">
        <v>287</v>
      </c>
      <c r="D4915" s="94">
        <v>1107.0</v>
      </c>
    </row>
    <row r="4916">
      <c r="A4916" s="40">
        <f t="array" ref="A4916">IFNA(index(PlayerValues!A:A,match(IFNA(vlookup(B4916,'Special Names'!A:B,2,FALSE),B4916),PlayerValues!E:E,0)),"N/A")</f>
        <v>17192</v>
      </c>
      <c r="B4916" s="4" t="s">
        <v>677</v>
      </c>
      <c r="C4916" s="4" t="s">
        <v>287</v>
      </c>
      <c r="D4916" s="94">
        <v>1097.0</v>
      </c>
    </row>
    <row r="4917">
      <c r="A4917" s="40">
        <f t="array" ref="A4917">IFNA(index(PlayerValues!A:A,match(IFNA(vlookup(B4917,'Special Names'!A:B,2,FALSE),B4917),PlayerValues!E:E,0)),"N/A")</f>
        <v>16197</v>
      </c>
      <c r="B4917" s="4" t="s">
        <v>726</v>
      </c>
      <c r="C4917" s="4" t="s">
        <v>287</v>
      </c>
      <c r="D4917" s="94">
        <v>1080.0</v>
      </c>
    </row>
    <row r="4918">
      <c r="A4918" s="40">
        <f t="array" ref="A4918">IFNA(index(PlayerValues!A:A,match(IFNA(vlookup(B4918,'Special Names'!A:B,2,FALSE),B4918),PlayerValues!E:E,0)),"N/A")</f>
        <v>15693</v>
      </c>
      <c r="B4918" s="4" t="s">
        <v>755</v>
      </c>
      <c r="C4918" s="4" t="s">
        <v>283</v>
      </c>
      <c r="D4918" s="94">
        <v>1074.0</v>
      </c>
    </row>
    <row r="4919">
      <c r="A4919" s="40">
        <f t="array" ref="A4919">IFNA(index(PlayerValues!A:A,match(IFNA(vlookup(B4919,'Special Names'!A:B,2,FALSE),B4919),PlayerValues!E:E,0)),"N/A")</f>
        <v>16451</v>
      </c>
      <c r="B4919" s="4" t="s">
        <v>769</v>
      </c>
      <c r="C4919" s="4" t="s">
        <v>287</v>
      </c>
      <c r="D4919" s="94">
        <v>1073.0</v>
      </c>
    </row>
    <row r="4920">
      <c r="A4920" s="40">
        <f t="array" ref="A4920">IFNA(index(PlayerValues!A:A,match(IFNA(vlookup(B4920,'Special Names'!A:B,2,FALSE),B4920),PlayerValues!E:E,0)),"N/A")</f>
        <v>15718</v>
      </c>
      <c r="B4920" s="4" t="s">
        <v>753</v>
      </c>
      <c r="C4920" s="4" t="s">
        <v>278</v>
      </c>
      <c r="D4920" s="94">
        <v>1053.0</v>
      </c>
    </row>
    <row r="4921">
      <c r="A4921" s="40">
        <f t="array" ref="A4921">IFNA(index(PlayerValues!A:A,match(IFNA(vlookup(B4921,'Special Names'!A:B,2,FALSE),B4921),PlayerValues!E:E,0)),"N/A")</f>
        <v>16678</v>
      </c>
      <c r="B4921" s="4" t="s">
        <v>758</v>
      </c>
      <c r="C4921" s="4" t="s">
        <v>278</v>
      </c>
      <c r="D4921" s="94">
        <v>1053.0</v>
      </c>
    </row>
    <row r="4922">
      <c r="A4922" s="40">
        <f t="array" ref="A4922">IFNA(index(PlayerValues!A:A,match(IFNA(vlookup(B4922,'Special Names'!A:B,2,FALSE),B4922),PlayerValues!E:E,0)),"N/A")</f>
        <v>16168</v>
      </c>
      <c r="B4922" s="4" t="s">
        <v>738</v>
      </c>
      <c r="C4922" s="4" t="s">
        <v>278</v>
      </c>
      <c r="D4922" s="94">
        <v>1046.0</v>
      </c>
    </row>
    <row r="4923">
      <c r="A4923" s="40">
        <f t="array" ref="A4923">IFNA(index(PlayerValues!A:A,match(IFNA(vlookup(B4923,'Special Names'!A:B,2,FALSE),B4923),PlayerValues!E:E,0)),"N/A")</f>
        <v>14118</v>
      </c>
      <c r="B4923" s="4" t="s">
        <v>771</v>
      </c>
      <c r="C4923" s="4" t="s">
        <v>287</v>
      </c>
      <c r="D4923" s="94">
        <v>1045.0</v>
      </c>
    </row>
    <row r="4924">
      <c r="A4924" s="40">
        <f t="array" ref="A4924">IFNA(index(PlayerValues!A:A,match(IFNA(vlookup(B4924,'Special Names'!A:B,2,FALSE),B4924),PlayerValues!E:E,0)),"N/A")</f>
        <v>17175</v>
      </c>
      <c r="B4924" s="4" t="s">
        <v>747</v>
      </c>
      <c r="C4924" s="4" t="s">
        <v>287</v>
      </c>
      <c r="D4924" s="94">
        <v>1043.0</v>
      </c>
    </row>
    <row r="4925">
      <c r="A4925" s="40">
        <f t="array" ref="A4925">IFNA(index(PlayerValues!A:A,match(IFNA(vlookup(B4925,'Special Names'!A:B,2,FALSE),B4925),PlayerValues!E:E,0)),"N/A")</f>
        <v>15795</v>
      </c>
      <c r="B4925" s="4" t="s">
        <v>669</v>
      </c>
      <c r="C4925" s="4" t="s">
        <v>298</v>
      </c>
      <c r="D4925" s="94">
        <v>1406.0</v>
      </c>
    </row>
    <row r="4926">
      <c r="A4926" s="40">
        <f t="array" ref="A4926">IFNA(index(PlayerValues!A:A,match(IFNA(vlookup(B4926,'Special Names'!A:B,2,FALSE),B4926),PlayerValues!E:E,0)),"N/A")</f>
        <v>13138</v>
      </c>
      <c r="B4926" s="4" t="s">
        <v>817</v>
      </c>
      <c r="C4926" s="4" t="s">
        <v>278</v>
      </c>
      <c r="D4926" s="94">
        <v>1039.0</v>
      </c>
    </row>
    <row r="4927">
      <c r="A4927" s="40">
        <f t="array" ref="A4927">IFNA(index(PlayerValues!A:A,match(IFNA(vlookup(B4927,'Special Names'!A:B,2,FALSE),B4927),PlayerValues!E:E,0)),"N/A")</f>
        <v>16858</v>
      </c>
      <c r="B4927" s="4" t="s">
        <v>754</v>
      </c>
      <c r="C4927" s="4" t="s">
        <v>287</v>
      </c>
      <c r="D4927" s="94">
        <v>1037.0</v>
      </c>
    </row>
    <row r="4928">
      <c r="A4928" s="40">
        <f t="array" ref="A4928">IFNA(index(PlayerValues!A:A,match(IFNA(vlookup(B4928,'Special Names'!A:B,2,FALSE),B4928),PlayerValues!E:E,0)),"N/A")</f>
        <v>15717</v>
      </c>
      <c r="B4928" s="4" t="s">
        <v>745</v>
      </c>
      <c r="C4928" s="4" t="s">
        <v>278</v>
      </c>
      <c r="D4928" s="94">
        <v>1035.0</v>
      </c>
    </row>
    <row r="4929">
      <c r="A4929" s="40">
        <f t="array" ref="A4929">IFNA(index(PlayerValues!A:A,match(IFNA(vlookup(B4929,'Special Names'!A:B,2,FALSE),B4929),PlayerValues!E:E,0)),"N/A")</f>
        <v>16648</v>
      </c>
      <c r="B4929" s="4" t="s">
        <v>748</v>
      </c>
      <c r="C4929" s="4" t="s">
        <v>298</v>
      </c>
      <c r="D4929" s="94">
        <v>1399.0</v>
      </c>
    </row>
    <row r="4930">
      <c r="A4930" s="40">
        <f t="array" ref="A4930">IFNA(index(PlayerValues!A:A,match(IFNA(vlookup(B4930,'Special Names'!A:B,2,FALSE),B4930),PlayerValues!E:E,0)),"N/A")</f>
        <v>15330</v>
      </c>
      <c r="B4930" s="4" t="s">
        <v>749</v>
      </c>
      <c r="C4930" s="4" t="s">
        <v>298</v>
      </c>
      <c r="D4930" s="94">
        <v>1397.0</v>
      </c>
    </row>
    <row r="4931">
      <c r="A4931" s="40">
        <f t="array" ref="A4931">IFNA(index(PlayerValues!A:A,match(IFNA(vlookup(B4931,'Special Names'!A:B,2,FALSE),B4931),PlayerValues!E:E,0)),"N/A")</f>
        <v>15626</v>
      </c>
      <c r="B4931" s="4" t="s">
        <v>766</v>
      </c>
      <c r="C4931" s="4" t="s">
        <v>298</v>
      </c>
      <c r="D4931" s="94">
        <v>1393.0</v>
      </c>
    </row>
    <row r="4932">
      <c r="A4932" s="40">
        <f t="array" ref="A4932">IFNA(index(PlayerValues!A:A,match(IFNA(vlookup(B4932,'Special Names'!A:B,2,FALSE),B4932),PlayerValues!E:E,0)),"N/A")</f>
        <v>14057</v>
      </c>
      <c r="B4932" s="4" t="s">
        <v>765</v>
      </c>
      <c r="C4932" s="4" t="s">
        <v>283</v>
      </c>
      <c r="D4932" s="94">
        <v>1021.0</v>
      </c>
    </row>
    <row r="4933">
      <c r="A4933" s="40">
        <f t="array" ref="A4933">IFNA(index(PlayerValues!A:A,match(IFNA(vlookup(B4933,'Special Names'!A:B,2,FALSE),B4933),PlayerValues!E:E,0)),"N/A")</f>
        <v>16205</v>
      </c>
      <c r="B4933" s="4" t="s">
        <v>742</v>
      </c>
      <c r="C4933" s="4" t="s">
        <v>287</v>
      </c>
      <c r="D4933" s="94">
        <v>1016.0</v>
      </c>
    </row>
    <row r="4934">
      <c r="A4934" s="40">
        <f t="array" ref="A4934">IFNA(index(PlayerValues!A:A,match(IFNA(vlookup(B4934,'Special Names'!A:B,2,FALSE),B4934),PlayerValues!E:E,0)),"N/A")</f>
        <v>16170</v>
      </c>
      <c r="B4934" s="4" t="s">
        <v>801</v>
      </c>
      <c r="C4934" s="4" t="s">
        <v>278</v>
      </c>
      <c r="D4934" s="94">
        <v>1009.0</v>
      </c>
    </row>
    <row r="4935">
      <c r="A4935" s="40">
        <f t="array" ref="A4935">IFNA(index(PlayerValues!A:A,match(IFNA(vlookup(B4935,'Special Names'!A:B,2,FALSE),B4935),PlayerValues!E:E,0)),"N/A")</f>
        <v>15720</v>
      </c>
      <c r="B4935" s="4" t="s">
        <v>795</v>
      </c>
      <c r="C4935" s="4" t="s">
        <v>278</v>
      </c>
      <c r="D4935" s="94">
        <v>1005.0</v>
      </c>
    </row>
    <row r="4936">
      <c r="A4936" s="40">
        <f t="array" ref="A4936">IFNA(index(PlayerValues!A:A,match(IFNA(vlookup(B4936,'Special Names'!A:B,2,FALSE),B4936),PlayerValues!E:E,0)),"N/A")</f>
        <v>15109</v>
      </c>
      <c r="B4936" s="4" t="s">
        <v>728</v>
      </c>
      <c r="C4936" s="4" t="s">
        <v>287</v>
      </c>
      <c r="D4936" s="94">
        <v>1001.0</v>
      </c>
    </row>
    <row r="4937">
      <c r="A4937" s="40">
        <f t="array" ref="A4937">IFNA(index(PlayerValues!A:A,match(IFNA(vlookup(B4937,'Special Names'!A:B,2,FALSE),B4937),PlayerValues!E:E,0)),"N/A")</f>
        <v>15766</v>
      </c>
      <c r="B4937" s="4" t="s">
        <v>759</v>
      </c>
      <c r="C4937" s="4" t="s">
        <v>287</v>
      </c>
      <c r="D4937" s="94">
        <v>988.0</v>
      </c>
    </row>
    <row r="4938">
      <c r="A4938" s="40">
        <f t="array" ref="A4938">IFNA(index(PlayerValues!A:A,match(IFNA(vlookup(B4938,'Special Names'!A:B,2,FALSE),B4938),PlayerValues!E:E,0)),"N/A")</f>
        <v>16219</v>
      </c>
      <c r="B4938" s="4" t="s">
        <v>739</v>
      </c>
      <c r="C4938" s="4" t="s">
        <v>298</v>
      </c>
      <c r="D4938" s="94">
        <v>1351.0</v>
      </c>
    </row>
    <row r="4939">
      <c r="A4939" s="40">
        <f t="array" ref="A4939">IFNA(index(PlayerValues!A:A,match(IFNA(vlookup(B4939,'Special Names'!A:B,2,FALSE),B4939),PlayerValues!E:E,0)),"N/A")</f>
        <v>12263</v>
      </c>
      <c r="B4939" s="4" t="s">
        <v>697</v>
      </c>
      <c r="C4939" s="4" t="s">
        <v>298</v>
      </c>
      <c r="D4939" s="94">
        <v>1348.0</v>
      </c>
    </row>
    <row r="4940">
      <c r="A4940" s="40">
        <f t="array" ref="A4940">IFNA(index(PlayerValues!A:A,match(IFNA(vlookup(B4940,'Special Names'!A:B,2,FALSE),B4940),PlayerValues!E:E,0)),"N/A")</f>
        <v>17466</v>
      </c>
      <c r="B4940" s="4" t="s">
        <v>492</v>
      </c>
      <c r="C4940" s="4" t="s">
        <v>283</v>
      </c>
      <c r="D4940" s="94">
        <v>970.0</v>
      </c>
    </row>
    <row r="4941">
      <c r="A4941" s="40">
        <f t="array" ref="A4941">IFNA(index(PlayerValues!A:A,match(IFNA(vlookup(B4941,'Special Names'!A:B,2,FALSE),B4941),PlayerValues!E:E,0)),"N/A")</f>
        <v>16176</v>
      </c>
      <c r="B4941" s="4" t="s">
        <v>812</v>
      </c>
      <c r="C4941" s="4" t="s">
        <v>278</v>
      </c>
      <c r="D4941" s="94">
        <v>967.0</v>
      </c>
    </row>
    <row r="4942">
      <c r="A4942" s="40">
        <f t="array" ref="A4942">IFNA(index(PlayerValues!A:A,match(IFNA(vlookup(B4942,'Special Names'!A:B,2,FALSE),B4942),PlayerValues!E:E,0)),"N/A")</f>
        <v>16416</v>
      </c>
      <c r="B4942" s="4" t="s">
        <v>752</v>
      </c>
      <c r="C4942" s="4" t="s">
        <v>287</v>
      </c>
      <c r="D4942" s="94">
        <v>966.0</v>
      </c>
    </row>
    <row r="4943">
      <c r="A4943" s="40">
        <f t="array" ref="A4943">IFNA(index(PlayerValues!A:A,match(IFNA(vlookup(B4943,'Special Names'!A:B,2,FALSE),B4943),PlayerValues!E:E,0)),"N/A")</f>
        <v>14799</v>
      </c>
      <c r="B4943" s="4" t="s">
        <v>829</v>
      </c>
      <c r="C4943" s="4" t="s">
        <v>278</v>
      </c>
      <c r="D4943" s="94">
        <v>965.0</v>
      </c>
    </row>
    <row r="4944">
      <c r="A4944" s="40">
        <f t="array" ref="A4944">IFNA(index(PlayerValues!A:A,match(IFNA(vlookup(B4944,'Special Names'!A:B,2,FALSE),B4944),PlayerValues!E:E,0)),"N/A")</f>
        <v>15263</v>
      </c>
      <c r="B4944" s="4" t="s">
        <v>804</v>
      </c>
      <c r="C4944" s="4" t="s">
        <v>278</v>
      </c>
      <c r="D4944" s="94">
        <v>962.0</v>
      </c>
    </row>
    <row r="4945">
      <c r="A4945" s="40">
        <f t="array" ref="A4945">IFNA(index(PlayerValues!A:A,match(IFNA(vlookup(B4945,'Special Names'!A:B,2,FALSE),B4945),PlayerValues!E:E,0)),"N/A")</f>
        <v>17468</v>
      </c>
      <c r="B4945" s="4" t="s">
        <v>514</v>
      </c>
      <c r="C4945" s="4" t="s">
        <v>283</v>
      </c>
      <c r="D4945" s="94">
        <v>959.0</v>
      </c>
    </row>
    <row r="4946">
      <c r="A4946" s="40">
        <f t="array" ref="A4946">IFNA(index(PlayerValues!A:A,match(IFNA(vlookup(B4946,'Special Names'!A:B,2,FALSE),B4946),PlayerValues!E:E,0)),"N/A")</f>
        <v>17479</v>
      </c>
      <c r="B4946" s="4" t="s">
        <v>756</v>
      </c>
      <c r="C4946" s="4" t="s">
        <v>278</v>
      </c>
      <c r="D4946" s="94">
        <v>959.0</v>
      </c>
    </row>
    <row r="4947">
      <c r="A4947" s="40">
        <f t="array" ref="A4947">IFNA(index(PlayerValues!A:A,match(IFNA(vlookup(B4947,'Special Names'!A:B,2,FALSE),B4947),PlayerValues!E:E,0)),"N/A")</f>
        <v>16773</v>
      </c>
      <c r="B4947" s="4" t="s">
        <v>783</v>
      </c>
      <c r="C4947" s="4" t="s">
        <v>278</v>
      </c>
      <c r="D4947" s="94">
        <v>957.0</v>
      </c>
    </row>
    <row r="4948">
      <c r="A4948" s="40">
        <f t="array" ref="A4948">IFNA(index(PlayerValues!A:A,match(IFNA(vlookup(B4948,'Special Names'!A:B,2,FALSE),B4948),PlayerValues!E:E,0)),"N/A")</f>
        <v>14849</v>
      </c>
      <c r="B4948" s="4" t="s">
        <v>733</v>
      </c>
      <c r="C4948" s="4" t="s">
        <v>287</v>
      </c>
      <c r="D4948" s="94">
        <v>956.0</v>
      </c>
    </row>
    <row r="4949">
      <c r="A4949" s="40">
        <f t="array" ref="A4949">IFNA(index(PlayerValues!A:A,match(IFNA(vlookup(B4949,'Special Names'!A:B,2,FALSE),B4949),PlayerValues!E:E,0)),"N/A")</f>
        <v>16751</v>
      </c>
      <c r="B4949" s="4" t="s">
        <v>762</v>
      </c>
      <c r="C4949" s="4" t="s">
        <v>287</v>
      </c>
      <c r="D4949" s="94">
        <v>956.0</v>
      </c>
    </row>
    <row r="4950">
      <c r="A4950" s="40">
        <f t="array" ref="A4950">IFNA(index(PlayerValues!A:A,match(IFNA(vlookup(B4950,'Special Names'!A:B,2,FALSE),B4950),PlayerValues!E:E,0)),"N/A")</f>
        <v>15723</v>
      </c>
      <c r="B4950" s="4" t="s">
        <v>798</v>
      </c>
      <c r="C4950" s="4" t="s">
        <v>278</v>
      </c>
      <c r="D4950" s="94">
        <v>948.0</v>
      </c>
    </row>
    <row r="4951">
      <c r="A4951" s="40">
        <f t="array" ref="A4951">IFNA(index(PlayerValues!A:A,match(IFNA(vlookup(B4951,'Special Names'!A:B,2,FALSE),B4951),PlayerValues!E:E,0)),"N/A")</f>
        <v>16624</v>
      </c>
      <c r="B4951" s="4" t="s">
        <v>796</v>
      </c>
      <c r="C4951" s="4" t="s">
        <v>287</v>
      </c>
      <c r="D4951" s="94">
        <v>945.0</v>
      </c>
    </row>
    <row r="4952">
      <c r="A4952" s="40">
        <f t="array" ref="A4952">IFNA(index(PlayerValues!A:A,match(IFNA(vlookup(B4952,'Special Names'!A:B,2,FALSE),B4952),PlayerValues!E:E,0)),"N/A")</f>
        <v>12785</v>
      </c>
      <c r="B4952" s="4" t="s">
        <v>772</v>
      </c>
      <c r="C4952" s="4" t="s">
        <v>287</v>
      </c>
      <c r="D4952" s="94">
        <v>942.0</v>
      </c>
    </row>
    <row r="4953">
      <c r="A4953" s="40">
        <f t="array" ref="A4953">IFNA(index(PlayerValues!A:A,match(IFNA(vlookup(B4953,'Special Names'!A:B,2,FALSE),B4953),PlayerValues!E:E,0)),"N/A")</f>
        <v>16599</v>
      </c>
      <c r="B4953" s="4" t="s">
        <v>737</v>
      </c>
      <c r="C4953" s="4" t="s">
        <v>278</v>
      </c>
      <c r="D4953" s="94">
        <v>923.0</v>
      </c>
    </row>
    <row r="4954">
      <c r="A4954" s="40">
        <f t="array" ref="A4954">IFNA(index(PlayerValues!A:A,match(IFNA(vlookup(B4954,'Special Names'!A:B,2,FALSE),B4954),PlayerValues!E:E,0)),"N/A")</f>
        <v>16159</v>
      </c>
      <c r="B4954" s="4" t="s">
        <v>819</v>
      </c>
      <c r="C4954" s="4" t="s">
        <v>283</v>
      </c>
      <c r="D4954" s="94">
        <v>921.0</v>
      </c>
    </row>
    <row r="4955">
      <c r="A4955" s="40">
        <f t="array" ref="A4955">IFNA(index(PlayerValues!A:A,match(IFNA(vlookup(B4955,'Special Names'!A:B,2,FALSE),B4955),PlayerValues!E:E,0)),"N/A")</f>
        <v>15804</v>
      </c>
      <c r="B4955" s="4" t="s">
        <v>821</v>
      </c>
      <c r="C4955" s="4" t="s">
        <v>298</v>
      </c>
      <c r="D4955" s="94">
        <v>1284.0</v>
      </c>
    </row>
    <row r="4956">
      <c r="A4956" s="40">
        <f t="array" ref="A4956">IFNA(index(PlayerValues!A:A,match(IFNA(vlookup(B4956,'Special Names'!A:B,2,FALSE),B4956),PlayerValues!E:E,0)),"N/A")</f>
        <v>13595</v>
      </c>
      <c r="B4956" s="4" t="s">
        <v>818</v>
      </c>
      <c r="C4956" s="4" t="s">
        <v>283</v>
      </c>
      <c r="D4956" s="94">
        <v>907.0</v>
      </c>
    </row>
    <row r="4957">
      <c r="A4957" s="40">
        <f t="array" ref="A4957">IFNA(index(PlayerValues!A:A,match(IFNA(vlookup(B4957,'Special Names'!A:B,2,FALSE),B4957),PlayerValues!E:E,0)),"N/A")</f>
        <v>17510</v>
      </c>
      <c r="B4957" s="4" t="s">
        <v>661</v>
      </c>
      <c r="C4957" s="4" t="s">
        <v>287</v>
      </c>
      <c r="D4957" s="94">
        <v>906.0</v>
      </c>
    </row>
    <row r="4958">
      <c r="A4958" s="40">
        <f t="array" ref="A4958">IFNA(index(PlayerValues!A:A,match(IFNA(vlookup(B4958,'Special Names'!A:B,2,FALSE),B4958),PlayerValues!E:E,0)),"N/A")</f>
        <v>15758</v>
      </c>
      <c r="B4958" s="4" t="s">
        <v>724</v>
      </c>
      <c r="C4958" s="4" t="s">
        <v>287</v>
      </c>
      <c r="D4958" s="94">
        <v>902.0</v>
      </c>
    </row>
    <row r="4959">
      <c r="A4959" s="40">
        <f t="array" ref="A4959">IFNA(index(PlayerValues!A:A,match(IFNA(vlookup(B4959,'Special Names'!A:B,2,FALSE),B4959),PlayerValues!E:E,0)),"N/A")</f>
        <v>16686</v>
      </c>
      <c r="B4959" s="4" t="s">
        <v>805</v>
      </c>
      <c r="C4959" s="4" t="s">
        <v>287</v>
      </c>
      <c r="D4959" s="94">
        <v>897.0</v>
      </c>
    </row>
    <row r="4960">
      <c r="A4960" s="40">
        <f t="array" ref="A4960">IFNA(index(PlayerValues!A:A,match(IFNA(vlookup(B4960,'Special Names'!A:B,2,FALSE),B4960),PlayerValues!E:E,0)),"N/A")</f>
        <v>17337</v>
      </c>
      <c r="B4960" s="4" t="s">
        <v>793</v>
      </c>
      <c r="C4960" s="4" t="s">
        <v>278</v>
      </c>
      <c r="D4960" s="94">
        <v>897.0</v>
      </c>
    </row>
    <row r="4961">
      <c r="A4961" s="40">
        <f t="array" ref="A4961">IFNA(index(PlayerValues!A:A,match(IFNA(vlookup(B4961,'Special Names'!A:B,2,FALSE),B4961),PlayerValues!E:E,0)),"N/A")</f>
        <v>14864</v>
      </c>
      <c r="B4961" s="4" t="s">
        <v>789</v>
      </c>
      <c r="C4961" s="4" t="s">
        <v>287</v>
      </c>
      <c r="D4961" s="94">
        <v>896.0</v>
      </c>
    </row>
    <row r="4962">
      <c r="A4962" s="40">
        <f t="array" ref="A4962">IFNA(index(PlayerValues!A:A,match(IFNA(vlookup(B4962,'Special Names'!A:B,2,FALSE),B4962),PlayerValues!E:E,0)),"N/A")</f>
        <v>14223</v>
      </c>
      <c r="B4962" s="4" t="s">
        <v>785</v>
      </c>
      <c r="C4962" s="4" t="s">
        <v>278</v>
      </c>
      <c r="D4962" s="94">
        <v>870.0</v>
      </c>
    </row>
    <row r="4963">
      <c r="A4963" s="40">
        <f t="array" ref="A4963">IFNA(index(PlayerValues!A:A,match(IFNA(vlookup(B4963,'Special Names'!A:B,2,FALSE),B4963),PlayerValues!E:E,0)),"N/A")</f>
        <v>13133</v>
      </c>
      <c r="B4963" s="4" t="s">
        <v>764</v>
      </c>
      <c r="C4963" s="4" t="s">
        <v>278</v>
      </c>
      <c r="D4963" s="94">
        <v>860.0</v>
      </c>
    </row>
    <row r="4964">
      <c r="A4964" s="40">
        <f t="array" ref="A4964">IFNA(index(PlayerValues!A:A,match(IFNA(vlookup(B4964,'Special Names'!A:B,2,FALSE),B4964),PlayerValues!E:E,0)),"N/A")</f>
        <v>16606</v>
      </c>
      <c r="B4964" s="4" t="s">
        <v>743</v>
      </c>
      <c r="C4964" s="4" t="s">
        <v>278</v>
      </c>
      <c r="D4964" s="94">
        <v>860.0</v>
      </c>
    </row>
    <row r="4965">
      <c r="A4965" s="40">
        <f t="array" ref="A4965">IFNA(index(PlayerValues!A:A,match(IFNA(vlookup(B4965,'Special Names'!A:B,2,FALSE),B4965),PlayerValues!E:E,0)),"N/A")</f>
        <v>14079</v>
      </c>
      <c r="B4965" s="4" t="s">
        <v>830</v>
      </c>
      <c r="C4965" s="4" t="s">
        <v>278</v>
      </c>
      <c r="D4965" s="94">
        <v>852.0</v>
      </c>
    </row>
    <row r="4966">
      <c r="A4966" s="40">
        <f t="array" ref="A4966">IFNA(index(PlayerValues!A:A,match(IFNA(vlookup(B4966,'Special Names'!A:B,2,FALSE),B4966),PlayerValues!E:E,0)),"N/A")</f>
        <v>15271</v>
      </c>
      <c r="B4966" s="4" t="s">
        <v>741</v>
      </c>
      <c r="C4966" s="4" t="s">
        <v>278</v>
      </c>
      <c r="D4966" s="94">
        <v>841.0</v>
      </c>
    </row>
    <row r="4967">
      <c r="A4967" s="40">
        <f t="array" ref="A4967">IFNA(index(PlayerValues!A:A,match(IFNA(vlookup(B4967,'Special Names'!A:B,2,FALSE),B4967),PlayerValues!E:E,0)),"N/A")</f>
        <v>17486</v>
      </c>
      <c r="B4967" s="4" t="s">
        <v>695</v>
      </c>
      <c r="C4967" s="4" t="s">
        <v>278</v>
      </c>
      <c r="D4967" s="94">
        <v>822.0</v>
      </c>
    </row>
    <row r="4968">
      <c r="A4968" s="40">
        <f t="array" ref="A4968">IFNA(index(PlayerValues!A:A,match(IFNA(vlookup(B4968,'Special Names'!A:B,2,FALSE),B4968),PlayerValues!E:E,0)),"N/A")</f>
        <v>13610</v>
      </c>
      <c r="B4968" s="4" t="s">
        <v>825</v>
      </c>
      <c r="C4968" s="4" t="s">
        <v>278</v>
      </c>
      <c r="D4968" s="94">
        <v>810.0</v>
      </c>
    </row>
    <row r="4969">
      <c r="A4969" s="40">
        <f t="array" ref="A4969">IFNA(index(PlayerValues!A:A,match(IFNA(vlookup(B4969,'Special Names'!A:B,2,FALSE),B4969),PlayerValues!E:E,0)),"N/A")</f>
        <v>17519</v>
      </c>
      <c r="B4969" s="4" t="s">
        <v>593</v>
      </c>
      <c r="C4969" s="4" t="s">
        <v>287</v>
      </c>
      <c r="D4969" s="94">
        <v>806.0</v>
      </c>
    </row>
    <row r="4970">
      <c r="A4970" s="40">
        <f t="array" ref="A4970">IFNA(index(PlayerValues!A:A,match(IFNA(vlookup(B4970,'Special Names'!A:B,2,FALSE),B4970),PlayerValues!E:E,0)),"N/A")</f>
        <v>13143</v>
      </c>
      <c r="B4970" s="4" t="s">
        <v>786</v>
      </c>
      <c r="C4970" s="4" t="s">
        <v>278</v>
      </c>
      <c r="D4970" s="94">
        <v>786.0</v>
      </c>
    </row>
    <row r="4971">
      <c r="A4971" s="40">
        <f t="array" ref="A4971">IFNA(index(PlayerValues!A:A,match(IFNA(vlookup(B4971,'Special Names'!A:B,2,FALSE),B4971),PlayerValues!E:E,0)),"N/A")</f>
        <v>16623</v>
      </c>
      <c r="B4971" s="4" t="s">
        <v>803</v>
      </c>
      <c r="C4971" s="4" t="s">
        <v>287</v>
      </c>
      <c r="D4971" s="94">
        <v>753.0</v>
      </c>
    </row>
    <row r="4972">
      <c r="A4972" s="40">
        <f t="array" ref="A4972">IFNA(index(PlayerValues!A:A,match(IFNA(vlookup(B4972,'Special Names'!A:B,2,FALSE),B4972),PlayerValues!E:E,0)),"N/A")</f>
        <v>16957</v>
      </c>
      <c r="B4972" s="4" t="s">
        <v>806</v>
      </c>
      <c r="C4972" s="4" t="s">
        <v>278</v>
      </c>
      <c r="D4972" s="94">
        <v>745.0</v>
      </c>
    </row>
    <row r="4973">
      <c r="A4973" s="40">
        <f t="array" ref="A4973">IFNA(index(PlayerValues!A:A,match(IFNA(vlookup(B4973,'Special Names'!A:B,2,FALSE),B4973),PlayerValues!E:E,0)),"N/A")</f>
        <v>17487</v>
      </c>
      <c r="B4973" s="4" t="s">
        <v>692</v>
      </c>
      <c r="C4973" s="4" t="s">
        <v>278</v>
      </c>
      <c r="D4973" s="94">
        <v>724.0</v>
      </c>
    </row>
    <row r="4974">
      <c r="A4974" s="40">
        <f t="array" ref="A4974">IFNA(index(PlayerValues!A:A,match(IFNA(vlookup(B4974,'Special Names'!A:B,2,FALSE),B4974),PlayerValues!E:E,0)),"N/A")</f>
        <v>11232</v>
      </c>
      <c r="B4974" s="4" t="s">
        <v>826</v>
      </c>
      <c r="C4974" s="4" t="s">
        <v>287</v>
      </c>
      <c r="D4974" s="94">
        <v>708.0</v>
      </c>
    </row>
    <row r="4975">
      <c r="A4975" s="40">
        <f t="array" ref="A4975">IFNA(index(PlayerValues!A:A,match(IFNA(vlookup(B4975,'Special Names'!A:B,2,FALSE),B4975),PlayerValues!E:E,0)),"N/A")</f>
        <v>17567</v>
      </c>
      <c r="B4975" s="4" t="s">
        <v>571</v>
      </c>
      <c r="C4975" s="4" t="s">
        <v>298</v>
      </c>
      <c r="D4975" s="94">
        <v>1062.0</v>
      </c>
    </row>
    <row r="4976">
      <c r="A4976" s="40">
        <f t="array" ref="A4976">IFNA(index(PlayerValues!A:A,match(IFNA(vlookup(B4976,'Special Names'!A:B,2,FALSE),B4976),PlayerValues!E:E,0)),"N/A")</f>
        <v>15796</v>
      </c>
      <c r="B4976" s="4" t="s">
        <v>794</v>
      </c>
      <c r="C4976" s="4" t="s">
        <v>298</v>
      </c>
      <c r="D4976" s="94">
        <v>1036.0</v>
      </c>
    </row>
    <row r="4977">
      <c r="A4977" s="40">
        <f t="array" ref="A4977">IFNA(index(PlayerValues!A:A,match(IFNA(vlookup(B4977,'Special Names'!A:B,2,FALSE),B4977),PlayerValues!E:E,0)),"N/A")</f>
        <v>17485</v>
      </c>
      <c r="B4977" s="4" t="s">
        <v>522</v>
      </c>
      <c r="C4977" s="4" t="s">
        <v>278</v>
      </c>
      <c r="D4977" s="94">
        <v>642.0</v>
      </c>
    </row>
    <row r="4978">
      <c r="A4978" s="40">
        <f t="array" ref="A4978">IFNA(index(PlayerValues!A:A,match(IFNA(vlookup(B4978,'Special Names'!A:B,2,FALSE),B4978),PlayerValues!E:E,0)),"N/A")</f>
        <v>17475</v>
      </c>
      <c r="B4978" s="4" t="s">
        <v>615</v>
      </c>
      <c r="C4978" s="4" t="s">
        <v>278</v>
      </c>
      <c r="D4978" s="94">
        <v>638.0</v>
      </c>
    </row>
    <row r="4979">
      <c r="A4979" s="40">
        <f t="array" ref="A4979">IFNA(index(PlayerValues!A:A,match(IFNA(vlookup(B4979,'Special Names'!A:B,2,FALSE),B4979),PlayerValues!E:E,0)),"N/A")</f>
        <v>17038</v>
      </c>
      <c r="B4979" s="4" t="s">
        <v>774</v>
      </c>
      <c r="C4979" s="4" t="s">
        <v>283</v>
      </c>
      <c r="D4979" s="94">
        <v>606.0</v>
      </c>
    </row>
    <row r="4980">
      <c r="A4980" s="40">
        <f t="array" ref="A4980">IFNA(index(PlayerValues!A:A,match(IFNA(vlookup(B4980,'Special Names'!A:B,2,FALSE),B4980),PlayerValues!E:E,0)),"N/A")</f>
        <v>13176</v>
      </c>
      <c r="B4980" s="4" t="s">
        <v>807</v>
      </c>
      <c r="C4980" s="4" t="s">
        <v>287</v>
      </c>
      <c r="D4980" s="94">
        <v>594.0</v>
      </c>
    </row>
    <row r="4981">
      <c r="A4981" s="40">
        <f t="array" ref="A4981">IFNA(index(PlayerValues!A:A,match(IFNA(vlookup(B4981,'Special Names'!A:B,2,FALSE),B4981),PlayerValues!E:E,0)),"N/A")</f>
        <v>17243</v>
      </c>
      <c r="B4981" s="4" t="s">
        <v>810</v>
      </c>
      <c r="C4981" s="4" t="s">
        <v>298</v>
      </c>
      <c r="D4981" s="94">
        <v>931.0</v>
      </c>
    </row>
    <row r="4982">
      <c r="A4982" s="40">
        <f t="array" ref="A4982">IFNA(index(PlayerValues!A:A,match(IFNA(vlookup(B4982,'Special Names'!A:B,2,FALSE),B4982),PlayerValues!E:E,0)),"N/A")</f>
        <v>16413</v>
      </c>
      <c r="B4982" s="4" t="s">
        <v>781</v>
      </c>
      <c r="C4982" s="4" t="s">
        <v>287</v>
      </c>
      <c r="D4982" s="94">
        <v>581.0</v>
      </c>
    </row>
    <row r="4983">
      <c r="A4983" s="40">
        <f t="array" ref="A4983">IFNA(index(PlayerValues!A:A,match(IFNA(vlookup(B4983,'Special Names'!A:B,2,FALSE),B4983),PlayerValues!E:E,0)),"N/A")</f>
        <v>14358</v>
      </c>
      <c r="B4983" s="4" t="s">
        <v>813</v>
      </c>
      <c r="C4983" s="4" t="s">
        <v>283</v>
      </c>
      <c r="D4983" s="94">
        <v>578.0</v>
      </c>
    </row>
    <row r="4984">
      <c r="A4984" s="40">
        <f t="array" ref="A4984">IFNA(index(PlayerValues!A:A,match(IFNA(vlookup(B4984,'Special Names'!A:B,2,FALSE),B4984),PlayerValues!E:E,0)),"N/A")</f>
        <v>13763</v>
      </c>
      <c r="B4984" s="4" t="s">
        <v>831</v>
      </c>
      <c r="C4984" s="4" t="s">
        <v>298</v>
      </c>
      <c r="D4984" s="94">
        <v>927.0</v>
      </c>
    </row>
    <row r="4985">
      <c r="A4985" s="40">
        <f t="array" ref="A4985">IFNA(index(PlayerValues!A:A,match(IFNA(vlookup(B4985,'Special Names'!A:B,2,FALSE),B4985),PlayerValues!E:E,0)),"N/A")</f>
        <v>17545</v>
      </c>
      <c r="B4985" s="4" t="s">
        <v>719</v>
      </c>
      <c r="C4985" s="4" t="s">
        <v>298</v>
      </c>
      <c r="D4985" s="94">
        <v>924.0</v>
      </c>
    </row>
    <row r="4986">
      <c r="A4986" s="40">
        <f t="array" ref="A4986">IFNA(index(PlayerValues!A:A,match(IFNA(vlookup(B4986,'Special Names'!A:B,2,FALSE),B4986),PlayerValues!E:E,0)),"N/A")</f>
        <v>14875</v>
      </c>
      <c r="B4986" s="4" t="s">
        <v>820</v>
      </c>
      <c r="C4986" s="4" t="s">
        <v>298</v>
      </c>
      <c r="D4986" s="94">
        <v>923.0</v>
      </c>
    </row>
    <row r="4987">
      <c r="A4987" s="40">
        <f t="array" ref="A4987">IFNA(index(PlayerValues!A:A,match(IFNA(vlookup(B4987,'Special Names'!A:B,2,FALSE),B4987),PlayerValues!E:E,0)),"N/A")</f>
        <v>12187</v>
      </c>
      <c r="B4987" s="4" t="s">
        <v>832</v>
      </c>
      <c r="C4987" s="4" t="s">
        <v>287</v>
      </c>
      <c r="D4987" s="94">
        <v>572.0</v>
      </c>
    </row>
    <row r="4988">
      <c r="A4988" s="40">
        <f t="array" ref="A4988">IFNA(index(PlayerValues!A:A,match(IFNA(vlookup(B4988,'Special Names'!A:B,2,FALSE),B4988),PlayerValues!E:E,0)),"N/A")</f>
        <v>15285</v>
      </c>
      <c r="B4988" s="4" t="s">
        <v>792</v>
      </c>
      <c r="C4988" s="4" t="s">
        <v>287</v>
      </c>
      <c r="D4988" s="94">
        <v>572.0</v>
      </c>
    </row>
    <row r="4989">
      <c r="A4989" s="40">
        <f t="array" ref="A4989">IFNA(index(PlayerValues!A:A,match(IFNA(vlookup(B4989,'Special Names'!A:B,2,FALSE),B4989),PlayerValues!E:E,0)),"N/A")</f>
        <v>16613</v>
      </c>
      <c r="B4989" s="4" t="s">
        <v>782</v>
      </c>
      <c r="C4989" s="4" t="s">
        <v>278</v>
      </c>
      <c r="D4989" s="94">
        <v>572.0</v>
      </c>
    </row>
    <row r="4990">
      <c r="A4990" s="40">
        <f t="array" ref="A4990">IFNA(index(PlayerValues!A:A,match(IFNA(vlookup(B4990,'Special Names'!A:B,2,FALSE),B4990),PlayerValues!E:E,0)),"N/A")</f>
        <v>17282</v>
      </c>
      <c r="B4990" s="4" t="s">
        <v>833</v>
      </c>
      <c r="C4990" s="4" t="s">
        <v>283</v>
      </c>
      <c r="D4990" s="94">
        <v>572.0</v>
      </c>
    </row>
    <row r="4991">
      <c r="A4991" s="40">
        <f t="array" ref="A4991">IFNA(index(PlayerValues!A:A,match(IFNA(vlookup(B4991,'Special Names'!A:B,2,FALSE),B4991),PlayerValues!E:E,0)),"N/A")</f>
        <v>14239</v>
      </c>
      <c r="B4991" s="4" t="s">
        <v>824</v>
      </c>
      <c r="C4991" s="4" t="s">
        <v>298</v>
      </c>
      <c r="D4991" s="94">
        <v>924.0</v>
      </c>
    </row>
    <row r="4992">
      <c r="A4992" s="40">
        <f t="array" ref="A4992">IFNA(index(PlayerValues!A:A,match(IFNA(vlookup(B4992,'Special Names'!A:B,2,FALSE),B4992),PlayerValues!E:E,0)),"N/A")</f>
        <v>17521</v>
      </c>
      <c r="B4992" s="4" t="s">
        <v>573</v>
      </c>
      <c r="C4992" s="4" t="s">
        <v>287</v>
      </c>
      <c r="D4992" s="94">
        <v>454.0</v>
      </c>
    </row>
    <row r="4993">
      <c r="A4993" s="40">
        <f t="array" ref="A4993">IFNA(index(PlayerValues!A:A,match(IFNA(vlookup(B4993,'Special Names'!A:B,2,FALSE),B4993),PlayerValues!E:E,0)),"N/A")</f>
        <v>17548</v>
      </c>
      <c r="B4993" s="4" t="s">
        <v>594</v>
      </c>
      <c r="C4993" s="4" t="s">
        <v>298</v>
      </c>
      <c r="D4993" s="94">
        <v>781.0</v>
      </c>
    </row>
    <row r="4994">
      <c r="A4994" s="40">
        <f t="array" ref="A4994">IFNA(index(PlayerValues!A:A,match(IFNA(vlookup(B4994,'Special Names'!A:B,2,FALSE),B4994),PlayerValues!E:E,0)),"N/A")</f>
        <v>17529</v>
      </c>
      <c r="B4994" s="4" t="s">
        <v>608</v>
      </c>
      <c r="C4994" s="4" t="s">
        <v>287</v>
      </c>
      <c r="D4994" s="94">
        <v>352.0</v>
      </c>
    </row>
    <row r="4995">
      <c r="A4995" s="40">
        <f t="array" ref="A4995">IFNA(index(PlayerValues!A:A,match(IFNA(vlookup(B4995,'Special Names'!A:B,2,FALSE),B4995),PlayerValues!E:E,0)),"N/A")</f>
        <v>17607</v>
      </c>
      <c r="B4995" s="4" t="s">
        <v>526</v>
      </c>
      <c r="C4995" s="4" t="s">
        <v>298</v>
      </c>
      <c r="D4995" s="94">
        <v>676.0</v>
      </c>
    </row>
    <row r="4996">
      <c r="A4996" s="40">
        <f t="array" ref="A4996">IFNA(index(PlayerValues!A:A,match(IFNA(vlookup(B4996,'Special Names'!A:B,2,FALSE),B4996),PlayerValues!E:E,0)),"N/A")</f>
        <v>17599</v>
      </c>
      <c r="B4996" s="4" t="s">
        <v>496</v>
      </c>
      <c r="C4996" s="4" t="s">
        <v>287</v>
      </c>
      <c r="D4996" s="94">
        <v>224.0</v>
      </c>
    </row>
    <row r="4997">
      <c r="A4997" s="40">
        <f t="array" ref="A4997">IFNA(index(PlayerValues!A:A,match(IFNA(vlookup(B4997,'Special Names'!A:B,2,FALSE),B4997),PlayerValues!E:E,0)),"N/A")</f>
        <v>17549</v>
      </c>
      <c r="B4997" s="4" t="s">
        <v>720</v>
      </c>
      <c r="C4997" s="4" t="s">
        <v>298</v>
      </c>
      <c r="D4997" s="94">
        <v>651.0</v>
      </c>
    </row>
    <row r="4998">
      <c r="A4998" s="40">
        <f t="array" ref="A4998">IFNA(index(PlayerValues!A:A,match(IFNA(vlookup(B4998,'Special Names'!A:B,2,FALSE),B4998),PlayerValues!E:E,0)),"N/A")</f>
        <v>17685</v>
      </c>
      <c r="B4998" s="4" t="s">
        <v>630</v>
      </c>
      <c r="C4998" s="4" t="s">
        <v>278</v>
      </c>
      <c r="D4998" s="94">
        <v>212.0</v>
      </c>
    </row>
    <row r="4999">
      <c r="A4999" s="40">
        <f t="array" ref="A4999">IFNA(index(PlayerValues!A:A,match(IFNA(vlookup(B4999,'Special Names'!A:B,2,FALSE),B4999),PlayerValues!E:E,0)),"N/A")</f>
        <v>17654</v>
      </c>
      <c r="B4999" s="4" t="s">
        <v>767</v>
      </c>
      <c r="C4999" s="4" t="s">
        <v>283</v>
      </c>
      <c r="D4999" s="94">
        <v>123.0</v>
      </c>
    </row>
    <row r="5000">
      <c r="A5000" s="40">
        <f t="array" ref="A5000">IFNA(index(PlayerValues!A:A,match(IFNA(vlookup(B5000,'Special Names'!A:B,2,FALSE),B5000),PlayerValues!E:E,0)),"N/A")</f>
        <v>17591</v>
      </c>
      <c r="B5000" s="4" t="s">
        <v>834</v>
      </c>
      <c r="C5000" s="4" t="s">
        <v>298</v>
      </c>
      <c r="D5000" s="94">
        <v>541.0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13589</v>
      </c>
      <c r="B1" s="4" t="s">
        <v>282</v>
      </c>
      <c r="C1" s="4" t="s">
        <v>283</v>
      </c>
      <c r="D1" s="94">
        <v>9987.0</v>
      </c>
    </row>
    <row r="2">
      <c r="A2" s="40">
        <f t="array" ref="A2">IFNA(index(PlayerValues!A:A,match(IFNA(vlookup(B2,'Special Names'!A:B,2,FALSE),B2),PlayerValues!E:E,0)),"N/A")</f>
        <v>16161</v>
      </c>
      <c r="B2" s="4" t="s">
        <v>277</v>
      </c>
      <c r="C2" s="4" t="s">
        <v>278</v>
      </c>
      <c r="D2" s="94">
        <v>9981.0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9837.0</v>
      </c>
    </row>
    <row r="4">
      <c r="A4" s="40">
        <f t="array" ref="A4">IFNA(index(PlayerValues!A:A,match(IFNA(vlookup(B4,'Special Names'!A:B,2,FALSE),B4),PlayerValues!E:E,0)),"N/A")</f>
        <v>16185</v>
      </c>
      <c r="B4" s="4" t="s">
        <v>290</v>
      </c>
      <c r="C4" s="4" t="s">
        <v>287</v>
      </c>
      <c r="D4" s="94">
        <v>9784.0</v>
      </c>
    </row>
    <row r="5">
      <c r="A5" s="40">
        <f t="array" ref="A5">IFNA(index(PlayerValues!A:A,match(IFNA(vlookup(B5,'Special Names'!A:B,2,FALSE),B5),PlayerValues!E:E,0)),"N/A")</f>
        <v>16162</v>
      </c>
      <c r="B5" s="4" t="s">
        <v>281</v>
      </c>
      <c r="C5" s="4" t="s">
        <v>278</v>
      </c>
      <c r="D5" s="94">
        <v>9645.0</v>
      </c>
    </row>
    <row r="6">
      <c r="A6" s="40">
        <f t="array" ref="A6">IFNA(index(PlayerValues!A:A,match(IFNA(vlookup(B6,'Special Names'!A:B,2,FALSE),B6),PlayerValues!E:E,0)),"N/A")</f>
        <v>16580</v>
      </c>
      <c r="B6" s="4" t="s">
        <v>291</v>
      </c>
      <c r="C6" s="4" t="s">
        <v>283</v>
      </c>
      <c r="D6" s="94">
        <v>9367.0</v>
      </c>
    </row>
    <row r="7">
      <c r="A7" s="40">
        <f t="array" ref="A7">IFNA(index(PlayerValues!A:A,match(IFNA(vlookup(B7,'Special Names'!A:B,2,FALSE),B7),PlayerValues!E:E,0)),"N/A")</f>
        <v>16211</v>
      </c>
      <c r="B7" s="4" t="s">
        <v>294</v>
      </c>
      <c r="C7" s="4" t="s">
        <v>287</v>
      </c>
      <c r="D7" s="94">
        <v>9253.0</v>
      </c>
    </row>
    <row r="8">
      <c r="A8" s="40">
        <f t="array" ref="A8">IFNA(index(PlayerValues!A:A,match(IFNA(vlookup(B8,'Special Names'!A:B,2,FALSE),B8),PlayerValues!E:E,0)),"N/A")</f>
        <v>16579</v>
      </c>
      <c r="B8" s="4" t="s">
        <v>302</v>
      </c>
      <c r="C8" s="4" t="s">
        <v>283</v>
      </c>
      <c r="D8" s="94">
        <v>7752.0</v>
      </c>
    </row>
    <row r="9">
      <c r="A9" s="40">
        <f t="array" ref="A9">IFNA(index(PlayerValues!A:A,match(IFNA(vlookup(B9,'Special Names'!A:B,2,FALSE),B9),PlayerValues!E:E,0)),"N/A")</f>
        <v>16581</v>
      </c>
      <c r="B9" s="4" t="s">
        <v>315</v>
      </c>
      <c r="C9" s="4" t="s">
        <v>283</v>
      </c>
      <c r="D9" s="94">
        <v>7751.0</v>
      </c>
    </row>
    <row r="10">
      <c r="A10" s="40">
        <f t="array" ref="A10">IFNA(index(PlayerValues!A:A,match(IFNA(vlookup(B10,'Special Names'!A:B,2,FALSE),B10),PlayerValues!E:E,0)),"N/A")</f>
        <v>16641</v>
      </c>
      <c r="B10" s="4" t="s">
        <v>297</v>
      </c>
      <c r="C10" s="4" t="s">
        <v>298</v>
      </c>
      <c r="D10" s="94">
        <v>8555.0</v>
      </c>
    </row>
    <row r="11">
      <c r="A11" s="40">
        <f t="array" ref="A11">IFNA(index(PlayerValues!A:A,match(IFNA(vlookup(B11,'Special Names'!A:B,2,FALSE),B11),PlayerValues!E:E,0)),"N/A")</f>
        <v>15287</v>
      </c>
      <c r="B11" s="4" t="s">
        <v>299</v>
      </c>
      <c r="C11" s="4" t="s">
        <v>287</v>
      </c>
      <c r="D11" s="94">
        <v>7713.0</v>
      </c>
    </row>
    <row r="12">
      <c r="A12" s="40">
        <f t="array" ref="A12">IFNA(index(PlayerValues!A:A,match(IFNA(vlookup(B12,'Special Names'!A:B,2,FALSE),B12),PlayerValues!E:E,0)),"N/A")</f>
        <v>16615</v>
      </c>
      <c r="B12" s="4" t="s">
        <v>309</v>
      </c>
      <c r="C12" s="4" t="s">
        <v>287</v>
      </c>
      <c r="D12" s="94">
        <v>7709.0</v>
      </c>
    </row>
    <row r="13">
      <c r="A13" s="40">
        <f t="array" ref="A13">IFNA(index(PlayerValues!A:A,match(IFNA(vlookup(B13,'Special Names'!A:B,2,FALSE),B13),PlayerValues!E:E,0)),"N/A")</f>
        <v>13593</v>
      </c>
      <c r="B13" s="4" t="s">
        <v>305</v>
      </c>
      <c r="C13" s="4" t="s">
        <v>283</v>
      </c>
      <c r="D13" s="94">
        <v>7682.0</v>
      </c>
    </row>
    <row r="14">
      <c r="A14" s="40">
        <f t="array" ref="A14">IFNA(index(PlayerValues!A:A,match(IFNA(vlookup(B14,'Special Names'!A:B,2,FALSE),B14),PlayerValues!E:E,0)),"N/A")</f>
        <v>14836</v>
      </c>
      <c r="B14" s="4" t="s">
        <v>306</v>
      </c>
      <c r="C14" s="4" t="s">
        <v>287</v>
      </c>
      <c r="D14" s="94">
        <v>7681.0</v>
      </c>
    </row>
    <row r="15">
      <c r="A15" s="40">
        <f t="array" ref="A15">IFNA(index(PlayerValues!A:A,match(IFNA(vlookup(B15,'Special Names'!A:B,2,FALSE),B15),PlayerValues!E:E,0)),"N/A")</f>
        <v>15794</v>
      </c>
      <c r="B15" s="4" t="s">
        <v>313</v>
      </c>
      <c r="C15" s="4" t="s">
        <v>298</v>
      </c>
      <c r="D15" s="94">
        <v>8420.0</v>
      </c>
    </row>
    <row r="16">
      <c r="A16" s="40">
        <f t="array" ref="A16">IFNA(index(PlayerValues!A:A,match(IFNA(vlookup(B16,'Special Names'!A:B,2,FALSE),B16),PlayerValues!E:E,0)),"N/A")</f>
        <v>17042</v>
      </c>
      <c r="B16" s="4" t="s">
        <v>314</v>
      </c>
      <c r="C16" s="4" t="s">
        <v>278</v>
      </c>
      <c r="D16" s="94">
        <v>7477.0</v>
      </c>
    </row>
    <row r="17">
      <c r="A17" s="40">
        <f t="array" ref="A17">IFNA(index(PlayerValues!A:A,match(IFNA(vlookup(B17,'Special Names'!A:B,2,FALSE),B17),PlayerValues!E:E,0)),"N/A")</f>
        <v>17472</v>
      </c>
      <c r="B17" s="4" t="s">
        <v>310</v>
      </c>
      <c r="C17" s="4" t="s">
        <v>278</v>
      </c>
      <c r="D17" s="94">
        <v>7416.0</v>
      </c>
    </row>
    <row r="18">
      <c r="A18" s="40">
        <f t="array" ref="A18">IFNA(index(PlayerValues!A:A,match(IFNA(vlookup(B18,'Special Names'!A:B,2,FALSE),B18),PlayerValues!E:E,0)),"N/A")</f>
        <v>14777</v>
      </c>
      <c r="B18" s="4" t="s">
        <v>318</v>
      </c>
      <c r="C18" s="4" t="s">
        <v>283</v>
      </c>
      <c r="D18" s="94">
        <v>7372.0</v>
      </c>
    </row>
    <row r="19">
      <c r="A19" s="40">
        <f t="array" ref="A19">IFNA(index(PlayerValues!A:A,match(IFNA(vlookup(B19,'Special Names'!A:B,2,FALSE),B19),PlayerValues!E:E,0)),"N/A")</f>
        <v>14832</v>
      </c>
      <c r="B19" s="4" t="s">
        <v>319</v>
      </c>
      <c r="C19" s="4" t="s">
        <v>287</v>
      </c>
      <c r="D19" s="94">
        <v>7324.0</v>
      </c>
    </row>
    <row r="20">
      <c r="A20" s="40">
        <f t="array" ref="A20">IFNA(index(PlayerValues!A:A,match(IFNA(vlookup(B20,'Special Names'!A:B,2,FALSE),B20),PlayerValues!E:E,0)),"N/A")</f>
        <v>15751</v>
      </c>
      <c r="B20" s="4" t="s">
        <v>328</v>
      </c>
      <c r="C20" s="4" t="s">
        <v>287</v>
      </c>
      <c r="D20" s="94">
        <v>6947.0</v>
      </c>
    </row>
    <row r="21">
      <c r="A21" s="40">
        <f t="array" ref="A21">IFNA(index(PlayerValues!A:A,match(IFNA(vlookup(B21,'Special Names'!A:B,2,FALSE),B21),PlayerValues!E:E,0)),"N/A")</f>
        <v>14779</v>
      </c>
      <c r="B21" s="4" t="s">
        <v>327</v>
      </c>
      <c r="C21" s="4" t="s">
        <v>283</v>
      </c>
      <c r="D21" s="94">
        <v>6921.0</v>
      </c>
    </row>
    <row r="22">
      <c r="A22" s="40" t="str">
        <f t="array" ref="A22">IFNA(index(PlayerValues!A:A,match(IFNA(vlookup(B22,'Special Names'!A:B,2,FALSE),B22),PlayerValues!E:E,0)),"N/A")</f>
        <v>N/A</v>
      </c>
      <c r="B22" s="4" t="s">
        <v>92</v>
      </c>
      <c r="C22" s="4" t="s">
        <v>325</v>
      </c>
      <c r="D22" s="94">
        <v>6850.0</v>
      </c>
    </row>
    <row r="23">
      <c r="A23" s="40">
        <f t="array" ref="A23">IFNA(index(PlayerValues!A:A,match(IFNA(vlookup(B23,'Special Names'!A:B,2,FALSE),B23),PlayerValues!E:E,0)),"N/A")</f>
        <v>16167</v>
      </c>
      <c r="B23" s="4" t="s">
        <v>323</v>
      </c>
      <c r="C23" s="4" t="s">
        <v>278</v>
      </c>
      <c r="D23" s="94">
        <v>6838.0</v>
      </c>
    </row>
    <row r="24">
      <c r="A24" s="40">
        <f t="array" ref="A24">IFNA(index(PlayerValues!A:A,match(IFNA(vlookup(B24,'Special Names'!A:B,2,FALSE),B24),PlayerValues!E:E,0)),"N/A")</f>
        <v>13116</v>
      </c>
      <c r="B24" s="4" t="s">
        <v>345</v>
      </c>
      <c r="C24" s="4" t="s">
        <v>283</v>
      </c>
      <c r="D24" s="94">
        <v>6801.0</v>
      </c>
    </row>
    <row r="25">
      <c r="A25" s="40">
        <f t="array" ref="A25">IFNA(index(PlayerValues!A:A,match(IFNA(vlookup(B25,'Special Names'!A:B,2,FALSE),B25),PlayerValues!E:E,0)),"N/A")</f>
        <v>17044</v>
      </c>
      <c r="B25" s="4" t="s">
        <v>322</v>
      </c>
      <c r="C25" s="4" t="s">
        <v>278</v>
      </c>
      <c r="D25" s="94">
        <v>6763.0</v>
      </c>
    </row>
    <row r="26">
      <c r="A26" s="40">
        <f t="array" ref="A26">IFNA(index(PlayerValues!A:A,match(IFNA(vlookup(B26,'Special Names'!A:B,2,FALSE),B26),PlayerValues!E:E,0)),"N/A")</f>
        <v>17032</v>
      </c>
      <c r="B26" s="4" t="s">
        <v>348</v>
      </c>
      <c r="C26" s="4" t="s">
        <v>283</v>
      </c>
      <c r="D26" s="94">
        <v>6653.0</v>
      </c>
    </row>
    <row r="27">
      <c r="A27" s="40">
        <f t="array" ref="A27">IFNA(index(PlayerValues!A:A,match(IFNA(vlookup(B27,'Special Names'!A:B,2,FALSE),B27),PlayerValues!E:E,0)),"N/A")</f>
        <v>17071</v>
      </c>
      <c r="B27" s="4" t="s">
        <v>341</v>
      </c>
      <c r="C27" s="4" t="s">
        <v>287</v>
      </c>
      <c r="D27" s="94">
        <v>6645.0</v>
      </c>
    </row>
    <row r="28">
      <c r="A28" s="40">
        <f t="array" ref="A28">IFNA(index(PlayerValues!A:A,match(IFNA(vlookup(B28,'Special Names'!A:B,2,FALSE),B28),PlayerValues!E:E,0)),"N/A")</f>
        <v>14783</v>
      </c>
      <c r="B28" s="4" t="s">
        <v>342</v>
      </c>
      <c r="C28" s="4" t="s">
        <v>283</v>
      </c>
      <c r="D28" s="94">
        <v>6334.0</v>
      </c>
    </row>
    <row r="29">
      <c r="A29" s="40">
        <f t="array" ref="A29">IFNA(index(PlayerValues!A:A,match(IFNA(vlookup(B29,'Special Names'!A:B,2,FALSE),B29),PlayerValues!E:E,0)),"N/A")</f>
        <v>15237</v>
      </c>
      <c r="B29" s="4" t="s">
        <v>336</v>
      </c>
      <c r="C29" s="4" t="s">
        <v>283</v>
      </c>
      <c r="D29" s="94">
        <v>6284.0</v>
      </c>
    </row>
    <row r="30">
      <c r="A30" s="40">
        <f t="array" ref="A30">IFNA(index(PlayerValues!A:A,match(IFNA(vlookup(B30,'Special Names'!A:B,2,FALSE),B30),PlayerValues!E:E,0)),"N/A")</f>
        <v>16582</v>
      </c>
      <c r="B30" s="4" t="s">
        <v>343</v>
      </c>
      <c r="C30" s="4" t="s">
        <v>283</v>
      </c>
      <c r="D30" s="94">
        <v>6254.0</v>
      </c>
    </row>
    <row r="31">
      <c r="A31" s="40">
        <f t="array" ref="A31">IFNA(index(PlayerValues!A:A,match(IFNA(vlookup(B31,'Special Names'!A:B,2,FALSE),B31),PlayerValues!E:E,0)),"N/A")</f>
        <v>15762</v>
      </c>
      <c r="B31" s="4" t="s">
        <v>337</v>
      </c>
      <c r="C31" s="4" t="s">
        <v>287</v>
      </c>
      <c r="D31" s="94">
        <v>6067.0</v>
      </c>
    </row>
    <row r="32">
      <c r="A32" s="40">
        <f t="array" ref="A32">IFNA(index(PlayerValues!A:A,match(IFNA(vlookup(B32,'Special Names'!A:B,2,FALSE),B32),PlayerValues!E:E,0)),"N/A")</f>
        <v>17081</v>
      </c>
      <c r="B32" s="4" t="s">
        <v>340</v>
      </c>
      <c r="C32" s="4" t="s">
        <v>287</v>
      </c>
      <c r="D32" s="94">
        <v>5993.0</v>
      </c>
    </row>
    <row r="33">
      <c r="A33" s="40">
        <f t="array" ref="A33">IFNA(index(PlayerValues!A:A,match(IFNA(vlookup(B33,'Special Names'!A:B,2,FALSE),B33),PlayerValues!E:E,0)),"N/A")</f>
        <v>17104</v>
      </c>
      <c r="B33" s="4" t="s">
        <v>333</v>
      </c>
      <c r="C33" s="4" t="s">
        <v>298</v>
      </c>
      <c r="D33" s="94">
        <v>6658.0</v>
      </c>
    </row>
    <row r="34">
      <c r="A34" s="40">
        <f t="array" ref="A34">IFNA(index(PlayerValues!A:A,match(IFNA(vlookup(B34,'Special Names'!A:B,2,FALSE),B34),PlayerValues!E:E,0)),"N/A")</f>
        <v>15715</v>
      </c>
      <c r="B34" s="4" t="s">
        <v>331</v>
      </c>
      <c r="C34" s="4" t="s">
        <v>278</v>
      </c>
      <c r="D34" s="94">
        <v>5990.0</v>
      </c>
    </row>
    <row r="35">
      <c r="A35" s="40">
        <f t="array" ref="A35">IFNA(index(PlayerValues!A:A,match(IFNA(vlookup(B35,'Special Names'!A:B,2,FALSE),B35),PlayerValues!E:E,0)),"N/A")</f>
        <v>14802</v>
      </c>
      <c r="B35" s="4" t="s">
        <v>332</v>
      </c>
      <c r="C35" s="4" t="s">
        <v>278</v>
      </c>
      <c r="D35" s="94">
        <v>5987.0</v>
      </c>
    </row>
    <row r="36">
      <c r="A36" s="40">
        <f t="array" ref="A36">IFNA(index(PlayerValues!A:A,match(IFNA(vlookup(B36,'Special Names'!A:B,2,FALSE),B36),PlayerValues!E:E,0)),"N/A")</f>
        <v>15698</v>
      </c>
      <c r="B36" s="4" t="s">
        <v>358</v>
      </c>
      <c r="C36" s="4" t="s">
        <v>283</v>
      </c>
      <c r="D36" s="94">
        <v>5968.0</v>
      </c>
    </row>
    <row r="37">
      <c r="A37" s="40" t="str">
        <f t="array" ref="A37">IFNA(index(PlayerValues!A:A,match(IFNA(vlookup(B37,'Special Names'!A:B,2,FALSE),B37),PlayerValues!E:E,0)),"N/A")</f>
        <v>N/A</v>
      </c>
      <c r="B37" s="4" t="s">
        <v>79</v>
      </c>
      <c r="C37" s="4" t="s">
        <v>325</v>
      </c>
      <c r="D37" s="94">
        <v>5841.0</v>
      </c>
    </row>
    <row r="38">
      <c r="A38" s="40">
        <f t="array" ref="A38">IFNA(index(PlayerValues!A:A,match(IFNA(vlookup(B38,'Special Names'!A:B,2,FALSE),B38),PlayerValues!E:E,0)),"N/A")</f>
        <v>15753</v>
      </c>
      <c r="B38" s="4" t="s">
        <v>359</v>
      </c>
      <c r="C38" s="4" t="s">
        <v>287</v>
      </c>
      <c r="D38" s="94">
        <v>5774.0</v>
      </c>
    </row>
    <row r="39">
      <c r="A39" s="40">
        <f t="array" ref="A39">IFNA(index(PlayerValues!A:A,match(IFNA(vlookup(B39,'Special Names'!A:B,2,FALSE),B39),PlayerValues!E:E,0)),"N/A")</f>
        <v>15290</v>
      </c>
      <c r="B39" s="4" t="s">
        <v>355</v>
      </c>
      <c r="C39" s="4" t="s">
        <v>287</v>
      </c>
      <c r="D39" s="94">
        <v>5772.0</v>
      </c>
    </row>
    <row r="40">
      <c r="A40" s="40">
        <f t="array" ref="A40">IFNA(index(PlayerValues!A:A,match(IFNA(vlookup(B40,'Special Names'!A:B,2,FALSE),B40),PlayerValues!E:E,0)),"N/A")</f>
        <v>15711</v>
      </c>
      <c r="B40" s="4" t="s">
        <v>349</v>
      </c>
      <c r="C40" s="4" t="s">
        <v>278</v>
      </c>
      <c r="D40" s="94">
        <v>5764.0</v>
      </c>
    </row>
    <row r="41">
      <c r="A41" s="40">
        <f t="array" ref="A41">IFNA(index(PlayerValues!A:A,match(IFNA(vlookup(B41,'Special Names'!A:B,2,FALSE),B41),PlayerValues!E:E,0)),"N/A")</f>
        <v>17102</v>
      </c>
      <c r="B41" s="4" t="s">
        <v>344</v>
      </c>
      <c r="C41" s="4" t="s">
        <v>298</v>
      </c>
      <c r="D41" s="94">
        <v>6401.0</v>
      </c>
    </row>
    <row r="42">
      <c r="A42" s="40">
        <f t="array" ref="A42">IFNA(index(PlayerValues!A:A,match(IFNA(vlookup(B42,'Special Names'!A:B,2,FALSE),B42),PlayerValues!E:E,0)),"N/A")</f>
        <v>14782</v>
      </c>
      <c r="B42" s="4" t="s">
        <v>385</v>
      </c>
      <c r="C42" s="4" t="s">
        <v>283</v>
      </c>
      <c r="D42" s="94">
        <v>5698.0</v>
      </c>
    </row>
    <row r="43">
      <c r="A43" s="40">
        <f t="array" ref="A43">IFNA(index(PlayerValues!A:A,match(IFNA(vlookup(B43,'Special Names'!A:B,2,FALSE),B43),PlayerValues!E:E,0)),"N/A")</f>
        <v>15754</v>
      </c>
      <c r="B43" s="4" t="s">
        <v>354</v>
      </c>
      <c r="C43" s="4" t="s">
        <v>287</v>
      </c>
      <c r="D43" s="94">
        <v>5675.0</v>
      </c>
    </row>
    <row r="44">
      <c r="A44" s="40" t="str">
        <f t="array" ref="A44">IFNA(index(PlayerValues!A:A,match(IFNA(vlookup(B44,'Special Names'!A:B,2,FALSE),B44),PlayerValues!E:E,0)),"N/A")</f>
        <v>N/A</v>
      </c>
      <c r="B44" s="4" t="s">
        <v>93</v>
      </c>
      <c r="C44" s="4" t="s">
        <v>325</v>
      </c>
      <c r="D44" s="94">
        <v>5630.0</v>
      </c>
    </row>
    <row r="45">
      <c r="A45" s="40">
        <f t="array" ref="A45">IFNA(index(PlayerValues!A:A,match(IFNA(vlookup(B45,'Special Names'!A:B,2,FALSE),B45),PlayerValues!E:E,0)),"N/A")</f>
        <v>17462</v>
      </c>
      <c r="B45" s="4" t="s">
        <v>375</v>
      </c>
      <c r="C45" s="4" t="s">
        <v>283</v>
      </c>
      <c r="D45" s="94">
        <v>5595.0</v>
      </c>
    </row>
    <row r="46">
      <c r="A46" s="40">
        <f t="array" ref="A46">IFNA(index(PlayerValues!A:A,match(IFNA(vlookup(B46,'Special Names'!A:B,2,FALSE),B46),PlayerValues!E:E,0)),"N/A")</f>
        <v>16616</v>
      </c>
      <c r="B46" s="4" t="s">
        <v>389</v>
      </c>
      <c r="C46" s="4" t="s">
        <v>287</v>
      </c>
      <c r="D46" s="94">
        <v>5539.0</v>
      </c>
    </row>
    <row r="47">
      <c r="A47" s="40">
        <f t="array" ref="A47">IFNA(index(PlayerValues!A:A,match(IFNA(vlookup(B47,'Special Names'!A:B,2,FALSE),B47),PlayerValues!E:E,0)),"N/A")</f>
        <v>17043</v>
      </c>
      <c r="B47" s="4" t="s">
        <v>397</v>
      </c>
      <c r="C47" s="4" t="s">
        <v>278</v>
      </c>
      <c r="D47" s="94">
        <v>5474.0</v>
      </c>
    </row>
    <row r="48">
      <c r="A48" s="40">
        <f t="array" ref="A48">IFNA(index(PlayerValues!A:A,match(IFNA(vlookup(B48,'Special Names'!A:B,2,FALSE),B48),PlayerValues!E:E,0)),"N/A")</f>
        <v>17051</v>
      </c>
      <c r="B48" s="4" t="s">
        <v>386</v>
      </c>
      <c r="C48" s="4" t="s">
        <v>278</v>
      </c>
      <c r="D48" s="94">
        <v>5421.0</v>
      </c>
    </row>
    <row r="49">
      <c r="A49" s="40">
        <f t="array" ref="A49">IFNA(index(PlayerValues!A:A,match(IFNA(vlookup(B49,'Special Names'!A:B,2,FALSE),B49),PlayerValues!E:E,0)),"N/A")</f>
        <v>16627</v>
      </c>
      <c r="B49" s="4" t="s">
        <v>351</v>
      </c>
      <c r="C49" s="4" t="s">
        <v>287</v>
      </c>
      <c r="D49" s="94">
        <v>5399.0</v>
      </c>
    </row>
    <row r="50">
      <c r="A50" s="40">
        <f t="array" ref="A50">IFNA(index(PlayerValues!A:A,match(IFNA(vlookup(B50,'Special Names'!A:B,2,FALSE),B50),PlayerValues!E:E,0)),"N/A")</f>
        <v>17070</v>
      </c>
      <c r="B50" s="4" t="s">
        <v>370</v>
      </c>
      <c r="C50" s="4" t="s">
        <v>287</v>
      </c>
      <c r="D50" s="94">
        <v>5376.0</v>
      </c>
    </row>
    <row r="51">
      <c r="A51" s="40">
        <f t="array" ref="A51">IFNA(index(PlayerValues!A:A,match(IFNA(vlookup(B51,'Special Names'!A:B,2,FALSE),B51),PlayerValues!E:E,0)),"N/A")</f>
        <v>15708</v>
      </c>
      <c r="B51" s="4" t="s">
        <v>382</v>
      </c>
      <c r="C51" s="4" t="s">
        <v>278</v>
      </c>
      <c r="D51" s="94">
        <v>5354.0</v>
      </c>
    </row>
    <row r="52">
      <c r="A52" s="40">
        <f t="array" ref="A52">IFNA(index(PlayerValues!A:A,match(IFNA(vlookup(B52,'Special Names'!A:B,2,FALSE),B52),PlayerValues!E:E,0)),"N/A")</f>
        <v>17497</v>
      </c>
      <c r="B52" s="4" t="s">
        <v>365</v>
      </c>
      <c r="C52" s="4" t="s">
        <v>287</v>
      </c>
      <c r="D52" s="94">
        <v>5201.0</v>
      </c>
    </row>
    <row r="53">
      <c r="A53" s="40">
        <f t="array" ref="A53">IFNA(index(PlayerValues!A:A,match(IFNA(vlookup(B53,'Special Names'!A:B,2,FALSE),B53),PlayerValues!E:E,0)),"N/A")</f>
        <v>17030</v>
      </c>
      <c r="B53" s="4" t="s">
        <v>406</v>
      </c>
      <c r="C53" s="4" t="s">
        <v>283</v>
      </c>
      <c r="D53" s="94">
        <v>5147.0</v>
      </c>
    </row>
    <row r="54">
      <c r="A54" s="40">
        <f t="array" ref="A54">IFNA(index(PlayerValues!A:A,match(IFNA(vlookup(B54,'Special Names'!A:B,2,FALSE),B54),PlayerValues!E:E,0)),"N/A")</f>
        <v>13130</v>
      </c>
      <c r="B54" s="4" t="s">
        <v>374</v>
      </c>
      <c r="C54" s="4" t="s">
        <v>278</v>
      </c>
      <c r="D54" s="94">
        <v>5130.0</v>
      </c>
    </row>
    <row r="55">
      <c r="A55" s="40">
        <f t="array" ref="A55">IFNA(index(PlayerValues!A:A,match(IFNA(vlookup(B55,'Special Names'!A:B,2,FALSE),B55),PlayerValues!E:E,0)),"N/A")</f>
        <v>17499</v>
      </c>
      <c r="B55" s="4" t="s">
        <v>402</v>
      </c>
      <c r="C55" s="4" t="s">
        <v>287</v>
      </c>
      <c r="D55" s="94">
        <v>5100.0</v>
      </c>
    </row>
    <row r="56">
      <c r="A56" s="40">
        <f t="array" ref="A56">IFNA(index(PlayerValues!A:A,match(IFNA(vlookup(B56,'Special Names'!A:B,2,FALSE),B56),PlayerValues!E:E,0)),"N/A")</f>
        <v>16598</v>
      </c>
      <c r="B56" s="4" t="s">
        <v>408</v>
      </c>
      <c r="C56" s="4" t="s">
        <v>278</v>
      </c>
      <c r="D56" s="94">
        <v>5093.0</v>
      </c>
    </row>
    <row r="57">
      <c r="A57" s="40">
        <f t="array" ref="A57">IFNA(index(PlayerValues!A:A,match(IFNA(vlookup(B57,'Special Names'!A:B,2,FALSE),B57),PlayerValues!E:E,0)),"N/A")</f>
        <v>12620</v>
      </c>
      <c r="B57" s="4" t="s">
        <v>394</v>
      </c>
      <c r="C57" s="4" t="s">
        <v>283</v>
      </c>
      <c r="D57" s="94">
        <v>5061.0</v>
      </c>
    </row>
    <row r="58">
      <c r="A58" s="40">
        <f t="array" ref="A58">IFNA(index(PlayerValues!A:A,match(IFNA(vlookup(B58,'Special Names'!A:B,2,FALSE),B58),PlayerValues!E:E,0)),"N/A")</f>
        <v>16614</v>
      </c>
      <c r="B58" s="4" t="s">
        <v>403</v>
      </c>
      <c r="C58" s="4" t="s">
        <v>287</v>
      </c>
      <c r="D58" s="94">
        <v>4999.0</v>
      </c>
    </row>
    <row r="59">
      <c r="A59" s="40" t="str">
        <f t="array" ref="A59">IFNA(index(PlayerValues!A:A,match(IFNA(vlookup(B59,'Special Names'!A:B,2,FALSE),B59),PlayerValues!E:E,0)),"N/A")</f>
        <v>N/A</v>
      </c>
      <c r="B59" s="4" t="s">
        <v>104</v>
      </c>
      <c r="C59" s="4" t="s">
        <v>325</v>
      </c>
      <c r="D59" s="94">
        <v>4990.0</v>
      </c>
    </row>
    <row r="60">
      <c r="A60" s="40">
        <f t="array" ref="A60">IFNA(index(PlayerValues!A:A,match(IFNA(vlookup(B60,'Special Names'!A:B,2,FALSE),B60),PlayerValues!E:E,0)),"N/A")</f>
        <v>16181</v>
      </c>
      <c r="B60" s="4" t="s">
        <v>350</v>
      </c>
      <c r="C60" s="4" t="s">
        <v>278</v>
      </c>
      <c r="D60" s="94">
        <v>4962.0</v>
      </c>
    </row>
    <row r="61">
      <c r="A61" s="40">
        <f t="array" ref="A61">IFNA(index(PlayerValues!A:A,match(IFNA(vlookup(B61,'Special Names'!A:B,2,FALSE),B61),PlayerValues!E:E,0)),"N/A")</f>
        <v>17103</v>
      </c>
      <c r="B61" s="4" t="s">
        <v>405</v>
      </c>
      <c r="C61" s="4" t="s">
        <v>298</v>
      </c>
      <c r="D61" s="94">
        <v>5536.0</v>
      </c>
    </row>
    <row r="62">
      <c r="A62" s="40">
        <f t="array" ref="A62">IFNA(index(PlayerValues!A:A,match(IFNA(vlookup(B62,'Special Names'!A:B,2,FALSE),B62),PlayerValues!E:E,0)),"N/A")</f>
        <v>16618</v>
      </c>
      <c r="B62" s="4" t="s">
        <v>411</v>
      </c>
      <c r="C62" s="4" t="s">
        <v>287</v>
      </c>
      <c r="D62" s="94">
        <v>4929.0</v>
      </c>
    </row>
    <row r="63">
      <c r="A63" s="40">
        <f t="array" ref="A63">IFNA(index(PlayerValues!A:A,match(IFNA(vlookup(B63,'Special Names'!A:B,2,FALSE),B63),PlayerValues!E:E,0)),"N/A")</f>
        <v>15282</v>
      </c>
      <c r="B63" s="4" t="s">
        <v>364</v>
      </c>
      <c r="C63" s="4" t="s">
        <v>287</v>
      </c>
      <c r="D63" s="94">
        <v>4919.0</v>
      </c>
    </row>
    <row r="64">
      <c r="A64" s="40">
        <f t="array" ref="A64">IFNA(index(PlayerValues!A:A,match(IFNA(vlookup(B64,'Special Names'!A:B,2,FALSE),B64),PlayerValues!E:E,0)),"N/A")</f>
        <v>14835</v>
      </c>
      <c r="B64" s="4" t="s">
        <v>392</v>
      </c>
      <c r="C64" s="4" t="s">
        <v>287</v>
      </c>
      <c r="D64" s="94">
        <v>4917.0</v>
      </c>
    </row>
    <row r="65">
      <c r="A65" s="40">
        <f t="array" ref="A65">IFNA(index(PlayerValues!A:A,match(IFNA(vlookup(B65,'Special Names'!A:B,2,FALSE),B65),PlayerValues!E:E,0)),"N/A")</f>
        <v>13604</v>
      </c>
      <c r="B65" s="4" t="s">
        <v>378</v>
      </c>
      <c r="C65" s="4" t="s">
        <v>278</v>
      </c>
      <c r="D65" s="94">
        <v>4911.0</v>
      </c>
    </row>
    <row r="66">
      <c r="A66" s="40">
        <f t="array" ref="A66">IFNA(index(PlayerValues!A:A,match(IFNA(vlookup(B66,'Special Names'!A:B,2,FALSE),B66),PlayerValues!E:E,0)),"N/A")</f>
        <v>15284</v>
      </c>
      <c r="B66" s="4" t="s">
        <v>390</v>
      </c>
      <c r="C66" s="4" t="s">
        <v>287</v>
      </c>
      <c r="D66" s="94">
        <v>4867.0</v>
      </c>
    </row>
    <row r="67">
      <c r="A67" s="40">
        <f t="array" ref="A67">IFNA(index(PlayerValues!A:A,match(IFNA(vlookup(B67,'Special Names'!A:B,2,FALSE),B67),PlayerValues!E:E,0)),"N/A")</f>
        <v>15710</v>
      </c>
      <c r="B67" s="4" t="s">
        <v>395</v>
      </c>
      <c r="C67" s="4" t="s">
        <v>278</v>
      </c>
      <c r="D67" s="94">
        <v>4845.0</v>
      </c>
    </row>
    <row r="68">
      <c r="A68" s="40">
        <f t="array" ref="A68">IFNA(index(PlayerValues!A:A,match(IFNA(vlookup(B68,'Special Names'!A:B,2,FALSE),B68),PlayerValues!E:E,0)),"N/A")</f>
        <v>17498</v>
      </c>
      <c r="B68" s="4" t="s">
        <v>396</v>
      </c>
      <c r="C68" s="4" t="s">
        <v>287</v>
      </c>
      <c r="D68" s="94">
        <v>4811.0</v>
      </c>
    </row>
    <row r="69">
      <c r="A69" s="40">
        <f t="array" ref="A69">IFNA(index(PlayerValues!A:A,match(IFNA(vlookup(B69,'Special Names'!A:B,2,FALSE),B69),PlayerValues!E:E,0)),"N/A")</f>
        <v>16194</v>
      </c>
      <c r="B69" s="4" t="s">
        <v>398</v>
      </c>
      <c r="C69" s="4" t="s">
        <v>287</v>
      </c>
      <c r="D69" s="94">
        <v>4801.0</v>
      </c>
    </row>
    <row r="70">
      <c r="A70" s="40">
        <f t="array" ref="A70">IFNA(index(PlayerValues!A:A,match(IFNA(vlookup(B70,'Special Names'!A:B,2,FALSE),B70),PlayerValues!E:E,0)),"N/A")</f>
        <v>16150</v>
      </c>
      <c r="B70" s="4" t="s">
        <v>414</v>
      </c>
      <c r="C70" s="4" t="s">
        <v>283</v>
      </c>
      <c r="D70" s="94">
        <v>4794.0</v>
      </c>
    </row>
    <row r="71">
      <c r="A71" s="40">
        <f t="array" ref="A71">IFNA(index(PlayerValues!A:A,match(IFNA(vlookup(B71,'Special Names'!A:B,2,FALSE),B71),PlayerValues!E:E,0)),"N/A")</f>
        <v>14104</v>
      </c>
      <c r="B71" s="4" t="s">
        <v>379</v>
      </c>
      <c r="C71" s="4" t="s">
        <v>287</v>
      </c>
      <c r="D71" s="94">
        <v>4786.0</v>
      </c>
    </row>
    <row r="72">
      <c r="A72" s="40">
        <f t="array" ref="A72">IFNA(index(PlayerValues!A:A,match(IFNA(vlookup(B72,'Special Names'!A:B,2,FALSE),B72),PlayerValues!E:E,0)),"N/A")</f>
        <v>16222</v>
      </c>
      <c r="B72" s="4" t="s">
        <v>393</v>
      </c>
      <c r="C72" s="4" t="s">
        <v>298</v>
      </c>
      <c r="D72" s="94">
        <v>5348.0</v>
      </c>
    </row>
    <row r="73">
      <c r="A73" s="40" t="str">
        <f t="array" ref="A73">IFNA(index(PlayerValues!A:A,match(IFNA(vlookup(B73,'Special Names'!A:B,2,FALSE),B73),PlayerValues!E:E,0)),"N/A")</f>
        <v>N/A</v>
      </c>
      <c r="B73" s="4" t="s">
        <v>94</v>
      </c>
      <c r="C73" s="4" t="s">
        <v>325</v>
      </c>
      <c r="D73" s="94">
        <v>4784.0</v>
      </c>
    </row>
    <row r="74">
      <c r="A74" s="40">
        <f t="array" ref="A74">IFNA(index(PlayerValues!A:A,match(IFNA(vlookup(B74,'Special Names'!A:B,2,FALSE),B74),PlayerValues!E:E,0)),"N/A")</f>
        <v>13590</v>
      </c>
      <c r="B74" s="4" t="s">
        <v>409</v>
      </c>
      <c r="C74" s="4" t="s">
        <v>283</v>
      </c>
      <c r="D74" s="94">
        <v>4782.0</v>
      </c>
    </row>
    <row r="75">
      <c r="A75" s="40">
        <f t="array" ref="A75">IFNA(index(PlayerValues!A:A,match(IFNA(vlookup(B75,'Special Names'!A:B,2,FALSE),B75),PlayerValues!E:E,0)),"N/A")</f>
        <v>15756</v>
      </c>
      <c r="B75" s="4" t="s">
        <v>399</v>
      </c>
      <c r="C75" s="4" t="s">
        <v>287</v>
      </c>
      <c r="D75" s="94">
        <v>4773.0</v>
      </c>
    </row>
    <row r="76">
      <c r="A76" s="40">
        <f t="array" ref="A76">IFNA(index(PlayerValues!A:A,match(IFNA(vlookup(B76,'Special Names'!A:B,2,FALSE),B76),PlayerValues!E:E,0)),"N/A")</f>
        <v>13592</v>
      </c>
      <c r="B76" s="4" t="s">
        <v>418</v>
      </c>
      <c r="C76" s="4" t="s">
        <v>283</v>
      </c>
      <c r="D76" s="94">
        <v>4768.0</v>
      </c>
    </row>
    <row r="77">
      <c r="A77" s="40" t="str">
        <f t="array" ref="A77">IFNA(index(PlayerValues!A:A,match(IFNA(vlookup(B77,'Special Names'!A:B,2,FALSE),B77),PlayerValues!E:E,0)),"N/A")</f>
        <v>N/A</v>
      </c>
      <c r="B77" s="4" t="s">
        <v>80</v>
      </c>
      <c r="C77" s="4" t="s">
        <v>325</v>
      </c>
      <c r="D77" s="94">
        <v>4750.0</v>
      </c>
    </row>
    <row r="78">
      <c r="A78" s="40">
        <f t="array" ref="A78">IFNA(index(PlayerValues!A:A,match(IFNA(vlookup(B78,'Special Names'!A:B,2,FALSE),B78),PlayerValues!E:E,0)),"N/A")</f>
        <v>16190</v>
      </c>
      <c r="B78" s="4" t="s">
        <v>371</v>
      </c>
      <c r="C78" s="4" t="s">
        <v>287</v>
      </c>
      <c r="D78" s="94">
        <v>4698.0</v>
      </c>
    </row>
    <row r="79">
      <c r="A79" s="40">
        <f t="array" ref="A79">IFNA(index(PlayerValues!A:A,match(IFNA(vlookup(B79,'Special Names'!A:B,2,FALSE),B79),PlayerValues!E:E,0)),"N/A")</f>
        <v>15253</v>
      </c>
      <c r="B79" s="4" t="s">
        <v>415</v>
      </c>
      <c r="C79" s="4" t="s">
        <v>278</v>
      </c>
      <c r="D79" s="94">
        <v>4697.0</v>
      </c>
    </row>
    <row r="80">
      <c r="A80" s="40">
        <f t="array" ref="A80">IFNA(index(PlayerValues!A:A,match(IFNA(vlookup(B80,'Special Names'!A:B,2,FALSE),B80),PlayerValues!E:E,0)),"N/A")</f>
        <v>12611</v>
      </c>
      <c r="B80" s="4" t="s">
        <v>410</v>
      </c>
      <c r="C80" s="4" t="s">
        <v>283</v>
      </c>
      <c r="D80" s="94">
        <v>4676.0</v>
      </c>
    </row>
    <row r="81">
      <c r="A81" s="40">
        <f t="array" ref="A81">IFNA(index(PlayerValues!A:A,match(IFNA(vlookup(B81,'Special Names'!A:B,2,FALSE),B81),PlayerValues!E:E,0)),"N/A")</f>
        <v>17039</v>
      </c>
      <c r="B81" s="4" t="s">
        <v>400</v>
      </c>
      <c r="C81" s="4" t="s">
        <v>283</v>
      </c>
      <c r="D81" s="94">
        <v>4632.0</v>
      </c>
    </row>
    <row r="82">
      <c r="A82" s="40">
        <f t="array" ref="A82">IFNA(index(PlayerValues!A:A,match(IFNA(vlookup(B82,'Special Names'!A:B,2,FALSE),B82),PlayerValues!E:E,0)),"N/A")</f>
        <v>14073</v>
      </c>
      <c r="B82" s="4" t="s">
        <v>464</v>
      </c>
      <c r="C82" s="4" t="s">
        <v>278</v>
      </c>
      <c r="D82" s="94">
        <v>4594.0</v>
      </c>
    </row>
    <row r="83">
      <c r="A83" s="40">
        <f t="array" ref="A83">IFNA(index(PlayerValues!A:A,match(IFNA(vlookup(B83,'Special Names'!A:B,2,FALSE),B83),PlayerValues!E:E,0)),"N/A")</f>
        <v>15256</v>
      </c>
      <c r="B83" s="4" t="s">
        <v>401</v>
      </c>
      <c r="C83" s="4" t="s">
        <v>278</v>
      </c>
      <c r="D83" s="94">
        <v>4576.0</v>
      </c>
    </row>
    <row r="84">
      <c r="A84" s="40">
        <f t="array" ref="A84">IFNA(index(PlayerValues!A:A,match(IFNA(vlookup(B84,'Special Names'!A:B,2,FALSE),B84),PlayerValues!E:E,0)),"N/A")</f>
        <v>16214</v>
      </c>
      <c r="B84" s="4" t="s">
        <v>413</v>
      </c>
      <c r="C84" s="4" t="s">
        <v>298</v>
      </c>
      <c r="D84" s="94">
        <v>5097.0</v>
      </c>
    </row>
    <row r="85">
      <c r="A85" s="40" t="str">
        <f t="array" ref="A85">IFNA(index(PlayerValues!A:A,match(IFNA(vlookup(B85,'Special Names'!A:B,2,FALSE),B85),PlayerValues!E:E,0)),"N/A")</f>
        <v>N/A</v>
      </c>
      <c r="B85" s="4" t="s">
        <v>105</v>
      </c>
      <c r="C85" s="4" t="s">
        <v>325</v>
      </c>
      <c r="D85" s="94">
        <v>4539.0</v>
      </c>
    </row>
    <row r="86">
      <c r="A86" s="40">
        <f t="array" ref="A86">IFNA(index(PlayerValues!A:A,match(IFNA(vlookup(B86,'Special Names'!A:B,2,FALSE),B86),PlayerValues!E:E,0)),"N/A")</f>
        <v>15329</v>
      </c>
      <c r="B86" s="4" t="s">
        <v>416</v>
      </c>
      <c r="C86" s="4" t="s">
        <v>298</v>
      </c>
      <c r="D86" s="94">
        <v>5084.0</v>
      </c>
    </row>
    <row r="87">
      <c r="A87" s="40">
        <f t="array" ref="A87">IFNA(index(PlayerValues!A:A,match(IFNA(vlookup(B87,'Special Names'!A:B,2,FALSE),B87),PlayerValues!E:E,0)),"N/A")</f>
        <v>17045</v>
      </c>
      <c r="B87" s="4" t="s">
        <v>407</v>
      </c>
      <c r="C87" s="4" t="s">
        <v>278</v>
      </c>
      <c r="D87" s="94">
        <v>4525.0</v>
      </c>
    </row>
    <row r="88">
      <c r="A88" s="40">
        <f t="array" ref="A88">IFNA(index(PlayerValues!A:A,match(IFNA(vlookup(B88,'Special Names'!A:B,2,FALSE),B88),PlayerValues!E:E,0)),"N/A")</f>
        <v>16148</v>
      </c>
      <c r="B88" s="4" t="s">
        <v>426</v>
      </c>
      <c r="C88" s="4" t="s">
        <v>283</v>
      </c>
      <c r="D88" s="94">
        <v>4518.0</v>
      </c>
    </row>
    <row r="89">
      <c r="A89" s="40">
        <f t="array" ref="A89">IFNA(index(PlayerValues!A:A,match(IFNA(vlookup(B89,'Special Names'!A:B,2,FALSE),B89),PlayerValues!E:E,0)),"N/A")</f>
        <v>17543</v>
      </c>
      <c r="B89" s="4" t="s">
        <v>436</v>
      </c>
      <c r="C89" s="4" t="s">
        <v>298</v>
      </c>
      <c r="D89" s="94">
        <v>4944.0</v>
      </c>
    </row>
    <row r="90">
      <c r="A90" s="40">
        <f t="array" ref="A90">IFNA(index(PlayerValues!A:A,match(IFNA(vlookup(B90,'Special Names'!A:B,2,FALSE),B90),PlayerValues!E:E,0)),"N/A")</f>
        <v>14056</v>
      </c>
      <c r="B90" s="4" t="s">
        <v>423</v>
      </c>
      <c r="C90" s="4" t="s">
        <v>283</v>
      </c>
      <c r="D90" s="94">
        <v>4398.0</v>
      </c>
    </row>
    <row r="91">
      <c r="A91" s="40">
        <f t="array" ref="A91">IFNA(index(PlayerValues!A:A,match(IFNA(vlookup(B91,'Special Names'!A:B,2,FALSE),B91),PlayerValues!E:E,0)),"N/A")</f>
        <v>15768</v>
      </c>
      <c r="B91" s="4" t="s">
        <v>432</v>
      </c>
      <c r="C91" s="4" t="s">
        <v>287</v>
      </c>
      <c r="D91" s="94">
        <v>4340.0</v>
      </c>
    </row>
    <row r="92">
      <c r="A92" s="40">
        <f t="array" ref="A92">IFNA(index(PlayerValues!A:A,match(IFNA(vlookup(B92,'Special Names'!A:B,2,FALSE),B92),PlayerValues!E:E,0)),"N/A")</f>
        <v>14059</v>
      </c>
      <c r="B92" s="4" t="s">
        <v>435</v>
      </c>
      <c r="C92" s="4" t="s">
        <v>283</v>
      </c>
      <c r="D92" s="94">
        <v>4274.0</v>
      </c>
    </row>
    <row r="93">
      <c r="A93" s="40">
        <f t="array" ref="A93">IFNA(index(PlayerValues!A:A,match(IFNA(vlookup(B93,'Special Names'!A:B,2,FALSE),B93),PlayerValues!E:E,0)),"N/A")</f>
        <v>15694</v>
      </c>
      <c r="B93" s="4" t="s">
        <v>434</v>
      </c>
      <c r="C93" s="4" t="s">
        <v>283</v>
      </c>
      <c r="D93" s="94">
        <v>4123.0</v>
      </c>
    </row>
    <row r="94">
      <c r="A94" s="40">
        <f t="array" ref="A94">IFNA(index(PlayerValues!A:A,match(IFNA(vlookup(B94,'Special Names'!A:B,2,FALSE),B94),PlayerValues!E:E,0)),"N/A")</f>
        <v>17052</v>
      </c>
      <c r="B94" s="4" t="s">
        <v>417</v>
      </c>
      <c r="C94" s="4" t="s">
        <v>278</v>
      </c>
      <c r="D94" s="94">
        <v>3939.0</v>
      </c>
    </row>
    <row r="95">
      <c r="A95" s="40" t="str">
        <f t="array" ref="A95">IFNA(index(PlayerValues!A:A,match(IFNA(vlookup(B95,'Special Names'!A:B,2,FALSE),B95),PlayerValues!E:E,0)),"N/A")</f>
        <v>N/A</v>
      </c>
      <c r="B95" s="4" t="s">
        <v>107</v>
      </c>
      <c r="C95" s="4" t="s">
        <v>325</v>
      </c>
      <c r="D95" s="94">
        <v>3938.0</v>
      </c>
    </row>
    <row r="96">
      <c r="A96" s="40" t="str">
        <f t="array" ref="A96">IFNA(index(PlayerValues!A:A,match(IFNA(vlookup(B96,'Special Names'!A:B,2,FALSE),B96),PlayerValues!E:E,0)),"N/A")</f>
        <v>N/A</v>
      </c>
      <c r="B96" s="4" t="s">
        <v>81</v>
      </c>
      <c r="C96" s="4" t="s">
        <v>325</v>
      </c>
      <c r="D96" s="94">
        <v>3927.0</v>
      </c>
    </row>
    <row r="97">
      <c r="A97" s="40">
        <f t="array" ref="A97">IFNA(index(PlayerValues!A:A,match(IFNA(vlookup(B97,'Special Names'!A:B,2,FALSE),B97),PlayerValues!E:E,0)),"N/A")</f>
        <v>16186</v>
      </c>
      <c r="B97" s="4" t="s">
        <v>425</v>
      </c>
      <c r="C97" s="4" t="s">
        <v>287</v>
      </c>
      <c r="D97" s="94">
        <v>3926.0</v>
      </c>
    </row>
    <row r="98">
      <c r="A98" s="40">
        <f t="array" ref="A98">IFNA(index(PlayerValues!A:A,match(IFNA(vlookup(B98,'Special Names'!A:B,2,FALSE),B98),PlayerValues!E:E,0)),"N/A")</f>
        <v>13635</v>
      </c>
      <c r="B98" s="4" t="s">
        <v>424</v>
      </c>
      <c r="C98" s="4" t="s">
        <v>287</v>
      </c>
      <c r="D98" s="94">
        <v>3905.0</v>
      </c>
    </row>
    <row r="99">
      <c r="A99" s="40">
        <f t="array" ref="A99">IFNA(index(PlayerValues!A:A,match(IFNA(vlookup(B99,'Special Names'!A:B,2,FALSE),B99),PlayerValues!E:E,0)),"N/A")</f>
        <v>17099</v>
      </c>
      <c r="B99" s="4" t="s">
        <v>474</v>
      </c>
      <c r="C99" s="4" t="s">
        <v>298</v>
      </c>
      <c r="D99" s="94">
        <v>4349.0</v>
      </c>
    </row>
    <row r="100">
      <c r="A100" s="40">
        <f t="array" ref="A100">IFNA(index(PlayerValues!A:A,match(IFNA(vlookup(B100,'Special Names'!A:B,2,FALSE),B100),PlayerValues!E:E,0)),"N/A")</f>
        <v>12626</v>
      </c>
      <c r="B100" s="4" t="s">
        <v>419</v>
      </c>
      <c r="C100" s="4" t="s">
        <v>278</v>
      </c>
      <c r="D100" s="94">
        <v>3771.0</v>
      </c>
    </row>
    <row r="101">
      <c r="A101" s="40">
        <f t="array" ref="A101">IFNA(index(PlayerValues!A:A,match(IFNA(vlookup(B101,'Special Names'!A:B,2,FALSE),B101),PlayerValues!E:E,0)),"N/A")</f>
        <v>17068</v>
      </c>
      <c r="B101" s="4" t="s">
        <v>450</v>
      </c>
      <c r="C101" s="4" t="s">
        <v>278</v>
      </c>
      <c r="D101" s="94">
        <v>3761.0</v>
      </c>
    </row>
    <row r="102">
      <c r="A102" s="40">
        <f t="array" ref="A102">IFNA(index(PlayerValues!A:A,match(IFNA(vlookup(B102,'Special Names'!A:B,2,FALSE),B102),PlayerValues!E:E,0)),"N/A")</f>
        <v>9431</v>
      </c>
      <c r="B102" s="4" t="s">
        <v>428</v>
      </c>
      <c r="C102" s="4" t="s">
        <v>283</v>
      </c>
      <c r="D102" s="94">
        <v>3747.0</v>
      </c>
    </row>
    <row r="103">
      <c r="A103" s="40">
        <f t="array" ref="A103">IFNA(index(PlayerValues!A:A,match(IFNA(vlookup(B103,'Special Names'!A:B,2,FALSE),B103),PlayerValues!E:E,0)),"N/A")</f>
        <v>17501</v>
      </c>
      <c r="B103" s="4" t="s">
        <v>404</v>
      </c>
      <c r="C103" s="4" t="s">
        <v>287</v>
      </c>
      <c r="D103" s="94">
        <v>3740.0</v>
      </c>
    </row>
    <row r="104">
      <c r="A104" s="40" t="str">
        <f t="array" ref="A104">IFNA(index(PlayerValues!A:A,match(IFNA(vlookup(B104,'Special Names'!A:B,2,FALSE),B104),PlayerValues!E:E,0)),"N/A")</f>
        <v>N/A</v>
      </c>
      <c r="B104" s="4" t="s">
        <v>95</v>
      </c>
      <c r="C104" s="4" t="s">
        <v>325</v>
      </c>
      <c r="D104" s="94">
        <v>3734.0</v>
      </c>
    </row>
    <row r="105">
      <c r="A105" s="40">
        <f t="array" ref="A105">IFNA(index(PlayerValues!A:A,match(IFNA(vlookup(B105,'Special Names'!A:B,2,FALSE),B105),PlayerValues!E:E,0)),"N/A")</f>
        <v>16206</v>
      </c>
      <c r="B105" s="4" t="s">
        <v>431</v>
      </c>
      <c r="C105" s="4" t="s">
        <v>287</v>
      </c>
      <c r="D105" s="94">
        <v>3731.0</v>
      </c>
    </row>
    <row r="106">
      <c r="A106" s="40">
        <f t="array" ref="A106">IFNA(index(PlayerValues!A:A,match(IFNA(vlookup(B106,'Special Names'!A:B,2,FALSE),B106),PlayerValues!E:E,0)),"N/A")</f>
        <v>16169</v>
      </c>
      <c r="B106" s="4" t="s">
        <v>457</v>
      </c>
      <c r="C106" s="4" t="s">
        <v>278</v>
      </c>
      <c r="D106" s="94">
        <v>3725.0</v>
      </c>
    </row>
    <row r="107">
      <c r="A107" s="40">
        <f t="array" ref="A107">IFNA(index(PlayerValues!A:A,match(IFNA(vlookup(B107,'Special Names'!A:B,2,FALSE),B107),PlayerValues!E:E,0)),"N/A")</f>
        <v>15757</v>
      </c>
      <c r="B107" s="4" t="s">
        <v>449</v>
      </c>
      <c r="C107" s="4" t="s">
        <v>287</v>
      </c>
      <c r="D107" s="94">
        <v>3707.0</v>
      </c>
    </row>
    <row r="108">
      <c r="A108" s="40">
        <f t="array" ref="A108">IFNA(index(PlayerValues!A:A,match(IFNA(vlookup(B108,'Special Names'!A:B,2,FALSE),B108),PlayerValues!E:E,0)),"N/A")</f>
        <v>15779</v>
      </c>
      <c r="B108" s="4" t="s">
        <v>461</v>
      </c>
      <c r="C108" s="4" t="s">
        <v>287</v>
      </c>
      <c r="D108" s="94">
        <v>3688.0</v>
      </c>
    </row>
    <row r="109">
      <c r="A109" s="40">
        <f t="array" ref="A109">IFNA(index(PlayerValues!A:A,match(IFNA(vlookup(B109,'Special Names'!A:B,2,FALSE),B109),PlayerValues!E:E,0)),"N/A")</f>
        <v>17074</v>
      </c>
      <c r="B109" s="4" t="s">
        <v>475</v>
      </c>
      <c r="C109" s="4" t="s">
        <v>287</v>
      </c>
      <c r="D109" s="94">
        <v>3668.0</v>
      </c>
    </row>
    <row r="110">
      <c r="A110" s="40">
        <f t="array" ref="A110">IFNA(index(PlayerValues!A:A,match(IFNA(vlookup(B110,'Special Names'!A:B,2,FALSE),B110),PlayerValues!E:E,0)),"N/A")</f>
        <v>15789</v>
      </c>
      <c r="B110" s="4" t="s">
        <v>421</v>
      </c>
      <c r="C110" s="4" t="s">
        <v>287</v>
      </c>
      <c r="D110" s="94">
        <v>3660.0</v>
      </c>
    </row>
    <row r="111">
      <c r="A111" s="40">
        <f t="array" ref="A111">IFNA(index(PlayerValues!A:A,match(IFNA(vlookup(B111,'Special Names'!A:B,2,FALSE),B111),PlayerValues!E:E,0)),"N/A")</f>
        <v>14102</v>
      </c>
      <c r="B111" s="4" t="s">
        <v>444</v>
      </c>
      <c r="C111" s="4" t="s">
        <v>287</v>
      </c>
      <c r="D111" s="94">
        <v>3638.0</v>
      </c>
    </row>
    <row r="112">
      <c r="A112" s="40">
        <f t="array" ref="A112">IFNA(index(PlayerValues!A:A,match(IFNA(vlookup(B112,'Special Names'!A:B,2,FALSE),B112),PlayerValues!E:E,0)),"N/A")</f>
        <v>16622</v>
      </c>
      <c r="B112" s="4" t="s">
        <v>517</v>
      </c>
      <c r="C112" s="4" t="s">
        <v>287</v>
      </c>
      <c r="D112" s="94">
        <v>3614.0</v>
      </c>
    </row>
    <row r="113">
      <c r="A113" s="40">
        <f t="array" ref="A113">IFNA(index(PlayerValues!A:A,match(IFNA(vlookup(B113,'Special Names'!A:B,2,FALSE),B113),PlayerValues!E:E,0)),"N/A")</f>
        <v>16192</v>
      </c>
      <c r="B113" s="4" t="s">
        <v>412</v>
      </c>
      <c r="C113" s="4" t="s">
        <v>287</v>
      </c>
      <c r="D113" s="94">
        <v>3601.0</v>
      </c>
    </row>
    <row r="114">
      <c r="A114" s="40">
        <f t="array" ref="A114">IFNA(index(PlayerValues!A:A,match(IFNA(vlookup(B114,'Special Names'!A:B,2,FALSE),B114),PlayerValues!E:E,0)),"N/A")</f>
        <v>17083</v>
      </c>
      <c r="B114" s="4" t="s">
        <v>479</v>
      </c>
      <c r="C114" s="4" t="s">
        <v>287</v>
      </c>
      <c r="D114" s="94">
        <v>3590.0</v>
      </c>
    </row>
    <row r="115">
      <c r="A115" s="40">
        <f t="array" ref="A115">IFNA(index(PlayerValues!A:A,match(IFNA(vlookup(B115,'Special Names'!A:B,2,FALSE),B115),PlayerValues!E:E,0)),"N/A")</f>
        <v>15712</v>
      </c>
      <c r="B115" s="4" t="s">
        <v>488</v>
      </c>
      <c r="C115" s="4" t="s">
        <v>278</v>
      </c>
      <c r="D115" s="94">
        <v>3576.0</v>
      </c>
    </row>
    <row r="116">
      <c r="A116" s="40">
        <f t="array" ref="A116">IFNA(index(PlayerValues!A:A,match(IFNA(vlookup(B116,'Special Names'!A:B,2,FALSE),B116),PlayerValues!E:E,0)),"N/A")</f>
        <v>17066</v>
      </c>
      <c r="B116" s="4" t="s">
        <v>446</v>
      </c>
      <c r="C116" s="4" t="s">
        <v>278</v>
      </c>
      <c r="D116" s="94">
        <v>3559.0</v>
      </c>
    </row>
    <row r="117">
      <c r="A117" s="40">
        <f t="array" ref="A117">IFNA(index(PlayerValues!A:A,match(IFNA(vlookup(B117,'Special Names'!A:B,2,FALSE),B117),PlayerValues!E:E,0)),"N/A")</f>
        <v>11675</v>
      </c>
      <c r="B117" s="4" t="s">
        <v>438</v>
      </c>
      <c r="C117" s="4" t="s">
        <v>287</v>
      </c>
      <c r="D117" s="94">
        <v>3540.0</v>
      </c>
    </row>
    <row r="118">
      <c r="A118" s="40">
        <f t="array" ref="A118">IFNA(index(PlayerValues!A:A,match(IFNA(vlookup(B118,'Special Names'!A:B,2,FALSE),B118),PlayerValues!E:E,0)),"N/A")</f>
        <v>17075</v>
      </c>
      <c r="B118" s="4" t="s">
        <v>429</v>
      </c>
      <c r="C118" s="4" t="s">
        <v>287</v>
      </c>
      <c r="D118" s="94">
        <v>3525.0</v>
      </c>
    </row>
    <row r="119">
      <c r="A119" s="40">
        <f t="array" ref="A119">IFNA(index(PlayerValues!A:A,match(IFNA(vlookup(B119,'Special Names'!A:B,2,FALSE),B119),PlayerValues!E:E,0)),"N/A")</f>
        <v>14797</v>
      </c>
      <c r="B119" s="4" t="s">
        <v>420</v>
      </c>
      <c r="C119" s="4" t="s">
        <v>278</v>
      </c>
      <c r="D119" s="94">
        <v>3524.0</v>
      </c>
    </row>
    <row r="120">
      <c r="A120" s="40">
        <f t="array" ref="A120">IFNA(index(PlayerValues!A:A,match(IFNA(vlookup(B120,'Special Names'!A:B,2,FALSE),B120),PlayerValues!E:E,0)),"N/A")</f>
        <v>14842</v>
      </c>
      <c r="B120" s="4" t="s">
        <v>456</v>
      </c>
      <c r="C120" s="4" t="s">
        <v>287</v>
      </c>
      <c r="D120" s="94">
        <v>3522.0</v>
      </c>
    </row>
    <row r="121">
      <c r="A121" s="40">
        <f t="array" ref="A121">IFNA(index(PlayerValues!A:A,match(IFNA(vlookup(B121,'Special Names'!A:B,2,FALSE),B121),PlayerValues!E:E,0)),"N/A")</f>
        <v>15798</v>
      </c>
      <c r="B121" s="4" t="s">
        <v>443</v>
      </c>
      <c r="C121" s="4" t="s">
        <v>298</v>
      </c>
      <c r="D121" s="94">
        <v>3981.0</v>
      </c>
    </row>
    <row r="122">
      <c r="A122" s="40">
        <f t="array" ref="A122">IFNA(index(PlayerValues!A:A,match(IFNA(vlookup(B122,'Special Names'!A:B,2,FALSE),B122),PlayerValues!E:E,0)),"N/A")</f>
        <v>14071</v>
      </c>
      <c r="B122" s="4" t="s">
        <v>440</v>
      </c>
      <c r="C122" s="4" t="s">
        <v>278</v>
      </c>
      <c r="D122" s="94">
        <v>3496.0</v>
      </c>
    </row>
    <row r="123">
      <c r="A123" s="40" t="str">
        <f t="array" ref="A123">IFNA(index(PlayerValues!A:A,match(IFNA(vlookup(B123,'Special Names'!A:B,2,FALSE),B123),PlayerValues!E:E,0)),"N/A")</f>
        <v>N/A</v>
      </c>
      <c r="B123" s="4" t="s">
        <v>96</v>
      </c>
      <c r="C123" s="4" t="s">
        <v>325</v>
      </c>
      <c r="D123" s="94">
        <v>3435.0</v>
      </c>
    </row>
    <row r="124">
      <c r="A124" s="40">
        <f t="array" ref="A124">IFNA(index(PlayerValues!A:A,match(IFNA(vlookup(B124,'Special Names'!A:B,2,FALSE),B124),PlayerValues!E:E,0)),"N/A")</f>
        <v>17502</v>
      </c>
      <c r="B124" s="4" t="s">
        <v>451</v>
      </c>
      <c r="C124" s="4" t="s">
        <v>287</v>
      </c>
      <c r="D124" s="94">
        <v>3410.0</v>
      </c>
    </row>
    <row r="125">
      <c r="A125" s="40">
        <f t="array" ref="A125">IFNA(index(PlayerValues!A:A,match(IFNA(vlookup(B125,'Special Names'!A:B,2,FALSE),B125),PlayerValues!E:E,0)),"N/A")</f>
        <v>15261</v>
      </c>
      <c r="B125" s="4" t="s">
        <v>466</v>
      </c>
      <c r="C125" s="4" t="s">
        <v>278</v>
      </c>
      <c r="D125" s="94">
        <v>3397.0</v>
      </c>
    </row>
    <row r="126">
      <c r="A126" s="40">
        <f t="array" ref="A126">IFNA(index(PlayerValues!A:A,match(IFNA(vlookup(B126,'Special Names'!A:B,2,FALSE),B126),PlayerValues!E:E,0)),"N/A")</f>
        <v>16620</v>
      </c>
      <c r="B126" s="4" t="s">
        <v>467</v>
      </c>
      <c r="C126" s="4" t="s">
        <v>287</v>
      </c>
      <c r="D126" s="94">
        <v>3393.0</v>
      </c>
    </row>
    <row r="127">
      <c r="A127" s="40">
        <f t="array" ref="A127">IFNA(index(PlayerValues!A:A,match(IFNA(vlookup(B127,'Special Names'!A:B,2,FALSE),B127),PlayerValues!E:E,0)),"N/A")</f>
        <v>14109</v>
      </c>
      <c r="B127" s="4" t="s">
        <v>437</v>
      </c>
      <c r="C127" s="4" t="s">
        <v>287</v>
      </c>
      <c r="D127" s="94">
        <v>3388.0</v>
      </c>
    </row>
    <row r="128">
      <c r="A128" s="40">
        <f t="array" ref="A128">IFNA(index(PlayerValues!A:A,match(IFNA(vlookup(B128,'Special Names'!A:B,2,FALSE),B128),PlayerValues!E:E,0)),"N/A")</f>
        <v>14127</v>
      </c>
      <c r="B128" s="4" t="s">
        <v>486</v>
      </c>
      <c r="C128" s="4" t="s">
        <v>287</v>
      </c>
      <c r="D128" s="94">
        <v>3385.0</v>
      </c>
    </row>
    <row r="129">
      <c r="A129" s="40">
        <f t="array" ref="A129">IFNA(index(PlayerValues!A:A,match(IFNA(vlookup(B129,'Special Names'!A:B,2,FALSE),B129),PlayerValues!E:E,0)),"N/A")</f>
        <v>15799</v>
      </c>
      <c r="B129" s="4" t="s">
        <v>468</v>
      </c>
      <c r="C129" s="4" t="s">
        <v>298</v>
      </c>
      <c r="D129" s="94">
        <v>3818.0</v>
      </c>
    </row>
    <row r="130">
      <c r="A130" s="40" t="str">
        <f t="array" ref="A130">IFNA(index(PlayerValues!A:A,match(IFNA(vlookup(B130,'Special Names'!A:B,2,FALSE),B130),PlayerValues!E:E,0)),"N/A")</f>
        <v>N/A</v>
      </c>
      <c r="B130" s="4" t="s">
        <v>82</v>
      </c>
      <c r="C130" s="4" t="s">
        <v>325</v>
      </c>
      <c r="D130" s="94">
        <v>3360.0</v>
      </c>
    </row>
    <row r="131">
      <c r="A131" s="40">
        <f t="array" ref="A131">IFNA(index(PlayerValues!A:A,match(IFNA(vlookup(B131,'Special Names'!A:B,2,FALSE),B131),PlayerValues!E:E,0)),"N/A")</f>
        <v>17500</v>
      </c>
      <c r="B131" s="4" t="s">
        <v>430</v>
      </c>
      <c r="C131" s="4" t="s">
        <v>287</v>
      </c>
      <c r="D131" s="94">
        <v>3356.0</v>
      </c>
    </row>
    <row r="132">
      <c r="A132" s="40">
        <f t="array" ref="A132">IFNA(index(PlayerValues!A:A,match(IFNA(vlookup(B132,'Special Names'!A:B,2,FALSE),B132),PlayerValues!E:E,0)),"N/A")</f>
        <v>16187</v>
      </c>
      <c r="B132" s="4" t="s">
        <v>441</v>
      </c>
      <c r="C132" s="4" t="s">
        <v>287</v>
      </c>
      <c r="D132" s="94">
        <v>3354.0</v>
      </c>
    </row>
    <row r="133">
      <c r="A133" s="40">
        <f t="array" ref="A133">IFNA(index(PlayerValues!A:A,match(IFNA(vlookup(B133,'Special Names'!A:B,2,FALSE),B133),PlayerValues!E:E,0)),"N/A")</f>
        <v>16213</v>
      </c>
      <c r="B133" s="4" t="s">
        <v>458</v>
      </c>
      <c r="C133" s="4" t="s">
        <v>298</v>
      </c>
      <c r="D133" s="94">
        <v>3802.0</v>
      </c>
    </row>
    <row r="134">
      <c r="A134" s="40">
        <f t="array" ref="A134">IFNA(index(PlayerValues!A:A,match(IFNA(vlookup(B134,'Special Names'!A:B,2,FALSE),B134),PlayerValues!E:E,0)),"N/A")</f>
        <v>16188</v>
      </c>
      <c r="B134" s="4" t="s">
        <v>439</v>
      </c>
      <c r="C134" s="4" t="s">
        <v>287</v>
      </c>
      <c r="D134" s="94">
        <v>3349.0</v>
      </c>
    </row>
    <row r="135">
      <c r="A135" s="40">
        <f t="array" ref="A135">IFNA(index(PlayerValues!A:A,match(IFNA(vlookup(B135,'Special Names'!A:B,2,FALSE),B135),PlayerValues!E:E,0)),"N/A")</f>
        <v>11671</v>
      </c>
      <c r="B135" s="4" t="s">
        <v>463</v>
      </c>
      <c r="C135" s="4" t="s">
        <v>287</v>
      </c>
      <c r="D135" s="94">
        <v>3338.0</v>
      </c>
    </row>
    <row r="136">
      <c r="A136" s="40">
        <f t="array" ref="A136">IFNA(index(PlayerValues!A:A,match(IFNA(vlookup(B136,'Special Names'!A:B,2,FALSE),B136),PlayerValues!E:E,0)),"N/A")</f>
        <v>16184</v>
      </c>
      <c r="B136" s="4" t="s">
        <v>445</v>
      </c>
      <c r="C136" s="4" t="s">
        <v>287</v>
      </c>
      <c r="D136" s="94">
        <v>3310.0</v>
      </c>
    </row>
    <row r="137">
      <c r="A137" s="40">
        <f t="array" ref="A137">IFNA(index(PlayerValues!A:A,match(IFNA(vlookup(B137,'Special Names'!A:B,2,FALSE),B137),PlayerValues!E:E,0)),"N/A")</f>
        <v>14823</v>
      </c>
      <c r="B137" s="4" t="s">
        <v>459</v>
      </c>
      <c r="C137" s="4" t="s">
        <v>278</v>
      </c>
      <c r="D137" s="94">
        <v>3307.0</v>
      </c>
    </row>
    <row r="138">
      <c r="A138" s="40">
        <f t="array" ref="A138">IFNA(index(PlayerValues!A:A,match(IFNA(vlookup(B138,'Special Names'!A:B,2,FALSE),B138),PlayerValues!E:E,0)),"N/A")</f>
        <v>13299</v>
      </c>
      <c r="B138" s="4" t="s">
        <v>448</v>
      </c>
      <c r="C138" s="4" t="s">
        <v>298</v>
      </c>
      <c r="D138" s="94">
        <v>3726.0</v>
      </c>
    </row>
    <row r="139">
      <c r="A139" s="40">
        <f t="array" ref="A139">IFNA(index(PlayerValues!A:A,match(IFNA(vlookup(B139,'Special Names'!A:B,2,FALSE),B139),PlayerValues!E:E,0)),"N/A")</f>
        <v>16593</v>
      </c>
      <c r="B139" s="4" t="s">
        <v>442</v>
      </c>
      <c r="C139" s="4" t="s">
        <v>278</v>
      </c>
      <c r="D139" s="94">
        <v>3258.0</v>
      </c>
    </row>
    <row r="140">
      <c r="A140" s="40">
        <f t="array" ref="A140">IFNA(index(PlayerValues!A:A,match(IFNA(vlookup(B140,'Special Names'!A:B,2,FALSE),B140),PlayerValues!E:E,0)),"N/A")</f>
        <v>15742</v>
      </c>
      <c r="B140" s="4" t="s">
        <v>447</v>
      </c>
      <c r="C140" s="4" t="s">
        <v>278</v>
      </c>
      <c r="D140" s="94">
        <v>3236.0</v>
      </c>
    </row>
    <row r="141">
      <c r="A141" s="40">
        <f t="array" ref="A141">IFNA(index(PlayerValues!A:A,match(IFNA(vlookup(B141,'Special Names'!A:B,2,FALSE),B141),PlayerValues!E:E,0)),"N/A")</f>
        <v>13630</v>
      </c>
      <c r="B141" s="4" t="s">
        <v>465</v>
      </c>
      <c r="C141" s="4" t="s">
        <v>287</v>
      </c>
      <c r="D141" s="94">
        <v>3188.0</v>
      </c>
    </row>
    <row r="142">
      <c r="A142" s="40" t="str">
        <f t="array" ref="A142">IFNA(index(PlayerValues!A:A,match(IFNA(vlookup(B142,'Special Names'!A:B,2,FALSE),B142),PlayerValues!E:E,0)),"N/A")</f>
        <v>N/A</v>
      </c>
      <c r="B142" s="4" t="s">
        <v>108</v>
      </c>
      <c r="C142" s="4" t="s">
        <v>325</v>
      </c>
      <c r="D142" s="94">
        <v>3120.0</v>
      </c>
    </row>
    <row r="143">
      <c r="A143" s="40">
        <f t="array" ref="A143">IFNA(index(PlayerValues!A:A,match(IFNA(vlookup(B143,'Special Names'!A:B,2,FALSE),B143),PlayerValues!E:E,0)),"N/A")</f>
        <v>16628</v>
      </c>
      <c r="B143" s="4" t="s">
        <v>490</v>
      </c>
      <c r="C143" s="4" t="s">
        <v>287</v>
      </c>
      <c r="D143" s="94">
        <v>3099.0</v>
      </c>
    </row>
    <row r="144">
      <c r="A144" s="40">
        <f t="array" ref="A144">IFNA(index(PlayerValues!A:A,match(IFNA(vlookup(B144,'Special Names'!A:B,2,FALSE),B144),PlayerValues!E:E,0)),"N/A")</f>
        <v>16269</v>
      </c>
      <c r="B144" s="4" t="s">
        <v>481</v>
      </c>
      <c r="C144" s="4" t="s">
        <v>298</v>
      </c>
      <c r="D144" s="94">
        <v>3508.0</v>
      </c>
    </row>
    <row r="145">
      <c r="A145" s="40">
        <f t="array" ref="A145">IFNA(index(PlayerValues!A:A,match(IFNA(vlookup(B145,'Special Names'!A:B,2,FALSE),B145),PlayerValues!E:E,0)),"N/A")</f>
        <v>16583</v>
      </c>
      <c r="B145" s="4" t="s">
        <v>493</v>
      </c>
      <c r="C145" s="4" t="s">
        <v>283</v>
      </c>
      <c r="D145" s="94">
        <v>3067.0</v>
      </c>
    </row>
    <row r="146">
      <c r="A146" s="40">
        <f t="array" ref="A146">IFNA(index(PlayerValues!A:A,match(IFNA(vlookup(B146,'Special Names'!A:B,2,FALSE),B146),PlayerValues!E:E,0)),"N/A")</f>
        <v>14800</v>
      </c>
      <c r="B146" s="4" t="s">
        <v>472</v>
      </c>
      <c r="C146" s="4" t="s">
        <v>278</v>
      </c>
      <c r="D146" s="94">
        <v>3060.0</v>
      </c>
    </row>
    <row r="147">
      <c r="A147" s="40" t="str">
        <f t="array" ref="A147">IFNA(index(PlayerValues!A:A,match(IFNA(vlookup(B147,'Special Names'!A:B,2,FALSE),B147),PlayerValues!E:E,0)),"N/A")</f>
        <v>N/A</v>
      </c>
      <c r="B147" s="4" t="s">
        <v>97</v>
      </c>
      <c r="C147" s="4" t="s">
        <v>325</v>
      </c>
      <c r="D147" s="94">
        <v>3060.0</v>
      </c>
    </row>
    <row r="148">
      <c r="A148" s="40">
        <f t="array" ref="A148">IFNA(index(PlayerValues!A:A,match(IFNA(vlookup(B148,'Special Names'!A:B,2,FALSE),B148),PlayerValues!E:E,0)),"N/A")</f>
        <v>16080</v>
      </c>
      <c r="B148" s="4" t="s">
        <v>499</v>
      </c>
      <c r="C148" s="4" t="s">
        <v>287</v>
      </c>
      <c r="D148" s="94">
        <v>3053.0</v>
      </c>
    </row>
    <row r="149">
      <c r="A149" s="40">
        <f t="array" ref="A149">IFNA(index(PlayerValues!A:A,match(IFNA(vlookup(B149,'Special Names'!A:B,2,FALSE),B149),PlayerValues!E:E,0)),"N/A")</f>
        <v>16809</v>
      </c>
      <c r="B149" s="4" t="s">
        <v>455</v>
      </c>
      <c r="C149" s="4" t="s">
        <v>287</v>
      </c>
      <c r="D149" s="94">
        <v>3046.0</v>
      </c>
    </row>
    <row r="150">
      <c r="A150" s="40">
        <f t="array" ref="A150">IFNA(index(PlayerValues!A:A,match(IFNA(vlookup(B150,'Special Names'!A:B,2,FALSE),B150),PlayerValues!E:E,0)),"N/A")</f>
        <v>15761</v>
      </c>
      <c r="B150" s="4" t="s">
        <v>491</v>
      </c>
      <c r="C150" s="4" t="s">
        <v>287</v>
      </c>
      <c r="D150" s="94">
        <v>3037.0</v>
      </c>
    </row>
    <row r="151">
      <c r="A151" s="40" t="str">
        <f t="array" ref="A151">IFNA(index(PlayerValues!A:A,match(IFNA(vlookup(B151,'Special Names'!A:B,2,FALSE),B151),PlayerValues!E:E,0)),"N/A")</f>
        <v>N/A</v>
      </c>
      <c r="B151" s="4" t="s">
        <v>84</v>
      </c>
      <c r="C151" s="4" t="s">
        <v>325</v>
      </c>
      <c r="D151" s="94">
        <v>3020.0</v>
      </c>
    </row>
    <row r="152">
      <c r="A152" s="40">
        <f t="array" ref="A152">IFNA(index(PlayerValues!A:A,match(IFNA(vlookup(B152,'Special Names'!A:B,2,FALSE),B152),PlayerValues!E:E,0)),"N/A")</f>
        <v>17463</v>
      </c>
      <c r="B152" s="4" t="s">
        <v>433</v>
      </c>
      <c r="C152" s="4" t="s">
        <v>283</v>
      </c>
      <c r="D152" s="94">
        <v>3017.0</v>
      </c>
    </row>
    <row r="153">
      <c r="A153" s="40">
        <f t="array" ref="A153">IFNA(index(PlayerValues!A:A,match(IFNA(vlookup(B153,'Special Names'!A:B,2,FALSE),B153),PlayerValues!E:E,0)),"N/A")</f>
        <v>15259</v>
      </c>
      <c r="B153" s="4" t="s">
        <v>453</v>
      </c>
      <c r="C153" s="4" t="s">
        <v>278</v>
      </c>
      <c r="D153" s="94">
        <v>2993.0</v>
      </c>
    </row>
    <row r="154">
      <c r="A154" s="40">
        <f t="array" ref="A154">IFNA(index(PlayerValues!A:A,match(IFNA(vlookup(B154,'Special Names'!A:B,2,FALSE),B154),PlayerValues!E:E,0)),"N/A")</f>
        <v>17473</v>
      </c>
      <c r="B154" s="4" t="s">
        <v>391</v>
      </c>
      <c r="C154" s="4" t="s">
        <v>278</v>
      </c>
      <c r="D154" s="94">
        <v>2975.0</v>
      </c>
    </row>
    <row r="155">
      <c r="A155" s="40">
        <f t="array" ref="A155">IFNA(index(PlayerValues!A:A,match(IFNA(vlookup(B155,'Special Names'!A:B,2,FALSE),B155),PlayerValues!E:E,0)),"N/A")</f>
        <v>16597</v>
      </c>
      <c r="B155" s="4" t="s">
        <v>427</v>
      </c>
      <c r="C155" s="4" t="s">
        <v>278</v>
      </c>
      <c r="D155" s="94">
        <v>2939.0</v>
      </c>
    </row>
    <row r="156">
      <c r="A156" s="40">
        <f t="array" ref="A156">IFNA(index(PlayerValues!A:A,match(IFNA(vlookup(B156,'Special Names'!A:B,2,FALSE),B156),PlayerValues!E:E,0)),"N/A")</f>
        <v>15255</v>
      </c>
      <c r="B156" s="4" t="s">
        <v>477</v>
      </c>
      <c r="C156" s="4" t="s">
        <v>278</v>
      </c>
      <c r="D156" s="94">
        <v>2927.0</v>
      </c>
    </row>
    <row r="157">
      <c r="A157" s="40">
        <f t="array" ref="A157">IFNA(index(PlayerValues!A:A,match(IFNA(vlookup(B157,'Special Names'!A:B,2,FALSE),B157),PlayerValues!E:E,0)),"N/A")</f>
        <v>17106</v>
      </c>
      <c r="B157" s="4" t="s">
        <v>550</v>
      </c>
      <c r="C157" s="4" t="s">
        <v>298</v>
      </c>
      <c r="D157" s="94">
        <v>3348.0</v>
      </c>
    </row>
    <row r="158">
      <c r="A158" s="40">
        <f t="array" ref="A158">IFNA(index(PlayerValues!A:A,match(IFNA(vlookup(B158,'Special Names'!A:B,2,FALSE),B158),PlayerValues!E:E,0)),"N/A")</f>
        <v>15241</v>
      </c>
      <c r="B158" s="4" t="s">
        <v>546</v>
      </c>
      <c r="C158" s="4" t="s">
        <v>283</v>
      </c>
      <c r="D158" s="94">
        <v>2921.0</v>
      </c>
    </row>
    <row r="159">
      <c r="A159" s="40" t="str">
        <f t="array" ref="A159">IFNA(index(PlayerValues!A:A,match(IFNA(vlookup(B159,'Special Names'!A:B,2,FALSE),B159),PlayerValues!E:E,0)),"N/A")</f>
        <v>N/A</v>
      </c>
      <c r="B159" s="4" t="s">
        <v>109</v>
      </c>
      <c r="C159" s="4" t="s">
        <v>325</v>
      </c>
      <c r="D159" s="94">
        <v>2913.0</v>
      </c>
    </row>
    <row r="160">
      <c r="A160" s="40">
        <f t="array" ref="A160">IFNA(index(PlayerValues!A:A,match(IFNA(vlookup(B160,'Special Names'!A:B,2,FALSE),B160),PlayerValues!E:E,0)),"N/A")</f>
        <v>16584</v>
      </c>
      <c r="B160" s="4" t="s">
        <v>569</v>
      </c>
      <c r="C160" s="4" t="s">
        <v>283</v>
      </c>
      <c r="D160" s="94">
        <v>2903.0</v>
      </c>
    </row>
    <row r="161">
      <c r="A161" s="40">
        <f t="array" ref="A161">IFNA(index(PlayerValues!A:A,match(IFNA(vlookup(B161,'Special Names'!A:B,2,FALSE),B161),PlayerValues!E:E,0)),"N/A")</f>
        <v>16723</v>
      </c>
      <c r="B161" s="4" t="s">
        <v>502</v>
      </c>
      <c r="C161" s="4" t="s">
        <v>298</v>
      </c>
      <c r="D161" s="94">
        <v>3316.0</v>
      </c>
    </row>
    <row r="162">
      <c r="A162" s="40">
        <f t="array" ref="A162">IFNA(index(PlayerValues!A:A,match(IFNA(vlookup(B162,'Special Names'!A:B,2,FALSE),B162),PlayerValues!E:E,0)),"N/A")</f>
        <v>16193</v>
      </c>
      <c r="B162" s="4" t="s">
        <v>487</v>
      </c>
      <c r="C162" s="4" t="s">
        <v>287</v>
      </c>
      <c r="D162" s="94">
        <v>2893.0</v>
      </c>
    </row>
    <row r="163">
      <c r="A163" s="40" t="str">
        <f t="array" ref="A163">IFNA(index(PlayerValues!A:A,match(IFNA(vlookup(B163,'Special Names'!A:B,2,FALSE),B163),PlayerValues!E:E,0)),"N/A")</f>
        <v>N/A</v>
      </c>
      <c r="B163" s="4" t="s">
        <v>85</v>
      </c>
      <c r="C163" s="4" t="s">
        <v>325</v>
      </c>
      <c r="D163" s="94">
        <v>2877.0</v>
      </c>
    </row>
    <row r="164">
      <c r="A164" s="40">
        <f t="array" ref="A164">IFNA(index(PlayerValues!A:A,match(IFNA(vlookup(B164,'Special Names'!A:B,2,FALSE),B164),PlayerValues!E:E,0)),"N/A")</f>
        <v>13163</v>
      </c>
      <c r="B164" s="4" t="s">
        <v>473</v>
      </c>
      <c r="C164" s="4" t="s">
        <v>287</v>
      </c>
      <c r="D164" s="94">
        <v>2873.0</v>
      </c>
    </row>
    <row r="165">
      <c r="A165" s="40">
        <f t="array" ref="A165">IFNA(index(PlayerValues!A:A,match(IFNA(vlookup(B165,'Special Names'!A:B,2,FALSE),B165),PlayerValues!E:E,0)),"N/A")</f>
        <v>16619</v>
      </c>
      <c r="B165" s="4" t="s">
        <v>538</v>
      </c>
      <c r="C165" s="4" t="s">
        <v>287</v>
      </c>
      <c r="D165" s="94">
        <v>2862.0</v>
      </c>
    </row>
    <row r="166">
      <c r="A166" s="40">
        <f t="array" ref="A166">IFNA(index(PlayerValues!A:A,match(IFNA(vlookup(B166,'Special Names'!A:B,2,FALSE),B166),PlayerValues!E:E,0)),"N/A")</f>
        <v>17107</v>
      </c>
      <c r="B166" s="4" t="s">
        <v>478</v>
      </c>
      <c r="C166" s="4" t="s">
        <v>298</v>
      </c>
      <c r="D166" s="94">
        <v>3281.0</v>
      </c>
    </row>
    <row r="167">
      <c r="A167" s="40">
        <f t="array" ref="A167">IFNA(index(PlayerValues!A:A,match(IFNA(vlookup(B167,'Special Names'!A:B,2,FALSE),B167),PlayerValues!E:E,0)),"N/A")</f>
        <v>17031</v>
      </c>
      <c r="B167" s="4" t="s">
        <v>535</v>
      </c>
      <c r="C167" s="4" t="s">
        <v>283</v>
      </c>
      <c r="D167" s="94">
        <v>2846.0</v>
      </c>
    </row>
    <row r="168">
      <c r="A168" s="40">
        <f t="array" ref="A168">IFNA(index(PlayerValues!A:A,match(IFNA(vlookup(B168,'Special Names'!A:B,2,FALSE),B168),PlayerValues!E:E,0)),"N/A")</f>
        <v>17072</v>
      </c>
      <c r="B168" s="4" t="s">
        <v>508</v>
      </c>
      <c r="C168" s="4" t="s">
        <v>287</v>
      </c>
      <c r="D168" s="94">
        <v>2843.0</v>
      </c>
    </row>
    <row r="169">
      <c r="A169" s="40">
        <f t="array" ref="A169">IFNA(index(PlayerValues!A:A,match(IFNA(vlookup(B169,'Special Names'!A:B,2,FALSE),B169),PlayerValues!E:E,0)),"N/A")</f>
        <v>17157</v>
      </c>
      <c r="B169" s="4" t="s">
        <v>524</v>
      </c>
      <c r="C169" s="4" t="s">
        <v>287</v>
      </c>
      <c r="D169" s="94">
        <v>2836.0</v>
      </c>
    </row>
    <row r="170">
      <c r="A170" s="40">
        <f t="array" ref="A170">IFNA(index(PlayerValues!A:A,match(IFNA(vlookup(B170,'Special Names'!A:B,2,FALSE),B170),PlayerValues!E:E,0)),"N/A")</f>
        <v>17256</v>
      </c>
      <c r="B170" s="4" t="s">
        <v>462</v>
      </c>
      <c r="C170" s="4" t="s">
        <v>278</v>
      </c>
      <c r="D170" s="94">
        <v>2832.0</v>
      </c>
    </row>
    <row r="171">
      <c r="A171" s="40">
        <f t="array" ref="A171">IFNA(index(PlayerValues!A:A,match(IFNA(vlookup(B171,'Special Names'!A:B,2,FALSE),B171),PlayerValues!E:E,0)),"N/A")</f>
        <v>14860</v>
      </c>
      <c r="B171" s="4" t="s">
        <v>554</v>
      </c>
      <c r="C171" s="4" t="s">
        <v>287</v>
      </c>
      <c r="D171" s="94">
        <v>2823.0</v>
      </c>
    </row>
    <row r="172">
      <c r="A172" s="40">
        <f t="array" ref="A172">IFNA(index(PlayerValues!A:A,match(IFNA(vlookup(B172,'Special Names'!A:B,2,FALSE),B172),PlayerValues!E:E,0)),"N/A")</f>
        <v>17053</v>
      </c>
      <c r="B172" s="4" t="s">
        <v>484</v>
      </c>
      <c r="C172" s="4" t="s">
        <v>278</v>
      </c>
      <c r="D172" s="94">
        <v>2818.0</v>
      </c>
    </row>
    <row r="173">
      <c r="A173" s="40">
        <f t="array" ref="A173">IFNA(index(PlayerValues!A:A,match(IFNA(vlookup(B173,'Special Names'!A:B,2,FALSE),B173),PlayerValues!E:E,0)),"N/A")</f>
        <v>17073</v>
      </c>
      <c r="B173" s="4" t="s">
        <v>547</v>
      </c>
      <c r="C173" s="4" t="s">
        <v>287</v>
      </c>
      <c r="D173" s="94">
        <v>2814.0</v>
      </c>
    </row>
    <row r="174">
      <c r="A174" s="40">
        <f t="array" ref="A174">IFNA(index(PlayerValues!A:A,match(IFNA(vlookup(B174,'Special Names'!A:B,2,FALSE),B174),PlayerValues!E:E,0)),"N/A")</f>
        <v>17080</v>
      </c>
      <c r="B174" s="4" t="s">
        <v>532</v>
      </c>
      <c r="C174" s="4" t="s">
        <v>287</v>
      </c>
      <c r="D174" s="94">
        <v>2805.0</v>
      </c>
    </row>
    <row r="175">
      <c r="A175" s="40">
        <f t="array" ref="A175">IFNA(index(PlayerValues!A:A,match(IFNA(vlookup(B175,'Special Names'!A:B,2,FALSE),B175),PlayerValues!E:E,0)),"N/A")</f>
        <v>17082</v>
      </c>
      <c r="B175" s="4" t="s">
        <v>498</v>
      </c>
      <c r="C175" s="4" t="s">
        <v>287</v>
      </c>
      <c r="D175" s="94">
        <v>2790.0</v>
      </c>
    </row>
    <row r="176">
      <c r="A176" s="40">
        <f t="array" ref="A176">IFNA(index(PlayerValues!A:A,match(IFNA(vlookup(B176,'Special Names'!A:B,2,FALSE),B176),PlayerValues!E:E,0)),"N/A")</f>
        <v>14138</v>
      </c>
      <c r="B176" s="4" t="s">
        <v>531</v>
      </c>
      <c r="C176" s="4" t="s">
        <v>298</v>
      </c>
      <c r="D176" s="94">
        <v>3203.0</v>
      </c>
    </row>
    <row r="177">
      <c r="A177" s="40">
        <f t="array" ref="A177">IFNA(index(PlayerValues!A:A,match(IFNA(vlookup(B177,'Special Names'!A:B,2,FALSE),B177),PlayerValues!E:E,0)),"N/A")</f>
        <v>12616</v>
      </c>
      <c r="B177" s="4" t="s">
        <v>529</v>
      </c>
      <c r="C177" s="4" t="s">
        <v>283</v>
      </c>
      <c r="D177" s="94">
        <v>2772.0</v>
      </c>
    </row>
    <row r="178">
      <c r="A178" s="40">
        <f t="array" ref="A178">IFNA(index(PlayerValues!A:A,match(IFNA(vlookup(B178,'Special Names'!A:B,2,FALSE),B178),PlayerValues!E:E,0)),"N/A")</f>
        <v>17477</v>
      </c>
      <c r="B178" s="4" t="s">
        <v>452</v>
      </c>
      <c r="C178" s="4" t="s">
        <v>278</v>
      </c>
      <c r="D178" s="94">
        <v>2766.0</v>
      </c>
    </row>
    <row r="179">
      <c r="A179" s="40">
        <f t="array" ref="A179">IFNA(index(PlayerValues!A:A,match(IFNA(vlookup(B179,'Special Names'!A:B,2,FALSE),B179),PlayerValues!E:E,0)),"N/A")</f>
        <v>15889</v>
      </c>
      <c r="B179" s="4" t="s">
        <v>503</v>
      </c>
      <c r="C179" s="4" t="s">
        <v>298</v>
      </c>
      <c r="D179" s="94">
        <v>3173.0</v>
      </c>
    </row>
    <row r="180">
      <c r="A180" s="40">
        <f t="array" ref="A180">IFNA(index(PlayerValues!A:A,match(IFNA(vlookup(B180,'Special Names'!A:B,2,FALSE),B180),PlayerValues!E:E,0)),"N/A")</f>
        <v>17098</v>
      </c>
      <c r="B180" s="4" t="s">
        <v>533</v>
      </c>
      <c r="C180" s="4" t="s">
        <v>287</v>
      </c>
      <c r="D180" s="94">
        <v>2747.0</v>
      </c>
    </row>
    <row r="181">
      <c r="A181" s="40">
        <f t="array" ref="A181">IFNA(index(PlayerValues!A:A,match(IFNA(vlookup(B181,'Special Names'!A:B,2,FALSE),B181),PlayerValues!E:E,0)),"N/A")</f>
        <v>16596</v>
      </c>
      <c r="B181" s="4" t="s">
        <v>501</v>
      </c>
      <c r="C181" s="4" t="s">
        <v>278</v>
      </c>
      <c r="D181" s="94">
        <v>2740.0</v>
      </c>
    </row>
    <row r="182">
      <c r="A182" s="40">
        <f t="array" ref="A182">IFNA(index(PlayerValues!A:A,match(IFNA(vlookup(B182,'Special Names'!A:B,2,FALSE),B182),PlayerValues!E:E,0)),"N/A")</f>
        <v>13671</v>
      </c>
      <c r="B182" s="4" t="s">
        <v>506</v>
      </c>
      <c r="C182" s="4" t="s">
        <v>298</v>
      </c>
      <c r="D182" s="94">
        <v>3151.0</v>
      </c>
    </row>
    <row r="183">
      <c r="A183" s="40">
        <f t="array" ref="A183">IFNA(index(PlayerValues!A:A,match(IFNA(vlookup(B183,'Special Names'!A:B,2,FALSE),B183),PlayerValues!E:E,0)),"N/A")</f>
        <v>17171</v>
      </c>
      <c r="B183" s="4" t="s">
        <v>561</v>
      </c>
      <c r="C183" s="4" t="s">
        <v>287</v>
      </c>
      <c r="D183" s="94">
        <v>2733.0</v>
      </c>
    </row>
    <row r="184">
      <c r="A184" s="40" t="str">
        <f t="array" ref="A184">IFNA(index(PlayerValues!A:A,match(IFNA(vlookup(B184,'Special Names'!A:B,2,FALSE),B184),PlayerValues!E:E,0)),"N/A")</f>
        <v>N/A</v>
      </c>
      <c r="B184" s="4" t="s">
        <v>110</v>
      </c>
      <c r="C184" s="4" t="s">
        <v>325</v>
      </c>
      <c r="D184" s="94">
        <v>2727.0</v>
      </c>
    </row>
    <row r="185">
      <c r="A185" s="40">
        <f t="array" ref="A185">IFNA(index(PlayerValues!A:A,match(IFNA(vlookup(B185,'Special Names'!A:B,2,FALSE),B185),PlayerValues!E:E,0)),"N/A")</f>
        <v>14778</v>
      </c>
      <c r="B185" s="4" t="s">
        <v>564</v>
      </c>
      <c r="C185" s="4" t="s">
        <v>283</v>
      </c>
      <c r="D185" s="94">
        <v>2725.0</v>
      </c>
    </row>
    <row r="186">
      <c r="A186" s="40">
        <f t="array" ref="A186">IFNA(index(PlayerValues!A:A,match(IFNA(vlookup(B186,'Special Names'!A:B,2,FALSE),B186),PlayerValues!E:E,0)),"N/A")</f>
        <v>16594</v>
      </c>
      <c r="B186" s="4" t="s">
        <v>607</v>
      </c>
      <c r="C186" s="4" t="s">
        <v>278</v>
      </c>
      <c r="D186" s="94">
        <v>2717.0</v>
      </c>
    </row>
    <row r="187">
      <c r="A187" s="40">
        <f t="array" ref="A187">IFNA(index(PlayerValues!A:A,match(IFNA(vlookup(B187,'Special Names'!A:B,2,FALSE),B187),PlayerValues!E:E,0)),"N/A")</f>
        <v>17047</v>
      </c>
      <c r="B187" s="4" t="s">
        <v>510</v>
      </c>
      <c r="C187" s="4" t="s">
        <v>278</v>
      </c>
      <c r="D187" s="94">
        <v>2716.0</v>
      </c>
    </row>
    <row r="188">
      <c r="A188" s="40">
        <f t="array" ref="A188">IFNA(index(PlayerValues!A:A,match(IFNA(vlookup(B188,'Special Names'!A:B,2,FALSE),B188),PlayerValues!E:E,0)),"N/A")</f>
        <v>14833</v>
      </c>
      <c r="B188" s="4" t="s">
        <v>553</v>
      </c>
      <c r="C188" s="4" t="s">
        <v>287</v>
      </c>
      <c r="D188" s="94">
        <v>2714.0</v>
      </c>
    </row>
    <row r="189">
      <c r="A189" s="40">
        <f t="array" ref="A189">IFNA(index(PlayerValues!A:A,match(IFNA(vlookup(B189,'Special Names'!A:B,2,FALSE),B189),PlayerValues!E:E,0)),"N/A")</f>
        <v>15972</v>
      </c>
      <c r="B189" s="4" t="s">
        <v>469</v>
      </c>
      <c r="C189" s="4" t="s">
        <v>278</v>
      </c>
      <c r="D189" s="94">
        <v>2714.0</v>
      </c>
    </row>
    <row r="190">
      <c r="A190" s="40">
        <f t="array" ref="A190">IFNA(index(PlayerValues!A:A,match(IFNA(vlookup(B190,'Special Names'!A:B,2,FALSE),B190),PlayerValues!E:E,0)),"N/A")</f>
        <v>16626</v>
      </c>
      <c r="B190" s="4" t="s">
        <v>515</v>
      </c>
      <c r="C190" s="4" t="s">
        <v>287</v>
      </c>
      <c r="D190" s="94">
        <v>2712.0</v>
      </c>
    </row>
    <row r="191">
      <c r="A191" s="40">
        <f t="array" ref="A191">IFNA(index(PlayerValues!A:A,match(IFNA(vlookup(B191,'Special Names'!A:B,2,FALSE),B191),PlayerValues!E:E,0)),"N/A")</f>
        <v>15721</v>
      </c>
      <c r="B191" s="4" t="s">
        <v>504</v>
      </c>
      <c r="C191" s="4" t="s">
        <v>278</v>
      </c>
      <c r="D191" s="94">
        <v>2708.0</v>
      </c>
    </row>
    <row r="192">
      <c r="A192" s="40">
        <f t="array" ref="A192">IFNA(index(PlayerValues!A:A,match(IFNA(vlookup(B192,'Special Names'!A:B,2,FALSE),B192),PlayerValues!E:E,0)),"N/A")</f>
        <v>13192</v>
      </c>
      <c r="B192" s="4" t="s">
        <v>563</v>
      </c>
      <c r="C192" s="4" t="s">
        <v>298</v>
      </c>
      <c r="D192" s="94">
        <v>3118.0</v>
      </c>
    </row>
    <row r="193">
      <c r="A193" s="40">
        <f t="array" ref="A193">IFNA(index(PlayerValues!A:A,match(IFNA(vlookup(B193,'Special Names'!A:B,2,FALSE),B193),PlayerValues!E:E,0)),"N/A")</f>
        <v>17134</v>
      </c>
      <c r="B193" s="4" t="s">
        <v>548</v>
      </c>
      <c r="C193" s="4" t="s">
        <v>287</v>
      </c>
      <c r="D193" s="94">
        <v>2698.0</v>
      </c>
    </row>
    <row r="194">
      <c r="A194" s="40">
        <f t="array" ref="A194">IFNA(index(PlayerValues!A:A,match(IFNA(vlookup(B194,'Special Names'!A:B,2,FALSE),B194),PlayerValues!E:E,0)),"N/A")</f>
        <v>14085</v>
      </c>
      <c r="B194" s="4" t="s">
        <v>489</v>
      </c>
      <c r="C194" s="4" t="s">
        <v>278</v>
      </c>
      <c r="D194" s="94">
        <v>2668.0</v>
      </c>
    </row>
    <row r="195">
      <c r="A195" s="40">
        <f t="array" ref="A195">IFNA(index(PlayerValues!A:A,match(IFNA(vlookup(B195,'Special Names'!A:B,2,FALSE),B195),PlayerValues!E:E,0)),"N/A")</f>
        <v>16165</v>
      </c>
      <c r="B195" s="4" t="s">
        <v>520</v>
      </c>
      <c r="C195" s="4" t="s">
        <v>278</v>
      </c>
      <c r="D195" s="94">
        <v>2651.0</v>
      </c>
    </row>
    <row r="196">
      <c r="A196" s="40">
        <f t="array" ref="A196">IFNA(index(PlayerValues!A:A,match(IFNA(vlookup(B196,'Special Names'!A:B,2,FALSE),B196),PlayerValues!E:E,0)),"N/A")</f>
        <v>13674</v>
      </c>
      <c r="B196" s="4" t="s">
        <v>511</v>
      </c>
      <c r="C196" s="4" t="s">
        <v>298</v>
      </c>
      <c r="D196" s="94">
        <v>3048.0</v>
      </c>
    </row>
    <row r="197">
      <c r="A197" s="40">
        <f t="array" ref="A197">IFNA(index(PlayerValues!A:A,match(IFNA(vlookup(B197,'Special Names'!A:B,2,FALSE),B197),PlayerValues!E:E,0)),"N/A")</f>
        <v>17544</v>
      </c>
      <c r="B197" s="4" t="s">
        <v>470</v>
      </c>
      <c r="C197" s="4" t="s">
        <v>298</v>
      </c>
      <c r="D197" s="94">
        <v>3038.0</v>
      </c>
    </row>
    <row r="198">
      <c r="A198" s="40">
        <f t="array" ref="A198">IFNA(index(PlayerValues!A:A,match(IFNA(vlookup(B198,'Special Names'!A:B,2,FALSE),B198),PlayerValues!E:E,0)),"N/A")</f>
        <v>16747</v>
      </c>
      <c r="B198" s="4" t="s">
        <v>555</v>
      </c>
      <c r="C198" s="4" t="s">
        <v>278</v>
      </c>
      <c r="D198" s="94">
        <v>2589.0</v>
      </c>
    </row>
    <row r="199">
      <c r="A199" s="40">
        <f t="array" ref="A199">IFNA(index(PlayerValues!A:A,match(IFNA(vlookup(B199,'Special Names'!A:B,2,FALSE),B199),PlayerValues!E:E,0)),"N/A")</f>
        <v>14840</v>
      </c>
      <c r="B199" s="4" t="s">
        <v>731</v>
      </c>
      <c r="C199" s="4" t="s">
        <v>287</v>
      </c>
      <c r="D199" s="94">
        <v>2579.0</v>
      </c>
    </row>
    <row r="200">
      <c r="A200" s="40">
        <f t="array" ref="A200">IFNA(index(PlayerValues!A:A,match(IFNA(vlookup(B200,'Special Names'!A:B,2,FALSE),B200),PlayerValues!E:E,0)),"N/A")</f>
        <v>17105</v>
      </c>
      <c r="B200" s="4" t="s">
        <v>525</v>
      </c>
      <c r="C200" s="4" t="s">
        <v>298</v>
      </c>
      <c r="D200" s="94">
        <v>2973.0</v>
      </c>
    </row>
    <row r="201">
      <c r="A201" s="40" t="str">
        <f t="array" ref="A201">IFNA(index(PlayerValues!A:A,match(IFNA(vlookup(B201,'Special Names'!A:B,2,FALSE),B201),PlayerValues!E:E,0)),"N/A")</f>
        <v>N/A</v>
      </c>
      <c r="B201" s="4" t="s">
        <v>98</v>
      </c>
      <c r="C201" s="4" t="s">
        <v>325</v>
      </c>
      <c r="D201" s="94">
        <v>2562.0</v>
      </c>
    </row>
    <row r="202">
      <c r="A202" s="40">
        <f t="array" ref="A202">IFNA(index(PlayerValues!A:A,match(IFNA(vlookup(B202,'Special Names'!A:B,2,FALSE),B202),PlayerValues!E:E,0)),"N/A")</f>
        <v>16617</v>
      </c>
      <c r="B202" s="4" t="s">
        <v>541</v>
      </c>
      <c r="C202" s="4" t="s">
        <v>287</v>
      </c>
      <c r="D202" s="94">
        <v>2552.0</v>
      </c>
    </row>
    <row r="203">
      <c r="A203" s="40">
        <f t="array" ref="A203">IFNA(index(PlayerValues!A:A,match(IFNA(vlookup(B203,'Special Names'!A:B,2,FALSE),B203),PlayerValues!E:E,0)),"N/A")</f>
        <v>17108</v>
      </c>
      <c r="B203" s="4" t="s">
        <v>542</v>
      </c>
      <c r="C203" s="4" t="s">
        <v>298</v>
      </c>
      <c r="D203" s="94">
        <v>2954.0</v>
      </c>
    </row>
    <row r="204">
      <c r="A204" s="40">
        <f t="array" ref="A204">IFNA(index(PlayerValues!A:A,match(IFNA(vlookup(B204,'Special Names'!A:B,2,FALSE),B204),PlayerValues!E:E,0)),"N/A")</f>
        <v>16178</v>
      </c>
      <c r="B204" s="4" t="s">
        <v>507</v>
      </c>
      <c r="C204" s="4" t="s">
        <v>278</v>
      </c>
      <c r="D204" s="94">
        <v>2535.0</v>
      </c>
    </row>
    <row r="205">
      <c r="A205" s="40">
        <f t="array" ref="A205">IFNA(index(PlayerValues!A:A,match(IFNA(vlookup(B205,'Special Names'!A:B,2,FALSE),B205),PlayerValues!E:E,0)),"N/A")</f>
        <v>16164</v>
      </c>
      <c r="B205" s="4" t="s">
        <v>512</v>
      </c>
      <c r="C205" s="4" t="s">
        <v>278</v>
      </c>
      <c r="D205" s="94">
        <v>2529.0</v>
      </c>
    </row>
    <row r="206">
      <c r="A206" s="40" t="str">
        <f t="array" ref="A206">IFNA(index(PlayerValues!A:A,match(IFNA(vlookup(B206,'Special Names'!A:B,2,FALSE),B206),PlayerValues!E:E,0)),"N/A")</f>
        <v>N/A</v>
      </c>
      <c r="B206" s="4" t="s">
        <v>557</v>
      </c>
      <c r="C206" s="4" t="s">
        <v>278</v>
      </c>
      <c r="D206" s="94">
        <v>2525.0</v>
      </c>
    </row>
    <row r="207">
      <c r="A207" s="40">
        <f t="array" ref="A207">IFNA(index(PlayerValues!A:A,match(IFNA(vlookup(B207,'Special Names'!A:B,2,FALSE),B207),PlayerValues!E:E,0)),"N/A")</f>
        <v>14136</v>
      </c>
      <c r="B207" s="4" t="s">
        <v>536</v>
      </c>
      <c r="C207" s="4" t="s">
        <v>287</v>
      </c>
      <c r="D207" s="94">
        <v>2517.0</v>
      </c>
    </row>
    <row r="208">
      <c r="A208" s="40">
        <f t="array" ref="A208">IFNA(index(PlayerValues!A:A,match(IFNA(vlookup(B208,'Special Names'!A:B,2,FALSE),B208),PlayerValues!E:E,0)),"N/A")</f>
        <v>16204</v>
      </c>
      <c r="B208" s="4" t="s">
        <v>530</v>
      </c>
      <c r="C208" s="4" t="s">
        <v>287</v>
      </c>
      <c r="D208" s="94">
        <v>2514.0</v>
      </c>
    </row>
    <row r="209">
      <c r="A209" s="40">
        <f t="array" ref="A209">IFNA(index(PlayerValues!A:A,match(IFNA(vlookup(B209,'Special Names'!A:B,2,FALSE),B209),PlayerValues!E:E,0)),"N/A")</f>
        <v>15802</v>
      </c>
      <c r="B209" s="4" t="s">
        <v>566</v>
      </c>
      <c r="C209" s="4" t="s">
        <v>298</v>
      </c>
      <c r="D209" s="94">
        <v>2919.0</v>
      </c>
    </row>
    <row r="210">
      <c r="A210" s="40">
        <f t="array" ref="A210">IFNA(index(PlayerValues!A:A,match(IFNA(vlookup(B210,'Special Names'!A:B,2,FALSE),B210),PlayerValues!E:E,0)),"N/A")</f>
        <v>16152</v>
      </c>
      <c r="B210" s="4" t="s">
        <v>601</v>
      </c>
      <c r="C210" s="4" t="s">
        <v>283</v>
      </c>
      <c r="D210" s="94">
        <v>2510.0</v>
      </c>
    </row>
    <row r="211">
      <c r="A211" s="40">
        <f t="array" ref="A211">IFNA(index(PlayerValues!A:A,match(IFNA(vlookup(B211,'Special Names'!A:B,2,FALSE),B211),PlayerValues!E:E,0)),"N/A")</f>
        <v>16166</v>
      </c>
      <c r="B211" s="4" t="s">
        <v>567</v>
      </c>
      <c r="C211" s="4" t="s">
        <v>278</v>
      </c>
      <c r="D211" s="94">
        <v>2494.0</v>
      </c>
    </row>
    <row r="212">
      <c r="A212" s="40">
        <f t="array" ref="A212">IFNA(index(PlayerValues!A:A,match(IFNA(vlookup(B212,'Special Names'!A:B,2,FALSE),B212),PlayerValues!E:E,0)),"N/A")</f>
        <v>16757</v>
      </c>
      <c r="B212" s="4" t="s">
        <v>558</v>
      </c>
      <c r="C212" s="4" t="s">
        <v>278</v>
      </c>
      <c r="D212" s="94">
        <v>2469.0</v>
      </c>
    </row>
    <row r="213">
      <c r="A213" s="40">
        <f t="array" ref="A213">IFNA(index(PlayerValues!A:A,match(IFNA(vlookup(B213,'Special Names'!A:B,2,FALSE),B213),PlayerValues!E:E,0)),"N/A")</f>
        <v>16287</v>
      </c>
      <c r="B213" s="4" t="s">
        <v>516</v>
      </c>
      <c r="C213" s="4" t="s">
        <v>287</v>
      </c>
      <c r="D213" s="94">
        <v>2460.0</v>
      </c>
    </row>
    <row r="214">
      <c r="A214" s="40">
        <f t="array" ref="A214">IFNA(index(PlayerValues!A:A,match(IFNA(vlookup(B214,'Special Names'!A:B,2,FALSE),B214),PlayerValues!E:E,0)),"N/A")</f>
        <v>17033</v>
      </c>
      <c r="B214" s="4" t="s">
        <v>570</v>
      </c>
      <c r="C214" s="4" t="s">
        <v>283</v>
      </c>
      <c r="D214" s="94">
        <v>2457.0</v>
      </c>
    </row>
    <row r="215">
      <c r="A215" s="40">
        <f t="array" ref="A215">IFNA(index(PlayerValues!A:A,match(IFNA(vlookup(B215,'Special Names'!A:B,2,FALSE),B215),PlayerValues!E:E,0)),"N/A")</f>
        <v>11244</v>
      </c>
      <c r="B215" s="4" t="s">
        <v>519</v>
      </c>
      <c r="C215" s="4" t="s">
        <v>298</v>
      </c>
      <c r="D215" s="94">
        <v>2859.0</v>
      </c>
    </row>
    <row r="216">
      <c r="A216" s="40">
        <f t="array" ref="A216">IFNA(index(PlayerValues!A:A,match(IFNA(vlookup(B216,'Special Names'!A:B,2,FALSE),B216),PlayerValues!E:E,0)),"N/A")</f>
        <v>17476</v>
      </c>
      <c r="B216" s="4" t="s">
        <v>494</v>
      </c>
      <c r="C216" s="4" t="s">
        <v>278</v>
      </c>
      <c r="D216" s="94">
        <v>2447.0</v>
      </c>
    </row>
    <row r="217">
      <c r="A217" s="40">
        <f t="array" ref="A217">IFNA(index(PlayerValues!A:A,match(IFNA(vlookup(B217,'Special Names'!A:B,2,FALSE),B217),PlayerValues!E:E,0)),"N/A")</f>
        <v>16649</v>
      </c>
      <c r="B217" s="4" t="s">
        <v>586</v>
      </c>
      <c r="C217" s="4" t="s">
        <v>298</v>
      </c>
      <c r="D217" s="94">
        <v>2845.0</v>
      </c>
    </row>
    <row r="218">
      <c r="A218" s="40">
        <f t="array" ref="A218">IFNA(index(PlayerValues!A:A,match(IFNA(vlookup(B218,'Special Names'!A:B,2,FALSE),B218),PlayerValues!E:E,0)),"N/A")</f>
        <v>14861</v>
      </c>
      <c r="B218" s="4" t="s">
        <v>523</v>
      </c>
      <c r="C218" s="4" t="s">
        <v>298</v>
      </c>
      <c r="D218" s="94">
        <v>2833.0</v>
      </c>
    </row>
    <row r="219">
      <c r="A219" s="40">
        <f t="array" ref="A219">IFNA(index(PlayerValues!A:A,match(IFNA(vlookup(B219,'Special Names'!A:B,2,FALSE),B219),PlayerValues!E:E,0)),"N/A")</f>
        <v>16684</v>
      </c>
      <c r="B219" s="4" t="s">
        <v>500</v>
      </c>
      <c r="C219" s="4" t="s">
        <v>287</v>
      </c>
      <c r="D219" s="94">
        <v>2429.0</v>
      </c>
    </row>
    <row r="220">
      <c r="A220" s="40">
        <f t="array" ref="A220">IFNA(index(PlayerValues!A:A,match(IFNA(vlookup(B220,'Special Names'!A:B,2,FALSE),B220),PlayerValues!E:E,0)),"N/A")</f>
        <v>16189</v>
      </c>
      <c r="B220" s="4" t="s">
        <v>582</v>
      </c>
      <c r="C220" s="4" t="s">
        <v>287</v>
      </c>
      <c r="D220" s="94">
        <v>2413.0</v>
      </c>
    </row>
    <row r="221">
      <c r="A221" s="40">
        <f t="array" ref="A221">IFNA(index(PlayerValues!A:A,match(IFNA(vlookup(B221,'Special Names'!A:B,2,FALSE),B221),PlayerValues!E:E,0)),"N/A")</f>
        <v>17505</v>
      </c>
      <c r="B221" s="4" t="s">
        <v>528</v>
      </c>
      <c r="C221" s="4" t="s">
        <v>287</v>
      </c>
      <c r="D221" s="94">
        <v>2413.0</v>
      </c>
    </row>
    <row r="222">
      <c r="A222" s="40">
        <f t="array" ref="A222">IFNA(index(PlayerValues!A:A,match(IFNA(vlookup(B222,'Special Names'!A:B,2,FALSE),B222),PlayerValues!E:E,0)),"N/A")</f>
        <v>16036</v>
      </c>
      <c r="B222" s="4" t="s">
        <v>592</v>
      </c>
      <c r="C222" s="4" t="s">
        <v>298</v>
      </c>
      <c r="D222" s="94">
        <v>2801.0</v>
      </c>
    </row>
    <row r="223">
      <c r="A223" s="40" t="str">
        <f t="array" ref="A223">IFNA(index(PlayerValues!A:A,match(IFNA(vlookup(B223,'Special Names'!A:B,2,FALSE),B223),PlayerValues!E:E,0)),"N/A")</f>
        <v>N/A</v>
      </c>
      <c r="B223" s="4" t="s">
        <v>86</v>
      </c>
      <c r="C223" s="4" t="s">
        <v>325</v>
      </c>
      <c r="D223" s="94">
        <v>2400.0</v>
      </c>
    </row>
    <row r="224">
      <c r="A224" s="40" t="str">
        <f t="array" ref="A224">IFNA(index(PlayerValues!A:A,match(IFNA(vlookup(B224,'Special Names'!A:B,2,FALSE),B224),PlayerValues!E:E,0)),"N/A")</f>
        <v>N/A</v>
      </c>
      <c r="B224" s="4" t="s">
        <v>99</v>
      </c>
      <c r="C224" s="4" t="s">
        <v>325</v>
      </c>
      <c r="D224" s="94">
        <v>2397.0</v>
      </c>
    </row>
    <row r="225">
      <c r="A225" s="40">
        <f t="array" ref="A225">IFNA(index(PlayerValues!A:A,match(IFNA(vlookup(B225,'Special Names'!A:B,2,FALSE),B225),PlayerValues!E:E,0)),"N/A")</f>
        <v>17078</v>
      </c>
      <c r="B225" s="4" t="s">
        <v>543</v>
      </c>
      <c r="C225" s="4" t="s">
        <v>287</v>
      </c>
      <c r="D225" s="94">
        <v>2397.0</v>
      </c>
    </row>
    <row r="226">
      <c r="A226" s="40">
        <f t="array" ref="A226">IFNA(index(PlayerValues!A:A,match(IFNA(vlookup(B226,'Special Names'!A:B,2,FALSE),B226),PlayerValues!E:E,0)),"N/A")</f>
        <v>15749</v>
      </c>
      <c r="B226" s="4" t="s">
        <v>574</v>
      </c>
      <c r="C226" s="4" t="s">
        <v>278</v>
      </c>
      <c r="D226" s="94">
        <v>2396.0</v>
      </c>
    </row>
    <row r="227">
      <c r="A227" s="40">
        <f t="array" ref="A227">IFNA(index(PlayerValues!A:A,match(IFNA(vlookup(B227,'Special Names'!A:B,2,FALSE),B227),PlayerValues!E:E,0)),"N/A")</f>
        <v>17048</v>
      </c>
      <c r="B227" s="4" t="s">
        <v>539</v>
      </c>
      <c r="C227" s="4" t="s">
        <v>278</v>
      </c>
      <c r="D227" s="94">
        <v>2388.0</v>
      </c>
    </row>
    <row r="228">
      <c r="A228" s="40">
        <f t="array" ref="A228">IFNA(index(PlayerValues!A:A,match(IFNA(vlookup(B228,'Special Names'!A:B,2,FALSE),B228),PlayerValues!E:E,0)),"N/A")</f>
        <v>15786</v>
      </c>
      <c r="B228" s="4" t="s">
        <v>521</v>
      </c>
      <c r="C228" s="4" t="s">
        <v>287</v>
      </c>
      <c r="D228" s="94">
        <v>2377.0</v>
      </c>
    </row>
    <row r="229">
      <c r="A229" s="40">
        <f t="array" ref="A229">IFNA(index(PlayerValues!A:A,match(IFNA(vlookup(B229,'Special Names'!A:B,2,FALSE),B229),PlayerValues!E:E,0)),"N/A")</f>
        <v>16610</v>
      </c>
      <c r="B229" s="4" t="s">
        <v>562</v>
      </c>
      <c r="C229" s="4" t="s">
        <v>278</v>
      </c>
      <c r="D229" s="94">
        <v>2348.0</v>
      </c>
    </row>
    <row r="230">
      <c r="A230" s="40">
        <f t="array" ref="A230">IFNA(index(PlayerValues!A:A,match(IFNA(vlookup(B230,'Special Names'!A:B,2,FALSE),B230),PlayerValues!E:E,0)),"N/A")</f>
        <v>12676</v>
      </c>
      <c r="B230" s="4" t="s">
        <v>537</v>
      </c>
      <c r="C230" s="4" t="s">
        <v>298</v>
      </c>
      <c r="D230" s="94">
        <v>2741.0</v>
      </c>
    </row>
    <row r="231">
      <c r="A231" s="40">
        <f t="array" ref="A231">IFNA(index(PlayerValues!A:A,match(IFNA(vlookup(B231,'Special Names'!A:B,2,FALSE),B231),PlayerValues!E:E,0)),"N/A")</f>
        <v>16195</v>
      </c>
      <c r="B231" s="4" t="s">
        <v>509</v>
      </c>
      <c r="C231" s="4" t="s">
        <v>287</v>
      </c>
      <c r="D231" s="94">
        <v>2342.0</v>
      </c>
    </row>
    <row r="232">
      <c r="A232" s="40">
        <f t="array" ref="A232">IFNA(index(PlayerValues!A:A,match(IFNA(vlookup(B232,'Special Names'!A:B,2,FALSE),B232),PlayerValues!E:E,0)),"N/A")</f>
        <v>16212</v>
      </c>
      <c r="B232" s="4" t="s">
        <v>568</v>
      </c>
      <c r="C232" s="4" t="s">
        <v>298</v>
      </c>
      <c r="D232" s="94">
        <v>2711.0</v>
      </c>
    </row>
    <row r="233">
      <c r="A233" s="40">
        <f t="array" ref="A233">IFNA(index(PlayerValues!A:A,match(IFNA(vlookup(B233,'Special Names'!A:B,2,FALSE),B233),PlayerValues!E:E,0)),"N/A")</f>
        <v>17046</v>
      </c>
      <c r="B233" s="4" t="s">
        <v>602</v>
      </c>
      <c r="C233" s="4" t="s">
        <v>278</v>
      </c>
      <c r="D233" s="94">
        <v>2314.0</v>
      </c>
    </row>
    <row r="234">
      <c r="A234" s="40">
        <f t="array" ref="A234">IFNA(index(PlayerValues!A:A,match(IFNA(vlookup(B234,'Special Names'!A:B,2,FALSE),B234),PlayerValues!E:E,0)),"N/A")</f>
        <v>12801</v>
      </c>
      <c r="B234" s="4" t="s">
        <v>722</v>
      </c>
      <c r="C234" s="4" t="s">
        <v>287</v>
      </c>
      <c r="D234" s="94">
        <v>2305.0</v>
      </c>
    </row>
    <row r="235">
      <c r="A235" s="40">
        <f t="array" ref="A235">IFNA(index(PlayerValues!A:A,match(IFNA(vlookup(B235,'Special Names'!A:B,2,FALSE),B235),PlayerValues!E:E,0)),"N/A")</f>
        <v>15238</v>
      </c>
      <c r="B235" s="4" t="s">
        <v>613</v>
      </c>
      <c r="C235" s="4" t="s">
        <v>283</v>
      </c>
      <c r="D235" s="94">
        <v>2302.0</v>
      </c>
    </row>
    <row r="236">
      <c r="A236" s="40">
        <f t="array" ref="A236">IFNA(index(PlayerValues!A:A,match(IFNA(vlookup(B236,'Special Names'!A:B,2,FALSE),B236),PlayerValues!E:E,0)),"N/A")</f>
        <v>13772</v>
      </c>
      <c r="B236" s="4" t="s">
        <v>544</v>
      </c>
      <c r="C236" s="4" t="s">
        <v>298</v>
      </c>
      <c r="D236" s="94">
        <v>2687.0</v>
      </c>
    </row>
    <row r="237">
      <c r="A237" s="40">
        <f t="array" ref="A237">IFNA(index(PlayerValues!A:A,match(IFNA(vlookup(B237,'Special Names'!A:B,2,FALSE),B237),PlayerValues!E:E,0)),"N/A")</f>
        <v>17076</v>
      </c>
      <c r="B237" s="4" t="s">
        <v>585</v>
      </c>
      <c r="C237" s="4" t="s">
        <v>287</v>
      </c>
      <c r="D237" s="94">
        <v>2290.0</v>
      </c>
    </row>
    <row r="238">
      <c r="A238" s="40">
        <f t="array" ref="A238">IFNA(index(PlayerValues!A:A,match(IFNA(vlookup(B238,'Special Names'!A:B,2,FALSE),B238),PlayerValues!E:E,0)),"N/A")</f>
        <v>16174</v>
      </c>
      <c r="B238" s="4" t="s">
        <v>505</v>
      </c>
      <c r="C238" s="4" t="s">
        <v>278</v>
      </c>
      <c r="D238" s="94">
        <v>2278.0</v>
      </c>
    </row>
    <row r="239">
      <c r="A239" s="40">
        <f t="array" ref="A239">IFNA(index(PlayerValues!A:A,match(IFNA(vlookup(B239,'Special Names'!A:B,2,FALSE),B239),PlayerValues!E:E,0)),"N/A")</f>
        <v>17079</v>
      </c>
      <c r="B239" s="4" t="s">
        <v>572</v>
      </c>
      <c r="C239" s="4" t="s">
        <v>287</v>
      </c>
      <c r="D239" s="94">
        <v>2275.0</v>
      </c>
    </row>
    <row r="240">
      <c r="A240" s="40">
        <f t="array" ref="A240">IFNA(index(PlayerValues!A:A,match(IFNA(vlookup(B240,'Special Names'!A:B,2,FALSE),B240),PlayerValues!E:E,0)),"N/A")</f>
        <v>15716</v>
      </c>
      <c r="B240" s="4" t="s">
        <v>545</v>
      </c>
      <c r="C240" s="4" t="s">
        <v>278</v>
      </c>
      <c r="D240" s="94">
        <v>2256.0</v>
      </c>
    </row>
    <row r="241">
      <c r="A241" s="40" t="str">
        <f t="array" ref="A241">IFNA(index(PlayerValues!A:A,match(IFNA(vlookup(B241,'Special Names'!A:B,2,FALSE),B241),PlayerValues!E:E,0)),"N/A")</f>
        <v>N/A</v>
      </c>
      <c r="B241" s="4" t="s">
        <v>87</v>
      </c>
      <c r="C241" s="4" t="s">
        <v>325</v>
      </c>
      <c r="D241" s="94">
        <v>2250.0</v>
      </c>
    </row>
    <row r="242">
      <c r="A242" s="40">
        <f t="array" ref="A242">IFNA(index(PlayerValues!A:A,match(IFNA(vlookup(B242,'Special Names'!A:B,2,FALSE),B242),PlayerValues!E:E,0)),"N/A")</f>
        <v>17482</v>
      </c>
      <c r="B242" s="4" t="s">
        <v>460</v>
      </c>
      <c r="C242" s="4" t="s">
        <v>278</v>
      </c>
      <c r="D242" s="94">
        <v>2248.0</v>
      </c>
    </row>
    <row r="243">
      <c r="A243" s="40">
        <f t="array" ref="A243">IFNA(index(PlayerValues!A:A,match(IFNA(vlookup(B243,'Special Names'!A:B,2,FALSE),B243),PlayerValues!E:E,0)),"N/A")</f>
        <v>12186</v>
      </c>
      <c r="B243" s="4" t="s">
        <v>497</v>
      </c>
      <c r="C243" s="4" t="s">
        <v>287</v>
      </c>
      <c r="D243" s="94">
        <v>2246.0</v>
      </c>
    </row>
    <row r="244">
      <c r="A244" s="40" t="str">
        <f t="array" ref="A244">IFNA(index(PlayerValues!A:A,match(IFNA(vlookup(B244,'Special Names'!A:B,2,FALSE),B244),PlayerValues!E:E,0)),"N/A")</f>
        <v>N/A</v>
      </c>
      <c r="B244" s="4" t="s">
        <v>100</v>
      </c>
      <c r="C244" s="4" t="s">
        <v>325</v>
      </c>
      <c r="D244" s="94">
        <v>2219.0</v>
      </c>
    </row>
    <row r="245">
      <c r="A245" s="40">
        <f t="array" ref="A245">IFNA(index(PlayerValues!A:A,match(IFNA(vlookup(B245,'Special Names'!A:B,2,FALSE),B245),PlayerValues!E:E,0)),"N/A")</f>
        <v>15331</v>
      </c>
      <c r="B245" s="4" t="s">
        <v>560</v>
      </c>
      <c r="C245" s="4" t="s">
        <v>298</v>
      </c>
      <c r="D245" s="94">
        <v>2591.0</v>
      </c>
    </row>
    <row r="246">
      <c r="A246" s="40">
        <f t="array" ref="A246">IFNA(index(PlayerValues!A:A,match(IFNA(vlookup(B246,'Special Names'!A:B,2,FALSE),B246),PlayerValues!E:E,0)),"N/A")</f>
        <v>17087</v>
      </c>
      <c r="B246" s="4" t="s">
        <v>600</v>
      </c>
      <c r="C246" s="4" t="s">
        <v>287</v>
      </c>
      <c r="D246" s="94">
        <v>2194.0</v>
      </c>
    </row>
    <row r="247">
      <c r="A247" s="40">
        <f t="array" ref="A247">IFNA(index(PlayerValues!A:A,match(IFNA(vlookup(B247,'Special Names'!A:B,2,FALSE),B247),PlayerValues!E:E,0)),"N/A")</f>
        <v>16432</v>
      </c>
      <c r="B247" s="4" t="s">
        <v>620</v>
      </c>
      <c r="C247" s="4" t="s">
        <v>278</v>
      </c>
      <c r="D247" s="94">
        <v>2188.0</v>
      </c>
    </row>
    <row r="248">
      <c r="A248" s="40">
        <f t="array" ref="A248">IFNA(index(PlayerValues!A:A,match(IFNA(vlookup(B248,'Special Names'!A:B,2,FALSE),B248),PlayerValues!E:E,0)),"N/A")</f>
        <v>14871</v>
      </c>
      <c r="B248" s="4" t="s">
        <v>584</v>
      </c>
      <c r="C248" s="4" t="s">
        <v>298</v>
      </c>
      <c r="D248" s="94">
        <v>2560.0</v>
      </c>
    </row>
    <row r="249">
      <c r="A249" s="40" t="str">
        <f t="array" ref="A249">IFNA(index(PlayerValues!A:A,match(IFNA(vlookup(B249,'Special Names'!A:B,2,FALSE),B249),PlayerValues!E:E,0)),"N/A")</f>
        <v>N/A</v>
      </c>
      <c r="B249" s="4" t="s">
        <v>112</v>
      </c>
      <c r="C249" s="4" t="s">
        <v>325</v>
      </c>
      <c r="D249" s="94">
        <v>2167.0</v>
      </c>
    </row>
    <row r="250">
      <c r="A250" s="40">
        <f t="array" ref="A250">IFNA(index(PlayerValues!A:A,match(IFNA(vlookup(B250,'Special Names'!A:B,2,FALSE),B250),PlayerValues!E:E,0)),"N/A")</f>
        <v>17474</v>
      </c>
      <c r="B250" s="4" t="s">
        <v>513</v>
      </c>
      <c r="C250" s="4" t="s">
        <v>278</v>
      </c>
      <c r="D250" s="94">
        <v>2166.0</v>
      </c>
    </row>
    <row r="251">
      <c r="A251" s="40">
        <f t="array" ref="A251">IFNA(index(PlayerValues!A:A,match(IFNA(vlookup(B251,'Special Names'!A:B,2,FALSE),B251),PlayerValues!E:E,0)),"N/A")</f>
        <v>17049</v>
      </c>
      <c r="B251" s="4" t="s">
        <v>624</v>
      </c>
      <c r="C251" s="4" t="s">
        <v>278</v>
      </c>
      <c r="D251" s="94">
        <v>2160.0</v>
      </c>
    </row>
    <row r="252">
      <c r="A252" s="40">
        <f t="array" ref="A252">IFNA(index(PlayerValues!A:A,match(IFNA(vlookup(B252,'Special Names'!A:B,2,FALSE),B252),PlayerValues!E:E,0)),"N/A")</f>
        <v>16342</v>
      </c>
      <c r="B252" s="4" t="s">
        <v>583</v>
      </c>
      <c r="C252" s="4" t="s">
        <v>287</v>
      </c>
      <c r="D252" s="94">
        <v>2158.0</v>
      </c>
    </row>
    <row r="253">
      <c r="A253" s="40">
        <f t="array" ref="A253">IFNA(index(PlayerValues!A:A,match(IFNA(vlookup(B253,'Special Names'!A:B,2,FALSE),B253),PlayerValues!E:E,0)),"N/A")</f>
        <v>17061</v>
      </c>
      <c r="B253" s="4" t="s">
        <v>580</v>
      </c>
      <c r="C253" s="4" t="s">
        <v>278</v>
      </c>
      <c r="D253" s="94">
        <v>2150.0</v>
      </c>
    </row>
    <row r="254">
      <c r="A254" s="40">
        <f t="array" ref="A254">IFNA(index(PlayerValues!A:A,match(IFNA(vlookup(B254,'Special Names'!A:B,2,FALSE),B254),PlayerValues!E:E,0)),"N/A")</f>
        <v>16639</v>
      </c>
      <c r="B254" s="4" t="s">
        <v>599</v>
      </c>
      <c r="C254" s="4" t="s">
        <v>287</v>
      </c>
      <c r="D254" s="94">
        <v>2141.0</v>
      </c>
    </row>
    <row r="255">
      <c r="A255" s="40">
        <f t="array" ref="A255">IFNA(index(PlayerValues!A:A,match(IFNA(vlookup(B255,'Special Names'!A:B,2,FALSE),B255),PlayerValues!E:E,0)),"N/A")</f>
        <v>13146</v>
      </c>
      <c r="B255" s="4" t="s">
        <v>652</v>
      </c>
      <c r="C255" s="4" t="s">
        <v>278</v>
      </c>
      <c r="D255" s="94">
        <v>2138.0</v>
      </c>
    </row>
    <row r="256">
      <c r="A256" s="40" t="str">
        <f t="array" ref="A256">IFNA(index(PlayerValues!A:A,match(IFNA(vlookup(B256,'Special Names'!A:B,2,FALSE),B256),PlayerValues!E:E,0)),"N/A")</f>
        <v>N/A</v>
      </c>
      <c r="B256" s="4" t="s">
        <v>88</v>
      </c>
      <c r="C256" s="4" t="s">
        <v>325</v>
      </c>
      <c r="D256" s="94">
        <v>2135.0</v>
      </c>
    </row>
    <row r="257">
      <c r="A257" s="40" t="str">
        <f t="array" ref="A257">IFNA(index(PlayerValues!A:A,match(IFNA(vlookup(B257,'Special Names'!A:B,2,FALSE),B257),PlayerValues!E:E,0)),"N/A")</f>
        <v>N/A</v>
      </c>
      <c r="B257" s="4" t="s">
        <v>113</v>
      </c>
      <c r="C257" s="4" t="s">
        <v>325</v>
      </c>
      <c r="D257" s="94">
        <v>2134.0</v>
      </c>
    </row>
    <row r="258">
      <c r="A258" s="40">
        <f t="array" ref="A258">IFNA(index(PlayerValues!A:A,match(IFNA(vlookup(B258,'Special Names'!A:B,2,FALSE),B258),PlayerValues!E:E,0)),"N/A")</f>
        <v>16191</v>
      </c>
      <c r="B258" s="4" t="s">
        <v>666</v>
      </c>
      <c r="C258" s="4" t="s">
        <v>287</v>
      </c>
      <c r="D258" s="94">
        <v>2132.0</v>
      </c>
    </row>
    <row r="259">
      <c r="A259" s="40">
        <f t="array" ref="A259">IFNA(index(PlayerValues!A:A,match(IFNA(vlookup(B259,'Special Names'!A:B,2,FALSE),B259),PlayerValues!E:E,0)),"N/A")</f>
        <v>13132</v>
      </c>
      <c r="B259" s="4" t="s">
        <v>598</v>
      </c>
      <c r="C259" s="4" t="s">
        <v>278</v>
      </c>
      <c r="D259" s="94">
        <v>2128.0</v>
      </c>
    </row>
    <row r="260">
      <c r="A260" s="40">
        <f t="array" ref="A260">IFNA(index(PlayerValues!A:A,match(IFNA(vlookup(B260,'Special Names'!A:B,2,FALSE),B260),PlayerValues!E:E,0)),"N/A")</f>
        <v>17509</v>
      </c>
      <c r="B260" s="4" t="s">
        <v>551</v>
      </c>
      <c r="C260" s="4" t="s">
        <v>287</v>
      </c>
      <c r="D260" s="94">
        <v>2124.0</v>
      </c>
    </row>
    <row r="261">
      <c r="A261" s="40">
        <f t="array" ref="A261">IFNA(index(PlayerValues!A:A,match(IFNA(vlookup(B261,'Special Names'!A:B,2,FALSE),B261),PlayerValues!E:E,0)),"N/A")</f>
        <v>11150</v>
      </c>
      <c r="B261" s="4" t="s">
        <v>559</v>
      </c>
      <c r="C261" s="4" t="s">
        <v>283</v>
      </c>
      <c r="D261" s="94">
        <v>2122.0</v>
      </c>
    </row>
    <row r="262">
      <c r="A262" s="40">
        <f t="array" ref="A262">IFNA(index(PlayerValues!A:A,match(IFNA(vlookup(B262,'Special Names'!A:B,2,FALSE),B262),PlayerValues!E:E,0)),"N/A")</f>
        <v>16643</v>
      </c>
      <c r="B262" s="4" t="s">
        <v>609</v>
      </c>
      <c r="C262" s="4" t="s">
        <v>298</v>
      </c>
      <c r="D262" s="94">
        <v>2515.0</v>
      </c>
    </row>
    <row r="263">
      <c r="A263" s="40">
        <f t="array" ref="A263">IFNA(index(PlayerValues!A:A,match(IFNA(vlookup(B263,'Special Names'!A:B,2,FALSE),B263),PlayerValues!E:E,0)),"N/A")</f>
        <v>17507</v>
      </c>
      <c r="B263" s="4" t="s">
        <v>495</v>
      </c>
      <c r="C263" s="4" t="s">
        <v>287</v>
      </c>
      <c r="D263" s="94">
        <v>2122.0</v>
      </c>
    </row>
    <row r="264">
      <c r="A264" s="40">
        <f t="array" ref="A264">IFNA(index(PlayerValues!A:A,match(IFNA(vlookup(B264,'Special Names'!A:B,2,FALSE),B264),PlayerValues!E:E,0)),"N/A")</f>
        <v>17056</v>
      </c>
      <c r="B264" s="4" t="s">
        <v>581</v>
      </c>
      <c r="C264" s="4" t="s">
        <v>278</v>
      </c>
      <c r="D264" s="94">
        <v>2118.0</v>
      </c>
    </row>
    <row r="265">
      <c r="A265" s="40">
        <f t="array" ref="A265">IFNA(index(PlayerValues!A:A,match(IFNA(vlookup(B265,'Special Names'!A:B,2,FALSE),B265),PlayerValues!E:E,0)),"N/A")</f>
        <v>15293</v>
      </c>
      <c r="B265" s="4" t="s">
        <v>578</v>
      </c>
      <c r="C265" s="4" t="s">
        <v>287</v>
      </c>
      <c r="D265" s="94">
        <v>2111.0</v>
      </c>
    </row>
    <row r="266">
      <c r="A266" s="40">
        <f t="array" ref="A266">IFNA(index(PlayerValues!A:A,match(IFNA(vlookup(B266,'Special Names'!A:B,2,FALSE),B266),PlayerValues!E:E,0)),"N/A")</f>
        <v>17060</v>
      </c>
      <c r="B266" s="4" t="s">
        <v>603</v>
      </c>
      <c r="C266" s="4" t="s">
        <v>278</v>
      </c>
      <c r="D266" s="94">
        <v>2111.0</v>
      </c>
    </row>
    <row r="267">
      <c r="A267" s="40">
        <f t="array" ref="A267">IFNA(index(PlayerValues!A:A,match(IFNA(vlookup(B267,'Special Names'!A:B,2,FALSE),B267),PlayerValues!E:E,0)),"N/A")</f>
        <v>14974</v>
      </c>
      <c r="B267" s="4" t="s">
        <v>611</v>
      </c>
      <c r="C267" s="4" t="s">
        <v>287</v>
      </c>
      <c r="D267" s="94">
        <v>2104.0</v>
      </c>
    </row>
    <row r="268">
      <c r="A268" s="40">
        <f t="array" ref="A268">IFNA(index(PlayerValues!A:A,match(IFNA(vlookup(B268,'Special Names'!A:B,2,FALSE),B268),PlayerValues!E:E,0)),"N/A")</f>
        <v>13633</v>
      </c>
      <c r="B268" s="4" t="s">
        <v>625</v>
      </c>
      <c r="C268" s="4" t="s">
        <v>287</v>
      </c>
      <c r="D268" s="94">
        <v>2098.0</v>
      </c>
    </row>
    <row r="269">
      <c r="A269" s="40">
        <f t="array" ref="A269">IFNA(index(PlayerValues!A:A,match(IFNA(vlookup(B269,'Special Names'!A:B,2,FALSE),B269),PlayerValues!E:E,0)),"N/A")</f>
        <v>17036</v>
      </c>
      <c r="B269" s="4" t="s">
        <v>617</v>
      </c>
      <c r="C269" s="4" t="s">
        <v>283</v>
      </c>
      <c r="D269" s="94">
        <v>2092.0</v>
      </c>
    </row>
    <row r="270">
      <c r="A270" s="40">
        <f t="array" ref="A270">IFNA(index(PlayerValues!A:A,match(IFNA(vlookup(B270,'Special Names'!A:B,2,FALSE),B270),PlayerValues!E:E,0)),"N/A")</f>
        <v>13319</v>
      </c>
      <c r="B270" s="4" t="s">
        <v>549</v>
      </c>
      <c r="C270" s="4" t="s">
        <v>278</v>
      </c>
      <c r="D270" s="94">
        <v>2087.0</v>
      </c>
    </row>
    <row r="271">
      <c r="A271" s="40">
        <f t="array" ref="A271">IFNA(index(PlayerValues!A:A,match(IFNA(vlookup(B271,'Special Names'!A:B,2,FALSE),B271),PlayerValues!E:E,0)),"N/A")</f>
        <v>17464</v>
      </c>
      <c r="B271" s="4" t="s">
        <v>828</v>
      </c>
      <c r="C271" s="4" t="s">
        <v>283</v>
      </c>
      <c r="D271" s="94">
        <v>2053.0</v>
      </c>
    </row>
    <row r="272">
      <c r="A272" s="40">
        <f t="array" ref="A272">IFNA(index(PlayerValues!A:A,match(IFNA(vlookup(B272,'Special Names'!A:B,2,FALSE),B272),PlayerValues!E:E,0)),"N/A")</f>
        <v>14867</v>
      </c>
      <c r="B272" s="4" t="s">
        <v>591</v>
      </c>
      <c r="C272" s="4" t="s">
        <v>298</v>
      </c>
      <c r="D272" s="94">
        <v>2441.0</v>
      </c>
    </row>
    <row r="273">
      <c r="A273" s="40">
        <f t="array" ref="A273">IFNA(index(PlayerValues!A:A,match(IFNA(vlookup(B273,'Special Names'!A:B,2,FALSE),B273),PlayerValues!E:E,0)),"N/A")</f>
        <v>17465</v>
      </c>
      <c r="B273" s="4" t="s">
        <v>649</v>
      </c>
      <c r="C273" s="4" t="s">
        <v>283</v>
      </c>
      <c r="D273" s="94">
        <v>2046.0</v>
      </c>
    </row>
    <row r="274">
      <c r="A274" s="40">
        <f t="array" ref="A274">IFNA(index(PlayerValues!A:A,match(IFNA(vlookup(B274,'Special Names'!A:B,2,FALSE),B274),PlayerValues!E:E,0)),"N/A")</f>
        <v>17069</v>
      </c>
      <c r="B274" s="4" t="s">
        <v>604</v>
      </c>
      <c r="C274" s="4" t="s">
        <v>278</v>
      </c>
      <c r="D274" s="94">
        <v>2021.0</v>
      </c>
    </row>
    <row r="275">
      <c r="A275" s="40">
        <f t="array" ref="A275">IFNA(index(PlayerValues!A:A,match(IFNA(vlookup(B275,'Special Names'!A:B,2,FALSE),B275),PlayerValues!E:E,0)),"N/A")</f>
        <v>16171</v>
      </c>
      <c r="B275" s="4" t="s">
        <v>618</v>
      </c>
      <c r="C275" s="4" t="s">
        <v>278</v>
      </c>
      <c r="D275" s="94">
        <v>1991.0</v>
      </c>
    </row>
    <row r="276">
      <c r="A276" s="40">
        <f t="array" ref="A276">IFNA(index(PlayerValues!A:A,match(IFNA(vlookup(B276,'Special Names'!A:B,2,FALSE),B276),PlayerValues!E:E,0)),"N/A")</f>
        <v>16603</v>
      </c>
      <c r="B276" s="4" t="s">
        <v>587</v>
      </c>
      <c r="C276" s="4" t="s">
        <v>278</v>
      </c>
      <c r="D276" s="94">
        <v>1974.0</v>
      </c>
    </row>
    <row r="277">
      <c r="A277" s="40" t="str">
        <f t="array" ref="A277">IFNA(index(PlayerValues!A:A,match(IFNA(vlookup(B277,'Special Names'!A:B,2,FALSE),B277),PlayerValues!E:E,0)),"N/A")</f>
        <v>N/A</v>
      </c>
      <c r="B277" s="4" t="s">
        <v>114</v>
      </c>
      <c r="C277" s="4" t="s">
        <v>325</v>
      </c>
      <c r="D277" s="94">
        <v>1964.0</v>
      </c>
    </row>
    <row r="278">
      <c r="A278" s="40">
        <f t="array" ref="A278">IFNA(index(PlayerValues!A:A,match(IFNA(vlookup(B278,'Special Names'!A:B,2,FALSE),B278),PlayerValues!E:E,0)),"N/A")</f>
        <v>17506</v>
      </c>
      <c r="B278" s="4" t="s">
        <v>471</v>
      </c>
      <c r="C278" s="4" t="s">
        <v>287</v>
      </c>
      <c r="D278" s="94">
        <v>1961.0</v>
      </c>
    </row>
    <row r="279">
      <c r="A279" s="40">
        <f t="array" ref="A279">IFNA(index(PlayerValues!A:A,match(IFNA(vlookup(B279,'Special Names'!A:B,2,FALSE),B279),PlayerValues!E:E,0)),"N/A")</f>
        <v>17034</v>
      </c>
      <c r="B279" s="4" t="s">
        <v>643</v>
      </c>
      <c r="C279" s="4" t="s">
        <v>283</v>
      </c>
      <c r="D279" s="94">
        <v>1934.0</v>
      </c>
    </row>
    <row r="280">
      <c r="A280" s="40">
        <f t="array" ref="A280">IFNA(index(PlayerValues!A:A,match(IFNA(vlookup(B280,'Special Names'!A:B,2,FALSE),B280),PlayerValues!E:E,0)),"N/A")</f>
        <v>17055</v>
      </c>
      <c r="B280" s="4" t="s">
        <v>565</v>
      </c>
      <c r="C280" s="4" t="s">
        <v>278</v>
      </c>
      <c r="D280" s="94">
        <v>1929.0</v>
      </c>
    </row>
    <row r="281">
      <c r="A281" s="40">
        <f t="array" ref="A281">IFNA(index(PlayerValues!A:A,match(IFNA(vlookup(B281,'Special Names'!A:B,2,FALSE),B281),PlayerValues!E:E,0)),"N/A")</f>
        <v>16216</v>
      </c>
      <c r="B281" s="4" t="s">
        <v>595</v>
      </c>
      <c r="C281" s="4" t="s">
        <v>298</v>
      </c>
      <c r="D281" s="94">
        <v>2310.0</v>
      </c>
    </row>
    <row r="282">
      <c r="A282" s="40">
        <f t="array" ref="A282">IFNA(index(PlayerValues!A:A,match(IFNA(vlookup(B282,'Special Names'!A:B,2,FALSE),B282),PlayerValues!E:E,0)),"N/A")</f>
        <v>14105</v>
      </c>
      <c r="B282" s="4" t="s">
        <v>675</v>
      </c>
      <c r="C282" s="4" t="s">
        <v>287</v>
      </c>
      <c r="D282" s="94">
        <v>1920.0</v>
      </c>
    </row>
    <row r="283">
      <c r="A283" s="40">
        <f t="array" ref="A283">IFNA(index(PlayerValues!A:A,match(IFNA(vlookup(B283,'Special Names'!A:B,2,FALSE),B283),PlayerValues!E:E,0)),"N/A")</f>
        <v>16752</v>
      </c>
      <c r="B283" s="4" t="s">
        <v>597</v>
      </c>
      <c r="C283" s="4" t="s">
        <v>278</v>
      </c>
      <c r="D283" s="94">
        <v>1919.0</v>
      </c>
    </row>
    <row r="284">
      <c r="A284" s="40">
        <f t="array" ref="A284">IFNA(index(PlayerValues!A:A,match(IFNA(vlookup(B284,'Special Names'!A:B,2,FALSE),B284),PlayerValues!E:E,0)),"N/A")</f>
        <v>16778</v>
      </c>
      <c r="B284" s="4" t="s">
        <v>577</v>
      </c>
      <c r="C284" s="4" t="s">
        <v>287</v>
      </c>
      <c r="D284" s="94">
        <v>1912.0</v>
      </c>
    </row>
    <row r="285">
      <c r="A285" s="40">
        <f t="array" ref="A285">IFNA(index(PlayerValues!A:A,match(IFNA(vlookup(B285,'Special Names'!A:B,2,FALSE),B285),PlayerValues!E:E,0)),"N/A")</f>
        <v>16215</v>
      </c>
      <c r="B285" s="4" t="s">
        <v>637</v>
      </c>
      <c r="C285" s="4" t="s">
        <v>298</v>
      </c>
      <c r="D285" s="94">
        <v>2280.0</v>
      </c>
    </row>
    <row r="286">
      <c r="A286" s="40">
        <f t="array" ref="A286">IFNA(index(PlayerValues!A:A,match(IFNA(vlookup(B286,'Special Names'!A:B,2,FALSE),B286),PlayerValues!E:E,0)),"N/A")</f>
        <v>17511</v>
      </c>
      <c r="B286" s="4" t="s">
        <v>485</v>
      </c>
      <c r="C286" s="4" t="s">
        <v>287</v>
      </c>
      <c r="D286" s="94">
        <v>1890.0</v>
      </c>
    </row>
    <row r="287">
      <c r="A287" s="40">
        <f t="array" ref="A287">IFNA(index(PlayerValues!A:A,match(IFNA(vlookup(B287,'Special Names'!A:B,2,FALSE),B287),PlayerValues!E:E,0)),"N/A")</f>
        <v>17184</v>
      </c>
      <c r="B287" s="4" t="s">
        <v>588</v>
      </c>
      <c r="C287" s="4" t="s">
        <v>287</v>
      </c>
      <c r="D287" s="94">
        <v>1886.0</v>
      </c>
    </row>
    <row r="288">
      <c r="A288" s="40">
        <f t="array" ref="A288">IFNA(index(PlayerValues!A:A,match(IFNA(vlookup(B288,'Special Names'!A:B,2,FALSE),B288),PlayerValues!E:E,0)),"N/A")</f>
        <v>15787</v>
      </c>
      <c r="B288" s="4" t="s">
        <v>610</v>
      </c>
      <c r="C288" s="4" t="s">
        <v>287</v>
      </c>
      <c r="D288" s="94">
        <v>1881.0</v>
      </c>
    </row>
    <row r="289">
      <c r="A289" s="40">
        <f t="array" ref="A289">IFNA(index(PlayerValues!A:A,match(IFNA(vlookup(B289,'Special Names'!A:B,2,FALSE),B289),PlayerValues!E:E,0)),"N/A")</f>
        <v>16644</v>
      </c>
      <c r="B289" s="4" t="s">
        <v>640</v>
      </c>
      <c r="C289" s="4" t="s">
        <v>298</v>
      </c>
      <c r="D289" s="94">
        <v>2258.0</v>
      </c>
    </row>
    <row r="290">
      <c r="A290" s="40">
        <f t="array" ref="A290">IFNA(index(PlayerValues!A:A,match(IFNA(vlookup(B290,'Special Names'!A:B,2,FALSE),B290),PlayerValues!E:E,0)),"N/A")</f>
        <v>17086</v>
      </c>
      <c r="B290" s="4" t="s">
        <v>612</v>
      </c>
      <c r="C290" s="4" t="s">
        <v>287</v>
      </c>
      <c r="D290" s="94">
        <v>1858.0</v>
      </c>
    </row>
    <row r="291">
      <c r="A291" s="40">
        <f t="array" ref="A291">IFNA(index(PlayerValues!A:A,match(IFNA(vlookup(B291,'Special Names'!A:B,2,FALSE),B291),PlayerValues!E:E,0)),"N/A")</f>
        <v>15254</v>
      </c>
      <c r="B291" s="4" t="s">
        <v>633</v>
      </c>
      <c r="C291" s="4" t="s">
        <v>278</v>
      </c>
      <c r="D291" s="94">
        <v>1851.0</v>
      </c>
    </row>
    <row r="292">
      <c r="A292" s="40">
        <f t="array" ref="A292">IFNA(index(PlayerValues!A:A,match(IFNA(vlookup(B292,'Special Names'!A:B,2,FALSE),B292),PlayerValues!E:E,0)),"N/A")</f>
        <v>13629</v>
      </c>
      <c r="B292" s="4" t="s">
        <v>619</v>
      </c>
      <c r="C292" s="4" t="s">
        <v>287</v>
      </c>
      <c r="D292" s="94">
        <v>1848.0</v>
      </c>
    </row>
    <row r="293">
      <c r="A293" s="40">
        <f t="array" ref="A293">IFNA(index(PlayerValues!A:A,match(IFNA(vlookup(B293,'Special Names'!A:B,2,FALSE),B293),PlayerValues!E:E,0)),"N/A")</f>
        <v>17478</v>
      </c>
      <c r="B293" s="4" t="s">
        <v>527</v>
      </c>
      <c r="C293" s="4" t="s">
        <v>278</v>
      </c>
      <c r="D293" s="94">
        <v>1848.0</v>
      </c>
    </row>
    <row r="294">
      <c r="A294" s="40">
        <f t="array" ref="A294">IFNA(index(PlayerValues!A:A,match(IFNA(vlookup(B294,'Special Names'!A:B,2,FALSE),B294),PlayerValues!E:E,0)),"N/A")</f>
        <v>13164</v>
      </c>
      <c r="B294" s="4" t="s">
        <v>632</v>
      </c>
      <c r="C294" s="4" t="s">
        <v>287</v>
      </c>
      <c r="D294" s="94">
        <v>1847.0</v>
      </c>
    </row>
    <row r="295">
      <c r="A295" s="40">
        <f t="array" ref="A295">IFNA(index(PlayerValues!A:A,match(IFNA(vlookup(B295,'Special Names'!A:B,2,FALSE),B295),PlayerValues!E:E,0)),"N/A")</f>
        <v>16201</v>
      </c>
      <c r="B295" s="4" t="s">
        <v>589</v>
      </c>
      <c r="C295" s="4" t="s">
        <v>287</v>
      </c>
      <c r="D295" s="94">
        <v>1846.0</v>
      </c>
    </row>
    <row r="296">
      <c r="A296" s="40">
        <f t="array" ref="A296">IFNA(index(PlayerValues!A:A,match(IFNA(vlookup(B296,'Special Names'!A:B,2,FALSE),B296),PlayerValues!E:E,0)),"N/A")</f>
        <v>15755</v>
      </c>
      <c r="B296" s="4" t="s">
        <v>628</v>
      </c>
      <c r="C296" s="4" t="s">
        <v>287</v>
      </c>
      <c r="D296" s="94">
        <v>1839.0</v>
      </c>
    </row>
    <row r="297">
      <c r="A297" s="40">
        <f t="array" ref="A297">IFNA(index(PlayerValues!A:A,match(IFNA(vlookup(B297,'Special Names'!A:B,2,FALSE),B297),PlayerValues!E:E,0)),"N/A")</f>
        <v>16585</v>
      </c>
      <c r="B297" s="4" t="s">
        <v>623</v>
      </c>
      <c r="C297" s="4" t="s">
        <v>283</v>
      </c>
      <c r="D297" s="94">
        <v>1838.0</v>
      </c>
    </row>
    <row r="298">
      <c r="A298" s="40" t="str">
        <f t="array" ref="A298">IFNA(index(PlayerValues!A:A,match(IFNA(vlookup(B298,'Special Names'!A:B,2,FALSE),B298),PlayerValues!E:E,0)),"N/A")</f>
        <v>N/A</v>
      </c>
      <c r="B298" s="4" t="s">
        <v>101</v>
      </c>
      <c r="C298" s="4" t="s">
        <v>325</v>
      </c>
      <c r="D298" s="94">
        <v>1837.0</v>
      </c>
    </row>
    <row r="299">
      <c r="A299" s="40">
        <f t="array" ref="A299">IFNA(index(PlayerValues!A:A,match(IFNA(vlookup(B299,'Special Names'!A:B,2,FALSE),B299),PlayerValues!E:E,0)),"N/A")</f>
        <v>7836</v>
      </c>
      <c r="B299" s="4" t="s">
        <v>590</v>
      </c>
      <c r="C299" s="4" t="s">
        <v>283</v>
      </c>
      <c r="D299" s="94">
        <v>1829.0</v>
      </c>
    </row>
    <row r="300">
      <c r="A300" s="40">
        <f t="array" ref="A300">IFNA(index(PlayerValues!A:A,match(IFNA(vlookup(B300,'Special Names'!A:B,2,FALSE),B300),PlayerValues!E:E,0)),"N/A")</f>
        <v>13189</v>
      </c>
      <c r="B300" s="4" t="s">
        <v>626</v>
      </c>
      <c r="C300" s="4" t="s">
        <v>298</v>
      </c>
      <c r="D300" s="94">
        <v>2211.0</v>
      </c>
    </row>
    <row r="301">
      <c r="A301" s="40" t="str">
        <f t="array" ref="A301">IFNA(index(PlayerValues!A:A,match(IFNA(vlookup(B301,'Special Names'!A:B,2,FALSE),B301),PlayerValues!E:E,0)),"N/A")</f>
        <v>N/A</v>
      </c>
      <c r="B301" s="4" t="s">
        <v>89</v>
      </c>
      <c r="C301" s="4" t="s">
        <v>325</v>
      </c>
      <c r="D301" s="94">
        <v>1828.0</v>
      </c>
    </row>
    <row r="302">
      <c r="A302" s="40">
        <f t="array" ref="A302">IFNA(index(PlayerValues!A:A,match(IFNA(vlookup(B302,'Special Names'!A:B,2,FALSE),B302),PlayerValues!E:E,0)),"N/A")</f>
        <v>16586</v>
      </c>
      <c r="B302" s="4" t="s">
        <v>658</v>
      </c>
      <c r="C302" s="4" t="s">
        <v>283</v>
      </c>
      <c r="D302" s="94">
        <v>1811.0</v>
      </c>
    </row>
    <row r="303">
      <c r="A303" s="40">
        <f t="array" ref="A303">IFNA(index(PlayerValues!A:A,match(IFNA(vlookup(B303,'Special Names'!A:B,2,FALSE),B303),PlayerValues!E:E,0)),"N/A")</f>
        <v>16604</v>
      </c>
      <c r="B303" s="4" t="s">
        <v>476</v>
      </c>
      <c r="C303" s="4" t="s">
        <v>278</v>
      </c>
      <c r="D303" s="94">
        <v>1811.0</v>
      </c>
    </row>
    <row r="304">
      <c r="A304" s="40">
        <f t="array" ref="A304">IFNA(index(PlayerValues!A:A,match(IFNA(vlookup(B304,'Special Names'!A:B,2,FALSE),B304),PlayerValues!E:E,0)),"N/A")</f>
        <v>16635</v>
      </c>
      <c r="B304" s="4" t="s">
        <v>645</v>
      </c>
      <c r="C304" s="4" t="s">
        <v>287</v>
      </c>
      <c r="D304" s="94">
        <v>1799.0</v>
      </c>
    </row>
    <row r="305">
      <c r="A305" s="40">
        <f t="array" ref="A305">IFNA(index(PlayerValues!A:A,match(IFNA(vlookup(B305,'Special Names'!A:B,2,FALSE),B305),PlayerValues!E:E,0)),"N/A")</f>
        <v>17035</v>
      </c>
      <c r="B305" s="4" t="s">
        <v>650</v>
      </c>
      <c r="C305" s="4" t="s">
        <v>283</v>
      </c>
      <c r="D305" s="94">
        <v>1794.0</v>
      </c>
    </row>
    <row r="306">
      <c r="A306" s="40" t="str">
        <f t="array" ref="A306">IFNA(index(PlayerValues!A:A,match(IFNA(vlookup(B306,'Special Names'!A:B,2,FALSE),B306),PlayerValues!E:E,0)),"N/A")</f>
        <v>N/A</v>
      </c>
      <c r="B306" s="4" t="s">
        <v>102</v>
      </c>
      <c r="C306" s="4" t="s">
        <v>325</v>
      </c>
      <c r="D306" s="94">
        <v>1789.0</v>
      </c>
    </row>
    <row r="307">
      <c r="A307" s="40">
        <f t="array" ref="A307">IFNA(index(PlayerValues!A:A,match(IFNA(vlookup(B307,'Special Names'!A:B,2,FALSE),B307),PlayerValues!E:E,0)),"N/A")</f>
        <v>15759</v>
      </c>
      <c r="B307" s="4" t="s">
        <v>662</v>
      </c>
      <c r="C307" s="4" t="s">
        <v>287</v>
      </c>
      <c r="D307" s="94">
        <v>1780.0</v>
      </c>
    </row>
    <row r="308">
      <c r="A308" s="40">
        <f t="array" ref="A308">IFNA(index(PlayerValues!A:A,match(IFNA(vlookup(B308,'Special Names'!A:B,2,FALSE),B308),PlayerValues!E:E,0)),"N/A")</f>
        <v>10700</v>
      </c>
      <c r="B308" s="4" t="s">
        <v>596</v>
      </c>
      <c r="C308" s="4" t="s">
        <v>283</v>
      </c>
      <c r="D308" s="94">
        <v>1752.0</v>
      </c>
    </row>
    <row r="309">
      <c r="A309" s="40">
        <f t="array" ref="A309">IFNA(index(PlayerValues!A:A,match(IFNA(vlookup(B309,'Special Names'!A:B,2,FALSE),B309),PlayerValues!E:E,0)),"N/A")</f>
        <v>11222</v>
      </c>
      <c r="B309" s="4" t="s">
        <v>622</v>
      </c>
      <c r="C309" s="4" t="s">
        <v>287</v>
      </c>
      <c r="D309" s="94">
        <v>1749.0</v>
      </c>
    </row>
    <row r="310">
      <c r="A310" s="40">
        <f t="array" ref="A310">IFNA(index(PlayerValues!A:A,match(IFNA(vlookup(B310,'Special Names'!A:B,2,FALSE),B310),PlayerValues!E:E,0)),"N/A")</f>
        <v>17517</v>
      </c>
      <c r="B310" s="4" t="s">
        <v>454</v>
      </c>
      <c r="C310" s="4" t="s">
        <v>287</v>
      </c>
      <c r="D310" s="94">
        <v>1748.0</v>
      </c>
    </row>
    <row r="311">
      <c r="A311" s="40">
        <f t="array" ref="A311">IFNA(index(PlayerValues!A:A,match(IFNA(vlookup(B311,'Special Names'!A:B,2,FALSE),B311),PlayerValues!E:E,0)),"N/A")</f>
        <v>14143</v>
      </c>
      <c r="B311" s="4" t="s">
        <v>635</v>
      </c>
      <c r="C311" s="4" t="s">
        <v>298</v>
      </c>
      <c r="D311" s="94">
        <v>2125.0</v>
      </c>
    </row>
    <row r="312">
      <c r="A312" s="40">
        <f t="array" ref="A312">IFNA(index(PlayerValues!A:A,match(IFNA(vlookup(B312,'Special Names'!A:B,2,FALSE),B312),PlayerValues!E:E,0)),"N/A")</f>
        <v>16788</v>
      </c>
      <c r="B312" s="4" t="s">
        <v>621</v>
      </c>
      <c r="C312" s="4" t="s">
        <v>287</v>
      </c>
      <c r="D312" s="94">
        <v>1742.0</v>
      </c>
    </row>
    <row r="313">
      <c r="A313" s="40">
        <f t="array" ref="A313">IFNA(index(PlayerValues!A:A,match(IFNA(vlookup(B313,'Special Names'!A:B,2,FALSE),B313),PlayerValues!E:E,0)),"N/A")</f>
        <v>16629</v>
      </c>
      <c r="B313" s="4" t="s">
        <v>605</v>
      </c>
      <c r="C313" s="4" t="s">
        <v>287</v>
      </c>
      <c r="D313" s="94">
        <v>1735.0</v>
      </c>
    </row>
    <row r="314">
      <c r="A314" s="40">
        <f t="array" ref="A314">IFNA(index(PlayerValues!A:A,match(IFNA(vlookup(B314,'Special Names'!A:B,2,FALSE),B314),PlayerValues!E:E,0)),"N/A")</f>
        <v>17058</v>
      </c>
      <c r="B314" s="4" t="s">
        <v>641</v>
      </c>
      <c r="C314" s="4" t="s">
        <v>278</v>
      </c>
      <c r="D314" s="94">
        <v>1734.0</v>
      </c>
    </row>
    <row r="315">
      <c r="A315" s="40">
        <f t="array" ref="A315">IFNA(index(PlayerValues!A:A,match(IFNA(vlookup(B315,'Special Names'!A:B,2,FALSE),B315),PlayerValues!E:E,0)),"N/A")</f>
        <v>16688</v>
      </c>
      <c r="B315" s="4" t="s">
        <v>688</v>
      </c>
      <c r="C315" s="4" t="s">
        <v>278</v>
      </c>
      <c r="D315" s="94">
        <v>1731.0</v>
      </c>
    </row>
    <row r="316">
      <c r="A316" s="40">
        <f t="array" ref="A316">IFNA(index(PlayerValues!A:A,match(IFNA(vlookup(B316,'Special Names'!A:B,2,FALSE),B316),PlayerValues!E:E,0)),"N/A")</f>
        <v>16207</v>
      </c>
      <c r="B316" s="4" t="s">
        <v>636</v>
      </c>
      <c r="C316" s="4" t="s">
        <v>287</v>
      </c>
      <c r="D316" s="94">
        <v>1728.0</v>
      </c>
    </row>
    <row r="317">
      <c r="A317" s="40">
        <f t="array" ref="A317">IFNA(index(PlayerValues!A:A,match(IFNA(vlookup(B317,'Special Names'!A:B,2,FALSE),B317),PlayerValues!E:E,0)),"N/A")</f>
        <v>17503</v>
      </c>
      <c r="B317" s="4" t="s">
        <v>480</v>
      </c>
      <c r="C317" s="4" t="s">
        <v>287</v>
      </c>
      <c r="D317" s="94">
        <v>1727.0</v>
      </c>
    </row>
    <row r="318">
      <c r="A318" s="40">
        <f t="array" ref="A318">IFNA(index(PlayerValues!A:A,match(IFNA(vlookup(B318,'Special Names'!A:B,2,FALSE),B318),PlayerValues!E:E,0)),"N/A")</f>
        <v>15337</v>
      </c>
      <c r="B318" s="4" t="s">
        <v>655</v>
      </c>
      <c r="C318" s="4" t="s">
        <v>298</v>
      </c>
      <c r="D318" s="94">
        <v>2094.0</v>
      </c>
    </row>
    <row r="319">
      <c r="A319" s="40">
        <f t="array" ref="A319">IFNA(index(PlayerValues!A:A,match(IFNA(vlookup(B319,'Special Names'!A:B,2,FALSE),B319),PlayerValues!E:E,0)),"N/A")</f>
        <v>17064</v>
      </c>
      <c r="B319" s="4" t="s">
        <v>631</v>
      </c>
      <c r="C319" s="4" t="s">
        <v>278</v>
      </c>
      <c r="D319" s="94">
        <v>1706.0</v>
      </c>
    </row>
    <row r="320">
      <c r="A320" s="40">
        <f t="array" ref="A320">IFNA(index(PlayerValues!A:A,match(IFNA(vlookup(B320,'Special Names'!A:B,2,FALSE),B320),PlayerValues!E:E,0)),"N/A")</f>
        <v>15777</v>
      </c>
      <c r="B320" s="4" t="s">
        <v>694</v>
      </c>
      <c r="C320" s="4" t="s">
        <v>287</v>
      </c>
      <c r="D320" s="94">
        <v>1684.0</v>
      </c>
    </row>
    <row r="321">
      <c r="A321" s="40">
        <f t="array" ref="A321">IFNA(index(PlayerValues!A:A,match(IFNA(vlookup(B321,'Special Names'!A:B,2,FALSE),B321),PlayerValues!E:E,0)),"N/A")</f>
        <v>16601</v>
      </c>
      <c r="B321" s="4" t="s">
        <v>648</v>
      </c>
      <c r="C321" s="4" t="s">
        <v>278</v>
      </c>
      <c r="D321" s="94">
        <v>1667.0</v>
      </c>
    </row>
    <row r="322">
      <c r="A322" s="40">
        <f t="array" ref="A322">IFNA(index(PlayerValues!A:A,match(IFNA(vlookup(B322,'Special Names'!A:B,2,FALSE),B322),PlayerValues!E:E,0)),"N/A")</f>
        <v>15788</v>
      </c>
      <c r="B322" s="4" t="s">
        <v>627</v>
      </c>
      <c r="C322" s="4" t="s">
        <v>287</v>
      </c>
      <c r="D322" s="94">
        <v>1666.0</v>
      </c>
    </row>
    <row r="323">
      <c r="A323" s="40" t="str">
        <f t="array" ref="A323">IFNA(index(PlayerValues!A:A,match(IFNA(vlookup(B323,'Special Names'!A:B,2,FALSE),B323),PlayerValues!E:E,0)),"N/A")</f>
        <v>N/A</v>
      </c>
      <c r="B323" s="4" t="s">
        <v>103</v>
      </c>
      <c r="C323" s="4" t="s">
        <v>325</v>
      </c>
      <c r="D323" s="94">
        <v>1663.0</v>
      </c>
    </row>
    <row r="324">
      <c r="A324" s="40" t="str">
        <f t="array" ref="A324">IFNA(index(PlayerValues!A:A,match(IFNA(vlookup(B324,'Special Names'!A:B,2,FALSE),B324),PlayerValues!E:E,0)),"N/A")</f>
        <v>N/A</v>
      </c>
      <c r="B324" s="4" t="s">
        <v>90</v>
      </c>
      <c r="C324" s="4" t="s">
        <v>325</v>
      </c>
      <c r="D324" s="94">
        <v>1649.0</v>
      </c>
    </row>
    <row r="325">
      <c r="A325" s="40" t="str">
        <f t="array" ref="A325">IFNA(index(PlayerValues!A:A,match(IFNA(vlookup(B325,'Special Names'!A:B,2,FALSE),B325),PlayerValues!E:E,0)),"N/A")</f>
        <v>N/A</v>
      </c>
      <c r="B325" s="4" t="s">
        <v>115</v>
      </c>
      <c r="C325" s="4" t="s">
        <v>325</v>
      </c>
      <c r="D325" s="94">
        <v>1641.0</v>
      </c>
    </row>
    <row r="326">
      <c r="A326" s="40">
        <f t="array" ref="A326">IFNA(index(PlayerValues!A:A,match(IFNA(vlookup(B326,'Special Names'!A:B,2,FALSE),B326),PlayerValues!E:E,0)),"N/A")</f>
        <v>17205</v>
      </c>
      <c r="B326" s="4" t="s">
        <v>665</v>
      </c>
      <c r="C326" s="4" t="s">
        <v>287</v>
      </c>
      <c r="D326" s="94">
        <v>1640.0</v>
      </c>
    </row>
    <row r="327">
      <c r="A327" s="40">
        <f t="array" ref="A327">IFNA(index(PlayerValues!A:A,match(IFNA(vlookup(B327,'Special Names'!A:B,2,FALSE),B327),PlayerValues!E:E,0)),"N/A")</f>
        <v>17234</v>
      </c>
      <c r="B327" s="4" t="s">
        <v>653</v>
      </c>
      <c r="C327" s="4" t="s">
        <v>287</v>
      </c>
      <c r="D327" s="94">
        <v>1640.0</v>
      </c>
    </row>
    <row r="328">
      <c r="A328" s="40">
        <f t="array" ref="A328">IFNA(index(PlayerValues!A:A,match(IFNA(vlookup(B328,'Special Names'!A:B,2,FALSE),B328),PlayerValues!E:E,0)),"N/A")</f>
        <v>16595</v>
      </c>
      <c r="B328" s="4" t="s">
        <v>664</v>
      </c>
      <c r="C328" s="4" t="s">
        <v>278</v>
      </c>
      <c r="D328" s="94">
        <v>1625.0</v>
      </c>
    </row>
    <row r="329">
      <c r="A329" s="40">
        <f t="array" ref="A329">IFNA(index(PlayerValues!A:A,match(IFNA(vlookup(B329,'Special Names'!A:B,2,FALSE),B329),PlayerValues!E:E,0)),"N/A")</f>
        <v>17037</v>
      </c>
      <c r="B329" s="4" t="s">
        <v>727</v>
      </c>
      <c r="C329" s="4" t="s">
        <v>283</v>
      </c>
      <c r="D329" s="94">
        <v>1622.0</v>
      </c>
    </row>
    <row r="330">
      <c r="A330" s="40">
        <f t="array" ref="A330">IFNA(index(PlayerValues!A:A,match(IFNA(vlookup(B330,'Special Names'!A:B,2,FALSE),B330),PlayerValues!E:E,0)),"N/A")</f>
        <v>17096</v>
      </c>
      <c r="B330" s="4" t="s">
        <v>638</v>
      </c>
      <c r="C330" s="4" t="s">
        <v>287</v>
      </c>
      <c r="D330" s="94">
        <v>1617.0</v>
      </c>
    </row>
    <row r="331">
      <c r="A331" s="40">
        <f t="array" ref="A331">IFNA(index(PlayerValues!A:A,match(IFNA(vlookup(B331,'Special Names'!A:B,2,FALSE),B331),PlayerValues!E:E,0)),"N/A")</f>
        <v>15713</v>
      </c>
      <c r="B331" s="4" t="s">
        <v>732</v>
      </c>
      <c r="C331" s="4" t="s">
        <v>278</v>
      </c>
      <c r="D331" s="94">
        <v>1615.0</v>
      </c>
    </row>
    <row r="332">
      <c r="A332" s="40">
        <f t="array" ref="A332">IFNA(index(PlayerValues!A:A,match(IFNA(vlookup(B332,'Special Names'!A:B,2,FALSE),B332),PlayerValues!E:E,0)),"N/A")</f>
        <v>15301</v>
      </c>
      <c r="B332" s="4" t="s">
        <v>657</v>
      </c>
      <c r="C332" s="4" t="s">
        <v>287</v>
      </c>
      <c r="D332" s="94">
        <v>1612.0</v>
      </c>
    </row>
    <row r="333">
      <c r="A333" s="40">
        <f t="array" ref="A333">IFNA(index(PlayerValues!A:A,match(IFNA(vlookup(B333,'Special Names'!A:B,2,FALSE),B333),PlayerValues!E:E,0)),"N/A")</f>
        <v>16633</v>
      </c>
      <c r="B333" s="4" t="s">
        <v>656</v>
      </c>
      <c r="C333" s="4" t="s">
        <v>287</v>
      </c>
      <c r="D333" s="94">
        <v>1606.0</v>
      </c>
    </row>
    <row r="334">
      <c r="A334" s="40">
        <f t="array" ref="A334">IFNA(index(PlayerValues!A:A,match(IFNA(vlookup(B334,'Special Names'!A:B,2,FALSE),B334),PlayerValues!E:E,0)),"N/A")</f>
        <v>16631</v>
      </c>
      <c r="B334" s="4" t="s">
        <v>800</v>
      </c>
      <c r="C334" s="4" t="s">
        <v>287</v>
      </c>
      <c r="D334" s="94">
        <v>1603.0</v>
      </c>
    </row>
    <row r="335">
      <c r="A335" s="40">
        <f t="array" ref="A335">IFNA(index(PlayerValues!A:A,match(IFNA(vlookup(B335,'Special Names'!A:B,2,FALSE),B335),PlayerValues!E:E,0)),"N/A")</f>
        <v>15252</v>
      </c>
      <c r="B335" s="4" t="s">
        <v>715</v>
      </c>
      <c r="C335" s="4" t="s">
        <v>283</v>
      </c>
      <c r="D335" s="94">
        <v>1599.0</v>
      </c>
    </row>
    <row r="336">
      <c r="A336" s="40">
        <f t="array" ref="A336">IFNA(index(PlayerValues!A:A,match(IFNA(vlookup(B336,'Special Names'!A:B,2,FALSE),B336),PlayerValues!E:E,0)),"N/A")</f>
        <v>14122</v>
      </c>
      <c r="B336" s="4" t="s">
        <v>663</v>
      </c>
      <c r="C336" s="4" t="s">
        <v>287</v>
      </c>
      <c r="D336" s="94">
        <v>1590.0</v>
      </c>
    </row>
    <row r="337">
      <c r="A337" s="40">
        <f t="array" ref="A337">IFNA(index(PlayerValues!A:A,match(IFNA(vlookup(B337,'Special Names'!A:B,2,FALSE),B337),PlayerValues!E:E,0)),"N/A")</f>
        <v>15319</v>
      </c>
      <c r="B337" s="4" t="s">
        <v>644</v>
      </c>
      <c r="C337" s="4" t="s">
        <v>287</v>
      </c>
      <c r="D337" s="94">
        <v>1583.0</v>
      </c>
    </row>
    <row r="338">
      <c r="A338" s="40">
        <f t="array" ref="A338">IFNA(index(PlayerValues!A:A,match(IFNA(vlookup(B338,'Special Names'!A:B,2,FALSE),B338),PlayerValues!E:E,0)),"N/A")</f>
        <v>15797</v>
      </c>
      <c r="B338" s="4" t="s">
        <v>556</v>
      </c>
      <c r="C338" s="4" t="s">
        <v>298</v>
      </c>
      <c r="D338" s="94">
        <v>1957.0</v>
      </c>
    </row>
    <row r="339">
      <c r="A339" s="40">
        <f t="array" ref="A339">IFNA(index(PlayerValues!A:A,match(IFNA(vlookup(B339,'Special Names'!A:B,2,FALSE),B339),PlayerValues!E:E,0)),"N/A")</f>
        <v>15873</v>
      </c>
      <c r="B339" s="4" t="s">
        <v>681</v>
      </c>
      <c r="C339" s="4" t="s">
        <v>298</v>
      </c>
      <c r="D339" s="94">
        <v>1955.0</v>
      </c>
    </row>
    <row r="340">
      <c r="A340" s="40">
        <f t="array" ref="A340">IFNA(index(PlayerValues!A:A,match(IFNA(vlookup(B340,'Special Names'!A:B,2,FALSE),B340),PlayerValues!E:E,0)),"N/A")</f>
        <v>15752</v>
      </c>
      <c r="B340" s="4" t="s">
        <v>647</v>
      </c>
      <c r="C340" s="4" t="s">
        <v>287</v>
      </c>
      <c r="D340" s="94">
        <v>1572.0</v>
      </c>
    </row>
    <row r="341">
      <c r="A341" s="40">
        <f t="array" ref="A341">IFNA(index(PlayerValues!A:A,match(IFNA(vlookup(B341,'Special Names'!A:B,2,FALSE),B341),PlayerValues!E:E,0)),"N/A")</f>
        <v>12140</v>
      </c>
      <c r="B341" s="4" t="s">
        <v>702</v>
      </c>
      <c r="C341" s="4" t="s">
        <v>283</v>
      </c>
      <c r="D341" s="94">
        <v>1556.0</v>
      </c>
    </row>
    <row r="342">
      <c r="A342" s="40">
        <f t="array" ref="A342">IFNA(index(PlayerValues!A:A,match(IFNA(vlookup(B342,'Special Names'!A:B,2,FALSE),B342),PlayerValues!E:E,0)),"N/A")</f>
        <v>13418</v>
      </c>
      <c r="B342" s="4" t="s">
        <v>706</v>
      </c>
      <c r="C342" s="4" t="s">
        <v>287</v>
      </c>
      <c r="D342" s="94">
        <v>1540.0</v>
      </c>
    </row>
    <row r="343">
      <c r="A343" s="40">
        <f t="array" ref="A343">IFNA(index(PlayerValues!A:A,match(IFNA(vlookup(B343,'Special Names'!A:B,2,FALSE),B343),PlayerValues!E:E,0)),"N/A")</f>
        <v>12141</v>
      </c>
      <c r="B343" s="4" t="s">
        <v>744</v>
      </c>
      <c r="C343" s="4" t="s">
        <v>283</v>
      </c>
      <c r="D343" s="94">
        <v>1529.0</v>
      </c>
    </row>
    <row r="344">
      <c r="A344" s="40" t="str">
        <f t="array" ref="A344">IFNA(index(PlayerValues!A:A,match(IFNA(vlookup(B344,'Special Names'!A:B,2,FALSE),B344),PlayerValues!E:E,0)),"N/A")</f>
        <v>N/A</v>
      </c>
      <c r="B344" s="4" t="s">
        <v>91</v>
      </c>
      <c r="C344" s="4" t="s">
        <v>325</v>
      </c>
      <c r="D344" s="94">
        <v>1527.0</v>
      </c>
    </row>
    <row r="345">
      <c r="A345" s="40" t="str">
        <f t="array" ref="A345">IFNA(index(PlayerValues!A:A,match(IFNA(vlookup(B345,'Special Names'!A:B,2,FALSE),B345),PlayerValues!E:E,0)),"N/A")</f>
        <v>N/A</v>
      </c>
      <c r="B345" s="4" t="s">
        <v>116</v>
      </c>
      <c r="C345" s="4" t="s">
        <v>325</v>
      </c>
      <c r="D345" s="94">
        <v>1527.0</v>
      </c>
    </row>
    <row r="346">
      <c r="A346" s="40">
        <f t="array" ref="A346">IFNA(index(PlayerValues!A:A,match(IFNA(vlookup(B346,'Special Names'!A:B,2,FALSE),B346),PlayerValues!E:E,0)),"N/A")</f>
        <v>16384</v>
      </c>
      <c r="B346" s="4" t="s">
        <v>696</v>
      </c>
      <c r="C346" s="4" t="s">
        <v>283</v>
      </c>
      <c r="D346" s="94">
        <v>1524.0</v>
      </c>
    </row>
    <row r="347">
      <c r="A347" s="40">
        <f t="array" ref="A347">IFNA(index(PlayerValues!A:A,match(IFNA(vlookup(B347,'Special Names'!A:B,2,FALSE),B347),PlayerValues!E:E,0)),"N/A")</f>
        <v>14137</v>
      </c>
      <c r="B347" s="4" t="s">
        <v>676</v>
      </c>
      <c r="C347" s="4" t="s">
        <v>298</v>
      </c>
      <c r="D347" s="94">
        <v>1887.0</v>
      </c>
    </row>
    <row r="348">
      <c r="A348" s="40">
        <f t="array" ref="A348">IFNA(index(PlayerValues!A:A,match(IFNA(vlookup(B348,'Special Names'!A:B,2,FALSE),B348),PlayerValues!E:E,0)),"N/A")</f>
        <v>17077</v>
      </c>
      <c r="B348" s="4" t="s">
        <v>714</v>
      </c>
      <c r="C348" s="4" t="s">
        <v>287</v>
      </c>
      <c r="D348" s="94">
        <v>1510.0</v>
      </c>
    </row>
    <row r="349">
      <c r="A349" s="40">
        <f t="array" ref="A349">IFNA(index(PlayerValues!A:A,match(IFNA(vlookup(B349,'Special Names'!A:B,2,FALSE),B349),PlayerValues!E:E,0)),"N/A")</f>
        <v>17254</v>
      </c>
      <c r="B349" s="4" t="s">
        <v>679</v>
      </c>
      <c r="C349" s="4" t="s">
        <v>287</v>
      </c>
      <c r="D349" s="94">
        <v>1506.0</v>
      </c>
    </row>
    <row r="350">
      <c r="A350" s="40">
        <f t="array" ref="A350">IFNA(index(PlayerValues!A:A,match(IFNA(vlookup(B350,'Special Names'!A:B,2,FALSE),B350),PlayerValues!E:E,0)),"N/A")</f>
        <v>16390</v>
      </c>
      <c r="B350" s="4" t="s">
        <v>689</v>
      </c>
      <c r="C350" s="4" t="s">
        <v>278</v>
      </c>
      <c r="D350" s="94">
        <v>1497.0</v>
      </c>
    </row>
    <row r="351">
      <c r="A351" s="40">
        <f t="array" ref="A351">IFNA(index(PlayerValues!A:A,match(IFNA(vlookup(B351,'Special Names'!A:B,2,FALSE),B351),PlayerValues!E:E,0)),"N/A")</f>
        <v>17269</v>
      </c>
      <c r="B351" s="4" t="s">
        <v>718</v>
      </c>
      <c r="C351" s="4" t="s">
        <v>287</v>
      </c>
      <c r="D351" s="94">
        <v>1497.0</v>
      </c>
    </row>
    <row r="352">
      <c r="A352" s="40">
        <f t="array" ref="A352">IFNA(index(PlayerValues!A:A,match(IFNA(vlookup(B352,'Special Names'!A:B,2,FALSE),B352),PlayerValues!E:E,0)),"N/A")</f>
        <v>16175</v>
      </c>
      <c r="B352" s="4" t="s">
        <v>654</v>
      </c>
      <c r="C352" s="4" t="s">
        <v>278</v>
      </c>
      <c r="D352" s="94">
        <v>1489.0</v>
      </c>
    </row>
    <row r="353">
      <c r="A353" s="40">
        <f t="array" ref="A353">IFNA(index(PlayerValues!A:A,match(IFNA(vlookup(B353,'Special Names'!A:B,2,FALSE),B353),PlayerValues!E:E,0)),"N/A")</f>
        <v>15332</v>
      </c>
      <c r="B353" s="4" t="s">
        <v>698</v>
      </c>
      <c r="C353" s="4" t="s">
        <v>298</v>
      </c>
      <c r="D353" s="94">
        <v>1863.0</v>
      </c>
    </row>
    <row r="354">
      <c r="A354" s="40">
        <f t="array" ref="A354">IFNA(index(PlayerValues!A:A,match(IFNA(vlookup(B354,'Special Names'!A:B,2,FALSE),B354),PlayerValues!E:E,0)),"N/A")</f>
        <v>16642</v>
      </c>
      <c r="B354" s="4" t="s">
        <v>691</v>
      </c>
      <c r="C354" s="4" t="s">
        <v>298</v>
      </c>
      <c r="D354" s="94">
        <v>1850.0</v>
      </c>
    </row>
    <row r="355">
      <c r="A355" s="40">
        <f t="array" ref="A355">IFNA(index(PlayerValues!A:A,match(IFNA(vlookup(B355,'Special Names'!A:B,2,FALSE),B355),PlayerValues!E:E,0)),"N/A")</f>
        <v>14080</v>
      </c>
      <c r="B355" s="4" t="s">
        <v>716</v>
      </c>
      <c r="C355" s="4" t="s">
        <v>278</v>
      </c>
      <c r="D355" s="94">
        <v>1460.0</v>
      </c>
    </row>
    <row r="356">
      <c r="A356" s="40">
        <f t="array" ref="A356">IFNA(index(PlayerValues!A:A,match(IFNA(vlookup(B356,'Special Names'!A:B,2,FALSE),B356),PlayerValues!E:E,0)),"N/A")</f>
        <v>16621</v>
      </c>
      <c r="B356" s="4" t="s">
        <v>672</v>
      </c>
      <c r="C356" s="4" t="s">
        <v>287</v>
      </c>
      <c r="D356" s="94">
        <v>1450.0</v>
      </c>
    </row>
    <row r="357">
      <c r="A357" s="40">
        <f t="array" ref="A357">IFNA(index(PlayerValues!A:A,match(IFNA(vlookup(B357,'Special Names'!A:B,2,FALSE),B357),PlayerValues!E:E,0)),"N/A")</f>
        <v>16149</v>
      </c>
      <c r="B357" s="4" t="s">
        <v>740</v>
      </c>
      <c r="C357" s="4" t="s">
        <v>283</v>
      </c>
      <c r="D357" s="94">
        <v>1446.0</v>
      </c>
    </row>
    <row r="358">
      <c r="A358" s="40">
        <f t="array" ref="A358">IFNA(index(PlayerValues!A:A,match(IFNA(vlookup(B358,'Special Names'!A:B,2,FALSE),B358),PlayerValues!E:E,0)),"N/A")</f>
        <v>17062</v>
      </c>
      <c r="B358" s="4" t="s">
        <v>701</v>
      </c>
      <c r="C358" s="4" t="s">
        <v>278</v>
      </c>
      <c r="D358" s="94">
        <v>1446.0</v>
      </c>
    </row>
    <row r="359">
      <c r="A359" s="40">
        <f t="array" ref="A359">IFNA(index(PlayerValues!A:A,match(IFNA(vlookup(B359,'Special Names'!A:B,2,FALSE),B359),PlayerValues!E:E,0)),"N/A")</f>
        <v>15727</v>
      </c>
      <c r="B359" s="4" t="s">
        <v>730</v>
      </c>
      <c r="C359" s="4" t="s">
        <v>278</v>
      </c>
      <c r="D359" s="94">
        <v>1445.0</v>
      </c>
    </row>
    <row r="360">
      <c r="A360" s="40">
        <f t="array" ref="A360">IFNA(index(PlayerValues!A:A,match(IFNA(vlookup(B360,'Special Names'!A:B,2,FALSE),B360),PlayerValues!E:E,0)),"N/A")</f>
        <v>15292</v>
      </c>
      <c r="B360" s="4" t="s">
        <v>682</v>
      </c>
      <c r="C360" s="4" t="s">
        <v>287</v>
      </c>
      <c r="D360" s="94">
        <v>1439.0</v>
      </c>
    </row>
    <row r="361">
      <c r="A361" s="40">
        <f t="array" ref="A361">IFNA(index(PlayerValues!A:A,match(IFNA(vlookup(B361,'Special Names'!A:B,2,FALSE),B361),PlayerValues!E:E,0)),"N/A")</f>
        <v>15738</v>
      </c>
      <c r="B361" s="4" t="s">
        <v>634</v>
      </c>
      <c r="C361" s="4" t="s">
        <v>278</v>
      </c>
      <c r="D361" s="94">
        <v>1424.0</v>
      </c>
    </row>
    <row r="362">
      <c r="A362" s="40">
        <f t="array" ref="A362">IFNA(index(PlayerValues!A:A,match(IFNA(vlookup(B362,'Special Names'!A:B,2,FALSE),B362),PlayerValues!E:E,0)),"N/A")</f>
        <v>13193</v>
      </c>
      <c r="B362" s="4" t="s">
        <v>773</v>
      </c>
      <c r="C362" s="4" t="s">
        <v>298</v>
      </c>
      <c r="D362" s="94">
        <v>1796.0</v>
      </c>
    </row>
    <row r="363">
      <c r="A363" s="40">
        <f t="array" ref="A363">IFNA(index(PlayerValues!A:A,match(IFNA(vlookup(B363,'Special Names'!A:B,2,FALSE),B363),PlayerValues!E:E,0)),"N/A")</f>
        <v>14592</v>
      </c>
      <c r="B363" s="4" t="s">
        <v>705</v>
      </c>
      <c r="C363" s="4" t="s">
        <v>287</v>
      </c>
      <c r="D363" s="94">
        <v>1422.0</v>
      </c>
    </row>
    <row r="364">
      <c r="A364" s="40">
        <f t="array" ref="A364">IFNA(index(PlayerValues!A:A,match(IFNA(vlookup(B364,'Special Names'!A:B,2,FALSE),B364),PlayerValues!E:E,0)),"N/A")</f>
        <v>17508</v>
      </c>
      <c r="B364" s="4" t="s">
        <v>534</v>
      </c>
      <c r="C364" s="4" t="s">
        <v>287</v>
      </c>
      <c r="D364" s="94">
        <v>1416.0</v>
      </c>
    </row>
    <row r="365">
      <c r="A365" s="40">
        <f t="array" ref="A365">IFNA(index(PlayerValues!A:A,match(IFNA(vlookup(B365,'Special Names'!A:B,2,FALSE),B365),PlayerValues!E:E,0)),"N/A")</f>
        <v>15258</v>
      </c>
      <c r="B365" s="4" t="s">
        <v>757</v>
      </c>
      <c r="C365" s="4" t="s">
        <v>278</v>
      </c>
      <c r="D365" s="94">
        <v>1409.0</v>
      </c>
    </row>
    <row r="366">
      <c r="A366" s="40">
        <f t="array" ref="A366">IFNA(index(PlayerValues!A:A,match(IFNA(vlookup(B366,'Special Names'!A:B,2,FALSE),B366),PlayerValues!E:E,0)),"N/A")</f>
        <v>13672</v>
      </c>
      <c r="B366" s="4" t="s">
        <v>667</v>
      </c>
      <c r="C366" s="4" t="s">
        <v>298</v>
      </c>
      <c r="D366" s="94">
        <v>1777.0</v>
      </c>
    </row>
    <row r="367">
      <c r="A367" s="40">
        <f t="array" ref="A367">IFNA(index(PlayerValues!A:A,match(IFNA(vlookup(B367,'Special Names'!A:B,2,FALSE),B367),PlayerValues!E:E,0)),"N/A")</f>
        <v>17547</v>
      </c>
      <c r="B367" s="4" t="s">
        <v>552</v>
      </c>
      <c r="C367" s="4" t="s">
        <v>298</v>
      </c>
      <c r="D367" s="94">
        <v>1762.0</v>
      </c>
    </row>
    <row r="368">
      <c r="A368" s="40">
        <f t="array" ref="A368">IFNA(index(PlayerValues!A:A,match(IFNA(vlookup(B368,'Special Names'!A:B,2,FALSE),B368),PlayerValues!E:E,0)),"N/A")</f>
        <v>12678</v>
      </c>
      <c r="B368" s="4" t="s">
        <v>703</v>
      </c>
      <c r="C368" s="4" t="s">
        <v>298</v>
      </c>
      <c r="D368" s="94">
        <v>1722.0</v>
      </c>
    </row>
    <row r="369">
      <c r="A369" s="40">
        <f t="array" ref="A369">IFNA(index(PlayerValues!A:A,match(IFNA(vlookup(B369,'Special Names'!A:B,2,FALSE),B369),PlayerValues!E:E,0)),"N/A")</f>
        <v>16792</v>
      </c>
      <c r="B369" s="4" t="s">
        <v>704</v>
      </c>
      <c r="C369" s="4" t="s">
        <v>287</v>
      </c>
      <c r="D369" s="94">
        <v>1341.0</v>
      </c>
    </row>
    <row r="370">
      <c r="A370" s="40" t="str">
        <f t="array" ref="A370">IFNA(index(PlayerValues!A:A,match(IFNA(vlookup(B370,'Special Names'!A:B,2,FALSE),B370),PlayerValues!E:E,0)),"N/A")</f>
        <v>N/A</v>
      </c>
      <c r="B370" s="4" t="s">
        <v>117</v>
      </c>
      <c r="C370" s="4" t="s">
        <v>325</v>
      </c>
      <c r="D370" s="94">
        <v>1338.0</v>
      </c>
    </row>
    <row r="371">
      <c r="A371" s="40">
        <f t="array" ref="A371">IFNA(index(PlayerValues!A:A,match(IFNA(vlookup(B371,'Special Names'!A:B,2,FALSE),B371),PlayerValues!E:E,0)),"N/A")</f>
        <v>17097</v>
      </c>
      <c r="B371" s="4" t="s">
        <v>659</v>
      </c>
      <c r="C371" s="4" t="s">
        <v>287</v>
      </c>
      <c r="D371" s="94">
        <v>1334.0</v>
      </c>
    </row>
    <row r="372">
      <c r="A372" s="40">
        <f t="array" ref="A372">IFNA(index(PlayerValues!A:A,match(IFNA(vlookup(B372,'Special Names'!A:B,2,FALSE),B372),PlayerValues!E:E,0)),"N/A")</f>
        <v>15702</v>
      </c>
      <c r="B372" s="4" t="s">
        <v>723</v>
      </c>
      <c r="C372" s="4" t="s">
        <v>283</v>
      </c>
      <c r="D372" s="94">
        <v>1326.0</v>
      </c>
    </row>
    <row r="373">
      <c r="A373" s="40">
        <f t="array" ref="A373">IFNA(index(PlayerValues!A:A,match(IFNA(vlookup(B373,'Special Names'!A:B,2,FALSE),B373),PlayerValues!E:E,0)),"N/A")</f>
        <v>14086</v>
      </c>
      <c r="B373" s="4" t="s">
        <v>639</v>
      </c>
      <c r="C373" s="4" t="s">
        <v>278</v>
      </c>
      <c r="D373" s="94">
        <v>1321.0</v>
      </c>
    </row>
    <row r="374">
      <c r="A374" s="40">
        <f t="array" ref="A374">IFNA(index(PlayerValues!A:A,match(IFNA(vlookup(B374,'Special Names'!A:B,2,FALSE),B374),PlayerValues!E:E,0)),"N/A")</f>
        <v>13131</v>
      </c>
      <c r="B374" s="4" t="s">
        <v>815</v>
      </c>
      <c r="C374" s="4" t="s">
        <v>278</v>
      </c>
      <c r="D374" s="94">
        <v>1320.0</v>
      </c>
    </row>
    <row r="375">
      <c r="A375" s="40">
        <f t="array" ref="A375">IFNA(index(PlayerValues!A:A,match(IFNA(vlookup(B375,'Special Names'!A:B,2,FALSE),B375),PlayerValues!E:E,0)),"N/A")</f>
        <v>17512</v>
      </c>
      <c r="B375" s="4" t="s">
        <v>483</v>
      </c>
      <c r="C375" s="4" t="s">
        <v>287</v>
      </c>
      <c r="D375" s="94">
        <v>1319.0</v>
      </c>
    </row>
    <row r="376">
      <c r="A376" s="40">
        <f t="array" ref="A376">IFNA(index(PlayerValues!A:A,match(IFNA(vlookup(B376,'Special Names'!A:B,2,FALSE),B376),PlayerValues!E:E,0)),"N/A")</f>
        <v>16183</v>
      </c>
      <c r="B376" s="4" t="s">
        <v>678</v>
      </c>
      <c r="C376" s="4" t="s">
        <v>287</v>
      </c>
      <c r="D376" s="94">
        <v>1315.0</v>
      </c>
    </row>
    <row r="377">
      <c r="A377" s="40">
        <f t="array" ref="A377">IFNA(index(PlayerValues!A:A,match(IFNA(vlookup(B377,'Special Names'!A:B,2,FALSE),B377),PlayerValues!E:E,0)),"N/A")</f>
        <v>16608</v>
      </c>
      <c r="B377" s="4" t="s">
        <v>629</v>
      </c>
      <c r="C377" s="4" t="s">
        <v>278</v>
      </c>
      <c r="D377" s="94">
        <v>1311.0</v>
      </c>
    </row>
    <row r="378">
      <c r="A378" s="40">
        <f t="array" ref="A378">IFNA(index(PlayerValues!A:A,match(IFNA(vlookup(B378,'Special Names'!A:B,2,FALSE),B378),PlayerValues!E:E,0)),"N/A")</f>
        <v>15240</v>
      </c>
      <c r="B378" s="4" t="s">
        <v>751</v>
      </c>
      <c r="C378" s="4" t="s">
        <v>283</v>
      </c>
      <c r="D378" s="94">
        <v>1293.0</v>
      </c>
    </row>
    <row r="379">
      <c r="A379" s="40">
        <f t="array" ref="A379">IFNA(index(PlayerValues!A:A,match(IFNA(vlookup(B379,'Special Names'!A:B,2,FALSE),B379),PlayerValues!E:E,0)),"N/A")</f>
        <v>17063</v>
      </c>
      <c r="B379" s="4" t="s">
        <v>686</v>
      </c>
      <c r="C379" s="4" t="s">
        <v>278</v>
      </c>
      <c r="D379" s="94">
        <v>1289.0</v>
      </c>
    </row>
    <row r="380">
      <c r="A380" s="40">
        <f t="array" ref="A380">IFNA(index(PlayerValues!A:A,match(IFNA(vlookup(B380,'Special Names'!A:B,2,FALSE),B380),PlayerValues!E:E,0)),"N/A")</f>
        <v>14067</v>
      </c>
      <c r="B380" s="4" t="s">
        <v>735</v>
      </c>
      <c r="C380" s="4" t="s">
        <v>283</v>
      </c>
      <c r="D380" s="94">
        <v>1271.0</v>
      </c>
    </row>
    <row r="381">
      <c r="A381" s="40">
        <f t="array" ref="A381">IFNA(index(PlayerValues!A:A,match(IFNA(vlookup(B381,'Special Names'!A:B,2,FALSE),B381),PlayerValues!E:E,0)),"N/A")</f>
        <v>14789</v>
      </c>
      <c r="B381" s="4" t="s">
        <v>721</v>
      </c>
      <c r="C381" s="4" t="s">
        <v>283</v>
      </c>
      <c r="D381" s="94">
        <v>1266.0</v>
      </c>
    </row>
    <row r="382">
      <c r="A382" s="40">
        <f t="array" ref="A382">IFNA(index(PlayerValues!A:A,match(IFNA(vlookup(B382,'Special Names'!A:B,2,FALSE),B382),PlayerValues!E:E,0)),"N/A")</f>
        <v>14095</v>
      </c>
      <c r="B382" s="4" t="s">
        <v>680</v>
      </c>
      <c r="C382" s="4" t="s">
        <v>278</v>
      </c>
      <c r="D382" s="94">
        <v>1258.0</v>
      </c>
    </row>
    <row r="383">
      <c r="A383" s="40">
        <f t="array" ref="A383">IFNA(index(PlayerValues!A:A,match(IFNA(vlookup(B383,'Special Names'!A:B,2,FALSE),B383),PlayerValues!E:E,0)),"N/A")</f>
        <v>16221</v>
      </c>
      <c r="B383" s="4" t="s">
        <v>725</v>
      </c>
      <c r="C383" s="4" t="s">
        <v>298</v>
      </c>
      <c r="D383" s="94">
        <v>1623.0</v>
      </c>
    </row>
    <row r="384">
      <c r="A384" s="40">
        <f t="array" ref="A384">IFNA(index(PlayerValues!A:A,match(IFNA(vlookup(B384,'Special Names'!A:B,2,FALSE),B384),PlayerValues!E:E,0)),"N/A")</f>
        <v>16746</v>
      </c>
      <c r="B384" s="4" t="s">
        <v>709</v>
      </c>
      <c r="C384" s="4" t="s">
        <v>278</v>
      </c>
      <c r="D384" s="94">
        <v>1253.0</v>
      </c>
    </row>
    <row r="385">
      <c r="A385" s="40">
        <f t="array" ref="A385">IFNA(index(PlayerValues!A:A,match(IFNA(vlookup(B385,'Special Names'!A:B,2,FALSE),B385),PlayerValues!E:E,0)),"N/A")</f>
        <v>17528</v>
      </c>
      <c r="B385" s="4" t="s">
        <v>579</v>
      </c>
      <c r="C385" s="4" t="s">
        <v>287</v>
      </c>
      <c r="D385" s="94">
        <v>1249.0</v>
      </c>
    </row>
    <row r="386">
      <c r="A386" s="40">
        <f t="array" ref="A386">IFNA(index(PlayerValues!A:A,match(IFNA(vlookup(B386,'Special Names'!A:B,2,FALSE),B386),PlayerValues!E:E,0)),"N/A")</f>
        <v>15981</v>
      </c>
      <c r="B386" s="4" t="s">
        <v>729</v>
      </c>
      <c r="C386" s="4" t="s">
        <v>287</v>
      </c>
      <c r="D386" s="94">
        <v>1247.0</v>
      </c>
    </row>
    <row r="387">
      <c r="A387" s="40">
        <f t="array" ref="A387">IFNA(index(PlayerValues!A:A,match(IFNA(vlookup(B387,'Special Names'!A:B,2,FALSE),B387),PlayerValues!E:E,0)),"N/A")</f>
        <v>16636</v>
      </c>
      <c r="B387" s="4" t="s">
        <v>699</v>
      </c>
      <c r="C387" s="4" t="s">
        <v>287</v>
      </c>
      <c r="D387" s="94">
        <v>1244.0</v>
      </c>
    </row>
    <row r="388">
      <c r="A388" s="40">
        <f t="array" ref="A388">IFNA(index(PlayerValues!A:A,match(IFNA(vlookup(B388,'Special Names'!A:B,2,FALSE),B388),PlayerValues!E:E,0)),"N/A")</f>
        <v>17546</v>
      </c>
      <c r="B388" s="4" t="s">
        <v>671</v>
      </c>
      <c r="C388" s="4" t="s">
        <v>298</v>
      </c>
      <c r="D388" s="94">
        <v>1610.0</v>
      </c>
    </row>
    <row r="389">
      <c r="A389" s="40">
        <f t="array" ref="A389">IFNA(index(PlayerValues!A:A,match(IFNA(vlookup(B389,'Special Names'!A:B,2,FALSE),B389),PlayerValues!E:E,0)),"N/A")</f>
        <v>16199</v>
      </c>
      <c r="B389" s="4" t="s">
        <v>687</v>
      </c>
      <c r="C389" s="4" t="s">
        <v>287</v>
      </c>
      <c r="D389" s="94">
        <v>1234.0</v>
      </c>
    </row>
    <row r="390">
      <c r="A390" s="40">
        <f t="array" ref="A390">IFNA(index(PlayerValues!A:A,match(IFNA(vlookup(B390,'Special Names'!A:B,2,FALSE),B390),PlayerValues!E:E,0)),"N/A")</f>
        <v>16385</v>
      </c>
      <c r="B390" s="4" t="s">
        <v>690</v>
      </c>
      <c r="C390" s="4" t="s">
        <v>278</v>
      </c>
      <c r="D390" s="94">
        <v>1231.0</v>
      </c>
    </row>
    <row r="391">
      <c r="A391" s="40">
        <f t="array" ref="A391">IFNA(index(PlayerValues!A:A,match(IFNA(vlookup(B391,'Special Names'!A:B,2,FALSE),B391),PlayerValues!E:E,0)),"N/A")</f>
        <v>13289</v>
      </c>
      <c r="B391" s="4" t="s">
        <v>746</v>
      </c>
      <c r="C391" s="4" t="s">
        <v>287</v>
      </c>
      <c r="D391" s="94">
        <v>1223.0</v>
      </c>
    </row>
    <row r="392">
      <c r="A392" s="40">
        <f t="array" ref="A392">IFNA(index(PlayerValues!A:A,match(IFNA(vlookup(B392,'Special Names'!A:B,2,FALSE),B392),PlayerValues!E:E,0)),"N/A")</f>
        <v>15288</v>
      </c>
      <c r="B392" s="4" t="s">
        <v>700</v>
      </c>
      <c r="C392" s="4" t="s">
        <v>287</v>
      </c>
      <c r="D392" s="94">
        <v>1223.0</v>
      </c>
    </row>
    <row r="393">
      <c r="A393" s="40">
        <f t="array" ref="A393">IFNA(index(PlayerValues!A:A,match(IFNA(vlookup(B393,'Special Names'!A:B,2,FALSE),B393),PlayerValues!E:E,0)),"N/A")</f>
        <v>14108</v>
      </c>
      <c r="B393" s="4" t="s">
        <v>673</v>
      </c>
      <c r="C393" s="4" t="s">
        <v>287</v>
      </c>
      <c r="D393" s="94">
        <v>1221.0</v>
      </c>
    </row>
    <row r="394">
      <c r="A394" s="40">
        <f t="array" ref="A394">IFNA(index(PlayerValues!A:A,match(IFNA(vlookup(B394,'Special Names'!A:B,2,FALSE),B394),PlayerValues!E:E,0)),"N/A")</f>
        <v>17054</v>
      </c>
      <c r="B394" s="4" t="s">
        <v>670</v>
      </c>
      <c r="C394" s="4" t="s">
        <v>278</v>
      </c>
      <c r="D394" s="94">
        <v>1200.0</v>
      </c>
    </row>
    <row r="395">
      <c r="A395" s="40">
        <f t="array" ref="A395">IFNA(index(PlayerValues!A:A,match(IFNA(vlookup(B395,'Special Names'!A:B,2,FALSE),B395),PlayerValues!E:E,0)),"N/A")</f>
        <v>16645</v>
      </c>
      <c r="B395" s="4" t="s">
        <v>651</v>
      </c>
      <c r="C395" s="4" t="s">
        <v>298</v>
      </c>
      <c r="D395" s="94">
        <v>1565.0</v>
      </c>
    </row>
    <row r="396">
      <c r="A396" s="40">
        <f t="array" ref="A396">IFNA(index(PlayerValues!A:A,match(IFNA(vlookup(B396,'Special Names'!A:B,2,FALSE),B396),PlayerValues!E:E,0)),"N/A")</f>
        <v>15692</v>
      </c>
      <c r="B396" s="4" t="s">
        <v>750</v>
      </c>
      <c r="C396" s="4" t="s">
        <v>283</v>
      </c>
      <c r="D396" s="94">
        <v>1196.0</v>
      </c>
    </row>
    <row r="397">
      <c r="A397" s="40">
        <f t="array" ref="A397">IFNA(index(PlayerValues!A:A,match(IFNA(vlookup(B397,'Special Names'!A:B,2,FALSE),B397),PlayerValues!E:E,0)),"N/A")</f>
        <v>16333</v>
      </c>
      <c r="B397" s="4" t="s">
        <v>711</v>
      </c>
      <c r="C397" s="4" t="s">
        <v>298</v>
      </c>
      <c r="D397" s="94">
        <v>1554.0</v>
      </c>
    </row>
    <row r="398">
      <c r="A398" s="40">
        <f t="array" ref="A398">IFNA(index(PlayerValues!A:A,match(IFNA(vlookup(B398,'Special Names'!A:B,2,FALSE),B398),PlayerValues!E:E,0)),"N/A")</f>
        <v>14845</v>
      </c>
      <c r="B398" s="4" t="s">
        <v>717</v>
      </c>
      <c r="C398" s="4" t="s">
        <v>287</v>
      </c>
      <c r="D398" s="94">
        <v>1182.0</v>
      </c>
    </row>
    <row r="399">
      <c r="A399" s="40">
        <f t="array" ref="A399">IFNA(index(PlayerValues!A:A,match(IFNA(vlookup(B399,'Special Names'!A:B,2,FALSE),B399),PlayerValues!E:E,0)),"N/A")</f>
        <v>16393</v>
      </c>
      <c r="B399" s="4" t="s">
        <v>768</v>
      </c>
      <c r="C399" s="4" t="s">
        <v>287</v>
      </c>
      <c r="D399" s="94">
        <v>1179.0</v>
      </c>
    </row>
    <row r="400">
      <c r="A400" s="40">
        <f t="array" ref="A400">IFNA(index(PlayerValues!A:A,match(IFNA(vlookup(B400,'Special Names'!A:B,2,FALSE),B400),PlayerValues!E:E,0)),"N/A")</f>
        <v>12263</v>
      </c>
      <c r="B400" s="4" t="s">
        <v>697</v>
      </c>
      <c r="C400" s="4" t="s">
        <v>298</v>
      </c>
      <c r="D400" s="94">
        <v>1545.0</v>
      </c>
    </row>
    <row r="401">
      <c r="A401" s="40">
        <f t="array" ref="A401">IFNA(index(PlayerValues!A:A,match(IFNA(vlookup(B401,'Special Names'!A:B,2,FALSE),B401),PlayerValues!E:E,0)),"N/A")</f>
        <v>17050</v>
      </c>
      <c r="B401" s="4" t="s">
        <v>713</v>
      </c>
      <c r="C401" s="4" t="s">
        <v>278</v>
      </c>
      <c r="D401" s="94">
        <v>1174.0</v>
      </c>
    </row>
    <row r="402">
      <c r="A402" s="40">
        <f t="array" ref="A402">IFNA(index(PlayerValues!A:A,match(IFNA(vlookup(B402,'Special Names'!A:B,2,FALSE),B402),PlayerValues!E:E,0)),"N/A")</f>
        <v>15239</v>
      </c>
      <c r="B402" s="4" t="s">
        <v>802</v>
      </c>
      <c r="C402" s="4" t="s">
        <v>283</v>
      </c>
      <c r="D402" s="94">
        <v>1172.0</v>
      </c>
    </row>
    <row r="403">
      <c r="A403" s="40">
        <f t="array" ref="A403">IFNA(index(PlayerValues!A:A,match(IFNA(vlookup(B403,'Special Names'!A:B,2,FALSE),B403),PlayerValues!E:E,0)),"N/A")</f>
        <v>16883</v>
      </c>
      <c r="B403" s="4" t="s">
        <v>683</v>
      </c>
      <c r="C403" s="4" t="s">
        <v>287</v>
      </c>
      <c r="D403" s="94">
        <v>1165.0</v>
      </c>
    </row>
    <row r="404">
      <c r="A404" s="40">
        <f t="array" ref="A404">IFNA(index(PlayerValues!A:A,match(IFNA(vlookup(B404,'Special Names'!A:B,2,FALSE),B404),PlayerValues!E:E,0)),"N/A")</f>
        <v>17481</v>
      </c>
      <c r="B404" s="4" t="s">
        <v>540</v>
      </c>
      <c r="C404" s="4" t="s">
        <v>278</v>
      </c>
      <c r="D404" s="94">
        <v>1160.0</v>
      </c>
    </row>
    <row r="405">
      <c r="A405" s="40">
        <f t="array" ref="A405">IFNA(index(PlayerValues!A:A,match(IFNA(vlookup(B405,'Special Names'!A:B,2,FALSE),B405),PlayerValues!E:E,0)),"N/A")</f>
        <v>16451</v>
      </c>
      <c r="B405" s="4" t="s">
        <v>769</v>
      </c>
      <c r="C405" s="4" t="s">
        <v>287</v>
      </c>
      <c r="D405" s="94">
        <v>1158.0</v>
      </c>
    </row>
    <row r="406">
      <c r="A406" s="40">
        <f t="array" ref="A406">IFNA(index(PlayerValues!A:A,match(IFNA(vlookup(B406,'Special Names'!A:B,2,FALSE),B406),PlayerValues!E:E,0)),"N/A")</f>
        <v>15730</v>
      </c>
      <c r="B406" s="4" t="s">
        <v>734</v>
      </c>
      <c r="C406" s="4" t="s">
        <v>278</v>
      </c>
      <c r="D406" s="94">
        <v>1147.0</v>
      </c>
    </row>
    <row r="407">
      <c r="A407" s="40">
        <f t="array" ref="A407">IFNA(index(PlayerValues!A:A,match(IFNA(vlookup(B407,'Special Names'!A:B,2,FALSE),B407),PlayerValues!E:E,0)),"N/A")</f>
        <v>15717</v>
      </c>
      <c r="B407" s="4" t="s">
        <v>745</v>
      </c>
      <c r="C407" s="4" t="s">
        <v>278</v>
      </c>
      <c r="D407" s="94">
        <v>1142.0</v>
      </c>
    </row>
    <row r="408">
      <c r="A408" s="40">
        <f t="array" ref="A408">IFNA(index(PlayerValues!A:A,match(IFNA(vlookup(B408,'Special Names'!A:B,2,FALSE),B408),PlayerValues!E:E,0)),"N/A")</f>
        <v>15693</v>
      </c>
      <c r="B408" s="4" t="s">
        <v>755</v>
      </c>
      <c r="C408" s="4" t="s">
        <v>283</v>
      </c>
      <c r="D408" s="94">
        <v>1141.0</v>
      </c>
    </row>
    <row r="409">
      <c r="A409" s="40">
        <f t="array" ref="A409">IFNA(index(PlayerValues!A:A,match(IFNA(vlookup(B409,'Special Names'!A:B,2,FALSE),B409),PlayerValues!E:E,0)),"N/A")</f>
        <v>13138</v>
      </c>
      <c r="B409" s="4" t="s">
        <v>817</v>
      </c>
      <c r="C409" s="4" t="s">
        <v>278</v>
      </c>
      <c r="D409" s="94">
        <v>1140.0</v>
      </c>
    </row>
    <row r="410">
      <c r="A410" s="40">
        <f t="array" ref="A410">IFNA(index(PlayerValues!A:A,match(IFNA(vlookup(B410,'Special Names'!A:B,2,FALSE),B410),PlayerValues!E:E,0)),"N/A")</f>
        <v>16197</v>
      </c>
      <c r="B410" s="4" t="s">
        <v>726</v>
      </c>
      <c r="C410" s="4" t="s">
        <v>287</v>
      </c>
      <c r="D410" s="94">
        <v>1130.0</v>
      </c>
    </row>
    <row r="411">
      <c r="A411" s="40">
        <f t="array" ref="A411">IFNA(index(PlayerValues!A:A,match(IFNA(vlookup(B411,'Special Names'!A:B,2,FALSE),B411),PlayerValues!E:E,0)),"N/A")</f>
        <v>17192</v>
      </c>
      <c r="B411" s="4" t="s">
        <v>677</v>
      </c>
      <c r="C411" s="4" t="s">
        <v>287</v>
      </c>
      <c r="D411" s="94">
        <v>1126.0</v>
      </c>
    </row>
    <row r="412">
      <c r="A412" s="40">
        <f t="array" ref="A412">IFNA(index(PlayerValues!A:A,match(IFNA(vlookup(B412,'Special Names'!A:B,2,FALSE),B412),PlayerValues!E:E,0)),"N/A")</f>
        <v>16637</v>
      </c>
      <c r="B412" s="4" t="s">
        <v>736</v>
      </c>
      <c r="C412" s="4" t="s">
        <v>287</v>
      </c>
      <c r="D412" s="94">
        <v>1121.0</v>
      </c>
    </row>
    <row r="413">
      <c r="A413" s="40">
        <f t="array" ref="A413">IFNA(index(PlayerValues!A:A,match(IFNA(vlookup(B413,'Special Names'!A:B,2,FALSE),B413),PlayerValues!E:E,0)),"N/A")</f>
        <v>16640</v>
      </c>
      <c r="B413" s="4" t="s">
        <v>712</v>
      </c>
      <c r="C413" s="4" t="s">
        <v>287</v>
      </c>
      <c r="D413" s="94">
        <v>1120.0</v>
      </c>
    </row>
    <row r="414">
      <c r="A414" s="40">
        <f t="array" ref="A414">IFNA(index(PlayerValues!A:A,match(IFNA(vlookup(B414,'Special Names'!A:B,2,FALSE),B414),PlayerValues!E:E,0)),"N/A")</f>
        <v>17109</v>
      </c>
      <c r="B414" s="4" t="s">
        <v>707</v>
      </c>
      <c r="C414" s="4" t="s">
        <v>298</v>
      </c>
      <c r="D414" s="94">
        <v>1485.0</v>
      </c>
    </row>
    <row r="415">
      <c r="A415" s="40">
        <f t="array" ref="A415">IFNA(index(PlayerValues!A:A,match(IFNA(vlookup(B415,'Special Names'!A:B,2,FALSE),B415),PlayerValues!E:E,0)),"N/A")</f>
        <v>17057</v>
      </c>
      <c r="B415" s="4" t="s">
        <v>708</v>
      </c>
      <c r="C415" s="4" t="s">
        <v>278</v>
      </c>
      <c r="D415" s="94">
        <v>1094.0</v>
      </c>
    </row>
    <row r="416">
      <c r="A416" s="40">
        <f t="array" ref="A416">IFNA(index(PlayerValues!A:A,match(IFNA(vlookup(B416,'Special Names'!A:B,2,FALSE),B416),PlayerValues!E:E,0)),"N/A")</f>
        <v>15785</v>
      </c>
      <c r="B416" s="4" t="s">
        <v>763</v>
      </c>
      <c r="C416" s="4" t="s">
        <v>287</v>
      </c>
      <c r="D416" s="94">
        <v>1091.0</v>
      </c>
    </row>
    <row r="417">
      <c r="A417" s="40">
        <f t="array" ref="A417">IFNA(index(PlayerValues!A:A,match(IFNA(vlookup(B417,'Special Names'!A:B,2,FALSE),B417),PlayerValues!E:E,0)),"N/A")</f>
        <v>16387</v>
      </c>
      <c r="B417" s="4" t="s">
        <v>646</v>
      </c>
      <c r="C417" s="4" t="s">
        <v>278</v>
      </c>
      <c r="D417" s="94">
        <v>1089.0</v>
      </c>
    </row>
    <row r="418">
      <c r="A418" s="40">
        <f t="array" ref="A418">IFNA(index(PlayerValues!A:A,match(IFNA(vlookup(B418,'Special Names'!A:B,2,FALSE),B418),PlayerValues!E:E,0)),"N/A")</f>
        <v>14118</v>
      </c>
      <c r="B418" s="4" t="s">
        <v>771</v>
      </c>
      <c r="C418" s="4" t="s">
        <v>287</v>
      </c>
      <c r="D418" s="94">
        <v>1087.0</v>
      </c>
    </row>
    <row r="419">
      <c r="A419" s="40">
        <f t="array" ref="A419">IFNA(index(PlayerValues!A:A,match(IFNA(vlookup(B419,'Special Names'!A:B,2,FALSE),B419),PlayerValues!E:E,0)),"N/A")</f>
        <v>9064</v>
      </c>
      <c r="B419" s="4" t="s">
        <v>761</v>
      </c>
      <c r="C419" s="4" t="s">
        <v>283</v>
      </c>
      <c r="D419" s="94">
        <v>1081.0</v>
      </c>
    </row>
    <row r="420">
      <c r="A420" s="40">
        <f t="array" ref="A420">IFNA(index(PlayerValues!A:A,match(IFNA(vlookup(B420,'Special Names'!A:B,2,FALSE),B420),PlayerValues!E:E,0)),"N/A")</f>
        <v>16219</v>
      </c>
      <c r="B420" s="4" t="s">
        <v>739</v>
      </c>
      <c r="C420" s="4" t="s">
        <v>298</v>
      </c>
      <c r="D420" s="94">
        <v>1444.0</v>
      </c>
    </row>
    <row r="421">
      <c r="A421" s="40">
        <f t="array" ref="A421">IFNA(index(PlayerValues!A:A,match(IFNA(vlookup(B421,'Special Names'!A:B,2,FALSE),B421),PlayerValues!E:E,0)),"N/A")</f>
        <v>16678</v>
      </c>
      <c r="B421" s="4" t="s">
        <v>758</v>
      </c>
      <c r="C421" s="4" t="s">
        <v>278</v>
      </c>
      <c r="D421" s="94">
        <v>1074.0</v>
      </c>
    </row>
    <row r="422">
      <c r="A422" s="40">
        <f t="array" ref="A422">IFNA(index(PlayerValues!A:A,match(IFNA(vlookup(B422,'Special Names'!A:B,2,FALSE),B422),PlayerValues!E:E,0)),"N/A")</f>
        <v>17175</v>
      </c>
      <c r="B422" s="4" t="s">
        <v>747</v>
      </c>
      <c r="C422" s="4" t="s">
        <v>287</v>
      </c>
      <c r="D422" s="94">
        <v>1059.0</v>
      </c>
    </row>
    <row r="423">
      <c r="A423" s="40">
        <f t="array" ref="A423">IFNA(index(PlayerValues!A:A,match(IFNA(vlookup(B423,'Special Names'!A:B,2,FALSE),B423),PlayerValues!E:E,0)),"N/A")</f>
        <v>17479</v>
      </c>
      <c r="B423" s="4" t="s">
        <v>756</v>
      </c>
      <c r="C423" s="4" t="s">
        <v>278</v>
      </c>
      <c r="D423" s="94">
        <v>1052.0</v>
      </c>
    </row>
    <row r="424">
      <c r="A424" s="40">
        <f t="array" ref="A424">IFNA(index(PlayerValues!A:A,match(IFNA(vlookup(B424,'Special Names'!A:B,2,FALSE),B424),PlayerValues!E:E,0)),"N/A")</f>
        <v>16648</v>
      </c>
      <c r="B424" s="4" t="s">
        <v>748</v>
      </c>
      <c r="C424" s="4" t="s">
        <v>298</v>
      </c>
      <c r="D424" s="94">
        <v>1413.0</v>
      </c>
    </row>
    <row r="425">
      <c r="A425" s="40">
        <f t="array" ref="A425">IFNA(index(PlayerValues!A:A,match(IFNA(vlookup(B425,'Special Names'!A:B,2,FALSE),B425),PlayerValues!E:E,0)),"N/A")</f>
        <v>14057</v>
      </c>
      <c r="B425" s="4" t="s">
        <v>765</v>
      </c>
      <c r="C425" s="4" t="s">
        <v>283</v>
      </c>
      <c r="D425" s="94">
        <v>1044.0</v>
      </c>
    </row>
    <row r="426">
      <c r="A426" s="40">
        <f t="array" ref="A426">IFNA(index(PlayerValues!A:A,match(IFNA(vlookup(B426,'Special Names'!A:B,2,FALSE),B426),PlayerValues!E:E,0)),"N/A")</f>
        <v>15330</v>
      </c>
      <c r="B426" s="4" t="s">
        <v>749</v>
      </c>
      <c r="C426" s="4" t="s">
        <v>298</v>
      </c>
      <c r="D426" s="94">
        <v>1407.0</v>
      </c>
    </row>
    <row r="427">
      <c r="A427" s="40">
        <f t="array" ref="A427">IFNA(index(PlayerValues!A:A,match(IFNA(vlookup(B427,'Special Names'!A:B,2,FALSE),B427),PlayerValues!E:E,0)),"N/A")</f>
        <v>15795</v>
      </c>
      <c r="B427" s="4" t="s">
        <v>669</v>
      </c>
      <c r="C427" s="4" t="s">
        <v>298</v>
      </c>
      <c r="D427" s="94">
        <v>1408.0</v>
      </c>
    </row>
    <row r="428">
      <c r="A428" s="40">
        <f t="array" ref="A428">IFNA(index(PlayerValues!A:A,match(IFNA(vlookup(B428,'Special Names'!A:B,2,FALSE),B428),PlayerValues!E:E,0)),"N/A")</f>
        <v>15718</v>
      </c>
      <c r="B428" s="4" t="s">
        <v>753</v>
      </c>
      <c r="C428" s="4" t="s">
        <v>278</v>
      </c>
      <c r="D428" s="94">
        <v>1038.0</v>
      </c>
    </row>
    <row r="429">
      <c r="A429" s="40">
        <f t="array" ref="A429">IFNA(index(PlayerValues!A:A,match(IFNA(vlookup(B429,'Special Names'!A:B,2,FALSE),B429),PlayerValues!E:E,0)),"N/A")</f>
        <v>17520</v>
      </c>
      <c r="B429" s="4" t="s">
        <v>518</v>
      </c>
      <c r="C429" s="4" t="s">
        <v>287</v>
      </c>
      <c r="D429" s="94">
        <v>1028.0</v>
      </c>
    </row>
    <row r="430">
      <c r="A430" s="40">
        <f t="array" ref="A430">IFNA(index(PlayerValues!A:A,match(IFNA(vlookup(B430,'Special Names'!A:B,2,FALSE),B430),PlayerValues!E:E,0)),"N/A")</f>
        <v>11247</v>
      </c>
      <c r="B430" s="4" t="s">
        <v>816</v>
      </c>
      <c r="C430" s="4" t="s">
        <v>298</v>
      </c>
      <c r="D430" s="94">
        <v>1394.0</v>
      </c>
    </row>
    <row r="431">
      <c r="A431" s="40">
        <f t="array" ref="A431">IFNA(index(PlayerValues!A:A,match(IFNA(vlookup(B431,'Special Names'!A:B,2,FALSE),B431),PlayerValues!E:E,0)),"N/A")</f>
        <v>17486</v>
      </c>
      <c r="B431" s="4" t="s">
        <v>695</v>
      </c>
      <c r="C431" s="4" t="s">
        <v>278</v>
      </c>
      <c r="D431" s="94">
        <v>1026.0</v>
      </c>
    </row>
    <row r="432">
      <c r="A432" s="40">
        <f t="array" ref="A432">IFNA(index(PlayerValues!A:A,match(IFNA(vlookup(B432,'Special Names'!A:B,2,FALSE),B432),PlayerValues!E:E,0)),"N/A")</f>
        <v>14849</v>
      </c>
      <c r="B432" s="4" t="s">
        <v>733</v>
      </c>
      <c r="C432" s="4" t="s">
        <v>287</v>
      </c>
      <c r="D432" s="94">
        <v>1025.0</v>
      </c>
    </row>
    <row r="433">
      <c r="A433" s="40">
        <f t="array" ref="A433">IFNA(index(PlayerValues!A:A,match(IFNA(vlookup(B433,'Special Names'!A:B,2,FALSE),B433),PlayerValues!E:E,0)),"N/A")</f>
        <v>15766</v>
      </c>
      <c r="B433" s="4" t="s">
        <v>759</v>
      </c>
      <c r="C433" s="4" t="s">
        <v>287</v>
      </c>
      <c r="D433" s="94">
        <v>1023.0</v>
      </c>
    </row>
    <row r="434">
      <c r="A434" s="40">
        <f t="array" ref="A434">IFNA(index(PlayerValues!A:A,match(IFNA(vlookup(B434,'Special Names'!A:B,2,FALSE),B434),PlayerValues!E:E,0)),"N/A")</f>
        <v>15720</v>
      </c>
      <c r="B434" s="4" t="s">
        <v>795</v>
      </c>
      <c r="C434" s="4" t="s">
        <v>278</v>
      </c>
      <c r="D434" s="94">
        <v>1022.0</v>
      </c>
    </row>
    <row r="435">
      <c r="A435" s="40">
        <f t="array" ref="A435">IFNA(index(PlayerValues!A:A,match(IFNA(vlookup(B435,'Special Names'!A:B,2,FALSE),B435),PlayerValues!E:E,0)),"N/A")</f>
        <v>17467</v>
      </c>
      <c r="B435" s="4" t="s">
        <v>575</v>
      </c>
      <c r="C435" s="4" t="s">
        <v>283</v>
      </c>
      <c r="D435" s="94">
        <v>1008.0</v>
      </c>
    </row>
    <row r="436">
      <c r="A436" s="40">
        <f t="array" ref="A436">IFNA(index(PlayerValues!A:A,match(IFNA(vlookup(B436,'Special Names'!A:B,2,FALSE),B436),PlayerValues!E:E,0)),"N/A")</f>
        <v>17487</v>
      </c>
      <c r="B436" s="4" t="s">
        <v>692</v>
      </c>
      <c r="C436" s="4" t="s">
        <v>278</v>
      </c>
      <c r="D436" s="94">
        <v>1004.0</v>
      </c>
    </row>
    <row r="437">
      <c r="A437" s="40">
        <f t="array" ref="A437">IFNA(index(PlayerValues!A:A,match(IFNA(vlookup(B437,'Special Names'!A:B,2,FALSE),B437),PlayerValues!E:E,0)),"N/A")</f>
        <v>16159</v>
      </c>
      <c r="B437" s="4" t="s">
        <v>819</v>
      </c>
      <c r="C437" s="4" t="s">
        <v>283</v>
      </c>
      <c r="D437" s="94">
        <v>1002.0</v>
      </c>
    </row>
    <row r="438">
      <c r="A438" s="40">
        <f t="array" ref="A438">IFNA(index(PlayerValues!A:A,match(IFNA(vlookup(B438,'Special Names'!A:B,2,FALSE),B438),PlayerValues!E:E,0)),"N/A")</f>
        <v>16168</v>
      </c>
      <c r="B438" s="4" t="s">
        <v>738</v>
      </c>
      <c r="C438" s="4" t="s">
        <v>278</v>
      </c>
      <c r="D438" s="94">
        <v>1000.0</v>
      </c>
    </row>
    <row r="439">
      <c r="A439" s="40">
        <f t="array" ref="A439">IFNA(index(PlayerValues!A:A,match(IFNA(vlookup(B439,'Special Names'!A:B,2,FALSE),B439),PlayerValues!E:E,0)),"N/A")</f>
        <v>16858</v>
      </c>
      <c r="B439" s="4" t="s">
        <v>754</v>
      </c>
      <c r="C439" s="4" t="s">
        <v>287</v>
      </c>
      <c r="D439" s="94">
        <v>994.0</v>
      </c>
    </row>
    <row r="440">
      <c r="A440" s="40">
        <f t="array" ref="A440">IFNA(index(PlayerValues!A:A,match(IFNA(vlookup(B440,'Special Names'!A:B,2,FALSE),B440),PlayerValues!E:E,0)),"N/A")</f>
        <v>17475</v>
      </c>
      <c r="B440" s="4" t="s">
        <v>615</v>
      </c>
      <c r="C440" s="4" t="s">
        <v>278</v>
      </c>
      <c r="D440" s="94">
        <v>994.0</v>
      </c>
    </row>
    <row r="441">
      <c r="A441" s="40">
        <f t="array" ref="A441">IFNA(index(PlayerValues!A:A,match(IFNA(vlookup(B441,'Special Names'!A:B,2,FALSE),B441),PlayerValues!E:E,0)),"N/A")</f>
        <v>15626</v>
      </c>
      <c r="B441" s="4" t="s">
        <v>766</v>
      </c>
      <c r="C441" s="4" t="s">
        <v>298</v>
      </c>
      <c r="D441" s="94">
        <v>1352.0</v>
      </c>
    </row>
    <row r="442">
      <c r="A442" s="40">
        <f t="array" ref="A442">IFNA(index(PlayerValues!A:A,match(IFNA(vlookup(B442,'Special Names'!A:B,2,FALSE),B442),PlayerValues!E:E,0)),"N/A")</f>
        <v>14799</v>
      </c>
      <c r="B442" s="4" t="s">
        <v>829</v>
      </c>
      <c r="C442" s="4" t="s">
        <v>278</v>
      </c>
      <c r="D442" s="94">
        <v>982.0</v>
      </c>
    </row>
    <row r="443">
      <c r="A443" s="40">
        <f t="array" ref="A443">IFNA(index(PlayerValues!A:A,match(IFNA(vlookup(B443,'Special Names'!A:B,2,FALSE),B443),PlayerValues!E:E,0)),"N/A")</f>
        <v>14864</v>
      </c>
      <c r="B443" s="4" t="s">
        <v>789</v>
      </c>
      <c r="C443" s="4" t="s">
        <v>287</v>
      </c>
      <c r="D443" s="94">
        <v>970.0</v>
      </c>
    </row>
    <row r="444">
      <c r="A444" s="40">
        <f t="array" ref="A444">IFNA(index(PlayerValues!A:A,match(IFNA(vlookup(B444,'Special Names'!A:B,2,FALSE),B444),PlayerValues!E:E,0)),"N/A")</f>
        <v>16176</v>
      </c>
      <c r="B444" s="4" t="s">
        <v>812</v>
      </c>
      <c r="C444" s="4" t="s">
        <v>278</v>
      </c>
      <c r="D444" s="94">
        <v>970.0</v>
      </c>
    </row>
    <row r="445">
      <c r="A445" s="40">
        <f t="array" ref="A445">IFNA(index(PlayerValues!A:A,match(IFNA(vlookup(B445,'Special Names'!A:B,2,FALSE),B445),PlayerValues!E:E,0)),"N/A")</f>
        <v>15263</v>
      </c>
      <c r="B445" s="4" t="s">
        <v>804</v>
      </c>
      <c r="C445" s="4" t="s">
        <v>278</v>
      </c>
      <c r="D445" s="94">
        <v>966.0</v>
      </c>
    </row>
    <row r="446">
      <c r="A446" s="40">
        <f t="array" ref="A446">IFNA(index(PlayerValues!A:A,match(IFNA(vlookup(B446,'Special Names'!A:B,2,FALSE),B446),PlayerValues!E:E,0)),"N/A")</f>
        <v>17510</v>
      </c>
      <c r="B446" s="4" t="s">
        <v>661</v>
      </c>
      <c r="C446" s="4" t="s">
        <v>287</v>
      </c>
      <c r="D446" s="94">
        <v>963.0</v>
      </c>
    </row>
    <row r="447">
      <c r="A447" s="40">
        <f t="array" ref="A447">IFNA(index(PlayerValues!A:A,match(IFNA(vlookup(B447,'Special Names'!A:B,2,FALSE),B447),PlayerValues!E:E,0)),"N/A")</f>
        <v>16205</v>
      </c>
      <c r="B447" s="4" t="s">
        <v>742</v>
      </c>
      <c r="C447" s="4" t="s">
        <v>287</v>
      </c>
      <c r="D447" s="94">
        <v>953.0</v>
      </c>
    </row>
    <row r="448">
      <c r="A448" s="40">
        <f t="array" ref="A448">IFNA(index(PlayerValues!A:A,match(IFNA(vlookup(B448,'Special Names'!A:B,2,FALSE),B448),PlayerValues!E:E,0)),"N/A")</f>
        <v>16773</v>
      </c>
      <c r="B448" s="4" t="s">
        <v>783</v>
      </c>
      <c r="C448" s="4" t="s">
        <v>278</v>
      </c>
      <c r="D448" s="94">
        <v>952.0</v>
      </c>
    </row>
    <row r="449">
      <c r="A449" s="40">
        <f t="array" ref="A449">IFNA(index(PlayerValues!A:A,match(IFNA(vlookup(B449,'Special Names'!A:B,2,FALSE),B449),PlayerValues!E:E,0)),"N/A")</f>
        <v>17504</v>
      </c>
      <c r="B449" s="4" t="s">
        <v>693</v>
      </c>
      <c r="C449" s="4" t="s">
        <v>287</v>
      </c>
      <c r="D449" s="94">
        <v>946.0</v>
      </c>
    </row>
    <row r="450">
      <c r="A450" s="40">
        <f t="array" ref="A450">IFNA(index(PlayerValues!A:A,match(IFNA(vlookup(B450,'Special Names'!A:B,2,FALSE),B450),PlayerValues!E:E,0)),"N/A")</f>
        <v>17545</v>
      </c>
      <c r="B450" s="4" t="s">
        <v>719</v>
      </c>
      <c r="C450" s="4" t="s">
        <v>298</v>
      </c>
      <c r="D450" s="94">
        <v>1314.0</v>
      </c>
    </row>
    <row r="451">
      <c r="A451" s="40">
        <f t="array" ref="A451">IFNA(index(PlayerValues!A:A,match(IFNA(vlookup(B451,'Special Names'!A:B,2,FALSE),B451),PlayerValues!E:E,0)),"N/A")</f>
        <v>16416</v>
      </c>
      <c r="B451" s="4" t="s">
        <v>752</v>
      </c>
      <c r="C451" s="4" t="s">
        <v>287</v>
      </c>
      <c r="D451" s="94">
        <v>943.0</v>
      </c>
    </row>
    <row r="452">
      <c r="A452" s="40">
        <f t="array" ref="A452">IFNA(index(PlayerValues!A:A,match(IFNA(vlookup(B452,'Special Names'!A:B,2,FALSE),B452),PlayerValues!E:E,0)),"N/A")</f>
        <v>16599</v>
      </c>
      <c r="B452" s="4" t="s">
        <v>737</v>
      </c>
      <c r="C452" s="4" t="s">
        <v>278</v>
      </c>
      <c r="D452" s="94">
        <v>942.0</v>
      </c>
    </row>
    <row r="453">
      <c r="A453" s="40">
        <f t="array" ref="A453">IFNA(index(PlayerValues!A:A,match(IFNA(vlookup(B453,'Special Names'!A:B,2,FALSE),B453),PlayerValues!E:E,0)),"N/A")</f>
        <v>16624</v>
      </c>
      <c r="B453" s="4" t="s">
        <v>796</v>
      </c>
      <c r="C453" s="4" t="s">
        <v>287</v>
      </c>
      <c r="D453" s="94">
        <v>942.0</v>
      </c>
    </row>
    <row r="454">
      <c r="A454" s="40">
        <f t="array" ref="A454">IFNA(index(PlayerValues!A:A,match(IFNA(vlookup(B454,'Special Names'!A:B,2,FALSE),B454),PlayerValues!E:E,0)),"N/A")</f>
        <v>13595</v>
      </c>
      <c r="B454" s="4" t="s">
        <v>818</v>
      </c>
      <c r="C454" s="4" t="s">
        <v>283</v>
      </c>
      <c r="D454" s="94">
        <v>938.0</v>
      </c>
    </row>
    <row r="455">
      <c r="A455" s="40">
        <f t="array" ref="A455">IFNA(index(PlayerValues!A:A,match(IFNA(vlookup(B455,'Special Names'!A:B,2,FALSE),B455),PlayerValues!E:E,0)),"N/A")</f>
        <v>15723</v>
      </c>
      <c r="B455" s="4" t="s">
        <v>798</v>
      </c>
      <c r="C455" s="4" t="s">
        <v>278</v>
      </c>
      <c r="D455" s="94">
        <v>930.0</v>
      </c>
    </row>
    <row r="456">
      <c r="A456" s="40">
        <f t="array" ref="A456">IFNA(index(PlayerValues!A:A,match(IFNA(vlookup(B456,'Special Names'!A:B,2,FALSE),B456),PlayerValues!E:E,0)),"N/A")</f>
        <v>15109</v>
      </c>
      <c r="B456" s="4" t="s">
        <v>728</v>
      </c>
      <c r="C456" s="4" t="s">
        <v>287</v>
      </c>
      <c r="D456" s="94">
        <v>928.0</v>
      </c>
    </row>
    <row r="457">
      <c r="A457" s="40">
        <f t="array" ref="A457">IFNA(index(PlayerValues!A:A,match(IFNA(vlookup(B457,'Special Names'!A:B,2,FALSE),B457),PlayerValues!E:E,0)),"N/A")</f>
        <v>13133</v>
      </c>
      <c r="B457" s="4" t="s">
        <v>764</v>
      </c>
      <c r="C457" s="4" t="s">
        <v>278</v>
      </c>
      <c r="D457" s="94">
        <v>926.0</v>
      </c>
    </row>
    <row r="458">
      <c r="A458" s="40">
        <f t="array" ref="A458">IFNA(index(PlayerValues!A:A,match(IFNA(vlookup(B458,'Special Names'!A:B,2,FALSE),B458),PlayerValues!E:E,0)),"N/A")</f>
        <v>13610</v>
      </c>
      <c r="B458" s="4" t="s">
        <v>825</v>
      </c>
      <c r="C458" s="4" t="s">
        <v>278</v>
      </c>
      <c r="D458" s="94">
        <v>914.0</v>
      </c>
    </row>
    <row r="459">
      <c r="A459" s="40">
        <f t="array" ref="A459">IFNA(index(PlayerValues!A:A,match(IFNA(vlookup(B459,'Special Names'!A:B,2,FALSE),B459),PlayerValues!E:E,0)),"N/A")</f>
        <v>12785</v>
      </c>
      <c r="B459" s="4" t="s">
        <v>772</v>
      </c>
      <c r="C459" s="4" t="s">
        <v>287</v>
      </c>
      <c r="D459" s="94">
        <v>907.0</v>
      </c>
    </row>
    <row r="460">
      <c r="A460" s="40">
        <f t="array" ref="A460">IFNA(index(PlayerValues!A:A,match(IFNA(vlookup(B460,'Special Names'!A:B,2,FALSE),B460),PlayerValues!E:E,0)),"N/A")</f>
        <v>16751</v>
      </c>
      <c r="B460" s="4" t="s">
        <v>762</v>
      </c>
      <c r="C460" s="4" t="s">
        <v>287</v>
      </c>
      <c r="D460" s="94">
        <v>905.0</v>
      </c>
    </row>
    <row r="461">
      <c r="A461" s="40">
        <f t="array" ref="A461">IFNA(index(PlayerValues!A:A,match(IFNA(vlookup(B461,'Special Names'!A:B,2,FALSE),B461),PlayerValues!E:E,0)),"N/A")</f>
        <v>16957</v>
      </c>
      <c r="B461" s="4" t="s">
        <v>806</v>
      </c>
      <c r="C461" s="4" t="s">
        <v>278</v>
      </c>
      <c r="D461" s="94">
        <v>904.0</v>
      </c>
    </row>
    <row r="462">
      <c r="A462" s="40">
        <f t="array" ref="A462">IFNA(index(PlayerValues!A:A,match(IFNA(vlookup(B462,'Special Names'!A:B,2,FALSE),B462),PlayerValues!E:E,0)),"N/A")</f>
        <v>14079</v>
      </c>
      <c r="B462" s="4" t="s">
        <v>830</v>
      </c>
      <c r="C462" s="4" t="s">
        <v>278</v>
      </c>
      <c r="D462" s="94">
        <v>889.0</v>
      </c>
    </row>
    <row r="463">
      <c r="A463" s="40">
        <f t="array" ref="A463">IFNA(index(PlayerValues!A:A,match(IFNA(vlookup(B463,'Special Names'!A:B,2,FALSE),B463),PlayerValues!E:E,0)),"N/A")</f>
        <v>13143</v>
      </c>
      <c r="B463" s="4" t="s">
        <v>786</v>
      </c>
      <c r="C463" s="4" t="s">
        <v>278</v>
      </c>
      <c r="D463" s="94">
        <v>889.0</v>
      </c>
    </row>
    <row r="464">
      <c r="A464" s="40">
        <f t="array" ref="A464">IFNA(index(PlayerValues!A:A,match(IFNA(vlookup(B464,'Special Names'!A:B,2,FALSE),B464),PlayerValues!E:E,0)),"N/A")</f>
        <v>15796</v>
      </c>
      <c r="B464" s="4" t="s">
        <v>794</v>
      </c>
      <c r="C464" s="4" t="s">
        <v>298</v>
      </c>
      <c r="D464" s="94">
        <v>1256.0</v>
      </c>
    </row>
    <row r="465">
      <c r="A465" s="40">
        <f t="array" ref="A465">IFNA(index(PlayerValues!A:A,match(IFNA(vlookup(B465,'Special Names'!A:B,2,FALSE),B465),PlayerValues!E:E,0)),"N/A")</f>
        <v>16606</v>
      </c>
      <c r="B465" s="4" t="s">
        <v>743</v>
      </c>
      <c r="C465" s="4" t="s">
        <v>278</v>
      </c>
      <c r="D465" s="94">
        <v>883.0</v>
      </c>
    </row>
    <row r="466">
      <c r="A466" s="40">
        <f t="array" ref="A466">IFNA(index(PlayerValues!A:A,match(IFNA(vlookup(B466,'Special Names'!A:B,2,FALSE),B466),PlayerValues!E:E,0)),"N/A")</f>
        <v>13113</v>
      </c>
      <c r="B466" s="4" t="s">
        <v>606</v>
      </c>
      <c r="C466" s="4" t="s">
        <v>283</v>
      </c>
      <c r="D466" s="94">
        <v>873.0</v>
      </c>
    </row>
    <row r="467">
      <c r="A467" s="40">
        <f t="array" ref="A467">IFNA(index(PlayerValues!A:A,match(IFNA(vlookup(B467,'Special Names'!A:B,2,FALSE),B467),PlayerValues!E:E,0)),"N/A")</f>
        <v>11232</v>
      </c>
      <c r="B467" s="4" t="s">
        <v>826</v>
      </c>
      <c r="C467" s="4" t="s">
        <v>287</v>
      </c>
      <c r="D467" s="94">
        <v>870.0</v>
      </c>
    </row>
    <row r="468">
      <c r="A468" s="40">
        <f t="array" ref="A468">IFNA(index(PlayerValues!A:A,match(IFNA(vlookup(B468,'Special Names'!A:B,2,FALSE),B468),PlayerValues!E:E,0)),"N/A")</f>
        <v>17337</v>
      </c>
      <c r="B468" s="4" t="s">
        <v>793</v>
      </c>
      <c r="C468" s="4" t="s">
        <v>278</v>
      </c>
      <c r="D468" s="94">
        <v>869.0</v>
      </c>
    </row>
    <row r="469">
      <c r="A469" s="40">
        <f t="array" ref="A469">IFNA(index(PlayerValues!A:A,match(IFNA(vlookup(B469,'Special Names'!A:B,2,FALSE),B469),PlayerValues!E:E,0)),"N/A")</f>
        <v>14358</v>
      </c>
      <c r="B469" s="4" t="s">
        <v>813</v>
      </c>
      <c r="C469" s="4" t="s">
        <v>283</v>
      </c>
      <c r="D469" s="94">
        <v>857.0</v>
      </c>
    </row>
    <row r="470">
      <c r="A470" s="40">
        <f t="array" ref="A470">IFNA(index(PlayerValues!A:A,match(IFNA(vlookup(B470,'Special Names'!A:B,2,FALSE),B470),PlayerValues!E:E,0)),"N/A")</f>
        <v>15804</v>
      </c>
      <c r="B470" s="4" t="s">
        <v>821</v>
      </c>
      <c r="C470" s="4" t="s">
        <v>298</v>
      </c>
      <c r="D470" s="94">
        <v>1226.0</v>
      </c>
    </row>
    <row r="471">
      <c r="A471" s="40">
        <f t="array" ref="A471">IFNA(index(PlayerValues!A:A,match(IFNA(vlookup(B471,'Special Names'!A:B,2,FALSE),B471),PlayerValues!E:E,0)),"N/A")</f>
        <v>15271</v>
      </c>
      <c r="B471" s="4" t="s">
        <v>741</v>
      </c>
      <c r="C471" s="4" t="s">
        <v>278</v>
      </c>
      <c r="D471" s="94">
        <v>841.0</v>
      </c>
    </row>
    <row r="472">
      <c r="A472" s="40">
        <f t="array" ref="A472">IFNA(index(PlayerValues!A:A,match(IFNA(vlookup(B472,'Special Names'!A:B,2,FALSE),B472),PlayerValues!E:E,0)),"N/A")</f>
        <v>14223</v>
      </c>
      <c r="B472" s="4" t="s">
        <v>785</v>
      </c>
      <c r="C472" s="4" t="s">
        <v>278</v>
      </c>
      <c r="D472" s="94">
        <v>837.0</v>
      </c>
    </row>
    <row r="473">
      <c r="A473" s="40">
        <f t="array" ref="A473">IFNA(index(PlayerValues!A:A,match(IFNA(vlookup(B473,'Special Names'!A:B,2,FALSE),B473),PlayerValues!E:E,0)),"N/A")</f>
        <v>16623</v>
      </c>
      <c r="B473" s="4" t="s">
        <v>803</v>
      </c>
      <c r="C473" s="4" t="s">
        <v>287</v>
      </c>
      <c r="D473" s="94">
        <v>830.0</v>
      </c>
    </row>
    <row r="474">
      <c r="A474" s="40">
        <f t="array" ref="A474">IFNA(index(PlayerValues!A:A,match(IFNA(vlookup(B474,'Special Names'!A:B,2,FALSE),B474),PlayerValues!E:E,0)),"N/A")</f>
        <v>13156</v>
      </c>
      <c r="B474" s="4" t="s">
        <v>835</v>
      </c>
      <c r="C474" s="4" t="s">
        <v>287</v>
      </c>
      <c r="D474" s="94">
        <v>827.0</v>
      </c>
    </row>
    <row r="475">
      <c r="A475" s="40">
        <f t="array" ref="A475">IFNA(index(PlayerValues!A:A,match(IFNA(vlookup(B475,'Special Names'!A:B,2,FALSE),B475),PlayerValues!E:E,0)),"N/A")</f>
        <v>16170</v>
      </c>
      <c r="B475" s="4" t="s">
        <v>801</v>
      </c>
      <c r="C475" s="4" t="s">
        <v>278</v>
      </c>
      <c r="D475" s="94">
        <v>817.0</v>
      </c>
    </row>
    <row r="476">
      <c r="A476" s="40">
        <f t="array" ref="A476">IFNA(index(PlayerValues!A:A,match(IFNA(vlookup(B476,'Special Names'!A:B,2,FALSE),B476),PlayerValues!E:E,0)),"N/A")</f>
        <v>16625</v>
      </c>
      <c r="B476" s="4" t="s">
        <v>778</v>
      </c>
      <c r="C476" s="4" t="s">
        <v>287</v>
      </c>
      <c r="D476" s="94">
        <v>814.0</v>
      </c>
    </row>
    <row r="477">
      <c r="A477" s="40">
        <f t="array" ref="A477">IFNA(index(PlayerValues!A:A,match(IFNA(vlookup(B477,'Special Names'!A:B,2,FALSE),B477),PlayerValues!E:E,0)),"N/A")</f>
        <v>16686</v>
      </c>
      <c r="B477" s="4" t="s">
        <v>805</v>
      </c>
      <c r="C477" s="4" t="s">
        <v>287</v>
      </c>
      <c r="D477" s="94">
        <v>807.0</v>
      </c>
    </row>
    <row r="478">
      <c r="A478" s="40">
        <f t="array" ref="A478">IFNA(index(PlayerValues!A:A,match(IFNA(vlookup(B478,'Special Names'!A:B,2,FALSE),B478),PlayerValues!E:E,0)),"N/A")</f>
        <v>14805</v>
      </c>
      <c r="B478" s="4" t="s">
        <v>770</v>
      </c>
      <c r="C478" s="4" t="s">
        <v>278</v>
      </c>
      <c r="D478" s="94">
        <v>806.0</v>
      </c>
    </row>
    <row r="479">
      <c r="A479" s="40">
        <f t="array" ref="A479">IFNA(index(PlayerValues!A:A,match(IFNA(vlookup(B479,'Special Names'!A:B,2,FALSE),B479),PlayerValues!E:E,0)),"N/A")</f>
        <v>13157</v>
      </c>
      <c r="B479" s="4" t="s">
        <v>836</v>
      </c>
      <c r="C479" s="4" t="s">
        <v>287</v>
      </c>
      <c r="D479" s="94">
        <v>776.0</v>
      </c>
    </row>
    <row r="480">
      <c r="A480" s="40">
        <f t="array" ref="A480">IFNA(index(PlayerValues!A:A,match(IFNA(vlookup(B480,'Special Names'!A:B,2,FALSE),B480),PlayerValues!E:E,0)),"N/A")</f>
        <v>14852</v>
      </c>
      <c r="B480" s="4" t="s">
        <v>837</v>
      </c>
      <c r="C480" s="4" t="s">
        <v>278</v>
      </c>
      <c r="D480" s="94">
        <v>775.0</v>
      </c>
    </row>
    <row r="481">
      <c r="A481" s="40">
        <f t="array" ref="A481">IFNA(index(PlayerValues!A:A,match(IFNA(vlookup(B481,'Special Names'!A:B,2,FALSE),B481),PlayerValues!E:E,0)),"N/A")</f>
        <v>15285</v>
      </c>
      <c r="B481" s="4" t="s">
        <v>792</v>
      </c>
      <c r="C481" s="4" t="s">
        <v>287</v>
      </c>
      <c r="D481" s="94">
        <v>755.0</v>
      </c>
    </row>
    <row r="482">
      <c r="A482" s="40">
        <f t="array" ref="A482">IFNA(index(PlayerValues!A:A,match(IFNA(vlookup(B482,'Special Names'!A:B,2,FALSE),B482),PlayerValues!E:E,0)),"N/A")</f>
        <v>17038</v>
      </c>
      <c r="B482" s="4" t="s">
        <v>774</v>
      </c>
      <c r="C482" s="4" t="s">
        <v>283</v>
      </c>
      <c r="D482" s="94">
        <v>755.0</v>
      </c>
    </row>
    <row r="483">
      <c r="A483" s="40">
        <f t="array" ref="A483">IFNA(index(PlayerValues!A:A,match(IFNA(vlookup(B483,'Special Names'!A:B,2,FALSE),B483),PlayerValues!E:E,0)),"N/A")</f>
        <v>14858</v>
      </c>
      <c r="B483" s="4" t="s">
        <v>799</v>
      </c>
      <c r="C483" s="4" t="s">
        <v>287</v>
      </c>
      <c r="D483" s="94">
        <v>749.0</v>
      </c>
    </row>
    <row r="484">
      <c r="A484" s="40">
        <f t="array" ref="A484">IFNA(index(PlayerValues!A:A,match(IFNA(vlookup(B484,'Special Names'!A:B,2,FALSE),B484),PlayerValues!E:E,0)),"N/A")</f>
        <v>15965</v>
      </c>
      <c r="B484" s="4" t="s">
        <v>791</v>
      </c>
      <c r="C484" s="4" t="s">
        <v>278</v>
      </c>
      <c r="D484" s="94">
        <v>748.0</v>
      </c>
    </row>
    <row r="485">
      <c r="A485" s="40">
        <f t="array" ref="A485">IFNA(index(PlayerValues!A:A,match(IFNA(vlookup(B485,'Special Names'!A:B,2,FALSE),B485),PlayerValues!E:E,0)),"N/A")</f>
        <v>12610</v>
      </c>
      <c r="B485" s="4" t="s">
        <v>838</v>
      </c>
      <c r="C485" s="4" t="s">
        <v>283</v>
      </c>
      <c r="D485" s="94">
        <v>744.0</v>
      </c>
    </row>
    <row r="486">
      <c r="A486" s="40">
        <f t="array" ref="A486">IFNA(index(PlayerValues!A:A,match(IFNA(vlookup(B486,'Special Names'!A:B,2,FALSE),B486),PlayerValues!E:E,0)),"N/A")</f>
        <v>14113</v>
      </c>
      <c r="B486" s="4" t="s">
        <v>788</v>
      </c>
      <c r="C486" s="4" t="s">
        <v>287</v>
      </c>
      <c r="D486" s="94">
        <v>742.0</v>
      </c>
    </row>
    <row r="487">
      <c r="A487" s="40">
        <f t="array" ref="A487">IFNA(index(PlayerValues!A:A,match(IFNA(vlookup(B487,'Special Names'!A:B,2,FALSE),B487),PlayerValues!E:E,0)),"N/A")</f>
        <v>14209</v>
      </c>
      <c r="B487" s="4" t="s">
        <v>809</v>
      </c>
      <c r="C487" s="4" t="s">
        <v>298</v>
      </c>
      <c r="D487" s="94">
        <v>1109.0</v>
      </c>
    </row>
    <row r="488">
      <c r="A488" s="40">
        <f t="array" ref="A488">IFNA(index(PlayerValues!A:A,match(IFNA(vlookup(B488,'Special Names'!A:B,2,FALSE),B488),PlayerValues!E:E,0)),"N/A")</f>
        <v>13176</v>
      </c>
      <c r="B488" s="4" t="s">
        <v>807</v>
      </c>
      <c r="C488" s="4" t="s">
        <v>287</v>
      </c>
      <c r="D488" s="94">
        <v>741.0</v>
      </c>
    </row>
    <row r="489">
      <c r="A489" s="40">
        <f t="array" ref="A489">IFNA(index(PlayerValues!A:A,match(IFNA(vlookup(B489,'Special Names'!A:B,2,FALSE),B489),PlayerValues!E:E,0)),"N/A")</f>
        <v>15714</v>
      </c>
      <c r="B489" s="4" t="s">
        <v>775</v>
      </c>
      <c r="C489" s="4" t="s">
        <v>278</v>
      </c>
      <c r="D489" s="94">
        <v>740.0</v>
      </c>
    </row>
    <row r="490">
      <c r="A490" s="40">
        <f t="array" ref="A490">IFNA(index(PlayerValues!A:A,match(IFNA(vlookup(B490,'Special Names'!A:B,2,FALSE),B490),PlayerValues!E:E,0)),"N/A")</f>
        <v>13675</v>
      </c>
      <c r="B490" s="4" t="s">
        <v>839</v>
      </c>
      <c r="C490" s="4" t="s">
        <v>298</v>
      </c>
      <c r="D490" s="94">
        <v>1106.0</v>
      </c>
    </row>
    <row r="491">
      <c r="A491" s="40">
        <f t="array" ref="A491">IFNA(index(PlayerValues!A:A,match(IFNA(vlookup(B491,'Special Names'!A:B,2,FALSE),B491),PlayerValues!E:E,0)),"N/A")</f>
        <v>17541</v>
      </c>
      <c r="B491" s="4" t="s">
        <v>616</v>
      </c>
      <c r="C491" s="4" t="s">
        <v>287</v>
      </c>
      <c r="D491" s="94">
        <v>722.0</v>
      </c>
    </row>
    <row r="492">
      <c r="A492" s="40">
        <f t="array" ref="A492">IFNA(index(PlayerValues!A:A,match(IFNA(vlookup(B492,'Special Names'!A:B,2,FALSE),B492),PlayerValues!E:E,0)),"N/A")</f>
        <v>16413</v>
      </c>
      <c r="B492" s="4" t="s">
        <v>781</v>
      </c>
      <c r="C492" s="4" t="s">
        <v>287</v>
      </c>
      <c r="D492" s="94">
        <v>716.0</v>
      </c>
    </row>
    <row r="493">
      <c r="A493" s="40">
        <f t="array" ref="A493">IFNA(index(PlayerValues!A:A,match(IFNA(vlookup(B493,'Special Names'!A:B,2,FALSE),B493),PlayerValues!E:E,0)),"N/A")</f>
        <v>13172</v>
      </c>
      <c r="B493" s="4" t="s">
        <v>840</v>
      </c>
      <c r="C493" s="4" t="s">
        <v>287</v>
      </c>
      <c r="D493" s="94">
        <v>712.0</v>
      </c>
    </row>
    <row r="494">
      <c r="A494" s="40">
        <f t="array" ref="A494">IFNA(index(PlayerValues!A:A,match(IFNA(vlookup(B494,'Special Names'!A:B,2,FALSE),B494),PlayerValues!E:E,0)),"N/A")</f>
        <v>10413</v>
      </c>
      <c r="B494" s="4" t="s">
        <v>811</v>
      </c>
      <c r="C494" s="4" t="s">
        <v>283</v>
      </c>
      <c r="D494" s="94">
        <v>705.0</v>
      </c>
    </row>
    <row r="495">
      <c r="A495" s="40">
        <f t="array" ref="A495">IFNA(index(PlayerValues!A:A,match(IFNA(vlookup(B495,'Special Names'!A:B,2,FALSE),B495),PlayerValues!E:E,0)),"N/A")</f>
        <v>17232</v>
      </c>
      <c r="B495" s="4" t="s">
        <v>784</v>
      </c>
      <c r="C495" s="4" t="s">
        <v>287</v>
      </c>
      <c r="D495" s="94">
        <v>700.0</v>
      </c>
    </row>
    <row r="496">
      <c r="A496" s="40">
        <f t="array" ref="A496">IFNA(index(PlayerValues!A:A,match(IFNA(vlookup(B496,'Special Names'!A:B,2,FALSE),B496),PlayerValues!E:E,0)),"N/A")</f>
        <v>17470</v>
      </c>
      <c r="B496" s="4" t="s">
        <v>841</v>
      </c>
      <c r="C496" s="4" t="s">
        <v>283</v>
      </c>
      <c r="D496" s="94">
        <v>699.0</v>
      </c>
    </row>
    <row r="497">
      <c r="A497" s="40">
        <f t="array" ref="A497">IFNA(index(PlayerValues!A:A,match(IFNA(vlookup(B497,'Special Names'!A:B,2,FALSE),B497),PlayerValues!E:E,0)),"N/A")</f>
        <v>12658</v>
      </c>
      <c r="B497" s="4" t="s">
        <v>823</v>
      </c>
      <c r="C497" s="4" t="s">
        <v>287</v>
      </c>
      <c r="D497" s="94">
        <v>690.0</v>
      </c>
    </row>
    <row r="498">
      <c r="A498" s="40">
        <f t="array" ref="A498">IFNA(index(PlayerValues!A:A,match(IFNA(vlookup(B498,'Special Names'!A:B,2,FALSE),B498),PlayerValues!E:E,0)),"N/A")</f>
        <v>16632</v>
      </c>
      <c r="B498" s="4" t="s">
        <v>842</v>
      </c>
      <c r="C498" s="4" t="s">
        <v>287</v>
      </c>
      <c r="D498" s="94">
        <v>690.0</v>
      </c>
    </row>
    <row r="499">
      <c r="A499" s="40">
        <f t="array" ref="A499">IFNA(index(PlayerValues!A:A,match(IFNA(vlookup(B499,'Special Names'!A:B,2,FALSE),B499),PlayerValues!E:E,0)),"N/A")</f>
        <v>14870</v>
      </c>
      <c r="B499" s="4" t="s">
        <v>843</v>
      </c>
      <c r="C499" s="4" t="s">
        <v>298</v>
      </c>
      <c r="D499" s="94">
        <v>1054.0</v>
      </c>
    </row>
    <row r="500">
      <c r="A500" s="40">
        <f t="array" ref="A500">IFNA(index(PlayerValues!A:A,match(IFNA(vlookup(B500,'Special Names'!A:B,2,FALSE),B500),PlayerValues!E:E,0)),"N/A")</f>
        <v>17526</v>
      </c>
      <c r="B500" s="4" t="s">
        <v>760</v>
      </c>
      <c r="C500" s="4" t="s">
        <v>287</v>
      </c>
      <c r="D500" s="94">
        <v>686.0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9984.0</v>
      </c>
    </row>
    <row r="502">
      <c r="A502" s="40">
        <f t="array" ref="A502">IFNA(index(PlayerValues!A:A,match(IFNA(vlookup(B502,'Special Names'!A:B,2,FALSE),B502),PlayerValues!E:E,0)),"N/A")</f>
        <v>16161</v>
      </c>
      <c r="B502" s="4" t="s">
        <v>277</v>
      </c>
      <c r="C502" s="4" t="s">
        <v>278</v>
      </c>
      <c r="D502" s="94">
        <v>9981.0</v>
      </c>
    </row>
    <row r="503">
      <c r="A503" s="40">
        <f t="array" ref="A503">IFNA(index(PlayerValues!A:A,match(IFNA(vlookup(B503,'Special Names'!A:B,2,FALSE),B503),PlayerValues!E:E,0)),"N/A")</f>
        <v>15281</v>
      </c>
      <c r="B503" s="4" t="s">
        <v>286</v>
      </c>
      <c r="C503" s="4" t="s">
        <v>287</v>
      </c>
      <c r="D503" s="94">
        <v>9840.0</v>
      </c>
    </row>
    <row r="504">
      <c r="A504" s="40">
        <f t="array" ref="A504">IFNA(index(PlayerValues!A:A,match(IFNA(vlookup(B504,'Special Names'!A:B,2,FALSE),B504),PlayerValues!E:E,0)),"N/A")</f>
        <v>16185</v>
      </c>
      <c r="B504" s="4" t="s">
        <v>290</v>
      </c>
      <c r="C504" s="4" t="s">
        <v>287</v>
      </c>
      <c r="D504" s="94">
        <v>9784.0</v>
      </c>
    </row>
    <row r="505">
      <c r="A505" s="40">
        <f t="array" ref="A505">IFNA(index(PlayerValues!A:A,match(IFNA(vlookup(B505,'Special Names'!A:B,2,FALSE),B505),PlayerValues!E:E,0)),"N/A")</f>
        <v>16162</v>
      </c>
      <c r="B505" s="4" t="s">
        <v>281</v>
      </c>
      <c r="C505" s="4" t="s">
        <v>278</v>
      </c>
      <c r="D505" s="94">
        <v>9645.0</v>
      </c>
    </row>
    <row r="506">
      <c r="A506" s="40">
        <f t="array" ref="A506">IFNA(index(PlayerValues!A:A,match(IFNA(vlookup(B506,'Special Names'!A:B,2,FALSE),B506),PlayerValues!E:E,0)),"N/A")</f>
        <v>16580</v>
      </c>
      <c r="B506" s="4" t="s">
        <v>291</v>
      </c>
      <c r="C506" s="4" t="s">
        <v>283</v>
      </c>
      <c r="D506" s="94">
        <v>9367.0</v>
      </c>
    </row>
    <row r="507">
      <c r="A507" s="40">
        <f t="array" ref="A507">IFNA(index(PlayerValues!A:A,match(IFNA(vlookup(B507,'Special Names'!A:B,2,FALSE),B507),PlayerValues!E:E,0)),"N/A")</f>
        <v>16211</v>
      </c>
      <c r="B507" s="4" t="s">
        <v>294</v>
      </c>
      <c r="C507" s="4" t="s">
        <v>287</v>
      </c>
      <c r="D507" s="94">
        <v>9253.0</v>
      </c>
    </row>
    <row r="508">
      <c r="A508" s="40">
        <f t="array" ref="A508">IFNA(index(PlayerValues!A:A,match(IFNA(vlookup(B508,'Special Names'!A:B,2,FALSE),B508),PlayerValues!E:E,0)),"N/A")</f>
        <v>16579</v>
      </c>
      <c r="B508" s="4" t="s">
        <v>302</v>
      </c>
      <c r="C508" s="4" t="s">
        <v>283</v>
      </c>
      <c r="D508" s="94">
        <v>7752.0</v>
      </c>
    </row>
    <row r="509">
      <c r="A509" s="40">
        <f t="array" ref="A509">IFNA(index(PlayerValues!A:A,match(IFNA(vlookup(B509,'Special Names'!A:B,2,FALSE),B509),PlayerValues!E:E,0)),"N/A")</f>
        <v>16581</v>
      </c>
      <c r="B509" s="4" t="s">
        <v>315</v>
      </c>
      <c r="C509" s="4" t="s">
        <v>283</v>
      </c>
      <c r="D509" s="94">
        <v>7751.0</v>
      </c>
    </row>
    <row r="510">
      <c r="A510" s="40">
        <f t="array" ref="A510">IFNA(index(PlayerValues!A:A,match(IFNA(vlookup(B510,'Special Names'!A:B,2,FALSE),B510),PlayerValues!E:E,0)),"N/A")</f>
        <v>16641</v>
      </c>
      <c r="B510" s="4" t="s">
        <v>297</v>
      </c>
      <c r="C510" s="4" t="s">
        <v>298</v>
      </c>
      <c r="D510" s="94">
        <v>8555.0</v>
      </c>
    </row>
    <row r="511">
      <c r="A511" s="40">
        <f t="array" ref="A511">IFNA(index(PlayerValues!A:A,match(IFNA(vlookup(B511,'Special Names'!A:B,2,FALSE),B511),PlayerValues!E:E,0)),"N/A")</f>
        <v>15287</v>
      </c>
      <c r="B511" s="4" t="s">
        <v>299</v>
      </c>
      <c r="C511" s="4" t="s">
        <v>287</v>
      </c>
      <c r="D511" s="94">
        <v>7713.0</v>
      </c>
    </row>
    <row r="512">
      <c r="A512" s="40">
        <f t="array" ref="A512">IFNA(index(PlayerValues!A:A,match(IFNA(vlookup(B512,'Special Names'!A:B,2,FALSE),B512),PlayerValues!E:E,0)),"N/A")</f>
        <v>16615</v>
      </c>
      <c r="B512" s="4" t="s">
        <v>309</v>
      </c>
      <c r="C512" s="4" t="s">
        <v>287</v>
      </c>
      <c r="D512" s="94">
        <v>7709.0</v>
      </c>
    </row>
    <row r="513">
      <c r="A513" s="40">
        <f t="array" ref="A513">IFNA(index(PlayerValues!A:A,match(IFNA(vlookup(B513,'Special Names'!A:B,2,FALSE),B513),PlayerValues!E:E,0)),"N/A")</f>
        <v>13593</v>
      </c>
      <c r="B513" s="4" t="s">
        <v>305</v>
      </c>
      <c r="C513" s="4" t="s">
        <v>283</v>
      </c>
      <c r="D513" s="94">
        <v>7682.0</v>
      </c>
    </row>
    <row r="514">
      <c r="A514" s="40">
        <f t="array" ref="A514">IFNA(index(PlayerValues!A:A,match(IFNA(vlookup(B514,'Special Names'!A:B,2,FALSE),B514),PlayerValues!E:E,0)),"N/A")</f>
        <v>14836</v>
      </c>
      <c r="B514" s="4" t="s">
        <v>306</v>
      </c>
      <c r="C514" s="4" t="s">
        <v>287</v>
      </c>
      <c r="D514" s="94">
        <v>7681.0</v>
      </c>
    </row>
    <row r="515">
      <c r="A515" s="40">
        <f t="array" ref="A515">IFNA(index(PlayerValues!A:A,match(IFNA(vlookup(B515,'Special Names'!A:B,2,FALSE),B515),PlayerValues!E:E,0)),"N/A")</f>
        <v>15794</v>
      </c>
      <c r="B515" s="4" t="s">
        <v>313</v>
      </c>
      <c r="C515" s="4" t="s">
        <v>298</v>
      </c>
      <c r="D515" s="94">
        <v>8420.0</v>
      </c>
    </row>
    <row r="516">
      <c r="A516" s="40">
        <f t="array" ref="A516">IFNA(index(PlayerValues!A:A,match(IFNA(vlookup(B516,'Special Names'!A:B,2,FALSE),B516),PlayerValues!E:E,0)),"N/A")</f>
        <v>17042</v>
      </c>
      <c r="B516" s="4" t="s">
        <v>314</v>
      </c>
      <c r="C516" s="4" t="s">
        <v>278</v>
      </c>
      <c r="D516" s="94">
        <v>7477.0</v>
      </c>
    </row>
    <row r="517">
      <c r="A517" s="40">
        <f t="array" ref="A517">IFNA(index(PlayerValues!A:A,match(IFNA(vlookup(B517,'Special Names'!A:B,2,FALSE),B517),PlayerValues!E:E,0)),"N/A")</f>
        <v>17472</v>
      </c>
      <c r="B517" s="4" t="s">
        <v>310</v>
      </c>
      <c r="C517" s="4" t="s">
        <v>278</v>
      </c>
      <c r="D517" s="94">
        <v>7416.0</v>
      </c>
    </row>
    <row r="518">
      <c r="A518" s="40">
        <f t="array" ref="A518">IFNA(index(PlayerValues!A:A,match(IFNA(vlookup(B518,'Special Names'!A:B,2,FALSE),B518),PlayerValues!E:E,0)),"N/A")</f>
        <v>14777</v>
      </c>
      <c r="B518" s="4" t="s">
        <v>318</v>
      </c>
      <c r="C518" s="4" t="s">
        <v>283</v>
      </c>
      <c r="D518" s="94">
        <v>7372.0</v>
      </c>
    </row>
    <row r="519">
      <c r="A519" s="40">
        <f t="array" ref="A519">IFNA(index(PlayerValues!A:A,match(IFNA(vlookup(B519,'Special Names'!A:B,2,FALSE),B519),PlayerValues!E:E,0)),"N/A")</f>
        <v>14832</v>
      </c>
      <c r="B519" s="4" t="s">
        <v>319</v>
      </c>
      <c r="C519" s="4" t="s">
        <v>287</v>
      </c>
      <c r="D519" s="94">
        <v>7324.0</v>
      </c>
    </row>
    <row r="520">
      <c r="A520" s="40">
        <f t="array" ref="A520">IFNA(index(PlayerValues!A:A,match(IFNA(vlookup(B520,'Special Names'!A:B,2,FALSE),B520),PlayerValues!E:E,0)),"N/A")</f>
        <v>15751</v>
      </c>
      <c r="B520" s="4" t="s">
        <v>328</v>
      </c>
      <c r="C520" s="4" t="s">
        <v>287</v>
      </c>
      <c r="D520" s="94">
        <v>6950.0</v>
      </c>
    </row>
    <row r="521">
      <c r="A521" s="40">
        <f t="array" ref="A521">IFNA(index(PlayerValues!A:A,match(IFNA(vlookup(B521,'Special Names'!A:B,2,FALSE),B521),PlayerValues!E:E,0)),"N/A")</f>
        <v>14779</v>
      </c>
      <c r="B521" s="4" t="s">
        <v>327</v>
      </c>
      <c r="C521" s="4" t="s">
        <v>283</v>
      </c>
      <c r="D521" s="94">
        <v>6921.0</v>
      </c>
    </row>
    <row r="522">
      <c r="A522" s="40" t="str">
        <f t="array" ref="A522">IFNA(index(PlayerValues!A:A,match(IFNA(vlookup(B522,'Special Names'!A:B,2,FALSE),B522),PlayerValues!E:E,0)),"N/A")</f>
        <v>N/A</v>
      </c>
      <c r="B522" s="4" t="s">
        <v>92</v>
      </c>
      <c r="C522" s="4" t="s">
        <v>325</v>
      </c>
      <c r="D522" s="94">
        <v>6850.0</v>
      </c>
    </row>
    <row r="523">
      <c r="A523" s="40">
        <f t="array" ref="A523">IFNA(index(PlayerValues!A:A,match(IFNA(vlookup(B523,'Special Names'!A:B,2,FALSE),B523),PlayerValues!E:E,0)),"N/A")</f>
        <v>16167</v>
      </c>
      <c r="B523" s="4" t="s">
        <v>323</v>
      </c>
      <c r="C523" s="4" t="s">
        <v>278</v>
      </c>
      <c r="D523" s="94">
        <v>6835.0</v>
      </c>
    </row>
    <row r="524">
      <c r="A524" s="40">
        <f t="array" ref="A524">IFNA(index(PlayerValues!A:A,match(IFNA(vlookup(B524,'Special Names'!A:B,2,FALSE),B524),PlayerValues!E:E,0)),"N/A")</f>
        <v>13116</v>
      </c>
      <c r="B524" s="4" t="s">
        <v>345</v>
      </c>
      <c r="C524" s="4" t="s">
        <v>283</v>
      </c>
      <c r="D524" s="94">
        <v>6801.0</v>
      </c>
    </row>
    <row r="525">
      <c r="A525" s="40">
        <f t="array" ref="A525">IFNA(index(PlayerValues!A:A,match(IFNA(vlookup(B525,'Special Names'!A:B,2,FALSE),B525),PlayerValues!E:E,0)),"N/A")</f>
        <v>17044</v>
      </c>
      <c r="B525" s="4" t="s">
        <v>322</v>
      </c>
      <c r="C525" s="4" t="s">
        <v>278</v>
      </c>
      <c r="D525" s="94">
        <v>6763.0</v>
      </c>
    </row>
    <row r="526">
      <c r="A526" s="40">
        <f t="array" ref="A526">IFNA(index(PlayerValues!A:A,match(IFNA(vlookup(B526,'Special Names'!A:B,2,FALSE),B526),PlayerValues!E:E,0)),"N/A")</f>
        <v>17032</v>
      </c>
      <c r="B526" s="4" t="s">
        <v>348</v>
      </c>
      <c r="C526" s="4" t="s">
        <v>283</v>
      </c>
      <c r="D526" s="94">
        <v>6653.0</v>
      </c>
    </row>
    <row r="527">
      <c r="A527" s="40">
        <f t="array" ref="A527">IFNA(index(PlayerValues!A:A,match(IFNA(vlookup(B527,'Special Names'!A:B,2,FALSE),B527),PlayerValues!E:E,0)),"N/A")</f>
        <v>17071</v>
      </c>
      <c r="B527" s="4" t="s">
        <v>341</v>
      </c>
      <c r="C527" s="4" t="s">
        <v>287</v>
      </c>
      <c r="D527" s="94">
        <v>6645.0</v>
      </c>
    </row>
    <row r="528">
      <c r="A528" s="40">
        <f t="array" ref="A528">IFNA(index(PlayerValues!A:A,match(IFNA(vlookup(B528,'Special Names'!A:B,2,FALSE),B528),PlayerValues!E:E,0)),"N/A")</f>
        <v>14783</v>
      </c>
      <c r="B528" s="4" t="s">
        <v>342</v>
      </c>
      <c r="C528" s="4" t="s">
        <v>283</v>
      </c>
      <c r="D528" s="94">
        <v>6334.0</v>
      </c>
    </row>
    <row r="529">
      <c r="A529" s="40">
        <f t="array" ref="A529">IFNA(index(PlayerValues!A:A,match(IFNA(vlookup(B529,'Special Names'!A:B,2,FALSE),B529),PlayerValues!E:E,0)),"N/A")</f>
        <v>15237</v>
      </c>
      <c r="B529" s="4" t="s">
        <v>336</v>
      </c>
      <c r="C529" s="4" t="s">
        <v>283</v>
      </c>
      <c r="D529" s="94">
        <v>6284.0</v>
      </c>
    </row>
    <row r="530">
      <c r="A530" s="40">
        <f t="array" ref="A530">IFNA(index(PlayerValues!A:A,match(IFNA(vlookup(B530,'Special Names'!A:B,2,FALSE),B530),PlayerValues!E:E,0)),"N/A")</f>
        <v>16582</v>
      </c>
      <c r="B530" s="4" t="s">
        <v>343</v>
      </c>
      <c r="C530" s="4" t="s">
        <v>283</v>
      </c>
      <c r="D530" s="94">
        <v>6254.0</v>
      </c>
    </row>
    <row r="531">
      <c r="A531" s="40">
        <f t="array" ref="A531">IFNA(index(PlayerValues!A:A,match(IFNA(vlookup(B531,'Special Names'!A:B,2,FALSE),B531),PlayerValues!E:E,0)),"N/A")</f>
        <v>15762</v>
      </c>
      <c r="B531" s="4" t="s">
        <v>337</v>
      </c>
      <c r="C531" s="4" t="s">
        <v>287</v>
      </c>
      <c r="D531" s="94">
        <v>6067.0</v>
      </c>
    </row>
    <row r="532">
      <c r="A532" s="40">
        <f t="array" ref="A532">IFNA(index(PlayerValues!A:A,match(IFNA(vlookup(B532,'Special Names'!A:B,2,FALSE),B532),PlayerValues!E:E,0)),"N/A")</f>
        <v>17081</v>
      </c>
      <c r="B532" s="4" t="s">
        <v>340</v>
      </c>
      <c r="C532" s="4" t="s">
        <v>287</v>
      </c>
      <c r="D532" s="94">
        <v>5993.0</v>
      </c>
    </row>
    <row r="533">
      <c r="A533" s="40">
        <f t="array" ref="A533">IFNA(index(PlayerValues!A:A,match(IFNA(vlookup(B533,'Special Names'!A:B,2,FALSE),B533),PlayerValues!E:E,0)),"N/A")</f>
        <v>17104</v>
      </c>
      <c r="B533" s="4" t="s">
        <v>333</v>
      </c>
      <c r="C533" s="4" t="s">
        <v>298</v>
      </c>
      <c r="D533" s="94">
        <v>6658.0</v>
      </c>
    </row>
    <row r="534">
      <c r="A534" s="40">
        <f t="array" ref="A534">IFNA(index(PlayerValues!A:A,match(IFNA(vlookup(B534,'Special Names'!A:B,2,FALSE),B534),PlayerValues!E:E,0)),"N/A")</f>
        <v>15715</v>
      </c>
      <c r="B534" s="4" t="s">
        <v>331</v>
      </c>
      <c r="C534" s="4" t="s">
        <v>278</v>
      </c>
      <c r="D534" s="94">
        <v>5990.0</v>
      </c>
    </row>
    <row r="535">
      <c r="A535" s="40">
        <f t="array" ref="A535">IFNA(index(PlayerValues!A:A,match(IFNA(vlookup(B535,'Special Names'!A:B,2,FALSE),B535),PlayerValues!E:E,0)),"N/A")</f>
        <v>14802</v>
      </c>
      <c r="B535" s="4" t="s">
        <v>332</v>
      </c>
      <c r="C535" s="4" t="s">
        <v>278</v>
      </c>
      <c r="D535" s="94">
        <v>5987.0</v>
      </c>
    </row>
    <row r="536">
      <c r="A536" s="40">
        <f t="array" ref="A536">IFNA(index(PlayerValues!A:A,match(IFNA(vlookup(B536,'Special Names'!A:B,2,FALSE),B536),PlayerValues!E:E,0)),"N/A")</f>
        <v>15698</v>
      </c>
      <c r="B536" s="4" t="s">
        <v>358</v>
      </c>
      <c r="C536" s="4" t="s">
        <v>283</v>
      </c>
      <c r="D536" s="94">
        <v>5968.0</v>
      </c>
    </row>
    <row r="537">
      <c r="A537" s="40" t="str">
        <f t="array" ref="A537">IFNA(index(PlayerValues!A:A,match(IFNA(vlookup(B537,'Special Names'!A:B,2,FALSE),B537),PlayerValues!E:E,0)),"N/A")</f>
        <v>N/A</v>
      </c>
      <c r="B537" s="4" t="s">
        <v>79</v>
      </c>
      <c r="C537" s="4" t="s">
        <v>325</v>
      </c>
      <c r="D537" s="94">
        <v>5841.0</v>
      </c>
    </row>
    <row r="538">
      <c r="A538" s="40">
        <f t="array" ref="A538">IFNA(index(PlayerValues!A:A,match(IFNA(vlookup(B538,'Special Names'!A:B,2,FALSE),B538),PlayerValues!E:E,0)),"N/A")</f>
        <v>15753</v>
      </c>
      <c r="B538" s="4" t="s">
        <v>359</v>
      </c>
      <c r="C538" s="4" t="s">
        <v>287</v>
      </c>
      <c r="D538" s="94">
        <v>5777.0</v>
      </c>
    </row>
    <row r="539">
      <c r="A539" s="40">
        <f t="array" ref="A539">IFNA(index(PlayerValues!A:A,match(IFNA(vlookup(B539,'Special Names'!A:B,2,FALSE),B539),PlayerValues!E:E,0)),"N/A")</f>
        <v>15290</v>
      </c>
      <c r="B539" s="4" t="s">
        <v>355</v>
      </c>
      <c r="C539" s="4" t="s">
        <v>287</v>
      </c>
      <c r="D539" s="94">
        <v>5772.0</v>
      </c>
    </row>
    <row r="540">
      <c r="A540" s="40">
        <f t="array" ref="A540">IFNA(index(PlayerValues!A:A,match(IFNA(vlookup(B540,'Special Names'!A:B,2,FALSE),B540),PlayerValues!E:E,0)),"N/A")</f>
        <v>15711</v>
      </c>
      <c r="B540" s="4" t="s">
        <v>349</v>
      </c>
      <c r="C540" s="4" t="s">
        <v>278</v>
      </c>
      <c r="D540" s="94">
        <v>5764.0</v>
      </c>
    </row>
    <row r="541">
      <c r="A541" s="40">
        <f t="array" ref="A541">IFNA(index(PlayerValues!A:A,match(IFNA(vlookup(B541,'Special Names'!A:B,2,FALSE),B541),PlayerValues!E:E,0)),"N/A")</f>
        <v>17102</v>
      </c>
      <c r="B541" s="4" t="s">
        <v>344</v>
      </c>
      <c r="C541" s="4" t="s">
        <v>298</v>
      </c>
      <c r="D541" s="94">
        <v>6399.0</v>
      </c>
    </row>
    <row r="542">
      <c r="A542" s="40">
        <f t="array" ref="A542">IFNA(index(PlayerValues!A:A,match(IFNA(vlookup(B542,'Special Names'!A:B,2,FALSE),B542),PlayerValues!E:E,0)),"N/A")</f>
        <v>14782</v>
      </c>
      <c r="B542" s="4" t="s">
        <v>385</v>
      </c>
      <c r="C542" s="4" t="s">
        <v>283</v>
      </c>
      <c r="D542" s="94">
        <v>5698.0</v>
      </c>
    </row>
    <row r="543">
      <c r="A543" s="40">
        <f t="array" ref="A543">IFNA(index(PlayerValues!A:A,match(IFNA(vlookup(B543,'Special Names'!A:B,2,FALSE),B543),PlayerValues!E:E,0)),"N/A")</f>
        <v>15754</v>
      </c>
      <c r="B543" s="4" t="s">
        <v>354</v>
      </c>
      <c r="C543" s="4" t="s">
        <v>287</v>
      </c>
      <c r="D543" s="94">
        <v>5675.0</v>
      </c>
    </row>
    <row r="544">
      <c r="A544" s="40" t="str">
        <f t="array" ref="A544">IFNA(index(PlayerValues!A:A,match(IFNA(vlookup(B544,'Special Names'!A:B,2,FALSE),B544),PlayerValues!E:E,0)),"N/A")</f>
        <v>N/A</v>
      </c>
      <c r="B544" s="4" t="s">
        <v>93</v>
      </c>
      <c r="C544" s="4" t="s">
        <v>325</v>
      </c>
      <c r="D544" s="94">
        <v>5630.0</v>
      </c>
    </row>
    <row r="545">
      <c r="A545" s="40">
        <f t="array" ref="A545">IFNA(index(PlayerValues!A:A,match(IFNA(vlookup(B545,'Special Names'!A:B,2,FALSE),B545),PlayerValues!E:E,0)),"N/A")</f>
        <v>17462</v>
      </c>
      <c r="B545" s="4" t="s">
        <v>375</v>
      </c>
      <c r="C545" s="4" t="s">
        <v>283</v>
      </c>
      <c r="D545" s="94">
        <v>5595.0</v>
      </c>
    </row>
    <row r="546">
      <c r="A546" s="40">
        <f t="array" ref="A546">IFNA(index(PlayerValues!A:A,match(IFNA(vlookup(B546,'Special Names'!A:B,2,FALSE),B546),PlayerValues!E:E,0)),"N/A")</f>
        <v>16616</v>
      </c>
      <c r="B546" s="4" t="s">
        <v>389</v>
      </c>
      <c r="C546" s="4" t="s">
        <v>287</v>
      </c>
      <c r="D546" s="94">
        <v>5539.0</v>
      </c>
    </row>
    <row r="547">
      <c r="A547" s="40">
        <f t="array" ref="A547">IFNA(index(PlayerValues!A:A,match(IFNA(vlookup(B547,'Special Names'!A:B,2,FALSE),B547),PlayerValues!E:E,0)),"N/A")</f>
        <v>17043</v>
      </c>
      <c r="B547" s="4" t="s">
        <v>397</v>
      </c>
      <c r="C547" s="4" t="s">
        <v>278</v>
      </c>
      <c r="D547" s="94">
        <v>5474.0</v>
      </c>
    </row>
    <row r="548">
      <c r="A548" s="40">
        <f t="array" ref="A548">IFNA(index(PlayerValues!A:A,match(IFNA(vlookup(B548,'Special Names'!A:B,2,FALSE),B548),PlayerValues!E:E,0)),"N/A")</f>
        <v>17051</v>
      </c>
      <c r="B548" s="4" t="s">
        <v>386</v>
      </c>
      <c r="C548" s="4" t="s">
        <v>278</v>
      </c>
      <c r="D548" s="94">
        <v>5421.0</v>
      </c>
    </row>
    <row r="549">
      <c r="A549" s="40">
        <f t="array" ref="A549">IFNA(index(PlayerValues!A:A,match(IFNA(vlookup(B549,'Special Names'!A:B,2,FALSE),B549),PlayerValues!E:E,0)),"N/A")</f>
        <v>16627</v>
      </c>
      <c r="B549" s="4" t="s">
        <v>351</v>
      </c>
      <c r="C549" s="4" t="s">
        <v>287</v>
      </c>
      <c r="D549" s="94">
        <v>5399.0</v>
      </c>
    </row>
    <row r="550">
      <c r="A550" s="40">
        <f t="array" ref="A550">IFNA(index(PlayerValues!A:A,match(IFNA(vlookup(B550,'Special Names'!A:B,2,FALSE),B550),PlayerValues!E:E,0)),"N/A")</f>
        <v>17070</v>
      </c>
      <c r="B550" s="4" t="s">
        <v>370</v>
      </c>
      <c r="C550" s="4" t="s">
        <v>287</v>
      </c>
      <c r="D550" s="94">
        <v>5376.0</v>
      </c>
    </row>
    <row r="551">
      <c r="A551" s="40">
        <f t="array" ref="A551">IFNA(index(PlayerValues!A:A,match(IFNA(vlookup(B551,'Special Names'!A:B,2,FALSE),B551),PlayerValues!E:E,0)),"N/A")</f>
        <v>15708</v>
      </c>
      <c r="B551" s="4" t="s">
        <v>382</v>
      </c>
      <c r="C551" s="4" t="s">
        <v>278</v>
      </c>
      <c r="D551" s="94">
        <v>5354.0</v>
      </c>
    </row>
    <row r="552">
      <c r="A552" s="40">
        <f t="array" ref="A552">IFNA(index(PlayerValues!A:A,match(IFNA(vlookup(B552,'Special Names'!A:B,2,FALSE),B552),PlayerValues!E:E,0)),"N/A")</f>
        <v>17497</v>
      </c>
      <c r="B552" s="4" t="s">
        <v>365</v>
      </c>
      <c r="C552" s="4" t="s">
        <v>287</v>
      </c>
      <c r="D552" s="94">
        <v>5201.0</v>
      </c>
    </row>
    <row r="553">
      <c r="A553" s="40">
        <f t="array" ref="A553">IFNA(index(PlayerValues!A:A,match(IFNA(vlookup(B553,'Special Names'!A:B,2,FALSE),B553),PlayerValues!E:E,0)),"N/A")</f>
        <v>17030</v>
      </c>
      <c r="B553" s="4" t="s">
        <v>406</v>
      </c>
      <c r="C553" s="4" t="s">
        <v>283</v>
      </c>
      <c r="D553" s="94">
        <v>5147.0</v>
      </c>
    </row>
    <row r="554">
      <c r="A554" s="40">
        <f t="array" ref="A554">IFNA(index(PlayerValues!A:A,match(IFNA(vlookup(B554,'Special Names'!A:B,2,FALSE),B554),PlayerValues!E:E,0)),"N/A")</f>
        <v>13130</v>
      </c>
      <c r="B554" s="4" t="s">
        <v>374</v>
      </c>
      <c r="C554" s="4" t="s">
        <v>278</v>
      </c>
      <c r="D554" s="94">
        <v>5130.0</v>
      </c>
    </row>
    <row r="555">
      <c r="A555" s="40">
        <f t="array" ref="A555">IFNA(index(PlayerValues!A:A,match(IFNA(vlookup(B555,'Special Names'!A:B,2,FALSE),B555),PlayerValues!E:E,0)),"N/A")</f>
        <v>17499</v>
      </c>
      <c r="B555" s="4" t="s">
        <v>402</v>
      </c>
      <c r="C555" s="4" t="s">
        <v>287</v>
      </c>
      <c r="D555" s="94">
        <v>5100.0</v>
      </c>
    </row>
    <row r="556">
      <c r="A556" s="40">
        <f t="array" ref="A556">IFNA(index(PlayerValues!A:A,match(IFNA(vlookup(B556,'Special Names'!A:B,2,FALSE),B556),PlayerValues!E:E,0)),"N/A")</f>
        <v>16598</v>
      </c>
      <c r="B556" s="4" t="s">
        <v>408</v>
      </c>
      <c r="C556" s="4" t="s">
        <v>278</v>
      </c>
      <c r="D556" s="94">
        <v>5093.0</v>
      </c>
    </row>
    <row r="557">
      <c r="A557" s="40">
        <f t="array" ref="A557">IFNA(index(PlayerValues!A:A,match(IFNA(vlookup(B557,'Special Names'!A:B,2,FALSE),B557),PlayerValues!E:E,0)),"N/A")</f>
        <v>12620</v>
      </c>
      <c r="B557" s="4" t="s">
        <v>394</v>
      </c>
      <c r="C557" s="4" t="s">
        <v>283</v>
      </c>
      <c r="D557" s="94">
        <v>5061.0</v>
      </c>
    </row>
    <row r="558">
      <c r="A558" s="40">
        <f t="array" ref="A558">IFNA(index(PlayerValues!A:A,match(IFNA(vlookup(B558,'Special Names'!A:B,2,FALSE),B558),PlayerValues!E:E,0)),"N/A")</f>
        <v>16614</v>
      </c>
      <c r="B558" s="4" t="s">
        <v>403</v>
      </c>
      <c r="C558" s="4" t="s">
        <v>287</v>
      </c>
      <c r="D558" s="94">
        <v>4999.0</v>
      </c>
    </row>
    <row r="559">
      <c r="A559" s="40" t="str">
        <f t="array" ref="A559">IFNA(index(PlayerValues!A:A,match(IFNA(vlookup(B559,'Special Names'!A:B,2,FALSE),B559),PlayerValues!E:E,0)),"N/A")</f>
        <v>N/A</v>
      </c>
      <c r="B559" s="4" t="s">
        <v>104</v>
      </c>
      <c r="C559" s="4" t="s">
        <v>325</v>
      </c>
      <c r="D559" s="94">
        <v>4990.0</v>
      </c>
    </row>
    <row r="560">
      <c r="A560" s="40">
        <f t="array" ref="A560">IFNA(index(PlayerValues!A:A,match(IFNA(vlookup(B560,'Special Names'!A:B,2,FALSE),B560),PlayerValues!E:E,0)),"N/A")</f>
        <v>16181</v>
      </c>
      <c r="B560" s="4" t="s">
        <v>350</v>
      </c>
      <c r="C560" s="4" t="s">
        <v>278</v>
      </c>
      <c r="D560" s="94">
        <v>4962.0</v>
      </c>
    </row>
    <row r="561">
      <c r="A561" s="40">
        <f t="array" ref="A561">IFNA(index(PlayerValues!A:A,match(IFNA(vlookup(B561,'Special Names'!A:B,2,FALSE),B561),PlayerValues!E:E,0)),"N/A")</f>
        <v>17103</v>
      </c>
      <c r="B561" s="4" t="s">
        <v>405</v>
      </c>
      <c r="C561" s="4" t="s">
        <v>298</v>
      </c>
      <c r="D561" s="94">
        <v>5536.0</v>
      </c>
    </row>
    <row r="562">
      <c r="A562" s="40">
        <f t="array" ref="A562">IFNA(index(PlayerValues!A:A,match(IFNA(vlookup(B562,'Special Names'!A:B,2,FALSE),B562),PlayerValues!E:E,0)),"N/A")</f>
        <v>16618</v>
      </c>
      <c r="B562" s="4" t="s">
        <v>411</v>
      </c>
      <c r="C562" s="4" t="s">
        <v>287</v>
      </c>
      <c r="D562" s="94">
        <v>4929.0</v>
      </c>
    </row>
    <row r="563">
      <c r="A563" s="40">
        <f t="array" ref="A563">IFNA(index(PlayerValues!A:A,match(IFNA(vlookup(B563,'Special Names'!A:B,2,FALSE),B563),PlayerValues!E:E,0)),"N/A")</f>
        <v>15282</v>
      </c>
      <c r="B563" s="4" t="s">
        <v>364</v>
      </c>
      <c r="C563" s="4" t="s">
        <v>287</v>
      </c>
      <c r="D563" s="94">
        <v>4919.0</v>
      </c>
    </row>
    <row r="564">
      <c r="A564" s="40">
        <f t="array" ref="A564">IFNA(index(PlayerValues!A:A,match(IFNA(vlookup(B564,'Special Names'!A:B,2,FALSE),B564),PlayerValues!E:E,0)),"N/A")</f>
        <v>14835</v>
      </c>
      <c r="B564" s="4" t="s">
        <v>392</v>
      </c>
      <c r="C564" s="4" t="s">
        <v>287</v>
      </c>
      <c r="D564" s="94">
        <v>4917.0</v>
      </c>
    </row>
    <row r="565">
      <c r="A565" s="40">
        <f t="array" ref="A565">IFNA(index(PlayerValues!A:A,match(IFNA(vlookup(B565,'Special Names'!A:B,2,FALSE),B565),PlayerValues!E:E,0)),"N/A")</f>
        <v>13604</v>
      </c>
      <c r="B565" s="4" t="s">
        <v>378</v>
      </c>
      <c r="C565" s="4" t="s">
        <v>278</v>
      </c>
      <c r="D565" s="94">
        <v>4911.0</v>
      </c>
    </row>
    <row r="566">
      <c r="A566" s="40">
        <f t="array" ref="A566">IFNA(index(PlayerValues!A:A,match(IFNA(vlookup(B566,'Special Names'!A:B,2,FALSE),B566),PlayerValues!E:E,0)),"N/A")</f>
        <v>15284</v>
      </c>
      <c r="B566" s="4" t="s">
        <v>390</v>
      </c>
      <c r="C566" s="4" t="s">
        <v>287</v>
      </c>
      <c r="D566" s="94">
        <v>4867.0</v>
      </c>
    </row>
    <row r="567">
      <c r="A567" s="40">
        <f t="array" ref="A567">IFNA(index(PlayerValues!A:A,match(IFNA(vlookup(B567,'Special Names'!A:B,2,FALSE),B567),PlayerValues!E:E,0)),"N/A")</f>
        <v>15710</v>
      </c>
      <c r="B567" s="4" t="s">
        <v>395</v>
      </c>
      <c r="C567" s="4" t="s">
        <v>278</v>
      </c>
      <c r="D567" s="94">
        <v>4845.0</v>
      </c>
    </row>
    <row r="568">
      <c r="A568" s="40">
        <f t="array" ref="A568">IFNA(index(PlayerValues!A:A,match(IFNA(vlookup(B568,'Special Names'!A:B,2,FALSE),B568),PlayerValues!E:E,0)),"N/A")</f>
        <v>17498</v>
      </c>
      <c r="B568" s="4" t="s">
        <v>396</v>
      </c>
      <c r="C568" s="4" t="s">
        <v>287</v>
      </c>
      <c r="D568" s="94">
        <v>4811.0</v>
      </c>
    </row>
    <row r="569">
      <c r="A569" s="40">
        <f t="array" ref="A569">IFNA(index(PlayerValues!A:A,match(IFNA(vlookup(B569,'Special Names'!A:B,2,FALSE),B569),PlayerValues!E:E,0)),"N/A")</f>
        <v>16194</v>
      </c>
      <c r="B569" s="4" t="s">
        <v>398</v>
      </c>
      <c r="C569" s="4" t="s">
        <v>287</v>
      </c>
      <c r="D569" s="94">
        <v>4801.0</v>
      </c>
    </row>
    <row r="570">
      <c r="A570" s="40">
        <f t="array" ref="A570">IFNA(index(PlayerValues!A:A,match(IFNA(vlookup(B570,'Special Names'!A:B,2,FALSE),B570),PlayerValues!E:E,0)),"N/A")</f>
        <v>16150</v>
      </c>
      <c r="B570" s="4" t="s">
        <v>414</v>
      </c>
      <c r="C570" s="4" t="s">
        <v>283</v>
      </c>
      <c r="D570" s="94">
        <v>4794.0</v>
      </c>
    </row>
    <row r="571">
      <c r="A571" s="40">
        <f t="array" ref="A571">IFNA(index(PlayerValues!A:A,match(IFNA(vlookup(B571,'Special Names'!A:B,2,FALSE),B571),PlayerValues!E:E,0)),"N/A")</f>
        <v>14104</v>
      </c>
      <c r="B571" s="4" t="s">
        <v>379</v>
      </c>
      <c r="C571" s="4" t="s">
        <v>287</v>
      </c>
      <c r="D571" s="94">
        <v>4786.0</v>
      </c>
    </row>
    <row r="572">
      <c r="A572" s="40">
        <f t="array" ref="A572">IFNA(index(PlayerValues!A:A,match(IFNA(vlookup(B572,'Special Names'!A:B,2,FALSE),B572),PlayerValues!E:E,0)),"N/A")</f>
        <v>16222</v>
      </c>
      <c r="B572" s="4" t="s">
        <v>393</v>
      </c>
      <c r="C572" s="4" t="s">
        <v>298</v>
      </c>
      <c r="D572" s="94">
        <v>5348.0</v>
      </c>
    </row>
    <row r="573">
      <c r="A573" s="40" t="str">
        <f t="array" ref="A573">IFNA(index(PlayerValues!A:A,match(IFNA(vlookup(B573,'Special Names'!A:B,2,FALSE),B573),PlayerValues!E:E,0)),"N/A")</f>
        <v>N/A</v>
      </c>
      <c r="B573" s="4" t="s">
        <v>94</v>
      </c>
      <c r="C573" s="4" t="s">
        <v>325</v>
      </c>
      <c r="D573" s="94">
        <v>4784.0</v>
      </c>
    </row>
    <row r="574">
      <c r="A574" s="40">
        <f t="array" ref="A574">IFNA(index(PlayerValues!A:A,match(IFNA(vlookup(B574,'Special Names'!A:B,2,FALSE),B574),PlayerValues!E:E,0)),"N/A")</f>
        <v>13590</v>
      </c>
      <c r="B574" s="4" t="s">
        <v>409</v>
      </c>
      <c r="C574" s="4" t="s">
        <v>283</v>
      </c>
      <c r="D574" s="94">
        <v>4782.0</v>
      </c>
    </row>
    <row r="575">
      <c r="A575" s="40">
        <f t="array" ref="A575">IFNA(index(PlayerValues!A:A,match(IFNA(vlookup(B575,'Special Names'!A:B,2,FALSE),B575),PlayerValues!E:E,0)),"N/A")</f>
        <v>15756</v>
      </c>
      <c r="B575" s="4" t="s">
        <v>399</v>
      </c>
      <c r="C575" s="4" t="s">
        <v>287</v>
      </c>
      <c r="D575" s="94">
        <v>4773.0</v>
      </c>
    </row>
    <row r="576">
      <c r="A576" s="40">
        <f t="array" ref="A576">IFNA(index(PlayerValues!A:A,match(IFNA(vlookup(B576,'Special Names'!A:B,2,FALSE),B576),PlayerValues!E:E,0)),"N/A")</f>
        <v>13592</v>
      </c>
      <c r="B576" s="4" t="s">
        <v>418</v>
      </c>
      <c r="C576" s="4" t="s">
        <v>283</v>
      </c>
      <c r="D576" s="94">
        <v>4768.0</v>
      </c>
    </row>
    <row r="577">
      <c r="A577" s="40" t="str">
        <f t="array" ref="A577">IFNA(index(PlayerValues!A:A,match(IFNA(vlookup(B577,'Special Names'!A:B,2,FALSE),B577),PlayerValues!E:E,0)),"N/A")</f>
        <v>N/A</v>
      </c>
      <c r="B577" s="4" t="s">
        <v>80</v>
      </c>
      <c r="C577" s="4" t="s">
        <v>325</v>
      </c>
      <c r="D577" s="94">
        <v>4750.0</v>
      </c>
    </row>
    <row r="578">
      <c r="A578" s="40">
        <f t="array" ref="A578">IFNA(index(PlayerValues!A:A,match(IFNA(vlookup(B578,'Special Names'!A:B,2,FALSE),B578),PlayerValues!E:E,0)),"N/A")</f>
        <v>16190</v>
      </c>
      <c r="B578" s="4" t="s">
        <v>371</v>
      </c>
      <c r="C578" s="4" t="s">
        <v>287</v>
      </c>
      <c r="D578" s="94">
        <v>4698.0</v>
      </c>
    </row>
    <row r="579">
      <c r="A579" s="40">
        <f t="array" ref="A579">IFNA(index(PlayerValues!A:A,match(IFNA(vlookup(B579,'Special Names'!A:B,2,FALSE),B579),PlayerValues!E:E,0)),"N/A")</f>
        <v>15253</v>
      </c>
      <c r="B579" s="4" t="s">
        <v>415</v>
      </c>
      <c r="C579" s="4" t="s">
        <v>278</v>
      </c>
      <c r="D579" s="94">
        <v>4697.0</v>
      </c>
    </row>
    <row r="580">
      <c r="A580" s="40">
        <f t="array" ref="A580">IFNA(index(PlayerValues!A:A,match(IFNA(vlookup(B580,'Special Names'!A:B,2,FALSE),B580),PlayerValues!E:E,0)),"N/A")</f>
        <v>12611</v>
      </c>
      <c r="B580" s="4" t="s">
        <v>410</v>
      </c>
      <c r="C580" s="4" t="s">
        <v>283</v>
      </c>
      <c r="D580" s="94">
        <v>4676.0</v>
      </c>
    </row>
    <row r="581">
      <c r="A581" s="40">
        <f t="array" ref="A581">IFNA(index(PlayerValues!A:A,match(IFNA(vlookup(B581,'Special Names'!A:B,2,FALSE),B581),PlayerValues!E:E,0)),"N/A")</f>
        <v>17039</v>
      </c>
      <c r="B581" s="4" t="s">
        <v>400</v>
      </c>
      <c r="C581" s="4" t="s">
        <v>283</v>
      </c>
      <c r="D581" s="94">
        <v>4632.0</v>
      </c>
    </row>
    <row r="582">
      <c r="A582" s="40">
        <f t="array" ref="A582">IFNA(index(PlayerValues!A:A,match(IFNA(vlookup(B582,'Special Names'!A:B,2,FALSE),B582),PlayerValues!E:E,0)),"N/A")</f>
        <v>14073</v>
      </c>
      <c r="B582" s="4" t="s">
        <v>464</v>
      </c>
      <c r="C582" s="4" t="s">
        <v>278</v>
      </c>
      <c r="D582" s="94">
        <v>4594.0</v>
      </c>
    </row>
    <row r="583">
      <c r="A583" s="40">
        <f t="array" ref="A583">IFNA(index(PlayerValues!A:A,match(IFNA(vlookup(B583,'Special Names'!A:B,2,FALSE),B583),PlayerValues!E:E,0)),"N/A")</f>
        <v>15256</v>
      </c>
      <c r="B583" s="4" t="s">
        <v>401</v>
      </c>
      <c r="C583" s="4" t="s">
        <v>278</v>
      </c>
      <c r="D583" s="94">
        <v>4576.0</v>
      </c>
    </row>
    <row r="584">
      <c r="A584" s="40">
        <f t="array" ref="A584">IFNA(index(PlayerValues!A:A,match(IFNA(vlookup(B584,'Special Names'!A:B,2,FALSE),B584),PlayerValues!E:E,0)),"N/A")</f>
        <v>16214</v>
      </c>
      <c r="B584" s="4" t="s">
        <v>413</v>
      </c>
      <c r="C584" s="4" t="s">
        <v>298</v>
      </c>
      <c r="D584" s="94">
        <v>5097.0</v>
      </c>
    </row>
    <row r="585">
      <c r="A585" s="40" t="str">
        <f t="array" ref="A585">IFNA(index(PlayerValues!A:A,match(IFNA(vlookup(B585,'Special Names'!A:B,2,FALSE),B585),PlayerValues!E:E,0)),"N/A")</f>
        <v>N/A</v>
      </c>
      <c r="B585" s="4" t="s">
        <v>105</v>
      </c>
      <c r="C585" s="4" t="s">
        <v>325</v>
      </c>
      <c r="D585" s="94">
        <v>4539.0</v>
      </c>
    </row>
    <row r="586">
      <c r="A586" s="40">
        <f t="array" ref="A586">IFNA(index(PlayerValues!A:A,match(IFNA(vlookup(B586,'Special Names'!A:B,2,FALSE),B586),PlayerValues!E:E,0)),"N/A")</f>
        <v>15329</v>
      </c>
      <c r="B586" s="4" t="s">
        <v>416</v>
      </c>
      <c r="C586" s="4" t="s">
        <v>298</v>
      </c>
      <c r="D586" s="94">
        <v>5084.0</v>
      </c>
    </row>
    <row r="587">
      <c r="A587" s="40">
        <f t="array" ref="A587">IFNA(index(PlayerValues!A:A,match(IFNA(vlookup(B587,'Special Names'!A:B,2,FALSE),B587),PlayerValues!E:E,0)),"N/A")</f>
        <v>17045</v>
      </c>
      <c r="B587" s="4" t="s">
        <v>407</v>
      </c>
      <c r="C587" s="4" t="s">
        <v>278</v>
      </c>
      <c r="D587" s="94">
        <v>4525.0</v>
      </c>
    </row>
    <row r="588">
      <c r="A588" s="40">
        <f t="array" ref="A588">IFNA(index(PlayerValues!A:A,match(IFNA(vlookup(B588,'Special Names'!A:B,2,FALSE),B588),PlayerValues!E:E,0)),"N/A")</f>
        <v>16148</v>
      </c>
      <c r="B588" s="4" t="s">
        <v>426</v>
      </c>
      <c r="C588" s="4" t="s">
        <v>283</v>
      </c>
      <c r="D588" s="94">
        <v>4518.0</v>
      </c>
    </row>
    <row r="589">
      <c r="A589" s="40">
        <f t="array" ref="A589">IFNA(index(PlayerValues!A:A,match(IFNA(vlookup(B589,'Special Names'!A:B,2,FALSE),B589),PlayerValues!E:E,0)),"N/A")</f>
        <v>17543</v>
      </c>
      <c r="B589" s="4" t="s">
        <v>436</v>
      </c>
      <c r="C589" s="4" t="s">
        <v>298</v>
      </c>
      <c r="D589" s="94">
        <v>4944.0</v>
      </c>
    </row>
    <row r="590">
      <c r="A590" s="40">
        <f t="array" ref="A590">IFNA(index(PlayerValues!A:A,match(IFNA(vlookup(B590,'Special Names'!A:B,2,FALSE),B590),PlayerValues!E:E,0)),"N/A")</f>
        <v>14056</v>
      </c>
      <c r="B590" s="4" t="s">
        <v>423</v>
      </c>
      <c r="C590" s="4" t="s">
        <v>283</v>
      </c>
      <c r="D590" s="94">
        <v>4398.0</v>
      </c>
    </row>
    <row r="591">
      <c r="A591" s="40">
        <f t="array" ref="A591">IFNA(index(PlayerValues!A:A,match(IFNA(vlookup(B591,'Special Names'!A:B,2,FALSE),B591),PlayerValues!E:E,0)),"N/A")</f>
        <v>15768</v>
      </c>
      <c r="B591" s="4" t="s">
        <v>432</v>
      </c>
      <c r="C591" s="4" t="s">
        <v>287</v>
      </c>
      <c r="D591" s="94">
        <v>4340.0</v>
      </c>
    </row>
    <row r="592">
      <c r="A592" s="40">
        <f t="array" ref="A592">IFNA(index(PlayerValues!A:A,match(IFNA(vlookup(B592,'Special Names'!A:B,2,FALSE),B592),PlayerValues!E:E,0)),"N/A")</f>
        <v>14059</v>
      </c>
      <c r="B592" s="4" t="s">
        <v>435</v>
      </c>
      <c r="C592" s="4" t="s">
        <v>283</v>
      </c>
      <c r="D592" s="94">
        <v>4274.0</v>
      </c>
    </row>
    <row r="593">
      <c r="A593" s="40">
        <f t="array" ref="A593">IFNA(index(PlayerValues!A:A,match(IFNA(vlookup(B593,'Special Names'!A:B,2,FALSE),B593),PlayerValues!E:E,0)),"N/A")</f>
        <v>15694</v>
      </c>
      <c r="B593" s="4" t="s">
        <v>434</v>
      </c>
      <c r="C593" s="4" t="s">
        <v>283</v>
      </c>
      <c r="D593" s="94">
        <v>4123.0</v>
      </c>
    </row>
    <row r="594">
      <c r="A594" s="40">
        <f t="array" ref="A594">IFNA(index(PlayerValues!A:A,match(IFNA(vlookup(B594,'Special Names'!A:B,2,FALSE),B594),PlayerValues!E:E,0)),"N/A")</f>
        <v>17052</v>
      </c>
      <c r="B594" s="4" t="s">
        <v>417</v>
      </c>
      <c r="C594" s="4" t="s">
        <v>278</v>
      </c>
      <c r="D594" s="94">
        <v>3939.0</v>
      </c>
    </row>
    <row r="595">
      <c r="A595" s="40" t="str">
        <f t="array" ref="A595">IFNA(index(PlayerValues!A:A,match(IFNA(vlookup(B595,'Special Names'!A:B,2,FALSE),B595),PlayerValues!E:E,0)),"N/A")</f>
        <v>N/A</v>
      </c>
      <c r="B595" s="4" t="s">
        <v>107</v>
      </c>
      <c r="C595" s="4" t="s">
        <v>325</v>
      </c>
      <c r="D595" s="94">
        <v>3938.0</v>
      </c>
    </row>
    <row r="596">
      <c r="A596" s="40" t="str">
        <f t="array" ref="A596">IFNA(index(PlayerValues!A:A,match(IFNA(vlookup(B596,'Special Names'!A:B,2,FALSE),B596),PlayerValues!E:E,0)),"N/A")</f>
        <v>N/A</v>
      </c>
      <c r="B596" s="4" t="s">
        <v>81</v>
      </c>
      <c r="C596" s="4" t="s">
        <v>325</v>
      </c>
      <c r="D596" s="94">
        <v>3927.0</v>
      </c>
    </row>
    <row r="597">
      <c r="A597" s="40">
        <f t="array" ref="A597">IFNA(index(PlayerValues!A:A,match(IFNA(vlookup(B597,'Special Names'!A:B,2,FALSE),B597),PlayerValues!E:E,0)),"N/A")</f>
        <v>16186</v>
      </c>
      <c r="B597" s="4" t="s">
        <v>425</v>
      </c>
      <c r="C597" s="4" t="s">
        <v>287</v>
      </c>
      <c r="D597" s="94">
        <v>3926.0</v>
      </c>
    </row>
    <row r="598">
      <c r="A598" s="40">
        <f t="array" ref="A598">IFNA(index(PlayerValues!A:A,match(IFNA(vlookup(B598,'Special Names'!A:B,2,FALSE),B598),PlayerValues!E:E,0)),"N/A")</f>
        <v>13635</v>
      </c>
      <c r="B598" s="4" t="s">
        <v>424</v>
      </c>
      <c r="C598" s="4" t="s">
        <v>287</v>
      </c>
      <c r="D598" s="94">
        <v>3905.0</v>
      </c>
    </row>
    <row r="599">
      <c r="A599" s="40">
        <f t="array" ref="A599">IFNA(index(PlayerValues!A:A,match(IFNA(vlookup(B599,'Special Names'!A:B,2,FALSE),B599),PlayerValues!E:E,0)),"N/A")</f>
        <v>17099</v>
      </c>
      <c r="B599" s="4" t="s">
        <v>474</v>
      </c>
      <c r="C599" s="4" t="s">
        <v>298</v>
      </c>
      <c r="D599" s="94">
        <v>4349.0</v>
      </c>
    </row>
    <row r="600">
      <c r="A600" s="40">
        <f t="array" ref="A600">IFNA(index(PlayerValues!A:A,match(IFNA(vlookup(B600,'Special Names'!A:B,2,FALSE),B600),PlayerValues!E:E,0)),"N/A")</f>
        <v>12626</v>
      </c>
      <c r="B600" s="4" t="s">
        <v>419</v>
      </c>
      <c r="C600" s="4" t="s">
        <v>278</v>
      </c>
      <c r="D600" s="94">
        <v>3771.0</v>
      </c>
    </row>
    <row r="601">
      <c r="A601" s="40">
        <f t="array" ref="A601">IFNA(index(PlayerValues!A:A,match(IFNA(vlookup(B601,'Special Names'!A:B,2,FALSE),B601),PlayerValues!E:E,0)),"N/A")</f>
        <v>17068</v>
      </c>
      <c r="B601" s="4" t="s">
        <v>450</v>
      </c>
      <c r="C601" s="4" t="s">
        <v>278</v>
      </c>
      <c r="D601" s="94">
        <v>3761.0</v>
      </c>
    </row>
    <row r="602">
      <c r="A602" s="40">
        <f t="array" ref="A602">IFNA(index(PlayerValues!A:A,match(IFNA(vlookup(B602,'Special Names'!A:B,2,FALSE),B602),PlayerValues!E:E,0)),"N/A")</f>
        <v>9431</v>
      </c>
      <c r="B602" s="4" t="s">
        <v>428</v>
      </c>
      <c r="C602" s="4" t="s">
        <v>283</v>
      </c>
      <c r="D602" s="94">
        <v>3747.0</v>
      </c>
    </row>
    <row r="603">
      <c r="A603" s="40">
        <f t="array" ref="A603">IFNA(index(PlayerValues!A:A,match(IFNA(vlookup(B603,'Special Names'!A:B,2,FALSE),B603),PlayerValues!E:E,0)),"N/A")</f>
        <v>17501</v>
      </c>
      <c r="B603" s="4" t="s">
        <v>404</v>
      </c>
      <c r="C603" s="4" t="s">
        <v>287</v>
      </c>
      <c r="D603" s="94">
        <v>3740.0</v>
      </c>
    </row>
    <row r="604">
      <c r="A604" s="40" t="str">
        <f t="array" ref="A604">IFNA(index(PlayerValues!A:A,match(IFNA(vlookup(B604,'Special Names'!A:B,2,FALSE),B604),PlayerValues!E:E,0)),"N/A")</f>
        <v>N/A</v>
      </c>
      <c r="B604" s="4" t="s">
        <v>95</v>
      </c>
      <c r="C604" s="4" t="s">
        <v>325</v>
      </c>
      <c r="D604" s="94">
        <v>3734.0</v>
      </c>
    </row>
    <row r="605">
      <c r="A605" s="40">
        <f t="array" ref="A605">IFNA(index(PlayerValues!A:A,match(IFNA(vlookup(B605,'Special Names'!A:B,2,FALSE),B605),PlayerValues!E:E,0)),"N/A")</f>
        <v>16206</v>
      </c>
      <c r="B605" s="4" t="s">
        <v>431</v>
      </c>
      <c r="C605" s="4" t="s">
        <v>287</v>
      </c>
      <c r="D605" s="94">
        <v>3731.0</v>
      </c>
    </row>
    <row r="606">
      <c r="A606" s="40">
        <f t="array" ref="A606">IFNA(index(PlayerValues!A:A,match(IFNA(vlookup(B606,'Special Names'!A:B,2,FALSE),B606),PlayerValues!E:E,0)),"N/A")</f>
        <v>16169</v>
      </c>
      <c r="B606" s="4" t="s">
        <v>457</v>
      </c>
      <c r="C606" s="4" t="s">
        <v>278</v>
      </c>
      <c r="D606" s="94">
        <v>3725.0</v>
      </c>
    </row>
    <row r="607">
      <c r="A607" s="40">
        <f t="array" ref="A607">IFNA(index(PlayerValues!A:A,match(IFNA(vlookup(B607,'Special Names'!A:B,2,FALSE),B607),PlayerValues!E:E,0)),"N/A")</f>
        <v>15757</v>
      </c>
      <c r="B607" s="4" t="s">
        <v>449</v>
      </c>
      <c r="C607" s="4" t="s">
        <v>287</v>
      </c>
      <c r="D607" s="94">
        <v>3707.0</v>
      </c>
    </row>
    <row r="608">
      <c r="A608" s="40">
        <f t="array" ref="A608">IFNA(index(PlayerValues!A:A,match(IFNA(vlookup(B608,'Special Names'!A:B,2,FALSE),B608),PlayerValues!E:E,0)),"N/A")</f>
        <v>15779</v>
      </c>
      <c r="B608" s="4" t="s">
        <v>461</v>
      </c>
      <c r="C608" s="4" t="s">
        <v>287</v>
      </c>
      <c r="D608" s="94">
        <v>3688.0</v>
      </c>
    </row>
    <row r="609">
      <c r="A609" s="40">
        <f t="array" ref="A609">IFNA(index(PlayerValues!A:A,match(IFNA(vlookup(B609,'Special Names'!A:B,2,FALSE),B609),PlayerValues!E:E,0)),"N/A")</f>
        <v>17074</v>
      </c>
      <c r="B609" s="4" t="s">
        <v>475</v>
      </c>
      <c r="C609" s="4" t="s">
        <v>287</v>
      </c>
      <c r="D609" s="94">
        <v>3668.0</v>
      </c>
    </row>
    <row r="610">
      <c r="A610" s="40">
        <f t="array" ref="A610">IFNA(index(PlayerValues!A:A,match(IFNA(vlookup(B610,'Special Names'!A:B,2,FALSE),B610),PlayerValues!E:E,0)),"N/A")</f>
        <v>15789</v>
      </c>
      <c r="B610" s="4" t="s">
        <v>421</v>
      </c>
      <c r="C610" s="4" t="s">
        <v>287</v>
      </c>
      <c r="D610" s="94">
        <v>3660.0</v>
      </c>
    </row>
    <row r="611">
      <c r="A611" s="40">
        <f t="array" ref="A611">IFNA(index(PlayerValues!A:A,match(IFNA(vlookup(B611,'Special Names'!A:B,2,FALSE),B611),PlayerValues!E:E,0)),"N/A")</f>
        <v>14102</v>
      </c>
      <c r="B611" s="4" t="s">
        <v>444</v>
      </c>
      <c r="C611" s="4" t="s">
        <v>287</v>
      </c>
      <c r="D611" s="94">
        <v>3638.0</v>
      </c>
    </row>
    <row r="612">
      <c r="A612" s="40">
        <f t="array" ref="A612">IFNA(index(PlayerValues!A:A,match(IFNA(vlookup(B612,'Special Names'!A:B,2,FALSE),B612),PlayerValues!E:E,0)),"N/A")</f>
        <v>16622</v>
      </c>
      <c r="B612" s="4" t="s">
        <v>517</v>
      </c>
      <c r="C612" s="4" t="s">
        <v>287</v>
      </c>
      <c r="D612" s="94">
        <v>3614.0</v>
      </c>
    </row>
    <row r="613">
      <c r="A613" s="40">
        <f t="array" ref="A613">IFNA(index(PlayerValues!A:A,match(IFNA(vlookup(B613,'Special Names'!A:B,2,FALSE),B613),PlayerValues!E:E,0)),"N/A")</f>
        <v>16192</v>
      </c>
      <c r="B613" s="4" t="s">
        <v>412</v>
      </c>
      <c r="C613" s="4" t="s">
        <v>287</v>
      </c>
      <c r="D613" s="94">
        <v>3601.0</v>
      </c>
    </row>
    <row r="614">
      <c r="A614" s="40">
        <f t="array" ref="A614">IFNA(index(PlayerValues!A:A,match(IFNA(vlookup(B614,'Special Names'!A:B,2,FALSE),B614),PlayerValues!E:E,0)),"N/A")</f>
        <v>17083</v>
      </c>
      <c r="B614" s="4" t="s">
        <v>479</v>
      </c>
      <c r="C614" s="4" t="s">
        <v>287</v>
      </c>
      <c r="D614" s="94">
        <v>3590.0</v>
      </c>
    </row>
    <row r="615">
      <c r="A615" s="40">
        <f t="array" ref="A615">IFNA(index(PlayerValues!A:A,match(IFNA(vlookup(B615,'Special Names'!A:B,2,FALSE),B615),PlayerValues!E:E,0)),"N/A")</f>
        <v>15712</v>
      </c>
      <c r="B615" s="4" t="s">
        <v>488</v>
      </c>
      <c r="C615" s="4" t="s">
        <v>278</v>
      </c>
      <c r="D615" s="94">
        <v>3576.0</v>
      </c>
    </row>
    <row r="616">
      <c r="A616" s="40">
        <f t="array" ref="A616">IFNA(index(PlayerValues!A:A,match(IFNA(vlookup(B616,'Special Names'!A:B,2,FALSE),B616),PlayerValues!E:E,0)),"N/A")</f>
        <v>17066</v>
      </c>
      <c r="B616" s="4" t="s">
        <v>446</v>
      </c>
      <c r="C616" s="4" t="s">
        <v>278</v>
      </c>
      <c r="D616" s="94">
        <v>3559.0</v>
      </c>
    </row>
    <row r="617">
      <c r="A617" s="40">
        <f t="array" ref="A617">IFNA(index(PlayerValues!A:A,match(IFNA(vlookup(B617,'Special Names'!A:B,2,FALSE),B617),PlayerValues!E:E,0)),"N/A")</f>
        <v>11675</v>
      </c>
      <c r="B617" s="4" t="s">
        <v>438</v>
      </c>
      <c r="C617" s="4" t="s">
        <v>287</v>
      </c>
      <c r="D617" s="94">
        <v>3540.0</v>
      </c>
    </row>
    <row r="618">
      <c r="A618" s="40">
        <f t="array" ref="A618">IFNA(index(PlayerValues!A:A,match(IFNA(vlookup(B618,'Special Names'!A:B,2,FALSE),B618),PlayerValues!E:E,0)),"N/A")</f>
        <v>17075</v>
      </c>
      <c r="B618" s="4" t="s">
        <v>429</v>
      </c>
      <c r="C618" s="4" t="s">
        <v>287</v>
      </c>
      <c r="D618" s="94">
        <v>3525.0</v>
      </c>
    </row>
    <row r="619">
      <c r="A619" s="40">
        <f t="array" ref="A619">IFNA(index(PlayerValues!A:A,match(IFNA(vlookup(B619,'Special Names'!A:B,2,FALSE),B619),PlayerValues!E:E,0)),"N/A")</f>
        <v>14797</v>
      </c>
      <c r="B619" s="4" t="s">
        <v>420</v>
      </c>
      <c r="C619" s="4" t="s">
        <v>278</v>
      </c>
      <c r="D619" s="94">
        <v>3524.0</v>
      </c>
    </row>
    <row r="620">
      <c r="A620" s="40">
        <f t="array" ref="A620">IFNA(index(PlayerValues!A:A,match(IFNA(vlookup(B620,'Special Names'!A:B,2,FALSE),B620),PlayerValues!E:E,0)),"N/A")</f>
        <v>14842</v>
      </c>
      <c r="B620" s="4" t="s">
        <v>456</v>
      </c>
      <c r="C620" s="4" t="s">
        <v>287</v>
      </c>
      <c r="D620" s="94">
        <v>3522.0</v>
      </c>
    </row>
    <row r="621">
      <c r="A621" s="40">
        <f t="array" ref="A621">IFNA(index(PlayerValues!A:A,match(IFNA(vlookup(B621,'Special Names'!A:B,2,FALSE),B621),PlayerValues!E:E,0)),"N/A")</f>
        <v>15798</v>
      </c>
      <c r="B621" s="4" t="s">
        <v>443</v>
      </c>
      <c r="C621" s="4" t="s">
        <v>298</v>
      </c>
      <c r="D621" s="94">
        <v>3981.0</v>
      </c>
    </row>
    <row r="622">
      <c r="A622" s="40">
        <f t="array" ref="A622">IFNA(index(PlayerValues!A:A,match(IFNA(vlookup(B622,'Special Names'!A:B,2,FALSE),B622),PlayerValues!E:E,0)),"N/A")</f>
        <v>14071</v>
      </c>
      <c r="B622" s="4" t="s">
        <v>440</v>
      </c>
      <c r="C622" s="4" t="s">
        <v>278</v>
      </c>
      <c r="D622" s="94">
        <v>3496.0</v>
      </c>
    </row>
    <row r="623">
      <c r="A623" s="40" t="str">
        <f t="array" ref="A623">IFNA(index(PlayerValues!A:A,match(IFNA(vlookup(B623,'Special Names'!A:B,2,FALSE),B623),PlayerValues!E:E,0)),"N/A")</f>
        <v>N/A</v>
      </c>
      <c r="B623" s="4" t="s">
        <v>96</v>
      </c>
      <c r="C623" s="4" t="s">
        <v>325</v>
      </c>
      <c r="D623" s="94">
        <v>3435.0</v>
      </c>
    </row>
    <row r="624">
      <c r="A624" s="40">
        <f t="array" ref="A624">IFNA(index(PlayerValues!A:A,match(IFNA(vlookup(B624,'Special Names'!A:B,2,FALSE),B624),PlayerValues!E:E,0)),"N/A")</f>
        <v>17502</v>
      </c>
      <c r="B624" s="4" t="s">
        <v>451</v>
      </c>
      <c r="C624" s="4" t="s">
        <v>287</v>
      </c>
      <c r="D624" s="94">
        <v>3410.0</v>
      </c>
    </row>
    <row r="625">
      <c r="A625" s="40">
        <f t="array" ref="A625">IFNA(index(PlayerValues!A:A,match(IFNA(vlookup(B625,'Special Names'!A:B,2,FALSE),B625),PlayerValues!E:E,0)),"N/A")</f>
        <v>15261</v>
      </c>
      <c r="B625" s="4" t="s">
        <v>466</v>
      </c>
      <c r="C625" s="4" t="s">
        <v>278</v>
      </c>
      <c r="D625" s="94">
        <v>3397.0</v>
      </c>
    </row>
    <row r="626">
      <c r="A626" s="40">
        <f t="array" ref="A626">IFNA(index(PlayerValues!A:A,match(IFNA(vlookup(B626,'Special Names'!A:B,2,FALSE),B626),PlayerValues!E:E,0)),"N/A")</f>
        <v>16620</v>
      </c>
      <c r="B626" s="4" t="s">
        <v>467</v>
      </c>
      <c r="C626" s="4" t="s">
        <v>287</v>
      </c>
      <c r="D626" s="94">
        <v>3393.0</v>
      </c>
    </row>
    <row r="627">
      <c r="A627" s="40">
        <f t="array" ref="A627">IFNA(index(PlayerValues!A:A,match(IFNA(vlookup(B627,'Special Names'!A:B,2,FALSE),B627),PlayerValues!E:E,0)),"N/A")</f>
        <v>14109</v>
      </c>
      <c r="B627" s="4" t="s">
        <v>437</v>
      </c>
      <c r="C627" s="4" t="s">
        <v>287</v>
      </c>
      <c r="D627" s="94">
        <v>3388.0</v>
      </c>
    </row>
    <row r="628">
      <c r="A628" s="40">
        <f t="array" ref="A628">IFNA(index(PlayerValues!A:A,match(IFNA(vlookup(B628,'Special Names'!A:B,2,FALSE),B628),PlayerValues!E:E,0)),"N/A")</f>
        <v>14127</v>
      </c>
      <c r="B628" s="4" t="s">
        <v>486</v>
      </c>
      <c r="C628" s="4" t="s">
        <v>287</v>
      </c>
      <c r="D628" s="94">
        <v>3385.0</v>
      </c>
    </row>
    <row r="629">
      <c r="A629" s="40">
        <f t="array" ref="A629">IFNA(index(PlayerValues!A:A,match(IFNA(vlookup(B629,'Special Names'!A:B,2,FALSE),B629),PlayerValues!E:E,0)),"N/A")</f>
        <v>15799</v>
      </c>
      <c r="B629" s="4" t="s">
        <v>468</v>
      </c>
      <c r="C629" s="4" t="s">
        <v>298</v>
      </c>
      <c r="D629" s="94">
        <v>3818.0</v>
      </c>
    </row>
    <row r="630">
      <c r="A630" s="40" t="str">
        <f t="array" ref="A630">IFNA(index(PlayerValues!A:A,match(IFNA(vlookup(B630,'Special Names'!A:B,2,FALSE),B630),PlayerValues!E:E,0)),"N/A")</f>
        <v>N/A</v>
      </c>
      <c r="B630" s="4" t="s">
        <v>82</v>
      </c>
      <c r="C630" s="4" t="s">
        <v>325</v>
      </c>
      <c r="D630" s="94">
        <v>3360.0</v>
      </c>
    </row>
    <row r="631">
      <c r="A631" s="40">
        <f t="array" ref="A631">IFNA(index(PlayerValues!A:A,match(IFNA(vlookup(B631,'Special Names'!A:B,2,FALSE),B631),PlayerValues!E:E,0)),"N/A")</f>
        <v>17500</v>
      </c>
      <c r="B631" s="4" t="s">
        <v>430</v>
      </c>
      <c r="C631" s="4" t="s">
        <v>287</v>
      </c>
      <c r="D631" s="94">
        <v>3356.0</v>
      </c>
    </row>
    <row r="632">
      <c r="A632" s="40">
        <f t="array" ref="A632">IFNA(index(PlayerValues!A:A,match(IFNA(vlookup(B632,'Special Names'!A:B,2,FALSE),B632),PlayerValues!E:E,0)),"N/A")</f>
        <v>16187</v>
      </c>
      <c r="B632" s="4" t="s">
        <v>441</v>
      </c>
      <c r="C632" s="4" t="s">
        <v>287</v>
      </c>
      <c r="D632" s="94">
        <v>3354.0</v>
      </c>
    </row>
    <row r="633">
      <c r="A633" s="40">
        <f t="array" ref="A633">IFNA(index(PlayerValues!A:A,match(IFNA(vlookup(B633,'Special Names'!A:B,2,FALSE),B633),PlayerValues!E:E,0)),"N/A")</f>
        <v>16213</v>
      </c>
      <c r="B633" s="4" t="s">
        <v>458</v>
      </c>
      <c r="C633" s="4" t="s">
        <v>298</v>
      </c>
      <c r="D633" s="94">
        <v>3802.0</v>
      </c>
    </row>
    <row r="634">
      <c r="A634" s="40">
        <f t="array" ref="A634">IFNA(index(PlayerValues!A:A,match(IFNA(vlookup(B634,'Special Names'!A:B,2,FALSE),B634),PlayerValues!E:E,0)),"N/A")</f>
        <v>16188</v>
      </c>
      <c r="B634" s="4" t="s">
        <v>439</v>
      </c>
      <c r="C634" s="4" t="s">
        <v>287</v>
      </c>
      <c r="D634" s="94">
        <v>3349.0</v>
      </c>
    </row>
    <row r="635">
      <c r="A635" s="40">
        <f t="array" ref="A635">IFNA(index(PlayerValues!A:A,match(IFNA(vlookup(B635,'Special Names'!A:B,2,FALSE),B635),PlayerValues!E:E,0)),"N/A")</f>
        <v>11671</v>
      </c>
      <c r="B635" s="4" t="s">
        <v>463</v>
      </c>
      <c r="C635" s="4" t="s">
        <v>287</v>
      </c>
      <c r="D635" s="94">
        <v>3338.0</v>
      </c>
    </row>
    <row r="636">
      <c r="A636" s="40">
        <f t="array" ref="A636">IFNA(index(PlayerValues!A:A,match(IFNA(vlookup(B636,'Special Names'!A:B,2,FALSE),B636),PlayerValues!E:E,0)),"N/A")</f>
        <v>16184</v>
      </c>
      <c r="B636" s="4" t="s">
        <v>445</v>
      </c>
      <c r="C636" s="4" t="s">
        <v>287</v>
      </c>
      <c r="D636" s="94">
        <v>3310.0</v>
      </c>
    </row>
    <row r="637">
      <c r="A637" s="40">
        <f t="array" ref="A637">IFNA(index(PlayerValues!A:A,match(IFNA(vlookup(B637,'Special Names'!A:B,2,FALSE),B637),PlayerValues!E:E,0)),"N/A")</f>
        <v>14823</v>
      </c>
      <c r="B637" s="4" t="s">
        <v>459</v>
      </c>
      <c r="C637" s="4" t="s">
        <v>278</v>
      </c>
      <c r="D637" s="94">
        <v>3307.0</v>
      </c>
    </row>
    <row r="638">
      <c r="A638" s="40">
        <f t="array" ref="A638">IFNA(index(PlayerValues!A:A,match(IFNA(vlookup(B638,'Special Names'!A:B,2,FALSE),B638),PlayerValues!E:E,0)),"N/A")</f>
        <v>13299</v>
      </c>
      <c r="B638" s="4" t="s">
        <v>448</v>
      </c>
      <c r="C638" s="4" t="s">
        <v>298</v>
      </c>
      <c r="D638" s="94">
        <v>3726.0</v>
      </c>
    </row>
    <row r="639">
      <c r="A639" s="40">
        <f t="array" ref="A639">IFNA(index(PlayerValues!A:A,match(IFNA(vlookup(B639,'Special Names'!A:B,2,FALSE),B639),PlayerValues!E:E,0)),"N/A")</f>
        <v>16593</v>
      </c>
      <c r="B639" s="4" t="s">
        <v>442</v>
      </c>
      <c r="C639" s="4" t="s">
        <v>278</v>
      </c>
      <c r="D639" s="94">
        <v>3258.0</v>
      </c>
    </row>
    <row r="640">
      <c r="A640" s="40">
        <f t="array" ref="A640">IFNA(index(PlayerValues!A:A,match(IFNA(vlookup(B640,'Special Names'!A:B,2,FALSE),B640),PlayerValues!E:E,0)),"N/A")</f>
        <v>15742</v>
      </c>
      <c r="B640" s="4" t="s">
        <v>447</v>
      </c>
      <c r="C640" s="4" t="s">
        <v>278</v>
      </c>
      <c r="D640" s="94">
        <v>3236.0</v>
      </c>
    </row>
    <row r="641">
      <c r="A641" s="40">
        <f t="array" ref="A641">IFNA(index(PlayerValues!A:A,match(IFNA(vlookup(B641,'Special Names'!A:B,2,FALSE),B641),PlayerValues!E:E,0)),"N/A")</f>
        <v>13630</v>
      </c>
      <c r="B641" s="4" t="s">
        <v>465</v>
      </c>
      <c r="C641" s="4" t="s">
        <v>287</v>
      </c>
      <c r="D641" s="94">
        <v>3188.0</v>
      </c>
    </row>
    <row r="642">
      <c r="A642" s="40" t="str">
        <f t="array" ref="A642">IFNA(index(PlayerValues!A:A,match(IFNA(vlookup(B642,'Special Names'!A:B,2,FALSE),B642),PlayerValues!E:E,0)),"N/A")</f>
        <v>N/A</v>
      </c>
      <c r="B642" s="4" t="s">
        <v>108</v>
      </c>
      <c r="C642" s="4" t="s">
        <v>325</v>
      </c>
      <c r="D642" s="94">
        <v>3120.0</v>
      </c>
    </row>
    <row r="643">
      <c r="A643" s="40">
        <f t="array" ref="A643">IFNA(index(PlayerValues!A:A,match(IFNA(vlookup(B643,'Special Names'!A:B,2,FALSE),B643),PlayerValues!E:E,0)),"N/A")</f>
        <v>16628</v>
      </c>
      <c r="B643" s="4" t="s">
        <v>490</v>
      </c>
      <c r="C643" s="4" t="s">
        <v>287</v>
      </c>
      <c r="D643" s="94">
        <v>3099.0</v>
      </c>
    </row>
    <row r="644">
      <c r="A644" s="40">
        <f t="array" ref="A644">IFNA(index(PlayerValues!A:A,match(IFNA(vlookup(B644,'Special Names'!A:B,2,FALSE),B644),PlayerValues!E:E,0)),"N/A")</f>
        <v>16269</v>
      </c>
      <c r="B644" s="4" t="s">
        <v>481</v>
      </c>
      <c r="C644" s="4" t="s">
        <v>298</v>
      </c>
      <c r="D644" s="94">
        <v>3508.0</v>
      </c>
    </row>
    <row r="645">
      <c r="A645" s="40">
        <f t="array" ref="A645">IFNA(index(PlayerValues!A:A,match(IFNA(vlookup(B645,'Special Names'!A:B,2,FALSE),B645),PlayerValues!E:E,0)),"N/A")</f>
        <v>16583</v>
      </c>
      <c r="B645" s="4" t="s">
        <v>493</v>
      </c>
      <c r="C645" s="4" t="s">
        <v>283</v>
      </c>
      <c r="D645" s="94">
        <v>3067.0</v>
      </c>
    </row>
    <row r="646">
      <c r="A646" s="40">
        <f t="array" ref="A646">IFNA(index(PlayerValues!A:A,match(IFNA(vlookup(B646,'Special Names'!A:B,2,FALSE),B646),PlayerValues!E:E,0)),"N/A")</f>
        <v>14800</v>
      </c>
      <c r="B646" s="4" t="s">
        <v>472</v>
      </c>
      <c r="C646" s="4" t="s">
        <v>278</v>
      </c>
      <c r="D646" s="94">
        <v>3060.0</v>
      </c>
    </row>
    <row r="647">
      <c r="A647" s="40" t="str">
        <f t="array" ref="A647">IFNA(index(PlayerValues!A:A,match(IFNA(vlookup(B647,'Special Names'!A:B,2,FALSE),B647),PlayerValues!E:E,0)),"N/A")</f>
        <v>N/A</v>
      </c>
      <c r="B647" s="4" t="s">
        <v>97</v>
      </c>
      <c r="C647" s="4" t="s">
        <v>325</v>
      </c>
      <c r="D647" s="94">
        <v>3060.0</v>
      </c>
    </row>
    <row r="648">
      <c r="A648" s="40">
        <f t="array" ref="A648">IFNA(index(PlayerValues!A:A,match(IFNA(vlookup(B648,'Special Names'!A:B,2,FALSE),B648),PlayerValues!E:E,0)),"N/A")</f>
        <v>16080</v>
      </c>
      <c r="B648" s="4" t="s">
        <v>499</v>
      </c>
      <c r="C648" s="4" t="s">
        <v>287</v>
      </c>
      <c r="D648" s="94">
        <v>3053.0</v>
      </c>
    </row>
    <row r="649">
      <c r="A649" s="40">
        <f t="array" ref="A649">IFNA(index(PlayerValues!A:A,match(IFNA(vlookup(B649,'Special Names'!A:B,2,FALSE),B649),PlayerValues!E:E,0)),"N/A")</f>
        <v>16809</v>
      </c>
      <c r="B649" s="4" t="s">
        <v>455</v>
      </c>
      <c r="C649" s="4" t="s">
        <v>287</v>
      </c>
      <c r="D649" s="94">
        <v>3046.0</v>
      </c>
    </row>
    <row r="650">
      <c r="A650" s="40">
        <f t="array" ref="A650">IFNA(index(PlayerValues!A:A,match(IFNA(vlookup(B650,'Special Names'!A:B,2,FALSE),B650),PlayerValues!E:E,0)),"N/A")</f>
        <v>15761</v>
      </c>
      <c r="B650" s="4" t="s">
        <v>491</v>
      </c>
      <c r="C650" s="4" t="s">
        <v>287</v>
      </c>
      <c r="D650" s="94">
        <v>3037.0</v>
      </c>
    </row>
    <row r="651">
      <c r="A651" s="40" t="str">
        <f t="array" ref="A651">IFNA(index(PlayerValues!A:A,match(IFNA(vlookup(B651,'Special Names'!A:B,2,FALSE),B651),PlayerValues!E:E,0)),"N/A")</f>
        <v>N/A</v>
      </c>
      <c r="B651" s="4" t="s">
        <v>84</v>
      </c>
      <c r="C651" s="4" t="s">
        <v>325</v>
      </c>
      <c r="D651" s="94">
        <v>3020.0</v>
      </c>
    </row>
    <row r="652">
      <c r="A652" s="40">
        <f t="array" ref="A652">IFNA(index(PlayerValues!A:A,match(IFNA(vlookup(B652,'Special Names'!A:B,2,FALSE),B652),PlayerValues!E:E,0)),"N/A")</f>
        <v>17463</v>
      </c>
      <c r="B652" s="4" t="s">
        <v>433</v>
      </c>
      <c r="C652" s="4" t="s">
        <v>283</v>
      </c>
      <c r="D652" s="94">
        <v>3017.0</v>
      </c>
    </row>
    <row r="653">
      <c r="A653" s="40">
        <f t="array" ref="A653">IFNA(index(PlayerValues!A:A,match(IFNA(vlookup(B653,'Special Names'!A:B,2,FALSE),B653),PlayerValues!E:E,0)),"N/A")</f>
        <v>15259</v>
      </c>
      <c r="B653" s="4" t="s">
        <v>453</v>
      </c>
      <c r="C653" s="4" t="s">
        <v>278</v>
      </c>
      <c r="D653" s="94">
        <v>2993.0</v>
      </c>
    </row>
    <row r="654">
      <c r="A654" s="40">
        <f t="array" ref="A654">IFNA(index(PlayerValues!A:A,match(IFNA(vlookup(B654,'Special Names'!A:B,2,FALSE),B654),PlayerValues!E:E,0)),"N/A")</f>
        <v>17473</v>
      </c>
      <c r="B654" s="4" t="s">
        <v>391</v>
      </c>
      <c r="C654" s="4" t="s">
        <v>278</v>
      </c>
      <c r="D654" s="94">
        <v>2975.0</v>
      </c>
    </row>
    <row r="655">
      <c r="A655" s="40">
        <f t="array" ref="A655">IFNA(index(PlayerValues!A:A,match(IFNA(vlookup(B655,'Special Names'!A:B,2,FALSE),B655),PlayerValues!E:E,0)),"N/A")</f>
        <v>16597</v>
      </c>
      <c r="B655" s="4" t="s">
        <v>427</v>
      </c>
      <c r="C655" s="4" t="s">
        <v>278</v>
      </c>
      <c r="D655" s="94">
        <v>2939.0</v>
      </c>
    </row>
    <row r="656">
      <c r="A656" s="40">
        <f t="array" ref="A656">IFNA(index(PlayerValues!A:A,match(IFNA(vlookup(B656,'Special Names'!A:B,2,FALSE),B656),PlayerValues!E:E,0)),"N/A")</f>
        <v>15255</v>
      </c>
      <c r="B656" s="4" t="s">
        <v>477</v>
      </c>
      <c r="C656" s="4" t="s">
        <v>278</v>
      </c>
      <c r="D656" s="94">
        <v>2927.0</v>
      </c>
    </row>
    <row r="657">
      <c r="A657" s="40">
        <f t="array" ref="A657">IFNA(index(PlayerValues!A:A,match(IFNA(vlookup(B657,'Special Names'!A:B,2,FALSE),B657),PlayerValues!E:E,0)),"N/A")</f>
        <v>17106</v>
      </c>
      <c r="B657" s="4" t="s">
        <v>550</v>
      </c>
      <c r="C657" s="4" t="s">
        <v>298</v>
      </c>
      <c r="D657" s="94">
        <v>3348.0</v>
      </c>
    </row>
    <row r="658">
      <c r="A658" s="40">
        <f t="array" ref="A658">IFNA(index(PlayerValues!A:A,match(IFNA(vlookup(B658,'Special Names'!A:B,2,FALSE),B658),PlayerValues!E:E,0)),"N/A")</f>
        <v>15241</v>
      </c>
      <c r="B658" s="4" t="s">
        <v>546</v>
      </c>
      <c r="C658" s="4" t="s">
        <v>283</v>
      </c>
      <c r="D658" s="94">
        <v>2921.0</v>
      </c>
    </row>
    <row r="659">
      <c r="A659" s="40" t="str">
        <f t="array" ref="A659">IFNA(index(PlayerValues!A:A,match(IFNA(vlookup(B659,'Special Names'!A:B,2,FALSE),B659),PlayerValues!E:E,0)),"N/A")</f>
        <v>N/A</v>
      </c>
      <c r="B659" s="4" t="s">
        <v>109</v>
      </c>
      <c r="C659" s="4" t="s">
        <v>325</v>
      </c>
      <c r="D659" s="94">
        <v>2913.0</v>
      </c>
    </row>
    <row r="660">
      <c r="A660" s="40">
        <f t="array" ref="A660">IFNA(index(PlayerValues!A:A,match(IFNA(vlookup(B660,'Special Names'!A:B,2,FALSE),B660),PlayerValues!E:E,0)),"N/A")</f>
        <v>16584</v>
      </c>
      <c r="B660" s="4" t="s">
        <v>569</v>
      </c>
      <c r="C660" s="4" t="s">
        <v>283</v>
      </c>
      <c r="D660" s="94">
        <v>2903.0</v>
      </c>
    </row>
    <row r="661">
      <c r="A661" s="40">
        <f t="array" ref="A661">IFNA(index(PlayerValues!A:A,match(IFNA(vlookup(B661,'Special Names'!A:B,2,FALSE),B661),PlayerValues!E:E,0)),"N/A")</f>
        <v>16723</v>
      </c>
      <c r="B661" s="4" t="s">
        <v>502</v>
      </c>
      <c r="C661" s="4" t="s">
        <v>298</v>
      </c>
      <c r="D661" s="94">
        <v>3316.0</v>
      </c>
    </row>
    <row r="662">
      <c r="A662" s="40">
        <f t="array" ref="A662">IFNA(index(PlayerValues!A:A,match(IFNA(vlookup(B662,'Special Names'!A:B,2,FALSE),B662),PlayerValues!E:E,0)),"N/A")</f>
        <v>16193</v>
      </c>
      <c r="B662" s="4" t="s">
        <v>487</v>
      </c>
      <c r="C662" s="4" t="s">
        <v>287</v>
      </c>
      <c r="D662" s="94">
        <v>2893.0</v>
      </c>
    </row>
    <row r="663">
      <c r="A663" s="40" t="str">
        <f t="array" ref="A663">IFNA(index(PlayerValues!A:A,match(IFNA(vlookup(B663,'Special Names'!A:B,2,FALSE),B663),PlayerValues!E:E,0)),"N/A")</f>
        <v>N/A</v>
      </c>
      <c r="B663" s="4" t="s">
        <v>85</v>
      </c>
      <c r="C663" s="4" t="s">
        <v>325</v>
      </c>
      <c r="D663" s="94">
        <v>2877.0</v>
      </c>
    </row>
    <row r="664">
      <c r="A664" s="40">
        <f t="array" ref="A664">IFNA(index(PlayerValues!A:A,match(IFNA(vlookup(B664,'Special Names'!A:B,2,FALSE),B664),PlayerValues!E:E,0)),"N/A")</f>
        <v>13163</v>
      </c>
      <c r="B664" s="4" t="s">
        <v>473</v>
      </c>
      <c r="C664" s="4" t="s">
        <v>287</v>
      </c>
      <c r="D664" s="94">
        <v>2873.0</v>
      </c>
    </row>
    <row r="665">
      <c r="A665" s="40">
        <f t="array" ref="A665">IFNA(index(PlayerValues!A:A,match(IFNA(vlookup(B665,'Special Names'!A:B,2,FALSE),B665),PlayerValues!E:E,0)),"N/A")</f>
        <v>16619</v>
      </c>
      <c r="B665" s="4" t="s">
        <v>538</v>
      </c>
      <c r="C665" s="4" t="s">
        <v>287</v>
      </c>
      <c r="D665" s="94">
        <v>2862.0</v>
      </c>
    </row>
    <row r="666">
      <c r="A666" s="40">
        <f t="array" ref="A666">IFNA(index(PlayerValues!A:A,match(IFNA(vlookup(B666,'Special Names'!A:B,2,FALSE),B666),PlayerValues!E:E,0)),"N/A")</f>
        <v>17107</v>
      </c>
      <c r="B666" s="4" t="s">
        <v>478</v>
      </c>
      <c r="C666" s="4" t="s">
        <v>298</v>
      </c>
      <c r="D666" s="94">
        <v>3281.0</v>
      </c>
    </row>
    <row r="667">
      <c r="A667" s="40">
        <f t="array" ref="A667">IFNA(index(PlayerValues!A:A,match(IFNA(vlookup(B667,'Special Names'!A:B,2,FALSE),B667),PlayerValues!E:E,0)),"N/A")</f>
        <v>17031</v>
      </c>
      <c r="B667" s="4" t="s">
        <v>535</v>
      </c>
      <c r="C667" s="4" t="s">
        <v>283</v>
      </c>
      <c r="D667" s="94">
        <v>2846.0</v>
      </c>
    </row>
    <row r="668">
      <c r="A668" s="40">
        <f t="array" ref="A668">IFNA(index(PlayerValues!A:A,match(IFNA(vlookup(B668,'Special Names'!A:B,2,FALSE),B668),PlayerValues!E:E,0)),"N/A")</f>
        <v>17072</v>
      </c>
      <c r="B668" s="4" t="s">
        <v>508</v>
      </c>
      <c r="C668" s="4" t="s">
        <v>287</v>
      </c>
      <c r="D668" s="94">
        <v>2840.0</v>
      </c>
    </row>
    <row r="669">
      <c r="A669" s="40">
        <f t="array" ref="A669">IFNA(index(PlayerValues!A:A,match(IFNA(vlookup(B669,'Special Names'!A:B,2,FALSE),B669),PlayerValues!E:E,0)),"N/A")</f>
        <v>17157</v>
      </c>
      <c r="B669" s="4" t="s">
        <v>524</v>
      </c>
      <c r="C669" s="4" t="s">
        <v>287</v>
      </c>
      <c r="D669" s="94">
        <v>2836.0</v>
      </c>
    </row>
    <row r="670">
      <c r="A670" s="40">
        <f t="array" ref="A670">IFNA(index(PlayerValues!A:A,match(IFNA(vlookup(B670,'Special Names'!A:B,2,FALSE),B670),PlayerValues!E:E,0)),"N/A")</f>
        <v>17256</v>
      </c>
      <c r="B670" s="4" t="s">
        <v>462</v>
      </c>
      <c r="C670" s="4" t="s">
        <v>278</v>
      </c>
      <c r="D670" s="94">
        <v>2832.0</v>
      </c>
    </row>
    <row r="671">
      <c r="A671" s="40">
        <f t="array" ref="A671">IFNA(index(PlayerValues!A:A,match(IFNA(vlookup(B671,'Special Names'!A:B,2,FALSE),B671),PlayerValues!E:E,0)),"N/A")</f>
        <v>14860</v>
      </c>
      <c r="B671" s="4" t="s">
        <v>554</v>
      </c>
      <c r="C671" s="4" t="s">
        <v>287</v>
      </c>
      <c r="D671" s="94">
        <v>2826.0</v>
      </c>
    </row>
    <row r="672">
      <c r="A672" s="40">
        <f t="array" ref="A672">IFNA(index(PlayerValues!A:A,match(IFNA(vlookup(B672,'Special Names'!A:B,2,FALSE),B672),PlayerValues!E:E,0)),"N/A")</f>
        <v>17053</v>
      </c>
      <c r="B672" s="4" t="s">
        <v>484</v>
      </c>
      <c r="C672" s="4" t="s">
        <v>278</v>
      </c>
      <c r="D672" s="94">
        <v>2818.0</v>
      </c>
    </row>
    <row r="673">
      <c r="A673" s="40">
        <f t="array" ref="A673">IFNA(index(PlayerValues!A:A,match(IFNA(vlookup(B673,'Special Names'!A:B,2,FALSE),B673),PlayerValues!E:E,0)),"N/A")</f>
        <v>17073</v>
      </c>
      <c r="B673" s="4" t="s">
        <v>547</v>
      </c>
      <c r="C673" s="4" t="s">
        <v>287</v>
      </c>
      <c r="D673" s="94">
        <v>2814.0</v>
      </c>
    </row>
    <row r="674">
      <c r="A674" s="40">
        <f t="array" ref="A674">IFNA(index(PlayerValues!A:A,match(IFNA(vlookup(B674,'Special Names'!A:B,2,FALSE),B674),PlayerValues!E:E,0)),"N/A")</f>
        <v>17080</v>
      </c>
      <c r="B674" s="4" t="s">
        <v>532</v>
      </c>
      <c r="C674" s="4" t="s">
        <v>287</v>
      </c>
      <c r="D674" s="94">
        <v>2805.0</v>
      </c>
    </row>
    <row r="675">
      <c r="A675" s="40">
        <f t="array" ref="A675">IFNA(index(PlayerValues!A:A,match(IFNA(vlookup(B675,'Special Names'!A:B,2,FALSE),B675),PlayerValues!E:E,0)),"N/A")</f>
        <v>17082</v>
      </c>
      <c r="B675" s="4" t="s">
        <v>498</v>
      </c>
      <c r="C675" s="4" t="s">
        <v>287</v>
      </c>
      <c r="D675" s="94">
        <v>2790.0</v>
      </c>
    </row>
    <row r="676">
      <c r="A676" s="40">
        <f t="array" ref="A676">IFNA(index(PlayerValues!A:A,match(IFNA(vlookup(B676,'Special Names'!A:B,2,FALSE),B676),PlayerValues!E:E,0)),"N/A")</f>
        <v>14138</v>
      </c>
      <c r="B676" s="4" t="s">
        <v>531</v>
      </c>
      <c r="C676" s="4" t="s">
        <v>298</v>
      </c>
      <c r="D676" s="94">
        <v>3203.0</v>
      </c>
    </row>
    <row r="677">
      <c r="A677" s="40">
        <f t="array" ref="A677">IFNA(index(PlayerValues!A:A,match(IFNA(vlookup(B677,'Special Names'!A:B,2,FALSE),B677),PlayerValues!E:E,0)),"N/A")</f>
        <v>12616</v>
      </c>
      <c r="B677" s="4" t="s">
        <v>529</v>
      </c>
      <c r="C677" s="4" t="s">
        <v>283</v>
      </c>
      <c r="D677" s="94">
        <v>2772.0</v>
      </c>
    </row>
    <row r="678">
      <c r="A678" s="40">
        <f t="array" ref="A678">IFNA(index(PlayerValues!A:A,match(IFNA(vlookup(B678,'Special Names'!A:B,2,FALSE),B678),PlayerValues!E:E,0)),"N/A")</f>
        <v>17477</v>
      </c>
      <c r="B678" s="4" t="s">
        <v>452</v>
      </c>
      <c r="C678" s="4" t="s">
        <v>278</v>
      </c>
      <c r="D678" s="94">
        <v>2766.0</v>
      </c>
    </row>
    <row r="679">
      <c r="A679" s="40">
        <f t="array" ref="A679">IFNA(index(PlayerValues!A:A,match(IFNA(vlookup(B679,'Special Names'!A:B,2,FALSE),B679),PlayerValues!E:E,0)),"N/A")</f>
        <v>15889</v>
      </c>
      <c r="B679" s="4" t="s">
        <v>503</v>
      </c>
      <c r="C679" s="4" t="s">
        <v>298</v>
      </c>
      <c r="D679" s="94">
        <v>3173.0</v>
      </c>
    </row>
    <row r="680">
      <c r="A680" s="40">
        <f t="array" ref="A680">IFNA(index(PlayerValues!A:A,match(IFNA(vlookup(B680,'Special Names'!A:B,2,FALSE),B680),PlayerValues!E:E,0)),"N/A")</f>
        <v>17098</v>
      </c>
      <c r="B680" s="4" t="s">
        <v>533</v>
      </c>
      <c r="C680" s="4" t="s">
        <v>287</v>
      </c>
      <c r="D680" s="94">
        <v>2747.0</v>
      </c>
    </row>
    <row r="681">
      <c r="A681" s="40">
        <f t="array" ref="A681">IFNA(index(PlayerValues!A:A,match(IFNA(vlookup(B681,'Special Names'!A:B,2,FALSE),B681),PlayerValues!E:E,0)),"N/A")</f>
        <v>16596</v>
      </c>
      <c r="B681" s="4" t="s">
        <v>501</v>
      </c>
      <c r="C681" s="4" t="s">
        <v>278</v>
      </c>
      <c r="D681" s="94">
        <v>2740.0</v>
      </c>
    </row>
    <row r="682">
      <c r="A682" s="40">
        <f t="array" ref="A682">IFNA(index(PlayerValues!A:A,match(IFNA(vlookup(B682,'Special Names'!A:B,2,FALSE),B682),PlayerValues!E:E,0)),"N/A")</f>
        <v>13671</v>
      </c>
      <c r="B682" s="4" t="s">
        <v>506</v>
      </c>
      <c r="C682" s="4" t="s">
        <v>298</v>
      </c>
      <c r="D682" s="94">
        <v>3151.0</v>
      </c>
    </row>
    <row r="683">
      <c r="A683" s="40">
        <f t="array" ref="A683">IFNA(index(PlayerValues!A:A,match(IFNA(vlookup(B683,'Special Names'!A:B,2,FALSE),B683),PlayerValues!E:E,0)),"N/A")</f>
        <v>17171</v>
      </c>
      <c r="B683" s="4" t="s">
        <v>561</v>
      </c>
      <c r="C683" s="4" t="s">
        <v>287</v>
      </c>
      <c r="D683" s="94">
        <v>2733.0</v>
      </c>
    </row>
    <row r="684">
      <c r="A684" s="40" t="str">
        <f t="array" ref="A684">IFNA(index(PlayerValues!A:A,match(IFNA(vlookup(B684,'Special Names'!A:B,2,FALSE),B684),PlayerValues!E:E,0)),"N/A")</f>
        <v>N/A</v>
      </c>
      <c r="B684" s="4" t="s">
        <v>110</v>
      </c>
      <c r="C684" s="4" t="s">
        <v>325</v>
      </c>
      <c r="D684" s="94">
        <v>2727.0</v>
      </c>
    </row>
    <row r="685">
      <c r="A685" s="40">
        <f t="array" ref="A685">IFNA(index(PlayerValues!A:A,match(IFNA(vlookup(B685,'Special Names'!A:B,2,FALSE),B685),PlayerValues!E:E,0)),"N/A")</f>
        <v>14778</v>
      </c>
      <c r="B685" s="4" t="s">
        <v>564</v>
      </c>
      <c r="C685" s="4" t="s">
        <v>283</v>
      </c>
      <c r="D685" s="94">
        <v>2725.0</v>
      </c>
    </row>
    <row r="686">
      <c r="A686" s="40">
        <f t="array" ref="A686">IFNA(index(PlayerValues!A:A,match(IFNA(vlookup(B686,'Special Names'!A:B,2,FALSE),B686),PlayerValues!E:E,0)),"N/A")</f>
        <v>16594</v>
      </c>
      <c r="B686" s="4" t="s">
        <v>607</v>
      </c>
      <c r="C686" s="4" t="s">
        <v>278</v>
      </c>
      <c r="D686" s="94">
        <v>2717.0</v>
      </c>
    </row>
    <row r="687">
      <c r="A687" s="40">
        <f t="array" ref="A687">IFNA(index(PlayerValues!A:A,match(IFNA(vlookup(B687,'Special Names'!A:B,2,FALSE),B687),PlayerValues!E:E,0)),"N/A")</f>
        <v>17047</v>
      </c>
      <c r="B687" s="4" t="s">
        <v>510</v>
      </c>
      <c r="C687" s="4" t="s">
        <v>278</v>
      </c>
      <c r="D687" s="94">
        <v>2716.0</v>
      </c>
    </row>
    <row r="688">
      <c r="A688" s="40">
        <f t="array" ref="A688">IFNA(index(PlayerValues!A:A,match(IFNA(vlookup(B688,'Special Names'!A:B,2,FALSE),B688),PlayerValues!E:E,0)),"N/A")</f>
        <v>14833</v>
      </c>
      <c r="B688" s="4" t="s">
        <v>553</v>
      </c>
      <c r="C688" s="4" t="s">
        <v>287</v>
      </c>
      <c r="D688" s="94">
        <v>2714.0</v>
      </c>
    </row>
    <row r="689">
      <c r="A689" s="40">
        <f t="array" ref="A689">IFNA(index(PlayerValues!A:A,match(IFNA(vlookup(B689,'Special Names'!A:B,2,FALSE),B689),PlayerValues!E:E,0)),"N/A")</f>
        <v>15972</v>
      </c>
      <c r="B689" s="4" t="s">
        <v>469</v>
      </c>
      <c r="C689" s="4" t="s">
        <v>278</v>
      </c>
      <c r="D689" s="94">
        <v>2714.0</v>
      </c>
    </row>
    <row r="690">
      <c r="A690" s="40">
        <f t="array" ref="A690">IFNA(index(PlayerValues!A:A,match(IFNA(vlookup(B690,'Special Names'!A:B,2,FALSE),B690),PlayerValues!E:E,0)),"N/A")</f>
        <v>16626</v>
      </c>
      <c r="B690" s="4" t="s">
        <v>515</v>
      </c>
      <c r="C690" s="4" t="s">
        <v>287</v>
      </c>
      <c r="D690" s="94">
        <v>2712.0</v>
      </c>
    </row>
    <row r="691">
      <c r="A691" s="40">
        <f t="array" ref="A691">IFNA(index(PlayerValues!A:A,match(IFNA(vlookup(B691,'Special Names'!A:B,2,FALSE),B691),PlayerValues!E:E,0)),"N/A")</f>
        <v>15721</v>
      </c>
      <c r="B691" s="4" t="s">
        <v>504</v>
      </c>
      <c r="C691" s="4" t="s">
        <v>278</v>
      </c>
      <c r="D691" s="94">
        <v>2708.0</v>
      </c>
    </row>
    <row r="692">
      <c r="A692" s="40">
        <f t="array" ref="A692">IFNA(index(PlayerValues!A:A,match(IFNA(vlookup(B692,'Special Names'!A:B,2,FALSE),B692),PlayerValues!E:E,0)),"N/A")</f>
        <v>13192</v>
      </c>
      <c r="B692" s="4" t="s">
        <v>563</v>
      </c>
      <c r="C692" s="4" t="s">
        <v>298</v>
      </c>
      <c r="D692" s="94">
        <v>3118.0</v>
      </c>
    </row>
    <row r="693">
      <c r="A693" s="40">
        <f t="array" ref="A693">IFNA(index(PlayerValues!A:A,match(IFNA(vlookup(B693,'Special Names'!A:B,2,FALSE),B693),PlayerValues!E:E,0)),"N/A")</f>
        <v>17134</v>
      </c>
      <c r="B693" s="4" t="s">
        <v>548</v>
      </c>
      <c r="C693" s="4" t="s">
        <v>287</v>
      </c>
      <c r="D693" s="94">
        <v>2698.0</v>
      </c>
    </row>
    <row r="694">
      <c r="A694" s="40">
        <f t="array" ref="A694">IFNA(index(PlayerValues!A:A,match(IFNA(vlookup(B694,'Special Names'!A:B,2,FALSE),B694),PlayerValues!E:E,0)),"N/A")</f>
        <v>14085</v>
      </c>
      <c r="B694" s="4" t="s">
        <v>489</v>
      </c>
      <c r="C694" s="4" t="s">
        <v>278</v>
      </c>
      <c r="D694" s="94">
        <v>2668.0</v>
      </c>
    </row>
    <row r="695">
      <c r="A695" s="40">
        <f t="array" ref="A695">IFNA(index(PlayerValues!A:A,match(IFNA(vlookup(B695,'Special Names'!A:B,2,FALSE),B695),PlayerValues!E:E,0)),"N/A")</f>
        <v>16165</v>
      </c>
      <c r="B695" s="4" t="s">
        <v>520</v>
      </c>
      <c r="C695" s="4" t="s">
        <v>278</v>
      </c>
      <c r="D695" s="94">
        <v>2651.0</v>
      </c>
    </row>
    <row r="696">
      <c r="A696" s="40">
        <f t="array" ref="A696">IFNA(index(PlayerValues!A:A,match(IFNA(vlookup(B696,'Special Names'!A:B,2,FALSE),B696),PlayerValues!E:E,0)),"N/A")</f>
        <v>13674</v>
      </c>
      <c r="B696" s="4" t="s">
        <v>511</v>
      </c>
      <c r="C696" s="4" t="s">
        <v>298</v>
      </c>
      <c r="D696" s="94">
        <v>3048.0</v>
      </c>
    </row>
    <row r="697">
      <c r="A697" s="40">
        <f t="array" ref="A697">IFNA(index(PlayerValues!A:A,match(IFNA(vlookup(B697,'Special Names'!A:B,2,FALSE),B697),PlayerValues!E:E,0)),"N/A")</f>
        <v>17544</v>
      </c>
      <c r="B697" s="4" t="s">
        <v>470</v>
      </c>
      <c r="C697" s="4" t="s">
        <v>298</v>
      </c>
      <c r="D697" s="94">
        <v>3038.0</v>
      </c>
    </row>
    <row r="698">
      <c r="A698" s="40">
        <f t="array" ref="A698">IFNA(index(PlayerValues!A:A,match(IFNA(vlookup(B698,'Special Names'!A:B,2,FALSE),B698),PlayerValues!E:E,0)),"N/A")</f>
        <v>16747</v>
      </c>
      <c r="B698" s="4" t="s">
        <v>555</v>
      </c>
      <c r="C698" s="4" t="s">
        <v>278</v>
      </c>
      <c r="D698" s="94">
        <v>2589.0</v>
      </c>
    </row>
    <row r="699">
      <c r="A699" s="40">
        <f t="array" ref="A699">IFNA(index(PlayerValues!A:A,match(IFNA(vlookup(B699,'Special Names'!A:B,2,FALSE),B699),PlayerValues!E:E,0)),"N/A")</f>
        <v>14840</v>
      </c>
      <c r="B699" s="4" t="s">
        <v>731</v>
      </c>
      <c r="C699" s="4" t="s">
        <v>287</v>
      </c>
      <c r="D699" s="94">
        <v>2579.0</v>
      </c>
    </row>
    <row r="700">
      <c r="A700" s="40">
        <f t="array" ref="A700">IFNA(index(PlayerValues!A:A,match(IFNA(vlookup(B700,'Special Names'!A:B,2,FALSE),B700),PlayerValues!E:E,0)),"N/A")</f>
        <v>17105</v>
      </c>
      <c r="B700" s="4" t="s">
        <v>525</v>
      </c>
      <c r="C700" s="4" t="s">
        <v>298</v>
      </c>
      <c r="D700" s="94">
        <v>2973.0</v>
      </c>
    </row>
    <row r="701">
      <c r="A701" s="40" t="str">
        <f t="array" ref="A701">IFNA(index(PlayerValues!A:A,match(IFNA(vlookup(B701,'Special Names'!A:B,2,FALSE),B701),PlayerValues!E:E,0)),"N/A")</f>
        <v>N/A</v>
      </c>
      <c r="B701" s="4" t="s">
        <v>98</v>
      </c>
      <c r="C701" s="4" t="s">
        <v>325</v>
      </c>
      <c r="D701" s="94">
        <v>2562.0</v>
      </c>
    </row>
    <row r="702">
      <c r="A702" s="40">
        <f t="array" ref="A702">IFNA(index(PlayerValues!A:A,match(IFNA(vlookup(B702,'Special Names'!A:B,2,FALSE),B702),PlayerValues!E:E,0)),"N/A")</f>
        <v>16617</v>
      </c>
      <c r="B702" s="4" t="s">
        <v>541</v>
      </c>
      <c r="C702" s="4" t="s">
        <v>287</v>
      </c>
      <c r="D702" s="94">
        <v>2552.0</v>
      </c>
    </row>
    <row r="703">
      <c r="A703" s="40">
        <f t="array" ref="A703">IFNA(index(PlayerValues!A:A,match(IFNA(vlookup(B703,'Special Names'!A:B,2,FALSE),B703),PlayerValues!E:E,0)),"N/A")</f>
        <v>17108</v>
      </c>
      <c r="B703" s="4" t="s">
        <v>542</v>
      </c>
      <c r="C703" s="4" t="s">
        <v>298</v>
      </c>
      <c r="D703" s="94">
        <v>2954.0</v>
      </c>
    </row>
    <row r="704">
      <c r="A704" s="40">
        <f t="array" ref="A704">IFNA(index(PlayerValues!A:A,match(IFNA(vlookup(B704,'Special Names'!A:B,2,FALSE),B704),PlayerValues!E:E,0)),"N/A")</f>
        <v>16178</v>
      </c>
      <c r="B704" s="4" t="s">
        <v>507</v>
      </c>
      <c r="C704" s="4" t="s">
        <v>278</v>
      </c>
      <c r="D704" s="94">
        <v>2535.0</v>
      </c>
    </row>
    <row r="705">
      <c r="A705" s="40">
        <f t="array" ref="A705">IFNA(index(PlayerValues!A:A,match(IFNA(vlookup(B705,'Special Names'!A:B,2,FALSE),B705),PlayerValues!E:E,0)),"N/A")</f>
        <v>16164</v>
      </c>
      <c r="B705" s="4" t="s">
        <v>512</v>
      </c>
      <c r="C705" s="4" t="s">
        <v>278</v>
      </c>
      <c r="D705" s="94">
        <v>2529.0</v>
      </c>
    </row>
    <row r="706">
      <c r="A706" s="40" t="str">
        <f t="array" ref="A706">IFNA(index(PlayerValues!A:A,match(IFNA(vlookup(B706,'Special Names'!A:B,2,FALSE),B706),PlayerValues!E:E,0)),"N/A")</f>
        <v>N/A</v>
      </c>
      <c r="B706" s="4" t="s">
        <v>557</v>
      </c>
      <c r="C706" s="4" t="s">
        <v>278</v>
      </c>
      <c r="D706" s="94">
        <v>2525.0</v>
      </c>
    </row>
    <row r="707">
      <c r="A707" s="40">
        <f t="array" ref="A707">IFNA(index(PlayerValues!A:A,match(IFNA(vlookup(B707,'Special Names'!A:B,2,FALSE),B707),PlayerValues!E:E,0)),"N/A")</f>
        <v>14136</v>
      </c>
      <c r="B707" s="4" t="s">
        <v>536</v>
      </c>
      <c r="C707" s="4" t="s">
        <v>287</v>
      </c>
      <c r="D707" s="94">
        <v>2517.0</v>
      </c>
    </row>
    <row r="708">
      <c r="A708" s="40">
        <f t="array" ref="A708">IFNA(index(PlayerValues!A:A,match(IFNA(vlookup(B708,'Special Names'!A:B,2,FALSE),B708),PlayerValues!E:E,0)),"N/A")</f>
        <v>16204</v>
      </c>
      <c r="B708" s="4" t="s">
        <v>530</v>
      </c>
      <c r="C708" s="4" t="s">
        <v>287</v>
      </c>
      <c r="D708" s="94">
        <v>2514.0</v>
      </c>
    </row>
    <row r="709">
      <c r="A709" s="40">
        <f t="array" ref="A709">IFNA(index(PlayerValues!A:A,match(IFNA(vlookup(B709,'Special Names'!A:B,2,FALSE),B709),PlayerValues!E:E,0)),"N/A")</f>
        <v>15802</v>
      </c>
      <c r="B709" s="4" t="s">
        <v>566</v>
      </c>
      <c r="C709" s="4" t="s">
        <v>298</v>
      </c>
      <c r="D709" s="94">
        <v>2919.0</v>
      </c>
    </row>
    <row r="710">
      <c r="A710" s="40">
        <f t="array" ref="A710">IFNA(index(PlayerValues!A:A,match(IFNA(vlookup(B710,'Special Names'!A:B,2,FALSE),B710),PlayerValues!E:E,0)),"N/A")</f>
        <v>16152</v>
      </c>
      <c r="B710" s="4" t="s">
        <v>601</v>
      </c>
      <c r="C710" s="4" t="s">
        <v>283</v>
      </c>
      <c r="D710" s="94">
        <v>2510.0</v>
      </c>
    </row>
    <row r="711">
      <c r="A711" s="40">
        <f t="array" ref="A711">IFNA(index(PlayerValues!A:A,match(IFNA(vlookup(B711,'Special Names'!A:B,2,FALSE),B711),PlayerValues!E:E,0)),"N/A")</f>
        <v>16166</v>
      </c>
      <c r="B711" s="4" t="s">
        <v>567</v>
      </c>
      <c r="C711" s="4" t="s">
        <v>278</v>
      </c>
      <c r="D711" s="94">
        <v>2494.0</v>
      </c>
    </row>
    <row r="712">
      <c r="A712" s="40">
        <f t="array" ref="A712">IFNA(index(PlayerValues!A:A,match(IFNA(vlookup(B712,'Special Names'!A:B,2,FALSE),B712),PlayerValues!E:E,0)),"N/A")</f>
        <v>16757</v>
      </c>
      <c r="B712" s="4" t="s">
        <v>558</v>
      </c>
      <c r="C712" s="4" t="s">
        <v>278</v>
      </c>
      <c r="D712" s="94">
        <v>2469.0</v>
      </c>
    </row>
    <row r="713">
      <c r="A713" s="40">
        <f t="array" ref="A713">IFNA(index(PlayerValues!A:A,match(IFNA(vlookup(B713,'Special Names'!A:B,2,FALSE),B713),PlayerValues!E:E,0)),"N/A")</f>
        <v>16287</v>
      </c>
      <c r="B713" s="4" t="s">
        <v>516</v>
      </c>
      <c r="C713" s="4" t="s">
        <v>287</v>
      </c>
      <c r="D713" s="94">
        <v>2460.0</v>
      </c>
    </row>
    <row r="714">
      <c r="A714" s="40">
        <f t="array" ref="A714">IFNA(index(PlayerValues!A:A,match(IFNA(vlookup(B714,'Special Names'!A:B,2,FALSE),B714),PlayerValues!E:E,0)),"N/A")</f>
        <v>17033</v>
      </c>
      <c r="B714" s="4" t="s">
        <v>570</v>
      </c>
      <c r="C714" s="4" t="s">
        <v>283</v>
      </c>
      <c r="D714" s="94">
        <v>2457.0</v>
      </c>
    </row>
    <row r="715">
      <c r="A715" s="40">
        <f t="array" ref="A715">IFNA(index(PlayerValues!A:A,match(IFNA(vlookup(B715,'Special Names'!A:B,2,FALSE),B715),PlayerValues!E:E,0)),"N/A")</f>
        <v>11244</v>
      </c>
      <c r="B715" s="4" t="s">
        <v>519</v>
      </c>
      <c r="C715" s="4" t="s">
        <v>298</v>
      </c>
      <c r="D715" s="94">
        <v>2859.0</v>
      </c>
    </row>
    <row r="716">
      <c r="A716" s="40">
        <f t="array" ref="A716">IFNA(index(PlayerValues!A:A,match(IFNA(vlookup(B716,'Special Names'!A:B,2,FALSE),B716),PlayerValues!E:E,0)),"N/A")</f>
        <v>17476</v>
      </c>
      <c r="B716" s="4" t="s">
        <v>494</v>
      </c>
      <c r="C716" s="4" t="s">
        <v>278</v>
      </c>
      <c r="D716" s="94">
        <v>2447.0</v>
      </c>
    </row>
    <row r="717">
      <c r="A717" s="40">
        <f t="array" ref="A717">IFNA(index(PlayerValues!A:A,match(IFNA(vlookup(B717,'Special Names'!A:B,2,FALSE),B717),PlayerValues!E:E,0)),"N/A")</f>
        <v>16649</v>
      </c>
      <c r="B717" s="4" t="s">
        <v>586</v>
      </c>
      <c r="C717" s="4" t="s">
        <v>298</v>
      </c>
      <c r="D717" s="94">
        <v>2845.0</v>
      </c>
    </row>
    <row r="718">
      <c r="A718" s="40">
        <f t="array" ref="A718">IFNA(index(PlayerValues!A:A,match(IFNA(vlookup(B718,'Special Names'!A:B,2,FALSE),B718),PlayerValues!E:E,0)),"N/A")</f>
        <v>14861</v>
      </c>
      <c r="B718" s="4" t="s">
        <v>523</v>
      </c>
      <c r="C718" s="4" t="s">
        <v>298</v>
      </c>
      <c r="D718" s="94">
        <v>2833.0</v>
      </c>
    </row>
    <row r="719">
      <c r="A719" s="40">
        <f t="array" ref="A719">IFNA(index(PlayerValues!A:A,match(IFNA(vlookup(B719,'Special Names'!A:B,2,FALSE),B719),PlayerValues!E:E,0)),"N/A")</f>
        <v>16684</v>
      </c>
      <c r="B719" s="4" t="s">
        <v>500</v>
      </c>
      <c r="C719" s="4" t="s">
        <v>287</v>
      </c>
      <c r="D719" s="94">
        <v>2429.0</v>
      </c>
    </row>
    <row r="720">
      <c r="A720" s="40">
        <f t="array" ref="A720">IFNA(index(PlayerValues!A:A,match(IFNA(vlookup(B720,'Special Names'!A:B,2,FALSE),B720),PlayerValues!E:E,0)),"N/A")</f>
        <v>16189</v>
      </c>
      <c r="B720" s="4" t="s">
        <v>582</v>
      </c>
      <c r="C720" s="4" t="s">
        <v>287</v>
      </c>
      <c r="D720" s="94">
        <v>2413.0</v>
      </c>
    </row>
    <row r="721">
      <c r="A721" s="40">
        <f t="array" ref="A721">IFNA(index(PlayerValues!A:A,match(IFNA(vlookup(B721,'Special Names'!A:B,2,FALSE),B721),PlayerValues!E:E,0)),"N/A")</f>
        <v>17505</v>
      </c>
      <c r="B721" s="4" t="s">
        <v>528</v>
      </c>
      <c r="C721" s="4" t="s">
        <v>287</v>
      </c>
      <c r="D721" s="94">
        <v>2413.0</v>
      </c>
    </row>
    <row r="722">
      <c r="A722" s="40">
        <f t="array" ref="A722">IFNA(index(PlayerValues!A:A,match(IFNA(vlookup(B722,'Special Names'!A:B,2,FALSE),B722),PlayerValues!E:E,0)),"N/A")</f>
        <v>16036</v>
      </c>
      <c r="B722" s="4" t="s">
        <v>592</v>
      </c>
      <c r="C722" s="4" t="s">
        <v>298</v>
      </c>
      <c r="D722" s="94">
        <v>2801.0</v>
      </c>
    </row>
    <row r="723">
      <c r="A723" s="40" t="str">
        <f t="array" ref="A723">IFNA(index(PlayerValues!A:A,match(IFNA(vlookup(B723,'Special Names'!A:B,2,FALSE),B723),PlayerValues!E:E,0)),"N/A")</f>
        <v>N/A</v>
      </c>
      <c r="B723" s="4" t="s">
        <v>86</v>
      </c>
      <c r="C723" s="4" t="s">
        <v>325</v>
      </c>
      <c r="D723" s="94">
        <v>2400.0</v>
      </c>
    </row>
    <row r="724">
      <c r="A724" s="40" t="str">
        <f t="array" ref="A724">IFNA(index(PlayerValues!A:A,match(IFNA(vlookup(B724,'Special Names'!A:B,2,FALSE),B724),PlayerValues!E:E,0)),"N/A")</f>
        <v>N/A</v>
      </c>
      <c r="B724" s="4" t="s">
        <v>99</v>
      </c>
      <c r="C724" s="4" t="s">
        <v>325</v>
      </c>
      <c r="D724" s="94">
        <v>2397.0</v>
      </c>
    </row>
    <row r="725">
      <c r="A725" s="40">
        <f t="array" ref="A725">IFNA(index(PlayerValues!A:A,match(IFNA(vlookup(B725,'Special Names'!A:B,2,FALSE),B725),PlayerValues!E:E,0)),"N/A")</f>
        <v>17078</v>
      </c>
      <c r="B725" s="4" t="s">
        <v>543</v>
      </c>
      <c r="C725" s="4" t="s">
        <v>287</v>
      </c>
      <c r="D725" s="94">
        <v>2397.0</v>
      </c>
    </row>
    <row r="726">
      <c r="A726" s="40">
        <f t="array" ref="A726">IFNA(index(PlayerValues!A:A,match(IFNA(vlookup(B726,'Special Names'!A:B,2,FALSE),B726),PlayerValues!E:E,0)),"N/A")</f>
        <v>15749</v>
      </c>
      <c r="B726" s="4" t="s">
        <v>574</v>
      </c>
      <c r="C726" s="4" t="s">
        <v>278</v>
      </c>
      <c r="D726" s="94">
        <v>2396.0</v>
      </c>
    </row>
    <row r="727">
      <c r="A727" s="40">
        <f t="array" ref="A727">IFNA(index(PlayerValues!A:A,match(IFNA(vlookup(B727,'Special Names'!A:B,2,FALSE),B727),PlayerValues!E:E,0)),"N/A")</f>
        <v>17048</v>
      </c>
      <c r="B727" s="4" t="s">
        <v>539</v>
      </c>
      <c r="C727" s="4" t="s">
        <v>278</v>
      </c>
      <c r="D727" s="94">
        <v>2388.0</v>
      </c>
    </row>
    <row r="728">
      <c r="A728" s="40">
        <f t="array" ref="A728">IFNA(index(PlayerValues!A:A,match(IFNA(vlookup(B728,'Special Names'!A:B,2,FALSE),B728),PlayerValues!E:E,0)),"N/A")</f>
        <v>15786</v>
      </c>
      <c r="B728" s="4" t="s">
        <v>521</v>
      </c>
      <c r="C728" s="4" t="s">
        <v>287</v>
      </c>
      <c r="D728" s="94">
        <v>2377.0</v>
      </c>
    </row>
    <row r="729">
      <c r="A729" s="40">
        <f t="array" ref="A729">IFNA(index(PlayerValues!A:A,match(IFNA(vlookup(B729,'Special Names'!A:B,2,FALSE),B729),PlayerValues!E:E,0)),"N/A")</f>
        <v>16610</v>
      </c>
      <c r="B729" s="4" t="s">
        <v>562</v>
      </c>
      <c r="C729" s="4" t="s">
        <v>278</v>
      </c>
      <c r="D729" s="94">
        <v>2348.0</v>
      </c>
    </row>
    <row r="730">
      <c r="A730" s="40">
        <f t="array" ref="A730">IFNA(index(PlayerValues!A:A,match(IFNA(vlookup(B730,'Special Names'!A:B,2,FALSE),B730),PlayerValues!E:E,0)),"N/A")</f>
        <v>12676</v>
      </c>
      <c r="B730" s="4" t="s">
        <v>537</v>
      </c>
      <c r="C730" s="4" t="s">
        <v>298</v>
      </c>
      <c r="D730" s="94">
        <v>2741.0</v>
      </c>
    </row>
    <row r="731">
      <c r="A731" s="40">
        <f t="array" ref="A731">IFNA(index(PlayerValues!A:A,match(IFNA(vlookup(B731,'Special Names'!A:B,2,FALSE),B731),PlayerValues!E:E,0)),"N/A")</f>
        <v>16195</v>
      </c>
      <c r="B731" s="4" t="s">
        <v>509</v>
      </c>
      <c r="C731" s="4" t="s">
        <v>287</v>
      </c>
      <c r="D731" s="94">
        <v>2342.0</v>
      </c>
    </row>
    <row r="732">
      <c r="A732" s="40">
        <f t="array" ref="A732">IFNA(index(PlayerValues!A:A,match(IFNA(vlookup(B732,'Special Names'!A:B,2,FALSE),B732),PlayerValues!E:E,0)),"N/A")</f>
        <v>16212</v>
      </c>
      <c r="B732" s="4" t="s">
        <v>568</v>
      </c>
      <c r="C732" s="4" t="s">
        <v>298</v>
      </c>
      <c r="D732" s="94">
        <v>2711.0</v>
      </c>
    </row>
    <row r="733">
      <c r="A733" s="40">
        <f t="array" ref="A733">IFNA(index(PlayerValues!A:A,match(IFNA(vlookup(B733,'Special Names'!A:B,2,FALSE),B733),PlayerValues!E:E,0)),"N/A")</f>
        <v>17046</v>
      </c>
      <c r="B733" s="4" t="s">
        <v>602</v>
      </c>
      <c r="C733" s="4" t="s">
        <v>278</v>
      </c>
      <c r="D733" s="94">
        <v>2314.0</v>
      </c>
    </row>
    <row r="734">
      <c r="A734" s="40">
        <f t="array" ref="A734">IFNA(index(PlayerValues!A:A,match(IFNA(vlookup(B734,'Special Names'!A:B,2,FALSE),B734),PlayerValues!E:E,0)),"N/A")</f>
        <v>12801</v>
      </c>
      <c r="B734" s="4" t="s">
        <v>722</v>
      </c>
      <c r="C734" s="4" t="s">
        <v>287</v>
      </c>
      <c r="D734" s="94">
        <v>2305.0</v>
      </c>
    </row>
    <row r="735">
      <c r="A735" s="40">
        <f t="array" ref="A735">IFNA(index(PlayerValues!A:A,match(IFNA(vlookup(B735,'Special Names'!A:B,2,FALSE),B735),PlayerValues!E:E,0)),"N/A")</f>
        <v>15238</v>
      </c>
      <c r="B735" s="4" t="s">
        <v>613</v>
      </c>
      <c r="C735" s="4" t="s">
        <v>283</v>
      </c>
      <c r="D735" s="94">
        <v>2302.0</v>
      </c>
    </row>
    <row r="736">
      <c r="A736" s="40">
        <f t="array" ref="A736">IFNA(index(PlayerValues!A:A,match(IFNA(vlookup(B736,'Special Names'!A:B,2,FALSE),B736),PlayerValues!E:E,0)),"N/A")</f>
        <v>13772</v>
      </c>
      <c r="B736" s="4" t="s">
        <v>544</v>
      </c>
      <c r="C736" s="4" t="s">
        <v>298</v>
      </c>
      <c r="D736" s="94">
        <v>2687.0</v>
      </c>
    </row>
    <row r="737">
      <c r="A737" s="40">
        <f t="array" ref="A737">IFNA(index(PlayerValues!A:A,match(IFNA(vlookup(B737,'Special Names'!A:B,2,FALSE),B737),PlayerValues!E:E,0)),"N/A")</f>
        <v>17076</v>
      </c>
      <c r="B737" s="4" t="s">
        <v>585</v>
      </c>
      <c r="C737" s="4" t="s">
        <v>287</v>
      </c>
      <c r="D737" s="94">
        <v>2290.0</v>
      </c>
    </row>
    <row r="738">
      <c r="A738" s="40">
        <f t="array" ref="A738">IFNA(index(PlayerValues!A:A,match(IFNA(vlookup(B738,'Special Names'!A:B,2,FALSE),B738),PlayerValues!E:E,0)),"N/A")</f>
        <v>16174</v>
      </c>
      <c r="B738" s="4" t="s">
        <v>505</v>
      </c>
      <c r="C738" s="4" t="s">
        <v>278</v>
      </c>
      <c r="D738" s="94">
        <v>2278.0</v>
      </c>
    </row>
    <row r="739">
      <c r="A739" s="40">
        <f t="array" ref="A739">IFNA(index(PlayerValues!A:A,match(IFNA(vlookup(B739,'Special Names'!A:B,2,FALSE),B739),PlayerValues!E:E,0)),"N/A")</f>
        <v>17079</v>
      </c>
      <c r="B739" s="4" t="s">
        <v>572</v>
      </c>
      <c r="C739" s="4" t="s">
        <v>287</v>
      </c>
      <c r="D739" s="94">
        <v>2275.0</v>
      </c>
    </row>
    <row r="740">
      <c r="A740" s="40">
        <f t="array" ref="A740">IFNA(index(PlayerValues!A:A,match(IFNA(vlookup(B740,'Special Names'!A:B,2,FALSE),B740),PlayerValues!E:E,0)),"N/A")</f>
        <v>15716</v>
      </c>
      <c r="B740" s="4" t="s">
        <v>545</v>
      </c>
      <c r="C740" s="4" t="s">
        <v>278</v>
      </c>
      <c r="D740" s="94">
        <v>2256.0</v>
      </c>
    </row>
    <row r="741">
      <c r="A741" s="40" t="str">
        <f t="array" ref="A741">IFNA(index(PlayerValues!A:A,match(IFNA(vlookup(B741,'Special Names'!A:B,2,FALSE),B741),PlayerValues!E:E,0)),"N/A")</f>
        <v>N/A</v>
      </c>
      <c r="B741" s="4" t="s">
        <v>87</v>
      </c>
      <c r="C741" s="4" t="s">
        <v>325</v>
      </c>
      <c r="D741" s="94">
        <v>2250.0</v>
      </c>
    </row>
    <row r="742">
      <c r="A742" s="40">
        <f t="array" ref="A742">IFNA(index(PlayerValues!A:A,match(IFNA(vlookup(B742,'Special Names'!A:B,2,FALSE),B742),PlayerValues!E:E,0)),"N/A")</f>
        <v>17482</v>
      </c>
      <c r="B742" s="4" t="s">
        <v>460</v>
      </c>
      <c r="C742" s="4" t="s">
        <v>278</v>
      </c>
      <c r="D742" s="94">
        <v>2248.0</v>
      </c>
    </row>
    <row r="743">
      <c r="A743" s="40">
        <f t="array" ref="A743">IFNA(index(PlayerValues!A:A,match(IFNA(vlookup(B743,'Special Names'!A:B,2,FALSE),B743),PlayerValues!E:E,0)),"N/A")</f>
        <v>12186</v>
      </c>
      <c r="B743" s="4" t="s">
        <v>497</v>
      </c>
      <c r="C743" s="4" t="s">
        <v>287</v>
      </c>
      <c r="D743" s="94">
        <v>2246.0</v>
      </c>
    </row>
    <row r="744">
      <c r="A744" s="40" t="str">
        <f t="array" ref="A744">IFNA(index(PlayerValues!A:A,match(IFNA(vlookup(B744,'Special Names'!A:B,2,FALSE),B744),PlayerValues!E:E,0)),"N/A")</f>
        <v>N/A</v>
      </c>
      <c r="B744" s="4" t="s">
        <v>100</v>
      </c>
      <c r="C744" s="4" t="s">
        <v>325</v>
      </c>
      <c r="D744" s="94">
        <v>2219.0</v>
      </c>
    </row>
    <row r="745">
      <c r="A745" s="40">
        <f t="array" ref="A745">IFNA(index(PlayerValues!A:A,match(IFNA(vlookup(B745,'Special Names'!A:B,2,FALSE),B745),PlayerValues!E:E,0)),"N/A")</f>
        <v>15331</v>
      </c>
      <c r="B745" s="4" t="s">
        <v>560</v>
      </c>
      <c r="C745" s="4" t="s">
        <v>298</v>
      </c>
      <c r="D745" s="94">
        <v>2591.0</v>
      </c>
    </row>
    <row r="746">
      <c r="A746" s="40">
        <f t="array" ref="A746">IFNA(index(PlayerValues!A:A,match(IFNA(vlookup(B746,'Special Names'!A:B,2,FALSE),B746),PlayerValues!E:E,0)),"N/A")</f>
        <v>17087</v>
      </c>
      <c r="B746" s="4" t="s">
        <v>600</v>
      </c>
      <c r="C746" s="4" t="s">
        <v>287</v>
      </c>
      <c r="D746" s="94">
        <v>2194.0</v>
      </c>
    </row>
    <row r="747">
      <c r="A747" s="40">
        <f t="array" ref="A747">IFNA(index(PlayerValues!A:A,match(IFNA(vlookup(B747,'Special Names'!A:B,2,FALSE),B747),PlayerValues!E:E,0)),"N/A")</f>
        <v>16432</v>
      </c>
      <c r="B747" s="4" t="s">
        <v>620</v>
      </c>
      <c r="C747" s="4" t="s">
        <v>278</v>
      </c>
      <c r="D747" s="94">
        <v>2188.0</v>
      </c>
    </row>
    <row r="748">
      <c r="A748" s="40">
        <f t="array" ref="A748">IFNA(index(PlayerValues!A:A,match(IFNA(vlookup(B748,'Special Names'!A:B,2,FALSE),B748),PlayerValues!E:E,0)),"N/A")</f>
        <v>14871</v>
      </c>
      <c r="B748" s="4" t="s">
        <v>584</v>
      </c>
      <c r="C748" s="4" t="s">
        <v>298</v>
      </c>
      <c r="D748" s="94">
        <v>2560.0</v>
      </c>
    </row>
    <row r="749">
      <c r="A749" s="40" t="str">
        <f t="array" ref="A749">IFNA(index(PlayerValues!A:A,match(IFNA(vlookup(B749,'Special Names'!A:B,2,FALSE),B749),PlayerValues!E:E,0)),"N/A")</f>
        <v>N/A</v>
      </c>
      <c r="B749" s="4" t="s">
        <v>112</v>
      </c>
      <c r="C749" s="4" t="s">
        <v>325</v>
      </c>
      <c r="D749" s="94">
        <v>2167.0</v>
      </c>
    </row>
    <row r="750">
      <c r="A750" s="40">
        <f t="array" ref="A750">IFNA(index(PlayerValues!A:A,match(IFNA(vlookup(B750,'Special Names'!A:B,2,FALSE),B750),PlayerValues!E:E,0)),"N/A")</f>
        <v>17474</v>
      </c>
      <c r="B750" s="4" t="s">
        <v>513</v>
      </c>
      <c r="C750" s="4" t="s">
        <v>278</v>
      </c>
      <c r="D750" s="94">
        <v>2166.0</v>
      </c>
    </row>
    <row r="751">
      <c r="A751" s="40">
        <f t="array" ref="A751">IFNA(index(PlayerValues!A:A,match(IFNA(vlookup(B751,'Special Names'!A:B,2,FALSE),B751),PlayerValues!E:E,0)),"N/A")</f>
        <v>17049</v>
      </c>
      <c r="B751" s="4" t="s">
        <v>624</v>
      </c>
      <c r="C751" s="4" t="s">
        <v>278</v>
      </c>
      <c r="D751" s="94">
        <v>2160.0</v>
      </c>
    </row>
    <row r="752">
      <c r="A752" s="40">
        <f t="array" ref="A752">IFNA(index(PlayerValues!A:A,match(IFNA(vlookup(B752,'Special Names'!A:B,2,FALSE),B752),PlayerValues!E:E,0)),"N/A")</f>
        <v>16342</v>
      </c>
      <c r="B752" s="4" t="s">
        <v>583</v>
      </c>
      <c r="C752" s="4" t="s">
        <v>287</v>
      </c>
      <c r="D752" s="94">
        <v>2158.0</v>
      </c>
    </row>
    <row r="753">
      <c r="A753" s="40">
        <f t="array" ref="A753">IFNA(index(PlayerValues!A:A,match(IFNA(vlookup(B753,'Special Names'!A:B,2,FALSE),B753),PlayerValues!E:E,0)),"N/A")</f>
        <v>17061</v>
      </c>
      <c r="B753" s="4" t="s">
        <v>580</v>
      </c>
      <c r="C753" s="4" t="s">
        <v>278</v>
      </c>
      <c r="D753" s="94">
        <v>2150.0</v>
      </c>
    </row>
    <row r="754">
      <c r="A754" s="40">
        <f t="array" ref="A754">IFNA(index(PlayerValues!A:A,match(IFNA(vlookup(B754,'Special Names'!A:B,2,FALSE),B754),PlayerValues!E:E,0)),"N/A")</f>
        <v>16639</v>
      </c>
      <c r="B754" s="4" t="s">
        <v>599</v>
      </c>
      <c r="C754" s="4" t="s">
        <v>287</v>
      </c>
      <c r="D754" s="94">
        <v>2141.0</v>
      </c>
    </row>
    <row r="755">
      <c r="A755" s="40">
        <f t="array" ref="A755">IFNA(index(PlayerValues!A:A,match(IFNA(vlookup(B755,'Special Names'!A:B,2,FALSE),B755),PlayerValues!E:E,0)),"N/A")</f>
        <v>13146</v>
      </c>
      <c r="B755" s="4" t="s">
        <v>652</v>
      </c>
      <c r="C755" s="4" t="s">
        <v>278</v>
      </c>
      <c r="D755" s="94">
        <v>2138.0</v>
      </c>
    </row>
    <row r="756">
      <c r="A756" s="40" t="str">
        <f t="array" ref="A756">IFNA(index(PlayerValues!A:A,match(IFNA(vlookup(B756,'Special Names'!A:B,2,FALSE),B756),PlayerValues!E:E,0)),"N/A")</f>
        <v>N/A</v>
      </c>
      <c r="B756" s="4" t="s">
        <v>88</v>
      </c>
      <c r="C756" s="4" t="s">
        <v>325</v>
      </c>
      <c r="D756" s="94">
        <v>2135.0</v>
      </c>
    </row>
    <row r="757">
      <c r="A757" s="40" t="str">
        <f t="array" ref="A757">IFNA(index(PlayerValues!A:A,match(IFNA(vlookup(B757,'Special Names'!A:B,2,FALSE),B757),PlayerValues!E:E,0)),"N/A")</f>
        <v>N/A</v>
      </c>
      <c r="B757" s="4" t="s">
        <v>113</v>
      </c>
      <c r="C757" s="4" t="s">
        <v>325</v>
      </c>
      <c r="D757" s="94">
        <v>2134.0</v>
      </c>
    </row>
    <row r="758">
      <c r="A758" s="40">
        <f t="array" ref="A758">IFNA(index(PlayerValues!A:A,match(IFNA(vlookup(B758,'Special Names'!A:B,2,FALSE),B758),PlayerValues!E:E,0)),"N/A")</f>
        <v>16191</v>
      </c>
      <c r="B758" s="4" t="s">
        <v>666</v>
      </c>
      <c r="C758" s="4" t="s">
        <v>287</v>
      </c>
      <c r="D758" s="94">
        <v>2132.0</v>
      </c>
    </row>
    <row r="759">
      <c r="A759" s="40">
        <f t="array" ref="A759">IFNA(index(PlayerValues!A:A,match(IFNA(vlookup(B759,'Special Names'!A:B,2,FALSE),B759),PlayerValues!E:E,0)),"N/A")</f>
        <v>13132</v>
      </c>
      <c r="B759" s="4" t="s">
        <v>598</v>
      </c>
      <c r="C759" s="4" t="s">
        <v>278</v>
      </c>
      <c r="D759" s="94">
        <v>2128.0</v>
      </c>
    </row>
    <row r="760">
      <c r="A760" s="40">
        <f t="array" ref="A760">IFNA(index(PlayerValues!A:A,match(IFNA(vlookup(B760,'Special Names'!A:B,2,FALSE),B760),PlayerValues!E:E,0)),"N/A")</f>
        <v>17509</v>
      </c>
      <c r="B760" s="4" t="s">
        <v>551</v>
      </c>
      <c r="C760" s="4" t="s">
        <v>287</v>
      </c>
      <c r="D760" s="94">
        <v>2124.0</v>
      </c>
    </row>
    <row r="761">
      <c r="A761" s="40">
        <f t="array" ref="A761">IFNA(index(PlayerValues!A:A,match(IFNA(vlookup(B761,'Special Names'!A:B,2,FALSE),B761),PlayerValues!E:E,0)),"N/A")</f>
        <v>11150</v>
      </c>
      <c r="B761" s="4" t="s">
        <v>559</v>
      </c>
      <c r="C761" s="4" t="s">
        <v>283</v>
      </c>
      <c r="D761" s="94">
        <v>2122.0</v>
      </c>
    </row>
    <row r="762">
      <c r="A762" s="40">
        <f t="array" ref="A762">IFNA(index(PlayerValues!A:A,match(IFNA(vlookup(B762,'Special Names'!A:B,2,FALSE),B762),PlayerValues!E:E,0)),"N/A")</f>
        <v>16643</v>
      </c>
      <c r="B762" s="4" t="s">
        <v>609</v>
      </c>
      <c r="C762" s="4" t="s">
        <v>298</v>
      </c>
      <c r="D762" s="94">
        <v>2515.0</v>
      </c>
    </row>
    <row r="763">
      <c r="A763" s="40">
        <f t="array" ref="A763">IFNA(index(PlayerValues!A:A,match(IFNA(vlookup(B763,'Special Names'!A:B,2,FALSE),B763),PlayerValues!E:E,0)),"N/A")</f>
        <v>17507</v>
      </c>
      <c r="B763" s="4" t="s">
        <v>495</v>
      </c>
      <c r="C763" s="4" t="s">
        <v>287</v>
      </c>
      <c r="D763" s="94">
        <v>2122.0</v>
      </c>
    </row>
    <row r="764">
      <c r="A764" s="40">
        <f t="array" ref="A764">IFNA(index(PlayerValues!A:A,match(IFNA(vlookup(B764,'Special Names'!A:B,2,FALSE),B764),PlayerValues!E:E,0)),"N/A")</f>
        <v>17056</v>
      </c>
      <c r="B764" s="4" t="s">
        <v>581</v>
      </c>
      <c r="C764" s="4" t="s">
        <v>278</v>
      </c>
      <c r="D764" s="94">
        <v>2118.0</v>
      </c>
    </row>
    <row r="765">
      <c r="A765" s="40">
        <f t="array" ref="A765">IFNA(index(PlayerValues!A:A,match(IFNA(vlookup(B765,'Special Names'!A:B,2,FALSE),B765),PlayerValues!E:E,0)),"N/A")</f>
        <v>15293</v>
      </c>
      <c r="B765" s="4" t="s">
        <v>578</v>
      </c>
      <c r="C765" s="4" t="s">
        <v>287</v>
      </c>
      <c r="D765" s="94">
        <v>2111.0</v>
      </c>
    </row>
    <row r="766">
      <c r="A766" s="40">
        <f t="array" ref="A766">IFNA(index(PlayerValues!A:A,match(IFNA(vlookup(B766,'Special Names'!A:B,2,FALSE),B766),PlayerValues!E:E,0)),"N/A")</f>
        <v>17060</v>
      </c>
      <c r="B766" s="4" t="s">
        <v>603</v>
      </c>
      <c r="C766" s="4" t="s">
        <v>278</v>
      </c>
      <c r="D766" s="94">
        <v>2111.0</v>
      </c>
    </row>
    <row r="767">
      <c r="A767" s="40">
        <f t="array" ref="A767">IFNA(index(PlayerValues!A:A,match(IFNA(vlookup(B767,'Special Names'!A:B,2,FALSE),B767),PlayerValues!E:E,0)),"N/A")</f>
        <v>14974</v>
      </c>
      <c r="B767" s="4" t="s">
        <v>611</v>
      </c>
      <c r="C767" s="4" t="s">
        <v>287</v>
      </c>
      <c r="D767" s="94">
        <v>2104.0</v>
      </c>
    </row>
    <row r="768">
      <c r="A768" s="40">
        <f t="array" ref="A768">IFNA(index(PlayerValues!A:A,match(IFNA(vlookup(B768,'Special Names'!A:B,2,FALSE),B768),PlayerValues!E:E,0)),"N/A")</f>
        <v>13633</v>
      </c>
      <c r="B768" s="4" t="s">
        <v>625</v>
      </c>
      <c r="C768" s="4" t="s">
        <v>287</v>
      </c>
      <c r="D768" s="94">
        <v>2098.0</v>
      </c>
    </row>
    <row r="769">
      <c r="A769" s="40">
        <f t="array" ref="A769">IFNA(index(PlayerValues!A:A,match(IFNA(vlookup(B769,'Special Names'!A:B,2,FALSE),B769),PlayerValues!E:E,0)),"N/A")</f>
        <v>17036</v>
      </c>
      <c r="B769" s="4" t="s">
        <v>617</v>
      </c>
      <c r="C769" s="4" t="s">
        <v>283</v>
      </c>
      <c r="D769" s="94">
        <v>2092.0</v>
      </c>
    </row>
    <row r="770">
      <c r="A770" s="40">
        <f t="array" ref="A770">IFNA(index(PlayerValues!A:A,match(IFNA(vlookup(B770,'Special Names'!A:B,2,FALSE),B770),PlayerValues!E:E,0)),"N/A")</f>
        <v>13319</v>
      </c>
      <c r="B770" s="4" t="s">
        <v>549</v>
      </c>
      <c r="C770" s="4" t="s">
        <v>278</v>
      </c>
      <c r="D770" s="94">
        <v>2087.0</v>
      </c>
    </row>
    <row r="771">
      <c r="A771" s="40">
        <f t="array" ref="A771">IFNA(index(PlayerValues!A:A,match(IFNA(vlookup(B771,'Special Names'!A:B,2,FALSE),B771),PlayerValues!E:E,0)),"N/A")</f>
        <v>17464</v>
      </c>
      <c r="B771" s="4" t="s">
        <v>828</v>
      </c>
      <c r="C771" s="4" t="s">
        <v>283</v>
      </c>
      <c r="D771" s="94">
        <v>2053.0</v>
      </c>
    </row>
    <row r="772">
      <c r="A772" s="40">
        <f t="array" ref="A772">IFNA(index(PlayerValues!A:A,match(IFNA(vlookup(B772,'Special Names'!A:B,2,FALSE),B772),PlayerValues!E:E,0)),"N/A")</f>
        <v>14867</v>
      </c>
      <c r="B772" s="4" t="s">
        <v>591</v>
      </c>
      <c r="C772" s="4" t="s">
        <v>298</v>
      </c>
      <c r="D772" s="94">
        <v>2441.0</v>
      </c>
    </row>
    <row r="773">
      <c r="A773" s="40">
        <f t="array" ref="A773">IFNA(index(PlayerValues!A:A,match(IFNA(vlookup(B773,'Special Names'!A:B,2,FALSE),B773),PlayerValues!E:E,0)),"N/A")</f>
        <v>17465</v>
      </c>
      <c r="B773" s="4" t="s">
        <v>649</v>
      </c>
      <c r="C773" s="4" t="s">
        <v>283</v>
      </c>
      <c r="D773" s="94">
        <v>2046.0</v>
      </c>
    </row>
    <row r="774">
      <c r="A774" s="40">
        <f t="array" ref="A774">IFNA(index(PlayerValues!A:A,match(IFNA(vlookup(B774,'Special Names'!A:B,2,FALSE),B774),PlayerValues!E:E,0)),"N/A")</f>
        <v>17069</v>
      </c>
      <c r="B774" s="4" t="s">
        <v>604</v>
      </c>
      <c r="C774" s="4" t="s">
        <v>278</v>
      </c>
      <c r="D774" s="94">
        <v>2021.0</v>
      </c>
    </row>
    <row r="775">
      <c r="A775" s="40">
        <f t="array" ref="A775">IFNA(index(PlayerValues!A:A,match(IFNA(vlookup(B775,'Special Names'!A:B,2,FALSE),B775),PlayerValues!E:E,0)),"N/A")</f>
        <v>16171</v>
      </c>
      <c r="B775" s="4" t="s">
        <v>618</v>
      </c>
      <c r="C775" s="4" t="s">
        <v>278</v>
      </c>
      <c r="D775" s="94">
        <v>1991.0</v>
      </c>
    </row>
    <row r="776">
      <c r="A776" s="40">
        <f t="array" ref="A776">IFNA(index(PlayerValues!A:A,match(IFNA(vlookup(B776,'Special Names'!A:B,2,FALSE),B776),PlayerValues!E:E,0)),"N/A")</f>
        <v>16603</v>
      </c>
      <c r="B776" s="4" t="s">
        <v>587</v>
      </c>
      <c r="C776" s="4" t="s">
        <v>278</v>
      </c>
      <c r="D776" s="94">
        <v>1974.0</v>
      </c>
    </row>
    <row r="777">
      <c r="A777" s="40" t="str">
        <f t="array" ref="A777">IFNA(index(PlayerValues!A:A,match(IFNA(vlookup(B777,'Special Names'!A:B,2,FALSE),B777),PlayerValues!E:E,0)),"N/A")</f>
        <v>N/A</v>
      </c>
      <c r="B777" s="4" t="s">
        <v>114</v>
      </c>
      <c r="C777" s="4" t="s">
        <v>325</v>
      </c>
      <c r="D777" s="94">
        <v>1964.0</v>
      </c>
    </row>
    <row r="778">
      <c r="A778" s="40">
        <f t="array" ref="A778">IFNA(index(PlayerValues!A:A,match(IFNA(vlookup(B778,'Special Names'!A:B,2,FALSE),B778),PlayerValues!E:E,0)),"N/A")</f>
        <v>17506</v>
      </c>
      <c r="B778" s="4" t="s">
        <v>471</v>
      </c>
      <c r="C778" s="4" t="s">
        <v>287</v>
      </c>
      <c r="D778" s="94">
        <v>1961.0</v>
      </c>
    </row>
    <row r="779">
      <c r="A779" s="40">
        <f t="array" ref="A779">IFNA(index(PlayerValues!A:A,match(IFNA(vlookup(B779,'Special Names'!A:B,2,FALSE),B779),PlayerValues!E:E,0)),"N/A")</f>
        <v>17034</v>
      </c>
      <c r="B779" s="4" t="s">
        <v>643</v>
      </c>
      <c r="C779" s="4" t="s">
        <v>283</v>
      </c>
      <c r="D779" s="94">
        <v>1934.0</v>
      </c>
    </row>
    <row r="780">
      <c r="A780" s="40">
        <f t="array" ref="A780">IFNA(index(PlayerValues!A:A,match(IFNA(vlookup(B780,'Special Names'!A:B,2,FALSE),B780),PlayerValues!E:E,0)),"N/A")</f>
        <v>17055</v>
      </c>
      <c r="B780" s="4" t="s">
        <v>565</v>
      </c>
      <c r="C780" s="4" t="s">
        <v>278</v>
      </c>
      <c r="D780" s="94">
        <v>1929.0</v>
      </c>
    </row>
    <row r="781">
      <c r="A781" s="40">
        <f t="array" ref="A781">IFNA(index(PlayerValues!A:A,match(IFNA(vlookup(B781,'Special Names'!A:B,2,FALSE),B781),PlayerValues!E:E,0)),"N/A")</f>
        <v>16216</v>
      </c>
      <c r="B781" s="4" t="s">
        <v>595</v>
      </c>
      <c r="C781" s="4" t="s">
        <v>298</v>
      </c>
      <c r="D781" s="94">
        <v>2310.0</v>
      </c>
    </row>
    <row r="782">
      <c r="A782" s="40">
        <f t="array" ref="A782">IFNA(index(PlayerValues!A:A,match(IFNA(vlookup(B782,'Special Names'!A:B,2,FALSE),B782),PlayerValues!E:E,0)),"N/A")</f>
        <v>14105</v>
      </c>
      <c r="B782" s="4" t="s">
        <v>675</v>
      </c>
      <c r="C782" s="4" t="s">
        <v>287</v>
      </c>
      <c r="D782" s="94">
        <v>1920.0</v>
      </c>
    </row>
    <row r="783">
      <c r="A783" s="40">
        <f t="array" ref="A783">IFNA(index(PlayerValues!A:A,match(IFNA(vlookup(B783,'Special Names'!A:B,2,FALSE),B783),PlayerValues!E:E,0)),"N/A")</f>
        <v>16752</v>
      </c>
      <c r="B783" s="4" t="s">
        <v>597</v>
      </c>
      <c r="C783" s="4" t="s">
        <v>278</v>
      </c>
      <c r="D783" s="94">
        <v>1919.0</v>
      </c>
    </row>
    <row r="784">
      <c r="A784" s="40">
        <f t="array" ref="A784">IFNA(index(PlayerValues!A:A,match(IFNA(vlookup(B784,'Special Names'!A:B,2,FALSE),B784),PlayerValues!E:E,0)),"N/A")</f>
        <v>16778</v>
      </c>
      <c r="B784" s="4" t="s">
        <v>577</v>
      </c>
      <c r="C784" s="4" t="s">
        <v>287</v>
      </c>
      <c r="D784" s="94">
        <v>1912.0</v>
      </c>
    </row>
    <row r="785">
      <c r="A785" s="40">
        <f t="array" ref="A785">IFNA(index(PlayerValues!A:A,match(IFNA(vlookup(B785,'Special Names'!A:B,2,FALSE),B785),PlayerValues!E:E,0)),"N/A")</f>
        <v>16215</v>
      </c>
      <c r="B785" s="4" t="s">
        <v>637</v>
      </c>
      <c r="C785" s="4" t="s">
        <v>298</v>
      </c>
      <c r="D785" s="94">
        <v>2280.0</v>
      </c>
    </row>
    <row r="786">
      <c r="A786" s="40">
        <f t="array" ref="A786">IFNA(index(PlayerValues!A:A,match(IFNA(vlookup(B786,'Special Names'!A:B,2,FALSE),B786),PlayerValues!E:E,0)),"N/A")</f>
        <v>17511</v>
      </c>
      <c r="B786" s="4" t="s">
        <v>485</v>
      </c>
      <c r="C786" s="4" t="s">
        <v>287</v>
      </c>
      <c r="D786" s="94">
        <v>1890.0</v>
      </c>
    </row>
    <row r="787">
      <c r="A787" s="40">
        <f t="array" ref="A787">IFNA(index(PlayerValues!A:A,match(IFNA(vlookup(B787,'Special Names'!A:B,2,FALSE),B787),PlayerValues!E:E,0)),"N/A")</f>
        <v>17184</v>
      </c>
      <c r="B787" s="4" t="s">
        <v>588</v>
      </c>
      <c r="C787" s="4" t="s">
        <v>287</v>
      </c>
      <c r="D787" s="94">
        <v>1886.0</v>
      </c>
    </row>
    <row r="788">
      <c r="A788" s="40">
        <f t="array" ref="A788">IFNA(index(PlayerValues!A:A,match(IFNA(vlookup(B788,'Special Names'!A:B,2,FALSE),B788),PlayerValues!E:E,0)),"N/A")</f>
        <v>15787</v>
      </c>
      <c r="B788" s="4" t="s">
        <v>610</v>
      </c>
      <c r="C788" s="4" t="s">
        <v>287</v>
      </c>
      <c r="D788" s="94">
        <v>1881.0</v>
      </c>
    </row>
    <row r="789">
      <c r="A789" s="40">
        <f t="array" ref="A789">IFNA(index(PlayerValues!A:A,match(IFNA(vlookup(B789,'Special Names'!A:B,2,FALSE),B789),PlayerValues!E:E,0)),"N/A")</f>
        <v>16644</v>
      </c>
      <c r="B789" s="4" t="s">
        <v>640</v>
      </c>
      <c r="C789" s="4" t="s">
        <v>298</v>
      </c>
      <c r="D789" s="94">
        <v>2258.0</v>
      </c>
    </row>
    <row r="790">
      <c r="A790" s="40">
        <f t="array" ref="A790">IFNA(index(PlayerValues!A:A,match(IFNA(vlookup(B790,'Special Names'!A:B,2,FALSE),B790),PlayerValues!E:E,0)),"N/A")</f>
        <v>17086</v>
      </c>
      <c r="B790" s="4" t="s">
        <v>612</v>
      </c>
      <c r="C790" s="4" t="s">
        <v>287</v>
      </c>
      <c r="D790" s="94">
        <v>1858.0</v>
      </c>
    </row>
    <row r="791">
      <c r="A791" s="40">
        <f t="array" ref="A791">IFNA(index(PlayerValues!A:A,match(IFNA(vlookup(B791,'Special Names'!A:B,2,FALSE),B791),PlayerValues!E:E,0)),"N/A")</f>
        <v>15254</v>
      </c>
      <c r="B791" s="4" t="s">
        <v>633</v>
      </c>
      <c r="C791" s="4" t="s">
        <v>278</v>
      </c>
      <c r="D791" s="94">
        <v>1851.0</v>
      </c>
    </row>
    <row r="792">
      <c r="A792" s="40">
        <f t="array" ref="A792">IFNA(index(PlayerValues!A:A,match(IFNA(vlookup(B792,'Special Names'!A:B,2,FALSE),B792),PlayerValues!E:E,0)),"N/A")</f>
        <v>13629</v>
      </c>
      <c r="B792" s="4" t="s">
        <v>619</v>
      </c>
      <c r="C792" s="4" t="s">
        <v>287</v>
      </c>
      <c r="D792" s="94">
        <v>1848.0</v>
      </c>
    </row>
    <row r="793">
      <c r="A793" s="40">
        <f t="array" ref="A793">IFNA(index(PlayerValues!A:A,match(IFNA(vlookup(B793,'Special Names'!A:B,2,FALSE),B793),PlayerValues!E:E,0)),"N/A")</f>
        <v>17478</v>
      </c>
      <c r="B793" s="4" t="s">
        <v>527</v>
      </c>
      <c r="C793" s="4" t="s">
        <v>278</v>
      </c>
      <c r="D793" s="94">
        <v>1848.0</v>
      </c>
    </row>
    <row r="794">
      <c r="A794" s="40">
        <f t="array" ref="A794">IFNA(index(PlayerValues!A:A,match(IFNA(vlookup(B794,'Special Names'!A:B,2,FALSE),B794),PlayerValues!E:E,0)),"N/A")</f>
        <v>13164</v>
      </c>
      <c r="B794" s="4" t="s">
        <v>632</v>
      </c>
      <c r="C794" s="4" t="s">
        <v>287</v>
      </c>
      <c r="D794" s="94">
        <v>1847.0</v>
      </c>
    </row>
    <row r="795">
      <c r="A795" s="40">
        <f t="array" ref="A795">IFNA(index(PlayerValues!A:A,match(IFNA(vlookup(B795,'Special Names'!A:B,2,FALSE),B795),PlayerValues!E:E,0)),"N/A")</f>
        <v>16201</v>
      </c>
      <c r="B795" s="4" t="s">
        <v>589</v>
      </c>
      <c r="C795" s="4" t="s">
        <v>287</v>
      </c>
      <c r="D795" s="94">
        <v>1846.0</v>
      </c>
    </row>
    <row r="796">
      <c r="A796" s="40">
        <f t="array" ref="A796">IFNA(index(PlayerValues!A:A,match(IFNA(vlookup(B796,'Special Names'!A:B,2,FALSE),B796),PlayerValues!E:E,0)),"N/A")</f>
        <v>16585</v>
      </c>
      <c r="B796" s="4" t="s">
        <v>623</v>
      </c>
      <c r="C796" s="4" t="s">
        <v>283</v>
      </c>
      <c r="D796" s="94">
        <v>1838.0</v>
      </c>
    </row>
    <row r="797">
      <c r="A797" s="40" t="str">
        <f t="array" ref="A797">IFNA(index(PlayerValues!A:A,match(IFNA(vlookup(B797,'Special Names'!A:B,2,FALSE),B797),PlayerValues!E:E,0)),"N/A")</f>
        <v>N/A</v>
      </c>
      <c r="B797" s="4" t="s">
        <v>101</v>
      </c>
      <c r="C797" s="4" t="s">
        <v>325</v>
      </c>
      <c r="D797" s="94">
        <v>1837.0</v>
      </c>
    </row>
    <row r="798">
      <c r="A798" s="40">
        <f t="array" ref="A798">IFNA(index(PlayerValues!A:A,match(IFNA(vlookup(B798,'Special Names'!A:B,2,FALSE),B798),PlayerValues!E:E,0)),"N/A")</f>
        <v>15755</v>
      </c>
      <c r="B798" s="4" t="s">
        <v>628</v>
      </c>
      <c r="C798" s="4" t="s">
        <v>287</v>
      </c>
      <c r="D798" s="94">
        <v>1836.0</v>
      </c>
    </row>
    <row r="799">
      <c r="A799" s="40">
        <f t="array" ref="A799">IFNA(index(PlayerValues!A:A,match(IFNA(vlookup(B799,'Special Names'!A:B,2,FALSE),B799),PlayerValues!E:E,0)),"N/A")</f>
        <v>7836</v>
      </c>
      <c r="B799" s="4" t="s">
        <v>590</v>
      </c>
      <c r="C799" s="4" t="s">
        <v>283</v>
      </c>
      <c r="D799" s="94">
        <v>1829.0</v>
      </c>
    </row>
    <row r="800">
      <c r="A800" s="40">
        <f t="array" ref="A800">IFNA(index(PlayerValues!A:A,match(IFNA(vlookup(B800,'Special Names'!A:B,2,FALSE),B800),PlayerValues!E:E,0)),"N/A")</f>
        <v>13189</v>
      </c>
      <c r="B800" s="4" t="s">
        <v>626</v>
      </c>
      <c r="C800" s="4" t="s">
        <v>298</v>
      </c>
      <c r="D800" s="94">
        <v>2211.0</v>
      </c>
    </row>
    <row r="801">
      <c r="A801" s="40" t="str">
        <f t="array" ref="A801">IFNA(index(PlayerValues!A:A,match(IFNA(vlookup(B801,'Special Names'!A:B,2,FALSE),B801),PlayerValues!E:E,0)),"N/A")</f>
        <v>N/A</v>
      </c>
      <c r="B801" s="4" t="s">
        <v>89</v>
      </c>
      <c r="C801" s="4" t="s">
        <v>325</v>
      </c>
      <c r="D801" s="94">
        <v>1828.0</v>
      </c>
    </row>
    <row r="802">
      <c r="A802" s="40">
        <f t="array" ref="A802">IFNA(index(PlayerValues!A:A,match(IFNA(vlookup(B802,'Special Names'!A:B,2,FALSE),B802),PlayerValues!E:E,0)),"N/A")</f>
        <v>16586</v>
      </c>
      <c r="B802" s="4" t="s">
        <v>658</v>
      </c>
      <c r="C802" s="4" t="s">
        <v>283</v>
      </c>
      <c r="D802" s="94">
        <v>1811.0</v>
      </c>
    </row>
    <row r="803">
      <c r="A803" s="40">
        <f t="array" ref="A803">IFNA(index(PlayerValues!A:A,match(IFNA(vlookup(B803,'Special Names'!A:B,2,FALSE),B803),PlayerValues!E:E,0)),"N/A")</f>
        <v>16604</v>
      </c>
      <c r="B803" s="4" t="s">
        <v>476</v>
      </c>
      <c r="C803" s="4" t="s">
        <v>278</v>
      </c>
      <c r="D803" s="94">
        <v>1811.0</v>
      </c>
    </row>
    <row r="804">
      <c r="A804" s="40">
        <f t="array" ref="A804">IFNA(index(PlayerValues!A:A,match(IFNA(vlookup(B804,'Special Names'!A:B,2,FALSE),B804),PlayerValues!E:E,0)),"N/A")</f>
        <v>16635</v>
      </c>
      <c r="B804" s="4" t="s">
        <v>645</v>
      </c>
      <c r="C804" s="4" t="s">
        <v>287</v>
      </c>
      <c r="D804" s="94">
        <v>1799.0</v>
      </c>
    </row>
    <row r="805">
      <c r="A805" s="40">
        <f t="array" ref="A805">IFNA(index(PlayerValues!A:A,match(IFNA(vlookup(B805,'Special Names'!A:B,2,FALSE),B805),PlayerValues!E:E,0)),"N/A")</f>
        <v>17035</v>
      </c>
      <c r="B805" s="4" t="s">
        <v>650</v>
      </c>
      <c r="C805" s="4" t="s">
        <v>283</v>
      </c>
      <c r="D805" s="94">
        <v>1794.0</v>
      </c>
    </row>
    <row r="806">
      <c r="A806" s="40" t="str">
        <f t="array" ref="A806">IFNA(index(PlayerValues!A:A,match(IFNA(vlookup(B806,'Special Names'!A:B,2,FALSE),B806),PlayerValues!E:E,0)),"N/A")</f>
        <v>N/A</v>
      </c>
      <c r="B806" s="4" t="s">
        <v>102</v>
      </c>
      <c r="C806" s="4" t="s">
        <v>325</v>
      </c>
      <c r="D806" s="94">
        <v>1789.0</v>
      </c>
    </row>
    <row r="807">
      <c r="A807" s="40">
        <f t="array" ref="A807">IFNA(index(PlayerValues!A:A,match(IFNA(vlookup(B807,'Special Names'!A:B,2,FALSE),B807),PlayerValues!E:E,0)),"N/A")</f>
        <v>15759</v>
      </c>
      <c r="B807" s="4" t="s">
        <v>662</v>
      </c>
      <c r="C807" s="4" t="s">
        <v>287</v>
      </c>
      <c r="D807" s="94">
        <v>1780.0</v>
      </c>
    </row>
    <row r="808">
      <c r="A808" s="40">
        <f t="array" ref="A808">IFNA(index(PlayerValues!A:A,match(IFNA(vlookup(B808,'Special Names'!A:B,2,FALSE),B808),PlayerValues!E:E,0)),"N/A")</f>
        <v>10700</v>
      </c>
      <c r="B808" s="4" t="s">
        <v>596</v>
      </c>
      <c r="C808" s="4" t="s">
        <v>283</v>
      </c>
      <c r="D808" s="94">
        <v>1752.0</v>
      </c>
    </row>
    <row r="809">
      <c r="A809" s="40">
        <f t="array" ref="A809">IFNA(index(PlayerValues!A:A,match(IFNA(vlookup(B809,'Special Names'!A:B,2,FALSE),B809),PlayerValues!E:E,0)),"N/A")</f>
        <v>11222</v>
      </c>
      <c r="B809" s="4" t="s">
        <v>622</v>
      </c>
      <c r="C809" s="4" t="s">
        <v>287</v>
      </c>
      <c r="D809" s="94">
        <v>1749.0</v>
      </c>
    </row>
    <row r="810">
      <c r="A810" s="40">
        <f t="array" ref="A810">IFNA(index(PlayerValues!A:A,match(IFNA(vlookup(B810,'Special Names'!A:B,2,FALSE),B810),PlayerValues!E:E,0)),"N/A")</f>
        <v>17517</v>
      </c>
      <c r="B810" s="4" t="s">
        <v>454</v>
      </c>
      <c r="C810" s="4" t="s">
        <v>287</v>
      </c>
      <c r="D810" s="94">
        <v>1748.0</v>
      </c>
    </row>
    <row r="811">
      <c r="A811" s="40">
        <f t="array" ref="A811">IFNA(index(PlayerValues!A:A,match(IFNA(vlookup(B811,'Special Names'!A:B,2,FALSE),B811),PlayerValues!E:E,0)),"N/A")</f>
        <v>14143</v>
      </c>
      <c r="B811" s="4" t="s">
        <v>635</v>
      </c>
      <c r="C811" s="4" t="s">
        <v>298</v>
      </c>
      <c r="D811" s="94">
        <v>2125.0</v>
      </c>
    </row>
    <row r="812">
      <c r="A812" s="40">
        <f t="array" ref="A812">IFNA(index(PlayerValues!A:A,match(IFNA(vlookup(B812,'Special Names'!A:B,2,FALSE),B812),PlayerValues!E:E,0)),"N/A")</f>
        <v>16788</v>
      </c>
      <c r="B812" s="4" t="s">
        <v>621</v>
      </c>
      <c r="C812" s="4" t="s">
        <v>287</v>
      </c>
      <c r="D812" s="94">
        <v>1742.0</v>
      </c>
    </row>
    <row r="813">
      <c r="A813" s="40">
        <f t="array" ref="A813">IFNA(index(PlayerValues!A:A,match(IFNA(vlookup(B813,'Special Names'!A:B,2,FALSE),B813),PlayerValues!E:E,0)),"N/A")</f>
        <v>16629</v>
      </c>
      <c r="B813" s="4" t="s">
        <v>605</v>
      </c>
      <c r="C813" s="4" t="s">
        <v>287</v>
      </c>
      <c r="D813" s="94">
        <v>1735.0</v>
      </c>
    </row>
    <row r="814">
      <c r="A814" s="40">
        <f t="array" ref="A814">IFNA(index(PlayerValues!A:A,match(IFNA(vlookup(B814,'Special Names'!A:B,2,FALSE),B814),PlayerValues!E:E,0)),"N/A")</f>
        <v>17058</v>
      </c>
      <c r="B814" s="4" t="s">
        <v>641</v>
      </c>
      <c r="C814" s="4" t="s">
        <v>278</v>
      </c>
      <c r="D814" s="94">
        <v>1734.0</v>
      </c>
    </row>
    <row r="815">
      <c r="A815" s="40">
        <f t="array" ref="A815">IFNA(index(PlayerValues!A:A,match(IFNA(vlookup(B815,'Special Names'!A:B,2,FALSE),B815),PlayerValues!E:E,0)),"N/A")</f>
        <v>16688</v>
      </c>
      <c r="B815" s="4" t="s">
        <v>688</v>
      </c>
      <c r="C815" s="4" t="s">
        <v>278</v>
      </c>
      <c r="D815" s="94">
        <v>1731.0</v>
      </c>
    </row>
    <row r="816">
      <c r="A816" s="40">
        <f t="array" ref="A816">IFNA(index(PlayerValues!A:A,match(IFNA(vlookup(B816,'Special Names'!A:B,2,FALSE),B816),PlayerValues!E:E,0)),"N/A")</f>
        <v>16207</v>
      </c>
      <c r="B816" s="4" t="s">
        <v>636</v>
      </c>
      <c r="C816" s="4" t="s">
        <v>287</v>
      </c>
      <c r="D816" s="94">
        <v>1728.0</v>
      </c>
    </row>
    <row r="817">
      <c r="A817" s="40">
        <f t="array" ref="A817">IFNA(index(PlayerValues!A:A,match(IFNA(vlookup(B817,'Special Names'!A:B,2,FALSE),B817),PlayerValues!E:E,0)),"N/A")</f>
        <v>17503</v>
      </c>
      <c r="B817" s="4" t="s">
        <v>480</v>
      </c>
      <c r="C817" s="4" t="s">
        <v>287</v>
      </c>
      <c r="D817" s="94">
        <v>1727.0</v>
      </c>
    </row>
    <row r="818">
      <c r="A818" s="40">
        <f t="array" ref="A818">IFNA(index(PlayerValues!A:A,match(IFNA(vlookup(B818,'Special Names'!A:B,2,FALSE),B818),PlayerValues!E:E,0)),"N/A")</f>
        <v>15337</v>
      </c>
      <c r="B818" s="4" t="s">
        <v>655</v>
      </c>
      <c r="C818" s="4" t="s">
        <v>298</v>
      </c>
      <c r="D818" s="94">
        <v>2094.0</v>
      </c>
    </row>
    <row r="819">
      <c r="A819" s="40">
        <f t="array" ref="A819">IFNA(index(PlayerValues!A:A,match(IFNA(vlookup(B819,'Special Names'!A:B,2,FALSE),B819),PlayerValues!E:E,0)),"N/A")</f>
        <v>17064</v>
      </c>
      <c r="B819" s="4" t="s">
        <v>631</v>
      </c>
      <c r="C819" s="4" t="s">
        <v>278</v>
      </c>
      <c r="D819" s="94">
        <v>1706.0</v>
      </c>
    </row>
    <row r="820">
      <c r="A820" s="40">
        <f t="array" ref="A820">IFNA(index(PlayerValues!A:A,match(IFNA(vlookup(B820,'Special Names'!A:B,2,FALSE),B820),PlayerValues!E:E,0)),"N/A")</f>
        <v>15777</v>
      </c>
      <c r="B820" s="4" t="s">
        <v>694</v>
      </c>
      <c r="C820" s="4" t="s">
        <v>287</v>
      </c>
      <c r="D820" s="94">
        <v>1684.0</v>
      </c>
    </row>
    <row r="821">
      <c r="A821" s="40">
        <f t="array" ref="A821">IFNA(index(PlayerValues!A:A,match(IFNA(vlookup(B821,'Special Names'!A:B,2,FALSE),B821),PlayerValues!E:E,0)),"N/A")</f>
        <v>16601</v>
      </c>
      <c r="B821" s="4" t="s">
        <v>648</v>
      </c>
      <c r="C821" s="4" t="s">
        <v>278</v>
      </c>
      <c r="D821" s="94">
        <v>1667.0</v>
      </c>
    </row>
    <row r="822">
      <c r="A822" s="40">
        <f t="array" ref="A822">IFNA(index(PlayerValues!A:A,match(IFNA(vlookup(B822,'Special Names'!A:B,2,FALSE),B822),PlayerValues!E:E,0)),"N/A")</f>
        <v>15788</v>
      </c>
      <c r="B822" s="4" t="s">
        <v>627</v>
      </c>
      <c r="C822" s="4" t="s">
        <v>287</v>
      </c>
      <c r="D822" s="94">
        <v>1666.0</v>
      </c>
    </row>
    <row r="823">
      <c r="A823" s="40" t="str">
        <f t="array" ref="A823">IFNA(index(PlayerValues!A:A,match(IFNA(vlookup(B823,'Special Names'!A:B,2,FALSE),B823),PlayerValues!E:E,0)),"N/A")</f>
        <v>N/A</v>
      </c>
      <c r="B823" s="4" t="s">
        <v>103</v>
      </c>
      <c r="C823" s="4" t="s">
        <v>325</v>
      </c>
      <c r="D823" s="94">
        <v>1663.0</v>
      </c>
    </row>
    <row r="824">
      <c r="A824" s="40" t="str">
        <f t="array" ref="A824">IFNA(index(PlayerValues!A:A,match(IFNA(vlookup(B824,'Special Names'!A:B,2,FALSE),B824),PlayerValues!E:E,0)),"N/A")</f>
        <v>N/A</v>
      </c>
      <c r="B824" s="4" t="s">
        <v>90</v>
      </c>
      <c r="C824" s="4" t="s">
        <v>325</v>
      </c>
      <c r="D824" s="94">
        <v>1649.0</v>
      </c>
    </row>
    <row r="825">
      <c r="A825" s="40">
        <f t="array" ref="A825">IFNA(index(PlayerValues!A:A,match(IFNA(vlookup(B825,'Special Names'!A:B,2,FALSE),B825),PlayerValues!E:E,0)),"N/A")</f>
        <v>17234</v>
      </c>
      <c r="B825" s="4" t="s">
        <v>653</v>
      </c>
      <c r="C825" s="4" t="s">
        <v>287</v>
      </c>
      <c r="D825" s="94">
        <v>1642.0</v>
      </c>
    </row>
    <row r="826">
      <c r="A826" s="40" t="str">
        <f t="array" ref="A826">IFNA(index(PlayerValues!A:A,match(IFNA(vlookup(B826,'Special Names'!A:B,2,FALSE),B826),PlayerValues!E:E,0)),"N/A")</f>
        <v>N/A</v>
      </c>
      <c r="B826" s="4" t="s">
        <v>115</v>
      </c>
      <c r="C826" s="4" t="s">
        <v>325</v>
      </c>
      <c r="D826" s="94">
        <v>1641.0</v>
      </c>
    </row>
    <row r="827">
      <c r="A827" s="40">
        <f t="array" ref="A827">IFNA(index(PlayerValues!A:A,match(IFNA(vlookup(B827,'Special Names'!A:B,2,FALSE),B827),PlayerValues!E:E,0)),"N/A")</f>
        <v>17205</v>
      </c>
      <c r="B827" s="4" t="s">
        <v>665</v>
      </c>
      <c r="C827" s="4" t="s">
        <v>287</v>
      </c>
      <c r="D827" s="94">
        <v>1640.0</v>
      </c>
    </row>
    <row r="828">
      <c r="A828" s="40">
        <f t="array" ref="A828">IFNA(index(PlayerValues!A:A,match(IFNA(vlookup(B828,'Special Names'!A:B,2,FALSE),B828),PlayerValues!E:E,0)),"N/A")</f>
        <v>16595</v>
      </c>
      <c r="B828" s="4" t="s">
        <v>664</v>
      </c>
      <c r="C828" s="4" t="s">
        <v>278</v>
      </c>
      <c r="D828" s="94">
        <v>1625.0</v>
      </c>
    </row>
    <row r="829">
      <c r="A829" s="40">
        <f t="array" ref="A829">IFNA(index(PlayerValues!A:A,match(IFNA(vlookup(B829,'Special Names'!A:B,2,FALSE),B829),PlayerValues!E:E,0)),"N/A")</f>
        <v>17037</v>
      </c>
      <c r="B829" s="4" t="s">
        <v>727</v>
      </c>
      <c r="C829" s="4" t="s">
        <v>283</v>
      </c>
      <c r="D829" s="94">
        <v>1622.0</v>
      </c>
    </row>
    <row r="830">
      <c r="A830" s="40">
        <f t="array" ref="A830">IFNA(index(PlayerValues!A:A,match(IFNA(vlookup(B830,'Special Names'!A:B,2,FALSE),B830),PlayerValues!E:E,0)),"N/A")</f>
        <v>17096</v>
      </c>
      <c r="B830" s="4" t="s">
        <v>638</v>
      </c>
      <c r="C830" s="4" t="s">
        <v>287</v>
      </c>
      <c r="D830" s="94">
        <v>1617.0</v>
      </c>
    </row>
    <row r="831">
      <c r="A831" s="40">
        <f t="array" ref="A831">IFNA(index(PlayerValues!A:A,match(IFNA(vlookup(B831,'Special Names'!A:B,2,FALSE),B831),PlayerValues!E:E,0)),"N/A")</f>
        <v>15713</v>
      </c>
      <c r="B831" s="4" t="s">
        <v>732</v>
      </c>
      <c r="C831" s="4" t="s">
        <v>278</v>
      </c>
      <c r="D831" s="94">
        <v>1615.0</v>
      </c>
    </row>
    <row r="832">
      <c r="A832" s="40">
        <f t="array" ref="A832">IFNA(index(PlayerValues!A:A,match(IFNA(vlookup(B832,'Special Names'!A:B,2,FALSE),B832),PlayerValues!E:E,0)),"N/A")</f>
        <v>15301</v>
      </c>
      <c r="B832" s="4" t="s">
        <v>657</v>
      </c>
      <c r="C832" s="4" t="s">
        <v>287</v>
      </c>
      <c r="D832" s="94">
        <v>1612.0</v>
      </c>
    </row>
    <row r="833">
      <c r="A833" s="40">
        <f t="array" ref="A833">IFNA(index(PlayerValues!A:A,match(IFNA(vlookup(B833,'Special Names'!A:B,2,FALSE),B833),PlayerValues!E:E,0)),"N/A")</f>
        <v>16633</v>
      </c>
      <c r="B833" s="4" t="s">
        <v>656</v>
      </c>
      <c r="C833" s="4" t="s">
        <v>287</v>
      </c>
      <c r="D833" s="94">
        <v>1606.0</v>
      </c>
    </row>
    <row r="834">
      <c r="A834" s="40">
        <f t="array" ref="A834">IFNA(index(PlayerValues!A:A,match(IFNA(vlookup(B834,'Special Names'!A:B,2,FALSE),B834),PlayerValues!E:E,0)),"N/A")</f>
        <v>16631</v>
      </c>
      <c r="B834" s="4" t="s">
        <v>800</v>
      </c>
      <c r="C834" s="4" t="s">
        <v>287</v>
      </c>
      <c r="D834" s="94">
        <v>1603.0</v>
      </c>
    </row>
    <row r="835">
      <c r="A835" s="40">
        <f t="array" ref="A835">IFNA(index(PlayerValues!A:A,match(IFNA(vlookup(B835,'Special Names'!A:B,2,FALSE),B835),PlayerValues!E:E,0)),"N/A")</f>
        <v>15252</v>
      </c>
      <c r="B835" s="4" t="s">
        <v>715</v>
      </c>
      <c r="C835" s="4" t="s">
        <v>283</v>
      </c>
      <c r="D835" s="94">
        <v>1599.0</v>
      </c>
    </row>
    <row r="836">
      <c r="A836" s="40">
        <f t="array" ref="A836">IFNA(index(PlayerValues!A:A,match(IFNA(vlookup(B836,'Special Names'!A:B,2,FALSE),B836),PlayerValues!E:E,0)),"N/A")</f>
        <v>14122</v>
      </c>
      <c r="B836" s="4" t="s">
        <v>663</v>
      </c>
      <c r="C836" s="4" t="s">
        <v>287</v>
      </c>
      <c r="D836" s="94">
        <v>1590.0</v>
      </c>
    </row>
    <row r="837">
      <c r="A837" s="40">
        <f t="array" ref="A837">IFNA(index(PlayerValues!A:A,match(IFNA(vlookup(B837,'Special Names'!A:B,2,FALSE),B837),PlayerValues!E:E,0)),"N/A")</f>
        <v>15319</v>
      </c>
      <c r="B837" s="4" t="s">
        <v>644</v>
      </c>
      <c r="C837" s="4" t="s">
        <v>287</v>
      </c>
      <c r="D837" s="94">
        <v>1583.0</v>
      </c>
    </row>
    <row r="838">
      <c r="A838" s="40">
        <f t="array" ref="A838">IFNA(index(PlayerValues!A:A,match(IFNA(vlookup(B838,'Special Names'!A:B,2,FALSE),B838),PlayerValues!E:E,0)),"N/A")</f>
        <v>15797</v>
      </c>
      <c r="B838" s="4" t="s">
        <v>556</v>
      </c>
      <c r="C838" s="4" t="s">
        <v>298</v>
      </c>
      <c r="D838" s="94">
        <v>1957.0</v>
      </c>
    </row>
    <row r="839">
      <c r="A839" s="40">
        <f t="array" ref="A839">IFNA(index(PlayerValues!A:A,match(IFNA(vlookup(B839,'Special Names'!A:B,2,FALSE),B839),PlayerValues!E:E,0)),"N/A")</f>
        <v>15873</v>
      </c>
      <c r="B839" s="4" t="s">
        <v>681</v>
      </c>
      <c r="C839" s="4" t="s">
        <v>298</v>
      </c>
      <c r="D839" s="94">
        <v>1955.0</v>
      </c>
    </row>
    <row r="840">
      <c r="A840" s="40">
        <f t="array" ref="A840">IFNA(index(PlayerValues!A:A,match(IFNA(vlookup(B840,'Special Names'!A:B,2,FALSE),B840),PlayerValues!E:E,0)),"N/A")</f>
        <v>15752</v>
      </c>
      <c r="B840" s="4" t="s">
        <v>647</v>
      </c>
      <c r="C840" s="4" t="s">
        <v>287</v>
      </c>
      <c r="D840" s="94">
        <v>1572.0</v>
      </c>
    </row>
    <row r="841">
      <c r="A841" s="40">
        <f t="array" ref="A841">IFNA(index(PlayerValues!A:A,match(IFNA(vlookup(B841,'Special Names'!A:B,2,FALSE),B841),PlayerValues!E:E,0)),"N/A")</f>
        <v>12140</v>
      </c>
      <c r="B841" s="4" t="s">
        <v>702</v>
      </c>
      <c r="C841" s="4" t="s">
        <v>283</v>
      </c>
      <c r="D841" s="94">
        <v>1556.0</v>
      </c>
    </row>
    <row r="842">
      <c r="A842" s="40">
        <f t="array" ref="A842">IFNA(index(PlayerValues!A:A,match(IFNA(vlookup(B842,'Special Names'!A:B,2,FALSE),B842),PlayerValues!E:E,0)),"N/A")</f>
        <v>13418</v>
      </c>
      <c r="B842" s="4" t="s">
        <v>706</v>
      </c>
      <c r="C842" s="4" t="s">
        <v>287</v>
      </c>
      <c r="D842" s="94">
        <v>1540.0</v>
      </c>
    </row>
    <row r="843">
      <c r="A843" s="40">
        <f t="array" ref="A843">IFNA(index(PlayerValues!A:A,match(IFNA(vlookup(B843,'Special Names'!A:B,2,FALSE),B843),PlayerValues!E:E,0)),"N/A")</f>
        <v>12141</v>
      </c>
      <c r="B843" s="4" t="s">
        <v>744</v>
      </c>
      <c r="C843" s="4" t="s">
        <v>283</v>
      </c>
      <c r="D843" s="94">
        <v>1529.0</v>
      </c>
    </row>
    <row r="844">
      <c r="A844" s="40" t="str">
        <f t="array" ref="A844">IFNA(index(PlayerValues!A:A,match(IFNA(vlookup(B844,'Special Names'!A:B,2,FALSE),B844),PlayerValues!E:E,0)),"N/A")</f>
        <v>N/A</v>
      </c>
      <c r="B844" s="4" t="s">
        <v>91</v>
      </c>
      <c r="C844" s="4" t="s">
        <v>325</v>
      </c>
      <c r="D844" s="94">
        <v>1527.0</v>
      </c>
    </row>
    <row r="845">
      <c r="A845" s="40" t="str">
        <f t="array" ref="A845">IFNA(index(PlayerValues!A:A,match(IFNA(vlookup(B845,'Special Names'!A:B,2,FALSE),B845),PlayerValues!E:E,0)),"N/A")</f>
        <v>N/A</v>
      </c>
      <c r="B845" s="4" t="s">
        <v>116</v>
      </c>
      <c r="C845" s="4" t="s">
        <v>325</v>
      </c>
      <c r="D845" s="94">
        <v>1527.0</v>
      </c>
    </row>
    <row r="846">
      <c r="A846" s="40">
        <f t="array" ref="A846">IFNA(index(PlayerValues!A:A,match(IFNA(vlookup(B846,'Special Names'!A:B,2,FALSE),B846),PlayerValues!E:E,0)),"N/A")</f>
        <v>16384</v>
      </c>
      <c r="B846" s="4" t="s">
        <v>696</v>
      </c>
      <c r="C846" s="4" t="s">
        <v>283</v>
      </c>
      <c r="D846" s="94">
        <v>1524.0</v>
      </c>
    </row>
    <row r="847">
      <c r="A847" s="40">
        <f t="array" ref="A847">IFNA(index(PlayerValues!A:A,match(IFNA(vlookup(B847,'Special Names'!A:B,2,FALSE),B847),PlayerValues!E:E,0)),"N/A")</f>
        <v>14137</v>
      </c>
      <c r="B847" s="4" t="s">
        <v>676</v>
      </c>
      <c r="C847" s="4" t="s">
        <v>298</v>
      </c>
      <c r="D847" s="94">
        <v>1887.0</v>
      </c>
    </row>
    <row r="848">
      <c r="A848" s="40">
        <f t="array" ref="A848">IFNA(index(PlayerValues!A:A,match(IFNA(vlookup(B848,'Special Names'!A:B,2,FALSE),B848),PlayerValues!E:E,0)),"N/A")</f>
        <v>17077</v>
      </c>
      <c r="B848" s="4" t="s">
        <v>714</v>
      </c>
      <c r="C848" s="4" t="s">
        <v>287</v>
      </c>
      <c r="D848" s="94">
        <v>1510.0</v>
      </c>
    </row>
    <row r="849">
      <c r="A849" s="40">
        <f t="array" ref="A849">IFNA(index(PlayerValues!A:A,match(IFNA(vlookup(B849,'Special Names'!A:B,2,FALSE),B849),PlayerValues!E:E,0)),"N/A")</f>
        <v>17254</v>
      </c>
      <c r="B849" s="4" t="s">
        <v>679</v>
      </c>
      <c r="C849" s="4" t="s">
        <v>287</v>
      </c>
      <c r="D849" s="94">
        <v>1506.0</v>
      </c>
    </row>
    <row r="850">
      <c r="A850" s="40">
        <f t="array" ref="A850">IFNA(index(PlayerValues!A:A,match(IFNA(vlookup(B850,'Special Names'!A:B,2,FALSE),B850),PlayerValues!E:E,0)),"N/A")</f>
        <v>16390</v>
      </c>
      <c r="B850" s="4" t="s">
        <v>689</v>
      </c>
      <c r="C850" s="4" t="s">
        <v>278</v>
      </c>
      <c r="D850" s="94">
        <v>1497.0</v>
      </c>
    </row>
    <row r="851">
      <c r="A851" s="40">
        <f t="array" ref="A851">IFNA(index(PlayerValues!A:A,match(IFNA(vlookup(B851,'Special Names'!A:B,2,FALSE),B851),PlayerValues!E:E,0)),"N/A")</f>
        <v>17269</v>
      </c>
      <c r="B851" s="4" t="s">
        <v>718</v>
      </c>
      <c r="C851" s="4" t="s">
        <v>287</v>
      </c>
      <c r="D851" s="94">
        <v>1497.0</v>
      </c>
    </row>
    <row r="852">
      <c r="A852" s="40">
        <f t="array" ref="A852">IFNA(index(PlayerValues!A:A,match(IFNA(vlookup(B852,'Special Names'!A:B,2,FALSE),B852),PlayerValues!E:E,0)),"N/A")</f>
        <v>16175</v>
      </c>
      <c r="B852" s="4" t="s">
        <v>654</v>
      </c>
      <c r="C852" s="4" t="s">
        <v>278</v>
      </c>
      <c r="D852" s="94">
        <v>1489.0</v>
      </c>
    </row>
    <row r="853">
      <c r="A853" s="40">
        <f t="array" ref="A853">IFNA(index(PlayerValues!A:A,match(IFNA(vlookup(B853,'Special Names'!A:B,2,FALSE),B853),PlayerValues!E:E,0)),"N/A")</f>
        <v>15332</v>
      </c>
      <c r="B853" s="4" t="s">
        <v>698</v>
      </c>
      <c r="C853" s="4" t="s">
        <v>298</v>
      </c>
      <c r="D853" s="94">
        <v>1863.0</v>
      </c>
    </row>
    <row r="854">
      <c r="A854" s="40">
        <f t="array" ref="A854">IFNA(index(PlayerValues!A:A,match(IFNA(vlookup(B854,'Special Names'!A:B,2,FALSE),B854),PlayerValues!E:E,0)),"N/A")</f>
        <v>16642</v>
      </c>
      <c r="B854" s="4" t="s">
        <v>691</v>
      </c>
      <c r="C854" s="4" t="s">
        <v>298</v>
      </c>
      <c r="D854" s="94">
        <v>1850.0</v>
      </c>
    </row>
    <row r="855">
      <c r="A855" s="40">
        <f t="array" ref="A855">IFNA(index(PlayerValues!A:A,match(IFNA(vlookup(B855,'Special Names'!A:B,2,FALSE),B855),PlayerValues!E:E,0)),"N/A")</f>
        <v>14080</v>
      </c>
      <c r="B855" s="4" t="s">
        <v>716</v>
      </c>
      <c r="C855" s="4" t="s">
        <v>278</v>
      </c>
      <c r="D855" s="94">
        <v>1460.0</v>
      </c>
    </row>
    <row r="856">
      <c r="A856" s="40">
        <f t="array" ref="A856">IFNA(index(PlayerValues!A:A,match(IFNA(vlookup(B856,'Special Names'!A:B,2,FALSE),B856),PlayerValues!E:E,0)),"N/A")</f>
        <v>16621</v>
      </c>
      <c r="B856" s="4" t="s">
        <v>672</v>
      </c>
      <c r="C856" s="4" t="s">
        <v>287</v>
      </c>
      <c r="D856" s="94">
        <v>1450.0</v>
      </c>
    </row>
    <row r="857">
      <c r="A857" s="40">
        <f t="array" ref="A857">IFNA(index(PlayerValues!A:A,match(IFNA(vlookup(B857,'Special Names'!A:B,2,FALSE),B857),PlayerValues!E:E,0)),"N/A")</f>
        <v>16149</v>
      </c>
      <c r="B857" s="4" t="s">
        <v>740</v>
      </c>
      <c r="C857" s="4" t="s">
        <v>283</v>
      </c>
      <c r="D857" s="94">
        <v>1446.0</v>
      </c>
    </row>
    <row r="858">
      <c r="A858" s="40">
        <f t="array" ref="A858">IFNA(index(PlayerValues!A:A,match(IFNA(vlookup(B858,'Special Names'!A:B,2,FALSE),B858),PlayerValues!E:E,0)),"N/A")</f>
        <v>17062</v>
      </c>
      <c r="B858" s="4" t="s">
        <v>701</v>
      </c>
      <c r="C858" s="4" t="s">
        <v>278</v>
      </c>
      <c r="D858" s="94">
        <v>1446.0</v>
      </c>
    </row>
    <row r="859">
      <c r="A859" s="40">
        <f t="array" ref="A859">IFNA(index(PlayerValues!A:A,match(IFNA(vlookup(B859,'Special Names'!A:B,2,FALSE),B859),PlayerValues!E:E,0)),"N/A")</f>
        <v>15727</v>
      </c>
      <c r="B859" s="4" t="s">
        <v>730</v>
      </c>
      <c r="C859" s="4" t="s">
        <v>278</v>
      </c>
      <c r="D859" s="94">
        <v>1445.0</v>
      </c>
    </row>
    <row r="860">
      <c r="A860" s="40">
        <f t="array" ref="A860">IFNA(index(PlayerValues!A:A,match(IFNA(vlookup(B860,'Special Names'!A:B,2,FALSE),B860),PlayerValues!E:E,0)),"N/A")</f>
        <v>15292</v>
      </c>
      <c r="B860" s="4" t="s">
        <v>682</v>
      </c>
      <c r="C860" s="4" t="s">
        <v>287</v>
      </c>
      <c r="D860" s="94">
        <v>1439.0</v>
      </c>
    </row>
    <row r="861">
      <c r="A861" s="40">
        <f t="array" ref="A861">IFNA(index(PlayerValues!A:A,match(IFNA(vlookup(B861,'Special Names'!A:B,2,FALSE),B861),PlayerValues!E:E,0)),"N/A")</f>
        <v>15738</v>
      </c>
      <c r="B861" s="4" t="s">
        <v>634</v>
      </c>
      <c r="C861" s="4" t="s">
        <v>278</v>
      </c>
      <c r="D861" s="94">
        <v>1424.0</v>
      </c>
    </row>
    <row r="862">
      <c r="A862" s="40">
        <f t="array" ref="A862">IFNA(index(PlayerValues!A:A,match(IFNA(vlookup(B862,'Special Names'!A:B,2,FALSE),B862),PlayerValues!E:E,0)),"N/A")</f>
        <v>13193</v>
      </c>
      <c r="B862" s="4" t="s">
        <v>773</v>
      </c>
      <c r="C862" s="4" t="s">
        <v>298</v>
      </c>
      <c r="D862" s="94">
        <v>1796.0</v>
      </c>
    </row>
    <row r="863">
      <c r="A863" s="40">
        <f t="array" ref="A863">IFNA(index(PlayerValues!A:A,match(IFNA(vlookup(B863,'Special Names'!A:B,2,FALSE),B863),PlayerValues!E:E,0)),"N/A")</f>
        <v>14592</v>
      </c>
      <c r="B863" s="4" t="s">
        <v>705</v>
      </c>
      <c r="C863" s="4" t="s">
        <v>287</v>
      </c>
      <c r="D863" s="94">
        <v>1422.0</v>
      </c>
    </row>
    <row r="864">
      <c r="A864" s="40">
        <f t="array" ref="A864">IFNA(index(PlayerValues!A:A,match(IFNA(vlookup(B864,'Special Names'!A:B,2,FALSE),B864),PlayerValues!E:E,0)),"N/A")</f>
        <v>17508</v>
      </c>
      <c r="B864" s="4" t="s">
        <v>534</v>
      </c>
      <c r="C864" s="4" t="s">
        <v>287</v>
      </c>
      <c r="D864" s="94">
        <v>1416.0</v>
      </c>
    </row>
    <row r="865">
      <c r="A865" s="40">
        <f t="array" ref="A865">IFNA(index(PlayerValues!A:A,match(IFNA(vlookup(B865,'Special Names'!A:B,2,FALSE),B865),PlayerValues!E:E,0)),"N/A")</f>
        <v>15258</v>
      </c>
      <c r="B865" s="4" t="s">
        <v>757</v>
      </c>
      <c r="C865" s="4" t="s">
        <v>278</v>
      </c>
      <c r="D865" s="94">
        <v>1409.0</v>
      </c>
    </row>
    <row r="866">
      <c r="A866" s="40">
        <f t="array" ref="A866">IFNA(index(PlayerValues!A:A,match(IFNA(vlookup(B866,'Special Names'!A:B,2,FALSE),B866),PlayerValues!E:E,0)),"N/A")</f>
        <v>13672</v>
      </c>
      <c r="B866" s="4" t="s">
        <v>667</v>
      </c>
      <c r="C866" s="4" t="s">
        <v>298</v>
      </c>
      <c r="D866" s="94">
        <v>1777.0</v>
      </c>
    </row>
    <row r="867">
      <c r="A867" s="40">
        <f t="array" ref="A867">IFNA(index(PlayerValues!A:A,match(IFNA(vlookup(B867,'Special Names'!A:B,2,FALSE),B867),PlayerValues!E:E,0)),"N/A")</f>
        <v>17547</v>
      </c>
      <c r="B867" s="4" t="s">
        <v>552</v>
      </c>
      <c r="C867" s="4" t="s">
        <v>298</v>
      </c>
      <c r="D867" s="94">
        <v>1762.0</v>
      </c>
    </row>
    <row r="868">
      <c r="A868" s="40">
        <f t="array" ref="A868">IFNA(index(PlayerValues!A:A,match(IFNA(vlookup(B868,'Special Names'!A:B,2,FALSE),B868),PlayerValues!E:E,0)),"N/A")</f>
        <v>12678</v>
      </c>
      <c r="B868" s="4" t="s">
        <v>703</v>
      </c>
      <c r="C868" s="4" t="s">
        <v>298</v>
      </c>
      <c r="D868" s="94">
        <v>1722.0</v>
      </c>
    </row>
    <row r="869">
      <c r="A869" s="40">
        <f t="array" ref="A869">IFNA(index(PlayerValues!A:A,match(IFNA(vlookup(B869,'Special Names'!A:B,2,FALSE),B869),PlayerValues!E:E,0)),"N/A")</f>
        <v>16792</v>
      </c>
      <c r="B869" s="4" t="s">
        <v>704</v>
      </c>
      <c r="C869" s="4" t="s">
        <v>287</v>
      </c>
      <c r="D869" s="94">
        <v>1341.0</v>
      </c>
    </row>
    <row r="870">
      <c r="A870" s="40" t="str">
        <f t="array" ref="A870">IFNA(index(PlayerValues!A:A,match(IFNA(vlookup(B870,'Special Names'!A:B,2,FALSE),B870),PlayerValues!E:E,0)),"N/A")</f>
        <v>N/A</v>
      </c>
      <c r="B870" s="4" t="s">
        <v>117</v>
      </c>
      <c r="C870" s="4" t="s">
        <v>325</v>
      </c>
      <c r="D870" s="94">
        <v>1338.0</v>
      </c>
    </row>
    <row r="871">
      <c r="A871" s="40">
        <f t="array" ref="A871">IFNA(index(PlayerValues!A:A,match(IFNA(vlookup(B871,'Special Names'!A:B,2,FALSE),B871),PlayerValues!E:E,0)),"N/A")</f>
        <v>17097</v>
      </c>
      <c r="B871" s="4" t="s">
        <v>659</v>
      </c>
      <c r="C871" s="4" t="s">
        <v>287</v>
      </c>
      <c r="D871" s="94">
        <v>1334.0</v>
      </c>
    </row>
    <row r="872">
      <c r="A872" s="40">
        <f t="array" ref="A872">IFNA(index(PlayerValues!A:A,match(IFNA(vlookup(B872,'Special Names'!A:B,2,FALSE),B872),PlayerValues!E:E,0)),"N/A")</f>
        <v>15702</v>
      </c>
      <c r="B872" s="4" t="s">
        <v>723</v>
      </c>
      <c r="C872" s="4" t="s">
        <v>283</v>
      </c>
      <c r="D872" s="94">
        <v>1326.0</v>
      </c>
    </row>
    <row r="873">
      <c r="A873" s="40">
        <f t="array" ref="A873">IFNA(index(PlayerValues!A:A,match(IFNA(vlookup(B873,'Special Names'!A:B,2,FALSE),B873),PlayerValues!E:E,0)),"N/A")</f>
        <v>14086</v>
      </c>
      <c r="B873" s="4" t="s">
        <v>639</v>
      </c>
      <c r="C873" s="4" t="s">
        <v>278</v>
      </c>
      <c r="D873" s="94">
        <v>1321.0</v>
      </c>
    </row>
    <row r="874">
      <c r="A874" s="40">
        <f t="array" ref="A874">IFNA(index(PlayerValues!A:A,match(IFNA(vlookup(B874,'Special Names'!A:B,2,FALSE),B874),PlayerValues!E:E,0)),"N/A")</f>
        <v>13131</v>
      </c>
      <c r="B874" s="4" t="s">
        <v>815</v>
      </c>
      <c r="C874" s="4" t="s">
        <v>278</v>
      </c>
      <c r="D874" s="94">
        <v>1320.0</v>
      </c>
    </row>
    <row r="875">
      <c r="A875" s="40">
        <f t="array" ref="A875">IFNA(index(PlayerValues!A:A,match(IFNA(vlookup(B875,'Special Names'!A:B,2,FALSE),B875),PlayerValues!E:E,0)),"N/A")</f>
        <v>17512</v>
      </c>
      <c r="B875" s="4" t="s">
        <v>483</v>
      </c>
      <c r="C875" s="4" t="s">
        <v>287</v>
      </c>
      <c r="D875" s="94">
        <v>1319.0</v>
      </c>
    </row>
    <row r="876">
      <c r="A876" s="40">
        <f t="array" ref="A876">IFNA(index(PlayerValues!A:A,match(IFNA(vlookup(B876,'Special Names'!A:B,2,FALSE),B876),PlayerValues!E:E,0)),"N/A")</f>
        <v>16183</v>
      </c>
      <c r="B876" s="4" t="s">
        <v>678</v>
      </c>
      <c r="C876" s="4" t="s">
        <v>287</v>
      </c>
      <c r="D876" s="94">
        <v>1315.0</v>
      </c>
    </row>
    <row r="877">
      <c r="A877" s="40">
        <f t="array" ref="A877">IFNA(index(PlayerValues!A:A,match(IFNA(vlookup(B877,'Special Names'!A:B,2,FALSE),B877),PlayerValues!E:E,0)),"N/A")</f>
        <v>16608</v>
      </c>
      <c r="B877" s="4" t="s">
        <v>629</v>
      </c>
      <c r="C877" s="4" t="s">
        <v>278</v>
      </c>
      <c r="D877" s="94">
        <v>1311.0</v>
      </c>
    </row>
    <row r="878">
      <c r="A878" s="40">
        <f t="array" ref="A878">IFNA(index(PlayerValues!A:A,match(IFNA(vlookup(B878,'Special Names'!A:B,2,FALSE),B878),PlayerValues!E:E,0)),"N/A")</f>
        <v>15240</v>
      </c>
      <c r="B878" s="4" t="s">
        <v>751</v>
      </c>
      <c r="C878" s="4" t="s">
        <v>283</v>
      </c>
      <c r="D878" s="94">
        <v>1293.0</v>
      </c>
    </row>
    <row r="879">
      <c r="A879" s="40">
        <f t="array" ref="A879">IFNA(index(PlayerValues!A:A,match(IFNA(vlookup(B879,'Special Names'!A:B,2,FALSE),B879),PlayerValues!E:E,0)),"N/A")</f>
        <v>17063</v>
      </c>
      <c r="B879" s="4" t="s">
        <v>686</v>
      </c>
      <c r="C879" s="4" t="s">
        <v>278</v>
      </c>
      <c r="D879" s="94">
        <v>1289.0</v>
      </c>
    </row>
    <row r="880">
      <c r="A880" s="40">
        <f t="array" ref="A880">IFNA(index(PlayerValues!A:A,match(IFNA(vlookup(B880,'Special Names'!A:B,2,FALSE),B880),PlayerValues!E:E,0)),"N/A")</f>
        <v>14067</v>
      </c>
      <c r="B880" s="4" t="s">
        <v>735</v>
      </c>
      <c r="C880" s="4" t="s">
        <v>283</v>
      </c>
      <c r="D880" s="94">
        <v>1271.0</v>
      </c>
    </row>
    <row r="881">
      <c r="A881" s="40">
        <f t="array" ref="A881">IFNA(index(PlayerValues!A:A,match(IFNA(vlookup(B881,'Special Names'!A:B,2,FALSE),B881),PlayerValues!E:E,0)),"N/A")</f>
        <v>14789</v>
      </c>
      <c r="B881" s="4" t="s">
        <v>721</v>
      </c>
      <c r="C881" s="4" t="s">
        <v>283</v>
      </c>
      <c r="D881" s="94">
        <v>1266.0</v>
      </c>
    </row>
    <row r="882">
      <c r="A882" s="40">
        <f t="array" ref="A882">IFNA(index(PlayerValues!A:A,match(IFNA(vlookup(B882,'Special Names'!A:B,2,FALSE),B882),PlayerValues!E:E,0)),"N/A")</f>
        <v>14095</v>
      </c>
      <c r="B882" s="4" t="s">
        <v>680</v>
      </c>
      <c r="C882" s="4" t="s">
        <v>278</v>
      </c>
      <c r="D882" s="94">
        <v>1258.0</v>
      </c>
    </row>
    <row r="883">
      <c r="A883" s="40">
        <f t="array" ref="A883">IFNA(index(PlayerValues!A:A,match(IFNA(vlookup(B883,'Special Names'!A:B,2,FALSE),B883),PlayerValues!E:E,0)),"N/A")</f>
        <v>16221</v>
      </c>
      <c r="B883" s="4" t="s">
        <v>725</v>
      </c>
      <c r="C883" s="4" t="s">
        <v>298</v>
      </c>
      <c r="D883" s="94">
        <v>1623.0</v>
      </c>
    </row>
    <row r="884">
      <c r="A884" s="40">
        <f t="array" ref="A884">IFNA(index(PlayerValues!A:A,match(IFNA(vlookup(B884,'Special Names'!A:B,2,FALSE),B884),PlayerValues!E:E,0)),"N/A")</f>
        <v>16746</v>
      </c>
      <c r="B884" s="4" t="s">
        <v>709</v>
      </c>
      <c r="C884" s="4" t="s">
        <v>278</v>
      </c>
      <c r="D884" s="94">
        <v>1253.0</v>
      </c>
    </row>
    <row r="885">
      <c r="A885" s="40">
        <f t="array" ref="A885">IFNA(index(PlayerValues!A:A,match(IFNA(vlookup(B885,'Special Names'!A:B,2,FALSE),B885),PlayerValues!E:E,0)),"N/A")</f>
        <v>17528</v>
      </c>
      <c r="B885" s="4" t="s">
        <v>579</v>
      </c>
      <c r="C885" s="4" t="s">
        <v>287</v>
      </c>
      <c r="D885" s="94">
        <v>1249.0</v>
      </c>
    </row>
    <row r="886">
      <c r="A886" s="40">
        <f t="array" ref="A886">IFNA(index(PlayerValues!A:A,match(IFNA(vlookup(B886,'Special Names'!A:B,2,FALSE),B886),PlayerValues!E:E,0)),"N/A")</f>
        <v>15981</v>
      </c>
      <c r="B886" s="4" t="s">
        <v>729</v>
      </c>
      <c r="C886" s="4" t="s">
        <v>287</v>
      </c>
      <c r="D886" s="94">
        <v>1247.0</v>
      </c>
    </row>
    <row r="887">
      <c r="A887" s="40">
        <f t="array" ref="A887">IFNA(index(PlayerValues!A:A,match(IFNA(vlookup(B887,'Special Names'!A:B,2,FALSE),B887),PlayerValues!E:E,0)),"N/A")</f>
        <v>16636</v>
      </c>
      <c r="B887" s="4" t="s">
        <v>699</v>
      </c>
      <c r="C887" s="4" t="s">
        <v>287</v>
      </c>
      <c r="D887" s="94">
        <v>1244.0</v>
      </c>
    </row>
    <row r="888">
      <c r="A888" s="40">
        <f t="array" ref="A888">IFNA(index(PlayerValues!A:A,match(IFNA(vlookup(B888,'Special Names'!A:B,2,FALSE),B888),PlayerValues!E:E,0)),"N/A")</f>
        <v>17546</v>
      </c>
      <c r="B888" s="4" t="s">
        <v>671</v>
      </c>
      <c r="C888" s="4" t="s">
        <v>298</v>
      </c>
      <c r="D888" s="94">
        <v>1610.0</v>
      </c>
    </row>
    <row r="889">
      <c r="A889" s="40">
        <f t="array" ref="A889">IFNA(index(PlayerValues!A:A,match(IFNA(vlookup(B889,'Special Names'!A:B,2,FALSE),B889),PlayerValues!E:E,0)),"N/A")</f>
        <v>16199</v>
      </c>
      <c r="B889" s="4" t="s">
        <v>687</v>
      </c>
      <c r="C889" s="4" t="s">
        <v>287</v>
      </c>
      <c r="D889" s="94">
        <v>1234.0</v>
      </c>
    </row>
    <row r="890">
      <c r="A890" s="40">
        <f t="array" ref="A890">IFNA(index(PlayerValues!A:A,match(IFNA(vlookup(B890,'Special Names'!A:B,2,FALSE),B890),PlayerValues!E:E,0)),"N/A")</f>
        <v>16385</v>
      </c>
      <c r="B890" s="4" t="s">
        <v>690</v>
      </c>
      <c r="C890" s="4" t="s">
        <v>278</v>
      </c>
      <c r="D890" s="94">
        <v>1231.0</v>
      </c>
    </row>
    <row r="891">
      <c r="A891" s="40">
        <f t="array" ref="A891">IFNA(index(PlayerValues!A:A,match(IFNA(vlookup(B891,'Special Names'!A:B,2,FALSE),B891),PlayerValues!E:E,0)),"N/A")</f>
        <v>13289</v>
      </c>
      <c r="B891" s="4" t="s">
        <v>746</v>
      </c>
      <c r="C891" s="4" t="s">
        <v>287</v>
      </c>
      <c r="D891" s="94">
        <v>1223.0</v>
      </c>
    </row>
    <row r="892">
      <c r="A892" s="40">
        <f t="array" ref="A892">IFNA(index(PlayerValues!A:A,match(IFNA(vlookup(B892,'Special Names'!A:B,2,FALSE),B892),PlayerValues!E:E,0)),"N/A")</f>
        <v>15288</v>
      </c>
      <c r="B892" s="4" t="s">
        <v>700</v>
      </c>
      <c r="C892" s="4" t="s">
        <v>287</v>
      </c>
      <c r="D892" s="94">
        <v>1223.0</v>
      </c>
    </row>
    <row r="893">
      <c r="A893" s="40">
        <f t="array" ref="A893">IFNA(index(PlayerValues!A:A,match(IFNA(vlookup(B893,'Special Names'!A:B,2,FALSE),B893),PlayerValues!E:E,0)),"N/A")</f>
        <v>14108</v>
      </c>
      <c r="B893" s="4" t="s">
        <v>673</v>
      </c>
      <c r="C893" s="4" t="s">
        <v>287</v>
      </c>
      <c r="D893" s="94">
        <v>1221.0</v>
      </c>
    </row>
    <row r="894">
      <c r="A894" s="40">
        <f t="array" ref="A894">IFNA(index(PlayerValues!A:A,match(IFNA(vlookup(B894,'Special Names'!A:B,2,FALSE),B894),PlayerValues!E:E,0)),"N/A")</f>
        <v>17054</v>
      </c>
      <c r="B894" s="4" t="s">
        <v>670</v>
      </c>
      <c r="C894" s="4" t="s">
        <v>278</v>
      </c>
      <c r="D894" s="94">
        <v>1200.0</v>
      </c>
    </row>
    <row r="895">
      <c r="A895" s="40">
        <f t="array" ref="A895">IFNA(index(PlayerValues!A:A,match(IFNA(vlookup(B895,'Special Names'!A:B,2,FALSE),B895),PlayerValues!E:E,0)),"N/A")</f>
        <v>16645</v>
      </c>
      <c r="B895" s="4" t="s">
        <v>651</v>
      </c>
      <c r="C895" s="4" t="s">
        <v>298</v>
      </c>
      <c r="D895" s="94">
        <v>1565.0</v>
      </c>
    </row>
    <row r="896">
      <c r="A896" s="40">
        <f t="array" ref="A896">IFNA(index(PlayerValues!A:A,match(IFNA(vlookup(B896,'Special Names'!A:B,2,FALSE),B896),PlayerValues!E:E,0)),"N/A")</f>
        <v>15692</v>
      </c>
      <c r="B896" s="4" t="s">
        <v>750</v>
      </c>
      <c r="C896" s="4" t="s">
        <v>283</v>
      </c>
      <c r="D896" s="94">
        <v>1196.0</v>
      </c>
    </row>
    <row r="897">
      <c r="A897" s="40">
        <f t="array" ref="A897">IFNA(index(PlayerValues!A:A,match(IFNA(vlookup(B897,'Special Names'!A:B,2,FALSE),B897),PlayerValues!E:E,0)),"N/A")</f>
        <v>16333</v>
      </c>
      <c r="B897" s="4" t="s">
        <v>711</v>
      </c>
      <c r="C897" s="4" t="s">
        <v>298</v>
      </c>
      <c r="D897" s="94">
        <v>1554.0</v>
      </c>
    </row>
    <row r="898">
      <c r="A898" s="40">
        <f t="array" ref="A898">IFNA(index(PlayerValues!A:A,match(IFNA(vlookup(B898,'Special Names'!A:B,2,FALSE),B898),PlayerValues!E:E,0)),"N/A")</f>
        <v>14845</v>
      </c>
      <c r="B898" s="4" t="s">
        <v>717</v>
      </c>
      <c r="C898" s="4" t="s">
        <v>287</v>
      </c>
      <c r="D898" s="94">
        <v>1182.0</v>
      </c>
    </row>
    <row r="899">
      <c r="A899" s="40">
        <f t="array" ref="A899">IFNA(index(PlayerValues!A:A,match(IFNA(vlookup(B899,'Special Names'!A:B,2,FALSE),B899),PlayerValues!E:E,0)),"N/A")</f>
        <v>16393</v>
      </c>
      <c r="B899" s="4" t="s">
        <v>768</v>
      </c>
      <c r="C899" s="4" t="s">
        <v>287</v>
      </c>
      <c r="D899" s="94">
        <v>1179.0</v>
      </c>
    </row>
    <row r="900">
      <c r="A900" s="40">
        <f t="array" ref="A900">IFNA(index(PlayerValues!A:A,match(IFNA(vlookup(B900,'Special Names'!A:B,2,FALSE),B900),PlayerValues!E:E,0)),"N/A")</f>
        <v>12263</v>
      </c>
      <c r="B900" s="4" t="s">
        <v>697</v>
      </c>
      <c r="C900" s="4" t="s">
        <v>298</v>
      </c>
      <c r="D900" s="94">
        <v>1545.0</v>
      </c>
    </row>
    <row r="901">
      <c r="A901" s="40">
        <f t="array" ref="A901">IFNA(index(PlayerValues!A:A,match(IFNA(vlookup(B901,'Special Names'!A:B,2,FALSE),B901),PlayerValues!E:E,0)),"N/A")</f>
        <v>17050</v>
      </c>
      <c r="B901" s="4" t="s">
        <v>713</v>
      </c>
      <c r="C901" s="4" t="s">
        <v>278</v>
      </c>
      <c r="D901" s="94">
        <v>1174.0</v>
      </c>
    </row>
    <row r="902">
      <c r="A902" s="40">
        <f t="array" ref="A902">IFNA(index(PlayerValues!A:A,match(IFNA(vlookup(B902,'Special Names'!A:B,2,FALSE),B902),PlayerValues!E:E,0)),"N/A")</f>
        <v>15239</v>
      </c>
      <c r="B902" s="4" t="s">
        <v>802</v>
      </c>
      <c r="C902" s="4" t="s">
        <v>283</v>
      </c>
      <c r="D902" s="94">
        <v>1172.0</v>
      </c>
    </row>
    <row r="903">
      <c r="A903" s="40">
        <f t="array" ref="A903">IFNA(index(PlayerValues!A:A,match(IFNA(vlookup(B903,'Special Names'!A:B,2,FALSE),B903),PlayerValues!E:E,0)),"N/A")</f>
        <v>16883</v>
      </c>
      <c r="B903" s="4" t="s">
        <v>683</v>
      </c>
      <c r="C903" s="4" t="s">
        <v>287</v>
      </c>
      <c r="D903" s="94">
        <v>1165.0</v>
      </c>
    </row>
    <row r="904">
      <c r="A904" s="40">
        <f t="array" ref="A904">IFNA(index(PlayerValues!A:A,match(IFNA(vlookup(B904,'Special Names'!A:B,2,FALSE),B904),PlayerValues!E:E,0)),"N/A")</f>
        <v>17481</v>
      </c>
      <c r="B904" s="4" t="s">
        <v>540</v>
      </c>
      <c r="C904" s="4" t="s">
        <v>278</v>
      </c>
      <c r="D904" s="94">
        <v>1160.0</v>
      </c>
    </row>
    <row r="905">
      <c r="A905" s="40">
        <f t="array" ref="A905">IFNA(index(PlayerValues!A:A,match(IFNA(vlookup(B905,'Special Names'!A:B,2,FALSE),B905),PlayerValues!E:E,0)),"N/A")</f>
        <v>16451</v>
      </c>
      <c r="B905" s="4" t="s">
        <v>769</v>
      </c>
      <c r="C905" s="4" t="s">
        <v>287</v>
      </c>
      <c r="D905" s="94">
        <v>1158.0</v>
      </c>
    </row>
    <row r="906">
      <c r="A906" s="40">
        <f t="array" ref="A906">IFNA(index(PlayerValues!A:A,match(IFNA(vlookup(B906,'Special Names'!A:B,2,FALSE),B906),PlayerValues!E:E,0)),"N/A")</f>
        <v>15730</v>
      </c>
      <c r="B906" s="4" t="s">
        <v>734</v>
      </c>
      <c r="C906" s="4" t="s">
        <v>278</v>
      </c>
      <c r="D906" s="94">
        <v>1147.0</v>
      </c>
    </row>
    <row r="907">
      <c r="A907" s="40">
        <f t="array" ref="A907">IFNA(index(PlayerValues!A:A,match(IFNA(vlookup(B907,'Special Names'!A:B,2,FALSE),B907),PlayerValues!E:E,0)),"N/A")</f>
        <v>15717</v>
      </c>
      <c r="B907" s="4" t="s">
        <v>745</v>
      </c>
      <c r="C907" s="4" t="s">
        <v>278</v>
      </c>
      <c r="D907" s="94">
        <v>1142.0</v>
      </c>
    </row>
    <row r="908">
      <c r="A908" s="40">
        <f t="array" ref="A908">IFNA(index(PlayerValues!A:A,match(IFNA(vlookup(B908,'Special Names'!A:B,2,FALSE),B908),PlayerValues!E:E,0)),"N/A")</f>
        <v>15693</v>
      </c>
      <c r="B908" s="4" t="s">
        <v>755</v>
      </c>
      <c r="C908" s="4" t="s">
        <v>283</v>
      </c>
      <c r="D908" s="94">
        <v>1141.0</v>
      </c>
    </row>
    <row r="909">
      <c r="A909" s="40">
        <f t="array" ref="A909">IFNA(index(PlayerValues!A:A,match(IFNA(vlookup(B909,'Special Names'!A:B,2,FALSE),B909),PlayerValues!E:E,0)),"N/A")</f>
        <v>13138</v>
      </c>
      <c r="B909" s="4" t="s">
        <v>817</v>
      </c>
      <c r="C909" s="4" t="s">
        <v>278</v>
      </c>
      <c r="D909" s="94">
        <v>1140.0</v>
      </c>
    </row>
    <row r="910">
      <c r="A910" s="40">
        <f t="array" ref="A910">IFNA(index(PlayerValues!A:A,match(IFNA(vlookup(B910,'Special Names'!A:B,2,FALSE),B910),PlayerValues!E:E,0)),"N/A")</f>
        <v>16197</v>
      </c>
      <c r="B910" s="4" t="s">
        <v>726</v>
      </c>
      <c r="C910" s="4" t="s">
        <v>287</v>
      </c>
      <c r="D910" s="94">
        <v>1130.0</v>
      </c>
    </row>
    <row r="911">
      <c r="A911" s="40">
        <f t="array" ref="A911">IFNA(index(PlayerValues!A:A,match(IFNA(vlookup(B911,'Special Names'!A:B,2,FALSE),B911),PlayerValues!E:E,0)),"N/A")</f>
        <v>17192</v>
      </c>
      <c r="B911" s="4" t="s">
        <v>677</v>
      </c>
      <c r="C911" s="4" t="s">
        <v>287</v>
      </c>
      <c r="D911" s="94">
        <v>1126.0</v>
      </c>
    </row>
    <row r="912">
      <c r="A912" s="40">
        <f t="array" ref="A912">IFNA(index(PlayerValues!A:A,match(IFNA(vlookup(B912,'Special Names'!A:B,2,FALSE),B912),PlayerValues!E:E,0)),"N/A")</f>
        <v>16637</v>
      </c>
      <c r="B912" s="4" t="s">
        <v>736</v>
      </c>
      <c r="C912" s="4" t="s">
        <v>287</v>
      </c>
      <c r="D912" s="94">
        <v>1121.0</v>
      </c>
    </row>
    <row r="913">
      <c r="A913" s="40">
        <f t="array" ref="A913">IFNA(index(PlayerValues!A:A,match(IFNA(vlookup(B913,'Special Names'!A:B,2,FALSE),B913),PlayerValues!E:E,0)),"N/A")</f>
        <v>16640</v>
      </c>
      <c r="B913" s="4" t="s">
        <v>712</v>
      </c>
      <c r="C913" s="4" t="s">
        <v>287</v>
      </c>
      <c r="D913" s="94">
        <v>1120.0</v>
      </c>
    </row>
    <row r="914">
      <c r="A914" s="40">
        <f t="array" ref="A914">IFNA(index(PlayerValues!A:A,match(IFNA(vlookup(B914,'Special Names'!A:B,2,FALSE),B914),PlayerValues!E:E,0)),"N/A")</f>
        <v>17109</v>
      </c>
      <c r="B914" s="4" t="s">
        <v>707</v>
      </c>
      <c r="C914" s="4" t="s">
        <v>298</v>
      </c>
      <c r="D914" s="94">
        <v>1485.0</v>
      </c>
    </row>
    <row r="915">
      <c r="A915" s="40">
        <f t="array" ref="A915">IFNA(index(PlayerValues!A:A,match(IFNA(vlookup(B915,'Special Names'!A:B,2,FALSE),B915),PlayerValues!E:E,0)),"N/A")</f>
        <v>17057</v>
      </c>
      <c r="B915" s="4" t="s">
        <v>708</v>
      </c>
      <c r="C915" s="4" t="s">
        <v>278</v>
      </c>
      <c r="D915" s="94">
        <v>1094.0</v>
      </c>
    </row>
    <row r="916">
      <c r="A916" s="40">
        <f t="array" ref="A916">IFNA(index(PlayerValues!A:A,match(IFNA(vlookup(B916,'Special Names'!A:B,2,FALSE),B916),PlayerValues!E:E,0)),"N/A")</f>
        <v>15785</v>
      </c>
      <c r="B916" s="4" t="s">
        <v>763</v>
      </c>
      <c r="C916" s="4" t="s">
        <v>287</v>
      </c>
      <c r="D916" s="94">
        <v>1091.0</v>
      </c>
    </row>
    <row r="917">
      <c r="A917" s="40">
        <f t="array" ref="A917">IFNA(index(PlayerValues!A:A,match(IFNA(vlookup(B917,'Special Names'!A:B,2,FALSE),B917),PlayerValues!E:E,0)),"N/A")</f>
        <v>16387</v>
      </c>
      <c r="B917" s="4" t="s">
        <v>646</v>
      </c>
      <c r="C917" s="4" t="s">
        <v>278</v>
      </c>
      <c r="D917" s="94">
        <v>1089.0</v>
      </c>
    </row>
    <row r="918">
      <c r="A918" s="40">
        <f t="array" ref="A918">IFNA(index(PlayerValues!A:A,match(IFNA(vlookup(B918,'Special Names'!A:B,2,FALSE),B918),PlayerValues!E:E,0)),"N/A")</f>
        <v>14118</v>
      </c>
      <c r="B918" s="4" t="s">
        <v>771</v>
      </c>
      <c r="C918" s="4" t="s">
        <v>287</v>
      </c>
      <c r="D918" s="94">
        <v>1087.0</v>
      </c>
    </row>
    <row r="919">
      <c r="A919" s="40">
        <f t="array" ref="A919">IFNA(index(PlayerValues!A:A,match(IFNA(vlookup(B919,'Special Names'!A:B,2,FALSE),B919),PlayerValues!E:E,0)),"N/A")</f>
        <v>9064</v>
      </c>
      <c r="B919" s="4" t="s">
        <v>761</v>
      </c>
      <c r="C919" s="4" t="s">
        <v>283</v>
      </c>
      <c r="D919" s="94">
        <v>1081.0</v>
      </c>
    </row>
    <row r="920">
      <c r="A920" s="40">
        <f t="array" ref="A920">IFNA(index(PlayerValues!A:A,match(IFNA(vlookup(B920,'Special Names'!A:B,2,FALSE),B920),PlayerValues!E:E,0)),"N/A")</f>
        <v>16219</v>
      </c>
      <c r="B920" s="4" t="s">
        <v>739</v>
      </c>
      <c r="C920" s="4" t="s">
        <v>298</v>
      </c>
      <c r="D920" s="94">
        <v>1444.0</v>
      </c>
    </row>
    <row r="921">
      <c r="A921" s="40">
        <f t="array" ref="A921">IFNA(index(PlayerValues!A:A,match(IFNA(vlookup(B921,'Special Names'!A:B,2,FALSE),B921),PlayerValues!E:E,0)),"N/A")</f>
        <v>16678</v>
      </c>
      <c r="B921" s="4" t="s">
        <v>758</v>
      </c>
      <c r="C921" s="4" t="s">
        <v>278</v>
      </c>
      <c r="D921" s="94">
        <v>1074.0</v>
      </c>
    </row>
    <row r="922">
      <c r="A922" s="40">
        <f t="array" ref="A922">IFNA(index(PlayerValues!A:A,match(IFNA(vlookup(B922,'Special Names'!A:B,2,FALSE),B922),PlayerValues!E:E,0)),"N/A")</f>
        <v>17175</v>
      </c>
      <c r="B922" s="4" t="s">
        <v>747</v>
      </c>
      <c r="C922" s="4" t="s">
        <v>287</v>
      </c>
      <c r="D922" s="94">
        <v>1059.0</v>
      </c>
    </row>
    <row r="923">
      <c r="A923" s="40">
        <f t="array" ref="A923">IFNA(index(PlayerValues!A:A,match(IFNA(vlookup(B923,'Special Names'!A:B,2,FALSE),B923),PlayerValues!E:E,0)),"N/A")</f>
        <v>17479</v>
      </c>
      <c r="B923" s="4" t="s">
        <v>756</v>
      </c>
      <c r="C923" s="4" t="s">
        <v>278</v>
      </c>
      <c r="D923" s="94">
        <v>1052.0</v>
      </c>
    </row>
    <row r="924">
      <c r="A924" s="40">
        <f t="array" ref="A924">IFNA(index(PlayerValues!A:A,match(IFNA(vlookup(B924,'Special Names'!A:B,2,FALSE),B924),PlayerValues!E:E,0)),"N/A")</f>
        <v>16648</v>
      </c>
      <c r="B924" s="4" t="s">
        <v>748</v>
      </c>
      <c r="C924" s="4" t="s">
        <v>298</v>
      </c>
      <c r="D924" s="94">
        <v>1413.0</v>
      </c>
    </row>
    <row r="925">
      <c r="A925" s="40">
        <f t="array" ref="A925">IFNA(index(PlayerValues!A:A,match(IFNA(vlookup(B925,'Special Names'!A:B,2,FALSE),B925),PlayerValues!E:E,0)),"N/A")</f>
        <v>14057</v>
      </c>
      <c r="B925" s="4" t="s">
        <v>765</v>
      </c>
      <c r="C925" s="4" t="s">
        <v>283</v>
      </c>
      <c r="D925" s="94">
        <v>1044.0</v>
      </c>
    </row>
    <row r="926">
      <c r="A926" s="40">
        <f t="array" ref="A926">IFNA(index(PlayerValues!A:A,match(IFNA(vlookup(B926,'Special Names'!A:B,2,FALSE),B926),PlayerValues!E:E,0)),"N/A")</f>
        <v>15330</v>
      </c>
      <c r="B926" s="4" t="s">
        <v>749</v>
      </c>
      <c r="C926" s="4" t="s">
        <v>298</v>
      </c>
      <c r="D926" s="94">
        <v>1407.0</v>
      </c>
    </row>
    <row r="927">
      <c r="A927" s="40">
        <f t="array" ref="A927">IFNA(index(PlayerValues!A:A,match(IFNA(vlookup(B927,'Special Names'!A:B,2,FALSE),B927),PlayerValues!E:E,0)),"N/A")</f>
        <v>15795</v>
      </c>
      <c r="B927" s="4" t="s">
        <v>669</v>
      </c>
      <c r="C927" s="4" t="s">
        <v>298</v>
      </c>
      <c r="D927" s="94">
        <v>1408.0</v>
      </c>
    </row>
    <row r="928">
      <c r="A928" s="40">
        <f t="array" ref="A928">IFNA(index(PlayerValues!A:A,match(IFNA(vlookup(B928,'Special Names'!A:B,2,FALSE),B928),PlayerValues!E:E,0)),"N/A")</f>
        <v>15718</v>
      </c>
      <c r="B928" s="4" t="s">
        <v>753</v>
      </c>
      <c r="C928" s="4" t="s">
        <v>278</v>
      </c>
      <c r="D928" s="94">
        <v>1038.0</v>
      </c>
    </row>
    <row r="929">
      <c r="A929" s="40">
        <f t="array" ref="A929">IFNA(index(PlayerValues!A:A,match(IFNA(vlookup(B929,'Special Names'!A:B,2,FALSE),B929),PlayerValues!E:E,0)),"N/A")</f>
        <v>17520</v>
      </c>
      <c r="B929" s="4" t="s">
        <v>518</v>
      </c>
      <c r="C929" s="4" t="s">
        <v>287</v>
      </c>
      <c r="D929" s="94">
        <v>1028.0</v>
      </c>
    </row>
    <row r="930">
      <c r="A930" s="40">
        <f t="array" ref="A930">IFNA(index(PlayerValues!A:A,match(IFNA(vlookup(B930,'Special Names'!A:B,2,FALSE),B930),PlayerValues!E:E,0)),"N/A")</f>
        <v>11247</v>
      </c>
      <c r="B930" s="4" t="s">
        <v>816</v>
      </c>
      <c r="C930" s="4" t="s">
        <v>298</v>
      </c>
      <c r="D930" s="94">
        <v>1394.0</v>
      </c>
    </row>
    <row r="931">
      <c r="A931" s="40">
        <f t="array" ref="A931">IFNA(index(PlayerValues!A:A,match(IFNA(vlookup(B931,'Special Names'!A:B,2,FALSE),B931),PlayerValues!E:E,0)),"N/A")</f>
        <v>17486</v>
      </c>
      <c r="B931" s="4" t="s">
        <v>695</v>
      </c>
      <c r="C931" s="4" t="s">
        <v>278</v>
      </c>
      <c r="D931" s="94">
        <v>1026.0</v>
      </c>
    </row>
    <row r="932">
      <c r="A932" s="40">
        <f t="array" ref="A932">IFNA(index(PlayerValues!A:A,match(IFNA(vlookup(B932,'Special Names'!A:B,2,FALSE),B932),PlayerValues!E:E,0)),"N/A")</f>
        <v>14849</v>
      </c>
      <c r="B932" s="4" t="s">
        <v>733</v>
      </c>
      <c r="C932" s="4" t="s">
        <v>287</v>
      </c>
      <c r="D932" s="94">
        <v>1025.0</v>
      </c>
    </row>
    <row r="933">
      <c r="A933" s="40">
        <f t="array" ref="A933">IFNA(index(PlayerValues!A:A,match(IFNA(vlookup(B933,'Special Names'!A:B,2,FALSE),B933),PlayerValues!E:E,0)),"N/A")</f>
        <v>15766</v>
      </c>
      <c r="B933" s="4" t="s">
        <v>759</v>
      </c>
      <c r="C933" s="4" t="s">
        <v>287</v>
      </c>
      <c r="D933" s="94">
        <v>1023.0</v>
      </c>
    </row>
    <row r="934">
      <c r="A934" s="40">
        <f t="array" ref="A934">IFNA(index(PlayerValues!A:A,match(IFNA(vlookup(B934,'Special Names'!A:B,2,FALSE),B934),PlayerValues!E:E,0)),"N/A")</f>
        <v>15720</v>
      </c>
      <c r="B934" s="4" t="s">
        <v>795</v>
      </c>
      <c r="C934" s="4" t="s">
        <v>278</v>
      </c>
      <c r="D934" s="94">
        <v>1022.0</v>
      </c>
    </row>
    <row r="935">
      <c r="A935" s="40">
        <f t="array" ref="A935">IFNA(index(PlayerValues!A:A,match(IFNA(vlookup(B935,'Special Names'!A:B,2,FALSE),B935),PlayerValues!E:E,0)),"N/A")</f>
        <v>17467</v>
      </c>
      <c r="B935" s="4" t="s">
        <v>575</v>
      </c>
      <c r="C935" s="4" t="s">
        <v>283</v>
      </c>
      <c r="D935" s="94">
        <v>1008.0</v>
      </c>
    </row>
    <row r="936">
      <c r="A936" s="40">
        <f t="array" ref="A936">IFNA(index(PlayerValues!A:A,match(IFNA(vlookup(B936,'Special Names'!A:B,2,FALSE),B936),PlayerValues!E:E,0)),"N/A")</f>
        <v>17487</v>
      </c>
      <c r="B936" s="4" t="s">
        <v>692</v>
      </c>
      <c r="C936" s="4" t="s">
        <v>278</v>
      </c>
      <c r="D936" s="94">
        <v>1004.0</v>
      </c>
    </row>
    <row r="937">
      <c r="A937" s="40">
        <f t="array" ref="A937">IFNA(index(PlayerValues!A:A,match(IFNA(vlookup(B937,'Special Names'!A:B,2,FALSE),B937),PlayerValues!E:E,0)),"N/A")</f>
        <v>16159</v>
      </c>
      <c r="B937" s="4" t="s">
        <v>819</v>
      </c>
      <c r="C937" s="4" t="s">
        <v>283</v>
      </c>
      <c r="D937" s="94">
        <v>1002.0</v>
      </c>
    </row>
    <row r="938">
      <c r="A938" s="40">
        <f t="array" ref="A938">IFNA(index(PlayerValues!A:A,match(IFNA(vlookup(B938,'Special Names'!A:B,2,FALSE),B938),PlayerValues!E:E,0)),"N/A")</f>
        <v>16168</v>
      </c>
      <c r="B938" s="4" t="s">
        <v>738</v>
      </c>
      <c r="C938" s="4" t="s">
        <v>278</v>
      </c>
      <c r="D938" s="94">
        <v>1000.0</v>
      </c>
    </row>
    <row r="939">
      <c r="A939" s="40">
        <f t="array" ref="A939">IFNA(index(PlayerValues!A:A,match(IFNA(vlookup(B939,'Special Names'!A:B,2,FALSE),B939),PlayerValues!E:E,0)),"N/A")</f>
        <v>16858</v>
      </c>
      <c r="B939" s="4" t="s">
        <v>754</v>
      </c>
      <c r="C939" s="4" t="s">
        <v>287</v>
      </c>
      <c r="D939" s="94">
        <v>994.0</v>
      </c>
    </row>
    <row r="940">
      <c r="A940" s="40">
        <f t="array" ref="A940">IFNA(index(PlayerValues!A:A,match(IFNA(vlookup(B940,'Special Names'!A:B,2,FALSE),B940),PlayerValues!E:E,0)),"N/A")</f>
        <v>17475</v>
      </c>
      <c r="B940" s="4" t="s">
        <v>615</v>
      </c>
      <c r="C940" s="4" t="s">
        <v>278</v>
      </c>
      <c r="D940" s="94">
        <v>994.0</v>
      </c>
    </row>
    <row r="941">
      <c r="A941" s="40">
        <f t="array" ref="A941">IFNA(index(PlayerValues!A:A,match(IFNA(vlookup(B941,'Special Names'!A:B,2,FALSE),B941),PlayerValues!E:E,0)),"N/A")</f>
        <v>15626</v>
      </c>
      <c r="B941" s="4" t="s">
        <v>766</v>
      </c>
      <c r="C941" s="4" t="s">
        <v>298</v>
      </c>
      <c r="D941" s="94">
        <v>1352.0</v>
      </c>
    </row>
    <row r="942">
      <c r="A942" s="40">
        <f t="array" ref="A942">IFNA(index(PlayerValues!A:A,match(IFNA(vlookup(B942,'Special Names'!A:B,2,FALSE),B942),PlayerValues!E:E,0)),"N/A")</f>
        <v>14799</v>
      </c>
      <c r="B942" s="4" t="s">
        <v>829</v>
      </c>
      <c r="C942" s="4" t="s">
        <v>278</v>
      </c>
      <c r="D942" s="94">
        <v>982.0</v>
      </c>
    </row>
    <row r="943">
      <c r="A943" s="40">
        <f t="array" ref="A943">IFNA(index(PlayerValues!A:A,match(IFNA(vlookup(B943,'Special Names'!A:B,2,FALSE),B943),PlayerValues!E:E,0)),"N/A")</f>
        <v>14864</v>
      </c>
      <c r="B943" s="4" t="s">
        <v>789</v>
      </c>
      <c r="C943" s="4" t="s">
        <v>287</v>
      </c>
      <c r="D943" s="94">
        <v>970.0</v>
      </c>
    </row>
    <row r="944">
      <c r="A944" s="40">
        <f t="array" ref="A944">IFNA(index(PlayerValues!A:A,match(IFNA(vlookup(B944,'Special Names'!A:B,2,FALSE),B944),PlayerValues!E:E,0)),"N/A")</f>
        <v>16176</v>
      </c>
      <c r="B944" s="4" t="s">
        <v>812</v>
      </c>
      <c r="C944" s="4" t="s">
        <v>278</v>
      </c>
      <c r="D944" s="94">
        <v>970.0</v>
      </c>
    </row>
    <row r="945">
      <c r="A945" s="40">
        <f t="array" ref="A945">IFNA(index(PlayerValues!A:A,match(IFNA(vlookup(B945,'Special Names'!A:B,2,FALSE),B945),PlayerValues!E:E,0)),"N/A")</f>
        <v>15263</v>
      </c>
      <c r="B945" s="4" t="s">
        <v>804</v>
      </c>
      <c r="C945" s="4" t="s">
        <v>278</v>
      </c>
      <c r="D945" s="94">
        <v>966.0</v>
      </c>
    </row>
    <row r="946">
      <c r="A946" s="40">
        <f t="array" ref="A946">IFNA(index(PlayerValues!A:A,match(IFNA(vlookup(B946,'Special Names'!A:B,2,FALSE),B946),PlayerValues!E:E,0)),"N/A")</f>
        <v>17510</v>
      </c>
      <c r="B946" s="4" t="s">
        <v>661</v>
      </c>
      <c r="C946" s="4" t="s">
        <v>287</v>
      </c>
      <c r="D946" s="94">
        <v>963.0</v>
      </c>
    </row>
    <row r="947">
      <c r="A947" s="40">
        <f t="array" ref="A947">IFNA(index(PlayerValues!A:A,match(IFNA(vlookup(B947,'Special Names'!A:B,2,FALSE),B947),PlayerValues!E:E,0)),"N/A")</f>
        <v>16205</v>
      </c>
      <c r="B947" s="4" t="s">
        <v>742</v>
      </c>
      <c r="C947" s="4" t="s">
        <v>287</v>
      </c>
      <c r="D947" s="94">
        <v>953.0</v>
      </c>
    </row>
    <row r="948">
      <c r="A948" s="40">
        <f t="array" ref="A948">IFNA(index(PlayerValues!A:A,match(IFNA(vlookup(B948,'Special Names'!A:B,2,FALSE),B948),PlayerValues!E:E,0)),"N/A")</f>
        <v>16773</v>
      </c>
      <c r="B948" s="4" t="s">
        <v>783</v>
      </c>
      <c r="C948" s="4" t="s">
        <v>278</v>
      </c>
      <c r="D948" s="94">
        <v>952.0</v>
      </c>
    </row>
    <row r="949">
      <c r="A949" s="40">
        <f t="array" ref="A949">IFNA(index(PlayerValues!A:A,match(IFNA(vlookup(B949,'Special Names'!A:B,2,FALSE),B949),PlayerValues!E:E,0)),"N/A")</f>
        <v>17504</v>
      </c>
      <c r="B949" s="4" t="s">
        <v>693</v>
      </c>
      <c r="C949" s="4" t="s">
        <v>287</v>
      </c>
      <c r="D949" s="94">
        <v>946.0</v>
      </c>
    </row>
    <row r="950">
      <c r="A950" s="40">
        <f t="array" ref="A950">IFNA(index(PlayerValues!A:A,match(IFNA(vlookup(B950,'Special Names'!A:B,2,FALSE),B950),PlayerValues!E:E,0)),"N/A")</f>
        <v>17545</v>
      </c>
      <c r="B950" s="4" t="s">
        <v>719</v>
      </c>
      <c r="C950" s="4" t="s">
        <v>298</v>
      </c>
      <c r="D950" s="94">
        <v>1314.0</v>
      </c>
    </row>
    <row r="951">
      <c r="A951" s="40">
        <f t="array" ref="A951">IFNA(index(PlayerValues!A:A,match(IFNA(vlookup(B951,'Special Names'!A:B,2,FALSE),B951),PlayerValues!E:E,0)),"N/A")</f>
        <v>16416</v>
      </c>
      <c r="B951" s="4" t="s">
        <v>752</v>
      </c>
      <c r="C951" s="4" t="s">
        <v>287</v>
      </c>
      <c r="D951" s="94">
        <v>943.0</v>
      </c>
    </row>
    <row r="952">
      <c r="A952" s="40">
        <f t="array" ref="A952">IFNA(index(PlayerValues!A:A,match(IFNA(vlookup(B952,'Special Names'!A:B,2,FALSE),B952),PlayerValues!E:E,0)),"N/A")</f>
        <v>16599</v>
      </c>
      <c r="B952" s="4" t="s">
        <v>737</v>
      </c>
      <c r="C952" s="4" t="s">
        <v>278</v>
      </c>
      <c r="D952" s="94">
        <v>942.0</v>
      </c>
    </row>
    <row r="953">
      <c r="A953" s="40">
        <f t="array" ref="A953">IFNA(index(PlayerValues!A:A,match(IFNA(vlookup(B953,'Special Names'!A:B,2,FALSE),B953),PlayerValues!E:E,0)),"N/A")</f>
        <v>16624</v>
      </c>
      <c r="B953" s="4" t="s">
        <v>796</v>
      </c>
      <c r="C953" s="4" t="s">
        <v>287</v>
      </c>
      <c r="D953" s="94">
        <v>942.0</v>
      </c>
    </row>
    <row r="954">
      <c r="A954" s="40">
        <f t="array" ref="A954">IFNA(index(PlayerValues!A:A,match(IFNA(vlookup(B954,'Special Names'!A:B,2,FALSE),B954),PlayerValues!E:E,0)),"N/A")</f>
        <v>13595</v>
      </c>
      <c r="B954" s="4" t="s">
        <v>818</v>
      </c>
      <c r="C954" s="4" t="s">
        <v>283</v>
      </c>
      <c r="D954" s="94">
        <v>938.0</v>
      </c>
    </row>
    <row r="955">
      <c r="A955" s="40">
        <f t="array" ref="A955">IFNA(index(PlayerValues!A:A,match(IFNA(vlookup(B955,'Special Names'!A:B,2,FALSE),B955),PlayerValues!E:E,0)),"N/A")</f>
        <v>15723</v>
      </c>
      <c r="B955" s="4" t="s">
        <v>798</v>
      </c>
      <c r="C955" s="4" t="s">
        <v>278</v>
      </c>
      <c r="D955" s="94">
        <v>930.0</v>
      </c>
    </row>
    <row r="956">
      <c r="A956" s="40">
        <f t="array" ref="A956">IFNA(index(PlayerValues!A:A,match(IFNA(vlookup(B956,'Special Names'!A:B,2,FALSE),B956),PlayerValues!E:E,0)),"N/A")</f>
        <v>15109</v>
      </c>
      <c r="B956" s="4" t="s">
        <v>728</v>
      </c>
      <c r="C956" s="4" t="s">
        <v>287</v>
      </c>
      <c r="D956" s="94">
        <v>928.0</v>
      </c>
    </row>
    <row r="957">
      <c r="A957" s="40">
        <f t="array" ref="A957">IFNA(index(PlayerValues!A:A,match(IFNA(vlookup(B957,'Special Names'!A:B,2,FALSE),B957),PlayerValues!E:E,0)),"N/A")</f>
        <v>13133</v>
      </c>
      <c r="B957" s="4" t="s">
        <v>764</v>
      </c>
      <c r="C957" s="4" t="s">
        <v>278</v>
      </c>
      <c r="D957" s="94">
        <v>926.0</v>
      </c>
    </row>
    <row r="958">
      <c r="A958" s="40">
        <f t="array" ref="A958">IFNA(index(PlayerValues!A:A,match(IFNA(vlookup(B958,'Special Names'!A:B,2,FALSE),B958),PlayerValues!E:E,0)),"N/A")</f>
        <v>13610</v>
      </c>
      <c r="B958" s="4" t="s">
        <v>825</v>
      </c>
      <c r="C958" s="4" t="s">
        <v>278</v>
      </c>
      <c r="D958" s="94">
        <v>914.0</v>
      </c>
    </row>
    <row r="959">
      <c r="A959" s="40">
        <f t="array" ref="A959">IFNA(index(PlayerValues!A:A,match(IFNA(vlookup(B959,'Special Names'!A:B,2,FALSE),B959),PlayerValues!E:E,0)),"N/A")</f>
        <v>12785</v>
      </c>
      <c r="B959" s="4" t="s">
        <v>772</v>
      </c>
      <c r="C959" s="4" t="s">
        <v>287</v>
      </c>
      <c r="D959" s="94">
        <v>907.0</v>
      </c>
    </row>
    <row r="960">
      <c r="A960" s="40">
        <f t="array" ref="A960">IFNA(index(PlayerValues!A:A,match(IFNA(vlookup(B960,'Special Names'!A:B,2,FALSE),B960),PlayerValues!E:E,0)),"N/A")</f>
        <v>16751</v>
      </c>
      <c r="B960" s="4" t="s">
        <v>762</v>
      </c>
      <c r="C960" s="4" t="s">
        <v>287</v>
      </c>
      <c r="D960" s="94">
        <v>905.0</v>
      </c>
    </row>
    <row r="961">
      <c r="A961" s="40">
        <f t="array" ref="A961">IFNA(index(PlayerValues!A:A,match(IFNA(vlookup(B961,'Special Names'!A:B,2,FALSE),B961),PlayerValues!E:E,0)),"N/A")</f>
        <v>16957</v>
      </c>
      <c r="B961" s="4" t="s">
        <v>806</v>
      </c>
      <c r="C961" s="4" t="s">
        <v>278</v>
      </c>
      <c r="D961" s="94">
        <v>904.0</v>
      </c>
    </row>
    <row r="962">
      <c r="A962" s="40">
        <f t="array" ref="A962">IFNA(index(PlayerValues!A:A,match(IFNA(vlookup(B962,'Special Names'!A:B,2,FALSE),B962),PlayerValues!E:E,0)),"N/A")</f>
        <v>14079</v>
      </c>
      <c r="B962" s="4" t="s">
        <v>830</v>
      </c>
      <c r="C962" s="4" t="s">
        <v>278</v>
      </c>
      <c r="D962" s="94">
        <v>889.0</v>
      </c>
    </row>
    <row r="963">
      <c r="A963" s="40">
        <f t="array" ref="A963">IFNA(index(PlayerValues!A:A,match(IFNA(vlookup(B963,'Special Names'!A:B,2,FALSE),B963),PlayerValues!E:E,0)),"N/A")</f>
        <v>13143</v>
      </c>
      <c r="B963" s="4" t="s">
        <v>786</v>
      </c>
      <c r="C963" s="4" t="s">
        <v>278</v>
      </c>
      <c r="D963" s="94">
        <v>889.0</v>
      </c>
    </row>
    <row r="964">
      <c r="A964" s="40">
        <f t="array" ref="A964">IFNA(index(PlayerValues!A:A,match(IFNA(vlookup(B964,'Special Names'!A:B,2,FALSE),B964),PlayerValues!E:E,0)),"N/A")</f>
        <v>16606</v>
      </c>
      <c r="B964" s="4" t="s">
        <v>743</v>
      </c>
      <c r="C964" s="4" t="s">
        <v>278</v>
      </c>
      <c r="D964" s="94">
        <v>883.0</v>
      </c>
    </row>
    <row r="965">
      <c r="A965" s="40">
        <f t="array" ref="A965">IFNA(index(PlayerValues!A:A,match(IFNA(vlookup(B965,'Special Names'!A:B,2,FALSE),B965),PlayerValues!E:E,0)),"N/A")</f>
        <v>15796</v>
      </c>
      <c r="B965" s="4" t="s">
        <v>794</v>
      </c>
      <c r="C965" s="4" t="s">
        <v>298</v>
      </c>
      <c r="D965" s="94">
        <v>1253.0</v>
      </c>
    </row>
    <row r="966">
      <c r="A966" s="40">
        <f t="array" ref="A966">IFNA(index(PlayerValues!A:A,match(IFNA(vlookup(B966,'Special Names'!A:B,2,FALSE),B966),PlayerValues!E:E,0)),"N/A")</f>
        <v>11232</v>
      </c>
      <c r="B966" s="4" t="s">
        <v>826</v>
      </c>
      <c r="C966" s="4" t="s">
        <v>287</v>
      </c>
      <c r="D966" s="94">
        <v>873.0</v>
      </c>
    </row>
    <row r="967">
      <c r="A967" s="40">
        <f t="array" ref="A967">IFNA(index(PlayerValues!A:A,match(IFNA(vlookup(B967,'Special Names'!A:B,2,FALSE),B967),PlayerValues!E:E,0)),"N/A")</f>
        <v>13113</v>
      </c>
      <c r="B967" s="4" t="s">
        <v>606</v>
      </c>
      <c r="C967" s="4" t="s">
        <v>283</v>
      </c>
      <c r="D967" s="94">
        <v>870.0</v>
      </c>
    </row>
    <row r="968">
      <c r="A968" s="40">
        <f t="array" ref="A968">IFNA(index(PlayerValues!A:A,match(IFNA(vlookup(B968,'Special Names'!A:B,2,FALSE),B968),PlayerValues!E:E,0)),"N/A")</f>
        <v>17337</v>
      </c>
      <c r="B968" s="4" t="s">
        <v>793</v>
      </c>
      <c r="C968" s="4" t="s">
        <v>278</v>
      </c>
      <c r="D968" s="94">
        <v>869.0</v>
      </c>
    </row>
    <row r="969">
      <c r="A969" s="40">
        <f t="array" ref="A969">IFNA(index(PlayerValues!A:A,match(IFNA(vlookup(B969,'Special Names'!A:B,2,FALSE),B969),PlayerValues!E:E,0)),"N/A")</f>
        <v>14358</v>
      </c>
      <c r="B969" s="4" t="s">
        <v>813</v>
      </c>
      <c r="C969" s="4" t="s">
        <v>283</v>
      </c>
      <c r="D969" s="94">
        <v>860.0</v>
      </c>
    </row>
    <row r="970">
      <c r="A970" s="40">
        <f t="array" ref="A970">IFNA(index(PlayerValues!A:A,match(IFNA(vlookup(B970,'Special Names'!A:B,2,FALSE),B970),PlayerValues!E:E,0)),"N/A")</f>
        <v>15804</v>
      </c>
      <c r="B970" s="4" t="s">
        <v>821</v>
      </c>
      <c r="C970" s="4" t="s">
        <v>298</v>
      </c>
      <c r="D970" s="94">
        <v>1226.0</v>
      </c>
    </row>
    <row r="971">
      <c r="A971" s="40">
        <f t="array" ref="A971">IFNA(index(PlayerValues!A:A,match(IFNA(vlookup(B971,'Special Names'!A:B,2,FALSE),B971),PlayerValues!E:E,0)),"N/A")</f>
        <v>15271</v>
      </c>
      <c r="B971" s="4" t="s">
        <v>741</v>
      </c>
      <c r="C971" s="4" t="s">
        <v>278</v>
      </c>
      <c r="D971" s="94">
        <v>841.0</v>
      </c>
    </row>
    <row r="972">
      <c r="A972" s="40">
        <f t="array" ref="A972">IFNA(index(PlayerValues!A:A,match(IFNA(vlookup(B972,'Special Names'!A:B,2,FALSE),B972),PlayerValues!E:E,0)),"N/A")</f>
        <v>14223</v>
      </c>
      <c r="B972" s="4" t="s">
        <v>785</v>
      </c>
      <c r="C972" s="4" t="s">
        <v>278</v>
      </c>
      <c r="D972" s="94">
        <v>837.0</v>
      </c>
    </row>
    <row r="973">
      <c r="A973" s="40">
        <f t="array" ref="A973">IFNA(index(PlayerValues!A:A,match(IFNA(vlookup(B973,'Special Names'!A:B,2,FALSE),B973),PlayerValues!E:E,0)),"N/A")</f>
        <v>16623</v>
      </c>
      <c r="B973" s="4" t="s">
        <v>803</v>
      </c>
      <c r="C973" s="4" t="s">
        <v>287</v>
      </c>
      <c r="D973" s="94">
        <v>830.0</v>
      </c>
    </row>
    <row r="974">
      <c r="A974" s="40">
        <f t="array" ref="A974">IFNA(index(PlayerValues!A:A,match(IFNA(vlookup(B974,'Special Names'!A:B,2,FALSE),B974),PlayerValues!E:E,0)),"N/A")</f>
        <v>13156</v>
      </c>
      <c r="B974" s="4" t="s">
        <v>835</v>
      </c>
      <c r="C974" s="4" t="s">
        <v>287</v>
      </c>
      <c r="D974" s="94">
        <v>827.0</v>
      </c>
    </row>
    <row r="975">
      <c r="A975" s="40">
        <f t="array" ref="A975">IFNA(index(PlayerValues!A:A,match(IFNA(vlookup(B975,'Special Names'!A:B,2,FALSE),B975),PlayerValues!E:E,0)),"N/A")</f>
        <v>16170</v>
      </c>
      <c r="B975" s="4" t="s">
        <v>801</v>
      </c>
      <c r="C975" s="4" t="s">
        <v>278</v>
      </c>
      <c r="D975" s="94">
        <v>817.0</v>
      </c>
    </row>
    <row r="976">
      <c r="A976" s="40">
        <f t="array" ref="A976">IFNA(index(PlayerValues!A:A,match(IFNA(vlookup(B976,'Special Names'!A:B,2,FALSE),B976),PlayerValues!E:E,0)),"N/A")</f>
        <v>16625</v>
      </c>
      <c r="B976" s="4" t="s">
        <v>778</v>
      </c>
      <c r="C976" s="4" t="s">
        <v>287</v>
      </c>
      <c r="D976" s="94">
        <v>814.0</v>
      </c>
    </row>
    <row r="977">
      <c r="A977" s="40">
        <f t="array" ref="A977">IFNA(index(PlayerValues!A:A,match(IFNA(vlookup(B977,'Special Names'!A:B,2,FALSE),B977),PlayerValues!E:E,0)),"N/A")</f>
        <v>16686</v>
      </c>
      <c r="B977" s="4" t="s">
        <v>805</v>
      </c>
      <c r="C977" s="4" t="s">
        <v>287</v>
      </c>
      <c r="D977" s="94">
        <v>807.0</v>
      </c>
    </row>
    <row r="978">
      <c r="A978" s="40">
        <f t="array" ref="A978">IFNA(index(PlayerValues!A:A,match(IFNA(vlookup(B978,'Special Names'!A:B,2,FALSE),B978),PlayerValues!E:E,0)),"N/A")</f>
        <v>14805</v>
      </c>
      <c r="B978" s="4" t="s">
        <v>770</v>
      </c>
      <c r="C978" s="4" t="s">
        <v>278</v>
      </c>
      <c r="D978" s="94">
        <v>806.0</v>
      </c>
    </row>
    <row r="979">
      <c r="A979" s="40">
        <f t="array" ref="A979">IFNA(index(PlayerValues!A:A,match(IFNA(vlookup(B979,'Special Names'!A:B,2,FALSE),B979),PlayerValues!E:E,0)),"N/A")</f>
        <v>13157</v>
      </c>
      <c r="B979" s="4" t="s">
        <v>836</v>
      </c>
      <c r="C979" s="4" t="s">
        <v>287</v>
      </c>
      <c r="D979" s="94">
        <v>776.0</v>
      </c>
    </row>
    <row r="980">
      <c r="A980" s="40">
        <f t="array" ref="A980">IFNA(index(PlayerValues!A:A,match(IFNA(vlookup(B980,'Special Names'!A:B,2,FALSE),B980),PlayerValues!E:E,0)),"N/A")</f>
        <v>14852</v>
      </c>
      <c r="B980" s="4" t="s">
        <v>837</v>
      </c>
      <c r="C980" s="4" t="s">
        <v>278</v>
      </c>
      <c r="D980" s="94">
        <v>775.0</v>
      </c>
    </row>
    <row r="981">
      <c r="A981" s="40">
        <f t="array" ref="A981">IFNA(index(PlayerValues!A:A,match(IFNA(vlookup(B981,'Special Names'!A:B,2,FALSE),B981),PlayerValues!E:E,0)),"N/A")</f>
        <v>15285</v>
      </c>
      <c r="B981" s="4" t="s">
        <v>792</v>
      </c>
      <c r="C981" s="4" t="s">
        <v>287</v>
      </c>
      <c r="D981" s="94">
        <v>755.0</v>
      </c>
    </row>
    <row r="982">
      <c r="A982" s="40">
        <f t="array" ref="A982">IFNA(index(PlayerValues!A:A,match(IFNA(vlookup(B982,'Special Names'!A:B,2,FALSE),B982),PlayerValues!E:E,0)),"N/A")</f>
        <v>17038</v>
      </c>
      <c r="B982" s="4" t="s">
        <v>774</v>
      </c>
      <c r="C982" s="4" t="s">
        <v>283</v>
      </c>
      <c r="D982" s="94">
        <v>755.0</v>
      </c>
    </row>
    <row r="983">
      <c r="A983" s="40">
        <f t="array" ref="A983">IFNA(index(PlayerValues!A:A,match(IFNA(vlookup(B983,'Special Names'!A:B,2,FALSE),B983),PlayerValues!E:E,0)),"N/A")</f>
        <v>14858</v>
      </c>
      <c r="B983" s="4" t="s">
        <v>799</v>
      </c>
      <c r="C983" s="4" t="s">
        <v>287</v>
      </c>
      <c r="D983" s="94">
        <v>749.0</v>
      </c>
    </row>
    <row r="984">
      <c r="A984" s="40">
        <f t="array" ref="A984">IFNA(index(PlayerValues!A:A,match(IFNA(vlookup(B984,'Special Names'!A:B,2,FALSE),B984),PlayerValues!E:E,0)),"N/A")</f>
        <v>15965</v>
      </c>
      <c r="B984" s="4" t="s">
        <v>791</v>
      </c>
      <c r="C984" s="4" t="s">
        <v>278</v>
      </c>
      <c r="D984" s="94">
        <v>748.0</v>
      </c>
    </row>
    <row r="985">
      <c r="A985" s="40">
        <f t="array" ref="A985">IFNA(index(PlayerValues!A:A,match(IFNA(vlookup(B985,'Special Names'!A:B,2,FALSE),B985),PlayerValues!E:E,0)),"N/A")</f>
        <v>12610</v>
      </c>
      <c r="B985" s="4" t="s">
        <v>838</v>
      </c>
      <c r="C985" s="4" t="s">
        <v>283</v>
      </c>
      <c r="D985" s="94">
        <v>744.0</v>
      </c>
    </row>
    <row r="986">
      <c r="A986" s="40">
        <f t="array" ref="A986">IFNA(index(PlayerValues!A:A,match(IFNA(vlookup(B986,'Special Names'!A:B,2,FALSE),B986),PlayerValues!E:E,0)),"N/A")</f>
        <v>14113</v>
      </c>
      <c r="B986" s="4" t="s">
        <v>788</v>
      </c>
      <c r="C986" s="4" t="s">
        <v>287</v>
      </c>
      <c r="D986" s="94">
        <v>742.0</v>
      </c>
    </row>
    <row r="987">
      <c r="A987" s="40">
        <f t="array" ref="A987">IFNA(index(PlayerValues!A:A,match(IFNA(vlookup(B987,'Special Names'!A:B,2,FALSE),B987),PlayerValues!E:E,0)),"N/A")</f>
        <v>14209</v>
      </c>
      <c r="B987" s="4" t="s">
        <v>809</v>
      </c>
      <c r="C987" s="4" t="s">
        <v>298</v>
      </c>
      <c r="D987" s="94">
        <v>1109.0</v>
      </c>
    </row>
    <row r="988">
      <c r="A988" s="40">
        <f t="array" ref="A988">IFNA(index(PlayerValues!A:A,match(IFNA(vlookup(B988,'Special Names'!A:B,2,FALSE),B988),PlayerValues!E:E,0)),"N/A")</f>
        <v>13176</v>
      </c>
      <c r="B988" s="4" t="s">
        <v>807</v>
      </c>
      <c r="C988" s="4" t="s">
        <v>287</v>
      </c>
      <c r="D988" s="94">
        <v>741.0</v>
      </c>
    </row>
    <row r="989">
      <c r="A989" s="40">
        <f t="array" ref="A989">IFNA(index(PlayerValues!A:A,match(IFNA(vlookup(B989,'Special Names'!A:B,2,FALSE),B989),PlayerValues!E:E,0)),"N/A")</f>
        <v>15714</v>
      </c>
      <c r="B989" s="4" t="s">
        <v>775</v>
      </c>
      <c r="C989" s="4" t="s">
        <v>278</v>
      </c>
      <c r="D989" s="94">
        <v>740.0</v>
      </c>
    </row>
    <row r="990">
      <c r="A990" s="40">
        <f t="array" ref="A990">IFNA(index(PlayerValues!A:A,match(IFNA(vlookup(B990,'Special Names'!A:B,2,FALSE),B990),PlayerValues!E:E,0)),"N/A")</f>
        <v>13675</v>
      </c>
      <c r="B990" s="4" t="s">
        <v>839</v>
      </c>
      <c r="C990" s="4" t="s">
        <v>298</v>
      </c>
      <c r="D990" s="94">
        <v>1106.0</v>
      </c>
    </row>
    <row r="991">
      <c r="A991" s="40">
        <f t="array" ref="A991">IFNA(index(PlayerValues!A:A,match(IFNA(vlookup(B991,'Special Names'!A:B,2,FALSE),B991),PlayerValues!E:E,0)),"N/A")</f>
        <v>17541</v>
      </c>
      <c r="B991" s="4" t="s">
        <v>616</v>
      </c>
      <c r="C991" s="4" t="s">
        <v>287</v>
      </c>
      <c r="D991" s="94">
        <v>722.0</v>
      </c>
    </row>
    <row r="992">
      <c r="A992" s="40">
        <f t="array" ref="A992">IFNA(index(PlayerValues!A:A,match(IFNA(vlookup(B992,'Special Names'!A:B,2,FALSE),B992),PlayerValues!E:E,0)),"N/A")</f>
        <v>16413</v>
      </c>
      <c r="B992" s="4" t="s">
        <v>781</v>
      </c>
      <c r="C992" s="4" t="s">
        <v>287</v>
      </c>
      <c r="D992" s="94">
        <v>716.0</v>
      </c>
    </row>
    <row r="993">
      <c r="A993" s="40">
        <f t="array" ref="A993">IFNA(index(PlayerValues!A:A,match(IFNA(vlookup(B993,'Special Names'!A:B,2,FALSE),B993),PlayerValues!E:E,0)),"N/A")</f>
        <v>13172</v>
      </c>
      <c r="B993" s="4" t="s">
        <v>840</v>
      </c>
      <c r="C993" s="4" t="s">
        <v>287</v>
      </c>
      <c r="D993" s="94">
        <v>712.0</v>
      </c>
    </row>
    <row r="994">
      <c r="A994" s="40">
        <f t="array" ref="A994">IFNA(index(PlayerValues!A:A,match(IFNA(vlookup(B994,'Special Names'!A:B,2,FALSE),B994),PlayerValues!E:E,0)),"N/A")</f>
        <v>10413</v>
      </c>
      <c r="B994" s="4" t="s">
        <v>811</v>
      </c>
      <c r="C994" s="4" t="s">
        <v>283</v>
      </c>
      <c r="D994" s="94">
        <v>705.0</v>
      </c>
    </row>
    <row r="995">
      <c r="A995" s="40">
        <f t="array" ref="A995">IFNA(index(PlayerValues!A:A,match(IFNA(vlookup(B995,'Special Names'!A:B,2,FALSE),B995),PlayerValues!E:E,0)),"N/A")</f>
        <v>17232</v>
      </c>
      <c r="B995" s="4" t="s">
        <v>784</v>
      </c>
      <c r="C995" s="4" t="s">
        <v>287</v>
      </c>
      <c r="D995" s="94">
        <v>700.0</v>
      </c>
    </row>
    <row r="996">
      <c r="A996" s="40">
        <f t="array" ref="A996">IFNA(index(PlayerValues!A:A,match(IFNA(vlookup(B996,'Special Names'!A:B,2,FALSE),B996),PlayerValues!E:E,0)),"N/A")</f>
        <v>17470</v>
      </c>
      <c r="B996" s="4" t="s">
        <v>841</v>
      </c>
      <c r="C996" s="4" t="s">
        <v>283</v>
      </c>
      <c r="D996" s="94">
        <v>699.0</v>
      </c>
    </row>
    <row r="997">
      <c r="A997" s="40">
        <f t="array" ref="A997">IFNA(index(PlayerValues!A:A,match(IFNA(vlookup(B997,'Special Names'!A:B,2,FALSE),B997),PlayerValues!E:E,0)),"N/A")</f>
        <v>12658</v>
      </c>
      <c r="B997" s="4" t="s">
        <v>823</v>
      </c>
      <c r="C997" s="4" t="s">
        <v>287</v>
      </c>
      <c r="D997" s="94">
        <v>690.0</v>
      </c>
    </row>
    <row r="998">
      <c r="A998" s="40">
        <f t="array" ref="A998">IFNA(index(PlayerValues!A:A,match(IFNA(vlookup(B998,'Special Names'!A:B,2,FALSE),B998),PlayerValues!E:E,0)),"N/A")</f>
        <v>16632</v>
      </c>
      <c r="B998" s="4" t="s">
        <v>842</v>
      </c>
      <c r="C998" s="4" t="s">
        <v>287</v>
      </c>
      <c r="D998" s="94">
        <v>690.0</v>
      </c>
    </row>
    <row r="999">
      <c r="A999" s="40">
        <f t="array" ref="A999">IFNA(index(PlayerValues!A:A,match(IFNA(vlookup(B999,'Special Names'!A:B,2,FALSE),B999),PlayerValues!E:E,0)),"N/A")</f>
        <v>14870</v>
      </c>
      <c r="B999" s="4" t="s">
        <v>843</v>
      </c>
      <c r="C999" s="4" t="s">
        <v>298</v>
      </c>
      <c r="D999" s="94">
        <v>1054.0</v>
      </c>
    </row>
    <row r="1000">
      <c r="A1000" s="40">
        <f t="array" ref="A1000">IFNA(index(PlayerValues!A:A,match(IFNA(vlookup(B1000,'Special Names'!A:B,2,FALSE),B1000),PlayerValues!E:E,0)),"N/A")</f>
        <v>17526</v>
      </c>
      <c r="B1000" s="4" t="s">
        <v>760</v>
      </c>
      <c r="C1000" s="4" t="s">
        <v>287</v>
      </c>
      <c r="D1000" s="94">
        <v>686.0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9987.0</v>
      </c>
    </row>
    <row r="1002">
      <c r="A1002" s="40">
        <f t="array" ref="A1002">IFNA(index(PlayerValues!A:A,match(IFNA(vlookup(B1002,'Special Names'!A:B,2,FALSE),B1002),PlayerValues!E:E,0)),"N/A")</f>
        <v>16161</v>
      </c>
      <c r="B1002" s="4" t="s">
        <v>277</v>
      </c>
      <c r="C1002" s="4" t="s">
        <v>278</v>
      </c>
      <c r="D1002" s="94">
        <v>9981.0</v>
      </c>
    </row>
    <row r="1003">
      <c r="A1003" s="40">
        <f t="array" ref="A1003">IFNA(index(PlayerValues!A:A,match(IFNA(vlookup(B1003,'Special Names'!A:B,2,FALSE),B1003),PlayerValues!E:E,0)),"N/A")</f>
        <v>15281</v>
      </c>
      <c r="B1003" s="4" t="s">
        <v>286</v>
      </c>
      <c r="C1003" s="4" t="s">
        <v>287</v>
      </c>
      <c r="D1003" s="94">
        <v>9837.0</v>
      </c>
    </row>
    <row r="1004">
      <c r="A1004" s="40">
        <f t="array" ref="A1004">IFNA(index(PlayerValues!A:A,match(IFNA(vlookup(B1004,'Special Names'!A:B,2,FALSE),B1004),PlayerValues!E:E,0)),"N/A")</f>
        <v>16185</v>
      </c>
      <c r="B1004" s="4" t="s">
        <v>290</v>
      </c>
      <c r="C1004" s="4" t="s">
        <v>287</v>
      </c>
      <c r="D1004" s="94">
        <v>9784.0</v>
      </c>
    </row>
    <row r="1005">
      <c r="A1005" s="40">
        <f t="array" ref="A1005">IFNA(index(PlayerValues!A:A,match(IFNA(vlookup(B1005,'Special Names'!A:B,2,FALSE),B1005),PlayerValues!E:E,0)),"N/A")</f>
        <v>16162</v>
      </c>
      <c r="B1005" s="4" t="s">
        <v>281</v>
      </c>
      <c r="C1005" s="4" t="s">
        <v>278</v>
      </c>
      <c r="D1005" s="94">
        <v>9645.0</v>
      </c>
    </row>
    <row r="1006">
      <c r="A1006" s="40">
        <f t="array" ref="A1006">IFNA(index(PlayerValues!A:A,match(IFNA(vlookup(B1006,'Special Names'!A:B,2,FALSE),B1006),PlayerValues!E:E,0)),"N/A")</f>
        <v>16580</v>
      </c>
      <c r="B1006" s="4" t="s">
        <v>291</v>
      </c>
      <c r="C1006" s="4" t="s">
        <v>283</v>
      </c>
      <c r="D1006" s="94">
        <v>9367.0</v>
      </c>
    </row>
    <row r="1007">
      <c r="A1007" s="40">
        <f t="array" ref="A1007">IFNA(index(PlayerValues!A:A,match(IFNA(vlookup(B1007,'Special Names'!A:B,2,FALSE),B1007),PlayerValues!E:E,0)),"N/A")</f>
        <v>16211</v>
      </c>
      <c r="B1007" s="4" t="s">
        <v>294</v>
      </c>
      <c r="C1007" s="4" t="s">
        <v>287</v>
      </c>
      <c r="D1007" s="94">
        <v>9253.0</v>
      </c>
    </row>
    <row r="1008">
      <c r="A1008" s="40">
        <f t="array" ref="A1008">IFNA(index(PlayerValues!A:A,match(IFNA(vlookup(B1008,'Special Names'!A:B,2,FALSE),B1008),PlayerValues!E:E,0)),"N/A")</f>
        <v>16579</v>
      </c>
      <c r="B1008" s="4" t="s">
        <v>302</v>
      </c>
      <c r="C1008" s="4" t="s">
        <v>283</v>
      </c>
      <c r="D1008" s="94">
        <v>7752.0</v>
      </c>
    </row>
    <row r="1009">
      <c r="A1009" s="40">
        <f t="array" ref="A1009">IFNA(index(PlayerValues!A:A,match(IFNA(vlookup(B1009,'Special Names'!A:B,2,FALSE),B1009),PlayerValues!E:E,0)),"N/A")</f>
        <v>16581</v>
      </c>
      <c r="B1009" s="4" t="s">
        <v>315</v>
      </c>
      <c r="C1009" s="4" t="s">
        <v>283</v>
      </c>
      <c r="D1009" s="94">
        <v>7751.0</v>
      </c>
    </row>
    <row r="1010">
      <c r="A1010" s="40">
        <f t="array" ref="A1010">IFNA(index(PlayerValues!A:A,match(IFNA(vlookup(B1010,'Special Names'!A:B,2,FALSE),B1010),PlayerValues!E:E,0)),"N/A")</f>
        <v>16641</v>
      </c>
      <c r="B1010" s="4" t="s">
        <v>297</v>
      </c>
      <c r="C1010" s="4" t="s">
        <v>298</v>
      </c>
      <c r="D1010" s="94">
        <v>8555.0</v>
      </c>
    </row>
    <row r="1011">
      <c r="A1011" s="40">
        <f t="array" ref="A1011">IFNA(index(PlayerValues!A:A,match(IFNA(vlookup(B1011,'Special Names'!A:B,2,FALSE),B1011),PlayerValues!E:E,0)),"N/A")</f>
        <v>15287</v>
      </c>
      <c r="B1011" s="4" t="s">
        <v>299</v>
      </c>
      <c r="C1011" s="4" t="s">
        <v>287</v>
      </c>
      <c r="D1011" s="94">
        <v>7713.0</v>
      </c>
    </row>
    <row r="1012">
      <c r="A1012" s="40">
        <f t="array" ref="A1012">IFNA(index(PlayerValues!A:A,match(IFNA(vlookup(B1012,'Special Names'!A:B,2,FALSE),B1012),PlayerValues!E:E,0)),"N/A")</f>
        <v>16615</v>
      </c>
      <c r="B1012" s="4" t="s">
        <v>309</v>
      </c>
      <c r="C1012" s="4" t="s">
        <v>287</v>
      </c>
      <c r="D1012" s="94">
        <v>7709.0</v>
      </c>
    </row>
    <row r="1013">
      <c r="A1013" s="40">
        <f t="array" ref="A1013">IFNA(index(PlayerValues!A:A,match(IFNA(vlookup(B1013,'Special Names'!A:B,2,FALSE),B1013),PlayerValues!E:E,0)),"N/A")</f>
        <v>13593</v>
      </c>
      <c r="B1013" s="4" t="s">
        <v>305</v>
      </c>
      <c r="C1013" s="4" t="s">
        <v>283</v>
      </c>
      <c r="D1013" s="94">
        <v>7682.0</v>
      </c>
    </row>
    <row r="1014">
      <c r="A1014" s="40">
        <f t="array" ref="A1014">IFNA(index(PlayerValues!A:A,match(IFNA(vlookup(B1014,'Special Names'!A:B,2,FALSE),B1014),PlayerValues!E:E,0)),"N/A")</f>
        <v>14836</v>
      </c>
      <c r="B1014" s="4" t="s">
        <v>306</v>
      </c>
      <c r="C1014" s="4" t="s">
        <v>287</v>
      </c>
      <c r="D1014" s="94">
        <v>7681.0</v>
      </c>
    </row>
    <row r="1015">
      <c r="A1015" s="40">
        <f t="array" ref="A1015">IFNA(index(PlayerValues!A:A,match(IFNA(vlookup(B1015,'Special Names'!A:B,2,FALSE),B1015),PlayerValues!E:E,0)),"N/A")</f>
        <v>15794</v>
      </c>
      <c r="B1015" s="4" t="s">
        <v>313</v>
      </c>
      <c r="C1015" s="4" t="s">
        <v>298</v>
      </c>
      <c r="D1015" s="94">
        <v>8420.0</v>
      </c>
    </row>
    <row r="1016">
      <c r="A1016" s="40">
        <f t="array" ref="A1016">IFNA(index(PlayerValues!A:A,match(IFNA(vlookup(B1016,'Special Names'!A:B,2,FALSE),B1016),PlayerValues!E:E,0)),"N/A")</f>
        <v>17042</v>
      </c>
      <c r="B1016" s="4" t="s">
        <v>314</v>
      </c>
      <c r="C1016" s="4" t="s">
        <v>278</v>
      </c>
      <c r="D1016" s="94">
        <v>7477.0</v>
      </c>
    </row>
    <row r="1017">
      <c r="A1017" s="40">
        <f t="array" ref="A1017">IFNA(index(PlayerValues!A:A,match(IFNA(vlookup(B1017,'Special Names'!A:B,2,FALSE),B1017),PlayerValues!E:E,0)),"N/A")</f>
        <v>17472</v>
      </c>
      <c r="B1017" s="4" t="s">
        <v>310</v>
      </c>
      <c r="C1017" s="4" t="s">
        <v>278</v>
      </c>
      <c r="D1017" s="94">
        <v>7416.0</v>
      </c>
    </row>
    <row r="1018">
      <c r="A1018" s="40">
        <f t="array" ref="A1018">IFNA(index(PlayerValues!A:A,match(IFNA(vlookup(B1018,'Special Names'!A:B,2,FALSE),B1018),PlayerValues!E:E,0)),"N/A")</f>
        <v>14777</v>
      </c>
      <c r="B1018" s="4" t="s">
        <v>318</v>
      </c>
      <c r="C1018" s="4" t="s">
        <v>283</v>
      </c>
      <c r="D1018" s="94">
        <v>7372.0</v>
      </c>
    </row>
    <row r="1019">
      <c r="A1019" s="40">
        <f t="array" ref="A1019">IFNA(index(PlayerValues!A:A,match(IFNA(vlookup(B1019,'Special Names'!A:B,2,FALSE),B1019),PlayerValues!E:E,0)),"N/A")</f>
        <v>14832</v>
      </c>
      <c r="B1019" s="4" t="s">
        <v>319</v>
      </c>
      <c r="C1019" s="4" t="s">
        <v>287</v>
      </c>
      <c r="D1019" s="94">
        <v>7324.0</v>
      </c>
    </row>
    <row r="1020">
      <c r="A1020" s="40">
        <f t="array" ref="A1020">IFNA(index(PlayerValues!A:A,match(IFNA(vlookup(B1020,'Special Names'!A:B,2,FALSE),B1020),PlayerValues!E:E,0)),"N/A")</f>
        <v>15751</v>
      </c>
      <c r="B1020" s="4" t="s">
        <v>328</v>
      </c>
      <c r="C1020" s="4" t="s">
        <v>287</v>
      </c>
      <c r="D1020" s="94">
        <v>6947.0</v>
      </c>
    </row>
    <row r="1021">
      <c r="A1021" s="40">
        <f t="array" ref="A1021">IFNA(index(PlayerValues!A:A,match(IFNA(vlookup(B1021,'Special Names'!A:B,2,FALSE),B1021),PlayerValues!E:E,0)),"N/A")</f>
        <v>14779</v>
      </c>
      <c r="B1021" s="4" t="s">
        <v>327</v>
      </c>
      <c r="C1021" s="4" t="s">
        <v>283</v>
      </c>
      <c r="D1021" s="94">
        <v>6921.0</v>
      </c>
    </row>
    <row r="1022">
      <c r="A1022" s="40" t="str">
        <f t="array" ref="A1022">IFNA(index(PlayerValues!A:A,match(IFNA(vlookup(B1022,'Special Names'!A:B,2,FALSE),B1022),PlayerValues!E:E,0)),"N/A")</f>
        <v>N/A</v>
      </c>
      <c r="B1022" s="4" t="s">
        <v>92</v>
      </c>
      <c r="C1022" s="4" t="s">
        <v>325</v>
      </c>
      <c r="D1022" s="94">
        <v>6850.0</v>
      </c>
    </row>
    <row r="1023">
      <c r="A1023" s="40">
        <f t="array" ref="A1023">IFNA(index(PlayerValues!A:A,match(IFNA(vlookup(B1023,'Special Names'!A:B,2,FALSE),B1023),PlayerValues!E:E,0)),"N/A")</f>
        <v>16167</v>
      </c>
      <c r="B1023" s="4" t="s">
        <v>323</v>
      </c>
      <c r="C1023" s="4" t="s">
        <v>278</v>
      </c>
      <c r="D1023" s="94">
        <v>6838.0</v>
      </c>
    </row>
    <row r="1024">
      <c r="A1024" s="40">
        <f t="array" ref="A1024">IFNA(index(PlayerValues!A:A,match(IFNA(vlookup(B1024,'Special Names'!A:B,2,FALSE),B1024),PlayerValues!E:E,0)),"N/A")</f>
        <v>13116</v>
      </c>
      <c r="B1024" s="4" t="s">
        <v>345</v>
      </c>
      <c r="C1024" s="4" t="s">
        <v>283</v>
      </c>
      <c r="D1024" s="94">
        <v>6801.0</v>
      </c>
    </row>
    <row r="1025">
      <c r="A1025" s="40">
        <f t="array" ref="A1025">IFNA(index(PlayerValues!A:A,match(IFNA(vlookup(B1025,'Special Names'!A:B,2,FALSE),B1025),PlayerValues!E:E,0)),"N/A")</f>
        <v>17044</v>
      </c>
      <c r="B1025" s="4" t="s">
        <v>322</v>
      </c>
      <c r="C1025" s="4" t="s">
        <v>278</v>
      </c>
      <c r="D1025" s="94">
        <v>6763.0</v>
      </c>
    </row>
    <row r="1026">
      <c r="A1026" s="40">
        <f t="array" ref="A1026">IFNA(index(PlayerValues!A:A,match(IFNA(vlookup(B1026,'Special Names'!A:B,2,FALSE),B1026),PlayerValues!E:E,0)),"N/A")</f>
        <v>17032</v>
      </c>
      <c r="B1026" s="4" t="s">
        <v>348</v>
      </c>
      <c r="C1026" s="4" t="s">
        <v>283</v>
      </c>
      <c r="D1026" s="94">
        <v>6653.0</v>
      </c>
    </row>
    <row r="1027">
      <c r="A1027" s="40">
        <f t="array" ref="A1027">IFNA(index(PlayerValues!A:A,match(IFNA(vlookup(B1027,'Special Names'!A:B,2,FALSE),B1027),PlayerValues!E:E,0)),"N/A")</f>
        <v>17071</v>
      </c>
      <c r="B1027" s="4" t="s">
        <v>341</v>
      </c>
      <c r="C1027" s="4" t="s">
        <v>287</v>
      </c>
      <c r="D1027" s="94">
        <v>6645.0</v>
      </c>
    </row>
    <row r="1028">
      <c r="A1028" s="40">
        <f t="array" ref="A1028">IFNA(index(PlayerValues!A:A,match(IFNA(vlookup(B1028,'Special Names'!A:B,2,FALSE),B1028),PlayerValues!E:E,0)),"N/A")</f>
        <v>14783</v>
      </c>
      <c r="B1028" s="4" t="s">
        <v>342</v>
      </c>
      <c r="C1028" s="4" t="s">
        <v>283</v>
      </c>
      <c r="D1028" s="94">
        <v>6334.0</v>
      </c>
    </row>
    <row r="1029">
      <c r="A1029" s="40">
        <f t="array" ref="A1029">IFNA(index(PlayerValues!A:A,match(IFNA(vlookup(B1029,'Special Names'!A:B,2,FALSE),B1029),PlayerValues!E:E,0)),"N/A")</f>
        <v>15237</v>
      </c>
      <c r="B1029" s="4" t="s">
        <v>336</v>
      </c>
      <c r="C1029" s="4" t="s">
        <v>283</v>
      </c>
      <c r="D1029" s="94">
        <v>6284.0</v>
      </c>
    </row>
    <row r="1030">
      <c r="A1030" s="40">
        <f t="array" ref="A1030">IFNA(index(PlayerValues!A:A,match(IFNA(vlookup(B1030,'Special Names'!A:B,2,FALSE),B1030),PlayerValues!E:E,0)),"N/A")</f>
        <v>16582</v>
      </c>
      <c r="B1030" s="4" t="s">
        <v>343</v>
      </c>
      <c r="C1030" s="4" t="s">
        <v>283</v>
      </c>
      <c r="D1030" s="94">
        <v>6254.0</v>
      </c>
    </row>
    <row r="1031">
      <c r="A1031" s="40">
        <f t="array" ref="A1031">IFNA(index(PlayerValues!A:A,match(IFNA(vlookup(B1031,'Special Names'!A:B,2,FALSE),B1031),PlayerValues!E:E,0)),"N/A")</f>
        <v>15762</v>
      </c>
      <c r="B1031" s="4" t="s">
        <v>337</v>
      </c>
      <c r="C1031" s="4" t="s">
        <v>287</v>
      </c>
      <c r="D1031" s="94">
        <v>6067.0</v>
      </c>
    </row>
    <row r="1032">
      <c r="A1032" s="40">
        <f t="array" ref="A1032">IFNA(index(PlayerValues!A:A,match(IFNA(vlookup(B1032,'Special Names'!A:B,2,FALSE),B1032),PlayerValues!E:E,0)),"N/A")</f>
        <v>17081</v>
      </c>
      <c r="B1032" s="4" t="s">
        <v>340</v>
      </c>
      <c r="C1032" s="4" t="s">
        <v>287</v>
      </c>
      <c r="D1032" s="94">
        <v>5993.0</v>
      </c>
    </row>
    <row r="1033">
      <c r="A1033" s="40">
        <f t="array" ref="A1033">IFNA(index(PlayerValues!A:A,match(IFNA(vlookup(B1033,'Special Names'!A:B,2,FALSE),B1033),PlayerValues!E:E,0)),"N/A")</f>
        <v>17104</v>
      </c>
      <c r="B1033" s="4" t="s">
        <v>333</v>
      </c>
      <c r="C1033" s="4" t="s">
        <v>298</v>
      </c>
      <c r="D1033" s="94">
        <v>6658.0</v>
      </c>
    </row>
    <row r="1034">
      <c r="A1034" s="40">
        <f t="array" ref="A1034">IFNA(index(PlayerValues!A:A,match(IFNA(vlookup(B1034,'Special Names'!A:B,2,FALSE),B1034),PlayerValues!E:E,0)),"N/A")</f>
        <v>15715</v>
      </c>
      <c r="B1034" s="4" t="s">
        <v>331</v>
      </c>
      <c r="C1034" s="4" t="s">
        <v>278</v>
      </c>
      <c r="D1034" s="94">
        <v>5990.0</v>
      </c>
    </row>
    <row r="1035">
      <c r="A1035" s="40">
        <f t="array" ref="A1035">IFNA(index(PlayerValues!A:A,match(IFNA(vlookup(B1035,'Special Names'!A:B,2,FALSE),B1035),PlayerValues!E:E,0)),"N/A")</f>
        <v>14802</v>
      </c>
      <c r="B1035" s="4" t="s">
        <v>332</v>
      </c>
      <c r="C1035" s="4" t="s">
        <v>278</v>
      </c>
      <c r="D1035" s="94">
        <v>5987.0</v>
      </c>
    </row>
    <row r="1036">
      <c r="A1036" s="40">
        <f t="array" ref="A1036">IFNA(index(PlayerValues!A:A,match(IFNA(vlookup(B1036,'Special Names'!A:B,2,FALSE),B1036),PlayerValues!E:E,0)),"N/A")</f>
        <v>15698</v>
      </c>
      <c r="B1036" s="4" t="s">
        <v>358</v>
      </c>
      <c r="C1036" s="4" t="s">
        <v>283</v>
      </c>
      <c r="D1036" s="94">
        <v>5968.0</v>
      </c>
    </row>
    <row r="1037">
      <c r="A1037" s="40" t="str">
        <f t="array" ref="A1037">IFNA(index(PlayerValues!A:A,match(IFNA(vlookup(B1037,'Special Names'!A:B,2,FALSE),B1037),PlayerValues!E:E,0)),"N/A")</f>
        <v>N/A</v>
      </c>
      <c r="B1037" s="4" t="s">
        <v>79</v>
      </c>
      <c r="C1037" s="4" t="s">
        <v>325</v>
      </c>
      <c r="D1037" s="94">
        <v>5841.0</v>
      </c>
    </row>
    <row r="1038">
      <c r="A1038" s="40">
        <f t="array" ref="A1038">IFNA(index(PlayerValues!A:A,match(IFNA(vlookup(B1038,'Special Names'!A:B,2,FALSE),B1038),PlayerValues!E:E,0)),"N/A")</f>
        <v>15753</v>
      </c>
      <c r="B1038" s="4" t="s">
        <v>359</v>
      </c>
      <c r="C1038" s="4" t="s">
        <v>287</v>
      </c>
      <c r="D1038" s="94">
        <v>5774.0</v>
      </c>
    </row>
    <row r="1039">
      <c r="A1039" s="40">
        <f t="array" ref="A1039">IFNA(index(PlayerValues!A:A,match(IFNA(vlookup(B1039,'Special Names'!A:B,2,FALSE),B1039),PlayerValues!E:E,0)),"N/A")</f>
        <v>15290</v>
      </c>
      <c r="B1039" s="4" t="s">
        <v>355</v>
      </c>
      <c r="C1039" s="4" t="s">
        <v>287</v>
      </c>
      <c r="D1039" s="94">
        <v>5772.0</v>
      </c>
    </row>
    <row r="1040">
      <c r="A1040" s="40">
        <f t="array" ref="A1040">IFNA(index(PlayerValues!A:A,match(IFNA(vlookup(B1040,'Special Names'!A:B,2,FALSE),B1040),PlayerValues!E:E,0)),"N/A")</f>
        <v>15711</v>
      </c>
      <c r="B1040" s="4" t="s">
        <v>349</v>
      </c>
      <c r="C1040" s="4" t="s">
        <v>278</v>
      </c>
      <c r="D1040" s="94">
        <v>5764.0</v>
      </c>
    </row>
    <row r="1041">
      <c r="A1041" s="40">
        <f t="array" ref="A1041">IFNA(index(PlayerValues!A:A,match(IFNA(vlookup(B1041,'Special Names'!A:B,2,FALSE),B1041),PlayerValues!E:E,0)),"N/A")</f>
        <v>17102</v>
      </c>
      <c r="B1041" s="4" t="s">
        <v>344</v>
      </c>
      <c r="C1041" s="4" t="s">
        <v>298</v>
      </c>
      <c r="D1041" s="94">
        <v>6401.0</v>
      </c>
    </row>
    <row r="1042">
      <c r="A1042" s="40">
        <f t="array" ref="A1042">IFNA(index(PlayerValues!A:A,match(IFNA(vlookup(B1042,'Special Names'!A:B,2,FALSE),B1042),PlayerValues!E:E,0)),"N/A")</f>
        <v>14782</v>
      </c>
      <c r="B1042" s="4" t="s">
        <v>385</v>
      </c>
      <c r="C1042" s="4" t="s">
        <v>283</v>
      </c>
      <c r="D1042" s="94">
        <v>5698.0</v>
      </c>
    </row>
    <row r="1043">
      <c r="A1043" s="40">
        <f t="array" ref="A1043">IFNA(index(PlayerValues!A:A,match(IFNA(vlookup(B1043,'Special Names'!A:B,2,FALSE),B1043),PlayerValues!E:E,0)),"N/A")</f>
        <v>15754</v>
      </c>
      <c r="B1043" s="4" t="s">
        <v>354</v>
      </c>
      <c r="C1043" s="4" t="s">
        <v>287</v>
      </c>
      <c r="D1043" s="94">
        <v>5675.0</v>
      </c>
    </row>
    <row r="1044">
      <c r="A1044" s="40" t="str">
        <f t="array" ref="A1044">IFNA(index(PlayerValues!A:A,match(IFNA(vlookup(B1044,'Special Names'!A:B,2,FALSE),B1044),PlayerValues!E:E,0)),"N/A")</f>
        <v>N/A</v>
      </c>
      <c r="B1044" s="4" t="s">
        <v>93</v>
      </c>
      <c r="C1044" s="4" t="s">
        <v>325</v>
      </c>
      <c r="D1044" s="94">
        <v>5630.0</v>
      </c>
    </row>
    <row r="1045">
      <c r="A1045" s="40">
        <f t="array" ref="A1045">IFNA(index(PlayerValues!A:A,match(IFNA(vlookup(B1045,'Special Names'!A:B,2,FALSE),B1045),PlayerValues!E:E,0)),"N/A")</f>
        <v>17462</v>
      </c>
      <c r="B1045" s="4" t="s">
        <v>375</v>
      </c>
      <c r="C1045" s="4" t="s">
        <v>283</v>
      </c>
      <c r="D1045" s="94">
        <v>5595.0</v>
      </c>
    </row>
    <row r="1046">
      <c r="A1046" s="40">
        <f t="array" ref="A1046">IFNA(index(PlayerValues!A:A,match(IFNA(vlookup(B1046,'Special Names'!A:B,2,FALSE),B1046),PlayerValues!E:E,0)),"N/A")</f>
        <v>16616</v>
      </c>
      <c r="B1046" s="4" t="s">
        <v>389</v>
      </c>
      <c r="C1046" s="4" t="s">
        <v>287</v>
      </c>
      <c r="D1046" s="94">
        <v>5539.0</v>
      </c>
    </row>
    <row r="1047">
      <c r="A1047" s="40">
        <f t="array" ref="A1047">IFNA(index(PlayerValues!A:A,match(IFNA(vlookup(B1047,'Special Names'!A:B,2,FALSE),B1047),PlayerValues!E:E,0)),"N/A")</f>
        <v>17043</v>
      </c>
      <c r="B1047" s="4" t="s">
        <v>397</v>
      </c>
      <c r="C1047" s="4" t="s">
        <v>278</v>
      </c>
      <c r="D1047" s="94">
        <v>5474.0</v>
      </c>
    </row>
    <row r="1048">
      <c r="A1048" s="40">
        <f t="array" ref="A1048">IFNA(index(PlayerValues!A:A,match(IFNA(vlookup(B1048,'Special Names'!A:B,2,FALSE),B1048),PlayerValues!E:E,0)),"N/A")</f>
        <v>17051</v>
      </c>
      <c r="B1048" s="4" t="s">
        <v>386</v>
      </c>
      <c r="C1048" s="4" t="s">
        <v>278</v>
      </c>
      <c r="D1048" s="94">
        <v>5421.0</v>
      </c>
    </row>
    <row r="1049">
      <c r="A1049" s="40">
        <f t="array" ref="A1049">IFNA(index(PlayerValues!A:A,match(IFNA(vlookup(B1049,'Special Names'!A:B,2,FALSE),B1049),PlayerValues!E:E,0)),"N/A")</f>
        <v>16627</v>
      </c>
      <c r="B1049" s="4" t="s">
        <v>351</v>
      </c>
      <c r="C1049" s="4" t="s">
        <v>287</v>
      </c>
      <c r="D1049" s="94">
        <v>5399.0</v>
      </c>
    </row>
    <row r="1050">
      <c r="A1050" s="40">
        <f t="array" ref="A1050">IFNA(index(PlayerValues!A:A,match(IFNA(vlookup(B1050,'Special Names'!A:B,2,FALSE),B1050),PlayerValues!E:E,0)),"N/A")</f>
        <v>17070</v>
      </c>
      <c r="B1050" s="4" t="s">
        <v>370</v>
      </c>
      <c r="C1050" s="4" t="s">
        <v>287</v>
      </c>
      <c r="D1050" s="94">
        <v>5376.0</v>
      </c>
    </row>
    <row r="1051">
      <c r="A1051" s="40">
        <f t="array" ref="A1051">IFNA(index(PlayerValues!A:A,match(IFNA(vlookup(B1051,'Special Names'!A:B,2,FALSE),B1051),PlayerValues!E:E,0)),"N/A")</f>
        <v>15708</v>
      </c>
      <c r="B1051" s="4" t="s">
        <v>382</v>
      </c>
      <c r="C1051" s="4" t="s">
        <v>278</v>
      </c>
      <c r="D1051" s="94">
        <v>5354.0</v>
      </c>
    </row>
    <row r="1052">
      <c r="A1052" s="40">
        <f t="array" ref="A1052">IFNA(index(PlayerValues!A:A,match(IFNA(vlookup(B1052,'Special Names'!A:B,2,FALSE),B1052),PlayerValues!E:E,0)),"N/A")</f>
        <v>17497</v>
      </c>
      <c r="B1052" s="4" t="s">
        <v>365</v>
      </c>
      <c r="C1052" s="4" t="s">
        <v>287</v>
      </c>
      <c r="D1052" s="94">
        <v>5201.0</v>
      </c>
    </row>
    <row r="1053">
      <c r="A1053" s="40">
        <f t="array" ref="A1053">IFNA(index(PlayerValues!A:A,match(IFNA(vlookup(B1053,'Special Names'!A:B,2,FALSE),B1053),PlayerValues!E:E,0)),"N/A")</f>
        <v>17030</v>
      </c>
      <c r="B1053" s="4" t="s">
        <v>406</v>
      </c>
      <c r="C1053" s="4" t="s">
        <v>283</v>
      </c>
      <c r="D1053" s="94">
        <v>5147.0</v>
      </c>
    </row>
    <row r="1054">
      <c r="A1054" s="40">
        <f t="array" ref="A1054">IFNA(index(PlayerValues!A:A,match(IFNA(vlookup(B1054,'Special Names'!A:B,2,FALSE),B1054),PlayerValues!E:E,0)),"N/A")</f>
        <v>13130</v>
      </c>
      <c r="B1054" s="4" t="s">
        <v>374</v>
      </c>
      <c r="C1054" s="4" t="s">
        <v>278</v>
      </c>
      <c r="D1054" s="94">
        <v>5130.0</v>
      </c>
    </row>
    <row r="1055">
      <c r="A1055" s="40">
        <f t="array" ref="A1055">IFNA(index(PlayerValues!A:A,match(IFNA(vlookup(B1055,'Special Names'!A:B,2,FALSE),B1055),PlayerValues!E:E,0)),"N/A")</f>
        <v>17499</v>
      </c>
      <c r="B1055" s="4" t="s">
        <v>402</v>
      </c>
      <c r="C1055" s="4" t="s">
        <v>287</v>
      </c>
      <c r="D1055" s="94">
        <v>5100.0</v>
      </c>
    </row>
    <row r="1056">
      <c r="A1056" s="40">
        <f t="array" ref="A1056">IFNA(index(PlayerValues!A:A,match(IFNA(vlookup(B1056,'Special Names'!A:B,2,FALSE),B1056),PlayerValues!E:E,0)),"N/A")</f>
        <v>16598</v>
      </c>
      <c r="B1056" s="4" t="s">
        <v>408</v>
      </c>
      <c r="C1056" s="4" t="s">
        <v>278</v>
      </c>
      <c r="D1056" s="94">
        <v>5093.0</v>
      </c>
    </row>
    <row r="1057">
      <c r="A1057" s="40">
        <f t="array" ref="A1057">IFNA(index(PlayerValues!A:A,match(IFNA(vlookup(B1057,'Special Names'!A:B,2,FALSE),B1057),PlayerValues!E:E,0)),"N/A")</f>
        <v>12620</v>
      </c>
      <c r="B1057" s="4" t="s">
        <v>394</v>
      </c>
      <c r="C1057" s="4" t="s">
        <v>283</v>
      </c>
      <c r="D1057" s="94">
        <v>5061.0</v>
      </c>
    </row>
    <row r="1058">
      <c r="A1058" s="40">
        <f t="array" ref="A1058">IFNA(index(PlayerValues!A:A,match(IFNA(vlookup(B1058,'Special Names'!A:B,2,FALSE),B1058),PlayerValues!E:E,0)),"N/A")</f>
        <v>16614</v>
      </c>
      <c r="B1058" s="4" t="s">
        <v>403</v>
      </c>
      <c r="C1058" s="4" t="s">
        <v>287</v>
      </c>
      <c r="D1058" s="94">
        <v>4999.0</v>
      </c>
    </row>
    <row r="1059">
      <c r="A1059" s="40" t="str">
        <f t="array" ref="A1059">IFNA(index(PlayerValues!A:A,match(IFNA(vlookup(B1059,'Special Names'!A:B,2,FALSE),B1059),PlayerValues!E:E,0)),"N/A")</f>
        <v>N/A</v>
      </c>
      <c r="B1059" s="4" t="s">
        <v>104</v>
      </c>
      <c r="C1059" s="4" t="s">
        <v>325</v>
      </c>
      <c r="D1059" s="94">
        <v>4990.0</v>
      </c>
    </row>
    <row r="1060">
      <c r="A1060" s="40">
        <f t="array" ref="A1060">IFNA(index(PlayerValues!A:A,match(IFNA(vlookup(B1060,'Special Names'!A:B,2,FALSE),B1060),PlayerValues!E:E,0)),"N/A")</f>
        <v>16181</v>
      </c>
      <c r="B1060" s="4" t="s">
        <v>350</v>
      </c>
      <c r="C1060" s="4" t="s">
        <v>278</v>
      </c>
      <c r="D1060" s="94">
        <v>4962.0</v>
      </c>
    </row>
    <row r="1061">
      <c r="A1061" s="40">
        <f t="array" ref="A1061">IFNA(index(PlayerValues!A:A,match(IFNA(vlookup(B1061,'Special Names'!A:B,2,FALSE),B1061),PlayerValues!E:E,0)),"N/A")</f>
        <v>17103</v>
      </c>
      <c r="B1061" s="4" t="s">
        <v>405</v>
      </c>
      <c r="C1061" s="4" t="s">
        <v>298</v>
      </c>
      <c r="D1061" s="94">
        <v>5536.0</v>
      </c>
    </row>
    <row r="1062">
      <c r="A1062" s="40">
        <f t="array" ref="A1062">IFNA(index(PlayerValues!A:A,match(IFNA(vlookup(B1062,'Special Names'!A:B,2,FALSE),B1062),PlayerValues!E:E,0)),"N/A")</f>
        <v>16618</v>
      </c>
      <c r="B1062" s="4" t="s">
        <v>411</v>
      </c>
      <c r="C1062" s="4" t="s">
        <v>287</v>
      </c>
      <c r="D1062" s="94">
        <v>4929.0</v>
      </c>
    </row>
    <row r="1063">
      <c r="A1063" s="40">
        <f t="array" ref="A1063">IFNA(index(PlayerValues!A:A,match(IFNA(vlookup(B1063,'Special Names'!A:B,2,FALSE),B1063),PlayerValues!E:E,0)),"N/A")</f>
        <v>15282</v>
      </c>
      <c r="B1063" s="4" t="s">
        <v>364</v>
      </c>
      <c r="C1063" s="4" t="s">
        <v>287</v>
      </c>
      <c r="D1063" s="94">
        <v>4919.0</v>
      </c>
    </row>
    <row r="1064">
      <c r="A1064" s="40">
        <f t="array" ref="A1064">IFNA(index(PlayerValues!A:A,match(IFNA(vlookup(B1064,'Special Names'!A:B,2,FALSE),B1064),PlayerValues!E:E,0)),"N/A")</f>
        <v>14835</v>
      </c>
      <c r="B1064" s="4" t="s">
        <v>392</v>
      </c>
      <c r="C1064" s="4" t="s">
        <v>287</v>
      </c>
      <c r="D1064" s="94">
        <v>4917.0</v>
      </c>
    </row>
    <row r="1065">
      <c r="A1065" s="40">
        <f t="array" ref="A1065">IFNA(index(PlayerValues!A:A,match(IFNA(vlookup(B1065,'Special Names'!A:B,2,FALSE),B1065),PlayerValues!E:E,0)),"N/A")</f>
        <v>13604</v>
      </c>
      <c r="B1065" s="4" t="s">
        <v>378</v>
      </c>
      <c r="C1065" s="4" t="s">
        <v>278</v>
      </c>
      <c r="D1065" s="94">
        <v>4911.0</v>
      </c>
    </row>
    <row r="1066">
      <c r="A1066" s="40">
        <f t="array" ref="A1066">IFNA(index(PlayerValues!A:A,match(IFNA(vlookup(B1066,'Special Names'!A:B,2,FALSE),B1066),PlayerValues!E:E,0)),"N/A")</f>
        <v>15284</v>
      </c>
      <c r="B1066" s="4" t="s">
        <v>390</v>
      </c>
      <c r="C1066" s="4" t="s">
        <v>287</v>
      </c>
      <c r="D1066" s="94">
        <v>4867.0</v>
      </c>
    </row>
    <row r="1067">
      <c r="A1067" s="40">
        <f t="array" ref="A1067">IFNA(index(PlayerValues!A:A,match(IFNA(vlookup(B1067,'Special Names'!A:B,2,FALSE),B1067),PlayerValues!E:E,0)),"N/A")</f>
        <v>15710</v>
      </c>
      <c r="B1067" s="4" t="s">
        <v>395</v>
      </c>
      <c r="C1067" s="4" t="s">
        <v>278</v>
      </c>
      <c r="D1067" s="94">
        <v>4845.0</v>
      </c>
    </row>
    <row r="1068">
      <c r="A1068" s="40">
        <f t="array" ref="A1068">IFNA(index(PlayerValues!A:A,match(IFNA(vlookup(B1068,'Special Names'!A:B,2,FALSE),B1068),PlayerValues!E:E,0)),"N/A")</f>
        <v>17498</v>
      </c>
      <c r="B1068" s="4" t="s">
        <v>396</v>
      </c>
      <c r="C1068" s="4" t="s">
        <v>287</v>
      </c>
      <c r="D1068" s="94">
        <v>4811.0</v>
      </c>
    </row>
    <row r="1069">
      <c r="A1069" s="40">
        <f t="array" ref="A1069">IFNA(index(PlayerValues!A:A,match(IFNA(vlookup(B1069,'Special Names'!A:B,2,FALSE),B1069),PlayerValues!E:E,0)),"N/A")</f>
        <v>16194</v>
      </c>
      <c r="B1069" s="4" t="s">
        <v>398</v>
      </c>
      <c r="C1069" s="4" t="s">
        <v>287</v>
      </c>
      <c r="D1069" s="94">
        <v>4801.0</v>
      </c>
    </row>
    <row r="1070">
      <c r="A1070" s="40">
        <f t="array" ref="A1070">IFNA(index(PlayerValues!A:A,match(IFNA(vlookup(B1070,'Special Names'!A:B,2,FALSE),B1070),PlayerValues!E:E,0)),"N/A")</f>
        <v>16150</v>
      </c>
      <c r="B1070" s="4" t="s">
        <v>414</v>
      </c>
      <c r="C1070" s="4" t="s">
        <v>283</v>
      </c>
      <c r="D1070" s="94">
        <v>4794.0</v>
      </c>
    </row>
    <row r="1071">
      <c r="A1071" s="40">
        <f t="array" ref="A1071">IFNA(index(PlayerValues!A:A,match(IFNA(vlookup(B1071,'Special Names'!A:B,2,FALSE),B1071),PlayerValues!E:E,0)),"N/A")</f>
        <v>14104</v>
      </c>
      <c r="B1071" s="4" t="s">
        <v>379</v>
      </c>
      <c r="C1071" s="4" t="s">
        <v>287</v>
      </c>
      <c r="D1071" s="94">
        <v>4786.0</v>
      </c>
    </row>
    <row r="1072">
      <c r="A1072" s="40">
        <f t="array" ref="A1072">IFNA(index(PlayerValues!A:A,match(IFNA(vlookup(B1072,'Special Names'!A:B,2,FALSE),B1072),PlayerValues!E:E,0)),"N/A")</f>
        <v>16222</v>
      </c>
      <c r="B1072" s="4" t="s">
        <v>393</v>
      </c>
      <c r="C1072" s="4" t="s">
        <v>298</v>
      </c>
      <c r="D1072" s="94">
        <v>5348.0</v>
      </c>
    </row>
    <row r="1073">
      <c r="A1073" s="40" t="str">
        <f t="array" ref="A1073">IFNA(index(PlayerValues!A:A,match(IFNA(vlookup(B1073,'Special Names'!A:B,2,FALSE),B1073),PlayerValues!E:E,0)),"N/A")</f>
        <v>N/A</v>
      </c>
      <c r="B1073" s="4" t="s">
        <v>94</v>
      </c>
      <c r="C1073" s="4" t="s">
        <v>325</v>
      </c>
      <c r="D1073" s="94">
        <v>4784.0</v>
      </c>
    </row>
    <row r="1074">
      <c r="A1074" s="40">
        <f t="array" ref="A1074">IFNA(index(PlayerValues!A:A,match(IFNA(vlookup(B1074,'Special Names'!A:B,2,FALSE),B1074),PlayerValues!E:E,0)),"N/A")</f>
        <v>13590</v>
      </c>
      <c r="B1074" s="4" t="s">
        <v>409</v>
      </c>
      <c r="C1074" s="4" t="s">
        <v>283</v>
      </c>
      <c r="D1074" s="94">
        <v>4782.0</v>
      </c>
    </row>
    <row r="1075">
      <c r="A1075" s="40">
        <f t="array" ref="A1075">IFNA(index(PlayerValues!A:A,match(IFNA(vlookup(B1075,'Special Names'!A:B,2,FALSE),B1075),PlayerValues!E:E,0)),"N/A")</f>
        <v>15756</v>
      </c>
      <c r="B1075" s="4" t="s">
        <v>399</v>
      </c>
      <c r="C1075" s="4" t="s">
        <v>287</v>
      </c>
      <c r="D1075" s="94">
        <v>4773.0</v>
      </c>
    </row>
    <row r="1076">
      <c r="A1076" s="40">
        <f t="array" ref="A1076">IFNA(index(PlayerValues!A:A,match(IFNA(vlookup(B1076,'Special Names'!A:B,2,FALSE),B1076),PlayerValues!E:E,0)),"N/A")</f>
        <v>13592</v>
      </c>
      <c r="B1076" s="4" t="s">
        <v>418</v>
      </c>
      <c r="C1076" s="4" t="s">
        <v>283</v>
      </c>
      <c r="D1076" s="94">
        <v>4768.0</v>
      </c>
    </row>
    <row r="1077">
      <c r="A1077" s="40" t="str">
        <f t="array" ref="A1077">IFNA(index(PlayerValues!A:A,match(IFNA(vlookup(B1077,'Special Names'!A:B,2,FALSE),B1077),PlayerValues!E:E,0)),"N/A")</f>
        <v>N/A</v>
      </c>
      <c r="B1077" s="4" t="s">
        <v>80</v>
      </c>
      <c r="C1077" s="4" t="s">
        <v>325</v>
      </c>
      <c r="D1077" s="94">
        <v>4750.0</v>
      </c>
    </row>
    <row r="1078">
      <c r="A1078" s="40">
        <f t="array" ref="A1078">IFNA(index(PlayerValues!A:A,match(IFNA(vlookup(B1078,'Special Names'!A:B,2,FALSE),B1078),PlayerValues!E:E,0)),"N/A")</f>
        <v>16190</v>
      </c>
      <c r="B1078" s="4" t="s">
        <v>371</v>
      </c>
      <c r="C1078" s="4" t="s">
        <v>287</v>
      </c>
      <c r="D1078" s="94">
        <v>4698.0</v>
      </c>
    </row>
    <row r="1079">
      <c r="A1079" s="40">
        <f t="array" ref="A1079">IFNA(index(PlayerValues!A:A,match(IFNA(vlookup(B1079,'Special Names'!A:B,2,FALSE),B1079),PlayerValues!E:E,0)),"N/A")</f>
        <v>15253</v>
      </c>
      <c r="B1079" s="4" t="s">
        <v>415</v>
      </c>
      <c r="C1079" s="4" t="s">
        <v>278</v>
      </c>
      <c r="D1079" s="94">
        <v>4697.0</v>
      </c>
    </row>
    <row r="1080">
      <c r="A1080" s="40">
        <f t="array" ref="A1080">IFNA(index(PlayerValues!A:A,match(IFNA(vlookup(B1080,'Special Names'!A:B,2,FALSE),B1080),PlayerValues!E:E,0)),"N/A")</f>
        <v>12611</v>
      </c>
      <c r="B1080" s="4" t="s">
        <v>410</v>
      </c>
      <c r="C1080" s="4" t="s">
        <v>283</v>
      </c>
      <c r="D1080" s="94">
        <v>4676.0</v>
      </c>
    </row>
    <row r="1081">
      <c r="A1081" s="40">
        <f t="array" ref="A1081">IFNA(index(PlayerValues!A:A,match(IFNA(vlookup(B1081,'Special Names'!A:B,2,FALSE),B1081),PlayerValues!E:E,0)),"N/A")</f>
        <v>17039</v>
      </c>
      <c r="B1081" s="4" t="s">
        <v>400</v>
      </c>
      <c r="C1081" s="4" t="s">
        <v>283</v>
      </c>
      <c r="D1081" s="94">
        <v>4632.0</v>
      </c>
    </row>
    <row r="1082">
      <c r="A1082" s="40">
        <f t="array" ref="A1082">IFNA(index(PlayerValues!A:A,match(IFNA(vlookup(B1082,'Special Names'!A:B,2,FALSE),B1082),PlayerValues!E:E,0)),"N/A")</f>
        <v>14073</v>
      </c>
      <c r="B1082" s="4" t="s">
        <v>464</v>
      </c>
      <c r="C1082" s="4" t="s">
        <v>278</v>
      </c>
      <c r="D1082" s="94">
        <v>4594.0</v>
      </c>
    </row>
    <row r="1083">
      <c r="A1083" s="40">
        <f t="array" ref="A1083">IFNA(index(PlayerValues!A:A,match(IFNA(vlookup(B1083,'Special Names'!A:B,2,FALSE),B1083),PlayerValues!E:E,0)),"N/A")</f>
        <v>15256</v>
      </c>
      <c r="B1083" s="4" t="s">
        <v>401</v>
      </c>
      <c r="C1083" s="4" t="s">
        <v>278</v>
      </c>
      <c r="D1083" s="94">
        <v>4576.0</v>
      </c>
    </row>
    <row r="1084">
      <c r="A1084" s="40">
        <f t="array" ref="A1084">IFNA(index(PlayerValues!A:A,match(IFNA(vlookup(B1084,'Special Names'!A:B,2,FALSE),B1084),PlayerValues!E:E,0)),"N/A")</f>
        <v>16214</v>
      </c>
      <c r="B1084" s="4" t="s">
        <v>413</v>
      </c>
      <c r="C1084" s="4" t="s">
        <v>298</v>
      </c>
      <c r="D1084" s="94">
        <v>5097.0</v>
      </c>
    </row>
    <row r="1085">
      <c r="A1085" s="40" t="str">
        <f t="array" ref="A1085">IFNA(index(PlayerValues!A:A,match(IFNA(vlookup(B1085,'Special Names'!A:B,2,FALSE),B1085),PlayerValues!E:E,0)),"N/A")</f>
        <v>N/A</v>
      </c>
      <c r="B1085" s="4" t="s">
        <v>105</v>
      </c>
      <c r="C1085" s="4" t="s">
        <v>325</v>
      </c>
      <c r="D1085" s="94">
        <v>4539.0</v>
      </c>
    </row>
    <row r="1086">
      <c r="A1086" s="40">
        <f t="array" ref="A1086">IFNA(index(PlayerValues!A:A,match(IFNA(vlookup(B1086,'Special Names'!A:B,2,FALSE),B1086),PlayerValues!E:E,0)),"N/A")</f>
        <v>15329</v>
      </c>
      <c r="B1086" s="4" t="s">
        <v>416</v>
      </c>
      <c r="C1086" s="4" t="s">
        <v>298</v>
      </c>
      <c r="D1086" s="94">
        <v>5084.0</v>
      </c>
    </row>
    <row r="1087">
      <c r="A1087" s="40">
        <f t="array" ref="A1087">IFNA(index(PlayerValues!A:A,match(IFNA(vlookup(B1087,'Special Names'!A:B,2,FALSE),B1087),PlayerValues!E:E,0)),"N/A")</f>
        <v>17045</v>
      </c>
      <c r="B1087" s="4" t="s">
        <v>407</v>
      </c>
      <c r="C1087" s="4" t="s">
        <v>278</v>
      </c>
      <c r="D1087" s="94">
        <v>4525.0</v>
      </c>
    </row>
    <row r="1088">
      <c r="A1088" s="40">
        <f t="array" ref="A1088">IFNA(index(PlayerValues!A:A,match(IFNA(vlookup(B1088,'Special Names'!A:B,2,FALSE),B1088),PlayerValues!E:E,0)),"N/A")</f>
        <v>16148</v>
      </c>
      <c r="B1088" s="4" t="s">
        <v>426</v>
      </c>
      <c r="C1088" s="4" t="s">
        <v>283</v>
      </c>
      <c r="D1088" s="94">
        <v>4518.0</v>
      </c>
    </row>
    <row r="1089">
      <c r="A1089" s="40">
        <f t="array" ref="A1089">IFNA(index(PlayerValues!A:A,match(IFNA(vlookup(B1089,'Special Names'!A:B,2,FALSE),B1089),PlayerValues!E:E,0)),"N/A")</f>
        <v>17543</v>
      </c>
      <c r="B1089" s="4" t="s">
        <v>436</v>
      </c>
      <c r="C1089" s="4" t="s">
        <v>298</v>
      </c>
      <c r="D1089" s="94">
        <v>4944.0</v>
      </c>
    </row>
    <row r="1090">
      <c r="A1090" s="40">
        <f t="array" ref="A1090">IFNA(index(PlayerValues!A:A,match(IFNA(vlookup(B1090,'Special Names'!A:B,2,FALSE),B1090),PlayerValues!E:E,0)),"N/A")</f>
        <v>14056</v>
      </c>
      <c r="B1090" s="4" t="s">
        <v>423</v>
      </c>
      <c r="C1090" s="4" t="s">
        <v>283</v>
      </c>
      <c r="D1090" s="94">
        <v>4398.0</v>
      </c>
    </row>
    <row r="1091">
      <c r="A1091" s="40">
        <f t="array" ref="A1091">IFNA(index(PlayerValues!A:A,match(IFNA(vlookup(B1091,'Special Names'!A:B,2,FALSE),B1091),PlayerValues!E:E,0)),"N/A")</f>
        <v>15768</v>
      </c>
      <c r="B1091" s="4" t="s">
        <v>432</v>
      </c>
      <c r="C1091" s="4" t="s">
        <v>287</v>
      </c>
      <c r="D1091" s="94">
        <v>4340.0</v>
      </c>
    </row>
    <row r="1092">
      <c r="A1092" s="40">
        <f t="array" ref="A1092">IFNA(index(PlayerValues!A:A,match(IFNA(vlookup(B1092,'Special Names'!A:B,2,FALSE),B1092),PlayerValues!E:E,0)),"N/A")</f>
        <v>14059</v>
      </c>
      <c r="B1092" s="4" t="s">
        <v>435</v>
      </c>
      <c r="C1092" s="4" t="s">
        <v>283</v>
      </c>
      <c r="D1092" s="94">
        <v>4274.0</v>
      </c>
    </row>
    <row r="1093">
      <c r="A1093" s="40">
        <f t="array" ref="A1093">IFNA(index(PlayerValues!A:A,match(IFNA(vlookup(B1093,'Special Names'!A:B,2,FALSE),B1093),PlayerValues!E:E,0)),"N/A")</f>
        <v>15694</v>
      </c>
      <c r="B1093" s="4" t="s">
        <v>434</v>
      </c>
      <c r="C1093" s="4" t="s">
        <v>283</v>
      </c>
      <c r="D1093" s="94">
        <v>4123.0</v>
      </c>
    </row>
    <row r="1094">
      <c r="A1094" s="40">
        <f t="array" ref="A1094">IFNA(index(PlayerValues!A:A,match(IFNA(vlookup(B1094,'Special Names'!A:B,2,FALSE),B1094),PlayerValues!E:E,0)),"N/A")</f>
        <v>17052</v>
      </c>
      <c r="B1094" s="4" t="s">
        <v>417</v>
      </c>
      <c r="C1094" s="4" t="s">
        <v>278</v>
      </c>
      <c r="D1094" s="94">
        <v>3939.0</v>
      </c>
    </row>
    <row r="1095">
      <c r="A1095" s="40" t="str">
        <f t="array" ref="A1095">IFNA(index(PlayerValues!A:A,match(IFNA(vlookup(B1095,'Special Names'!A:B,2,FALSE),B1095),PlayerValues!E:E,0)),"N/A")</f>
        <v>N/A</v>
      </c>
      <c r="B1095" s="4" t="s">
        <v>107</v>
      </c>
      <c r="C1095" s="4" t="s">
        <v>325</v>
      </c>
      <c r="D1095" s="94">
        <v>3938.0</v>
      </c>
    </row>
    <row r="1096">
      <c r="A1096" s="40" t="str">
        <f t="array" ref="A1096">IFNA(index(PlayerValues!A:A,match(IFNA(vlookup(B1096,'Special Names'!A:B,2,FALSE),B1096),PlayerValues!E:E,0)),"N/A")</f>
        <v>N/A</v>
      </c>
      <c r="B1096" s="4" t="s">
        <v>81</v>
      </c>
      <c r="C1096" s="4" t="s">
        <v>325</v>
      </c>
      <c r="D1096" s="94">
        <v>3927.0</v>
      </c>
    </row>
    <row r="1097">
      <c r="A1097" s="40">
        <f t="array" ref="A1097">IFNA(index(PlayerValues!A:A,match(IFNA(vlookup(B1097,'Special Names'!A:B,2,FALSE),B1097),PlayerValues!E:E,0)),"N/A")</f>
        <v>16186</v>
      </c>
      <c r="B1097" s="4" t="s">
        <v>425</v>
      </c>
      <c r="C1097" s="4" t="s">
        <v>287</v>
      </c>
      <c r="D1097" s="94">
        <v>3926.0</v>
      </c>
    </row>
    <row r="1098">
      <c r="A1098" s="40">
        <f t="array" ref="A1098">IFNA(index(PlayerValues!A:A,match(IFNA(vlookup(B1098,'Special Names'!A:B,2,FALSE),B1098),PlayerValues!E:E,0)),"N/A")</f>
        <v>13635</v>
      </c>
      <c r="B1098" s="4" t="s">
        <v>424</v>
      </c>
      <c r="C1098" s="4" t="s">
        <v>287</v>
      </c>
      <c r="D1098" s="94">
        <v>3905.0</v>
      </c>
    </row>
    <row r="1099">
      <c r="A1099" s="40">
        <f t="array" ref="A1099">IFNA(index(PlayerValues!A:A,match(IFNA(vlookup(B1099,'Special Names'!A:B,2,FALSE),B1099),PlayerValues!E:E,0)),"N/A")</f>
        <v>17099</v>
      </c>
      <c r="B1099" s="4" t="s">
        <v>474</v>
      </c>
      <c r="C1099" s="4" t="s">
        <v>298</v>
      </c>
      <c r="D1099" s="94">
        <v>4349.0</v>
      </c>
    </row>
    <row r="1100">
      <c r="A1100" s="40">
        <f t="array" ref="A1100">IFNA(index(PlayerValues!A:A,match(IFNA(vlookup(B1100,'Special Names'!A:B,2,FALSE),B1100),PlayerValues!E:E,0)),"N/A")</f>
        <v>12626</v>
      </c>
      <c r="B1100" s="4" t="s">
        <v>419</v>
      </c>
      <c r="C1100" s="4" t="s">
        <v>278</v>
      </c>
      <c r="D1100" s="94">
        <v>3771.0</v>
      </c>
    </row>
    <row r="1101">
      <c r="A1101" s="40">
        <f t="array" ref="A1101">IFNA(index(PlayerValues!A:A,match(IFNA(vlookup(B1101,'Special Names'!A:B,2,FALSE),B1101),PlayerValues!E:E,0)),"N/A")</f>
        <v>17068</v>
      </c>
      <c r="B1101" s="4" t="s">
        <v>450</v>
      </c>
      <c r="C1101" s="4" t="s">
        <v>278</v>
      </c>
      <c r="D1101" s="94">
        <v>3761.0</v>
      </c>
    </row>
    <row r="1102">
      <c r="A1102" s="40">
        <f t="array" ref="A1102">IFNA(index(PlayerValues!A:A,match(IFNA(vlookup(B1102,'Special Names'!A:B,2,FALSE),B1102),PlayerValues!E:E,0)),"N/A")</f>
        <v>9431</v>
      </c>
      <c r="B1102" s="4" t="s">
        <v>428</v>
      </c>
      <c r="C1102" s="4" t="s">
        <v>283</v>
      </c>
      <c r="D1102" s="94">
        <v>3747.0</v>
      </c>
    </row>
    <row r="1103">
      <c r="A1103" s="40">
        <f t="array" ref="A1103">IFNA(index(PlayerValues!A:A,match(IFNA(vlookup(B1103,'Special Names'!A:B,2,FALSE),B1103),PlayerValues!E:E,0)),"N/A")</f>
        <v>17501</v>
      </c>
      <c r="B1103" s="4" t="s">
        <v>404</v>
      </c>
      <c r="C1103" s="4" t="s">
        <v>287</v>
      </c>
      <c r="D1103" s="94">
        <v>3740.0</v>
      </c>
    </row>
    <row r="1104">
      <c r="A1104" s="40" t="str">
        <f t="array" ref="A1104">IFNA(index(PlayerValues!A:A,match(IFNA(vlookup(B1104,'Special Names'!A:B,2,FALSE),B1104),PlayerValues!E:E,0)),"N/A")</f>
        <v>N/A</v>
      </c>
      <c r="B1104" s="4" t="s">
        <v>95</v>
      </c>
      <c r="C1104" s="4" t="s">
        <v>325</v>
      </c>
      <c r="D1104" s="94">
        <v>3734.0</v>
      </c>
    </row>
    <row r="1105">
      <c r="A1105" s="40">
        <f t="array" ref="A1105">IFNA(index(PlayerValues!A:A,match(IFNA(vlookup(B1105,'Special Names'!A:B,2,FALSE),B1105),PlayerValues!E:E,0)),"N/A")</f>
        <v>16206</v>
      </c>
      <c r="B1105" s="4" t="s">
        <v>431</v>
      </c>
      <c r="C1105" s="4" t="s">
        <v>287</v>
      </c>
      <c r="D1105" s="94">
        <v>3731.0</v>
      </c>
    </row>
    <row r="1106">
      <c r="A1106" s="40">
        <f t="array" ref="A1106">IFNA(index(PlayerValues!A:A,match(IFNA(vlookup(B1106,'Special Names'!A:B,2,FALSE),B1106),PlayerValues!E:E,0)),"N/A")</f>
        <v>16169</v>
      </c>
      <c r="B1106" s="4" t="s">
        <v>457</v>
      </c>
      <c r="C1106" s="4" t="s">
        <v>278</v>
      </c>
      <c r="D1106" s="94">
        <v>3725.0</v>
      </c>
    </row>
    <row r="1107">
      <c r="A1107" s="40">
        <f t="array" ref="A1107">IFNA(index(PlayerValues!A:A,match(IFNA(vlookup(B1107,'Special Names'!A:B,2,FALSE),B1107),PlayerValues!E:E,0)),"N/A")</f>
        <v>15757</v>
      </c>
      <c r="B1107" s="4" t="s">
        <v>449</v>
      </c>
      <c r="C1107" s="4" t="s">
        <v>287</v>
      </c>
      <c r="D1107" s="94">
        <v>3707.0</v>
      </c>
    </row>
    <row r="1108">
      <c r="A1108" s="40">
        <f t="array" ref="A1108">IFNA(index(PlayerValues!A:A,match(IFNA(vlookup(B1108,'Special Names'!A:B,2,FALSE),B1108),PlayerValues!E:E,0)),"N/A")</f>
        <v>15779</v>
      </c>
      <c r="B1108" s="4" t="s">
        <v>461</v>
      </c>
      <c r="C1108" s="4" t="s">
        <v>287</v>
      </c>
      <c r="D1108" s="94">
        <v>3688.0</v>
      </c>
    </row>
    <row r="1109">
      <c r="A1109" s="40">
        <f t="array" ref="A1109">IFNA(index(PlayerValues!A:A,match(IFNA(vlookup(B1109,'Special Names'!A:B,2,FALSE),B1109),PlayerValues!E:E,0)),"N/A")</f>
        <v>17074</v>
      </c>
      <c r="B1109" s="4" t="s">
        <v>475</v>
      </c>
      <c r="C1109" s="4" t="s">
        <v>287</v>
      </c>
      <c r="D1109" s="94">
        <v>3668.0</v>
      </c>
    </row>
    <row r="1110">
      <c r="A1110" s="40">
        <f t="array" ref="A1110">IFNA(index(PlayerValues!A:A,match(IFNA(vlookup(B1110,'Special Names'!A:B,2,FALSE),B1110),PlayerValues!E:E,0)),"N/A")</f>
        <v>15789</v>
      </c>
      <c r="B1110" s="4" t="s">
        <v>421</v>
      </c>
      <c r="C1110" s="4" t="s">
        <v>287</v>
      </c>
      <c r="D1110" s="94">
        <v>3660.0</v>
      </c>
    </row>
    <row r="1111">
      <c r="A1111" s="40">
        <f t="array" ref="A1111">IFNA(index(PlayerValues!A:A,match(IFNA(vlookup(B1111,'Special Names'!A:B,2,FALSE),B1111),PlayerValues!E:E,0)),"N/A")</f>
        <v>14102</v>
      </c>
      <c r="B1111" s="4" t="s">
        <v>444</v>
      </c>
      <c r="C1111" s="4" t="s">
        <v>287</v>
      </c>
      <c r="D1111" s="94">
        <v>3638.0</v>
      </c>
    </row>
    <row r="1112">
      <c r="A1112" s="40">
        <f t="array" ref="A1112">IFNA(index(PlayerValues!A:A,match(IFNA(vlookup(B1112,'Special Names'!A:B,2,FALSE),B1112),PlayerValues!E:E,0)),"N/A")</f>
        <v>16622</v>
      </c>
      <c r="B1112" s="4" t="s">
        <v>517</v>
      </c>
      <c r="C1112" s="4" t="s">
        <v>287</v>
      </c>
      <c r="D1112" s="94">
        <v>3614.0</v>
      </c>
    </row>
    <row r="1113">
      <c r="A1113" s="40">
        <f t="array" ref="A1113">IFNA(index(PlayerValues!A:A,match(IFNA(vlookup(B1113,'Special Names'!A:B,2,FALSE),B1113),PlayerValues!E:E,0)),"N/A")</f>
        <v>16192</v>
      </c>
      <c r="B1113" s="4" t="s">
        <v>412</v>
      </c>
      <c r="C1113" s="4" t="s">
        <v>287</v>
      </c>
      <c r="D1113" s="94">
        <v>3601.0</v>
      </c>
    </row>
    <row r="1114">
      <c r="A1114" s="40">
        <f t="array" ref="A1114">IFNA(index(PlayerValues!A:A,match(IFNA(vlookup(B1114,'Special Names'!A:B,2,FALSE),B1114),PlayerValues!E:E,0)),"N/A")</f>
        <v>17083</v>
      </c>
      <c r="B1114" s="4" t="s">
        <v>479</v>
      </c>
      <c r="C1114" s="4" t="s">
        <v>287</v>
      </c>
      <c r="D1114" s="94">
        <v>3590.0</v>
      </c>
    </row>
    <row r="1115">
      <c r="A1115" s="40">
        <f t="array" ref="A1115">IFNA(index(PlayerValues!A:A,match(IFNA(vlookup(B1115,'Special Names'!A:B,2,FALSE),B1115),PlayerValues!E:E,0)),"N/A")</f>
        <v>15712</v>
      </c>
      <c r="B1115" s="4" t="s">
        <v>488</v>
      </c>
      <c r="C1115" s="4" t="s">
        <v>278</v>
      </c>
      <c r="D1115" s="94">
        <v>3576.0</v>
      </c>
    </row>
    <row r="1116">
      <c r="A1116" s="40">
        <f t="array" ref="A1116">IFNA(index(PlayerValues!A:A,match(IFNA(vlookup(B1116,'Special Names'!A:B,2,FALSE),B1116),PlayerValues!E:E,0)),"N/A")</f>
        <v>17066</v>
      </c>
      <c r="B1116" s="4" t="s">
        <v>446</v>
      </c>
      <c r="C1116" s="4" t="s">
        <v>278</v>
      </c>
      <c r="D1116" s="94">
        <v>3559.0</v>
      </c>
    </row>
    <row r="1117">
      <c r="A1117" s="40">
        <f t="array" ref="A1117">IFNA(index(PlayerValues!A:A,match(IFNA(vlookup(B1117,'Special Names'!A:B,2,FALSE),B1117),PlayerValues!E:E,0)),"N/A")</f>
        <v>11675</v>
      </c>
      <c r="B1117" s="4" t="s">
        <v>438</v>
      </c>
      <c r="C1117" s="4" t="s">
        <v>287</v>
      </c>
      <c r="D1117" s="94">
        <v>3540.0</v>
      </c>
    </row>
    <row r="1118">
      <c r="A1118" s="40">
        <f t="array" ref="A1118">IFNA(index(PlayerValues!A:A,match(IFNA(vlookup(B1118,'Special Names'!A:B,2,FALSE),B1118),PlayerValues!E:E,0)),"N/A")</f>
        <v>17075</v>
      </c>
      <c r="B1118" s="4" t="s">
        <v>429</v>
      </c>
      <c r="C1118" s="4" t="s">
        <v>287</v>
      </c>
      <c r="D1118" s="94">
        <v>3525.0</v>
      </c>
    </row>
    <row r="1119">
      <c r="A1119" s="40">
        <f t="array" ref="A1119">IFNA(index(PlayerValues!A:A,match(IFNA(vlookup(B1119,'Special Names'!A:B,2,FALSE),B1119),PlayerValues!E:E,0)),"N/A")</f>
        <v>14797</v>
      </c>
      <c r="B1119" s="4" t="s">
        <v>420</v>
      </c>
      <c r="C1119" s="4" t="s">
        <v>278</v>
      </c>
      <c r="D1119" s="94">
        <v>3524.0</v>
      </c>
    </row>
    <row r="1120">
      <c r="A1120" s="40">
        <f t="array" ref="A1120">IFNA(index(PlayerValues!A:A,match(IFNA(vlookup(B1120,'Special Names'!A:B,2,FALSE),B1120),PlayerValues!E:E,0)),"N/A")</f>
        <v>14842</v>
      </c>
      <c r="B1120" s="4" t="s">
        <v>456</v>
      </c>
      <c r="C1120" s="4" t="s">
        <v>287</v>
      </c>
      <c r="D1120" s="94">
        <v>3522.0</v>
      </c>
    </row>
    <row r="1121">
      <c r="A1121" s="40">
        <f t="array" ref="A1121">IFNA(index(PlayerValues!A:A,match(IFNA(vlookup(B1121,'Special Names'!A:B,2,FALSE),B1121),PlayerValues!E:E,0)),"N/A")</f>
        <v>15798</v>
      </c>
      <c r="B1121" s="4" t="s">
        <v>443</v>
      </c>
      <c r="C1121" s="4" t="s">
        <v>298</v>
      </c>
      <c r="D1121" s="94">
        <v>3981.0</v>
      </c>
    </row>
    <row r="1122">
      <c r="A1122" s="40">
        <f t="array" ref="A1122">IFNA(index(PlayerValues!A:A,match(IFNA(vlookup(B1122,'Special Names'!A:B,2,FALSE),B1122),PlayerValues!E:E,0)),"N/A")</f>
        <v>14071</v>
      </c>
      <c r="B1122" s="4" t="s">
        <v>440</v>
      </c>
      <c r="C1122" s="4" t="s">
        <v>278</v>
      </c>
      <c r="D1122" s="94">
        <v>3496.0</v>
      </c>
    </row>
    <row r="1123">
      <c r="A1123" s="40" t="str">
        <f t="array" ref="A1123">IFNA(index(PlayerValues!A:A,match(IFNA(vlookup(B1123,'Special Names'!A:B,2,FALSE),B1123),PlayerValues!E:E,0)),"N/A")</f>
        <v>N/A</v>
      </c>
      <c r="B1123" s="4" t="s">
        <v>96</v>
      </c>
      <c r="C1123" s="4" t="s">
        <v>325</v>
      </c>
      <c r="D1123" s="94">
        <v>3435.0</v>
      </c>
    </row>
    <row r="1124">
      <c r="A1124" s="40">
        <f t="array" ref="A1124">IFNA(index(PlayerValues!A:A,match(IFNA(vlookup(B1124,'Special Names'!A:B,2,FALSE),B1124),PlayerValues!E:E,0)),"N/A")</f>
        <v>17502</v>
      </c>
      <c r="B1124" s="4" t="s">
        <v>451</v>
      </c>
      <c r="C1124" s="4" t="s">
        <v>287</v>
      </c>
      <c r="D1124" s="94">
        <v>3410.0</v>
      </c>
    </row>
    <row r="1125">
      <c r="A1125" s="40">
        <f t="array" ref="A1125">IFNA(index(PlayerValues!A:A,match(IFNA(vlookup(B1125,'Special Names'!A:B,2,FALSE),B1125),PlayerValues!E:E,0)),"N/A")</f>
        <v>15261</v>
      </c>
      <c r="B1125" s="4" t="s">
        <v>466</v>
      </c>
      <c r="C1125" s="4" t="s">
        <v>278</v>
      </c>
      <c r="D1125" s="94">
        <v>3397.0</v>
      </c>
    </row>
    <row r="1126">
      <c r="A1126" s="40">
        <f t="array" ref="A1126">IFNA(index(PlayerValues!A:A,match(IFNA(vlookup(B1126,'Special Names'!A:B,2,FALSE),B1126),PlayerValues!E:E,0)),"N/A")</f>
        <v>16620</v>
      </c>
      <c r="B1126" s="4" t="s">
        <v>467</v>
      </c>
      <c r="C1126" s="4" t="s">
        <v>287</v>
      </c>
      <c r="D1126" s="94">
        <v>3393.0</v>
      </c>
    </row>
    <row r="1127">
      <c r="A1127" s="40">
        <f t="array" ref="A1127">IFNA(index(PlayerValues!A:A,match(IFNA(vlookup(B1127,'Special Names'!A:B,2,FALSE),B1127),PlayerValues!E:E,0)),"N/A")</f>
        <v>14109</v>
      </c>
      <c r="B1127" s="4" t="s">
        <v>437</v>
      </c>
      <c r="C1127" s="4" t="s">
        <v>287</v>
      </c>
      <c r="D1127" s="94">
        <v>3388.0</v>
      </c>
    </row>
    <row r="1128">
      <c r="A1128" s="40">
        <f t="array" ref="A1128">IFNA(index(PlayerValues!A:A,match(IFNA(vlookup(B1128,'Special Names'!A:B,2,FALSE),B1128),PlayerValues!E:E,0)),"N/A")</f>
        <v>14127</v>
      </c>
      <c r="B1128" s="4" t="s">
        <v>486</v>
      </c>
      <c r="C1128" s="4" t="s">
        <v>287</v>
      </c>
      <c r="D1128" s="94">
        <v>3385.0</v>
      </c>
    </row>
    <row r="1129">
      <c r="A1129" s="40">
        <f t="array" ref="A1129">IFNA(index(PlayerValues!A:A,match(IFNA(vlookup(B1129,'Special Names'!A:B,2,FALSE),B1129),PlayerValues!E:E,0)),"N/A")</f>
        <v>15799</v>
      </c>
      <c r="B1129" s="4" t="s">
        <v>468</v>
      </c>
      <c r="C1129" s="4" t="s">
        <v>298</v>
      </c>
      <c r="D1129" s="94">
        <v>3818.0</v>
      </c>
    </row>
    <row r="1130">
      <c r="A1130" s="40" t="str">
        <f t="array" ref="A1130">IFNA(index(PlayerValues!A:A,match(IFNA(vlookup(B1130,'Special Names'!A:B,2,FALSE),B1130),PlayerValues!E:E,0)),"N/A")</f>
        <v>N/A</v>
      </c>
      <c r="B1130" s="4" t="s">
        <v>82</v>
      </c>
      <c r="C1130" s="4" t="s">
        <v>325</v>
      </c>
      <c r="D1130" s="94">
        <v>3360.0</v>
      </c>
    </row>
    <row r="1131">
      <c r="A1131" s="40">
        <f t="array" ref="A1131">IFNA(index(PlayerValues!A:A,match(IFNA(vlookup(B1131,'Special Names'!A:B,2,FALSE),B1131),PlayerValues!E:E,0)),"N/A")</f>
        <v>17500</v>
      </c>
      <c r="B1131" s="4" t="s">
        <v>430</v>
      </c>
      <c r="C1131" s="4" t="s">
        <v>287</v>
      </c>
      <c r="D1131" s="94">
        <v>3356.0</v>
      </c>
    </row>
    <row r="1132">
      <c r="A1132" s="40">
        <f t="array" ref="A1132">IFNA(index(PlayerValues!A:A,match(IFNA(vlookup(B1132,'Special Names'!A:B,2,FALSE),B1132),PlayerValues!E:E,0)),"N/A")</f>
        <v>16187</v>
      </c>
      <c r="B1132" s="4" t="s">
        <v>441</v>
      </c>
      <c r="C1132" s="4" t="s">
        <v>287</v>
      </c>
      <c r="D1132" s="94">
        <v>3354.0</v>
      </c>
    </row>
    <row r="1133">
      <c r="A1133" s="40">
        <f t="array" ref="A1133">IFNA(index(PlayerValues!A:A,match(IFNA(vlookup(B1133,'Special Names'!A:B,2,FALSE),B1133),PlayerValues!E:E,0)),"N/A")</f>
        <v>16213</v>
      </c>
      <c r="B1133" s="4" t="s">
        <v>458</v>
      </c>
      <c r="C1133" s="4" t="s">
        <v>298</v>
      </c>
      <c r="D1133" s="94">
        <v>3802.0</v>
      </c>
    </row>
    <row r="1134">
      <c r="A1134" s="40">
        <f t="array" ref="A1134">IFNA(index(PlayerValues!A:A,match(IFNA(vlookup(B1134,'Special Names'!A:B,2,FALSE),B1134),PlayerValues!E:E,0)),"N/A")</f>
        <v>16188</v>
      </c>
      <c r="B1134" s="4" t="s">
        <v>439</v>
      </c>
      <c r="C1134" s="4" t="s">
        <v>287</v>
      </c>
      <c r="D1134" s="94">
        <v>3349.0</v>
      </c>
    </row>
    <row r="1135">
      <c r="A1135" s="40">
        <f t="array" ref="A1135">IFNA(index(PlayerValues!A:A,match(IFNA(vlookup(B1135,'Special Names'!A:B,2,FALSE),B1135),PlayerValues!E:E,0)),"N/A")</f>
        <v>11671</v>
      </c>
      <c r="B1135" s="4" t="s">
        <v>463</v>
      </c>
      <c r="C1135" s="4" t="s">
        <v>287</v>
      </c>
      <c r="D1135" s="94">
        <v>3338.0</v>
      </c>
    </row>
    <row r="1136">
      <c r="A1136" s="40">
        <f t="array" ref="A1136">IFNA(index(PlayerValues!A:A,match(IFNA(vlookup(B1136,'Special Names'!A:B,2,FALSE),B1136),PlayerValues!E:E,0)),"N/A")</f>
        <v>16184</v>
      </c>
      <c r="B1136" s="4" t="s">
        <v>445</v>
      </c>
      <c r="C1136" s="4" t="s">
        <v>287</v>
      </c>
      <c r="D1136" s="94">
        <v>3310.0</v>
      </c>
    </row>
    <row r="1137">
      <c r="A1137" s="40">
        <f t="array" ref="A1137">IFNA(index(PlayerValues!A:A,match(IFNA(vlookup(B1137,'Special Names'!A:B,2,FALSE),B1137),PlayerValues!E:E,0)),"N/A")</f>
        <v>14823</v>
      </c>
      <c r="B1137" s="4" t="s">
        <v>459</v>
      </c>
      <c r="C1137" s="4" t="s">
        <v>278</v>
      </c>
      <c r="D1137" s="94">
        <v>3307.0</v>
      </c>
    </row>
    <row r="1138">
      <c r="A1138" s="40">
        <f t="array" ref="A1138">IFNA(index(PlayerValues!A:A,match(IFNA(vlookup(B1138,'Special Names'!A:B,2,FALSE),B1138),PlayerValues!E:E,0)),"N/A")</f>
        <v>13299</v>
      </c>
      <c r="B1138" s="4" t="s">
        <v>448</v>
      </c>
      <c r="C1138" s="4" t="s">
        <v>298</v>
      </c>
      <c r="D1138" s="94">
        <v>3726.0</v>
      </c>
    </row>
    <row r="1139">
      <c r="A1139" s="40">
        <f t="array" ref="A1139">IFNA(index(PlayerValues!A:A,match(IFNA(vlookup(B1139,'Special Names'!A:B,2,FALSE),B1139),PlayerValues!E:E,0)),"N/A")</f>
        <v>16593</v>
      </c>
      <c r="B1139" s="4" t="s">
        <v>442</v>
      </c>
      <c r="C1139" s="4" t="s">
        <v>278</v>
      </c>
      <c r="D1139" s="94">
        <v>3258.0</v>
      </c>
    </row>
    <row r="1140">
      <c r="A1140" s="40">
        <f t="array" ref="A1140">IFNA(index(PlayerValues!A:A,match(IFNA(vlookup(B1140,'Special Names'!A:B,2,FALSE),B1140),PlayerValues!E:E,0)),"N/A")</f>
        <v>15742</v>
      </c>
      <c r="B1140" s="4" t="s">
        <v>447</v>
      </c>
      <c r="C1140" s="4" t="s">
        <v>278</v>
      </c>
      <c r="D1140" s="94">
        <v>3236.0</v>
      </c>
    </row>
    <row r="1141">
      <c r="A1141" s="40">
        <f t="array" ref="A1141">IFNA(index(PlayerValues!A:A,match(IFNA(vlookup(B1141,'Special Names'!A:B,2,FALSE),B1141),PlayerValues!E:E,0)),"N/A")</f>
        <v>13630</v>
      </c>
      <c r="B1141" s="4" t="s">
        <v>465</v>
      </c>
      <c r="C1141" s="4" t="s">
        <v>287</v>
      </c>
      <c r="D1141" s="94">
        <v>3188.0</v>
      </c>
    </row>
    <row r="1142">
      <c r="A1142" s="40" t="str">
        <f t="array" ref="A1142">IFNA(index(PlayerValues!A:A,match(IFNA(vlookup(B1142,'Special Names'!A:B,2,FALSE),B1142),PlayerValues!E:E,0)),"N/A")</f>
        <v>N/A</v>
      </c>
      <c r="B1142" s="4" t="s">
        <v>108</v>
      </c>
      <c r="C1142" s="4" t="s">
        <v>325</v>
      </c>
      <c r="D1142" s="94">
        <v>3120.0</v>
      </c>
    </row>
    <row r="1143">
      <c r="A1143" s="40">
        <f t="array" ref="A1143">IFNA(index(PlayerValues!A:A,match(IFNA(vlookup(B1143,'Special Names'!A:B,2,FALSE),B1143),PlayerValues!E:E,0)),"N/A")</f>
        <v>16628</v>
      </c>
      <c r="B1143" s="4" t="s">
        <v>490</v>
      </c>
      <c r="C1143" s="4" t="s">
        <v>287</v>
      </c>
      <c r="D1143" s="94">
        <v>3099.0</v>
      </c>
    </row>
    <row r="1144">
      <c r="A1144" s="40">
        <f t="array" ref="A1144">IFNA(index(PlayerValues!A:A,match(IFNA(vlookup(B1144,'Special Names'!A:B,2,FALSE),B1144),PlayerValues!E:E,0)),"N/A")</f>
        <v>16269</v>
      </c>
      <c r="B1144" s="4" t="s">
        <v>481</v>
      </c>
      <c r="C1144" s="4" t="s">
        <v>298</v>
      </c>
      <c r="D1144" s="94">
        <v>3508.0</v>
      </c>
    </row>
    <row r="1145">
      <c r="A1145" s="40">
        <f t="array" ref="A1145">IFNA(index(PlayerValues!A:A,match(IFNA(vlookup(B1145,'Special Names'!A:B,2,FALSE),B1145),PlayerValues!E:E,0)),"N/A")</f>
        <v>16583</v>
      </c>
      <c r="B1145" s="4" t="s">
        <v>493</v>
      </c>
      <c r="C1145" s="4" t="s">
        <v>283</v>
      </c>
      <c r="D1145" s="94">
        <v>3067.0</v>
      </c>
    </row>
    <row r="1146">
      <c r="A1146" s="40">
        <f t="array" ref="A1146">IFNA(index(PlayerValues!A:A,match(IFNA(vlookup(B1146,'Special Names'!A:B,2,FALSE),B1146),PlayerValues!E:E,0)),"N/A")</f>
        <v>14800</v>
      </c>
      <c r="B1146" s="4" t="s">
        <v>472</v>
      </c>
      <c r="C1146" s="4" t="s">
        <v>278</v>
      </c>
      <c r="D1146" s="94">
        <v>3060.0</v>
      </c>
    </row>
    <row r="1147">
      <c r="A1147" s="40" t="str">
        <f t="array" ref="A1147">IFNA(index(PlayerValues!A:A,match(IFNA(vlookup(B1147,'Special Names'!A:B,2,FALSE),B1147),PlayerValues!E:E,0)),"N/A")</f>
        <v>N/A</v>
      </c>
      <c r="B1147" s="4" t="s">
        <v>97</v>
      </c>
      <c r="C1147" s="4" t="s">
        <v>325</v>
      </c>
      <c r="D1147" s="94">
        <v>3060.0</v>
      </c>
    </row>
    <row r="1148">
      <c r="A1148" s="40">
        <f t="array" ref="A1148">IFNA(index(PlayerValues!A:A,match(IFNA(vlookup(B1148,'Special Names'!A:B,2,FALSE),B1148),PlayerValues!E:E,0)),"N/A")</f>
        <v>16080</v>
      </c>
      <c r="B1148" s="4" t="s">
        <v>499</v>
      </c>
      <c r="C1148" s="4" t="s">
        <v>287</v>
      </c>
      <c r="D1148" s="94">
        <v>3053.0</v>
      </c>
    </row>
    <row r="1149">
      <c r="A1149" s="40">
        <f t="array" ref="A1149">IFNA(index(PlayerValues!A:A,match(IFNA(vlookup(B1149,'Special Names'!A:B,2,FALSE),B1149),PlayerValues!E:E,0)),"N/A")</f>
        <v>16809</v>
      </c>
      <c r="B1149" s="4" t="s">
        <v>455</v>
      </c>
      <c r="C1149" s="4" t="s">
        <v>287</v>
      </c>
      <c r="D1149" s="94">
        <v>3046.0</v>
      </c>
    </row>
    <row r="1150">
      <c r="A1150" s="40">
        <f t="array" ref="A1150">IFNA(index(PlayerValues!A:A,match(IFNA(vlookup(B1150,'Special Names'!A:B,2,FALSE),B1150),PlayerValues!E:E,0)),"N/A")</f>
        <v>15761</v>
      </c>
      <c r="B1150" s="4" t="s">
        <v>491</v>
      </c>
      <c r="C1150" s="4" t="s">
        <v>287</v>
      </c>
      <c r="D1150" s="94">
        <v>3037.0</v>
      </c>
    </row>
    <row r="1151">
      <c r="A1151" s="40" t="str">
        <f t="array" ref="A1151">IFNA(index(PlayerValues!A:A,match(IFNA(vlookup(B1151,'Special Names'!A:B,2,FALSE),B1151),PlayerValues!E:E,0)),"N/A")</f>
        <v>N/A</v>
      </c>
      <c r="B1151" s="4" t="s">
        <v>84</v>
      </c>
      <c r="C1151" s="4" t="s">
        <v>325</v>
      </c>
      <c r="D1151" s="94">
        <v>3020.0</v>
      </c>
    </row>
    <row r="1152">
      <c r="A1152" s="40">
        <f t="array" ref="A1152">IFNA(index(PlayerValues!A:A,match(IFNA(vlookup(B1152,'Special Names'!A:B,2,FALSE),B1152),PlayerValues!E:E,0)),"N/A")</f>
        <v>17463</v>
      </c>
      <c r="B1152" s="4" t="s">
        <v>433</v>
      </c>
      <c r="C1152" s="4" t="s">
        <v>283</v>
      </c>
      <c r="D1152" s="94">
        <v>3017.0</v>
      </c>
    </row>
    <row r="1153">
      <c r="A1153" s="40">
        <f t="array" ref="A1153">IFNA(index(PlayerValues!A:A,match(IFNA(vlookup(B1153,'Special Names'!A:B,2,FALSE),B1153),PlayerValues!E:E,0)),"N/A")</f>
        <v>15259</v>
      </c>
      <c r="B1153" s="4" t="s">
        <v>453</v>
      </c>
      <c r="C1153" s="4" t="s">
        <v>278</v>
      </c>
      <c r="D1153" s="94">
        <v>2993.0</v>
      </c>
    </row>
    <row r="1154">
      <c r="A1154" s="40">
        <f t="array" ref="A1154">IFNA(index(PlayerValues!A:A,match(IFNA(vlookup(B1154,'Special Names'!A:B,2,FALSE),B1154),PlayerValues!E:E,0)),"N/A")</f>
        <v>17473</v>
      </c>
      <c r="B1154" s="4" t="s">
        <v>391</v>
      </c>
      <c r="C1154" s="4" t="s">
        <v>278</v>
      </c>
      <c r="D1154" s="94">
        <v>2975.0</v>
      </c>
    </row>
    <row r="1155">
      <c r="A1155" s="40">
        <f t="array" ref="A1155">IFNA(index(PlayerValues!A:A,match(IFNA(vlookup(B1155,'Special Names'!A:B,2,FALSE),B1155),PlayerValues!E:E,0)),"N/A")</f>
        <v>16597</v>
      </c>
      <c r="B1155" s="4" t="s">
        <v>427</v>
      </c>
      <c r="C1155" s="4" t="s">
        <v>278</v>
      </c>
      <c r="D1155" s="94">
        <v>2939.0</v>
      </c>
    </row>
    <row r="1156">
      <c r="A1156" s="40">
        <f t="array" ref="A1156">IFNA(index(PlayerValues!A:A,match(IFNA(vlookup(B1156,'Special Names'!A:B,2,FALSE),B1156),PlayerValues!E:E,0)),"N/A")</f>
        <v>15255</v>
      </c>
      <c r="B1156" s="4" t="s">
        <v>477</v>
      </c>
      <c r="C1156" s="4" t="s">
        <v>278</v>
      </c>
      <c r="D1156" s="94">
        <v>2927.0</v>
      </c>
    </row>
    <row r="1157">
      <c r="A1157" s="40">
        <f t="array" ref="A1157">IFNA(index(PlayerValues!A:A,match(IFNA(vlookup(B1157,'Special Names'!A:B,2,FALSE),B1157),PlayerValues!E:E,0)),"N/A")</f>
        <v>17106</v>
      </c>
      <c r="B1157" s="4" t="s">
        <v>550</v>
      </c>
      <c r="C1157" s="4" t="s">
        <v>298</v>
      </c>
      <c r="D1157" s="94">
        <v>3348.0</v>
      </c>
    </row>
    <row r="1158">
      <c r="A1158" s="40">
        <f t="array" ref="A1158">IFNA(index(PlayerValues!A:A,match(IFNA(vlookup(B1158,'Special Names'!A:B,2,FALSE),B1158),PlayerValues!E:E,0)),"N/A")</f>
        <v>15241</v>
      </c>
      <c r="B1158" s="4" t="s">
        <v>546</v>
      </c>
      <c r="C1158" s="4" t="s">
        <v>283</v>
      </c>
      <c r="D1158" s="94">
        <v>2921.0</v>
      </c>
    </row>
    <row r="1159">
      <c r="A1159" s="40" t="str">
        <f t="array" ref="A1159">IFNA(index(PlayerValues!A:A,match(IFNA(vlookup(B1159,'Special Names'!A:B,2,FALSE),B1159),PlayerValues!E:E,0)),"N/A")</f>
        <v>N/A</v>
      </c>
      <c r="B1159" s="4" t="s">
        <v>109</v>
      </c>
      <c r="C1159" s="4" t="s">
        <v>325</v>
      </c>
      <c r="D1159" s="94">
        <v>2913.0</v>
      </c>
    </row>
    <row r="1160">
      <c r="A1160" s="40">
        <f t="array" ref="A1160">IFNA(index(PlayerValues!A:A,match(IFNA(vlookup(B1160,'Special Names'!A:B,2,FALSE),B1160),PlayerValues!E:E,0)),"N/A")</f>
        <v>16584</v>
      </c>
      <c r="B1160" s="4" t="s">
        <v>569</v>
      </c>
      <c r="C1160" s="4" t="s">
        <v>283</v>
      </c>
      <c r="D1160" s="94">
        <v>2903.0</v>
      </c>
    </row>
    <row r="1161">
      <c r="A1161" s="40">
        <f t="array" ref="A1161">IFNA(index(PlayerValues!A:A,match(IFNA(vlookup(B1161,'Special Names'!A:B,2,FALSE),B1161),PlayerValues!E:E,0)),"N/A")</f>
        <v>16723</v>
      </c>
      <c r="B1161" s="4" t="s">
        <v>502</v>
      </c>
      <c r="C1161" s="4" t="s">
        <v>298</v>
      </c>
      <c r="D1161" s="94">
        <v>3316.0</v>
      </c>
    </row>
    <row r="1162">
      <c r="A1162" s="40">
        <f t="array" ref="A1162">IFNA(index(PlayerValues!A:A,match(IFNA(vlookup(B1162,'Special Names'!A:B,2,FALSE),B1162),PlayerValues!E:E,0)),"N/A")</f>
        <v>16193</v>
      </c>
      <c r="B1162" s="4" t="s">
        <v>487</v>
      </c>
      <c r="C1162" s="4" t="s">
        <v>287</v>
      </c>
      <c r="D1162" s="94">
        <v>2893.0</v>
      </c>
    </row>
    <row r="1163">
      <c r="A1163" s="40" t="str">
        <f t="array" ref="A1163">IFNA(index(PlayerValues!A:A,match(IFNA(vlookup(B1163,'Special Names'!A:B,2,FALSE),B1163),PlayerValues!E:E,0)),"N/A")</f>
        <v>N/A</v>
      </c>
      <c r="B1163" s="4" t="s">
        <v>85</v>
      </c>
      <c r="C1163" s="4" t="s">
        <v>325</v>
      </c>
      <c r="D1163" s="94">
        <v>2877.0</v>
      </c>
    </row>
    <row r="1164">
      <c r="A1164" s="40">
        <f t="array" ref="A1164">IFNA(index(PlayerValues!A:A,match(IFNA(vlookup(B1164,'Special Names'!A:B,2,FALSE),B1164),PlayerValues!E:E,0)),"N/A")</f>
        <v>13163</v>
      </c>
      <c r="B1164" s="4" t="s">
        <v>473</v>
      </c>
      <c r="C1164" s="4" t="s">
        <v>287</v>
      </c>
      <c r="D1164" s="94">
        <v>2873.0</v>
      </c>
    </row>
    <row r="1165">
      <c r="A1165" s="40">
        <f t="array" ref="A1165">IFNA(index(PlayerValues!A:A,match(IFNA(vlookup(B1165,'Special Names'!A:B,2,FALSE),B1165),PlayerValues!E:E,0)),"N/A")</f>
        <v>16619</v>
      </c>
      <c r="B1165" s="4" t="s">
        <v>538</v>
      </c>
      <c r="C1165" s="4" t="s">
        <v>287</v>
      </c>
      <c r="D1165" s="94">
        <v>2862.0</v>
      </c>
    </row>
    <row r="1166">
      <c r="A1166" s="40">
        <f t="array" ref="A1166">IFNA(index(PlayerValues!A:A,match(IFNA(vlookup(B1166,'Special Names'!A:B,2,FALSE),B1166),PlayerValues!E:E,0)),"N/A")</f>
        <v>17107</v>
      </c>
      <c r="B1166" s="4" t="s">
        <v>478</v>
      </c>
      <c r="C1166" s="4" t="s">
        <v>298</v>
      </c>
      <c r="D1166" s="94">
        <v>3281.0</v>
      </c>
    </row>
    <row r="1167">
      <c r="A1167" s="40">
        <f t="array" ref="A1167">IFNA(index(PlayerValues!A:A,match(IFNA(vlookup(B1167,'Special Names'!A:B,2,FALSE),B1167),PlayerValues!E:E,0)),"N/A")</f>
        <v>17031</v>
      </c>
      <c r="B1167" s="4" t="s">
        <v>535</v>
      </c>
      <c r="C1167" s="4" t="s">
        <v>283</v>
      </c>
      <c r="D1167" s="94">
        <v>2846.0</v>
      </c>
    </row>
    <row r="1168">
      <c r="A1168" s="40">
        <f t="array" ref="A1168">IFNA(index(PlayerValues!A:A,match(IFNA(vlookup(B1168,'Special Names'!A:B,2,FALSE),B1168),PlayerValues!E:E,0)),"N/A")</f>
        <v>17072</v>
      </c>
      <c r="B1168" s="4" t="s">
        <v>508</v>
      </c>
      <c r="C1168" s="4" t="s">
        <v>287</v>
      </c>
      <c r="D1168" s="94">
        <v>2843.0</v>
      </c>
    </row>
    <row r="1169">
      <c r="A1169" s="40">
        <f t="array" ref="A1169">IFNA(index(PlayerValues!A:A,match(IFNA(vlookup(B1169,'Special Names'!A:B,2,FALSE),B1169),PlayerValues!E:E,0)),"N/A")</f>
        <v>17157</v>
      </c>
      <c r="B1169" s="4" t="s">
        <v>524</v>
      </c>
      <c r="C1169" s="4" t="s">
        <v>287</v>
      </c>
      <c r="D1169" s="94">
        <v>2836.0</v>
      </c>
    </row>
    <row r="1170">
      <c r="A1170" s="40">
        <f t="array" ref="A1170">IFNA(index(PlayerValues!A:A,match(IFNA(vlookup(B1170,'Special Names'!A:B,2,FALSE),B1170),PlayerValues!E:E,0)),"N/A")</f>
        <v>17256</v>
      </c>
      <c r="B1170" s="4" t="s">
        <v>462</v>
      </c>
      <c r="C1170" s="4" t="s">
        <v>278</v>
      </c>
      <c r="D1170" s="94">
        <v>2832.0</v>
      </c>
    </row>
    <row r="1171">
      <c r="A1171" s="40">
        <f t="array" ref="A1171">IFNA(index(PlayerValues!A:A,match(IFNA(vlookup(B1171,'Special Names'!A:B,2,FALSE),B1171),PlayerValues!E:E,0)),"N/A")</f>
        <v>14860</v>
      </c>
      <c r="B1171" s="4" t="s">
        <v>554</v>
      </c>
      <c r="C1171" s="4" t="s">
        <v>287</v>
      </c>
      <c r="D1171" s="94">
        <v>2823.0</v>
      </c>
    </row>
    <row r="1172">
      <c r="A1172" s="40">
        <f t="array" ref="A1172">IFNA(index(PlayerValues!A:A,match(IFNA(vlookup(B1172,'Special Names'!A:B,2,FALSE),B1172),PlayerValues!E:E,0)),"N/A")</f>
        <v>17053</v>
      </c>
      <c r="B1172" s="4" t="s">
        <v>484</v>
      </c>
      <c r="C1172" s="4" t="s">
        <v>278</v>
      </c>
      <c r="D1172" s="94">
        <v>2818.0</v>
      </c>
    </row>
    <row r="1173">
      <c r="A1173" s="40">
        <f t="array" ref="A1173">IFNA(index(PlayerValues!A:A,match(IFNA(vlookup(B1173,'Special Names'!A:B,2,FALSE),B1173),PlayerValues!E:E,0)),"N/A")</f>
        <v>17073</v>
      </c>
      <c r="B1173" s="4" t="s">
        <v>547</v>
      </c>
      <c r="C1173" s="4" t="s">
        <v>287</v>
      </c>
      <c r="D1173" s="94">
        <v>2814.0</v>
      </c>
    </row>
    <row r="1174">
      <c r="A1174" s="40">
        <f t="array" ref="A1174">IFNA(index(PlayerValues!A:A,match(IFNA(vlookup(B1174,'Special Names'!A:B,2,FALSE),B1174),PlayerValues!E:E,0)),"N/A")</f>
        <v>17080</v>
      </c>
      <c r="B1174" s="4" t="s">
        <v>532</v>
      </c>
      <c r="C1174" s="4" t="s">
        <v>287</v>
      </c>
      <c r="D1174" s="94">
        <v>2805.0</v>
      </c>
    </row>
    <row r="1175">
      <c r="A1175" s="40">
        <f t="array" ref="A1175">IFNA(index(PlayerValues!A:A,match(IFNA(vlookup(B1175,'Special Names'!A:B,2,FALSE),B1175),PlayerValues!E:E,0)),"N/A")</f>
        <v>17082</v>
      </c>
      <c r="B1175" s="4" t="s">
        <v>498</v>
      </c>
      <c r="C1175" s="4" t="s">
        <v>287</v>
      </c>
      <c r="D1175" s="94">
        <v>2790.0</v>
      </c>
    </row>
    <row r="1176">
      <c r="A1176" s="40">
        <f t="array" ref="A1176">IFNA(index(PlayerValues!A:A,match(IFNA(vlookup(B1176,'Special Names'!A:B,2,FALSE),B1176),PlayerValues!E:E,0)),"N/A")</f>
        <v>14138</v>
      </c>
      <c r="B1176" s="4" t="s">
        <v>531</v>
      </c>
      <c r="C1176" s="4" t="s">
        <v>298</v>
      </c>
      <c r="D1176" s="94">
        <v>3203.0</v>
      </c>
    </row>
    <row r="1177">
      <c r="A1177" s="40">
        <f t="array" ref="A1177">IFNA(index(PlayerValues!A:A,match(IFNA(vlookup(B1177,'Special Names'!A:B,2,FALSE),B1177),PlayerValues!E:E,0)),"N/A")</f>
        <v>12616</v>
      </c>
      <c r="B1177" s="4" t="s">
        <v>529</v>
      </c>
      <c r="C1177" s="4" t="s">
        <v>283</v>
      </c>
      <c r="D1177" s="94">
        <v>2772.0</v>
      </c>
    </row>
    <row r="1178">
      <c r="A1178" s="40">
        <f t="array" ref="A1178">IFNA(index(PlayerValues!A:A,match(IFNA(vlookup(B1178,'Special Names'!A:B,2,FALSE),B1178),PlayerValues!E:E,0)),"N/A")</f>
        <v>17477</v>
      </c>
      <c r="B1178" s="4" t="s">
        <v>452</v>
      </c>
      <c r="C1178" s="4" t="s">
        <v>278</v>
      </c>
      <c r="D1178" s="94">
        <v>2766.0</v>
      </c>
    </row>
    <row r="1179">
      <c r="A1179" s="40">
        <f t="array" ref="A1179">IFNA(index(PlayerValues!A:A,match(IFNA(vlookup(B1179,'Special Names'!A:B,2,FALSE),B1179),PlayerValues!E:E,0)),"N/A")</f>
        <v>15889</v>
      </c>
      <c r="B1179" s="4" t="s">
        <v>503</v>
      </c>
      <c r="C1179" s="4" t="s">
        <v>298</v>
      </c>
      <c r="D1179" s="94">
        <v>3173.0</v>
      </c>
    </row>
    <row r="1180">
      <c r="A1180" s="40">
        <f t="array" ref="A1180">IFNA(index(PlayerValues!A:A,match(IFNA(vlookup(B1180,'Special Names'!A:B,2,FALSE),B1180),PlayerValues!E:E,0)),"N/A")</f>
        <v>17098</v>
      </c>
      <c r="B1180" s="4" t="s">
        <v>533</v>
      </c>
      <c r="C1180" s="4" t="s">
        <v>287</v>
      </c>
      <c r="D1180" s="94">
        <v>2747.0</v>
      </c>
    </row>
    <row r="1181">
      <c r="A1181" s="40">
        <f t="array" ref="A1181">IFNA(index(PlayerValues!A:A,match(IFNA(vlookup(B1181,'Special Names'!A:B,2,FALSE),B1181),PlayerValues!E:E,0)),"N/A")</f>
        <v>16596</v>
      </c>
      <c r="B1181" s="4" t="s">
        <v>501</v>
      </c>
      <c r="C1181" s="4" t="s">
        <v>278</v>
      </c>
      <c r="D1181" s="94">
        <v>2740.0</v>
      </c>
    </row>
    <row r="1182">
      <c r="A1182" s="40">
        <f t="array" ref="A1182">IFNA(index(PlayerValues!A:A,match(IFNA(vlookup(B1182,'Special Names'!A:B,2,FALSE),B1182),PlayerValues!E:E,0)),"N/A")</f>
        <v>13671</v>
      </c>
      <c r="B1182" s="4" t="s">
        <v>506</v>
      </c>
      <c r="C1182" s="4" t="s">
        <v>298</v>
      </c>
      <c r="D1182" s="94">
        <v>3151.0</v>
      </c>
    </row>
    <row r="1183">
      <c r="A1183" s="40">
        <f t="array" ref="A1183">IFNA(index(PlayerValues!A:A,match(IFNA(vlookup(B1183,'Special Names'!A:B,2,FALSE),B1183),PlayerValues!E:E,0)),"N/A")</f>
        <v>17171</v>
      </c>
      <c r="B1183" s="4" t="s">
        <v>561</v>
      </c>
      <c r="C1183" s="4" t="s">
        <v>287</v>
      </c>
      <c r="D1183" s="94">
        <v>2733.0</v>
      </c>
    </row>
    <row r="1184">
      <c r="A1184" s="40" t="str">
        <f t="array" ref="A1184">IFNA(index(PlayerValues!A:A,match(IFNA(vlookup(B1184,'Special Names'!A:B,2,FALSE),B1184),PlayerValues!E:E,0)),"N/A")</f>
        <v>N/A</v>
      </c>
      <c r="B1184" s="4" t="s">
        <v>110</v>
      </c>
      <c r="C1184" s="4" t="s">
        <v>325</v>
      </c>
      <c r="D1184" s="94">
        <v>2727.0</v>
      </c>
    </row>
    <row r="1185">
      <c r="A1185" s="40">
        <f t="array" ref="A1185">IFNA(index(PlayerValues!A:A,match(IFNA(vlookup(B1185,'Special Names'!A:B,2,FALSE),B1185),PlayerValues!E:E,0)),"N/A")</f>
        <v>14778</v>
      </c>
      <c r="B1185" s="4" t="s">
        <v>564</v>
      </c>
      <c r="C1185" s="4" t="s">
        <v>283</v>
      </c>
      <c r="D1185" s="94">
        <v>2725.0</v>
      </c>
    </row>
    <row r="1186">
      <c r="A1186" s="40">
        <f t="array" ref="A1186">IFNA(index(PlayerValues!A:A,match(IFNA(vlookup(B1186,'Special Names'!A:B,2,FALSE),B1186),PlayerValues!E:E,0)),"N/A")</f>
        <v>16594</v>
      </c>
      <c r="B1186" s="4" t="s">
        <v>607</v>
      </c>
      <c r="C1186" s="4" t="s">
        <v>278</v>
      </c>
      <c r="D1186" s="94">
        <v>2717.0</v>
      </c>
    </row>
    <row r="1187">
      <c r="A1187" s="40">
        <f t="array" ref="A1187">IFNA(index(PlayerValues!A:A,match(IFNA(vlookup(B1187,'Special Names'!A:B,2,FALSE),B1187),PlayerValues!E:E,0)),"N/A")</f>
        <v>17047</v>
      </c>
      <c r="B1187" s="4" t="s">
        <v>510</v>
      </c>
      <c r="C1187" s="4" t="s">
        <v>278</v>
      </c>
      <c r="D1187" s="94">
        <v>2716.0</v>
      </c>
    </row>
    <row r="1188">
      <c r="A1188" s="40">
        <f t="array" ref="A1188">IFNA(index(PlayerValues!A:A,match(IFNA(vlookup(B1188,'Special Names'!A:B,2,FALSE),B1188),PlayerValues!E:E,0)),"N/A")</f>
        <v>14833</v>
      </c>
      <c r="B1188" s="4" t="s">
        <v>553</v>
      </c>
      <c r="C1188" s="4" t="s">
        <v>287</v>
      </c>
      <c r="D1188" s="94">
        <v>2714.0</v>
      </c>
    </row>
    <row r="1189">
      <c r="A1189" s="40">
        <f t="array" ref="A1189">IFNA(index(PlayerValues!A:A,match(IFNA(vlookup(B1189,'Special Names'!A:B,2,FALSE),B1189),PlayerValues!E:E,0)),"N/A")</f>
        <v>15972</v>
      </c>
      <c r="B1189" s="4" t="s">
        <v>469</v>
      </c>
      <c r="C1189" s="4" t="s">
        <v>278</v>
      </c>
      <c r="D1189" s="94">
        <v>2714.0</v>
      </c>
    </row>
    <row r="1190">
      <c r="A1190" s="40">
        <f t="array" ref="A1190">IFNA(index(PlayerValues!A:A,match(IFNA(vlookup(B1190,'Special Names'!A:B,2,FALSE),B1190),PlayerValues!E:E,0)),"N/A")</f>
        <v>16626</v>
      </c>
      <c r="B1190" s="4" t="s">
        <v>515</v>
      </c>
      <c r="C1190" s="4" t="s">
        <v>287</v>
      </c>
      <c r="D1190" s="94">
        <v>2712.0</v>
      </c>
    </row>
    <row r="1191">
      <c r="A1191" s="40">
        <f t="array" ref="A1191">IFNA(index(PlayerValues!A:A,match(IFNA(vlookup(B1191,'Special Names'!A:B,2,FALSE),B1191),PlayerValues!E:E,0)),"N/A")</f>
        <v>15721</v>
      </c>
      <c r="B1191" s="4" t="s">
        <v>504</v>
      </c>
      <c r="C1191" s="4" t="s">
        <v>278</v>
      </c>
      <c r="D1191" s="94">
        <v>2708.0</v>
      </c>
    </row>
    <row r="1192">
      <c r="A1192" s="40">
        <f t="array" ref="A1192">IFNA(index(PlayerValues!A:A,match(IFNA(vlookup(B1192,'Special Names'!A:B,2,FALSE),B1192),PlayerValues!E:E,0)),"N/A")</f>
        <v>13192</v>
      </c>
      <c r="B1192" s="4" t="s">
        <v>563</v>
      </c>
      <c r="C1192" s="4" t="s">
        <v>298</v>
      </c>
      <c r="D1192" s="94">
        <v>3118.0</v>
      </c>
    </row>
    <row r="1193">
      <c r="A1193" s="40">
        <f t="array" ref="A1193">IFNA(index(PlayerValues!A:A,match(IFNA(vlookup(B1193,'Special Names'!A:B,2,FALSE),B1193),PlayerValues!E:E,0)),"N/A")</f>
        <v>17134</v>
      </c>
      <c r="B1193" s="4" t="s">
        <v>548</v>
      </c>
      <c r="C1193" s="4" t="s">
        <v>287</v>
      </c>
      <c r="D1193" s="94">
        <v>2698.0</v>
      </c>
    </row>
    <row r="1194">
      <c r="A1194" s="40">
        <f t="array" ref="A1194">IFNA(index(PlayerValues!A:A,match(IFNA(vlookup(B1194,'Special Names'!A:B,2,FALSE),B1194),PlayerValues!E:E,0)),"N/A")</f>
        <v>14085</v>
      </c>
      <c r="B1194" s="4" t="s">
        <v>489</v>
      </c>
      <c r="C1194" s="4" t="s">
        <v>278</v>
      </c>
      <c r="D1194" s="94">
        <v>2668.0</v>
      </c>
    </row>
    <row r="1195">
      <c r="A1195" s="40">
        <f t="array" ref="A1195">IFNA(index(PlayerValues!A:A,match(IFNA(vlookup(B1195,'Special Names'!A:B,2,FALSE),B1195),PlayerValues!E:E,0)),"N/A")</f>
        <v>16165</v>
      </c>
      <c r="B1195" s="4" t="s">
        <v>520</v>
      </c>
      <c r="C1195" s="4" t="s">
        <v>278</v>
      </c>
      <c r="D1195" s="94">
        <v>2651.0</v>
      </c>
    </row>
    <row r="1196">
      <c r="A1196" s="40">
        <f t="array" ref="A1196">IFNA(index(PlayerValues!A:A,match(IFNA(vlookup(B1196,'Special Names'!A:B,2,FALSE),B1196),PlayerValues!E:E,0)),"N/A")</f>
        <v>13674</v>
      </c>
      <c r="B1196" s="4" t="s">
        <v>511</v>
      </c>
      <c r="C1196" s="4" t="s">
        <v>298</v>
      </c>
      <c r="D1196" s="94">
        <v>3048.0</v>
      </c>
    </row>
    <row r="1197">
      <c r="A1197" s="40">
        <f t="array" ref="A1197">IFNA(index(PlayerValues!A:A,match(IFNA(vlookup(B1197,'Special Names'!A:B,2,FALSE),B1197),PlayerValues!E:E,0)),"N/A")</f>
        <v>17544</v>
      </c>
      <c r="B1197" s="4" t="s">
        <v>470</v>
      </c>
      <c r="C1197" s="4" t="s">
        <v>298</v>
      </c>
      <c r="D1197" s="94">
        <v>3038.0</v>
      </c>
    </row>
    <row r="1198">
      <c r="A1198" s="40">
        <f t="array" ref="A1198">IFNA(index(PlayerValues!A:A,match(IFNA(vlookup(B1198,'Special Names'!A:B,2,FALSE),B1198),PlayerValues!E:E,0)),"N/A")</f>
        <v>16747</v>
      </c>
      <c r="B1198" s="4" t="s">
        <v>555</v>
      </c>
      <c r="C1198" s="4" t="s">
        <v>278</v>
      </c>
      <c r="D1198" s="94">
        <v>2589.0</v>
      </c>
    </row>
    <row r="1199">
      <c r="A1199" s="40">
        <f t="array" ref="A1199">IFNA(index(PlayerValues!A:A,match(IFNA(vlookup(B1199,'Special Names'!A:B,2,FALSE),B1199),PlayerValues!E:E,0)),"N/A")</f>
        <v>14840</v>
      </c>
      <c r="B1199" s="4" t="s">
        <v>731</v>
      </c>
      <c r="C1199" s="4" t="s">
        <v>287</v>
      </c>
      <c r="D1199" s="94">
        <v>2579.0</v>
      </c>
    </row>
    <row r="1200">
      <c r="A1200" s="40">
        <f t="array" ref="A1200">IFNA(index(PlayerValues!A:A,match(IFNA(vlookup(B1200,'Special Names'!A:B,2,FALSE),B1200),PlayerValues!E:E,0)),"N/A")</f>
        <v>17105</v>
      </c>
      <c r="B1200" s="4" t="s">
        <v>525</v>
      </c>
      <c r="C1200" s="4" t="s">
        <v>298</v>
      </c>
      <c r="D1200" s="94">
        <v>2973.0</v>
      </c>
    </row>
    <row r="1201">
      <c r="A1201" s="40" t="str">
        <f t="array" ref="A1201">IFNA(index(PlayerValues!A:A,match(IFNA(vlookup(B1201,'Special Names'!A:B,2,FALSE),B1201),PlayerValues!E:E,0)),"N/A")</f>
        <v>N/A</v>
      </c>
      <c r="B1201" s="4" t="s">
        <v>98</v>
      </c>
      <c r="C1201" s="4" t="s">
        <v>325</v>
      </c>
      <c r="D1201" s="94">
        <v>2562.0</v>
      </c>
    </row>
    <row r="1202">
      <c r="A1202" s="40">
        <f t="array" ref="A1202">IFNA(index(PlayerValues!A:A,match(IFNA(vlookup(B1202,'Special Names'!A:B,2,FALSE),B1202),PlayerValues!E:E,0)),"N/A")</f>
        <v>16617</v>
      </c>
      <c r="B1202" s="4" t="s">
        <v>541</v>
      </c>
      <c r="C1202" s="4" t="s">
        <v>287</v>
      </c>
      <c r="D1202" s="94">
        <v>2552.0</v>
      </c>
    </row>
    <row r="1203">
      <c r="A1203" s="40">
        <f t="array" ref="A1203">IFNA(index(PlayerValues!A:A,match(IFNA(vlookup(B1203,'Special Names'!A:B,2,FALSE),B1203),PlayerValues!E:E,0)),"N/A")</f>
        <v>17108</v>
      </c>
      <c r="B1203" s="4" t="s">
        <v>542</v>
      </c>
      <c r="C1203" s="4" t="s">
        <v>298</v>
      </c>
      <c r="D1203" s="94">
        <v>2954.0</v>
      </c>
    </row>
    <row r="1204">
      <c r="A1204" s="40">
        <f t="array" ref="A1204">IFNA(index(PlayerValues!A:A,match(IFNA(vlookup(B1204,'Special Names'!A:B,2,FALSE),B1204),PlayerValues!E:E,0)),"N/A")</f>
        <v>16178</v>
      </c>
      <c r="B1204" s="4" t="s">
        <v>507</v>
      </c>
      <c r="C1204" s="4" t="s">
        <v>278</v>
      </c>
      <c r="D1204" s="94">
        <v>2535.0</v>
      </c>
    </row>
    <row r="1205">
      <c r="A1205" s="40">
        <f t="array" ref="A1205">IFNA(index(PlayerValues!A:A,match(IFNA(vlookup(B1205,'Special Names'!A:B,2,FALSE),B1205),PlayerValues!E:E,0)),"N/A")</f>
        <v>16164</v>
      </c>
      <c r="B1205" s="4" t="s">
        <v>512</v>
      </c>
      <c r="C1205" s="4" t="s">
        <v>278</v>
      </c>
      <c r="D1205" s="94">
        <v>2529.0</v>
      </c>
    </row>
    <row r="1206">
      <c r="A1206" s="40" t="str">
        <f t="array" ref="A1206">IFNA(index(PlayerValues!A:A,match(IFNA(vlookup(B1206,'Special Names'!A:B,2,FALSE),B1206),PlayerValues!E:E,0)),"N/A")</f>
        <v>N/A</v>
      </c>
      <c r="B1206" s="4" t="s">
        <v>557</v>
      </c>
      <c r="C1206" s="4" t="s">
        <v>278</v>
      </c>
      <c r="D1206" s="94">
        <v>2525.0</v>
      </c>
    </row>
    <row r="1207">
      <c r="A1207" s="40">
        <f t="array" ref="A1207">IFNA(index(PlayerValues!A:A,match(IFNA(vlookup(B1207,'Special Names'!A:B,2,FALSE),B1207),PlayerValues!E:E,0)),"N/A")</f>
        <v>14136</v>
      </c>
      <c r="B1207" s="4" t="s">
        <v>536</v>
      </c>
      <c r="C1207" s="4" t="s">
        <v>287</v>
      </c>
      <c r="D1207" s="94">
        <v>2517.0</v>
      </c>
    </row>
    <row r="1208">
      <c r="A1208" s="40">
        <f t="array" ref="A1208">IFNA(index(PlayerValues!A:A,match(IFNA(vlookup(B1208,'Special Names'!A:B,2,FALSE),B1208),PlayerValues!E:E,0)),"N/A")</f>
        <v>16204</v>
      </c>
      <c r="B1208" s="4" t="s">
        <v>530</v>
      </c>
      <c r="C1208" s="4" t="s">
        <v>287</v>
      </c>
      <c r="D1208" s="94">
        <v>2514.0</v>
      </c>
    </row>
    <row r="1209">
      <c r="A1209" s="40">
        <f t="array" ref="A1209">IFNA(index(PlayerValues!A:A,match(IFNA(vlookup(B1209,'Special Names'!A:B,2,FALSE),B1209),PlayerValues!E:E,0)),"N/A")</f>
        <v>15802</v>
      </c>
      <c r="B1209" s="4" t="s">
        <v>566</v>
      </c>
      <c r="C1209" s="4" t="s">
        <v>298</v>
      </c>
      <c r="D1209" s="94">
        <v>2919.0</v>
      </c>
    </row>
    <row r="1210">
      <c r="A1210" s="40">
        <f t="array" ref="A1210">IFNA(index(PlayerValues!A:A,match(IFNA(vlookup(B1210,'Special Names'!A:B,2,FALSE),B1210),PlayerValues!E:E,0)),"N/A")</f>
        <v>16152</v>
      </c>
      <c r="B1210" s="4" t="s">
        <v>601</v>
      </c>
      <c r="C1210" s="4" t="s">
        <v>283</v>
      </c>
      <c r="D1210" s="94">
        <v>2510.0</v>
      </c>
    </row>
    <row r="1211">
      <c r="A1211" s="40">
        <f t="array" ref="A1211">IFNA(index(PlayerValues!A:A,match(IFNA(vlookup(B1211,'Special Names'!A:B,2,FALSE),B1211),PlayerValues!E:E,0)),"N/A")</f>
        <v>16166</v>
      </c>
      <c r="B1211" s="4" t="s">
        <v>567</v>
      </c>
      <c r="C1211" s="4" t="s">
        <v>278</v>
      </c>
      <c r="D1211" s="94">
        <v>2494.0</v>
      </c>
    </row>
    <row r="1212">
      <c r="A1212" s="40">
        <f t="array" ref="A1212">IFNA(index(PlayerValues!A:A,match(IFNA(vlookup(B1212,'Special Names'!A:B,2,FALSE),B1212),PlayerValues!E:E,0)),"N/A")</f>
        <v>16757</v>
      </c>
      <c r="B1212" s="4" t="s">
        <v>558</v>
      </c>
      <c r="C1212" s="4" t="s">
        <v>278</v>
      </c>
      <c r="D1212" s="94">
        <v>2469.0</v>
      </c>
    </row>
    <row r="1213">
      <c r="A1213" s="40">
        <f t="array" ref="A1213">IFNA(index(PlayerValues!A:A,match(IFNA(vlookup(B1213,'Special Names'!A:B,2,FALSE),B1213),PlayerValues!E:E,0)),"N/A")</f>
        <v>16287</v>
      </c>
      <c r="B1213" s="4" t="s">
        <v>516</v>
      </c>
      <c r="C1213" s="4" t="s">
        <v>287</v>
      </c>
      <c r="D1213" s="94">
        <v>2460.0</v>
      </c>
    </row>
    <row r="1214">
      <c r="A1214" s="40">
        <f t="array" ref="A1214">IFNA(index(PlayerValues!A:A,match(IFNA(vlookup(B1214,'Special Names'!A:B,2,FALSE),B1214),PlayerValues!E:E,0)),"N/A")</f>
        <v>17033</v>
      </c>
      <c r="B1214" s="4" t="s">
        <v>570</v>
      </c>
      <c r="C1214" s="4" t="s">
        <v>283</v>
      </c>
      <c r="D1214" s="94">
        <v>2457.0</v>
      </c>
    </row>
    <row r="1215">
      <c r="A1215" s="40">
        <f t="array" ref="A1215">IFNA(index(PlayerValues!A:A,match(IFNA(vlookup(B1215,'Special Names'!A:B,2,FALSE),B1215),PlayerValues!E:E,0)),"N/A")</f>
        <v>11244</v>
      </c>
      <c r="B1215" s="4" t="s">
        <v>519</v>
      </c>
      <c r="C1215" s="4" t="s">
        <v>298</v>
      </c>
      <c r="D1215" s="94">
        <v>2859.0</v>
      </c>
    </row>
    <row r="1216">
      <c r="A1216" s="40">
        <f t="array" ref="A1216">IFNA(index(PlayerValues!A:A,match(IFNA(vlookup(B1216,'Special Names'!A:B,2,FALSE),B1216),PlayerValues!E:E,0)),"N/A")</f>
        <v>17476</v>
      </c>
      <c r="B1216" s="4" t="s">
        <v>494</v>
      </c>
      <c r="C1216" s="4" t="s">
        <v>278</v>
      </c>
      <c r="D1216" s="94">
        <v>2447.0</v>
      </c>
    </row>
    <row r="1217">
      <c r="A1217" s="40">
        <f t="array" ref="A1217">IFNA(index(PlayerValues!A:A,match(IFNA(vlookup(B1217,'Special Names'!A:B,2,FALSE),B1217),PlayerValues!E:E,0)),"N/A")</f>
        <v>16649</v>
      </c>
      <c r="B1217" s="4" t="s">
        <v>586</v>
      </c>
      <c r="C1217" s="4" t="s">
        <v>298</v>
      </c>
      <c r="D1217" s="94">
        <v>2845.0</v>
      </c>
    </row>
    <row r="1218">
      <c r="A1218" s="40">
        <f t="array" ref="A1218">IFNA(index(PlayerValues!A:A,match(IFNA(vlookup(B1218,'Special Names'!A:B,2,FALSE),B1218),PlayerValues!E:E,0)),"N/A")</f>
        <v>14861</v>
      </c>
      <c r="B1218" s="4" t="s">
        <v>523</v>
      </c>
      <c r="C1218" s="4" t="s">
        <v>298</v>
      </c>
      <c r="D1218" s="94">
        <v>2833.0</v>
      </c>
    </row>
    <row r="1219">
      <c r="A1219" s="40">
        <f t="array" ref="A1219">IFNA(index(PlayerValues!A:A,match(IFNA(vlookup(B1219,'Special Names'!A:B,2,FALSE),B1219),PlayerValues!E:E,0)),"N/A")</f>
        <v>16684</v>
      </c>
      <c r="B1219" s="4" t="s">
        <v>500</v>
      </c>
      <c r="C1219" s="4" t="s">
        <v>287</v>
      </c>
      <c r="D1219" s="94">
        <v>2429.0</v>
      </c>
    </row>
    <row r="1220">
      <c r="A1220" s="40">
        <f t="array" ref="A1220">IFNA(index(PlayerValues!A:A,match(IFNA(vlookup(B1220,'Special Names'!A:B,2,FALSE),B1220),PlayerValues!E:E,0)),"N/A")</f>
        <v>16189</v>
      </c>
      <c r="B1220" s="4" t="s">
        <v>582</v>
      </c>
      <c r="C1220" s="4" t="s">
        <v>287</v>
      </c>
      <c r="D1220" s="94">
        <v>2413.0</v>
      </c>
    </row>
    <row r="1221">
      <c r="A1221" s="40">
        <f t="array" ref="A1221">IFNA(index(PlayerValues!A:A,match(IFNA(vlookup(B1221,'Special Names'!A:B,2,FALSE),B1221),PlayerValues!E:E,0)),"N/A")</f>
        <v>17505</v>
      </c>
      <c r="B1221" s="4" t="s">
        <v>528</v>
      </c>
      <c r="C1221" s="4" t="s">
        <v>287</v>
      </c>
      <c r="D1221" s="94">
        <v>2413.0</v>
      </c>
    </row>
    <row r="1222">
      <c r="A1222" s="40">
        <f t="array" ref="A1222">IFNA(index(PlayerValues!A:A,match(IFNA(vlookup(B1222,'Special Names'!A:B,2,FALSE),B1222),PlayerValues!E:E,0)),"N/A")</f>
        <v>16036</v>
      </c>
      <c r="B1222" s="4" t="s">
        <v>592</v>
      </c>
      <c r="C1222" s="4" t="s">
        <v>298</v>
      </c>
      <c r="D1222" s="94">
        <v>2801.0</v>
      </c>
    </row>
    <row r="1223">
      <c r="A1223" s="40" t="str">
        <f t="array" ref="A1223">IFNA(index(PlayerValues!A:A,match(IFNA(vlookup(B1223,'Special Names'!A:B,2,FALSE),B1223),PlayerValues!E:E,0)),"N/A")</f>
        <v>N/A</v>
      </c>
      <c r="B1223" s="4" t="s">
        <v>86</v>
      </c>
      <c r="C1223" s="4" t="s">
        <v>325</v>
      </c>
      <c r="D1223" s="94">
        <v>2400.0</v>
      </c>
    </row>
    <row r="1224">
      <c r="A1224" s="40" t="str">
        <f t="array" ref="A1224">IFNA(index(PlayerValues!A:A,match(IFNA(vlookup(B1224,'Special Names'!A:B,2,FALSE),B1224),PlayerValues!E:E,0)),"N/A")</f>
        <v>N/A</v>
      </c>
      <c r="B1224" s="4" t="s">
        <v>99</v>
      </c>
      <c r="C1224" s="4" t="s">
        <v>325</v>
      </c>
      <c r="D1224" s="94">
        <v>2397.0</v>
      </c>
    </row>
    <row r="1225">
      <c r="A1225" s="40">
        <f t="array" ref="A1225">IFNA(index(PlayerValues!A:A,match(IFNA(vlookup(B1225,'Special Names'!A:B,2,FALSE),B1225),PlayerValues!E:E,0)),"N/A")</f>
        <v>17078</v>
      </c>
      <c r="B1225" s="4" t="s">
        <v>543</v>
      </c>
      <c r="C1225" s="4" t="s">
        <v>287</v>
      </c>
      <c r="D1225" s="94">
        <v>2397.0</v>
      </c>
    </row>
    <row r="1226">
      <c r="A1226" s="40">
        <f t="array" ref="A1226">IFNA(index(PlayerValues!A:A,match(IFNA(vlookup(B1226,'Special Names'!A:B,2,FALSE),B1226),PlayerValues!E:E,0)),"N/A")</f>
        <v>15749</v>
      </c>
      <c r="B1226" s="4" t="s">
        <v>574</v>
      </c>
      <c r="C1226" s="4" t="s">
        <v>278</v>
      </c>
      <c r="D1226" s="94">
        <v>2396.0</v>
      </c>
    </row>
    <row r="1227">
      <c r="A1227" s="40">
        <f t="array" ref="A1227">IFNA(index(PlayerValues!A:A,match(IFNA(vlookup(B1227,'Special Names'!A:B,2,FALSE),B1227),PlayerValues!E:E,0)),"N/A")</f>
        <v>17048</v>
      </c>
      <c r="B1227" s="4" t="s">
        <v>539</v>
      </c>
      <c r="C1227" s="4" t="s">
        <v>278</v>
      </c>
      <c r="D1227" s="94">
        <v>2388.0</v>
      </c>
    </row>
    <row r="1228">
      <c r="A1228" s="40">
        <f t="array" ref="A1228">IFNA(index(PlayerValues!A:A,match(IFNA(vlookup(B1228,'Special Names'!A:B,2,FALSE),B1228),PlayerValues!E:E,0)),"N/A")</f>
        <v>15786</v>
      </c>
      <c r="B1228" s="4" t="s">
        <v>521</v>
      </c>
      <c r="C1228" s="4" t="s">
        <v>287</v>
      </c>
      <c r="D1228" s="94">
        <v>2377.0</v>
      </c>
    </row>
    <row r="1229">
      <c r="A1229" s="40">
        <f t="array" ref="A1229">IFNA(index(PlayerValues!A:A,match(IFNA(vlookup(B1229,'Special Names'!A:B,2,FALSE),B1229),PlayerValues!E:E,0)),"N/A")</f>
        <v>16610</v>
      </c>
      <c r="B1229" s="4" t="s">
        <v>562</v>
      </c>
      <c r="C1229" s="4" t="s">
        <v>278</v>
      </c>
      <c r="D1229" s="94">
        <v>2348.0</v>
      </c>
    </row>
    <row r="1230">
      <c r="A1230" s="40">
        <f t="array" ref="A1230">IFNA(index(PlayerValues!A:A,match(IFNA(vlookup(B1230,'Special Names'!A:B,2,FALSE),B1230),PlayerValues!E:E,0)),"N/A")</f>
        <v>12676</v>
      </c>
      <c r="B1230" s="4" t="s">
        <v>537</v>
      </c>
      <c r="C1230" s="4" t="s">
        <v>298</v>
      </c>
      <c r="D1230" s="94">
        <v>2741.0</v>
      </c>
    </row>
    <row r="1231">
      <c r="A1231" s="40">
        <f t="array" ref="A1231">IFNA(index(PlayerValues!A:A,match(IFNA(vlookup(B1231,'Special Names'!A:B,2,FALSE),B1231),PlayerValues!E:E,0)),"N/A")</f>
        <v>16195</v>
      </c>
      <c r="B1231" s="4" t="s">
        <v>509</v>
      </c>
      <c r="C1231" s="4" t="s">
        <v>287</v>
      </c>
      <c r="D1231" s="94">
        <v>2342.0</v>
      </c>
    </row>
    <row r="1232">
      <c r="A1232" s="40">
        <f t="array" ref="A1232">IFNA(index(PlayerValues!A:A,match(IFNA(vlookup(B1232,'Special Names'!A:B,2,FALSE),B1232),PlayerValues!E:E,0)),"N/A")</f>
        <v>16212</v>
      </c>
      <c r="B1232" s="4" t="s">
        <v>568</v>
      </c>
      <c r="C1232" s="4" t="s">
        <v>298</v>
      </c>
      <c r="D1232" s="94">
        <v>2711.0</v>
      </c>
    </row>
    <row r="1233">
      <c r="A1233" s="40">
        <f t="array" ref="A1233">IFNA(index(PlayerValues!A:A,match(IFNA(vlookup(B1233,'Special Names'!A:B,2,FALSE),B1233),PlayerValues!E:E,0)),"N/A")</f>
        <v>17046</v>
      </c>
      <c r="B1233" s="4" t="s">
        <v>602</v>
      </c>
      <c r="C1233" s="4" t="s">
        <v>278</v>
      </c>
      <c r="D1233" s="94">
        <v>2314.0</v>
      </c>
    </row>
    <row r="1234">
      <c r="A1234" s="40">
        <f t="array" ref="A1234">IFNA(index(PlayerValues!A:A,match(IFNA(vlookup(B1234,'Special Names'!A:B,2,FALSE),B1234),PlayerValues!E:E,0)),"N/A")</f>
        <v>12801</v>
      </c>
      <c r="B1234" s="4" t="s">
        <v>722</v>
      </c>
      <c r="C1234" s="4" t="s">
        <v>287</v>
      </c>
      <c r="D1234" s="94">
        <v>2305.0</v>
      </c>
    </row>
    <row r="1235">
      <c r="A1235" s="40">
        <f t="array" ref="A1235">IFNA(index(PlayerValues!A:A,match(IFNA(vlookup(B1235,'Special Names'!A:B,2,FALSE),B1235),PlayerValues!E:E,0)),"N/A")</f>
        <v>15238</v>
      </c>
      <c r="B1235" s="4" t="s">
        <v>613</v>
      </c>
      <c r="C1235" s="4" t="s">
        <v>283</v>
      </c>
      <c r="D1235" s="94">
        <v>2302.0</v>
      </c>
    </row>
    <row r="1236">
      <c r="A1236" s="40">
        <f t="array" ref="A1236">IFNA(index(PlayerValues!A:A,match(IFNA(vlookup(B1236,'Special Names'!A:B,2,FALSE),B1236),PlayerValues!E:E,0)),"N/A")</f>
        <v>13772</v>
      </c>
      <c r="B1236" s="4" t="s">
        <v>544</v>
      </c>
      <c r="C1236" s="4" t="s">
        <v>298</v>
      </c>
      <c r="D1236" s="94">
        <v>2687.0</v>
      </c>
    </row>
    <row r="1237">
      <c r="A1237" s="40">
        <f t="array" ref="A1237">IFNA(index(PlayerValues!A:A,match(IFNA(vlookup(B1237,'Special Names'!A:B,2,FALSE),B1237),PlayerValues!E:E,0)),"N/A")</f>
        <v>17076</v>
      </c>
      <c r="B1237" s="4" t="s">
        <v>585</v>
      </c>
      <c r="C1237" s="4" t="s">
        <v>287</v>
      </c>
      <c r="D1237" s="94">
        <v>2290.0</v>
      </c>
    </row>
    <row r="1238">
      <c r="A1238" s="40">
        <f t="array" ref="A1238">IFNA(index(PlayerValues!A:A,match(IFNA(vlookup(B1238,'Special Names'!A:B,2,FALSE),B1238),PlayerValues!E:E,0)),"N/A")</f>
        <v>16174</v>
      </c>
      <c r="B1238" s="4" t="s">
        <v>505</v>
      </c>
      <c r="C1238" s="4" t="s">
        <v>278</v>
      </c>
      <c r="D1238" s="94">
        <v>2278.0</v>
      </c>
    </row>
    <row r="1239">
      <c r="A1239" s="40">
        <f t="array" ref="A1239">IFNA(index(PlayerValues!A:A,match(IFNA(vlookup(B1239,'Special Names'!A:B,2,FALSE),B1239),PlayerValues!E:E,0)),"N/A")</f>
        <v>17079</v>
      </c>
      <c r="B1239" s="4" t="s">
        <v>572</v>
      </c>
      <c r="C1239" s="4" t="s">
        <v>287</v>
      </c>
      <c r="D1239" s="94">
        <v>2275.0</v>
      </c>
    </row>
    <row r="1240">
      <c r="A1240" s="40">
        <f t="array" ref="A1240">IFNA(index(PlayerValues!A:A,match(IFNA(vlookup(B1240,'Special Names'!A:B,2,FALSE),B1240),PlayerValues!E:E,0)),"N/A")</f>
        <v>15716</v>
      </c>
      <c r="B1240" s="4" t="s">
        <v>545</v>
      </c>
      <c r="C1240" s="4" t="s">
        <v>278</v>
      </c>
      <c r="D1240" s="94">
        <v>2256.0</v>
      </c>
    </row>
    <row r="1241">
      <c r="A1241" s="40" t="str">
        <f t="array" ref="A1241">IFNA(index(PlayerValues!A:A,match(IFNA(vlookup(B1241,'Special Names'!A:B,2,FALSE),B1241),PlayerValues!E:E,0)),"N/A")</f>
        <v>N/A</v>
      </c>
      <c r="B1241" s="4" t="s">
        <v>87</v>
      </c>
      <c r="C1241" s="4" t="s">
        <v>325</v>
      </c>
      <c r="D1241" s="94">
        <v>2250.0</v>
      </c>
    </row>
    <row r="1242">
      <c r="A1242" s="40">
        <f t="array" ref="A1242">IFNA(index(PlayerValues!A:A,match(IFNA(vlookup(B1242,'Special Names'!A:B,2,FALSE),B1242),PlayerValues!E:E,0)),"N/A")</f>
        <v>17482</v>
      </c>
      <c r="B1242" s="4" t="s">
        <v>460</v>
      </c>
      <c r="C1242" s="4" t="s">
        <v>278</v>
      </c>
      <c r="D1242" s="94">
        <v>2248.0</v>
      </c>
    </row>
    <row r="1243">
      <c r="A1243" s="40">
        <f t="array" ref="A1243">IFNA(index(PlayerValues!A:A,match(IFNA(vlookup(B1243,'Special Names'!A:B,2,FALSE),B1243),PlayerValues!E:E,0)),"N/A")</f>
        <v>12186</v>
      </c>
      <c r="B1243" s="4" t="s">
        <v>497</v>
      </c>
      <c r="C1243" s="4" t="s">
        <v>287</v>
      </c>
      <c r="D1243" s="94">
        <v>2246.0</v>
      </c>
    </row>
    <row r="1244">
      <c r="A1244" s="40" t="str">
        <f t="array" ref="A1244">IFNA(index(PlayerValues!A:A,match(IFNA(vlookup(B1244,'Special Names'!A:B,2,FALSE),B1244),PlayerValues!E:E,0)),"N/A")</f>
        <v>N/A</v>
      </c>
      <c r="B1244" s="4" t="s">
        <v>100</v>
      </c>
      <c r="C1244" s="4" t="s">
        <v>325</v>
      </c>
      <c r="D1244" s="94">
        <v>2219.0</v>
      </c>
    </row>
    <row r="1245">
      <c r="A1245" s="40">
        <f t="array" ref="A1245">IFNA(index(PlayerValues!A:A,match(IFNA(vlookup(B1245,'Special Names'!A:B,2,FALSE),B1245),PlayerValues!E:E,0)),"N/A")</f>
        <v>15331</v>
      </c>
      <c r="B1245" s="4" t="s">
        <v>560</v>
      </c>
      <c r="C1245" s="4" t="s">
        <v>298</v>
      </c>
      <c r="D1245" s="94">
        <v>2591.0</v>
      </c>
    </row>
    <row r="1246">
      <c r="A1246" s="40">
        <f t="array" ref="A1246">IFNA(index(PlayerValues!A:A,match(IFNA(vlookup(B1246,'Special Names'!A:B,2,FALSE),B1246),PlayerValues!E:E,0)),"N/A")</f>
        <v>17087</v>
      </c>
      <c r="B1246" s="4" t="s">
        <v>600</v>
      </c>
      <c r="C1246" s="4" t="s">
        <v>287</v>
      </c>
      <c r="D1246" s="94">
        <v>2194.0</v>
      </c>
    </row>
    <row r="1247">
      <c r="A1247" s="40">
        <f t="array" ref="A1247">IFNA(index(PlayerValues!A:A,match(IFNA(vlookup(B1247,'Special Names'!A:B,2,FALSE),B1247),PlayerValues!E:E,0)),"N/A")</f>
        <v>16432</v>
      </c>
      <c r="B1247" s="4" t="s">
        <v>620</v>
      </c>
      <c r="C1247" s="4" t="s">
        <v>278</v>
      </c>
      <c r="D1247" s="94">
        <v>2188.0</v>
      </c>
    </row>
    <row r="1248">
      <c r="A1248" s="40">
        <f t="array" ref="A1248">IFNA(index(PlayerValues!A:A,match(IFNA(vlookup(B1248,'Special Names'!A:B,2,FALSE),B1248),PlayerValues!E:E,0)),"N/A")</f>
        <v>14871</v>
      </c>
      <c r="B1248" s="4" t="s">
        <v>584</v>
      </c>
      <c r="C1248" s="4" t="s">
        <v>298</v>
      </c>
      <c r="D1248" s="94">
        <v>2560.0</v>
      </c>
    </row>
    <row r="1249">
      <c r="A1249" s="40" t="str">
        <f t="array" ref="A1249">IFNA(index(PlayerValues!A:A,match(IFNA(vlookup(B1249,'Special Names'!A:B,2,FALSE),B1249),PlayerValues!E:E,0)),"N/A")</f>
        <v>N/A</v>
      </c>
      <c r="B1249" s="4" t="s">
        <v>112</v>
      </c>
      <c r="C1249" s="4" t="s">
        <v>325</v>
      </c>
      <c r="D1249" s="94">
        <v>2167.0</v>
      </c>
    </row>
    <row r="1250">
      <c r="A1250" s="40">
        <f t="array" ref="A1250">IFNA(index(PlayerValues!A:A,match(IFNA(vlookup(B1250,'Special Names'!A:B,2,FALSE),B1250),PlayerValues!E:E,0)),"N/A")</f>
        <v>17474</v>
      </c>
      <c r="B1250" s="4" t="s">
        <v>513</v>
      </c>
      <c r="C1250" s="4" t="s">
        <v>278</v>
      </c>
      <c r="D1250" s="94">
        <v>2166.0</v>
      </c>
    </row>
    <row r="1251">
      <c r="A1251" s="40">
        <f t="array" ref="A1251">IFNA(index(PlayerValues!A:A,match(IFNA(vlookup(B1251,'Special Names'!A:B,2,FALSE),B1251),PlayerValues!E:E,0)),"N/A")</f>
        <v>17049</v>
      </c>
      <c r="B1251" s="4" t="s">
        <v>624</v>
      </c>
      <c r="C1251" s="4" t="s">
        <v>278</v>
      </c>
      <c r="D1251" s="94">
        <v>2160.0</v>
      </c>
    </row>
    <row r="1252">
      <c r="A1252" s="40">
        <f t="array" ref="A1252">IFNA(index(PlayerValues!A:A,match(IFNA(vlookup(B1252,'Special Names'!A:B,2,FALSE),B1252),PlayerValues!E:E,0)),"N/A")</f>
        <v>16342</v>
      </c>
      <c r="B1252" s="4" t="s">
        <v>583</v>
      </c>
      <c r="C1252" s="4" t="s">
        <v>287</v>
      </c>
      <c r="D1252" s="94">
        <v>2158.0</v>
      </c>
    </row>
    <row r="1253">
      <c r="A1253" s="40">
        <f t="array" ref="A1253">IFNA(index(PlayerValues!A:A,match(IFNA(vlookup(B1253,'Special Names'!A:B,2,FALSE),B1253),PlayerValues!E:E,0)),"N/A")</f>
        <v>17061</v>
      </c>
      <c r="B1253" s="4" t="s">
        <v>580</v>
      </c>
      <c r="C1253" s="4" t="s">
        <v>278</v>
      </c>
      <c r="D1253" s="94">
        <v>2150.0</v>
      </c>
    </row>
    <row r="1254">
      <c r="A1254" s="40">
        <f t="array" ref="A1254">IFNA(index(PlayerValues!A:A,match(IFNA(vlookup(B1254,'Special Names'!A:B,2,FALSE),B1254),PlayerValues!E:E,0)),"N/A")</f>
        <v>16639</v>
      </c>
      <c r="B1254" s="4" t="s">
        <v>599</v>
      </c>
      <c r="C1254" s="4" t="s">
        <v>287</v>
      </c>
      <c r="D1254" s="94">
        <v>2141.0</v>
      </c>
    </row>
    <row r="1255">
      <c r="A1255" s="40">
        <f t="array" ref="A1255">IFNA(index(PlayerValues!A:A,match(IFNA(vlookup(B1255,'Special Names'!A:B,2,FALSE),B1255),PlayerValues!E:E,0)),"N/A")</f>
        <v>13146</v>
      </c>
      <c r="B1255" s="4" t="s">
        <v>652</v>
      </c>
      <c r="C1255" s="4" t="s">
        <v>278</v>
      </c>
      <c r="D1255" s="94">
        <v>2138.0</v>
      </c>
    </row>
    <row r="1256">
      <c r="A1256" s="40" t="str">
        <f t="array" ref="A1256">IFNA(index(PlayerValues!A:A,match(IFNA(vlookup(B1256,'Special Names'!A:B,2,FALSE),B1256),PlayerValues!E:E,0)),"N/A")</f>
        <v>N/A</v>
      </c>
      <c r="B1256" s="4" t="s">
        <v>88</v>
      </c>
      <c r="C1256" s="4" t="s">
        <v>325</v>
      </c>
      <c r="D1256" s="94">
        <v>2135.0</v>
      </c>
    </row>
    <row r="1257">
      <c r="A1257" s="40" t="str">
        <f t="array" ref="A1257">IFNA(index(PlayerValues!A:A,match(IFNA(vlookup(B1257,'Special Names'!A:B,2,FALSE),B1257),PlayerValues!E:E,0)),"N/A")</f>
        <v>N/A</v>
      </c>
      <c r="B1257" s="4" t="s">
        <v>113</v>
      </c>
      <c r="C1257" s="4" t="s">
        <v>325</v>
      </c>
      <c r="D1257" s="94">
        <v>2134.0</v>
      </c>
    </row>
    <row r="1258">
      <c r="A1258" s="40">
        <f t="array" ref="A1258">IFNA(index(PlayerValues!A:A,match(IFNA(vlookup(B1258,'Special Names'!A:B,2,FALSE),B1258),PlayerValues!E:E,0)),"N/A")</f>
        <v>16191</v>
      </c>
      <c r="B1258" s="4" t="s">
        <v>666</v>
      </c>
      <c r="C1258" s="4" t="s">
        <v>287</v>
      </c>
      <c r="D1258" s="94">
        <v>2132.0</v>
      </c>
    </row>
    <row r="1259">
      <c r="A1259" s="40">
        <f t="array" ref="A1259">IFNA(index(PlayerValues!A:A,match(IFNA(vlookup(B1259,'Special Names'!A:B,2,FALSE),B1259),PlayerValues!E:E,0)),"N/A")</f>
        <v>13132</v>
      </c>
      <c r="B1259" s="4" t="s">
        <v>598</v>
      </c>
      <c r="C1259" s="4" t="s">
        <v>278</v>
      </c>
      <c r="D1259" s="94">
        <v>2128.0</v>
      </c>
    </row>
    <row r="1260">
      <c r="A1260" s="40">
        <f t="array" ref="A1260">IFNA(index(PlayerValues!A:A,match(IFNA(vlookup(B1260,'Special Names'!A:B,2,FALSE),B1260),PlayerValues!E:E,0)),"N/A")</f>
        <v>17509</v>
      </c>
      <c r="B1260" s="4" t="s">
        <v>551</v>
      </c>
      <c r="C1260" s="4" t="s">
        <v>287</v>
      </c>
      <c r="D1260" s="94">
        <v>2124.0</v>
      </c>
    </row>
    <row r="1261">
      <c r="A1261" s="40">
        <f t="array" ref="A1261">IFNA(index(PlayerValues!A:A,match(IFNA(vlookup(B1261,'Special Names'!A:B,2,FALSE),B1261),PlayerValues!E:E,0)),"N/A")</f>
        <v>11150</v>
      </c>
      <c r="B1261" s="4" t="s">
        <v>559</v>
      </c>
      <c r="C1261" s="4" t="s">
        <v>283</v>
      </c>
      <c r="D1261" s="94">
        <v>2122.0</v>
      </c>
    </row>
    <row r="1262">
      <c r="A1262" s="40">
        <f t="array" ref="A1262">IFNA(index(PlayerValues!A:A,match(IFNA(vlookup(B1262,'Special Names'!A:B,2,FALSE),B1262),PlayerValues!E:E,0)),"N/A")</f>
        <v>16643</v>
      </c>
      <c r="B1262" s="4" t="s">
        <v>609</v>
      </c>
      <c r="C1262" s="4" t="s">
        <v>298</v>
      </c>
      <c r="D1262" s="94">
        <v>2515.0</v>
      </c>
    </row>
    <row r="1263">
      <c r="A1263" s="40">
        <f t="array" ref="A1263">IFNA(index(PlayerValues!A:A,match(IFNA(vlookup(B1263,'Special Names'!A:B,2,FALSE),B1263),PlayerValues!E:E,0)),"N/A")</f>
        <v>17507</v>
      </c>
      <c r="B1263" s="4" t="s">
        <v>495</v>
      </c>
      <c r="C1263" s="4" t="s">
        <v>287</v>
      </c>
      <c r="D1263" s="94">
        <v>2122.0</v>
      </c>
    </row>
    <row r="1264">
      <c r="A1264" s="40">
        <f t="array" ref="A1264">IFNA(index(PlayerValues!A:A,match(IFNA(vlookup(B1264,'Special Names'!A:B,2,FALSE),B1264),PlayerValues!E:E,0)),"N/A")</f>
        <v>17056</v>
      </c>
      <c r="B1264" s="4" t="s">
        <v>581</v>
      </c>
      <c r="C1264" s="4" t="s">
        <v>278</v>
      </c>
      <c r="D1264" s="94">
        <v>2118.0</v>
      </c>
    </row>
    <row r="1265">
      <c r="A1265" s="40">
        <f t="array" ref="A1265">IFNA(index(PlayerValues!A:A,match(IFNA(vlookup(B1265,'Special Names'!A:B,2,FALSE),B1265),PlayerValues!E:E,0)),"N/A")</f>
        <v>15293</v>
      </c>
      <c r="B1265" s="4" t="s">
        <v>578</v>
      </c>
      <c r="C1265" s="4" t="s">
        <v>287</v>
      </c>
      <c r="D1265" s="94">
        <v>2111.0</v>
      </c>
    </row>
    <row r="1266">
      <c r="A1266" s="40">
        <f t="array" ref="A1266">IFNA(index(PlayerValues!A:A,match(IFNA(vlookup(B1266,'Special Names'!A:B,2,FALSE),B1266),PlayerValues!E:E,0)),"N/A")</f>
        <v>17060</v>
      </c>
      <c r="B1266" s="4" t="s">
        <v>603</v>
      </c>
      <c r="C1266" s="4" t="s">
        <v>278</v>
      </c>
      <c r="D1266" s="94">
        <v>2111.0</v>
      </c>
    </row>
    <row r="1267">
      <c r="A1267" s="40">
        <f t="array" ref="A1267">IFNA(index(PlayerValues!A:A,match(IFNA(vlookup(B1267,'Special Names'!A:B,2,FALSE),B1267),PlayerValues!E:E,0)),"N/A")</f>
        <v>14974</v>
      </c>
      <c r="B1267" s="4" t="s">
        <v>611</v>
      </c>
      <c r="C1267" s="4" t="s">
        <v>287</v>
      </c>
      <c r="D1267" s="94">
        <v>2104.0</v>
      </c>
    </row>
    <row r="1268">
      <c r="A1268" s="40">
        <f t="array" ref="A1268">IFNA(index(PlayerValues!A:A,match(IFNA(vlookup(B1268,'Special Names'!A:B,2,FALSE),B1268),PlayerValues!E:E,0)),"N/A")</f>
        <v>13633</v>
      </c>
      <c r="B1268" s="4" t="s">
        <v>625</v>
      </c>
      <c r="C1268" s="4" t="s">
        <v>287</v>
      </c>
      <c r="D1268" s="94">
        <v>2098.0</v>
      </c>
    </row>
    <row r="1269">
      <c r="A1269" s="40">
        <f t="array" ref="A1269">IFNA(index(PlayerValues!A:A,match(IFNA(vlookup(B1269,'Special Names'!A:B,2,FALSE),B1269),PlayerValues!E:E,0)),"N/A")</f>
        <v>17036</v>
      </c>
      <c r="B1269" s="4" t="s">
        <v>617</v>
      </c>
      <c r="C1269" s="4" t="s">
        <v>283</v>
      </c>
      <c r="D1269" s="94">
        <v>2092.0</v>
      </c>
    </row>
    <row r="1270">
      <c r="A1270" s="40">
        <f t="array" ref="A1270">IFNA(index(PlayerValues!A:A,match(IFNA(vlookup(B1270,'Special Names'!A:B,2,FALSE),B1270),PlayerValues!E:E,0)),"N/A")</f>
        <v>13319</v>
      </c>
      <c r="B1270" s="4" t="s">
        <v>549</v>
      </c>
      <c r="C1270" s="4" t="s">
        <v>278</v>
      </c>
      <c r="D1270" s="94">
        <v>2087.0</v>
      </c>
    </row>
    <row r="1271">
      <c r="A1271" s="40">
        <f t="array" ref="A1271">IFNA(index(PlayerValues!A:A,match(IFNA(vlookup(B1271,'Special Names'!A:B,2,FALSE),B1271),PlayerValues!E:E,0)),"N/A")</f>
        <v>17464</v>
      </c>
      <c r="B1271" s="4" t="s">
        <v>828</v>
      </c>
      <c r="C1271" s="4" t="s">
        <v>283</v>
      </c>
      <c r="D1271" s="94">
        <v>2053.0</v>
      </c>
    </row>
    <row r="1272">
      <c r="A1272" s="40">
        <f t="array" ref="A1272">IFNA(index(PlayerValues!A:A,match(IFNA(vlookup(B1272,'Special Names'!A:B,2,FALSE),B1272),PlayerValues!E:E,0)),"N/A")</f>
        <v>14867</v>
      </c>
      <c r="B1272" s="4" t="s">
        <v>591</v>
      </c>
      <c r="C1272" s="4" t="s">
        <v>298</v>
      </c>
      <c r="D1272" s="94">
        <v>2441.0</v>
      </c>
    </row>
    <row r="1273">
      <c r="A1273" s="40">
        <f t="array" ref="A1273">IFNA(index(PlayerValues!A:A,match(IFNA(vlookup(B1273,'Special Names'!A:B,2,FALSE),B1273),PlayerValues!E:E,0)),"N/A")</f>
        <v>17465</v>
      </c>
      <c r="B1273" s="4" t="s">
        <v>649</v>
      </c>
      <c r="C1273" s="4" t="s">
        <v>283</v>
      </c>
      <c r="D1273" s="94">
        <v>2046.0</v>
      </c>
    </row>
    <row r="1274">
      <c r="A1274" s="40">
        <f t="array" ref="A1274">IFNA(index(PlayerValues!A:A,match(IFNA(vlookup(B1274,'Special Names'!A:B,2,FALSE),B1274),PlayerValues!E:E,0)),"N/A")</f>
        <v>17069</v>
      </c>
      <c r="B1274" s="4" t="s">
        <v>604</v>
      </c>
      <c r="C1274" s="4" t="s">
        <v>278</v>
      </c>
      <c r="D1274" s="94">
        <v>2021.0</v>
      </c>
    </row>
    <row r="1275">
      <c r="A1275" s="40">
        <f t="array" ref="A1275">IFNA(index(PlayerValues!A:A,match(IFNA(vlookup(B1275,'Special Names'!A:B,2,FALSE),B1275),PlayerValues!E:E,0)),"N/A")</f>
        <v>16171</v>
      </c>
      <c r="B1275" s="4" t="s">
        <v>618</v>
      </c>
      <c r="C1275" s="4" t="s">
        <v>278</v>
      </c>
      <c r="D1275" s="94">
        <v>1991.0</v>
      </c>
    </row>
    <row r="1276">
      <c r="A1276" s="40">
        <f t="array" ref="A1276">IFNA(index(PlayerValues!A:A,match(IFNA(vlookup(B1276,'Special Names'!A:B,2,FALSE),B1276),PlayerValues!E:E,0)),"N/A")</f>
        <v>16603</v>
      </c>
      <c r="B1276" s="4" t="s">
        <v>587</v>
      </c>
      <c r="C1276" s="4" t="s">
        <v>278</v>
      </c>
      <c r="D1276" s="94">
        <v>1974.0</v>
      </c>
    </row>
    <row r="1277">
      <c r="A1277" s="40" t="str">
        <f t="array" ref="A1277">IFNA(index(PlayerValues!A:A,match(IFNA(vlookup(B1277,'Special Names'!A:B,2,FALSE),B1277),PlayerValues!E:E,0)),"N/A")</f>
        <v>N/A</v>
      </c>
      <c r="B1277" s="4" t="s">
        <v>114</v>
      </c>
      <c r="C1277" s="4" t="s">
        <v>325</v>
      </c>
      <c r="D1277" s="94">
        <v>1964.0</v>
      </c>
    </row>
    <row r="1278">
      <c r="A1278" s="40">
        <f t="array" ref="A1278">IFNA(index(PlayerValues!A:A,match(IFNA(vlookup(B1278,'Special Names'!A:B,2,FALSE),B1278),PlayerValues!E:E,0)),"N/A")</f>
        <v>17506</v>
      </c>
      <c r="B1278" s="4" t="s">
        <v>471</v>
      </c>
      <c r="C1278" s="4" t="s">
        <v>287</v>
      </c>
      <c r="D1278" s="94">
        <v>1961.0</v>
      </c>
    </row>
    <row r="1279">
      <c r="A1279" s="40">
        <f t="array" ref="A1279">IFNA(index(PlayerValues!A:A,match(IFNA(vlookup(B1279,'Special Names'!A:B,2,FALSE),B1279),PlayerValues!E:E,0)),"N/A")</f>
        <v>17034</v>
      </c>
      <c r="B1279" s="4" t="s">
        <v>643</v>
      </c>
      <c r="C1279" s="4" t="s">
        <v>283</v>
      </c>
      <c r="D1279" s="94">
        <v>1934.0</v>
      </c>
    </row>
    <row r="1280">
      <c r="A1280" s="40">
        <f t="array" ref="A1280">IFNA(index(PlayerValues!A:A,match(IFNA(vlookup(B1280,'Special Names'!A:B,2,FALSE),B1280),PlayerValues!E:E,0)),"N/A")</f>
        <v>17055</v>
      </c>
      <c r="B1280" s="4" t="s">
        <v>565</v>
      </c>
      <c r="C1280" s="4" t="s">
        <v>278</v>
      </c>
      <c r="D1280" s="94">
        <v>1929.0</v>
      </c>
    </row>
    <row r="1281">
      <c r="A1281" s="40">
        <f t="array" ref="A1281">IFNA(index(PlayerValues!A:A,match(IFNA(vlookup(B1281,'Special Names'!A:B,2,FALSE),B1281),PlayerValues!E:E,0)),"N/A")</f>
        <v>16216</v>
      </c>
      <c r="B1281" s="4" t="s">
        <v>595</v>
      </c>
      <c r="C1281" s="4" t="s">
        <v>298</v>
      </c>
      <c r="D1281" s="94">
        <v>2310.0</v>
      </c>
    </row>
    <row r="1282">
      <c r="A1282" s="40">
        <f t="array" ref="A1282">IFNA(index(PlayerValues!A:A,match(IFNA(vlookup(B1282,'Special Names'!A:B,2,FALSE),B1282),PlayerValues!E:E,0)),"N/A")</f>
        <v>14105</v>
      </c>
      <c r="B1282" s="4" t="s">
        <v>675</v>
      </c>
      <c r="C1282" s="4" t="s">
        <v>287</v>
      </c>
      <c r="D1282" s="94">
        <v>1920.0</v>
      </c>
    </row>
    <row r="1283">
      <c r="A1283" s="40">
        <f t="array" ref="A1283">IFNA(index(PlayerValues!A:A,match(IFNA(vlookup(B1283,'Special Names'!A:B,2,FALSE),B1283),PlayerValues!E:E,0)),"N/A")</f>
        <v>16752</v>
      </c>
      <c r="B1283" s="4" t="s">
        <v>597</v>
      </c>
      <c r="C1283" s="4" t="s">
        <v>278</v>
      </c>
      <c r="D1283" s="94">
        <v>1919.0</v>
      </c>
    </row>
    <row r="1284">
      <c r="A1284" s="40">
        <f t="array" ref="A1284">IFNA(index(PlayerValues!A:A,match(IFNA(vlookup(B1284,'Special Names'!A:B,2,FALSE),B1284),PlayerValues!E:E,0)),"N/A")</f>
        <v>16778</v>
      </c>
      <c r="B1284" s="4" t="s">
        <v>577</v>
      </c>
      <c r="C1284" s="4" t="s">
        <v>287</v>
      </c>
      <c r="D1284" s="94">
        <v>1912.0</v>
      </c>
    </row>
    <row r="1285">
      <c r="A1285" s="40">
        <f t="array" ref="A1285">IFNA(index(PlayerValues!A:A,match(IFNA(vlookup(B1285,'Special Names'!A:B,2,FALSE),B1285),PlayerValues!E:E,0)),"N/A")</f>
        <v>16215</v>
      </c>
      <c r="B1285" s="4" t="s">
        <v>637</v>
      </c>
      <c r="C1285" s="4" t="s">
        <v>298</v>
      </c>
      <c r="D1285" s="94">
        <v>2280.0</v>
      </c>
    </row>
    <row r="1286">
      <c r="A1286" s="40">
        <f t="array" ref="A1286">IFNA(index(PlayerValues!A:A,match(IFNA(vlookup(B1286,'Special Names'!A:B,2,FALSE),B1286),PlayerValues!E:E,0)),"N/A")</f>
        <v>17511</v>
      </c>
      <c r="B1286" s="4" t="s">
        <v>485</v>
      </c>
      <c r="C1286" s="4" t="s">
        <v>287</v>
      </c>
      <c r="D1286" s="94">
        <v>1890.0</v>
      </c>
    </row>
    <row r="1287">
      <c r="A1287" s="40">
        <f t="array" ref="A1287">IFNA(index(PlayerValues!A:A,match(IFNA(vlookup(B1287,'Special Names'!A:B,2,FALSE),B1287),PlayerValues!E:E,0)),"N/A")</f>
        <v>17184</v>
      </c>
      <c r="B1287" s="4" t="s">
        <v>588</v>
      </c>
      <c r="C1287" s="4" t="s">
        <v>287</v>
      </c>
      <c r="D1287" s="94">
        <v>1886.0</v>
      </c>
    </row>
    <row r="1288">
      <c r="A1288" s="40">
        <f t="array" ref="A1288">IFNA(index(PlayerValues!A:A,match(IFNA(vlookup(B1288,'Special Names'!A:B,2,FALSE),B1288),PlayerValues!E:E,0)),"N/A")</f>
        <v>15787</v>
      </c>
      <c r="B1288" s="4" t="s">
        <v>610</v>
      </c>
      <c r="C1288" s="4" t="s">
        <v>287</v>
      </c>
      <c r="D1288" s="94">
        <v>1881.0</v>
      </c>
    </row>
    <row r="1289">
      <c r="A1289" s="40">
        <f t="array" ref="A1289">IFNA(index(PlayerValues!A:A,match(IFNA(vlookup(B1289,'Special Names'!A:B,2,FALSE),B1289),PlayerValues!E:E,0)),"N/A")</f>
        <v>16644</v>
      </c>
      <c r="B1289" s="4" t="s">
        <v>640</v>
      </c>
      <c r="C1289" s="4" t="s">
        <v>298</v>
      </c>
      <c r="D1289" s="94">
        <v>2258.0</v>
      </c>
    </row>
    <row r="1290">
      <c r="A1290" s="40">
        <f t="array" ref="A1290">IFNA(index(PlayerValues!A:A,match(IFNA(vlookup(B1290,'Special Names'!A:B,2,FALSE),B1290),PlayerValues!E:E,0)),"N/A")</f>
        <v>17086</v>
      </c>
      <c r="B1290" s="4" t="s">
        <v>612</v>
      </c>
      <c r="C1290" s="4" t="s">
        <v>287</v>
      </c>
      <c r="D1290" s="94">
        <v>1858.0</v>
      </c>
    </row>
    <row r="1291">
      <c r="A1291" s="40">
        <f t="array" ref="A1291">IFNA(index(PlayerValues!A:A,match(IFNA(vlookup(B1291,'Special Names'!A:B,2,FALSE),B1291),PlayerValues!E:E,0)),"N/A")</f>
        <v>15254</v>
      </c>
      <c r="B1291" s="4" t="s">
        <v>633</v>
      </c>
      <c r="C1291" s="4" t="s">
        <v>278</v>
      </c>
      <c r="D1291" s="94">
        <v>1851.0</v>
      </c>
    </row>
    <row r="1292">
      <c r="A1292" s="40">
        <f t="array" ref="A1292">IFNA(index(PlayerValues!A:A,match(IFNA(vlookup(B1292,'Special Names'!A:B,2,FALSE),B1292),PlayerValues!E:E,0)),"N/A")</f>
        <v>13629</v>
      </c>
      <c r="B1292" s="4" t="s">
        <v>619</v>
      </c>
      <c r="C1292" s="4" t="s">
        <v>287</v>
      </c>
      <c r="D1292" s="94">
        <v>1848.0</v>
      </c>
    </row>
    <row r="1293">
      <c r="A1293" s="40">
        <f t="array" ref="A1293">IFNA(index(PlayerValues!A:A,match(IFNA(vlookup(B1293,'Special Names'!A:B,2,FALSE),B1293),PlayerValues!E:E,0)),"N/A")</f>
        <v>17478</v>
      </c>
      <c r="B1293" s="4" t="s">
        <v>527</v>
      </c>
      <c r="C1293" s="4" t="s">
        <v>278</v>
      </c>
      <c r="D1293" s="94">
        <v>1848.0</v>
      </c>
    </row>
    <row r="1294">
      <c r="A1294" s="40">
        <f t="array" ref="A1294">IFNA(index(PlayerValues!A:A,match(IFNA(vlookup(B1294,'Special Names'!A:B,2,FALSE),B1294),PlayerValues!E:E,0)),"N/A")</f>
        <v>13164</v>
      </c>
      <c r="B1294" s="4" t="s">
        <v>632</v>
      </c>
      <c r="C1294" s="4" t="s">
        <v>287</v>
      </c>
      <c r="D1294" s="94">
        <v>1847.0</v>
      </c>
    </row>
    <row r="1295">
      <c r="A1295" s="40">
        <f t="array" ref="A1295">IFNA(index(PlayerValues!A:A,match(IFNA(vlookup(B1295,'Special Names'!A:B,2,FALSE),B1295),PlayerValues!E:E,0)),"N/A")</f>
        <v>16201</v>
      </c>
      <c r="B1295" s="4" t="s">
        <v>589</v>
      </c>
      <c r="C1295" s="4" t="s">
        <v>287</v>
      </c>
      <c r="D1295" s="94">
        <v>1846.0</v>
      </c>
    </row>
    <row r="1296">
      <c r="A1296" s="40">
        <f t="array" ref="A1296">IFNA(index(PlayerValues!A:A,match(IFNA(vlookup(B1296,'Special Names'!A:B,2,FALSE),B1296),PlayerValues!E:E,0)),"N/A")</f>
        <v>15755</v>
      </c>
      <c r="B1296" s="4" t="s">
        <v>628</v>
      </c>
      <c r="C1296" s="4" t="s">
        <v>287</v>
      </c>
      <c r="D1296" s="94">
        <v>1839.0</v>
      </c>
    </row>
    <row r="1297">
      <c r="A1297" s="40">
        <f t="array" ref="A1297">IFNA(index(PlayerValues!A:A,match(IFNA(vlookup(B1297,'Special Names'!A:B,2,FALSE),B1297),PlayerValues!E:E,0)),"N/A")</f>
        <v>16585</v>
      </c>
      <c r="B1297" s="4" t="s">
        <v>623</v>
      </c>
      <c r="C1297" s="4" t="s">
        <v>283</v>
      </c>
      <c r="D1297" s="94">
        <v>1838.0</v>
      </c>
    </row>
    <row r="1298">
      <c r="A1298" s="40" t="str">
        <f t="array" ref="A1298">IFNA(index(PlayerValues!A:A,match(IFNA(vlookup(B1298,'Special Names'!A:B,2,FALSE),B1298),PlayerValues!E:E,0)),"N/A")</f>
        <v>N/A</v>
      </c>
      <c r="B1298" s="4" t="s">
        <v>101</v>
      </c>
      <c r="C1298" s="4" t="s">
        <v>325</v>
      </c>
      <c r="D1298" s="94">
        <v>1837.0</v>
      </c>
    </row>
    <row r="1299">
      <c r="A1299" s="40">
        <f t="array" ref="A1299">IFNA(index(PlayerValues!A:A,match(IFNA(vlookup(B1299,'Special Names'!A:B,2,FALSE),B1299),PlayerValues!E:E,0)),"N/A")</f>
        <v>7836</v>
      </c>
      <c r="B1299" s="4" t="s">
        <v>590</v>
      </c>
      <c r="C1299" s="4" t="s">
        <v>283</v>
      </c>
      <c r="D1299" s="94">
        <v>1829.0</v>
      </c>
    </row>
    <row r="1300">
      <c r="A1300" s="40">
        <f t="array" ref="A1300">IFNA(index(PlayerValues!A:A,match(IFNA(vlookup(B1300,'Special Names'!A:B,2,FALSE),B1300),PlayerValues!E:E,0)),"N/A")</f>
        <v>13189</v>
      </c>
      <c r="B1300" s="4" t="s">
        <v>626</v>
      </c>
      <c r="C1300" s="4" t="s">
        <v>298</v>
      </c>
      <c r="D1300" s="94">
        <v>2211.0</v>
      </c>
    </row>
    <row r="1301">
      <c r="A1301" s="40" t="str">
        <f t="array" ref="A1301">IFNA(index(PlayerValues!A:A,match(IFNA(vlookup(B1301,'Special Names'!A:B,2,FALSE),B1301),PlayerValues!E:E,0)),"N/A")</f>
        <v>N/A</v>
      </c>
      <c r="B1301" s="4" t="s">
        <v>89</v>
      </c>
      <c r="C1301" s="4" t="s">
        <v>325</v>
      </c>
      <c r="D1301" s="94">
        <v>1828.0</v>
      </c>
    </row>
    <row r="1302">
      <c r="A1302" s="40">
        <f t="array" ref="A1302">IFNA(index(PlayerValues!A:A,match(IFNA(vlookup(B1302,'Special Names'!A:B,2,FALSE),B1302),PlayerValues!E:E,0)),"N/A")</f>
        <v>16586</v>
      </c>
      <c r="B1302" s="4" t="s">
        <v>658</v>
      </c>
      <c r="C1302" s="4" t="s">
        <v>283</v>
      </c>
      <c r="D1302" s="94">
        <v>1811.0</v>
      </c>
    </row>
    <row r="1303">
      <c r="A1303" s="40">
        <f t="array" ref="A1303">IFNA(index(PlayerValues!A:A,match(IFNA(vlookup(B1303,'Special Names'!A:B,2,FALSE),B1303),PlayerValues!E:E,0)),"N/A")</f>
        <v>16604</v>
      </c>
      <c r="B1303" s="4" t="s">
        <v>476</v>
      </c>
      <c r="C1303" s="4" t="s">
        <v>278</v>
      </c>
      <c r="D1303" s="94">
        <v>1811.0</v>
      </c>
    </row>
    <row r="1304">
      <c r="A1304" s="40">
        <f t="array" ref="A1304">IFNA(index(PlayerValues!A:A,match(IFNA(vlookup(B1304,'Special Names'!A:B,2,FALSE),B1304),PlayerValues!E:E,0)),"N/A")</f>
        <v>16635</v>
      </c>
      <c r="B1304" s="4" t="s">
        <v>645</v>
      </c>
      <c r="C1304" s="4" t="s">
        <v>287</v>
      </c>
      <c r="D1304" s="94">
        <v>1799.0</v>
      </c>
    </row>
    <row r="1305">
      <c r="A1305" s="40">
        <f t="array" ref="A1305">IFNA(index(PlayerValues!A:A,match(IFNA(vlookup(B1305,'Special Names'!A:B,2,FALSE),B1305),PlayerValues!E:E,0)),"N/A")</f>
        <v>17035</v>
      </c>
      <c r="B1305" s="4" t="s">
        <v>650</v>
      </c>
      <c r="C1305" s="4" t="s">
        <v>283</v>
      </c>
      <c r="D1305" s="94">
        <v>1794.0</v>
      </c>
    </row>
    <row r="1306">
      <c r="A1306" s="40" t="str">
        <f t="array" ref="A1306">IFNA(index(PlayerValues!A:A,match(IFNA(vlookup(B1306,'Special Names'!A:B,2,FALSE),B1306),PlayerValues!E:E,0)),"N/A")</f>
        <v>N/A</v>
      </c>
      <c r="B1306" s="4" t="s">
        <v>102</v>
      </c>
      <c r="C1306" s="4" t="s">
        <v>325</v>
      </c>
      <c r="D1306" s="94">
        <v>1789.0</v>
      </c>
    </row>
    <row r="1307">
      <c r="A1307" s="40">
        <f t="array" ref="A1307">IFNA(index(PlayerValues!A:A,match(IFNA(vlookup(B1307,'Special Names'!A:B,2,FALSE),B1307),PlayerValues!E:E,0)),"N/A")</f>
        <v>15759</v>
      </c>
      <c r="B1307" s="4" t="s">
        <v>662</v>
      </c>
      <c r="C1307" s="4" t="s">
        <v>287</v>
      </c>
      <c r="D1307" s="94">
        <v>1780.0</v>
      </c>
    </row>
    <row r="1308">
      <c r="A1308" s="40">
        <f t="array" ref="A1308">IFNA(index(PlayerValues!A:A,match(IFNA(vlookup(B1308,'Special Names'!A:B,2,FALSE),B1308),PlayerValues!E:E,0)),"N/A")</f>
        <v>10700</v>
      </c>
      <c r="B1308" s="4" t="s">
        <v>596</v>
      </c>
      <c r="C1308" s="4" t="s">
        <v>283</v>
      </c>
      <c r="D1308" s="94">
        <v>1752.0</v>
      </c>
    </row>
    <row r="1309">
      <c r="A1309" s="40">
        <f t="array" ref="A1309">IFNA(index(PlayerValues!A:A,match(IFNA(vlookup(B1309,'Special Names'!A:B,2,FALSE),B1309),PlayerValues!E:E,0)),"N/A")</f>
        <v>11222</v>
      </c>
      <c r="B1309" s="4" t="s">
        <v>622</v>
      </c>
      <c r="C1309" s="4" t="s">
        <v>287</v>
      </c>
      <c r="D1309" s="94">
        <v>1749.0</v>
      </c>
    </row>
    <row r="1310">
      <c r="A1310" s="40">
        <f t="array" ref="A1310">IFNA(index(PlayerValues!A:A,match(IFNA(vlookup(B1310,'Special Names'!A:B,2,FALSE),B1310),PlayerValues!E:E,0)),"N/A")</f>
        <v>17517</v>
      </c>
      <c r="B1310" s="4" t="s">
        <v>454</v>
      </c>
      <c r="C1310" s="4" t="s">
        <v>287</v>
      </c>
      <c r="D1310" s="94">
        <v>1748.0</v>
      </c>
    </row>
    <row r="1311">
      <c r="A1311" s="40">
        <f t="array" ref="A1311">IFNA(index(PlayerValues!A:A,match(IFNA(vlookup(B1311,'Special Names'!A:B,2,FALSE),B1311),PlayerValues!E:E,0)),"N/A")</f>
        <v>14143</v>
      </c>
      <c r="B1311" s="4" t="s">
        <v>635</v>
      </c>
      <c r="C1311" s="4" t="s">
        <v>298</v>
      </c>
      <c r="D1311" s="94">
        <v>2125.0</v>
      </c>
    </row>
    <row r="1312">
      <c r="A1312" s="40">
        <f t="array" ref="A1312">IFNA(index(PlayerValues!A:A,match(IFNA(vlookup(B1312,'Special Names'!A:B,2,FALSE),B1312),PlayerValues!E:E,0)),"N/A")</f>
        <v>16788</v>
      </c>
      <c r="B1312" s="4" t="s">
        <v>621</v>
      </c>
      <c r="C1312" s="4" t="s">
        <v>287</v>
      </c>
      <c r="D1312" s="94">
        <v>1742.0</v>
      </c>
    </row>
    <row r="1313">
      <c r="A1313" s="40">
        <f t="array" ref="A1313">IFNA(index(PlayerValues!A:A,match(IFNA(vlookup(B1313,'Special Names'!A:B,2,FALSE),B1313),PlayerValues!E:E,0)),"N/A")</f>
        <v>16629</v>
      </c>
      <c r="B1313" s="4" t="s">
        <v>605</v>
      </c>
      <c r="C1313" s="4" t="s">
        <v>287</v>
      </c>
      <c r="D1313" s="94">
        <v>1735.0</v>
      </c>
    </row>
    <row r="1314">
      <c r="A1314" s="40">
        <f t="array" ref="A1314">IFNA(index(PlayerValues!A:A,match(IFNA(vlookup(B1314,'Special Names'!A:B,2,FALSE),B1314),PlayerValues!E:E,0)),"N/A")</f>
        <v>17058</v>
      </c>
      <c r="B1314" s="4" t="s">
        <v>641</v>
      </c>
      <c r="C1314" s="4" t="s">
        <v>278</v>
      </c>
      <c r="D1314" s="94">
        <v>1734.0</v>
      </c>
    </row>
    <row r="1315">
      <c r="A1315" s="40">
        <f t="array" ref="A1315">IFNA(index(PlayerValues!A:A,match(IFNA(vlookup(B1315,'Special Names'!A:B,2,FALSE),B1315),PlayerValues!E:E,0)),"N/A")</f>
        <v>16688</v>
      </c>
      <c r="B1315" s="4" t="s">
        <v>688</v>
      </c>
      <c r="C1315" s="4" t="s">
        <v>278</v>
      </c>
      <c r="D1315" s="94">
        <v>1731.0</v>
      </c>
    </row>
    <row r="1316">
      <c r="A1316" s="40">
        <f t="array" ref="A1316">IFNA(index(PlayerValues!A:A,match(IFNA(vlookup(B1316,'Special Names'!A:B,2,FALSE),B1316),PlayerValues!E:E,0)),"N/A")</f>
        <v>16207</v>
      </c>
      <c r="B1316" s="4" t="s">
        <v>636</v>
      </c>
      <c r="C1316" s="4" t="s">
        <v>287</v>
      </c>
      <c r="D1316" s="94">
        <v>1728.0</v>
      </c>
    </row>
    <row r="1317">
      <c r="A1317" s="40">
        <f t="array" ref="A1317">IFNA(index(PlayerValues!A:A,match(IFNA(vlookup(B1317,'Special Names'!A:B,2,FALSE),B1317),PlayerValues!E:E,0)),"N/A")</f>
        <v>17503</v>
      </c>
      <c r="B1317" s="4" t="s">
        <v>480</v>
      </c>
      <c r="C1317" s="4" t="s">
        <v>287</v>
      </c>
      <c r="D1317" s="94">
        <v>1727.0</v>
      </c>
    </row>
    <row r="1318">
      <c r="A1318" s="40">
        <f t="array" ref="A1318">IFNA(index(PlayerValues!A:A,match(IFNA(vlookup(B1318,'Special Names'!A:B,2,FALSE),B1318),PlayerValues!E:E,0)),"N/A")</f>
        <v>15337</v>
      </c>
      <c r="B1318" s="4" t="s">
        <v>655</v>
      </c>
      <c r="C1318" s="4" t="s">
        <v>298</v>
      </c>
      <c r="D1318" s="94">
        <v>2094.0</v>
      </c>
    </row>
    <row r="1319">
      <c r="A1319" s="40">
        <f t="array" ref="A1319">IFNA(index(PlayerValues!A:A,match(IFNA(vlookup(B1319,'Special Names'!A:B,2,FALSE),B1319),PlayerValues!E:E,0)),"N/A")</f>
        <v>17064</v>
      </c>
      <c r="B1319" s="4" t="s">
        <v>631</v>
      </c>
      <c r="C1319" s="4" t="s">
        <v>278</v>
      </c>
      <c r="D1319" s="94">
        <v>1706.0</v>
      </c>
    </row>
    <row r="1320">
      <c r="A1320" s="40">
        <f t="array" ref="A1320">IFNA(index(PlayerValues!A:A,match(IFNA(vlookup(B1320,'Special Names'!A:B,2,FALSE),B1320),PlayerValues!E:E,0)),"N/A")</f>
        <v>15777</v>
      </c>
      <c r="B1320" s="4" t="s">
        <v>694</v>
      </c>
      <c r="C1320" s="4" t="s">
        <v>287</v>
      </c>
      <c r="D1320" s="94">
        <v>1684.0</v>
      </c>
    </row>
    <row r="1321">
      <c r="A1321" s="40">
        <f t="array" ref="A1321">IFNA(index(PlayerValues!A:A,match(IFNA(vlookup(B1321,'Special Names'!A:B,2,FALSE),B1321),PlayerValues!E:E,0)),"N/A")</f>
        <v>16601</v>
      </c>
      <c r="B1321" s="4" t="s">
        <v>648</v>
      </c>
      <c r="C1321" s="4" t="s">
        <v>278</v>
      </c>
      <c r="D1321" s="94">
        <v>1667.0</v>
      </c>
    </row>
    <row r="1322">
      <c r="A1322" s="40">
        <f t="array" ref="A1322">IFNA(index(PlayerValues!A:A,match(IFNA(vlookup(B1322,'Special Names'!A:B,2,FALSE),B1322),PlayerValues!E:E,0)),"N/A")</f>
        <v>15788</v>
      </c>
      <c r="B1322" s="4" t="s">
        <v>627</v>
      </c>
      <c r="C1322" s="4" t="s">
        <v>287</v>
      </c>
      <c r="D1322" s="94">
        <v>1666.0</v>
      </c>
    </row>
    <row r="1323">
      <c r="A1323" s="40" t="str">
        <f t="array" ref="A1323">IFNA(index(PlayerValues!A:A,match(IFNA(vlookup(B1323,'Special Names'!A:B,2,FALSE),B1323),PlayerValues!E:E,0)),"N/A")</f>
        <v>N/A</v>
      </c>
      <c r="B1323" s="4" t="s">
        <v>103</v>
      </c>
      <c r="C1323" s="4" t="s">
        <v>325</v>
      </c>
      <c r="D1323" s="94">
        <v>1663.0</v>
      </c>
    </row>
    <row r="1324">
      <c r="A1324" s="40" t="str">
        <f t="array" ref="A1324">IFNA(index(PlayerValues!A:A,match(IFNA(vlookup(B1324,'Special Names'!A:B,2,FALSE),B1324),PlayerValues!E:E,0)),"N/A")</f>
        <v>N/A</v>
      </c>
      <c r="B1324" s="4" t="s">
        <v>90</v>
      </c>
      <c r="C1324" s="4" t="s">
        <v>325</v>
      </c>
      <c r="D1324" s="94">
        <v>1649.0</v>
      </c>
    </row>
    <row r="1325">
      <c r="A1325" s="40" t="str">
        <f t="array" ref="A1325">IFNA(index(PlayerValues!A:A,match(IFNA(vlookup(B1325,'Special Names'!A:B,2,FALSE),B1325),PlayerValues!E:E,0)),"N/A")</f>
        <v>N/A</v>
      </c>
      <c r="B1325" s="4" t="s">
        <v>115</v>
      </c>
      <c r="C1325" s="4" t="s">
        <v>325</v>
      </c>
      <c r="D1325" s="94">
        <v>1641.0</v>
      </c>
    </row>
    <row r="1326">
      <c r="A1326" s="40">
        <f t="array" ref="A1326">IFNA(index(PlayerValues!A:A,match(IFNA(vlookup(B1326,'Special Names'!A:B,2,FALSE),B1326),PlayerValues!E:E,0)),"N/A")</f>
        <v>17205</v>
      </c>
      <c r="B1326" s="4" t="s">
        <v>665</v>
      </c>
      <c r="C1326" s="4" t="s">
        <v>287</v>
      </c>
      <c r="D1326" s="94">
        <v>1640.0</v>
      </c>
    </row>
    <row r="1327">
      <c r="A1327" s="40">
        <f t="array" ref="A1327">IFNA(index(PlayerValues!A:A,match(IFNA(vlookup(B1327,'Special Names'!A:B,2,FALSE),B1327),PlayerValues!E:E,0)),"N/A")</f>
        <v>17234</v>
      </c>
      <c r="B1327" s="4" t="s">
        <v>653</v>
      </c>
      <c r="C1327" s="4" t="s">
        <v>287</v>
      </c>
      <c r="D1327" s="94">
        <v>1640.0</v>
      </c>
    </row>
    <row r="1328">
      <c r="A1328" s="40">
        <f t="array" ref="A1328">IFNA(index(PlayerValues!A:A,match(IFNA(vlookup(B1328,'Special Names'!A:B,2,FALSE),B1328),PlayerValues!E:E,0)),"N/A")</f>
        <v>16595</v>
      </c>
      <c r="B1328" s="4" t="s">
        <v>664</v>
      </c>
      <c r="C1328" s="4" t="s">
        <v>278</v>
      </c>
      <c r="D1328" s="94">
        <v>1625.0</v>
      </c>
    </row>
    <row r="1329">
      <c r="A1329" s="40">
        <f t="array" ref="A1329">IFNA(index(PlayerValues!A:A,match(IFNA(vlookup(B1329,'Special Names'!A:B,2,FALSE),B1329),PlayerValues!E:E,0)),"N/A")</f>
        <v>17037</v>
      </c>
      <c r="B1329" s="4" t="s">
        <v>727</v>
      </c>
      <c r="C1329" s="4" t="s">
        <v>283</v>
      </c>
      <c r="D1329" s="94">
        <v>1622.0</v>
      </c>
    </row>
    <row r="1330">
      <c r="A1330" s="40">
        <f t="array" ref="A1330">IFNA(index(PlayerValues!A:A,match(IFNA(vlookup(B1330,'Special Names'!A:B,2,FALSE),B1330),PlayerValues!E:E,0)),"N/A")</f>
        <v>17096</v>
      </c>
      <c r="B1330" s="4" t="s">
        <v>638</v>
      </c>
      <c r="C1330" s="4" t="s">
        <v>287</v>
      </c>
      <c r="D1330" s="94">
        <v>1617.0</v>
      </c>
    </row>
    <row r="1331">
      <c r="A1331" s="40">
        <f t="array" ref="A1331">IFNA(index(PlayerValues!A:A,match(IFNA(vlookup(B1331,'Special Names'!A:B,2,FALSE),B1331),PlayerValues!E:E,0)),"N/A")</f>
        <v>15713</v>
      </c>
      <c r="B1331" s="4" t="s">
        <v>732</v>
      </c>
      <c r="C1331" s="4" t="s">
        <v>278</v>
      </c>
      <c r="D1331" s="94">
        <v>1615.0</v>
      </c>
    </row>
    <row r="1332">
      <c r="A1332" s="40">
        <f t="array" ref="A1332">IFNA(index(PlayerValues!A:A,match(IFNA(vlookup(B1332,'Special Names'!A:B,2,FALSE),B1332),PlayerValues!E:E,0)),"N/A")</f>
        <v>15301</v>
      </c>
      <c r="B1332" s="4" t="s">
        <v>657</v>
      </c>
      <c r="C1332" s="4" t="s">
        <v>287</v>
      </c>
      <c r="D1332" s="94">
        <v>1612.0</v>
      </c>
    </row>
    <row r="1333">
      <c r="A1333" s="40">
        <f t="array" ref="A1333">IFNA(index(PlayerValues!A:A,match(IFNA(vlookup(B1333,'Special Names'!A:B,2,FALSE),B1333),PlayerValues!E:E,0)),"N/A")</f>
        <v>16633</v>
      </c>
      <c r="B1333" s="4" t="s">
        <v>656</v>
      </c>
      <c r="C1333" s="4" t="s">
        <v>287</v>
      </c>
      <c r="D1333" s="94">
        <v>1606.0</v>
      </c>
    </row>
    <row r="1334">
      <c r="A1334" s="40">
        <f t="array" ref="A1334">IFNA(index(PlayerValues!A:A,match(IFNA(vlookup(B1334,'Special Names'!A:B,2,FALSE),B1334),PlayerValues!E:E,0)),"N/A")</f>
        <v>16631</v>
      </c>
      <c r="B1334" s="4" t="s">
        <v>800</v>
      </c>
      <c r="C1334" s="4" t="s">
        <v>287</v>
      </c>
      <c r="D1334" s="94">
        <v>1603.0</v>
      </c>
    </row>
    <row r="1335">
      <c r="A1335" s="40">
        <f t="array" ref="A1335">IFNA(index(PlayerValues!A:A,match(IFNA(vlookup(B1335,'Special Names'!A:B,2,FALSE),B1335),PlayerValues!E:E,0)),"N/A")</f>
        <v>15252</v>
      </c>
      <c r="B1335" s="4" t="s">
        <v>715</v>
      </c>
      <c r="C1335" s="4" t="s">
        <v>283</v>
      </c>
      <c r="D1335" s="94">
        <v>1599.0</v>
      </c>
    </row>
    <row r="1336">
      <c r="A1336" s="40">
        <f t="array" ref="A1336">IFNA(index(PlayerValues!A:A,match(IFNA(vlookup(B1336,'Special Names'!A:B,2,FALSE),B1336),PlayerValues!E:E,0)),"N/A")</f>
        <v>14122</v>
      </c>
      <c r="B1336" s="4" t="s">
        <v>663</v>
      </c>
      <c r="C1336" s="4" t="s">
        <v>287</v>
      </c>
      <c r="D1336" s="94">
        <v>1590.0</v>
      </c>
    </row>
    <row r="1337">
      <c r="A1337" s="40">
        <f t="array" ref="A1337">IFNA(index(PlayerValues!A:A,match(IFNA(vlookup(B1337,'Special Names'!A:B,2,FALSE),B1337),PlayerValues!E:E,0)),"N/A")</f>
        <v>15319</v>
      </c>
      <c r="B1337" s="4" t="s">
        <v>644</v>
      </c>
      <c r="C1337" s="4" t="s">
        <v>287</v>
      </c>
      <c r="D1337" s="94">
        <v>1583.0</v>
      </c>
    </row>
    <row r="1338">
      <c r="A1338" s="40">
        <f t="array" ref="A1338">IFNA(index(PlayerValues!A:A,match(IFNA(vlookup(B1338,'Special Names'!A:B,2,FALSE),B1338),PlayerValues!E:E,0)),"N/A")</f>
        <v>15797</v>
      </c>
      <c r="B1338" s="4" t="s">
        <v>556</v>
      </c>
      <c r="C1338" s="4" t="s">
        <v>298</v>
      </c>
      <c r="D1338" s="94">
        <v>1957.0</v>
      </c>
    </row>
    <row r="1339">
      <c r="A1339" s="40">
        <f t="array" ref="A1339">IFNA(index(PlayerValues!A:A,match(IFNA(vlookup(B1339,'Special Names'!A:B,2,FALSE),B1339),PlayerValues!E:E,0)),"N/A")</f>
        <v>15873</v>
      </c>
      <c r="B1339" s="4" t="s">
        <v>681</v>
      </c>
      <c r="C1339" s="4" t="s">
        <v>298</v>
      </c>
      <c r="D1339" s="94">
        <v>1955.0</v>
      </c>
    </row>
    <row r="1340">
      <c r="A1340" s="40">
        <f t="array" ref="A1340">IFNA(index(PlayerValues!A:A,match(IFNA(vlookup(B1340,'Special Names'!A:B,2,FALSE),B1340),PlayerValues!E:E,0)),"N/A")</f>
        <v>15752</v>
      </c>
      <c r="B1340" s="4" t="s">
        <v>647</v>
      </c>
      <c r="C1340" s="4" t="s">
        <v>287</v>
      </c>
      <c r="D1340" s="94">
        <v>1572.0</v>
      </c>
    </row>
    <row r="1341">
      <c r="A1341" s="40">
        <f t="array" ref="A1341">IFNA(index(PlayerValues!A:A,match(IFNA(vlookup(B1341,'Special Names'!A:B,2,FALSE),B1341),PlayerValues!E:E,0)),"N/A")</f>
        <v>12140</v>
      </c>
      <c r="B1341" s="4" t="s">
        <v>702</v>
      </c>
      <c r="C1341" s="4" t="s">
        <v>283</v>
      </c>
      <c r="D1341" s="94">
        <v>1556.0</v>
      </c>
    </row>
    <row r="1342">
      <c r="A1342" s="40">
        <f t="array" ref="A1342">IFNA(index(PlayerValues!A:A,match(IFNA(vlookup(B1342,'Special Names'!A:B,2,FALSE),B1342),PlayerValues!E:E,0)),"N/A")</f>
        <v>13418</v>
      </c>
      <c r="B1342" s="4" t="s">
        <v>706</v>
      </c>
      <c r="C1342" s="4" t="s">
        <v>287</v>
      </c>
      <c r="D1342" s="94">
        <v>1540.0</v>
      </c>
    </row>
    <row r="1343">
      <c r="A1343" s="40">
        <f t="array" ref="A1343">IFNA(index(PlayerValues!A:A,match(IFNA(vlookup(B1343,'Special Names'!A:B,2,FALSE),B1343),PlayerValues!E:E,0)),"N/A")</f>
        <v>12141</v>
      </c>
      <c r="B1343" s="4" t="s">
        <v>744</v>
      </c>
      <c r="C1343" s="4" t="s">
        <v>283</v>
      </c>
      <c r="D1343" s="94">
        <v>1529.0</v>
      </c>
    </row>
    <row r="1344">
      <c r="A1344" s="40" t="str">
        <f t="array" ref="A1344">IFNA(index(PlayerValues!A:A,match(IFNA(vlookup(B1344,'Special Names'!A:B,2,FALSE),B1344),PlayerValues!E:E,0)),"N/A")</f>
        <v>N/A</v>
      </c>
      <c r="B1344" s="4" t="s">
        <v>91</v>
      </c>
      <c r="C1344" s="4" t="s">
        <v>325</v>
      </c>
      <c r="D1344" s="94">
        <v>1527.0</v>
      </c>
    </row>
    <row r="1345">
      <c r="A1345" s="40" t="str">
        <f t="array" ref="A1345">IFNA(index(PlayerValues!A:A,match(IFNA(vlookup(B1345,'Special Names'!A:B,2,FALSE),B1345),PlayerValues!E:E,0)),"N/A")</f>
        <v>N/A</v>
      </c>
      <c r="B1345" s="4" t="s">
        <v>116</v>
      </c>
      <c r="C1345" s="4" t="s">
        <v>325</v>
      </c>
      <c r="D1345" s="94">
        <v>1527.0</v>
      </c>
    </row>
    <row r="1346">
      <c r="A1346" s="40">
        <f t="array" ref="A1346">IFNA(index(PlayerValues!A:A,match(IFNA(vlookup(B1346,'Special Names'!A:B,2,FALSE),B1346),PlayerValues!E:E,0)),"N/A")</f>
        <v>16384</v>
      </c>
      <c r="B1346" s="4" t="s">
        <v>696</v>
      </c>
      <c r="C1346" s="4" t="s">
        <v>283</v>
      </c>
      <c r="D1346" s="94">
        <v>1524.0</v>
      </c>
    </row>
    <row r="1347">
      <c r="A1347" s="40">
        <f t="array" ref="A1347">IFNA(index(PlayerValues!A:A,match(IFNA(vlookup(B1347,'Special Names'!A:B,2,FALSE),B1347),PlayerValues!E:E,0)),"N/A")</f>
        <v>14137</v>
      </c>
      <c r="B1347" s="4" t="s">
        <v>676</v>
      </c>
      <c r="C1347" s="4" t="s">
        <v>298</v>
      </c>
      <c r="D1347" s="94">
        <v>1887.0</v>
      </c>
    </row>
    <row r="1348">
      <c r="A1348" s="40">
        <f t="array" ref="A1348">IFNA(index(PlayerValues!A:A,match(IFNA(vlookup(B1348,'Special Names'!A:B,2,FALSE),B1348),PlayerValues!E:E,0)),"N/A")</f>
        <v>17077</v>
      </c>
      <c r="B1348" s="4" t="s">
        <v>714</v>
      </c>
      <c r="C1348" s="4" t="s">
        <v>287</v>
      </c>
      <c r="D1348" s="94">
        <v>1510.0</v>
      </c>
    </row>
    <row r="1349">
      <c r="A1349" s="40">
        <f t="array" ref="A1349">IFNA(index(PlayerValues!A:A,match(IFNA(vlookup(B1349,'Special Names'!A:B,2,FALSE),B1349),PlayerValues!E:E,0)),"N/A")</f>
        <v>17254</v>
      </c>
      <c r="B1349" s="4" t="s">
        <v>679</v>
      </c>
      <c r="C1349" s="4" t="s">
        <v>287</v>
      </c>
      <c r="D1349" s="94">
        <v>1506.0</v>
      </c>
    </row>
    <row r="1350">
      <c r="A1350" s="40">
        <f t="array" ref="A1350">IFNA(index(PlayerValues!A:A,match(IFNA(vlookup(B1350,'Special Names'!A:B,2,FALSE),B1350),PlayerValues!E:E,0)),"N/A")</f>
        <v>16390</v>
      </c>
      <c r="B1350" s="4" t="s">
        <v>689</v>
      </c>
      <c r="C1350" s="4" t="s">
        <v>278</v>
      </c>
      <c r="D1350" s="94">
        <v>1497.0</v>
      </c>
    </row>
    <row r="1351">
      <c r="A1351" s="40">
        <f t="array" ref="A1351">IFNA(index(PlayerValues!A:A,match(IFNA(vlookup(B1351,'Special Names'!A:B,2,FALSE),B1351),PlayerValues!E:E,0)),"N/A")</f>
        <v>17269</v>
      </c>
      <c r="B1351" s="4" t="s">
        <v>718</v>
      </c>
      <c r="C1351" s="4" t="s">
        <v>287</v>
      </c>
      <c r="D1351" s="94">
        <v>1497.0</v>
      </c>
    </row>
    <row r="1352">
      <c r="A1352" s="40">
        <f t="array" ref="A1352">IFNA(index(PlayerValues!A:A,match(IFNA(vlookup(B1352,'Special Names'!A:B,2,FALSE),B1352),PlayerValues!E:E,0)),"N/A")</f>
        <v>16175</v>
      </c>
      <c r="B1352" s="4" t="s">
        <v>654</v>
      </c>
      <c r="C1352" s="4" t="s">
        <v>278</v>
      </c>
      <c r="D1352" s="94">
        <v>1489.0</v>
      </c>
    </row>
    <row r="1353">
      <c r="A1353" s="40">
        <f t="array" ref="A1353">IFNA(index(PlayerValues!A:A,match(IFNA(vlookup(B1353,'Special Names'!A:B,2,FALSE),B1353),PlayerValues!E:E,0)),"N/A")</f>
        <v>15332</v>
      </c>
      <c r="B1353" s="4" t="s">
        <v>698</v>
      </c>
      <c r="C1353" s="4" t="s">
        <v>298</v>
      </c>
      <c r="D1353" s="94">
        <v>1863.0</v>
      </c>
    </row>
    <row r="1354">
      <c r="A1354" s="40">
        <f t="array" ref="A1354">IFNA(index(PlayerValues!A:A,match(IFNA(vlookup(B1354,'Special Names'!A:B,2,FALSE),B1354),PlayerValues!E:E,0)),"N/A")</f>
        <v>16642</v>
      </c>
      <c r="B1354" s="4" t="s">
        <v>691</v>
      </c>
      <c r="C1354" s="4" t="s">
        <v>298</v>
      </c>
      <c r="D1354" s="94">
        <v>1850.0</v>
      </c>
    </row>
    <row r="1355">
      <c r="A1355" s="40">
        <f t="array" ref="A1355">IFNA(index(PlayerValues!A:A,match(IFNA(vlookup(B1355,'Special Names'!A:B,2,FALSE),B1355),PlayerValues!E:E,0)),"N/A")</f>
        <v>14080</v>
      </c>
      <c r="B1355" s="4" t="s">
        <v>716</v>
      </c>
      <c r="C1355" s="4" t="s">
        <v>278</v>
      </c>
      <c r="D1355" s="94">
        <v>1460.0</v>
      </c>
    </row>
    <row r="1356">
      <c r="A1356" s="40">
        <f t="array" ref="A1356">IFNA(index(PlayerValues!A:A,match(IFNA(vlookup(B1356,'Special Names'!A:B,2,FALSE),B1356),PlayerValues!E:E,0)),"N/A")</f>
        <v>16621</v>
      </c>
      <c r="B1356" s="4" t="s">
        <v>672</v>
      </c>
      <c r="C1356" s="4" t="s">
        <v>287</v>
      </c>
      <c r="D1356" s="94">
        <v>1450.0</v>
      </c>
    </row>
    <row r="1357">
      <c r="A1357" s="40">
        <f t="array" ref="A1357">IFNA(index(PlayerValues!A:A,match(IFNA(vlookup(B1357,'Special Names'!A:B,2,FALSE),B1357),PlayerValues!E:E,0)),"N/A")</f>
        <v>16149</v>
      </c>
      <c r="B1357" s="4" t="s">
        <v>740</v>
      </c>
      <c r="C1357" s="4" t="s">
        <v>283</v>
      </c>
      <c r="D1357" s="94">
        <v>1446.0</v>
      </c>
    </row>
    <row r="1358">
      <c r="A1358" s="40">
        <f t="array" ref="A1358">IFNA(index(PlayerValues!A:A,match(IFNA(vlookup(B1358,'Special Names'!A:B,2,FALSE),B1358),PlayerValues!E:E,0)),"N/A")</f>
        <v>17062</v>
      </c>
      <c r="B1358" s="4" t="s">
        <v>701</v>
      </c>
      <c r="C1358" s="4" t="s">
        <v>278</v>
      </c>
      <c r="D1358" s="94">
        <v>1446.0</v>
      </c>
    </row>
    <row r="1359">
      <c r="A1359" s="40">
        <f t="array" ref="A1359">IFNA(index(PlayerValues!A:A,match(IFNA(vlookup(B1359,'Special Names'!A:B,2,FALSE),B1359),PlayerValues!E:E,0)),"N/A")</f>
        <v>15727</v>
      </c>
      <c r="B1359" s="4" t="s">
        <v>730</v>
      </c>
      <c r="C1359" s="4" t="s">
        <v>278</v>
      </c>
      <c r="D1359" s="94">
        <v>1445.0</v>
      </c>
    </row>
    <row r="1360">
      <c r="A1360" s="40">
        <f t="array" ref="A1360">IFNA(index(PlayerValues!A:A,match(IFNA(vlookup(B1360,'Special Names'!A:B,2,FALSE),B1360),PlayerValues!E:E,0)),"N/A")</f>
        <v>15292</v>
      </c>
      <c r="B1360" s="4" t="s">
        <v>682</v>
      </c>
      <c r="C1360" s="4" t="s">
        <v>287</v>
      </c>
      <c r="D1360" s="94">
        <v>1439.0</v>
      </c>
    </row>
    <row r="1361">
      <c r="A1361" s="40">
        <f t="array" ref="A1361">IFNA(index(PlayerValues!A:A,match(IFNA(vlookup(B1361,'Special Names'!A:B,2,FALSE),B1361),PlayerValues!E:E,0)),"N/A")</f>
        <v>15738</v>
      </c>
      <c r="B1361" s="4" t="s">
        <v>634</v>
      </c>
      <c r="C1361" s="4" t="s">
        <v>278</v>
      </c>
      <c r="D1361" s="94">
        <v>1424.0</v>
      </c>
    </row>
    <row r="1362">
      <c r="A1362" s="40">
        <f t="array" ref="A1362">IFNA(index(PlayerValues!A:A,match(IFNA(vlookup(B1362,'Special Names'!A:B,2,FALSE),B1362),PlayerValues!E:E,0)),"N/A")</f>
        <v>13193</v>
      </c>
      <c r="B1362" s="4" t="s">
        <v>773</v>
      </c>
      <c r="C1362" s="4" t="s">
        <v>298</v>
      </c>
      <c r="D1362" s="94">
        <v>1796.0</v>
      </c>
    </row>
    <row r="1363">
      <c r="A1363" s="40">
        <f t="array" ref="A1363">IFNA(index(PlayerValues!A:A,match(IFNA(vlookup(B1363,'Special Names'!A:B,2,FALSE),B1363),PlayerValues!E:E,0)),"N/A")</f>
        <v>14592</v>
      </c>
      <c r="B1363" s="4" t="s">
        <v>705</v>
      </c>
      <c r="C1363" s="4" t="s">
        <v>287</v>
      </c>
      <c r="D1363" s="94">
        <v>1422.0</v>
      </c>
    </row>
    <row r="1364">
      <c r="A1364" s="40">
        <f t="array" ref="A1364">IFNA(index(PlayerValues!A:A,match(IFNA(vlookup(B1364,'Special Names'!A:B,2,FALSE),B1364),PlayerValues!E:E,0)),"N/A")</f>
        <v>17508</v>
      </c>
      <c r="B1364" s="4" t="s">
        <v>534</v>
      </c>
      <c r="C1364" s="4" t="s">
        <v>287</v>
      </c>
      <c r="D1364" s="94">
        <v>1416.0</v>
      </c>
    </row>
    <row r="1365">
      <c r="A1365" s="40">
        <f t="array" ref="A1365">IFNA(index(PlayerValues!A:A,match(IFNA(vlookup(B1365,'Special Names'!A:B,2,FALSE),B1365),PlayerValues!E:E,0)),"N/A")</f>
        <v>15258</v>
      </c>
      <c r="B1365" s="4" t="s">
        <v>757</v>
      </c>
      <c r="C1365" s="4" t="s">
        <v>278</v>
      </c>
      <c r="D1365" s="94">
        <v>1409.0</v>
      </c>
    </row>
    <row r="1366">
      <c r="A1366" s="40">
        <f t="array" ref="A1366">IFNA(index(PlayerValues!A:A,match(IFNA(vlookup(B1366,'Special Names'!A:B,2,FALSE),B1366),PlayerValues!E:E,0)),"N/A")</f>
        <v>13672</v>
      </c>
      <c r="B1366" s="4" t="s">
        <v>667</v>
      </c>
      <c r="C1366" s="4" t="s">
        <v>298</v>
      </c>
      <c r="D1366" s="94">
        <v>1777.0</v>
      </c>
    </row>
    <row r="1367">
      <c r="A1367" s="40">
        <f t="array" ref="A1367">IFNA(index(PlayerValues!A:A,match(IFNA(vlookup(B1367,'Special Names'!A:B,2,FALSE),B1367),PlayerValues!E:E,0)),"N/A")</f>
        <v>17547</v>
      </c>
      <c r="B1367" s="4" t="s">
        <v>552</v>
      </c>
      <c r="C1367" s="4" t="s">
        <v>298</v>
      </c>
      <c r="D1367" s="94">
        <v>1762.0</v>
      </c>
    </row>
    <row r="1368">
      <c r="A1368" s="40">
        <f t="array" ref="A1368">IFNA(index(PlayerValues!A:A,match(IFNA(vlookup(B1368,'Special Names'!A:B,2,FALSE),B1368),PlayerValues!E:E,0)),"N/A")</f>
        <v>12678</v>
      </c>
      <c r="B1368" s="4" t="s">
        <v>703</v>
      </c>
      <c r="C1368" s="4" t="s">
        <v>298</v>
      </c>
      <c r="D1368" s="94">
        <v>1722.0</v>
      </c>
    </row>
    <row r="1369">
      <c r="A1369" s="40">
        <f t="array" ref="A1369">IFNA(index(PlayerValues!A:A,match(IFNA(vlookup(B1369,'Special Names'!A:B,2,FALSE),B1369),PlayerValues!E:E,0)),"N/A")</f>
        <v>16792</v>
      </c>
      <c r="B1369" s="4" t="s">
        <v>704</v>
      </c>
      <c r="C1369" s="4" t="s">
        <v>287</v>
      </c>
      <c r="D1369" s="94">
        <v>1341.0</v>
      </c>
    </row>
    <row r="1370">
      <c r="A1370" s="40" t="str">
        <f t="array" ref="A1370">IFNA(index(PlayerValues!A:A,match(IFNA(vlookup(B1370,'Special Names'!A:B,2,FALSE),B1370),PlayerValues!E:E,0)),"N/A")</f>
        <v>N/A</v>
      </c>
      <c r="B1370" s="4" t="s">
        <v>117</v>
      </c>
      <c r="C1370" s="4" t="s">
        <v>325</v>
      </c>
      <c r="D1370" s="94">
        <v>1338.0</v>
      </c>
    </row>
    <row r="1371">
      <c r="A1371" s="40">
        <f t="array" ref="A1371">IFNA(index(PlayerValues!A:A,match(IFNA(vlookup(B1371,'Special Names'!A:B,2,FALSE),B1371),PlayerValues!E:E,0)),"N/A")</f>
        <v>17097</v>
      </c>
      <c r="B1371" s="4" t="s">
        <v>659</v>
      </c>
      <c r="C1371" s="4" t="s">
        <v>287</v>
      </c>
      <c r="D1371" s="94">
        <v>1334.0</v>
      </c>
    </row>
    <row r="1372">
      <c r="A1372" s="40">
        <f t="array" ref="A1372">IFNA(index(PlayerValues!A:A,match(IFNA(vlookup(B1372,'Special Names'!A:B,2,FALSE),B1372),PlayerValues!E:E,0)),"N/A")</f>
        <v>15702</v>
      </c>
      <c r="B1372" s="4" t="s">
        <v>723</v>
      </c>
      <c r="C1372" s="4" t="s">
        <v>283</v>
      </c>
      <c r="D1372" s="94">
        <v>1326.0</v>
      </c>
    </row>
    <row r="1373">
      <c r="A1373" s="40">
        <f t="array" ref="A1373">IFNA(index(PlayerValues!A:A,match(IFNA(vlookup(B1373,'Special Names'!A:B,2,FALSE),B1373),PlayerValues!E:E,0)),"N/A")</f>
        <v>14086</v>
      </c>
      <c r="B1373" s="4" t="s">
        <v>639</v>
      </c>
      <c r="C1373" s="4" t="s">
        <v>278</v>
      </c>
      <c r="D1373" s="94">
        <v>1321.0</v>
      </c>
    </row>
    <row r="1374">
      <c r="A1374" s="40">
        <f t="array" ref="A1374">IFNA(index(PlayerValues!A:A,match(IFNA(vlookup(B1374,'Special Names'!A:B,2,FALSE),B1374),PlayerValues!E:E,0)),"N/A")</f>
        <v>13131</v>
      </c>
      <c r="B1374" s="4" t="s">
        <v>815</v>
      </c>
      <c r="C1374" s="4" t="s">
        <v>278</v>
      </c>
      <c r="D1374" s="94">
        <v>1320.0</v>
      </c>
    </row>
    <row r="1375">
      <c r="A1375" s="40">
        <f t="array" ref="A1375">IFNA(index(PlayerValues!A:A,match(IFNA(vlookup(B1375,'Special Names'!A:B,2,FALSE),B1375),PlayerValues!E:E,0)),"N/A")</f>
        <v>17512</v>
      </c>
      <c r="B1375" s="4" t="s">
        <v>483</v>
      </c>
      <c r="C1375" s="4" t="s">
        <v>287</v>
      </c>
      <c r="D1375" s="94">
        <v>1319.0</v>
      </c>
    </row>
    <row r="1376">
      <c r="A1376" s="40">
        <f t="array" ref="A1376">IFNA(index(PlayerValues!A:A,match(IFNA(vlookup(B1376,'Special Names'!A:B,2,FALSE),B1376),PlayerValues!E:E,0)),"N/A")</f>
        <v>16183</v>
      </c>
      <c r="B1376" s="4" t="s">
        <v>678</v>
      </c>
      <c r="C1376" s="4" t="s">
        <v>287</v>
      </c>
      <c r="D1376" s="94">
        <v>1315.0</v>
      </c>
    </row>
    <row r="1377">
      <c r="A1377" s="40">
        <f t="array" ref="A1377">IFNA(index(PlayerValues!A:A,match(IFNA(vlookup(B1377,'Special Names'!A:B,2,FALSE),B1377),PlayerValues!E:E,0)),"N/A")</f>
        <v>16608</v>
      </c>
      <c r="B1377" s="4" t="s">
        <v>629</v>
      </c>
      <c r="C1377" s="4" t="s">
        <v>278</v>
      </c>
      <c r="D1377" s="94">
        <v>1311.0</v>
      </c>
    </row>
    <row r="1378">
      <c r="A1378" s="40">
        <f t="array" ref="A1378">IFNA(index(PlayerValues!A:A,match(IFNA(vlookup(B1378,'Special Names'!A:B,2,FALSE),B1378),PlayerValues!E:E,0)),"N/A")</f>
        <v>15240</v>
      </c>
      <c r="B1378" s="4" t="s">
        <v>751</v>
      </c>
      <c r="C1378" s="4" t="s">
        <v>283</v>
      </c>
      <c r="D1378" s="94">
        <v>1293.0</v>
      </c>
    </row>
    <row r="1379">
      <c r="A1379" s="40">
        <f t="array" ref="A1379">IFNA(index(PlayerValues!A:A,match(IFNA(vlookup(B1379,'Special Names'!A:B,2,FALSE),B1379),PlayerValues!E:E,0)),"N/A")</f>
        <v>17063</v>
      </c>
      <c r="B1379" s="4" t="s">
        <v>686</v>
      </c>
      <c r="C1379" s="4" t="s">
        <v>278</v>
      </c>
      <c r="D1379" s="94">
        <v>1289.0</v>
      </c>
    </row>
    <row r="1380">
      <c r="A1380" s="40">
        <f t="array" ref="A1380">IFNA(index(PlayerValues!A:A,match(IFNA(vlookup(B1380,'Special Names'!A:B,2,FALSE),B1380),PlayerValues!E:E,0)),"N/A")</f>
        <v>14067</v>
      </c>
      <c r="B1380" s="4" t="s">
        <v>735</v>
      </c>
      <c r="C1380" s="4" t="s">
        <v>283</v>
      </c>
      <c r="D1380" s="94">
        <v>1271.0</v>
      </c>
    </row>
    <row r="1381">
      <c r="A1381" s="40">
        <f t="array" ref="A1381">IFNA(index(PlayerValues!A:A,match(IFNA(vlookup(B1381,'Special Names'!A:B,2,FALSE),B1381),PlayerValues!E:E,0)),"N/A")</f>
        <v>14789</v>
      </c>
      <c r="B1381" s="4" t="s">
        <v>721</v>
      </c>
      <c r="C1381" s="4" t="s">
        <v>283</v>
      </c>
      <c r="D1381" s="94">
        <v>1266.0</v>
      </c>
    </row>
    <row r="1382">
      <c r="A1382" s="40">
        <f t="array" ref="A1382">IFNA(index(PlayerValues!A:A,match(IFNA(vlookup(B1382,'Special Names'!A:B,2,FALSE),B1382),PlayerValues!E:E,0)),"N/A")</f>
        <v>14095</v>
      </c>
      <c r="B1382" s="4" t="s">
        <v>680</v>
      </c>
      <c r="C1382" s="4" t="s">
        <v>278</v>
      </c>
      <c r="D1382" s="94">
        <v>1258.0</v>
      </c>
    </row>
    <row r="1383">
      <c r="A1383" s="40">
        <f t="array" ref="A1383">IFNA(index(PlayerValues!A:A,match(IFNA(vlookup(B1383,'Special Names'!A:B,2,FALSE),B1383),PlayerValues!E:E,0)),"N/A")</f>
        <v>16221</v>
      </c>
      <c r="B1383" s="4" t="s">
        <v>725</v>
      </c>
      <c r="C1383" s="4" t="s">
        <v>298</v>
      </c>
      <c r="D1383" s="94">
        <v>1623.0</v>
      </c>
    </row>
    <row r="1384">
      <c r="A1384" s="40">
        <f t="array" ref="A1384">IFNA(index(PlayerValues!A:A,match(IFNA(vlookup(B1384,'Special Names'!A:B,2,FALSE),B1384),PlayerValues!E:E,0)),"N/A")</f>
        <v>16746</v>
      </c>
      <c r="B1384" s="4" t="s">
        <v>709</v>
      </c>
      <c r="C1384" s="4" t="s">
        <v>278</v>
      </c>
      <c r="D1384" s="94">
        <v>1253.0</v>
      </c>
    </row>
    <row r="1385">
      <c r="A1385" s="40">
        <f t="array" ref="A1385">IFNA(index(PlayerValues!A:A,match(IFNA(vlookup(B1385,'Special Names'!A:B,2,FALSE),B1385),PlayerValues!E:E,0)),"N/A")</f>
        <v>17528</v>
      </c>
      <c r="B1385" s="4" t="s">
        <v>579</v>
      </c>
      <c r="C1385" s="4" t="s">
        <v>287</v>
      </c>
      <c r="D1385" s="94">
        <v>1249.0</v>
      </c>
    </row>
    <row r="1386">
      <c r="A1386" s="40">
        <f t="array" ref="A1386">IFNA(index(PlayerValues!A:A,match(IFNA(vlookup(B1386,'Special Names'!A:B,2,FALSE),B1386),PlayerValues!E:E,0)),"N/A")</f>
        <v>15981</v>
      </c>
      <c r="B1386" s="4" t="s">
        <v>729</v>
      </c>
      <c r="C1386" s="4" t="s">
        <v>287</v>
      </c>
      <c r="D1386" s="94">
        <v>1247.0</v>
      </c>
    </row>
    <row r="1387">
      <c r="A1387" s="40">
        <f t="array" ref="A1387">IFNA(index(PlayerValues!A:A,match(IFNA(vlookup(B1387,'Special Names'!A:B,2,FALSE),B1387),PlayerValues!E:E,0)),"N/A")</f>
        <v>16636</v>
      </c>
      <c r="B1387" s="4" t="s">
        <v>699</v>
      </c>
      <c r="C1387" s="4" t="s">
        <v>287</v>
      </c>
      <c r="D1387" s="94">
        <v>1244.0</v>
      </c>
    </row>
    <row r="1388">
      <c r="A1388" s="40">
        <f t="array" ref="A1388">IFNA(index(PlayerValues!A:A,match(IFNA(vlookup(B1388,'Special Names'!A:B,2,FALSE),B1388),PlayerValues!E:E,0)),"N/A")</f>
        <v>17546</v>
      </c>
      <c r="B1388" s="4" t="s">
        <v>671</v>
      </c>
      <c r="C1388" s="4" t="s">
        <v>298</v>
      </c>
      <c r="D1388" s="94">
        <v>1610.0</v>
      </c>
    </row>
    <row r="1389">
      <c r="A1389" s="40">
        <f t="array" ref="A1389">IFNA(index(PlayerValues!A:A,match(IFNA(vlookup(B1389,'Special Names'!A:B,2,FALSE),B1389),PlayerValues!E:E,0)),"N/A")</f>
        <v>16199</v>
      </c>
      <c r="B1389" s="4" t="s">
        <v>687</v>
      </c>
      <c r="C1389" s="4" t="s">
        <v>287</v>
      </c>
      <c r="D1389" s="94">
        <v>1234.0</v>
      </c>
    </row>
    <row r="1390">
      <c r="A1390" s="40">
        <f t="array" ref="A1390">IFNA(index(PlayerValues!A:A,match(IFNA(vlookup(B1390,'Special Names'!A:B,2,FALSE),B1390),PlayerValues!E:E,0)),"N/A")</f>
        <v>16385</v>
      </c>
      <c r="B1390" s="4" t="s">
        <v>690</v>
      </c>
      <c r="C1390" s="4" t="s">
        <v>278</v>
      </c>
      <c r="D1390" s="94">
        <v>1231.0</v>
      </c>
    </row>
    <row r="1391">
      <c r="A1391" s="40">
        <f t="array" ref="A1391">IFNA(index(PlayerValues!A:A,match(IFNA(vlookup(B1391,'Special Names'!A:B,2,FALSE),B1391),PlayerValues!E:E,0)),"N/A")</f>
        <v>13289</v>
      </c>
      <c r="B1391" s="4" t="s">
        <v>746</v>
      </c>
      <c r="C1391" s="4" t="s">
        <v>287</v>
      </c>
      <c r="D1391" s="94">
        <v>1223.0</v>
      </c>
    </row>
    <row r="1392">
      <c r="A1392" s="40">
        <f t="array" ref="A1392">IFNA(index(PlayerValues!A:A,match(IFNA(vlookup(B1392,'Special Names'!A:B,2,FALSE),B1392),PlayerValues!E:E,0)),"N/A")</f>
        <v>15288</v>
      </c>
      <c r="B1392" s="4" t="s">
        <v>700</v>
      </c>
      <c r="C1392" s="4" t="s">
        <v>287</v>
      </c>
      <c r="D1392" s="94">
        <v>1223.0</v>
      </c>
    </row>
    <row r="1393">
      <c r="A1393" s="40">
        <f t="array" ref="A1393">IFNA(index(PlayerValues!A:A,match(IFNA(vlookup(B1393,'Special Names'!A:B,2,FALSE),B1393),PlayerValues!E:E,0)),"N/A")</f>
        <v>14108</v>
      </c>
      <c r="B1393" s="4" t="s">
        <v>673</v>
      </c>
      <c r="C1393" s="4" t="s">
        <v>287</v>
      </c>
      <c r="D1393" s="94">
        <v>1221.0</v>
      </c>
    </row>
    <row r="1394">
      <c r="A1394" s="40">
        <f t="array" ref="A1394">IFNA(index(PlayerValues!A:A,match(IFNA(vlookup(B1394,'Special Names'!A:B,2,FALSE),B1394),PlayerValues!E:E,0)),"N/A")</f>
        <v>17054</v>
      </c>
      <c r="B1394" s="4" t="s">
        <v>670</v>
      </c>
      <c r="C1394" s="4" t="s">
        <v>278</v>
      </c>
      <c r="D1394" s="94">
        <v>1200.0</v>
      </c>
    </row>
    <row r="1395">
      <c r="A1395" s="40">
        <f t="array" ref="A1395">IFNA(index(PlayerValues!A:A,match(IFNA(vlookup(B1395,'Special Names'!A:B,2,FALSE),B1395),PlayerValues!E:E,0)),"N/A")</f>
        <v>16645</v>
      </c>
      <c r="B1395" s="4" t="s">
        <v>651</v>
      </c>
      <c r="C1395" s="4" t="s">
        <v>298</v>
      </c>
      <c r="D1395" s="94">
        <v>1565.0</v>
      </c>
    </row>
    <row r="1396">
      <c r="A1396" s="40">
        <f t="array" ref="A1396">IFNA(index(PlayerValues!A:A,match(IFNA(vlookup(B1396,'Special Names'!A:B,2,FALSE),B1396),PlayerValues!E:E,0)),"N/A")</f>
        <v>15692</v>
      </c>
      <c r="B1396" s="4" t="s">
        <v>750</v>
      </c>
      <c r="C1396" s="4" t="s">
        <v>283</v>
      </c>
      <c r="D1396" s="94">
        <v>1196.0</v>
      </c>
    </row>
    <row r="1397">
      <c r="A1397" s="40">
        <f t="array" ref="A1397">IFNA(index(PlayerValues!A:A,match(IFNA(vlookup(B1397,'Special Names'!A:B,2,FALSE),B1397),PlayerValues!E:E,0)),"N/A")</f>
        <v>16333</v>
      </c>
      <c r="B1397" s="4" t="s">
        <v>711</v>
      </c>
      <c r="C1397" s="4" t="s">
        <v>298</v>
      </c>
      <c r="D1397" s="94">
        <v>1554.0</v>
      </c>
    </row>
    <row r="1398">
      <c r="A1398" s="40">
        <f t="array" ref="A1398">IFNA(index(PlayerValues!A:A,match(IFNA(vlookup(B1398,'Special Names'!A:B,2,FALSE),B1398),PlayerValues!E:E,0)),"N/A")</f>
        <v>14845</v>
      </c>
      <c r="B1398" s="4" t="s">
        <v>717</v>
      </c>
      <c r="C1398" s="4" t="s">
        <v>287</v>
      </c>
      <c r="D1398" s="94">
        <v>1182.0</v>
      </c>
    </row>
    <row r="1399">
      <c r="A1399" s="40">
        <f t="array" ref="A1399">IFNA(index(PlayerValues!A:A,match(IFNA(vlookup(B1399,'Special Names'!A:B,2,FALSE),B1399),PlayerValues!E:E,0)),"N/A")</f>
        <v>16393</v>
      </c>
      <c r="B1399" s="4" t="s">
        <v>768</v>
      </c>
      <c r="C1399" s="4" t="s">
        <v>287</v>
      </c>
      <c r="D1399" s="94">
        <v>1179.0</v>
      </c>
    </row>
    <row r="1400">
      <c r="A1400" s="40">
        <f t="array" ref="A1400">IFNA(index(PlayerValues!A:A,match(IFNA(vlookup(B1400,'Special Names'!A:B,2,FALSE),B1400),PlayerValues!E:E,0)),"N/A")</f>
        <v>12263</v>
      </c>
      <c r="B1400" s="4" t="s">
        <v>697</v>
      </c>
      <c r="C1400" s="4" t="s">
        <v>298</v>
      </c>
      <c r="D1400" s="94">
        <v>1545.0</v>
      </c>
    </row>
    <row r="1401">
      <c r="A1401" s="40">
        <f t="array" ref="A1401">IFNA(index(PlayerValues!A:A,match(IFNA(vlookup(B1401,'Special Names'!A:B,2,FALSE),B1401),PlayerValues!E:E,0)),"N/A")</f>
        <v>17050</v>
      </c>
      <c r="B1401" s="4" t="s">
        <v>713</v>
      </c>
      <c r="C1401" s="4" t="s">
        <v>278</v>
      </c>
      <c r="D1401" s="94">
        <v>1174.0</v>
      </c>
    </row>
    <row r="1402">
      <c r="A1402" s="40">
        <f t="array" ref="A1402">IFNA(index(PlayerValues!A:A,match(IFNA(vlookup(B1402,'Special Names'!A:B,2,FALSE),B1402),PlayerValues!E:E,0)),"N/A")</f>
        <v>15239</v>
      </c>
      <c r="B1402" s="4" t="s">
        <v>802</v>
      </c>
      <c r="C1402" s="4" t="s">
        <v>283</v>
      </c>
      <c r="D1402" s="94">
        <v>1172.0</v>
      </c>
    </row>
    <row r="1403">
      <c r="A1403" s="40">
        <f t="array" ref="A1403">IFNA(index(PlayerValues!A:A,match(IFNA(vlookup(B1403,'Special Names'!A:B,2,FALSE),B1403),PlayerValues!E:E,0)),"N/A")</f>
        <v>16883</v>
      </c>
      <c r="B1403" s="4" t="s">
        <v>683</v>
      </c>
      <c r="C1403" s="4" t="s">
        <v>287</v>
      </c>
      <c r="D1403" s="94">
        <v>1165.0</v>
      </c>
    </row>
    <row r="1404">
      <c r="A1404" s="40">
        <f t="array" ref="A1404">IFNA(index(PlayerValues!A:A,match(IFNA(vlookup(B1404,'Special Names'!A:B,2,FALSE),B1404),PlayerValues!E:E,0)),"N/A")</f>
        <v>17481</v>
      </c>
      <c r="B1404" s="4" t="s">
        <v>540</v>
      </c>
      <c r="C1404" s="4" t="s">
        <v>278</v>
      </c>
      <c r="D1404" s="94">
        <v>1160.0</v>
      </c>
    </row>
    <row r="1405">
      <c r="A1405" s="40">
        <f t="array" ref="A1405">IFNA(index(PlayerValues!A:A,match(IFNA(vlookup(B1405,'Special Names'!A:B,2,FALSE),B1405),PlayerValues!E:E,0)),"N/A")</f>
        <v>16451</v>
      </c>
      <c r="B1405" s="4" t="s">
        <v>769</v>
      </c>
      <c r="C1405" s="4" t="s">
        <v>287</v>
      </c>
      <c r="D1405" s="94">
        <v>1158.0</v>
      </c>
    </row>
    <row r="1406">
      <c r="A1406" s="40">
        <f t="array" ref="A1406">IFNA(index(PlayerValues!A:A,match(IFNA(vlookup(B1406,'Special Names'!A:B,2,FALSE),B1406),PlayerValues!E:E,0)),"N/A")</f>
        <v>15730</v>
      </c>
      <c r="B1406" s="4" t="s">
        <v>734</v>
      </c>
      <c r="C1406" s="4" t="s">
        <v>278</v>
      </c>
      <c r="D1406" s="94">
        <v>1147.0</v>
      </c>
    </row>
    <row r="1407">
      <c r="A1407" s="40">
        <f t="array" ref="A1407">IFNA(index(PlayerValues!A:A,match(IFNA(vlookup(B1407,'Special Names'!A:B,2,FALSE),B1407),PlayerValues!E:E,0)),"N/A")</f>
        <v>15717</v>
      </c>
      <c r="B1407" s="4" t="s">
        <v>745</v>
      </c>
      <c r="C1407" s="4" t="s">
        <v>278</v>
      </c>
      <c r="D1407" s="94">
        <v>1142.0</v>
      </c>
    </row>
    <row r="1408">
      <c r="A1408" s="40">
        <f t="array" ref="A1408">IFNA(index(PlayerValues!A:A,match(IFNA(vlookup(B1408,'Special Names'!A:B,2,FALSE),B1408),PlayerValues!E:E,0)),"N/A")</f>
        <v>15693</v>
      </c>
      <c r="B1408" s="4" t="s">
        <v>755</v>
      </c>
      <c r="C1408" s="4" t="s">
        <v>283</v>
      </c>
      <c r="D1408" s="94">
        <v>1141.0</v>
      </c>
    </row>
    <row r="1409">
      <c r="A1409" s="40">
        <f t="array" ref="A1409">IFNA(index(PlayerValues!A:A,match(IFNA(vlookup(B1409,'Special Names'!A:B,2,FALSE),B1409),PlayerValues!E:E,0)),"N/A")</f>
        <v>13138</v>
      </c>
      <c r="B1409" s="4" t="s">
        <v>817</v>
      </c>
      <c r="C1409" s="4" t="s">
        <v>278</v>
      </c>
      <c r="D1409" s="94">
        <v>1140.0</v>
      </c>
    </row>
    <row r="1410">
      <c r="A1410" s="40">
        <f t="array" ref="A1410">IFNA(index(PlayerValues!A:A,match(IFNA(vlookup(B1410,'Special Names'!A:B,2,FALSE),B1410),PlayerValues!E:E,0)),"N/A")</f>
        <v>16197</v>
      </c>
      <c r="B1410" s="4" t="s">
        <v>726</v>
      </c>
      <c r="C1410" s="4" t="s">
        <v>287</v>
      </c>
      <c r="D1410" s="94">
        <v>1130.0</v>
      </c>
    </row>
    <row r="1411">
      <c r="A1411" s="40">
        <f t="array" ref="A1411">IFNA(index(PlayerValues!A:A,match(IFNA(vlookup(B1411,'Special Names'!A:B,2,FALSE),B1411),PlayerValues!E:E,0)),"N/A")</f>
        <v>17192</v>
      </c>
      <c r="B1411" s="4" t="s">
        <v>677</v>
      </c>
      <c r="C1411" s="4" t="s">
        <v>287</v>
      </c>
      <c r="D1411" s="94">
        <v>1126.0</v>
      </c>
    </row>
    <row r="1412">
      <c r="A1412" s="40">
        <f t="array" ref="A1412">IFNA(index(PlayerValues!A:A,match(IFNA(vlookup(B1412,'Special Names'!A:B,2,FALSE),B1412),PlayerValues!E:E,0)),"N/A")</f>
        <v>16637</v>
      </c>
      <c r="B1412" s="4" t="s">
        <v>736</v>
      </c>
      <c r="C1412" s="4" t="s">
        <v>287</v>
      </c>
      <c r="D1412" s="94">
        <v>1121.0</v>
      </c>
    </row>
    <row r="1413">
      <c r="A1413" s="40">
        <f t="array" ref="A1413">IFNA(index(PlayerValues!A:A,match(IFNA(vlookup(B1413,'Special Names'!A:B,2,FALSE),B1413),PlayerValues!E:E,0)),"N/A")</f>
        <v>16640</v>
      </c>
      <c r="B1413" s="4" t="s">
        <v>712</v>
      </c>
      <c r="C1413" s="4" t="s">
        <v>287</v>
      </c>
      <c r="D1413" s="94">
        <v>1120.0</v>
      </c>
    </row>
    <row r="1414">
      <c r="A1414" s="40">
        <f t="array" ref="A1414">IFNA(index(PlayerValues!A:A,match(IFNA(vlookup(B1414,'Special Names'!A:B,2,FALSE),B1414),PlayerValues!E:E,0)),"N/A")</f>
        <v>17109</v>
      </c>
      <c r="B1414" s="4" t="s">
        <v>707</v>
      </c>
      <c r="C1414" s="4" t="s">
        <v>298</v>
      </c>
      <c r="D1414" s="94">
        <v>1485.0</v>
      </c>
    </row>
    <row r="1415">
      <c r="A1415" s="40">
        <f t="array" ref="A1415">IFNA(index(PlayerValues!A:A,match(IFNA(vlookup(B1415,'Special Names'!A:B,2,FALSE),B1415),PlayerValues!E:E,0)),"N/A")</f>
        <v>17057</v>
      </c>
      <c r="B1415" s="4" t="s">
        <v>708</v>
      </c>
      <c r="C1415" s="4" t="s">
        <v>278</v>
      </c>
      <c r="D1415" s="94">
        <v>1094.0</v>
      </c>
    </row>
    <row r="1416">
      <c r="A1416" s="40">
        <f t="array" ref="A1416">IFNA(index(PlayerValues!A:A,match(IFNA(vlookup(B1416,'Special Names'!A:B,2,FALSE),B1416),PlayerValues!E:E,0)),"N/A")</f>
        <v>15785</v>
      </c>
      <c r="B1416" s="4" t="s">
        <v>763</v>
      </c>
      <c r="C1416" s="4" t="s">
        <v>287</v>
      </c>
      <c r="D1416" s="94">
        <v>1091.0</v>
      </c>
    </row>
    <row r="1417">
      <c r="A1417" s="40">
        <f t="array" ref="A1417">IFNA(index(PlayerValues!A:A,match(IFNA(vlookup(B1417,'Special Names'!A:B,2,FALSE),B1417),PlayerValues!E:E,0)),"N/A")</f>
        <v>16387</v>
      </c>
      <c r="B1417" s="4" t="s">
        <v>646</v>
      </c>
      <c r="C1417" s="4" t="s">
        <v>278</v>
      </c>
      <c r="D1417" s="94">
        <v>1089.0</v>
      </c>
    </row>
    <row r="1418">
      <c r="A1418" s="40">
        <f t="array" ref="A1418">IFNA(index(PlayerValues!A:A,match(IFNA(vlookup(B1418,'Special Names'!A:B,2,FALSE),B1418),PlayerValues!E:E,0)),"N/A")</f>
        <v>14118</v>
      </c>
      <c r="B1418" s="4" t="s">
        <v>771</v>
      </c>
      <c r="C1418" s="4" t="s">
        <v>287</v>
      </c>
      <c r="D1418" s="94">
        <v>1087.0</v>
      </c>
    </row>
    <row r="1419">
      <c r="A1419" s="40">
        <f t="array" ref="A1419">IFNA(index(PlayerValues!A:A,match(IFNA(vlookup(B1419,'Special Names'!A:B,2,FALSE),B1419),PlayerValues!E:E,0)),"N/A")</f>
        <v>9064</v>
      </c>
      <c r="B1419" s="4" t="s">
        <v>761</v>
      </c>
      <c r="C1419" s="4" t="s">
        <v>283</v>
      </c>
      <c r="D1419" s="94">
        <v>1081.0</v>
      </c>
    </row>
    <row r="1420">
      <c r="A1420" s="40">
        <f t="array" ref="A1420">IFNA(index(PlayerValues!A:A,match(IFNA(vlookup(B1420,'Special Names'!A:B,2,FALSE),B1420),PlayerValues!E:E,0)),"N/A")</f>
        <v>16219</v>
      </c>
      <c r="B1420" s="4" t="s">
        <v>739</v>
      </c>
      <c r="C1420" s="4" t="s">
        <v>298</v>
      </c>
      <c r="D1420" s="94">
        <v>1444.0</v>
      </c>
    </row>
    <row r="1421">
      <c r="A1421" s="40">
        <f t="array" ref="A1421">IFNA(index(PlayerValues!A:A,match(IFNA(vlookup(B1421,'Special Names'!A:B,2,FALSE),B1421),PlayerValues!E:E,0)),"N/A")</f>
        <v>16678</v>
      </c>
      <c r="B1421" s="4" t="s">
        <v>758</v>
      </c>
      <c r="C1421" s="4" t="s">
        <v>278</v>
      </c>
      <c r="D1421" s="94">
        <v>1074.0</v>
      </c>
    </row>
    <row r="1422">
      <c r="A1422" s="40">
        <f t="array" ref="A1422">IFNA(index(PlayerValues!A:A,match(IFNA(vlookup(B1422,'Special Names'!A:B,2,FALSE),B1422),PlayerValues!E:E,0)),"N/A")</f>
        <v>17175</v>
      </c>
      <c r="B1422" s="4" t="s">
        <v>747</v>
      </c>
      <c r="C1422" s="4" t="s">
        <v>287</v>
      </c>
      <c r="D1422" s="94">
        <v>1059.0</v>
      </c>
    </row>
    <row r="1423">
      <c r="A1423" s="40">
        <f t="array" ref="A1423">IFNA(index(PlayerValues!A:A,match(IFNA(vlookup(B1423,'Special Names'!A:B,2,FALSE),B1423),PlayerValues!E:E,0)),"N/A")</f>
        <v>17479</v>
      </c>
      <c r="B1423" s="4" t="s">
        <v>756</v>
      </c>
      <c r="C1423" s="4" t="s">
        <v>278</v>
      </c>
      <c r="D1423" s="94">
        <v>1052.0</v>
      </c>
    </row>
    <row r="1424">
      <c r="A1424" s="40">
        <f t="array" ref="A1424">IFNA(index(PlayerValues!A:A,match(IFNA(vlookup(B1424,'Special Names'!A:B,2,FALSE),B1424),PlayerValues!E:E,0)),"N/A")</f>
        <v>16648</v>
      </c>
      <c r="B1424" s="4" t="s">
        <v>748</v>
      </c>
      <c r="C1424" s="4" t="s">
        <v>298</v>
      </c>
      <c r="D1424" s="94">
        <v>1413.0</v>
      </c>
    </row>
    <row r="1425">
      <c r="A1425" s="40">
        <f t="array" ref="A1425">IFNA(index(PlayerValues!A:A,match(IFNA(vlookup(B1425,'Special Names'!A:B,2,FALSE),B1425),PlayerValues!E:E,0)),"N/A")</f>
        <v>14057</v>
      </c>
      <c r="B1425" s="4" t="s">
        <v>765</v>
      </c>
      <c r="C1425" s="4" t="s">
        <v>283</v>
      </c>
      <c r="D1425" s="94">
        <v>1044.0</v>
      </c>
    </row>
    <row r="1426">
      <c r="A1426" s="40">
        <f t="array" ref="A1426">IFNA(index(PlayerValues!A:A,match(IFNA(vlookup(B1426,'Special Names'!A:B,2,FALSE),B1426),PlayerValues!E:E,0)),"N/A")</f>
        <v>15330</v>
      </c>
      <c r="B1426" s="4" t="s">
        <v>749</v>
      </c>
      <c r="C1426" s="4" t="s">
        <v>298</v>
      </c>
      <c r="D1426" s="94">
        <v>1407.0</v>
      </c>
    </row>
    <row r="1427">
      <c r="A1427" s="40">
        <f t="array" ref="A1427">IFNA(index(PlayerValues!A:A,match(IFNA(vlookup(B1427,'Special Names'!A:B,2,FALSE),B1427),PlayerValues!E:E,0)),"N/A")</f>
        <v>15795</v>
      </c>
      <c r="B1427" s="4" t="s">
        <v>669</v>
      </c>
      <c r="C1427" s="4" t="s">
        <v>298</v>
      </c>
      <c r="D1427" s="94">
        <v>1408.0</v>
      </c>
    </row>
    <row r="1428">
      <c r="A1428" s="40">
        <f t="array" ref="A1428">IFNA(index(PlayerValues!A:A,match(IFNA(vlookup(B1428,'Special Names'!A:B,2,FALSE),B1428),PlayerValues!E:E,0)),"N/A")</f>
        <v>15718</v>
      </c>
      <c r="B1428" s="4" t="s">
        <v>753</v>
      </c>
      <c r="C1428" s="4" t="s">
        <v>278</v>
      </c>
      <c r="D1428" s="94">
        <v>1038.0</v>
      </c>
    </row>
    <row r="1429">
      <c r="A1429" s="40">
        <f t="array" ref="A1429">IFNA(index(PlayerValues!A:A,match(IFNA(vlookup(B1429,'Special Names'!A:B,2,FALSE),B1429),PlayerValues!E:E,0)),"N/A")</f>
        <v>17520</v>
      </c>
      <c r="B1429" s="4" t="s">
        <v>518</v>
      </c>
      <c r="C1429" s="4" t="s">
        <v>287</v>
      </c>
      <c r="D1429" s="94">
        <v>1028.0</v>
      </c>
    </row>
    <row r="1430">
      <c r="A1430" s="40">
        <f t="array" ref="A1430">IFNA(index(PlayerValues!A:A,match(IFNA(vlookup(B1430,'Special Names'!A:B,2,FALSE),B1430),PlayerValues!E:E,0)),"N/A")</f>
        <v>11247</v>
      </c>
      <c r="B1430" s="4" t="s">
        <v>816</v>
      </c>
      <c r="C1430" s="4" t="s">
        <v>298</v>
      </c>
      <c r="D1430" s="94">
        <v>1394.0</v>
      </c>
    </row>
    <row r="1431">
      <c r="A1431" s="40">
        <f t="array" ref="A1431">IFNA(index(PlayerValues!A:A,match(IFNA(vlookup(B1431,'Special Names'!A:B,2,FALSE),B1431),PlayerValues!E:E,0)),"N/A")</f>
        <v>17486</v>
      </c>
      <c r="B1431" s="4" t="s">
        <v>695</v>
      </c>
      <c r="C1431" s="4" t="s">
        <v>278</v>
      </c>
      <c r="D1431" s="94">
        <v>1026.0</v>
      </c>
    </row>
    <row r="1432">
      <c r="A1432" s="40">
        <f t="array" ref="A1432">IFNA(index(PlayerValues!A:A,match(IFNA(vlookup(B1432,'Special Names'!A:B,2,FALSE),B1432),PlayerValues!E:E,0)),"N/A")</f>
        <v>14849</v>
      </c>
      <c r="B1432" s="4" t="s">
        <v>733</v>
      </c>
      <c r="C1432" s="4" t="s">
        <v>287</v>
      </c>
      <c r="D1432" s="94">
        <v>1025.0</v>
      </c>
    </row>
    <row r="1433">
      <c r="A1433" s="40">
        <f t="array" ref="A1433">IFNA(index(PlayerValues!A:A,match(IFNA(vlookup(B1433,'Special Names'!A:B,2,FALSE),B1433),PlayerValues!E:E,0)),"N/A")</f>
        <v>15766</v>
      </c>
      <c r="B1433" s="4" t="s">
        <v>759</v>
      </c>
      <c r="C1433" s="4" t="s">
        <v>287</v>
      </c>
      <c r="D1433" s="94">
        <v>1023.0</v>
      </c>
    </row>
    <row r="1434">
      <c r="A1434" s="40">
        <f t="array" ref="A1434">IFNA(index(PlayerValues!A:A,match(IFNA(vlookup(B1434,'Special Names'!A:B,2,FALSE),B1434),PlayerValues!E:E,0)),"N/A")</f>
        <v>15720</v>
      </c>
      <c r="B1434" s="4" t="s">
        <v>795</v>
      </c>
      <c r="C1434" s="4" t="s">
        <v>278</v>
      </c>
      <c r="D1434" s="94">
        <v>1022.0</v>
      </c>
    </row>
    <row r="1435">
      <c r="A1435" s="40">
        <f t="array" ref="A1435">IFNA(index(PlayerValues!A:A,match(IFNA(vlookup(B1435,'Special Names'!A:B,2,FALSE),B1435),PlayerValues!E:E,0)),"N/A")</f>
        <v>17467</v>
      </c>
      <c r="B1435" s="4" t="s">
        <v>575</v>
      </c>
      <c r="C1435" s="4" t="s">
        <v>283</v>
      </c>
      <c r="D1435" s="94">
        <v>1008.0</v>
      </c>
    </row>
    <row r="1436">
      <c r="A1436" s="40">
        <f t="array" ref="A1436">IFNA(index(PlayerValues!A:A,match(IFNA(vlookup(B1436,'Special Names'!A:B,2,FALSE),B1436),PlayerValues!E:E,0)),"N/A")</f>
        <v>17487</v>
      </c>
      <c r="B1436" s="4" t="s">
        <v>692</v>
      </c>
      <c r="C1436" s="4" t="s">
        <v>278</v>
      </c>
      <c r="D1436" s="94">
        <v>1004.0</v>
      </c>
    </row>
    <row r="1437">
      <c r="A1437" s="40">
        <f t="array" ref="A1437">IFNA(index(PlayerValues!A:A,match(IFNA(vlookup(B1437,'Special Names'!A:B,2,FALSE),B1437),PlayerValues!E:E,0)),"N/A")</f>
        <v>16159</v>
      </c>
      <c r="B1437" s="4" t="s">
        <v>819</v>
      </c>
      <c r="C1437" s="4" t="s">
        <v>283</v>
      </c>
      <c r="D1437" s="94">
        <v>1002.0</v>
      </c>
    </row>
    <row r="1438">
      <c r="A1438" s="40">
        <f t="array" ref="A1438">IFNA(index(PlayerValues!A:A,match(IFNA(vlookup(B1438,'Special Names'!A:B,2,FALSE),B1438),PlayerValues!E:E,0)),"N/A")</f>
        <v>16168</v>
      </c>
      <c r="B1438" s="4" t="s">
        <v>738</v>
      </c>
      <c r="C1438" s="4" t="s">
        <v>278</v>
      </c>
      <c r="D1438" s="94">
        <v>1000.0</v>
      </c>
    </row>
    <row r="1439">
      <c r="A1439" s="40">
        <f t="array" ref="A1439">IFNA(index(PlayerValues!A:A,match(IFNA(vlookup(B1439,'Special Names'!A:B,2,FALSE),B1439),PlayerValues!E:E,0)),"N/A")</f>
        <v>16858</v>
      </c>
      <c r="B1439" s="4" t="s">
        <v>754</v>
      </c>
      <c r="C1439" s="4" t="s">
        <v>287</v>
      </c>
      <c r="D1439" s="94">
        <v>994.0</v>
      </c>
    </row>
    <row r="1440">
      <c r="A1440" s="40">
        <f t="array" ref="A1440">IFNA(index(PlayerValues!A:A,match(IFNA(vlookup(B1440,'Special Names'!A:B,2,FALSE),B1440),PlayerValues!E:E,0)),"N/A")</f>
        <v>17475</v>
      </c>
      <c r="B1440" s="4" t="s">
        <v>615</v>
      </c>
      <c r="C1440" s="4" t="s">
        <v>278</v>
      </c>
      <c r="D1440" s="94">
        <v>994.0</v>
      </c>
    </row>
    <row r="1441">
      <c r="A1441" s="40">
        <f t="array" ref="A1441">IFNA(index(PlayerValues!A:A,match(IFNA(vlookup(B1441,'Special Names'!A:B,2,FALSE),B1441),PlayerValues!E:E,0)),"N/A")</f>
        <v>15626</v>
      </c>
      <c r="B1441" s="4" t="s">
        <v>766</v>
      </c>
      <c r="C1441" s="4" t="s">
        <v>298</v>
      </c>
      <c r="D1441" s="94">
        <v>1352.0</v>
      </c>
    </row>
    <row r="1442">
      <c r="A1442" s="40">
        <f t="array" ref="A1442">IFNA(index(PlayerValues!A:A,match(IFNA(vlookup(B1442,'Special Names'!A:B,2,FALSE),B1442),PlayerValues!E:E,0)),"N/A")</f>
        <v>14799</v>
      </c>
      <c r="B1442" s="4" t="s">
        <v>829</v>
      </c>
      <c r="C1442" s="4" t="s">
        <v>278</v>
      </c>
      <c r="D1442" s="94">
        <v>982.0</v>
      </c>
    </row>
    <row r="1443">
      <c r="A1443" s="40">
        <f t="array" ref="A1443">IFNA(index(PlayerValues!A:A,match(IFNA(vlookup(B1443,'Special Names'!A:B,2,FALSE),B1443),PlayerValues!E:E,0)),"N/A")</f>
        <v>14864</v>
      </c>
      <c r="B1443" s="4" t="s">
        <v>789</v>
      </c>
      <c r="C1443" s="4" t="s">
        <v>287</v>
      </c>
      <c r="D1443" s="94">
        <v>970.0</v>
      </c>
    </row>
    <row r="1444">
      <c r="A1444" s="40">
        <f t="array" ref="A1444">IFNA(index(PlayerValues!A:A,match(IFNA(vlookup(B1444,'Special Names'!A:B,2,FALSE),B1444),PlayerValues!E:E,0)),"N/A")</f>
        <v>16176</v>
      </c>
      <c r="B1444" s="4" t="s">
        <v>812</v>
      </c>
      <c r="C1444" s="4" t="s">
        <v>278</v>
      </c>
      <c r="D1444" s="94">
        <v>970.0</v>
      </c>
    </row>
    <row r="1445">
      <c r="A1445" s="40">
        <f t="array" ref="A1445">IFNA(index(PlayerValues!A:A,match(IFNA(vlookup(B1445,'Special Names'!A:B,2,FALSE),B1445),PlayerValues!E:E,0)),"N/A")</f>
        <v>15263</v>
      </c>
      <c r="B1445" s="4" t="s">
        <v>804</v>
      </c>
      <c r="C1445" s="4" t="s">
        <v>278</v>
      </c>
      <c r="D1445" s="94">
        <v>966.0</v>
      </c>
    </row>
    <row r="1446">
      <c r="A1446" s="40">
        <f t="array" ref="A1446">IFNA(index(PlayerValues!A:A,match(IFNA(vlookup(B1446,'Special Names'!A:B,2,FALSE),B1446),PlayerValues!E:E,0)),"N/A")</f>
        <v>17510</v>
      </c>
      <c r="B1446" s="4" t="s">
        <v>661</v>
      </c>
      <c r="C1446" s="4" t="s">
        <v>287</v>
      </c>
      <c r="D1446" s="94">
        <v>963.0</v>
      </c>
    </row>
    <row r="1447">
      <c r="A1447" s="40">
        <f t="array" ref="A1447">IFNA(index(PlayerValues!A:A,match(IFNA(vlookup(B1447,'Special Names'!A:B,2,FALSE),B1447),PlayerValues!E:E,0)),"N/A")</f>
        <v>16205</v>
      </c>
      <c r="B1447" s="4" t="s">
        <v>742</v>
      </c>
      <c r="C1447" s="4" t="s">
        <v>287</v>
      </c>
      <c r="D1447" s="94">
        <v>953.0</v>
      </c>
    </row>
    <row r="1448">
      <c r="A1448" s="40">
        <f t="array" ref="A1448">IFNA(index(PlayerValues!A:A,match(IFNA(vlookup(B1448,'Special Names'!A:B,2,FALSE),B1448),PlayerValues!E:E,0)),"N/A")</f>
        <v>16773</v>
      </c>
      <c r="B1448" s="4" t="s">
        <v>783</v>
      </c>
      <c r="C1448" s="4" t="s">
        <v>278</v>
      </c>
      <c r="D1448" s="94">
        <v>952.0</v>
      </c>
    </row>
    <row r="1449">
      <c r="A1449" s="40">
        <f t="array" ref="A1449">IFNA(index(PlayerValues!A:A,match(IFNA(vlookup(B1449,'Special Names'!A:B,2,FALSE),B1449),PlayerValues!E:E,0)),"N/A")</f>
        <v>17504</v>
      </c>
      <c r="B1449" s="4" t="s">
        <v>693</v>
      </c>
      <c r="C1449" s="4" t="s">
        <v>287</v>
      </c>
      <c r="D1449" s="94">
        <v>946.0</v>
      </c>
    </row>
    <row r="1450">
      <c r="A1450" s="40">
        <f t="array" ref="A1450">IFNA(index(PlayerValues!A:A,match(IFNA(vlookup(B1450,'Special Names'!A:B,2,FALSE),B1450),PlayerValues!E:E,0)),"N/A")</f>
        <v>17545</v>
      </c>
      <c r="B1450" s="4" t="s">
        <v>719</v>
      </c>
      <c r="C1450" s="4" t="s">
        <v>298</v>
      </c>
      <c r="D1450" s="94">
        <v>1314.0</v>
      </c>
    </row>
    <row r="1451">
      <c r="A1451" s="40">
        <f t="array" ref="A1451">IFNA(index(PlayerValues!A:A,match(IFNA(vlookup(B1451,'Special Names'!A:B,2,FALSE),B1451),PlayerValues!E:E,0)),"N/A")</f>
        <v>16416</v>
      </c>
      <c r="B1451" s="4" t="s">
        <v>752</v>
      </c>
      <c r="C1451" s="4" t="s">
        <v>287</v>
      </c>
      <c r="D1451" s="94">
        <v>943.0</v>
      </c>
    </row>
    <row r="1452">
      <c r="A1452" s="40">
        <f t="array" ref="A1452">IFNA(index(PlayerValues!A:A,match(IFNA(vlookup(B1452,'Special Names'!A:B,2,FALSE),B1452),PlayerValues!E:E,0)),"N/A")</f>
        <v>16599</v>
      </c>
      <c r="B1452" s="4" t="s">
        <v>737</v>
      </c>
      <c r="C1452" s="4" t="s">
        <v>278</v>
      </c>
      <c r="D1452" s="94">
        <v>942.0</v>
      </c>
    </row>
    <row r="1453">
      <c r="A1453" s="40">
        <f t="array" ref="A1453">IFNA(index(PlayerValues!A:A,match(IFNA(vlookup(B1453,'Special Names'!A:B,2,FALSE),B1453),PlayerValues!E:E,0)),"N/A")</f>
        <v>16624</v>
      </c>
      <c r="B1453" s="4" t="s">
        <v>796</v>
      </c>
      <c r="C1453" s="4" t="s">
        <v>287</v>
      </c>
      <c r="D1453" s="94">
        <v>942.0</v>
      </c>
    </row>
    <row r="1454">
      <c r="A1454" s="40">
        <f t="array" ref="A1454">IFNA(index(PlayerValues!A:A,match(IFNA(vlookup(B1454,'Special Names'!A:B,2,FALSE),B1454),PlayerValues!E:E,0)),"N/A")</f>
        <v>13595</v>
      </c>
      <c r="B1454" s="4" t="s">
        <v>818</v>
      </c>
      <c r="C1454" s="4" t="s">
        <v>283</v>
      </c>
      <c r="D1454" s="94">
        <v>938.0</v>
      </c>
    </row>
    <row r="1455">
      <c r="A1455" s="40">
        <f t="array" ref="A1455">IFNA(index(PlayerValues!A:A,match(IFNA(vlookup(B1455,'Special Names'!A:B,2,FALSE),B1455),PlayerValues!E:E,0)),"N/A")</f>
        <v>15723</v>
      </c>
      <c r="B1455" s="4" t="s">
        <v>798</v>
      </c>
      <c r="C1455" s="4" t="s">
        <v>278</v>
      </c>
      <c r="D1455" s="94">
        <v>930.0</v>
      </c>
    </row>
    <row r="1456">
      <c r="A1456" s="40">
        <f t="array" ref="A1456">IFNA(index(PlayerValues!A:A,match(IFNA(vlookup(B1456,'Special Names'!A:B,2,FALSE),B1456),PlayerValues!E:E,0)),"N/A")</f>
        <v>15109</v>
      </c>
      <c r="B1456" s="4" t="s">
        <v>728</v>
      </c>
      <c r="C1456" s="4" t="s">
        <v>287</v>
      </c>
      <c r="D1456" s="94">
        <v>928.0</v>
      </c>
    </row>
    <row r="1457">
      <c r="A1457" s="40">
        <f t="array" ref="A1457">IFNA(index(PlayerValues!A:A,match(IFNA(vlookup(B1457,'Special Names'!A:B,2,FALSE),B1457),PlayerValues!E:E,0)),"N/A")</f>
        <v>13133</v>
      </c>
      <c r="B1457" s="4" t="s">
        <v>764</v>
      </c>
      <c r="C1457" s="4" t="s">
        <v>278</v>
      </c>
      <c r="D1457" s="94">
        <v>926.0</v>
      </c>
    </row>
    <row r="1458">
      <c r="A1458" s="40">
        <f t="array" ref="A1458">IFNA(index(PlayerValues!A:A,match(IFNA(vlookup(B1458,'Special Names'!A:B,2,FALSE),B1458),PlayerValues!E:E,0)),"N/A")</f>
        <v>13610</v>
      </c>
      <c r="B1458" s="4" t="s">
        <v>825</v>
      </c>
      <c r="C1458" s="4" t="s">
        <v>278</v>
      </c>
      <c r="D1458" s="94">
        <v>914.0</v>
      </c>
    </row>
    <row r="1459">
      <c r="A1459" s="40">
        <f t="array" ref="A1459">IFNA(index(PlayerValues!A:A,match(IFNA(vlookup(B1459,'Special Names'!A:B,2,FALSE),B1459),PlayerValues!E:E,0)),"N/A")</f>
        <v>12785</v>
      </c>
      <c r="B1459" s="4" t="s">
        <v>772</v>
      </c>
      <c r="C1459" s="4" t="s">
        <v>287</v>
      </c>
      <c r="D1459" s="94">
        <v>907.0</v>
      </c>
    </row>
    <row r="1460">
      <c r="A1460" s="40">
        <f t="array" ref="A1460">IFNA(index(PlayerValues!A:A,match(IFNA(vlookup(B1460,'Special Names'!A:B,2,FALSE),B1460),PlayerValues!E:E,0)),"N/A")</f>
        <v>16751</v>
      </c>
      <c r="B1460" s="4" t="s">
        <v>762</v>
      </c>
      <c r="C1460" s="4" t="s">
        <v>287</v>
      </c>
      <c r="D1460" s="94">
        <v>905.0</v>
      </c>
    </row>
    <row r="1461">
      <c r="A1461" s="40">
        <f t="array" ref="A1461">IFNA(index(PlayerValues!A:A,match(IFNA(vlookup(B1461,'Special Names'!A:B,2,FALSE),B1461),PlayerValues!E:E,0)),"N/A")</f>
        <v>16957</v>
      </c>
      <c r="B1461" s="4" t="s">
        <v>806</v>
      </c>
      <c r="C1461" s="4" t="s">
        <v>278</v>
      </c>
      <c r="D1461" s="94">
        <v>904.0</v>
      </c>
    </row>
    <row r="1462">
      <c r="A1462" s="40">
        <f t="array" ref="A1462">IFNA(index(PlayerValues!A:A,match(IFNA(vlookup(B1462,'Special Names'!A:B,2,FALSE),B1462),PlayerValues!E:E,0)),"N/A")</f>
        <v>14079</v>
      </c>
      <c r="B1462" s="4" t="s">
        <v>830</v>
      </c>
      <c r="C1462" s="4" t="s">
        <v>278</v>
      </c>
      <c r="D1462" s="94">
        <v>889.0</v>
      </c>
    </row>
    <row r="1463">
      <c r="A1463" s="40">
        <f t="array" ref="A1463">IFNA(index(PlayerValues!A:A,match(IFNA(vlookup(B1463,'Special Names'!A:B,2,FALSE),B1463),PlayerValues!E:E,0)),"N/A")</f>
        <v>13143</v>
      </c>
      <c r="B1463" s="4" t="s">
        <v>786</v>
      </c>
      <c r="C1463" s="4" t="s">
        <v>278</v>
      </c>
      <c r="D1463" s="94">
        <v>889.0</v>
      </c>
    </row>
    <row r="1464">
      <c r="A1464" s="40">
        <f t="array" ref="A1464">IFNA(index(PlayerValues!A:A,match(IFNA(vlookup(B1464,'Special Names'!A:B,2,FALSE),B1464),PlayerValues!E:E,0)),"N/A")</f>
        <v>15796</v>
      </c>
      <c r="B1464" s="4" t="s">
        <v>794</v>
      </c>
      <c r="C1464" s="4" t="s">
        <v>298</v>
      </c>
      <c r="D1464" s="94">
        <v>1256.0</v>
      </c>
    </row>
    <row r="1465">
      <c r="A1465" s="40">
        <f t="array" ref="A1465">IFNA(index(PlayerValues!A:A,match(IFNA(vlookup(B1465,'Special Names'!A:B,2,FALSE),B1465),PlayerValues!E:E,0)),"N/A")</f>
        <v>16606</v>
      </c>
      <c r="B1465" s="4" t="s">
        <v>743</v>
      </c>
      <c r="C1465" s="4" t="s">
        <v>278</v>
      </c>
      <c r="D1465" s="94">
        <v>883.0</v>
      </c>
    </row>
    <row r="1466">
      <c r="A1466" s="40">
        <f t="array" ref="A1466">IFNA(index(PlayerValues!A:A,match(IFNA(vlookup(B1466,'Special Names'!A:B,2,FALSE),B1466),PlayerValues!E:E,0)),"N/A")</f>
        <v>13113</v>
      </c>
      <c r="B1466" s="4" t="s">
        <v>606</v>
      </c>
      <c r="C1466" s="4" t="s">
        <v>283</v>
      </c>
      <c r="D1466" s="94">
        <v>873.0</v>
      </c>
    </row>
    <row r="1467">
      <c r="A1467" s="40">
        <f t="array" ref="A1467">IFNA(index(PlayerValues!A:A,match(IFNA(vlookup(B1467,'Special Names'!A:B,2,FALSE),B1467),PlayerValues!E:E,0)),"N/A")</f>
        <v>11232</v>
      </c>
      <c r="B1467" s="4" t="s">
        <v>826</v>
      </c>
      <c r="C1467" s="4" t="s">
        <v>287</v>
      </c>
      <c r="D1467" s="94">
        <v>870.0</v>
      </c>
    </row>
    <row r="1468">
      <c r="A1468" s="40">
        <f t="array" ref="A1468">IFNA(index(PlayerValues!A:A,match(IFNA(vlookup(B1468,'Special Names'!A:B,2,FALSE),B1468),PlayerValues!E:E,0)),"N/A")</f>
        <v>17337</v>
      </c>
      <c r="B1468" s="4" t="s">
        <v>793</v>
      </c>
      <c r="C1468" s="4" t="s">
        <v>278</v>
      </c>
      <c r="D1468" s="94">
        <v>869.0</v>
      </c>
    </row>
    <row r="1469">
      <c r="A1469" s="40">
        <f t="array" ref="A1469">IFNA(index(PlayerValues!A:A,match(IFNA(vlookup(B1469,'Special Names'!A:B,2,FALSE),B1469),PlayerValues!E:E,0)),"N/A")</f>
        <v>14358</v>
      </c>
      <c r="B1469" s="4" t="s">
        <v>813</v>
      </c>
      <c r="C1469" s="4" t="s">
        <v>283</v>
      </c>
      <c r="D1469" s="94">
        <v>857.0</v>
      </c>
    </row>
    <row r="1470">
      <c r="A1470" s="40">
        <f t="array" ref="A1470">IFNA(index(PlayerValues!A:A,match(IFNA(vlookup(B1470,'Special Names'!A:B,2,FALSE),B1470),PlayerValues!E:E,0)),"N/A")</f>
        <v>15804</v>
      </c>
      <c r="B1470" s="4" t="s">
        <v>821</v>
      </c>
      <c r="C1470" s="4" t="s">
        <v>298</v>
      </c>
      <c r="D1470" s="94">
        <v>1226.0</v>
      </c>
    </row>
    <row r="1471">
      <c r="A1471" s="40">
        <f t="array" ref="A1471">IFNA(index(PlayerValues!A:A,match(IFNA(vlookup(B1471,'Special Names'!A:B,2,FALSE),B1471),PlayerValues!E:E,0)),"N/A")</f>
        <v>15271</v>
      </c>
      <c r="B1471" s="4" t="s">
        <v>741</v>
      </c>
      <c r="C1471" s="4" t="s">
        <v>278</v>
      </c>
      <c r="D1471" s="94">
        <v>841.0</v>
      </c>
    </row>
    <row r="1472">
      <c r="A1472" s="40">
        <f t="array" ref="A1472">IFNA(index(PlayerValues!A:A,match(IFNA(vlookup(B1472,'Special Names'!A:B,2,FALSE),B1472),PlayerValues!E:E,0)),"N/A")</f>
        <v>14223</v>
      </c>
      <c r="B1472" s="4" t="s">
        <v>785</v>
      </c>
      <c r="C1472" s="4" t="s">
        <v>278</v>
      </c>
      <c r="D1472" s="94">
        <v>837.0</v>
      </c>
    </row>
    <row r="1473">
      <c r="A1473" s="40">
        <f t="array" ref="A1473">IFNA(index(PlayerValues!A:A,match(IFNA(vlookup(B1473,'Special Names'!A:B,2,FALSE),B1473),PlayerValues!E:E,0)),"N/A")</f>
        <v>16623</v>
      </c>
      <c r="B1473" s="4" t="s">
        <v>803</v>
      </c>
      <c r="C1473" s="4" t="s">
        <v>287</v>
      </c>
      <c r="D1473" s="94">
        <v>830.0</v>
      </c>
    </row>
    <row r="1474">
      <c r="A1474" s="40">
        <f t="array" ref="A1474">IFNA(index(PlayerValues!A:A,match(IFNA(vlookup(B1474,'Special Names'!A:B,2,FALSE),B1474),PlayerValues!E:E,0)),"N/A")</f>
        <v>13156</v>
      </c>
      <c r="B1474" s="4" t="s">
        <v>835</v>
      </c>
      <c r="C1474" s="4" t="s">
        <v>287</v>
      </c>
      <c r="D1474" s="94">
        <v>827.0</v>
      </c>
    </row>
    <row r="1475">
      <c r="A1475" s="40">
        <f t="array" ref="A1475">IFNA(index(PlayerValues!A:A,match(IFNA(vlookup(B1475,'Special Names'!A:B,2,FALSE),B1475),PlayerValues!E:E,0)),"N/A")</f>
        <v>16170</v>
      </c>
      <c r="B1475" s="4" t="s">
        <v>801</v>
      </c>
      <c r="C1475" s="4" t="s">
        <v>278</v>
      </c>
      <c r="D1475" s="94">
        <v>817.0</v>
      </c>
    </row>
    <row r="1476">
      <c r="A1476" s="40">
        <f t="array" ref="A1476">IFNA(index(PlayerValues!A:A,match(IFNA(vlookup(B1476,'Special Names'!A:B,2,FALSE),B1476),PlayerValues!E:E,0)),"N/A")</f>
        <v>16625</v>
      </c>
      <c r="B1476" s="4" t="s">
        <v>778</v>
      </c>
      <c r="C1476" s="4" t="s">
        <v>287</v>
      </c>
      <c r="D1476" s="94">
        <v>814.0</v>
      </c>
    </row>
    <row r="1477">
      <c r="A1477" s="40">
        <f t="array" ref="A1477">IFNA(index(PlayerValues!A:A,match(IFNA(vlookup(B1477,'Special Names'!A:B,2,FALSE),B1477),PlayerValues!E:E,0)),"N/A")</f>
        <v>16686</v>
      </c>
      <c r="B1477" s="4" t="s">
        <v>805</v>
      </c>
      <c r="C1477" s="4" t="s">
        <v>287</v>
      </c>
      <c r="D1477" s="94">
        <v>807.0</v>
      </c>
    </row>
    <row r="1478">
      <c r="A1478" s="40">
        <f t="array" ref="A1478">IFNA(index(PlayerValues!A:A,match(IFNA(vlookup(B1478,'Special Names'!A:B,2,FALSE),B1478),PlayerValues!E:E,0)),"N/A")</f>
        <v>14805</v>
      </c>
      <c r="B1478" s="4" t="s">
        <v>770</v>
      </c>
      <c r="C1478" s="4" t="s">
        <v>278</v>
      </c>
      <c r="D1478" s="94">
        <v>806.0</v>
      </c>
    </row>
    <row r="1479">
      <c r="A1479" s="40">
        <f t="array" ref="A1479">IFNA(index(PlayerValues!A:A,match(IFNA(vlookup(B1479,'Special Names'!A:B,2,FALSE),B1479),PlayerValues!E:E,0)),"N/A")</f>
        <v>13157</v>
      </c>
      <c r="B1479" s="4" t="s">
        <v>836</v>
      </c>
      <c r="C1479" s="4" t="s">
        <v>287</v>
      </c>
      <c r="D1479" s="94">
        <v>776.0</v>
      </c>
    </row>
    <row r="1480">
      <c r="A1480" s="40">
        <f t="array" ref="A1480">IFNA(index(PlayerValues!A:A,match(IFNA(vlookup(B1480,'Special Names'!A:B,2,FALSE),B1480),PlayerValues!E:E,0)),"N/A")</f>
        <v>14852</v>
      </c>
      <c r="B1480" s="4" t="s">
        <v>837</v>
      </c>
      <c r="C1480" s="4" t="s">
        <v>278</v>
      </c>
      <c r="D1480" s="94">
        <v>775.0</v>
      </c>
    </row>
    <row r="1481">
      <c r="A1481" s="40">
        <f t="array" ref="A1481">IFNA(index(PlayerValues!A:A,match(IFNA(vlookup(B1481,'Special Names'!A:B,2,FALSE),B1481),PlayerValues!E:E,0)),"N/A")</f>
        <v>15285</v>
      </c>
      <c r="B1481" s="4" t="s">
        <v>792</v>
      </c>
      <c r="C1481" s="4" t="s">
        <v>287</v>
      </c>
      <c r="D1481" s="94">
        <v>755.0</v>
      </c>
    </row>
    <row r="1482">
      <c r="A1482" s="40">
        <f t="array" ref="A1482">IFNA(index(PlayerValues!A:A,match(IFNA(vlookup(B1482,'Special Names'!A:B,2,FALSE),B1482),PlayerValues!E:E,0)),"N/A")</f>
        <v>17038</v>
      </c>
      <c r="B1482" s="4" t="s">
        <v>774</v>
      </c>
      <c r="C1482" s="4" t="s">
        <v>283</v>
      </c>
      <c r="D1482" s="94">
        <v>755.0</v>
      </c>
    </row>
    <row r="1483">
      <c r="A1483" s="40">
        <f t="array" ref="A1483">IFNA(index(PlayerValues!A:A,match(IFNA(vlookup(B1483,'Special Names'!A:B,2,FALSE),B1483),PlayerValues!E:E,0)),"N/A")</f>
        <v>14858</v>
      </c>
      <c r="B1483" s="4" t="s">
        <v>799</v>
      </c>
      <c r="C1483" s="4" t="s">
        <v>287</v>
      </c>
      <c r="D1483" s="94">
        <v>749.0</v>
      </c>
    </row>
    <row r="1484">
      <c r="A1484" s="40">
        <f t="array" ref="A1484">IFNA(index(PlayerValues!A:A,match(IFNA(vlookup(B1484,'Special Names'!A:B,2,FALSE),B1484),PlayerValues!E:E,0)),"N/A")</f>
        <v>15965</v>
      </c>
      <c r="B1484" s="4" t="s">
        <v>791</v>
      </c>
      <c r="C1484" s="4" t="s">
        <v>278</v>
      </c>
      <c r="D1484" s="94">
        <v>748.0</v>
      </c>
    </row>
    <row r="1485">
      <c r="A1485" s="40">
        <f t="array" ref="A1485">IFNA(index(PlayerValues!A:A,match(IFNA(vlookup(B1485,'Special Names'!A:B,2,FALSE),B1485),PlayerValues!E:E,0)),"N/A")</f>
        <v>12610</v>
      </c>
      <c r="B1485" s="4" t="s">
        <v>838</v>
      </c>
      <c r="C1485" s="4" t="s">
        <v>283</v>
      </c>
      <c r="D1485" s="94">
        <v>744.0</v>
      </c>
    </row>
    <row r="1486">
      <c r="A1486" s="40">
        <f t="array" ref="A1486">IFNA(index(PlayerValues!A:A,match(IFNA(vlookup(B1486,'Special Names'!A:B,2,FALSE),B1486),PlayerValues!E:E,0)),"N/A")</f>
        <v>14113</v>
      </c>
      <c r="B1486" s="4" t="s">
        <v>788</v>
      </c>
      <c r="C1486" s="4" t="s">
        <v>287</v>
      </c>
      <c r="D1486" s="94">
        <v>742.0</v>
      </c>
    </row>
    <row r="1487">
      <c r="A1487" s="40">
        <f t="array" ref="A1487">IFNA(index(PlayerValues!A:A,match(IFNA(vlookup(B1487,'Special Names'!A:B,2,FALSE),B1487),PlayerValues!E:E,0)),"N/A")</f>
        <v>14209</v>
      </c>
      <c r="B1487" s="4" t="s">
        <v>809</v>
      </c>
      <c r="C1487" s="4" t="s">
        <v>298</v>
      </c>
      <c r="D1487" s="94">
        <v>1109.0</v>
      </c>
    </row>
    <row r="1488">
      <c r="A1488" s="40">
        <f t="array" ref="A1488">IFNA(index(PlayerValues!A:A,match(IFNA(vlookup(B1488,'Special Names'!A:B,2,FALSE),B1488),PlayerValues!E:E,0)),"N/A")</f>
        <v>13176</v>
      </c>
      <c r="B1488" s="4" t="s">
        <v>807</v>
      </c>
      <c r="C1488" s="4" t="s">
        <v>287</v>
      </c>
      <c r="D1488" s="94">
        <v>741.0</v>
      </c>
    </row>
    <row r="1489">
      <c r="A1489" s="40">
        <f t="array" ref="A1489">IFNA(index(PlayerValues!A:A,match(IFNA(vlookup(B1489,'Special Names'!A:B,2,FALSE),B1489),PlayerValues!E:E,0)),"N/A")</f>
        <v>15714</v>
      </c>
      <c r="B1489" s="4" t="s">
        <v>775</v>
      </c>
      <c r="C1489" s="4" t="s">
        <v>278</v>
      </c>
      <c r="D1489" s="94">
        <v>740.0</v>
      </c>
    </row>
    <row r="1490">
      <c r="A1490" s="40">
        <f t="array" ref="A1490">IFNA(index(PlayerValues!A:A,match(IFNA(vlookup(B1490,'Special Names'!A:B,2,FALSE),B1490),PlayerValues!E:E,0)),"N/A")</f>
        <v>13675</v>
      </c>
      <c r="B1490" s="4" t="s">
        <v>839</v>
      </c>
      <c r="C1490" s="4" t="s">
        <v>298</v>
      </c>
      <c r="D1490" s="94">
        <v>1106.0</v>
      </c>
    </row>
    <row r="1491">
      <c r="A1491" s="40">
        <f t="array" ref="A1491">IFNA(index(PlayerValues!A:A,match(IFNA(vlookup(B1491,'Special Names'!A:B,2,FALSE),B1491),PlayerValues!E:E,0)),"N/A")</f>
        <v>17541</v>
      </c>
      <c r="B1491" s="4" t="s">
        <v>616</v>
      </c>
      <c r="C1491" s="4" t="s">
        <v>287</v>
      </c>
      <c r="D1491" s="94">
        <v>722.0</v>
      </c>
    </row>
    <row r="1492">
      <c r="A1492" s="40">
        <f t="array" ref="A1492">IFNA(index(PlayerValues!A:A,match(IFNA(vlookup(B1492,'Special Names'!A:B,2,FALSE),B1492),PlayerValues!E:E,0)),"N/A")</f>
        <v>16413</v>
      </c>
      <c r="B1492" s="4" t="s">
        <v>781</v>
      </c>
      <c r="C1492" s="4" t="s">
        <v>287</v>
      </c>
      <c r="D1492" s="94">
        <v>716.0</v>
      </c>
    </row>
    <row r="1493">
      <c r="A1493" s="40">
        <f t="array" ref="A1493">IFNA(index(PlayerValues!A:A,match(IFNA(vlookup(B1493,'Special Names'!A:B,2,FALSE),B1493),PlayerValues!E:E,0)),"N/A")</f>
        <v>13172</v>
      </c>
      <c r="B1493" s="4" t="s">
        <v>840</v>
      </c>
      <c r="C1493" s="4" t="s">
        <v>287</v>
      </c>
      <c r="D1493" s="94">
        <v>712.0</v>
      </c>
    </row>
    <row r="1494">
      <c r="A1494" s="40">
        <f t="array" ref="A1494">IFNA(index(PlayerValues!A:A,match(IFNA(vlookup(B1494,'Special Names'!A:B,2,FALSE),B1494),PlayerValues!E:E,0)),"N/A")</f>
        <v>10413</v>
      </c>
      <c r="B1494" s="4" t="s">
        <v>811</v>
      </c>
      <c r="C1494" s="4" t="s">
        <v>283</v>
      </c>
      <c r="D1494" s="94">
        <v>705.0</v>
      </c>
    </row>
    <row r="1495">
      <c r="A1495" s="40">
        <f t="array" ref="A1495">IFNA(index(PlayerValues!A:A,match(IFNA(vlookup(B1495,'Special Names'!A:B,2,FALSE),B1495),PlayerValues!E:E,0)),"N/A")</f>
        <v>17232</v>
      </c>
      <c r="B1495" s="4" t="s">
        <v>784</v>
      </c>
      <c r="C1495" s="4" t="s">
        <v>287</v>
      </c>
      <c r="D1495" s="94">
        <v>700.0</v>
      </c>
    </row>
    <row r="1496">
      <c r="A1496" s="40">
        <f t="array" ref="A1496">IFNA(index(PlayerValues!A:A,match(IFNA(vlookup(B1496,'Special Names'!A:B,2,FALSE),B1496),PlayerValues!E:E,0)),"N/A")</f>
        <v>17470</v>
      </c>
      <c r="B1496" s="4" t="s">
        <v>841</v>
      </c>
      <c r="C1496" s="4" t="s">
        <v>283</v>
      </c>
      <c r="D1496" s="94">
        <v>699.0</v>
      </c>
    </row>
    <row r="1497">
      <c r="A1497" s="40">
        <f t="array" ref="A1497">IFNA(index(PlayerValues!A:A,match(IFNA(vlookup(B1497,'Special Names'!A:B,2,FALSE),B1497),PlayerValues!E:E,0)),"N/A")</f>
        <v>12658</v>
      </c>
      <c r="B1497" s="4" t="s">
        <v>823</v>
      </c>
      <c r="C1497" s="4" t="s">
        <v>287</v>
      </c>
      <c r="D1497" s="94">
        <v>690.0</v>
      </c>
    </row>
    <row r="1498">
      <c r="A1498" s="40">
        <f t="array" ref="A1498">IFNA(index(PlayerValues!A:A,match(IFNA(vlookup(B1498,'Special Names'!A:B,2,FALSE),B1498),PlayerValues!E:E,0)),"N/A")</f>
        <v>16632</v>
      </c>
      <c r="B1498" s="4" t="s">
        <v>842</v>
      </c>
      <c r="C1498" s="4" t="s">
        <v>287</v>
      </c>
      <c r="D1498" s="94">
        <v>690.0</v>
      </c>
    </row>
    <row r="1499">
      <c r="A1499" s="40">
        <f t="array" ref="A1499">IFNA(index(PlayerValues!A:A,match(IFNA(vlookup(B1499,'Special Names'!A:B,2,FALSE),B1499),PlayerValues!E:E,0)),"N/A")</f>
        <v>14870</v>
      </c>
      <c r="B1499" s="4" t="s">
        <v>843</v>
      </c>
      <c r="C1499" s="4" t="s">
        <v>298</v>
      </c>
      <c r="D1499" s="94">
        <v>1054.0</v>
      </c>
    </row>
    <row r="1500">
      <c r="A1500" s="40">
        <f t="array" ref="A1500">IFNA(index(PlayerValues!A:A,match(IFNA(vlookup(B1500,'Special Names'!A:B,2,FALSE),B1500),PlayerValues!E:E,0)),"N/A")</f>
        <v>17526</v>
      </c>
      <c r="B1500" s="4" t="s">
        <v>760</v>
      </c>
      <c r="C1500" s="4" t="s">
        <v>287</v>
      </c>
      <c r="D1500" s="94">
        <v>686.0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9987.0</v>
      </c>
    </row>
    <row r="1502">
      <c r="A1502" s="40">
        <f t="array" ref="A1502">IFNA(index(PlayerValues!A:A,match(IFNA(vlookup(B1502,'Special Names'!A:B,2,FALSE),B1502),PlayerValues!E:E,0)),"N/A")</f>
        <v>16161</v>
      </c>
      <c r="B1502" s="4" t="s">
        <v>277</v>
      </c>
      <c r="C1502" s="4" t="s">
        <v>278</v>
      </c>
      <c r="D1502" s="94">
        <v>9981.0</v>
      </c>
    </row>
    <row r="1503">
      <c r="A1503" s="40">
        <f t="array" ref="A1503">IFNA(index(PlayerValues!A:A,match(IFNA(vlookup(B1503,'Special Names'!A:B,2,FALSE),B1503),PlayerValues!E:E,0)),"N/A")</f>
        <v>15281</v>
      </c>
      <c r="B1503" s="4" t="s">
        <v>286</v>
      </c>
      <c r="C1503" s="4" t="s">
        <v>287</v>
      </c>
      <c r="D1503" s="94">
        <v>9837.0</v>
      </c>
    </row>
    <row r="1504">
      <c r="A1504" s="40">
        <f t="array" ref="A1504">IFNA(index(PlayerValues!A:A,match(IFNA(vlookup(B1504,'Special Names'!A:B,2,FALSE),B1504),PlayerValues!E:E,0)),"N/A")</f>
        <v>16185</v>
      </c>
      <c r="B1504" s="4" t="s">
        <v>290</v>
      </c>
      <c r="C1504" s="4" t="s">
        <v>287</v>
      </c>
      <c r="D1504" s="94">
        <v>9784.0</v>
      </c>
    </row>
    <row r="1505">
      <c r="A1505" s="40">
        <f t="array" ref="A1505">IFNA(index(PlayerValues!A:A,match(IFNA(vlookup(B1505,'Special Names'!A:B,2,FALSE),B1505),PlayerValues!E:E,0)),"N/A")</f>
        <v>16162</v>
      </c>
      <c r="B1505" s="4" t="s">
        <v>281</v>
      </c>
      <c r="C1505" s="4" t="s">
        <v>278</v>
      </c>
      <c r="D1505" s="94">
        <v>9645.0</v>
      </c>
    </row>
    <row r="1506">
      <c r="A1506" s="40">
        <f t="array" ref="A1506">IFNA(index(PlayerValues!A:A,match(IFNA(vlookup(B1506,'Special Names'!A:B,2,FALSE),B1506),PlayerValues!E:E,0)),"N/A")</f>
        <v>16580</v>
      </c>
      <c r="B1506" s="4" t="s">
        <v>291</v>
      </c>
      <c r="C1506" s="4" t="s">
        <v>283</v>
      </c>
      <c r="D1506" s="94">
        <v>9367.0</v>
      </c>
    </row>
    <row r="1507">
      <c r="A1507" s="40">
        <f t="array" ref="A1507">IFNA(index(PlayerValues!A:A,match(IFNA(vlookup(B1507,'Special Names'!A:B,2,FALSE),B1507),PlayerValues!E:E,0)),"N/A")</f>
        <v>16211</v>
      </c>
      <c r="B1507" s="4" t="s">
        <v>294</v>
      </c>
      <c r="C1507" s="4" t="s">
        <v>287</v>
      </c>
      <c r="D1507" s="94">
        <v>9253.0</v>
      </c>
    </row>
    <row r="1508">
      <c r="A1508" s="40">
        <f t="array" ref="A1508">IFNA(index(PlayerValues!A:A,match(IFNA(vlookup(B1508,'Special Names'!A:B,2,FALSE),B1508),PlayerValues!E:E,0)),"N/A")</f>
        <v>16579</v>
      </c>
      <c r="B1508" s="4" t="s">
        <v>302</v>
      </c>
      <c r="C1508" s="4" t="s">
        <v>283</v>
      </c>
      <c r="D1508" s="94">
        <v>7752.0</v>
      </c>
    </row>
    <row r="1509">
      <c r="A1509" s="40">
        <f t="array" ref="A1509">IFNA(index(PlayerValues!A:A,match(IFNA(vlookup(B1509,'Special Names'!A:B,2,FALSE),B1509),PlayerValues!E:E,0)),"N/A")</f>
        <v>16581</v>
      </c>
      <c r="B1509" s="4" t="s">
        <v>315</v>
      </c>
      <c r="C1509" s="4" t="s">
        <v>283</v>
      </c>
      <c r="D1509" s="94">
        <v>7751.0</v>
      </c>
    </row>
    <row r="1510">
      <c r="A1510" s="40">
        <f t="array" ref="A1510">IFNA(index(PlayerValues!A:A,match(IFNA(vlookup(B1510,'Special Names'!A:B,2,FALSE),B1510),PlayerValues!E:E,0)),"N/A")</f>
        <v>16641</v>
      </c>
      <c r="B1510" s="4" t="s">
        <v>297</v>
      </c>
      <c r="C1510" s="4" t="s">
        <v>298</v>
      </c>
      <c r="D1510" s="94">
        <v>8555.0</v>
      </c>
    </row>
    <row r="1511">
      <c r="A1511" s="40">
        <f t="array" ref="A1511">IFNA(index(PlayerValues!A:A,match(IFNA(vlookup(B1511,'Special Names'!A:B,2,FALSE),B1511),PlayerValues!E:E,0)),"N/A")</f>
        <v>15287</v>
      </c>
      <c r="B1511" s="4" t="s">
        <v>299</v>
      </c>
      <c r="C1511" s="4" t="s">
        <v>287</v>
      </c>
      <c r="D1511" s="94">
        <v>7713.0</v>
      </c>
    </row>
    <row r="1512">
      <c r="A1512" s="40">
        <f t="array" ref="A1512">IFNA(index(PlayerValues!A:A,match(IFNA(vlookup(B1512,'Special Names'!A:B,2,FALSE),B1512),PlayerValues!E:E,0)),"N/A")</f>
        <v>16615</v>
      </c>
      <c r="B1512" s="4" t="s">
        <v>309</v>
      </c>
      <c r="C1512" s="4" t="s">
        <v>287</v>
      </c>
      <c r="D1512" s="94">
        <v>7709.0</v>
      </c>
    </row>
    <row r="1513">
      <c r="A1513" s="40">
        <f t="array" ref="A1513">IFNA(index(PlayerValues!A:A,match(IFNA(vlookup(B1513,'Special Names'!A:B,2,FALSE),B1513),PlayerValues!E:E,0)),"N/A")</f>
        <v>13593</v>
      </c>
      <c r="B1513" s="4" t="s">
        <v>305</v>
      </c>
      <c r="C1513" s="4" t="s">
        <v>283</v>
      </c>
      <c r="D1513" s="94">
        <v>7682.0</v>
      </c>
    </row>
    <row r="1514">
      <c r="A1514" s="40">
        <f t="array" ref="A1514">IFNA(index(PlayerValues!A:A,match(IFNA(vlookup(B1514,'Special Names'!A:B,2,FALSE),B1514),PlayerValues!E:E,0)),"N/A")</f>
        <v>14836</v>
      </c>
      <c r="B1514" s="4" t="s">
        <v>306</v>
      </c>
      <c r="C1514" s="4" t="s">
        <v>287</v>
      </c>
      <c r="D1514" s="94">
        <v>7681.0</v>
      </c>
    </row>
    <row r="1515">
      <c r="A1515" s="40">
        <f t="array" ref="A1515">IFNA(index(PlayerValues!A:A,match(IFNA(vlookup(B1515,'Special Names'!A:B,2,FALSE),B1515),PlayerValues!E:E,0)),"N/A")</f>
        <v>15794</v>
      </c>
      <c r="B1515" s="4" t="s">
        <v>313</v>
      </c>
      <c r="C1515" s="4" t="s">
        <v>298</v>
      </c>
      <c r="D1515" s="94">
        <v>8420.0</v>
      </c>
    </row>
    <row r="1516">
      <c r="A1516" s="40">
        <f t="array" ref="A1516">IFNA(index(PlayerValues!A:A,match(IFNA(vlookup(B1516,'Special Names'!A:B,2,FALSE),B1516),PlayerValues!E:E,0)),"N/A")</f>
        <v>17042</v>
      </c>
      <c r="B1516" s="4" t="s">
        <v>314</v>
      </c>
      <c r="C1516" s="4" t="s">
        <v>278</v>
      </c>
      <c r="D1516" s="94">
        <v>7477.0</v>
      </c>
    </row>
    <row r="1517">
      <c r="A1517" s="40">
        <f t="array" ref="A1517">IFNA(index(PlayerValues!A:A,match(IFNA(vlookup(B1517,'Special Names'!A:B,2,FALSE),B1517),PlayerValues!E:E,0)),"N/A")</f>
        <v>17472</v>
      </c>
      <c r="B1517" s="4" t="s">
        <v>310</v>
      </c>
      <c r="C1517" s="4" t="s">
        <v>278</v>
      </c>
      <c r="D1517" s="94">
        <v>7416.0</v>
      </c>
    </row>
    <row r="1518">
      <c r="A1518" s="40">
        <f t="array" ref="A1518">IFNA(index(PlayerValues!A:A,match(IFNA(vlookup(B1518,'Special Names'!A:B,2,FALSE),B1518),PlayerValues!E:E,0)),"N/A")</f>
        <v>14777</v>
      </c>
      <c r="B1518" s="4" t="s">
        <v>318</v>
      </c>
      <c r="C1518" s="4" t="s">
        <v>283</v>
      </c>
      <c r="D1518" s="94">
        <v>7372.0</v>
      </c>
    </row>
    <row r="1519">
      <c r="A1519" s="40">
        <f t="array" ref="A1519">IFNA(index(PlayerValues!A:A,match(IFNA(vlookup(B1519,'Special Names'!A:B,2,FALSE),B1519),PlayerValues!E:E,0)),"N/A")</f>
        <v>14832</v>
      </c>
      <c r="B1519" s="4" t="s">
        <v>319</v>
      </c>
      <c r="C1519" s="4" t="s">
        <v>287</v>
      </c>
      <c r="D1519" s="94">
        <v>7324.0</v>
      </c>
    </row>
    <row r="1520">
      <c r="A1520" s="40">
        <f t="array" ref="A1520">IFNA(index(PlayerValues!A:A,match(IFNA(vlookup(B1520,'Special Names'!A:B,2,FALSE),B1520),PlayerValues!E:E,0)),"N/A")</f>
        <v>15751</v>
      </c>
      <c r="B1520" s="4" t="s">
        <v>328</v>
      </c>
      <c r="C1520" s="4" t="s">
        <v>287</v>
      </c>
      <c r="D1520" s="94">
        <v>6947.0</v>
      </c>
    </row>
    <row r="1521">
      <c r="A1521" s="40">
        <f t="array" ref="A1521">IFNA(index(PlayerValues!A:A,match(IFNA(vlookup(B1521,'Special Names'!A:B,2,FALSE),B1521),PlayerValues!E:E,0)),"N/A")</f>
        <v>14779</v>
      </c>
      <c r="B1521" s="4" t="s">
        <v>327</v>
      </c>
      <c r="C1521" s="4" t="s">
        <v>283</v>
      </c>
      <c r="D1521" s="94">
        <v>6921.0</v>
      </c>
    </row>
    <row r="1522">
      <c r="A1522" s="40" t="str">
        <f t="array" ref="A1522">IFNA(index(PlayerValues!A:A,match(IFNA(vlookup(B1522,'Special Names'!A:B,2,FALSE),B1522),PlayerValues!E:E,0)),"N/A")</f>
        <v>N/A</v>
      </c>
      <c r="B1522" s="4" t="s">
        <v>92</v>
      </c>
      <c r="C1522" s="4" t="s">
        <v>325</v>
      </c>
      <c r="D1522" s="94">
        <v>6850.0</v>
      </c>
    </row>
    <row r="1523">
      <c r="A1523" s="40">
        <f t="array" ref="A1523">IFNA(index(PlayerValues!A:A,match(IFNA(vlookup(B1523,'Special Names'!A:B,2,FALSE),B1523),PlayerValues!E:E,0)),"N/A")</f>
        <v>16167</v>
      </c>
      <c r="B1523" s="4" t="s">
        <v>323</v>
      </c>
      <c r="C1523" s="4" t="s">
        <v>278</v>
      </c>
      <c r="D1523" s="94">
        <v>6838.0</v>
      </c>
    </row>
    <row r="1524">
      <c r="A1524" s="40">
        <f t="array" ref="A1524">IFNA(index(PlayerValues!A:A,match(IFNA(vlookup(B1524,'Special Names'!A:B,2,FALSE),B1524),PlayerValues!E:E,0)),"N/A")</f>
        <v>13116</v>
      </c>
      <c r="B1524" s="4" t="s">
        <v>345</v>
      </c>
      <c r="C1524" s="4" t="s">
        <v>283</v>
      </c>
      <c r="D1524" s="94">
        <v>6801.0</v>
      </c>
    </row>
    <row r="1525">
      <c r="A1525" s="40">
        <f t="array" ref="A1525">IFNA(index(PlayerValues!A:A,match(IFNA(vlookup(B1525,'Special Names'!A:B,2,FALSE),B1525),PlayerValues!E:E,0)),"N/A")</f>
        <v>17044</v>
      </c>
      <c r="B1525" s="4" t="s">
        <v>322</v>
      </c>
      <c r="C1525" s="4" t="s">
        <v>278</v>
      </c>
      <c r="D1525" s="94">
        <v>6763.0</v>
      </c>
    </row>
    <row r="1526">
      <c r="A1526" s="40">
        <f t="array" ref="A1526">IFNA(index(PlayerValues!A:A,match(IFNA(vlookup(B1526,'Special Names'!A:B,2,FALSE),B1526),PlayerValues!E:E,0)),"N/A")</f>
        <v>17032</v>
      </c>
      <c r="B1526" s="4" t="s">
        <v>348</v>
      </c>
      <c r="C1526" s="4" t="s">
        <v>283</v>
      </c>
      <c r="D1526" s="94">
        <v>6653.0</v>
      </c>
    </row>
    <row r="1527">
      <c r="A1527" s="40">
        <f t="array" ref="A1527">IFNA(index(PlayerValues!A:A,match(IFNA(vlookup(B1527,'Special Names'!A:B,2,FALSE),B1527),PlayerValues!E:E,0)),"N/A")</f>
        <v>17071</v>
      </c>
      <c r="B1527" s="4" t="s">
        <v>341</v>
      </c>
      <c r="C1527" s="4" t="s">
        <v>287</v>
      </c>
      <c r="D1527" s="94">
        <v>6645.0</v>
      </c>
    </row>
    <row r="1528">
      <c r="A1528" s="40">
        <f t="array" ref="A1528">IFNA(index(PlayerValues!A:A,match(IFNA(vlookup(B1528,'Special Names'!A:B,2,FALSE),B1528),PlayerValues!E:E,0)),"N/A")</f>
        <v>14783</v>
      </c>
      <c r="B1528" s="4" t="s">
        <v>342</v>
      </c>
      <c r="C1528" s="4" t="s">
        <v>283</v>
      </c>
      <c r="D1528" s="94">
        <v>6334.0</v>
      </c>
    </row>
    <row r="1529">
      <c r="A1529" s="40">
        <f t="array" ref="A1529">IFNA(index(PlayerValues!A:A,match(IFNA(vlookup(B1529,'Special Names'!A:B,2,FALSE),B1529),PlayerValues!E:E,0)),"N/A")</f>
        <v>15237</v>
      </c>
      <c r="B1529" s="4" t="s">
        <v>336</v>
      </c>
      <c r="C1529" s="4" t="s">
        <v>283</v>
      </c>
      <c r="D1529" s="94">
        <v>6284.0</v>
      </c>
    </row>
    <row r="1530">
      <c r="A1530" s="40">
        <f t="array" ref="A1530">IFNA(index(PlayerValues!A:A,match(IFNA(vlookup(B1530,'Special Names'!A:B,2,FALSE),B1530),PlayerValues!E:E,0)),"N/A")</f>
        <v>16582</v>
      </c>
      <c r="B1530" s="4" t="s">
        <v>343</v>
      </c>
      <c r="C1530" s="4" t="s">
        <v>283</v>
      </c>
      <c r="D1530" s="94">
        <v>6254.0</v>
      </c>
    </row>
    <row r="1531">
      <c r="A1531" s="40">
        <f t="array" ref="A1531">IFNA(index(PlayerValues!A:A,match(IFNA(vlookup(B1531,'Special Names'!A:B,2,FALSE),B1531),PlayerValues!E:E,0)),"N/A")</f>
        <v>15762</v>
      </c>
      <c r="B1531" s="4" t="s">
        <v>337</v>
      </c>
      <c r="C1531" s="4" t="s">
        <v>287</v>
      </c>
      <c r="D1531" s="94">
        <v>6067.0</v>
      </c>
    </row>
    <row r="1532">
      <c r="A1532" s="40">
        <f t="array" ref="A1532">IFNA(index(PlayerValues!A:A,match(IFNA(vlookup(B1532,'Special Names'!A:B,2,FALSE),B1532),PlayerValues!E:E,0)),"N/A")</f>
        <v>17081</v>
      </c>
      <c r="B1532" s="4" t="s">
        <v>340</v>
      </c>
      <c r="C1532" s="4" t="s">
        <v>287</v>
      </c>
      <c r="D1532" s="94">
        <v>5993.0</v>
      </c>
    </row>
    <row r="1533">
      <c r="A1533" s="40">
        <f t="array" ref="A1533">IFNA(index(PlayerValues!A:A,match(IFNA(vlookup(B1533,'Special Names'!A:B,2,FALSE),B1533),PlayerValues!E:E,0)),"N/A")</f>
        <v>17104</v>
      </c>
      <c r="B1533" s="4" t="s">
        <v>333</v>
      </c>
      <c r="C1533" s="4" t="s">
        <v>298</v>
      </c>
      <c r="D1533" s="94">
        <v>6658.0</v>
      </c>
    </row>
    <row r="1534">
      <c r="A1534" s="40">
        <f t="array" ref="A1534">IFNA(index(PlayerValues!A:A,match(IFNA(vlookup(B1534,'Special Names'!A:B,2,FALSE),B1534),PlayerValues!E:E,0)),"N/A")</f>
        <v>15715</v>
      </c>
      <c r="B1534" s="4" t="s">
        <v>331</v>
      </c>
      <c r="C1534" s="4" t="s">
        <v>278</v>
      </c>
      <c r="D1534" s="94">
        <v>5990.0</v>
      </c>
    </row>
    <row r="1535">
      <c r="A1535" s="40">
        <f t="array" ref="A1535">IFNA(index(PlayerValues!A:A,match(IFNA(vlookup(B1535,'Special Names'!A:B,2,FALSE),B1535),PlayerValues!E:E,0)),"N/A")</f>
        <v>14802</v>
      </c>
      <c r="B1535" s="4" t="s">
        <v>332</v>
      </c>
      <c r="C1535" s="4" t="s">
        <v>278</v>
      </c>
      <c r="D1535" s="94">
        <v>5987.0</v>
      </c>
    </row>
    <row r="1536">
      <c r="A1536" s="40">
        <f t="array" ref="A1536">IFNA(index(PlayerValues!A:A,match(IFNA(vlookup(B1536,'Special Names'!A:B,2,FALSE),B1536),PlayerValues!E:E,0)),"N/A")</f>
        <v>15698</v>
      </c>
      <c r="B1536" s="4" t="s">
        <v>358</v>
      </c>
      <c r="C1536" s="4" t="s">
        <v>283</v>
      </c>
      <c r="D1536" s="94">
        <v>5968.0</v>
      </c>
    </row>
    <row r="1537">
      <c r="A1537" s="40" t="str">
        <f t="array" ref="A1537">IFNA(index(PlayerValues!A:A,match(IFNA(vlookup(B1537,'Special Names'!A:B,2,FALSE),B1537),PlayerValues!E:E,0)),"N/A")</f>
        <v>N/A</v>
      </c>
      <c r="B1537" s="4" t="s">
        <v>79</v>
      </c>
      <c r="C1537" s="4" t="s">
        <v>325</v>
      </c>
      <c r="D1537" s="94">
        <v>5841.0</v>
      </c>
    </row>
    <row r="1538">
      <c r="A1538" s="40">
        <f t="array" ref="A1538">IFNA(index(PlayerValues!A:A,match(IFNA(vlookup(B1538,'Special Names'!A:B,2,FALSE),B1538),PlayerValues!E:E,0)),"N/A")</f>
        <v>15753</v>
      </c>
      <c r="B1538" s="4" t="s">
        <v>359</v>
      </c>
      <c r="C1538" s="4" t="s">
        <v>287</v>
      </c>
      <c r="D1538" s="94">
        <v>5774.0</v>
      </c>
    </row>
    <row r="1539">
      <c r="A1539" s="40">
        <f t="array" ref="A1539">IFNA(index(PlayerValues!A:A,match(IFNA(vlookup(B1539,'Special Names'!A:B,2,FALSE),B1539),PlayerValues!E:E,0)),"N/A")</f>
        <v>15290</v>
      </c>
      <c r="B1539" s="4" t="s">
        <v>355</v>
      </c>
      <c r="C1539" s="4" t="s">
        <v>287</v>
      </c>
      <c r="D1539" s="94">
        <v>5772.0</v>
      </c>
    </row>
    <row r="1540">
      <c r="A1540" s="40">
        <f t="array" ref="A1540">IFNA(index(PlayerValues!A:A,match(IFNA(vlookup(B1540,'Special Names'!A:B,2,FALSE),B1540),PlayerValues!E:E,0)),"N/A")</f>
        <v>15711</v>
      </c>
      <c r="B1540" s="4" t="s">
        <v>349</v>
      </c>
      <c r="C1540" s="4" t="s">
        <v>278</v>
      </c>
      <c r="D1540" s="94">
        <v>5764.0</v>
      </c>
    </row>
    <row r="1541">
      <c r="A1541" s="40">
        <f t="array" ref="A1541">IFNA(index(PlayerValues!A:A,match(IFNA(vlookup(B1541,'Special Names'!A:B,2,FALSE),B1541),PlayerValues!E:E,0)),"N/A")</f>
        <v>17102</v>
      </c>
      <c r="B1541" s="4" t="s">
        <v>344</v>
      </c>
      <c r="C1541" s="4" t="s">
        <v>298</v>
      </c>
      <c r="D1541" s="94">
        <v>6401.0</v>
      </c>
    </row>
    <row r="1542">
      <c r="A1542" s="40">
        <f t="array" ref="A1542">IFNA(index(PlayerValues!A:A,match(IFNA(vlookup(B1542,'Special Names'!A:B,2,FALSE),B1542),PlayerValues!E:E,0)),"N/A")</f>
        <v>14782</v>
      </c>
      <c r="B1542" s="4" t="s">
        <v>385</v>
      </c>
      <c r="C1542" s="4" t="s">
        <v>283</v>
      </c>
      <c r="D1542" s="94">
        <v>5698.0</v>
      </c>
    </row>
    <row r="1543">
      <c r="A1543" s="40">
        <f t="array" ref="A1543">IFNA(index(PlayerValues!A:A,match(IFNA(vlookup(B1543,'Special Names'!A:B,2,FALSE),B1543),PlayerValues!E:E,0)),"N/A")</f>
        <v>15754</v>
      </c>
      <c r="B1543" s="4" t="s">
        <v>354</v>
      </c>
      <c r="C1543" s="4" t="s">
        <v>287</v>
      </c>
      <c r="D1543" s="94">
        <v>5675.0</v>
      </c>
    </row>
    <row r="1544">
      <c r="A1544" s="40" t="str">
        <f t="array" ref="A1544">IFNA(index(PlayerValues!A:A,match(IFNA(vlookup(B1544,'Special Names'!A:B,2,FALSE),B1544),PlayerValues!E:E,0)),"N/A")</f>
        <v>N/A</v>
      </c>
      <c r="B1544" s="4" t="s">
        <v>93</v>
      </c>
      <c r="C1544" s="4" t="s">
        <v>325</v>
      </c>
      <c r="D1544" s="94">
        <v>5630.0</v>
      </c>
    </row>
    <row r="1545">
      <c r="A1545" s="40">
        <f t="array" ref="A1545">IFNA(index(PlayerValues!A:A,match(IFNA(vlookup(B1545,'Special Names'!A:B,2,FALSE),B1545),PlayerValues!E:E,0)),"N/A")</f>
        <v>17462</v>
      </c>
      <c r="B1545" s="4" t="s">
        <v>375</v>
      </c>
      <c r="C1545" s="4" t="s">
        <v>283</v>
      </c>
      <c r="D1545" s="94">
        <v>5595.0</v>
      </c>
    </row>
    <row r="1546">
      <c r="A1546" s="40">
        <f t="array" ref="A1546">IFNA(index(PlayerValues!A:A,match(IFNA(vlookup(B1546,'Special Names'!A:B,2,FALSE),B1546),PlayerValues!E:E,0)),"N/A")</f>
        <v>16616</v>
      </c>
      <c r="B1546" s="4" t="s">
        <v>389</v>
      </c>
      <c r="C1546" s="4" t="s">
        <v>287</v>
      </c>
      <c r="D1546" s="94">
        <v>5539.0</v>
      </c>
    </row>
    <row r="1547">
      <c r="A1547" s="40">
        <f t="array" ref="A1547">IFNA(index(PlayerValues!A:A,match(IFNA(vlookup(B1547,'Special Names'!A:B,2,FALSE),B1547),PlayerValues!E:E,0)),"N/A")</f>
        <v>17043</v>
      </c>
      <c r="B1547" s="4" t="s">
        <v>397</v>
      </c>
      <c r="C1547" s="4" t="s">
        <v>278</v>
      </c>
      <c r="D1547" s="94">
        <v>5474.0</v>
      </c>
    </row>
    <row r="1548">
      <c r="A1548" s="40">
        <f t="array" ref="A1548">IFNA(index(PlayerValues!A:A,match(IFNA(vlookup(B1548,'Special Names'!A:B,2,FALSE),B1548),PlayerValues!E:E,0)),"N/A")</f>
        <v>17051</v>
      </c>
      <c r="B1548" s="4" t="s">
        <v>386</v>
      </c>
      <c r="C1548" s="4" t="s">
        <v>278</v>
      </c>
      <c r="D1548" s="94">
        <v>5421.0</v>
      </c>
    </row>
    <row r="1549">
      <c r="A1549" s="40">
        <f t="array" ref="A1549">IFNA(index(PlayerValues!A:A,match(IFNA(vlookup(B1549,'Special Names'!A:B,2,FALSE),B1549),PlayerValues!E:E,0)),"N/A")</f>
        <v>16627</v>
      </c>
      <c r="B1549" s="4" t="s">
        <v>351</v>
      </c>
      <c r="C1549" s="4" t="s">
        <v>287</v>
      </c>
      <c r="D1549" s="94">
        <v>5399.0</v>
      </c>
    </row>
    <row r="1550">
      <c r="A1550" s="40">
        <f t="array" ref="A1550">IFNA(index(PlayerValues!A:A,match(IFNA(vlookup(B1550,'Special Names'!A:B,2,FALSE),B1550),PlayerValues!E:E,0)),"N/A")</f>
        <v>17070</v>
      </c>
      <c r="B1550" s="4" t="s">
        <v>370</v>
      </c>
      <c r="C1550" s="4" t="s">
        <v>287</v>
      </c>
      <c r="D1550" s="94">
        <v>5376.0</v>
      </c>
    </row>
    <row r="1551">
      <c r="A1551" s="40">
        <f t="array" ref="A1551">IFNA(index(PlayerValues!A:A,match(IFNA(vlookup(B1551,'Special Names'!A:B,2,FALSE),B1551),PlayerValues!E:E,0)),"N/A")</f>
        <v>15708</v>
      </c>
      <c r="B1551" s="4" t="s">
        <v>382</v>
      </c>
      <c r="C1551" s="4" t="s">
        <v>278</v>
      </c>
      <c r="D1551" s="94">
        <v>5354.0</v>
      </c>
    </row>
    <row r="1552">
      <c r="A1552" s="40">
        <f t="array" ref="A1552">IFNA(index(PlayerValues!A:A,match(IFNA(vlookup(B1552,'Special Names'!A:B,2,FALSE),B1552),PlayerValues!E:E,0)),"N/A")</f>
        <v>17497</v>
      </c>
      <c r="B1552" s="4" t="s">
        <v>365</v>
      </c>
      <c r="C1552" s="4" t="s">
        <v>287</v>
      </c>
      <c r="D1552" s="94">
        <v>5201.0</v>
      </c>
    </row>
    <row r="1553">
      <c r="A1553" s="40">
        <f t="array" ref="A1553">IFNA(index(PlayerValues!A:A,match(IFNA(vlookup(B1553,'Special Names'!A:B,2,FALSE),B1553),PlayerValues!E:E,0)),"N/A")</f>
        <v>17030</v>
      </c>
      <c r="B1553" s="4" t="s">
        <v>406</v>
      </c>
      <c r="C1553" s="4" t="s">
        <v>283</v>
      </c>
      <c r="D1553" s="94">
        <v>5147.0</v>
      </c>
    </row>
    <row r="1554">
      <c r="A1554" s="40">
        <f t="array" ref="A1554">IFNA(index(PlayerValues!A:A,match(IFNA(vlookup(B1554,'Special Names'!A:B,2,FALSE),B1554),PlayerValues!E:E,0)),"N/A")</f>
        <v>13130</v>
      </c>
      <c r="B1554" s="4" t="s">
        <v>374</v>
      </c>
      <c r="C1554" s="4" t="s">
        <v>278</v>
      </c>
      <c r="D1554" s="94">
        <v>5130.0</v>
      </c>
    </row>
    <row r="1555">
      <c r="A1555" s="40">
        <f t="array" ref="A1555">IFNA(index(PlayerValues!A:A,match(IFNA(vlookup(B1555,'Special Names'!A:B,2,FALSE),B1555),PlayerValues!E:E,0)),"N/A")</f>
        <v>17499</v>
      </c>
      <c r="B1555" s="4" t="s">
        <v>402</v>
      </c>
      <c r="C1555" s="4" t="s">
        <v>287</v>
      </c>
      <c r="D1555" s="94">
        <v>5100.0</v>
      </c>
    </row>
    <row r="1556">
      <c r="A1556" s="40">
        <f t="array" ref="A1556">IFNA(index(PlayerValues!A:A,match(IFNA(vlookup(B1556,'Special Names'!A:B,2,FALSE),B1556),PlayerValues!E:E,0)),"N/A")</f>
        <v>16598</v>
      </c>
      <c r="B1556" s="4" t="s">
        <v>408</v>
      </c>
      <c r="C1556" s="4" t="s">
        <v>278</v>
      </c>
      <c r="D1556" s="94">
        <v>5093.0</v>
      </c>
    </row>
    <row r="1557">
      <c r="A1557" s="40">
        <f t="array" ref="A1557">IFNA(index(PlayerValues!A:A,match(IFNA(vlookup(B1557,'Special Names'!A:B,2,FALSE),B1557),PlayerValues!E:E,0)),"N/A")</f>
        <v>12620</v>
      </c>
      <c r="B1557" s="4" t="s">
        <v>394</v>
      </c>
      <c r="C1557" s="4" t="s">
        <v>283</v>
      </c>
      <c r="D1557" s="94">
        <v>5061.0</v>
      </c>
    </row>
    <row r="1558">
      <c r="A1558" s="40">
        <f t="array" ref="A1558">IFNA(index(PlayerValues!A:A,match(IFNA(vlookup(B1558,'Special Names'!A:B,2,FALSE),B1558),PlayerValues!E:E,0)),"N/A")</f>
        <v>16614</v>
      </c>
      <c r="B1558" s="4" t="s">
        <v>403</v>
      </c>
      <c r="C1558" s="4" t="s">
        <v>287</v>
      </c>
      <c r="D1558" s="94">
        <v>4999.0</v>
      </c>
    </row>
    <row r="1559">
      <c r="A1559" s="40" t="str">
        <f t="array" ref="A1559">IFNA(index(PlayerValues!A:A,match(IFNA(vlookup(B1559,'Special Names'!A:B,2,FALSE),B1559),PlayerValues!E:E,0)),"N/A")</f>
        <v>N/A</v>
      </c>
      <c r="B1559" s="4" t="s">
        <v>104</v>
      </c>
      <c r="C1559" s="4" t="s">
        <v>325</v>
      </c>
      <c r="D1559" s="94">
        <v>4990.0</v>
      </c>
    </row>
    <row r="1560">
      <c r="A1560" s="40">
        <f t="array" ref="A1560">IFNA(index(PlayerValues!A:A,match(IFNA(vlookup(B1560,'Special Names'!A:B,2,FALSE),B1560),PlayerValues!E:E,0)),"N/A")</f>
        <v>16181</v>
      </c>
      <c r="B1560" s="4" t="s">
        <v>350</v>
      </c>
      <c r="C1560" s="4" t="s">
        <v>278</v>
      </c>
      <c r="D1560" s="94">
        <v>4962.0</v>
      </c>
    </row>
    <row r="1561">
      <c r="A1561" s="40">
        <f t="array" ref="A1561">IFNA(index(PlayerValues!A:A,match(IFNA(vlookup(B1561,'Special Names'!A:B,2,FALSE),B1561),PlayerValues!E:E,0)),"N/A")</f>
        <v>17103</v>
      </c>
      <c r="B1561" s="4" t="s">
        <v>405</v>
      </c>
      <c r="C1561" s="4" t="s">
        <v>298</v>
      </c>
      <c r="D1561" s="94">
        <v>5536.0</v>
      </c>
    </row>
    <row r="1562">
      <c r="A1562" s="40">
        <f t="array" ref="A1562">IFNA(index(PlayerValues!A:A,match(IFNA(vlookup(B1562,'Special Names'!A:B,2,FALSE),B1562),PlayerValues!E:E,0)),"N/A")</f>
        <v>16618</v>
      </c>
      <c r="B1562" s="4" t="s">
        <v>411</v>
      </c>
      <c r="C1562" s="4" t="s">
        <v>287</v>
      </c>
      <c r="D1562" s="94">
        <v>4929.0</v>
      </c>
    </row>
    <row r="1563">
      <c r="A1563" s="40">
        <f t="array" ref="A1563">IFNA(index(PlayerValues!A:A,match(IFNA(vlookup(B1563,'Special Names'!A:B,2,FALSE),B1563),PlayerValues!E:E,0)),"N/A")</f>
        <v>15282</v>
      </c>
      <c r="B1563" s="4" t="s">
        <v>364</v>
      </c>
      <c r="C1563" s="4" t="s">
        <v>287</v>
      </c>
      <c r="D1563" s="94">
        <v>4919.0</v>
      </c>
    </row>
    <row r="1564">
      <c r="A1564" s="40">
        <f t="array" ref="A1564">IFNA(index(PlayerValues!A:A,match(IFNA(vlookup(B1564,'Special Names'!A:B,2,FALSE),B1564),PlayerValues!E:E,0)),"N/A")</f>
        <v>14835</v>
      </c>
      <c r="B1564" s="4" t="s">
        <v>392</v>
      </c>
      <c r="C1564" s="4" t="s">
        <v>287</v>
      </c>
      <c r="D1564" s="94">
        <v>4917.0</v>
      </c>
    </row>
    <row r="1565">
      <c r="A1565" s="40">
        <f t="array" ref="A1565">IFNA(index(PlayerValues!A:A,match(IFNA(vlookup(B1565,'Special Names'!A:B,2,FALSE),B1565),PlayerValues!E:E,0)),"N/A")</f>
        <v>13604</v>
      </c>
      <c r="B1565" s="4" t="s">
        <v>378</v>
      </c>
      <c r="C1565" s="4" t="s">
        <v>278</v>
      </c>
      <c r="D1565" s="94">
        <v>4911.0</v>
      </c>
    </row>
    <row r="1566">
      <c r="A1566" s="40">
        <f t="array" ref="A1566">IFNA(index(PlayerValues!A:A,match(IFNA(vlookup(B1566,'Special Names'!A:B,2,FALSE),B1566),PlayerValues!E:E,0)),"N/A")</f>
        <v>15284</v>
      </c>
      <c r="B1566" s="4" t="s">
        <v>390</v>
      </c>
      <c r="C1566" s="4" t="s">
        <v>287</v>
      </c>
      <c r="D1566" s="94">
        <v>4867.0</v>
      </c>
    </row>
    <row r="1567">
      <c r="A1567" s="40">
        <f t="array" ref="A1567">IFNA(index(PlayerValues!A:A,match(IFNA(vlookup(B1567,'Special Names'!A:B,2,FALSE),B1567),PlayerValues!E:E,0)),"N/A")</f>
        <v>15710</v>
      </c>
      <c r="B1567" s="4" t="s">
        <v>395</v>
      </c>
      <c r="C1567" s="4" t="s">
        <v>278</v>
      </c>
      <c r="D1567" s="94">
        <v>4845.0</v>
      </c>
    </row>
    <row r="1568">
      <c r="A1568" s="40">
        <f t="array" ref="A1568">IFNA(index(PlayerValues!A:A,match(IFNA(vlookup(B1568,'Special Names'!A:B,2,FALSE),B1568),PlayerValues!E:E,0)),"N/A")</f>
        <v>17498</v>
      </c>
      <c r="B1568" s="4" t="s">
        <v>396</v>
      </c>
      <c r="C1568" s="4" t="s">
        <v>287</v>
      </c>
      <c r="D1568" s="94">
        <v>4811.0</v>
      </c>
    </row>
    <row r="1569">
      <c r="A1569" s="40">
        <f t="array" ref="A1569">IFNA(index(PlayerValues!A:A,match(IFNA(vlookup(B1569,'Special Names'!A:B,2,FALSE),B1569),PlayerValues!E:E,0)),"N/A")</f>
        <v>16194</v>
      </c>
      <c r="B1569" s="4" t="s">
        <v>398</v>
      </c>
      <c r="C1569" s="4" t="s">
        <v>287</v>
      </c>
      <c r="D1569" s="94">
        <v>4801.0</v>
      </c>
    </row>
    <row r="1570">
      <c r="A1570" s="40">
        <f t="array" ref="A1570">IFNA(index(PlayerValues!A:A,match(IFNA(vlookup(B1570,'Special Names'!A:B,2,FALSE),B1570),PlayerValues!E:E,0)),"N/A")</f>
        <v>16150</v>
      </c>
      <c r="B1570" s="4" t="s">
        <v>414</v>
      </c>
      <c r="C1570" s="4" t="s">
        <v>283</v>
      </c>
      <c r="D1570" s="94">
        <v>4794.0</v>
      </c>
    </row>
    <row r="1571">
      <c r="A1571" s="40">
        <f t="array" ref="A1571">IFNA(index(PlayerValues!A:A,match(IFNA(vlookup(B1571,'Special Names'!A:B,2,FALSE),B1571),PlayerValues!E:E,0)),"N/A")</f>
        <v>14104</v>
      </c>
      <c r="B1571" s="4" t="s">
        <v>379</v>
      </c>
      <c r="C1571" s="4" t="s">
        <v>287</v>
      </c>
      <c r="D1571" s="94">
        <v>4786.0</v>
      </c>
    </row>
    <row r="1572">
      <c r="A1572" s="40">
        <f t="array" ref="A1572">IFNA(index(PlayerValues!A:A,match(IFNA(vlookup(B1572,'Special Names'!A:B,2,FALSE),B1572),PlayerValues!E:E,0)),"N/A")</f>
        <v>16222</v>
      </c>
      <c r="B1572" s="4" t="s">
        <v>393</v>
      </c>
      <c r="C1572" s="4" t="s">
        <v>298</v>
      </c>
      <c r="D1572" s="94">
        <v>5348.0</v>
      </c>
    </row>
    <row r="1573">
      <c r="A1573" s="40" t="str">
        <f t="array" ref="A1573">IFNA(index(PlayerValues!A:A,match(IFNA(vlookup(B1573,'Special Names'!A:B,2,FALSE),B1573),PlayerValues!E:E,0)),"N/A")</f>
        <v>N/A</v>
      </c>
      <c r="B1573" s="4" t="s">
        <v>94</v>
      </c>
      <c r="C1573" s="4" t="s">
        <v>325</v>
      </c>
      <c r="D1573" s="94">
        <v>4784.0</v>
      </c>
    </row>
    <row r="1574">
      <c r="A1574" s="40">
        <f t="array" ref="A1574">IFNA(index(PlayerValues!A:A,match(IFNA(vlookup(B1574,'Special Names'!A:B,2,FALSE),B1574),PlayerValues!E:E,0)),"N/A")</f>
        <v>13590</v>
      </c>
      <c r="B1574" s="4" t="s">
        <v>409</v>
      </c>
      <c r="C1574" s="4" t="s">
        <v>283</v>
      </c>
      <c r="D1574" s="94">
        <v>4782.0</v>
      </c>
    </row>
    <row r="1575">
      <c r="A1575" s="40">
        <f t="array" ref="A1575">IFNA(index(PlayerValues!A:A,match(IFNA(vlookup(B1575,'Special Names'!A:B,2,FALSE),B1575),PlayerValues!E:E,0)),"N/A")</f>
        <v>15756</v>
      </c>
      <c r="B1575" s="4" t="s">
        <v>399</v>
      </c>
      <c r="C1575" s="4" t="s">
        <v>287</v>
      </c>
      <c r="D1575" s="94">
        <v>4773.0</v>
      </c>
    </row>
    <row r="1576">
      <c r="A1576" s="40">
        <f t="array" ref="A1576">IFNA(index(PlayerValues!A:A,match(IFNA(vlookup(B1576,'Special Names'!A:B,2,FALSE),B1576),PlayerValues!E:E,0)),"N/A")</f>
        <v>13592</v>
      </c>
      <c r="B1576" s="4" t="s">
        <v>418</v>
      </c>
      <c r="C1576" s="4" t="s">
        <v>283</v>
      </c>
      <c r="D1576" s="94">
        <v>4768.0</v>
      </c>
    </row>
    <row r="1577">
      <c r="A1577" s="40" t="str">
        <f t="array" ref="A1577">IFNA(index(PlayerValues!A:A,match(IFNA(vlookup(B1577,'Special Names'!A:B,2,FALSE),B1577),PlayerValues!E:E,0)),"N/A")</f>
        <v>N/A</v>
      </c>
      <c r="B1577" s="4" t="s">
        <v>80</v>
      </c>
      <c r="C1577" s="4" t="s">
        <v>325</v>
      </c>
      <c r="D1577" s="94">
        <v>4750.0</v>
      </c>
    </row>
    <row r="1578">
      <c r="A1578" s="40">
        <f t="array" ref="A1578">IFNA(index(PlayerValues!A:A,match(IFNA(vlookup(B1578,'Special Names'!A:B,2,FALSE),B1578),PlayerValues!E:E,0)),"N/A")</f>
        <v>16190</v>
      </c>
      <c r="B1578" s="4" t="s">
        <v>371</v>
      </c>
      <c r="C1578" s="4" t="s">
        <v>287</v>
      </c>
      <c r="D1578" s="94">
        <v>4698.0</v>
      </c>
    </row>
    <row r="1579">
      <c r="A1579" s="40">
        <f t="array" ref="A1579">IFNA(index(PlayerValues!A:A,match(IFNA(vlookup(B1579,'Special Names'!A:B,2,FALSE),B1579),PlayerValues!E:E,0)),"N/A")</f>
        <v>15253</v>
      </c>
      <c r="B1579" s="4" t="s">
        <v>415</v>
      </c>
      <c r="C1579" s="4" t="s">
        <v>278</v>
      </c>
      <c r="D1579" s="94">
        <v>4697.0</v>
      </c>
    </row>
    <row r="1580">
      <c r="A1580" s="40">
        <f t="array" ref="A1580">IFNA(index(PlayerValues!A:A,match(IFNA(vlookup(B1580,'Special Names'!A:B,2,FALSE),B1580),PlayerValues!E:E,0)),"N/A")</f>
        <v>12611</v>
      </c>
      <c r="B1580" s="4" t="s">
        <v>410</v>
      </c>
      <c r="C1580" s="4" t="s">
        <v>283</v>
      </c>
      <c r="D1580" s="94">
        <v>4676.0</v>
      </c>
    </row>
    <row r="1581">
      <c r="A1581" s="40">
        <f t="array" ref="A1581">IFNA(index(PlayerValues!A:A,match(IFNA(vlookup(B1581,'Special Names'!A:B,2,FALSE),B1581),PlayerValues!E:E,0)),"N/A")</f>
        <v>17039</v>
      </c>
      <c r="B1581" s="4" t="s">
        <v>400</v>
      </c>
      <c r="C1581" s="4" t="s">
        <v>283</v>
      </c>
      <c r="D1581" s="94">
        <v>4632.0</v>
      </c>
    </row>
    <row r="1582">
      <c r="A1582" s="40">
        <f t="array" ref="A1582">IFNA(index(PlayerValues!A:A,match(IFNA(vlookup(B1582,'Special Names'!A:B,2,FALSE),B1582),PlayerValues!E:E,0)),"N/A")</f>
        <v>14073</v>
      </c>
      <c r="B1582" s="4" t="s">
        <v>464</v>
      </c>
      <c r="C1582" s="4" t="s">
        <v>278</v>
      </c>
      <c r="D1582" s="94">
        <v>4594.0</v>
      </c>
    </row>
    <row r="1583">
      <c r="A1583" s="40">
        <f t="array" ref="A1583">IFNA(index(PlayerValues!A:A,match(IFNA(vlookup(B1583,'Special Names'!A:B,2,FALSE),B1583),PlayerValues!E:E,0)),"N/A")</f>
        <v>15256</v>
      </c>
      <c r="B1583" s="4" t="s">
        <v>401</v>
      </c>
      <c r="C1583" s="4" t="s">
        <v>278</v>
      </c>
      <c r="D1583" s="94">
        <v>4576.0</v>
      </c>
    </row>
    <row r="1584">
      <c r="A1584" s="40">
        <f t="array" ref="A1584">IFNA(index(PlayerValues!A:A,match(IFNA(vlookup(B1584,'Special Names'!A:B,2,FALSE),B1584),PlayerValues!E:E,0)),"N/A")</f>
        <v>16214</v>
      </c>
      <c r="B1584" s="4" t="s">
        <v>413</v>
      </c>
      <c r="C1584" s="4" t="s">
        <v>298</v>
      </c>
      <c r="D1584" s="94">
        <v>5097.0</v>
      </c>
    </row>
    <row r="1585">
      <c r="A1585" s="40" t="str">
        <f t="array" ref="A1585">IFNA(index(PlayerValues!A:A,match(IFNA(vlookup(B1585,'Special Names'!A:B,2,FALSE),B1585),PlayerValues!E:E,0)),"N/A")</f>
        <v>N/A</v>
      </c>
      <c r="B1585" s="4" t="s">
        <v>105</v>
      </c>
      <c r="C1585" s="4" t="s">
        <v>325</v>
      </c>
      <c r="D1585" s="94">
        <v>4539.0</v>
      </c>
    </row>
    <row r="1586">
      <c r="A1586" s="40">
        <f t="array" ref="A1586">IFNA(index(PlayerValues!A:A,match(IFNA(vlookup(B1586,'Special Names'!A:B,2,FALSE),B1586),PlayerValues!E:E,0)),"N/A")</f>
        <v>15329</v>
      </c>
      <c r="B1586" s="4" t="s">
        <v>416</v>
      </c>
      <c r="C1586" s="4" t="s">
        <v>298</v>
      </c>
      <c r="D1586" s="94">
        <v>5084.0</v>
      </c>
    </row>
    <row r="1587">
      <c r="A1587" s="40">
        <f t="array" ref="A1587">IFNA(index(PlayerValues!A:A,match(IFNA(vlookup(B1587,'Special Names'!A:B,2,FALSE),B1587),PlayerValues!E:E,0)),"N/A")</f>
        <v>17045</v>
      </c>
      <c r="B1587" s="4" t="s">
        <v>407</v>
      </c>
      <c r="C1587" s="4" t="s">
        <v>278</v>
      </c>
      <c r="D1587" s="94">
        <v>4525.0</v>
      </c>
    </row>
    <row r="1588">
      <c r="A1588" s="40">
        <f t="array" ref="A1588">IFNA(index(PlayerValues!A:A,match(IFNA(vlookup(B1588,'Special Names'!A:B,2,FALSE),B1588),PlayerValues!E:E,0)),"N/A")</f>
        <v>16148</v>
      </c>
      <c r="B1588" s="4" t="s">
        <v>426</v>
      </c>
      <c r="C1588" s="4" t="s">
        <v>283</v>
      </c>
      <c r="D1588" s="94">
        <v>4518.0</v>
      </c>
    </row>
    <row r="1589">
      <c r="A1589" s="40">
        <f t="array" ref="A1589">IFNA(index(PlayerValues!A:A,match(IFNA(vlookup(B1589,'Special Names'!A:B,2,FALSE),B1589),PlayerValues!E:E,0)),"N/A")</f>
        <v>17543</v>
      </c>
      <c r="B1589" s="4" t="s">
        <v>436</v>
      </c>
      <c r="C1589" s="4" t="s">
        <v>298</v>
      </c>
      <c r="D1589" s="94">
        <v>4944.0</v>
      </c>
    </row>
    <row r="1590">
      <c r="A1590" s="40">
        <f t="array" ref="A1590">IFNA(index(PlayerValues!A:A,match(IFNA(vlookup(B1590,'Special Names'!A:B,2,FALSE),B1590),PlayerValues!E:E,0)),"N/A")</f>
        <v>14056</v>
      </c>
      <c r="B1590" s="4" t="s">
        <v>423</v>
      </c>
      <c r="C1590" s="4" t="s">
        <v>283</v>
      </c>
      <c r="D1590" s="94">
        <v>4398.0</v>
      </c>
    </row>
    <row r="1591">
      <c r="A1591" s="40">
        <f t="array" ref="A1591">IFNA(index(PlayerValues!A:A,match(IFNA(vlookup(B1591,'Special Names'!A:B,2,FALSE),B1591),PlayerValues!E:E,0)),"N/A")</f>
        <v>15768</v>
      </c>
      <c r="B1591" s="4" t="s">
        <v>432</v>
      </c>
      <c r="C1591" s="4" t="s">
        <v>287</v>
      </c>
      <c r="D1591" s="94">
        <v>4340.0</v>
      </c>
    </row>
    <row r="1592">
      <c r="A1592" s="40">
        <f t="array" ref="A1592">IFNA(index(PlayerValues!A:A,match(IFNA(vlookup(B1592,'Special Names'!A:B,2,FALSE),B1592),PlayerValues!E:E,0)),"N/A")</f>
        <v>14059</v>
      </c>
      <c r="B1592" s="4" t="s">
        <v>435</v>
      </c>
      <c r="C1592" s="4" t="s">
        <v>283</v>
      </c>
      <c r="D1592" s="94">
        <v>4274.0</v>
      </c>
    </row>
    <row r="1593">
      <c r="A1593" s="40">
        <f t="array" ref="A1593">IFNA(index(PlayerValues!A:A,match(IFNA(vlookup(B1593,'Special Names'!A:B,2,FALSE),B1593),PlayerValues!E:E,0)),"N/A")</f>
        <v>15694</v>
      </c>
      <c r="B1593" s="4" t="s">
        <v>434</v>
      </c>
      <c r="C1593" s="4" t="s">
        <v>283</v>
      </c>
      <c r="D1593" s="94">
        <v>4123.0</v>
      </c>
    </row>
    <row r="1594">
      <c r="A1594" s="40">
        <f t="array" ref="A1594">IFNA(index(PlayerValues!A:A,match(IFNA(vlookup(B1594,'Special Names'!A:B,2,FALSE),B1594),PlayerValues!E:E,0)),"N/A")</f>
        <v>17052</v>
      </c>
      <c r="B1594" s="4" t="s">
        <v>417</v>
      </c>
      <c r="C1594" s="4" t="s">
        <v>278</v>
      </c>
      <c r="D1594" s="94">
        <v>3939.0</v>
      </c>
    </row>
    <row r="1595">
      <c r="A1595" s="40" t="str">
        <f t="array" ref="A1595">IFNA(index(PlayerValues!A:A,match(IFNA(vlookup(B1595,'Special Names'!A:B,2,FALSE),B1595),PlayerValues!E:E,0)),"N/A")</f>
        <v>N/A</v>
      </c>
      <c r="B1595" s="4" t="s">
        <v>107</v>
      </c>
      <c r="C1595" s="4" t="s">
        <v>325</v>
      </c>
      <c r="D1595" s="94">
        <v>3938.0</v>
      </c>
    </row>
    <row r="1596">
      <c r="A1596" s="40" t="str">
        <f t="array" ref="A1596">IFNA(index(PlayerValues!A:A,match(IFNA(vlookup(B1596,'Special Names'!A:B,2,FALSE),B1596),PlayerValues!E:E,0)),"N/A")</f>
        <v>N/A</v>
      </c>
      <c r="B1596" s="4" t="s">
        <v>81</v>
      </c>
      <c r="C1596" s="4" t="s">
        <v>325</v>
      </c>
      <c r="D1596" s="94">
        <v>3927.0</v>
      </c>
    </row>
    <row r="1597">
      <c r="A1597" s="40">
        <f t="array" ref="A1597">IFNA(index(PlayerValues!A:A,match(IFNA(vlookup(B1597,'Special Names'!A:B,2,FALSE),B1597),PlayerValues!E:E,0)),"N/A")</f>
        <v>16186</v>
      </c>
      <c r="B1597" s="4" t="s">
        <v>425</v>
      </c>
      <c r="C1597" s="4" t="s">
        <v>287</v>
      </c>
      <c r="D1597" s="94">
        <v>3926.0</v>
      </c>
    </row>
    <row r="1598">
      <c r="A1598" s="40">
        <f t="array" ref="A1598">IFNA(index(PlayerValues!A:A,match(IFNA(vlookup(B1598,'Special Names'!A:B,2,FALSE),B1598),PlayerValues!E:E,0)),"N/A")</f>
        <v>13635</v>
      </c>
      <c r="B1598" s="4" t="s">
        <v>424</v>
      </c>
      <c r="C1598" s="4" t="s">
        <v>287</v>
      </c>
      <c r="D1598" s="94">
        <v>3905.0</v>
      </c>
    </row>
    <row r="1599">
      <c r="A1599" s="40">
        <f t="array" ref="A1599">IFNA(index(PlayerValues!A:A,match(IFNA(vlookup(B1599,'Special Names'!A:B,2,FALSE),B1599),PlayerValues!E:E,0)),"N/A")</f>
        <v>17099</v>
      </c>
      <c r="B1599" s="4" t="s">
        <v>474</v>
      </c>
      <c r="C1599" s="4" t="s">
        <v>298</v>
      </c>
      <c r="D1599" s="94">
        <v>4349.0</v>
      </c>
    </row>
    <row r="1600">
      <c r="A1600" s="40">
        <f t="array" ref="A1600">IFNA(index(PlayerValues!A:A,match(IFNA(vlookup(B1600,'Special Names'!A:B,2,FALSE),B1600),PlayerValues!E:E,0)),"N/A")</f>
        <v>12626</v>
      </c>
      <c r="B1600" s="4" t="s">
        <v>419</v>
      </c>
      <c r="C1600" s="4" t="s">
        <v>278</v>
      </c>
      <c r="D1600" s="94">
        <v>3771.0</v>
      </c>
    </row>
    <row r="1601">
      <c r="A1601" s="40">
        <f t="array" ref="A1601">IFNA(index(PlayerValues!A:A,match(IFNA(vlookup(B1601,'Special Names'!A:B,2,FALSE),B1601),PlayerValues!E:E,0)),"N/A")</f>
        <v>17068</v>
      </c>
      <c r="B1601" s="4" t="s">
        <v>450</v>
      </c>
      <c r="C1601" s="4" t="s">
        <v>278</v>
      </c>
      <c r="D1601" s="94">
        <v>3761.0</v>
      </c>
    </row>
    <row r="1602">
      <c r="A1602" s="40">
        <f t="array" ref="A1602">IFNA(index(PlayerValues!A:A,match(IFNA(vlookup(B1602,'Special Names'!A:B,2,FALSE),B1602),PlayerValues!E:E,0)),"N/A")</f>
        <v>9431</v>
      </c>
      <c r="B1602" s="4" t="s">
        <v>428</v>
      </c>
      <c r="C1602" s="4" t="s">
        <v>283</v>
      </c>
      <c r="D1602" s="94">
        <v>3747.0</v>
      </c>
    </row>
    <row r="1603">
      <c r="A1603" s="40">
        <f t="array" ref="A1603">IFNA(index(PlayerValues!A:A,match(IFNA(vlookup(B1603,'Special Names'!A:B,2,FALSE),B1603),PlayerValues!E:E,0)),"N/A")</f>
        <v>17501</v>
      </c>
      <c r="B1603" s="4" t="s">
        <v>404</v>
      </c>
      <c r="C1603" s="4" t="s">
        <v>287</v>
      </c>
      <c r="D1603" s="94">
        <v>3740.0</v>
      </c>
    </row>
    <row r="1604">
      <c r="A1604" s="40" t="str">
        <f t="array" ref="A1604">IFNA(index(PlayerValues!A:A,match(IFNA(vlookup(B1604,'Special Names'!A:B,2,FALSE),B1604),PlayerValues!E:E,0)),"N/A")</f>
        <v>N/A</v>
      </c>
      <c r="B1604" s="4" t="s">
        <v>95</v>
      </c>
      <c r="C1604" s="4" t="s">
        <v>325</v>
      </c>
      <c r="D1604" s="94">
        <v>3734.0</v>
      </c>
    </row>
    <row r="1605">
      <c r="A1605" s="40">
        <f t="array" ref="A1605">IFNA(index(PlayerValues!A:A,match(IFNA(vlookup(B1605,'Special Names'!A:B,2,FALSE),B1605),PlayerValues!E:E,0)),"N/A")</f>
        <v>16206</v>
      </c>
      <c r="B1605" s="4" t="s">
        <v>431</v>
      </c>
      <c r="C1605" s="4" t="s">
        <v>287</v>
      </c>
      <c r="D1605" s="94">
        <v>3731.0</v>
      </c>
    </row>
    <row r="1606">
      <c r="A1606" s="40">
        <f t="array" ref="A1606">IFNA(index(PlayerValues!A:A,match(IFNA(vlookup(B1606,'Special Names'!A:B,2,FALSE),B1606),PlayerValues!E:E,0)),"N/A")</f>
        <v>16169</v>
      </c>
      <c r="B1606" s="4" t="s">
        <v>457</v>
      </c>
      <c r="C1606" s="4" t="s">
        <v>278</v>
      </c>
      <c r="D1606" s="94">
        <v>3725.0</v>
      </c>
    </row>
    <row r="1607">
      <c r="A1607" s="40">
        <f t="array" ref="A1607">IFNA(index(PlayerValues!A:A,match(IFNA(vlookup(B1607,'Special Names'!A:B,2,FALSE),B1607),PlayerValues!E:E,0)),"N/A")</f>
        <v>15757</v>
      </c>
      <c r="B1607" s="4" t="s">
        <v>449</v>
      </c>
      <c r="C1607" s="4" t="s">
        <v>287</v>
      </c>
      <c r="D1607" s="94">
        <v>3707.0</v>
      </c>
    </row>
    <row r="1608">
      <c r="A1608" s="40">
        <f t="array" ref="A1608">IFNA(index(PlayerValues!A:A,match(IFNA(vlookup(B1608,'Special Names'!A:B,2,FALSE),B1608),PlayerValues!E:E,0)),"N/A")</f>
        <v>15779</v>
      </c>
      <c r="B1608" s="4" t="s">
        <v>461</v>
      </c>
      <c r="C1608" s="4" t="s">
        <v>287</v>
      </c>
      <c r="D1608" s="94">
        <v>3688.0</v>
      </c>
    </row>
    <row r="1609">
      <c r="A1609" s="40">
        <f t="array" ref="A1609">IFNA(index(PlayerValues!A:A,match(IFNA(vlookup(B1609,'Special Names'!A:B,2,FALSE),B1609),PlayerValues!E:E,0)),"N/A")</f>
        <v>17074</v>
      </c>
      <c r="B1609" s="4" t="s">
        <v>475</v>
      </c>
      <c r="C1609" s="4" t="s">
        <v>287</v>
      </c>
      <c r="D1609" s="94">
        <v>3668.0</v>
      </c>
    </row>
    <row r="1610">
      <c r="A1610" s="40">
        <f t="array" ref="A1610">IFNA(index(PlayerValues!A:A,match(IFNA(vlookup(B1610,'Special Names'!A:B,2,FALSE),B1610),PlayerValues!E:E,0)),"N/A")</f>
        <v>15789</v>
      </c>
      <c r="B1610" s="4" t="s">
        <v>421</v>
      </c>
      <c r="C1610" s="4" t="s">
        <v>287</v>
      </c>
      <c r="D1610" s="94">
        <v>3660.0</v>
      </c>
    </row>
    <row r="1611">
      <c r="A1611" s="40">
        <f t="array" ref="A1611">IFNA(index(PlayerValues!A:A,match(IFNA(vlookup(B1611,'Special Names'!A:B,2,FALSE),B1611),PlayerValues!E:E,0)),"N/A")</f>
        <v>14102</v>
      </c>
      <c r="B1611" s="4" t="s">
        <v>444</v>
      </c>
      <c r="C1611" s="4" t="s">
        <v>287</v>
      </c>
      <c r="D1611" s="94">
        <v>3638.0</v>
      </c>
    </row>
    <row r="1612">
      <c r="A1612" s="40">
        <f t="array" ref="A1612">IFNA(index(PlayerValues!A:A,match(IFNA(vlookup(B1612,'Special Names'!A:B,2,FALSE),B1612),PlayerValues!E:E,0)),"N/A")</f>
        <v>16622</v>
      </c>
      <c r="B1612" s="4" t="s">
        <v>517</v>
      </c>
      <c r="C1612" s="4" t="s">
        <v>287</v>
      </c>
      <c r="D1612" s="94">
        <v>3614.0</v>
      </c>
    </row>
    <row r="1613">
      <c r="A1613" s="40">
        <f t="array" ref="A1613">IFNA(index(PlayerValues!A:A,match(IFNA(vlookup(B1613,'Special Names'!A:B,2,FALSE),B1613),PlayerValues!E:E,0)),"N/A")</f>
        <v>16192</v>
      </c>
      <c r="B1613" s="4" t="s">
        <v>412</v>
      </c>
      <c r="C1613" s="4" t="s">
        <v>287</v>
      </c>
      <c r="D1613" s="94">
        <v>3601.0</v>
      </c>
    </row>
    <row r="1614">
      <c r="A1614" s="40">
        <f t="array" ref="A1614">IFNA(index(PlayerValues!A:A,match(IFNA(vlookup(B1614,'Special Names'!A:B,2,FALSE),B1614),PlayerValues!E:E,0)),"N/A")</f>
        <v>17083</v>
      </c>
      <c r="B1614" s="4" t="s">
        <v>479</v>
      </c>
      <c r="C1614" s="4" t="s">
        <v>287</v>
      </c>
      <c r="D1614" s="94">
        <v>3590.0</v>
      </c>
    </row>
    <row r="1615">
      <c r="A1615" s="40">
        <f t="array" ref="A1615">IFNA(index(PlayerValues!A:A,match(IFNA(vlookup(B1615,'Special Names'!A:B,2,FALSE),B1615),PlayerValues!E:E,0)),"N/A")</f>
        <v>15712</v>
      </c>
      <c r="B1615" s="4" t="s">
        <v>488</v>
      </c>
      <c r="C1615" s="4" t="s">
        <v>278</v>
      </c>
      <c r="D1615" s="94">
        <v>3576.0</v>
      </c>
    </row>
    <row r="1616">
      <c r="A1616" s="40">
        <f t="array" ref="A1616">IFNA(index(PlayerValues!A:A,match(IFNA(vlookup(B1616,'Special Names'!A:B,2,FALSE),B1616),PlayerValues!E:E,0)),"N/A")</f>
        <v>17066</v>
      </c>
      <c r="B1616" s="4" t="s">
        <v>446</v>
      </c>
      <c r="C1616" s="4" t="s">
        <v>278</v>
      </c>
      <c r="D1616" s="94">
        <v>3559.0</v>
      </c>
    </row>
    <row r="1617">
      <c r="A1617" s="40">
        <f t="array" ref="A1617">IFNA(index(PlayerValues!A:A,match(IFNA(vlookup(B1617,'Special Names'!A:B,2,FALSE),B1617),PlayerValues!E:E,0)),"N/A")</f>
        <v>11675</v>
      </c>
      <c r="B1617" s="4" t="s">
        <v>438</v>
      </c>
      <c r="C1617" s="4" t="s">
        <v>287</v>
      </c>
      <c r="D1617" s="94">
        <v>3540.0</v>
      </c>
    </row>
    <row r="1618">
      <c r="A1618" s="40">
        <f t="array" ref="A1618">IFNA(index(PlayerValues!A:A,match(IFNA(vlookup(B1618,'Special Names'!A:B,2,FALSE),B1618),PlayerValues!E:E,0)),"N/A")</f>
        <v>17075</v>
      </c>
      <c r="B1618" s="4" t="s">
        <v>429</v>
      </c>
      <c r="C1618" s="4" t="s">
        <v>287</v>
      </c>
      <c r="D1618" s="94">
        <v>3525.0</v>
      </c>
    </row>
    <row r="1619">
      <c r="A1619" s="40">
        <f t="array" ref="A1619">IFNA(index(PlayerValues!A:A,match(IFNA(vlookup(B1619,'Special Names'!A:B,2,FALSE),B1619),PlayerValues!E:E,0)),"N/A")</f>
        <v>14797</v>
      </c>
      <c r="B1619" s="4" t="s">
        <v>420</v>
      </c>
      <c r="C1619" s="4" t="s">
        <v>278</v>
      </c>
      <c r="D1619" s="94">
        <v>3524.0</v>
      </c>
    </row>
    <row r="1620">
      <c r="A1620" s="40">
        <f t="array" ref="A1620">IFNA(index(PlayerValues!A:A,match(IFNA(vlookup(B1620,'Special Names'!A:B,2,FALSE),B1620),PlayerValues!E:E,0)),"N/A")</f>
        <v>14842</v>
      </c>
      <c r="B1620" s="4" t="s">
        <v>456</v>
      </c>
      <c r="C1620" s="4" t="s">
        <v>287</v>
      </c>
      <c r="D1620" s="94">
        <v>3522.0</v>
      </c>
    </row>
    <row r="1621">
      <c r="A1621" s="40">
        <f t="array" ref="A1621">IFNA(index(PlayerValues!A:A,match(IFNA(vlookup(B1621,'Special Names'!A:B,2,FALSE),B1621),PlayerValues!E:E,0)),"N/A")</f>
        <v>15798</v>
      </c>
      <c r="B1621" s="4" t="s">
        <v>443</v>
      </c>
      <c r="C1621" s="4" t="s">
        <v>298</v>
      </c>
      <c r="D1621" s="94">
        <v>3981.0</v>
      </c>
    </row>
    <row r="1622">
      <c r="A1622" s="40">
        <f t="array" ref="A1622">IFNA(index(PlayerValues!A:A,match(IFNA(vlookup(B1622,'Special Names'!A:B,2,FALSE),B1622),PlayerValues!E:E,0)),"N/A")</f>
        <v>14071</v>
      </c>
      <c r="B1622" s="4" t="s">
        <v>440</v>
      </c>
      <c r="C1622" s="4" t="s">
        <v>278</v>
      </c>
      <c r="D1622" s="94">
        <v>3496.0</v>
      </c>
    </row>
    <row r="1623">
      <c r="A1623" s="40" t="str">
        <f t="array" ref="A1623">IFNA(index(PlayerValues!A:A,match(IFNA(vlookup(B1623,'Special Names'!A:B,2,FALSE),B1623),PlayerValues!E:E,0)),"N/A")</f>
        <v>N/A</v>
      </c>
      <c r="B1623" s="4" t="s">
        <v>96</v>
      </c>
      <c r="C1623" s="4" t="s">
        <v>325</v>
      </c>
      <c r="D1623" s="94">
        <v>3435.0</v>
      </c>
    </row>
    <row r="1624">
      <c r="A1624" s="40">
        <f t="array" ref="A1624">IFNA(index(PlayerValues!A:A,match(IFNA(vlookup(B1624,'Special Names'!A:B,2,FALSE),B1624),PlayerValues!E:E,0)),"N/A")</f>
        <v>17502</v>
      </c>
      <c r="B1624" s="4" t="s">
        <v>451</v>
      </c>
      <c r="C1624" s="4" t="s">
        <v>287</v>
      </c>
      <c r="D1624" s="94">
        <v>3410.0</v>
      </c>
    </row>
    <row r="1625">
      <c r="A1625" s="40">
        <f t="array" ref="A1625">IFNA(index(PlayerValues!A:A,match(IFNA(vlookup(B1625,'Special Names'!A:B,2,FALSE),B1625),PlayerValues!E:E,0)),"N/A")</f>
        <v>15261</v>
      </c>
      <c r="B1625" s="4" t="s">
        <v>466</v>
      </c>
      <c r="C1625" s="4" t="s">
        <v>278</v>
      </c>
      <c r="D1625" s="94">
        <v>3397.0</v>
      </c>
    </row>
    <row r="1626">
      <c r="A1626" s="40">
        <f t="array" ref="A1626">IFNA(index(PlayerValues!A:A,match(IFNA(vlookup(B1626,'Special Names'!A:B,2,FALSE),B1626),PlayerValues!E:E,0)),"N/A")</f>
        <v>16620</v>
      </c>
      <c r="B1626" s="4" t="s">
        <v>467</v>
      </c>
      <c r="C1626" s="4" t="s">
        <v>287</v>
      </c>
      <c r="D1626" s="94">
        <v>3393.0</v>
      </c>
    </row>
    <row r="1627">
      <c r="A1627" s="40">
        <f t="array" ref="A1627">IFNA(index(PlayerValues!A:A,match(IFNA(vlookup(B1627,'Special Names'!A:B,2,FALSE),B1627),PlayerValues!E:E,0)),"N/A")</f>
        <v>14109</v>
      </c>
      <c r="B1627" s="4" t="s">
        <v>437</v>
      </c>
      <c r="C1627" s="4" t="s">
        <v>287</v>
      </c>
      <c r="D1627" s="94">
        <v>3388.0</v>
      </c>
    </row>
    <row r="1628">
      <c r="A1628" s="40">
        <f t="array" ref="A1628">IFNA(index(PlayerValues!A:A,match(IFNA(vlookup(B1628,'Special Names'!A:B,2,FALSE),B1628),PlayerValues!E:E,0)),"N/A")</f>
        <v>14127</v>
      </c>
      <c r="B1628" s="4" t="s">
        <v>486</v>
      </c>
      <c r="C1628" s="4" t="s">
        <v>287</v>
      </c>
      <c r="D1628" s="94">
        <v>3385.0</v>
      </c>
    </row>
    <row r="1629">
      <c r="A1629" s="40">
        <f t="array" ref="A1629">IFNA(index(PlayerValues!A:A,match(IFNA(vlookup(B1629,'Special Names'!A:B,2,FALSE),B1629),PlayerValues!E:E,0)),"N/A")</f>
        <v>15799</v>
      </c>
      <c r="B1629" s="4" t="s">
        <v>468</v>
      </c>
      <c r="C1629" s="4" t="s">
        <v>298</v>
      </c>
      <c r="D1629" s="94">
        <v>3818.0</v>
      </c>
    </row>
    <row r="1630">
      <c r="A1630" s="40" t="str">
        <f t="array" ref="A1630">IFNA(index(PlayerValues!A:A,match(IFNA(vlookup(B1630,'Special Names'!A:B,2,FALSE),B1630),PlayerValues!E:E,0)),"N/A")</f>
        <v>N/A</v>
      </c>
      <c r="B1630" s="4" t="s">
        <v>82</v>
      </c>
      <c r="C1630" s="4" t="s">
        <v>325</v>
      </c>
      <c r="D1630" s="94">
        <v>3360.0</v>
      </c>
    </row>
    <row r="1631">
      <c r="A1631" s="40">
        <f t="array" ref="A1631">IFNA(index(PlayerValues!A:A,match(IFNA(vlookup(B1631,'Special Names'!A:B,2,FALSE),B1631),PlayerValues!E:E,0)),"N/A")</f>
        <v>17500</v>
      </c>
      <c r="B1631" s="4" t="s">
        <v>430</v>
      </c>
      <c r="C1631" s="4" t="s">
        <v>287</v>
      </c>
      <c r="D1631" s="94">
        <v>3356.0</v>
      </c>
    </row>
    <row r="1632">
      <c r="A1632" s="40">
        <f t="array" ref="A1632">IFNA(index(PlayerValues!A:A,match(IFNA(vlookup(B1632,'Special Names'!A:B,2,FALSE),B1632),PlayerValues!E:E,0)),"N/A")</f>
        <v>16187</v>
      </c>
      <c r="B1632" s="4" t="s">
        <v>441</v>
      </c>
      <c r="C1632" s="4" t="s">
        <v>287</v>
      </c>
      <c r="D1632" s="94">
        <v>3354.0</v>
      </c>
    </row>
    <row r="1633">
      <c r="A1633" s="40">
        <f t="array" ref="A1633">IFNA(index(PlayerValues!A:A,match(IFNA(vlookup(B1633,'Special Names'!A:B,2,FALSE),B1633),PlayerValues!E:E,0)),"N/A")</f>
        <v>16213</v>
      </c>
      <c r="B1633" s="4" t="s">
        <v>458</v>
      </c>
      <c r="C1633" s="4" t="s">
        <v>298</v>
      </c>
      <c r="D1633" s="94">
        <v>3802.0</v>
      </c>
    </row>
    <row r="1634">
      <c r="A1634" s="40">
        <f t="array" ref="A1634">IFNA(index(PlayerValues!A:A,match(IFNA(vlookup(B1634,'Special Names'!A:B,2,FALSE),B1634),PlayerValues!E:E,0)),"N/A")</f>
        <v>16188</v>
      </c>
      <c r="B1634" s="4" t="s">
        <v>439</v>
      </c>
      <c r="C1634" s="4" t="s">
        <v>287</v>
      </c>
      <c r="D1634" s="94">
        <v>3349.0</v>
      </c>
    </row>
    <row r="1635">
      <c r="A1635" s="40">
        <f t="array" ref="A1635">IFNA(index(PlayerValues!A:A,match(IFNA(vlookup(B1635,'Special Names'!A:B,2,FALSE),B1635),PlayerValues!E:E,0)),"N/A")</f>
        <v>11671</v>
      </c>
      <c r="B1635" s="4" t="s">
        <v>463</v>
      </c>
      <c r="C1635" s="4" t="s">
        <v>287</v>
      </c>
      <c r="D1635" s="94">
        <v>3338.0</v>
      </c>
    </row>
    <row r="1636">
      <c r="A1636" s="40">
        <f t="array" ref="A1636">IFNA(index(PlayerValues!A:A,match(IFNA(vlookup(B1636,'Special Names'!A:B,2,FALSE),B1636),PlayerValues!E:E,0)),"N/A")</f>
        <v>16184</v>
      </c>
      <c r="B1636" s="4" t="s">
        <v>445</v>
      </c>
      <c r="C1636" s="4" t="s">
        <v>287</v>
      </c>
      <c r="D1636" s="94">
        <v>3310.0</v>
      </c>
    </row>
    <row r="1637">
      <c r="A1637" s="40">
        <f t="array" ref="A1637">IFNA(index(PlayerValues!A:A,match(IFNA(vlookup(B1637,'Special Names'!A:B,2,FALSE),B1637),PlayerValues!E:E,0)),"N/A")</f>
        <v>14823</v>
      </c>
      <c r="B1637" s="4" t="s">
        <v>459</v>
      </c>
      <c r="C1637" s="4" t="s">
        <v>278</v>
      </c>
      <c r="D1637" s="94">
        <v>3307.0</v>
      </c>
    </row>
    <row r="1638">
      <c r="A1638" s="40">
        <f t="array" ref="A1638">IFNA(index(PlayerValues!A:A,match(IFNA(vlookup(B1638,'Special Names'!A:B,2,FALSE),B1638),PlayerValues!E:E,0)),"N/A")</f>
        <v>13299</v>
      </c>
      <c r="B1638" s="4" t="s">
        <v>448</v>
      </c>
      <c r="C1638" s="4" t="s">
        <v>298</v>
      </c>
      <c r="D1638" s="94">
        <v>3726.0</v>
      </c>
    </row>
    <row r="1639">
      <c r="A1639" s="40">
        <f t="array" ref="A1639">IFNA(index(PlayerValues!A:A,match(IFNA(vlookup(B1639,'Special Names'!A:B,2,FALSE),B1639),PlayerValues!E:E,0)),"N/A")</f>
        <v>16593</v>
      </c>
      <c r="B1639" s="4" t="s">
        <v>442</v>
      </c>
      <c r="C1639" s="4" t="s">
        <v>278</v>
      </c>
      <c r="D1639" s="94">
        <v>3258.0</v>
      </c>
    </row>
    <row r="1640">
      <c r="A1640" s="40">
        <f t="array" ref="A1640">IFNA(index(PlayerValues!A:A,match(IFNA(vlookup(B1640,'Special Names'!A:B,2,FALSE),B1640),PlayerValues!E:E,0)),"N/A")</f>
        <v>15742</v>
      </c>
      <c r="B1640" s="4" t="s">
        <v>447</v>
      </c>
      <c r="C1640" s="4" t="s">
        <v>278</v>
      </c>
      <c r="D1640" s="94">
        <v>3236.0</v>
      </c>
    </row>
    <row r="1641">
      <c r="A1641" s="40">
        <f t="array" ref="A1641">IFNA(index(PlayerValues!A:A,match(IFNA(vlookup(B1641,'Special Names'!A:B,2,FALSE),B1641),PlayerValues!E:E,0)),"N/A")</f>
        <v>13630</v>
      </c>
      <c r="B1641" s="4" t="s">
        <v>465</v>
      </c>
      <c r="C1641" s="4" t="s">
        <v>287</v>
      </c>
      <c r="D1641" s="94">
        <v>3188.0</v>
      </c>
    </row>
    <row r="1642">
      <c r="A1642" s="40" t="str">
        <f t="array" ref="A1642">IFNA(index(PlayerValues!A:A,match(IFNA(vlookup(B1642,'Special Names'!A:B,2,FALSE),B1642),PlayerValues!E:E,0)),"N/A")</f>
        <v>N/A</v>
      </c>
      <c r="B1642" s="4" t="s">
        <v>108</v>
      </c>
      <c r="C1642" s="4" t="s">
        <v>325</v>
      </c>
      <c r="D1642" s="94">
        <v>3120.0</v>
      </c>
    </row>
    <row r="1643">
      <c r="A1643" s="40">
        <f t="array" ref="A1643">IFNA(index(PlayerValues!A:A,match(IFNA(vlookup(B1643,'Special Names'!A:B,2,FALSE),B1643),PlayerValues!E:E,0)),"N/A")</f>
        <v>16628</v>
      </c>
      <c r="B1643" s="4" t="s">
        <v>490</v>
      </c>
      <c r="C1643" s="4" t="s">
        <v>287</v>
      </c>
      <c r="D1643" s="94">
        <v>3099.0</v>
      </c>
    </row>
    <row r="1644">
      <c r="A1644" s="40">
        <f t="array" ref="A1644">IFNA(index(PlayerValues!A:A,match(IFNA(vlookup(B1644,'Special Names'!A:B,2,FALSE),B1644),PlayerValues!E:E,0)),"N/A")</f>
        <v>16269</v>
      </c>
      <c r="B1644" s="4" t="s">
        <v>481</v>
      </c>
      <c r="C1644" s="4" t="s">
        <v>298</v>
      </c>
      <c r="D1644" s="94">
        <v>3508.0</v>
      </c>
    </row>
    <row r="1645">
      <c r="A1645" s="40">
        <f t="array" ref="A1645">IFNA(index(PlayerValues!A:A,match(IFNA(vlookup(B1645,'Special Names'!A:B,2,FALSE),B1645),PlayerValues!E:E,0)),"N/A")</f>
        <v>16583</v>
      </c>
      <c r="B1645" s="4" t="s">
        <v>493</v>
      </c>
      <c r="C1645" s="4" t="s">
        <v>283</v>
      </c>
      <c r="D1645" s="94">
        <v>3067.0</v>
      </c>
    </row>
    <row r="1646">
      <c r="A1646" s="40">
        <f t="array" ref="A1646">IFNA(index(PlayerValues!A:A,match(IFNA(vlookup(B1646,'Special Names'!A:B,2,FALSE),B1646),PlayerValues!E:E,0)),"N/A")</f>
        <v>14800</v>
      </c>
      <c r="B1646" s="4" t="s">
        <v>472</v>
      </c>
      <c r="C1646" s="4" t="s">
        <v>278</v>
      </c>
      <c r="D1646" s="94">
        <v>3060.0</v>
      </c>
    </row>
    <row r="1647">
      <c r="A1647" s="40" t="str">
        <f t="array" ref="A1647">IFNA(index(PlayerValues!A:A,match(IFNA(vlookup(B1647,'Special Names'!A:B,2,FALSE),B1647),PlayerValues!E:E,0)),"N/A")</f>
        <v>N/A</v>
      </c>
      <c r="B1647" s="4" t="s">
        <v>97</v>
      </c>
      <c r="C1647" s="4" t="s">
        <v>325</v>
      </c>
      <c r="D1647" s="94">
        <v>3060.0</v>
      </c>
    </row>
    <row r="1648">
      <c r="A1648" s="40">
        <f t="array" ref="A1648">IFNA(index(PlayerValues!A:A,match(IFNA(vlookup(B1648,'Special Names'!A:B,2,FALSE),B1648),PlayerValues!E:E,0)),"N/A")</f>
        <v>16080</v>
      </c>
      <c r="B1648" s="4" t="s">
        <v>499</v>
      </c>
      <c r="C1648" s="4" t="s">
        <v>287</v>
      </c>
      <c r="D1648" s="94">
        <v>3053.0</v>
      </c>
    </row>
    <row r="1649">
      <c r="A1649" s="40">
        <f t="array" ref="A1649">IFNA(index(PlayerValues!A:A,match(IFNA(vlookup(B1649,'Special Names'!A:B,2,FALSE),B1649),PlayerValues!E:E,0)),"N/A")</f>
        <v>16809</v>
      </c>
      <c r="B1649" s="4" t="s">
        <v>455</v>
      </c>
      <c r="C1649" s="4" t="s">
        <v>287</v>
      </c>
      <c r="D1649" s="94">
        <v>3046.0</v>
      </c>
    </row>
    <row r="1650">
      <c r="A1650" s="40">
        <f t="array" ref="A1650">IFNA(index(PlayerValues!A:A,match(IFNA(vlookup(B1650,'Special Names'!A:B,2,FALSE),B1650),PlayerValues!E:E,0)),"N/A")</f>
        <v>15761</v>
      </c>
      <c r="B1650" s="4" t="s">
        <v>491</v>
      </c>
      <c r="C1650" s="4" t="s">
        <v>287</v>
      </c>
      <c r="D1650" s="94">
        <v>3037.0</v>
      </c>
    </row>
    <row r="1651">
      <c r="A1651" s="40" t="str">
        <f t="array" ref="A1651">IFNA(index(PlayerValues!A:A,match(IFNA(vlookup(B1651,'Special Names'!A:B,2,FALSE),B1651),PlayerValues!E:E,0)),"N/A")</f>
        <v>N/A</v>
      </c>
      <c r="B1651" s="4" t="s">
        <v>84</v>
      </c>
      <c r="C1651" s="4" t="s">
        <v>325</v>
      </c>
      <c r="D1651" s="94">
        <v>3020.0</v>
      </c>
    </row>
    <row r="1652">
      <c r="A1652" s="40">
        <f t="array" ref="A1652">IFNA(index(PlayerValues!A:A,match(IFNA(vlookup(B1652,'Special Names'!A:B,2,FALSE),B1652),PlayerValues!E:E,0)),"N/A")</f>
        <v>17463</v>
      </c>
      <c r="B1652" s="4" t="s">
        <v>433</v>
      </c>
      <c r="C1652" s="4" t="s">
        <v>283</v>
      </c>
      <c r="D1652" s="94">
        <v>3017.0</v>
      </c>
    </row>
    <row r="1653">
      <c r="A1653" s="40">
        <f t="array" ref="A1653">IFNA(index(PlayerValues!A:A,match(IFNA(vlookup(B1653,'Special Names'!A:B,2,FALSE),B1653),PlayerValues!E:E,0)),"N/A")</f>
        <v>15259</v>
      </c>
      <c r="B1653" s="4" t="s">
        <v>453</v>
      </c>
      <c r="C1653" s="4" t="s">
        <v>278</v>
      </c>
      <c r="D1653" s="94">
        <v>2993.0</v>
      </c>
    </row>
    <row r="1654">
      <c r="A1654" s="40">
        <f t="array" ref="A1654">IFNA(index(PlayerValues!A:A,match(IFNA(vlookup(B1654,'Special Names'!A:B,2,FALSE),B1654),PlayerValues!E:E,0)),"N/A")</f>
        <v>17473</v>
      </c>
      <c r="B1654" s="4" t="s">
        <v>391</v>
      </c>
      <c r="C1654" s="4" t="s">
        <v>278</v>
      </c>
      <c r="D1654" s="94">
        <v>2975.0</v>
      </c>
    </row>
    <row r="1655">
      <c r="A1655" s="40">
        <f t="array" ref="A1655">IFNA(index(PlayerValues!A:A,match(IFNA(vlookup(B1655,'Special Names'!A:B,2,FALSE),B1655),PlayerValues!E:E,0)),"N/A")</f>
        <v>16597</v>
      </c>
      <c r="B1655" s="4" t="s">
        <v>427</v>
      </c>
      <c r="C1655" s="4" t="s">
        <v>278</v>
      </c>
      <c r="D1655" s="94">
        <v>2939.0</v>
      </c>
    </row>
    <row r="1656">
      <c r="A1656" s="40">
        <f t="array" ref="A1656">IFNA(index(PlayerValues!A:A,match(IFNA(vlookup(B1656,'Special Names'!A:B,2,FALSE),B1656),PlayerValues!E:E,0)),"N/A")</f>
        <v>15255</v>
      </c>
      <c r="B1656" s="4" t="s">
        <v>477</v>
      </c>
      <c r="C1656" s="4" t="s">
        <v>278</v>
      </c>
      <c r="D1656" s="94">
        <v>2927.0</v>
      </c>
    </row>
    <row r="1657">
      <c r="A1657" s="40">
        <f t="array" ref="A1657">IFNA(index(PlayerValues!A:A,match(IFNA(vlookup(B1657,'Special Names'!A:B,2,FALSE),B1657),PlayerValues!E:E,0)),"N/A")</f>
        <v>17106</v>
      </c>
      <c r="B1657" s="4" t="s">
        <v>550</v>
      </c>
      <c r="C1657" s="4" t="s">
        <v>298</v>
      </c>
      <c r="D1657" s="94">
        <v>3348.0</v>
      </c>
    </row>
    <row r="1658">
      <c r="A1658" s="40">
        <f t="array" ref="A1658">IFNA(index(PlayerValues!A:A,match(IFNA(vlookup(B1658,'Special Names'!A:B,2,FALSE),B1658),PlayerValues!E:E,0)),"N/A")</f>
        <v>15241</v>
      </c>
      <c r="B1658" s="4" t="s">
        <v>546</v>
      </c>
      <c r="C1658" s="4" t="s">
        <v>283</v>
      </c>
      <c r="D1658" s="94">
        <v>2921.0</v>
      </c>
    </row>
    <row r="1659">
      <c r="A1659" s="40" t="str">
        <f t="array" ref="A1659">IFNA(index(PlayerValues!A:A,match(IFNA(vlookup(B1659,'Special Names'!A:B,2,FALSE),B1659),PlayerValues!E:E,0)),"N/A")</f>
        <v>N/A</v>
      </c>
      <c r="B1659" s="4" t="s">
        <v>109</v>
      </c>
      <c r="C1659" s="4" t="s">
        <v>325</v>
      </c>
      <c r="D1659" s="94">
        <v>2913.0</v>
      </c>
    </row>
    <row r="1660">
      <c r="A1660" s="40">
        <f t="array" ref="A1660">IFNA(index(PlayerValues!A:A,match(IFNA(vlookup(B1660,'Special Names'!A:B,2,FALSE),B1660),PlayerValues!E:E,0)),"N/A")</f>
        <v>16584</v>
      </c>
      <c r="B1660" s="4" t="s">
        <v>569</v>
      </c>
      <c r="C1660" s="4" t="s">
        <v>283</v>
      </c>
      <c r="D1660" s="94">
        <v>2903.0</v>
      </c>
    </row>
    <row r="1661">
      <c r="A1661" s="40">
        <f t="array" ref="A1661">IFNA(index(PlayerValues!A:A,match(IFNA(vlookup(B1661,'Special Names'!A:B,2,FALSE),B1661),PlayerValues!E:E,0)),"N/A")</f>
        <v>16723</v>
      </c>
      <c r="B1661" s="4" t="s">
        <v>502</v>
      </c>
      <c r="C1661" s="4" t="s">
        <v>298</v>
      </c>
      <c r="D1661" s="94">
        <v>3316.0</v>
      </c>
    </row>
    <row r="1662">
      <c r="A1662" s="40">
        <f t="array" ref="A1662">IFNA(index(PlayerValues!A:A,match(IFNA(vlookup(B1662,'Special Names'!A:B,2,FALSE),B1662),PlayerValues!E:E,0)),"N/A")</f>
        <v>16193</v>
      </c>
      <c r="B1662" s="4" t="s">
        <v>487</v>
      </c>
      <c r="C1662" s="4" t="s">
        <v>287</v>
      </c>
      <c r="D1662" s="94">
        <v>2893.0</v>
      </c>
    </row>
    <row r="1663">
      <c r="A1663" s="40" t="str">
        <f t="array" ref="A1663">IFNA(index(PlayerValues!A:A,match(IFNA(vlookup(B1663,'Special Names'!A:B,2,FALSE),B1663),PlayerValues!E:E,0)),"N/A")</f>
        <v>N/A</v>
      </c>
      <c r="B1663" s="4" t="s">
        <v>85</v>
      </c>
      <c r="C1663" s="4" t="s">
        <v>325</v>
      </c>
      <c r="D1663" s="94">
        <v>2877.0</v>
      </c>
    </row>
    <row r="1664">
      <c r="A1664" s="40">
        <f t="array" ref="A1664">IFNA(index(PlayerValues!A:A,match(IFNA(vlookup(B1664,'Special Names'!A:B,2,FALSE),B1664),PlayerValues!E:E,0)),"N/A")</f>
        <v>13163</v>
      </c>
      <c r="B1664" s="4" t="s">
        <v>473</v>
      </c>
      <c r="C1664" s="4" t="s">
        <v>287</v>
      </c>
      <c r="D1664" s="94">
        <v>2873.0</v>
      </c>
    </row>
    <row r="1665">
      <c r="A1665" s="40">
        <f t="array" ref="A1665">IFNA(index(PlayerValues!A:A,match(IFNA(vlookup(B1665,'Special Names'!A:B,2,FALSE),B1665),PlayerValues!E:E,0)),"N/A")</f>
        <v>16619</v>
      </c>
      <c r="B1665" s="4" t="s">
        <v>538</v>
      </c>
      <c r="C1665" s="4" t="s">
        <v>287</v>
      </c>
      <c r="D1665" s="94">
        <v>2862.0</v>
      </c>
    </row>
    <row r="1666">
      <c r="A1666" s="40">
        <f t="array" ref="A1666">IFNA(index(PlayerValues!A:A,match(IFNA(vlookup(B1666,'Special Names'!A:B,2,FALSE),B1666),PlayerValues!E:E,0)),"N/A")</f>
        <v>17107</v>
      </c>
      <c r="B1666" s="4" t="s">
        <v>478</v>
      </c>
      <c r="C1666" s="4" t="s">
        <v>298</v>
      </c>
      <c r="D1666" s="94">
        <v>3281.0</v>
      </c>
    </row>
    <row r="1667">
      <c r="A1667" s="40">
        <f t="array" ref="A1667">IFNA(index(PlayerValues!A:A,match(IFNA(vlookup(B1667,'Special Names'!A:B,2,FALSE),B1667),PlayerValues!E:E,0)),"N/A")</f>
        <v>17031</v>
      </c>
      <c r="B1667" s="4" t="s">
        <v>535</v>
      </c>
      <c r="C1667" s="4" t="s">
        <v>283</v>
      </c>
      <c r="D1667" s="94">
        <v>2846.0</v>
      </c>
    </row>
    <row r="1668">
      <c r="A1668" s="40">
        <f t="array" ref="A1668">IFNA(index(PlayerValues!A:A,match(IFNA(vlookup(B1668,'Special Names'!A:B,2,FALSE),B1668),PlayerValues!E:E,0)),"N/A")</f>
        <v>17072</v>
      </c>
      <c r="B1668" s="4" t="s">
        <v>508</v>
      </c>
      <c r="C1668" s="4" t="s">
        <v>287</v>
      </c>
      <c r="D1668" s="94">
        <v>2843.0</v>
      </c>
    </row>
    <row r="1669">
      <c r="A1669" s="40">
        <f t="array" ref="A1669">IFNA(index(PlayerValues!A:A,match(IFNA(vlookup(B1669,'Special Names'!A:B,2,FALSE),B1669),PlayerValues!E:E,0)),"N/A")</f>
        <v>17157</v>
      </c>
      <c r="B1669" s="4" t="s">
        <v>524</v>
      </c>
      <c r="C1669" s="4" t="s">
        <v>287</v>
      </c>
      <c r="D1669" s="94">
        <v>2836.0</v>
      </c>
    </row>
    <row r="1670">
      <c r="A1670" s="40">
        <f t="array" ref="A1670">IFNA(index(PlayerValues!A:A,match(IFNA(vlookup(B1670,'Special Names'!A:B,2,FALSE),B1670),PlayerValues!E:E,0)),"N/A")</f>
        <v>17256</v>
      </c>
      <c r="B1670" s="4" t="s">
        <v>462</v>
      </c>
      <c r="C1670" s="4" t="s">
        <v>278</v>
      </c>
      <c r="D1670" s="94">
        <v>2832.0</v>
      </c>
    </row>
    <row r="1671">
      <c r="A1671" s="40">
        <f t="array" ref="A1671">IFNA(index(PlayerValues!A:A,match(IFNA(vlookup(B1671,'Special Names'!A:B,2,FALSE),B1671),PlayerValues!E:E,0)),"N/A")</f>
        <v>14860</v>
      </c>
      <c r="B1671" s="4" t="s">
        <v>554</v>
      </c>
      <c r="C1671" s="4" t="s">
        <v>287</v>
      </c>
      <c r="D1671" s="94">
        <v>2823.0</v>
      </c>
    </row>
    <row r="1672">
      <c r="A1672" s="40">
        <f t="array" ref="A1672">IFNA(index(PlayerValues!A:A,match(IFNA(vlookup(B1672,'Special Names'!A:B,2,FALSE),B1672),PlayerValues!E:E,0)),"N/A")</f>
        <v>17053</v>
      </c>
      <c r="B1672" s="4" t="s">
        <v>484</v>
      </c>
      <c r="C1672" s="4" t="s">
        <v>278</v>
      </c>
      <c r="D1672" s="94">
        <v>2818.0</v>
      </c>
    </row>
    <row r="1673">
      <c r="A1673" s="40">
        <f t="array" ref="A1673">IFNA(index(PlayerValues!A:A,match(IFNA(vlookup(B1673,'Special Names'!A:B,2,FALSE),B1673),PlayerValues!E:E,0)),"N/A")</f>
        <v>17073</v>
      </c>
      <c r="B1673" s="4" t="s">
        <v>547</v>
      </c>
      <c r="C1673" s="4" t="s">
        <v>287</v>
      </c>
      <c r="D1673" s="94">
        <v>2814.0</v>
      </c>
    </row>
    <row r="1674">
      <c r="A1674" s="40">
        <f t="array" ref="A1674">IFNA(index(PlayerValues!A:A,match(IFNA(vlookup(B1674,'Special Names'!A:B,2,FALSE),B1674),PlayerValues!E:E,0)),"N/A")</f>
        <v>17080</v>
      </c>
      <c r="B1674" s="4" t="s">
        <v>532</v>
      </c>
      <c r="C1674" s="4" t="s">
        <v>287</v>
      </c>
      <c r="D1674" s="94">
        <v>2805.0</v>
      </c>
    </row>
    <row r="1675">
      <c r="A1675" s="40">
        <f t="array" ref="A1675">IFNA(index(PlayerValues!A:A,match(IFNA(vlookup(B1675,'Special Names'!A:B,2,FALSE),B1675),PlayerValues!E:E,0)),"N/A")</f>
        <v>17082</v>
      </c>
      <c r="B1675" s="4" t="s">
        <v>498</v>
      </c>
      <c r="C1675" s="4" t="s">
        <v>287</v>
      </c>
      <c r="D1675" s="94">
        <v>2790.0</v>
      </c>
    </row>
    <row r="1676">
      <c r="A1676" s="40">
        <f t="array" ref="A1676">IFNA(index(PlayerValues!A:A,match(IFNA(vlookup(B1676,'Special Names'!A:B,2,FALSE),B1676),PlayerValues!E:E,0)),"N/A")</f>
        <v>14138</v>
      </c>
      <c r="B1676" s="4" t="s">
        <v>531</v>
      </c>
      <c r="C1676" s="4" t="s">
        <v>298</v>
      </c>
      <c r="D1676" s="94">
        <v>3203.0</v>
      </c>
    </row>
    <row r="1677">
      <c r="A1677" s="40">
        <f t="array" ref="A1677">IFNA(index(PlayerValues!A:A,match(IFNA(vlookup(B1677,'Special Names'!A:B,2,FALSE),B1677),PlayerValues!E:E,0)),"N/A")</f>
        <v>12616</v>
      </c>
      <c r="B1677" s="4" t="s">
        <v>529</v>
      </c>
      <c r="C1677" s="4" t="s">
        <v>283</v>
      </c>
      <c r="D1677" s="94">
        <v>2772.0</v>
      </c>
    </row>
    <row r="1678">
      <c r="A1678" s="40">
        <f t="array" ref="A1678">IFNA(index(PlayerValues!A:A,match(IFNA(vlookup(B1678,'Special Names'!A:B,2,FALSE),B1678),PlayerValues!E:E,0)),"N/A")</f>
        <v>17477</v>
      </c>
      <c r="B1678" s="4" t="s">
        <v>452</v>
      </c>
      <c r="C1678" s="4" t="s">
        <v>278</v>
      </c>
      <c r="D1678" s="94">
        <v>2766.0</v>
      </c>
    </row>
    <row r="1679">
      <c r="A1679" s="40">
        <f t="array" ref="A1679">IFNA(index(PlayerValues!A:A,match(IFNA(vlookup(B1679,'Special Names'!A:B,2,FALSE),B1679),PlayerValues!E:E,0)),"N/A")</f>
        <v>15889</v>
      </c>
      <c r="B1679" s="4" t="s">
        <v>503</v>
      </c>
      <c r="C1679" s="4" t="s">
        <v>298</v>
      </c>
      <c r="D1679" s="94">
        <v>3173.0</v>
      </c>
    </row>
    <row r="1680">
      <c r="A1680" s="40">
        <f t="array" ref="A1680">IFNA(index(PlayerValues!A:A,match(IFNA(vlookup(B1680,'Special Names'!A:B,2,FALSE),B1680),PlayerValues!E:E,0)),"N/A")</f>
        <v>17098</v>
      </c>
      <c r="B1680" s="4" t="s">
        <v>533</v>
      </c>
      <c r="C1680" s="4" t="s">
        <v>287</v>
      </c>
      <c r="D1680" s="94">
        <v>2747.0</v>
      </c>
    </row>
    <row r="1681">
      <c r="A1681" s="40">
        <f t="array" ref="A1681">IFNA(index(PlayerValues!A:A,match(IFNA(vlookup(B1681,'Special Names'!A:B,2,FALSE),B1681),PlayerValues!E:E,0)),"N/A")</f>
        <v>16596</v>
      </c>
      <c r="B1681" s="4" t="s">
        <v>501</v>
      </c>
      <c r="C1681" s="4" t="s">
        <v>278</v>
      </c>
      <c r="D1681" s="94">
        <v>2740.0</v>
      </c>
    </row>
    <row r="1682">
      <c r="A1682" s="40">
        <f t="array" ref="A1682">IFNA(index(PlayerValues!A:A,match(IFNA(vlookup(B1682,'Special Names'!A:B,2,FALSE),B1682),PlayerValues!E:E,0)),"N/A")</f>
        <v>13671</v>
      </c>
      <c r="B1682" s="4" t="s">
        <v>506</v>
      </c>
      <c r="C1682" s="4" t="s">
        <v>298</v>
      </c>
      <c r="D1682" s="94">
        <v>3151.0</v>
      </c>
    </row>
    <row r="1683">
      <c r="A1683" s="40">
        <f t="array" ref="A1683">IFNA(index(PlayerValues!A:A,match(IFNA(vlookup(B1683,'Special Names'!A:B,2,FALSE),B1683),PlayerValues!E:E,0)),"N/A")</f>
        <v>17171</v>
      </c>
      <c r="B1683" s="4" t="s">
        <v>561</v>
      </c>
      <c r="C1683" s="4" t="s">
        <v>287</v>
      </c>
      <c r="D1683" s="94">
        <v>2733.0</v>
      </c>
    </row>
    <row r="1684">
      <c r="A1684" s="40" t="str">
        <f t="array" ref="A1684">IFNA(index(PlayerValues!A:A,match(IFNA(vlookup(B1684,'Special Names'!A:B,2,FALSE),B1684),PlayerValues!E:E,0)),"N/A")</f>
        <v>N/A</v>
      </c>
      <c r="B1684" s="4" t="s">
        <v>110</v>
      </c>
      <c r="C1684" s="4" t="s">
        <v>325</v>
      </c>
      <c r="D1684" s="94">
        <v>2727.0</v>
      </c>
    </row>
    <row r="1685">
      <c r="A1685" s="40">
        <f t="array" ref="A1685">IFNA(index(PlayerValues!A:A,match(IFNA(vlookup(B1685,'Special Names'!A:B,2,FALSE),B1685),PlayerValues!E:E,0)),"N/A")</f>
        <v>14778</v>
      </c>
      <c r="B1685" s="4" t="s">
        <v>564</v>
      </c>
      <c r="C1685" s="4" t="s">
        <v>283</v>
      </c>
      <c r="D1685" s="94">
        <v>2725.0</v>
      </c>
    </row>
    <row r="1686">
      <c r="A1686" s="40">
        <f t="array" ref="A1686">IFNA(index(PlayerValues!A:A,match(IFNA(vlookup(B1686,'Special Names'!A:B,2,FALSE),B1686),PlayerValues!E:E,0)),"N/A")</f>
        <v>16594</v>
      </c>
      <c r="B1686" s="4" t="s">
        <v>607</v>
      </c>
      <c r="C1686" s="4" t="s">
        <v>278</v>
      </c>
      <c r="D1686" s="94">
        <v>2717.0</v>
      </c>
    </row>
    <row r="1687">
      <c r="A1687" s="40">
        <f t="array" ref="A1687">IFNA(index(PlayerValues!A:A,match(IFNA(vlookup(B1687,'Special Names'!A:B,2,FALSE),B1687),PlayerValues!E:E,0)),"N/A")</f>
        <v>17047</v>
      </c>
      <c r="B1687" s="4" t="s">
        <v>510</v>
      </c>
      <c r="C1687" s="4" t="s">
        <v>278</v>
      </c>
      <c r="D1687" s="94">
        <v>2716.0</v>
      </c>
    </row>
    <row r="1688">
      <c r="A1688" s="40">
        <f t="array" ref="A1688">IFNA(index(PlayerValues!A:A,match(IFNA(vlookup(B1688,'Special Names'!A:B,2,FALSE),B1688),PlayerValues!E:E,0)),"N/A")</f>
        <v>14833</v>
      </c>
      <c r="B1688" s="4" t="s">
        <v>553</v>
      </c>
      <c r="C1688" s="4" t="s">
        <v>287</v>
      </c>
      <c r="D1688" s="94">
        <v>2714.0</v>
      </c>
    </row>
    <row r="1689">
      <c r="A1689" s="40">
        <f t="array" ref="A1689">IFNA(index(PlayerValues!A:A,match(IFNA(vlookup(B1689,'Special Names'!A:B,2,FALSE),B1689),PlayerValues!E:E,0)),"N/A")</f>
        <v>15972</v>
      </c>
      <c r="B1689" s="4" t="s">
        <v>469</v>
      </c>
      <c r="C1689" s="4" t="s">
        <v>278</v>
      </c>
      <c r="D1689" s="94">
        <v>2714.0</v>
      </c>
    </row>
    <row r="1690">
      <c r="A1690" s="40">
        <f t="array" ref="A1690">IFNA(index(PlayerValues!A:A,match(IFNA(vlookup(B1690,'Special Names'!A:B,2,FALSE),B1690),PlayerValues!E:E,0)),"N/A")</f>
        <v>16626</v>
      </c>
      <c r="B1690" s="4" t="s">
        <v>515</v>
      </c>
      <c r="C1690" s="4" t="s">
        <v>287</v>
      </c>
      <c r="D1690" s="94">
        <v>2712.0</v>
      </c>
    </row>
    <row r="1691">
      <c r="A1691" s="40">
        <f t="array" ref="A1691">IFNA(index(PlayerValues!A:A,match(IFNA(vlookup(B1691,'Special Names'!A:B,2,FALSE),B1691),PlayerValues!E:E,0)),"N/A")</f>
        <v>15721</v>
      </c>
      <c r="B1691" s="4" t="s">
        <v>504</v>
      </c>
      <c r="C1691" s="4" t="s">
        <v>278</v>
      </c>
      <c r="D1691" s="94">
        <v>2708.0</v>
      </c>
    </row>
    <row r="1692">
      <c r="A1692" s="40">
        <f t="array" ref="A1692">IFNA(index(PlayerValues!A:A,match(IFNA(vlookup(B1692,'Special Names'!A:B,2,FALSE),B1692),PlayerValues!E:E,0)),"N/A")</f>
        <v>13192</v>
      </c>
      <c r="B1692" s="4" t="s">
        <v>563</v>
      </c>
      <c r="C1692" s="4" t="s">
        <v>298</v>
      </c>
      <c r="D1692" s="94">
        <v>3118.0</v>
      </c>
    </row>
    <row r="1693">
      <c r="A1693" s="40">
        <f t="array" ref="A1693">IFNA(index(PlayerValues!A:A,match(IFNA(vlookup(B1693,'Special Names'!A:B,2,FALSE),B1693),PlayerValues!E:E,0)),"N/A")</f>
        <v>17134</v>
      </c>
      <c r="B1693" s="4" t="s">
        <v>548</v>
      </c>
      <c r="C1693" s="4" t="s">
        <v>287</v>
      </c>
      <c r="D1693" s="94">
        <v>2698.0</v>
      </c>
    </row>
    <row r="1694">
      <c r="A1694" s="40">
        <f t="array" ref="A1694">IFNA(index(PlayerValues!A:A,match(IFNA(vlookup(B1694,'Special Names'!A:B,2,FALSE),B1694),PlayerValues!E:E,0)),"N/A")</f>
        <v>14085</v>
      </c>
      <c r="B1694" s="4" t="s">
        <v>489</v>
      </c>
      <c r="C1694" s="4" t="s">
        <v>278</v>
      </c>
      <c r="D1694" s="94">
        <v>2668.0</v>
      </c>
    </row>
    <row r="1695">
      <c r="A1695" s="40">
        <f t="array" ref="A1695">IFNA(index(PlayerValues!A:A,match(IFNA(vlookup(B1695,'Special Names'!A:B,2,FALSE),B1695),PlayerValues!E:E,0)),"N/A")</f>
        <v>16165</v>
      </c>
      <c r="B1695" s="4" t="s">
        <v>520</v>
      </c>
      <c r="C1695" s="4" t="s">
        <v>278</v>
      </c>
      <c r="D1695" s="94">
        <v>2651.0</v>
      </c>
    </row>
    <row r="1696">
      <c r="A1696" s="40">
        <f t="array" ref="A1696">IFNA(index(PlayerValues!A:A,match(IFNA(vlookup(B1696,'Special Names'!A:B,2,FALSE),B1696),PlayerValues!E:E,0)),"N/A")</f>
        <v>13674</v>
      </c>
      <c r="B1696" s="4" t="s">
        <v>511</v>
      </c>
      <c r="C1696" s="4" t="s">
        <v>298</v>
      </c>
      <c r="D1696" s="94">
        <v>3048.0</v>
      </c>
    </row>
    <row r="1697">
      <c r="A1697" s="40">
        <f t="array" ref="A1697">IFNA(index(PlayerValues!A:A,match(IFNA(vlookup(B1697,'Special Names'!A:B,2,FALSE),B1697),PlayerValues!E:E,0)),"N/A")</f>
        <v>17544</v>
      </c>
      <c r="B1697" s="4" t="s">
        <v>470</v>
      </c>
      <c r="C1697" s="4" t="s">
        <v>298</v>
      </c>
      <c r="D1697" s="94">
        <v>3038.0</v>
      </c>
    </row>
    <row r="1698">
      <c r="A1698" s="40">
        <f t="array" ref="A1698">IFNA(index(PlayerValues!A:A,match(IFNA(vlookup(B1698,'Special Names'!A:B,2,FALSE),B1698),PlayerValues!E:E,0)),"N/A")</f>
        <v>16747</v>
      </c>
      <c r="B1698" s="4" t="s">
        <v>555</v>
      </c>
      <c r="C1698" s="4" t="s">
        <v>278</v>
      </c>
      <c r="D1698" s="94">
        <v>2589.0</v>
      </c>
    </row>
    <row r="1699">
      <c r="A1699" s="40">
        <f t="array" ref="A1699">IFNA(index(PlayerValues!A:A,match(IFNA(vlookup(B1699,'Special Names'!A:B,2,FALSE),B1699),PlayerValues!E:E,0)),"N/A")</f>
        <v>14840</v>
      </c>
      <c r="B1699" s="4" t="s">
        <v>731</v>
      </c>
      <c r="C1699" s="4" t="s">
        <v>287</v>
      </c>
      <c r="D1699" s="94">
        <v>2579.0</v>
      </c>
    </row>
    <row r="1700">
      <c r="A1700" s="40">
        <f t="array" ref="A1700">IFNA(index(PlayerValues!A:A,match(IFNA(vlookup(B1700,'Special Names'!A:B,2,FALSE),B1700),PlayerValues!E:E,0)),"N/A")</f>
        <v>17105</v>
      </c>
      <c r="B1700" s="4" t="s">
        <v>525</v>
      </c>
      <c r="C1700" s="4" t="s">
        <v>298</v>
      </c>
      <c r="D1700" s="94">
        <v>2973.0</v>
      </c>
    </row>
    <row r="1701">
      <c r="A1701" s="40" t="str">
        <f t="array" ref="A1701">IFNA(index(PlayerValues!A:A,match(IFNA(vlookup(B1701,'Special Names'!A:B,2,FALSE),B1701),PlayerValues!E:E,0)),"N/A")</f>
        <v>N/A</v>
      </c>
      <c r="B1701" s="4" t="s">
        <v>98</v>
      </c>
      <c r="C1701" s="4" t="s">
        <v>325</v>
      </c>
      <c r="D1701" s="94">
        <v>2562.0</v>
      </c>
    </row>
    <row r="1702">
      <c r="A1702" s="40">
        <f t="array" ref="A1702">IFNA(index(PlayerValues!A:A,match(IFNA(vlookup(B1702,'Special Names'!A:B,2,FALSE),B1702),PlayerValues!E:E,0)),"N/A")</f>
        <v>16617</v>
      </c>
      <c r="B1702" s="4" t="s">
        <v>541</v>
      </c>
      <c r="C1702" s="4" t="s">
        <v>287</v>
      </c>
      <c r="D1702" s="94">
        <v>2552.0</v>
      </c>
    </row>
    <row r="1703">
      <c r="A1703" s="40">
        <f t="array" ref="A1703">IFNA(index(PlayerValues!A:A,match(IFNA(vlookup(B1703,'Special Names'!A:B,2,FALSE),B1703),PlayerValues!E:E,0)),"N/A")</f>
        <v>17108</v>
      </c>
      <c r="B1703" s="4" t="s">
        <v>542</v>
      </c>
      <c r="C1703" s="4" t="s">
        <v>298</v>
      </c>
      <c r="D1703" s="94">
        <v>2954.0</v>
      </c>
    </row>
    <row r="1704">
      <c r="A1704" s="40">
        <f t="array" ref="A1704">IFNA(index(PlayerValues!A:A,match(IFNA(vlookup(B1704,'Special Names'!A:B,2,FALSE),B1704),PlayerValues!E:E,0)),"N/A")</f>
        <v>16178</v>
      </c>
      <c r="B1704" s="4" t="s">
        <v>507</v>
      </c>
      <c r="C1704" s="4" t="s">
        <v>278</v>
      </c>
      <c r="D1704" s="94">
        <v>2535.0</v>
      </c>
    </row>
    <row r="1705">
      <c r="A1705" s="40">
        <f t="array" ref="A1705">IFNA(index(PlayerValues!A:A,match(IFNA(vlookup(B1705,'Special Names'!A:B,2,FALSE),B1705),PlayerValues!E:E,0)),"N/A")</f>
        <v>16164</v>
      </c>
      <c r="B1705" s="4" t="s">
        <v>512</v>
      </c>
      <c r="C1705" s="4" t="s">
        <v>278</v>
      </c>
      <c r="D1705" s="94">
        <v>2529.0</v>
      </c>
    </row>
    <row r="1706">
      <c r="A1706" s="40" t="str">
        <f t="array" ref="A1706">IFNA(index(PlayerValues!A:A,match(IFNA(vlookup(B1706,'Special Names'!A:B,2,FALSE),B1706),PlayerValues!E:E,0)),"N/A")</f>
        <v>N/A</v>
      </c>
      <c r="B1706" s="4" t="s">
        <v>557</v>
      </c>
      <c r="C1706" s="4" t="s">
        <v>278</v>
      </c>
      <c r="D1706" s="94">
        <v>2525.0</v>
      </c>
    </row>
    <row r="1707">
      <c r="A1707" s="40">
        <f t="array" ref="A1707">IFNA(index(PlayerValues!A:A,match(IFNA(vlookup(B1707,'Special Names'!A:B,2,FALSE),B1707),PlayerValues!E:E,0)),"N/A")</f>
        <v>14136</v>
      </c>
      <c r="B1707" s="4" t="s">
        <v>536</v>
      </c>
      <c r="C1707" s="4" t="s">
        <v>287</v>
      </c>
      <c r="D1707" s="94">
        <v>2517.0</v>
      </c>
    </row>
    <row r="1708">
      <c r="A1708" s="40">
        <f t="array" ref="A1708">IFNA(index(PlayerValues!A:A,match(IFNA(vlookup(B1708,'Special Names'!A:B,2,FALSE),B1708),PlayerValues!E:E,0)),"N/A")</f>
        <v>16204</v>
      </c>
      <c r="B1708" s="4" t="s">
        <v>530</v>
      </c>
      <c r="C1708" s="4" t="s">
        <v>287</v>
      </c>
      <c r="D1708" s="94">
        <v>2514.0</v>
      </c>
    </row>
    <row r="1709">
      <c r="A1709" s="40">
        <f t="array" ref="A1709">IFNA(index(PlayerValues!A:A,match(IFNA(vlookup(B1709,'Special Names'!A:B,2,FALSE),B1709),PlayerValues!E:E,0)),"N/A")</f>
        <v>15802</v>
      </c>
      <c r="B1709" s="4" t="s">
        <v>566</v>
      </c>
      <c r="C1709" s="4" t="s">
        <v>298</v>
      </c>
      <c r="D1709" s="94">
        <v>2919.0</v>
      </c>
    </row>
    <row r="1710">
      <c r="A1710" s="40">
        <f t="array" ref="A1710">IFNA(index(PlayerValues!A:A,match(IFNA(vlookup(B1710,'Special Names'!A:B,2,FALSE),B1710),PlayerValues!E:E,0)),"N/A")</f>
        <v>16152</v>
      </c>
      <c r="B1710" s="4" t="s">
        <v>601</v>
      </c>
      <c r="C1710" s="4" t="s">
        <v>283</v>
      </c>
      <c r="D1710" s="94">
        <v>2510.0</v>
      </c>
    </row>
    <row r="1711">
      <c r="A1711" s="40">
        <f t="array" ref="A1711">IFNA(index(PlayerValues!A:A,match(IFNA(vlookup(B1711,'Special Names'!A:B,2,FALSE),B1711),PlayerValues!E:E,0)),"N/A")</f>
        <v>16166</v>
      </c>
      <c r="B1711" s="4" t="s">
        <v>567</v>
      </c>
      <c r="C1711" s="4" t="s">
        <v>278</v>
      </c>
      <c r="D1711" s="94">
        <v>2494.0</v>
      </c>
    </row>
    <row r="1712">
      <c r="A1712" s="40">
        <f t="array" ref="A1712">IFNA(index(PlayerValues!A:A,match(IFNA(vlookup(B1712,'Special Names'!A:B,2,FALSE),B1712),PlayerValues!E:E,0)),"N/A")</f>
        <v>16757</v>
      </c>
      <c r="B1712" s="4" t="s">
        <v>558</v>
      </c>
      <c r="C1712" s="4" t="s">
        <v>278</v>
      </c>
      <c r="D1712" s="94">
        <v>2469.0</v>
      </c>
    </row>
    <row r="1713">
      <c r="A1713" s="40">
        <f t="array" ref="A1713">IFNA(index(PlayerValues!A:A,match(IFNA(vlookup(B1713,'Special Names'!A:B,2,FALSE),B1713),PlayerValues!E:E,0)),"N/A")</f>
        <v>16287</v>
      </c>
      <c r="B1713" s="4" t="s">
        <v>516</v>
      </c>
      <c r="C1713" s="4" t="s">
        <v>287</v>
      </c>
      <c r="D1713" s="94">
        <v>2460.0</v>
      </c>
    </row>
    <row r="1714">
      <c r="A1714" s="40">
        <f t="array" ref="A1714">IFNA(index(PlayerValues!A:A,match(IFNA(vlookup(B1714,'Special Names'!A:B,2,FALSE),B1714),PlayerValues!E:E,0)),"N/A")</f>
        <v>17033</v>
      </c>
      <c r="B1714" s="4" t="s">
        <v>570</v>
      </c>
      <c r="C1714" s="4" t="s">
        <v>283</v>
      </c>
      <c r="D1714" s="94">
        <v>2457.0</v>
      </c>
    </row>
    <row r="1715">
      <c r="A1715" s="40">
        <f t="array" ref="A1715">IFNA(index(PlayerValues!A:A,match(IFNA(vlookup(B1715,'Special Names'!A:B,2,FALSE),B1715),PlayerValues!E:E,0)),"N/A")</f>
        <v>11244</v>
      </c>
      <c r="B1715" s="4" t="s">
        <v>519</v>
      </c>
      <c r="C1715" s="4" t="s">
        <v>298</v>
      </c>
      <c r="D1715" s="94">
        <v>2859.0</v>
      </c>
    </row>
    <row r="1716">
      <c r="A1716" s="40">
        <f t="array" ref="A1716">IFNA(index(PlayerValues!A:A,match(IFNA(vlookup(B1716,'Special Names'!A:B,2,FALSE),B1716),PlayerValues!E:E,0)),"N/A")</f>
        <v>17476</v>
      </c>
      <c r="B1716" s="4" t="s">
        <v>494</v>
      </c>
      <c r="C1716" s="4" t="s">
        <v>278</v>
      </c>
      <c r="D1716" s="94">
        <v>2447.0</v>
      </c>
    </row>
    <row r="1717">
      <c r="A1717" s="40">
        <f t="array" ref="A1717">IFNA(index(PlayerValues!A:A,match(IFNA(vlookup(B1717,'Special Names'!A:B,2,FALSE),B1717),PlayerValues!E:E,0)),"N/A")</f>
        <v>16649</v>
      </c>
      <c r="B1717" s="4" t="s">
        <v>586</v>
      </c>
      <c r="C1717" s="4" t="s">
        <v>298</v>
      </c>
      <c r="D1717" s="94">
        <v>2845.0</v>
      </c>
    </row>
    <row r="1718">
      <c r="A1718" s="40">
        <f t="array" ref="A1718">IFNA(index(PlayerValues!A:A,match(IFNA(vlookup(B1718,'Special Names'!A:B,2,FALSE),B1718),PlayerValues!E:E,0)),"N/A")</f>
        <v>14861</v>
      </c>
      <c r="B1718" s="4" t="s">
        <v>523</v>
      </c>
      <c r="C1718" s="4" t="s">
        <v>298</v>
      </c>
      <c r="D1718" s="94">
        <v>2833.0</v>
      </c>
    </row>
    <row r="1719">
      <c r="A1719" s="40">
        <f t="array" ref="A1719">IFNA(index(PlayerValues!A:A,match(IFNA(vlookup(B1719,'Special Names'!A:B,2,FALSE),B1719),PlayerValues!E:E,0)),"N/A")</f>
        <v>16684</v>
      </c>
      <c r="B1719" s="4" t="s">
        <v>500</v>
      </c>
      <c r="C1719" s="4" t="s">
        <v>287</v>
      </c>
      <c r="D1719" s="94">
        <v>2429.0</v>
      </c>
    </row>
    <row r="1720">
      <c r="A1720" s="40">
        <f t="array" ref="A1720">IFNA(index(PlayerValues!A:A,match(IFNA(vlookup(B1720,'Special Names'!A:B,2,FALSE),B1720),PlayerValues!E:E,0)),"N/A")</f>
        <v>16189</v>
      </c>
      <c r="B1720" s="4" t="s">
        <v>582</v>
      </c>
      <c r="C1720" s="4" t="s">
        <v>287</v>
      </c>
      <c r="D1720" s="94">
        <v>2413.0</v>
      </c>
    </row>
    <row r="1721">
      <c r="A1721" s="40">
        <f t="array" ref="A1721">IFNA(index(PlayerValues!A:A,match(IFNA(vlookup(B1721,'Special Names'!A:B,2,FALSE),B1721),PlayerValues!E:E,0)),"N/A")</f>
        <v>17505</v>
      </c>
      <c r="B1721" s="4" t="s">
        <v>528</v>
      </c>
      <c r="C1721" s="4" t="s">
        <v>287</v>
      </c>
      <c r="D1721" s="94">
        <v>2413.0</v>
      </c>
    </row>
    <row r="1722">
      <c r="A1722" s="40">
        <f t="array" ref="A1722">IFNA(index(PlayerValues!A:A,match(IFNA(vlookup(B1722,'Special Names'!A:B,2,FALSE),B1722),PlayerValues!E:E,0)),"N/A")</f>
        <v>16036</v>
      </c>
      <c r="B1722" s="4" t="s">
        <v>592</v>
      </c>
      <c r="C1722" s="4" t="s">
        <v>298</v>
      </c>
      <c r="D1722" s="94">
        <v>2801.0</v>
      </c>
    </row>
    <row r="1723">
      <c r="A1723" s="40" t="str">
        <f t="array" ref="A1723">IFNA(index(PlayerValues!A:A,match(IFNA(vlookup(B1723,'Special Names'!A:B,2,FALSE),B1723),PlayerValues!E:E,0)),"N/A")</f>
        <v>N/A</v>
      </c>
      <c r="B1723" s="4" t="s">
        <v>86</v>
      </c>
      <c r="C1723" s="4" t="s">
        <v>325</v>
      </c>
      <c r="D1723" s="94">
        <v>2400.0</v>
      </c>
    </row>
    <row r="1724">
      <c r="A1724" s="40" t="str">
        <f t="array" ref="A1724">IFNA(index(PlayerValues!A:A,match(IFNA(vlookup(B1724,'Special Names'!A:B,2,FALSE),B1724),PlayerValues!E:E,0)),"N/A")</f>
        <v>N/A</v>
      </c>
      <c r="B1724" s="4" t="s">
        <v>99</v>
      </c>
      <c r="C1724" s="4" t="s">
        <v>325</v>
      </c>
      <c r="D1724" s="94">
        <v>2397.0</v>
      </c>
    </row>
    <row r="1725">
      <c r="A1725" s="40">
        <f t="array" ref="A1725">IFNA(index(PlayerValues!A:A,match(IFNA(vlookup(B1725,'Special Names'!A:B,2,FALSE),B1725),PlayerValues!E:E,0)),"N/A")</f>
        <v>17078</v>
      </c>
      <c r="B1725" s="4" t="s">
        <v>543</v>
      </c>
      <c r="C1725" s="4" t="s">
        <v>287</v>
      </c>
      <c r="D1725" s="94">
        <v>2397.0</v>
      </c>
    </row>
    <row r="1726">
      <c r="A1726" s="40">
        <f t="array" ref="A1726">IFNA(index(PlayerValues!A:A,match(IFNA(vlookup(B1726,'Special Names'!A:B,2,FALSE),B1726),PlayerValues!E:E,0)),"N/A")</f>
        <v>15749</v>
      </c>
      <c r="B1726" s="4" t="s">
        <v>574</v>
      </c>
      <c r="C1726" s="4" t="s">
        <v>278</v>
      </c>
      <c r="D1726" s="94">
        <v>2396.0</v>
      </c>
    </row>
    <row r="1727">
      <c r="A1727" s="40">
        <f t="array" ref="A1727">IFNA(index(PlayerValues!A:A,match(IFNA(vlookup(B1727,'Special Names'!A:B,2,FALSE),B1727),PlayerValues!E:E,0)),"N/A")</f>
        <v>17048</v>
      </c>
      <c r="B1727" s="4" t="s">
        <v>539</v>
      </c>
      <c r="C1727" s="4" t="s">
        <v>278</v>
      </c>
      <c r="D1727" s="94">
        <v>2388.0</v>
      </c>
    </row>
    <row r="1728">
      <c r="A1728" s="40">
        <f t="array" ref="A1728">IFNA(index(PlayerValues!A:A,match(IFNA(vlookup(B1728,'Special Names'!A:B,2,FALSE),B1728),PlayerValues!E:E,0)),"N/A")</f>
        <v>15786</v>
      </c>
      <c r="B1728" s="4" t="s">
        <v>521</v>
      </c>
      <c r="C1728" s="4" t="s">
        <v>287</v>
      </c>
      <c r="D1728" s="94">
        <v>2377.0</v>
      </c>
    </row>
    <row r="1729">
      <c r="A1729" s="40">
        <f t="array" ref="A1729">IFNA(index(PlayerValues!A:A,match(IFNA(vlookup(B1729,'Special Names'!A:B,2,FALSE),B1729),PlayerValues!E:E,0)),"N/A")</f>
        <v>16610</v>
      </c>
      <c r="B1729" s="4" t="s">
        <v>562</v>
      </c>
      <c r="C1729" s="4" t="s">
        <v>278</v>
      </c>
      <c r="D1729" s="94">
        <v>2348.0</v>
      </c>
    </row>
    <row r="1730">
      <c r="A1730" s="40">
        <f t="array" ref="A1730">IFNA(index(PlayerValues!A:A,match(IFNA(vlookup(B1730,'Special Names'!A:B,2,FALSE),B1730),PlayerValues!E:E,0)),"N/A")</f>
        <v>12676</v>
      </c>
      <c r="B1730" s="4" t="s">
        <v>537</v>
      </c>
      <c r="C1730" s="4" t="s">
        <v>298</v>
      </c>
      <c r="D1730" s="94">
        <v>2741.0</v>
      </c>
    </row>
    <row r="1731">
      <c r="A1731" s="40">
        <f t="array" ref="A1731">IFNA(index(PlayerValues!A:A,match(IFNA(vlookup(B1731,'Special Names'!A:B,2,FALSE),B1731),PlayerValues!E:E,0)),"N/A")</f>
        <v>16195</v>
      </c>
      <c r="B1731" s="4" t="s">
        <v>509</v>
      </c>
      <c r="C1731" s="4" t="s">
        <v>287</v>
      </c>
      <c r="D1731" s="94">
        <v>2342.0</v>
      </c>
    </row>
    <row r="1732">
      <c r="A1732" s="40">
        <f t="array" ref="A1732">IFNA(index(PlayerValues!A:A,match(IFNA(vlookup(B1732,'Special Names'!A:B,2,FALSE),B1732),PlayerValues!E:E,0)),"N/A")</f>
        <v>16212</v>
      </c>
      <c r="B1732" s="4" t="s">
        <v>568</v>
      </c>
      <c r="C1732" s="4" t="s">
        <v>298</v>
      </c>
      <c r="D1732" s="94">
        <v>2711.0</v>
      </c>
    </row>
    <row r="1733">
      <c r="A1733" s="40">
        <f t="array" ref="A1733">IFNA(index(PlayerValues!A:A,match(IFNA(vlookup(B1733,'Special Names'!A:B,2,FALSE),B1733),PlayerValues!E:E,0)),"N/A")</f>
        <v>17046</v>
      </c>
      <c r="B1733" s="4" t="s">
        <v>602</v>
      </c>
      <c r="C1733" s="4" t="s">
        <v>278</v>
      </c>
      <c r="D1733" s="94">
        <v>2314.0</v>
      </c>
    </row>
    <row r="1734">
      <c r="A1734" s="40">
        <f t="array" ref="A1734">IFNA(index(PlayerValues!A:A,match(IFNA(vlookup(B1734,'Special Names'!A:B,2,FALSE),B1734),PlayerValues!E:E,0)),"N/A")</f>
        <v>12801</v>
      </c>
      <c r="B1734" s="4" t="s">
        <v>722</v>
      </c>
      <c r="C1734" s="4" t="s">
        <v>287</v>
      </c>
      <c r="D1734" s="94">
        <v>2305.0</v>
      </c>
    </row>
    <row r="1735">
      <c r="A1735" s="40">
        <f t="array" ref="A1735">IFNA(index(PlayerValues!A:A,match(IFNA(vlookup(B1735,'Special Names'!A:B,2,FALSE),B1735),PlayerValues!E:E,0)),"N/A")</f>
        <v>15238</v>
      </c>
      <c r="B1735" s="4" t="s">
        <v>613</v>
      </c>
      <c r="C1735" s="4" t="s">
        <v>283</v>
      </c>
      <c r="D1735" s="94">
        <v>2302.0</v>
      </c>
    </row>
    <row r="1736">
      <c r="A1736" s="40">
        <f t="array" ref="A1736">IFNA(index(PlayerValues!A:A,match(IFNA(vlookup(B1736,'Special Names'!A:B,2,FALSE),B1736),PlayerValues!E:E,0)),"N/A")</f>
        <v>13772</v>
      </c>
      <c r="B1736" s="4" t="s">
        <v>544</v>
      </c>
      <c r="C1736" s="4" t="s">
        <v>298</v>
      </c>
      <c r="D1736" s="94">
        <v>2687.0</v>
      </c>
    </row>
    <row r="1737">
      <c r="A1737" s="40">
        <f t="array" ref="A1737">IFNA(index(PlayerValues!A:A,match(IFNA(vlookup(B1737,'Special Names'!A:B,2,FALSE),B1737),PlayerValues!E:E,0)),"N/A")</f>
        <v>17076</v>
      </c>
      <c r="B1737" s="4" t="s">
        <v>585</v>
      </c>
      <c r="C1737" s="4" t="s">
        <v>287</v>
      </c>
      <c r="D1737" s="94">
        <v>2290.0</v>
      </c>
    </row>
    <row r="1738">
      <c r="A1738" s="40">
        <f t="array" ref="A1738">IFNA(index(PlayerValues!A:A,match(IFNA(vlookup(B1738,'Special Names'!A:B,2,FALSE),B1738),PlayerValues!E:E,0)),"N/A")</f>
        <v>16174</v>
      </c>
      <c r="B1738" s="4" t="s">
        <v>505</v>
      </c>
      <c r="C1738" s="4" t="s">
        <v>278</v>
      </c>
      <c r="D1738" s="94">
        <v>2278.0</v>
      </c>
    </row>
    <row r="1739">
      <c r="A1739" s="40">
        <f t="array" ref="A1739">IFNA(index(PlayerValues!A:A,match(IFNA(vlookup(B1739,'Special Names'!A:B,2,FALSE),B1739),PlayerValues!E:E,0)),"N/A")</f>
        <v>17079</v>
      </c>
      <c r="B1739" s="4" t="s">
        <v>572</v>
      </c>
      <c r="C1739" s="4" t="s">
        <v>287</v>
      </c>
      <c r="D1739" s="94">
        <v>2275.0</v>
      </c>
    </row>
    <row r="1740">
      <c r="A1740" s="40">
        <f t="array" ref="A1740">IFNA(index(PlayerValues!A:A,match(IFNA(vlookup(B1740,'Special Names'!A:B,2,FALSE),B1740),PlayerValues!E:E,0)),"N/A")</f>
        <v>15716</v>
      </c>
      <c r="B1740" s="4" t="s">
        <v>545</v>
      </c>
      <c r="C1740" s="4" t="s">
        <v>278</v>
      </c>
      <c r="D1740" s="94">
        <v>2256.0</v>
      </c>
    </row>
    <row r="1741">
      <c r="A1741" s="40" t="str">
        <f t="array" ref="A1741">IFNA(index(PlayerValues!A:A,match(IFNA(vlookup(B1741,'Special Names'!A:B,2,FALSE),B1741),PlayerValues!E:E,0)),"N/A")</f>
        <v>N/A</v>
      </c>
      <c r="B1741" s="4" t="s">
        <v>87</v>
      </c>
      <c r="C1741" s="4" t="s">
        <v>325</v>
      </c>
      <c r="D1741" s="94">
        <v>2250.0</v>
      </c>
    </row>
    <row r="1742">
      <c r="A1742" s="40">
        <f t="array" ref="A1742">IFNA(index(PlayerValues!A:A,match(IFNA(vlookup(B1742,'Special Names'!A:B,2,FALSE),B1742),PlayerValues!E:E,0)),"N/A")</f>
        <v>17482</v>
      </c>
      <c r="B1742" s="4" t="s">
        <v>460</v>
      </c>
      <c r="C1742" s="4" t="s">
        <v>278</v>
      </c>
      <c r="D1742" s="94">
        <v>2248.0</v>
      </c>
    </row>
    <row r="1743">
      <c r="A1743" s="40">
        <f t="array" ref="A1743">IFNA(index(PlayerValues!A:A,match(IFNA(vlookup(B1743,'Special Names'!A:B,2,FALSE),B1743),PlayerValues!E:E,0)),"N/A")</f>
        <v>12186</v>
      </c>
      <c r="B1743" s="4" t="s">
        <v>497</v>
      </c>
      <c r="C1743" s="4" t="s">
        <v>287</v>
      </c>
      <c r="D1743" s="94">
        <v>2246.0</v>
      </c>
    </row>
    <row r="1744">
      <c r="A1744" s="40" t="str">
        <f t="array" ref="A1744">IFNA(index(PlayerValues!A:A,match(IFNA(vlookup(B1744,'Special Names'!A:B,2,FALSE),B1744),PlayerValues!E:E,0)),"N/A")</f>
        <v>N/A</v>
      </c>
      <c r="B1744" s="4" t="s">
        <v>100</v>
      </c>
      <c r="C1744" s="4" t="s">
        <v>325</v>
      </c>
      <c r="D1744" s="94">
        <v>2219.0</v>
      </c>
    </row>
    <row r="1745">
      <c r="A1745" s="40">
        <f t="array" ref="A1745">IFNA(index(PlayerValues!A:A,match(IFNA(vlookup(B1745,'Special Names'!A:B,2,FALSE),B1745),PlayerValues!E:E,0)),"N/A")</f>
        <v>15331</v>
      </c>
      <c r="B1745" s="4" t="s">
        <v>560</v>
      </c>
      <c r="C1745" s="4" t="s">
        <v>298</v>
      </c>
      <c r="D1745" s="94">
        <v>2591.0</v>
      </c>
    </row>
    <row r="1746">
      <c r="A1746" s="40">
        <f t="array" ref="A1746">IFNA(index(PlayerValues!A:A,match(IFNA(vlookup(B1746,'Special Names'!A:B,2,FALSE),B1746),PlayerValues!E:E,0)),"N/A")</f>
        <v>17087</v>
      </c>
      <c r="B1746" s="4" t="s">
        <v>600</v>
      </c>
      <c r="C1746" s="4" t="s">
        <v>287</v>
      </c>
      <c r="D1746" s="94">
        <v>2194.0</v>
      </c>
    </row>
    <row r="1747">
      <c r="A1747" s="40">
        <f t="array" ref="A1747">IFNA(index(PlayerValues!A:A,match(IFNA(vlookup(B1747,'Special Names'!A:B,2,FALSE),B1747),PlayerValues!E:E,0)),"N/A")</f>
        <v>16432</v>
      </c>
      <c r="B1747" s="4" t="s">
        <v>620</v>
      </c>
      <c r="C1747" s="4" t="s">
        <v>278</v>
      </c>
      <c r="D1747" s="94">
        <v>2188.0</v>
      </c>
    </row>
    <row r="1748">
      <c r="A1748" s="40">
        <f t="array" ref="A1748">IFNA(index(PlayerValues!A:A,match(IFNA(vlookup(B1748,'Special Names'!A:B,2,FALSE),B1748),PlayerValues!E:E,0)),"N/A")</f>
        <v>14871</v>
      </c>
      <c r="B1748" s="4" t="s">
        <v>584</v>
      </c>
      <c r="C1748" s="4" t="s">
        <v>298</v>
      </c>
      <c r="D1748" s="94">
        <v>2560.0</v>
      </c>
    </row>
    <row r="1749">
      <c r="A1749" s="40" t="str">
        <f t="array" ref="A1749">IFNA(index(PlayerValues!A:A,match(IFNA(vlookup(B1749,'Special Names'!A:B,2,FALSE),B1749),PlayerValues!E:E,0)),"N/A")</f>
        <v>N/A</v>
      </c>
      <c r="B1749" s="4" t="s">
        <v>112</v>
      </c>
      <c r="C1749" s="4" t="s">
        <v>325</v>
      </c>
      <c r="D1749" s="94">
        <v>2167.0</v>
      </c>
    </row>
    <row r="1750">
      <c r="A1750" s="40">
        <f t="array" ref="A1750">IFNA(index(PlayerValues!A:A,match(IFNA(vlookup(B1750,'Special Names'!A:B,2,FALSE),B1750),PlayerValues!E:E,0)),"N/A")</f>
        <v>17474</v>
      </c>
      <c r="B1750" s="4" t="s">
        <v>513</v>
      </c>
      <c r="C1750" s="4" t="s">
        <v>278</v>
      </c>
      <c r="D1750" s="94">
        <v>2166.0</v>
      </c>
    </row>
    <row r="1751">
      <c r="A1751" s="40">
        <f t="array" ref="A1751">IFNA(index(PlayerValues!A:A,match(IFNA(vlookup(B1751,'Special Names'!A:B,2,FALSE),B1751),PlayerValues!E:E,0)),"N/A")</f>
        <v>17049</v>
      </c>
      <c r="B1751" s="4" t="s">
        <v>624</v>
      </c>
      <c r="C1751" s="4" t="s">
        <v>278</v>
      </c>
      <c r="D1751" s="94">
        <v>2160.0</v>
      </c>
    </row>
    <row r="1752">
      <c r="A1752" s="40">
        <f t="array" ref="A1752">IFNA(index(PlayerValues!A:A,match(IFNA(vlookup(B1752,'Special Names'!A:B,2,FALSE),B1752),PlayerValues!E:E,0)),"N/A")</f>
        <v>16342</v>
      </c>
      <c r="B1752" s="4" t="s">
        <v>583</v>
      </c>
      <c r="C1752" s="4" t="s">
        <v>287</v>
      </c>
      <c r="D1752" s="94">
        <v>2158.0</v>
      </c>
    </row>
    <row r="1753">
      <c r="A1753" s="40">
        <f t="array" ref="A1753">IFNA(index(PlayerValues!A:A,match(IFNA(vlookup(B1753,'Special Names'!A:B,2,FALSE),B1753),PlayerValues!E:E,0)),"N/A")</f>
        <v>17061</v>
      </c>
      <c r="B1753" s="4" t="s">
        <v>580</v>
      </c>
      <c r="C1753" s="4" t="s">
        <v>278</v>
      </c>
      <c r="D1753" s="94">
        <v>2150.0</v>
      </c>
    </row>
    <row r="1754">
      <c r="A1754" s="40">
        <f t="array" ref="A1754">IFNA(index(PlayerValues!A:A,match(IFNA(vlookup(B1754,'Special Names'!A:B,2,FALSE),B1754),PlayerValues!E:E,0)),"N/A")</f>
        <v>16639</v>
      </c>
      <c r="B1754" s="4" t="s">
        <v>599</v>
      </c>
      <c r="C1754" s="4" t="s">
        <v>287</v>
      </c>
      <c r="D1754" s="94">
        <v>2141.0</v>
      </c>
    </row>
    <row r="1755">
      <c r="A1755" s="40">
        <f t="array" ref="A1755">IFNA(index(PlayerValues!A:A,match(IFNA(vlookup(B1755,'Special Names'!A:B,2,FALSE),B1755),PlayerValues!E:E,0)),"N/A")</f>
        <v>13146</v>
      </c>
      <c r="B1755" s="4" t="s">
        <v>652</v>
      </c>
      <c r="C1755" s="4" t="s">
        <v>278</v>
      </c>
      <c r="D1755" s="94">
        <v>2138.0</v>
      </c>
    </row>
    <row r="1756">
      <c r="A1756" s="40" t="str">
        <f t="array" ref="A1756">IFNA(index(PlayerValues!A:A,match(IFNA(vlookup(B1756,'Special Names'!A:B,2,FALSE),B1756),PlayerValues!E:E,0)),"N/A")</f>
        <v>N/A</v>
      </c>
      <c r="B1756" s="4" t="s">
        <v>88</v>
      </c>
      <c r="C1756" s="4" t="s">
        <v>325</v>
      </c>
      <c r="D1756" s="94">
        <v>2135.0</v>
      </c>
    </row>
    <row r="1757">
      <c r="A1757" s="40" t="str">
        <f t="array" ref="A1757">IFNA(index(PlayerValues!A:A,match(IFNA(vlookup(B1757,'Special Names'!A:B,2,FALSE),B1757),PlayerValues!E:E,0)),"N/A")</f>
        <v>N/A</v>
      </c>
      <c r="B1757" s="4" t="s">
        <v>113</v>
      </c>
      <c r="C1757" s="4" t="s">
        <v>325</v>
      </c>
      <c r="D1757" s="94">
        <v>2134.0</v>
      </c>
    </row>
    <row r="1758">
      <c r="A1758" s="40">
        <f t="array" ref="A1758">IFNA(index(PlayerValues!A:A,match(IFNA(vlookup(B1758,'Special Names'!A:B,2,FALSE),B1758),PlayerValues!E:E,0)),"N/A")</f>
        <v>16191</v>
      </c>
      <c r="B1758" s="4" t="s">
        <v>666</v>
      </c>
      <c r="C1758" s="4" t="s">
        <v>287</v>
      </c>
      <c r="D1758" s="94">
        <v>2132.0</v>
      </c>
    </row>
    <row r="1759">
      <c r="A1759" s="40">
        <f t="array" ref="A1759">IFNA(index(PlayerValues!A:A,match(IFNA(vlookup(B1759,'Special Names'!A:B,2,FALSE),B1759),PlayerValues!E:E,0)),"N/A")</f>
        <v>13132</v>
      </c>
      <c r="B1759" s="4" t="s">
        <v>598</v>
      </c>
      <c r="C1759" s="4" t="s">
        <v>278</v>
      </c>
      <c r="D1759" s="94">
        <v>2128.0</v>
      </c>
    </row>
    <row r="1760">
      <c r="A1760" s="40">
        <f t="array" ref="A1760">IFNA(index(PlayerValues!A:A,match(IFNA(vlookup(B1760,'Special Names'!A:B,2,FALSE),B1760),PlayerValues!E:E,0)),"N/A")</f>
        <v>17509</v>
      </c>
      <c r="B1760" s="4" t="s">
        <v>551</v>
      </c>
      <c r="C1760" s="4" t="s">
        <v>287</v>
      </c>
      <c r="D1760" s="94">
        <v>2124.0</v>
      </c>
    </row>
    <row r="1761">
      <c r="A1761" s="40">
        <f t="array" ref="A1761">IFNA(index(PlayerValues!A:A,match(IFNA(vlookup(B1761,'Special Names'!A:B,2,FALSE),B1761),PlayerValues!E:E,0)),"N/A")</f>
        <v>11150</v>
      </c>
      <c r="B1761" s="4" t="s">
        <v>559</v>
      </c>
      <c r="C1761" s="4" t="s">
        <v>283</v>
      </c>
      <c r="D1761" s="94">
        <v>2122.0</v>
      </c>
    </row>
    <row r="1762">
      <c r="A1762" s="40">
        <f t="array" ref="A1762">IFNA(index(PlayerValues!A:A,match(IFNA(vlookup(B1762,'Special Names'!A:B,2,FALSE),B1762),PlayerValues!E:E,0)),"N/A")</f>
        <v>16643</v>
      </c>
      <c r="B1762" s="4" t="s">
        <v>609</v>
      </c>
      <c r="C1762" s="4" t="s">
        <v>298</v>
      </c>
      <c r="D1762" s="94">
        <v>2515.0</v>
      </c>
    </row>
    <row r="1763">
      <c r="A1763" s="40">
        <f t="array" ref="A1763">IFNA(index(PlayerValues!A:A,match(IFNA(vlookup(B1763,'Special Names'!A:B,2,FALSE),B1763),PlayerValues!E:E,0)),"N/A")</f>
        <v>17507</v>
      </c>
      <c r="B1763" s="4" t="s">
        <v>495</v>
      </c>
      <c r="C1763" s="4" t="s">
        <v>287</v>
      </c>
      <c r="D1763" s="94">
        <v>2122.0</v>
      </c>
    </row>
    <row r="1764">
      <c r="A1764" s="40">
        <f t="array" ref="A1764">IFNA(index(PlayerValues!A:A,match(IFNA(vlookup(B1764,'Special Names'!A:B,2,FALSE),B1764),PlayerValues!E:E,0)),"N/A")</f>
        <v>17056</v>
      </c>
      <c r="B1764" s="4" t="s">
        <v>581</v>
      </c>
      <c r="C1764" s="4" t="s">
        <v>278</v>
      </c>
      <c r="D1764" s="94">
        <v>2118.0</v>
      </c>
    </row>
    <row r="1765">
      <c r="A1765" s="40">
        <f t="array" ref="A1765">IFNA(index(PlayerValues!A:A,match(IFNA(vlookup(B1765,'Special Names'!A:B,2,FALSE),B1765),PlayerValues!E:E,0)),"N/A")</f>
        <v>15293</v>
      </c>
      <c r="B1765" s="4" t="s">
        <v>578</v>
      </c>
      <c r="C1765" s="4" t="s">
        <v>287</v>
      </c>
      <c r="D1765" s="94">
        <v>2111.0</v>
      </c>
    </row>
    <row r="1766">
      <c r="A1766" s="40">
        <f t="array" ref="A1766">IFNA(index(PlayerValues!A:A,match(IFNA(vlookup(B1766,'Special Names'!A:B,2,FALSE),B1766),PlayerValues!E:E,0)),"N/A")</f>
        <v>17060</v>
      </c>
      <c r="B1766" s="4" t="s">
        <v>603</v>
      </c>
      <c r="C1766" s="4" t="s">
        <v>278</v>
      </c>
      <c r="D1766" s="94">
        <v>2111.0</v>
      </c>
    </row>
    <row r="1767">
      <c r="A1767" s="40">
        <f t="array" ref="A1767">IFNA(index(PlayerValues!A:A,match(IFNA(vlookup(B1767,'Special Names'!A:B,2,FALSE),B1767),PlayerValues!E:E,0)),"N/A")</f>
        <v>14974</v>
      </c>
      <c r="B1767" s="4" t="s">
        <v>611</v>
      </c>
      <c r="C1767" s="4" t="s">
        <v>287</v>
      </c>
      <c r="D1767" s="94">
        <v>2104.0</v>
      </c>
    </row>
    <row r="1768">
      <c r="A1768" s="40">
        <f t="array" ref="A1768">IFNA(index(PlayerValues!A:A,match(IFNA(vlookup(B1768,'Special Names'!A:B,2,FALSE),B1768),PlayerValues!E:E,0)),"N/A")</f>
        <v>13633</v>
      </c>
      <c r="B1768" s="4" t="s">
        <v>625</v>
      </c>
      <c r="C1768" s="4" t="s">
        <v>287</v>
      </c>
      <c r="D1768" s="94">
        <v>2098.0</v>
      </c>
    </row>
    <row r="1769">
      <c r="A1769" s="40">
        <f t="array" ref="A1769">IFNA(index(PlayerValues!A:A,match(IFNA(vlookup(B1769,'Special Names'!A:B,2,FALSE),B1769),PlayerValues!E:E,0)),"N/A")</f>
        <v>17036</v>
      </c>
      <c r="B1769" s="4" t="s">
        <v>617</v>
      </c>
      <c r="C1769" s="4" t="s">
        <v>283</v>
      </c>
      <c r="D1769" s="94">
        <v>2092.0</v>
      </c>
    </row>
    <row r="1770">
      <c r="A1770" s="40">
        <f t="array" ref="A1770">IFNA(index(PlayerValues!A:A,match(IFNA(vlookup(B1770,'Special Names'!A:B,2,FALSE),B1770),PlayerValues!E:E,0)),"N/A")</f>
        <v>13319</v>
      </c>
      <c r="B1770" s="4" t="s">
        <v>549</v>
      </c>
      <c r="C1770" s="4" t="s">
        <v>278</v>
      </c>
      <c r="D1770" s="94">
        <v>2087.0</v>
      </c>
    </row>
    <row r="1771">
      <c r="A1771" s="40">
        <f t="array" ref="A1771">IFNA(index(PlayerValues!A:A,match(IFNA(vlookup(B1771,'Special Names'!A:B,2,FALSE),B1771),PlayerValues!E:E,0)),"N/A")</f>
        <v>17464</v>
      </c>
      <c r="B1771" s="4" t="s">
        <v>828</v>
      </c>
      <c r="C1771" s="4" t="s">
        <v>283</v>
      </c>
      <c r="D1771" s="94">
        <v>2053.0</v>
      </c>
    </row>
    <row r="1772">
      <c r="A1772" s="40">
        <f t="array" ref="A1772">IFNA(index(PlayerValues!A:A,match(IFNA(vlookup(B1772,'Special Names'!A:B,2,FALSE),B1772),PlayerValues!E:E,0)),"N/A")</f>
        <v>14867</v>
      </c>
      <c r="B1772" s="4" t="s">
        <v>591</v>
      </c>
      <c r="C1772" s="4" t="s">
        <v>298</v>
      </c>
      <c r="D1772" s="94">
        <v>2441.0</v>
      </c>
    </row>
    <row r="1773">
      <c r="A1773" s="40">
        <f t="array" ref="A1773">IFNA(index(PlayerValues!A:A,match(IFNA(vlookup(B1773,'Special Names'!A:B,2,FALSE),B1773),PlayerValues!E:E,0)),"N/A")</f>
        <v>17465</v>
      </c>
      <c r="B1773" s="4" t="s">
        <v>649</v>
      </c>
      <c r="C1773" s="4" t="s">
        <v>283</v>
      </c>
      <c r="D1773" s="94">
        <v>2046.0</v>
      </c>
    </row>
    <row r="1774">
      <c r="A1774" s="40">
        <f t="array" ref="A1774">IFNA(index(PlayerValues!A:A,match(IFNA(vlookup(B1774,'Special Names'!A:B,2,FALSE),B1774),PlayerValues!E:E,0)),"N/A")</f>
        <v>17069</v>
      </c>
      <c r="B1774" s="4" t="s">
        <v>604</v>
      </c>
      <c r="C1774" s="4" t="s">
        <v>278</v>
      </c>
      <c r="D1774" s="94">
        <v>2021.0</v>
      </c>
    </row>
    <row r="1775">
      <c r="A1775" s="40">
        <f t="array" ref="A1775">IFNA(index(PlayerValues!A:A,match(IFNA(vlookup(B1775,'Special Names'!A:B,2,FALSE),B1775),PlayerValues!E:E,0)),"N/A")</f>
        <v>16171</v>
      </c>
      <c r="B1775" s="4" t="s">
        <v>618</v>
      </c>
      <c r="C1775" s="4" t="s">
        <v>278</v>
      </c>
      <c r="D1775" s="94">
        <v>1991.0</v>
      </c>
    </row>
    <row r="1776">
      <c r="A1776" s="40">
        <f t="array" ref="A1776">IFNA(index(PlayerValues!A:A,match(IFNA(vlookup(B1776,'Special Names'!A:B,2,FALSE),B1776),PlayerValues!E:E,0)),"N/A")</f>
        <v>16603</v>
      </c>
      <c r="B1776" s="4" t="s">
        <v>587</v>
      </c>
      <c r="C1776" s="4" t="s">
        <v>278</v>
      </c>
      <c r="D1776" s="94">
        <v>1974.0</v>
      </c>
    </row>
    <row r="1777">
      <c r="A1777" s="40" t="str">
        <f t="array" ref="A1777">IFNA(index(PlayerValues!A:A,match(IFNA(vlookup(B1777,'Special Names'!A:B,2,FALSE),B1777),PlayerValues!E:E,0)),"N/A")</f>
        <v>N/A</v>
      </c>
      <c r="B1777" s="4" t="s">
        <v>114</v>
      </c>
      <c r="C1777" s="4" t="s">
        <v>325</v>
      </c>
      <c r="D1777" s="94">
        <v>1964.0</v>
      </c>
    </row>
    <row r="1778">
      <c r="A1778" s="40">
        <f t="array" ref="A1778">IFNA(index(PlayerValues!A:A,match(IFNA(vlookup(B1778,'Special Names'!A:B,2,FALSE),B1778),PlayerValues!E:E,0)),"N/A")</f>
        <v>17506</v>
      </c>
      <c r="B1778" s="4" t="s">
        <v>471</v>
      </c>
      <c r="C1778" s="4" t="s">
        <v>287</v>
      </c>
      <c r="D1778" s="94">
        <v>1961.0</v>
      </c>
    </row>
    <row r="1779">
      <c r="A1779" s="40">
        <f t="array" ref="A1779">IFNA(index(PlayerValues!A:A,match(IFNA(vlookup(B1779,'Special Names'!A:B,2,FALSE),B1779),PlayerValues!E:E,0)),"N/A")</f>
        <v>17034</v>
      </c>
      <c r="B1779" s="4" t="s">
        <v>643</v>
      </c>
      <c r="C1779" s="4" t="s">
        <v>283</v>
      </c>
      <c r="D1779" s="94">
        <v>1934.0</v>
      </c>
    </row>
    <row r="1780">
      <c r="A1780" s="40">
        <f t="array" ref="A1780">IFNA(index(PlayerValues!A:A,match(IFNA(vlookup(B1780,'Special Names'!A:B,2,FALSE),B1780),PlayerValues!E:E,0)),"N/A")</f>
        <v>17055</v>
      </c>
      <c r="B1780" s="4" t="s">
        <v>565</v>
      </c>
      <c r="C1780" s="4" t="s">
        <v>278</v>
      </c>
      <c r="D1780" s="94">
        <v>1929.0</v>
      </c>
    </row>
    <row r="1781">
      <c r="A1781" s="40">
        <f t="array" ref="A1781">IFNA(index(PlayerValues!A:A,match(IFNA(vlookup(B1781,'Special Names'!A:B,2,FALSE),B1781),PlayerValues!E:E,0)),"N/A")</f>
        <v>16216</v>
      </c>
      <c r="B1781" s="4" t="s">
        <v>595</v>
      </c>
      <c r="C1781" s="4" t="s">
        <v>298</v>
      </c>
      <c r="D1781" s="94">
        <v>2310.0</v>
      </c>
    </row>
    <row r="1782">
      <c r="A1782" s="40">
        <f t="array" ref="A1782">IFNA(index(PlayerValues!A:A,match(IFNA(vlookup(B1782,'Special Names'!A:B,2,FALSE),B1782),PlayerValues!E:E,0)),"N/A")</f>
        <v>14105</v>
      </c>
      <c r="B1782" s="4" t="s">
        <v>675</v>
      </c>
      <c r="C1782" s="4" t="s">
        <v>287</v>
      </c>
      <c r="D1782" s="94">
        <v>1920.0</v>
      </c>
    </row>
    <row r="1783">
      <c r="A1783" s="40">
        <f t="array" ref="A1783">IFNA(index(PlayerValues!A:A,match(IFNA(vlookup(B1783,'Special Names'!A:B,2,FALSE),B1783),PlayerValues!E:E,0)),"N/A")</f>
        <v>16752</v>
      </c>
      <c r="B1783" s="4" t="s">
        <v>597</v>
      </c>
      <c r="C1783" s="4" t="s">
        <v>278</v>
      </c>
      <c r="D1783" s="94">
        <v>1919.0</v>
      </c>
    </row>
    <row r="1784">
      <c r="A1784" s="40">
        <f t="array" ref="A1784">IFNA(index(PlayerValues!A:A,match(IFNA(vlookup(B1784,'Special Names'!A:B,2,FALSE),B1784),PlayerValues!E:E,0)),"N/A")</f>
        <v>16778</v>
      </c>
      <c r="B1784" s="4" t="s">
        <v>577</v>
      </c>
      <c r="C1784" s="4" t="s">
        <v>287</v>
      </c>
      <c r="D1784" s="94">
        <v>1912.0</v>
      </c>
    </row>
    <row r="1785">
      <c r="A1785" s="40">
        <f t="array" ref="A1785">IFNA(index(PlayerValues!A:A,match(IFNA(vlookup(B1785,'Special Names'!A:B,2,FALSE),B1785),PlayerValues!E:E,0)),"N/A")</f>
        <v>16215</v>
      </c>
      <c r="B1785" s="4" t="s">
        <v>637</v>
      </c>
      <c r="C1785" s="4" t="s">
        <v>298</v>
      </c>
      <c r="D1785" s="94">
        <v>2280.0</v>
      </c>
    </row>
    <row r="1786">
      <c r="A1786" s="40">
        <f t="array" ref="A1786">IFNA(index(PlayerValues!A:A,match(IFNA(vlookup(B1786,'Special Names'!A:B,2,FALSE),B1786),PlayerValues!E:E,0)),"N/A")</f>
        <v>17511</v>
      </c>
      <c r="B1786" s="4" t="s">
        <v>485</v>
      </c>
      <c r="C1786" s="4" t="s">
        <v>287</v>
      </c>
      <c r="D1786" s="94">
        <v>1890.0</v>
      </c>
    </row>
    <row r="1787">
      <c r="A1787" s="40">
        <f t="array" ref="A1787">IFNA(index(PlayerValues!A:A,match(IFNA(vlookup(B1787,'Special Names'!A:B,2,FALSE),B1787),PlayerValues!E:E,0)),"N/A")</f>
        <v>17184</v>
      </c>
      <c r="B1787" s="4" t="s">
        <v>588</v>
      </c>
      <c r="C1787" s="4" t="s">
        <v>287</v>
      </c>
      <c r="D1787" s="94">
        <v>1886.0</v>
      </c>
    </row>
    <row r="1788">
      <c r="A1788" s="40">
        <f t="array" ref="A1788">IFNA(index(PlayerValues!A:A,match(IFNA(vlookup(B1788,'Special Names'!A:B,2,FALSE),B1788),PlayerValues!E:E,0)),"N/A")</f>
        <v>15787</v>
      </c>
      <c r="B1788" s="4" t="s">
        <v>610</v>
      </c>
      <c r="C1788" s="4" t="s">
        <v>287</v>
      </c>
      <c r="D1788" s="94">
        <v>1881.0</v>
      </c>
    </row>
    <row r="1789">
      <c r="A1789" s="40">
        <f t="array" ref="A1789">IFNA(index(PlayerValues!A:A,match(IFNA(vlookup(B1789,'Special Names'!A:B,2,FALSE),B1789),PlayerValues!E:E,0)),"N/A")</f>
        <v>16644</v>
      </c>
      <c r="B1789" s="4" t="s">
        <v>640</v>
      </c>
      <c r="C1789" s="4" t="s">
        <v>298</v>
      </c>
      <c r="D1789" s="94">
        <v>2258.0</v>
      </c>
    </row>
    <row r="1790">
      <c r="A1790" s="40">
        <f t="array" ref="A1790">IFNA(index(PlayerValues!A:A,match(IFNA(vlookup(B1790,'Special Names'!A:B,2,FALSE),B1790),PlayerValues!E:E,0)),"N/A")</f>
        <v>17086</v>
      </c>
      <c r="B1790" s="4" t="s">
        <v>612</v>
      </c>
      <c r="C1790" s="4" t="s">
        <v>287</v>
      </c>
      <c r="D1790" s="94">
        <v>1858.0</v>
      </c>
    </row>
    <row r="1791">
      <c r="A1791" s="40">
        <f t="array" ref="A1791">IFNA(index(PlayerValues!A:A,match(IFNA(vlookup(B1791,'Special Names'!A:B,2,FALSE),B1791),PlayerValues!E:E,0)),"N/A")</f>
        <v>15254</v>
      </c>
      <c r="B1791" s="4" t="s">
        <v>633</v>
      </c>
      <c r="C1791" s="4" t="s">
        <v>278</v>
      </c>
      <c r="D1791" s="94">
        <v>1851.0</v>
      </c>
    </row>
    <row r="1792">
      <c r="A1792" s="40">
        <f t="array" ref="A1792">IFNA(index(PlayerValues!A:A,match(IFNA(vlookup(B1792,'Special Names'!A:B,2,FALSE),B1792),PlayerValues!E:E,0)),"N/A")</f>
        <v>13629</v>
      </c>
      <c r="B1792" s="4" t="s">
        <v>619</v>
      </c>
      <c r="C1792" s="4" t="s">
        <v>287</v>
      </c>
      <c r="D1792" s="94">
        <v>1848.0</v>
      </c>
    </row>
    <row r="1793">
      <c r="A1793" s="40">
        <f t="array" ref="A1793">IFNA(index(PlayerValues!A:A,match(IFNA(vlookup(B1793,'Special Names'!A:B,2,FALSE),B1793),PlayerValues!E:E,0)),"N/A")</f>
        <v>17478</v>
      </c>
      <c r="B1793" s="4" t="s">
        <v>527</v>
      </c>
      <c r="C1793" s="4" t="s">
        <v>278</v>
      </c>
      <c r="D1793" s="94">
        <v>1848.0</v>
      </c>
    </row>
    <row r="1794">
      <c r="A1794" s="40">
        <f t="array" ref="A1794">IFNA(index(PlayerValues!A:A,match(IFNA(vlookup(B1794,'Special Names'!A:B,2,FALSE),B1794),PlayerValues!E:E,0)),"N/A")</f>
        <v>13164</v>
      </c>
      <c r="B1794" s="4" t="s">
        <v>632</v>
      </c>
      <c r="C1794" s="4" t="s">
        <v>287</v>
      </c>
      <c r="D1794" s="94">
        <v>1847.0</v>
      </c>
    </row>
    <row r="1795">
      <c r="A1795" s="40">
        <f t="array" ref="A1795">IFNA(index(PlayerValues!A:A,match(IFNA(vlookup(B1795,'Special Names'!A:B,2,FALSE),B1795),PlayerValues!E:E,0)),"N/A")</f>
        <v>16201</v>
      </c>
      <c r="B1795" s="4" t="s">
        <v>589</v>
      </c>
      <c r="C1795" s="4" t="s">
        <v>287</v>
      </c>
      <c r="D1795" s="94">
        <v>1846.0</v>
      </c>
    </row>
    <row r="1796">
      <c r="A1796" s="40">
        <f t="array" ref="A1796">IFNA(index(PlayerValues!A:A,match(IFNA(vlookup(B1796,'Special Names'!A:B,2,FALSE),B1796),PlayerValues!E:E,0)),"N/A")</f>
        <v>15755</v>
      </c>
      <c r="B1796" s="4" t="s">
        <v>628</v>
      </c>
      <c r="C1796" s="4" t="s">
        <v>287</v>
      </c>
      <c r="D1796" s="94">
        <v>1839.0</v>
      </c>
    </row>
    <row r="1797">
      <c r="A1797" s="40">
        <f t="array" ref="A1797">IFNA(index(PlayerValues!A:A,match(IFNA(vlookup(B1797,'Special Names'!A:B,2,FALSE),B1797),PlayerValues!E:E,0)),"N/A")</f>
        <v>16585</v>
      </c>
      <c r="B1797" s="4" t="s">
        <v>623</v>
      </c>
      <c r="C1797" s="4" t="s">
        <v>283</v>
      </c>
      <c r="D1797" s="94">
        <v>1838.0</v>
      </c>
    </row>
    <row r="1798">
      <c r="A1798" s="40" t="str">
        <f t="array" ref="A1798">IFNA(index(PlayerValues!A:A,match(IFNA(vlookup(B1798,'Special Names'!A:B,2,FALSE),B1798),PlayerValues!E:E,0)),"N/A")</f>
        <v>N/A</v>
      </c>
      <c r="B1798" s="4" t="s">
        <v>101</v>
      </c>
      <c r="C1798" s="4" t="s">
        <v>325</v>
      </c>
      <c r="D1798" s="94">
        <v>1837.0</v>
      </c>
    </row>
    <row r="1799">
      <c r="A1799" s="40">
        <f t="array" ref="A1799">IFNA(index(PlayerValues!A:A,match(IFNA(vlookup(B1799,'Special Names'!A:B,2,FALSE),B1799),PlayerValues!E:E,0)),"N/A")</f>
        <v>7836</v>
      </c>
      <c r="B1799" s="4" t="s">
        <v>590</v>
      </c>
      <c r="C1799" s="4" t="s">
        <v>283</v>
      </c>
      <c r="D1799" s="94">
        <v>1829.0</v>
      </c>
    </row>
    <row r="1800">
      <c r="A1800" s="40">
        <f t="array" ref="A1800">IFNA(index(PlayerValues!A:A,match(IFNA(vlookup(B1800,'Special Names'!A:B,2,FALSE),B1800),PlayerValues!E:E,0)),"N/A")</f>
        <v>13189</v>
      </c>
      <c r="B1800" s="4" t="s">
        <v>626</v>
      </c>
      <c r="C1800" s="4" t="s">
        <v>298</v>
      </c>
      <c r="D1800" s="94">
        <v>2211.0</v>
      </c>
    </row>
    <row r="1801">
      <c r="A1801" s="40" t="str">
        <f t="array" ref="A1801">IFNA(index(PlayerValues!A:A,match(IFNA(vlookup(B1801,'Special Names'!A:B,2,FALSE),B1801),PlayerValues!E:E,0)),"N/A")</f>
        <v>N/A</v>
      </c>
      <c r="B1801" s="4" t="s">
        <v>89</v>
      </c>
      <c r="C1801" s="4" t="s">
        <v>325</v>
      </c>
      <c r="D1801" s="94">
        <v>1828.0</v>
      </c>
    </row>
    <row r="1802">
      <c r="A1802" s="40">
        <f t="array" ref="A1802">IFNA(index(PlayerValues!A:A,match(IFNA(vlookup(B1802,'Special Names'!A:B,2,FALSE),B1802),PlayerValues!E:E,0)),"N/A")</f>
        <v>16586</v>
      </c>
      <c r="B1802" s="4" t="s">
        <v>658</v>
      </c>
      <c r="C1802" s="4" t="s">
        <v>283</v>
      </c>
      <c r="D1802" s="94">
        <v>1811.0</v>
      </c>
    </row>
    <row r="1803">
      <c r="A1803" s="40">
        <f t="array" ref="A1803">IFNA(index(PlayerValues!A:A,match(IFNA(vlookup(B1803,'Special Names'!A:B,2,FALSE),B1803),PlayerValues!E:E,0)),"N/A")</f>
        <v>16604</v>
      </c>
      <c r="B1803" s="4" t="s">
        <v>476</v>
      </c>
      <c r="C1803" s="4" t="s">
        <v>278</v>
      </c>
      <c r="D1803" s="94">
        <v>1811.0</v>
      </c>
    </row>
    <row r="1804">
      <c r="A1804" s="40">
        <f t="array" ref="A1804">IFNA(index(PlayerValues!A:A,match(IFNA(vlookup(B1804,'Special Names'!A:B,2,FALSE),B1804),PlayerValues!E:E,0)),"N/A")</f>
        <v>16635</v>
      </c>
      <c r="B1804" s="4" t="s">
        <v>645</v>
      </c>
      <c r="C1804" s="4" t="s">
        <v>287</v>
      </c>
      <c r="D1804" s="94">
        <v>1799.0</v>
      </c>
    </row>
    <row r="1805">
      <c r="A1805" s="40">
        <f t="array" ref="A1805">IFNA(index(PlayerValues!A:A,match(IFNA(vlookup(B1805,'Special Names'!A:B,2,FALSE),B1805),PlayerValues!E:E,0)),"N/A")</f>
        <v>17035</v>
      </c>
      <c r="B1805" s="4" t="s">
        <v>650</v>
      </c>
      <c r="C1805" s="4" t="s">
        <v>283</v>
      </c>
      <c r="D1805" s="94">
        <v>1794.0</v>
      </c>
    </row>
    <row r="1806">
      <c r="A1806" s="40" t="str">
        <f t="array" ref="A1806">IFNA(index(PlayerValues!A:A,match(IFNA(vlookup(B1806,'Special Names'!A:B,2,FALSE),B1806),PlayerValues!E:E,0)),"N/A")</f>
        <v>N/A</v>
      </c>
      <c r="B1806" s="4" t="s">
        <v>102</v>
      </c>
      <c r="C1806" s="4" t="s">
        <v>325</v>
      </c>
      <c r="D1806" s="94">
        <v>1789.0</v>
      </c>
    </row>
    <row r="1807">
      <c r="A1807" s="40">
        <f t="array" ref="A1807">IFNA(index(PlayerValues!A:A,match(IFNA(vlookup(B1807,'Special Names'!A:B,2,FALSE),B1807),PlayerValues!E:E,0)),"N/A")</f>
        <v>15759</v>
      </c>
      <c r="B1807" s="4" t="s">
        <v>662</v>
      </c>
      <c r="C1807" s="4" t="s">
        <v>287</v>
      </c>
      <c r="D1807" s="94">
        <v>1780.0</v>
      </c>
    </row>
    <row r="1808">
      <c r="A1808" s="40">
        <f t="array" ref="A1808">IFNA(index(PlayerValues!A:A,match(IFNA(vlookup(B1808,'Special Names'!A:B,2,FALSE),B1808),PlayerValues!E:E,0)),"N/A")</f>
        <v>10700</v>
      </c>
      <c r="B1808" s="4" t="s">
        <v>596</v>
      </c>
      <c r="C1808" s="4" t="s">
        <v>283</v>
      </c>
      <c r="D1808" s="94">
        <v>1752.0</v>
      </c>
    </row>
    <row r="1809">
      <c r="A1809" s="40">
        <f t="array" ref="A1809">IFNA(index(PlayerValues!A:A,match(IFNA(vlookup(B1809,'Special Names'!A:B,2,FALSE),B1809),PlayerValues!E:E,0)),"N/A")</f>
        <v>11222</v>
      </c>
      <c r="B1809" s="4" t="s">
        <v>622</v>
      </c>
      <c r="C1809" s="4" t="s">
        <v>287</v>
      </c>
      <c r="D1809" s="94">
        <v>1749.0</v>
      </c>
    </row>
    <row r="1810">
      <c r="A1810" s="40">
        <f t="array" ref="A1810">IFNA(index(PlayerValues!A:A,match(IFNA(vlookup(B1810,'Special Names'!A:B,2,FALSE),B1810),PlayerValues!E:E,0)),"N/A")</f>
        <v>17517</v>
      </c>
      <c r="B1810" s="4" t="s">
        <v>454</v>
      </c>
      <c r="C1810" s="4" t="s">
        <v>287</v>
      </c>
      <c r="D1810" s="94">
        <v>1748.0</v>
      </c>
    </row>
    <row r="1811">
      <c r="A1811" s="40">
        <f t="array" ref="A1811">IFNA(index(PlayerValues!A:A,match(IFNA(vlookup(B1811,'Special Names'!A:B,2,FALSE),B1811),PlayerValues!E:E,0)),"N/A")</f>
        <v>14143</v>
      </c>
      <c r="B1811" s="4" t="s">
        <v>635</v>
      </c>
      <c r="C1811" s="4" t="s">
        <v>298</v>
      </c>
      <c r="D1811" s="94">
        <v>2125.0</v>
      </c>
    </row>
    <row r="1812">
      <c r="A1812" s="40">
        <f t="array" ref="A1812">IFNA(index(PlayerValues!A:A,match(IFNA(vlookup(B1812,'Special Names'!A:B,2,FALSE),B1812),PlayerValues!E:E,0)),"N/A")</f>
        <v>16788</v>
      </c>
      <c r="B1812" s="4" t="s">
        <v>621</v>
      </c>
      <c r="C1812" s="4" t="s">
        <v>287</v>
      </c>
      <c r="D1812" s="94">
        <v>1742.0</v>
      </c>
    </row>
    <row r="1813">
      <c r="A1813" s="40">
        <f t="array" ref="A1813">IFNA(index(PlayerValues!A:A,match(IFNA(vlookup(B1813,'Special Names'!A:B,2,FALSE),B1813),PlayerValues!E:E,0)),"N/A")</f>
        <v>16629</v>
      </c>
      <c r="B1813" s="4" t="s">
        <v>605</v>
      </c>
      <c r="C1813" s="4" t="s">
        <v>287</v>
      </c>
      <c r="D1813" s="94">
        <v>1735.0</v>
      </c>
    </row>
    <row r="1814">
      <c r="A1814" s="40">
        <f t="array" ref="A1814">IFNA(index(PlayerValues!A:A,match(IFNA(vlookup(B1814,'Special Names'!A:B,2,FALSE),B1814),PlayerValues!E:E,0)),"N/A")</f>
        <v>17058</v>
      </c>
      <c r="B1814" s="4" t="s">
        <v>641</v>
      </c>
      <c r="C1814" s="4" t="s">
        <v>278</v>
      </c>
      <c r="D1814" s="94">
        <v>1734.0</v>
      </c>
    </row>
    <row r="1815">
      <c r="A1815" s="40">
        <f t="array" ref="A1815">IFNA(index(PlayerValues!A:A,match(IFNA(vlookup(B1815,'Special Names'!A:B,2,FALSE),B1815),PlayerValues!E:E,0)),"N/A")</f>
        <v>16688</v>
      </c>
      <c r="B1815" s="4" t="s">
        <v>688</v>
      </c>
      <c r="C1815" s="4" t="s">
        <v>278</v>
      </c>
      <c r="D1815" s="94">
        <v>1731.0</v>
      </c>
    </row>
    <row r="1816">
      <c r="A1816" s="40">
        <f t="array" ref="A1816">IFNA(index(PlayerValues!A:A,match(IFNA(vlookup(B1816,'Special Names'!A:B,2,FALSE),B1816),PlayerValues!E:E,0)),"N/A")</f>
        <v>16207</v>
      </c>
      <c r="B1816" s="4" t="s">
        <v>636</v>
      </c>
      <c r="C1816" s="4" t="s">
        <v>287</v>
      </c>
      <c r="D1816" s="94">
        <v>1728.0</v>
      </c>
    </row>
    <row r="1817">
      <c r="A1817" s="40">
        <f t="array" ref="A1817">IFNA(index(PlayerValues!A:A,match(IFNA(vlookup(B1817,'Special Names'!A:B,2,FALSE),B1817),PlayerValues!E:E,0)),"N/A")</f>
        <v>17503</v>
      </c>
      <c r="B1817" s="4" t="s">
        <v>480</v>
      </c>
      <c r="C1817" s="4" t="s">
        <v>287</v>
      </c>
      <c r="D1817" s="94">
        <v>1727.0</v>
      </c>
    </row>
    <row r="1818">
      <c r="A1818" s="40">
        <f t="array" ref="A1818">IFNA(index(PlayerValues!A:A,match(IFNA(vlookup(B1818,'Special Names'!A:B,2,FALSE),B1818),PlayerValues!E:E,0)),"N/A")</f>
        <v>15337</v>
      </c>
      <c r="B1818" s="4" t="s">
        <v>655</v>
      </c>
      <c r="C1818" s="4" t="s">
        <v>298</v>
      </c>
      <c r="D1818" s="94">
        <v>2094.0</v>
      </c>
    </row>
    <row r="1819">
      <c r="A1819" s="40">
        <f t="array" ref="A1819">IFNA(index(PlayerValues!A:A,match(IFNA(vlookup(B1819,'Special Names'!A:B,2,FALSE),B1819),PlayerValues!E:E,0)),"N/A")</f>
        <v>17064</v>
      </c>
      <c r="B1819" s="4" t="s">
        <v>631</v>
      </c>
      <c r="C1819" s="4" t="s">
        <v>278</v>
      </c>
      <c r="D1819" s="94">
        <v>1706.0</v>
      </c>
    </row>
    <row r="1820">
      <c r="A1820" s="40">
        <f t="array" ref="A1820">IFNA(index(PlayerValues!A:A,match(IFNA(vlookup(B1820,'Special Names'!A:B,2,FALSE),B1820),PlayerValues!E:E,0)),"N/A")</f>
        <v>15777</v>
      </c>
      <c r="B1820" s="4" t="s">
        <v>694</v>
      </c>
      <c r="C1820" s="4" t="s">
        <v>287</v>
      </c>
      <c r="D1820" s="94">
        <v>1684.0</v>
      </c>
    </row>
    <row r="1821">
      <c r="A1821" s="40">
        <f t="array" ref="A1821">IFNA(index(PlayerValues!A:A,match(IFNA(vlookup(B1821,'Special Names'!A:B,2,FALSE),B1821),PlayerValues!E:E,0)),"N/A")</f>
        <v>16601</v>
      </c>
      <c r="B1821" s="4" t="s">
        <v>648</v>
      </c>
      <c r="C1821" s="4" t="s">
        <v>278</v>
      </c>
      <c r="D1821" s="94">
        <v>1667.0</v>
      </c>
    </row>
    <row r="1822">
      <c r="A1822" s="40">
        <f t="array" ref="A1822">IFNA(index(PlayerValues!A:A,match(IFNA(vlookup(B1822,'Special Names'!A:B,2,FALSE),B1822),PlayerValues!E:E,0)),"N/A")</f>
        <v>15788</v>
      </c>
      <c r="B1822" s="4" t="s">
        <v>627</v>
      </c>
      <c r="C1822" s="4" t="s">
        <v>287</v>
      </c>
      <c r="D1822" s="94">
        <v>1666.0</v>
      </c>
    </row>
    <row r="1823">
      <c r="A1823" s="40" t="str">
        <f t="array" ref="A1823">IFNA(index(PlayerValues!A:A,match(IFNA(vlookup(B1823,'Special Names'!A:B,2,FALSE),B1823),PlayerValues!E:E,0)),"N/A")</f>
        <v>N/A</v>
      </c>
      <c r="B1823" s="4" t="s">
        <v>103</v>
      </c>
      <c r="C1823" s="4" t="s">
        <v>325</v>
      </c>
      <c r="D1823" s="94">
        <v>1663.0</v>
      </c>
    </row>
    <row r="1824">
      <c r="A1824" s="40" t="str">
        <f t="array" ref="A1824">IFNA(index(PlayerValues!A:A,match(IFNA(vlookup(B1824,'Special Names'!A:B,2,FALSE),B1824),PlayerValues!E:E,0)),"N/A")</f>
        <v>N/A</v>
      </c>
      <c r="B1824" s="4" t="s">
        <v>90</v>
      </c>
      <c r="C1824" s="4" t="s">
        <v>325</v>
      </c>
      <c r="D1824" s="94">
        <v>1649.0</v>
      </c>
    </row>
    <row r="1825">
      <c r="A1825" s="40" t="str">
        <f t="array" ref="A1825">IFNA(index(PlayerValues!A:A,match(IFNA(vlookup(B1825,'Special Names'!A:B,2,FALSE),B1825),PlayerValues!E:E,0)),"N/A")</f>
        <v>N/A</v>
      </c>
      <c r="B1825" s="4" t="s">
        <v>115</v>
      </c>
      <c r="C1825" s="4" t="s">
        <v>325</v>
      </c>
      <c r="D1825" s="94">
        <v>1641.0</v>
      </c>
    </row>
    <row r="1826">
      <c r="A1826" s="40">
        <f t="array" ref="A1826">IFNA(index(PlayerValues!A:A,match(IFNA(vlookup(B1826,'Special Names'!A:B,2,FALSE),B1826),PlayerValues!E:E,0)),"N/A")</f>
        <v>17205</v>
      </c>
      <c r="B1826" s="4" t="s">
        <v>665</v>
      </c>
      <c r="C1826" s="4" t="s">
        <v>287</v>
      </c>
      <c r="D1826" s="94">
        <v>1640.0</v>
      </c>
    </row>
    <row r="1827">
      <c r="A1827" s="40">
        <f t="array" ref="A1827">IFNA(index(PlayerValues!A:A,match(IFNA(vlookup(B1827,'Special Names'!A:B,2,FALSE),B1827),PlayerValues!E:E,0)),"N/A")</f>
        <v>17234</v>
      </c>
      <c r="B1827" s="4" t="s">
        <v>653</v>
      </c>
      <c r="C1827" s="4" t="s">
        <v>287</v>
      </c>
      <c r="D1827" s="94">
        <v>1640.0</v>
      </c>
    </row>
    <row r="1828">
      <c r="A1828" s="40">
        <f t="array" ref="A1828">IFNA(index(PlayerValues!A:A,match(IFNA(vlookup(B1828,'Special Names'!A:B,2,FALSE),B1828),PlayerValues!E:E,0)),"N/A")</f>
        <v>16595</v>
      </c>
      <c r="B1828" s="4" t="s">
        <v>664</v>
      </c>
      <c r="C1828" s="4" t="s">
        <v>278</v>
      </c>
      <c r="D1828" s="94">
        <v>1625.0</v>
      </c>
    </row>
    <row r="1829">
      <c r="A1829" s="40">
        <f t="array" ref="A1829">IFNA(index(PlayerValues!A:A,match(IFNA(vlookup(B1829,'Special Names'!A:B,2,FALSE),B1829),PlayerValues!E:E,0)),"N/A")</f>
        <v>17037</v>
      </c>
      <c r="B1829" s="4" t="s">
        <v>727</v>
      </c>
      <c r="C1829" s="4" t="s">
        <v>283</v>
      </c>
      <c r="D1829" s="94">
        <v>1622.0</v>
      </c>
    </row>
    <row r="1830">
      <c r="A1830" s="40">
        <f t="array" ref="A1830">IFNA(index(PlayerValues!A:A,match(IFNA(vlookup(B1830,'Special Names'!A:B,2,FALSE),B1830),PlayerValues!E:E,0)),"N/A")</f>
        <v>17096</v>
      </c>
      <c r="B1830" s="4" t="s">
        <v>638</v>
      </c>
      <c r="C1830" s="4" t="s">
        <v>287</v>
      </c>
      <c r="D1830" s="94">
        <v>1617.0</v>
      </c>
    </row>
    <row r="1831">
      <c r="A1831" s="40">
        <f t="array" ref="A1831">IFNA(index(PlayerValues!A:A,match(IFNA(vlookup(B1831,'Special Names'!A:B,2,FALSE),B1831),PlayerValues!E:E,0)),"N/A")</f>
        <v>15713</v>
      </c>
      <c r="B1831" s="4" t="s">
        <v>732</v>
      </c>
      <c r="C1831" s="4" t="s">
        <v>278</v>
      </c>
      <c r="D1831" s="94">
        <v>1615.0</v>
      </c>
    </row>
    <row r="1832">
      <c r="A1832" s="40">
        <f t="array" ref="A1832">IFNA(index(PlayerValues!A:A,match(IFNA(vlookup(B1832,'Special Names'!A:B,2,FALSE),B1832),PlayerValues!E:E,0)),"N/A")</f>
        <v>15301</v>
      </c>
      <c r="B1832" s="4" t="s">
        <v>657</v>
      </c>
      <c r="C1832" s="4" t="s">
        <v>287</v>
      </c>
      <c r="D1832" s="94">
        <v>1612.0</v>
      </c>
    </row>
    <row r="1833">
      <c r="A1833" s="40">
        <f t="array" ref="A1833">IFNA(index(PlayerValues!A:A,match(IFNA(vlookup(B1833,'Special Names'!A:B,2,FALSE),B1833),PlayerValues!E:E,0)),"N/A")</f>
        <v>16633</v>
      </c>
      <c r="B1833" s="4" t="s">
        <v>656</v>
      </c>
      <c r="C1833" s="4" t="s">
        <v>287</v>
      </c>
      <c r="D1833" s="94">
        <v>1606.0</v>
      </c>
    </row>
    <row r="1834">
      <c r="A1834" s="40">
        <f t="array" ref="A1834">IFNA(index(PlayerValues!A:A,match(IFNA(vlookup(B1834,'Special Names'!A:B,2,FALSE),B1834),PlayerValues!E:E,0)),"N/A")</f>
        <v>16631</v>
      </c>
      <c r="B1834" s="4" t="s">
        <v>800</v>
      </c>
      <c r="C1834" s="4" t="s">
        <v>287</v>
      </c>
      <c r="D1834" s="94">
        <v>1603.0</v>
      </c>
    </row>
    <row r="1835">
      <c r="A1835" s="40">
        <f t="array" ref="A1835">IFNA(index(PlayerValues!A:A,match(IFNA(vlookup(B1835,'Special Names'!A:B,2,FALSE),B1835),PlayerValues!E:E,0)),"N/A")</f>
        <v>15252</v>
      </c>
      <c r="B1835" s="4" t="s">
        <v>715</v>
      </c>
      <c r="C1835" s="4" t="s">
        <v>283</v>
      </c>
      <c r="D1835" s="94">
        <v>1599.0</v>
      </c>
    </row>
    <row r="1836">
      <c r="A1836" s="40">
        <f t="array" ref="A1836">IFNA(index(PlayerValues!A:A,match(IFNA(vlookup(B1836,'Special Names'!A:B,2,FALSE),B1836),PlayerValues!E:E,0)),"N/A")</f>
        <v>14122</v>
      </c>
      <c r="B1836" s="4" t="s">
        <v>663</v>
      </c>
      <c r="C1836" s="4" t="s">
        <v>287</v>
      </c>
      <c r="D1836" s="94">
        <v>1590.0</v>
      </c>
    </row>
    <row r="1837">
      <c r="A1837" s="40">
        <f t="array" ref="A1837">IFNA(index(PlayerValues!A:A,match(IFNA(vlookup(B1837,'Special Names'!A:B,2,FALSE),B1837),PlayerValues!E:E,0)),"N/A")</f>
        <v>15319</v>
      </c>
      <c r="B1837" s="4" t="s">
        <v>644</v>
      </c>
      <c r="C1837" s="4" t="s">
        <v>287</v>
      </c>
      <c r="D1837" s="94">
        <v>1583.0</v>
      </c>
    </row>
    <row r="1838">
      <c r="A1838" s="40">
        <f t="array" ref="A1838">IFNA(index(PlayerValues!A:A,match(IFNA(vlookup(B1838,'Special Names'!A:B,2,FALSE),B1838),PlayerValues!E:E,0)),"N/A")</f>
        <v>15797</v>
      </c>
      <c r="B1838" s="4" t="s">
        <v>556</v>
      </c>
      <c r="C1838" s="4" t="s">
        <v>298</v>
      </c>
      <c r="D1838" s="94">
        <v>1957.0</v>
      </c>
    </row>
    <row r="1839">
      <c r="A1839" s="40">
        <f t="array" ref="A1839">IFNA(index(PlayerValues!A:A,match(IFNA(vlookup(B1839,'Special Names'!A:B,2,FALSE),B1839),PlayerValues!E:E,0)),"N/A")</f>
        <v>15873</v>
      </c>
      <c r="B1839" s="4" t="s">
        <v>681</v>
      </c>
      <c r="C1839" s="4" t="s">
        <v>298</v>
      </c>
      <c r="D1839" s="94">
        <v>1955.0</v>
      </c>
    </row>
    <row r="1840">
      <c r="A1840" s="40">
        <f t="array" ref="A1840">IFNA(index(PlayerValues!A:A,match(IFNA(vlookup(B1840,'Special Names'!A:B,2,FALSE),B1840),PlayerValues!E:E,0)),"N/A")</f>
        <v>15752</v>
      </c>
      <c r="B1840" s="4" t="s">
        <v>647</v>
      </c>
      <c r="C1840" s="4" t="s">
        <v>287</v>
      </c>
      <c r="D1840" s="94">
        <v>1572.0</v>
      </c>
    </row>
    <row r="1841">
      <c r="A1841" s="40">
        <f t="array" ref="A1841">IFNA(index(PlayerValues!A:A,match(IFNA(vlookup(B1841,'Special Names'!A:B,2,FALSE),B1841),PlayerValues!E:E,0)),"N/A")</f>
        <v>12140</v>
      </c>
      <c r="B1841" s="4" t="s">
        <v>702</v>
      </c>
      <c r="C1841" s="4" t="s">
        <v>283</v>
      </c>
      <c r="D1841" s="94">
        <v>1556.0</v>
      </c>
    </row>
    <row r="1842">
      <c r="A1842" s="40">
        <f t="array" ref="A1842">IFNA(index(PlayerValues!A:A,match(IFNA(vlookup(B1842,'Special Names'!A:B,2,FALSE),B1842),PlayerValues!E:E,0)),"N/A")</f>
        <v>13418</v>
      </c>
      <c r="B1842" s="4" t="s">
        <v>706</v>
      </c>
      <c r="C1842" s="4" t="s">
        <v>287</v>
      </c>
      <c r="D1842" s="94">
        <v>1540.0</v>
      </c>
    </row>
    <row r="1843">
      <c r="A1843" s="40">
        <f t="array" ref="A1843">IFNA(index(PlayerValues!A:A,match(IFNA(vlookup(B1843,'Special Names'!A:B,2,FALSE),B1843),PlayerValues!E:E,0)),"N/A")</f>
        <v>12141</v>
      </c>
      <c r="B1843" s="4" t="s">
        <v>744</v>
      </c>
      <c r="C1843" s="4" t="s">
        <v>283</v>
      </c>
      <c r="D1843" s="94">
        <v>1529.0</v>
      </c>
    </row>
    <row r="1844">
      <c r="A1844" s="40" t="str">
        <f t="array" ref="A1844">IFNA(index(PlayerValues!A:A,match(IFNA(vlookup(B1844,'Special Names'!A:B,2,FALSE),B1844),PlayerValues!E:E,0)),"N/A")</f>
        <v>N/A</v>
      </c>
      <c r="B1844" s="4" t="s">
        <v>91</v>
      </c>
      <c r="C1844" s="4" t="s">
        <v>325</v>
      </c>
      <c r="D1844" s="94">
        <v>1527.0</v>
      </c>
    </row>
    <row r="1845">
      <c r="A1845" s="40" t="str">
        <f t="array" ref="A1845">IFNA(index(PlayerValues!A:A,match(IFNA(vlookup(B1845,'Special Names'!A:B,2,FALSE),B1845),PlayerValues!E:E,0)),"N/A")</f>
        <v>N/A</v>
      </c>
      <c r="B1845" s="4" t="s">
        <v>116</v>
      </c>
      <c r="C1845" s="4" t="s">
        <v>325</v>
      </c>
      <c r="D1845" s="94">
        <v>1527.0</v>
      </c>
    </row>
    <row r="1846">
      <c r="A1846" s="40">
        <f t="array" ref="A1846">IFNA(index(PlayerValues!A:A,match(IFNA(vlookup(B1846,'Special Names'!A:B,2,FALSE),B1846),PlayerValues!E:E,0)),"N/A")</f>
        <v>16384</v>
      </c>
      <c r="B1846" s="4" t="s">
        <v>696</v>
      </c>
      <c r="C1846" s="4" t="s">
        <v>283</v>
      </c>
      <c r="D1846" s="94">
        <v>1524.0</v>
      </c>
    </row>
    <row r="1847">
      <c r="A1847" s="40">
        <f t="array" ref="A1847">IFNA(index(PlayerValues!A:A,match(IFNA(vlookup(B1847,'Special Names'!A:B,2,FALSE),B1847),PlayerValues!E:E,0)),"N/A")</f>
        <v>14137</v>
      </c>
      <c r="B1847" s="4" t="s">
        <v>676</v>
      </c>
      <c r="C1847" s="4" t="s">
        <v>298</v>
      </c>
      <c r="D1847" s="94">
        <v>1887.0</v>
      </c>
    </row>
    <row r="1848">
      <c r="A1848" s="40">
        <f t="array" ref="A1848">IFNA(index(PlayerValues!A:A,match(IFNA(vlookup(B1848,'Special Names'!A:B,2,FALSE),B1848),PlayerValues!E:E,0)),"N/A")</f>
        <v>17077</v>
      </c>
      <c r="B1848" s="4" t="s">
        <v>714</v>
      </c>
      <c r="C1848" s="4" t="s">
        <v>287</v>
      </c>
      <c r="D1848" s="94">
        <v>1510.0</v>
      </c>
    </row>
    <row r="1849">
      <c r="A1849" s="40">
        <f t="array" ref="A1849">IFNA(index(PlayerValues!A:A,match(IFNA(vlookup(B1849,'Special Names'!A:B,2,FALSE),B1849),PlayerValues!E:E,0)),"N/A")</f>
        <v>17254</v>
      </c>
      <c r="B1849" s="4" t="s">
        <v>679</v>
      </c>
      <c r="C1849" s="4" t="s">
        <v>287</v>
      </c>
      <c r="D1849" s="94">
        <v>1506.0</v>
      </c>
    </row>
    <row r="1850">
      <c r="A1850" s="40">
        <f t="array" ref="A1850">IFNA(index(PlayerValues!A:A,match(IFNA(vlookup(B1850,'Special Names'!A:B,2,FALSE),B1850),PlayerValues!E:E,0)),"N/A")</f>
        <v>16390</v>
      </c>
      <c r="B1850" s="4" t="s">
        <v>689</v>
      </c>
      <c r="C1850" s="4" t="s">
        <v>278</v>
      </c>
      <c r="D1850" s="94">
        <v>1497.0</v>
      </c>
    </row>
    <row r="1851">
      <c r="A1851" s="40">
        <f t="array" ref="A1851">IFNA(index(PlayerValues!A:A,match(IFNA(vlookup(B1851,'Special Names'!A:B,2,FALSE),B1851),PlayerValues!E:E,0)),"N/A")</f>
        <v>17269</v>
      </c>
      <c r="B1851" s="4" t="s">
        <v>718</v>
      </c>
      <c r="C1851" s="4" t="s">
        <v>287</v>
      </c>
      <c r="D1851" s="94">
        <v>1497.0</v>
      </c>
    </row>
    <row r="1852">
      <c r="A1852" s="40">
        <f t="array" ref="A1852">IFNA(index(PlayerValues!A:A,match(IFNA(vlookup(B1852,'Special Names'!A:B,2,FALSE),B1852),PlayerValues!E:E,0)),"N/A")</f>
        <v>16175</v>
      </c>
      <c r="B1852" s="4" t="s">
        <v>654</v>
      </c>
      <c r="C1852" s="4" t="s">
        <v>278</v>
      </c>
      <c r="D1852" s="94">
        <v>1489.0</v>
      </c>
    </row>
    <row r="1853">
      <c r="A1853" s="40">
        <f t="array" ref="A1853">IFNA(index(PlayerValues!A:A,match(IFNA(vlookup(B1853,'Special Names'!A:B,2,FALSE),B1853),PlayerValues!E:E,0)),"N/A")</f>
        <v>15332</v>
      </c>
      <c r="B1853" s="4" t="s">
        <v>698</v>
      </c>
      <c r="C1853" s="4" t="s">
        <v>298</v>
      </c>
      <c r="D1853" s="94">
        <v>1863.0</v>
      </c>
    </row>
    <row r="1854">
      <c r="A1854" s="40">
        <f t="array" ref="A1854">IFNA(index(PlayerValues!A:A,match(IFNA(vlookup(B1854,'Special Names'!A:B,2,FALSE),B1854),PlayerValues!E:E,0)),"N/A")</f>
        <v>16642</v>
      </c>
      <c r="B1854" s="4" t="s">
        <v>691</v>
      </c>
      <c r="C1854" s="4" t="s">
        <v>298</v>
      </c>
      <c r="D1854" s="94">
        <v>1850.0</v>
      </c>
    </row>
    <row r="1855">
      <c r="A1855" s="40">
        <f t="array" ref="A1855">IFNA(index(PlayerValues!A:A,match(IFNA(vlookup(B1855,'Special Names'!A:B,2,FALSE),B1855),PlayerValues!E:E,0)),"N/A")</f>
        <v>14080</v>
      </c>
      <c r="B1855" s="4" t="s">
        <v>716</v>
      </c>
      <c r="C1855" s="4" t="s">
        <v>278</v>
      </c>
      <c r="D1855" s="94">
        <v>1460.0</v>
      </c>
    </row>
    <row r="1856">
      <c r="A1856" s="40">
        <f t="array" ref="A1856">IFNA(index(PlayerValues!A:A,match(IFNA(vlookup(B1856,'Special Names'!A:B,2,FALSE),B1856),PlayerValues!E:E,0)),"N/A")</f>
        <v>16621</v>
      </c>
      <c r="B1856" s="4" t="s">
        <v>672</v>
      </c>
      <c r="C1856" s="4" t="s">
        <v>287</v>
      </c>
      <c r="D1856" s="94">
        <v>1450.0</v>
      </c>
    </row>
    <row r="1857">
      <c r="A1857" s="40">
        <f t="array" ref="A1857">IFNA(index(PlayerValues!A:A,match(IFNA(vlookup(B1857,'Special Names'!A:B,2,FALSE),B1857),PlayerValues!E:E,0)),"N/A")</f>
        <v>16149</v>
      </c>
      <c r="B1857" s="4" t="s">
        <v>740</v>
      </c>
      <c r="C1857" s="4" t="s">
        <v>283</v>
      </c>
      <c r="D1857" s="94">
        <v>1446.0</v>
      </c>
    </row>
    <row r="1858">
      <c r="A1858" s="40">
        <f t="array" ref="A1858">IFNA(index(PlayerValues!A:A,match(IFNA(vlookup(B1858,'Special Names'!A:B,2,FALSE),B1858),PlayerValues!E:E,0)),"N/A")</f>
        <v>17062</v>
      </c>
      <c r="B1858" s="4" t="s">
        <v>701</v>
      </c>
      <c r="C1858" s="4" t="s">
        <v>278</v>
      </c>
      <c r="D1858" s="94">
        <v>1446.0</v>
      </c>
    </row>
    <row r="1859">
      <c r="A1859" s="40">
        <f t="array" ref="A1859">IFNA(index(PlayerValues!A:A,match(IFNA(vlookup(B1859,'Special Names'!A:B,2,FALSE),B1859),PlayerValues!E:E,0)),"N/A")</f>
        <v>15727</v>
      </c>
      <c r="B1859" s="4" t="s">
        <v>730</v>
      </c>
      <c r="C1859" s="4" t="s">
        <v>278</v>
      </c>
      <c r="D1859" s="94">
        <v>1445.0</v>
      </c>
    </row>
    <row r="1860">
      <c r="A1860" s="40">
        <f t="array" ref="A1860">IFNA(index(PlayerValues!A:A,match(IFNA(vlookup(B1860,'Special Names'!A:B,2,FALSE),B1860),PlayerValues!E:E,0)),"N/A")</f>
        <v>15292</v>
      </c>
      <c r="B1860" s="4" t="s">
        <v>682</v>
      </c>
      <c r="C1860" s="4" t="s">
        <v>287</v>
      </c>
      <c r="D1860" s="94">
        <v>1439.0</v>
      </c>
    </row>
    <row r="1861">
      <c r="A1861" s="40">
        <f t="array" ref="A1861">IFNA(index(PlayerValues!A:A,match(IFNA(vlookup(B1861,'Special Names'!A:B,2,FALSE),B1861),PlayerValues!E:E,0)),"N/A")</f>
        <v>15738</v>
      </c>
      <c r="B1861" s="4" t="s">
        <v>634</v>
      </c>
      <c r="C1861" s="4" t="s">
        <v>278</v>
      </c>
      <c r="D1861" s="94">
        <v>1424.0</v>
      </c>
    </row>
    <row r="1862">
      <c r="A1862" s="40">
        <f t="array" ref="A1862">IFNA(index(PlayerValues!A:A,match(IFNA(vlookup(B1862,'Special Names'!A:B,2,FALSE),B1862),PlayerValues!E:E,0)),"N/A")</f>
        <v>13193</v>
      </c>
      <c r="B1862" s="4" t="s">
        <v>773</v>
      </c>
      <c r="C1862" s="4" t="s">
        <v>298</v>
      </c>
      <c r="D1862" s="94">
        <v>1796.0</v>
      </c>
    </row>
    <row r="1863">
      <c r="A1863" s="40">
        <f t="array" ref="A1863">IFNA(index(PlayerValues!A:A,match(IFNA(vlookup(B1863,'Special Names'!A:B,2,FALSE),B1863),PlayerValues!E:E,0)),"N/A")</f>
        <v>14592</v>
      </c>
      <c r="B1863" s="4" t="s">
        <v>705</v>
      </c>
      <c r="C1863" s="4" t="s">
        <v>287</v>
      </c>
      <c r="D1863" s="94">
        <v>1422.0</v>
      </c>
    </row>
    <row r="1864">
      <c r="A1864" s="40">
        <f t="array" ref="A1864">IFNA(index(PlayerValues!A:A,match(IFNA(vlookup(B1864,'Special Names'!A:B,2,FALSE),B1864),PlayerValues!E:E,0)),"N/A")</f>
        <v>17508</v>
      </c>
      <c r="B1864" s="4" t="s">
        <v>534</v>
      </c>
      <c r="C1864" s="4" t="s">
        <v>287</v>
      </c>
      <c r="D1864" s="94">
        <v>1416.0</v>
      </c>
    </row>
    <row r="1865">
      <c r="A1865" s="40">
        <f t="array" ref="A1865">IFNA(index(PlayerValues!A:A,match(IFNA(vlookup(B1865,'Special Names'!A:B,2,FALSE),B1865),PlayerValues!E:E,0)),"N/A")</f>
        <v>15258</v>
      </c>
      <c r="B1865" s="4" t="s">
        <v>757</v>
      </c>
      <c r="C1865" s="4" t="s">
        <v>278</v>
      </c>
      <c r="D1865" s="94">
        <v>1409.0</v>
      </c>
    </row>
    <row r="1866">
      <c r="A1866" s="40">
        <f t="array" ref="A1866">IFNA(index(PlayerValues!A:A,match(IFNA(vlookup(B1866,'Special Names'!A:B,2,FALSE),B1866),PlayerValues!E:E,0)),"N/A")</f>
        <v>13672</v>
      </c>
      <c r="B1866" s="4" t="s">
        <v>667</v>
      </c>
      <c r="C1866" s="4" t="s">
        <v>298</v>
      </c>
      <c r="D1866" s="94">
        <v>1777.0</v>
      </c>
    </row>
    <row r="1867">
      <c r="A1867" s="40">
        <f t="array" ref="A1867">IFNA(index(PlayerValues!A:A,match(IFNA(vlookup(B1867,'Special Names'!A:B,2,FALSE),B1867),PlayerValues!E:E,0)),"N/A")</f>
        <v>17547</v>
      </c>
      <c r="B1867" s="4" t="s">
        <v>552</v>
      </c>
      <c r="C1867" s="4" t="s">
        <v>298</v>
      </c>
      <c r="D1867" s="94">
        <v>1762.0</v>
      </c>
    </row>
    <row r="1868">
      <c r="A1868" s="40">
        <f t="array" ref="A1868">IFNA(index(PlayerValues!A:A,match(IFNA(vlookup(B1868,'Special Names'!A:B,2,FALSE),B1868),PlayerValues!E:E,0)),"N/A")</f>
        <v>12678</v>
      </c>
      <c r="B1868" s="4" t="s">
        <v>703</v>
      </c>
      <c r="C1868" s="4" t="s">
        <v>298</v>
      </c>
      <c r="D1868" s="94">
        <v>1722.0</v>
      </c>
    </row>
    <row r="1869">
      <c r="A1869" s="40">
        <f t="array" ref="A1869">IFNA(index(PlayerValues!A:A,match(IFNA(vlookup(B1869,'Special Names'!A:B,2,FALSE),B1869),PlayerValues!E:E,0)),"N/A")</f>
        <v>16792</v>
      </c>
      <c r="B1869" s="4" t="s">
        <v>704</v>
      </c>
      <c r="C1869" s="4" t="s">
        <v>287</v>
      </c>
      <c r="D1869" s="94">
        <v>1341.0</v>
      </c>
    </row>
    <row r="1870">
      <c r="A1870" s="40" t="str">
        <f t="array" ref="A1870">IFNA(index(PlayerValues!A:A,match(IFNA(vlookup(B1870,'Special Names'!A:B,2,FALSE),B1870),PlayerValues!E:E,0)),"N/A")</f>
        <v>N/A</v>
      </c>
      <c r="B1870" s="4" t="s">
        <v>117</v>
      </c>
      <c r="C1870" s="4" t="s">
        <v>325</v>
      </c>
      <c r="D1870" s="94">
        <v>1338.0</v>
      </c>
    </row>
    <row r="1871">
      <c r="A1871" s="40">
        <f t="array" ref="A1871">IFNA(index(PlayerValues!A:A,match(IFNA(vlookup(B1871,'Special Names'!A:B,2,FALSE),B1871),PlayerValues!E:E,0)),"N/A")</f>
        <v>17097</v>
      </c>
      <c r="B1871" s="4" t="s">
        <v>659</v>
      </c>
      <c r="C1871" s="4" t="s">
        <v>287</v>
      </c>
      <c r="D1871" s="94">
        <v>1334.0</v>
      </c>
    </row>
    <row r="1872">
      <c r="A1872" s="40">
        <f t="array" ref="A1872">IFNA(index(PlayerValues!A:A,match(IFNA(vlookup(B1872,'Special Names'!A:B,2,FALSE),B1872),PlayerValues!E:E,0)),"N/A")</f>
        <v>15702</v>
      </c>
      <c r="B1872" s="4" t="s">
        <v>723</v>
      </c>
      <c r="C1872" s="4" t="s">
        <v>283</v>
      </c>
      <c r="D1872" s="94">
        <v>1326.0</v>
      </c>
    </row>
    <row r="1873">
      <c r="A1873" s="40">
        <f t="array" ref="A1873">IFNA(index(PlayerValues!A:A,match(IFNA(vlookup(B1873,'Special Names'!A:B,2,FALSE),B1873),PlayerValues!E:E,0)),"N/A")</f>
        <v>14086</v>
      </c>
      <c r="B1873" s="4" t="s">
        <v>639</v>
      </c>
      <c r="C1873" s="4" t="s">
        <v>278</v>
      </c>
      <c r="D1873" s="94">
        <v>1321.0</v>
      </c>
    </row>
    <row r="1874">
      <c r="A1874" s="40">
        <f t="array" ref="A1874">IFNA(index(PlayerValues!A:A,match(IFNA(vlookup(B1874,'Special Names'!A:B,2,FALSE),B1874),PlayerValues!E:E,0)),"N/A")</f>
        <v>13131</v>
      </c>
      <c r="B1874" s="4" t="s">
        <v>815</v>
      </c>
      <c r="C1874" s="4" t="s">
        <v>278</v>
      </c>
      <c r="D1874" s="94">
        <v>1320.0</v>
      </c>
    </row>
    <row r="1875">
      <c r="A1875" s="40">
        <f t="array" ref="A1875">IFNA(index(PlayerValues!A:A,match(IFNA(vlookup(B1875,'Special Names'!A:B,2,FALSE),B1875),PlayerValues!E:E,0)),"N/A")</f>
        <v>17512</v>
      </c>
      <c r="B1875" s="4" t="s">
        <v>483</v>
      </c>
      <c r="C1875" s="4" t="s">
        <v>287</v>
      </c>
      <c r="D1875" s="94">
        <v>1319.0</v>
      </c>
    </row>
    <row r="1876">
      <c r="A1876" s="40">
        <f t="array" ref="A1876">IFNA(index(PlayerValues!A:A,match(IFNA(vlookup(B1876,'Special Names'!A:B,2,FALSE),B1876),PlayerValues!E:E,0)),"N/A")</f>
        <v>16183</v>
      </c>
      <c r="B1876" s="4" t="s">
        <v>678</v>
      </c>
      <c r="C1876" s="4" t="s">
        <v>287</v>
      </c>
      <c r="D1876" s="94">
        <v>1315.0</v>
      </c>
    </row>
    <row r="1877">
      <c r="A1877" s="40">
        <f t="array" ref="A1877">IFNA(index(PlayerValues!A:A,match(IFNA(vlookup(B1877,'Special Names'!A:B,2,FALSE),B1877),PlayerValues!E:E,0)),"N/A")</f>
        <v>16608</v>
      </c>
      <c r="B1877" s="4" t="s">
        <v>629</v>
      </c>
      <c r="C1877" s="4" t="s">
        <v>278</v>
      </c>
      <c r="D1877" s="94">
        <v>1311.0</v>
      </c>
    </row>
    <row r="1878">
      <c r="A1878" s="40">
        <f t="array" ref="A1878">IFNA(index(PlayerValues!A:A,match(IFNA(vlookup(B1878,'Special Names'!A:B,2,FALSE),B1878),PlayerValues!E:E,0)),"N/A")</f>
        <v>15240</v>
      </c>
      <c r="B1878" s="4" t="s">
        <v>751</v>
      </c>
      <c r="C1878" s="4" t="s">
        <v>283</v>
      </c>
      <c r="D1878" s="94">
        <v>1293.0</v>
      </c>
    </row>
    <row r="1879">
      <c r="A1879" s="40">
        <f t="array" ref="A1879">IFNA(index(PlayerValues!A:A,match(IFNA(vlookup(B1879,'Special Names'!A:B,2,FALSE),B1879),PlayerValues!E:E,0)),"N/A")</f>
        <v>17063</v>
      </c>
      <c r="B1879" s="4" t="s">
        <v>686</v>
      </c>
      <c r="C1879" s="4" t="s">
        <v>278</v>
      </c>
      <c r="D1879" s="94">
        <v>1289.0</v>
      </c>
    </row>
    <row r="1880">
      <c r="A1880" s="40">
        <f t="array" ref="A1880">IFNA(index(PlayerValues!A:A,match(IFNA(vlookup(B1880,'Special Names'!A:B,2,FALSE),B1880),PlayerValues!E:E,0)),"N/A")</f>
        <v>14067</v>
      </c>
      <c r="B1880" s="4" t="s">
        <v>735</v>
      </c>
      <c r="C1880" s="4" t="s">
        <v>283</v>
      </c>
      <c r="D1880" s="94">
        <v>1271.0</v>
      </c>
    </row>
    <row r="1881">
      <c r="A1881" s="40">
        <f t="array" ref="A1881">IFNA(index(PlayerValues!A:A,match(IFNA(vlookup(B1881,'Special Names'!A:B,2,FALSE),B1881),PlayerValues!E:E,0)),"N/A")</f>
        <v>14789</v>
      </c>
      <c r="B1881" s="4" t="s">
        <v>721</v>
      </c>
      <c r="C1881" s="4" t="s">
        <v>283</v>
      </c>
      <c r="D1881" s="94">
        <v>1266.0</v>
      </c>
    </row>
    <row r="1882">
      <c r="A1882" s="40">
        <f t="array" ref="A1882">IFNA(index(PlayerValues!A:A,match(IFNA(vlookup(B1882,'Special Names'!A:B,2,FALSE),B1882),PlayerValues!E:E,0)),"N/A")</f>
        <v>14095</v>
      </c>
      <c r="B1882" s="4" t="s">
        <v>680</v>
      </c>
      <c r="C1882" s="4" t="s">
        <v>278</v>
      </c>
      <c r="D1882" s="94">
        <v>1258.0</v>
      </c>
    </row>
    <row r="1883">
      <c r="A1883" s="40">
        <f t="array" ref="A1883">IFNA(index(PlayerValues!A:A,match(IFNA(vlookup(B1883,'Special Names'!A:B,2,FALSE),B1883),PlayerValues!E:E,0)),"N/A")</f>
        <v>16221</v>
      </c>
      <c r="B1883" s="4" t="s">
        <v>725</v>
      </c>
      <c r="C1883" s="4" t="s">
        <v>298</v>
      </c>
      <c r="D1883" s="94">
        <v>1623.0</v>
      </c>
    </row>
    <row r="1884">
      <c r="A1884" s="40">
        <f t="array" ref="A1884">IFNA(index(PlayerValues!A:A,match(IFNA(vlookup(B1884,'Special Names'!A:B,2,FALSE),B1884),PlayerValues!E:E,0)),"N/A")</f>
        <v>16746</v>
      </c>
      <c r="B1884" s="4" t="s">
        <v>709</v>
      </c>
      <c r="C1884" s="4" t="s">
        <v>278</v>
      </c>
      <c r="D1884" s="94">
        <v>1253.0</v>
      </c>
    </row>
    <row r="1885">
      <c r="A1885" s="40">
        <f t="array" ref="A1885">IFNA(index(PlayerValues!A:A,match(IFNA(vlookup(B1885,'Special Names'!A:B,2,FALSE),B1885),PlayerValues!E:E,0)),"N/A")</f>
        <v>17528</v>
      </c>
      <c r="B1885" s="4" t="s">
        <v>579</v>
      </c>
      <c r="C1885" s="4" t="s">
        <v>287</v>
      </c>
      <c r="D1885" s="94">
        <v>1249.0</v>
      </c>
    </row>
    <row r="1886">
      <c r="A1886" s="40">
        <f t="array" ref="A1886">IFNA(index(PlayerValues!A:A,match(IFNA(vlookup(B1886,'Special Names'!A:B,2,FALSE),B1886),PlayerValues!E:E,0)),"N/A")</f>
        <v>15981</v>
      </c>
      <c r="B1886" s="4" t="s">
        <v>729</v>
      </c>
      <c r="C1886" s="4" t="s">
        <v>287</v>
      </c>
      <c r="D1886" s="94">
        <v>1247.0</v>
      </c>
    </row>
    <row r="1887">
      <c r="A1887" s="40">
        <f t="array" ref="A1887">IFNA(index(PlayerValues!A:A,match(IFNA(vlookup(B1887,'Special Names'!A:B,2,FALSE),B1887),PlayerValues!E:E,0)),"N/A")</f>
        <v>16636</v>
      </c>
      <c r="B1887" s="4" t="s">
        <v>699</v>
      </c>
      <c r="C1887" s="4" t="s">
        <v>287</v>
      </c>
      <c r="D1887" s="94">
        <v>1244.0</v>
      </c>
    </row>
    <row r="1888">
      <c r="A1888" s="40">
        <f t="array" ref="A1888">IFNA(index(PlayerValues!A:A,match(IFNA(vlookup(B1888,'Special Names'!A:B,2,FALSE),B1888),PlayerValues!E:E,0)),"N/A")</f>
        <v>17546</v>
      </c>
      <c r="B1888" s="4" t="s">
        <v>671</v>
      </c>
      <c r="C1888" s="4" t="s">
        <v>298</v>
      </c>
      <c r="D1888" s="94">
        <v>1610.0</v>
      </c>
    </row>
    <row r="1889">
      <c r="A1889" s="40">
        <f t="array" ref="A1889">IFNA(index(PlayerValues!A:A,match(IFNA(vlookup(B1889,'Special Names'!A:B,2,FALSE),B1889),PlayerValues!E:E,0)),"N/A")</f>
        <v>16199</v>
      </c>
      <c r="B1889" s="4" t="s">
        <v>687</v>
      </c>
      <c r="C1889" s="4" t="s">
        <v>287</v>
      </c>
      <c r="D1889" s="94">
        <v>1234.0</v>
      </c>
    </row>
    <row r="1890">
      <c r="A1890" s="40">
        <f t="array" ref="A1890">IFNA(index(PlayerValues!A:A,match(IFNA(vlookup(B1890,'Special Names'!A:B,2,FALSE),B1890),PlayerValues!E:E,0)),"N/A")</f>
        <v>16385</v>
      </c>
      <c r="B1890" s="4" t="s">
        <v>690</v>
      </c>
      <c r="C1890" s="4" t="s">
        <v>278</v>
      </c>
      <c r="D1890" s="94">
        <v>1231.0</v>
      </c>
    </row>
    <row r="1891">
      <c r="A1891" s="40">
        <f t="array" ref="A1891">IFNA(index(PlayerValues!A:A,match(IFNA(vlookup(B1891,'Special Names'!A:B,2,FALSE),B1891),PlayerValues!E:E,0)),"N/A")</f>
        <v>13289</v>
      </c>
      <c r="B1891" s="4" t="s">
        <v>746</v>
      </c>
      <c r="C1891" s="4" t="s">
        <v>287</v>
      </c>
      <c r="D1891" s="94">
        <v>1223.0</v>
      </c>
    </row>
    <row r="1892">
      <c r="A1892" s="40">
        <f t="array" ref="A1892">IFNA(index(PlayerValues!A:A,match(IFNA(vlookup(B1892,'Special Names'!A:B,2,FALSE),B1892),PlayerValues!E:E,0)),"N/A")</f>
        <v>15288</v>
      </c>
      <c r="B1892" s="4" t="s">
        <v>700</v>
      </c>
      <c r="C1892" s="4" t="s">
        <v>287</v>
      </c>
      <c r="D1892" s="94">
        <v>1223.0</v>
      </c>
    </row>
    <row r="1893">
      <c r="A1893" s="40">
        <f t="array" ref="A1893">IFNA(index(PlayerValues!A:A,match(IFNA(vlookup(B1893,'Special Names'!A:B,2,FALSE),B1893),PlayerValues!E:E,0)),"N/A")</f>
        <v>14108</v>
      </c>
      <c r="B1893" s="4" t="s">
        <v>673</v>
      </c>
      <c r="C1893" s="4" t="s">
        <v>287</v>
      </c>
      <c r="D1893" s="94">
        <v>1221.0</v>
      </c>
    </row>
    <row r="1894">
      <c r="A1894" s="40">
        <f t="array" ref="A1894">IFNA(index(PlayerValues!A:A,match(IFNA(vlookup(B1894,'Special Names'!A:B,2,FALSE),B1894),PlayerValues!E:E,0)),"N/A")</f>
        <v>17054</v>
      </c>
      <c r="B1894" s="4" t="s">
        <v>670</v>
      </c>
      <c r="C1894" s="4" t="s">
        <v>278</v>
      </c>
      <c r="D1894" s="94">
        <v>1200.0</v>
      </c>
    </row>
    <row r="1895">
      <c r="A1895" s="40">
        <f t="array" ref="A1895">IFNA(index(PlayerValues!A:A,match(IFNA(vlookup(B1895,'Special Names'!A:B,2,FALSE),B1895),PlayerValues!E:E,0)),"N/A")</f>
        <v>16645</v>
      </c>
      <c r="B1895" s="4" t="s">
        <v>651</v>
      </c>
      <c r="C1895" s="4" t="s">
        <v>298</v>
      </c>
      <c r="D1895" s="94">
        <v>1565.0</v>
      </c>
    </row>
    <row r="1896">
      <c r="A1896" s="40">
        <f t="array" ref="A1896">IFNA(index(PlayerValues!A:A,match(IFNA(vlookup(B1896,'Special Names'!A:B,2,FALSE),B1896),PlayerValues!E:E,0)),"N/A")</f>
        <v>15692</v>
      </c>
      <c r="B1896" s="4" t="s">
        <v>750</v>
      </c>
      <c r="C1896" s="4" t="s">
        <v>283</v>
      </c>
      <c r="D1896" s="94">
        <v>1196.0</v>
      </c>
    </row>
    <row r="1897">
      <c r="A1897" s="40">
        <f t="array" ref="A1897">IFNA(index(PlayerValues!A:A,match(IFNA(vlookup(B1897,'Special Names'!A:B,2,FALSE),B1897),PlayerValues!E:E,0)),"N/A")</f>
        <v>16333</v>
      </c>
      <c r="B1897" s="4" t="s">
        <v>711</v>
      </c>
      <c r="C1897" s="4" t="s">
        <v>298</v>
      </c>
      <c r="D1897" s="94">
        <v>1554.0</v>
      </c>
    </row>
    <row r="1898">
      <c r="A1898" s="40">
        <f t="array" ref="A1898">IFNA(index(PlayerValues!A:A,match(IFNA(vlookup(B1898,'Special Names'!A:B,2,FALSE),B1898),PlayerValues!E:E,0)),"N/A")</f>
        <v>14845</v>
      </c>
      <c r="B1898" s="4" t="s">
        <v>717</v>
      </c>
      <c r="C1898" s="4" t="s">
        <v>287</v>
      </c>
      <c r="D1898" s="94">
        <v>1182.0</v>
      </c>
    </row>
    <row r="1899">
      <c r="A1899" s="40">
        <f t="array" ref="A1899">IFNA(index(PlayerValues!A:A,match(IFNA(vlookup(B1899,'Special Names'!A:B,2,FALSE),B1899),PlayerValues!E:E,0)),"N/A")</f>
        <v>16393</v>
      </c>
      <c r="B1899" s="4" t="s">
        <v>768</v>
      </c>
      <c r="C1899" s="4" t="s">
        <v>287</v>
      </c>
      <c r="D1899" s="94">
        <v>1179.0</v>
      </c>
    </row>
    <row r="1900">
      <c r="A1900" s="40">
        <f t="array" ref="A1900">IFNA(index(PlayerValues!A:A,match(IFNA(vlookup(B1900,'Special Names'!A:B,2,FALSE),B1900),PlayerValues!E:E,0)),"N/A")</f>
        <v>12263</v>
      </c>
      <c r="B1900" s="4" t="s">
        <v>697</v>
      </c>
      <c r="C1900" s="4" t="s">
        <v>298</v>
      </c>
      <c r="D1900" s="94">
        <v>1545.0</v>
      </c>
    </row>
    <row r="1901">
      <c r="A1901" s="40">
        <f t="array" ref="A1901">IFNA(index(PlayerValues!A:A,match(IFNA(vlookup(B1901,'Special Names'!A:B,2,FALSE),B1901),PlayerValues!E:E,0)),"N/A")</f>
        <v>17050</v>
      </c>
      <c r="B1901" s="4" t="s">
        <v>713</v>
      </c>
      <c r="C1901" s="4" t="s">
        <v>278</v>
      </c>
      <c r="D1901" s="94">
        <v>1174.0</v>
      </c>
    </row>
    <row r="1902">
      <c r="A1902" s="40">
        <f t="array" ref="A1902">IFNA(index(PlayerValues!A:A,match(IFNA(vlookup(B1902,'Special Names'!A:B,2,FALSE),B1902),PlayerValues!E:E,0)),"N/A")</f>
        <v>15239</v>
      </c>
      <c r="B1902" s="4" t="s">
        <v>802</v>
      </c>
      <c r="C1902" s="4" t="s">
        <v>283</v>
      </c>
      <c r="D1902" s="94">
        <v>1172.0</v>
      </c>
    </row>
    <row r="1903">
      <c r="A1903" s="40">
        <f t="array" ref="A1903">IFNA(index(PlayerValues!A:A,match(IFNA(vlookup(B1903,'Special Names'!A:B,2,FALSE),B1903),PlayerValues!E:E,0)),"N/A")</f>
        <v>16883</v>
      </c>
      <c r="B1903" s="4" t="s">
        <v>683</v>
      </c>
      <c r="C1903" s="4" t="s">
        <v>287</v>
      </c>
      <c r="D1903" s="94">
        <v>1165.0</v>
      </c>
    </row>
    <row r="1904">
      <c r="A1904" s="40">
        <f t="array" ref="A1904">IFNA(index(PlayerValues!A:A,match(IFNA(vlookup(B1904,'Special Names'!A:B,2,FALSE),B1904),PlayerValues!E:E,0)),"N/A")</f>
        <v>17481</v>
      </c>
      <c r="B1904" s="4" t="s">
        <v>540</v>
      </c>
      <c r="C1904" s="4" t="s">
        <v>278</v>
      </c>
      <c r="D1904" s="94">
        <v>1160.0</v>
      </c>
    </row>
    <row r="1905">
      <c r="A1905" s="40">
        <f t="array" ref="A1905">IFNA(index(PlayerValues!A:A,match(IFNA(vlookup(B1905,'Special Names'!A:B,2,FALSE),B1905),PlayerValues!E:E,0)),"N/A")</f>
        <v>16451</v>
      </c>
      <c r="B1905" s="4" t="s">
        <v>769</v>
      </c>
      <c r="C1905" s="4" t="s">
        <v>287</v>
      </c>
      <c r="D1905" s="94">
        <v>1158.0</v>
      </c>
    </row>
    <row r="1906">
      <c r="A1906" s="40">
        <f t="array" ref="A1906">IFNA(index(PlayerValues!A:A,match(IFNA(vlookup(B1906,'Special Names'!A:B,2,FALSE),B1906),PlayerValues!E:E,0)),"N/A")</f>
        <v>15730</v>
      </c>
      <c r="B1906" s="4" t="s">
        <v>734</v>
      </c>
      <c r="C1906" s="4" t="s">
        <v>278</v>
      </c>
      <c r="D1906" s="94">
        <v>1147.0</v>
      </c>
    </row>
    <row r="1907">
      <c r="A1907" s="40">
        <f t="array" ref="A1907">IFNA(index(PlayerValues!A:A,match(IFNA(vlookup(B1907,'Special Names'!A:B,2,FALSE),B1907),PlayerValues!E:E,0)),"N/A")</f>
        <v>15717</v>
      </c>
      <c r="B1907" s="4" t="s">
        <v>745</v>
      </c>
      <c r="C1907" s="4" t="s">
        <v>278</v>
      </c>
      <c r="D1907" s="94">
        <v>1142.0</v>
      </c>
    </row>
    <row r="1908">
      <c r="A1908" s="40">
        <f t="array" ref="A1908">IFNA(index(PlayerValues!A:A,match(IFNA(vlookup(B1908,'Special Names'!A:B,2,FALSE),B1908),PlayerValues!E:E,0)),"N/A")</f>
        <v>15693</v>
      </c>
      <c r="B1908" s="4" t="s">
        <v>755</v>
      </c>
      <c r="C1908" s="4" t="s">
        <v>283</v>
      </c>
      <c r="D1908" s="94">
        <v>1141.0</v>
      </c>
    </row>
    <row r="1909">
      <c r="A1909" s="40">
        <f t="array" ref="A1909">IFNA(index(PlayerValues!A:A,match(IFNA(vlookup(B1909,'Special Names'!A:B,2,FALSE),B1909),PlayerValues!E:E,0)),"N/A")</f>
        <v>13138</v>
      </c>
      <c r="B1909" s="4" t="s">
        <v>817</v>
      </c>
      <c r="C1909" s="4" t="s">
        <v>278</v>
      </c>
      <c r="D1909" s="94">
        <v>1140.0</v>
      </c>
    </row>
    <row r="1910">
      <c r="A1910" s="40">
        <f t="array" ref="A1910">IFNA(index(PlayerValues!A:A,match(IFNA(vlookup(B1910,'Special Names'!A:B,2,FALSE),B1910),PlayerValues!E:E,0)),"N/A")</f>
        <v>16197</v>
      </c>
      <c r="B1910" s="4" t="s">
        <v>726</v>
      </c>
      <c r="C1910" s="4" t="s">
        <v>287</v>
      </c>
      <c r="D1910" s="94">
        <v>1130.0</v>
      </c>
    </row>
    <row r="1911">
      <c r="A1911" s="40">
        <f t="array" ref="A1911">IFNA(index(PlayerValues!A:A,match(IFNA(vlookup(B1911,'Special Names'!A:B,2,FALSE),B1911),PlayerValues!E:E,0)),"N/A")</f>
        <v>17192</v>
      </c>
      <c r="B1911" s="4" t="s">
        <v>677</v>
      </c>
      <c r="C1911" s="4" t="s">
        <v>287</v>
      </c>
      <c r="D1911" s="94">
        <v>1126.0</v>
      </c>
    </row>
    <row r="1912">
      <c r="A1912" s="40">
        <f t="array" ref="A1912">IFNA(index(PlayerValues!A:A,match(IFNA(vlookup(B1912,'Special Names'!A:B,2,FALSE),B1912),PlayerValues!E:E,0)),"N/A")</f>
        <v>16637</v>
      </c>
      <c r="B1912" s="4" t="s">
        <v>736</v>
      </c>
      <c r="C1912" s="4" t="s">
        <v>287</v>
      </c>
      <c r="D1912" s="94">
        <v>1121.0</v>
      </c>
    </row>
    <row r="1913">
      <c r="A1913" s="40">
        <f t="array" ref="A1913">IFNA(index(PlayerValues!A:A,match(IFNA(vlookup(B1913,'Special Names'!A:B,2,FALSE),B1913),PlayerValues!E:E,0)),"N/A")</f>
        <v>16640</v>
      </c>
      <c r="B1913" s="4" t="s">
        <v>712</v>
      </c>
      <c r="C1913" s="4" t="s">
        <v>287</v>
      </c>
      <c r="D1913" s="94">
        <v>1120.0</v>
      </c>
    </row>
    <row r="1914">
      <c r="A1914" s="40">
        <f t="array" ref="A1914">IFNA(index(PlayerValues!A:A,match(IFNA(vlookup(B1914,'Special Names'!A:B,2,FALSE),B1914),PlayerValues!E:E,0)),"N/A")</f>
        <v>17109</v>
      </c>
      <c r="B1914" s="4" t="s">
        <v>707</v>
      </c>
      <c r="C1914" s="4" t="s">
        <v>298</v>
      </c>
      <c r="D1914" s="94">
        <v>1485.0</v>
      </c>
    </row>
    <row r="1915">
      <c r="A1915" s="40">
        <f t="array" ref="A1915">IFNA(index(PlayerValues!A:A,match(IFNA(vlookup(B1915,'Special Names'!A:B,2,FALSE),B1915),PlayerValues!E:E,0)),"N/A")</f>
        <v>17057</v>
      </c>
      <c r="B1915" s="4" t="s">
        <v>708</v>
      </c>
      <c r="C1915" s="4" t="s">
        <v>278</v>
      </c>
      <c r="D1915" s="94">
        <v>1094.0</v>
      </c>
    </row>
    <row r="1916">
      <c r="A1916" s="40">
        <f t="array" ref="A1916">IFNA(index(PlayerValues!A:A,match(IFNA(vlookup(B1916,'Special Names'!A:B,2,FALSE),B1916),PlayerValues!E:E,0)),"N/A")</f>
        <v>15785</v>
      </c>
      <c r="B1916" s="4" t="s">
        <v>763</v>
      </c>
      <c r="C1916" s="4" t="s">
        <v>287</v>
      </c>
      <c r="D1916" s="94">
        <v>1091.0</v>
      </c>
    </row>
    <row r="1917">
      <c r="A1917" s="40">
        <f t="array" ref="A1917">IFNA(index(PlayerValues!A:A,match(IFNA(vlookup(B1917,'Special Names'!A:B,2,FALSE),B1917),PlayerValues!E:E,0)),"N/A")</f>
        <v>16387</v>
      </c>
      <c r="B1917" s="4" t="s">
        <v>646</v>
      </c>
      <c r="C1917" s="4" t="s">
        <v>278</v>
      </c>
      <c r="D1917" s="94">
        <v>1089.0</v>
      </c>
    </row>
    <row r="1918">
      <c r="A1918" s="40">
        <f t="array" ref="A1918">IFNA(index(PlayerValues!A:A,match(IFNA(vlookup(B1918,'Special Names'!A:B,2,FALSE),B1918),PlayerValues!E:E,0)),"N/A")</f>
        <v>14118</v>
      </c>
      <c r="B1918" s="4" t="s">
        <v>771</v>
      </c>
      <c r="C1918" s="4" t="s">
        <v>287</v>
      </c>
      <c r="D1918" s="94">
        <v>1087.0</v>
      </c>
    </row>
    <row r="1919">
      <c r="A1919" s="40">
        <f t="array" ref="A1919">IFNA(index(PlayerValues!A:A,match(IFNA(vlookup(B1919,'Special Names'!A:B,2,FALSE),B1919),PlayerValues!E:E,0)),"N/A")</f>
        <v>9064</v>
      </c>
      <c r="B1919" s="4" t="s">
        <v>761</v>
      </c>
      <c r="C1919" s="4" t="s">
        <v>283</v>
      </c>
      <c r="D1919" s="94">
        <v>1081.0</v>
      </c>
    </row>
    <row r="1920">
      <c r="A1920" s="40">
        <f t="array" ref="A1920">IFNA(index(PlayerValues!A:A,match(IFNA(vlookup(B1920,'Special Names'!A:B,2,FALSE),B1920),PlayerValues!E:E,0)),"N/A")</f>
        <v>16219</v>
      </c>
      <c r="B1920" s="4" t="s">
        <v>739</v>
      </c>
      <c r="C1920" s="4" t="s">
        <v>298</v>
      </c>
      <c r="D1920" s="94">
        <v>1444.0</v>
      </c>
    </row>
    <row r="1921">
      <c r="A1921" s="40">
        <f t="array" ref="A1921">IFNA(index(PlayerValues!A:A,match(IFNA(vlookup(B1921,'Special Names'!A:B,2,FALSE),B1921),PlayerValues!E:E,0)),"N/A")</f>
        <v>16678</v>
      </c>
      <c r="B1921" s="4" t="s">
        <v>758</v>
      </c>
      <c r="C1921" s="4" t="s">
        <v>278</v>
      </c>
      <c r="D1921" s="94">
        <v>1074.0</v>
      </c>
    </row>
    <row r="1922">
      <c r="A1922" s="40">
        <f t="array" ref="A1922">IFNA(index(PlayerValues!A:A,match(IFNA(vlookup(B1922,'Special Names'!A:B,2,FALSE),B1922),PlayerValues!E:E,0)),"N/A")</f>
        <v>17175</v>
      </c>
      <c r="B1922" s="4" t="s">
        <v>747</v>
      </c>
      <c r="C1922" s="4" t="s">
        <v>287</v>
      </c>
      <c r="D1922" s="94">
        <v>1059.0</v>
      </c>
    </row>
    <row r="1923">
      <c r="A1923" s="40">
        <f t="array" ref="A1923">IFNA(index(PlayerValues!A:A,match(IFNA(vlookup(B1923,'Special Names'!A:B,2,FALSE),B1923),PlayerValues!E:E,0)),"N/A")</f>
        <v>17479</v>
      </c>
      <c r="B1923" s="4" t="s">
        <v>756</v>
      </c>
      <c r="C1923" s="4" t="s">
        <v>278</v>
      </c>
      <c r="D1923" s="94">
        <v>1052.0</v>
      </c>
    </row>
    <row r="1924">
      <c r="A1924" s="40">
        <f t="array" ref="A1924">IFNA(index(PlayerValues!A:A,match(IFNA(vlookup(B1924,'Special Names'!A:B,2,FALSE),B1924),PlayerValues!E:E,0)),"N/A")</f>
        <v>16648</v>
      </c>
      <c r="B1924" s="4" t="s">
        <v>748</v>
      </c>
      <c r="C1924" s="4" t="s">
        <v>298</v>
      </c>
      <c r="D1924" s="94">
        <v>1413.0</v>
      </c>
    </row>
    <row r="1925">
      <c r="A1925" s="40">
        <f t="array" ref="A1925">IFNA(index(PlayerValues!A:A,match(IFNA(vlookup(B1925,'Special Names'!A:B,2,FALSE),B1925),PlayerValues!E:E,0)),"N/A")</f>
        <v>14057</v>
      </c>
      <c r="B1925" s="4" t="s">
        <v>765</v>
      </c>
      <c r="C1925" s="4" t="s">
        <v>283</v>
      </c>
      <c r="D1925" s="94">
        <v>1044.0</v>
      </c>
    </row>
    <row r="1926">
      <c r="A1926" s="40">
        <f t="array" ref="A1926">IFNA(index(PlayerValues!A:A,match(IFNA(vlookup(B1926,'Special Names'!A:B,2,FALSE),B1926),PlayerValues!E:E,0)),"N/A")</f>
        <v>15330</v>
      </c>
      <c r="B1926" s="4" t="s">
        <v>749</v>
      </c>
      <c r="C1926" s="4" t="s">
        <v>298</v>
      </c>
      <c r="D1926" s="94">
        <v>1407.0</v>
      </c>
    </row>
    <row r="1927">
      <c r="A1927" s="40">
        <f t="array" ref="A1927">IFNA(index(PlayerValues!A:A,match(IFNA(vlookup(B1927,'Special Names'!A:B,2,FALSE),B1927),PlayerValues!E:E,0)),"N/A")</f>
        <v>15795</v>
      </c>
      <c r="B1927" s="4" t="s">
        <v>669</v>
      </c>
      <c r="C1927" s="4" t="s">
        <v>298</v>
      </c>
      <c r="D1927" s="94">
        <v>1408.0</v>
      </c>
    </row>
    <row r="1928">
      <c r="A1928" s="40">
        <f t="array" ref="A1928">IFNA(index(PlayerValues!A:A,match(IFNA(vlookup(B1928,'Special Names'!A:B,2,FALSE),B1928),PlayerValues!E:E,0)),"N/A")</f>
        <v>15718</v>
      </c>
      <c r="B1928" s="4" t="s">
        <v>753</v>
      </c>
      <c r="C1928" s="4" t="s">
        <v>278</v>
      </c>
      <c r="D1928" s="94">
        <v>1038.0</v>
      </c>
    </row>
    <row r="1929">
      <c r="A1929" s="40">
        <f t="array" ref="A1929">IFNA(index(PlayerValues!A:A,match(IFNA(vlookup(B1929,'Special Names'!A:B,2,FALSE),B1929),PlayerValues!E:E,0)),"N/A")</f>
        <v>17520</v>
      </c>
      <c r="B1929" s="4" t="s">
        <v>518</v>
      </c>
      <c r="C1929" s="4" t="s">
        <v>287</v>
      </c>
      <c r="D1929" s="94">
        <v>1028.0</v>
      </c>
    </row>
    <row r="1930">
      <c r="A1930" s="40">
        <f t="array" ref="A1930">IFNA(index(PlayerValues!A:A,match(IFNA(vlookup(B1930,'Special Names'!A:B,2,FALSE),B1930),PlayerValues!E:E,0)),"N/A")</f>
        <v>11247</v>
      </c>
      <c r="B1930" s="4" t="s">
        <v>816</v>
      </c>
      <c r="C1930" s="4" t="s">
        <v>298</v>
      </c>
      <c r="D1930" s="94">
        <v>1394.0</v>
      </c>
    </row>
    <row r="1931">
      <c r="A1931" s="40">
        <f t="array" ref="A1931">IFNA(index(PlayerValues!A:A,match(IFNA(vlookup(B1931,'Special Names'!A:B,2,FALSE),B1931),PlayerValues!E:E,0)),"N/A")</f>
        <v>17486</v>
      </c>
      <c r="B1931" s="4" t="s">
        <v>695</v>
      </c>
      <c r="C1931" s="4" t="s">
        <v>278</v>
      </c>
      <c r="D1931" s="94">
        <v>1026.0</v>
      </c>
    </row>
    <row r="1932">
      <c r="A1932" s="40">
        <f t="array" ref="A1932">IFNA(index(PlayerValues!A:A,match(IFNA(vlookup(B1932,'Special Names'!A:B,2,FALSE),B1932),PlayerValues!E:E,0)),"N/A")</f>
        <v>14849</v>
      </c>
      <c r="B1932" s="4" t="s">
        <v>733</v>
      </c>
      <c r="C1932" s="4" t="s">
        <v>287</v>
      </c>
      <c r="D1932" s="94">
        <v>1025.0</v>
      </c>
    </row>
    <row r="1933">
      <c r="A1933" s="40">
        <f t="array" ref="A1933">IFNA(index(PlayerValues!A:A,match(IFNA(vlookup(B1933,'Special Names'!A:B,2,FALSE),B1933),PlayerValues!E:E,0)),"N/A")</f>
        <v>15766</v>
      </c>
      <c r="B1933" s="4" t="s">
        <v>759</v>
      </c>
      <c r="C1933" s="4" t="s">
        <v>287</v>
      </c>
      <c r="D1933" s="94">
        <v>1023.0</v>
      </c>
    </row>
    <row r="1934">
      <c r="A1934" s="40">
        <f t="array" ref="A1934">IFNA(index(PlayerValues!A:A,match(IFNA(vlookup(B1934,'Special Names'!A:B,2,FALSE),B1934),PlayerValues!E:E,0)),"N/A")</f>
        <v>15720</v>
      </c>
      <c r="B1934" s="4" t="s">
        <v>795</v>
      </c>
      <c r="C1934" s="4" t="s">
        <v>278</v>
      </c>
      <c r="D1934" s="94">
        <v>1022.0</v>
      </c>
    </row>
    <row r="1935">
      <c r="A1935" s="40">
        <f t="array" ref="A1935">IFNA(index(PlayerValues!A:A,match(IFNA(vlookup(B1935,'Special Names'!A:B,2,FALSE),B1935),PlayerValues!E:E,0)),"N/A")</f>
        <v>17467</v>
      </c>
      <c r="B1935" s="4" t="s">
        <v>575</v>
      </c>
      <c r="C1935" s="4" t="s">
        <v>283</v>
      </c>
      <c r="D1935" s="94">
        <v>1008.0</v>
      </c>
    </row>
    <row r="1936">
      <c r="A1936" s="40">
        <f t="array" ref="A1936">IFNA(index(PlayerValues!A:A,match(IFNA(vlookup(B1936,'Special Names'!A:B,2,FALSE),B1936),PlayerValues!E:E,0)),"N/A")</f>
        <v>17487</v>
      </c>
      <c r="B1936" s="4" t="s">
        <v>692</v>
      </c>
      <c r="C1936" s="4" t="s">
        <v>278</v>
      </c>
      <c r="D1936" s="94">
        <v>1004.0</v>
      </c>
    </row>
    <row r="1937">
      <c r="A1937" s="40">
        <f t="array" ref="A1937">IFNA(index(PlayerValues!A:A,match(IFNA(vlookup(B1937,'Special Names'!A:B,2,FALSE),B1937),PlayerValues!E:E,0)),"N/A")</f>
        <v>16159</v>
      </c>
      <c r="B1937" s="4" t="s">
        <v>819</v>
      </c>
      <c r="C1937" s="4" t="s">
        <v>283</v>
      </c>
      <c r="D1937" s="94">
        <v>1002.0</v>
      </c>
    </row>
    <row r="1938">
      <c r="A1938" s="40">
        <f t="array" ref="A1938">IFNA(index(PlayerValues!A:A,match(IFNA(vlookup(B1938,'Special Names'!A:B,2,FALSE),B1938),PlayerValues!E:E,0)),"N/A")</f>
        <v>16168</v>
      </c>
      <c r="B1938" s="4" t="s">
        <v>738</v>
      </c>
      <c r="C1938" s="4" t="s">
        <v>278</v>
      </c>
      <c r="D1938" s="94">
        <v>1000.0</v>
      </c>
    </row>
    <row r="1939">
      <c r="A1939" s="40">
        <f t="array" ref="A1939">IFNA(index(PlayerValues!A:A,match(IFNA(vlookup(B1939,'Special Names'!A:B,2,FALSE),B1939),PlayerValues!E:E,0)),"N/A")</f>
        <v>16858</v>
      </c>
      <c r="B1939" s="4" t="s">
        <v>754</v>
      </c>
      <c r="C1939" s="4" t="s">
        <v>287</v>
      </c>
      <c r="D1939" s="94">
        <v>994.0</v>
      </c>
    </row>
    <row r="1940">
      <c r="A1940" s="40">
        <f t="array" ref="A1940">IFNA(index(PlayerValues!A:A,match(IFNA(vlookup(B1940,'Special Names'!A:B,2,FALSE),B1940),PlayerValues!E:E,0)),"N/A")</f>
        <v>17475</v>
      </c>
      <c r="B1940" s="4" t="s">
        <v>615</v>
      </c>
      <c r="C1940" s="4" t="s">
        <v>278</v>
      </c>
      <c r="D1940" s="94">
        <v>994.0</v>
      </c>
    </row>
    <row r="1941">
      <c r="A1941" s="40">
        <f t="array" ref="A1941">IFNA(index(PlayerValues!A:A,match(IFNA(vlookup(B1941,'Special Names'!A:B,2,FALSE),B1941),PlayerValues!E:E,0)),"N/A")</f>
        <v>15626</v>
      </c>
      <c r="B1941" s="4" t="s">
        <v>766</v>
      </c>
      <c r="C1941" s="4" t="s">
        <v>298</v>
      </c>
      <c r="D1941" s="94">
        <v>1352.0</v>
      </c>
    </row>
    <row r="1942">
      <c r="A1942" s="40">
        <f t="array" ref="A1942">IFNA(index(PlayerValues!A:A,match(IFNA(vlookup(B1942,'Special Names'!A:B,2,FALSE),B1942),PlayerValues!E:E,0)),"N/A")</f>
        <v>14799</v>
      </c>
      <c r="B1942" s="4" t="s">
        <v>829</v>
      </c>
      <c r="C1942" s="4" t="s">
        <v>278</v>
      </c>
      <c r="D1942" s="94">
        <v>982.0</v>
      </c>
    </row>
    <row r="1943">
      <c r="A1943" s="40">
        <f t="array" ref="A1943">IFNA(index(PlayerValues!A:A,match(IFNA(vlookup(B1943,'Special Names'!A:B,2,FALSE),B1943),PlayerValues!E:E,0)),"N/A")</f>
        <v>14864</v>
      </c>
      <c r="B1943" s="4" t="s">
        <v>789</v>
      </c>
      <c r="C1943" s="4" t="s">
        <v>287</v>
      </c>
      <c r="D1943" s="94">
        <v>970.0</v>
      </c>
    </row>
    <row r="1944">
      <c r="A1944" s="40">
        <f t="array" ref="A1944">IFNA(index(PlayerValues!A:A,match(IFNA(vlookup(B1944,'Special Names'!A:B,2,FALSE),B1944),PlayerValues!E:E,0)),"N/A")</f>
        <v>16176</v>
      </c>
      <c r="B1944" s="4" t="s">
        <v>812</v>
      </c>
      <c r="C1944" s="4" t="s">
        <v>278</v>
      </c>
      <c r="D1944" s="94">
        <v>970.0</v>
      </c>
    </row>
    <row r="1945">
      <c r="A1945" s="40">
        <f t="array" ref="A1945">IFNA(index(PlayerValues!A:A,match(IFNA(vlookup(B1945,'Special Names'!A:B,2,FALSE),B1945),PlayerValues!E:E,0)),"N/A")</f>
        <v>15263</v>
      </c>
      <c r="B1945" s="4" t="s">
        <v>804</v>
      </c>
      <c r="C1945" s="4" t="s">
        <v>278</v>
      </c>
      <c r="D1945" s="94">
        <v>966.0</v>
      </c>
    </row>
    <row r="1946">
      <c r="A1946" s="40">
        <f t="array" ref="A1946">IFNA(index(PlayerValues!A:A,match(IFNA(vlookup(B1946,'Special Names'!A:B,2,FALSE),B1946),PlayerValues!E:E,0)),"N/A")</f>
        <v>17510</v>
      </c>
      <c r="B1946" s="4" t="s">
        <v>661</v>
      </c>
      <c r="C1946" s="4" t="s">
        <v>287</v>
      </c>
      <c r="D1946" s="94">
        <v>963.0</v>
      </c>
    </row>
    <row r="1947">
      <c r="A1947" s="40">
        <f t="array" ref="A1947">IFNA(index(PlayerValues!A:A,match(IFNA(vlookup(B1947,'Special Names'!A:B,2,FALSE),B1947),PlayerValues!E:E,0)),"N/A")</f>
        <v>16205</v>
      </c>
      <c r="B1947" s="4" t="s">
        <v>742</v>
      </c>
      <c r="C1947" s="4" t="s">
        <v>287</v>
      </c>
      <c r="D1947" s="94">
        <v>953.0</v>
      </c>
    </row>
    <row r="1948">
      <c r="A1948" s="40">
        <f t="array" ref="A1948">IFNA(index(PlayerValues!A:A,match(IFNA(vlookup(B1948,'Special Names'!A:B,2,FALSE),B1948),PlayerValues!E:E,0)),"N/A")</f>
        <v>16773</v>
      </c>
      <c r="B1948" s="4" t="s">
        <v>783</v>
      </c>
      <c r="C1948" s="4" t="s">
        <v>278</v>
      </c>
      <c r="D1948" s="94">
        <v>952.0</v>
      </c>
    </row>
    <row r="1949">
      <c r="A1949" s="40">
        <f t="array" ref="A1949">IFNA(index(PlayerValues!A:A,match(IFNA(vlookup(B1949,'Special Names'!A:B,2,FALSE),B1949),PlayerValues!E:E,0)),"N/A")</f>
        <v>17504</v>
      </c>
      <c r="B1949" s="4" t="s">
        <v>693</v>
      </c>
      <c r="C1949" s="4" t="s">
        <v>287</v>
      </c>
      <c r="D1949" s="94">
        <v>946.0</v>
      </c>
    </row>
    <row r="1950">
      <c r="A1950" s="40">
        <f t="array" ref="A1950">IFNA(index(PlayerValues!A:A,match(IFNA(vlookup(B1950,'Special Names'!A:B,2,FALSE),B1950),PlayerValues!E:E,0)),"N/A")</f>
        <v>17545</v>
      </c>
      <c r="B1950" s="4" t="s">
        <v>719</v>
      </c>
      <c r="C1950" s="4" t="s">
        <v>298</v>
      </c>
      <c r="D1950" s="94">
        <v>1314.0</v>
      </c>
    </row>
    <row r="1951">
      <c r="A1951" s="40">
        <f t="array" ref="A1951">IFNA(index(PlayerValues!A:A,match(IFNA(vlookup(B1951,'Special Names'!A:B,2,FALSE),B1951),PlayerValues!E:E,0)),"N/A")</f>
        <v>16416</v>
      </c>
      <c r="B1951" s="4" t="s">
        <v>752</v>
      </c>
      <c r="C1951" s="4" t="s">
        <v>287</v>
      </c>
      <c r="D1951" s="94">
        <v>943.0</v>
      </c>
    </row>
    <row r="1952">
      <c r="A1952" s="40">
        <f t="array" ref="A1952">IFNA(index(PlayerValues!A:A,match(IFNA(vlookup(B1952,'Special Names'!A:B,2,FALSE),B1952),PlayerValues!E:E,0)),"N/A")</f>
        <v>16599</v>
      </c>
      <c r="B1952" s="4" t="s">
        <v>737</v>
      </c>
      <c r="C1952" s="4" t="s">
        <v>278</v>
      </c>
      <c r="D1952" s="94">
        <v>942.0</v>
      </c>
    </row>
    <row r="1953">
      <c r="A1953" s="40">
        <f t="array" ref="A1953">IFNA(index(PlayerValues!A:A,match(IFNA(vlookup(B1953,'Special Names'!A:B,2,FALSE),B1953),PlayerValues!E:E,0)),"N/A")</f>
        <v>16624</v>
      </c>
      <c r="B1953" s="4" t="s">
        <v>796</v>
      </c>
      <c r="C1953" s="4" t="s">
        <v>287</v>
      </c>
      <c r="D1953" s="94">
        <v>942.0</v>
      </c>
    </row>
    <row r="1954">
      <c r="A1954" s="40">
        <f t="array" ref="A1954">IFNA(index(PlayerValues!A:A,match(IFNA(vlookup(B1954,'Special Names'!A:B,2,FALSE),B1954),PlayerValues!E:E,0)),"N/A")</f>
        <v>13595</v>
      </c>
      <c r="B1954" s="4" t="s">
        <v>818</v>
      </c>
      <c r="C1954" s="4" t="s">
        <v>283</v>
      </c>
      <c r="D1954" s="94">
        <v>938.0</v>
      </c>
    </row>
    <row r="1955">
      <c r="A1955" s="40">
        <f t="array" ref="A1955">IFNA(index(PlayerValues!A:A,match(IFNA(vlookup(B1955,'Special Names'!A:B,2,FALSE),B1955),PlayerValues!E:E,0)),"N/A")</f>
        <v>15723</v>
      </c>
      <c r="B1955" s="4" t="s">
        <v>798</v>
      </c>
      <c r="C1955" s="4" t="s">
        <v>278</v>
      </c>
      <c r="D1955" s="94">
        <v>930.0</v>
      </c>
    </row>
    <row r="1956">
      <c r="A1956" s="40">
        <f t="array" ref="A1956">IFNA(index(PlayerValues!A:A,match(IFNA(vlookup(B1956,'Special Names'!A:B,2,FALSE),B1956),PlayerValues!E:E,0)),"N/A")</f>
        <v>15109</v>
      </c>
      <c r="B1956" s="4" t="s">
        <v>728</v>
      </c>
      <c r="C1956" s="4" t="s">
        <v>287</v>
      </c>
      <c r="D1956" s="94">
        <v>928.0</v>
      </c>
    </row>
    <row r="1957">
      <c r="A1957" s="40">
        <f t="array" ref="A1957">IFNA(index(PlayerValues!A:A,match(IFNA(vlookup(B1957,'Special Names'!A:B,2,FALSE),B1957),PlayerValues!E:E,0)),"N/A")</f>
        <v>13133</v>
      </c>
      <c r="B1957" s="4" t="s">
        <v>764</v>
      </c>
      <c r="C1957" s="4" t="s">
        <v>278</v>
      </c>
      <c r="D1957" s="94">
        <v>923.0</v>
      </c>
    </row>
    <row r="1958">
      <c r="A1958" s="40">
        <f t="array" ref="A1958">IFNA(index(PlayerValues!A:A,match(IFNA(vlookup(B1958,'Special Names'!A:B,2,FALSE),B1958),PlayerValues!E:E,0)),"N/A")</f>
        <v>13610</v>
      </c>
      <c r="B1958" s="4" t="s">
        <v>825</v>
      </c>
      <c r="C1958" s="4" t="s">
        <v>278</v>
      </c>
      <c r="D1958" s="94">
        <v>914.0</v>
      </c>
    </row>
    <row r="1959">
      <c r="A1959" s="40">
        <f t="array" ref="A1959">IFNA(index(PlayerValues!A:A,match(IFNA(vlookup(B1959,'Special Names'!A:B,2,FALSE),B1959),PlayerValues!E:E,0)),"N/A")</f>
        <v>12785</v>
      </c>
      <c r="B1959" s="4" t="s">
        <v>772</v>
      </c>
      <c r="C1959" s="4" t="s">
        <v>287</v>
      </c>
      <c r="D1959" s="94">
        <v>907.0</v>
      </c>
    </row>
    <row r="1960">
      <c r="A1960" s="40">
        <f t="array" ref="A1960">IFNA(index(PlayerValues!A:A,match(IFNA(vlookup(B1960,'Special Names'!A:B,2,FALSE),B1960),PlayerValues!E:E,0)),"N/A")</f>
        <v>16751</v>
      </c>
      <c r="B1960" s="4" t="s">
        <v>762</v>
      </c>
      <c r="C1960" s="4" t="s">
        <v>287</v>
      </c>
      <c r="D1960" s="94">
        <v>905.0</v>
      </c>
    </row>
    <row r="1961">
      <c r="A1961" s="40">
        <f t="array" ref="A1961">IFNA(index(PlayerValues!A:A,match(IFNA(vlookup(B1961,'Special Names'!A:B,2,FALSE),B1961),PlayerValues!E:E,0)),"N/A")</f>
        <v>16957</v>
      </c>
      <c r="B1961" s="4" t="s">
        <v>806</v>
      </c>
      <c r="C1961" s="4" t="s">
        <v>278</v>
      </c>
      <c r="D1961" s="94">
        <v>904.0</v>
      </c>
    </row>
    <row r="1962">
      <c r="A1962" s="40">
        <f t="array" ref="A1962">IFNA(index(PlayerValues!A:A,match(IFNA(vlookup(B1962,'Special Names'!A:B,2,FALSE),B1962),PlayerValues!E:E,0)),"N/A")</f>
        <v>14079</v>
      </c>
      <c r="B1962" s="4" t="s">
        <v>830</v>
      </c>
      <c r="C1962" s="4" t="s">
        <v>278</v>
      </c>
      <c r="D1962" s="94">
        <v>889.0</v>
      </c>
    </row>
    <row r="1963">
      <c r="A1963" s="40">
        <f t="array" ref="A1963">IFNA(index(PlayerValues!A:A,match(IFNA(vlookup(B1963,'Special Names'!A:B,2,FALSE),B1963),PlayerValues!E:E,0)),"N/A")</f>
        <v>13143</v>
      </c>
      <c r="B1963" s="4" t="s">
        <v>786</v>
      </c>
      <c r="C1963" s="4" t="s">
        <v>278</v>
      </c>
      <c r="D1963" s="94">
        <v>889.0</v>
      </c>
    </row>
    <row r="1964">
      <c r="A1964" s="40">
        <f t="array" ref="A1964">IFNA(index(PlayerValues!A:A,match(IFNA(vlookup(B1964,'Special Names'!A:B,2,FALSE),B1964),PlayerValues!E:E,0)),"N/A")</f>
        <v>15796</v>
      </c>
      <c r="B1964" s="4" t="s">
        <v>794</v>
      </c>
      <c r="C1964" s="4" t="s">
        <v>298</v>
      </c>
      <c r="D1964" s="94">
        <v>1256.0</v>
      </c>
    </row>
    <row r="1965">
      <c r="A1965" s="40">
        <f t="array" ref="A1965">IFNA(index(PlayerValues!A:A,match(IFNA(vlookup(B1965,'Special Names'!A:B,2,FALSE),B1965),PlayerValues!E:E,0)),"N/A")</f>
        <v>16606</v>
      </c>
      <c r="B1965" s="4" t="s">
        <v>743</v>
      </c>
      <c r="C1965" s="4" t="s">
        <v>278</v>
      </c>
      <c r="D1965" s="94">
        <v>883.0</v>
      </c>
    </row>
    <row r="1966">
      <c r="A1966" s="40">
        <f t="array" ref="A1966">IFNA(index(PlayerValues!A:A,match(IFNA(vlookup(B1966,'Special Names'!A:B,2,FALSE),B1966),PlayerValues!E:E,0)),"N/A")</f>
        <v>13113</v>
      </c>
      <c r="B1966" s="4" t="s">
        <v>606</v>
      </c>
      <c r="C1966" s="4" t="s">
        <v>283</v>
      </c>
      <c r="D1966" s="94">
        <v>873.0</v>
      </c>
    </row>
    <row r="1967">
      <c r="A1967" s="40">
        <f t="array" ref="A1967">IFNA(index(PlayerValues!A:A,match(IFNA(vlookup(B1967,'Special Names'!A:B,2,FALSE),B1967),PlayerValues!E:E,0)),"N/A")</f>
        <v>11232</v>
      </c>
      <c r="B1967" s="4" t="s">
        <v>826</v>
      </c>
      <c r="C1967" s="4" t="s">
        <v>287</v>
      </c>
      <c r="D1967" s="94">
        <v>870.0</v>
      </c>
    </row>
    <row r="1968">
      <c r="A1968" s="40">
        <f t="array" ref="A1968">IFNA(index(PlayerValues!A:A,match(IFNA(vlookup(B1968,'Special Names'!A:B,2,FALSE),B1968),PlayerValues!E:E,0)),"N/A")</f>
        <v>17337</v>
      </c>
      <c r="B1968" s="4" t="s">
        <v>793</v>
      </c>
      <c r="C1968" s="4" t="s">
        <v>278</v>
      </c>
      <c r="D1968" s="94">
        <v>869.0</v>
      </c>
    </row>
    <row r="1969">
      <c r="A1969" s="40">
        <f t="array" ref="A1969">IFNA(index(PlayerValues!A:A,match(IFNA(vlookup(B1969,'Special Names'!A:B,2,FALSE),B1969),PlayerValues!E:E,0)),"N/A")</f>
        <v>14358</v>
      </c>
      <c r="B1969" s="4" t="s">
        <v>813</v>
      </c>
      <c r="C1969" s="4" t="s">
        <v>283</v>
      </c>
      <c r="D1969" s="94">
        <v>857.0</v>
      </c>
    </row>
    <row r="1970">
      <c r="A1970" s="40">
        <f t="array" ref="A1970">IFNA(index(PlayerValues!A:A,match(IFNA(vlookup(B1970,'Special Names'!A:B,2,FALSE),B1970),PlayerValues!E:E,0)),"N/A")</f>
        <v>15804</v>
      </c>
      <c r="B1970" s="4" t="s">
        <v>821</v>
      </c>
      <c r="C1970" s="4" t="s">
        <v>298</v>
      </c>
      <c r="D1970" s="94">
        <v>1226.0</v>
      </c>
    </row>
    <row r="1971">
      <c r="A1971" s="40">
        <f t="array" ref="A1971">IFNA(index(PlayerValues!A:A,match(IFNA(vlookup(B1971,'Special Names'!A:B,2,FALSE),B1971),PlayerValues!E:E,0)),"N/A")</f>
        <v>15271</v>
      </c>
      <c r="B1971" s="4" t="s">
        <v>741</v>
      </c>
      <c r="C1971" s="4" t="s">
        <v>278</v>
      </c>
      <c r="D1971" s="94">
        <v>844.0</v>
      </c>
    </row>
    <row r="1972">
      <c r="A1972" s="40">
        <f t="array" ref="A1972">IFNA(index(PlayerValues!A:A,match(IFNA(vlookup(B1972,'Special Names'!A:B,2,FALSE),B1972),PlayerValues!E:E,0)),"N/A")</f>
        <v>14223</v>
      </c>
      <c r="B1972" s="4" t="s">
        <v>785</v>
      </c>
      <c r="C1972" s="4" t="s">
        <v>278</v>
      </c>
      <c r="D1972" s="94">
        <v>837.0</v>
      </c>
    </row>
    <row r="1973">
      <c r="A1973" s="40">
        <f t="array" ref="A1973">IFNA(index(PlayerValues!A:A,match(IFNA(vlookup(B1973,'Special Names'!A:B,2,FALSE),B1973),PlayerValues!E:E,0)),"N/A")</f>
        <v>16623</v>
      </c>
      <c r="B1973" s="4" t="s">
        <v>803</v>
      </c>
      <c r="C1973" s="4" t="s">
        <v>287</v>
      </c>
      <c r="D1973" s="94">
        <v>830.0</v>
      </c>
    </row>
    <row r="1974">
      <c r="A1974" s="40">
        <f t="array" ref="A1974">IFNA(index(PlayerValues!A:A,match(IFNA(vlookup(B1974,'Special Names'!A:B,2,FALSE),B1974),PlayerValues!E:E,0)),"N/A")</f>
        <v>13156</v>
      </c>
      <c r="B1974" s="4" t="s">
        <v>835</v>
      </c>
      <c r="C1974" s="4" t="s">
        <v>287</v>
      </c>
      <c r="D1974" s="94">
        <v>827.0</v>
      </c>
    </row>
    <row r="1975">
      <c r="A1975" s="40">
        <f t="array" ref="A1975">IFNA(index(PlayerValues!A:A,match(IFNA(vlookup(B1975,'Special Names'!A:B,2,FALSE),B1975),PlayerValues!E:E,0)),"N/A")</f>
        <v>16170</v>
      </c>
      <c r="B1975" s="4" t="s">
        <v>801</v>
      </c>
      <c r="C1975" s="4" t="s">
        <v>278</v>
      </c>
      <c r="D1975" s="94">
        <v>817.0</v>
      </c>
    </row>
    <row r="1976">
      <c r="A1976" s="40">
        <f t="array" ref="A1976">IFNA(index(PlayerValues!A:A,match(IFNA(vlookup(B1976,'Special Names'!A:B,2,FALSE),B1976),PlayerValues!E:E,0)),"N/A")</f>
        <v>16625</v>
      </c>
      <c r="B1976" s="4" t="s">
        <v>778</v>
      </c>
      <c r="C1976" s="4" t="s">
        <v>287</v>
      </c>
      <c r="D1976" s="94">
        <v>814.0</v>
      </c>
    </row>
    <row r="1977">
      <c r="A1977" s="40">
        <f t="array" ref="A1977">IFNA(index(PlayerValues!A:A,match(IFNA(vlookup(B1977,'Special Names'!A:B,2,FALSE),B1977),PlayerValues!E:E,0)),"N/A")</f>
        <v>16686</v>
      </c>
      <c r="B1977" s="4" t="s">
        <v>805</v>
      </c>
      <c r="C1977" s="4" t="s">
        <v>287</v>
      </c>
      <c r="D1977" s="94">
        <v>807.0</v>
      </c>
    </row>
    <row r="1978">
      <c r="A1978" s="40">
        <f t="array" ref="A1978">IFNA(index(PlayerValues!A:A,match(IFNA(vlookup(B1978,'Special Names'!A:B,2,FALSE),B1978),PlayerValues!E:E,0)),"N/A")</f>
        <v>14805</v>
      </c>
      <c r="B1978" s="4" t="s">
        <v>770</v>
      </c>
      <c r="C1978" s="4" t="s">
        <v>278</v>
      </c>
      <c r="D1978" s="94">
        <v>806.0</v>
      </c>
    </row>
    <row r="1979">
      <c r="A1979" s="40">
        <f t="array" ref="A1979">IFNA(index(PlayerValues!A:A,match(IFNA(vlookup(B1979,'Special Names'!A:B,2,FALSE),B1979),PlayerValues!E:E,0)),"N/A")</f>
        <v>13157</v>
      </c>
      <c r="B1979" s="4" t="s">
        <v>836</v>
      </c>
      <c r="C1979" s="4" t="s">
        <v>287</v>
      </c>
      <c r="D1979" s="94">
        <v>776.0</v>
      </c>
    </row>
    <row r="1980">
      <c r="A1980" s="40">
        <f t="array" ref="A1980">IFNA(index(PlayerValues!A:A,match(IFNA(vlookup(B1980,'Special Names'!A:B,2,FALSE),B1980),PlayerValues!E:E,0)),"N/A")</f>
        <v>14852</v>
      </c>
      <c r="B1980" s="4" t="s">
        <v>837</v>
      </c>
      <c r="C1980" s="4" t="s">
        <v>278</v>
      </c>
      <c r="D1980" s="94">
        <v>775.0</v>
      </c>
    </row>
    <row r="1981">
      <c r="A1981" s="40">
        <f t="array" ref="A1981">IFNA(index(PlayerValues!A:A,match(IFNA(vlookup(B1981,'Special Names'!A:B,2,FALSE),B1981),PlayerValues!E:E,0)),"N/A")</f>
        <v>15285</v>
      </c>
      <c r="B1981" s="4" t="s">
        <v>792</v>
      </c>
      <c r="C1981" s="4" t="s">
        <v>287</v>
      </c>
      <c r="D1981" s="94">
        <v>755.0</v>
      </c>
    </row>
    <row r="1982">
      <c r="A1982" s="40">
        <f t="array" ref="A1982">IFNA(index(PlayerValues!A:A,match(IFNA(vlookup(B1982,'Special Names'!A:B,2,FALSE),B1982),PlayerValues!E:E,0)),"N/A")</f>
        <v>17038</v>
      </c>
      <c r="B1982" s="4" t="s">
        <v>774</v>
      </c>
      <c r="C1982" s="4" t="s">
        <v>283</v>
      </c>
      <c r="D1982" s="94">
        <v>755.0</v>
      </c>
    </row>
    <row r="1983">
      <c r="A1983" s="40">
        <f t="array" ref="A1983">IFNA(index(PlayerValues!A:A,match(IFNA(vlookup(B1983,'Special Names'!A:B,2,FALSE),B1983),PlayerValues!E:E,0)),"N/A")</f>
        <v>14858</v>
      </c>
      <c r="B1983" s="4" t="s">
        <v>799</v>
      </c>
      <c r="C1983" s="4" t="s">
        <v>287</v>
      </c>
      <c r="D1983" s="94">
        <v>749.0</v>
      </c>
    </row>
    <row r="1984">
      <c r="A1984" s="40">
        <f t="array" ref="A1984">IFNA(index(PlayerValues!A:A,match(IFNA(vlookup(B1984,'Special Names'!A:B,2,FALSE),B1984),PlayerValues!E:E,0)),"N/A")</f>
        <v>15965</v>
      </c>
      <c r="B1984" s="4" t="s">
        <v>791</v>
      </c>
      <c r="C1984" s="4" t="s">
        <v>278</v>
      </c>
      <c r="D1984" s="94">
        <v>748.0</v>
      </c>
    </row>
    <row r="1985">
      <c r="A1985" s="40">
        <f t="array" ref="A1985">IFNA(index(PlayerValues!A:A,match(IFNA(vlookup(B1985,'Special Names'!A:B,2,FALSE),B1985),PlayerValues!E:E,0)),"N/A")</f>
        <v>12610</v>
      </c>
      <c r="B1985" s="4" t="s">
        <v>838</v>
      </c>
      <c r="C1985" s="4" t="s">
        <v>283</v>
      </c>
      <c r="D1985" s="94">
        <v>744.0</v>
      </c>
    </row>
    <row r="1986">
      <c r="A1986" s="40">
        <f t="array" ref="A1986">IFNA(index(PlayerValues!A:A,match(IFNA(vlookup(B1986,'Special Names'!A:B,2,FALSE),B1986),PlayerValues!E:E,0)),"N/A")</f>
        <v>14113</v>
      </c>
      <c r="B1986" s="4" t="s">
        <v>788</v>
      </c>
      <c r="C1986" s="4" t="s">
        <v>287</v>
      </c>
      <c r="D1986" s="94">
        <v>742.0</v>
      </c>
    </row>
    <row r="1987">
      <c r="A1987" s="40">
        <f t="array" ref="A1987">IFNA(index(PlayerValues!A:A,match(IFNA(vlookup(B1987,'Special Names'!A:B,2,FALSE),B1987),PlayerValues!E:E,0)),"N/A")</f>
        <v>14209</v>
      </c>
      <c r="B1987" s="4" t="s">
        <v>809</v>
      </c>
      <c r="C1987" s="4" t="s">
        <v>298</v>
      </c>
      <c r="D1987" s="94">
        <v>1109.0</v>
      </c>
    </row>
    <row r="1988">
      <c r="A1988" s="40">
        <f t="array" ref="A1988">IFNA(index(PlayerValues!A:A,match(IFNA(vlookup(B1988,'Special Names'!A:B,2,FALSE),B1988),PlayerValues!E:E,0)),"N/A")</f>
        <v>13176</v>
      </c>
      <c r="B1988" s="4" t="s">
        <v>807</v>
      </c>
      <c r="C1988" s="4" t="s">
        <v>287</v>
      </c>
      <c r="D1988" s="94">
        <v>741.0</v>
      </c>
    </row>
    <row r="1989">
      <c r="A1989" s="40">
        <f t="array" ref="A1989">IFNA(index(PlayerValues!A:A,match(IFNA(vlookup(B1989,'Special Names'!A:B,2,FALSE),B1989),PlayerValues!E:E,0)),"N/A")</f>
        <v>15714</v>
      </c>
      <c r="B1989" s="4" t="s">
        <v>775</v>
      </c>
      <c r="C1989" s="4" t="s">
        <v>278</v>
      </c>
      <c r="D1989" s="94">
        <v>740.0</v>
      </c>
    </row>
    <row r="1990">
      <c r="A1990" s="40">
        <f t="array" ref="A1990">IFNA(index(PlayerValues!A:A,match(IFNA(vlookup(B1990,'Special Names'!A:B,2,FALSE),B1990),PlayerValues!E:E,0)),"N/A")</f>
        <v>13675</v>
      </c>
      <c r="B1990" s="4" t="s">
        <v>839</v>
      </c>
      <c r="C1990" s="4" t="s">
        <v>298</v>
      </c>
      <c r="D1990" s="94">
        <v>1106.0</v>
      </c>
    </row>
    <row r="1991">
      <c r="A1991" s="40">
        <f t="array" ref="A1991">IFNA(index(PlayerValues!A:A,match(IFNA(vlookup(B1991,'Special Names'!A:B,2,FALSE),B1991),PlayerValues!E:E,0)),"N/A")</f>
        <v>17541</v>
      </c>
      <c r="B1991" s="4" t="s">
        <v>616</v>
      </c>
      <c r="C1991" s="4" t="s">
        <v>287</v>
      </c>
      <c r="D1991" s="94">
        <v>722.0</v>
      </c>
    </row>
    <row r="1992">
      <c r="A1992" s="40">
        <f t="array" ref="A1992">IFNA(index(PlayerValues!A:A,match(IFNA(vlookup(B1992,'Special Names'!A:B,2,FALSE),B1992),PlayerValues!E:E,0)),"N/A")</f>
        <v>16413</v>
      </c>
      <c r="B1992" s="4" t="s">
        <v>781</v>
      </c>
      <c r="C1992" s="4" t="s">
        <v>287</v>
      </c>
      <c r="D1992" s="94">
        <v>716.0</v>
      </c>
    </row>
    <row r="1993">
      <c r="A1993" s="40">
        <f t="array" ref="A1993">IFNA(index(PlayerValues!A:A,match(IFNA(vlookup(B1993,'Special Names'!A:B,2,FALSE),B1993),PlayerValues!E:E,0)),"N/A")</f>
        <v>13172</v>
      </c>
      <c r="B1993" s="4" t="s">
        <v>840</v>
      </c>
      <c r="C1993" s="4" t="s">
        <v>287</v>
      </c>
      <c r="D1993" s="94">
        <v>712.0</v>
      </c>
    </row>
    <row r="1994">
      <c r="A1994" s="40">
        <f t="array" ref="A1994">IFNA(index(PlayerValues!A:A,match(IFNA(vlookup(B1994,'Special Names'!A:B,2,FALSE),B1994),PlayerValues!E:E,0)),"N/A")</f>
        <v>10413</v>
      </c>
      <c r="B1994" s="4" t="s">
        <v>811</v>
      </c>
      <c r="C1994" s="4" t="s">
        <v>283</v>
      </c>
      <c r="D1994" s="94">
        <v>705.0</v>
      </c>
    </row>
    <row r="1995">
      <c r="A1995" s="40">
        <f t="array" ref="A1995">IFNA(index(PlayerValues!A:A,match(IFNA(vlookup(B1995,'Special Names'!A:B,2,FALSE),B1995),PlayerValues!E:E,0)),"N/A")</f>
        <v>17232</v>
      </c>
      <c r="B1995" s="4" t="s">
        <v>784</v>
      </c>
      <c r="C1995" s="4" t="s">
        <v>287</v>
      </c>
      <c r="D1995" s="94">
        <v>700.0</v>
      </c>
    </row>
    <row r="1996">
      <c r="A1996" s="40">
        <f t="array" ref="A1996">IFNA(index(PlayerValues!A:A,match(IFNA(vlookup(B1996,'Special Names'!A:B,2,FALSE),B1996),PlayerValues!E:E,0)),"N/A")</f>
        <v>17470</v>
      </c>
      <c r="B1996" s="4" t="s">
        <v>841</v>
      </c>
      <c r="C1996" s="4" t="s">
        <v>283</v>
      </c>
      <c r="D1996" s="94">
        <v>699.0</v>
      </c>
    </row>
    <row r="1997">
      <c r="A1997" s="40">
        <f t="array" ref="A1997">IFNA(index(PlayerValues!A:A,match(IFNA(vlookup(B1997,'Special Names'!A:B,2,FALSE),B1997),PlayerValues!E:E,0)),"N/A")</f>
        <v>12658</v>
      </c>
      <c r="B1997" s="4" t="s">
        <v>823</v>
      </c>
      <c r="C1997" s="4" t="s">
        <v>287</v>
      </c>
      <c r="D1997" s="94">
        <v>690.0</v>
      </c>
    </row>
    <row r="1998">
      <c r="A1998" s="40">
        <f t="array" ref="A1998">IFNA(index(PlayerValues!A:A,match(IFNA(vlookup(B1998,'Special Names'!A:B,2,FALSE),B1998),PlayerValues!E:E,0)),"N/A")</f>
        <v>16632</v>
      </c>
      <c r="B1998" s="4" t="s">
        <v>842</v>
      </c>
      <c r="C1998" s="4" t="s">
        <v>287</v>
      </c>
      <c r="D1998" s="94">
        <v>690.0</v>
      </c>
    </row>
    <row r="1999">
      <c r="A1999" s="40">
        <f t="array" ref="A1999">IFNA(index(PlayerValues!A:A,match(IFNA(vlookup(B1999,'Special Names'!A:B,2,FALSE),B1999),PlayerValues!E:E,0)),"N/A")</f>
        <v>14870</v>
      </c>
      <c r="B1999" s="4" t="s">
        <v>843</v>
      </c>
      <c r="C1999" s="4" t="s">
        <v>298</v>
      </c>
      <c r="D1999" s="94">
        <v>1054.0</v>
      </c>
    </row>
    <row r="2000">
      <c r="A2000" s="40">
        <f t="array" ref="A2000">IFNA(index(PlayerValues!A:A,match(IFNA(vlookup(B2000,'Special Names'!A:B,2,FALSE),B2000),PlayerValues!E:E,0)),"N/A")</f>
        <v>17526</v>
      </c>
      <c r="B2000" s="4" t="s">
        <v>760</v>
      </c>
      <c r="C2000" s="4" t="s">
        <v>287</v>
      </c>
      <c r="D2000" s="94">
        <v>686.0</v>
      </c>
    </row>
    <row r="2001">
      <c r="A2001" s="40">
        <f t="array" ref="A2001">IFNA(index(PlayerValues!A:A,match(IFNA(vlookup(B2001,'Special Names'!A:B,2,FALSE),B2001),PlayerValues!E:E,0)),"N/A")</f>
        <v>13589</v>
      </c>
      <c r="B2001" s="4" t="s">
        <v>282</v>
      </c>
      <c r="C2001" s="4" t="s">
        <v>283</v>
      </c>
      <c r="D2001" s="94">
        <v>9987.0</v>
      </c>
    </row>
    <row r="2002">
      <c r="A2002" s="40">
        <f t="array" ref="A2002">IFNA(index(PlayerValues!A:A,match(IFNA(vlookup(B2002,'Special Names'!A:B,2,FALSE),B2002),PlayerValues!E:E,0)),"N/A")</f>
        <v>16161</v>
      </c>
      <c r="B2002" s="4" t="s">
        <v>277</v>
      </c>
      <c r="C2002" s="4" t="s">
        <v>278</v>
      </c>
      <c r="D2002" s="94">
        <v>9981.0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9837.0</v>
      </c>
    </row>
    <row r="2004">
      <c r="A2004" s="40">
        <f t="array" ref="A2004">IFNA(index(PlayerValues!A:A,match(IFNA(vlookup(B2004,'Special Names'!A:B,2,FALSE),B2004),PlayerValues!E:E,0)),"N/A")</f>
        <v>16185</v>
      </c>
      <c r="B2004" s="4" t="s">
        <v>290</v>
      </c>
      <c r="C2004" s="4" t="s">
        <v>287</v>
      </c>
      <c r="D2004" s="94">
        <v>9784.0</v>
      </c>
    </row>
    <row r="2005">
      <c r="A2005" s="40">
        <f t="array" ref="A2005">IFNA(index(PlayerValues!A:A,match(IFNA(vlookup(B2005,'Special Names'!A:B,2,FALSE),B2005),PlayerValues!E:E,0)),"N/A")</f>
        <v>16162</v>
      </c>
      <c r="B2005" s="4" t="s">
        <v>281</v>
      </c>
      <c r="C2005" s="4" t="s">
        <v>278</v>
      </c>
      <c r="D2005" s="94">
        <v>9645.0</v>
      </c>
    </row>
    <row r="2006">
      <c r="A2006" s="40">
        <f t="array" ref="A2006">IFNA(index(PlayerValues!A:A,match(IFNA(vlookup(B2006,'Special Names'!A:B,2,FALSE),B2006),PlayerValues!E:E,0)),"N/A")</f>
        <v>16580</v>
      </c>
      <c r="B2006" s="4" t="s">
        <v>291</v>
      </c>
      <c r="C2006" s="4" t="s">
        <v>283</v>
      </c>
      <c r="D2006" s="94">
        <v>9367.0</v>
      </c>
    </row>
    <row r="2007">
      <c r="A2007" s="40">
        <f t="array" ref="A2007">IFNA(index(PlayerValues!A:A,match(IFNA(vlookup(B2007,'Special Names'!A:B,2,FALSE),B2007),PlayerValues!E:E,0)),"N/A")</f>
        <v>16211</v>
      </c>
      <c r="B2007" s="4" t="s">
        <v>294</v>
      </c>
      <c r="C2007" s="4" t="s">
        <v>287</v>
      </c>
      <c r="D2007" s="94">
        <v>9253.0</v>
      </c>
    </row>
    <row r="2008">
      <c r="A2008" s="40">
        <f t="array" ref="A2008">IFNA(index(PlayerValues!A:A,match(IFNA(vlookup(B2008,'Special Names'!A:B,2,FALSE),B2008),PlayerValues!E:E,0)),"N/A")</f>
        <v>16579</v>
      </c>
      <c r="B2008" s="4" t="s">
        <v>302</v>
      </c>
      <c r="C2008" s="4" t="s">
        <v>283</v>
      </c>
      <c r="D2008" s="94">
        <v>7752.0</v>
      </c>
    </row>
    <row r="2009">
      <c r="A2009" s="40">
        <f t="array" ref="A2009">IFNA(index(PlayerValues!A:A,match(IFNA(vlookup(B2009,'Special Names'!A:B,2,FALSE),B2009),PlayerValues!E:E,0)),"N/A")</f>
        <v>16581</v>
      </c>
      <c r="B2009" s="4" t="s">
        <v>315</v>
      </c>
      <c r="C2009" s="4" t="s">
        <v>283</v>
      </c>
      <c r="D2009" s="94">
        <v>7751.0</v>
      </c>
    </row>
    <row r="2010">
      <c r="A2010" s="40">
        <f t="array" ref="A2010">IFNA(index(PlayerValues!A:A,match(IFNA(vlookup(B2010,'Special Names'!A:B,2,FALSE),B2010),PlayerValues!E:E,0)),"N/A")</f>
        <v>16641</v>
      </c>
      <c r="B2010" s="4" t="s">
        <v>297</v>
      </c>
      <c r="C2010" s="4" t="s">
        <v>298</v>
      </c>
      <c r="D2010" s="94">
        <v>8555.0</v>
      </c>
    </row>
    <row r="2011">
      <c r="A2011" s="40">
        <f t="array" ref="A2011">IFNA(index(PlayerValues!A:A,match(IFNA(vlookup(B2011,'Special Names'!A:B,2,FALSE),B2011),PlayerValues!E:E,0)),"N/A")</f>
        <v>15287</v>
      </c>
      <c r="B2011" s="4" t="s">
        <v>299</v>
      </c>
      <c r="C2011" s="4" t="s">
        <v>287</v>
      </c>
      <c r="D2011" s="94">
        <v>7713.0</v>
      </c>
    </row>
    <row r="2012">
      <c r="A2012" s="40">
        <f t="array" ref="A2012">IFNA(index(PlayerValues!A:A,match(IFNA(vlookup(B2012,'Special Names'!A:B,2,FALSE),B2012),PlayerValues!E:E,0)),"N/A")</f>
        <v>16615</v>
      </c>
      <c r="B2012" s="4" t="s">
        <v>309</v>
      </c>
      <c r="C2012" s="4" t="s">
        <v>287</v>
      </c>
      <c r="D2012" s="94">
        <v>7709.0</v>
      </c>
    </row>
    <row r="2013">
      <c r="A2013" s="40">
        <f t="array" ref="A2013">IFNA(index(PlayerValues!A:A,match(IFNA(vlookup(B2013,'Special Names'!A:B,2,FALSE),B2013),PlayerValues!E:E,0)),"N/A")</f>
        <v>13593</v>
      </c>
      <c r="B2013" s="4" t="s">
        <v>305</v>
      </c>
      <c r="C2013" s="4" t="s">
        <v>283</v>
      </c>
      <c r="D2013" s="94">
        <v>7682.0</v>
      </c>
    </row>
    <row r="2014">
      <c r="A2014" s="40">
        <f t="array" ref="A2014">IFNA(index(PlayerValues!A:A,match(IFNA(vlookup(B2014,'Special Names'!A:B,2,FALSE),B2014),PlayerValues!E:E,0)),"N/A")</f>
        <v>14836</v>
      </c>
      <c r="B2014" s="4" t="s">
        <v>306</v>
      </c>
      <c r="C2014" s="4" t="s">
        <v>287</v>
      </c>
      <c r="D2014" s="94">
        <v>7681.0</v>
      </c>
    </row>
    <row r="2015">
      <c r="A2015" s="40">
        <f t="array" ref="A2015">IFNA(index(PlayerValues!A:A,match(IFNA(vlookup(B2015,'Special Names'!A:B,2,FALSE),B2015),PlayerValues!E:E,0)),"N/A")</f>
        <v>15794</v>
      </c>
      <c r="B2015" s="4" t="s">
        <v>313</v>
      </c>
      <c r="C2015" s="4" t="s">
        <v>298</v>
      </c>
      <c r="D2015" s="94">
        <v>8420.0</v>
      </c>
    </row>
    <row r="2016">
      <c r="A2016" s="40">
        <f t="array" ref="A2016">IFNA(index(PlayerValues!A:A,match(IFNA(vlookup(B2016,'Special Names'!A:B,2,FALSE),B2016),PlayerValues!E:E,0)),"N/A")</f>
        <v>17042</v>
      </c>
      <c r="B2016" s="4" t="s">
        <v>314</v>
      </c>
      <c r="C2016" s="4" t="s">
        <v>278</v>
      </c>
      <c r="D2016" s="94">
        <v>7477.0</v>
      </c>
    </row>
    <row r="2017">
      <c r="A2017" s="40">
        <f t="array" ref="A2017">IFNA(index(PlayerValues!A:A,match(IFNA(vlookup(B2017,'Special Names'!A:B,2,FALSE),B2017),PlayerValues!E:E,0)),"N/A")</f>
        <v>17472</v>
      </c>
      <c r="B2017" s="4" t="s">
        <v>310</v>
      </c>
      <c r="C2017" s="4" t="s">
        <v>278</v>
      </c>
      <c r="D2017" s="94">
        <v>7416.0</v>
      </c>
    </row>
    <row r="2018">
      <c r="A2018" s="40">
        <f t="array" ref="A2018">IFNA(index(PlayerValues!A:A,match(IFNA(vlookup(B2018,'Special Names'!A:B,2,FALSE),B2018),PlayerValues!E:E,0)),"N/A")</f>
        <v>14777</v>
      </c>
      <c r="B2018" s="4" t="s">
        <v>318</v>
      </c>
      <c r="C2018" s="4" t="s">
        <v>283</v>
      </c>
      <c r="D2018" s="94">
        <v>7372.0</v>
      </c>
    </row>
    <row r="2019">
      <c r="A2019" s="40">
        <f t="array" ref="A2019">IFNA(index(PlayerValues!A:A,match(IFNA(vlookup(B2019,'Special Names'!A:B,2,FALSE),B2019),PlayerValues!E:E,0)),"N/A")</f>
        <v>14832</v>
      </c>
      <c r="B2019" s="4" t="s">
        <v>319</v>
      </c>
      <c r="C2019" s="4" t="s">
        <v>287</v>
      </c>
      <c r="D2019" s="94">
        <v>7324.0</v>
      </c>
    </row>
    <row r="2020">
      <c r="A2020" s="40">
        <f t="array" ref="A2020">IFNA(index(PlayerValues!A:A,match(IFNA(vlookup(B2020,'Special Names'!A:B,2,FALSE),B2020),PlayerValues!E:E,0)),"N/A")</f>
        <v>15751</v>
      </c>
      <c r="B2020" s="4" t="s">
        <v>328</v>
      </c>
      <c r="C2020" s="4" t="s">
        <v>287</v>
      </c>
      <c r="D2020" s="94">
        <v>6947.0</v>
      </c>
    </row>
    <row r="2021">
      <c r="A2021" s="40">
        <f t="array" ref="A2021">IFNA(index(PlayerValues!A:A,match(IFNA(vlookup(B2021,'Special Names'!A:B,2,FALSE),B2021),PlayerValues!E:E,0)),"N/A")</f>
        <v>14779</v>
      </c>
      <c r="B2021" s="4" t="s">
        <v>327</v>
      </c>
      <c r="C2021" s="4" t="s">
        <v>283</v>
      </c>
      <c r="D2021" s="94">
        <v>6921.0</v>
      </c>
    </row>
    <row r="2022">
      <c r="A2022" s="40" t="str">
        <f t="array" ref="A2022">IFNA(index(PlayerValues!A:A,match(IFNA(vlookup(B2022,'Special Names'!A:B,2,FALSE),B2022),PlayerValues!E:E,0)),"N/A")</f>
        <v>N/A</v>
      </c>
      <c r="B2022" s="4" t="s">
        <v>92</v>
      </c>
      <c r="C2022" s="4" t="s">
        <v>325</v>
      </c>
      <c r="D2022" s="94">
        <v>6850.0</v>
      </c>
    </row>
    <row r="2023">
      <c r="A2023" s="40">
        <f t="array" ref="A2023">IFNA(index(PlayerValues!A:A,match(IFNA(vlookup(B2023,'Special Names'!A:B,2,FALSE),B2023),PlayerValues!E:E,0)),"N/A")</f>
        <v>16167</v>
      </c>
      <c r="B2023" s="4" t="s">
        <v>323</v>
      </c>
      <c r="C2023" s="4" t="s">
        <v>278</v>
      </c>
      <c r="D2023" s="94">
        <v>6838.0</v>
      </c>
    </row>
    <row r="2024">
      <c r="A2024" s="40">
        <f t="array" ref="A2024">IFNA(index(PlayerValues!A:A,match(IFNA(vlookup(B2024,'Special Names'!A:B,2,FALSE),B2024),PlayerValues!E:E,0)),"N/A")</f>
        <v>13116</v>
      </c>
      <c r="B2024" s="4" t="s">
        <v>345</v>
      </c>
      <c r="C2024" s="4" t="s">
        <v>283</v>
      </c>
      <c r="D2024" s="94">
        <v>6801.0</v>
      </c>
    </row>
    <row r="2025">
      <c r="A2025" s="40">
        <f t="array" ref="A2025">IFNA(index(PlayerValues!A:A,match(IFNA(vlookup(B2025,'Special Names'!A:B,2,FALSE),B2025),PlayerValues!E:E,0)),"N/A")</f>
        <v>17044</v>
      </c>
      <c r="B2025" s="4" t="s">
        <v>322</v>
      </c>
      <c r="C2025" s="4" t="s">
        <v>278</v>
      </c>
      <c r="D2025" s="94">
        <v>6763.0</v>
      </c>
    </row>
    <row r="2026">
      <c r="A2026" s="40">
        <f t="array" ref="A2026">IFNA(index(PlayerValues!A:A,match(IFNA(vlookup(B2026,'Special Names'!A:B,2,FALSE),B2026),PlayerValues!E:E,0)),"N/A")</f>
        <v>17032</v>
      </c>
      <c r="B2026" s="4" t="s">
        <v>348</v>
      </c>
      <c r="C2026" s="4" t="s">
        <v>283</v>
      </c>
      <c r="D2026" s="94">
        <v>6653.0</v>
      </c>
    </row>
    <row r="2027">
      <c r="A2027" s="40">
        <f t="array" ref="A2027">IFNA(index(PlayerValues!A:A,match(IFNA(vlookup(B2027,'Special Names'!A:B,2,FALSE),B2027),PlayerValues!E:E,0)),"N/A")</f>
        <v>17071</v>
      </c>
      <c r="B2027" s="4" t="s">
        <v>341</v>
      </c>
      <c r="C2027" s="4" t="s">
        <v>287</v>
      </c>
      <c r="D2027" s="94">
        <v>6645.0</v>
      </c>
    </row>
    <row r="2028">
      <c r="A2028" s="40">
        <f t="array" ref="A2028">IFNA(index(PlayerValues!A:A,match(IFNA(vlookup(B2028,'Special Names'!A:B,2,FALSE),B2028),PlayerValues!E:E,0)),"N/A")</f>
        <v>14783</v>
      </c>
      <c r="B2028" s="4" t="s">
        <v>342</v>
      </c>
      <c r="C2028" s="4" t="s">
        <v>283</v>
      </c>
      <c r="D2028" s="94">
        <v>6334.0</v>
      </c>
    </row>
    <row r="2029">
      <c r="A2029" s="40">
        <f t="array" ref="A2029">IFNA(index(PlayerValues!A:A,match(IFNA(vlookup(B2029,'Special Names'!A:B,2,FALSE),B2029),PlayerValues!E:E,0)),"N/A")</f>
        <v>15237</v>
      </c>
      <c r="B2029" s="4" t="s">
        <v>336</v>
      </c>
      <c r="C2029" s="4" t="s">
        <v>283</v>
      </c>
      <c r="D2029" s="94">
        <v>6284.0</v>
      </c>
    </row>
    <row r="2030">
      <c r="A2030" s="40">
        <f t="array" ref="A2030">IFNA(index(PlayerValues!A:A,match(IFNA(vlookup(B2030,'Special Names'!A:B,2,FALSE),B2030),PlayerValues!E:E,0)),"N/A")</f>
        <v>16582</v>
      </c>
      <c r="B2030" s="4" t="s">
        <v>343</v>
      </c>
      <c r="C2030" s="4" t="s">
        <v>283</v>
      </c>
      <c r="D2030" s="94">
        <v>6254.0</v>
      </c>
    </row>
    <row r="2031">
      <c r="A2031" s="40">
        <f t="array" ref="A2031">IFNA(index(PlayerValues!A:A,match(IFNA(vlookup(B2031,'Special Names'!A:B,2,FALSE),B2031),PlayerValues!E:E,0)),"N/A")</f>
        <v>15762</v>
      </c>
      <c r="B2031" s="4" t="s">
        <v>337</v>
      </c>
      <c r="C2031" s="4" t="s">
        <v>287</v>
      </c>
      <c r="D2031" s="94">
        <v>6067.0</v>
      </c>
    </row>
    <row r="2032">
      <c r="A2032" s="40">
        <f t="array" ref="A2032">IFNA(index(PlayerValues!A:A,match(IFNA(vlookup(B2032,'Special Names'!A:B,2,FALSE),B2032),PlayerValues!E:E,0)),"N/A")</f>
        <v>17081</v>
      </c>
      <c r="B2032" s="4" t="s">
        <v>340</v>
      </c>
      <c r="C2032" s="4" t="s">
        <v>287</v>
      </c>
      <c r="D2032" s="94">
        <v>5993.0</v>
      </c>
    </row>
    <row r="2033">
      <c r="A2033" s="40">
        <f t="array" ref="A2033">IFNA(index(PlayerValues!A:A,match(IFNA(vlookup(B2033,'Special Names'!A:B,2,FALSE),B2033),PlayerValues!E:E,0)),"N/A")</f>
        <v>17104</v>
      </c>
      <c r="B2033" s="4" t="s">
        <v>333</v>
      </c>
      <c r="C2033" s="4" t="s">
        <v>298</v>
      </c>
      <c r="D2033" s="94">
        <v>6658.0</v>
      </c>
    </row>
    <row r="2034">
      <c r="A2034" s="40">
        <f t="array" ref="A2034">IFNA(index(PlayerValues!A:A,match(IFNA(vlookup(B2034,'Special Names'!A:B,2,FALSE),B2034),PlayerValues!E:E,0)),"N/A")</f>
        <v>15715</v>
      </c>
      <c r="B2034" s="4" t="s">
        <v>331</v>
      </c>
      <c r="C2034" s="4" t="s">
        <v>278</v>
      </c>
      <c r="D2034" s="94">
        <v>5990.0</v>
      </c>
    </row>
    <row r="2035">
      <c r="A2035" s="40">
        <f t="array" ref="A2035">IFNA(index(PlayerValues!A:A,match(IFNA(vlookup(B2035,'Special Names'!A:B,2,FALSE),B2035),PlayerValues!E:E,0)),"N/A")</f>
        <v>14802</v>
      </c>
      <c r="B2035" s="4" t="s">
        <v>332</v>
      </c>
      <c r="C2035" s="4" t="s">
        <v>278</v>
      </c>
      <c r="D2035" s="94">
        <v>5987.0</v>
      </c>
    </row>
    <row r="2036">
      <c r="A2036" s="40">
        <f t="array" ref="A2036">IFNA(index(PlayerValues!A:A,match(IFNA(vlookup(B2036,'Special Names'!A:B,2,FALSE),B2036),PlayerValues!E:E,0)),"N/A")</f>
        <v>15698</v>
      </c>
      <c r="B2036" s="4" t="s">
        <v>358</v>
      </c>
      <c r="C2036" s="4" t="s">
        <v>283</v>
      </c>
      <c r="D2036" s="94">
        <v>5968.0</v>
      </c>
    </row>
    <row r="2037">
      <c r="A2037" s="40" t="str">
        <f t="array" ref="A2037">IFNA(index(PlayerValues!A:A,match(IFNA(vlookup(B2037,'Special Names'!A:B,2,FALSE),B2037),PlayerValues!E:E,0)),"N/A")</f>
        <v>N/A</v>
      </c>
      <c r="B2037" s="4" t="s">
        <v>79</v>
      </c>
      <c r="C2037" s="4" t="s">
        <v>325</v>
      </c>
      <c r="D2037" s="94">
        <v>5841.0</v>
      </c>
    </row>
    <row r="2038">
      <c r="A2038" s="40">
        <f t="array" ref="A2038">IFNA(index(PlayerValues!A:A,match(IFNA(vlookup(B2038,'Special Names'!A:B,2,FALSE),B2038),PlayerValues!E:E,0)),"N/A")</f>
        <v>15753</v>
      </c>
      <c r="B2038" s="4" t="s">
        <v>359</v>
      </c>
      <c r="C2038" s="4" t="s">
        <v>287</v>
      </c>
      <c r="D2038" s="94">
        <v>5774.0</v>
      </c>
    </row>
    <row r="2039">
      <c r="A2039" s="40">
        <f t="array" ref="A2039">IFNA(index(PlayerValues!A:A,match(IFNA(vlookup(B2039,'Special Names'!A:B,2,FALSE),B2039),PlayerValues!E:E,0)),"N/A")</f>
        <v>15290</v>
      </c>
      <c r="B2039" s="4" t="s">
        <v>355</v>
      </c>
      <c r="C2039" s="4" t="s">
        <v>287</v>
      </c>
      <c r="D2039" s="94">
        <v>5772.0</v>
      </c>
    </row>
    <row r="2040">
      <c r="A2040" s="40">
        <f t="array" ref="A2040">IFNA(index(PlayerValues!A:A,match(IFNA(vlookup(B2040,'Special Names'!A:B,2,FALSE),B2040),PlayerValues!E:E,0)),"N/A")</f>
        <v>15711</v>
      </c>
      <c r="B2040" s="4" t="s">
        <v>349</v>
      </c>
      <c r="C2040" s="4" t="s">
        <v>278</v>
      </c>
      <c r="D2040" s="94">
        <v>5764.0</v>
      </c>
    </row>
    <row r="2041">
      <c r="A2041" s="40">
        <f t="array" ref="A2041">IFNA(index(PlayerValues!A:A,match(IFNA(vlookup(B2041,'Special Names'!A:B,2,FALSE),B2041),PlayerValues!E:E,0)),"N/A")</f>
        <v>17102</v>
      </c>
      <c r="B2041" s="4" t="s">
        <v>344</v>
      </c>
      <c r="C2041" s="4" t="s">
        <v>298</v>
      </c>
      <c r="D2041" s="94">
        <v>6401.0</v>
      </c>
    </row>
    <row r="2042">
      <c r="A2042" s="40">
        <f t="array" ref="A2042">IFNA(index(PlayerValues!A:A,match(IFNA(vlookup(B2042,'Special Names'!A:B,2,FALSE),B2042),PlayerValues!E:E,0)),"N/A")</f>
        <v>14782</v>
      </c>
      <c r="B2042" s="4" t="s">
        <v>385</v>
      </c>
      <c r="C2042" s="4" t="s">
        <v>283</v>
      </c>
      <c r="D2042" s="94">
        <v>5698.0</v>
      </c>
    </row>
    <row r="2043">
      <c r="A2043" s="40">
        <f t="array" ref="A2043">IFNA(index(PlayerValues!A:A,match(IFNA(vlookup(B2043,'Special Names'!A:B,2,FALSE),B2043),PlayerValues!E:E,0)),"N/A")</f>
        <v>15754</v>
      </c>
      <c r="B2043" s="4" t="s">
        <v>354</v>
      </c>
      <c r="C2043" s="4" t="s">
        <v>287</v>
      </c>
      <c r="D2043" s="94">
        <v>5675.0</v>
      </c>
    </row>
    <row r="2044">
      <c r="A2044" s="40" t="str">
        <f t="array" ref="A2044">IFNA(index(PlayerValues!A:A,match(IFNA(vlookup(B2044,'Special Names'!A:B,2,FALSE),B2044),PlayerValues!E:E,0)),"N/A")</f>
        <v>N/A</v>
      </c>
      <c r="B2044" s="4" t="s">
        <v>93</v>
      </c>
      <c r="C2044" s="4" t="s">
        <v>325</v>
      </c>
      <c r="D2044" s="94">
        <v>5630.0</v>
      </c>
    </row>
    <row r="2045">
      <c r="A2045" s="40">
        <f t="array" ref="A2045">IFNA(index(PlayerValues!A:A,match(IFNA(vlookup(B2045,'Special Names'!A:B,2,FALSE),B2045),PlayerValues!E:E,0)),"N/A")</f>
        <v>17462</v>
      </c>
      <c r="B2045" s="4" t="s">
        <v>375</v>
      </c>
      <c r="C2045" s="4" t="s">
        <v>283</v>
      </c>
      <c r="D2045" s="94">
        <v>5595.0</v>
      </c>
    </row>
    <row r="2046">
      <c r="A2046" s="40">
        <f t="array" ref="A2046">IFNA(index(PlayerValues!A:A,match(IFNA(vlookup(B2046,'Special Names'!A:B,2,FALSE),B2046),PlayerValues!E:E,0)),"N/A")</f>
        <v>16616</v>
      </c>
      <c r="B2046" s="4" t="s">
        <v>389</v>
      </c>
      <c r="C2046" s="4" t="s">
        <v>287</v>
      </c>
      <c r="D2046" s="94">
        <v>5539.0</v>
      </c>
    </row>
    <row r="2047">
      <c r="A2047" s="40">
        <f t="array" ref="A2047">IFNA(index(PlayerValues!A:A,match(IFNA(vlookup(B2047,'Special Names'!A:B,2,FALSE),B2047),PlayerValues!E:E,0)),"N/A")</f>
        <v>17043</v>
      </c>
      <c r="B2047" s="4" t="s">
        <v>397</v>
      </c>
      <c r="C2047" s="4" t="s">
        <v>278</v>
      </c>
      <c r="D2047" s="94">
        <v>5474.0</v>
      </c>
    </row>
    <row r="2048">
      <c r="A2048" s="40">
        <f t="array" ref="A2048">IFNA(index(PlayerValues!A:A,match(IFNA(vlookup(B2048,'Special Names'!A:B,2,FALSE),B2048),PlayerValues!E:E,0)),"N/A")</f>
        <v>17051</v>
      </c>
      <c r="B2048" s="4" t="s">
        <v>386</v>
      </c>
      <c r="C2048" s="4" t="s">
        <v>278</v>
      </c>
      <c r="D2048" s="94">
        <v>5421.0</v>
      </c>
    </row>
    <row r="2049">
      <c r="A2049" s="40">
        <f t="array" ref="A2049">IFNA(index(PlayerValues!A:A,match(IFNA(vlookup(B2049,'Special Names'!A:B,2,FALSE),B2049),PlayerValues!E:E,0)),"N/A")</f>
        <v>16627</v>
      </c>
      <c r="B2049" s="4" t="s">
        <v>351</v>
      </c>
      <c r="C2049" s="4" t="s">
        <v>287</v>
      </c>
      <c r="D2049" s="94">
        <v>5399.0</v>
      </c>
    </row>
    <row r="2050">
      <c r="A2050" s="40">
        <f t="array" ref="A2050">IFNA(index(PlayerValues!A:A,match(IFNA(vlookup(B2050,'Special Names'!A:B,2,FALSE),B2050),PlayerValues!E:E,0)),"N/A")</f>
        <v>17070</v>
      </c>
      <c r="B2050" s="4" t="s">
        <v>370</v>
      </c>
      <c r="C2050" s="4" t="s">
        <v>287</v>
      </c>
      <c r="D2050" s="94">
        <v>5376.0</v>
      </c>
    </row>
    <row r="2051">
      <c r="A2051" s="40">
        <f t="array" ref="A2051">IFNA(index(PlayerValues!A:A,match(IFNA(vlookup(B2051,'Special Names'!A:B,2,FALSE),B2051),PlayerValues!E:E,0)),"N/A")</f>
        <v>15708</v>
      </c>
      <c r="B2051" s="4" t="s">
        <v>382</v>
      </c>
      <c r="C2051" s="4" t="s">
        <v>278</v>
      </c>
      <c r="D2051" s="94">
        <v>5354.0</v>
      </c>
    </row>
    <row r="2052">
      <c r="A2052" s="40">
        <f t="array" ref="A2052">IFNA(index(PlayerValues!A:A,match(IFNA(vlookup(B2052,'Special Names'!A:B,2,FALSE),B2052),PlayerValues!E:E,0)),"N/A")</f>
        <v>17497</v>
      </c>
      <c r="B2052" s="4" t="s">
        <v>365</v>
      </c>
      <c r="C2052" s="4" t="s">
        <v>287</v>
      </c>
      <c r="D2052" s="94">
        <v>5201.0</v>
      </c>
    </row>
    <row r="2053">
      <c r="A2053" s="40">
        <f t="array" ref="A2053">IFNA(index(PlayerValues!A:A,match(IFNA(vlookup(B2053,'Special Names'!A:B,2,FALSE),B2053),PlayerValues!E:E,0)),"N/A")</f>
        <v>17030</v>
      </c>
      <c r="B2053" s="4" t="s">
        <v>406</v>
      </c>
      <c r="C2053" s="4" t="s">
        <v>283</v>
      </c>
      <c r="D2053" s="94">
        <v>5147.0</v>
      </c>
    </row>
    <row r="2054">
      <c r="A2054" s="40">
        <f t="array" ref="A2054">IFNA(index(PlayerValues!A:A,match(IFNA(vlookup(B2054,'Special Names'!A:B,2,FALSE),B2054),PlayerValues!E:E,0)),"N/A")</f>
        <v>13130</v>
      </c>
      <c r="B2054" s="4" t="s">
        <v>374</v>
      </c>
      <c r="C2054" s="4" t="s">
        <v>278</v>
      </c>
      <c r="D2054" s="94">
        <v>5130.0</v>
      </c>
    </row>
    <row r="2055">
      <c r="A2055" s="40">
        <f t="array" ref="A2055">IFNA(index(PlayerValues!A:A,match(IFNA(vlookup(B2055,'Special Names'!A:B,2,FALSE),B2055),PlayerValues!E:E,0)),"N/A")</f>
        <v>17499</v>
      </c>
      <c r="B2055" s="4" t="s">
        <v>402</v>
      </c>
      <c r="C2055" s="4" t="s">
        <v>287</v>
      </c>
      <c r="D2055" s="94">
        <v>5100.0</v>
      </c>
    </row>
    <row r="2056">
      <c r="A2056" s="40">
        <f t="array" ref="A2056">IFNA(index(PlayerValues!A:A,match(IFNA(vlookup(B2056,'Special Names'!A:B,2,FALSE),B2056),PlayerValues!E:E,0)),"N/A")</f>
        <v>16598</v>
      </c>
      <c r="B2056" s="4" t="s">
        <v>408</v>
      </c>
      <c r="C2056" s="4" t="s">
        <v>278</v>
      </c>
      <c r="D2056" s="94">
        <v>5093.0</v>
      </c>
    </row>
    <row r="2057">
      <c r="A2057" s="40">
        <f t="array" ref="A2057">IFNA(index(PlayerValues!A:A,match(IFNA(vlookup(B2057,'Special Names'!A:B,2,FALSE),B2057),PlayerValues!E:E,0)),"N/A")</f>
        <v>12620</v>
      </c>
      <c r="B2057" s="4" t="s">
        <v>394</v>
      </c>
      <c r="C2057" s="4" t="s">
        <v>283</v>
      </c>
      <c r="D2057" s="94">
        <v>5061.0</v>
      </c>
    </row>
    <row r="2058">
      <c r="A2058" s="40">
        <f t="array" ref="A2058">IFNA(index(PlayerValues!A:A,match(IFNA(vlookup(B2058,'Special Names'!A:B,2,FALSE),B2058),PlayerValues!E:E,0)),"N/A")</f>
        <v>16614</v>
      </c>
      <c r="B2058" s="4" t="s">
        <v>403</v>
      </c>
      <c r="C2058" s="4" t="s">
        <v>287</v>
      </c>
      <c r="D2058" s="94">
        <v>4999.0</v>
      </c>
    </row>
    <row r="2059">
      <c r="A2059" s="40" t="str">
        <f t="array" ref="A2059">IFNA(index(PlayerValues!A:A,match(IFNA(vlookup(B2059,'Special Names'!A:B,2,FALSE),B2059),PlayerValues!E:E,0)),"N/A")</f>
        <v>N/A</v>
      </c>
      <c r="B2059" s="4" t="s">
        <v>104</v>
      </c>
      <c r="C2059" s="4" t="s">
        <v>325</v>
      </c>
      <c r="D2059" s="94">
        <v>4990.0</v>
      </c>
    </row>
    <row r="2060">
      <c r="A2060" s="40">
        <f t="array" ref="A2060">IFNA(index(PlayerValues!A:A,match(IFNA(vlookup(B2060,'Special Names'!A:B,2,FALSE),B2060),PlayerValues!E:E,0)),"N/A")</f>
        <v>16181</v>
      </c>
      <c r="B2060" s="4" t="s">
        <v>350</v>
      </c>
      <c r="C2060" s="4" t="s">
        <v>278</v>
      </c>
      <c r="D2060" s="94">
        <v>4962.0</v>
      </c>
    </row>
    <row r="2061">
      <c r="A2061" s="40">
        <f t="array" ref="A2061">IFNA(index(PlayerValues!A:A,match(IFNA(vlookup(B2061,'Special Names'!A:B,2,FALSE),B2061),PlayerValues!E:E,0)),"N/A")</f>
        <v>17103</v>
      </c>
      <c r="B2061" s="4" t="s">
        <v>405</v>
      </c>
      <c r="C2061" s="4" t="s">
        <v>298</v>
      </c>
      <c r="D2061" s="94">
        <v>5536.0</v>
      </c>
    </row>
    <row r="2062">
      <c r="A2062" s="40">
        <f t="array" ref="A2062">IFNA(index(PlayerValues!A:A,match(IFNA(vlookup(B2062,'Special Names'!A:B,2,FALSE),B2062),PlayerValues!E:E,0)),"N/A")</f>
        <v>16618</v>
      </c>
      <c r="B2062" s="4" t="s">
        <v>411</v>
      </c>
      <c r="C2062" s="4" t="s">
        <v>287</v>
      </c>
      <c r="D2062" s="94">
        <v>4929.0</v>
      </c>
    </row>
    <row r="2063">
      <c r="A2063" s="40">
        <f t="array" ref="A2063">IFNA(index(PlayerValues!A:A,match(IFNA(vlookup(B2063,'Special Names'!A:B,2,FALSE),B2063),PlayerValues!E:E,0)),"N/A")</f>
        <v>15282</v>
      </c>
      <c r="B2063" s="4" t="s">
        <v>364</v>
      </c>
      <c r="C2063" s="4" t="s">
        <v>287</v>
      </c>
      <c r="D2063" s="94">
        <v>4919.0</v>
      </c>
    </row>
    <row r="2064">
      <c r="A2064" s="40">
        <f t="array" ref="A2064">IFNA(index(PlayerValues!A:A,match(IFNA(vlookup(B2064,'Special Names'!A:B,2,FALSE),B2064),PlayerValues!E:E,0)),"N/A")</f>
        <v>14835</v>
      </c>
      <c r="B2064" s="4" t="s">
        <v>392</v>
      </c>
      <c r="C2064" s="4" t="s">
        <v>287</v>
      </c>
      <c r="D2064" s="94">
        <v>4917.0</v>
      </c>
    </row>
    <row r="2065">
      <c r="A2065" s="40">
        <f t="array" ref="A2065">IFNA(index(PlayerValues!A:A,match(IFNA(vlookup(B2065,'Special Names'!A:B,2,FALSE),B2065),PlayerValues!E:E,0)),"N/A")</f>
        <v>13604</v>
      </c>
      <c r="B2065" s="4" t="s">
        <v>378</v>
      </c>
      <c r="C2065" s="4" t="s">
        <v>278</v>
      </c>
      <c r="D2065" s="94">
        <v>4911.0</v>
      </c>
    </row>
    <row r="2066">
      <c r="A2066" s="40">
        <f t="array" ref="A2066">IFNA(index(PlayerValues!A:A,match(IFNA(vlookup(B2066,'Special Names'!A:B,2,FALSE),B2066),PlayerValues!E:E,0)),"N/A")</f>
        <v>15284</v>
      </c>
      <c r="B2066" s="4" t="s">
        <v>390</v>
      </c>
      <c r="C2066" s="4" t="s">
        <v>287</v>
      </c>
      <c r="D2066" s="94">
        <v>4867.0</v>
      </c>
    </row>
    <row r="2067">
      <c r="A2067" s="40">
        <f t="array" ref="A2067">IFNA(index(PlayerValues!A:A,match(IFNA(vlookup(B2067,'Special Names'!A:B,2,FALSE),B2067),PlayerValues!E:E,0)),"N/A")</f>
        <v>15710</v>
      </c>
      <c r="B2067" s="4" t="s">
        <v>395</v>
      </c>
      <c r="C2067" s="4" t="s">
        <v>278</v>
      </c>
      <c r="D2067" s="94">
        <v>4845.0</v>
      </c>
    </row>
    <row r="2068">
      <c r="A2068" s="40">
        <f t="array" ref="A2068">IFNA(index(PlayerValues!A:A,match(IFNA(vlookup(B2068,'Special Names'!A:B,2,FALSE),B2068),PlayerValues!E:E,0)),"N/A")</f>
        <v>17498</v>
      </c>
      <c r="B2068" s="4" t="s">
        <v>396</v>
      </c>
      <c r="C2068" s="4" t="s">
        <v>287</v>
      </c>
      <c r="D2068" s="94">
        <v>4811.0</v>
      </c>
    </row>
    <row r="2069">
      <c r="A2069" s="40">
        <f t="array" ref="A2069">IFNA(index(PlayerValues!A:A,match(IFNA(vlookup(B2069,'Special Names'!A:B,2,FALSE),B2069),PlayerValues!E:E,0)),"N/A")</f>
        <v>16194</v>
      </c>
      <c r="B2069" s="4" t="s">
        <v>398</v>
      </c>
      <c r="C2069" s="4" t="s">
        <v>287</v>
      </c>
      <c r="D2069" s="94">
        <v>4801.0</v>
      </c>
    </row>
    <row r="2070">
      <c r="A2070" s="40">
        <f t="array" ref="A2070">IFNA(index(PlayerValues!A:A,match(IFNA(vlookup(B2070,'Special Names'!A:B,2,FALSE),B2070),PlayerValues!E:E,0)),"N/A")</f>
        <v>16150</v>
      </c>
      <c r="B2070" s="4" t="s">
        <v>414</v>
      </c>
      <c r="C2070" s="4" t="s">
        <v>283</v>
      </c>
      <c r="D2070" s="94">
        <v>4794.0</v>
      </c>
    </row>
    <row r="2071">
      <c r="A2071" s="40">
        <f t="array" ref="A2071">IFNA(index(PlayerValues!A:A,match(IFNA(vlookup(B2071,'Special Names'!A:B,2,FALSE),B2071),PlayerValues!E:E,0)),"N/A")</f>
        <v>14104</v>
      </c>
      <c r="B2071" s="4" t="s">
        <v>379</v>
      </c>
      <c r="C2071" s="4" t="s">
        <v>287</v>
      </c>
      <c r="D2071" s="94">
        <v>4786.0</v>
      </c>
    </row>
    <row r="2072">
      <c r="A2072" s="40">
        <f t="array" ref="A2072">IFNA(index(PlayerValues!A:A,match(IFNA(vlookup(B2072,'Special Names'!A:B,2,FALSE),B2072),PlayerValues!E:E,0)),"N/A")</f>
        <v>16222</v>
      </c>
      <c r="B2072" s="4" t="s">
        <v>393</v>
      </c>
      <c r="C2072" s="4" t="s">
        <v>298</v>
      </c>
      <c r="D2072" s="94">
        <v>5348.0</v>
      </c>
    </row>
    <row r="2073">
      <c r="A2073" s="40" t="str">
        <f t="array" ref="A2073">IFNA(index(PlayerValues!A:A,match(IFNA(vlookup(B2073,'Special Names'!A:B,2,FALSE),B2073),PlayerValues!E:E,0)),"N/A")</f>
        <v>N/A</v>
      </c>
      <c r="B2073" s="4" t="s">
        <v>94</v>
      </c>
      <c r="C2073" s="4" t="s">
        <v>325</v>
      </c>
      <c r="D2073" s="94">
        <v>4784.0</v>
      </c>
    </row>
    <row r="2074">
      <c r="A2074" s="40">
        <f t="array" ref="A2074">IFNA(index(PlayerValues!A:A,match(IFNA(vlookup(B2074,'Special Names'!A:B,2,FALSE),B2074),PlayerValues!E:E,0)),"N/A")</f>
        <v>13590</v>
      </c>
      <c r="B2074" s="4" t="s">
        <v>409</v>
      </c>
      <c r="C2074" s="4" t="s">
        <v>283</v>
      </c>
      <c r="D2074" s="94">
        <v>4782.0</v>
      </c>
    </row>
    <row r="2075">
      <c r="A2075" s="40">
        <f t="array" ref="A2075">IFNA(index(PlayerValues!A:A,match(IFNA(vlookup(B2075,'Special Names'!A:B,2,FALSE),B2075),PlayerValues!E:E,0)),"N/A")</f>
        <v>15756</v>
      </c>
      <c r="B2075" s="4" t="s">
        <v>399</v>
      </c>
      <c r="C2075" s="4" t="s">
        <v>287</v>
      </c>
      <c r="D2075" s="94">
        <v>4773.0</v>
      </c>
    </row>
    <row r="2076">
      <c r="A2076" s="40">
        <f t="array" ref="A2076">IFNA(index(PlayerValues!A:A,match(IFNA(vlookup(B2076,'Special Names'!A:B,2,FALSE),B2076),PlayerValues!E:E,0)),"N/A")</f>
        <v>13592</v>
      </c>
      <c r="B2076" s="4" t="s">
        <v>418</v>
      </c>
      <c r="C2076" s="4" t="s">
        <v>283</v>
      </c>
      <c r="D2076" s="94">
        <v>4768.0</v>
      </c>
    </row>
    <row r="2077">
      <c r="A2077" s="40" t="str">
        <f t="array" ref="A2077">IFNA(index(PlayerValues!A:A,match(IFNA(vlookup(B2077,'Special Names'!A:B,2,FALSE),B2077),PlayerValues!E:E,0)),"N/A")</f>
        <v>N/A</v>
      </c>
      <c r="B2077" s="4" t="s">
        <v>80</v>
      </c>
      <c r="C2077" s="4" t="s">
        <v>325</v>
      </c>
      <c r="D2077" s="94">
        <v>4750.0</v>
      </c>
    </row>
    <row r="2078">
      <c r="A2078" s="40">
        <f t="array" ref="A2078">IFNA(index(PlayerValues!A:A,match(IFNA(vlookup(B2078,'Special Names'!A:B,2,FALSE),B2078),PlayerValues!E:E,0)),"N/A")</f>
        <v>16190</v>
      </c>
      <c r="B2078" s="4" t="s">
        <v>371</v>
      </c>
      <c r="C2078" s="4" t="s">
        <v>287</v>
      </c>
      <c r="D2078" s="94">
        <v>4698.0</v>
      </c>
    </row>
    <row r="2079">
      <c r="A2079" s="40">
        <f t="array" ref="A2079">IFNA(index(PlayerValues!A:A,match(IFNA(vlookup(B2079,'Special Names'!A:B,2,FALSE),B2079),PlayerValues!E:E,0)),"N/A")</f>
        <v>15253</v>
      </c>
      <c r="B2079" s="4" t="s">
        <v>415</v>
      </c>
      <c r="C2079" s="4" t="s">
        <v>278</v>
      </c>
      <c r="D2079" s="94">
        <v>4697.0</v>
      </c>
    </row>
    <row r="2080">
      <c r="A2080" s="40">
        <f t="array" ref="A2080">IFNA(index(PlayerValues!A:A,match(IFNA(vlookup(B2080,'Special Names'!A:B,2,FALSE),B2080),PlayerValues!E:E,0)),"N/A")</f>
        <v>12611</v>
      </c>
      <c r="B2080" s="4" t="s">
        <v>410</v>
      </c>
      <c r="C2080" s="4" t="s">
        <v>283</v>
      </c>
      <c r="D2080" s="94">
        <v>4676.0</v>
      </c>
    </row>
    <row r="2081">
      <c r="A2081" s="40">
        <f t="array" ref="A2081">IFNA(index(PlayerValues!A:A,match(IFNA(vlookup(B2081,'Special Names'!A:B,2,FALSE),B2081),PlayerValues!E:E,0)),"N/A")</f>
        <v>17039</v>
      </c>
      <c r="B2081" s="4" t="s">
        <v>400</v>
      </c>
      <c r="C2081" s="4" t="s">
        <v>283</v>
      </c>
      <c r="D2081" s="94">
        <v>4632.0</v>
      </c>
    </row>
    <row r="2082">
      <c r="A2082" s="40">
        <f t="array" ref="A2082">IFNA(index(PlayerValues!A:A,match(IFNA(vlookup(B2082,'Special Names'!A:B,2,FALSE),B2082),PlayerValues!E:E,0)),"N/A")</f>
        <v>14073</v>
      </c>
      <c r="B2082" s="4" t="s">
        <v>464</v>
      </c>
      <c r="C2082" s="4" t="s">
        <v>278</v>
      </c>
      <c r="D2082" s="94">
        <v>4594.0</v>
      </c>
    </row>
    <row r="2083">
      <c r="A2083" s="40">
        <f t="array" ref="A2083">IFNA(index(PlayerValues!A:A,match(IFNA(vlookup(B2083,'Special Names'!A:B,2,FALSE),B2083),PlayerValues!E:E,0)),"N/A")</f>
        <v>15256</v>
      </c>
      <c r="B2083" s="4" t="s">
        <v>401</v>
      </c>
      <c r="C2083" s="4" t="s">
        <v>278</v>
      </c>
      <c r="D2083" s="94">
        <v>4576.0</v>
      </c>
    </row>
    <row r="2084">
      <c r="A2084" s="40">
        <f t="array" ref="A2084">IFNA(index(PlayerValues!A:A,match(IFNA(vlookup(B2084,'Special Names'!A:B,2,FALSE),B2084),PlayerValues!E:E,0)),"N/A")</f>
        <v>16214</v>
      </c>
      <c r="B2084" s="4" t="s">
        <v>413</v>
      </c>
      <c r="C2084" s="4" t="s">
        <v>298</v>
      </c>
      <c r="D2084" s="94">
        <v>5097.0</v>
      </c>
    </row>
    <row r="2085">
      <c r="A2085" s="40" t="str">
        <f t="array" ref="A2085">IFNA(index(PlayerValues!A:A,match(IFNA(vlookup(B2085,'Special Names'!A:B,2,FALSE),B2085),PlayerValues!E:E,0)),"N/A")</f>
        <v>N/A</v>
      </c>
      <c r="B2085" s="4" t="s">
        <v>105</v>
      </c>
      <c r="C2085" s="4" t="s">
        <v>325</v>
      </c>
      <c r="D2085" s="94">
        <v>4539.0</v>
      </c>
    </row>
    <row r="2086">
      <c r="A2086" s="40">
        <f t="array" ref="A2086">IFNA(index(PlayerValues!A:A,match(IFNA(vlookup(B2086,'Special Names'!A:B,2,FALSE),B2086),PlayerValues!E:E,0)),"N/A")</f>
        <v>15329</v>
      </c>
      <c r="B2086" s="4" t="s">
        <v>416</v>
      </c>
      <c r="C2086" s="4" t="s">
        <v>298</v>
      </c>
      <c r="D2086" s="94">
        <v>5084.0</v>
      </c>
    </row>
    <row r="2087">
      <c r="A2087" s="40">
        <f t="array" ref="A2087">IFNA(index(PlayerValues!A:A,match(IFNA(vlookup(B2087,'Special Names'!A:B,2,FALSE),B2087),PlayerValues!E:E,0)),"N/A")</f>
        <v>17045</v>
      </c>
      <c r="B2087" s="4" t="s">
        <v>407</v>
      </c>
      <c r="C2087" s="4" t="s">
        <v>278</v>
      </c>
      <c r="D2087" s="94">
        <v>4525.0</v>
      </c>
    </row>
    <row r="2088">
      <c r="A2088" s="40">
        <f t="array" ref="A2088">IFNA(index(PlayerValues!A:A,match(IFNA(vlookup(B2088,'Special Names'!A:B,2,FALSE),B2088),PlayerValues!E:E,0)),"N/A")</f>
        <v>16148</v>
      </c>
      <c r="B2088" s="4" t="s">
        <v>426</v>
      </c>
      <c r="C2088" s="4" t="s">
        <v>283</v>
      </c>
      <c r="D2088" s="94">
        <v>4518.0</v>
      </c>
    </row>
    <row r="2089">
      <c r="A2089" s="40">
        <f t="array" ref="A2089">IFNA(index(PlayerValues!A:A,match(IFNA(vlookup(B2089,'Special Names'!A:B,2,FALSE),B2089),PlayerValues!E:E,0)),"N/A")</f>
        <v>17543</v>
      </c>
      <c r="B2089" s="4" t="s">
        <v>436</v>
      </c>
      <c r="C2089" s="4" t="s">
        <v>298</v>
      </c>
      <c r="D2089" s="94">
        <v>4944.0</v>
      </c>
    </row>
    <row r="2090">
      <c r="A2090" s="40">
        <f t="array" ref="A2090">IFNA(index(PlayerValues!A:A,match(IFNA(vlookup(B2090,'Special Names'!A:B,2,FALSE),B2090),PlayerValues!E:E,0)),"N/A")</f>
        <v>14056</v>
      </c>
      <c r="B2090" s="4" t="s">
        <v>423</v>
      </c>
      <c r="C2090" s="4" t="s">
        <v>283</v>
      </c>
      <c r="D2090" s="94">
        <v>4398.0</v>
      </c>
    </row>
    <row r="2091">
      <c r="A2091" s="40">
        <f t="array" ref="A2091">IFNA(index(PlayerValues!A:A,match(IFNA(vlookup(B2091,'Special Names'!A:B,2,FALSE),B2091),PlayerValues!E:E,0)),"N/A")</f>
        <v>15768</v>
      </c>
      <c r="B2091" s="4" t="s">
        <v>432</v>
      </c>
      <c r="C2091" s="4" t="s">
        <v>287</v>
      </c>
      <c r="D2091" s="94">
        <v>4340.0</v>
      </c>
    </row>
    <row r="2092">
      <c r="A2092" s="40">
        <f t="array" ref="A2092">IFNA(index(PlayerValues!A:A,match(IFNA(vlookup(B2092,'Special Names'!A:B,2,FALSE),B2092),PlayerValues!E:E,0)),"N/A")</f>
        <v>14059</v>
      </c>
      <c r="B2092" s="4" t="s">
        <v>435</v>
      </c>
      <c r="C2092" s="4" t="s">
        <v>283</v>
      </c>
      <c r="D2092" s="94">
        <v>4274.0</v>
      </c>
    </row>
    <row r="2093">
      <c r="A2093" s="40">
        <f t="array" ref="A2093">IFNA(index(PlayerValues!A:A,match(IFNA(vlookup(B2093,'Special Names'!A:B,2,FALSE),B2093),PlayerValues!E:E,0)),"N/A")</f>
        <v>15694</v>
      </c>
      <c r="B2093" s="4" t="s">
        <v>434</v>
      </c>
      <c r="C2093" s="4" t="s">
        <v>283</v>
      </c>
      <c r="D2093" s="94">
        <v>4123.0</v>
      </c>
    </row>
    <row r="2094">
      <c r="A2094" s="40">
        <f t="array" ref="A2094">IFNA(index(PlayerValues!A:A,match(IFNA(vlookup(B2094,'Special Names'!A:B,2,FALSE),B2094),PlayerValues!E:E,0)),"N/A")</f>
        <v>17052</v>
      </c>
      <c r="B2094" s="4" t="s">
        <v>417</v>
      </c>
      <c r="C2094" s="4" t="s">
        <v>278</v>
      </c>
      <c r="D2094" s="94">
        <v>3939.0</v>
      </c>
    </row>
    <row r="2095">
      <c r="A2095" s="40" t="str">
        <f t="array" ref="A2095">IFNA(index(PlayerValues!A:A,match(IFNA(vlookup(B2095,'Special Names'!A:B,2,FALSE),B2095),PlayerValues!E:E,0)),"N/A")</f>
        <v>N/A</v>
      </c>
      <c r="B2095" s="4" t="s">
        <v>107</v>
      </c>
      <c r="C2095" s="4" t="s">
        <v>325</v>
      </c>
      <c r="D2095" s="94">
        <v>3938.0</v>
      </c>
    </row>
    <row r="2096">
      <c r="A2096" s="40" t="str">
        <f t="array" ref="A2096">IFNA(index(PlayerValues!A:A,match(IFNA(vlookup(B2096,'Special Names'!A:B,2,FALSE),B2096),PlayerValues!E:E,0)),"N/A")</f>
        <v>N/A</v>
      </c>
      <c r="B2096" s="4" t="s">
        <v>81</v>
      </c>
      <c r="C2096" s="4" t="s">
        <v>325</v>
      </c>
      <c r="D2096" s="94">
        <v>3927.0</v>
      </c>
    </row>
    <row r="2097">
      <c r="A2097" s="40">
        <f t="array" ref="A2097">IFNA(index(PlayerValues!A:A,match(IFNA(vlookup(B2097,'Special Names'!A:B,2,FALSE),B2097),PlayerValues!E:E,0)),"N/A")</f>
        <v>16186</v>
      </c>
      <c r="B2097" s="4" t="s">
        <v>425</v>
      </c>
      <c r="C2097" s="4" t="s">
        <v>287</v>
      </c>
      <c r="D2097" s="94">
        <v>3926.0</v>
      </c>
    </row>
    <row r="2098">
      <c r="A2098" s="40">
        <f t="array" ref="A2098">IFNA(index(PlayerValues!A:A,match(IFNA(vlookup(B2098,'Special Names'!A:B,2,FALSE),B2098),PlayerValues!E:E,0)),"N/A")</f>
        <v>13635</v>
      </c>
      <c r="B2098" s="4" t="s">
        <v>424</v>
      </c>
      <c r="C2098" s="4" t="s">
        <v>287</v>
      </c>
      <c r="D2098" s="94">
        <v>3905.0</v>
      </c>
    </row>
    <row r="2099">
      <c r="A2099" s="40">
        <f t="array" ref="A2099">IFNA(index(PlayerValues!A:A,match(IFNA(vlookup(B2099,'Special Names'!A:B,2,FALSE),B2099),PlayerValues!E:E,0)),"N/A")</f>
        <v>17099</v>
      </c>
      <c r="B2099" s="4" t="s">
        <v>474</v>
      </c>
      <c r="C2099" s="4" t="s">
        <v>298</v>
      </c>
      <c r="D2099" s="94">
        <v>4349.0</v>
      </c>
    </row>
    <row r="2100">
      <c r="A2100" s="40">
        <f t="array" ref="A2100">IFNA(index(PlayerValues!A:A,match(IFNA(vlookup(B2100,'Special Names'!A:B,2,FALSE),B2100),PlayerValues!E:E,0)),"N/A")</f>
        <v>12626</v>
      </c>
      <c r="B2100" s="4" t="s">
        <v>419</v>
      </c>
      <c r="C2100" s="4" t="s">
        <v>278</v>
      </c>
      <c r="D2100" s="94">
        <v>3771.0</v>
      </c>
    </row>
    <row r="2101">
      <c r="A2101" s="40">
        <f t="array" ref="A2101">IFNA(index(PlayerValues!A:A,match(IFNA(vlookup(B2101,'Special Names'!A:B,2,FALSE),B2101),PlayerValues!E:E,0)),"N/A")</f>
        <v>17068</v>
      </c>
      <c r="B2101" s="4" t="s">
        <v>450</v>
      </c>
      <c r="C2101" s="4" t="s">
        <v>278</v>
      </c>
      <c r="D2101" s="94">
        <v>3761.0</v>
      </c>
    </row>
    <row r="2102">
      <c r="A2102" s="40">
        <f t="array" ref="A2102">IFNA(index(PlayerValues!A:A,match(IFNA(vlookup(B2102,'Special Names'!A:B,2,FALSE),B2102),PlayerValues!E:E,0)),"N/A")</f>
        <v>9431</v>
      </c>
      <c r="B2102" s="4" t="s">
        <v>428</v>
      </c>
      <c r="C2102" s="4" t="s">
        <v>283</v>
      </c>
      <c r="D2102" s="94">
        <v>3747.0</v>
      </c>
    </row>
    <row r="2103">
      <c r="A2103" s="40">
        <f t="array" ref="A2103">IFNA(index(PlayerValues!A:A,match(IFNA(vlookup(B2103,'Special Names'!A:B,2,FALSE),B2103),PlayerValues!E:E,0)),"N/A")</f>
        <v>17501</v>
      </c>
      <c r="B2103" s="4" t="s">
        <v>404</v>
      </c>
      <c r="C2103" s="4" t="s">
        <v>287</v>
      </c>
      <c r="D2103" s="94">
        <v>3740.0</v>
      </c>
    </row>
    <row r="2104">
      <c r="A2104" s="40" t="str">
        <f t="array" ref="A2104">IFNA(index(PlayerValues!A:A,match(IFNA(vlookup(B2104,'Special Names'!A:B,2,FALSE),B2104),PlayerValues!E:E,0)),"N/A")</f>
        <v>N/A</v>
      </c>
      <c r="B2104" s="4" t="s">
        <v>95</v>
      </c>
      <c r="C2104" s="4" t="s">
        <v>325</v>
      </c>
      <c r="D2104" s="94">
        <v>3734.0</v>
      </c>
    </row>
    <row r="2105">
      <c r="A2105" s="40">
        <f t="array" ref="A2105">IFNA(index(PlayerValues!A:A,match(IFNA(vlookup(B2105,'Special Names'!A:B,2,FALSE),B2105),PlayerValues!E:E,0)),"N/A")</f>
        <v>16206</v>
      </c>
      <c r="B2105" s="4" t="s">
        <v>431</v>
      </c>
      <c r="C2105" s="4" t="s">
        <v>287</v>
      </c>
      <c r="D2105" s="94">
        <v>3731.0</v>
      </c>
    </row>
    <row r="2106">
      <c r="A2106" s="40">
        <f t="array" ref="A2106">IFNA(index(PlayerValues!A:A,match(IFNA(vlookup(B2106,'Special Names'!A:B,2,FALSE),B2106),PlayerValues!E:E,0)),"N/A")</f>
        <v>16169</v>
      </c>
      <c r="B2106" s="4" t="s">
        <v>457</v>
      </c>
      <c r="C2106" s="4" t="s">
        <v>278</v>
      </c>
      <c r="D2106" s="94">
        <v>3725.0</v>
      </c>
    </row>
    <row r="2107">
      <c r="A2107" s="40">
        <f t="array" ref="A2107">IFNA(index(PlayerValues!A:A,match(IFNA(vlookup(B2107,'Special Names'!A:B,2,FALSE),B2107),PlayerValues!E:E,0)),"N/A")</f>
        <v>15757</v>
      </c>
      <c r="B2107" s="4" t="s">
        <v>449</v>
      </c>
      <c r="C2107" s="4" t="s">
        <v>287</v>
      </c>
      <c r="D2107" s="94">
        <v>3707.0</v>
      </c>
    </row>
    <row r="2108">
      <c r="A2108" s="40">
        <f t="array" ref="A2108">IFNA(index(PlayerValues!A:A,match(IFNA(vlookup(B2108,'Special Names'!A:B,2,FALSE),B2108),PlayerValues!E:E,0)),"N/A")</f>
        <v>15779</v>
      </c>
      <c r="B2108" s="4" t="s">
        <v>461</v>
      </c>
      <c r="C2108" s="4" t="s">
        <v>287</v>
      </c>
      <c r="D2108" s="94">
        <v>3688.0</v>
      </c>
    </row>
    <row r="2109">
      <c r="A2109" s="40">
        <f t="array" ref="A2109">IFNA(index(PlayerValues!A:A,match(IFNA(vlookup(B2109,'Special Names'!A:B,2,FALSE),B2109),PlayerValues!E:E,0)),"N/A")</f>
        <v>17074</v>
      </c>
      <c r="B2109" s="4" t="s">
        <v>475</v>
      </c>
      <c r="C2109" s="4" t="s">
        <v>287</v>
      </c>
      <c r="D2109" s="94">
        <v>3668.0</v>
      </c>
    </row>
    <row r="2110">
      <c r="A2110" s="40">
        <f t="array" ref="A2110">IFNA(index(PlayerValues!A:A,match(IFNA(vlookup(B2110,'Special Names'!A:B,2,FALSE),B2110),PlayerValues!E:E,0)),"N/A")</f>
        <v>15789</v>
      </c>
      <c r="B2110" s="4" t="s">
        <v>421</v>
      </c>
      <c r="C2110" s="4" t="s">
        <v>287</v>
      </c>
      <c r="D2110" s="94">
        <v>3660.0</v>
      </c>
    </row>
    <row r="2111">
      <c r="A2111" s="40">
        <f t="array" ref="A2111">IFNA(index(PlayerValues!A:A,match(IFNA(vlookup(B2111,'Special Names'!A:B,2,FALSE),B2111),PlayerValues!E:E,0)),"N/A")</f>
        <v>14102</v>
      </c>
      <c r="B2111" s="4" t="s">
        <v>444</v>
      </c>
      <c r="C2111" s="4" t="s">
        <v>287</v>
      </c>
      <c r="D2111" s="94">
        <v>3638.0</v>
      </c>
    </row>
    <row r="2112">
      <c r="A2112" s="40">
        <f t="array" ref="A2112">IFNA(index(PlayerValues!A:A,match(IFNA(vlookup(B2112,'Special Names'!A:B,2,FALSE),B2112),PlayerValues!E:E,0)),"N/A")</f>
        <v>16622</v>
      </c>
      <c r="B2112" s="4" t="s">
        <v>517</v>
      </c>
      <c r="C2112" s="4" t="s">
        <v>287</v>
      </c>
      <c r="D2112" s="94">
        <v>3614.0</v>
      </c>
    </row>
    <row r="2113">
      <c r="A2113" s="40">
        <f t="array" ref="A2113">IFNA(index(PlayerValues!A:A,match(IFNA(vlookup(B2113,'Special Names'!A:B,2,FALSE),B2113),PlayerValues!E:E,0)),"N/A")</f>
        <v>16192</v>
      </c>
      <c r="B2113" s="4" t="s">
        <v>412</v>
      </c>
      <c r="C2113" s="4" t="s">
        <v>287</v>
      </c>
      <c r="D2113" s="94">
        <v>3601.0</v>
      </c>
    </row>
    <row r="2114">
      <c r="A2114" s="40">
        <f t="array" ref="A2114">IFNA(index(PlayerValues!A:A,match(IFNA(vlookup(B2114,'Special Names'!A:B,2,FALSE),B2114),PlayerValues!E:E,0)),"N/A")</f>
        <v>17083</v>
      </c>
      <c r="B2114" s="4" t="s">
        <v>479</v>
      </c>
      <c r="C2114" s="4" t="s">
        <v>287</v>
      </c>
      <c r="D2114" s="94">
        <v>3590.0</v>
      </c>
    </row>
    <row r="2115">
      <c r="A2115" s="40">
        <f t="array" ref="A2115">IFNA(index(PlayerValues!A:A,match(IFNA(vlookup(B2115,'Special Names'!A:B,2,FALSE),B2115),PlayerValues!E:E,0)),"N/A")</f>
        <v>15712</v>
      </c>
      <c r="B2115" s="4" t="s">
        <v>488</v>
      </c>
      <c r="C2115" s="4" t="s">
        <v>278</v>
      </c>
      <c r="D2115" s="94">
        <v>3576.0</v>
      </c>
    </row>
    <row r="2116">
      <c r="A2116" s="40">
        <f t="array" ref="A2116">IFNA(index(PlayerValues!A:A,match(IFNA(vlookup(B2116,'Special Names'!A:B,2,FALSE),B2116),PlayerValues!E:E,0)),"N/A")</f>
        <v>17066</v>
      </c>
      <c r="B2116" s="4" t="s">
        <v>446</v>
      </c>
      <c r="C2116" s="4" t="s">
        <v>278</v>
      </c>
      <c r="D2116" s="94">
        <v>3559.0</v>
      </c>
    </row>
    <row r="2117">
      <c r="A2117" s="40">
        <f t="array" ref="A2117">IFNA(index(PlayerValues!A:A,match(IFNA(vlookup(B2117,'Special Names'!A:B,2,FALSE),B2117),PlayerValues!E:E,0)),"N/A")</f>
        <v>11675</v>
      </c>
      <c r="B2117" s="4" t="s">
        <v>438</v>
      </c>
      <c r="C2117" s="4" t="s">
        <v>287</v>
      </c>
      <c r="D2117" s="94">
        <v>3540.0</v>
      </c>
    </row>
    <row r="2118">
      <c r="A2118" s="40">
        <f t="array" ref="A2118">IFNA(index(PlayerValues!A:A,match(IFNA(vlookup(B2118,'Special Names'!A:B,2,FALSE),B2118),PlayerValues!E:E,0)),"N/A")</f>
        <v>17075</v>
      </c>
      <c r="B2118" s="4" t="s">
        <v>429</v>
      </c>
      <c r="C2118" s="4" t="s">
        <v>287</v>
      </c>
      <c r="D2118" s="94">
        <v>3525.0</v>
      </c>
    </row>
    <row r="2119">
      <c r="A2119" s="40">
        <f t="array" ref="A2119">IFNA(index(PlayerValues!A:A,match(IFNA(vlookup(B2119,'Special Names'!A:B,2,FALSE),B2119),PlayerValues!E:E,0)),"N/A")</f>
        <v>14797</v>
      </c>
      <c r="B2119" s="4" t="s">
        <v>420</v>
      </c>
      <c r="C2119" s="4" t="s">
        <v>278</v>
      </c>
      <c r="D2119" s="94">
        <v>3524.0</v>
      </c>
    </row>
    <row r="2120">
      <c r="A2120" s="40">
        <f t="array" ref="A2120">IFNA(index(PlayerValues!A:A,match(IFNA(vlookup(B2120,'Special Names'!A:B,2,FALSE),B2120),PlayerValues!E:E,0)),"N/A")</f>
        <v>14842</v>
      </c>
      <c r="B2120" s="4" t="s">
        <v>456</v>
      </c>
      <c r="C2120" s="4" t="s">
        <v>287</v>
      </c>
      <c r="D2120" s="94">
        <v>3522.0</v>
      </c>
    </row>
    <row r="2121">
      <c r="A2121" s="40">
        <f t="array" ref="A2121">IFNA(index(PlayerValues!A:A,match(IFNA(vlookup(B2121,'Special Names'!A:B,2,FALSE),B2121),PlayerValues!E:E,0)),"N/A")</f>
        <v>15798</v>
      </c>
      <c r="B2121" s="4" t="s">
        <v>443</v>
      </c>
      <c r="C2121" s="4" t="s">
        <v>298</v>
      </c>
      <c r="D2121" s="94">
        <v>3981.0</v>
      </c>
    </row>
    <row r="2122">
      <c r="A2122" s="40">
        <f t="array" ref="A2122">IFNA(index(PlayerValues!A:A,match(IFNA(vlookup(B2122,'Special Names'!A:B,2,FALSE),B2122),PlayerValues!E:E,0)),"N/A")</f>
        <v>14071</v>
      </c>
      <c r="B2122" s="4" t="s">
        <v>440</v>
      </c>
      <c r="C2122" s="4" t="s">
        <v>278</v>
      </c>
      <c r="D2122" s="94">
        <v>3496.0</v>
      </c>
    </row>
    <row r="2123">
      <c r="A2123" s="40" t="str">
        <f t="array" ref="A2123">IFNA(index(PlayerValues!A:A,match(IFNA(vlookup(B2123,'Special Names'!A:B,2,FALSE),B2123),PlayerValues!E:E,0)),"N/A")</f>
        <v>N/A</v>
      </c>
      <c r="B2123" s="4" t="s">
        <v>96</v>
      </c>
      <c r="C2123" s="4" t="s">
        <v>325</v>
      </c>
      <c r="D2123" s="94">
        <v>3435.0</v>
      </c>
    </row>
    <row r="2124">
      <c r="A2124" s="40">
        <f t="array" ref="A2124">IFNA(index(PlayerValues!A:A,match(IFNA(vlookup(B2124,'Special Names'!A:B,2,FALSE),B2124),PlayerValues!E:E,0)),"N/A")</f>
        <v>17502</v>
      </c>
      <c r="B2124" s="4" t="s">
        <v>451</v>
      </c>
      <c r="C2124" s="4" t="s">
        <v>287</v>
      </c>
      <c r="D2124" s="94">
        <v>3410.0</v>
      </c>
    </row>
    <row r="2125">
      <c r="A2125" s="40">
        <f t="array" ref="A2125">IFNA(index(PlayerValues!A:A,match(IFNA(vlookup(B2125,'Special Names'!A:B,2,FALSE),B2125),PlayerValues!E:E,0)),"N/A")</f>
        <v>15261</v>
      </c>
      <c r="B2125" s="4" t="s">
        <v>466</v>
      </c>
      <c r="C2125" s="4" t="s">
        <v>278</v>
      </c>
      <c r="D2125" s="94">
        <v>3397.0</v>
      </c>
    </row>
    <row r="2126">
      <c r="A2126" s="40">
        <f t="array" ref="A2126">IFNA(index(PlayerValues!A:A,match(IFNA(vlookup(B2126,'Special Names'!A:B,2,FALSE),B2126),PlayerValues!E:E,0)),"N/A")</f>
        <v>16620</v>
      </c>
      <c r="B2126" s="4" t="s">
        <v>467</v>
      </c>
      <c r="C2126" s="4" t="s">
        <v>287</v>
      </c>
      <c r="D2126" s="94">
        <v>3393.0</v>
      </c>
    </row>
    <row r="2127">
      <c r="A2127" s="40">
        <f t="array" ref="A2127">IFNA(index(PlayerValues!A:A,match(IFNA(vlookup(B2127,'Special Names'!A:B,2,FALSE),B2127),PlayerValues!E:E,0)),"N/A")</f>
        <v>14109</v>
      </c>
      <c r="B2127" s="4" t="s">
        <v>437</v>
      </c>
      <c r="C2127" s="4" t="s">
        <v>287</v>
      </c>
      <c r="D2127" s="94">
        <v>3388.0</v>
      </c>
    </row>
    <row r="2128">
      <c r="A2128" s="40">
        <f t="array" ref="A2128">IFNA(index(PlayerValues!A:A,match(IFNA(vlookup(B2128,'Special Names'!A:B,2,FALSE),B2128),PlayerValues!E:E,0)),"N/A")</f>
        <v>14127</v>
      </c>
      <c r="B2128" s="4" t="s">
        <v>486</v>
      </c>
      <c r="C2128" s="4" t="s">
        <v>287</v>
      </c>
      <c r="D2128" s="94">
        <v>3385.0</v>
      </c>
    </row>
    <row r="2129">
      <c r="A2129" s="40">
        <f t="array" ref="A2129">IFNA(index(PlayerValues!A:A,match(IFNA(vlookup(B2129,'Special Names'!A:B,2,FALSE),B2129),PlayerValues!E:E,0)),"N/A")</f>
        <v>15799</v>
      </c>
      <c r="B2129" s="4" t="s">
        <v>468</v>
      </c>
      <c r="C2129" s="4" t="s">
        <v>298</v>
      </c>
      <c r="D2129" s="94">
        <v>3818.0</v>
      </c>
    </row>
    <row r="2130">
      <c r="A2130" s="40" t="str">
        <f t="array" ref="A2130">IFNA(index(PlayerValues!A:A,match(IFNA(vlookup(B2130,'Special Names'!A:B,2,FALSE),B2130),PlayerValues!E:E,0)),"N/A")</f>
        <v>N/A</v>
      </c>
      <c r="B2130" s="4" t="s">
        <v>82</v>
      </c>
      <c r="C2130" s="4" t="s">
        <v>325</v>
      </c>
      <c r="D2130" s="94">
        <v>3360.0</v>
      </c>
    </row>
    <row r="2131">
      <c r="A2131" s="40">
        <f t="array" ref="A2131">IFNA(index(PlayerValues!A:A,match(IFNA(vlookup(B2131,'Special Names'!A:B,2,FALSE),B2131),PlayerValues!E:E,0)),"N/A")</f>
        <v>17500</v>
      </c>
      <c r="B2131" s="4" t="s">
        <v>430</v>
      </c>
      <c r="C2131" s="4" t="s">
        <v>287</v>
      </c>
      <c r="D2131" s="94">
        <v>3356.0</v>
      </c>
    </row>
    <row r="2132">
      <c r="A2132" s="40">
        <f t="array" ref="A2132">IFNA(index(PlayerValues!A:A,match(IFNA(vlookup(B2132,'Special Names'!A:B,2,FALSE),B2132),PlayerValues!E:E,0)),"N/A")</f>
        <v>16187</v>
      </c>
      <c r="B2132" s="4" t="s">
        <v>441</v>
      </c>
      <c r="C2132" s="4" t="s">
        <v>287</v>
      </c>
      <c r="D2132" s="94">
        <v>3354.0</v>
      </c>
    </row>
    <row r="2133">
      <c r="A2133" s="40">
        <f t="array" ref="A2133">IFNA(index(PlayerValues!A:A,match(IFNA(vlookup(B2133,'Special Names'!A:B,2,FALSE),B2133),PlayerValues!E:E,0)),"N/A")</f>
        <v>16213</v>
      </c>
      <c r="B2133" s="4" t="s">
        <v>458</v>
      </c>
      <c r="C2133" s="4" t="s">
        <v>298</v>
      </c>
      <c r="D2133" s="94">
        <v>3802.0</v>
      </c>
    </row>
    <row r="2134">
      <c r="A2134" s="40">
        <f t="array" ref="A2134">IFNA(index(PlayerValues!A:A,match(IFNA(vlookup(B2134,'Special Names'!A:B,2,FALSE),B2134),PlayerValues!E:E,0)),"N/A")</f>
        <v>16188</v>
      </c>
      <c r="B2134" s="4" t="s">
        <v>439</v>
      </c>
      <c r="C2134" s="4" t="s">
        <v>287</v>
      </c>
      <c r="D2134" s="94">
        <v>3349.0</v>
      </c>
    </row>
    <row r="2135">
      <c r="A2135" s="40">
        <f t="array" ref="A2135">IFNA(index(PlayerValues!A:A,match(IFNA(vlookup(B2135,'Special Names'!A:B,2,FALSE),B2135),PlayerValues!E:E,0)),"N/A")</f>
        <v>11671</v>
      </c>
      <c r="B2135" s="4" t="s">
        <v>463</v>
      </c>
      <c r="C2135" s="4" t="s">
        <v>287</v>
      </c>
      <c r="D2135" s="94">
        <v>3338.0</v>
      </c>
    </row>
    <row r="2136">
      <c r="A2136" s="40">
        <f t="array" ref="A2136">IFNA(index(PlayerValues!A:A,match(IFNA(vlookup(B2136,'Special Names'!A:B,2,FALSE),B2136),PlayerValues!E:E,0)),"N/A")</f>
        <v>16184</v>
      </c>
      <c r="B2136" s="4" t="s">
        <v>445</v>
      </c>
      <c r="C2136" s="4" t="s">
        <v>287</v>
      </c>
      <c r="D2136" s="94">
        <v>3310.0</v>
      </c>
    </row>
    <row r="2137">
      <c r="A2137" s="40">
        <f t="array" ref="A2137">IFNA(index(PlayerValues!A:A,match(IFNA(vlookup(B2137,'Special Names'!A:B,2,FALSE),B2137),PlayerValues!E:E,0)),"N/A")</f>
        <v>14823</v>
      </c>
      <c r="B2137" s="4" t="s">
        <v>459</v>
      </c>
      <c r="C2137" s="4" t="s">
        <v>278</v>
      </c>
      <c r="D2137" s="94">
        <v>3307.0</v>
      </c>
    </row>
    <row r="2138">
      <c r="A2138" s="40">
        <f t="array" ref="A2138">IFNA(index(PlayerValues!A:A,match(IFNA(vlookup(B2138,'Special Names'!A:B,2,FALSE),B2138),PlayerValues!E:E,0)),"N/A")</f>
        <v>13299</v>
      </c>
      <c r="B2138" s="4" t="s">
        <v>448</v>
      </c>
      <c r="C2138" s="4" t="s">
        <v>298</v>
      </c>
      <c r="D2138" s="94">
        <v>3726.0</v>
      </c>
    </row>
    <row r="2139">
      <c r="A2139" s="40">
        <f t="array" ref="A2139">IFNA(index(PlayerValues!A:A,match(IFNA(vlookup(B2139,'Special Names'!A:B,2,FALSE),B2139),PlayerValues!E:E,0)),"N/A")</f>
        <v>16593</v>
      </c>
      <c r="B2139" s="4" t="s">
        <v>442</v>
      </c>
      <c r="C2139" s="4" t="s">
        <v>278</v>
      </c>
      <c r="D2139" s="94">
        <v>3258.0</v>
      </c>
    </row>
    <row r="2140">
      <c r="A2140" s="40">
        <f t="array" ref="A2140">IFNA(index(PlayerValues!A:A,match(IFNA(vlookup(B2140,'Special Names'!A:B,2,FALSE),B2140),PlayerValues!E:E,0)),"N/A")</f>
        <v>15742</v>
      </c>
      <c r="B2140" s="4" t="s">
        <v>447</v>
      </c>
      <c r="C2140" s="4" t="s">
        <v>278</v>
      </c>
      <c r="D2140" s="94">
        <v>3236.0</v>
      </c>
    </row>
    <row r="2141">
      <c r="A2141" s="40">
        <f t="array" ref="A2141">IFNA(index(PlayerValues!A:A,match(IFNA(vlookup(B2141,'Special Names'!A:B,2,FALSE),B2141),PlayerValues!E:E,0)),"N/A")</f>
        <v>13630</v>
      </c>
      <c r="B2141" s="4" t="s">
        <v>465</v>
      </c>
      <c r="C2141" s="4" t="s">
        <v>287</v>
      </c>
      <c r="D2141" s="94">
        <v>3188.0</v>
      </c>
    </row>
    <row r="2142">
      <c r="A2142" s="40" t="str">
        <f t="array" ref="A2142">IFNA(index(PlayerValues!A:A,match(IFNA(vlookup(B2142,'Special Names'!A:B,2,FALSE),B2142),PlayerValues!E:E,0)),"N/A")</f>
        <v>N/A</v>
      </c>
      <c r="B2142" s="4" t="s">
        <v>108</v>
      </c>
      <c r="C2142" s="4" t="s">
        <v>325</v>
      </c>
      <c r="D2142" s="94">
        <v>3120.0</v>
      </c>
    </row>
    <row r="2143">
      <c r="A2143" s="40">
        <f t="array" ref="A2143">IFNA(index(PlayerValues!A:A,match(IFNA(vlookup(B2143,'Special Names'!A:B,2,FALSE),B2143),PlayerValues!E:E,0)),"N/A")</f>
        <v>16628</v>
      </c>
      <c r="B2143" s="4" t="s">
        <v>490</v>
      </c>
      <c r="C2143" s="4" t="s">
        <v>287</v>
      </c>
      <c r="D2143" s="94">
        <v>3099.0</v>
      </c>
    </row>
    <row r="2144">
      <c r="A2144" s="40">
        <f t="array" ref="A2144">IFNA(index(PlayerValues!A:A,match(IFNA(vlookup(B2144,'Special Names'!A:B,2,FALSE),B2144),PlayerValues!E:E,0)),"N/A")</f>
        <v>16269</v>
      </c>
      <c r="B2144" s="4" t="s">
        <v>481</v>
      </c>
      <c r="C2144" s="4" t="s">
        <v>298</v>
      </c>
      <c r="D2144" s="94">
        <v>3508.0</v>
      </c>
    </row>
    <row r="2145">
      <c r="A2145" s="40">
        <f t="array" ref="A2145">IFNA(index(PlayerValues!A:A,match(IFNA(vlookup(B2145,'Special Names'!A:B,2,FALSE),B2145),PlayerValues!E:E,0)),"N/A")</f>
        <v>16583</v>
      </c>
      <c r="B2145" s="4" t="s">
        <v>493</v>
      </c>
      <c r="C2145" s="4" t="s">
        <v>283</v>
      </c>
      <c r="D2145" s="94">
        <v>3067.0</v>
      </c>
    </row>
    <row r="2146">
      <c r="A2146" s="40">
        <f t="array" ref="A2146">IFNA(index(PlayerValues!A:A,match(IFNA(vlookup(B2146,'Special Names'!A:B,2,FALSE),B2146),PlayerValues!E:E,0)),"N/A")</f>
        <v>14800</v>
      </c>
      <c r="B2146" s="4" t="s">
        <v>472</v>
      </c>
      <c r="C2146" s="4" t="s">
        <v>278</v>
      </c>
      <c r="D2146" s="94">
        <v>3060.0</v>
      </c>
    </row>
    <row r="2147">
      <c r="A2147" s="40" t="str">
        <f t="array" ref="A2147">IFNA(index(PlayerValues!A:A,match(IFNA(vlookup(B2147,'Special Names'!A:B,2,FALSE),B2147),PlayerValues!E:E,0)),"N/A")</f>
        <v>N/A</v>
      </c>
      <c r="B2147" s="4" t="s">
        <v>97</v>
      </c>
      <c r="C2147" s="4" t="s">
        <v>325</v>
      </c>
      <c r="D2147" s="94">
        <v>3060.0</v>
      </c>
    </row>
    <row r="2148">
      <c r="A2148" s="40">
        <f t="array" ref="A2148">IFNA(index(PlayerValues!A:A,match(IFNA(vlookup(B2148,'Special Names'!A:B,2,FALSE),B2148),PlayerValues!E:E,0)),"N/A")</f>
        <v>16080</v>
      </c>
      <c r="B2148" s="4" t="s">
        <v>499</v>
      </c>
      <c r="C2148" s="4" t="s">
        <v>287</v>
      </c>
      <c r="D2148" s="94">
        <v>3053.0</v>
      </c>
    </row>
    <row r="2149">
      <c r="A2149" s="40">
        <f t="array" ref="A2149">IFNA(index(PlayerValues!A:A,match(IFNA(vlookup(B2149,'Special Names'!A:B,2,FALSE),B2149),PlayerValues!E:E,0)),"N/A")</f>
        <v>16809</v>
      </c>
      <c r="B2149" s="4" t="s">
        <v>455</v>
      </c>
      <c r="C2149" s="4" t="s">
        <v>287</v>
      </c>
      <c r="D2149" s="94">
        <v>3046.0</v>
      </c>
    </row>
    <row r="2150">
      <c r="A2150" s="40">
        <f t="array" ref="A2150">IFNA(index(PlayerValues!A:A,match(IFNA(vlookup(B2150,'Special Names'!A:B,2,FALSE),B2150),PlayerValues!E:E,0)),"N/A")</f>
        <v>15761</v>
      </c>
      <c r="B2150" s="4" t="s">
        <v>491</v>
      </c>
      <c r="C2150" s="4" t="s">
        <v>287</v>
      </c>
      <c r="D2150" s="94">
        <v>3037.0</v>
      </c>
    </row>
    <row r="2151">
      <c r="A2151" s="40" t="str">
        <f t="array" ref="A2151">IFNA(index(PlayerValues!A:A,match(IFNA(vlookup(B2151,'Special Names'!A:B,2,FALSE),B2151),PlayerValues!E:E,0)),"N/A")</f>
        <v>N/A</v>
      </c>
      <c r="B2151" s="4" t="s">
        <v>84</v>
      </c>
      <c r="C2151" s="4" t="s">
        <v>325</v>
      </c>
      <c r="D2151" s="94">
        <v>3020.0</v>
      </c>
    </row>
    <row r="2152">
      <c r="A2152" s="40">
        <f t="array" ref="A2152">IFNA(index(PlayerValues!A:A,match(IFNA(vlookup(B2152,'Special Names'!A:B,2,FALSE),B2152),PlayerValues!E:E,0)),"N/A")</f>
        <v>17463</v>
      </c>
      <c r="B2152" s="4" t="s">
        <v>433</v>
      </c>
      <c r="C2152" s="4" t="s">
        <v>283</v>
      </c>
      <c r="D2152" s="94">
        <v>3017.0</v>
      </c>
    </row>
    <row r="2153">
      <c r="A2153" s="40">
        <f t="array" ref="A2153">IFNA(index(PlayerValues!A:A,match(IFNA(vlookup(B2153,'Special Names'!A:B,2,FALSE),B2153),PlayerValues!E:E,0)),"N/A")</f>
        <v>15259</v>
      </c>
      <c r="B2153" s="4" t="s">
        <v>453</v>
      </c>
      <c r="C2153" s="4" t="s">
        <v>278</v>
      </c>
      <c r="D2153" s="94">
        <v>2993.0</v>
      </c>
    </row>
    <row r="2154">
      <c r="A2154" s="40">
        <f t="array" ref="A2154">IFNA(index(PlayerValues!A:A,match(IFNA(vlookup(B2154,'Special Names'!A:B,2,FALSE),B2154),PlayerValues!E:E,0)),"N/A")</f>
        <v>17473</v>
      </c>
      <c r="B2154" s="4" t="s">
        <v>391</v>
      </c>
      <c r="C2154" s="4" t="s">
        <v>278</v>
      </c>
      <c r="D2154" s="94">
        <v>2975.0</v>
      </c>
    </row>
    <row r="2155">
      <c r="A2155" s="40">
        <f t="array" ref="A2155">IFNA(index(PlayerValues!A:A,match(IFNA(vlookup(B2155,'Special Names'!A:B,2,FALSE),B2155),PlayerValues!E:E,0)),"N/A")</f>
        <v>16597</v>
      </c>
      <c r="B2155" s="4" t="s">
        <v>427</v>
      </c>
      <c r="C2155" s="4" t="s">
        <v>278</v>
      </c>
      <c r="D2155" s="94">
        <v>2939.0</v>
      </c>
    </row>
    <row r="2156">
      <c r="A2156" s="40">
        <f t="array" ref="A2156">IFNA(index(PlayerValues!A:A,match(IFNA(vlookup(B2156,'Special Names'!A:B,2,FALSE),B2156),PlayerValues!E:E,0)),"N/A")</f>
        <v>15255</v>
      </c>
      <c r="B2156" s="4" t="s">
        <v>477</v>
      </c>
      <c r="C2156" s="4" t="s">
        <v>278</v>
      </c>
      <c r="D2156" s="94">
        <v>2927.0</v>
      </c>
    </row>
    <row r="2157">
      <c r="A2157" s="40">
        <f t="array" ref="A2157">IFNA(index(PlayerValues!A:A,match(IFNA(vlookup(B2157,'Special Names'!A:B,2,FALSE),B2157),PlayerValues!E:E,0)),"N/A")</f>
        <v>17106</v>
      </c>
      <c r="B2157" s="4" t="s">
        <v>550</v>
      </c>
      <c r="C2157" s="4" t="s">
        <v>298</v>
      </c>
      <c r="D2157" s="94">
        <v>3348.0</v>
      </c>
    </row>
    <row r="2158">
      <c r="A2158" s="40">
        <f t="array" ref="A2158">IFNA(index(PlayerValues!A:A,match(IFNA(vlookup(B2158,'Special Names'!A:B,2,FALSE),B2158),PlayerValues!E:E,0)),"N/A")</f>
        <v>15241</v>
      </c>
      <c r="B2158" s="4" t="s">
        <v>546</v>
      </c>
      <c r="C2158" s="4" t="s">
        <v>283</v>
      </c>
      <c r="D2158" s="94">
        <v>2921.0</v>
      </c>
    </row>
    <row r="2159">
      <c r="A2159" s="40" t="str">
        <f t="array" ref="A2159">IFNA(index(PlayerValues!A:A,match(IFNA(vlookup(B2159,'Special Names'!A:B,2,FALSE),B2159),PlayerValues!E:E,0)),"N/A")</f>
        <v>N/A</v>
      </c>
      <c r="B2159" s="4" t="s">
        <v>109</v>
      </c>
      <c r="C2159" s="4" t="s">
        <v>325</v>
      </c>
      <c r="D2159" s="94">
        <v>2913.0</v>
      </c>
    </row>
    <row r="2160">
      <c r="A2160" s="40">
        <f t="array" ref="A2160">IFNA(index(PlayerValues!A:A,match(IFNA(vlookup(B2160,'Special Names'!A:B,2,FALSE),B2160),PlayerValues!E:E,0)),"N/A")</f>
        <v>16584</v>
      </c>
      <c r="B2160" s="4" t="s">
        <v>569</v>
      </c>
      <c r="C2160" s="4" t="s">
        <v>283</v>
      </c>
      <c r="D2160" s="94">
        <v>2903.0</v>
      </c>
    </row>
    <row r="2161">
      <c r="A2161" s="40">
        <f t="array" ref="A2161">IFNA(index(PlayerValues!A:A,match(IFNA(vlookup(B2161,'Special Names'!A:B,2,FALSE),B2161),PlayerValues!E:E,0)),"N/A")</f>
        <v>16723</v>
      </c>
      <c r="B2161" s="4" t="s">
        <v>502</v>
      </c>
      <c r="C2161" s="4" t="s">
        <v>298</v>
      </c>
      <c r="D2161" s="94">
        <v>3316.0</v>
      </c>
    </row>
    <row r="2162">
      <c r="A2162" s="40">
        <f t="array" ref="A2162">IFNA(index(PlayerValues!A:A,match(IFNA(vlookup(B2162,'Special Names'!A:B,2,FALSE),B2162),PlayerValues!E:E,0)),"N/A")</f>
        <v>16193</v>
      </c>
      <c r="B2162" s="4" t="s">
        <v>487</v>
      </c>
      <c r="C2162" s="4" t="s">
        <v>287</v>
      </c>
      <c r="D2162" s="94">
        <v>2893.0</v>
      </c>
    </row>
    <row r="2163">
      <c r="A2163" s="40" t="str">
        <f t="array" ref="A2163">IFNA(index(PlayerValues!A:A,match(IFNA(vlookup(B2163,'Special Names'!A:B,2,FALSE),B2163),PlayerValues!E:E,0)),"N/A")</f>
        <v>N/A</v>
      </c>
      <c r="B2163" s="4" t="s">
        <v>85</v>
      </c>
      <c r="C2163" s="4" t="s">
        <v>325</v>
      </c>
      <c r="D2163" s="94">
        <v>2877.0</v>
      </c>
    </row>
    <row r="2164">
      <c r="A2164" s="40">
        <f t="array" ref="A2164">IFNA(index(PlayerValues!A:A,match(IFNA(vlookup(B2164,'Special Names'!A:B,2,FALSE),B2164),PlayerValues!E:E,0)),"N/A")</f>
        <v>13163</v>
      </c>
      <c r="B2164" s="4" t="s">
        <v>473</v>
      </c>
      <c r="C2164" s="4" t="s">
        <v>287</v>
      </c>
      <c r="D2164" s="94">
        <v>2873.0</v>
      </c>
    </row>
    <row r="2165">
      <c r="A2165" s="40">
        <f t="array" ref="A2165">IFNA(index(PlayerValues!A:A,match(IFNA(vlookup(B2165,'Special Names'!A:B,2,FALSE),B2165),PlayerValues!E:E,0)),"N/A")</f>
        <v>16619</v>
      </c>
      <c r="B2165" s="4" t="s">
        <v>538</v>
      </c>
      <c r="C2165" s="4" t="s">
        <v>287</v>
      </c>
      <c r="D2165" s="94">
        <v>2862.0</v>
      </c>
    </row>
    <row r="2166">
      <c r="A2166" s="40">
        <f t="array" ref="A2166">IFNA(index(PlayerValues!A:A,match(IFNA(vlookup(B2166,'Special Names'!A:B,2,FALSE),B2166),PlayerValues!E:E,0)),"N/A")</f>
        <v>17107</v>
      </c>
      <c r="B2166" s="4" t="s">
        <v>478</v>
      </c>
      <c r="C2166" s="4" t="s">
        <v>298</v>
      </c>
      <c r="D2166" s="94">
        <v>3281.0</v>
      </c>
    </row>
    <row r="2167">
      <c r="A2167" s="40">
        <f t="array" ref="A2167">IFNA(index(PlayerValues!A:A,match(IFNA(vlookup(B2167,'Special Names'!A:B,2,FALSE),B2167),PlayerValues!E:E,0)),"N/A")</f>
        <v>17031</v>
      </c>
      <c r="B2167" s="4" t="s">
        <v>535</v>
      </c>
      <c r="C2167" s="4" t="s">
        <v>283</v>
      </c>
      <c r="D2167" s="94">
        <v>2846.0</v>
      </c>
    </row>
    <row r="2168">
      <c r="A2168" s="40">
        <f t="array" ref="A2168">IFNA(index(PlayerValues!A:A,match(IFNA(vlookup(B2168,'Special Names'!A:B,2,FALSE),B2168),PlayerValues!E:E,0)),"N/A")</f>
        <v>17072</v>
      </c>
      <c r="B2168" s="4" t="s">
        <v>508</v>
      </c>
      <c r="C2168" s="4" t="s">
        <v>287</v>
      </c>
      <c r="D2168" s="94">
        <v>2843.0</v>
      </c>
    </row>
    <row r="2169">
      <c r="A2169" s="40">
        <f t="array" ref="A2169">IFNA(index(PlayerValues!A:A,match(IFNA(vlookup(B2169,'Special Names'!A:B,2,FALSE),B2169),PlayerValues!E:E,0)),"N/A")</f>
        <v>17157</v>
      </c>
      <c r="B2169" s="4" t="s">
        <v>524</v>
      </c>
      <c r="C2169" s="4" t="s">
        <v>287</v>
      </c>
      <c r="D2169" s="94">
        <v>2836.0</v>
      </c>
    </row>
    <row r="2170">
      <c r="A2170" s="40">
        <f t="array" ref="A2170">IFNA(index(PlayerValues!A:A,match(IFNA(vlookup(B2170,'Special Names'!A:B,2,FALSE),B2170),PlayerValues!E:E,0)),"N/A")</f>
        <v>17256</v>
      </c>
      <c r="B2170" s="4" t="s">
        <v>462</v>
      </c>
      <c r="C2170" s="4" t="s">
        <v>278</v>
      </c>
      <c r="D2170" s="94">
        <v>2832.0</v>
      </c>
    </row>
    <row r="2171">
      <c r="A2171" s="40">
        <f t="array" ref="A2171">IFNA(index(PlayerValues!A:A,match(IFNA(vlookup(B2171,'Special Names'!A:B,2,FALSE),B2171),PlayerValues!E:E,0)),"N/A")</f>
        <v>14860</v>
      </c>
      <c r="B2171" s="4" t="s">
        <v>554</v>
      </c>
      <c r="C2171" s="4" t="s">
        <v>287</v>
      </c>
      <c r="D2171" s="94">
        <v>2823.0</v>
      </c>
    </row>
    <row r="2172">
      <c r="A2172" s="40">
        <f t="array" ref="A2172">IFNA(index(PlayerValues!A:A,match(IFNA(vlookup(B2172,'Special Names'!A:B,2,FALSE),B2172),PlayerValues!E:E,0)),"N/A")</f>
        <v>17053</v>
      </c>
      <c r="B2172" s="4" t="s">
        <v>484</v>
      </c>
      <c r="C2172" s="4" t="s">
        <v>278</v>
      </c>
      <c r="D2172" s="94">
        <v>2818.0</v>
      </c>
    </row>
    <row r="2173">
      <c r="A2173" s="40">
        <f t="array" ref="A2173">IFNA(index(PlayerValues!A:A,match(IFNA(vlookup(B2173,'Special Names'!A:B,2,FALSE),B2173),PlayerValues!E:E,0)),"N/A")</f>
        <v>17073</v>
      </c>
      <c r="B2173" s="4" t="s">
        <v>547</v>
      </c>
      <c r="C2173" s="4" t="s">
        <v>287</v>
      </c>
      <c r="D2173" s="94">
        <v>2814.0</v>
      </c>
    </row>
    <row r="2174">
      <c r="A2174" s="40">
        <f t="array" ref="A2174">IFNA(index(PlayerValues!A:A,match(IFNA(vlookup(B2174,'Special Names'!A:B,2,FALSE),B2174),PlayerValues!E:E,0)),"N/A")</f>
        <v>17080</v>
      </c>
      <c r="B2174" s="4" t="s">
        <v>532</v>
      </c>
      <c r="C2174" s="4" t="s">
        <v>287</v>
      </c>
      <c r="D2174" s="94">
        <v>2805.0</v>
      </c>
    </row>
    <row r="2175">
      <c r="A2175" s="40">
        <f t="array" ref="A2175">IFNA(index(PlayerValues!A:A,match(IFNA(vlookup(B2175,'Special Names'!A:B,2,FALSE),B2175),PlayerValues!E:E,0)),"N/A")</f>
        <v>17082</v>
      </c>
      <c r="B2175" s="4" t="s">
        <v>498</v>
      </c>
      <c r="C2175" s="4" t="s">
        <v>287</v>
      </c>
      <c r="D2175" s="94">
        <v>2790.0</v>
      </c>
    </row>
    <row r="2176">
      <c r="A2176" s="40">
        <f t="array" ref="A2176">IFNA(index(PlayerValues!A:A,match(IFNA(vlookup(B2176,'Special Names'!A:B,2,FALSE),B2176),PlayerValues!E:E,0)),"N/A")</f>
        <v>14138</v>
      </c>
      <c r="B2176" s="4" t="s">
        <v>531</v>
      </c>
      <c r="C2176" s="4" t="s">
        <v>298</v>
      </c>
      <c r="D2176" s="94">
        <v>3203.0</v>
      </c>
    </row>
    <row r="2177">
      <c r="A2177" s="40">
        <f t="array" ref="A2177">IFNA(index(PlayerValues!A:A,match(IFNA(vlookup(B2177,'Special Names'!A:B,2,FALSE),B2177),PlayerValues!E:E,0)),"N/A")</f>
        <v>12616</v>
      </c>
      <c r="B2177" s="4" t="s">
        <v>529</v>
      </c>
      <c r="C2177" s="4" t="s">
        <v>283</v>
      </c>
      <c r="D2177" s="94">
        <v>2772.0</v>
      </c>
    </row>
    <row r="2178">
      <c r="A2178" s="40">
        <f t="array" ref="A2178">IFNA(index(PlayerValues!A:A,match(IFNA(vlookup(B2178,'Special Names'!A:B,2,FALSE),B2178),PlayerValues!E:E,0)),"N/A")</f>
        <v>17477</v>
      </c>
      <c r="B2178" s="4" t="s">
        <v>452</v>
      </c>
      <c r="C2178" s="4" t="s">
        <v>278</v>
      </c>
      <c r="D2178" s="94">
        <v>2766.0</v>
      </c>
    </row>
    <row r="2179">
      <c r="A2179" s="40">
        <f t="array" ref="A2179">IFNA(index(PlayerValues!A:A,match(IFNA(vlookup(B2179,'Special Names'!A:B,2,FALSE),B2179),PlayerValues!E:E,0)),"N/A")</f>
        <v>15889</v>
      </c>
      <c r="B2179" s="4" t="s">
        <v>503</v>
      </c>
      <c r="C2179" s="4" t="s">
        <v>298</v>
      </c>
      <c r="D2179" s="94">
        <v>3173.0</v>
      </c>
    </row>
    <row r="2180">
      <c r="A2180" s="40">
        <f t="array" ref="A2180">IFNA(index(PlayerValues!A:A,match(IFNA(vlookup(B2180,'Special Names'!A:B,2,FALSE),B2180),PlayerValues!E:E,0)),"N/A")</f>
        <v>17098</v>
      </c>
      <c r="B2180" s="4" t="s">
        <v>533</v>
      </c>
      <c r="C2180" s="4" t="s">
        <v>287</v>
      </c>
      <c r="D2180" s="94">
        <v>2747.0</v>
      </c>
    </row>
    <row r="2181">
      <c r="A2181" s="40">
        <f t="array" ref="A2181">IFNA(index(PlayerValues!A:A,match(IFNA(vlookup(B2181,'Special Names'!A:B,2,FALSE),B2181),PlayerValues!E:E,0)),"N/A")</f>
        <v>16596</v>
      </c>
      <c r="B2181" s="4" t="s">
        <v>501</v>
      </c>
      <c r="C2181" s="4" t="s">
        <v>278</v>
      </c>
      <c r="D2181" s="94">
        <v>2740.0</v>
      </c>
    </row>
    <row r="2182">
      <c r="A2182" s="40">
        <f t="array" ref="A2182">IFNA(index(PlayerValues!A:A,match(IFNA(vlookup(B2182,'Special Names'!A:B,2,FALSE),B2182),PlayerValues!E:E,0)),"N/A")</f>
        <v>13671</v>
      </c>
      <c r="B2182" s="4" t="s">
        <v>506</v>
      </c>
      <c r="C2182" s="4" t="s">
        <v>298</v>
      </c>
      <c r="D2182" s="94">
        <v>3151.0</v>
      </c>
    </row>
    <row r="2183">
      <c r="A2183" s="40">
        <f t="array" ref="A2183">IFNA(index(PlayerValues!A:A,match(IFNA(vlookup(B2183,'Special Names'!A:B,2,FALSE),B2183),PlayerValues!E:E,0)),"N/A")</f>
        <v>17171</v>
      </c>
      <c r="B2183" s="4" t="s">
        <v>561</v>
      </c>
      <c r="C2183" s="4" t="s">
        <v>287</v>
      </c>
      <c r="D2183" s="94">
        <v>2733.0</v>
      </c>
    </row>
    <row r="2184">
      <c r="A2184" s="40" t="str">
        <f t="array" ref="A2184">IFNA(index(PlayerValues!A:A,match(IFNA(vlookup(B2184,'Special Names'!A:B,2,FALSE),B2184),PlayerValues!E:E,0)),"N/A")</f>
        <v>N/A</v>
      </c>
      <c r="B2184" s="4" t="s">
        <v>110</v>
      </c>
      <c r="C2184" s="4" t="s">
        <v>325</v>
      </c>
      <c r="D2184" s="94">
        <v>2727.0</v>
      </c>
    </row>
    <row r="2185">
      <c r="A2185" s="40">
        <f t="array" ref="A2185">IFNA(index(PlayerValues!A:A,match(IFNA(vlookup(B2185,'Special Names'!A:B,2,FALSE),B2185),PlayerValues!E:E,0)),"N/A")</f>
        <v>14778</v>
      </c>
      <c r="B2185" s="4" t="s">
        <v>564</v>
      </c>
      <c r="C2185" s="4" t="s">
        <v>283</v>
      </c>
      <c r="D2185" s="94">
        <v>2725.0</v>
      </c>
    </row>
    <row r="2186">
      <c r="A2186" s="40">
        <f t="array" ref="A2186">IFNA(index(PlayerValues!A:A,match(IFNA(vlookup(B2186,'Special Names'!A:B,2,FALSE),B2186),PlayerValues!E:E,0)),"N/A")</f>
        <v>16594</v>
      </c>
      <c r="B2186" s="4" t="s">
        <v>607</v>
      </c>
      <c r="C2186" s="4" t="s">
        <v>278</v>
      </c>
      <c r="D2186" s="94">
        <v>2717.0</v>
      </c>
    </row>
    <row r="2187">
      <c r="A2187" s="40">
        <f t="array" ref="A2187">IFNA(index(PlayerValues!A:A,match(IFNA(vlookup(B2187,'Special Names'!A:B,2,FALSE),B2187),PlayerValues!E:E,0)),"N/A")</f>
        <v>17047</v>
      </c>
      <c r="B2187" s="4" t="s">
        <v>510</v>
      </c>
      <c r="C2187" s="4" t="s">
        <v>278</v>
      </c>
      <c r="D2187" s="94">
        <v>2716.0</v>
      </c>
    </row>
    <row r="2188">
      <c r="A2188" s="40">
        <f t="array" ref="A2188">IFNA(index(PlayerValues!A:A,match(IFNA(vlookup(B2188,'Special Names'!A:B,2,FALSE),B2188),PlayerValues!E:E,0)),"N/A")</f>
        <v>14833</v>
      </c>
      <c r="B2188" s="4" t="s">
        <v>553</v>
      </c>
      <c r="C2188" s="4" t="s">
        <v>287</v>
      </c>
      <c r="D2188" s="94">
        <v>2714.0</v>
      </c>
    </row>
    <row r="2189">
      <c r="A2189" s="40">
        <f t="array" ref="A2189">IFNA(index(PlayerValues!A:A,match(IFNA(vlookup(B2189,'Special Names'!A:B,2,FALSE),B2189),PlayerValues!E:E,0)),"N/A")</f>
        <v>15972</v>
      </c>
      <c r="B2189" s="4" t="s">
        <v>469</v>
      </c>
      <c r="C2189" s="4" t="s">
        <v>278</v>
      </c>
      <c r="D2189" s="94">
        <v>2714.0</v>
      </c>
    </row>
    <row r="2190">
      <c r="A2190" s="40">
        <f t="array" ref="A2190">IFNA(index(PlayerValues!A:A,match(IFNA(vlookup(B2190,'Special Names'!A:B,2,FALSE),B2190),PlayerValues!E:E,0)),"N/A")</f>
        <v>16626</v>
      </c>
      <c r="B2190" s="4" t="s">
        <v>515</v>
      </c>
      <c r="C2190" s="4" t="s">
        <v>287</v>
      </c>
      <c r="D2190" s="94">
        <v>2712.0</v>
      </c>
    </row>
    <row r="2191">
      <c r="A2191" s="40">
        <f t="array" ref="A2191">IFNA(index(PlayerValues!A:A,match(IFNA(vlookup(B2191,'Special Names'!A:B,2,FALSE),B2191),PlayerValues!E:E,0)),"N/A")</f>
        <v>15721</v>
      </c>
      <c r="B2191" s="4" t="s">
        <v>504</v>
      </c>
      <c r="C2191" s="4" t="s">
        <v>278</v>
      </c>
      <c r="D2191" s="94">
        <v>2708.0</v>
      </c>
    </row>
    <row r="2192">
      <c r="A2192" s="40">
        <f t="array" ref="A2192">IFNA(index(PlayerValues!A:A,match(IFNA(vlookup(B2192,'Special Names'!A:B,2,FALSE),B2192),PlayerValues!E:E,0)),"N/A")</f>
        <v>13192</v>
      </c>
      <c r="B2192" s="4" t="s">
        <v>563</v>
      </c>
      <c r="C2192" s="4" t="s">
        <v>298</v>
      </c>
      <c r="D2192" s="94">
        <v>3118.0</v>
      </c>
    </row>
    <row r="2193">
      <c r="A2193" s="40">
        <f t="array" ref="A2193">IFNA(index(PlayerValues!A:A,match(IFNA(vlookup(B2193,'Special Names'!A:B,2,FALSE),B2193),PlayerValues!E:E,0)),"N/A")</f>
        <v>17134</v>
      </c>
      <c r="B2193" s="4" t="s">
        <v>548</v>
      </c>
      <c r="C2193" s="4" t="s">
        <v>287</v>
      </c>
      <c r="D2193" s="94">
        <v>2698.0</v>
      </c>
    </row>
    <row r="2194">
      <c r="A2194" s="40">
        <f t="array" ref="A2194">IFNA(index(PlayerValues!A:A,match(IFNA(vlookup(B2194,'Special Names'!A:B,2,FALSE),B2194),PlayerValues!E:E,0)),"N/A")</f>
        <v>14085</v>
      </c>
      <c r="B2194" s="4" t="s">
        <v>489</v>
      </c>
      <c r="C2194" s="4" t="s">
        <v>278</v>
      </c>
      <c r="D2194" s="94">
        <v>2668.0</v>
      </c>
    </row>
    <row r="2195">
      <c r="A2195" s="40">
        <f t="array" ref="A2195">IFNA(index(PlayerValues!A:A,match(IFNA(vlookup(B2195,'Special Names'!A:B,2,FALSE),B2195),PlayerValues!E:E,0)),"N/A")</f>
        <v>16165</v>
      </c>
      <c r="B2195" s="4" t="s">
        <v>520</v>
      </c>
      <c r="C2195" s="4" t="s">
        <v>278</v>
      </c>
      <c r="D2195" s="94">
        <v>2651.0</v>
      </c>
    </row>
    <row r="2196">
      <c r="A2196" s="40">
        <f t="array" ref="A2196">IFNA(index(PlayerValues!A:A,match(IFNA(vlookup(B2196,'Special Names'!A:B,2,FALSE),B2196),PlayerValues!E:E,0)),"N/A")</f>
        <v>13674</v>
      </c>
      <c r="B2196" s="4" t="s">
        <v>511</v>
      </c>
      <c r="C2196" s="4" t="s">
        <v>298</v>
      </c>
      <c r="D2196" s="94">
        <v>3048.0</v>
      </c>
    </row>
    <row r="2197">
      <c r="A2197" s="40">
        <f t="array" ref="A2197">IFNA(index(PlayerValues!A:A,match(IFNA(vlookup(B2197,'Special Names'!A:B,2,FALSE),B2197),PlayerValues!E:E,0)),"N/A")</f>
        <v>17544</v>
      </c>
      <c r="B2197" s="4" t="s">
        <v>470</v>
      </c>
      <c r="C2197" s="4" t="s">
        <v>298</v>
      </c>
      <c r="D2197" s="94">
        <v>3038.0</v>
      </c>
    </row>
    <row r="2198">
      <c r="A2198" s="40">
        <f t="array" ref="A2198">IFNA(index(PlayerValues!A:A,match(IFNA(vlookup(B2198,'Special Names'!A:B,2,FALSE),B2198),PlayerValues!E:E,0)),"N/A")</f>
        <v>16747</v>
      </c>
      <c r="B2198" s="4" t="s">
        <v>555</v>
      </c>
      <c r="C2198" s="4" t="s">
        <v>278</v>
      </c>
      <c r="D2198" s="94">
        <v>2589.0</v>
      </c>
    </row>
    <row r="2199">
      <c r="A2199" s="40">
        <f t="array" ref="A2199">IFNA(index(PlayerValues!A:A,match(IFNA(vlookup(B2199,'Special Names'!A:B,2,FALSE),B2199),PlayerValues!E:E,0)),"N/A")</f>
        <v>14840</v>
      </c>
      <c r="B2199" s="4" t="s">
        <v>731</v>
      </c>
      <c r="C2199" s="4" t="s">
        <v>287</v>
      </c>
      <c r="D2199" s="94">
        <v>2579.0</v>
      </c>
    </row>
    <row r="2200">
      <c r="A2200" s="40">
        <f t="array" ref="A2200">IFNA(index(PlayerValues!A:A,match(IFNA(vlookup(B2200,'Special Names'!A:B,2,FALSE),B2200),PlayerValues!E:E,0)),"N/A")</f>
        <v>17105</v>
      </c>
      <c r="B2200" s="4" t="s">
        <v>525</v>
      </c>
      <c r="C2200" s="4" t="s">
        <v>298</v>
      </c>
      <c r="D2200" s="94">
        <v>2973.0</v>
      </c>
    </row>
    <row r="2201">
      <c r="A2201" s="40" t="str">
        <f t="array" ref="A2201">IFNA(index(PlayerValues!A:A,match(IFNA(vlookup(B2201,'Special Names'!A:B,2,FALSE),B2201),PlayerValues!E:E,0)),"N/A")</f>
        <v>N/A</v>
      </c>
      <c r="B2201" s="4" t="s">
        <v>98</v>
      </c>
      <c r="C2201" s="4" t="s">
        <v>325</v>
      </c>
      <c r="D2201" s="94">
        <v>2562.0</v>
      </c>
    </row>
    <row r="2202">
      <c r="A2202" s="40">
        <f t="array" ref="A2202">IFNA(index(PlayerValues!A:A,match(IFNA(vlookup(B2202,'Special Names'!A:B,2,FALSE),B2202),PlayerValues!E:E,0)),"N/A")</f>
        <v>16617</v>
      </c>
      <c r="B2202" s="4" t="s">
        <v>541</v>
      </c>
      <c r="C2202" s="4" t="s">
        <v>287</v>
      </c>
      <c r="D2202" s="94">
        <v>2552.0</v>
      </c>
    </row>
    <row r="2203">
      <c r="A2203" s="40">
        <f t="array" ref="A2203">IFNA(index(PlayerValues!A:A,match(IFNA(vlookup(B2203,'Special Names'!A:B,2,FALSE),B2203),PlayerValues!E:E,0)),"N/A")</f>
        <v>17108</v>
      </c>
      <c r="B2203" s="4" t="s">
        <v>542</v>
      </c>
      <c r="C2203" s="4" t="s">
        <v>298</v>
      </c>
      <c r="D2203" s="94">
        <v>2954.0</v>
      </c>
    </row>
    <row r="2204">
      <c r="A2204" s="40">
        <f t="array" ref="A2204">IFNA(index(PlayerValues!A:A,match(IFNA(vlookup(B2204,'Special Names'!A:B,2,FALSE),B2204),PlayerValues!E:E,0)),"N/A")</f>
        <v>16178</v>
      </c>
      <c r="B2204" s="4" t="s">
        <v>507</v>
      </c>
      <c r="C2204" s="4" t="s">
        <v>278</v>
      </c>
      <c r="D2204" s="94">
        <v>2535.0</v>
      </c>
    </row>
    <row r="2205">
      <c r="A2205" s="40">
        <f t="array" ref="A2205">IFNA(index(PlayerValues!A:A,match(IFNA(vlookup(B2205,'Special Names'!A:B,2,FALSE),B2205),PlayerValues!E:E,0)),"N/A")</f>
        <v>16164</v>
      </c>
      <c r="B2205" s="4" t="s">
        <v>512</v>
      </c>
      <c r="C2205" s="4" t="s">
        <v>278</v>
      </c>
      <c r="D2205" s="94">
        <v>2529.0</v>
      </c>
    </row>
    <row r="2206">
      <c r="A2206" s="40" t="str">
        <f t="array" ref="A2206">IFNA(index(PlayerValues!A:A,match(IFNA(vlookup(B2206,'Special Names'!A:B,2,FALSE),B2206),PlayerValues!E:E,0)),"N/A")</f>
        <v>N/A</v>
      </c>
      <c r="B2206" s="4" t="s">
        <v>557</v>
      </c>
      <c r="C2206" s="4" t="s">
        <v>278</v>
      </c>
      <c r="D2206" s="94">
        <v>2525.0</v>
      </c>
    </row>
    <row r="2207">
      <c r="A2207" s="40">
        <f t="array" ref="A2207">IFNA(index(PlayerValues!A:A,match(IFNA(vlookup(B2207,'Special Names'!A:B,2,FALSE),B2207),PlayerValues!E:E,0)),"N/A")</f>
        <v>14136</v>
      </c>
      <c r="B2207" s="4" t="s">
        <v>536</v>
      </c>
      <c r="C2207" s="4" t="s">
        <v>287</v>
      </c>
      <c r="D2207" s="94">
        <v>2517.0</v>
      </c>
    </row>
    <row r="2208">
      <c r="A2208" s="40">
        <f t="array" ref="A2208">IFNA(index(PlayerValues!A:A,match(IFNA(vlookup(B2208,'Special Names'!A:B,2,FALSE),B2208),PlayerValues!E:E,0)),"N/A")</f>
        <v>16204</v>
      </c>
      <c r="B2208" s="4" t="s">
        <v>530</v>
      </c>
      <c r="C2208" s="4" t="s">
        <v>287</v>
      </c>
      <c r="D2208" s="94">
        <v>2514.0</v>
      </c>
    </row>
    <row r="2209">
      <c r="A2209" s="40">
        <f t="array" ref="A2209">IFNA(index(PlayerValues!A:A,match(IFNA(vlookup(B2209,'Special Names'!A:B,2,FALSE),B2209),PlayerValues!E:E,0)),"N/A")</f>
        <v>15802</v>
      </c>
      <c r="B2209" s="4" t="s">
        <v>566</v>
      </c>
      <c r="C2209" s="4" t="s">
        <v>298</v>
      </c>
      <c r="D2209" s="94">
        <v>2919.0</v>
      </c>
    </row>
    <row r="2210">
      <c r="A2210" s="40">
        <f t="array" ref="A2210">IFNA(index(PlayerValues!A:A,match(IFNA(vlookup(B2210,'Special Names'!A:B,2,FALSE),B2210),PlayerValues!E:E,0)),"N/A")</f>
        <v>16152</v>
      </c>
      <c r="B2210" s="4" t="s">
        <v>601</v>
      </c>
      <c r="C2210" s="4" t="s">
        <v>283</v>
      </c>
      <c r="D2210" s="94">
        <v>2510.0</v>
      </c>
    </row>
    <row r="2211">
      <c r="A2211" s="40">
        <f t="array" ref="A2211">IFNA(index(PlayerValues!A:A,match(IFNA(vlookup(B2211,'Special Names'!A:B,2,FALSE),B2211),PlayerValues!E:E,0)),"N/A")</f>
        <v>16166</v>
      </c>
      <c r="B2211" s="4" t="s">
        <v>567</v>
      </c>
      <c r="C2211" s="4" t="s">
        <v>278</v>
      </c>
      <c r="D2211" s="94">
        <v>2494.0</v>
      </c>
    </row>
    <row r="2212">
      <c r="A2212" s="40">
        <f t="array" ref="A2212">IFNA(index(PlayerValues!A:A,match(IFNA(vlookup(B2212,'Special Names'!A:B,2,FALSE),B2212),PlayerValues!E:E,0)),"N/A")</f>
        <v>16757</v>
      </c>
      <c r="B2212" s="4" t="s">
        <v>558</v>
      </c>
      <c r="C2212" s="4" t="s">
        <v>278</v>
      </c>
      <c r="D2212" s="94">
        <v>2469.0</v>
      </c>
    </row>
    <row r="2213">
      <c r="A2213" s="40">
        <f t="array" ref="A2213">IFNA(index(PlayerValues!A:A,match(IFNA(vlookup(B2213,'Special Names'!A:B,2,FALSE),B2213),PlayerValues!E:E,0)),"N/A")</f>
        <v>16287</v>
      </c>
      <c r="B2213" s="4" t="s">
        <v>516</v>
      </c>
      <c r="C2213" s="4" t="s">
        <v>287</v>
      </c>
      <c r="D2213" s="94">
        <v>2460.0</v>
      </c>
    </row>
    <row r="2214">
      <c r="A2214" s="40">
        <f t="array" ref="A2214">IFNA(index(PlayerValues!A:A,match(IFNA(vlookup(B2214,'Special Names'!A:B,2,FALSE),B2214),PlayerValues!E:E,0)),"N/A")</f>
        <v>17033</v>
      </c>
      <c r="B2214" s="4" t="s">
        <v>570</v>
      </c>
      <c r="C2214" s="4" t="s">
        <v>283</v>
      </c>
      <c r="D2214" s="94">
        <v>2457.0</v>
      </c>
    </row>
    <row r="2215">
      <c r="A2215" s="40">
        <f t="array" ref="A2215">IFNA(index(PlayerValues!A:A,match(IFNA(vlookup(B2215,'Special Names'!A:B,2,FALSE),B2215),PlayerValues!E:E,0)),"N/A")</f>
        <v>11244</v>
      </c>
      <c r="B2215" s="4" t="s">
        <v>519</v>
      </c>
      <c r="C2215" s="4" t="s">
        <v>298</v>
      </c>
      <c r="D2215" s="94">
        <v>2859.0</v>
      </c>
    </row>
    <row r="2216">
      <c r="A2216" s="40">
        <f t="array" ref="A2216">IFNA(index(PlayerValues!A:A,match(IFNA(vlookup(B2216,'Special Names'!A:B,2,FALSE),B2216),PlayerValues!E:E,0)),"N/A")</f>
        <v>17476</v>
      </c>
      <c r="B2216" s="4" t="s">
        <v>494</v>
      </c>
      <c r="C2216" s="4" t="s">
        <v>278</v>
      </c>
      <c r="D2216" s="94">
        <v>2447.0</v>
      </c>
    </row>
    <row r="2217">
      <c r="A2217" s="40">
        <f t="array" ref="A2217">IFNA(index(PlayerValues!A:A,match(IFNA(vlookup(B2217,'Special Names'!A:B,2,FALSE),B2217),PlayerValues!E:E,0)),"N/A")</f>
        <v>16649</v>
      </c>
      <c r="B2217" s="4" t="s">
        <v>586</v>
      </c>
      <c r="C2217" s="4" t="s">
        <v>298</v>
      </c>
      <c r="D2217" s="94">
        <v>2845.0</v>
      </c>
    </row>
    <row r="2218">
      <c r="A2218" s="40">
        <f t="array" ref="A2218">IFNA(index(PlayerValues!A:A,match(IFNA(vlookup(B2218,'Special Names'!A:B,2,FALSE),B2218),PlayerValues!E:E,0)),"N/A")</f>
        <v>14861</v>
      </c>
      <c r="B2218" s="4" t="s">
        <v>523</v>
      </c>
      <c r="C2218" s="4" t="s">
        <v>298</v>
      </c>
      <c r="D2218" s="94">
        <v>2833.0</v>
      </c>
    </row>
    <row r="2219">
      <c r="A2219" s="40">
        <f t="array" ref="A2219">IFNA(index(PlayerValues!A:A,match(IFNA(vlookup(B2219,'Special Names'!A:B,2,FALSE),B2219),PlayerValues!E:E,0)),"N/A")</f>
        <v>16684</v>
      </c>
      <c r="B2219" s="4" t="s">
        <v>500</v>
      </c>
      <c r="C2219" s="4" t="s">
        <v>287</v>
      </c>
      <c r="D2219" s="94">
        <v>2429.0</v>
      </c>
    </row>
    <row r="2220">
      <c r="A2220" s="40">
        <f t="array" ref="A2220">IFNA(index(PlayerValues!A:A,match(IFNA(vlookup(B2220,'Special Names'!A:B,2,FALSE),B2220),PlayerValues!E:E,0)),"N/A")</f>
        <v>16189</v>
      </c>
      <c r="B2220" s="4" t="s">
        <v>582</v>
      </c>
      <c r="C2220" s="4" t="s">
        <v>287</v>
      </c>
      <c r="D2220" s="94">
        <v>2413.0</v>
      </c>
    </row>
    <row r="2221">
      <c r="A2221" s="40">
        <f t="array" ref="A2221">IFNA(index(PlayerValues!A:A,match(IFNA(vlookup(B2221,'Special Names'!A:B,2,FALSE),B2221),PlayerValues!E:E,0)),"N/A")</f>
        <v>17505</v>
      </c>
      <c r="B2221" s="4" t="s">
        <v>528</v>
      </c>
      <c r="C2221" s="4" t="s">
        <v>287</v>
      </c>
      <c r="D2221" s="94">
        <v>2413.0</v>
      </c>
    </row>
    <row r="2222">
      <c r="A2222" s="40">
        <f t="array" ref="A2222">IFNA(index(PlayerValues!A:A,match(IFNA(vlookup(B2222,'Special Names'!A:B,2,FALSE),B2222),PlayerValues!E:E,0)),"N/A")</f>
        <v>16036</v>
      </c>
      <c r="B2222" s="4" t="s">
        <v>592</v>
      </c>
      <c r="C2222" s="4" t="s">
        <v>298</v>
      </c>
      <c r="D2222" s="94">
        <v>2801.0</v>
      </c>
    </row>
    <row r="2223">
      <c r="A2223" s="40" t="str">
        <f t="array" ref="A2223">IFNA(index(PlayerValues!A:A,match(IFNA(vlookup(B2223,'Special Names'!A:B,2,FALSE),B2223),PlayerValues!E:E,0)),"N/A")</f>
        <v>N/A</v>
      </c>
      <c r="B2223" s="4" t="s">
        <v>86</v>
      </c>
      <c r="C2223" s="4" t="s">
        <v>325</v>
      </c>
      <c r="D2223" s="94">
        <v>2400.0</v>
      </c>
    </row>
    <row r="2224">
      <c r="A2224" s="40" t="str">
        <f t="array" ref="A2224">IFNA(index(PlayerValues!A:A,match(IFNA(vlookup(B2224,'Special Names'!A:B,2,FALSE),B2224),PlayerValues!E:E,0)),"N/A")</f>
        <v>N/A</v>
      </c>
      <c r="B2224" s="4" t="s">
        <v>99</v>
      </c>
      <c r="C2224" s="4" t="s">
        <v>325</v>
      </c>
      <c r="D2224" s="94">
        <v>2397.0</v>
      </c>
    </row>
    <row r="2225">
      <c r="A2225" s="40">
        <f t="array" ref="A2225">IFNA(index(PlayerValues!A:A,match(IFNA(vlookup(B2225,'Special Names'!A:B,2,FALSE),B2225),PlayerValues!E:E,0)),"N/A")</f>
        <v>17078</v>
      </c>
      <c r="B2225" s="4" t="s">
        <v>543</v>
      </c>
      <c r="C2225" s="4" t="s">
        <v>287</v>
      </c>
      <c r="D2225" s="94">
        <v>2397.0</v>
      </c>
    </row>
    <row r="2226">
      <c r="A2226" s="40">
        <f t="array" ref="A2226">IFNA(index(PlayerValues!A:A,match(IFNA(vlookup(B2226,'Special Names'!A:B,2,FALSE),B2226),PlayerValues!E:E,0)),"N/A")</f>
        <v>15749</v>
      </c>
      <c r="B2226" s="4" t="s">
        <v>574</v>
      </c>
      <c r="C2226" s="4" t="s">
        <v>278</v>
      </c>
      <c r="D2226" s="94">
        <v>2396.0</v>
      </c>
    </row>
    <row r="2227">
      <c r="A2227" s="40">
        <f t="array" ref="A2227">IFNA(index(PlayerValues!A:A,match(IFNA(vlookup(B2227,'Special Names'!A:B,2,FALSE),B2227),PlayerValues!E:E,0)),"N/A")</f>
        <v>17048</v>
      </c>
      <c r="B2227" s="4" t="s">
        <v>539</v>
      </c>
      <c r="C2227" s="4" t="s">
        <v>278</v>
      </c>
      <c r="D2227" s="94">
        <v>2388.0</v>
      </c>
    </row>
    <row r="2228">
      <c r="A2228" s="40">
        <f t="array" ref="A2228">IFNA(index(PlayerValues!A:A,match(IFNA(vlookup(B2228,'Special Names'!A:B,2,FALSE),B2228),PlayerValues!E:E,0)),"N/A")</f>
        <v>15786</v>
      </c>
      <c r="B2228" s="4" t="s">
        <v>521</v>
      </c>
      <c r="C2228" s="4" t="s">
        <v>287</v>
      </c>
      <c r="D2228" s="94">
        <v>2377.0</v>
      </c>
    </row>
    <row r="2229">
      <c r="A2229" s="40">
        <f t="array" ref="A2229">IFNA(index(PlayerValues!A:A,match(IFNA(vlookup(B2229,'Special Names'!A:B,2,FALSE),B2229),PlayerValues!E:E,0)),"N/A")</f>
        <v>16610</v>
      </c>
      <c r="B2229" s="4" t="s">
        <v>562</v>
      </c>
      <c r="C2229" s="4" t="s">
        <v>278</v>
      </c>
      <c r="D2229" s="94">
        <v>2348.0</v>
      </c>
    </row>
    <row r="2230">
      <c r="A2230" s="40">
        <f t="array" ref="A2230">IFNA(index(PlayerValues!A:A,match(IFNA(vlookup(B2230,'Special Names'!A:B,2,FALSE),B2230),PlayerValues!E:E,0)),"N/A")</f>
        <v>12676</v>
      </c>
      <c r="B2230" s="4" t="s">
        <v>537</v>
      </c>
      <c r="C2230" s="4" t="s">
        <v>298</v>
      </c>
      <c r="D2230" s="94">
        <v>2741.0</v>
      </c>
    </row>
    <row r="2231">
      <c r="A2231" s="40">
        <f t="array" ref="A2231">IFNA(index(PlayerValues!A:A,match(IFNA(vlookup(B2231,'Special Names'!A:B,2,FALSE),B2231),PlayerValues!E:E,0)),"N/A")</f>
        <v>16195</v>
      </c>
      <c r="B2231" s="4" t="s">
        <v>509</v>
      </c>
      <c r="C2231" s="4" t="s">
        <v>287</v>
      </c>
      <c r="D2231" s="94">
        <v>2342.0</v>
      </c>
    </row>
    <row r="2232">
      <c r="A2232" s="40">
        <f t="array" ref="A2232">IFNA(index(PlayerValues!A:A,match(IFNA(vlookup(B2232,'Special Names'!A:B,2,FALSE),B2232),PlayerValues!E:E,0)),"N/A")</f>
        <v>16212</v>
      </c>
      <c r="B2232" s="4" t="s">
        <v>568</v>
      </c>
      <c r="C2232" s="4" t="s">
        <v>298</v>
      </c>
      <c r="D2232" s="94">
        <v>2711.0</v>
      </c>
    </row>
    <row r="2233">
      <c r="A2233" s="40">
        <f t="array" ref="A2233">IFNA(index(PlayerValues!A:A,match(IFNA(vlookup(B2233,'Special Names'!A:B,2,FALSE),B2233),PlayerValues!E:E,0)),"N/A")</f>
        <v>17046</v>
      </c>
      <c r="B2233" s="4" t="s">
        <v>602</v>
      </c>
      <c r="C2233" s="4" t="s">
        <v>278</v>
      </c>
      <c r="D2233" s="94">
        <v>2314.0</v>
      </c>
    </row>
    <row r="2234">
      <c r="A2234" s="40">
        <f t="array" ref="A2234">IFNA(index(PlayerValues!A:A,match(IFNA(vlookup(B2234,'Special Names'!A:B,2,FALSE),B2234),PlayerValues!E:E,0)),"N/A")</f>
        <v>12801</v>
      </c>
      <c r="B2234" s="4" t="s">
        <v>722</v>
      </c>
      <c r="C2234" s="4" t="s">
        <v>287</v>
      </c>
      <c r="D2234" s="94">
        <v>2305.0</v>
      </c>
    </row>
    <row r="2235">
      <c r="A2235" s="40">
        <f t="array" ref="A2235">IFNA(index(PlayerValues!A:A,match(IFNA(vlookup(B2235,'Special Names'!A:B,2,FALSE),B2235),PlayerValues!E:E,0)),"N/A")</f>
        <v>15238</v>
      </c>
      <c r="B2235" s="4" t="s">
        <v>613</v>
      </c>
      <c r="C2235" s="4" t="s">
        <v>283</v>
      </c>
      <c r="D2235" s="94">
        <v>2302.0</v>
      </c>
    </row>
    <row r="2236">
      <c r="A2236" s="40">
        <f t="array" ref="A2236">IFNA(index(PlayerValues!A:A,match(IFNA(vlookup(B2236,'Special Names'!A:B,2,FALSE),B2236),PlayerValues!E:E,0)),"N/A")</f>
        <v>13772</v>
      </c>
      <c r="B2236" s="4" t="s">
        <v>544</v>
      </c>
      <c r="C2236" s="4" t="s">
        <v>298</v>
      </c>
      <c r="D2236" s="94">
        <v>2687.0</v>
      </c>
    </row>
    <row r="2237">
      <c r="A2237" s="40">
        <f t="array" ref="A2237">IFNA(index(PlayerValues!A:A,match(IFNA(vlookup(B2237,'Special Names'!A:B,2,FALSE),B2237),PlayerValues!E:E,0)),"N/A")</f>
        <v>17076</v>
      </c>
      <c r="B2237" s="4" t="s">
        <v>585</v>
      </c>
      <c r="C2237" s="4" t="s">
        <v>287</v>
      </c>
      <c r="D2237" s="94">
        <v>2290.0</v>
      </c>
    </row>
    <row r="2238">
      <c r="A2238" s="40">
        <f t="array" ref="A2238">IFNA(index(PlayerValues!A:A,match(IFNA(vlookup(B2238,'Special Names'!A:B,2,FALSE),B2238),PlayerValues!E:E,0)),"N/A")</f>
        <v>16174</v>
      </c>
      <c r="B2238" s="4" t="s">
        <v>505</v>
      </c>
      <c r="C2238" s="4" t="s">
        <v>278</v>
      </c>
      <c r="D2238" s="94">
        <v>2278.0</v>
      </c>
    </row>
    <row r="2239">
      <c r="A2239" s="40">
        <f t="array" ref="A2239">IFNA(index(PlayerValues!A:A,match(IFNA(vlookup(B2239,'Special Names'!A:B,2,FALSE),B2239),PlayerValues!E:E,0)),"N/A")</f>
        <v>17079</v>
      </c>
      <c r="B2239" s="4" t="s">
        <v>572</v>
      </c>
      <c r="C2239" s="4" t="s">
        <v>287</v>
      </c>
      <c r="D2239" s="94">
        <v>2275.0</v>
      </c>
    </row>
    <row r="2240">
      <c r="A2240" s="40">
        <f t="array" ref="A2240">IFNA(index(PlayerValues!A:A,match(IFNA(vlookup(B2240,'Special Names'!A:B,2,FALSE),B2240),PlayerValues!E:E,0)),"N/A")</f>
        <v>15716</v>
      </c>
      <c r="B2240" s="4" t="s">
        <v>545</v>
      </c>
      <c r="C2240" s="4" t="s">
        <v>278</v>
      </c>
      <c r="D2240" s="94">
        <v>2256.0</v>
      </c>
    </row>
    <row r="2241">
      <c r="A2241" s="40" t="str">
        <f t="array" ref="A2241">IFNA(index(PlayerValues!A:A,match(IFNA(vlookup(B2241,'Special Names'!A:B,2,FALSE),B2241),PlayerValues!E:E,0)),"N/A")</f>
        <v>N/A</v>
      </c>
      <c r="B2241" s="4" t="s">
        <v>87</v>
      </c>
      <c r="C2241" s="4" t="s">
        <v>325</v>
      </c>
      <c r="D2241" s="94">
        <v>2250.0</v>
      </c>
    </row>
    <row r="2242">
      <c r="A2242" s="40">
        <f t="array" ref="A2242">IFNA(index(PlayerValues!A:A,match(IFNA(vlookup(B2242,'Special Names'!A:B,2,FALSE),B2242),PlayerValues!E:E,0)),"N/A")</f>
        <v>17482</v>
      </c>
      <c r="B2242" s="4" t="s">
        <v>460</v>
      </c>
      <c r="C2242" s="4" t="s">
        <v>278</v>
      </c>
      <c r="D2242" s="94">
        <v>2248.0</v>
      </c>
    </row>
    <row r="2243">
      <c r="A2243" s="40">
        <f t="array" ref="A2243">IFNA(index(PlayerValues!A:A,match(IFNA(vlookup(B2243,'Special Names'!A:B,2,FALSE),B2243),PlayerValues!E:E,0)),"N/A")</f>
        <v>12186</v>
      </c>
      <c r="B2243" s="4" t="s">
        <v>497</v>
      </c>
      <c r="C2243" s="4" t="s">
        <v>287</v>
      </c>
      <c r="D2243" s="94">
        <v>2246.0</v>
      </c>
    </row>
    <row r="2244">
      <c r="A2244" s="40" t="str">
        <f t="array" ref="A2244">IFNA(index(PlayerValues!A:A,match(IFNA(vlookup(B2244,'Special Names'!A:B,2,FALSE),B2244),PlayerValues!E:E,0)),"N/A")</f>
        <v>N/A</v>
      </c>
      <c r="B2244" s="4" t="s">
        <v>100</v>
      </c>
      <c r="C2244" s="4" t="s">
        <v>325</v>
      </c>
      <c r="D2244" s="94">
        <v>2219.0</v>
      </c>
    </row>
    <row r="2245">
      <c r="A2245" s="40">
        <f t="array" ref="A2245">IFNA(index(PlayerValues!A:A,match(IFNA(vlookup(B2245,'Special Names'!A:B,2,FALSE),B2245),PlayerValues!E:E,0)),"N/A")</f>
        <v>15331</v>
      </c>
      <c r="B2245" s="4" t="s">
        <v>560</v>
      </c>
      <c r="C2245" s="4" t="s">
        <v>298</v>
      </c>
      <c r="D2245" s="94">
        <v>2591.0</v>
      </c>
    </row>
    <row r="2246">
      <c r="A2246" s="40">
        <f t="array" ref="A2246">IFNA(index(PlayerValues!A:A,match(IFNA(vlookup(B2246,'Special Names'!A:B,2,FALSE),B2246),PlayerValues!E:E,0)),"N/A")</f>
        <v>17087</v>
      </c>
      <c r="B2246" s="4" t="s">
        <v>600</v>
      </c>
      <c r="C2246" s="4" t="s">
        <v>287</v>
      </c>
      <c r="D2246" s="94">
        <v>2194.0</v>
      </c>
    </row>
    <row r="2247">
      <c r="A2247" s="40">
        <f t="array" ref="A2247">IFNA(index(PlayerValues!A:A,match(IFNA(vlookup(B2247,'Special Names'!A:B,2,FALSE),B2247),PlayerValues!E:E,0)),"N/A")</f>
        <v>16432</v>
      </c>
      <c r="B2247" s="4" t="s">
        <v>620</v>
      </c>
      <c r="C2247" s="4" t="s">
        <v>278</v>
      </c>
      <c r="D2247" s="94">
        <v>2188.0</v>
      </c>
    </row>
    <row r="2248">
      <c r="A2248" s="40">
        <f t="array" ref="A2248">IFNA(index(PlayerValues!A:A,match(IFNA(vlookup(B2248,'Special Names'!A:B,2,FALSE),B2248),PlayerValues!E:E,0)),"N/A")</f>
        <v>14871</v>
      </c>
      <c r="B2248" s="4" t="s">
        <v>584</v>
      </c>
      <c r="C2248" s="4" t="s">
        <v>298</v>
      </c>
      <c r="D2248" s="94">
        <v>2560.0</v>
      </c>
    </row>
    <row r="2249">
      <c r="A2249" s="40" t="str">
        <f t="array" ref="A2249">IFNA(index(PlayerValues!A:A,match(IFNA(vlookup(B2249,'Special Names'!A:B,2,FALSE),B2249),PlayerValues!E:E,0)),"N/A")</f>
        <v>N/A</v>
      </c>
      <c r="B2249" s="4" t="s">
        <v>112</v>
      </c>
      <c r="C2249" s="4" t="s">
        <v>325</v>
      </c>
      <c r="D2249" s="94">
        <v>2167.0</v>
      </c>
    </row>
    <row r="2250">
      <c r="A2250" s="40">
        <f t="array" ref="A2250">IFNA(index(PlayerValues!A:A,match(IFNA(vlookup(B2250,'Special Names'!A:B,2,FALSE),B2250),PlayerValues!E:E,0)),"N/A")</f>
        <v>17474</v>
      </c>
      <c r="B2250" s="4" t="s">
        <v>513</v>
      </c>
      <c r="C2250" s="4" t="s">
        <v>278</v>
      </c>
      <c r="D2250" s="94">
        <v>2166.0</v>
      </c>
    </row>
    <row r="2251">
      <c r="A2251" s="40">
        <f t="array" ref="A2251">IFNA(index(PlayerValues!A:A,match(IFNA(vlookup(B2251,'Special Names'!A:B,2,FALSE),B2251),PlayerValues!E:E,0)),"N/A")</f>
        <v>17049</v>
      </c>
      <c r="B2251" s="4" t="s">
        <v>624</v>
      </c>
      <c r="C2251" s="4" t="s">
        <v>278</v>
      </c>
      <c r="D2251" s="94">
        <v>2160.0</v>
      </c>
    </row>
    <row r="2252">
      <c r="A2252" s="40">
        <f t="array" ref="A2252">IFNA(index(PlayerValues!A:A,match(IFNA(vlookup(B2252,'Special Names'!A:B,2,FALSE),B2252),PlayerValues!E:E,0)),"N/A")</f>
        <v>16342</v>
      </c>
      <c r="B2252" s="4" t="s">
        <v>583</v>
      </c>
      <c r="C2252" s="4" t="s">
        <v>287</v>
      </c>
      <c r="D2252" s="94">
        <v>2158.0</v>
      </c>
    </row>
    <row r="2253">
      <c r="A2253" s="40">
        <f t="array" ref="A2253">IFNA(index(PlayerValues!A:A,match(IFNA(vlookup(B2253,'Special Names'!A:B,2,FALSE),B2253),PlayerValues!E:E,0)),"N/A")</f>
        <v>17061</v>
      </c>
      <c r="B2253" s="4" t="s">
        <v>580</v>
      </c>
      <c r="C2253" s="4" t="s">
        <v>278</v>
      </c>
      <c r="D2253" s="94">
        <v>2150.0</v>
      </c>
    </row>
    <row r="2254">
      <c r="A2254" s="40">
        <f t="array" ref="A2254">IFNA(index(PlayerValues!A:A,match(IFNA(vlookup(B2254,'Special Names'!A:B,2,FALSE),B2254),PlayerValues!E:E,0)),"N/A")</f>
        <v>16639</v>
      </c>
      <c r="B2254" s="4" t="s">
        <v>599</v>
      </c>
      <c r="C2254" s="4" t="s">
        <v>287</v>
      </c>
      <c r="D2254" s="94">
        <v>2141.0</v>
      </c>
    </row>
    <row r="2255">
      <c r="A2255" s="40">
        <f t="array" ref="A2255">IFNA(index(PlayerValues!A:A,match(IFNA(vlookup(B2255,'Special Names'!A:B,2,FALSE),B2255),PlayerValues!E:E,0)),"N/A")</f>
        <v>13146</v>
      </c>
      <c r="B2255" s="4" t="s">
        <v>652</v>
      </c>
      <c r="C2255" s="4" t="s">
        <v>278</v>
      </c>
      <c r="D2255" s="94">
        <v>2138.0</v>
      </c>
    </row>
    <row r="2256">
      <c r="A2256" s="40" t="str">
        <f t="array" ref="A2256">IFNA(index(PlayerValues!A:A,match(IFNA(vlookup(B2256,'Special Names'!A:B,2,FALSE),B2256),PlayerValues!E:E,0)),"N/A")</f>
        <v>N/A</v>
      </c>
      <c r="B2256" s="4" t="s">
        <v>88</v>
      </c>
      <c r="C2256" s="4" t="s">
        <v>325</v>
      </c>
      <c r="D2256" s="94">
        <v>2135.0</v>
      </c>
    </row>
    <row r="2257">
      <c r="A2257" s="40" t="str">
        <f t="array" ref="A2257">IFNA(index(PlayerValues!A:A,match(IFNA(vlookup(B2257,'Special Names'!A:B,2,FALSE),B2257),PlayerValues!E:E,0)),"N/A")</f>
        <v>N/A</v>
      </c>
      <c r="B2257" s="4" t="s">
        <v>113</v>
      </c>
      <c r="C2257" s="4" t="s">
        <v>325</v>
      </c>
      <c r="D2257" s="94">
        <v>2134.0</v>
      </c>
    </row>
    <row r="2258">
      <c r="A2258" s="40">
        <f t="array" ref="A2258">IFNA(index(PlayerValues!A:A,match(IFNA(vlookup(B2258,'Special Names'!A:B,2,FALSE),B2258),PlayerValues!E:E,0)),"N/A")</f>
        <v>16191</v>
      </c>
      <c r="B2258" s="4" t="s">
        <v>666</v>
      </c>
      <c r="C2258" s="4" t="s">
        <v>287</v>
      </c>
      <c r="D2258" s="94">
        <v>2132.0</v>
      </c>
    </row>
    <row r="2259">
      <c r="A2259" s="40">
        <f t="array" ref="A2259">IFNA(index(PlayerValues!A:A,match(IFNA(vlookup(B2259,'Special Names'!A:B,2,FALSE),B2259),PlayerValues!E:E,0)),"N/A")</f>
        <v>13132</v>
      </c>
      <c r="B2259" s="4" t="s">
        <v>598</v>
      </c>
      <c r="C2259" s="4" t="s">
        <v>278</v>
      </c>
      <c r="D2259" s="94">
        <v>2128.0</v>
      </c>
    </row>
    <row r="2260">
      <c r="A2260" s="40">
        <f t="array" ref="A2260">IFNA(index(PlayerValues!A:A,match(IFNA(vlookup(B2260,'Special Names'!A:B,2,FALSE),B2260),PlayerValues!E:E,0)),"N/A")</f>
        <v>17509</v>
      </c>
      <c r="B2260" s="4" t="s">
        <v>551</v>
      </c>
      <c r="C2260" s="4" t="s">
        <v>287</v>
      </c>
      <c r="D2260" s="94">
        <v>2124.0</v>
      </c>
    </row>
    <row r="2261">
      <c r="A2261" s="40">
        <f t="array" ref="A2261">IFNA(index(PlayerValues!A:A,match(IFNA(vlookup(B2261,'Special Names'!A:B,2,FALSE),B2261),PlayerValues!E:E,0)),"N/A")</f>
        <v>11150</v>
      </c>
      <c r="B2261" s="4" t="s">
        <v>559</v>
      </c>
      <c r="C2261" s="4" t="s">
        <v>283</v>
      </c>
      <c r="D2261" s="94">
        <v>2122.0</v>
      </c>
    </row>
    <row r="2262">
      <c r="A2262" s="40">
        <f t="array" ref="A2262">IFNA(index(PlayerValues!A:A,match(IFNA(vlookup(B2262,'Special Names'!A:B,2,FALSE),B2262),PlayerValues!E:E,0)),"N/A")</f>
        <v>16643</v>
      </c>
      <c r="B2262" s="4" t="s">
        <v>609</v>
      </c>
      <c r="C2262" s="4" t="s">
        <v>298</v>
      </c>
      <c r="D2262" s="94">
        <v>2515.0</v>
      </c>
    </row>
    <row r="2263">
      <c r="A2263" s="40">
        <f t="array" ref="A2263">IFNA(index(PlayerValues!A:A,match(IFNA(vlookup(B2263,'Special Names'!A:B,2,FALSE),B2263),PlayerValues!E:E,0)),"N/A")</f>
        <v>17507</v>
      </c>
      <c r="B2263" s="4" t="s">
        <v>495</v>
      </c>
      <c r="C2263" s="4" t="s">
        <v>287</v>
      </c>
      <c r="D2263" s="94">
        <v>2122.0</v>
      </c>
    </row>
    <row r="2264">
      <c r="A2264" s="40">
        <f t="array" ref="A2264">IFNA(index(PlayerValues!A:A,match(IFNA(vlookup(B2264,'Special Names'!A:B,2,FALSE),B2264),PlayerValues!E:E,0)),"N/A")</f>
        <v>17056</v>
      </c>
      <c r="B2264" s="4" t="s">
        <v>581</v>
      </c>
      <c r="C2264" s="4" t="s">
        <v>278</v>
      </c>
      <c r="D2264" s="94">
        <v>2118.0</v>
      </c>
    </row>
    <row r="2265">
      <c r="A2265" s="40">
        <f t="array" ref="A2265">IFNA(index(PlayerValues!A:A,match(IFNA(vlookup(B2265,'Special Names'!A:B,2,FALSE),B2265),PlayerValues!E:E,0)),"N/A")</f>
        <v>15293</v>
      </c>
      <c r="B2265" s="4" t="s">
        <v>578</v>
      </c>
      <c r="C2265" s="4" t="s">
        <v>287</v>
      </c>
      <c r="D2265" s="94">
        <v>2111.0</v>
      </c>
    </row>
    <row r="2266">
      <c r="A2266" s="40">
        <f t="array" ref="A2266">IFNA(index(PlayerValues!A:A,match(IFNA(vlookup(B2266,'Special Names'!A:B,2,FALSE),B2266),PlayerValues!E:E,0)),"N/A")</f>
        <v>17060</v>
      </c>
      <c r="B2266" s="4" t="s">
        <v>603</v>
      </c>
      <c r="C2266" s="4" t="s">
        <v>278</v>
      </c>
      <c r="D2266" s="94">
        <v>2111.0</v>
      </c>
    </row>
    <row r="2267">
      <c r="A2267" s="40">
        <f t="array" ref="A2267">IFNA(index(PlayerValues!A:A,match(IFNA(vlookup(B2267,'Special Names'!A:B,2,FALSE),B2267),PlayerValues!E:E,0)),"N/A")</f>
        <v>14974</v>
      </c>
      <c r="B2267" s="4" t="s">
        <v>611</v>
      </c>
      <c r="C2267" s="4" t="s">
        <v>287</v>
      </c>
      <c r="D2267" s="94">
        <v>2104.0</v>
      </c>
    </row>
    <row r="2268">
      <c r="A2268" s="40">
        <f t="array" ref="A2268">IFNA(index(PlayerValues!A:A,match(IFNA(vlookup(B2268,'Special Names'!A:B,2,FALSE),B2268),PlayerValues!E:E,0)),"N/A")</f>
        <v>13633</v>
      </c>
      <c r="B2268" s="4" t="s">
        <v>625</v>
      </c>
      <c r="C2268" s="4" t="s">
        <v>287</v>
      </c>
      <c r="D2268" s="94">
        <v>2098.0</v>
      </c>
    </row>
    <row r="2269">
      <c r="A2269" s="40">
        <f t="array" ref="A2269">IFNA(index(PlayerValues!A:A,match(IFNA(vlookup(B2269,'Special Names'!A:B,2,FALSE),B2269),PlayerValues!E:E,0)),"N/A")</f>
        <v>17036</v>
      </c>
      <c r="B2269" s="4" t="s">
        <v>617</v>
      </c>
      <c r="C2269" s="4" t="s">
        <v>283</v>
      </c>
      <c r="D2269" s="94">
        <v>2092.0</v>
      </c>
    </row>
    <row r="2270">
      <c r="A2270" s="40">
        <f t="array" ref="A2270">IFNA(index(PlayerValues!A:A,match(IFNA(vlookup(B2270,'Special Names'!A:B,2,FALSE),B2270),PlayerValues!E:E,0)),"N/A")</f>
        <v>13319</v>
      </c>
      <c r="B2270" s="4" t="s">
        <v>549</v>
      </c>
      <c r="C2270" s="4" t="s">
        <v>278</v>
      </c>
      <c r="D2270" s="94">
        <v>2087.0</v>
      </c>
    </row>
    <row r="2271">
      <c r="A2271" s="40">
        <f t="array" ref="A2271">IFNA(index(PlayerValues!A:A,match(IFNA(vlookup(B2271,'Special Names'!A:B,2,FALSE),B2271),PlayerValues!E:E,0)),"N/A")</f>
        <v>17464</v>
      </c>
      <c r="B2271" s="4" t="s">
        <v>828</v>
      </c>
      <c r="C2271" s="4" t="s">
        <v>283</v>
      </c>
      <c r="D2271" s="94">
        <v>2053.0</v>
      </c>
    </row>
    <row r="2272">
      <c r="A2272" s="40">
        <f t="array" ref="A2272">IFNA(index(PlayerValues!A:A,match(IFNA(vlookup(B2272,'Special Names'!A:B,2,FALSE),B2272),PlayerValues!E:E,0)),"N/A")</f>
        <v>14867</v>
      </c>
      <c r="B2272" s="4" t="s">
        <v>591</v>
      </c>
      <c r="C2272" s="4" t="s">
        <v>298</v>
      </c>
      <c r="D2272" s="94">
        <v>2441.0</v>
      </c>
    </row>
    <row r="2273">
      <c r="A2273" s="40">
        <f t="array" ref="A2273">IFNA(index(PlayerValues!A:A,match(IFNA(vlookup(B2273,'Special Names'!A:B,2,FALSE),B2273),PlayerValues!E:E,0)),"N/A")</f>
        <v>17465</v>
      </c>
      <c r="B2273" s="4" t="s">
        <v>649</v>
      </c>
      <c r="C2273" s="4" t="s">
        <v>283</v>
      </c>
      <c r="D2273" s="94">
        <v>2046.0</v>
      </c>
    </row>
    <row r="2274">
      <c r="A2274" s="40">
        <f t="array" ref="A2274">IFNA(index(PlayerValues!A:A,match(IFNA(vlookup(B2274,'Special Names'!A:B,2,FALSE),B2274),PlayerValues!E:E,0)),"N/A")</f>
        <v>17069</v>
      </c>
      <c r="B2274" s="4" t="s">
        <v>604</v>
      </c>
      <c r="C2274" s="4" t="s">
        <v>278</v>
      </c>
      <c r="D2274" s="94">
        <v>2021.0</v>
      </c>
    </row>
    <row r="2275">
      <c r="A2275" s="40">
        <f t="array" ref="A2275">IFNA(index(PlayerValues!A:A,match(IFNA(vlookup(B2275,'Special Names'!A:B,2,FALSE),B2275),PlayerValues!E:E,0)),"N/A")</f>
        <v>16171</v>
      </c>
      <c r="B2275" s="4" t="s">
        <v>618</v>
      </c>
      <c r="C2275" s="4" t="s">
        <v>278</v>
      </c>
      <c r="D2275" s="94">
        <v>1991.0</v>
      </c>
    </row>
    <row r="2276">
      <c r="A2276" s="40">
        <f t="array" ref="A2276">IFNA(index(PlayerValues!A:A,match(IFNA(vlookup(B2276,'Special Names'!A:B,2,FALSE),B2276),PlayerValues!E:E,0)),"N/A")</f>
        <v>16603</v>
      </c>
      <c r="B2276" s="4" t="s">
        <v>587</v>
      </c>
      <c r="C2276" s="4" t="s">
        <v>278</v>
      </c>
      <c r="D2276" s="94">
        <v>1974.0</v>
      </c>
    </row>
    <row r="2277">
      <c r="A2277" s="40" t="str">
        <f t="array" ref="A2277">IFNA(index(PlayerValues!A:A,match(IFNA(vlookup(B2277,'Special Names'!A:B,2,FALSE),B2277),PlayerValues!E:E,0)),"N/A")</f>
        <v>N/A</v>
      </c>
      <c r="B2277" s="4" t="s">
        <v>114</v>
      </c>
      <c r="C2277" s="4" t="s">
        <v>325</v>
      </c>
      <c r="D2277" s="94">
        <v>1964.0</v>
      </c>
    </row>
    <row r="2278">
      <c r="A2278" s="40">
        <f t="array" ref="A2278">IFNA(index(PlayerValues!A:A,match(IFNA(vlookup(B2278,'Special Names'!A:B,2,FALSE),B2278),PlayerValues!E:E,0)),"N/A")</f>
        <v>17506</v>
      </c>
      <c r="B2278" s="4" t="s">
        <v>471</v>
      </c>
      <c r="C2278" s="4" t="s">
        <v>287</v>
      </c>
      <c r="D2278" s="94">
        <v>1961.0</v>
      </c>
    </row>
    <row r="2279">
      <c r="A2279" s="40">
        <f t="array" ref="A2279">IFNA(index(PlayerValues!A:A,match(IFNA(vlookup(B2279,'Special Names'!A:B,2,FALSE),B2279),PlayerValues!E:E,0)),"N/A")</f>
        <v>17034</v>
      </c>
      <c r="B2279" s="4" t="s">
        <v>643</v>
      </c>
      <c r="C2279" s="4" t="s">
        <v>283</v>
      </c>
      <c r="D2279" s="94">
        <v>1934.0</v>
      </c>
    </row>
    <row r="2280">
      <c r="A2280" s="40">
        <f t="array" ref="A2280">IFNA(index(PlayerValues!A:A,match(IFNA(vlookup(B2280,'Special Names'!A:B,2,FALSE),B2280),PlayerValues!E:E,0)),"N/A")</f>
        <v>17055</v>
      </c>
      <c r="B2280" s="4" t="s">
        <v>565</v>
      </c>
      <c r="C2280" s="4" t="s">
        <v>278</v>
      </c>
      <c r="D2280" s="94">
        <v>1929.0</v>
      </c>
    </row>
    <row r="2281">
      <c r="A2281" s="40">
        <f t="array" ref="A2281">IFNA(index(PlayerValues!A:A,match(IFNA(vlookup(B2281,'Special Names'!A:B,2,FALSE),B2281),PlayerValues!E:E,0)),"N/A")</f>
        <v>16216</v>
      </c>
      <c r="B2281" s="4" t="s">
        <v>595</v>
      </c>
      <c r="C2281" s="4" t="s">
        <v>298</v>
      </c>
      <c r="D2281" s="94">
        <v>2310.0</v>
      </c>
    </row>
    <row r="2282">
      <c r="A2282" s="40">
        <f t="array" ref="A2282">IFNA(index(PlayerValues!A:A,match(IFNA(vlookup(B2282,'Special Names'!A:B,2,FALSE),B2282),PlayerValues!E:E,0)),"N/A")</f>
        <v>14105</v>
      </c>
      <c r="B2282" s="4" t="s">
        <v>675</v>
      </c>
      <c r="C2282" s="4" t="s">
        <v>287</v>
      </c>
      <c r="D2282" s="94">
        <v>1920.0</v>
      </c>
    </row>
    <row r="2283">
      <c r="A2283" s="40">
        <f t="array" ref="A2283">IFNA(index(PlayerValues!A:A,match(IFNA(vlookup(B2283,'Special Names'!A:B,2,FALSE),B2283),PlayerValues!E:E,0)),"N/A")</f>
        <v>16752</v>
      </c>
      <c r="B2283" s="4" t="s">
        <v>597</v>
      </c>
      <c r="C2283" s="4" t="s">
        <v>278</v>
      </c>
      <c r="D2283" s="94">
        <v>1919.0</v>
      </c>
    </row>
    <row r="2284">
      <c r="A2284" s="40">
        <f t="array" ref="A2284">IFNA(index(PlayerValues!A:A,match(IFNA(vlookup(B2284,'Special Names'!A:B,2,FALSE),B2284),PlayerValues!E:E,0)),"N/A")</f>
        <v>16778</v>
      </c>
      <c r="B2284" s="4" t="s">
        <v>577</v>
      </c>
      <c r="C2284" s="4" t="s">
        <v>287</v>
      </c>
      <c r="D2284" s="94">
        <v>1912.0</v>
      </c>
    </row>
    <row r="2285">
      <c r="A2285" s="40">
        <f t="array" ref="A2285">IFNA(index(PlayerValues!A:A,match(IFNA(vlookup(B2285,'Special Names'!A:B,2,FALSE),B2285),PlayerValues!E:E,0)),"N/A")</f>
        <v>16215</v>
      </c>
      <c r="B2285" s="4" t="s">
        <v>637</v>
      </c>
      <c r="C2285" s="4" t="s">
        <v>298</v>
      </c>
      <c r="D2285" s="94">
        <v>2280.0</v>
      </c>
    </row>
    <row r="2286">
      <c r="A2286" s="40">
        <f t="array" ref="A2286">IFNA(index(PlayerValues!A:A,match(IFNA(vlookup(B2286,'Special Names'!A:B,2,FALSE),B2286),PlayerValues!E:E,0)),"N/A")</f>
        <v>17511</v>
      </c>
      <c r="B2286" s="4" t="s">
        <v>485</v>
      </c>
      <c r="C2286" s="4" t="s">
        <v>287</v>
      </c>
      <c r="D2286" s="94">
        <v>1890.0</v>
      </c>
    </row>
    <row r="2287">
      <c r="A2287" s="40">
        <f t="array" ref="A2287">IFNA(index(PlayerValues!A:A,match(IFNA(vlookup(B2287,'Special Names'!A:B,2,FALSE),B2287),PlayerValues!E:E,0)),"N/A")</f>
        <v>17184</v>
      </c>
      <c r="B2287" s="4" t="s">
        <v>588</v>
      </c>
      <c r="C2287" s="4" t="s">
        <v>287</v>
      </c>
      <c r="D2287" s="94">
        <v>1886.0</v>
      </c>
    </row>
    <row r="2288">
      <c r="A2288" s="40">
        <f t="array" ref="A2288">IFNA(index(PlayerValues!A:A,match(IFNA(vlookup(B2288,'Special Names'!A:B,2,FALSE),B2288),PlayerValues!E:E,0)),"N/A")</f>
        <v>15787</v>
      </c>
      <c r="B2288" s="4" t="s">
        <v>610</v>
      </c>
      <c r="C2288" s="4" t="s">
        <v>287</v>
      </c>
      <c r="D2288" s="94">
        <v>1881.0</v>
      </c>
    </row>
    <row r="2289">
      <c r="A2289" s="40">
        <f t="array" ref="A2289">IFNA(index(PlayerValues!A:A,match(IFNA(vlookup(B2289,'Special Names'!A:B,2,FALSE),B2289),PlayerValues!E:E,0)),"N/A")</f>
        <v>16644</v>
      </c>
      <c r="B2289" s="4" t="s">
        <v>640</v>
      </c>
      <c r="C2289" s="4" t="s">
        <v>298</v>
      </c>
      <c r="D2289" s="94">
        <v>2258.0</v>
      </c>
    </row>
    <row r="2290">
      <c r="A2290" s="40">
        <f t="array" ref="A2290">IFNA(index(PlayerValues!A:A,match(IFNA(vlookup(B2290,'Special Names'!A:B,2,FALSE),B2290),PlayerValues!E:E,0)),"N/A")</f>
        <v>17086</v>
      </c>
      <c r="B2290" s="4" t="s">
        <v>612</v>
      </c>
      <c r="C2290" s="4" t="s">
        <v>287</v>
      </c>
      <c r="D2290" s="94">
        <v>1858.0</v>
      </c>
    </row>
    <row r="2291">
      <c r="A2291" s="40">
        <f t="array" ref="A2291">IFNA(index(PlayerValues!A:A,match(IFNA(vlookup(B2291,'Special Names'!A:B,2,FALSE),B2291),PlayerValues!E:E,0)),"N/A")</f>
        <v>15254</v>
      </c>
      <c r="B2291" s="4" t="s">
        <v>633</v>
      </c>
      <c r="C2291" s="4" t="s">
        <v>278</v>
      </c>
      <c r="D2291" s="94">
        <v>1851.0</v>
      </c>
    </row>
    <row r="2292">
      <c r="A2292" s="40">
        <f t="array" ref="A2292">IFNA(index(PlayerValues!A:A,match(IFNA(vlookup(B2292,'Special Names'!A:B,2,FALSE),B2292),PlayerValues!E:E,0)),"N/A")</f>
        <v>13629</v>
      </c>
      <c r="B2292" s="4" t="s">
        <v>619</v>
      </c>
      <c r="C2292" s="4" t="s">
        <v>287</v>
      </c>
      <c r="D2292" s="94">
        <v>1848.0</v>
      </c>
    </row>
    <row r="2293">
      <c r="A2293" s="40">
        <f t="array" ref="A2293">IFNA(index(PlayerValues!A:A,match(IFNA(vlookup(B2293,'Special Names'!A:B,2,FALSE),B2293),PlayerValues!E:E,0)),"N/A")</f>
        <v>17478</v>
      </c>
      <c r="B2293" s="4" t="s">
        <v>527</v>
      </c>
      <c r="C2293" s="4" t="s">
        <v>278</v>
      </c>
      <c r="D2293" s="94">
        <v>1848.0</v>
      </c>
    </row>
    <row r="2294">
      <c r="A2294" s="40">
        <f t="array" ref="A2294">IFNA(index(PlayerValues!A:A,match(IFNA(vlookup(B2294,'Special Names'!A:B,2,FALSE),B2294),PlayerValues!E:E,0)),"N/A")</f>
        <v>13164</v>
      </c>
      <c r="B2294" s="4" t="s">
        <v>632</v>
      </c>
      <c r="C2294" s="4" t="s">
        <v>287</v>
      </c>
      <c r="D2294" s="94">
        <v>1847.0</v>
      </c>
    </row>
    <row r="2295">
      <c r="A2295" s="40">
        <f t="array" ref="A2295">IFNA(index(PlayerValues!A:A,match(IFNA(vlookup(B2295,'Special Names'!A:B,2,FALSE),B2295),PlayerValues!E:E,0)),"N/A")</f>
        <v>16201</v>
      </c>
      <c r="B2295" s="4" t="s">
        <v>589</v>
      </c>
      <c r="C2295" s="4" t="s">
        <v>287</v>
      </c>
      <c r="D2295" s="94">
        <v>1846.0</v>
      </c>
    </row>
    <row r="2296">
      <c r="A2296" s="40">
        <f t="array" ref="A2296">IFNA(index(PlayerValues!A:A,match(IFNA(vlookup(B2296,'Special Names'!A:B,2,FALSE),B2296),PlayerValues!E:E,0)),"N/A")</f>
        <v>15755</v>
      </c>
      <c r="B2296" s="4" t="s">
        <v>628</v>
      </c>
      <c r="C2296" s="4" t="s">
        <v>287</v>
      </c>
      <c r="D2296" s="94">
        <v>1839.0</v>
      </c>
    </row>
    <row r="2297">
      <c r="A2297" s="40">
        <f t="array" ref="A2297">IFNA(index(PlayerValues!A:A,match(IFNA(vlookup(B2297,'Special Names'!A:B,2,FALSE),B2297),PlayerValues!E:E,0)),"N/A")</f>
        <v>16585</v>
      </c>
      <c r="B2297" s="4" t="s">
        <v>623</v>
      </c>
      <c r="C2297" s="4" t="s">
        <v>283</v>
      </c>
      <c r="D2297" s="94">
        <v>1838.0</v>
      </c>
    </row>
    <row r="2298">
      <c r="A2298" s="40" t="str">
        <f t="array" ref="A2298">IFNA(index(PlayerValues!A:A,match(IFNA(vlookup(B2298,'Special Names'!A:B,2,FALSE),B2298),PlayerValues!E:E,0)),"N/A")</f>
        <v>N/A</v>
      </c>
      <c r="B2298" s="4" t="s">
        <v>101</v>
      </c>
      <c r="C2298" s="4" t="s">
        <v>325</v>
      </c>
      <c r="D2298" s="94">
        <v>1837.0</v>
      </c>
    </row>
    <row r="2299">
      <c r="A2299" s="40">
        <f t="array" ref="A2299">IFNA(index(PlayerValues!A:A,match(IFNA(vlookup(B2299,'Special Names'!A:B,2,FALSE),B2299),PlayerValues!E:E,0)),"N/A")</f>
        <v>7836</v>
      </c>
      <c r="B2299" s="4" t="s">
        <v>590</v>
      </c>
      <c r="C2299" s="4" t="s">
        <v>283</v>
      </c>
      <c r="D2299" s="94">
        <v>1829.0</v>
      </c>
    </row>
    <row r="2300">
      <c r="A2300" s="40">
        <f t="array" ref="A2300">IFNA(index(PlayerValues!A:A,match(IFNA(vlookup(B2300,'Special Names'!A:B,2,FALSE),B2300),PlayerValues!E:E,0)),"N/A")</f>
        <v>13189</v>
      </c>
      <c r="B2300" s="4" t="s">
        <v>626</v>
      </c>
      <c r="C2300" s="4" t="s">
        <v>298</v>
      </c>
      <c r="D2300" s="94">
        <v>2211.0</v>
      </c>
    </row>
    <row r="2301">
      <c r="A2301" s="40" t="str">
        <f t="array" ref="A2301">IFNA(index(PlayerValues!A:A,match(IFNA(vlookup(B2301,'Special Names'!A:B,2,FALSE),B2301),PlayerValues!E:E,0)),"N/A")</f>
        <v>N/A</v>
      </c>
      <c r="B2301" s="4" t="s">
        <v>89</v>
      </c>
      <c r="C2301" s="4" t="s">
        <v>325</v>
      </c>
      <c r="D2301" s="94">
        <v>1828.0</v>
      </c>
    </row>
    <row r="2302">
      <c r="A2302" s="40">
        <f t="array" ref="A2302">IFNA(index(PlayerValues!A:A,match(IFNA(vlookup(B2302,'Special Names'!A:B,2,FALSE),B2302),PlayerValues!E:E,0)),"N/A")</f>
        <v>16586</v>
      </c>
      <c r="B2302" s="4" t="s">
        <v>658</v>
      </c>
      <c r="C2302" s="4" t="s">
        <v>283</v>
      </c>
      <c r="D2302" s="94">
        <v>1811.0</v>
      </c>
    </row>
    <row r="2303">
      <c r="A2303" s="40">
        <f t="array" ref="A2303">IFNA(index(PlayerValues!A:A,match(IFNA(vlookup(B2303,'Special Names'!A:B,2,FALSE),B2303),PlayerValues!E:E,0)),"N/A")</f>
        <v>16604</v>
      </c>
      <c r="B2303" s="4" t="s">
        <v>476</v>
      </c>
      <c r="C2303" s="4" t="s">
        <v>278</v>
      </c>
      <c r="D2303" s="94">
        <v>1811.0</v>
      </c>
    </row>
    <row r="2304">
      <c r="A2304" s="40">
        <f t="array" ref="A2304">IFNA(index(PlayerValues!A:A,match(IFNA(vlookup(B2304,'Special Names'!A:B,2,FALSE),B2304),PlayerValues!E:E,0)),"N/A")</f>
        <v>16635</v>
      </c>
      <c r="B2304" s="4" t="s">
        <v>645</v>
      </c>
      <c r="C2304" s="4" t="s">
        <v>287</v>
      </c>
      <c r="D2304" s="94">
        <v>1799.0</v>
      </c>
    </row>
    <row r="2305">
      <c r="A2305" s="40">
        <f t="array" ref="A2305">IFNA(index(PlayerValues!A:A,match(IFNA(vlookup(B2305,'Special Names'!A:B,2,FALSE),B2305),PlayerValues!E:E,0)),"N/A")</f>
        <v>17035</v>
      </c>
      <c r="B2305" s="4" t="s">
        <v>650</v>
      </c>
      <c r="C2305" s="4" t="s">
        <v>283</v>
      </c>
      <c r="D2305" s="94">
        <v>1794.0</v>
      </c>
    </row>
    <row r="2306">
      <c r="A2306" s="40" t="str">
        <f t="array" ref="A2306">IFNA(index(PlayerValues!A:A,match(IFNA(vlookup(B2306,'Special Names'!A:B,2,FALSE),B2306),PlayerValues!E:E,0)),"N/A")</f>
        <v>N/A</v>
      </c>
      <c r="B2306" s="4" t="s">
        <v>102</v>
      </c>
      <c r="C2306" s="4" t="s">
        <v>325</v>
      </c>
      <c r="D2306" s="94">
        <v>1789.0</v>
      </c>
    </row>
    <row r="2307">
      <c r="A2307" s="40">
        <f t="array" ref="A2307">IFNA(index(PlayerValues!A:A,match(IFNA(vlookup(B2307,'Special Names'!A:B,2,FALSE),B2307),PlayerValues!E:E,0)),"N/A")</f>
        <v>15759</v>
      </c>
      <c r="B2307" s="4" t="s">
        <v>662</v>
      </c>
      <c r="C2307" s="4" t="s">
        <v>287</v>
      </c>
      <c r="D2307" s="94">
        <v>1780.0</v>
      </c>
    </row>
    <row r="2308">
      <c r="A2308" s="40">
        <f t="array" ref="A2308">IFNA(index(PlayerValues!A:A,match(IFNA(vlookup(B2308,'Special Names'!A:B,2,FALSE),B2308),PlayerValues!E:E,0)),"N/A")</f>
        <v>10700</v>
      </c>
      <c r="B2308" s="4" t="s">
        <v>596</v>
      </c>
      <c r="C2308" s="4" t="s">
        <v>283</v>
      </c>
      <c r="D2308" s="94">
        <v>1752.0</v>
      </c>
    </row>
    <row r="2309">
      <c r="A2309" s="40">
        <f t="array" ref="A2309">IFNA(index(PlayerValues!A:A,match(IFNA(vlookup(B2309,'Special Names'!A:B,2,FALSE),B2309),PlayerValues!E:E,0)),"N/A")</f>
        <v>11222</v>
      </c>
      <c r="B2309" s="4" t="s">
        <v>622</v>
      </c>
      <c r="C2309" s="4" t="s">
        <v>287</v>
      </c>
      <c r="D2309" s="94">
        <v>1749.0</v>
      </c>
    </row>
    <row r="2310">
      <c r="A2310" s="40">
        <f t="array" ref="A2310">IFNA(index(PlayerValues!A:A,match(IFNA(vlookup(B2310,'Special Names'!A:B,2,FALSE),B2310),PlayerValues!E:E,0)),"N/A")</f>
        <v>17517</v>
      </c>
      <c r="B2310" s="4" t="s">
        <v>454</v>
      </c>
      <c r="C2310" s="4" t="s">
        <v>287</v>
      </c>
      <c r="D2310" s="94">
        <v>1748.0</v>
      </c>
    </row>
    <row r="2311">
      <c r="A2311" s="40">
        <f t="array" ref="A2311">IFNA(index(PlayerValues!A:A,match(IFNA(vlookup(B2311,'Special Names'!A:B,2,FALSE),B2311),PlayerValues!E:E,0)),"N/A")</f>
        <v>14143</v>
      </c>
      <c r="B2311" s="4" t="s">
        <v>635</v>
      </c>
      <c r="C2311" s="4" t="s">
        <v>298</v>
      </c>
      <c r="D2311" s="94">
        <v>2125.0</v>
      </c>
    </row>
    <row r="2312">
      <c r="A2312" s="40">
        <f t="array" ref="A2312">IFNA(index(PlayerValues!A:A,match(IFNA(vlookup(B2312,'Special Names'!A:B,2,FALSE),B2312),PlayerValues!E:E,0)),"N/A")</f>
        <v>16788</v>
      </c>
      <c r="B2312" s="4" t="s">
        <v>621</v>
      </c>
      <c r="C2312" s="4" t="s">
        <v>287</v>
      </c>
      <c r="D2312" s="94">
        <v>1742.0</v>
      </c>
    </row>
    <row r="2313">
      <c r="A2313" s="40">
        <f t="array" ref="A2313">IFNA(index(PlayerValues!A:A,match(IFNA(vlookup(B2313,'Special Names'!A:B,2,FALSE),B2313),PlayerValues!E:E,0)),"N/A")</f>
        <v>16629</v>
      </c>
      <c r="B2313" s="4" t="s">
        <v>605</v>
      </c>
      <c r="C2313" s="4" t="s">
        <v>287</v>
      </c>
      <c r="D2313" s="94">
        <v>1735.0</v>
      </c>
    </row>
    <row r="2314">
      <c r="A2314" s="40">
        <f t="array" ref="A2314">IFNA(index(PlayerValues!A:A,match(IFNA(vlookup(B2314,'Special Names'!A:B,2,FALSE),B2314),PlayerValues!E:E,0)),"N/A")</f>
        <v>17058</v>
      </c>
      <c r="B2314" s="4" t="s">
        <v>641</v>
      </c>
      <c r="C2314" s="4" t="s">
        <v>278</v>
      </c>
      <c r="D2314" s="94">
        <v>1734.0</v>
      </c>
    </row>
    <row r="2315">
      <c r="A2315" s="40">
        <f t="array" ref="A2315">IFNA(index(PlayerValues!A:A,match(IFNA(vlookup(B2315,'Special Names'!A:B,2,FALSE),B2315),PlayerValues!E:E,0)),"N/A")</f>
        <v>16688</v>
      </c>
      <c r="B2315" s="4" t="s">
        <v>688</v>
      </c>
      <c r="C2315" s="4" t="s">
        <v>278</v>
      </c>
      <c r="D2315" s="94">
        <v>1731.0</v>
      </c>
    </row>
    <row r="2316">
      <c r="A2316" s="40">
        <f t="array" ref="A2316">IFNA(index(PlayerValues!A:A,match(IFNA(vlookup(B2316,'Special Names'!A:B,2,FALSE),B2316),PlayerValues!E:E,0)),"N/A")</f>
        <v>16207</v>
      </c>
      <c r="B2316" s="4" t="s">
        <v>636</v>
      </c>
      <c r="C2316" s="4" t="s">
        <v>287</v>
      </c>
      <c r="D2316" s="94">
        <v>1728.0</v>
      </c>
    </row>
    <row r="2317">
      <c r="A2317" s="40">
        <f t="array" ref="A2317">IFNA(index(PlayerValues!A:A,match(IFNA(vlookup(B2317,'Special Names'!A:B,2,FALSE),B2317),PlayerValues!E:E,0)),"N/A")</f>
        <v>17503</v>
      </c>
      <c r="B2317" s="4" t="s">
        <v>480</v>
      </c>
      <c r="C2317" s="4" t="s">
        <v>287</v>
      </c>
      <c r="D2317" s="94">
        <v>1727.0</v>
      </c>
    </row>
    <row r="2318">
      <c r="A2318" s="40">
        <f t="array" ref="A2318">IFNA(index(PlayerValues!A:A,match(IFNA(vlookup(B2318,'Special Names'!A:B,2,FALSE),B2318),PlayerValues!E:E,0)),"N/A")</f>
        <v>15337</v>
      </c>
      <c r="B2318" s="4" t="s">
        <v>655</v>
      </c>
      <c r="C2318" s="4" t="s">
        <v>298</v>
      </c>
      <c r="D2318" s="94">
        <v>2094.0</v>
      </c>
    </row>
    <row r="2319">
      <c r="A2319" s="40">
        <f t="array" ref="A2319">IFNA(index(PlayerValues!A:A,match(IFNA(vlookup(B2319,'Special Names'!A:B,2,FALSE),B2319),PlayerValues!E:E,0)),"N/A")</f>
        <v>17064</v>
      </c>
      <c r="B2319" s="4" t="s">
        <v>631</v>
      </c>
      <c r="C2319" s="4" t="s">
        <v>278</v>
      </c>
      <c r="D2319" s="94">
        <v>1706.0</v>
      </c>
    </row>
    <row r="2320">
      <c r="A2320" s="40">
        <f t="array" ref="A2320">IFNA(index(PlayerValues!A:A,match(IFNA(vlookup(B2320,'Special Names'!A:B,2,FALSE),B2320),PlayerValues!E:E,0)),"N/A")</f>
        <v>15777</v>
      </c>
      <c r="B2320" s="4" t="s">
        <v>694</v>
      </c>
      <c r="C2320" s="4" t="s">
        <v>287</v>
      </c>
      <c r="D2320" s="94">
        <v>1684.0</v>
      </c>
    </row>
    <row r="2321">
      <c r="A2321" s="40">
        <f t="array" ref="A2321">IFNA(index(PlayerValues!A:A,match(IFNA(vlookup(B2321,'Special Names'!A:B,2,FALSE),B2321),PlayerValues!E:E,0)),"N/A")</f>
        <v>16601</v>
      </c>
      <c r="B2321" s="4" t="s">
        <v>648</v>
      </c>
      <c r="C2321" s="4" t="s">
        <v>278</v>
      </c>
      <c r="D2321" s="94">
        <v>1667.0</v>
      </c>
    </row>
    <row r="2322">
      <c r="A2322" s="40">
        <f t="array" ref="A2322">IFNA(index(PlayerValues!A:A,match(IFNA(vlookup(B2322,'Special Names'!A:B,2,FALSE),B2322),PlayerValues!E:E,0)),"N/A")</f>
        <v>15788</v>
      </c>
      <c r="B2322" s="4" t="s">
        <v>627</v>
      </c>
      <c r="C2322" s="4" t="s">
        <v>287</v>
      </c>
      <c r="D2322" s="94">
        <v>1666.0</v>
      </c>
    </row>
    <row r="2323">
      <c r="A2323" s="40" t="str">
        <f t="array" ref="A2323">IFNA(index(PlayerValues!A:A,match(IFNA(vlookup(B2323,'Special Names'!A:B,2,FALSE),B2323),PlayerValues!E:E,0)),"N/A")</f>
        <v>N/A</v>
      </c>
      <c r="B2323" s="4" t="s">
        <v>103</v>
      </c>
      <c r="C2323" s="4" t="s">
        <v>325</v>
      </c>
      <c r="D2323" s="94">
        <v>1663.0</v>
      </c>
    </row>
    <row r="2324">
      <c r="A2324" s="40" t="str">
        <f t="array" ref="A2324">IFNA(index(PlayerValues!A:A,match(IFNA(vlookup(B2324,'Special Names'!A:B,2,FALSE),B2324),PlayerValues!E:E,0)),"N/A")</f>
        <v>N/A</v>
      </c>
      <c r="B2324" s="4" t="s">
        <v>90</v>
      </c>
      <c r="C2324" s="4" t="s">
        <v>325</v>
      </c>
      <c r="D2324" s="94">
        <v>1649.0</v>
      </c>
    </row>
    <row r="2325">
      <c r="A2325" s="40" t="str">
        <f t="array" ref="A2325">IFNA(index(PlayerValues!A:A,match(IFNA(vlookup(B2325,'Special Names'!A:B,2,FALSE),B2325),PlayerValues!E:E,0)),"N/A")</f>
        <v>N/A</v>
      </c>
      <c r="B2325" s="4" t="s">
        <v>115</v>
      </c>
      <c r="C2325" s="4" t="s">
        <v>325</v>
      </c>
      <c r="D2325" s="94">
        <v>1641.0</v>
      </c>
    </row>
    <row r="2326">
      <c r="A2326" s="40">
        <f t="array" ref="A2326">IFNA(index(PlayerValues!A:A,match(IFNA(vlookup(B2326,'Special Names'!A:B,2,FALSE),B2326),PlayerValues!E:E,0)),"N/A")</f>
        <v>17205</v>
      </c>
      <c r="B2326" s="4" t="s">
        <v>665</v>
      </c>
      <c r="C2326" s="4" t="s">
        <v>287</v>
      </c>
      <c r="D2326" s="94">
        <v>1640.0</v>
      </c>
    </row>
    <row r="2327">
      <c r="A2327" s="40">
        <f t="array" ref="A2327">IFNA(index(PlayerValues!A:A,match(IFNA(vlookup(B2327,'Special Names'!A:B,2,FALSE),B2327),PlayerValues!E:E,0)),"N/A")</f>
        <v>17234</v>
      </c>
      <c r="B2327" s="4" t="s">
        <v>653</v>
      </c>
      <c r="C2327" s="4" t="s">
        <v>287</v>
      </c>
      <c r="D2327" s="94">
        <v>1640.0</v>
      </c>
    </row>
    <row r="2328">
      <c r="A2328" s="40">
        <f t="array" ref="A2328">IFNA(index(PlayerValues!A:A,match(IFNA(vlookup(B2328,'Special Names'!A:B,2,FALSE),B2328),PlayerValues!E:E,0)),"N/A")</f>
        <v>16595</v>
      </c>
      <c r="B2328" s="4" t="s">
        <v>664</v>
      </c>
      <c r="C2328" s="4" t="s">
        <v>278</v>
      </c>
      <c r="D2328" s="94">
        <v>1625.0</v>
      </c>
    </row>
    <row r="2329">
      <c r="A2329" s="40">
        <f t="array" ref="A2329">IFNA(index(PlayerValues!A:A,match(IFNA(vlookup(B2329,'Special Names'!A:B,2,FALSE),B2329),PlayerValues!E:E,0)),"N/A")</f>
        <v>17037</v>
      </c>
      <c r="B2329" s="4" t="s">
        <v>727</v>
      </c>
      <c r="C2329" s="4" t="s">
        <v>283</v>
      </c>
      <c r="D2329" s="94">
        <v>1622.0</v>
      </c>
    </row>
    <row r="2330">
      <c r="A2330" s="40">
        <f t="array" ref="A2330">IFNA(index(PlayerValues!A:A,match(IFNA(vlookup(B2330,'Special Names'!A:B,2,FALSE),B2330),PlayerValues!E:E,0)),"N/A")</f>
        <v>17096</v>
      </c>
      <c r="B2330" s="4" t="s">
        <v>638</v>
      </c>
      <c r="C2330" s="4" t="s">
        <v>287</v>
      </c>
      <c r="D2330" s="94">
        <v>1617.0</v>
      </c>
    </row>
    <row r="2331">
      <c r="A2331" s="40">
        <f t="array" ref="A2331">IFNA(index(PlayerValues!A:A,match(IFNA(vlookup(B2331,'Special Names'!A:B,2,FALSE),B2331),PlayerValues!E:E,0)),"N/A")</f>
        <v>15713</v>
      </c>
      <c r="B2331" s="4" t="s">
        <v>732</v>
      </c>
      <c r="C2331" s="4" t="s">
        <v>278</v>
      </c>
      <c r="D2331" s="94">
        <v>1615.0</v>
      </c>
    </row>
    <row r="2332">
      <c r="A2332" s="40">
        <f t="array" ref="A2332">IFNA(index(PlayerValues!A:A,match(IFNA(vlookup(B2332,'Special Names'!A:B,2,FALSE),B2332),PlayerValues!E:E,0)),"N/A")</f>
        <v>15301</v>
      </c>
      <c r="B2332" s="4" t="s">
        <v>657</v>
      </c>
      <c r="C2332" s="4" t="s">
        <v>287</v>
      </c>
      <c r="D2332" s="94">
        <v>1612.0</v>
      </c>
    </row>
    <row r="2333">
      <c r="A2333" s="40">
        <f t="array" ref="A2333">IFNA(index(PlayerValues!A:A,match(IFNA(vlookup(B2333,'Special Names'!A:B,2,FALSE),B2333),PlayerValues!E:E,0)),"N/A")</f>
        <v>16633</v>
      </c>
      <c r="B2333" s="4" t="s">
        <v>656</v>
      </c>
      <c r="C2333" s="4" t="s">
        <v>287</v>
      </c>
      <c r="D2333" s="94">
        <v>1606.0</v>
      </c>
    </row>
    <row r="2334">
      <c r="A2334" s="40">
        <f t="array" ref="A2334">IFNA(index(PlayerValues!A:A,match(IFNA(vlookup(B2334,'Special Names'!A:B,2,FALSE),B2334),PlayerValues!E:E,0)),"N/A")</f>
        <v>16631</v>
      </c>
      <c r="B2334" s="4" t="s">
        <v>800</v>
      </c>
      <c r="C2334" s="4" t="s">
        <v>287</v>
      </c>
      <c r="D2334" s="94">
        <v>1603.0</v>
      </c>
    </row>
    <row r="2335">
      <c r="A2335" s="40">
        <f t="array" ref="A2335">IFNA(index(PlayerValues!A:A,match(IFNA(vlookup(B2335,'Special Names'!A:B,2,FALSE),B2335),PlayerValues!E:E,0)),"N/A")</f>
        <v>15252</v>
      </c>
      <c r="B2335" s="4" t="s">
        <v>715</v>
      </c>
      <c r="C2335" s="4" t="s">
        <v>283</v>
      </c>
      <c r="D2335" s="94">
        <v>1599.0</v>
      </c>
    </row>
    <row r="2336">
      <c r="A2336" s="40">
        <f t="array" ref="A2336">IFNA(index(PlayerValues!A:A,match(IFNA(vlookup(B2336,'Special Names'!A:B,2,FALSE),B2336),PlayerValues!E:E,0)),"N/A")</f>
        <v>14122</v>
      </c>
      <c r="B2336" s="4" t="s">
        <v>663</v>
      </c>
      <c r="C2336" s="4" t="s">
        <v>287</v>
      </c>
      <c r="D2336" s="94">
        <v>1590.0</v>
      </c>
    </row>
    <row r="2337">
      <c r="A2337" s="40">
        <f t="array" ref="A2337">IFNA(index(PlayerValues!A:A,match(IFNA(vlookup(B2337,'Special Names'!A:B,2,FALSE),B2337),PlayerValues!E:E,0)),"N/A")</f>
        <v>15319</v>
      </c>
      <c r="B2337" s="4" t="s">
        <v>644</v>
      </c>
      <c r="C2337" s="4" t="s">
        <v>287</v>
      </c>
      <c r="D2337" s="94">
        <v>1583.0</v>
      </c>
    </row>
    <row r="2338">
      <c r="A2338" s="40">
        <f t="array" ref="A2338">IFNA(index(PlayerValues!A:A,match(IFNA(vlookup(B2338,'Special Names'!A:B,2,FALSE),B2338),PlayerValues!E:E,0)),"N/A")</f>
        <v>15797</v>
      </c>
      <c r="B2338" s="4" t="s">
        <v>556</v>
      </c>
      <c r="C2338" s="4" t="s">
        <v>298</v>
      </c>
      <c r="D2338" s="94">
        <v>1957.0</v>
      </c>
    </row>
    <row r="2339">
      <c r="A2339" s="40">
        <f t="array" ref="A2339">IFNA(index(PlayerValues!A:A,match(IFNA(vlookup(B2339,'Special Names'!A:B,2,FALSE),B2339),PlayerValues!E:E,0)),"N/A")</f>
        <v>15873</v>
      </c>
      <c r="B2339" s="4" t="s">
        <v>681</v>
      </c>
      <c r="C2339" s="4" t="s">
        <v>298</v>
      </c>
      <c r="D2339" s="94">
        <v>1955.0</v>
      </c>
    </row>
    <row r="2340">
      <c r="A2340" s="40">
        <f t="array" ref="A2340">IFNA(index(PlayerValues!A:A,match(IFNA(vlookup(B2340,'Special Names'!A:B,2,FALSE),B2340),PlayerValues!E:E,0)),"N/A")</f>
        <v>15752</v>
      </c>
      <c r="B2340" s="4" t="s">
        <v>647</v>
      </c>
      <c r="C2340" s="4" t="s">
        <v>287</v>
      </c>
      <c r="D2340" s="94">
        <v>1572.0</v>
      </c>
    </row>
    <row r="2341">
      <c r="A2341" s="40">
        <f t="array" ref="A2341">IFNA(index(PlayerValues!A:A,match(IFNA(vlookup(B2341,'Special Names'!A:B,2,FALSE),B2341),PlayerValues!E:E,0)),"N/A")</f>
        <v>12140</v>
      </c>
      <c r="B2341" s="4" t="s">
        <v>702</v>
      </c>
      <c r="C2341" s="4" t="s">
        <v>283</v>
      </c>
      <c r="D2341" s="94">
        <v>1556.0</v>
      </c>
    </row>
    <row r="2342">
      <c r="A2342" s="40">
        <f t="array" ref="A2342">IFNA(index(PlayerValues!A:A,match(IFNA(vlookup(B2342,'Special Names'!A:B,2,FALSE),B2342),PlayerValues!E:E,0)),"N/A")</f>
        <v>13418</v>
      </c>
      <c r="B2342" s="4" t="s">
        <v>706</v>
      </c>
      <c r="C2342" s="4" t="s">
        <v>287</v>
      </c>
      <c r="D2342" s="94">
        <v>1540.0</v>
      </c>
    </row>
    <row r="2343">
      <c r="A2343" s="40">
        <f t="array" ref="A2343">IFNA(index(PlayerValues!A:A,match(IFNA(vlookup(B2343,'Special Names'!A:B,2,FALSE),B2343),PlayerValues!E:E,0)),"N/A")</f>
        <v>12141</v>
      </c>
      <c r="B2343" s="4" t="s">
        <v>744</v>
      </c>
      <c r="C2343" s="4" t="s">
        <v>283</v>
      </c>
      <c r="D2343" s="94">
        <v>1529.0</v>
      </c>
    </row>
    <row r="2344">
      <c r="A2344" s="40" t="str">
        <f t="array" ref="A2344">IFNA(index(PlayerValues!A:A,match(IFNA(vlookup(B2344,'Special Names'!A:B,2,FALSE),B2344),PlayerValues!E:E,0)),"N/A")</f>
        <v>N/A</v>
      </c>
      <c r="B2344" s="4" t="s">
        <v>91</v>
      </c>
      <c r="C2344" s="4" t="s">
        <v>325</v>
      </c>
      <c r="D2344" s="94">
        <v>1527.0</v>
      </c>
    </row>
    <row r="2345">
      <c r="A2345" s="40" t="str">
        <f t="array" ref="A2345">IFNA(index(PlayerValues!A:A,match(IFNA(vlookup(B2345,'Special Names'!A:B,2,FALSE),B2345),PlayerValues!E:E,0)),"N/A")</f>
        <v>N/A</v>
      </c>
      <c r="B2345" s="4" t="s">
        <v>116</v>
      </c>
      <c r="C2345" s="4" t="s">
        <v>325</v>
      </c>
      <c r="D2345" s="94">
        <v>1527.0</v>
      </c>
    </row>
    <row r="2346">
      <c r="A2346" s="40">
        <f t="array" ref="A2346">IFNA(index(PlayerValues!A:A,match(IFNA(vlookup(B2346,'Special Names'!A:B,2,FALSE),B2346),PlayerValues!E:E,0)),"N/A")</f>
        <v>16384</v>
      </c>
      <c r="B2346" s="4" t="s">
        <v>696</v>
      </c>
      <c r="C2346" s="4" t="s">
        <v>283</v>
      </c>
      <c r="D2346" s="94">
        <v>1524.0</v>
      </c>
    </row>
    <row r="2347">
      <c r="A2347" s="40">
        <f t="array" ref="A2347">IFNA(index(PlayerValues!A:A,match(IFNA(vlookup(B2347,'Special Names'!A:B,2,FALSE),B2347),PlayerValues!E:E,0)),"N/A")</f>
        <v>14137</v>
      </c>
      <c r="B2347" s="4" t="s">
        <v>676</v>
      </c>
      <c r="C2347" s="4" t="s">
        <v>298</v>
      </c>
      <c r="D2347" s="94">
        <v>1887.0</v>
      </c>
    </row>
    <row r="2348">
      <c r="A2348" s="40">
        <f t="array" ref="A2348">IFNA(index(PlayerValues!A:A,match(IFNA(vlookup(B2348,'Special Names'!A:B,2,FALSE),B2348),PlayerValues!E:E,0)),"N/A")</f>
        <v>17077</v>
      </c>
      <c r="B2348" s="4" t="s">
        <v>714</v>
      </c>
      <c r="C2348" s="4" t="s">
        <v>287</v>
      </c>
      <c r="D2348" s="94">
        <v>1510.0</v>
      </c>
    </row>
    <row r="2349">
      <c r="A2349" s="40">
        <f t="array" ref="A2349">IFNA(index(PlayerValues!A:A,match(IFNA(vlookup(B2349,'Special Names'!A:B,2,FALSE),B2349),PlayerValues!E:E,0)),"N/A")</f>
        <v>17254</v>
      </c>
      <c r="B2349" s="4" t="s">
        <v>679</v>
      </c>
      <c r="C2349" s="4" t="s">
        <v>287</v>
      </c>
      <c r="D2349" s="94">
        <v>1506.0</v>
      </c>
    </row>
    <row r="2350">
      <c r="A2350" s="40">
        <f t="array" ref="A2350">IFNA(index(PlayerValues!A:A,match(IFNA(vlookup(B2350,'Special Names'!A:B,2,FALSE),B2350),PlayerValues!E:E,0)),"N/A")</f>
        <v>16390</v>
      </c>
      <c r="B2350" s="4" t="s">
        <v>689</v>
      </c>
      <c r="C2350" s="4" t="s">
        <v>278</v>
      </c>
      <c r="D2350" s="94">
        <v>1497.0</v>
      </c>
    </row>
    <row r="2351">
      <c r="A2351" s="40">
        <f t="array" ref="A2351">IFNA(index(PlayerValues!A:A,match(IFNA(vlookup(B2351,'Special Names'!A:B,2,FALSE),B2351),PlayerValues!E:E,0)),"N/A")</f>
        <v>17269</v>
      </c>
      <c r="B2351" s="4" t="s">
        <v>718</v>
      </c>
      <c r="C2351" s="4" t="s">
        <v>287</v>
      </c>
      <c r="D2351" s="94">
        <v>1497.0</v>
      </c>
    </row>
    <row r="2352">
      <c r="A2352" s="40">
        <f t="array" ref="A2352">IFNA(index(PlayerValues!A:A,match(IFNA(vlookup(B2352,'Special Names'!A:B,2,FALSE),B2352),PlayerValues!E:E,0)),"N/A")</f>
        <v>16175</v>
      </c>
      <c r="B2352" s="4" t="s">
        <v>654</v>
      </c>
      <c r="C2352" s="4" t="s">
        <v>278</v>
      </c>
      <c r="D2352" s="94">
        <v>1489.0</v>
      </c>
    </row>
    <row r="2353">
      <c r="A2353" s="40">
        <f t="array" ref="A2353">IFNA(index(PlayerValues!A:A,match(IFNA(vlookup(B2353,'Special Names'!A:B,2,FALSE),B2353),PlayerValues!E:E,0)),"N/A")</f>
        <v>15332</v>
      </c>
      <c r="B2353" s="4" t="s">
        <v>698</v>
      </c>
      <c r="C2353" s="4" t="s">
        <v>298</v>
      </c>
      <c r="D2353" s="94">
        <v>1863.0</v>
      </c>
    </row>
    <row r="2354">
      <c r="A2354" s="40">
        <f t="array" ref="A2354">IFNA(index(PlayerValues!A:A,match(IFNA(vlookup(B2354,'Special Names'!A:B,2,FALSE),B2354),PlayerValues!E:E,0)),"N/A")</f>
        <v>16642</v>
      </c>
      <c r="B2354" s="4" t="s">
        <v>691</v>
      </c>
      <c r="C2354" s="4" t="s">
        <v>298</v>
      </c>
      <c r="D2354" s="94">
        <v>1850.0</v>
      </c>
    </row>
    <row r="2355">
      <c r="A2355" s="40">
        <f t="array" ref="A2355">IFNA(index(PlayerValues!A:A,match(IFNA(vlookup(B2355,'Special Names'!A:B,2,FALSE),B2355),PlayerValues!E:E,0)),"N/A")</f>
        <v>14080</v>
      </c>
      <c r="B2355" s="4" t="s">
        <v>716</v>
      </c>
      <c r="C2355" s="4" t="s">
        <v>278</v>
      </c>
      <c r="D2355" s="94">
        <v>1460.0</v>
      </c>
    </row>
    <row r="2356">
      <c r="A2356" s="40">
        <f t="array" ref="A2356">IFNA(index(PlayerValues!A:A,match(IFNA(vlookup(B2356,'Special Names'!A:B,2,FALSE),B2356),PlayerValues!E:E,0)),"N/A")</f>
        <v>16621</v>
      </c>
      <c r="B2356" s="4" t="s">
        <v>672</v>
      </c>
      <c r="C2356" s="4" t="s">
        <v>287</v>
      </c>
      <c r="D2356" s="94">
        <v>1450.0</v>
      </c>
    </row>
    <row r="2357">
      <c r="A2357" s="40">
        <f t="array" ref="A2357">IFNA(index(PlayerValues!A:A,match(IFNA(vlookup(B2357,'Special Names'!A:B,2,FALSE),B2357),PlayerValues!E:E,0)),"N/A")</f>
        <v>16149</v>
      </c>
      <c r="B2357" s="4" t="s">
        <v>740</v>
      </c>
      <c r="C2357" s="4" t="s">
        <v>283</v>
      </c>
      <c r="D2357" s="94">
        <v>1446.0</v>
      </c>
    </row>
    <row r="2358">
      <c r="A2358" s="40">
        <f t="array" ref="A2358">IFNA(index(PlayerValues!A:A,match(IFNA(vlookup(B2358,'Special Names'!A:B,2,FALSE),B2358),PlayerValues!E:E,0)),"N/A")</f>
        <v>17062</v>
      </c>
      <c r="B2358" s="4" t="s">
        <v>701</v>
      </c>
      <c r="C2358" s="4" t="s">
        <v>278</v>
      </c>
      <c r="D2358" s="94">
        <v>1446.0</v>
      </c>
    </row>
    <row r="2359">
      <c r="A2359" s="40">
        <f t="array" ref="A2359">IFNA(index(PlayerValues!A:A,match(IFNA(vlookup(B2359,'Special Names'!A:B,2,FALSE),B2359),PlayerValues!E:E,0)),"N/A")</f>
        <v>15727</v>
      </c>
      <c r="B2359" s="4" t="s">
        <v>730</v>
      </c>
      <c r="C2359" s="4" t="s">
        <v>278</v>
      </c>
      <c r="D2359" s="94">
        <v>1445.0</v>
      </c>
    </row>
    <row r="2360">
      <c r="A2360" s="40">
        <f t="array" ref="A2360">IFNA(index(PlayerValues!A:A,match(IFNA(vlookup(B2360,'Special Names'!A:B,2,FALSE),B2360),PlayerValues!E:E,0)),"N/A")</f>
        <v>15292</v>
      </c>
      <c r="B2360" s="4" t="s">
        <v>682</v>
      </c>
      <c r="C2360" s="4" t="s">
        <v>287</v>
      </c>
      <c r="D2360" s="94">
        <v>1439.0</v>
      </c>
    </row>
    <row r="2361">
      <c r="A2361" s="40">
        <f t="array" ref="A2361">IFNA(index(PlayerValues!A:A,match(IFNA(vlookup(B2361,'Special Names'!A:B,2,FALSE),B2361),PlayerValues!E:E,0)),"N/A")</f>
        <v>15738</v>
      </c>
      <c r="B2361" s="4" t="s">
        <v>634</v>
      </c>
      <c r="C2361" s="4" t="s">
        <v>278</v>
      </c>
      <c r="D2361" s="94">
        <v>1424.0</v>
      </c>
    </row>
    <row r="2362">
      <c r="A2362" s="40">
        <f t="array" ref="A2362">IFNA(index(PlayerValues!A:A,match(IFNA(vlookup(B2362,'Special Names'!A:B,2,FALSE),B2362),PlayerValues!E:E,0)),"N/A")</f>
        <v>13193</v>
      </c>
      <c r="B2362" s="4" t="s">
        <v>773</v>
      </c>
      <c r="C2362" s="4" t="s">
        <v>298</v>
      </c>
      <c r="D2362" s="94">
        <v>1796.0</v>
      </c>
    </row>
    <row r="2363">
      <c r="A2363" s="40">
        <f t="array" ref="A2363">IFNA(index(PlayerValues!A:A,match(IFNA(vlookup(B2363,'Special Names'!A:B,2,FALSE),B2363),PlayerValues!E:E,0)),"N/A")</f>
        <v>14592</v>
      </c>
      <c r="B2363" s="4" t="s">
        <v>705</v>
      </c>
      <c r="C2363" s="4" t="s">
        <v>287</v>
      </c>
      <c r="D2363" s="94">
        <v>1422.0</v>
      </c>
    </row>
    <row r="2364">
      <c r="A2364" s="40">
        <f t="array" ref="A2364">IFNA(index(PlayerValues!A:A,match(IFNA(vlookup(B2364,'Special Names'!A:B,2,FALSE),B2364),PlayerValues!E:E,0)),"N/A")</f>
        <v>17508</v>
      </c>
      <c r="B2364" s="4" t="s">
        <v>534</v>
      </c>
      <c r="C2364" s="4" t="s">
        <v>287</v>
      </c>
      <c r="D2364" s="94">
        <v>1416.0</v>
      </c>
    </row>
    <row r="2365">
      <c r="A2365" s="40">
        <f t="array" ref="A2365">IFNA(index(PlayerValues!A:A,match(IFNA(vlookup(B2365,'Special Names'!A:B,2,FALSE),B2365),PlayerValues!E:E,0)),"N/A")</f>
        <v>15258</v>
      </c>
      <c r="B2365" s="4" t="s">
        <v>757</v>
      </c>
      <c r="C2365" s="4" t="s">
        <v>278</v>
      </c>
      <c r="D2365" s="94">
        <v>1409.0</v>
      </c>
    </row>
    <row r="2366">
      <c r="A2366" s="40">
        <f t="array" ref="A2366">IFNA(index(PlayerValues!A:A,match(IFNA(vlookup(B2366,'Special Names'!A:B,2,FALSE),B2366),PlayerValues!E:E,0)),"N/A")</f>
        <v>13672</v>
      </c>
      <c r="B2366" s="4" t="s">
        <v>667</v>
      </c>
      <c r="C2366" s="4" t="s">
        <v>298</v>
      </c>
      <c r="D2366" s="94">
        <v>1777.0</v>
      </c>
    </row>
    <row r="2367">
      <c r="A2367" s="40">
        <f t="array" ref="A2367">IFNA(index(PlayerValues!A:A,match(IFNA(vlookup(B2367,'Special Names'!A:B,2,FALSE),B2367),PlayerValues!E:E,0)),"N/A")</f>
        <v>17547</v>
      </c>
      <c r="B2367" s="4" t="s">
        <v>552</v>
      </c>
      <c r="C2367" s="4" t="s">
        <v>298</v>
      </c>
      <c r="D2367" s="94">
        <v>1762.0</v>
      </c>
    </row>
    <row r="2368">
      <c r="A2368" s="40">
        <f t="array" ref="A2368">IFNA(index(PlayerValues!A:A,match(IFNA(vlookup(B2368,'Special Names'!A:B,2,FALSE),B2368),PlayerValues!E:E,0)),"N/A")</f>
        <v>12678</v>
      </c>
      <c r="B2368" s="4" t="s">
        <v>703</v>
      </c>
      <c r="C2368" s="4" t="s">
        <v>298</v>
      </c>
      <c r="D2368" s="94">
        <v>1722.0</v>
      </c>
    </row>
    <row r="2369">
      <c r="A2369" s="40">
        <f t="array" ref="A2369">IFNA(index(PlayerValues!A:A,match(IFNA(vlookup(B2369,'Special Names'!A:B,2,FALSE),B2369),PlayerValues!E:E,0)),"N/A")</f>
        <v>16792</v>
      </c>
      <c r="B2369" s="4" t="s">
        <v>704</v>
      </c>
      <c r="C2369" s="4" t="s">
        <v>287</v>
      </c>
      <c r="D2369" s="94">
        <v>1341.0</v>
      </c>
    </row>
    <row r="2370">
      <c r="A2370" s="40" t="str">
        <f t="array" ref="A2370">IFNA(index(PlayerValues!A:A,match(IFNA(vlookup(B2370,'Special Names'!A:B,2,FALSE),B2370),PlayerValues!E:E,0)),"N/A")</f>
        <v>N/A</v>
      </c>
      <c r="B2370" s="4" t="s">
        <v>117</v>
      </c>
      <c r="C2370" s="4" t="s">
        <v>325</v>
      </c>
      <c r="D2370" s="94">
        <v>1338.0</v>
      </c>
    </row>
    <row r="2371">
      <c r="A2371" s="40">
        <f t="array" ref="A2371">IFNA(index(PlayerValues!A:A,match(IFNA(vlookup(B2371,'Special Names'!A:B,2,FALSE),B2371),PlayerValues!E:E,0)),"N/A")</f>
        <v>17097</v>
      </c>
      <c r="B2371" s="4" t="s">
        <v>659</v>
      </c>
      <c r="C2371" s="4" t="s">
        <v>287</v>
      </c>
      <c r="D2371" s="94">
        <v>1334.0</v>
      </c>
    </row>
    <row r="2372">
      <c r="A2372" s="40">
        <f t="array" ref="A2372">IFNA(index(PlayerValues!A:A,match(IFNA(vlookup(B2372,'Special Names'!A:B,2,FALSE),B2372),PlayerValues!E:E,0)),"N/A")</f>
        <v>15702</v>
      </c>
      <c r="B2372" s="4" t="s">
        <v>723</v>
      </c>
      <c r="C2372" s="4" t="s">
        <v>283</v>
      </c>
      <c r="D2372" s="94">
        <v>1326.0</v>
      </c>
    </row>
    <row r="2373">
      <c r="A2373" s="40">
        <f t="array" ref="A2373">IFNA(index(PlayerValues!A:A,match(IFNA(vlookup(B2373,'Special Names'!A:B,2,FALSE),B2373),PlayerValues!E:E,0)),"N/A")</f>
        <v>14086</v>
      </c>
      <c r="B2373" s="4" t="s">
        <v>639</v>
      </c>
      <c r="C2373" s="4" t="s">
        <v>278</v>
      </c>
      <c r="D2373" s="94">
        <v>1321.0</v>
      </c>
    </row>
    <row r="2374">
      <c r="A2374" s="40">
        <f t="array" ref="A2374">IFNA(index(PlayerValues!A:A,match(IFNA(vlookup(B2374,'Special Names'!A:B,2,FALSE),B2374),PlayerValues!E:E,0)),"N/A")</f>
        <v>13131</v>
      </c>
      <c r="B2374" s="4" t="s">
        <v>815</v>
      </c>
      <c r="C2374" s="4" t="s">
        <v>278</v>
      </c>
      <c r="D2374" s="94">
        <v>1320.0</v>
      </c>
    </row>
    <row r="2375">
      <c r="A2375" s="40">
        <f t="array" ref="A2375">IFNA(index(PlayerValues!A:A,match(IFNA(vlookup(B2375,'Special Names'!A:B,2,FALSE),B2375),PlayerValues!E:E,0)),"N/A")</f>
        <v>17512</v>
      </c>
      <c r="B2375" s="4" t="s">
        <v>483</v>
      </c>
      <c r="C2375" s="4" t="s">
        <v>287</v>
      </c>
      <c r="D2375" s="94">
        <v>1319.0</v>
      </c>
    </row>
    <row r="2376">
      <c r="A2376" s="40">
        <f t="array" ref="A2376">IFNA(index(PlayerValues!A:A,match(IFNA(vlookup(B2376,'Special Names'!A:B,2,FALSE),B2376),PlayerValues!E:E,0)),"N/A")</f>
        <v>16183</v>
      </c>
      <c r="B2376" s="4" t="s">
        <v>678</v>
      </c>
      <c r="C2376" s="4" t="s">
        <v>287</v>
      </c>
      <c r="D2376" s="94">
        <v>1315.0</v>
      </c>
    </row>
    <row r="2377">
      <c r="A2377" s="40">
        <f t="array" ref="A2377">IFNA(index(PlayerValues!A:A,match(IFNA(vlookup(B2377,'Special Names'!A:B,2,FALSE),B2377),PlayerValues!E:E,0)),"N/A")</f>
        <v>16608</v>
      </c>
      <c r="B2377" s="4" t="s">
        <v>629</v>
      </c>
      <c r="C2377" s="4" t="s">
        <v>278</v>
      </c>
      <c r="D2377" s="94">
        <v>1311.0</v>
      </c>
    </row>
    <row r="2378">
      <c r="A2378" s="40">
        <f t="array" ref="A2378">IFNA(index(PlayerValues!A:A,match(IFNA(vlookup(B2378,'Special Names'!A:B,2,FALSE),B2378),PlayerValues!E:E,0)),"N/A")</f>
        <v>15240</v>
      </c>
      <c r="B2378" s="4" t="s">
        <v>751</v>
      </c>
      <c r="C2378" s="4" t="s">
        <v>283</v>
      </c>
      <c r="D2378" s="94">
        <v>1293.0</v>
      </c>
    </row>
    <row r="2379">
      <c r="A2379" s="40">
        <f t="array" ref="A2379">IFNA(index(PlayerValues!A:A,match(IFNA(vlookup(B2379,'Special Names'!A:B,2,FALSE),B2379),PlayerValues!E:E,0)),"N/A")</f>
        <v>17063</v>
      </c>
      <c r="B2379" s="4" t="s">
        <v>686</v>
      </c>
      <c r="C2379" s="4" t="s">
        <v>278</v>
      </c>
      <c r="D2379" s="94">
        <v>1289.0</v>
      </c>
    </row>
    <row r="2380">
      <c r="A2380" s="40">
        <f t="array" ref="A2380">IFNA(index(PlayerValues!A:A,match(IFNA(vlookup(B2380,'Special Names'!A:B,2,FALSE),B2380),PlayerValues!E:E,0)),"N/A")</f>
        <v>14067</v>
      </c>
      <c r="B2380" s="4" t="s">
        <v>735</v>
      </c>
      <c r="C2380" s="4" t="s">
        <v>283</v>
      </c>
      <c r="D2380" s="94">
        <v>1271.0</v>
      </c>
    </row>
    <row r="2381">
      <c r="A2381" s="40">
        <f t="array" ref="A2381">IFNA(index(PlayerValues!A:A,match(IFNA(vlookup(B2381,'Special Names'!A:B,2,FALSE),B2381),PlayerValues!E:E,0)),"N/A")</f>
        <v>14789</v>
      </c>
      <c r="B2381" s="4" t="s">
        <v>721</v>
      </c>
      <c r="C2381" s="4" t="s">
        <v>283</v>
      </c>
      <c r="D2381" s="94">
        <v>1266.0</v>
      </c>
    </row>
    <row r="2382">
      <c r="A2382" s="40">
        <f t="array" ref="A2382">IFNA(index(PlayerValues!A:A,match(IFNA(vlookup(B2382,'Special Names'!A:B,2,FALSE),B2382),PlayerValues!E:E,0)),"N/A")</f>
        <v>14095</v>
      </c>
      <c r="B2382" s="4" t="s">
        <v>680</v>
      </c>
      <c r="C2382" s="4" t="s">
        <v>278</v>
      </c>
      <c r="D2382" s="94">
        <v>1258.0</v>
      </c>
    </row>
    <row r="2383">
      <c r="A2383" s="40">
        <f t="array" ref="A2383">IFNA(index(PlayerValues!A:A,match(IFNA(vlookup(B2383,'Special Names'!A:B,2,FALSE),B2383),PlayerValues!E:E,0)),"N/A")</f>
        <v>16221</v>
      </c>
      <c r="B2383" s="4" t="s">
        <v>725</v>
      </c>
      <c r="C2383" s="4" t="s">
        <v>298</v>
      </c>
      <c r="D2383" s="94">
        <v>1623.0</v>
      </c>
    </row>
    <row r="2384">
      <c r="A2384" s="40">
        <f t="array" ref="A2384">IFNA(index(PlayerValues!A:A,match(IFNA(vlookup(B2384,'Special Names'!A:B,2,FALSE),B2384),PlayerValues!E:E,0)),"N/A")</f>
        <v>16746</v>
      </c>
      <c r="B2384" s="4" t="s">
        <v>709</v>
      </c>
      <c r="C2384" s="4" t="s">
        <v>278</v>
      </c>
      <c r="D2384" s="94">
        <v>1253.0</v>
      </c>
    </row>
    <row r="2385">
      <c r="A2385" s="40">
        <f t="array" ref="A2385">IFNA(index(PlayerValues!A:A,match(IFNA(vlookup(B2385,'Special Names'!A:B,2,FALSE),B2385),PlayerValues!E:E,0)),"N/A")</f>
        <v>17528</v>
      </c>
      <c r="B2385" s="4" t="s">
        <v>579</v>
      </c>
      <c r="C2385" s="4" t="s">
        <v>287</v>
      </c>
      <c r="D2385" s="94">
        <v>1249.0</v>
      </c>
    </row>
    <row r="2386">
      <c r="A2386" s="40">
        <f t="array" ref="A2386">IFNA(index(PlayerValues!A:A,match(IFNA(vlookup(B2386,'Special Names'!A:B,2,FALSE),B2386),PlayerValues!E:E,0)),"N/A")</f>
        <v>15981</v>
      </c>
      <c r="B2386" s="4" t="s">
        <v>729</v>
      </c>
      <c r="C2386" s="4" t="s">
        <v>287</v>
      </c>
      <c r="D2386" s="94">
        <v>1247.0</v>
      </c>
    </row>
    <row r="2387">
      <c r="A2387" s="40">
        <f t="array" ref="A2387">IFNA(index(PlayerValues!A:A,match(IFNA(vlookup(B2387,'Special Names'!A:B,2,FALSE),B2387),PlayerValues!E:E,0)),"N/A")</f>
        <v>16636</v>
      </c>
      <c r="B2387" s="4" t="s">
        <v>699</v>
      </c>
      <c r="C2387" s="4" t="s">
        <v>287</v>
      </c>
      <c r="D2387" s="94">
        <v>1244.0</v>
      </c>
    </row>
    <row r="2388">
      <c r="A2388" s="40">
        <f t="array" ref="A2388">IFNA(index(PlayerValues!A:A,match(IFNA(vlookup(B2388,'Special Names'!A:B,2,FALSE),B2388),PlayerValues!E:E,0)),"N/A")</f>
        <v>17546</v>
      </c>
      <c r="B2388" s="4" t="s">
        <v>671</v>
      </c>
      <c r="C2388" s="4" t="s">
        <v>298</v>
      </c>
      <c r="D2388" s="94">
        <v>1610.0</v>
      </c>
    </row>
    <row r="2389">
      <c r="A2389" s="40">
        <f t="array" ref="A2389">IFNA(index(PlayerValues!A:A,match(IFNA(vlookup(B2389,'Special Names'!A:B,2,FALSE),B2389),PlayerValues!E:E,0)),"N/A")</f>
        <v>16199</v>
      </c>
      <c r="B2389" s="4" t="s">
        <v>687</v>
      </c>
      <c r="C2389" s="4" t="s">
        <v>287</v>
      </c>
      <c r="D2389" s="94">
        <v>1234.0</v>
      </c>
    </row>
    <row r="2390">
      <c r="A2390" s="40">
        <f t="array" ref="A2390">IFNA(index(PlayerValues!A:A,match(IFNA(vlookup(B2390,'Special Names'!A:B,2,FALSE),B2390),PlayerValues!E:E,0)),"N/A")</f>
        <v>16385</v>
      </c>
      <c r="B2390" s="4" t="s">
        <v>690</v>
      </c>
      <c r="C2390" s="4" t="s">
        <v>278</v>
      </c>
      <c r="D2390" s="94">
        <v>1231.0</v>
      </c>
    </row>
    <row r="2391">
      <c r="A2391" s="40">
        <f t="array" ref="A2391">IFNA(index(PlayerValues!A:A,match(IFNA(vlookup(B2391,'Special Names'!A:B,2,FALSE),B2391),PlayerValues!E:E,0)),"N/A")</f>
        <v>13289</v>
      </c>
      <c r="B2391" s="4" t="s">
        <v>746</v>
      </c>
      <c r="C2391" s="4" t="s">
        <v>287</v>
      </c>
      <c r="D2391" s="94">
        <v>1223.0</v>
      </c>
    </row>
    <row r="2392">
      <c r="A2392" s="40">
        <f t="array" ref="A2392">IFNA(index(PlayerValues!A:A,match(IFNA(vlookup(B2392,'Special Names'!A:B,2,FALSE),B2392),PlayerValues!E:E,0)),"N/A")</f>
        <v>15288</v>
      </c>
      <c r="B2392" s="4" t="s">
        <v>700</v>
      </c>
      <c r="C2392" s="4" t="s">
        <v>287</v>
      </c>
      <c r="D2392" s="94">
        <v>1223.0</v>
      </c>
    </row>
    <row r="2393">
      <c r="A2393" s="40">
        <f t="array" ref="A2393">IFNA(index(PlayerValues!A:A,match(IFNA(vlookup(B2393,'Special Names'!A:B,2,FALSE),B2393),PlayerValues!E:E,0)),"N/A")</f>
        <v>14108</v>
      </c>
      <c r="B2393" s="4" t="s">
        <v>673</v>
      </c>
      <c r="C2393" s="4" t="s">
        <v>287</v>
      </c>
      <c r="D2393" s="94">
        <v>1221.0</v>
      </c>
    </row>
    <row r="2394">
      <c r="A2394" s="40">
        <f t="array" ref="A2394">IFNA(index(PlayerValues!A:A,match(IFNA(vlookup(B2394,'Special Names'!A:B,2,FALSE),B2394),PlayerValues!E:E,0)),"N/A")</f>
        <v>17054</v>
      </c>
      <c r="B2394" s="4" t="s">
        <v>670</v>
      </c>
      <c r="C2394" s="4" t="s">
        <v>278</v>
      </c>
      <c r="D2394" s="94">
        <v>1200.0</v>
      </c>
    </row>
    <row r="2395">
      <c r="A2395" s="40">
        <f t="array" ref="A2395">IFNA(index(PlayerValues!A:A,match(IFNA(vlookup(B2395,'Special Names'!A:B,2,FALSE),B2395),PlayerValues!E:E,0)),"N/A")</f>
        <v>16645</v>
      </c>
      <c r="B2395" s="4" t="s">
        <v>651</v>
      </c>
      <c r="C2395" s="4" t="s">
        <v>298</v>
      </c>
      <c r="D2395" s="94">
        <v>1565.0</v>
      </c>
    </row>
    <row r="2396">
      <c r="A2396" s="40">
        <f t="array" ref="A2396">IFNA(index(PlayerValues!A:A,match(IFNA(vlookup(B2396,'Special Names'!A:B,2,FALSE),B2396),PlayerValues!E:E,0)),"N/A")</f>
        <v>15692</v>
      </c>
      <c r="B2396" s="4" t="s">
        <v>750</v>
      </c>
      <c r="C2396" s="4" t="s">
        <v>283</v>
      </c>
      <c r="D2396" s="94">
        <v>1196.0</v>
      </c>
    </row>
    <row r="2397">
      <c r="A2397" s="40">
        <f t="array" ref="A2397">IFNA(index(PlayerValues!A:A,match(IFNA(vlookup(B2397,'Special Names'!A:B,2,FALSE),B2397),PlayerValues!E:E,0)),"N/A")</f>
        <v>16333</v>
      </c>
      <c r="B2397" s="4" t="s">
        <v>711</v>
      </c>
      <c r="C2397" s="4" t="s">
        <v>298</v>
      </c>
      <c r="D2397" s="94">
        <v>1554.0</v>
      </c>
    </row>
    <row r="2398">
      <c r="A2398" s="40">
        <f t="array" ref="A2398">IFNA(index(PlayerValues!A:A,match(IFNA(vlookup(B2398,'Special Names'!A:B,2,FALSE),B2398),PlayerValues!E:E,0)),"N/A")</f>
        <v>14845</v>
      </c>
      <c r="B2398" s="4" t="s">
        <v>717</v>
      </c>
      <c r="C2398" s="4" t="s">
        <v>287</v>
      </c>
      <c r="D2398" s="94">
        <v>1182.0</v>
      </c>
    </row>
    <row r="2399">
      <c r="A2399" s="40">
        <f t="array" ref="A2399">IFNA(index(PlayerValues!A:A,match(IFNA(vlookup(B2399,'Special Names'!A:B,2,FALSE),B2399),PlayerValues!E:E,0)),"N/A")</f>
        <v>16393</v>
      </c>
      <c r="B2399" s="4" t="s">
        <v>768</v>
      </c>
      <c r="C2399" s="4" t="s">
        <v>287</v>
      </c>
      <c r="D2399" s="94">
        <v>1179.0</v>
      </c>
    </row>
    <row r="2400">
      <c r="A2400" s="40">
        <f t="array" ref="A2400">IFNA(index(PlayerValues!A:A,match(IFNA(vlookup(B2400,'Special Names'!A:B,2,FALSE),B2400),PlayerValues!E:E,0)),"N/A")</f>
        <v>12263</v>
      </c>
      <c r="B2400" s="4" t="s">
        <v>697</v>
      </c>
      <c r="C2400" s="4" t="s">
        <v>298</v>
      </c>
      <c r="D2400" s="94">
        <v>1545.0</v>
      </c>
    </row>
    <row r="2401">
      <c r="A2401" s="40">
        <f t="array" ref="A2401">IFNA(index(PlayerValues!A:A,match(IFNA(vlookup(B2401,'Special Names'!A:B,2,FALSE),B2401),PlayerValues!E:E,0)),"N/A")</f>
        <v>17050</v>
      </c>
      <c r="B2401" s="4" t="s">
        <v>713</v>
      </c>
      <c r="C2401" s="4" t="s">
        <v>278</v>
      </c>
      <c r="D2401" s="94">
        <v>1174.0</v>
      </c>
    </row>
    <row r="2402">
      <c r="A2402" s="40">
        <f t="array" ref="A2402">IFNA(index(PlayerValues!A:A,match(IFNA(vlookup(B2402,'Special Names'!A:B,2,FALSE),B2402),PlayerValues!E:E,0)),"N/A")</f>
        <v>15239</v>
      </c>
      <c r="B2402" s="4" t="s">
        <v>802</v>
      </c>
      <c r="C2402" s="4" t="s">
        <v>283</v>
      </c>
      <c r="D2402" s="94">
        <v>1172.0</v>
      </c>
    </row>
    <row r="2403">
      <c r="A2403" s="40">
        <f t="array" ref="A2403">IFNA(index(PlayerValues!A:A,match(IFNA(vlookup(B2403,'Special Names'!A:B,2,FALSE),B2403),PlayerValues!E:E,0)),"N/A")</f>
        <v>16883</v>
      </c>
      <c r="B2403" s="4" t="s">
        <v>683</v>
      </c>
      <c r="C2403" s="4" t="s">
        <v>287</v>
      </c>
      <c r="D2403" s="94">
        <v>1165.0</v>
      </c>
    </row>
    <row r="2404">
      <c r="A2404" s="40">
        <f t="array" ref="A2404">IFNA(index(PlayerValues!A:A,match(IFNA(vlookup(B2404,'Special Names'!A:B,2,FALSE),B2404),PlayerValues!E:E,0)),"N/A")</f>
        <v>17481</v>
      </c>
      <c r="B2404" s="4" t="s">
        <v>540</v>
      </c>
      <c r="C2404" s="4" t="s">
        <v>278</v>
      </c>
      <c r="D2404" s="94">
        <v>1160.0</v>
      </c>
    </row>
    <row r="2405">
      <c r="A2405" s="40">
        <f t="array" ref="A2405">IFNA(index(PlayerValues!A:A,match(IFNA(vlookup(B2405,'Special Names'!A:B,2,FALSE),B2405),PlayerValues!E:E,0)),"N/A")</f>
        <v>16451</v>
      </c>
      <c r="B2405" s="4" t="s">
        <v>769</v>
      </c>
      <c r="C2405" s="4" t="s">
        <v>287</v>
      </c>
      <c r="D2405" s="94">
        <v>1158.0</v>
      </c>
    </row>
    <row r="2406">
      <c r="A2406" s="40">
        <f t="array" ref="A2406">IFNA(index(PlayerValues!A:A,match(IFNA(vlookup(B2406,'Special Names'!A:B,2,FALSE),B2406),PlayerValues!E:E,0)),"N/A")</f>
        <v>15730</v>
      </c>
      <c r="B2406" s="4" t="s">
        <v>734</v>
      </c>
      <c r="C2406" s="4" t="s">
        <v>278</v>
      </c>
      <c r="D2406" s="94">
        <v>1147.0</v>
      </c>
    </row>
    <row r="2407">
      <c r="A2407" s="40">
        <f t="array" ref="A2407">IFNA(index(PlayerValues!A:A,match(IFNA(vlookup(B2407,'Special Names'!A:B,2,FALSE),B2407),PlayerValues!E:E,0)),"N/A")</f>
        <v>15717</v>
      </c>
      <c r="B2407" s="4" t="s">
        <v>745</v>
      </c>
      <c r="C2407" s="4" t="s">
        <v>278</v>
      </c>
      <c r="D2407" s="94">
        <v>1142.0</v>
      </c>
    </row>
    <row r="2408">
      <c r="A2408" s="40">
        <f t="array" ref="A2408">IFNA(index(PlayerValues!A:A,match(IFNA(vlookup(B2408,'Special Names'!A:B,2,FALSE),B2408),PlayerValues!E:E,0)),"N/A")</f>
        <v>15693</v>
      </c>
      <c r="B2408" s="4" t="s">
        <v>755</v>
      </c>
      <c r="C2408" s="4" t="s">
        <v>283</v>
      </c>
      <c r="D2408" s="94">
        <v>1141.0</v>
      </c>
    </row>
    <row r="2409">
      <c r="A2409" s="40">
        <f t="array" ref="A2409">IFNA(index(PlayerValues!A:A,match(IFNA(vlookup(B2409,'Special Names'!A:B,2,FALSE),B2409),PlayerValues!E:E,0)),"N/A")</f>
        <v>13138</v>
      </c>
      <c r="B2409" s="4" t="s">
        <v>817</v>
      </c>
      <c r="C2409" s="4" t="s">
        <v>278</v>
      </c>
      <c r="D2409" s="94">
        <v>1140.0</v>
      </c>
    </row>
    <row r="2410">
      <c r="A2410" s="40">
        <f t="array" ref="A2410">IFNA(index(PlayerValues!A:A,match(IFNA(vlookup(B2410,'Special Names'!A:B,2,FALSE),B2410),PlayerValues!E:E,0)),"N/A")</f>
        <v>16197</v>
      </c>
      <c r="B2410" s="4" t="s">
        <v>726</v>
      </c>
      <c r="C2410" s="4" t="s">
        <v>287</v>
      </c>
      <c r="D2410" s="94">
        <v>1130.0</v>
      </c>
    </row>
    <row r="2411">
      <c r="A2411" s="40">
        <f t="array" ref="A2411">IFNA(index(PlayerValues!A:A,match(IFNA(vlookup(B2411,'Special Names'!A:B,2,FALSE),B2411),PlayerValues!E:E,0)),"N/A")</f>
        <v>17192</v>
      </c>
      <c r="B2411" s="4" t="s">
        <v>677</v>
      </c>
      <c r="C2411" s="4" t="s">
        <v>287</v>
      </c>
      <c r="D2411" s="94">
        <v>1126.0</v>
      </c>
    </row>
    <row r="2412">
      <c r="A2412" s="40">
        <f t="array" ref="A2412">IFNA(index(PlayerValues!A:A,match(IFNA(vlookup(B2412,'Special Names'!A:B,2,FALSE),B2412),PlayerValues!E:E,0)),"N/A")</f>
        <v>16637</v>
      </c>
      <c r="B2412" s="4" t="s">
        <v>736</v>
      </c>
      <c r="C2412" s="4" t="s">
        <v>287</v>
      </c>
      <c r="D2412" s="94">
        <v>1121.0</v>
      </c>
    </row>
    <row r="2413">
      <c r="A2413" s="40">
        <f t="array" ref="A2413">IFNA(index(PlayerValues!A:A,match(IFNA(vlookup(B2413,'Special Names'!A:B,2,FALSE),B2413),PlayerValues!E:E,0)),"N/A")</f>
        <v>16640</v>
      </c>
      <c r="B2413" s="4" t="s">
        <v>712</v>
      </c>
      <c r="C2413" s="4" t="s">
        <v>287</v>
      </c>
      <c r="D2413" s="94">
        <v>1120.0</v>
      </c>
    </row>
    <row r="2414">
      <c r="A2414" s="40">
        <f t="array" ref="A2414">IFNA(index(PlayerValues!A:A,match(IFNA(vlookup(B2414,'Special Names'!A:B,2,FALSE),B2414),PlayerValues!E:E,0)),"N/A")</f>
        <v>17109</v>
      </c>
      <c r="B2414" s="4" t="s">
        <v>707</v>
      </c>
      <c r="C2414" s="4" t="s">
        <v>298</v>
      </c>
      <c r="D2414" s="94">
        <v>1485.0</v>
      </c>
    </row>
    <row r="2415">
      <c r="A2415" s="40">
        <f t="array" ref="A2415">IFNA(index(PlayerValues!A:A,match(IFNA(vlookup(B2415,'Special Names'!A:B,2,FALSE),B2415),PlayerValues!E:E,0)),"N/A")</f>
        <v>17057</v>
      </c>
      <c r="B2415" s="4" t="s">
        <v>708</v>
      </c>
      <c r="C2415" s="4" t="s">
        <v>278</v>
      </c>
      <c r="D2415" s="94">
        <v>1094.0</v>
      </c>
    </row>
    <row r="2416">
      <c r="A2416" s="40">
        <f t="array" ref="A2416">IFNA(index(PlayerValues!A:A,match(IFNA(vlookup(B2416,'Special Names'!A:B,2,FALSE),B2416),PlayerValues!E:E,0)),"N/A")</f>
        <v>15785</v>
      </c>
      <c r="B2416" s="4" t="s">
        <v>763</v>
      </c>
      <c r="C2416" s="4" t="s">
        <v>287</v>
      </c>
      <c r="D2416" s="94">
        <v>1091.0</v>
      </c>
    </row>
    <row r="2417">
      <c r="A2417" s="40">
        <f t="array" ref="A2417">IFNA(index(PlayerValues!A:A,match(IFNA(vlookup(B2417,'Special Names'!A:B,2,FALSE),B2417),PlayerValues!E:E,0)),"N/A")</f>
        <v>16387</v>
      </c>
      <c r="B2417" s="4" t="s">
        <v>646</v>
      </c>
      <c r="C2417" s="4" t="s">
        <v>278</v>
      </c>
      <c r="D2417" s="94">
        <v>1089.0</v>
      </c>
    </row>
    <row r="2418">
      <c r="A2418" s="40">
        <f t="array" ref="A2418">IFNA(index(PlayerValues!A:A,match(IFNA(vlookup(B2418,'Special Names'!A:B,2,FALSE),B2418),PlayerValues!E:E,0)),"N/A")</f>
        <v>14118</v>
      </c>
      <c r="B2418" s="4" t="s">
        <v>771</v>
      </c>
      <c r="C2418" s="4" t="s">
        <v>287</v>
      </c>
      <c r="D2418" s="94">
        <v>1087.0</v>
      </c>
    </row>
    <row r="2419">
      <c r="A2419" s="40">
        <f t="array" ref="A2419">IFNA(index(PlayerValues!A:A,match(IFNA(vlookup(B2419,'Special Names'!A:B,2,FALSE),B2419),PlayerValues!E:E,0)),"N/A")</f>
        <v>9064</v>
      </c>
      <c r="B2419" s="4" t="s">
        <v>761</v>
      </c>
      <c r="C2419" s="4" t="s">
        <v>283</v>
      </c>
      <c r="D2419" s="94">
        <v>1081.0</v>
      </c>
    </row>
    <row r="2420">
      <c r="A2420" s="40">
        <f t="array" ref="A2420">IFNA(index(PlayerValues!A:A,match(IFNA(vlookup(B2420,'Special Names'!A:B,2,FALSE),B2420),PlayerValues!E:E,0)),"N/A")</f>
        <v>16219</v>
      </c>
      <c r="B2420" s="4" t="s">
        <v>739</v>
      </c>
      <c r="C2420" s="4" t="s">
        <v>298</v>
      </c>
      <c r="D2420" s="94">
        <v>1444.0</v>
      </c>
    </row>
    <row r="2421">
      <c r="A2421" s="40">
        <f t="array" ref="A2421">IFNA(index(PlayerValues!A:A,match(IFNA(vlookup(B2421,'Special Names'!A:B,2,FALSE),B2421),PlayerValues!E:E,0)),"N/A")</f>
        <v>16678</v>
      </c>
      <c r="B2421" s="4" t="s">
        <v>758</v>
      </c>
      <c r="C2421" s="4" t="s">
        <v>278</v>
      </c>
      <c r="D2421" s="94">
        <v>1074.0</v>
      </c>
    </row>
    <row r="2422">
      <c r="A2422" s="40">
        <f t="array" ref="A2422">IFNA(index(PlayerValues!A:A,match(IFNA(vlookup(B2422,'Special Names'!A:B,2,FALSE),B2422),PlayerValues!E:E,0)),"N/A")</f>
        <v>17175</v>
      </c>
      <c r="B2422" s="4" t="s">
        <v>747</v>
      </c>
      <c r="C2422" s="4" t="s">
        <v>287</v>
      </c>
      <c r="D2422" s="94">
        <v>1059.0</v>
      </c>
    </row>
    <row r="2423">
      <c r="A2423" s="40">
        <f t="array" ref="A2423">IFNA(index(PlayerValues!A:A,match(IFNA(vlookup(B2423,'Special Names'!A:B,2,FALSE),B2423),PlayerValues!E:E,0)),"N/A")</f>
        <v>17479</v>
      </c>
      <c r="B2423" s="4" t="s">
        <v>756</v>
      </c>
      <c r="C2423" s="4" t="s">
        <v>278</v>
      </c>
      <c r="D2423" s="94">
        <v>1052.0</v>
      </c>
    </row>
    <row r="2424">
      <c r="A2424" s="40">
        <f t="array" ref="A2424">IFNA(index(PlayerValues!A:A,match(IFNA(vlookup(B2424,'Special Names'!A:B,2,FALSE),B2424),PlayerValues!E:E,0)),"N/A")</f>
        <v>16648</v>
      </c>
      <c r="B2424" s="4" t="s">
        <v>748</v>
      </c>
      <c r="C2424" s="4" t="s">
        <v>298</v>
      </c>
      <c r="D2424" s="94">
        <v>1413.0</v>
      </c>
    </row>
    <row r="2425">
      <c r="A2425" s="40">
        <f t="array" ref="A2425">IFNA(index(PlayerValues!A:A,match(IFNA(vlookup(B2425,'Special Names'!A:B,2,FALSE),B2425),PlayerValues!E:E,0)),"N/A")</f>
        <v>14057</v>
      </c>
      <c r="B2425" s="4" t="s">
        <v>765</v>
      </c>
      <c r="C2425" s="4" t="s">
        <v>283</v>
      </c>
      <c r="D2425" s="94">
        <v>1044.0</v>
      </c>
    </row>
    <row r="2426">
      <c r="A2426" s="40">
        <f t="array" ref="A2426">IFNA(index(PlayerValues!A:A,match(IFNA(vlookup(B2426,'Special Names'!A:B,2,FALSE),B2426),PlayerValues!E:E,0)),"N/A")</f>
        <v>15330</v>
      </c>
      <c r="B2426" s="4" t="s">
        <v>749</v>
      </c>
      <c r="C2426" s="4" t="s">
        <v>298</v>
      </c>
      <c r="D2426" s="94">
        <v>1407.0</v>
      </c>
    </row>
    <row r="2427">
      <c r="A2427" s="40">
        <f t="array" ref="A2427">IFNA(index(PlayerValues!A:A,match(IFNA(vlookup(B2427,'Special Names'!A:B,2,FALSE),B2427),PlayerValues!E:E,0)),"N/A")</f>
        <v>15795</v>
      </c>
      <c r="B2427" s="4" t="s">
        <v>669</v>
      </c>
      <c r="C2427" s="4" t="s">
        <v>298</v>
      </c>
      <c r="D2427" s="94">
        <v>1408.0</v>
      </c>
    </row>
    <row r="2428">
      <c r="A2428" s="40">
        <f t="array" ref="A2428">IFNA(index(PlayerValues!A:A,match(IFNA(vlookup(B2428,'Special Names'!A:B,2,FALSE),B2428),PlayerValues!E:E,0)),"N/A")</f>
        <v>15718</v>
      </c>
      <c r="B2428" s="4" t="s">
        <v>753</v>
      </c>
      <c r="C2428" s="4" t="s">
        <v>278</v>
      </c>
      <c r="D2428" s="94">
        <v>1038.0</v>
      </c>
    </row>
    <row r="2429">
      <c r="A2429" s="40">
        <f t="array" ref="A2429">IFNA(index(PlayerValues!A:A,match(IFNA(vlookup(B2429,'Special Names'!A:B,2,FALSE),B2429),PlayerValues!E:E,0)),"N/A")</f>
        <v>17520</v>
      </c>
      <c r="B2429" s="4" t="s">
        <v>518</v>
      </c>
      <c r="C2429" s="4" t="s">
        <v>287</v>
      </c>
      <c r="D2429" s="94">
        <v>1028.0</v>
      </c>
    </row>
    <row r="2430">
      <c r="A2430" s="40">
        <f t="array" ref="A2430">IFNA(index(PlayerValues!A:A,match(IFNA(vlookup(B2430,'Special Names'!A:B,2,FALSE),B2430),PlayerValues!E:E,0)),"N/A")</f>
        <v>11247</v>
      </c>
      <c r="B2430" s="4" t="s">
        <v>816</v>
      </c>
      <c r="C2430" s="4" t="s">
        <v>298</v>
      </c>
      <c r="D2430" s="94">
        <v>1394.0</v>
      </c>
    </row>
    <row r="2431">
      <c r="A2431" s="40">
        <f t="array" ref="A2431">IFNA(index(PlayerValues!A:A,match(IFNA(vlookup(B2431,'Special Names'!A:B,2,FALSE),B2431),PlayerValues!E:E,0)),"N/A")</f>
        <v>17486</v>
      </c>
      <c r="B2431" s="4" t="s">
        <v>695</v>
      </c>
      <c r="C2431" s="4" t="s">
        <v>278</v>
      </c>
      <c r="D2431" s="94">
        <v>1026.0</v>
      </c>
    </row>
    <row r="2432">
      <c r="A2432" s="40">
        <f t="array" ref="A2432">IFNA(index(PlayerValues!A:A,match(IFNA(vlookup(B2432,'Special Names'!A:B,2,FALSE),B2432),PlayerValues!E:E,0)),"N/A")</f>
        <v>14849</v>
      </c>
      <c r="B2432" s="4" t="s">
        <v>733</v>
      </c>
      <c r="C2432" s="4" t="s">
        <v>287</v>
      </c>
      <c r="D2432" s="94">
        <v>1025.0</v>
      </c>
    </row>
    <row r="2433">
      <c r="A2433" s="40">
        <f t="array" ref="A2433">IFNA(index(PlayerValues!A:A,match(IFNA(vlookup(B2433,'Special Names'!A:B,2,FALSE),B2433),PlayerValues!E:E,0)),"N/A")</f>
        <v>15766</v>
      </c>
      <c r="B2433" s="4" t="s">
        <v>759</v>
      </c>
      <c r="C2433" s="4" t="s">
        <v>287</v>
      </c>
      <c r="D2433" s="94">
        <v>1023.0</v>
      </c>
    </row>
    <row r="2434">
      <c r="A2434" s="40">
        <f t="array" ref="A2434">IFNA(index(PlayerValues!A:A,match(IFNA(vlookup(B2434,'Special Names'!A:B,2,FALSE),B2434),PlayerValues!E:E,0)),"N/A")</f>
        <v>15720</v>
      </c>
      <c r="B2434" s="4" t="s">
        <v>795</v>
      </c>
      <c r="C2434" s="4" t="s">
        <v>278</v>
      </c>
      <c r="D2434" s="94">
        <v>1022.0</v>
      </c>
    </row>
    <row r="2435">
      <c r="A2435" s="40">
        <f t="array" ref="A2435">IFNA(index(PlayerValues!A:A,match(IFNA(vlookup(B2435,'Special Names'!A:B,2,FALSE),B2435),PlayerValues!E:E,0)),"N/A")</f>
        <v>17467</v>
      </c>
      <c r="B2435" s="4" t="s">
        <v>575</v>
      </c>
      <c r="C2435" s="4" t="s">
        <v>283</v>
      </c>
      <c r="D2435" s="94">
        <v>1008.0</v>
      </c>
    </row>
    <row r="2436">
      <c r="A2436" s="40">
        <f t="array" ref="A2436">IFNA(index(PlayerValues!A:A,match(IFNA(vlookup(B2436,'Special Names'!A:B,2,FALSE),B2436),PlayerValues!E:E,0)),"N/A")</f>
        <v>17487</v>
      </c>
      <c r="B2436" s="4" t="s">
        <v>692</v>
      </c>
      <c r="C2436" s="4" t="s">
        <v>278</v>
      </c>
      <c r="D2436" s="94">
        <v>1004.0</v>
      </c>
    </row>
    <row r="2437">
      <c r="A2437" s="40">
        <f t="array" ref="A2437">IFNA(index(PlayerValues!A:A,match(IFNA(vlookup(B2437,'Special Names'!A:B,2,FALSE),B2437),PlayerValues!E:E,0)),"N/A")</f>
        <v>16159</v>
      </c>
      <c r="B2437" s="4" t="s">
        <v>819</v>
      </c>
      <c r="C2437" s="4" t="s">
        <v>283</v>
      </c>
      <c r="D2437" s="94">
        <v>1002.0</v>
      </c>
    </row>
    <row r="2438">
      <c r="A2438" s="40">
        <f t="array" ref="A2438">IFNA(index(PlayerValues!A:A,match(IFNA(vlookup(B2438,'Special Names'!A:B,2,FALSE),B2438),PlayerValues!E:E,0)),"N/A")</f>
        <v>16168</v>
      </c>
      <c r="B2438" s="4" t="s">
        <v>738</v>
      </c>
      <c r="C2438" s="4" t="s">
        <v>278</v>
      </c>
      <c r="D2438" s="94">
        <v>1000.0</v>
      </c>
    </row>
    <row r="2439">
      <c r="A2439" s="40">
        <f t="array" ref="A2439">IFNA(index(PlayerValues!A:A,match(IFNA(vlookup(B2439,'Special Names'!A:B,2,FALSE),B2439),PlayerValues!E:E,0)),"N/A")</f>
        <v>16858</v>
      </c>
      <c r="B2439" s="4" t="s">
        <v>754</v>
      </c>
      <c r="C2439" s="4" t="s">
        <v>287</v>
      </c>
      <c r="D2439" s="94">
        <v>994.0</v>
      </c>
    </row>
    <row r="2440">
      <c r="A2440" s="40">
        <f t="array" ref="A2440">IFNA(index(PlayerValues!A:A,match(IFNA(vlookup(B2440,'Special Names'!A:B,2,FALSE),B2440),PlayerValues!E:E,0)),"N/A")</f>
        <v>17475</v>
      </c>
      <c r="B2440" s="4" t="s">
        <v>615</v>
      </c>
      <c r="C2440" s="4" t="s">
        <v>278</v>
      </c>
      <c r="D2440" s="94">
        <v>994.0</v>
      </c>
    </row>
    <row r="2441">
      <c r="A2441" s="40">
        <f t="array" ref="A2441">IFNA(index(PlayerValues!A:A,match(IFNA(vlookup(B2441,'Special Names'!A:B,2,FALSE),B2441),PlayerValues!E:E,0)),"N/A")</f>
        <v>15626</v>
      </c>
      <c r="B2441" s="4" t="s">
        <v>766</v>
      </c>
      <c r="C2441" s="4" t="s">
        <v>298</v>
      </c>
      <c r="D2441" s="94">
        <v>1352.0</v>
      </c>
    </row>
    <row r="2442">
      <c r="A2442" s="40">
        <f t="array" ref="A2442">IFNA(index(PlayerValues!A:A,match(IFNA(vlookup(B2442,'Special Names'!A:B,2,FALSE),B2442),PlayerValues!E:E,0)),"N/A")</f>
        <v>14799</v>
      </c>
      <c r="B2442" s="4" t="s">
        <v>829</v>
      </c>
      <c r="C2442" s="4" t="s">
        <v>278</v>
      </c>
      <c r="D2442" s="94">
        <v>982.0</v>
      </c>
    </row>
    <row r="2443">
      <c r="A2443" s="40">
        <f t="array" ref="A2443">IFNA(index(PlayerValues!A:A,match(IFNA(vlookup(B2443,'Special Names'!A:B,2,FALSE),B2443),PlayerValues!E:E,0)),"N/A")</f>
        <v>14864</v>
      </c>
      <c r="B2443" s="4" t="s">
        <v>789</v>
      </c>
      <c r="C2443" s="4" t="s">
        <v>287</v>
      </c>
      <c r="D2443" s="94">
        <v>970.0</v>
      </c>
    </row>
    <row r="2444">
      <c r="A2444" s="40">
        <f t="array" ref="A2444">IFNA(index(PlayerValues!A:A,match(IFNA(vlookup(B2444,'Special Names'!A:B,2,FALSE),B2444),PlayerValues!E:E,0)),"N/A")</f>
        <v>16176</v>
      </c>
      <c r="B2444" s="4" t="s">
        <v>812</v>
      </c>
      <c r="C2444" s="4" t="s">
        <v>278</v>
      </c>
      <c r="D2444" s="94">
        <v>970.0</v>
      </c>
    </row>
    <row r="2445">
      <c r="A2445" s="40">
        <f t="array" ref="A2445">IFNA(index(PlayerValues!A:A,match(IFNA(vlookup(B2445,'Special Names'!A:B,2,FALSE),B2445),PlayerValues!E:E,0)),"N/A")</f>
        <v>15263</v>
      </c>
      <c r="B2445" s="4" t="s">
        <v>804</v>
      </c>
      <c r="C2445" s="4" t="s">
        <v>278</v>
      </c>
      <c r="D2445" s="94">
        <v>966.0</v>
      </c>
    </row>
    <row r="2446">
      <c r="A2446" s="40">
        <f t="array" ref="A2446">IFNA(index(PlayerValues!A:A,match(IFNA(vlookup(B2446,'Special Names'!A:B,2,FALSE),B2446),PlayerValues!E:E,0)),"N/A")</f>
        <v>17510</v>
      </c>
      <c r="B2446" s="4" t="s">
        <v>661</v>
      </c>
      <c r="C2446" s="4" t="s">
        <v>287</v>
      </c>
      <c r="D2446" s="94">
        <v>963.0</v>
      </c>
    </row>
    <row r="2447">
      <c r="A2447" s="40">
        <f t="array" ref="A2447">IFNA(index(PlayerValues!A:A,match(IFNA(vlookup(B2447,'Special Names'!A:B,2,FALSE),B2447),PlayerValues!E:E,0)),"N/A")</f>
        <v>16205</v>
      </c>
      <c r="B2447" s="4" t="s">
        <v>742</v>
      </c>
      <c r="C2447" s="4" t="s">
        <v>287</v>
      </c>
      <c r="D2447" s="94">
        <v>953.0</v>
      </c>
    </row>
    <row r="2448">
      <c r="A2448" s="40">
        <f t="array" ref="A2448">IFNA(index(PlayerValues!A:A,match(IFNA(vlookup(B2448,'Special Names'!A:B,2,FALSE),B2448),PlayerValues!E:E,0)),"N/A")</f>
        <v>16773</v>
      </c>
      <c r="B2448" s="4" t="s">
        <v>783</v>
      </c>
      <c r="C2448" s="4" t="s">
        <v>278</v>
      </c>
      <c r="D2448" s="94">
        <v>952.0</v>
      </c>
    </row>
    <row r="2449">
      <c r="A2449" s="40">
        <f t="array" ref="A2449">IFNA(index(PlayerValues!A:A,match(IFNA(vlookup(B2449,'Special Names'!A:B,2,FALSE),B2449),PlayerValues!E:E,0)),"N/A")</f>
        <v>17504</v>
      </c>
      <c r="B2449" s="4" t="s">
        <v>693</v>
      </c>
      <c r="C2449" s="4" t="s">
        <v>287</v>
      </c>
      <c r="D2449" s="94">
        <v>946.0</v>
      </c>
    </row>
    <row r="2450">
      <c r="A2450" s="40">
        <f t="array" ref="A2450">IFNA(index(PlayerValues!A:A,match(IFNA(vlookup(B2450,'Special Names'!A:B,2,FALSE),B2450),PlayerValues!E:E,0)),"N/A")</f>
        <v>17545</v>
      </c>
      <c r="B2450" s="4" t="s">
        <v>719</v>
      </c>
      <c r="C2450" s="4" t="s">
        <v>298</v>
      </c>
      <c r="D2450" s="94">
        <v>1314.0</v>
      </c>
    </row>
    <row r="2451">
      <c r="A2451" s="40">
        <f t="array" ref="A2451">IFNA(index(PlayerValues!A:A,match(IFNA(vlookup(B2451,'Special Names'!A:B,2,FALSE),B2451),PlayerValues!E:E,0)),"N/A")</f>
        <v>16416</v>
      </c>
      <c r="B2451" s="4" t="s">
        <v>752</v>
      </c>
      <c r="C2451" s="4" t="s">
        <v>287</v>
      </c>
      <c r="D2451" s="94">
        <v>943.0</v>
      </c>
    </row>
    <row r="2452">
      <c r="A2452" s="40">
        <f t="array" ref="A2452">IFNA(index(PlayerValues!A:A,match(IFNA(vlookup(B2452,'Special Names'!A:B,2,FALSE),B2452),PlayerValues!E:E,0)),"N/A")</f>
        <v>16599</v>
      </c>
      <c r="B2452" s="4" t="s">
        <v>737</v>
      </c>
      <c r="C2452" s="4" t="s">
        <v>278</v>
      </c>
      <c r="D2452" s="94">
        <v>942.0</v>
      </c>
    </row>
    <row r="2453">
      <c r="A2453" s="40">
        <f t="array" ref="A2453">IFNA(index(PlayerValues!A:A,match(IFNA(vlookup(B2453,'Special Names'!A:B,2,FALSE),B2453),PlayerValues!E:E,0)),"N/A")</f>
        <v>16624</v>
      </c>
      <c r="B2453" s="4" t="s">
        <v>796</v>
      </c>
      <c r="C2453" s="4" t="s">
        <v>287</v>
      </c>
      <c r="D2453" s="94">
        <v>942.0</v>
      </c>
    </row>
    <row r="2454">
      <c r="A2454" s="40">
        <f t="array" ref="A2454">IFNA(index(PlayerValues!A:A,match(IFNA(vlookup(B2454,'Special Names'!A:B,2,FALSE),B2454),PlayerValues!E:E,0)),"N/A")</f>
        <v>13595</v>
      </c>
      <c r="B2454" s="4" t="s">
        <v>818</v>
      </c>
      <c r="C2454" s="4" t="s">
        <v>283</v>
      </c>
      <c r="D2454" s="94">
        <v>938.0</v>
      </c>
    </row>
    <row r="2455">
      <c r="A2455" s="40">
        <f t="array" ref="A2455">IFNA(index(PlayerValues!A:A,match(IFNA(vlookup(B2455,'Special Names'!A:B,2,FALSE),B2455),PlayerValues!E:E,0)),"N/A")</f>
        <v>15723</v>
      </c>
      <c r="B2455" s="4" t="s">
        <v>798</v>
      </c>
      <c r="C2455" s="4" t="s">
        <v>278</v>
      </c>
      <c r="D2455" s="94">
        <v>930.0</v>
      </c>
    </row>
    <row r="2456">
      <c r="A2456" s="40">
        <f t="array" ref="A2456">IFNA(index(PlayerValues!A:A,match(IFNA(vlookup(B2456,'Special Names'!A:B,2,FALSE),B2456),PlayerValues!E:E,0)),"N/A")</f>
        <v>15109</v>
      </c>
      <c r="B2456" s="4" t="s">
        <v>728</v>
      </c>
      <c r="C2456" s="4" t="s">
        <v>287</v>
      </c>
      <c r="D2456" s="94">
        <v>928.0</v>
      </c>
    </row>
    <row r="2457">
      <c r="A2457" s="40">
        <f t="array" ref="A2457">IFNA(index(PlayerValues!A:A,match(IFNA(vlookup(B2457,'Special Names'!A:B,2,FALSE),B2457),PlayerValues!E:E,0)),"N/A")</f>
        <v>13133</v>
      </c>
      <c r="B2457" s="4" t="s">
        <v>764</v>
      </c>
      <c r="C2457" s="4" t="s">
        <v>278</v>
      </c>
      <c r="D2457" s="94">
        <v>923.0</v>
      </c>
    </row>
    <row r="2458">
      <c r="A2458" s="40">
        <f t="array" ref="A2458">IFNA(index(PlayerValues!A:A,match(IFNA(vlookup(B2458,'Special Names'!A:B,2,FALSE),B2458),PlayerValues!E:E,0)),"N/A")</f>
        <v>13610</v>
      </c>
      <c r="B2458" s="4" t="s">
        <v>825</v>
      </c>
      <c r="C2458" s="4" t="s">
        <v>278</v>
      </c>
      <c r="D2458" s="94">
        <v>914.0</v>
      </c>
    </row>
    <row r="2459">
      <c r="A2459" s="40">
        <f t="array" ref="A2459">IFNA(index(PlayerValues!A:A,match(IFNA(vlookup(B2459,'Special Names'!A:B,2,FALSE),B2459),PlayerValues!E:E,0)),"N/A")</f>
        <v>12785</v>
      </c>
      <c r="B2459" s="4" t="s">
        <v>772</v>
      </c>
      <c r="C2459" s="4" t="s">
        <v>287</v>
      </c>
      <c r="D2459" s="94">
        <v>907.0</v>
      </c>
    </row>
    <row r="2460">
      <c r="A2460" s="40">
        <f t="array" ref="A2460">IFNA(index(PlayerValues!A:A,match(IFNA(vlookup(B2460,'Special Names'!A:B,2,FALSE),B2460),PlayerValues!E:E,0)),"N/A")</f>
        <v>16751</v>
      </c>
      <c r="B2460" s="4" t="s">
        <v>762</v>
      </c>
      <c r="C2460" s="4" t="s">
        <v>287</v>
      </c>
      <c r="D2460" s="94">
        <v>905.0</v>
      </c>
    </row>
    <row r="2461">
      <c r="A2461" s="40">
        <f t="array" ref="A2461">IFNA(index(PlayerValues!A:A,match(IFNA(vlookup(B2461,'Special Names'!A:B,2,FALSE),B2461),PlayerValues!E:E,0)),"N/A")</f>
        <v>16957</v>
      </c>
      <c r="B2461" s="4" t="s">
        <v>806</v>
      </c>
      <c r="C2461" s="4" t="s">
        <v>278</v>
      </c>
      <c r="D2461" s="94">
        <v>904.0</v>
      </c>
    </row>
    <row r="2462">
      <c r="A2462" s="40">
        <f t="array" ref="A2462">IFNA(index(PlayerValues!A:A,match(IFNA(vlookup(B2462,'Special Names'!A:B,2,FALSE),B2462),PlayerValues!E:E,0)),"N/A")</f>
        <v>14079</v>
      </c>
      <c r="B2462" s="4" t="s">
        <v>830</v>
      </c>
      <c r="C2462" s="4" t="s">
        <v>278</v>
      </c>
      <c r="D2462" s="94">
        <v>889.0</v>
      </c>
    </row>
    <row r="2463">
      <c r="A2463" s="40">
        <f t="array" ref="A2463">IFNA(index(PlayerValues!A:A,match(IFNA(vlookup(B2463,'Special Names'!A:B,2,FALSE),B2463),PlayerValues!E:E,0)),"N/A")</f>
        <v>13143</v>
      </c>
      <c r="B2463" s="4" t="s">
        <v>786</v>
      </c>
      <c r="C2463" s="4" t="s">
        <v>278</v>
      </c>
      <c r="D2463" s="94">
        <v>889.0</v>
      </c>
    </row>
    <row r="2464">
      <c r="A2464" s="40">
        <f t="array" ref="A2464">IFNA(index(PlayerValues!A:A,match(IFNA(vlookup(B2464,'Special Names'!A:B,2,FALSE),B2464),PlayerValues!E:E,0)),"N/A")</f>
        <v>15796</v>
      </c>
      <c r="B2464" s="4" t="s">
        <v>794</v>
      </c>
      <c r="C2464" s="4" t="s">
        <v>298</v>
      </c>
      <c r="D2464" s="94">
        <v>1256.0</v>
      </c>
    </row>
    <row r="2465">
      <c r="A2465" s="40">
        <f t="array" ref="A2465">IFNA(index(PlayerValues!A:A,match(IFNA(vlookup(B2465,'Special Names'!A:B,2,FALSE),B2465),PlayerValues!E:E,0)),"N/A")</f>
        <v>16606</v>
      </c>
      <c r="B2465" s="4" t="s">
        <v>743</v>
      </c>
      <c r="C2465" s="4" t="s">
        <v>278</v>
      </c>
      <c r="D2465" s="94">
        <v>883.0</v>
      </c>
    </row>
    <row r="2466">
      <c r="A2466" s="40">
        <f t="array" ref="A2466">IFNA(index(PlayerValues!A:A,match(IFNA(vlookup(B2466,'Special Names'!A:B,2,FALSE),B2466),PlayerValues!E:E,0)),"N/A")</f>
        <v>13113</v>
      </c>
      <c r="B2466" s="4" t="s">
        <v>606</v>
      </c>
      <c r="C2466" s="4" t="s">
        <v>283</v>
      </c>
      <c r="D2466" s="94">
        <v>873.0</v>
      </c>
    </row>
    <row r="2467">
      <c r="A2467" s="40">
        <f t="array" ref="A2467">IFNA(index(PlayerValues!A:A,match(IFNA(vlookup(B2467,'Special Names'!A:B,2,FALSE),B2467),PlayerValues!E:E,0)),"N/A")</f>
        <v>11232</v>
      </c>
      <c r="B2467" s="4" t="s">
        <v>826</v>
      </c>
      <c r="C2467" s="4" t="s">
        <v>287</v>
      </c>
      <c r="D2467" s="94">
        <v>870.0</v>
      </c>
    </row>
    <row r="2468">
      <c r="A2468" s="40">
        <f t="array" ref="A2468">IFNA(index(PlayerValues!A:A,match(IFNA(vlookup(B2468,'Special Names'!A:B,2,FALSE),B2468),PlayerValues!E:E,0)),"N/A")</f>
        <v>17337</v>
      </c>
      <c r="B2468" s="4" t="s">
        <v>793</v>
      </c>
      <c r="C2468" s="4" t="s">
        <v>278</v>
      </c>
      <c r="D2468" s="94">
        <v>869.0</v>
      </c>
    </row>
    <row r="2469">
      <c r="A2469" s="40">
        <f t="array" ref="A2469">IFNA(index(PlayerValues!A:A,match(IFNA(vlookup(B2469,'Special Names'!A:B,2,FALSE),B2469),PlayerValues!E:E,0)),"N/A")</f>
        <v>14358</v>
      </c>
      <c r="B2469" s="4" t="s">
        <v>813</v>
      </c>
      <c r="C2469" s="4" t="s">
        <v>283</v>
      </c>
      <c r="D2469" s="94">
        <v>857.0</v>
      </c>
    </row>
    <row r="2470">
      <c r="A2470" s="40">
        <f t="array" ref="A2470">IFNA(index(PlayerValues!A:A,match(IFNA(vlookup(B2470,'Special Names'!A:B,2,FALSE),B2470),PlayerValues!E:E,0)),"N/A")</f>
        <v>15804</v>
      </c>
      <c r="B2470" s="4" t="s">
        <v>821</v>
      </c>
      <c r="C2470" s="4" t="s">
        <v>298</v>
      </c>
      <c r="D2470" s="94">
        <v>1226.0</v>
      </c>
    </row>
    <row r="2471">
      <c r="A2471" s="40">
        <f t="array" ref="A2471">IFNA(index(PlayerValues!A:A,match(IFNA(vlookup(B2471,'Special Names'!A:B,2,FALSE),B2471),PlayerValues!E:E,0)),"N/A")</f>
        <v>15271</v>
      </c>
      <c r="B2471" s="4" t="s">
        <v>741</v>
      </c>
      <c r="C2471" s="4" t="s">
        <v>278</v>
      </c>
      <c r="D2471" s="94">
        <v>844.0</v>
      </c>
    </row>
    <row r="2472">
      <c r="A2472" s="40">
        <f t="array" ref="A2472">IFNA(index(PlayerValues!A:A,match(IFNA(vlookup(B2472,'Special Names'!A:B,2,FALSE),B2472),PlayerValues!E:E,0)),"N/A")</f>
        <v>14223</v>
      </c>
      <c r="B2472" s="4" t="s">
        <v>785</v>
      </c>
      <c r="C2472" s="4" t="s">
        <v>278</v>
      </c>
      <c r="D2472" s="94">
        <v>837.0</v>
      </c>
    </row>
    <row r="2473">
      <c r="A2473" s="40">
        <f t="array" ref="A2473">IFNA(index(PlayerValues!A:A,match(IFNA(vlookup(B2473,'Special Names'!A:B,2,FALSE),B2473),PlayerValues!E:E,0)),"N/A")</f>
        <v>16623</v>
      </c>
      <c r="B2473" s="4" t="s">
        <v>803</v>
      </c>
      <c r="C2473" s="4" t="s">
        <v>287</v>
      </c>
      <c r="D2473" s="94">
        <v>830.0</v>
      </c>
    </row>
    <row r="2474">
      <c r="A2474" s="40">
        <f t="array" ref="A2474">IFNA(index(PlayerValues!A:A,match(IFNA(vlookup(B2474,'Special Names'!A:B,2,FALSE),B2474),PlayerValues!E:E,0)),"N/A")</f>
        <v>13156</v>
      </c>
      <c r="B2474" s="4" t="s">
        <v>835</v>
      </c>
      <c r="C2474" s="4" t="s">
        <v>287</v>
      </c>
      <c r="D2474" s="94">
        <v>827.0</v>
      </c>
    </row>
    <row r="2475">
      <c r="A2475" s="40">
        <f t="array" ref="A2475">IFNA(index(PlayerValues!A:A,match(IFNA(vlookup(B2475,'Special Names'!A:B,2,FALSE),B2475),PlayerValues!E:E,0)),"N/A")</f>
        <v>16170</v>
      </c>
      <c r="B2475" s="4" t="s">
        <v>801</v>
      </c>
      <c r="C2475" s="4" t="s">
        <v>278</v>
      </c>
      <c r="D2475" s="94">
        <v>817.0</v>
      </c>
    </row>
    <row r="2476">
      <c r="A2476" s="40">
        <f t="array" ref="A2476">IFNA(index(PlayerValues!A:A,match(IFNA(vlookup(B2476,'Special Names'!A:B,2,FALSE),B2476),PlayerValues!E:E,0)),"N/A")</f>
        <v>16625</v>
      </c>
      <c r="B2476" s="4" t="s">
        <v>778</v>
      </c>
      <c r="C2476" s="4" t="s">
        <v>287</v>
      </c>
      <c r="D2476" s="94">
        <v>814.0</v>
      </c>
    </row>
    <row r="2477">
      <c r="A2477" s="40">
        <f t="array" ref="A2477">IFNA(index(PlayerValues!A:A,match(IFNA(vlookup(B2477,'Special Names'!A:B,2,FALSE),B2477),PlayerValues!E:E,0)),"N/A")</f>
        <v>16686</v>
      </c>
      <c r="B2477" s="4" t="s">
        <v>805</v>
      </c>
      <c r="C2477" s="4" t="s">
        <v>287</v>
      </c>
      <c r="D2477" s="94">
        <v>807.0</v>
      </c>
    </row>
    <row r="2478">
      <c r="A2478" s="40">
        <f t="array" ref="A2478">IFNA(index(PlayerValues!A:A,match(IFNA(vlookup(B2478,'Special Names'!A:B,2,FALSE),B2478),PlayerValues!E:E,0)),"N/A")</f>
        <v>14805</v>
      </c>
      <c r="B2478" s="4" t="s">
        <v>770</v>
      </c>
      <c r="C2478" s="4" t="s">
        <v>278</v>
      </c>
      <c r="D2478" s="94">
        <v>806.0</v>
      </c>
    </row>
    <row r="2479">
      <c r="A2479" s="40">
        <f t="array" ref="A2479">IFNA(index(PlayerValues!A:A,match(IFNA(vlookup(B2479,'Special Names'!A:B,2,FALSE),B2479),PlayerValues!E:E,0)),"N/A")</f>
        <v>13157</v>
      </c>
      <c r="B2479" s="4" t="s">
        <v>836</v>
      </c>
      <c r="C2479" s="4" t="s">
        <v>287</v>
      </c>
      <c r="D2479" s="94">
        <v>776.0</v>
      </c>
    </row>
    <row r="2480">
      <c r="A2480" s="40">
        <f t="array" ref="A2480">IFNA(index(PlayerValues!A:A,match(IFNA(vlookup(B2480,'Special Names'!A:B,2,FALSE),B2480),PlayerValues!E:E,0)),"N/A")</f>
        <v>14852</v>
      </c>
      <c r="B2480" s="4" t="s">
        <v>837</v>
      </c>
      <c r="C2480" s="4" t="s">
        <v>278</v>
      </c>
      <c r="D2480" s="94">
        <v>775.0</v>
      </c>
    </row>
    <row r="2481">
      <c r="A2481" s="40">
        <f t="array" ref="A2481">IFNA(index(PlayerValues!A:A,match(IFNA(vlookup(B2481,'Special Names'!A:B,2,FALSE),B2481),PlayerValues!E:E,0)),"N/A")</f>
        <v>15285</v>
      </c>
      <c r="B2481" s="4" t="s">
        <v>792</v>
      </c>
      <c r="C2481" s="4" t="s">
        <v>287</v>
      </c>
      <c r="D2481" s="94">
        <v>755.0</v>
      </c>
    </row>
    <row r="2482">
      <c r="A2482" s="40">
        <f t="array" ref="A2482">IFNA(index(PlayerValues!A:A,match(IFNA(vlookup(B2482,'Special Names'!A:B,2,FALSE),B2482),PlayerValues!E:E,0)),"N/A")</f>
        <v>17038</v>
      </c>
      <c r="B2482" s="4" t="s">
        <v>774</v>
      </c>
      <c r="C2482" s="4" t="s">
        <v>283</v>
      </c>
      <c r="D2482" s="94">
        <v>755.0</v>
      </c>
    </row>
    <row r="2483">
      <c r="A2483" s="40">
        <f t="array" ref="A2483">IFNA(index(PlayerValues!A:A,match(IFNA(vlookup(B2483,'Special Names'!A:B,2,FALSE),B2483),PlayerValues!E:E,0)),"N/A")</f>
        <v>14858</v>
      </c>
      <c r="B2483" s="4" t="s">
        <v>799</v>
      </c>
      <c r="C2483" s="4" t="s">
        <v>287</v>
      </c>
      <c r="D2483" s="94">
        <v>749.0</v>
      </c>
    </row>
    <row r="2484">
      <c r="A2484" s="40">
        <f t="array" ref="A2484">IFNA(index(PlayerValues!A:A,match(IFNA(vlookup(B2484,'Special Names'!A:B,2,FALSE),B2484),PlayerValues!E:E,0)),"N/A")</f>
        <v>15965</v>
      </c>
      <c r="B2484" s="4" t="s">
        <v>791</v>
      </c>
      <c r="C2484" s="4" t="s">
        <v>278</v>
      </c>
      <c r="D2484" s="94">
        <v>748.0</v>
      </c>
    </row>
    <row r="2485">
      <c r="A2485" s="40">
        <f t="array" ref="A2485">IFNA(index(PlayerValues!A:A,match(IFNA(vlookup(B2485,'Special Names'!A:B,2,FALSE),B2485),PlayerValues!E:E,0)),"N/A")</f>
        <v>12610</v>
      </c>
      <c r="B2485" s="4" t="s">
        <v>838</v>
      </c>
      <c r="C2485" s="4" t="s">
        <v>283</v>
      </c>
      <c r="D2485" s="94">
        <v>744.0</v>
      </c>
    </row>
    <row r="2486">
      <c r="A2486" s="40">
        <f t="array" ref="A2486">IFNA(index(PlayerValues!A:A,match(IFNA(vlookup(B2486,'Special Names'!A:B,2,FALSE),B2486),PlayerValues!E:E,0)),"N/A")</f>
        <v>14113</v>
      </c>
      <c r="B2486" s="4" t="s">
        <v>788</v>
      </c>
      <c r="C2486" s="4" t="s">
        <v>287</v>
      </c>
      <c r="D2486" s="94">
        <v>742.0</v>
      </c>
    </row>
    <row r="2487">
      <c r="A2487" s="40">
        <f t="array" ref="A2487">IFNA(index(PlayerValues!A:A,match(IFNA(vlookup(B2487,'Special Names'!A:B,2,FALSE),B2487),PlayerValues!E:E,0)),"N/A")</f>
        <v>14209</v>
      </c>
      <c r="B2487" s="4" t="s">
        <v>809</v>
      </c>
      <c r="C2487" s="4" t="s">
        <v>298</v>
      </c>
      <c r="D2487" s="94">
        <v>1109.0</v>
      </c>
    </row>
    <row r="2488">
      <c r="A2488" s="40">
        <f t="array" ref="A2488">IFNA(index(PlayerValues!A:A,match(IFNA(vlookup(B2488,'Special Names'!A:B,2,FALSE),B2488),PlayerValues!E:E,0)),"N/A")</f>
        <v>13176</v>
      </c>
      <c r="B2488" s="4" t="s">
        <v>807</v>
      </c>
      <c r="C2488" s="4" t="s">
        <v>287</v>
      </c>
      <c r="D2488" s="94">
        <v>741.0</v>
      </c>
    </row>
    <row r="2489">
      <c r="A2489" s="40">
        <f t="array" ref="A2489">IFNA(index(PlayerValues!A:A,match(IFNA(vlookup(B2489,'Special Names'!A:B,2,FALSE),B2489),PlayerValues!E:E,0)),"N/A")</f>
        <v>15714</v>
      </c>
      <c r="B2489" s="4" t="s">
        <v>775</v>
      </c>
      <c r="C2489" s="4" t="s">
        <v>278</v>
      </c>
      <c r="D2489" s="94">
        <v>740.0</v>
      </c>
    </row>
    <row r="2490">
      <c r="A2490" s="40">
        <f t="array" ref="A2490">IFNA(index(PlayerValues!A:A,match(IFNA(vlookup(B2490,'Special Names'!A:B,2,FALSE),B2490),PlayerValues!E:E,0)),"N/A")</f>
        <v>13675</v>
      </c>
      <c r="B2490" s="4" t="s">
        <v>839</v>
      </c>
      <c r="C2490" s="4" t="s">
        <v>298</v>
      </c>
      <c r="D2490" s="94">
        <v>1106.0</v>
      </c>
    </row>
    <row r="2491">
      <c r="A2491" s="40">
        <f t="array" ref="A2491">IFNA(index(PlayerValues!A:A,match(IFNA(vlookup(B2491,'Special Names'!A:B,2,FALSE),B2491),PlayerValues!E:E,0)),"N/A")</f>
        <v>17541</v>
      </c>
      <c r="B2491" s="4" t="s">
        <v>616</v>
      </c>
      <c r="C2491" s="4" t="s">
        <v>287</v>
      </c>
      <c r="D2491" s="94">
        <v>722.0</v>
      </c>
    </row>
    <row r="2492">
      <c r="A2492" s="40">
        <f t="array" ref="A2492">IFNA(index(PlayerValues!A:A,match(IFNA(vlookup(B2492,'Special Names'!A:B,2,FALSE),B2492),PlayerValues!E:E,0)),"N/A")</f>
        <v>16413</v>
      </c>
      <c r="B2492" s="4" t="s">
        <v>781</v>
      </c>
      <c r="C2492" s="4" t="s">
        <v>287</v>
      </c>
      <c r="D2492" s="94">
        <v>716.0</v>
      </c>
    </row>
    <row r="2493">
      <c r="A2493" s="40">
        <f t="array" ref="A2493">IFNA(index(PlayerValues!A:A,match(IFNA(vlookup(B2493,'Special Names'!A:B,2,FALSE),B2493),PlayerValues!E:E,0)),"N/A")</f>
        <v>13172</v>
      </c>
      <c r="B2493" s="4" t="s">
        <v>840</v>
      </c>
      <c r="C2493" s="4" t="s">
        <v>287</v>
      </c>
      <c r="D2493" s="94">
        <v>712.0</v>
      </c>
    </row>
    <row r="2494">
      <c r="A2494" s="40">
        <f t="array" ref="A2494">IFNA(index(PlayerValues!A:A,match(IFNA(vlookup(B2494,'Special Names'!A:B,2,FALSE),B2494),PlayerValues!E:E,0)),"N/A")</f>
        <v>10413</v>
      </c>
      <c r="B2494" s="4" t="s">
        <v>811</v>
      </c>
      <c r="C2494" s="4" t="s">
        <v>283</v>
      </c>
      <c r="D2494" s="94">
        <v>705.0</v>
      </c>
    </row>
    <row r="2495">
      <c r="A2495" s="40">
        <f t="array" ref="A2495">IFNA(index(PlayerValues!A:A,match(IFNA(vlookup(B2495,'Special Names'!A:B,2,FALSE),B2495),PlayerValues!E:E,0)),"N/A")</f>
        <v>17232</v>
      </c>
      <c r="B2495" s="4" t="s">
        <v>784</v>
      </c>
      <c r="C2495" s="4" t="s">
        <v>287</v>
      </c>
      <c r="D2495" s="94">
        <v>700.0</v>
      </c>
    </row>
    <row r="2496">
      <c r="A2496" s="40">
        <f t="array" ref="A2496">IFNA(index(PlayerValues!A:A,match(IFNA(vlookup(B2496,'Special Names'!A:B,2,FALSE),B2496),PlayerValues!E:E,0)),"N/A")</f>
        <v>17470</v>
      </c>
      <c r="B2496" s="4" t="s">
        <v>841</v>
      </c>
      <c r="C2496" s="4" t="s">
        <v>283</v>
      </c>
      <c r="D2496" s="94">
        <v>699.0</v>
      </c>
    </row>
    <row r="2497">
      <c r="A2497" s="40">
        <f t="array" ref="A2497">IFNA(index(PlayerValues!A:A,match(IFNA(vlookup(B2497,'Special Names'!A:B,2,FALSE),B2497),PlayerValues!E:E,0)),"N/A")</f>
        <v>12658</v>
      </c>
      <c r="B2497" s="4" t="s">
        <v>823</v>
      </c>
      <c r="C2497" s="4" t="s">
        <v>287</v>
      </c>
      <c r="D2497" s="94">
        <v>690.0</v>
      </c>
    </row>
    <row r="2498">
      <c r="A2498" s="40">
        <f t="array" ref="A2498">IFNA(index(PlayerValues!A:A,match(IFNA(vlookup(B2498,'Special Names'!A:B,2,FALSE),B2498),PlayerValues!E:E,0)),"N/A")</f>
        <v>16632</v>
      </c>
      <c r="B2498" s="4" t="s">
        <v>842</v>
      </c>
      <c r="C2498" s="4" t="s">
        <v>287</v>
      </c>
      <c r="D2498" s="94">
        <v>690.0</v>
      </c>
    </row>
    <row r="2499">
      <c r="A2499" s="40">
        <f t="array" ref="A2499">IFNA(index(PlayerValues!A:A,match(IFNA(vlookup(B2499,'Special Names'!A:B,2,FALSE),B2499),PlayerValues!E:E,0)),"N/A")</f>
        <v>14870</v>
      </c>
      <c r="B2499" s="4" t="s">
        <v>843</v>
      </c>
      <c r="C2499" s="4" t="s">
        <v>298</v>
      </c>
      <c r="D2499" s="94">
        <v>1054.0</v>
      </c>
    </row>
    <row r="2500">
      <c r="A2500" s="40">
        <f t="array" ref="A2500">IFNA(index(PlayerValues!A:A,match(IFNA(vlookup(B2500,'Special Names'!A:B,2,FALSE),B2500),PlayerValues!E:E,0)),"N/A")</f>
        <v>17526</v>
      </c>
      <c r="B2500" s="4" t="s">
        <v>760</v>
      </c>
      <c r="C2500" s="4" t="s">
        <v>287</v>
      </c>
      <c r="D2500" s="94">
        <v>686.0</v>
      </c>
    </row>
    <row r="2501">
      <c r="A2501" s="40">
        <f t="array" ref="A2501">IFNA(index(PlayerValues!A:A,match(IFNA(vlookup(B2501,'Special Names'!A:B,2,FALSE),B2501),PlayerValues!E:E,0)),"N/A")</f>
        <v>13589</v>
      </c>
      <c r="B2501" s="4" t="s">
        <v>282</v>
      </c>
      <c r="C2501" s="4" t="s">
        <v>283</v>
      </c>
      <c r="D2501" s="94">
        <v>9987.0</v>
      </c>
    </row>
    <row r="2502">
      <c r="A2502" s="40">
        <f t="array" ref="A2502">IFNA(index(PlayerValues!A:A,match(IFNA(vlookup(B2502,'Special Names'!A:B,2,FALSE),B2502),PlayerValues!E:E,0)),"N/A")</f>
        <v>16161</v>
      </c>
      <c r="B2502" s="4" t="s">
        <v>277</v>
      </c>
      <c r="C2502" s="4" t="s">
        <v>278</v>
      </c>
      <c r="D2502" s="94">
        <v>9981.0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9837.0</v>
      </c>
    </row>
    <row r="2504">
      <c r="A2504" s="40">
        <f t="array" ref="A2504">IFNA(index(PlayerValues!A:A,match(IFNA(vlookup(B2504,'Special Names'!A:B,2,FALSE),B2504),PlayerValues!E:E,0)),"N/A")</f>
        <v>16185</v>
      </c>
      <c r="B2504" s="4" t="s">
        <v>290</v>
      </c>
      <c r="C2504" s="4" t="s">
        <v>287</v>
      </c>
      <c r="D2504" s="94">
        <v>9784.0</v>
      </c>
    </row>
    <row r="2505">
      <c r="A2505" s="40">
        <f t="array" ref="A2505">IFNA(index(PlayerValues!A:A,match(IFNA(vlookup(B2505,'Special Names'!A:B,2,FALSE),B2505),PlayerValues!E:E,0)),"N/A")</f>
        <v>16162</v>
      </c>
      <c r="B2505" s="4" t="s">
        <v>281</v>
      </c>
      <c r="C2505" s="4" t="s">
        <v>278</v>
      </c>
      <c r="D2505" s="94">
        <v>9645.0</v>
      </c>
    </row>
    <row r="2506">
      <c r="A2506" s="40">
        <f t="array" ref="A2506">IFNA(index(PlayerValues!A:A,match(IFNA(vlookup(B2506,'Special Names'!A:B,2,FALSE),B2506),PlayerValues!E:E,0)),"N/A")</f>
        <v>16580</v>
      </c>
      <c r="B2506" s="4" t="s">
        <v>291</v>
      </c>
      <c r="C2506" s="4" t="s">
        <v>283</v>
      </c>
      <c r="D2506" s="94">
        <v>9367.0</v>
      </c>
    </row>
    <row r="2507">
      <c r="A2507" s="40">
        <f t="array" ref="A2507">IFNA(index(PlayerValues!A:A,match(IFNA(vlookup(B2507,'Special Names'!A:B,2,FALSE),B2507),PlayerValues!E:E,0)),"N/A")</f>
        <v>16211</v>
      </c>
      <c r="B2507" s="4" t="s">
        <v>294</v>
      </c>
      <c r="C2507" s="4" t="s">
        <v>287</v>
      </c>
      <c r="D2507" s="94">
        <v>9253.0</v>
      </c>
    </row>
    <row r="2508">
      <c r="A2508" s="40">
        <f t="array" ref="A2508">IFNA(index(PlayerValues!A:A,match(IFNA(vlookup(B2508,'Special Names'!A:B,2,FALSE),B2508),PlayerValues!E:E,0)),"N/A")</f>
        <v>16579</v>
      </c>
      <c r="B2508" s="4" t="s">
        <v>302</v>
      </c>
      <c r="C2508" s="4" t="s">
        <v>283</v>
      </c>
      <c r="D2508" s="94">
        <v>7752.0</v>
      </c>
    </row>
    <row r="2509">
      <c r="A2509" s="40">
        <f t="array" ref="A2509">IFNA(index(PlayerValues!A:A,match(IFNA(vlookup(B2509,'Special Names'!A:B,2,FALSE),B2509),PlayerValues!E:E,0)),"N/A")</f>
        <v>16581</v>
      </c>
      <c r="B2509" s="4" t="s">
        <v>315</v>
      </c>
      <c r="C2509" s="4" t="s">
        <v>283</v>
      </c>
      <c r="D2509" s="94">
        <v>7751.0</v>
      </c>
    </row>
    <row r="2510">
      <c r="A2510" s="40">
        <f t="array" ref="A2510">IFNA(index(PlayerValues!A:A,match(IFNA(vlookup(B2510,'Special Names'!A:B,2,FALSE),B2510),PlayerValues!E:E,0)),"N/A")</f>
        <v>16641</v>
      </c>
      <c r="B2510" s="4" t="s">
        <v>297</v>
      </c>
      <c r="C2510" s="4" t="s">
        <v>298</v>
      </c>
      <c r="D2510" s="94">
        <v>8555.0</v>
      </c>
    </row>
    <row r="2511">
      <c r="A2511" s="40">
        <f t="array" ref="A2511">IFNA(index(PlayerValues!A:A,match(IFNA(vlookup(B2511,'Special Names'!A:B,2,FALSE),B2511),PlayerValues!E:E,0)),"N/A")</f>
        <v>15287</v>
      </c>
      <c r="B2511" s="4" t="s">
        <v>299</v>
      </c>
      <c r="C2511" s="4" t="s">
        <v>287</v>
      </c>
      <c r="D2511" s="94">
        <v>7713.0</v>
      </c>
    </row>
    <row r="2512">
      <c r="A2512" s="40">
        <f t="array" ref="A2512">IFNA(index(PlayerValues!A:A,match(IFNA(vlookup(B2512,'Special Names'!A:B,2,FALSE),B2512),PlayerValues!E:E,0)),"N/A")</f>
        <v>16615</v>
      </c>
      <c r="B2512" s="4" t="s">
        <v>309</v>
      </c>
      <c r="C2512" s="4" t="s">
        <v>287</v>
      </c>
      <c r="D2512" s="94">
        <v>7709.0</v>
      </c>
    </row>
    <row r="2513">
      <c r="A2513" s="40">
        <f t="array" ref="A2513">IFNA(index(PlayerValues!A:A,match(IFNA(vlookup(B2513,'Special Names'!A:B,2,FALSE),B2513),PlayerValues!E:E,0)),"N/A")</f>
        <v>13593</v>
      </c>
      <c r="B2513" s="4" t="s">
        <v>305</v>
      </c>
      <c r="C2513" s="4" t="s">
        <v>283</v>
      </c>
      <c r="D2513" s="94">
        <v>7682.0</v>
      </c>
    </row>
    <row r="2514">
      <c r="A2514" s="40">
        <f t="array" ref="A2514">IFNA(index(PlayerValues!A:A,match(IFNA(vlookup(B2514,'Special Names'!A:B,2,FALSE),B2514),PlayerValues!E:E,0)),"N/A")</f>
        <v>14836</v>
      </c>
      <c r="B2514" s="4" t="s">
        <v>306</v>
      </c>
      <c r="C2514" s="4" t="s">
        <v>287</v>
      </c>
      <c r="D2514" s="94">
        <v>7681.0</v>
      </c>
    </row>
    <row r="2515">
      <c r="A2515" s="40">
        <f t="array" ref="A2515">IFNA(index(PlayerValues!A:A,match(IFNA(vlookup(B2515,'Special Names'!A:B,2,FALSE),B2515),PlayerValues!E:E,0)),"N/A")</f>
        <v>15794</v>
      </c>
      <c r="B2515" s="4" t="s">
        <v>313</v>
      </c>
      <c r="C2515" s="4" t="s">
        <v>298</v>
      </c>
      <c r="D2515" s="94">
        <v>8420.0</v>
      </c>
    </row>
    <row r="2516">
      <c r="A2516" s="40">
        <f t="array" ref="A2516">IFNA(index(PlayerValues!A:A,match(IFNA(vlookup(B2516,'Special Names'!A:B,2,FALSE),B2516),PlayerValues!E:E,0)),"N/A")</f>
        <v>17042</v>
      </c>
      <c r="B2516" s="4" t="s">
        <v>314</v>
      </c>
      <c r="C2516" s="4" t="s">
        <v>278</v>
      </c>
      <c r="D2516" s="94">
        <v>7477.0</v>
      </c>
    </row>
    <row r="2517">
      <c r="A2517" s="40">
        <f t="array" ref="A2517">IFNA(index(PlayerValues!A:A,match(IFNA(vlookup(B2517,'Special Names'!A:B,2,FALSE),B2517),PlayerValues!E:E,0)),"N/A")</f>
        <v>17472</v>
      </c>
      <c r="B2517" s="4" t="s">
        <v>310</v>
      </c>
      <c r="C2517" s="4" t="s">
        <v>278</v>
      </c>
      <c r="D2517" s="94">
        <v>7416.0</v>
      </c>
    </row>
    <row r="2518">
      <c r="A2518" s="40">
        <f t="array" ref="A2518">IFNA(index(PlayerValues!A:A,match(IFNA(vlookup(B2518,'Special Names'!A:B,2,FALSE),B2518),PlayerValues!E:E,0)),"N/A")</f>
        <v>14777</v>
      </c>
      <c r="B2518" s="4" t="s">
        <v>318</v>
      </c>
      <c r="C2518" s="4" t="s">
        <v>283</v>
      </c>
      <c r="D2518" s="94">
        <v>7372.0</v>
      </c>
    </row>
    <row r="2519">
      <c r="A2519" s="40">
        <f t="array" ref="A2519">IFNA(index(PlayerValues!A:A,match(IFNA(vlookup(B2519,'Special Names'!A:B,2,FALSE),B2519),PlayerValues!E:E,0)),"N/A")</f>
        <v>14832</v>
      </c>
      <c r="B2519" s="4" t="s">
        <v>319</v>
      </c>
      <c r="C2519" s="4" t="s">
        <v>287</v>
      </c>
      <c r="D2519" s="94">
        <v>7324.0</v>
      </c>
    </row>
    <row r="2520">
      <c r="A2520" s="40">
        <f t="array" ref="A2520">IFNA(index(PlayerValues!A:A,match(IFNA(vlookup(B2520,'Special Names'!A:B,2,FALSE),B2520),PlayerValues!E:E,0)),"N/A")</f>
        <v>15751</v>
      </c>
      <c r="B2520" s="4" t="s">
        <v>328</v>
      </c>
      <c r="C2520" s="4" t="s">
        <v>287</v>
      </c>
      <c r="D2520" s="94">
        <v>6947.0</v>
      </c>
    </row>
    <row r="2521">
      <c r="A2521" s="40">
        <f t="array" ref="A2521">IFNA(index(PlayerValues!A:A,match(IFNA(vlookup(B2521,'Special Names'!A:B,2,FALSE),B2521),PlayerValues!E:E,0)),"N/A")</f>
        <v>14779</v>
      </c>
      <c r="B2521" s="4" t="s">
        <v>327</v>
      </c>
      <c r="C2521" s="4" t="s">
        <v>283</v>
      </c>
      <c r="D2521" s="94">
        <v>6921.0</v>
      </c>
    </row>
    <row r="2522">
      <c r="A2522" s="40" t="str">
        <f t="array" ref="A2522">IFNA(index(PlayerValues!A:A,match(IFNA(vlookup(B2522,'Special Names'!A:B,2,FALSE),B2522),PlayerValues!E:E,0)),"N/A")</f>
        <v>N/A</v>
      </c>
      <c r="B2522" s="4" t="s">
        <v>92</v>
      </c>
      <c r="C2522" s="4" t="s">
        <v>325</v>
      </c>
      <c r="D2522" s="94">
        <v>6850.0</v>
      </c>
    </row>
    <row r="2523">
      <c r="A2523" s="40">
        <f t="array" ref="A2523">IFNA(index(PlayerValues!A:A,match(IFNA(vlookup(B2523,'Special Names'!A:B,2,FALSE),B2523),PlayerValues!E:E,0)),"N/A")</f>
        <v>16167</v>
      </c>
      <c r="B2523" s="4" t="s">
        <v>323</v>
      </c>
      <c r="C2523" s="4" t="s">
        <v>278</v>
      </c>
      <c r="D2523" s="94">
        <v>6838.0</v>
      </c>
    </row>
    <row r="2524">
      <c r="A2524" s="40">
        <f t="array" ref="A2524">IFNA(index(PlayerValues!A:A,match(IFNA(vlookup(B2524,'Special Names'!A:B,2,FALSE),B2524),PlayerValues!E:E,0)),"N/A")</f>
        <v>13116</v>
      </c>
      <c r="B2524" s="4" t="s">
        <v>345</v>
      </c>
      <c r="C2524" s="4" t="s">
        <v>283</v>
      </c>
      <c r="D2524" s="94">
        <v>6801.0</v>
      </c>
    </row>
    <row r="2525">
      <c r="A2525" s="40">
        <f t="array" ref="A2525">IFNA(index(PlayerValues!A:A,match(IFNA(vlookup(B2525,'Special Names'!A:B,2,FALSE),B2525),PlayerValues!E:E,0)),"N/A")</f>
        <v>17044</v>
      </c>
      <c r="B2525" s="4" t="s">
        <v>322</v>
      </c>
      <c r="C2525" s="4" t="s">
        <v>278</v>
      </c>
      <c r="D2525" s="94">
        <v>6763.0</v>
      </c>
    </row>
    <row r="2526">
      <c r="A2526" s="40">
        <f t="array" ref="A2526">IFNA(index(PlayerValues!A:A,match(IFNA(vlookup(B2526,'Special Names'!A:B,2,FALSE),B2526),PlayerValues!E:E,0)),"N/A")</f>
        <v>17032</v>
      </c>
      <c r="B2526" s="4" t="s">
        <v>348</v>
      </c>
      <c r="C2526" s="4" t="s">
        <v>283</v>
      </c>
      <c r="D2526" s="94">
        <v>6653.0</v>
      </c>
    </row>
    <row r="2527">
      <c r="A2527" s="40">
        <f t="array" ref="A2527">IFNA(index(PlayerValues!A:A,match(IFNA(vlookup(B2527,'Special Names'!A:B,2,FALSE),B2527),PlayerValues!E:E,0)),"N/A")</f>
        <v>17071</v>
      </c>
      <c r="B2527" s="4" t="s">
        <v>341</v>
      </c>
      <c r="C2527" s="4" t="s">
        <v>287</v>
      </c>
      <c r="D2527" s="94">
        <v>6645.0</v>
      </c>
    </row>
    <row r="2528">
      <c r="A2528" s="40">
        <f t="array" ref="A2528">IFNA(index(PlayerValues!A:A,match(IFNA(vlookup(B2528,'Special Names'!A:B,2,FALSE),B2528),PlayerValues!E:E,0)),"N/A")</f>
        <v>14783</v>
      </c>
      <c r="B2528" s="4" t="s">
        <v>342</v>
      </c>
      <c r="C2528" s="4" t="s">
        <v>283</v>
      </c>
      <c r="D2528" s="94">
        <v>6334.0</v>
      </c>
    </row>
    <row r="2529">
      <c r="A2529" s="40">
        <f t="array" ref="A2529">IFNA(index(PlayerValues!A:A,match(IFNA(vlookup(B2529,'Special Names'!A:B,2,FALSE),B2529),PlayerValues!E:E,0)),"N/A")</f>
        <v>15237</v>
      </c>
      <c r="B2529" s="4" t="s">
        <v>336</v>
      </c>
      <c r="C2529" s="4" t="s">
        <v>283</v>
      </c>
      <c r="D2529" s="94">
        <v>6284.0</v>
      </c>
    </row>
    <row r="2530">
      <c r="A2530" s="40">
        <f t="array" ref="A2530">IFNA(index(PlayerValues!A:A,match(IFNA(vlookup(B2530,'Special Names'!A:B,2,FALSE),B2530),PlayerValues!E:E,0)),"N/A")</f>
        <v>16582</v>
      </c>
      <c r="B2530" s="4" t="s">
        <v>343</v>
      </c>
      <c r="C2530" s="4" t="s">
        <v>283</v>
      </c>
      <c r="D2530" s="94">
        <v>6254.0</v>
      </c>
    </row>
    <row r="2531">
      <c r="A2531" s="40">
        <f t="array" ref="A2531">IFNA(index(PlayerValues!A:A,match(IFNA(vlookup(B2531,'Special Names'!A:B,2,FALSE),B2531),PlayerValues!E:E,0)),"N/A")</f>
        <v>15762</v>
      </c>
      <c r="B2531" s="4" t="s">
        <v>337</v>
      </c>
      <c r="C2531" s="4" t="s">
        <v>287</v>
      </c>
      <c r="D2531" s="94">
        <v>6067.0</v>
      </c>
    </row>
    <row r="2532">
      <c r="A2532" s="40">
        <f t="array" ref="A2532">IFNA(index(PlayerValues!A:A,match(IFNA(vlookup(B2532,'Special Names'!A:B,2,FALSE),B2532),PlayerValues!E:E,0)),"N/A")</f>
        <v>17081</v>
      </c>
      <c r="B2532" s="4" t="s">
        <v>340</v>
      </c>
      <c r="C2532" s="4" t="s">
        <v>287</v>
      </c>
      <c r="D2532" s="94">
        <v>5993.0</v>
      </c>
    </row>
    <row r="2533">
      <c r="A2533" s="40">
        <f t="array" ref="A2533">IFNA(index(PlayerValues!A:A,match(IFNA(vlookup(B2533,'Special Names'!A:B,2,FALSE),B2533),PlayerValues!E:E,0)),"N/A")</f>
        <v>17104</v>
      </c>
      <c r="B2533" s="4" t="s">
        <v>333</v>
      </c>
      <c r="C2533" s="4" t="s">
        <v>298</v>
      </c>
      <c r="D2533" s="94">
        <v>6658.0</v>
      </c>
    </row>
    <row r="2534">
      <c r="A2534" s="40">
        <f t="array" ref="A2534">IFNA(index(PlayerValues!A:A,match(IFNA(vlookup(B2534,'Special Names'!A:B,2,FALSE),B2534),PlayerValues!E:E,0)),"N/A")</f>
        <v>15715</v>
      </c>
      <c r="B2534" s="4" t="s">
        <v>331</v>
      </c>
      <c r="C2534" s="4" t="s">
        <v>278</v>
      </c>
      <c r="D2534" s="94">
        <v>5990.0</v>
      </c>
    </row>
    <row r="2535">
      <c r="A2535" s="40">
        <f t="array" ref="A2535">IFNA(index(PlayerValues!A:A,match(IFNA(vlookup(B2535,'Special Names'!A:B,2,FALSE),B2535),PlayerValues!E:E,0)),"N/A")</f>
        <v>14802</v>
      </c>
      <c r="B2535" s="4" t="s">
        <v>332</v>
      </c>
      <c r="C2535" s="4" t="s">
        <v>278</v>
      </c>
      <c r="D2535" s="94">
        <v>5987.0</v>
      </c>
    </row>
    <row r="2536">
      <c r="A2536" s="40">
        <f t="array" ref="A2536">IFNA(index(PlayerValues!A:A,match(IFNA(vlookup(B2536,'Special Names'!A:B,2,FALSE),B2536),PlayerValues!E:E,0)),"N/A")</f>
        <v>15698</v>
      </c>
      <c r="B2536" s="4" t="s">
        <v>358</v>
      </c>
      <c r="C2536" s="4" t="s">
        <v>283</v>
      </c>
      <c r="D2536" s="94">
        <v>5968.0</v>
      </c>
    </row>
    <row r="2537">
      <c r="A2537" s="40" t="str">
        <f t="array" ref="A2537">IFNA(index(PlayerValues!A:A,match(IFNA(vlookup(B2537,'Special Names'!A:B,2,FALSE),B2537),PlayerValues!E:E,0)),"N/A")</f>
        <v>N/A</v>
      </c>
      <c r="B2537" s="4" t="s">
        <v>79</v>
      </c>
      <c r="C2537" s="4" t="s">
        <v>325</v>
      </c>
      <c r="D2537" s="94">
        <v>5841.0</v>
      </c>
    </row>
    <row r="2538">
      <c r="A2538" s="40">
        <f t="array" ref="A2538">IFNA(index(PlayerValues!A:A,match(IFNA(vlookup(B2538,'Special Names'!A:B,2,FALSE),B2538),PlayerValues!E:E,0)),"N/A")</f>
        <v>15753</v>
      </c>
      <c r="B2538" s="4" t="s">
        <v>359</v>
      </c>
      <c r="C2538" s="4" t="s">
        <v>287</v>
      </c>
      <c r="D2538" s="94">
        <v>5774.0</v>
      </c>
    </row>
    <row r="2539">
      <c r="A2539" s="40">
        <f t="array" ref="A2539">IFNA(index(PlayerValues!A:A,match(IFNA(vlookup(B2539,'Special Names'!A:B,2,FALSE),B2539),PlayerValues!E:E,0)),"N/A")</f>
        <v>15290</v>
      </c>
      <c r="B2539" s="4" t="s">
        <v>355</v>
      </c>
      <c r="C2539" s="4" t="s">
        <v>287</v>
      </c>
      <c r="D2539" s="94">
        <v>5772.0</v>
      </c>
    </row>
    <row r="2540">
      <c r="A2540" s="40">
        <f t="array" ref="A2540">IFNA(index(PlayerValues!A:A,match(IFNA(vlookup(B2540,'Special Names'!A:B,2,FALSE),B2540),PlayerValues!E:E,0)),"N/A")</f>
        <v>15711</v>
      </c>
      <c r="B2540" s="4" t="s">
        <v>349</v>
      </c>
      <c r="C2540" s="4" t="s">
        <v>278</v>
      </c>
      <c r="D2540" s="94">
        <v>5764.0</v>
      </c>
    </row>
    <row r="2541">
      <c r="A2541" s="40">
        <f t="array" ref="A2541">IFNA(index(PlayerValues!A:A,match(IFNA(vlookup(B2541,'Special Names'!A:B,2,FALSE),B2541),PlayerValues!E:E,0)),"N/A")</f>
        <v>17102</v>
      </c>
      <c r="B2541" s="4" t="s">
        <v>344</v>
      </c>
      <c r="C2541" s="4" t="s">
        <v>298</v>
      </c>
      <c r="D2541" s="94">
        <v>6401.0</v>
      </c>
    </row>
    <row r="2542">
      <c r="A2542" s="40">
        <f t="array" ref="A2542">IFNA(index(PlayerValues!A:A,match(IFNA(vlookup(B2542,'Special Names'!A:B,2,FALSE),B2542),PlayerValues!E:E,0)),"N/A")</f>
        <v>14782</v>
      </c>
      <c r="B2542" s="4" t="s">
        <v>385</v>
      </c>
      <c r="C2542" s="4" t="s">
        <v>283</v>
      </c>
      <c r="D2542" s="94">
        <v>5698.0</v>
      </c>
    </row>
    <row r="2543">
      <c r="A2543" s="40">
        <f t="array" ref="A2543">IFNA(index(PlayerValues!A:A,match(IFNA(vlookup(B2543,'Special Names'!A:B,2,FALSE),B2543),PlayerValues!E:E,0)),"N/A")</f>
        <v>15754</v>
      </c>
      <c r="B2543" s="4" t="s">
        <v>354</v>
      </c>
      <c r="C2543" s="4" t="s">
        <v>287</v>
      </c>
      <c r="D2543" s="94">
        <v>5675.0</v>
      </c>
    </row>
    <row r="2544">
      <c r="A2544" s="40" t="str">
        <f t="array" ref="A2544">IFNA(index(PlayerValues!A:A,match(IFNA(vlookup(B2544,'Special Names'!A:B,2,FALSE),B2544),PlayerValues!E:E,0)),"N/A")</f>
        <v>N/A</v>
      </c>
      <c r="B2544" s="4" t="s">
        <v>93</v>
      </c>
      <c r="C2544" s="4" t="s">
        <v>325</v>
      </c>
      <c r="D2544" s="94">
        <v>5630.0</v>
      </c>
    </row>
    <row r="2545">
      <c r="A2545" s="40">
        <f t="array" ref="A2545">IFNA(index(PlayerValues!A:A,match(IFNA(vlookup(B2545,'Special Names'!A:B,2,FALSE),B2545),PlayerValues!E:E,0)),"N/A")</f>
        <v>17462</v>
      </c>
      <c r="B2545" s="4" t="s">
        <v>375</v>
      </c>
      <c r="C2545" s="4" t="s">
        <v>283</v>
      </c>
      <c r="D2545" s="94">
        <v>5595.0</v>
      </c>
    </row>
    <row r="2546">
      <c r="A2546" s="40">
        <f t="array" ref="A2546">IFNA(index(PlayerValues!A:A,match(IFNA(vlookup(B2546,'Special Names'!A:B,2,FALSE),B2546),PlayerValues!E:E,0)),"N/A")</f>
        <v>16616</v>
      </c>
      <c r="B2546" s="4" t="s">
        <v>389</v>
      </c>
      <c r="C2546" s="4" t="s">
        <v>287</v>
      </c>
      <c r="D2546" s="94">
        <v>5539.0</v>
      </c>
    </row>
    <row r="2547">
      <c r="A2547" s="40">
        <f t="array" ref="A2547">IFNA(index(PlayerValues!A:A,match(IFNA(vlookup(B2547,'Special Names'!A:B,2,FALSE),B2547),PlayerValues!E:E,0)),"N/A")</f>
        <v>17043</v>
      </c>
      <c r="B2547" s="4" t="s">
        <v>397</v>
      </c>
      <c r="C2547" s="4" t="s">
        <v>278</v>
      </c>
      <c r="D2547" s="94">
        <v>5474.0</v>
      </c>
    </row>
    <row r="2548">
      <c r="A2548" s="40">
        <f t="array" ref="A2548">IFNA(index(PlayerValues!A:A,match(IFNA(vlookup(B2548,'Special Names'!A:B,2,FALSE),B2548),PlayerValues!E:E,0)),"N/A")</f>
        <v>17051</v>
      </c>
      <c r="B2548" s="4" t="s">
        <v>386</v>
      </c>
      <c r="C2548" s="4" t="s">
        <v>278</v>
      </c>
      <c r="D2548" s="94">
        <v>5421.0</v>
      </c>
    </row>
    <row r="2549">
      <c r="A2549" s="40">
        <f t="array" ref="A2549">IFNA(index(PlayerValues!A:A,match(IFNA(vlookup(B2549,'Special Names'!A:B,2,FALSE),B2549),PlayerValues!E:E,0)),"N/A")</f>
        <v>16627</v>
      </c>
      <c r="B2549" s="4" t="s">
        <v>351</v>
      </c>
      <c r="C2549" s="4" t="s">
        <v>287</v>
      </c>
      <c r="D2549" s="94">
        <v>5399.0</v>
      </c>
    </row>
    <row r="2550">
      <c r="A2550" s="40">
        <f t="array" ref="A2550">IFNA(index(PlayerValues!A:A,match(IFNA(vlookup(B2550,'Special Names'!A:B,2,FALSE),B2550),PlayerValues!E:E,0)),"N/A")</f>
        <v>17070</v>
      </c>
      <c r="B2550" s="4" t="s">
        <v>370</v>
      </c>
      <c r="C2550" s="4" t="s">
        <v>287</v>
      </c>
      <c r="D2550" s="94">
        <v>5376.0</v>
      </c>
    </row>
    <row r="2551">
      <c r="A2551" s="40">
        <f t="array" ref="A2551">IFNA(index(PlayerValues!A:A,match(IFNA(vlookup(B2551,'Special Names'!A:B,2,FALSE),B2551),PlayerValues!E:E,0)),"N/A")</f>
        <v>15708</v>
      </c>
      <c r="B2551" s="4" t="s">
        <v>382</v>
      </c>
      <c r="C2551" s="4" t="s">
        <v>278</v>
      </c>
      <c r="D2551" s="94">
        <v>5354.0</v>
      </c>
    </row>
    <row r="2552">
      <c r="A2552" s="40">
        <f t="array" ref="A2552">IFNA(index(PlayerValues!A:A,match(IFNA(vlookup(B2552,'Special Names'!A:B,2,FALSE),B2552),PlayerValues!E:E,0)),"N/A")</f>
        <v>17497</v>
      </c>
      <c r="B2552" s="4" t="s">
        <v>365</v>
      </c>
      <c r="C2552" s="4" t="s">
        <v>287</v>
      </c>
      <c r="D2552" s="94">
        <v>5201.0</v>
      </c>
    </row>
    <row r="2553">
      <c r="A2553" s="40">
        <f t="array" ref="A2553">IFNA(index(PlayerValues!A:A,match(IFNA(vlookup(B2553,'Special Names'!A:B,2,FALSE),B2553),PlayerValues!E:E,0)),"N/A")</f>
        <v>17030</v>
      </c>
      <c r="B2553" s="4" t="s">
        <v>406</v>
      </c>
      <c r="C2553" s="4" t="s">
        <v>283</v>
      </c>
      <c r="D2553" s="94">
        <v>5147.0</v>
      </c>
    </row>
    <row r="2554">
      <c r="A2554" s="40">
        <f t="array" ref="A2554">IFNA(index(PlayerValues!A:A,match(IFNA(vlookup(B2554,'Special Names'!A:B,2,FALSE),B2554),PlayerValues!E:E,0)),"N/A")</f>
        <v>13130</v>
      </c>
      <c r="B2554" s="4" t="s">
        <v>374</v>
      </c>
      <c r="C2554" s="4" t="s">
        <v>278</v>
      </c>
      <c r="D2554" s="94">
        <v>5130.0</v>
      </c>
    </row>
    <row r="2555">
      <c r="A2555" s="40">
        <f t="array" ref="A2555">IFNA(index(PlayerValues!A:A,match(IFNA(vlookup(B2555,'Special Names'!A:B,2,FALSE),B2555),PlayerValues!E:E,0)),"N/A")</f>
        <v>17499</v>
      </c>
      <c r="B2555" s="4" t="s">
        <v>402</v>
      </c>
      <c r="C2555" s="4" t="s">
        <v>287</v>
      </c>
      <c r="D2555" s="94">
        <v>5100.0</v>
      </c>
    </row>
    <row r="2556">
      <c r="A2556" s="40">
        <f t="array" ref="A2556">IFNA(index(PlayerValues!A:A,match(IFNA(vlookup(B2556,'Special Names'!A:B,2,FALSE),B2556),PlayerValues!E:E,0)),"N/A")</f>
        <v>16598</v>
      </c>
      <c r="B2556" s="4" t="s">
        <v>408</v>
      </c>
      <c r="C2556" s="4" t="s">
        <v>278</v>
      </c>
      <c r="D2556" s="94">
        <v>5093.0</v>
      </c>
    </row>
    <row r="2557">
      <c r="A2557" s="40">
        <f t="array" ref="A2557">IFNA(index(PlayerValues!A:A,match(IFNA(vlookup(B2557,'Special Names'!A:B,2,FALSE),B2557),PlayerValues!E:E,0)),"N/A")</f>
        <v>12620</v>
      </c>
      <c r="B2557" s="4" t="s">
        <v>394</v>
      </c>
      <c r="C2557" s="4" t="s">
        <v>283</v>
      </c>
      <c r="D2557" s="94">
        <v>5061.0</v>
      </c>
    </row>
    <row r="2558">
      <c r="A2558" s="40">
        <f t="array" ref="A2558">IFNA(index(PlayerValues!A:A,match(IFNA(vlookup(B2558,'Special Names'!A:B,2,FALSE),B2558),PlayerValues!E:E,0)),"N/A")</f>
        <v>16614</v>
      </c>
      <c r="B2558" s="4" t="s">
        <v>403</v>
      </c>
      <c r="C2558" s="4" t="s">
        <v>287</v>
      </c>
      <c r="D2558" s="94">
        <v>4999.0</v>
      </c>
    </row>
    <row r="2559">
      <c r="A2559" s="40" t="str">
        <f t="array" ref="A2559">IFNA(index(PlayerValues!A:A,match(IFNA(vlookup(B2559,'Special Names'!A:B,2,FALSE),B2559),PlayerValues!E:E,0)),"N/A")</f>
        <v>N/A</v>
      </c>
      <c r="B2559" s="4" t="s">
        <v>104</v>
      </c>
      <c r="C2559" s="4" t="s">
        <v>325</v>
      </c>
      <c r="D2559" s="94">
        <v>4990.0</v>
      </c>
    </row>
    <row r="2560">
      <c r="A2560" s="40">
        <f t="array" ref="A2560">IFNA(index(PlayerValues!A:A,match(IFNA(vlookup(B2560,'Special Names'!A:B,2,FALSE),B2560),PlayerValues!E:E,0)),"N/A")</f>
        <v>16181</v>
      </c>
      <c r="B2560" s="4" t="s">
        <v>350</v>
      </c>
      <c r="C2560" s="4" t="s">
        <v>278</v>
      </c>
      <c r="D2560" s="94">
        <v>4962.0</v>
      </c>
    </row>
    <row r="2561">
      <c r="A2561" s="40">
        <f t="array" ref="A2561">IFNA(index(PlayerValues!A:A,match(IFNA(vlookup(B2561,'Special Names'!A:B,2,FALSE),B2561),PlayerValues!E:E,0)),"N/A")</f>
        <v>17103</v>
      </c>
      <c r="B2561" s="4" t="s">
        <v>405</v>
      </c>
      <c r="C2561" s="4" t="s">
        <v>298</v>
      </c>
      <c r="D2561" s="94">
        <v>5536.0</v>
      </c>
    </row>
    <row r="2562">
      <c r="A2562" s="40">
        <f t="array" ref="A2562">IFNA(index(PlayerValues!A:A,match(IFNA(vlookup(B2562,'Special Names'!A:B,2,FALSE),B2562),PlayerValues!E:E,0)),"N/A")</f>
        <v>16618</v>
      </c>
      <c r="B2562" s="4" t="s">
        <v>411</v>
      </c>
      <c r="C2562" s="4" t="s">
        <v>287</v>
      </c>
      <c r="D2562" s="94">
        <v>4929.0</v>
      </c>
    </row>
    <row r="2563">
      <c r="A2563" s="40">
        <f t="array" ref="A2563">IFNA(index(PlayerValues!A:A,match(IFNA(vlookup(B2563,'Special Names'!A:B,2,FALSE),B2563),PlayerValues!E:E,0)),"N/A")</f>
        <v>15282</v>
      </c>
      <c r="B2563" s="4" t="s">
        <v>364</v>
      </c>
      <c r="C2563" s="4" t="s">
        <v>287</v>
      </c>
      <c r="D2563" s="94">
        <v>4919.0</v>
      </c>
    </row>
    <row r="2564">
      <c r="A2564" s="40">
        <f t="array" ref="A2564">IFNA(index(PlayerValues!A:A,match(IFNA(vlookup(B2564,'Special Names'!A:B,2,FALSE),B2564),PlayerValues!E:E,0)),"N/A")</f>
        <v>14835</v>
      </c>
      <c r="B2564" s="4" t="s">
        <v>392</v>
      </c>
      <c r="C2564" s="4" t="s">
        <v>287</v>
      </c>
      <c r="D2564" s="94">
        <v>4917.0</v>
      </c>
    </row>
    <row r="2565">
      <c r="A2565" s="40">
        <f t="array" ref="A2565">IFNA(index(PlayerValues!A:A,match(IFNA(vlookup(B2565,'Special Names'!A:B,2,FALSE),B2565),PlayerValues!E:E,0)),"N/A")</f>
        <v>13604</v>
      </c>
      <c r="B2565" s="4" t="s">
        <v>378</v>
      </c>
      <c r="C2565" s="4" t="s">
        <v>278</v>
      </c>
      <c r="D2565" s="94">
        <v>4911.0</v>
      </c>
    </row>
    <row r="2566">
      <c r="A2566" s="40">
        <f t="array" ref="A2566">IFNA(index(PlayerValues!A:A,match(IFNA(vlookup(B2566,'Special Names'!A:B,2,FALSE),B2566),PlayerValues!E:E,0)),"N/A")</f>
        <v>15284</v>
      </c>
      <c r="B2566" s="4" t="s">
        <v>390</v>
      </c>
      <c r="C2566" s="4" t="s">
        <v>287</v>
      </c>
      <c r="D2566" s="94">
        <v>4867.0</v>
      </c>
    </row>
    <row r="2567">
      <c r="A2567" s="40">
        <f t="array" ref="A2567">IFNA(index(PlayerValues!A:A,match(IFNA(vlookup(B2567,'Special Names'!A:B,2,FALSE),B2567),PlayerValues!E:E,0)),"N/A")</f>
        <v>15710</v>
      </c>
      <c r="B2567" s="4" t="s">
        <v>395</v>
      </c>
      <c r="C2567" s="4" t="s">
        <v>278</v>
      </c>
      <c r="D2567" s="94">
        <v>4845.0</v>
      </c>
    </row>
    <row r="2568">
      <c r="A2568" s="40">
        <f t="array" ref="A2568">IFNA(index(PlayerValues!A:A,match(IFNA(vlookup(B2568,'Special Names'!A:B,2,FALSE),B2568),PlayerValues!E:E,0)),"N/A")</f>
        <v>17498</v>
      </c>
      <c r="B2568" s="4" t="s">
        <v>396</v>
      </c>
      <c r="C2568" s="4" t="s">
        <v>287</v>
      </c>
      <c r="D2568" s="94">
        <v>4811.0</v>
      </c>
    </row>
    <row r="2569">
      <c r="A2569" s="40">
        <f t="array" ref="A2569">IFNA(index(PlayerValues!A:A,match(IFNA(vlookup(B2569,'Special Names'!A:B,2,FALSE),B2569),PlayerValues!E:E,0)),"N/A")</f>
        <v>16194</v>
      </c>
      <c r="B2569" s="4" t="s">
        <v>398</v>
      </c>
      <c r="C2569" s="4" t="s">
        <v>287</v>
      </c>
      <c r="D2569" s="94">
        <v>4801.0</v>
      </c>
    </row>
    <row r="2570">
      <c r="A2570" s="40">
        <f t="array" ref="A2570">IFNA(index(PlayerValues!A:A,match(IFNA(vlookup(B2570,'Special Names'!A:B,2,FALSE),B2570),PlayerValues!E:E,0)),"N/A")</f>
        <v>16150</v>
      </c>
      <c r="B2570" s="4" t="s">
        <v>414</v>
      </c>
      <c r="C2570" s="4" t="s">
        <v>283</v>
      </c>
      <c r="D2570" s="94">
        <v>4794.0</v>
      </c>
    </row>
    <row r="2571">
      <c r="A2571" s="40">
        <f t="array" ref="A2571">IFNA(index(PlayerValues!A:A,match(IFNA(vlookup(B2571,'Special Names'!A:B,2,FALSE),B2571),PlayerValues!E:E,0)),"N/A")</f>
        <v>14104</v>
      </c>
      <c r="B2571" s="4" t="s">
        <v>379</v>
      </c>
      <c r="C2571" s="4" t="s">
        <v>287</v>
      </c>
      <c r="D2571" s="94">
        <v>4786.0</v>
      </c>
    </row>
    <row r="2572">
      <c r="A2572" s="40">
        <f t="array" ref="A2572">IFNA(index(PlayerValues!A:A,match(IFNA(vlookup(B2572,'Special Names'!A:B,2,FALSE),B2572),PlayerValues!E:E,0)),"N/A")</f>
        <v>16222</v>
      </c>
      <c r="B2572" s="4" t="s">
        <v>393</v>
      </c>
      <c r="C2572" s="4" t="s">
        <v>298</v>
      </c>
      <c r="D2572" s="94">
        <v>5348.0</v>
      </c>
    </row>
    <row r="2573">
      <c r="A2573" s="40" t="str">
        <f t="array" ref="A2573">IFNA(index(PlayerValues!A:A,match(IFNA(vlookup(B2573,'Special Names'!A:B,2,FALSE),B2573),PlayerValues!E:E,0)),"N/A")</f>
        <v>N/A</v>
      </c>
      <c r="B2573" s="4" t="s">
        <v>94</v>
      </c>
      <c r="C2573" s="4" t="s">
        <v>325</v>
      </c>
      <c r="D2573" s="94">
        <v>4784.0</v>
      </c>
    </row>
    <row r="2574">
      <c r="A2574" s="40">
        <f t="array" ref="A2574">IFNA(index(PlayerValues!A:A,match(IFNA(vlookup(B2574,'Special Names'!A:B,2,FALSE),B2574),PlayerValues!E:E,0)),"N/A")</f>
        <v>13590</v>
      </c>
      <c r="B2574" s="4" t="s">
        <v>409</v>
      </c>
      <c r="C2574" s="4" t="s">
        <v>283</v>
      </c>
      <c r="D2574" s="94">
        <v>4782.0</v>
      </c>
    </row>
    <row r="2575">
      <c r="A2575" s="40">
        <f t="array" ref="A2575">IFNA(index(PlayerValues!A:A,match(IFNA(vlookup(B2575,'Special Names'!A:B,2,FALSE),B2575),PlayerValues!E:E,0)),"N/A")</f>
        <v>15756</v>
      </c>
      <c r="B2575" s="4" t="s">
        <v>399</v>
      </c>
      <c r="C2575" s="4" t="s">
        <v>287</v>
      </c>
      <c r="D2575" s="94">
        <v>4773.0</v>
      </c>
    </row>
    <row r="2576">
      <c r="A2576" s="40">
        <f t="array" ref="A2576">IFNA(index(PlayerValues!A:A,match(IFNA(vlookup(B2576,'Special Names'!A:B,2,FALSE),B2576),PlayerValues!E:E,0)),"N/A")</f>
        <v>13592</v>
      </c>
      <c r="B2576" s="4" t="s">
        <v>418</v>
      </c>
      <c r="C2576" s="4" t="s">
        <v>283</v>
      </c>
      <c r="D2576" s="94">
        <v>4768.0</v>
      </c>
    </row>
    <row r="2577">
      <c r="A2577" s="40" t="str">
        <f t="array" ref="A2577">IFNA(index(PlayerValues!A:A,match(IFNA(vlookup(B2577,'Special Names'!A:B,2,FALSE),B2577),PlayerValues!E:E,0)),"N/A")</f>
        <v>N/A</v>
      </c>
      <c r="B2577" s="4" t="s">
        <v>80</v>
      </c>
      <c r="C2577" s="4" t="s">
        <v>325</v>
      </c>
      <c r="D2577" s="94">
        <v>4750.0</v>
      </c>
    </row>
    <row r="2578">
      <c r="A2578" s="40">
        <f t="array" ref="A2578">IFNA(index(PlayerValues!A:A,match(IFNA(vlookup(B2578,'Special Names'!A:B,2,FALSE),B2578),PlayerValues!E:E,0)),"N/A")</f>
        <v>16190</v>
      </c>
      <c r="B2578" s="4" t="s">
        <v>371</v>
      </c>
      <c r="C2578" s="4" t="s">
        <v>287</v>
      </c>
      <c r="D2578" s="94">
        <v>4698.0</v>
      </c>
    </row>
    <row r="2579">
      <c r="A2579" s="40">
        <f t="array" ref="A2579">IFNA(index(PlayerValues!A:A,match(IFNA(vlookup(B2579,'Special Names'!A:B,2,FALSE),B2579),PlayerValues!E:E,0)),"N/A")</f>
        <v>15253</v>
      </c>
      <c r="B2579" s="4" t="s">
        <v>415</v>
      </c>
      <c r="C2579" s="4" t="s">
        <v>278</v>
      </c>
      <c r="D2579" s="94">
        <v>4697.0</v>
      </c>
    </row>
    <row r="2580">
      <c r="A2580" s="40">
        <f t="array" ref="A2580">IFNA(index(PlayerValues!A:A,match(IFNA(vlookup(B2580,'Special Names'!A:B,2,FALSE),B2580),PlayerValues!E:E,0)),"N/A")</f>
        <v>12611</v>
      </c>
      <c r="B2580" s="4" t="s">
        <v>410</v>
      </c>
      <c r="C2580" s="4" t="s">
        <v>283</v>
      </c>
      <c r="D2580" s="94">
        <v>4676.0</v>
      </c>
    </row>
    <row r="2581">
      <c r="A2581" s="40">
        <f t="array" ref="A2581">IFNA(index(PlayerValues!A:A,match(IFNA(vlookup(B2581,'Special Names'!A:B,2,FALSE),B2581),PlayerValues!E:E,0)),"N/A")</f>
        <v>17039</v>
      </c>
      <c r="B2581" s="4" t="s">
        <v>400</v>
      </c>
      <c r="C2581" s="4" t="s">
        <v>283</v>
      </c>
      <c r="D2581" s="94">
        <v>4632.0</v>
      </c>
    </row>
    <row r="2582">
      <c r="A2582" s="40">
        <f t="array" ref="A2582">IFNA(index(PlayerValues!A:A,match(IFNA(vlookup(B2582,'Special Names'!A:B,2,FALSE),B2582),PlayerValues!E:E,0)),"N/A")</f>
        <v>14073</v>
      </c>
      <c r="B2582" s="4" t="s">
        <v>464</v>
      </c>
      <c r="C2582" s="4" t="s">
        <v>278</v>
      </c>
      <c r="D2582" s="94">
        <v>4594.0</v>
      </c>
    </row>
    <row r="2583">
      <c r="A2583" s="40">
        <f t="array" ref="A2583">IFNA(index(PlayerValues!A:A,match(IFNA(vlookup(B2583,'Special Names'!A:B,2,FALSE),B2583),PlayerValues!E:E,0)),"N/A")</f>
        <v>15256</v>
      </c>
      <c r="B2583" s="4" t="s">
        <v>401</v>
      </c>
      <c r="C2583" s="4" t="s">
        <v>278</v>
      </c>
      <c r="D2583" s="94">
        <v>4576.0</v>
      </c>
    </row>
    <row r="2584">
      <c r="A2584" s="40">
        <f t="array" ref="A2584">IFNA(index(PlayerValues!A:A,match(IFNA(vlookup(B2584,'Special Names'!A:B,2,FALSE),B2584),PlayerValues!E:E,0)),"N/A")</f>
        <v>16214</v>
      </c>
      <c r="B2584" s="4" t="s">
        <v>413</v>
      </c>
      <c r="C2584" s="4" t="s">
        <v>298</v>
      </c>
      <c r="D2584" s="94">
        <v>5097.0</v>
      </c>
    </row>
    <row r="2585">
      <c r="A2585" s="40" t="str">
        <f t="array" ref="A2585">IFNA(index(PlayerValues!A:A,match(IFNA(vlookup(B2585,'Special Names'!A:B,2,FALSE),B2585),PlayerValues!E:E,0)),"N/A")</f>
        <v>N/A</v>
      </c>
      <c r="B2585" s="4" t="s">
        <v>105</v>
      </c>
      <c r="C2585" s="4" t="s">
        <v>325</v>
      </c>
      <c r="D2585" s="94">
        <v>4539.0</v>
      </c>
    </row>
    <row r="2586">
      <c r="A2586" s="40">
        <f t="array" ref="A2586">IFNA(index(PlayerValues!A:A,match(IFNA(vlookup(B2586,'Special Names'!A:B,2,FALSE),B2586),PlayerValues!E:E,0)),"N/A")</f>
        <v>15329</v>
      </c>
      <c r="B2586" s="4" t="s">
        <v>416</v>
      </c>
      <c r="C2586" s="4" t="s">
        <v>298</v>
      </c>
      <c r="D2586" s="94">
        <v>5084.0</v>
      </c>
    </row>
    <row r="2587">
      <c r="A2587" s="40">
        <f t="array" ref="A2587">IFNA(index(PlayerValues!A:A,match(IFNA(vlookup(B2587,'Special Names'!A:B,2,FALSE),B2587),PlayerValues!E:E,0)),"N/A")</f>
        <v>17045</v>
      </c>
      <c r="B2587" s="4" t="s">
        <v>407</v>
      </c>
      <c r="C2587" s="4" t="s">
        <v>278</v>
      </c>
      <c r="D2587" s="94">
        <v>4525.0</v>
      </c>
    </row>
    <row r="2588">
      <c r="A2588" s="40">
        <f t="array" ref="A2588">IFNA(index(PlayerValues!A:A,match(IFNA(vlookup(B2588,'Special Names'!A:B,2,FALSE),B2588),PlayerValues!E:E,0)),"N/A")</f>
        <v>16148</v>
      </c>
      <c r="B2588" s="4" t="s">
        <v>426</v>
      </c>
      <c r="C2588" s="4" t="s">
        <v>283</v>
      </c>
      <c r="D2588" s="94">
        <v>4518.0</v>
      </c>
    </row>
    <row r="2589">
      <c r="A2589" s="40">
        <f t="array" ref="A2589">IFNA(index(PlayerValues!A:A,match(IFNA(vlookup(B2589,'Special Names'!A:B,2,FALSE),B2589),PlayerValues!E:E,0)),"N/A")</f>
        <v>17543</v>
      </c>
      <c r="B2589" s="4" t="s">
        <v>436</v>
      </c>
      <c r="C2589" s="4" t="s">
        <v>298</v>
      </c>
      <c r="D2589" s="94">
        <v>4944.0</v>
      </c>
    </row>
    <row r="2590">
      <c r="A2590" s="40">
        <f t="array" ref="A2590">IFNA(index(PlayerValues!A:A,match(IFNA(vlookup(B2590,'Special Names'!A:B,2,FALSE),B2590),PlayerValues!E:E,0)),"N/A")</f>
        <v>14056</v>
      </c>
      <c r="B2590" s="4" t="s">
        <v>423</v>
      </c>
      <c r="C2590" s="4" t="s">
        <v>283</v>
      </c>
      <c r="D2590" s="94">
        <v>4398.0</v>
      </c>
    </row>
    <row r="2591">
      <c r="A2591" s="40">
        <f t="array" ref="A2591">IFNA(index(PlayerValues!A:A,match(IFNA(vlookup(B2591,'Special Names'!A:B,2,FALSE),B2591),PlayerValues!E:E,0)),"N/A")</f>
        <v>15768</v>
      </c>
      <c r="B2591" s="4" t="s">
        <v>432</v>
      </c>
      <c r="C2591" s="4" t="s">
        <v>287</v>
      </c>
      <c r="D2591" s="94">
        <v>4340.0</v>
      </c>
    </row>
    <row r="2592">
      <c r="A2592" s="40">
        <f t="array" ref="A2592">IFNA(index(PlayerValues!A:A,match(IFNA(vlookup(B2592,'Special Names'!A:B,2,FALSE),B2592),PlayerValues!E:E,0)),"N/A")</f>
        <v>14059</v>
      </c>
      <c r="B2592" s="4" t="s">
        <v>435</v>
      </c>
      <c r="C2592" s="4" t="s">
        <v>283</v>
      </c>
      <c r="D2592" s="94">
        <v>4274.0</v>
      </c>
    </row>
    <row r="2593">
      <c r="A2593" s="40">
        <f t="array" ref="A2593">IFNA(index(PlayerValues!A:A,match(IFNA(vlookup(B2593,'Special Names'!A:B,2,FALSE),B2593),PlayerValues!E:E,0)),"N/A")</f>
        <v>15694</v>
      </c>
      <c r="B2593" s="4" t="s">
        <v>434</v>
      </c>
      <c r="C2593" s="4" t="s">
        <v>283</v>
      </c>
      <c r="D2593" s="94">
        <v>4123.0</v>
      </c>
    </row>
    <row r="2594">
      <c r="A2594" s="40">
        <f t="array" ref="A2594">IFNA(index(PlayerValues!A:A,match(IFNA(vlookup(B2594,'Special Names'!A:B,2,FALSE),B2594),PlayerValues!E:E,0)),"N/A")</f>
        <v>17052</v>
      </c>
      <c r="B2594" s="4" t="s">
        <v>417</v>
      </c>
      <c r="C2594" s="4" t="s">
        <v>278</v>
      </c>
      <c r="D2594" s="94">
        <v>3939.0</v>
      </c>
    </row>
    <row r="2595">
      <c r="A2595" s="40" t="str">
        <f t="array" ref="A2595">IFNA(index(PlayerValues!A:A,match(IFNA(vlookup(B2595,'Special Names'!A:B,2,FALSE),B2595),PlayerValues!E:E,0)),"N/A")</f>
        <v>N/A</v>
      </c>
      <c r="B2595" s="4" t="s">
        <v>107</v>
      </c>
      <c r="C2595" s="4" t="s">
        <v>325</v>
      </c>
      <c r="D2595" s="94">
        <v>3938.0</v>
      </c>
    </row>
    <row r="2596">
      <c r="A2596" s="40" t="str">
        <f t="array" ref="A2596">IFNA(index(PlayerValues!A:A,match(IFNA(vlookup(B2596,'Special Names'!A:B,2,FALSE),B2596),PlayerValues!E:E,0)),"N/A")</f>
        <v>N/A</v>
      </c>
      <c r="B2596" s="4" t="s">
        <v>81</v>
      </c>
      <c r="C2596" s="4" t="s">
        <v>325</v>
      </c>
      <c r="D2596" s="94">
        <v>3927.0</v>
      </c>
    </row>
    <row r="2597">
      <c r="A2597" s="40">
        <f t="array" ref="A2597">IFNA(index(PlayerValues!A:A,match(IFNA(vlookup(B2597,'Special Names'!A:B,2,FALSE),B2597),PlayerValues!E:E,0)),"N/A")</f>
        <v>16186</v>
      </c>
      <c r="B2597" s="4" t="s">
        <v>425</v>
      </c>
      <c r="C2597" s="4" t="s">
        <v>287</v>
      </c>
      <c r="D2597" s="94">
        <v>3926.0</v>
      </c>
    </row>
    <row r="2598">
      <c r="A2598" s="40">
        <f t="array" ref="A2598">IFNA(index(PlayerValues!A:A,match(IFNA(vlookup(B2598,'Special Names'!A:B,2,FALSE),B2598),PlayerValues!E:E,0)),"N/A")</f>
        <v>13635</v>
      </c>
      <c r="B2598" s="4" t="s">
        <v>424</v>
      </c>
      <c r="C2598" s="4" t="s">
        <v>287</v>
      </c>
      <c r="D2598" s="94">
        <v>3905.0</v>
      </c>
    </row>
    <row r="2599">
      <c r="A2599" s="40">
        <f t="array" ref="A2599">IFNA(index(PlayerValues!A:A,match(IFNA(vlookup(B2599,'Special Names'!A:B,2,FALSE),B2599),PlayerValues!E:E,0)),"N/A")</f>
        <v>17099</v>
      </c>
      <c r="B2599" s="4" t="s">
        <v>474</v>
      </c>
      <c r="C2599" s="4" t="s">
        <v>298</v>
      </c>
      <c r="D2599" s="94">
        <v>4349.0</v>
      </c>
    </row>
    <row r="2600">
      <c r="A2600" s="40">
        <f t="array" ref="A2600">IFNA(index(PlayerValues!A:A,match(IFNA(vlookup(B2600,'Special Names'!A:B,2,FALSE),B2600),PlayerValues!E:E,0)),"N/A")</f>
        <v>12626</v>
      </c>
      <c r="B2600" s="4" t="s">
        <v>419</v>
      </c>
      <c r="C2600" s="4" t="s">
        <v>278</v>
      </c>
      <c r="D2600" s="94">
        <v>3771.0</v>
      </c>
    </row>
    <row r="2601">
      <c r="A2601" s="40">
        <f t="array" ref="A2601">IFNA(index(PlayerValues!A:A,match(IFNA(vlookup(B2601,'Special Names'!A:B,2,FALSE),B2601),PlayerValues!E:E,0)),"N/A")</f>
        <v>17068</v>
      </c>
      <c r="B2601" s="4" t="s">
        <v>450</v>
      </c>
      <c r="C2601" s="4" t="s">
        <v>278</v>
      </c>
      <c r="D2601" s="94">
        <v>3761.0</v>
      </c>
    </row>
    <row r="2602">
      <c r="A2602" s="40">
        <f t="array" ref="A2602">IFNA(index(PlayerValues!A:A,match(IFNA(vlookup(B2602,'Special Names'!A:B,2,FALSE),B2602),PlayerValues!E:E,0)),"N/A")</f>
        <v>9431</v>
      </c>
      <c r="B2602" s="4" t="s">
        <v>428</v>
      </c>
      <c r="C2602" s="4" t="s">
        <v>283</v>
      </c>
      <c r="D2602" s="94">
        <v>3747.0</v>
      </c>
    </row>
    <row r="2603">
      <c r="A2603" s="40">
        <f t="array" ref="A2603">IFNA(index(PlayerValues!A:A,match(IFNA(vlookup(B2603,'Special Names'!A:B,2,FALSE),B2603),PlayerValues!E:E,0)),"N/A")</f>
        <v>17501</v>
      </c>
      <c r="B2603" s="4" t="s">
        <v>404</v>
      </c>
      <c r="C2603" s="4" t="s">
        <v>287</v>
      </c>
      <c r="D2603" s="94">
        <v>3740.0</v>
      </c>
    </row>
    <row r="2604">
      <c r="A2604" s="40" t="str">
        <f t="array" ref="A2604">IFNA(index(PlayerValues!A:A,match(IFNA(vlookup(B2604,'Special Names'!A:B,2,FALSE),B2604),PlayerValues!E:E,0)),"N/A")</f>
        <v>N/A</v>
      </c>
      <c r="B2604" s="4" t="s">
        <v>95</v>
      </c>
      <c r="C2604" s="4" t="s">
        <v>325</v>
      </c>
      <c r="D2604" s="94">
        <v>3734.0</v>
      </c>
    </row>
    <row r="2605">
      <c r="A2605" s="40">
        <f t="array" ref="A2605">IFNA(index(PlayerValues!A:A,match(IFNA(vlookup(B2605,'Special Names'!A:B,2,FALSE),B2605),PlayerValues!E:E,0)),"N/A")</f>
        <v>16206</v>
      </c>
      <c r="B2605" s="4" t="s">
        <v>431</v>
      </c>
      <c r="C2605" s="4" t="s">
        <v>287</v>
      </c>
      <c r="D2605" s="94">
        <v>3731.0</v>
      </c>
    </row>
    <row r="2606">
      <c r="A2606" s="40">
        <f t="array" ref="A2606">IFNA(index(PlayerValues!A:A,match(IFNA(vlookup(B2606,'Special Names'!A:B,2,FALSE),B2606),PlayerValues!E:E,0)),"N/A")</f>
        <v>16169</v>
      </c>
      <c r="B2606" s="4" t="s">
        <v>457</v>
      </c>
      <c r="C2606" s="4" t="s">
        <v>278</v>
      </c>
      <c r="D2606" s="94">
        <v>3725.0</v>
      </c>
    </row>
    <row r="2607">
      <c r="A2607" s="40">
        <f t="array" ref="A2607">IFNA(index(PlayerValues!A:A,match(IFNA(vlookup(B2607,'Special Names'!A:B,2,FALSE),B2607),PlayerValues!E:E,0)),"N/A")</f>
        <v>15757</v>
      </c>
      <c r="B2607" s="4" t="s">
        <v>449</v>
      </c>
      <c r="C2607" s="4" t="s">
        <v>287</v>
      </c>
      <c r="D2607" s="94">
        <v>3707.0</v>
      </c>
    </row>
    <row r="2608">
      <c r="A2608" s="40">
        <f t="array" ref="A2608">IFNA(index(PlayerValues!A:A,match(IFNA(vlookup(B2608,'Special Names'!A:B,2,FALSE),B2608),PlayerValues!E:E,0)),"N/A")</f>
        <v>15779</v>
      </c>
      <c r="B2608" s="4" t="s">
        <v>461</v>
      </c>
      <c r="C2608" s="4" t="s">
        <v>287</v>
      </c>
      <c r="D2608" s="94">
        <v>3688.0</v>
      </c>
    </row>
    <row r="2609">
      <c r="A2609" s="40">
        <f t="array" ref="A2609">IFNA(index(PlayerValues!A:A,match(IFNA(vlookup(B2609,'Special Names'!A:B,2,FALSE),B2609),PlayerValues!E:E,0)),"N/A")</f>
        <v>17074</v>
      </c>
      <c r="B2609" s="4" t="s">
        <v>475</v>
      </c>
      <c r="C2609" s="4" t="s">
        <v>287</v>
      </c>
      <c r="D2609" s="94">
        <v>3668.0</v>
      </c>
    </row>
    <row r="2610">
      <c r="A2610" s="40">
        <f t="array" ref="A2610">IFNA(index(PlayerValues!A:A,match(IFNA(vlookup(B2610,'Special Names'!A:B,2,FALSE),B2610),PlayerValues!E:E,0)),"N/A")</f>
        <v>15789</v>
      </c>
      <c r="B2610" s="4" t="s">
        <v>421</v>
      </c>
      <c r="C2610" s="4" t="s">
        <v>287</v>
      </c>
      <c r="D2610" s="94">
        <v>3660.0</v>
      </c>
    </row>
    <row r="2611">
      <c r="A2611" s="40">
        <f t="array" ref="A2611">IFNA(index(PlayerValues!A:A,match(IFNA(vlookup(B2611,'Special Names'!A:B,2,FALSE),B2611),PlayerValues!E:E,0)),"N/A")</f>
        <v>14102</v>
      </c>
      <c r="B2611" s="4" t="s">
        <v>444</v>
      </c>
      <c r="C2611" s="4" t="s">
        <v>287</v>
      </c>
      <c r="D2611" s="94">
        <v>3638.0</v>
      </c>
    </row>
    <row r="2612">
      <c r="A2612" s="40">
        <f t="array" ref="A2612">IFNA(index(PlayerValues!A:A,match(IFNA(vlookup(B2612,'Special Names'!A:B,2,FALSE),B2612),PlayerValues!E:E,0)),"N/A")</f>
        <v>16622</v>
      </c>
      <c r="B2612" s="4" t="s">
        <v>517</v>
      </c>
      <c r="C2612" s="4" t="s">
        <v>287</v>
      </c>
      <c r="D2612" s="94">
        <v>3614.0</v>
      </c>
    </row>
    <row r="2613">
      <c r="A2613" s="40">
        <f t="array" ref="A2613">IFNA(index(PlayerValues!A:A,match(IFNA(vlookup(B2613,'Special Names'!A:B,2,FALSE),B2613),PlayerValues!E:E,0)),"N/A")</f>
        <v>16192</v>
      </c>
      <c r="B2613" s="4" t="s">
        <v>412</v>
      </c>
      <c r="C2613" s="4" t="s">
        <v>287</v>
      </c>
      <c r="D2613" s="94">
        <v>3601.0</v>
      </c>
    </row>
    <row r="2614">
      <c r="A2614" s="40">
        <f t="array" ref="A2614">IFNA(index(PlayerValues!A:A,match(IFNA(vlookup(B2614,'Special Names'!A:B,2,FALSE),B2614),PlayerValues!E:E,0)),"N/A")</f>
        <v>17083</v>
      </c>
      <c r="B2614" s="4" t="s">
        <v>479</v>
      </c>
      <c r="C2614" s="4" t="s">
        <v>287</v>
      </c>
      <c r="D2614" s="94">
        <v>3590.0</v>
      </c>
    </row>
    <row r="2615">
      <c r="A2615" s="40">
        <f t="array" ref="A2615">IFNA(index(PlayerValues!A:A,match(IFNA(vlookup(B2615,'Special Names'!A:B,2,FALSE),B2615),PlayerValues!E:E,0)),"N/A")</f>
        <v>15712</v>
      </c>
      <c r="B2615" s="4" t="s">
        <v>488</v>
      </c>
      <c r="C2615" s="4" t="s">
        <v>278</v>
      </c>
      <c r="D2615" s="94">
        <v>3576.0</v>
      </c>
    </row>
    <row r="2616">
      <c r="A2616" s="40">
        <f t="array" ref="A2616">IFNA(index(PlayerValues!A:A,match(IFNA(vlookup(B2616,'Special Names'!A:B,2,FALSE),B2616),PlayerValues!E:E,0)),"N/A")</f>
        <v>17066</v>
      </c>
      <c r="B2616" s="4" t="s">
        <v>446</v>
      </c>
      <c r="C2616" s="4" t="s">
        <v>278</v>
      </c>
      <c r="D2616" s="94">
        <v>3559.0</v>
      </c>
    </row>
    <row r="2617">
      <c r="A2617" s="40">
        <f t="array" ref="A2617">IFNA(index(PlayerValues!A:A,match(IFNA(vlookup(B2617,'Special Names'!A:B,2,FALSE),B2617),PlayerValues!E:E,0)),"N/A")</f>
        <v>11675</v>
      </c>
      <c r="B2617" s="4" t="s">
        <v>438</v>
      </c>
      <c r="C2617" s="4" t="s">
        <v>287</v>
      </c>
      <c r="D2617" s="94">
        <v>3540.0</v>
      </c>
    </row>
    <row r="2618">
      <c r="A2618" s="40">
        <f t="array" ref="A2618">IFNA(index(PlayerValues!A:A,match(IFNA(vlookup(B2618,'Special Names'!A:B,2,FALSE),B2618),PlayerValues!E:E,0)),"N/A")</f>
        <v>17075</v>
      </c>
      <c r="B2618" s="4" t="s">
        <v>429</v>
      </c>
      <c r="C2618" s="4" t="s">
        <v>287</v>
      </c>
      <c r="D2618" s="94">
        <v>3525.0</v>
      </c>
    </row>
    <row r="2619">
      <c r="A2619" s="40">
        <f t="array" ref="A2619">IFNA(index(PlayerValues!A:A,match(IFNA(vlookup(B2619,'Special Names'!A:B,2,FALSE),B2619),PlayerValues!E:E,0)),"N/A")</f>
        <v>14797</v>
      </c>
      <c r="B2619" s="4" t="s">
        <v>420</v>
      </c>
      <c r="C2619" s="4" t="s">
        <v>278</v>
      </c>
      <c r="D2619" s="94">
        <v>3524.0</v>
      </c>
    </row>
    <row r="2620">
      <c r="A2620" s="40">
        <f t="array" ref="A2620">IFNA(index(PlayerValues!A:A,match(IFNA(vlookup(B2620,'Special Names'!A:B,2,FALSE),B2620),PlayerValues!E:E,0)),"N/A")</f>
        <v>14842</v>
      </c>
      <c r="B2620" s="4" t="s">
        <v>456</v>
      </c>
      <c r="C2620" s="4" t="s">
        <v>287</v>
      </c>
      <c r="D2620" s="94">
        <v>3522.0</v>
      </c>
    </row>
    <row r="2621">
      <c r="A2621" s="40">
        <f t="array" ref="A2621">IFNA(index(PlayerValues!A:A,match(IFNA(vlookup(B2621,'Special Names'!A:B,2,FALSE),B2621),PlayerValues!E:E,0)),"N/A")</f>
        <v>15798</v>
      </c>
      <c r="B2621" s="4" t="s">
        <v>443</v>
      </c>
      <c r="C2621" s="4" t="s">
        <v>298</v>
      </c>
      <c r="D2621" s="94">
        <v>3981.0</v>
      </c>
    </row>
    <row r="2622">
      <c r="A2622" s="40">
        <f t="array" ref="A2622">IFNA(index(PlayerValues!A:A,match(IFNA(vlookup(B2622,'Special Names'!A:B,2,FALSE),B2622),PlayerValues!E:E,0)),"N/A")</f>
        <v>14071</v>
      </c>
      <c r="B2622" s="4" t="s">
        <v>440</v>
      </c>
      <c r="C2622" s="4" t="s">
        <v>278</v>
      </c>
      <c r="D2622" s="94">
        <v>3496.0</v>
      </c>
    </row>
    <row r="2623">
      <c r="A2623" s="40" t="str">
        <f t="array" ref="A2623">IFNA(index(PlayerValues!A:A,match(IFNA(vlookup(B2623,'Special Names'!A:B,2,FALSE),B2623),PlayerValues!E:E,0)),"N/A")</f>
        <v>N/A</v>
      </c>
      <c r="B2623" s="4" t="s">
        <v>96</v>
      </c>
      <c r="C2623" s="4" t="s">
        <v>325</v>
      </c>
      <c r="D2623" s="94">
        <v>3435.0</v>
      </c>
    </row>
    <row r="2624">
      <c r="A2624" s="40">
        <f t="array" ref="A2624">IFNA(index(PlayerValues!A:A,match(IFNA(vlookup(B2624,'Special Names'!A:B,2,FALSE),B2624),PlayerValues!E:E,0)),"N/A")</f>
        <v>17502</v>
      </c>
      <c r="B2624" s="4" t="s">
        <v>451</v>
      </c>
      <c r="C2624" s="4" t="s">
        <v>287</v>
      </c>
      <c r="D2624" s="94">
        <v>3410.0</v>
      </c>
    </row>
    <row r="2625">
      <c r="A2625" s="40">
        <f t="array" ref="A2625">IFNA(index(PlayerValues!A:A,match(IFNA(vlookup(B2625,'Special Names'!A:B,2,FALSE),B2625),PlayerValues!E:E,0)),"N/A")</f>
        <v>15261</v>
      </c>
      <c r="B2625" s="4" t="s">
        <v>466</v>
      </c>
      <c r="C2625" s="4" t="s">
        <v>278</v>
      </c>
      <c r="D2625" s="94">
        <v>3397.0</v>
      </c>
    </row>
    <row r="2626">
      <c r="A2626" s="40">
        <f t="array" ref="A2626">IFNA(index(PlayerValues!A:A,match(IFNA(vlookup(B2626,'Special Names'!A:B,2,FALSE),B2626),PlayerValues!E:E,0)),"N/A")</f>
        <v>16620</v>
      </c>
      <c r="B2626" s="4" t="s">
        <v>467</v>
      </c>
      <c r="C2626" s="4" t="s">
        <v>287</v>
      </c>
      <c r="D2626" s="94">
        <v>3393.0</v>
      </c>
    </row>
    <row r="2627">
      <c r="A2627" s="40">
        <f t="array" ref="A2627">IFNA(index(PlayerValues!A:A,match(IFNA(vlookup(B2627,'Special Names'!A:B,2,FALSE),B2627),PlayerValues!E:E,0)),"N/A")</f>
        <v>14109</v>
      </c>
      <c r="B2627" s="4" t="s">
        <v>437</v>
      </c>
      <c r="C2627" s="4" t="s">
        <v>287</v>
      </c>
      <c r="D2627" s="94">
        <v>3388.0</v>
      </c>
    </row>
    <row r="2628">
      <c r="A2628" s="40">
        <f t="array" ref="A2628">IFNA(index(PlayerValues!A:A,match(IFNA(vlookup(B2628,'Special Names'!A:B,2,FALSE),B2628),PlayerValues!E:E,0)),"N/A")</f>
        <v>14127</v>
      </c>
      <c r="B2628" s="4" t="s">
        <v>486</v>
      </c>
      <c r="C2628" s="4" t="s">
        <v>287</v>
      </c>
      <c r="D2628" s="94">
        <v>3385.0</v>
      </c>
    </row>
    <row r="2629">
      <c r="A2629" s="40">
        <f t="array" ref="A2629">IFNA(index(PlayerValues!A:A,match(IFNA(vlookup(B2629,'Special Names'!A:B,2,FALSE),B2629),PlayerValues!E:E,0)),"N/A")</f>
        <v>15799</v>
      </c>
      <c r="B2629" s="4" t="s">
        <v>468</v>
      </c>
      <c r="C2629" s="4" t="s">
        <v>298</v>
      </c>
      <c r="D2629" s="94">
        <v>3818.0</v>
      </c>
    </row>
    <row r="2630">
      <c r="A2630" s="40" t="str">
        <f t="array" ref="A2630">IFNA(index(PlayerValues!A:A,match(IFNA(vlookup(B2630,'Special Names'!A:B,2,FALSE),B2630),PlayerValues!E:E,0)),"N/A")</f>
        <v>N/A</v>
      </c>
      <c r="B2630" s="4" t="s">
        <v>82</v>
      </c>
      <c r="C2630" s="4" t="s">
        <v>325</v>
      </c>
      <c r="D2630" s="94">
        <v>3360.0</v>
      </c>
    </row>
    <row r="2631">
      <c r="A2631" s="40">
        <f t="array" ref="A2631">IFNA(index(PlayerValues!A:A,match(IFNA(vlookup(B2631,'Special Names'!A:B,2,FALSE),B2631),PlayerValues!E:E,0)),"N/A")</f>
        <v>17500</v>
      </c>
      <c r="B2631" s="4" t="s">
        <v>430</v>
      </c>
      <c r="C2631" s="4" t="s">
        <v>287</v>
      </c>
      <c r="D2631" s="94">
        <v>3356.0</v>
      </c>
    </row>
    <row r="2632">
      <c r="A2632" s="40">
        <f t="array" ref="A2632">IFNA(index(PlayerValues!A:A,match(IFNA(vlookup(B2632,'Special Names'!A:B,2,FALSE),B2632),PlayerValues!E:E,0)),"N/A")</f>
        <v>16187</v>
      </c>
      <c r="B2632" s="4" t="s">
        <v>441</v>
      </c>
      <c r="C2632" s="4" t="s">
        <v>287</v>
      </c>
      <c r="D2632" s="94">
        <v>3354.0</v>
      </c>
    </row>
    <row r="2633">
      <c r="A2633" s="40">
        <f t="array" ref="A2633">IFNA(index(PlayerValues!A:A,match(IFNA(vlookup(B2633,'Special Names'!A:B,2,FALSE),B2633),PlayerValues!E:E,0)),"N/A")</f>
        <v>16213</v>
      </c>
      <c r="B2633" s="4" t="s">
        <v>458</v>
      </c>
      <c r="C2633" s="4" t="s">
        <v>298</v>
      </c>
      <c r="D2633" s="94">
        <v>3802.0</v>
      </c>
    </row>
    <row r="2634">
      <c r="A2634" s="40">
        <f t="array" ref="A2634">IFNA(index(PlayerValues!A:A,match(IFNA(vlookup(B2634,'Special Names'!A:B,2,FALSE),B2634),PlayerValues!E:E,0)),"N/A")</f>
        <v>16188</v>
      </c>
      <c r="B2634" s="4" t="s">
        <v>439</v>
      </c>
      <c r="C2634" s="4" t="s">
        <v>287</v>
      </c>
      <c r="D2634" s="94">
        <v>3349.0</v>
      </c>
    </row>
    <row r="2635">
      <c r="A2635" s="40">
        <f t="array" ref="A2635">IFNA(index(PlayerValues!A:A,match(IFNA(vlookup(B2635,'Special Names'!A:B,2,FALSE),B2635),PlayerValues!E:E,0)),"N/A")</f>
        <v>11671</v>
      </c>
      <c r="B2635" s="4" t="s">
        <v>463</v>
      </c>
      <c r="C2635" s="4" t="s">
        <v>287</v>
      </c>
      <c r="D2635" s="94">
        <v>3338.0</v>
      </c>
    </row>
    <row r="2636">
      <c r="A2636" s="40">
        <f t="array" ref="A2636">IFNA(index(PlayerValues!A:A,match(IFNA(vlookup(B2636,'Special Names'!A:B,2,FALSE),B2636),PlayerValues!E:E,0)),"N/A")</f>
        <v>16184</v>
      </c>
      <c r="B2636" s="4" t="s">
        <v>445</v>
      </c>
      <c r="C2636" s="4" t="s">
        <v>287</v>
      </c>
      <c r="D2636" s="94">
        <v>3310.0</v>
      </c>
    </row>
    <row r="2637">
      <c r="A2637" s="40">
        <f t="array" ref="A2637">IFNA(index(PlayerValues!A:A,match(IFNA(vlookup(B2637,'Special Names'!A:B,2,FALSE),B2637),PlayerValues!E:E,0)),"N/A")</f>
        <v>14823</v>
      </c>
      <c r="B2637" s="4" t="s">
        <v>459</v>
      </c>
      <c r="C2637" s="4" t="s">
        <v>278</v>
      </c>
      <c r="D2637" s="94">
        <v>3307.0</v>
      </c>
    </row>
    <row r="2638">
      <c r="A2638" s="40">
        <f t="array" ref="A2638">IFNA(index(PlayerValues!A:A,match(IFNA(vlookup(B2638,'Special Names'!A:B,2,FALSE),B2638),PlayerValues!E:E,0)),"N/A")</f>
        <v>13299</v>
      </c>
      <c r="B2638" s="4" t="s">
        <v>448</v>
      </c>
      <c r="C2638" s="4" t="s">
        <v>298</v>
      </c>
      <c r="D2638" s="94">
        <v>3726.0</v>
      </c>
    </row>
    <row r="2639">
      <c r="A2639" s="40">
        <f t="array" ref="A2639">IFNA(index(PlayerValues!A:A,match(IFNA(vlookup(B2639,'Special Names'!A:B,2,FALSE),B2639),PlayerValues!E:E,0)),"N/A")</f>
        <v>16593</v>
      </c>
      <c r="B2639" s="4" t="s">
        <v>442</v>
      </c>
      <c r="C2639" s="4" t="s">
        <v>278</v>
      </c>
      <c r="D2639" s="94">
        <v>3258.0</v>
      </c>
    </row>
    <row r="2640">
      <c r="A2640" s="40">
        <f t="array" ref="A2640">IFNA(index(PlayerValues!A:A,match(IFNA(vlookup(B2640,'Special Names'!A:B,2,FALSE),B2640),PlayerValues!E:E,0)),"N/A")</f>
        <v>15742</v>
      </c>
      <c r="B2640" s="4" t="s">
        <v>447</v>
      </c>
      <c r="C2640" s="4" t="s">
        <v>278</v>
      </c>
      <c r="D2640" s="94">
        <v>3236.0</v>
      </c>
    </row>
    <row r="2641">
      <c r="A2641" s="40">
        <f t="array" ref="A2641">IFNA(index(PlayerValues!A:A,match(IFNA(vlookup(B2641,'Special Names'!A:B,2,FALSE),B2641),PlayerValues!E:E,0)),"N/A")</f>
        <v>13630</v>
      </c>
      <c r="B2641" s="4" t="s">
        <v>465</v>
      </c>
      <c r="C2641" s="4" t="s">
        <v>287</v>
      </c>
      <c r="D2641" s="94">
        <v>3188.0</v>
      </c>
    </row>
    <row r="2642">
      <c r="A2642" s="40" t="str">
        <f t="array" ref="A2642">IFNA(index(PlayerValues!A:A,match(IFNA(vlookup(B2642,'Special Names'!A:B,2,FALSE),B2642),PlayerValues!E:E,0)),"N/A")</f>
        <v>N/A</v>
      </c>
      <c r="B2642" s="4" t="s">
        <v>108</v>
      </c>
      <c r="C2642" s="4" t="s">
        <v>325</v>
      </c>
      <c r="D2642" s="94">
        <v>3120.0</v>
      </c>
    </row>
    <row r="2643">
      <c r="A2643" s="40">
        <f t="array" ref="A2643">IFNA(index(PlayerValues!A:A,match(IFNA(vlookup(B2643,'Special Names'!A:B,2,FALSE),B2643),PlayerValues!E:E,0)),"N/A")</f>
        <v>16628</v>
      </c>
      <c r="B2643" s="4" t="s">
        <v>490</v>
      </c>
      <c r="C2643" s="4" t="s">
        <v>287</v>
      </c>
      <c r="D2643" s="94">
        <v>3099.0</v>
      </c>
    </row>
    <row r="2644">
      <c r="A2644" s="40">
        <f t="array" ref="A2644">IFNA(index(PlayerValues!A:A,match(IFNA(vlookup(B2644,'Special Names'!A:B,2,FALSE),B2644),PlayerValues!E:E,0)),"N/A")</f>
        <v>16269</v>
      </c>
      <c r="B2644" s="4" t="s">
        <v>481</v>
      </c>
      <c r="C2644" s="4" t="s">
        <v>298</v>
      </c>
      <c r="D2644" s="94">
        <v>3508.0</v>
      </c>
    </row>
    <row r="2645">
      <c r="A2645" s="40">
        <f t="array" ref="A2645">IFNA(index(PlayerValues!A:A,match(IFNA(vlookup(B2645,'Special Names'!A:B,2,FALSE),B2645),PlayerValues!E:E,0)),"N/A")</f>
        <v>16583</v>
      </c>
      <c r="B2645" s="4" t="s">
        <v>493</v>
      </c>
      <c r="C2645" s="4" t="s">
        <v>283</v>
      </c>
      <c r="D2645" s="94">
        <v>3067.0</v>
      </c>
    </row>
    <row r="2646">
      <c r="A2646" s="40">
        <f t="array" ref="A2646">IFNA(index(PlayerValues!A:A,match(IFNA(vlookup(B2646,'Special Names'!A:B,2,FALSE),B2646),PlayerValues!E:E,0)),"N/A")</f>
        <v>14800</v>
      </c>
      <c r="B2646" s="4" t="s">
        <v>472</v>
      </c>
      <c r="C2646" s="4" t="s">
        <v>278</v>
      </c>
      <c r="D2646" s="94">
        <v>3060.0</v>
      </c>
    </row>
    <row r="2647">
      <c r="A2647" s="40" t="str">
        <f t="array" ref="A2647">IFNA(index(PlayerValues!A:A,match(IFNA(vlookup(B2647,'Special Names'!A:B,2,FALSE),B2647),PlayerValues!E:E,0)),"N/A")</f>
        <v>N/A</v>
      </c>
      <c r="B2647" s="4" t="s">
        <v>97</v>
      </c>
      <c r="C2647" s="4" t="s">
        <v>325</v>
      </c>
      <c r="D2647" s="94">
        <v>3060.0</v>
      </c>
    </row>
    <row r="2648">
      <c r="A2648" s="40">
        <f t="array" ref="A2648">IFNA(index(PlayerValues!A:A,match(IFNA(vlookup(B2648,'Special Names'!A:B,2,FALSE),B2648),PlayerValues!E:E,0)),"N/A")</f>
        <v>16080</v>
      </c>
      <c r="B2648" s="4" t="s">
        <v>499</v>
      </c>
      <c r="C2648" s="4" t="s">
        <v>287</v>
      </c>
      <c r="D2648" s="94">
        <v>3053.0</v>
      </c>
    </row>
    <row r="2649">
      <c r="A2649" s="40">
        <f t="array" ref="A2649">IFNA(index(PlayerValues!A:A,match(IFNA(vlookup(B2649,'Special Names'!A:B,2,FALSE),B2649),PlayerValues!E:E,0)),"N/A")</f>
        <v>16809</v>
      </c>
      <c r="B2649" s="4" t="s">
        <v>455</v>
      </c>
      <c r="C2649" s="4" t="s">
        <v>287</v>
      </c>
      <c r="D2649" s="94">
        <v>3046.0</v>
      </c>
    </row>
    <row r="2650">
      <c r="A2650" s="40">
        <f t="array" ref="A2650">IFNA(index(PlayerValues!A:A,match(IFNA(vlookup(B2650,'Special Names'!A:B,2,FALSE),B2650),PlayerValues!E:E,0)),"N/A")</f>
        <v>15761</v>
      </c>
      <c r="B2650" s="4" t="s">
        <v>491</v>
      </c>
      <c r="C2650" s="4" t="s">
        <v>287</v>
      </c>
      <c r="D2650" s="94">
        <v>3037.0</v>
      </c>
    </row>
    <row r="2651">
      <c r="A2651" s="40" t="str">
        <f t="array" ref="A2651">IFNA(index(PlayerValues!A:A,match(IFNA(vlookup(B2651,'Special Names'!A:B,2,FALSE),B2651),PlayerValues!E:E,0)),"N/A")</f>
        <v>N/A</v>
      </c>
      <c r="B2651" s="4" t="s">
        <v>84</v>
      </c>
      <c r="C2651" s="4" t="s">
        <v>325</v>
      </c>
      <c r="D2651" s="94">
        <v>3020.0</v>
      </c>
    </row>
    <row r="2652">
      <c r="A2652" s="40">
        <f t="array" ref="A2652">IFNA(index(PlayerValues!A:A,match(IFNA(vlookup(B2652,'Special Names'!A:B,2,FALSE),B2652),PlayerValues!E:E,0)),"N/A")</f>
        <v>17463</v>
      </c>
      <c r="B2652" s="4" t="s">
        <v>433</v>
      </c>
      <c r="C2652" s="4" t="s">
        <v>283</v>
      </c>
      <c r="D2652" s="94">
        <v>3017.0</v>
      </c>
    </row>
    <row r="2653">
      <c r="A2653" s="40">
        <f t="array" ref="A2653">IFNA(index(PlayerValues!A:A,match(IFNA(vlookup(B2653,'Special Names'!A:B,2,FALSE),B2653),PlayerValues!E:E,0)),"N/A")</f>
        <v>15259</v>
      </c>
      <c r="B2653" s="4" t="s">
        <v>453</v>
      </c>
      <c r="C2653" s="4" t="s">
        <v>278</v>
      </c>
      <c r="D2653" s="94">
        <v>2993.0</v>
      </c>
    </row>
    <row r="2654">
      <c r="A2654" s="40">
        <f t="array" ref="A2654">IFNA(index(PlayerValues!A:A,match(IFNA(vlookup(B2654,'Special Names'!A:B,2,FALSE),B2654),PlayerValues!E:E,0)),"N/A")</f>
        <v>17473</v>
      </c>
      <c r="B2654" s="4" t="s">
        <v>391</v>
      </c>
      <c r="C2654" s="4" t="s">
        <v>278</v>
      </c>
      <c r="D2654" s="94">
        <v>2975.0</v>
      </c>
    </row>
    <row r="2655">
      <c r="A2655" s="40">
        <f t="array" ref="A2655">IFNA(index(PlayerValues!A:A,match(IFNA(vlookup(B2655,'Special Names'!A:B,2,FALSE),B2655),PlayerValues!E:E,0)),"N/A")</f>
        <v>16597</v>
      </c>
      <c r="B2655" s="4" t="s">
        <v>427</v>
      </c>
      <c r="C2655" s="4" t="s">
        <v>278</v>
      </c>
      <c r="D2655" s="94">
        <v>2939.0</v>
      </c>
    </row>
    <row r="2656">
      <c r="A2656" s="40">
        <f t="array" ref="A2656">IFNA(index(PlayerValues!A:A,match(IFNA(vlookup(B2656,'Special Names'!A:B,2,FALSE),B2656),PlayerValues!E:E,0)),"N/A")</f>
        <v>15255</v>
      </c>
      <c r="B2656" s="4" t="s">
        <v>477</v>
      </c>
      <c r="C2656" s="4" t="s">
        <v>278</v>
      </c>
      <c r="D2656" s="94">
        <v>2927.0</v>
      </c>
    </row>
    <row r="2657">
      <c r="A2657" s="40">
        <f t="array" ref="A2657">IFNA(index(PlayerValues!A:A,match(IFNA(vlookup(B2657,'Special Names'!A:B,2,FALSE),B2657),PlayerValues!E:E,0)),"N/A")</f>
        <v>17106</v>
      </c>
      <c r="B2657" s="4" t="s">
        <v>550</v>
      </c>
      <c r="C2657" s="4" t="s">
        <v>298</v>
      </c>
      <c r="D2657" s="94">
        <v>3348.0</v>
      </c>
    </row>
    <row r="2658">
      <c r="A2658" s="40">
        <f t="array" ref="A2658">IFNA(index(PlayerValues!A:A,match(IFNA(vlookup(B2658,'Special Names'!A:B,2,FALSE),B2658),PlayerValues!E:E,0)),"N/A")</f>
        <v>15241</v>
      </c>
      <c r="B2658" s="4" t="s">
        <v>546</v>
      </c>
      <c r="C2658" s="4" t="s">
        <v>283</v>
      </c>
      <c r="D2658" s="94">
        <v>2921.0</v>
      </c>
    </row>
    <row r="2659">
      <c r="A2659" s="40" t="str">
        <f t="array" ref="A2659">IFNA(index(PlayerValues!A:A,match(IFNA(vlookup(B2659,'Special Names'!A:B,2,FALSE),B2659),PlayerValues!E:E,0)),"N/A")</f>
        <v>N/A</v>
      </c>
      <c r="B2659" s="4" t="s">
        <v>109</v>
      </c>
      <c r="C2659" s="4" t="s">
        <v>325</v>
      </c>
      <c r="D2659" s="94">
        <v>2913.0</v>
      </c>
    </row>
    <row r="2660">
      <c r="A2660" s="40">
        <f t="array" ref="A2660">IFNA(index(PlayerValues!A:A,match(IFNA(vlookup(B2660,'Special Names'!A:B,2,FALSE),B2660),PlayerValues!E:E,0)),"N/A")</f>
        <v>16584</v>
      </c>
      <c r="B2660" s="4" t="s">
        <v>569</v>
      </c>
      <c r="C2660" s="4" t="s">
        <v>283</v>
      </c>
      <c r="D2660" s="94">
        <v>2903.0</v>
      </c>
    </row>
    <row r="2661">
      <c r="A2661" s="40">
        <f t="array" ref="A2661">IFNA(index(PlayerValues!A:A,match(IFNA(vlookup(B2661,'Special Names'!A:B,2,FALSE),B2661),PlayerValues!E:E,0)),"N/A")</f>
        <v>16723</v>
      </c>
      <c r="B2661" s="4" t="s">
        <v>502</v>
      </c>
      <c r="C2661" s="4" t="s">
        <v>298</v>
      </c>
      <c r="D2661" s="94">
        <v>3316.0</v>
      </c>
    </row>
    <row r="2662">
      <c r="A2662" s="40">
        <f t="array" ref="A2662">IFNA(index(PlayerValues!A:A,match(IFNA(vlookup(B2662,'Special Names'!A:B,2,FALSE),B2662),PlayerValues!E:E,0)),"N/A")</f>
        <v>16193</v>
      </c>
      <c r="B2662" s="4" t="s">
        <v>487</v>
      </c>
      <c r="C2662" s="4" t="s">
        <v>287</v>
      </c>
      <c r="D2662" s="94">
        <v>2893.0</v>
      </c>
    </row>
    <row r="2663">
      <c r="A2663" s="40" t="str">
        <f t="array" ref="A2663">IFNA(index(PlayerValues!A:A,match(IFNA(vlookup(B2663,'Special Names'!A:B,2,FALSE),B2663),PlayerValues!E:E,0)),"N/A")</f>
        <v>N/A</v>
      </c>
      <c r="B2663" s="4" t="s">
        <v>85</v>
      </c>
      <c r="C2663" s="4" t="s">
        <v>325</v>
      </c>
      <c r="D2663" s="94">
        <v>2877.0</v>
      </c>
    </row>
    <row r="2664">
      <c r="A2664" s="40">
        <f t="array" ref="A2664">IFNA(index(PlayerValues!A:A,match(IFNA(vlookup(B2664,'Special Names'!A:B,2,FALSE),B2664),PlayerValues!E:E,0)),"N/A")</f>
        <v>13163</v>
      </c>
      <c r="B2664" s="4" t="s">
        <v>473</v>
      </c>
      <c r="C2664" s="4" t="s">
        <v>287</v>
      </c>
      <c r="D2664" s="94">
        <v>2873.0</v>
      </c>
    </row>
    <row r="2665">
      <c r="A2665" s="40">
        <f t="array" ref="A2665">IFNA(index(PlayerValues!A:A,match(IFNA(vlookup(B2665,'Special Names'!A:B,2,FALSE),B2665),PlayerValues!E:E,0)),"N/A")</f>
        <v>16619</v>
      </c>
      <c r="B2665" s="4" t="s">
        <v>538</v>
      </c>
      <c r="C2665" s="4" t="s">
        <v>287</v>
      </c>
      <c r="D2665" s="94">
        <v>2862.0</v>
      </c>
    </row>
    <row r="2666">
      <c r="A2666" s="40">
        <f t="array" ref="A2666">IFNA(index(PlayerValues!A:A,match(IFNA(vlookup(B2666,'Special Names'!A:B,2,FALSE),B2666),PlayerValues!E:E,0)),"N/A")</f>
        <v>17107</v>
      </c>
      <c r="B2666" s="4" t="s">
        <v>478</v>
      </c>
      <c r="C2666" s="4" t="s">
        <v>298</v>
      </c>
      <c r="D2666" s="94">
        <v>3281.0</v>
      </c>
    </row>
    <row r="2667">
      <c r="A2667" s="40">
        <f t="array" ref="A2667">IFNA(index(PlayerValues!A:A,match(IFNA(vlookup(B2667,'Special Names'!A:B,2,FALSE),B2667),PlayerValues!E:E,0)),"N/A")</f>
        <v>17031</v>
      </c>
      <c r="B2667" s="4" t="s">
        <v>535</v>
      </c>
      <c r="C2667" s="4" t="s">
        <v>283</v>
      </c>
      <c r="D2667" s="94">
        <v>2846.0</v>
      </c>
    </row>
    <row r="2668">
      <c r="A2668" s="40">
        <f t="array" ref="A2668">IFNA(index(PlayerValues!A:A,match(IFNA(vlookup(B2668,'Special Names'!A:B,2,FALSE),B2668),PlayerValues!E:E,0)),"N/A")</f>
        <v>17072</v>
      </c>
      <c r="B2668" s="4" t="s">
        <v>508</v>
      </c>
      <c r="C2668" s="4" t="s">
        <v>287</v>
      </c>
      <c r="D2668" s="94">
        <v>2843.0</v>
      </c>
    </row>
    <row r="2669">
      <c r="A2669" s="40">
        <f t="array" ref="A2669">IFNA(index(PlayerValues!A:A,match(IFNA(vlookup(B2669,'Special Names'!A:B,2,FALSE),B2669),PlayerValues!E:E,0)),"N/A")</f>
        <v>17157</v>
      </c>
      <c r="B2669" s="4" t="s">
        <v>524</v>
      </c>
      <c r="C2669" s="4" t="s">
        <v>287</v>
      </c>
      <c r="D2669" s="94">
        <v>2836.0</v>
      </c>
    </row>
    <row r="2670">
      <c r="A2670" s="40">
        <f t="array" ref="A2670">IFNA(index(PlayerValues!A:A,match(IFNA(vlookup(B2670,'Special Names'!A:B,2,FALSE),B2670),PlayerValues!E:E,0)),"N/A")</f>
        <v>17256</v>
      </c>
      <c r="B2670" s="4" t="s">
        <v>462</v>
      </c>
      <c r="C2670" s="4" t="s">
        <v>278</v>
      </c>
      <c r="D2670" s="94">
        <v>2832.0</v>
      </c>
    </row>
    <row r="2671">
      <c r="A2671" s="40">
        <f t="array" ref="A2671">IFNA(index(PlayerValues!A:A,match(IFNA(vlookup(B2671,'Special Names'!A:B,2,FALSE),B2671),PlayerValues!E:E,0)),"N/A")</f>
        <v>14860</v>
      </c>
      <c r="B2671" s="4" t="s">
        <v>554</v>
      </c>
      <c r="C2671" s="4" t="s">
        <v>287</v>
      </c>
      <c r="D2671" s="94">
        <v>2823.0</v>
      </c>
    </row>
    <row r="2672">
      <c r="A2672" s="40">
        <f t="array" ref="A2672">IFNA(index(PlayerValues!A:A,match(IFNA(vlookup(B2672,'Special Names'!A:B,2,FALSE),B2672),PlayerValues!E:E,0)),"N/A")</f>
        <v>17053</v>
      </c>
      <c r="B2672" s="4" t="s">
        <v>484</v>
      </c>
      <c r="C2672" s="4" t="s">
        <v>278</v>
      </c>
      <c r="D2672" s="94">
        <v>2818.0</v>
      </c>
    </row>
    <row r="2673">
      <c r="A2673" s="40">
        <f t="array" ref="A2673">IFNA(index(PlayerValues!A:A,match(IFNA(vlookup(B2673,'Special Names'!A:B,2,FALSE),B2673),PlayerValues!E:E,0)),"N/A")</f>
        <v>17073</v>
      </c>
      <c r="B2673" s="4" t="s">
        <v>547</v>
      </c>
      <c r="C2673" s="4" t="s">
        <v>287</v>
      </c>
      <c r="D2673" s="94">
        <v>2814.0</v>
      </c>
    </row>
    <row r="2674">
      <c r="A2674" s="40">
        <f t="array" ref="A2674">IFNA(index(PlayerValues!A:A,match(IFNA(vlookup(B2674,'Special Names'!A:B,2,FALSE),B2674),PlayerValues!E:E,0)),"N/A")</f>
        <v>17080</v>
      </c>
      <c r="B2674" s="4" t="s">
        <v>532</v>
      </c>
      <c r="C2674" s="4" t="s">
        <v>287</v>
      </c>
      <c r="D2674" s="94">
        <v>2805.0</v>
      </c>
    </row>
    <row r="2675">
      <c r="A2675" s="40">
        <f t="array" ref="A2675">IFNA(index(PlayerValues!A:A,match(IFNA(vlookup(B2675,'Special Names'!A:B,2,FALSE),B2675),PlayerValues!E:E,0)),"N/A")</f>
        <v>17082</v>
      </c>
      <c r="B2675" s="4" t="s">
        <v>498</v>
      </c>
      <c r="C2675" s="4" t="s">
        <v>287</v>
      </c>
      <c r="D2675" s="94">
        <v>2790.0</v>
      </c>
    </row>
    <row r="2676">
      <c r="A2676" s="40">
        <f t="array" ref="A2676">IFNA(index(PlayerValues!A:A,match(IFNA(vlookup(B2676,'Special Names'!A:B,2,FALSE),B2676),PlayerValues!E:E,0)),"N/A")</f>
        <v>14138</v>
      </c>
      <c r="B2676" s="4" t="s">
        <v>531</v>
      </c>
      <c r="C2676" s="4" t="s">
        <v>298</v>
      </c>
      <c r="D2676" s="94">
        <v>3203.0</v>
      </c>
    </row>
    <row r="2677">
      <c r="A2677" s="40">
        <f t="array" ref="A2677">IFNA(index(PlayerValues!A:A,match(IFNA(vlookup(B2677,'Special Names'!A:B,2,FALSE),B2677),PlayerValues!E:E,0)),"N/A")</f>
        <v>12616</v>
      </c>
      <c r="B2677" s="4" t="s">
        <v>529</v>
      </c>
      <c r="C2677" s="4" t="s">
        <v>283</v>
      </c>
      <c r="D2677" s="94">
        <v>2772.0</v>
      </c>
    </row>
    <row r="2678">
      <c r="A2678" s="40">
        <f t="array" ref="A2678">IFNA(index(PlayerValues!A:A,match(IFNA(vlookup(B2678,'Special Names'!A:B,2,FALSE),B2678),PlayerValues!E:E,0)),"N/A")</f>
        <v>17477</v>
      </c>
      <c r="B2678" s="4" t="s">
        <v>452</v>
      </c>
      <c r="C2678" s="4" t="s">
        <v>278</v>
      </c>
      <c r="D2678" s="94">
        <v>2766.0</v>
      </c>
    </row>
    <row r="2679">
      <c r="A2679" s="40">
        <f t="array" ref="A2679">IFNA(index(PlayerValues!A:A,match(IFNA(vlookup(B2679,'Special Names'!A:B,2,FALSE),B2679),PlayerValues!E:E,0)),"N/A")</f>
        <v>15889</v>
      </c>
      <c r="B2679" s="4" t="s">
        <v>503</v>
      </c>
      <c r="C2679" s="4" t="s">
        <v>298</v>
      </c>
      <c r="D2679" s="94">
        <v>3173.0</v>
      </c>
    </row>
    <row r="2680">
      <c r="A2680" s="40">
        <f t="array" ref="A2680">IFNA(index(PlayerValues!A:A,match(IFNA(vlookup(B2680,'Special Names'!A:B,2,FALSE),B2680),PlayerValues!E:E,0)),"N/A")</f>
        <v>17098</v>
      </c>
      <c r="B2680" s="4" t="s">
        <v>533</v>
      </c>
      <c r="C2680" s="4" t="s">
        <v>287</v>
      </c>
      <c r="D2680" s="94">
        <v>2747.0</v>
      </c>
    </row>
    <row r="2681">
      <c r="A2681" s="40">
        <f t="array" ref="A2681">IFNA(index(PlayerValues!A:A,match(IFNA(vlookup(B2681,'Special Names'!A:B,2,FALSE),B2681),PlayerValues!E:E,0)),"N/A")</f>
        <v>16596</v>
      </c>
      <c r="B2681" s="4" t="s">
        <v>501</v>
      </c>
      <c r="C2681" s="4" t="s">
        <v>278</v>
      </c>
      <c r="D2681" s="94">
        <v>2740.0</v>
      </c>
    </row>
    <row r="2682">
      <c r="A2682" s="40">
        <f t="array" ref="A2682">IFNA(index(PlayerValues!A:A,match(IFNA(vlookup(B2682,'Special Names'!A:B,2,FALSE),B2682),PlayerValues!E:E,0)),"N/A")</f>
        <v>13671</v>
      </c>
      <c r="B2682" s="4" t="s">
        <v>506</v>
      </c>
      <c r="C2682" s="4" t="s">
        <v>298</v>
      </c>
      <c r="D2682" s="94">
        <v>3151.0</v>
      </c>
    </row>
    <row r="2683">
      <c r="A2683" s="40">
        <f t="array" ref="A2683">IFNA(index(PlayerValues!A:A,match(IFNA(vlookup(B2683,'Special Names'!A:B,2,FALSE),B2683),PlayerValues!E:E,0)),"N/A")</f>
        <v>17171</v>
      </c>
      <c r="B2683" s="4" t="s">
        <v>561</v>
      </c>
      <c r="C2683" s="4" t="s">
        <v>287</v>
      </c>
      <c r="D2683" s="94">
        <v>2733.0</v>
      </c>
    </row>
    <row r="2684">
      <c r="A2684" s="40" t="str">
        <f t="array" ref="A2684">IFNA(index(PlayerValues!A:A,match(IFNA(vlookup(B2684,'Special Names'!A:B,2,FALSE),B2684),PlayerValues!E:E,0)),"N/A")</f>
        <v>N/A</v>
      </c>
      <c r="B2684" s="4" t="s">
        <v>110</v>
      </c>
      <c r="C2684" s="4" t="s">
        <v>325</v>
      </c>
      <c r="D2684" s="94">
        <v>2727.0</v>
      </c>
    </row>
    <row r="2685">
      <c r="A2685" s="40">
        <f t="array" ref="A2685">IFNA(index(PlayerValues!A:A,match(IFNA(vlookup(B2685,'Special Names'!A:B,2,FALSE),B2685),PlayerValues!E:E,0)),"N/A")</f>
        <v>14778</v>
      </c>
      <c r="B2685" s="4" t="s">
        <v>564</v>
      </c>
      <c r="C2685" s="4" t="s">
        <v>283</v>
      </c>
      <c r="D2685" s="94">
        <v>2725.0</v>
      </c>
    </row>
    <row r="2686">
      <c r="A2686" s="40">
        <f t="array" ref="A2686">IFNA(index(PlayerValues!A:A,match(IFNA(vlookup(B2686,'Special Names'!A:B,2,FALSE),B2686),PlayerValues!E:E,0)),"N/A")</f>
        <v>16594</v>
      </c>
      <c r="B2686" s="4" t="s">
        <v>607</v>
      </c>
      <c r="C2686" s="4" t="s">
        <v>278</v>
      </c>
      <c r="D2686" s="94">
        <v>2717.0</v>
      </c>
    </row>
    <row r="2687">
      <c r="A2687" s="40">
        <f t="array" ref="A2687">IFNA(index(PlayerValues!A:A,match(IFNA(vlookup(B2687,'Special Names'!A:B,2,FALSE),B2687),PlayerValues!E:E,0)),"N/A")</f>
        <v>17047</v>
      </c>
      <c r="B2687" s="4" t="s">
        <v>510</v>
      </c>
      <c r="C2687" s="4" t="s">
        <v>278</v>
      </c>
      <c r="D2687" s="94">
        <v>2716.0</v>
      </c>
    </row>
    <row r="2688">
      <c r="A2688" s="40">
        <f t="array" ref="A2688">IFNA(index(PlayerValues!A:A,match(IFNA(vlookup(B2688,'Special Names'!A:B,2,FALSE),B2688),PlayerValues!E:E,0)),"N/A")</f>
        <v>14833</v>
      </c>
      <c r="B2688" s="4" t="s">
        <v>553</v>
      </c>
      <c r="C2688" s="4" t="s">
        <v>287</v>
      </c>
      <c r="D2688" s="94">
        <v>2714.0</v>
      </c>
    </row>
    <row r="2689">
      <c r="A2689" s="40">
        <f t="array" ref="A2689">IFNA(index(PlayerValues!A:A,match(IFNA(vlookup(B2689,'Special Names'!A:B,2,FALSE),B2689),PlayerValues!E:E,0)),"N/A")</f>
        <v>15972</v>
      </c>
      <c r="B2689" s="4" t="s">
        <v>469</v>
      </c>
      <c r="C2689" s="4" t="s">
        <v>278</v>
      </c>
      <c r="D2689" s="94">
        <v>2714.0</v>
      </c>
    </row>
    <row r="2690">
      <c r="A2690" s="40">
        <f t="array" ref="A2690">IFNA(index(PlayerValues!A:A,match(IFNA(vlookup(B2690,'Special Names'!A:B,2,FALSE),B2690),PlayerValues!E:E,0)),"N/A")</f>
        <v>16626</v>
      </c>
      <c r="B2690" s="4" t="s">
        <v>515</v>
      </c>
      <c r="C2690" s="4" t="s">
        <v>287</v>
      </c>
      <c r="D2690" s="94">
        <v>2712.0</v>
      </c>
    </row>
    <row r="2691">
      <c r="A2691" s="40">
        <f t="array" ref="A2691">IFNA(index(PlayerValues!A:A,match(IFNA(vlookup(B2691,'Special Names'!A:B,2,FALSE),B2691),PlayerValues!E:E,0)),"N/A")</f>
        <v>15721</v>
      </c>
      <c r="B2691" s="4" t="s">
        <v>504</v>
      </c>
      <c r="C2691" s="4" t="s">
        <v>278</v>
      </c>
      <c r="D2691" s="94">
        <v>2708.0</v>
      </c>
    </row>
    <row r="2692">
      <c r="A2692" s="40">
        <f t="array" ref="A2692">IFNA(index(PlayerValues!A:A,match(IFNA(vlookup(B2692,'Special Names'!A:B,2,FALSE),B2692),PlayerValues!E:E,0)),"N/A")</f>
        <v>13192</v>
      </c>
      <c r="B2692" s="4" t="s">
        <v>563</v>
      </c>
      <c r="C2692" s="4" t="s">
        <v>298</v>
      </c>
      <c r="D2692" s="94">
        <v>3118.0</v>
      </c>
    </row>
    <row r="2693">
      <c r="A2693" s="40">
        <f t="array" ref="A2693">IFNA(index(PlayerValues!A:A,match(IFNA(vlookup(B2693,'Special Names'!A:B,2,FALSE),B2693),PlayerValues!E:E,0)),"N/A")</f>
        <v>17134</v>
      </c>
      <c r="B2693" s="4" t="s">
        <v>548</v>
      </c>
      <c r="C2693" s="4" t="s">
        <v>287</v>
      </c>
      <c r="D2693" s="94">
        <v>2698.0</v>
      </c>
    </row>
    <row r="2694">
      <c r="A2694" s="40">
        <f t="array" ref="A2694">IFNA(index(PlayerValues!A:A,match(IFNA(vlookup(B2694,'Special Names'!A:B,2,FALSE),B2694),PlayerValues!E:E,0)),"N/A")</f>
        <v>14085</v>
      </c>
      <c r="B2694" s="4" t="s">
        <v>489</v>
      </c>
      <c r="C2694" s="4" t="s">
        <v>278</v>
      </c>
      <c r="D2694" s="94">
        <v>2668.0</v>
      </c>
    </row>
    <row r="2695">
      <c r="A2695" s="40">
        <f t="array" ref="A2695">IFNA(index(PlayerValues!A:A,match(IFNA(vlookup(B2695,'Special Names'!A:B,2,FALSE),B2695),PlayerValues!E:E,0)),"N/A")</f>
        <v>16165</v>
      </c>
      <c r="B2695" s="4" t="s">
        <v>520</v>
      </c>
      <c r="C2695" s="4" t="s">
        <v>278</v>
      </c>
      <c r="D2695" s="94">
        <v>2651.0</v>
      </c>
    </row>
    <row r="2696">
      <c r="A2696" s="40">
        <f t="array" ref="A2696">IFNA(index(PlayerValues!A:A,match(IFNA(vlookup(B2696,'Special Names'!A:B,2,FALSE),B2696),PlayerValues!E:E,0)),"N/A")</f>
        <v>13674</v>
      </c>
      <c r="B2696" s="4" t="s">
        <v>511</v>
      </c>
      <c r="C2696" s="4" t="s">
        <v>298</v>
      </c>
      <c r="D2696" s="94">
        <v>3048.0</v>
      </c>
    </row>
    <row r="2697">
      <c r="A2697" s="40">
        <f t="array" ref="A2697">IFNA(index(PlayerValues!A:A,match(IFNA(vlookup(B2697,'Special Names'!A:B,2,FALSE),B2697),PlayerValues!E:E,0)),"N/A")</f>
        <v>17544</v>
      </c>
      <c r="B2697" s="4" t="s">
        <v>470</v>
      </c>
      <c r="C2697" s="4" t="s">
        <v>298</v>
      </c>
      <c r="D2697" s="94">
        <v>3038.0</v>
      </c>
    </row>
    <row r="2698">
      <c r="A2698" s="40">
        <f t="array" ref="A2698">IFNA(index(PlayerValues!A:A,match(IFNA(vlookup(B2698,'Special Names'!A:B,2,FALSE),B2698),PlayerValues!E:E,0)),"N/A")</f>
        <v>16747</v>
      </c>
      <c r="B2698" s="4" t="s">
        <v>555</v>
      </c>
      <c r="C2698" s="4" t="s">
        <v>278</v>
      </c>
      <c r="D2698" s="94">
        <v>2589.0</v>
      </c>
    </row>
    <row r="2699">
      <c r="A2699" s="40">
        <f t="array" ref="A2699">IFNA(index(PlayerValues!A:A,match(IFNA(vlookup(B2699,'Special Names'!A:B,2,FALSE),B2699),PlayerValues!E:E,0)),"N/A")</f>
        <v>14840</v>
      </c>
      <c r="B2699" s="4" t="s">
        <v>731</v>
      </c>
      <c r="C2699" s="4" t="s">
        <v>287</v>
      </c>
      <c r="D2699" s="94">
        <v>2579.0</v>
      </c>
    </row>
    <row r="2700">
      <c r="A2700" s="40">
        <f t="array" ref="A2700">IFNA(index(PlayerValues!A:A,match(IFNA(vlookup(B2700,'Special Names'!A:B,2,FALSE),B2700),PlayerValues!E:E,0)),"N/A")</f>
        <v>17105</v>
      </c>
      <c r="B2700" s="4" t="s">
        <v>525</v>
      </c>
      <c r="C2700" s="4" t="s">
        <v>298</v>
      </c>
      <c r="D2700" s="94">
        <v>2973.0</v>
      </c>
    </row>
    <row r="2701">
      <c r="A2701" s="40" t="str">
        <f t="array" ref="A2701">IFNA(index(PlayerValues!A:A,match(IFNA(vlookup(B2701,'Special Names'!A:B,2,FALSE),B2701),PlayerValues!E:E,0)),"N/A")</f>
        <v>N/A</v>
      </c>
      <c r="B2701" s="4" t="s">
        <v>98</v>
      </c>
      <c r="C2701" s="4" t="s">
        <v>325</v>
      </c>
      <c r="D2701" s="94">
        <v>2562.0</v>
      </c>
    </row>
    <row r="2702">
      <c r="A2702" s="40">
        <f t="array" ref="A2702">IFNA(index(PlayerValues!A:A,match(IFNA(vlookup(B2702,'Special Names'!A:B,2,FALSE),B2702),PlayerValues!E:E,0)),"N/A")</f>
        <v>16617</v>
      </c>
      <c r="B2702" s="4" t="s">
        <v>541</v>
      </c>
      <c r="C2702" s="4" t="s">
        <v>287</v>
      </c>
      <c r="D2702" s="94">
        <v>2552.0</v>
      </c>
    </row>
    <row r="2703">
      <c r="A2703" s="40">
        <f t="array" ref="A2703">IFNA(index(PlayerValues!A:A,match(IFNA(vlookup(B2703,'Special Names'!A:B,2,FALSE),B2703),PlayerValues!E:E,0)),"N/A")</f>
        <v>17108</v>
      </c>
      <c r="B2703" s="4" t="s">
        <v>542</v>
      </c>
      <c r="C2703" s="4" t="s">
        <v>298</v>
      </c>
      <c r="D2703" s="94">
        <v>2954.0</v>
      </c>
    </row>
    <row r="2704">
      <c r="A2704" s="40">
        <f t="array" ref="A2704">IFNA(index(PlayerValues!A:A,match(IFNA(vlookup(B2704,'Special Names'!A:B,2,FALSE),B2704),PlayerValues!E:E,0)),"N/A")</f>
        <v>16178</v>
      </c>
      <c r="B2704" s="4" t="s">
        <v>507</v>
      </c>
      <c r="C2704" s="4" t="s">
        <v>278</v>
      </c>
      <c r="D2704" s="94">
        <v>2535.0</v>
      </c>
    </row>
    <row r="2705">
      <c r="A2705" s="40">
        <f t="array" ref="A2705">IFNA(index(PlayerValues!A:A,match(IFNA(vlookup(B2705,'Special Names'!A:B,2,FALSE),B2705),PlayerValues!E:E,0)),"N/A")</f>
        <v>16164</v>
      </c>
      <c r="B2705" s="4" t="s">
        <v>512</v>
      </c>
      <c r="C2705" s="4" t="s">
        <v>278</v>
      </c>
      <c r="D2705" s="94">
        <v>2529.0</v>
      </c>
    </row>
    <row r="2706">
      <c r="A2706" s="40" t="str">
        <f t="array" ref="A2706">IFNA(index(PlayerValues!A:A,match(IFNA(vlookup(B2706,'Special Names'!A:B,2,FALSE),B2706),PlayerValues!E:E,0)),"N/A")</f>
        <v>N/A</v>
      </c>
      <c r="B2706" s="4" t="s">
        <v>557</v>
      </c>
      <c r="C2706" s="4" t="s">
        <v>278</v>
      </c>
      <c r="D2706" s="94">
        <v>2525.0</v>
      </c>
    </row>
    <row r="2707">
      <c r="A2707" s="40">
        <f t="array" ref="A2707">IFNA(index(PlayerValues!A:A,match(IFNA(vlookup(B2707,'Special Names'!A:B,2,FALSE),B2707),PlayerValues!E:E,0)),"N/A")</f>
        <v>14136</v>
      </c>
      <c r="B2707" s="4" t="s">
        <v>536</v>
      </c>
      <c r="C2707" s="4" t="s">
        <v>287</v>
      </c>
      <c r="D2707" s="94">
        <v>2517.0</v>
      </c>
    </row>
    <row r="2708">
      <c r="A2708" s="40">
        <f t="array" ref="A2708">IFNA(index(PlayerValues!A:A,match(IFNA(vlookup(B2708,'Special Names'!A:B,2,FALSE),B2708),PlayerValues!E:E,0)),"N/A")</f>
        <v>16204</v>
      </c>
      <c r="B2708" s="4" t="s">
        <v>530</v>
      </c>
      <c r="C2708" s="4" t="s">
        <v>287</v>
      </c>
      <c r="D2708" s="94">
        <v>2514.0</v>
      </c>
    </row>
    <row r="2709">
      <c r="A2709" s="40">
        <f t="array" ref="A2709">IFNA(index(PlayerValues!A:A,match(IFNA(vlookup(B2709,'Special Names'!A:B,2,FALSE),B2709),PlayerValues!E:E,0)),"N/A")</f>
        <v>15802</v>
      </c>
      <c r="B2709" s="4" t="s">
        <v>566</v>
      </c>
      <c r="C2709" s="4" t="s">
        <v>298</v>
      </c>
      <c r="D2709" s="94">
        <v>2919.0</v>
      </c>
    </row>
    <row r="2710">
      <c r="A2710" s="40">
        <f t="array" ref="A2710">IFNA(index(PlayerValues!A:A,match(IFNA(vlookup(B2710,'Special Names'!A:B,2,FALSE),B2710),PlayerValues!E:E,0)),"N/A")</f>
        <v>16152</v>
      </c>
      <c r="B2710" s="4" t="s">
        <v>601</v>
      </c>
      <c r="C2710" s="4" t="s">
        <v>283</v>
      </c>
      <c r="D2710" s="94">
        <v>2510.0</v>
      </c>
    </row>
    <row r="2711">
      <c r="A2711" s="40">
        <f t="array" ref="A2711">IFNA(index(PlayerValues!A:A,match(IFNA(vlookup(B2711,'Special Names'!A:B,2,FALSE),B2711),PlayerValues!E:E,0)),"N/A")</f>
        <v>16166</v>
      </c>
      <c r="B2711" s="4" t="s">
        <v>567</v>
      </c>
      <c r="C2711" s="4" t="s">
        <v>278</v>
      </c>
      <c r="D2711" s="94">
        <v>2494.0</v>
      </c>
    </row>
    <row r="2712">
      <c r="A2712" s="40">
        <f t="array" ref="A2712">IFNA(index(PlayerValues!A:A,match(IFNA(vlookup(B2712,'Special Names'!A:B,2,FALSE),B2712),PlayerValues!E:E,0)),"N/A")</f>
        <v>16757</v>
      </c>
      <c r="B2712" s="4" t="s">
        <v>558</v>
      </c>
      <c r="C2712" s="4" t="s">
        <v>278</v>
      </c>
      <c r="D2712" s="94">
        <v>2469.0</v>
      </c>
    </row>
    <row r="2713">
      <c r="A2713" s="40">
        <f t="array" ref="A2713">IFNA(index(PlayerValues!A:A,match(IFNA(vlookup(B2713,'Special Names'!A:B,2,FALSE),B2713),PlayerValues!E:E,0)),"N/A")</f>
        <v>16287</v>
      </c>
      <c r="B2713" s="4" t="s">
        <v>516</v>
      </c>
      <c r="C2713" s="4" t="s">
        <v>287</v>
      </c>
      <c r="D2713" s="94">
        <v>2460.0</v>
      </c>
    </row>
    <row r="2714">
      <c r="A2714" s="40">
        <f t="array" ref="A2714">IFNA(index(PlayerValues!A:A,match(IFNA(vlookup(B2714,'Special Names'!A:B,2,FALSE),B2714),PlayerValues!E:E,0)),"N/A")</f>
        <v>17033</v>
      </c>
      <c r="B2714" s="4" t="s">
        <v>570</v>
      </c>
      <c r="C2714" s="4" t="s">
        <v>283</v>
      </c>
      <c r="D2714" s="94">
        <v>2457.0</v>
      </c>
    </row>
    <row r="2715">
      <c r="A2715" s="40">
        <f t="array" ref="A2715">IFNA(index(PlayerValues!A:A,match(IFNA(vlookup(B2715,'Special Names'!A:B,2,FALSE),B2715),PlayerValues!E:E,0)),"N/A")</f>
        <v>11244</v>
      </c>
      <c r="B2715" s="4" t="s">
        <v>519</v>
      </c>
      <c r="C2715" s="4" t="s">
        <v>298</v>
      </c>
      <c r="D2715" s="94">
        <v>2859.0</v>
      </c>
    </row>
    <row r="2716">
      <c r="A2716" s="40">
        <f t="array" ref="A2716">IFNA(index(PlayerValues!A:A,match(IFNA(vlookup(B2716,'Special Names'!A:B,2,FALSE),B2716),PlayerValues!E:E,0)),"N/A")</f>
        <v>17476</v>
      </c>
      <c r="B2716" s="4" t="s">
        <v>494</v>
      </c>
      <c r="C2716" s="4" t="s">
        <v>278</v>
      </c>
      <c r="D2716" s="94">
        <v>2447.0</v>
      </c>
    </row>
    <row r="2717">
      <c r="A2717" s="40">
        <f t="array" ref="A2717">IFNA(index(PlayerValues!A:A,match(IFNA(vlookup(B2717,'Special Names'!A:B,2,FALSE),B2717),PlayerValues!E:E,0)),"N/A")</f>
        <v>16649</v>
      </c>
      <c r="B2717" s="4" t="s">
        <v>586</v>
      </c>
      <c r="C2717" s="4" t="s">
        <v>298</v>
      </c>
      <c r="D2717" s="94">
        <v>2845.0</v>
      </c>
    </row>
    <row r="2718">
      <c r="A2718" s="40">
        <f t="array" ref="A2718">IFNA(index(PlayerValues!A:A,match(IFNA(vlookup(B2718,'Special Names'!A:B,2,FALSE),B2718),PlayerValues!E:E,0)),"N/A")</f>
        <v>14861</v>
      </c>
      <c r="B2718" s="4" t="s">
        <v>523</v>
      </c>
      <c r="C2718" s="4" t="s">
        <v>298</v>
      </c>
      <c r="D2718" s="94">
        <v>2833.0</v>
      </c>
    </row>
    <row r="2719">
      <c r="A2719" s="40">
        <f t="array" ref="A2719">IFNA(index(PlayerValues!A:A,match(IFNA(vlookup(B2719,'Special Names'!A:B,2,FALSE),B2719),PlayerValues!E:E,0)),"N/A")</f>
        <v>16684</v>
      </c>
      <c r="B2719" s="4" t="s">
        <v>500</v>
      </c>
      <c r="C2719" s="4" t="s">
        <v>287</v>
      </c>
      <c r="D2719" s="94">
        <v>2429.0</v>
      </c>
    </row>
    <row r="2720">
      <c r="A2720" s="40">
        <f t="array" ref="A2720">IFNA(index(PlayerValues!A:A,match(IFNA(vlookup(B2720,'Special Names'!A:B,2,FALSE),B2720),PlayerValues!E:E,0)),"N/A")</f>
        <v>16189</v>
      </c>
      <c r="B2720" s="4" t="s">
        <v>582</v>
      </c>
      <c r="C2720" s="4" t="s">
        <v>287</v>
      </c>
      <c r="D2720" s="94">
        <v>2413.0</v>
      </c>
    </row>
    <row r="2721">
      <c r="A2721" s="40">
        <f t="array" ref="A2721">IFNA(index(PlayerValues!A:A,match(IFNA(vlookup(B2721,'Special Names'!A:B,2,FALSE),B2721),PlayerValues!E:E,0)),"N/A")</f>
        <v>17505</v>
      </c>
      <c r="B2721" s="4" t="s">
        <v>528</v>
      </c>
      <c r="C2721" s="4" t="s">
        <v>287</v>
      </c>
      <c r="D2721" s="94">
        <v>2413.0</v>
      </c>
    </row>
    <row r="2722">
      <c r="A2722" s="40">
        <f t="array" ref="A2722">IFNA(index(PlayerValues!A:A,match(IFNA(vlookup(B2722,'Special Names'!A:B,2,FALSE),B2722),PlayerValues!E:E,0)),"N/A")</f>
        <v>16036</v>
      </c>
      <c r="B2722" s="4" t="s">
        <v>592</v>
      </c>
      <c r="C2722" s="4" t="s">
        <v>298</v>
      </c>
      <c r="D2722" s="94">
        <v>2801.0</v>
      </c>
    </row>
    <row r="2723">
      <c r="A2723" s="40" t="str">
        <f t="array" ref="A2723">IFNA(index(PlayerValues!A:A,match(IFNA(vlookup(B2723,'Special Names'!A:B,2,FALSE),B2723),PlayerValues!E:E,0)),"N/A")</f>
        <v>N/A</v>
      </c>
      <c r="B2723" s="4" t="s">
        <v>86</v>
      </c>
      <c r="C2723" s="4" t="s">
        <v>325</v>
      </c>
      <c r="D2723" s="94">
        <v>2400.0</v>
      </c>
    </row>
    <row r="2724">
      <c r="A2724" s="40" t="str">
        <f t="array" ref="A2724">IFNA(index(PlayerValues!A:A,match(IFNA(vlookup(B2724,'Special Names'!A:B,2,FALSE),B2724),PlayerValues!E:E,0)),"N/A")</f>
        <v>N/A</v>
      </c>
      <c r="B2724" s="4" t="s">
        <v>99</v>
      </c>
      <c r="C2724" s="4" t="s">
        <v>325</v>
      </c>
      <c r="D2724" s="94">
        <v>2397.0</v>
      </c>
    </row>
    <row r="2725">
      <c r="A2725" s="40">
        <f t="array" ref="A2725">IFNA(index(PlayerValues!A:A,match(IFNA(vlookup(B2725,'Special Names'!A:B,2,FALSE),B2725),PlayerValues!E:E,0)),"N/A")</f>
        <v>17078</v>
      </c>
      <c r="B2725" s="4" t="s">
        <v>543</v>
      </c>
      <c r="C2725" s="4" t="s">
        <v>287</v>
      </c>
      <c r="D2725" s="94">
        <v>2397.0</v>
      </c>
    </row>
    <row r="2726">
      <c r="A2726" s="40">
        <f t="array" ref="A2726">IFNA(index(PlayerValues!A:A,match(IFNA(vlookup(B2726,'Special Names'!A:B,2,FALSE),B2726),PlayerValues!E:E,0)),"N/A")</f>
        <v>15749</v>
      </c>
      <c r="B2726" s="4" t="s">
        <v>574</v>
      </c>
      <c r="C2726" s="4" t="s">
        <v>278</v>
      </c>
      <c r="D2726" s="94">
        <v>2396.0</v>
      </c>
    </row>
    <row r="2727">
      <c r="A2727" s="40">
        <f t="array" ref="A2727">IFNA(index(PlayerValues!A:A,match(IFNA(vlookup(B2727,'Special Names'!A:B,2,FALSE),B2727),PlayerValues!E:E,0)),"N/A")</f>
        <v>17048</v>
      </c>
      <c r="B2727" s="4" t="s">
        <v>539</v>
      </c>
      <c r="C2727" s="4" t="s">
        <v>278</v>
      </c>
      <c r="D2727" s="94">
        <v>2388.0</v>
      </c>
    </row>
    <row r="2728">
      <c r="A2728" s="40">
        <f t="array" ref="A2728">IFNA(index(PlayerValues!A:A,match(IFNA(vlookup(B2728,'Special Names'!A:B,2,FALSE),B2728),PlayerValues!E:E,0)),"N/A")</f>
        <v>15786</v>
      </c>
      <c r="B2728" s="4" t="s">
        <v>521</v>
      </c>
      <c r="C2728" s="4" t="s">
        <v>287</v>
      </c>
      <c r="D2728" s="94">
        <v>2377.0</v>
      </c>
    </row>
    <row r="2729">
      <c r="A2729" s="40">
        <f t="array" ref="A2729">IFNA(index(PlayerValues!A:A,match(IFNA(vlookup(B2729,'Special Names'!A:B,2,FALSE),B2729),PlayerValues!E:E,0)),"N/A")</f>
        <v>16610</v>
      </c>
      <c r="B2729" s="4" t="s">
        <v>562</v>
      </c>
      <c r="C2729" s="4" t="s">
        <v>278</v>
      </c>
      <c r="D2729" s="94">
        <v>2348.0</v>
      </c>
    </row>
    <row r="2730">
      <c r="A2730" s="40">
        <f t="array" ref="A2730">IFNA(index(PlayerValues!A:A,match(IFNA(vlookup(B2730,'Special Names'!A:B,2,FALSE),B2730),PlayerValues!E:E,0)),"N/A")</f>
        <v>12676</v>
      </c>
      <c r="B2730" s="4" t="s">
        <v>537</v>
      </c>
      <c r="C2730" s="4" t="s">
        <v>298</v>
      </c>
      <c r="D2730" s="94">
        <v>2741.0</v>
      </c>
    </row>
    <row r="2731">
      <c r="A2731" s="40">
        <f t="array" ref="A2731">IFNA(index(PlayerValues!A:A,match(IFNA(vlookup(B2731,'Special Names'!A:B,2,FALSE),B2731),PlayerValues!E:E,0)),"N/A")</f>
        <v>16195</v>
      </c>
      <c r="B2731" s="4" t="s">
        <v>509</v>
      </c>
      <c r="C2731" s="4" t="s">
        <v>287</v>
      </c>
      <c r="D2731" s="94">
        <v>2342.0</v>
      </c>
    </row>
    <row r="2732">
      <c r="A2732" s="40">
        <f t="array" ref="A2732">IFNA(index(PlayerValues!A:A,match(IFNA(vlookup(B2732,'Special Names'!A:B,2,FALSE),B2732),PlayerValues!E:E,0)),"N/A")</f>
        <v>16212</v>
      </c>
      <c r="B2732" s="4" t="s">
        <v>568</v>
      </c>
      <c r="C2732" s="4" t="s">
        <v>298</v>
      </c>
      <c r="D2732" s="94">
        <v>2711.0</v>
      </c>
    </row>
    <row r="2733">
      <c r="A2733" s="40">
        <f t="array" ref="A2733">IFNA(index(PlayerValues!A:A,match(IFNA(vlookup(B2733,'Special Names'!A:B,2,FALSE),B2733),PlayerValues!E:E,0)),"N/A")</f>
        <v>17046</v>
      </c>
      <c r="B2733" s="4" t="s">
        <v>602</v>
      </c>
      <c r="C2733" s="4" t="s">
        <v>278</v>
      </c>
      <c r="D2733" s="94">
        <v>2314.0</v>
      </c>
    </row>
    <row r="2734">
      <c r="A2734" s="40">
        <f t="array" ref="A2734">IFNA(index(PlayerValues!A:A,match(IFNA(vlookup(B2734,'Special Names'!A:B,2,FALSE),B2734),PlayerValues!E:E,0)),"N/A")</f>
        <v>12801</v>
      </c>
      <c r="B2734" s="4" t="s">
        <v>722</v>
      </c>
      <c r="C2734" s="4" t="s">
        <v>287</v>
      </c>
      <c r="D2734" s="94">
        <v>2305.0</v>
      </c>
    </row>
    <row r="2735">
      <c r="A2735" s="40">
        <f t="array" ref="A2735">IFNA(index(PlayerValues!A:A,match(IFNA(vlookup(B2735,'Special Names'!A:B,2,FALSE),B2735),PlayerValues!E:E,0)),"N/A")</f>
        <v>15238</v>
      </c>
      <c r="B2735" s="4" t="s">
        <v>613</v>
      </c>
      <c r="C2735" s="4" t="s">
        <v>283</v>
      </c>
      <c r="D2735" s="94">
        <v>2302.0</v>
      </c>
    </row>
    <row r="2736">
      <c r="A2736" s="40">
        <f t="array" ref="A2736">IFNA(index(PlayerValues!A:A,match(IFNA(vlookup(B2736,'Special Names'!A:B,2,FALSE),B2736),PlayerValues!E:E,0)),"N/A")</f>
        <v>13772</v>
      </c>
      <c r="B2736" s="4" t="s">
        <v>544</v>
      </c>
      <c r="C2736" s="4" t="s">
        <v>298</v>
      </c>
      <c r="D2736" s="94">
        <v>2687.0</v>
      </c>
    </row>
    <row r="2737">
      <c r="A2737" s="40">
        <f t="array" ref="A2737">IFNA(index(PlayerValues!A:A,match(IFNA(vlookup(B2737,'Special Names'!A:B,2,FALSE),B2737),PlayerValues!E:E,0)),"N/A")</f>
        <v>17076</v>
      </c>
      <c r="B2737" s="4" t="s">
        <v>585</v>
      </c>
      <c r="C2737" s="4" t="s">
        <v>287</v>
      </c>
      <c r="D2737" s="94">
        <v>2290.0</v>
      </c>
    </row>
    <row r="2738">
      <c r="A2738" s="40">
        <f t="array" ref="A2738">IFNA(index(PlayerValues!A:A,match(IFNA(vlookup(B2738,'Special Names'!A:B,2,FALSE),B2738),PlayerValues!E:E,0)),"N/A")</f>
        <v>16174</v>
      </c>
      <c r="B2738" s="4" t="s">
        <v>505</v>
      </c>
      <c r="C2738" s="4" t="s">
        <v>278</v>
      </c>
      <c r="D2738" s="94">
        <v>2278.0</v>
      </c>
    </row>
    <row r="2739">
      <c r="A2739" s="40">
        <f t="array" ref="A2739">IFNA(index(PlayerValues!A:A,match(IFNA(vlookup(B2739,'Special Names'!A:B,2,FALSE),B2739),PlayerValues!E:E,0)),"N/A")</f>
        <v>17079</v>
      </c>
      <c r="B2739" s="4" t="s">
        <v>572</v>
      </c>
      <c r="C2739" s="4" t="s">
        <v>287</v>
      </c>
      <c r="D2739" s="94">
        <v>2275.0</v>
      </c>
    </row>
    <row r="2740">
      <c r="A2740" s="40">
        <f t="array" ref="A2740">IFNA(index(PlayerValues!A:A,match(IFNA(vlookup(B2740,'Special Names'!A:B,2,FALSE),B2740),PlayerValues!E:E,0)),"N/A")</f>
        <v>15716</v>
      </c>
      <c r="B2740" s="4" t="s">
        <v>545</v>
      </c>
      <c r="C2740" s="4" t="s">
        <v>278</v>
      </c>
      <c r="D2740" s="94">
        <v>2256.0</v>
      </c>
    </row>
    <row r="2741">
      <c r="A2741" s="40" t="str">
        <f t="array" ref="A2741">IFNA(index(PlayerValues!A:A,match(IFNA(vlookup(B2741,'Special Names'!A:B,2,FALSE),B2741),PlayerValues!E:E,0)),"N/A")</f>
        <v>N/A</v>
      </c>
      <c r="B2741" s="4" t="s">
        <v>87</v>
      </c>
      <c r="C2741" s="4" t="s">
        <v>325</v>
      </c>
      <c r="D2741" s="94">
        <v>2250.0</v>
      </c>
    </row>
    <row r="2742">
      <c r="A2742" s="40">
        <f t="array" ref="A2742">IFNA(index(PlayerValues!A:A,match(IFNA(vlookup(B2742,'Special Names'!A:B,2,FALSE),B2742),PlayerValues!E:E,0)),"N/A")</f>
        <v>17482</v>
      </c>
      <c r="B2742" s="4" t="s">
        <v>460</v>
      </c>
      <c r="C2742" s="4" t="s">
        <v>278</v>
      </c>
      <c r="D2742" s="94">
        <v>2248.0</v>
      </c>
    </row>
    <row r="2743">
      <c r="A2743" s="40">
        <f t="array" ref="A2743">IFNA(index(PlayerValues!A:A,match(IFNA(vlookup(B2743,'Special Names'!A:B,2,FALSE),B2743),PlayerValues!E:E,0)),"N/A")</f>
        <v>12186</v>
      </c>
      <c r="B2743" s="4" t="s">
        <v>497</v>
      </c>
      <c r="C2743" s="4" t="s">
        <v>287</v>
      </c>
      <c r="D2743" s="94">
        <v>2246.0</v>
      </c>
    </row>
    <row r="2744">
      <c r="A2744" s="40" t="str">
        <f t="array" ref="A2744">IFNA(index(PlayerValues!A:A,match(IFNA(vlookup(B2744,'Special Names'!A:B,2,FALSE),B2744),PlayerValues!E:E,0)),"N/A")</f>
        <v>N/A</v>
      </c>
      <c r="B2744" s="4" t="s">
        <v>100</v>
      </c>
      <c r="C2744" s="4" t="s">
        <v>325</v>
      </c>
      <c r="D2744" s="94">
        <v>2219.0</v>
      </c>
    </row>
    <row r="2745">
      <c r="A2745" s="40">
        <f t="array" ref="A2745">IFNA(index(PlayerValues!A:A,match(IFNA(vlookup(B2745,'Special Names'!A:B,2,FALSE),B2745),PlayerValues!E:E,0)),"N/A")</f>
        <v>15331</v>
      </c>
      <c r="B2745" s="4" t="s">
        <v>560</v>
      </c>
      <c r="C2745" s="4" t="s">
        <v>298</v>
      </c>
      <c r="D2745" s="94">
        <v>2591.0</v>
      </c>
    </row>
    <row r="2746">
      <c r="A2746" s="40">
        <f t="array" ref="A2746">IFNA(index(PlayerValues!A:A,match(IFNA(vlookup(B2746,'Special Names'!A:B,2,FALSE),B2746),PlayerValues!E:E,0)),"N/A")</f>
        <v>17087</v>
      </c>
      <c r="B2746" s="4" t="s">
        <v>600</v>
      </c>
      <c r="C2746" s="4" t="s">
        <v>287</v>
      </c>
      <c r="D2746" s="94">
        <v>2194.0</v>
      </c>
    </row>
    <row r="2747">
      <c r="A2747" s="40">
        <f t="array" ref="A2747">IFNA(index(PlayerValues!A:A,match(IFNA(vlookup(B2747,'Special Names'!A:B,2,FALSE),B2747),PlayerValues!E:E,0)),"N/A")</f>
        <v>16432</v>
      </c>
      <c r="B2747" s="4" t="s">
        <v>620</v>
      </c>
      <c r="C2747" s="4" t="s">
        <v>278</v>
      </c>
      <c r="D2747" s="94">
        <v>2188.0</v>
      </c>
    </row>
    <row r="2748">
      <c r="A2748" s="40">
        <f t="array" ref="A2748">IFNA(index(PlayerValues!A:A,match(IFNA(vlookup(B2748,'Special Names'!A:B,2,FALSE),B2748),PlayerValues!E:E,0)),"N/A")</f>
        <v>14871</v>
      </c>
      <c r="B2748" s="4" t="s">
        <v>584</v>
      </c>
      <c r="C2748" s="4" t="s">
        <v>298</v>
      </c>
      <c r="D2748" s="94">
        <v>2560.0</v>
      </c>
    </row>
    <row r="2749">
      <c r="A2749" s="40" t="str">
        <f t="array" ref="A2749">IFNA(index(PlayerValues!A:A,match(IFNA(vlookup(B2749,'Special Names'!A:B,2,FALSE),B2749),PlayerValues!E:E,0)),"N/A")</f>
        <v>N/A</v>
      </c>
      <c r="B2749" s="4" t="s">
        <v>112</v>
      </c>
      <c r="C2749" s="4" t="s">
        <v>325</v>
      </c>
      <c r="D2749" s="94">
        <v>2167.0</v>
      </c>
    </row>
    <row r="2750">
      <c r="A2750" s="40">
        <f t="array" ref="A2750">IFNA(index(PlayerValues!A:A,match(IFNA(vlookup(B2750,'Special Names'!A:B,2,FALSE),B2750),PlayerValues!E:E,0)),"N/A")</f>
        <v>17474</v>
      </c>
      <c r="B2750" s="4" t="s">
        <v>513</v>
      </c>
      <c r="C2750" s="4" t="s">
        <v>278</v>
      </c>
      <c r="D2750" s="94">
        <v>2166.0</v>
      </c>
    </row>
    <row r="2751">
      <c r="A2751" s="40">
        <f t="array" ref="A2751">IFNA(index(PlayerValues!A:A,match(IFNA(vlookup(B2751,'Special Names'!A:B,2,FALSE),B2751),PlayerValues!E:E,0)),"N/A")</f>
        <v>17049</v>
      </c>
      <c r="B2751" s="4" t="s">
        <v>624</v>
      </c>
      <c r="C2751" s="4" t="s">
        <v>278</v>
      </c>
      <c r="D2751" s="94">
        <v>2160.0</v>
      </c>
    </row>
    <row r="2752">
      <c r="A2752" s="40">
        <f t="array" ref="A2752">IFNA(index(PlayerValues!A:A,match(IFNA(vlookup(B2752,'Special Names'!A:B,2,FALSE),B2752),PlayerValues!E:E,0)),"N/A")</f>
        <v>16342</v>
      </c>
      <c r="B2752" s="4" t="s">
        <v>583</v>
      </c>
      <c r="C2752" s="4" t="s">
        <v>287</v>
      </c>
      <c r="D2752" s="94">
        <v>2158.0</v>
      </c>
    </row>
    <row r="2753">
      <c r="A2753" s="40">
        <f t="array" ref="A2753">IFNA(index(PlayerValues!A:A,match(IFNA(vlookup(B2753,'Special Names'!A:B,2,FALSE),B2753),PlayerValues!E:E,0)),"N/A")</f>
        <v>17061</v>
      </c>
      <c r="B2753" s="4" t="s">
        <v>580</v>
      </c>
      <c r="C2753" s="4" t="s">
        <v>278</v>
      </c>
      <c r="D2753" s="94">
        <v>2150.0</v>
      </c>
    </row>
    <row r="2754">
      <c r="A2754" s="40">
        <f t="array" ref="A2754">IFNA(index(PlayerValues!A:A,match(IFNA(vlookup(B2754,'Special Names'!A:B,2,FALSE),B2754),PlayerValues!E:E,0)),"N/A")</f>
        <v>16639</v>
      </c>
      <c r="B2754" s="4" t="s">
        <v>599</v>
      </c>
      <c r="C2754" s="4" t="s">
        <v>287</v>
      </c>
      <c r="D2754" s="94">
        <v>2141.0</v>
      </c>
    </row>
    <row r="2755">
      <c r="A2755" s="40">
        <f t="array" ref="A2755">IFNA(index(PlayerValues!A:A,match(IFNA(vlookup(B2755,'Special Names'!A:B,2,FALSE),B2755),PlayerValues!E:E,0)),"N/A")</f>
        <v>13146</v>
      </c>
      <c r="B2755" s="4" t="s">
        <v>652</v>
      </c>
      <c r="C2755" s="4" t="s">
        <v>278</v>
      </c>
      <c r="D2755" s="94">
        <v>2138.0</v>
      </c>
    </row>
    <row r="2756">
      <c r="A2756" s="40" t="str">
        <f t="array" ref="A2756">IFNA(index(PlayerValues!A:A,match(IFNA(vlookup(B2756,'Special Names'!A:B,2,FALSE),B2756),PlayerValues!E:E,0)),"N/A")</f>
        <v>N/A</v>
      </c>
      <c r="B2756" s="4" t="s">
        <v>88</v>
      </c>
      <c r="C2756" s="4" t="s">
        <v>325</v>
      </c>
      <c r="D2756" s="94">
        <v>2135.0</v>
      </c>
    </row>
    <row r="2757">
      <c r="A2757" s="40" t="str">
        <f t="array" ref="A2757">IFNA(index(PlayerValues!A:A,match(IFNA(vlookup(B2757,'Special Names'!A:B,2,FALSE),B2757),PlayerValues!E:E,0)),"N/A")</f>
        <v>N/A</v>
      </c>
      <c r="B2757" s="4" t="s">
        <v>113</v>
      </c>
      <c r="C2757" s="4" t="s">
        <v>325</v>
      </c>
      <c r="D2757" s="94">
        <v>2134.0</v>
      </c>
    </row>
    <row r="2758">
      <c r="A2758" s="40">
        <f t="array" ref="A2758">IFNA(index(PlayerValues!A:A,match(IFNA(vlookup(B2758,'Special Names'!A:B,2,FALSE),B2758),PlayerValues!E:E,0)),"N/A")</f>
        <v>16191</v>
      </c>
      <c r="B2758" s="4" t="s">
        <v>666</v>
      </c>
      <c r="C2758" s="4" t="s">
        <v>287</v>
      </c>
      <c r="D2758" s="94">
        <v>2132.0</v>
      </c>
    </row>
    <row r="2759">
      <c r="A2759" s="40">
        <f t="array" ref="A2759">IFNA(index(PlayerValues!A:A,match(IFNA(vlookup(B2759,'Special Names'!A:B,2,FALSE),B2759),PlayerValues!E:E,0)),"N/A")</f>
        <v>13132</v>
      </c>
      <c r="B2759" s="4" t="s">
        <v>598</v>
      </c>
      <c r="C2759" s="4" t="s">
        <v>278</v>
      </c>
      <c r="D2759" s="94">
        <v>2128.0</v>
      </c>
    </row>
    <row r="2760">
      <c r="A2760" s="40">
        <f t="array" ref="A2760">IFNA(index(PlayerValues!A:A,match(IFNA(vlookup(B2760,'Special Names'!A:B,2,FALSE),B2760),PlayerValues!E:E,0)),"N/A")</f>
        <v>17509</v>
      </c>
      <c r="B2760" s="4" t="s">
        <v>551</v>
      </c>
      <c r="C2760" s="4" t="s">
        <v>287</v>
      </c>
      <c r="D2760" s="94">
        <v>2124.0</v>
      </c>
    </row>
    <row r="2761">
      <c r="A2761" s="40">
        <f t="array" ref="A2761">IFNA(index(PlayerValues!A:A,match(IFNA(vlookup(B2761,'Special Names'!A:B,2,FALSE),B2761),PlayerValues!E:E,0)),"N/A")</f>
        <v>11150</v>
      </c>
      <c r="B2761" s="4" t="s">
        <v>559</v>
      </c>
      <c r="C2761" s="4" t="s">
        <v>283</v>
      </c>
      <c r="D2761" s="94">
        <v>2122.0</v>
      </c>
    </row>
    <row r="2762">
      <c r="A2762" s="40">
        <f t="array" ref="A2762">IFNA(index(PlayerValues!A:A,match(IFNA(vlookup(B2762,'Special Names'!A:B,2,FALSE),B2762),PlayerValues!E:E,0)),"N/A")</f>
        <v>16643</v>
      </c>
      <c r="B2762" s="4" t="s">
        <v>609</v>
      </c>
      <c r="C2762" s="4" t="s">
        <v>298</v>
      </c>
      <c r="D2762" s="94">
        <v>2515.0</v>
      </c>
    </row>
    <row r="2763">
      <c r="A2763" s="40">
        <f t="array" ref="A2763">IFNA(index(PlayerValues!A:A,match(IFNA(vlookup(B2763,'Special Names'!A:B,2,FALSE),B2763),PlayerValues!E:E,0)),"N/A")</f>
        <v>17507</v>
      </c>
      <c r="B2763" s="4" t="s">
        <v>495</v>
      </c>
      <c r="C2763" s="4" t="s">
        <v>287</v>
      </c>
      <c r="D2763" s="94">
        <v>2122.0</v>
      </c>
    </row>
    <row r="2764">
      <c r="A2764" s="40">
        <f t="array" ref="A2764">IFNA(index(PlayerValues!A:A,match(IFNA(vlookup(B2764,'Special Names'!A:B,2,FALSE),B2764),PlayerValues!E:E,0)),"N/A")</f>
        <v>17056</v>
      </c>
      <c r="B2764" s="4" t="s">
        <v>581</v>
      </c>
      <c r="C2764" s="4" t="s">
        <v>278</v>
      </c>
      <c r="D2764" s="94">
        <v>2118.0</v>
      </c>
    </row>
    <row r="2765">
      <c r="A2765" s="40">
        <f t="array" ref="A2765">IFNA(index(PlayerValues!A:A,match(IFNA(vlookup(B2765,'Special Names'!A:B,2,FALSE),B2765),PlayerValues!E:E,0)),"N/A")</f>
        <v>15293</v>
      </c>
      <c r="B2765" s="4" t="s">
        <v>578</v>
      </c>
      <c r="C2765" s="4" t="s">
        <v>287</v>
      </c>
      <c r="D2765" s="94">
        <v>2111.0</v>
      </c>
    </row>
    <row r="2766">
      <c r="A2766" s="40">
        <f t="array" ref="A2766">IFNA(index(PlayerValues!A:A,match(IFNA(vlookup(B2766,'Special Names'!A:B,2,FALSE),B2766),PlayerValues!E:E,0)),"N/A")</f>
        <v>17060</v>
      </c>
      <c r="B2766" s="4" t="s">
        <v>603</v>
      </c>
      <c r="C2766" s="4" t="s">
        <v>278</v>
      </c>
      <c r="D2766" s="94">
        <v>2111.0</v>
      </c>
    </row>
    <row r="2767">
      <c r="A2767" s="40">
        <f t="array" ref="A2767">IFNA(index(PlayerValues!A:A,match(IFNA(vlookup(B2767,'Special Names'!A:B,2,FALSE),B2767),PlayerValues!E:E,0)),"N/A")</f>
        <v>14974</v>
      </c>
      <c r="B2767" s="4" t="s">
        <v>611</v>
      </c>
      <c r="C2767" s="4" t="s">
        <v>287</v>
      </c>
      <c r="D2767" s="94">
        <v>2104.0</v>
      </c>
    </row>
    <row r="2768">
      <c r="A2768" s="40">
        <f t="array" ref="A2768">IFNA(index(PlayerValues!A:A,match(IFNA(vlookup(B2768,'Special Names'!A:B,2,FALSE),B2768),PlayerValues!E:E,0)),"N/A")</f>
        <v>13633</v>
      </c>
      <c r="B2768" s="4" t="s">
        <v>625</v>
      </c>
      <c r="C2768" s="4" t="s">
        <v>287</v>
      </c>
      <c r="D2768" s="94">
        <v>2098.0</v>
      </c>
    </row>
    <row r="2769">
      <c r="A2769" s="40">
        <f t="array" ref="A2769">IFNA(index(PlayerValues!A:A,match(IFNA(vlookup(B2769,'Special Names'!A:B,2,FALSE),B2769),PlayerValues!E:E,0)),"N/A")</f>
        <v>17036</v>
      </c>
      <c r="B2769" s="4" t="s">
        <v>617</v>
      </c>
      <c r="C2769" s="4" t="s">
        <v>283</v>
      </c>
      <c r="D2769" s="94">
        <v>2092.0</v>
      </c>
    </row>
    <row r="2770">
      <c r="A2770" s="40">
        <f t="array" ref="A2770">IFNA(index(PlayerValues!A:A,match(IFNA(vlookup(B2770,'Special Names'!A:B,2,FALSE),B2770),PlayerValues!E:E,0)),"N/A")</f>
        <v>13319</v>
      </c>
      <c r="B2770" s="4" t="s">
        <v>549</v>
      </c>
      <c r="C2770" s="4" t="s">
        <v>278</v>
      </c>
      <c r="D2770" s="94">
        <v>2087.0</v>
      </c>
    </row>
    <row r="2771">
      <c r="A2771" s="40">
        <f t="array" ref="A2771">IFNA(index(PlayerValues!A:A,match(IFNA(vlookup(B2771,'Special Names'!A:B,2,FALSE),B2771),PlayerValues!E:E,0)),"N/A")</f>
        <v>17464</v>
      </c>
      <c r="B2771" s="4" t="s">
        <v>828</v>
      </c>
      <c r="C2771" s="4" t="s">
        <v>283</v>
      </c>
      <c r="D2771" s="94">
        <v>2053.0</v>
      </c>
    </row>
    <row r="2772">
      <c r="A2772" s="40">
        <f t="array" ref="A2772">IFNA(index(PlayerValues!A:A,match(IFNA(vlookup(B2772,'Special Names'!A:B,2,FALSE),B2772),PlayerValues!E:E,0)),"N/A")</f>
        <v>14867</v>
      </c>
      <c r="B2772" s="4" t="s">
        <v>591</v>
      </c>
      <c r="C2772" s="4" t="s">
        <v>298</v>
      </c>
      <c r="D2772" s="94">
        <v>2441.0</v>
      </c>
    </row>
    <row r="2773">
      <c r="A2773" s="40">
        <f t="array" ref="A2773">IFNA(index(PlayerValues!A:A,match(IFNA(vlookup(B2773,'Special Names'!A:B,2,FALSE),B2773),PlayerValues!E:E,0)),"N/A")</f>
        <v>17465</v>
      </c>
      <c r="B2773" s="4" t="s">
        <v>649</v>
      </c>
      <c r="C2773" s="4" t="s">
        <v>283</v>
      </c>
      <c r="D2773" s="94">
        <v>2046.0</v>
      </c>
    </row>
    <row r="2774">
      <c r="A2774" s="40">
        <f t="array" ref="A2774">IFNA(index(PlayerValues!A:A,match(IFNA(vlookup(B2774,'Special Names'!A:B,2,FALSE),B2774),PlayerValues!E:E,0)),"N/A")</f>
        <v>17069</v>
      </c>
      <c r="B2774" s="4" t="s">
        <v>604</v>
      </c>
      <c r="C2774" s="4" t="s">
        <v>278</v>
      </c>
      <c r="D2774" s="94">
        <v>2021.0</v>
      </c>
    </row>
    <row r="2775">
      <c r="A2775" s="40">
        <f t="array" ref="A2775">IFNA(index(PlayerValues!A:A,match(IFNA(vlookup(B2775,'Special Names'!A:B,2,FALSE),B2775),PlayerValues!E:E,0)),"N/A")</f>
        <v>16171</v>
      </c>
      <c r="B2775" s="4" t="s">
        <v>618</v>
      </c>
      <c r="C2775" s="4" t="s">
        <v>278</v>
      </c>
      <c r="D2775" s="94">
        <v>1991.0</v>
      </c>
    </row>
    <row r="2776">
      <c r="A2776" s="40">
        <f t="array" ref="A2776">IFNA(index(PlayerValues!A:A,match(IFNA(vlookup(B2776,'Special Names'!A:B,2,FALSE),B2776),PlayerValues!E:E,0)),"N/A")</f>
        <v>16603</v>
      </c>
      <c r="B2776" s="4" t="s">
        <v>587</v>
      </c>
      <c r="C2776" s="4" t="s">
        <v>278</v>
      </c>
      <c r="D2776" s="94">
        <v>1974.0</v>
      </c>
    </row>
    <row r="2777">
      <c r="A2777" s="40" t="str">
        <f t="array" ref="A2777">IFNA(index(PlayerValues!A:A,match(IFNA(vlookup(B2777,'Special Names'!A:B,2,FALSE),B2777),PlayerValues!E:E,0)),"N/A")</f>
        <v>N/A</v>
      </c>
      <c r="B2777" s="4" t="s">
        <v>114</v>
      </c>
      <c r="C2777" s="4" t="s">
        <v>325</v>
      </c>
      <c r="D2777" s="94">
        <v>1964.0</v>
      </c>
    </row>
    <row r="2778">
      <c r="A2778" s="40">
        <f t="array" ref="A2778">IFNA(index(PlayerValues!A:A,match(IFNA(vlookup(B2778,'Special Names'!A:B,2,FALSE),B2778),PlayerValues!E:E,0)),"N/A")</f>
        <v>17506</v>
      </c>
      <c r="B2778" s="4" t="s">
        <v>471</v>
      </c>
      <c r="C2778" s="4" t="s">
        <v>287</v>
      </c>
      <c r="D2778" s="94">
        <v>1961.0</v>
      </c>
    </row>
    <row r="2779">
      <c r="A2779" s="40">
        <f t="array" ref="A2779">IFNA(index(PlayerValues!A:A,match(IFNA(vlookup(B2779,'Special Names'!A:B,2,FALSE),B2779),PlayerValues!E:E,0)),"N/A")</f>
        <v>17034</v>
      </c>
      <c r="B2779" s="4" t="s">
        <v>643</v>
      </c>
      <c r="C2779" s="4" t="s">
        <v>283</v>
      </c>
      <c r="D2779" s="94">
        <v>1934.0</v>
      </c>
    </row>
    <row r="2780">
      <c r="A2780" s="40">
        <f t="array" ref="A2780">IFNA(index(PlayerValues!A:A,match(IFNA(vlookup(B2780,'Special Names'!A:B,2,FALSE),B2780),PlayerValues!E:E,0)),"N/A")</f>
        <v>17055</v>
      </c>
      <c r="B2780" s="4" t="s">
        <v>565</v>
      </c>
      <c r="C2780" s="4" t="s">
        <v>278</v>
      </c>
      <c r="D2780" s="94">
        <v>1929.0</v>
      </c>
    </row>
    <row r="2781">
      <c r="A2781" s="40">
        <f t="array" ref="A2781">IFNA(index(PlayerValues!A:A,match(IFNA(vlookup(B2781,'Special Names'!A:B,2,FALSE),B2781),PlayerValues!E:E,0)),"N/A")</f>
        <v>16216</v>
      </c>
      <c r="B2781" s="4" t="s">
        <v>595</v>
      </c>
      <c r="C2781" s="4" t="s">
        <v>298</v>
      </c>
      <c r="D2781" s="94">
        <v>2310.0</v>
      </c>
    </row>
    <row r="2782">
      <c r="A2782" s="40">
        <f t="array" ref="A2782">IFNA(index(PlayerValues!A:A,match(IFNA(vlookup(B2782,'Special Names'!A:B,2,FALSE),B2782),PlayerValues!E:E,0)),"N/A")</f>
        <v>14105</v>
      </c>
      <c r="B2782" s="4" t="s">
        <v>675</v>
      </c>
      <c r="C2782" s="4" t="s">
        <v>287</v>
      </c>
      <c r="D2782" s="94">
        <v>1920.0</v>
      </c>
    </row>
    <row r="2783">
      <c r="A2783" s="40">
        <f t="array" ref="A2783">IFNA(index(PlayerValues!A:A,match(IFNA(vlookup(B2783,'Special Names'!A:B,2,FALSE),B2783),PlayerValues!E:E,0)),"N/A")</f>
        <v>16752</v>
      </c>
      <c r="B2783" s="4" t="s">
        <v>597</v>
      </c>
      <c r="C2783" s="4" t="s">
        <v>278</v>
      </c>
      <c r="D2783" s="94">
        <v>1919.0</v>
      </c>
    </row>
    <row r="2784">
      <c r="A2784" s="40">
        <f t="array" ref="A2784">IFNA(index(PlayerValues!A:A,match(IFNA(vlookup(B2784,'Special Names'!A:B,2,FALSE),B2784),PlayerValues!E:E,0)),"N/A")</f>
        <v>16778</v>
      </c>
      <c r="B2784" s="4" t="s">
        <v>577</v>
      </c>
      <c r="C2784" s="4" t="s">
        <v>287</v>
      </c>
      <c r="D2784" s="94">
        <v>1912.0</v>
      </c>
    </row>
    <row r="2785">
      <c r="A2785" s="40">
        <f t="array" ref="A2785">IFNA(index(PlayerValues!A:A,match(IFNA(vlookup(B2785,'Special Names'!A:B,2,FALSE),B2785),PlayerValues!E:E,0)),"N/A")</f>
        <v>16215</v>
      </c>
      <c r="B2785" s="4" t="s">
        <v>637</v>
      </c>
      <c r="C2785" s="4" t="s">
        <v>298</v>
      </c>
      <c r="D2785" s="94">
        <v>2280.0</v>
      </c>
    </row>
    <row r="2786">
      <c r="A2786" s="40">
        <f t="array" ref="A2786">IFNA(index(PlayerValues!A:A,match(IFNA(vlookup(B2786,'Special Names'!A:B,2,FALSE),B2786),PlayerValues!E:E,0)),"N/A")</f>
        <v>17511</v>
      </c>
      <c r="B2786" s="4" t="s">
        <v>485</v>
      </c>
      <c r="C2786" s="4" t="s">
        <v>287</v>
      </c>
      <c r="D2786" s="94">
        <v>1890.0</v>
      </c>
    </row>
    <row r="2787">
      <c r="A2787" s="40">
        <f t="array" ref="A2787">IFNA(index(PlayerValues!A:A,match(IFNA(vlookup(B2787,'Special Names'!A:B,2,FALSE),B2787),PlayerValues!E:E,0)),"N/A")</f>
        <v>17184</v>
      </c>
      <c r="B2787" s="4" t="s">
        <v>588</v>
      </c>
      <c r="C2787" s="4" t="s">
        <v>287</v>
      </c>
      <c r="D2787" s="94">
        <v>1886.0</v>
      </c>
    </row>
    <row r="2788">
      <c r="A2788" s="40">
        <f t="array" ref="A2788">IFNA(index(PlayerValues!A:A,match(IFNA(vlookup(B2788,'Special Names'!A:B,2,FALSE),B2788),PlayerValues!E:E,0)),"N/A")</f>
        <v>15787</v>
      </c>
      <c r="B2788" s="4" t="s">
        <v>610</v>
      </c>
      <c r="C2788" s="4" t="s">
        <v>287</v>
      </c>
      <c r="D2788" s="94">
        <v>1881.0</v>
      </c>
    </row>
    <row r="2789">
      <c r="A2789" s="40">
        <f t="array" ref="A2789">IFNA(index(PlayerValues!A:A,match(IFNA(vlookup(B2789,'Special Names'!A:B,2,FALSE),B2789),PlayerValues!E:E,0)),"N/A")</f>
        <v>16644</v>
      </c>
      <c r="B2789" s="4" t="s">
        <v>640</v>
      </c>
      <c r="C2789" s="4" t="s">
        <v>298</v>
      </c>
      <c r="D2789" s="94">
        <v>2258.0</v>
      </c>
    </row>
    <row r="2790">
      <c r="A2790" s="40">
        <f t="array" ref="A2790">IFNA(index(PlayerValues!A:A,match(IFNA(vlookup(B2790,'Special Names'!A:B,2,FALSE),B2790),PlayerValues!E:E,0)),"N/A")</f>
        <v>17086</v>
      </c>
      <c r="B2790" s="4" t="s">
        <v>612</v>
      </c>
      <c r="C2790" s="4" t="s">
        <v>287</v>
      </c>
      <c r="D2790" s="94">
        <v>1858.0</v>
      </c>
    </row>
    <row r="2791">
      <c r="A2791" s="40">
        <f t="array" ref="A2791">IFNA(index(PlayerValues!A:A,match(IFNA(vlookup(B2791,'Special Names'!A:B,2,FALSE),B2791),PlayerValues!E:E,0)),"N/A")</f>
        <v>15254</v>
      </c>
      <c r="B2791" s="4" t="s">
        <v>633</v>
      </c>
      <c r="C2791" s="4" t="s">
        <v>278</v>
      </c>
      <c r="D2791" s="94">
        <v>1851.0</v>
      </c>
    </row>
    <row r="2792">
      <c r="A2792" s="40">
        <f t="array" ref="A2792">IFNA(index(PlayerValues!A:A,match(IFNA(vlookup(B2792,'Special Names'!A:B,2,FALSE),B2792),PlayerValues!E:E,0)),"N/A")</f>
        <v>13629</v>
      </c>
      <c r="B2792" s="4" t="s">
        <v>619</v>
      </c>
      <c r="C2792" s="4" t="s">
        <v>287</v>
      </c>
      <c r="D2792" s="94">
        <v>1848.0</v>
      </c>
    </row>
    <row r="2793">
      <c r="A2793" s="40">
        <f t="array" ref="A2793">IFNA(index(PlayerValues!A:A,match(IFNA(vlookup(B2793,'Special Names'!A:B,2,FALSE),B2793),PlayerValues!E:E,0)),"N/A")</f>
        <v>17478</v>
      </c>
      <c r="B2793" s="4" t="s">
        <v>527</v>
      </c>
      <c r="C2793" s="4" t="s">
        <v>278</v>
      </c>
      <c r="D2793" s="94">
        <v>1848.0</v>
      </c>
    </row>
    <row r="2794">
      <c r="A2794" s="40">
        <f t="array" ref="A2794">IFNA(index(PlayerValues!A:A,match(IFNA(vlookup(B2794,'Special Names'!A:B,2,FALSE),B2794),PlayerValues!E:E,0)),"N/A")</f>
        <v>13164</v>
      </c>
      <c r="B2794" s="4" t="s">
        <v>632</v>
      </c>
      <c r="C2794" s="4" t="s">
        <v>287</v>
      </c>
      <c r="D2794" s="94">
        <v>1847.0</v>
      </c>
    </row>
    <row r="2795">
      <c r="A2795" s="40">
        <f t="array" ref="A2795">IFNA(index(PlayerValues!A:A,match(IFNA(vlookup(B2795,'Special Names'!A:B,2,FALSE),B2795),PlayerValues!E:E,0)),"N/A")</f>
        <v>16201</v>
      </c>
      <c r="B2795" s="4" t="s">
        <v>589</v>
      </c>
      <c r="C2795" s="4" t="s">
        <v>287</v>
      </c>
      <c r="D2795" s="94">
        <v>1846.0</v>
      </c>
    </row>
    <row r="2796">
      <c r="A2796" s="40">
        <f t="array" ref="A2796">IFNA(index(PlayerValues!A:A,match(IFNA(vlookup(B2796,'Special Names'!A:B,2,FALSE),B2796),PlayerValues!E:E,0)),"N/A")</f>
        <v>15755</v>
      </c>
      <c r="B2796" s="4" t="s">
        <v>628</v>
      </c>
      <c r="C2796" s="4" t="s">
        <v>287</v>
      </c>
      <c r="D2796" s="94">
        <v>1839.0</v>
      </c>
    </row>
    <row r="2797">
      <c r="A2797" s="40">
        <f t="array" ref="A2797">IFNA(index(PlayerValues!A:A,match(IFNA(vlookup(B2797,'Special Names'!A:B,2,FALSE),B2797),PlayerValues!E:E,0)),"N/A")</f>
        <v>16585</v>
      </c>
      <c r="B2797" s="4" t="s">
        <v>623</v>
      </c>
      <c r="C2797" s="4" t="s">
        <v>283</v>
      </c>
      <c r="D2797" s="94">
        <v>1838.0</v>
      </c>
    </row>
    <row r="2798">
      <c r="A2798" s="40" t="str">
        <f t="array" ref="A2798">IFNA(index(PlayerValues!A:A,match(IFNA(vlookup(B2798,'Special Names'!A:B,2,FALSE),B2798),PlayerValues!E:E,0)),"N/A")</f>
        <v>N/A</v>
      </c>
      <c r="B2798" s="4" t="s">
        <v>101</v>
      </c>
      <c r="C2798" s="4" t="s">
        <v>325</v>
      </c>
      <c r="D2798" s="94">
        <v>1837.0</v>
      </c>
    </row>
    <row r="2799">
      <c r="A2799" s="40">
        <f t="array" ref="A2799">IFNA(index(PlayerValues!A:A,match(IFNA(vlookup(B2799,'Special Names'!A:B,2,FALSE),B2799),PlayerValues!E:E,0)),"N/A")</f>
        <v>7836</v>
      </c>
      <c r="B2799" s="4" t="s">
        <v>590</v>
      </c>
      <c r="C2799" s="4" t="s">
        <v>283</v>
      </c>
      <c r="D2799" s="94">
        <v>1829.0</v>
      </c>
    </row>
    <row r="2800">
      <c r="A2800" s="40">
        <f t="array" ref="A2800">IFNA(index(PlayerValues!A:A,match(IFNA(vlookup(B2800,'Special Names'!A:B,2,FALSE),B2800),PlayerValues!E:E,0)),"N/A")</f>
        <v>13189</v>
      </c>
      <c r="B2800" s="4" t="s">
        <v>626</v>
      </c>
      <c r="C2800" s="4" t="s">
        <v>298</v>
      </c>
      <c r="D2800" s="94">
        <v>2211.0</v>
      </c>
    </row>
    <row r="2801">
      <c r="A2801" s="40" t="str">
        <f t="array" ref="A2801">IFNA(index(PlayerValues!A:A,match(IFNA(vlookup(B2801,'Special Names'!A:B,2,FALSE),B2801),PlayerValues!E:E,0)),"N/A")</f>
        <v>N/A</v>
      </c>
      <c r="B2801" s="4" t="s">
        <v>89</v>
      </c>
      <c r="C2801" s="4" t="s">
        <v>325</v>
      </c>
      <c r="D2801" s="94">
        <v>1828.0</v>
      </c>
    </row>
    <row r="2802">
      <c r="A2802" s="40">
        <f t="array" ref="A2802">IFNA(index(PlayerValues!A:A,match(IFNA(vlookup(B2802,'Special Names'!A:B,2,FALSE),B2802),PlayerValues!E:E,0)),"N/A")</f>
        <v>16586</v>
      </c>
      <c r="B2802" s="4" t="s">
        <v>658</v>
      </c>
      <c r="C2802" s="4" t="s">
        <v>283</v>
      </c>
      <c r="D2802" s="94">
        <v>1811.0</v>
      </c>
    </row>
    <row r="2803">
      <c r="A2803" s="40">
        <f t="array" ref="A2803">IFNA(index(PlayerValues!A:A,match(IFNA(vlookup(B2803,'Special Names'!A:B,2,FALSE),B2803),PlayerValues!E:E,0)),"N/A")</f>
        <v>16604</v>
      </c>
      <c r="B2803" s="4" t="s">
        <v>476</v>
      </c>
      <c r="C2803" s="4" t="s">
        <v>278</v>
      </c>
      <c r="D2803" s="94">
        <v>1811.0</v>
      </c>
    </row>
    <row r="2804">
      <c r="A2804" s="40">
        <f t="array" ref="A2804">IFNA(index(PlayerValues!A:A,match(IFNA(vlookup(B2804,'Special Names'!A:B,2,FALSE),B2804),PlayerValues!E:E,0)),"N/A")</f>
        <v>16635</v>
      </c>
      <c r="B2804" s="4" t="s">
        <v>645</v>
      </c>
      <c r="C2804" s="4" t="s">
        <v>287</v>
      </c>
      <c r="D2804" s="94">
        <v>1799.0</v>
      </c>
    </row>
    <row r="2805">
      <c r="A2805" s="40">
        <f t="array" ref="A2805">IFNA(index(PlayerValues!A:A,match(IFNA(vlookup(B2805,'Special Names'!A:B,2,FALSE),B2805),PlayerValues!E:E,0)),"N/A")</f>
        <v>17035</v>
      </c>
      <c r="B2805" s="4" t="s">
        <v>650</v>
      </c>
      <c r="C2805" s="4" t="s">
        <v>283</v>
      </c>
      <c r="D2805" s="94">
        <v>1794.0</v>
      </c>
    </row>
    <row r="2806">
      <c r="A2806" s="40" t="str">
        <f t="array" ref="A2806">IFNA(index(PlayerValues!A:A,match(IFNA(vlookup(B2806,'Special Names'!A:B,2,FALSE),B2806),PlayerValues!E:E,0)),"N/A")</f>
        <v>N/A</v>
      </c>
      <c r="B2806" s="4" t="s">
        <v>102</v>
      </c>
      <c r="C2806" s="4" t="s">
        <v>325</v>
      </c>
      <c r="D2806" s="94">
        <v>1789.0</v>
      </c>
    </row>
    <row r="2807">
      <c r="A2807" s="40">
        <f t="array" ref="A2807">IFNA(index(PlayerValues!A:A,match(IFNA(vlookup(B2807,'Special Names'!A:B,2,FALSE),B2807),PlayerValues!E:E,0)),"N/A")</f>
        <v>15759</v>
      </c>
      <c r="B2807" s="4" t="s">
        <v>662</v>
      </c>
      <c r="C2807" s="4" t="s">
        <v>287</v>
      </c>
      <c r="D2807" s="94">
        <v>1780.0</v>
      </c>
    </row>
    <row r="2808">
      <c r="A2808" s="40">
        <f t="array" ref="A2808">IFNA(index(PlayerValues!A:A,match(IFNA(vlookup(B2808,'Special Names'!A:B,2,FALSE),B2808),PlayerValues!E:E,0)),"N/A")</f>
        <v>10700</v>
      </c>
      <c r="B2808" s="4" t="s">
        <v>596</v>
      </c>
      <c r="C2808" s="4" t="s">
        <v>283</v>
      </c>
      <c r="D2808" s="94">
        <v>1752.0</v>
      </c>
    </row>
    <row r="2809">
      <c r="A2809" s="40">
        <f t="array" ref="A2809">IFNA(index(PlayerValues!A:A,match(IFNA(vlookup(B2809,'Special Names'!A:B,2,FALSE),B2809),PlayerValues!E:E,0)),"N/A")</f>
        <v>11222</v>
      </c>
      <c r="B2809" s="4" t="s">
        <v>622</v>
      </c>
      <c r="C2809" s="4" t="s">
        <v>287</v>
      </c>
      <c r="D2809" s="94">
        <v>1749.0</v>
      </c>
    </row>
    <row r="2810">
      <c r="A2810" s="40">
        <f t="array" ref="A2810">IFNA(index(PlayerValues!A:A,match(IFNA(vlookup(B2810,'Special Names'!A:B,2,FALSE),B2810),PlayerValues!E:E,0)),"N/A")</f>
        <v>17517</v>
      </c>
      <c r="B2810" s="4" t="s">
        <v>454</v>
      </c>
      <c r="C2810" s="4" t="s">
        <v>287</v>
      </c>
      <c r="D2810" s="94">
        <v>1748.0</v>
      </c>
    </row>
    <row r="2811">
      <c r="A2811" s="40">
        <f t="array" ref="A2811">IFNA(index(PlayerValues!A:A,match(IFNA(vlookup(B2811,'Special Names'!A:B,2,FALSE),B2811),PlayerValues!E:E,0)),"N/A")</f>
        <v>14143</v>
      </c>
      <c r="B2811" s="4" t="s">
        <v>635</v>
      </c>
      <c r="C2811" s="4" t="s">
        <v>298</v>
      </c>
      <c r="D2811" s="94">
        <v>2125.0</v>
      </c>
    </row>
    <row r="2812">
      <c r="A2812" s="40">
        <f t="array" ref="A2812">IFNA(index(PlayerValues!A:A,match(IFNA(vlookup(B2812,'Special Names'!A:B,2,FALSE),B2812),PlayerValues!E:E,0)),"N/A")</f>
        <v>16788</v>
      </c>
      <c r="B2812" s="4" t="s">
        <v>621</v>
      </c>
      <c r="C2812" s="4" t="s">
        <v>287</v>
      </c>
      <c r="D2812" s="94">
        <v>1742.0</v>
      </c>
    </row>
    <row r="2813">
      <c r="A2813" s="40">
        <f t="array" ref="A2813">IFNA(index(PlayerValues!A:A,match(IFNA(vlookup(B2813,'Special Names'!A:B,2,FALSE),B2813),PlayerValues!E:E,0)),"N/A")</f>
        <v>16629</v>
      </c>
      <c r="B2813" s="4" t="s">
        <v>605</v>
      </c>
      <c r="C2813" s="4" t="s">
        <v>287</v>
      </c>
      <c r="D2813" s="94">
        <v>1735.0</v>
      </c>
    </row>
    <row r="2814">
      <c r="A2814" s="40">
        <f t="array" ref="A2814">IFNA(index(PlayerValues!A:A,match(IFNA(vlookup(B2814,'Special Names'!A:B,2,FALSE),B2814),PlayerValues!E:E,0)),"N/A")</f>
        <v>17058</v>
      </c>
      <c r="B2814" s="4" t="s">
        <v>641</v>
      </c>
      <c r="C2814" s="4" t="s">
        <v>278</v>
      </c>
      <c r="D2814" s="94">
        <v>1734.0</v>
      </c>
    </row>
    <row r="2815">
      <c r="A2815" s="40">
        <f t="array" ref="A2815">IFNA(index(PlayerValues!A:A,match(IFNA(vlookup(B2815,'Special Names'!A:B,2,FALSE),B2815),PlayerValues!E:E,0)),"N/A")</f>
        <v>16688</v>
      </c>
      <c r="B2815" s="4" t="s">
        <v>688</v>
      </c>
      <c r="C2815" s="4" t="s">
        <v>278</v>
      </c>
      <c r="D2815" s="94">
        <v>1731.0</v>
      </c>
    </row>
    <row r="2816">
      <c r="A2816" s="40">
        <f t="array" ref="A2816">IFNA(index(PlayerValues!A:A,match(IFNA(vlookup(B2816,'Special Names'!A:B,2,FALSE),B2816),PlayerValues!E:E,0)),"N/A")</f>
        <v>16207</v>
      </c>
      <c r="B2816" s="4" t="s">
        <v>636</v>
      </c>
      <c r="C2816" s="4" t="s">
        <v>287</v>
      </c>
      <c r="D2816" s="94">
        <v>1728.0</v>
      </c>
    </row>
    <row r="2817">
      <c r="A2817" s="40">
        <f t="array" ref="A2817">IFNA(index(PlayerValues!A:A,match(IFNA(vlookup(B2817,'Special Names'!A:B,2,FALSE),B2817),PlayerValues!E:E,0)),"N/A")</f>
        <v>17503</v>
      </c>
      <c r="B2817" s="4" t="s">
        <v>480</v>
      </c>
      <c r="C2817" s="4" t="s">
        <v>287</v>
      </c>
      <c r="D2817" s="94">
        <v>1727.0</v>
      </c>
    </row>
    <row r="2818">
      <c r="A2818" s="40">
        <f t="array" ref="A2818">IFNA(index(PlayerValues!A:A,match(IFNA(vlookup(B2818,'Special Names'!A:B,2,FALSE),B2818),PlayerValues!E:E,0)),"N/A")</f>
        <v>15337</v>
      </c>
      <c r="B2818" s="4" t="s">
        <v>655</v>
      </c>
      <c r="C2818" s="4" t="s">
        <v>298</v>
      </c>
      <c r="D2818" s="94">
        <v>2094.0</v>
      </c>
    </row>
    <row r="2819">
      <c r="A2819" s="40">
        <f t="array" ref="A2819">IFNA(index(PlayerValues!A:A,match(IFNA(vlookup(B2819,'Special Names'!A:B,2,FALSE),B2819),PlayerValues!E:E,0)),"N/A")</f>
        <v>17064</v>
      </c>
      <c r="B2819" s="4" t="s">
        <v>631</v>
      </c>
      <c r="C2819" s="4" t="s">
        <v>278</v>
      </c>
      <c r="D2819" s="94">
        <v>1706.0</v>
      </c>
    </row>
    <row r="2820">
      <c r="A2820" s="40">
        <f t="array" ref="A2820">IFNA(index(PlayerValues!A:A,match(IFNA(vlookup(B2820,'Special Names'!A:B,2,FALSE),B2820),PlayerValues!E:E,0)),"N/A")</f>
        <v>15777</v>
      </c>
      <c r="B2820" s="4" t="s">
        <v>694</v>
      </c>
      <c r="C2820" s="4" t="s">
        <v>287</v>
      </c>
      <c r="D2820" s="94">
        <v>1684.0</v>
      </c>
    </row>
    <row r="2821">
      <c r="A2821" s="40">
        <f t="array" ref="A2821">IFNA(index(PlayerValues!A:A,match(IFNA(vlookup(B2821,'Special Names'!A:B,2,FALSE),B2821),PlayerValues!E:E,0)),"N/A")</f>
        <v>16601</v>
      </c>
      <c r="B2821" s="4" t="s">
        <v>648</v>
      </c>
      <c r="C2821" s="4" t="s">
        <v>278</v>
      </c>
      <c r="D2821" s="94">
        <v>1667.0</v>
      </c>
    </row>
    <row r="2822">
      <c r="A2822" s="40">
        <f t="array" ref="A2822">IFNA(index(PlayerValues!A:A,match(IFNA(vlookup(B2822,'Special Names'!A:B,2,FALSE),B2822),PlayerValues!E:E,0)),"N/A")</f>
        <v>15788</v>
      </c>
      <c r="B2822" s="4" t="s">
        <v>627</v>
      </c>
      <c r="C2822" s="4" t="s">
        <v>287</v>
      </c>
      <c r="D2822" s="94">
        <v>1666.0</v>
      </c>
    </row>
    <row r="2823">
      <c r="A2823" s="40" t="str">
        <f t="array" ref="A2823">IFNA(index(PlayerValues!A:A,match(IFNA(vlookup(B2823,'Special Names'!A:B,2,FALSE),B2823),PlayerValues!E:E,0)),"N/A")</f>
        <v>N/A</v>
      </c>
      <c r="B2823" s="4" t="s">
        <v>103</v>
      </c>
      <c r="C2823" s="4" t="s">
        <v>325</v>
      </c>
      <c r="D2823" s="94">
        <v>1663.0</v>
      </c>
    </row>
    <row r="2824">
      <c r="A2824" s="40" t="str">
        <f t="array" ref="A2824">IFNA(index(PlayerValues!A:A,match(IFNA(vlookup(B2824,'Special Names'!A:B,2,FALSE),B2824),PlayerValues!E:E,0)),"N/A")</f>
        <v>N/A</v>
      </c>
      <c r="B2824" s="4" t="s">
        <v>90</v>
      </c>
      <c r="C2824" s="4" t="s">
        <v>325</v>
      </c>
      <c r="D2824" s="94">
        <v>1649.0</v>
      </c>
    </row>
    <row r="2825">
      <c r="A2825" s="40" t="str">
        <f t="array" ref="A2825">IFNA(index(PlayerValues!A:A,match(IFNA(vlookup(B2825,'Special Names'!A:B,2,FALSE),B2825),PlayerValues!E:E,0)),"N/A")</f>
        <v>N/A</v>
      </c>
      <c r="B2825" s="4" t="s">
        <v>115</v>
      </c>
      <c r="C2825" s="4" t="s">
        <v>325</v>
      </c>
      <c r="D2825" s="94">
        <v>1641.0</v>
      </c>
    </row>
    <row r="2826">
      <c r="A2826" s="40">
        <f t="array" ref="A2826">IFNA(index(PlayerValues!A:A,match(IFNA(vlookup(B2826,'Special Names'!A:B,2,FALSE),B2826),PlayerValues!E:E,0)),"N/A")</f>
        <v>17205</v>
      </c>
      <c r="B2826" s="4" t="s">
        <v>665</v>
      </c>
      <c r="C2826" s="4" t="s">
        <v>287</v>
      </c>
      <c r="D2826" s="94">
        <v>1640.0</v>
      </c>
    </row>
    <row r="2827">
      <c r="A2827" s="40">
        <f t="array" ref="A2827">IFNA(index(PlayerValues!A:A,match(IFNA(vlookup(B2827,'Special Names'!A:B,2,FALSE),B2827),PlayerValues!E:E,0)),"N/A")</f>
        <v>17234</v>
      </c>
      <c r="B2827" s="4" t="s">
        <v>653</v>
      </c>
      <c r="C2827" s="4" t="s">
        <v>287</v>
      </c>
      <c r="D2827" s="94">
        <v>1640.0</v>
      </c>
    </row>
    <row r="2828">
      <c r="A2828" s="40">
        <f t="array" ref="A2828">IFNA(index(PlayerValues!A:A,match(IFNA(vlookup(B2828,'Special Names'!A:B,2,FALSE),B2828),PlayerValues!E:E,0)),"N/A")</f>
        <v>16595</v>
      </c>
      <c r="B2828" s="4" t="s">
        <v>664</v>
      </c>
      <c r="C2828" s="4" t="s">
        <v>278</v>
      </c>
      <c r="D2828" s="94">
        <v>1625.0</v>
      </c>
    </row>
    <row r="2829">
      <c r="A2829" s="40">
        <f t="array" ref="A2829">IFNA(index(PlayerValues!A:A,match(IFNA(vlookup(B2829,'Special Names'!A:B,2,FALSE),B2829),PlayerValues!E:E,0)),"N/A")</f>
        <v>17037</v>
      </c>
      <c r="B2829" s="4" t="s">
        <v>727</v>
      </c>
      <c r="C2829" s="4" t="s">
        <v>283</v>
      </c>
      <c r="D2829" s="94">
        <v>1622.0</v>
      </c>
    </row>
    <row r="2830">
      <c r="A2830" s="40">
        <f t="array" ref="A2830">IFNA(index(PlayerValues!A:A,match(IFNA(vlookup(B2830,'Special Names'!A:B,2,FALSE),B2830),PlayerValues!E:E,0)),"N/A")</f>
        <v>17096</v>
      </c>
      <c r="B2830" s="4" t="s">
        <v>638</v>
      </c>
      <c r="C2830" s="4" t="s">
        <v>287</v>
      </c>
      <c r="D2830" s="94">
        <v>1617.0</v>
      </c>
    </row>
    <row r="2831">
      <c r="A2831" s="40">
        <f t="array" ref="A2831">IFNA(index(PlayerValues!A:A,match(IFNA(vlookup(B2831,'Special Names'!A:B,2,FALSE),B2831),PlayerValues!E:E,0)),"N/A")</f>
        <v>15713</v>
      </c>
      <c r="B2831" s="4" t="s">
        <v>732</v>
      </c>
      <c r="C2831" s="4" t="s">
        <v>278</v>
      </c>
      <c r="D2831" s="94">
        <v>1615.0</v>
      </c>
    </row>
    <row r="2832">
      <c r="A2832" s="40">
        <f t="array" ref="A2832">IFNA(index(PlayerValues!A:A,match(IFNA(vlookup(B2832,'Special Names'!A:B,2,FALSE),B2832),PlayerValues!E:E,0)),"N/A")</f>
        <v>15301</v>
      </c>
      <c r="B2832" s="4" t="s">
        <v>657</v>
      </c>
      <c r="C2832" s="4" t="s">
        <v>287</v>
      </c>
      <c r="D2832" s="94">
        <v>1612.0</v>
      </c>
    </row>
    <row r="2833">
      <c r="A2833" s="40">
        <f t="array" ref="A2833">IFNA(index(PlayerValues!A:A,match(IFNA(vlookup(B2833,'Special Names'!A:B,2,FALSE),B2833),PlayerValues!E:E,0)),"N/A")</f>
        <v>16633</v>
      </c>
      <c r="B2833" s="4" t="s">
        <v>656</v>
      </c>
      <c r="C2833" s="4" t="s">
        <v>287</v>
      </c>
      <c r="D2833" s="94">
        <v>1606.0</v>
      </c>
    </row>
    <row r="2834">
      <c r="A2834" s="40">
        <f t="array" ref="A2834">IFNA(index(PlayerValues!A:A,match(IFNA(vlookup(B2834,'Special Names'!A:B,2,FALSE),B2834),PlayerValues!E:E,0)),"N/A")</f>
        <v>16631</v>
      </c>
      <c r="B2834" s="4" t="s">
        <v>800</v>
      </c>
      <c r="C2834" s="4" t="s">
        <v>287</v>
      </c>
      <c r="D2834" s="94">
        <v>1603.0</v>
      </c>
    </row>
    <row r="2835">
      <c r="A2835" s="40">
        <f t="array" ref="A2835">IFNA(index(PlayerValues!A:A,match(IFNA(vlookup(B2835,'Special Names'!A:B,2,FALSE),B2835),PlayerValues!E:E,0)),"N/A")</f>
        <v>15252</v>
      </c>
      <c r="B2835" s="4" t="s">
        <v>715</v>
      </c>
      <c r="C2835" s="4" t="s">
        <v>283</v>
      </c>
      <c r="D2835" s="94">
        <v>1599.0</v>
      </c>
    </row>
    <row r="2836">
      <c r="A2836" s="40">
        <f t="array" ref="A2836">IFNA(index(PlayerValues!A:A,match(IFNA(vlookup(B2836,'Special Names'!A:B,2,FALSE),B2836),PlayerValues!E:E,0)),"N/A")</f>
        <v>14122</v>
      </c>
      <c r="B2836" s="4" t="s">
        <v>663</v>
      </c>
      <c r="C2836" s="4" t="s">
        <v>287</v>
      </c>
      <c r="D2836" s="94">
        <v>1590.0</v>
      </c>
    </row>
    <row r="2837">
      <c r="A2837" s="40">
        <f t="array" ref="A2837">IFNA(index(PlayerValues!A:A,match(IFNA(vlookup(B2837,'Special Names'!A:B,2,FALSE),B2837),PlayerValues!E:E,0)),"N/A")</f>
        <v>15319</v>
      </c>
      <c r="B2837" s="4" t="s">
        <v>644</v>
      </c>
      <c r="C2837" s="4" t="s">
        <v>287</v>
      </c>
      <c r="D2837" s="94">
        <v>1583.0</v>
      </c>
    </row>
    <row r="2838">
      <c r="A2838" s="40">
        <f t="array" ref="A2838">IFNA(index(PlayerValues!A:A,match(IFNA(vlookup(B2838,'Special Names'!A:B,2,FALSE),B2838),PlayerValues!E:E,0)),"N/A")</f>
        <v>15797</v>
      </c>
      <c r="B2838" s="4" t="s">
        <v>556</v>
      </c>
      <c r="C2838" s="4" t="s">
        <v>298</v>
      </c>
      <c r="D2838" s="94">
        <v>1957.0</v>
      </c>
    </row>
    <row r="2839">
      <c r="A2839" s="40">
        <f t="array" ref="A2839">IFNA(index(PlayerValues!A:A,match(IFNA(vlookup(B2839,'Special Names'!A:B,2,FALSE),B2839),PlayerValues!E:E,0)),"N/A")</f>
        <v>15873</v>
      </c>
      <c r="B2839" s="4" t="s">
        <v>681</v>
      </c>
      <c r="C2839" s="4" t="s">
        <v>298</v>
      </c>
      <c r="D2839" s="94">
        <v>1955.0</v>
      </c>
    </row>
    <row r="2840">
      <c r="A2840" s="40">
        <f t="array" ref="A2840">IFNA(index(PlayerValues!A:A,match(IFNA(vlookup(B2840,'Special Names'!A:B,2,FALSE),B2840),PlayerValues!E:E,0)),"N/A")</f>
        <v>15752</v>
      </c>
      <c r="B2840" s="4" t="s">
        <v>647</v>
      </c>
      <c r="C2840" s="4" t="s">
        <v>287</v>
      </c>
      <c r="D2840" s="94">
        <v>1572.0</v>
      </c>
    </row>
    <row r="2841">
      <c r="A2841" s="40">
        <f t="array" ref="A2841">IFNA(index(PlayerValues!A:A,match(IFNA(vlookup(B2841,'Special Names'!A:B,2,FALSE),B2841),PlayerValues!E:E,0)),"N/A")</f>
        <v>12140</v>
      </c>
      <c r="B2841" s="4" t="s">
        <v>702</v>
      </c>
      <c r="C2841" s="4" t="s">
        <v>283</v>
      </c>
      <c r="D2841" s="94">
        <v>1556.0</v>
      </c>
    </row>
    <row r="2842">
      <c r="A2842" s="40">
        <f t="array" ref="A2842">IFNA(index(PlayerValues!A:A,match(IFNA(vlookup(B2842,'Special Names'!A:B,2,FALSE),B2842),PlayerValues!E:E,0)),"N/A")</f>
        <v>13418</v>
      </c>
      <c r="B2842" s="4" t="s">
        <v>706</v>
      </c>
      <c r="C2842" s="4" t="s">
        <v>287</v>
      </c>
      <c r="D2842" s="94">
        <v>1540.0</v>
      </c>
    </row>
    <row r="2843">
      <c r="A2843" s="40">
        <f t="array" ref="A2843">IFNA(index(PlayerValues!A:A,match(IFNA(vlookup(B2843,'Special Names'!A:B,2,FALSE),B2843),PlayerValues!E:E,0)),"N/A")</f>
        <v>12141</v>
      </c>
      <c r="B2843" s="4" t="s">
        <v>744</v>
      </c>
      <c r="C2843" s="4" t="s">
        <v>283</v>
      </c>
      <c r="D2843" s="94">
        <v>1529.0</v>
      </c>
    </row>
    <row r="2844">
      <c r="A2844" s="40" t="str">
        <f t="array" ref="A2844">IFNA(index(PlayerValues!A:A,match(IFNA(vlookup(B2844,'Special Names'!A:B,2,FALSE),B2844),PlayerValues!E:E,0)),"N/A")</f>
        <v>N/A</v>
      </c>
      <c r="B2844" s="4" t="s">
        <v>91</v>
      </c>
      <c r="C2844" s="4" t="s">
        <v>325</v>
      </c>
      <c r="D2844" s="94">
        <v>1527.0</v>
      </c>
    </row>
    <row r="2845">
      <c r="A2845" s="40" t="str">
        <f t="array" ref="A2845">IFNA(index(PlayerValues!A:A,match(IFNA(vlookup(B2845,'Special Names'!A:B,2,FALSE),B2845),PlayerValues!E:E,0)),"N/A")</f>
        <v>N/A</v>
      </c>
      <c r="B2845" s="4" t="s">
        <v>116</v>
      </c>
      <c r="C2845" s="4" t="s">
        <v>325</v>
      </c>
      <c r="D2845" s="94">
        <v>1527.0</v>
      </c>
    </row>
    <row r="2846">
      <c r="A2846" s="40">
        <f t="array" ref="A2846">IFNA(index(PlayerValues!A:A,match(IFNA(vlookup(B2846,'Special Names'!A:B,2,FALSE),B2846),PlayerValues!E:E,0)),"N/A")</f>
        <v>16384</v>
      </c>
      <c r="B2846" s="4" t="s">
        <v>696</v>
      </c>
      <c r="C2846" s="4" t="s">
        <v>283</v>
      </c>
      <c r="D2846" s="94">
        <v>1524.0</v>
      </c>
    </row>
    <row r="2847">
      <c r="A2847" s="40">
        <f t="array" ref="A2847">IFNA(index(PlayerValues!A:A,match(IFNA(vlookup(B2847,'Special Names'!A:B,2,FALSE),B2847),PlayerValues!E:E,0)),"N/A")</f>
        <v>14137</v>
      </c>
      <c r="B2847" s="4" t="s">
        <v>676</v>
      </c>
      <c r="C2847" s="4" t="s">
        <v>298</v>
      </c>
      <c r="D2847" s="94">
        <v>1887.0</v>
      </c>
    </row>
    <row r="2848">
      <c r="A2848" s="40">
        <f t="array" ref="A2848">IFNA(index(PlayerValues!A:A,match(IFNA(vlookup(B2848,'Special Names'!A:B,2,FALSE),B2848),PlayerValues!E:E,0)),"N/A")</f>
        <v>17077</v>
      </c>
      <c r="B2848" s="4" t="s">
        <v>714</v>
      </c>
      <c r="C2848" s="4" t="s">
        <v>287</v>
      </c>
      <c r="D2848" s="94">
        <v>1510.0</v>
      </c>
    </row>
    <row r="2849">
      <c r="A2849" s="40">
        <f t="array" ref="A2849">IFNA(index(PlayerValues!A:A,match(IFNA(vlookup(B2849,'Special Names'!A:B,2,FALSE),B2849),PlayerValues!E:E,0)),"N/A")</f>
        <v>17254</v>
      </c>
      <c r="B2849" s="4" t="s">
        <v>679</v>
      </c>
      <c r="C2849" s="4" t="s">
        <v>287</v>
      </c>
      <c r="D2849" s="94">
        <v>1506.0</v>
      </c>
    </row>
    <row r="2850">
      <c r="A2850" s="40">
        <f t="array" ref="A2850">IFNA(index(PlayerValues!A:A,match(IFNA(vlookup(B2850,'Special Names'!A:B,2,FALSE),B2850),PlayerValues!E:E,0)),"N/A")</f>
        <v>16390</v>
      </c>
      <c r="B2850" s="4" t="s">
        <v>689</v>
      </c>
      <c r="C2850" s="4" t="s">
        <v>278</v>
      </c>
      <c r="D2850" s="94">
        <v>1497.0</v>
      </c>
    </row>
    <row r="2851">
      <c r="A2851" s="40">
        <f t="array" ref="A2851">IFNA(index(PlayerValues!A:A,match(IFNA(vlookup(B2851,'Special Names'!A:B,2,FALSE),B2851),PlayerValues!E:E,0)),"N/A")</f>
        <v>17269</v>
      </c>
      <c r="B2851" s="4" t="s">
        <v>718</v>
      </c>
      <c r="C2851" s="4" t="s">
        <v>287</v>
      </c>
      <c r="D2851" s="94">
        <v>1497.0</v>
      </c>
    </row>
    <row r="2852">
      <c r="A2852" s="40">
        <f t="array" ref="A2852">IFNA(index(PlayerValues!A:A,match(IFNA(vlookup(B2852,'Special Names'!A:B,2,FALSE),B2852),PlayerValues!E:E,0)),"N/A")</f>
        <v>16175</v>
      </c>
      <c r="B2852" s="4" t="s">
        <v>654</v>
      </c>
      <c r="C2852" s="4" t="s">
        <v>278</v>
      </c>
      <c r="D2852" s="94">
        <v>1489.0</v>
      </c>
    </row>
    <row r="2853">
      <c r="A2853" s="40">
        <f t="array" ref="A2853">IFNA(index(PlayerValues!A:A,match(IFNA(vlookup(B2853,'Special Names'!A:B,2,FALSE),B2853),PlayerValues!E:E,0)),"N/A")</f>
        <v>15332</v>
      </c>
      <c r="B2853" s="4" t="s">
        <v>698</v>
      </c>
      <c r="C2853" s="4" t="s">
        <v>298</v>
      </c>
      <c r="D2853" s="94">
        <v>1863.0</v>
      </c>
    </row>
    <row r="2854">
      <c r="A2854" s="40">
        <f t="array" ref="A2854">IFNA(index(PlayerValues!A:A,match(IFNA(vlookup(B2854,'Special Names'!A:B,2,FALSE),B2854),PlayerValues!E:E,0)),"N/A")</f>
        <v>16642</v>
      </c>
      <c r="B2854" s="4" t="s">
        <v>691</v>
      </c>
      <c r="C2854" s="4" t="s">
        <v>298</v>
      </c>
      <c r="D2854" s="94">
        <v>1850.0</v>
      </c>
    </row>
    <row r="2855">
      <c r="A2855" s="40">
        <f t="array" ref="A2855">IFNA(index(PlayerValues!A:A,match(IFNA(vlookup(B2855,'Special Names'!A:B,2,FALSE),B2855),PlayerValues!E:E,0)),"N/A")</f>
        <v>14080</v>
      </c>
      <c r="B2855" s="4" t="s">
        <v>716</v>
      </c>
      <c r="C2855" s="4" t="s">
        <v>278</v>
      </c>
      <c r="D2855" s="94">
        <v>1460.0</v>
      </c>
    </row>
    <row r="2856">
      <c r="A2856" s="40">
        <f t="array" ref="A2856">IFNA(index(PlayerValues!A:A,match(IFNA(vlookup(B2856,'Special Names'!A:B,2,FALSE),B2856),PlayerValues!E:E,0)),"N/A")</f>
        <v>16621</v>
      </c>
      <c r="B2856" s="4" t="s">
        <v>672</v>
      </c>
      <c r="C2856" s="4" t="s">
        <v>287</v>
      </c>
      <c r="D2856" s="94">
        <v>1450.0</v>
      </c>
    </row>
    <row r="2857">
      <c r="A2857" s="40">
        <f t="array" ref="A2857">IFNA(index(PlayerValues!A:A,match(IFNA(vlookup(B2857,'Special Names'!A:B,2,FALSE),B2857),PlayerValues!E:E,0)),"N/A")</f>
        <v>16149</v>
      </c>
      <c r="B2857" s="4" t="s">
        <v>740</v>
      </c>
      <c r="C2857" s="4" t="s">
        <v>283</v>
      </c>
      <c r="D2857" s="94">
        <v>1446.0</v>
      </c>
    </row>
    <row r="2858">
      <c r="A2858" s="40">
        <f t="array" ref="A2858">IFNA(index(PlayerValues!A:A,match(IFNA(vlookup(B2858,'Special Names'!A:B,2,FALSE),B2858),PlayerValues!E:E,0)),"N/A")</f>
        <v>17062</v>
      </c>
      <c r="B2858" s="4" t="s">
        <v>701</v>
      </c>
      <c r="C2858" s="4" t="s">
        <v>278</v>
      </c>
      <c r="D2858" s="94">
        <v>1446.0</v>
      </c>
    </row>
    <row r="2859">
      <c r="A2859" s="40">
        <f t="array" ref="A2859">IFNA(index(PlayerValues!A:A,match(IFNA(vlookup(B2859,'Special Names'!A:B,2,FALSE),B2859),PlayerValues!E:E,0)),"N/A")</f>
        <v>15727</v>
      </c>
      <c r="B2859" s="4" t="s">
        <v>730</v>
      </c>
      <c r="C2859" s="4" t="s">
        <v>278</v>
      </c>
      <c r="D2859" s="94">
        <v>1445.0</v>
      </c>
    </row>
    <row r="2860">
      <c r="A2860" s="40">
        <f t="array" ref="A2860">IFNA(index(PlayerValues!A:A,match(IFNA(vlookup(B2860,'Special Names'!A:B,2,FALSE),B2860),PlayerValues!E:E,0)),"N/A")</f>
        <v>15292</v>
      </c>
      <c r="B2860" s="4" t="s">
        <v>682</v>
      </c>
      <c r="C2860" s="4" t="s">
        <v>287</v>
      </c>
      <c r="D2860" s="94">
        <v>1439.0</v>
      </c>
    </row>
    <row r="2861">
      <c r="A2861" s="40">
        <f t="array" ref="A2861">IFNA(index(PlayerValues!A:A,match(IFNA(vlookup(B2861,'Special Names'!A:B,2,FALSE),B2861),PlayerValues!E:E,0)),"N/A")</f>
        <v>15738</v>
      </c>
      <c r="B2861" s="4" t="s">
        <v>634</v>
      </c>
      <c r="C2861" s="4" t="s">
        <v>278</v>
      </c>
      <c r="D2861" s="94">
        <v>1424.0</v>
      </c>
    </row>
    <row r="2862">
      <c r="A2862" s="40">
        <f t="array" ref="A2862">IFNA(index(PlayerValues!A:A,match(IFNA(vlookup(B2862,'Special Names'!A:B,2,FALSE),B2862),PlayerValues!E:E,0)),"N/A")</f>
        <v>13193</v>
      </c>
      <c r="B2862" s="4" t="s">
        <v>773</v>
      </c>
      <c r="C2862" s="4" t="s">
        <v>298</v>
      </c>
      <c r="D2862" s="94">
        <v>1796.0</v>
      </c>
    </row>
    <row r="2863">
      <c r="A2863" s="40">
        <f t="array" ref="A2863">IFNA(index(PlayerValues!A:A,match(IFNA(vlookup(B2863,'Special Names'!A:B,2,FALSE),B2863),PlayerValues!E:E,0)),"N/A")</f>
        <v>14592</v>
      </c>
      <c r="B2863" s="4" t="s">
        <v>705</v>
      </c>
      <c r="C2863" s="4" t="s">
        <v>287</v>
      </c>
      <c r="D2863" s="94">
        <v>1422.0</v>
      </c>
    </row>
    <row r="2864">
      <c r="A2864" s="40">
        <f t="array" ref="A2864">IFNA(index(PlayerValues!A:A,match(IFNA(vlookup(B2864,'Special Names'!A:B,2,FALSE),B2864),PlayerValues!E:E,0)),"N/A")</f>
        <v>17508</v>
      </c>
      <c r="B2864" s="4" t="s">
        <v>534</v>
      </c>
      <c r="C2864" s="4" t="s">
        <v>287</v>
      </c>
      <c r="D2864" s="94">
        <v>1416.0</v>
      </c>
    </row>
    <row r="2865">
      <c r="A2865" s="40">
        <f t="array" ref="A2865">IFNA(index(PlayerValues!A:A,match(IFNA(vlookup(B2865,'Special Names'!A:B,2,FALSE),B2865),PlayerValues!E:E,0)),"N/A")</f>
        <v>15258</v>
      </c>
      <c r="B2865" s="4" t="s">
        <v>757</v>
      </c>
      <c r="C2865" s="4" t="s">
        <v>278</v>
      </c>
      <c r="D2865" s="94">
        <v>1409.0</v>
      </c>
    </row>
    <row r="2866">
      <c r="A2866" s="40">
        <f t="array" ref="A2866">IFNA(index(PlayerValues!A:A,match(IFNA(vlookup(B2866,'Special Names'!A:B,2,FALSE),B2866),PlayerValues!E:E,0)),"N/A")</f>
        <v>13672</v>
      </c>
      <c r="B2866" s="4" t="s">
        <v>667</v>
      </c>
      <c r="C2866" s="4" t="s">
        <v>298</v>
      </c>
      <c r="D2866" s="94">
        <v>1777.0</v>
      </c>
    </row>
    <row r="2867">
      <c r="A2867" s="40">
        <f t="array" ref="A2867">IFNA(index(PlayerValues!A:A,match(IFNA(vlookup(B2867,'Special Names'!A:B,2,FALSE),B2867),PlayerValues!E:E,0)),"N/A")</f>
        <v>17547</v>
      </c>
      <c r="B2867" s="4" t="s">
        <v>552</v>
      </c>
      <c r="C2867" s="4" t="s">
        <v>298</v>
      </c>
      <c r="D2867" s="94">
        <v>1762.0</v>
      </c>
    </row>
    <row r="2868">
      <c r="A2868" s="40">
        <f t="array" ref="A2868">IFNA(index(PlayerValues!A:A,match(IFNA(vlookup(B2868,'Special Names'!A:B,2,FALSE),B2868),PlayerValues!E:E,0)),"N/A")</f>
        <v>12678</v>
      </c>
      <c r="B2868" s="4" t="s">
        <v>703</v>
      </c>
      <c r="C2868" s="4" t="s">
        <v>298</v>
      </c>
      <c r="D2868" s="94">
        <v>1722.0</v>
      </c>
    </row>
    <row r="2869">
      <c r="A2869" s="40">
        <f t="array" ref="A2869">IFNA(index(PlayerValues!A:A,match(IFNA(vlookup(B2869,'Special Names'!A:B,2,FALSE),B2869),PlayerValues!E:E,0)),"N/A")</f>
        <v>16792</v>
      </c>
      <c r="B2869" s="4" t="s">
        <v>704</v>
      </c>
      <c r="C2869" s="4" t="s">
        <v>287</v>
      </c>
      <c r="D2869" s="94">
        <v>1341.0</v>
      </c>
    </row>
    <row r="2870">
      <c r="A2870" s="40" t="str">
        <f t="array" ref="A2870">IFNA(index(PlayerValues!A:A,match(IFNA(vlookup(B2870,'Special Names'!A:B,2,FALSE),B2870),PlayerValues!E:E,0)),"N/A")</f>
        <v>N/A</v>
      </c>
      <c r="B2870" s="4" t="s">
        <v>117</v>
      </c>
      <c r="C2870" s="4" t="s">
        <v>325</v>
      </c>
      <c r="D2870" s="94">
        <v>1338.0</v>
      </c>
    </row>
    <row r="2871">
      <c r="A2871" s="40">
        <f t="array" ref="A2871">IFNA(index(PlayerValues!A:A,match(IFNA(vlookup(B2871,'Special Names'!A:B,2,FALSE),B2871),PlayerValues!E:E,0)),"N/A")</f>
        <v>17097</v>
      </c>
      <c r="B2871" s="4" t="s">
        <v>659</v>
      </c>
      <c r="C2871" s="4" t="s">
        <v>287</v>
      </c>
      <c r="D2871" s="94">
        <v>1334.0</v>
      </c>
    </row>
    <row r="2872">
      <c r="A2872" s="40">
        <f t="array" ref="A2872">IFNA(index(PlayerValues!A:A,match(IFNA(vlookup(B2872,'Special Names'!A:B,2,FALSE),B2872),PlayerValues!E:E,0)),"N/A")</f>
        <v>15702</v>
      </c>
      <c r="B2872" s="4" t="s">
        <v>723</v>
      </c>
      <c r="C2872" s="4" t="s">
        <v>283</v>
      </c>
      <c r="D2872" s="94">
        <v>1326.0</v>
      </c>
    </row>
    <row r="2873">
      <c r="A2873" s="40">
        <f t="array" ref="A2873">IFNA(index(PlayerValues!A:A,match(IFNA(vlookup(B2873,'Special Names'!A:B,2,FALSE),B2873),PlayerValues!E:E,0)),"N/A")</f>
        <v>14086</v>
      </c>
      <c r="B2873" s="4" t="s">
        <v>639</v>
      </c>
      <c r="C2873" s="4" t="s">
        <v>278</v>
      </c>
      <c r="D2873" s="94">
        <v>1321.0</v>
      </c>
    </row>
    <row r="2874">
      <c r="A2874" s="40">
        <f t="array" ref="A2874">IFNA(index(PlayerValues!A:A,match(IFNA(vlookup(B2874,'Special Names'!A:B,2,FALSE),B2874),PlayerValues!E:E,0)),"N/A")</f>
        <v>13131</v>
      </c>
      <c r="B2874" s="4" t="s">
        <v>815</v>
      </c>
      <c r="C2874" s="4" t="s">
        <v>278</v>
      </c>
      <c r="D2874" s="94">
        <v>1320.0</v>
      </c>
    </row>
    <row r="2875">
      <c r="A2875" s="40">
        <f t="array" ref="A2875">IFNA(index(PlayerValues!A:A,match(IFNA(vlookup(B2875,'Special Names'!A:B,2,FALSE),B2875),PlayerValues!E:E,0)),"N/A")</f>
        <v>17512</v>
      </c>
      <c r="B2875" s="4" t="s">
        <v>483</v>
      </c>
      <c r="C2875" s="4" t="s">
        <v>287</v>
      </c>
      <c r="D2875" s="94">
        <v>1319.0</v>
      </c>
    </row>
    <row r="2876">
      <c r="A2876" s="40">
        <f t="array" ref="A2876">IFNA(index(PlayerValues!A:A,match(IFNA(vlookup(B2876,'Special Names'!A:B,2,FALSE),B2876),PlayerValues!E:E,0)),"N/A")</f>
        <v>16183</v>
      </c>
      <c r="B2876" s="4" t="s">
        <v>678</v>
      </c>
      <c r="C2876" s="4" t="s">
        <v>287</v>
      </c>
      <c r="D2876" s="94">
        <v>1315.0</v>
      </c>
    </row>
    <row r="2877">
      <c r="A2877" s="40">
        <f t="array" ref="A2877">IFNA(index(PlayerValues!A:A,match(IFNA(vlookup(B2877,'Special Names'!A:B,2,FALSE),B2877),PlayerValues!E:E,0)),"N/A")</f>
        <v>16608</v>
      </c>
      <c r="B2877" s="4" t="s">
        <v>629</v>
      </c>
      <c r="C2877" s="4" t="s">
        <v>278</v>
      </c>
      <c r="D2877" s="94">
        <v>1311.0</v>
      </c>
    </row>
    <row r="2878">
      <c r="A2878" s="40">
        <f t="array" ref="A2878">IFNA(index(PlayerValues!A:A,match(IFNA(vlookup(B2878,'Special Names'!A:B,2,FALSE),B2878),PlayerValues!E:E,0)),"N/A")</f>
        <v>15240</v>
      </c>
      <c r="B2878" s="4" t="s">
        <v>751</v>
      </c>
      <c r="C2878" s="4" t="s">
        <v>283</v>
      </c>
      <c r="D2878" s="94">
        <v>1293.0</v>
      </c>
    </row>
    <row r="2879">
      <c r="A2879" s="40">
        <f t="array" ref="A2879">IFNA(index(PlayerValues!A:A,match(IFNA(vlookup(B2879,'Special Names'!A:B,2,FALSE),B2879),PlayerValues!E:E,0)),"N/A")</f>
        <v>17063</v>
      </c>
      <c r="B2879" s="4" t="s">
        <v>686</v>
      </c>
      <c r="C2879" s="4" t="s">
        <v>278</v>
      </c>
      <c r="D2879" s="94">
        <v>1289.0</v>
      </c>
    </row>
    <row r="2880">
      <c r="A2880" s="40">
        <f t="array" ref="A2880">IFNA(index(PlayerValues!A:A,match(IFNA(vlookup(B2880,'Special Names'!A:B,2,FALSE),B2880),PlayerValues!E:E,0)),"N/A")</f>
        <v>14067</v>
      </c>
      <c r="B2880" s="4" t="s">
        <v>735</v>
      </c>
      <c r="C2880" s="4" t="s">
        <v>283</v>
      </c>
      <c r="D2880" s="94">
        <v>1271.0</v>
      </c>
    </row>
    <row r="2881">
      <c r="A2881" s="40">
        <f t="array" ref="A2881">IFNA(index(PlayerValues!A:A,match(IFNA(vlookup(B2881,'Special Names'!A:B,2,FALSE),B2881),PlayerValues!E:E,0)),"N/A")</f>
        <v>14789</v>
      </c>
      <c r="B2881" s="4" t="s">
        <v>721</v>
      </c>
      <c r="C2881" s="4" t="s">
        <v>283</v>
      </c>
      <c r="D2881" s="94">
        <v>1266.0</v>
      </c>
    </row>
    <row r="2882">
      <c r="A2882" s="40">
        <f t="array" ref="A2882">IFNA(index(PlayerValues!A:A,match(IFNA(vlookup(B2882,'Special Names'!A:B,2,FALSE),B2882),PlayerValues!E:E,0)),"N/A")</f>
        <v>14095</v>
      </c>
      <c r="B2882" s="4" t="s">
        <v>680</v>
      </c>
      <c r="C2882" s="4" t="s">
        <v>278</v>
      </c>
      <c r="D2882" s="94">
        <v>1258.0</v>
      </c>
    </row>
    <row r="2883">
      <c r="A2883" s="40">
        <f t="array" ref="A2883">IFNA(index(PlayerValues!A:A,match(IFNA(vlookup(B2883,'Special Names'!A:B,2,FALSE),B2883),PlayerValues!E:E,0)),"N/A")</f>
        <v>16221</v>
      </c>
      <c r="B2883" s="4" t="s">
        <v>725</v>
      </c>
      <c r="C2883" s="4" t="s">
        <v>298</v>
      </c>
      <c r="D2883" s="94">
        <v>1623.0</v>
      </c>
    </row>
    <row r="2884">
      <c r="A2884" s="40">
        <f t="array" ref="A2884">IFNA(index(PlayerValues!A:A,match(IFNA(vlookup(B2884,'Special Names'!A:B,2,FALSE),B2884),PlayerValues!E:E,0)),"N/A")</f>
        <v>16746</v>
      </c>
      <c r="B2884" s="4" t="s">
        <v>709</v>
      </c>
      <c r="C2884" s="4" t="s">
        <v>278</v>
      </c>
      <c r="D2884" s="94">
        <v>1253.0</v>
      </c>
    </row>
    <row r="2885">
      <c r="A2885" s="40">
        <f t="array" ref="A2885">IFNA(index(PlayerValues!A:A,match(IFNA(vlookup(B2885,'Special Names'!A:B,2,FALSE),B2885),PlayerValues!E:E,0)),"N/A")</f>
        <v>17528</v>
      </c>
      <c r="B2885" s="4" t="s">
        <v>579</v>
      </c>
      <c r="C2885" s="4" t="s">
        <v>287</v>
      </c>
      <c r="D2885" s="94">
        <v>1249.0</v>
      </c>
    </row>
    <row r="2886">
      <c r="A2886" s="40">
        <f t="array" ref="A2886">IFNA(index(PlayerValues!A:A,match(IFNA(vlookup(B2886,'Special Names'!A:B,2,FALSE),B2886),PlayerValues!E:E,0)),"N/A")</f>
        <v>15981</v>
      </c>
      <c r="B2886" s="4" t="s">
        <v>729</v>
      </c>
      <c r="C2886" s="4" t="s">
        <v>287</v>
      </c>
      <c r="D2886" s="94">
        <v>1247.0</v>
      </c>
    </row>
    <row r="2887">
      <c r="A2887" s="40">
        <f t="array" ref="A2887">IFNA(index(PlayerValues!A:A,match(IFNA(vlookup(B2887,'Special Names'!A:B,2,FALSE),B2887),PlayerValues!E:E,0)),"N/A")</f>
        <v>16636</v>
      </c>
      <c r="B2887" s="4" t="s">
        <v>699</v>
      </c>
      <c r="C2887" s="4" t="s">
        <v>287</v>
      </c>
      <c r="D2887" s="94">
        <v>1244.0</v>
      </c>
    </row>
    <row r="2888">
      <c r="A2888" s="40">
        <f t="array" ref="A2888">IFNA(index(PlayerValues!A:A,match(IFNA(vlookup(B2888,'Special Names'!A:B,2,FALSE),B2888),PlayerValues!E:E,0)),"N/A")</f>
        <v>17546</v>
      </c>
      <c r="B2888" s="4" t="s">
        <v>671</v>
      </c>
      <c r="C2888" s="4" t="s">
        <v>298</v>
      </c>
      <c r="D2888" s="94">
        <v>1610.0</v>
      </c>
    </row>
    <row r="2889">
      <c r="A2889" s="40">
        <f t="array" ref="A2889">IFNA(index(PlayerValues!A:A,match(IFNA(vlookup(B2889,'Special Names'!A:B,2,FALSE),B2889),PlayerValues!E:E,0)),"N/A")</f>
        <v>16199</v>
      </c>
      <c r="B2889" s="4" t="s">
        <v>687</v>
      </c>
      <c r="C2889" s="4" t="s">
        <v>287</v>
      </c>
      <c r="D2889" s="94">
        <v>1234.0</v>
      </c>
    </row>
    <row r="2890">
      <c r="A2890" s="40">
        <f t="array" ref="A2890">IFNA(index(PlayerValues!A:A,match(IFNA(vlookup(B2890,'Special Names'!A:B,2,FALSE),B2890),PlayerValues!E:E,0)),"N/A")</f>
        <v>16385</v>
      </c>
      <c r="B2890" s="4" t="s">
        <v>690</v>
      </c>
      <c r="C2890" s="4" t="s">
        <v>278</v>
      </c>
      <c r="D2890" s="94">
        <v>1231.0</v>
      </c>
    </row>
    <row r="2891">
      <c r="A2891" s="40">
        <f t="array" ref="A2891">IFNA(index(PlayerValues!A:A,match(IFNA(vlookup(B2891,'Special Names'!A:B,2,FALSE),B2891),PlayerValues!E:E,0)),"N/A")</f>
        <v>13289</v>
      </c>
      <c r="B2891" s="4" t="s">
        <v>746</v>
      </c>
      <c r="C2891" s="4" t="s">
        <v>287</v>
      </c>
      <c r="D2891" s="94">
        <v>1223.0</v>
      </c>
    </row>
    <row r="2892">
      <c r="A2892" s="40">
        <f t="array" ref="A2892">IFNA(index(PlayerValues!A:A,match(IFNA(vlookup(B2892,'Special Names'!A:B,2,FALSE),B2892),PlayerValues!E:E,0)),"N/A")</f>
        <v>15288</v>
      </c>
      <c r="B2892" s="4" t="s">
        <v>700</v>
      </c>
      <c r="C2892" s="4" t="s">
        <v>287</v>
      </c>
      <c r="D2892" s="94">
        <v>1223.0</v>
      </c>
    </row>
    <row r="2893">
      <c r="A2893" s="40">
        <f t="array" ref="A2893">IFNA(index(PlayerValues!A:A,match(IFNA(vlookup(B2893,'Special Names'!A:B,2,FALSE),B2893),PlayerValues!E:E,0)),"N/A")</f>
        <v>14108</v>
      </c>
      <c r="B2893" s="4" t="s">
        <v>673</v>
      </c>
      <c r="C2893" s="4" t="s">
        <v>287</v>
      </c>
      <c r="D2893" s="94">
        <v>1221.0</v>
      </c>
    </row>
    <row r="2894">
      <c r="A2894" s="40">
        <f t="array" ref="A2894">IFNA(index(PlayerValues!A:A,match(IFNA(vlookup(B2894,'Special Names'!A:B,2,FALSE),B2894),PlayerValues!E:E,0)),"N/A")</f>
        <v>17054</v>
      </c>
      <c r="B2894" s="4" t="s">
        <v>670</v>
      </c>
      <c r="C2894" s="4" t="s">
        <v>278</v>
      </c>
      <c r="D2894" s="94">
        <v>1200.0</v>
      </c>
    </row>
    <row r="2895">
      <c r="A2895" s="40">
        <f t="array" ref="A2895">IFNA(index(PlayerValues!A:A,match(IFNA(vlookup(B2895,'Special Names'!A:B,2,FALSE),B2895),PlayerValues!E:E,0)),"N/A")</f>
        <v>16645</v>
      </c>
      <c r="B2895" s="4" t="s">
        <v>651</v>
      </c>
      <c r="C2895" s="4" t="s">
        <v>298</v>
      </c>
      <c r="D2895" s="94">
        <v>1565.0</v>
      </c>
    </row>
    <row r="2896">
      <c r="A2896" s="40">
        <f t="array" ref="A2896">IFNA(index(PlayerValues!A:A,match(IFNA(vlookup(B2896,'Special Names'!A:B,2,FALSE),B2896),PlayerValues!E:E,0)),"N/A")</f>
        <v>15692</v>
      </c>
      <c r="B2896" s="4" t="s">
        <v>750</v>
      </c>
      <c r="C2896" s="4" t="s">
        <v>283</v>
      </c>
      <c r="D2896" s="94">
        <v>1196.0</v>
      </c>
    </row>
    <row r="2897">
      <c r="A2897" s="40">
        <f t="array" ref="A2897">IFNA(index(PlayerValues!A:A,match(IFNA(vlookup(B2897,'Special Names'!A:B,2,FALSE),B2897),PlayerValues!E:E,0)),"N/A")</f>
        <v>16333</v>
      </c>
      <c r="B2897" s="4" t="s">
        <v>711</v>
      </c>
      <c r="C2897" s="4" t="s">
        <v>298</v>
      </c>
      <c r="D2897" s="94">
        <v>1554.0</v>
      </c>
    </row>
    <row r="2898">
      <c r="A2898" s="40">
        <f t="array" ref="A2898">IFNA(index(PlayerValues!A:A,match(IFNA(vlookup(B2898,'Special Names'!A:B,2,FALSE),B2898),PlayerValues!E:E,0)),"N/A")</f>
        <v>14845</v>
      </c>
      <c r="B2898" s="4" t="s">
        <v>717</v>
      </c>
      <c r="C2898" s="4" t="s">
        <v>287</v>
      </c>
      <c r="D2898" s="94">
        <v>1182.0</v>
      </c>
    </row>
    <row r="2899">
      <c r="A2899" s="40">
        <f t="array" ref="A2899">IFNA(index(PlayerValues!A:A,match(IFNA(vlookup(B2899,'Special Names'!A:B,2,FALSE),B2899),PlayerValues!E:E,0)),"N/A")</f>
        <v>16393</v>
      </c>
      <c r="B2899" s="4" t="s">
        <v>768</v>
      </c>
      <c r="C2899" s="4" t="s">
        <v>287</v>
      </c>
      <c r="D2899" s="94">
        <v>1179.0</v>
      </c>
    </row>
    <row r="2900">
      <c r="A2900" s="40">
        <f t="array" ref="A2900">IFNA(index(PlayerValues!A:A,match(IFNA(vlookup(B2900,'Special Names'!A:B,2,FALSE),B2900),PlayerValues!E:E,0)),"N/A")</f>
        <v>12263</v>
      </c>
      <c r="B2900" s="4" t="s">
        <v>697</v>
      </c>
      <c r="C2900" s="4" t="s">
        <v>298</v>
      </c>
      <c r="D2900" s="94">
        <v>1545.0</v>
      </c>
    </row>
    <row r="2901">
      <c r="A2901" s="40">
        <f t="array" ref="A2901">IFNA(index(PlayerValues!A:A,match(IFNA(vlookup(B2901,'Special Names'!A:B,2,FALSE),B2901),PlayerValues!E:E,0)),"N/A")</f>
        <v>17050</v>
      </c>
      <c r="B2901" s="4" t="s">
        <v>713</v>
      </c>
      <c r="C2901" s="4" t="s">
        <v>278</v>
      </c>
      <c r="D2901" s="94">
        <v>1174.0</v>
      </c>
    </row>
    <row r="2902">
      <c r="A2902" s="40">
        <f t="array" ref="A2902">IFNA(index(PlayerValues!A:A,match(IFNA(vlookup(B2902,'Special Names'!A:B,2,FALSE),B2902),PlayerValues!E:E,0)),"N/A")</f>
        <v>15239</v>
      </c>
      <c r="B2902" s="4" t="s">
        <v>802</v>
      </c>
      <c r="C2902" s="4" t="s">
        <v>283</v>
      </c>
      <c r="D2902" s="94">
        <v>1172.0</v>
      </c>
    </row>
    <row r="2903">
      <c r="A2903" s="40">
        <f t="array" ref="A2903">IFNA(index(PlayerValues!A:A,match(IFNA(vlookup(B2903,'Special Names'!A:B,2,FALSE),B2903),PlayerValues!E:E,0)),"N/A")</f>
        <v>16883</v>
      </c>
      <c r="B2903" s="4" t="s">
        <v>683</v>
      </c>
      <c r="C2903" s="4" t="s">
        <v>287</v>
      </c>
      <c r="D2903" s="94">
        <v>1165.0</v>
      </c>
    </row>
    <row r="2904">
      <c r="A2904" s="40">
        <f t="array" ref="A2904">IFNA(index(PlayerValues!A:A,match(IFNA(vlookup(B2904,'Special Names'!A:B,2,FALSE),B2904),PlayerValues!E:E,0)),"N/A")</f>
        <v>17481</v>
      </c>
      <c r="B2904" s="4" t="s">
        <v>540</v>
      </c>
      <c r="C2904" s="4" t="s">
        <v>278</v>
      </c>
      <c r="D2904" s="94">
        <v>1160.0</v>
      </c>
    </row>
    <row r="2905">
      <c r="A2905" s="40">
        <f t="array" ref="A2905">IFNA(index(PlayerValues!A:A,match(IFNA(vlookup(B2905,'Special Names'!A:B,2,FALSE),B2905),PlayerValues!E:E,0)),"N/A")</f>
        <v>16451</v>
      </c>
      <c r="B2905" s="4" t="s">
        <v>769</v>
      </c>
      <c r="C2905" s="4" t="s">
        <v>287</v>
      </c>
      <c r="D2905" s="94">
        <v>1158.0</v>
      </c>
    </row>
    <row r="2906">
      <c r="A2906" s="40">
        <f t="array" ref="A2906">IFNA(index(PlayerValues!A:A,match(IFNA(vlookup(B2906,'Special Names'!A:B,2,FALSE),B2906),PlayerValues!E:E,0)),"N/A")</f>
        <v>15730</v>
      </c>
      <c r="B2906" s="4" t="s">
        <v>734</v>
      </c>
      <c r="C2906" s="4" t="s">
        <v>278</v>
      </c>
      <c r="D2906" s="94">
        <v>1147.0</v>
      </c>
    </row>
    <row r="2907">
      <c r="A2907" s="40">
        <f t="array" ref="A2907">IFNA(index(PlayerValues!A:A,match(IFNA(vlookup(B2907,'Special Names'!A:B,2,FALSE),B2907),PlayerValues!E:E,0)),"N/A")</f>
        <v>15717</v>
      </c>
      <c r="B2907" s="4" t="s">
        <v>745</v>
      </c>
      <c r="C2907" s="4" t="s">
        <v>278</v>
      </c>
      <c r="D2907" s="94">
        <v>1142.0</v>
      </c>
    </row>
    <row r="2908">
      <c r="A2908" s="40">
        <f t="array" ref="A2908">IFNA(index(PlayerValues!A:A,match(IFNA(vlookup(B2908,'Special Names'!A:B,2,FALSE),B2908),PlayerValues!E:E,0)),"N/A")</f>
        <v>15693</v>
      </c>
      <c r="B2908" s="4" t="s">
        <v>755</v>
      </c>
      <c r="C2908" s="4" t="s">
        <v>283</v>
      </c>
      <c r="D2908" s="94">
        <v>1141.0</v>
      </c>
    </row>
    <row r="2909">
      <c r="A2909" s="40">
        <f t="array" ref="A2909">IFNA(index(PlayerValues!A:A,match(IFNA(vlookup(B2909,'Special Names'!A:B,2,FALSE),B2909),PlayerValues!E:E,0)),"N/A")</f>
        <v>13138</v>
      </c>
      <c r="B2909" s="4" t="s">
        <v>817</v>
      </c>
      <c r="C2909" s="4" t="s">
        <v>278</v>
      </c>
      <c r="D2909" s="94">
        <v>1140.0</v>
      </c>
    </row>
    <row r="2910">
      <c r="A2910" s="40">
        <f t="array" ref="A2910">IFNA(index(PlayerValues!A:A,match(IFNA(vlookup(B2910,'Special Names'!A:B,2,FALSE),B2910),PlayerValues!E:E,0)),"N/A")</f>
        <v>16197</v>
      </c>
      <c r="B2910" s="4" t="s">
        <v>726</v>
      </c>
      <c r="C2910" s="4" t="s">
        <v>287</v>
      </c>
      <c r="D2910" s="94">
        <v>1130.0</v>
      </c>
    </row>
    <row r="2911">
      <c r="A2911" s="40">
        <f t="array" ref="A2911">IFNA(index(PlayerValues!A:A,match(IFNA(vlookup(B2911,'Special Names'!A:B,2,FALSE),B2911),PlayerValues!E:E,0)),"N/A")</f>
        <v>17192</v>
      </c>
      <c r="B2911" s="4" t="s">
        <v>677</v>
      </c>
      <c r="C2911" s="4" t="s">
        <v>287</v>
      </c>
      <c r="D2911" s="94">
        <v>1126.0</v>
      </c>
    </row>
    <row r="2912">
      <c r="A2912" s="40">
        <f t="array" ref="A2912">IFNA(index(PlayerValues!A:A,match(IFNA(vlookup(B2912,'Special Names'!A:B,2,FALSE),B2912),PlayerValues!E:E,0)),"N/A")</f>
        <v>16637</v>
      </c>
      <c r="B2912" s="4" t="s">
        <v>736</v>
      </c>
      <c r="C2912" s="4" t="s">
        <v>287</v>
      </c>
      <c r="D2912" s="94">
        <v>1121.0</v>
      </c>
    </row>
    <row r="2913">
      <c r="A2913" s="40">
        <f t="array" ref="A2913">IFNA(index(PlayerValues!A:A,match(IFNA(vlookup(B2913,'Special Names'!A:B,2,FALSE),B2913),PlayerValues!E:E,0)),"N/A")</f>
        <v>16640</v>
      </c>
      <c r="B2913" s="4" t="s">
        <v>712</v>
      </c>
      <c r="C2913" s="4" t="s">
        <v>287</v>
      </c>
      <c r="D2913" s="94">
        <v>1120.0</v>
      </c>
    </row>
    <row r="2914">
      <c r="A2914" s="40">
        <f t="array" ref="A2914">IFNA(index(PlayerValues!A:A,match(IFNA(vlookup(B2914,'Special Names'!A:B,2,FALSE),B2914),PlayerValues!E:E,0)),"N/A")</f>
        <v>17109</v>
      </c>
      <c r="B2914" s="4" t="s">
        <v>707</v>
      </c>
      <c r="C2914" s="4" t="s">
        <v>298</v>
      </c>
      <c r="D2914" s="94">
        <v>1485.0</v>
      </c>
    </row>
    <row r="2915">
      <c r="A2915" s="40">
        <f t="array" ref="A2915">IFNA(index(PlayerValues!A:A,match(IFNA(vlookup(B2915,'Special Names'!A:B,2,FALSE),B2915),PlayerValues!E:E,0)),"N/A")</f>
        <v>17057</v>
      </c>
      <c r="B2915" s="4" t="s">
        <v>708</v>
      </c>
      <c r="C2915" s="4" t="s">
        <v>278</v>
      </c>
      <c r="D2915" s="94">
        <v>1094.0</v>
      </c>
    </row>
    <row r="2916">
      <c r="A2916" s="40">
        <f t="array" ref="A2916">IFNA(index(PlayerValues!A:A,match(IFNA(vlookup(B2916,'Special Names'!A:B,2,FALSE),B2916),PlayerValues!E:E,0)),"N/A")</f>
        <v>15785</v>
      </c>
      <c r="B2916" s="4" t="s">
        <v>763</v>
      </c>
      <c r="C2916" s="4" t="s">
        <v>287</v>
      </c>
      <c r="D2916" s="94">
        <v>1091.0</v>
      </c>
    </row>
    <row r="2917">
      <c r="A2917" s="40">
        <f t="array" ref="A2917">IFNA(index(PlayerValues!A:A,match(IFNA(vlookup(B2917,'Special Names'!A:B,2,FALSE),B2917),PlayerValues!E:E,0)),"N/A")</f>
        <v>16387</v>
      </c>
      <c r="B2917" s="4" t="s">
        <v>646</v>
      </c>
      <c r="C2917" s="4" t="s">
        <v>278</v>
      </c>
      <c r="D2917" s="94">
        <v>1089.0</v>
      </c>
    </row>
    <row r="2918">
      <c r="A2918" s="40">
        <f t="array" ref="A2918">IFNA(index(PlayerValues!A:A,match(IFNA(vlookup(B2918,'Special Names'!A:B,2,FALSE),B2918),PlayerValues!E:E,0)),"N/A")</f>
        <v>14118</v>
      </c>
      <c r="B2918" s="4" t="s">
        <v>771</v>
      </c>
      <c r="C2918" s="4" t="s">
        <v>287</v>
      </c>
      <c r="D2918" s="94">
        <v>1087.0</v>
      </c>
    </row>
    <row r="2919">
      <c r="A2919" s="40">
        <f t="array" ref="A2919">IFNA(index(PlayerValues!A:A,match(IFNA(vlookup(B2919,'Special Names'!A:B,2,FALSE),B2919),PlayerValues!E:E,0)),"N/A")</f>
        <v>9064</v>
      </c>
      <c r="B2919" s="4" t="s">
        <v>761</v>
      </c>
      <c r="C2919" s="4" t="s">
        <v>283</v>
      </c>
      <c r="D2919" s="94">
        <v>1081.0</v>
      </c>
    </row>
    <row r="2920">
      <c r="A2920" s="40">
        <f t="array" ref="A2920">IFNA(index(PlayerValues!A:A,match(IFNA(vlookup(B2920,'Special Names'!A:B,2,FALSE),B2920),PlayerValues!E:E,0)),"N/A")</f>
        <v>16219</v>
      </c>
      <c r="B2920" s="4" t="s">
        <v>739</v>
      </c>
      <c r="C2920" s="4" t="s">
        <v>298</v>
      </c>
      <c r="D2920" s="94">
        <v>1444.0</v>
      </c>
    </row>
    <row r="2921">
      <c r="A2921" s="40">
        <f t="array" ref="A2921">IFNA(index(PlayerValues!A:A,match(IFNA(vlookup(B2921,'Special Names'!A:B,2,FALSE),B2921),PlayerValues!E:E,0)),"N/A")</f>
        <v>16678</v>
      </c>
      <c r="B2921" s="4" t="s">
        <v>758</v>
      </c>
      <c r="C2921" s="4" t="s">
        <v>278</v>
      </c>
      <c r="D2921" s="94">
        <v>1074.0</v>
      </c>
    </row>
    <row r="2922">
      <c r="A2922" s="40">
        <f t="array" ref="A2922">IFNA(index(PlayerValues!A:A,match(IFNA(vlookup(B2922,'Special Names'!A:B,2,FALSE),B2922),PlayerValues!E:E,0)),"N/A")</f>
        <v>17175</v>
      </c>
      <c r="B2922" s="4" t="s">
        <v>747</v>
      </c>
      <c r="C2922" s="4" t="s">
        <v>287</v>
      </c>
      <c r="D2922" s="94">
        <v>1059.0</v>
      </c>
    </row>
    <row r="2923">
      <c r="A2923" s="40">
        <f t="array" ref="A2923">IFNA(index(PlayerValues!A:A,match(IFNA(vlookup(B2923,'Special Names'!A:B,2,FALSE),B2923),PlayerValues!E:E,0)),"N/A")</f>
        <v>17479</v>
      </c>
      <c r="B2923" s="4" t="s">
        <v>756</v>
      </c>
      <c r="C2923" s="4" t="s">
        <v>278</v>
      </c>
      <c r="D2923" s="94">
        <v>1052.0</v>
      </c>
    </row>
    <row r="2924">
      <c r="A2924" s="40">
        <f t="array" ref="A2924">IFNA(index(PlayerValues!A:A,match(IFNA(vlookup(B2924,'Special Names'!A:B,2,FALSE),B2924),PlayerValues!E:E,0)),"N/A")</f>
        <v>16648</v>
      </c>
      <c r="B2924" s="4" t="s">
        <v>748</v>
      </c>
      <c r="C2924" s="4" t="s">
        <v>298</v>
      </c>
      <c r="D2924" s="94">
        <v>1413.0</v>
      </c>
    </row>
    <row r="2925">
      <c r="A2925" s="40">
        <f t="array" ref="A2925">IFNA(index(PlayerValues!A:A,match(IFNA(vlookup(B2925,'Special Names'!A:B,2,FALSE),B2925),PlayerValues!E:E,0)),"N/A")</f>
        <v>14057</v>
      </c>
      <c r="B2925" s="4" t="s">
        <v>765</v>
      </c>
      <c r="C2925" s="4" t="s">
        <v>283</v>
      </c>
      <c r="D2925" s="94">
        <v>1044.0</v>
      </c>
    </row>
    <row r="2926">
      <c r="A2926" s="40">
        <f t="array" ref="A2926">IFNA(index(PlayerValues!A:A,match(IFNA(vlookup(B2926,'Special Names'!A:B,2,FALSE),B2926),PlayerValues!E:E,0)),"N/A")</f>
        <v>15330</v>
      </c>
      <c r="B2926" s="4" t="s">
        <v>749</v>
      </c>
      <c r="C2926" s="4" t="s">
        <v>298</v>
      </c>
      <c r="D2926" s="94">
        <v>1407.0</v>
      </c>
    </row>
    <row r="2927">
      <c r="A2927" s="40">
        <f t="array" ref="A2927">IFNA(index(PlayerValues!A:A,match(IFNA(vlookup(B2927,'Special Names'!A:B,2,FALSE),B2927),PlayerValues!E:E,0)),"N/A")</f>
        <v>15795</v>
      </c>
      <c r="B2927" s="4" t="s">
        <v>669</v>
      </c>
      <c r="C2927" s="4" t="s">
        <v>298</v>
      </c>
      <c r="D2927" s="94">
        <v>1408.0</v>
      </c>
    </row>
    <row r="2928">
      <c r="A2928" s="40">
        <f t="array" ref="A2928">IFNA(index(PlayerValues!A:A,match(IFNA(vlookup(B2928,'Special Names'!A:B,2,FALSE),B2928),PlayerValues!E:E,0)),"N/A")</f>
        <v>15718</v>
      </c>
      <c r="B2928" s="4" t="s">
        <v>753</v>
      </c>
      <c r="C2928" s="4" t="s">
        <v>278</v>
      </c>
      <c r="D2928" s="94">
        <v>1038.0</v>
      </c>
    </row>
    <row r="2929">
      <c r="A2929" s="40">
        <f t="array" ref="A2929">IFNA(index(PlayerValues!A:A,match(IFNA(vlookup(B2929,'Special Names'!A:B,2,FALSE),B2929),PlayerValues!E:E,0)),"N/A")</f>
        <v>17520</v>
      </c>
      <c r="B2929" s="4" t="s">
        <v>518</v>
      </c>
      <c r="C2929" s="4" t="s">
        <v>287</v>
      </c>
      <c r="D2929" s="94">
        <v>1028.0</v>
      </c>
    </row>
    <row r="2930">
      <c r="A2930" s="40">
        <f t="array" ref="A2930">IFNA(index(PlayerValues!A:A,match(IFNA(vlookup(B2930,'Special Names'!A:B,2,FALSE),B2930),PlayerValues!E:E,0)),"N/A")</f>
        <v>11247</v>
      </c>
      <c r="B2930" s="4" t="s">
        <v>816</v>
      </c>
      <c r="C2930" s="4" t="s">
        <v>298</v>
      </c>
      <c r="D2930" s="94">
        <v>1394.0</v>
      </c>
    </row>
    <row r="2931">
      <c r="A2931" s="40">
        <f t="array" ref="A2931">IFNA(index(PlayerValues!A:A,match(IFNA(vlookup(B2931,'Special Names'!A:B,2,FALSE),B2931),PlayerValues!E:E,0)),"N/A")</f>
        <v>17486</v>
      </c>
      <c r="B2931" s="4" t="s">
        <v>695</v>
      </c>
      <c r="C2931" s="4" t="s">
        <v>278</v>
      </c>
      <c r="D2931" s="94">
        <v>1026.0</v>
      </c>
    </row>
    <row r="2932">
      <c r="A2932" s="40">
        <f t="array" ref="A2932">IFNA(index(PlayerValues!A:A,match(IFNA(vlookup(B2932,'Special Names'!A:B,2,FALSE),B2932),PlayerValues!E:E,0)),"N/A")</f>
        <v>14849</v>
      </c>
      <c r="B2932" s="4" t="s">
        <v>733</v>
      </c>
      <c r="C2932" s="4" t="s">
        <v>287</v>
      </c>
      <c r="D2932" s="94">
        <v>1025.0</v>
      </c>
    </row>
    <row r="2933">
      <c r="A2933" s="40">
        <f t="array" ref="A2933">IFNA(index(PlayerValues!A:A,match(IFNA(vlookup(B2933,'Special Names'!A:B,2,FALSE),B2933),PlayerValues!E:E,0)),"N/A")</f>
        <v>15766</v>
      </c>
      <c r="B2933" s="4" t="s">
        <v>759</v>
      </c>
      <c r="C2933" s="4" t="s">
        <v>287</v>
      </c>
      <c r="D2933" s="94">
        <v>1023.0</v>
      </c>
    </row>
    <row r="2934">
      <c r="A2934" s="40">
        <f t="array" ref="A2934">IFNA(index(PlayerValues!A:A,match(IFNA(vlookup(B2934,'Special Names'!A:B,2,FALSE),B2934),PlayerValues!E:E,0)),"N/A")</f>
        <v>15720</v>
      </c>
      <c r="B2934" s="4" t="s">
        <v>795</v>
      </c>
      <c r="C2934" s="4" t="s">
        <v>278</v>
      </c>
      <c r="D2934" s="94">
        <v>1022.0</v>
      </c>
    </row>
    <row r="2935">
      <c r="A2935" s="40">
        <f t="array" ref="A2935">IFNA(index(PlayerValues!A:A,match(IFNA(vlookup(B2935,'Special Names'!A:B,2,FALSE),B2935),PlayerValues!E:E,0)),"N/A")</f>
        <v>17467</v>
      </c>
      <c r="B2935" s="4" t="s">
        <v>575</v>
      </c>
      <c r="C2935" s="4" t="s">
        <v>283</v>
      </c>
      <c r="D2935" s="94">
        <v>1008.0</v>
      </c>
    </row>
    <row r="2936">
      <c r="A2936" s="40">
        <f t="array" ref="A2936">IFNA(index(PlayerValues!A:A,match(IFNA(vlookup(B2936,'Special Names'!A:B,2,FALSE),B2936),PlayerValues!E:E,0)),"N/A")</f>
        <v>17487</v>
      </c>
      <c r="B2936" s="4" t="s">
        <v>692</v>
      </c>
      <c r="C2936" s="4" t="s">
        <v>278</v>
      </c>
      <c r="D2936" s="94">
        <v>1004.0</v>
      </c>
    </row>
    <row r="2937">
      <c r="A2937" s="40">
        <f t="array" ref="A2937">IFNA(index(PlayerValues!A:A,match(IFNA(vlookup(B2937,'Special Names'!A:B,2,FALSE),B2937),PlayerValues!E:E,0)),"N/A")</f>
        <v>16159</v>
      </c>
      <c r="B2937" s="4" t="s">
        <v>819</v>
      </c>
      <c r="C2937" s="4" t="s">
        <v>283</v>
      </c>
      <c r="D2937" s="94">
        <v>1002.0</v>
      </c>
    </row>
    <row r="2938">
      <c r="A2938" s="40">
        <f t="array" ref="A2938">IFNA(index(PlayerValues!A:A,match(IFNA(vlookup(B2938,'Special Names'!A:B,2,FALSE),B2938),PlayerValues!E:E,0)),"N/A")</f>
        <v>16168</v>
      </c>
      <c r="B2938" s="4" t="s">
        <v>738</v>
      </c>
      <c r="C2938" s="4" t="s">
        <v>278</v>
      </c>
      <c r="D2938" s="94">
        <v>1000.0</v>
      </c>
    </row>
    <row r="2939">
      <c r="A2939" s="40">
        <f t="array" ref="A2939">IFNA(index(PlayerValues!A:A,match(IFNA(vlookup(B2939,'Special Names'!A:B,2,FALSE),B2939),PlayerValues!E:E,0)),"N/A")</f>
        <v>16858</v>
      </c>
      <c r="B2939" s="4" t="s">
        <v>754</v>
      </c>
      <c r="C2939" s="4" t="s">
        <v>287</v>
      </c>
      <c r="D2939" s="94">
        <v>994.0</v>
      </c>
    </row>
    <row r="2940">
      <c r="A2940" s="40">
        <f t="array" ref="A2940">IFNA(index(PlayerValues!A:A,match(IFNA(vlookup(B2940,'Special Names'!A:B,2,FALSE),B2940),PlayerValues!E:E,0)),"N/A")</f>
        <v>17475</v>
      </c>
      <c r="B2940" s="4" t="s">
        <v>615</v>
      </c>
      <c r="C2940" s="4" t="s">
        <v>278</v>
      </c>
      <c r="D2940" s="94">
        <v>994.0</v>
      </c>
    </row>
    <row r="2941">
      <c r="A2941" s="40">
        <f t="array" ref="A2941">IFNA(index(PlayerValues!A:A,match(IFNA(vlookup(B2941,'Special Names'!A:B,2,FALSE),B2941),PlayerValues!E:E,0)),"N/A")</f>
        <v>15626</v>
      </c>
      <c r="B2941" s="4" t="s">
        <v>766</v>
      </c>
      <c r="C2941" s="4" t="s">
        <v>298</v>
      </c>
      <c r="D2941" s="94">
        <v>1352.0</v>
      </c>
    </row>
    <row r="2942">
      <c r="A2942" s="40">
        <f t="array" ref="A2942">IFNA(index(PlayerValues!A:A,match(IFNA(vlookup(B2942,'Special Names'!A:B,2,FALSE),B2942),PlayerValues!E:E,0)),"N/A")</f>
        <v>14799</v>
      </c>
      <c r="B2942" s="4" t="s">
        <v>829</v>
      </c>
      <c r="C2942" s="4" t="s">
        <v>278</v>
      </c>
      <c r="D2942" s="94">
        <v>982.0</v>
      </c>
    </row>
    <row r="2943">
      <c r="A2943" s="40">
        <f t="array" ref="A2943">IFNA(index(PlayerValues!A:A,match(IFNA(vlookup(B2943,'Special Names'!A:B,2,FALSE),B2943),PlayerValues!E:E,0)),"N/A")</f>
        <v>14864</v>
      </c>
      <c r="B2943" s="4" t="s">
        <v>789</v>
      </c>
      <c r="C2943" s="4" t="s">
        <v>287</v>
      </c>
      <c r="D2943" s="94">
        <v>970.0</v>
      </c>
    </row>
    <row r="2944">
      <c r="A2944" s="40">
        <f t="array" ref="A2944">IFNA(index(PlayerValues!A:A,match(IFNA(vlookup(B2944,'Special Names'!A:B,2,FALSE),B2944),PlayerValues!E:E,0)),"N/A")</f>
        <v>16176</v>
      </c>
      <c r="B2944" s="4" t="s">
        <v>812</v>
      </c>
      <c r="C2944" s="4" t="s">
        <v>278</v>
      </c>
      <c r="D2944" s="94">
        <v>970.0</v>
      </c>
    </row>
    <row r="2945">
      <c r="A2945" s="40">
        <f t="array" ref="A2945">IFNA(index(PlayerValues!A:A,match(IFNA(vlookup(B2945,'Special Names'!A:B,2,FALSE),B2945),PlayerValues!E:E,0)),"N/A")</f>
        <v>15263</v>
      </c>
      <c r="B2945" s="4" t="s">
        <v>804</v>
      </c>
      <c r="C2945" s="4" t="s">
        <v>278</v>
      </c>
      <c r="D2945" s="94">
        <v>966.0</v>
      </c>
    </row>
    <row r="2946">
      <c r="A2946" s="40">
        <f t="array" ref="A2946">IFNA(index(PlayerValues!A:A,match(IFNA(vlookup(B2946,'Special Names'!A:B,2,FALSE),B2946),PlayerValues!E:E,0)),"N/A")</f>
        <v>17510</v>
      </c>
      <c r="B2946" s="4" t="s">
        <v>661</v>
      </c>
      <c r="C2946" s="4" t="s">
        <v>287</v>
      </c>
      <c r="D2946" s="94">
        <v>963.0</v>
      </c>
    </row>
    <row r="2947">
      <c r="A2947" s="40">
        <f t="array" ref="A2947">IFNA(index(PlayerValues!A:A,match(IFNA(vlookup(B2947,'Special Names'!A:B,2,FALSE),B2947),PlayerValues!E:E,0)),"N/A")</f>
        <v>16205</v>
      </c>
      <c r="B2947" s="4" t="s">
        <v>742</v>
      </c>
      <c r="C2947" s="4" t="s">
        <v>287</v>
      </c>
      <c r="D2947" s="94">
        <v>953.0</v>
      </c>
    </row>
    <row r="2948">
      <c r="A2948" s="40">
        <f t="array" ref="A2948">IFNA(index(PlayerValues!A:A,match(IFNA(vlookup(B2948,'Special Names'!A:B,2,FALSE),B2948),PlayerValues!E:E,0)),"N/A")</f>
        <v>16773</v>
      </c>
      <c r="B2948" s="4" t="s">
        <v>783</v>
      </c>
      <c r="C2948" s="4" t="s">
        <v>278</v>
      </c>
      <c r="D2948" s="94">
        <v>952.0</v>
      </c>
    </row>
    <row r="2949">
      <c r="A2949" s="40">
        <f t="array" ref="A2949">IFNA(index(PlayerValues!A:A,match(IFNA(vlookup(B2949,'Special Names'!A:B,2,FALSE),B2949),PlayerValues!E:E,0)),"N/A")</f>
        <v>17504</v>
      </c>
      <c r="B2949" s="4" t="s">
        <v>693</v>
      </c>
      <c r="C2949" s="4" t="s">
        <v>287</v>
      </c>
      <c r="D2949" s="94">
        <v>946.0</v>
      </c>
    </row>
    <row r="2950">
      <c r="A2950" s="40">
        <f t="array" ref="A2950">IFNA(index(PlayerValues!A:A,match(IFNA(vlookup(B2950,'Special Names'!A:B,2,FALSE),B2950),PlayerValues!E:E,0)),"N/A")</f>
        <v>17545</v>
      </c>
      <c r="B2950" s="4" t="s">
        <v>719</v>
      </c>
      <c r="C2950" s="4" t="s">
        <v>298</v>
      </c>
      <c r="D2950" s="94">
        <v>1314.0</v>
      </c>
    </row>
    <row r="2951">
      <c r="A2951" s="40">
        <f t="array" ref="A2951">IFNA(index(PlayerValues!A:A,match(IFNA(vlookup(B2951,'Special Names'!A:B,2,FALSE),B2951),PlayerValues!E:E,0)),"N/A")</f>
        <v>16416</v>
      </c>
      <c r="B2951" s="4" t="s">
        <v>752</v>
      </c>
      <c r="C2951" s="4" t="s">
        <v>287</v>
      </c>
      <c r="D2951" s="94">
        <v>943.0</v>
      </c>
    </row>
    <row r="2952">
      <c r="A2952" s="40">
        <f t="array" ref="A2952">IFNA(index(PlayerValues!A:A,match(IFNA(vlookup(B2952,'Special Names'!A:B,2,FALSE),B2952),PlayerValues!E:E,0)),"N/A")</f>
        <v>16599</v>
      </c>
      <c r="B2952" s="4" t="s">
        <v>737</v>
      </c>
      <c r="C2952" s="4" t="s">
        <v>278</v>
      </c>
      <c r="D2952" s="94">
        <v>942.0</v>
      </c>
    </row>
    <row r="2953">
      <c r="A2953" s="40">
        <f t="array" ref="A2953">IFNA(index(PlayerValues!A:A,match(IFNA(vlookup(B2953,'Special Names'!A:B,2,FALSE),B2953),PlayerValues!E:E,0)),"N/A")</f>
        <v>16624</v>
      </c>
      <c r="B2953" s="4" t="s">
        <v>796</v>
      </c>
      <c r="C2953" s="4" t="s">
        <v>287</v>
      </c>
      <c r="D2953" s="94">
        <v>942.0</v>
      </c>
    </row>
    <row r="2954">
      <c r="A2954" s="40">
        <f t="array" ref="A2954">IFNA(index(PlayerValues!A:A,match(IFNA(vlookup(B2954,'Special Names'!A:B,2,FALSE),B2954),PlayerValues!E:E,0)),"N/A")</f>
        <v>13595</v>
      </c>
      <c r="B2954" s="4" t="s">
        <v>818</v>
      </c>
      <c r="C2954" s="4" t="s">
        <v>283</v>
      </c>
      <c r="D2954" s="94">
        <v>938.0</v>
      </c>
    </row>
    <row r="2955">
      <c r="A2955" s="40">
        <f t="array" ref="A2955">IFNA(index(PlayerValues!A:A,match(IFNA(vlookup(B2955,'Special Names'!A:B,2,FALSE),B2955),PlayerValues!E:E,0)),"N/A")</f>
        <v>15723</v>
      </c>
      <c r="B2955" s="4" t="s">
        <v>798</v>
      </c>
      <c r="C2955" s="4" t="s">
        <v>278</v>
      </c>
      <c r="D2955" s="94">
        <v>930.0</v>
      </c>
    </row>
    <row r="2956">
      <c r="A2956" s="40">
        <f t="array" ref="A2956">IFNA(index(PlayerValues!A:A,match(IFNA(vlookup(B2956,'Special Names'!A:B,2,FALSE),B2956),PlayerValues!E:E,0)),"N/A")</f>
        <v>15109</v>
      </c>
      <c r="B2956" s="4" t="s">
        <v>728</v>
      </c>
      <c r="C2956" s="4" t="s">
        <v>287</v>
      </c>
      <c r="D2956" s="94">
        <v>928.0</v>
      </c>
    </row>
    <row r="2957">
      <c r="A2957" s="40">
        <f t="array" ref="A2957">IFNA(index(PlayerValues!A:A,match(IFNA(vlookup(B2957,'Special Names'!A:B,2,FALSE),B2957),PlayerValues!E:E,0)),"N/A")</f>
        <v>13133</v>
      </c>
      <c r="B2957" s="4" t="s">
        <v>764</v>
      </c>
      <c r="C2957" s="4" t="s">
        <v>278</v>
      </c>
      <c r="D2957" s="94">
        <v>923.0</v>
      </c>
    </row>
    <row r="2958">
      <c r="A2958" s="40">
        <f t="array" ref="A2958">IFNA(index(PlayerValues!A:A,match(IFNA(vlookup(B2958,'Special Names'!A:B,2,FALSE),B2958),PlayerValues!E:E,0)),"N/A")</f>
        <v>13610</v>
      </c>
      <c r="B2958" s="4" t="s">
        <v>825</v>
      </c>
      <c r="C2958" s="4" t="s">
        <v>278</v>
      </c>
      <c r="D2958" s="94">
        <v>914.0</v>
      </c>
    </row>
    <row r="2959">
      <c r="A2959" s="40">
        <f t="array" ref="A2959">IFNA(index(PlayerValues!A:A,match(IFNA(vlookup(B2959,'Special Names'!A:B,2,FALSE),B2959),PlayerValues!E:E,0)),"N/A")</f>
        <v>12785</v>
      </c>
      <c r="B2959" s="4" t="s">
        <v>772</v>
      </c>
      <c r="C2959" s="4" t="s">
        <v>287</v>
      </c>
      <c r="D2959" s="94">
        <v>907.0</v>
      </c>
    </row>
    <row r="2960">
      <c r="A2960" s="40">
        <f t="array" ref="A2960">IFNA(index(PlayerValues!A:A,match(IFNA(vlookup(B2960,'Special Names'!A:B,2,FALSE),B2960),PlayerValues!E:E,0)),"N/A")</f>
        <v>16751</v>
      </c>
      <c r="B2960" s="4" t="s">
        <v>762</v>
      </c>
      <c r="C2960" s="4" t="s">
        <v>287</v>
      </c>
      <c r="D2960" s="94">
        <v>905.0</v>
      </c>
    </row>
    <row r="2961">
      <c r="A2961" s="40">
        <f t="array" ref="A2961">IFNA(index(PlayerValues!A:A,match(IFNA(vlookup(B2961,'Special Names'!A:B,2,FALSE),B2961),PlayerValues!E:E,0)),"N/A")</f>
        <v>16957</v>
      </c>
      <c r="B2961" s="4" t="s">
        <v>806</v>
      </c>
      <c r="C2961" s="4" t="s">
        <v>278</v>
      </c>
      <c r="D2961" s="94">
        <v>904.0</v>
      </c>
    </row>
    <row r="2962">
      <c r="A2962" s="40">
        <f t="array" ref="A2962">IFNA(index(PlayerValues!A:A,match(IFNA(vlookup(B2962,'Special Names'!A:B,2,FALSE),B2962),PlayerValues!E:E,0)),"N/A")</f>
        <v>14079</v>
      </c>
      <c r="B2962" s="4" t="s">
        <v>830</v>
      </c>
      <c r="C2962" s="4" t="s">
        <v>278</v>
      </c>
      <c r="D2962" s="94">
        <v>889.0</v>
      </c>
    </row>
    <row r="2963">
      <c r="A2963" s="40">
        <f t="array" ref="A2963">IFNA(index(PlayerValues!A:A,match(IFNA(vlookup(B2963,'Special Names'!A:B,2,FALSE),B2963),PlayerValues!E:E,0)),"N/A")</f>
        <v>13143</v>
      </c>
      <c r="B2963" s="4" t="s">
        <v>786</v>
      </c>
      <c r="C2963" s="4" t="s">
        <v>278</v>
      </c>
      <c r="D2963" s="94">
        <v>889.0</v>
      </c>
    </row>
    <row r="2964">
      <c r="A2964" s="40">
        <f t="array" ref="A2964">IFNA(index(PlayerValues!A:A,match(IFNA(vlookup(B2964,'Special Names'!A:B,2,FALSE),B2964),PlayerValues!E:E,0)),"N/A")</f>
        <v>15796</v>
      </c>
      <c r="B2964" s="4" t="s">
        <v>794</v>
      </c>
      <c r="C2964" s="4" t="s">
        <v>298</v>
      </c>
      <c r="D2964" s="94">
        <v>1256.0</v>
      </c>
    </row>
    <row r="2965">
      <c r="A2965" s="40">
        <f t="array" ref="A2965">IFNA(index(PlayerValues!A:A,match(IFNA(vlookup(B2965,'Special Names'!A:B,2,FALSE),B2965),PlayerValues!E:E,0)),"N/A")</f>
        <v>16606</v>
      </c>
      <c r="B2965" s="4" t="s">
        <v>743</v>
      </c>
      <c r="C2965" s="4" t="s">
        <v>278</v>
      </c>
      <c r="D2965" s="94">
        <v>883.0</v>
      </c>
    </row>
    <row r="2966">
      <c r="A2966" s="40">
        <f t="array" ref="A2966">IFNA(index(PlayerValues!A:A,match(IFNA(vlookup(B2966,'Special Names'!A:B,2,FALSE),B2966),PlayerValues!E:E,0)),"N/A")</f>
        <v>13113</v>
      </c>
      <c r="B2966" s="4" t="s">
        <v>606</v>
      </c>
      <c r="C2966" s="4" t="s">
        <v>283</v>
      </c>
      <c r="D2966" s="94">
        <v>873.0</v>
      </c>
    </row>
    <row r="2967">
      <c r="A2967" s="40">
        <f t="array" ref="A2967">IFNA(index(PlayerValues!A:A,match(IFNA(vlookup(B2967,'Special Names'!A:B,2,FALSE),B2967),PlayerValues!E:E,0)),"N/A")</f>
        <v>11232</v>
      </c>
      <c r="B2967" s="4" t="s">
        <v>826</v>
      </c>
      <c r="C2967" s="4" t="s">
        <v>287</v>
      </c>
      <c r="D2967" s="94">
        <v>870.0</v>
      </c>
    </row>
    <row r="2968">
      <c r="A2968" s="40">
        <f t="array" ref="A2968">IFNA(index(PlayerValues!A:A,match(IFNA(vlookup(B2968,'Special Names'!A:B,2,FALSE),B2968),PlayerValues!E:E,0)),"N/A")</f>
        <v>17337</v>
      </c>
      <c r="B2968" s="4" t="s">
        <v>793</v>
      </c>
      <c r="C2968" s="4" t="s">
        <v>278</v>
      </c>
      <c r="D2968" s="94">
        <v>869.0</v>
      </c>
    </row>
    <row r="2969">
      <c r="A2969" s="40">
        <f t="array" ref="A2969">IFNA(index(PlayerValues!A:A,match(IFNA(vlookup(B2969,'Special Names'!A:B,2,FALSE),B2969),PlayerValues!E:E,0)),"N/A")</f>
        <v>14358</v>
      </c>
      <c r="B2969" s="4" t="s">
        <v>813</v>
      </c>
      <c r="C2969" s="4" t="s">
        <v>283</v>
      </c>
      <c r="D2969" s="94">
        <v>857.0</v>
      </c>
    </row>
    <row r="2970">
      <c r="A2970" s="40">
        <f t="array" ref="A2970">IFNA(index(PlayerValues!A:A,match(IFNA(vlookup(B2970,'Special Names'!A:B,2,FALSE),B2970),PlayerValues!E:E,0)),"N/A")</f>
        <v>15804</v>
      </c>
      <c r="B2970" s="4" t="s">
        <v>821</v>
      </c>
      <c r="C2970" s="4" t="s">
        <v>298</v>
      </c>
      <c r="D2970" s="94">
        <v>1226.0</v>
      </c>
    </row>
    <row r="2971">
      <c r="A2971" s="40">
        <f t="array" ref="A2971">IFNA(index(PlayerValues!A:A,match(IFNA(vlookup(B2971,'Special Names'!A:B,2,FALSE),B2971),PlayerValues!E:E,0)),"N/A")</f>
        <v>15271</v>
      </c>
      <c r="B2971" s="4" t="s">
        <v>741</v>
      </c>
      <c r="C2971" s="4" t="s">
        <v>278</v>
      </c>
      <c r="D2971" s="94">
        <v>844.0</v>
      </c>
    </row>
    <row r="2972">
      <c r="A2972" s="40">
        <f t="array" ref="A2972">IFNA(index(PlayerValues!A:A,match(IFNA(vlookup(B2972,'Special Names'!A:B,2,FALSE),B2972),PlayerValues!E:E,0)),"N/A")</f>
        <v>14223</v>
      </c>
      <c r="B2972" s="4" t="s">
        <v>785</v>
      </c>
      <c r="C2972" s="4" t="s">
        <v>278</v>
      </c>
      <c r="D2972" s="94">
        <v>837.0</v>
      </c>
    </row>
    <row r="2973">
      <c r="A2973" s="40">
        <f t="array" ref="A2973">IFNA(index(PlayerValues!A:A,match(IFNA(vlookup(B2973,'Special Names'!A:B,2,FALSE),B2973),PlayerValues!E:E,0)),"N/A")</f>
        <v>16623</v>
      </c>
      <c r="B2973" s="4" t="s">
        <v>803</v>
      </c>
      <c r="C2973" s="4" t="s">
        <v>287</v>
      </c>
      <c r="D2973" s="94">
        <v>830.0</v>
      </c>
    </row>
    <row r="2974">
      <c r="A2974" s="40">
        <f t="array" ref="A2974">IFNA(index(PlayerValues!A:A,match(IFNA(vlookup(B2974,'Special Names'!A:B,2,FALSE),B2974),PlayerValues!E:E,0)),"N/A")</f>
        <v>13156</v>
      </c>
      <c r="B2974" s="4" t="s">
        <v>835</v>
      </c>
      <c r="C2974" s="4" t="s">
        <v>287</v>
      </c>
      <c r="D2974" s="94">
        <v>827.0</v>
      </c>
    </row>
    <row r="2975">
      <c r="A2975" s="40">
        <f t="array" ref="A2975">IFNA(index(PlayerValues!A:A,match(IFNA(vlookup(B2975,'Special Names'!A:B,2,FALSE),B2975),PlayerValues!E:E,0)),"N/A")</f>
        <v>16170</v>
      </c>
      <c r="B2975" s="4" t="s">
        <v>801</v>
      </c>
      <c r="C2975" s="4" t="s">
        <v>278</v>
      </c>
      <c r="D2975" s="94">
        <v>817.0</v>
      </c>
    </row>
    <row r="2976">
      <c r="A2976" s="40">
        <f t="array" ref="A2976">IFNA(index(PlayerValues!A:A,match(IFNA(vlookup(B2976,'Special Names'!A:B,2,FALSE),B2976),PlayerValues!E:E,0)),"N/A")</f>
        <v>16625</v>
      </c>
      <c r="B2976" s="4" t="s">
        <v>778</v>
      </c>
      <c r="C2976" s="4" t="s">
        <v>287</v>
      </c>
      <c r="D2976" s="94">
        <v>814.0</v>
      </c>
    </row>
    <row r="2977">
      <c r="A2977" s="40">
        <f t="array" ref="A2977">IFNA(index(PlayerValues!A:A,match(IFNA(vlookup(B2977,'Special Names'!A:B,2,FALSE),B2977),PlayerValues!E:E,0)),"N/A")</f>
        <v>16686</v>
      </c>
      <c r="B2977" s="4" t="s">
        <v>805</v>
      </c>
      <c r="C2977" s="4" t="s">
        <v>287</v>
      </c>
      <c r="D2977" s="94">
        <v>807.0</v>
      </c>
    </row>
    <row r="2978">
      <c r="A2978" s="40">
        <f t="array" ref="A2978">IFNA(index(PlayerValues!A:A,match(IFNA(vlookup(B2978,'Special Names'!A:B,2,FALSE),B2978),PlayerValues!E:E,0)),"N/A")</f>
        <v>14805</v>
      </c>
      <c r="B2978" s="4" t="s">
        <v>770</v>
      </c>
      <c r="C2978" s="4" t="s">
        <v>278</v>
      </c>
      <c r="D2978" s="94">
        <v>806.0</v>
      </c>
    </row>
    <row r="2979">
      <c r="A2979" s="40">
        <f t="array" ref="A2979">IFNA(index(PlayerValues!A:A,match(IFNA(vlookup(B2979,'Special Names'!A:B,2,FALSE),B2979),PlayerValues!E:E,0)),"N/A")</f>
        <v>13157</v>
      </c>
      <c r="B2979" s="4" t="s">
        <v>836</v>
      </c>
      <c r="C2979" s="4" t="s">
        <v>287</v>
      </c>
      <c r="D2979" s="94">
        <v>776.0</v>
      </c>
    </row>
    <row r="2980">
      <c r="A2980" s="40">
        <f t="array" ref="A2980">IFNA(index(PlayerValues!A:A,match(IFNA(vlookup(B2980,'Special Names'!A:B,2,FALSE),B2980),PlayerValues!E:E,0)),"N/A")</f>
        <v>14852</v>
      </c>
      <c r="B2980" s="4" t="s">
        <v>837</v>
      </c>
      <c r="C2980" s="4" t="s">
        <v>278</v>
      </c>
      <c r="D2980" s="94">
        <v>775.0</v>
      </c>
    </row>
    <row r="2981">
      <c r="A2981" s="40">
        <f t="array" ref="A2981">IFNA(index(PlayerValues!A:A,match(IFNA(vlookup(B2981,'Special Names'!A:B,2,FALSE),B2981),PlayerValues!E:E,0)),"N/A")</f>
        <v>15285</v>
      </c>
      <c r="B2981" s="4" t="s">
        <v>792</v>
      </c>
      <c r="C2981" s="4" t="s">
        <v>287</v>
      </c>
      <c r="D2981" s="94">
        <v>755.0</v>
      </c>
    </row>
    <row r="2982">
      <c r="A2982" s="40">
        <f t="array" ref="A2982">IFNA(index(PlayerValues!A:A,match(IFNA(vlookup(B2982,'Special Names'!A:B,2,FALSE),B2982),PlayerValues!E:E,0)),"N/A")</f>
        <v>17038</v>
      </c>
      <c r="B2982" s="4" t="s">
        <v>774</v>
      </c>
      <c r="C2982" s="4" t="s">
        <v>283</v>
      </c>
      <c r="D2982" s="94">
        <v>755.0</v>
      </c>
    </row>
    <row r="2983">
      <c r="A2983" s="40">
        <f t="array" ref="A2983">IFNA(index(PlayerValues!A:A,match(IFNA(vlookup(B2983,'Special Names'!A:B,2,FALSE),B2983),PlayerValues!E:E,0)),"N/A")</f>
        <v>14858</v>
      </c>
      <c r="B2983" s="4" t="s">
        <v>799</v>
      </c>
      <c r="C2983" s="4" t="s">
        <v>287</v>
      </c>
      <c r="D2983" s="94">
        <v>749.0</v>
      </c>
    </row>
    <row r="2984">
      <c r="A2984" s="40">
        <f t="array" ref="A2984">IFNA(index(PlayerValues!A:A,match(IFNA(vlookup(B2984,'Special Names'!A:B,2,FALSE),B2984),PlayerValues!E:E,0)),"N/A")</f>
        <v>15965</v>
      </c>
      <c r="B2984" s="4" t="s">
        <v>791</v>
      </c>
      <c r="C2984" s="4" t="s">
        <v>278</v>
      </c>
      <c r="D2984" s="94">
        <v>748.0</v>
      </c>
    </row>
    <row r="2985">
      <c r="A2985" s="40">
        <f t="array" ref="A2985">IFNA(index(PlayerValues!A:A,match(IFNA(vlookup(B2985,'Special Names'!A:B,2,FALSE),B2985),PlayerValues!E:E,0)),"N/A")</f>
        <v>12610</v>
      </c>
      <c r="B2985" s="4" t="s">
        <v>838</v>
      </c>
      <c r="C2985" s="4" t="s">
        <v>283</v>
      </c>
      <c r="D2985" s="94">
        <v>744.0</v>
      </c>
    </row>
    <row r="2986">
      <c r="A2986" s="40">
        <f t="array" ref="A2986">IFNA(index(PlayerValues!A:A,match(IFNA(vlookup(B2986,'Special Names'!A:B,2,FALSE),B2986),PlayerValues!E:E,0)),"N/A")</f>
        <v>14113</v>
      </c>
      <c r="B2986" s="4" t="s">
        <v>788</v>
      </c>
      <c r="C2986" s="4" t="s">
        <v>287</v>
      </c>
      <c r="D2986" s="94">
        <v>742.0</v>
      </c>
    </row>
    <row r="2987">
      <c r="A2987" s="40">
        <f t="array" ref="A2987">IFNA(index(PlayerValues!A:A,match(IFNA(vlookup(B2987,'Special Names'!A:B,2,FALSE),B2987),PlayerValues!E:E,0)),"N/A")</f>
        <v>14209</v>
      </c>
      <c r="B2987" s="4" t="s">
        <v>809</v>
      </c>
      <c r="C2987" s="4" t="s">
        <v>298</v>
      </c>
      <c r="D2987" s="94">
        <v>1109.0</v>
      </c>
    </row>
    <row r="2988">
      <c r="A2988" s="40">
        <f t="array" ref="A2988">IFNA(index(PlayerValues!A:A,match(IFNA(vlookup(B2988,'Special Names'!A:B,2,FALSE),B2988),PlayerValues!E:E,0)),"N/A")</f>
        <v>13176</v>
      </c>
      <c r="B2988" s="4" t="s">
        <v>807</v>
      </c>
      <c r="C2988" s="4" t="s">
        <v>287</v>
      </c>
      <c r="D2988" s="94">
        <v>741.0</v>
      </c>
    </row>
    <row r="2989">
      <c r="A2989" s="40">
        <f t="array" ref="A2989">IFNA(index(PlayerValues!A:A,match(IFNA(vlookup(B2989,'Special Names'!A:B,2,FALSE),B2989),PlayerValues!E:E,0)),"N/A")</f>
        <v>15714</v>
      </c>
      <c r="B2989" s="4" t="s">
        <v>775</v>
      </c>
      <c r="C2989" s="4" t="s">
        <v>278</v>
      </c>
      <c r="D2989" s="94">
        <v>740.0</v>
      </c>
    </row>
    <row r="2990">
      <c r="A2990" s="40">
        <f t="array" ref="A2990">IFNA(index(PlayerValues!A:A,match(IFNA(vlookup(B2990,'Special Names'!A:B,2,FALSE),B2990),PlayerValues!E:E,0)),"N/A")</f>
        <v>13675</v>
      </c>
      <c r="B2990" s="4" t="s">
        <v>839</v>
      </c>
      <c r="C2990" s="4" t="s">
        <v>298</v>
      </c>
      <c r="D2990" s="94">
        <v>1106.0</v>
      </c>
    </row>
    <row r="2991">
      <c r="A2991" s="40">
        <f t="array" ref="A2991">IFNA(index(PlayerValues!A:A,match(IFNA(vlookup(B2991,'Special Names'!A:B,2,FALSE),B2991),PlayerValues!E:E,0)),"N/A")</f>
        <v>17541</v>
      </c>
      <c r="B2991" s="4" t="s">
        <v>616</v>
      </c>
      <c r="C2991" s="4" t="s">
        <v>287</v>
      </c>
      <c r="D2991" s="94">
        <v>722.0</v>
      </c>
    </row>
    <row r="2992">
      <c r="A2992" s="40">
        <f t="array" ref="A2992">IFNA(index(PlayerValues!A:A,match(IFNA(vlookup(B2992,'Special Names'!A:B,2,FALSE),B2992),PlayerValues!E:E,0)),"N/A")</f>
        <v>16413</v>
      </c>
      <c r="B2992" s="4" t="s">
        <v>781</v>
      </c>
      <c r="C2992" s="4" t="s">
        <v>287</v>
      </c>
      <c r="D2992" s="94">
        <v>716.0</v>
      </c>
    </row>
    <row r="2993">
      <c r="A2993" s="40">
        <f t="array" ref="A2993">IFNA(index(PlayerValues!A:A,match(IFNA(vlookup(B2993,'Special Names'!A:B,2,FALSE),B2993),PlayerValues!E:E,0)),"N/A")</f>
        <v>13172</v>
      </c>
      <c r="B2993" s="4" t="s">
        <v>840</v>
      </c>
      <c r="C2993" s="4" t="s">
        <v>287</v>
      </c>
      <c r="D2993" s="94">
        <v>712.0</v>
      </c>
    </row>
    <row r="2994">
      <c r="A2994" s="40">
        <f t="array" ref="A2994">IFNA(index(PlayerValues!A:A,match(IFNA(vlookup(B2994,'Special Names'!A:B,2,FALSE),B2994),PlayerValues!E:E,0)),"N/A")</f>
        <v>10413</v>
      </c>
      <c r="B2994" s="4" t="s">
        <v>811</v>
      </c>
      <c r="C2994" s="4" t="s">
        <v>283</v>
      </c>
      <c r="D2994" s="94">
        <v>705.0</v>
      </c>
    </row>
    <row r="2995">
      <c r="A2995" s="40">
        <f t="array" ref="A2995">IFNA(index(PlayerValues!A:A,match(IFNA(vlookup(B2995,'Special Names'!A:B,2,FALSE),B2995),PlayerValues!E:E,0)),"N/A")</f>
        <v>17232</v>
      </c>
      <c r="B2995" s="4" t="s">
        <v>784</v>
      </c>
      <c r="C2995" s="4" t="s">
        <v>287</v>
      </c>
      <c r="D2995" s="94">
        <v>700.0</v>
      </c>
    </row>
    <row r="2996">
      <c r="A2996" s="40">
        <f t="array" ref="A2996">IFNA(index(PlayerValues!A:A,match(IFNA(vlookup(B2996,'Special Names'!A:B,2,FALSE),B2996),PlayerValues!E:E,0)),"N/A")</f>
        <v>17470</v>
      </c>
      <c r="B2996" s="4" t="s">
        <v>841</v>
      </c>
      <c r="C2996" s="4" t="s">
        <v>283</v>
      </c>
      <c r="D2996" s="94">
        <v>699.0</v>
      </c>
    </row>
    <row r="2997">
      <c r="A2997" s="40">
        <f t="array" ref="A2997">IFNA(index(PlayerValues!A:A,match(IFNA(vlookup(B2997,'Special Names'!A:B,2,FALSE),B2997),PlayerValues!E:E,0)),"N/A")</f>
        <v>12658</v>
      </c>
      <c r="B2997" s="4" t="s">
        <v>823</v>
      </c>
      <c r="C2997" s="4" t="s">
        <v>287</v>
      </c>
      <c r="D2997" s="94">
        <v>690.0</v>
      </c>
    </row>
    <row r="2998">
      <c r="A2998" s="40">
        <f t="array" ref="A2998">IFNA(index(PlayerValues!A:A,match(IFNA(vlookup(B2998,'Special Names'!A:B,2,FALSE),B2998),PlayerValues!E:E,0)),"N/A")</f>
        <v>16632</v>
      </c>
      <c r="B2998" s="4" t="s">
        <v>842</v>
      </c>
      <c r="C2998" s="4" t="s">
        <v>287</v>
      </c>
      <c r="D2998" s="94">
        <v>690.0</v>
      </c>
    </row>
    <row r="2999">
      <c r="A2999" s="40">
        <f t="array" ref="A2999">IFNA(index(PlayerValues!A:A,match(IFNA(vlookup(B2999,'Special Names'!A:B,2,FALSE),B2999),PlayerValues!E:E,0)),"N/A")</f>
        <v>14870</v>
      </c>
      <c r="B2999" s="4" t="s">
        <v>843</v>
      </c>
      <c r="C2999" s="4" t="s">
        <v>298</v>
      </c>
      <c r="D2999" s="94">
        <v>1054.0</v>
      </c>
    </row>
    <row r="3000">
      <c r="A3000" s="40">
        <f t="array" ref="A3000">IFNA(index(PlayerValues!A:A,match(IFNA(vlookup(B3000,'Special Names'!A:B,2,FALSE),B3000),PlayerValues!E:E,0)),"N/A")</f>
        <v>17526</v>
      </c>
      <c r="B3000" s="4" t="s">
        <v>760</v>
      </c>
      <c r="C3000" s="4" t="s">
        <v>287</v>
      </c>
      <c r="D3000" s="94">
        <v>686.0</v>
      </c>
    </row>
    <row r="3001">
      <c r="A3001" s="40">
        <f t="array" ref="A3001">IFNA(index(PlayerValues!A:A,match(IFNA(vlookup(B3001,'Special Names'!A:B,2,FALSE),B3001),PlayerValues!E:E,0)),"N/A")</f>
        <v>13589</v>
      </c>
      <c r="B3001" s="4" t="s">
        <v>282</v>
      </c>
      <c r="C3001" s="4" t="s">
        <v>283</v>
      </c>
      <c r="D3001" s="94">
        <v>9987.0</v>
      </c>
    </row>
    <row r="3002">
      <c r="A3002" s="40">
        <f t="array" ref="A3002">IFNA(index(PlayerValues!A:A,match(IFNA(vlookup(B3002,'Special Names'!A:B,2,FALSE),B3002),PlayerValues!E:E,0)),"N/A")</f>
        <v>16161</v>
      </c>
      <c r="B3002" s="4" t="s">
        <v>277</v>
      </c>
      <c r="C3002" s="4" t="s">
        <v>278</v>
      </c>
      <c r="D3002" s="94">
        <v>9981.0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9837.0</v>
      </c>
    </row>
    <row r="3004">
      <c r="A3004" s="40">
        <f t="array" ref="A3004">IFNA(index(PlayerValues!A:A,match(IFNA(vlookup(B3004,'Special Names'!A:B,2,FALSE),B3004),PlayerValues!E:E,0)),"N/A")</f>
        <v>16185</v>
      </c>
      <c r="B3004" s="4" t="s">
        <v>290</v>
      </c>
      <c r="C3004" s="4" t="s">
        <v>287</v>
      </c>
      <c r="D3004" s="94">
        <v>9784.0</v>
      </c>
    </row>
    <row r="3005">
      <c r="A3005" s="40">
        <f t="array" ref="A3005">IFNA(index(PlayerValues!A:A,match(IFNA(vlookup(B3005,'Special Names'!A:B,2,FALSE),B3005),PlayerValues!E:E,0)),"N/A")</f>
        <v>16162</v>
      </c>
      <c r="B3005" s="4" t="s">
        <v>281</v>
      </c>
      <c r="C3005" s="4" t="s">
        <v>278</v>
      </c>
      <c r="D3005" s="94">
        <v>9645.0</v>
      </c>
    </row>
    <row r="3006">
      <c r="A3006" s="40">
        <f t="array" ref="A3006">IFNA(index(PlayerValues!A:A,match(IFNA(vlookup(B3006,'Special Names'!A:B,2,FALSE),B3006),PlayerValues!E:E,0)),"N/A")</f>
        <v>16580</v>
      </c>
      <c r="B3006" s="4" t="s">
        <v>291</v>
      </c>
      <c r="C3006" s="4" t="s">
        <v>283</v>
      </c>
      <c r="D3006" s="94">
        <v>9367.0</v>
      </c>
    </row>
    <row r="3007">
      <c r="A3007" s="40">
        <f t="array" ref="A3007">IFNA(index(PlayerValues!A:A,match(IFNA(vlookup(B3007,'Special Names'!A:B,2,FALSE),B3007),PlayerValues!E:E,0)),"N/A")</f>
        <v>16211</v>
      </c>
      <c r="B3007" s="4" t="s">
        <v>294</v>
      </c>
      <c r="C3007" s="4" t="s">
        <v>287</v>
      </c>
      <c r="D3007" s="94">
        <v>9253.0</v>
      </c>
    </row>
    <row r="3008">
      <c r="A3008" s="40">
        <f t="array" ref="A3008">IFNA(index(PlayerValues!A:A,match(IFNA(vlookup(B3008,'Special Names'!A:B,2,FALSE),B3008),PlayerValues!E:E,0)),"N/A")</f>
        <v>16579</v>
      </c>
      <c r="B3008" s="4" t="s">
        <v>302</v>
      </c>
      <c r="C3008" s="4" t="s">
        <v>283</v>
      </c>
      <c r="D3008" s="94">
        <v>7752.0</v>
      </c>
    </row>
    <row r="3009">
      <c r="A3009" s="40">
        <f t="array" ref="A3009">IFNA(index(PlayerValues!A:A,match(IFNA(vlookup(B3009,'Special Names'!A:B,2,FALSE),B3009),PlayerValues!E:E,0)),"N/A")</f>
        <v>16581</v>
      </c>
      <c r="B3009" s="4" t="s">
        <v>315</v>
      </c>
      <c r="C3009" s="4" t="s">
        <v>283</v>
      </c>
      <c r="D3009" s="94">
        <v>7751.0</v>
      </c>
    </row>
    <row r="3010">
      <c r="A3010" s="40">
        <f t="array" ref="A3010">IFNA(index(PlayerValues!A:A,match(IFNA(vlookup(B3010,'Special Names'!A:B,2,FALSE),B3010),PlayerValues!E:E,0)),"N/A")</f>
        <v>16641</v>
      </c>
      <c r="B3010" s="4" t="s">
        <v>297</v>
      </c>
      <c r="C3010" s="4" t="s">
        <v>298</v>
      </c>
      <c r="D3010" s="94">
        <v>8555.0</v>
      </c>
    </row>
    <row r="3011">
      <c r="A3011" s="40">
        <f t="array" ref="A3011">IFNA(index(PlayerValues!A:A,match(IFNA(vlookup(B3011,'Special Names'!A:B,2,FALSE),B3011),PlayerValues!E:E,0)),"N/A")</f>
        <v>15287</v>
      </c>
      <c r="B3011" s="4" t="s">
        <v>299</v>
      </c>
      <c r="C3011" s="4" t="s">
        <v>287</v>
      </c>
      <c r="D3011" s="94">
        <v>7713.0</v>
      </c>
    </row>
    <row r="3012">
      <c r="A3012" s="40">
        <f t="array" ref="A3012">IFNA(index(PlayerValues!A:A,match(IFNA(vlookup(B3012,'Special Names'!A:B,2,FALSE),B3012),PlayerValues!E:E,0)),"N/A")</f>
        <v>16615</v>
      </c>
      <c r="B3012" s="4" t="s">
        <v>309</v>
      </c>
      <c r="C3012" s="4" t="s">
        <v>287</v>
      </c>
      <c r="D3012" s="94">
        <v>7709.0</v>
      </c>
    </row>
    <row r="3013">
      <c r="A3013" s="40">
        <f t="array" ref="A3013">IFNA(index(PlayerValues!A:A,match(IFNA(vlookup(B3013,'Special Names'!A:B,2,FALSE),B3013),PlayerValues!E:E,0)),"N/A")</f>
        <v>13593</v>
      </c>
      <c r="B3013" s="4" t="s">
        <v>305</v>
      </c>
      <c r="C3013" s="4" t="s">
        <v>283</v>
      </c>
      <c r="D3013" s="94">
        <v>7682.0</v>
      </c>
    </row>
    <row r="3014">
      <c r="A3014" s="40">
        <f t="array" ref="A3014">IFNA(index(PlayerValues!A:A,match(IFNA(vlookup(B3014,'Special Names'!A:B,2,FALSE),B3014),PlayerValues!E:E,0)),"N/A")</f>
        <v>14836</v>
      </c>
      <c r="B3014" s="4" t="s">
        <v>306</v>
      </c>
      <c r="C3014" s="4" t="s">
        <v>287</v>
      </c>
      <c r="D3014" s="94">
        <v>7681.0</v>
      </c>
    </row>
    <row r="3015">
      <c r="A3015" s="40">
        <f t="array" ref="A3015">IFNA(index(PlayerValues!A:A,match(IFNA(vlookup(B3015,'Special Names'!A:B,2,FALSE),B3015),PlayerValues!E:E,0)),"N/A")</f>
        <v>15794</v>
      </c>
      <c r="B3015" s="4" t="s">
        <v>313</v>
      </c>
      <c r="C3015" s="4" t="s">
        <v>298</v>
      </c>
      <c r="D3015" s="94">
        <v>8420.0</v>
      </c>
    </row>
    <row r="3016">
      <c r="A3016" s="40">
        <f t="array" ref="A3016">IFNA(index(PlayerValues!A:A,match(IFNA(vlookup(B3016,'Special Names'!A:B,2,FALSE),B3016),PlayerValues!E:E,0)),"N/A")</f>
        <v>17042</v>
      </c>
      <c r="B3016" s="4" t="s">
        <v>314</v>
      </c>
      <c r="C3016" s="4" t="s">
        <v>278</v>
      </c>
      <c r="D3016" s="94">
        <v>7477.0</v>
      </c>
    </row>
    <row r="3017">
      <c r="A3017" s="40">
        <f t="array" ref="A3017">IFNA(index(PlayerValues!A:A,match(IFNA(vlookup(B3017,'Special Names'!A:B,2,FALSE),B3017),PlayerValues!E:E,0)),"N/A")</f>
        <v>17472</v>
      </c>
      <c r="B3017" s="4" t="s">
        <v>310</v>
      </c>
      <c r="C3017" s="4" t="s">
        <v>278</v>
      </c>
      <c r="D3017" s="94">
        <v>7416.0</v>
      </c>
    </row>
    <row r="3018">
      <c r="A3018" s="40">
        <f t="array" ref="A3018">IFNA(index(PlayerValues!A:A,match(IFNA(vlookup(B3018,'Special Names'!A:B,2,FALSE),B3018),PlayerValues!E:E,0)),"N/A")</f>
        <v>14777</v>
      </c>
      <c r="B3018" s="4" t="s">
        <v>318</v>
      </c>
      <c r="C3018" s="4" t="s">
        <v>283</v>
      </c>
      <c r="D3018" s="94">
        <v>7372.0</v>
      </c>
    </row>
    <row r="3019">
      <c r="A3019" s="40">
        <f t="array" ref="A3019">IFNA(index(PlayerValues!A:A,match(IFNA(vlookup(B3019,'Special Names'!A:B,2,FALSE),B3019),PlayerValues!E:E,0)),"N/A")</f>
        <v>14832</v>
      </c>
      <c r="B3019" s="4" t="s">
        <v>319</v>
      </c>
      <c r="C3019" s="4" t="s">
        <v>287</v>
      </c>
      <c r="D3019" s="94">
        <v>7324.0</v>
      </c>
    </row>
    <row r="3020">
      <c r="A3020" s="40">
        <f t="array" ref="A3020">IFNA(index(PlayerValues!A:A,match(IFNA(vlookup(B3020,'Special Names'!A:B,2,FALSE),B3020),PlayerValues!E:E,0)),"N/A")</f>
        <v>15751</v>
      </c>
      <c r="B3020" s="4" t="s">
        <v>328</v>
      </c>
      <c r="C3020" s="4" t="s">
        <v>287</v>
      </c>
      <c r="D3020" s="94">
        <v>6947.0</v>
      </c>
    </row>
    <row r="3021">
      <c r="A3021" s="40">
        <f t="array" ref="A3021">IFNA(index(PlayerValues!A:A,match(IFNA(vlookup(B3021,'Special Names'!A:B,2,FALSE),B3021),PlayerValues!E:E,0)),"N/A")</f>
        <v>14779</v>
      </c>
      <c r="B3021" s="4" t="s">
        <v>327</v>
      </c>
      <c r="C3021" s="4" t="s">
        <v>283</v>
      </c>
      <c r="D3021" s="94">
        <v>6921.0</v>
      </c>
    </row>
    <row r="3022">
      <c r="A3022" s="40" t="str">
        <f t="array" ref="A3022">IFNA(index(PlayerValues!A:A,match(IFNA(vlookup(B3022,'Special Names'!A:B,2,FALSE),B3022),PlayerValues!E:E,0)),"N/A")</f>
        <v>N/A</v>
      </c>
      <c r="B3022" s="4" t="s">
        <v>92</v>
      </c>
      <c r="C3022" s="4" t="s">
        <v>325</v>
      </c>
      <c r="D3022" s="94">
        <v>6850.0</v>
      </c>
    </row>
    <row r="3023">
      <c r="A3023" s="40">
        <f t="array" ref="A3023">IFNA(index(PlayerValues!A:A,match(IFNA(vlookup(B3023,'Special Names'!A:B,2,FALSE),B3023),PlayerValues!E:E,0)),"N/A")</f>
        <v>16167</v>
      </c>
      <c r="B3023" s="4" t="s">
        <v>323</v>
      </c>
      <c r="C3023" s="4" t="s">
        <v>278</v>
      </c>
      <c r="D3023" s="94">
        <v>6838.0</v>
      </c>
    </row>
    <row r="3024">
      <c r="A3024" s="40">
        <f t="array" ref="A3024">IFNA(index(PlayerValues!A:A,match(IFNA(vlookup(B3024,'Special Names'!A:B,2,FALSE),B3024),PlayerValues!E:E,0)),"N/A")</f>
        <v>13116</v>
      </c>
      <c r="B3024" s="4" t="s">
        <v>345</v>
      </c>
      <c r="C3024" s="4" t="s">
        <v>283</v>
      </c>
      <c r="D3024" s="94">
        <v>6801.0</v>
      </c>
    </row>
    <row r="3025">
      <c r="A3025" s="40">
        <f t="array" ref="A3025">IFNA(index(PlayerValues!A:A,match(IFNA(vlookup(B3025,'Special Names'!A:B,2,FALSE),B3025),PlayerValues!E:E,0)),"N/A")</f>
        <v>17044</v>
      </c>
      <c r="B3025" s="4" t="s">
        <v>322</v>
      </c>
      <c r="C3025" s="4" t="s">
        <v>278</v>
      </c>
      <c r="D3025" s="94">
        <v>6763.0</v>
      </c>
    </row>
    <row r="3026">
      <c r="A3026" s="40">
        <f t="array" ref="A3026">IFNA(index(PlayerValues!A:A,match(IFNA(vlookup(B3026,'Special Names'!A:B,2,FALSE),B3026),PlayerValues!E:E,0)),"N/A")</f>
        <v>17032</v>
      </c>
      <c r="B3026" s="4" t="s">
        <v>348</v>
      </c>
      <c r="C3026" s="4" t="s">
        <v>283</v>
      </c>
      <c r="D3026" s="94">
        <v>6653.0</v>
      </c>
    </row>
    <row r="3027">
      <c r="A3027" s="40">
        <f t="array" ref="A3027">IFNA(index(PlayerValues!A:A,match(IFNA(vlookup(B3027,'Special Names'!A:B,2,FALSE),B3027),PlayerValues!E:E,0)),"N/A")</f>
        <v>17071</v>
      </c>
      <c r="B3027" s="4" t="s">
        <v>341</v>
      </c>
      <c r="C3027" s="4" t="s">
        <v>287</v>
      </c>
      <c r="D3027" s="94">
        <v>6645.0</v>
      </c>
    </row>
    <row r="3028">
      <c r="A3028" s="40">
        <f t="array" ref="A3028">IFNA(index(PlayerValues!A:A,match(IFNA(vlookup(B3028,'Special Names'!A:B,2,FALSE),B3028),PlayerValues!E:E,0)),"N/A")</f>
        <v>14783</v>
      </c>
      <c r="B3028" s="4" t="s">
        <v>342</v>
      </c>
      <c r="C3028" s="4" t="s">
        <v>283</v>
      </c>
      <c r="D3028" s="94">
        <v>6334.0</v>
      </c>
    </row>
    <row r="3029">
      <c r="A3029" s="40">
        <f t="array" ref="A3029">IFNA(index(PlayerValues!A:A,match(IFNA(vlookup(B3029,'Special Names'!A:B,2,FALSE),B3029),PlayerValues!E:E,0)),"N/A")</f>
        <v>15237</v>
      </c>
      <c r="B3029" s="4" t="s">
        <v>336</v>
      </c>
      <c r="C3029" s="4" t="s">
        <v>283</v>
      </c>
      <c r="D3029" s="94">
        <v>6284.0</v>
      </c>
    </row>
    <row r="3030">
      <c r="A3030" s="40">
        <f t="array" ref="A3030">IFNA(index(PlayerValues!A:A,match(IFNA(vlookup(B3030,'Special Names'!A:B,2,FALSE),B3030),PlayerValues!E:E,0)),"N/A")</f>
        <v>16582</v>
      </c>
      <c r="B3030" s="4" t="s">
        <v>343</v>
      </c>
      <c r="C3030" s="4" t="s">
        <v>283</v>
      </c>
      <c r="D3030" s="94">
        <v>6254.0</v>
      </c>
    </row>
    <row r="3031">
      <c r="A3031" s="40">
        <f t="array" ref="A3031">IFNA(index(PlayerValues!A:A,match(IFNA(vlookup(B3031,'Special Names'!A:B,2,FALSE),B3031),PlayerValues!E:E,0)),"N/A")</f>
        <v>15762</v>
      </c>
      <c r="B3031" s="4" t="s">
        <v>337</v>
      </c>
      <c r="C3031" s="4" t="s">
        <v>287</v>
      </c>
      <c r="D3031" s="94">
        <v>6067.0</v>
      </c>
    </row>
    <row r="3032">
      <c r="A3032" s="40">
        <f t="array" ref="A3032">IFNA(index(PlayerValues!A:A,match(IFNA(vlookup(B3032,'Special Names'!A:B,2,FALSE),B3032),PlayerValues!E:E,0)),"N/A")</f>
        <v>17081</v>
      </c>
      <c r="B3032" s="4" t="s">
        <v>340</v>
      </c>
      <c r="C3032" s="4" t="s">
        <v>287</v>
      </c>
      <c r="D3032" s="94">
        <v>5993.0</v>
      </c>
    </row>
    <row r="3033">
      <c r="A3033" s="40">
        <f t="array" ref="A3033">IFNA(index(PlayerValues!A:A,match(IFNA(vlookup(B3033,'Special Names'!A:B,2,FALSE),B3033),PlayerValues!E:E,0)),"N/A")</f>
        <v>17104</v>
      </c>
      <c r="B3033" s="4" t="s">
        <v>333</v>
      </c>
      <c r="C3033" s="4" t="s">
        <v>298</v>
      </c>
      <c r="D3033" s="94">
        <v>6658.0</v>
      </c>
    </row>
    <row r="3034">
      <c r="A3034" s="40">
        <f t="array" ref="A3034">IFNA(index(PlayerValues!A:A,match(IFNA(vlookup(B3034,'Special Names'!A:B,2,FALSE),B3034),PlayerValues!E:E,0)),"N/A")</f>
        <v>15715</v>
      </c>
      <c r="B3034" s="4" t="s">
        <v>331</v>
      </c>
      <c r="C3034" s="4" t="s">
        <v>278</v>
      </c>
      <c r="D3034" s="94">
        <v>5990.0</v>
      </c>
    </row>
    <row r="3035">
      <c r="A3035" s="40">
        <f t="array" ref="A3035">IFNA(index(PlayerValues!A:A,match(IFNA(vlookup(B3035,'Special Names'!A:B,2,FALSE),B3035),PlayerValues!E:E,0)),"N/A")</f>
        <v>14802</v>
      </c>
      <c r="B3035" s="4" t="s">
        <v>332</v>
      </c>
      <c r="C3035" s="4" t="s">
        <v>278</v>
      </c>
      <c r="D3035" s="94">
        <v>5987.0</v>
      </c>
    </row>
    <row r="3036">
      <c r="A3036" s="40">
        <f t="array" ref="A3036">IFNA(index(PlayerValues!A:A,match(IFNA(vlookup(B3036,'Special Names'!A:B,2,FALSE),B3036),PlayerValues!E:E,0)),"N/A")</f>
        <v>15698</v>
      </c>
      <c r="B3036" s="4" t="s">
        <v>358</v>
      </c>
      <c r="C3036" s="4" t="s">
        <v>283</v>
      </c>
      <c r="D3036" s="94">
        <v>5968.0</v>
      </c>
    </row>
    <row r="3037">
      <c r="A3037" s="40" t="str">
        <f t="array" ref="A3037">IFNA(index(PlayerValues!A:A,match(IFNA(vlookup(B3037,'Special Names'!A:B,2,FALSE),B3037),PlayerValues!E:E,0)),"N/A")</f>
        <v>N/A</v>
      </c>
      <c r="B3037" s="4" t="s">
        <v>79</v>
      </c>
      <c r="C3037" s="4" t="s">
        <v>325</v>
      </c>
      <c r="D3037" s="94">
        <v>5841.0</v>
      </c>
    </row>
    <row r="3038">
      <c r="A3038" s="40">
        <f t="array" ref="A3038">IFNA(index(PlayerValues!A:A,match(IFNA(vlookup(B3038,'Special Names'!A:B,2,FALSE),B3038),PlayerValues!E:E,0)),"N/A")</f>
        <v>15753</v>
      </c>
      <c r="B3038" s="4" t="s">
        <v>359</v>
      </c>
      <c r="C3038" s="4" t="s">
        <v>287</v>
      </c>
      <c r="D3038" s="94">
        <v>5774.0</v>
      </c>
    </row>
    <row r="3039">
      <c r="A3039" s="40">
        <f t="array" ref="A3039">IFNA(index(PlayerValues!A:A,match(IFNA(vlookup(B3039,'Special Names'!A:B,2,FALSE),B3039),PlayerValues!E:E,0)),"N/A")</f>
        <v>15290</v>
      </c>
      <c r="B3039" s="4" t="s">
        <v>355</v>
      </c>
      <c r="C3039" s="4" t="s">
        <v>287</v>
      </c>
      <c r="D3039" s="94">
        <v>5772.0</v>
      </c>
    </row>
    <row r="3040">
      <c r="A3040" s="40">
        <f t="array" ref="A3040">IFNA(index(PlayerValues!A:A,match(IFNA(vlookup(B3040,'Special Names'!A:B,2,FALSE),B3040),PlayerValues!E:E,0)),"N/A")</f>
        <v>15711</v>
      </c>
      <c r="B3040" s="4" t="s">
        <v>349</v>
      </c>
      <c r="C3040" s="4" t="s">
        <v>278</v>
      </c>
      <c r="D3040" s="94">
        <v>5764.0</v>
      </c>
    </row>
    <row r="3041">
      <c r="A3041" s="40">
        <f t="array" ref="A3041">IFNA(index(PlayerValues!A:A,match(IFNA(vlookup(B3041,'Special Names'!A:B,2,FALSE),B3041),PlayerValues!E:E,0)),"N/A")</f>
        <v>17102</v>
      </c>
      <c r="B3041" s="4" t="s">
        <v>344</v>
      </c>
      <c r="C3041" s="4" t="s">
        <v>298</v>
      </c>
      <c r="D3041" s="94">
        <v>6401.0</v>
      </c>
    </row>
    <row r="3042">
      <c r="A3042" s="40">
        <f t="array" ref="A3042">IFNA(index(PlayerValues!A:A,match(IFNA(vlookup(B3042,'Special Names'!A:B,2,FALSE),B3042),PlayerValues!E:E,0)),"N/A")</f>
        <v>14782</v>
      </c>
      <c r="B3042" s="4" t="s">
        <v>385</v>
      </c>
      <c r="C3042" s="4" t="s">
        <v>283</v>
      </c>
      <c r="D3042" s="94">
        <v>5698.0</v>
      </c>
    </row>
    <row r="3043">
      <c r="A3043" s="40">
        <f t="array" ref="A3043">IFNA(index(PlayerValues!A:A,match(IFNA(vlookup(B3043,'Special Names'!A:B,2,FALSE),B3043),PlayerValues!E:E,0)),"N/A")</f>
        <v>15754</v>
      </c>
      <c r="B3043" s="4" t="s">
        <v>354</v>
      </c>
      <c r="C3043" s="4" t="s">
        <v>287</v>
      </c>
      <c r="D3043" s="94">
        <v>5675.0</v>
      </c>
    </row>
    <row r="3044">
      <c r="A3044" s="40" t="str">
        <f t="array" ref="A3044">IFNA(index(PlayerValues!A:A,match(IFNA(vlookup(B3044,'Special Names'!A:B,2,FALSE),B3044),PlayerValues!E:E,0)),"N/A")</f>
        <v>N/A</v>
      </c>
      <c r="B3044" s="4" t="s">
        <v>93</v>
      </c>
      <c r="C3044" s="4" t="s">
        <v>325</v>
      </c>
      <c r="D3044" s="94">
        <v>5630.0</v>
      </c>
    </row>
    <row r="3045">
      <c r="A3045" s="40">
        <f t="array" ref="A3045">IFNA(index(PlayerValues!A:A,match(IFNA(vlookup(B3045,'Special Names'!A:B,2,FALSE),B3045),PlayerValues!E:E,0)),"N/A")</f>
        <v>17462</v>
      </c>
      <c r="B3045" s="4" t="s">
        <v>375</v>
      </c>
      <c r="C3045" s="4" t="s">
        <v>283</v>
      </c>
      <c r="D3045" s="94">
        <v>5595.0</v>
      </c>
    </row>
    <row r="3046">
      <c r="A3046" s="40">
        <f t="array" ref="A3046">IFNA(index(PlayerValues!A:A,match(IFNA(vlookup(B3046,'Special Names'!A:B,2,FALSE),B3046),PlayerValues!E:E,0)),"N/A")</f>
        <v>16616</v>
      </c>
      <c r="B3046" s="4" t="s">
        <v>389</v>
      </c>
      <c r="C3046" s="4" t="s">
        <v>287</v>
      </c>
      <c r="D3046" s="94">
        <v>5539.0</v>
      </c>
    </row>
    <row r="3047">
      <c r="A3047" s="40">
        <f t="array" ref="A3047">IFNA(index(PlayerValues!A:A,match(IFNA(vlookup(B3047,'Special Names'!A:B,2,FALSE),B3047),PlayerValues!E:E,0)),"N/A")</f>
        <v>17043</v>
      </c>
      <c r="B3047" s="4" t="s">
        <v>397</v>
      </c>
      <c r="C3047" s="4" t="s">
        <v>278</v>
      </c>
      <c r="D3047" s="94">
        <v>5474.0</v>
      </c>
    </row>
    <row r="3048">
      <c r="A3048" s="40">
        <f t="array" ref="A3048">IFNA(index(PlayerValues!A:A,match(IFNA(vlookup(B3048,'Special Names'!A:B,2,FALSE),B3048),PlayerValues!E:E,0)),"N/A")</f>
        <v>17051</v>
      </c>
      <c r="B3048" s="4" t="s">
        <v>386</v>
      </c>
      <c r="C3048" s="4" t="s">
        <v>278</v>
      </c>
      <c r="D3048" s="94">
        <v>5421.0</v>
      </c>
    </row>
    <row r="3049">
      <c r="A3049" s="40">
        <f t="array" ref="A3049">IFNA(index(PlayerValues!A:A,match(IFNA(vlookup(B3049,'Special Names'!A:B,2,FALSE),B3049),PlayerValues!E:E,0)),"N/A")</f>
        <v>16627</v>
      </c>
      <c r="B3049" s="4" t="s">
        <v>351</v>
      </c>
      <c r="C3049" s="4" t="s">
        <v>287</v>
      </c>
      <c r="D3049" s="94">
        <v>5399.0</v>
      </c>
    </row>
    <row r="3050">
      <c r="A3050" s="40">
        <f t="array" ref="A3050">IFNA(index(PlayerValues!A:A,match(IFNA(vlookup(B3050,'Special Names'!A:B,2,FALSE),B3050),PlayerValues!E:E,0)),"N/A")</f>
        <v>17070</v>
      </c>
      <c r="B3050" s="4" t="s">
        <v>370</v>
      </c>
      <c r="C3050" s="4" t="s">
        <v>287</v>
      </c>
      <c r="D3050" s="94">
        <v>5376.0</v>
      </c>
    </row>
    <row r="3051">
      <c r="A3051" s="40">
        <f t="array" ref="A3051">IFNA(index(PlayerValues!A:A,match(IFNA(vlookup(B3051,'Special Names'!A:B,2,FALSE),B3051),PlayerValues!E:E,0)),"N/A")</f>
        <v>15708</v>
      </c>
      <c r="B3051" s="4" t="s">
        <v>382</v>
      </c>
      <c r="C3051" s="4" t="s">
        <v>278</v>
      </c>
      <c r="D3051" s="94">
        <v>5354.0</v>
      </c>
    </row>
    <row r="3052">
      <c r="A3052" s="40">
        <f t="array" ref="A3052">IFNA(index(PlayerValues!A:A,match(IFNA(vlookup(B3052,'Special Names'!A:B,2,FALSE),B3052),PlayerValues!E:E,0)),"N/A")</f>
        <v>17497</v>
      </c>
      <c r="B3052" s="4" t="s">
        <v>365</v>
      </c>
      <c r="C3052" s="4" t="s">
        <v>287</v>
      </c>
      <c r="D3052" s="94">
        <v>5201.0</v>
      </c>
    </row>
    <row r="3053">
      <c r="A3053" s="40">
        <f t="array" ref="A3053">IFNA(index(PlayerValues!A:A,match(IFNA(vlookup(B3053,'Special Names'!A:B,2,FALSE),B3053),PlayerValues!E:E,0)),"N/A")</f>
        <v>17030</v>
      </c>
      <c r="B3053" s="4" t="s">
        <v>406</v>
      </c>
      <c r="C3053" s="4" t="s">
        <v>283</v>
      </c>
      <c r="D3053" s="94">
        <v>5147.0</v>
      </c>
    </row>
    <row r="3054">
      <c r="A3054" s="40">
        <f t="array" ref="A3054">IFNA(index(PlayerValues!A:A,match(IFNA(vlookup(B3054,'Special Names'!A:B,2,FALSE),B3054),PlayerValues!E:E,0)),"N/A")</f>
        <v>13130</v>
      </c>
      <c r="B3054" s="4" t="s">
        <v>374</v>
      </c>
      <c r="C3054" s="4" t="s">
        <v>278</v>
      </c>
      <c r="D3054" s="94">
        <v>5130.0</v>
      </c>
    </row>
    <row r="3055">
      <c r="A3055" s="40">
        <f t="array" ref="A3055">IFNA(index(PlayerValues!A:A,match(IFNA(vlookup(B3055,'Special Names'!A:B,2,FALSE),B3055),PlayerValues!E:E,0)),"N/A")</f>
        <v>17499</v>
      </c>
      <c r="B3055" s="4" t="s">
        <v>402</v>
      </c>
      <c r="C3055" s="4" t="s">
        <v>287</v>
      </c>
      <c r="D3055" s="94">
        <v>5100.0</v>
      </c>
    </row>
    <row r="3056">
      <c r="A3056" s="40">
        <f t="array" ref="A3056">IFNA(index(PlayerValues!A:A,match(IFNA(vlookup(B3056,'Special Names'!A:B,2,FALSE),B3056),PlayerValues!E:E,0)),"N/A")</f>
        <v>16598</v>
      </c>
      <c r="B3056" s="4" t="s">
        <v>408</v>
      </c>
      <c r="C3056" s="4" t="s">
        <v>278</v>
      </c>
      <c r="D3056" s="94">
        <v>5093.0</v>
      </c>
    </row>
    <row r="3057">
      <c r="A3057" s="40">
        <f t="array" ref="A3057">IFNA(index(PlayerValues!A:A,match(IFNA(vlookup(B3057,'Special Names'!A:B,2,FALSE),B3057),PlayerValues!E:E,0)),"N/A")</f>
        <v>12620</v>
      </c>
      <c r="B3057" s="4" t="s">
        <v>394</v>
      </c>
      <c r="C3057" s="4" t="s">
        <v>283</v>
      </c>
      <c r="D3057" s="94">
        <v>5061.0</v>
      </c>
    </row>
    <row r="3058">
      <c r="A3058" s="40">
        <f t="array" ref="A3058">IFNA(index(PlayerValues!A:A,match(IFNA(vlookup(B3058,'Special Names'!A:B,2,FALSE),B3058),PlayerValues!E:E,0)),"N/A")</f>
        <v>16614</v>
      </c>
      <c r="B3058" s="4" t="s">
        <v>403</v>
      </c>
      <c r="C3058" s="4" t="s">
        <v>287</v>
      </c>
      <c r="D3058" s="94">
        <v>4999.0</v>
      </c>
    </row>
    <row r="3059">
      <c r="A3059" s="40" t="str">
        <f t="array" ref="A3059">IFNA(index(PlayerValues!A:A,match(IFNA(vlookup(B3059,'Special Names'!A:B,2,FALSE),B3059),PlayerValues!E:E,0)),"N/A")</f>
        <v>N/A</v>
      </c>
      <c r="B3059" s="4" t="s">
        <v>104</v>
      </c>
      <c r="C3059" s="4" t="s">
        <v>325</v>
      </c>
      <c r="D3059" s="94">
        <v>4990.0</v>
      </c>
    </row>
    <row r="3060">
      <c r="A3060" s="40">
        <f t="array" ref="A3060">IFNA(index(PlayerValues!A:A,match(IFNA(vlookup(B3060,'Special Names'!A:B,2,FALSE),B3060),PlayerValues!E:E,0)),"N/A")</f>
        <v>16181</v>
      </c>
      <c r="B3060" s="4" t="s">
        <v>350</v>
      </c>
      <c r="C3060" s="4" t="s">
        <v>278</v>
      </c>
      <c r="D3060" s="94">
        <v>4962.0</v>
      </c>
    </row>
    <row r="3061">
      <c r="A3061" s="40">
        <f t="array" ref="A3061">IFNA(index(PlayerValues!A:A,match(IFNA(vlookup(B3061,'Special Names'!A:B,2,FALSE),B3061),PlayerValues!E:E,0)),"N/A")</f>
        <v>17103</v>
      </c>
      <c r="B3061" s="4" t="s">
        <v>405</v>
      </c>
      <c r="C3061" s="4" t="s">
        <v>298</v>
      </c>
      <c r="D3061" s="94">
        <v>5536.0</v>
      </c>
    </row>
    <row r="3062">
      <c r="A3062" s="40">
        <f t="array" ref="A3062">IFNA(index(PlayerValues!A:A,match(IFNA(vlookup(B3062,'Special Names'!A:B,2,FALSE),B3062),PlayerValues!E:E,0)),"N/A")</f>
        <v>16618</v>
      </c>
      <c r="B3062" s="4" t="s">
        <v>411</v>
      </c>
      <c r="C3062" s="4" t="s">
        <v>287</v>
      </c>
      <c r="D3062" s="94">
        <v>4929.0</v>
      </c>
    </row>
    <row r="3063">
      <c r="A3063" s="40">
        <f t="array" ref="A3063">IFNA(index(PlayerValues!A:A,match(IFNA(vlookup(B3063,'Special Names'!A:B,2,FALSE),B3063),PlayerValues!E:E,0)),"N/A")</f>
        <v>15282</v>
      </c>
      <c r="B3063" s="4" t="s">
        <v>364</v>
      </c>
      <c r="C3063" s="4" t="s">
        <v>287</v>
      </c>
      <c r="D3063" s="94">
        <v>4919.0</v>
      </c>
    </row>
    <row r="3064">
      <c r="A3064" s="40">
        <f t="array" ref="A3064">IFNA(index(PlayerValues!A:A,match(IFNA(vlookup(B3064,'Special Names'!A:B,2,FALSE),B3064),PlayerValues!E:E,0)),"N/A")</f>
        <v>14835</v>
      </c>
      <c r="B3064" s="4" t="s">
        <v>392</v>
      </c>
      <c r="C3064" s="4" t="s">
        <v>287</v>
      </c>
      <c r="D3064" s="94">
        <v>4917.0</v>
      </c>
    </row>
    <row r="3065">
      <c r="A3065" s="40">
        <f t="array" ref="A3065">IFNA(index(PlayerValues!A:A,match(IFNA(vlookup(B3065,'Special Names'!A:B,2,FALSE),B3065),PlayerValues!E:E,0)),"N/A")</f>
        <v>13604</v>
      </c>
      <c r="B3065" s="4" t="s">
        <v>378</v>
      </c>
      <c r="C3065" s="4" t="s">
        <v>278</v>
      </c>
      <c r="D3065" s="94">
        <v>4911.0</v>
      </c>
    </row>
    <row r="3066">
      <c r="A3066" s="40">
        <f t="array" ref="A3066">IFNA(index(PlayerValues!A:A,match(IFNA(vlookup(B3066,'Special Names'!A:B,2,FALSE),B3066),PlayerValues!E:E,0)),"N/A")</f>
        <v>15284</v>
      </c>
      <c r="B3066" s="4" t="s">
        <v>390</v>
      </c>
      <c r="C3066" s="4" t="s">
        <v>287</v>
      </c>
      <c r="D3066" s="94">
        <v>4867.0</v>
      </c>
    </row>
    <row r="3067">
      <c r="A3067" s="40">
        <f t="array" ref="A3067">IFNA(index(PlayerValues!A:A,match(IFNA(vlookup(B3067,'Special Names'!A:B,2,FALSE),B3067),PlayerValues!E:E,0)),"N/A")</f>
        <v>15710</v>
      </c>
      <c r="B3067" s="4" t="s">
        <v>395</v>
      </c>
      <c r="C3067" s="4" t="s">
        <v>278</v>
      </c>
      <c r="D3067" s="94">
        <v>4845.0</v>
      </c>
    </row>
    <row r="3068">
      <c r="A3068" s="40">
        <f t="array" ref="A3068">IFNA(index(PlayerValues!A:A,match(IFNA(vlookup(B3068,'Special Names'!A:B,2,FALSE),B3068),PlayerValues!E:E,0)),"N/A")</f>
        <v>17498</v>
      </c>
      <c r="B3068" s="4" t="s">
        <v>396</v>
      </c>
      <c r="C3068" s="4" t="s">
        <v>287</v>
      </c>
      <c r="D3068" s="94">
        <v>4811.0</v>
      </c>
    </row>
    <row r="3069">
      <c r="A3069" s="40">
        <f t="array" ref="A3069">IFNA(index(PlayerValues!A:A,match(IFNA(vlookup(B3069,'Special Names'!A:B,2,FALSE),B3069),PlayerValues!E:E,0)),"N/A")</f>
        <v>16194</v>
      </c>
      <c r="B3069" s="4" t="s">
        <v>398</v>
      </c>
      <c r="C3069" s="4" t="s">
        <v>287</v>
      </c>
      <c r="D3069" s="94">
        <v>4801.0</v>
      </c>
    </row>
    <row r="3070">
      <c r="A3070" s="40">
        <f t="array" ref="A3070">IFNA(index(PlayerValues!A:A,match(IFNA(vlookup(B3070,'Special Names'!A:B,2,FALSE),B3070),PlayerValues!E:E,0)),"N/A")</f>
        <v>16150</v>
      </c>
      <c r="B3070" s="4" t="s">
        <v>414</v>
      </c>
      <c r="C3070" s="4" t="s">
        <v>283</v>
      </c>
      <c r="D3070" s="94">
        <v>4794.0</v>
      </c>
    </row>
    <row r="3071">
      <c r="A3071" s="40">
        <f t="array" ref="A3071">IFNA(index(PlayerValues!A:A,match(IFNA(vlookup(B3071,'Special Names'!A:B,2,FALSE),B3071),PlayerValues!E:E,0)),"N/A")</f>
        <v>14104</v>
      </c>
      <c r="B3071" s="4" t="s">
        <v>379</v>
      </c>
      <c r="C3071" s="4" t="s">
        <v>287</v>
      </c>
      <c r="D3071" s="94">
        <v>4786.0</v>
      </c>
    </row>
    <row r="3072">
      <c r="A3072" s="40">
        <f t="array" ref="A3072">IFNA(index(PlayerValues!A:A,match(IFNA(vlookup(B3072,'Special Names'!A:B,2,FALSE),B3072),PlayerValues!E:E,0)),"N/A")</f>
        <v>16222</v>
      </c>
      <c r="B3072" s="4" t="s">
        <v>393</v>
      </c>
      <c r="C3072" s="4" t="s">
        <v>298</v>
      </c>
      <c r="D3072" s="94">
        <v>5348.0</v>
      </c>
    </row>
    <row r="3073">
      <c r="A3073" s="40" t="str">
        <f t="array" ref="A3073">IFNA(index(PlayerValues!A:A,match(IFNA(vlookup(B3073,'Special Names'!A:B,2,FALSE),B3073),PlayerValues!E:E,0)),"N/A")</f>
        <v>N/A</v>
      </c>
      <c r="B3073" s="4" t="s">
        <v>94</v>
      </c>
      <c r="C3073" s="4" t="s">
        <v>325</v>
      </c>
      <c r="D3073" s="94">
        <v>4784.0</v>
      </c>
    </row>
    <row r="3074">
      <c r="A3074" s="40">
        <f t="array" ref="A3074">IFNA(index(PlayerValues!A:A,match(IFNA(vlookup(B3074,'Special Names'!A:B,2,FALSE),B3074),PlayerValues!E:E,0)),"N/A")</f>
        <v>13590</v>
      </c>
      <c r="B3074" s="4" t="s">
        <v>409</v>
      </c>
      <c r="C3074" s="4" t="s">
        <v>283</v>
      </c>
      <c r="D3074" s="94">
        <v>4782.0</v>
      </c>
    </row>
    <row r="3075">
      <c r="A3075" s="40">
        <f t="array" ref="A3075">IFNA(index(PlayerValues!A:A,match(IFNA(vlookup(B3075,'Special Names'!A:B,2,FALSE),B3075),PlayerValues!E:E,0)),"N/A")</f>
        <v>15756</v>
      </c>
      <c r="B3075" s="4" t="s">
        <v>399</v>
      </c>
      <c r="C3075" s="4" t="s">
        <v>287</v>
      </c>
      <c r="D3075" s="94">
        <v>4773.0</v>
      </c>
    </row>
    <row r="3076">
      <c r="A3076" s="40">
        <f t="array" ref="A3076">IFNA(index(PlayerValues!A:A,match(IFNA(vlookup(B3076,'Special Names'!A:B,2,FALSE),B3076),PlayerValues!E:E,0)),"N/A")</f>
        <v>13592</v>
      </c>
      <c r="B3076" s="4" t="s">
        <v>418</v>
      </c>
      <c r="C3076" s="4" t="s">
        <v>283</v>
      </c>
      <c r="D3076" s="94">
        <v>4768.0</v>
      </c>
    </row>
    <row r="3077">
      <c r="A3077" s="40" t="str">
        <f t="array" ref="A3077">IFNA(index(PlayerValues!A:A,match(IFNA(vlookup(B3077,'Special Names'!A:B,2,FALSE),B3077),PlayerValues!E:E,0)),"N/A")</f>
        <v>N/A</v>
      </c>
      <c r="B3077" s="4" t="s">
        <v>80</v>
      </c>
      <c r="C3077" s="4" t="s">
        <v>325</v>
      </c>
      <c r="D3077" s="94">
        <v>4750.0</v>
      </c>
    </row>
    <row r="3078">
      <c r="A3078" s="40">
        <f t="array" ref="A3078">IFNA(index(PlayerValues!A:A,match(IFNA(vlookup(B3078,'Special Names'!A:B,2,FALSE),B3078),PlayerValues!E:E,0)),"N/A")</f>
        <v>16190</v>
      </c>
      <c r="B3078" s="4" t="s">
        <v>371</v>
      </c>
      <c r="C3078" s="4" t="s">
        <v>287</v>
      </c>
      <c r="D3078" s="94">
        <v>4698.0</v>
      </c>
    </row>
    <row r="3079">
      <c r="A3079" s="40">
        <f t="array" ref="A3079">IFNA(index(PlayerValues!A:A,match(IFNA(vlookup(B3079,'Special Names'!A:B,2,FALSE),B3079),PlayerValues!E:E,0)),"N/A")</f>
        <v>15253</v>
      </c>
      <c r="B3079" s="4" t="s">
        <v>415</v>
      </c>
      <c r="C3079" s="4" t="s">
        <v>278</v>
      </c>
      <c r="D3079" s="94">
        <v>4697.0</v>
      </c>
    </row>
    <row r="3080">
      <c r="A3080" s="40">
        <f t="array" ref="A3080">IFNA(index(PlayerValues!A:A,match(IFNA(vlookup(B3080,'Special Names'!A:B,2,FALSE),B3080),PlayerValues!E:E,0)),"N/A")</f>
        <v>12611</v>
      </c>
      <c r="B3080" s="4" t="s">
        <v>410</v>
      </c>
      <c r="C3080" s="4" t="s">
        <v>283</v>
      </c>
      <c r="D3080" s="94">
        <v>4676.0</v>
      </c>
    </row>
    <row r="3081">
      <c r="A3081" s="40">
        <f t="array" ref="A3081">IFNA(index(PlayerValues!A:A,match(IFNA(vlookup(B3081,'Special Names'!A:B,2,FALSE),B3081),PlayerValues!E:E,0)),"N/A")</f>
        <v>17039</v>
      </c>
      <c r="B3081" s="4" t="s">
        <v>400</v>
      </c>
      <c r="C3081" s="4" t="s">
        <v>283</v>
      </c>
      <c r="D3081" s="94">
        <v>4632.0</v>
      </c>
    </row>
    <row r="3082">
      <c r="A3082" s="40">
        <f t="array" ref="A3082">IFNA(index(PlayerValues!A:A,match(IFNA(vlookup(B3082,'Special Names'!A:B,2,FALSE),B3082),PlayerValues!E:E,0)),"N/A")</f>
        <v>14073</v>
      </c>
      <c r="B3082" s="4" t="s">
        <v>464</v>
      </c>
      <c r="C3082" s="4" t="s">
        <v>278</v>
      </c>
      <c r="D3082" s="94">
        <v>4594.0</v>
      </c>
    </row>
    <row r="3083">
      <c r="A3083" s="40">
        <f t="array" ref="A3083">IFNA(index(PlayerValues!A:A,match(IFNA(vlookup(B3083,'Special Names'!A:B,2,FALSE),B3083),PlayerValues!E:E,0)),"N/A")</f>
        <v>15256</v>
      </c>
      <c r="B3083" s="4" t="s">
        <v>401</v>
      </c>
      <c r="C3083" s="4" t="s">
        <v>278</v>
      </c>
      <c r="D3083" s="94">
        <v>4576.0</v>
      </c>
    </row>
    <row r="3084">
      <c r="A3084" s="40">
        <f t="array" ref="A3084">IFNA(index(PlayerValues!A:A,match(IFNA(vlookup(B3084,'Special Names'!A:B,2,FALSE),B3084),PlayerValues!E:E,0)),"N/A")</f>
        <v>16214</v>
      </c>
      <c r="B3084" s="4" t="s">
        <v>413</v>
      </c>
      <c r="C3084" s="4" t="s">
        <v>298</v>
      </c>
      <c r="D3084" s="94">
        <v>5097.0</v>
      </c>
    </row>
    <row r="3085">
      <c r="A3085" s="40" t="str">
        <f t="array" ref="A3085">IFNA(index(PlayerValues!A:A,match(IFNA(vlookup(B3085,'Special Names'!A:B,2,FALSE),B3085),PlayerValues!E:E,0)),"N/A")</f>
        <v>N/A</v>
      </c>
      <c r="B3085" s="4" t="s">
        <v>105</v>
      </c>
      <c r="C3085" s="4" t="s">
        <v>325</v>
      </c>
      <c r="D3085" s="94">
        <v>4539.0</v>
      </c>
    </row>
    <row r="3086">
      <c r="A3086" s="40">
        <f t="array" ref="A3086">IFNA(index(PlayerValues!A:A,match(IFNA(vlookup(B3086,'Special Names'!A:B,2,FALSE),B3086),PlayerValues!E:E,0)),"N/A")</f>
        <v>15329</v>
      </c>
      <c r="B3086" s="4" t="s">
        <v>416</v>
      </c>
      <c r="C3086" s="4" t="s">
        <v>298</v>
      </c>
      <c r="D3086" s="94">
        <v>5084.0</v>
      </c>
    </row>
    <row r="3087">
      <c r="A3087" s="40">
        <f t="array" ref="A3087">IFNA(index(PlayerValues!A:A,match(IFNA(vlookup(B3087,'Special Names'!A:B,2,FALSE),B3087),PlayerValues!E:E,0)),"N/A")</f>
        <v>17045</v>
      </c>
      <c r="B3087" s="4" t="s">
        <v>407</v>
      </c>
      <c r="C3087" s="4" t="s">
        <v>278</v>
      </c>
      <c r="D3087" s="94">
        <v>4525.0</v>
      </c>
    </row>
    <row r="3088">
      <c r="A3088" s="40">
        <f t="array" ref="A3088">IFNA(index(PlayerValues!A:A,match(IFNA(vlookup(B3088,'Special Names'!A:B,2,FALSE),B3088),PlayerValues!E:E,0)),"N/A")</f>
        <v>16148</v>
      </c>
      <c r="B3088" s="4" t="s">
        <v>426</v>
      </c>
      <c r="C3088" s="4" t="s">
        <v>283</v>
      </c>
      <c r="D3088" s="94">
        <v>4518.0</v>
      </c>
    </row>
    <row r="3089">
      <c r="A3089" s="40">
        <f t="array" ref="A3089">IFNA(index(PlayerValues!A:A,match(IFNA(vlookup(B3089,'Special Names'!A:B,2,FALSE),B3089),PlayerValues!E:E,0)),"N/A")</f>
        <v>17543</v>
      </c>
      <c r="B3089" s="4" t="s">
        <v>436</v>
      </c>
      <c r="C3089" s="4" t="s">
        <v>298</v>
      </c>
      <c r="D3089" s="94">
        <v>4944.0</v>
      </c>
    </row>
    <row r="3090">
      <c r="A3090" s="40">
        <f t="array" ref="A3090">IFNA(index(PlayerValues!A:A,match(IFNA(vlookup(B3090,'Special Names'!A:B,2,FALSE),B3090),PlayerValues!E:E,0)),"N/A")</f>
        <v>14056</v>
      </c>
      <c r="B3090" s="4" t="s">
        <v>423</v>
      </c>
      <c r="C3090" s="4" t="s">
        <v>283</v>
      </c>
      <c r="D3090" s="94">
        <v>4398.0</v>
      </c>
    </row>
    <row r="3091">
      <c r="A3091" s="40">
        <f t="array" ref="A3091">IFNA(index(PlayerValues!A:A,match(IFNA(vlookup(B3091,'Special Names'!A:B,2,FALSE),B3091),PlayerValues!E:E,0)),"N/A")</f>
        <v>15768</v>
      </c>
      <c r="B3091" s="4" t="s">
        <v>432</v>
      </c>
      <c r="C3091" s="4" t="s">
        <v>287</v>
      </c>
      <c r="D3091" s="94">
        <v>4340.0</v>
      </c>
    </row>
    <row r="3092">
      <c r="A3092" s="40">
        <f t="array" ref="A3092">IFNA(index(PlayerValues!A:A,match(IFNA(vlookup(B3092,'Special Names'!A:B,2,FALSE),B3092),PlayerValues!E:E,0)),"N/A")</f>
        <v>14059</v>
      </c>
      <c r="B3092" s="4" t="s">
        <v>435</v>
      </c>
      <c r="C3092" s="4" t="s">
        <v>283</v>
      </c>
      <c r="D3092" s="94">
        <v>4274.0</v>
      </c>
    </row>
    <row r="3093">
      <c r="A3093" s="40">
        <f t="array" ref="A3093">IFNA(index(PlayerValues!A:A,match(IFNA(vlookup(B3093,'Special Names'!A:B,2,FALSE),B3093),PlayerValues!E:E,0)),"N/A")</f>
        <v>15694</v>
      </c>
      <c r="B3093" s="4" t="s">
        <v>434</v>
      </c>
      <c r="C3093" s="4" t="s">
        <v>283</v>
      </c>
      <c r="D3093" s="94">
        <v>4123.0</v>
      </c>
    </row>
    <row r="3094">
      <c r="A3094" s="40">
        <f t="array" ref="A3094">IFNA(index(PlayerValues!A:A,match(IFNA(vlookup(B3094,'Special Names'!A:B,2,FALSE),B3094),PlayerValues!E:E,0)),"N/A")</f>
        <v>17052</v>
      </c>
      <c r="B3094" s="4" t="s">
        <v>417</v>
      </c>
      <c r="C3094" s="4" t="s">
        <v>278</v>
      </c>
      <c r="D3094" s="94">
        <v>3939.0</v>
      </c>
    </row>
    <row r="3095">
      <c r="A3095" s="40" t="str">
        <f t="array" ref="A3095">IFNA(index(PlayerValues!A:A,match(IFNA(vlookup(B3095,'Special Names'!A:B,2,FALSE),B3095),PlayerValues!E:E,0)),"N/A")</f>
        <v>N/A</v>
      </c>
      <c r="B3095" s="4" t="s">
        <v>107</v>
      </c>
      <c r="C3095" s="4" t="s">
        <v>325</v>
      </c>
      <c r="D3095" s="94">
        <v>3938.0</v>
      </c>
    </row>
    <row r="3096">
      <c r="A3096" s="40" t="str">
        <f t="array" ref="A3096">IFNA(index(PlayerValues!A:A,match(IFNA(vlookup(B3096,'Special Names'!A:B,2,FALSE),B3096),PlayerValues!E:E,0)),"N/A")</f>
        <v>N/A</v>
      </c>
      <c r="B3096" s="4" t="s">
        <v>81</v>
      </c>
      <c r="C3096" s="4" t="s">
        <v>325</v>
      </c>
      <c r="D3096" s="94">
        <v>3927.0</v>
      </c>
    </row>
    <row r="3097">
      <c r="A3097" s="40">
        <f t="array" ref="A3097">IFNA(index(PlayerValues!A:A,match(IFNA(vlookup(B3097,'Special Names'!A:B,2,FALSE),B3097),PlayerValues!E:E,0)),"N/A")</f>
        <v>16186</v>
      </c>
      <c r="B3097" s="4" t="s">
        <v>425</v>
      </c>
      <c r="C3097" s="4" t="s">
        <v>287</v>
      </c>
      <c r="D3097" s="94">
        <v>3926.0</v>
      </c>
    </row>
    <row r="3098">
      <c r="A3098" s="40">
        <f t="array" ref="A3098">IFNA(index(PlayerValues!A:A,match(IFNA(vlookup(B3098,'Special Names'!A:B,2,FALSE),B3098),PlayerValues!E:E,0)),"N/A")</f>
        <v>13635</v>
      </c>
      <c r="B3098" s="4" t="s">
        <v>424</v>
      </c>
      <c r="C3098" s="4" t="s">
        <v>287</v>
      </c>
      <c r="D3098" s="94">
        <v>3905.0</v>
      </c>
    </row>
    <row r="3099">
      <c r="A3099" s="40">
        <f t="array" ref="A3099">IFNA(index(PlayerValues!A:A,match(IFNA(vlookup(B3099,'Special Names'!A:B,2,FALSE),B3099),PlayerValues!E:E,0)),"N/A")</f>
        <v>17099</v>
      </c>
      <c r="B3099" s="4" t="s">
        <v>474</v>
      </c>
      <c r="C3099" s="4" t="s">
        <v>298</v>
      </c>
      <c r="D3099" s="94">
        <v>4349.0</v>
      </c>
    </row>
    <row r="3100">
      <c r="A3100" s="40">
        <f t="array" ref="A3100">IFNA(index(PlayerValues!A:A,match(IFNA(vlookup(B3100,'Special Names'!A:B,2,FALSE),B3100),PlayerValues!E:E,0)),"N/A")</f>
        <v>12626</v>
      </c>
      <c r="B3100" s="4" t="s">
        <v>419</v>
      </c>
      <c r="C3100" s="4" t="s">
        <v>278</v>
      </c>
      <c r="D3100" s="94">
        <v>3771.0</v>
      </c>
    </row>
    <row r="3101">
      <c r="A3101" s="40">
        <f t="array" ref="A3101">IFNA(index(PlayerValues!A:A,match(IFNA(vlookup(B3101,'Special Names'!A:B,2,FALSE),B3101),PlayerValues!E:E,0)),"N/A")</f>
        <v>17068</v>
      </c>
      <c r="B3101" s="4" t="s">
        <v>450</v>
      </c>
      <c r="C3101" s="4" t="s">
        <v>278</v>
      </c>
      <c r="D3101" s="94">
        <v>3761.0</v>
      </c>
    </row>
    <row r="3102">
      <c r="A3102" s="40">
        <f t="array" ref="A3102">IFNA(index(PlayerValues!A:A,match(IFNA(vlookup(B3102,'Special Names'!A:B,2,FALSE),B3102),PlayerValues!E:E,0)),"N/A")</f>
        <v>9431</v>
      </c>
      <c r="B3102" s="4" t="s">
        <v>428</v>
      </c>
      <c r="C3102" s="4" t="s">
        <v>283</v>
      </c>
      <c r="D3102" s="94">
        <v>3747.0</v>
      </c>
    </row>
    <row r="3103">
      <c r="A3103" s="40">
        <f t="array" ref="A3103">IFNA(index(PlayerValues!A:A,match(IFNA(vlookup(B3103,'Special Names'!A:B,2,FALSE),B3103),PlayerValues!E:E,0)),"N/A")</f>
        <v>17501</v>
      </c>
      <c r="B3103" s="4" t="s">
        <v>404</v>
      </c>
      <c r="C3103" s="4" t="s">
        <v>287</v>
      </c>
      <c r="D3103" s="94">
        <v>3740.0</v>
      </c>
    </row>
    <row r="3104">
      <c r="A3104" s="40" t="str">
        <f t="array" ref="A3104">IFNA(index(PlayerValues!A:A,match(IFNA(vlookup(B3104,'Special Names'!A:B,2,FALSE),B3104),PlayerValues!E:E,0)),"N/A")</f>
        <v>N/A</v>
      </c>
      <c r="B3104" s="4" t="s">
        <v>95</v>
      </c>
      <c r="C3104" s="4" t="s">
        <v>325</v>
      </c>
      <c r="D3104" s="94">
        <v>3734.0</v>
      </c>
    </row>
    <row r="3105">
      <c r="A3105" s="40">
        <f t="array" ref="A3105">IFNA(index(PlayerValues!A:A,match(IFNA(vlookup(B3105,'Special Names'!A:B,2,FALSE),B3105),PlayerValues!E:E,0)),"N/A")</f>
        <v>16206</v>
      </c>
      <c r="B3105" s="4" t="s">
        <v>431</v>
      </c>
      <c r="C3105" s="4" t="s">
        <v>287</v>
      </c>
      <c r="D3105" s="94">
        <v>3731.0</v>
      </c>
    </row>
    <row r="3106">
      <c r="A3106" s="40">
        <f t="array" ref="A3106">IFNA(index(PlayerValues!A:A,match(IFNA(vlookup(B3106,'Special Names'!A:B,2,FALSE),B3106),PlayerValues!E:E,0)),"N/A")</f>
        <v>16169</v>
      </c>
      <c r="B3106" s="4" t="s">
        <v>457</v>
      </c>
      <c r="C3106" s="4" t="s">
        <v>278</v>
      </c>
      <c r="D3106" s="94">
        <v>3725.0</v>
      </c>
    </row>
    <row r="3107">
      <c r="A3107" s="40">
        <f t="array" ref="A3107">IFNA(index(PlayerValues!A:A,match(IFNA(vlookup(B3107,'Special Names'!A:B,2,FALSE),B3107),PlayerValues!E:E,0)),"N/A")</f>
        <v>15757</v>
      </c>
      <c r="B3107" s="4" t="s">
        <v>449</v>
      </c>
      <c r="C3107" s="4" t="s">
        <v>287</v>
      </c>
      <c r="D3107" s="94">
        <v>3707.0</v>
      </c>
    </row>
    <row r="3108">
      <c r="A3108" s="40">
        <f t="array" ref="A3108">IFNA(index(PlayerValues!A:A,match(IFNA(vlookup(B3108,'Special Names'!A:B,2,FALSE),B3108),PlayerValues!E:E,0)),"N/A")</f>
        <v>15779</v>
      </c>
      <c r="B3108" s="4" t="s">
        <v>461</v>
      </c>
      <c r="C3108" s="4" t="s">
        <v>287</v>
      </c>
      <c r="D3108" s="94">
        <v>3688.0</v>
      </c>
    </row>
    <row r="3109">
      <c r="A3109" s="40">
        <f t="array" ref="A3109">IFNA(index(PlayerValues!A:A,match(IFNA(vlookup(B3109,'Special Names'!A:B,2,FALSE),B3109),PlayerValues!E:E,0)),"N/A")</f>
        <v>17074</v>
      </c>
      <c r="B3109" s="4" t="s">
        <v>475</v>
      </c>
      <c r="C3109" s="4" t="s">
        <v>287</v>
      </c>
      <c r="D3109" s="94">
        <v>3668.0</v>
      </c>
    </row>
    <row r="3110">
      <c r="A3110" s="40">
        <f t="array" ref="A3110">IFNA(index(PlayerValues!A:A,match(IFNA(vlookup(B3110,'Special Names'!A:B,2,FALSE),B3110),PlayerValues!E:E,0)),"N/A")</f>
        <v>15789</v>
      </c>
      <c r="B3110" s="4" t="s">
        <v>421</v>
      </c>
      <c r="C3110" s="4" t="s">
        <v>287</v>
      </c>
      <c r="D3110" s="94">
        <v>3660.0</v>
      </c>
    </row>
    <row r="3111">
      <c r="A3111" s="40">
        <f t="array" ref="A3111">IFNA(index(PlayerValues!A:A,match(IFNA(vlookup(B3111,'Special Names'!A:B,2,FALSE),B3111),PlayerValues!E:E,0)),"N/A")</f>
        <v>14102</v>
      </c>
      <c r="B3111" s="4" t="s">
        <v>444</v>
      </c>
      <c r="C3111" s="4" t="s">
        <v>287</v>
      </c>
      <c r="D3111" s="94">
        <v>3638.0</v>
      </c>
    </row>
    <row r="3112">
      <c r="A3112" s="40">
        <f t="array" ref="A3112">IFNA(index(PlayerValues!A:A,match(IFNA(vlookup(B3112,'Special Names'!A:B,2,FALSE),B3112),PlayerValues!E:E,0)),"N/A")</f>
        <v>16622</v>
      </c>
      <c r="B3112" s="4" t="s">
        <v>517</v>
      </c>
      <c r="C3112" s="4" t="s">
        <v>287</v>
      </c>
      <c r="D3112" s="94">
        <v>3614.0</v>
      </c>
    </row>
    <row r="3113">
      <c r="A3113" s="40">
        <f t="array" ref="A3113">IFNA(index(PlayerValues!A:A,match(IFNA(vlookup(B3113,'Special Names'!A:B,2,FALSE),B3113),PlayerValues!E:E,0)),"N/A")</f>
        <v>16192</v>
      </c>
      <c r="B3113" s="4" t="s">
        <v>412</v>
      </c>
      <c r="C3113" s="4" t="s">
        <v>287</v>
      </c>
      <c r="D3113" s="94">
        <v>3601.0</v>
      </c>
    </row>
    <row r="3114">
      <c r="A3114" s="40">
        <f t="array" ref="A3114">IFNA(index(PlayerValues!A:A,match(IFNA(vlookup(B3114,'Special Names'!A:B,2,FALSE),B3114),PlayerValues!E:E,0)),"N/A")</f>
        <v>17083</v>
      </c>
      <c r="B3114" s="4" t="s">
        <v>479</v>
      </c>
      <c r="C3114" s="4" t="s">
        <v>287</v>
      </c>
      <c r="D3114" s="94">
        <v>3590.0</v>
      </c>
    </row>
    <row r="3115">
      <c r="A3115" s="40">
        <f t="array" ref="A3115">IFNA(index(PlayerValues!A:A,match(IFNA(vlookup(B3115,'Special Names'!A:B,2,FALSE),B3115),PlayerValues!E:E,0)),"N/A")</f>
        <v>15712</v>
      </c>
      <c r="B3115" s="4" t="s">
        <v>488</v>
      </c>
      <c r="C3115" s="4" t="s">
        <v>278</v>
      </c>
      <c r="D3115" s="94">
        <v>3576.0</v>
      </c>
    </row>
    <row r="3116">
      <c r="A3116" s="40">
        <f t="array" ref="A3116">IFNA(index(PlayerValues!A:A,match(IFNA(vlookup(B3116,'Special Names'!A:B,2,FALSE),B3116),PlayerValues!E:E,0)),"N/A")</f>
        <v>17066</v>
      </c>
      <c r="B3116" s="4" t="s">
        <v>446</v>
      </c>
      <c r="C3116" s="4" t="s">
        <v>278</v>
      </c>
      <c r="D3116" s="94">
        <v>3559.0</v>
      </c>
    </row>
    <row r="3117">
      <c r="A3117" s="40">
        <f t="array" ref="A3117">IFNA(index(PlayerValues!A:A,match(IFNA(vlookup(B3117,'Special Names'!A:B,2,FALSE),B3117),PlayerValues!E:E,0)),"N/A")</f>
        <v>11675</v>
      </c>
      <c r="B3117" s="4" t="s">
        <v>438</v>
      </c>
      <c r="C3117" s="4" t="s">
        <v>287</v>
      </c>
      <c r="D3117" s="94">
        <v>3540.0</v>
      </c>
    </row>
    <row r="3118">
      <c r="A3118" s="40">
        <f t="array" ref="A3118">IFNA(index(PlayerValues!A:A,match(IFNA(vlookup(B3118,'Special Names'!A:B,2,FALSE),B3118),PlayerValues!E:E,0)),"N/A")</f>
        <v>17075</v>
      </c>
      <c r="B3118" s="4" t="s">
        <v>429</v>
      </c>
      <c r="C3118" s="4" t="s">
        <v>287</v>
      </c>
      <c r="D3118" s="94">
        <v>3525.0</v>
      </c>
    </row>
    <row r="3119">
      <c r="A3119" s="40">
        <f t="array" ref="A3119">IFNA(index(PlayerValues!A:A,match(IFNA(vlookup(B3119,'Special Names'!A:B,2,FALSE),B3119),PlayerValues!E:E,0)),"N/A")</f>
        <v>14797</v>
      </c>
      <c r="B3119" s="4" t="s">
        <v>420</v>
      </c>
      <c r="C3119" s="4" t="s">
        <v>278</v>
      </c>
      <c r="D3119" s="94">
        <v>3524.0</v>
      </c>
    </row>
    <row r="3120">
      <c r="A3120" s="40">
        <f t="array" ref="A3120">IFNA(index(PlayerValues!A:A,match(IFNA(vlookup(B3120,'Special Names'!A:B,2,FALSE),B3120),PlayerValues!E:E,0)),"N/A")</f>
        <v>14842</v>
      </c>
      <c r="B3120" s="4" t="s">
        <v>456</v>
      </c>
      <c r="C3120" s="4" t="s">
        <v>287</v>
      </c>
      <c r="D3120" s="94">
        <v>3522.0</v>
      </c>
    </row>
    <row r="3121">
      <c r="A3121" s="40">
        <f t="array" ref="A3121">IFNA(index(PlayerValues!A:A,match(IFNA(vlookup(B3121,'Special Names'!A:B,2,FALSE),B3121),PlayerValues!E:E,0)),"N/A")</f>
        <v>15798</v>
      </c>
      <c r="B3121" s="4" t="s">
        <v>443</v>
      </c>
      <c r="C3121" s="4" t="s">
        <v>298</v>
      </c>
      <c r="D3121" s="94">
        <v>3981.0</v>
      </c>
    </row>
    <row r="3122">
      <c r="A3122" s="40">
        <f t="array" ref="A3122">IFNA(index(PlayerValues!A:A,match(IFNA(vlookup(B3122,'Special Names'!A:B,2,FALSE),B3122),PlayerValues!E:E,0)),"N/A")</f>
        <v>14071</v>
      </c>
      <c r="B3122" s="4" t="s">
        <v>440</v>
      </c>
      <c r="C3122" s="4" t="s">
        <v>278</v>
      </c>
      <c r="D3122" s="94">
        <v>3496.0</v>
      </c>
    </row>
    <row r="3123">
      <c r="A3123" s="40" t="str">
        <f t="array" ref="A3123">IFNA(index(PlayerValues!A:A,match(IFNA(vlookup(B3123,'Special Names'!A:B,2,FALSE),B3123),PlayerValues!E:E,0)),"N/A")</f>
        <v>N/A</v>
      </c>
      <c r="B3123" s="4" t="s">
        <v>96</v>
      </c>
      <c r="C3123" s="4" t="s">
        <v>325</v>
      </c>
      <c r="D3123" s="94">
        <v>3435.0</v>
      </c>
    </row>
    <row r="3124">
      <c r="A3124" s="40">
        <f t="array" ref="A3124">IFNA(index(PlayerValues!A:A,match(IFNA(vlookup(B3124,'Special Names'!A:B,2,FALSE),B3124),PlayerValues!E:E,0)),"N/A")</f>
        <v>17502</v>
      </c>
      <c r="B3124" s="4" t="s">
        <v>451</v>
      </c>
      <c r="C3124" s="4" t="s">
        <v>287</v>
      </c>
      <c r="D3124" s="94">
        <v>3410.0</v>
      </c>
    </row>
    <row r="3125">
      <c r="A3125" s="40">
        <f t="array" ref="A3125">IFNA(index(PlayerValues!A:A,match(IFNA(vlookup(B3125,'Special Names'!A:B,2,FALSE),B3125),PlayerValues!E:E,0)),"N/A")</f>
        <v>15261</v>
      </c>
      <c r="B3125" s="4" t="s">
        <v>466</v>
      </c>
      <c r="C3125" s="4" t="s">
        <v>278</v>
      </c>
      <c r="D3125" s="94">
        <v>3397.0</v>
      </c>
    </row>
    <row r="3126">
      <c r="A3126" s="40">
        <f t="array" ref="A3126">IFNA(index(PlayerValues!A:A,match(IFNA(vlookup(B3126,'Special Names'!A:B,2,FALSE),B3126),PlayerValues!E:E,0)),"N/A")</f>
        <v>16620</v>
      </c>
      <c r="B3126" s="4" t="s">
        <v>467</v>
      </c>
      <c r="C3126" s="4" t="s">
        <v>287</v>
      </c>
      <c r="D3126" s="94">
        <v>3393.0</v>
      </c>
    </row>
    <row r="3127">
      <c r="A3127" s="40">
        <f t="array" ref="A3127">IFNA(index(PlayerValues!A:A,match(IFNA(vlookup(B3127,'Special Names'!A:B,2,FALSE),B3127),PlayerValues!E:E,0)),"N/A")</f>
        <v>14109</v>
      </c>
      <c r="B3127" s="4" t="s">
        <v>437</v>
      </c>
      <c r="C3127" s="4" t="s">
        <v>287</v>
      </c>
      <c r="D3127" s="94">
        <v>3388.0</v>
      </c>
    </row>
    <row r="3128">
      <c r="A3128" s="40">
        <f t="array" ref="A3128">IFNA(index(PlayerValues!A:A,match(IFNA(vlookup(B3128,'Special Names'!A:B,2,FALSE),B3128),PlayerValues!E:E,0)),"N/A")</f>
        <v>14127</v>
      </c>
      <c r="B3128" s="4" t="s">
        <v>486</v>
      </c>
      <c r="C3128" s="4" t="s">
        <v>287</v>
      </c>
      <c r="D3128" s="94">
        <v>3385.0</v>
      </c>
    </row>
    <row r="3129">
      <c r="A3129" s="40">
        <f t="array" ref="A3129">IFNA(index(PlayerValues!A:A,match(IFNA(vlookup(B3129,'Special Names'!A:B,2,FALSE),B3129),PlayerValues!E:E,0)),"N/A")</f>
        <v>15799</v>
      </c>
      <c r="B3129" s="4" t="s">
        <v>468</v>
      </c>
      <c r="C3129" s="4" t="s">
        <v>298</v>
      </c>
      <c r="D3129" s="94">
        <v>3818.0</v>
      </c>
    </row>
    <row r="3130">
      <c r="A3130" s="40" t="str">
        <f t="array" ref="A3130">IFNA(index(PlayerValues!A:A,match(IFNA(vlookup(B3130,'Special Names'!A:B,2,FALSE),B3130),PlayerValues!E:E,0)),"N/A")</f>
        <v>N/A</v>
      </c>
      <c r="B3130" s="4" t="s">
        <v>82</v>
      </c>
      <c r="C3130" s="4" t="s">
        <v>325</v>
      </c>
      <c r="D3130" s="94">
        <v>3360.0</v>
      </c>
    </row>
    <row r="3131">
      <c r="A3131" s="40">
        <f t="array" ref="A3131">IFNA(index(PlayerValues!A:A,match(IFNA(vlookup(B3131,'Special Names'!A:B,2,FALSE),B3131),PlayerValues!E:E,0)),"N/A")</f>
        <v>17500</v>
      </c>
      <c r="B3131" s="4" t="s">
        <v>430</v>
      </c>
      <c r="C3131" s="4" t="s">
        <v>287</v>
      </c>
      <c r="D3131" s="94">
        <v>3356.0</v>
      </c>
    </row>
    <row r="3132">
      <c r="A3132" s="40">
        <f t="array" ref="A3132">IFNA(index(PlayerValues!A:A,match(IFNA(vlookup(B3132,'Special Names'!A:B,2,FALSE),B3132),PlayerValues!E:E,0)),"N/A")</f>
        <v>16187</v>
      </c>
      <c r="B3132" s="4" t="s">
        <v>441</v>
      </c>
      <c r="C3132" s="4" t="s">
        <v>287</v>
      </c>
      <c r="D3132" s="94">
        <v>3354.0</v>
      </c>
    </row>
    <row r="3133">
      <c r="A3133" s="40">
        <f t="array" ref="A3133">IFNA(index(PlayerValues!A:A,match(IFNA(vlookup(B3133,'Special Names'!A:B,2,FALSE),B3133),PlayerValues!E:E,0)),"N/A")</f>
        <v>16213</v>
      </c>
      <c r="B3133" s="4" t="s">
        <v>458</v>
      </c>
      <c r="C3133" s="4" t="s">
        <v>298</v>
      </c>
      <c r="D3133" s="94">
        <v>3802.0</v>
      </c>
    </row>
    <row r="3134">
      <c r="A3134" s="40">
        <f t="array" ref="A3134">IFNA(index(PlayerValues!A:A,match(IFNA(vlookup(B3134,'Special Names'!A:B,2,FALSE),B3134),PlayerValues!E:E,0)),"N/A")</f>
        <v>16188</v>
      </c>
      <c r="B3134" s="4" t="s">
        <v>439</v>
      </c>
      <c r="C3134" s="4" t="s">
        <v>287</v>
      </c>
      <c r="D3134" s="94">
        <v>3349.0</v>
      </c>
    </row>
    <row r="3135">
      <c r="A3135" s="40">
        <f t="array" ref="A3135">IFNA(index(PlayerValues!A:A,match(IFNA(vlookup(B3135,'Special Names'!A:B,2,FALSE),B3135),PlayerValues!E:E,0)),"N/A")</f>
        <v>11671</v>
      </c>
      <c r="B3135" s="4" t="s">
        <v>463</v>
      </c>
      <c r="C3135" s="4" t="s">
        <v>287</v>
      </c>
      <c r="D3135" s="94">
        <v>3338.0</v>
      </c>
    </row>
    <row r="3136">
      <c r="A3136" s="40">
        <f t="array" ref="A3136">IFNA(index(PlayerValues!A:A,match(IFNA(vlookup(B3136,'Special Names'!A:B,2,FALSE),B3136),PlayerValues!E:E,0)),"N/A")</f>
        <v>16184</v>
      </c>
      <c r="B3136" s="4" t="s">
        <v>445</v>
      </c>
      <c r="C3136" s="4" t="s">
        <v>287</v>
      </c>
      <c r="D3136" s="94">
        <v>3310.0</v>
      </c>
    </row>
    <row r="3137">
      <c r="A3137" s="40">
        <f t="array" ref="A3137">IFNA(index(PlayerValues!A:A,match(IFNA(vlookup(B3137,'Special Names'!A:B,2,FALSE),B3137),PlayerValues!E:E,0)),"N/A")</f>
        <v>14823</v>
      </c>
      <c r="B3137" s="4" t="s">
        <v>459</v>
      </c>
      <c r="C3137" s="4" t="s">
        <v>278</v>
      </c>
      <c r="D3137" s="94">
        <v>3307.0</v>
      </c>
    </row>
    <row r="3138">
      <c r="A3138" s="40">
        <f t="array" ref="A3138">IFNA(index(PlayerValues!A:A,match(IFNA(vlookup(B3138,'Special Names'!A:B,2,FALSE),B3138),PlayerValues!E:E,0)),"N/A")</f>
        <v>13299</v>
      </c>
      <c r="B3138" s="4" t="s">
        <v>448</v>
      </c>
      <c r="C3138" s="4" t="s">
        <v>298</v>
      </c>
      <c r="D3138" s="94">
        <v>3726.0</v>
      </c>
    </row>
    <row r="3139">
      <c r="A3139" s="40">
        <f t="array" ref="A3139">IFNA(index(PlayerValues!A:A,match(IFNA(vlookup(B3139,'Special Names'!A:B,2,FALSE),B3139),PlayerValues!E:E,0)),"N/A")</f>
        <v>16593</v>
      </c>
      <c r="B3139" s="4" t="s">
        <v>442</v>
      </c>
      <c r="C3139" s="4" t="s">
        <v>278</v>
      </c>
      <c r="D3139" s="94">
        <v>3258.0</v>
      </c>
    </row>
    <row r="3140">
      <c r="A3140" s="40">
        <f t="array" ref="A3140">IFNA(index(PlayerValues!A:A,match(IFNA(vlookup(B3140,'Special Names'!A:B,2,FALSE),B3140),PlayerValues!E:E,0)),"N/A")</f>
        <v>15742</v>
      </c>
      <c r="B3140" s="4" t="s">
        <v>447</v>
      </c>
      <c r="C3140" s="4" t="s">
        <v>278</v>
      </c>
      <c r="D3140" s="94">
        <v>3236.0</v>
      </c>
    </row>
    <row r="3141">
      <c r="A3141" s="40">
        <f t="array" ref="A3141">IFNA(index(PlayerValues!A:A,match(IFNA(vlookup(B3141,'Special Names'!A:B,2,FALSE),B3141),PlayerValues!E:E,0)),"N/A")</f>
        <v>13630</v>
      </c>
      <c r="B3141" s="4" t="s">
        <v>465</v>
      </c>
      <c r="C3141" s="4" t="s">
        <v>287</v>
      </c>
      <c r="D3141" s="94">
        <v>3188.0</v>
      </c>
    </row>
    <row r="3142">
      <c r="A3142" s="40" t="str">
        <f t="array" ref="A3142">IFNA(index(PlayerValues!A:A,match(IFNA(vlookup(B3142,'Special Names'!A:B,2,FALSE),B3142),PlayerValues!E:E,0)),"N/A")</f>
        <v>N/A</v>
      </c>
      <c r="B3142" s="4" t="s">
        <v>108</v>
      </c>
      <c r="C3142" s="4" t="s">
        <v>325</v>
      </c>
      <c r="D3142" s="94">
        <v>3120.0</v>
      </c>
    </row>
    <row r="3143">
      <c r="A3143" s="40">
        <f t="array" ref="A3143">IFNA(index(PlayerValues!A:A,match(IFNA(vlookup(B3143,'Special Names'!A:B,2,FALSE),B3143),PlayerValues!E:E,0)),"N/A")</f>
        <v>16628</v>
      </c>
      <c r="B3143" s="4" t="s">
        <v>490</v>
      </c>
      <c r="C3143" s="4" t="s">
        <v>287</v>
      </c>
      <c r="D3143" s="94">
        <v>3099.0</v>
      </c>
    </row>
    <row r="3144">
      <c r="A3144" s="40">
        <f t="array" ref="A3144">IFNA(index(PlayerValues!A:A,match(IFNA(vlookup(B3144,'Special Names'!A:B,2,FALSE),B3144),PlayerValues!E:E,0)),"N/A")</f>
        <v>16269</v>
      </c>
      <c r="B3144" s="4" t="s">
        <v>481</v>
      </c>
      <c r="C3144" s="4" t="s">
        <v>298</v>
      </c>
      <c r="D3144" s="94">
        <v>3508.0</v>
      </c>
    </row>
    <row r="3145">
      <c r="A3145" s="40">
        <f t="array" ref="A3145">IFNA(index(PlayerValues!A:A,match(IFNA(vlookup(B3145,'Special Names'!A:B,2,FALSE),B3145),PlayerValues!E:E,0)),"N/A")</f>
        <v>16583</v>
      </c>
      <c r="B3145" s="4" t="s">
        <v>493</v>
      </c>
      <c r="C3145" s="4" t="s">
        <v>283</v>
      </c>
      <c r="D3145" s="94">
        <v>3067.0</v>
      </c>
    </row>
    <row r="3146">
      <c r="A3146" s="40">
        <f t="array" ref="A3146">IFNA(index(PlayerValues!A:A,match(IFNA(vlookup(B3146,'Special Names'!A:B,2,FALSE),B3146),PlayerValues!E:E,0)),"N/A")</f>
        <v>14800</v>
      </c>
      <c r="B3146" s="4" t="s">
        <v>472</v>
      </c>
      <c r="C3146" s="4" t="s">
        <v>278</v>
      </c>
      <c r="D3146" s="94">
        <v>3060.0</v>
      </c>
    </row>
    <row r="3147">
      <c r="A3147" s="40" t="str">
        <f t="array" ref="A3147">IFNA(index(PlayerValues!A:A,match(IFNA(vlookup(B3147,'Special Names'!A:B,2,FALSE),B3147),PlayerValues!E:E,0)),"N/A")</f>
        <v>N/A</v>
      </c>
      <c r="B3147" s="4" t="s">
        <v>97</v>
      </c>
      <c r="C3147" s="4" t="s">
        <v>325</v>
      </c>
      <c r="D3147" s="94">
        <v>3060.0</v>
      </c>
    </row>
    <row r="3148">
      <c r="A3148" s="40">
        <f t="array" ref="A3148">IFNA(index(PlayerValues!A:A,match(IFNA(vlookup(B3148,'Special Names'!A:B,2,FALSE),B3148),PlayerValues!E:E,0)),"N/A")</f>
        <v>16080</v>
      </c>
      <c r="B3148" s="4" t="s">
        <v>499</v>
      </c>
      <c r="C3148" s="4" t="s">
        <v>287</v>
      </c>
      <c r="D3148" s="94">
        <v>3053.0</v>
      </c>
    </row>
    <row r="3149">
      <c r="A3149" s="40">
        <f t="array" ref="A3149">IFNA(index(PlayerValues!A:A,match(IFNA(vlookup(B3149,'Special Names'!A:B,2,FALSE),B3149),PlayerValues!E:E,0)),"N/A")</f>
        <v>16809</v>
      </c>
      <c r="B3149" s="4" t="s">
        <v>455</v>
      </c>
      <c r="C3149" s="4" t="s">
        <v>287</v>
      </c>
      <c r="D3149" s="94">
        <v>3046.0</v>
      </c>
    </row>
    <row r="3150">
      <c r="A3150" s="40">
        <f t="array" ref="A3150">IFNA(index(PlayerValues!A:A,match(IFNA(vlookup(B3150,'Special Names'!A:B,2,FALSE),B3150),PlayerValues!E:E,0)),"N/A")</f>
        <v>15761</v>
      </c>
      <c r="B3150" s="4" t="s">
        <v>491</v>
      </c>
      <c r="C3150" s="4" t="s">
        <v>287</v>
      </c>
      <c r="D3150" s="94">
        <v>3037.0</v>
      </c>
    </row>
    <row r="3151">
      <c r="A3151" s="40" t="str">
        <f t="array" ref="A3151">IFNA(index(PlayerValues!A:A,match(IFNA(vlookup(B3151,'Special Names'!A:B,2,FALSE),B3151),PlayerValues!E:E,0)),"N/A")</f>
        <v>N/A</v>
      </c>
      <c r="B3151" s="4" t="s">
        <v>84</v>
      </c>
      <c r="C3151" s="4" t="s">
        <v>325</v>
      </c>
      <c r="D3151" s="94">
        <v>3020.0</v>
      </c>
    </row>
    <row r="3152">
      <c r="A3152" s="40">
        <f t="array" ref="A3152">IFNA(index(PlayerValues!A:A,match(IFNA(vlookup(B3152,'Special Names'!A:B,2,FALSE),B3152),PlayerValues!E:E,0)),"N/A")</f>
        <v>17463</v>
      </c>
      <c r="B3152" s="4" t="s">
        <v>433</v>
      </c>
      <c r="C3152" s="4" t="s">
        <v>283</v>
      </c>
      <c r="D3152" s="94">
        <v>3017.0</v>
      </c>
    </row>
    <row r="3153">
      <c r="A3153" s="40">
        <f t="array" ref="A3153">IFNA(index(PlayerValues!A:A,match(IFNA(vlookup(B3153,'Special Names'!A:B,2,FALSE),B3153),PlayerValues!E:E,0)),"N/A")</f>
        <v>15259</v>
      </c>
      <c r="B3153" s="4" t="s">
        <v>453</v>
      </c>
      <c r="C3153" s="4" t="s">
        <v>278</v>
      </c>
      <c r="D3153" s="94">
        <v>2993.0</v>
      </c>
    </row>
    <row r="3154">
      <c r="A3154" s="40">
        <f t="array" ref="A3154">IFNA(index(PlayerValues!A:A,match(IFNA(vlookup(B3154,'Special Names'!A:B,2,FALSE),B3154),PlayerValues!E:E,0)),"N/A")</f>
        <v>17473</v>
      </c>
      <c r="B3154" s="4" t="s">
        <v>391</v>
      </c>
      <c r="C3154" s="4" t="s">
        <v>278</v>
      </c>
      <c r="D3154" s="94">
        <v>2975.0</v>
      </c>
    </row>
    <row r="3155">
      <c r="A3155" s="40">
        <f t="array" ref="A3155">IFNA(index(PlayerValues!A:A,match(IFNA(vlookup(B3155,'Special Names'!A:B,2,FALSE),B3155),PlayerValues!E:E,0)),"N/A")</f>
        <v>16597</v>
      </c>
      <c r="B3155" s="4" t="s">
        <v>427</v>
      </c>
      <c r="C3155" s="4" t="s">
        <v>278</v>
      </c>
      <c r="D3155" s="94">
        <v>2939.0</v>
      </c>
    </row>
    <row r="3156">
      <c r="A3156" s="40">
        <f t="array" ref="A3156">IFNA(index(PlayerValues!A:A,match(IFNA(vlookup(B3156,'Special Names'!A:B,2,FALSE),B3156),PlayerValues!E:E,0)),"N/A")</f>
        <v>15255</v>
      </c>
      <c r="B3156" s="4" t="s">
        <v>477</v>
      </c>
      <c r="C3156" s="4" t="s">
        <v>278</v>
      </c>
      <c r="D3156" s="94">
        <v>2927.0</v>
      </c>
    </row>
    <row r="3157">
      <c r="A3157" s="40">
        <f t="array" ref="A3157">IFNA(index(PlayerValues!A:A,match(IFNA(vlookup(B3157,'Special Names'!A:B,2,FALSE),B3157),PlayerValues!E:E,0)),"N/A")</f>
        <v>17106</v>
      </c>
      <c r="B3157" s="4" t="s">
        <v>550</v>
      </c>
      <c r="C3157" s="4" t="s">
        <v>298</v>
      </c>
      <c r="D3157" s="94">
        <v>3348.0</v>
      </c>
    </row>
    <row r="3158">
      <c r="A3158" s="40">
        <f t="array" ref="A3158">IFNA(index(PlayerValues!A:A,match(IFNA(vlookup(B3158,'Special Names'!A:B,2,FALSE),B3158),PlayerValues!E:E,0)),"N/A")</f>
        <v>15241</v>
      </c>
      <c r="B3158" s="4" t="s">
        <v>546</v>
      </c>
      <c r="C3158" s="4" t="s">
        <v>283</v>
      </c>
      <c r="D3158" s="94">
        <v>2921.0</v>
      </c>
    </row>
    <row r="3159">
      <c r="A3159" s="40" t="str">
        <f t="array" ref="A3159">IFNA(index(PlayerValues!A:A,match(IFNA(vlookup(B3159,'Special Names'!A:B,2,FALSE),B3159),PlayerValues!E:E,0)),"N/A")</f>
        <v>N/A</v>
      </c>
      <c r="B3159" s="4" t="s">
        <v>109</v>
      </c>
      <c r="C3159" s="4" t="s">
        <v>325</v>
      </c>
      <c r="D3159" s="94">
        <v>2913.0</v>
      </c>
    </row>
    <row r="3160">
      <c r="A3160" s="40">
        <f t="array" ref="A3160">IFNA(index(PlayerValues!A:A,match(IFNA(vlookup(B3160,'Special Names'!A:B,2,FALSE),B3160),PlayerValues!E:E,0)),"N/A")</f>
        <v>16584</v>
      </c>
      <c r="B3160" s="4" t="s">
        <v>569</v>
      </c>
      <c r="C3160" s="4" t="s">
        <v>283</v>
      </c>
      <c r="D3160" s="94">
        <v>2903.0</v>
      </c>
    </row>
    <row r="3161">
      <c r="A3161" s="40">
        <f t="array" ref="A3161">IFNA(index(PlayerValues!A:A,match(IFNA(vlookup(B3161,'Special Names'!A:B,2,FALSE),B3161),PlayerValues!E:E,0)),"N/A")</f>
        <v>16723</v>
      </c>
      <c r="B3161" s="4" t="s">
        <v>502</v>
      </c>
      <c r="C3161" s="4" t="s">
        <v>298</v>
      </c>
      <c r="D3161" s="94">
        <v>3316.0</v>
      </c>
    </row>
    <row r="3162">
      <c r="A3162" s="40">
        <f t="array" ref="A3162">IFNA(index(PlayerValues!A:A,match(IFNA(vlookup(B3162,'Special Names'!A:B,2,FALSE),B3162),PlayerValues!E:E,0)),"N/A")</f>
        <v>16193</v>
      </c>
      <c r="B3162" s="4" t="s">
        <v>487</v>
      </c>
      <c r="C3162" s="4" t="s">
        <v>287</v>
      </c>
      <c r="D3162" s="94">
        <v>2893.0</v>
      </c>
    </row>
    <row r="3163">
      <c r="A3163" s="40" t="str">
        <f t="array" ref="A3163">IFNA(index(PlayerValues!A:A,match(IFNA(vlookup(B3163,'Special Names'!A:B,2,FALSE),B3163),PlayerValues!E:E,0)),"N/A")</f>
        <v>N/A</v>
      </c>
      <c r="B3163" s="4" t="s">
        <v>85</v>
      </c>
      <c r="C3163" s="4" t="s">
        <v>325</v>
      </c>
      <c r="D3163" s="94">
        <v>2877.0</v>
      </c>
    </row>
    <row r="3164">
      <c r="A3164" s="40">
        <f t="array" ref="A3164">IFNA(index(PlayerValues!A:A,match(IFNA(vlookup(B3164,'Special Names'!A:B,2,FALSE),B3164),PlayerValues!E:E,0)),"N/A")</f>
        <v>13163</v>
      </c>
      <c r="B3164" s="4" t="s">
        <v>473</v>
      </c>
      <c r="C3164" s="4" t="s">
        <v>287</v>
      </c>
      <c r="D3164" s="94">
        <v>2873.0</v>
      </c>
    </row>
    <row r="3165">
      <c r="A3165" s="40">
        <f t="array" ref="A3165">IFNA(index(PlayerValues!A:A,match(IFNA(vlookup(B3165,'Special Names'!A:B,2,FALSE),B3165),PlayerValues!E:E,0)),"N/A")</f>
        <v>16619</v>
      </c>
      <c r="B3165" s="4" t="s">
        <v>538</v>
      </c>
      <c r="C3165" s="4" t="s">
        <v>287</v>
      </c>
      <c r="D3165" s="94">
        <v>2862.0</v>
      </c>
    </row>
    <row r="3166">
      <c r="A3166" s="40">
        <f t="array" ref="A3166">IFNA(index(PlayerValues!A:A,match(IFNA(vlookup(B3166,'Special Names'!A:B,2,FALSE),B3166),PlayerValues!E:E,0)),"N/A")</f>
        <v>17107</v>
      </c>
      <c r="B3166" s="4" t="s">
        <v>478</v>
      </c>
      <c r="C3166" s="4" t="s">
        <v>298</v>
      </c>
      <c r="D3166" s="94">
        <v>3281.0</v>
      </c>
    </row>
    <row r="3167">
      <c r="A3167" s="40">
        <f t="array" ref="A3167">IFNA(index(PlayerValues!A:A,match(IFNA(vlookup(B3167,'Special Names'!A:B,2,FALSE),B3167),PlayerValues!E:E,0)),"N/A")</f>
        <v>17031</v>
      </c>
      <c r="B3167" s="4" t="s">
        <v>535</v>
      </c>
      <c r="C3167" s="4" t="s">
        <v>283</v>
      </c>
      <c r="D3167" s="94">
        <v>2846.0</v>
      </c>
    </row>
    <row r="3168">
      <c r="A3168" s="40">
        <f t="array" ref="A3168">IFNA(index(PlayerValues!A:A,match(IFNA(vlookup(B3168,'Special Names'!A:B,2,FALSE),B3168),PlayerValues!E:E,0)),"N/A")</f>
        <v>17072</v>
      </c>
      <c r="B3168" s="4" t="s">
        <v>508</v>
      </c>
      <c r="C3168" s="4" t="s">
        <v>287</v>
      </c>
      <c r="D3168" s="94">
        <v>2843.0</v>
      </c>
    </row>
    <row r="3169">
      <c r="A3169" s="40">
        <f t="array" ref="A3169">IFNA(index(PlayerValues!A:A,match(IFNA(vlookup(B3169,'Special Names'!A:B,2,FALSE),B3169),PlayerValues!E:E,0)),"N/A")</f>
        <v>17157</v>
      </c>
      <c r="B3169" s="4" t="s">
        <v>524</v>
      </c>
      <c r="C3169" s="4" t="s">
        <v>287</v>
      </c>
      <c r="D3169" s="94">
        <v>2836.0</v>
      </c>
    </row>
    <row r="3170">
      <c r="A3170" s="40">
        <f t="array" ref="A3170">IFNA(index(PlayerValues!A:A,match(IFNA(vlookup(B3170,'Special Names'!A:B,2,FALSE),B3170),PlayerValues!E:E,0)),"N/A")</f>
        <v>17256</v>
      </c>
      <c r="B3170" s="4" t="s">
        <v>462</v>
      </c>
      <c r="C3170" s="4" t="s">
        <v>278</v>
      </c>
      <c r="D3170" s="94">
        <v>2832.0</v>
      </c>
    </row>
    <row r="3171">
      <c r="A3171" s="40">
        <f t="array" ref="A3171">IFNA(index(PlayerValues!A:A,match(IFNA(vlookup(B3171,'Special Names'!A:B,2,FALSE),B3171),PlayerValues!E:E,0)),"N/A")</f>
        <v>14860</v>
      </c>
      <c r="B3171" s="4" t="s">
        <v>554</v>
      </c>
      <c r="C3171" s="4" t="s">
        <v>287</v>
      </c>
      <c r="D3171" s="94">
        <v>2823.0</v>
      </c>
    </row>
    <row r="3172">
      <c r="A3172" s="40">
        <f t="array" ref="A3172">IFNA(index(PlayerValues!A:A,match(IFNA(vlookup(B3172,'Special Names'!A:B,2,FALSE),B3172),PlayerValues!E:E,0)),"N/A")</f>
        <v>17053</v>
      </c>
      <c r="B3172" s="4" t="s">
        <v>484</v>
      </c>
      <c r="C3172" s="4" t="s">
        <v>278</v>
      </c>
      <c r="D3172" s="94">
        <v>2818.0</v>
      </c>
    </row>
    <row r="3173">
      <c r="A3173" s="40">
        <f t="array" ref="A3173">IFNA(index(PlayerValues!A:A,match(IFNA(vlookup(B3173,'Special Names'!A:B,2,FALSE),B3173),PlayerValues!E:E,0)),"N/A")</f>
        <v>17073</v>
      </c>
      <c r="B3173" s="4" t="s">
        <v>547</v>
      </c>
      <c r="C3173" s="4" t="s">
        <v>287</v>
      </c>
      <c r="D3173" s="94">
        <v>2814.0</v>
      </c>
    </row>
    <row r="3174">
      <c r="A3174" s="40">
        <f t="array" ref="A3174">IFNA(index(PlayerValues!A:A,match(IFNA(vlookup(B3174,'Special Names'!A:B,2,FALSE),B3174),PlayerValues!E:E,0)),"N/A")</f>
        <v>17080</v>
      </c>
      <c r="B3174" s="4" t="s">
        <v>532</v>
      </c>
      <c r="C3174" s="4" t="s">
        <v>287</v>
      </c>
      <c r="D3174" s="94">
        <v>2805.0</v>
      </c>
    </row>
    <row r="3175">
      <c r="A3175" s="40">
        <f t="array" ref="A3175">IFNA(index(PlayerValues!A:A,match(IFNA(vlookup(B3175,'Special Names'!A:B,2,FALSE),B3175),PlayerValues!E:E,0)),"N/A")</f>
        <v>17082</v>
      </c>
      <c r="B3175" s="4" t="s">
        <v>498</v>
      </c>
      <c r="C3175" s="4" t="s">
        <v>287</v>
      </c>
      <c r="D3175" s="94">
        <v>2790.0</v>
      </c>
    </row>
    <row r="3176">
      <c r="A3176" s="40">
        <f t="array" ref="A3176">IFNA(index(PlayerValues!A:A,match(IFNA(vlookup(B3176,'Special Names'!A:B,2,FALSE),B3176),PlayerValues!E:E,0)),"N/A")</f>
        <v>14138</v>
      </c>
      <c r="B3176" s="4" t="s">
        <v>531</v>
      </c>
      <c r="C3176" s="4" t="s">
        <v>298</v>
      </c>
      <c r="D3176" s="94">
        <v>3203.0</v>
      </c>
    </row>
    <row r="3177">
      <c r="A3177" s="40">
        <f t="array" ref="A3177">IFNA(index(PlayerValues!A:A,match(IFNA(vlookup(B3177,'Special Names'!A:B,2,FALSE),B3177),PlayerValues!E:E,0)),"N/A")</f>
        <v>12616</v>
      </c>
      <c r="B3177" s="4" t="s">
        <v>529</v>
      </c>
      <c r="C3177" s="4" t="s">
        <v>283</v>
      </c>
      <c r="D3177" s="94">
        <v>2772.0</v>
      </c>
    </row>
    <row r="3178">
      <c r="A3178" s="40">
        <f t="array" ref="A3178">IFNA(index(PlayerValues!A:A,match(IFNA(vlookup(B3178,'Special Names'!A:B,2,FALSE),B3178),PlayerValues!E:E,0)),"N/A")</f>
        <v>17477</v>
      </c>
      <c r="B3178" s="4" t="s">
        <v>452</v>
      </c>
      <c r="C3178" s="4" t="s">
        <v>278</v>
      </c>
      <c r="D3178" s="94">
        <v>2766.0</v>
      </c>
    </row>
    <row r="3179">
      <c r="A3179" s="40">
        <f t="array" ref="A3179">IFNA(index(PlayerValues!A:A,match(IFNA(vlookup(B3179,'Special Names'!A:B,2,FALSE),B3179),PlayerValues!E:E,0)),"N/A")</f>
        <v>15889</v>
      </c>
      <c r="B3179" s="4" t="s">
        <v>503</v>
      </c>
      <c r="C3179" s="4" t="s">
        <v>298</v>
      </c>
      <c r="D3179" s="94">
        <v>3173.0</v>
      </c>
    </row>
    <row r="3180">
      <c r="A3180" s="40">
        <f t="array" ref="A3180">IFNA(index(PlayerValues!A:A,match(IFNA(vlookup(B3180,'Special Names'!A:B,2,FALSE),B3180),PlayerValues!E:E,0)),"N/A")</f>
        <v>17098</v>
      </c>
      <c r="B3180" s="4" t="s">
        <v>533</v>
      </c>
      <c r="C3180" s="4" t="s">
        <v>287</v>
      </c>
      <c r="D3180" s="94">
        <v>2747.0</v>
      </c>
    </row>
    <row r="3181">
      <c r="A3181" s="40">
        <f t="array" ref="A3181">IFNA(index(PlayerValues!A:A,match(IFNA(vlookup(B3181,'Special Names'!A:B,2,FALSE),B3181),PlayerValues!E:E,0)),"N/A")</f>
        <v>16596</v>
      </c>
      <c r="B3181" s="4" t="s">
        <v>501</v>
      </c>
      <c r="C3181" s="4" t="s">
        <v>278</v>
      </c>
      <c r="D3181" s="94">
        <v>2740.0</v>
      </c>
    </row>
    <row r="3182">
      <c r="A3182" s="40">
        <f t="array" ref="A3182">IFNA(index(PlayerValues!A:A,match(IFNA(vlookup(B3182,'Special Names'!A:B,2,FALSE),B3182),PlayerValues!E:E,0)),"N/A")</f>
        <v>13671</v>
      </c>
      <c r="B3182" s="4" t="s">
        <v>506</v>
      </c>
      <c r="C3182" s="4" t="s">
        <v>298</v>
      </c>
      <c r="D3182" s="94">
        <v>3151.0</v>
      </c>
    </row>
    <row r="3183">
      <c r="A3183" s="40">
        <f t="array" ref="A3183">IFNA(index(PlayerValues!A:A,match(IFNA(vlookup(B3183,'Special Names'!A:B,2,FALSE),B3183),PlayerValues!E:E,0)),"N/A")</f>
        <v>17171</v>
      </c>
      <c r="B3183" s="4" t="s">
        <v>561</v>
      </c>
      <c r="C3183" s="4" t="s">
        <v>287</v>
      </c>
      <c r="D3183" s="94">
        <v>2733.0</v>
      </c>
    </row>
    <row r="3184">
      <c r="A3184" s="40" t="str">
        <f t="array" ref="A3184">IFNA(index(PlayerValues!A:A,match(IFNA(vlookup(B3184,'Special Names'!A:B,2,FALSE),B3184),PlayerValues!E:E,0)),"N/A")</f>
        <v>N/A</v>
      </c>
      <c r="B3184" s="4" t="s">
        <v>110</v>
      </c>
      <c r="C3184" s="4" t="s">
        <v>325</v>
      </c>
      <c r="D3184" s="94">
        <v>2727.0</v>
      </c>
    </row>
    <row r="3185">
      <c r="A3185" s="40">
        <f t="array" ref="A3185">IFNA(index(PlayerValues!A:A,match(IFNA(vlookup(B3185,'Special Names'!A:B,2,FALSE),B3185),PlayerValues!E:E,0)),"N/A")</f>
        <v>14778</v>
      </c>
      <c r="B3185" s="4" t="s">
        <v>564</v>
      </c>
      <c r="C3185" s="4" t="s">
        <v>283</v>
      </c>
      <c r="D3185" s="94">
        <v>2725.0</v>
      </c>
    </row>
    <row r="3186">
      <c r="A3186" s="40">
        <f t="array" ref="A3186">IFNA(index(PlayerValues!A:A,match(IFNA(vlookup(B3186,'Special Names'!A:B,2,FALSE),B3186),PlayerValues!E:E,0)),"N/A")</f>
        <v>16594</v>
      </c>
      <c r="B3186" s="4" t="s">
        <v>607</v>
      </c>
      <c r="C3186" s="4" t="s">
        <v>278</v>
      </c>
      <c r="D3186" s="94">
        <v>2717.0</v>
      </c>
    </row>
    <row r="3187">
      <c r="A3187" s="40">
        <f t="array" ref="A3187">IFNA(index(PlayerValues!A:A,match(IFNA(vlookup(B3187,'Special Names'!A:B,2,FALSE),B3187),PlayerValues!E:E,0)),"N/A")</f>
        <v>17047</v>
      </c>
      <c r="B3187" s="4" t="s">
        <v>510</v>
      </c>
      <c r="C3187" s="4" t="s">
        <v>278</v>
      </c>
      <c r="D3187" s="94">
        <v>2716.0</v>
      </c>
    </row>
    <row r="3188">
      <c r="A3188" s="40">
        <f t="array" ref="A3188">IFNA(index(PlayerValues!A:A,match(IFNA(vlookup(B3188,'Special Names'!A:B,2,FALSE),B3188),PlayerValues!E:E,0)),"N/A")</f>
        <v>14833</v>
      </c>
      <c r="B3188" s="4" t="s">
        <v>553</v>
      </c>
      <c r="C3188" s="4" t="s">
        <v>287</v>
      </c>
      <c r="D3188" s="94">
        <v>2714.0</v>
      </c>
    </row>
    <row r="3189">
      <c r="A3189" s="40">
        <f t="array" ref="A3189">IFNA(index(PlayerValues!A:A,match(IFNA(vlookup(B3189,'Special Names'!A:B,2,FALSE),B3189),PlayerValues!E:E,0)),"N/A")</f>
        <v>15972</v>
      </c>
      <c r="B3189" s="4" t="s">
        <v>469</v>
      </c>
      <c r="C3189" s="4" t="s">
        <v>278</v>
      </c>
      <c r="D3189" s="94">
        <v>2714.0</v>
      </c>
    </row>
    <row r="3190">
      <c r="A3190" s="40">
        <f t="array" ref="A3190">IFNA(index(PlayerValues!A:A,match(IFNA(vlookup(B3190,'Special Names'!A:B,2,FALSE),B3190),PlayerValues!E:E,0)),"N/A")</f>
        <v>16626</v>
      </c>
      <c r="B3190" s="4" t="s">
        <v>515</v>
      </c>
      <c r="C3190" s="4" t="s">
        <v>287</v>
      </c>
      <c r="D3190" s="94">
        <v>2712.0</v>
      </c>
    </row>
    <row r="3191">
      <c r="A3191" s="40">
        <f t="array" ref="A3191">IFNA(index(PlayerValues!A:A,match(IFNA(vlookup(B3191,'Special Names'!A:B,2,FALSE),B3191),PlayerValues!E:E,0)),"N/A")</f>
        <v>15721</v>
      </c>
      <c r="B3191" s="4" t="s">
        <v>504</v>
      </c>
      <c r="C3191" s="4" t="s">
        <v>278</v>
      </c>
      <c r="D3191" s="94">
        <v>2708.0</v>
      </c>
    </row>
    <row r="3192">
      <c r="A3192" s="40">
        <f t="array" ref="A3192">IFNA(index(PlayerValues!A:A,match(IFNA(vlookup(B3192,'Special Names'!A:B,2,FALSE),B3192),PlayerValues!E:E,0)),"N/A")</f>
        <v>13192</v>
      </c>
      <c r="B3192" s="4" t="s">
        <v>563</v>
      </c>
      <c r="C3192" s="4" t="s">
        <v>298</v>
      </c>
      <c r="D3192" s="94">
        <v>3118.0</v>
      </c>
    </row>
    <row r="3193">
      <c r="A3193" s="40">
        <f t="array" ref="A3193">IFNA(index(PlayerValues!A:A,match(IFNA(vlookup(B3193,'Special Names'!A:B,2,FALSE),B3193),PlayerValues!E:E,0)),"N/A")</f>
        <v>17134</v>
      </c>
      <c r="B3193" s="4" t="s">
        <v>548</v>
      </c>
      <c r="C3193" s="4" t="s">
        <v>287</v>
      </c>
      <c r="D3193" s="94">
        <v>2698.0</v>
      </c>
    </row>
    <row r="3194">
      <c r="A3194" s="40">
        <f t="array" ref="A3194">IFNA(index(PlayerValues!A:A,match(IFNA(vlookup(B3194,'Special Names'!A:B,2,FALSE),B3194),PlayerValues!E:E,0)),"N/A")</f>
        <v>14085</v>
      </c>
      <c r="B3194" s="4" t="s">
        <v>489</v>
      </c>
      <c r="C3194" s="4" t="s">
        <v>278</v>
      </c>
      <c r="D3194" s="94">
        <v>2668.0</v>
      </c>
    </row>
    <row r="3195">
      <c r="A3195" s="40">
        <f t="array" ref="A3195">IFNA(index(PlayerValues!A:A,match(IFNA(vlookup(B3195,'Special Names'!A:B,2,FALSE),B3195),PlayerValues!E:E,0)),"N/A")</f>
        <v>16165</v>
      </c>
      <c r="B3195" s="4" t="s">
        <v>520</v>
      </c>
      <c r="C3195" s="4" t="s">
        <v>278</v>
      </c>
      <c r="D3195" s="94">
        <v>2651.0</v>
      </c>
    </row>
    <row r="3196">
      <c r="A3196" s="40">
        <f t="array" ref="A3196">IFNA(index(PlayerValues!A:A,match(IFNA(vlookup(B3196,'Special Names'!A:B,2,FALSE),B3196),PlayerValues!E:E,0)),"N/A")</f>
        <v>13674</v>
      </c>
      <c r="B3196" s="4" t="s">
        <v>511</v>
      </c>
      <c r="C3196" s="4" t="s">
        <v>298</v>
      </c>
      <c r="D3196" s="94">
        <v>3048.0</v>
      </c>
    </row>
    <row r="3197">
      <c r="A3197" s="40">
        <f t="array" ref="A3197">IFNA(index(PlayerValues!A:A,match(IFNA(vlookup(B3197,'Special Names'!A:B,2,FALSE),B3197),PlayerValues!E:E,0)),"N/A")</f>
        <v>17544</v>
      </c>
      <c r="B3197" s="4" t="s">
        <v>470</v>
      </c>
      <c r="C3197" s="4" t="s">
        <v>298</v>
      </c>
      <c r="D3197" s="94">
        <v>3038.0</v>
      </c>
    </row>
    <row r="3198">
      <c r="A3198" s="40">
        <f t="array" ref="A3198">IFNA(index(PlayerValues!A:A,match(IFNA(vlookup(B3198,'Special Names'!A:B,2,FALSE),B3198),PlayerValues!E:E,0)),"N/A")</f>
        <v>16747</v>
      </c>
      <c r="B3198" s="4" t="s">
        <v>555</v>
      </c>
      <c r="C3198" s="4" t="s">
        <v>278</v>
      </c>
      <c r="D3198" s="94">
        <v>2589.0</v>
      </c>
    </row>
    <row r="3199">
      <c r="A3199" s="40">
        <f t="array" ref="A3199">IFNA(index(PlayerValues!A:A,match(IFNA(vlookup(B3199,'Special Names'!A:B,2,FALSE),B3199),PlayerValues!E:E,0)),"N/A")</f>
        <v>14840</v>
      </c>
      <c r="B3199" s="4" t="s">
        <v>731</v>
      </c>
      <c r="C3199" s="4" t="s">
        <v>287</v>
      </c>
      <c r="D3199" s="94">
        <v>2579.0</v>
      </c>
    </row>
    <row r="3200">
      <c r="A3200" s="40">
        <f t="array" ref="A3200">IFNA(index(PlayerValues!A:A,match(IFNA(vlookup(B3200,'Special Names'!A:B,2,FALSE),B3200),PlayerValues!E:E,0)),"N/A")</f>
        <v>17105</v>
      </c>
      <c r="B3200" s="4" t="s">
        <v>525</v>
      </c>
      <c r="C3200" s="4" t="s">
        <v>298</v>
      </c>
      <c r="D3200" s="94">
        <v>2973.0</v>
      </c>
    </row>
    <row r="3201">
      <c r="A3201" s="40" t="str">
        <f t="array" ref="A3201">IFNA(index(PlayerValues!A:A,match(IFNA(vlookup(B3201,'Special Names'!A:B,2,FALSE),B3201),PlayerValues!E:E,0)),"N/A")</f>
        <v>N/A</v>
      </c>
      <c r="B3201" s="4" t="s">
        <v>98</v>
      </c>
      <c r="C3201" s="4" t="s">
        <v>325</v>
      </c>
      <c r="D3201" s="94">
        <v>2562.0</v>
      </c>
    </row>
    <row r="3202">
      <c r="A3202" s="40">
        <f t="array" ref="A3202">IFNA(index(PlayerValues!A:A,match(IFNA(vlookup(B3202,'Special Names'!A:B,2,FALSE),B3202),PlayerValues!E:E,0)),"N/A")</f>
        <v>16617</v>
      </c>
      <c r="B3202" s="4" t="s">
        <v>541</v>
      </c>
      <c r="C3202" s="4" t="s">
        <v>287</v>
      </c>
      <c r="D3202" s="94">
        <v>2552.0</v>
      </c>
    </row>
    <row r="3203">
      <c r="A3203" s="40">
        <f t="array" ref="A3203">IFNA(index(PlayerValues!A:A,match(IFNA(vlookup(B3203,'Special Names'!A:B,2,FALSE),B3203),PlayerValues!E:E,0)),"N/A")</f>
        <v>17108</v>
      </c>
      <c r="B3203" s="4" t="s">
        <v>542</v>
      </c>
      <c r="C3203" s="4" t="s">
        <v>298</v>
      </c>
      <c r="D3203" s="94">
        <v>2954.0</v>
      </c>
    </row>
    <row r="3204">
      <c r="A3204" s="40">
        <f t="array" ref="A3204">IFNA(index(PlayerValues!A:A,match(IFNA(vlookup(B3204,'Special Names'!A:B,2,FALSE),B3204),PlayerValues!E:E,0)),"N/A")</f>
        <v>16178</v>
      </c>
      <c r="B3204" s="4" t="s">
        <v>507</v>
      </c>
      <c r="C3204" s="4" t="s">
        <v>278</v>
      </c>
      <c r="D3204" s="94">
        <v>2535.0</v>
      </c>
    </row>
    <row r="3205">
      <c r="A3205" s="40">
        <f t="array" ref="A3205">IFNA(index(PlayerValues!A:A,match(IFNA(vlookup(B3205,'Special Names'!A:B,2,FALSE),B3205),PlayerValues!E:E,0)),"N/A")</f>
        <v>16164</v>
      </c>
      <c r="B3205" s="4" t="s">
        <v>512</v>
      </c>
      <c r="C3205" s="4" t="s">
        <v>278</v>
      </c>
      <c r="D3205" s="94">
        <v>2529.0</v>
      </c>
    </row>
    <row r="3206">
      <c r="A3206" s="40" t="str">
        <f t="array" ref="A3206">IFNA(index(PlayerValues!A:A,match(IFNA(vlookup(B3206,'Special Names'!A:B,2,FALSE),B3206),PlayerValues!E:E,0)),"N/A")</f>
        <v>N/A</v>
      </c>
      <c r="B3206" s="4" t="s">
        <v>557</v>
      </c>
      <c r="C3206" s="4" t="s">
        <v>278</v>
      </c>
      <c r="D3206" s="94">
        <v>2525.0</v>
      </c>
    </row>
    <row r="3207">
      <c r="A3207" s="40">
        <f t="array" ref="A3207">IFNA(index(PlayerValues!A:A,match(IFNA(vlookup(B3207,'Special Names'!A:B,2,FALSE),B3207),PlayerValues!E:E,0)),"N/A")</f>
        <v>14136</v>
      </c>
      <c r="B3207" s="4" t="s">
        <v>536</v>
      </c>
      <c r="C3207" s="4" t="s">
        <v>287</v>
      </c>
      <c r="D3207" s="94">
        <v>2517.0</v>
      </c>
    </row>
    <row r="3208">
      <c r="A3208" s="40">
        <f t="array" ref="A3208">IFNA(index(PlayerValues!A:A,match(IFNA(vlookup(B3208,'Special Names'!A:B,2,FALSE),B3208),PlayerValues!E:E,0)),"N/A")</f>
        <v>16204</v>
      </c>
      <c r="B3208" s="4" t="s">
        <v>530</v>
      </c>
      <c r="C3208" s="4" t="s">
        <v>287</v>
      </c>
      <c r="D3208" s="94">
        <v>2514.0</v>
      </c>
    </row>
    <row r="3209">
      <c r="A3209" s="40">
        <f t="array" ref="A3209">IFNA(index(PlayerValues!A:A,match(IFNA(vlookup(B3209,'Special Names'!A:B,2,FALSE),B3209),PlayerValues!E:E,0)),"N/A")</f>
        <v>15802</v>
      </c>
      <c r="B3209" s="4" t="s">
        <v>566</v>
      </c>
      <c r="C3209" s="4" t="s">
        <v>298</v>
      </c>
      <c r="D3209" s="94">
        <v>2919.0</v>
      </c>
    </row>
    <row r="3210">
      <c r="A3210" s="40">
        <f t="array" ref="A3210">IFNA(index(PlayerValues!A:A,match(IFNA(vlookup(B3210,'Special Names'!A:B,2,FALSE),B3210),PlayerValues!E:E,0)),"N/A")</f>
        <v>16152</v>
      </c>
      <c r="B3210" s="4" t="s">
        <v>601</v>
      </c>
      <c r="C3210" s="4" t="s">
        <v>283</v>
      </c>
      <c r="D3210" s="94">
        <v>2510.0</v>
      </c>
    </row>
    <row r="3211">
      <c r="A3211" s="40">
        <f t="array" ref="A3211">IFNA(index(PlayerValues!A:A,match(IFNA(vlookup(B3211,'Special Names'!A:B,2,FALSE),B3211),PlayerValues!E:E,0)),"N/A")</f>
        <v>16166</v>
      </c>
      <c r="B3211" s="4" t="s">
        <v>567</v>
      </c>
      <c r="C3211" s="4" t="s">
        <v>278</v>
      </c>
      <c r="D3211" s="94">
        <v>2494.0</v>
      </c>
    </row>
    <row r="3212">
      <c r="A3212" s="40">
        <f t="array" ref="A3212">IFNA(index(PlayerValues!A:A,match(IFNA(vlookup(B3212,'Special Names'!A:B,2,FALSE),B3212),PlayerValues!E:E,0)),"N/A")</f>
        <v>16757</v>
      </c>
      <c r="B3212" s="4" t="s">
        <v>558</v>
      </c>
      <c r="C3212" s="4" t="s">
        <v>278</v>
      </c>
      <c r="D3212" s="94">
        <v>2469.0</v>
      </c>
    </row>
    <row r="3213">
      <c r="A3213" s="40">
        <f t="array" ref="A3213">IFNA(index(PlayerValues!A:A,match(IFNA(vlookup(B3213,'Special Names'!A:B,2,FALSE),B3213),PlayerValues!E:E,0)),"N/A")</f>
        <v>16287</v>
      </c>
      <c r="B3213" s="4" t="s">
        <v>516</v>
      </c>
      <c r="C3213" s="4" t="s">
        <v>287</v>
      </c>
      <c r="D3213" s="94">
        <v>2460.0</v>
      </c>
    </row>
    <row r="3214">
      <c r="A3214" s="40">
        <f t="array" ref="A3214">IFNA(index(PlayerValues!A:A,match(IFNA(vlookup(B3214,'Special Names'!A:B,2,FALSE),B3214),PlayerValues!E:E,0)),"N/A")</f>
        <v>17033</v>
      </c>
      <c r="B3214" s="4" t="s">
        <v>570</v>
      </c>
      <c r="C3214" s="4" t="s">
        <v>283</v>
      </c>
      <c r="D3214" s="94">
        <v>2457.0</v>
      </c>
    </row>
    <row r="3215">
      <c r="A3215" s="40">
        <f t="array" ref="A3215">IFNA(index(PlayerValues!A:A,match(IFNA(vlookup(B3215,'Special Names'!A:B,2,FALSE),B3215),PlayerValues!E:E,0)),"N/A")</f>
        <v>11244</v>
      </c>
      <c r="B3215" s="4" t="s">
        <v>519</v>
      </c>
      <c r="C3215" s="4" t="s">
        <v>298</v>
      </c>
      <c r="D3215" s="94">
        <v>2859.0</v>
      </c>
    </row>
    <row r="3216">
      <c r="A3216" s="40">
        <f t="array" ref="A3216">IFNA(index(PlayerValues!A:A,match(IFNA(vlookup(B3216,'Special Names'!A:B,2,FALSE),B3216),PlayerValues!E:E,0)),"N/A")</f>
        <v>17476</v>
      </c>
      <c r="B3216" s="4" t="s">
        <v>494</v>
      </c>
      <c r="C3216" s="4" t="s">
        <v>278</v>
      </c>
      <c r="D3216" s="94">
        <v>2447.0</v>
      </c>
    </row>
    <row r="3217">
      <c r="A3217" s="40">
        <f t="array" ref="A3217">IFNA(index(PlayerValues!A:A,match(IFNA(vlookup(B3217,'Special Names'!A:B,2,FALSE),B3217),PlayerValues!E:E,0)),"N/A")</f>
        <v>16649</v>
      </c>
      <c r="B3217" s="4" t="s">
        <v>586</v>
      </c>
      <c r="C3217" s="4" t="s">
        <v>298</v>
      </c>
      <c r="D3217" s="94">
        <v>2845.0</v>
      </c>
    </row>
    <row r="3218">
      <c r="A3218" s="40">
        <f t="array" ref="A3218">IFNA(index(PlayerValues!A:A,match(IFNA(vlookup(B3218,'Special Names'!A:B,2,FALSE),B3218),PlayerValues!E:E,0)),"N/A")</f>
        <v>14861</v>
      </c>
      <c r="B3218" s="4" t="s">
        <v>523</v>
      </c>
      <c r="C3218" s="4" t="s">
        <v>298</v>
      </c>
      <c r="D3218" s="94">
        <v>2833.0</v>
      </c>
    </row>
    <row r="3219">
      <c r="A3219" s="40">
        <f t="array" ref="A3219">IFNA(index(PlayerValues!A:A,match(IFNA(vlookup(B3219,'Special Names'!A:B,2,FALSE),B3219),PlayerValues!E:E,0)),"N/A")</f>
        <v>16684</v>
      </c>
      <c r="B3219" s="4" t="s">
        <v>500</v>
      </c>
      <c r="C3219" s="4" t="s">
        <v>287</v>
      </c>
      <c r="D3219" s="94">
        <v>2429.0</v>
      </c>
    </row>
    <row r="3220">
      <c r="A3220" s="40">
        <f t="array" ref="A3220">IFNA(index(PlayerValues!A:A,match(IFNA(vlookup(B3220,'Special Names'!A:B,2,FALSE),B3220),PlayerValues!E:E,0)),"N/A")</f>
        <v>16189</v>
      </c>
      <c r="B3220" s="4" t="s">
        <v>582</v>
      </c>
      <c r="C3220" s="4" t="s">
        <v>287</v>
      </c>
      <c r="D3220" s="94">
        <v>2413.0</v>
      </c>
    </row>
    <row r="3221">
      <c r="A3221" s="40">
        <f t="array" ref="A3221">IFNA(index(PlayerValues!A:A,match(IFNA(vlookup(B3221,'Special Names'!A:B,2,FALSE),B3221),PlayerValues!E:E,0)),"N/A")</f>
        <v>17505</v>
      </c>
      <c r="B3221" s="4" t="s">
        <v>528</v>
      </c>
      <c r="C3221" s="4" t="s">
        <v>287</v>
      </c>
      <c r="D3221" s="94">
        <v>2413.0</v>
      </c>
    </row>
    <row r="3222">
      <c r="A3222" s="40">
        <f t="array" ref="A3222">IFNA(index(PlayerValues!A:A,match(IFNA(vlookup(B3222,'Special Names'!A:B,2,FALSE),B3222),PlayerValues!E:E,0)),"N/A")</f>
        <v>16036</v>
      </c>
      <c r="B3222" s="4" t="s">
        <v>592</v>
      </c>
      <c r="C3222" s="4" t="s">
        <v>298</v>
      </c>
      <c r="D3222" s="94">
        <v>2801.0</v>
      </c>
    </row>
    <row r="3223">
      <c r="A3223" s="40" t="str">
        <f t="array" ref="A3223">IFNA(index(PlayerValues!A:A,match(IFNA(vlookup(B3223,'Special Names'!A:B,2,FALSE),B3223),PlayerValues!E:E,0)),"N/A")</f>
        <v>N/A</v>
      </c>
      <c r="B3223" s="4" t="s">
        <v>86</v>
      </c>
      <c r="C3223" s="4" t="s">
        <v>325</v>
      </c>
      <c r="D3223" s="94">
        <v>2400.0</v>
      </c>
    </row>
    <row r="3224">
      <c r="A3224" s="40" t="str">
        <f t="array" ref="A3224">IFNA(index(PlayerValues!A:A,match(IFNA(vlookup(B3224,'Special Names'!A:B,2,FALSE),B3224),PlayerValues!E:E,0)),"N/A")</f>
        <v>N/A</v>
      </c>
      <c r="B3224" s="4" t="s">
        <v>99</v>
      </c>
      <c r="C3224" s="4" t="s">
        <v>325</v>
      </c>
      <c r="D3224" s="94">
        <v>2397.0</v>
      </c>
    </row>
    <row r="3225">
      <c r="A3225" s="40">
        <f t="array" ref="A3225">IFNA(index(PlayerValues!A:A,match(IFNA(vlookup(B3225,'Special Names'!A:B,2,FALSE),B3225),PlayerValues!E:E,0)),"N/A")</f>
        <v>17078</v>
      </c>
      <c r="B3225" s="4" t="s">
        <v>543</v>
      </c>
      <c r="C3225" s="4" t="s">
        <v>287</v>
      </c>
      <c r="D3225" s="94">
        <v>2397.0</v>
      </c>
    </row>
    <row r="3226">
      <c r="A3226" s="40">
        <f t="array" ref="A3226">IFNA(index(PlayerValues!A:A,match(IFNA(vlookup(B3226,'Special Names'!A:B,2,FALSE),B3226),PlayerValues!E:E,0)),"N/A")</f>
        <v>15749</v>
      </c>
      <c r="B3226" s="4" t="s">
        <v>574</v>
      </c>
      <c r="C3226" s="4" t="s">
        <v>278</v>
      </c>
      <c r="D3226" s="94">
        <v>2396.0</v>
      </c>
    </row>
    <row r="3227">
      <c r="A3227" s="40">
        <f t="array" ref="A3227">IFNA(index(PlayerValues!A:A,match(IFNA(vlookup(B3227,'Special Names'!A:B,2,FALSE),B3227),PlayerValues!E:E,0)),"N/A")</f>
        <v>17048</v>
      </c>
      <c r="B3227" s="4" t="s">
        <v>539</v>
      </c>
      <c r="C3227" s="4" t="s">
        <v>278</v>
      </c>
      <c r="D3227" s="94">
        <v>2388.0</v>
      </c>
    </row>
    <row r="3228">
      <c r="A3228" s="40">
        <f t="array" ref="A3228">IFNA(index(PlayerValues!A:A,match(IFNA(vlookup(B3228,'Special Names'!A:B,2,FALSE),B3228),PlayerValues!E:E,0)),"N/A")</f>
        <v>15786</v>
      </c>
      <c r="B3228" s="4" t="s">
        <v>521</v>
      </c>
      <c r="C3228" s="4" t="s">
        <v>287</v>
      </c>
      <c r="D3228" s="94">
        <v>2377.0</v>
      </c>
    </row>
    <row r="3229">
      <c r="A3229" s="40">
        <f t="array" ref="A3229">IFNA(index(PlayerValues!A:A,match(IFNA(vlookup(B3229,'Special Names'!A:B,2,FALSE),B3229),PlayerValues!E:E,0)),"N/A")</f>
        <v>16610</v>
      </c>
      <c r="B3229" s="4" t="s">
        <v>562</v>
      </c>
      <c r="C3229" s="4" t="s">
        <v>278</v>
      </c>
      <c r="D3229" s="94">
        <v>2348.0</v>
      </c>
    </row>
    <row r="3230">
      <c r="A3230" s="40">
        <f t="array" ref="A3230">IFNA(index(PlayerValues!A:A,match(IFNA(vlookup(B3230,'Special Names'!A:B,2,FALSE),B3230),PlayerValues!E:E,0)),"N/A")</f>
        <v>12676</v>
      </c>
      <c r="B3230" s="4" t="s">
        <v>537</v>
      </c>
      <c r="C3230" s="4" t="s">
        <v>298</v>
      </c>
      <c r="D3230" s="94">
        <v>2741.0</v>
      </c>
    </row>
    <row r="3231">
      <c r="A3231" s="40">
        <f t="array" ref="A3231">IFNA(index(PlayerValues!A:A,match(IFNA(vlookup(B3231,'Special Names'!A:B,2,FALSE),B3231),PlayerValues!E:E,0)),"N/A")</f>
        <v>16195</v>
      </c>
      <c r="B3231" s="4" t="s">
        <v>509</v>
      </c>
      <c r="C3231" s="4" t="s">
        <v>287</v>
      </c>
      <c r="D3231" s="94">
        <v>2342.0</v>
      </c>
    </row>
    <row r="3232">
      <c r="A3232" s="40">
        <f t="array" ref="A3232">IFNA(index(PlayerValues!A:A,match(IFNA(vlookup(B3232,'Special Names'!A:B,2,FALSE),B3232),PlayerValues!E:E,0)),"N/A")</f>
        <v>16212</v>
      </c>
      <c r="B3232" s="4" t="s">
        <v>568</v>
      </c>
      <c r="C3232" s="4" t="s">
        <v>298</v>
      </c>
      <c r="D3232" s="94">
        <v>2711.0</v>
      </c>
    </row>
    <row r="3233">
      <c r="A3233" s="40">
        <f t="array" ref="A3233">IFNA(index(PlayerValues!A:A,match(IFNA(vlookup(B3233,'Special Names'!A:B,2,FALSE),B3233),PlayerValues!E:E,0)),"N/A")</f>
        <v>17046</v>
      </c>
      <c r="B3233" s="4" t="s">
        <v>602</v>
      </c>
      <c r="C3233" s="4" t="s">
        <v>278</v>
      </c>
      <c r="D3233" s="94">
        <v>2314.0</v>
      </c>
    </row>
    <row r="3234">
      <c r="A3234" s="40">
        <f t="array" ref="A3234">IFNA(index(PlayerValues!A:A,match(IFNA(vlookup(B3234,'Special Names'!A:B,2,FALSE),B3234),PlayerValues!E:E,0)),"N/A")</f>
        <v>12801</v>
      </c>
      <c r="B3234" s="4" t="s">
        <v>722</v>
      </c>
      <c r="C3234" s="4" t="s">
        <v>287</v>
      </c>
      <c r="D3234" s="94">
        <v>2305.0</v>
      </c>
    </row>
    <row r="3235">
      <c r="A3235" s="40">
        <f t="array" ref="A3235">IFNA(index(PlayerValues!A:A,match(IFNA(vlookup(B3235,'Special Names'!A:B,2,FALSE),B3235),PlayerValues!E:E,0)),"N/A")</f>
        <v>15238</v>
      </c>
      <c r="B3235" s="4" t="s">
        <v>613</v>
      </c>
      <c r="C3235" s="4" t="s">
        <v>283</v>
      </c>
      <c r="D3235" s="94">
        <v>2302.0</v>
      </c>
    </row>
    <row r="3236">
      <c r="A3236" s="40">
        <f t="array" ref="A3236">IFNA(index(PlayerValues!A:A,match(IFNA(vlookup(B3236,'Special Names'!A:B,2,FALSE),B3236),PlayerValues!E:E,0)),"N/A")</f>
        <v>13772</v>
      </c>
      <c r="B3236" s="4" t="s">
        <v>544</v>
      </c>
      <c r="C3236" s="4" t="s">
        <v>298</v>
      </c>
      <c r="D3236" s="94">
        <v>2687.0</v>
      </c>
    </row>
    <row r="3237">
      <c r="A3237" s="40">
        <f t="array" ref="A3237">IFNA(index(PlayerValues!A:A,match(IFNA(vlookup(B3237,'Special Names'!A:B,2,FALSE),B3237),PlayerValues!E:E,0)),"N/A")</f>
        <v>17076</v>
      </c>
      <c r="B3237" s="4" t="s">
        <v>585</v>
      </c>
      <c r="C3237" s="4" t="s">
        <v>287</v>
      </c>
      <c r="D3237" s="94">
        <v>2290.0</v>
      </c>
    </row>
    <row r="3238">
      <c r="A3238" s="40">
        <f t="array" ref="A3238">IFNA(index(PlayerValues!A:A,match(IFNA(vlookup(B3238,'Special Names'!A:B,2,FALSE),B3238),PlayerValues!E:E,0)),"N/A")</f>
        <v>16174</v>
      </c>
      <c r="B3238" s="4" t="s">
        <v>505</v>
      </c>
      <c r="C3238" s="4" t="s">
        <v>278</v>
      </c>
      <c r="D3238" s="94">
        <v>2278.0</v>
      </c>
    </row>
    <row r="3239">
      <c r="A3239" s="40">
        <f t="array" ref="A3239">IFNA(index(PlayerValues!A:A,match(IFNA(vlookup(B3239,'Special Names'!A:B,2,FALSE),B3239),PlayerValues!E:E,0)),"N/A")</f>
        <v>17079</v>
      </c>
      <c r="B3239" s="4" t="s">
        <v>572</v>
      </c>
      <c r="C3239" s="4" t="s">
        <v>287</v>
      </c>
      <c r="D3239" s="94">
        <v>2275.0</v>
      </c>
    </row>
    <row r="3240">
      <c r="A3240" s="40">
        <f t="array" ref="A3240">IFNA(index(PlayerValues!A:A,match(IFNA(vlookup(B3240,'Special Names'!A:B,2,FALSE),B3240),PlayerValues!E:E,0)),"N/A")</f>
        <v>15716</v>
      </c>
      <c r="B3240" s="4" t="s">
        <v>545</v>
      </c>
      <c r="C3240" s="4" t="s">
        <v>278</v>
      </c>
      <c r="D3240" s="94">
        <v>2256.0</v>
      </c>
    </row>
    <row r="3241">
      <c r="A3241" s="40" t="str">
        <f t="array" ref="A3241">IFNA(index(PlayerValues!A:A,match(IFNA(vlookup(B3241,'Special Names'!A:B,2,FALSE),B3241),PlayerValues!E:E,0)),"N/A")</f>
        <v>N/A</v>
      </c>
      <c r="B3241" s="4" t="s">
        <v>87</v>
      </c>
      <c r="C3241" s="4" t="s">
        <v>325</v>
      </c>
      <c r="D3241" s="94">
        <v>2250.0</v>
      </c>
    </row>
    <row r="3242">
      <c r="A3242" s="40">
        <f t="array" ref="A3242">IFNA(index(PlayerValues!A:A,match(IFNA(vlookup(B3242,'Special Names'!A:B,2,FALSE),B3242),PlayerValues!E:E,0)),"N/A")</f>
        <v>17482</v>
      </c>
      <c r="B3242" s="4" t="s">
        <v>460</v>
      </c>
      <c r="C3242" s="4" t="s">
        <v>278</v>
      </c>
      <c r="D3242" s="94">
        <v>2248.0</v>
      </c>
    </row>
    <row r="3243">
      <c r="A3243" s="40">
        <f t="array" ref="A3243">IFNA(index(PlayerValues!A:A,match(IFNA(vlookup(B3243,'Special Names'!A:B,2,FALSE),B3243),PlayerValues!E:E,0)),"N/A")</f>
        <v>12186</v>
      </c>
      <c r="B3243" s="4" t="s">
        <v>497</v>
      </c>
      <c r="C3243" s="4" t="s">
        <v>287</v>
      </c>
      <c r="D3243" s="94">
        <v>2246.0</v>
      </c>
    </row>
    <row r="3244">
      <c r="A3244" s="40" t="str">
        <f t="array" ref="A3244">IFNA(index(PlayerValues!A:A,match(IFNA(vlookup(B3244,'Special Names'!A:B,2,FALSE),B3244),PlayerValues!E:E,0)),"N/A")</f>
        <v>N/A</v>
      </c>
      <c r="B3244" s="4" t="s">
        <v>100</v>
      </c>
      <c r="C3244" s="4" t="s">
        <v>325</v>
      </c>
      <c r="D3244" s="94">
        <v>2219.0</v>
      </c>
    </row>
    <row r="3245">
      <c r="A3245" s="40">
        <f t="array" ref="A3245">IFNA(index(PlayerValues!A:A,match(IFNA(vlookup(B3245,'Special Names'!A:B,2,FALSE),B3245),PlayerValues!E:E,0)),"N/A")</f>
        <v>15331</v>
      </c>
      <c r="B3245" s="4" t="s">
        <v>560</v>
      </c>
      <c r="C3245" s="4" t="s">
        <v>298</v>
      </c>
      <c r="D3245" s="94">
        <v>2591.0</v>
      </c>
    </row>
    <row r="3246">
      <c r="A3246" s="40">
        <f t="array" ref="A3246">IFNA(index(PlayerValues!A:A,match(IFNA(vlookup(B3246,'Special Names'!A:B,2,FALSE),B3246),PlayerValues!E:E,0)),"N/A")</f>
        <v>17087</v>
      </c>
      <c r="B3246" s="4" t="s">
        <v>600</v>
      </c>
      <c r="C3246" s="4" t="s">
        <v>287</v>
      </c>
      <c r="D3246" s="94">
        <v>2194.0</v>
      </c>
    </row>
    <row r="3247">
      <c r="A3247" s="40">
        <f t="array" ref="A3247">IFNA(index(PlayerValues!A:A,match(IFNA(vlookup(B3247,'Special Names'!A:B,2,FALSE),B3247),PlayerValues!E:E,0)),"N/A")</f>
        <v>16432</v>
      </c>
      <c r="B3247" s="4" t="s">
        <v>620</v>
      </c>
      <c r="C3247" s="4" t="s">
        <v>278</v>
      </c>
      <c r="D3247" s="94">
        <v>2188.0</v>
      </c>
    </row>
    <row r="3248">
      <c r="A3248" s="40">
        <f t="array" ref="A3248">IFNA(index(PlayerValues!A:A,match(IFNA(vlookup(B3248,'Special Names'!A:B,2,FALSE),B3248),PlayerValues!E:E,0)),"N/A")</f>
        <v>14871</v>
      </c>
      <c r="B3248" s="4" t="s">
        <v>584</v>
      </c>
      <c r="C3248" s="4" t="s">
        <v>298</v>
      </c>
      <c r="D3248" s="94">
        <v>2560.0</v>
      </c>
    </row>
    <row r="3249">
      <c r="A3249" s="40" t="str">
        <f t="array" ref="A3249">IFNA(index(PlayerValues!A:A,match(IFNA(vlookup(B3249,'Special Names'!A:B,2,FALSE),B3249),PlayerValues!E:E,0)),"N/A")</f>
        <v>N/A</v>
      </c>
      <c r="B3249" s="4" t="s">
        <v>112</v>
      </c>
      <c r="C3249" s="4" t="s">
        <v>325</v>
      </c>
      <c r="D3249" s="94">
        <v>2167.0</v>
      </c>
    </row>
    <row r="3250">
      <c r="A3250" s="40">
        <f t="array" ref="A3250">IFNA(index(PlayerValues!A:A,match(IFNA(vlookup(B3250,'Special Names'!A:B,2,FALSE),B3250),PlayerValues!E:E,0)),"N/A")</f>
        <v>17474</v>
      </c>
      <c r="B3250" s="4" t="s">
        <v>513</v>
      </c>
      <c r="C3250" s="4" t="s">
        <v>278</v>
      </c>
      <c r="D3250" s="94">
        <v>2166.0</v>
      </c>
    </row>
    <row r="3251">
      <c r="A3251" s="40">
        <f t="array" ref="A3251">IFNA(index(PlayerValues!A:A,match(IFNA(vlookup(B3251,'Special Names'!A:B,2,FALSE),B3251),PlayerValues!E:E,0)),"N/A")</f>
        <v>17049</v>
      </c>
      <c r="B3251" s="4" t="s">
        <v>624</v>
      </c>
      <c r="C3251" s="4" t="s">
        <v>278</v>
      </c>
      <c r="D3251" s="94">
        <v>2160.0</v>
      </c>
    </row>
    <row r="3252">
      <c r="A3252" s="40">
        <f t="array" ref="A3252">IFNA(index(PlayerValues!A:A,match(IFNA(vlookup(B3252,'Special Names'!A:B,2,FALSE),B3252),PlayerValues!E:E,0)),"N/A")</f>
        <v>16342</v>
      </c>
      <c r="B3252" s="4" t="s">
        <v>583</v>
      </c>
      <c r="C3252" s="4" t="s">
        <v>287</v>
      </c>
      <c r="D3252" s="94">
        <v>2158.0</v>
      </c>
    </row>
    <row r="3253">
      <c r="A3253" s="40">
        <f t="array" ref="A3253">IFNA(index(PlayerValues!A:A,match(IFNA(vlookup(B3253,'Special Names'!A:B,2,FALSE),B3253),PlayerValues!E:E,0)),"N/A")</f>
        <v>17061</v>
      </c>
      <c r="B3253" s="4" t="s">
        <v>580</v>
      </c>
      <c r="C3253" s="4" t="s">
        <v>278</v>
      </c>
      <c r="D3253" s="94">
        <v>2150.0</v>
      </c>
    </row>
    <row r="3254">
      <c r="A3254" s="40">
        <f t="array" ref="A3254">IFNA(index(PlayerValues!A:A,match(IFNA(vlookup(B3254,'Special Names'!A:B,2,FALSE),B3254),PlayerValues!E:E,0)),"N/A")</f>
        <v>16639</v>
      </c>
      <c r="B3254" s="4" t="s">
        <v>599</v>
      </c>
      <c r="C3254" s="4" t="s">
        <v>287</v>
      </c>
      <c r="D3254" s="94">
        <v>2141.0</v>
      </c>
    </row>
    <row r="3255">
      <c r="A3255" s="40">
        <f t="array" ref="A3255">IFNA(index(PlayerValues!A:A,match(IFNA(vlookup(B3255,'Special Names'!A:B,2,FALSE),B3255),PlayerValues!E:E,0)),"N/A")</f>
        <v>13146</v>
      </c>
      <c r="B3255" s="4" t="s">
        <v>652</v>
      </c>
      <c r="C3255" s="4" t="s">
        <v>278</v>
      </c>
      <c r="D3255" s="94">
        <v>2138.0</v>
      </c>
    </row>
    <row r="3256">
      <c r="A3256" s="40" t="str">
        <f t="array" ref="A3256">IFNA(index(PlayerValues!A:A,match(IFNA(vlookup(B3256,'Special Names'!A:B,2,FALSE),B3256),PlayerValues!E:E,0)),"N/A")</f>
        <v>N/A</v>
      </c>
      <c r="B3256" s="4" t="s">
        <v>88</v>
      </c>
      <c r="C3256" s="4" t="s">
        <v>325</v>
      </c>
      <c r="D3256" s="94">
        <v>2135.0</v>
      </c>
    </row>
    <row r="3257">
      <c r="A3257" s="40" t="str">
        <f t="array" ref="A3257">IFNA(index(PlayerValues!A:A,match(IFNA(vlookup(B3257,'Special Names'!A:B,2,FALSE),B3257),PlayerValues!E:E,0)),"N/A")</f>
        <v>N/A</v>
      </c>
      <c r="B3257" s="4" t="s">
        <v>113</v>
      </c>
      <c r="C3257" s="4" t="s">
        <v>325</v>
      </c>
      <c r="D3257" s="94">
        <v>2134.0</v>
      </c>
    </row>
    <row r="3258">
      <c r="A3258" s="40">
        <f t="array" ref="A3258">IFNA(index(PlayerValues!A:A,match(IFNA(vlookup(B3258,'Special Names'!A:B,2,FALSE),B3258),PlayerValues!E:E,0)),"N/A")</f>
        <v>16191</v>
      </c>
      <c r="B3258" s="4" t="s">
        <v>666</v>
      </c>
      <c r="C3258" s="4" t="s">
        <v>287</v>
      </c>
      <c r="D3258" s="94">
        <v>2132.0</v>
      </c>
    </row>
    <row r="3259">
      <c r="A3259" s="40">
        <f t="array" ref="A3259">IFNA(index(PlayerValues!A:A,match(IFNA(vlookup(B3259,'Special Names'!A:B,2,FALSE),B3259),PlayerValues!E:E,0)),"N/A")</f>
        <v>13132</v>
      </c>
      <c r="B3259" s="4" t="s">
        <v>598</v>
      </c>
      <c r="C3259" s="4" t="s">
        <v>278</v>
      </c>
      <c r="D3259" s="94">
        <v>2128.0</v>
      </c>
    </row>
    <row r="3260">
      <c r="A3260" s="40">
        <f t="array" ref="A3260">IFNA(index(PlayerValues!A:A,match(IFNA(vlookup(B3260,'Special Names'!A:B,2,FALSE),B3260),PlayerValues!E:E,0)),"N/A")</f>
        <v>17509</v>
      </c>
      <c r="B3260" s="4" t="s">
        <v>551</v>
      </c>
      <c r="C3260" s="4" t="s">
        <v>287</v>
      </c>
      <c r="D3260" s="94">
        <v>2124.0</v>
      </c>
    </row>
    <row r="3261">
      <c r="A3261" s="40">
        <f t="array" ref="A3261">IFNA(index(PlayerValues!A:A,match(IFNA(vlookup(B3261,'Special Names'!A:B,2,FALSE),B3261),PlayerValues!E:E,0)),"N/A")</f>
        <v>11150</v>
      </c>
      <c r="B3261" s="4" t="s">
        <v>559</v>
      </c>
      <c r="C3261" s="4" t="s">
        <v>283</v>
      </c>
      <c r="D3261" s="94">
        <v>2122.0</v>
      </c>
    </row>
    <row r="3262">
      <c r="A3262" s="40">
        <f t="array" ref="A3262">IFNA(index(PlayerValues!A:A,match(IFNA(vlookup(B3262,'Special Names'!A:B,2,FALSE),B3262),PlayerValues!E:E,0)),"N/A")</f>
        <v>16643</v>
      </c>
      <c r="B3262" s="4" t="s">
        <v>609</v>
      </c>
      <c r="C3262" s="4" t="s">
        <v>298</v>
      </c>
      <c r="D3262" s="94">
        <v>2515.0</v>
      </c>
    </row>
    <row r="3263">
      <c r="A3263" s="40">
        <f t="array" ref="A3263">IFNA(index(PlayerValues!A:A,match(IFNA(vlookup(B3263,'Special Names'!A:B,2,FALSE),B3263),PlayerValues!E:E,0)),"N/A")</f>
        <v>17507</v>
      </c>
      <c r="B3263" s="4" t="s">
        <v>495</v>
      </c>
      <c r="C3263" s="4" t="s">
        <v>287</v>
      </c>
      <c r="D3263" s="94">
        <v>2122.0</v>
      </c>
    </row>
    <row r="3264">
      <c r="A3264" s="40">
        <f t="array" ref="A3264">IFNA(index(PlayerValues!A:A,match(IFNA(vlookup(B3264,'Special Names'!A:B,2,FALSE),B3264),PlayerValues!E:E,0)),"N/A")</f>
        <v>17056</v>
      </c>
      <c r="B3264" s="4" t="s">
        <v>581</v>
      </c>
      <c r="C3264" s="4" t="s">
        <v>278</v>
      </c>
      <c r="D3264" s="94">
        <v>2118.0</v>
      </c>
    </row>
    <row r="3265">
      <c r="A3265" s="40">
        <f t="array" ref="A3265">IFNA(index(PlayerValues!A:A,match(IFNA(vlookup(B3265,'Special Names'!A:B,2,FALSE),B3265),PlayerValues!E:E,0)),"N/A")</f>
        <v>15293</v>
      </c>
      <c r="B3265" s="4" t="s">
        <v>578</v>
      </c>
      <c r="C3265" s="4" t="s">
        <v>287</v>
      </c>
      <c r="D3265" s="94">
        <v>2111.0</v>
      </c>
    </row>
    <row r="3266">
      <c r="A3266" s="40">
        <f t="array" ref="A3266">IFNA(index(PlayerValues!A:A,match(IFNA(vlookup(B3266,'Special Names'!A:B,2,FALSE),B3266),PlayerValues!E:E,0)),"N/A")</f>
        <v>17060</v>
      </c>
      <c r="B3266" s="4" t="s">
        <v>603</v>
      </c>
      <c r="C3266" s="4" t="s">
        <v>278</v>
      </c>
      <c r="D3266" s="94">
        <v>2111.0</v>
      </c>
    </row>
    <row r="3267">
      <c r="A3267" s="40">
        <f t="array" ref="A3267">IFNA(index(PlayerValues!A:A,match(IFNA(vlookup(B3267,'Special Names'!A:B,2,FALSE),B3267),PlayerValues!E:E,0)),"N/A")</f>
        <v>14974</v>
      </c>
      <c r="B3267" s="4" t="s">
        <v>611</v>
      </c>
      <c r="C3267" s="4" t="s">
        <v>287</v>
      </c>
      <c r="D3267" s="94">
        <v>2104.0</v>
      </c>
    </row>
    <row r="3268">
      <c r="A3268" s="40">
        <f t="array" ref="A3268">IFNA(index(PlayerValues!A:A,match(IFNA(vlookup(B3268,'Special Names'!A:B,2,FALSE),B3268),PlayerValues!E:E,0)),"N/A")</f>
        <v>13633</v>
      </c>
      <c r="B3268" s="4" t="s">
        <v>625</v>
      </c>
      <c r="C3268" s="4" t="s">
        <v>287</v>
      </c>
      <c r="D3268" s="94">
        <v>2098.0</v>
      </c>
    </row>
    <row r="3269">
      <c r="A3269" s="40">
        <f t="array" ref="A3269">IFNA(index(PlayerValues!A:A,match(IFNA(vlookup(B3269,'Special Names'!A:B,2,FALSE),B3269),PlayerValues!E:E,0)),"N/A")</f>
        <v>17036</v>
      </c>
      <c r="B3269" s="4" t="s">
        <v>617</v>
      </c>
      <c r="C3269" s="4" t="s">
        <v>283</v>
      </c>
      <c r="D3269" s="94">
        <v>2092.0</v>
      </c>
    </row>
    <row r="3270">
      <c r="A3270" s="40">
        <f t="array" ref="A3270">IFNA(index(PlayerValues!A:A,match(IFNA(vlookup(B3270,'Special Names'!A:B,2,FALSE),B3270),PlayerValues!E:E,0)),"N/A")</f>
        <v>13319</v>
      </c>
      <c r="B3270" s="4" t="s">
        <v>549</v>
      </c>
      <c r="C3270" s="4" t="s">
        <v>278</v>
      </c>
      <c r="D3270" s="94">
        <v>2087.0</v>
      </c>
    </row>
    <row r="3271">
      <c r="A3271" s="40">
        <f t="array" ref="A3271">IFNA(index(PlayerValues!A:A,match(IFNA(vlookup(B3271,'Special Names'!A:B,2,FALSE),B3271),PlayerValues!E:E,0)),"N/A")</f>
        <v>17464</v>
      </c>
      <c r="B3271" s="4" t="s">
        <v>828</v>
      </c>
      <c r="C3271" s="4" t="s">
        <v>283</v>
      </c>
      <c r="D3271" s="94">
        <v>2053.0</v>
      </c>
    </row>
    <row r="3272">
      <c r="A3272" s="40">
        <f t="array" ref="A3272">IFNA(index(PlayerValues!A:A,match(IFNA(vlookup(B3272,'Special Names'!A:B,2,FALSE),B3272),PlayerValues!E:E,0)),"N/A")</f>
        <v>14867</v>
      </c>
      <c r="B3272" s="4" t="s">
        <v>591</v>
      </c>
      <c r="C3272" s="4" t="s">
        <v>298</v>
      </c>
      <c r="D3272" s="94">
        <v>2441.0</v>
      </c>
    </row>
    <row r="3273">
      <c r="A3273" s="40">
        <f t="array" ref="A3273">IFNA(index(PlayerValues!A:A,match(IFNA(vlookup(B3273,'Special Names'!A:B,2,FALSE),B3273),PlayerValues!E:E,0)),"N/A")</f>
        <v>17465</v>
      </c>
      <c r="B3273" s="4" t="s">
        <v>649</v>
      </c>
      <c r="C3273" s="4" t="s">
        <v>283</v>
      </c>
      <c r="D3273" s="94">
        <v>2046.0</v>
      </c>
    </row>
    <row r="3274">
      <c r="A3274" s="40">
        <f t="array" ref="A3274">IFNA(index(PlayerValues!A:A,match(IFNA(vlookup(B3274,'Special Names'!A:B,2,FALSE),B3274),PlayerValues!E:E,0)),"N/A")</f>
        <v>17069</v>
      </c>
      <c r="B3274" s="4" t="s">
        <v>604</v>
      </c>
      <c r="C3274" s="4" t="s">
        <v>278</v>
      </c>
      <c r="D3274" s="94">
        <v>2021.0</v>
      </c>
    </row>
    <row r="3275">
      <c r="A3275" s="40">
        <f t="array" ref="A3275">IFNA(index(PlayerValues!A:A,match(IFNA(vlookup(B3275,'Special Names'!A:B,2,FALSE),B3275),PlayerValues!E:E,0)),"N/A")</f>
        <v>16171</v>
      </c>
      <c r="B3275" s="4" t="s">
        <v>618</v>
      </c>
      <c r="C3275" s="4" t="s">
        <v>278</v>
      </c>
      <c r="D3275" s="94">
        <v>1991.0</v>
      </c>
    </row>
    <row r="3276">
      <c r="A3276" s="40">
        <f t="array" ref="A3276">IFNA(index(PlayerValues!A:A,match(IFNA(vlookup(B3276,'Special Names'!A:B,2,FALSE),B3276),PlayerValues!E:E,0)),"N/A")</f>
        <v>16603</v>
      </c>
      <c r="B3276" s="4" t="s">
        <v>587</v>
      </c>
      <c r="C3276" s="4" t="s">
        <v>278</v>
      </c>
      <c r="D3276" s="94">
        <v>1974.0</v>
      </c>
    </row>
    <row r="3277">
      <c r="A3277" s="40" t="str">
        <f t="array" ref="A3277">IFNA(index(PlayerValues!A:A,match(IFNA(vlookup(B3277,'Special Names'!A:B,2,FALSE),B3277),PlayerValues!E:E,0)),"N/A")</f>
        <v>N/A</v>
      </c>
      <c r="B3277" s="4" t="s">
        <v>114</v>
      </c>
      <c r="C3277" s="4" t="s">
        <v>325</v>
      </c>
      <c r="D3277" s="94">
        <v>1964.0</v>
      </c>
    </row>
    <row r="3278">
      <c r="A3278" s="40">
        <f t="array" ref="A3278">IFNA(index(PlayerValues!A:A,match(IFNA(vlookup(B3278,'Special Names'!A:B,2,FALSE),B3278),PlayerValues!E:E,0)),"N/A")</f>
        <v>17506</v>
      </c>
      <c r="B3278" s="4" t="s">
        <v>471</v>
      </c>
      <c r="C3278" s="4" t="s">
        <v>287</v>
      </c>
      <c r="D3278" s="94">
        <v>1961.0</v>
      </c>
    </row>
    <row r="3279">
      <c r="A3279" s="40">
        <f t="array" ref="A3279">IFNA(index(PlayerValues!A:A,match(IFNA(vlookup(B3279,'Special Names'!A:B,2,FALSE),B3279),PlayerValues!E:E,0)),"N/A")</f>
        <v>17034</v>
      </c>
      <c r="B3279" s="4" t="s">
        <v>643</v>
      </c>
      <c r="C3279" s="4" t="s">
        <v>283</v>
      </c>
      <c r="D3279" s="94">
        <v>1934.0</v>
      </c>
    </row>
    <row r="3280">
      <c r="A3280" s="40">
        <f t="array" ref="A3280">IFNA(index(PlayerValues!A:A,match(IFNA(vlookup(B3280,'Special Names'!A:B,2,FALSE),B3280),PlayerValues!E:E,0)),"N/A")</f>
        <v>17055</v>
      </c>
      <c r="B3280" s="4" t="s">
        <v>565</v>
      </c>
      <c r="C3280" s="4" t="s">
        <v>278</v>
      </c>
      <c r="D3280" s="94">
        <v>1929.0</v>
      </c>
    </row>
    <row r="3281">
      <c r="A3281" s="40">
        <f t="array" ref="A3281">IFNA(index(PlayerValues!A:A,match(IFNA(vlookup(B3281,'Special Names'!A:B,2,FALSE),B3281),PlayerValues!E:E,0)),"N/A")</f>
        <v>16216</v>
      </c>
      <c r="B3281" s="4" t="s">
        <v>595</v>
      </c>
      <c r="C3281" s="4" t="s">
        <v>298</v>
      </c>
      <c r="D3281" s="94">
        <v>2310.0</v>
      </c>
    </row>
    <row r="3282">
      <c r="A3282" s="40">
        <f t="array" ref="A3282">IFNA(index(PlayerValues!A:A,match(IFNA(vlookup(B3282,'Special Names'!A:B,2,FALSE),B3282),PlayerValues!E:E,0)),"N/A")</f>
        <v>14105</v>
      </c>
      <c r="B3282" s="4" t="s">
        <v>675</v>
      </c>
      <c r="C3282" s="4" t="s">
        <v>287</v>
      </c>
      <c r="D3282" s="94">
        <v>1920.0</v>
      </c>
    </row>
    <row r="3283">
      <c r="A3283" s="40">
        <f t="array" ref="A3283">IFNA(index(PlayerValues!A:A,match(IFNA(vlookup(B3283,'Special Names'!A:B,2,FALSE),B3283),PlayerValues!E:E,0)),"N/A")</f>
        <v>16752</v>
      </c>
      <c r="B3283" s="4" t="s">
        <v>597</v>
      </c>
      <c r="C3283" s="4" t="s">
        <v>278</v>
      </c>
      <c r="D3283" s="94">
        <v>1919.0</v>
      </c>
    </row>
    <row r="3284">
      <c r="A3284" s="40">
        <f t="array" ref="A3284">IFNA(index(PlayerValues!A:A,match(IFNA(vlookup(B3284,'Special Names'!A:B,2,FALSE),B3284),PlayerValues!E:E,0)),"N/A")</f>
        <v>16778</v>
      </c>
      <c r="B3284" s="4" t="s">
        <v>577</v>
      </c>
      <c r="C3284" s="4" t="s">
        <v>287</v>
      </c>
      <c r="D3284" s="94">
        <v>1912.0</v>
      </c>
    </row>
    <row r="3285">
      <c r="A3285" s="40">
        <f t="array" ref="A3285">IFNA(index(PlayerValues!A:A,match(IFNA(vlookup(B3285,'Special Names'!A:B,2,FALSE),B3285),PlayerValues!E:E,0)),"N/A")</f>
        <v>16215</v>
      </c>
      <c r="B3285" s="4" t="s">
        <v>637</v>
      </c>
      <c r="C3285" s="4" t="s">
        <v>298</v>
      </c>
      <c r="D3285" s="94">
        <v>2280.0</v>
      </c>
    </row>
    <row r="3286">
      <c r="A3286" s="40">
        <f t="array" ref="A3286">IFNA(index(PlayerValues!A:A,match(IFNA(vlookup(B3286,'Special Names'!A:B,2,FALSE),B3286),PlayerValues!E:E,0)),"N/A")</f>
        <v>17511</v>
      </c>
      <c r="B3286" s="4" t="s">
        <v>485</v>
      </c>
      <c r="C3286" s="4" t="s">
        <v>287</v>
      </c>
      <c r="D3286" s="94">
        <v>1890.0</v>
      </c>
    </row>
    <row r="3287">
      <c r="A3287" s="40">
        <f t="array" ref="A3287">IFNA(index(PlayerValues!A:A,match(IFNA(vlookup(B3287,'Special Names'!A:B,2,FALSE),B3287),PlayerValues!E:E,0)),"N/A")</f>
        <v>17184</v>
      </c>
      <c r="B3287" s="4" t="s">
        <v>588</v>
      </c>
      <c r="C3287" s="4" t="s">
        <v>287</v>
      </c>
      <c r="D3287" s="94">
        <v>1886.0</v>
      </c>
    </row>
    <row r="3288">
      <c r="A3288" s="40">
        <f t="array" ref="A3288">IFNA(index(PlayerValues!A:A,match(IFNA(vlookup(B3288,'Special Names'!A:B,2,FALSE),B3288),PlayerValues!E:E,0)),"N/A")</f>
        <v>15787</v>
      </c>
      <c r="B3288" s="4" t="s">
        <v>610</v>
      </c>
      <c r="C3288" s="4" t="s">
        <v>287</v>
      </c>
      <c r="D3288" s="94">
        <v>1881.0</v>
      </c>
    </row>
    <row r="3289">
      <c r="A3289" s="40">
        <f t="array" ref="A3289">IFNA(index(PlayerValues!A:A,match(IFNA(vlookup(B3289,'Special Names'!A:B,2,FALSE),B3289),PlayerValues!E:E,0)),"N/A")</f>
        <v>16644</v>
      </c>
      <c r="B3289" s="4" t="s">
        <v>640</v>
      </c>
      <c r="C3289" s="4" t="s">
        <v>298</v>
      </c>
      <c r="D3289" s="94">
        <v>2258.0</v>
      </c>
    </row>
    <row r="3290">
      <c r="A3290" s="40">
        <f t="array" ref="A3290">IFNA(index(PlayerValues!A:A,match(IFNA(vlookup(B3290,'Special Names'!A:B,2,FALSE),B3290),PlayerValues!E:E,0)),"N/A")</f>
        <v>17086</v>
      </c>
      <c r="B3290" s="4" t="s">
        <v>612</v>
      </c>
      <c r="C3290" s="4" t="s">
        <v>287</v>
      </c>
      <c r="D3290" s="94">
        <v>1858.0</v>
      </c>
    </row>
    <row r="3291">
      <c r="A3291" s="40">
        <f t="array" ref="A3291">IFNA(index(PlayerValues!A:A,match(IFNA(vlookup(B3291,'Special Names'!A:B,2,FALSE),B3291),PlayerValues!E:E,0)),"N/A")</f>
        <v>15254</v>
      </c>
      <c r="B3291" s="4" t="s">
        <v>633</v>
      </c>
      <c r="C3291" s="4" t="s">
        <v>278</v>
      </c>
      <c r="D3291" s="94">
        <v>1851.0</v>
      </c>
    </row>
    <row r="3292">
      <c r="A3292" s="40">
        <f t="array" ref="A3292">IFNA(index(PlayerValues!A:A,match(IFNA(vlookup(B3292,'Special Names'!A:B,2,FALSE),B3292),PlayerValues!E:E,0)),"N/A")</f>
        <v>13629</v>
      </c>
      <c r="B3292" s="4" t="s">
        <v>619</v>
      </c>
      <c r="C3292" s="4" t="s">
        <v>287</v>
      </c>
      <c r="D3292" s="94">
        <v>1848.0</v>
      </c>
    </row>
    <row r="3293">
      <c r="A3293" s="40">
        <f t="array" ref="A3293">IFNA(index(PlayerValues!A:A,match(IFNA(vlookup(B3293,'Special Names'!A:B,2,FALSE),B3293),PlayerValues!E:E,0)),"N/A")</f>
        <v>17478</v>
      </c>
      <c r="B3293" s="4" t="s">
        <v>527</v>
      </c>
      <c r="C3293" s="4" t="s">
        <v>278</v>
      </c>
      <c r="D3293" s="94">
        <v>1848.0</v>
      </c>
    </row>
    <row r="3294">
      <c r="A3294" s="40">
        <f t="array" ref="A3294">IFNA(index(PlayerValues!A:A,match(IFNA(vlookup(B3294,'Special Names'!A:B,2,FALSE),B3294),PlayerValues!E:E,0)),"N/A")</f>
        <v>13164</v>
      </c>
      <c r="B3294" s="4" t="s">
        <v>632</v>
      </c>
      <c r="C3294" s="4" t="s">
        <v>287</v>
      </c>
      <c r="D3294" s="94">
        <v>1847.0</v>
      </c>
    </row>
    <row r="3295">
      <c r="A3295" s="40">
        <f t="array" ref="A3295">IFNA(index(PlayerValues!A:A,match(IFNA(vlookup(B3295,'Special Names'!A:B,2,FALSE),B3295),PlayerValues!E:E,0)),"N/A")</f>
        <v>16201</v>
      </c>
      <c r="B3295" s="4" t="s">
        <v>589</v>
      </c>
      <c r="C3295" s="4" t="s">
        <v>287</v>
      </c>
      <c r="D3295" s="94">
        <v>1846.0</v>
      </c>
    </row>
    <row r="3296">
      <c r="A3296" s="40">
        <f t="array" ref="A3296">IFNA(index(PlayerValues!A:A,match(IFNA(vlookup(B3296,'Special Names'!A:B,2,FALSE),B3296),PlayerValues!E:E,0)),"N/A")</f>
        <v>15755</v>
      </c>
      <c r="B3296" s="4" t="s">
        <v>628</v>
      </c>
      <c r="C3296" s="4" t="s">
        <v>287</v>
      </c>
      <c r="D3296" s="94">
        <v>1839.0</v>
      </c>
    </row>
    <row r="3297">
      <c r="A3297" s="40">
        <f t="array" ref="A3297">IFNA(index(PlayerValues!A:A,match(IFNA(vlookup(B3297,'Special Names'!A:B,2,FALSE),B3297),PlayerValues!E:E,0)),"N/A")</f>
        <v>16585</v>
      </c>
      <c r="B3297" s="4" t="s">
        <v>623</v>
      </c>
      <c r="C3297" s="4" t="s">
        <v>283</v>
      </c>
      <c r="D3297" s="94">
        <v>1838.0</v>
      </c>
    </row>
    <row r="3298">
      <c r="A3298" s="40" t="str">
        <f t="array" ref="A3298">IFNA(index(PlayerValues!A:A,match(IFNA(vlookup(B3298,'Special Names'!A:B,2,FALSE),B3298),PlayerValues!E:E,0)),"N/A")</f>
        <v>N/A</v>
      </c>
      <c r="B3298" s="4" t="s">
        <v>101</v>
      </c>
      <c r="C3298" s="4" t="s">
        <v>325</v>
      </c>
      <c r="D3298" s="94">
        <v>1837.0</v>
      </c>
    </row>
    <row r="3299">
      <c r="A3299" s="40">
        <f t="array" ref="A3299">IFNA(index(PlayerValues!A:A,match(IFNA(vlookup(B3299,'Special Names'!A:B,2,FALSE),B3299),PlayerValues!E:E,0)),"N/A")</f>
        <v>7836</v>
      </c>
      <c r="B3299" s="4" t="s">
        <v>590</v>
      </c>
      <c r="C3299" s="4" t="s">
        <v>283</v>
      </c>
      <c r="D3299" s="94">
        <v>1829.0</v>
      </c>
    </row>
    <row r="3300">
      <c r="A3300" s="40">
        <f t="array" ref="A3300">IFNA(index(PlayerValues!A:A,match(IFNA(vlookup(B3300,'Special Names'!A:B,2,FALSE),B3300),PlayerValues!E:E,0)),"N/A")</f>
        <v>13189</v>
      </c>
      <c r="B3300" s="4" t="s">
        <v>626</v>
      </c>
      <c r="C3300" s="4" t="s">
        <v>298</v>
      </c>
      <c r="D3300" s="94">
        <v>2211.0</v>
      </c>
    </row>
    <row r="3301">
      <c r="A3301" s="40" t="str">
        <f t="array" ref="A3301">IFNA(index(PlayerValues!A:A,match(IFNA(vlookup(B3301,'Special Names'!A:B,2,FALSE),B3301),PlayerValues!E:E,0)),"N/A")</f>
        <v>N/A</v>
      </c>
      <c r="B3301" s="4" t="s">
        <v>89</v>
      </c>
      <c r="C3301" s="4" t="s">
        <v>325</v>
      </c>
      <c r="D3301" s="94">
        <v>1828.0</v>
      </c>
    </row>
    <row r="3302">
      <c r="A3302" s="40">
        <f t="array" ref="A3302">IFNA(index(PlayerValues!A:A,match(IFNA(vlookup(B3302,'Special Names'!A:B,2,FALSE),B3302),PlayerValues!E:E,0)),"N/A")</f>
        <v>16586</v>
      </c>
      <c r="B3302" s="4" t="s">
        <v>658</v>
      </c>
      <c r="C3302" s="4" t="s">
        <v>283</v>
      </c>
      <c r="D3302" s="94">
        <v>1811.0</v>
      </c>
    </row>
    <row r="3303">
      <c r="A3303" s="40">
        <f t="array" ref="A3303">IFNA(index(PlayerValues!A:A,match(IFNA(vlookup(B3303,'Special Names'!A:B,2,FALSE),B3303),PlayerValues!E:E,0)),"N/A")</f>
        <v>16604</v>
      </c>
      <c r="B3303" s="4" t="s">
        <v>476</v>
      </c>
      <c r="C3303" s="4" t="s">
        <v>278</v>
      </c>
      <c r="D3303" s="94">
        <v>1811.0</v>
      </c>
    </row>
    <row r="3304">
      <c r="A3304" s="40">
        <f t="array" ref="A3304">IFNA(index(PlayerValues!A:A,match(IFNA(vlookup(B3304,'Special Names'!A:B,2,FALSE),B3304),PlayerValues!E:E,0)),"N/A")</f>
        <v>16635</v>
      </c>
      <c r="B3304" s="4" t="s">
        <v>645</v>
      </c>
      <c r="C3304" s="4" t="s">
        <v>287</v>
      </c>
      <c r="D3304" s="94">
        <v>1799.0</v>
      </c>
    </row>
    <row r="3305">
      <c r="A3305" s="40">
        <f t="array" ref="A3305">IFNA(index(PlayerValues!A:A,match(IFNA(vlookup(B3305,'Special Names'!A:B,2,FALSE),B3305),PlayerValues!E:E,0)),"N/A")</f>
        <v>17035</v>
      </c>
      <c r="B3305" s="4" t="s">
        <v>650</v>
      </c>
      <c r="C3305" s="4" t="s">
        <v>283</v>
      </c>
      <c r="D3305" s="94">
        <v>1794.0</v>
      </c>
    </row>
    <row r="3306">
      <c r="A3306" s="40" t="str">
        <f t="array" ref="A3306">IFNA(index(PlayerValues!A:A,match(IFNA(vlookup(B3306,'Special Names'!A:B,2,FALSE),B3306),PlayerValues!E:E,0)),"N/A")</f>
        <v>N/A</v>
      </c>
      <c r="B3306" s="4" t="s">
        <v>102</v>
      </c>
      <c r="C3306" s="4" t="s">
        <v>325</v>
      </c>
      <c r="D3306" s="94">
        <v>1789.0</v>
      </c>
    </row>
    <row r="3307">
      <c r="A3307" s="40">
        <f t="array" ref="A3307">IFNA(index(PlayerValues!A:A,match(IFNA(vlookup(B3307,'Special Names'!A:B,2,FALSE),B3307),PlayerValues!E:E,0)),"N/A")</f>
        <v>15759</v>
      </c>
      <c r="B3307" s="4" t="s">
        <v>662</v>
      </c>
      <c r="C3307" s="4" t="s">
        <v>287</v>
      </c>
      <c r="D3307" s="94">
        <v>1780.0</v>
      </c>
    </row>
    <row r="3308">
      <c r="A3308" s="40">
        <f t="array" ref="A3308">IFNA(index(PlayerValues!A:A,match(IFNA(vlookup(B3308,'Special Names'!A:B,2,FALSE),B3308),PlayerValues!E:E,0)),"N/A")</f>
        <v>10700</v>
      </c>
      <c r="B3308" s="4" t="s">
        <v>596</v>
      </c>
      <c r="C3308" s="4" t="s">
        <v>283</v>
      </c>
      <c r="D3308" s="94">
        <v>1752.0</v>
      </c>
    </row>
    <row r="3309">
      <c r="A3309" s="40">
        <f t="array" ref="A3309">IFNA(index(PlayerValues!A:A,match(IFNA(vlookup(B3309,'Special Names'!A:B,2,FALSE),B3309),PlayerValues!E:E,0)),"N/A")</f>
        <v>11222</v>
      </c>
      <c r="B3309" s="4" t="s">
        <v>622</v>
      </c>
      <c r="C3309" s="4" t="s">
        <v>287</v>
      </c>
      <c r="D3309" s="94">
        <v>1749.0</v>
      </c>
    </row>
    <row r="3310">
      <c r="A3310" s="40">
        <f t="array" ref="A3310">IFNA(index(PlayerValues!A:A,match(IFNA(vlookup(B3310,'Special Names'!A:B,2,FALSE),B3310),PlayerValues!E:E,0)),"N/A")</f>
        <v>17517</v>
      </c>
      <c r="B3310" s="4" t="s">
        <v>454</v>
      </c>
      <c r="C3310" s="4" t="s">
        <v>287</v>
      </c>
      <c r="D3310" s="94">
        <v>1748.0</v>
      </c>
    </row>
    <row r="3311">
      <c r="A3311" s="40">
        <f t="array" ref="A3311">IFNA(index(PlayerValues!A:A,match(IFNA(vlookup(B3311,'Special Names'!A:B,2,FALSE),B3311),PlayerValues!E:E,0)),"N/A")</f>
        <v>14143</v>
      </c>
      <c r="B3311" s="4" t="s">
        <v>635</v>
      </c>
      <c r="C3311" s="4" t="s">
        <v>298</v>
      </c>
      <c r="D3311" s="94">
        <v>2125.0</v>
      </c>
    </row>
    <row r="3312">
      <c r="A3312" s="40">
        <f t="array" ref="A3312">IFNA(index(PlayerValues!A:A,match(IFNA(vlookup(B3312,'Special Names'!A:B,2,FALSE),B3312),PlayerValues!E:E,0)),"N/A")</f>
        <v>16788</v>
      </c>
      <c r="B3312" s="4" t="s">
        <v>621</v>
      </c>
      <c r="C3312" s="4" t="s">
        <v>287</v>
      </c>
      <c r="D3312" s="94">
        <v>1742.0</v>
      </c>
    </row>
    <row r="3313">
      <c r="A3313" s="40">
        <f t="array" ref="A3313">IFNA(index(PlayerValues!A:A,match(IFNA(vlookup(B3313,'Special Names'!A:B,2,FALSE),B3313),PlayerValues!E:E,0)),"N/A")</f>
        <v>16629</v>
      </c>
      <c r="B3313" s="4" t="s">
        <v>605</v>
      </c>
      <c r="C3313" s="4" t="s">
        <v>287</v>
      </c>
      <c r="D3313" s="94">
        <v>1735.0</v>
      </c>
    </row>
    <row r="3314">
      <c r="A3314" s="40">
        <f t="array" ref="A3314">IFNA(index(PlayerValues!A:A,match(IFNA(vlookup(B3314,'Special Names'!A:B,2,FALSE),B3314),PlayerValues!E:E,0)),"N/A")</f>
        <v>17058</v>
      </c>
      <c r="B3314" s="4" t="s">
        <v>641</v>
      </c>
      <c r="C3314" s="4" t="s">
        <v>278</v>
      </c>
      <c r="D3314" s="94">
        <v>1734.0</v>
      </c>
    </row>
    <row r="3315">
      <c r="A3315" s="40">
        <f t="array" ref="A3315">IFNA(index(PlayerValues!A:A,match(IFNA(vlookup(B3315,'Special Names'!A:B,2,FALSE),B3315),PlayerValues!E:E,0)),"N/A")</f>
        <v>16688</v>
      </c>
      <c r="B3315" s="4" t="s">
        <v>688</v>
      </c>
      <c r="C3315" s="4" t="s">
        <v>278</v>
      </c>
      <c r="D3315" s="94">
        <v>1731.0</v>
      </c>
    </row>
    <row r="3316">
      <c r="A3316" s="40">
        <f t="array" ref="A3316">IFNA(index(PlayerValues!A:A,match(IFNA(vlookup(B3316,'Special Names'!A:B,2,FALSE),B3316),PlayerValues!E:E,0)),"N/A")</f>
        <v>16207</v>
      </c>
      <c r="B3316" s="4" t="s">
        <v>636</v>
      </c>
      <c r="C3316" s="4" t="s">
        <v>287</v>
      </c>
      <c r="D3316" s="94">
        <v>1728.0</v>
      </c>
    </row>
    <row r="3317">
      <c r="A3317" s="40">
        <f t="array" ref="A3317">IFNA(index(PlayerValues!A:A,match(IFNA(vlookup(B3317,'Special Names'!A:B,2,FALSE),B3317),PlayerValues!E:E,0)),"N/A")</f>
        <v>17503</v>
      </c>
      <c r="B3317" s="4" t="s">
        <v>480</v>
      </c>
      <c r="C3317" s="4" t="s">
        <v>287</v>
      </c>
      <c r="D3317" s="94">
        <v>1727.0</v>
      </c>
    </row>
    <row r="3318">
      <c r="A3318" s="40">
        <f t="array" ref="A3318">IFNA(index(PlayerValues!A:A,match(IFNA(vlookup(B3318,'Special Names'!A:B,2,FALSE),B3318),PlayerValues!E:E,0)),"N/A")</f>
        <v>15337</v>
      </c>
      <c r="B3318" s="4" t="s">
        <v>655</v>
      </c>
      <c r="C3318" s="4" t="s">
        <v>298</v>
      </c>
      <c r="D3318" s="94">
        <v>2094.0</v>
      </c>
    </row>
    <row r="3319">
      <c r="A3319" s="40">
        <f t="array" ref="A3319">IFNA(index(PlayerValues!A:A,match(IFNA(vlookup(B3319,'Special Names'!A:B,2,FALSE),B3319),PlayerValues!E:E,0)),"N/A")</f>
        <v>17064</v>
      </c>
      <c r="B3319" s="4" t="s">
        <v>631</v>
      </c>
      <c r="C3319" s="4" t="s">
        <v>278</v>
      </c>
      <c r="D3319" s="94">
        <v>1706.0</v>
      </c>
    </row>
    <row r="3320">
      <c r="A3320" s="40">
        <f t="array" ref="A3320">IFNA(index(PlayerValues!A:A,match(IFNA(vlookup(B3320,'Special Names'!A:B,2,FALSE),B3320),PlayerValues!E:E,0)),"N/A")</f>
        <v>15777</v>
      </c>
      <c r="B3320" s="4" t="s">
        <v>694</v>
      </c>
      <c r="C3320" s="4" t="s">
        <v>287</v>
      </c>
      <c r="D3320" s="94">
        <v>1684.0</v>
      </c>
    </row>
    <row r="3321">
      <c r="A3321" s="40">
        <f t="array" ref="A3321">IFNA(index(PlayerValues!A:A,match(IFNA(vlookup(B3321,'Special Names'!A:B,2,FALSE),B3321),PlayerValues!E:E,0)),"N/A")</f>
        <v>16601</v>
      </c>
      <c r="B3321" s="4" t="s">
        <v>648</v>
      </c>
      <c r="C3321" s="4" t="s">
        <v>278</v>
      </c>
      <c r="D3321" s="94">
        <v>1667.0</v>
      </c>
    </row>
    <row r="3322">
      <c r="A3322" s="40">
        <f t="array" ref="A3322">IFNA(index(PlayerValues!A:A,match(IFNA(vlookup(B3322,'Special Names'!A:B,2,FALSE),B3322),PlayerValues!E:E,0)),"N/A")</f>
        <v>15788</v>
      </c>
      <c r="B3322" s="4" t="s">
        <v>627</v>
      </c>
      <c r="C3322" s="4" t="s">
        <v>287</v>
      </c>
      <c r="D3322" s="94">
        <v>1666.0</v>
      </c>
    </row>
    <row r="3323">
      <c r="A3323" s="40" t="str">
        <f t="array" ref="A3323">IFNA(index(PlayerValues!A:A,match(IFNA(vlookup(B3323,'Special Names'!A:B,2,FALSE),B3323),PlayerValues!E:E,0)),"N/A")</f>
        <v>N/A</v>
      </c>
      <c r="B3323" s="4" t="s">
        <v>103</v>
      </c>
      <c r="C3323" s="4" t="s">
        <v>325</v>
      </c>
      <c r="D3323" s="94">
        <v>1663.0</v>
      </c>
    </row>
    <row r="3324">
      <c r="A3324" s="40" t="str">
        <f t="array" ref="A3324">IFNA(index(PlayerValues!A:A,match(IFNA(vlookup(B3324,'Special Names'!A:B,2,FALSE),B3324),PlayerValues!E:E,0)),"N/A")</f>
        <v>N/A</v>
      </c>
      <c r="B3324" s="4" t="s">
        <v>90</v>
      </c>
      <c r="C3324" s="4" t="s">
        <v>325</v>
      </c>
      <c r="D3324" s="94">
        <v>1649.0</v>
      </c>
    </row>
    <row r="3325">
      <c r="A3325" s="40" t="str">
        <f t="array" ref="A3325">IFNA(index(PlayerValues!A:A,match(IFNA(vlookup(B3325,'Special Names'!A:B,2,FALSE),B3325),PlayerValues!E:E,0)),"N/A")</f>
        <v>N/A</v>
      </c>
      <c r="B3325" s="4" t="s">
        <v>115</v>
      </c>
      <c r="C3325" s="4" t="s">
        <v>325</v>
      </c>
      <c r="D3325" s="94">
        <v>1641.0</v>
      </c>
    </row>
    <row r="3326">
      <c r="A3326" s="40">
        <f t="array" ref="A3326">IFNA(index(PlayerValues!A:A,match(IFNA(vlookup(B3326,'Special Names'!A:B,2,FALSE),B3326),PlayerValues!E:E,0)),"N/A")</f>
        <v>17205</v>
      </c>
      <c r="B3326" s="4" t="s">
        <v>665</v>
      </c>
      <c r="C3326" s="4" t="s">
        <v>287</v>
      </c>
      <c r="D3326" s="94">
        <v>1640.0</v>
      </c>
    </row>
    <row r="3327">
      <c r="A3327" s="40">
        <f t="array" ref="A3327">IFNA(index(PlayerValues!A:A,match(IFNA(vlookup(B3327,'Special Names'!A:B,2,FALSE),B3327),PlayerValues!E:E,0)),"N/A")</f>
        <v>17234</v>
      </c>
      <c r="B3327" s="4" t="s">
        <v>653</v>
      </c>
      <c r="C3327" s="4" t="s">
        <v>287</v>
      </c>
      <c r="D3327" s="94">
        <v>1640.0</v>
      </c>
    </row>
    <row r="3328">
      <c r="A3328" s="40">
        <f t="array" ref="A3328">IFNA(index(PlayerValues!A:A,match(IFNA(vlookup(B3328,'Special Names'!A:B,2,FALSE),B3328),PlayerValues!E:E,0)),"N/A")</f>
        <v>16595</v>
      </c>
      <c r="B3328" s="4" t="s">
        <v>664</v>
      </c>
      <c r="C3328" s="4" t="s">
        <v>278</v>
      </c>
      <c r="D3328" s="94">
        <v>1625.0</v>
      </c>
    </row>
    <row r="3329">
      <c r="A3329" s="40">
        <f t="array" ref="A3329">IFNA(index(PlayerValues!A:A,match(IFNA(vlookup(B3329,'Special Names'!A:B,2,FALSE),B3329),PlayerValues!E:E,0)),"N/A")</f>
        <v>17037</v>
      </c>
      <c r="B3329" s="4" t="s">
        <v>727</v>
      </c>
      <c r="C3329" s="4" t="s">
        <v>283</v>
      </c>
      <c r="D3329" s="94">
        <v>1622.0</v>
      </c>
    </row>
    <row r="3330">
      <c r="A3330" s="40">
        <f t="array" ref="A3330">IFNA(index(PlayerValues!A:A,match(IFNA(vlookup(B3330,'Special Names'!A:B,2,FALSE),B3330),PlayerValues!E:E,0)),"N/A")</f>
        <v>17096</v>
      </c>
      <c r="B3330" s="4" t="s">
        <v>638</v>
      </c>
      <c r="C3330" s="4" t="s">
        <v>287</v>
      </c>
      <c r="D3330" s="94">
        <v>1617.0</v>
      </c>
    </row>
    <row r="3331">
      <c r="A3331" s="40">
        <f t="array" ref="A3331">IFNA(index(PlayerValues!A:A,match(IFNA(vlookup(B3331,'Special Names'!A:B,2,FALSE),B3331),PlayerValues!E:E,0)),"N/A")</f>
        <v>15713</v>
      </c>
      <c r="B3331" s="4" t="s">
        <v>732</v>
      </c>
      <c r="C3331" s="4" t="s">
        <v>278</v>
      </c>
      <c r="D3331" s="94">
        <v>1615.0</v>
      </c>
    </row>
    <row r="3332">
      <c r="A3332" s="40">
        <f t="array" ref="A3332">IFNA(index(PlayerValues!A:A,match(IFNA(vlookup(B3332,'Special Names'!A:B,2,FALSE),B3332),PlayerValues!E:E,0)),"N/A")</f>
        <v>15301</v>
      </c>
      <c r="B3332" s="4" t="s">
        <v>657</v>
      </c>
      <c r="C3332" s="4" t="s">
        <v>287</v>
      </c>
      <c r="D3332" s="94">
        <v>1612.0</v>
      </c>
    </row>
    <row r="3333">
      <c r="A3333" s="40">
        <f t="array" ref="A3333">IFNA(index(PlayerValues!A:A,match(IFNA(vlookup(B3333,'Special Names'!A:B,2,FALSE),B3333),PlayerValues!E:E,0)),"N/A")</f>
        <v>16633</v>
      </c>
      <c r="B3333" s="4" t="s">
        <v>656</v>
      </c>
      <c r="C3333" s="4" t="s">
        <v>287</v>
      </c>
      <c r="D3333" s="94">
        <v>1606.0</v>
      </c>
    </row>
    <row r="3334">
      <c r="A3334" s="40">
        <f t="array" ref="A3334">IFNA(index(PlayerValues!A:A,match(IFNA(vlookup(B3334,'Special Names'!A:B,2,FALSE),B3334),PlayerValues!E:E,0)),"N/A")</f>
        <v>16631</v>
      </c>
      <c r="B3334" s="4" t="s">
        <v>800</v>
      </c>
      <c r="C3334" s="4" t="s">
        <v>287</v>
      </c>
      <c r="D3334" s="94">
        <v>1603.0</v>
      </c>
    </row>
    <row r="3335">
      <c r="A3335" s="40">
        <f t="array" ref="A3335">IFNA(index(PlayerValues!A:A,match(IFNA(vlookup(B3335,'Special Names'!A:B,2,FALSE),B3335),PlayerValues!E:E,0)),"N/A")</f>
        <v>15252</v>
      </c>
      <c r="B3335" s="4" t="s">
        <v>715</v>
      </c>
      <c r="C3335" s="4" t="s">
        <v>283</v>
      </c>
      <c r="D3335" s="94">
        <v>1599.0</v>
      </c>
    </row>
    <row r="3336">
      <c r="A3336" s="40">
        <f t="array" ref="A3336">IFNA(index(PlayerValues!A:A,match(IFNA(vlookup(B3336,'Special Names'!A:B,2,FALSE),B3336),PlayerValues!E:E,0)),"N/A")</f>
        <v>14122</v>
      </c>
      <c r="B3336" s="4" t="s">
        <v>663</v>
      </c>
      <c r="C3336" s="4" t="s">
        <v>287</v>
      </c>
      <c r="D3336" s="94">
        <v>1590.0</v>
      </c>
    </row>
    <row r="3337">
      <c r="A3337" s="40">
        <f t="array" ref="A3337">IFNA(index(PlayerValues!A:A,match(IFNA(vlookup(B3337,'Special Names'!A:B,2,FALSE),B3337),PlayerValues!E:E,0)),"N/A")</f>
        <v>15319</v>
      </c>
      <c r="B3337" s="4" t="s">
        <v>644</v>
      </c>
      <c r="C3337" s="4" t="s">
        <v>287</v>
      </c>
      <c r="D3337" s="94">
        <v>1583.0</v>
      </c>
    </row>
    <row r="3338">
      <c r="A3338" s="40">
        <f t="array" ref="A3338">IFNA(index(PlayerValues!A:A,match(IFNA(vlookup(B3338,'Special Names'!A:B,2,FALSE),B3338),PlayerValues!E:E,0)),"N/A")</f>
        <v>15797</v>
      </c>
      <c r="B3338" s="4" t="s">
        <v>556</v>
      </c>
      <c r="C3338" s="4" t="s">
        <v>298</v>
      </c>
      <c r="D3338" s="94">
        <v>1957.0</v>
      </c>
    </row>
    <row r="3339">
      <c r="A3339" s="40">
        <f t="array" ref="A3339">IFNA(index(PlayerValues!A:A,match(IFNA(vlookup(B3339,'Special Names'!A:B,2,FALSE),B3339),PlayerValues!E:E,0)),"N/A")</f>
        <v>15873</v>
      </c>
      <c r="B3339" s="4" t="s">
        <v>681</v>
      </c>
      <c r="C3339" s="4" t="s">
        <v>298</v>
      </c>
      <c r="D3339" s="94">
        <v>1955.0</v>
      </c>
    </row>
    <row r="3340">
      <c r="A3340" s="40">
        <f t="array" ref="A3340">IFNA(index(PlayerValues!A:A,match(IFNA(vlookup(B3340,'Special Names'!A:B,2,FALSE),B3340),PlayerValues!E:E,0)),"N/A")</f>
        <v>15752</v>
      </c>
      <c r="B3340" s="4" t="s">
        <v>647</v>
      </c>
      <c r="C3340" s="4" t="s">
        <v>287</v>
      </c>
      <c r="D3340" s="94">
        <v>1572.0</v>
      </c>
    </row>
    <row r="3341">
      <c r="A3341" s="40">
        <f t="array" ref="A3341">IFNA(index(PlayerValues!A:A,match(IFNA(vlookup(B3341,'Special Names'!A:B,2,FALSE),B3341),PlayerValues!E:E,0)),"N/A")</f>
        <v>12140</v>
      </c>
      <c r="B3341" s="4" t="s">
        <v>702</v>
      </c>
      <c r="C3341" s="4" t="s">
        <v>283</v>
      </c>
      <c r="D3341" s="94">
        <v>1556.0</v>
      </c>
    </row>
    <row r="3342">
      <c r="A3342" s="40">
        <f t="array" ref="A3342">IFNA(index(PlayerValues!A:A,match(IFNA(vlookup(B3342,'Special Names'!A:B,2,FALSE),B3342),PlayerValues!E:E,0)),"N/A")</f>
        <v>13418</v>
      </c>
      <c r="B3342" s="4" t="s">
        <v>706</v>
      </c>
      <c r="C3342" s="4" t="s">
        <v>287</v>
      </c>
      <c r="D3342" s="94">
        <v>1540.0</v>
      </c>
    </row>
    <row r="3343">
      <c r="A3343" s="40">
        <f t="array" ref="A3343">IFNA(index(PlayerValues!A:A,match(IFNA(vlookup(B3343,'Special Names'!A:B,2,FALSE),B3343),PlayerValues!E:E,0)),"N/A")</f>
        <v>12141</v>
      </c>
      <c r="B3343" s="4" t="s">
        <v>744</v>
      </c>
      <c r="C3343" s="4" t="s">
        <v>283</v>
      </c>
      <c r="D3343" s="94">
        <v>1529.0</v>
      </c>
    </row>
    <row r="3344">
      <c r="A3344" s="40" t="str">
        <f t="array" ref="A3344">IFNA(index(PlayerValues!A:A,match(IFNA(vlookup(B3344,'Special Names'!A:B,2,FALSE),B3344),PlayerValues!E:E,0)),"N/A")</f>
        <v>N/A</v>
      </c>
      <c r="B3344" s="4" t="s">
        <v>91</v>
      </c>
      <c r="C3344" s="4" t="s">
        <v>325</v>
      </c>
      <c r="D3344" s="94">
        <v>1527.0</v>
      </c>
    </row>
    <row r="3345">
      <c r="A3345" s="40" t="str">
        <f t="array" ref="A3345">IFNA(index(PlayerValues!A:A,match(IFNA(vlookup(B3345,'Special Names'!A:B,2,FALSE),B3345),PlayerValues!E:E,0)),"N/A")</f>
        <v>N/A</v>
      </c>
      <c r="B3345" s="4" t="s">
        <v>116</v>
      </c>
      <c r="C3345" s="4" t="s">
        <v>325</v>
      </c>
      <c r="D3345" s="94">
        <v>1527.0</v>
      </c>
    </row>
    <row r="3346">
      <c r="A3346" s="40">
        <f t="array" ref="A3346">IFNA(index(PlayerValues!A:A,match(IFNA(vlookup(B3346,'Special Names'!A:B,2,FALSE),B3346),PlayerValues!E:E,0)),"N/A")</f>
        <v>16384</v>
      </c>
      <c r="B3346" s="4" t="s">
        <v>696</v>
      </c>
      <c r="C3346" s="4" t="s">
        <v>283</v>
      </c>
      <c r="D3346" s="94">
        <v>1524.0</v>
      </c>
    </row>
    <row r="3347">
      <c r="A3347" s="40">
        <f t="array" ref="A3347">IFNA(index(PlayerValues!A:A,match(IFNA(vlookup(B3347,'Special Names'!A:B,2,FALSE),B3347),PlayerValues!E:E,0)),"N/A")</f>
        <v>14137</v>
      </c>
      <c r="B3347" s="4" t="s">
        <v>676</v>
      </c>
      <c r="C3347" s="4" t="s">
        <v>298</v>
      </c>
      <c r="D3347" s="94">
        <v>1887.0</v>
      </c>
    </row>
    <row r="3348">
      <c r="A3348" s="40">
        <f t="array" ref="A3348">IFNA(index(PlayerValues!A:A,match(IFNA(vlookup(B3348,'Special Names'!A:B,2,FALSE),B3348),PlayerValues!E:E,0)),"N/A")</f>
        <v>17077</v>
      </c>
      <c r="B3348" s="4" t="s">
        <v>714</v>
      </c>
      <c r="C3348" s="4" t="s">
        <v>287</v>
      </c>
      <c r="D3348" s="94">
        <v>1510.0</v>
      </c>
    </row>
    <row r="3349">
      <c r="A3349" s="40">
        <f t="array" ref="A3349">IFNA(index(PlayerValues!A:A,match(IFNA(vlookup(B3349,'Special Names'!A:B,2,FALSE),B3349),PlayerValues!E:E,0)),"N/A")</f>
        <v>17254</v>
      </c>
      <c r="B3349" s="4" t="s">
        <v>679</v>
      </c>
      <c r="C3349" s="4" t="s">
        <v>287</v>
      </c>
      <c r="D3349" s="94">
        <v>1506.0</v>
      </c>
    </row>
    <row r="3350">
      <c r="A3350" s="40">
        <f t="array" ref="A3350">IFNA(index(PlayerValues!A:A,match(IFNA(vlookup(B3350,'Special Names'!A:B,2,FALSE),B3350),PlayerValues!E:E,0)),"N/A")</f>
        <v>16390</v>
      </c>
      <c r="B3350" s="4" t="s">
        <v>689</v>
      </c>
      <c r="C3350" s="4" t="s">
        <v>278</v>
      </c>
      <c r="D3350" s="94">
        <v>1497.0</v>
      </c>
    </row>
    <row r="3351">
      <c r="A3351" s="40">
        <f t="array" ref="A3351">IFNA(index(PlayerValues!A:A,match(IFNA(vlookup(B3351,'Special Names'!A:B,2,FALSE),B3351),PlayerValues!E:E,0)),"N/A")</f>
        <v>17269</v>
      </c>
      <c r="B3351" s="4" t="s">
        <v>718</v>
      </c>
      <c r="C3351" s="4" t="s">
        <v>287</v>
      </c>
      <c r="D3351" s="94">
        <v>1497.0</v>
      </c>
    </row>
    <row r="3352">
      <c r="A3352" s="40">
        <f t="array" ref="A3352">IFNA(index(PlayerValues!A:A,match(IFNA(vlookup(B3352,'Special Names'!A:B,2,FALSE),B3352),PlayerValues!E:E,0)),"N/A")</f>
        <v>16175</v>
      </c>
      <c r="B3352" s="4" t="s">
        <v>654</v>
      </c>
      <c r="C3352" s="4" t="s">
        <v>278</v>
      </c>
      <c r="D3352" s="94">
        <v>1489.0</v>
      </c>
    </row>
    <row r="3353">
      <c r="A3353" s="40">
        <f t="array" ref="A3353">IFNA(index(PlayerValues!A:A,match(IFNA(vlookup(B3353,'Special Names'!A:B,2,FALSE),B3353),PlayerValues!E:E,0)),"N/A")</f>
        <v>15332</v>
      </c>
      <c r="B3353" s="4" t="s">
        <v>698</v>
      </c>
      <c r="C3353" s="4" t="s">
        <v>298</v>
      </c>
      <c r="D3353" s="94">
        <v>1863.0</v>
      </c>
    </row>
    <row r="3354">
      <c r="A3354" s="40">
        <f t="array" ref="A3354">IFNA(index(PlayerValues!A:A,match(IFNA(vlookup(B3354,'Special Names'!A:B,2,FALSE),B3354),PlayerValues!E:E,0)),"N/A")</f>
        <v>16642</v>
      </c>
      <c r="B3354" s="4" t="s">
        <v>691</v>
      </c>
      <c r="C3354" s="4" t="s">
        <v>298</v>
      </c>
      <c r="D3354" s="94">
        <v>1850.0</v>
      </c>
    </row>
    <row r="3355">
      <c r="A3355" s="40">
        <f t="array" ref="A3355">IFNA(index(PlayerValues!A:A,match(IFNA(vlookup(B3355,'Special Names'!A:B,2,FALSE),B3355),PlayerValues!E:E,0)),"N/A")</f>
        <v>14080</v>
      </c>
      <c r="B3355" s="4" t="s">
        <v>716</v>
      </c>
      <c r="C3355" s="4" t="s">
        <v>278</v>
      </c>
      <c r="D3355" s="94">
        <v>1460.0</v>
      </c>
    </row>
    <row r="3356">
      <c r="A3356" s="40">
        <f t="array" ref="A3356">IFNA(index(PlayerValues!A:A,match(IFNA(vlookup(B3356,'Special Names'!A:B,2,FALSE),B3356),PlayerValues!E:E,0)),"N/A")</f>
        <v>16621</v>
      </c>
      <c r="B3356" s="4" t="s">
        <v>672</v>
      </c>
      <c r="C3356" s="4" t="s">
        <v>287</v>
      </c>
      <c r="D3356" s="94">
        <v>1450.0</v>
      </c>
    </row>
    <row r="3357">
      <c r="A3357" s="40">
        <f t="array" ref="A3357">IFNA(index(PlayerValues!A:A,match(IFNA(vlookup(B3357,'Special Names'!A:B,2,FALSE),B3357),PlayerValues!E:E,0)),"N/A")</f>
        <v>16149</v>
      </c>
      <c r="B3357" s="4" t="s">
        <v>740</v>
      </c>
      <c r="C3357" s="4" t="s">
        <v>283</v>
      </c>
      <c r="D3357" s="94">
        <v>1446.0</v>
      </c>
    </row>
    <row r="3358">
      <c r="A3358" s="40">
        <f t="array" ref="A3358">IFNA(index(PlayerValues!A:A,match(IFNA(vlookup(B3358,'Special Names'!A:B,2,FALSE),B3358),PlayerValues!E:E,0)),"N/A")</f>
        <v>17062</v>
      </c>
      <c r="B3358" s="4" t="s">
        <v>701</v>
      </c>
      <c r="C3358" s="4" t="s">
        <v>278</v>
      </c>
      <c r="D3358" s="94">
        <v>1446.0</v>
      </c>
    </row>
    <row r="3359">
      <c r="A3359" s="40">
        <f t="array" ref="A3359">IFNA(index(PlayerValues!A:A,match(IFNA(vlookup(B3359,'Special Names'!A:B,2,FALSE),B3359),PlayerValues!E:E,0)),"N/A")</f>
        <v>15727</v>
      </c>
      <c r="B3359" s="4" t="s">
        <v>730</v>
      </c>
      <c r="C3359" s="4" t="s">
        <v>278</v>
      </c>
      <c r="D3359" s="94">
        <v>1445.0</v>
      </c>
    </row>
    <row r="3360">
      <c r="A3360" s="40">
        <f t="array" ref="A3360">IFNA(index(PlayerValues!A:A,match(IFNA(vlookup(B3360,'Special Names'!A:B,2,FALSE),B3360),PlayerValues!E:E,0)),"N/A")</f>
        <v>15292</v>
      </c>
      <c r="B3360" s="4" t="s">
        <v>682</v>
      </c>
      <c r="C3360" s="4" t="s">
        <v>287</v>
      </c>
      <c r="D3360" s="94">
        <v>1439.0</v>
      </c>
    </row>
    <row r="3361">
      <c r="A3361" s="40">
        <f t="array" ref="A3361">IFNA(index(PlayerValues!A:A,match(IFNA(vlookup(B3361,'Special Names'!A:B,2,FALSE),B3361),PlayerValues!E:E,0)),"N/A")</f>
        <v>15738</v>
      </c>
      <c r="B3361" s="4" t="s">
        <v>634</v>
      </c>
      <c r="C3361" s="4" t="s">
        <v>278</v>
      </c>
      <c r="D3361" s="94">
        <v>1424.0</v>
      </c>
    </row>
    <row r="3362">
      <c r="A3362" s="40">
        <f t="array" ref="A3362">IFNA(index(PlayerValues!A:A,match(IFNA(vlookup(B3362,'Special Names'!A:B,2,FALSE),B3362),PlayerValues!E:E,0)),"N/A")</f>
        <v>13193</v>
      </c>
      <c r="B3362" s="4" t="s">
        <v>773</v>
      </c>
      <c r="C3362" s="4" t="s">
        <v>298</v>
      </c>
      <c r="D3362" s="94">
        <v>1796.0</v>
      </c>
    </row>
    <row r="3363">
      <c r="A3363" s="40">
        <f t="array" ref="A3363">IFNA(index(PlayerValues!A:A,match(IFNA(vlookup(B3363,'Special Names'!A:B,2,FALSE),B3363),PlayerValues!E:E,0)),"N/A")</f>
        <v>14592</v>
      </c>
      <c r="B3363" s="4" t="s">
        <v>705</v>
      </c>
      <c r="C3363" s="4" t="s">
        <v>287</v>
      </c>
      <c r="D3363" s="94">
        <v>1422.0</v>
      </c>
    </row>
    <row r="3364">
      <c r="A3364" s="40">
        <f t="array" ref="A3364">IFNA(index(PlayerValues!A:A,match(IFNA(vlookup(B3364,'Special Names'!A:B,2,FALSE),B3364),PlayerValues!E:E,0)),"N/A")</f>
        <v>17508</v>
      </c>
      <c r="B3364" s="4" t="s">
        <v>534</v>
      </c>
      <c r="C3364" s="4" t="s">
        <v>287</v>
      </c>
      <c r="D3364" s="94">
        <v>1416.0</v>
      </c>
    </row>
    <row r="3365">
      <c r="A3365" s="40">
        <f t="array" ref="A3365">IFNA(index(PlayerValues!A:A,match(IFNA(vlookup(B3365,'Special Names'!A:B,2,FALSE),B3365),PlayerValues!E:E,0)),"N/A")</f>
        <v>15258</v>
      </c>
      <c r="B3365" s="4" t="s">
        <v>757</v>
      </c>
      <c r="C3365" s="4" t="s">
        <v>278</v>
      </c>
      <c r="D3365" s="94">
        <v>1409.0</v>
      </c>
    </row>
    <row r="3366">
      <c r="A3366" s="40">
        <f t="array" ref="A3366">IFNA(index(PlayerValues!A:A,match(IFNA(vlookup(B3366,'Special Names'!A:B,2,FALSE),B3366),PlayerValues!E:E,0)),"N/A")</f>
        <v>13672</v>
      </c>
      <c r="B3366" s="4" t="s">
        <v>667</v>
      </c>
      <c r="C3366" s="4" t="s">
        <v>298</v>
      </c>
      <c r="D3366" s="94">
        <v>1777.0</v>
      </c>
    </row>
    <row r="3367">
      <c r="A3367" s="40">
        <f t="array" ref="A3367">IFNA(index(PlayerValues!A:A,match(IFNA(vlookup(B3367,'Special Names'!A:B,2,FALSE),B3367),PlayerValues!E:E,0)),"N/A")</f>
        <v>17547</v>
      </c>
      <c r="B3367" s="4" t="s">
        <v>552</v>
      </c>
      <c r="C3367" s="4" t="s">
        <v>298</v>
      </c>
      <c r="D3367" s="94">
        <v>1762.0</v>
      </c>
    </row>
    <row r="3368">
      <c r="A3368" s="40">
        <f t="array" ref="A3368">IFNA(index(PlayerValues!A:A,match(IFNA(vlookup(B3368,'Special Names'!A:B,2,FALSE),B3368),PlayerValues!E:E,0)),"N/A")</f>
        <v>12678</v>
      </c>
      <c r="B3368" s="4" t="s">
        <v>703</v>
      </c>
      <c r="C3368" s="4" t="s">
        <v>298</v>
      </c>
      <c r="D3368" s="94">
        <v>1722.0</v>
      </c>
    </row>
    <row r="3369">
      <c r="A3369" s="40">
        <f t="array" ref="A3369">IFNA(index(PlayerValues!A:A,match(IFNA(vlookup(B3369,'Special Names'!A:B,2,FALSE),B3369),PlayerValues!E:E,0)),"N/A")</f>
        <v>16792</v>
      </c>
      <c r="B3369" s="4" t="s">
        <v>704</v>
      </c>
      <c r="C3369" s="4" t="s">
        <v>287</v>
      </c>
      <c r="D3369" s="94">
        <v>1341.0</v>
      </c>
    </row>
    <row r="3370">
      <c r="A3370" s="40" t="str">
        <f t="array" ref="A3370">IFNA(index(PlayerValues!A:A,match(IFNA(vlookup(B3370,'Special Names'!A:B,2,FALSE),B3370),PlayerValues!E:E,0)),"N/A")</f>
        <v>N/A</v>
      </c>
      <c r="B3370" s="4" t="s">
        <v>117</v>
      </c>
      <c r="C3370" s="4" t="s">
        <v>325</v>
      </c>
      <c r="D3370" s="94">
        <v>1338.0</v>
      </c>
    </row>
    <row r="3371">
      <c r="A3371" s="40">
        <f t="array" ref="A3371">IFNA(index(PlayerValues!A:A,match(IFNA(vlookup(B3371,'Special Names'!A:B,2,FALSE),B3371),PlayerValues!E:E,0)),"N/A")</f>
        <v>17097</v>
      </c>
      <c r="B3371" s="4" t="s">
        <v>659</v>
      </c>
      <c r="C3371" s="4" t="s">
        <v>287</v>
      </c>
      <c r="D3371" s="94">
        <v>1334.0</v>
      </c>
    </row>
    <row r="3372">
      <c r="A3372" s="40">
        <f t="array" ref="A3372">IFNA(index(PlayerValues!A:A,match(IFNA(vlookup(B3372,'Special Names'!A:B,2,FALSE),B3372),PlayerValues!E:E,0)),"N/A")</f>
        <v>15702</v>
      </c>
      <c r="B3372" s="4" t="s">
        <v>723</v>
      </c>
      <c r="C3372" s="4" t="s">
        <v>283</v>
      </c>
      <c r="D3372" s="94">
        <v>1326.0</v>
      </c>
    </row>
    <row r="3373">
      <c r="A3373" s="40">
        <f t="array" ref="A3373">IFNA(index(PlayerValues!A:A,match(IFNA(vlookup(B3373,'Special Names'!A:B,2,FALSE),B3373),PlayerValues!E:E,0)),"N/A")</f>
        <v>14086</v>
      </c>
      <c r="B3373" s="4" t="s">
        <v>639</v>
      </c>
      <c r="C3373" s="4" t="s">
        <v>278</v>
      </c>
      <c r="D3373" s="94">
        <v>1321.0</v>
      </c>
    </row>
    <row r="3374">
      <c r="A3374" s="40">
        <f t="array" ref="A3374">IFNA(index(PlayerValues!A:A,match(IFNA(vlookup(B3374,'Special Names'!A:B,2,FALSE),B3374),PlayerValues!E:E,0)),"N/A")</f>
        <v>13131</v>
      </c>
      <c r="B3374" s="4" t="s">
        <v>815</v>
      </c>
      <c r="C3374" s="4" t="s">
        <v>278</v>
      </c>
      <c r="D3374" s="94">
        <v>1320.0</v>
      </c>
    </row>
    <row r="3375">
      <c r="A3375" s="40">
        <f t="array" ref="A3375">IFNA(index(PlayerValues!A:A,match(IFNA(vlookup(B3375,'Special Names'!A:B,2,FALSE),B3375),PlayerValues!E:E,0)),"N/A")</f>
        <v>17512</v>
      </c>
      <c r="B3375" s="4" t="s">
        <v>483</v>
      </c>
      <c r="C3375" s="4" t="s">
        <v>287</v>
      </c>
      <c r="D3375" s="94">
        <v>1319.0</v>
      </c>
    </row>
    <row r="3376">
      <c r="A3376" s="40">
        <f t="array" ref="A3376">IFNA(index(PlayerValues!A:A,match(IFNA(vlookup(B3376,'Special Names'!A:B,2,FALSE),B3376),PlayerValues!E:E,0)),"N/A")</f>
        <v>16183</v>
      </c>
      <c r="B3376" s="4" t="s">
        <v>678</v>
      </c>
      <c r="C3376" s="4" t="s">
        <v>287</v>
      </c>
      <c r="D3376" s="94">
        <v>1315.0</v>
      </c>
    </row>
    <row r="3377">
      <c r="A3377" s="40">
        <f t="array" ref="A3377">IFNA(index(PlayerValues!A:A,match(IFNA(vlookup(B3377,'Special Names'!A:B,2,FALSE),B3377),PlayerValues!E:E,0)),"N/A")</f>
        <v>16608</v>
      </c>
      <c r="B3377" s="4" t="s">
        <v>629</v>
      </c>
      <c r="C3377" s="4" t="s">
        <v>278</v>
      </c>
      <c r="D3377" s="94">
        <v>1311.0</v>
      </c>
    </row>
    <row r="3378">
      <c r="A3378" s="40">
        <f t="array" ref="A3378">IFNA(index(PlayerValues!A:A,match(IFNA(vlookup(B3378,'Special Names'!A:B,2,FALSE),B3378),PlayerValues!E:E,0)),"N/A")</f>
        <v>15240</v>
      </c>
      <c r="B3378" s="4" t="s">
        <v>751</v>
      </c>
      <c r="C3378" s="4" t="s">
        <v>283</v>
      </c>
      <c r="D3378" s="94">
        <v>1293.0</v>
      </c>
    </row>
    <row r="3379">
      <c r="A3379" s="40">
        <f t="array" ref="A3379">IFNA(index(PlayerValues!A:A,match(IFNA(vlookup(B3379,'Special Names'!A:B,2,FALSE),B3379),PlayerValues!E:E,0)),"N/A")</f>
        <v>17063</v>
      </c>
      <c r="B3379" s="4" t="s">
        <v>686</v>
      </c>
      <c r="C3379" s="4" t="s">
        <v>278</v>
      </c>
      <c r="D3379" s="94">
        <v>1289.0</v>
      </c>
    </row>
    <row r="3380">
      <c r="A3380" s="40">
        <f t="array" ref="A3380">IFNA(index(PlayerValues!A:A,match(IFNA(vlookup(B3380,'Special Names'!A:B,2,FALSE),B3380),PlayerValues!E:E,0)),"N/A")</f>
        <v>14067</v>
      </c>
      <c r="B3380" s="4" t="s">
        <v>735</v>
      </c>
      <c r="C3380" s="4" t="s">
        <v>283</v>
      </c>
      <c r="D3380" s="94">
        <v>1271.0</v>
      </c>
    </row>
    <row r="3381">
      <c r="A3381" s="40">
        <f t="array" ref="A3381">IFNA(index(PlayerValues!A:A,match(IFNA(vlookup(B3381,'Special Names'!A:B,2,FALSE),B3381),PlayerValues!E:E,0)),"N/A")</f>
        <v>14789</v>
      </c>
      <c r="B3381" s="4" t="s">
        <v>721</v>
      </c>
      <c r="C3381" s="4" t="s">
        <v>283</v>
      </c>
      <c r="D3381" s="94">
        <v>1266.0</v>
      </c>
    </row>
    <row r="3382">
      <c r="A3382" s="40">
        <f t="array" ref="A3382">IFNA(index(PlayerValues!A:A,match(IFNA(vlookup(B3382,'Special Names'!A:B,2,FALSE),B3382),PlayerValues!E:E,0)),"N/A")</f>
        <v>14095</v>
      </c>
      <c r="B3382" s="4" t="s">
        <v>680</v>
      </c>
      <c r="C3382" s="4" t="s">
        <v>278</v>
      </c>
      <c r="D3382" s="94">
        <v>1258.0</v>
      </c>
    </row>
    <row r="3383">
      <c r="A3383" s="40">
        <f t="array" ref="A3383">IFNA(index(PlayerValues!A:A,match(IFNA(vlookup(B3383,'Special Names'!A:B,2,FALSE),B3383),PlayerValues!E:E,0)),"N/A")</f>
        <v>16221</v>
      </c>
      <c r="B3383" s="4" t="s">
        <v>725</v>
      </c>
      <c r="C3383" s="4" t="s">
        <v>298</v>
      </c>
      <c r="D3383" s="94">
        <v>1623.0</v>
      </c>
    </row>
    <row r="3384">
      <c r="A3384" s="40">
        <f t="array" ref="A3384">IFNA(index(PlayerValues!A:A,match(IFNA(vlookup(B3384,'Special Names'!A:B,2,FALSE),B3384),PlayerValues!E:E,0)),"N/A")</f>
        <v>16746</v>
      </c>
      <c r="B3384" s="4" t="s">
        <v>709</v>
      </c>
      <c r="C3384" s="4" t="s">
        <v>278</v>
      </c>
      <c r="D3384" s="94">
        <v>1253.0</v>
      </c>
    </row>
    <row r="3385">
      <c r="A3385" s="40">
        <f t="array" ref="A3385">IFNA(index(PlayerValues!A:A,match(IFNA(vlookup(B3385,'Special Names'!A:B,2,FALSE),B3385),PlayerValues!E:E,0)),"N/A")</f>
        <v>17528</v>
      </c>
      <c r="B3385" s="4" t="s">
        <v>579</v>
      </c>
      <c r="C3385" s="4" t="s">
        <v>287</v>
      </c>
      <c r="D3385" s="94">
        <v>1249.0</v>
      </c>
    </row>
    <row r="3386">
      <c r="A3386" s="40">
        <f t="array" ref="A3386">IFNA(index(PlayerValues!A:A,match(IFNA(vlookup(B3386,'Special Names'!A:B,2,FALSE),B3386),PlayerValues!E:E,0)),"N/A")</f>
        <v>15981</v>
      </c>
      <c r="B3386" s="4" t="s">
        <v>729</v>
      </c>
      <c r="C3386" s="4" t="s">
        <v>287</v>
      </c>
      <c r="D3386" s="94">
        <v>1247.0</v>
      </c>
    </row>
    <row r="3387">
      <c r="A3387" s="40">
        <f t="array" ref="A3387">IFNA(index(PlayerValues!A:A,match(IFNA(vlookup(B3387,'Special Names'!A:B,2,FALSE),B3387),PlayerValues!E:E,0)),"N/A")</f>
        <v>16636</v>
      </c>
      <c r="B3387" s="4" t="s">
        <v>699</v>
      </c>
      <c r="C3387" s="4" t="s">
        <v>287</v>
      </c>
      <c r="D3387" s="94">
        <v>1244.0</v>
      </c>
    </row>
    <row r="3388">
      <c r="A3388" s="40">
        <f t="array" ref="A3388">IFNA(index(PlayerValues!A:A,match(IFNA(vlookup(B3388,'Special Names'!A:B,2,FALSE),B3388),PlayerValues!E:E,0)),"N/A")</f>
        <v>17546</v>
      </c>
      <c r="B3388" s="4" t="s">
        <v>671</v>
      </c>
      <c r="C3388" s="4" t="s">
        <v>298</v>
      </c>
      <c r="D3388" s="94">
        <v>1610.0</v>
      </c>
    </row>
    <row r="3389">
      <c r="A3389" s="40">
        <f t="array" ref="A3389">IFNA(index(PlayerValues!A:A,match(IFNA(vlookup(B3389,'Special Names'!A:B,2,FALSE),B3389),PlayerValues!E:E,0)),"N/A")</f>
        <v>16199</v>
      </c>
      <c r="B3389" s="4" t="s">
        <v>687</v>
      </c>
      <c r="C3389" s="4" t="s">
        <v>287</v>
      </c>
      <c r="D3389" s="94">
        <v>1234.0</v>
      </c>
    </row>
    <row r="3390">
      <c r="A3390" s="40">
        <f t="array" ref="A3390">IFNA(index(PlayerValues!A:A,match(IFNA(vlookup(B3390,'Special Names'!A:B,2,FALSE),B3390),PlayerValues!E:E,0)),"N/A")</f>
        <v>16385</v>
      </c>
      <c r="B3390" s="4" t="s">
        <v>690</v>
      </c>
      <c r="C3390" s="4" t="s">
        <v>278</v>
      </c>
      <c r="D3390" s="94">
        <v>1231.0</v>
      </c>
    </row>
    <row r="3391">
      <c r="A3391" s="40">
        <f t="array" ref="A3391">IFNA(index(PlayerValues!A:A,match(IFNA(vlookup(B3391,'Special Names'!A:B,2,FALSE),B3391),PlayerValues!E:E,0)),"N/A")</f>
        <v>13289</v>
      </c>
      <c r="B3391" s="4" t="s">
        <v>746</v>
      </c>
      <c r="C3391" s="4" t="s">
        <v>287</v>
      </c>
      <c r="D3391" s="94">
        <v>1223.0</v>
      </c>
    </row>
    <row r="3392">
      <c r="A3392" s="40">
        <f t="array" ref="A3392">IFNA(index(PlayerValues!A:A,match(IFNA(vlookup(B3392,'Special Names'!A:B,2,FALSE),B3392),PlayerValues!E:E,0)),"N/A")</f>
        <v>15288</v>
      </c>
      <c r="B3392" s="4" t="s">
        <v>700</v>
      </c>
      <c r="C3392" s="4" t="s">
        <v>287</v>
      </c>
      <c r="D3392" s="94">
        <v>1223.0</v>
      </c>
    </row>
    <row r="3393">
      <c r="A3393" s="40">
        <f t="array" ref="A3393">IFNA(index(PlayerValues!A:A,match(IFNA(vlookup(B3393,'Special Names'!A:B,2,FALSE),B3393),PlayerValues!E:E,0)),"N/A")</f>
        <v>14108</v>
      </c>
      <c r="B3393" s="4" t="s">
        <v>673</v>
      </c>
      <c r="C3393" s="4" t="s">
        <v>287</v>
      </c>
      <c r="D3393" s="94">
        <v>1221.0</v>
      </c>
    </row>
    <row r="3394">
      <c r="A3394" s="40">
        <f t="array" ref="A3394">IFNA(index(PlayerValues!A:A,match(IFNA(vlookup(B3394,'Special Names'!A:B,2,FALSE),B3394),PlayerValues!E:E,0)),"N/A")</f>
        <v>17054</v>
      </c>
      <c r="B3394" s="4" t="s">
        <v>670</v>
      </c>
      <c r="C3394" s="4" t="s">
        <v>278</v>
      </c>
      <c r="D3394" s="94">
        <v>1200.0</v>
      </c>
    </row>
    <row r="3395">
      <c r="A3395" s="40">
        <f t="array" ref="A3395">IFNA(index(PlayerValues!A:A,match(IFNA(vlookup(B3395,'Special Names'!A:B,2,FALSE),B3395),PlayerValues!E:E,0)),"N/A")</f>
        <v>16645</v>
      </c>
      <c r="B3395" s="4" t="s">
        <v>651</v>
      </c>
      <c r="C3395" s="4" t="s">
        <v>298</v>
      </c>
      <c r="D3395" s="94">
        <v>1565.0</v>
      </c>
    </row>
    <row r="3396">
      <c r="A3396" s="40">
        <f t="array" ref="A3396">IFNA(index(PlayerValues!A:A,match(IFNA(vlookup(B3396,'Special Names'!A:B,2,FALSE),B3396),PlayerValues!E:E,0)),"N/A")</f>
        <v>15692</v>
      </c>
      <c r="B3396" s="4" t="s">
        <v>750</v>
      </c>
      <c r="C3396" s="4" t="s">
        <v>283</v>
      </c>
      <c r="D3396" s="94">
        <v>1196.0</v>
      </c>
    </row>
    <row r="3397">
      <c r="A3397" s="40">
        <f t="array" ref="A3397">IFNA(index(PlayerValues!A:A,match(IFNA(vlookup(B3397,'Special Names'!A:B,2,FALSE),B3397),PlayerValues!E:E,0)),"N/A")</f>
        <v>16333</v>
      </c>
      <c r="B3397" s="4" t="s">
        <v>711</v>
      </c>
      <c r="C3397" s="4" t="s">
        <v>298</v>
      </c>
      <c r="D3397" s="94">
        <v>1554.0</v>
      </c>
    </row>
    <row r="3398">
      <c r="A3398" s="40">
        <f t="array" ref="A3398">IFNA(index(PlayerValues!A:A,match(IFNA(vlookup(B3398,'Special Names'!A:B,2,FALSE),B3398),PlayerValues!E:E,0)),"N/A")</f>
        <v>14845</v>
      </c>
      <c r="B3398" s="4" t="s">
        <v>717</v>
      </c>
      <c r="C3398" s="4" t="s">
        <v>287</v>
      </c>
      <c r="D3398" s="94">
        <v>1182.0</v>
      </c>
    </row>
    <row r="3399">
      <c r="A3399" s="40">
        <f t="array" ref="A3399">IFNA(index(PlayerValues!A:A,match(IFNA(vlookup(B3399,'Special Names'!A:B,2,FALSE),B3399),PlayerValues!E:E,0)),"N/A")</f>
        <v>16393</v>
      </c>
      <c r="B3399" s="4" t="s">
        <v>768</v>
      </c>
      <c r="C3399" s="4" t="s">
        <v>287</v>
      </c>
      <c r="D3399" s="94">
        <v>1179.0</v>
      </c>
    </row>
    <row r="3400">
      <c r="A3400" s="40">
        <f t="array" ref="A3400">IFNA(index(PlayerValues!A:A,match(IFNA(vlookup(B3400,'Special Names'!A:B,2,FALSE),B3400),PlayerValues!E:E,0)),"N/A")</f>
        <v>12263</v>
      </c>
      <c r="B3400" s="4" t="s">
        <v>697</v>
      </c>
      <c r="C3400" s="4" t="s">
        <v>298</v>
      </c>
      <c r="D3400" s="94">
        <v>1545.0</v>
      </c>
    </row>
    <row r="3401">
      <c r="A3401" s="40">
        <f t="array" ref="A3401">IFNA(index(PlayerValues!A:A,match(IFNA(vlookup(B3401,'Special Names'!A:B,2,FALSE),B3401),PlayerValues!E:E,0)),"N/A")</f>
        <v>17050</v>
      </c>
      <c r="B3401" s="4" t="s">
        <v>713</v>
      </c>
      <c r="C3401" s="4" t="s">
        <v>278</v>
      </c>
      <c r="D3401" s="94">
        <v>1174.0</v>
      </c>
    </row>
    <row r="3402">
      <c r="A3402" s="40">
        <f t="array" ref="A3402">IFNA(index(PlayerValues!A:A,match(IFNA(vlookup(B3402,'Special Names'!A:B,2,FALSE),B3402),PlayerValues!E:E,0)),"N/A")</f>
        <v>15239</v>
      </c>
      <c r="B3402" s="4" t="s">
        <v>802</v>
      </c>
      <c r="C3402" s="4" t="s">
        <v>283</v>
      </c>
      <c r="D3402" s="94">
        <v>1172.0</v>
      </c>
    </row>
    <row r="3403">
      <c r="A3403" s="40">
        <f t="array" ref="A3403">IFNA(index(PlayerValues!A:A,match(IFNA(vlookup(B3403,'Special Names'!A:B,2,FALSE),B3403),PlayerValues!E:E,0)),"N/A")</f>
        <v>16883</v>
      </c>
      <c r="B3403" s="4" t="s">
        <v>683</v>
      </c>
      <c r="C3403" s="4" t="s">
        <v>287</v>
      </c>
      <c r="D3403" s="94">
        <v>1165.0</v>
      </c>
    </row>
    <row r="3404">
      <c r="A3404" s="40">
        <f t="array" ref="A3404">IFNA(index(PlayerValues!A:A,match(IFNA(vlookup(B3404,'Special Names'!A:B,2,FALSE),B3404),PlayerValues!E:E,0)),"N/A")</f>
        <v>17481</v>
      </c>
      <c r="B3404" s="4" t="s">
        <v>540</v>
      </c>
      <c r="C3404" s="4" t="s">
        <v>278</v>
      </c>
      <c r="D3404" s="94">
        <v>1160.0</v>
      </c>
    </row>
    <row r="3405">
      <c r="A3405" s="40">
        <f t="array" ref="A3405">IFNA(index(PlayerValues!A:A,match(IFNA(vlookup(B3405,'Special Names'!A:B,2,FALSE),B3405),PlayerValues!E:E,0)),"N/A")</f>
        <v>16451</v>
      </c>
      <c r="B3405" s="4" t="s">
        <v>769</v>
      </c>
      <c r="C3405" s="4" t="s">
        <v>287</v>
      </c>
      <c r="D3405" s="94">
        <v>1158.0</v>
      </c>
    </row>
    <row r="3406">
      <c r="A3406" s="40">
        <f t="array" ref="A3406">IFNA(index(PlayerValues!A:A,match(IFNA(vlookup(B3406,'Special Names'!A:B,2,FALSE),B3406),PlayerValues!E:E,0)),"N/A")</f>
        <v>15730</v>
      </c>
      <c r="B3406" s="4" t="s">
        <v>734</v>
      </c>
      <c r="C3406" s="4" t="s">
        <v>278</v>
      </c>
      <c r="D3406" s="94">
        <v>1147.0</v>
      </c>
    </row>
    <row r="3407">
      <c r="A3407" s="40">
        <f t="array" ref="A3407">IFNA(index(PlayerValues!A:A,match(IFNA(vlookup(B3407,'Special Names'!A:B,2,FALSE),B3407),PlayerValues!E:E,0)),"N/A")</f>
        <v>15717</v>
      </c>
      <c r="B3407" s="4" t="s">
        <v>745</v>
      </c>
      <c r="C3407" s="4" t="s">
        <v>278</v>
      </c>
      <c r="D3407" s="94">
        <v>1142.0</v>
      </c>
    </row>
    <row r="3408">
      <c r="A3408" s="40">
        <f t="array" ref="A3408">IFNA(index(PlayerValues!A:A,match(IFNA(vlookup(B3408,'Special Names'!A:B,2,FALSE),B3408),PlayerValues!E:E,0)),"N/A")</f>
        <v>15693</v>
      </c>
      <c r="B3408" s="4" t="s">
        <v>755</v>
      </c>
      <c r="C3408" s="4" t="s">
        <v>283</v>
      </c>
      <c r="D3408" s="94">
        <v>1141.0</v>
      </c>
    </row>
    <row r="3409">
      <c r="A3409" s="40">
        <f t="array" ref="A3409">IFNA(index(PlayerValues!A:A,match(IFNA(vlookup(B3409,'Special Names'!A:B,2,FALSE),B3409),PlayerValues!E:E,0)),"N/A")</f>
        <v>13138</v>
      </c>
      <c r="B3409" s="4" t="s">
        <v>817</v>
      </c>
      <c r="C3409" s="4" t="s">
        <v>278</v>
      </c>
      <c r="D3409" s="94">
        <v>1140.0</v>
      </c>
    </row>
    <row r="3410">
      <c r="A3410" s="40">
        <f t="array" ref="A3410">IFNA(index(PlayerValues!A:A,match(IFNA(vlookup(B3410,'Special Names'!A:B,2,FALSE),B3410),PlayerValues!E:E,0)),"N/A")</f>
        <v>16197</v>
      </c>
      <c r="B3410" s="4" t="s">
        <v>726</v>
      </c>
      <c r="C3410" s="4" t="s">
        <v>287</v>
      </c>
      <c r="D3410" s="94">
        <v>1130.0</v>
      </c>
    </row>
    <row r="3411">
      <c r="A3411" s="40">
        <f t="array" ref="A3411">IFNA(index(PlayerValues!A:A,match(IFNA(vlookup(B3411,'Special Names'!A:B,2,FALSE),B3411),PlayerValues!E:E,0)),"N/A")</f>
        <v>17192</v>
      </c>
      <c r="B3411" s="4" t="s">
        <v>677</v>
      </c>
      <c r="C3411" s="4" t="s">
        <v>287</v>
      </c>
      <c r="D3411" s="94">
        <v>1126.0</v>
      </c>
    </row>
    <row r="3412">
      <c r="A3412" s="40">
        <f t="array" ref="A3412">IFNA(index(PlayerValues!A:A,match(IFNA(vlookup(B3412,'Special Names'!A:B,2,FALSE),B3412),PlayerValues!E:E,0)),"N/A")</f>
        <v>16637</v>
      </c>
      <c r="B3412" s="4" t="s">
        <v>736</v>
      </c>
      <c r="C3412" s="4" t="s">
        <v>287</v>
      </c>
      <c r="D3412" s="94">
        <v>1121.0</v>
      </c>
    </row>
    <row r="3413">
      <c r="A3413" s="40">
        <f t="array" ref="A3413">IFNA(index(PlayerValues!A:A,match(IFNA(vlookup(B3413,'Special Names'!A:B,2,FALSE),B3413),PlayerValues!E:E,0)),"N/A")</f>
        <v>16640</v>
      </c>
      <c r="B3413" s="4" t="s">
        <v>712</v>
      </c>
      <c r="C3413" s="4" t="s">
        <v>287</v>
      </c>
      <c r="D3413" s="94">
        <v>1120.0</v>
      </c>
    </row>
    <row r="3414">
      <c r="A3414" s="40">
        <f t="array" ref="A3414">IFNA(index(PlayerValues!A:A,match(IFNA(vlookup(B3414,'Special Names'!A:B,2,FALSE),B3414),PlayerValues!E:E,0)),"N/A")</f>
        <v>17109</v>
      </c>
      <c r="B3414" s="4" t="s">
        <v>707</v>
      </c>
      <c r="C3414" s="4" t="s">
        <v>298</v>
      </c>
      <c r="D3414" s="94">
        <v>1485.0</v>
      </c>
    </row>
    <row r="3415">
      <c r="A3415" s="40">
        <f t="array" ref="A3415">IFNA(index(PlayerValues!A:A,match(IFNA(vlookup(B3415,'Special Names'!A:B,2,FALSE),B3415),PlayerValues!E:E,0)),"N/A")</f>
        <v>17057</v>
      </c>
      <c r="B3415" s="4" t="s">
        <v>708</v>
      </c>
      <c r="C3415" s="4" t="s">
        <v>278</v>
      </c>
      <c r="D3415" s="94">
        <v>1094.0</v>
      </c>
    </row>
    <row r="3416">
      <c r="A3416" s="40">
        <f t="array" ref="A3416">IFNA(index(PlayerValues!A:A,match(IFNA(vlookup(B3416,'Special Names'!A:B,2,FALSE),B3416),PlayerValues!E:E,0)),"N/A")</f>
        <v>15785</v>
      </c>
      <c r="B3416" s="4" t="s">
        <v>763</v>
      </c>
      <c r="C3416" s="4" t="s">
        <v>287</v>
      </c>
      <c r="D3416" s="94">
        <v>1091.0</v>
      </c>
    </row>
    <row r="3417">
      <c r="A3417" s="40">
        <f t="array" ref="A3417">IFNA(index(PlayerValues!A:A,match(IFNA(vlookup(B3417,'Special Names'!A:B,2,FALSE),B3417),PlayerValues!E:E,0)),"N/A")</f>
        <v>16387</v>
      </c>
      <c r="B3417" s="4" t="s">
        <v>646</v>
      </c>
      <c r="C3417" s="4" t="s">
        <v>278</v>
      </c>
      <c r="D3417" s="94">
        <v>1089.0</v>
      </c>
    </row>
    <row r="3418">
      <c r="A3418" s="40">
        <f t="array" ref="A3418">IFNA(index(PlayerValues!A:A,match(IFNA(vlookup(B3418,'Special Names'!A:B,2,FALSE),B3418),PlayerValues!E:E,0)),"N/A")</f>
        <v>14118</v>
      </c>
      <c r="B3418" s="4" t="s">
        <v>771</v>
      </c>
      <c r="C3418" s="4" t="s">
        <v>287</v>
      </c>
      <c r="D3418" s="94">
        <v>1087.0</v>
      </c>
    </row>
    <row r="3419">
      <c r="A3419" s="40">
        <f t="array" ref="A3419">IFNA(index(PlayerValues!A:A,match(IFNA(vlookup(B3419,'Special Names'!A:B,2,FALSE),B3419),PlayerValues!E:E,0)),"N/A")</f>
        <v>9064</v>
      </c>
      <c r="B3419" s="4" t="s">
        <v>761</v>
      </c>
      <c r="C3419" s="4" t="s">
        <v>283</v>
      </c>
      <c r="D3419" s="94">
        <v>1081.0</v>
      </c>
    </row>
    <row r="3420">
      <c r="A3420" s="40">
        <f t="array" ref="A3420">IFNA(index(PlayerValues!A:A,match(IFNA(vlookup(B3420,'Special Names'!A:B,2,FALSE),B3420),PlayerValues!E:E,0)),"N/A")</f>
        <v>16219</v>
      </c>
      <c r="B3420" s="4" t="s">
        <v>739</v>
      </c>
      <c r="C3420" s="4" t="s">
        <v>298</v>
      </c>
      <c r="D3420" s="94">
        <v>1444.0</v>
      </c>
    </row>
    <row r="3421">
      <c r="A3421" s="40">
        <f t="array" ref="A3421">IFNA(index(PlayerValues!A:A,match(IFNA(vlookup(B3421,'Special Names'!A:B,2,FALSE),B3421),PlayerValues!E:E,0)),"N/A")</f>
        <v>16678</v>
      </c>
      <c r="B3421" s="4" t="s">
        <v>758</v>
      </c>
      <c r="C3421" s="4" t="s">
        <v>278</v>
      </c>
      <c r="D3421" s="94">
        <v>1074.0</v>
      </c>
    </row>
    <row r="3422">
      <c r="A3422" s="40">
        <f t="array" ref="A3422">IFNA(index(PlayerValues!A:A,match(IFNA(vlookup(B3422,'Special Names'!A:B,2,FALSE),B3422),PlayerValues!E:E,0)),"N/A")</f>
        <v>17175</v>
      </c>
      <c r="B3422" s="4" t="s">
        <v>747</v>
      </c>
      <c r="C3422" s="4" t="s">
        <v>287</v>
      </c>
      <c r="D3422" s="94">
        <v>1059.0</v>
      </c>
    </row>
    <row r="3423">
      <c r="A3423" s="40">
        <f t="array" ref="A3423">IFNA(index(PlayerValues!A:A,match(IFNA(vlookup(B3423,'Special Names'!A:B,2,FALSE),B3423),PlayerValues!E:E,0)),"N/A")</f>
        <v>17479</v>
      </c>
      <c r="B3423" s="4" t="s">
        <v>756</v>
      </c>
      <c r="C3423" s="4" t="s">
        <v>278</v>
      </c>
      <c r="D3423" s="94">
        <v>1052.0</v>
      </c>
    </row>
    <row r="3424">
      <c r="A3424" s="40">
        <f t="array" ref="A3424">IFNA(index(PlayerValues!A:A,match(IFNA(vlookup(B3424,'Special Names'!A:B,2,FALSE),B3424),PlayerValues!E:E,0)),"N/A")</f>
        <v>16648</v>
      </c>
      <c r="B3424" s="4" t="s">
        <v>748</v>
      </c>
      <c r="C3424" s="4" t="s">
        <v>298</v>
      </c>
      <c r="D3424" s="94">
        <v>1413.0</v>
      </c>
    </row>
    <row r="3425">
      <c r="A3425" s="40">
        <f t="array" ref="A3425">IFNA(index(PlayerValues!A:A,match(IFNA(vlookup(B3425,'Special Names'!A:B,2,FALSE),B3425),PlayerValues!E:E,0)),"N/A")</f>
        <v>14057</v>
      </c>
      <c r="B3425" s="4" t="s">
        <v>765</v>
      </c>
      <c r="C3425" s="4" t="s">
        <v>283</v>
      </c>
      <c r="D3425" s="94">
        <v>1044.0</v>
      </c>
    </row>
    <row r="3426">
      <c r="A3426" s="40">
        <f t="array" ref="A3426">IFNA(index(PlayerValues!A:A,match(IFNA(vlookup(B3426,'Special Names'!A:B,2,FALSE),B3426),PlayerValues!E:E,0)),"N/A")</f>
        <v>15330</v>
      </c>
      <c r="B3426" s="4" t="s">
        <v>749</v>
      </c>
      <c r="C3426" s="4" t="s">
        <v>298</v>
      </c>
      <c r="D3426" s="94">
        <v>1407.0</v>
      </c>
    </row>
    <row r="3427">
      <c r="A3427" s="40">
        <f t="array" ref="A3427">IFNA(index(PlayerValues!A:A,match(IFNA(vlookup(B3427,'Special Names'!A:B,2,FALSE),B3427),PlayerValues!E:E,0)),"N/A")</f>
        <v>15795</v>
      </c>
      <c r="B3427" s="4" t="s">
        <v>669</v>
      </c>
      <c r="C3427" s="4" t="s">
        <v>298</v>
      </c>
      <c r="D3427" s="94">
        <v>1408.0</v>
      </c>
    </row>
    <row r="3428">
      <c r="A3428" s="40">
        <f t="array" ref="A3428">IFNA(index(PlayerValues!A:A,match(IFNA(vlookup(B3428,'Special Names'!A:B,2,FALSE),B3428),PlayerValues!E:E,0)),"N/A")</f>
        <v>15718</v>
      </c>
      <c r="B3428" s="4" t="s">
        <v>753</v>
      </c>
      <c r="C3428" s="4" t="s">
        <v>278</v>
      </c>
      <c r="D3428" s="94">
        <v>1038.0</v>
      </c>
    </row>
    <row r="3429">
      <c r="A3429" s="40">
        <f t="array" ref="A3429">IFNA(index(PlayerValues!A:A,match(IFNA(vlookup(B3429,'Special Names'!A:B,2,FALSE),B3429),PlayerValues!E:E,0)),"N/A")</f>
        <v>17520</v>
      </c>
      <c r="B3429" s="4" t="s">
        <v>518</v>
      </c>
      <c r="C3429" s="4" t="s">
        <v>287</v>
      </c>
      <c r="D3429" s="94">
        <v>1028.0</v>
      </c>
    </row>
    <row r="3430">
      <c r="A3430" s="40">
        <f t="array" ref="A3430">IFNA(index(PlayerValues!A:A,match(IFNA(vlookup(B3430,'Special Names'!A:B,2,FALSE),B3430),PlayerValues!E:E,0)),"N/A")</f>
        <v>11247</v>
      </c>
      <c r="B3430" s="4" t="s">
        <v>816</v>
      </c>
      <c r="C3430" s="4" t="s">
        <v>298</v>
      </c>
      <c r="D3430" s="94">
        <v>1394.0</v>
      </c>
    </row>
    <row r="3431">
      <c r="A3431" s="40">
        <f t="array" ref="A3431">IFNA(index(PlayerValues!A:A,match(IFNA(vlookup(B3431,'Special Names'!A:B,2,FALSE),B3431),PlayerValues!E:E,0)),"N/A")</f>
        <v>17486</v>
      </c>
      <c r="B3431" s="4" t="s">
        <v>695</v>
      </c>
      <c r="C3431" s="4" t="s">
        <v>278</v>
      </c>
      <c r="D3431" s="94">
        <v>1026.0</v>
      </c>
    </row>
    <row r="3432">
      <c r="A3432" s="40">
        <f t="array" ref="A3432">IFNA(index(PlayerValues!A:A,match(IFNA(vlookup(B3432,'Special Names'!A:B,2,FALSE),B3432),PlayerValues!E:E,0)),"N/A")</f>
        <v>14849</v>
      </c>
      <c r="B3432" s="4" t="s">
        <v>733</v>
      </c>
      <c r="C3432" s="4" t="s">
        <v>287</v>
      </c>
      <c r="D3432" s="94">
        <v>1025.0</v>
      </c>
    </row>
    <row r="3433">
      <c r="A3433" s="40">
        <f t="array" ref="A3433">IFNA(index(PlayerValues!A:A,match(IFNA(vlookup(B3433,'Special Names'!A:B,2,FALSE),B3433),PlayerValues!E:E,0)),"N/A")</f>
        <v>15766</v>
      </c>
      <c r="B3433" s="4" t="s">
        <v>759</v>
      </c>
      <c r="C3433" s="4" t="s">
        <v>287</v>
      </c>
      <c r="D3433" s="94">
        <v>1023.0</v>
      </c>
    </row>
    <row r="3434">
      <c r="A3434" s="40">
        <f t="array" ref="A3434">IFNA(index(PlayerValues!A:A,match(IFNA(vlookup(B3434,'Special Names'!A:B,2,FALSE),B3434),PlayerValues!E:E,0)),"N/A")</f>
        <v>15720</v>
      </c>
      <c r="B3434" s="4" t="s">
        <v>795</v>
      </c>
      <c r="C3434" s="4" t="s">
        <v>278</v>
      </c>
      <c r="D3434" s="94">
        <v>1022.0</v>
      </c>
    </row>
    <row r="3435">
      <c r="A3435" s="40">
        <f t="array" ref="A3435">IFNA(index(PlayerValues!A:A,match(IFNA(vlookup(B3435,'Special Names'!A:B,2,FALSE),B3435),PlayerValues!E:E,0)),"N/A")</f>
        <v>17467</v>
      </c>
      <c r="B3435" s="4" t="s">
        <v>575</v>
      </c>
      <c r="C3435" s="4" t="s">
        <v>283</v>
      </c>
      <c r="D3435" s="94">
        <v>1008.0</v>
      </c>
    </row>
    <row r="3436">
      <c r="A3436" s="40">
        <f t="array" ref="A3436">IFNA(index(PlayerValues!A:A,match(IFNA(vlookup(B3436,'Special Names'!A:B,2,FALSE),B3436),PlayerValues!E:E,0)),"N/A")</f>
        <v>17487</v>
      </c>
      <c r="B3436" s="4" t="s">
        <v>692</v>
      </c>
      <c r="C3436" s="4" t="s">
        <v>278</v>
      </c>
      <c r="D3436" s="94">
        <v>1004.0</v>
      </c>
    </row>
    <row r="3437">
      <c r="A3437" s="40">
        <f t="array" ref="A3437">IFNA(index(PlayerValues!A:A,match(IFNA(vlookup(B3437,'Special Names'!A:B,2,FALSE),B3437),PlayerValues!E:E,0)),"N/A")</f>
        <v>16159</v>
      </c>
      <c r="B3437" s="4" t="s">
        <v>819</v>
      </c>
      <c r="C3437" s="4" t="s">
        <v>283</v>
      </c>
      <c r="D3437" s="94">
        <v>1002.0</v>
      </c>
    </row>
    <row r="3438">
      <c r="A3438" s="40">
        <f t="array" ref="A3438">IFNA(index(PlayerValues!A:A,match(IFNA(vlookup(B3438,'Special Names'!A:B,2,FALSE),B3438),PlayerValues!E:E,0)),"N/A")</f>
        <v>16168</v>
      </c>
      <c r="B3438" s="4" t="s">
        <v>738</v>
      </c>
      <c r="C3438" s="4" t="s">
        <v>278</v>
      </c>
      <c r="D3438" s="94">
        <v>1000.0</v>
      </c>
    </row>
    <row r="3439">
      <c r="A3439" s="40">
        <f t="array" ref="A3439">IFNA(index(PlayerValues!A:A,match(IFNA(vlookup(B3439,'Special Names'!A:B,2,FALSE),B3439),PlayerValues!E:E,0)),"N/A")</f>
        <v>16858</v>
      </c>
      <c r="B3439" s="4" t="s">
        <v>754</v>
      </c>
      <c r="C3439" s="4" t="s">
        <v>287</v>
      </c>
      <c r="D3439" s="94">
        <v>994.0</v>
      </c>
    </row>
    <row r="3440">
      <c r="A3440" s="40">
        <f t="array" ref="A3440">IFNA(index(PlayerValues!A:A,match(IFNA(vlookup(B3440,'Special Names'!A:B,2,FALSE),B3440),PlayerValues!E:E,0)),"N/A")</f>
        <v>17475</v>
      </c>
      <c r="B3440" s="4" t="s">
        <v>615</v>
      </c>
      <c r="C3440" s="4" t="s">
        <v>278</v>
      </c>
      <c r="D3440" s="94">
        <v>994.0</v>
      </c>
    </row>
    <row r="3441">
      <c r="A3441" s="40">
        <f t="array" ref="A3441">IFNA(index(PlayerValues!A:A,match(IFNA(vlookup(B3441,'Special Names'!A:B,2,FALSE),B3441),PlayerValues!E:E,0)),"N/A")</f>
        <v>15626</v>
      </c>
      <c r="B3441" s="4" t="s">
        <v>766</v>
      </c>
      <c r="C3441" s="4" t="s">
        <v>298</v>
      </c>
      <c r="D3441" s="94">
        <v>1352.0</v>
      </c>
    </row>
    <row r="3442">
      <c r="A3442" s="40">
        <f t="array" ref="A3442">IFNA(index(PlayerValues!A:A,match(IFNA(vlookup(B3442,'Special Names'!A:B,2,FALSE),B3442),PlayerValues!E:E,0)),"N/A")</f>
        <v>14799</v>
      </c>
      <c r="B3442" s="4" t="s">
        <v>829</v>
      </c>
      <c r="C3442" s="4" t="s">
        <v>278</v>
      </c>
      <c r="D3442" s="94">
        <v>982.0</v>
      </c>
    </row>
    <row r="3443">
      <c r="A3443" s="40">
        <f t="array" ref="A3443">IFNA(index(PlayerValues!A:A,match(IFNA(vlookup(B3443,'Special Names'!A:B,2,FALSE),B3443),PlayerValues!E:E,0)),"N/A")</f>
        <v>14864</v>
      </c>
      <c r="B3443" s="4" t="s">
        <v>789</v>
      </c>
      <c r="C3443" s="4" t="s">
        <v>287</v>
      </c>
      <c r="D3443" s="94">
        <v>970.0</v>
      </c>
    </row>
    <row r="3444">
      <c r="A3444" s="40">
        <f t="array" ref="A3444">IFNA(index(PlayerValues!A:A,match(IFNA(vlookup(B3444,'Special Names'!A:B,2,FALSE),B3444),PlayerValues!E:E,0)),"N/A")</f>
        <v>16176</v>
      </c>
      <c r="B3444" s="4" t="s">
        <v>812</v>
      </c>
      <c r="C3444" s="4" t="s">
        <v>278</v>
      </c>
      <c r="D3444" s="94">
        <v>970.0</v>
      </c>
    </row>
    <row r="3445">
      <c r="A3445" s="40">
        <f t="array" ref="A3445">IFNA(index(PlayerValues!A:A,match(IFNA(vlookup(B3445,'Special Names'!A:B,2,FALSE),B3445),PlayerValues!E:E,0)),"N/A")</f>
        <v>15263</v>
      </c>
      <c r="B3445" s="4" t="s">
        <v>804</v>
      </c>
      <c r="C3445" s="4" t="s">
        <v>278</v>
      </c>
      <c r="D3445" s="94">
        <v>966.0</v>
      </c>
    </row>
    <row r="3446">
      <c r="A3446" s="40">
        <f t="array" ref="A3446">IFNA(index(PlayerValues!A:A,match(IFNA(vlookup(B3446,'Special Names'!A:B,2,FALSE),B3446),PlayerValues!E:E,0)),"N/A")</f>
        <v>17510</v>
      </c>
      <c r="B3446" s="4" t="s">
        <v>661</v>
      </c>
      <c r="C3446" s="4" t="s">
        <v>287</v>
      </c>
      <c r="D3446" s="94">
        <v>963.0</v>
      </c>
    </row>
    <row r="3447">
      <c r="A3447" s="40">
        <f t="array" ref="A3447">IFNA(index(PlayerValues!A:A,match(IFNA(vlookup(B3447,'Special Names'!A:B,2,FALSE),B3447),PlayerValues!E:E,0)),"N/A")</f>
        <v>16205</v>
      </c>
      <c r="B3447" s="4" t="s">
        <v>742</v>
      </c>
      <c r="C3447" s="4" t="s">
        <v>287</v>
      </c>
      <c r="D3447" s="94">
        <v>953.0</v>
      </c>
    </row>
    <row r="3448">
      <c r="A3448" s="40">
        <f t="array" ref="A3448">IFNA(index(PlayerValues!A:A,match(IFNA(vlookup(B3448,'Special Names'!A:B,2,FALSE),B3448),PlayerValues!E:E,0)),"N/A")</f>
        <v>16773</v>
      </c>
      <c r="B3448" s="4" t="s">
        <v>783</v>
      </c>
      <c r="C3448" s="4" t="s">
        <v>278</v>
      </c>
      <c r="D3448" s="94">
        <v>952.0</v>
      </c>
    </row>
    <row r="3449">
      <c r="A3449" s="40">
        <f t="array" ref="A3449">IFNA(index(PlayerValues!A:A,match(IFNA(vlookup(B3449,'Special Names'!A:B,2,FALSE),B3449),PlayerValues!E:E,0)),"N/A")</f>
        <v>17504</v>
      </c>
      <c r="B3449" s="4" t="s">
        <v>693</v>
      </c>
      <c r="C3449" s="4" t="s">
        <v>287</v>
      </c>
      <c r="D3449" s="94">
        <v>946.0</v>
      </c>
    </row>
    <row r="3450">
      <c r="A3450" s="40">
        <f t="array" ref="A3450">IFNA(index(PlayerValues!A:A,match(IFNA(vlookup(B3450,'Special Names'!A:B,2,FALSE),B3450),PlayerValues!E:E,0)),"N/A")</f>
        <v>17545</v>
      </c>
      <c r="B3450" s="4" t="s">
        <v>719</v>
      </c>
      <c r="C3450" s="4" t="s">
        <v>298</v>
      </c>
      <c r="D3450" s="94">
        <v>1314.0</v>
      </c>
    </row>
    <row r="3451">
      <c r="A3451" s="40">
        <f t="array" ref="A3451">IFNA(index(PlayerValues!A:A,match(IFNA(vlookup(B3451,'Special Names'!A:B,2,FALSE),B3451),PlayerValues!E:E,0)),"N/A")</f>
        <v>16416</v>
      </c>
      <c r="B3451" s="4" t="s">
        <v>752</v>
      </c>
      <c r="C3451" s="4" t="s">
        <v>287</v>
      </c>
      <c r="D3451" s="94">
        <v>943.0</v>
      </c>
    </row>
    <row r="3452">
      <c r="A3452" s="40">
        <f t="array" ref="A3452">IFNA(index(PlayerValues!A:A,match(IFNA(vlookup(B3452,'Special Names'!A:B,2,FALSE),B3452),PlayerValues!E:E,0)),"N/A")</f>
        <v>16599</v>
      </c>
      <c r="B3452" s="4" t="s">
        <v>737</v>
      </c>
      <c r="C3452" s="4" t="s">
        <v>278</v>
      </c>
      <c r="D3452" s="94">
        <v>942.0</v>
      </c>
    </row>
    <row r="3453">
      <c r="A3453" s="40">
        <f t="array" ref="A3453">IFNA(index(PlayerValues!A:A,match(IFNA(vlookup(B3453,'Special Names'!A:B,2,FALSE),B3453),PlayerValues!E:E,0)),"N/A")</f>
        <v>16624</v>
      </c>
      <c r="B3453" s="4" t="s">
        <v>796</v>
      </c>
      <c r="C3453" s="4" t="s">
        <v>287</v>
      </c>
      <c r="D3453" s="94">
        <v>942.0</v>
      </c>
    </row>
    <row r="3454">
      <c r="A3454" s="40">
        <f t="array" ref="A3454">IFNA(index(PlayerValues!A:A,match(IFNA(vlookup(B3454,'Special Names'!A:B,2,FALSE),B3454),PlayerValues!E:E,0)),"N/A")</f>
        <v>13595</v>
      </c>
      <c r="B3454" s="4" t="s">
        <v>818</v>
      </c>
      <c r="C3454" s="4" t="s">
        <v>283</v>
      </c>
      <c r="D3454" s="94">
        <v>938.0</v>
      </c>
    </row>
    <row r="3455">
      <c r="A3455" s="40">
        <f t="array" ref="A3455">IFNA(index(PlayerValues!A:A,match(IFNA(vlookup(B3455,'Special Names'!A:B,2,FALSE),B3455),PlayerValues!E:E,0)),"N/A")</f>
        <v>15723</v>
      </c>
      <c r="B3455" s="4" t="s">
        <v>798</v>
      </c>
      <c r="C3455" s="4" t="s">
        <v>278</v>
      </c>
      <c r="D3455" s="94">
        <v>930.0</v>
      </c>
    </row>
    <row r="3456">
      <c r="A3456" s="40">
        <f t="array" ref="A3456">IFNA(index(PlayerValues!A:A,match(IFNA(vlookup(B3456,'Special Names'!A:B,2,FALSE),B3456),PlayerValues!E:E,0)),"N/A")</f>
        <v>15109</v>
      </c>
      <c r="B3456" s="4" t="s">
        <v>728</v>
      </c>
      <c r="C3456" s="4" t="s">
        <v>287</v>
      </c>
      <c r="D3456" s="94">
        <v>928.0</v>
      </c>
    </row>
    <row r="3457">
      <c r="A3457" s="40">
        <f t="array" ref="A3457">IFNA(index(PlayerValues!A:A,match(IFNA(vlookup(B3457,'Special Names'!A:B,2,FALSE),B3457),PlayerValues!E:E,0)),"N/A")</f>
        <v>13133</v>
      </c>
      <c r="B3457" s="4" t="s">
        <v>764</v>
      </c>
      <c r="C3457" s="4" t="s">
        <v>278</v>
      </c>
      <c r="D3457" s="94">
        <v>923.0</v>
      </c>
    </row>
    <row r="3458">
      <c r="A3458" s="40">
        <f t="array" ref="A3458">IFNA(index(PlayerValues!A:A,match(IFNA(vlookup(B3458,'Special Names'!A:B,2,FALSE),B3458),PlayerValues!E:E,0)),"N/A")</f>
        <v>13610</v>
      </c>
      <c r="B3458" s="4" t="s">
        <v>825</v>
      </c>
      <c r="C3458" s="4" t="s">
        <v>278</v>
      </c>
      <c r="D3458" s="94">
        <v>914.0</v>
      </c>
    </row>
    <row r="3459">
      <c r="A3459" s="40">
        <f t="array" ref="A3459">IFNA(index(PlayerValues!A:A,match(IFNA(vlookup(B3459,'Special Names'!A:B,2,FALSE),B3459),PlayerValues!E:E,0)),"N/A")</f>
        <v>12785</v>
      </c>
      <c r="B3459" s="4" t="s">
        <v>772</v>
      </c>
      <c r="C3459" s="4" t="s">
        <v>287</v>
      </c>
      <c r="D3459" s="94">
        <v>907.0</v>
      </c>
    </row>
    <row r="3460">
      <c r="A3460" s="40">
        <f t="array" ref="A3460">IFNA(index(PlayerValues!A:A,match(IFNA(vlookup(B3460,'Special Names'!A:B,2,FALSE),B3460),PlayerValues!E:E,0)),"N/A")</f>
        <v>16751</v>
      </c>
      <c r="B3460" s="4" t="s">
        <v>762</v>
      </c>
      <c r="C3460" s="4" t="s">
        <v>287</v>
      </c>
      <c r="D3460" s="94">
        <v>905.0</v>
      </c>
    </row>
    <row r="3461">
      <c r="A3461" s="40">
        <f t="array" ref="A3461">IFNA(index(PlayerValues!A:A,match(IFNA(vlookup(B3461,'Special Names'!A:B,2,FALSE),B3461),PlayerValues!E:E,0)),"N/A")</f>
        <v>16957</v>
      </c>
      <c r="B3461" s="4" t="s">
        <v>806</v>
      </c>
      <c r="C3461" s="4" t="s">
        <v>278</v>
      </c>
      <c r="D3461" s="94">
        <v>904.0</v>
      </c>
    </row>
    <row r="3462">
      <c r="A3462" s="40">
        <f t="array" ref="A3462">IFNA(index(PlayerValues!A:A,match(IFNA(vlookup(B3462,'Special Names'!A:B,2,FALSE),B3462),PlayerValues!E:E,0)),"N/A")</f>
        <v>14079</v>
      </c>
      <c r="B3462" s="4" t="s">
        <v>830</v>
      </c>
      <c r="C3462" s="4" t="s">
        <v>278</v>
      </c>
      <c r="D3462" s="94">
        <v>889.0</v>
      </c>
    </row>
    <row r="3463">
      <c r="A3463" s="40">
        <f t="array" ref="A3463">IFNA(index(PlayerValues!A:A,match(IFNA(vlookup(B3463,'Special Names'!A:B,2,FALSE),B3463),PlayerValues!E:E,0)),"N/A")</f>
        <v>13143</v>
      </c>
      <c r="B3463" s="4" t="s">
        <v>786</v>
      </c>
      <c r="C3463" s="4" t="s">
        <v>278</v>
      </c>
      <c r="D3463" s="94">
        <v>889.0</v>
      </c>
    </row>
    <row r="3464">
      <c r="A3464" s="40">
        <f t="array" ref="A3464">IFNA(index(PlayerValues!A:A,match(IFNA(vlookup(B3464,'Special Names'!A:B,2,FALSE),B3464),PlayerValues!E:E,0)),"N/A")</f>
        <v>15796</v>
      </c>
      <c r="B3464" s="4" t="s">
        <v>794</v>
      </c>
      <c r="C3464" s="4" t="s">
        <v>298</v>
      </c>
      <c r="D3464" s="94">
        <v>1256.0</v>
      </c>
    </row>
    <row r="3465">
      <c r="A3465" s="40">
        <f t="array" ref="A3465">IFNA(index(PlayerValues!A:A,match(IFNA(vlookup(B3465,'Special Names'!A:B,2,FALSE),B3465),PlayerValues!E:E,0)),"N/A")</f>
        <v>16606</v>
      </c>
      <c r="B3465" s="4" t="s">
        <v>743</v>
      </c>
      <c r="C3465" s="4" t="s">
        <v>278</v>
      </c>
      <c r="D3465" s="94">
        <v>883.0</v>
      </c>
    </row>
    <row r="3466">
      <c r="A3466" s="40">
        <f t="array" ref="A3466">IFNA(index(PlayerValues!A:A,match(IFNA(vlookup(B3466,'Special Names'!A:B,2,FALSE),B3466),PlayerValues!E:E,0)),"N/A")</f>
        <v>13113</v>
      </c>
      <c r="B3466" s="4" t="s">
        <v>606</v>
      </c>
      <c r="C3466" s="4" t="s">
        <v>283</v>
      </c>
      <c r="D3466" s="94">
        <v>873.0</v>
      </c>
    </row>
    <row r="3467">
      <c r="A3467" s="40">
        <f t="array" ref="A3467">IFNA(index(PlayerValues!A:A,match(IFNA(vlookup(B3467,'Special Names'!A:B,2,FALSE),B3467),PlayerValues!E:E,0)),"N/A")</f>
        <v>11232</v>
      </c>
      <c r="B3467" s="4" t="s">
        <v>826</v>
      </c>
      <c r="C3467" s="4" t="s">
        <v>287</v>
      </c>
      <c r="D3467" s="94">
        <v>870.0</v>
      </c>
    </row>
    <row r="3468">
      <c r="A3468" s="40">
        <f t="array" ref="A3468">IFNA(index(PlayerValues!A:A,match(IFNA(vlookup(B3468,'Special Names'!A:B,2,FALSE),B3468),PlayerValues!E:E,0)),"N/A")</f>
        <v>17337</v>
      </c>
      <c r="B3468" s="4" t="s">
        <v>793</v>
      </c>
      <c r="C3468" s="4" t="s">
        <v>278</v>
      </c>
      <c r="D3468" s="94">
        <v>869.0</v>
      </c>
    </row>
    <row r="3469">
      <c r="A3469" s="40">
        <f t="array" ref="A3469">IFNA(index(PlayerValues!A:A,match(IFNA(vlookup(B3469,'Special Names'!A:B,2,FALSE),B3469),PlayerValues!E:E,0)),"N/A")</f>
        <v>14358</v>
      </c>
      <c r="B3469" s="4" t="s">
        <v>813</v>
      </c>
      <c r="C3469" s="4" t="s">
        <v>283</v>
      </c>
      <c r="D3469" s="94">
        <v>857.0</v>
      </c>
    </row>
    <row r="3470">
      <c r="A3470" s="40">
        <f t="array" ref="A3470">IFNA(index(PlayerValues!A:A,match(IFNA(vlookup(B3470,'Special Names'!A:B,2,FALSE),B3470),PlayerValues!E:E,0)),"N/A")</f>
        <v>15804</v>
      </c>
      <c r="B3470" s="4" t="s">
        <v>821</v>
      </c>
      <c r="C3470" s="4" t="s">
        <v>298</v>
      </c>
      <c r="D3470" s="94">
        <v>1226.0</v>
      </c>
    </row>
    <row r="3471">
      <c r="A3471" s="40">
        <f t="array" ref="A3471">IFNA(index(PlayerValues!A:A,match(IFNA(vlookup(B3471,'Special Names'!A:B,2,FALSE),B3471),PlayerValues!E:E,0)),"N/A")</f>
        <v>15271</v>
      </c>
      <c r="B3471" s="4" t="s">
        <v>741</v>
      </c>
      <c r="C3471" s="4" t="s">
        <v>278</v>
      </c>
      <c r="D3471" s="94">
        <v>844.0</v>
      </c>
    </row>
    <row r="3472">
      <c r="A3472" s="40">
        <f t="array" ref="A3472">IFNA(index(PlayerValues!A:A,match(IFNA(vlookup(B3472,'Special Names'!A:B,2,FALSE),B3472),PlayerValues!E:E,0)),"N/A")</f>
        <v>14223</v>
      </c>
      <c r="B3472" s="4" t="s">
        <v>785</v>
      </c>
      <c r="C3472" s="4" t="s">
        <v>278</v>
      </c>
      <c r="D3472" s="94">
        <v>837.0</v>
      </c>
    </row>
    <row r="3473">
      <c r="A3473" s="40">
        <f t="array" ref="A3473">IFNA(index(PlayerValues!A:A,match(IFNA(vlookup(B3473,'Special Names'!A:B,2,FALSE),B3473),PlayerValues!E:E,0)),"N/A")</f>
        <v>16623</v>
      </c>
      <c r="B3473" s="4" t="s">
        <v>803</v>
      </c>
      <c r="C3473" s="4" t="s">
        <v>287</v>
      </c>
      <c r="D3473" s="94">
        <v>830.0</v>
      </c>
    </row>
    <row r="3474">
      <c r="A3474" s="40">
        <f t="array" ref="A3474">IFNA(index(PlayerValues!A:A,match(IFNA(vlookup(B3474,'Special Names'!A:B,2,FALSE),B3474),PlayerValues!E:E,0)),"N/A")</f>
        <v>13156</v>
      </c>
      <c r="B3474" s="4" t="s">
        <v>835</v>
      </c>
      <c r="C3474" s="4" t="s">
        <v>287</v>
      </c>
      <c r="D3474" s="94">
        <v>827.0</v>
      </c>
    </row>
    <row r="3475">
      <c r="A3475" s="40">
        <f t="array" ref="A3475">IFNA(index(PlayerValues!A:A,match(IFNA(vlookup(B3475,'Special Names'!A:B,2,FALSE),B3475),PlayerValues!E:E,0)),"N/A")</f>
        <v>16170</v>
      </c>
      <c r="B3475" s="4" t="s">
        <v>801</v>
      </c>
      <c r="C3475" s="4" t="s">
        <v>278</v>
      </c>
      <c r="D3475" s="94">
        <v>817.0</v>
      </c>
    </row>
    <row r="3476">
      <c r="A3476" s="40">
        <f t="array" ref="A3476">IFNA(index(PlayerValues!A:A,match(IFNA(vlookup(B3476,'Special Names'!A:B,2,FALSE),B3476),PlayerValues!E:E,0)),"N/A")</f>
        <v>16625</v>
      </c>
      <c r="B3476" s="4" t="s">
        <v>778</v>
      </c>
      <c r="C3476" s="4" t="s">
        <v>287</v>
      </c>
      <c r="D3476" s="94">
        <v>814.0</v>
      </c>
    </row>
    <row r="3477">
      <c r="A3477" s="40">
        <f t="array" ref="A3477">IFNA(index(PlayerValues!A:A,match(IFNA(vlookup(B3477,'Special Names'!A:B,2,FALSE),B3477),PlayerValues!E:E,0)),"N/A")</f>
        <v>16686</v>
      </c>
      <c r="B3477" s="4" t="s">
        <v>805</v>
      </c>
      <c r="C3477" s="4" t="s">
        <v>287</v>
      </c>
      <c r="D3477" s="94">
        <v>807.0</v>
      </c>
    </row>
    <row r="3478">
      <c r="A3478" s="40">
        <f t="array" ref="A3478">IFNA(index(PlayerValues!A:A,match(IFNA(vlookup(B3478,'Special Names'!A:B,2,FALSE),B3478),PlayerValues!E:E,0)),"N/A")</f>
        <v>14805</v>
      </c>
      <c r="B3478" s="4" t="s">
        <v>770</v>
      </c>
      <c r="C3478" s="4" t="s">
        <v>278</v>
      </c>
      <c r="D3478" s="94">
        <v>806.0</v>
      </c>
    </row>
    <row r="3479">
      <c r="A3479" s="40">
        <f t="array" ref="A3479">IFNA(index(PlayerValues!A:A,match(IFNA(vlookup(B3479,'Special Names'!A:B,2,FALSE),B3479),PlayerValues!E:E,0)),"N/A")</f>
        <v>13157</v>
      </c>
      <c r="B3479" s="4" t="s">
        <v>836</v>
      </c>
      <c r="C3479" s="4" t="s">
        <v>287</v>
      </c>
      <c r="D3479" s="94">
        <v>776.0</v>
      </c>
    </row>
    <row r="3480">
      <c r="A3480" s="40">
        <f t="array" ref="A3480">IFNA(index(PlayerValues!A:A,match(IFNA(vlookup(B3480,'Special Names'!A:B,2,FALSE),B3480),PlayerValues!E:E,0)),"N/A")</f>
        <v>14852</v>
      </c>
      <c r="B3480" s="4" t="s">
        <v>837</v>
      </c>
      <c r="C3480" s="4" t="s">
        <v>278</v>
      </c>
      <c r="D3480" s="94">
        <v>775.0</v>
      </c>
    </row>
    <row r="3481">
      <c r="A3481" s="40">
        <f t="array" ref="A3481">IFNA(index(PlayerValues!A:A,match(IFNA(vlookup(B3481,'Special Names'!A:B,2,FALSE),B3481),PlayerValues!E:E,0)),"N/A")</f>
        <v>15285</v>
      </c>
      <c r="B3481" s="4" t="s">
        <v>792</v>
      </c>
      <c r="C3481" s="4" t="s">
        <v>287</v>
      </c>
      <c r="D3481" s="94">
        <v>755.0</v>
      </c>
    </row>
    <row r="3482">
      <c r="A3482" s="40">
        <f t="array" ref="A3482">IFNA(index(PlayerValues!A:A,match(IFNA(vlookup(B3482,'Special Names'!A:B,2,FALSE),B3482),PlayerValues!E:E,0)),"N/A")</f>
        <v>17038</v>
      </c>
      <c r="B3482" s="4" t="s">
        <v>774</v>
      </c>
      <c r="C3482" s="4" t="s">
        <v>283</v>
      </c>
      <c r="D3482" s="94">
        <v>755.0</v>
      </c>
    </row>
    <row r="3483">
      <c r="A3483" s="40">
        <f t="array" ref="A3483">IFNA(index(PlayerValues!A:A,match(IFNA(vlookup(B3483,'Special Names'!A:B,2,FALSE),B3483),PlayerValues!E:E,0)),"N/A")</f>
        <v>14858</v>
      </c>
      <c r="B3483" s="4" t="s">
        <v>799</v>
      </c>
      <c r="C3483" s="4" t="s">
        <v>287</v>
      </c>
      <c r="D3483" s="94">
        <v>749.0</v>
      </c>
    </row>
    <row r="3484">
      <c r="A3484" s="40">
        <f t="array" ref="A3484">IFNA(index(PlayerValues!A:A,match(IFNA(vlookup(B3484,'Special Names'!A:B,2,FALSE),B3484),PlayerValues!E:E,0)),"N/A")</f>
        <v>15965</v>
      </c>
      <c r="B3484" s="4" t="s">
        <v>791</v>
      </c>
      <c r="C3484" s="4" t="s">
        <v>278</v>
      </c>
      <c r="D3484" s="94">
        <v>748.0</v>
      </c>
    </row>
    <row r="3485">
      <c r="A3485" s="40">
        <f t="array" ref="A3485">IFNA(index(PlayerValues!A:A,match(IFNA(vlookup(B3485,'Special Names'!A:B,2,FALSE),B3485),PlayerValues!E:E,0)),"N/A")</f>
        <v>12610</v>
      </c>
      <c r="B3485" s="4" t="s">
        <v>838</v>
      </c>
      <c r="C3485" s="4" t="s">
        <v>283</v>
      </c>
      <c r="D3485" s="94">
        <v>744.0</v>
      </c>
    </row>
    <row r="3486">
      <c r="A3486" s="40">
        <f t="array" ref="A3486">IFNA(index(PlayerValues!A:A,match(IFNA(vlookup(B3486,'Special Names'!A:B,2,FALSE),B3486),PlayerValues!E:E,0)),"N/A")</f>
        <v>14113</v>
      </c>
      <c r="B3486" s="4" t="s">
        <v>788</v>
      </c>
      <c r="C3486" s="4" t="s">
        <v>287</v>
      </c>
      <c r="D3486" s="94">
        <v>742.0</v>
      </c>
    </row>
    <row r="3487">
      <c r="A3487" s="40">
        <f t="array" ref="A3487">IFNA(index(PlayerValues!A:A,match(IFNA(vlookup(B3487,'Special Names'!A:B,2,FALSE),B3487),PlayerValues!E:E,0)),"N/A")</f>
        <v>14209</v>
      </c>
      <c r="B3487" s="4" t="s">
        <v>809</v>
      </c>
      <c r="C3487" s="4" t="s">
        <v>298</v>
      </c>
      <c r="D3487" s="94">
        <v>1109.0</v>
      </c>
    </row>
    <row r="3488">
      <c r="A3488" s="40">
        <f t="array" ref="A3488">IFNA(index(PlayerValues!A:A,match(IFNA(vlookup(B3488,'Special Names'!A:B,2,FALSE),B3488),PlayerValues!E:E,0)),"N/A")</f>
        <v>13176</v>
      </c>
      <c r="B3488" s="4" t="s">
        <v>807</v>
      </c>
      <c r="C3488" s="4" t="s">
        <v>287</v>
      </c>
      <c r="D3488" s="94">
        <v>741.0</v>
      </c>
    </row>
    <row r="3489">
      <c r="A3489" s="40">
        <f t="array" ref="A3489">IFNA(index(PlayerValues!A:A,match(IFNA(vlookup(B3489,'Special Names'!A:B,2,FALSE),B3489),PlayerValues!E:E,0)),"N/A")</f>
        <v>15714</v>
      </c>
      <c r="B3489" s="4" t="s">
        <v>775</v>
      </c>
      <c r="C3489" s="4" t="s">
        <v>278</v>
      </c>
      <c r="D3489" s="94">
        <v>740.0</v>
      </c>
    </row>
    <row r="3490">
      <c r="A3490" s="40">
        <f t="array" ref="A3490">IFNA(index(PlayerValues!A:A,match(IFNA(vlookup(B3490,'Special Names'!A:B,2,FALSE),B3490),PlayerValues!E:E,0)),"N/A")</f>
        <v>13675</v>
      </c>
      <c r="B3490" s="4" t="s">
        <v>839</v>
      </c>
      <c r="C3490" s="4" t="s">
        <v>298</v>
      </c>
      <c r="D3490" s="94">
        <v>1106.0</v>
      </c>
    </row>
    <row r="3491">
      <c r="A3491" s="40">
        <f t="array" ref="A3491">IFNA(index(PlayerValues!A:A,match(IFNA(vlookup(B3491,'Special Names'!A:B,2,FALSE),B3491),PlayerValues!E:E,0)),"N/A")</f>
        <v>17541</v>
      </c>
      <c r="B3491" s="4" t="s">
        <v>616</v>
      </c>
      <c r="C3491" s="4" t="s">
        <v>287</v>
      </c>
      <c r="D3491" s="94">
        <v>722.0</v>
      </c>
    </row>
    <row r="3492">
      <c r="A3492" s="40">
        <f t="array" ref="A3492">IFNA(index(PlayerValues!A:A,match(IFNA(vlookup(B3492,'Special Names'!A:B,2,FALSE),B3492),PlayerValues!E:E,0)),"N/A")</f>
        <v>16413</v>
      </c>
      <c r="B3492" s="4" t="s">
        <v>781</v>
      </c>
      <c r="C3492" s="4" t="s">
        <v>287</v>
      </c>
      <c r="D3492" s="94">
        <v>716.0</v>
      </c>
    </row>
    <row r="3493">
      <c r="A3493" s="40">
        <f t="array" ref="A3493">IFNA(index(PlayerValues!A:A,match(IFNA(vlookup(B3493,'Special Names'!A:B,2,FALSE),B3493),PlayerValues!E:E,0)),"N/A")</f>
        <v>13172</v>
      </c>
      <c r="B3493" s="4" t="s">
        <v>840</v>
      </c>
      <c r="C3493" s="4" t="s">
        <v>287</v>
      </c>
      <c r="D3493" s="94">
        <v>712.0</v>
      </c>
    </row>
    <row r="3494">
      <c r="A3494" s="40">
        <f t="array" ref="A3494">IFNA(index(PlayerValues!A:A,match(IFNA(vlookup(B3494,'Special Names'!A:B,2,FALSE),B3494),PlayerValues!E:E,0)),"N/A")</f>
        <v>10413</v>
      </c>
      <c r="B3494" s="4" t="s">
        <v>811</v>
      </c>
      <c r="C3494" s="4" t="s">
        <v>283</v>
      </c>
      <c r="D3494" s="94">
        <v>705.0</v>
      </c>
    </row>
    <row r="3495">
      <c r="A3495" s="40">
        <f t="array" ref="A3495">IFNA(index(PlayerValues!A:A,match(IFNA(vlookup(B3495,'Special Names'!A:B,2,FALSE),B3495),PlayerValues!E:E,0)),"N/A")</f>
        <v>17232</v>
      </c>
      <c r="B3495" s="4" t="s">
        <v>784</v>
      </c>
      <c r="C3495" s="4" t="s">
        <v>287</v>
      </c>
      <c r="D3495" s="94">
        <v>700.0</v>
      </c>
    </row>
    <row r="3496">
      <c r="A3496" s="40">
        <f t="array" ref="A3496">IFNA(index(PlayerValues!A:A,match(IFNA(vlookup(B3496,'Special Names'!A:B,2,FALSE),B3496),PlayerValues!E:E,0)),"N/A")</f>
        <v>17470</v>
      </c>
      <c r="B3496" s="4" t="s">
        <v>841</v>
      </c>
      <c r="C3496" s="4" t="s">
        <v>283</v>
      </c>
      <c r="D3496" s="94">
        <v>699.0</v>
      </c>
    </row>
    <row r="3497">
      <c r="A3497" s="40">
        <f t="array" ref="A3497">IFNA(index(PlayerValues!A:A,match(IFNA(vlookup(B3497,'Special Names'!A:B,2,FALSE),B3497),PlayerValues!E:E,0)),"N/A")</f>
        <v>12658</v>
      </c>
      <c r="B3497" s="4" t="s">
        <v>823</v>
      </c>
      <c r="C3497" s="4" t="s">
        <v>287</v>
      </c>
      <c r="D3497" s="94">
        <v>690.0</v>
      </c>
    </row>
    <row r="3498">
      <c r="A3498" s="40">
        <f t="array" ref="A3498">IFNA(index(PlayerValues!A:A,match(IFNA(vlookup(B3498,'Special Names'!A:B,2,FALSE),B3498),PlayerValues!E:E,0)),"N/A")</f>
        <v>16632</v>
      </c>
      <c r="B3498" s="4" t="s">
        <v>842</v>
      </c>
      <c r="C3498" s="4" t="s">
        <v>287</v>
      </c>
      <c r="D3498" s="94">
        <v>690.0</v>
      </c>
    </row>
    <row r="3499">
      <c r="A3499" s="40">
        <f t="array" ref="A3499">IFNA(index(PlayerValues!A:A,match(IFNA(vlookup(B3499,'Special Names'!A:B,2,FALSE),B3499),PlayerValues!E:E,0)),"N/A")</f>
        <v>14870</v>
      </c>
      <c r="B3499" s="4" t="s">
        <v>843</v>
      </c>
      <c r="C3499" s="4" t="s">
        <v>298</v>
      </c>
      <c r="D3499" s="94">
        <v>1054.0</v>
      </c>
    </row>
    <row r="3500">
      <c r="A3500" s="40">
        <f t="array" ref="A3500">IFNA(index(PlayerValues!A:A,match(IFNA(vlookup(B3500,'Special Names'!A:B,2,FALSE),B3500),PlayerValues!E:E,0)),"N/A")</f>
        <v>17526</v>
      </c>
      <c r="B3500" s="4" t="s">
        <v>760</v>
      </c>
      <c r="C3500" s="4" t="s">
        <v>287</v>
      </c>
      <c r="D3500" s="94">
        <v>686.0</v>
      </c>
    </row>
    <row r="3501">
      <c r="A3501" s="40">
        <f t="array" ref="A3501">IFNA(index(PlayerValues!A:A,match(IFNA(vlookup(B3501,'Special Names'!A:B,2,FALSE),B3501),PlayerValues!E:E,0)),"N/A")</f>
        <v>13589</v>
      </c>
      <c r="B3501" s="4" t="s">
        <v>282</v>
      </c>
      <c r="C3501" s="4" t="s">
        <v>283</v>
      </c>
      <c r="D3501" s="94">
        <v>9987.0</v>
      </c>
    </row>
    <row r="3502">
      <c r="A3502" s="40">
        <f t="array" ref="A3502">IFNA(index(PlayerValues!A:A,match(IFNA(vlookup(B3502,'Special Names'!A:B,2,FALSE),B3502),PlayerValues!E:E,0)),"N/A")</f>
        <v>16161</v>
      </c>
      <c r="B3502" s="4" t="s">
        <v>277</v>
      </c>
      <c r="C3502" s="4" t="s">
        <v>278</v>
      </c>
      <c r="D3502" s="94">
        <v>9981.0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9837.0</v>
      </c>
    </row>
    <row r="3504">
      <c r="A3504" s="40">
        <f t="array" ref="A3504">IFNA(index(PlayerValues!A:A,match(IFNA(vlookup(B3504,'Special Names'!A:B,2,FALSE),B3504),PlayerValues!E:E,0)),"N/A")</f>
        <v>16185</v>
      </c>
      <c r="B3504" s="4" t="s">
        <v>290</v>
      </c>
      <c r="C3504" s="4" t="s">
        <v>287</v>
      </c>
      <c r="D3504" s="94">
        <v>9784.0</v>
      </c>
    </row>
    <row r="3505">
      <c r="A3505" s="40">
        <f t="array" ref="A3505">IFNA(index(PlayerValues!A:A,match(IFNA(vlookup(B3505,'Special Names'!A:B,2,FALSE),B3505),PlayerValues!E:E,0)),"N/A")</f>
        <v>16162</v>
      </c>
      <c r="B3505" s="4" t="s">
        <v>281</v>
      </c>
      <c r="C3505" s="4" t="s">
        <v>278</v>
      </c>
      <c r="D3505" s="94">
        <v>9645.0</v>
      </c>
    </row>
    <row r="3506">
      <c r="A3506" s="40">
        <f t="array" ref="A3506">IFNA(index(PlayerValues!A:A,match(IFNA(vlookup(B3506,'Special Names'!A:B,2,FALSE),B3506),PlayerValues!E:E,0)),"N/A")</f>
        <v>16580</v>
      </c>
      <c r="B3506" s="4" t="s">
        <v>291</v>
      </c>
      <c r="C3506" s="4" t="s">
        <v>283</v>
      </c>
      <c r="D3506" s="94">
        <v>9367.0</v>
      </c>
    </row>
    <row r="3507">
      <c r="A3507" s="40">
        <f t="array" ref="A3507">IFNA(index(PlayerValues!A:A,match(IFNA(vlookup(B3507,'Special Names'!A:B,2,FALSE),B3507),PlayerValues!E:E,0)),"N/A")</f>
        <v>16211</v>
      </c>
      <c r="B3507" s="4" t="s">
        <v>294</v>
      </c>
      <c r="C3507" s="4" t="s">
        <v>287</v>
      </c>
      <c r="D3507" s="94">
        <v>9253.0</v>
      </c>
    </row>
    <row r="3508">
      <c r="A3508" s="40">
        <f t="array" ref="A3508">IFNA(index(PlayerValues!A:A,match(IFNA(vlookup(B3508,'Special Names'!A:B,2,FALSE),B3508),PlayerValues!E:E,0)),"N/A")</f>
        <v>16579</v>
      </c>
      <c r="B3508" s="4" t="s">
        <v>302</v>
      </c>
      <c r="C3508" s="4" t="s">
        <v>283</v>
      </c>
      <c r="D3508" s="94">
        <v>7752.0</v>
      </c>
    </row>
    <row r="3509">
      <c r="A3509" s="40">
        <f t="array" ref="A3509">IFNA(index(PlayerValues!A:A,match(IFNA(vlookup(B3509,'Special Names'!A:B,2,FALSE),B3509),PlayerValues!E:E,0)),"N/A")</f>
        <v>16581</v>
      </c>
      <c r="B3509" s="4" t="s">
        <v>315</v>
      </c>
      <c r="C3509" s="4" t="s">
        <v>283</v>
      </c>
      <c r="D3509" s="94">
        <v>7751.0</v>
      </c>
    </row>
    <row r="3510">
      <c r="A3510" s="40">
        <f t="array" ref="A3510">IFNA(index(PlayerValues!A:A,match(IFNA(vlookup(B3510,'Special Names'!A:B,2,FALSE),B3510),PlayerValues!E:E,0)),"N/A")</f>
        <v>16641</v>
      </c>
      <c r="B3510" s="4" t="s">
        <v>297</v>
      </c>
      <c r="C3510" s="4" t="s">
        <v>298</v>
      </c>
      <c r="D3510" s="94">
        <v>8555.0</v>
      </c>
    </row>
    <row r="3511">
      <c r="A3511" s="40">
        <f t="array" ref="A3511">IFNA(index(PlayerValues!A:A,match(IFNA(vlookup(B3511,'Special Names'!A:B,2,FALSE),B3511),PlayerValues!E:E,0)),"N/A")</f>
        <v>15287</v>
      </c>
      <c r="B3511" s="4" t="s">
        <v>299</v>
      </c>
      <c r="C3511" s="4" t="s">
        <v>287</v>
      </c>
      <c r="D3511" s="94">
        <v>7713.0</v>
      </c>
    </row>
    <row r="3512">
      <c r="A3512" s="40">
        <f t="array" ref="A3512">IFNA(index(PlayerValues!A:A,match(IFNA(vlookup(B3512,'Special Names'!A:B,2,FALSE),B3512),PlayerValues!E:E,0)),"N/A")</f>
        <v>16615</v>
      </c>
      <c r="B3512" s="4" t="s">
        <v>309</v>
      </c>
      <c r="C3512" s="4" t="s">
        <v>287</v>
      </c>
      <c r="D3512" s="94">
        <v>7709.0</v>
      </c>
    </row>
    <row r="3513">
      <c r="A3513" s="40">
        <f t="array" ref="A3513">IFNA(index(PlayerValues!A:A,match(IFNA(vlookup(B3513,'Special Names'!A:B,2,FALSE),B3513),PlayerValues!E:E,0)),"N/A")</f>
        <v>13593</v>
      </c>
      <c r="B3513" s="4" t="s">
        <v>305</v>
      </c>
      <c r="C3513" s="4" t="s">
        <v>283</v>
      </c>
      <c r="D3513" s="94">
        <v>7682.0</v>
      </c>
    </row>
    <row r="3514">
      <c r="A3514" s="40">
        <f t="array" ref="A3514">IFNA(index(PlayerValues!A:A,match(IFNA(vlookup(B3514,'Special Names'!A:B,2,FALSE),B3514),PlayerValues!E:E,0)),"N/A")</f>
        <v>14836</v>
      </c>
      <c r="B3514" s="4" t="s">
        <v>306</v>
      </c>
      <c r="C3514" s="4" t="s">
        <v>287</v>
      </c>
      <c r="D3514" s="94">
        <v>7681.0</v>
      </c>
    </row>
    <row r="3515">
      <c r="A3515" s="40">
        <f t="array" ref="A3515">IFNA(index(PlayerValues!A:A,match(IFNA(vlookup(B3515,'Special Names'!A:B,2,FALSE),B3515),PlayerValues!E:E,0)),"N/A")</f>
        <v>15794</v>
      </c>
      <c r="B3515" s="4" t="s">
        <v>313</v>
      </c>
      <c r="C3515" s="4" t="s">
        <v>298</v>
      </c>
      <c r="D3515" s="94">
        <v>8420.0</v>
      </c>
    </row>
    <row r="3516">
      <c r="A3516" s="40">
        <f t="array" ref="A3516">IFNA(index(PlayerValues!A:A,match(IFNA(vlookup(B3516,'Special Names'!A:B,2,FALSE),B3516),PlayerValues!E:E,0)),"N/A")</f>
        <v>17042</v>
      </c>
      <c r="B3516" s="4" t="s">
        <v>314</v>
      </c>
      <c r="C3516" s="4" t="s">
        <v>278</v>
      </c>
      <c r="D3516" s="94">
        <v>7477.0</v>
      </c>
    </row>
    <row r="3517">
      <c r="A3517" s="40">
        <f t="array" ref="A3517">IFNA(index(PlayerValues!A:A,match(IFNA(vlookup(B3517,'Special Names'!A:B,2,FALSE),B3517),PlayerValues!E:E,0)),"N/A")</f>
        <v>17472</v>
      </c>
      <c r="B3517" s="4" t="s">
        <v>310</v>
      </c>
      <c r="C3517" s="4" t="s">
        <v>278</v>
      </c>
      <c r="D3517" s="94">
        <v>7416.0</v>
      </c>
    </row>
    <row r="3518">
      <c r="A3518" s="40">
        <f t="array" ref="A3518">IFNA(index(PlayerValues!A:A,match(IFNA(vlookup(B3518,'Special Names'!A:B,2,FALSE),B3518),PlayerValues!E:E,0)),"N/A")</f>
        <v>14777</v>
      </c>
      <c r="B3518" s="4" t="s">
        <v>318</v>
      </c>
      <c r="C3518" s="4" t="s">
        <v>283</v>
      </c>
      <c r="D3518" s="94">
        <v>7372.0</v>
      </c>
    </row>
    <row r="3519">
      <c r="A3519" s="40">
        <f t="array" ref="A3519">IFNA(index(PlayerValues!A:A,match(IFNA(vlookup(B3519,'Special Names'!A:B,2,FALSE),B3519),PlayerValues!E:E,0)),"N/A")</f>
        <v>14832</v>
      </c>
      <c r="B3519" s="4" t="s">
        <v>319</v>
      </c>
      <c r="C3519" s="4" t="s">
        <v>287</v>
      </c>
      <c r="D3519" s="94">
        <v>7324.0</v>
      </c>
    </row>
    <row r="3520">
      <c r="A3520" s="40">
        <f t="array" ref="A3520">IFNA(index(PlayerValues!A:A,match(IFNA(vlookup(B3520,'Special Names'!A:B,2,FALSE),B3520),PlayerValues!E:E,0)),"N/A")</f>
        <v>15751</v>
      </c>
      <c r="B3520" s="4" t="s">
        <v>328</v>
      </c>
      <c r="C3520" s="4" t="s">
        <v>287</v>
      </c>
      <c r="D3520" s="94">
        <v>6947.0</v>
      </c>
    </row>
    <row r="3521">
      <c r="A3521" s="40">
        <f t="array" ref="A3521">IFNA(index(PlayerValues!A:A,match(IFNA(vlookup(B3521,'Special Names'!A:B,2,FALSE),B3521),PlayerValues!E:E,0)),"N/A")</f>
        <v>14779</v>
      </c>
      <c r="B3521" s="4" t="s">
        <v>327</v>
      </c>
      <c r="C3521" s="4" t="s">
        <v>283</v>
      </c>
      <c r="D3521" s="94">
        <v>6921.0</v>
      </c>
    </row>
    <row r="3522">
      <c r="A3522" s="40" t="str">
        <f t="array" ref="A3522">IFNA(index(PlayerValues!A:A,match(IFNA(vlookup(B3522,'Special Names'!A:B,2,FALSE),B3522),PlayerValues!E:E,0)),"N/A")</f>
        <v>N/A</v>
      </c>
      <c r="B3522" s="4" t="s">
        <v>92</v>
      </c>
      <c r="C3522" s="4" t="s">
        <v>325</v>
      </c>
      <c r="D3522" s="94">
        <v>6850.0</v>
      </c>
    </row>
    <row r="3523">
      <c r="A3523" s="40">
        <f t="array" ref="A3523">IFNA(index(PlayerValues!A:A,match(IFNA(vlookup(B3523,'Special Names'!A:B,2,FALSE),B3523),PlayerValues!E:E,0)),"N/A")</f>
        <v>16167</v>
      </c>
      <c r="B3523" s="4" t="s">
        <v>323</v>
      </c>
      <c r="C3523" s="4" t="s">
        <v>278</v>
      </c>
      <c r="D3523" s="94">
        <v>6838.0</v>
      </c>
    </row>
    <row r="3524">
      <c r="A3524" s="40">
        <f t="array" ref="A3524">IFNA(index(PlayerValues!A:A,match(IFNA(vlookup(B3524,'Special Names'!A:B,2,FALSE),B3524),PlayerValues!E:E,0)),"N/A")</f>
        <v>13116</v>
      </c>
      <c r="B3524" s="4" t="s">
        <v>345</v>
      </c>
      <c r="C3524" s="4" t="s">
        <v>283</v>
      </c>
      <c r="D3524" s="94">
        <v>6801.0</v>
      </c>
    </row>
    <row r="3525">
      <c r="A3525" s="40">
        <f t="array" ref="A3525">IFNA(index(PlayerValues!A:A,match(IFNA(vlookup(B3525,'Special Names'!A:B,2,FALSE),B3525),PlayerValues!E:E,0)),"N/A")</f>
        <v>17044</v>
      </c>
      <c r="B3525" s="4" t="s">
        <v>322</v>
      </c>
      <c r="C3525" s="4" t="s">
        <v>278</v>
      </c>
      <c r="D3525" s="94">
        <v>6763.0</v>
      </c>
    </row>
    <row r="3526">
      <c r="A3526" s="40">
        <f t="array" ref="A3526">IFNA(index(PlayerValues!A:A,match(IFNA(vlookup(B3526,'Special Names'!A:B,2,FALSE),B3526),PlayerValues!E:E,0)),"N/A")</f>
        <v>17032</v>
      </c>
      <c r="B3526" s="4" t="s">
        <v>348</v>
      </c>
      <c r="C3526" s="4" t="s">
        <v>283</v>
      </c>
      <c r="D3526" s="94">
        <v>6653.0</v>
      </c>
    </row>
    <row r="3527">
      <c r="A3527" s="40">
        <f t="array" ref="A3527">IFNA(index(PlayerValues!A:A,match(IFNA(vlookup(B3527,'Special Names'!A:B,2,FALSE),B3527),PlayerValues!E:E,0)),"N/A")</f>
        <v>17071</v>
      </c>
      <c r="B3527" s="4" t="s">
        <v>341</v>
      </c>
      <c r="C3527" s="4" t="s">
        <v>287</v>
      </c>
      <c r="D3527" s="94">
        <v>6645.0</v>
      </c>
    </row>
    <row r="3528">
      <c r="A3528" s="40">
        <f t="array" ref="A3528">IFNA(index(PlayerValues!A:A,match(IFNA(vlookup(B3528,'Special Names'!A:B,2,FALSE),B3528),PlayerValues!E:E,0)),"N/A")</f>
        <v>14783</v>
      </c>
      <c r="B3528" s="4" t="s">
        <v>342</v>
      </c>
      <c r="C3528" s="4" t="s">
        <v>283</v>
      </c>
      <c r="D3528" s="94">
        <v>6334.0</v>
      </c>
    </row>
    <row r="3529">
      <c r="A3529" s="40">
        <f t="array" ref="A3529">IFNA(index(PlayerValues!A:A,match(IFNA(vlookup(B3529,'Special Names'!A:B,2,FALSE),B3529),PlayerValues!E:E,0)),"N/A")</f>
        <v>15237</v>
      </c>
      <c r="B3529" s="4" t="s">
        <v>336</v>
      </c>
      <c r="C3529" s="4" t="s">
        <v>283</v>
      </c>
      <c r="D3529" s="94">
        <v>6284.0</v>
      </c>
    </row>
    <row r="3530">
      <c r="A3530" s="40">
        <f t="array" ref="A3530">IFNA(index(PlayerValues!A:A,match(IFNA(vlookup(B3530,'Special Names'!A:B,2,FALSE),B3530),PlayerValues!E:E,0)),"N/A")</f>
        <v>16582</v>
      </c>
      <c r="B3530" s="4" t="s">
        <v>343</v>
      </c>
      <c r="C3530" s="4" t="s">
        <v>283</v>
      </c>
      <c r="D3530" s="94">
        <v>6254.0</v>
      </c>
    </row>
    <row r="3531">
      <c r="A3531" s="40">
        <f t="array" ref="A3531">IFNA(index(PlayerValues!A:A,match(IFNA(vlookup(B3531,'Special Names'!A:B,2,FALSE),B3531),PlayerValues!E:E,0)),"N/A")</f>
        <v>15762</v>
      </c>
      <c r="B3531" s="4" t="s">
        <v>337</v>
      </c>
      <c r="C3531" s="4" t="s">
        <v>287</v>
      </c>
      <c r="D3531" s="94">
        <v>6067.0</v>
      </c>
    </row>
    <row r="3532">
      <c r="A3532" s="40">
        <f t="array" ref="A3532">IFNA(index(PlayerValues!A:A,match(IFNA(vlookup(B3532,'Special Names'!A:B,2,FALSE),B3532),PlayerValues!E:E,0)),"N/A")</f>
        <v>17081</v>
      </c>
      <c r="B3532" s="4" t="s">
        <v>340</v>
      </c>
      <c r="C3532" s="4" t="s">
        <v>287</v>
      </c>
      <c r="D3532" s="94">
        <v>5993.0</v>
      </c>
    </row>
    <row r="3533">
      <c r="A3533" s="40">
        <f t="array" ref="A3533">IFNA(index(PlayerValues!A:A,match(IFNA(vlookup(B3533,'Special Names'!A:B,2,FALSE),B3533),PlayerValues!E:E,0)),"N/A")</f>
        <v>17104</v>
      </c>
      <c r="B3533" s="4" t="s">
        <v>333</v>
      </c>
      <c r="C3533" s="4" t="s">
        <v>298</v>
      </c>
      <c r="D3533" s="94">
        <v>6658.0</v>
      </c>
    </row>
    <row r="3534">
      <c r="A3534" s="40">
        <f t="array" ref="A3534">IFNA(index(PlayerValues!A:A,match(IFNA(vlookup(B3534,'Special Names'!A:B,2,FALSE),B3534),PlayerValues!E:E,0)),"N/A")</f>
        <v>15715</v>
      </c>
      <c r="B3534" s="4" t="s">
        <v>331</v>
      </c>
      <c r="C3534" s="4" t="s">
        <v>278</v>
      </c>
      <c r="D3534" s="94">
        <v>5990.0</v>
      </c>
    </row>
    <row r="3535">
      <c r="A3535" s="40">
        <f t="array" ref="A3535">IFNA(index(PlayerValues!A:A,match(IFNA(vlookup(B3535,'Special Names'!A:B,2,FALSE),B3535),PlayerValues!E:E,0)),"N/A")</f>
        <v>14802</v>
      </c>
      <c r="B3535" s="4" t="s">
        <v>332</v>
      </c>
      <c r="C3535" s="4" t="s">
        <v>278</v>
      </c>
      <c r="D3535" s="94">
        <v>5987.0</v>
      </c>
    </row>
    <row r="3536">
      <c r="A3536" s="40">
        <f t="array" ref="A3536">IFNA(index(PlayerValues!A:A,match(IFNA(vlookup(B3536,'Special Names'!A:B,2,FALSE),B3536),PlayerValues!E:E,0)),"N/A")</f>
        <v>15698</v>
      </c>
      <c r="B3536" s="4" t="s">
        <v>358</v>
      </c>
      <c r="C3536" s="4" t="s">
        <v>283</v>
      </c>
      <c r="D3536" s="94">
        <v>5968.0</v>
      </c>
    </row>
    <row r="3537">
      <c r="A3537" s="40" t="str">
        <f t="array" ref="A3537">IFNA(index(PlayerValues!A:A,match(IFNA(vlookup(B3537,'Special Names'!A:B,2,FALSE),B3537),PlayerValues!E:E,0)),"N/A")</f>
        <v>N/A</v>
      </c>
      <c r="B3537" s="4" t="s">
        <v>79</v>
      </c>
      <c r="C3537" s="4" t="s">
        <v>325</v>
      </c>
      <c r="D3537" s="94">
        <v>5841.0</v>
      </c>
    </row>
    <row r="3538">
      <c r="A3538" s="40">
        <f t="array" ref="A3538">IFNA(index(PlayerValues!A:A,match(IFNA(vlookup(B3538,'Special Names'!A:B,2,FALSE),B3538),PlayerValues!E:E,0)),"N/A")</f>
        <v>15753</v>
      </c>
      <c r="B3538" s="4" t="s">
        <v>359</v>
      </c>
      <c r="C3538" s="4" t="s">
        <v>287</v>
      </c>
      <c r="D3538" s="94">
        <v>5774.0</v>
      </c>
    </row>
    <row r="3539">
      <c r="A3539" s="40">
        <f t="array" ref="A3539">IFNA(index(PlayerValues!A:A,match(IFNA(vlookup(B3539,'Special Names'!A:B,2,FALSE),B3539),PlayerValues!E:E,0)),"N/A")</f>
        <v>15290</v>
      </c>
      <c r="B3539" s="4" t="s">
        <v>355</v>
      </c>
      <c r="C3539" s="4" t="s">
        <v>287</v>
      </c>
      <c r="D3539" s="94">
        <v>5772.0</v>
      </c>
    </row>
    <row r="3540">
      <c r="A3540" s="40">
        <f t="array" ref="A3540">IFNA(index(PlayerValues!A:A,match(IFNA(vlookup(B3540,'Special Names'!A:B,2,FALSE),B3540),PlayerValues!E:E,0)),"N/A")</f>
        <v>15711</v>
      </c>
      <c r="B3540" s="4" t="s">
        <v>349</v>
      </c>
      <c r="C3540" s="4" t="s">
        <v>278</v>
      </c>
      <c r="D3540" s="94">
        <v>5764.0</v>
      </c>
    </row>
    <row r="3541">
      <c r="A3541" s="40">
        <f t="array" ref="A3541">IFNA(index(PlayerValues!A:A,match(IFNA(vlookup(B3541,'Special Names'!A:B,2,FALSE),B3541),PlayerValues!E:E,0)),"N/A")</f>
        <v>17102</v>
      </c>
      <c r="B3541" s="4" t="s">
        <v>344</v>
      </c>
      <c r="C3541" s="4" t="s">
        <v>298</v>
      </c>
      <c r="D3541" s="94">
        <v>6401.0</v>
      </c>
    </row>
    <row r="3542">
      <c r="A3542" s="40">
        <f t="array" ref="A3542">IFNA(index(PlayerValues!A:A,match(IFNA(vlookup(B3542,'Special Names'!A:B,2,FALSE),B3542),PlayerValues!E:E,0)),"N/A")</f>
        <v>14782</v>
      </c>
      <c r="B3542" s="4" t="s">
        <v>385</v>
      </c>
      <c r="C3542" s="4" t="s">
        <v>283</v>
      </c>
      <c r="D3542" s="94">
        <v>5698.0</v>
      </c>
    </row>
    <row r="3543">
      <c r="A3543" s="40">
        <f t="array" ref="A3543">IFNA(index(PlayerValues!A:A,match(IFNA(vlookup(B3543,'Special Names'!A:B,2,FALSE),B3543),PlayerValues!E:E,0)),"N/A")</f>
        <v>15754</v>
      </c>
      <c r="B3543" s="4" t="s">
        <v>354</v>
      </c>
      <c r="C3543" s="4" t="s">
        <v>287</v>
      </c>
      <c r="D3543" s="94">
        <v>5675.0</v>
      </c>
    </row>
    <row r="3544">
      <c r="A3544" s="40" t="str">
        <f t="array" ref="A3544">IFNA(index(PlayerValues!A:A,match(IFNA(vlookup(B3544,'Special Names'!A:B,2,FALSE),B3544),PlayerValues!E:E,0)),"N/A")</f>
        <v>N/A</v>
      </c>
      <c r="B3544" s="4" t="s">
        <v>93</v>
      </c>
      <c r="C3544" s="4" t="s">
        <v>325</v>
      </c>
      <c r="D3544" s="94">
        <v>5630.0</v>
      </c>
    </row>
    <row r="3545">
      <c r="A3545" s="40">
        <f t="array" ref="A3545">IFNA(index(PlayerValues!A:A,match(IFNA(vlookup(B3545,'Special Names'!A:B,2,FALSE),B3545),PlayerValues!E:E,0)),"N/A")</f>
        <v>17462</v>
      </c>
      <c r="B3545" s="4" t="s">
        <v>375</v>
      </c>
      <c r="C3545" s="4" t="s">
        <v>283</v>
      </c>
      <c r="D3545" s="94">
        <v>5595.0</v>
      </c>
    </row>
    <row r="3546">
      <c r="A3546" s="40">
        <f t="array" ref="A3546">IFNA(index(PlayerValues!A:A,match(IFNA(vlookup(B3546,'Special Names'!A:B,2,FALSE),B3546),PlayerValues!E:E,0)),"N/A")</f>
        <v>16616</v>
      </c>
      <c r="B3546" s="4" t="s">
        <v>389</v>
      </c>
      <c r="C3546" s="4" t="s">
        <v>287</v>
      </c>
      <c r="D3546" s="94">
        <v>5539.0</v>
      </c>
    </row>
    <row r="3547">
      <c r="A3547" s="40">
        <f t="array" ref="A3547">IFNA(index(PlayerValues!A:A,match(IFNA(vlookup(B3547,'Special Names'!A:B,2,FALSE),B3547),PlayerValues!E:E,0)),"N/A")</f>
        <v>17043</v>
      </c>
      <c r="B3547" s="4" t="s">
        <v>397</v>
      </c>
      <c r="C3547" s="4" t="s">
        <v>278</v>
      </c>
      <c r="D3547" s="94">
        <v>5474.0</v>
      </c>
    </row>
    <row r="3548">
      <c r="A3548" s="40">
        <f t="array" ref="A3548">IFNA(index(PlayerValues!A:A,match(IFNA(vlookup(B3548,'Special Names'!A:B,2,FALSE),B3548),PlayerValues!E:E,0)),"N/A")</f>
        <v>17051</v>
      </c>
      <c r="B3548" s="4" t="s">
        <v>386</v>
      </c>
      <c r="C3548" s="4" t="s">
        <v>278</v>
      </c>
      <c r="D3548" s="94">
        <v>5421.0</v>
      </c>
    </row>
    <row r="3549">
      <c r="A3549" s="40">
        <f t="array" ref="A3549">IFNA(index(PlayerValues!A:A,match(IFNA(vlookup(B3549,'Special Names'!A:B,2,FALSE),B3549),PlayerValues!E:E,0)),"N/A")</f>
        <v>16627</v>
      </c>
      <c r="B3549" s="4" t="s">
        <v>351</v>
      </c>
      <c r="C3549" s="4" t="s">
        <v>287</v>
      </c>
      <c r="D3549" s="94">
        <v>5399.0</v>
      </c>
    </row>
    <row r="3550">
      <c r="A3550" s="40">
        <f t="array" ref="A3550">IFNA(index(PlayerValues!A:A,match(IFNA(vlookup(B3550,'Special Names'!A:B,2,FALSE),B3550),PlayerValues!E:E,0)),"N/A")</f>
        <v>17070</v>
      </c>
      <c r="B3550" s="4" t="s">
        <v>370</v>
      </c>
      <c r="C3550" s="4" t="s">
        <v>287</v>
      </c>
      <c r="D3550" s="94">
        <v>5376.0</v>
      </c>
    </row>
    <row r="3551">
      <c r="A3551" s="40">
        <f t="array" ref="A3551">IFNA(index(PlayerValues!A:A,match(IFNA(vlookup(B3551,'Special Names'!A:B,2,FALSE),B3551),PlayerValues!E:E,0)),"N/A")</f>
        <v>15708</v>
      </c>
      <c r="B3551" s="4" t="s">
        <v>382</v>
      </c>
      <c r="C3551" s="4" t="s">
        <v>278</v>
      </c>
      <c r="D3551" s="94">
        <v>5354.0</v>
      </c>
    </row>
    <row r="3552">
      <c r="A3552" s="40">
        <f t="array" ref="A3552">IFNA(index(PlayerValues!A:A,match(IFNA(vlookup(B3552,'Special Names'!A:B,2,FALSE),B3552),PlayerValues!E:E,0)),"N/A")</f>
        <v>17497</v>
      </c>
      <c r="B3552" s="4" t="s">
        <v>365</v>
      </c>
      <c r="C3552" s="4" t="s">
        <v>287</v>
      </c>
      <c r="D3552" s="94">
        <v>5201.0</v>
      </c>
    </row>
    <row r="3553">
      <c r="A3553" s="40">
        <f t="array" ref="A3553">IFNA(index(PlayerValues!A:A,match(IFNA(vlookup(B3553,'Special Names'!A:B,2,FALSE),B3553),PlayerValues!E:E,0)),"N/A")</f>
        <v>17030</v>
      </c>
      <c r="B3553" s="4" t="s">
        <v>406</v>
      </c>
      <c r="C3553" s="4" t="s">
        <v>283</v>
      </c>
      <c r="D3553" s="94">
        <v>5147.0</v>
      </c>
    </row>
    <row r="3554">
      <c r="A3554" s="40">
        <f t="array" ref="A3554">IFNA(index(PlayerValues!A:A,match(IFNA(vlookup(B3554,'Special Names'!A:B,2,FALSE),B3554),PlayerValues!E:E,0)),"N/A")</f>
        <v>13130</v>
      </c>
      <c r="B3554" s="4" t="s">
        <v>374</v>
      </c>
      <c r="C3554" s="4" t="s">
        <v>278</v>
      </c>
      <c r="D3554" s="94">
        <v>5130.0</v>
      </c>
    </row>
    <row r="3555">
      <c r="A3555" s="40">
        <f t="array" ref="A3555">IFNA(index(PlayerValues!A:A,match(IFNA(vlookup(B3555,'Special Names'!A:B,2,FALSE),B3555),PlayerValues!E:E,0)),"N/A")</f>
        <v>17499</v>
      </c>
      <c r="B3555" s="4" t="s">
        <v>402</v>
      </c>
      <c r="C3555" s="4" t="s">
        <v>287</v>
      </c>
      <c r="D3555" s="94">
        <v>5100.0</v>
      </c>
    </row>
    <row r="3556">
      <c r="A3556" s="40">
        <f t="array" ref="A3556">IFNA(index(PlayerValues!A:A,match(IFNA(vlookup(B3556,'Special Names'!A:B,2,FALSE),B3556),PlayerValues!E:E,0)),"N/A")</f>
        <v>16598</v>
      </c>
      <c r="B3556" s="4" t="s">
        <v>408</v>
      </c>
      <c r="C3556" s="4" t="s">
        <v>278</v>
      </c>
      <c r="D3556" s="94">
        <v>5093.0</v>
      </c>
    </row>
    <row r="3557">
      <c r="A3557" s="40">
        <f t="array" ref="A3557">IFNA(index(PlayerValues!A:A,match(IFNA(vlookup(B3557,'Special Names'!A:B,2,FALSE),B3557),PlayerValues!E:E,0)),"N/A")</f>
        <v>12620</v>
      </c>
      <c r="B3557" s="4" t="s">
        <v>394</v>
      </c>
      <c r="C3557" s="4" t="s">
        <v>283</v>
      </c>
      <c r="D3557" s="94">
        <v>5061.0</v>
      </c>
    </row>
    <row r="3558">
      <c r="A3558" s="40">
        <f t="array" ref="A3558">IFNA(index(PlayerValues!A:A,match(IFNA(vlookup(B3558,'Special Names'!A:B,2,FALSE),B3558),PlayerValues!E:E,0)),"N/A")</f>
        <v>16614</v>
      </c>
      <c r="B3558" s="4" t="s">
        <v>403</v>
      </c>
      <c r="C3558" s="4" t="s">
        <v>287</v>
      </c>
      <c r="D3558" s="94">
        <v>4999.0</v>
      </c>
    </row>
    <row r="3559">
      <c r="A3559" s="40" t="str">
        <f t="array" ref="A3559">IFNA(index(PlayerValues!A:A,match(IFNA(vlookup(B3559,'Special Names'!A:B,2,FALSE),B3559),PlayerValues!E:E,0)),"N/A")</f>
        <v>N/A</v>
      </c>
      <c r="B3559" s="4" t="s">
        <v>104</v>
      </c>
      <c r="C3559" s="4" t="s">
        <v>325</v>
      </c>
      <c r="D3559" s="94">
        <v>4990.0</v>
      </c>
    </row>
    <row r="3560">
      <c r="A3560" s="40">
        <f t="array" ref="A3560">IFNA(index(PlayerValues!A:A,match(IFNA(vlookup(B3560,'Special Names'!A:B,2,FALSE),B3560),PlayerValues!E:E,0)),"N/A")</f>
        <v>16181</v>
      </c>
      <c r="B3560" s="4" t="s">
        <v>350</v>
      </c>
      <c r="C3560" s="4" t="s">
        <v>278</v>
      </c>
      <c r="D3560" s="94">
        <v>4962.0</v>
      </c>
    </row>
    <row r="3561">
      <c r="A3561" s="40">
        <f t="array" ref="A3561">IFNA(index(PlayerValues!A:A,match(IFNA(vlookup(B3561,'Special Names'!A:B,2,FALSE),B3561),PlayerValues!E:E,0)),"N/A")</f>
        <v>17103</v>
      </c>
      <c r="B3561" s="4" t="s">
        <v>405</v>
      </c>
      <c r="C3561" s="4" t="s">
        <v>298</v>
      </c>
      <c r="D3561" s="94">
        <v>5536.0</v>
      </c>
    </row>
    <row r="3562">
      <c r="A3562" s="40">
        <f t="array" ref="A3562">IFNA(index(PlayerValues!A:A,match(IFNA(vlookup(B3562,'Special Names'!A:B,2,FALSE),B3562),PlayerValues!E:E,0)),"N/A")</f>
        <v>16618</v>
      </c>
      <c r="B3562" s="4" t="s">
        <v>411</v>
      </c>
      <c r="C3562" s="4" t="s">
        <v>287</v>
      </c>
      <c r="D3562" s="94">
        <v>4929.0</v>
      </c>
    </row>
    <row r="3563">
      <c r="A3563" s="40">
        <f t="array" ref="A3563">IFNA(index(PlayerValues!A:A,match(IFNA(vlookup(B3563,'Special Names'!A:B,2,FALSE),B3563),PlayerValues!E:E,0)),"N/A")</f>
        <v>15282</v>
      </c>
      <c r="B3563" s="4" t="s">
        <v>364</v>
      </c>
      <c r="C3563" s="4" t="s">
        <v>287</v>
      </c>
      <c r="D3563" s="94">
        <v>4919.0</v>
      </c>
    </row>
    <row r="3564">
      <c r="A3564" s="40">
        <f t="array" ref="A3564">IFNA(index(PlayerValues!A:A,match(IFNA(vlookup(B3564,'Special Names'!A:B,2,FALSE),B3564),PlayerValues!E:E,0)),"N/A")</f>
        <v>14835</v>
      </c>
      <c r="B3564" s="4" t="s">
        <v>392</v>
      </c>
      <c r="C3564" s="4" t="s">
        <v>287</v>
      </c>
      <c r="D3564" s="94">
        <v>4917.0</v>
      </c>
    </row>
    <row r="3565">
      <c r="A3565" s="40">
        <f t="array" ref="A3565">IFNA(index(PlayerValues!A:A,match(IFNA(vlookup(B3565,'Special Names'!A:B,2,FALSE),B3565),PlayerValues!E:E,0)),"N/A")</f>
        <v>13604</v>
      </c>
      <c r="B3565" s="4" t="s">
        <v>378</v>
      </c>
      <c r="C3565" s="4" t="s">
        <v>278</v>
      </c>
      <c r="D3565" s="94">
        <v>4911.0</v>
      </c>
    </row>
    <row r="3566">
      <c r="A3566" s="40">
        <f t="array" ref="A3566">IFNA(index(PlayerValues!A:A,match(IFNA(vlookup(B3566,'Special Names'!A:B,2,FALSE),B3566),PlayerValues!E:E,0)),"N/A")</f>
        <v>15284</v>
      </c>
      <c r="B3566" s="4" t="s">
        <v>390</v>
      </c>
      <c r="C3566" s="4" t="s">
        <v>287</v>
      </c>
      <c r="D3566" s="94">
        <v>4867.0</v>
      </c>
    </row>
    <row r="3567">
      <c r="A3567" s="40">
        <f t="array" ref="A3567">IFNA(index(PlayerValues!A:A,match(IFNA(vlookup(B3567,'Special Names'!A:B,2,FALSE),B3567),PlayerValues!E:E,0)),"N/A")</f>
        <v>15710</v>
      </c>
      <c r="B3567" s="4" t="s">
        <v>395</v>
      </c>
      <c r="C3567" s="4" t="s">
        <v>278</v>
      </c>
      <c r="D3567" s="94">
        <v>4845.0</v>
      </c>
    </row>
    <row r="3568">
      <c r="A3568" s="40">
        <f t="array" ref="A3568">IFNA(index(PlayerValues!A:A,match(IFNA(vlookup(B3568,'Special Names'!A:B,2,FALSE),B3568),PlayerValues!E:E,0)),"N/A")</f>
        <v>17498</v>
      </c>
      <c r="B3568" s="4" t="s">
        <v>396</v>
      </c>
      <c r="C3568" s="4" t="s">
        <v>287</v>
      </c>
      <c r="D3568" s="94">
        <v>4811.0</v>
      </c>
    </row>
    <row r="3569">
      <c r="A3569" s="40">
        <f t="array" ref="A3569">IFNA(index(PlayerValues!A:A,match(IFNA(vlookup(B3569,'Special Names'!A:B,2,FALSE),B3569),PlayerValues!E:E,0)),"N/A")</f>
        <v>16194</v>
      </c>
      <c r="B3569" s="4" t="s">
        <v>398</v>
      </c>
      <c r="C3569" s="4" t="s">
        <v>287</v>
      </c>
      <c r="D3569" s="94">
        <v>4801.0</v>
      </c>
    </row>
    <row r="3570">
      <c r="A3570" s="40">
        <f t="array" ref="A3570">IFNA(index(PlayerValues!A:A,match(IFNA(vlookup(B3570,'Special Names'!A:B,2,FALSE),B3570),PlayerValues!E:E,0)),"N/A")</f>
        <v>16150</v>
      </c>
      <c r="B3570" s="4" t="s">
        <v>414</v>
      </c>
      <c r="C3570" s="4" t="s">
        <v>283</v>
      </c>
      <c r="D3570" s="94">
        <v>4794.0</v>
      </c>
    </row>
    <row r="3571">
      <c r="A3571" s="40">
        <f t="array" ref="A3571">IFNA(index(PlayerValues!A:A,match(IFNA(vlookup(B3571,'Special Names'!A:B,2,FALSE),B3571),PlayerValues!E:E,0)),"N/A")</f>
        <v>14104</v>
      </c>
      <c r="B3571" s="4" t="s">
        <v>379</v>
      </c>
      <c r="C3571" s="4" t="s">
        <v>287</v>
      </c>
      <c r="D3571" s="94">
        <v>4786.0</v>
      </c>
    </row>
    <row r="3572">
      <c r="A3572" s="40">
        <f t="array" ref="A3572">IFNA(index(PlayerValues!A:A,match(IFNA(vlookup(B3572,'Special Names'!A:B,2,FALSE),B3572),PlayerValues!E:E,0)),"N/A")</f>
        <v>16222</v>
      </c>
      <c r="B3572" s="4" t="s">
        <v>393</v>
      </c>
      <c r="C3572" s="4" t="s">
        <v>298</v>
      </c>
      <c r="D3572" s="94">
        <v>5348.0</v>
      </c>
    </row>
    <row r="3573">
      <c r="A3573" s="40" t="str">
        <f t="array" ref="A3573">IFNA(index(PlayerValues!A:A,match(IFNA(vlookup(B3573,'Special Names'!A:B,2,FALSE),B3573),PlayerValues!E:E,0)),"N/A")</f>
        <v>N/A</v>
      </c>
      <c r="B3573" s="4" t="s">
        <v>94</v>
      </c>
      <c r="C3573" s="4" t="s">
        <v>325</v>
      </c>
      <c r="D3573" s="94">
        <v>4784.0</v>
      </c>
    </row>
    <row r="3574">
      <c r="A3574" s="40">
        <f t="array" ref="A3574">IFNA(index(PlayerValues!A:A,match(IFNA(vlookup(B3574,'Special Names'!A:B,2,FALSE),B3574),PlayerValues!E:E,0)),"N/A")</f>
        <v>13590</v>
      </c>
      <c r="B3574" s="4" t="s">
        <v>409</v>
      </c>
      <c r="C3574" s="4" t="s">
        <v>283</v>
      </c>
      <c r="D3574" s="94">
        <v>4782.0</v>
      </c>
    </row>
    <row r="3575">
      <c r="A3575" s="40">
        <f t="array" ref="A3575">IFNA(index(PlayerValues!A:A,match(IFNA(vlookup(B3575,'Special Names'!A:B,2,FALSE),B3575),PlayerValues!E:E,0)),"N/A")</f>
        <v>15756</v>
      </c>
      <c r="B3575" s="4" t="s">
        <v>399</v>
      </c>
      <c r="C3575" s="4" t="s">
        <v>287</v>
      </c>
      <c r="D3575" s="94">
        <v>4773.0</v>
      </c>
    </row>
    <row r="3576">
      <c r="A3576" s="40">
        <f t="array" ref="A3576">IFNA(index(PlayerValues!A:A,match(IFNA(vlookup(B3576,'Special Names'!A:B,2,FALSE),B3576),PlayerValues!E:E,0)),"N/A")</f>
        <v>13592</v>
      </c>
      <c r="B3576" s="4" t="s">
        <v>418</v>
      </c>
      <c r="C3576" s="4" t="s">
        <v>283</v>
      </c>
      <c r="D3576" s="94">
        <v>4768.0</v>
      </c>
    </row>
    <row r="3577">
      <c r="A3577" s="40" t="str">
        <f t="array" ref="A3577">IFNA(index(PlayerValues!A:A,match(IFNA(vlookup(B3577,'Special Names'!A:B,2,FALSE),B3577),PlayerValues!E:E,0)),"N/A")</f>
        <v>N/A</v>
      </c>
      <c r="B3577" s="4" t="s">
        <v>80</v>
      </c>
      <c r="C3577" s="4" t="s">
        <v>325</v>
      </c>
      <c r="D3577" s="94">
        <v>4750.0</v>
      </c>
    </row>
    <row r="3578">
      <c r="A3578" s="40">
        <f t="array" ref="A3578">IFNA(index(PlayerValues!A:A,match(IFNA(vlookup(B3578,'Special Names'!A:B,2,FALSE),B3578),PlayerValues!E:E,0)),"N/A")</f>
        <v>16190</v>
      </c>
      <c r="B3578" s="4" t="s">
        <v>371</v>
      </c>
      <c r="C3578" s="4" t="s">
        <v>287</v>
      </c>
      <c r="D3578" s="94">
        <v>4698.0</v>
      </c>
    </row>
    <row r="3579">
      <c r="A3579" s="40">
        <f t="array" ref="A3579">IFNA(index(PlayerValues!A:A,match(IFNA(vlookup(B3579,'Special Names'!A:B,2,FALSE),B3579),PlayerValues!E:E,0)),"N/A")</f>
        <v>15253</v>
      </c>
      <c r="B3579" s="4" t="s">
        <v>415</v>
      </c>
      <c r="C3579" s="4" t="s">
        <v>278</v>
      </c>
      <c r="D3579" s="94">
        <v>4697.0</v>
      </c>
    </row>
    <row r="3580">
      <c r="A3580" s="40">
        <f t="array" ref="A3580">IFNA(index(PlayerValues!A:A,match(IFNA(vlookup(B3580,'Special Names'!A:B,2,FALSE),B3580),PlayerValues!E:E,0)),"N/A")</f>
        <v>12611</v>
      </c>
      <c r="B3580" s="4" t="s">
        <v>410</v>
      </c>
      <c r="C3580" s="4" t="s">
        <v>283</v>
      </c>
      <c r="D3580" s="94">
        <v>4676.0</v>
      </c>
    </row>
    <row r="3581">
      <c r="A3581" s="40">
        <f t="array" ref="A3581">IFNA(index(PlayerValues!A:A,match(IFNA(vlookup(B3581,'Special Names'!A:B,2,FALSE),B3581),PlayerValues!E:E,0)),"N/A")</f>
        <v>17039</v>
      </c>
      <c r="B3581" s="4" t="s">
        <v>400</v>
      </c>
      <c r="C3581" s="4" t="s">
        <v>283</v>
      </c>
      <c r="D3581" s="94">
        <v>4632.0</v>
      </c>
    </row>
    <row r="3582">
      <c r="A3582" s="40">
        <f t="array" ref="A3582">IFNA(index(PlayerValues!A:A,match(IFNA(vlookup(B3582,'Special Names'!A:B,2,FALSE),B3582),PlayerValues!E:E,0)),"N/A")</f>
        <v>14073</v>
      </c>
      <c r="B3582" s="4" t="s">
        <v>464</v>
      </c>
      <c r="C3582" s="4" t="s">
        <v>278</v>
      </c>
      <c r="D3582" s="94">
        <v>4594.0</v>
      </c>
    </row>
    <row r="3583">
      <c r="A3583" s="40">
        <f t="array" ref="A3583">IFNA(index(PlayerValues!A:A,match(IFNA(vlookup(B3583,'Special Names'!A:B,2,FALSE),B3583),PlayerValues!E:E,0)),"N/A")</f>
        <v>15256</v>
      </c>
      <c r="B3583" s="4" t="s">
        <v>401</v>
      </c>
      <c r="C3583" s="4" t="s">
        <v>278</v>
      </c>
      <c r="D3583" s="94">
        <v>4576.0</v>
      </c>
    </row>
    <row r="3584">
      <c r="A3584" s="40">
        <f t="array" ref="A3584">IFNA(index(PlayerValues!A:A,match(IFNA(vlookup(B3584,'Special Names'!A:B,2,FALSE),B3584),PlayerValues!E:E,0)),"N/A")</f>
        <v>16214</v>
      </c>
      <c r="B3584" s="4" t="s">
        <v>413</v>
      </c>
      <c r="C3584" s="4" t="s">
        <v>298</v>
      </c>
      <c r="D3584" s="94">
        <v>5097.0</v>
      </c>
    </row>
    <row r="3585">
      <c r="A3585" s="40" t="str">
        <f t="array" ref="A3585">IFNA(index(PlayerValues!A:A,match(IFNA(vlookup(B3585,'Special Names'!A:B,2,FALSE),B3585),PlayerValues!E:E,0)),"N/A")</f>
        <v>N/A</v>
      </c>
      <c r="B3585" s="4" t="s">
        <v>105</v>
      </c>
      <c r="C3585" s="4" t="s">
        <v>325</v>
      </c>
      <c r="D3585" s="94">
        <v>4539.0</v>
      </c>
    </row>
    <row r="3586">
      <c r="A3586" s="40">
        <f t="array" ref="A3586">IFNA(index(PlayerValues!A:A,match(IFNA(vlookup(B3586,'Special Names'!A:B,2,FALSE),B3586),PlayerValues!E:E,0)),"N/A")</f>
        <v>15329</v>
      </c>
      <c r="B3586" s="4" t="s">
        <v>416</v>
      </c>
      <c r="C3586" s="4" t="s">
        <v>298</v>
      </c>
      <c r="D3586" s="94">
        <v>5084.0</v>
      </c>
    </row>
    <row r="3587">
      <c r="A3587" s="40">
        <f t="array" ref="A3587">IFNA(index(PlayerValues!A:A,match(IFNA(vlookup(B3587,'Special Names'!A:B,2,FALSE),B3587),PlayerValues!E:E,0)),"N/A")</f>
        <v>17045</v>
      </c>
      <c r="B3587" s="4" t="s">
        <v>407</v>
      </c>
      <c r="C3587" s="4" t="s">
        <v>278</v>
      </c>
      <c r="D3587" s="94">
        <v>4525.0</v>
      </c>
    </row>
    <row r="3588">
      <c r="A3588" s="40">
        <f t="array" ref="A3588">IFNA(index(PlayerValues!A:A,match(IFNA(vlookup(B3588,'Special Names'!A:B,2,FALSE),B3588),PlayerValues!E:E,0)),"N/A")</f>
        <v>16148</v>
      </c>
      <c r="B3588" s="4" t="s">
        <v>426</v>
      </c>
      <c r="C3588" s="4" t="s">
        <v>283</v>
      </c>
      <c r="D3588" s="94">
        <v>4518.0</v>
      </c>
    </row>
    <row r="3589">
      <c r="A3589" s="40">
        <f t="array" ref="A3589">IFNA(index(PlayerValues!A:A,match(IFNA(vlookup(B3589,'Special Names'!A:B,2,FALSE),B3589),PlayerValues!E:E,0)),"N/A")</f>
        <v>17543</v>
      </c>
      <c r="B3589" s="4" t="s">
        <v>436</v>
      </c>
      <c r="C3589" s="4" t="s">
        <v>298</v>
      </c>
      <c r="D3589" s="94">
        <v>4944.0</v>
      </c>
    </row>
    <row r="3590">
      <c r="A3590" s="40">
        <f t="array" ref="A3590">IFNA(index(PlayerValues!A:A,match(IFNA(vlookup(B3590,'Special Names'!A:B,2,FALSE),B3590),PlayerValues!E:E,0)),"N/A")</f>
        <v>14056</v>
      </c>
      <c r="B3590" s="4" t="s">
        <v>423</v>
      </c>
      <c r="C3590" s="4" t="s">
        <v>283</v>
      </c>
      <c r="D3590" s="94">
        <v>4398.0</v>
      </c>
    </row>
    <row r="3591">
      <c r="A3591" s="40">
        <f t="array" ref="A3591">IFNA(index(PlayerValues!A:A,match(IFNA(vlookup(B3591,'Special Names'!A:B,2,FALSE),B3591),PlayerValues!E:E,0)),"N/A")</f>
        <v>15768</v>
      </c>
      <c r="B3591" s="4" t="s">
        <v>432</v>
      </c>
      <c r="C3591" s="4" t="s">
        <v>287</v>
      </c>
      <c r="D3591" s="94">
        <v>4340.0</v>
      </c>
    </row>
    <row r="3592">
      <c r="A3592" s="40">
        <f t="array" ref="A3592">IFNA(index(PlayerValues!A:A,match(IFNA(vlookup(B3592,'Special Names'!A:B,2,FALSE),B3592),PlayerValues!E:E,0)),"N/A")</f>
        <v>14059</v>
      </c>
      <c r="B3592" s="4" t="s">
        <v>435</v>
      </c>
      <c r="C3592" s="4" t="s">
        <v>283</v>
      </c>
      <c r="D3592" s="94">
        <v>4274.0</v>
      </c>
    </row>
    <row r="3593">
      <c r="A3593" s="40">
        <f t="array" ref="A3593">IFNA(index(PlayerValues!A:A,match(IFNA(vlookup(B3593,'Special Names'!A:B,2,FALSE),B3593),PlayerValues!E:E,0)),"N/A")</f>
        <v>15694</v>
      </c>
      <c r="B3593" s="4" t="s">
        <v>434</v>
      </c>
      <c r="C3593" s="4" t="s">
        <v>283</v>
      </c>
      <c r="D3593" s="94">
        <v>4123.0</v>
      </c>
    </row>
    <row r="3594">
      <c r="A3594" s="40">
        <f t="array" ref="A3594">IFNA(index(PlayerValues!A:A,match(IFNA(vlookup(B3594,'Special Names'!A:B,2,FALSE),B3594),PlayerValues!E:E,0)),"N/A")</f>
        <v>17052</v>
      </c>
      <c r="B3594" s="4" t="s">
        <v>417</v>
      </c>
      <c r="C3594" s="4" t="s">
        <v>278</v>
      </c>
      <c r="D3594" s="94">
        <v>3939.0</v>
      </c>
    </row>
    <row r="3595">
      <c r="A3595" s="40" t="str">
        <f t="array" ref="A3595">IFNA(index(PlayerValues!A:A,match(IFNA(vlookup(B3595,'Special Names'!A:B,2,FALSE),B3595),PlayerValues!E:E,0)),"N/A")</f>
        <v>N/A</v>
      </c>
      <c r="B3595" s="4" t="s">
        <v>107</v>
      </c>
      <c r="C3595" s="4" t="s">
        <v>325</v>
      </c>
      <c r="D3595" s="94">
        <v>3938.0</v>
      </c>
    </row>
    <row r="3596">
      <c r="A3596" s="40" t="str">
        <f t="array" ref="A3596">IFNA(index(PlayerValues!A:A,match(IFNA(vlookup(B3596,'Special Names'!A:B,2,FALSE),B3596),PlayerValues!E:E,0)),"N/A")</f>
        <v>N/A</v>
      </c>
      <c r="B3596" s="4" t="s">
        <v>81</v>
      </c>
      <c r="C3596" s="4" t="s">
        <v>325</v>
      </c>
      <c r="D3596" s="94">
        <v>3927.0</v>
      </c>
    </row>
    <row r="3597">
      <c r="A3597" s="40">
        <f t="array" ref="A3597">IFNA(index(PlayerValues!A:A,match(IFNA(vlookup(B3597,'Special Names'!A:B,2,FALSE),B3597),PlayerValues!E:E,0)),"N/A")</f>
        <v>16186</v>
      </c>
      <c r="B3597" s="4" t="s">
        <v>425</v>
      </c>
      <c r="C3597" s="4" t="s">
        <v>287</v>
      </c>
      <c r="D3597" s="94">
        <v>3926.0</v>
      </c>
    </row>
    <row r="3598">
      <c r="A3598" s="40">
        <f t="array" ref="A3598">IFNA(index(PlayerValues!A:A,match(IFNA(vlookup(B3598,'Special Names'!A:B,2,FALSE),B3598),PlayerValues!E:E,0)),"N/A")</f>
        <v>13635</v>
      </c>
      <c r="B3598" s="4" t="s">
        <v>424</v>
      </c>
      <c r="C3598" s="4" t="s">
        <v>287</v>
      </c>
      <c r="D3598" s="94">
        <v>3905.0</v>
      </c>
    </row>
    <row r="3599">
      <c r="A3599" s="40">
        <f t="array" ref="A3599">IFNA(index(PlayerValues!A:A,match(IFNA(vlookup(B3599,'Special Names'!A:B,2,FALSE),B3599),PlayerValues!E:E,0)),"N/A")</f>
        <v>17099</v>
      </c>
      <c r="B3599" s="4" t="s">
        <v>474</v>
      </c>
      <c r="C3599" s="4" t="s">
        <v>298</v>
      </c>
      <c r="D3599" s="94">
        <v>4349.0</v>
      </c>
    </row>
    <row r="3600">
      <c r="A3600" s="40">
        <f t="array" ref="A3600">IFNA(index(PlayerValues!A:A,match(IFNA(vlookup(B3600,'Special Names'!A:B,2,FALSE),B3600),PlayerValues!E:E,0)),"N/A")</f>
        <v>12626</v>
      </c>
      <c r="B3600" s="4" t="s">
        <v>419</v>
      </c>
      <c r="C3600" s="4" t="s">
        <v>278</v>
      </c>
      <c r="D3600" s="94">
        <v>3771.0</v>
      </c>
    </row>
    <row r="3601">
      <c r="A3601" s="40">
        <f t="array" ref="A3601">IFNA(index(PlayerValues!A:A,match(IFNA(vlookup(B3601,'Special Names'!A:B,2,FALSE),B3601),PlayerValues!E:E,0)),"N/A")</f>
        <v>17068</v>
      </c>
      <c r="B3601" s="4" t="s">
        <v>450</v>
      </c>
      <c r="C3601" s="4" t="s">
        <v>278</v>
      </c>
      <c r="D3601" s="94">
        <v>3761.0</v>
      </c>
    </row>
    <row r="3602">
      <c r="A3602" s="40">
        <f t="array" ref="A3602">IFNA(index(PlayerValues!A:A,match(IFNA(vlookup(B3602,'Special Names'!A:B,2,FALSE),B3602),PlayerValues!E:E,0)),"N/A")</f>
        <v>9431</v>
      </c>
      <c r="B3602" s="4" t="s">
        <v>428</v>
      </c>
      <c r="C3602" s="4" t="s">
        <v>283</v>
      </c>
      <c r="D3602" s="94">
        <v>3747.0</v>
      </c>
    </row>
    <row r="3603">
      <c r="A3603" s="40">
        <f t="array" ref="A3603">IFNA(index(PlayerValues!A:A,match(IFNA(vlookup(B3603,'Special Names'!A:B,2,FALSE),B3603),PlayerValues!E:E,0)),"N/A")</f>
        <v>17501</v>
      </c>
      <c r="B3603" s="4" t="s">
        <v>404</v>
      </c>
      <c r="C3603" s="4" t="s">
        <v>287</v>
      </c>
      <c r="D3603" s="94">
        <v>3740.0</v>
      </c>
    </row>
    <row r="3604">
      <c r="A3604" s="40" t="str">
        <f t="array" ref="A3604">IFNA(index(PlayerValues!A:A,match(IFNA(vlookup(B3604,'Special Names'!A:B,2,FALSE),B3604),PlayerValues!E:E,0)),"N/A")</f>
        <v>N/A</v>
      </c>
      <c r="B3604" s="4" t="s">
        <v>95</v>
      </c>
      <c r="C3604" s="4" t="s">
        <v>325</v>
      </c>
      <c r="D3604" s="94">
        <v>3734.0</v>
      </c>
    </row>
    <row r="3605">
      <c r="A3605" s="40">
        <f t="array" ref="A3605">IFNA(index(PlayerValues!A:A,match(IFNA(vlookup(B3605,'Special Names'!A:B,2,FALSE),B3605),PlayerValues!E:E,0)),"N/A")</f>
        <v>16206</v>
      </c>
      <c r="B3605" s="4" t="s">
        <v>431</v>
      </c>
      <c r="C3605" s="4" t="s">
        <v>287</v>
      </c>
      <c r="D3605" s="94">
        <v>3731.0</v>
      </c>
    </row>
    <row r="3606">
      <c r="A3606" s="40">
        <f t="array" ref="A3606">IFNA(index(PlayerValues!A:A,match(IFNA(vlookup(B3606,'Special Names'!A:B,2,FALSE),B3606),PlayerValues!E:E,0)),"N/A")</f>
        <v>16169</v>
      </c>
      <c r="B3606" s="4" t="s">
        <v>457</v>
      </c>
      <c r="C3606" s="4" t="s">
        <v>278</v>
      </c>
      <c r="D3606" s="94">
        <v>3725.0</v>
      </c>
    </row>
    <row r="3607">
      <c r="A3607" s="40">
        <f t="array" ref="A3607">IFNA(index(PlayerValues!A:A,match(IFNA(vlookup(B3607,'Special Names'!A:B,2,FALSE),B3607),PlayerValues!E:E,0)),"N/A")</f>
        <v>15757</v>
      </c>
      <c r="B3607" s="4" t="s">
        <v>449</v>
      </c>
      <c r="C3607" s="4" t="s">
        <v>287</v>
      </c>
      <c r="D3607" s="94">
        <v>3707.0</v>
      </c>
    </row>
    <row r="3608">
      <c r="A3608" s="40">
        <f t="array" ref="A3608">IFNA(index(PlayerValues!A:A,match(IFNA(vlookup(B3608,'Special Names'!A:B,2,FALSE),B3608),PlayerValues!E:E,0)),"N/A")</f>
        <v>15779</v>
      </c>
      <c r="B3608" s="4" t="s">
        <v>461</v>
      </c>
      <c r="C3608" s="4" t="s">
        <v>287</v>
      </c>
      <c r="D3608" s="94">
        <v>3688.0</v>
      </c>
    </row>
    <row r="3609">
      <c r="A3609" s="40">
        <f t="array" ref="A3609">IFNA(index(PlayerValues!A:A,match(IFNA(vlookup(B3609,'Special Names'!A:B,2,FALSE),B3609),PlayerValues!E:E,0)),"N/A")</f>
        <v>17074</v>
      </c>
      <c r="B3609" s="4" t="s">
        <v>475</v>
      </c>
      <c r="C3609" s="4" t="s">
        <v>287</v>
      </c>
      <c r="D3609" s="94">
        <v>3668.0</v>
      </c>
    </row>
    <row r="3610">
      <c r="A3610" s="40">
        <f t="array" ref="A3610">IFNA(index(PlayerValues!A:A,match(IFNA(vlookup(B3610,'Special Names'!A:B,2,FALSE),B3610),PlayerValues!E:E,0)),"N/A")</f>
        <v>15789</v>
      </c>
      <c r="B3610" s="4" t="s">
        <v>421</v>
      </c>
      <c r="C3610" s="4" t="s">
        <v>287</v>
      </c>
      <c r="D3610" s="94">
        <v>3660.0</v>
      </c>
    </row>
    <row r="3611">
      <c r="A3611" s="40">
        <f t="array" ref="A3611">IFNA(index(PlayerValues!A:A,match(IFNA(vlookup(B3611,'Special Names'!A:B,2,FALSE),B3611),PlayerValues!E:E,0)),"N/A")</f>
        <v>14102</v>
      </c>
      <c r="B3611" s="4" t="s">
        <v>444</v>
      </c>
      <c r="C3611" s="4" t="s">
        <v>287</v>
      </c>
      <c r="D3611" s="94">
        <v>3638.0</v>
      </c>
    </row>
    <row r="3612">
      <c r="A3612" s="40">
        <f t="array" ref="A3612">IFNA(index(PlayerValues!A:A,match(IFNA(vlookup(B3612,'Special Names'!A:B,2,FALSE),B3612),PlayerValues!E:E,0)),"N/A")</f>
        <v>16622</v>
      </c>
      <c r="B3612" s="4" t="s">
        <v>517</v>
      </c>
      <c r="C3612" s="4" t="s">
        <v>287</v>
      </c>
      <c r="D3612" s="94">
        <v>3614.0</v>
      </c>
    </row>
    <row r="3613">
      <c r="A3613" s="40">
        <f t="array" ref="A3613">IFNA(index(PlayerValues!A:A,match(IFNA(vlookup(B3613,'Special Names'!A:B,2,FALSE),B3613),PlayerValues!E:E,0)),"N/A")</f>
        <v>16192</v>
      </c>
      <c r="B3613" s="4" t="s">
        <v>412</v>
      </c>
      <c r="C3613" s="4" t="s">
        <v>287</v>
      </c>
      <c r="D3613" s="94">
        <v>3601.0</v>
      </c>
    </row>
    <row r="3614">
      <c r="A3614" s="40">
        <f t="array" ref="A3614">IFNA(index(PlayerValues!A:A,match(IFNA(vlookup(B3614,'Special Names'!A:B,2,FALSE),B3614),PlayerValues!E:E,0)),"N/A")</f>
        <v>17083</v>
      </c>
      <c r="B3614" s="4" t="s">
        <v>479</v>
      </c>
      <c r="C3614" s="4" t="s">
        <v>287</v>
      </c>
      <c r="D3614" s="94">
        <v>3590.0</v>
      </c>
    </row>
    <row r="3615">
      <c r="A3615" s="40">
        <f t="array" ref="A3615">IFNA(index(PlayerValues!A:A,match(IFNA(vlookup(B3615,'Special Names'!A:B,2,FALSE),B3615),PlayerValues!E:E,0)),"N/A")</f>
        <v>15712</v>
      </c>
      <c r="B3615" s="4" t="s">
        <v>488</v>
      </c>
      <c r="C3615" s="4" t="s">
        <v>278</v>
      </c>
      <c r="D3615" s="94">
        <v>3576.0</v>
      </c>
    </row>
    <row r="3616">
      <c r="A3616" s="40">
        <f t="array" ref="A3616">IFNA(index(PlayerValues!A:A,match(IFNA(vlookup(B3616,'Special Names'!A:B,2,FALSE),B3616),PlayerValues!E:E,0)),"N/A")</f>
        <v>17066</v>
      </c>
      <c r="B3616" s="4" t="s">
        <v>446</v>
      </c>
      <c r="C3616" s="4" t="s">
        <v>278</v>
      </c>
      <c r="D3616" s="94">
        <v>3559.0</v>
      </c>
    </row>
    <row r="3617">
      <c r="A3617" s="40">
        <f t="array" ref="A3617">IFNA(index(PlayerValues!A:A,match(IFNA(vlookup(B3617,'Special Names'!A:B,2,FALSE),B3617),PlayerValues!E:E,0)),"N/A")</f>
        <v>11675</v>
      </c>
      <c r="B3617" s="4" t="s">
        <v>438</v>
      </c>
      <c r="C3617" s="4" t="s">
        <v>287</v>
      </c>
      <c r="D3617" s="94">
        <v>3540.0</v>
      </c>
    </row>
    <row r="3618">
      <c r="A3618" s="40">
        <f t="array" ref="A3618">IFNA(index(PlayerValues!A:A,match(IFNA(vlookup(B3618,'Special Names'!A:B,2,FALSE),B3618),PlayerValues!E:E,0)),"N/A")</f>
        <v>17075</v>
      </c>
      <c r="B3618" s="4" t="s">
        <v>429</v>
      </c>
      <c r="C3618" s="4" t="s">
        <v>287</v>
      </c>
      <c r="D3618" s="94">
        <v>3525.0</v>
      </c>
    </row>
    <row r="3619">
      <c r="A3619" s="40">
        <f t="array" ref="A3619">IFNA(index(PlayerValues!A:A,match(IFNA(vlookup(B3619,'Special Names'!A:B,2,FALSE),B3619),PlayerValues!E:E,0)),"N/A")</f>
        <v>14797</v>
      </c>
      <c r="B3619" s="4" t="s">
        <v>420</v>
      </c>
      <c r="C3619" s="4" t="s">
        <v>278</v>
      </c>
      <c r="D3619" s="94">
        <v>3524.0</v>
      </c>
    </row>
    <row r="3620">
      <c r="A3620" s="40">
        <f t="array" ref="A3620">IFNA(index(PlayerValues!A:A,match(IFNA(vlookup(B3620,'Special Names'!A:B,2,FALSE),B3620),PlayerValues!E:E,0)),"N/A")</f>
        <v>14842</v>
      </c>
      <c r="B3620" s="4" t="s">
        <v>456</v>
      </c>
      <c r="C3620" s="4" t="s">
        <v>287</v>
      </c>
      <c r="D3620" s="94">
        <v>3522.0</v>
      </c>
    </row>
    <row r="3621">
      <c r="A3621" s="40">
        <f t="array" ref="A3621">IFNA(index(PlayerValues!A:A,match(IFNA(vlookup(B3621,'Special Names'!A:B,2,FALSE),B3621),PlayerValues!E:E,0)),"N/A")</f>
        <v>15798</v>
      </c>
      <c r="B3621" s="4" t="s">
        <v>443</v>
      </c>
      <c r="C3621" s="4" t="s">
        <v>298</v>
      </c>
      <c r="D3621" s="94">
        <v>3981.0</v>
      </c>
    </row>
    <row r="3622">
      <c r="A3622" s="40">
        <f t="array" ref="A3622">IFNA(index(PlayerValues!A:A,match(IFNA(vlookup(B3622,'Special Names'!A:B,2,FALSE),B3622),PlayerValues!E:E,0)),"N/A")</f>
        <v>14071</v>
      </c>
      <c r="B3622" s="4" t="s">
        <v>440</v>
      </c>
      <c r="C3622" s="4" t="s">
        <v>278</v>
      </c>
      <c r="D3622" s="94">
        <v>3496.0</v>
      </c>
    </row>
    <row r="3623">
      <c r="A3623" s="40" t="str">
        <f t="array" ref="A3623">IFNA(index(PlayerValues!A:A,match(IFNA(vlookup(B3623,'Special Names'!A:B,2,FALSE),B3623),PlayerValues!E:E,0)),"N/A")</f>
        <v>N/A</v>
      </c>
      <c r="B3623" s="4" t="s">
        <v>96</v>
      </c>
      <c r="C3623" s="4" t="s">
        <v>325</v>
      </c>
      <c r="D3623" s="94">
        <v>3435.0</v>
      </c>
    </row>
    <row r="3624">
      <c r="A3624" s="40">
        <f t="array" ref="A3624">IFNA(index(PlayerValues!A:A,match(IFNA(vlookup(B3624,'Special Names'!A:B,2,FALSE),B3624),PlayerValues!E:E,0)),"N/A")</f>
        <v>17502</v>
      </c>
      <c r="B3624" s="4" t="s">
        <v>451</v>
      </c>
      <c r="C3624" s="4" t="s">
        <v>287</v>
      </c>
      <c r="D3624" s="94">
        <v>3410.0</v>
      </c>
    </row>
    <row r="3625">
      <c r="A3625" s="40">
        <f t="array" ref="A3625">IFNA(index(PlayerValues!A:A,match(IFNA(vlookup(B3625,'Special Names'!A:B,2,FALSE),B3625),PlayerValues!E:E,0)),"N/A")</f>
        <v>15261</v>
      </c>
      <c r="B3625" s="4" t="s">
        <v>466</v>
      </c>
      <c r="C3625" s="4" t="s">
        <v>278</v>
      </c>
      <c r="D3625" s="94">
        <v>3397.0</v>
      </c>
    </row>
    <row r="3626">
      <c r="A3626" s="40">
        <f t="array" ref="A3626">IFNA(index(PlayerValues!A:A,match(IFNA(vlookup(B3626,'Special Names'!A:B,2,FALSE),B3626),PlayerValues!E:E,0)),"N/A")</f>
        <v>16620</v>
      </c>
      <c r="B3626" s="4" t="s">
        <v>467</v>
      </c>
      <c r="C3626" s="4" t="s">
        <v>287</v>
      </c>
      <c r="D3626" s="94">
        <v>3393.0</v>
      </c>
    </row>
    <row r="3627">
      <c r="A3627" s="40">
        <f t="array" ref="A3627">IFNA(index(PlayerValues!A:A,match(IFNA(vlookup(B3627,'Special Names'!A:B,2,FALSE),B3627),PlayerValues!E:E,0)),"N/A")</f>
        <v>14109</v>
      </c>
      <c r="B3627" s="4" t="s">
        <v>437</v>
      </c>
      <c r="C3627" s="4" t="s">
        <v>287</v>
      </c>
      <c r="D3627" s="94">
        <v>3388.0</v>
      </c>
    </row>
    <row r="3628">
      <c r="A3628" s="40">
        <f t="array" ref="A3628">IFNA(index(PlayerValues!A:A,match(IFNA(vlookup(B3628,'Special Names'!A:B,2,FALSE),B3628),PlayerValues!E:E,0)),"N/A")</f>
        <v>14127</v>
      </c>
      <c r="B3628" s="4" t="s">
        <v>486</v>
      </c>
      <c r="C3628" s="4" t="s">
        <v>287</v>
      </c>
      <c r="D3628" s="94">
        <v>3385.0</v>
      </c>
    </row>
    <row r="3629">
      <c r="A3629" s="40">
        <f t="array" ref="A3629">IFNA(index(PlayerValues!A:A,match(IFNA(vlookup(B3629,'Special Names'!A:B,2,FALSE),B3629),PlayerValues!E:E,0)),"N/A")</f>
        <v>15799</v>
      </c>
      <c r="B3629" s="4" t="s">
        <v>468</v>
      </c>
      <c r="C3629" s="4" t="s">
        <v>298</v>
      </c>
      <c r="D3629" s="94">
        <v>3818.0</v>
      </c>
    </row>
    <row r="3630">
      <c r="A3630" s="40" t="str">
        <f t="array" ref="A3630">IFNA(index(PlayerValues!A:A,match(IFNA(vlookup(B3630,'Special Names'!A:B,2,FALSE),B3630),PlayerValues!E:E,0)),"N/A")</f>
        <v>N/A</v>
      </c>
      <c r="B3630" s="4" t="s">
        <v>82</v>
      </c>
      <c r="C3630" s="4" t="s">
        <v>325</v>
      </c>
      <c r="D3630" s="94">
        <v>3360.0</v>
      </c>
    </row>
    <row r="3631">
      <c r="A3631" s="40">
        <f t="array" ref="A3631">IFNA(index(PlayerValues!A:A,match(IFNA(vlookup(B3631,'Special Names'!A:B,2,FALSE),B3631),PlayerValues!E:E,0)),"N/A")</f>
        <v>17500</v>
      </c>
      <c r="B3631" s="4" t="s">
        <v>430</v>
      </c>
      <c r="C3631" s="4" t="s">
        <v>287</v>
      </c>
      <c r="D3631" s="94">
        <v>3356.0</v>
      </c>
    </row>
    <row r="3632">
      <c r="A3632" s="40">
        <f t="array" ref="A3632">IFNA(index(PlayerValues!A:A,match(IFNA(vlookup(B3632,'Special Names'!A:B,2,FALSE),B3632),PlayerValues!E:E,0)),"N/A")</f>
        <v>16187</v>
      </c>
      <c r="B3632" s="4" t="s">
        <v>441</v>
      </c>
      <c r="C3632" s="4" t="s">
        <v>287</v>
      </c>
      <c r="D3632" s="94">
        <v>3354.0</v>
      </c>
    </row>
    <row r="3633">
      <c r="A3633" s="40">
        <f t="array" ref="A3633">IFNA(index(PlayerValues!A:A,match(IFNA(vlookup(B3633,'Special Names'!A:B,2,FALSE),B3633),PlayerValues!E:E,0)),"N/A")</f>
        <v>16213</v>
      </c>
      <c r="B3633" s="4" t="s">
        <v>458</v>
      </c>
      <c r="C3633" s="4" t="s">
        <v>298</v>
      </c>
      <c r="D3633" s="94">
        <v>3802.0</v>
      </c>
    </row>
    <row r="3634">
      <c r="A3634" s="40">
        <f t="array" ref="A3634">IFNA(index(PlayerValues!A:A,match(IFNA(vlookup(B3634,'Special Names'!A:B,2,FALSE),B3634),PlayerValues!E:E,0)),"N/A")</f>
        <v>16188</v>
      </c>
      <c r="B3634" s="4" t="s">
        <v>439</v>
      </c>
      <c r="C3634" s="4" t="s">
        <v>287</v>
      </c>
      <c r="D3634" s="94">
        <v>3349.0</v>
      </c>
    </row>
    <row r="3635">
      <c r="A3635" s="40">
        <f t="array" ref="A3635">IFNA(index(PlayerValues!A:A,match(IFNA(vlookup(B3635,'Special Names'!A:B,2,FALSE),B3635),PlayerValues!E:E,0)),"N/A")</f>
        <v>11671</v>
      </c>
      <c r="B3635" s="4" t="s">
        <v>463</v>
      </c>
      <c r="C3635" s="4" t="s">
        <v>287</v>
      </c>
      <c r="D3635" s="94">
        <v>3338.0</v>
      </c>
    </row>
    <row r="3636">
      <c r="A3636" s="40">
        <f t="array" ref="A3636">IFNA(index(PlayerValues!A:A,match(IFNA(vlookup(B3636,'Special Names'!A:B,2,FALSE),B3636),PlayerValues!E:E,0)),"N/A")</f>
        <v>16184</v>
      </c>
      <c r="B3636" s="4" t="s">
        <v>445</v>
      </c>
      <c r="C3636" s="4" t="s">
        <v>287</v>
      </c>
      <c r="D3636" s="94">
        <v>3310.0</v>
      </c>
    </row>
    <row r="3637">
      <c r="A3637" s="40">
        <f t="array" ref="A3637">IFNA(index(PlayerValues!A:A,match(IFNA(vlookup(B3637,'Special Names'!A:B,2,FALSE),B3637),PlayerValues!E:E,0)),"N/A")</f>
        <v>14823</v>
      </c>
      <c r="B3637" s="4" t="s">
        <v>459</v>
      </c>
      <c r="C3637" s="4" t="s">
        <v>278</v>
      </c>
      <c r="D3637" s="94">
        <v>3307.0</v>
      </c>
    </row>
    <row r="3638">
      <c r="A3638" s="40">
        <f t="array" ref="A3638">IFNA(index(PlayerValues!A:A,match(IFNA(vlookup(B3638,'Special Names'!A:B,2,FALSE),B3638),PlayerValues!E:E,0)),"N/A")</f>
        <v>13299</v>
      </c>
      <c r="B3638" s="4" t="s">
        <v>448</v>
      </c>
      <c r="C3638" s="4" t="s">
        <v>298</v>
      </c>
      <c r="D3638" s="94">
        <v>3726.0</v>
      </c>
    </row>
    <row r="3639">
      <c r="A3639" s="40">
        <f t="array" ref="A3639">IFNA(index(PlayerValues!A:A,match(IFNA(vlookup(B3639,'Special Names'!A:B,2,FALSE),B3639),PlayerValues!E:E,0)),"N/A")</f>
        <v>16593</v>
      </c>
      <c r="B3639" s="4" t="s">
        <v>442</v>
      </c>
      <c r="C3639" s="4" t="s">
        <v>278</v>
      </c>
      <c r="D3639" s="94">
        <v>3258.0</v>
      </c>
    </row>
    <row r="3640">
      <c r="A3640" s="40">
        <f t="array" ref="A3640">IFNA(index(PlayerValues!A:A,match(IFNA(vlookup(B3640,'Special Names'!A:B,2,FALSE),B3640),PlayerValues!E:E,0)),"N/A")</f>
        <v>15742</v>
      </c>
      <c r="B3640" s="4" t="s">
        <v>447</v>
      </c>
      <c r="C3640" s="4" t="s">
        <v>278</v>
      </c>
      <c r="D3640" s="94">
        <v>3236.0</v>
      </c>
    </row>
    <row r="3641">
      <c r="A3641" s="40">
        <f t="array" ref="A3641">IFNA(index(PlayerValues!A:A,match(IFNA(vlookup(B3641,'Special Names'!A:B,2,FALSE),B3641),PlayerValues!E:E,0)),"N/A")</f>
        <v>13630</v>
      </c>
      <c r="B3641" s="4" t="s">
        <v>465</v>
      </c>
      <c r="C3641" s="4" t="s">
        <v>287</v>
      </c>
      <c r="D3641" s="94">
        <v>3188.0</v>
      </c>
    </row>
    <row r="3642">
      <c r="A3642" s="40" t="str">
        <f t="array" ref="A3642">IFNA(index(PlayerValues!A:A,match(IFNA(vlookup(B3642,'Special Names'!A:B,2,FALSE),B3642),PlayerValues!E:E,0)),"N/A")</f>
        <v>N/A</v>
      </c>
      <c r="B3642" s="4" t="s">
        <v>108</v>
      </c>
      <c r="C3642" s="4" t="s">
        <v>325</v>
      </c>
      <c r="D3642" s="94">
        <v>3120.0</v>
      </c>
    </row>
    <row r="3643">
      <c r="A3643" s="40">
        <f t="array" ref="A3643">IFNA(index(PlayerValues!A:A,match(IFNA(vlookup(B3643,'Special Names'!A:B,2,FALSE),B3643),PlayerValues!E:E,0)),"N/A")</f>
        <v>16628</v>
      </c>
      <c r="B3643" s="4" t="s">
        <v>490</v>
      </c>
      <c r="C3643" s="4" t="s">
        <v>287</v>
      </c>
      <c r="D3643" s="94">
        <v>3099.0</v>
      </c>
    </row>
    <row r="3644">
      <c r="A3644" s="40">
        <f t="array" ref="A3644">IFNA(index(PlayerValues!A:A,match(IFNA(vlookup(B3644,'Special Names'!A:B,2,FALSE),B3644),PlayerValues!E:E,0)),"N/A")</f>
        <v>16269</v>
      </c>
      <c r="B3644" s="4" t="s">
        <v>481</v>
      </c>
      <c r="C3644" s="4" t="s">
        <v>298</v>
      </c>
      <c r="D3644" s="94">
        <v>3508.0</v>
      </c>
    </row>
    <row r="3645">
      <c r="A3645" s="40">
        <f t="array" ref="A3645">IFNA(index(PlayerValues!A:A,match(IFNA(vlookup(B3645,'Special Names'!A:B,2,FALSE),B3645),PlayerValues!E:E,0)),"N/A")</f>
        <v>16583</v>
      </c>
      <c r="B3645" s="4" t="s">
        <v>493</v>
      </c>
      <c r="C3645" s="4" t="s">
        <v>283</v>
      </c>
      <c r="D3645" s="94">
        <v>3067.0</v>
      </c>
    </row>
    <row r="3646">
      <c r="A3646" s="40">
        <f t="array" ref="A3646">IFNA(index(PlayerValues!A:A,match(IFNA(vlookup(B3646,'Special Names'!A:B,2,FALSE),B3646),PlayerValues!E:E,0)),"N/A")</f>
        <v>14800</v>
      </c>
      <c r="B3646" s="4" t="s">
        <v>472</v>
      </c>
      <c r="C3646" s="4" t="s">
        <v>278</v>
      </c>
      <c r="D3646" s="94">
        <v>3060.0</v>
      </c>
    </row>
    <row r="3647">
      <c r="A3647" s="40" t="str">
        <f t="array" ref="A3647">IFNA(index(PlayerValues!A:A,match(IFNA(vlookup(B3647,'Special Names'!A:B,2,FALSE),B3647),PlayerValues!E:E,0)),"N/A")</f>
        <v>N/A</v>
      </c>
      <c r="B3647" s="4" t="s">
        <v>97</v>
      </c>
      <c r="C3647" s="4" t="s">
        <v>325</v>
      </c>
      <c r="D3647" s="94">
        <v>3060.0</v>
      </c>
    </row>
    <row r="3648">
      <c r="A3648" s="40">
        <f t="array" ref="A3648">IFNA(index(PlayerValues!A:A,match(IFNA(vlookup(B3648,'Special Names'!A:B,2,FALSE),B3648),PlayerValues!E:E,0)),"N/A")</f>
        <v>16080</v>
      </c>
      <c r="B3648" s="4" t="s">
        <v>499</v>
      </c>
      <c r="C3648" s="4" t="s">
        <v>287</v>
      </c>
      <c r="D3648" s="94">
        <v>3053.0</v>
      </c>
    </row>
    <row r="3649">
      <c r="A3649" s="40">
        <f t="array" ref="A3649">IFNA(index(PlayerValues!A:A,match(IFNA(vlookup(B3649,'Special Names'!A:B,2,FALSE),B3649),PlayerValues!E:E,0)),"N/A")</f>
        <v>16809</v>
      </c>
      <c r="B3649" s="4" t="s">
        <v>455</v>
      </c>
      <c r="C3649" s="4" t="s">
        <v>287</v>
      </c>
      <c r="D3649" s="94">
        <v>3046.0</v>
      </c>
    </row>
    <row r="3650">
      <c r="A3650" s="40">
        <f t="array" ref="A3650">IFNA(index(PlayerValues!A:A,match(IFNA(vlookup(B3650,'Special Names'!A:B,2,FALSE),B3650),PlayerValues!E:E,0)),"N/A")</f>
        <v>15761</v>
      </c>
      <c r="B3650" s="4" t="s">
        <v>491</v>
      </c>
      <c r="C3650" s="4" t="s">
        <v>287</v>
      </c>
      <c r="D3650" s="94">
        <v>3037.0</v>
      </c>
    </row>
    <row r="3651">
      <c r="A3651" s="40" t="str">
        <f t="array" ref="A3651">IFNA(index(PlayerValues!A:A,match(IFNA(vlookup(B3651,'Special Names'!A:B,2,FALSE),B3651),PlayerValues!E:E,0)),"N/A")</f>
        <v>N/A</v>
      </c>
      <c r="B3651" s="4" t="s">
        <v>84</v>
      </c>
      <c r="C3651" s="4" t="s">
        <v>325</v>
      </c>
      <c r="D3651" s="94">
        <v>3020.0</v>
      </c>
    </row>
    <row r="3652">
      <c r="A3652" s="40">
        <f t="array" ref="A3652">IFNA(index(PlayerValues!A:A,match(IFNA(vlookup(B3652,'Special Names'!A:B,2,FALSE),B3652),PlayerValues!E:E,0)),"N/A")</f>
        <v>17463</v>
      </c>
      <c r="B3652" s="4" t="s">
        <v>433</v>
      </c>
      <c r="C3652" s="4" t="s">
        <v>283</v>
      </c>
      <c r="D3652" s="94">
        <v>3017.0</v>
      </c>
    </row>
    <row r="3653">
      <c r="A3653" s="40">
        <f t="array" ref="A3653">IFNA(index(PlayerValues!A:A,match(IFNA(vlookup(B3653,'Special Names'!A:B,2,FALSE),B3653),PlayerValues!E:E,0)),"N/A")</f>
        <v>15259</v>
      </c>
      <c r="B3653" s="4" t="s">
        <v>453</v>
      </c>
      <c r="C3653" s="4" t="s">
        <v>278</v>
      </c>
      <c r="D3653" s="94">
        <v>2993.0</v>
      </c>
    </row>
    <row r="3654">
      <c r="A3654" s="40">
        <f t="array" ref="A3654">IFNA(index(PlayerValues!A:A,match(IFNA(vlookup(B3654,'Special Names'!A:B,2,FALSE),B3654),PlayerValues!E:E,0)),"N/A")</f>
        <v>17473</v>
      </c>
      <c r="B3654" s="4" t="s">
        <v>391</v>
      </c>
      <c r="C3654" s="4" t="s">
        <v>278</v>
      </c>
      <c r="D3654" s="94">
        <v>2975.0</v>
      </c>
    </row>
    <row r="3655">
      <c r="A3655" s="40">
        <f t="array" ref="A3655">IFNA(index(PlayerValues!A:A,match(IFNA(vlookup(B3655,'Special Names'!A:B,2,FALSE),B3655),PlayerValues!E:E,0)),"N/A")</f>
        <v>16597</v>
      </c>
      <c r="B3655" s="4" t="s">
        <v>427</v>
      </c>
      <c r="C3655" s="4" t="s">
        <v>278</v>
      </c>
      <c r="D3655" s="94">
        <v>2939.0</v>
      </c>
    </row>
    <row r="3656">
      <c r="A3656" s="40">
        <f t="array" ref="A3656">IFNA(index(PlayerValues!A:A,match(IFNA(vlookup(B3656,'Special Names'!A:B,2,FALSE),B3656),PlayerValues!E:E,0)),"N/A")</f>
        <v>15255</v>
      </c>
      <c r="B3656" s="4" t="s">
        <v>477</v>
      </c>
      <c r="C3656" s="4" t="s">
        <v>278</v>
      </c>
      <c r="D3656" s="94">
        <v>2927.0</v>
      </c>
    </row>
    <row r="3657">
      <c r="A3657" s="40">
        <f t="array" ref="A3657">IFNA(index(PlayerValues!A:A,match(IFNA(vlookup(B3657,'Special Names'!A:B,2,FALSE),B3657),PlayerValues!E:E,0)),"N/A")</f>
        <v>17106</v>
      </c>
      <c r="B3657" s="4" t="s">
        <v>550</v>
      </c>
      <c r="C3657" s="4" t="s">
        <v>298</v>
      </c>
      <c r="D3657" s="94">
        <v>3348.0</v>
      </c>
    </row>
    <row r="3658">
      <c r="A3658" s="40">
        <f t="array" ref="A3658">IFNA(index(PlayerValues!A:A,match(IFNA(vlookup(B3658,'Special Names'!A:B,2,FALSE),B3658),PlayerValues!E:E,0)),"N/A")</f>
        <v>15241</v>
      </c>
      <c r="B3658" s="4" t="s">
        <v>546</v>
      </c>
      <c r="C3658" s="4" t="s">
        <v>283</v>
      </c>
      <c r="D3658" s="94">
        <v>2921.0</v>
      </c>
    </row>
    <row r="3659">
      <c r="A3659" s="40" t="str">
        <f t="array" ref="A3659">IFNA(index(PlayerValues!A:A,match(IFNA(vlookup(B3659,'Special Names'!A:B,2,FALSE),B3659),PlayerValues!E:E,0)),"N/A")</f>
        <v>N/A</v>
      </c>
      <c r="B3659" s="4" t="s">
        <v>109</v>
      </c>
      <c r="C3659" s="4" t="s">
        <v>325</v>
      </c>
      <c r="D3659" s="94">
        <v>2913.0</v>
      </c>
    </row>
    <row r="3660">
      <c r="A3660" s="40">
        <f t="array" ref="A3660">IFNA(index(PlayerValues!A:A,match(IFNA(vlookup(B3660,'Special Names'!A:B,2,FALSE),B3660),PlayerValues!E:E,0)),"N/A")</f>
        <v>16584</v>
      </c>
      <c r="B3660" s="4" t="s">
        <v>569</v>
      </c>
      <c r="C3660" s="4" t="s">
        <v>283</v>
      </c>
      <c r="D3660" s="94">
        <v>2903.0</v>
      </c>
    </row>
    <row r="3661">
      <c r="A3661" s="40">
        <f t="array" ref="A3661">IFNA(index(PlayerValues!A:A,match(IFNA(vlookup(B3661,'Special Names'!A:B,2,FALSE),B3661),PlayerValues!E:E,0)),"N/A")</f>
        <v>16723</v>
      </c>
      <c r="B3661" s="4" t="s">
        <v>502</v>
      </c>
      <c r="C3661" s="4" t="s">
        <v>298</v>
      </c>
      <c r="D3661" s="94">
        <v>3316.0</v>
      </c>
    </row>
    <row r="3662">
      <c r="A3662" s="40">
        <f t="array" ref="A3662">IFNA(index(PlayerValues!A:A,match(IFNA(vlookup(B3662,'Special Names'!A:B,2,FALSE),B3662),PlayerValues!E:E,0)),"N/A")</f>
        <v>16193</v>
      </c>
      <c r="B3662" s="4" t="s">
        <v>487</v>
      </c>
      <c r="C3662" s="4" t="s">
        <v>287</v>
      </c>
      <c r="D3662" s="94">
        <v>2893.0</v>
      </c>
    </row>
    <row r="3663">
      <c r="A3663" s="40" t="str">
        <f t="array" ref="A3663">IFNA(index(PlayerValues!A:A,match(IFNA(vlookup(B3663,'Special Names'!A:B,2,FALSE),B3663),PlayerValues!E:E,0)),"N/A")</f>
        <v>N/A</v>
      </c>
      <c r="B3663" s="4" t="s">
        <v>85</v>
      </c>
      <c r="C3663" s="4" t="s">
        <v>325</v>
      </c>
      <c r="D3663" s="94">
        <v>2877.0</v>
      </c>
    </row>
    <row r="3664">
      <c r="A3664" s="40">
        <f t="array" ref="A3664">IFNA(index(PlayerValues!A:A,match(IFNA(vlookup(B3664,'Special Names'!A:B,2,FALSE),B3664),PlayerValues!E:E,0)),"N/A")</f>
        <v>13163</v>
      </c>
      <c r="B3664" s="4" t="s">
        <v>473</v>
      </c>
      <c r="C3664" s="4" t="s">
        <v>287</v>
      </c>
      <c r="D3664" s="94">
        <v>2873.0</v>
      </c>
    </row>
    <row r="3665">
      <c r="A3665" s="40">
        <f t="array" ref="A3665">IFNA(index(PlayerValues!A:A,match(IFNA(vlookup(B3665,'Special Names'!A:B,2,FALSE),B3665),PlayerValues!E:E,0)),"N/A")</f>
        <v>16619</v>
      </c>
      <c r="B3665" s="4" t="s">
        <v>538</v>
      </c>
      <c r="C3665" s="4" t="s">
        <v>287</v>
      </c>
      <c r="D3665" s="94">
        <v>2862.0</v>
      </c>
    </row>
    <row r="3666">
      <c r="A3666" s="40">
        <f t="array" ref="A3666">IFNA(index(PlayerValues!A:A,match(IFNA(vlookup(B3666,'Special Names'!A:B,2,FALSE),B3666),PlayerValues!E:E,0)),"N/A")</f>
        <v>17107</v>
      </c>
      <c r="B3666" s="4" t="s">
        <v>478</v>
      </c>
      <c r="C3666" s="4" t="s">
        <v>298</v>
      </c>
      <c r="D3666" s="94">
        <v>3281.0</v>
      </c>
    </row>
    <row r="3667">
      <c r="A3667" s="40">
        <f t="array" ref="A3667">IFNA(index(PlayerValues!A:A,match(IFNA(vlookup(B3667,'Special Names'!A:B,2,FALSE),B3667),PlayerValues!E:E,0)),"N/A")</f>
        <v>17031</v>
      </c>
      <c r="B3667" s="4" t="s">
        <v>535</v>
      </c>
      <c r="C3667" s="4" t="s">
        <v>283</v>
      </c>
      <c r="D3667" s="94">
        <v>2846.0</v>
      </c>
    </row>
    <row r="3668">
      <c r="A3668" s="40">
        <f t="array" ref="A3668">IFNA(index(PlayerValues!A:A,match(IFNA(vlookup(B3668,'Special Names'!A:B,2,FALSE),B3668),PlayerValues!E:E,0)),"N/A")</f>
        <v>17072</v>
      </c>
      <c r="B3668" s="4" t="s">
        <v>508</v>
      </c>
      <c r="C3668" s="4" t="s">
        <v>287</v>
      </c>
      <c r="D3668" s="94">
        <v>2843.0</v>
      </c>
    </row>
    <row r="3669">
      <c r="A3669" s="40">
        <f t="array" ref="A3669">IFNA(index(PlayerValues!A:A,match(IFNA(vlookup(B3669,'Special Names'!A:B,2,FALSE),B3669),PlayerValues!E:E,0)),"N/A")</f>
        <v>17157</v>
      </c>
      <c r="B3669" s="4" t="s">
        <v>524</v>
      </c>
      <c r="C3669" s="4" t="s">
        <v>287</v>
      </c>
      <c r="D3669" s="94">
        <v>2836.0</v>
      </c>
    </row>
    <row r="3670">
      <c r="A3670" s="40">
        <f t="array" ref="A3670">IFNA(index(PlayerValues!A:A,match(IFNA(vlookup(B3670,'Special Names'!A:B,2,FALSE),B3670),PlayerValues!E:E,0)),"N/A")</f>
        <v>17256</v>
      </c>
      <c r="B3670" s="4" t="s">
        <v>462</v>
      </c>
      <c r="C3670" s="4" t="s">
        <v>278</v>
      </c>
      <c r="D3670" s="94">
        <v>2832.0</v>
      </c>
    </row>
    <row r="3671">
      <c r="A3671" s="40">
        <f t="array" ref="A3671">IFNA(index(PlayerValues!A:A,match(IFNA(vlookup(B3671,'Special Names'!A:B,2,FALSE),B3671),PlayerValues!E:E,0)),"N/A")</f>
        <v>14860</v>
      </c>
      <c r="B3671" s="4" t="s">
        <v>554</v>
      </c>
      <c r="C3671" s="4" t="s">
        <v>287</v>
      </c>
      <c r="D3671" s="94">
        <v>2823.0</v>
      </c>
    </row>
    <row r="3672">
      <c r="A3672" s="40">
        <f t="array" ref="A3672">IFNA(index(PlayerValues!A:A,match(IFNA(vlookup(B3672,'Special Names'!A:B,2,FALSE),B3672),PlayerValues!E:E,0)),"N/A")</f>
        <v>17053</v>
      </c>
      <c r="B3672" s="4" t="s">
        <v>484</v>
      </c>
      <c r="C3672" s="4" t="s">
        <v>278</v>
      </c>
      <c r="D3672" s="94">
        <v>2818.0</v>
      </c>
    </row>
    <row r="3673">
      <c r="A3673" s="40">
        <f t="array" ref="A3673">IFNA(index(PlayerValues!A:A,match(IFNA(vlookup(B3673,'Special Names'!A:B,2,FALSE),B3673),PlayerValues!E:E,0)),"N/A")</f>
        <v>17073</v>
      </c>
      <c r="B3673" s="4" t="s">
        <v>547</v>
      </c>
      <c r="C3673" s="4" t="s">
        <v>287</v>
      </c>
      <c r="D3673" s="94">
        <v>2814.0</v>
      </c>
    </row>
    <row r="3674">
      <c r="A3674" s="40">
        <f t="array" ref="A3674">IFNA(index(PlayerValues!A:A,match(IFNA(vlookup(B3674,'Special Names'!A:B,2,FALSE),B3674),PlayerValues!E:E,0)),"N/A")</f>
        <v>17080</v>
      </c>
      <c r="B3674" s="4" t="s">
        <v>532</v>
      </c>
      <c r="C3674" s="4" t="s">
        <v>287</v>
      </c>
      <c r="D3674" s="94">
        <v>2805.0</v>
      </c>
    </row>
    <row r="3675">
      <c r="A3675" s="40">
        <f t="array" ref="A3675">IFNA(index(PlayerValues!A:A,match(IFNA(vlookup(B3675,'Special Names'!A:B,2,FALSE),B3675),PlayerValues!E:E,0)),"N/A")</f>
        <v>17082</v>
      </c>
      <c r="B3675" s="4" t="s">
        <v>498</v>
      </c>
      <c r="C3675" s="4" t="s">
        <v>287</v>
      </c>
      <c r="D3675" s="94">
        <v>2790.0</v>
      </c>
    </row>
    <row r="3676">
      <c r="A3676" s="40">
        <f t="array" ref="A3676">IFNA(index(PlayerValues!A:A,match(IFNA(vlookup(B3676,'Special Names'!A:B,2,FALSE),B3676),PlayerValues!E:E,0)),"N/A")</f>
        <v>14138</v>
      </c>
      <c r="B3676" s="4" t="s">
        <v>531</v>
      </c>
      <c r="C3676" s="4" t="s">
        <v>298</v>
      </c>
      <c r="D3676" s="94">
        <v>3203.0</v>
      </c>
    </row>
    <row r="3677">
      <c r="A3677" s="40">
        <f t="array" ref="A3677">IFNA(index(PlayerValues!A:A,match(IFNA(vlookup(B3677,'Special Names'!A:B,2,FALSE),B3677),PlayerValues!E:E,0)),"N/A")</f>
        <v>12616</v>
      </c>
      <c r="B3677" s="4" t="s">
        <v>529</v>
      </c>
      <c r="C3677" s="4" t="s">
        <v>283</v>
      </c>
      <c r="D3677" s="94">
        <v>2772.0</v>
      </c>
    </row>
    <row r="3678">
      <c r="A3678" s="40">
        <f t="array" ref="A3678">IFNA(index(PlayerValues!A:A,match(IFNA(vlookup(B3678,'Special Names'!A:B,2,FALSE),B3678),PlayerValues!E:E,0)),"N/A")</f>
        <v>17477</v>
      </c>
      <c r="B3678" s="4" t="s">
        <v>452</v>
      </c>
      <c r="C3678" s="4" t="s">
        <v>278</v>
      </c>
      <c r="D3678" s="94">
        <v>2766.0</v>
      </c>
    </row>
    <row r="3679">
      <c r="A3679" s="40">
        <f t="array" ref="A3679">IFNA(index(PlayerValues!A:A,match(IFNA(vlookup(B3679,'Special Names'!A:B,2,FALSE),B3679),PlayerValues!E:E,0)),"N/A")</f>
        <v>15889</v>
      </c>
      <c r="B3679" s="4" t="s">
        <v>503</v>
      </c>
      <c r="C3679" s="4" t="s">
        <v>298</v>
      </c>
      <c r="D3679" s="94">
        <v>3173.0</v>
      </c>
    </row>
    <row r="3680">
      <c r="A3680" s="40">
        <f t="array" ref="A3680">IFNA(index(PlayerValues!A:A,match(IFNA(vlookup(B3680,'Special Names'!A:B,2,FALSE),B3680),PlayerValues!E:E,0)),"N/A")</f>
        <v>17098</v>
      </c>
      <c r="B3680" s="4" t="s">
        <v>533</v>
      </c>
      <c r="C3680" s="4" t="s">
        <v>287</v>
      </c>
      <c r="D3680" s="94">
        <v>2747.0</v>
      </c>
    </row>
    <row r="3681">
      <c r="A3681" s="40">
        <f t="array" ref="A3681">IFNA(index(PlayerValues!A:A,match(IFNA(vlookup(B3681,'Special Names'!A:B,2,FALSE),B3681),PlayerValues!E:E,0)),"N/A")</f>
        <v>16596</v>
      </c>
      <c r="B3681" s="4" t="s">
        <v>501</v>
      </c>
      <c r="C3681" s="4" t="s">
        <v>278</v>
      </c>
      <c r="D3681" s="94">
        <v>2740.0</v>
      </c>
    </row>
    <row r="3682">
      <c r="A3682" s="40">
        <f t="array" ref="A3682">IFNA(index(PlayerValues!A:A,match(IFNA(vlookup(B3682,'Special Names'!A:B,2,FALSE),B3682),PlayerValues!E:E,0)),"N/A")</f>
        <v>13671</v>
      </c>
      <c r="B3682" s="4" t="s">
        <v>506</v>
      </c>
      <c r="C3682" s="4" t="s">
        <v>298</v>
      </c>
      <c r="D3682" s="94">
        <v>3151.0</v>
      </c>
    </row>
    <row r="3683">
      <c r="A3683" s="40">
        <f t="array" ref="A3683">IFNA(index(PlayerValues!A:A,match(IFNA(vlookup(B3683,'Special Names'!A:B,2,FALSE),B3683),PlayerValues!E:E,0)),"N/A")</f>
        <v>17171</v>
      </c>
      <c r="B3683" s="4" t="s">
        <v>561</v>
      </c>
      <c r="C3683" s="4" t="s">
        <v>287</v>
      </c>
      <c r="D3683" s="94">
        <v>2733.0</v>
      </c>
    </row>
    <row r="3684">
      <c r="A3684" s="40" t="str">
        <f t="array" ref="A3684">IFNA(index(PlayerValues!A:A,match(IFNA(vlookup(B3684,'Special Names'!A:B,2,FALSE),B3684),PlayerValues!E:E,0)),"N/A")</f>
        <v>N/A</v>
      </c>
      <c r="B3684" s="4" t="s">
        <v>110</v>
      </c>
      <c r="C3684" s="4" t="s">
        <v>325</v>
      </c>
      <c r="D3684" s="94">
        <v>2727.0</v>
      </c>
    </row>
    <row r="3685">
      <c r="A3685" s="40">
        <f t="array" ref="A3685">IFNA(index(PlayerValues!A:A,match(IFNA(vlookup(B3685,'Special Names'!A:B,2,FALSE),B3685),PlayerValues!E:E,0)),"N/A")</f>
        <v>14778</v>
      </c>
      <c r="B3685" s="4" t="s">
        <v>564</v>
      </c>
      <c r="C3685" s="4" t="s">
        <v>283</v>
      </c>
      <c r="D3685" s="94">
        <v>2725.0</v>
      </c>
    </row>
    <row r="3686">
      <c r="A3686" s="40">
        <f t="array" ref="A3686">IFNA(index(PlayerValues!A:A,match(IFNA(vlookup(B3686,'Special Names'!A:B,2,FALSE),B3686),PlayerValues!E:E,0)),"N/A")</f>
        <v>16594</v>
      </c>
      <c r="B3686" s="4" t="s">
        <v>607</v>
      </c>
      <c r="C3686" s="4" t="s">
        <v>278</v>
      </c>
      <c r="D3686" s="94">
        <v>2717.0</v>
      </c>
    </row>
    <row r="3687">
      <c r="A3687" s="40">
        <f t="array" ref="A3687">IFNA(index(PlayerValues!A:A,match(IFNA(vlookup(B3687,'Special Names'!A:B,2,FALSE),B3687),PlayerValues!E:E,0)),"N/A")</f>
        <v>17047</v>
      </c>
      <c r="B3687" s="4" t="s">
        <v>510</v>
      </c>
      <c r="C3687" s="4" t="s">
        <v>278</v>
      </c>
      <c r="D3687" s="94">
        <v>2716.0</v>
      </c>
    </row>
    <row r="3688">
      <c r="A3688" s="40">
        <f t="array" ref="A3688">IFNA(index(PlayerValues!A:A,match(IFNA(vlookup(B3688,'Special Names'!A:B,2,FALSE),B3688),PlayerValues!E:E,0)),"N/A")</f>
        <v>14833</v>
      </c>
      <c r="B3688" s="4" t="s">
        <v>553</v>
      </c>
      <c r="C3688" s="4" t="s">
        <v>287</v>
      </c>
      <c r="D3688" s="94">
        <v>2714.0</v>
      </c>
    </row>
    <row r="3689">
      <c r="A3689" s="40">
        <f t="array" ref="A3689">IFNA(index(PlayerValues!A:A,match(IFNA(vlookup(B3689,'Special Names'!A:B,2,FALSE),B3689),PlayerValues!E:E,0)),"N/A")</f>
        <v>15972</v>
      </c>
      <c r="B3689" s="4" t="s">
        <v>469</v>
      </c>
      <c r="C3689" s="4" t="s">
        <v>278</v>
      </c>
      <c r="D3689" s="94">
        <v>2714.0</v>
      </c>
    </row>
    <row r="3690">
      <c r="A3690" s="40">
        <f t="array" ref="A3690">IFNA(index(PlayerValues!A:A,match(IFNA(vlookup(B3690,'Special Names'!A:B,2,FALSE),B3690),PlayerValues!E:E,0)),"N/A")</f>
        <v>16626</v>
      </c>
      <c r="B3690" s="4" t="s">
        <v>515</v>
      </c>
      <c r="C3690" s="4" t="s">
        <v>287</v>
      </c>
      <c r="D3690" s="94">
        <v>2712.0</v>
      </c>
    </row>
    <row r="3691">
      <c r="A3691" s="40">
        <f t="array" ref="A3691">IFNA(index(PlayerValues!A:A,match(IFNA(vlookup(B3691,'Special Names'!A:B,2,FALSE),B3691),PlayerValues!E:E,0)),"N/A")</f>
        <v>15721</v>
      </c>
      <c r="B3691" s="4" t="s">
        <v>504</v>
      </c>
      <c r="C3691" s="4" t="s">
        <v>278</v>
      </c>
      <c r="D3691" s="94">
        <v>2708.0</v>
      </c>
    </row>
    <row r="3692">
      <c r="A3692" s="40">
        <f t="array" ref="A3692">IFNA(index(PlayerValues!A:A,match(IFNA(vlookup(B3692,'Special Names'!A:B,2,FALSE),B3692),PlayerValues!E:E,0)),"N/A")</f>
        <v>13192</v>
      </c>
      <c r="B3692" s="4" t="s">
        <v>563</v>
      </c>
      <c r="C3692" s="4" t="s">
        <v>298</v>
      </c>
      <c r="D3692" s="94">
        <v>3118.0</v>
      </c>
    </row>
    <row r="3693">
      <c r="A3693" s="40">
        <f t="array" ref="A3693">IFNA(index(PlayerValues!A:A,match(IFNA(vlookup(B3693,'Special Names'!A:B,2,FALSE),B3693),PlayerValues!E:E,0)),"N/A")</f>
        <v>17134</v>
      </c>
      <c r="B3693" s="4" t="s">
        <v>548</v>
      </c>
      <c r="C3693" s="4" t="s">
        <v>287</v>
      </c>
      <c r="D3693" s="94">
        <v>2698.0</v>
      </c>
    </row>
    <row r="3694">
      <c r="A3694" s="40">
        <f t="array" ref="A3694">IFNA(index(PlayerValues!A:A,match(IFNA(vlookup(B3694,'Special Names'!A:B,2,FALSE),B3694),PlayerValues!E:E,0)),"N/A")</f>
        <v>14085</v>
      </c>
      <c r="B3694" s="4" t="s">
        <v>489</v>
      </c>
      <c r="C3694" s="4" t="s">
        <v>278</v>
      </c>
      <c r="D3694" s="94">
        <v>2668.0</v>
      </c>
    </row>
    <row r="3695">
      <c r="A3695" s="40">
        <f t="array" ref="A3695">IFNA(index(PlayerValues!A:A,match(IFNA(vlookup(B3695,'Special Names'!A:B,2,FALSE),B3695),PlayerValues!E:E,0)),"N/A")</f>
        <v>16165</v>
      </c>
      <c r="B3695" s="4" t="s">
        <v>520</v>
      </c>
      <c r="C3695" s="4" t="s">
        <v>278</v>
      </c>
      <c r="D3695" s="94">
        <v>2651.0</v>
      </c>
    </row>
    <row r="3696">
      <c r="A3696" s="40">
        <f t="array" ref="A3696">IFNA(index(PlayerValues!A:A,match(IFNA(vlookup(B3696,'Special Names'!A:B,2,FALSE),B3696),PlayerValues!E:E,0)),"N/A")</f>
        <v>13674</v>
      </c>
      <c r="B3696" s="4" t="s">
        <v>511</v>
      </c>
      <c r="C3696" s="4" t="s">
        <v>298</v>
      </c>
      <c r="D3696" s="94">
        <v>3048.0</v>
      </c>
    </row>
    <row r="3697">
      <c r="A3697" s="40">
        <f t="array" ref="A3697">IFNA(index(PlayerValues!A:A,match(IFNA(vlookup(B3697,'Special Names'!A:B,2,FALSE),B3697),PlayerValues!E:E,0)),"N/A")</f>
        <v>17544</v>
      </c>
      <c r="B3697" s="4" t="s">
        <v>470</v>
      </c>
      <c r="C3697" s="4" t="s">
        <v>298</v>
      </c>
      <c r="D3697" s="94">
        <v>3038.0</v>
      </c>
    </row>
    <row r="3698">
      <c r="A3698" s="40">
        <f t="array" ref="A3698">IFNA(index(PlayerValues!A:A,match(IFNA(vlookup(B3698,'Special Names'!A:B,2,FALSE),B3698),PlayerValues!E:E,0)),"N/A")</f>
        <v>16747</v>
      </c>
      <c r="B3698" s="4" t="s">
        <v>555</v>
      </c>
      <c r="C3698" s="4" t="s">
        <v>278</v>
      </c>
      <c r="D3698" s="94">
        <v>2589.0</v>
      </c>
    </row>
    <row r="3699">
      <c r="A3699" s="40">
        <f t="array" ref="A3699">IFNA(index(PlayerValues!A:A,match(IFNA(vlookup(B3699,'Special Names'!A:B,2,FALSE),B3699),PlayerValues!E:E,0)),"N/A")</f>
        <v>14840</v>
      </c>
      <c r="B3699" s="4" t="s">
        <v>731</v>
      </c>
      <c r="C3699" s="4" t="s">
        <v>287</v>
      </c>
      <c r="D3699" s="94">
        <v>2579.0</v>
      </c>
    </row>
    <row r="3700">
      <c r="A3700" s="40">
        <f t="array" ref="A3700">IFNA(index(PlayerValues!A:A,match(IFNA(vlookup(B3700,'Special Names'!A:B,2,FALSE),B3700),PlayerValues!E:E,0)),"N/A")</f>
        <v>17105</v>
      </c>
      <c r="B3700" s="4" t="s">
        <v>525</v>
      </c>
      <c r="C3700" s="4" t="s">
        <v>298</v>
      </c>
      <c r="D3700" s="94">
        <v>2973.0</v>
      </c>
    </row>
    <row r="3701">
      <c r="A3701" s="40" t="str">
        <f t="array" ref="A3701">IFNA(index(PlayerValues!A:A,match(IFNA(vlookup(B3701,'Special Names'!A:B,2,FALSE),B3701),PlayerValues!E:E,0)),"N/A")</f>
        <v>N/A</v>
      </c>
      <c r="B3701" s="4" t="s">
        <v>98</v>
      </c>
      <c r="C3701" s="4" t="s">
        <v>325</v>
      </c>
      <c r="D3701" s="94">
        <v>2562.0</v>
      </c>
    </row>
    <row r="3702">
      <c r="A3702" s="40">
        <f t="array" ref="A3702">IFNA(index(PlayerValues!A:A,match(IFNA(vlookup(B3702,'Special Names'!A:B,2,FALSE),B3702),PlayerValues!E:E,0)),"N/A")</f>
        <v>16617</v>
      </c>
      <c r="B3702" s="4" t="s">
        <v>541</v>
      </c>
      <c r="C3702" s="4" t="s">
        <v>287</v>
      </c>
      <c r="D3702" s="94">
        <v>2552.0</v>
      </c>
    </row>
    <row r="3703">
      <c r="A3703" s="40">
        <f t="array" ref="A3703">IFNA(index(PlayerValues!A:A,match(IFNA(vlookup(B3703,'Special Names'!A:B,2,FALSE),B3703),PlayerValues!E:E,0)),"N/A")</f>
        <v>17108</v>
      </c>
      <c r="B3703" s="4" t="s">
        <v>542</v>
      </c>
      <c r="C3703" s="4" t="s">
        <v>298</v>
      </c>
      <c r="D3703" s="94">
        <v>2954.0</v>
      </c>
    </row>
    <row r="3704">
      <c r="A3704" s="40">
        <f t="array" ref="A3704">IFNA(index(PlayerValues!A:A,match(IFNA(vlookup(B3704,'Special Names'!A:B,2,FALSE),B3704),PlayerValues!E:E,0)),"N/A")</f>
        <v>16178</v>
      </c>
      <c r="B3704" s="4" t="s">
        <v>507</v>
      </c>
      <c r="C3704" s="4" t="s">
        <v>278</v>
      </c>
      <c r="D3704" s="94">
        <v>2535.0</v>
      </c>
    </row>
    <row r="3705">
      <c r="A3705" s="40">
        <f t="array" ref="A3705">IFNA(index(PlayerValues!A:A,match(IFNA(vlookup(B3705,'Special Names'!A:B,2,FALSE),B3705),PlayerValues!E:E,0)),"N/A")</f>
        <v>16164</v>
      </c>
      <c r="B3705" s="4" t="s">
        <v>512</v>
      </c>
      <c r="C3705" s="4" t="s">
        <v>278</v>
      </c>
      <c r="D3705" s="94">
        <v>2529.0</v>
      </c>
    </row>
    <row r="3706">
      <c r="A3706" s="40" t="str">
        <f t="array" ref="A3706">IFNA(index(PlayerValues!A:A,match(IFNA(vlookup(B3706,'Special Names'!A:B,2,FALSE),B3706),PlayerValues!E:E,0)),"N/A")</f>
        <v>N/A</v>
      </c>
      <c r="B3706" s="4" t="s">
        <v>557</v>
      </c>
      <c r="C3706" s="4" t="s">
        <v>278</v>
      </c>
      <c r="D3706" s="94">
        <v>2525.0</v>
      </c>
    </row>
    <row r="3707">
      <c r="A3707" s="40">
        <f t="array" ref="A3707">IFNA(index(PlayerValues!A:A,match(IFNA(vlookup(B3707,'Special Names'!A:B,2,FALSE),B3707),PlayerValues!E:E,0)),"N/A")</f>
        <v>14136</v>
      </c>
      <c r="B3707" s="4" t="s">
        <v>536</v>
      </c>
      <c r="C3707" s="4" t="s">
        <v>287</v>
      </c>
      <c r="D3707" s="94">
        <v>2517.0</v>
      </c>
    </row>
    <row r="3708">
      <c r="A3708" s="40">
        <f t="array" ref="A3708">IFNA(index(PlayerValues!A:A,match(IFNA(vlookup(B3708,'Special Names'!A:B,2,FALSE),B3708),PlayerValues!E:E,0)),"N/A")</f>
        <v>16204</v>
      </c>
      <c r="B3708" s="4" t="s">
        <v>530</v>
      </c>
      <c r="C3708" s="4" t="s">
        <v>287</v>
      </c>
      <c r="D3708" s="94">
        <v>2514.0</v>
      </c>
    </row>
    <row r="3709">
      <c r="A3709" s="40">
        <f t="array" ref="A3709">IFNA(index(PlayerValues!A:A,match(IFNA(vlookup(B3709,'Special Names'!A:B,2,FALSE),B3709),PlayerValues!E:E,0)),"N/A")</f>
        <v>15802</v>
      </c>
      <c r="B3709" s="4" t="s">
        <v>566</v>
      </c>
      <c r="C3709" s="4" t="s">
        <v>298</v>
      </c>
      <c r="D3709" s="94">
        <v>2919.0</v>
      </c>
    </row>
    <row r="3710">
      <c r="A3710" s="40">
        <f t="array" ref="A3710">IFNA(index(PlayerValues!A:A,match(IFNA(vlookup(B3710,'Special Names'!A:B,2,FALSE),B3710),PlayerValues!E:E,0)),"N/A")</f>
        <v>16152</v>
      </c>
      <c r="B3710" s="4" t="s">
        <v>601</v>
      </c>
      <c r="C3710" s="4" t="s">
        <v>283</v>
      </c>
      <c r="D3710" s="94">
        <v>2510.0</v>
      </c>
    </row>
    <row r="3711">
      <c r="A3711" s="40">
        <f t="array" ref="A3711">IFNA(index(PlayerValues!A:A,match(IFNA(vlookup(B3711,'Special Names'!A:B,2,FALSE),B3711),PlayerValues!E:E,0)),"N/A")</f>
        <v>16166</v>
      </c>
      <c r="B3711" s="4" t="s">
        <v>567</v>
      </c>
      <c r="C3711" s="4" t="s">
        <v>278</v>
      </c>
      <c r="D3711" s="94">
        <v>2494.0</v>
      </c>
    </row>
    <row r="3712">
      <c r="A3712" s="40">
        <f t="array" ref="A3712">IFNA(index(PlayerValues!A:A,match(IFNA(vlookup(B3712,'Special Names'!A:B,2,FALSE),B3712),PlayerValues!E:E,0)),"N/A")</f>
        <v>16757</v>
      </c>
      <c r="B3712" s="4" t="s">
        <v>558</v>
      </c>
      <c r="C3712" s="4" t="s">
        <v>278</v>
      </c>
      <c r="D3712" s="94">
        <v>2469.0</v>
      </c>
    </row>
    <row r="3713">
      <c r="A3713" s="40">
        <f t="array" ref="A3713">IFNA(index(PlayerValues!A:A,match(IFNA(vlookup(B3713,'Special Names'!A:B,2,FALSE),B3713),PlayerValues!E:E,0)),"N/A")</f>
        <v>16287</v>
      </c>
      <c r="B3713" s="4" t="s">
        <v>516</v>
      </c>
      <c r="C3713" s="4" t="s">
        <v>287</v>
      </c>
      <c r="D3713" s="94">
        <v>2460.0</v>
      </c>
    </row>
    <row r="3714">
      <c r="A3714" s="40">
        <f t="array" ref="A3714">IFNA(index(PlayerValues!A:A,match(IFNA(vlookup(B3714,'Special Names'!A:B,2,FALSE),B3714),PlayerValues!E:E,0)),"N/A")</f>
        <v>17033</v>
      </c>
      <c r="B3714" s="4" t="s">
        <v>570</v>
      </c>
      <c r="C3714" s="4" t="s">
        <v>283</v>
      </c>
      <c r="D3714" s="94">
        <v>2457.0</v>
      </c>
    </row>
    <row r="3715">
      <c r="A3715" s="40">
        <f t="array" ref="A3715">IFNA(index(PlayerValues!A:A,match(IFNA(vlookup(B3715,'Special Names'!A:B,2,FALSE),B3715),PlayerValues!E:E,0)),"N/A")</f>
        <v>11244</v>
      </c>
      <c r="B3715" s="4" t="s">
        <v>519</v>
      </c>
      <c r="C3715" s="4" t="s">
        <v>298</v>
      </c>
      <c r="D3715" s="94">
        <v>2859.0</v>
      </c>
    </row>
    <row r="3716">
      <c r="A3716" s="40">
        <f t="array" ref="A3716">IFNA(index(PlayerValues!A:A,match(IFNA(vlookup(B3716,'Special Names'!A:B,2,FALSE),B3716),PlayerValues!E:E,0)),"N/A")</f>
        <v>17476</v>
      </c>
      <c r="B3716" s="4" t="s">
        <v>494</v>
      </c>
      <c r="C3716" s="4" t="s">
        <v>278</v>
      </c>
      <c r="D3716" s="94">
        <v>2447.0</v>
      </c>
    </row>
    <row r="3717">
      <c r="A3717" s="40">
        <f t="array" ref="A3717">IFNA(index(PlayerValues!A:A,match(IFNA(vlookup(B3717,'Special Names'!A:B,2,FALSE),B3717),PlayerValues!E:E,0)),"N/A")</f>
        <v>16649</v>
      </c>
      <c r="B3717" s="4" t="s">
        <v>586</v>
      </c>
      <c r="C3717" s="4" t="s">
        <v>298</v>
      </c>
      <c r="D3717" s="94">
        <v>2845.0</v>
      </c>
    </row>
    <row r="3718">
      <c r="A3718" s="40">
        <f t="array" ref="A3718">IFNA(index(PlayerValues!A:A,match(IFNA(vlookup(B3718,'Special Names'!A:B,2,FALSE),B3718),PlayerValues!E:E,0)),"N/A")</f>
        <v>14861</v>
      </c>
      <c r="B3718" s="4" t="s">
        <v>523</v>
      </c>
      <c r="C3718" s="4" t="s">
        <v>298</v>
      </c>
      <c r="D3718" s="94">
        <v>2833.0</v>
      </c>
    </row>
    <row r="3719">
      <c r="A3719" s="40">
        <f t="array" ref="A3719">IFNA(index(PlayerValues!A:A,match(IFNA(vlookup(B3719,'Special Names'!A:B,2,FALSE),B3719),PlayerValues!E:E,0)),"N/A")</f>
        <v>16684</v>
      </c>
      <c r="B3719" s="4" t="s">
        <v>500</v>
      </c>
      <c r="C3719" s="4" t="s">
        <v>287</v>
      </c>
      <c r="D3719" s="94">
        <v>2429.0</v>
      </c>
    </row>
    <row r="3720">
      <c r="A3720" s="40">
        <f t="array" ref="A3720">IFNA(index(PlayerValues!A:A,match(IFNA(vlookup(B3720,'Special Names'!A:B,2,FALSE),B3720),PlayerValues!E:E,0)),"N/A")</f>
        <v>16189</v>
      </c>
      <c r="B3720" s="4" t="s">
        <v>582</v>
      </c>
      <c r="C3720" s="4" t="s">
        <v>287</v>
      </c>
      <c r="D3720" s="94">
        <v>2413.0</v>
      </c>
    </row>
    <row r="3721">
      <c r="A3721" s="40">
        <f t="array" ref="A3721">IFNA(index(PlayerValues!A:A,match(IFNA(vlookup(B3721,'Special Names'!A:B,2,FALSE),B3721),PlayerValues!E:E,0)),"N/A")</f>
        <v>17505</v>
      </c>
      <c r="B3721" s="4" t="s">
        <v>528</v>
      </c>
      <c r="C3721" s="4" t="s">
        <v>287</v>
      </c>
      <c r="D3721" s="94">
        <v>2413.0</v>
      </c>
    </row>
    <row r="3722">
      <c r="A3722" s="40">
        <f t="array" ref="A3722">IFNA(index(PlayerValues!A:A,match(IFNA(vlookup(B3722,'Special Names'!A:B,2,FALSE),B3722),PlayerValues!E:E,0)),"N/A")</f>
        <v>16036</v>
      </c>
      <c r="B3722" s="4" t="s">
        <v>592</v>
      </c>
      <c r="C3722" s="4" t="s">
        <v>298</v>
      </c>
      <c r="D3722" s="94">
        <v>2801.0</v>
      </c>
    </row>
    <row r="3723">
      <c r="A3723" s="40" t="str">
        <f t="array" ref="A3723">IFNA(index(PlayerValues!A:A,match(IFNA(vlookup(B3723,'Special Names'!A:B,2,FALSE),B3723),PlayerValues!E:E,0)),"N/A")</f>
        <v>N/A</v>
      </c>
      <c r="B3723" s="4" t="s">
        <v>86</v>
      </c>
      <c r="C3723" s="4" t="s">
        <v>325</v>
      </c>
      <c r="D3723" s="94">
        <v>2400.0</v>
      </c>
    </row>
    <row r="3724">
      <c r="A3724" s="40" t="str">
        <f t="array" ref="A3724">IFNA(index(PlayerValues!A:A,match(IFNA(vlookup(B3724,'Special Names'!A:B,2,FALSE),B3724),PlayerValues!E:E,0)),"N/A")</f>
        <v>N/A</v>
      </c>
      <c r="B3724" s="4" t="s">
        <v>99</v>
      </c>
      <c r="C3724" s="4" t="s">
        <v>325</v>
      </c>
      <c r="D3724" s="94">
        <v>2397.0</v>
      </c>
    </row>
    <row r="3725">
      <c r="A3725" s="40">
        <f t="array" ref="A3725">IFNA(index(PlayerValues!A:A,match(IFNA(vlookup(B3725,'Special Names'!A:B,2,FALSE),B3725),PlayerValues!E:E,0)),"N/A")</f>
        <v>17078</v>
      </c>
      <c r="B3725" s="4" t="s">
        <v>543</v>
      </c>
      <c r="C3725" s="4" t="s">
        <v>287</v>
      </c>
      <c r="D3725" s="94">
        <v>2397.0</v>
      </c>
    </row>
    <row r="3726">
      <c r="A3726" s="40">
        <f t="array" ref="A3726">IFNA(index(PlayerValues!A:A,match(IFNA(vlookup(B3726,'Special Names'!A:B,2,FALSE),B3726),PlayerValues!E:E,0)),"N/A")</f>
        <v>15749</v>
      </c>
      <c r="B3726" s="4" t="s">
        <v>574</v>
      </c>
      <c r="C3726" s="4" t="s">
        <v>278</v>
      </c>
      <c r="D3726" s="94">
        <v>2396.0</v>
      </c>
    </row>
    <row r="3727">
      <c r="A3727" s="40">
        <f t="array" ref="A3727">IFNA(index(PlayerValues!A:A,match(IFNA(vlookup(B3727,'Special Names'!A:B,2,FALSE),B3727),PlayerValues!E:E,0)),"N/A")</f>
        <v>17048</v>
      </c>
      <c r="B3727" s="4" t="s">
        <v>539</v>
      </c>
      <c r="C3727" s="4" t="s">
        <v>278</v>
      </c>
      <c r="D3727" s="94">
        <v>2388.0</v>
      </c>
    </row>
    <row r="3728">
      <c r="A3728" s="40">
        <f t="array" ref="A3728">IFNA(index(PlayerValues!A:A,match(IFNA(vlookup(B3728,'Special Names'!A:B,2,FALSE),B3728),PlayerValues!E:E,0)),"N/A")</f>
        <v>15786</v>
      </c>
      <c r="B3728" s="4" t="s">
        <v>521</v>
      </c>
      <c r="C3728" s="4" t="s">
        <v>287</v>
      </c>
      <c r="D3728" s="94">
        <v>2377.0</v>
      </c>
    </row>
    <row r="3729">
      <c r="A3729" s="40">
        <f t="array" ref="A3729">IFNA(index(PlayerValues!A:A,match(IFNA(vlookup(B3729,'Special Names'!A:B,2,FALSE),B3729),PlayerValues!E:E,0)),"N/A")</f>
        <v>16610</v>
      </c>
      <c r="B3729" s="4" t="s">
        <v>562</v>
      </c>
      <c r="C3729" s="4" t="s">
        <v>278</v>
      </c>
      <c r="D3729" s="94">
        <v>2348.0</v>
      </c>
    </row>
    <row r="3730">
      <c r="A3730" s="40">
        <f t="array" ref="A3730">IFNA(index(PlayerValues!A:A,match(IFNA(vlookup(B3730,'Special Names'!A:B,2,FALSE),B3730),PlayerValues!E:E,0)),"N/A")</f>
        <v>12676</v>
      </c>
      <c r="B3730" s="4" t="s">
        <v>537</v>
      </c>
      <c r="C3730" s="4" t="s">
        <v>298</v>
      </c>
      <c r="D3730" s="94">
        <v>2741.0</v>
      </c>
    </row>
    <row r="3731">
      <c r="A3731" s="40">
        <f t="array" ref="A3731">IFNA(index(PlayerValues!A:A,match(IFNA(vlookup(B3731,'Special Names'!A:B,2,FALSE),B3731),PlayerValues!E:E,0)),"N/A")</f>
        <v>16195</v>
      </c>
      <c r="B3731" s="4" t="s">
        <v>509</v>
      </c>
      <c r="C3731" s="4" t="s">
        <v>287</v>
      </c>
      <c r="D3731" s="94">
        <v>2342.0</v>
      </c>
    </row>
    <row r="3732">
      <c r="A3732" s="40">
        <f t="array" ref="A3732">IFNA(index(PlayerValues!A:A,match(IFNA(vlookup(B3732,'Special Names'!A:B,2,FALSE),B3732),PlayerValues!E:E,0)),"N/A")</f>
        <v>16212</v>
      </c>
      <c r="B3732" s="4" t="s">
        <v>568</v>
      </c>
      <c r="C3732" s="4" t="s">
        <v>298</v>
      </c>
      <c r="D3732" s="94">
        <v>2711.0</v>
      </c>
    </row>
    <row r="3733">
      <c r="A3733" s="40">
        <f t="array" ref="A3733">IFNA(index(PlayerValues!A:A,match(IFNA(vlookup(B3733,'Special Names'!A:B,2,FALSE),B3733),PlayerValues!E:E,0)),"N/A")</f>
        <v>17046</v>
      </c>
      <c r="B3733" s="4" t="s">
        <v>602</v>
      </c>
      <c r="C3733" s="4" t="s">
        <v>278</v>
      </c>
      <c r="D3733" s="94">
        <v>2314.0</v>
      </c>
    </row>
    <row r="3734">
      <c r="A3734" s="40">
        <f t="array" ref="A3734">IFNA(index(PlayerValues!A:A,match(IFNA(vlookup(B3734,'Special Names'!A:B,2,FALSE),B3734),PlayerValues!E:E,0)),"N/A")</f>
        <v>12801</v>
      </c>
      <c r="B3734" s="4" t="s">
        <v>722</v>
      </c>
      <c r="C3734" s="4" t="s">
        <v>287</v>
      </c>
      <c r="D3734" s="94">
        <v>2305.0</v>
      </c>
    </row>
    <row r="3735">
      <c r="A3735" s="40">
        <f t="array" ref="A3735">IFNA(index(PlayerValues!A:A,match(IFNA(vlookup(B3735,'Special Names'!A:B,2,FALSE),B3735),PlayerValues!E:E,0)),"N/A")</f>
        <v>15238</v>
      </c>
      <c r="B3735" s="4" t="s">
        <v>613</v>
      </c>
      <c r="C3735" s="4" t="s">
        <v>283</v>
      </c>
      <c r="D3735" s="94">
        <v>2302.0</v>
      </c>
    </row>
    <row r="3736">
      <c r="A3736" s="40">
        <f t="array" ref="A3736">IFNA(index(PlayerValues!A:A,match(IFNA(vlookup(B3736,'Special Names'!A:B,2,FALSE),B3736),PlayerValues!E:E,0)),"N/A")</f>
        <v>13772</v>
      </c>
      <c r="B3736" s="4" t="s">
        <v>544</v>
      </c>
      <c r="C3736" s="4" t="s">
        <v>298</v>
      </c>
      <c r="D3736" s="94">
        <v>2687.0</v>
      </c>
    </row>
    <row r="3737">
      <c r="A3737" s="40">
        <f t="array" ref="A3737">IFNA(index(PlayerValues!A:A,match(IFNA(vlookup(B3737,'Special Names'!A:B,2,FALSE),B3737),PlayerValues!E:E,0)),"N/A")</f>
        <v>17076</v>
      </c>
      <c r="B3737" s="4" t="s">
        <v>585</v>
      </c>
      <c r="C3737" s="4" t="s">
        <v>287</v>
      </c>
      <c r="D3737" s="94">
        <v>2290.0</v>
      </c>
    </row>
    <row r="3738">
      <c r="A3738" s="40">
        <f t="array" ref="A3738">IFNA(index(PlayerValues!A:A,match(IFNA(vlookup(B3738,'Special Names'!A:B,2,FALSE),B3738),PlayerValues!E:E,0)),"N/A")</f>
        <v>16174</v>
      </c>
      <c r="B3738" s="4" t="s">
        <v>505</v>
      </c>
      <c r="C3738" s="4" t="s">
        <v>278</v>
      </c>
      <c r="D3738" s="94">
        <v>2278.0</v>
      </c>
    </row>
    <row r="3739">
      <c r="A3739" s="40">
        <f t="array" ref="A3739">IFNA(index(PlayerValues!A:A,match(IFNA(vlookup(B3739,'Special Names'!A:B,2,FALSE),B3739),PlayerValues!E:E,0)),"N/A")</f>
        <v>17079</v>
      </c>
      <c r="B3739" s="4" t="s">
        <v>572</v>
      </c>
      <c r="C3739" s="4" t="s">
        <v>287</v>
      </c>
      <c r="D3739" s="94">
        <v>2275.0</v>
      </c>
    </row>
    <row r="3740">
      <c r="A3740" s="40">
        <f t="array" ref="A3740">IFNA(index(PlayerValues!A:A,match(IFNA(vlookup(B3740,'Special Names'!A:B,2,FALSE),B3740),PlayerValues!E:E,0)),"N/A")</f>
        <v>15716</v>
      </c>
      <c r="B3740" s="4" t="s">
        <v>545</v>
      </c>
      <c r="C3740" s="4" t="s">
        <v>278</v>
      </c>
      <c r="D3740" s="94">
        <v>2256.0</v>
      </c>
    </row>
    <row r="3741">
      <c r="A3741" s="40" t="str">
        <f t="array" ref="A3741">IFNA(index(PlayerValues!A:A,match(IFNA(vlookup(B3741,'Special Names'!A:B,2,FALSE),B3741),PlayerValues!E:E,0)),"N/A")</f>
        <v>N/A</v>
      </c>
      <c r="B3741" s="4" t="s">
        <v>87</v>
      </c>
      <c r="C3741" s="4" t="s">
        <v>325</v>
      </c>
      <c r="D3741" s="94">
        <v>2250.0</v>
      </c>
    </row>
    <row r="3742">
      <c r="A3742" s="40">
        <f t="array" ref="A3742">IFNA(index(PlayerValues!A:A,match(IFNA(vlookup(B3742,'Special Names'!A:B,2,FALSE),B3742),PlayerValues!E:E,0)),"N/A")</f>
        <v>17482</v>
      </c>
      <c r="B3742" s="4" t="s">
        <v>460</v>
      </c>
      <c r="C3742" s="4" t="s">
        <v>278</v>
      </c>
      <c r="D3742" s="94">
        <v>2248.0</v>
      </c>
    </row>
    <row r="3743">
      <c r="A3743" s="40">
        <f t="array" ref="A3743">IFNA(index(PlayerValues!A:A,match(IFNA(vlookup(B3743,'Special Names'!A:B,2,FALSE),B3743),PlayerValues!E:E,0)),"N/A")</f>
        <v>12186</v>
      </c>
      <c r="B3743" s="4" t="s">
        <v>497</v>
      </c>
      <c r="C3743" s="4" t="s">
        <v>287</v>
      </c>
      <c r="D3743" s="94">
        <v>2246.0</v>
      </c>
    </row>
    <row r="3744">
      <c r="A3744" s="40" t="str">
        <f t="array" ref="A3744">IFNA(index(PlayerValues!A:A,match(IFNA(vlookup(B3744,'Special Names'!A:B,2,FALSE),B3744),PlayerValues!E:E,0)),"N/A")</f>
        <v>N/A</v>
      </c>
      <c r="B3744" s="4" t="s">
        <v>100</v>
      </c>
      <c r="C3744" s="4" t="s">
        <v>325</v>
      </c>
      <c r="D3744" s="94">
        <v>2219.0</v>
      </c>
    </row>
    <row r="3745">
      <c r="A3745" s="40">
        <f t="array" ref="A3745">IFNA(index(PlayerValues!A:A,match(IFNA(vlookup(B3745,'Special Names'!A:B,2,FALSE),B3745),PlayerValues!E:E,0)),"N/A")</f>
        <v>15331</v>
      </c>
      <c r="B3745" s="4" t="s">
        <v>560</v>
      </c>
      <c r="C3745" s="4" t="s">
        <v>298</v>
      </c>
      <c r="D3745" s="94">
        <v>2591.0</v>
      </c>
    </row>
    <row r="3746">
      <c r="A3746" s="40">
        <f t="array" ref="A3746">IFNA(index(PlayerValues!A:A,match(IFNA(vlookup(B3746,'Special Names'!A:B,2,FALSE),B3746),PlayerValues!E:E,0)),"N/A")</f>
        <v>17087</v>
      </c>
      <c r="B3746" s="4" t="s">
        <v>600</v>
      </c>
      <c r="C3746" s="4" t="s">
        <v>287</v>
      </c>
      <c r="D3746" s="94">
        <v>2194.0</v>
      </c>
    </row>
    <row r="3747">
      <c r="A3747" s="40">
        <f t="array" ref="A3747">IFNA(index(PlayerValues!A:A,match(IFNA(vlookup(B3747,'Special Names'!A:B,2,FALSE),B3747),PlayerValues!E:E,0)),"N/A")</f>
        <v>16432</v>
      </c>
      <c r="B3747" s="4" t="s">
        <v>620</v>
      </c>
      <c r="C3747" s="4" t="s">
        <v>278</v>
      </c>
      <c r="D3747" s="94">
        <v>2188.0</v>
      </c>
    </row>
    <row r="3748">
      <c r="A3748" s="40">
        <f t="array" ref="A3748">IFNA(index(PlayerValues!A:A,match(IFNA(vlookup(B3748,'Special Names'!A:B,2,FALSE),B3748),PlayerValues!E:E,0)),"N/A")</f>
        <v>14871</v>
      </c>
      <c r="B3748" s="4" t="s">
        <v>584</v>
      </c>
      <c r="C3748" s="4" t="s">
        <v>298</v>
      </c>
      <c r="D3748" s="94">
        <v>2560.0</v>
      </c>
    </row>
    <row r="3749">
      <c r="A3749" s="40" t="str">
        <f t="array" ref="A3749">IFNA(index(PlayerValues!A:A,match(IFNA(vlookup(B3749,'Special Names'!A:B,2,FALSE),B3749),PlayerValues!E:E,0)),"N/A")</f>
        <v>N/A</v>
      </c>
      <c r="B3749" s="4" t="s">
        <v>112</v>
      </c>
      <c r="C3749" s="4" t="s">
        <v>325</v>
      </c>
      <c r="D3749" s="94">
        <v>2167.0</v>
      </c>
    </row>
    <row r="3750">
      <c r="A3750" s="40">
        <f t="array" ref="A3750">IFNA(index(PlayerValues!A:A,match(IFNA(vlookup(B3750,'Special Names'!A:B,2,FALSE),B3750),PlayerValues!E:E,0)),"N/A")</f>
        <v>17474</v>
      </c>
      <c r="B3750" s="4" t="s">
        <v>513</v>
      </c>
      <c r="C3750" s="4" t="s">
        <v>278</v>
      </c>
      <c r="D3750" s="94">
        <v>2166.0</v>
      </c>
    </row>
    <row r="3751">
      <c r="A3751" s="40">
        <f t="array" ref="A3751">IFNA(index(PlayerValues!A:A,match(IFNA(vlookup(B3751,'Special Names'!A:B,2,FALSE),B3751),PlayerValues!E:E,0)),"N/A")</f>
        <v>17049</v>
      </c>
      <c r="B3751" s="4" t="s">
        <v>624</v>
      </c>
      <c r="C3751" s="4" t="s">
        <v>278</v>
      </c>
      <c r="D3751" s="94">
        <v>2160.0</v>
      </c>
    </row>
    <row r="3752">
      <c r="A3752" s="40">
        <f t="array" ref="A3752">IFNA(index(PlayerValues!A:A,match(IFNA(vlookup(B3752,'Special Names'!A:B,2,FALSE),B3752),PlayerValues!E:E,0)),"N/A")</f>
        <v>16342</v>
      </c>
      <c r="B3752" s="4" t="s">
        <v>583</v>
      </c>
      <c r="C3752" s="4" t="s">
        <v>287</v>
      </c>
      <c r="D3752" s="94">
        <v>2158.0</v>
      </c>
    </row>
    <row r="3753">
      <c r="A3753" s="40">
        <f t="array" ref="A3753">IFNA(index(PlayerValues!A:A,match(IFNA(vlookup(B3753,'Special Names'!A:B,2,FALSE),B3753),PlayerValues!E:E,0)),"N/A")</f>
        <v>17061</v>
      </c>
      <c r="B3753" s="4" t="s">
        <v>580</v>
      </c>
      <c r="C3753" s="4" t="s">
        <v>278</v>
      </c>
      <c r="D3753" s="94">
        <v>2150.0</v>
      </c>
    </row>
    <row r="3754">
      <c r="A3754" s="40">
        <f t="array" ref="A3754">IFNA(index(PlayerValues!A:A,match(IFNA(vlookup(B3754,'Special Names'!A:B,2,FALSE),B3754),PlayerValues!E:E,0)),"N/A")</f>
        <v>16639</v>
      </c>
      <c r="B3754" s="4" t="s">
        <v>599</v>
      </c>
      <c r="C3754" s="4" t="s">
        <v>287</v>
      </c>
      <c r="D3754" s="94">
        <v>2141.0</v>
      </c>
    </row>
    <row r="3755">
      <c r="A3755" s="40">
        <f t="array" ref="A3755">IFNA(index(PlayerValues!A:A,match(IFNA(vlookup(B3755,'Special Names'!A:B,2,FALSE),B3755),PlayerValues!E:E,0)),"N/A")</f>
        <v>13146</v>
      </c>
      <c r="B3755" s="4" t="s">
        <v>652</v>
      </c>
      <c r="C3755" s="4" t="s">
        <v>278</v>
      </c>
      <c r="D3755" s="94">
        <v>2138.0</v>
      </c>
    </row>
    <row r="3756">
      <c r="A3756" s="40" t="str">
        <f t="array" ref="A3756">IFNA(index(PlayerValues!A:A,match(IFNA(vlookup(B3756,'Special Names'!A:B,2,FALSE),B3756),PlayerValues!E:E,0)),"N/A")</f>
        <v>N/A</v>
      </c>
      <c r="B3756" s="4" t="s">
        <v>88</v>
      </c>
      <c r="C3756" s="4" t="s">
        <v>325</v>
      </c>
      <c r="D3756" s="94">
        <v>2135.0</v>
      </c>
    </row>
    <row r="3757">
      <c r="A3757" s="40" t="str">
        <f t="array" ref="A3757">IFNA(index(PlayerValues!A:A,match(IFNA(vlookup(B3757,'Special Names'!A:B,2,FALSE),B3757),PlayerValues!E:E,0)),"N/A")</f>
        <v>N/A</v>
      </c>
      <c r="B3757" s="4" t="s">
        <v>113</v>
      </c>
      <c r="C3757" s="4" t="s">
        <v>325</v>
      </c>
      <c r="D3757" s="94">
        <v>2134.0</v>
      </c>
    </row>
    <row r="3758">
      <c r="A3758" s="40">
        <f t="array" ref="A3758">IFNA(index(PlayerValues!A:A,match(IFNA(vlookup(B3758,'Special Names'!A:B,2,FALSE),B3758),PlayerValues!E:E,0)),"N/A")</f>
        <v>16191</v>
      </c>
      <c r="B3758" s="4" t="s">
        <v>666</v>
      </c>
      <c r="C3758" s="4" t="s">
        <v>287</v>
      </c>
      <c r="D3758" s="94">
        <v>2132.0</v>
      </c>
    </row>
    <row r="3759">
      <c r="A3759" s="40">
        <f t="array" ref="A3759">IFNA(index(PlayerValues!A:A,match(IFNA(vlookup(B3759,'Special Names'!A:B,2,FALSE),B3759),PlayerValues!E:E,0)),"N/A")</f>
        <v>13132</v>
      </c>
      <c r="B3759" s="4" t="s">
        <v>598</v>
      </c>
      <c r="C3759" s="4" t="s">
        <v>278</v>
      </c>
      <c r="D3759" s="94">
        <v>2128.0</v>
      </c>
    </row>
    <row r="3760">
      <c r="A3760" s="40">
        <f t="array" ref="A3760">IFNA(index(PlayerValues!A:A,match(IFNA(vlookup(B3760,'Special Names'!A:B,2,FALSE),B3760),PlayerValues!E:E,0)),"N/A")</f>
        <v>17509</v>
      </c>
      <c r="B3760" s="4" t="s">
        <v>551</v>
      </c>
      <c r="C3760" s="4" t="s">
        <v>287</v>
      </c>
      <c r="D3760" s="94">
        <v>2124.0</v>
      </c>
    </row>
    <row r="3761">
      <c r="A3761" s="40">
        <f t="array" ref="A3761">IFNA(index(PlayerValues!A:A,match(IFNA(vlookup(B3761,'Special Names'!A:B,2,FALSE),B3761),PlayerValues!E:E,0)),"N/A")</f>
        <v>11150</v>
      </c>
      <c r="B3761" s="4" t="s">
        <v>559</v>
      </c>
      <c r="C3761" s="4" t="s">
        <v>283</v>
      </c>
      <c r="D3761" s="94">
        <v>2122.0</v>
      </c>
    </row>
    <row r="3762">
      <c r="A3762" s="40">
        <f t="array" ref="A3762">IFNA(index(PlayerValues!A:A,match(IFNA(vlookup(B3762,'Special Names'!A:B,2,FALSE),B3762),PlayerValues!E:E,0)),"N/A")</f>
        <v>16643</v>
      </c>
      <c r="B3762" s="4" t="s">
        <v>609</v>
      </c>
      <c r="C3762" s="4" t="s">
        <v>298</v>
      </c>
      <c r="D3762" s="94">
        <v>2515.0</v>
      </c>
    </row>
    <row r="3763">
      <c r="A3763" s="40">
        <f t="array" ref="A3763">IFNA(index(PlayerValues!A:A,match(IFNA(vlookup(B3763,'Special Names'!A:B,2,FALSE),B3763),PlayerValues!E:E,0)),"N/A")</f>
        <v>17507</v>
      </c>
      <c r="B3763" s="4" t="s">
        <v>495</v>
      </c>
      <c r="C3763" s="4" t="s">
        <v>287</v>
      </c>
      <c r="D3763" s="94">
        <v>2122.0</v>
      </c>
    </row>
    <row r="3764">
      <c r="A3764" s="40">
        <f t="array" ref="A3764">IFNA(index(PlayerValues!A:A,match(IFNA(vlookup(B3764,'Special Names'!A:B,2,FALSE),B3764),PlayerValues!E:E,0)),"N/A")</f>
        <v>17056</v>
      </c>
      <c r="B3764" s="4" t="s">
        <v>581</v>
      </c>
      <c r="C3764" s="4" t="s">
        <v>278</v>
      </c>
      <c r="D3764" s="94">
        <v>2118.0</v>
      </c>
    </row>
    <row r="3765">
      <c r="A3765" s="40">
        <f t="array" ref="A3765">IFNA(index(PlayerValues!A:A,match(IFNA(vlookup(B3765,'Special Names'!A:B,2,FALSE),B3765),PlayerValues!E:E,0)),"N/A")</f>
        <v>15293</v>
      </c>
      <c r="B3765" s="4" t="s">
        <v>578</v>
      </c>
      <c r="C3765" s="4" t="s">
        <v>287</v>
      </c>
      <c r="D3765" s="94">
        <v>2111.0</v>
      </c>
    </row>
    <row r="3766">
      <c r="A3766" s="40">
        <f t="array" ref="A3766">IFNA(index(PlayerValues!A:A,match(IFNA(vlookup(B3766,'Special Names'!A:B,2,FALSE),B3766),PlayerValues!E:E,0)),"N/A")</f>
        <v>17060</v>
      </c>
      <c r="B3766" s="4" t="s">
        <v>603</v>
      </c>
      <c r="C3766" s="4" t="s">
        <v>278</v>
      </c>
      <c r="D3766" s="94">
        <v>2111.0</v>
      </c>
    </row>
    <row r="3767">
      <c r="A3767" s="40">
        <f t="array" ref="A3767">IFNA(index(PlayerValues!A:A,match(IFNA(vlookup(B3767,'Special Names'!A:B,2,FALSE),B3767),PlayerValues!E:E,0)),"N/A")</f>
        <v>14974</v>
      </c>
      <c r="B3767" s="4" t="s">
        <v>611</v>
      </c>
      <c r="C3767" s="4" t="s">
        <v>287</v>
      </c>
      <c r="D3767" s="94">
        <v>2104.0</v>
      </c>
    </row>
    <row r="3768">
      <c r="A3768" s="40">
        <f t="array" ref="A3768">IFNA(index(PlayerValues!A:A,match(IFNA(vlookup(B3768,'Special Names'!A:B,2,FALSE),B3768),PlayerValues!E:E,0)),"N/A")</f>
        <v>13633</v>
      </c>
      <c r="B3768" s="4" t="s">
        <v>625</v>
      </c>
      <c r="C3768" s="4" t="s">
        <v>287</v>
      </c>
      <c r="D3768" s="94">
        <v>2098.0</v>
      </c>
    </row>
    <row r="3769">
      <c r="A3769" s="40">
        <f t="array" ref="A3769">IFNA(index(PlayerValues!A:A,match(IFNA(vlookup(B3769,'Special Names'!A:B,2,FALSE),B3769),PlayerValues!E:E,0)),"N/A")</f>
        <v>17036</v>
      </c>
      <c r="B3769" s="4" t="s">
        <v>617</v>
      </c>
      <c r="C3769" s="4" t="s">
        <v>283</v>
      </c>
      <c r="D3769" s="94">
        <v>2092.0</v>
      </c>
    </row>
    <row r="3770">
      <c r="A3770" s="40">
        <f t="array" ref="A3770">IFNA(index(PlayerValues!A:A,match(IFNA(vlookup(B3770,'Special Names'!A:B,2,FALSE),B3770),PlayerValues!E:E,0)),"N/A")</f>
        <v>13319</v>
      </c>
      <c r="B3770" s="4" t="s">
        <v>549</v>
      </c>
      <c r="C3770" s="4" t="s">
        <v>278</v>
      </c>
      <c r="D3770" s="94">
        <v>2087.0</v>
      </c>
    </row>
    <row r="3771">
      <c r="A3771" s="40">
        <f t="array" ref="A3771">IFNA(index(PlayerValues!A:A,match(IFNA(vlookup(B3771,'Special Names'!A:B,2,FALSE),B3771),PlayerValues!E:E,0)),"N/A")</f>
        <v>17464</v>
      </c>
      <c r="B3771" s="4" t="s">
        <v>828</v>
      </c>
      <c r="C3771" s="4" t="s">
        <v>283</v>
      </c>
      <c r="D3771" s="94">
        <v>2053.0</v>
      </c>
    </row>
    <row r="3772">
      <c r="A3772" s="40">
        <f t="array" ref="A3772">IFNA(index(PlayerValues!A:A,match(IFNA(vlookup(B3772,'Special Names'!A:B,2,FALSE),B3772),PlayerValues!E:E,0)),"N/A")</f>
        <v>14867</v>
      </c>
      <c r="B3772" s="4" t="s">
        <v>591</v>
      </c>
      <c r="C3772" s="4" t="s">
        <v>298</v>
      </c>
      <c r="D3772" s="94">
        <v>2441.0</v>
      </c>
    </row>
    <row r="3773">
      <c r="A3773" s="40">
        <f t="array" ref="A3773">IFNA(index(PlayerValues!A:A,match(IFNA(vlookup(B3773,'Special Names'!A:B,2,FALSE),B3773),PlayerValues!E:E,0)),"N/A")</f>
        <v>17465</v>
      </c>
      <c r="B3773" s="4" t="s">
        <v>649</v>
      </c>
      <c r="C3773" s="4" t="s">
        <v>283</v>
      </c>
      <c r="D3773" s="94">
        <v>2046.0</v>
      </c>
    </row>
    <row r="3774">
      <c r="A3774" s="40">
        <f t="array" ref="A3774">IFNA(index(PlayerValues!A:A,match(IFNA(vlookup(B3774,'Special Names'!A:B,2,FALSE),B3774),PlayerValues!E:E,0)),"N/A")</f>
        <v>17069</v>
      </c>
      <c r="B3774" s="4" t="s">
        <v>604</v>
      </c>
      <c r="C3774" s="4" t="s">
        <v>278</v>
      </c>
      <c r="D3774" s="94">
        <v>2021.0</v>
      </c>
    </row>
    <row r="3775">
      <c r="A3775" s="40">
        <f t="array" ref="A3775">IFNA(index(PlayerValues!A:A,match(IFNA(vlookup(B3775,'Special Names'!A:B,2,FALSE),B3775),PlayerValues!E:E,0)),"N/A")</f>
        <v>16171</v>
      </c>
      <c r="B3775" s="4" t="s">
        <v>618</v>
      </c>
      <c r="C3775" s="4" t="s">
        <v>278</v>
      </c>
      <c r="D3775" s="94">
        <v>1991.0</v>
      </c>
    </row>
    <row r="3776">
      <c r="A3776" s="40">
        <f t="array" ref="A3776">IFNA(index(PlayerValues!A:A,match(IFNA(vlookup(B3776,'Special Names'!A:B,2,FALSE),B3776),PlayerValues!E:E,0)),"N/A")</f>
        <v>16603</v>
      </c>
      <c r="B3776" s="4" t="s">
        <v>587</v>
      </c>
      <c r="C3776" s="4" t="s">
        <v>278</v>
      </c>
      <c r="D3776" s="94">
        <v>1974.0</v>
      </c>
    </row>
    <row r="3777">
      <c r="A3777" s="40" t="str">
        <f t="array" ref="A3777">IFNA(index(PlayerValues!A:A,match(IFNA(vlookup(B3777,'Special Names'!A:B,2,FALSE),B3777),PlayerValues!E:E,0)),"N/A")</f>
        <v>N/A</v>
      </c>
      <c r="B3777" s="4" t="s">
        <v>114</v>
      </c>
      <c r="C3777" s="4" t="s">
        <v>325</v>
      </c>
      <c r="D3777" s="94">
        <v>1964.0</v>
      </c>
    </row>
    <row r="3778">
      <c r="A3778" s="40">
        <f t="array" ref="A3778">IFNA(index(PlayerValues!A:A,match(IFNA(vlookup(B3778,'Special Names'!A:B,2,FALSE),B3778),PlayerValues!E:E,0)),"N/A")</f>
        <v>17506</v>
      </c>
      <c r="B3778" s="4" t="s">
        <v>471</v>
      </c>
      <c r="C3778" s="4" t="s">
        <v>287</v>
      </c>
      <c r="D3778" s="94">
        <v>1961.0</v>
      </c>
    </row>
    <row r="3779">
      <c r="A3779" s="40">
        <f t="array" ref="A3779">IFNA(index(PlayerValues!A:A,match(IFNA(vlookup(B3779,'Special Names'!A:B,2,FALSE),B3779),PlayerValues!E:E,0)),"N/A")</f>
        <v>17034</v>
      </c>
      <c r="B3779" s="4" t="s">
        <v>643</v>
      </c>
      <c r="C3779" s="4" t="s">
        <v>283</v>
      </c>
      <c r="D3779" s="94">
        <v>1934.0</v>
      </c>
    </row>
    <row r="3780">
      <c r="A3780" s="40">
        <f t="array" ref="A3780">IFNA(index(PlayerValues!A:A,match(IFNA(vlookup(B3780,'Special Names'!A:B,2,FALSE),B3780),PlayerValues!E:E,0)),"N/A")</f>
        <v>17055</v>
      </c>
      <c r="B3780" s="4" t="s">
        <v>565</v>
      </c>
      <c r="C3780" s="4" t="s">
        <v>278</v>
      </c>
      <c r="D3780" s="94">
        <v>1929.0</v>
      </c>
    </row>
    <row r="3781">
      <c r="A3781" s="40">
        <f t="array" ref="A3781">IFNA(index(PlayerValues!A:A,match(IFNA(vlookup(B3781,'Special Names'!A:B,2,FALSE),B3781),PlayerValues!E:E,0)),"N/A")</f>
        <v>16216</v>
      </c>
      <c r="B3781" s="4" t="s">
        <v>595</v>
      </c>
      <c r="C3781" s="4" t="s">
        <v>298</v>
      </c>
      <c r="D3781" s="94">
        <v>2310.0</v>
      </c>
    </row>
    <row r="3782">
      <c r="A3782" s="40">
        <f t="array" ref="A3782">IFNA(index(PlayerValues!A:A,match(IFNA(vlookup(B3782,'Special Names'!A:B,2,FALSE),B3782),PlayerValues!E:E,0)),"N/A")</f>
        <v>14105</v>
      </c>
      <c r="B3782" s="4" t="s">
        <v>675</v>
      </c>
      <c r="C3782" s="4" t="s">
        <v>287</v>
      </c>
      <c r="D3782" s="94">
        <v>1920.0</v>
      </c>
    </row>
    <row r="3783">
      <c r="A3783" s="40">
        <f t="array" ref="A3783">IFNA(index(PlayerValues!A:A,match(IFNA(vlookup(B3783,'Special Names'!A:B,2,FALSE),B3783),PlayerValues!E:E,0)),"N/A")</f>
        <v>16752</v>
      </c>
      <c r="B3783" s="4" t="s">
        <v>597</v>
      </c>
      <c r="C3783" s="4" t="s">
        <v>278</v>
      </c>
      <c r="D3783" s="94">
        <v>1919.0</v>
      </c>
    </row>
    <row r="3784">
      <c r="A3784" s="40">
        <f t="array" ref="A3784">IFNA(index(PlayerValues!A:A,match(IFNA(vlookup(B3784,'Special Names'!A:B,2,FALSE),B3784),PlayerValues!E:E,0)),"N/A")</f>
        <v>16778</v>
      </c>
      <c r="B3784" s="4" t="s">
        <v>577</v>
      </c>
      <c r="C3784" s="4" t="s">
        <v>287</v>
      </c>
      <c r="D3784" s="94">
        <v>1912.0</v>
      </c>
    </row>
    <row r="3785">
      <c r="A3785" s="40">
        <f t="array" ref="A3785">IFNA(index(PlayerValues!A:A,match(IFNA(vlookup(B3785,'Special Names'!A:B,2,FALSE),B3785),PlayerValues!E:E,0)),"N/A")</f>
        <v>16215</v>
      </c>
      <c r="B3785" s="4" t="s">
        <v>637</v>
      </c>
      <c r="C3785" s="4" t="s">
        <v>298</v>
      </c>
      <c r="D3785" s="94">
        <v>2280.0</v>
      </c>
    </row>
    <row r="3786">
      <c r="A3786" s="40">
        <f t="array" ref="A3786">IFNA(index(PlayerValues!A:A,match(IFNA(vlookup(B3786,'Special Names'!A:B,2,FALSE),B3786),PlayerValues!E:E,0)),"N/A")</f>
        <v>17511</v>
      </c>
      <c r="B3786" s="4" t="s">
        <v>485</v>
      </c>
      <c r="C3786" s="4" t="s">
        <v>287</v>
      </c>
      <c r="D3786" s="94">
        <v>1890.0</v>
      </c>
    </row>
    <row r="3787">
      <c r="A3787" s="40">
        <f t="array" ref="A3787">IFNA(index(PlayerValues!A:A,match(IFNA(vlookup(B3787,'Special Names'!A:B,2,FALSE),B3787),PlayerValues!E:E,0)),"N/A")</f>
        <v>17184</v>
      </c>
      <c r="B3787" s="4" t="s">
        <v>588</v>
      </c>
      <c r="C3787" s="4" t="s">
        <v>287</v>
      </c>
      <c r="D3787" s="94">
        <v>1886.0</v>
      </c>
    </row>
    <row r="3788">
      <c r="A3788" s="40">
        <f t="array" ref="A3788">IFNA(index(PlayerValues!A:A,match(IFNA(vlookup(B3788,'Special Names'!A:B,2,FALSE),B3788),PlayerValues!E:E,0)),"N/A")</f>
        <v>15787</v>
      </c>
      <c r="B3788" s="4" t="s">
        <v>610</v>
      </c>
      <c r="C3788" s="4" t="s">
        <v>287</v>
      </c>
      <c r="D3788" s="94">
        <v>1881.0</v>
      </c>
    </row>
    <row r="3789">
      <c r="A3789" s="40">
        <f t="array" ref="A3789">IFNA(index(PlayerValues!A:A,match(IFNA(vlookup(B3789,'Special Names'!A:B,2,FALSE),B3789),PlayerValues!E:E,0)),"N/A")</f>
        <v>16644</v>
      </c>
      <c r="B3789" s="4" t="s">
        <v>640</v>
      </c>
      <c r="C3789" s="4" t="s">
        <v>298</v>
      </c>
      <c r="D3789" s="94">
        <v>2258.0</v>
      </c>
    </row>
    <row r="3790">
      <c r="A3790" s="40">
        <f t="array" ref="A3790">IFNA(index(PlayerValues!A:A,match(IFNA(vlookup(B3790,'Special Names'!A:B,2,FALSE),B3790),PlayerValues!E:E,0)),"N/A")</f>
        <v>17086</v>
      </c>
      <c r="B3790" s="4" t="s">
        <v>612</v>
      </c>
      <c r="C3790" s="4" t="s">
        <v>287</v>
      </c>
      <c r="D3790" s="94">
        <v>1858.0</v>
      </c>
    </row>
    <row r="3791">
      <c r="A3791" s="40">
        <f t="array" ref="A3791">IFNA(index(PlayerValues!A:A,match(IFNA(vlookup(B3791,'Special Names'!A:B,2,FALSE),B3791),PlayerValues!E:E,0)),"N/A")</f>
        <v>15254</v>
      </c>
      <c r="B3791" s="4" t="s">
        <v>633</v>
      </c>
      <c r="C3791" s="4" t="s">
        <v>278</v>
      </c>
      <c r="D3791" s="94">
        <v>1851.0</v>
      </c>
    </row>
    <row r="3792">
      <c r="A3792" s="40">
        <f t="array" ref="A3792">IFNA(index(PlayerValues!A:A,match(IFNA(vlookup(B3792,'Special Names'!A:B,2,FALSE),B3792),PlayerValues!E:E,0)),"N/A")</f>
        <v>13629</v>
      </c>
      <c r="B3792" s="4" t="s">
        <v>619</v>
      </c>
      <c r="C3792" s="4" t="s">
        <v>287</v>
      </c>
      <c r="D3792" s="94">
        <v>1848.0</v>
      </c>
    </row>
    <row r="3793">
      <c r="A3793" s="40">
        <f t="array" ref="A3793">IFNA(index(PlayerValues!A:A,match(IFNA(vlookup(B3793,'Special Names'!A:B,2,FALSE),B3793),PlayerValues!E:E,0)),"N/A")</f>
        <v>17478</v>
      </c>
      <c r="B3793" s="4" t="s">
        <v>527</v>
      </c>
      <c r="C3793" s="4" t="s">
        <v>278</v>
      </c>
      <c r="D3793" s="94">
        <v>1848.0</v>
      </c>
    </row>
    <row r="3794">
      <c r="A3794" s="40">
        <f t="array" ref="A3794">IFNA(index(PlayerValues!A:A,match(IFNA(vlookup(B3794,'Special Names'!A:B,2,FALSE),B3794),PlayerValues!E:E,0)),"N/A")</f>
        <v>13164</v>
      </c>
      <c r="B3794" s="4" t="s">
        <v>632</v>
      </c>
      <c r="C3794" s="4" t="s">
        <v>287</v>
      </c>
      <c r="D3794" s="94">
        <v>1847.0</v>
      </c>
    </row>
    <row r="3795">
      <c r="A3795" s="40">
        <f t="array" ref="A3795">IFNA(index(PlayerValues!A:A,match(IFNA(vlookup(B3795,'Special Names'!A:B,2,FALSE),B3795),PlayerValues!E:E,0)),"N/A")</f>
        <v>16201</v>
      </c>
      <c r="B3795" s="4" t="s">
        <v>589</v>
      </c>
      <c r="C3795" s="4" t="s">
        <v>287</v>
      </c>
      <c r="D3795" s="94">
        <v>1846.0</v>
      </c>
    </row>
    <row r="3796">
      <c r="A3796" s="40">
        <f t="array" ref="A3796">IFNA(index(PlayerValues!A:A,match(IFNA(vlookup(B3796,'Special Names'!A:B,2,FALSE),B3796),PlayerValues!E:E,0)),"N/A")</f>
        <v>15755</v>
      </c>
      <c r="B3796" s="4" t="s">
        <v>628</v>
      </c>
      <c r="C3796" s="4" t="s">
        <v>287</v>
      </c>
      <c r="D3796" s="94">
        <v>1839.0</v>
      </c>
    </row>
    <row r="3797">
      <c r="A3797" s="40">
        <f t="array" ref="A3797">IFNA(index(PlayerValues!A:A,match(IFNA(vlookup(B3797,'Special Names'!A:B,2,FALSE),B3797),PlayerValues!E:E,0)),"N/A")</f>
        <v>16585</v>
      </c>
      <c r="B3797" s="4" t="s">
        <v>623</v>
      </c>
      <c r="C3797" s="4" t="s">
        <v>283</v>
      </c>
      <c r="D3797" s="94">
        <v>1838.0</v>
      </c>
    </row>
    <row r="3798">
      <c r="A3798" s="40" t="str">
        <f t="array" ref="A3798">IFNA(index(PlayerValues!A:A,match(IFNA(vlookup(B3798,'Special Names'!A:B,2,FALSE),B3798),PlayerValues!E:E,0)),"N/A")</f>
        <v>N/A</v>
      </c>
      <c r="B3798" s="4" t="s">
        <v>101</v>
      </c>
      <c r="C3798" s="4" t="s">
        <v>325</v>
      </c>
      <c r="D3798" s="94">
        <v>1837.0</v>
      </c>
    </row>
    <row r="3799">
      <c r="A3799" s="40">
        <f t="array" ref="A3799">IFNA(index(PlayerValues!A:A,match(IFNA(vlookup(B3799,'Special Names'!A:B,2,FALSE),B3799),PlayerValues!E:E,0)),"N/A")</f>
        <v>7836</v>
      </c>
      <c r="B3799" s="4" t="s">
        <v>590</v>
      </c>
      <c r="C3799" s="4" t="s">
        <v>283</v>
      </c>
      <c r="D3799" s="94">
        <v>1829.0</v>
      </c>
    </row>
    <row r="3800">
      <c r="A3800" s="40">
        <f t="array" ref="A3800">IFNA(index(PlayerValues!A:A,match(IFNA(vlookup(B3800,'Special Names'!A:B,2,FALSE),B3800),PlayerValues!E:E,0)),"N/A")</f>
        <v>13189</v>
      </c>
      <c r="B3800" s="4" t="s">
        <v>626</v>
      </c>
      <c r="C3800" s="4" t="s">
        <v>298</v>
      </c>
      <c r="D3800" s="94">
        <v>2211.0</v>
      </c>
    </row>
    <row r="3801">
      <c r="A3801" s="40" t="str">
        <f t="array" ref="A3801">IFNA(index(PlayerValues!A:A,match(IFNA(vlookup(B3801,'Special Names'!A:B,2,FALSE),B3801),PlayerValues!E:E,0)),"N/A")</f>
        <v>N/A</v>
      </c>
      <c r="B3801" s="4" t="s">
        <v>89</v>
      </c>
      <c r="C3801" s="4" t="s">
        <v>325</v>
      </c>
      <c r="D3801" s="94">
        <v>1828.0</v>
      </c>
    </row>
    <row r="3802">
      <c r="A3802" s="40">
        <f t="array" ref="A3802">IFNA(index(PlayerValues!A:A,match(IFNA(vlookup(B3802,'Special Names'!A:B,2,FALSE),B3802),PlayerValues!E:E,0)),"N/A")</f>
        <v>16586</v>
      </c>
      <c r="B3802" s="4" t="s">
        <v>658</v>
      </c>
      <c r="C3802" s="4" t="s">
        <v>283</v>
      </c>
      <c r="D3802" s="94">
        <v>1811.0</v>
      </c>
    </row>
    <row r="3803">
      <c r="A3803" s="40">
        <f t="array" ref="A3803">IFNA(index(PlayerValues!A:A,match(IFNA(vlookup(B3803,'Special Names'!A:B,2,FALSE),B3803),PlayerValues!E:E,0)),"N/A")</f>
        <v>16604</v>
      </c>
      <c r="B3803" s="4" t="s">
        <v>476</v>
      </c>
      <c r="C3803" s="4" t="s">
        <v>278</v>
      </c>
      <c r="D3803" s="94">
        <v>1811.0</v>
      </c>
    </row>
    <row r="3804">
      <c r="A3804" s="40">
        <f t="array" ref="A3804">IFNA(index(PlayerValues!A:A,match(IFNA(vlookup(B3804,'Special Names'!A:B,2,FALSE),B3804),PlayerValues!E:E,0)),"N/A")</f>
        <v>16635</v>
      </c>
      <c r="B3804" s="4" t="s">
        <v>645</v>
      </c>
      <c r="C3804" s="4" t="s">
        <v>287</v>
      </c>
      <c r="D3804" s="94">
        <v>1799.0</v>
      </c>
    </row>
    <row r="3805">
      <c r="A3805" s="40">
        <f t="array" ref="A3805">IFNA(index(PlayerValues!A:A,match(IFNA(vlookup(B3805,'Special Names'!A:B,2,FALSE),B3805),PlayerValues!E:E,0)),"N/A")</f>
        <v>17035</v>
      </c>
      <c r="B3805" s="4" t="s">
        <v>650</v>
      </c>
      <c r="C3805" s="4" t="s">
        <v>283</v>
      </c>
      <c r="D3805" s="94">
        <v>1794.0</v>
      </c>
    </row>
    <row r="3806">
      <c r="A3806" s="40" t="str">
        <f t="array" ref="A3806">IFNA(index(PlayerValues!A:A,match(IFNA(vlookup(B3806,'Special Names'!A:B,2,FALSE),B3806),PlayerValues!E:E,0)),"N/A")</f>
        <v>N/A</v>
      </c>
      <c r="B3806" s="4" t="s">
        <v>102</v>
      </c>
      <c r="C3806" s="4" t="s">
        <v>325</v>
      </c>
      <c r="D3806" s="94">
        <v>1789.0</v>
      </c>
    </row>
    <row r="3807">
      <c r="A3807" s="40">
        <f t="array" ref="A3807">IFNA(index(PlayerValues!A:A,match(IFNA(vlookup(B3807,'Special Names'!A:B,2,FALSE),B3807),PlayerValues!E:E,0)),"N/A")</f>
        <v>15759</v>
      </c>
      <c r="B3807" s="4" t="s">
        <v>662</v>
      </c>
      <c r="C3807" s="4" t="s">
        <v>287</v>
      </c>
      <c r="D3807" s="94">
        <v>1780.0</v>
      </c>
    </row>
    <row r="3808">
      <c r="A3808" s="40">
        <f t="array" ref="A3808">IFNA(index(PlayerValues!A:A,match(IFNA(vlookup(B3808,'Special Names'!A:B,2,FALSE),B3808),PlayerValues!E:E,0)),"N/A")</f>
        <v>10700</v>
      </c>
      <c r="B3808" s="4" t="s">
        <v>596</v>
      </c>
      <c r="C3808" s="4" t="s">
        <v>283</v>
      </c>
      <c r="D3808" s="94">
        <v>1752.0</v>
      </c>
    </row>
    <row r="3809">
      <c r="A3809" s="40">
        <f t="array" ref="A3809">IFNA(index(PlayerValues!A:A,match(IFNA(vlookup(B3809,'Special Names'!A:B,2,FALSE),B3809),PlayerValues!E:E,0)),"N/A")</f>
        <v>11222</v>
      </c>
      <c r="B3809" s="4" t="s">
        <v>622</v>
      </c>
      <c r="C3809" s="4" t="s">
        <v>287</v>
      </c>
      <c r="D3809" s="94">
        <v>1749.0</v>
      </c>
    </row>
    <row r="3810">
      <c r="A3810" s="40">
        <f t="array" ref="A3810">IFNA(index(PlayerValues!A:A,match(IFNA(vlookup(B3810,'Special Names'!A:B,2,FALSE),B3810),PlayerValues!E:E,0)),"N/A")</f>
        <v>17517</v>
      </c>
      <c r="B3810" s="4" t="s">
        <v>454</v>
      </c>
      <c r="C3810" s="4" t="s">
        <v>287</v>
      </c>
      <c r="D3810" s="94">
        <v>1748.0</v>
      </c>
    </row>
    <row r="3811">
      <c r="A3811" s="40">
        <f t="array" ref="A3811">IFNA(index(PlayerValues!A:A,match(IFNA(vlookup(B3811,'Special Names'!A:B,2,FALSE),B3811),PlayerValues!E:E,0)),"N/A")</f>
        <v>14143</v>
      </c>
      <c r="B3811" s="4" t="s">
        <v>635</v>
      </c>
      <c r="C3811" s="4" t="s">
        <v>298</v>
      </c>
      <c r="D3811" s="94">
        <v>2125.0</v>
      </c>
    </row>
    <row r="3812">
      <c r="A3812" s="40">
        <f t="array" ref="A3812">IFNA(index(PlayerValues!A:A,match(IFNA(vlookup(B3812,'Special Names'!A:B,2,FALSE),B3812),PlayerValues!E:E,0)),"N/A")</f>
        <v>16788</v>
      </c>
      <c r="B3812" s="4" t="s">
        <v>621</v>
      </c>
      <c r="C3812" s="4" t="s">
        <v>287</v>
      </c>
      <c r="D3812" s="94">
        <v>1742.0</v>
      </c>
    </row>
    <row r="3813">
      <c r="A3813" s="40">
        <f t="array" ref="A3813">IFNA(index(PlayerValues!A:A,match(IFNA(vlookup(B3813,'Special Names'!A:B,2,FALSE),B3813),PlayerValues!E:E,0)),"N/A")</f>
        <v>16629</v>
      </c>
      <c r="B3813" s="4" t="s">
        <v>605</v>
      </c>
      <c r="C3813" s="4" t="s">
        <v>287</v>
      </c>
      <c r="D3813" s="94">
        <v>1735.0</v>
      </c>
    </row>
    <row r="3814">
      <c r="A3814" s="40">
        <f t="array" ref="A3814">IFNA(index(PlayerValues!A:A,match(IFNA(vlookup(B3814,'Special Names'!A:B,2,FALSE),B3814),PlayerValues!E:E,0)),"N/A")</f>
        <v>17058</v>
      </c>
      <c r="B3814" s="4" t="s">
        <v>641</v>
      </c>
      <c r="C3814" s="4" t="s">
        <v>278</v>
      </c>
      <c r="D3814" s="94">
        <v>1734.0</v>
      </c>
    </row>
    <row r="3815">
      <c r="A3815" s="40">
        <f t="array" ref="A3815">IFNA(index(PlayerValues!A:A,match(IFNA(vlookup(B3815,'Special Names'!A:B,2,FALSE),B3815),PlayerValues!E:E,0)),"N/A")</f>
        <v>16688</v>
      </c>
      <c r="B3815" s="4" t="s">
        <v>688</v>
      </c>
      <c r="C3815" s="4" t="s">
        <v>278</v>
      </c>
      <c r="D3815" s="94">
        <v>1731.0</v>
      </c>
    </row>
    <row r="3816">
      <c r="A3816" s="40">
        <f t="array" ref="A3816">IFNA(index(PlayerValues!A:A,match(IFNA(vlookup(B3816,'Special Names'!A:B,2,FALSE),B3816),PlayerValues!E:E,0)),"N/A")</f>
        <v>16207</v>
      </c>
      <c r="B3816" s="4" t="s">
        <v>636</v>
      </c>
      <c r="C3816" s="4" t="s">
        <v>287</v>
      </c>
      <c r="D3816" s="94">
        <v>1728.0</v>
      </c>
    </row>
    <row r="3817">
      <c r="A3817" s="40">
        <f t="array" ref="A3817">IFNA(index(PlayerValues!A:A,match(IFNA(vlookup(B3817,'Special Names'!A:B,2,FALSE),B3817),PlayerValues!E:E,0)),"N/A")</f>
        <v>17503</v>
      </c>
      <c r="B3817" s="4" t="s">
        <v>480</v>
      </c>
      <c r="C3817" s="4" t="s">
        <v>287</v>
      </c>
      <c r="D3817" s="94">
        <v>1727.0</v>
      </c>
    </row>
    <row r="3818">
      <c r="A3818" s="40">
        <f t="array" ref="A3818">IFNA(index(PlayerValues!A:A,match(IFNA(vlookup(B3818,'Special Names'!A:B,2,FALSE),B3818),PlayerValues!E:E,0)),"N/A")</f>
        <v>15337</v>
      </c>
      <c r="B3818" s="4" t="s">
        <v>655</v>
      </c>
      <c r="C3818" s="4" t="s">
        <v>298</v>
      </c>
      <c r="D3818" s="94">
        <v>2094.0</v>
      </c>
    </row>
    <row r="3819">
      <c r="A3819" s="40">
        <f t="array" ref="A3819">IFNA(index(PlayerValues!A:A,match(IFNA(vlookup(B3819,'Special Names'!A:B,2,FALSE),B3819),PlayerValues!E:E,0)),"N/A")</f>
        <v>17064</v>
      </c>
      <c r="B3819" s="4" t="s">
        <v>631</v>
      </c>
      <c r="C3819" s="4" t="s">
        <v>278</v>
      </c>
      <c r="D3819" s="94">
        <v>1706.0</v>
      </c>
    </row>
    <row r="3820">
      <c r="A3820" s="40">
        <f t="array" ref="A3820">IFNA(index(PlayerValues!A:A,match(IFNA(vlookup(B3820,'Special Names'!A:B,2,FALSE),B3820),PlayerValues!E:E,0)),"N/A")</f>
        <v>15777</v>
      </c>
      <c r="B3820" s="4" t="s">
        <v>694</v>
      </c>
      <c r="C3820" s="4" t="s">
        <v>287</v>
      </c>
      <c r="D3820" s="94">
        <v>1684.0</v>
      </c>
    </row>
    <row r="3821">
      <c r="A3821" s="40">
        <f t="array" ref="A3821">IFNA(index(PlayerValues!A:A,match(IFNA(vlookup(B3821,'Special Names'!A:B,2,FALSE),B3821),PlayerValues!E:E,0)),"N/A")</f>
        <v>16601</v>
      </c>
      <c r="B3821" s="4" t="s">
        <v>648</v>
      </c>
      <c r="C3821" s="4" t="s">
        <v>278</v>
      </c>
      <c r="D3821" s="94">
        <v>1667.0</v>
      </c>
    </row>
    <row r="3822">
      <c r="A3822" s="40">
        <f t="array" ref="A3822">IFNA(index(PlayerValues!A:A,match(IFNA(vlookup(B3822,'Special Names'!A:B,2,FALSE),B3822),PlayerValues!E:E,0)),"N/A")</f>
        <v>15788</v>
      </c>
      <c r="B3822" s="4" t="s">
        <v>627</v>
      </c>
      <c r="C3822" s="4" t="s">
        <v>287</v>
      </c>
      <c r="D3822" s="94">
        <v>1666.0</v>
      </c>
    </row>
    <row r="3823">
      <c r="A3823" s="40" t="str">
        <f t="array" ref="A3823">IFNA(index(PlayerValues!A:A,match(IFNA(vlookup(B3823,'Special Names'!A:B,2,FALSE),B3823),PlayerValues!E:E,0)),"N/A")</f>
        <v>N/A</v>
      </c>
      <c r="B3823" s="4" t="s">
        <v>103</v>
      </c>
      <c r="C3823" s="4" t="s">
        <v>325</v>
      </c>
      <c r="D3823" s="94">
        <v>1663.0</v>
      </c>
    </row>
    <row r="3824">
      <c r="A3824" s="40" t="str">
        <f t="array" ref="A3824">IFNA(index(PlayerValues!A:A,match(IFNA(vlookup(B3824,'Special Names'!A:B,2,FALSE),B3824),PlayerValues!E:E,0)),"N/A")</f>
        <v>N/A</v>
      </c>
      <c r="B3824" s="4" t="s">
        <v>90</v>
      </c>
      <c r="C3824" s="4" t="s">
        <v>325</v>
      </c>
      <c r="D3824" s="94">
        <v>1649.0</v>
      </c>
    </row>
    <row r="3825">
      <c r="A3825" s="40" t="str">
        <f t="array" ref="A3825">IFNA(index(PlayerValues!A:A,match(IFNA(vlookup(B3825,'Special Names'!A:B,2,FALSE),B3825),PlayerValues!E:E,0)),"N/A")</f>
        <v>N/A</v>
      </c>
      <c r="B3825" s="4" t="s">
        <v>115</v>
      </c>
      <c r="C3825" s="4" t="s">
        <v>325</v>
      </c>
      <c r="D3825" s="94">
        <v>1641.0</v>
      </c>
    </row>
    <row r="3826">
      <c r="A3826" s="40">
        <f t="array" ref="A3826">IFNA(index(PlayerValues!A:A,match(IFNA(vlookup(B3826,'Special Names'!A:B,2,FALSE),B3826),PlayerValues!E:E,0)),"N/A")</f>
        <v>17205</v>
      </c>
      <c r="B3826" s="4" t="s">
        <v>665</v>
      </c>
      <c r="C3826" s="4" t="s">
        <v>287</v>
      </c>
      <c r="D3826" s="94">
        <v>1640.0</v>
      </c>
    </row>
    <row r="3827">
      <c r="A3827" s="40">
        <f t="array" ref="A3827">IFNA(index(PlayerValues!A:A,match(IFNA(vlookup(B3827,'Special Names'!A:B,2,FALSE),B3827),PlayerValues!E:E,0)),"N/A")</f>
        <v>17234</v>
      </c>
      <c r="B3827" s="4" t="s">
        <v>653</v>
      </c>
      <c r="C3827" s="4" t="s">
        <v>287</v>
      </c>
      <c r="D3827" s="94">
        <v>1640.0</v>
      </c>
    </row>
    <row r="3828">
      <c r="A3828" s="40">
        <f t="array" ref="A3828">IFNA(index(PlayerValues!A:A,match(IFNA(vlookup(B3828,'Special Names'!A:B,2,FALSE),B3828),PlayerValues!E:E,0)),"N/A")</f>
        <v>16595</v>
      </c>
      <c r="B3828" s="4" t="s">
        <v>664</v>
      </c>
      <c r="C3828" s="4" t="s">
        <v>278</v>
      </c>
      <c r="D3828" s="94">
        <v>1625.0</v>
      </c>
    </row>
    <row r="3829">
      <c r="A3829" s="40">
        <f t="array" ref="A3829">IFNA(index(PlayerValues!A:A,match(IFNA(vlookup(B3829,'Special Names'!A:B,2,FALSE),B3829),PlayerValues!E:E,0)),"N/A")</f>
        <v>17037</v>
      </c>
      <c r="B3829" s="4" t="s">
        <v>727</v>
      </c>
      <c r="C3829" s="4" t="s">
        <v>283</v>
      </c>
      <c r="D3829" s="94">
        <v>1622.0</v>
      </c>
    </row>
    <row r="3830">
      <c r="A3830" s="40">
        <f t="array" ref="A3830">IFNA(index(PlayerValues!A:A,match(IFNA(vlookup(B3830,'Special Names'!A:B,2,FALSE),B3830),PlayerValues!E:E,0)),"N/A")</f>
        <v>17096</v>
      </c>
      <c r="B3830" s="4" t="s">
        <v>638</v>
      </c>
      <c r="C3830" s="4" t="s">
        <v>287</v>
      </c>
      <c r="D3830" s="94">
        <v>1617.0</v>
      </c>
    </row>
    <row r="3831">
      <c r="A3831" s="40">
        <f t="array" ref="A3831">IFNA(index(PlayerValues!A:A,match(IFNA(vlookup(B3831,'Special Names'!A:B,2,FALSE),B3831),PlayerValues!E:E,0)),"N/A")</f>
        <v>15713</v>
      </c>
      <c r="B3831" s="4" t="s">
        <v>732</v>
      </c>
      <c r="C3831" s="4" t="s">
        <v>278</v>
      </c>
      <c r="D3831" s="94">
        <v>1615.0</v>
      </c>
    </row>
    <row r="3832">
      <c r="A3832" s="40">
        <f t="array" ref="A3832">IFNA(index(PlayerValues!A:A,match(IFNA(vlookup(B3832,'Special Names'!A:B,2,FALSE),B3832),PlayerValues!E:E,0)),"N/A")</f>
        <v>15301</v>
      </c>
      <c r="B3832" s="4" t="s">
        <v>657</v>
      </c>
      <c r="C3832" s="4" t="s">
        <v>287</v>
      </c>
      <c r="D3832" s="94">
        <v>1612.0</v>
      </c>
    </row>
    <row r="3833">
      <c r="A3833" s="40">
        <f t="array" ref="A3833">IFNA(index(PlayerValues!A:A,match(IFNA(vlookup(B3833,'Special Names'!A:B,2,FALSE),B3833),PlayerValues!E:E,0)),"N/A")</f>
        <v>16633</v>
      </c>
      <c r="B3833" s="4" t="s">
        <v>656</v>
      </c>
      <c r="C3833" s="4" t="s">
        <v>287</v>
      </c>
      <c r="D3833" s="94">
        <v>1606.0</v>
      </c>
    </row>
    <row r="3834">
      <c r="A3834" s="40">
        <f t="array" ref="A3834">IFNA(index(PlayerValues!A:A,match(IFNA(vlookup(B3834,'Special Names'!A:B,2,FALSE),B3834),PlayerValues!E:E,0)),"N/A")</f>
        <v>16631</v>
      </c>
      <c r="B3834" s="4" t="s">
        <v>800</v>
      </c>
      <c r="C3834" s="4" t="s">
        <v>287</v>
      </c>
      <c r="D3834" s="94">
        <v>1603.0</v>
      </c>
    </row>
    <row r="3835">
      <c r="A3835" s="40">
        <f t="array" ref="A3835">IFNA(index(PlayerValues!A:A,match(IFNA(vlookup(B3835,'Special Names'!A:B,2,FALSE),B3835),PlayerValues!E:E,0)),"N/A")</f>
        <v>15252</v>
      </c>
      <c r="B3835" s="4" t="s">
        <v>715</v>
      </c>
      <c r="C3835" s="4" t="s">
        <v>283</v>
      </c>
      <c r="D3835" s="94">
        <v>1599.0</v>
      </c>
    </row>
    <row r="3836">
      <c r="A3836" s="40">
        <f t="array" ref="A3836">IFNA(index(PlayerValues!A:A,match(IFNA(vlookup(B3836,'Special Names'!A:B,2,FALSE),B3836),PlayerValues!E:E,0)),"N/A")</f>
        <v>14122</v>
      </c>
      <c r="B3836" s="4" t="s">
        <v>663</v>
      </c>
      <c r="C3836" s="4" t="s">
        <v>287</v>
      </c>
      <c r="D3836" s="94">
        <v>1590.0</v>
      </c>
    </row>
    <row r="3837">
      <c r="A3837" s="40">
        <f t="array" ref="A3837">IFNA(index(PlayerValues!A:A,match(IFNA(vlookup(B3837,'Special Names'!A:B,2,FALSE),B3837),PlayerValues!E:E,0)),"N/A")</f>
        <v>15319</v>
      </c>
      <c r="B3837" s="4" t="s">
        <v>644</v>
      </c>
      <c r="C3837" s="4" t="s">
        <v>287</v>
      </c>
      <c r="D3837" s="94">
        <v>1583.0</v>
      </c>
    </row>
    <row r="3838">
      <c r="A3838" s="40">
        <f t="array" ref="A3838">IFNA(index(PlayerValues!A:A,match(IFNA(vlookup(B3838,'Special Names'!A:B,2,FALSE),B3838),PlayerValues!E:E,0)),"N/A")</f>
        <v>15797</v>
      </c>
      <c r="B3838" s="4" t="s">
        <v>556</v>
      </c>
      <c r="C3838" s="4" t="s">
        <v>298</v>
      </c>
      <c r="D3838" s="94">
        <v>1957.0</v>
      </c>
    </row>
    <row r="3839">
      <c r="A3839" s="40">
        <f t="array" ref="A3839">IFNA(index(PlayerValues!A:A,match(IFNA(vlookup(B3839,'Special Names'!A:B,2,FALSE),B3839),PlayerValues!E:E,0)),"N/A")</f>
        <v>15873</v>
      </c>
      <c r="B3839" s="4" t="s">
        <v>681</v>
      </c>
      <c r="C3839" s="4" t="s">
        <v>298</v>
      </c>
      <c r="D3839" s="94">
        <v>1955.0</v>
      </c>
    </row>
    <row r="3840">
      <c r="A3840" s="40">
        <f t="array" ref="A3840">IFNA(index(PlayerValues!A:A,match(IFNA(vlookup(B3840,'Special Names'!A:B,2,FALSE),B3840),PlayerValues!E:E,0)),"N/A")</f>
        <v>15752</v>
      </c>
      <c r="B3840" s="4" t="s">
        <v>647</v>
      </c>
      <c r="C3840" s="4" t="s">
        <v>287</v>
      </c>
      <c r="D3840" s="94">
        <v>1572.0</v>
      </c>
    </row>
    <row r="3841">
      <c r="A3841" s="40">
        <f t="array" ref="A3841">IFNA(index(PlayerValues!A:A,match(IFNA(vlookup(B3841,'Special Names'!A:B,2,FALSE),B3841),PlayerValues!E:E,0)),"N/A")</f>
        <v>12140</v>
      </c>
      <c r="B3841" s="4" t="s">
        <v>702</v>
      </c>
      <c r="C3841" s="4" t="s">
        <v>283</v>
      </c>
      <c r="D3841" s="94">
        <v>1556.0</v>
      </c>
    </row>
    <row r="3842">
      <c r="A3842" s="40">
        <f t="array" ref="A3842">IFNA(index(PlayerValues!A:A,match(IFNA(vlookup(B3842,'Special Names'!A:B,2,FALSE),B3842),PlayerValues!E:E,0)),"N/A")</f>
        <v>13418</v>
      </c>
      <c r="B3842" s="4" t="s">
        <v>706</v>
      </c>
      <c r="C3842" s="4" t="s">
        <v>287</v>
      </c>
      <c r="D3842" s="94">
        <v>1540.0</v>
      </c>
    </row>
    <row r="3843">
      <c r="A3843" s="40">
        <f t="array" ref="A3843">IFNA(index(PlayerValues!A:A,match(IFNA(vlookup(B3843,'Special Names'!A:B,2,FALSE),B3843),PlayerValues!E:E,0)),"N/A")</f>
        <v>12141</v>
      </c>
      <c r="B3843" s="4" t="s">
        <v>744</v>
      </c>
      <c r="C3843" s="4" t="s">
        <v>283</v>
      </c>
      <c r="D3843" s="94">
        <v>1529.0</v>
      </c>
    </row>
    <row r="3844">
      <c r="A3844" s="40" t="str">
        <f t="array" ref="A3844">IFNA(index(PlayerValues!A:A,match(IFNA(vlookup(B3844,'Special Names'!A:B,2,FALSE),B3844),PlayerValues!E:E,0)),"N/A")</f>
        <v>N/A</v>
      </c>
      <c r="B3844" s="4" t="s">
        <v>91</v>
      </c>
      <c r="C3844" s="4" t="s">
        <v>325</v>
      </c>
      <c r="D3844" s="94">
        <v>1527.0</v>
      </c>
    </row>
    <row r="3845">
      <c r="A3845" s="40" t="str">
        <f t="array" ref="A3845">IFNA(index(PlayerValues!A:A,match(IFNA(vlookup(B3845,'Special Names'!A:B,2,FALSE),B3845),PlayerValues!E:E,0)),"N/A")</f>
        <v>N/A</v>
      </c>
      <c r="B3845" s="4" t="s">
        <v>116</v>
      </c>
      <c r="C3845" s="4" t="s">
        <v>325</v>
      </c>
      <c r="D3845" s="94">
        <v>1527.0</v>
      </c>
    </row>
    <row r="3846">
      <c r="A3846" s="40">
        <f t="array" ref="A3846">IFNA(index(PlayerValues!A:A,match(IFNA(vlookup(B3846,'Special Names'!A:B,2,FALSE),B3846),PlayerValues!E:E,0)),"N/A")</f>
        <v>16384</v>
      </c>
      <c r="B3846" s="4" t="s">
        <v>696</v>
      </c>
      <c r="C3846" s="4" t="s">
        <v>283</v>
      </c>
      <c r="D3846" s="94">
        <v>1524.0</v>
      </c>
    </row>
    <row r="3847">
      <c r="A3847" s="40">
        <f t="array" ref="A3847">IFNA(index(PlayerValues!A:A,match(IFNA(vlookup(B3847,'Special Names'!A:B,2,FALSE),B3847),PlayerValues!E:E,0)),"N/A")</f>
        <v>14137</v>
      </c>
      <c r="B3847" s="4" t="s">
        <v>676</v>
      </c>
      <c r="C3847" s="4" t="s">
        <v>298</v>
      </c>
      <c r="D3847" s="94">
        <v>1887.0</v>
      </c>
    </row>
    <row r="3848">
      <c r="A3848" s="40">
        <f t="array" ref="A3848">IFNA(index(PlayerValues!A:A,match(IFNA(vlookup(B3848,'Special Names'!A:B,2,FALSE),B3848),PlayerValues!E:E,0)),"N/A")</f>
        <v>17077</v>
      </c>
      <c r="B3848" s="4" t="s">
        <v>714</v>
      </c>
      <c r="C3848" s="4" t="s">
        <v>287</v>
      </c>
      <c r="D3848" s="94">
        <v>1510.0</v>
      </c>
    </row>
    <row r="3849">
      <c r="A3849" s="40">
        <f t="array" ref="A3849">IFNA(index(PlayerValues!A:A,match(IFNA(vlookup(B3849,'Special Names'!A:B,2,FALSE),B3849),PlayerValues!E:E,0)),"N/A")</f>
        <v>17254</v>
      </c>
      <c r="B3849" s="4" t="s">
        <v>679</v>
      </c>
      <c r="C3849" s="4" t="s">
        <v>287</v>
      </c>
      <c r="D3849" s="94">
        <v>1506.0</v>
      </c>
    </row>
    <row r="3850">
      <c r="A3850" s="40">
        <f t="array" ref="A3850">IFNA(index(PlayerValues!A:A,match(IFNA(vlookup(B3850,'Special Names'!A:B,2,FALSE),B3850),PlayerValues!E:E,0)),"N/A")</f>
        <v>16390</v>
      </c>
      <c r="B3850" s="4" t="s">
        <v>689</v>
      </c>
      <c r="C3850" s="4" t="s">
        <v>278</v>
      </c>
      <c r="D3850" s="94">
        <v>1497.0</v>
      </c>
    </row>
    <row r="3851">
      <c r="A3851" s="40">
        <f t="array" ref="A3851">IFNA(index(PlayerValues!A:A,match(IFNA(vlookup(B3851,'Special Names'!A:B,2,FALSE),B3851),PlayerValues!E:E,0)),"N/A")</f>
        <v>17269</v>
      </c>
      <c r="B3851" s="4" t="s">
        <v>718</v>
      </c>
      <c r="C3851" s="4" t="s">
        <v>287</v>
      </c>
      <c r="D3851" s="94">
        <v>1497.0</v>
      </c>
    </row>
    <row r="3852">
      <c r="A3852" s="40">
        <f t="array" ref="A3852">IFNA(index(PlayerValues!A:A,match(IFNA(vlookup(B3852,'Special Names'!A:B,2,FALSE),B3852),PlayerValues!E:E,0)),"N/A")</f>
        <v>16175</v>
      </c>
      <c r="B3852" s="4" t="s">
        <v>654</v>
      </c>
      <c r="C3852" s="4" t="s">
        <v>278</v>
      </c>
      <c r="D3852" s="94">
        <v>1489.0</v>
      </c>
    </row>
    <row r="3853">
      <c r="A3853" s="40">
        <f t="array" ref="A3853">IFNA(index(PlayerValues!A:A,match(IFNA(vlookup(B3853,'Special Names'!A:B,2,FALSE),B3853),PlayerValues!E:E,0)),"N/A")</f>
        <v>15332</v>
      </c>
      <c r="B3853" s="4" t="s">
        <v>698</v>
      </c>
      <c r="C3853" s="4" t="s">
        <v>298</v>
      </c>
      <c r="D3853" s="94">
        <v>1863.0</v>
      </c>
    </row>
    <row r="3854">
      <c r="A3854" s="40">
        <f t="array" ref="A3854">IFNA(index(PlayerValues!A:A,match(IFNA(vlookup(B3854,'Special Names'!A:B,2,FALSE),B3854),PlayerValues!E:E,0)),"N/A")</f>
        <v>16642</v>
      </c>
      <c r="B3854" s="4" t="s">
        <v>691</v>
      </c>
      <c r="C3854" s="4" t="s">
        <v>298</v>
      </c>
      <c r="D3854" s="94">
        <v>1850.0</v>
      </c>
    </row>
    <row r="3855">
      <c r="A3855" s="40">
        <f t="array" ref="A3855">IFNA(index(PlayerValues!A:A,match(IFNA(vlookup(B3855,'Special Names'!A:B,2,FALSE),B3855),PlayerValues!E:E,0)),"N/A")</f>
        <v>14080</v>
      </c>
      <c r="B3855" s="4" t="s">
        <v>716</v>
      </c>
      <c r="C3855" s="4" t="s">
        <v>278</v>
      </c>
      <c r="D3855" s="94">
        <v>1460.0</v>
      </c>
    </row>
    <row r="3856">
      <c r="A3856" s="40">
        <f t="array" ref="A3856">IFNA(index(PlayerValues!A:A,match(IFNA(vlookup(B3856,'Special Names'!A:B,2,FALSE),B3856),PlayerValues!E:E,0)),"N/A")</f>
        <v>16621</v>
      </c>
      <c r="B3856" s="4" t="s">
        <v>672</v>
      </c>
      <c r="C3856" s="4" t="s">
        <v>287</v>
      </c>
      <c r="D3856" s="94">
        <v>1450.0</v>
      </c>
    </row>
    <row r="3857">
      <c r="A3857" s="40">
        <f t="array" ref="A3857">IFNA(index(PlayerValues!A:A,match(IFNA(vlookup(B3857,'Special Names'!A:B,2,FALSE),B3857),PlayerValues!E:E,0)),"N/A")</f>
        <v>16149</v>
      </c>
      <c r="B3857" s="4" t="s">
        <v>740</v>
      </c>
      <c r="C3857" s="4" t="s">
        <v>283</v>
      </c>
      <c r="D3857" s="94">
        <v>1446.0</v>
      </c>
    </row>
    <row r="3858">
      <c r="A3858" s="40">
        <f t="array" ref="A3858">IFNA(index(PlayerValues!A:A,match(IFNA(vlookup(B3858,'Special Names'!A:B,2,FALSE),B3858),PlayerValues!E:E,0)),"N/A")</f>
        <v>17062</v>
      </c>
      <c r="B3858" s="4" t="s">
        <v>701</v>
      </c>
      <c r="C3858" s="4" t="s">
        <v>278</v>
      </c>
      <c r="D3858" s="94">
        <v>1446.0</v>
      </c>
    </row>
    <row r="3859">
      <c r="A3859" s="40">
        <f t="array" ref="A3859">IFNA(index(PlayerValues!A:A,match(IFNA(vlookup(B3859,'Special Names'!A:B,2,FALSE),B3859),PlayerValues!E:E,0)),"N/A")</f>
        <v>15727</v>
      </c>
      <c r="B3859" s="4" t="s">
        <v>730</v>
      </c>
      <c r="C3859" s="4" t="s">
        <v>278</v>
      </c>
      <c r="D3859" s="94">
        <v>1445.0</v>
      </c>
    </row>
    <row r="3860">
      <c r="A3860" s="40">
        <f t="array" ref="A3860">IFNA(index(PlayerValues!A:A,match(IFNA(vlookup(B3860,'Special Names'!A:B,2,FALSE),B3860),PlayerValues!E:E,0)),"N/A")</f>
        <v>15292</v>
      </c>
      <c r="B3860" s="4" t="s">
        <v>682</v>
      </c>
      <c r="C3860" s="4" t="s">
        <v>287</v>
      </c>
      <c r="D3860" s="94">
        <v>1439.0</v>
      </c>
    </row>
    <row r="3861">
      <c r="A3861" s="40">
        <f t="array" ref="A3861">IFNA(index(PlayerValues!A:A,match(IFNA(vlookup(B3861,'Special Names'!A:B,2,FALSE),B3861),PlayerValues!E:E,0)),"N/A")</f>
        <v>15738</v>
      </c>
      <c r="B3861" s="4" t="s">
        <v>634</v>
      </c>
      <c r="C3861" s="4" t="s">
        <v>278</v>
      </c>
      <c r="D3861" s="94">
        <v>1424.0</v>
      </c>
    </row>
    <row r="3862">
      <c r="A3862" s="40">
        <f t="array" ref="A3862">IFNA(index(PlayerValues!A:A,match(IFNA(vlookup(B3862,'Special Names'!A:B,2,FALSE),B3862),PlayerValues!E:E,0)),"N/A")</f>
        <v>13193</v>
      </c>
      <c r="B3862" s="4" t="s">
        <v>773</v>
      </c>
      <c r="C3862" s="4" t="s">
        <v>298</v>
      </c>
      <c r="D3862" s="94">
        <v>1796.0</v>
      </c>
    </row>
    <row r="3863">
      <c r="A3863" s="40">
        <f t="array" ref="A3863">IFNA(index(PlayerValues!A:A,match(IFNA(vlookup(B3863,'Special Names'!A:B,2,FALSE),B3863),PlayerValues!E:E,0)),"N/A")</f>
        <v>14592</v>
      </c>
      <c r="B3863" s="4" t="s">
        <v>705</v>
      </c>
      <c r="C3863" s="4" t="s">
        <v>287</v>
      </c>
      <c r="D3863" s="94">
        <v>1422.0</v>
      </c>
    </row>
    <row r="3864">
      <c r="A3864" s="40">
        <f t="array" ref="A3864">IFNA(index(PlayerValues!A:A,match(IFNA(vlookup(B3864,'Special Names'!A:B,2,FALSE),B3864),PlayerValues!E:E,0)),"N/A")</f>
        <v>17508</v>
      </c>
      <c r="B3864" s="4" t="s">
        <v>534</v>
      </c>
      <c r="C3864" s="4" t="s">
        <v>287</v>
      </c>
      <c r="D3864" s="94">
        <v>1416.0</v>
      </c>
    </row>
    <row r="3865">
      <c r="A3865" s="40">
        <f t="array" ref="A3865">IFNA(index(PlayerValues!A:A,match(IFNA(vlookup(B3865,'Special Names'!A:B,2,FALSE),B3865),PlayerValues!E:E,0)),"N/A")</f>
        <v>15258</v>
      </c>
      <c r="B3865" s="4" t="s">
        <v>757</v>
      </c>
      <c r="C3865" s="4" t="s">
        <v>278</v>
      </c>
      <c r="D3865" s="94">
        <v>1409.0</v>
      </c>
    </row>
    <row r="3866">
      <c r="A3866" s="40">
        <f t="array" ref="A3866">IFNA(index(PlayerValues!A:A,match(IFNA(vlookup(B3866,'Special Names'!A:B,2,FALSE),B3866),PlayerValues!E:E,0)),"N/A")</f>
        <v>13672</v>
      </c>
      <c r="B3866" s="4" t="s">
        <v>667</v>
      </c>
      <c r="C3866" s="4" t="s">
        <v>298</v>
      </c>
      <c r="D3866" s="94">
        <v>1777.0</v>
      </c>
    </row>
    <row r="3867">
      <c r="A3867" s="40">
        <f t="array" ref="A3867">IFNA(index(PlayerValues!A:A,match(IFNA(vlookup(B3867,'Special Names'!A:B,2,FALSE),B3867),PlayerValues!E:E,0)),"N/A")</f>
        <v>17547</v>
      </c>
      <c r="B3867" s="4" t="s">
        <v>552</v>
      </c>
      <c r="C3867" s="4" t="s">
        <v>298</v>
      </c>
      <c r="D3867" s="94">
        <v>1762.0</v>
      </c>
    </row>
    <row r="3868">
      <c r="A3868" s="40">
        <f t="array" ref="A3868">IFNA(index(PlayerValues!A:A,match(IFNA(vlookup(B3868,'Special Names'!A:B,2,FALSE),B3868),PlayerValues!E:E,0)),"N/A")</f>
        <v>12678</v>
      </c>
      <c r="B3868" s="4" t="s">
        <v>703</v>
      </c>
      <c r="C3868" s="4" t="s">
        <v>298</v>
      </c>
      <c r="D3868" s="94">
        <v>1722.0</v>
      </c>
    </row>
    <row r="3869">
      <c r="A3869" s="40">
        <f t="array" ref="A3869">IFNA(index(PlayerValues!A:A,match(IFNA(vlookup(B3869,'Special Names'!A:B,2,FALSE),B3869),PlayerValues!E:E,0)),"N/A")</f>
        <v>16792</v>
      </c>
      <c r="B3869" s="4" t="s">
        <v>704</v>
      </c>
      <c r="C3869" s="4" t="s">
        <v>287</v>
      </c>
      <c r="D3869" s="94">
        <v>1341.0</v>
      </c>
    </row>
    <row r="3870">
      <c r="A3870" s="40" t="str">
        <f t="array" ref="A3870">IFNA(index(PlayerValues!A:A,match(IFNA(vlookup(B3870,'Special Names'!A:B,2,FALSE),B3870),PlayerValues!E:E,0)),"N/A")</f>
        <v>N/A</v>
      </c>
      <c r="B3870" s="4" t="s">
        <v>117</v>
      </c>
      <c r="C3870" s="4" t="s">
        <v>325</v>
      </c>
      <c r="D3870" s="94">
        <v>1338.0</v>
      </c>
    </row>
    <row r="3871">
      <c r="A3871" s="40">
        <f t="array" ref="A3871">IFNA(index(PlayerValues!A:A,match(IFNA(vlookup(B3871,'Special Names'!A:B,2,FALSE),B3871),PlayerValues!E:E,0)),"N/A")</f>
        <v>17097</v>
      </c>
      <c r="B3871" s="4" t="s">
        <v>659</v>
      </c>
      <c r="C3871" s="4" t="s">
        <v>287</v>
      </c>
      <c r="D3871" s="94">
        <v>1334.0</v>
      </c>
    </row>
    <row r="3872">
      <c r="A3872" s="40">
        <f t="array" ref="A3872">IFNA(index(PlayerValues!A:A,match(IFNA(vlookup(B3872,'Special Names'!A:B,2,FALSE),B3872),PlayerValues!E:E,0)),"N/A")</f>
        <v>15702</v>
      </c>
      <c r="B3872" s="4" t="s">
        <v>723</v>
      </c>
      <c r="C3872" s="4" t="s">
        <v>283</v>
      </c>
      <c r="D3872" s="94">
        <v>1326.0</v>
      </c>
    </row>
    <row r="3873">
      <c r="A3873" s="40">
        <f t="array" ref="A3873">IFNA(index(PlayerValues!A:A,match(IFNA(vlookup(B3873,'Special Names'!A:B,2,FALSE),B3873),PlayerValues!E:E,0)),"N/A")</f>
        <v>14086</v>
      </c>
      <c r="B3873" s="4" t="s">
        <v>639</v>
      </c>
      <c r="C3873" s="4" t="s">
        <v>278</v>
      </c>
      <c r="D3873" s="94">
        <v>1321.0</v>
      </c>
    </row>
    <row r="3874">
      <c r="A3874" s="40">
        <f t="array" ref="A3874">IFNA(index(PlayerValues!A:A,match(IFNA(vlookup(B3874,'Special Names'!A:B,2,FALSE),B3874),PlayerValues!E:E,0)),"N/A")</f>
        <v>13131</v>
      </c>
      <c r="B3874" s="4" t="s">
        <v>815</v>
      </c>
      <c r="C3874" s="4" t="s">
        <v>278</v>
      </c>
      <c r="D3874" s="94">
        <v>1320.0</v>
      </c>
    </row>
    <row r="3875">
      <c r="A3875" s="40">
        <f t="array" ref="A3875">IFNA(index(PlayerValues!A:A,match(IFNA(vlookup(B3875,'Special Names'!A:B,2,FALSE),B3875),PlayerValues!E:E,0)),"N/A")</f>
        <v>17512</v>
      </c>
      <c r="B3875" s="4" t="s">
        <v>483</v>
      </c>
      <c r="C3875" s="4" t="s">
        <v>287</v>
      </c>
      <c r="D3875" s="94">
        <v>1319.0</v>
      </c>
    </row>
    <row r="3876">
      <c r="A3876" s="40">
        <f t="array" ref="A3876">IFNA(index(PlayerValues!A:A,match(IFNA(vlookup(B3876,'Special Names'!A:B,2,FALSE),B3876),PlayerValues!E:E,0)),"N/A")</f>
        <v>16183</v>
      </c>
      <c r="B3876" s="4" t="s">
        <v>678</v>
      </c>
      <c r="C3876" s="4" t="s">
        <v>287</v>
      </c>
      <c r="D3876" s="94">
        <v>1315.0</v>
      </c>
    </row>
    <row r="3877">
      <c r="A3877" s="40">
        <f t="array" ref="A3877">IFNA(index(PlayerValues!A:A,match(IFNA(vlookup(B3877,'Special Names'!A:B,2,FALSE),B3877),PlayerValues!E:E,0)),"N/A")</f>
        <v>16608</v>
      </c>
      <c r="B3877" s="4" t="s">
        <v>629</v>
      </c>
      <c r="C3877" s="4" t="s">
        <v>278</v>
      </c>
      <c r="D3877" s="94">
        <v>1311.0</v>
      </c>
    </row>
    <row r="3878">
      <c r="A3878" s="40">
        <f t="array" ref="A3878">IFNA(index(PlayerValues!A:A,match(IFNA(vlookup(B3878,'Special Names'!A:B,2,FALSE),B3878),PlayerValues!E:E,0)),"N/A")</f>
        <v>15240</v>
      </c>
      <c r="B3878" s="4" t="s">
        <v>751</v>
      </c>
      <c r="C3878" s="4" t="s">
        <v>283</v>
      </c>
      <c r="D3878" s="94">
        <v>1293.0</v>
      </c>
    </row>
    <row r="3879">
      <c r="A3879" s="40">
        <f t="array" ref="A3879">IFNA(index(PlayerValues!A:A,match(IFNA(vlookup(B3879,'Special Names'!A:B,2,FALSE),B3879),PlayerValues!E:E,0)),"N/A")</f>
        <v>17063</v>
      </c>
      <c r="B3879" s="4" t="s">
        <v>686</v>
      </c>
      <c r="C3879" s="4" t="s">
        <v>278</v>
      </c>
      <c r="D3879" s="94">
        <v>1289.0</v>
      </c>
    </row>
    <row r="3880">
      <c r="A3880" s="40">
        <f t="array" ref="A3880">IFNA(index(PlayerValues!A:A,match(IFNA(vlookup(B3880,'Special Names'!A:B,2,FALSE),B3880),PlayerValues!E:E,0)),"N/A")</f>
        <v>14067</v>
      </c>
      <c r="B3880" s="4" t="s">
        <v>735</v>
      </c>
      <c r="C3880" s="4" t="s">
        <v>283</v>
      </c>
      <c r="D3880" s="94">
        <v>1271.0</v>
      </c>
    </row>
    <row r="3881">
      <c r="A3881" s="40">
        <f t="array" ref="A3881">IFNA(index(PlayerValues!A:A,match(IFNA(vlookup(B3881,'Special Names'!A:B,2,FALSE),B3881),PlayerValues!E:E,0)),"N/A")</f>
        <v>14789</v>
      </c>
      <c r="B3881" s="4" t="s">
        <v>721</v>
      </c>
      <c r="C3881" s="4" t="s">
        <v>283</v>
      </c>
      <c r="D3881" s="94">
        <v>1266.0</v>
      </c>
    </row>
    <row r="3882">
      <c r="A3882" s="40">
        <f t="array" ref="A3882">IFNA(index(PlayerValues!A:A,match(IFNA(vlookup(B3882,'Special Names'!A:B,2,FALSE),B3882),PlayerValues!E:E,0)),"N/A")</f>
        <v>14095</v>
      </c>
      <c r="B3882" s="4" t="s">
        <v>680</v>
      </c>
      <c r="C3882" s="4" t="s">
        <v>278</v>
      </c>
      <c r="D3882" s="94">
        <v>1258.0</v>
      </c>
    </row>
    <row r="3883">
      <c r="A3883" s="40">
        <f t="array" ref="A3883">IFNA(index(PlayerValues!A:A,match(IFNA(vlookup(B3883,'Special Names'!A:B,2,FALSE),B3883),PlayerValues!E:E,0)),"N/A")</f>
        <v>16221</v>
      </c>
      <c r="B3883" s="4" t="s">
        <v>725</v>
      </c>
      <c r="C3883" s="4" t="s">
        <v>298</v>
      </c>
      <c r="D3883" s="94">
        <v>1623.0</v>
      </c>
    </row>
    <row r="3884">
      <c r="A3884" s="40">
        <f t="array" ref="A3884">IFNA(index(PlayerValues!A:A,match(IFNA(vlookup(B3884,'Special Names'!A:B,2,FALSE),B3884),PlayerValues!E:E,0)),"N/A")</f>
        <v>16746</v>
      </c>
      <c r="B3884" s="4" t="s">
        <v>709</v>
      </c>
      <c r="C3884" s="4" t="s">
        <v>278</v>
      </c>
      <c r="D3884" s="94">
        <v>1253.0</v>
      </c>
    </row>
    <row r="3885">
      <c r="A3885" s="40">
        <f t="array" ref="A3885">IFNA(index(PlayerValues!A:A,match(IFNA(vlookup(B3885,'Special Names'!A:B,2,FALSE),B3885),PlayerValues!E:E,0)),"N/A")</f>
        <v>17528</v>
      </c>
      <c r="B3885" s="4" t="s">
        <v>579</v>
      </c>
      <c r="C3885" s="4" t="s">
        <v>287</v>
      </c>
      <c r="D3885" s="94">
        <v>1249.0</v>
      </c>
    </row>
    <row r="3886">
      <c r="A3886" s="40">
        <f t="array" ref="A3886">IFNA(index(PlayerValues!A:A,match(IFNA(vlookup(B3886,'Special Names'!A:B,2,FALSE),B3886),PlayerValues!E:E,0)),"N/A")</f>
        <v>15981</v>
      </c>
      <c r="B3886" s="4" t="s">
        <v>729</v>
      </c>
      <c r="C3886" s="4" t="s">
        <v>287</v>
      </c>
      <c r="D3886" s="94">
        <v>1247.0</v>
      </c>
    </row>
    <row r="3887">
      <c r="A3887" s="40">
        <f t="array" ref="A3887">IFNA(index(PlayerValues!A:A,match(IFNA(vlookup(B3887,'Special Names'!A:B,2,FALSE),B3887),PlayerValues!E:E,0)),"N/A")</f>
        <v>16636</v>
      </c>
      <c r="B3887" s="4" t="s">
        <v>699</v>
      </c>
      <c r="C3887" s="4" t="s">
        <v>287</v>
      </c>
      <c r="D3887" s="94">
        <v>1244.0</v>
      </c>
    </row>
    <row r="3888">
      <c r="A3888" s="40">
        <f t="array" ref="A3888">IFNA(index(PlayerValues!A:A,match(IFNA(vlookup(B3888,'Special Names'!A:B,2,FALSE),B3888),PlayerValues!E:E,0)),"N/A")</f>
        <v>17546</v>
      </c>
      <c r="B3888" s="4" t="s">
        <v>671</v>
      </c>
      <c r="C3888" s="4" t="s">
        <v>298</v>
      </c>
      <c r="D3888" s="94">
        <v>1610.0</v>
      </c>
    </row>
    <row r="3889">
      <c r="A3889" s="40">
        <f t="array" ref="A3889">IFNA(index(PlayerValues!A:A,match(IFNA(vlookup(B3889,'Special Names'!A:B,2,FALSE),B3889),PlayerValues!E:E,0)),"N/A")</f>
        <v>16199</v>
      </c>
      <c r="B3889" s="4" t="s">
        <v>687</v>
      </c>
      <c r="C3889" s="4" t="s">
        <v>287</v>
      </c>
      <c r="D3889" s="94">
        <v>1234.0</v>
      </c>
    </row>
    <row r="3890">
      <c r="A3890" s="40">
        <f t="array" ref="A3890">IFNA(index(PlayerValues!A:A,match(IFNA(vlookup(B3890,'Special Names'!A:B,2,FALSE),B3890),PlayerValues!E:E,0)),"N/A")</f>
        <v>16385</v>
      </c>
      <c r="B3890" s="4" t="s">
        <v>690</v>
      </c>
      <c r="C3890" s="4" t="s">
        <v>278</v>
      </c>
      <c r="D3890" s="94">
        <v>1231.0</v>
      </c>
    </row>
    <row r="3891">
      <c r="A3891" s="40">
        <f t="array" ref="A3891">IFNA(index(PlayerValues!A:A,match(IFNA(vlookup(B3891,'Special Names'!A:B,2,FALSE),B3891),PlayerValues!E:E,0)),"N/A")</f>
        <v>13289</v>
      </c>
      <c r="B3891" s="4" t="s">
        <v>746</v>
      </c>
      <c r="C3891" s="4" t="s">
        <v>287</v>
      </c>
      <c r="D3891" s="94">
        <v>1223.0</v>
      </c>
    </row>
    <row r="3892">
      <c r="A3892" s="40">
        <f t="array" ref="A3892">IFNA(index(PlayerValues!A:A,match(IFNA(vlookup(B3892,'Special Names'!A:B,2,FALSE),B3892),PlayerValues!E:E,0)),"N/A")</f>
        <v>15288</v>
      </c>
      <c r="B3892" s="4" t="s">
        <v>700</v>
      </c>
      <c r="C3892" s="4" t="s">
        <v>287</v>
      </c>
      <c r="D3892" s="94">
        <v>1223.0</v>
      </c>
    </row>
    <row r="3893">
      <c r="A3893" s="40">
        <f t="array" ref="A3893">IFNA(index(PlayerValues!A:A,match(IFNA(vlookup(B3893,'Special Names'!A:B,2,FALSE),B3893),PlayerValues!E:E,0)),"N/A")</f>
        <v>14108</v>
      </c>
      <c r="B3893" s="4" t="s">
        <v>673</v>
      </c>
      <c r="C3893" s="4" t="s">
        <v>287</v>
      </c>
      <c r="D3893" s="94">
        <v>1221.0</v>
      </c>
    </row>
    <row r="3894">
      <c r="A3894" s="40">
        <f t="array" ref="A3894">IFNA(index(PlayerValues!A:A,match(IFNA(vlookup(B3894,'Special Names'!A:B,2,FALSE),B3894),PlayerValues!E:E,0)),"N/A")</f>
        <v>17054</v>
      </c>
      <c r="B3894" s="4" t="s">
        <v>670</v>
      </c>
      <c r="C3894" s="4" t="s">
        <v>278</v>
      </c>
      <c r="D3894" s="94">
        <v>1200.0</v>
      </c>
    </row>
    <row r="3895">
      <c r="A3895" s="40">
        <f t="array" ref="A3895">IFNA(index(PlayerValues!A:A,match(IFNA(vlookup(B3895,'Special Names'!A:B,2,FALSE),B3895),PlayerValues!E:E,0)),"N/A")</f>
        <v>16645</v>
      </c>
      <c r="B3895" s="4" t="s">
        <v>651</v>
      </c>
      <c r="C3895" s="4" t="s">
        <v>298</v>
      </c>
      <c r="D3895" s="94">
        <v>1565.0</v>
      </c>
    </row>
    <row r="3896">
      <c r="A3896" s="40">
        <f t="array" ref="A3896">IFNA(index(PlayerValues!A:A,match(IFNA(vlookup(B3896,'Special Names'!A:B,2,FALSE),B3896),PlayerValues!E:E,0)),"N/A")</f>
        <v>15692</v>
      </c>
      <c r="B3896" s="4" t="s">
        <v>750</v>
      </c>
      <c r="C3896" s="4" t="s">
        <v>283</v>
      </c>
      <c r="D3896" s="94">
        <v>1196.0</v>
      </c>
    </row>
    <row r="3897">
      <c r="A3897" s="40">
        <f t="array" ref="A3897">IFNA(index(PlayerValues!A:A,match(IFNA(vlookup(B3897,'Special Names'!A:B,2,FALSE),B3897),PlayerValues!E:E,0)),"N/A")</f>
        <v>16333</v>
      </c>
      <c r="B3897" s="4" t="s">
        <v>711</v>
      </c>
      <c r="C3897" s="4" t="s">
        <v>298</v>
      </c>
      <c r="D3897" s="94">
        <v>1554.0</v>
      </c>
    </row>
    <row r="3898">
      <c r="A3898" s="40">
        <f t="array" ref="A3898">IFNA(index(PlayerValues!A:A,match(IFNA(vlookup(B3898,'Special Names'!A:B,2,FALSE),B3898),PlayerValues!E:E,0)),"N/A")</f>
        <v>14845</v>
      </c>
      <c r="B3898" s="4" t="s">
        <v>717</v>
      </c>
      <c r="C3898" s="4" t="s">
        <v>287</v>
      </c>
      <c r="D3898" s="94">
        <v>1182.0</v>
      </c>
    </row>
    <row r="3899">
      <c r="A3899" s="40">
        <f t="array" ref="A3899">IFNA(index(PlayerValues!A:A,match(IFNA(vlookup(B3899,'Special Names'!A:B,2,FALSE),B3899),PlayerValues!E:E,0)),"N/A")</f>
        <v>16393</v>
      </c>
      <c r="B3899" s="4" t="s">
        <v>768</v>
      </c>
      <c r="C3899" s="4" t="s">
        <v>287</v>
      </c>
      <c r="D3899" s="94">
        <v>1179.0</v>
      </c>
    </row>
    <row r="3900">
      <c r="A3900" s="40">
        <f t="array" ref="A3900">IFNA(index(PlayerValues!A:A,match(IFNA(vlookup(B3900,'Special Names'!A:B,2,FALSE),B3900),PlayerValues!E:E,0)),"N/A")</f>
        <v>12263</v>
      </c>
      <c r="B3900" s="4" t="s">
        <v>697</v>
      </c>
      <c r="C3900" s="4" t="s">
        <v>298</v>
      </c>
      <c r="D3900" s="94">
        <v>1545.0</v>
      </c>
    </row>
    <row r="3901">
      <c r="A3901" s="40">
        <f t="array" ref="A3901">IFNA(index(PlayerValues!A:A,match(IFNA(vlookup(B3901,'Special Names'!A:B,2,FALSE),B3901),PlayerValues!E:E,0)),"N/A")</f>
        <v>17050</v>
      </c>
      <c r="B3901" s="4" t="s">
        <v>713</v>
      </c>
      <c r="C3901" s="4" t="s">
        <v>278</v>
      </c>
      <c r="D3901" s="94">
        <v>1174.0</v>
      </c>
    </row>
    <row r="3902">
      <c r="A3902" s="40">
        <f t="array" ref="A3902">IFNA(index(PlayerValues!A:A,match(IFNA(vlookup(B3902,'Special Names'!A:B,2,FALSE),B3902),PlayerValues!E:E,0)),"N/A")</f>
        <v>15239</v>
      </c>
      <c r="B3902" s="4" t="s">
        <v>802</v>
      </c>
      <c r="C3902" s="4" t="s">
        <v>283</v>
      </c>
      <c r="D3902" s="94">
        <v>1172.0</v>
      </c>
    </row>
    <row r="3903">
      <c r="A3903" s="40">
        <f t="array" ref="A3903">IFNA(index(PlayerValues!A:A,match(IFNA(vlookup(B3903,'Special Names'!A:B,2,FALSE),B3903),PlayerValues!E:E,0)),"N/A")</f>
        <v>16883</v>
      </c>
      <c r="B3903" s="4" t="s">
        <v>683</v>
      </c>
      <c r="C3903" s="4" t="s">
        <v>287</v>
      </c>
      <c r="D3903" s="94">
        <v>1165.0</v>
      </c>
    </row>
    <row r="3904">
      <c r="A3904" s="40">
        <f t="array" ref="A3904">IFNA(index(PlayerValues!A:A,match(IFNA(vlookup(B3904,'Special Names'!A:B,2,FALSE),B3904),PlayerValues!E:E,0)),"N/A")</f>
        <v>17481</v>
      </c>
      <c r="B3904" s="4" t="s">
        <v>540</v>
      </c>
      <c r="C3904" s="4" t="s">
        <v>278</v>
      </c>
      <c r="D3904" s="94">
        <v>1160.0</v>
      </c>
    </row>
    <row r="3905">
      <c r="A3905" s="40">
        <f t="array" ref="A3905">IFNA(index(PlayerValues!A:A,match(IFNA(vlookup(B3905,'Special Names'!A:B,2,FALSE),B3905),PlayerValues!E:E,0)),"N/A")</f>
        <v>16451</v>
      </c>
      <c r="B3905" s="4" t="s">
        <v>769</v>
      </c>
      <c r="C3905" s="4" t="s">
        <v>287</v>
      </c>
      <c r="D3905" s="94">
        <v>1158.0</v>
      </c>
    </row>
    <row r="3906">
      <c r="A3906" s="40">
        <f t="array" ref="A3906">IFNA(index(PlayerValues!A:A,match(IFNA(vlookup(B3906,'Special Names'!A:B,2,FALSE),B3906),PlayerValues!E:E,0)),"N/A")</f>
        <v>15730</v>
      </c>
      <c r="B3906" s="4" t="s">
        <v>734</v>
      </c>
      <c r="C3906" s="4" t="s">
        <v>278</v>
      </c>
      <c r="D3906" s="94">
        <v>1147.0</v>
      </c>
    </row>
    <row r="3907">
      <c r="A3907" s="40">
        <f t="array" ref="A3907">IFNA(index(PlayerValues!A:A,match(IFNA(vlookup(B3907,'Special Names'!A:B,2,FALSE),B3907),PlayerValues!E:E,0)),"N/A")</f>
        <v>15717</v>
      </c>
      <c r="B3907" s="4" t="s">
        <v>745</v>
      </c>
      <c r="C3907" s="4" t="s">
        <v>278</v>
      </c>
      <c r="D3907" s="94">
        <v>1142.0</v>
      </c>
    </row>
    <row r="3908">
      <c r="A3908" s="40">
        <f t="array" ref="A3908">IFNA(index(PlayerValues!A:A,match(IFNA(vlookup(B3908,'Special Names'!A:B,2,FALSE),B3908),PlayerValues!E:E,0)),"N/A")</f>
        <v>15693</v>
      </c>
      <c r="B3908" s="4" t="s">
        <v>755</v>
      </c>
      <c r="C3908" s="4" t="s">
        <v>283</v>
      </c>
      <c r="D3908" s="94">
        <v>1141.0</v>
      </c>
    </row>
    <row r="3909">
      <c r="A3909" s="40">
        <f t="array" ref="A3909">IFNA(index(PlayerValues!A:A,match(IFNA(vlookup(B3909,'Special Names'!A:B,2,FALSE),B3909),PlayerValues!E:E,0)),"N/A")</f>
        <v>13138</v>
      </c>
      <c r="B3909" s="4" t="s">
        <v>817</v>
      </c>
      <c r="C3909" s="4" t="s">
        <v>278</v>
      </c>
      <c r="D3909" s="94">
        <v>1140.0</v>
      </c>
    </row>
    <row r="3910">
      <c r="A3910" s="40">
        <f t="array" ref="A3910">IFNA(index(PlayerValues!A:A,match(IFNA(vlookup(B3910,'Special Names'!A:B,2,FALSE),B3910),PlayerValues!E:E,0)),"N/A")</f>
        <v>16197</v>
      </c>
      <c r="B3910" s="4" t="s">
        <v>726</v>
      </c>
      <c r="C3910" s="4" t="s">
        <v>287</v>
      </c>
      <c r="D3910" s="94">
        <v>1130.0</v>
      </c>
    </row>
    <row r="3911">
      <c r="A3911" s="40">
        <f t="array" ref="A3911">IFNA(index(PlayerValues!A:A,match(IFNA(vlookup(B3911,'Special Names'!A:B,2,FALSE),B3911),PlayerValues!E:E,0)),"N/A")</f>
        <v>17192</v>
      </c>
      <c r="B3911" s="4" t="s">
        <v>677</v>
      </c>
      <c r="C3911" s="4" t="s">
        <v>287</v>
      </c>
      <c r="D3911" s="94">
        <v>1126.0</v>
      </c>
    </row>
    <row r="3912">
      <c r="A3912" s="40">
        <f t="array" ref="A3912">IFNA(index(PlayerValues!A:A,match(IFNA(vlookup(B3912,'Special Names'!A:B,2,FALSE),B3912),PlayerValues!E:E,0)),"N/A")</f>
        <v>16637</v>
      </c>
      <c r="B3912" s="4" t="s">
        <v>736</v>
      </c>
      <c r="C3912" s="4" t="s">
        <v>287</v>
      </c>
      <c r="D3912" s="94">
        <v>1121.0</v>
      </c>
    </row>
    <row r="3913">
      <c r="A3913" s="40">
        <f t="array" ref="A3913">IFNA(index(PlayerValues!A:A,match(IFNA(vlookup(B3913,'Special Names'!A:B,2,FALSE),B3913),PlayerValues!E:E,0)),"N/A")</f>
        <v>16640</v>
      </c>
      <c r="B3913" s="4" t="s">
        <v>712</v>
      </c>
      <c r="C3913" s="4" t="s">
        <v>287</v>
      </c>
      <c r="D3913" s="94">
        <v>1120.0</v>
      </c>
    </row>
    <row r="3914">
      <c r="A3914" s="40">
        <f t="array" ref="A3914">IFNA(index(PlayerValues!A:A,match(IFNA(vlookup(B3914,'Special Names'!A:B,2,FALSE),B3914),PlayerValues!E:E,0)),"N/A")</f>
        <v>17109</v>
      </c>
      <c r="B3914" s="4" t="s">
        <v>707</v>
      </c>
      <c r="C3914" s="4" t="s">
        <v>298</v>
      </c>
      <c r="D3914" s="94">
        <v>1485.0</v>
      </c>
    </row>
    <row r="3915">
      <c r="A3915" s="40">
        <f t="array" ref="A3915">IFNA(index(PlayerValues!A:A,match(IFNA(vlookup(B3915,'Special Names'!A:B,2,FALSE),B3915),PlayerValues!E:E,0)),"N/A")</f>
        <v>17057</v>
      </c>
      <c r="B3915" s="4" t="s">
        <v>708</v>
      </c>
      <c r="C3915" s="4" t="s">
        <v>278</v>
      </c>
      <c r="D3915" s="94">
        <v>1094.0</v>
      </c>
    </row>
    <row r="3916">
      <c r="A3916" s="40">
        <f t="array" ref="A3916">IFNA(index(PlayerValues!A:A,match(IFNA(vlookup(B3916,'Special Names'!A:B,2,FALSE),B3916),PlayerValues!E:E,0)),"N/A")</f>
        <v>15785</v>
      </c>
      <c r="B3916" s="4" t="s">
        <v>763</v>
      </c>
      <c r="C3916" s="4" t="s">
        <v>287</v>
      </c>
      <c r="D3916" s="94">
        <v>1091.0</v>
      </c>
    </row>
    <row r="3917">
      <c r="A3917" s="40">
        <f t="array" ref="A3917">IFNA(index(PlayerValues!A:A,match(IFNA(vlookup(B3917,'Special Names'!A:B,2,FALSE),B3917),PlayerValues!E:E,0)),"N/A")</f>
        <v>16387</v>
      </c>
      <c r="B3917" s="4" t="s">
        <v>646</v>
      </c>
      <c r="C3917" s="4" t="s">
        <v>278</v>
      </c>
      <c r="D3917" s="94">
        <v>1089.0</v>
      </c>
    </row>
    <row r="3918">
      <c r="A3918" s="40">
        <f t="array" ref="A3918">IFNA(index(PlayerValues!A:A,match(IFNA(vlookup(B3918,'Special Names'!A:B,2,FALSE),B3918),PlayerValues!E:E,0)),"N/A")</f>
        <v>14118</v>
      </c>
      <c r="B3918" s="4" t="s">
        <v>771</v>
      </c>
      <c r="C3918" s="4" t="s">
        <v>287</v>
      </c>
      <c r="D3918" s="94">
        <v>1087.0</v>
      </c>
    </row>
    <row r="3919">
      <c r="A3919" s="40">
        <f t="array" ref="A3919">IFNA(index(PlayerValues!A:A,match(IFNA(vlookup(B3919,'Special Names'!A:B,2,FALSE),B3919),PlayerValues!E:E,0)),"N/A")</f>
        <v>9064</v>
      </c>
      <c r="B3919" s="4" t="s">
        <v>761</v>
      </c>
      <c r="C3919" s="4" t="s">
        <v>283</v>
      </c>
      <c r="D3919" s="94">
        <v>1081.0</v>
      </c>
    </row>
    <row r="3920">
      <c r="A3920" s="40">
        <f t="array" ref="A3920">IFNA(index(PlayerValues!A:A,match(IFNA(vlookup(B3920,'Special Names'!A:B,2,FALSE),B3920),PlayerValues!E:E,0)),"N/A")</f>
        <v>16219</v>
      </c>
      <c r="B3920" s="4" t="s">
        <v>739</v>
      </c>
      <c r="C3920" s="4" t="s">
        <v>298</v>
      </c>
      <c r="D3920" s="94">
        <v>1444.0</v>
      </c>
    </row>
    <row r="3921">
      <c r="A3921" s="40">
        <f t="array" ref="A3921">IFNA(index(PlayerValues!A:A,match(IFNA(vlookup(B3921,'Special Names'!A:B,2,FALSE),B3921),PlayerValues!E:E,0)),"N/A")</f>
        <v>16678</v>
      </c>
      <c r="B3921" s="4" t="s">
        <v>758</v>
      </c>
      <c r="C3921" s="4" t="s">
        <v>278</v>
      </c>
      <c r="D3921" s="94">
        <v>1074.0</v>
      </c>
    </row>
    <row r="3922">
      <c r="A3922" s="40">
        <f t="array" ref="A3922">IFNA(index(PlayerValues!A:A,match(IFNA(vlookup(B3922,'Special Names'!A:B,2,FALSE),B3922),PlayerValues!E:E,0)),"N/A")</f>
        <v>17175</v>
      </c>
      <c r="B3922" s="4" t="s">
        <v>747</v>
      </c>
      <c r="C3922" s="4" t="s">
        <v>287</v>
      </c>
      <c r="D3922" s="94">
        <v>1059.0</v>
      </c>
    </row>
    <row r="3923">
      <c r="A3923" s="40">
        <f t="array" ref="A3923">IFNA(index(PlayerValues!A:A,match(IFNA(vlookup(B3923,'Special Names'!A:B,2,FALSE),B3923),PlayerValues!E:E,0)),"N/A")</f>
        <v>17479</v>
      </c>
      <c r="B3923" s="4" t="s">
        <v>756</v>
      </c>
      <c r="C3923" s="4" t="s">
        <v>278</v>
      </c>
      <c r="D3923" s="94">
        <v>1052.0</v>
      </c>
    </row>
    <row r="3924">
      <c r="A3924" s="40">
        <f t="array" ref="A3924">IFNA(index(PlayerValues!A:A,match(IFNA(vlookup(B3924,'Special Names'!A:B,2,FALSE),B3924),PlayerValues!E:E,0)),"N/A")</f>
        <v>16648</v>
      </c>
      <c r="B3924" s="4" t="s">
        <v>748</v>
      </c>
      <c r="C3924" s="4" t="s">
        <v>298</v>
      </c>
      <c r="D3924" s="94">
        <v>1413.0</v>
      </c>
    </row>
    <row r="3925">
      <c r="A3925" s="40">
        <f t="array" ref="A3925">IFNA(index(PlayerValues!A:A,match(IFNA(vlookup(B3925,'Special Names'!A:B,2,FALSE),B3925),PlayerValues!E:E,0)),"N/A")</f>
        <v>14057</v>
      </c>
      <c r="B3925" s="4" t="s">
        <v>765</v>
      </c>
      <c r="C3925" s="4" t="s">
        <v>283</v>
      </c>
      <c r="D3925" s="94">
        <v>1044.0</v>
      </c>
    </row>
    <row r="3926">
      <c r="A3926" s="40">
        <f t="array" ref="A3926">IFNA(index(PlayerValues!A:A,match(IFNA(vlookup(B3926,'Special Names'!A:B,2,FALSE),B3926),PlayerValues!E:E,0)),"N/A")</f>
        <v>15330</v>
      </c>
      <c r="B3926" s="4" t="s">
        <v>749</v>
      </c>
      <c r="C3926" s="4" t="s">
        <v>298</v>
      </c>
      <c r="D3926" s="94">
        <v>1407.0</v>
      </c>
    </row>
    <row r="3927">
      <c r="A3927" s="40">
        <f t="array" ref="A3927">IFNA(index(PlayerValues!A:A,match(IFNA(vlookup(B3927,'Special Names'!A:B,2,FALSE),B3927),PlayerValues!E:E,0)),"N/A")</f>
        <v>15795</v>
      </c>
      <c r="B3927" s="4" t="s">
        <v>669</v>
      </c>
      <c r="C3927" s="4" t="s">
        <v>298</v>
      </c>
      <c r="D3927" s="94">
        <v>1408.0</v>
      </c>
    </row>
    <row r="3928">
      <c r="A3928" s="40">
        <f t="array" ref="A3928">IFNA(index(PlayerValues!A:A,match(IFNA(vlookup(B3928,'Special Names'!A:B,2,FALSE),B3928),PlayerValues!E:E,0)),"N/A")</f>
        <v>15718</v>
      </c>
      <c r="B3928" s="4" t="s">
        <v>753</v>
      </c>
      <c r="C3928" s="4" t="s">
        <v>278</v>
      </c>
      <c r="D3928" s="94">
        <v>1038.0</v>
      </c>
    </row>
    <row r="3929">
      <c r="A3929" s="40">
        <f t="array" ref="A3929">IFNA(index(PlayerValues!A:A,match(IFNA(vlookup(B3929,'Special Names'!A:B,2,FALSE),B3929),PlayerValues!E:E,0)),"N/A")</f>
        <v>17520</v>
      </c>
      <c r="B3929" s="4" t="s">
        <v>518</v>
      </c>
      <c r="C3929" s="4" t="s">
        <v>287</v>
      </c>
      <c r="D3929" s="94">
        <v>1028.0</v>
      </c>
    </row>
    <row r="3930">
      <c r="A3930" s="40">
        <f t="array" ref="A3930">IFNA(index(PlayerValues!A:A,match(IFNA(vlookup(B3930,'Special Names'!A:B,2,FALSE),B3930),PlayerValues!E:E,0)),"N/A")</f>
        <v>11247</v>
      </c>
      <c r="B3930" s="4" t="s">
        <v>816</v>
      </c>
      <c r="C3930" s="4" t="s">
        <v>298</v>
      </c>
      <c r="D3930" s="94">
        <v>1394.0</v>
      </c>
    </row>
    <row r="3931">
      <c r="A3931" s="40">
        <f t="array" ref="A3931">IFNA(index(PlayerValues!A:A,match(IFNA(vlookup(B3931,'Special Names'!A:B,2,FALSE),B3931),PlayerValues!E:E,0)),"N/A")</f>
        <v>17486</v>
      </c>
      <c r="B3931" s="4" t="s">
        <v>695</v>
      </c>
      <c r="C3931" s="4" t="s">
        <v>278</v>
      </c>
      <c r="D3931" s="94">
        <v>1026.0</v>
      </c>
    </row>
    <row r="3932">
      <c r="A3932" s="40">
        <f t="array" ref="A3932">IFNA(index(PlayerValues!A:A,match(IFNA(vlookup(B3932,'Special Names'!A:B,2,FALSE),B3932),PlayerValues!E:E,0)),"N/A")</f>
        <v>14849</v>
      </c>
      <c r="B3932" s="4" t="s">
        <v>733</v>
      </c>
      <c r="C3932" s="4" t="s">
        <v>287</v>
      </c>
      <c r="D3932" s="94">
        <v>1025.0</v>
      </c>
    </row>
    <row r="3933">
      <c r="A3933" s="40">
        <f t="array" ref="A3933">IFNA(index(PlayerValues!A:A,match(IFNA(vlookup(B3933,'Special Names'!A:B,2,FALSE),B3933),PlayerValues!E:E,0)),"N/A")</f>
        <v>15766</v>
      </c>
      <c r="B3933" s="4" t="s">
        <v>759</v>
      </c>
      <c r="C3933" s="4" t="s">
        <v>287</v>
      </c>
      <c r="D3933" s="94">
        <v>1023.0</v>
      </c>
    </row>
    <row r="3934">
      <c r="A3934" s="40">
        <f t="array" ref="A3934">IFNA(index(PlayerValues!A:A,match(IFNA(vlookup(B3934,'Special Names'!A:B,2,FALSE),B3934),PlayerValues!E:E,0)),"N/A")</f>
        <v>15720</v>
      </c>
      <c r="B3934" s="4" t="s">
        <v>795</v>
      </c>
      <c r="C3934" s="4" t="s">
        <v>278</v>
      </c>
      <c r="D3934" s="94">
        <v>1022.0</v>
      </c>
    </row>
    <row r="3935">
      <c r="A3935" s="40">
        <f t="array" ref="A3935">IFNA(index(PlayerValues!A:A,match(IFNA(vlookup(B3935,'Special Names'!A:B,2,FALSE),B3935),PlayerValues!E:E,0)),"N/A")</f>
        <v>17467</v>
      </c>
      <c r="B3935" s="4" t="s">
        <v>575</v>
      </c>
      <c r="C3935" s="4" t="s">
        <v>283</v>
      </c>
      <c r="D3935" s="94">
        <v>1008.0</v>
      </c>
    </row>
    <row r="3936">
      <c r="A3936" s="40">
        <f t="array" ref="A3936">IFNA(index(PlayerValues!A:A,match(IFNA(vlookup(B3936,'Special Names'!A:B,2,FALSE),B3936),PlayerValues!E:E,0)),"N/A")</f>
        <v>17487</v>
      </c>
      <c r="B3936" s="4" t="s">
        <v>692</v>
      </c>
      <c r="C3936" s="4" t="s">
        <v>278</v>
      </c>
      <c r="D3936" s="94">
        <v>1004.0</v>
      </c>
    </row>
    <row r="3937">
      <c r="A3937" s="40">
        <f t="array" ref="A3937">IFNA(index(PlayerValues!A:A,match(IFNA(vlookup(B3937,'Special Names'!A:B,2,FALSE),B3937),PlayerValues!E:E,0)),"N/A")</f>
        <v>16159</v>
      </c>
      <c r="B3937" s="4" t="s">
        <v>819</v>
      </c>
      <c r="C3937" s="4" t="s">
        <v>283</v>
      </c>
      <c r="D3937" s="94">
        <v>1002.0</v>
      </c>
    </row>
    <row r="3938">
      <c r="A3938" s="40">
        <f t="array" ref="A3938">IFNA(index(PlayerValues!A:A,match(IFNA(vlookup(B3938,'Special Names'!A:B,2,FALSE),B3938),PlayerValues!E:E,0)),"N/A")</f>
        <v>16168</v>
      </c>
      <c r="B3938" s="4" t="s">
        <v>738</v>
      </c>
      <c r="C3938" s="4" t="s">
        <v>278</v>
      </c>
      <c r="D3938" s="94">
        <v>1000.0</v>
      </c>
    </row>
    <row r="3939">
      <c r="A3939" s="40">
        <f t="array" ref="A3939">IFNA(index(PlayerValues!A:A,match(IFNA(vlookup(B3939,'Special Names'!A:B,2,FALSE),B3939),PlayerValues!E:E,0)),"N/A")</f>
        <v>16858</v>
      </c>
      <c r="B3939" s="4" t="s">
        <v>754</v>
      </c>
      <c r="C3939" s="4" t="s">
        <v>287</v>
      </c>
      <c r="D3939" s="94">
        <v>994.0</v>
      </c>
    </row>
    <row r="3940">
      <c r="A3940" s="40">
        <f t="array" ref="A3940">IFNA(index(PlayerValues!A:A,match(IFNA(vlookup(B3940,'Special Names'!A:B,2,FALSE),B3940),PlayerValues!E:E,0)),"N/A")</f>
        <v>17475</v>
      </c>
      <c r="B3940" s="4" t="s">
        <v>615</v>
      </c>
      <c r="C3940" s="4" t="s">
        <v>278</v>
      </c>
      <c r="D3940" s="94">
        <v>994.0</v>
      </c>
    </row>
    <row r="3941">
      <c r="A3941" s="40">
        <f t="array" ref="A3941">IFNA(index(PlayerValues!A:A,match(IFNA(vlookup(B3941,'Special Names'!A:B,2,FALSE),B3941),PlayerValues!E:E,0)),"N/A")</f>
        <v>15626</v>
      </c>
      <c r="B3941" s="4" t="s">
        <v>766</v>
      </c>
      <c r="C3941" s="4" t="s">
        <v>298</v>
      </c>
      <c r="D3941" s="94">
        <v>1352.0</v>
      </c>
    </row>
    <row r="3942">
      <c r="A3942" s="40">
        <f t="array" ref="A3942">IFNA(index(PlayerValues!A:A,match(IFNA(vlookup(B3942,'Special Names'!A:B,2,FALSE),B3942),PlayerValues!E:E,0)),"N/A")</f>
        <v>14799</v>
      </c>
      <c r="B3942" s="4" t="s">
        <v>829</v>
      </c>
      <c r="C3942" s="4" t="s">
        <v>278</v>
      </c>
      <c r="D3942" s="94">
        <v>982.0</v>
      </c>
    </row>
    <row r="3943">
      <c r="A3943" s="40">
        <f t="array" ref="A3943">IFNA(index(PlayerValues!A:A,match(IFNA(vlookup(B3943,'Special Names'!A:B,2,FALSE),B3943),PlayerValues!E:E,0)),"N/A")</f>
        <v>14864</v>
      </c>
      <c r="B3943" s="4" t="s">
        <v>789</v>
      </c>
      <c r="C3943" s="4" t="s">
        <v>287</v>
      </c>
      <c r="D3943" s="94">
        <v>970.0</v>
      </c>
    </row>
    <row r="3944">
      <c r="A3944" s="40">
        <f t="array" ref="A3944">IFNA(index(PlayerValues!A:A,match(IFNA(vlookup(B3944,'Special Names'!A:B,2,FALSE),B3944),PlayerValues!E:E,0)),"N/A")</f>
        <v>16176</v>
      </c>
      <c r="B3944" s="4" t="s">
        <v>812</v>
      </c>
      <c r="C3944" s="4" t="s">
        <v>278</v>
      </c>
      <c r="D3944" s="94">
        <v>970.0</v>
      </c>
    </row>
    <row r="3945">
      <c r="A3945" s="40">
        <f t="array" ref="A3945">IFNA(index(PlayerValues!A:A,match(IFNA(vlookup(B3945,'Special Names'!A:B,2,FALSE),B3945),PlayerValues!E:E,0)),"N/A")</f>
        <v>15263</v>
      </c>
      <c r="B3945" s="4" t="s">
        <v>804</v>
      </c>
      <c r="C3945" s="4" t="s">
        <v>278</v>
      </c>
      <c r="D3945" s="94">
        <v>966.0</v>
      </c>
    </row>
    <row r="3946">
      <c r="A3946" s="40">
        <f t="array" ref="A3946">IFNA(index(PlayerValues!A:A,match(IFNA(vlookup(B3946,'Special Names'!A:B,2,FALSE),B3946),PlayerValues!E:E,0)),"N/A")</f>
        <v>17510</v>
      </c>
      <c r="B3946" s="4" t="s">
        <v>661</v>
      </c>
      <c r="C3946" s="4" t="s">
        <v>287</v>
      </c>
      <c r="D3946" s="94">
        <v>963.0</v>
      </c>
    </row>
    <row r="3947">
      <c r="A3947" s="40">
        <f t="array" ref="A3947">IFNA(index(PlayerValues!A:A,match(IFNA(vlookup(B3947,'Special Names'!A:B,2,FALSE),B3947),PlayerValues!E:E,0)),"N/A")</f>
        <v>16205</v>
      </c>
      <c r="B3947" s="4" t="s">
        <v>742</v>
      </c>
      <c r="C3947" s="4" t="s">
        <v>287</v>
      </c>
      <c r="D3947" s="94">
        <v>953.0</v>
      </c>
    </row>
    <row r="3948">
      <c r="A3948" s="40">
        <f t="array" ref="A3948">IFNA(index(PlayerValues!A:A,match(IFNA(vlookup(B3948,'Special Names'!A:B,2,FALSE),B3948),PlayerValues!E:E,0)),"N/A")</f>
        <v>16773</v>
      </c>
      <c r="B3948" s="4" t="s">
        <v>783</v>
      </c>
      <c r="C3948" s="4" t="s">
        <v>278</v>
      </c>
      <c r="D3948" s="94">
        <v>952.0</v>
      </c>
    </row>
    <row r="3949">
      <c r="A3949" s="40">
        <f t="array" ref="A3949">IFNA(index(PlayerValues!A:A,match(IFNA(vlookup(B3949,'Special Names'!A:B,2,FALSE),B3949),PlayerValues!E:E,0)),"N/A")</f>
        <v>17504</v>
      </c>
      <c r="B3949" s="4" t="s">
        <v>693</v>
      </c>
      <c r="C3949" s="4" t="s">
        <v>287</v>
      </c>
      <c r="D3949" s="94">
        <v>946.0</v>
      </c>
    </row>
    <row r="3950">
      <c r="A3950" s="40">
        <f t="array" ref="A3950">IFNA(index(PlayerValues!A:A,match(IFNA(vlookup(B3950,'Special Names'!A:B,2,FALSE),B3950),PlayerValues!E:E,0)),"N/A")</f>
        <v>17545</v>
      </c>
      <c r="B3950" s="4" t="s">
        <v>719</v>
      </c>
      <c r="C3950" s="4" t="s">
        <v>298</v>
      </c>
      <c r="D3950" s="94">
        <v>1314.0</v>
      </c>
    </row>
    <row r="3951">
      <c r="A3951" s="40">
        <f t="array" ref="A3951">IFNA(index(PlayerValues!A:A,match(IFNA(vlookup(B3951,'Special Names'!A:B,2,FALSE),B3951),PlayerValues!E:E,0)),"N/A")</f>
        <v>16416</v>
      </c>
      <c r="B3951" s="4" t="s">
        <v>752</v>
      </c>
      <c r="C3951" s="4" t="s">
        <v>287</v>
      </c>
      <c r="D3951" s="94">
        <v>943.0</v>
      </c>
    </row>
    <row r="3952">
      <c r="A3952" s="40">
        <f t="array" ref="A3952">IFNA(index(PlayerValues!A:A,match(IFNA(vlookup(B3952,'Special Names'!A:B,2,FALSE),B3952),PlayerValues!E:E,0)),"N/A")</f>
        <v>16599</v>
      </c>
      <c r="B3952" s="4" t="s">
        <v>737</v>
      </c>
      <c r="C3952" s="4" t="s">
        <v>278</v>
      </c>
      <c r="D3952" s="94">
        <v>942.0</v>
      </c>
    </row>
    <row r="3953">
      <c r="A3953" s="40">
        <f t="array" ref="A3953">IFNA(index(PlayerValues!A:A,match(IFNA(vlookup(B3953,'Special Names'!A:B,2,FALSE),B3953),PlayerValues!E:E,0)),"N/A")</f>
        <v>16624</v>
      </c>
      <c r="B3953" s="4" t="s">
        <v>796</v>
      </c>
      <c r="C3953" s="4" t="s">
        <v>287</v>
      </c>
      <c r="D3953" s="94">
        <v>942.0</v>
      </c>
    </row>
    <row r="3954">
      <c r="A3954" s="40">
        <f t="array" ref="A3954">IFNA(index(PlayerValues!A:A,match(IFNA(vlookup(B3954,'Special Names'!A:B,2,FALSE),B3954),PlayerValues!E:E,0)),"N/A")</f>
        <v>13595</v>
      </c>
      <c r="B3954" s="4" t="s">
        <v>818</v>
      </c>
      <c r="C3954" s="4" t="s">
        <v>283</v>
      </c>
      <c r="D3954" s="94">
        <v>938.0</v>
      </c>
    </row>
    <row r="3955">
      <c r="A3955" s="40">
        <f t="array" ref="A3955">IFNA(index(PlayerValues!A:A,match(IFNA(vlookup(B3955,'Special Names'!A:B,2,FALSE),B3955),PlayerValues!E:E,0)),"N/A")</f>
        <v>15723</v>
      </c>
      <c r="B3955" s="4" t="s">
        <v>798</v>
      </c>
      <c r="C3955" s="4" t="s">
        <v>278</v>
      </c>
      <c r="D3955" s="94">
        <v>930.0</v>
      </c>
    </row>
    <row r="3956">
      <c r="A3956" s="40">
        <f t="array" ref="A3956">IFNA(index(PlayerValues!A:A,match(IFNA(vlookup(B3956,'Special Names'!A:B,2,FALSE),B3956),PlayerValues!E:E,0)),"N/A")</f>
        <v>15109</v>
      </c>
      <c r="B3956" s="4" t="s">
        <v>728</v>
      </c>
      <c r="C3956" s="4" t="s">
        <v>287</v>
      </c>
      <c r="D3956" s="94">
        <v>928.0</v>
      </c>
    </row>
    <row r="3957">
      <c r="A3957" s="40">
        <f t="array" ref="A3957">IFNA(index(PlayerValues!A:A,match(IFNA(vlookup(B3957,'Special Names'!A:B,2,FALSE),B3957),PlayerValues!E:E,0)),"N/A")</f>
        <v>13133</v>
      </c>
      <c r="B3957" s="4" t="s">
        <v>764</v>
      </c>
      <c r="C3957" s="4" t="s">
        <v>278</v>
      </c>
      <c r="D3957" s="94">
        <v>923.0</v>
      </c>
    </row>
    <row r="3958">
      <c r="A3958" s="40">
        <f t="array" ref="A3958">IFNA(index(PlayerValues!A:A,match(IFNA(vlookup(B3958,'Special Names'!A:B,2,FALSE),B3958),PlayerValues!E:E,0)),"N/A")</f>
        <v>13610</v>
      </c>
      <c r="B3958" s="4" t="s">
        <v>825</v>
      </c>
      <c r="C3958" s="4" t="s">
        <v>278</v>
      </c>
      <c r="D3958" s="94">
        <v>914.0</v>
      </c>
    </row>
    <row r="3959">
      <c r="A3959" s="40">
        <f t="array" ref="A3959">IFNA(index(PlayerValues!A:A,match(IFNA(vlookup(B3959,'Special Names'!A:B,2,FALSE),B3959),PlayerValues!E:E,0)),"N/A")</f>
        <v>12785</v>
      </c>
      <c r="B3959" s="4" t="s">
        <v>772</v>
      </c>
      <c r="C3959" s="4" t="s">
        <v>287</v>
      </c>
      <c r="D3959" s="94">
        <v>907.0</v>
      </c>
    </row>
    <row r="3960">
      <c r="A3960" s="40">
        <f t="array" ref="A3960">IFNA(index(PlayerValues!A:A,match(IFNA(vlookup(B3960,'Special Names'!A:B,2,FALSE),B3960),PlayerValues!E:E,0)),"N/A")</f>
        <v>16751</v>
      </c>
      <c r="B3960" s="4" t="s">
        <v>762</v>
      </c>
      <c r="C3960" s="4" t="s">
        <v>287</v>
      </c>
      <c r="D3960" s="94">
        <v>905.0</v>
      </c>
    </row>
    <row r="3961">
      <c r="A3961" s="40">
        <f t="array" ref="A3961">IFNA(index(PlayerValues!A:A,match(IFNA(vlookup(B3961,'Special Names'!A:B,2,FALSE),B3961),PlayerValues!E:E,0)),"N/A")</f>
        <v>16957</v>
      </c>
      <c r="B3961" s="4" t="s">
        <v>806</v>
      </c>
      <c r="C3961" s="4" t="s">
        <v>278</v>
      </c>
      <c r="D3961" s="94">
        <v>904.0</v>
      </c>
    </row>
    <row r="3962">
      <c r="A3962" s="40">
        <f t="array" ref="A3962">IFNA(index(PlayerValues!A:A,match(IFNA(vlookup(B3962,'Special Names'!A:B,2,FALSE),B3962),PlayerValues!E:E,0)),"N/A")</f>
        <v>14079</v>
      </c>
      <c r="B3962" s="4" t="s">
        <v>830</v>
      </c>
      <c r="C3962" s="4" t="s">
        <v>278</v>
      </c>
      <c r="D3962" s="94">
        <v>889.0</v>
      </c>
    </row>
    <row r="3963">
      <c r="A3963" s="40">
        <f t="array" ref="A3963">IFNA(index(PlayerValues!A:A,match(IFNA(vlookup(B3963,'Special Names'!A:B,2,FALSE),B3963),PlayerValues!E:E,0)),"N/A")</f>
        <v>13143</v>
      </c>
      <c r="B3963" s="4" t="s">
        <v>786</v>
      </c>
      <c r="C3963" s="4" t="s">
        <v>278</v>
      </c>
      <c r="D3963" s="94">
        <v>889.0</v>
      </c>
    </row>
    <row r="3964">
      <c r="A3964" s="40">
        <f t="array" ref="A3964">IFNA(index(PlayerValues!A:A,match(IFNA(vlookup(B3964,'Special Names'!A:B,2,FALSE),B3964),PlayerValues!E:E,0)),"N/A")</f>
        <v>15796</v>
      </c>
      <c r="B3964" s="4" t="s">
        <v>794</v>
      </c>
      <c r="C3964" s="4" t="s">
        <v>298</v>
      </c>
      <c r="D3964" s="94">
        <v>1256.0</v>
      </c>
    </row>
    <row r="3965">
      <c r="A3965" s="40">
        <f t="array" ref="A3965">IFNA(index(PlayerValues!A:A,match(IFNA(vlookup(B3965,'Special Names'!A:B,2,FALSE),B3965),PlayerValues!E:E,0)),"N/A")</f>
        <v>16606</v>
      </c>
      <c r="B3965" s="4" t="s">
        <v>743</v>
      </c>
      <c r="C3965" s="4" t="s">
        <v>278</v>
      </c>
      <c r="D3965" s="94">
        <v>883.0</v>
      </c>
    </row>
    <row r="3966">
      <c r="A3966" s="40">
        <f t="array" ref="A3966">IFNA(index(PlayerValues!A:A,match(IFNA(vlookup(B3966,'Special Names'!A:B,2,FALSE),B3966),PlayerValues!E:E,0)),"N/A")</f>
        <v>13113</v>
      </c>
      <c r="B3966" s="4" t="s">
        <v>606</v>
      </c>
      <c r="C3966" s="4" t="s">
        <v>283</v>
      </c>
      <c r="D3966" s="94">
        <v>873.0</v>
      </c>
    </row>
    <row r="3967">
      <c r="A3967" s="40">
        <f t="array" ref="A3967">IFNA(index(PlayerValues!A:A,match(IFNA(vlookup(B3967,'Special Names'!A:B,2,FALSE),B3967),PlayerValues!E:E,0)),"N/A")</f>
        <v>11232</v>
      </c>
      <c r="B3967" s="4" t="s">
        <v>826</v>
      </c>
      <c r="C3967" s="4" t="s">
        <v>287</v>
      </c>
      <c r="D3967" s="94">
        <v>870.0</v>
      </c>
    </row>
    <row r="3968">
      <c r="A3968" s="40">
        <f t="array" ref="A3968">IFNA(index(PlayerValues!A:A,match(IFNA(vlookup(B3968,'Special Names'!A:B,2,FALSE),B3968),PlayerValues!E:E,0)),"N/A")</f>
        <v>17337</v>
      </c>
      <c r="B3968" s="4" t="s">
        <v>793</v>
      </c>
      <c r="C3968" s="4" t="s">
        <v>278</v>
      </c>
      <c r="D3968" s="94">
        <v>869.0</v>
      </c>
    </row>
    <row r="3969">
      <c r="A3969" s="40">
        <f t="array" ref="A3969">IFNA(index(PlayerValues!A:A,match(IFNA(vlookup(B3969,'Special Names'!A:B,2,FALSE),B3969),PlayerValues!E:E,0)),"N/A")</f>
        <v>14358</v>
      </c>
      <c r="B3969" s="4" t="s">
        <v>813</v>
      </c>
      <c r="C3969" s="4" t="s">
        <v>283</v>
      </c>
      <c r="D3969" s="94">
        <v>857.0</v>
      </c>
    </row>
    <row r="3970">
      <c r="A3970" s="40">
        <f t="array" ref="A3970">IFNA(index(PlayerValues!A:A,match(IFNA(vlookup(B3970,'Special Names'!A:B,2,FALSE),B3970),PlayerValues!E:E,0)),"N/A")</f>
        <v>15804</v>
      </c>
      <c r="B3970" s="4" t="s">
        <v>821</v>
      </c>
      <c r="C3970" s="4" t="s">
        <v>298</v>
      </c>
      <c r="D3970" s="94">
        <v>1226.0</v>
      </c>
    </row>
    <row r="3971">
      <c r="A3971" s="40">
        <f t="array" ref="A3971">IFNA(index(PlayerValues!A:A,match(IFNA(vlookup(B3971,'Special Names'!A:B,2,FALSE),B3971),PlayerValues!E:E,0)),"N/A")</f>
        <v>15271</v>
      </c>
      <c r="B3971" s="4" t="s">
        <v>741</v>
      </c>
      <c r="C3971" s="4" t="s">
        <v>278</v>
      </c>
      <c r="D3971" s="94">
        <v>844.0</v>
      </c>
    </row>
    <row r="3972">
      <c r="A3972" s="40">
        <f t="array" ref="A3972">IFNA(index(PlayerValues!A:A,match(IFNA(vlookup(B3972,'Special Names'!A:B,2,FALSE),B3972),PlayerValues!E:E,0)),"N/A")</f>
        <v>14223</v>
      </c>
      <c r="B3972" s="4" t="s">
        <v>785</v>
      </c>
      <c r="C3972" s="4" t="s">
        <v>278</v>
      </c>
      <c r="D3972" s="94">
        <v>837.0</v>
      </c>
    </row>
    <row r="3973">
      <c r="A3973" s="40">
        <f t="array" ref="A3973">IFNA(index(PlayerValues!A:A,match(IFNA(vlookup(B3973,'Special Names'!A:B,2,FALSE),B3973),PlayerValues!E:E,0)),"N/A")</f>
        <v>16623</v>
      </c>
      <c r="B3973" s="4" t="s">
        <v>803</v>
      </c>
      <c r="C3973" s="4" t="s">
        <v>287</v>
      </c>
      <c r="D3973" s="94">
        <v>830.0</v>
      </c>
    </row>
    <row r="3974">
      <c r="A3974" s="40">
        <f t="array" ref="A3974">IFNA(index(PlayerValues!A:A,match(IFNA(vlookup(B3974,'Special Names'!A:B,2,FALSE),B3974),PlayerValues!E:E,0)),"N/A")</f>
        <v>13156</v>
      </c>
      <c r="B3974" s="4" t="s">
        <v>835</v>
      </c>
      <c r="C3974" s="4" t="s">
        <v>287</v>
      </c>
      <c r="D3974" s="94">
        <v>827.0</v>
      </c>
    </row>
    <row r="3975">
      <c r="A3975" s="40">
        <f t="array" ref="A3975">IFNA(index(PlayerValues!A:A,match(IFNA(vlookup(B3975,'Special Names'!A:B,2,FALSE),B3975),PlayerValues!E:E,0)),"N/A")</f>
        <v>16170</v>
      </c>
      <c r="B3975" s="4" t="s">
        <v>801</v>
      </c>
      <c r="C3975" s="4" t="s">
        <v>278</v>
      </c>
      <c r="D3975" s="94">
        <v>817.0</v>
      </c>
    </row>
    <row r="3976">
      <c r="A3976" s="40">
        <f t="array" ref="A3976">IFNA(index(PlayerValues!A:A,match(IFNA(vlookup(B3976,'Special Names'!A:B,2,FALSE),B3976),PlayerValues!E:E,0)),"N/A")</f>
        <v>16625</v>
      </c>
      <c r="B3976" s="4" t="s">
        <v>778</v>
      </c>
      <c r="C3976" s="4" t="s">
        <v>287</v>
      </c>
      <c r="D3976" s="94">
        <v>814.0</v>
      </c>
    </row>
    <row r="3977">
      <c r="A3977" s="40">
        <f t="array" ref="A3977">IFNA(index(PlayerValues!A:A,match(IFNA(vlookup(B3977,'Special Names'!A:B,2,FALSE),B3977),PlayerValues!E:E,0)),"N/A")</f>
        <v>16686</v>
      </c>
      <c r="B3977" s="4" t="s">
        <v>805</v>
      </c>
      <c r="C3977" s="4" t="s">
        <v>287</v>
      </c>
      <c r="D3977" s="94">
        <v>807.0</v>
      </c>
    </row>
    <row r="3978">
      <c r="A3978" s="40">
        <f t="array" ref="A3978">IFNA(index(PlayerValues!A:A,match(IFNA(vlookup(B3978,'Special Names'!A:B,2,FALSE),B3978),PlayerValues!E:E,0)),"N/A")</f>
        <v>14805</v>
      </c>
      <c r="B3978" s="4" t="s">
        <v>770</v>
      </c>
      <c r="C3978" s="4" t="s">
        <v>278</v>
      </c>
      <c r="D3978" s="94">
        <v>806.0</v>
      </c>
    </row>
    <row r="3979">
      <c r="A3979" s="40">
        <f t="array" ref="A3979">IFNA(index(PlayerValues!A:A,match(IFNA(vlookup(B3979,'Special Names'!A:B,2,FALSE),B3979),PlayerValues!E:E,0)),"N/A")</f>
        <v>13157</v>
      </c>
      <c r="B3979" s="4" t="s">
        <v>836</v>
      </c>
      <c r="C3979" s="4" t="s">
        <v>287</v>
      </c>
      <c r="D3979" s="94">
        <v>776.0</v>
      </c>
    </row>
    <row r="3980">
      <c r="A3980" s="40">
        <f t="array" ref="A3980">IFNA(index(PlayerValues!A:A,match(IFNA(vlookup(B3980,'Special Names'!A:B,2,FALSE),B3980),PlayerValues!E:E,0)),"N/A")</f>
        <v>14852</v>
      </c>
      <c r="B3980" s="4" t="s">
        <v>837</v>
      </c>
      <c r="C3980" s="4" t="s">
        <v>278</v>
      </c>
      <c r="D3980" s="94">
        <v>775.0</v>
      </c>
    </row>
    <row r="3981">
      <c r="A3981" s="40">
        <f t="array" ref="A3981">IFNA(index(PlayerValues!A:A,match(IFNA(vlookup(B3981,'Special Names'!A:B,2,FALSE),B3981),PlayerValues!E:E,0)),"N/A")</f>
        <v>15285</v>
      </c>
      <c r="B3981" s="4" t="s">
        <v>792</v>
      </c>
      <c r="C3981" s="4" t="s">
        <v>287</v>
      </c>
      <c r="D3981" s="94">
        <v>755.0</v>
      </c>
    </row>
    <row r="3982">
      <c r="A3982" s="40">
        <f t="array" ref="A3982">IFNA(index(PlayerValues!A:A,match(IFNA(vlookup(B3982,'Special Names'!A:B,2,FALSE),B3982),PlayerValues!E:E,0)),"N/A")</f>
        <v>17038</v>
      </c>
      <c r="B3982" s="4" t="s">
        <v>774</v>
      </c>
      <c r="C3982" s="4" t="s">
        <v>283</v>
      </c>
      <c r="D3982" s="94">
        <v>755.0</v>
      </c>
    </row>
    <row r="3983">
      <c r="A3983" s="40">
        <f t="array" ref="A3983">IFNA(index(PlayerValues!A:A,match(IFNA(vlookup(B3983,'Special Names'!A:B,2,FALSE),B3983),PlayerValues!E:E,0)),"N/A")</f>
        <v>14858</v>
      </c>
      <c r="B3983" s="4" t="s">
        <v>799</v>
      </c>
      <c r="C3983" s="4" t="s">
        <v>287</v>
      </c>
      <c r="D3983" s="94">
        <v>749.0</v>
      </c>
    </row>
    <row r="3984">
      <c r="A3984" s="40">
        <f t="array" ref="A3984">IFNA(index(PlayerValues!A:A,match(IFNA(vlookup(B3984,'Special Names'!A:B,2,FALSE),B3984),PlayerValues!E:E,0)),"N/A")</f>
        <v>15965</v>
      </c>
      <c r="B3984" s="4" t="s">
        <v>791</v>
      </c>
      <c r="C3984" s="4" t="s">
        <v>278</v>
      </c>
      <c r="D3984" s="94">
        <v>748.0</v>
      </c>
    </row>
    <row r="3985">
      <c r="A3985" s="40">
        <f t="array" ref="A3985">IFNA(index(PlayerValues!A:A,match(IFNA(vlookup(B3985,'Special Names'!A:B,2,FALSE),B3985),PlayerValues!E:E,0)),"N/A")</f>
        <v>12610</v>
      </c>
      <c r="B3985" s="4" t="s">
        <v>838</v>
      </c>
      <c r="C3985" s="4" t="s">
        <v>283</v>
      </c>
      <c r="D3985" s="94">
        <v>744.0</v>
      </c>
    </row>
    <row r="3986">
      <c r="A3986" s="40">
        <f t="array" ref="A3986">IFNA(index(PlayerValues!A:A,match(IFNA(vlookup(B3986,'Special Names'!A:B,2,FALSE),B3986),PlayerValues!E:E,0)),"N/A")</f>
        <v>14113</v>
      </c>
      <c r="B3986" s="4" t="s">
        <v>788</v>
      </c>
      <c r="C3986" s="4" t="s">
        <v>287</v>
      </c>
      <c r="D3986" s="94">
        <v>742.0</v>
      </c>
    </row>
    <row r="3987">
      <c r="A3987" s="40">
        <f t="array" ref="A3987">IFNA(index(PlayerValues!A:A,match(IFNA(vlookup(B3987,'Special Names'!A:B,2,FALSE),B3987),PlayerValues!E:E,0)),"N/A")</f>
        <v>14209</v>
      </c>
      <c r="B3987" s="4" t="s">
        <v>809</v>
      </c>
      <c r="C3987" s="4" t="s">
        <v>298</v>
      </c>
      <c r="D3987" s="94">
        <v>1109.0</v>
      </c>
    </row>
    <row r="3988">
      <c r="A3988" s="40">
        <f t="array" ref="A3988">IFNA(index(PlayerValues!A:A,match(IFNA(vlookup(B3988,'Special Names'!A:B,2,FALSE),B3988),PlayerValues!E:E,0)),"N/A")</f>
        <v>13176</v>
      </c>
      <c r="B3988" s="4" t="s">
        <v>807</v>
      </c>
      <c r="C3988" s="4" t="s">
        <v>287</v>
      </c>
      <c r="D3988" s="94">
        <v>741.0</v>
      </c>
    </row>
    <row r="3989">
      <c r="A3989" s="40">
        <f t="array" ref="A3989">IFNA(index(PlayerValues!A:A,match(IFNA(vlookup(B3989,'Special Names'!A:B,2,FALSE),B3989),PlayerValues!E:E,0)),"N/A")</f>
        <v>15714</v>
      </c>
      <c r="B3989" s="4" t="s">
        <v>775</v>
      </c>
      <c r="C3989" s="4" t="s">
        <v>278</v>
      </c>
      <c r="D3989" s="94">
        <v>740.0</v>
      </c>
    </row>
    <row r="3990">
      <c r="A3990" s="40">
        <f t="array" ref="A3990">IFNA(index(PlayerValues!A:A,match(IFNA(vlookup(B3990,'Special Names'!A:B,2,FALSE),B3990),PlayerValues!E:E,0)),"N/A")</f>
        <v>13675</v>
      </c>
      <c r="B3990" s="4" t="s">
        <v>839</v>
      </c>
      <c r="C3990" s="4" t="s">
        <v>298</v>
      </c>
      <c r="D3990" s="94">
        <v>1106.0</v>
      </c>
    </row>
    <row r="3991">
      <c r="A3991" s="40">
        <f t="array" ref="A3991">IFNA(index(PlayerValues!A:A,match(IFNA(vlookup(B3991,'Special Names'!A:B,2,FALSE),B3991),PlayerValues!E:E,0)),"N/A")</f>
        <v>17541</v>
      </c>
      <c r="B3991" s="4" t="s">
        <v>616</v>
      </c>
      <c r="C3991" s="4" t="s">
        <v>287</v>
      </c>
      <c r="D3991" s="94">
        <v>722.0</v>
      </c>
    </row>
    <row r="3992">
      <c r="A3992" s="40">
        <f t="array" ref="A3992">IFNA(index(PlayerValues!A:A,match(IFNA(vlookup(B3992,'Special Names'!A:B,2,FALSE),B3992),PlayerValues!E:E,0)),"N/A")</f>
        <v>16413</v>
      </c>
      <c r="B3992" s="4" t="s">
        <v>781</v>
      </c>
      <c r="C3992" s="4" t="s">
        <v>287</v>
      </c>
      <c r="D3992" s="94">
        <v>716.0</v>
      </c>
    </row>
    <row r="3993">
      <c r="A3993" s="40">
        <f t="array" ref="A3993">IFNA(index(PlayerValues!A:A,match(IFNA(vlookup(B3993,'Special Names'!A:B,2,FALSE),B3993),PlayerValues!E:E,0)),"N/A")</f>
        <v>13172</v>
      </c>
      <c r="B3993" s="4" t="s">
        <v>840</v>
      </c>
      <c r="C3993" s="4" t="s">
        <v>287</v>
      </c>
      <c r="D3993" s="94">
        <v>712.0</v>
      </c>
    </row>
    <row r="3994">
      <c r="A3994" s="40">
        <f t="array" ref="A3994">IFNA(index(PlayerValues!A:A,match(IFNA(vlookup(B3994,'Special Names'!A:B,2,FALSE),B3994),PlayerValues!E:E,0)),"N/A")</f>
        <v>10413</v>
      </c>
      <c r="B3994" s="4" t="s">
        <v>811</v>
      </c>
      <c r="C3994" s="4" t="s">
        <v>283</v>
      </c>
      <c r="D3994" s="94">
        <v>705.0</v>
      </c>
    </row>
    <row r="3995">
      <c r="A3995" s="40">
        <f t="array" ref="A3995">IFNA(index(PlayerValues!A:A,match(IFNA(vlookup(B3995,'Special Names'!A:B,2,FALSE),B3995),PlayerValues!E:E,0)),"N/A")</f>
        <v>17232</v>
      </c>
      <c r="B3995" s="4" t="s">
        <v>784</v>
      </c>
      <c r="C3995" s="4" t="s">
        <v>287</v>
      </c>
      <c r="D3995" s="94">
        <v>700.0</v>
      </c>
    </row>
    <row r="3996">
      <c r="A3996" s="40">
        <f t="array" ref="A3996">IFNA(index(PlayerValues!A:A,match(IFNA(vlookup(B3996,'Special Names'!A:B,2,FALSE),B3996),PlayerValues!E:E,0)),"N/A")</f>
        <v>17470</v>
      </c>
      <c r="B3996" s="4" t="s">
        <v>841</v>
      </c>
      <c r="C3996" s="4" t="s">
        <v>283</v>
      </c>
      <c r="D3996" s="94">
        <v>699.0</v>
      </c>
    </row>
    <row r="3997">
      <c r="A3997" s="40">
        <f t="array" ref="A3997">IFNA(index(PlayerValues!A:A,match(IFNA(vlookup(B3997,'Special Names'!A:B,2,FALSE),B3997),PlayerValues!E:E,0)),"N/A")</f>
        <v>12658</v>
      </c>
      <c r="B3997" s="4" t="s">
        <v>823</v>
      </c>
      <c r="C3997" s="4" t="s">
        <v>287</v>
      </c>
      <c r="D3997" s="94">
        <v>690.0</v>
      </c>
    </row>
    <row r="3998">
      <c r="A3998" s="40">
        <f t="array" ref="A3998">IFNA(index(PlayerValues!A:A,match(IFNA(vlookup(B3998,'Special Names'!A:B,2,FALSE),B3998),PlayerValues!E:E,0)),"N/A")</f>
        <v>16632</v>
      </c>
      <c r="B3998" s="4" t="s">
        <v>842</v>
      </c>
      <c r="C3998" s="4" t="s">
        <v>287</v>
      </c>
      <c r="D3998" s="94">
        <v>690.0</v>
      </c>
    </row>
    <row r="3999">
      <c r="A3999" s="40">
        <f t="array" ref="A3999">IFNA(index(PlayerValues!A:A,match(IFNA(vlookup(B3999,'Special Names'!A:B,2,FALSE),B3999),PlayerValues!E:E,0)),"N/A")</f>
        <v>14870</v>
      </c>
      <c r="B3999" s="4" t="s">
        <v>843</v>
      </c>
      <c r="C3999" s="4" t="s">
        <v>298</v>
      </c>
      <c r="D3999" s="94">
        <v>1054.0</v>
      </c>
    </row>
    <row r="4000">
      <c r="A4000" s="40">
        <f t="array" ref="A4000">IFNA(index(PlayerValues!A:A,match(IFNA(vlookup(B4000,'Special Names'!A:B,2,FALSE),B4000),PlayerValues!E:E,0)),"N/A")</f>
        <v>17526</v>
      </c>
      <c r="B4000" s="4" t="s">
        <v>760</v>
      </c>
      <c r="C4000" s="4" t="s">
        <v>287</v>
      </c>
      <c r="D4000" s="94">
        <v>686.0</v>
      </c>
    </row>
    <row r="4001">
      <c r="A4001" s="40">
        <f t="array" ref="A4001">IFNA(index(PlayerValues!A:A,match(IFNA(vlookup(B4001,'Special Names'!A:B,2,FALSE),B4001),PlayerValues!E:E,0)),"N/A")</f>
        <v>13589</v>
      </c>
      <c r="B4001" s="4" t="s">
        <v>282</v>
      </c>
      <c r="C4001" s="4" t="s">
        <v>283</v>
      </c>
      <c r="D4001" s="94">
        <v>9987.0</v>
      </c>
    </row>
    <row r="4002">
      <c r="A4002" s="40">
        <f t="array" ref="A4002">IFNA(index(PlayerValues!A:A,match(IFNA(vlookup(B4002,'Special Names'!A:B,2,FALSE),B4002),PlayerValues!E:E,0)),"N/A")</f>
        <v>16161</v>
      </c>
      <c r="B4002" s="4" t="s">
        <v>277</v>
      </c>
      <c r="C4002" s="4" t="s">
        <v>278</v>
      </c>
      <c r="D4002" s="94">
        <v>9981.0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9837.0</v>
      </c>
    </row>
    <row r="4004">
      <c r="A4004" s="40">
        <f t="array" ref="A4004">IFNA(index(PlayerValues!A:A,match(IFNA(vlookup(B4004,'Special Names'!A:B,2,FALSE),B4004),PlayerValues!E:E,0)),"N/A")</f>
        <v>16185</v>
      </c>
      <c r="B4004" s="4" t="s">
        <v>290</v>
      </c>
      <c r="C4004" s="4" t="s">
        <v>287</v>
      </c>
      <c r="D4004" s="94">
        <v>9784.0</v>
      </c>
    </row>
    <row r="4005">
      <c r="A4005" s="40">
        <f t="array" ref="A4005">IFNA(index(PlayerValues!A:A,match(IFNA(vlookup(B4005,'Special Names'!A:B,2,FALSE),B4005),PlayerValues!E:E,0)),"N/A")</f>
        <v>16162</v>
      </c>
      <c r="B4005" s="4" t="s">
        <v>281</v>
      </c>
      <c r="C4005" s="4" t="s">
        <v>278</v>
      </c>
      <c r="D4005" s="94">
        <v>9645.0</v>
      </c>
    </row>
    <row r="4006">
      <c r="A4006" s="40">
        <f t="array" ref="A4006">IFNA(index(PlayerValues!A:A,match(IFNA(vlookup(B4006,'Special Names'!A:B,2,FALSE),B4006),PlayerValues!E:E,0)),"N/A")</f>
        <v>16580</v>
      </c>
      <c r="B4006" s="4" t="s">
        <v>291</v>
      </c>
      <c r="C4006" s="4" t="s">
        <v>283</v>
      </c>
      <c r="D4006" s="94">
        <v>9367.0</v>
      </c>
    </row>
    <row r="4007">
      <c r="A4007" s="40">
        <f t="array" ref="A4007">IFNA(index(PlayerValues!A:A,match(IFNA(vlookup(B4007,'Special Names'!A:B,2,FALSE),B4007),PlayerValues!E:E,0)),"N/A")</f>
        <v>16211</v>
      </c>
      <c r="B4007" s="4" t="s">
        <v>294</v>
      </c>
      <c r="C4007" s="4" t="s">
        <v>287</v>
      </c>
      <c r="D4007" s="94">
        <v>9253.0</v>
      </c>
    </row>
    <row r="4008">
      <c r="A4008" s="40">
        <f t="array" ref="A4008">IFNA(index(PlayerValues!A:A,match(IFNA(vlookup(B4008,'Special Names'!A:B,2,FALSE),B4008),PlayerValues!E:E,0)),"N/A")</f>
        <v>16579</v>
      </c>
      <c r="B4008" s="4" t="s">
        <v>302</v>
      </c>
      <c r="C4008" s="4" t="s">
        <v>283</v>
      </c>
      <c r="D4008" s="94">
        <v>7752.0</v>
      </c>
    </row>
    <row r="4009">
      <c r="A4009" s="40">
        <f t="array" ref="A4009">IFNA(index(PlayerValues!A:A,match(IFNA(vlookup(B4009,'Special Names'!A:B,2,FALSE),B4009),PlayerValues!E:E,0)),"N/A")</f>
        <v>16581</v>
      </c>
      <c r="B4009" s="4" t="s">
        <v>315</v>
      </c>
      <c r="C4009" s="4" t="s">
        <v>283</v>
      </c>
      <c r="D4009" s="94">
        <v>7751.0</v>
      </c>
    </row>
    <row r="4010">
      <c r="A4010" s="40">
        <f t="array" ref="A4010">IFNA(index(PlayerValues!A:A,match(IFNA(vlookup(B4010,'Special Names'!A:B,2,FALSE),B4010),PlayerValues!E:E,0)),"N/A")</f>
        <v>16641</v>
      </c>
      <c r="B4010" s="4" t="s">
        <v>297</v>
      </c>
      <c r="C4010" s="4" t="s">
        <v>298</v>
      </c>
      <c r="D4010" s="94">
        <v>8555.0</v>
      </c>
    </row>
    <row r="4011">
      <c r="A4011" s="40">
        <f t="array" ref="A4011">IFNA(index(PlayerValues!A:A,match(IFNA(vlookup(B4011,'Special Names'!A:B,2,FALSE),B4011),PlayerValues!E:E,0)),"N/A")</f>
        <v>15287</v>
      </c>
      <c r="B4011" s="4" t="s">
        <v>299</v>
      </c>
      <c r="C4011" s="4" t="s">
        <v>287</v>
      </c>
      <c r="D4011" s="94">
        <v>7713.0</v>
      </c>
    </row>
    <row r="4012">
      <c r="A4012" s="40">
        <f t="array" ref="A4012">IFNA(index(PlayerValues!A:A,match(IFNA(vlookup(B4012,'Special Names'!A:B,2,FALSE),B4012),PlayerValues!E:E,0)),"N/A")</f>
        <v>16615</v>
      </c>
      <c r="B4012" s="4" t="s">
        <v>309</v>
      </c>
      <c r="C4012" s="4" t="s">
        <v>287</v>
      </c>
      <c r="D4012" s="94">
        <v>7709.0</v>
      </c>
    </row>
    <row r="4013">
      <c r="A4013" s="40">
        <f t="array" ref="A4013">IFNA(index(PlayerValues!A:A,match(IFNA(vlookup(B4013,'Special Names'!A:B,2,FALSE),B4013),PlayerValues!E:E,0)),"N/A")</f>
        <v>13593</v>
      </c>
      <c r="B4013" s="4" t="s">
        <v>305</v>
      </c>
      <c r="C4013" s="4" t="s">
        <v>283</v>
      </c>
      <c r="D4013" s="94">
        <v>7682.0</v>
      </c>
    </row>
    <row r="4014">
      <c r="A4014" s="40">
        <f t="array" ref="A4014">IFNA(index(PlayerValues!A:A,match(IFNA(vlookup(B4014,'Special Names'!A:B,2,FALSE),B4014),PlayerValues!E:E,0)),"N/A")</f>
        <v>14836</v>
      </c>
      <c r="B4014" s="4" t="s">
        <v>306</v>
      </c>
      <c r="C4014" s="4" t="s">
        <v>287</v>
      </c>
      <c r="D4014" s="94">
        <v>7681.0</v>
      </c>
    </row>
    <row r="4015">
      <c r="A4015" s="40">
        <f t="array" ref="A4015">IFNA(index(PlayerValues!A:A,match(IFNA(vlookup(B4015,'Special Names'!A:B,2,FALSE),B4015),PlayerValues!E:E,0)),"N/A")</f>
        <v>15794</v>
      </c>
      <c r="B4015" s="4" t="s">
        <v>313</v>
      </c>
      <c r="C4015" s="4" t="s">
        <v>298</v>
      </c>
      <c r="D4015" s="94">
        <v>8420.0</v>
      </c>
    </row>
    <row r="4016">
      <c r="A4016" s="40">
        <f t="array" ref="A4016">IFNA(index(PlayerValues!A:A,match(IFNA(vlookup(B4016,'Special Names'!A:B,2,FALSE),B4016),PlayerValues!E:E,0)),"N/A")</f>
        <v>17042</v>
      </c>
      <c r="B4016" s="4" t="s">
        <v>314</v>
      </c>
      <c r="C4016" s="4" t="s">
        <v>278</v>
      </c>
      <c r="D4016" s="94">
        <v>7477.0</v>
      </c>
    </row>
    <row r="4017">
      <c r="A4017" s="40">
        <f t="array" ref="A4017">IFNA(index(PlayerValues!A:A,match(IFNA(vlookup(B4017,'Special Names'!A:B,2,FALSE),B4017),PlayerValues!E:E,0)),"N/A")</f>
        <v>17472</v>
      </c>
      <c r="B4017" s="4" t="s">
        <v>310</v>
      </c>
      <c r="C4017" s="4" t="s">
        <v>278</v>
      </c>
      <c r="D4017" s="94">
        <v>7416.0</v>
      </c>
    </row>
    <row r="4018">
      <c r="A4018" s="40">
        <f t="array" ref="A4018">IFNA(index(PlayerValues!A:A,match(IFNA(vlookup(B4018,'Special Names'!A:B,2,FALSE),B4018),PlayerValues!E:E,0)),"N/A")</f>
        <v>14777</v>
      </c>
      <c r="B4018" s="4" t="s">
        <v>318</v>
      </c>
      <c r="C4018" s="4" t="s">
        <v>283</v>
      </c>
      <c r="D4018" s="94">
        <v>7372.0</v>
      </c>
    </row>
    <row r="4019">
      <c r="A4019" s="40">
        <f t="array" ref="A4019">IFNA(index(PlayerValues!A:A,match(IFNA(vlookup(B4019,'Special Names'!A:B,2,FALSE),B4019),PlayerValues!E:E,0)),"N/A")</f>
        <v>14832</v>
      </c>
      <c r="B4019" s="4" t="s">
        <v>319</v>
      </c>
      <c r="C4019" s="4" t="s">
        <v>287</v>
      </c>
      <c r="D4019" s="94">
        <v>7324.0</v>
      </c>
    </row>
    <row r="4020">
      <c r="A4020" s="40">
        <f t="array" ref="A4020">IFNA(index(PlayerValues!A:A,match(IFNA(vlookup(B4020,'Special Names'!A:B,2,FALSE),B4020),PlayerValues!E:E,0)),"N/A")</f>
        <v>15751</v>
      </c>
      <c r="B4020" s="4" t="s">
        <v>328</v>
      </c>
      <c r="C4020" s="4" t="s">
        <v>287</v>
      </c>
      <c r="D4020" s="94">
        <v>6947.0</v>
      </c>
    </row>
    <row r="4021">
      <c r="A4021" s="40">
        <f t="array" ref="A4021">IFNA(index(PlayerValues!A:A,match(IFNA(vlookup(B4021,'Special Names'!A:B,2,FALSE),B4021),PlayerValues!E:E,0)),"N/A")</f>
        <v>14779</v>
      </c>
      <c r="B4021" s="4" t="s">
        <v>327</v>
      </c>
      <c r="C4021" s="4" t="s">
        <v>283</v>
      </c>
      <c r="D4021" s="94">
        <v>6921.0</v>
      </c>
    </row>
    <row r="4022">
      <c r="A4022" s="40" t="str">
        <f t="array" ref="A4022">IFNA(index(PlayerValues!A:A,match(IFNA(vlookup(B4022,'Special Names'!A:B,2,FALSE),B4022),PlayerValues!E:E,0)),"N/A")</f>
        <v>N/A</v>
      </c>
      <c r="B4022" s="4" t="s">
        <v>92</v>
      </c>
      <c r="C4022" s="4" t="s">
        <v>325</v>
      </c>
      <c r="D4022" s="94">
        <v>6850.0</v>
      </c>
    </row>
    <row r="4023">
      <c r="A4023" s="40">
        <f t="array" ref="A4023">IFNA(index(PlayerValues!A:A,match(IFNA(vlookup(B4023,'Special Names'!A:B,2,FALSE),B4023),PlayerValues!E:E,0)),"N/A")</f>
        <v>16167</v>
      </c>
      <c r="B4023" s="4" t="s">
        <v>323</v>
      </c>
      <c r="C4023" s="4" t="s">
        <v>278</v>
      </c>
      <c r="D4023" s="94">
        <v>6838.0</v>
      </c>
    </row>
    <row r="4024">
      <c r="A4024" s="40">
        <f t="array" ref="A4024">IFNA(index(PlayerValues!A:A,match(IFNA(vlookup(B4024,'Special Names'!A:B,2,FALSE),B4024),PlayerValues!E:E,0)),"N/A")</f>
        <v>13116</v>
      </c>
      <c r="B4024" s="4" t="s">
        <v>345</v>
      </c>
      <c r="C4024" s="4" t="s">
        <v>283</v>
      </c>
      <c r="D4024" s="94">
        <v>6801.0</v>
      </c>
    </row>
    <row r="4025">
      <c r="A4025" s="40">
        <f t="array" ref="A4025">IFNA(index(PlayerValues!A:A,match(IFNA(vlookup(B4025,'Special Names'!A:B,2,FALSE),B4025),PlayerValues!E:E,0)),"N/A")</f>
        <v>17044</v>
      </c>
      <c r="B4025" s="4" t="s">
        <v>322</v>
      </c>
      <c r="C4025" s="4" t="s">
        <v>278</v>
      </c>
      <c r="D4025" s="94">
        <v>6763.0</v>
      </c>
    </row>
    <row r="4026">
      <c r="A4026" s="40">
        <f t="array" ref="A4026">IFNA(index(PlayerValues!A:A,match(IFNA(vlookup(B4026,'Special Names'!A:B,2,FALSE),B4026),PlayerValues!E:E,0)),"N/A")</f>
        <v>17032</v>
      </c>
      <c r="B4026" s="4" t="s">
        <v>348</v>
      </c>
      <c r="C4026" s="4" t="s">
        <v>283</v>
      </c>
      <c r="D4026" s="94">
        <v>6653.0</v>
      </c>
    </row>
    <row r="4027">
      <c r="A4027" s="40">
        <f t="array" ref="A4027">IFNA(index(PlayerValues!A:A,match(IFNA(vlookup(B4027,'Special Names'!A:B,2,FALSE),B4027),PlayerValues!E:E,0)),"N/A")</f>
        <v>17071</v>
      </c>
      <c r="B4027" s="4" t="s">
        <v>341</v>
      </c>
      <c r="C4027" s="4" t="s">
        <v>287</v>
      </c>
      <c r="D4027" s="94">
        <v>6645.0</v>
      </c>
    </row>
    <row r="4028">
      <c r="A4028" s="40">
        <f t="array" ref="A4028">IFNA(index(PlayerValues!A:A,match(IFNA(vlookup(B4028,'Special Names'!A:B,2,FALSE),B4028),PlayerValues!E:E,0)),"N/A")</f>
        <v>14783</v>
      </c>
      <c r="B4028" s="4" t="s">
        <v>342</v>
      </c>
      <c r="C4028" s="4" t="s">
        <v>283</v>
      </c>
      <c r="D4028" s="94">
        <v>6334.0</v>
      </c>
    </row>
    <row r="4029">
      <c r="A4029" s="40">
        <f t="array" ref="A4029">IFNA(index(PlayerValues!A:A,match(IFNA(vlookup(B4029,'Special Names'!A:B,2,FALSE),B4029),PlayerValues!E:E,0)),"N/A")</f>
        <v>15237</v>
      </c>
      <c r="B4029" s="4" t="s">
        <v>336</v>
      </c>
      <c r="C4029" s="4" t="s">
        <v>283</v>
      </c>
      <c r="D4029" s="94">
        <v>6284.0</v>
      </c>
    </row>
    <row r="4030">
      <c r="A4030" s="40">
        <f t="array" ref="A4030">IFNA(index(PlayerValues!A:A,match(IFNA(vlookup(B4030,'Special Names'!A:B,2,FALSE),B4030),PlayerValues!E:E,0)),"N/A")</f>
        <v>16582</v>
      </c>
      <c r="B4030" s="4" t="s">
        <v>343</v>
      </c>
      <c r="C4030" s="4" t="s">
        <v>283</v>
      </c>
      <c r="D4030" s="94">
        <v>6254.0</v>
      </c>
    </row>
    <row r="4031">
      <c r="A4031" s="40">
        <f t="array" ref="A4031">IFNA(index(PlayerValues!A:A,match(IFNA(vlookup(B4031,'Special Names'!A:B,2,FALSE),B4031),PlayerValues!E:E,0)),"N/A")</f>
        <v>15762</v>
      </c>
      <c r="B4031" s="4" t="s">
        <v>337</v>
      </c>
      <c r="C4031" s="4" t="s">
        <v>287</v>
      </c>
      <c r="D4031" s="94">
        <v>6067.0</v>
      </c>
    </row>
    <row r="4032">
      <c r="A4032" s="40">
        <f t="array" ref="A4032">IFNA(index(PlayerValues!A:A,match(IFNA(vlookup(B4032,'Special Names'!A:B,2,FALSE),B4032),PlayerValues!E:E,0)),"N/A")</f>
        <v>17081</v>
      </c>
      <c r="B4032" s="4" t="s">
        <v>340</v>
      </c>
      <c r="C4032" s="4" t="s">
        <v>287</v>
      </c>
      <c r="D4032" s="94">
        <v>5993.0</v>
      </c>
    </row>
    <row r="4033">
      <c r="A4033" s="40">
        <f t="array" ref="A4033">IFNA(index(PlayerValues!A:A,match(IFNA(vlookup(B4033,'Special Names'!A:B,2,FALSE),B4033),PlayerValues!E:E,0)),"N/A")</f>
        <v>17104</v>
      </c>
      <c r="B4033" s="4" t="s">
        <v>333</v>
      </c>
      <c r="C4033" s="4" t="s">
        <v>298</v>
      </c>
      <c r="D4033" s="94">
        <v>6658.0</v>
      </c>
    </row>
    <row r="4034">
      <c r="A4034" s="40">
        <f t="array" ref="A4034">IFNA(index(PlayerValues!A:A,match(IFNA(vlookup(B4034,'Special Names'!A:B,2,FALSE),B4034),PlayerValues!E:E,0)),"N/A")</f>
        <v>15715</v>
      </c>
      <c r="B4034" s="4" t="s">
        <v>331</v>
      </c>
      <c r="C4034" s="4" t="s">
        <v>278</v>
      </c>
      <c r="D4034" s="94">
        <v>5990.0</v>
      </c>
    </row>
    <row r="4035">
      <c r="A4035" s="40">
        <f t="array" ref="A4035">IFNA(index(PlayerValues!A:A,match(IFNA(vlookup(B4035,'Special Names'!A:B,2,FALSE),B4035),PlayerValues!E:E,0)),"N/A")</f>
        <v>14802</v>
      </c>
      <c r="B4035" s="4" t="s">
        <v>332</v>
      </c>
      <c r="C4035" s="4" t="s">
        <v>278</v>
      </c>
      <c r="D4035" s="94">
        <v>5987.0</v>
      </c>
    </row>
    <row r="4036">
      <c r="A4036" s="40">
        <f t="array" ref="A4036">IFNA(index(PlayerValues!A:A,match(IFNA(vlookup(B4036,'Special Names'!A:B,2,FALSE),B4036),PlayerValues!E:E,0)),"N/A")</f>
        <v>15698</v>
      </c>
      <c r="B4036" s="4" t="s">
        <v>358</v>
      </c>
      <c r="C4036" s="4" t="s">
        <v>283</v>
      </c>
      <c r="D4036" s="94">
        <v>5968.0</v>
      </c>
    </row>
    <row r="4037">
      <c r="A4037" s="40" t="str">
        <f t="array" ref="A4037">IFNA(index(PlayerValues!A:A,match(IFNA(vlookup(B4037,'Special Names'!A:B,2,FALSE),B4037),PlayerValues!E:E,0)),"N/A")</f>
        <v>N/A</v>
      </c>
      <c r="B4037" s="4" t="s">
        <v>79</v>
      </c>
      <c r="C4037" s="4" t="s">
        <v>325</v>
      </c>
      <c r="D4037" s="94">
        <v>5841.0</v>
      </c>
    </row>
    <row r="4038">
      <c r="A4038" s="40">
        <f t="array" ref="A4038">IFNA(index(PlayerValues!A:A,match(IFNA(vlookup(B4038,'Special Names'!A:B,2,FALSE),B4038),PlayerValues!E:E,0)),"N/A")</f>
        <v>15753</v>
      </c>
      <c r="B4038" s="4" t="s">
        <v>359</v>
      </c>
      <c r="C4038" s="4" t="s">
        <v>287</v>
      </c>
      <c r="D4038" s="94">
        <v>5774.0</v>
      </c>
    </row>
    <row r="4039">
      <c r="A4039" s="40">
        <f t="array" ref="A4039">IFNA(index(PlayerValues!A:A,match(IFNA(vlookup(B4039,'Special Names'!A:B,2,FALSE),B4039),PlayerValues!E:E,0)),"N/A")</f>
        <v>15290</v>
      </c>
      <c r="B4039" s="4" t="s">
        <v>355</v>
      </c>
      <c r="C4039" s="4" t="s">
        <v>287</v>
      </c>
      <c r="D4039" s="94">
        <v>5772.0</v>
      </c>
    </row>
    <row r="4040">
      <c r="A4040" s="40">
        <f t="array" ref="A4040">IFNA(index(PlayerValues!A:A,match(IFNA(vlookup(B4040,'Special Names'!A:B,2,FALSE),B4040),PlayerValues!E:E,0)),"N/A")</f>
        <v>15711</v>
      </c>
      <c r="B4040" s="4" t="s">
        <v>349</v>
      </c>
      <c r="C4040" s="4" t="s">
        <v>278</v>
      </c>
      <c r="D4040" s="94">
        <v>5764.0</v>
      </c>
    </row>
    <row r="4041">
      <c r="A4041" s="40">
        <f t="array" ref="A4041">IFNA(index(PlayerValues!A:A,match(IFNA(vlookup(B4041,'Special Names'!A:B,2,FALSE),B4041),PlayerValues!E:E,0)),"N/A")</f>
        <v>17102</v>
      </c>
      <c r="B4041" s="4" t="s">
        <v>344</v>
      </c>
      <c r="C4041" s="4" t="s">
        <v>298</v>
      </c>
      <c r="D4041" s="94">
        <v>6401.0</v>
      </c>
    </row>
    <row r="4042">
      <c r="A4042" s="40">
        <f t="array" ref="A4042">IFNA(index(PlayerValues!A:A,match(IFNA(vlookup(B4042,'Special Names'!A:B,2,FALSE),B4042),PlayerValues!E:E,0)),"N/A")</f>
        <v>14782</v>
      </c>
      <c r="B4042" s="4" t="s">
        <v>385</v>
      </c>
      <c r="C4042" s="4" t="s">
        <v>283</v>
      </c>
      <c r="D4042" s="94">
        <v>5698.0</v>
      </c>
    </row>
    <row r="4043">
      <c r="A4043" s="40">
        <f t="array" ref="A4043">IFNA(index(PlayerValues!A:A,match(IFNA(vlookup(B4043,'Special Names'!A:B,2,FALSE),B4043),PlayerValues!E:E,0)),"N/A")</f>
        <v>15754</v>
      </c>
      <c r="B4043" s="4" t="s">
        <v>354</v>
      </c>
      <c r="C4043" s="4" t="s">
        <v>287</v>
      </c>
      <c r="D4043" s="94">
        <v>5675.0</v>
      </c>
    </row>
    <row r="4044">
      <c r="A4044" s="40" t="str">
        <f t="array" ref="A4044">IFNA(index(PlayerValues!A:A,match(IFNA(vlookup(B4044,'Special Names'!A:B,2,FALSE),B4044),PlayerValues!E:E,0)),"N/A")</f>
        <v>N/A</v>
      </c>
      <c r="B4044" s="4" t="s">
        <v>93</v>
      </c>
      <c r="C4044" s="4" t="s">
        <v>325</v>
      </c>
      <c r="D4044" s="94">
        <v>5630.0</v>
      </c>
    </row>
    <row r="4045">
      <c r="A4045" s="40">
        <f t="array" ref="A4045">IFNA(index(PlayerValues!A:A,match(IFNA(vlookup(B4045,'Special Names'!A:B,2,FALSE),B4045),PlayerValues!E:E,0)),"N/A")</f>
        <v>17462</v>
      </c>
      <c r="B4045" s="4" t="s">
        <v>375</v>
      </c>
      <c r="C4045" s="4" t="s">
        <v>283</v>
      </c>
      <c r="D4045" s="94">
        <v>5595.0</v>
      </c>
    </row>
    <row r="4046">
      <c r="A4046" s="40">
        <f t="array" ref="A4046">IFNA(index(PlayerValues!A:A,match(IFNA(vlookup(B4046,'Special Names'!A:B,2,FALSE),B4046),PlayerValues!E:E,0)),"N/A")</f>
        <v>16616</v>
      </c>
      <c r="B4046" s="4" t="s">
        <v>389</v>
      </c>
      <c r="C4046" s="4" t="s">
        <v>287</v>
      </c>
      <c r="D4046" s="94">
        <v>5539.0</v>
      </c>
    </row>
    <row r="4047">
      <c r="A4047" s="40">
        <f t="array" ref="A4047">IFNA(index(PlayerValues!A:A,match(IFNA(vlookup(B4047,'Special Names'!A:B,2,FALSE),B4047),PlayerValues!E:E,0)),"N/A")</f>
        <v>17043</v>
      </c>
      <c r="B4047" s="4" t="s">
        <v>397</v>
      </c>
      <c r="C4047" s="4" t="s">
        <v>278</v>
      </c>
      <c r="D4047" s="94">
        <v>5474.0</v>
      </c>
    </row>
    <row r="4048">
      <c r="A4048" s="40">
        <f t="array" ref="A4048">IFNA(index(PlayerValues!A:A,match(IFNA(vlookup(B4048,'Special Names'!A:B,2,FALSE),B4048),PlayerValues!E:E,0)),"N/A")</f>
        <v>17051</v>
      </c>
      <c r="B4048" s="4" t="s">
        <v>386</v>
      </c>
      <c r="C4048" s="4" t="s">
        <v>278</v>
      </c>
      <c r="D4048" s="94">
        <v>5421.0</v>
      </c>
    </row>
    <row r="4049">
      <c r="A4049" s="40">
        <f t="array" ref="A4049">IFNA(index(PlayerValues!A:A,match(IFNA(vlookup(B4049,'Special Names'!A:B,2,FALSE),B4049),PlayerValues!E:E,0)),"N/A")</f>
        <v>16627</v>
      </c>
      <c r="B4049" s="4" t="s">
        <v>351</v>
      </c>
      <c r="C4049" s="4" t="s">
        <v>287</v>
      </c>
      <c r="D4049" s="94">
        <v>5399.0</v>
      </c>
    </row>
    <row r="4050">
      <c r="A4050" s="40">
        <f t="array" ref="A4050">IFNA(index(PlayerValues!A:A,match(IFNA(vlookup(B4050,'Special Names'!A:B,2,FALSE),B4050),PlayerValues!E:E,0)),"N/A")</f>
        <v>17070</v>
      </c>
      <c r="B4050" s="4" t="s">
        <v>370</v>
      </c>
      <c r="C4050" s="4" t="s">
        <v>287</v>
      </c>
      <c r="D4050" s="94">
        <v>5376.0</v>
      </c>
    </row>
    <row r="4051">
      <c r="A4051" s="40">
        <f t="array" ref="A4051">IFNA(index(PlayerValues!A:A,match(IFNA(vlookup(B4051,'Special Names'!A:B,2,FALSE),B4051),PlayerValues!E:E,0)),"N/A")</f>
        <v>15708</v>
      </c>
      <c r="B4051" s="4" t="s">
        <v>382</v>
      </c>
      <c r="C4051" s="4" t="s">
        <v>278</v>
      </c>
      <c r="D4051" s="94">
        <v>5354.0</v>
      </c>
    </row>
    <row r="4052">
      <c r="A4052" s="40">
        <f t="array" ref="A4052">IFNA(index(PlayerValues!A:A,match(IFNA(vlookup(B4052,'Special Names'!A:B,2,FALSE),B4052),PlayerValues!E:E,0)),"N/A")</f>
        <v>17497</v>
      </c>
      <c r="B4052" s="4" t="s">
        <v>365</v>
      </c>
      <c r="C4052" s="4" t="s">
        <v>287</v>
      </c>
      <c r="D4052" s="94">
        <v>5201.0</v>
      </c>
    </row>
    <row r="4053">
      <c r="A4053" s="40">
        <f t="array" ref="A4053">IFNA(index(PlayerValues!A:A,match(IFNA(vlookup(B4053,'Special Names'!A:B,2,FALSE),B4053),PlayerValues!E:E,0)),"N/A")</f>
        <v>17030</v>
      </c>
      <c r="B4053" s="4" t="s">
        <v>406</v>
      </c>
      <c r="C4053" s="4" t="s">
        <v>283</v>
      </c>
      <c r="D4053" s="94">
        <v>5147.0</v>
      </c>
    </row>
    <row r="4054">
      <c r="A4054" s="40">
        <f t="array" ref="A4054">IFNA(index(PlayerValues!A:A,match(IFNA(vlookup(B4054,'Special Names'!A:B,2,FALSE),B4054),PlayerValues!E:E,0)),"N/A")</f>
        <v>13130</v>
      </c>
      <c r="B4054" s="4" t="s">
        <v>374</v>
      </c>
      <c r="C4054" s="4" t="s">
        <v>278</v>
      </c>
      <c r="D4054" s="94">
        <v>5130.0</v>
      </c>
    </row>
    <row r="4055">
      <c r="A4055" s="40">
        <f t="array" ref="A4055">IFNA(index(PlayerValues!A:A,match(IFNA(vlookup(B4055,'Special Names'!A:B,2,FALSE),B4055),PlayerValues!E:E,0)),"N/A")</f>
        <v>17499</v>
      </c>
      <c r="B4055" s="4" t="s">
        <v>402</v>
      </c>
      <c r="C4055" s="4" t="s">
        <v>287</v>
      </c>
      <c r="D4055" s="94">
        <v>5100.0</v>
      </c>
    </row>
    <row r="4056">
      <c r="A4056" s="40">
        <f t="array" ref="A4056">IFNA(index(PlayerValues!A:A,match(IFNA(vlookup(B4056,'Special Names'!A:B,2,FALSE),B4056),PlayerValues!E:E,0)),"N/A")</f>
        <v>16598</v>
      </c>
      <c r="B4056" s="4" t="s">
        <v>408</v>
      </c>
      <c r="C4056" s="4" t="s">
        <v>278</v>
      </c>
      <c r="D4056" s="94">
        <v>5093.0</v>
      </c>
    </row>
    <row r="4057">
      <c r="A4057" s="40">
        <f t="array" ref="A4057">IFNA(index(PlayerValues!A:A,match(IFNA(vlookup(B4057,'Special Names'!A:B,2,FALSE),B4057),PlayerValues!E:E,0)),"N/A")</f>
        <v>12620</v>
      </c>
      <c r="B4057" s="4" t="s">
        <v>394</v>
      </c>
      <c r="C4057" s="4" t="s">
        <v>283</v>
      </c>
      <c r="D4057" s="94">
        <v>5061.0</v>
      </c>
    </row>
    <row r="4058">
      <c r="A4058" s="40">
        <f t="array" ref="A4058">IFNA(index(PlayerValues!A:A,match(IFNA(vlookup(B4058,'Special Names'!A:B,2,FALSE),B4058),PlayerValues!E:E,0)),"N/A")</f>
        <v>16614</v>
      </c>
      <c r="B4058" s="4" t="s">
        <v>403</v>
      </c>
      <c r="C4058" s="4" t="s">
        <v>287</v>
      </c>
      <c r="D4058" s="94">
        <v>4999.0</v>
      </c>
    </row>
    <row r="4059">
      <c r="A4059" s="40" t="str">
        <f t="array" ref="A4059">IFNA(index(PlayerValues!A:A,match(IFNA(vlookup(B4059,'Special Names'!A:B,2,FALSE),B4059),PlayerValues!E:E,0)),"N/A")</f>
        <v>N/A</v>
      </c>
      <c r="B4059" s="4" t="s">
        <v>104</v>
      </c>
      <c r="C4059" s="4" t="s">
        <v>325</v>
      </c>
      <c r="D4059" s="94">
        <v>4990.0</v>
      </c>
    </row>
    <row r="4060">
      <c r="A4060" s="40">
        <f t="array" ref="A4060">IFNA(index(PlayerValues!A:A,match(IFNA(vlookup(B4060,'Special Names'!A:B,2,FALSE),B4060),PlayerValues!E:E,0)),"N/A")</f>
        <v>16181</v>
      </c>
      <c r="B4060" s="4" t="s">
        <v>350</v>
      </c>
      <c r="C4060" s="4" t="s">
        <v>278</v>
      </c>
      <c r="D4060" s="94">
        <v>4962.0</v>
      </c>
    </row>
    <row r="4061">
      <c r="A4061" s="40">
        <f t="array" ref="A4061">IFNA(index(PlayerValues!A:A,match(IFNA(vlookup(B4061,'Special Names'!A:B,2,FALSE),B4061),PlayerValues!E:E,0)),"N/A")</f>
        <v>17103</v>
      </c>
      <c r="B4061" s="4" t="s">
        <v>405</v>
      </c>
      <c r="C4061" s="4" t="s">
        <v>298</v>
      </c>
      <c r="D4061" s="94">
        <v>5536.0</v>
      </c>
    </row>
    <row r="4062">
      <c r="A4062" s="40">
        <f t="array" ref="A4062">IFNA(index(PlayerValues!A:A,match(IFNA(vlookup(B4062,'Special Names'!A:B,2,FALSE),B4062),PlayerValues!E:E,0)),"N/A")</f>
        <v>16618</v>
      </c>
      <c r="B4062" s="4" t="s">
        <v>411</v>
      </c>
      <c r="C4062" s="4" t="s">
        <v>287</v>
      </c>
      <c r="D4062" s="94">
        <v>4929.0</v>
      </c>
    </row>
    <row r="4063">
      <c r="A4063" s="40">
        <f t="array" ref="A4063">IFNA(index(PlayerValues!A:A,match(IFNA(vlookup(B4063,'Special Names'!A:B,2,FALSE),B4063),PlayerValues!E:E,0)),"N/A")</f>
        <v>15282</v>
      </c>
      <c r="B4063" s="4" t="s">
        <v>364</v>
      </c>
      <c r="C4063" s="4" t="s">
        <v>287</v>
      </c>
      <c r="D4063" s="94">
        <v>4919.0</v>
      </c>
    </row>
    <row r="4064">
      <c r="A4064" s="40">
        <f t="array" ref="A4064">IFNA(index(PlayerValues!A:A,match(IFNA(vlookup(B4064,'Special Names'!A:B,2,FALSE),B4064),PlayerValues!E:E,0)),"N/A")</f>
        <v>14835</v>
      </c>
      <c r="B4064" s="4" t="s">
        <v>392</v>
      </c>
      <c r="C4064" s="4" t="s">
        <v>287</v>
      </c>
      <c r="D4064" s="94">
        <v>4917.0</v>
      </c>
    </row>
    <row r="4065">
      <c r="A4065" s="40">
        <f t="array" ref="A4065">IFNA(index(PlayerValues!A:A,match(IFNA(vlookup(B4065,'Special Names'!A:B,2,FALSE),B4065),PlayerValues!E:E,0)),"N/A")</f>
        <v>13604</v>
      </c>
      <c r="B4065" s="4" t="s">
        <v>378</v>
      </c>
      <c r="C4065" s="4" t="s">
        <v>278</v>
      </c>
      <c r="D4065" s="94">
        <v>4911.0</v>
      </c>
    </row>
    <row r="4066">
      <c r="A4066" s="40">
        <f t="array" ref="A4066">IFNA(index(PlayerValues!A:A,match(IFNA(vlookup(B4066,'Special Names'!A:B,2,FALSE),B4066),PlayerValues!E:E,0)),"N/A")</f>
        <v>15284</v>
      </c>
      <c r="B4066" s="4" t="s">
        <v>390</v>
      </c>
      <c r="C4066" s="4" t="s">
        <v>287</v>
      </c>
      <c r="D4066" s="94">
        <v>4867.0</v>
      </c>
    </row>
    <row r="4067">
      <c r="A4067" s="40">
        <f t="array" ref="A4067">IFNA(index(PlayerValues!A:A,match(IFNA(vlookup(B4067,'Special Names'!A:B,2,FALSE),B4067),PlayerValues!E:E,0)),"N/A")</f>
        <v>15710</v>
      </c>
      <c r="B4067" s="4" t="s">
        <v>395</v>
      </c>
      <c r="C4067" s="4" t="s">
        <v>278</v>
      </c>
      <c r="D4067" s="94">
        <v>4845.0</v>
      </c>
    </row>
    <row r="4068">
      <c r="A4068" s="40">
        <f t="array" ref="A4068">IFNA(index(PlayerValues!A:A,match(IFNA(vlookup(B4068,'Special Names'!A:B,2,FALSE),B4068),PlayerValues!E:E,0)),"N/A")</f>
        <v>17498</v>
      </c>
      <c r="B4068" s="4" t="s">
        <v>396</v>
      </c>
      <c r="C4068" s="4" t="s">
        <v>287</v>
      </c>
      <c r="D4068" s="94">
        <v>4811.0</v>
      </c>
    </row>
    <row r="4069">
      <c r="A4069" s="40">
        <f t="array" ref="A4069">IFNA(index(PlayerValues!A:A,match(IFNA(vlookup(B4069,'Special Names'!A:B,2,FALSE),B4069),PlayerValues!E:E,0)),"N/A")</f>
        <v>16194</v>
      </c>
      <c r="B4069" s="4" t="s">
        <v>398</v>
      </c>
      <c r="C4069" s="4" t="s">
        <v>287</v>
      </c>
      <c r="D4069" s="94">
        <v>4801.0</v>
      </c>
    </row>
    <row r="4070">
      <c r="A4070" s="40">
        <f t="array" ref="A4070">IFNA(index(PlayerValues!A:A,match(IFNA(vlookup(B4070,'Special Names'!A:B,2,FALSE),B4070),PlayerValues!E:E,0)),"N/A")</f>
        <v>16150</v>
      </c>
      <c r="B4070" s="4" t="s">
        <v>414</v>
      </c>
      <c r="C4070" s="4" t="s">
        <v>283</v>
      </c>
      <c r="D4070" s="94">
        <v>4794.0</v>
      </c>
    </row>
    <row r="4071">
      <c r="A4071" s="40">
        <f t="array" ref="A4071">IFNA(index(PlayerValues!A:A,match(IFNA(vlookup(B4071,'Special Names'!A:B,2,FALSE),B4071),PlayerValues!E:E,0)),"N/A")</f>
        <v>14104</v>
      </c>
      <c r="B4071" s="4" t="s">
        <v>379</v>
      </c>
      <c r="C4071" s="4" t="s">
        <v>287</v>
      </c>
      <c r="D4071" s="94">
        <v>4786.0</v>
      </c>
    </row>
    <row r="4072">
      <c r="A4072" s="40">
        <f t="array" ref="A4072">IFNA(index(PlayerValues!A:A,match(IFNA(vlookup(B4072,'Special Names'!A:B,2,FALSE),B4072),PlayerValues!E:E,0)),"N/A")</f>
        <v>16222</v>
      </c>
      <c r="B4072" s="4" t="s">
        <v>393</v>
      </c>
      <c r="C4072" s="4" t="s">
        <v>298</v>
      </c>
      <c r="D4072" s="94">
        <v>5348.0</v>
      </c>
    </row>
    <row r="4073">
      <c r="A4073" s="40" t="str">
        <f t="array" ref="A4073">IFNA(index(PlayerValues!A:A,match(IFNA(vlookup(B4073,'Special Names'!A:B,2,FALSE),B4073),PlayerValues!E:E,0)),"N/A")</f>
        <v>N/A</v>
      </c>
      <c r="B4073" s="4" t="s">
        <v>94</v>
      </c>
      <c r="C4073" s="4" t="s">
        <v>325</v>
      </c>
      <c r="D4073" s="94">
        <v>4784.0</v>
      </c>
    </row>
    <row r="4074">
      <c r="A4074" s="40">
        <f t="array" ref="A4074">IFNA(index(PlayerValues!A:A,match(IFNA(vlookup(B4074,'Special Names'!A:B,2,FALSE),B4074),PlayerValues!E:E,0)),"N/A")</f>
        <v>13590</v>
      </c>
      <c r="B4074" s="4" t="s">
        <v>409</v>
      </c>
      <c r="C4074" s="4" t="s">
        <v>283</v>
      </c>
      <c r="D4074" s="94">
        <v>4782.0</v>
      </c>
    </row>
    <row r="4075">
      <c r="A4075" s="40">
        <f t="array" ref="A4075">IFNA(index(PlayerValues!A:A,match(IFNA(vlookup(B4075,'Special Names'!A:B,2,FALSE),B4075),PlayerValues!E:E,0)),"N/A")</f>
        <v>15756</v>
      </c>
      <c r="B4075" s="4" t="s">
        <v>399</v>
      </c>
      <c r="C4075" s="4" t="s">
        <v>287</v>
      </c>
      <c r="D4075" s="94">
        <v>4773.0</v>
      </c>
    </row>
    <row r="4076">
      <c r="A4076" s="40">
        <f t="array" ref="A4076">IFNA(index(PlayerValues!A:A,match(IFNA(vlookup(B4076,'Special Names'!A:B,2,FALSE),B4076),PlayerValues!E:E,0)),"N/A")</f>
        <v>13592</v>
      </c>
      <c r="B4076" s="4" t="s">
        <v>418</v>
      </c>
      <c r="C4076" s="4" t="s">
        <v>283</v>
      </c>
      <c r="D4076" s="94">
        <v>4768.0</v>
      </c>
    </row>
    <row r="4077">
      <c r="A4077" s="40" t="str">
        <f t="array" ref="A4077">IFNA(index(PlayerValues!A:A,match(IFNA(vlookup(B4077,'Special Names'!A:B,2,FALSE),B4077),PlayerValues!E:E,0)),"N/A")</f>
        <v>N/A</v>
      </c>
      <c r="B4077" s="4" t="s">
        <v>80</v>
      </c>
      <c r="C4077" s="4" t="s">
        <v>325</v>
      </c>
      <c r="D4077" s="94">
        <v>4750.0</v>
      </c>
    </row>
    <row r="4078">
      <c r="A4078" s="40">
        <f t="array" ref="A4078">IFNA(index(PlayerValues!A:A,match(IFNA(vlookup(B4078,'Special Names'!A:B,2,FALSE),B4078),PlayerValues!E:E,0)),"N/A")</f>
        <v>16190</v>
      </c>
      <c r="B4078" s="4" t="s">
        <v>371</v>
      </c>
      <c r="C4078" s="4" t="s">
        <v>287</v>
      </c>
      <c r="D4078" s="94">
        <v>4698.0</v>
      </c>
    </row>
    <row r="4079">
      <c r="A4079" s="40">
        <f t="array" ref="A4079">IFNA(index(PlayerValues!A:A,match(IFNA(vlookup(B4079,'Special Names'!A:B,2,FALSE),B4079),PlayerValues!E:E,0)),"N/A")</f>
        <v>15253</v>
      </c>
      <c r="B4079" s="4" t="s">
        <v>415</v>
      </c>
      <c r="C4079" s="4" t="s">
        <v>278</v>
      </c>
      <c r="D4079" s="94">
        <v>4697.0</v>
      </c>
    </row>
    <row r="4080">
      <c r="A4080" s="40">
        <f t="array" ref="A4080">IFNA(index(PlayerValues!A:A,match(IFNA(vlookup(B4080,'Special Names'!A:B,2,FALSE),B4080),PlayerValues!E:E,0)),"N/A")</f>
        <v>12611</v>
      </c>
      <c r="B4080" s="4" t="s">
        <v>410</v>
      </c>
      <c r="C4080" s="4" t="s">
        <v>283</v>
      </c>
      <c r="D4080" s="94">
        <v>4676.0</v>
      </c>
    </row>
    <row r="4081">
      <c r="A4081" s="40">
        <f t="array" ref="A4081">IFNA(index(PlayerValues!A:A,match(IFNA(vlookup(B4081,'Special Names'!A:B,2,FALSE),B4081),PlayerValues!E:E,0)),"N/A")</f>
        <v>17039</v>
      </c>
      <c r="B4081" s="4" t="s">
        <v>400</v>
      </c>
      <c r="C4081" s="4" t="s">
        <v>283</v>
      </c>
      <c r="D4081" s="94">
        <v>4632.0</v>
      </c>
    </row>
    <row r="4082">
      <c r="A4082" s="40">
        <f t="array" ref="A4082">IFNA(index(PlayerValues!A:A,match(IFNA(vlookup(B4082,'Special Names'!A:B,2,FALSE),B4082),PlayerValues!E:E,0)),"N/A")</f>
        <v>14073</v>
      </c>
      <c r="B4082" s="4" t="s">
        <v>464</v>
      </c>
      <c r="C4082" s="4" t="s">
        <v>278</v>
      </c>
      <c r="D4082" s="94">
        <v>4594.0</v>
      </c>
    </row>
    <row r="4083">
      <c r="A4083" s="40">
        <f t="array" ref="A4083">IFNA(index(PlayerValues!A:A,match(IFNA(vlookup(B4083,'Special Names'!A:B,2,FALSE),B4083),PlayerValues!E:E,0)),"N/A")</f>
        <v>15256</v>
      </c>
      <c r="B4083" s="4" t="s">
        <v>401</v>
      </c>
      <c r="C4083" s="4" t="s">
        <v>278</v>
      </c>
      <c r="D4083" s="94">
        <v>4576.0</v>
      </c>
    </row>
    <row r="4084">
      <c r="A4084" s="40">
        <f t="array" ref="A4084">IFNA(index(PlayerValues!A:A,match(IFNA(vlookup(B4084,'Special Names'!A:B,2,FALSE),B4084),PlayerValues!E:E,0)),"N/A")</f>
        <v>16214</v>
      </c>
      <c r="B4084" s="4" t="s">
        <v>413</v>
      </c>
      <c r="C4084" s="4" t="s">
        <v>298</v>
      </c>
      <c r="D4084" s="94">
        <v>5097.0</v>
      </c>
    </row>
    <row r="4085">
      <c r="A4085" s="40" t="str">
        <f t="array" ref="A4085">IFNA(index(PlayerValues!A:A,match(IFNA(vlookup(B4085,'Special Names'!A:B,2,FALSE),B4085),PlayerValues!E:E,0)),"N/A")</f>
        <v>N/A</v>
      </c>
      <c r="B4085" s="4" t="s">
        <v>105</v>
      </c>
      <c r="C4085" s="4" t="s">
        <v>325</v>
      </c>
      <c r="D4085" s="94">
        <v>4539.0</v>
      </c>
    </row>
    <row r="4086">
      <c r="A4086" s="40">
        <f t="array" ref="A4086">IFNA(index(PlayerValues!A:A,match(IFNA(vlookup(B4086,'Special Names'!A:B,2,FALSE),B4086),PlayerValues!E:E,0)),"N/A")</f>
        <v>15329</v>
      </c>
      <c r="B4086" s="4" t="s">
        <v>416</v>
      </c>
      <c r="C4086" s="4" t="s">
        <v>298</v>
      </c>
      <c r="D4086" s="94">
        <v>5084.0</v>
      </c>
    </row>
    <row r="4087">
      <c r="A4087" s="40">
        <f t="array" ref="A4087">IFNA(index(PlayerValues!A:A,match(IFNA(vlookup(B4087,'Special Names'!A:B,2,FALSE),B4087),PlayerValues!E:E,0)),"N/A")</f>
        <v>17045</v>
      </c>
      <c r="B4087" s="4" t="s">
        <v>407</v>
      </c>
      <c r="C4087" s="4" t="s">
        <v>278</v>
      </c>
      <c r="D4087" s="94">
        <v>4525.0</v>
      </c>
    </row>
    <row r="4088">
      <c r="A4088" s="40">
        <f t="array" ref="A4088">IFNA(index(PlayerValues!A:A,match(IFNA(vlookup(B4088,'Special Names'!A:B,2,FALSE),B4088),PlayerValues!E:E,0)),"N/A")</f>
        <v>16148</v>
      </c>
      <c r="B4088" s="4" t="s">
        <v>426</v>
      </c>
      <c r="C4088" s="4" t="s">
        <v>283</v>
      </c>
      <c r="D4088" s="94">
        <v>4518.0</v>
      </c>
    </row>
    <row r="4089">
      <c r="A4089" s="40">
        <f t="array" ref="A4089">IFNA(index(PlayerValues!A:A,match(IFNA(vlookup(B4089,'Special Names'!A:B,2,FALSE),B4089),PlayerValues!E:E,0)),"N/A")</f>
        <v>17543</v>
      </c>
      <c r="B4089" s="4" t="s">
        <v>436</v>
      </c>
      <c r="C4089" s="4" t="s">
        <v>298</v>
      </c>
      <c r="D4089" s="94">
        <v>4944.0</v>
      </c>
    </row>
    <row r="4090">
      <c r="A4090" s="40">
        <f t="array" ref="A4090">IFNA(index(PlayerValues!A:A,match(IFNA(vlookup(B4090,'Special Names'!A:B,2,FALSE),B4090),PlayerValues!E:E,0)),"N/A")</f>
        <v>14056</v>
      </c>
      <c r="B4090" s="4" t="s">
        <v>423</v>
      </c>
      <c r="C4090" s="4" t="s">
        <v>283</v>
      </c>
      <c r="D4090" s="94">
        <v>4398.0</v>
      </c>
    </row>
    <row r="4091">
      <c r="A4091" s="40">
        <f t="array" ref="A4091">IFNA(index(PlayerValues!A:A,match(IFNA(vlookup(B4091,'Special Names'!A:B,2,FALSE),B4091),PlayerValues!E:E,0)),"N/A")</f>
        <v>15768</v>
      </c>
      <c r="B4091" s="4" t="s">
        <v>432</v>
      </c>
      <c r="C4091" s="4" t="s">
        <v>287</v>
      </c>
      <c r="D4091" s="94">
        <v>4340.0</v>
      </c>
    </row>
    <row r="4092">
      <c r="A4092" s="40">
        <f t="array" ref="A4092">IFNA(index(PlayerValues!A:A,match(IFNA(vlookup(B4092,'Special Names'!A:B,2,FALSE),B4092),PlayerValues!E:E,0)),"N/A")</f>
        <v>14059</v>
      </c>
      <c r="B4092" s="4" t="s">
        <v>435</v>
      </c>
      <c r="C4092" s="4" t="s">
        <v>283</v>
      </c>
      <c r="D4092" s="94">
        <v>4274.0</v>
      </c>
    </row>
    <row r="4093">
      <c r="A4093" s="40">
        <f t="array" ref="A4093">IFNA(index(PlayerValues!A:A,match(IFNA(vlookup(B4093,'Special Names'!A:B,2,FALSE),B4093),PlayerValues!E:E,0)),"N/A")</f>
        <v>15694</v>
      </c>
      <c r="B4093" s="4" t="s">
        <v>434</v>
      </c>
      <c r="C4093" s="4" t="s">
        <v>283</v>
      </c>
      <c r="D4093" s="94">
        <v>4123.0</v>
      </c>
    </row>
    <row r="4094">
      <c r="A4094" s="40">
        <f t="array" ref="A4094">IFNA(index(PlayerValues!A:A,match(IFNA(vlookup(B4094,'Special Names'!A:B,2,FALSE),B4094),PlayerValues!E:E,0)),"N/A")</f>
        <v>17052</v>
      </c>
      <c r="B4094" s="4" t="s">
        <v>417</v>
      </c>
      <c r="C4094" s="4" t="s">
        <v>278</v>
      </c>
      <c r="D4094" s="94">
        <v>3939.0</v>
      </c>
    </row>
    <row r="4095">
      <c r="A4095" s="40" t="str">
        <f t="array" ref="A4095">IFNA(index(PlayerValues!A:A,match(IFNA(vlookup(B4095,'Special Names'!A:B,2,FALSE),B4095),PlayerValues!E:E,0)),"N/A")</f>
        <v>N/A</v>
      </c>
      <c r="B4095" s="4" t="s">
        <v>107</v>
      </c>
      <c r="C4095" s="4" t="s">
        <v>325</v>
      </c>
      <c r="D4095" s="94">
        <v>3938.0</v>
      </c>
    </row>
    <row r="4096">
      <c r="A4096" s="40" t="str">
        <f t="array" ref="A4096">IFNA(index(PlayerValues!A:A,match(IFNA(vlookup(B4096,'Special Names'!A:B,2,FALSE),B4096),PlayerValues!E:E,0)),"N/A")</f>
        <v>N/A</v>
      </c>
      <c r="B4096" s="4" t="s">
        <v>81</v>
      </c>
      <c r="C4096" s="4" t="s">
        <v>325</v>
      </c>
      <c r="D4096" s="94">
        <v>3927.0</v>
      </c>
    </row>
    <row r="4097">
      <c r="A4097" s="40">
        <f t="array" ref="A4097">IFNA(index(PlayerValues!A:A,match(IFNA(vlookup(B4097,'Special Names'!A:B,2,FALSE),B4097),PlayerValues!E:E,0)),"N/A")</f>
        <v>16186</v>
      </c>
      <c r="B4097" s="4" t="s">
        <v>425</v>
      </c>
      <c r="C4097" s="4" t="s">
        <v>287</v>
      </c>
      <c r="D4097" s="94">
        <v>3926.0</v>
      </c>
    </row>
    <row r="4098">
      <c r="A4098" s="40">
        <f t="array" ref="A4098">IFNA(index(PlayerValues!A:A,match(IFNA(vlookup(B4098,'Special Names'!A:B,2,FALSE),B4098),PlayerValues!E:E,0)),"N/A")</f>
        <v>13635</v>
      </c>
      <c r="B4098" s="4" t="s">
        <v>424</v>
      </c>
      <c r="C4098" s="4" t="s">
        <v>287</v>
      </c>
      <c r="D4098" s="94">
        <v>3905.0</v>
      </c>
    </row>
    <row r="4099">
      <c r="A4099" s="40">
        <f t="array" ref="A4099">IFNA(index(PlayerValues!A:A,match(IFNA(vlookup(B4099,'Special Names'!A:B,2,FALSE),B4099),PlayerValues!E:E,0)),"N/A")</f>
        <v>17099</v>
      </c>
      <c r="B4099" s="4" t="s">
        <v>474</v>
      </c>
      <c r="C4099" s="4" t="s">
        <v>298</v>
      </c>
      <c r="D4099" s="94">
        <v>4349.0</v>
      </c>
    </row>
    <row r="4100">
      <c r="A4100" s="40">
        <f t="array" ref="A4100">IFNA(index(PlayerValues!A:A,match(IFNA(vlookup(B4100,'Special Names'!A:B,2,FALSE),B4100),PlayerValues!E:E,0)),"N/A")</f>
        <v>12626</v>
      </c>
      <c r="B4100" s="4" t="s">
        <v>419</v>
      </c>
      <c r="C4100" s="4" t="s">
        <v>278</v>
      </c>
      <c r="D4100" s="94">
        <v>3771.0</v>
      </c>
    </row>
    <row r="4101">
      <c r="A4101" s="40">
        <f t="array" ref="A4101">IFNA(index(PlayerValues!A:A,match(IFNA(vlookup(B4101,'Special Names'!A:B,2,FALSE),B4101),PlayerValues!E:E,0)),"N/A")</f>
        <v>17068</v>
      </c>
      <c r="B4101" s="4" t="s">
        <v>450</v>
      </c>
      <c r="C4101" s="4" t="s">
        <v>278</v>
      </c>
      <c r="D4101" s="94">
        <v>3761.0</v>
      </c>
    </row>
    <row r="4102">
      <c r="A4102" s="40">
        <f t="array" ref="A4102">IFNA(index(PlayerValues!A:A,match(IFNA(vlookup(B4102,'Special Names'!A:B,2,FALSE),B4102),PlayerValues!E:E,0)),"N/A")</f>
        <v>9431</v>
      </c>
      <c r="B4102" s="4" t="s">
        <v>428</v>
      </c>
      <c r="C4102" s="4" t="s">
        <v>283</v>
      </c>
      <c r="D4102" s="94">
        <v>3747.0</v>
      </c>
    </row>
    <row r="4103">
      <c r="A4103" s="40">
        <f t="array" ref="A4103">IFNA(index(PlayerValues!A:A,match(IFNA(vlookup(B4103,'Special Names'!A:B,2,FALSE),B4103),PlayerValues!E:E,0)),"N/A")</f>
        <v>17501</v>
      </c>
      <c r="B4103" s="4" t="s">
        <v>404</v>
      </c>
      <c r="C4103" s="4" t="s">
        <v>287</v>
      </c>
      <c r="D4103" s="94">
        <v>3740.0</v>
      </c>
    </row>
    <row r="4104">
      <c r="A4104" s="40" t="str">
        <f t="array" ref="A4104">IFNA(index(PlayerValues!A:A,match(IFNA(vlookup(B4104,'Special Names'!A:B,2,FALSE),B4104),PlayerValues!E:E,0)),"N/A")</f>
        <v>N/A</v>
      </c>
      <c r="B4104" s="4" t="s">
        <v>95</v>
      </c>
      <c r="C4104" s="4" t="s">
        <v>325</v>
      </c>
      <c r="D4104" s="94">
        <v>3734.0</v>
      </c>
    </row>
    <row r="4105">
      <c r="A4105" s="40">
        <f t="array" ref="A4105">IFNA(index(PlayerValues!A:A,match(IFNA(vlookup(B4105,'Special Names'!A:B,2,FALSE),B4105),PlayerValues!E:E,0)),"N/A")</f>
        <v>16206</v>
      </c>
      <c r="B4105" s="4" t="s">
        <v>431</v>
      </c>
      <c r="C4105" s="4" t="s">
        <v>287</v>
      </c>
      <c r="D4105" s="94">
        <v>3731.0</v>
      </c>
    </row>
    <row r="4106">
      <c r="A4106" s="40">
        <f t="array" ref="A4106">IFNA(index(PlayerValues!A:A,match(IFNA(vlookup(B4106,'Special Names'!A:B,2,FALSE),B4106),PlayerValues!E:E,0)),"N/A")</f>
        <v>16169</v>
      </c>
      <c r="B4106" s="4" t="s">
        <v>457</v>
      </c>
      <c r="C4106" s="4" t="s">
        <v>278</v>
      </c>
      <c r="D4106" s="94">
        <v>3725.0</v>
      </c>
    </row>
    <row r="4107">
      <c r="A4107" s="40">
        <f t="array" ref="A4107">IFNA(index(PlayerValues!A:A,match(IFNA(vlookup(B4107,'Special Names'!A:B,2,FALSE),B4107),PlayerValues!E:E,0)),"N/A")</f>
        <v>15757</v>
      </c>
      <c r="B4107" s="4" t="s">
        <v>449</v>
      </c>
      <c r="C4107" s="4" t="s">
        <v>287</v>
      </c>
      <c r="D4107" s="94">
        <v>3707.0</v>
      </c>
    </row>
    <row r="4108">
      <c r="A4108" s="40">
        <f t="array" ref="A4108">IFNA(index(PlayerValues!A:A,match(IFNA(vlookup(B4108,'Special Names'!A:B,2,FALSE),B4108),PlayerValues!E:E,0)),"N/A")</f>
        <v>15779</v>
      </c>
      <c r="B4108" s="4" t="s">
        <v>461</v>
      </c>
      <c r="C4108" s="4" t="s">
        <v>287</v>
      </c>
      <c r="D4108" s="94">
        <v>3688.0</v>
      </c>
    </row>
    <row r="4109">
      <c r="A4109" s="40">
        <f t="array" ref="A4109">IFNA(index(PlayerValues!A:A,match(IFNA(vlookup(B4109,'Special Names'!A:B,2,FALSE),B4109),PlayerValues!E:E,0)),"N/A")</f>
        <v>17074</v>
      </c>
      <c r="B4109" s="4" t="s">
        <v>475</v>
      </c>
      <c r="C4109" s="4" t="s">
        <v>287</v>
      </c>
      <c r="D4109" s="94">
        <v>3668.0</v>
      </c>
    </row>
    <row r="4110">
      <c r="A4110" s="40">
        <f t="array" ref="A4110">IFNA(index(PlayerValues!A:A,match(IFNA(vlookup(B4110,'Special Names'!A:B,2,FALSE),B4110),PlayerValues!E:E,0)),"N/A")</f>
        <v>15789</v>
      </c>
      <c r="B4110" s="4" t="s">
        <v>421</v>
      </c>
      <c r="C4110" s="4" t="s">
        <v>287</v>
      </c>
      <c r="D4110" s="94">
        <v>3660.0</v>
      </c>
    </row>
    <row r="4111">
      <c r="A4111" s="40">
        <f t="array" ref="A4111">IFNA(index(PlayerValues!A:A,match(IFNA(vlookup(B4111,'Special Names'!A:B,2,FALSE),B4111),PlayerValues!E:E,0)),"N/A")</f>
        <v>14102</v>
      </c>
      <c r="B4111" s="4" t="s">
        <v>444</v>
      </c>
      <c r="C4111" s="4" t="s">
        <v>287</v>
      </c>
      <c r="D4111" s="94">
        <v>3638.0</v>
      </c>
    </row>
    <row r="4112">
      <c r="A4112" s="40">
        <f t="array" ref="A4112">IFNA(index(PlayerValues!A:A,match(IFNA(vlookup(B4112,'Special Names'!A:B,2,FALSE),B4112),PlayerValues!E:E,0)),"N/A")</f>
        <v>16622</v>
      </c>
      <c r="B4112" s="4" t="s">
        <v>517</v>
      </c>
      <c r="C4112" s="4" t="s">
        <v>287</v>
      </c>
      <c r="D4112" s="94">
        <v>3614.0</v>
      </c>
    </row>
    <row r="4113">
      <c r="A4113" s="40">
        <f t="array" ref="A4113">IFNA(index(PlayerValues!A:A,match(IFNA(vlookup(B4113,'Special Names'!A:B,2,FALSE),B4113),PlayerValues!E:E,0)),"N/A")</f>
        <v>16192</v>
      </c>
      <c r="B4113" s="4" t="s">
        <v>412</v>
      </c>
      <c r="C4113" s="4" t="s">
        <v>287</v>
      </c>
      <c r="D4113" s="94">
        <v>3601.0</v>
      </c>
    </row>
    <row r="4114">
      <c r="A4114" s="40">
        <f t="array" ref="A4114">IFNA(index(PlayerValues!A:A,match(IFNA(vlookup(B4114,'Special Names'!A:B,2,FALSE),B4114),PlayerValues!E:E,0)),"N/A")</f>
        <v>17083</v>
      </c>
      <c r="B4114" s="4" t="s">
        <v>479</v>
      </c>
      <c r="C4114" s="4" t="s">
        <v>287</v>
      </c>
      <c r="D4114" s="94">
        <v>3590.0</v>
      </c>
    </row>
    <row r="4115">
      <c r="A4115" s="40">
        <f t="array" ref="A4115">IFNA(index(PlayerValues!A:A,match(IFNA(vlookup(B4115,'Special Names'!A:B,2,FALSE),B4115),PlayerValues!E:E,0)),"N/A")</f>
        <v>15712</v>
      </c>
      <c r="B4115" s="4" t="s">
        <v>488</v>
      </c>
      <c r="C4115" s="4" t="s">
        <v>278</v>
      </c>
      <c r="D4115" s="94">
        <v>3576.0</v>
      </c>
    </row>
    <row r="4116">
      <c r="A4116" s="40">
        <f t="array" ref="A4116">IFNA(index(PlayerValues!A:A,match(IFNA(vlookup(B4116,'Special Names'!A:B,2,FALSE),B4116),PlayerValues!E:E,0)),"N/A")</f>
        <v>17066</v>
      </c>
      <c r="B4116" s="4" t="s">
        <v>446</v>
      </c>
      <c r="C4116" s="4" t="s">
        <v>278</v>
      </c>
      <c r="D4116" s="94">
        <v>3559.0</v>
      </c>
    </row>
    <row r="4117">
      <c r="A4117" s="40">
        <f t="array" ref="A4117">IFNA(index(PlayerValues!A:A,match(IFNA(vlookup(B4117,'Special Names'!A:B,2,FALSE),B4117),PlayerValues!E:E,0)),"N/A")</f>
        <v>11675</v>
      </c>
      <c r="B4117" s="4" t="s">
        <v>438</v>
      </c>
      <c r="C4117" s="4" t="s">
        <v>287</v>
      </c>
      <c r="D4117" s="94">
        <v>3540.0</v>
      </c>
    </row>
    <row r="4118">
      <c r="A4118" s="40">
        <f t="array" ref="A4118">IFNA(index(PlayerValues!A:A,match(IFNA(vlookup(B4118,'Special Names'!A:B,2,FALSE),B4118),PlayerValues!E:E,0)),"N/A")</f>
        <v>17075</v>
      </c>
      <c r="B4118" s="4" t="s">
        <v>429</v>
      </c>
      <c r="C4118" s="4" t="s">
        <v>287</v>
      </c>
      <c r="D4118" s="94">
        <v>3525.0</v>
      </c>
    </row>
    <row r="4119">
      <c r="A4119" s="40">
        <f t="array" ref="A4119">IFNA(index(PlayerValues!A:A,match(IFNA(vlookup(B4119,'Special Names'!A:B,2,FALSE),B4119),PlayerValues!E:E,0)),"N/A")</f>
        <v>14797</v>
      </c>
      <c r="B4119" s="4" t="s">
        <v>420</v>
      </c>
      <c r="C4119" s="4" t="s">
        <v>278</v>
      </c>
      <c r="D4119" s="94">
        <v>3524.0</v>
      </c>
    </row>
    <row r="4120">
      <c r="A4120" s="40">
        <f t="array" ref="A4120">IFNA(index(PlayerValues!A:A,match(IFNA(vlookup(B4120,'Special Names'!A:B,2,FALSE),B4120),PlayerValues!E:E,0)),"N/A")</f>
        <v>14842</v>
      </c>
      <c r="B4120" s="4" t="s">
        <v>456</v>
      </c>
      <c r="C4120" s="4" t="s">
        <v>287</v>
      </c>
      <c r="D4120" s="94">
        <v>3522.0</v>
      </c>
    </row>
    <row r="4121">
      <c r="A4121" s="40">
        <f t="array" ref="A4121">IFNA(index(PlayerValues!A:A,match(IFNA(vlookup(B4121,'Special Names'!A:B,2,FALSE),B4121),PlayerValues!E:E,0)),"N/A")</f>
        <v>15798</v>
      </c>
      <c r="B4121" s="4" t="s">
        <v>443</v>
      </c>
      <c r="C4121" s="4" t="s">
        <v>298</v>
      </c>
      <c r="D4121" s="94">
        <v>3981.0</v>
      </c>
    </row>
    <row r="4122">
      <c r="A4122" s="40">
        <f t="array" ref="A4122">IFNA(index(PlayerValues!A:A,match(IFNA(vlookup(B4122,'Special Names'!A:B,2,FALSE),B4122),PlayerValues!E:E,0)),"N/A")</f>
        <v>14071</v>
      </c>
      <c r="B4122" s="4" t="s">
        <v>440</v>
      </c>
      <c r="C4122" s="4" t="s">
        <v>278</v>
      </c>
      <c r="D4122" s="94">
        <v>3496.0</v>
      </c>
    </row>
    <row r="4123">
      <c r="A4123" s="40" t="str">
        <f t="array" ref="A4123">IFNA(index(PlayerValues!A:A,match(IFNA(vlookup(B4123,'Special Names'!A:B,2,FALSE),B4123),PlayerValues!E:E,0)),"N/A")</f>
        <v>N/A</v>
      </c>
      <c r="B4123" s="4" t="s">
        <v>96</v>
      </c>
      <c r="C4123" s="4" t="s">
        <v>325</v>
      </c>
      <c r="D4123" s="94">
        <v>3435.0</v>
      </c>
    </row>
    <row r="4124">
      <c r="A4124" s="40">
        <f t="array" ref="A4124">IFNA(index(PlayerValues!A:A,match(IFNA(vlookup(B4124,'Special Names'!A:B,2,FALSE),B4124),PlayerValues!E:E,0)),"N/A")</f>
        <v>17502</v>
      </c>
      <c r="B4124" s="4" t="s">
        <v>451</v>
      </c>
      <c r="C4124" s="4" t="s">
        <v>287</v>
      </c>
      <c r="D4124" s="94">
        <v>3410.0</v>
      </c>
    </row>
    <row r="4125">
      <c r="A4125" s="40">
        <f t="array" ref="A4125">IFNA(index(PlayerValues!A:A,match(IFNA(vlookup(B4125,'Special Names'!A:B,2,FALSE),B4125),PlayerValues!E:E,0)),"N/A")</f>
        <v>15261</v>
      </c>
      <c r="B4125" s="4" t="s">
        <v>466</v>
      </c>
      <c r="C4125" s="4" t="s">
        <v>278</v>
      </c>
      <c r="D4125" s="94">
        <v>3397.0</v>
      </c>
    </row>
    <row r="4126">
      <c r="A4126" s="40">
        <f t="array" ref="A4126">IFNA(index(PlayerValues!A:A,match(IFNA(vlookup(B4126,'Special Names'!A:B,2,FALSE),B4126),PlayerValues!E:E,0)),"N/A")</f>
        <v>16620</v>
      </c>
      <c r="B4126" s="4" t="s">
        <v>467</v>
      </c>
      <c r="C4126" s="4" t="s">
        <v>287</v>
      </c>
      <c r="D4126" s="94">
        <v>3393.0</v>
      </c>
    </row>
    <row r="4127">
      <c r="A4127" s="40">
        <f t="array" ref="A4127">IFNA(index(PlayerValues!A:A,match(IFNA(vlookup(B4127,'Special Names'!A:B,2,FALSE),B4127),PlayerValues!E:E,0)),"N/A")</f>
        <v>14109</v>
      </c>
      <c r="B4127" s="4" t="s">
        <v>437</v>
      </c>
      <c r="C4127" s="4" t="s">
        <v>287</v>
      </c>
      <c r="D4127" s="94">
        <v>3388.0</v>
      </c>
    </row>
    <row r="4128">
      <c r="A4128" s="40">
        <f t="array" ref="A4128">IFNA(index(PlayerValues!A:A,match(IFNA(vlookup(B4128,'Special Names'!A:B,2,FALSE),B4128),PlayerValues!E:E,0)),"N/A")</f>
        <v>14127</v>
      </c>
      <c r="B4128" s="4" t="s">
        <v>486</v>
      </c>
      <c r="C4128" s="4" t="s">
        <v>287</v>
      </c>
      <c r="D4128" s="94">
        <v>3385.0</v>
      </c>
    </row>
    <row r="4129">
      <c r="A4129" s="40">
        <f t="array" ref="A4129">IFNA(index(PlayerValues!A:A,match(IFNA(vlookup(B4129,'Special Names'!A:B,2,FALSE),B4129),PlayerValues!E:E,0)),"N/A")</f>
        <v>15799</v>
      </c>
      <c r="B4129" s="4" t="s">
        <v>468</v>
      </c>
      <c r="C4129" s="4" t="s">
        <v>298</v>
      </c>
      <c r="D4129" s="94">
        <v>3818.0</v>
      </c>
    </row>
    <row r="4130">
      <c r="A4130" s="40" t="str">
        <f t="array" ref="A4130">IFNA(index(PlayerValues!A:A,match(IFNA(vlookup(B4130,'Special Names'!A:B,2,FALSE),B4130),PlayerValues!E:E,0)),"N/A")</f>
        <v>N/A</v>
      </c>
      <c r="B4130" s="4" t="s">
        <v>82</v>
      </c>
      <c r="C4130" s="4" t="s">
        <v>325</v>
      </c>
      <c r="D4130" s="94">
        <v>3360.0</v>
      </c>
    </row>
    <row r="4131">
      <c r="A4131" s="40">
        <f t="array" ref="A4131">IFNA(index(PlayerValues!A:A,match(IFNA(vlookup(B4131,'Special Names'!A:B,2,FALSE),B4131),PlayerValues!E:E,0)),"N/A")</f>
        <v>17500</v>
      </c>
      <c r="B4131" s="4" t="s">
        <v>430</v>
      </c>
      <c r="C4131" s="4" t="s">
        <v>287</v>
      </c>
      <c r="D4131" s="94">
        <v>3356.0</v>
      </c>
    </row>
    <row r="4132">
      <c r="A4132" s="40">
        <f t="array" ref="A4132">IFNA(index(PlayerValues!A:A,match(IFNA(vlookup(B4132,'Special Names'!A:B,2,FALSE),B4132),PlayerValues!E:E,0)),"N/A")</f>
        <v>16187</v>
      </c>
      <c r="B4132" s="4" t="s">
        <v>441</v>
      </c>
      <c r="C4132" s="4" t="s">
        <v>287</v>
      </c>
      <c r="D4132" s="94">
        <v>3354.0</v>
      </c>
    </row>
    <row r="4133">
      <c r="A4133" s="40">
        <f t="array" ref="A4133">IFNA(index(PlayerValues!A:A,match(IFNA(vlookup(B4133,'Special Names'!A:B,2,FALSE),B4133),PlayerValues!E:E,0)),"N/A")</f>
        <v>16213</v>
      </c>
      <c r="B4133" s="4" t="s">
        <v>458</v>
      </c>
      <c r="C4133" s="4" t="s">
        <v>298</v>
      </c>
      <c r="D4133" s="94">
        <v>3802.0</v>
      </c>
    </row>
    <row r="4134">
      <c r="A4134" s="40">
        <f t="array" ref="A4134">IFNA(index(PlayerValues!A:A,match(IFNA(vlookup(B4134,'Special Names'!A:B,2,FALSE),B4134),PlayerValues!E:E,0)),"N/A")</f>
        <v>16188</v>
      </c>
      <c r="B4134" s="4" t="s">
        <v>439</v>
      </c>
      <c r="C4134" s="4" t="s">
        <v>287</v>
      </c>
      <c r="D4134" s="94">
        <v>3349.0</v>
      </c>
    </row>
    <row r="4135">
      <c r="A4135" s="40">
        <f t="array" ref="A4135">IFNA(index(PlayerValues!A:A,match(IFNA(vlookup(B4135,'Special Names'!A:B,2,FALSE),B4135),PlayerValues!E:E,0)),"N/A")</f>
        <v>11671</v>
      </c>
      <c r="B4135" s="4" t="s">
        <v>463</v>
      </c>
      <c r="C4135" s="4" t="s">
        <v>287</v>
      </c>
      <c r="D4135" s="94">
        <v>3338.0</v>
      </c>
    </row>
    <row r="4136">
      <c r="A4136" s="40">
        <f t="array" ref="A4136">IFNA(index(PlayerValues!A:A,match(IFNA(vlookup(B4136,'Special Names'!A:B,2,FALSE),B4136),PlayerValues!E:E,0)),"N/A")</f>
        <v>16184</v>
      </c>
      <c r="B4136" s="4" t="s">
        <v>445</v>
      </c>
      <c r="C4136" s="4" t="s">
        <v>287</v>
      </c>
      <c r="D4136" s="94">
        <v>3310.0</v>
      </c>
    </row>
    <row r="4137">
      <c r="A4137" s="40">
        <f t="array" ref="A4137">IFNA(index(PlayerValues!A:A,match(IFNA(vlookup(B4137,'Special Names'!A:B,2,FALSE),B4137),PlayerValues!E:E,0)),"N/A")</f>
        <v>14823</v>
      </c>
      <c r="B4137" s="4" t="s">
        <v>459</v>
      </c>
      <c r="C4137" s="4" t="s">
        <v>278</v>
      </c>
      <c r="D4137" s="94">
        <v>3307.0</v>
      </c>
    </row>
    <row r="4138">
      <c r="A4138" s="40">
        <f t="array" ref="A4138">IFNA(index(PlayerValues!A:A,match(IFNA(vlookup(B4138,'Special Names'!A:B,2,FALSE),B4138),PlayerValues!E:E,0)),"N/A")</f>
        <v>13299</v>
      </c>
      <c r="B4138" s="4" t="s">
        <v>448</v>
      </c>
      <c r="C4138" s="4" t="s">
        <v>298</v>
      </c>
      <c r="D4138" s="94">
        <v>3726.0</v>
      </c>
    </row>
    <row r="4139">
      <c r="A4139" s="40">
        <f t="array" ref="A4139">IFNA(index(PlayerValues!A:A,match(IFNA(vlookup(B4139,'Special Names'!A:B,2,FALSE),B4139),PlayerValues!E:E,0)),"N/A")</f>
        <v>16593</v>
      </c>
      <c r="B4139" s="4" t="s">
        <v>442</v>
      </c>
      <c r="C4139" s="4" t="s">
        <v>278</v>
      </c>
      <c r="D4139" s="94">
        <v>3258.0</v>
      </c>
    </row>
    <row r="4140">
      <c r="A4140" s="40">
        <f t="array" ref="A4140">IFNA(index(PlayerValues!A:A,match(IFNA(vlookup(B4140,'Special Names'!A:B,2,FALSE),B4140),PlayerValues!E:E,0)),"N/A")</f>
        <v>15742</v>
      </c>
      <c r="B4140" s="4" t="s">
        <v>447</v>
      </c>
      <c r="C4140" s="4" t="s">
        <v>278</v>
      </c>
      <c r="D4140" s="94">
        <v>3236.0</v>
      </c>
    </row>
    <row r="4141">
      <c r="A4141" s="40">
        <f t="array" ref="A4141">IFNA(index(PlayerValues!A:A,match(IFNA(vlookup(B4141,'Special Names'!A:B,2,FALSE),B4141),PlayerValues!E:E,0)),"N/A")</f>
        <v>13630</v>
      </c>
      <c r="B4141" s="4" t="s">
        <v>465</v>
      </c>
      <c r="C4141" s="4" t="s">
        <v>287</v>
      </c>
      <c r="D4141" s="94">
        <v>3188.0</v>
      </c>
    </row>
    <row r="4142">
      <c r="A4142" s="40" t="str">
        <f t="array" ref="A4142">IFNA(index(PlayerValues!A:A,match(IFNA(vlookup(B4142,'Special Names'!A:B,2,FALSE),B4142),PlayerValues!E:E,0)),"N/A")</f>
        <v>N/A</v>
      </c>
      <c r="B4142" s="4" t="s">
        <v>108</v>
      </c>
      <c r="C4142" s="4" t="s">
        <v>325</v>
      </c>
      <c r="D4142" s="94">
        <v>3120.0</v>
      </c>
    </row>
    <row r="4143">
      <c r="A4143" s="40">
        <f t="array" ref="A4143">IFNA(index(PlayerValues!A:A,match(IFNA(vlookup(B4143,'Special Names'!A:B,2,FALSE),B4143),PlayerValues!E:E,0)),"N/A")</f>
        <v>16628</v>
      </c>
      <c r="B4143" s="4" t="s">
        <v>490</v>
      </c>
      <c r="C4143" s="4" t="s">
        <v>287</v>
      </c>
      <c r="D4143" s="94">
        <v>3099.0</v>
      </c>
    </row>
    <row r="4144">
      <c r="A4144" s="40">
        <f t="array" ref="A4144">IFNA(index(PlayerValues!A:A,match(IFNA(vlookup(B4144,'Special Names'!A:B,2,FALSE),B4144),PlayerValues!E:E,0)),"N/A")</f>
        <v>16269</v>
      </c>
      <c r="B4144" s="4" t="s">
        <v>481</v>
      </c>
      <c r="C4144" s="4" t="s">
        <v>298</v>
      </c>
      <c r="D4144" s="94">
        <v>3508.0</v>
      </c>
    </row>
    <row r="4145">
      <c r="A4145" s="40">
        <f t="array" ref="A4145">IFNA(index(PlayerValues!A:A,match(IFNA(vlookup(B4145,'Special Names'!A:B,2,FALSE),B4145),PlayerValues!E:E,0)),"N/A")</f>
        <v>16583</v>
      </c>
      <c r="B4145" s="4" t="s">
        <v>493</v>
      </c>
      <c r="C4145" s="4" t="s">
        <v>283</v>
      </c>
      <c r="D4145" s="94">
        <v>3067.0</v>
      </c>
    </row>
    <row r="4146">
      <c r="A4146" s="40">
        <f t="array" ref="A4146">IFNA(index(PlayerValues!A:A,match(IFNA(vlookup(B4146,'Special Names'!A:B,2,FALSE),B4146),PlayerValues!E:E,0)),"N/A")</f>
        <v>14800</v>
      </c>
      <c r="B4146" s="4" t="s">
        <v>472</v>
      </c>
      <c r="C4146" s="4" t="s">
        <v>278</v>
      </c>
      <c r="D4146" s="94">
        <v>3060.0</v>
      </c>
    </row>
    <row r="4147">
      <c r="A4147" s="40" t="str">
        <f t="array" ref="A4147">IFNA(index(PlayerValues!A:A,match(IFNA(vlookup(B4147,'Special Names'!A:B,2,FALSE),B4147),PlayerValues!E:E,0)),"N/A")</f>
        <v>N/A</v>
      </c>
      <c r="B4147" s="4" t="s">
        <v>97</v>
      </c>
      <c r="C4147" s="4" t="s">
        <v>325</v>
      </c>
      <c r="D4147" s="94">
        <v>3060.0</v>
      </c>
    </row>
    <row r="4148">
      <c r="A4148" s="40">
        <f t="array" ref="A4148">IFNA(index(PlayerValues!A:A,match(IFNA(vlookup(B4148,'Special Names'!A:B,2,FALSE),B4148),PlayerValues!E:E,0)),"N/A")</f>
        <v>16080</v>
      </c>
      <c r="B4148" s="4" t="s">
        <v>499</v>
      </c>
      <c r="C4148" s="4" t="s">
        <v>287</v>
      </c>
      <c r="D4148" s="94">
        <v>3053.0</v>
      </c>
    </row>
    <row r="4149">
      <c r="A4149" s="40">
        <f t="array" ref="A4149">IFNA(index(PlayerValues!A:A,match(IFNA(vlookup(B4149,'Special Names'!A:B,2,FALSE),B4149),PlayerValues!E:E,0)),"N/A")</f>
        <v>16809</v>
      </c>
      <c r="B4149" s="4" t="s">
        <v>455</v>
      </c>
      <c r="C4149" s="4" t="s">
        <v>287</v>
      </c>
      <c r="D4149" s="94">
        <v>3046.0</v>
      </c>
    </row>
    <row r="4150">
      <c r="A4150" s="40">
        <f t="array" ref="A4150">IFNA(index(PlayerValues!A:A,match(IFNA(vlookup(B4150,'Special Names'!A:B,2,FALSE),B4150),PlayerValues!E:E,0)),"N/A")</f>
        <v>15761</v>
      </c>
      <c r="B4150" s="4" t="s">
        <v>491</v>
      </c>
      <c r="C4150" s="4" t="s">
        <v>287</v>
      </c>
      <c r="D4150" s="94">
        <v>3037.0</v>
      </c>
    </row>
    <row r="4151">
      <c r="A4151" s="40" t="str">
        <f t="array" ref="A4151">IFNA(index(PlayerValues!A:A,match(IFNA(vlookup(B4151,'Special Names'!A:B,2,FALSE),B4151),PlayerValues!E:E,0)),"N/A")</f>
        <v>N/A</v>
      </c>
      <c r="B4151" s="4" t="s">
        <v>84</v>
      </c>
      <c r="C4151" s="4" t="s">
        <v>325</v>
      </c>
      <c r="D4151" s="94">
        <v>3020.0</v>
      </c>
    </row>
    <row r="4152">
      <c r="A4152" s="40">
        <f t="array" ref="A4152">IFNA(index(PlayerValues!A:A,match(IFNA(vlookup(B4152,'Special Names'!A:B,2,FALSE),B4152),PlayerValues!E:E,0)),"N/A")</f>
        <v>17463</v>
      </c>
      <c r="B4152" s="4" t="s">
        <v>433</v>
      </c>
      <c r="C4152" s="4" t="s">
        <v>283</v>
      </c>
      <c r="D4152" s="94">
        <v>3017.0</v>
      </c>
    </row>
    <row r="4153">
      <c r="A4153" s="40">
        <f t="array" ref="A4153">IFNA(index(PlayerValues!A:A,match(IFNA(vlookup(B4153,'Special Names'!A:B,2,FALSE),B4153),PlayerValues!E:E,0)),"N/A")</f>
        <v>15259</v>
      </c>
      <c r="B4153" s="4" t="s">
        <v>453</v>
      </c>
      <c r="C4153" s="4" t="s">
        <v>278</v>
      </c>
      <c r="D4153" s="94">
        <v>2993.0</v>
      </c>
    </row>
    <row r="4154">
      <c r="A4154" s="40">
        <f t="array" ref="A4154">IFNA(index(PlayerValues!A:A,match(IFNA(vlookup(B4154,'Special Names'!A:B,2,FALSE),B4154),PlayerValues!E:E,0)),"N/A")</f>
        <v>17473</v>
      </c>
      <c r="B4154" s="4" t="s">
        <v>391</v>
      </c>
      <c r="C4154" s="4" t="s">
        <v>278</v>
      </c>
      <c r="D4154" s="94">
        <v>2975.0</v>
      </c>
    </row>
    <row r="4155">
      <c r="A4155" s="40">
        <f t="array" ref="A4155">IFNA(index(PlayerValues!A:A,match(IFNA(vlookup(B4155,'Special Names'!A:B,2,FALSE),B4155),PlayerValues!E:E,0)),"N/A")</f>
        <v>16597</v>
      </c>
      <c r="B4155" s="4" t="s">
        <v>427</v>
      </c>
      <c r="C4155" s="4" t="s">
        <v>278</v>
      </c>
      <c r="D4155" s="94">
        <v>2939.0</v>
      </c>
    </row>
    <row r="4156">
      <c r="A4156" s="40">
        <f t="array" ref="A4156">IFNA(index(PlayerValues!A:A,match(IFNA(vlookup(B4156,'Special Names'!A:B,2,FALSE),B4156),PlayerValues!E:E,0)),"N/A")</f>
        <v>15255</v>
      </c>
      <c r="B4156" s="4" t="s">
        <v>477</v>
      </c>
      <c r="C4156" s="4" t="s">
        <v>278</v>
      </c>
      <c r="D4156" s="94">
        <v>2927.0</v>
      </c>
    </row>
    <row r="4157">
      <c r="A4157" s="40">
        <f t="array" ref="A4157">IFNA(index(PlayerValues!A:A,match(IFNA(vlookup(B4157,'Special Names'!A:B,2,FALSE),B4157),PlayerValues!E:E,0)),"N/A")</f>
        <v>17106</v>
      </c>
      <c r="B4157" s="4" t="s">
        <v>550</v>
      </c>
      <c r="C4157" s="4" t="s">
        <v>298</v>
      </c>
      <c r="D4157" s="94">
        <v>3348.0</v>
      </c>
    </row>
    <row r="4158">
      <c r="A4158" s="40">
        <f t="array" ref="A4158">IFNA(index(PlayerValues!A:A,match(IFNA(vlookup(B4158,'Special Names'!A:B,2,FALSE),B4158),PlayerValues!E:E,0)),"N/A")</f>
        <v>15241</v>
      </c>
      <c r="B4158" s="4" t="s">
        <v>546</v>
      </c>
      <c r="C4158" s="4" t="s">
        <v>283</v>
      </c>
      <c r="D4158" s="94">
        <v>2921.0</v>
      </c>
    </row>
    <row r="4159">
      <c r="A4159" s="40" t="str">
        <f t="array" ref="A4159">IFNA(index(PlayerValues!A:A,match(IFNA(vlookup(B4159,'Special Names'!A:B,2,FALSE),B4159),PlayerValues!E:E,0)),"N/A")</f>
        <v>N/A</v>
      </c>
      <c r="B4159" s="4" t="s">
        <v>109</v>
      </c>
      <c r="C4159" s="4" t="s">
        <v>325</v>
      </c>
      <c r="D4159" s="94">
        <v>2913.0</v>
      </c>
    </row>
    <row r="4160">
      <c r="A4160" s="40">
        <f t="array" ref="A4160">IFNA(index(PlayerValues!A:A,match(IFNA(vlookup(B4160,'Special Names'!A:B,2,FALSE),B4160),PlayerValues!E:E,0)),"N/A")</f>
        <v>16584</v>
      </c>
      <c r="B4160" s="4" t="s">
        <v>569</v>
      </c>
      <c r="C4160" s="4" t="s">
        <v>283</v>
      </c>
      <c r="D4160" s="94">
        <v>2903.0</v>
      </c>
    </row>
    <row r="4161">
      <c r="A4161" s="40">
        <f t="array" ref="A4161">IFNA(index(PlayerValues!A:A,match(IFNA(vlookup(B4161,'Special Names'!A:B,2,FALSE),B4161),PlayerValues!E:E,0)),"N/A")</f>
        <v>16723</v>
      </c>
      <c r="B4161" s="4" t="s">
        <v>502</v>
      </c>
      <c r="C4161" s="4" t="s">
        <v>298</v>
      </c>
      <c r="D4161" s="94">
        <v>3316.0</v>
      </c>
    </row>
    <row r="4162">
      <c r="A4162" s="40">
        <f t="array" ref="A4162">IFNA(index(PlayerValues!A:A,match(IFNA(vlookup(B4162,'Special Names'!A:B,2,FALSE),B4162),PlayerValues!E:E,0)),"N/A")</f>
        <v>16193</v>
      </c>
      <c r="B4162" s="4" t="s">
        <v>487</v>
      </c>
      <c r="C4162" s="4" t="s">
        <v>287</v>
      </c>
      <c r="D4162" s="94">
        <v>2893.0</v>
      </c>
    </row>
    <row r="4163">
      <c r="A4163" s="40" t="str">
        <f t="array" ref="A4163">IFNA(index(PlayerValues!A:A,match(IFNA(vlookup(B4163,'Special Names'!A:B,2,FALSE),B4163),PlayerValues!E:E,0)),"N/A")</f>
        <v>N/A</v>
      </c>
      <c r="B4163" s="4" t="s">
        <v>85</v>
      </c>
      <c r="C4163" s="4" t="s">
        <v>325</v>
      </c>
      <c r="D4163" s="94">
        <v>2877.0</v>
      </c>
    </row>
    <row r="4164">
      <c r="A4164" s="40">
        <f t="array" ref="A4164">IFNA(index(PlayerValues!A:A,match(IFNA(vlookup(B4164,'Special Names'!A:B,2,FALSE),B4164),PlayerValues!E:E,0)),"N/A")</f>
        <v>13163</v>
      </c>
      <c r="B4164" s="4" t="s">
        <v>473</v>
      </c>
      <c r="C4164" s="4" t="s">
        <v>287</v>
      </c>
      <c r="D4164" s="94">
        <v>2873.0</v>
      </c>
    </row>
    <row r="4165">
      <c r="A4165" s="40">
        <f t="array" ref="A4165">IFNA(index(PlayerValues!A:A,match(IFNA(vlookup(B4165,'Special Names'!A:B,2,FALSE),B4165),PlayerValues!E:E,0)),"N/A")</f>
        <v>16619</v>
      </c>
      <c r="B4165" s="4" t="s">
        <v>538</v>
      </c>
      <c r="C4165" s="4" t="s">
        <v>287</v>
      </c>
      <c r="D4165" s="94">
        <v>2862.0</v>
      </c>
    </row>
    <row r="4166">
      <c r="A4166" s="40">
        <f t="array" ref="A4166">IFNA(index(PlayerValues!A:A,match(IFNA(vlookup(B4166,'Special Names'!A:B,2,FALSE),B4166),PlayerValues!E:E,0)),"N/A")</f>
        <v>17107</v>
      </c>
      <c r="B4166" s="4" t="s">
        <v>478</v>
      </c>
      <c r="C4166" s="4" t="s">
        <v>298</v>
      </c>
      <c r="D4166" s="94">
        <v>3281.0</v>
      </c>
    </row>
    <row r="4167">
      <c r="A4167" s="40">
        <f t="array" ref="A4167">IFNA(index(PlayerValues!A:A,match(IFNA(vlookup(B4167,'Special Names'!A:B,2,FALSE),B4167),PlayerValues!E:E,0)),"N/A")</f>
        <v>17031</v>
      </c>
      <c r="B4167" s="4" t="s">
        <v>535</v>
      </c>
      <c r="C4167" s="4" t="s">
        <v>283</v>
      </c>
      <c r="D4167" s="94">
        <v>2846.0</v>
      </c>
    </row>
    <row r="4168">
      <c r="A4168" s="40">
        <f t="array" ref="A4168">IFNA(index(PlayerValues!A:A,match(IFNA(vlookup(B4168,'Special Names'!A:B,2,FALSE),B4168),PlayerValues!E:E,0)),"N/A")</f>
        <v>17072</v>
      </c>
      <c r="B4168" s="4" t="s">
        <v>508</v>
      </c>
      <c r="C4168" s="4" t="s">
        <v>287</v>
      </c>
      <c r="D4168" s="94">
        <v>2843.0</v>
      </c>
    </row>
    <row r="4169">
      <c r="A4169" s="40">
        <f t="array" ref="A4169">IFNA(index(PlayerValues!A:A,match(IFNA(vlookup(B4169,'Special Names'!A:B,2,FALSE),B4169),PlayerValues!E:E,0)),"N/A")</f>
        <v>17157</v>
      </c>
      <c r="B4169" s="4" t="s">
        <v>524</v>
      </c>
      <c r="C4169" s="4" t="s">
        <v>287</v>
      </c>
      <c r="D4169" s="94">
        <v>2836.0</v>
      </c>
    </row>
    <row r="4170">
      <c r="A4170" s="40">
        <f t="array" ref="A4170">IFNA(index(PlayerValues!A:A,match(IFNA(vlookup(B4170,'Special Names'!A:B,2,FALSE),B4170),PlayerValues!E:E,0)),"N/A")</f>
        <v>17256</v>
      </c>
      <c r="B4170" s="4" t="s">
        <v>462</v>
      </c>
      <c r="C4170" s="4" t="s">
        <v>278</v>
      </c>
      <c r="D4170" s="94">
        <v>2832.0</v>
      </c>
    </row>
    <row r="4171">
      <c r="A4171" s="40">
        <f t="array" ref="A4171">IFNA(index(PlayerValues!A:A,match(IFNA(vlookup(B4171,'Special Names'!A:B,2,FALSE),B4171),PlayerValues!E:E,0)),"N/A")</f>
        <v>14860</v>
      </c>
      <c r="B4171" s="4" t="s">
        <v>554</v>
      </c>
      <c r="C4171" s="4" t="s">
        <v>287</v>
      </c>
      <c r="D4171" s="94">
        <v>2823.0</v>
      </c>
    </row>
    <row r="4172">
      <c r="A4172" s="40">
        <f t="array" ref="A4172">IFNA(index(PlayerValues!A:A,match(IFNA(vlookup(B4172,'Special Names'!A:B,2,FALSE),B4172),PlayerValues!E:E,0)),"N/A")</f>
        <v>17053</v>
      </c>
      <c r="B4172" s="4" t="s">
        <v>484</v>
      </c>
      <c r="C4172" s="4" t="s">
        <v>278</v>
      </c>
      <c r="D4172" s="94">
        <v>2818.0</v>
      </c>
    </row>
    <row r="4173">
      <c r="A4173" s="40">
        <f t="array" ref="A4173">IFNA(index(PlayerValues!A:A,match(IFNA(vlookup(B4173,'Special Names'!A:B,2,FALSE),B4173),PlayerValues!E:E,0)),"N/A")</f>
        <v>17073</v>
      </c>
      <c r="B4173" s="4" t="s">
        <v>547</v>
      </c>
      <c r="C4173" s="4" t="s">
        <v>287</v>
      </c>
      <c r="D4173" s="94">
        <v>2814.0</v>
      </c>
    </row>
    <row r="4174">
      <c r="A4174" s="40">
        <f t="array" ref="A4174">IFNA(index(PlayerValues!A:A,match(IFNA(vlookup(B4174,'Special Names'!A:B,2,FALSE),B4174),PlayerValues!E:E,0)),"N/A")</f>
        <v>17080</v>
      </c>
      <c r="B4174" s="4" t="s">
        <v>532</v>
      </c>
      <c r="C4174" s="4" t="s">
        <v>287</v>
      </c>
      <c r="D4174" s="94">
        <v>2805.0</v>
      </c>
    </row>
    <row r="4175">
      <c r="A4175" s="40">
        <f t="array" ref="A4175">IFNA(index(PlayerValues!A:A,match(IFNA(vlookup(B4175,'Special Names'!A:B,2,FALSE),B4175),PlayerValues!E:E,0)),"N/A")</f>
        <v>17082</v>
      </c>
      <c r="B4175" s="4" t="s">
        <v>498</v>
      </c>
      <c r="C4175" s="4" t="s">
        <v>287</v>
      </c>
      <c r="D4175" s="94">
        <v>2790.0</v>
      </c>
    </row>
    <row r="4176">
      <c r="A4176" s="40">
        <f t="array" ref="A4176">IFNA(index(PlayerValues!A:A,match(IFNA(vlookup(B4176,'Special Names'!A:B,2,FALSE),B4176),PlayerValues!E:E,0)),"N/A")</f>
        <v>14138</v>
      </c>
      <c r="B4176" s="4" t="s">
        <v>531</v>
      </c>
      <c r="C4176" s="4" t="s">
        <v>298</v>
      </c>
      <c r="D4176" s="94">
        <v>3203.0</v>
      </c>
    </row>
    <row r="4177">
      <c r="A4177" s="40">
        <f t="array" ref="A4177">IFNA(index(PlayerValues!A:A,match(IFNA(vlookup(B4177,'Special Names'!A:B,2,FALSE),B4177),PlayerValues!E:E,0)),"N/A")</f>
        <v>12616</v>
      </c>
      <c r="B4177" s="4" t="s">
        <v>529</v>
      </c>
      <c r="C4177" s="4" t="s">
        <v>283</v>
      </c>
      <c r="D4177" s="94">
        <v>2772.0</v>
      </c>
    </row>
    <row r="4178">
      <c r="A4178" s="40">
        <f t="array" ref="A4178">IFNA(index(PlayerValues!A:A,match(IFNA(vlookup(B4178,'Special Names'!A:B,2,FALSE),B4178),PlayerValues!E:E,0)),"N/A")</f>
        <v>17477</v>
      </c>
      <c r="B4178" s="4" t="s">
        <v>452</v>
      </c>
      <c r="C4178" s="4" t="s">
        <v>278</v>
      </c>
      <c r="D4178" s="94">
        <v>2766.0</v>
      </c>
    </row>
    <row r="4179">
      <c r="A4179" s="40">
        <f t="array" ref="A4179">IFNA(index(PlayerValues!A:A,match(IFNA(vlookup(B4179,'Special Names'!A:B,2,FALSE),B4179),PlayerValues!E:E,0)),"N/A")</f>
        <v>15889</v>
      </c>
      <c r="B4179" s="4" t="s">
        <v>503</v>
      </c>
      <c r="C4179" s="4" t="s">
        <v>298</v>
      </c>
      <c r="D4179" s="94">
        <v>3173.0</v>
      </c>
    </row>
    <row r="4180">
      <c r="A4180" s="40">
        <f t="array" ref="A4180">IFNA(index(PlayerValues!A:A,match(IFNA(vlookup(B4180,'Special Names'!A:B,2,FALSE),B4180),PlayerValues!E:E,0)),"N/A")</f>
        <v>17098</v>
      </c>
      <c r="B4180" s="4" t="s">
        <v>533</v>
      </c>
      <c r="C4180" s="4" t="s">
        <v>287</v>
      </c>
      <c r="D4180" s="94">
        <v>2747.0</v>
      </c>
    </row>
    <row r="4181">
      <c r="A4181" s="40">
        <f t="array" ref="A4181">IFNA(index(PlayerValues!A:A,match(IFNA(vlookup(B4181,'Special Names'!A:B,2,FALSE),B4181),PlayerValues!E:E,0)),"N/A")</f>
        <v>16596</v>
      </c>
      <c r="B4181" s="4" t="s">
        <v>501</v>
      </c>
      <c r="C4181" s="4" t="s">
        <v>278</v>
      </c>
      <c r="D4181" s="94">
        <v>2740.0</v>
      </c>
    </row>
    <row r="4182">
      <c r="A4182" s="40">
        <f t="array" ref="A4182">IFNA(index(PlayerValues!A:A,match(IFNA(vlookup(B4182,'Special Names'!A:B,2,FALSE),B4182),PlayerValues!E:E,0)),"N/A")</f>
        <v>13671</v>
      </c>
      <c r="B4182" s="4" t="s">
        <v>506</v>
      </c>
      <c r="C4182" s="4" t="s">
        <v>298</v>
      </c>
      <c r="D4182" s="94">
        <v>3151.0</v>
      </c>
    </row>
    <row r="4183">
      <c r="A4183" s="40">
        <f t="array" ref="A4183">IFNA(index(PlayerValues!A:A,match(IFNA(vlookup(B4183,'Special Names'!A:B,2,FALSE),B4183),PlayerValues!E:E,0)),"N/A")</f>
        <v>17171</v>
      </c>
      <c r="B4183" s="4" t="s">
        <v>561</v>
      </c>
      <c r="C4183" s="4" t="s">
        <v>287</v>
      </c>
      <c r="D4183" s="94">
        <v>2733.0</v>
      </c>
    </row>
    <row r="4184">
      <c r="A4184" s="40" t="str">
        <f t="array" ref="A4184">IFNA(index(PlayerValues!A:A,match(IFNA(vlookup(B4184,'Special Names'!A:B,2,FALSE),B4184),PlayerValues!E:E,0)),"N/A")</f>
        <v>N/A</v>
      </c>
      <c r="B4184" s="4" t="s">
        <v>110</v>
      </c>
      <c r="C4184" s="4" t="s">
        <v>325</v>
      </c>
      <c r="D4184" s="94">
        <v>2727.0</v>
      </c>
    </row>
    <row r="4185">
      <c r="A4185" s="40">
        <f t="array" ref="A4185">IFNA(index(PlayerValues!A:A,match(IFNA(vlookup(B4185,'Special Names'!A:B,2,FALSE),B4185),PlayerValues!E:E,0)),"N/A")</f>
        <v>14778</v>
      </c>
      <c r="B4185" s="4" t="s">
        <v>564</v>
      </c>
      <c r="C4185" s="4" t="s">
        <v>283</v>
      </c>
      <c r="D4185" s="94">
        <v>2725.0</v>
      </c>
    </row>
    <row r="4186">
      <c r="A4186" s="40">
        <f t="array" ref="A4186">IFNA(index(PlayerValues!A:A,match(IFNA(vlookup(B4186,'Special Names'!A:B,2,FALSE),B4186),PlayerValues!E:E,0)),"N/A")</f>
        <v>16594</v>
      </c>
      <c r="B4186" s="4" t="s">
        <v>607</v>
      </c>
      <c r="C4186" s="4" t="s">
        <v>278</v>
      </c>
      <c r="D4186" s="94">
        <v>2717.0</v>
      </c>
    </row>
    <row r="4187">
      <c r="A4187" s="40">
        <f t="array" ref="A4187">IFNA(index(PlayerValues!A:A,match(IFNA(vlookup(B4187,'Special Names'!A:B,2,FALSE),B4187),PlayerValues!E:E,0)),"N/A")</f>
        <v>17047</v>
      </c>
      <c r="B4187" s="4" t="s">
        <v>510</v>
      </c>
      <c r="C4187" s="4" t="s">
        <v>278</v>
      </c>
      <c r="D4187" s="94">
        <v>2716.0</v>
      </c>
    </row>
    <row r="4188">
      <c r="A4188" s="40">
        <f t="array" ref="A4188">IFNA(index(PlayerValues!A:A,match(IFNA(vlookup(B4188,'Special Names'!A:B,2,FALSE),B4188),PlayerValues!E:E,0)),"N/A")</f>
        <v>14833</v>
      </c>
      <c r="B4188" s="4" t="s">
        <v>553</v>
      </c>
      <c r="C4188" s="4" t="s">
        <v>287</v>
      </c>
      <c r="D4188" s="94">
        <v>2714.0</v>
      </c>
    </row>
    <row r="4189">
      <c r="A4189" s="40">
        <f t="array" ref="A4189">IFNA(index(PlayerValues!A:A,match(IFNA(vlookup(B4189,'Special Names'!A:B,2,FALSE),B4189),PlayerValues!E:E,0)),"N/A")</f>
        <v>15972</v>
      </c>
      <c r="B4189" s="4" t="s">
        <v>469</v>
      </c>
      <c r="C4189" s="4" t="s">
        <v>278</v>
      </c>
      <c r="D4189" s="94">
        <v>2714.0</v>
      </c>
    </row>
    <row r="4190">
      <c r="A4190" s="40">
        <f t="array" ref="A4190">IFNA(index(PlayerValues!A:A,match(IFNA(vlookup(B4190,'Special Names'!A:B,2,FALSE),B4190),PlayerValues!E:E,0)),"N/A")</f>
        <v>16626</v>
      </c>
      <c r="B4190" s="4" t="s">
        <v>515</v>
      </c>
      <c r="C4190" s="4" t="s">
        <v>287</v>
      </c>
      <c r="D4190" s="94">
        <v>2712.0</v>
      </c>
    </row>
    <row r="4191">
      <c r="A4191" s="40">
        <f t="array" ref="A4191">IFNA(index(PlayerValues!A:A,match(IFNA(vlookup(B4191,'Special Names'!A:B,2,FALSE),B4191),PlayerValues!E:E,0)),"N/A")</f>
        <v>15721</v>
      </c>
      <c r="B4191" s="4" t="s">
        <v>504</v>
      </c>
      <c r="C4191" s="4" t="s">
        <v>278</v>
      </c>
      <c r="D4191" s="94">
        <v>2708.0</v>
      </c>
    </row>
    <row r="4192">
      <c r="A4192" s="40">
        <f t="array" ref="A4192">IFNA(index(PlayerValues!A:A,match(IFNA(vlookup(B4192,'Special Names'!A:B,2,FALSE),B4192),PlayerValues!E:E,0)),"N/A")</f>
        <v>13192</v>
      </c>
      <c r="B4192" s="4" t="s">
        <v>563</v>
      </c>
      <c r="C4192" s="4" t="s">
        <v>298</v>
      </c>
      <c r="D4192" s="94">
        <v>3118.0</v>
      </c>
    </row>
    <row r="4193">
      <c r="A4193" s="40">
        <f t="array" ref="A4193">IFNA(index(PlayerValues!A:A,match(IFNA(vlookup(B4193,'Special Names'!A:B,2,FALSE),B4193),PlayerValues!E:E,0)),"N/A")</f>
        <v>17134</v>
      </c>
      <c r="B4193" s="4" t="s">
        <v>548</v>
      </c>
      <c r="C4193" s="4" t="s">
        <v>287</v>
      </c>
      <c r="D4193" s="94">
        <v>2698.0</v>
      </c>
    </row>
    <row r="4194">
      <c r="A4194" s="40">
        <f t="array" ref="A4194">IFNA(index(PlayerValues!A:A,match(IFNA(vlookup(B4194,'Special Names'!A:B,2,FALSE),B4194),PlayerValues!E:E,0)),"N/A")</f>
        <v>14085</v>
      </c>
      <c r="B4194" s="4" t="s">
        <v>489</v>
      </c>
      <c r="C4194" s="4" t="s">
        <v>278</v>
      </c>
      <c r="D4194" s="94">
        <v>2668.0</v>
      </c>
    </row>
    <row r="4195">
      <c r="A4195" s="40">
        <f t="array" ref="A4195">IFNA(index(PlayerValues!A:A,match(IFNA(vlookup(B4195,'Special Names'!A:B,2,FALSE),B4195),PlayerValues!E:E,0)),"N/A")</f>
        <v>16165</v>
      </c>
      <c r="B4195" s="4" t="s">
        <v>520</v>
      </c>
      <c r="C4195" s="4" t="s">
        <v>278</v>
      </c>
      <c r="D4195" s="94">
        <v>2651.0</v>
      </c>
    </row>
    <row r="4196">
      <c r="A4196" s="40">
        <f t="array" ref="A4196">IFNA(index(PlayerValues!A:A,match(IFNA(vlookup(B4196,'Special Names'!A:B,2,FALSE),B4196),PlayerValues!E:E,0)),"N/A")</f>
        <v>13674</v>
      </c>
      <c r="B4196" s="4" t="s">
        <v>511</v>
      </c>
      <c r="C4196" s="4" t="s">
        <v>298</v>
      </c>
      <c r="D4196" s="94">
        <v>3048.0</v>
      </c>
    </row>
    <row r="4197">
      <c r="A4197" s="40">
        <f t="array" ref="A4197">IFNA(index(PlayerValues!A:A,match(IFNA(vlookup(B4197,'Special Names'!A:B,2,FALSE),B4197),PlayerValues!E:E,0)),"N/A")</f>
        <v>17544</v>
      </c>
      <c r="B4197" s="4" t="s">
        <v>470</v>
      </c>
      <c r="C4197" s="4" t="s">
        <v>298</v>
      </c>
      <c r="D4197" s="94">
        <v>3038.0</v>
      </c>
    </row>
    <row r="4198">
      <c r="A4198" s="40">
        <f t="array" ref="A4198">IFNA(index(PlayerValues!A:A,match(IFNA(vlookup(B4198,'Special Names'!A:B,2,FALSE),B4198),PlayerValues!E:E,0)),"N/A")</f>
        <v>16747</v>
      </c>
      <c r="B4198" s="4" t="s">
        <v>555</v>
      </c>
      <c r="C4198" s="4" t="s">
        <v>278</v>
      </c>
      <c r="D4198" s="94">
        <v>2589.0</v>
      </c>
    </row>
    <row r="4199">
      <c r="A4199" s="40">
        <f t="array" ref="A4199">IFNA(index(PlayerValues!A:A,match(IFNA(vlookup(B4199,'Special Names'!A:B,2,FALSE),B4199),PlayerValues!E:E,0)),"N/A")</f>
        <v>14840</v>
      </c>
      <c r="B4199" s="4" t="s">
        <v>731</v>
      </c>
      <c r="C4199" s="4" t="s">
        <v>287</v>
      </c>
      <c r="D4199" s="94">
        <v>2579.0</v>
      </c>
    </row>
    <row r="4200">
      <c r="A4200" s="40">
        <f t="array" ref="A4200">IFNA(index(PlayerValues!A:A,match(IFNA(vlookup(B4200,'Special Names'!A:B,2,FALSE),B4200),PlayerValues!E:E,0)),"N/A")</f>
        <v>17105</v>
      </c>
      <c r="B4200" s="4" t="s">
        <v>525</v>
      </c>
      <c r="C4200" s="4" t="s">
        <v>298</v>
      </c>
      <c r="D4200" s="94">
        <v>2973.0</v>
      </c>
    </row>
    <row r="4201">
      <c r="A4201" s="40" t="str">
        <f t="array" ref="A4201">IFNA(index(PlayerValues!A:A,match(IFNA(vlookup(B4201,'Special Names'!A:B,2,FALSE),B4201),PlayerValues!E:E,0)),"N/A")</f>
        <v>N/A</v>
      </c>
      <c r="B4201" s="4" t="s">
        <v>98</v>
      </c>
      <c r="C4201" s="4" t="s">
        <v>325</v>
      </c>
      <c r="D4201" s="94">
        <v>2562.0</v>
      </c>
    </row>
    <row r="4202">
      <c r="A4202" s="40">
        <f t="array" ref="A4202">IFNA(index(PlayerValues!A:A,match(IFNA(vlookup(B4202,'Special Names'!A:B,2,FALSE),B4202),PlayerValues!E:E,0)),"N/A")</f>
        <v>16617</v>
      </c>
      <c r="B4202" s="4" t="s">
        <v>541</v>
      </c>
      <c r="C4202" s="4" t="s">
        <v>287</v>
      </c>
      <c r="D4202" s="94">
        <v>2552.0</v>
      </c>
    </row>
    <row r="4203">
      <c r="A4203" s="40">
        <f t="array" ref="A4203">IFNA(index(PlayerValues!A:A,match(IFNA(vlookup(B4203,'Special Names'!A:B,2,FALSE),B4203),PlayerValues!E:E,0)),"N/A")</f>
        <v>17108</v>
      </c>
      <c r="B4203" s="4" t="s">
        <v>542</v>
      </c>
      <c r="C4203" s="4" t="s">
        <v>298</v>
      </c>
      <c r="D4203" s="94">
        <v>2954.0</v>
      </c>
    </row>
    <row r="4204">
      <c r="A4204" s="40">
        <f t="array" ref="A4204">IFNA(index(PlayerValues!A:A,match(IFNA(vlookup(B4204,'Special Names'!A:B,2,FALSE),B4204),PlayerValues!E:E,0)),"N/A")</f>
        <v>16178</v>
      </c>
      <c r="B4204" s="4" t="s">
        <v>507</v>
      </c>
      <c r="C4204" s="4" t="s">
        <v>278</v>
      </c>
      <c r="D4204" s="94">
        <v>2535.0</v>
      </c>
    </row>
    <row r="4205">
      <c r="A4205" s="40">
        <f t="array" ref="A4205">IFNA(index(PlayerValues!A:A,match(IFNA(vlookup(B4205,'Special Names'!A:B,2,FALSE),B4205),PlayerValues!E:E,0)),"N/A")</f>
        <v>16164</v>
      </c>
      <c r="B4205" s="4" t="s">
        <v>512</v>
      </c>
      <c r="C4205" s="4" t="s">
        <v>278</v>
      </c>
      <c r="D4205" s="94">
        <v>2529.0</v>
      </c>
    </row>
    <row r="4206">
      <c r="A4206" s="40" t="str">
        <f t="array" ref="A4206">IFNA(index(PlayerValues!A:A,match(IFNA(vlookup(B4206,'Special Names'!A:B,2,FALSE),B4206),PlayerValues!E:E,0)),"N/A")</f>
        <v>N/A</v>
      </c>
      <c r="B4206" s="4" t="s">
        <v>557</v>
      </c>
      <c r="C4206" s="4" t="s">
        <v>278</v>
      </c>
      <c r="D4206" s="94">
        <v>2525.0</v>
      </c>
    </row>
    <row r="4207">
      <c r="A4207" s="40">
        <f t="array" ref="A4207">IFNA(index(PlayerValues!A:A,match(IFNA(vlookup(B4207,'Special Names'!A:B,2,FALSE),B4207),PlayerValues!E:E,0)),"N/A")</f>
        <v>14136</v>
      </c>
      <c r="B4207" s="4" t="s">
        <v>536</v>
      </c>
      <c r="C4207" s="4" t="s">
        <v>287</v>
      </c>
      <c r="D4207" s="94">
        <v>2517.0</v>
      </c>
    </row>
    <row r="4208">
      <c r="A4208" s="40">
        <f t="array" ref="A4208">IFNA(index(PlayerValues!A:A,match(IFNA(vlookup(B4208,'Special Names'!A:B,2,FALSE),B4208),PlayerValues!E:E,0)),"N/A")</f>
        <v>16204</v>
      </c>
      <c r="B4208" s="4" t="s">
        <v>530</v>
      </c>
      <c r="C4208" s="4" t="s">
        <v>287</v>
      </c>
      <c r="D4208" s="94">
        <v>2514.0</v>
      </c>
    </row>
    <row r="4209">
      <c r="A4209" s="40">
        <f t="array" ref="A4209">IFNA(index(PlayerValues!A:A,match(IFNA(vlookup(B4209,'Special Names'!A:B,2,FALSE),B4209),PlayerValues!E:E,0)),"N/A")</f>
        <v>15802</v>
      </c>
      <c r="B4209" s="4" t="s">
        <v>566</v>
      </c>
      <c r="C4209" s="4" t="s">
        <v>298</v>
      </c>
      <c r="D4209" s="94">
        <v>2919.0</v>
      </c>
    </row>
    <row r="4210">
      <c r="A4210" s="40">
        <f t="array" ref="A4210">IFNA(index(PlayerValues!A:A,match(IFNA(vlookup(B4210,'Special Names'!A:B,2,FALSE),B4210),PlayerValues!E:E,0)),"N/A")</f>
        <v>16152</v>
      </c>
      <c r="B4210" s="4" t="s">
        <v>601</v>
      </c>
      <c r="C4210" s="4" t="s">
        <v>283</v>
      </c>
      <c r="D4210" s="94">
        <v>2510.0</v>
      </c>
    </row>
    <row r="4211">
      <c r="A4211" s="40">
        <f t="array" ref="A4211">IFNA(index(PlayerValues!A:A,match(IFNA(vlookup(B4211,'Special Names'!A:B,2,FALSE),B4211),PlayerValues!E:E,0)),"N/A")</f>
        <v>16166</v>
      </c>
      <c r="B4211" s="4" t="s">
        <v>567</v>
      </c>
      <c r="C4211" s="4" t="s">
        <v>278</v>
      </c>
      <c r="D4211" s="94">
        <v>2494.0</v>
      </c>
    </row>
    <row r="4212">
      <c r="A4212" s="40">
        <f t="array" ref="A4212">IFNA(index(PlayerValues!A:A,match(IFNA(vlookup(B4212,'Special Names'!A:B,2,FALSE),B4212),PlayerValues!E:E,0)),"N/A")</f>
        <v>16757</v>
      </c>
      <c r="B4212" s="4" t="s">
        <v>558</v>
      </c>
      <c r="C4212" s="4" t="s">
        <v>278</v>
      </c>
      <c r="D4212" s="94">
        <v>2469.0</v>
      </c>
    </row>
    <row r="4213">
      <c r="A4213" s="40">
        <f t="array" ref="A4213">IFNA(index(PlayerValues!A:A,match(IFNA(vlookup(B4213,'Special Names'!A:B,2,FALSE),B4213),PlayerValues!E:E,0)),"N/A")</f>
        <v>16287</v>
      </c>
      <c r="B4213" s="4" t="s">
        <v>516</v>
      </c>
      <c r="C4213" s="4" t="s">
        <v>287</v>
      </c>
      <c r="D4213" s="94">
        <v>2460.0</v>
      </c>
    </row>
    <row r="4214">
      <c r="A4214" s="40">
        <f t="array" ref="A4214">IFNA(index(PlayerValues!A:A,match(IFNA(vlookup(B4214,'Special Names'!A:B,2,FALSE),B4214),PlayerValues!E:E,0)),"N/A")</f>
        <v>17033</v>
      </c>
      <c r="B4214" s="4" t="s">
        <v>570</v>
      </c>
      <c r="C4214" s="4" t="s">
        <v>283</v>
      </c>
      <c r="D4214" s="94">
        <v>2457.0</v>
      </c>
    </row>
    <row r="4215">
      <c r="A4215" s="40">
        <f t="array" ref="A4215">IFNA(index(PlayerValues!A:A,match(IFNA(vlookup(B4215,'Special Names'!A:B,2,FALSE),B4215),PlayerValues!E:E,0)),"N/A")</f>
        <v>11244</v>
      </c>
      <c r="B4215" s="4" t="s">
        <v>519</v>
      </c>
      <c r="C4215" s="4" t="s">
        <v>298</v>
      </c>
      <c r="D4215" s="94">
        <v>2859.0</v>
      </c>
    </row>
    <row r="4216">
      <c r="A4216" s="40">
        <f t="array" ref="A4216">IFNA(index(PlayerValues!A:A,match(IFNA(vlookup(B4216,'Special Names'!A:B,2,FALSE),B4216),PlayerValues!E:E,0)),"N/A")</f>
        <v>17476</v>
      </c>
      <c r="B4216" s="4" t="s">
        <v>494</v>
      </c>
      <c r="C4216" s="4" t="s">
        <v>278</v>
      </c>
      <c r="D4216" s="94">
        <v>2447.0</v>
      </c>
    </row>
    <row r="4217">
      <c r="A4217" s="40">
        <f t="array" ref="A4217">IFNA(index(PlayerValues!A:A,match(IFNA(vlookup(B4217,'Special Names'!A:B,2,FALSE),B4217),PlayerValues!E:E,0)),"N/A")</f>
        <v>16649</v>
      </c>
      <c r="B4217" s="4" t="s">
        <v>586</v>
      </c>
      <c r="C4217" s="4" t="s">
        <v>298</v>
      </c>
      <c r="D4217" s="94">
        <v>2845.0</v>
      </c>
    </row>
    <row r="4218">
      <c r="A4218" s="40">
        <f t="array" ref="A4218">IFNA(index(PlayerValues!A:A,match(IFNA(vlookup(B4218,'Special Names'!A:B,2,FALSE),B4218),PlayerValues!E:E,0)),"N/A")</f>
        <v>14861</v>
      </c>
      <c r="B4218" s="4" t="s">
        <v>523</v>
      </c>
      <c r="C4218" s="4" t="s">
        <v>298</v>
      </c>
      <c r="D4218" s="94">
        <v>2833.0</v>
      </c>
    </row>
    <row r="4219">
      <c r="A4219" s="40">
        <f t="array" ref="A4219">IFNA(index(PlayerValues!A:A,match(IFNA(vlookup(B4219,'Special Names'!A:B,2,FALSE),B4219),PlayerValues!E:E,0)),"N/A")</f>
        <v>16684</v>
      </c>
      <c r="B4219" s="4" t="s">
        <v>500</v>
      </c>
      <c r="C4219" s="4" t="s">
        <v>287</v>
      </c>
      <c r="D4219" s="94">
        <v>2429.0</v>
      </c>
    </row>
    <row r="4220">
      <c r="A4220" s="40">
        <f t="array" ref="A4220">IFNA(index(PlayerValues!A:A,match(IFNA(vlookup(B4220,'Special Names'!A:B,2,FALSE),B4220),PlayerValues!E:E,0)),"N/A")</f>
        <v>16189</v>
      </c>
      <c r="B4220" s="4" t="s">
        <v>582</v>
      </c>
      <c r="C4220" s="4" t="s">
        <v>287</v>
      </c>
      <c r="D4220" s="94">
        <v>2413.0</v>
      </c>
    </row>
    <row r="4221">
      <c r="A4221" s="40">
        <f t="array" ref="A4221">IFNA(index(PlayerValues!A:A,match(IFNA(vlookup(B4221,'Special Names'!A:B,2,FALSE),B4221),PlayerValues!E:E,0)),"N/A")</f>
        <v>17505</v>
      </c>
      <c r="B4221" s="4" t="s">
        <v>528</v>
      </c>
      <c r="C4221" s="4" t="s">
        <v>287</v>
      </c>
      <c r="D4221" s="94">
        <v>2413.0</v>
      </c>
    </row>
    <row r="4222">
      <c r="A4222" s="40">
        <f t="array" ref="A4222">IFNA(index(PlayerValues!A:A,match(IFNA(vlookup(B4222,'Special Names'!A:B,2,FALSE),B4222),PlayerValues!E:E,0)),"N/A")</f>
        <v>16036</v>
      </c>
      <c r="B4222" s="4" t="s">
        <v>592</v>
      </c>
      <c r="C4222" s="4" t="s">
        <v>298</v>
      </c>
      <c r="D4222" s="94">
        <v>2801.0</v>
      </c>
    </row>
    <row r="4223">
      <c r="A4223" s="40" t="str">
        <f t="array" ref="A4223">IFNA(index(PlayerValues!A:A,match(IFNA(vlookup(B4223,'Special Names'!A:B,2,FALSE),B4223),PlayerValues!E:E,0)),"N/A")</f>
        <v>N/A</v>
      </c>
      <c r="B4223" s="4" t="s">
        <v>86</v>
      </c>
      <c r="C4223" s="4" t="s">
        <v>325</v>
      </c>
      <c r="D4223" s="94">
        <v>2400.0</v>
      </c>
    </row>
    <row r="4224">
      <c r="A4224" s="40" t="str">
        <f t="array" ref="A4224">IFNA(index(PlayerValues!A:A,match(IFNA(vlookup(B4224,'Special Names'!A:B,2,FALSE),B4224),PlayerValues!E:E,0)),"N/A")</f>
        <v>N/A</v>
      </c>
      <c r="B4224" s="4" t="s">
        <v>99</v>
      </c>
      <c r="C4224" s="4" t="s">
        <v>325</v>
      </c>
      <c r="D4224" s="94">
        <v>2397.0</v>
      </c>
    </row>
    <row r="4225">
      <c r="A4225" s="40">
        <f t="array" ref="A4225">IFNA(index(PlayerValues!A:A,match(IFNA(vlookup(B4225,'Special Names'!A:B,2,FALSE),B4225),PlayerValues!E:E,0)),"N/A")</f>
        <v>17078</v>
      </c>
      <c r="B4225" s="4" t="s">
        <v>543</v>
      </c>
      <c r="C4225" s="4" t="s">
        <v>287</v>
      </c>
      <c r="D4225" s="94">
        <v>2397.0</v>
      </c>
    </row>
    <row r="4226">
      <c r="A4226" s="40">
        <f t="array" ref="A4226">IFNA(index(PlayerValues!A:A,match(IFNA(vlookup(B4226,'Special Names'!A:B,2,FALSE),B4226),PlayerValues!E:E,0)),"N/A")</f>
        <v>15749</v>
      </c>
      <c r="B4226" s="4" t="s">
        <v>574</v>
      </c>
      <c r="C4226" s="4" t="s">
        <v>278</v>
      </c>
      <c r="D4226" s="94">
        <v>2396.0</v>
      </c>
    </row>
    <row r="4227">
      <c r="A4227" s="40">
        <f t="array" ref="A4227">IFNA(index(PlayerValues!A:A,match(IFNA(vlookup(B4227,'Special Names'!A:B,2,FALSE),B4227),PlayerValues!E:E,0)),"N/A")</f>
        <v>17048</v>
      </c>
      <c r="B4227" s="4" t="s">
        <v>539</v>
      </c>
      <c r="C4227" s="4" t="s">
        <v>278</v>
      </c>
      <c r="D4227" s="94">
        <v>2388.0</v>
      </c>
    </row>
    <row r="4228">
      <c r="A4228" s="40">
        <f t="array" ref="A4228">IFNA(index(PlayerValues!A:A,match(IFNA(vlookup(B4228,'Special Names'!A:B,2,FALSE),B4228),PlayerValues!E:E,0)),"N/A")</f>
        <v>15786</v>
      </c>
      <c r="B4228" s="4" t="s">
        <v>521</v>
      </c>
      <c r="C4228" s="4" t="s">
        <v>287</v>
      </c>
      <c r="D4228" s="94">
        <v>2377.0</v>
      </c>
    </row>
    <row r="4229">
      <c r="A4229" s="40">
        <f t="array" ref="A4229">IFNA(index(PlayerValues!A:A,match(IFNA(vlookup(B4229,'Special Names'!A:B,2,FALSE),B4229),PlayerValues!E:E,0)),"N/A")</f>
        <v>16610</v>
      </c>
      <c r="B4229" s="4" t="s">
        <v>562</v>
      </c>
      <c r="C4229" s="4" t="s">
        <v>278</v>
      </c>
      <c r="D4229" s="94">
        <v>2348.0</v>
      </c>
    </row>
    <row r="4230">
      <c r="A4230" s="40">
        <f t="array" ref="A4230">IFNA(index(PlayerValues!A:A,match(IFNA(vlookup(B4230,'Special Names'!A:B,2,FALSE),B4230),PlayerValues!E:E,0)),"N/A")</f>
        <v>12676</v>
      </c>
      <c r="B4230" s="4" t="s">
        <v>537</v>
      </c>
      <c r="C4230" s="4" t="s">
        <v>298</v>
      </c>
      <c r="D4230" s="94">
        <v>2741.0</v>
      </c>
    </row>
    <row r="4231">
      <c r="A4231" s="40">
        <f t="array" ref="A4231">IFNA(index(PlayerValues!A:A,match(IFNA(vlookup(B4231,'Special Names'!A:B,2,FALSE),B4231),PlayerValues!E:E,0)),"N/A")</f>
        <v>16195</v>
      </c>
      <c r="B4231" s="4" t="s">
        <v>509</v>
      </c>
      <c r="C4231" s="4" t="s">
        <v>287</v>
      </c>
      <c r="D4231" s="94">
        <v>2342.0</v>
      </c>
    </row>
    <row r="4232">
      <c r="A4232" s="40">
        <f t="array" ref="A4232">IFNA(index(PlayerValues!A:A,match(IFNA(vlookup(B4232,'Special Names'!A:B,2,FALSE),B4232),PlayerValues!E:E,0)),"N/A")</f>
        <v>16212</v>
      </c>
      <c r="B4232" s="4" t="s">
        <v>568</v>
      </c>
      <c r="C4232" s="4" t="s">
        <v>298</v>
      </c>
      <c r="D4232" s="94">
        <v>2711.0</v>
      </c>
    </row>
    <row r="4233">
      <c r="A4233" s="40">
        <f t="array" ref="A4233">IFNA(index(PlayerValues!A:A,match(IFNA(vlookup(B4233,'Special Names'!A:B,2,FALSE),B4233),PlayerValues!E:E,0)),"N/A")</f>
        <v>17046</v>
      </c>
      <c r="B4233" s="4" t="s">
        <v>602</v>
      </c>
      <c r="C4233" s="4" t="s">
        <v>278</v>
      </c>
      <c r="D4233" s="94">
        <v>2314.0</v>
      </c>
    </row>
    <row r="4234">
      <c r="A4234" s="40">
        <f t="array" ref="A4234">IFNA(index(PlayerValues!A:A,match(IFNA(vlookup(B4234,'Special Names'!A:B,2,FALSE),B4234),PlayerValues!E:E,0)),"N/A")</f>
        <v>12801</v>
      </c>
      <c r="B4234" s="4" t="s">
        <v>722</v>
      </c>
      <c r="C4234" s="4" t="s">
        <v>287</v>
      </c>
      <c r="D4234" s="94">
        <v>2305.0</v>
      </c>
    </row>
    <row r="4235">
      <c r="A4235" s="40">
        <f t="array" ref="A4235">IFNA(index(PlayerValues!A:A,match(IFNA(vlookup(B4235,'Special Names'!A:B,2,FALSE),B4235),PlayerValues!E:E,0)),"N/A")</f>
        <v>15238</v>
      </c>
      <c r="B4235" s="4" t="s">
        <v>613</v>
      </c>
      <c r="C4235" s="4" t="s">
        <v>283</v>
      </c>
      <c r="D4235" s="94">
        <v>2302.0</v>
      </c>
    </row>
    <row r="4236">
      <c r="A4236" s="40">
        <f t="array" ref="A4236">IFNA(index(PlayerValues!A:A,match(IFNA(vlookup(B4236,'Special Names'!A:B,2,FALSE),B4236),PlayerValues!E:E,0)),"N/A")</f>
        <v>13772</v>
      </c>
      <c r="B4236" s="4" t="s">
        <v>544</v>
      </c>
      <c r="C4236" s="4" t="s">
        <v>298</v>
      </c>
      <c r="D4236" s="94">
        <v>2687.0</v>
      </c>
    </row>
    <row r="4237">
      <c r="A4237" s="40">
        <f t="array" ref="A4237">IFNA(index(PlayerValues!A:A,match(IFNA(vlookup(B4237,'Special Names'!A:B,2,FALSE),B4237),PlayerValues!E:E,0)),"N/A")</f>
        <v>17076</v>
      </c>
      <c r="B4237" s="4" t="s">
        <v>585</v>
      </c>
      <c r="C4237" s="4" t="s">
        <v>287</v>
      </c>
      <c r="D4237" s="94">
        <v>2290.0</v>
      </c>
    </row>
    <row r="4238">
      <c r="A4238" s="40">
        <f t="array" ref="A4238">IFNA(index(PlayerValues!A:A,match(IFNA(vlookup(B4238,'Special Names'!A:B,2,FALSE),B4238),PlayerValues!E:E,0)),"N/A")</f>
        <v>16174</v>
      </c>
      <c r="B4238" s="4" t="s">
        <v>505</v>
      </c>
      <c r="C4238" s="4" t="s">
        <v>278</v>
      </c>
      <c r="D4238" s="94">
        <v>2278.0</v>
      </c>
    </row>
    <row r="4239">
      <c r="A4239" s="40">
        <f t="array" ref="A4239">IFNA(index(PlayerValues!A:A,match(IFNA(vlookup(B4239,'Special Names'!A:B,2,FALSE),B4239),PlayerValues!E:E,0)),"N/A")</f>
        <v>17079</v>
      </c>
      <c r="B4239" s="4" t="s">
        <v>572</v>
      </c>
      <c r="C4239" s="4" t="s">
        <v>287</v>
      </c>
      <c r="D4239" s="94">
        <v>2275.0</v>
      </c>
    </row>
    <row r="4240">
      <c r="A4240" s="40">
        <f t="array" ref="A4240">IFNA(index(PlayerValues!A:A,match(IFNA(vlookup(B4240,'Special Names'!A:B,2,FALSE),B4240),PlayerValues!E:E,0)),"N/A")</f>
        <v>15716</v>
      </c>
      <c r="B4240" s="4" t="s">
        <v>545</v>
      </c>
      <c r="C4240" s="4" t="s">
        <v>278</v>
      </c>
      <c r="D4240" s="94">
        <v>2256.0</v>
      </c>
    </row>
    <row r="4241">
      <c r="A4241" s="40" t="str">
        <f t="array" ref="A4241">IFNA(index(PlayerValues!A:A,match(IFNA(vlookup(B4241,'Special Names'!A:B,2,FALSE),B4241),PlayerValues!E:E,0)),"N/A")</f>
        <v>N/A</v>
      </c>
      <c r="B4241" s="4" t="s">
        <v>87</v>
      </c>
      <c r="C4241" s="4" t="s">
        <v>325</v>
      </c>
      <c r="D4241" s="94">
        <v>2250.0</v>
      </c>
    </row>
    <row r="4242">
      <c r="A4242" s="40">
        <f t="array" ref="A4242">IFNA(index(PlayerValues!A:A,match(IFNA(vlookup(B4242,'Special Names'!A:B,2,FALSE),B4242),PlayerValues!E:E,0)),"N/A")</f>
        <v>17482</v>
      </c>
      <c r="B4242" s="4" t="s">
        <v>460</v>
      </c>
      <c r="C4242" s="4" t="s">
        <v>278</v>
      </c>
      <c r="D4242" s="94">
        <v>2248.0</v>
      </c>
    </row>
    <row r="4243">
      <c r="A4243" s="40">
        <f t="array" ref="A4243">IFNA(index(PlayerValues!A:A,match(IFNA(vlookup(B4243,'Special Names'!A:B,2,FALSE),B4243),PlayerValues!E:E,0)),"N/A")</f>
        <v>12186</v>
      </c>
      <c r="B4243" s="4" t="s">
        <v>497</v>
      </c>
      <c r="C4243" s="4" t="s">
        <v>287</v>
      </c>
      <c r="D4243" s="94">
        <v>2246.0</v>
      </c>
    </row>
    <row r="4244">
      <c r="A4244" s="40" t="str">
        <f t="array" ref="A4244">IFNA(index(PlayerValues!A:A,match(IFNA(vlookup(B4244,'Special Names'!A:B,2,FALSE),B4244),PlayerValues!E:E,0)),"N/A")</f>
        <v>N/A</v>
      </c>
      <c r="B4244" s="4" t="s">
        <v>100</v>
      </c>
      <c r="C4244" s="4" t="s">
        <v>325</v>
      </c>
      <c r="D4244" s="94">
        <v>2219.0</v>
      </c>
    </row>
    <row r="4245">
      <c r="A4245" s="40">
        <f t="array" ref="A4245">IFNA(index(PlayerValues!A:A,match(IFNA(vlookup(B4245,'Special Names'!A:B,2,FALSE),B4245),PlayerValues!E:E,0)),"N/A")</f>
        <v>15331</v>
      </c>
      <c r="B4245" s="4" t="s">
        <v>560</v>
      </c>
      <c r="C4245" s="4" t="s">
        <v>298</v>
      </c>
      <c r="D4245" s="94">
        <v>2591.0</v>
      </c>
    </row>
    <row r="4246">
      <c r="A4246" s="40">
        <f t="array" ref="A4246">IFNA(index(PlayerValues!A:A,match(IFNA(vlookup(B4246,'Special Names'!A:B,2,FALSE),B4246),PlayerValues!E:E,0)),"N/A")</f>
        <v>17087</v>
      </c>
      <c r="B4246" s="4" t="s">
        <v>600</v>
      </c>
      <c r="C4246" s="4" t="s">
        <v>287</v>
      </c>
      <c r="D4246" s="94">
        <v>2194.0</v>
      </c>
    </row>
    <row r="4247">
      <c r="A4247" s="40">
        <f t="array" ref="A4247">IFNA(index(PlayerValues!A:A,match(IFNA(vlookup(B4247,'Special Names'!A:B,2,FALSE),B4247),PlayerValues!E:E,0)),"N/A")</f>
        <v>16432</v>
      </c>
      <c r="B4247" s="4" t="s">
        <v>620</v>
      </c>
      <c r="C4247" s="4" t="s">
        <v>278</v>
      </c>
      <c r="D4247" s="94">
        <v>2188.0</v>
      </c>
    </row>
    <row r="4248">
      <c r="A4248" s="40">
        <f t="array" ref="A4248">IFNA(index(PlayerValues!A:A,match(IFNA(vlookup(B4248,'Special Names'!A:B,2,FALSE),B4248),PlayerValues!E:E,0)),"N/A")</f>
        <v>14871</v>
      </c>
      <c r="B4248" s="4" t="s">
        <v>584</v>
      </c>
      <c r="C4248" s="4" t="s">
        <v>298</v>
      </c>
      <c r="D4248" s="94">
        <v>2560.0</v>
      </c>
    </row>
    <row r="4249">
      <c r="A4249" s="40" t="str">
        <f t="array" ref="A4249">IFNA(index(PlayerValues!A:A,match(IFNA(vlookup(B4249,'Special Names'!A:B,2,FALSE),B4249),PlayerValues!E:E,0)),"N/A")</f>
        <v>N/A</v>
      </c>
      <c r="B4249" s="4" t="s">
        <v>112</v>
      </c>
      <c r="C4249" s="4" t="s">
        <v>325</v>
      </c>
      <c r="D4249" s="94">
        <v>2167.0</v>
      </c>
    </row>
    <row r="4250">
      <c r="A4250" s="40">
        <f t="array" ref="A4250">IFNA(index(PlayerValues!A:A,match(IFNA(vlookup(B4250,'Special Names'!A:B,2,FALSE),B4250),PlayerValues!E:E,0)),"N/A")</f>
        <v>17474</v>
      </c>
      <c r="B4250" s="4" t="s">
        <v>513</v>
      </c>
      <c r="C4250" s="4" t="s">
        <v>278</v>
      </c>
      <c r="D4250" s="94">
        <v>2166.0</v>
      </c>
    </row>
    <row r="4251">
      <c r="A4251" s="40">
        <f t="array" ref="A4251">IFNA(index(PlayerValues!A:A,match(IFNA(vlookup(B4251,'Special Names'!A:B,2,FALSE),B4251),PlayerValues!E:E,0)),"N/A")</f>
        <v>17049</v>
      </c>
      <c r="B4251" s="4" t="s">
        <v>624</v>
      </c>
      <c r="C4251" s="4" t="s">
        <v>278</v>
      </c>
      <c r="D4251" s="94">
        <v>2160.0</v>
      </c>
    </row>
    <row r="4252">
      <c r="A4252" s="40">
        <f t="array" ref="A4252">IFNA(index(PlayerValues!A:A,match(IFNA(vlookup(B4252,'Special Names'!A:B,2,FALSE),B4252),PlayerValues!E:E,0)),"N/A")</f>
        <v>16342</v>
      </c>
      <c r="B4252" s="4" t="s">
        <v>583</v>
      </c>
      <c r="C4252" s="4" t="s">
        <v>287</v>
      </c>
      <c r="D4252" s="94">
        <v>2158.0</v>
      </c>
    </row>
    <row r="4253">
      <c r="A4253" s="40">
        <f t="array" ref="A4253">IFNA(index(PlayerValues!A:A,match(IFNA(vlookup(B4253,'Special Names'!A:B,2,FALSE),B4253),PlayerValues!E:E,0)),"N/A")</f>
        <v>17061</v>
      </c>
      <c r="B4253" s="4" t="s">
        <v>580</v>
      </c>
      <c r="C4253" s="4" t="s">
        <v>278</v>
      </c>
      <c r="D4253" s="94">
        <v>2150.0</v>
      </c>
    </row>
    <row r="4254">
      <c r="A4254" s="40">
        <f t="array" ref="A4254">IFNA(index(PlayerValues!A:A,match(IFNA(vlookup(B4254,'Special Names'!A:B,2,FALSE),B4254),PlayerValues!E:E,0)),"N/A")</f>
        <v>16639</v>
      </c>
      <c r="B4254" s="4" t="s">
        <v>599</v>
      </c>
      <c r="C4254" s="4" t="s">
        <v>287</v>
      </c>
      <c r="D4254" s="94">
        <v>2141.0</v>
      </c>
    </row>
    <row r="4255">
      <c r="A4255" s="40">
        <f t="array" ref="A4255">IFNA(index(PlayerValues!A:A,match(IFNA(vlookup(B4255,'Special Names'!A:B,2,FALSE),B4255),PlayerValues!E:E,0)),"N/A")</f>
        <v>13146</v>
      </c>
      <c r="B4255" s="4" t="s">
        <v>652</v>
      </c>
      <c r="C4255" s="4" t="s">
        <v>278</v>
      </c>
      <c r="D4255" s="94">
        <v>2138.0</v>
      </c>
    </row>
    <row r="4256">
      <c r="A4256" s="40" t="str">
        <f t="array" ref="A4256">IFNA(index(PlayerValues!A:A,match(IFNA(vlookup(B4256,'Special Names'!A:B,2,FALSE),B4256),PlayerValues!E:E,0)),"N/A")</f>
        <v>N/A</v>
      </c>
      <c r="B4256" s="4" t="s">
        <v>88</v>
      </c>
      <c r="C4256" s="4" t="s">
        <v>325</v>
      </c>
      <c r="D4256" s="94">
        <v>2135.0</v>
      </c>
    </row>
    <row r="4257">
      <c r="A4257" s="40" t="str">
        <f t="array" ref="A4257">IFNA(index(PlayerValues!A:A,match(IFNA(vlookup(B4257,'Special Names'!A:B,2,FALSE),B4257),PlayerValues!E:E,0)),"N/A")</f>
        <v>N/A</v>
      </c>
      <c r="B4257" s="4" t="s">
        <v>113</v>
      </c>
      <c r="C4257" s="4" t="s">
        <v>325</v>
      </c>
      <c r="D4257" s="94">
        <v>2134.0</v>
      </c>
    </row>
    <row r="4258">
      <c r="A4258" s="40">
        <f t="array" ref="A4258">IFNA(index(PlayerValues!A:A,match(IFNA(vlookup(B4258,'Special Names'!A:B,2,FALSE),B4258),PlayerValues!E:E,0)),"N/A")</f>
        <v>16191</v>
      </c>
      <c r="B4258" s="4" t="s">
        <v>666</v>
      </c>
      <c r="C4258" s="4" t="s">
        <v>287</v>
      </c>
      <c r="D4258" s="94">
        <v>2132.0</v>
      </c>
    </row>
    <row r="4259">
      <c r="A4259" s="40">
        <f t="array" ref="A4259">IFNA(index(PlayerValues!A:A,match(IFNA(vlookup(B4259,'Special Names'!A:B,2,FALSE),B4259),PlayerValues!E:E,0)),"N/A")</f>
        <v>13132</v>
      </c>
      <c r="B4259" s="4" t="s">
        <v>598</v>
      </c>
      <c r="C4259" s="4" t="s">
        <v>278</v>
      </c>
      <c r="D4259" s="94">
        <v>2128.0</v>
      </c>
    </row>
    <row r="4260">
      <c r="A4260" s="40">
        <f t="array" ref="A4260">IFNA(index(PlayerValues!A:A,match(IFNA(vlookup(B4260,'Special Names'!A:B,2,FALSE),B4260),PlayerValues!E:E,0)),"N/A")</f>
        <v>17509</v>
      </c>
      <c r="B4260" s="4" t="s">
        <v>551</v>
      </c>
      <c r="C4260" s="4" t="s">
        <v>287</v>
      </c>
      <c r="D4260" s="94">
        <v>2124.0</v>
      </c>
    </row>
    <row r="4261">
      <c r="A4261" s="40">
        <f t="array" ref="A4261">IFNA(index(PlayerValues!A:A,match(IFNA(vlookup(B4261,'Special Names'!A:B,2,FALSE),B4261),PlayerValues!E:E,0)),"N/A")</f>
        <v>11150</v>
      </c>
      <c r="B4261" s="4" t="s">
        <v>559</v>
      </c>
      <c r="C4261" s="4" t="s">
        <v>283</v>
      </c>
      <c r="D4261" s="94">
        <v>2122.0</v>
      </c>
    </row>
    <row r="4262">
      <c r="A4262" s="40">
        <f t="array" ref="A4262">IFNA(index(PlayerValues!A:A,match(IFNA(vlookup(B4262,'Special Names'!A:B,2,FALSE),B4262),PlayerValues!E:E,0)),"N/A")</f>
        <v>16643</v>
      </c>
      <c r="B4262" s="4" t="s">
        <v>609</v>
      </c>
      <c r="C4262" s="4" t="s">
        <v>298</v>
      </c>
      <c r="D4262" s="94">
        <v>2515.0</v>
      </c>
    </row>
    <row r="4263">
      <c r="A4263" s="40">
        <f t="array" ref="A4263">IFNA(index(PlayerValues!A:A,match(IFNA(vlookup(B4263,'Special Names'!A:B,2,FALSE),B4263),PlayerValues!E:E,0)),"N/A")</f>
        <v>17507</v>
      </c>
      <c r="B4263" s="4" t="s">
        <v>495</v>
      </c>
      <c r="C4263" s="4" t="s">
        <v>287</v>
      </c>
      <c r="D4263" s="94">
        <v>2122.0</v>
      </c>
    </row>
    <row r="4264">
      <c r="A4264" s="40">
        <f t="array" ref="A4264">IFNA(index(PlayerValues!A:A,match(IFNA(vlookup(B4264,'Special Names'!A:B,2,FALSE),B4264),PlayerValues!E:E,0)),"N/A")</f>
        <v>17056</v>
      </c>
      <c r="B4264" s="4" t="s">
        <v>581</v>
      </c>
      <c r="C4264" s="4" t="s">
        <v>278</v>
      </c>
      <c r="D4264" s="94">
        <v>2118.0</v>
      </c>
    </row>
    <row r="4265">
      <c r="A4265" s="40">
        <f t="array" ref="A4265">IFNA(index(PlayerValues!A:A,match(IFNA(vlookup(B4265,'Special Names'!A:B,2,FALSE),B4265),PlayerValues!E:E,0)),"N/A")</f>
        <v>15293</v>
      </c>
      <c r="B4265" s="4" t="s">
        <v>578</v>
      </c>
      <c r="C4265" s="4" t="s">
        <v>287</v>
      </c>
      <c r="D4265" s="94">
        <v>2111.0</v>
      </c>
    </row>
    <row r="4266">
      <c r="A4266" s="40">
        <f t="array" ref="A4266">IFNA(index(PlayerValues!A:A,match(IFNA(vlookup(B4266,'Special Names'!A:B,2,FALSE),B4266),PlayerValues!E:E,0)),"N/A")</f>
        <v>17060</v>
      </c>
      <c r="B4266" s="4" t="s">
        <v>603</v>
      </c>
      <c r="C4266" s="4" t="s">
        <v>278</v>
      </c>
      <c r="D4266" s="94">
        <v>2111.0</v>
      </c>
    </row>
    <row r="4267">
      <c r="A4267" s="40">
        <f t="array" ref="A4267">IFNA(index(PlayerValues!A:A,match(IFNA(vlookup(B4267,'Special Names'!A:B,2,FALSE),B4267),PlayerValues!E:E,0)),"N/A")</f>
        <v>14974</v>
      </c>
      <c r="B4267" s="4" t="s">
        <v>611</v>
      </c>
      <c r="C4267" s="4" t="s">
        <v>287</v>
      </c>
      <c r="D4267" s="94">
        <v>2104.0</v>
      </c>
    </row>
    <row r="4268">
      <c r="A4268" s="40">
        <f t="array" ref="A4268">IFNA(index(PlayerValues!A:A,match(IFNA(vlookup(B4268,'Special Names'!A:B,2,FALSE),B4268),PlayerValues!E:E,0)),"N/A")</f>
        <v>13633</v>
      </c>
      <c r="B4268" s="4" t="s">
        <v>625</v>
      </c>
      <c r="C4268" s="4" t="s">
        <v>287</v>
      </c>
      <c r="D4268" s="94">
        <v>2098.0</v>
      </c>
    </row>
    <row r="4269">
      <c r="A4269" s="40">
        <f t="array" ref="A4269">IFNA(index(PlayerValues!A:A,match(IFNA(vlookup(B4269,'Special Names'!A:B,2,FALSE),B4269),PlayerValues!E:E,0)),"N/A")</f>
        <v>17036</v>
      </c>
      <c r="B4269" s="4" t="s">
        <v>617</v>
      </c>
      <c r="C4269" s="4" t="s">
        <v>283</v>
      </c>
      <c r="D4269" s="94">
        <v>2092.0</v>
      </c>
    </row>
    <row r="4270">
      <c r="A4270" s="40">
        <f t="array" ref="A4270">IFNA(index(PlayerValues!A:A,match(IFNA(vlookup(B4270,'Special Names'!A:B,2,FALSE),B4270),PlayerValues!E:E,0)),"N/A")</f>
        <v>13319</v>
      </c>
      <c r="B4270" s="4" t="s">
        <v>549</v>
      </c>
      <c r="C4270" s="4" t="s">
        <v>278</v>
      </c>
      <c r="D4270" s="94">
        <v>2087.0</v>
      </c>
    </row>
    <row r="4271">
      <c r="A4271" s="40">
        <f t="array" ref="A4271">IFNA(index(PlayerValues!A:A,match(IFNA(vlookup(B4271,'Special Names'!A:B,2,FALSE),B4271),PlayerValues!E:E,0)),"N/A")</f>
        <v>17464</v>
      </c>
      <c r="B4271" s="4" t="s">
        <v>828</v>
      </c>
      <c r="C4271" s="4" t="s">
        <v>283</v>
      </c>
      <c r="D4271" s="94">
        <v>2053.0</v>
      </c>
    </row>
    <row r="4272">
      <c r="A4272" s="40">
        <f t="array" ref="A4272">IFNA(index(PlayerValues!A:A,match(IFNA(vlookup(B4272,'Special Names'!A:B,2,FALSE),B4272),PlayerValues!E:E,0)),"N/A")</f>
        <v>14867</v>
      </c>
      <c r="B4272" s="4" t="s">
        <v>591</v>
      </c>
      <c r="C4272" s="4" t="s">
        <v>298</v>
      </c>
      <c r="D4272" s="94">
        <v>2441.0</v>
      </c>
    </row>
    <row r="4273">
      <c r="A4273" s="40">
        <f t="array" ref="A4273">IFNA(index(PlayerValues!A:A,match(IFNA(vlookup(B4273,'Special Names'!A:B,2,FALSE),B4273),PlayerValues!E:E,0)),"N/A")</f>
        <v>17465</v>
      </c>
      <c r="B4273" s="4" t="s">
        <v>649</v>
      </c>
      <c r="C4273" s="4" t="s">
        <v>283</v>
      </c>
      <c r="D4273" s="94">
        <v>2046.0</v>
      </c>
    </row>
    <row r="4274">
      <c r="A4274" s="40">
        <f t="array" ref="A4274">IFNA(index(PlayerValues!A:A,match(IFNA(vlookup(B4274,'Special Names'!A:B,2,FALSE),B4274),PlayerValues!E:E,0)),"N/A")</f>
        <v>17069</v>
      </c>
      <c r="B4274" s="4" t="s">
        <v>604</v>
      </c>
      <c r="C4274" s="4" t="s">
        <v>278</v>
      </c>
      <c r="D4274" s="94">
        <v>2021.0</v>
      </c>
    </row>
    <row r="4275">
      <c r="A4275" s="40">
        <f t="array" ref="A4275">IFNA(index(PlayerValues!A:A,match(IFNA(vlookup(B4275,'Special Names'!A:B,2,FALSE),B4275),PlayerValues!E:E,0)),"N/A")</f>
        <v>16171</v>
      </c>
      <c r="B4275" s="4" t="s">
        <v>618</v>
      </c>
      <c r="C4275" s="4" t="s">
        <v>278</v>
      </c>
      <c r="D4275" s="94">
        <v>1991.0</v>
      </c>
    </row>
    <row r="4276">
      <c r="A4276" s="40">
        <f t="array" ref="A4276">IFNA(index(PlayerValues!A:A,match(IFNA(vlookup(B4276,'Special Names'!A:B,2,FALSE),B4276),PlayerValues!E:E,0)),"N/A")</f>
        <v>16603</v>
      </c>
      <c r="B4276" s="4" t="s">
        <v>587</v>
      </c>
      <c r="C4276" s="4" t="s">
        <v>278</v>
      </c>
      <c r="D4276" s="94">
        <v>1974.0</v>
      </c>
    </row>
    <row r="4277">
      <c r="A4277" s="40" t="str">
        <f t="array" ref="A4277">IFNA(index(PlayerValues!A:A,match(IFNA(vlookup(B4277,'Special Names'!A:B,2,FALSE),B4277),PlayerValues!E:E,0)),"N/A")</f>
        <v>N/A</v>
      </c>
      <c r="B4277" s="4" t="s">
        <v>114</v>
      </c>
      <c r="C4277" s="4" t="s">
        <v>325</v>
      </c>
      <c r="D4277" s="94">
        <v>1964.0</v>
      </c>
    </row>
    <row r="4278">
      <c r="A4278" s="40">
        <f t="array" ref="A4278">IFNA(index(PlayerValues!A:A,match(IFNA(vlookup(B4278,'Special Names'!A:B,2,FALSE),B4278),PlayerValues!E:E,0)),"N/A")</f>
        <v>17506</v>
      </c>
      <c r="B4278" s="4" t="s">
        <v>471</v>
      </c>
      <c r="C4278" s="4" t="s">
        <v>287</v>
      </c>
      <c r="D4278" s="94">
        <v>1961.0</v>
      </c>
    </row>
    <row r="4279">
      <c r="A4279" s="40">
        <f t="array" ref="A4279">IFNA(index(PlayerValues!A:A,match(IFNA(vlookup(B4279,'Special Names'!A:B,2,FALSE),B4279),PlayerValues!E:E,0)),"N/A")</f>
        <v>17034</v>
      </c>
      <c r="B4279" s="4" t="s">
        <v>643</v>
      </c>
      <c r="C4279" s="4" t="s">
        <v>283</v>
      </c>
      <c r="D4279" s="94">
        <v>1934.0</v>
      </c>
    </row>
    <row r="4280">
      <c r="A4280" s="40">
        <f t="array" ref="A4280">IFNA(index(PlayerValues!A:A,match(IFNA(vlookup(B4280,'Special Names'!A:B,2,FALSE),B4280),PlayerValues!E:E,0)),"N/A")</f>
        <v>17055</v>
      </c>
      <c r="B4280" s="4" t="s">
        <v>565</v>
      </c>
      <c r="C4280" s="4" t="s">
        <v>278</v>
      </c>
      <c r="D4280" s="94">
        <v>1929.0</v>
      </c>
    </row>
    <row r="4281">
      <c r="A4281" s="40">
        <f t="array" ref="A4281">IFNA(index(PlayerValues!A:A,match(IFNA(vlookup(B4281,'Special Names'!A:B,2,FALSE),B4281),PlayerValues!E:E,0)),"N/A")</f>
        <v>16216</v>
      </c>
      <c r="B4281" s="4" t="s">
        <v>595</v>
      </c>
      <c r="C4281" s="4" t="s">
        <v>298</v>
      </c>
      <c r="D4281" s="94">
        <v>2310.0</v>
      </c>
    </row>
    <row r="4282">
      <c r="A4282" s="40">
        <f t="array" ref="A4282">IFNA(index(PlayerValues!A:A,match(IFNA(vlookup(B4282,'Special Names'!A:B,2,FALSE),B4282),PlayerValues!E:E,0)),"N/A")</f>
        <v>14105</v>
      </c>
      <c r="B4282" s="4" t="s">
        <v>675</v>
      </c>
      <c r="C4282" s="4" t="s">
        <v>287</v>
      </c>
      <c r="D4282" s="94">
        <v>1920.0</v>
      </c>
    </row>
    <row r="4283">
      <c r="A4283" s="40">
        <f t="array" ref="A4283">IFNA(index(PlayerValues!A:A,match(IFNA(vlookup(B4283,'Special Names'!A:B,2,FALSE),B4283),PlayerValues!E:E,0)),"N/A")</f>
        <v>16752</v>
      </c>
      <c r="B4283" s="4" t="s">
        <v>597</v>
      </c>
      <c r="C4283" s="4" t="s">
        <v>278</v>
      </c>
      <c r="D4283" s="94">
        <v>1919.0</v>
      </c>
    </row>
    <row r="4284">
      <c r="A4284" s="40">
        <f t="array" ref="A4284">IFNA(index(PlayerValues!A:A,match(IFNA(vlookup(B4284,'Special Names'!A:B,2,FALSE),B4284),PlayerValues!E:E,0)),"N/A")</f>
        <v>16778</v>
      </c>
      <c r="B4284" s="4" t="s">
        <v>577</v>
      </c>
      <c r="C4284" s="4" t="s">
        <v>287</v>
      </c>
      <c r="D4284" s="94">
        <v>1912.0</v>
      </c>
    </row>
    <row r="4285">
      <c r="A4285" s="40">
        <f t="array" ref="A4285">IFNA(index(PlayerValues!A:A,match(IFNA(vlookup(B4285,'Special Names'!A:B,2,FALSE),B4285),PlayerValues!E:E,0)),"N/A")</f>
        <v>16215</v>
      </c>
      <c r="B4285" s="4" t="s">
        <v>637</v>
      </c>
      <c r="C4285" s="4" t="s">
        <v>298</v>
      </c>
      <c r="D4285" s="94">
        <v>2280.0</v>
      </c>
    </row>
    <row r="4286">
      <c r="A4286" s="40">
        <f t="array" ref="A4286">IFNA(index(PlayerValues!A:A,match(IFNA(vlookup(B4286,'Special Names'!A:B,2,FALSE),B4286),PlayerValues!E:E,0)),"N/A")</f>
        <v>17511</v>
      </c>
      <c r="B4286" s="4" t="s">
        <v>485</v>
      </c>
      <c r="C4286" s="4" t="s">
        <v>287</v>
      </c>
      <c r="D4286" s="94">
        <v>1890.0</v>
      </c>
    </row>
    <row r="4287">
      <c r="A4287" s="40">
        <f t="array" ref="A4287">IFNA(index(PlayerValues!A:A,match(IFNA(vlookup(B4287,'Special Names'!A:B,2,FALSE),B4287),PlayerValues!E:E,0)),"N/A")</f>
        <v>17184</v>
      </c>
      <c r="B4287" s="4" t="s">
        <v>588</v>
      </c>
      <c r="C4287" s="4" t="s">
        <v>287</v>
      </c>
      <c r="D4287" s="94">
        <v>1886.0</v>
      </c>
    </row>
    <row r="4288">
      <c r="A4288" s="40">
        <f t="array" ref="A4288">IFNA(index(PlayerValues!A:A,match(IFNA(vlookup(B4288,'Special Names'!A:B,2,FALSE),B4288),PlayerValues!E:E,0)),"N/A")</f>
        <v>15787</v>
      </c>
      <c r="B4288" s="4" t="s">
        <v>610</v>
      </c>
      <c r="C4288" s="4" t="s">
        <v>287</v>
      </c>
      <c r="D4288" s="94">
        <v>1881.0</v>
      </c>
    </row>
    <row r="4289">
      <c r="A4289" s="40">
        <f t="array" ref="A4289">IFNA(index(PlayerValues!A:A,match(IFNA(vlookup(B4289,'Special Names'!A:B,2,FALSE),B4289),PlayerValues!E:E,0)),"N/A")</f>
        <v>16644</v>
      </c>
      <c r="B4289" s="4" t="s">
        <v>640</v>
      </c>
      <c r="C4289" s="4" t="s">
        <v>298</v>
      </c>
      <c r="D4289" s="94">
        <v>2258.0</v>
      </c>
    </row>
    <row r="4290">
      <c r="A4290" s="40">
        <f t="array" ref="A4290">IFNA(index(PlayerValues!A:A,match(IFNA(vlookup(B4290,'Special Names'!A:B,2,FALSE),B4290),PlayerValues!E:E,0)),"N/A")</f>
        <v>17086</v>
      </c>
      <c r="B4290" s="4" t="s">
        <v>612</v>
      </c>
      <c r="C4290" s="4" t="s">
        <v>287</v>
      </c>
      <c r="D4290" s="94">
        <v>1858.0</v>
      </c>
    </row>
    <row r="4291">
      <c r="A4291" s="40">
        <f t="array" ref="A4291">IFNA(index(PlayerValues!A:A,match(IFNA(vlookup(B4291,'Special Names'!A:B,2,FALSE),B4291),PlayerValues!E:E,0)),"N/A")</f>
        <v>15254</v>
      </c>
      <c r="B4291" s="4" t="s">
        <v>633</v>
      </c>
      <c r="C4291" s="4" t="s">
        <v>278</v>
      </c>
      <c r="D4291" s="94">
        <v>1851.0</v>
      </c>
    </row>
    <row r="4292">
      <c r="A4292" s="40">
        <f t="array" ref="A4292">IFNA(index(PlayerValues!A:A,match(IFNA(vlookup(B4292,'Special Names'!A:B,2,FALSE),B4292),PlayerValues!E:E,0)),"N/A")</f>
        <v>13629</v>
      </c>
      <c r="B4292" s="4" t="s">
        <v>619</v>
      </c>
      <c r="C4292" s="4" t="s">
        <v>287</v>
      </c>
      <c r="D4292" s="94">
        <v>1848.0</v>
      </c>
    </row>
    <row r="4293">
      <c r="A4293" s="40">
        <f t="array" ref="A4293">IFNA(index(PlayerValues!A:A,match(IFNA(vlookup(B4293,'Special Names'!A:B,2,FALSE),B4293),PlayerValues!E:E,0)),"N/A")</f>
        <v>17478</v>
      </c>
      <c r="B4293" s="4" t="s">
        <v>527</v>
      </c>
      <c r="C4293" s="4" t="s">
        <v>278</v>
      </c>
      <c r="D4293" s="94">
        <v>1848.0</v>
      </c>
    </row>
    <row r="4294">
      <c r="A4294" s="40">
        <f t="array" ref="A4294">IFNA(index(PlayerValues!A:A,match(IFNA(vlookup(B4294,'Special Names'!A:B,2,FALSE),B4294),PlayerValues!E:E,0)),"N/A")</f>
        <v>13164</v>
      </c>
      <c r="B4294" s="4" t="s">
        <v>632</v>
      </c>
      <c r="C4294" s="4" t="s">
        <v>287</v>
      </c>
      <c r="D4294" s="94">
        <v>1847.0</v>
      </c>
    </row>
    <row r="4295">
      <c r="A4295" s="40">
        <f t="array" ref="A4295">IFNA(index(PlayerValues!A:A,match(IFNA(vlookup(B4295,'Special Names'!A:B,2,FALSE),B4295),PlayerValues!E:E,0)),"N/A")</f>
        <v>16201</v>
      </c>
      <c r="B4295" s="4" t="s">
        <v>589</v>
      </c>
      <c r="C4295" s="4" t="s">
        <v>287</v>
      </c>
      <c r="D4295" s="94">
        <v>1846.0</v>
      </c>
    </row>
    <row r="4296">
      <c r="A4296" s="40">
        <f t="array" ref="A4296">IFNA(index(PlayerValues!A:A,match(IFNA(vlookup(B4296,'Special Names'!A:B,2,FALSE),B4296),PlayerValues!E:E,0)),"N/A")</f>
        <v>15755</v>
      </c>
      <c r="B4296" s="4" t="s">
        <v>628</v>
      </c>
      <c r="C4296" s="4" t="s">
        <v>287</v>
      </c>
      <c r="D4296" s="94">
        <v>1839.0</v>
      </c>
    </row>
    <row r="4297">
      <c r="A4297" s="40">
        <f t="array" ref="A4297">IFNA(index(PlayerValues!A:A,match(IFNA(vlookup(B4297,'Special Names'!A:B,2,FALSE),B4297),PlayerValues!E:E,0)),"N/A")</f>
        <v>16585</v>
      </c>
      <c r="B4297" s="4" t="s">
        <v>623</v>
      </c>
      <c r="C4297" s="4" t="s">
        <v>283</v>
      </c>
      <c r="D4297" s="94">
        <v>1838.0</v>
      </c>
    </row>
    <row r="4298">
      <c r="A4298" s="40" t="str">
        <f t="array" ref="A4298">IFNA(index(PlayerValues!A:A,match(IFNA(vlookup(B4298,'Special Names'!A:B,2,FALSE),B4298),PlayerValues!E:E,0)),"N/A")</f>
        <v>N/A</v>
      </c>
      <c r="B4298" s="4" t="s">
        <v>101</v>
      </c>
      <c r="C4298" s="4" t="s">
        <v>325</v>
      </c>
      <c r="D4298" s="94">
        <v>1837.0</v>
      </c>
    </row>
    <row r="4299">
      <c r="A4299" s="40">
        <f t="array" ref="A4299">IFNA(index(PlayerValues!A:A,match(IFNA(vlookup(B4299,'Special Names'!A:B,2,FALSE),B4299),PlayerValues!E:E,0)),"N/A")</f>
        <v>7836</v>
      </c>
      <c r="B4299" s="4" t="s">
        <v>590</v>
      </c>
      <c r="C4299" s="4" t="s">
        <v>283</v>
      </c>
      <c r="D4299" s="94">
        <v>1829.0</v>
      </c>
    </row>
    <row r="4300">
      <c r="A4300" s="40">
        <f t="array" ref="A4300">IFNA(index(PlayerValues!A:A,match(IFNA(vlookup(B4300,'Special Names'!A:B,2,FALSE),B4300),PlayerValues!E:E,0)),"N/A")</f>
        <v>13189</v>
      </c>
      <c r="B4300" s="4" t="s">
        <v>626</v>
      </c>
      <c r="C4300" s="4" t="s">
        <v>298</v>
      </c>
      <c r="D4300" s="94">
        <v>2211.0</v>
      </c>
    </row>
    <row r="4301">
      <c r="A4301" s="40" t="str">
        <f t="array" ref="A4301">IFNA(index(PlayerValues!A:A,match(IFNA(vlookup(B4301,'Special Names'!A:B,2,FALSE),B4301),PlayerValues!E:E,0)),"N/A")</f>
        <v>N/A</v>
      </c>
      <c r="B4301" s="4" t="s">
        <v>89</v>
      </c>
      <c r="C4301" s="4" t="s">
        <v>325</v>
      </c>
      <c r="D4301" s="94">
        <v>1828.0</v>
      </c>
    </row>
    <row r="4302">
      <c r="A4302" s="40">
        <f t="array" ref="A4302">IFNA(index(PlayerValues!A:A,match(IFNA(vlookup(B4302,'Special Names'!A:B,2,FALSE),B4302),PlayerValues!E:E,0)),"N/A")</f>
        <v>16586</v>
      </c>
      <c r="B4302" s="4" t="s">
        <v>658</v>
      </c>
      <c r="C4302" s="4" t="s">
        <v>283</v>
      </c>
      <c r="D4302" s="94">
        <v>1811.0</v>
      </c>
    </row>
    <row r="4303">
      <c r="A4303" s="40">
        <f t="array" ref="A4303">IFNA(index(PlayerValues!A:A,match(IFNA(vlookup(B4303,'Special Names'!A:B,2,FALSE),B4303),PlayerValues!E:E,0)),"N/A")</f>
        <v>16604</v>
      </c>
      <c r="B4303" s="4" t="s">
        <v>476</v>
      </c>
      <c r="C4303" s="4" t="s">
        <v>278</v>
      </c>
      <c r="D4303" s="94">
        <v>1811.0</v>
      </c>
    </row>
    <row r="4304">
      <c r="A4304" s="40">
        <f t="array" ref="A4304">IFNA(index(PlayerValues!A:A,match(IFNA(vlookup(B4304,'Special Names'!A:B,2,FALSE),B4304),PlayerValues!E:E,0)),"N/A")</f>
        <v>16635</v>
      </c>
      <c r="B4304" s="4" t="s">
        <v>645</v>
      </c>
      <c r="C4304" s="4" t="s">
        <v>287</v>
      </c>
      <c r="D4304" s="94">
        <v>1799.0</v>
      </c>
    </row>
    <row r="4305">
      <c r="A4305" s="40">
        <f t="array" ref="A4305">IFNA(index(PlayerValues!A:A,match(IFNA(vlookup(B4305,'Special Names'!A:B,2,FALSE),B4305),PlayerValues!E:E,0)),"N/A")</f>
        <v>17035</v>
      </c>
      <c r="B4305" s="4" t="s">
        <v>650</v>
      </c>
      <c r="C4305" s="4" t="s">
        <v>283</v>
      </c>
      <c r="D4305" s="94">
        <v>1794.0</v>
      </c>
    </row>
    <row r="4306">
      <c r="A4306" s="40" t="str">
        <f t="array" ref="A4306">IFNA(index(PlayerValues!A:A,match(IFNA(vlookup(B4306,'Special Names'!A:B,2,FALSE),B4306),PlayerValues!E:E,0)),"N/A")</f>
        <v>N/A</v>
      </c>
      <c r="B4306" s="4" t="s">
        <v>102</v>
      </c>
      <c r="C4306" s="4" t="s">
        <v>325</v>
      </c>
      <c r="D4306" s="94">
        <v>1789.0</v>
      </c>
    </row>
    <row r="4307">
      <c r="A4307" s="40">
        <f t="array" ref="A4307">IFNA(index(PlayerValues!A:A,match(IFNA(vlookup(B4307,'Special Names'!A:B,2,FALSE),B4307),PlayerValues!E:E,0)),"N/A")</f>
        <v>15759</v>
      </c>
      <c r="B4307" s="4" t="s">
        <v>662</v>
      </c>
      <c r="C4307" s="4" t="s">
        <v>287</v>
      </c>
      <c r="D4307" s="94">
        <v>1780.0</v>
      </c>
    </row>
    <row r="4308">
      <c r="A4308" s="40">
        <f t="array" ref="A4308">IFNA(index(PlayerValues!A:A,match(IFNA(vlookup(B4308,'Special Names'!A:B,2,FALSE),B4308),PlayerValues!E:E,0)),"N/A")</f>
        <v>10700</v>
      </c>
      <c r="B4308" s="4" t="s">
        <v>596</v>
      </c>
      <c r="C4308" s="4" t="s">
        <v>283</v>
      </c>
      <c r="D4308" s="94">
        <v>1752.0</v>
      </c>
    </row>
    <row r="4309">
      <c r="A4309" s="40">
        <f t="array" ref="A4309">IFNA(index(PlayerValues!A:A,match(IFNA(vlookup(B4309,'Special Names'!A:B,2,FALSE),B4309),PlayerValues!E:E,0)),"N/A")</f>
        <v>11222</v>
      </c>
      <c r="B4309" s="4" t="s">
        <v>622</v>
      </c>
      <c r="C4309" s="4" t="s">
        <v>287</v>
      </c>
      <c r="D4309" s="94">
        <v>1749.0</v>
      </c>
    </row>
    <row r="4310">
      <c r="A4310" s="40">
        <f t="array" ref="A4310">IFNA(index(PlayerValues!A:A,match(IFNA(vlookup(B4310,'Special Names'!A:B,2,FALSE),B4310),PlayerValues!E:E,0)),"N/A")</f>
        <v>17517</v>
      </c>
      <c r="B4310" s="4" t="s">
        <v>454</v>
      </c>
      <c r="C4310" s="4" t="s">
        <v>287</v>
      </c>
      <c r="D4310" s="94">
        <v>1748.0</v>
      </c>
    </row>
    <row r="4311">
      <c r="A4311" s="40">
        <f t="array" ref="A4311">IFNA(index(PlayerValues!A:A,match(IFNA(vlookup(B4311,'Special Names'!A:B,2,FALSE),B4311),PlayerValues!E:E,0)),"N/A")</f>
        <v>14143</v>
      </c>
      <c r="B4311" s="4" t="s">
        <v>635</v>
      </c>
      <c r="C4311" s="4" t="s">
        <v>298</v>
      </c>
      <c r="D4311" s="94">
        <v>2125.0</v>
      </c>
    </row>
    <row r="4312">
      <c r="A4312" s="40">
        <f t="array" ref="A4312">IFNA(index(PlayerValues!A:A,match(IFNA(vlookup(B4312,'Special Names'!A:B,2,FALSE),B4312),PlayerValues!E:E,0)),"N/A")</f>
        <v>16788</v>
      </c>
      <c r="B4312" s="4" t="s">
        <v>621</v>
      </c>
      <c r="C4312" s="4" t="s">
        <v>287</v>
      </c>
      <c r="D4312" s="94">
        <v>1742.0</v>
      </c>
    </row>
    <row r="4313">
      <c r="A4313" s="40">
        <f t="array" ref="A4313">IFNA(index(PlayerValues!A:A,match(IFNA(vlookup(B4313,'Special Names'!A:B,2,FALSE),B4313),PlayerValues!E:E,0)),"N/A")</f>
        <v>16629</v>
      </c>
      <c r="B4313" s="4" t="s">
        <v>605</v>
      </c>
      <c r="C4313" s="4" t="s">
        <v>287</v>
      </c>
      <c r="D4313" s="94">
        <v>1735.0</v>
      </c>
    </row>
    <row r="4314">
      <c r="A4314" s="40">
        <f t="array" ref="A4314">IFNA(index(PlayerValues!A:A,match(IFNA(vlookup(B4314,'Special Names'!A:B,2,FALSE),B4314),PlayerValues!E:E,0)),"N/A")</f>
        <v>17058</v>
      </c>
      <c r="B4314" s="4" t="s">
        <v>641</v>
      </c>
      <c r="C4314" s="4" t="s">
        <v>278</v>
      </c>
      <c r="D4314" s="94">
        <v>1734.0</v>
      </c>
    </row>
    <row r="4315">
      <c r="A4315" s="40">
        <f t="array" ref="A4315">IFNA(index(PlayerValues!A:A,match(IFNA(vlookup(B4315,'Special Names'!A:B,2,FALSE),B4315),PlayerValues!E:E,0)),"N/A")</f>
        <v>16688</v>
      </c>
      <c r="B4315" s="4" t="s">
        <v>688</v>
      </c>
      <c r="C4315" s="4" t="s">
        <v>278</v>
      </c>
      <c r="D4315" s="94">
        <v>1731.0</v>
      </c>
    </row>
    <row r="4316">
      <c r="A4316" s="40">
        <f t="array" ref="A4316">IFNA(index(PlayerValues!A:A,match(IFNA(vlookup(B4316,'Special Names'!A:B,2,FALSE),B4316),PlayerValues!E:E,0)),"N/A")</f>
        <v>16207</v>
      </c>
      <c r="B4316" s="4" t="s">
        <v>636</v>
      </c>
      <c r="C4316" s="4" t="s">
        <v>287</v>
      </c>
      <c r="D4316" s="94">
        <v>1728.0</v>
      </c>
    </row>
    <row r="4317">
      <c r="A4317" s="40">
        <f t="array" ref="A4317">IFNA(index(PlayerValues!A:A,match(IFNA(vlookup(B4317,'Special Names'!A:B,2,FALSE),B4317),PlayerValues!E:E,0)),"N/A")</f>
        <v>17503</v>
      </c>
      <c r="B4317" s="4" t="s">
        <v>480</v>
      </c>
      <c r="C4317" s="4" t="s">
        <v>287</v>
      </c>
      <c r="D4317" s="94">
        <v>1727.0</v>
      </c>
    </row>
    <row r="4318">
      <c r="A4318" s="40">
        <f t="array" ref="A4318">IFNA(index(PlayerValues!A:A,match(IFNA(vlookup(B4318,'Special Names'!A:B,2,FALSE),B4318),PlayerValues!E:E,0)),"N/A")</f>
        <v>15337</v>
      </c>
      <c r="B4318" s="4" t="s">
        <v>655</v>
      </c>
      <c r="C4318" s="4" t="s">
        <v>298</v>
      </c>
      <c r="D4318" s="94">
        <v>2094.0</v>
      </c>
    </row>
    <row r="4319">
      <c r="A4319" s="40">
        <f t="array" ref="A4319">IFNA(index(PlayerValues!A:A,match(IFNA(vlookup(B4319,'Special Names'!A:B,2,FALSE),B4319),PlayerValues!E:E,0)),"N/A")</f>
        <v>17064</v>
      </c>
      <c r="B4319" s="4" t="s">
        <v>631</v>
      </c>
      <c r="C4319" s="4" t="s">
        <v>278</v>
      </c>
      <c r="D4319" s="94">
        <v>1706.0</v>
      </c>
    </row>
    <row r="4320">
      <c r="A4320" s="40">
        <f t="array" ref="A4320">IFNA(index(PlayerValues!A:A,match(IFNA(vlookup(B4320,'Special Names'!A:B,2,FALSE),B4320),PlayerValues!E:E,0)),"N/A")</f>
        <v>15777</v>
      </c>
      <c r="B4320" s="4" t="s">
        <v>694</v>
      </c>
      <c r="C4320" s="4" t="s">
        <v>287</v>
      </c>
      <c r="D4320" s="94">
        <v>1684.0</v>
      </c>
    </row>
    <row r="4321">
      <c r="A4321" s="40">
        <f t="array" ref="A4321">IFNA(index(PlayerValues!A:A,match(IFNA(vlookup(B4321,'Special Names'!A:B,2,FALSE),B4321),PlayerValues!E:E,0)),"N/A")</f>
        <v>16601</v>
      </c>
      <c r="B4321" s="4" t="s">
        <v>648</v>
      </c>
      <c r="C4321" s="4" t="s">
        <v>278</v>
      </c>
      <c r="D4321" s="94">
        <v>1667.0</v>
      </c>
    </row>
    <row r="4322">
      <c r="A4322" s="40">
        <f t="array" ref="A4322">IFNA(index(PlayerValues!A:A,match(IFNA(vlookup(B4322,'Special Names'!A:B,2,FALSE),B4322),PlayerValues!E:E,0)),"N/A")</f>
        <v>15788</v>
      </c>
      <c r="B4322" s="4" t="s">
        <v>627</v>
      </c>
      <c r="C4322" s="4" t="s">
        <v>287</v>
      </c>
      <c r="D4322" s="94">
        <v>1666.0</v>
      </c>
    </row>
    <row r="4323">
      <c r="A4323" s="40" t="str">
        <f t="array" ref="A4323">IFNA(index(PlayerValues!A:A,match(IFNA(vlookup(B4323,'Special Names'!A:B,2,FALSE),B4323),PlayerValues!E:E,0)),"N/A")</f>
        <v>N/A</v>
      </c>
      <c r="B4323" s="4" t="s">
        <v>103</v>
      </c>
      <c r="C4323" s="4" t="s">
        <v>325</v>
      </c>
      <c r="D4323" s="94">
        <v>1663.0</v>
      </c>
    </row>
    <row r="4324">
      <c r="A4324" s="40" t="str">
        <f t="array" ref="A4324">IFNA(index(PlayerValues!A:A,match(IFNA(vlookup(B4324,'Special Names'!A:B,2,FALSE),B4324),PlayerValues!E:E,0)),"N/A")</f>
        <v>N/A</v>
      </c>
      <c r="B4324" s="4" t="s">
        <v>90</v>
      </c>
      <c r="C4324" s="4" t="s">
        <v>325</v>
      </c>
      <c r="D4324" s="94">
        <v>1649.0</v>
      </c>
    </row>
    <row r="4325">
      <c r="A4325" s="40" t="str">
        <f t="array" ref="A4325">IFNA(index(PlayerValues!A:A,match(IFNA(vlookup(B4325,'Special Names'!A:B,2,FALSE),B4325),PlayerValues!E:E,0)),"N/A")</f>
        <v>N/A</v>
      </c>
      <c r="B4325" s="4" t="s">
        <v>115</v>
      </c>
      <c r="C4325" s="4" t="s">
        <v>325</v>
      </c>
      <c r="D4325" s="94">
        <v>1641.0</v>
      </c>
    </row>
    <row r="4326">
      <c r="A4326" s="40">
        <f t="array" ref="A4326">IFNA(index(PlayerValues!A:A,match(IFNA(vlookup(B4326,'Special Names'!A:B,2,FALSE),B4326),PlayerValues!E:E,0)),"N/A")</f>
        <v>17205</v>
      </c>
      <c r="B4326" s="4" t="s">
        <v>665</v>
      </c>
      <c r="C4326" s="4" t="s">
        <v>287</v>
      </c>
      <c r="D4326" s="94">
        <v>1640.0</v>
      </c>
    </row>
    <row r="4327">
      <c r="A4327" s="40">
        <f t="array" ref="A4327">IFNA(index(PlayerValues!A:A,match(IFNA(vlookup(B4327,'Special Names'!A:B,2,FALSE),B4327),PlayerValues!E:E,0)),"N/A")</f>
        <v>17234</v>
      </c>
      <c r="B4327" s="4" t="s">
        <v>653</v>
      </c>
      <c r="C4327" s="4" t="s">
        <v>287</v>
      </c>
      <c r="D4327" s="94">
        <v>1640.0</v>
      </c>
    </row>
    <row r="4328">
      <c r="A4328" s="40">
        <f t="array" ref="A4328">IFNA(index(PlayerValues!A:A,match(IFNA(vlookup(B4328,'Special Names'!A:B,2,FALSE),B4328),PlayerValues!E:E,0)),"N/A")</f>
        <v>16595</v>
      </c>
      <c r="B4328" s="4" t="s">
        <v>664</v>
      </c>
      <c r="C4328" s="4" t="s">
        <v>278</v>
      </c>
      <c r="D4328" s="94">
        <v>1625.0</v>
      </c>
    </row>
    <row r="4329">
      <c r="A4329" s="40">
        <f t="array" ref="A4329">IFNA(index(PlayerValues!A:A,match(IFNA(vlookup(B4329,'Special Names'!A:B,2,FALSE),B4329),PlayerValues!E:E,0)),"N/A")</f>
        <v>17037</v>
      </c>
      <c r="B4329" s="4" t="s">
        <v>727</v>
      </c>
      <c r="C4329" s="4" t="s">
        <v>283</v>
      </c>
      <c r="D4329" s="94">
        <v>1622.0</v>
      </c>
    </row>
    <row r="4330">
      <c r="A4330" s="40">
        <f t="array" ref="A4330">IFNA(index(PlayerValues!A:A,match(IFNA(vlookup(B4330,'Special Names'!A:B,2,FALSE),B4330),PlayerValues!E:E,0)),"N/A")</f>
        <v>17096</v>
      </c>
      <c r="B4330" s="4" t="s">
        <v>638</v>
      </c>
      <c r="C4330" s="4" t="s">
        <v>287</v>
      </c>
      <c r="D4330" s="94">
        <v>1617.0</v>
      </c>
    </row>
    <row r="4331">
      <c r="A4331" s="40">
        <f t="array" ref="A4331">IFNA(index(PlayerValues!A:A,match(IFNA(vlookup(B4331,'Special Names'!A:B,2,FALSE),B4331),PlayerValues!E:E,0)),"N/A")</f>
        <v>15713</v>
      </c>
      <c r="B4331" s="4" t="s">
        <v>732</v>
      </c>
      <c r="C4331" s="4" t="s">
        <v>278</v>
      </c>
      <c r="D4331" s="94">
        <v>1615.0</v>
      </c>
    </row>
    <row r="4332">
      <c r="A4332" s="40">
        <f t="array" ref="A4332">IFNA(index(PlayerValues!A:A,match(IFNA(vlookup(B4332,'Special Names'!A:B,2,FALSE),B4332),PlayerValues!E:E,0)),"N/A")</f>
        <v>15301</v>
      </c>
      <c r="B4332" s="4" t="s">
        <v>657</v>
      </c>
      <c r="C4332" s="4" t="s">
        <v>287</v>
      </c>
      <c r="D4332" s="94">
        <v>1612.0</v>
      </c>
    </row>
    <row r="4333">
      <c r="A4333" s="40">
        <f t="array" ref="A4333">IFNA(index(PlayerValues!A:A,match(IFNA(vlookup(B4333,'Special Names'!A:B,2,FALSE),B4333),PlayerValues!E:E,0)),"N/A")</f>
        <v>16633</v>
      </c>
      <c r="B4333" s="4" t="s">
        <v>656</v>
      </c>
      <c r="C4333" s="4" t="s">
        <v>287</v>
      </c>
      <c r="D4333" s="94">
        <v>1606.0</v>
      </c>
    </row>
    <row r="4334">
      <c r="A4334" s="40">
        <f t="array" ref="A4334">IFNA(index(PlayerValues!A:A,match(IFNA(vlookup(B4334,'Special Names'!A:B,2,FALSE),B4334),PlayerValues!E:E,0)),"N/A")</f>
        <v>16631</v>
      </c>
      <c r="B4334" s="4" t="s">
        <v>800</v>
      </c>
      <c r="C4334" s="4" t="s">
        <v>287</v>
      </c>
      <c r="D4334" s="94">
        <v>1603.0</v>
      </c>
    </row>
    <row r="4335">
      <c r="A4335" s="40">
        <f t="array" ref="A4335">IFNA(index(PlayerValues!A:A,match(IFNA(vlookup(B4335,'Special Names'!A:B,2,FALSE),B4335),PlayerValues!E:E,0)),"N/A")</f>
        <v>15252</v>
      </c>
      <c r="B4335" s="4" t="s">
        <v>715</v>
      </c>
      <c r="C4335" s="4" t="s">
        <v>283</v>
      </c>
      <c r="D4335" s="94">
        <v>1599.0</v>
      </c>
    </row>
    <row r="4336">
      <c r="A4336" s="40">
        <f t="array" ref="A4336">IFNA(index(PlayerValues!A:A,match(IFNA(vlookup(B4336,'Special Names'!A:B,2,FALSE),B4336),PlayerValues!E:E,0)),"N/A")</f>
        <v>14122</v>
      </c>
      <c r="B4336" s="4" t="s">
        <v>663</v>
      </c>
      <c r="C4336" s="4" t="s">
        <v>287</v>
      </c>
      <c r="D4336" s="94">
        <v>1590.0</v>
      </c>
    </row>
    <row r="4337">
      <c r="A4337" s="40">
        <f t="array" ref="A4337">IFNA(index(PlayerValues!A:A,match(IFNA(vlookup(B4337,'Special Names'!A:B,2,FALSE),B4337),PlayerValues!E:E,0)),"N/A")</f>
        <v>15319</v>
      </c>
      <c r="B4337" s="4" t="s">
        <v>644</v>
      </c>
      <c r="C4337" s="4" t="s">
        <v>287</v>
      </c>
      <c r="D4337" s="94">
        <v>1583.0</v>
      </c>
    </row>
    <row r="4338">
      <c r="A4338" s="40">
        <f t="array" ref="A4338">IFNA(index(PlayerValues!A:A,match(IFNA(vlookup(B4338,'Special Names'!A:B,2,FALSE),B4338),PlayerValues!E:E,0)),"N/A")</f>
        <v>15797</v>
      </c>
      <c r="B4338" s="4" t="s">
        <v>556</v>
      </c>
      <c r="C4338" s="4" t="s">
        <v>298</v>
      </c>
      <c r="D4338" s="94">
        <v>1957.0</v>
      </c>
    </row>
    <row r="4339">
      <c r="A4339" s="40">
        <f t="array" ref="A4339">IFNA(index(PlayerValues!A:A,match(IFNA(vlookup(B4339,'Special Names'!A:B,2,FALSE),B4339),PlayerValues!E:E,0)),"N/A")</f>
        <v>15873</v>
      </c>
      <c r="B4339" s="4" t="s">
        <v>681</v>
      </c>
      <c r="C4339" s="4" t="s">
        <v>298</v>
      </c>
      <c r="D4339" s="94">
        <v>1955.0</v>
      </c>
    </row>
    <row r="4340">
      <c r="A4340" s="40">
        <f t="array" ref="A4340">IFNA(index(PlayerValues!A:A,match(IFNA(vlookup(B4340,'Special Names'!A:B,2,FALSE),B4340),PlayerValues!E:E,0)),"N/A")</f>
        <v>15752</v>
      </c>
      <c r="B4340" s="4" t="s">
        <v>647</v>
      </c>
      <c r="C4340" s="4" t="s">
        <v>287</v>
      </c>
      <c r="D4340" s="94">
        <v>1572.0</v>
      </c>
    </row>
    <row r="4341">
      <c r="A4341" s="40">
        <f t="array" ref="A4341">IFNA(index(PlayerValues!A:A,match(IFNA(vlookup(B4341,'Special Names'!A:B,2,FALSE),B4341),PlayerValues!E:E,0)),"N/A")</f>
        <v>12140</v>
      </c>
      <c r="B4341" s="4" t="s">
        <v>702</v>
      </c>
      <c r="C4341" s="4" t="s">
        <v>283</v>
      </c>
      <c r="D4341" s="94">
        <v>1556.0</v>
      </c>
    </row>
    <row r="4342">
      <c r="A4342" s="40">
        <f t="array" ref="A4342">IFNA(index(PlayerValues!A:A,match(IFNA(vlookup(B4342,'Special Names'!A:B,2,FALSE),B4342),PlayerValues!E:E,0)),"N/A")</f>
        <v>13418</v>
      </c>
      <c r="B4342" s="4" t="s">
        <v>706</v>
      </c>
      <c r="C4342" s="4" t="s">
        <v>287</v>
      </c>
      <c r="D4342" s="94">
        <v>1540.0</v>
      </c>
    </row>
    <row r="4343">
      <c r="A4343" s="40">
        <f t="array" ref="A4343">IFNA(index(PlayerValues!A:A,match(IFNA(vlookup(B4343,'Special Names'!A:B,2,FALSE),B4343),PlayerValues!E:E,0)),"N/A")</f>
        <v>12141</v>
      </c>
      <c r="B4343" s="4" t="s">
        <v>744</v>
      </c>
      <c r="C4343" s="4" t="s">
        <v>283</v>
      </c>
      <c r="D4343" s="94">
        <v>1529.0</v>
      </c>
    </row>
    <row r="4344">
      <c r="A4344" s="40" t="str">
        <f t="array" ref="A4344">IFNA(index(PlayerValues!A:A,match(IFNA(vlookup(B4344,'Special Names'!A:B,2,FALSE),B4344),PlayerValues!E:E,0)),"N/A")</f>
        <v>N/A</v>
      </c>
      <c r="B4344" s="4" t="s">
        <v>91</v>
      </c>
      <c r="C4344" s="4" t="s">
        <v>325</v>
      </c>
      <c r="D4344" s="94">
        <v>1527.0</v>
      </c>
    </row>
    <row r="4345">
      <c r="A4345" s="40" t="str">
        <f t="array" ref="A4345">IFNA(index(PlayerValues!A:A,match(IFNA(vlookup(B4345,'Special Names'!A:B,2,FALSE),B4345),PlayerValues!E:E,0)),"N/A")</f>
        <v>N/A</v>
      </c>
      <c r="B4345" s="4" t="s">
        <v>116</v>
      </c>
      <c r="C4345" s="4" t="s">
        <v>325</v>
      </c>
      <c r="D4345" s="94">
        <v>1527.0</v>
      </c>
    </row>
    <row r="4346">
      <c r="A4346" s="40">
        <f t="array" ref="A4346">IFNA(index(PlayerValues!A:A,match(IFNA(vlookup(B4346,'Special Names'!A:B,2,FALSE),B4346),PlayerValues!E:E,0)),"N/A")</f>
        <v>16384</v>
      </c>
      <c r="B4346" s="4" t="s">
        <v>696</v>
      </c>
      <c r="C4346" s="4" t="s">
        <v>283</v>
      </c>
      <c r="D4346" s="94">
        <v>1524.0</v>
      </c>
    </row>
    <row r="4347">
      <c r="A4347" s="40">
        <f t="array" ref="A4347">IFNA(index(PlayerValues!A:A,match(IFNA(vlookup(B4347,'Special Names'!A:B,2,FALSE),B4347),PlayerValues!E:E,0)),"N/A")</f>
        <v>14137</v>
      </c>
      <c r="B4347" s="4" t="s">
        <v>676</v>
      </c>
      <c r="C4347" s="4" t="s">
        <v>298</v>
      </c>
      <c r="D4347" s="94">
        <v>1887.0</v>
      </c>
    </row>
    <row r="4348">
      <c r="A4348" s="40">
        <f t="array" ref="A4348">IFNA(index(PlayerValues!A:A,match(IFNA(vlookup(B4348,'Special Names'!A:B,2,FALSE),B4348),PlayerValues!E:E,0)),"N/A")</f>
        <v>17077</v>
      </c>
      <c r="B4348" s="4" t="s">
        <v>714</v>
      </c>
      <c r="C4348" s="4" t="s">
        <v>287</v>
      </c>
      <c r="D4348" s="94">
        <v>1510.0</v>
      </c>
    </row>
    <row r="4349">
      <c r="A4349" s="40">
        <f t="array" ref="A4349">IFNA(index(PlayerValues!A:A,match(IFNA(vlookup(B4349,'Special Names'!A:B,2,FALSE),B4349),PlayerValues!E:E,0)),"N/A")</f>
        <v>17254</v>
      </c>
      <c r="B4349" s="4" t="s">
        <v>679</v>
      </c>
      <c r="C4349" s="4" t="s">
        <v>287</v>
      </c>
      <c r="D4349" s="94">
        <v>1506.0</v>
      </c>
    </row>
    <row r="4350">
      <c r="A4350" s="40">
        <f t="array" ref="A4350">IFNA(index(PlayerValues!A:A,match(IFNA(vlookup(B4350,'Special Names'!A:B,2,FALSE),B4350),PlayerValues!E:E,0)),"N/A")</f>
        <v>16390</v>
      </c>
      <c r="B4350" s="4" t="s">
        <v>689</v>
      </c>
      <c r="C4350" s="4" t="s">
        <v>278</v>
      </c>
      <c r="D4350" s="94">
        <v>1497.0</v>
      </c>
    </row>
    <row r="4351">
      <c r="A4351" s="40">
        <f t="array" ref="A4351">IFNA(index(PlayerValues!A:A,match(IFNA(vlookup(B4351,'Special Names'!A:B,2,FALSE),B4351),PlayerValues!E:E,0)),"N/A")</f>
        <v>17269</v>
      </c>
      <c r="B4351" s="4" t="s">
        <v>718</v>
      </c>
      <c r="C4351" s="4" t="s">
        <v>287</v>
      </c>
      <c r="D4351" s="94">
        <v>1497.0</v>
      </c>
    </row>
    <row r="4352">
      <c r="A4352" s="40">
        <f t="array" ref="A4352">IFNA(index(PlayerValues!A:A,match(IFNA(vlookup(B4352,'Special Names'!A:B,2,FALSE),B4352),PlayerValues!E:E,0)),"N/A")</f>
        <v>16175</v>
      </c>
      <c r="B4352" s="4" t="s">
        <v>654</v>
      </c>
      <c r="C4352" s="4" t="s">
        <v>278</v>
      </c>
      <c r="D4352" s="94">
        <v>1489.0</v>
      </c>
    </row>
    <row r="4353">
      <c r="A4353" s="40">
        <f t="array" ref="A4353">IFNA(index(PlayerValues!A:A,match(IFNA(vlookup(B4353,'Special Names'!A:B,2,FALSE),B4353),PlayerValues!E:E,0)),"N/A")</f>
        <v>15332</v>
      </c>
      <c r="B4353" s="4" t="s">
        <v>698</v>
      </c>
      <c r="C4353" s="4" t="s">
        <v>298</v>
      </c>
      <c r="D4353" s="94">
        <v>1863.0</v>
      </c>
    </row>
    <row r="4354">
      <c r="A4354" s="40">
        <f t="array" ref="A4354">IFNA(index(PlayerValues!A:A,match(IFNA(vlookup(B4354,'Special Names'!A:B,2,FALSE),B4354),PlayerValues!E:E,0)),"N/A")</f>
        <v>16642</v>
      </c>
      <c r="B4354" s="4" t="s">
        <v>691</v>
      </c>
      <c r="C4354" s="4" t="s">
        <v>298</v>
      </c>
      <c r="D4354" s="94">
        <v>1850.0</v>
      </c>
    </row>
    <row r="4355">
      <c r="A4355" s="40">
        <f t="array" ref="A4355">IFNA(index(PlayerValues!A:A,match(IFNA(vlookup(B4355,'Special Names'!A:B,2,FALSE),B4355),PlayerValues!E:E,0)),"N/A")</f>
        <v>14080</v>
      </c>
      <c r="B4355" s="4" t="s">
        <v>716</v>
      </c>
      <c r="C4355" s="4" t="s">
        <v>278</v>
      </c>
      <c r="D4355" s="94">
        <v>1460.0</v>
      </c>
    </row>
    <row r="4356">
      <c r="A4356" s="40">
        <f t="array" ref="A4356">IFNA(index(PlayerValues!A:A,match(IFNA(vlookup(B4356,'Special Names'!A:B,2,FALSE),B4356),PlayerValues!E:E,0)),"N/A")</f>
        <v>16621</v>
      </c>
      <c r="B4356" s="4" t="s">
        <v>672</v>
      </c>
      <c r="C4356" s="4" t="s">
        <v>287</v>
      </c>
      <c r="D4356" s="94">
        <v>1450.0</v>
      </c>
    </row>
    <row r="4357">
      <c r="A4357" s="40">
        <f t="array" ref="A4357">IFNA(index(PlayerValues!A:A,match(IFNA(vlookup(B4357,'Special Names'!A:B,2,FALSE),B4357),PlayerValues!E:E,0)),"N/A")</f>
        <v>16149</v>
      </c>
      <c r="B4357" s="4" t="s">
        <v>740</v>
      </c>
      <c r="C4357" s="4" t="s">
        <v>283</v>
      </c>
      <c r="D4357" s="94">
        <v>1446.0</v>
      </c>
    </row>
    <row r="4358">
      <c r="A4358" s="40">
        <f t="array" ref="A4358">IFNA(index(PlayerValues!A:A,match(IFNA(vlookup(B4358,'Special Names'!A:B,2,FALSE),B4358),PlayerValues!E:E,0)),"N/A")</f>
        <v>17062</v>
      </c>
      <c r="B4358" s="4" t="s">
        <v>701</v>
      </c>
      <c r="C4358" s="4" t="s">
        <v>278</v>
      </c>
      <c r="D4358" s="94">
        <v>1446.0</v>
      </c>
    </row>
    <row r="4359">
      <c r="A4359" s="40">
        <f t="array" ref="A4359">IFNA(index(PlayerValues!A:A,match(IFNA(vlookup(B4359,'Special Names'!A:B,2,FALSE),B4359),PlayerValues!E:E,0)),"N/A")</f>
        <v>15727</v>
      </c>
      <c r="B4359" s="4" t="s">
        <v>730</v>
      </c>
      <c r="C4359" s="4" t="s">
        <v>278</v>
      </c>
      <c r="D4359" s="94">
        <v>1445.0</v>
      </c>
    </row>
    <row r="4360">
      <c r="A4360" s="40">
        <f t="array" ref="A4360">IFNA(index(PlayerValues!A:A,match(IFNA(vlookup(B4360,'Special Names'!A:B,2,FALSE),B4360),PlayerValues!E:E,0)),"N/A")</f>
        <v>15292</v>
      </c>
      <c r="B4360" s="4" t="s">
        <v>682</v>
      </c>
      <c r="C4360" s="4" t="s">
        <v>287</v>
      </c>
      <c r="D4360" s="94">
        <v>1439.0</v>
      </c>
    </row>
    <row r="4361">
      <c r="A4361" s="40">
        <f t="array" ref="A4361">IFNA(index(PlayerValues!A:A,match(IFNA(vlookup(B4361,'Special Names'!A:B,2,FALSE),B4361),PlayerValues!E:E,0)),"N/A")</f>
        <v>15738</v>
      </c>
      <c r="B4361" s="4" t="s">
        <v>634</v>
      </c>
      <c r="C4361" s="4" t="s">
        <v>278</v>
      </c>
      <c r="D4361" s="94">
        <v>1424.0</v>
      </c>
    </row>
    <row r="4362">
      <c r="A4362" s="40">
        <f t="array" ref="A4362">IFNA(index(PlayerValues!A:A,match(IFNA(vlookup(B4362,'Special Names'!A:B,2,FALSE),B4362),PlayerValues!E:E,0)),"N/A")</f>
        <v>13193</v>
      </c>
      <c r="B4362" s="4" t="s">
        <v>773</v>
      </c>
      <c r="C4362" s="4" t="s">
        <v>298</v>
      </c>
      <c r="D4362" s="94">
        <v>1796.0</v>
      </c>
    </row>
    <row r="4363">
      <c r="A4363" s="40">
        <f t="array" ref="A4363">IFNA(index(PlayerValues!A:A,match(IFNA(vlookup(B4363,'Special Names'!A:B,2,FALSE),B4363),PlayerValues!E:E,0)),"N/A")</f>
        <v>14592</v>
      </c>
      <c r="B4363" s="4" t="s">
        <v>705</v>
      </c>
      <c r="C4363" s="4" t="s">
        <v>287</v>
      </c>
      <c r="D4363" s="94">
        <v>1422.0</v>
      </c>
    </row>
    <row r="4364">
      <c r="A4364" s="40">
        <f t="array" ref="A4364">IFNA(index(PlayerValues!A:A,match(IFNA(vlookup(B4364,'Special Names'!A:B,2,FALSE),B4364),PlayerValues!E:E,0)),"N/A")</f>
        <v>17508</v>
      </c>
      <c r="B4364" s="4" t="s">
        <v>534</v>
      </c>
      <c r="C4364" s="4" t="s">
        <v>287</v>
      </c>
      <c r="D4364" s="94">
        <v>1416.0</v>
      </c>
    </row>
    <row r="4365">
      <c r="A4365" s="40">
        <f t="array" ref="A4365">IFNA(index(PlayerValues!A:A,match(IFNA(vlookup(B4365,'Special Names'!A:B,2,FALSE),B4365),PlayerValues!E:E,0)),"N/A")</f>
        <v>15258</v>
      </c>
      <c r="B4365" s="4" t="s">
        <v>757</v>
      </c>
      <c r="C4365" s="4" t="s">
        <v>278</v>
      </c>
      <c r="D4365" s="94">
        <v>1409.0</v>
      </c>
    </row>
    <row r="4366">
      <c r="A4366" s="40">
        <f t="array" ref="A4366">IFNA(index(PlayerValues!A:A,match(IFNA(vlookup(B4366,'Special Names'!A:B,2,FALSE),B4366),PlayerValues!E:E,0)),"N/A")</f>
        <v>13672</v>
      </c>
      <c r="B4366" s="4" t="s">
        <v>667</v>
      </c>
      <c r="C4366" s="4" t="s">
        <v>298</v>
      </c>
      <c r="D4366" s="94">
        <v>1777.0</v>
      </c>
    </row>
    <row r="4367">
      <c r="A4367" s="40">
        <f t="array" ref="A4367">IFNA(index(PlayerValues!A:A,match(IFNA(vlookup(B4367,'Special Names'!A:B,2,FALSE),B4367),PlayerValues!E:E,0)),"N/A")</f>
        <v>17547</v>
      </c>
      <c r="B4367" s="4" t="s">
        <v>552</v>
      </c>
      <c r="C4367" s="4" t="s">
        <v>298</v>
      </c>
      <c r="D4367" s="94">
        <v>1762.0</v>
      </c>
    </row>
    <row r="4368">
      <c r="A4368" s="40">
        <f t="array" ref="A4368">IFNA(index(PlayerValues!A:A,match(IFNA(vlookup(B4368,'Special Names'!A:B,2,FALSE),B4368),PlayerValues!E:E,0)),"N/A")</f>
        <v>12678</v>
      </c>
      <c r="B4368" s="4" t="s">
        <v>703</v>
      </c>
      <c r="C4368" s="4" t="s">
        <v>298</v>
      </c>
      <c r="D4368" s="94">
        <v>1722.0</v>
      </c>
    </row>
    <row r="4369">
      <c r="A4369" s="40">
        <f t="array" ref="A4369">IFNA(index(PlayerValues!A:A,match(IFNA(vlookup(B4369,'Special Names'!A:B,2,FALSE),B4369),PlayerValues!E:E,0)),"N/A")</f>
        <v>16792</v>
      </c>
      <c r="B4369" s="4" t="s">
        <v>704</v>
      </c>
      <c r="C4369" s="4" t="s">
        <v>287</v>
      </c>
      <c r="D4369" s="94">
        <v>1341.0</v>
      </c>
    </row>
    <row r="4370">
      <c r="A4370" s="40" t="str">
        <f t="array" ref="A4370">IFNA(index(PlayerValues!A:A,match(IFNA(vlookup(B4370,'Special Names'!A:B,2,FALSE),B4370),PlayerValues!E:E,0)),"N/A")</f>
        <v>N/A</v>
      </c>
      <c r="B4370" s="4" t="s">
        <v>117</v>
      </c>
      <c r="C4370" s="4" t="s">
        <v>325</v>
      </c>
      <c r="D4370" s="94">
        <v>1338.0</v>
      </c>
    </row>
    <row r="4371">
      <c r="A4371" s="40">
        <f t="array" ref="A4371">IFNA(index(PlayerValues!A:A,match(IFNA(vlookup(B4371,'Special Names'!A:B,2,FALSE),B4371),PlayerValues!E:E,0)),"N/A")</f>
        <v>17097</v>
      </c>
      <c r="B4371" s="4" t="s">
        <v>659</v>
      </c>
      <c r="C4371" s="4" t="s">
        <v>287</v>
      </c>
      <c r="D4371" s="94">
        <v>1334.0</v>
      </c>
    </row>
    <row r="4372">
      <c r="A4372" s="40">
        <f t="array" ref="A4372">IFNA(index(PlayerValues!A:A,match(IFNA(vlookup(B4372,'Special Names'!A:B,2,FALSE),B4372),PlayerValues!E:E,0)),"N/A")</f>
        <v>15702</v>
      </c>
      <c r="B4372" s="4" t="s">
        <v>723</v>
      </c>
      <c r="C4372" s="4" t="s">
        <v>283</v>
      </c>
      <c r="D4372" s="94">
        <v>1326.0</v>
      </c>
    </row>
    <row r="4373">
      <c r="A4373" s="40">
        <f t="array" ref="A4373">IFNA(index(PlayerValues!A:A,match(IFNA(vlookup(B4373,'Special Names'!A:B,2,FALSE),B4373),PlayerValues!E:E,0)),"N/A")</f>
        <v>14086</v>
      </c>
      <c r="B4373" s="4" t="s">
        <v>639</v>
      </c>
      <c r="C4373" s="4" t="s">
        <v>278</v>
      </c>
      <c r="D4373" s="94">
        <v>1321.0</v>
      </c>
    </row>
    <row r="4374">
      <c r="A4374" s="40">
        <f t="array" ref="A4374">IFNA(index(PlayerValues!A:A,match(IFNA(vlookup(B4374,'Special Names'!A:B,2,FALSE),B4374),PlayerValues!E:E,0)),"N/A")</f>
        <v>13131</v>
      </c>
      <c r="B4374" s="4" t="s">
        <v>815</v>
      </c>
      <c r="C4374" s="4" t="s">
        <v>278</v>
      </c>
      <c r="D4374" s="94">
        <v>1320.0</v>
      </c>
    </row>
    <row r="4375">
      <c r="A4375" s="40">
        <f t="array" ref="A4375">IFNA(index(PlayerValues!A:A,match(IFNA(vlookup(B4375,'Special Names'!A:B,2,FALSE),B4375),PlayerValues!E:E,0)),"N/A")</f>
        <v>17512</v>
      </c>
      <c r="B4375" s="4" t="s">
        <v>483</v>
      </c>
      <c r="C4375" s="4" t="s">
        <v>287</v>
      </c>
      <c r="D4375" s="94">
        <v>1319.0</v>
      </c>
    </row>
    <row r="4376">
      <c r="A4376" s="40">
        <f t="array" ref="A4376">IFNA(index(PlayerValues!A:A,match(IFNA(vlookup(B4376,'Special Names'!A:B,2,FALSE),B4376),PlayerValues!E:E,0)),"N/A")</f>
        <v>16183</v>
      </c>
      <c r="B4376" s="4" t="s">
        <v>678</v>
      </c>
      <c r="C4376" s="4" t="s">
        <v>287</v>
      </c>
      <c r="D4376" s="94">
        <v>1315.0</v>
      </c>
    </row>
    <row r="4377">
      <c r="A4377" s="40">
        <f t="array" ref="A4377">IFNA(index(PlayerValues!A:A,match(IFNA(vlookup(B4377,'Special Names'!A:B,2,FALSE),B4377),PlayerValues!E:E,0)),"N/A")</f>
        <v>16608</v>
      </c>
      <c r="B4377" s="4" t="s">
        <v>629</v>
      </c>
      <c r="C4377" s="4" t="s">
        <v>278</v>
      </c>
      <c r="D4377" s="94">
        <v>1311.0</v>
      </c>
    </row>
    <row r="4378">
      <c r="A4378" s="40">
        <f t="array" ref="A4378">IFNA(index(PlayerValues!A:A,match(IFNA(vlookup(B4378,'Special Names'!A:B,2,FALSE),B4378),PlayerValues!E:E,0)),"N/A")</f>
        <v>15240</v>
      </c>
      <c r="B4378" s="4" t="s">
        <v>751</v>
      </c>
      <c r="C4378" s="4" t="s">
        <v>283</v>
      </c>
      <c r="D4378" s="94">
        <v>1293.0</v>
      </c>
    </row>
    <row r="4379">
      <c r="A4379" s="40">
        <f t="array" ref="A4379">IFNA(index(PlayerValues!A:A,match(IFNA(vlookup(B4379,'Special Names'!A:B,2,FALSE),B4379),PlayerValues!E:E,0)),"N/A")</f>
        <v>17063</v>
      </c>
      <c r="B4379" s="4" t="s">
        <v>686</v>
      </c>
      <c r="C4379" s="4" t="s">
        <v>278</v>
      </c>
      <c r="D4379" s="94">
        <v>1289.0</v>
      </c>
    </row>
    <row r="4380">
      <c r="A4380" s="40">
        <f t="array" ref="A4380">IFNA(index(PlayerValues!A:A,match(IFNA(vlookup(B4380,'Special Names'!A:B,2,FALSE),B4380),PlayerValues!E:E,0)),"N/A")</f>
        <v>14067</v>
      </c>
      <c r="B4380" s="4" t="s">
        <v>735</v>
      </c>
      <c r="C4380" s="4" t="s">
        <v>283</v>
      </c>
      <c r="D4380" s="94">
        <v>1271.0</v>
      </c>
    </row>
    <row r="4381">
      <c r="A4381" s="40">
        <f t="array" ref="A4381">IFNA(index(PlayerValues!A:A,match(IFNA(vlookup(B4381,'Special Names'!A:B,2,FALSE),B4381),PlayerValues!E:E,0)),"N/A")</f>
        <v>14789</v>
      </c>
      <c r="B4381" s="4" t="s">
        <v>721</v>
      </c>
      <c r="C4381" s="4" t="s">
        <v>283</v>
      </c>
      <c r="D4381" s="94">
        <v>1266.0</v>
      </c>
    </row>
    <row r="4382">
      <c r="A4382" s="40">
        <f t="array" ref="A4382">IFNA(index(PlayerValues!A:A,match(IFNA(vlookup(B4382,'Special Names'!A:B,2,FALSE),B4382),PlayerValues!E:E,0)),"N/A")</f>
        <v>14095</v>
      </c>
      <c r="B4382" s="4" t="s">
        <v>680</v>
      </c>
      <c r="C4382" s="4" t="s">
        <v>278</v>
      </c>
      <c r="D4382" s="94">
        <v>1258.0</v>
      </c>
    </row>
    <row r="4383">
      <c r="A4383" s="40">
        <f t="array" ref="A4383">IFNA(index(PlayerValues!A:A,match(IFNA(vlookup(B4383,'Special Names'!A:B,2,FALSE),B4383),PlayerValues!E:E,0)),"N/A")</f>
        <v>16221</v>
      </c>
      <c r="B4383" s="4" t="s">
        <v>725</v>
      </c>
      <c r="C4383" s="4" t="s">
        <v>298</v>
      </c>
      <c r="D4383" s="94">
        <v>1623.0</v>
      </c>
    </row>
    <row r="4384">
      <c r="A4384" s="40">
        <f t="array" ref="A4384">IFNA(index(PlayerValues!A:A,match(IFNA(vlookup(B4384,'Special Names'!A:B,2,FALSE),B4384),PlayerValues!E:E,0)),"N/A")</f>
        <v>16746</v>
      </c>
      <c r="B4384" s="4" t="s">
        <v>709</v>
      </c>
      <c r="C4384" s="4" t="s">
        <v>278</v>
      </c>
      <c r="D4384" s="94">
        <v>1253.0</v>
      </c>
    </row>
    <row r="4385">
      <c r="A4385" s="40">
        <f t="array" ref="A4385">IFNA(index(PlayerValues!A:A,match(IFNA(vlookup(B4385,'Special Names'!A:B,2,FALSE),B4385),PlayerValues!E:E,0)),"N/A")</f>
        <v>17528</v>
      </c>
      <c r="B4385" s="4" t="s">
        <v>579</v>
      </c>
      <c r="C4385" s="4" t="s">
        <v>287</v>
      </c>
      <c r="D4385" s="94">
        <v>1249.0</v>
      </c>
    </row>
    <row r="4386">
      <c r="A4386" s="40">
        <f t="array" ref="A4386">IFNA(index(PlayerValues!A:A,match(IFNA(vlookup(B4386,'Special Names'!A:B,2,FALSE),B4386),PlayerValues!E:E,0)),"N/A")</f>
        <v>15981</v>
      </c>
      <c r="B4386" s="4" t="s">
        <v>729</v>
      </c>
      <c r="C4386" s="4" t="s">
        <v>287</v>
      </c>
      <c r="D4386" s="94">
        <v>1247.0</v>
      </c>
    </row>
    <row r="4387">
      <c r="A4387" s="40">
        <f t="array" ref="A4387">IFNA(index(PlayerValues!A:A,match(IFNA(vlookup(B4387,'Special Names'!A:B,2,FALSE),B4387),PlayerValues!E:E,0)),"N/A")</f>
        <v>16636</v>
      </c>
      <c r="B4387" s="4" t="s">
        <v>699</v>
      </c>
      <c r="C4387" s="4" t="s">
        <v>287</v>
      </c>
      <c r="D4387" s="94">
        <v>1244.0</v>
      </c>
    </row>
    <row r="4388">
      <c r="A4388" s="40">
        <f t="array" ref="A4388">IFNA(index(PlayerValues!A:A,match(IFNA(vlookup(B4388,'Special Names'!A:B,2,FALSE),B4388),PlayerValues!E:E,0)),"N/A")</f>
        <v>17546</v>
      </c>
      <c r="B4388" s="4" t="s">
        <v>671</v>
      </c>
      <c r="C4388" s="4" t="s">
        <v>298</v>
      </c>
      <c r="D4388" s="94">
        <v>1610.0</v>
      </c>
    </row>
    <row r="4389">
      <c r="A4389" s="40">
        <f t="array" ref="A4389">IFNA(index(PlayerValues!A:A,match(IFNA(vlookup(B4389,'Special Names'!A:B,2,FALSE),B4389),PlayerValues!E:E,0)),"N/A")</f>
        <v>16199</v>
      </c>
      <c r="B4389" s="4" t="s">
        <v>687</v>
      </c>
      <c r="C4389" s="4" t="s">
        <v>287</v>
      </c>
      <c r="D4389" s="94">
        <v>1234.0</v>
      </c>
    </row>
    <row r="4390">
      <c r="A4390" s="40">
        <f t="array" ref="A4390">IFNA(index(PlayerValues!A:A,match(IFNA(vlookup(B4390,'Special Names'!A:B,2,FALSE),B4390),PlayerValues!E:E,0)),"N/A")</f>
        <v>16385</v>
      </c>
      <c r="B4390" s="4" t="s">
        <v>690</v>
      </c>
      <c r="C4390" s="4" t="s">
        <v>278</v>
      </c>
      <c r="D4390" s="94">
        <v>1231.0</v>
      </c>
    </row>
    <row r="4391">
      <c r="A4391" s="40">
        <f t="array" ref="A4391">IFNA(index(PlayerValues!A:A,match(IFNA(vlookup(B4391,'Special Names'!A:B,2,FALSE),B4391),PlayerValues!E:E,0)),"N/A")</f>
        <v>13289</v>
      </c>
      <c r="B4391" s="4" t="s">
        <v>746</v>
      </c>
      <c r="C4391" s="4" t="s">
        <v>287</v>
      </c>
      <c r="D4391" s="94">
        <v>1223.0</v>
      </c>
    </row>
    <row r="4392">
      <c r="A4392" s="40">
        <f t="array" ref="A4392">IFNA(index(PlayerValues!A:A,match(IFNA(vlookup(B4392,'Special Names'!A:B,2,FALSE),B4392),PlayerValues!E:E,0)),"N/A")</f>
        <v>15288</v>
      </c>
      <c r="B4392" s="4" t="s">
        <v>700</v>
      </c>
      <c r="C4392" s="4" t="s">
        <v>287</v>
      </c>
      <c r="D4392" s="94">
        <v>1223.0</v>
      </c>
    </row>
    <row r="4393">
      <c r="A4393" s="40">
        <f t="array" ref="A4393">IFNA(index(PlayerValues!A:A,match(IFNA(vlookup(B4393,'Special Names'!A:B,2,FALSE),B4393),PlayerValues!E:E,0)),"N/A")</f>
        <v>14108</v>
      </c>
      <c r="B4393" s="4" t="s">
        <v>673</v>
      </c>
      <c r="C4393" s="4" t="s">
        <v>287</v>
      </c>
      <c r="D4393" s="94">
        <v>1221.0</v>
      </c>
    </row>
    <row r="4394">
      <c r="A4394" s="40">
        <f t="array" ref="A4394">IFNA(index(PlayerValues!A:A,match(IFNA(vlookup(B4394,'Special Names'!A:B,2,FALSE),B4394),PlayerValues!E:E,0)),"N/A")</f>
        <v>17054</v>
      </c>
      <c r="B4394" s="4" t="s">
        <v>670</v>
      </c>
      <c r="C4394" s="4" t="s">
        <v>278</v>
      </c>
      <c r="D4394" s="94">
        <v>1200.0</v>
      </c>
    </row>
    <row r="4395">
      <c r="A4395" s="40">
        <f t="array" ref="A4395">IFNA(index(PlayerValues!A:A,match(IFNA(vlookup(B4395,'Special Names'!A:B,2,FALSE),B4395),PlayerValues!E:E,0)),"N/A")</f>
        <v>16645</v>
      </c>
      <c r="B4395" s="4" t="s">
        <v>651</v>
      </c>
      <c r="C4395" s="4" t="s">
        <v>298</v>
      </c>
      <c r="D4395" s="94">
        <v>1565.0</v>
      </c>
    </row>
    <row r="4396">
      <c r="A4396" s="40">
        <f t="array" ref="A4396">IFNA(index(PlayerValues!A:A,match(IFNA(vlookup(B4396,'Special Names'!A:B,2,FALSE),B4396),PlayerValues!E:E,0)),"N/A")</f>
        <v>15692</v>
      </c>
      <c r="B4396" s="4" t="s">
        <v>750</v>
      </c>
      <c r="C4396" s="4" t="s">
        <v>283</v>
      </c>
      <c r="D4396" s="94">
        <v>1196.0</v>
      </c>
    </row>
    <row r="4397">
      <c r="A4397" s="40">
        <f t="array" ref="A4397">IFNA(index(PlayerValues!A:A,match(IFNA(vlookup(B4397,'Special Names'!A:B,2,FALSE),B4397),PlayerValues!E:E,0)),"N/A")</f>
        <v>16333</v>
      </c>
      <c r="B4397" s="4" t="s">
        <v>711</v>
      </c>
      <c r="C4397" s="4" t="s">
        <v>298</v>
      </c>
      <c r="D4397" s="94">
        <v>1554.0</v>
      </c>
    </row>
    <row r="4398">
      <c r="A4398" s="40">
        <f t="array" ref="A4398">IFNA(index(PlayerValues!A:A,match(IFNA(vlookup(B4398,'Special Names'!A:B,2,FALSE),B4398),PlayerValues!E:E,0)),"N/A")</f>
        <v>14845</v>
      </c>
      <c r="B4398" s="4" t="s">
        <v>717</v>
      </c>
      <c r="C4398" s="4" t="s">
        <v>287</v>
      </c>
      <c r="D4398" s="94">
        <v>1182.0</v>
      </c>
    </row>
    <row r="4399">
      <c r="A4399" s="40">
        <f t="array" ref="A4399">IFNA(index(PlayerValues!A:A,match(IFNA(vlookup(B4399,'Special Names'!A:B,2,FALSE),B4399),PlayerValues!E:E,0)),"N/A")</f>
        <v>16393</v>
      </c>
      <c r="B4399" s="4" t="s">
        <v>768</v>
      </c>
      <c r="C4399" s="4" t="s">
        <v>287</v>
      </c>
      <c r="D4399" s="94">
        <v>1179.0</v>
      </c>
    </row>
    <row r="4400">
      <c r="A4400" s="40">
        <f t="array" ref="A4400">IFNA(index(PlayerValues!A:A,match(IFNA(vlookup(B4400,'Special Names'!A:B,2,FALSE),B4400),PlayerValues!E:E,0)),"N/A")</f>
        <v>12263</v>
      </c>
      <c r="B4400" s="4" t="s">
        <v>697</v>
      </c>
      <c r="C4400" s="4" t="s">
        <v>298</v>
      </c>
      <c r="D4400" s="94">
        <v>1545.0</v>
      </c>
    </row>
    <row r="4401">
      <c r="A4401" s="40">
        <f t="array" ref="A4401">IFNA(index(PlayerValues!A:A,match(IFNA(vlookup(B4401,'Special Names'!A:B,2,FALSE),B4401),PlayerValues!E:E,0)),"N/A")</f>
        <v>17050</v>
      </c>
      <c r="B4401" s="4" t="s">
        <v>713</v>
      </c>
      <c r="C4401" s="4" t="s">
        <v>278</v>
      </c>
      <c r="D4401" s="94">
        <v>1174.0</v>
      </c>
    </row>
    <row r="4402">
      <c r="A4402" s="40">
        <f t="array" ref="A4402">IFNA(index(PlayerValues!A:A,match(IFNA(vlookup(B4402,'Special Names'!A:B,2,FALSE),B4402),PlayerValues!E:E,0)),"N/A")</f>
        <v>15239</v>
      </c>
      <c r="B4402" s="4" t="s">
        <v>802</v>
      </c>
      <c r="C4402" s="4" t="s">
        <v>283</v>
      </c>
      <c r="D4402" s="94">
        <v>1172.0</v>
      </c>
    </row>
    <row r="4403">
      <c r="A4403" s="40">
        <f t="array" ref="A4403">IFNA(index(PlayerValues!A:A,match(IFNA(vlookup(B4403,'Special Names'!A:B,2,FALSE),B4403),PlayerValues!E:E,0)),"N/A")</f>
        <v>16883</v>
      </c>
      <c r="B4403" s="4" t="s">
        <v>683</v>
      </c>
      <c r="C4403" s="4" t="s">
        <v>287</v>
      </c>
      <c r="D4403" s="94">
        <v>1165.0</v>
      </c>
    </row>
    <row r="4404">
      <c r="A4404" s="40">
        <f t="array" ref="A4404">IFNA(index(PlayerValues!A:A,match(IFNA(vlookup(B4404,'Special Names'!A:B,2,FALSE),B4404),PlayerValues!E:E,0)),"N/A")</f>
        <v>17481</v>
      </c>
      <c r="B4404" s="4" t="s">
        <v>540</v>
      </c>
      <c r="C4404" s="4" t="s">
        <v>278</v>
      </c>
      <c r="D4404" s="94">
        <v>1160.0</v>
      </c>
    </row>
    <row r="4405">
      <c r="A4405" s="40">
        <f t="array" ref="A4405">IFNA(index(PlayerValues!A:A,match(IFNA(vlookup(B4405,'Special Names'!A:B,2,FALSE),B4405),PlayerValues!E:E,0)),"N/A")</f>
        <v>16451</v>
      </c>
      <c r="B4405" s="4" t="s">
        <v>769</v>
      </c>
      <c r="C4405" s="4" t="s">
        <v>287</v>
      </c>
      <c r="D4405" s="94">
        <v>1158.0</v>
      </c>
    </row>
    <row r="4406">
      <c r="A4406" s="40">
        <f t="array" ref="A4406">IFNA(index(PlayerValues!A:A,match(IFNA(vlookup(B4406,'Special Names'!A:B,2,FALSE),B4406),PlayerValues!E:E,0)),"N/A")</f>
        <v>15730</v>
      </c>
      <c r="B4406" s="4" t="s">
        <v>734</v>
      </c>
      <c r="C4406" s="4" t="s">
        <v>278</v>
      </c>
      <c r="D4406" s="94">
        <v>1147.0</v>
      </c>
    </row>
    <row r="4407">
      <c r="A4407" s="40">
        <f t="array" ref="A4407">IFNA(index(PlayerValues!A:A,match(IFNA(vlookup(B4407,'Special Names'!A:B,2,FALSE),B4407),PlayerValues!E:E,0)),"N/A")</f>
        <v>15717</v>
      </c>
      <c r="B4407" s="4" t="s">
        <v>745</v>
      </c>
      <c r="C4407" s="4" t="s">
        <v>278</v>
      </c>
      <c r="D4407" s="94">
        <v>1142.0</v>
      </c>
    </row>
    <row r="4408">
      <c r="A4408" s="40">
        <f t="array" ref="A4408">IFNA(index(PlayerValues!A:A,match(IFNA(vlookup(B4408,'Special Names'!A:B,2,FALSE),B4408),PlayerValues!E:E,0)),"N/A")</f>
        <v>15693</v>
      </c>
      <c r="B4408" s="4" t="s">
        <v>755</v>
      </c>
      <c r="C4408" s="4" t="s">
        <v>283</v>
      </c>
      <c r="D4408" s="94">
        <v>1141.0</v>
      </c>
    </row>
    <row r="4409">
      <c r="A4409" s="40">
        <f t="array" ref="A4409">IFNA(index(PlayerValues!A:A,match(IFNA(vlookup(B4409,'Special Names'!A:B,2,FALSE),B4409),PlayerValues!E:E,0)),"N/A")</f>
        <v>13138</v>
      </c>
      <c r="B4409" s="4" t="s">
        <v>817</v>
      </c>
      <c r="C4409" s="4" t="s">
        <v>278</v>
      </c>
      <c r="D4409" s="94">
        <v>1140.0</v>
      </c>
    </row>
    <row r="4410">
      <c r="A4410" s="40">
        <f t="array" ref="A4410">IFNA(index(PlayerValues!A:A,match(IFNA(vlookup(B4410,'Special Names'!A:B,2,FALSE),B4410),PlayerValues!E:E,0)),"N/A")</f>
        <v>16197</v>
      </c>
      <c r="B4410" s="4" t="s">
        <v>726</v>
      </c>
      <c r="C4410" s="4" t="s">
        <v>287</v>
      </c>
      <c r="D4410" s="94">
        <v>1130.0</v>
      </c>
    </row>
    <row r="4411">
      <c r="A4411" s="40">
        <f t="array" ref="A4411">IFNA(index(PlayerValues!A:A,match(IFNA(vlookup(B4411,'Special Names'!A:B,2,FALSE),B4411),PlayerValues!E:E,0)),"N/A")</f>
        <v>17192</v>
      </c>
      <c r="B4411" s="4" t="s">
        <v>677</v>
      </c>
      <c r="C4411" s="4" t="s">
        <v>287</v>
      </c>
      <c r="D4411" s="94">
        <v>1126.0</v>
      </c>
    </row>
    <row r="4412">
      <c r="A4412" s="40">
        <f t="array" ref="A4412">IFNA(index(PlayerValues!A:A,match(IFNA(vlookup(B4412,'Special Names'!A:B,2,FALSE),B4412),PlayerValues!E:E,0)),"N/A")</f>
        <v>16637</v>
      </c>
      <c r="B4412" s="4" t="s">
        <v>736</v>
      </c>
      <c r="C4412" s="4" t="s">
        <v>287</v>
      </c>
      <c r="D4412" s="94">
        <v>1121.0</v>
      </c>
    </row>
    <row r="4413">
      <c r="A4413" s="40">
        <f t="array" ref="A4413">IFNA(index(PlayerValues!A:A,match(IFNA(vlookup(B4413,'Special Names'!A:B,2,FALSE),B4413),PlayerValues!E:E,0)),"N/A")</f>
        <v>16640</v>
      </c>
      <c r="B4413" s="4" t="s">
        <v>712</v>
      </c>
      <c r="C4413" s="4" t="s">
        <v>287</v>
      </c>
      <c r="D4413" s="94">
        <v>1120.0</v>
      </c>
    </row>
    <row r="4414">
      <c r="A4414" s="40">
        <f t="array" ref="A4414">IFNA(index(PlayerValues!A:A,match(IFNA(vlookup(B4414,'Special Names'!A:B,2,FALSE),B4414),PlayerValues!E:E,0)),"N/A")</f>
        <v>17109</v>
      </c>
      <c r="B4414" s="4" t="s">
        <v>707</v>
      </c>
      <c r="C4414" s="4" t="s">
        <v>298</v>
      </c>
      <c r="D4414" s="94">
        <v>1485.0</v>
      </c>
    </row>
    <row r="4415">
      <c r="A4415" s="40">
        <f t="array" ref="A4415">IFNA(index(PlayerValues!A:A,match(IFNA(vlookup(B4415,'Special Names'!A:B,2,FALSE),B4415),PlayerValues!E:E,0)),"N/A")</f>
        <v>17057</v>
      </c>
      <c r="B4415" s="4" t="s">
        <v>708</v>
      </c>
      <c r="C4415" s="4" t="s">
        <v>278</v>
      </c>
      <c r="D4415" s="94">
        <v>1094.0</v>
      </c>
    </row>
    <row r="4416">
      <c r="A4416" s="40">
        <f t="array" ref="A4416">IFNA(index(PlayerValues!A:A,match(IFNA(vlookup(B4416,'Special Names'!A:B,2,FALSE),B4416),PlayerValues!E:E,0)),"N/A")</f>
        <v>15785</v>
      </c>
      <c r="B4416" s="4" t="s">
        <v>763</v>
      </c>
      <c r="C4416" s="4" t="s">
        <v>287</v>
      </c>
      <c r="D4416" s="94">
        <v>1091.0</v>
      </c>
    </row>
    <row r="4417">
      <c r="A4417" s="40">
        <f t="array" ref="A4417">IFNA(index(PlayerValues!A:A,match(IFNA(vlookup(B4417,'Special Names'!A:B,2,FALSE),B4417),PlayerValues!E:E,0)),"N/A")</f>
        <v>16387</v>
      </c>
      <c r="B4417" s="4" t="s">
        <v>646</v>
      </c>
      <c r="C4417" s="4" t="s">
        <v>278</v>
      </c>
      <c r="D4417" s="94">
        <v>1089.0</v>
      </c>
    </row>
    <row r="4418">
      <c r="A4418" s="40">
        <f t="array" ref="A4418">IFNA(index(PlayerValues!A:A,match(IFNA(vlookup(B4418,'Special Names'!A:B,2,FALSE),B4418),PlayerValues!E:E,0)),"N/A")</f>
        <v>14118</v>
      </c>
      <c r="B4418" s="4" t="s">
        <v>771</v>
      </c>
      <c r="C4418" s="4" t="s">
        <v>287</v>
      </c>
      <c r="D4418" s="94">
        <v>1087.0</v>
      </c>
    </row>
    <row r="4419">
      <c r="A4419" s="40">
        <f t="array" ref="A4419">IFNA(index(PlayerValues!A:A,match(IFNA(vlookup(B4419,'Special Names'!A:B,2,FALSE),B4419),PlayerValues!E:E,0)),"N/A")</f>
        <v>9064</v>
      </c>
      <c r="B4419" s="4" t="s">
        <v>761</v>
      </c>
      <c r="C4419" s="4" t="s">
        <v>283</v>
      </c>
      <c r="D4419" s="94">
        <v>1081.0</v>
      </c>
    </row>
    <row r="4420">
      <c r="A4420" s="40">
        <f t="array" ref="A4420">IFNA(index(PlayerValues!A:A,match(IFNA(vlookup(B4420,'Special Names'!A:B,2,FALSE),B4420),PlayerValues!E:E,0)),"N/A")</f>
        <v>16219</v>
      </c>
      <c r="B4420" s="4" t="s">
        <v>739</v>
      </c>
      <c r="C4420" s="4" t="s">
        <v>298</v>
      </c>
      <c r="D4420" s="94">
        <v>1444.0</v>
      </c>
    </row>
    <row r="4421">
      <c r="A4421" s="40">
        <f t="array" ref="A4421">IFNA(index(PlayerValues!A:A,match(IFNA(vlookup(B4421,'Special Names'!A:B,2,FALSE),B4421),PlayerValues!E:E,0)),"N/A")</f>
        <v>16678</v>
      </c>
      <c r="B4421" s="4" t="s">
        <v>758</v>
      </c>
      <c r="C4421" s="4" t="s">
        <v>278</v>
      </c>
      <c r="D4421" s="94">
        <v>1074.0</v>
      </c>
    </row>
    <row r="4422">
      <c r="A4422" s="40">
        <f t="array" ref="A4422">IFNA(index(PlayerValues!A:A,match(IFNA(vlookup(B4422,'Special Names'!A:B,2,FALSE),B4422),PlayerValues!E:E,0)),"N/A")</f>
        <v>17175</v>
      </c>
      <c r="B4422" s="4" t="s">
        <v>747</v>
      </c>
      <c r="C4422" s="4" t="s">
        <v>287</v>
      </c>
      <c r="D4422" s="94">
        <v>1059.0</v>
      </c>
    </row>
    <row r="4423">
      <c r="A4423" s="40">
        <f t="array" ref="A4423">IFNA(index(PlayerValues!A:A,match(IFNA(vlookup(B4423,'Special Names'!A:B,2,FALSE),B4423),PlayerValues!E:E,0)),"N/A")</f>
        <v>17479</v>
      </c>
      <c r="B4423" s="4" t="s">
        <v>756</v>
      </c>
      <c r="C4423" s="4" t="s">
        <v>278</v>
      </c>
      <c r="D4423" s="94">
        <v>1052.0</v>
      </c>
    </row>
    <row r="4424">
      <c r="A4424" s="40">
        <f t="array" ref="A4424">IFNA(index(PlayerValues!A:A,match(IFNA(vlookup(B4424,'Special Names'!A:B,2,FALSE),B4424),PlayerValues!E:E,0)),"N/A")</f>
        <v>16648</v>
      </c>
      <c r="B4424" s="4" t="s">
        <v>748</v>
      </c>
      <c r="C4424" s="4" t="s">
        <v>298</v>
      </c>
      <c r="D4424" s="94">
        <v>1413.0</v>
      </c>
    </row>
    <row r="4425">
      <c r="A4425" s="40">
        <f t="array" ref="A4425">IFNA(index(PlayerValues!A:A,match(IFNA(vlookup(B4425,'Special Names'!A:B,2,FALSE),B4425),PlayerValues!E:E,0)),"N/A")</f>
        <v>14057</v>
      </c>
      <c r="B4425" s="4" t="s">
        <v>765</v>
      </c>
      <c r="C4425" s="4" t="s">
        <v>283</v>
      </c>
      <c r="D4425" s="94">
        <v>1044.0</v>
      </c>
    </row>
    <row r="4426">
      <c r="A4426" s="40">
        <f t="array" ref="A4426">IFNA(index(PlayerValues!A:A,match(IFNA(vlookup(B4426,'Special Names'!A:B,2,FALSE),B4426),PlayerValues!E:E,0)),"N/A")</f>
        <v>15330</v>
      </c>
      <c r="B4426" s="4" t="s">
        <v>749</v>
      </c>
      <c r="C4426" s="4" t="s">
        <v>298</v>
      </c>
      <c r="D4426" s="94">
        <v>1407.0</v>
      </c>
    </row>
    <row r="4427">
      <c r="A4427" s="40">
        <f t="array" ref="A4427">IFNA(index(PlayerValues!A:A,match(IFNA(vlookup(B4427,'Special Names'!A:B,2,FALSE),B4427),PlayerValues!E:E,0)),"N/A")</f>
        <v>15795</v>
      </c>
      <c r="B4427" s="4" t="s">
        <v>669</v>
      </c>
      <c r="C4427" s="4" t="s">
        <v>298</v>
      </c>
      <c r="D4427" s="94">
        <v>1408.0</v>
      </c>
    </row>
    <row r="4428">
      <c r="A4428" s="40">
        <f t="array" ref="A4428">IFNA(index(PlayerValues!A:A,match(IFNA(vlookup(B4428,'Special Names'!A:B,2,FALSE),B4428),PlayerValues!E:E,0)),"N/A")</f>
        <v>15718</v>
      </c>
      <c r="B4428" s="4" t="s">
        <v>753</v>
      </c>
      <c r="C4428" s="4" t="s">
        <v>278</v>
      </c>
      <c r="D4428" s="94">
        <v>1038.0</v>
      </c>
    </row>
    <row r="4429">
      <c r="A4429" s="40">
        <f t="array" ref="A4429">IFNA(index(PlayerValues!A:A,match(IFNA(vlookup(B4429,'Special Names'!A:B,2,FALSE),B4429),PlayerValues!E:E,0)),"N/A")</f>
        <v>17520</v>
      </c>
      <c r="B4429" s="4" t="s">
        <v>518</v>
      </c>
      <c r="C4429" s="4" t="s">
        <v>287</v>
      </c>
      <c r="D4429" s="94">
        <v>1028.0</v>
      </c>
    </row>
    <row r="4430">
      <c r="A4430" s="40">
        <f t="array" ref="A4430">IFNA(index(PlayerValues!A:A,match(IFNA(vlookup(B4430,'Special Names'!A:B,2,FALSE),B4430),PlayerValues!E:E,0)),"N/A")</f>
        <v>11247</v>
      </c>
      <c r="B4430" s="4" t="s">
        <v>816</v>
      </c>
      <c r="C4430" s="4" t="s">
        <v>298</v>
      </c>
      <c r="D4430" s="94">
        <v>1394.0</v>
      </c>
    </row>
    <row r="4431">
      <c r="A4431" s="40">
        <f t="array" ref="A4431">IFNA(index(PlayerValues!A:A,match(IFNA(vlookup(B4431,'Special Names'!A:B,2,FALSE),B4431),PlayerValues!E:E,0)),"N/A")</f>
        <v>17486</v>
      </c>
      <c r="B4431" s="4" t="s">
        <v>695</v>
      </c>
      <c r="C4431" s="4" t="s">
        <v>278</v>
      </c>
      <c r="D4431" s="94">
        <v>1026.0</v>
      </c>
    </row>
    <row r="4432">
      <c r="A4432" s="40">
        <f t="array" ref="A4432">IFNA(index(PlayerValues!A:A,match(IFNA(vlookup(B4432,'Special Names'!A:B,2,FALSE),B4432),PlayerValues!E:E,0)),"N/A")</f>
        <v>14849</v>
      </c>
      <c r="B4432" s="4" t="s">
        <v>733</v>
      </c>
      <c r="C4432" s="4" t="s">
        <v>287</v>
      </c>
      <c r="D4432" s="94">
        <v>1025.0</v>
      </c>
    </row>
    <row r="4433">
      <c r="A4433" s="40">
        <f t="array" ref="A4433">IFNA(index(PlayerValues!A:A,match(IFNA(vlookup(B4433,'Special Names'!A:B,2,FALSE),B4433),PlayerValues!E:E,0)),"N/A")</f>
        <v>15766</v>
      </c>
      <c r="B4433" s="4" t="s">
        <v>759</v>
      </c>
      <c r="C4433" s="4" t="s">
        <v>287</v>
      </c>
      <c r="D4433" s="94">
        <v>1023.0</v>
      </c>
    </row>
    <row r="4434">
      <c r="A4434" s="40">
        <f t="array" ref="A4434">IFNA(index(PlayerValues!A:A,match(IFNA(vlookup(B4434,'Special Names'!A:B,2,FALSE),B4434),PlayerValues!E:E,0)),"N/A")</f>
        <v>15720</v>
      </c>
      <c r="B4434" s="4" t="s">
        <v>795</v>
      </c>
      <c r="C4434" s="4" t="s">
        <v>278</v>
      </c>
      <c r="D4434" s="94">
        <v>1022.0</v>
      </c>
    </row>
    <row r="4435">
      <c r="A4435" s="40">
        <f t="array" ref="A4435">IFNA(index(PlayerValues!A:A,match(IFNA(vlookup(B4435,'Special Names'!A:B,2,FALSE),B4435),PlayerValues!E:E,0)),"N/A")</f>
        <v>17467</v>
      </c>
      <c r="B4435" s="4" t="s">
        <v>575</v>
      </c>
      <c r="C4435" s="4" t="s">
        <v>283</v>
      </c>
      <c r="D4435" s="94">
        <v>1008.0</v>
      </c>
    </row>
    <row r="4436">
      <c r="A4436" s="40">
        <f t="array" ref="A4436">IFNA(index(PlayerValues!A:A,match(IFNA(vlookup(B4436,'Special Names'!A:B,2,FALSE),B4436),PlayerValues!E:E,0)),"N/A")</f>
        <v>17487</v>
      </c>
      <c r="B4436" s="4" t="s">
        <v>692</v>
      </c>
      <c r="C4436" s="4" t="s">
        <v>278</v>
      </c>
      <c r="D4436" s="94">
        <v>1004.0</v>
      </c>
    </row>
    <row r="4437">
      <c r="A4437" s="40">
        <f t="array" ref="A4437">IFNA(index(PlayerValues!A:A,match(IFNA(vlookup(B4437,'Special Names'!A:B,2,FALSE),B4437),PlayerValues!E:E,0)),"N/A")</f>
        <v>16159</v>
      </c>
      <c r="B4437" s="4" t="s">
        <v>819</v>
      </c>
      <c r="C4437" s="4" t="s">
        <v>283</v>
      </c>
      <c r="D4437" s="94">
        <v>1002.0</v>
      </c>
    </row>
    <row r="4438">
      <c r="A4438" s="40">
        <f t="array" ref="A4438">IFNA(index(PlayerValues!A:A,match(IFNA(vlookup(B4438,'Special Names'!A:B,2,FALSE),B4438),PlayerValues!E:E,0)),"N/A")</f>
        <v>16168</v>
      </c>
      <c r="B4438" s="4" t="s">
        <v>738</v>
      </c>
      <c r="C4438" s="4" t="s">
        <v>278</v>
      </c>
      <c r="D4438" s="94">
        <v>1000.0</v>
      </c>
    </row>
    <row r="4439">
      <c r="A4439" s="40">
        <f t="array" ref="A4439">IFNA(index(PlayerValues!A:A,match(IFNA(vlookup(B4439,'Special Names'!A:B,2,FALSE),B4439),PlayerValues!E:E,0)),"N/A")</f>
        <v>16858</v>
      </c>
      <c r="B4439" s="4" t="s">
        <v>754</v>
      </c>
      <c r="C4439" s="4" t="s">
        <v>287</v>
      </c>
      <c r="D4439" s="94">
        <v>994.0</v>
      </c>
    </row>
    <row r="4440">
      <c r="A4440" s="40">
        <f t="array" ref="A4440">IFNA(index(PlayerValues!A:A,match(IFNA(vlookup(B4440,'Special Names'!A:B,2,FALSE),B4440),PlayerValues!E:E,0)),"N/A")</f>
        <v>17475</v>
      </c>
      <c r="B4440" s="4" t="s">
        <v>615</v>
      </c>
      <c r="C4440" s="4" t="s">
        <v>278</v>
      </c>
      <c r="D4440" s="94">
        <v>994.0</v>
      </c>
    </row>
    <row r="4441">
      <c r="A4441" s="40">
        <f t="array" ref="A4441">IFNA(index(PlayerValues!A:A,match(IFNA(vlookup(B4441,'Special Names'!A:B,2,FALSE),B4441),PlayerValues!E:E,0)),"N/A")</f>
        <v>15626</v>
      </c>
      <c r="B4441" s="4" t="s">
        <v>766</v>
      </c>
      <c r="C4441" s="4" t="s">
        <v>298</v>
      </c>
      <c r="D4441" s="94">
        <v>1352.0</v>
      </c>
    </row>
    <row r="4442">
      <c r="A4442" s="40">
        <f t="array" ref="A4442">IFNA(index(PlayerValues!A:A,match(IFNA(vlookup(B4442,'Special Names'!A:B,2,FALSE),B4442),PlayerValues!E:E,0)),"N/A")</f>
        <v>14799</v>
      </c>
      <c r="B4442" s="4" t="s">
        <v>829</v>
      </c>
      <c r="C4442" s="4" t="s">
        <v>278</v>
      </c>
      <c r="D4442" s="94">
        <v>982.0</v>
      </c>
    </row>
    <row r="4443">
      <c r="A4443" s="40">
        <f t="array" ref="A4443">IFNA(index(PlayerValues!A:A,match(IFNA(vlookup(B4443,'Special Names'!A:B,2,FALSE),B4443),PlayerValues!E:E,0)),"N/A")</f>
        <v>14864</v>
      </c>
      <c r="B4443" s="4" t="s">
        <v>789</v>
      </c>
      <c r="C4443" s="4" t="s">
        <v>287</v>
      </c>
      <c r="D4443" s="94">
        <v>970.0</v>
      </c>
    </row>
    <row r="4444">
      <c r="A4444" s="40">
        <f t="array" ref="A4444">IFNA(index(PlayerValues!A:A,match(IFNA(vlookup(B4444,'Special Names'!A:B,2,FALSE),B4444),PlayerValues!E:E,0)),"N/A")</f>
        <v>16176</v>
      </c>
      <c r="B4444" s="4" t="s">
        <v>812</v>
      </c>
      <c r="C4444" s="4" t="s">
        <v>278</v>
      </c>
      <c r="D4444" s="94">
        <v>970.0</v>
      </c>
    </row>
    <row r="4445">
      <c r="A4445" s="40">
        <f t="array" ref="A4445">IFNA(index(PlayerValues!A:A,match(IFNA(vlookup(B4445,'Special Names'!A:B,2,FALSE),B4445),PlayerValues!E:E,0)),"N/A")</f>
        <v>15263</v>
      </c>
      <c r="B4445" s="4" t="s">
        <v>804</v>
      </c>
      <c r="C4445" s="4" t="s">
        <v>278</v>
      </c>
      <c r="D4445" s="94">
        <v>966.0</v>
      </c>
    </row>
    <row r="4446">
      <c r="A4446" s="40">
        <f t="array" ref="A4446">IFNA(index(PlayerValues!A:A,match(IFNA(vlookup(B4446,'Special Names'!A:B,2,FALSE),B4446),PlayerValues!E:E,0)),"N/A")</f>
        <v>17510</v>
      </c>
      <c r="B4446" s="4" t="s">
        <v>661</v>
      </c>
      <c r="C4446" s="4" t="s">
        <v>287</v>
      </c>
      <c r="D4446" s="94">
        <v>963.0</v>
      </c>
    </row>
    <row r="4447">
      <c r="A4447" s="40">
        <f t="array" ref="A4447">IFNA(index(PlayerValues!A:A,match(IFNA(vlookup(B4447,'Special Names'!A:B,2,FALSE),B4447),PlayerValues!E:E,0)),"N/A")</f>
        <v>16205</v>
      </c>
      <c r="B4447" s="4" t="s">
        <v>742</v>
      </c>
      <c r="C4447" s="4" t="s">
        <v>287</v>
      </c>
      <c r="D4447" s="94">
        <v>953.0</v>
      </c>
    </row>
    <row r="4448">
      <c r="A4448" s="40">
        <f t="array" ref="A4448">IFNA(index(PlayerValues!A:A,match(IFNA(vlookup(B4448,'Special Names'!A:B,2,FALSE),B4448),PlayerValues!E:E,0)),"N/A")</f>
        <v>16773</v>
      </c>
      <c r="B4448" s="4" t="s">
        <v>783</v>
      </c>
      <c r="C4448" s="4" t="s">
        <v>278</v>
      </c>
      <c r="D4448" s="94">
        <v>952.0</v>
      </c>
    </row>
    <row r="4449">
      <c r="A4449" s="40">
        <f t="array" ref="A4449">IFNA(index(PlayerValues!A:A,match(IFNA(vlookup(B4449,'Special Names'!A:B,2,FALSE),B4449),PlayerValues!E:E,0)),"N/A")</f>
        <v>17504</v>
      </c>
      <c r="B4449" s="4" t="s">
        <v>693</v>
      </c>
      <c r="C4449" s="4" t="s">
        <v>287</v>
      </c>
      <c r="D4449" s="94">
        <v>946.0</v>
      </c>
    </row>
    <row r="4450">
      <c r="A4450" s="40">
        <f t="array" ref="A4450">IFNA(index(PlayerValues!A:A,match(IFNA(vlookup(B4450,'Special Names'!A:B,2,FALSE),B4450),PlayerValues!E:E,0)),"N/A")</f>
        <v>17545</v>
      </c>
      <c r="B4450" s="4" t="s">
        <v>719</v>
      </c>
      <c r="C4450" s="4" t="s">
        <v>298</v>
      </c>
      <c r="D4450" s="94">
        <v>1314.0</v>
      </c>
    </row>
    <row r="4451">
      <c r="A4451" s="40">
        <f t="array" ref="A4451">IFNA(index(PlayerValues!A:A,match(IFNA(vlookup(B4451,'Special Names'!A:B,2,FALSE),B4451),PlayerValues!E:E,0)),"N/A")</f>
        <v>16416</v>
      </c>
      <c r="B4451" s="4" t="s">
        <v>752</v>
      </c>
      <c r="C4451" s="4" t="s">
        <v>287</v>
      </c>
      <c r="D4451" s="94">
        <v>943.0</v>
      </c>
    </row>
    <row r="4452">
      <c r="A4452" s="40">
        <f t="array" ref="A4452">IFNA(index(PlayerValues!A:A,match(IFNA(vlookup(B4452,'Special Names'!A:B,2,FALSE),B4452),PlayerValues!E:E,0)),"N/A")</f>
        <v>16599</v>
      </c>
      <c r="B4452" s="4" t="s">
        <v>737</v>
      </c>
      <c r="C4452" s="4" t="s">
        <v>278</v>
      </c>
      <c r="D4452" s="94">
        <v>942.0</v>
      </c>
    </row>
    <row r="4453">
      <c r="A4453" s="40">
        <f t="array" ref="A4453">IFNA(index(PlayerValues!A:A,match(IFNA(vlookup(B4453,'Special Names'!A:B,2,FALSE),B4453),PlayerValues!E:E,0)),"N/A")</f>
        <v>16624</v>
      </c>
      <c r="B4453" s="4" t="s">
        <v>796</v>
      </c>
      <c r="C4453" s="4" t="s">
        <v>287</v>
      </c>
      <c r="D4453" s="94">
        <v>942.0</v>
      </c>
    </row>
    <row r="4454">
      <c r="A4454" s="40">
        <f t="array" ref="A4454">IFNA(index(PlayerValues!A:A,match(IFNA(vlookup(B4454,'Special Names'!A:B,2,FALSE),B4454),PlayerValues!E:E,0)),"N/A")</f>
        <v>13595</v>
      </c>
      <c r="B4454" s="4" t="s">
        <v>818</v>
      </c>
      <c r="C4454" s="4" t="s">
        <v>283</v>
      </c>
      <c r="D4454" s="94">
        <v>938.0</v>
      </c>
    </row>
    <row r="4455">
      <c r="A4455" s="40">
        <f t="array" ref="A4455">IFNA(index(PlayerValues!A:A,match(IFNA(vlookup(B4455,'Special Names'!A:B,2,FALSE),B4455),PlayerValues!E:E,0)),"N/A")</f>
        <v>15723</v>
      </c>
      <c r="B4455" s="4" t="s">
        <v>798</v>
      </c>
      <c r="C4455" s="4" t="s">
        <v>278</v>
      </c>
      <c r="D4455" s="94">
        <v>930.0</v>
      </c>
    </row>
    <row r="4456">
      <c r="A4456" s="40">
        <f t="array" ref="A4456">IFNA(index(PlayerValues!A:A,match(IFNA(vlookup(B4456,'Special Names'!A:B,2,FALSE),B4456),PlayerValues!E:E,0)),"N/A")</f>
        <v>15109</v>
      </c>
      <c r="B4456" s="4" t="s">
        <v>728</v>
      </c>
      <c r="C4456" s="4" t="s">
        <v>287</v>
      </c>
      <c r="D4456" s="94">
        <v>928.0</v>
      </c>
    </row>
    <row r="4457">
      <c r="A4457" s="40">
        <f t="array" ref="A4457">IFNA(index(PlayerValues!A:A,match(IFNA(vlookup(B4457,'Special Names'!A:B,2,FALSE),B4457),PlayerValues!E:E,0)),"N/A")</f>
        <v>13133</v>
      </c>
      <c r="B4457" s="4" t="s">
        <v>764</v>
      </c>
      <c r="C4457" s="4" t="s">
        <v>278</v>
      </c>
      <c r="D4457" s="94">
        <v>923.0</v>
      </c>
    </row>
    <row r="4458">
      <c r="A4458" s="40">
        <f t="array" ref="A4458">IFNA(index(PlayerValues!A:A,match(IFNA(vlookup(B4458,'Special Names'!A:B,2,FALSE),B4458),PlayerValues!E:E,0)),"N/A")</f>
        <v>13610</v>
      </c>
      <c r="B4458" s="4" t="s">
        <v>825</v>
      </c>
      <c r="C4458" s="4" t="s">
        <v>278</v>
      </c>
      <c r="D4458" s="94">
        <v>914.0</v>
      </c>
    </row>
    <row r="4459">
      <c r="A4459" s="40">
        <f t="array" ref="A4459">IFNA(index(PlayerValues!A:A,match(IFNA(vlookup(B4459,'Special Names'!A:B,2,FALSE),B4459),PlayerValues!E:E,0)),"N/A")</f>
        <v>12785</v>
      </c>
      <c r="B4459" s="4" t="s">
        <v>772</v>
      </c>
      <c r="C4459" s="4" t="s">
        <v>287</v>
      </c>
      <c r="D4459" s="94">
        <v>907.0</v>
      </c>
    </row>
    <row r="4460">
      <c r="A4460" s="40">
        <f t="array" ref="A4460">IFNA(index(PlayerValues!A:A,match(IFNA(vlookup(B4460,'Special Names'!A:B,2,FALSE),B4460),PlayerValues!E:E,0)),"N/A")</f>
        <v>16751</v>
      </c>
      <c r="B4460" s="4" t="s">
        <v>762</v>
      </c>
      <c r="C4460" s="4" t="s">
        <v>287</v>
      </c>
      <c r="D4460" s="94">
        <v>905.0</v>
      </c>
    </row>
    <row r="4461">
      <c r="A4461" s="40">
        <f t="array" ref="A4461">IFNA(index(PlayerValues!A:A,match(IFNA(vlookup(B4461,'Special Names'!A:B,2,FALSE),B4461),PlayerValues!E:E,0)),"N/A")</f>
        <v>16957</v>
      </c>
      <c r="B4461" s="4" t="s">
        <v>806</v>
      </c>
      <c r="C4461" s="4" t="s">
        <v>278</v>
      </c>
      <c r="D4461" s="94">
        <v>904.0</v>
      </c>
    </row>
    <row r="4462">
      <c r="A4462" s="40">
        <f t="array" ref="A4462">IFNA(index(PlayerValues!A:A,match(IFNA(vlookup(B4462,'Special Names'!A:B,2,FALSE),B4462),PlayerValues!E:E,0)),"N/A")</f>
        <v>14079</v>
      </c>
      <c r="B4462" s="4" t="s">
        <v>830</v>
      </c>
      <c r="C4462" s="4" t="s">
        <v>278</v>
      </c>
      <c r="D4462" s="94">
        <v>889.0</v>
      </c>
    </row>
    <row r="4463">
      <c r="A4463" s="40">
        <f t="array" ref="A4463">IFNA(index(PlayerValues!A:A,match(IFNA(vlookup(B4463,'Special Names'!A:B,2,FALSE),B4463),PlayerValues!E:E,0)),"N/A")</f>
        <v>13143</v>
      </c>
      <c r="B4463" s="4" t="s">
        <v>786</v>
      </c>
      <c r="C4463" s="4" t="s">
        <v>278</v>
      </c>
      <c r="D4463" s="94">
        <v>889.0</v>
      </c>
    </row>
    <row r="4464">
      <c r="A4464" s="40">
        <f t="array" ref="A4464">IFNA(index(PlayerValues!A:A,match(IFNA(vlookup(B4464,'Special Names'!A:B,2,FALSE),B4464),PlayerValues!E:E,0)),"N/A")</f>
        <v>15796</v>
      </c>
      <c r="B4464" s="4" t="s">
        <v>794</v>
      </c>
      <c r="C4464" s="4" t="s">
        <v>298</v>
      </c>
      <c r="D4464" s="94">
        <v>1256.0</v>
      </c>
    </row>
    <row r="4465">
      <c r="A4465" s="40">
        <f t="array" ref="A4465">IFNA(index(PlayerValues!A:A,match(IFNA(vlookup(B4465,'Special Names'!A:B,2,FALSE),B4465),PlayerValues!E:E,0)),"N/A")</f>
        <v>16606</v>
      </c>
      <c r="B4465" s="4" t="s">
        <v>743</v>
      </c>
      <c r="C4465" s="4" t="s">
        <v>278</v>
      </c>
      <c r="D4465" s="94">
        <v>883.0</v>
      </c>
    </row>
    <row r="4466">
      <c r="A4466" s="40">
        <f t="array" ref="A4466">IFNA(index(PlayerValues!A:A,match(IFNA(vlookup(B4466,'Special Names'!A:B,2,FALSE),B4466),PlayerValues!E:E,0)),"N/A")</f>
        <v>13113</v>
      </c>
      <c r="B4466" s="4" t="s">
        <v>606</v>
      </c>
      <c r="C4466" s="4" t="s">
        <v>283</v>
      </c>
      <c r="D4466" s="94">
        <v>873.0</v>
      </c>
    </row>
    <row r="4467">
      <c r="A4467" s="40">
        <f t="array" ref="A4467">IFNA(index(PlayerValues!A:A,match(IFNA(vlookup(B4467,'Special Names'!A:B,2,FALSE),B4467),PlayerValues!E:E,0)),"N/A")</f>
        <v>11232</v>
      </c>
      <c r="B4467" s="4" t="s">
        <v>826</v>
      </c>
      <c r="C4467" s="4" t="s">
        <v>287</v>
      </c>
      <c r="D4467" s="94">
        <v>870.0</v>
      </c>
    </row>
    <row r="4468">
      <c r="A4468" s="40">
        <f t="array" ref="A4468">IFNA(index(PlayerValues!A:A,match(IFNA(vlookup(B4468,'Special Names'!A:B,2,FALSE),B4468),PlayerValues!E:E,0)),"N/A")</f>
        <v>17337</v>
      </c>
      <c r="B4468" s="4" t="s">
        <v>793</v>
      </c>
      <c r="C4468" s="4" t="s">
        <v>278</v>
      </c>
      <c r="D4468" s="94">
        <v>869.0</v>
      </c>
    </row>
    <row r="4469">
      <c r="A4469" s="40">
        <f t="array" ref="A4469">IFNA(index(PlayerValues!A:A,match(IFNA(vlookup(B4469,'Special Names'!A:B,2,FALSE),B4469),PlayerValues!E:E,0)),"N/A")</f>
        <v>14358</v>
      </c>
      <c r="B4469" s="4" t="s">
        <v>813</v>
      </c>
      <c r="C4469" s="4" t="s">
        <v>283</v>
      </c>
      <c r="D4469" s="94">
        <v>857.0</v>
      </c>
    </row>
    <row r="4470">
      <c r="A4470" s="40">
        <f t="array" ref="A4470">IFNA(index(PlayerValues!A:A,match(IFNA(vlookup(B4470,'Special Names'!A:B,2,FALSE),B4470),PlayerValues!E:E,0)),"N/A")</f>
        <v>15804</v>
      </c>
      <c r="B4470" s="4" t="s">
        <v>821</v>
      </c>
      <c r="C4470" s="4" t="s">
        <v>298</v>
      </c>
      <c r="D4470" s="94">
        <v>1226.0</v>
      </c>
    </row>
    <row r="4471">
      <c r="A4471" s="40">
        <f t="array" ref="A4471">IFNA(index(PlayerValues!A:A,match(IFNA(vlookup(B4471,'Special Names'!A:B,2,FALSE),B4471),PlayerValues!E:E,0)),"N/A")</f>
        <v>15271</v>
      </c>
      <c r="B4471" s="4" t="s">
        <v>741</v>
      </c>
      <c r="C4471" s="4" t="s">
        <v>278</v>
      </c>
      <c r="D4471" s="94">
        <v>844.0</v>
      </c>
    </row>
    <row r="4472">
      <c r="A4472" s="40">
        <f t="array" ref="A4472">IFNA(index(PlayerValues!A:A,match(IFNA(vlookup(B4472,'Special Names'!A:B,2,FALSE),B4472),PlayerValues!E:E,0)),"N/A")</f>
        <v>14223</v>
      </c>
      <c r="B4472" s="4" t="s">
        <v>785</v>
      </c>
      <c r="C4472" s="4" t="s">
        <v>278</v>
      </c>
      <c r="D4472" s="94">
        <v>837.0</v>
      </c>
    </row>
    <row r="4473">
      <c r="A4473" s="40">
        <f t="array" ref="A4473">IFNA(index(PlayerValues!A:A,match(IFNA(vlookup(B4473,'Special Names'!A:B,2,FALSE),B4473),PlayerValues!E:E,0)),"N/A")</f>
        <v>16623</v>
      </c>
      <c r="B4473" s="4" t="s">
        <v>803</v>
      </c>
      <c r="C4473" s="4" t="s">
        <v>287</v>
      </c>
      <c r="D4473" s="94">
        <v>830.0</v>
      </c>
    </row>
    <row r="4474">
      <c r="A4474" s="40">
        <f t="array" ref="A4474">IFNA(index(PlayerValues!A:A,match(IFNA(vlookup(B4474,'Special Names'!A:B,2,FALSE),B4474),PlayerValues!E:E,0)),"N/A")</f>
        <v>13156</v>
      </c>
      <c r="B4474" s="4" t="s">
        <v>835</v>
      </c>
      <c r="C4474" s="4" t="s">
        <v>287</v>
      </c>
      <c r="D4474" s="94">
        <v>827.0</v>
      </c>
    </row>
    <row r="4475">
      <c r="A4475" s="40">
        <f t="array" ref="A4475">IFNA(index(PlayerValues!A:A,match(IFNA(vlookup(B4475,'Special Names'!A:B,2,FALSE),B4475),PlayerValues!E:E,0)),"N/A")</f>
        <v>16170</v>
      </c>
      <c r="B4475" s="4" t="s">
        <v>801</v>
      </c>
      <c r="C4475" s="4" t="s">
        <v>278</v>
      </c>
      <c r="D4475" s="94">
        <v>817.0</v>
      </c>
    </row>
    <row r="4476">
      <c r="A4476" s="40">
        <f t="array" ref="A4476">IFNA(index(PlayerValues!A:A,match(IFNA(vlookup(B4476,'Special Names'!A:B,2,FALSE),B4476),PlayerValues!E:E,0)),"N/A")</f>
        <v>16625</v>
      </c>
      <c r="B4476" s="4" t="s">
        <v>778</v>
      </c>
      <c r="C4476" s="4" t="s">
        <v>287</v>
      </c>
      <c r="D4476" s="94">
        <v>814.0</v>
      </c>
    </row>
    <row r="4477">
      <c r="A4477" s="40">
        <f t="array" ref="A4477">IFNA(index(PlayerValues!A:A,match(IFNA(vlookup(B4477,'Special Names'!A:B,2,FALSE),B4477),PlayerValues!E:E,0)),"N/A")</f>
        <v>16686</v>
      </c>
      <c r="B4477" s="4" t="s">
        <v>805</v>
      </c>
      <c r="C4477" s="4" t="s">
        <v>287</v>
      </c>
      <c r="D4477" s="94">
        <v>807.0</v>
      </c>
    </row>
    <row r="4478">
      <c r="A4478" s="40">
        <f t="array" ref="A4478">IFNA(index(PlayerValues!A:A,match(IFNA(vlookup(B4478,'Special Names'!A:B,2,FALSE),B4478),PlayerValues!E:E,0)),"N/A")</f>
        <v>14805</v>
      </c>
      <c r="B4478" s="4" t="s">
        <v>770</v>
      </c>
      <c r="C4478" s="4" t="s">
        <v>278</v>
      </c>
      <c r="D4478" s="94">
        <v>806.0</v>
      </c>
    </row>
    <row r="4479">
      <c r="A4479" s="40">
        <f t="array" ref="A4479">IFNA(index(PlayerValues!A:A,match(IFNA(vlookup(B4479,'Special Names'!A:B,2,FALSE),B4479),PlayerValues!E:E,0)),"N/A")</f>
        <v>13157</v>
      </c>
      <c r="B4479" s="4" t="s">
        <v>836</v>
      </c>
      <c r="C4479" s="4" t="s">
        <v>287</v>
      </c>
      <c r="D4479" s="94">
        <v>776.0</v>
      </c>
    </row>
    <row r="4480">
      <c r="A4480" s="40">
        <f t="array" ref="A4480">IFNA(index(PlayerValues!A:A,match(IFNA(vlookup(B4480,'Special Names'!A:B,2,FALSE),B4480),PlayerValues!E:E,0)),"N/A")</f>
        <v>14852</v>
      </c>
      <c r="B4480" s="4" t="s">
        <v>837</v>
      </c>
      <c r="C4480" s="4" t="s">
        <v>278</v>
      </c>
      <c r="D4480" s="94">
        <v>775.0</v>
      </c>
    </row>
    <row r="4481">
      <c r="A4481" s="40">
        <f t="array" ref="A4481">IFNA(index(PlayerValues!A:A,match(IFNA(vlookup(B4481,'Special Names'!A:B,2,FALSE),B4481),PlayerValues!E:E,0)),"N/A")</f>
        <v>15285</v>
      </c>
      <c r="B4481" s="4" t="s">
        <v>792</v>
      </c>
      <c r="C4481" s="4" t="s">
        <v>287</v>
      </c>
      <c r="D4481" s="94">
        <v>755.0</v>
      </c>
    </row>
    <row r="4482">
      <c r="A4482" s="40">
        <f t="array" ref="A4482">IFNA(index(PlayerValues!A:A,match(IFNA(vlookup(B4482,'Special Names'!A:B,2,FALSE),B4482),PlayerValues!E:E,0)),"N/A")</f>
        <v>17038</v>
      </c>
      <c r="B4482" s="4" t="s">
        <v>774</v>
      </c>
      <c r="C4482" s="4" t="s">
        <v>283</v>
      </c>
      <c r="D4482" s="94">
        <v>755.0</v>
      </c>
    </row>
    <row r="4483">
      <c r="A4483" s="40">
        <f t="array" ref="A4483">IFNA(index(PlayerValues!A:A,match(IFNA(vlookup(B4483,'Special Names'!A:B,2,FALSE),B4483),PlayerValues!E:E,0)),"N/A")</f>
        <v>14858</v>
      </c>
      <c r="B4483" s="4" t="s">
        <v>799</v>
      </c>
      <c r="C4483" s="4" t="s">
        <v>287</v>
      </c>
      <c r="D4483" s="94">
        <v>749.0</v>
      </c>
    </row>
    <row r="4484">
      <c r="A4484" s="40">
        <f t="array" ref="A4484">IFNA(index(PlayerValues!A:A,match(IFNA(vlookup(B4484,'Special Names'!A:B,2,FALSE),B4484),PlayerValues!E:E,0)),"N/A")</f>
        <v>15965</v>
      </c>
      <c r="B4484" s="4" t="s">
        <v>791</v>
      </c>
      <c r="C4484" s="4" t="s">
        <v>278</v>
      </c>
      <c r="D4484" s="94">
        <v>748.0</v>
      </c>
    </row>
    <row r="4485">
      <c r="A4485" s="40">
        <f t="array" ref="A4485">IFNA(index(PlayerValues!A:A,match(IFNA(vlookup(B4485,'Special Names'!A:B,2,FALSE),B4485),PlayerValues!E:E,0)),"N/A")</f>
        <v>12610</v>
      </c>
      <c r="B4485" s="4" t="s">
        <v>838</v>
      </c>
      <c r="C4485" s="4" t="s">
        <v>283</v>
      </c>
      <c r="D4485" s="94">
        <v>744.0</v>
      </c>
    </row>
    <row r="4486">
      <c r="A4486" s="40">
        <f t="array" ref="A4486">IFNA(index(PlayerValues!A:A,match(IFNA(vlookup(B4486,'Special Names'!A:B,2,FALSE),B4486),PlayerValues!E:E,0)),"N/A")</f>
        <v>14113</v>
      </c>
      <c r="B4486" s="4" t="s">
        <v>788</v>
      </c>
      <c r="C4486" s="4" t="s">
        <v>287</v>
      </c>
      <c r="D4486" s="94">
        <v>742.0</v>
      </c>
    </row>
    <row r="4487">
      <c r="A4487" s="40">
        <f t="array" ref="A4487">IFNA(index(PlayerValues!A:A,match(IFNA(vlookup(B4487,'Special Names'!A:B,2,FALSE),B4487),PlayerValues!E:E,0)),"N/A")</f>
        <v>14209</v>
      </c>
      <c r="B4487" s="4" t="s">
        <v>809</v>
      </c>
      <c r="C4487" s="4" t="s">
        <v>298</v>
      </c>
      <c r="D4487" s="94">
        <v>1109.0</v>
      </c>
    </row>
    <row r="4488">
      <c r="A4488" s="40">
        <f t="array" ref="A4488">IFNA(index(PlayerValues!A:A,match(IFNA(vlookup(B4488,'Special Names'!A:B,2,FALSE),B4488),PlayerValues!E:E,0)),"N/A")</f>
        <v>13176</v>
      </c>
      <c r="B4488" s="4" t="s">
        <v>807</v>
      </c>
      <c r="C4488" s="4" t="s">
        <v>287</v>
      </c>
      <c r="D4488" s="94">
        <v>741.0</v>
      </c>
    </row>
    <row r="4489">
      <c r="A4489" s="40">
        <f t="array" ref="A4489">IFNA(index(PlayerValues!A:A,match(IFNA(vlookup(B4489,'Special Names'!A:B,2,FALSE),B4489),PlayerValues!E:E,0)),"N/A")</f>
        <v>15714</v>
      </c>
      <c r="B4489" s="4" t="s">
        <v>775</v>
      </c>
      <c r="C4489" s="4" t="s">
        <v>278</v>
      </c>
      <c r="D4489" s="94">
        <v>740.0</v>
      </c>
    </row>
    <row r="4490">
      <c r="A4490" s="40">
        <f t="array" ref="A4490">IFNA(index(PlayerValues!A:A,match(IFNA(vlookup(B4490,'Special Names'!A:B,2,FALSE),B4490),PlayerValues!E:E,0)),"N/A")</f>
        <v>13675</v>
      </c>
      <c r="B4490" s="4" t="s">
        <v>839</v>
      </c>
      <c r="C4490" s="4" t="s">
        <v>298</v>
      </c>
      <c r="D4490" s="94">
        <v>1106.0</v>
      </c>
    </row>
    <row r="4491">
      <c r="A4491" s="40">
        <f t="array" ref="A4491">IFNA(index(PlayerValues!A:A,match(IFNA(vlookup(B4491,'Special Names'!A:B,2,FALSE),B4491),PlayerValues!E:E,0)),"N/A")</f>
        <v>17541</v>
      </c>
      <c r="B4491" s="4" t="s">
        <v>616</v>
      </c>
      <c r="C4491" s="4" t="s">
        <v>287</v>
      </c>
      <c r="D4491" s="94">
        <v>722.0</v>
      </c>
    </row>
    <row r="4492">
      <c r="A4492" s="40">
        <f t="array" ref="A4492">IFNA(index(PlayerValues!A:A,match(IFNA(vlookup(B4492,'Special Names'!A:B,2,FALSE),B4492),PlayerValues!E:E,0)),"N/A")</f>
        <v>16413</v>
      </c>
      <c r="B4492" s="4" t="s">
        <v>781</v>
      </c>
      <c r="C4492" s="4" t="s">
        <v>287</v>
      </c>
      <c r="D4492" s="94">
        <v>716.0</v>
      </c>
    </row>
    <row r="4493">
      <c r="A4493" s="40">
        <f t="array" ref="A4493">IFNA(index(PlayerValues!A:A,match(IFNA(vlookup(B4493,'Special Names'!A:B,2,FALSE),B4493),PlayerValues!E:E,0)),"N/A")</f>
        <v>13172</v>
      </c>
      <c r="B4493" s="4" t="s">
        <v>840</v>
      </c>
      <c r="C4493" s="4" t="s">
        <v>287</v>
      </c>
      <c r="D4493" s="94">
        <v>712.0</v>
      </c>
    </row>
    <row r="4494">
      <c r="A4494" s="40">
        <f t="array" ref="A4494">IFNA(index(PlayerValues!A:A,match(IFNA(vlookup(B4494,'Special Names'!A:B,2,FALSE),B4494),PlayerValues!E:E,0)),"N/A")</f>
        <v>10413</v>
      </c>
      <c r="B4494" s="4" t="s">
        <v>811</v>
      </c>
      <c r="C4494" s="4" t="s">
        <v>283</v>
      </c>
      <c r="D4494" s="94">
        <v>705.0</v>
      </c>
    </row>
    <row r="4495">
      <c r="A4495" s="40">
        <f t="array" ref="A4495">IFNA(index(PlayerValues!A:A,match(IFNA(vlookup(B4495,'Special Names'!A:B,2,FALSE),B4495),PlayerValues!E:E,0)),"N/A")</f>
        <v>17232</v>
      </c>
      <c r="B4495" s="4" t="s">
        <v>784</v>
      </c>
      <c r="C4495" s="4" t="s">
        <v>287</v>
      </c>
      <c r="D4495" s="94">
        <v>700.0</v>
      </c>
    </row>
    <row r="4496">
      <c r="A4496" s="40">
        <f t="array" ref="A4496">IFNA(index(PlayerValues!A:A,match(IFNA(vlookup(B4496,'Special Names'!A:B,2,FALSE),B4496),PlayerValues!E:E,0)),"N/A")</f>
        <v>17470</v>
      </c>
      <c r="B4496" s="4" t="s">
        <v>841</v>
      </c>
      <c r="C4496" s="4" t="s">
        <v>283</v>
      </c>
      <c r="D4496" s="94">
        <v>699.0</v>
      </c>
    </row>
    <row r="4497">
      <c r="A4497" s="40">
        <f t="array" ref="A4497">IFNA(index(PlayerValues!A:A,match(IFNA(vlookup(B4497,'Special Names'!A:B,2,FALSE),B4497),PlayerValues!E:E,0)),"N/A")</f>
        <v>12658</v>
      </c>
      <c r="B4497" s="4" t="s">
        <v>823</v>
      </c>
      <c r="C4497" s="4" t="s">
        <v>287</v>
      </c>
      <c r="D4497" s="94">
        <v>690.0</v>
      </c>
    </row>
    <row r="4498">
      <c r="A4498" s="40">
        <f t="array" ref="A4498">IFNA(index(PlayerValues!A:A,match(IFNA(vlookup(B4498,'Special Names'!A:B,2,FALSE),B4498),PlayerValues!E:E,0)),"N/A")</f>
        <v>16632</v>
      </c>
      <c r="B4498" s="4" t="s">
        <v>842</v>
      </c>
      <c r="C4498" s="4" t="s">
        <v>287</v>
      </c>
      <c r="D4498" s="94">
        <v>690.0</v>
      </c>
    </row>
    <row r="4499">
      <c r="A4499" s="40">
        <f t="array" ref="A4499">IFNA(index(PlayerValues!A:A,match(IFNA(vlookup(B4499,'Special Names'!A:B,2,FALSE),B4499),PlayerValues!E:E,0)),"N/A")</f>
        <v>14870</v>
      </c>
      <c r="B4499" s="4" t="s">
        <v>843</v>
      </c>
      <c r="C4499" s="4" t="s">
        <v>298</v>
      </c>
      <c r="D4499" s="94">
        <v>1054.0</v>
      </c>
    </row>
    <row r="4500">
      <c r="A4500" s="40">
        <f t="array" ref="A4500">IFNA(index(PlayerValues!A:A,match(IFNA(vlookup(B4500,'Special Names'!A:B,2,FALSE),B4500),PlayerValues!E:E,0)),"N/A")</f>
        <v>17526</v>
      </c>
      <c r="B4500" s="4" t="s">
        <v>760</v>
      </c>
      <c r="C4500" s="4" t="s">
        <v>287</v>
      </c>
      <c r="D4500" s="94">
        <v>686.0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9987.0</v>
      </c>
    </row>
    <row r="4502">
      <c r="A4502" s="40">
        <f t="array" ref="A4502">IFNA(index(PlayerValues!A:A,match(IFNA(vlookup(B4502,'Special Names'!A:B,2,FALSE),B4502),PlayerValues!E:E,0)),"N/A")</f>
        <v>16161</v>
      </c>
      <c r="B4502" s="4" t="s">
        <v>277</v>
      </c>
      <c r="C4502" s="4" t="s">
        <v>278</v>
      </c>
      <c r="D4502" s="94">
        <v>9981.0</v>
      </c>
    </row>
    <row r="4503">
      <c r="A4503" s="40">
        <f t="array" ref="A4503">IFNA(index(PlayerValues!A:A,match(IFNA(vlookup(B4503,'Special Names'!A:B,2,FALSE),B4503),PlayerValues!E:E,0)),"N/A")</f>
        <v>15281</v>
      </c>
      <c r="B4503" s="4" t="s">
        <v>286</v>
      </c>
      <c r="C4503" s="4" t="s">
        <v>287</v>
      </c>
      <c r="D4503" s="94">
        <v>9837.0</v>
      </c>
    </row>
    <row r="4504">
      <c r="A4504" s="40">
        <f t="array" ref="A4504">IFNA(index(PlayerValues!A:A,match(IFNA(vlookup(B4504,'Special Names'!A:B,2,FALSE),B4504),PlayerValues!E:E,0)),"N/A")</f>
        <v>16185</v>
      </c>
      <c r="B4504" s="4" t="s">
        <v>290</v>
      </c>
      <c r="C4504" s="4" t="s">
        <v>287</v>
      </c>
      <c r="D4504" s="94">
        <v>9784.0</v>
      </c>
    </row>
    <row r="4505">
      <c r="A4505" s="40">
        <f t="array" ref="A4505">IFNA(index(PlayerValues!A:A,match(IFNA(vlookup(B4505,'Special Names'!A:B,2,FALSE),B4505),PlayerValues!E:E,0)),"N/A")</f>
        <v>16162</v>
      </c>
      <c r="B4505" s="4" t="s">
        <v>281</v>
      </c>
      <c r="C4505" s="4" t="s">
        <v>278</v>
      </c>
      <c r="D4505" s="94">
        <v>9645.0</v>
      </c>
    </row>
    <row r="4506">
      <c r="A4506" s="40">
        <f t="array" ref="A4506">IFNA(index(PlayerValues!A:A,match(IFNA(vlookup(B4506,'Special Names'!A:B,2,FALSE),B4506),PlayerValues!E:E,0)),"N/A")</f>
        <v>16580</v>
      </c>
      <c r="B4506" s="4" t="s">
        <v>291</v>
      </c>
      <c r="C4506" s="4" t="s">
        <v>283</v>
      </c>
      <c r="D4506" s="94">
        <v>9367.0</v>
      </c>
    </row>
    <row r="4507">
      <c r="A4507" s="40">
        <f t="array" ref="A4507">IFNA(index(PlayerValues!A:A,match(IFNA(vlookup(B4507,'Special Names'!A:B,2,FALSE),B4507),PlayerValues!E:E,0)),"N/A")</f>
        <v>16211</v>
      </c>
      <c r="B4507" s="4" t="s">
        <v>294</v>
      </c>
      <c r="C4507" s="4" t="s">
        <v>287</v>
      </c>
      <c r="D4507" s="94">
        <v>9253.0</v>
      </c>
    </row>
    <row r="4508">
      <c r="A4508" s="40">
        <f t="array" ref="A4508">IFNA(index(PlayerValues!A:A,match(IFNA(vlookup(B4508,'Special Names'!A:B,2,FALSE),B4508),PlayerValues!E:E,0)),"N/A")</f>
        <v>16579</v>
      </c>
      <c r="B4508" s="4" t="s">
        <v>302</v>
      </c>
      <c r="C4508" s="4" t="s">
        <v>283</v>
      </c>
      <c r="D4508" s="94">
        <v>7752.0</v>
      </c>
    </row>
    <row r="4509">
      <c r="A4509" s="40">
        <f t="array" ref="A4509">IFNA(index(PlayerValues!A:A,match(IFNA(vlookup(B4509,'Special Names'!A:B,2,FALSE),B4509),PlayerValues!E:E,0)),"N/A")</f>
        <v>16581</v>
      </c>
      <c r="B4509" s="4" t="s">
        <v>315</v>
      </c>
      <c r="C4509" s="4" t="s">
        <v>283</v>
      </c>
      <c r="D4509" s="94">
        <v>7751.0</v>
      </c>
    </row>
    <row r="4510">
      <c r="A4510" s="40">
        <f t="array" ref="A4510">IFNA(index(PlayerValues!A:A,match(IFNA(vlookup(B4510,'Special Names'!A:B,2,FALSE),B4510),PlayerValues!E:E,0)),"N/A")</f>
        <v>16641</v>
      </c>
      <c r="B4510" s="4" t="s">
        <v>297</v>
      </c>
      <c r="C4510" s="4" t="s">
        <v>298</v>
      </c>
      <c r="D4510" s="94">
        <v>8555.0</v>
      </c>
    </row>
    <row r="4511">
      <c r="A4511" s="40">
        <f t="array" ref="A4511">IFNA(index(PlayerValues!A:A,match(IFNA(vlookup(B4511,'Special Names'!A:B,2,FALSE),B4511),PlayerValues!E:E,0)),"N/A")</f>
        <v>15287</v>
      </c>
      <c r="B4511" s="4" t="s">
        <v>299</v>
      </c>
      <c r="C4511" s="4" t="s">
        <v>287</v>
      </c>
      <c r="D4511" s="94">
        <v>7713.0</v>
      </c>
    </row>
    <row r="4512">
      <c r="A4512" s="40">
        <f t="array" ref="A4512">IFNA(index(PlayerValues!A:A,match(IFNA(vlookup(B4512,'Special Names'!A:B,2,FALSE),B4512),PlayerValues!E:E,0)),"N/A")</f>
        <v>16615</v>
      </c>
      <c r="B4512" s="4" t="s">
        <v>309</v>
      </c>
      <c r="C4512" s="4" t="s">
        <v>287</v>
      </c>
      <c r="D4512" s="94">
        <v>7709.0</v>
      </c>
    </row>
    <row r="4513">
      <c r="A4513" s="40">
        <f t="array" ref="A4513">IFNA(index(PlayerValues!A:A,match(IFNA(vlookup(B4513,'Special Names'!A:B,2,FALSE),B4513),PlayerValues!E:E,0)),"N/A")</f>
        <v>13593</v>
      </c>
      <c r="B4513" s="4" t="s">
        <v>305</v>
      </c>
      <c r="C4513" s="4" t="s">
        <v>283</v>
      </c>
      <c r="D4513" s="94">
        <v>7682.0</v>
      </c>
    </row>
    <row r="4514">
      <c r="A4514" s="40">
        <f t="array" ref="A4514">IFNA(index(PlayerValues!A:A,match(IFNA(vlookup(B4514,'Special Names'!A:B,2,FALSE),B4514),PlayerValues!E:E,0)),"N/A")</f>
        <v>14836</v>
      </c>
      <c r="B4514" s="4" t="s">
        <v>306</v>
      </c>
      <c r="C4514" s="4" t="s">
        <v>287</v>
      </c>
      <c r="D4514" s="94">
        <v>7681.0</v>
      </c>
    </row>
    <row r="4515">
      <c r="A4515" s="40">
        <f t="array" ref="A4515">IFNA(index(PlayerValues!A:A,match(IFNA(vlookup(B4515,'Special Names'!A:B,2,FALSE),B4515),PlayerValues!E:E,0)),"N/A")</f>
        <v>15794</v>
      </c>
      <c r="B4515" s="4" t="s">
        <v>313</v>
      </c>
      <c r="C4515" s="4" t="s">
        <v>298</v>
      </c>
      <c r="D4515" s="94">
        <v>8420.0</v>
      </c>
    </row>
    <row r="4516">
      <c r="A4516" s="40">
        <f t="array" ref="A4516">IFNA(index(PlayerValues!A:A,match(IFNA(vlookup(B4516,'Special Names'!A:B,2,FALSE),B4516),PlayerValues!E:E,0)),"N/A")</f>
        <v>17042</v>
      </c>
      <c r="B4516" s="4" t="s">
        <v>314</v>
      </c>
      <c r="C4516" s="4" t="s">
        <v>278</v>
      </c>
      <c r="D4516" s="94">
        <v>7477.0</v>
      </c>
    </row>
    <row r="4517">
      <c r="A4517" s="40">
        <f t="array" ref="A4517">IFNA(index(PlayerValues!A:A,match(IFNA(vlookup(B4517,'Special Names'!A:B,2,FALSE),B4517),PlayerValues!E:E,0)),"N/A")</f>
        <v>17472</v>
      </c>
      <c r="B4517" s="4" t="s">
        <v>310</v>
      </c>
      <c r="C4517" s="4" t="s">
        <v>278</v>
      </c>
      <c r="D4517" s="94">
        <v>7416.0</v>
      </c>
    </row>
    <row r="4518">
      <c r="A4518" s="40">
        <f t="array" ref="A4518">IFNA(index(PlayerValues!A:A,match(IFNA(vlookup(B4518,'Special Names'!A:B,2,FALSE),B4518),PlayerValues!E:E,0)),"N/A")</f>
        <v>14777</v>
      </c>
      <c r="B4518" s="4" t="s">
        <v>318</v>
      </c>
      <c r="C4518" s="4" t="s">
        <v>283</v>
      </c>
      <c r="D4518" s="94">
        <v>7372.0</v>
      </c>
    </row>
    <row r="4519">
      <c r="A4519" s="40">
        <f t="array" ref="A4519">IFNA(index(PlayerValues!A:A,match(IFNA(vlookup(B4519,'Special Names'!A:B,2,FALSE),B4519),PlayerValues!E:E,0)),"N/A")</f>
        <v>14832</v>
      </c>
      <c r="B4519" s="4" t="s">
        <v>319</v>
      </c>
      <c r="C4519" s="4" t="s">
        <v>287</v>
      </c>
      <c r="D4519" s="94">
        <v>7324.0</v>
      </c>
    </row>
    <row r="4520">
      <c r="A4520" s="40">
        <f t="array" ref="A4520">IFNA(index(PlayerValues!A:A,match(IFNA(vlookup(B4520,'Special Names'!A:B,2,FALSE),B4520),PlayerValues!E:E,0)),"N/A")</f>
        <v>15751</v>
      </c>
      <c r="B4520" s="4" t="s">
        <v>328</v>
      </c>
      <c r="C4520" s="4" t="s">
        <v>287</v>
      </c>
      <c r="D4520" s="94">
        <v>6947.0</v>
      </c>
    </row>
    <row r="4521">
      <c r="A4521" s="40">
        <f t="array" ref="A4521">IFNA(index(PlayerValues!A:A,match(IFNA(vlookup(B4521,'Special Names'!A:B,2,FALSE),B4521),PlayerValues!E:E,0)),"N/A")</f>
        <v>14779</v>
      </c>
      <c r="B4521" s="4" t="s">
        <v>327</v>
      </c>
      <c r="C4521" s="4" t="s">
        <v>283</v>
      </c>
      <c r="D4521" s="94">
        <v>6921.0</v>
      </c>
    </row>
    <row r="4522">
      <c r="A4522" s="40" t="str">
        <f t="array" ref="A4522">IFNA(index(PlayerValues!A:A,match(IFNA(vlookup(B4522,'Special Names'!A:B,2,FALSE),B4522),PlayerValues!E:E,0)),"N/A")</f>
        <v>N/A</v>
      </c>
      <c r="B4522" s="4" t="s">
        <v>92</v>
      </c>
      <c r="C4522" s="4" t="s">
        <v>325</v>
      </c>
      <c r="D4522" s="94">
        <v>6850.0</v>
      </c>
    </row>
    <row r="4523">
      <c r="A4523" s="40">
        <f t="array" ref="A4523">IFNA(index(PlayerValues!A:A,match(IFNA(vlookup(B4523,'Special Names'!A:B,2,FALSE),B4523),PlayerValues!E:E,0)),"N/A")</f>
        <v>16167</v>
      </c>
      <c r="B4523" s="4" t="s">
        <v>323</v>
      </c>
      <c r="C4523" s="4" t="s">
        <v>278</v>
      </c>
      <c r="D4523" s="94">
        <v>6838.0</v>
      </c>
    </row>
    <row r="4524">
      <c r="A4524" s="40">
        <f t="array" ref="A4524">IFNA(index(PlayerValues!A:A,match(IFNA(vlookup(B4524,'Special Names'!A:B,2,FALSE),B4524),PlayerValues!E:E,0)),"N/A")</f>
        <v>13116</v>
      </c>
      <c r="B4524" s="4" t="s">
        <v>345</v>
      </c>
      <c r="C4524" s="4" t="s">
        <v>283</v>
      </c>
      <c r="D4524" s="94">
        <v>6801.0</v>
      </c>
    </row>
    <row r="4525">
      <c r="A4525" s="40">
        <f t="array" ref="A4525">IFNA(index(PlayerValues!A:A,match(IFNA(vlookup(B4525,'Special Names'!A:B,2,FALSE),B4525),PlayerValues!E:E,0)),"N/A")</f>
        <v>17044</v>
      </c>
      <c r="B4525" s="4" t="s">
        <v>322</v>
      </c>
      <c r="C4525" s="4" t="s">
        <v>278</v>
      </c>
      <c r="D4525" s="94">
        <v>6763.0</v>
      </c>
    </row>
    <row r="4526">
      <c r="A4526" s="40">
        <f t="array" ref="A4526">IFNA(index(PlayerValues!A:A,match(IFNA(vlookup(B4526,'Special Names'!A:B,2,FALSE),B4526),PlayerValues!E:E,0)),"N/A")</f>
        <v>17032</v>
      </c>
      <c r="B4526" s="4" t="s">
        <v>348</v>
      </c>
      <c r="C4526" s="4" t="s">
        <v>283</v>
      </c>
      <c r="D4526" s="94">
        <v>6653.0</v>
      </c>
    </row>
    <row r="4527">
      <c r="A4527" s="40">
        <f t="array" ref="A4527">IFNA(index(PlayerValues!A:A,match(IFNA(vlookup(B4527,'Special Names'!A:B,2,FALSE),B4527),PlayerValues!E:E,0)),"N/A")</f>
        <v>17071</v>
      </c>
      <c r="B4527" s="4" t="s">
        <v>341</v>
      </c>
      <c r="C4527" s="4" t="s">
        <v>287</v>
      </c>
      <c r="D4527" s="94">
        <v>6645.0</v>
      </c>
    </row>
    <row r="4528">
      <c r="A4528" s="40">
        <f t="array" ref="A4528">IFNA(index(PlayerValues!A:A,match(IFNA(vlookup(B4528,'Special Names'!A:B,2,FALSE),B4528),PlayerValues!E:E,0)),"N/A")</f>
        <v>14783</v>
      </c>
      <c r="B4528" s="4" t="s">
        <v>342</v>
      </c>
      <c r="C4528" s="4" t="s">
        <v>283</v>
      </c>
      <c r="D4528" s="94">
        <v>6334.0</v>
      </c>
    </row>
    <row r="4529">
      <c r="A4529" s="40">
        <f t="array" ref="A4529">IFNA(index(PlayerValues!A:A,match(IFNA(vlookup(B4529,'Special Names'!A:B,2,FALSE),B4529),PlayerValues!E:E,0)),"N/A")</f>
        <v>15237</v>
      </c>
      <c r="B4529" s="4" t="s">
        <v>336</v>
      </c>
      <c r="C4529" s="4" t="s">
        <v>283</v>
      </c>
      <c r="D4529" s="94">
        <v>6284.0</v>
      </c>
    </row>
    <row r="4530">
      <c r="A4530" s="40">
        <f t="array" ref="A4530">IFNA(index(PlayerValues!A:A,match(IFNA(vlookup(B4530,'Special Names'!A:B,2,FALSE),B4530),PlayerValues!E:E,0)),"N/A")</f>
        <v>16582</v>
      </c>
      <c r="B4530" s="4" t="s">
        <v>343</v>
      </c>
      <c r="C4530" s="4" t="s">
        <v>283</v>
      </c>
      <c r="D4530" s="94">
        <v>6254.0</v>
      </c>
    </row>
    <row r="4531">
      <c r="A4531" s="40">
        <f t="array" ref="A4531">IFNA(index(PlayerValues!A:A,match(IFNA(vlookup(B4531,'Special Names'!A:B,2,FALSE),B4531),PlayerValues!E:E,0)),"N/A")</f>
        <v>15762</v>
      </c>
      <c r="B4531" s="4" t="s">
        <v>337</v>
      </c>
      <c r="C4531" s="4" t="s">
        <v>287</v>
      </c>
      <c r="D4531" s="94">
        <v>6067.0</v>
      </c>
    </row>
    <row r="4532">
      <c r="A4532" s="40">
        <f t="array" ref="A4532">IFNA(index(PlayerValues!A:A,match(IFNA(vlookup(B4532,'Special Names'!A:B,2,FALSE),B4532),PlayerValues!E:E,0)),"N/A")</f>
        <v>17081</v>
      </c>
      <c r="B4532" s="4" t="s">
        <v>340</v>
      </c>
      <c r="C4532" s="4" t="s">
        <v>287</v>
      </c>
      <c r="D4532" s="94">
        <v>5993.0</v>
      </c>
    </row>
    <row r="4533">
      <c r="A4533" s="40">
        <f t="array" ref="A4533">IFNA(index(PlayerValues!A:A,match(IFNA(vlookup(B4533,'Special Names'!A:B,2,FALSE),B4533),PlayerValues!E:E,0)),"N/A")</f>
        <v>17104</v>
      </c>
      <c r="B4533" s="4" t="s">
        <v>333</v>
      </c>
      <c r="C4533" s="4" t="s">
        <v>298</v>
      </c>
      <c r="D4533" s="94">
        <v>6658.0</v>
      </c>
    </row>
    <row r="4534">
      <c r="A4534" s="40">
        <f t="array" ref="A4534">IFNA(index(PlayerValues!A:A,match(IFNA(vlookup(B4534,'Special Names'!A:B,2,FALSE),B4534),PlayerValues!E:E,0)),"N/A")</f>
        <v>15715</v>
      </c>
      <c r="B4534" s="4" t="s">
        <v>331</v>
      </c>
      <c r="C4534" s="4" t="s">
        <v>278</v>
      </c>
      <c r="D4534" s="94">
        <v>5990.0</v>
      </c>
    </row>
    <row r="4535">
      <c r="A4535" s="40">
        <f t="array" ref="A4535">IFNA(index(PlayerValues!A:A,match(IFNA(vlookup(B4535,'Special Names'!A:B,2,FALSE),B4535),PlayerValues!E:E,0)),"N/A")</f>
        <v>14802</v>
      </c>
      <c r="B4535" s="4" t="s">
        <v>332</v>
      </c>
      <c r="C4535" s="4" t="s">
        <v>278</v>
      </c>
      <c r="D4535" s="94">
        <v>5987.0</v>
      </c>
    </row>
    <row r="4536">
      <c r="A4536" s="40">
        <f t="array" ref="A4536">IFNA(index(PlayerValues!A:A,match(IFNA(vlookup(B4536,'Special Names'!A:B,2,FALSE),B4536),PlayerValues!E:E,0)),"N/A")</f>
        <v>15698</v>
      </c>
      <c r="B4536" s="4" t="s">
        <v>358</v>
      </c>
      <c r="C4536" s="4" t="s">
        <v>283</v>
      </c>
      <c r="D4536" s="94">
        <v>5968.0</v>
      </c>
    </row>
    <row r="4537">
      <c r="A4537" s="40" t="str">
        <f t="array" ref="A4537">IFNA(index(PlayerValues!A:A,match(IFNA(vlookup(B4537,'Special Names'!A:B,2,FALSE),B4537),PlayerValues!E:E,0)),"N/A")</f>
        <v>N/A</v>
      </c>
      <c r="B4537" s="4" t="s">
        <v>79</v>
      </c>
      <c r="C4537" s="4" t="s">
        <v>325</v>
      </c>
      <c r="D4537" s="94">
        <v>5841.0</v>
      </c>
    </row>
    <row r="4538">
      <c r="A4538" s="40">
        <f t="array" ref="A4538">IFNA(index(PlayerValues!A:A,match(IFNA(vlookup(B4538,'Special Names'!A:B,2,FALSE),B4538),PlayerValues!E:E,0)),"N/A")</f>
        <v>15753</v>
      </c>
      <c r="B4538" s="4" t="s">
        <v>359</v>
      </c>
      <c r="C4538" s="4" t="s">
        <v>287</v>
      </c>
      <c r="D4538" s="94">
        <v>5774.0</v>
      </c>
    </row>
    <row r="4539">
      <c r="A4539" s="40">
        <f t="array" ref="A4539">IFNA(index(PlayerValues!A:A,match(IFNA(vlookup(B4539,'Special Names'!A:B,2,FALSE),B4539),PlayerValues!E:E,0)),"N/A")</f>
        <v>15290</v>
      </c>
      <c r="B4539" s="4" t="s">
        <v>355</v>
      </c>
      <c r="C4539" s="4" t="s">
        <v>287</v>
      </c>
      <c r="D4539" s="94">
        <v>5772.0</v>
      </c>
    </row>
    <row r="4540">
      <c r="A4540" s="40">
        <f t="array" ref="A4540">IFNA(index(PlayerValues!A:A,match(IFNA(vlookup(B4540,'Special Names'!A:B,2,FALSE),B4540),PlayerValues!E:E,0)),"N/A")</f>
        <v>15711</v>
      </c>
      <c r="B4540" s="4" t="s">
        <v>349</v>
      </c>
      <c r="C4540" s="4" t="s">
        <v>278</v>
      </c>
      <c r="D4540" s="94">
        <v>5764.0</v>
      </c>
    </row>
    <row r="4541">
      <c r="A4541" s="40">
        <f t="array" ref="A4541">IFNA(index(PlayerValues!A:A,match(IFNA(vlookup(B4541,'Special Names'!A:B,2,FALSE),B4541),PlayerValues!E:E,0)),"N/A")</f>
        <v>17102</v>
      </c>
      <c r="B4541" s="4" t="s">
        <v>344</v>
      </c>
      <c r="C4541" s="4" t="s">
        <v>298</v>
      </c>
      <c r="D4541" s="94">
        <v>6401.0</v>
      </c>
    </row>
    <row r="4542">
      <c r="A4542" s="40">
        <f t="array" ref="A4542">IFNA(index(PlayerValues!A:A,match(IFNA(vlookup(B4542,'Special Names'!A:B,2,FALSE),B4542),PlayerValues!E:E,0)),"N/A")</f>
        <v>14782</v>
      </c>
      <c r="B4542" s="4" t="s">
        <v>385</v>
      </c>
      <c r="C4542" s="4" t="s">
        <v>283</v>
      </c>
      <c r="D4542" s="94">
        <v>5698.0</v>
      </c>
    </row>
    <row r="4543">
      <c r="A4543" s="40">
        <f t="array" ref="A4543">IFNA(index(PlayerValues!A:A,match(IFNA(vlookup(B4543,'Special Names'!A:B,2,FALSE),B4543),PlayerValues!E:E,0)),"N/A")</f>
        <v>15754</v>
      </c>
      <c r="B4543" s="4" t="s">
        <v>354</v>
      </c>
      <c r="C4543" s="4" t="s">
        <v>287</v>
      </c>
      <c r="D4543" s="94">
        <v>5675.0</v>
      </c>
    </row>
    <row r="4544">
      <c r="A4544" s="40" t="str">
        <f t="array" ref="A4544">IFNA(index(PlayerValues!A:A,match(IFNA(vlookup(B4544,'Special Names'!A:B,2,FALSE),B4544),PlayerValues!E:E,0)),"N/A")</f>
        <v>N/A</v>
      </c>
      <c r="B4544" s="4" t="s">
        <v>93</v>
      </c>
      <c r="C4544" s="4" t="s">
        <v>325</v>
      </c>
      <c r="D4544" s="94">
        <v>5630.0</v>
      </c>
    </row>
    <row r="4545">
      <c r="A4545" s="40">
        <f t="array" ref="A4545">IFNA(index(PlayerValues!A:A,match(IFNA(vlookup(B4545,'Special Names'!A:B,2,FALSE),B4545),PlayerValues!E:E,0)),"N/A")</f>
        <v>17462</v>
      </c>
      <c r="B4545" s="4" t="s">
        <v>375</v>
      </c>
      <c r="C4545" s="4" t="s">
        <v>283</v>
      </c>
      <c r="D4545" s="94">
        <v>5595.0</v>
      </c>
    </row>
    <row r="4546">
      <c r="A4546" s="40">
        <f t="array" ref="A4546">IFNA(index(PlayerValues!A:A,match(IFNA(vlookup(B4546,'Special Names'!A:B,2,FALSE),B4546),PlayerValues!E:E,0)),"N/A")</f>
        <v>16616</v>
      </c>
      <c r="B4546" s="4" t="s">
        <v>389</v>
      </c>
      <c r="C4546" s="4" t="s">
        <v>287</v>
      </c>
      <c r="D4546" s="94">
        <v>5539.0</v>
      </c>
    </row>
    <row r="4547">
      <c r="A4547" s="40">
        <f t="array" ref="A4547">IFNA(index(PlayerValues!A:A,match(IFNA(vlookup(B4547,'Special Names'!A:B,2,FALSE),B4547),PlayerValues!E:E,0)),"N/A")</f>
        <v>17043</v>
      </c>
      <c r="B4547" s="4" t="s">
        <v>397</v>
      </c>
      <c r="C4547" s="4" t="s">
        <v>278</v>
      </c>
      <c r="D4547" s="94">
        <v>5474.0</v>
      </c>
    </row>
    <row r="4548">
      <c r="A4548" s="40">
        <f t="array" ref="A4548">IFNA(index(PlayerValues!A:A,match(IFNA(vlookup(B4548,'Special Names'!A:B,2,FALSE),B4548),PlayerValues!E:E,0)),"N/A")</f>
        <v>17051</v>
      </c>
      <c r="B4548" s="4" t="s">
        <v>386</v>
      </c>
      <c r="C4548" s="4" t="s">
        <v>278</v>
      </c>
      <c r="D4548" s="94">
        <v>5421.0</v>
      </c>
    </row>
    <row r="4549">
      <c r="A4549" s="40">
        <f t="array" ref="A4549">IFNA(index(PlayerValues!A:A,match(IFNA(vlookup(B4549,'Special Names'!A:B,2,FALSE),B4549),PlayerValues!E:E,0)),"N/A")</f>
        <v>16627</v>
      </c>
      <c r="B4549" s="4" t="s">
        <v>351</v>
      </c>
      <c r="C4549" s="4" t="s">
        <v>287</v>
      </c>
      <c r="D4549" s="94">
        <v>5399.0</v>
      </c>
    </row>
    <row r="4550">
      <c r="A4550" s="40">
        <f t="array" ref="A4550">IFNA(index(PlayerValues!A:A,match(IFNA(vlookup(B4550,'Special Names'!A:B,2,FALSE),B4550),PlayerValues!E:E,0)),"N/A")</f>
        <v>17070</v>
      </c>
      <c r="B4550" s="4" t="s">
        <v>370</v>
      </c>
      <c r="C4550" s="4" t="s">
        <v>287</v>
      </c>
      <c r="D4550" s="94">
        <v>5376.0</v>
      </c>
    </row>
    <row r="4551">
      <c r="A4551" s="40">
        <f t="array" ref="A4551">IFNA(index(PlayerValues!A:A,match(IFNA(vlookup(B4551,'Special Names'!A:B,2,FALSE),B4551),PlayerValues!E:E,0)),"N/A")</f>
        <v>15708</v>
      </c>
      <c r="B4551" s="4" t="s">
        <v>382</v>
      </c>
      <c r="C4551" s="4" t="s">
        <v>278</v>
      </c>
      <c r="D4551" s="94">
        <v>5354.0</v>
      </c>
    </row>
    <row r="4552">
      <c r="A4552" s="40">
        <f t="array" ref="A4552">IFNA(index(PlayerValues!A:A,match(IFNA(vlookup(B4552,'Special Names'!A:B,2,FALSE),B4552),PlayerValues!E:E,0)),"N/A")</f>
        <v>17497</v>
      </c>
      <c r="B4552" s="4" t="s">
        <v>365</v>
      </c>
      <c r="C4552" s="4" t="s">
        <v>287</v>
      </c>
      <c r="D4552" s="94">
        <v>5201.0</v>
      </c>
    </row>
    <row r="4553">
      <c r="A4553" s="40">
        <f t="array" ref="A4553">IFNA(index(PlayerValues!A:A,match(IFNA(vlookup(B4553,'Special Names'!A:B,2,FALSE),B4553),PlayerValues!E:E,0)),"N/A")</f>
        <v>17030</v>
      </c>
      <c r="B4553" s="4" t="s">
        <v>406</v>
      </c>
      <c r="C4553" s="4" t="s">
        <v>283</v>
      </c>
      <c r="D4553" s="94">
        <v>5147.0</v>
      </c>
    </row>
    <row r="4554">
      <c r="A4554" s="40">
        <f t="array" ref="A4554">IFNA(index(PlayerValues!A:A,match(IFNA(vlookup(B4554,'Special Names'!A:B,2,FALSE),B4554),PlayerValues!E:E,0)),"N/A")</f>
        <v>13130</v>
      </c>
      <c r="B4554" s="4" t="s">
        <v>374</v>
      </c>
      <c r="C4554" s="4" t="s">
        <v>278</v>
      </c>
      <c r="D4554" s="94">
        <v>5130.0</v>
      </c>
    </row>
    <row r="4555">
      <c r="A4555" s="40">
        <f t="array" ref="A4555">IFNA(index(PlayerValues!A:A,match(IFNA(vlookup(B4555,'Special Names'!A:B,2,FALSE),B4555),PlayerValues!E:E,0)),"N/A")</f>
        <v>17499</v>
      </c>
      <c r="B4555" s="4" t="s">
        <v>402</v>
      </c>
      <c r="C4555" s="4" t="s">
        <v>287</v>
      </c>
      <c r="D4555" s="94">
        <v>5100.0</v>
      </c>
    </row>
    <row r="4556">
      <c r="A4556" s="40">
        <f t="array" ref="A4556">IFNA(index(PlayerValues!A:A,match(IFNA(vlookup(B4556,'Special Names'!A:B,2,FALSE),B4556),PlayerValues!E:E,0)),"N/A")</f>
        <v>16598</v>
      </c>
      <c r="B4556" s="4" t="s">
        <v>408</v>
      </c>
      <c r="C4556" s="4" t="s">
        <v>278</v>
      </c>
      <c r="D4556" s="94">
        <v>5093.0</v>
      </c>
    </row>
    <row r="4557">
      <c r="A4557" s="40">
        <f t="array" ref="A4557">IFNA(index(PlayerValues!A:A,match(IFNA(vlookup(B4557,'Special Names'!A:B,2,FALSE),B4557),PlayerValues!E:E,0)),"N/A")</f>
        <v>12620</v>
      </c>
      <c r="B4557" s="4" t="s">
        <v>394</v>
      </c>
      <c r="C4557" s="4" t="s">
        <v>283</v>
      </c>
      <c r="D4557" s="94">
        <v>5061.0</v>
      </c>
    </row>
    <row r="4558">
      <c r="A4558" s="40">
        <f t="array" ref="A4558">IFNA(index(PlayerValues!A:A,match(IFNA(vlookup(B4558,'Special Names'!A:B,2,FALSE),B4558),PlayerValues!E:E,0)),"N/A")</f>
        <v>16614</v>
      </c>
      <c r="B4558" s="4" t="s">
        <v>403</v>
      </c>
      <c r="C4558" s="4" t="s">
        <v>287</v>
      </c>
      <c r="D4558" s="94">
        <v>4999.0</v>
      </c>
    </row>
    <row r="4559">
      <c r="A4559" s="40" t="str">
        <f t="array" ref="A4559">IFNA(index(PlayerValues!A:A,match(IFNA(vlookup(B4559,'Special Names'!A:B,2,FALSE),B4559),PlayerValues!E:E,0)),"N/A")</f>
        <v>N/A</v>
      </c>
      <c r="B4559" s="4" t="s">
        <v>104</v>
      </c>
      <c r="C4559" s="4" t="s">
        <v>325</v>
      </c>
      <c r="D4559" s="94">
        <v>4990.0</v>
      </c>
    </row>
    <row r="4560">
      <c r="A4560" s="40">
        <f t="array" ref="A4560">IFNA(index(PlayerValues!A:A,match(IFNA(vlookup(B4560,'Special Names'!A:B,2,FALSE),B4560),PlayerValues!E:E,0)),"N/A")</f>
        <v>16181</v>
      </c>
      <c r="B4560" s="4" t="s">
        <v>350</v>
      </c>
      <c r="C4560" s="4" t="s">
        <v>278</v>
      </c>
      <c r="D4560" s="94">
        <v>4962.0</v>
      </c>
    </row>
    <row r="4561">
      <c r="A4561" s="40">
        <f t="array" ref="A4561">IFNA(index(PlayerValues!A:A,match(IFNA(vlookup(B4561,'Special Names'!A:B,2,FALSE),B4561),PlayerValues!E:E,0)),"N/A")</f>
        <v>17103</v>
      </c>
      <c r="B4561" s="4" t="s">
        <v>405</v>
      </c>
      <c r="C4561" s="4" t="s">
        <v>298</v>
      </c>
      <c r="D4561" s="94">
        <v>5536.0</v>
      </c>
    </row>
    <row r="4562">
      <c r="A4562" s="40">
        <f t="array" ref="A4562">IFNA(index(PlayerValues!A:A,match(IFNA(vlookup(B4562,'Special Names'!A:B,2,FALSE),B4562),PlayerValues!E:E,0)),"N/A")</f>
        <v>16618</v>
      </c>
      <c r="B4562" s="4" t="s">
        <v>411</v>
      </c>
      <c r="C4562" s="4" t="s">
        <v>287</v>
      </c>
      <c r="D4562" s="94">
        <v>4929.0</v>
      </c>
    </row>
    <row r="4563">
      <c r="A4563" s="40">
        <f t="array" ref="A4563">IFNA(index(PlayerValues!A:A,match(IFNA(vlookup(B4563,'Special Names'!A:B,2,FALSE),B4563),PlayerValues!E:E,0)),"N/A")</f>
        <v>15282</v>
      </c>
      <c r="B4563" s="4" t="s">
        <v>364</v>
      </c>
      <c r="C4563" s="4" t="s">
        <v>287</v>
      </c>
      <c r="D4563" s="94">
        <v>4919.0</v>
      </c>
    </row>
    <row r="4564">
      <c r="A4564" s="40">
        <f t="array" ref="A4564">IFNA(index(PlayerValues!A:A,match(IFNA(vlookup(B4564,'Special Names'!A:B,2,FALSE),B4564),PlayerValues!E:E,0)),"N/A")</f>
        <v>14835</v>
      </c>
      <c r="B4564" s="4" t="s">
        <v>392</v>
      </c>
      <c r="C4564" s="4" t="s">
        <v>287</v>
      </c>
      <c r="D4564" s="94">
        <v>4917.0</v>
      </c>
    </row>
    <row r="4565">
      <c r="A4565" s="40">
        <f t="array" ref="A4565">IFNA(index(PlayerValues!A:A,match(IFNA(vlookup(B4565,'Special Names'!A:B,2,FALSE),B4565),PlayerValues!E:E,0)),"N/A")</f>
        <v>13604</v>
      </c>
      <c r="B4565" s="4" t="s">
        <v>378</v>
      </c>
      <c r="C4565" s="4" t="s">
        <v>278</v>
      </c>
      <c r="D4565" s="94">
        <v>4911.0</v>
      </c>
    </row>
    <row r="4566">
      <c r="A4566" s="40">
        <f t="array" ref="A4566">IFNA(index(PlayerValues!A:A,match(IFNA(vlookup(B4566,'Special Names'!A:B,2,FALSE),B4566),PlayerValues!E:E,0)),"N/A")</f>
        <v>15284</v>
      </c>
      <c r="B4566" s="4" t="s">
        <v>390</v>
      </c>
      <c r="C4566" s="4" t="s">
        <v>287</v>
      </c>
      <c r="D4566" s="94">
        <v>4867.0</v>
      </c>
    </row>
    <row r="4567">
      <c r="A4567" s="40">
        <f t="array" ref="A4567">IFNA(index(PlayerValues!A:A,match(IFNA(vlookup(B4567,'Special Names'!A:B,2,FALSE),B4567),PlayerValues!E:E,0)),"N/A")</f>
        <v>15710</v>
      </c>
      <c r="B4567" s="4" t="s">
        <v>395</v>
      </c>
      <c r="C4567" s="4" t="s">
        <v>278</v>
      </c>
      <c r="D4567" s="94">
        <v>4845.0</v>
      </c>
    </row>
    <row r="4568">
      <c r="A4568" s="40">
        <f t="array" ref="A4568">IFNA(index(PlayerValues!A:A,match(IFNA(vlookup(B4568,'Special Names'!A:B,2,FALSE),B4568),PlayerValues!E:E,0)),"N/A")</f>
        <v>17498</v>
      </c>
      <c r="B4568" s="4" t="s">
        <v>396</v>
      </c>
      <c r="C4568" s="4" t="s">
        <v>287</v>
      </c>
      <c r="D4568" s="94">
        <v>4811.0</v>
      </c>
    </row>
    <row r="4569">
      <c r="A4569" s="40">
        <f t="array" ref="A4569">IFNA(index(PlayerValues!A:A,match(IFNA(vlookup(B4569,'Special Names'!A:B,2,FALSE),B4569),PlayerValues!E:E,0)),"N/A")</f>
        <v>16194</v>
      </c>
      <c r="B4569" s="4" t="s">
        <v>398</v>
      </c>
      <c r="C4569" s="4" t="s">
        <v>287</v>
      </c>
      <c r="D4569" s="94">
        <v>4801.0</v>
      </c>
    </row>
    <row r="4570">
      <c r="A4570" s="40">
        <f t="array" ref="A4570">IFNA(index(PlayerValues!A:A,match(IFNA(vlookup(B4570,'Special Names'!A:B,2,FALSE),B4570),PlayerValues!E:E,0)),"N/A")</f>
        <v>16150</v>
      </c>
      <c r="B4570" s="4" t="s">
        <v>414</v>
      </c>
      <c r="C4570" s="4" t="s">
        <v>283</v>
      </c>
      <c r="D4570" s="94">
        <v>4794.0</v>
      </c>
    </row>
    <row r="4571">
      <c r="A4571" s="40">
        <f t="array" ref="A4571">IFNA(index(PlayerValues!A:A,match(IFNA(vlookup(B4571,'Special Names'!A:B,2,FALSE),B4571),PlayerValues!E:E,0)),"N/A")</f>
        <v>14104</v>
      </c>
      <c r="B4571" s="4" t="s">
        <v>379</v>
      </c>
      <c r="C4571" s="4" t="s">
        <v>287</v>
      </c>
      <c r="D4571" s="94">
        <v>4786.0</v>
      </c>
    </row>
    <row r="4572">
      <c r="A4572" s="40">
        <f t="array" ref="A4572">IFNA(index(PlayerValues!A:A,match(IFNA(vlookup(B4572,'Special Names'!A:B,2,FALSE),B4572),PlayerValues!E:E,0)),"N/A")</f>
        <v>16222</v>
      </c>
      <c r="B4572" s="4" t="s">
        <v>393</v>
      </c>
      <c r="C4572" s="4" t="s">
        <v>298</v>
      </c>
      <c r="D4572" s="94">
        <v>5348.0</v>
      </c>
    </row>
    <row r="4573">
      <c r="A4573" s="40" t="str">
        <f t="array" ref="A4573">IFNA(index(PlayerValues!A:A,match(IFNA(vlookup(B4573,'Special Names'!A:B,2,FALSE),B4573),PlayerValues!E:E,0)),"N/A")</f>
        <v>N/A</v>
      </c>
      <c r="B4573" s="4" t="s">
        <v>94</v>
      </c>
      <c r="C4573" s="4" t="s">
        <v>325</v>
      </c>
      <c r="D4573" s="94">
        <v>4784.0</v>
      </c>
    </row>
    <row r="4574">
      <c r="A4574" s="40">
        <f t="array" ref="A4574">IFNA(index(PlayerValues!A:A,match(IFNA(vlookup(B4574,'Special Names'!A:B,2,FALSE),B4574),PlayerValues!E:E,0)),"N/A")</f>
        <v>13590</v>
      </c>
      <c r="B4574" s="4" t="s">
        <v>409</v>
      </c>
      <c r="C4574" s="4" t="s">
        <v>283</v>
      </c>
      <c r="D4574" s="94">
        <v>4782.0</v>
      </c>
    </row>
    <row r="4575">
      <c r="A4575" s="40">
        <f t="array" ref="A4575">IFNA(index(PlayerValues!A:A,match(IFNA(vlookup(B4575,'Special Names'!A:B,2,FALSE),B4575),PlayerValues!E:E,0)),"N/A")</f>
        <v>15756</v>
      </c>
      <c r="B4575" s="4" t="s">
        <v>399</v>
      </c>
      <c r="C4575" s="4" t="s">
        <v>287</v>
      </c>
      <c r="D4575" s="94">
        <v>4773.0</v>
      </c>
    </row>
    <row r="4576">
      <c r="A4576" s="40">
        <f t="array" ref="A4576">IFNA(index(PlayerValues!A:A,match(IFNA(vlookup(B4576,'Special Names'!A:B,2,FALSE),B4576),PlayerValues!E:E,0)),"N/A")</f>
        <v>13592</v>
      </c>
      <c r="B4576" s="4" t="s">
        <v>418</v>
      </c>
      <c r="C4576" s="4" t="s">
        <v>283</v>
      </c>
      <c r="D4576" s="94">
        <v>4768.0</v>
      </c>
    </row>
    <row r="4577">
      <c r="A4577" s="40" t="str">
        <f t="array" ref="A4577">IFNA(index(PlayerValues!A:A,match(IFNA(vlookup(B4577,'Special Names'!A:B,2,FALSE),B4577),PlayerValues!E:E,0)),"N/A")</f>
        <v>N/A</v>
      </c>
      <c r="B4577" s="4" t="s">
        <v>80</v>
      </c>
      <c r="C4577" s="4" t="s">
        <v>325</v>
      </c>
      <c r="D4577" s="94">
        <v>4750.0</v>
      </c>
    </row>
    <row r="4578">
      <c r="A4578" s="40">
        <f t="array" ref="A4578">IFNA(index(PlayerValues!A:A,match(IFNA(vlookup(B4578,'Special Names'!A:B,2,FALSE),B4578),PlayerValues!E:E,0)),"N/A")</f>
        <v>16190</v>
      </c>
      <c r="B4578" s="4" t="s">
        <v>371</v>
      </c>
      <c r="C4578" s="4" t="s">
        <v>287</v>
      </c>
      <c r="D4578" s="94">
        <v>4698.0</v>
      </c>
    </row>
    <row r="4579">
      <c r="A4579" s="40">
        <f t="array" ref="A4579">IFNA(index(PlayerValues!A:A,match(IFNA(vlookup(B4579,'Special Names'!A:B,2,FALSE),B4579),PlayerValues!E:E,0)),"N/A")</f>
        <v>15253</v>
      </c>
      <c r="B4579" s="4" t="s">
        <v>415</v>
      </c>
      <c r="C4579" s="4" t="s">
        <v>278</v>
      </c>
      <c r="D4579" s="94">
        <v>4697.0</v>
      </c>
    </row>
    <row r="4580">
      <c r="A4580" s="40">
        <f t="array" ref="A4580">IFNA(index(PlayerValues!A:A,match(IFNA(vlookup(B4580,'Special Names'!A:B,2,FALSE),B4580),PlayerValues!E:E,0)),"N/A")</f>
        <v>12611</v>
      </c>
      <c r="B4580" s="4" t="s">
        <v>410</v>
      </c>
      <c r="C4580" s="4" t="s">
        <v>283</v>
      </c>
      <c r="D4580" s="94">
        <v>4676.0</v>
      </c>
    </row>
    <row r="4581">
      <c r="A4581" s="40">
        <f t="array" ref="A4581">IFNA(index(PlayerValues!A:A,match(IFNA(vlookup(B4581,'Special Names'!A:B,2,FALSE),B4581),PlayerValues!E:E,0)),"N/A")</f>
        <v>17039</v>
      </c>
      <c r="B4581" s="4" t="s">
        <v>400</v>
      </c>
      <c r="C4581" s="4" t="s">
        <v>283</v>
      </c>
      <c r="D4581" s="94">
        <v>4632.0</v>
      </c>
    </row>
    <row r="4582">
      <c r="A4582" s="40">
        <f t="array" ref="A4582">IFNA(index(PlayerValues!A:A,match(IFNA(vlookup(B4582,'Special Names'!A:B,2,FALSE),B4582),PlayerValues!E:E,0)),"N/A")</f>
        <v>14073</v>
      </c>
      <c r="B4582" s="4" t="s">
        <v>464</v>
      </c>
      <c r="C4582" s="4" t="s">
        <v>278</v>
      </c>
      <c r="D4582" s="94">
        <v>4594.0</v>
      </c>
    </row>
    <row r="4583">
      <c r="A4583" s="40">
        <f t="array" ref="A4583">IFNA(index(PlayerValues!A:A,match(IFNA(vlookup(B4583,'Special Names'!A:B,2,FALSE),B4583),PlayerValues!E:E,0)),"N/A")</f>
        <v>15256</v>
      </c>
      <c r="B4583" s="4" t="s">
        <v>401</v>
      </c>
      <c r="C4583" s="4" t="s">
        <v>278</v>
      </c>
      <c r="D4583" s="94">
        <v>4576.0</v>
      </c>
    </row>
    <row r="4584">
      <c r="A4584" s="40">
        <f t="array" ref="A4584">IFNA(index(PlayerValues!A:A,match(IFNA(vlookup(B4584,'Special Names'!A:B,2,FALSE),B4584),PlayerValues!E:E,0)),"N/A")</f>
        <v>16214</v>
      </c>
      <c r="B4584" s="4" t="s">
        <v>413</v>
      </c>
      <c r="C4584" s="4" t="s">
        <v>298</v>
      </c>
      <c r="D4584" s="94">
        <v>5097.0</v>
      </c>
    </row>
    <row r="4585">
      <c r="A4585" s="40" t="str">
        <f t="array" ref="A4585">IFNA(index(PlayerValues!A:A,match(IFNA(vlookup(B4585,'Special Names'!A:B,2,FALSE),B4585),PlayerValues!E:E,0)),"N/A")</f>
        <v>N/A</v>
      </c>
      <c r="B4585" s="4" t="s">
        <v>105</v>
      </c>
      <c r="C4585" s="4" t="s">
        <v>325</v>
      </c>
      <c r="D4585" s="94">
        <v>4539.0</v>
      </c>
    </row>
    <row r="4586">
      <c r="A4586" s="40">
        <f t="array" ref="A4586">IFNA(index(PlayerValues!A:A,match(IFNA(vlookup(B4586,'Special Names'!A:B,2,FALSE),B4586),PlayerValues!E:E,0)),"N/A")</f>
        <v>15329</v>
      </c>
      <c r="B4586" s="4" t="s">
        <v>416</v>
      </c>
      <c r="C4586" s="4" t="s">
        <v>298</v>
      </c>
      <c r="D4586" s="94">
        <v>5084.0</v>
      </c>
    </row>
    <row r="4587">
      <c r="A4587" s="40">
        <f t="array" ref="A4587">IFNA(index(PlayerValues!A:A,match(IFNA(vlookup(B4587,'Special Names'!A:B,2,FALSE),B4587),PlayerValues!E:E,0)),"N/A")</f>
        <v>17045</v>
      </c>
      <c r="B4587" s="4" t="s">
        <v>407</v>
      </c>
      <c r="C4587" s="4" t="s">
        <v>278</v>
      </c>
      <c r="D4587" s="94">
        <v>4525.0</v>
      </c>
    </row>
    <row r="4588">
      <c r="A4588" s="40">
        <f t="array" ref="A4588">IFNA(index(PlayerValues!A:A,match(IFNA(vlookup(B4588,'Special Names'!A:B,2,FALSE),B4588),PlayerValues!E:E,0)),"N/A")</f>
        <v>16148</v>
      </c>
      <c r="B4588" s="4" t="s">
        <v>426</v>
      </c>
      <c r="C4588" s="4" t="s">
        <v>283</v>
      </c>
      <c r="D4588" s="94">
        <v>4518.0</v>
      </c>
    </row>
    <row r="4589">
      <c r="A4589" s="40">
        <f t="array" ref="A4589">IFNA(index(PlayerValues!A:A,match(IFNA(vlookup(B4589,'Special Names'!A:B,2,FALSE),B4589),PlayerValues!E:E,0)),"N/A")</f>
        <v>17543</v>
      </c>
      <c r="B4589" s="4" t="s">
        <v>436</v>
      </c>
      <c r="C4589" s="4" t="s">
        <v>298</v>
      </c>
      <c r="D4589" s="94">
        <v>4944.0</v>
      </c>
    </row>
    <row r="4590">
      <c r="A4590" s="40">
        <f t="array" ref="A4590">IFNA(index(PlayerValues!A:A,match(IFNA(vlookup(B4590,'Special Names'!A:B,2,FALSE),B4590),PlayerValues!E:E,0)),"N/A")</f>
        <v>14056</v>
      </c>
      <c r="B4590" s="4" t="s">
        <v>423</v>
      </c>
      <c r="C4590" s="4" t="s">
        <v>283</v>
      </c>
      <c r="D4590" s="94">
        <v>4398.0</v>
      </c>
    </row>
    <row r="4591">
      <c r="A4591" s="40">
        <f t="array" ref="A4591">IFNA(index(PlayerValues!A:A,match(IFNA(vlookup(B4591,'Special Names'!A:B,2,FALSE),B4591),PlayerValues!E:E,0)),"N/A")</f>
        <v>15768</v>
      </c>
      <c r="B4591" s="4" t="s">
        <v>432</v>
      </c>
      <c r="C4591" s="4" t="s">
        <v>287</v>
      </c>
      <c r="D4591" s="94">
        <v>4340.0</v>
      </c>
    </row>
    <row r="4592">
      <c r="A4592" s="40">
        <f t="array" ref="A4592">IFNA(index(PlayerValues!A:A,match(IFNA(vlookup(B4592,'Special Names'!A:B,2,FALSE),B4592),PlayerValues!E:E,0)),"N/A")</f>
        <v>14059</v>
      </c>
      <c r="B4592" s="4" t="s">
        <v>435</v>
      </c>
      <c r="C4592" s="4" t="s">
        <v>283</v>
      </c>
      <c r="D4592" s="94">
        <v>4274.0</v>
      </c>
    </row>
    <row r="4593">
      <c r="A4593" s="40">
        <f t="array" ref="A4593">IFNA(index(PlayerValues!A:A,match(IFNA(vlookup(B4593,'Special Names'!A:B,2,FALSE),B4593),PlayerValues!E:E,0)),"N/A")</f>
        <v>15694</v>
      </c>
      <c r="B4593" s="4" t="s">
        <v>434</v>
      </c>
      <c r="C4593" s="4" t="s">
        <v>283</v>
      </c>
      <c r="D4593" s="94">
        <v>4123.0</v>
      </c>
    </row>
    <row r="4594">
      <c r="A4594" s="40">
        <f t="array" ref="A4594">IFNA(index(PlayerValues!A:A,match(IFNA(vlookup(B4594,'Special Names'!A:B,2,FALSE),B4594),PlayerValues!E:E,0)),"N/A")</f>
        <v>17052</v>
      </c>
      <c r="B4594" s="4" t="s">
        <v>417</v>
      </c>
      <c r="C4594" s="4" t="s">
        <v>278</v>
      </c>
      <c r="D4594" s="94">
        <v>3939.0</v>
      </c>
    </row>
    <row r="4595">
      <c r="A4595" s="40" t="str">
        <f t="array" ref="A4595">IFNA(index(PlayerValues!A:A,match(IFNA(vlookup(B4595,'Special Names'!A:B,2,FALSE),B4595),PlayerValues!E:E,0)),"N/A")</f>
        <v>N/A</v>
      </c>
      <c r="B4595" s="4" t="s">
        <v>107</v>
      </c>
      <c r="C4595" s="4" t="s">
        <v>325</v>
      </c>
      <c r="D4595" s="94">
        <v>3938.0</v>
      </c>
    </row>
    <row r="4596">
      <c r="A4596" s="40" t="str">
        <f t="array" ref="A4596">IFNA(index(PlayerValues!A:A,match(IFNA(vlookup(B4596,'Special Names'!A:B,2,FALSE),B4596),PlayerValues!E:E,0)),"N/A")</f>
        <v>N/A</v>
      </c>
      <c r="B4596" s="4" t="s">
        <v>81</v>
      </c>
      <c r="C4596" s="4" t="s">
        <v>325</v>
      </c>
      <c r="D4596" s="94">
        <v>3927.0</v>
      </c>
    </row>
    <row r="4597">
      <c r="A4597" s="40">
        <f t="array" ref="A4597">IFNA(index(PlayerValues!A:A,match(IFNA(vlookup(B4597,'Special Names'!A:B,2,FALSE),B4597),PlayerValues!E:E,0)),"N/A")</f>
        <v>16186</v>
      </c>
      <c r="B4597" s="4" t="s">
        <v>425</v>
      </c>
      <c r="C4597" s="4" t="s">
        <v>287</v>
      </c>
      <c r="D4597" s="94">
        <v>3926.0</v>
      </c>
    </row>
    <row r="4598">
      <c r="A4598" s="40">
        <f t="array" ref="A4598">IFNA(index(PlayerValues!A:A,match(IFNA(vlookup(B4598,'Special Names'!A:B,2,FALSE),B4598),PlayerValues!E:E,0)),"N/A")</f>
        <v>13635</v>
      </c>
      <c r="B4598" s="4" t="s">
        <v>424</v>
      </c>
      <c r="C4598" s="4" t="s">
        <v>287</v>
      </c>
      <c r="D4598" s="94">
        <v>3905.0</v>
      </c>
    </row>
    <row r="4599">
      <c r="A4599" s="40">
        <f t="array" ref="A4599">IFNA(index(PlayerValues!A:A,match(IFNA(vlookup(B4599,'Special Names'!A:B,2,FALSE),B4599),PlayerValues!E:E,0)),"N/A")</f>
        <v>17099</v>
      </c>
      <c r="B4599" s="4" t="s">
        <v>474</v>
      </c>
      <c r="C4599" s="4" t="s">
        <v>298</v>
      </c>
      <c r="D4599" s="94">
        <v>4349.0</v>
      </c>
    </row>
    <row r="4600">
      <c r="A4600" s="40">
        <f t="array" ref="A4600">IFNA(index(PlayerValues!A:A,match(IFNA(vlookup(B4600,'Special Names'!A:B,2,FALSE),B4600),PlayerValues!E:E,0)),"N/A")</f>
        <v>12626</v>
      </c>
      <c r="B4600" s="4" t="s">
        <v>419</v>
      </c>
      <c r="C4600" s="4" t="s">
        <v>278</v>
      </c>
      <c r="D4600" s="94">
        <v>3771.0</v>
      </c>
    </row>
    <row r="4601">
      <c r="A4601" s="40">
        <f t="array" ref="A4601">IFNA(index(PlayerValues!A:A,match(IFNA(vlookup(B4601,'Special Names'!A:B,2,FALSE),B4601),PlayerValues!E:E,0)),"N/A")</f>
        <v>17068</v>
      </c>
      <c r="B4601" s="4" t="s">
        <v>450</v>
      </c>
      <c r="C4601" s="4" t="s">
        <v>278</v>
      </c>
      <c r="D4601" s="94">
        <v>3761.0</v>
      </c>
    </row>
    <row r="4602">
      <c r="A4602" s="40">
        <f t="array" ref="A4602">IFNA(index(PlayerValues!A:A,match(IFNA(vlookup(B4602,'Special Names'!A:B,2,FALSE),B4602),PlayerValues!E:E,0)),"N/A")</f>
        <v>9431</v>
      </c>
      <c r="B4602" s="4" t="s">
        <v>428</v>
      </c>
      <c r="C4602" s="4" t="s">
        <v>283</v>
      </c>
      <c r="D4602" s="94">
        <v>3747.0</v>
      </c>
    </row>
    <row r="4603">
      <c r="A4603" s="40">
        <f t="array" ref="A4603">IFNA(index(PlayerValues!A:A,match(IFNA(vlookup(B4603,'Special Names'!A:B,2,FALSE),B4603),PlayerValues!E:E,0)),"N/A")</f>
        <v>17501</v>
      </c>
      <c r="B4603" s="4" t="s">
        <v>404</v>
      </c>
      <c r="C4603" s="4" t="s">
        <v>287</v>
      </c>
      <c r="D4603" s="94">
        <v>3740.0</v>
      </c>
    </row>
    <row r="4604">
      <c r="A4604" s="40" t="str">
        <f t="array" ref="A4604">IFNA(index(PlayerValues!A:A,match(IFNA(vlookup(B4604,'Special Names'!A:B,2,FALSE),B4604),PlayerValues!E:E,0)),"N/A")</f>
        <v>N/A</v>
      </c>
      <c r="B4604" s="4" t="s">
        <v>95</v>
      </c>
      <c r="C4604" s="4" t="s">
        <v>325</v>
      </c>
      <c r="D4604" s="94">
        <v>3734.0</v>
      </c>
    </row>
    <row r="4605">
      <c r="A4605" s="40">
        <f t="array" ref="A4605">IFNA(index(PlayerValues!A:A,match(IFNA(vlookup(B4605,'Special Names'!A:B,2,FALSE),B4605),PlayerValues!E:E,0)),"N/A")</f>
        <v>16206</v>
      </c>
      <c r="B4605" s="4" t="s">
        <v>431</v>
      </c>
      <c r="C4605" s="4" t="s">
        <v>287</v>
      </c>
      <c r="D4605" s="94">
        <v>3731.0</v>
      </c>
    </row>
    <row r="4606">
      <c r="A4606" s="40">
        <f t="array" ref="A4606">IFNA(index(PlayerValues!A:A,match(IFNA(vlookup(B4606,'Special Names'!A:B,2,FALSE),B4606),PlayerValues!E:E,0)),"N/A")</f>
        <v>16169</v>
      </c>
      <c r="B4606" s="4" t="s">
        <v>457</v>
      </c>
      <c r="C4606" s="4" t="s">
        <v>278</v>
      </c>
      <c r="D4606" s="94">
        <v>3725.0</v>
      </c>
    </row>
    <row r="4607">
      <c r="A4607" s="40">
        <f t="array" ref="A4607">IFNA(index(PlayerValues!A:A,match(IFNA(vlookup(B4607,'Special Names'!A:B,2,FALSE),B4607),PlayerValues!E:E,0)),"N/A")</f>
        <v>15757</v>
      </c>
      <c r="B4607" s="4" t="s">
        <v>449</v>
      </c>
      <c r="C4607" s="4" t="s">
        <v>287</v>
      </c>
      <c r="D4607" s="94">
        <v>3707.0</v>
      </c>
    </row>
    <row r="4608">
      <c r="A4608" s="40">
        <f t="array" ref="A4608">IFNA(index(PlayerValues!A:A,match(IFNA(vlookup(B4608,'Special Names'!A:B,2,FALSE),B4608),PlayerValues!E:E,0)),"N/A")</f>
        <v>15779</v>
      </c>
      <c r="B4608" s="4" t="s">
        <v>461</v>
      </c>
      <c r="C4608" s="4" t="s">
        <v>287</v>
      </c>
      <c r="D4608" s="94">
        <v>3688.0</v>
      </c>
    </row>
    <row r="4609">
      <c r="A4609" s="40">
        <f t="array" ref="A4609">IFNA(index(PlayerValues!A:A,match(IFNA(vlookup(B4609,'Special Names'!A:B,2,FALSE),B4609),PlayerValues!E:E,0)),"N/A")</f>
        <v>17074</v>
      </c>
      <c r="B4609" s="4" t="s">
        <v>475</v>
      </c>
      <c r="C4609" s="4" t="s">
        <v>287</v>
      </c>
      <c r="D4609" s="94">
        <v>3668.0</v>
      </c>
    </row>
    <row r="4610">
      <c r="A4610" s="40">
        <f t="array" ref="A4610">IFNA(index(PlayerValues!A:A,match(IFNA(vlookup(B4610,'Special Names'!A:B,2,FALSE),B4610),PlayerValues!E:E,0)),"N/A")</f>
        <v>15789</v>
      </c>
      <c r="B4610" s="4" t="s">
        <v>421</v>
      </c>
      <c r="C4610" s="4" t="s">
        <v>287</v>
      </c>
      <c r="D4610" s="94">
        <v>3660.0</v>
      </c>
    </row>
    <row r="4611">
      <c r="A4611" s="40">
        <f t="array" ref="A4611">IFNA(index(PlayerValues!A:A,match(IFNA(vlookup(B4611,'Special Names'!A:B,2,FALSE),B4611),PlayerValues!E:E,0)),"N/A")</f>
        <v>14102</v>
      </c>
      <c r="B4611" s="4" t="s">
        <v>444</v>
      </c>
      <c r="C4611" s="4" t="s">
        <v>287</v>
      </c>
      <c r="D4611" s="94">
        <v>3638.0</v>
      </c>
    </row>
    <row r="4612">
      <c r="A4612" s="40">
        <f t="array" ref="A4612">IFNA(index(PlayerValues!A:A,match(IFNA(vlookup(B4612,'Special Names'!A:B,2,FALSE),B4612),PlayerValues!E:E,0)),"N/A")</f>
        <v>16622</v>
      </c>
      <c r="B4612" s="4" t="s">
        <v>517</v>
      </c>
      <c r="C4612" s="4" t="s">
        <v>287</v>
      </c>
      <c r="D4612" s="94">
        <v>3614.0</v>
      </c>
    </row>
    <row r="4613">
      <c r="A4613" s="40">
        <f t="array" ref="A4613">IFNA(index(PlayerValues!A:A,match(IFNA(vlookup(B4613,'Special Names'!A:B,2,FALSE),B4613),PlayerValues!E:E,0)),"N/A")</f>
        <v>16192</v>
      </c>
      <c r="B4613" s="4" t="s">
        <v>412</v>
      </c>
      <c r="C4613" s="4" t="s">
        <v>287</v>
      </c>
      <c r="D4613" s="94">
        <v>3601.0</v>
      </c>
    </row>
    <row r="4614">
      <c r="A4614" s="40">
        <f t="array" ref="A4614">IFNA(index(PlayerValues!A:A,match(IFNA(vlookup(B4614,'Special Names'!A:B,2,FALSE),B4614),PlayerValues!E:E,0)),"N/A")</f>
        <v>17083</v>
      </c>
      <c r="B4614" s="4" t="s">
        <v>479</v>
      </c>
      <c r="C4614" s="4" t="s">
        <v>287</v>
      </c>
      <c r="D4614" s="94">
        <v>3590.0</v>
      </c>
    </row>
    <row r="4615">
      <c r="A4615" s="40">
        <f t="array" ref="A4615">IFNA(index(PlayerValues!A:A,match(IFNA(vlookup(B4615,'Special Names'!A:B,2,FALSE),B4615),PlayerValues!E:E,0)),"N/A")</f>
        <v>15712</v>
      </c>
      <c r="B4615" s="4" t="s">
        <v>488</v>
      </c>
      <c r="C4615" s="4" t="s">
        <v>278</v>
      </c>
      <c r="D4615" s="94">
        <v>3576.0</v>
      </c>
    </row>
    <row r="4616">
      <c r="A4616" s="40">
        <f t="array" ref="A4616">IFNA(index(PlayerValues!A:A,match(IFNA(vlookup(B4616,'Special Names'!A:B,2,FALSE),B4616),PlayerValues!E:E,0)),"N/A")</f>
        <v>17066</v>
      </c>
      <c r="B4616" s="4" t="s">
        <v>446</v>
      </c>
      <c r="C4616" s="4" t="s">
        <v>278</v>
      </c>
      <c r="D4616" s="94">
        <v>3559.0</v>
      </c>
    </row>
    <row r="4617">
      <c r="A4617" s="40">
        <f t="array" ref="A4617">IFNA(index(PlayerValues!A:A,match(IFNA(vlookup(B4617,'Special Names'!A:B,2,FALSE),B4617),PlayerValues!E:E,0)),"N/A")</f>
        <v>11675</v>
      </c>
      <c r="B4617" s="4" t="s">
        <v>438</v>
      </c>
      <c r="C4617" s="4" t="s">
        <v>287</v>
      </c>
      <c r="D4617" s="94">
        <v>3540.0</v>
      </c>
    </row>
    <row r="4618">
      <c r="A4618" s="40">
        <f t="array" ref="A4618">IFNA(index(PlayerValues!A:A,match(IFNA(vlookup(B4618,'Special Names'!A:B,2,FALSE),B4618),PlayerValues!E:E,0)),"N/A")</f>
        <v>17075</v>
      </c>
      <c r="B4618" s="4" t="s">
        <v>429</v>
      </c>
      <c r="C4618" s="4" t="s">
        <v>287</v>
      </c>
      <c r="D4618" s="94">
        <v>3525.0</v>
      </c>
    </row>
    <row r="4619">
      <c r="A4619" s="40">
        <f t="array" ref="A4619">IFNA(index(PlayerValues!A:A,match(IFNA(vlookup(B4619,'Special Names'!A:B,2,FALSE),B4619),PlayerValues!E:E,0)),"N/A")</f>
        <v>14797</v>
      </c>
      <c r="B4619" s="4" t="s">
        <v>420</v>
      </c>
      <c r="C4619" s="4" t="s">
        <v>278</v>
      </c>
      <c r="D4619" s="94">
        <v>3524.0</v>
      </c>
    </row>
    <row r="4620">
      <c r="A4620" s="40">
        <f t="array" ref="A4620">IFNA(index(PlayerValues!A:A,match(IFNA(vlookup(B4620,'Special Names'!A:B,2,FALSE),B4620),PlayerValues!E:E,0)),"N/A")</f>
        <v>14842</v>
      </c>
      <c r="B4620" s="4" t="s">
        <v>456</v>
      </c>
      <c r="C4620" s="4" t="s">
        <v>287</v>
      </c>
      <c r="D4620" s="94">
        <v>3522.0</v>
      </c>
    </row>
    <row r="4621">
      <c r="A4621" s="40">
        <f t="array" ref="A4621">IFNA(index(PlayerValues!A:A,match(IFNA(vlookup(B4621,'Special Names'!A:B,2,FALSE),B4621),PlayerValues!E:E,0)),"N/A")</f>
        <v>15798</v>
      </c>
      <c r="B4621" s="4" t="s">
        <v>443</v>
      </c>
      <c r="C4621" s="4" t="s">
        <v>298</v>
      </c>
      <c r="D4621" s="94">
        <v>3981.0</v>
      </c>
    </row>
    <row r="4622">
      <c r="A4622" s="40">
        <f t="array" ref="A4622">IFNA(index(PlayerValues!A:A,match(IFNA(vlookup(B4622,'Special Names'!A:B,2,FALSE),B4622),PlayerValues!E:E,0)),"N/A")</f>
        <v>14071</v>
      </c>
      <c r="B4622" s="4" t="s">
        <v>440</v>
      </c>
      <c r="C4622" s="4" t="s">
        <v>278</v>
      </c>
      <c r="D4622" s="94">
        <v>3496.0</v>
      </c>
    </row>
    <row r="4623">
      <c r="A4623" s="40" t="str">
        <f t="array" ref="A4623">IFNA(index(PlayerValues!A:A,match(IFNA(vlookup(B4623,'Special Names'!A:B,2,FALSE),B4623),PlayerValues!E:E,0)),"N/A")</f>
        <v>N/A</v>
      </c>
      <c r="B4623" s="4" t="s">
        <v>96</v>
      </c>
      <c r="C4623" s="4" t="s">
        <v>325</v>
      </c>
      <c r="D4623" s="94">
        <v>3435.0</v>
      </c>
    </row>
    <row r="4624">
      <c r="A4624" s="40">
        <f t="array" ref="A4624">IFNA(index(PlayerValues!A:A,match(IFNA(vlookup(B4624,'Special Names'!A:B,2,FALSE),B4624),PlayerValues!E:E,0)),"N/A")</f>
        <v>17502</v>
      </c>
      <c r="B4624" s="4" t="s">
        <v>451</v>
      </c>
      <c r="C4624" s="4" t="s">
        <v>287</v>
      </c>
      <c r="D4624" s="94">
        <v>3410.0</v>
      </c>
    </row>
    <row r="4625">
      <c r="A4625" s="40">
        <f t="array" ref="A4625">IFNA(index(PlayerValues!A:A,match(IFNA(vlookup(B4625,'Special Names'!A:B,2,FALSE),B4625),PlayerValues!E:E,0)),"N/A")</f>
        <v>15261</v>
      </c>
      <c r="B4625" s="4" t="s">
        <v>466</v>
      </c>
      <c r="C4625" s="4" t="s">
        <v>278</v>
      </c>
      <c r="D4625" s="94">
        <v>3397.0</v>
      </c>
    </row>
    <row r="4626">
      <c r="A4626" s="40">
        <f t="array" ref="A4626">IFNA(index(PlayerValues!A:A,match(IFNA(vlookup(B4626,'Special Names'!A:B,2,FALSE),B4626),PlayerValues!E:E,0)),"N/A")</f>
        <v>16620</v>
      </c>
      <c r="B4626" s="4" t="s">
        <v>467</v>
      </c>
      <c r="C4626" s="4" t="s">
        <v>287</v>
      </c>
      <c r="D4626" s="94">
        <v>3393.0</v>
      </c>
    </row>
    <row r="4627">
      <c r="A4627" s="40">
        <f t="array" ref="A4627">IFNA(index(PlayerValues!A:A,match(IFNA(vlookup(B4627,'Special Names'!A:B,2,FALSE),B4627),PlayerValues!E:E,0)),"N/A")</f>
        <v>14109</v>
      </c>
      <c r="B4627" s="4" t="s">
        <v>437</v>
      </c>
      <c r="C4627" s="4" t="s">
        <v>287</v>
      </c>
      <c r="D4627" s="94">
        <v>3388.0</v>
      </c>
    </row>
    <row r="4628">
      <c r="A4628" s="40">
        <f t="array" ref="A4628">IFNA(index(PlayerValues!A:A,match(IFNA(vlookup(B4628,'Special Names'!A:B,2,FALSE),B4628),PlayerValues!E:E,0)),"N/A")</f>
        <v>14127</v>
      </c>
      <c r="B4628" s="4" t="s">
        <v>486</v>
      </c>
      <c r="C4628" s="4" t="s">
        <v>287</v>
      </c>
      <c r="D4628" s="94">
        <v>3385.0</v>
      </c>
    </row>
    <row r="4629">
      <c r="A4629" s="40">
        <f t="array" ref="A4629">IFNA(index(PlayerValues!A:A,match(IFNA(vlookup(B4629,'Special Names'!A:B,2,FALSE),B4629),PlayerValues!E:E,0)),"N/A")</f>
        <v>15799</v>
      </c>
      <c r="B4629" s="4" t="s">
        <v>468</v>
      </c>
      <c r="C4629" s="4" t="s">
        <v>298</v>
      </c>
      <c r="D4629" s="94">
        <v>3818.0</v>
      </c>
    </row>
    <row r="4630">
      <c r="A4630" s="40" t="str">
        <f t="array" ref="A4630">IFNA(index(PlayerValues!A:A,match(IFNA(vlookup(B4630,'Special Names'!A:B,2,FALSE),B4630),PlayerValues!E:E,0)),"N/A")</f>
        <v>N/A</v>
      </c>
      <c r="B4630" s="4" t="s">
        <v>82</v>
      </c>
      <c r="C4630" s="4" t="s">
        <v>325</v>
      </c>
      <c r="D4630" s="94">
        <v>3360.0</v>
      </c>
    </row>
    <row r="4631">
      <c r="A4631" s="40">
        <f t="array" ref="A4631">IFNA(index(PlayerValues!A:A,match(IFNA(vlookup(B4631,'Special Names'!A:B,2,FALSE),B4631),PlayerValues!E:E,0)),"N/A")</f>
        <v>17500</v>
      </c>
      <c r="B4631" s="4" t="s">
        <v>430</v>
      </c>
      <c r="C4631" s="4" t="s">
        <v>287</v>
      </c>
      <c r="D4631" s="94">
        <v>3356.0</v>
      </c>
    </row>
    <row r="4632">
      <c r="A4632" s="40">
        <f t="array" ref="A4632">IFNA(index(PlayerValues!A:A,match(IFNA(vlookup(B4632,'Special Names'!A:B,2,FALSE),B4632),PlayerValues!E:E,0)),"N/A")</f>
        <v>16187</v>
      </c>
      <c r="B4632" s="4" t="s">
        <v>441</v>
      </c>
      <c r="C4632" s="4" t="s">
        <v>287</v>
      </c>
      <c r="D4632" s="94">
        <v>3354.0</v>
      </c>
    </row>
    <row r="4633">
      <c r="A4633" s="40">
        <f t="array" ref="A4633">IFNA(index(PlayerValues!A:A,match(IFNA(vlookup(B4633,'Special Names'!A:B,2,FALSE),B4633),PlayerValues!E:E,0)),"N/A")</f>
        <v>16213</v>
      </c>
      <c r="B4633" s="4" t="s">
        <v>458</v>
      </c>
      <c r="C4633" s="4" t="s">
        <v>298</v>
      </c>
      <c r="D4633" s="94">
        <v>3802.0</v>
      </c>
    </row>
    <row r="4634">
      <c r="A4634" s="40">
        <f t="array" ref="A4634">IFNA(index(PlayerValues!A:A,match(IFNA(vlookup(B4634,'Special Names'!A:B,2,FALSE),B4634),PlayerValues!E:E,0)),"N/A")</f>
        <v>16188</v>
      </c>
      <c r="B4634" s="4" t="s">
        <v>439</v>
      </c>
      <c r="C4634" s="4" t="s">
        <v>287</v>
      </c>
      <c r="D4634" s="94">
        <v>3349.0</v>
      </c>
    </row>
    <row r="4635">
      <c r="A4635" s="40">
        <f t="array" ref="A4635">IFNA(index(PlayerValues!A:A,match(IFNA(vlookup(B4635,'Special Names'!A:B,2,FALSE),B4635),PlayerValues!E:E,0)),"N/A")</f>
        <v>11671</v>
      </c>
      <c r="B4635" s="4" t="s">
        <v>463</v>
      </c>
      <c r="C4635" s="4" t="s">
        <v>287</v>
      </c>
      <c r="D4635" s="94">
        <v>3338.0</v>
      </c>
    </row>
    <row r="4636">
      <c r="A4636" s="40">
        <f t="array" ref="A4636">IFNA(index(PlayerValues!A:A,match(IFNA(vlookup(B4636,'Special Names'!A:B,2,FALSE),B4636),PlayerValues!E:E,0)),"N/A")</f>
        <v>16184</v>
      </c>
      <c r="B4636" s="4" t="s">
        <v>445</v>
      </c>
      <c r="C4636" s="4" t="s">
        <v>287</v>
      </c>
      <c r="D4636" s="94">
        <v>3310.0</v>
      </c>
    </row>
    <row r="4637">
      <c r="A4637" s="40">
        <f t="array" ref="A4637">IFNA(index(PlayerValues!A:A,match(IFNA(vlookup(B4637,'Special Names'!A:B,2,FALSE),B4637),PlayerValues!E:E,0)),"N/A")</f>
        <v>14823</v>
      </c>
      <c r="B4637" s="4" t="s">
        <v>459</v>
      </c>
      <c r="C4637" s="4" t="s">
        <v>278</v>
      </c>
      <c r="D4637" s="94">
        <v>3307.0</v>
      </c>
    </row>
    <row r="4638">
      <c r="A4638" s="40">
        <f t="array" ref="A4638">IFNA(index(PlayerValues!A:A,match(IFNA(vlookup(B4638,'Special Names'!A:B,2,FALSE),B4638),PlayerValues!E:E,0)),"N/A")</f>
        <v>13299</v>
      </c>
      <c r="B4638" s="4" t="s">
        <v>448</v>
      </c>
      <c r="C4638" s="4" t="s">
        <v>298</v>
      </c>
      <c r="D4638" s="94">
        <v>3726.0</v>
      </c>
    </row>
    <row r="4639">
      <c r="A4639" s="40">
        <f t="array" ref="A4639">IFNA(index(PlayerValues!A:A,match(IFNA(vlookup(B4639,'Special Names'!A:B,2,FALSE),B4639),PlayerValues!E:E,0)),"N/A")</f>
        <v>16593</v>
      </c>
      <c r="B4639" s="4" t="s">
        <v>442</v>
      </c>
      <c r="C4639" s="4" t="s">
        <v>278</v>
      </c>
      <c r="D4639" s="94">
        <v>3258.0</v>
      </c>
    </row>
    <row r="4640">
      <c r="A4640" s="40">
        <f t="array" ref="A4640">IFNA(index(PlayerValues!A:A,match(IFNA(vlookup(B4640,'Special Names'!A:B,2,FALSE),B4640),PlayerValues!E:E,0)),"N/A")</f>
        <v>15742</v>
      </c>
      <c r="B4640" s="4" t="s">
        <v>447</v>
      </c>
      <c r="C4640" s="4" t="s">
        <v>278</v>
      </c>
      <c r="D4640" s="94">
        <v>3236.0</v>
      </c>
    </row>
    <row r="4641">
      <c r="A4641" s="40">
        <f t="array" ref="A4641">IFNA(index(PlayerValues!A:A,match(IFNA(vlookup(B4641,'Special Names'!A:B,2,FALSE),B4641),PlayerValues!E:E,0)),"N/A")</f>
        <v>13630</v>
      </c>
      <c r="B4641" s="4" t="s">
        <v>465</v>
      </c>
      <c r="C4641" s="4" t="s">
        <v>287</v>
      </c>
      <c r="D4641" s="94">
        <v>3188.0</v>
      </c>
    </row>
    <row r="4642">
      <c r="A4642" s="40" t="str">
        <f t="array" ref="A4642">IFNA(index(PlayerValues!A:A,match(IFNA(vlookup(B4642,'Special Names'!A:B,2,FALSE),B4642),PlayerValues!E:E,0)),"N/A")</f>
        <v>N/A</v>
      </c>
      <c r="B4642" s="4" t="s">
        <v>108</v>
      </c>
      <c r="C4642" s="4" t="s">
        <v>325</v>
      </c>
      <c r="D4642" s="94">
        <v>3120.0</v>
      </c>
    </row>
    <row r="4643">
      <c r="A4643" s="40">
        <f t="array" ref="A4643">IFNA(index(PlayerValues!A:A,match(IFNA(vlookup(B4643,'Special Names'!A:B,2,FALSE),B4643),PlayerValues!E:E,0)),"N/A")</f>
        <v>16628</v>
      </c>
      <c r="B4643" s="4" t="s">
        <v>490</v>
      </c>
      <c r="C4643" s="4" t="s">
        <v>287</v>
      </c>
      <c r="D4643" s="94">
        <v>3099.0</v>
      </c>
    </row>
    <row r="4644">
      <c r="A4644" s="40">
        <f t="array" ref="A4644">IFNA(index(PlayerValues!A:A,match(IFNA(vlookup(B4644,'Special Names'!A:B,2,FALSE),B4644),PlayerValues!E:E,0)),"N/A")</f>
        <v>16269</v>
      </c>
      <c r="B4644" s="4" t="s">
        <v>481</v>
      </c>
      <c r="C4644" s="4" t="s">
        <v>298</v>
      </c>
      <c r="D4644" s="94">
        <v>3508.0</v>
      </c>
    </row>
    <row r="4645">
      <c r="A4645" s="40">
        <f t="array" ref="A4645">IFNA(index(PlayerValues!A:A,match(IFNA(vlookup(B4645,'Special Names'!A:B,2,FALSE),B4645),PlayerValues!E:E,0)),"N/A")</f>
        <v>16583</v>
      </c>
      <c r="B4645" s="4" t="s">
        <v>493</v>
      </c>
      <c r="C4645" s="4" t="s">
        <v>283</v>
      </c>
      <c r="D4645" s="94">
        <v>3067.0</v>
      </c>
    </row>
    <row r="4646">
      <c r="A4646" s="40">
        <f t="array" ref="A4646">IFNA(index(PlayerValues!A:A,match(IFNA(vlookup(B4646,'Special Names'!A:B,2,FALSE),B4646),PlayerValues!E:E,0)),"N/A")</f>
        <v>14800</v>
      </c>
      <c r="B4646" s="4" t="s">
        <v>472</v>
      </c>
      <c r="C4646" s="4" t="s">
        <v>278</v>
      </c>
      <c r="D4646" s="94">
        <v>3060.0</v>
      </c>
    </row>
    <row r="4647">
      <c r="A4647" s="40" t="str">
        <f t="array" ref="A4647">IFNA(index(PlayerValues!A:A,match(IFNA(vlookup(B4647,'Special Names'!A:B,2,FALSE),B4647),PlayerValues!E:E,0)),"N/A")</f>
        <v>N/A</v>
      </c>
      <c r="B4647" s="4" t="s">
        <v>97</v>
      </c>
      <c r="C4647" s="4" t="s">
        <v>325</v>
      </c>
      <c r="D4647" s="94">
        <v>3060.0</v>
      </c>
    </row>
    <row r="4648">
      <c r="A4648" s="40">
        <f t="array" ref="A4648">IFNA(index(PlayerValues!A:A,match(IFNA(vlookup(B4648,'Special Names'!A:B,2,FALSE),B4648),PlayerValues!E:E,0)),"N/A")</f>
        <v>16080</v>
      </c>
      <c r="B4648" s="4" t="s">
        <v>499</v>
      </c>
      <c r="C4648" s="4" t="s">
        <v>287</v>
      </c>
      <c r="D4648" s="94">
        <v>3053.0</v>
      </c>
    </row>
    <row r="4649">
      <c r="A4649" s="40">
        <f t="array" ref="A4649">IFNA(index(PlayerValues!A:A,match(IFNA(vlookup(B4649,'Special Names'!A:B,2,FALSE),B4649),PlayerValues!E:E,0)),"N/A")</f>
        <v>16809</v>
      </c>
      <c r="B4649" s="4" t="s">
        <v>455</v>
      </c>
      <c r="C4649" s="4" t="s">
        <v>287</v>
      </c>
      <c r="D4649" s="94">
        <v>3046.0</v>
      </c>
    </row>
    <row r="4650">
      <c r="A4650" s="40">
        <f t="array" ref="A4650">IFNA(index(PlayerValues!A:A,match(IFNA(vlookup(B4650,'Special Names'!A:B,2,FALSE),B4650),PlayerValues!E:E,0)),"N/A")</f>
        <v>15761</v>
      </c>
      <c r="B4650" s="4" t="s">
        <v>491</v>
      </c>
      <c r="C4650" s="4" t="s">
        <v>287</v>
      </c>
      <c r="D4650" s="94">
        <v>3037.0</v>
      </c>
    </row>
    <row r="4651">
      <c r="A4651" s="40" t="str">
        <f t="array" ref="A4651">IFNA(index(PlayerValues!A:A,match(IFNA(vlookup(B4651,'Special Names'!A:B,2,FALSE),B4651),PlayerValues!E:E,0)),"N/A")</f>
        <v>N/A</v>
      </c>
      <c r="B4651" s="4" t="s">
        <v>84</v>
      </c>
      <c r="C4651" s="4" t="s">
        <v>325</v>
      </c>
      <c r="D4651" s="94">
        <v>3020.0</v>
      </c>
    </row>
    <row r="4652">
      <c r="A4652" s="40">
        <f t="array" ref="A4652">IFNA(index(PlayerValues!A:A,match(IFNA(vlookup(B4652,'Special Names'!A:B,2,FALSE),B4652),PlayerValues!E:E,0)),"N/A")</f>
        <v>17463</v>
      </c>
      <c r="B4652" s="4" t="s">
        <v>433</v>
      </c>
      <c r="C4652" s="4" t="s">
        <v>283</v>
      </c>
      <c r="D4652" s="94">
        <v>3017.0</v>
      </c>
    </row>
    <row r="4653">
      <c r="A4653" s="40">
        <f t="array" ref="A4653">IFNA(index(PlayerValues!A:A,match(IFNA(vlookup(B4653,'Special Names'!A:B,2,FALSE),B4653),PlayerValues!E:E,0)),"N/A")</f>
        <v>15259</v>
      </c>
      <c r="B4653" s="4" t="s">
        <v>453</v>
      </c>
      <c r="C4653" s="4" t="s">
        <v>278</v>
      </c>
      <c r="D4653" s="94">
        <v>2993.0</v>
      </c>
    </row>
    <row r="4654">
      <c r="A4654" s="40">
        <f t="array" ref="A4654">IFNA(index(PlayerValues!A:A,match(IFNA(vlookup(B4654,'Special Names'!A:B,2,FALSE),B4654),PlayerValues!E:E,0)),"N/A")</f>
        <v>17473</v>
      </c>
      <c r="B4654" s="4" t="s">
        <v>391</v>
      </c>
      <c r="C4654" s="4" t="s">
        <v>278</v>
      </c>
      <c r="D4654" s="94">
        <v>2975.0</v>
      </c>
    </row>
    <row r="4655">
      <c r="A4655" s="40">
        <f t="array" ref="A4655">IFNA(index(PlayerValues!A:A,match(IFNA(vlookup(B4655,'Special Names'!A:B,2,FALSE),B4655),PlayerValues!E:E,0)),"N/A")</f>
        <v>16597</v>
      </c>
      <c r="B4655" s="4" t="s">
        <v>427</v>
      </c>
      <c r="C4655" s="4" t="s">
        <v>278</v>
      </c>
      <c r="D4655" s="94">
        <v>2939.0</v>
      </c>
    </row>
    <row r="4656">
      <c r="A4656" s="40">
        <f t="array" ref="A4656">IFNA(index(PlayerValues!A:A,match(IFNA(vlookup(B4656,'Special Names'!A:B,2,FALSE),B4656),PlayerValues!E:E,0)),"N/A")</f>
        <v>15255</v>
      </c>
      <c r="B4656" s="4" t="s">
        <v>477</v>
      </c>
      <c r="C4656" s="4" t="s">
        <v>278</v>
      </c>
      <c r="D4656" s="94">
        <v>2927.0</v>
      </c>
    </row>
    <row r="4657">
      <c r="A4657" s="40">
        <f t="array" ref="A4657">IFNA(index(PlayerValues!A:A,match(IFNA(vlookup(B4657,'Special Names'!A:B,2,FALSE),B4657),PlayerValues!E:E,0)),"N/A")</f>
        <v>17106</v>
      </c>
      <c r="B4657" s="4" t="s">
        <v>550</v>
      </c>
      <c r="C4657" s="4" t="s">
        <v>298</v>
      </c>
      <c r="D4657" s="94">
        <v>3348.0</v>
      </c>
    </row>
    <row r="4658">
      <c r="A4658" s="40">
        <f t="array" ref="A4658">IFNA(index(PlayerValues!A:A,match(IFNA(vlookup(B4658,'Special Names'!A:B,2,FALSE),B4658),PlayerValues!E:E,0)),"N/A")</f>
        <v>15241</v>
      </c>
      <c r="B4658" s="4" t="s">
        <v>546</v>
      </c>
      <c r="C4658" s="4" t="s">
        <v>283</v>
      </c>
      <c r="D4658" s="94">
        <v>2921.0</v>
      </c>
    </row>
    <row r="4659">
      <c r="A4659" s="40" t="str">
        <f t="array" ref="A4659">IFNA(index(PlayerValues!A:A,match(IFNA(vlookup(B4659,'Special Names'!A:B,2,FALSE),B4659),PlayerValues!E:E,0)),"N/A")</f>
        <v>N/A</v>
      </c>
      <c r="B4659" s="4" t="s">
        <v>109</v>
      </c>
      <c r="C4659" s="4" t="s">
        <v>325</v>
      </c>
      <c r="D4659" s="94">
        <v>2913.0</v>
      </c>
    </row>
    <row r="4660">
      <c r="A4660" s="40">
        <f t="array" ref="A4660">IFNA(index(PlayerValues!A:A,match(IFNA(vlookup(B4660,'Special Names'!A:B,2,FALSE),B4660),PlayerValues!E:E,0)),"N/A")</f>
        <v>16584</v>
      </c>
      <c r="B4660" s="4" t="s">
        <v>569</v>
      </c>
      <c r="C4660" s="4" t="s">
        <v>283</v>
      </c>
      <c r="D4660" s="94">
        <v>2903.0</v>
      </c>
    </row>
    <row r="4661">
      <c r="A4661" s="40">
        <f t="array" ref="A4661">IFNA(index(PlayerValues!A:A,match(IFNA(vlookup(B4661,'Special Names'!A:B,2,FALSE),B4661),PlayerValues!E:E,0)),"N/A")</f>
        <v>16723</v>
      </c>
      <c r="B4661" s="4" t="s">
        <v>502</v>
      </c>
      <c r="C4661" s="4" t="s">
        <v>298</v>
      </c>
      <c r="D4661" s="94">
        <v>3316.0</v>
      </c>
    </row>
    <row r="4662">
      <c r="A4662" s="40">
        <f t="array" ref="A4662">IFNA(index(PlayerValues!A:A,match(IFNA(vlookup(B4662,'Special Names'!A:B,2,FALSE),B4662),PlayerValues!E:E,0)),"N/A")</f>
        <v>16193</v>
      </c>
      <c r="B4662" s="4" t="s">
        <v>487</v>
      </c>
      <c r="C4662" s="4" t="s">
        <v>287</v>
      </c>
      <c r="D4662" s="94">
        <v>2893.0</v>
      </c>
    </row>
    <row r="4663">
      <c r="A4663" s="40" t="str">
        <f t="array" ref="A4663">IFNA(index(PlayerValues!A:A,match(IFNA(vlookup(B4663,'Special Names'!A:B,2,FALSE),B4663),PlayerValues!E:E,0)),"N/A")</f>
        <v>N/A</v>
      </c>
      <c r="B4663" s="4" t="s">
        <v>85</v>
      </c>
      <c r="C4663" s="4" t="s">
        <v>325</v>
      </c>
      <c r="D4663" s="94">
        <v>2877.0</v>
      </c>
    </row>
    <row r="4664">
      <c r="A4664" s="40">
        <f t="array" ref="A4664">IFNA(index(PlayerValues!A:A,match(IFNA(vlookup(B4664,'Special Names'!A:B,2,FALSE),B4664),PlayerValues!E:E,0)),"N/A")</f>
        <v>13163</v>
      </c>
      <c r="B4664" s="4" t="s">
        <v>473</v>
      </c>
      <c r="C4664" s="4" t="s">
        <v>287</v>
      </c>
      <c r="D4664" s="94">
        <v>2873.0</v>
      </c>
    </row>
    <row r="4665">
      <c r="A4665" s="40">
        <f t="array" ref="A4665">IFNA(index(PlayerValues!A:A,match(IFNA(vlookup(B4665,'Special Names'!A:B,2,FALSE),B4665),PlayerValues!E:E,0)),"N/A")</f>
        <v>16619</v>
      </c>
      <c r="B4665" s="4" t="s">
        <v>538</v>
      </c>
      <c r="C4665" s="4" t="s">
        <v>287</v>
      </c>
      <c r="D4665" s="94">
        <v>2862.0</v>
      </c>
    </row>
    <row r="4666">
      <c r="A4666" s="40">
        <f t="array" ref="A4666">IFNA(index(PlayerValues!A:A,match(IFNA(vlookup(B4666,'Special Names'!A:B,2,FALSE),B4666),PlayerValues!E:E,0)),"N/A")</f>
        <v>17107</v>
      </c>
      <c r="B4666" s="4" t="s">
        <v>478</v>
      </c>
      <c r="C4666" s="4" t="s">
        <v>298</v>
      </c>
      <c r="D4666" s="94">
        <v>3281.0</v>
      </c>
    </row>
    <row r="4667">
      <c r="A4667" s="40">
        <f t="array" ref="A4667">IFNA(index(PlayerValues!A:A,match(IFNA(vlookup(B4667,'Special Names'!A:B,2,FALSE),B4667),PlayerValues!E:E,0)),"N/A")</f>
        <v>17031</v>
      </c>
      <c r="B4667" s="4" t="s">
        <v>535</v>
      </c>
      <c r="C4667" s="4" t="s">
        <v>283</v>
      </c>
      <c r="D4667" s="94">
        <v>2846.0</v>
      </c>
    </row>
    <row r="4668">
      <c r="A4668" s="40">
        <f t="array" ref="A4668">IFNA(index(PlayerValues!A:A,match(IFNA(vlookup(B4668,'Special Names'!A:B,2,FALSE),B4668),PlayerValues!E:E,0)),"N/A")</f>
        <v>17072</v>
      </c>
      <c r="B4668" s="4" t="s">
        <v>508</v>
      </c>
      <c r="C4668" s="4" t="s">
        <v>287</v>
      </c>
      <c r="D4668" s="94">
        <v>2843.0</v>
      </c>
    </row>
    <row r="4669">
      <c r="A4669" s="40">
        <f t="array" ref="A4669">IFNA(index(PlayerValues!A:A,match(IFNA(vlookup(B4669,'Special Names'!A:B,2,FALSE),B4669),PlayerValues!E:E,0)),"N/A")</f>
        <v>17157</v>
      </c>
      <c r="B4669" s="4" t="s">
        <v>524</v>
      </c>
      <c r="C4669" s="4" t="s">
        <v>287</v>
      </c>
      <c r="D4669" s="94">
        <v>2836.0</v>
      </c>
    </row>
    <row r="4670">
      <c r="A4670" s="40">
        <f t="array" ref="A4670">IFNA(index(PlayerValues!A:A,match(IFNA(vlookup(B4670,'Special Names'!A:B,2,FALSE),B4670),PlayerValues!E:E,0)),"N/A")</f>
        <v>17256</v>
      </c>
      <c r="B4670" s="4" t="s">
        <v>462</v>
      </c>
      <c r="C4670" s="4" t="s">
        <v>278</v>
      </c>
      <c r="D4670" s="94">
        <v>2832.0</v>
      </c>
    </row>
    <row r="4671">
      <c r="A4671" s="40">
        <f t="array" ref="A4671">IFNA(index(PlayerValues!A:A,match(IFNA(vlookup(B4671,'Special Names'!A:B,2,FALSE),B4671),PlayerValues!E:E,0)),"N/A")</f>
        <v>14860</v>
      </c>
      <c r="B4671" s="4" t="s">
        <v>554</v>
      </c>
      <c r="C4671" s="4" t="s">
        <v>287</v>
      </c>
      <c r="D4671" s="94">
        <v>2823.0</v>
      </c>
    </row>
    <row r="4672">
      <c r="A4672" s="40">
        <f t="array" ref="A4672">IFNA(index(PlayerValues!A:A,match(IFNA(vlookup(B4672,'Special Names'!A:B,2,FALSE),B4672),PlayerValues!E:E,0)),"N/A")</f>
        <v>17053</v>
      </c>
      <c r="B4672" s="4" t="s">
        <v>484</v>
      </c>
      <c r="C4672" s="4" t="s">
        <v>278</v>
      </c>
      <c r="D4672" s="94">
        <v>2818.0</v>
      </c>
    </row>
    <row r="4673">
      <c r="A4673" s="40">
        <f t="array" ref="A4673">IFNA(index(PlayerValues!A:A,match(IFNA(vlookup(B4673,'Special Names'!A:B,2,FALSE),B4673),PlayerValues!E:E,0)),"N/A")</f>
        <v>17073</v>
      </c>
      <c r="B4673" s="4" t="s">
        <v>547</v>
      </c>
      <c r="C4673" s="4" t="s">
        <v>287</v>
      </c>
      <c r="D4673" s="94">
        <v>2814.0</v>
      </c>
    </row>
    <row r="4674">
      <c r="A4674" s="40">
        <f t="array" ref="A4674">IFNA(index(PlayerValues!A:A,match(IFNA(vlookup(B4674,'Special Names'!A:B,2,FALSE),B4674),PlayerValues!E:E,0)),"N/A")</f>
        <v>17080</v>
      </c>
      <c r="B4674" s="4" t="s">
        <v>532</v>
      </c>
      <c r="C4674" s="4" t="s">
        <v>287</v>
      </c>
      <c r="D4674" s="94">
        <v>2805.0</v>
      </c>
    </row>
    <row r="4675">
      <c r="A4675" s="40">
        <f t="array" ref="A4675">IFNA(index(PlayerValues!A:A,match(IFNA(vlookup(B4675,'Special Names'!A:B,2,FALSE),B4675),PlayerValues!E:E,0)),"N/A")</f>
        <v>17082</v>
      </c>
      <c r="B4675" s="4" t="s">
        <v>498</v>
      </c>
      <c r="C4675" s="4" t="s">
        <v>287</v>
      </c>
      <c r="D4675" s="94">
        <v>2790.0</v>
      </c>
    </row>
    <row r="4676">
      <c r="A4676" s="40">
        <f t="array" ref="A4676">IFNA(index(PlayerValues!A:A,match(IFNA(vlookup(B4676,'Special Names'!A:B,2,FALSE),B4676),PlayerValues!E:E,0)),"N/A")</f>
        <v>14138</v>
      </c>
      <c r="B4676" s="4" t="s">
        <v>531</v>
      </c>
      <c r="C4676" s="4" t="s">
        <v>298</v>
      </c>
      <c r="D4676" s="94">
        <v>3203.0</v>
      </c>
    </row>
    <row r="4677">
      <c r="A4677" s="40">
        <f t="array" ref="A4677">IFNA(index(PlayerValues!A:A,match(IFNA(vlookup(B4677,'Special Names'!A:B,2,FALSE),B4677),PlayerValues!E:E,0)),"N/A")</f>
        <v>12616</v>
      </c>
      <c r="B4677" s="4" t="s">
        <v>529</v>
      </c>
      <c r="C4677" s="4" t="s">
        <v>283</v>
      </c>
      <c r="D4677" s="94">
        <v>2772.0</v>
      </c>
    </row>
    <row r="4678">
      <c r="A4678" s="40">
        <f t="array" ref="A4678">IFNA(index(PlayerValues!A:A,match(IFNA(vlookup(B4678,'Special Names'!A:B,2,FALSE),B4678),PlayerValues!E:E,0)),"N/A")</f>
        <v>17477</v>
      </c>
      <c r="B4678" s="4" t="s">
        <v>452</v>
      </c>
      <c r="C4678" s="4" t="s">
        <v>278</v>
      </c>
      <c r="D4678" s="94">
        <v>2766.0</v>
      </c>
    </row>
    <row r="4679">
      <c r="A4679" s="40">
        <f t="array" ref="A4679">IFNA(index(PlayerValues!A:A,match(IFNA(vlookup(B4679,'Special Names'!A:B,2,FALSE),B4679),PlayerValues!E:E,0)),"N/A")</f>
        <v>15889</v>
      </c>
      <c r="B4679" s="4" t="s">
        <v>503</v>
      </c>
      <c r="C4679" s="4" t="s">
        <v>298</v>
      </c>
      <c r="D4679" s="94">
        <v>3173.0</v>
      </c>
    </row>
    <row r="4680">
      <c r="A4680" s="40">
        <f t="array" ref="A4680">IFNA(index(PlayerValues!A:A,match(IFNA(vlookup(B4680,'Special Names'!A:B,2,FALSE),B4680),PlayerValues!E:E,0)),"N/A")</f>
        <v>17098</v>
      </c>
      <c r="B4680" s="4" t="s">
        <v>533</v>
      </c>
      <c r="C4680" s="4" t="s">
        <v>287</v>
      </c>
      <c r="D4680" s="94">
        <v>2747.0</v>
      </c>
    </row>
    <row r="4681">
      <c r="A4681" s="40">
        <f t="array" ref="A4681">IFNA(index(PlayerValues!A:A,match(IFNA(vlookup(B4681,'Special Names'!A:B,2,FALSE),B4681),PlayerValues!E:E,0)),"N/A")</f>
        <v>16596</v>
      </c>
      <c r="B4681" s="4" t="s">
        <v>501</v>
      </c>
      <c r="C4681" s="4" t="s">
        <v>278</v>
      </c>
      <c r="D4681" s="94">
        <v>2740.0</v>
      </c>
    </row>
    <row r="4682">
      <c r="A4682" s="40">
        <f t="array" ref="A4682">IFNA(index(PlayerValues!A:A,match(IFNA(vlookup(B4682,'Special Names'!A:B,2,FALSE),B4682),PlayerValues!E:E,0)),"N/A")</f>
        <v>13671</v>
      </c>
      <c r="B4682" s="4" t="s">
        <v>506</v>
      </c>
      <c r="C4682" s="4" t="s">
        <v>298</v>
      </c>
      <c r="D4682" s="94">
        <v>3151.0</v>
      </c>
    </row>
    <row r="4683">
      <c r="A4683" s="40">
        <f t="array" ref="A4683">IFNA(index(PlayerValues!A:A,match(IFNA(vlookup(B4683,'Special Names'!A:B,2,FALSE),B4683),PlayerValues!E:E,0)),"N/A")</f>
        <v>17171</v>
      </c>
      <c r="B4683" s="4" t="s">
        <v>561</v>
      </c>
      <c r="C4683" s="4" t="s">
        <v>287</v>
      </c>
      <c r="D4683" s="94">
        <v>2733.0</v>
      </c>
    </row>
    <row r="4684">
      <c r="A4684" s="40" t="str">
        <f t="array" ref="A4684">IFNA(index(PlayerValues!A:A,match(IFNA(vlookup(B4684,'Special Names'!A:B,2,FALSE),B4684),PlayerValues!E:E,0)),"N/A")</f>
        <v>N/A</v>
      </c>
      <c r="B4684" s="4" t="s">
        <v>110</v>
      </c>
      <c r="C4684" s="4" t="s">
        <v>325</v>
      </c>
      <c r="D4684" s="94">
        <v>2727.0</v>
      </c>
    </row>
    <row r="4685">
      <c r="A4685" s="40">
        <f t="array" ref="A4685">IFNA(index(PlayerValues!A:A,match(IFNA(vlookup(B4685,'Special Names'!A:B,2,FALSE),B4685),PlayerValues!E:E,0)),"N/A")</f>
        <v>14778</v>
      </c>
      <c r="B4685" s="4" t="s">
        <v>564</v>
      </c>
      <c r="C4685" s="4" t="s">
        <v>283</v>
      </c>
      <c r="D4685" s="94">
        <v>2725.0</v>
      </c>
    </row>
    <row r="4686">
      <c r="A4686" s="40">
        <f t="array" ref="A4686">IFNA(index(PlayerValues!A:A,match(IFNA(vlookup(B4686,'Special Names'!A:B,2,FALSE),B4686),PlayerValues!E:E,0)),"N/A")</f>
        <v>16594</v>
      </c>
      <c r="B4686" s="4" t="s">
        <v>607</v>
      </c>
      <c r="C4686" s="4" t="s">
        <v>278</v>
      </c>
      <c r="D4686" s="94">
        <v>2717.0</v>
      </c>
    </row>
    <row r="4687">
      <c r="A4687" s="40">
        <f t="array" ref="A4687">IFNA(index(PlayerValues!A:A,match(IFNA(vlookup(B4687,'Special Names'!A:B,2,FALSE),B4687),PlayerValues!E:E,0)),"N/A")</f>
        <v>17047</v>
      </c>
      <c r="B4687" s="4" t="s">
        <v>510</v>
      </c>
      <c r="C4687" s="4" t="s">
        <v>278</v>
      </c>
      <c r="D4687" s="94">
        <v>2716.0</v>
      </c>
    </row>
    <row r="4688">
      <c r="A4688" s="40">
        <f t="array" ref="A4688">IFNA(index(PlayerValues!A:A,match(IFNA(vlookup(B4688,'Special Names'!A:B,2,FALSE),B4688),PlayerValues!E:E,0)),"N/A")</f>
        <v>14833</v>
      </c>
      <c r="B4688" s="4" t="s">
        <v>553</v>
      </c>
      <c r="C4688" s="4" t="s">
        <v>287</v>
      </c>
      <c r="D4688" s="94">
        <v>2714.0</v>
      </c>
    </row>
    <row r="4689">
      <c r="A4689" s="40">
        <f t="array" ref="A4689">IFNA(index(PlayerValues!A:A,match(IFNA(vlookup(B4689,'Special Names'!A:B,2,FALSE),B4689),PlayerValues!E:E,0)),"N/A")</f>
        <v>15972</v>
      </c>
      <c r="B4689" s="4" t="s">
        <v>469</v>
      </c>
      <c r="C4689" s="4" t="s">
        <v>278</v>
      </c>
      <c r="D4689" s="94">
        <v>2714.0</v>
      </c>
    </row>
    <row r="4690">
      <c r="A4690" s="40">
        <f t="array" ref="A4690">IFNA(index(PlayerValues!A:A,match(IFNA(vlookup(B4690,'Special Names'!A:B,2,FALSE),B4690),PlayerValues!E:E,0)),"N/A")</f>
        <v>16626</v>
      </c>
      <c r="B4690" s="4" t="s">
        <v>515</v>
      </c>
      <c r="C4690" s="4" t="s">
        <v>287</v>
      </c>
      <c r="D4690" s="94">
        <v>2712.0</v>
      </c>
    </row>
    <row r="4691">
      <c r="A4691" s="40">
        <f t="array" ref="A4691">IFNA(index(PlayerValues!A:A,match(IFNA(vlookup(B4691,'Special Names'!A:B,2,FALSE),B4691),PlayerValues!E:E,0)),"N/A")</f>
        <v>15721</v>
      </c>
      <c r="B4691" s="4" t="s">
        <v>504</v>
      </c>
      <c r="C4691" s="4" t="s">
        <v>278</v>
      </c>
      <c r="D4691" s="94">
        <v>2708.0</v>
      </c>
    </row>
    <row r="4692">
      <c r="A4692" s="40">
        <f t="array" ref="A4692">IFNA(index(PlayerValues!A:A,match(IFNA(vlookup(B4692,'Special Names'!A:B,2,FALSE),B4692),PlayerValues!E:E,0)),"N/A")</f>
        <v>13192</v>
      </c>
      <c r="B4692" s="4" t="s">
        <v>563</v>
      </c>
      <c r="C4692" s="4" t="s">
        <v>298</v>
      </c>
      <c r="D4692" s="94">
        <v>3118.0</v>
      </c>
    </row>
    <row r="4693">
      <c r="A4693" s="40">
        <f t="array" ref="A4693">IFNA(index(PlayerValues!A:A,match(IFNA(vlookup(B4693,'Special Names'!A:B,2,FALSE),B4693),PlayerValues!E:E,0)),"N/A")</f>
        <v>17134</v>
      </c>
      <c r="B4693" s="4" t="s">
        <v>548</v>
      </c>
      <c r="C4693" s="4" t="s">
        <v>287</v>
      </c>
      <c r="D4693" s="94">
        <v>2698.0</v>
      </c>
    </row>
    <row r="4694">
      <c r="A4694" s="40">
        <f t="array" ref="A4694">IFNA(index(PlayerValues!A:A,match(IFNA(vlookup(B4694,'Special Names'!A:B,2,FALSE),B4694),PlayerValues!E:E,0)),"N/A")</f>
        <v>14085</v>
      </c>
      <c r="B4694" s="4" t="s">
        <v>489</v>
      </c>
      <c r="C4694" s="4" t="s">
        <v>278</v>
      </c>
      <c r="D4694" s="94">
        <v>2668.0</v>
      </c>
    </row>
    <row r="4695">
      <c r="A4695" s="40">
        <f t="array" ref="A4695">IFNA(index(PlayerValues!A:A,match(IFNA(vlookup(B4695,'Special Names'!A:B,2,FALSE),B4695),PlayerValues!E:E,0)),"N/A")</f>
        <v>16165</v>
      </c>
      <c r="B4695" s="4" t="s">
        <v>520</v>
      </c>
      <c r="C4695" s="4" t="s">
        <v>278</v>
      </c>
      <c r="D4695" s="94">
        <v>2651.0</v>
      </c>
    </row>
    <row r="4696">
      <c r="A4696" s="40">
        <f t="array" ref="A4696">IFNA(index(PlayerValues!A:A,match(IFNA(vlookup(B4696,'Special Names'!A:B,2,FALSE),B4696),PlayerValues!E:E,0)),"N/A")</f>
        <v>13674</v>
      </c>
      <c r="B4696" s="4" t="s">
        <v>511</v>
      </c>
      <c r="C4696" s="4" t="s">
        <v>298</v>
      </c>
      <c r="D4696" s="94">
        <v>3048.0</v>
      </c>
    </row>
    <row r="4697">
      <c r="A4697" s="40">
        <f t="array" ref="A4697">IFNA(index(PlayerValues!A:A,match(IFNA(vlookup(B4697,'Special Names'!A:B,2,FALSE),B4697),PlayerValues!E:E,0)),"N/A")</f>
        <v>17544</v>
      </c>
      <c r="B4697" s="4" t="s">
        <v>470</v>
      </c>
      <c r="C4697" s="4" t="s">
        <v>298</v>
      </c>
      <c r="D4697" s="94">
        <v>3038.0</v>
      </c>
    </row>
    <row r="4698">
      <c r="A4698" s="40">
        <f t="array" ref="A4698">IFNA(index(PlayerValues!A:A,match(IFNA(vlookup(B4698,'Special Names'!A:B,2,FALSE),B4698),PlayerValues!E:E,0)),"N/A")</f>
        <v>16747</v>
      </c>
      <c r="B4698" s="4" t="s">
        <v>555</v>
      </c>
      <c r="C4698" s="4" t="s">
        <v>278</v>
      </c>
      <c r="D4698" s="94">
        <v>2589.0</v>
      </c>
    </row>
    <row r="4699">
      <c r="A4699" s="40">
        <f t="array" ref="A4699">IFNA(index(PlayerValues!A:A,match(IFNA(vlookup(B4699,'Special Names'!A:B,2,FALSE),B4699),PlayerValues!E:E,0)),"N/A")</f>
        <v>14840</v>
      </c>
      <c r="B4699" s="4" t="s">
        <v>731</v>
      </c>
      <c r="C4699" s="4" t="s">
        <v>287</v>
      </c>
      <c r="D4699" s="94">
        <v>2579.0</v>
      </c>
    </row>
    <row r="4700">
      <c r="A4700" s="40">
        <f t="array" ref="A4700">IFNA(index(PlayerValues!A:A,match(IFNA(vlookup(B4700,'Special Names'!A:B,2,FALSE),B4700),PlayerValues!E:E,0)),"N/A")</f>
        <v>17105</v>
      </c>
      <c r="B4700" s="4" t="s">
        <v>525</v>
      </c>
      <c r="C4700" s="4" t="s">
        <v>298</v>
      </c>
      <c r="D4700" s="94">
        <v>2973.0</v>
      </c>
    </row>
    <row r="4701">
      <c r="A4701" s="40" t="str">
        <f t="array" ref="A4701">IFNA(index(PlayerValues!A:A,match(IFNA(vlookup(B4701,'Special Names'!A:B,2,FALSE),B4701),PlayerValues!E:E,0)),"N/A")</f>
        <v>N/A</v>
      </c>
      <c r="B4701" s="4" t="s">
        <v>98</v>
      </c>
      <c r="C4701" s="4" t="s">
        <v>325</v>
      </c>
      <c r="D4701" s="94">
        <v>2562.0</v>
      </c>
    </row>
    <row r="4702">
      <c r="A4702" s="40">
        <f t="array" ref="A4702">IFNA(index(PlayerValues!A:A,match(IFNA(vlookup(B4702,'Special Names'!A:B,2,FALSE),B4702),PlayerValues!E:E,0)),"N/A")</f>
        <v>16617</v>
      </c>
      <c r="B4702" s="4" t="s">
        <v>541</v>
      </c>
      <c r="C4702" s="4" t="s">
        <v>287</v>
      </c>
      <c r="D4702" s="94">
        <v>2552.0</v>
      </c>
    </row>
    <row r="4703">
      <c r="A4703" s="40">
        <f t="array" ref="A4703">IFNA(index(PlayerValues!A:A,match(IFNA(vlookup(B4703,'Special Names'!A:B,2,FALSE),B4703),PlayerValues!E:E,0)),"N/A")</f>
        <v>17108</v>
      </c>
      <c r="B4703" s="4" t="s">
        <v>542</v>
      </c>
      <c r="C4703" s="4" t="s">
        <v>298</v>
      </c>
      <c r="D4703" s="94">
        <v>2954.0</v>
      </c>
    </row>
    <row r="4704">
      <c r="A4704" s="40">
        <f t="array" ref="A4704">IFNA(index(PlayerValues!A:A,match(IFNA(vlookup(B4704,'Special Names'!A:B,2,FALSE),B4704),PlayerValues!E:E,0)),"N/A")</f>
        <v>16178</v>
      </c>
      <c r="B4704" s="4" t="s">
        <v>507</v>
      </c>
      <c r="C4704" s="4" t="s">
        <v>278</v>
      </c>
      <c r="D4704" s="94">
        <v>2535.0</v>
      </c>
    </row>
    <row r="4705">
      <c r="A4705" s="40">
        <f t="array" ref="A4705">IFNA(index(PlayerValues!A:A,match(IFNA(vlookup(B4705,'Special Names'!A:B,2,FALSE),B4705),PlayerValues!E:E,0)),"N/A")</f>
        <v>16164</v>
      </c>
      <c r="B4705" s="4" t="s">
        <v>512</v>
      </c>
      <c r="C4705" s="4" t="s">
        <v>278</v>
      </c>
      <c r="D4705" s="94">
        <v>2529.0</v>
      </c>
    </row>
    <row r="4706">
      <c r="A4706" s="40" t="str">
        <f t="array" ref="A4706">IFNA(index(PlayerValues!A:A,match(IFNA(vlookup(B4706,'Special Names'!A:B,2,FALSE),B4706),PlayerValues!E:E,0)),"N/A")</f>
        <v>N/A</v>
      </c>
      <c r="B4706" s="4" t="s">
        <v>557</v>
      </c>
      <c r="C4706" s="4" t="s">
        <v>278</v>
      </c>
      <c r="D4706" s="94">
        <v>2525.0</v>
      </c>
    </row>
    <row r="4707">
      <c r="A4707" s="40">
        <f t="array" ref="A4707">IFNA(index(PlayerValues!A:A,match(IFNA(vlookup(B4707,'Special Names'!A:B,2,FALSE),B4707),PlayerValues!E:E,0)),"N/A")</f>
        <v>14136</v>
      </c>
      <c r="B4707" s="4" t="s">
        <v>536</v>
      </c>
      <c r="C4707" s="4" t="s">
        <v>287</v>
      </c>
      <c r="D4707" s="94">
        <v>2517.0</v>
      </c>
    </row>
    <row r="4708">
      <c r="A4708" s="40">
        <f t="array" ref="A4708">IFNA(index(PlayerValues!A:A,match(IFNA(vlookup(B4708,'Special Names'!A:B,2,FALSE),B4708),PlayerValues!E:E,0)),"N/A")</f>
        <v>16204</v>
      </c>
      <c r="B4708" s="4" t="s">
        <v>530</v>
      </c>
      <c r="C4708" s="4" t="s">
        <v>287</v>
      </c>
      <c r="D4708" s="94">
        <v>2514.0</v>
      </c>
    </row>
    <row r="4709">
      <c r="A4709" s="40">
        <f t="array" ref="A4709">IFNA(index(PlayerValues!A:A,match(IFNA(vlookup(B4709,'Special Names'!A:B,2,FALSE),B4709),PlayerValues!E:E,0)),"N/A")</f>
        <v>15802</v>
      </c>
      <c r="B4709" s="4" t="s">
        <v>566</v>
      </c>
      <c r="C4709" s="4" t="s">
        <v>298</v>
      </c>
      <c r="D4709" s="94">
        <v>2919.0</v>
      </c>
    </row>
    <row r="4710">
      <c r="A4710" s="40">
        <f t="array" ref="A4710">IFNA(index(PlayerValues!A:A,match(IFNA(vlookup(B4710,'Special Names'!A:B,2,FALSE),B4710),PlayerValues!E:E,0)),"N/A")</f>
        <v>16152</v>
      </c>
      <c r="B4710" s="4" t="s">
        <v>601</v>
      </c>
      <c r="C4710" s="4" t="s">
        <v>283</v>
      </c>
      <c r="D4710" s="94">
        <v>2510.0</v>
      </c>
    </row>
    <row r="4711">
      <c r="A4711" s="40">
        <f t="array" ref="A4711">IFNA(index(PlayerValues!A:A,match(IFNA(vlookup(B4711,'Special Names'!A:B,2,FALSE),B4711),PlayerValues!E:E,0)),"N/A")</f>
        <v>16166</v>
      </c>
      <c r="B4711" s="4" t="s">
        <v>567</v>
      </c>
      <c r="C4711" s="4" t="s">
        <v>278</v>
      </c>
      <c r="D4711" s="94">
        <v>2494.0</v>
      </c>
    </row>
    <row r="4712">
      <c r="A4712" s="40">
        <f t="array" ref="A4712">IFNA(index(PlayerValues!A:A,match(IFNA(vlookup(B4712,'Special Names'!A:B,2,FALSE),B4712),PlayerValues!E:E,0)),"N/A")</f>
        <v>16757</v>
      </c>
      <c r="B4712" s="4" t="s">
        <v>558</v>
      </c>
      <c r="C4712" s="4" t="s">
        <v>278</v>
      </c>
      <c r="D4712" s="94">
        <v>2469.0</v>
      </c>
    </row>
    <row r="4713">
      <c r="A4713" s="40">
        <f t="array" ref="A4713">IFNA(index(PlayerValues!A:A,match(IFNA(vlookup(B4713,'Special Names'!A:B,2,FALSE),B4713),PlayerValues!E:E,0)),"N/A")</f>
        <v>16287</v>
      </c>
      <c r="B4713" s="4" t="s">
        <v>516</v>
      </c>
      <c r="C4713" s="4" t="s">
        <v>287</v>
      </c>
      <c r="D4713" s="94">
        <v>2460.0</v>
      </c>
    </row>
    <row r="4714">
      <c r="A4714" s="40">
        <f t="array" ref="A4714">IFNA(index(PlayerValues!A:A,match(IFNA(vlookup(B4714,'Special Names'!A:B,2,FALSE),B4714),PlayerValues!E:E,0)),"N/A")</f>
        <v>17033</v>
      </c>
      <c r="B4714" s="4" t="s">
        <v>570</v>
      </c>
      <c r="C4714" s="4" t="s">
        <v>283</v>
      </c>
      <c r="D4714" s="94">
        <v>2457.0</v>
      </c>
    </row>
    <row r="4715">
      <c r="A4715" s="40">
        <f t="array" ref="A4715">IFNA(index(PlayerValues!A:A,match(IFNA(vlookup(B4715,'Special Names'!A:B,2,FALSE),B4715),PlayerValues!E:E,0)),"N/A")</f>
        <v>11244</v>
      </c>
      <c r="B4715" s="4" t="s">
        <v>519</v>
      </c>
      <c r="C4715" s="4" t="s">
        <v>298</v>
      </c>
      <c r="D4715" s="94">
        <v>2859.0</v>
      </c>
    </row>
    <row r="4716">
      <c r="A4716" s="40">
        <f t="array" ref="A4716">IFNA(index(PlayerValues!A:A,match(IFNA(vlookup(B4716,'Special Names'!A:B,2,FALSE),B4716),PlayerValues!E:E,0)),"N/A")</f>
        <v>17476</v>
      </c>
      <c r="B4716" s="4" t="s">
        <v>494</v>
      </c>
      <c r="C4716" s="4" t="s">
        <v>278</v>
      </c>
      <c r="D4716" s="94">
        <v>2447.0</v>
      </c>
    </row>
    <row r="4717">
      <c r="A4717" s="40">
        <f t="array" ref="A4717">IFNA(index(PlayerValues!A:A,match(IFNA(vlookup(B4717,'Special Names'!A:B,2,FALSE),B4717),PlayerValues!E:E,0)),"N/A")</f>
        <v>16649</v>
      </c>
      <c r="B4717" s="4" t="s">
        <v>586</v>
      </c>
      <c r="C4717" s="4" t="s">
        <v>298</v>
      </c>
      <c r="D4717" s="94">
        <v>2845.0</v>
      </c>
    </row>
    <row r="4718">
      <c r="A4718" s="40">
        <f t="array" ref="A4718">IFNA(index(PlayerValues!A:A,match(IFNA(vlookup(B4718,'Special Names'!A:B,2,FALSE),B4718),PlayerValues!E:E,0)),"N/A")</f>
        <v>14861</v>
      </c>
      <c r="B4718" s="4" t="s">
        <v>523</v>
      </c>
      <c r="C4718" s="4" t="s">
        <v>298</v>
      </c>
      <c r="D4718" s="94">
        <v>2833.0</v>
      </c>
    </row>
    <row r="4719">
      <c r="A4719" s="40">
        <f t="array" ref="A4719">IFNA(index(PlayerValues!A:A,match(IFNA(vlookup(B4719,'Special Names'!A:B,2,FALSE),B4719),PlayerValues!E:E,0)),"N/A")</f>
        <v>16684</v>
      </c>
      <c r="B4719" s="4" t="s">
        <v>500</v>
      </c>
      <c r="C4719" s="4" t="s">
        <v>287</v>
      </c>
      <c r="D4719" s="94">
        <v>2429.0</v>
      </c>
    </row>
    <row r="4720">
      <c r="A4720" s="40">
        <f t="array" ref="A4720">IFNA(index(PlayerValues!A:A,match(IFNA(vlookup(B4720,'Special Names'!A:B,2,FALSE),B4720),PlayerValues!E:E,0)),"N/A")</f>
        <v>16189</v>
      </c>
      <c r="B4720" s="4" t="s">
        <v>582</v>
      </c>
      <c r="C4720" s="4" t="s">
        <v>287</v>
      </c>
      <c r="D4720" s="94">
        <v>2413.0</v>
      </c>
    </row>
    <row r="4721">
      <c r="A4721" s="40">
        <f t="array" ref="A4721">IFNA(index(PlayerValues!A:A,match(IFNA(vlookup(B4721,'Special Names'!A:B,2,FALSE),B4721),PlayerValues!E:E,0)),"N/A")</f>
        <v>17505</v>
      </c>
      <c r="B4721" s="4" t="s">
        <v>528</v>
      </c>
      <c r="C4721" s="4" t="s">
        <v>287</v>
      </c>
      <c r="D4721" s="94">
        <v>2413.0</v>
      </c>
    </row>
    <row r="4722">
      <c r="A4722" s="40">
        <f t="array" ref="A4722">IFNA(index(PlayerValues!A:A,match(IFNA(vlookup(B4722,'Special Names'!A:B,2,FALSE),B4722),PlayerValues!E:E,0)),"N/A")</f>
        <v>16036</v>
      </c>
      <c r="B4722" s="4" t="s">
        <v>592</v>
      </c>
      <c r="C4722" s="4" t="s">
        <v>298</v>
      </c>
      <c r="D4722" s="94">
        <v>2801.0</v>
      </c>
    </row>
    <row r="4723">
      <c r="A4723" s="40" t="str">
        <f t="array" ref="A4723">IFNA(index(PlayerValues!A:A,match(IFNA(vlookup(B4723,'Special Names'!A:B,2,FALSE),B4723),PlayerValues!E:E,0)),"N/A")</f>
        <v>N/A</v>
      </c>
      <c r="B4723" s="4" t="s">
        <v>86</v>
      </c>
      <c r="C4723" s="4" t="s">
        <v>325</v>
      </c>
      <c r="D4723" s="94">
        <v>2400.0</v>
      </c>
    </row>
    <row r="4724">
      <c r="A4724" s="40" t="str">
        <f t="array" ref="A4724">IFNA(index(PlayerValues!A:A,match(IFNA(vlookup(B4724,'Special Names'!A:B,2,FALSE),B4724),PlayerValues!E:E,0)),"N/A")</f>
        <v>N/A</v>
      </c>
      <c r="B4724" s="4" t="s">
        <v>99</v>
      </c>
      <c r="C4724" s="4" t="s">
        <v>325</v>
      </c>
      <c r="D4724" s="94">
        <v>2397.0</v>
      </c>
    </row>
    <row r="4725">
      <c r="A4725" s="40">
        <f t="array" ref="A4725">IFNA(index(PlayerValues!A:A,match(IFNA(vlookup(B4725,'Special Names'!A:B,2,FALSE),B4725),PlayerValues!E:E,0)),"N/A")</f>
        <v>17078</v>
      </c>
      <c r="B4725" s="4" t="s">
        <v>543</v>
      </c>
      <c r="C4725" s="4" t="s">
        <v>287</v>
      </c>
      <c r="D4725" s="94">
        <v>2397.0</v>
      </c>
    </row>
    <row r="4726">
      <c r="A4726" s="40">
        <f t="array" ref="A4726">IFNA(index(PlayerValues!A:A,match(IFNA(vlookup(B4726,'Special Names'!A:B,2,FALSE),B4726),PlayerValues!E:E,0)),"N/A")</f>
        <v>15749</v>
      </c>
      <c r="B4726" s="4" t="s">
        <v>574</v>
      </c>
      <c r="C4726" s="4" t="s">
        <v>278</v>
      </c>
      <c r="D4726" s="94">
        <v>2396.0</v>
      </c>
    </row>
    <row r="4727">
      <c r="A4727" s="40">
        <f t="array" ref="A4727">IFNA(index(PlayerValues!A:A,match(IFNA(vlookup(B4727,'Special Names'!A:B,2,FALSE),B4727),PlayerValues!E:E,0)),"N/A")</f>
        <v>17048</v>
      </c>
      <c r="B4727" s="4" t="s">
        <v>539</v>
      </c>
      <c r="C4727" s="4" t="s">
        <v>278</v>
      </c>
      <c r="D4727" s="94">
        <v>2388.0</v>
      </c>
    </row>
    <row r="4728">
      <c r="A4728" s="40">
        <f t="array" ref="A4728">IFNA(index(PlayerValues!A:A,match(IFNA(vlookup(B4728,'Special Names'!A:B,2,FALSE),B4728),PlayerValues!E:E,0)),"N/A")</f>
        <v>15786</v>
      </c>
      <c r="B4728" s="4" t="s">
        <v>521</v>
      </c>
      <c r="C4728" s="4" t="s">
        <v>287</v>
      </c>
      <c r="D4728" s="94">
        <v>2377.0</v>
      </c>
    </row>
    <row r="4729">
      <c r="A4729" s="40">
        <f t="array" ref="A4729">IFNA(index(PlayerValues!A:A,match(IFNA(vlookup(B4729,'Special Names'!A:B,2,FALSE),B4729),PlayerValues!E:E,0)),"N/A")</f>
        <v>16610</v>
      </c>
      <c r="B4729" s="4" t="s">
        <v>562</v>
      </c>
      <c r="C4729" s="4" t="s">
        <v>278</v>
      </c>
      <c r="D4729" s="94">
        <v>2348.0</v>
      </c>
    </row>
    <row r="4730">
      <c r="A4730" s="40">
        <f t="array" ref="A4730">IFNA(index(PlayerValues!A:A,match(IFNA(vlookup(B4730,'Special Names'!A:B,2,FALSE),B4730),PlayerValues!E:E,0)),"N/A")</f>
        <v>12676</v>
      </c>
      <c r="B4730" s="4" t="s">
        <v>537</v>
      </c>
      <c r="C4730" s="4" t="s">
        <v>298</v>
      </c>
      <c r="D4730" s="94">
        <v>2741.0</v>
      </c>
    </row>
    <row r="4731">
      <c r="A4731" s="40">
        <f t="array" ref="A4731">IFNA(index(PlayerValues!A:A,match(IFNA(vlookup(B4731,'Special Names'!A:B,2,FALSE),B4731),PlayerValues!E:E,0)),"N/A")</f>
        <v>16195</v>
      </c>
      <c r="B4731" s="4" t="s">
        <v>509</v>
      </c>
      <c r="C4731" s="4" t="s">
        <v>287</v>
      </c>
      <c r="D4731" s="94">
        <v>2342.0</v>
      </c>
    </row>
    <row r="4732">
      <c r="A4732" s="40">
        <f t="array" ref="A4732">IFNA(index(PlayerValues!A:A,match(IFNA(vlookup(B4732,'Special Names'!A:B,2,FALSE),B4732),PlayerValues!E:E,0)),"N/A")</f>
        <v>16212</v>
      </c>
      <c r="B4732" s="4" t="s">
        <v>568</v>
      </c>
      <c r="C4732" s="4" t="s">
        <v>298</v>
      </c>
      <c r="D4732" s="94">
        <v>2711.0</v>
      </c>
    </row>
    <row r="4733">
      <c r="A4733" s="40">
        <f t="array" ref="A4733">IFNA(index(PlayerValues!A:A,match(IFNA(vlookup(B4733,'Special Names'!A:B,2,FALSE),B4733),PlayerValues!E:E,0)),"N/A")</f>
        <v>17046</v>
      </c>
      <c r="B4733" s="4" t="s">
        <v>602</v>
      </c>
      <c r="C4733" s="4" t="s">
        <v>278</v>
      </c>
      <c r="D4733" s="94">
        <v>2314.0</v>
      </c>
    </row>
    <row r="4734">
      <c r="A4734" s="40">
        <f t="array" ref="A4734">IFNA(index(PlayerValues!A:A,match(IFNA(vlookup(B4734,'Special Names'!A:B,2,FALSE),B4734),PlayerValues!E:E,0)),"N/A")</f>
        <v>12801</v>
      </c>
      <c r="B4734" s="4" t="s">
        <v>722</v>
      </c>
      <c r="C4734" s="4" t="s">
        <v>287</v>
      </c>
      <c r="D4734" s="94">
        <v>2305.0</v>
      </c>
    </row>
    <row r="4735">
      <c r="A4735" s="40">
        <f t="array" ref="A4735">IFNA(index(PlayerValues!A:A,match(IFNA(vlookup(B4735,'Special Names'!A:B,2,FALSE),B4735),PlayerValues!E:E,0)),"N/A")</f>
        <v>15238</v>
      </c>
      <c r="B4735" s="4" t="s">
        <v>613</v>
      </c>
      <c r="C4735" s="4" t="s">
        <v>283</v>
      </c>
      <c r="D4735" s="94">
        <v>2302.0</v>
      </c>
    </row>
    <row r="4736">
      <c r="A4736" s="40">
        <f t="array" ref="A4736">IFNA(index(PlayerValues!A:A,match(IFNA(vlookup(B4736,'Special Names'!A:B,2,FALSE),B4736),PlayerValues!E:E,0)),"N/A")</f>
        <v>13772</v>
      </c>
      <c r="B4736" s="4" t="s">
        <v>544</v>
      </c>
      <c r="C4736" s="4" t="s">
        <v>298</v>
      </c>
      <c r="D4736" s="94">
        <v>2687.0</v>
      </c>
    </row>
    <row r="4737">
      <c r="A4737" s="40">
        <f t="array" ref="A4737">IFNA(index(PlayerValues!A:A,match(IFNA(vlookup(B4737,'Special Names'!A:B,2,FALSE),B4737),PlayerValues!E:E,0)),"N/A")</f>
        <v>17076</v>
      </c>
      <c r="B4737" s="4" t="s">
        <v>585</v>
      </c>
      <c r="C4737" s="4" t="s">
        <v>287</v>
      </c>
      <c r="D4737" s="94">
        <v>2290.0</v>
      </c>
    </row>
    <row r="4738">
      <c r="A4738" s="40">
        <f t="array" ref="A4738">IFNA(index(PlayerValues!A:A,match(IFNA(vlookup(B4738,'Special Names'!A:B,2,FALSE),B4738),PlayerValues!E:E,0)),"N/A")</f>
        <v>16174</v>
      </c>
      <c r="B4738" s="4" t="s">
        <v>505</v>
      </c>
      <c r="C4738" s="4" t="s">
        <v>278</v>
      </c>
      <c r="D4738" s="94">
        <v>2278.0</v>
      </c>
    </row>
    <row r="4739">
      <c r="A4739" s="40">
        <f t="array" ref="A4739">IFNA(index(PlayerValues!A:A,match(IFNA(vlookup(B4739,'Special Names'!A:B,2,FALSE),B4739),PlayerValues!E:E,0)),"N/A")</f>
        <v>17079</v>
      </c>
      <c r="B4739" s="4" t="s">
        <v>572</v>
      </c>
      <c r="C4739" s="4" t="s">
        <v>287</v>
      </c>
      <c r="D4739" s="94">
        <v>2275.0</v>
      </c>
    </row>
    <row r="4740">
      <c r="A4740" s="40">
        <f t="array" ref="A4740">IFNA(index(PlayerValues!A:A,match(IFNA(vlookup(B4740,'Special Names'!A:B,2,FALSE),B4740),PlayerValues!E:E,0)),"N/A")</f>
        <v>15716</v>
      </c>
      <c r="B4740" s="4" t="s">
        <v>545</v>
      </c>
      <c r="C4740" s="4" t="s">
        <v>278</v>
      </c>
      <c r="D4740" s="94">
        <v>2256.0</v>
      </c>
    </row>
    <row r="4741">
      <c r="A4741" s="40" t="str">
        <f t="array" ref="A4741">IFNA(index(PlayerValues!A:A,match(IFNA(vlookup(B4741,'Special Names'!A:B,2,FALSE),B4741),PlayerValues!E:E,0)),"N/A")</f>
        <v>N/A</v>
      </c>
      <c r="B4741" s="4" t="s">
        <v>87</v>
      </c>
      <c r="C4741" s="4" t="s">
        <v>325</v>
      </c>
      <c r="D4741" s="94">
        <v>2250.0</v>
      </c>
    </row>
    <row r="4742">
      <c r="A4742" s="40">
        <f t="array" ref="A4742">IFNA(index(PlayerValues!A:A,match(IFNA(vlookup(B4742,'Special Names'!A:B,2,FALSE),B4742),PlayerValues!E:E,0)),"N/A")</f>
        <v>17482</v>
      </c>
      <c r="B4742" s="4" t="s">
        <v>460</v>
      </c>
      <c r="C4742" s="4" t="s">
        <v>278</v>
      </c>
      <c r="D4742" s="94">
        <v>2248.0</v>
      </c>
    </row>
    <row r="4743">
      <c r="A4743" s="40">
        <f t="array" ref="A4743">IFNA(index(PlayerValues!A:A,match(IFNA(vlookup(B4743,'Special Names'!A:B,2,FALSE),B4743),PlayerValues!E:E,0)),"N/A")</f>
        <v>12186</v>
      </c>
      <c r="B4743" s="4" t="s">
        <v>497</v>
      </c>
      <c r="C4743" s="4" t="s">
        <v>287</v>
      </c>
      <c r="D4743" s="94">
        <v>2246.0</v>
      </c>
    </row>
    <row r="4744">
      <c r="A4744" s="40" t="str">
        <f t="array" ref="A4744">IFNA(index(PlayerValues!A:A,match(IFNA(vlookup(B4744,'Special Names'!A:B,2,FALSE),B4744),PlayerValues!E:E,0)),"N/A")</f>
        <v>N/A</v>
      </c>
      <c r="B4744" s="4" t="s">
        <v>100</v>
      </c>
      <c r="C4744" s="4" t="s">
        <v>325</v>
      </c>
      <c r="D4744" s="94">
        <v>2219.0</v>
      </c>
    </row>
    <row r="4745">
      <c r="A4745" s="40">
        <f t="array" ref="A4745">IFNA(index(PlayerValues!A:A,match(IFNA(vlookup(B4745,'Special Names'!A:B,2,FALSE),B4745),PlayerValues!E:E,0)),"N/A")</f>
        <v>15331</v>
      </c>
      <c r="B4745" s="4" t="s">
        <v>560</v>
      </c>
      <c r="C4745" s="4" t="s">
        <v>298</v>
      </c>
      <c r="D4745" s="94">
        <v>2591.0</v>
      </c>
    </row>
    <row r="4746">
      <c r="A4746" s="40">
        <f t="array" ref="A4746">IFNA(index(PlayerValues!A:A,match(IFNA(vlookup(B4746,'Special Names'!A:B,2,FALSE),B4746),PlayerValues!E:E,0)),"N/A")</f>
        <v>17087</v>
      </c>
      <c r="B4746" s="4" t="s">
        <v>600</v>
      </c>
      <c r="C4746" s="4" t="s">
        <v>287</v>
      </c>
      <c r="D4746" s="94">
        <v>2194.0</v>
      </c>
    </row>
    <row r="4747">
      <c r="A4747" s="40">
        <f t="array" ref="A4747">IFNA(index(PlayerValues!A:A,match(IFNA(vlookup(B4747,'Special Names'!A:B,2,FALSE),B4747),PlayerValues!E:E,0)),"N/A")</f>
        <v>16432</v>
      </c>
      <c r="B4747" s="4" t="s">
        <v>620</v>
      </c>
      <c r="C4747" s="4" t="s">
        <v>278</v>
      </c>
      <c r="D4747" s="94">
        <v>2188.0</v>
      </c>
    </row>
    <row r="4748">
      <c r="A4748" s="40">
        <f t="array" ref="A4748">IFNA(index(PlayerValues!A:A,match(IFNA(vlookup(B4748,'Special Names'!A:B,2,FALSE),B4748),PlayerValues!E:E,0)),"N/A")</f>
        <v>14871</v>
      </c>
      <c r="B4748" s="4" t="s">
        <v>584</v>
      </c>
      <c r="C4748" s="4" t="s">
        <v>298</v>
      </c>
      <c r="D4748" s="94">
        <v>2560.0</v>
      </c>
    </row>
    <row r="4749">
      <c r="A4749" s="40" t="str">
        <f t="array" ref="A4749">IFNA(index(PlayerValues!A:A,match(IFNA(vlookup(B4749,'Special Names'!A:B,2,FALSE),B4749),PlayerValues!E:E,0)),"N/A")</f>
        <v>N/A</v>
      </c>
      <c r="B4749" s="4" t="s">
        <v>112</v>
      </c>
      <c r="C4749" s="4" t="s">
        <v>325</v>
      </c>
      <c r="D4749" s="94">
        <v>2167.0</v>
      </c>
    </row>
    <row r="4750">
      <c r="A4750" s="40">
        <f t="array" ref="A4750">IFNA(index(PlayerValues!A:A,match(IFNA(vlookup(B4750,'Special Names'!A:B,2,FALSE),B4750),PlayerValues!E:E,0)),"N/A")</f>
        <v>17474</v>
      </c>
      <c r="B4750" s="4" t="s">
        <v>513</v>
      </c>
      <c r="C4750" s="4" t="s">
        <v>278</v>
      </c>
      <c r="D4750" s="94">
        <v>2166.0</v>
      </c>
    </row>
    <row r="4751">
      <c r="A4751" s="40">
        <f t="array" ref="A4751">IFNA(index(PlayerValues!A:A,match(IFNA(vlookup(B4751,'Special Names'!A:B,2,FALSE),B4751),PlayerValues!E:E,0)),"N/A")</f>
        <v>17049</v>
      </c>
      <c r="B4751" s="4" t="s">
        <v>624</v>
      </c>
      <c r="C4751" s="4" t="s">
        <v>278</v>
      </c>
      <c r="D4751" s="94">
        <v>2160.0</v>
      </c>
    </row>
    <row r="4752">
      <c r="A4752" s="40">
        <f t="array" ref="A4752">IFNA(index(PlayerValues!A:A,match(IFNA(vlookup(B4752,'Special Names'!A:B,2,FALSE),B4752),PlayerValues!E:E,0)),"N/A")</f>
        <v>16342</v>
      </c>
      <c r="B4752" s="4" t="s">
        <v>583</v>
      </c>
      <c r="C4752" s="4" t="s">
        <v>287</v>
      </c>
      <c r="D4752" s="94">
        <v>2158.0</v>
      </c>
    </row>
    <row r="4753">
      <c r="A4753" s="40">
        <f t="array" ref="A4753">IFNA(index(PlayerValues!A:A,match(IFNA(vlookup(B4753,'Special Names'!A:B,2,FALSE),B4753),PlayerValues!E:E,0)),"N/A")</f>
        <v>17061</v>
      </c>
      <c r="B4753" s="4" t="s">
        <v>580</v>
      </c>
      <c r="C4753" s="4" t="s">
        <v>278</v>
      </c>
      <c r="D4753" s="94">
        <v>2150.0</v>
      </c>
    </row>
    <row r="4754">
      <c r="A4754" s="40">
        <f t="array" ref="A4754">IFNA(index(PlayerValues!A:A,match(IFNA(vlookup(B4754,'Special Names'!A:B,2,FALSE),B4754),PlayerValues!E:E,0)),"N/A")</f>
        <v>16639</v>
      </c>
      <c r="B4754" s="4" t="s">
        <v>599</v>
      </c>
      <c r="C4754" s="4" t="s">
        <v>287</v>
      </c>
      <c r="D4754" s="94">
        <v>2141.0</v>
      </c>
    </row>
    <row r="4755">
      <c r="A4755" s="40">
        <f t="array" ref="A4755">IFNA(index(PlayerValues!A:A,match(IFNA(vlookup(B4755,'Special Names'!A:B,2,FALSE),B4755),PlayerValues!E:E,0)),"N/A")</f>
        <v>13146</v>
      </c>
      <c r="B4755" s="4" t="s">
        <v>652</v>
      </c>
      <c r="C4755" s="4" t="s">
        <v>278</v>
      </c>
      <c r="D4755" s="94">
        <v>2138.0</v>
      </c>
    </row>
    <row r="4756">
      <c r="A4756" s="40" t="str">
        <f t="array" ref="A4756">IFNA(index(PlayerValues!A:A,match(IFNA(vlookup(B4756,'Special Names'!A:B,2,FALSE),B4756),PlayerValues!E:E,0)),"N/A")</f>
        <v>N/A</v>
      </c>
      <c r="B4756" s="4" t="s">
        <v>88</v>
      </c>
      <c r="C4756" s="4" t="s">
        <v>325</v>
      </c>
      <c r="D4756" s="94">
        <v>2135.0</v>
      </c>
    </row>
    <row r="4757">
      <c r="A4757" s="40" t="str">
        <f t="array" ref="A4757">IFNA(index(PlayerValues!A:A,match(IFNA(vlookup(B4757,'Special Names'!A:B,2,FALSE),B4757),PlayerValues!E:E,0)),"N/A")</f>
        <v>N/A</v>
      </c>
      <c r="B4757" s="4" t="s">
        <v>113</v>
      </c>
      <c r="C4757" s="4" t="s">
        <v>325</v>
      </c>
      <c r="D4757" s="94">
        <v>2134.0</v>
      </c>
    </row>
    <row r="4758">
      <c r="A4758" s="40">
        <f t="array" ref="A4758">IFNA(index(PlayerValues!A:A,match(IFNA(vlookup(B4758,'Special Names'!A:B,2,FALSE),B4758),PlayerValues!E:E,0)),"N/A")</f>
        <v>16191</v>
      </c>
      <c r="B4758" s="4" t="s">
        <v>666</v>
      </c>
      <c r="C4758" s="4" t="s">
        <v>287</v>
      </c>
      <c r="D4758" s="94">
        <v>2132.0</v>
      </c>
    </row>
    <row r="4759">
      <c r="A4759" s="40">
        <f t="array" ref="A4759">IFNA(index(PlayerValues!A:A,match(IFNA(vlookup(B4759,'Special Names'!A:B,2,FALSE),B4759),PlayerValues!E:E,0)),"N/A")</f>
        <v>13132</v>
      </c>
      <c r="B4759" s="4" t="s">
        <v>598</v>
      </c>
      <c r="C4759" s="4" t="s">
        <v>278</v>
      </c>
      <c r="D4759" s="94">
        <v>2128.0</v>
      </c>
    </row>
    <row r="4760">
      <c r="A4760" s="40">
        <f t="array" ref="A4760">IFNA(index(PlayerValues!A:A,match(IFNA(vlookup(B4760,'Special Names'!A:B,2,FALSE),B4760),PlayerValues!E:E,0)),"N/A")</f>
        <v>17509</v>
      </c>
      <c r="B4760" s="4" t="s">
        <v>551</v>
      </c>
      <c r="C4760" s="4" t="s">
        <v>287</v>
      </c>
      <c r="D4760" s="94">
        <v>2124.0</v>
      </c>
    </row>
    <row r="4761">
      <c r="A4761" s="40">
        <f t="array" ref="A4761">IFNA(index(PlayerValues!A:A,match(IFNA(vlookup(B4761,'Special Names'!A:B,2,FALSE),B4761),PlayerValues!E:E,0)),"N/A")</f>
        <v>11150</v>
      </c>
      <c r="B4761" s="4" t="s">
        <v>559</v>
      </c>
      <c r="C4761" s="4" t="s">
        <v>283</v>
      </c>
      <c r="D4761" s="94">
        <v>2122.0</v>
      </c>
    </row>
    <row r="4762">
      <c r="A4762" s="40">
        <f t="array" ref="A4762">IFNA(index(PlayerValues!A:A,match(IFNA(vlookup(B4762,'Special Names'!A:B,2,FALSE),B4762),PlayerValues!E:E,0)),"N/A")</f>
        <v>16643</v>
      </c>
      <c r="B4762" s="4" t="s">
        <v>609</v>
      </c>
      <c r="C4762" s="4" t="s">
        <v>298</v>
      </c>
      <c r="D4762" s="94">
        <v>2515.0</v>
      </c>
    </row>
    <row r="4763">
      <c r="A4763" s="40">
        <f t="array" ref="A4763">IFNA(index(PlayerValues!A:A,match(IFNA(vlookup(B4763,'Special Names'!A:B,2,FALSE),B4763),PlayerValues!E:E,0)),"N/A")</f>
        <v>17507</v>
      </c>
      <c r="B4763" s="4" t="s">
        <v>495</v>
      </c>
      <c r="C4763" s="4" t="s">
        <v>287</v>
      </c>
      <c r="D4763" s="94">
        <v>2122.0</v>
      </c>
    </row>
    <row r="4764">
      <c r="A4764" s="40">
        <f t="array" ref="A4764">IFNA(index(PlayerValues!A:A,match(IFNA(vlookup(B4764,'Special Names'!A:B,2,FALSE),B4764),PlayerValues!E:E,0)),"N/A")</f>
        <v>17056</v>
      </c>
      <c r="B4764" s="4" t="s">
        <v>581</v>
      </c>
      <c r="C4764" s="4" t="s">
        <v>278</v>
      </c>
      <c r="D4764" s="94">
        <v>2118.0</v>
      </c>
    </row>
    <row r="4765">
      <c r="A4765" s="40">
        <f t="array" ref="A4765">IFNA(index(PlayerValues!A:A,match(IFNA(vlookup(B4765,'Special Names'!A:B,2,FALSE),B4765),PlayerValues!E:E,0)),"N/A")</f>
        <v>15293</v>
      </c>
      <c r="B4765" s="4" t="s">
        <v>578</v>
      </c>
      <c r="C4765" s="4" t="s">
        <v>287</v>
      </c>
      <c r="D4765" s="94">
        <v>2111.0</v>
      </c>
    </row>
    <row r="4766">
      <c r="A4766" s="40">
        <f t="array" ref="A4766">IFNA(index(PlayerValues!A:A,match(IFNA(vlookup(B4766,'Special Names'!A:B,2,FALSE),B4766),PlayerValues!E:E,0)),"N/A")</f>
        <v>17060</v>
      </c>
      <c r="B4766" s="4" t="s">
        <v>603</v>
      </c>
      <c r="C4766" s="4" t="s">
        <v>278</v>
      </c>
      <c r="D4766" s="94">
        <v>2111.0</v>
      </c>
    </row>
    <row r="4767">
      <c r="A4767" s="40">
        <f t="array" ref="A4767">IFNA(index(PlayerValues!A:A,match(IFNA(vlookup(B4767,'Special Names'!A:B,2,FALSE),B4767),PlayerValues!E:E,0)),"N/A")</f>
        <v>14974</v>
      </c>
      <c r="B4767" s="4" t="s">
        <v>611</v>
      </c>
      <c r="C4767" s="4" t="s">
        <v>287</v>
      </c>
      <c r="D4767" s="94">
        <v>2104.0</v>
      </c>
    </row>
    <row r="4768">
      <c r="A4768" s="40">
        <f t="array" ref="A4768">IFNA(index(PlayerValues!A:A,match(IFNA(vlookup(B4768,'Special Names'!A:B,2,FALSE),B4768),PlayerValues!E:E,0)),"N/A")</f>
        <v>13633</v>
      </c>
      <c r="B4768" s="4" t="s">
        <v>625</v>
      </c>
      <c r="C4768" s="4" t="s">
        <v>287</v>
      </c>
      <c r="D4768" s="94">
        <v>2098.0</v>
      </c>
    </row>
    <row r="4769">
      <c r="A4769" s="40">
        <f t="array" ref="A4769">IFNA(index(PlayerValues!A:A,match(IFNA(vlookup(B4769,'Special Names'!A:B,2,FALSE),B4769),PlayerValues!E:E,0)),"N/A")</f>
        <v>17036</v>
      </c>
      <c r="B4769" s="4" t="s">
        <v>617</v>
      </c>
      <c r="C4769" s="4" t="s">
        <v>283</v>
      </c>
      <c r="D4769" s="94">
        <v>2092.0</v>
      </c>
    </row>
    <row r="4770">
      <c r="A4770" s="40">
        <f t="array" ref="A4770">IFNA(index(PlayerValues!A:A,match(IFNA(vlookup(B4770,'Special Names'!A:B,2,FALSE),B4770),PlayerValues!E:E,0)),"N/A")</f>
        <v>13319</v>
      </c>
      <c r="B4770" s="4" t="s">
        <v>549</v>
      </c>
      <c r="C4770" s="4" t="s">
        <v>278</v>
      </c>
      <c r="D4770" s="94">
        <v>2087.0</v>
      </c>
    </row>
    <row r="4771">
      <c r="A4771" s="40">
        <f t="array" ref="A4771">IFNA(index(PlayerValues!A:A,match(IFNA(vlookup(B4771,'Special Names'!A:B,2,FALSE),B4771),PlayerValues!E:E,0)),"N/A")</f>
        <v>17464</v>
      </c>
      <c r="B4771" s="4" t="s">
        <v>828</v>
      </c>
      <c r="C4771" s="4" t="s">
        <v>283</v>
      </c>
      <c r="D4771" s="94">
        <v>2053.0</v>
      </c>
    </row>
    <row r="4772">
      <c r="A4772" s="40">
        <f t="array" ref="A4772">IFNA(index(PlayerValues!A:A,match(IFNA(vlookup(B4772,'Special Names'!A:B,2,FALSE),B4772),PlayerValues!E:E,0)),"N/A")</f>
        <v>14867</v>
      </c>
      <c r="B4772" s="4" t="s">
        <v>591</v>
      </c>
      <c r="C4772" s="4" t="s">
        <v>298</v>
      </c>
      <c r="D4772" s="94">
        <v>2441.0</v>
      </c>
    </row>
    <row r="4773">
      <c r="A4773" s="40">
        <f t="array" ref="A4773">IFNA(index(PlayerValues!A:A,match(IFNA(vlookup(B4773,'Special Names'!A:B,2,FALSE),B4773),PlayerValues!E:E,0)),"N/A")</f>
        <v>17465</v>
      </c>
      <c r="B4773" s="4" t="s">
        <v>649</v>
      </c>
      <c r="C4773" s="4" t="s">
        <v>283</v>
      </c>
      <c r="D4773" s="94">
        <v>2046.0</v>
      </c>
    </row>
    <row r="4774">
      <c r="A4774" s="40">
        <f t="array" ref="A4774">IFNA(index(PlayerValues!A:A,match(IFNA(vlookup(B4774,'Special Names'!A:B,2,FALSE),B4774),PlayerValues!E:E,0)),"N/A")</f>
        <v>17069</v>
      </c>
      <c r="B4774" s="4" t="s">
        <v>604</v>
      </c>
      <c r="C4774" s="4" t="s">
        <v>278</v>
      </c>
      <c r="D4774" s="94">
        <v>2021.0</v>
      </c>
    </row>
    <row r="4775">
      <c r="A4775" s="40">
        <f t="array" ref="A4775">IFNA(index(PlayerValues!A:A,match(IFNA(vlookup(B4775,'Special Names'!A:B,2,FALSE),B4775),PlayerValues!E:E,0)),"N/A")</f>
        <v>16171</v>
      </c>
      <c r="B4775" s="4" t="s">
        <v>618</v>
      </c>
      <c r="C4775" s="4" t="s">
        <v>278</v>
      </c>
      <c r="D4775" s="94">
        <v>1991.0</v>
      </c>
    </row>
    <row r="4776">
      <c r="A4776" s="40">
        <f t="array" ref="A4776">IFNA(index(PlayerValues!A:A,match(IFNA(vlookup(B4776,'Special Names'!A:B,2,FALSE),B4776),PlayerValues!E:E,0)),"N/A")</f>
        <v>16603</v>
      </c>
      <c r="B4776" s="4" t="s">
        <v>587</v>
      </c>
      <c r="C4776" s="4" t="s">
        <v>278</v>
      </c>
      <c r="D4776" s="94">
        <v>1974.0</v>
      </c>
    </row>
    <row r="4777">
      <c r="A4777" s="40" t="str">
        <f t="array" ref="A4777">IFNA(index(PlayerValues!A:A,match(IFNA(vlookup(B4777,'Special Names'!A:B,2,FALSE),B4777),PlayerValues!E:E,0)),"N/A")</f>
        <v>N/A</v>
      </c>
      <c r="B4777" s="4" t="s">
        <v>114</v>
      </c>
      <c r="C4777" s="4" t="s">
        <v>325</v>
      </c>
      <c r="D4777" s="94">
        <v>1964.0</v>
      </c>
    </row>
    <row r="4778">
      <c r="A4778" s="40">
        <f t="array" ref="A4778">IFNA(index(PlayerValues!A:A,match(IFNA(vlookup(B4778,'Special Names'!A:B,2,FALSE),B4778),PlayerValues!E:E,0)),"N/A")</f>
        <v>17506</v>
      </c>
      <c r="B4778" s="4" t="s">
        <v>471</v>
      </c>
      <c r="C4778" s="4" t="s">
        <v>287</v>
      </c>
      <c r="D4778" s="94">
        <v>1961.0</v>
      </c>
    </row>
    <row r="4779">
      <c r="A4779" s="40">
        <f t="array" ref="A4779">IFNA(index(PlayerValues!A:A,match(IFNA(vlookup(B4779,'Special Names'!A:B,2,FALSE),B4779),PlayerValues!E:E,0)),"N/A")</f>
        <v>17034</v>
      </c>
      <c r="B4779" s="4" t="s">
        <v>643</v>
      </c>
      <c r="C4779" s="4" t="s">
        <v>283</v>
      </c>
      <c r="D4779" s="94">
        <v>1934.0</v>
      </c>
    </row>
    <row r="4780">
      <c r="A4780" s="40">
        <f t="array" ref="A4780">IFNA(index(PlayerValues!A:A,match(IFNA(vlookup(B4780,'Special Names'!A:B,2,FALSE),B4780),PlayerValues!E:E,0)),"N/A")</f>
        <v>17055</v>
      </c>
      <c r="B4780" s="4" t="s">
        <v>565</v>
      </c>
      <c r="C4780" s="4" t="s">
        <v>278</v>
      </c>
      <c r="D4780" s="94">
        <v>1929.0</v>
      </c>
    </row>
    <row r="4781">
      <c r="A4781" s="40">
        <f t="array" ref="A4781">IFNA(index(PlayerValues!A:A,match(IFNA(vlookup(B4781,'Special Names'!A:B,2,FALSE),B4781),PlayerValues!E:E,0)),"N/A")</f>
        <v>16216</v>
      </c>
      <c r="B4781" s="4" t="s">
        <v>595</v>
      </c>
      <c r="C4781" s="4" t="s">
        <v>298</v>
      </c>
      <c r="D4781" s="94">
        <v>2310.0</v>
      </c>
    </row>
    <row r="4782">
      <c r="A4782" s="40">
        <f t="array" ref="A4782">IFNA(index(PlayerValues!A:A,match(IFNA(vlookup(B4782,'Special Names'!A:B,2,FALSE),B4782),PlayerValues!E:E,0)),"N/A")</f>
        <v>14105</v>
      </c>
      <c r="B4782" s="4" t="s">
        <v>675</v>
      </c>
      <c r="C4782" s="4" t="s">
        <v>287</v>
      </c>
      <c r="D4782" s="94">
        <v>1920.0</v>
      </c>
    </row>
    <row r="4783">
      <c r="A4783" s="40">
        <f t="array" ref="A4783">IFNA(index(PlayerValues!A:A,match(IFNA(vlookup(B4783,'Special Names'!A:B,2,FALSE),B4783),PlayerValues!E:E,0)),"N/A")</f>
        <v>16752</v>
      </c>
      <c r="B4783" s="4" t="s">
        <v>597</v>
      </c>
      <c r="C4783" s="4" t="s">
        <v>278</v>
      </c>
      <c r="D4783" s="94">
        <v>1919.0</v>
      </c>
    </row>
    <row r="4784">
      <c r="A4784" s="40">
        <f t="array" ref="A4784">IFNA(index(PlayerValues!A:A,match(IFNA(vlookup(B4784,'Special Names'!A:B,2,FALSE),B4784),PlayerValues!E:E,0)),"N/A")</f>
        <v>16778</v>
      </c>
      <c r="B4784" s="4" t="s">
        <v>577</v>
      </c>
      <c r="C4784" s="4" t="s">
        <v>287</v>
      </c>
      <c r="D4784" s="94">
        <v>1912.0</v>
      </c>
    </row>
    <row r="4785">
      <c r="A4785" s="40">
        <f t="array" ref="A4785">IFNA(index(PlayerValues!A:A,match(IFNA(vlookup(B4785,'Special Names'!A:B,2,FALSE),B4785),PlayerValues!E:E,0)),"N/A")</f>
        <v>16215</v>
      </c>
      <c r="B4785" s="4" t="s">
        <v>637</v>
      </c>
      <c r="C4785" s="4" t="s">
        <v>298</v>
      </c>
      <c r="D4785" s="94">
        <v>2280.0</v>
      </c>
    </row>
    <row r="4786">
      <c r="A4786" s="40">
        <f t="array" ref="A4786">IFNA(index(PlayerValues!A:A,match(IFNA(vlookup(B4786,'Special Names'!A:B,2,FALSE),B4786),PlayerValues!E:E,0)),"N/A")</f>
        <v>17511</v>
      </c>
      <c r="B4786" s="4" t="s">
        <v>485</v>
      </c>
      <c r="C4786" s="4" t="s">
        <v>287</v>
      </c>
      <c r="D4786" s="94">
        <v>1890.0</v>
      </c>
    </row>
    <row r="4787">
      <c r="A4787" s="40">
        <f t="array" ref="A4787">IFNA(index(PlayerValues!A:A,match(IFNA(vlookup(B4787,'Special Names'!A:B,2,FALSE),B4787),PlayerValues!E:E,0)),"N/A")</f>
        <v>17184</v>
      </c>
      <c r="B4787" s="4" t="s">
        <v>588</v>
      </c>
      <c r="C4787" s="4" t="s">
        <v>287</v>
      </c>
      <c r="D4787" s="94">
        <v>1886.0</v>
      </c>
    </row>
    <row r="4788">
      <c r="A4788" s="40">
        <f t="array" ref="A4788">IFNA(index(PlayerValues!A:A,match(IFNA(vlookup(B4788,'Special Names'!A:B,2,FALSE),B4788),PlayerValues!E:E,0)),"N/A")</f>
        <v>15787</v>
      </c>
      <c r="B4788" s="4" t="s">
        <v>610</v>
      </c>
      <c r="C4788" s="4" t="s">
        <v>287</v>
      </c>
      <c r="D4788" s="94">
        <v>1881.0</v>
      </c>
    </row>
    <row r="4789">
      <c r="A4789" s="40">
        <f t="array" ref="A4789">IFNA(index(PlayerValues!A:A,match(IFNA(vlookup(B4789,'Special Names'!A:B,2,FALSE),B4789),PlayerValues!E:E,0)),"N/A")</f>
        <v>16644</v>
      </c>
      <c r="B4789" s="4" t="s">
        <v>640</v>
      </c>
      <c r="C4789" s="4" t="s">
        <v>298</v>
      </c>
      <c r="D4789" s="94">
        <v>2258.0</v>
      </c>
    </row>
    <row r="4790">
      <c r="A4790" s="40">
        <f t="array" ref="A4790">IFNA(index(PlayerValues!A:A,match(IFNA(vlookup(B4790,'Special Names'!A:B,2,FALSE),B4790),PlayerValues!E:E,0)),"N/A")</f>
        <v>17086</v>
      </c>
      <c r="B4790" s="4" t="s">
        <v>612</v>
      </c>
      <c r="C4790" s="4" t="s">
        <v>287</v>
      </c>
      <c r="D4790" s="94">
        <v>1858.0</v>
      </c>
    </row>
    <row r="4791">
      <c r="A4791" s="40">
        <f t="array" ref="A4791">IFNA(index(PlayerValues!A:A,match(IFNA(vlookup(B4791,'Special Names'!A:B,2,FALSE),B4791),PlayerValues!E:E,0)),"N/A")</f>
        <v>15254</v>
      </c>
      <c r="B4791" s="4" t="s">
        <v>633</v>
      </c>
      <c r="C4791" s="4" t="s">
        <v>278</v>
      </c>
      <c r="D4791" s="94">
        <v>1851.0</v>
      </c>
    </row>
    <row r="4792">
      <c r="A4792" s="40">
        <f t="array" ref="A4792">IFNA(index(PlayerValues!A:A,match(IFNA(vlookup(B4792,'Special Names'!A:B,2,FALSE),B4792),PlayerValues!E:E,0)),"N/A")</f>
        <v>13629</v>
      </c>
      <c r="B4792" s="4" t="s">
        <v>619</v>
      </c>
      <c r="C4792" s="4" t="s">
        <v>287</v>
      </c>
      <c r="D4792" s="94">
        <v>1848.0</v>
      </c>
    </row>
    <row r="4793">
      <c r="A4793" s="40">
        <f t="array" ref="A4793">IFNA(index(PlayerValues!A:A,match(IFNA(vlookup(B4793,'Special Names'!A:B,2,FALSE),B4793),PlayerValues!E:E,0)),"N/A")</f>
        <v>17478</v>
      </c>
      <c r="B4793" s="4" t="s">
        <v>527</v>
      </c>
      <c r="C4793" s="4" t="s">
        <v>278</v>
      </c>
      <c r="D4793" s="94">
        <v>1848.0</v>
      </c>
    </row>
    <row r="4794">
      <c r="A4794" s="40">
        <f t="array" ref="A4794">IFNA(index(PlayerValues!A:A,match(IFNA(vlookup(B4794,'Special Names'!A:B,2,FALSE),B4794),PlayerValues!E:E,0)),"N/A")</f>
        <v>13164</v>
      </c>
      <c r="B4794" s="4" t="s">
        <v>632</v>
      </c>
      <c r="C4794" s="4" t="s">
        <v>287</v>
      </c>
      <c r="D4794" s="94">
        <v>1847.0</v>
      </c>
    </row>
    <row r="4795">
      <c r="A4795" s="40">
        <f t="array" ref="A4795">IFNA(index(PlayerValues!A:A,match(IFNA(vlookup(B4795,'Special Names'!A:B,2,FALSE),B4795),PlayerValues!E:E,0)),"N/A")</f>
        <v>16201</v>
      </c>
      <c r="B4795" s="4" t="s">
        <v>589</v>
      </c>
      <c r="C4795" s="4" t="s">
        <v>287</v>
      </c>
      <c r="D4795" s="94">
        <v>1846.0</v>
      </c>
    </row>
    <row r="4796">
      <c r="A4796" s="40">
        <f t="array" ref="A4796">IFNA(index(PlayerValues!A:A,match(IFNA(vlookup(B4796,'Special Names'!A:B,2,FALSE),B4796),PlayerValues!E:E,0)),"N/A")</f>
        <v>15755</v>
      </c>
      <c r="B4796" s="4" t="s">
        <v>628</v>
      </c>
      <c r="C4796" s="4" t="s">
        <v>287</v>
      </c>
      <c r="D4796" s="94">
        <v>1839.0</v>
      </c>
    </row>
    <row r="4797">
      <c r="A4797" s="40">
        <f t="array" ref="A4797">IFNA(index(PlayerValues!A:A,match(IFNA(vlookup(B4797,'Special Names'!A:B,2,FALSE),B4797),PlayerValues!E:E,0)),"N/A")</f>
        <v>16585</v>
      </c>
      <c r="B4797" s="4" t="s">
        <v>623</v>
      </c>
      <c r="C4797" s="4" t="s">
        <v>283</v>
      </c>
      <c r="D4797" s="94">
        <v>1838.0</v>
      </c>
    </row>
    <row r="4798">
      <c r="A4798" s="40" t="str">
        <f t="array" ref="A4798">IFNA(index(PlayerValues!A:A,match(IFNA(vlookup(B4798,'Special Names'!A:B,2,FALSE),B4798),PlayerValues!E:E,0)),"N/A")</f>
        <v>N/A</v>
      </c>
      <c r="B4798" s="4" t="s">
        <v>101</v>
      </c>
      <c r="C4798" s="4" t="s">
        <v>325</v>
      </c>
      <c r="D4798" s="94">
        <v>1837.0</v>
      </c>
    </row>
    <row r="4799">
      <c r="A4799" s="40">
        <f t="array" ref="A4799">IFNA(index(PlayerValues!A:A,match(IFNA(vlookup(B4799,'Special Names'!A:B,2,FALSE),B4799),PlayerValues!E:E,0)),"N/A")</f>
        <v>7836</v>
      </c>
      <c r="B4799" s="4" t="s">
        <v>590</v>
      </c>
      <c r="C4799" s="4" t="s">
        <v>283</v>
      </c>
      <c r="D4799" s="94">
        <v>1829.0</v>
      </c>
    </row>
    <row r="4800">
      <c r="A4800" s="40">
        <f t="array" ref="A4800">IFNA(index(PlayerValues!A:A,match(IFNA(vlookup(B4800,'Special Names'!A:B,2,FALSE),B4800),PlayerValues!E:E,0)),"N/A")</f>
        <v>13189</v>
      </c>
      <c r="B4800" s="4" t="s">
        <v>626</v>
      </c>
      <c r="C4800" s="4" t="s">
        <v>298</v>
      </c>
      <c r="D4800" s="94">
        <v>2211.0</v>
      </c>
    </row>
    <row r="4801">
      <c r="A4801" s="40" t="str">
        <f t="array" ref="A4801">IFNA(index(PlayerValues!A:A,match(IFNA(vlookup(B4801,'Special Names'!A:B,2,FALSE),B4801),PlayerValues!E:E,0)),"N/A")</f>
        <v>N/A</v>
      </c>
      <c r="B4801" s="4" t="s">
        <v>89</v>
      </c>
      <c r="C4801" s="4" t="s">
        <v>325</v>
      </c>
      <c r="D4801" s="94">
        <v>1828.0</v>
      </c>
    </row>
    <row r="4802">
      <c r="A4802" s="40">
        <f t="array" ref="A4802">IFNA(index(PlayerValues!A:A,match(IFNA(vlookup(B4802,'Special Names'!A:B,2,FALSE),B4802),PlayerValues!E:E,0)),"N/A")</f>
        <v>16586</v>
      </c>
      <c r="B4802" s="4" t="s">
        <v>658</v>
      </c>
      <c r="C4802" s="4" t="s">
        <v>283</v>
      </c>
      <c r="D4802" s="94">
        <v>1811.0</v>
      </c>
    </row>
    <row r="4803">
      <c r="A4803" s="40">
        <f t="array" ref="A4803">IFNA(index(PlayerValues!A:A,match(IFNA(vlookup(B4803,'Special Names'!A:B,2,FALSE),B4803),PlayerValues!E:E,0)),"N/A")</f>
        <v>16604</v>
      </c>
      <c r="B4803" s="4" t="s">
        <v>476</v>
      </c>
      <c r="C4803" s="4" t="s">
        <v>278</v>
      </c>
      <c r="D4803" s="94">
        <v>1811.0</v>
      </c>
    </row>
    <row r="4804">
      <c r="A4804" s="40">
        <f t="array" ref="A4804">IFNA(index(PlayerValues!A:A,match(IFNA(vlookup(B4804,'Special Names'!A:B,2,FALSE),B4804),PlayerValues!E:E,0)),"N/A")</f>
        <v>16635</v>
      </c>
      <c r="B4804" s="4" t="s">
        <v>645</v>
      </c>
      <c r="C4804" s="4" t="s">
        <v>287</v>
      </c>
      <c r="D4804" s="94">
        <v>1799.0</v>
      </c>
    </row>
    <row r="4805">
      <c r="A4805" s="40">
        <f t="array" ref="A4805">IFNA(index(PlayerValues!A:A,match(IFNA(vlookup(B4805,'Special Names'!A:B,2,FALSE),B4805),PlayerValues!E:E,0)),"N/A")</f>
        <v>17035</v>
      </c>
      <c r="B4805" s="4" t="s">
        <v>650</v>
      </c>
      <c r="C4805" s="4" t="s">
        <v>283</v>
      </c>
      <c r="D4805" s="94">
        <v>1794.0</v>
      </c>
    </row>
    <row r="4806">
      <c r="A4806" s="40" t="str">
        <f t="array" ref="A4806">IFNA(index(PlayerValues!A:A,match(IFNA(vlookup(B4806,'Special Names'!A:B,2,FALSE),B4806),PlayerValues!E:E,0)),"N/A")</f>
        <v>N/A</v>
      </c>
      <c r="B4806" s="4" t="s">
        <v>102</v>
      </c>
      <c r="C4806" s="4" t="s">
        <v>325</v>
      </c>
      <c r="D4806" s="94">
        <v>1789.0</v>
      </c>
    </row>
    <row r="4807">
      <c r="A4807" s="40">
        <f t="array" ref="A4807">IFNA(index(PlayerValues!A:A,match(IFNA(vlookup(B4807,'Special Names'!A:B,2,FALSE),B4807),PlayerValues!E:E,0)),"N/A")</f>
        <v>15759</v>
      </c>
      <c r="B4807" s="4" t="s">
        <v>662</v>
      </c>
      <c r="C4807" s="4" t="s">
        <v>287</v>
      </c>
      <c r="D4807" s="94">
        <v>1780.0</v>
      </c>
    </row>
    <row r="4808">
      <c r="A4808" s="40">
        <f t="array" ref="A4808">IFNA(index(PlayerValues!A:A,match(IFNA(vlookup(B4808,'Special Names'!A:B,2,FALSE),B4808),PlayerValues!E:E,0)),"N/A")</f>
        <v>10700</v>
      </c>
      <c r="B4808" s="4" t="s">
        <v>596</v>
      </c>
      <c r="C4808" s="4" t="s">
        <v>283</v>
      </c>
      <c r="D4808" s="94">
        <v>1752.0</v>
      </c>
    </row>
    <row r="4809">
      <c r="A4809" s="40">
        <f t="array" ref="A4809">IFNA(index(PlayerValues!A:A,match(IFNA(vlookup(B4809,'Special Names'!A:B,2,FALSE),B4809),PlayerValues!E:E,0)),"N/A")</f>
        <v>11222</v>
      </c>
      <c r="B4809" s="4" t="s">
        <v>622</v>
      </c>
      <c r="C4809" s="4" t="s">
        <v>287</v>
      </c>
      <c r="D4809" s="94">
        <v>1749.0</v>
      </c>
    </row>
    <row r="4810">
      <c r="A4810" s="40">
        <f t="array" ref="A4810">IFNA(index(PlayerValues!A:A,match(IFNA(vlookup(B4810,'Special Names'!A:B,2,FALSE),B4810),PlayerValues!E:E,0)),"N/A")</f>
        <v>17517</v>
      </c>
      <c r="B4810" s="4" t="s">
        <v>454</v>
      </c>
      <c r="C4810" s="4" t="s">
        <v>287</v>
      </c>
      <c r="D4810" s="94">
        <v>1748.0</v>
      </c>
    </row>
    <row r="4811">
      <c r="A4811" s="40">
        <f t="array" ref="A4811">IFNA(index(PlayerValues!A:A,match(IFNA(vlookup(B4811,'Special Names'!A:B,2,FALSE),B4811),PlayerValues!E:E,0)),"N/A")</f>
        <v>14143</v>
      </c>
      <c r="B4811" s="4" t="s">
        <v>635</v>
      </c>
      <c r="C4811" s="4" t="s">
        <v>298</v>
      </c>
      <c r="D4811" s="94">
        <v>2125.0</v>
      </c>
    </row>
    <row r="4812">
      <c r="A4812" s="40">
        <f t="array" ref="A4812">IFNA(index(PlayerValues!A:A,match(IFNA(vlookup(B4812,'Special Names'!A:B,2,FALSE),B4812),PlayerValues!E:E,0)),"N/A")</f>
        <v>16788</v>
      </c>
      <c r="B4812" s="4" t="s">
        <v>621</v>
      </c>
      <c r="C4812" s="4" t="s">
        <v>287</v>
      </c>
      <c r="D4812" s="94">
        <v>1742.0</v>
      </c>
    </row>
    <row r="4813">
      <c r="A4813" s="40">
        <f t="array" ref="A4813">IFNA(index(PlayerValues!A:A,match(IFNA(vlookup(B4813,'Special Names'!A:B,2,FALSE),B4813),PlayerValues!E:E,0)),"N/A")</f>
        <v>16629</v>
      </c>
      <c r="B4813" s="4" t="s">
        <v>605</v>
      </c>
      <c r="C4813" s="4" t="s">
        <v>287</v>
      </c>
      <c r="D4813" s="94">
        <v>1735.0</v>
      </c>
    </row>
    <row r="4814">
      <c r="A4814" s="40">
        <f t="array" ref="A4814">IFNA(index(PlayerValues!A:A,match(IFNA(vlookup(B4814,'Special Names'!A:B,2,FALSE),B4814),PlayerValues!E:E,0)),"N/A")</f>
        <v>17058</v>
      </c>
      <c r="B4814" s="4" t="s">
        <v>641</v>
      </c>
      <c r="C4814" s="4" t="s">
        <v>278</v>
      </c>
      <c r="D4814" s="94">
        <v>1734.0</v>
      </c>
    </row>
    <row r="4815">
      <c r="A4815" s="40">
        <f t="array" ref="A4815">IFNA(index(PlayerValues!A:A,match(IFNA(vlookup(B4815,'Special Names'!A:B,2,FALSE),B4815),PlayerValues!E:E,0)),"N/A")</f>
        <v>16688</v>
      </c>
      <c r="B4815" s="4" t="s">
        <v>688</v>
      </c>
      <c r="C4815" s="4" t="s">
        <v>278</v>
      </c>
      <c r="D4815" s="94">
        <v>1731.0</v>
      </c>
    </row>
    <row r="4816">
      <c r="A4816" s="40">
        <f t="array" ref="A4816">IFNA(index(PlayerValues!A:A,match(IFNA(vlookup(B4816,'Special Names'!A:B,2,FALSE),B4816),PlayerValues!E:E,0)),"N/A")</f>
        <v>16207</v>
      </c>
      <c r="B4816" s="4" t="s">
        <v>636</v>
      </c>
      <c r="C4816" s="4" t="s">
        <v>287</v>
      </c>
      <c r="D4816" s="94">
        <v>1728.0</v>
      </c>
    </row>
    <row r="4817">
      <c r="A4817" s="40">
        <f t="array" ref="A4817">IFNA(index(PlayerValues!A:A,match(IFNA(vlookup(B4817,'Special Names'!A:B,2,FALSE),B4817),PlayerValues!E:E,0)),"N/A")</f>
        <v>17503</v>
      </c>
      <c r="B4817" s="4" t="s">
        <v>480</v>
      </c>
      <c r="C4817" s="4" t="s">
        <v>287</v>
      </c>
      <c r="D4817" s="94">
        <v>1727.0</v>
      </c>
    </row>
    <row r="4818">
      <c r="A4818" s="40">
        <f t="array" ref="A4818">IFNA(index(PlayerValues!A:A,match(IFNA(vlookup(B4818,'Special Names'!A:B,2,FALSE),B4818),PlayerValues!E:E,0)),"N/A")</f>
        <v>15337</v>
      </c>
      <c r="B4818" s="4" t="s">
        <v>655</v>
      </c>
      <c r="C4818" s="4" t="s">
        <v>298</v>
      </c>
      <c r="D4818" s="94">
        <v>2094.0</v>
      </c>
    </row>
    <row r="4819">
      <c r="A4819" s="40">
        <f t="array" ref="A4819">IFNA(index(PlayerValues!A:A,match(IFNA(vlookup(B4819,'Special Names'!A:B,2,FALSE),B4819),PlayerValues!E:E,0)),"N/A")</f>
        <v>17064</v>
      </c>
      <c r="B4819" s="4" t="s">
        <v>631</v>
      </c>
      <c r="C4819" s="4" t="s">
        <v>278</v>
      </c>
      <c r="D4819" s="94">
        <v>1706.0</v>
      </c>
    </row>
    <row r="4820">
      <c r="A4820" s="40">
        <f t="array" ref="A4820">IFNA(index(PlayerValues!A:A,match(IFNA(vlookup(B4820,'Special Names'!A:B,2,FALSE),B4820),PlayerValues!E:E,0)),"N/A")</f>
        <v>15777</v>
      </c>
      <c r="B4820" s="4" t="s">
        <v>694</v>
      </c>
      <c r="C4820" s="4" t="s">
        <v>287</v>
      </c>
      <c r="D4820" s="94">
        <v>1684.0</v>
      </c>
    </row>
    <row r="4821">
      <c r="A4821" s="40">
        <f t="array" ref="A4821">IFNA(index(PlayerValues!A:A,match(IFNA(vlookup(B4821,'Special Names'!A:B,2,FALSE),B4821),PlayerValues!E:E,0)),"N/A")</f>
        <v>16601</v>
      </c>
      <c r="B4821" s="4" t="s">
        <v>648</v>
      </c>
      <c r="C4821" s="4" t="s">
        <v>278</v>
      </c>
      <c r="D4821" s="94">
        <v>1667.0</v>
      </c>
    </row>
    <row r="4822">
      <c r="A4822" s="40">
        <f t="array" ref="A4822">IFNA(index(PlayerValues!A:A,match(IFNA(vlookup(B4822,'Special Names'!A:B,2,FALSE),B4822),PlayerValues!E:E,0)),"N/A")</f>
        <v>15788</v>
      </c>
      <c r="B4822" s="4" t="s">
        <v>627</v>
      </c>
      <c r="C4822" s="4" t="s">
        <v>287</v>
      </c>
      <c r="D4822" s="94">
        <v>1666.0</v>
      </c>
    </row>
    <row r="4823">
      <c r="A4823" s="40" t="str">
        <f t="array" ref="A4823">IFNA(index(PlayerValues!A:A,match(IFNA(vlookup(B4823,'Special Names'!A:B,2,FALSE),B4823),PlayerValues!E:E,0)),"N/A")</f>
        <v>N/A</v>
      </c>
      <c r="B4823" s="4" t="s">
        <v>103</v>
      </c>
      <c r="C4823" s="4" t="s">
        <v>325</v>
      </c>
      <c r="D4823" s="94">
        <v>1663.0</v>
      </c>
    </row>
    <row r="4824">
      <c r="A4824" s="40" t="str">
        <f t="array" ref="A4824">IFNA(index(PlayerValues!A:A,match(IFNA(vlookup(B4824,'Special Names'!A:B,2,FALSE),B4824),PlayerValues!E:E,0)),"N/A")</f>
        <v>N/A</v>
      </c>
      <c r="B4824" s="4" t="s">
        <v>90</v>
      </c>
      <c r="C4824" s="4" t="s">
        <v>325</v>
      </c>
      <c r="D4824" s="94">
        <v>1649.0</v>
      </c>
    </row>
    <row r="4825">
      <c r="A4825" s="40" t="str">
        <f t="array" ref="A4825">IFNA(index(PlayerValues!A:A,match(IFNA(vlookup(B4825,'Special Names'!A:B,2,FALSE),B4825),PlayerValues!E:E,0)),"N/A")</f>
        <v>N/A</v>
      </c>
      <c r="B4825" s="4" t="s">
        <v>115</v>
      </c>
      <c r="C4825" s="4" t="s">
        <v>325</v>
      </c>
      <c r="D4825" s="94">
        <v>1641.0</v>
      </c>
    </row>
    <row r="4826">
      <c r="A4826" s="40">
        <f t="array" ref="A4826">IFNA(index(PlayerValues!A:A,match(IFNA(vlookup(B4826,'Special Names'!A:B,2,FALSE),B4826),PlayerValues!E:E,0)),"N/A")</f>
        <v>17205</v>
      </c>
      <c r="B4826" s="4" t="s">
        <v>665</v>
      </c>
      <c r="C4826" s="4" t="s">
        <v>287</v>
      </c>
      <c r="D4826" s="94">
        <v>1640.0</v>
      </c>
    </row>
    <row r="4827">
      <c r="A4827" s="40">
        <f t="array" ref="A4827">IFNA(index(PlayerValues!A:A,match(IFNA(vlookup(B4827,'Special Names'!A:B,2,FALSE),B4827),PlayerValues!E:E,0)),"N/A")</f>
        <v>17234</v>
      </c>
      <c r="B4827" s="4" t="s">
        <v>653</v>
      </c>
      <c r="C4827" s="4" t="s">
        <v>287</v>
      </c>
      <c r="D4827" s="94">
        <v>1640.0</v>
      </c>
    </row>
    <row r="4828">
      <c r="A4828" s="40">
        <f t="array" ref="A4828">IFNA(index(PlayerValues!A:A,match(IFNA(vlookup(B4828,'Special Names'!A:B,2,FALSE),B4828),PlayerValues!E:E,0)),"N/A")</f>
        <v>16595</v>
      </c>
      <c r="B4828" s="4" t="s">
        <v>664</v>
      </c>
      <c r="C4828" s="4" t="s">
        <v>278</v>
      </c>
      <c r="D4828" s="94">
        <v>1625.0</v>
      </c>
    </row>
    <row r="4829">
      <c r="A4829" s="40">
        <f t="array" ref="A4829">IFNA(index(PlayerValues!A:A,match(IFNA(vlookup(B4829,'Special Names'!A:B,2,FALSE),B4829),PlayerValues!E:E,0)),"N/A")</f>
        <v>17037</v>
      </c>
      <c r="B4829" s="4" t="s">
        <v>727</v>
      </c>
      <c r="C4829" s="4" t="s">
        <v>283</v>
      </c>
      <c r="D4829" s="94">
        <v>1622.0</v>
      </c>
    </row>
    <row r="4830">
      <c r="A4830" s="40">
        <f t="array" ref="A4830">IFNA(index(PlayerValues!A:A,match(IFNA(vlookup(B4830,'Special Names'!A:B,2,FALSE),B4830),PlayerValues!E:E,0)),"N/A")</f>
        <v>17096</v>
      </c>
      <c r="B4830" s="4" t="s">
        <v>638</v>
      </c>
      <c r="C4830" s="4" t="s">
        <v>287</v>
      </c>
      <c r="D4830" s="94">
        <v>1617.0</v>
      </c>
    </row>
    <row r="4831">
      <c r="A4831" s="40">
        <f t="array" ref="A4831">IFNA(index(PlayerValues!A:A,match(IFNA(vlookup(B4831,'Special Names'!A:B,2,FALSE),B4831),PlayerValues!E:E,0)),"N/A")</f>
        <v>15713</v>
      </c>
      <c r="B4831" s="4" t="s">
        <v>732</v>
      </c>
      <c r="C4831" s="4" t="s">
        <v>278</v>
      </c>
      <c r="D4831" s="94">
        <v>1615.0</v>
      </c>
    </row>
    <row r="4832">
      <c r="A4832" s="40">
        <f t="array" ref="A4832">IFNA(index(PlayerValues!A:A,match(IFNA(vlookup(B4832,'Special Names'!A:B,2,FALSE),B4832),PlayerValues!E:E,0)),"N/A")</f>
        <v>15301</v>
      </c>
      <c r="B4832" s="4" t="s">
        <v>657</v>
      </c>
      <c r="C4832" s="4" t="s">
        <v>287</v>
      </c>
      <c r="D4832" s="94">
        <v>1612.0</v>
      </c>
    </row>
    <row r="4833">
      <c r="A4833" s="40">
        <f t="array" ref="A4833">IFNA(index(PlayerValues!A:A,match(IFNA(vlookup(B4833,'Special Names'!A:B,2,FALSE),B4833),PlayerValues!E:E,0)),"N/A")</f>
        <v>16633</v>
      </c>
      <c r="B4833" s="4" t="s">
        <v>656</v>
      </c>
      <c r="C4833" s="4" t="s">
        <v>287</v>
      </c>
      <c r="D4833" s="94">
        <v>1606.0</v>
      </c>
    </row>
    <row r="4834">
      <c r="A4834" s="40">
        <f t="array" ref="A4834">IFNA(index(PlayerValues!A:A,match(IFNA(vlookup(B4834,'Special Names'!A:B,2,FALSE),B4834),PlayerValues!E:E,0)),"N/A")</f>
        <v>16631</v>
      </c>
      <c r="B4834" s="4" t="s">
        <v>800</v>
      </c>
      <c r="C4834" s="4" t="s">
        <v>287</v>
      </c>
      <c r="D4834" s="94">
        <v>1603.0</v>
      </c>
    </row>
    <row r="4835">
      <c r="A4835" s="40">
        <f t="array" ref="A4835">IFNA(index(PlayerValues!A:A,match(IFNA(vlookup(B4835,'Special Names'!A:B,2,FALSE),B4835),PlayerValues!E:E,0)),"N/A")</f>
        <v>15252</v>
      </c>
      <c r="B4835" s="4" t="s">
        <v>715</v>
      </c>
      <c r="C4835" s="4" t="s">
        <v>283</v>
      </c>
      <c r="D4835" s="94">
        <v>1599.0</v>
      </c>
    </row>
    <row r="4836">
      <c r="A4836" s="40">
        <f t="array" ref="A4836">IFNA(index(PlayerValues!A:A,match(IFNA(vlookup(B4836,'Special Names'!A:B,2,FALSE),B4836),PlayerValues!E:E,0)),"N/A")</f>
        <v>14122</v>
      </c>
      <c r="B4836" s="4" t="s">
        <v>663</v>
      </c>
      <c r="C4836" s="4" t="s">
        <v>287</v>
      </c>
      <c r="D4836" s="94">
        <v>1590.0</v>
      </c>
    </row>
    <row r="4837">
      <c r="A4837" s="40">
        <f t="array" ref="A4837">IFNA(index(PlayerValues!A:A,match(IFNA(vlookup(B4837,'Special Names'!A:B,2,FALSE),B4837),PlayerValues!E:E,0)),"N/A")</f>
        <v>15319</v>
      </c>
      <c r="B4837" s="4" t="s">
        <v>644</v>
      </c>
      <c r="C4837" s="4" t="s">
        <v>287</v>
      </c>
      <c r="D4837" s="94">
        <v>1583.0</v>
      </c>
    </row>
    <row r="4838">
      <c r="A4838" s="40">
        <f t="array" ref="A4838">IFNA(index(PlayerValues!A:A,match(IFNA(vlookup(B4838,'Special Names'!A:B,2,FALSE),B4838),PlayerValues!E:E,0)),"N/A")</f>
        <v>15797</v>
      </c>
      <c r="B4838" s="4" t="s">
        <v>556</v>
      </c>
      <c r="C4838" s="4" t="s">
        <v>298</v>
      </c>
      <c r="D4838" s="94">
        <v>1957.0</v>
      </c>
    </row>
    <row r="4839">
      <c r="A4839" s="40">
        <f t="array" ref="A4839">IFNA(index(PlayerValues!A:A,match(IFNA(vlookup(B4839,'Special Names'!A:B,2,FALSE),B4839),PlayerValues!E:E,0)),"N/A")</f>
        <v>15873</v>
      </c>
      <c r="B4839" s="4" t="s">
        <v>681</v>
      </c>
      <c r="C4839" s="4" t="s">
        <v>298</v>
      </c>
      <c r="D4839" s="94">
        <v>1955.0</v>
      </c>
    </row>
    <row r="4840">
      <c r="A4840" s="40">
        <f t="array" ref="A4840">IFNA(index(PlayerValues!A:A,match(IFNA(vlookup(B4840,'Special Names'!A:B,2,FALSE),B4840),PlayerValues!E:E,0)),"N/A")</f>
        <v>15752</v>
      </c>
      <c r="B4840" s="4" t="s">
        <v>647</v>
      </c>
      <c r="C4840" s="4" t="s">
        <v>287</v>
      </c>
      <c r="D4840" s="94">
        <v>1572.0</v>
      </c>
    </row>
    <row r="4841">
      <c r="A4841" s="40">
        <f t="array" ref="A4841">IFNA(index(PlayerValues!A:A,match(IFNA(vlookup(B4841,'Special Names'!A:B,2,FALSE),B4841),PlayerValues!E:E,0)),"N/A")</f>
        <v>12140</v>
      </c>
      <c r="B4841" s="4" t="s">
        <v>702</v>
      </c>
      <c r="C4841" s="4" t="s">
        <v>283</v>
      </c>
      <c r="D4841" s="94">
        <v>1556.0</v>
      </c>
    </row>
    <row r="4842">
      <c r="A4842" s="40">
        <f t="array" ref="A4842">IFNA(index(PlayerValues!A:A,match(IFNA(vlookup(B4842,'Special Names'!A:B,2,FALSE),B4842),PlayerValues!E:E,0)),"N/A")</f>
        <v>13418</v>
      </c>
      <c r="B4842" s="4" t="s">
        <v>706</v>
      </c>
      <c r="C4842" s="4" t="s">
        <v>287</v>
      </c>
      <c r="D4842" s="94">
        <v>1540.0</v>
      </c>
    </row>
    <row r="4843">
      <c r="A4843" s="40">
        <f t="array" ref="A4843">IFNA(index(PlayerValues!A:A,match(IFNA(vlookup(B4843,'Special Names'!A:B,2,FALSE),B4843),PlayerValues!E:E,0)),"N/A")</f>
        <v>12141</v>
      </c>
      <c r="B4843" s="4" t="s">
        <v>744</v>
      </c>
      <c r="C4843" s="4" t="s">
        <v>283</v>
      </c>
      <c r="D4843" s="94">
        <v>1529.0</v>
      </c>
    </row>
    <row r="4844">
      <c r="A4844" s="40" t="str">
        <f t="array" ref="A4844">IFNA(index(PlayerValues!A:A,match(IFNA(vlookup(B4844,'Special Names'!A:B,2,FALSE),B4844),PlayerValues!E:E,0)),"N/A")</f>
        <v>N/A</v>
      </c>
      <c r="B4844" s="4" t="s">
        <v>91</v>
      </c>
      <c r="C4844" s="4" t="s">
        <v>325</v>
      </c>
      <c r="D4844" s="94">
        <v>1527.0</v>
      </c>
    </row>
    <row r="4845">
      <c r="A4845" s="40" t="str">
        <f t="array" ref="A4845">IFNA(index(PlayerValues!A:A,match(IFNA(vlookup(B4845,'Special Names'!A:B,2,FALSE),B4845),PlayerValues!E:E,0)),"N/A")</f>
        <v>N/A</v>
      </c>
      <c r="B4845" s="4" t="s">
        <v>116</v>
      </c>
      <c r="C4845" s="4" t="s">
        <v>325</v>
      </c>
      <c r="D4845" s="94">
        <v>1527.0</v>
      </c>
    </row>
    <row r="4846">
      <c r="A4846" s="40">
        <f t="array" ref="A4846">IFNA(index(PlayerValues!A:A,match(IFNA(vlookup(B4846,'Special Names'!A:B,2,FALSE),B4846),PlayerValues!E:E,0)),"N/A")</f>
        <v>16384</v>
      </c>
      <c r="B4846" s="4" t="s">
        <v>696</v>
      </c>
      <c r="C4846" s="4" t="s">
        <v>283</v>
      </c>
      <c r="D4846" s="94">
        <v>1524.0</v>
      </c>
    </row>
    <row r="4847">
      <c r="A4847" s="40">
        <f t="array" ref="A4847">IFNA(index(PlayerValues!A:A,match(IFNA(vlookup(B4847,'Special Names'!A:B,2,FALSE),B4847),PlayerValues!E:E,0)),"N/A")</f>
        <v>14137</v>
      </c>
      <c r="B4847" s="4" t="s">
        <v>676</v>
      </c>
      <c r="C4847" s="4" t="s">
        <v>298</v>
      </c>
      <c r="D4847" s="94">
        <v>1887.0</v>
      </c>
    </row>
    <row r="4848">
      <c r="A4848" s="40">
        <f t="array" ref="A4848">IFNA(index(PlayerValues!A:A,match(IFNA(vlookup(B4848,'Special Names'!A:B,2,FALSE),B4848),PlayerValues!E:E,0)),"N/A")</f>
        <v>17077</v>
      </c>
      <c r="B4848" s="4" t="s">
        <v>714</v>
      </c>
      <c r="C4848" s="4" t="s">
        <v>287</v>
      </c>
      <c r="D4848" s="94">
        <v>1510.0</v>
      </c>
    </row>
    <row r="4849">
      <c r="A4849" s="40">
        <f t="array" ref="A4849">IFNA(index(PlayerValues!A:A,match(IFNA(vlookup(B4849,'Special Names'!A:B,2,FALSE),B4849),PlayerValues!E:E,0)),"N/A")</f>
        <v>17254</v>
      </c>
      <c r="B4849" s="4" t="s">
        <v>679</v>
      </c>
      <c r="C4849" s="4" t="s">
        <v>287</v>
      </c>
      <c r="D4849" s="94">
        <v>1506.0</v>
      </c>
    </row>
    <row r="4850">
      <c r="A4850" s="40">
        <f t="array" ref="A4850">IFNA(index(PlayerValues!A:A,match(IFNA(vlookup(B4850,'Special Names'!A:B,2,FALSE),B4850),PlayerValues!E:E,0)),"N/A")</f>
        <v>16390</v>
      </c>
      <c r="B4850" s="4" t="s">
        <v>689</v>
      </c>
      <c r="C4850" s="4" t="s">
        <v>278</v>
      </c>
      <c r="D4850" s="94">
        <v>1497.0</v>
      </c>
    </row>
    <row r="4851">
      <c r="A4851" s="40">
        <f t="array" ref="A4851">IFNA(index(PlayerValues!A:A,match(IFNA(vlookup(B4851,'Special Names'!A:B,2,FALSE),B4851),PlayerValues!E:E,0)),"N/A")</f>
        <v>17269</v>
      </c>
      <c r="B4851" s="4" t="s">
        <v>718</v>
      </c>
      <c r="C4851" s="4" t="s">
        <v>287</v>
      </c>
      <c r="D4851" s="94">
        <v>1497.0</v>
      </c>
    </row>
    <row r="4852">
      <c r="A4852" s="40">
        <f t="array" ref="A4852">IFNA(index(PlayerValues!A:A,match(IFNA(vlookup(B4852,'Special Names'!A:B,2,FALSE),B4852),PlayerValues!E:E,0)),"N/A")</f>
        <v>16175</v>
      </c>
      <c r="B4852" s="4" t="s">
        <v>654</v>
      </c>
      <c r="C4852" s="4" t="s">
        <v>278</v>
      </c>
      <c r="D4852" s="94">
        <v>1489.0</v>
      </c>
    </row>
    <row r="4853">
      <c r="A4853" s="40">
        <f t="array" ref="A4853">IFNA(index(PlayerValues!A:A,match(IFNA(vlookup(B4853,'Special Names'!A:B,2,FALSE),B4853),PlayerValues!E:E,0)),"N/A")</f>
        <v>15332</v>
      </c>
      <c r="B4853" s="4" t="s">
        <v>698</v>
      </c>
      <c r="C4853" s="4" t="s">
        <v>298</v>
      </c>
      <c r="D4853" s="94">
        <v>1863.0</v>
      </c>
    </row>
    <row r="4854">
      <c r="A4854" s="40">
        <f t="array" ref="A4854">IFNA(index(PlayerValues!A:A,match(IFNA(vlookup(B4854,'Special Names'!A:B,2,FALSE),B4854),PlayerValues!E:E,0)),"N/A")</f>
        <v>16642</v>
      </c>
      <c r="B4854" s="4" t="s">
        <v>691</v>
      </c>
      <c r="C4854" s="4" t="s">
        <v>298</v>
      </c>
      <c r="D4854" s="94">
        <v>1850.0</v>
      </c>
    </row>
    <row r="4855">
      <c r="A4855" s="40">
        <f t="array" ref="A4855">IFNA(index(PlayerValues!A:A,match(IFNA(vlookup(B4855,'Special Names'!A:B,2,FALSE),B4855),PlayerValues!E:E,0)),"N/A")</f>
        <v>14080</v>
      </c>
      <c r="B4855" s="4" t="s">
        <v>716</v>
      </c>
      <c r="C4855" s="4" t="s">
        <v>278</v>
      </c>
      <c r="D4855" s="94">
        <v>1460.0</v>
      </c>
    </row>
    <row r="4856">
      <c r="A4856" s="40">
        <f t="array" ref="A4856">IFNA(index(PlayerValues!A:A,match(IFNA(vlookup(B4856,'Special Names'!A:B,2,FALSE),B4856),PlayerValues!E:E,0)),"N/A")</f>
        <v>16621</v>
      </c>
      <c r="B4856" s="4" t="s">
        <v>672</v>
      </c>
      <c r="C4856" s="4" t="s">
        <v>287</v>
      </c>
      <c r="D4856" s="94">
        <v>1450.0</v>
      </c>
    </row>
    <row r="4857">
      <c r="A4857" s="40">
        <f t="array" ref="A4857">IFNA(index(PlayerValues!A:A,match(IFNA(vlookup(B4857,'Special Names'!A:B,2,FALSE),B4857),PlayerValues!E:E,0)),"N/A")</f>
        <v>16149</v>
      </c>
      <c r="B4857" s="4" t="s">
        <v>740</v>
      </c>
      <c r="C4857" s="4" t="s">
        <v>283</v>
      </c>
      <c r="D4857" s="94">
        <v>1446.0</v>
      </c>
    </row>
    <row r="4858">
      <c r="A4858" s="40">
        <f t="array" ref="A4858">IFNA(index(PlayerValues!A:A,match(IFNA(vlookup(B4858,'Special Names'!A:B,2,FALSE),B4858),PlayerValues!E:E,0)),"N/A")</f>
        <v>17062</v>
      </c>
      <c r="B4858" s="4" t="s">
        <v>701</v>
      </c>
      <c r="C4858" s="4" t="s">
        <v>278</v>
      </c>
      <c r="D4858" s="94">
        <v>1446.0</v>
      </c>
    </row>
    <row r="4859">
      <c r="A4859" s="40">
        <f t="array" ref="A4859">IFNA(index(PlayerValues!A:A,match(IFNA(vlookup(B4859,'Special Names'!A:B,2,FALSE),B4859),PlayerValues!E:E,0)),"N/A")</f>
        <v>15727</v>
      </c>
      <c r="B4859" s="4" t="s">
        <v>730</v>
      </c>
      <c r="C4859" s="4" t="s">
        <v>278</v>
      </c>
      <c r="D4859" s="94">
        <v>1445.0</v>
      </c>
    </row>
    <row r="4860">
      <c r="A4860" s="40">
        <f t="array" ref="A4860">IFNA(index(PlayerValues!A:A,match(IFNA(vlookup(B4860,'Special Names'!A:B,2,FALSE),B4860),PlayerValues!E:E,0)),"N/A")</f>
        <v>15292</v>
      </c>
      <c r="B4860" s="4" t="s">
        <v>682</v>
      </c>
      <c r="C4860" s="4" t="s">
        <v>287</v>
      </c>
      <c r="D4860" s="94">
        <v>1439.0</v>
      </c>
    </row>
    <row r="4861">
      <c r="A4861" s="40">
        <f t="array" ref="A4861">IFNA(index(PlayerValues!A:A,match(IFNA(vlookup(B4861,'Special Names'!A:B,2,FALSE),B4861),PlayerValues!E:E,0)),"N/A")</f>
        <v>15738</v>
      </c>
      <c r="B4861" s="4" t="s">
        <v>634</v>
      </c>
      <c r="C4861" s="4" t="s">
        <v>278</v>
      </c>
      <c r="D4861" s="94">
        <v>1424.0</v>
      </c>
    </row>
    <row r="4862">
      <c r="A4862" s="40">
        <f t="array" ref="A4862">IFNA(index(PlayerValues!A:A,match(IFNA(vlookup(B4862,'Special Names'!A:B,2,FALSE),B4862),PlayerValues!E:E,0)),"N/A")</f>
        <v>13193</v>
      </c>
      <c r="B4862" s="4" t="s">
        <v>773</v>
      </c>
      <c r="C4862" s="4" t="s">
        <v>298</v>
      </c>
      <c r="D4862" s="94">
        <v>1796.0</v>
      </c>
    </row>
    <row r="4863">
      <c r="A4863" s="40">
        <f t="array" ref="A4863">IFNA(index(PlayerValues!A:A,match(IFNA(vlookup(B4863,'Special Names'!A:B,2,FALSE),B4863),PlayerValues!E:E,0)),"N/A")</f>
        <v>14592</v>
      </c>
      <c r="B4863" s="4" t="s">
        <v>705</v>
      </c>
      <c r="C4863" s="4" t="s">
        <v>287</v>
      </c>
      <c r="D4863" s="94">
        <v>1422.0</v>
      </c>
    </row>
    <row r="4864">
      <c r="A4864" s="40">
        <f t="array" ref="A4864">IFNA(index(PlayerValues!A:A,match(IFNA(vlookup(B4864,'Special Names'!A:B,2,FALSE),B4864),PlayerValues!E:E,0)),"N/A")</f>
        <v>17508</v>
      </c>
      <c r="B4864" s="4" t="s">
        <v>534</v>
      </c>
      <c r="C4864" s="4" t="s">
        <v>287</v>
      </c>
      <c r="D4864" s="94">
        <v>1416.0</v>
      </c>
    </row>
    <row r="4865">
      <c r="A4865" s="40">
        <f t="array" ref="A4865">IFNA(index(PlayerValues!A:A,match(IFNA(vlookup(B4865,'Special Names'!A:B,2,FALSE),B4865),PlayerValues!E:E,0)),"N/A")</f>
        <v>15258</v>
      </c>
      <c r="B4865" s="4" t="s">
        <v>757</v>
      </c>
      <c r="C4865" s="4" t="s">
        <v>278</v>
      </c>
      <c r="D4865" s="94">
        <v>1409.0</v>
      </c>
    </row>
    <row r="4866">
      <c r="A4866" s="40">
        <f t="array" ref="A4866">IFNA(index(PlayerValues!A:A,match(IFNA(vlookup(B4866,'Special Names'!A:B,2,FALSE),B4866),PlayerValues!E:E,0)),"N/A")</f>
        <v>13672</v>
      </c>
      <c r="B4866" s="4" t="s">
        <v>667</v>
      </c>
      <c r="C4866" s="4" t="s">
        <v>298</v>
      </c>
      <c r="D4866" s="94">
        <v>1777.0</v>
      </c>
    </row>
    <row r="4867">
      <c r="A4867" s="40">
        <f t="array" ref="A4867">IFNA(index(PlayerValues!A:A,match(IFNA(vlookup(B4867,'Special Names'!A:B,2,FALSE),B4867),PlayerValues!E:E,0)),"N/A")</f>
        <v>17547</v>
      </c>
      <c r="B4867" s="4" t="s">
        <v>552</v>
      </c>
      <c r="C4867" s="4" t="s">
        <v>298</v>
      </c>
      <c r="D4867" s="94">
        <v>1762.0</v>
      </c>
    </row>
    <row r="4868">
      <c r="A4868" s="40">
        <f t="array" ref="A4868">IFNA(index(PlayerValues!A:A,match(IFNA(vlookup(B4868,'Special Names'!A:B,2,FALSE),B4868),PlayerValues!E:E,0)),"N/A")</f>
        <v>12678</v>
      </c>
      <c r="B4868" s="4" t="s">
        <v>703</v>
      </c>
      <c r="C4868" s="4" t="s">
        <v>298</v>
      </c>
      <c r="D4868" s="94">
        <v>1722.0</v>
      </c>
    </row>
    <row r="4869">
      <c r="A4869" s="40">
        <f t="array" ref="A4869">IFNA(index(PlayerValues!A:A,match(IFNA(vlookup(B4869,'Special Names'!A:B,2,FALSE),B4869),PlayerValues!E:E,0)),"N/A")</f>
        <v>16792</v>
      </c>
      <c r="B4869" s="4" t="s">
        <v>704</v>
      </c>
      <c r="C4869" s="4" t="s">
        <v>287</v>
      </c>
      <c r="D4869" s="94">
        <v>1341.0</v>
      </c>
    </row>
    <row r="4870">
      <c r="A4870" s="40" t="str">
        <f t="array" ref="A4870">IFNA(index(PlayerValues!A:A,match(IFNA(vlookup(B4870,'Special Names'!A:B,2,FALSE),B4870),PlayerValues!E:E,0)),"N/A")</f>
        <v>N/A</v>
      </c>
      <c r="B4870" s="4" t="s">
        <v>117</v>
      </c>
      <c r="C4870" s="4" t="s">
        <v>325</v>
      </c>
      <c r="D4870" s="94">
        <v>1338.0</v>
      </c>
    </row>
    <row r="4871">
      <c r="A4871" s="40">
        <f t="array" ref="A4871">IFNA(index(PlayerValues!A:A,match(IFNA(vlookup(B4871,'Special Names'!A:B,2,FALSE),B4871),PlayerValues!E:E,0)),"N/A")</f>
        <v>17097</v>
      </c>
      <c r="B4871" s="4" t="s">
        <v>659</v>
      </c>
      <c r="C4871" s="4" t="s">
        <v>287</v>
      </c>
      <c r="D4871" s="94">
        <v>1334.0</v>
      </c>
    </row>
    <row r="4872">
      <c r="A4872" s="40">
        <f t="array" ref="A4872">IFNA(index(PlayerValues!A:A,match(IFNA(vlookup(B4872,'Special Names'!A:B,2,FALSE),B4872),PlayerValues!E:E,0)),"N/A")</f>
        <v>15702</v>
      </c>
      <c r="B4872" s="4" t="s">
        <v>723</v>
      </c>
      <c r="C4872" s="4" t="s">
        <v>283</v>
      </c>
      <c r="D4872" s="94">
        <v>1326.0</v>
      </c>
    </row>
    <row r="4873">
      <c r="A4873" s="40">
        <f t="array" ref="A4873">IFNA(index(PlayerValues!A:A,match(IFNA(vlookup(B4873,'Special Names'!A:B,2,FALSE),B4873),PlayerValues!E:E,0)),"N/A")</f>
        <v>14086</v>
      </c>
      <c r="B4873" s="4" t="s">
        <v>639</v>
      </c>
      <c r="C4873" s="4" t="s">
        <v>278</v>
      </c>
      <c r="D4873" s="94">
        <v>1321.0</v>
      </c>
    </row>
    <row r="4874">
      <c r="A4874" s="40">
        <f t="array" ref="A4874">IFNA(index(PlayerValues!A:A,match(IFNA(vlookup(B4874,'Special Names'!A:B,2,FALSE),B4874),PlayerValues!E:E,0)),"N/A")</f>
        <v>13131</v>
      </c>
      <c r="B4874" s="4" t="s">
        <v>815</v>
      </c>
      <c r="C4874" s="4" t="s">
        <v>278</v>
      </c>
      <c r="D4874" s="94">
        <v>1320.0</v>
      </c>
    </row>
    <row r="4875">
      <c r="A4875" s="40">
        <f t="array" ref="A4875">IFNA(index(PlayerValues!A:A,match(IFNA(vlookup(B4875,'Special Names'!A:B,2,FALSE),B4875),PlayerValues!E:E,0)),"N/A")</f>
        <v>17512</v>
      </c>
      <c r="B4875" s="4" t="s">
        <v>483</v>
      </c>
      <c r="C4875" s="4" t="s">
        <v>287</v>
      </c>
      <c r="D4875" s="94">
        <v>1319.0</v>
      </c>
    </row>
    <row r="4876">
      <c r="A4876" s="40">
        <f t="array" ref="A4876">IFNA(index(PlayerValues!A:A,match(IFNA(vlookup(B4876,'Special Names'!A:B,2,FALSE),B4876),PlayerValues!E:E,0)),"N/A")</f>
        <v>16183</v>
      </c>
      <c r="B4876" s="4" t="s">
        <v>678</v>
      </c>
      <c r="C4876" s="4" t="s">
        <v>287</v>
      </c>
      <c r="D4876" s="94">
        <v>1315.0</v>
      </c>
    </row>
    <row r="4877">
      <c r="A4877" s="40">
        <f t="array" ref="A4877">IFNA(index(PlayerValues!A:A,match(IFNA(vlookup(B4877,'Special Names'!A:B,2,FALSE),B4877),PlayerValues!E:E,0)),"N/A")</f>
        <v>16608</v>
      </c>
      <c r="B4877" s="4" t="s">
        <v>629</v>
      </c>
      <c r="C4877" s="4" t="s">
        <v>278</v>
      </c>
      <c r="D4877" s="94">
        <v>1311.0</v>
      </c>
    </row>
    <row r="4878">
      <c r="A4878" s="40">
        <f t="array" ref="A4878">IFNA(index(PlayerValues!A:A,match(IFNA(vlookup(B4878,'Special Names'!A:B,2,FALSE),B4878),PlayerValues!E:E,0)),"N/A")</f>
        <v>15240</v>
      </c>
      <c r="B4878" s="4" t="s">
        <v>751</v>
      </c>
      <c r="C4878" s="4" t="s">
        <v>283</v>
      </c>
      <c r="D4878" s="94">
        <v>1293.0</v>
      </c>
    </row>
    <row r="4879">
      <c r="A4879" s="40">
        <f t="array" ref="A4879">IFNA(index(PlayerValues!A:A,match(IFNA(vlookup(B4879,'Special Names'!A:B,2,FALSE),B4879),PlayerValues!E:E,0)),"N/A")</f>
        <v>17063</v>
      </c>
      <c r="B4879" s="4" t="s">
        <v>686</v>
      </c>
      <c r="C4879" s="4" t="s">
        <v>278</v>
      </c>
      <c r="D4879" s="94">
        <v>1289.0</v>
      </c>
    </row>
    <row r="4880">
      <c r="A4880" s="40">
        <f t="array" ref="A4880">IFNA(index(PlayerValues!A:A,match(IFNA(vlookup(B4880,'Special Names'!A:B,2,FALSE),B4880),PlayerValues!E:E,0)),"N/A")</f>
        <v>14067</v>
      </c>
      <c r="B4880" s="4" t="s">
        <v>735</v>
      </c>
      <c r="C4880" s="4" t="s">
        <v>283</v>
      </c>
      <c r="D4880" s="94">
        <v>1271.0</v>
      </c>
    </row>
    <row r="4881">
      <c r="A4881" s="40">
        <f t="array" ref="A4881">IFNA(index(PlayerValues!A:A,match(IFNA(vlookup(B4881,'Special Names'!A:B,2,FALSE),B4881),PlayerValues!E:E,0)),"N/A")</f>
        <v>14789</v>
      </c>
      <c r="B4881" s="4" t="s">
        <v>721</v>
      </c>
      <c r="C4881" s="4" t="s">
        <v>283</v>
      </c>
      <c r="D4881" s="94">
        <v>1266.0</v>
      </c>
    </row>
    <row r="4882">
      <c r="A4882" s="40">
        <f t="array" ref="A4882">IFNA(index(PlayerValues!A:A,match(IFNA(vlookup(B4882,'Special Names'!A:B,2,FALSE),B4882),PlayerValues!E:E,0)),"N/A")</f>
        <v>14095</v>
      </c>
      <c r="B4882" s="4" t="s">
        <v>680</v>
      </c>
      <c r="C4882" s="4" t="s">
        <v>278</v>
      </c>
      <c r="D4882" s="94">
        <v>1258.0</v>
      </c>
    </row>
    <row r="4883">
      <c r="A4883" s="40">
        <f t="array" ref="A4883">IFNA(index(PlayerValues!A:A,match(IFNA(vlookup(B4883,'Special Names'!A:B,2,FALSE),B4883),PlayerValues!E:E,0)),"N/A")</f>
        <v>16221</v>
      </c>
      <c r="B4883" s="4" t="s">
        <v>725</v>
      </c>
      <c r="C4883" s="4" t="s">
        <v>298</v>
      </c>
      <c r="D4883" s="94">
        <v>1623.0</v>
      </c>
    </row>
    <row r="4884">
      <c r="A4884" s="40">
        <f t="array" ref="A4884">IFNA(index(PlayerValues!A:A,match(IFNA(vlookup(B4884,'Special Names'!A:B,2,FALSE),B4884),PlayerValues!E:E,0)),"N/A")</f>
        <v>16746</v>
      </c>
      <c r="B4884" s="4" t="s">
        <v>709</v>
      </c>
      <c r="C4884" s="4" t="s">
        <v>278</v>
      </c>
      <c r="D4884" s="94">
        <v>1253.0</v>
      </c>
    </row>
    <row r="4885">
      <c r="A4885" s="40">
        <f t="array" ref="A4885">IFNA(index(PlayerValues!A:A,match(IFNA(vlookup(B4885,'Special Names'!A:B,2,FALSE),B4885),PlayerValues!E:E,0)),"N/A")</f>
        <v>17528</v>
      </c>
      <c r="B4885" s="4" t="s">
        <v>579</v>
      </c>
      <c r="C4885" s="4" t="s">
        <v>287</v>
      </c>
      <c r="D4885" s="94">
        <v>1249.0</v>
      </c>
    </row>
    <row r="4886">
      <c r="A4886" s="40">
        <f t="array" ref="A4886">IFNA(index(PlayerValues!A:A,match(IFNA(vlookup(B4886,'Special Names'!A:B,2,FALSE),B4886),PlayerValues!E:E,0)),"N/A")</f>
        <v>15981</v>
      </c>
      <c r="B4886" s="4" t="s">
        <v>729</v>
      </c>
      <c r="C4886" s="4" t="s">
        <v>287</v>
      </c>
      <c r="D4886" s="94">
        <v>1247.0</v>
      </c>
    </row>
    <row r="4887">
      <c r="A4887" s="40">
        <f t="array" ref="A4887">IFNA(index(PlayerValues!A:A,match(IFNA(vlookup(B4887,'Special Names'!A:B,2,FALSE),B4887),PlayerValues!E:E,0)),"N/A")</f>
        <v>16636</v>
      </c>
      <c r="B4887" s="4" t="s">
        <v>699</v>
      </c>
      <c r="C4887" s="4" t="s">
        <v>287</v>
      </c>
      <c r="D4887" s="94">
        <v>1244.0</v>
      </c>
    </row>
    <row r="4888">
      <c r="A4888" s="40">
        <f t="array" ref="A4888">IFNA(index(PlayerValues!A:A,match(IFNA(vlookup(B4888,'Special Names'!A:B,2,FALSE),B4888),PlayerValues!E:E,0)),"N/A")</f>
        <v>17546</v>
      </c>
      <c r="B4888" s="4" t="s">
        <v>671</v>
      </c>
      <c r="C4888" s="4" t="s">
        <v>298</v>
      </c>
      <c r="D4888" s="94">
        <v>1610.0</v>
      </c>
    </row>
    <row r="4889">
      <c r="A4889" s="40">
        <f t="array" ref="A4889">IFNA(index(PlayerValues!A:A,match(IFNA(vlookup(B4889,'Special Names'!A:B,2,FALSE),B4889),PlayerValues!E:E,0)),"N/A")</f>
        <v>16199</v>
      </c>
      <c r="B4889" s="4" t="s">
        <v>687</v>
      </c>
      <c r="C4889" s="4" t="s">
        <v>287</v>
      </c>
      <c r="D4889" s="94">
        <v>1234.0</v>
      </c>
    </row>
    <row r="4890">
      <c r="A4890" s="40">
        <f t="array" ref="A4890">IFNA(index(PlayerValues!A:A,match(IFNA(vlookup(B4890,'Special Names'!A:B,2,FALSE),B4890),PlayerValues!E:E,0)),"N/A")</f>
        <v>16385</v>
      </c>
      <c r="B4890" s="4" t="s">
        <v>690</v>
      </c>
      <c r="C4890" s="4" t="s">
        <v>278</v>
      </c>
      <c r="D4890" s="94">
        <v>1231.0</v>
      </c>
    </row>
    <row r="4891">
      <c r="A4891" s="40">
        <f t="array" ref="A4891">IFNA(index(PlayerValues!A:A,match(IFNA(vlookup(B4891,'Special Names'!A:B,2,FALSE),B4891),PlayerValues!E:E,0)),"N/A")</f>
        <v>13289</v>
      </c>
      <c r="B4891" s="4" t="s">
        <v>746</v>
      </c>
      <c r="C4891" s="4" t="s">
        <v>287</v>
      </c>
      <c r="D4891" s="94">
        <v>1223.0</v>
      </c>
    </row>
    <row r="4892">
      <c r="A4892" s="40">
        <f t="array" ref="A4892">IFNA(index(PlayerValues!A:A,match(IFNA(vlookup(B4892,'Special Names'!A:B,2,FALSE),B4892),PlayerValues!E:E,0)),"N/A")</f>
        <v>15288</v>
      </c>
      <c r="B4892" s="4" t="s">
        <v>700</v>
      </c>
      <c r="C4892" s="4" t="s">
        <v>287</v>
      </c>
      <c r="D4892" s="94">
        <v>1223.0</v>
      </c>
    </row>
    <row r="4893">
      <c r="A4893" s="40">
        <f t="array" ref="A4893">IFNA(index(PlayerValues!A:A,match(IFNA(vlookup(B4893,'Special Names'!A:B,2,FALSE),B4893),PlayerValues!E:E,0)),"N/A")</f>
        <v>14108</v>
      </c>
      <c r="B4893" s="4" t="s">
        <v>673</v>
      </c>
      <c r="C4893" s="4" t="s">
        <v>287</v>
      </c>
      <c r="D4893" s="94">
        <v>1221.0</v>
      </c>
    </row>
    <row r="4894">
      <c r="A4894" s="40">
        <f t="array" ref="A4894">IFNA(index(PlayerValues!A:A,match(IFNA(vlookup(B4894,'Special Names'!A:B,2,FALSE),B4894),PlayerValues!E:E,0)),"N/A")</f>
        <v>17054</v>
      </c>
      <c r="B4894" s="4" t="s">
        <v>670</v>
      </c>
      <c r="C4894" s="4" t="s">
        <v>278</v>
      </c>
      <c r="D4894" s="94">
        <v>1200.0</v>
      </c>
    </row>
    <row r="4895">
      <c r="A4895" s="40">
        <f t="array" ref="A4895">IFNA(index(PlayerValues!A:A,match(IFNA(vlookup(B4895,'Special Names'!A:B,2,FALSE),B4895),PlayerValues!E:E,0)),"N/A")</f>
        <v>16645</v>
      </c>
      <c r="B4895" s="4" t="s">
        <v>651</v>
      </c>
      <c r="C4895" s="4" t="s">
        <v>298</v>
      </c>
      <c r="D4895" s="94">
        <v>1565.0</v>
      </c>
    </row>
    <row r="4896">
      <c r="A4896" s="40">
        <f t="array" ref="A4896">IFNA(index(PlayerValues!A:A,match(IFNA(vlookup(B4896,'Special Names'!A:B,2,FALSE),B4896),PlayerValues!E:E,0)),"N/A")</f>
        <v>15692</v>
      </c>
      <c r="B4896" s="4" t="s">
        <v>750</v>
      </c>
      <c r="C4896" s="4" t="s">
        <v>283</v>
      </c>
      <c r="D4896" s="94">
        <v>1196.0</v>
      </c>
    </row>
    <row r="4897">
      <c r="A4897" s="40">
        <f t="array" ref="A4897">IFNA(index(PlayerValues!A:A,match(IFNA(vlookup(B4897,'Special Names'!A:B,2,FALSE),B4897),PlayerValues!E:E,0)),"N/A")</f>
        <v>16333</v>
      </c>
      <c r="B4897" s="4" t="s">
        <v>711</v>
      </c>
      <c r="C4897" s="4" t="s">
        <v>298</v>
      </c>
      <c r="D4897" s="94">
        <v>1554.0</v>
      </c>
    </row>
    <row r="4898">
      <c r="A4898" s="40">
        <f t="array" ref="A4898">IFNA(index(PlayerValues!A:A,match(IFNA(vlookup(B4898,'Special Names'!A:B,2,FALSE),B4898),PlayerValues!E:E,0)),"N/A")</f>
        <v>14845</v>
      </c>
      <c r="B4898" s="4" t="s">
        <v>717</v>
      </c>
      <c r="C4898" s="4" t="s">
        <v>287</v>
      </c>
      <c r="D4898" s="94">
        <v>1182.0</v>
      </c>
    </row>
    <row r="4899">
      <c r="A4899" s="40">
        <f t="array" ref="A4899">IFNA(index(PlayerValues!A:A,match(IFNA(vlookup(B4899,'Special Names'!A:B,2,FALSE),B4899),PlayerValues!E:E,0)),"N/A")</f>
        <v>16393</v>
      </c>
      <c r="B4899" s="4" t="s">
        <v>768</v>
      </c>
      <c r="C4899" s="4" t="s">
        <v>287</v>
      </c>
      <c r="D4899" s="94">
        <v>1179.0</v>
      </c>
    </row>
    <row r="4900">
      <c r="A4900" s="40">
        <f t="array" ref="A4900">IFNA(index(PlayerValues!A:A,match(IFNA(vlookup(B4900,'Special Names'!A:B,2,FALSE),B4900),PlayerValues!E:E,0)),"N/A")</f>
        <v>12263</v>
      </c>
      <c r="B4900" s="4" t="s">
        <v>697</v>
      </c>
      <c r="C4900" s="4" t="s">
        <v>298</v>
      </c>
      <c r="D4900" s="94">
        <v>1545.0</v>
      </c>
    </row>
    <row r="4901">
      <c r="A4901" s="40">
        <f t="array" ref="A4901">IFNA(index(PlayerValues!A:A,match(IFNA(vlookup(B4901,'Special Names'!A:B,2,FALSE),B4901),PlayerValues!E:E,0)),"N/A")</f>
        <v>17050</v>
      </c>
      <c r="B4901" s="4" t="s">
        <v>713</v>
      </c>
      <c r="C4901" s="4" t="s">
        <v>278</v>
      </c>
      <c r="D4901" s="94">
        <v>1174.0</v>
      </c>
    </row>
    <row r="4902">
      <c r="A4902" s="40">
        <f t="array" ref="A4902">IFNA(index(PlayerValues!A:A,match(IFNA(vlookup(B4902,'Special Names'!A:B,2,FALSE),B4902),PlayerValues!E:E,0)),"N/A")</f>
        <v>15239</v>
      </c>
      <c r="B4902" s="4" t="s">
        <v>802</v>
      </c>
      <c r="C4902" s="4" t="s">
        <v>283</v>
      </c>
      <c r="D4902" s="94">
        <v>1172.0</v>
      </c>
    </row>
    <row r="4903">
      <c r="A4903" s="40">
        <f t="array" ref="A4903">IFNA(index(PlayerValues!A:A,match(IFNA(vlookup(B4903,'Special Names'!A:B,2,FALSE),B4903),PlayerValues!E:E,0)),"N/A")</f>
        <v>16883</v>
      </c>
      <c r="B4903" s="4" t="s">
        <v>683</v>
      </c>
      <c r="C4903" s="4" t="s">
        <v>287</v>
      </c>
      <c r="D4903" s="94">
        <v>1165.0</v>
      </c>
    </row>
    <row r="4904">
      <c r="A4904" s="40">
        <f t="array" ref="A4904">IFNA(index(PlayerValues!A:A,match(IFNA(vlookup(B4904,'Special Names'!A:B,2,FALSE),B4904),PlayerValues!E:E,0)),"N/A")</f>
        <v>17481</v>
      </c>
      <c r="B4904" s="4" t="s">
        <v>540</v>
      </c>
      <c r="C4904" s="4" t="s">
        <v>278</v>
      </c>
      <c r="D4904" s="94">
        <v>1160.0</v>
      </c>
    </row>
    <row r="4905">
      <c r="A4905" s="40">
        <f t="array" ref="A4905">IFNA(index(PlayerValues!A:A,match(IFNA(vlookup(B4905,'Special Names'!A:B,2,FALSE),B4905),PlayerValues!E:E,0)),"N/A")</f>
        <v>16451</v>
      </c>
      <c r="B4905" s="4" t="s">
        <v>769</v>
      </c>
      <c r="C4905" s="4" t="s">
        <v>287</v>
      </c>
      <c r="D4905" s="94">
        <v>1158.0</v>
      </c>
    </row>
    <row r="4906">
      <c r="A4906" s="40">
        <f t="array" ref="A4906">IFNA(index(PlayerValues!A:A,match(IFNA(vlookup(B4906,'Special Names'!A:B,2,FALSE),B4906),PlayerValues!E:E,0)),"N/A")</f>
        <v>15730</v>
      </c>
      <c r="B4906" s="4" t="s">
        <v>734</v>
      </c>
      <c r="C4906" s="4" t="s">
        <v>278</v>
      </c>
      <c r="D4906" s="94">
        <v>1147.0</v>
      </c>
    </row>
    <row r="4907">
      <c r="A4907" s="40">
        <f t="array" ref="A4907">IFNA(index(PlayerValues!A:A,match(IFNA(vlookup(B4907,'Special Names'!A:B,2,FALSE),B4907),PlayerValues!E:E,0)),"N/A")</f>
        <v>15717</v>
      </c>
      <c r="B4907" s="4" t="s">
        <v>745</v>
      </c>
      <c r="C4907" s="4" t="s">
        <v>278</v>
      </c>
      <c r="D4907" s="94">
        <v>1142.0</v>
      </c>
    </row>
    <row r="4908">
      <c r="A4908" s="40">
        <f t="array" ref="A4908">IFNA(index(PlayerValues!A:A,match(IFNA(vlookup(B4908,'Special Names'!A:B,2,FALSE),B4908),PlayerValues!E:E,0)),"N/A")</f>
        <v>15693</v>
      </c>
      <c r="B4908" s="4" t="s">
        <v>755</v>
      </c>
      <c r="C4908" s="4" t="s">
        <v>283</v>
      </c>
      <c r="D4908" s="94">
        <v>1141.0</v>
      </c>
    </row>
    <row r="4909">
      <c r="A4909" s="40">
        <f t="array" ref="A4909">IFNA(index(PlayerValues!A:A,match(IFNA(vlookup(B4909,'Special Names'!A:B,2,FALSE),B4909),PlayerValues!E:E,0)),"N/A")</f>
        <v>13138</v>
      </c>
      <c r="B4909" s="4" t="s">
        <v>817</v>
      </c>
      <c r="C4909" s="4" t="s">
        <v>278</v>
      </c>
      <c r="D4909" s="94">
        <v>1140.0</v>
      </c>
    </row>
    <row r="4910">
      <c r="A4910" s="40">
        <f t="array" ref="A4910">IFNA(index(PlayerValues!A:A,match(IFNA(vlookup(B4910,'Special Names'!A:B,2,FALSE),B4910),PlayerValues!E:E,0)),"N/A")</f>
        <v>16197</v>
      </c>
      <c r="B4910" s="4" t="s">
        <v>726</v>
      </c>
      <c r="C4910" s="4" t="s">
        <v>287</v>
      </c>
      <c r="D4910" s="94">
        <v>1130.0</v>
      </c>
    </row>
    <row r="4911">
      <c r="A4911" s="40">
        <f t="array" ref="A4911">IFNA(index(PlayerValues!A:A,match(IFNA(vlookup(B4911,'Special Names'!A:B,2,FALSE),B4911),PlayerValues!E:E,0)),"N/A")</f>
        <v>17192</v>
      </c>
      <c r="B4911" s="4" t="s">
        <v>677</v>
      </c>
      <c r="C4911" s="4" t="s">
        <v>287</v>
      </c>
      <c r="D4911" s="94">
        <v>1126.0</v>
      </c>
    </row>
    <row r="4912">
      <c r="A4912" s="40">
        <f t="array" ref="A4912">IFNA(index(PlayerValues!A:A,match(IFNA(vlookup(B4912,'Special Names'!A:B,2,FALSE),B4912),PlayerValues!E:E,0)),"N/A")</f>
        <v>16637</v>
      </c>
      <c r="B4912" s="4" t="s">
        <v>736</v>
      </c>
      <c r="C4912" s="4" t="s">
        <v>287</v>
      </c>
      <c r="D4912" s="94">
        <v>1121.0</v>
      </c>
    </row>
    <row r="4913">
      <c r="A4913" s="40">
        <f t="array" ref="A4913">IFNA(index(PlayerValues!A:A,match(IFNA(vlookup(B4913,'Special Names'!A:B,2,FALSE),B4913),PlayerValues!E:E,0)),"N/A")</f>
        <v>16640</v>
      </c>
      <c r="B4913" s="4" t="s">
        <v>712</v>
      </c>
      <c r="C4913" s="4" t="s">
        <v>287</v>
      </c>
      <c r="D4913" s="94">
        <v>1120.0</v>
      </c>
    </row>
    <row r="4914">
      <c r="A4914" s="40">
        <f t="array" ref="A4914">IFNA(index(PlayerValues!A:A,match(IFNA(vlookup(B4914,'Special Names'!A:B,2,FALSE),B4914),PlayerValues!E:E,0)),"N/A")</f>
        <v>17109</v>
      </c>
      <c r="B4914" s="4" t="s">
        <v>707</v>
      </c>
      <c r="C4914" s="4" t="s">
        <v>298</v>
      </c>
      <c r="D4914" s="94">
        <v>1485.0</v>
      </c>
    </row>
    <row r="4915">
      <c r="A4915" s="40">
        <f t="array" ref="A4915">IFNA(index(PlayerValues!A:A,match(IFNA(vlookup(B4915,'Special Names'!A:B,2,FALSE),B4915),PlayerValues!E:E,0)),"N/A")</f>
        <v>17057</v>
      </c>
      <c r="B4915" s="4" t="s">
        <v>708</v>
      </c>
      <c r="C4915" s="4" t="s">
        <v>278</v>
      </c>
      <c r="D4915" s="94">
        <v>1094.0</v>
      </c>
    </row>
    <row r="4916">
      <c r="A4916" s="40">
        <f t="array" ref="A4916">IFNA(index(PlayerValues!A:A,match(IFNA(vlookup(B4916,'Special Names'!A:B,2,FALSE),B4916),PlayerValues!E:E,0)),"N/A")</f>
        <v>15785</v>
      </c>
      <c r="B4916" s="4" t="s">
        <v>763</v>
      </c>
      <c r="C4916" s="4" t="s">
        <v>287</v>
      </c>
      <c r="D4916" s="94">
        <v>1091.0</v>
      </c>
    </row>
    <row r="4917">
      <c r="A4917" s="40">
        <f t="array" ref="A4917">IFNA(index(PlayerValues!A:A,match(IFNA(vlookup(B4917,'Special Names'!A:B,2,FALSE),B4917),PlayerValues!E:E,0)),"N/A")</f>
        <v>16387</v>
      </c>
      <c r="B4917" s="4" t="s">
        <v>646</v>
      </c>
      <c r="C4917" s="4" t="s">
        <v>278</v>
      </c>
      <c r="D4917" s="94">
        <v>1089.0</v>
      </c>
    </row>
    <row r="4918">
      <c r="A4918" s="40">
        <f t="array" ref="A4918">IFNA(index(PlayerValues!A:A,match(IFNA(vlookup(B4918,'Special Names'!A:B,2,FALSE),B4918),PlayerValues!E:E,0)),"N/A")</f>
        <v>14118</v>
      </c>
      <c r="B4918" s="4" t="s">
        <v>771</v>
      </c>
      <c r="C4918" s="4" t="s">
        <v>287</v>
      </c>
      <c r="D4918" s="94">
        <v>1087.0</v>
      </c>
    </row>
    <row r="4919">
      <c r="A4919" s="40">
        <f t="array" ref="A4919">IFNA(index(PlayerValues!A:A,match(IFNA(vlookup(B4919,'Special Names'!A:B,2,FALSE),B4919),PlayerValues!E:E,0)),"N/A")</f>
        <v>9064</v>
      </c>
      <c r="B4919" s="4" t="s">
        <v>761</v>
      </c>
      <c r="C4919" s="4" t="s">
        <v>283</v>
      </c>
      <c r="D4919" s="94">
        <v>1081.0</v>
      </c>
    </row>
    <row r="4920">
      <c r="A4920" s="40">
        <f t="array" ref="A4920">IFNA(index(PlayerValues!A:A,match(IFNA(vlookup(B4920,'Special Names'!A:B,2,FALSE),B4920),PlayerValues!E:E,0)),"N/A")</f>
        <v>16219</v>
      </c>
      <c r="B4920" s="4" t="s">
        <v>739</v>
      </c>
      <c r="C4920" s="4" t="s">
        <v>298</v>
      </c>
      <c r="D4920" s="94">
        <v>1444.0</v>
      </c>
    </row>
    <row r="4921">
      <c r="A4921" s="40">
        <f t="array" ref="A4921">IFNA(index(PlayerValues!A:A,match(IFNA(vlookup(B4921,'Special Names'!A:B,2,FALSE),B4921),PlayerValues!E:E,0)),"N/A")</f>
        <v>16678</v>
      </c>
      <c r="B4921" s="4" t="s">
        <v>758</v>
      </c>
      <c r="C4921" s="4" t="s">
        <v>278</v>
      </c>
      <c r="D4921" s="94">
        <v>1074.0</v>
      </c>
    </row>
    <row r="4922">
      <c r="A4922" s="40">
        <f t="array" ref="A4922">IFNA(index(PlayerValues!A:A,match(IFNA(vlookup(B4922,'Special Names'!A:B,2,FALSE),B4922),PlayerValues!E:E,0)),"N/A")</f>
        <v>17175</v>
      </c>
      <c r="B4922" s="4" t="s">
        <v>747</v>
      </c>
      <c r="C4922" s="4" t="s">
        <v>287</v>
      </c>
      <c r="D4922" s="94">
        <v>1059.0</v>
      </c>
    </row>
    <row r="4923">
      <c r="A4923" s="40">
        <f t="array" ref="A4923">IFNA(index(PlayerValues!A:A,match(IFNA(vlookup(B4923,'Special Names'!A:B,2,FALSE),B4923),PlayerValues!E:E,0)),"N/A")</f>
        <v>17479</v>
      </c>
      <c r="B4923" s="4" t="s">
        <v>756</v>
      </c>
      <c r="C4923" s="4" t="s">
        <v>278</v>
      </c>
      <c r="D4923" s="94">
        <v>1052.0</v>
      </c>
    </row>
    <row r="4924">
      <c r="A4924" s="40">
        <f t="array" ref="A4924">IFNA(index(PlayerValues!A:A,match(IFNA(vlookup(B4924,'Special Names'!A:B,2,FALSE),B4924),PlayerValues!E:E,0)),"N/A")</f>
        <v>16648</v>
      </c>
      <c r="B4924" s="4" t="s">
        <v>748</v>
      </c>
      <c r="C4924" s="4" t="s">
        <v>298</v>
      </c>
      <c r="D4924" s="94">
        <v>1413.0</v>
      </c>
    </row>
    <row r="4925">
      <c r="A4925" s="40">
        <f t="array" ref="A4925">IFNA(index(PlayerValues!A:A,match(IFNA(vlookup(B4925,'Special Names'!A:B,2,FALSE),B4925),PlayerValues!E:E,0)),"N/A")</f>
        <v>14057</v>
      </c>
      <c r="B4925" s="4" t="s">
        <v>765</v>
      </c>
      <c r="C4925" s="4" t="s">
        <v>283</v>
      </c>
      <c r="D4925" s="94">
        <v>1044.0</v>
      </c>
    </row>
    <row r="4926">
      <c r="A4926" s="40">
        <f t="array" ref="A4926">IFNA(index(PlayerValues!A:A,match(IFNA(vlookup(B4926,'Special Names'!A:B,2,FALSE),B4926),PlayerValues!E:E,0)),"N/A")</f>
        <v>15330</v>
      </c>
      <c r="B4926" s="4" t="s">
        <v>749</v>
      </c>
      <c r="C4926" s="4" t="s">
        <v>298</v>
      </c>
      <c r="D4926" s="94">
        <v>1407.0</v>
      </c>
    </row>
    <row r="4927">
      <c r="A4927" s="40">
        <f t="array" ref="A4927">IFNA(index(PlayerValues!A:A,match(IFNA(vlookup(B4927,'Special Names'!A:B,2,FALSE),B4927),PlayerValues!E:E,0)),"N/A")</f>
        <v>15795</v>
      </c>
      <c r="B4927" s="4" t="s">
        <v>669</v>
      </c>
      <c r="C4927" s="4" t="s">
        <v>298</v>
      </c>
      <c r="D4927" s="94">
        <v>1408.0</v>
      </c>
    </row>
    <row r="4928">
      <c r="A4928" s="40">
        <f t="array" ref="A4928">IFNA(index(PlayerValues!A:A,match(IFNA(vlookup(B4928,'Special Names'!A:B,2,FALSE),B4928),PlayerValues!E:E,0)),"N/A")</f>
        <v>15718</v>
      </c>
      <c r="B4928" s="4" t="s">
        <v>753</v>
      </c>
      <c r="C4928" s="4" t="s">
        <v>278</v>
      </c>
      <c r="D4928" s="94">
        <v>1038.0</v>
      </c>
    </row>
    <row r="4929">
      <c r="A4929" s="40">
        <f t="array" ref="A4929">IFNA(index(PlayerValues!A:A,match(IFNA(vlookup(B4929,'Special Names'!A:B,2,FALSE),B4929),PlayerValues!E:E,0)),"N/A")</f>
        <v>17520</v>
      </c>
      <c r="B4929" s="4" t="s">
        <v>518</v>
      </c>
      <c r="C4929" s="4" t="s">
        <v>287</v>
      </c>
      <c r="D4929" s="94">
        <v>1028.0</v>
      </c>
    </row>
    <row r="4930">
      <c r="A4930" s="40">
        <f t="array" ref="A4930">IFNA(index(PlayerValues!A:A,match(IFNA(vlookup(B4930,'Special Names'!A:B,2,FALSE),B4930),PlayerValues!E:E,0)),"N/A")</f>
        <v>11247</v>
      </c>
      <c r="B4930" s="4" t="s">
        <v>816</v>
      </c>
      <c r="C4930" s="4" t="s">
        <v>298</v>
      </c>
      <c r="D4930" s="94">
        <v>1394.0</v>
      </c>
    </row>
    <row r="4931">
      <c r="A4931" s="40">
        <f t="array" ref="A4931">IFNA(index(PlayerValues!A:A,match(IFNA(vlookup(B4931,'Special Names'!A:B,2,FALSE),B4931),PlayerValues!E:E,0)),"N/A")</f>
        <v>17486</v>
      </c>
      <c r="B4931" s="4" t="s">
        <v>695</v>
      </c>
      <c r="C4931" s="4" t="s">
        <v>278</v>
      </c>
      <c r="D4931" s="94">
        <v>1026.0</v>
      </c>
    </row>
    <row r="4932">
      <c r="A4932" s="40">
        <f t="array" ref="A4932">IFNA(index(PlayerValues!A:A,match(IFNA(vlookup(B4932,'Special Names'!A:B,2,FALSE),B4932),PlayerValues!E:E,0)),"N/A")</f>
        <v>14849</v>
      </c>
      <c r="B4932" s="4" t="s">
        <v>733</v>
      </c>
      <c r="C4932" s="4" t="s">
        <v>287</v>
      </c>
      <c r="D4932" s="94">
        <v>1025.0</v>
      </c>
    </row>
    <row r="4933">
      <c r="A4933" s="40">
        <f t="array" ref="A4933">IFNA(index(PlayerValues!A:A,match(IFNA(vlookup(B4933,'Special Names'!A:B,2,FALSE),B4933),PlayerValues!E:E,0)),"N/A")</f>
        <v>15766</v>
      </c>
      <c r="B4933" s="4" t="s">
        <v>759</v>
      </c>
      <c r="C4933" s="4" t="s">
        <v>287</v>
      </c>
      <c r="D4933" s="94">
        <v>1023.0</v>
      </c>
    </row>
    <row r="4934">
      <c r="A4934" s="40">
        <f t="array" ref="A4934">IFNA(index(PlayerValues!A:A,match(IFNA(vlookup(B4934,'Special Names'!A:B,2,FALSE),B4934),PlayerValues!E:E,0)),"N/A")</f>
        <v>15720</v>
      </c>
      <c r="B4934" s="4" t="s">
        <v>795</v>
      </c>
      <c r="C4934" s="4" t="s">
        <v>278</v>
      </c>
      <c r="D4934" s="94">
        <v>1022.0</v>
      </c>
    </row>
    <row r="4935">
      <c r="A4935" s="40">
        <f t="array" ref="A4935">IFNA(index(PlayerValues!A:A,match(IFNA(vlookup(B4935,'Special Names'!A:B,2,FALSE),B4935),PlayerValues!E:E,0)),"N/A")</f>
        <v>17467</v>
      </c>
      <c r="B4935" s="4" t="s">
        <v>575</v>
      </c>
      <c r="C4935" s="4" t="s">
        <v>283</v>
      </c>
      <c r="D4935" s="94">
        <v>1008.0</v>
      </c>
    </row>
    <row r="4936">
      <c r="A4936" s="40">
        <f t="array" ref="A4936">IFNA(index(PlayerValues!A:A,match(IFNA(vlookup(B4936,'Special Names'!A:B,2,FALSE),B4936),PlayerValues!E:E,0)),"N/A")</f>
        <v>17487</v>
      </c>
      <c r="B4936" s="4" t="s">
        <v>692</v>
      </c>
      <c r="C4936" s="4" t="s">
        <v>278</v>
      </c>
      <c r="D4936" s="94">
        <v>1004.0</v>
      </c>
    </row>
    <row r="4937">
      <c r="A4937" s="40">
        <f t="array" ref="A4937">IFNA(index(PlayerValues!A:A,match(IFNA(vlookup(B4937,'Special Names'!A:B,2,FALSE),B4937),PlayerValues!E:E,0)),"N/A")</f>
        <v>16159</v>
      </c>
      <c r="B4937" s="4" t="s">
        <v>819</v>
      </c>
      <c r="C4937" s="4" t="s">
        <v>283</v>
      </c>
      <c r="D4937" s="94">
        <v>1002.0</v>
      </c>
    </row>
    <row r="4938">
      <c r="A4938" s="40">
        <f t="array" ref="A4938">IFNA(index(PlayerValues!A:A,match(IFNA(vlookup(B4938,'Special Names'!A:B,2,FALSE),B4938),PlayerValues!E:E,0)),"N/A")</f>
        <v>16168</v>
      </c>
      <c r="B4938" s="4" t="s">
        <v>738</v>
      </c>
      <c r="C4938" s="4" t="s">
        <v>278</v>
      </c>
      <c r="D4938" s="94">
        <v>1000.0</v>
      </c>
    </row>
    <row r="4939">
      <c r="A4939" s="40">
        <f t="array" ref="A4939">IFNA(index(PlayerValues!A:A,match(IFNA(vlookup(B4939,'Special Names'!A:B,2,FALSE),B4939),PlayerValues!E:E,0)),"N/A")</f>
        <v>16858</v>
      </c>
      <c r="B4939" s="4" t="s">
        <v>754</v>
      </c>
      <c r="C4939" s="4" t="s">
        <v>287</v>
      </c>
      <c r="D4939" s="94">
        <v>994.0</v>
      </c>
    </row>
    <row r="4940">
      <c r="A4940" s="40">
        <f t="array" ref="A4940">IFNA(index(PlayerValues!A:A,match(IFNA(vlookup(B4940,'Special Names'!A:B,2,FALSE),B4940),PlayerValues!E:E,0)),"N/A")</f>
        <v>17475</v>
      </c>
      <c r="B4940" s="4" t="s">
        <v>615</v>
      </c>
      <c r="C4940" s="4" t="s">
        <v>278</v>
      </c>
      <c r="D4940" s="94">
        <v>994.0</v>
      </c>
    </row>
    <row r="4941">
      <c r="A4941" s="40">
        <f t="array" ref="A4941">IFNA(index(PlayerValues!A:A,match(IFNA(vlookup(B4941,'Special Names'!A:B,2,FALSE),B4941),PlayerValues!E:E,0)),"N/A")</f>
        <v>15626</v>
      </c>
      <c r="B4941" s="4" t="s">
        <v>766</v>
      </c>
      <c r="C4941" s="4" t="s">
        <v>298</v>
      </c>
      <c r="D4941" s="94">
        <v>1352.0</v>
      </c>
    </row>
    <row r="4942">
      <c r="A4942" s="40">
        <f t="array" ref="A4942">IFNA(index(PlayerValues!A:A,match(IFNA(vlookup(B4942,'Special Names'!A:B,2,FALSE),B4942),PlayerValues!E:E,0)),"N/A")</f>
        <v>14799</v>
      </c>
      <c r="B4942" s="4" t="s">
        <v>829</v>
      </c>
      <c r="C4942" s="4" t="s">
        <v>278</v>
      </c>
      <c r="D4942" s="94">
        <v>982.0</v>
      </c>
    </row>
    <row r="4943">
      <c r="A4943" s="40">
        <f t="array" ref="A4943">IFNA(index(PlayerValues!A:A,match(IFNA(vlookup(B4943,'Special Names'!A:B,2,FALSE),B4943),PlayerValues!E:E,0)),"N/A")</f>
        <v>14864</v>
      </c>
      <c r="B4943" s="4" t="s">
        <v>789</v>
      </c>
      <c r="C4943" s="4" t="s">
        <v>287</v>
      </c>
      <c r="D4943" s="94">
        <v>970.0</v>
      </c>
    </row>
    <row r="4944">
      <c r="A4944" s="40">
        <f t="array" ref="A4944">IFNA(index(PlayerValues!A:A,match(IFNA(vlookup(B4944,'Special Names'!A:B,2,FALSE),B4944),PlayerValues!E:E,0)),"N/A")</f>
        <v>16176</v>
      </c>
      <c r="B4944" s="4" t="s">
        <v>812</v>
      </c>
      <c r="C4944" s="4" t="s">
        <v>278</v>
      </c>
      <c r="D4944" s="94">
        <v>970.0</v>
      </c>
    </row>
    <row r="4945">
      <c r="A4945" s="40">
        <f t="array" ref="A4945">IFNA(index(PlayerValues!A:A,match(IFNA(vlookup(B4945,'Special Names'!A:B,2,FALSE),B4945),PlayerValues!E:E,0)),"N/A")</f>
        <v>15263</v>
      </c>
      <c r="B4945" s="4" t="s">
        <v>804</v>
      </c>
      <c r="C4945" s="4" t="s">
        <v>278</v>
      </c>
      <c r="D4945" s="94">
        <v>966.0</v>
      </c>
    </row>
    <row r="4946">
      <c r="A4946" s="40">
        <f t="array" ref="A4946">IFNA(index(PlayerValues!A:A,match(IFNA(vlookup(B4946,'Special Names'!A:B,2,FALSE),B4946),PlayerValues!E:E,0)),"N/A")</f>
        <v>17510</v>
      </c>
      <c r="B4946" s="4" t="s">
        <v>661</v>
      </c>
      <c r="C4946" s="4" t="s">
        <v>287</v>
      </c>
      <c r="D4946" s="94">
        <v>963.0</v>
      </c>
    </row>
    <row r="4947">
      <c r="A4947" s="40">
        <f t="array" ref="A4947">IFNA(index(PlayerValues!A:A,match(IFNA(vlookup(B4947,'Special Names'!A:B,2,FALSE),B4947),PlayerValues!E:E,0)),"N/A")</f>
        <v>16205</v>
      </c>
      <c r="B4947" s="4" t="s">
        <v>742</v>
      </c>
      <c r="C4947" s="4" t="s">
        <v>287</v>
      </c>
      <c r="D4947" s="94">
        <v>953.0</v>
      </c>
    </row>
    <row r="4948">
      <c r="A4948" s="40">
        <f t="array" ref="A4948">IFNA(index(PlayerValues!A:A,match(IFNA(vlookup(B4948,'Special Names'!A:B,2,FALSE),B4948),PlayerValues!E:E,0)),"N/A")</f>
        <v>16773</v>
      </c>
      <c r="B4948" s="4" t="s">
        <v>783</v>
      </c>
      <c r="C4948" s="4" t="s">
        <v>278</v>
      </c>
      <c r="D4948" s="94">
        <v>952.0</v>
      </c>
    </row>
    <row r="4949">
      <c r="A4949" s="40">
        <f t="array" ref="A4949">IFNA(index(PlayerValues!A:A,match(IFNA(vlookup(B4949,'Special Names'!A:B,2,FALSE),B4949),PlayerValues!E:E,0)),"N/A")</f>
        <v>17504</v>
      </c>
      <c r="B4949" s="4" t="s">
        <v>693</v>
      </c>
      <c r="C4949" s="4" t="s">
        <v>287</v>
      </c>
      <c r="D4949" s="94">
        <v>946.0</v>
      </c>
    </row>
    <row r="4950">
      <c r="A4950" s="40">
        <f t="array" ref="A4950">IFNA(index(PlayerValues!A:A,match(IFNA(vlookup(B4950,'Special Names'!A:B,2,FALSE),B4950),PlayerValues!E:E,0)),"N/A")</f>
        <v>17545</v>
      </c>
      <c r="B4950" s="4" t="s">
        <v>719</v>
      </c>
      <c r="C4950" s="4" t="s">
        <v>298</v>
      </c>
      <c r="D4950" s="94">
        <v>1314.0</v>
      </c>
    </row>
    <row r="4951">
      <c r="A4951" s="40">
        <f t="array" ref="A4951">IFNA(index(PlayerValues!A:A,match(IFNA(vlookup(B4951,'Special Names'!A:B,2,FALSE),B4951),PlayerValues!E:E,0)),"N/A")</f>
        <v>16416</v>
      </c>
      <c r="B4951" s="4" t="s">
        <v>752</v>
      </c>
      <c r="C4951" s="4" t="s">
        <v>287</v>
      </c>
      <c r="D4951" s="94">
        <v>943.0</v>
      </c>
    </row>
    <row r="4952">
      <c r="A4952" s="40">
        <f t="array" ref="A4952">IFNA(index(PlayerValues!A:A,match(IFNA(vlookup(B4952,'Special Names'!A:B,2,FALSE),B4952),PlayerValues!E:E,0)),"N/A")</f>
        <v>16599</v>
      </c>
      <c r="B4952" s="4" t="s">
        <v>737</v>
      </c>
      <c r="C4952" s="4" t="s">
        <v>278</v>
      </c>
      <c r="D4952" s="94">
        <v>942.0</v>
      </c>
    </row>
    <row r="4953">
      <c r="A4953" s="40">
        <f t="array" ref="A4953">IFNA(index(PlayerValues!A:A,match(IFNA(vlookup(B4953,'Special Names'!A:B,2,FALSE),B4953),PlayerValues!E:E,0)),"N/A")</f>
        <v>16624</v>
      </c>
      <c r="B4953" s="4" t="s">
        <v>796</v>
      </c>
      <c r="C4953" s="4" t="s">
        <v>287</v>
      </c>
      <c r="D4953" s="94">
        <v>942.0</v>
      </c>
    </row>
    <row r="4954">
      <c r="A4954" s="40">
        <f t="array" ref="A4954">IFNA(index(PlayerValues!A:A,match(IFNA(vlookup(B4954,'Special Names'!A:B,2,FALSE),B4954),PlayerValues!E:E,0)),"N/A")</f>
        <v>13595</v>
      </c>
      <c r="B4954" s="4" t="s">
        <v>818</v>
      </c>
      <c r="C4954" s="4" t="s">
        <v>283</v>
      </c>
      <c r="D4954" s="94">
        <v>938.0</v>
      </c>
    </row>
    <row r="4955">
      <c r="A4955" s="40">
        <f t="array" ref="A4955">IFNA(index(PlayerValues!A:A,match(IFNA(vlookup(B4955,'Special Names'!A:B,2,FALSE),B4955),PlayerValues!E:E,0)),"N/A")</f>
        <v>15723</v>
      </c>
      <c r="B4955" s="4" t="s">
        <v>798</v>
      </c>
      <c r="C4955" s="4" t="s">
        <v>278</v>
      </c>
      <c r="D4955" s="94">
        <v>930.0</v>
      </c>
    </row>
    <row r="4956">
      <c r="A4956" s="40">
        <f t="array" ref="A4956">IFNA(index(PlayerValues!A:A,match(IFNA(vlookup(B4956,'Special Names'!A:B,2,FALSE),B4956),PlayerValues!E:E,0)),"N/A")</f>
        <v>15109</v>
      </c>
      <c r="B4956" s="4" t="s">
        <v>728</v>
      </c>
      <c r="C4956" s="4" t="s">
        <v>287</v>
      </c>
      <c r="D4956" s="94">
        <v>928.0</v>
      </c>
    </row>
    <row r="4957">
      <c r="A4957" s="40">
        <f t="array" ref="A4957">IFNA(index(PlayerValues!A:A,match(IFNA(vlookup(B4957,'Special Names'!A:B,2,FALSE),B4957),PlayerValues!E:E,0)),"N/A")</f>
        <v>13133</v>
      </c>
      <c r="B4957" s="4" t="s">
        <v>764</v>
      </c>
      <c r="C4957" s="4" t="s">
        <v>278</v>
      </c>
      <c r="D4957" s="94">
        <v>923.0</v>
      </c>
    </row>
    <row r="4958">
      <c r="A4958" s="40">
        <f t="array" ref="A4958">IFNA(index(PlayerValues!A:A,match(IFNA(vlookup(B4958,'Special Names'!A:B,2,FALSE),B4958),PlayerValues!E:E,0)),"N/A")</f>
        <v>13610</v>
      </c>
      <c r="B4958" s="4" t="s">
        <v>825</v>
      </c>
      <c r="C4958" s="4" t="s">
        <v>278</v>
      </c>
      <c r="D4958" s="94">
        <v>914.0</v>
      </c>
    </row>
    <row r="4959">
      <c r="A4959" s="40">
        <f t="array" ref="A4959">IFNA(index(PlayerValues!A:A,match(IFNA(vlookup(B4959,'Special Names'!A:B,2,FALSE),B4959),PlayerValues!E:E,0)),"N/A")</f>
        <v>12785</v>
      </c>
      <c r="B4959" s="4" t="s">
        <v>772</v>
      </c>
      <c r="C4959" s="4" t="s">
        <v>287</v>
      </c>
      <c r="D4959" s="94">
        <v>907.0</v>
      </c>
    </row>
    <row r="4960">
      <c r="A4960" s="40">
        <f t="array" ref="A4960">IFNA(index(PlayerValues!A:A,match(IFNA(vlookup(B4960,'Special Names'!A:B,2,FALSE),B4960),PlayerValues!E:E,0)),"N/A")</f>
        <v>16751</v>
      </c>
      <c r="B4960" s="4" t="s">
        <v>762</v>
      </c>
      <c r="C4960" s="4" t="s">
        <v>287</v>
      </c>
      <c r="D4960" s="94">
        <v>905.0</v>
      </c>
    </row>
    <row r="4961">
      <c r="A4961" s="40">
        <f t="array" ref="A4961">IFNA(index(PlayerValues!A:A,match(IFNA(vlookup(B4961,'Special Names'!A:B,2,FALSE),B4961),PlayerValues!E:E,0)),"N/A")</f>
        <v>16957</v>
      </c>
      <c r="B4961" s="4" t="s">
        <v>806</v>
      </c>
      <c r="C4961" s="4" t="s">
        <v>278</v>
      </c>
      <c r="D4961" s="94">
        <v>904.0</v>
      </c>
    </row>
    <row r="4962">
      <c r="A4962" s="40">
        <f t="array" ref="A4962">IFNA(index(PlayerValues!A:A,match(IFNA(vlookup(B4962,'Special Names'!A:B,2,FALSE),B4962),PlayerValues!E:E,0)),"N/A")</f>
        <v>14079</v>
      </c>
      <c r="B4962" s="4" t="s">
        <v>830</v>
      </c>
      <c r="C4962" s="4" t="s">
        <v>278</v>
      </c>
      <c r="D4962" s="94">
        <v>889.0</v>
      </c>
    </row>
    <row r="4963">
      <c r="A4963" s="40">
        <f t="array" ref="A4963">IFNA(index(PlayerValues!A:A,match(IFNA(vlookup(B4963,'Special Names'!A:B,2,FALSE),B4963),PlayerValues!E:E,0)),"N/A")</f>
        <v>13143</v>
      </c>
      <c r="B4963" s="4" t="s">
        <v>786</v>
      </c>
      <c r="C4963" s="4" t="s">
        <v>278</v>
      </c>
      <c r="D4963" s="94">
        <v>889.0</v>
      </c>
    </row>
    <row r="4964">
      <c r="A4964" s="40">
        <f t="array" ref="A4964">IFNA(index(PlayerValues!A:A,match(IFNA(vlookup(B4964,'Special Names'!A:B,2,FALSE),B4964),PlayerValues!E:E,0)),"N/A")</f>
        <v>15796</v>
      </c>
      <c r="B4964" s="4" t="s">
        <v>794</v>
      </c>
      <c r="C4964" s="4" t="s">
        <v>298</v>
      </c>
      <c r="D4964" s="94">
        <v>1256.0</v>
      </c>
    </row>
    <row r="4965">
      <c r="A4965" s="40">
        <f t="array" ref="A4965">IFNA(index(PlayerValues!A:A,match(IFNA(vlookup(B4965,'Special Names'!A:B,2,FALSE),B4965),PlayerValues!E:E,0)),"N/A")</f>
        <v>16606</v>
      </c>
      <c r="B4965" s="4" t="s">
        <v>743</v>
      </c>
      <c r="C4965" s="4" t="s">
        <v>278</v>
      </c>
      <c r="D4965" s="94">
        <v>883.0</v>
      </c>
    </row>
    <row r="4966">
      <c r="A4966" s="40">
        <f t="array" ref="A4966">IFNA(index(PlayerValues!A:A,match(IFNA(vlookup(B4966,'Special Names'!A:B,2,FALSE),B4966),PlayerValues!E:E,0)),"N/A")</f>
        <v>13113</v>
      </c>
      <c r="B4966" s="4" t="s">
        <v>606</v>
      </c>
      <c r="C4966" s="4" t="s">
        <v>283</v>
      </c>
      <c r="D4966" s="94">
        <v>873.0</v>
      </c>
    </row>
    <row r="4967">
      <c r="A4967" s="40">
        <f t="array" ref="A4967">IFNA(index(PlayerValues!A:A,match(IFNA(vlookup(B4967,'Special Names'!A:B,2,FALSE),B4967),PlayerValues!E:E,0)),"N/A")</f>
        <v>11232</v>
      </c>
      <c r="B4967" s="4" t="s">
        <v>826</v>
      </c>
      <c r="C4967" s="4" t="s">
        <v>287</v>
      </c>
      <c r="D4967" s="94">
        <v>870.0</v>
      </c>
    </row>
    <row r="4968">
      <c r="A4968" s="40">
        <f t="array" ref="A4968">IFNA(index(PlayerValues!A:A,match(IFNA(vlookup(B4968,'Special Names'!A:B,2,FALSE),B4968),PlayerValues!E:E,0)),"N/A")</f>
        <v>17337</v>
      </c>
      <c r="B4968" s="4" t="s">
        <v>793</v>
      </c>
      <c r="C4968" s="4" t="s">
        <v>278</v>
      </c>
      <c r="D4968" s="94">
        <v>869.0</v>
      </c>
    </row>
    <row r="4969">
      <c r="A4969" s="40">
        <f t="array" ref="A4969">IFNA(index(PlayerValues!A:A,match(IFNA(vlookup(B4969,'Special Names'!A:B,2,FALSE),B4969),PlayerValues!E:E,0)),"N/A")</f>
        <v>14358</v>
      </c>
      <c r="B4969" s="4" t="s">
        <v>813</v>
      </c>
      <c r="C4969" s="4" t="s">
        <v>283</v>
      </c>
      <c r="D4969" s="94">
        <v>857.0</v>
      </c>
    </row>
    <row r="4970">
      <c r="A4970" s="40">
        <f t="array" ref="A4970">IFNA(index(PlayerValues!A:A,match(IFNA(vlookup(B4970,'Special Names'!A:B,2,FALSE),B4970),PlayerValues!E:E,0)),"N/A")</f>
        <v>15804</v>
      </c>
      <c r="B4970" s="4" t="s">
        <v>821</v>
      </c>
      <c r="C4970" s="4" t="s">
        <v>298</v>
      </c>
      <c r="D4970" s="94">
        <v>1226.0</v>
      </c>
    </row>
    <row r="4971">
      <c r="A4971" s="40">
        <f t="array" ref="A4971">IFNA(index(PlayerValues!A:A,match(IFNA(vlookup(B4971,'Special Names'!A:B,2,FALSE),B4971),PlayerValues!E:E,0)),"N/A")</f>
        <v>15271</v>
      </c>
      <c r="B4971" s="4" t="s">
        <v>741</v>
      </c>
      <c r="C4971" s="4" t="s">
        <v>278</v>
      </c>
      <c r="D4971" s="94">
        <v>844.0</v>
      </c>
    </row>
    <row r="4972">
      <c r="A4972" s="40">
        <f t="array" ref="A4972">IFNA(index(PlayerValues!A:A,match(IFNA(vlookup(B4972,'Special Names'!A:B,2,FALSE),B4972),PlayerValues!E:E,0)),"N/A")</f>
        <v>14223</v>
      </c>
      <c r="B4972" s="4" t="s">
        <v>785</v>
      </c>
      <c r="C4972" s="4" t="s">
        <v>278</v>
      </c>
      <c r="D4972" s="94">
        <v>837.0</v>
      </c>
    </row>
    <row r="4973">
      <c r="A4973" s="40">
        <f t="array" ref="A4973">IFNA(index(PlayerValues!A:A,match(IFNA(vlookup(B4973,'Special Names'!A:B,2,FALSE),B4973),PlayerValues!E:E,0)),"N/A")</f>
        <v>16623</v>
      </c>
      <c r="B4973" s="4" t="s">
        <v>803</v>
      </c>
      <c r="C4973" s="4" t="s">
        <v>287</v>
      </c>
      <c r="D4973" s="94">
        <v>830.0</v>
      </c>
    </row>
    <row r="4974">
      <c r="A4974" s="40">
        <f t="array" ref="A4974">IFNA(index(PlayerValues!A:A,match(IFNA(vlookup(B4974,'Special Names'!A:B,2,FALSE),B4974),PlayerValues!E:E,0)),"N/A")</f>
        <v>13156</v>
      </c>
      <c r="B4974" s="4" t="s">
        <v>835</v>
      </c>
      <c r="C4974" s="4" t="s">
        <v>287</v>
      </c>
      <c r="D4974" s="94">
        <v>827.0</v>
      </c>
    </row>
    <row r="4975">
      <c r="A4975" s="40">
        <f t="array" ref="A4975">IFNA(index(PlayerValues!A:A,match(IFNA(vlookup(B4975,'Special Names'!A:B,2,FALSE),B4975),PlayerValues!E:E,0)),"N/A")</f>
        <v>16170</v>
      </c>
      <c r="B4975" s="4" t="s">
        <v>801</v>
      </c>
      <c r="C4975" s="4" t="s">
        <v>278</v>
      </c>
      <c r="D4975" s="94">
        <v>817.0</v>
      </c>
    </row>
    <row r="4976">
      <c r="A4976" s="40">
        <f t="array" ref="A4976">IFNA(index(PlayerValues!A:A,match(IFNA(vlookup(B4976,'Special Names'!A:B,2,FALSE),B4976),PlayerValues!E:E,0)),"N/A")</f>
        <v>16625</v>
      </c>
      <c r="B4976" s="4" t="s">
        <v>778</v>
      </c>
      <c r="C4976" s="4" t="s">
        <v>287</v>
      </c>
      <c r="D4976" s="94">
        <v>814.0</v>
      </c>
    </row>
    <row r="4977">
      <c r="A4977" s="40">
        <f t="array" ref="A4977">IFNA(index(PlayerValues!A:A,match(IFNA(vlookup(B4977,'Special Names'!A:B,2,FALSE),B4977),PlayerValues!E:E,0)),"N/A")</f>
        <v>16686</v>
      </c>
      <c r="B4977" s="4" t="s">
        <v>805</v>
      </c>
      <c r="C4977" s="4" t="s">
        <v>287</v>
      </c>
      <c r="D4977" s="94">
        <v>807.0</v>
      </c>
    </row>
    <row r="4978">
      <c r="A4978" s="40">
        <f t="array" ref="A4978">IFNA(index(PlayerValues!A:A,match(IFNA(vlookup(B4978,'Special Names'!A:B,2,FALSE),B4978),PlayerValues!E:E,0)),"N/A")</f>
        <v>14805</v>
      </c>
      <c r="B4978" s="4" t="s">
        <v>770</v>
      </c>
      <c r="C4978" s="4" t="s">
        <v>278</v>
      </c>
      <c r="D4978" s="94">
        <v>806.0</v>
      </c>
    </row>
    <row r="4979">
      <c r="A4979" s="40">
        <f t="array" ref="A4979">IFNA(index(PlayerValues!A:A,match(IFNA(vlookup(B4979,'Special Names'!A:B,2,FALSE),B4979),PlayerValues!E:E,0)),"N/A")</f>
        <v>13157</v>
      </c>
      <c r="B4979" s="4" t="s">
        <v>836</v>
      </c>
      <c r="C4979" s="4" t="s">
        <v>287</v>
      </c>
      <c r="D4979" s="94">
        <v>776.0</v>
      </c>
    </row>
    <row r="4980">
      <c r="A4980" s="40">
        <f t="array" ref="A4980">IFNA(index(PlayerValues!A:A,match(IFNA(vlookup(B4980,'Special Names'!A:B,2,FALSE),B4980),PlayerValues!E:E,0)),"N/A")</f>
        <v>14852</v>
      </c>
      <c r="B4980" s="4" t="s">
        <v>837</v>
      </c>
      <c r="C4980" s="4" t="s">
        <v>278</v>
      </c>
      <c r="D4980" s="94">
        <v>775.0</v>
      </c>
    </row>
    <row r="4981">
      <c r="A4981" s="40">
        <f t="array" ref="A4981">IFNA(index(PlayerValues!A:A,match(IFNA(vlookup(B4981,'Special Names'!A:B,2,FALSE),B4981),PlayerValues!E:E,0)),"N/A")</f>
        <v>15285</v>
      </c>
      <c r="B4981" s="4" t="s">
        <v>792</v>
      </c>
      <c r="C4981" s="4" t="s">
        <v>287</v>
      </c>
      <c r="D4981" s="94">
        <v>755.0</v>
      </c>
    </row>
    <row r="4982">
      <c r="A4982" s="40">
        <f t="array" ref="A4982">IFNA(index(PlayerValues!A:A,match(IFNA(vlookup(B4982,'Special Names'!A:B,2,FALSE),B4982),PlayerValues!E:E,0)),"N/A")</f>
        <v>17038</v>
      </c>
      <c r="B4982" s="4" t="s">
        <v>774</v>
      </c>
      <c r="C4982" s="4" t="s">
        <v>283</v>
      </c>
      <c r="D4982" s="94">
        <v>755.0</v>
      </c>
    </row>
    <row r="4983">
      <c r="A4983" s="40">
        <f t="array" ref="A4983">IFNA(index(PlayerValues!A:A,match(IFNA(vlookup(B4983,'Special Names'!A:B,2,FALSE),B4983),PlayerValues!E:E,0)),"N/A")</f>
        <v>14858</v>
      </c>
      <c r="B4983" s="4" t="s">
        <v>799</v>
      </c>
      <c r="C4983" s="4" t="s">
        <v>287</v>
      </c>
      <c r="D4983" s="94">
        <v>749.0</v>
      </c>
    </row>
    <row r="4984">
      <c r="A4984" s="40">
        <f t="array" ref="A4984">IFNA(index(PlayerValues!A:A,match(IFNA(vlookup(B4984,'Special Names'!A:B,2,FALSE),B4984),PlayerValues!E:E,0)),"N/A")</f>
        <v>15965</v>
      </c>
      <c r="B4984" s="4" t="s">
        <v>791</v>
      </c>
      <c r="C4984" s="4" t="s">
        <v>278</v>
      </c>
      <c r="D4984" s="94">
        <v>748.0</v>
      </c>
    </row>
    <row r="4985">
      <c r="A4985" s="40">
        <f t="array" ref="A4985">IFNA(index(PlayerValues!A:A,match(IFNA(vlookup(B4985,'Special Names'!A:B,2,FALSE),B4985),PlayerValues!E:E,0)),"N/A")</f>
        <v>12610</v>
      </c>
      <c r="B4985" s="4" t="s">
        <v>838</v>
      </c>
      <c r="C4985" s="4" t="s">
        <v>283</v>
      </c>
      <c r="D4985" s="94">
        <v>744.0</v>
      </c>
    </row>
    <row r="4986">
      <c r="A4986" s="40">
        <f t="array" ref="A4986">IFNA(index(PlayerValues!A:A,match(IFNA(vlookup(B4986,'Special Names'!A:B,2,FALSE),B4986),PlayerValues!E:E,0)),"N/A")</f>
        <v>14113</v>
      </c>
      <c r="B4986" s="4" t="s">
        <v>788</v>
      </c>
      <c r="C4986" s="4" t="s">
        <v>287</v>
      </c>
      <c r="D4986" s="94">
        <v>742.0</v>
      </c>
    </row>
    <row r="4987">
      <c r="A4987" s="40">
        <f t="array" ref="A4987">IFNA(index(PlayerValues!A:A,match(IFNA(vlookup(B4987,'Special Names'!A:B,2,FALSE),B4987),PlayerValues!E:E,0)),"N/A")</f>
        <v>14209</v>
      </c>
      <c r="B4987" s="4" t="s">
        <v>809</v>
      </c>
      <c r="C4987" s="4" t="s">
        <v>298</v>
      </c>
      <c r="D4987" s="94">
        <v>1109.0</v>
      </c>
    </row>
    <row r="4988">
      <c r="A4988" s="40">
        <f t="array" ref="A4988">IFNA(index(PlayerValues!A:A,match(IFNA(vlookup(B4988,'Special Names'!A:B,2,FALSE),B4988),PlayerValues!E:E,0)),"N/A")</f>
        <v>13176</v>
      </c>
      <c r="B4988" s="4" t="s">
        <v>807</v>
      </c>
      <c r="C4988" s="4" t="s">
        <v>287</v>
      </c>
      <c r="D4988" s="94">
        <v>741.0</v>
      </c>
    </row>
    <row r="4989">
      <c r="A4989" s="40">
        <f t="array" ref="A4989">IFNA(index(PlayerValues!A:A,match(IFNA(vlookup(B4989,'Special Names'!A:B,2,FALSE),B4989),PlayerValues!E:E,0)),"N/A")</f>
        <v>15714</v>
      </c>
      <c r="B4989" s="4" t="s">
        <v>775</v>
      </c>
      <c r="C4989" s="4" t="s">
        <v>278</v>
      </c>
      <c r="D4989" s="94">
        <v>740.0</v>
      </c>
    </row>
    <row r="4990">
      <c r="A4990" s="40">
        <f t="array" ref="A4990">IFNA(index(PlayerValues!A:A,match(IFNA(vlookup(B4990,'Special Names'!A:B,2,FALSE),B4990),PlayerValues!E:E,0)),"N/A")</f>
        <v>13675</v>
      </c>
      <c r="B4990" s="4" t="s">
        <v>839</v>
      </c>
      <c r="C4990" s="4" t="s">
        <v>298</v>
      </c>
      <c r="D4990" s="94">
        <v>1106.0</v>
      </c>
    </row>
    <row r="4991">
      <c r="A4991" s="40">
        <f t="array" ref="A4991">IFNA(index(PlayerValues!A:A,match(IFNA(vlookup(B4991,'Special Names'!A:B,2,FALSE),B4991),PlayerValues!E:E,0)),"N/A")</f>
        <v>17541</v>
      </c>
      <c r="B4991" s="4" t="s">
        <v>616</v>
      </c>
      <c r="C4991" s="4" t="s">
        <v>287</v>
      </c>
      <c r="D4991" s="94">
        <v>722.0</v>
      </c>
    </row>
    <row r="4992">
      <c r="A4992" s="40">
        <f t="array" ref="A4992">IFNA(index(PlayerValues!A:A,match(IFNA(vlookup(B4992,'Special Names'!A:B,2,FALSE),B4992),PlayerValues!E:E,0)),"N/A")</f>
        <v>16413</v>
      </c>
      <c r="B4992" s="4" t="s">
        <v>781</v>
      </c>
      <c r="C4992" s="4" t="s">
        <v>287</v>
      </c>
      <c r="D4992" s="94">
        <v>716.0</v>
      </c>
    </row>
    <row r="4993">
      <c r="A4993" s="40">
        <f t="array" ref="A4993">IFNA(index(PlayerValues!A:A,match(IFNA(vlookup(B4993,'Special Names'!A:B,2,FALSE),B4993),PlayerValues!E:E,0)),"N/A")</f>
        <v>13172</v>
      </c>
      <c r="B4993" s="4" t="s">
        <v>840</v>
      </c>
      <c r="C4993" s="4" t="s">
        <v>287</v>
      </c>
      <c r="D4993" s="94">
        <v>712.0</v>
      </c>
    </row>
    <row r="4994">
      <c r="A4994" s="40">
        <f t="array" ref="A4994">IFNA(index(PlayerValues!A:A,match(IFNA(vlookup(B4994,'Special Names'!A:B,2,FALSE),B4994),PlayerValues!E:E,0)),"N/A")</f>
        <v>10413</v>
      </c>
      <c r="B4994" s="4" t="s">
        <v>811</v>
      </c>
      <c r="C4994" s="4" t="s">
        <v>283</v>
      </c>
      <c r="D4994" s="94">
        <v>705.0</v>
      </c>
    </row>
    <row r="4995">
      <c r="A4995" s="40">
        <f t="array" ref="A4995">IFNA(index(PlayerValues!A:A,match(IFNA(vlookup(B4995,'Special Names'!A:B,2,FALSE),B4995),PlayerValues!E:E,0)),"N/A")</f>
        <v>17232</v>
      </c>
      <c r="B4995" s="4" t="s">
        <v>784</v>
      </c>
      <c r="C4995" s="4" t="s">
        <v>287</v>
      </c>
      <c r="D4995" s="94">
        <v>700.0</v>
      </c>
    </row>
    <row r="4996">
      <c r="A4996" s="40">
        <f t="array" ref="A4996">IFNA(index(PlayerValues!A:A,match(IFNA(vlookup(B4996,'Special Names'!A:B,2,FALSE),B4996),PlayerValues!E:E,0)),"N/A")</f>
        <v>17470</v>
      </c>
      <c r="B4996" s="4" t="s">
        <v>841</v>
      </c>
      <c r="C4996" s="4" t="s">
        <v>283</v>
      </c>
      <c r="D4996" s="94">
        <v>699.0</v>
      </c>
    </row>
    <row r="4997">
      <c r="A4997" s="40">
        <f t="array" ref="A4997">IFNA(index(PlayerValues!A:A,match(IFNA(vlookup(B4997,'Special Names'!A:B,2,FALSE),B4997),PlayerValues!E:E,0)),"N/A")</f>
        <v>12658</v>
      </c>
      <c r="B4997" s="4" t="s">
        <v>823</v>
      </c>
      <c r="C4997" s="4" t="s">
        <v>287</v>
      </c>
      <c r="D4997" s="94">
        <v>690.0</v>
      </c>
    </row>
    <row r="4998">
      <c r="A4998" s="40">
        <f t="array" ref="A4998">IFNA(index(PlayerValues!A:A,match(IFNA(vlookup(B4998,'Special Names'!A:B,2,FALSE),B4998),PlayerValues!E:E,0)),"N/A")</f>
        <v>16632</v>
      </c>
      <c r="B4998" s="4" t="s">
        <v>842</v>
      </c>
      <c r="C4998" s="4" t="s">
        <v>287</v>
      </c>
      <c r="D4998" s="94">
        <v>690.0</v>
      </c>
    </row>
    <row r="4999">
      <c r="A4999" s="40">
        <f t="array" ref="A4999">IFNA(index(PlayerValues!A:A,match(IFNA(vlookup(B4999,'Special Names'!A:B,2,FALSE),B4999),PlayerValues!E:E,0)),"N/A")</f>
        <v>14870</v>
      </c>
      <c r="B4999" s="4" t="s">
        <v>843</v>
      </c>
      <c r="C4999" s="4" t="s">
        <v>298</v>
      </c>
      <c r="D4999" s="94">
        <v>1054.0</v>
      </c>
    </row>
    <row r="5000">
      <c r="A5000" s="40">
        <f t="array" ref="A5000">IFNA(index(PlayerValues!A:A,match(IFNA(vlookup(B5000,'Special Names'!A:B,2,FALSE),B5000),PlayerValues!E:E,0)),"N/A")</f>
        <v>17526</v>
      </c>
      <c r="B5000" s="4" t="s">
        <v>760</v>
      </c>
      <c r="C5000" s="4" t="s">
        <v>287</v>
      </c>
      <c r="D5000" s="94">
        <v>686.0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13589</v>
      </c>
      <c r="B1" s="4" t="s">
        <v>282</v>
      </c>
      <c r="C1" s="4" t="s">
        <v>283</v>
      </c>
      <c r="D1" s="94">
        <v>9999.0</v>
      </c>
    </row>
    <row r="2">
      <c r="A2" s="40">
        <f t="array" ref="A2">IFNA(index(PlayerValues!A:A,match(IFNA(vlookup(B2,'Special Names'!A:B,2,FALSE),B2),PlayerValues!E:E,0)),"N/A")</f>
        <v>16161</v>
      </c>
      <c r="B2" s="4" t="s">
        <v>277</v>
      </c>
      <c r="C2" s="4" t="s">
        <v>278</v>
      </c>
      <c r="D2" s="94">
        <v>9994.0</v>
      </c>
    </row>
    <row r="3">
      <c r="A3" s="40">
        <f t="array" ref="A3">IFNA(index(PlayerValues!A:A,match(IFNA(vlookup(B3,'Special Names'!A:B,2,FALSE),B3),PlayerValues!E:E,0)),"N/A")</f>
        <v>15281</v>
      </c>
      <c r="B3" s="4" t="s">
        <v>286</v>
      </c>
      <c r="C3" s="4" t="s">
        <v>287</v>
      </c>
      <c r="D3" s="94">
        <v>9953.0</v>
      </c>
    </row>
    <row r="4">
      <c r="A4" s="40">
        <f t="array" ref="A4">IFNA(index(PlayerValues!A:A,match(IFNA(vlookup(B4,'Special Names'!A:B,2,FALSE),B4),PlayerValues!E:E,0)),"N/A")</f>
        <v>16185</v>
      </c>
      <c r="B4" s="4" t="s">
        <v>290</v>
      </c>
      <c r="C4" s="4" t="s">
        <v>287</v>
      </c>
      <c r="D4" s="94">
        <v>9888.0</v>
      </c>
    </row>
    <row r="5">
      <c r="A5" s="40">
        <f t="array" ref="A5">IFNA(index(PlayerValues!A:A,match(IFNA(vlookup(B5,'Special Names'!A:B,2,FALSE),B5),PlayerValues!E:E,0)),"N/A")</f>
        <v>16580</v>
      </c>
      <c r="B5" s="4" t="s">
        <v>291</v>
      </c>
      <c r="C5" s="4" t="s">
        <v>283</v>
      </c>
      <c r="D5" s="94">
        <v>9607.0</v>
      </c>
    </row>
    <row r="6">
      <c r="A6" s="40">
        <f t="array" ref="A6">IFNA(index(PlayerValues!A:A,match(IFNA(vlookup(B6,'Special Names'!A:B,2,FALSE),B6),PlayerValues!E:E,0)),"N/A")</f>
        <v>16211</v>
      </c>
      <c r="B6" s="4" t="s">
        <v>294</v>
      </c>
      <c r="C6" s="4" t="s">
        <v>287</v>
      </c>
      <c r="D6" s="94">
        <v>9507.0</v>
      </c>
    </row>
    <row r="7">
      <c r="A7" s="40">
        <f t="array" ref="A7">IFNA(index(PlayerValues!A:A,match(IFNA(vlookup(B7,'Special Names'!A:B,2,FALSE),B7),PlayerValues!E:E,0)),"N/A")</f>
        <v>16162</v>
      </c>
      <c r="B7" s="4" t="s">
        <v>281</v>
      </c>
      <c r="C7" s="4" t="s">
        <v>278</v>
      </c>
      <c r="D7" s="94">
        <v>9414.0</v>
      </c>
    </row>
    <row r="8">
      <c r="A8" s="40">
        <f t="array" ref="A8">IFNA(index(PlayerValues!A:A,match(IFNA(vlookup(B8,'Special Names'!A:B,2,FALSE),B8),PlayerValues!E:E,0)),"N/A")</f>
        <v>16615</v>
      </c>
      <c r="B8" s="4" t="s">
        <v>309</v>
      </c>
      <c r="C8" s="4" t="s">
        <v>287</v>
      </c>
      <c r="D8" s="94">
        <v>7733.0</v>
      </c>
    </row>
    <row r="9">
      <c r="A9" s="40">
        <f t="array" ref="A9">IFNA(index(PlayerValues!A:A,match(IFNA(vlookup(B9,'Special Names'!A:B,2,FALSE),B9),PlayerValues!E:E,0)),"N/A")</f>
        <v>15287</v>
      </c>
      <c r="B9" s="4" t="s">
        <v>299</v>
      </c>
      <c r="C9" s="4" t="s">
        <v>287</v>
      </c>
      <c r="D9" s="94">
        <v>7681.0</v>
      </c>
    </row>
    <row r="10">
      <c r="A10" s="40">
        <f t="array" ref="A10">IFNA(index(PlayerValues!A:A,match(IFNA(vlookup(B10,'Special Names'!A:B,2,FALSE),B10),PlayerValues!E:E,0)),"N/A")</f>
        <v>15794</v>
      </c>
      <c r="B10" s="4" t="s">
        <v>313</v>
      </c>
      <c r="C10" s="4" t="s">
        <v>298</v>
      </c>
      <c r="D10" s="94">
        <v>8496.0</v>
      </c>
    </row>
    <row r="11">
      <c r="A11" s="40">
        <f t="array" ref="A11">IFNA(index(PlayerValues!A:A,match(IFNA(vlookup(B11,'Special Names'!A:B,2,FALSE),B11),PlayerValues!E:E,0)),"N/A")</f>
        <v>16579</v>
      </c>
      <c r="B11" s="4" t="s">
        <v>302</v>
      </c>
      <c r="C11" s="4" t="s">
        <v>283</v>
      </c>
      <c r="D11" s="94">
        <v>7666.0</v>
      </c>
    </row>
    <row r="12">
      <c r="A12" s="40">
        <f t="array" ref="A12">IFNA(index(PlayerValues!A:A,match(IFNA(vlookup(B12,'Special Names'!A:B,2,FALSE),B12),PlayerValues!E:E,0)),"N/A")</f>
        <v>16641</v>
      </c>
      <c r="B12" s="4" t="s">
        <v>297</v>
      </c>
      <c r="C12" s="4" t="s">
        <v>298</v>
      </c>
      <c r="D12" s="94">
        <v>8472.0</v>
      </c>
    </row>
    <row r="13">
      <c r="A13" s="40">
        <f t="array" ref="A13">IFNA(index(PlayerValues!A:A,match(IFNA(vlookup(B13,'Special Names'!A:B,2,FALSE),B13),PlayerValues!E:E,0)),"N/A")</f>
        <v>16581</v>
      </c>
      <c r="B13" s="4" t="s">
        <v>315</v>
      </c>
      <c r="C13" s="4" t="s">
        <v>283</v>
      </c>
      <c r="D13" s="94">
        <v>7612.0</v>
      </c>
    </row>
    <row r="14">
      <c r="A14" s="40">
        <f t="array" ref="A14">IFNA(index(PlayerValues!A:A,match(IFNA(vlookup(B14,'Special Names'!A:B,2,FALSE),B14),PlayerValues!E:E,0)),"N/A")</f>
        <v>13593</v>
      </c>
      <c r="B14" s="4" t="s">
        <v>305</v>
      </c>
      <c r="C14" s="4" t="s">
        <v>283</v>
      </c>
      <c r="D14" s="94">
        <v>7546.0</v>
      </c>
    </row>
    <row r="15">
      <c r="A15" s="40">
        <f t="array" ref="A15">IFNA(index(PlayerValues!A:A,match(IFNA(vlookup(B15,'Special Names'!A:B,2,FALSE),B15),PlayerValues!E:E,0)),"N/A")</f>
        <v>14836</v>
      </c>
      <c r="B15" s="4" t="s">
        <v>306</v>
      </c>
      <c r="C15" s="4" t="s">
        <v>287</v>
      </c>
      <c r="D15" s="94">
        <v>7390.0</v>
      </c>
    </row>
    <row r="16">
      <c r="A16" s="40">
        <f t="array" ref="A16">IFNA(index(PlayerValues!A:A,match(IFNA(vlookup(B16,'Special Names'!A:B,2,FALSE),B16),PlayerValues!E:E,0)),"N/A")</f>
        <v>14832</v>
      </c>
      <c r="B16" s="4" t="s">
        <v>319</v>
      </c>
      <c r="C16" s="4" t="s">
        <v>287</v>
      </c>
      <c r="D16" s="94">
        <v>7338.0</v>
      </c>
    </row>
    <row r="17">
      <c r="A17" s="40">
        <f t="array" ref="A17">IFNA(index(PlayerValues!A:A,match(IFNA(vlookup(B17,'Special Names'!A:B,2,FALSE),B17),PlayerValues!E:E,0)),"N/A")</f>
        <v>17042</v>
      </c>
      <c r="B17" s="4" t="s">
        <v>314</v>
      </c>
      <c r="C17" s="4" t="s">
        <v>278</v>
      </c>
      <c r="D17" s="94">
        <v>7224.0</v>
      </c>
    </row>
    <row r="18">
      <c r="A18" s="40">
        <f t="array" ref="A18">IFNA(index(PlayerValues!A:A,match(IFNA(vlookup(B18,'Special Names'!A:B,2,FALSE),B18),PlayerValues!E:E,0)),"N/A")</f>
        <v>14777</v>
      </c>
      <c r="B18" s="4" t="s">
        <v>318</v>
      </c>
      <c r="C18" s="4" t="s">
        <v>283</v>
      </c>
      <c r="D18" s="94">
        <v>7223.0</v>
      </c>
    </row>
    <row r="19">
      <c r="A19" s="40">
        <f t="array" ref="A19">IFNA(index(PlayerValues!A:A,match(IFNA(vlookup(B19,'Special Names'!A:B,2,FALSE),B19),PlayerValues!E:E,0)),"N/A")</f>
        <v>16167</v>
      </c>
      <c r="B19" s="4" t="s">
        <v>323</v>
      </c>
      <c r="C19" s="4" t="s">
        <v>278</v>
      </c>
      <c r="D19" s="94">
        <v>7035.0</v>
      </c>
    </row>
    <row r="20">
      <c r="A20" s="40">
        <f t="array" ref="A20">IFNA(index(PlayerValues!A:A,match(IFNA(vlookup(B20,'Special Names'!A:B,2,FALSE),B20),PlayerValues!E:E,0)),"N/A")</f>
        <v>15751</v>
      </c>
      <c r="B20" s="4" t="s">
        <v>328</v>
      </c>
      <c r="C20" s="4" t="s">
        <v>287</v>
      </c>
      <c r="D20" s="94">
        <v>7030.0</v>
      </c>
    </row>
    <row r="21">
      <c r="A21" s="40">
        <f t="array" ref="A21">IFNA(index(PlayerValues!A:A,match(IFNA(vlookup(B21,'Special Names'!A:B,2,FALSE),B21),PlayerValues!E:E,0)),"N/A")</f>
        <v>17472</v>
      </c>
      <c r="B21" s="4" t="s">
        <v>310</v>
      </c>
      <c r="C21" s="4" t="s">
        <v>278</v>
      </c>
      <c r="D21" s="94">
        <v>6935.0</v>
      </c>
    </row>
    <row r="22">
      <c r="A22" s="40">
        <f t="array" ref="A22">IFNA(index(PlayerValues!A:A,match(IFNA(vlookup(B22,'Special Names'!A:B,2,FALSE),B22),PlayerValues!E:E,0)),"N/A")</f>
        <v>14779</v>
      </c>
      <c r="B22" s="4" t="s">
        <v>327</v>
      </c>
      <c r="C22" s="4" t="s">
        <v>283</v>
      </c>
      <c r="D22" s="94">
        <v>6889.0</v>
      </c>
    </row>
    <row r="23">
      <c r="A23" s="40" t="str">
        <f t="array" ref="A23">IFNA(index(PlayerValues!A:A,match(IFNA(vlookup(B23,'Special Names'!A:B,2,FALSE),B23),PlayerValues!E:E,0)),"N/A")</f>
        <v>N/A</v>
      </c>
      <c r="B23" s="4" t="s">
        <v>92</v>
      </c>
      <c r="C23" s="4" t="s">
        <v>325</v>
      </c>
      <c r="D23" s="94">
        <v>6650.0</v>
      </c>
    </row>
    <row r="24">
      <c r="A24" s="40">
        <f t="array" ref="A24">IFNA(index(PlayerValues!A:A,match(IFNA(vlookup(B24,'Special Names'!A:B,2,FALSE),B24),PlayerValues!E:E,0)),"N/A")</f>
        <v>17044</v>
      </c>
      <c r="B24" s="4" t="s">
        <v>322</v>
      </c>
      <c r="C24" s="4" t="s">
        <v>278</v>
      </c>
      <c r="D24" s="94">
        <v>6641.0</v>
      </c>
    </row>
    <row r="25">
      <c r="A25" s="40">
        <f t="array" ref="A25">IFNA(index(PlayerValues!A:A,match(IFNA(vlookup(B25,'Special Names'!A:B,2,FALSE),B25),PlayerValues!E:E,0)),"N/A")</f>
        <v>17032</v>
      </c>
      <c r="B25" s="4" t="s">
        <v>348</v>
      </c>
      <c r="C25" s="4" t="s">
        <v>283</v>
      </c>
      <c r="D25" s="94">
        <v>6630.0</v>
      </c>
    </row>
    <row r="26">
      <c r="A26" s="40">
        <f t="array" ref="A26">IFNA(index(PlayerValues!A:A,match(IFNA(vlookup(B26,'Special Names'!A:B,2,FALSE),B26),PlayerValues!E:E,0)),"N/A")</f>
        <v>17071</v>
      </c>
      <c r="B26" s="4" t="s">
        <v>341</v>
      </c>
      <c r="C26" s="4" t="s">
        <v>287</v>
      </c>
      <c r="D26" s="94">
        <v>6609.0</v>
      </c>
    </row>
    <row r="27">
      <c r="A27" s="40">
        <f t="array" ref="A27">IFNA(index(PlayerValues!A:A,match(IFNA(vlookup(B27,'Special Names'!A:B,2,FALSE),B27),PlayerValues!E:E,0)),"N/A")</f>
        <v>13116</v>
      </c>
      <c r="B27" s="4" t="s">
        <v>345</v>
      </c>
      <c r="C27" s="4" t="s">
        <v>283</v>
      </c>
      <c r="D27" s="94">
        <v>6579.0</v>
      </c>
    </row>
    <row r="28">
      <c r="A28" s="40">
        <f t="array" ref="A28">IFNA(index(PlayerValues!A:A,match(IFNA(vlookup(B28,'Special Names'!A:B,2,FALSE),B28),PlayerValues!E:E,0)),"N/A")</f>
        <v>14783</v>
      </c>
      <c r="B28" s="4" t="s">
        <v>342</v>
      </c>
      <c r="C28" s="4" t="s">
        <v>283</v>
      </c>
      <c r="D28" s="94">
        <v>6348.0</v>
      </c>
    </row>
    <row r="29">
      <c r="A29" s="40">
        <f t="array" ref="A29">IFNA(index(PlayerValues!A:A,match(IFNA(vlookup(B29,'Special Names'!A:B,2,FALSE),B29),PlayerValues!E:E,0)),"N/A")</f>
        <v>15237</v>
      </c>
      <c r="B29" s="4" t="s">
        <v>336</v>
      </c>
      <c r="C29" s="4" t="s">
        <v>283</v>
      </c>
      <c r="D29" s="94">
        <v>6333.0</v>
      </c>
    </row>
    <row r="30">
      <c r="A30" s="40">
        <f t="array" ref="A30">IFNA(index(PlayerValues!A:A,match(IFNA(vlookup(B30,'Special Names'!A:B,2,FALSE),B30),PlayerValues!E:E,0)),"N/A")</f>
        <v>15715</v>
      </c>
      <c r="B30" s="4" t="s">
        <v>331</v>
      </c>
      <c r="C30" s="4" t="s">
        <v>278</v>
      </c>
      <c r="D30" s="94">
        <v>6171.0</v>
      </c>
    </row>
    <row r="31">
      <c r="A31" s="40">
        <f t="array" ref="A31">IFNA(index(PlayerValues!A:A,match(IFNA(vlookup(B31,'Special Names'!A:B,2,FALSE),B31),PlayerValues!E:E,0)),"N/A")</f>
        <v>15762</v>
      </c>
      <c r="B31" s="4" t="s">
        <v>337</v>
      </c>
      <c r="C31" s="4" t="s">
        <v>287</v>
      </c>
      <c r="D31" s="94">
        <v>6154.0</v>
      </c>
    </row>
    <row r="32">
      <c r="A32" s="40">
        <f t="array" ref="A32">IFNA(index(PlayerValues!A:A,match(IFNA(vlookup(B32,'Special Names'!A:B,2,FALSE),B32),PlayerValues!E:E,0)),"N/A")</f>
        <v>16582</v>
      </c>
      <c r="B32" s="4" t="s">
        <v>343</v>
      </c>
      <c r="C32" s="4" t="s">
        <v>283</v>
      </c>
      <c r="D32" s="94">
        <v>6130.0</v>
      </c>
    </row>
    <row r="33">
      <c r="A33" s="40">
        <f t="array" ref="A33">IFNA(index(PlayerValues!A:A,match(IFNA(vlookup(B33,'Special Names'!A:B,2,FALSE),B33),PlayerValues!E:E,0)),"N/A")</f>
        <v>14802</v>
      </c>
      <c r="B33" s="4" t="s">
        <v>332</v>
      </c>
      <c r="C33" s="4" t="s">
        <v>278</v>
      </c>
      <c r="D33" s="94">
        <v>6119.0</v>
      </c>
    </row>
    <row r="34">
      <c r="A34" s="40">
        <f t="array" ref="A34">IFNA(index(PlayerValues!A:A,match(IFNA(vlookup(B34,'Special Names'!A:B,2,FALSE),B34),PlayerValues!E:E,0)),"N/A")</f>
        <v>15698</v>
      </c>
      <c r="B34" s="4" t="s">
        <v>358</v>
      </c>
      <c r="C34" s="4" t="s">
        <v>283</v>
      </c>
      <c r="D34" s="94">
        <v>6117.0</v>
      </c>
    </row>
    <row r="35">
      <c r="A35" s="40">
        <f t="array" ref="A35">IFNA(index(PlayerValues!A:A,match(IFNA(vlookup(B35,'Special Names'!A:B,2,FALSE),B35),PlayerValues!E:E,0)),"N/A")</f>
        <v>15290</v>
      </c>
      <c r="B35" s="4" t="s">
        <v>355</v>
      </c>
      <c r="C35" s="4" t="s">
        <v>287</v>
      </c>
      <c r="D35" s="94">
        <v>5988.0</v>
      </c>
    </row>
    <row r="36">
      <c r="A36" s="40">
        <f t="array" ref="A36">IFNA(index(PlayerValues!A:A,match(IFNA(vlookup(B36,'Special Names'!A:B,2,FALSE),B36),PlayerValues!E:E,0)),"N/A")</f>
        <v>17081</v>
      </c>
      <c r="B36" s="4" t="s">
        <v>340</v>
      </c>
      <c r="C36" s="4" t="s">
        <v>287</v>
      </c>
      <c r="D36" s="94">
        <v>5978.0</v>
      </c>
    </row>
    <row r="37">
      <c r="A37" s="40" t="str">
        <f t="array" ref="A37">IFNA(index(PlayerValues!A:A,match(IFNA(vlookup(B37,'Special Names'!A:B,2,FALSE),B37),PlayerValues!E:E,0)),"N/A")</f>
        <v>N/A</v>
      </c>
      <c r="B37" s="4" t="s">
        <v>79</v>
      </c>
      <c r="C37" s="4" t="s">
        <v>325</v>
      </c>
      <c r="D37" s="94">
        <v>5961.0</v>
      </c>
    </row>
    <row r="38">
      <c r="A38" s="40">
        <f t="array" ref="A38">IFNA(index(PlayerValues!A:A,match(IFNA(vlookup(B38,'Special Names'!A:B,2,FALSE),B38),PlayerValues!E:E,0)),"N/A")</f>
        <v>17104</v>
      </c>
      <c r="B38" s="4" t="s">
        <v>333</v>
      </c>
      <c r="C38" s="4" t="s">
        <v>298</v>
      </c>
      <c r="D38" s="94">
        <v>6615.0</v>
      </c>
    </row>
    <row r="39">
      <c r="A39" s="40">
        <f t="array" ref="A39">IFNA(index(PlayerValues!A:A,match(IFNA(vlookup(B39,'Special Names'!A:B,2,FALSE),B39),PlayerValues!E:E,0)),"N/A")</f>
        <v>17043</v>
      </c>
      <c r="B39" s="4" t="s">
        <v>397</v>
      </c>
      <c r="C39" s="4" t="s">
        <v>278</v>
      </c>
      <c r="D39" s="94">
        <v>5888.0</v>
      </c>
    </row>
    <row r="40">
      <c r="A40" s="40">
        <f t="array" ref="A40">IFNA(index(PlayerValues!A:A,match(IFNA(vlookup(B40,'Special Names'!A:B,2,FALSE),B40),PlayerValues!E:E,0)),"N/A")</f>
        <v>15753</v>
      </c>
      <c r="B40" s="4" t="s">
        <v>359</v>
      </c>
      <c r="C40" s="4" t="s">
        <v>287</v>
      </c>
      <c r="D40" s="94">
        <v>5833.0</v>
      </c>
    </row>
    <row r="41">
      <c r="A41" s="40">
        <f t="array" ref="A41">IFNA(index(PlayerValues!A:A,match(IFNA(vlookup(B41,'Special Names'!A:B,2,FALSE),B41),PlayerValues!E:E,0)),"N/A")</f>
        <v>15754</v>
      </c>
      <c r="B41" s="4" t="s">
        <v>354</v>
      </c>
      <c r="C41" s="4" t="s">
        <v>287</v>
      </c>
      <c r="D41" s="94">
        <v>5828.0</v>
      </c>
    </row>
    <row r="42">
      <c r="A42" s="40">
        <f t="array" ref="A42">IFNA(index(PlayerValues!A:A,match(IFNA(vlookup(B42,'Special Names'!A:B,2,FALSE),B42),PlayerValues!E:E,0)),"N/A")</f>
        <v>14782</v>
      </c>
      <c r="B42" s="4" t="s">
        <v>385</v>
      </c>
      <c r="C42" s="4" t="s">
        <v>283</v>
      </c>
      <c r="D42" s="94">
        <v>5696.0</v>
      </c>
    </row>
    <row r="43">
      <c r="A43" s="40">
        <f t="array" ref="A43">IFNA(index(PlayerValues!A:A,match(IFNA(vlookup(B43,'Special Names'!A:B,2,FALSE),B43),PlayerValues!E:E,0)),"N/A")</f>
        <v>17102</v>
      </c>
      <c r="B43" s="4" t="s">
        <v>344</v>
      </c>
      <c r="C43" s="4" t="s">
        <v>298</v>
      </c>
      <c r="D43" s="94">
        <v>6269.0</v>
      </c>
    </row>
    <row r="44">
      <c r="A44" s="40">
        <f t="array" ref="A44">IFNA(index(PlayerValues!A:A,match(IFNA(vlookup(B44,'Special Names'!A:B,2,FALSE),B44),PlayerValues!E:E,0)),"N/A")</f>
        <v>17462</v>
      </c>
      <c r="B44" s="4" t="s">
        <v>375</v>
      </c>
      <c r="C44" s="4" t="s">
        <v>283</v>
      </c>
      <c r="D44" s="94">
        <v>5615.0</v>
      </c>
    </row>
    <row r="45">
      <c r="A45" s="40">
        <f t="array" ref="A45">IFNA(index(PlayerValues!A:A,match(IFNA(vlookup(B45,'Special Names'!A:B,2,FALSE),B45),PlayerValues!E:E,0)),"N/A")</f>
        <v>15708</v>
      </c>
      <c r="B45" s="4" t="s">
        <v>382</v>
      </c>
      <c r="C45" s="4" t="s">
        <v>278</v>
      </c>
      <c r="D45" s="94">
        <v>5523.0</v>
      </c>
    </row>
    <row r="46">
      <c r="A46" s="40">
        <f t="array" ref="A46">IFNA(index(PlayerValues!A:A,match(IFNA(vlookup(B46,'Special Names'!A:B,2,FALSE),B46),PlayerValues!E:E,0)),"N/A")</f>
        <v>16627</v>
      </c>
      <c r="B46" s="4" t="s">
        <v>351</v>
      </c>
      <c r="C46" s="4" t="s">
        <v>287</v>
      </c>
      <c r="D46" s="94">
        <v>5483.0</v>
      </c>
    </row>
    <row r="47">
      <c r="A47" s="40">
        <f t="array" ref="A47">IFNA(index(PlayerValues!A:A,match(IFNA(vlookup(B47,'Special Names'!A:B,2,FALSE),B47),PlayerValues!E:E,0)),"N/A")</f>
        <v>16598</v>
      </c>
      <c r="B47" s="4" t="s">
        <v>408</v>
      </c>
      <c r="C47" s="4" t="s">
        <v>278</v>
      </c>
      <c r="D47" s="94">
        <v>5466.0</v>
      </c>
    </row>
    <row r="48">
      <c r="A48" s="40">
        <f t="array" ref="A48">IFNA(index(PlayerValues!A:A,match(IFNA(vlookup(B48,'Special Names'!A:B,2,FALSE),B48),PlayerValues!E:E,0)),"N/A")</f>
        <v>17051</v>
      </c>
      <c r="B48" s="4" t="s">
        <v>386</v>
      </c>
      <c r="C48" s="4" t="s">
        <v>278</v>
      </c>
      <c r="D48" s="94">
        <v>5463.0</v>
      </c>
    </row>
    <row r="49">
      <c r="A49" s="40" t="str">
        <f t="array" ref="A49">IFNA(index(PlayerValues!A:A,match(IFNA(vlookup(B49,'Special Names'!A:B,2,FALSE),B49),PlayerValues!E:E,0)),"N/A")</f>
        <v>N/A</v>
      </c>
      <c r="B49" s="4" t="s">
        <v>93</v>
      </c>
      <c r="C49" s="4" t="s">
        <v>325</v>
      </c>
      <c r="D49" s="94">
        <v>5447.0</v>
      </c>
    </row>
    <row r="50">
      <c r="A50" s="40">
        <f t="array" ref="A50">IFNA(index(PlayerValues!A:A,match(IFNA(vlookup(B50,'Special Names'!A:B,2,FALSE),B50),PlayerValues!E:E,0)),"N/A")</f>
        <v>17497</v>
      </c>
      <c r="B50" s="4" t="s">
        <v>365</v>
      </c>
      <c r="C50" s="4" t="s">
        <v>287</v>
      </c>
      <c r="D50" s="94">
        <v>5314.0</v>
      </c>
    </row>
    <row r="51">
      <c r="A51" s="40">
        <f t="array" ref="A51">IFNA(index(PlayerValues!A:A,match(IFNA(vlookup(B51,'Special Names'!A:B,2,FALSE),B51),PlayerValues!E:E,0)),"N/A")</f>
        <v>16616</v>
      </c>
      <c r="B51" s="4" t="s">
        <v>389</v>
      </c>
      <c r="C51" s="4" t="s">
        <v>287</v>
      </c>
      <c r="D51" s="94">
        <v>5312.0</v>
      </c>
    </row>
    <row r="52">
      <c r="A52" s="40">
        <f t="array" ref="A52">IFNA(index(PlayerValues!A:A,match(IFNA(vlookup(B52,'Special Names'!A:B,2,FALSE),B52),PlayerValues!E:E,0)),"N/A")</f>
        <v>17499</v>
      </c>
      <c r="B52" s="4" t="s">
        <v>402</v>
      </c>
      <c r="C52" s="4" t="s">
        <v>287</v>
      </c>
      <c r="D52" s="94">
        <v>5235.0</v>
      </c>
    </row>
    <row r="53">
      <c r="A53" s="40">
        <f t="array" ref="A53">IFNA(index(PlayerValues!A:A,match(IFNA(vlookup(B53,'Special Names'!A:B,2,FALSE),B53),PlayerValues!E:E,0)),"N/A")</f>
        <v>16614</v>
      </c>
      <c r="B53" s="4" t="s">
        <v>403</v>
      </c>
      <c r="C53" s="4" t="s">
        <v>287</v>
      </c>
      <c r="D53" s="94">
        <v>5124.0</v>
      </c>
    </row>
    <row r="54">
      <c r="A54" s="40">
        <f t="array" ref="A54">IFNA(index(PlayerValues!A:A,match(IFNA(vlookup(B54,'Special Names'!A:B,2,FALSE),B54),PlayerValues!E:E,0)),"N/A")</f>
        <v>17030</v>
      </c>
      <c r="B54" s="4" t="s">
        <v>406</v>
      </c>
      <c r="C54" s="4" t="s">
        <v>283</v>
      </c>
      <c r="D54" s="94">
        <v>5089.0</v>
      </c>
    </row>
    <row r="55">
      <c r="A55" s="40">
        <f t="array" ref="A55">IFNA(index(PlayerValues!A:A,match(IFNA(vlookup(B55,'Special Names'!A:B,2,FALSE),B55),PlayerValues!E:E,0)),"N/A")</f>
        <v>13130</v>
      </c>
      <c r="B55" s="4" t="s">
        <v>374</v>
      </c>
      <c r="C55" s="4" t="s">
        <v>278</v>
      </c>
      <c r="D55" s="94">
        <v>5077.0</v>
      </c>
    </row>
    <row r="56">
      <c r="A56" s="40">
        <f t="array" ref="A56">IFNA(index(PlayerValues!A:A,match(IFNA(vlookup(B56,'Special Names'!A:B,2,FALSE),B56),PlayerValues!E:E,0)),"N/A")</f>
        <v>15711</v>
      </c>
      <c r="B56" s="4" t="s">
        <v>349</v>
      </c>
      <c r="C56" s="4" t="s">
        <v>278</v>
      </c>
      <c r="D56" s="94">
        <v>5047.0</v>
      </c>
    </row>
    <row r="57">
      <c r="A57" s="40">
        <f t="array" ref="A57">IFNA(index(PlayerValues!A:A,match(IFNA(vlookup(B57,'Special Names'!A:B,2,FALSE),B57),PlayerValues!E:E,0)),"N/A")</f>
        <v>16618</v>
      </c>
      <c r="B57" s="4" t="s">
        <v>411</v>
      </c>
      <c r="C57" s="4" t="s">
        <v>287</v>
      </c>
      <c r="D57" s="94">
        <v>5041.0</v>
      </c>
    </row>
    <row r="58">
      <c r="A58" s="40">
        <f t="array" ref="A58">IFNA(index(PlayerValues!A:A,match(IFNA(vlookup(B58,'Special Names'!A:B,2,FALSE),B58),PlayerValues!E:E,0)),"N/A")</f>
        <v>12620</v>
      </c>
      <c r="B58" s="4" t="s">
        <v>394</v>
      </c>
      <c r="C58" s="4" t="s">
        <v>283</v>
      </c>
      <c r="D58" s="94">
        <v>5011.0</v>
      </c>
    </row>
    <row r="59">
      <c r="A59" s="40">
        <f t="array" ref="A59">IFNA(index(PlayerValues!A:A,match(IFNA(vlookup(B59,'Special Names'!A:B,2,FALSE),B59),PlayerValues!E:E,0)),"N/A")</f>
        <v>16194</v>
      </c>
      <c r="B59" s="4" t="s">
        <v>398</v>
      </c>
      <c r="C59" s="4" t="s">
        <v>287</v>
      </c>
      <c r="D59" s="94">
        <v>5010.0</v>
      </c>
    </row>
    <row r="60">
      <c r="A60" s="40">
        <f t="array" ref="A60">IFNA(index(PlayerValues!A:A,match(IFNA(vlookup(B60,'Special Names'!A:B,2,FALSE),B60),PlayerValues!E:E,0)),"N/A")</f>
        <v>17070</v>
      </c>
      <c r="B60" s="4" t="s">
        <v>370</v>
      </c>
      <c r="C60" s="4" t="s">
        <v>287</v>
      </c>
      <c r="D60" s="94">
        <v>4936.0</v>
      </c>
    </row>
    <row r="61">
      <c r="A61" s="40">
        <f t="array" ref="A61">IFNA(index(PlayerValues!A:A,match(IFNA(vlookup(B61,'Special Names'!A:B,2,FALSE),B61),PlayerValues!E:E,0)),"N/A")</f>
        <v>16181</v>
      </c>
      <c r="B61" s="4" t="s">
        <v>350</v>
      </c>
      <c r="C61" s="4" t="s">
        <v>278</v>
      </c>
      <c r="D61" s="94">
        <v>4935.0</v>
      </c>
    </row>
    <row r="62">
      <c r="A62" s="40">
        <f t="array" ref="A62">IFNA(index(PlayerValues!A:A,match(IFNA(vlookup(B62,'Special Names'!A:B,2,FALSE),B62),PlayerValues!E:E,0)),"N/A")</f>
        <v>17103</v>
      </c>
      <c r="B62" s="4" t="s">
        <v>405</v>
      </c>
      <c r="C62" s="4" t="s">
        <v>298</v>
      </c>
      <c r="D62" s="94">
        <v>5470.0</v>
      </c>
    </row>
    <row r="63">
      <c r="A63" s="40">
        <f t="array" ref="A63">IFNA(index(PlayerValues!A:A,match(IFNA(vlookup(B63,'Special Names'!A:B,2,FALSE),B63),PlayerValues!E:E,0)),"N/A")</f>
        <v>16222</v>
      </c>
      <c r="B63" s="4" t="s">
        <v>393</v>
      </c>
      <c r="C63" s="4" t="s">
        <v>298</v>
      </c>
      <c r="D63" s="94">
        <v>5442.0</v>
      </c>
    </row>
    <row r="64">
      <c r="A64" s="40">
        <f t="array" ref="A64">IFNA(index(PlayerValues!A:A,match(IFNA(vlookup(B64,'Special Names'!A:B,2,FALSE),B64),PlayerValues!E:E,0)),"N/A")</f>
        <v>15710</v>
      </c>
      <c r="B64" s="4" t="s">
        <v>395</v>
      </c>
      <c r="C64" s="4" t="s">
        <v>278</v>
      </c>
      <c r="D64" s="94">
        <v>4853.0</v>
      </c>
    </row>
    <row r="65">
      <c r="A65" s="40">
        <f t="array" ref="A65">IFNA(index(PlayerValues!A:A,match(IFNA(vlookup(B65,'Special Names'!A:B,2,FALSE),B65),PlayerValues!E:E,0)),"N/A")</f>
        <v>13590</v>
      </c>
      <c r="B65" s="4" t="s">
        <v>409</v>
      </c>
      <c r="C65" s="4" t="s">
        <v>283</v>
      </c>
      <c r="D65" s="94">
        <v>4839.0</v>
      </c>
    </row>
    <row r="66">
      <c r="A66" s="40">
        <f t="array" ref="A66">IFNA(index(PlayerValues!A:A,match(IFNA(vlookup(B66,'Special Names'!A:B,2,FALSE),B66),PlayerValues!E:E,0)),"N/A")</f>
        <v>13592</v>
      </c>
      <c r="B66" s="4" t="s">
        <v>418</v>
      </c>
      <c r="C66" s="4" t="s">
        <v>283</v>
      </c>
      <c r="D66" s="94">
        <v>4832.0</v>
      </c>
    </row>
    <row r="67">
      <c r="A67" s="40">
        <f t="array" ref="A67">IFNA(index(PlayerValues!A:A,match(IFNA(vlookup(B67,'Special Names'!A:B,2,FALSE),B67),PlayerValues!E:E,0)),"N/A")</f>
        <v>16150</v>
      </c>
      <c r="B67" s="4" t="s">
        <v>414</v>
      </c>
      <c r="C67" s="4" t="s">
        <v>283</v>
      </c>
      <c r="D67" s="94">
        <v>4826.0</v>
      </c>
    </row>
    <row r="68">
      <c r="A68" s="40">
        <f t="array" ref="A68">IFNA(index(PlayerValues!A:A,match(IFNA(vlookup(B68,'Special Names'!A:B,2,FALSE),B68),PlayerValues!E:E,0)),"N/A")</f>
        <v>14835</v>
      </c>
      <c r="B68" s="4" t="s">
        <v>392</v>
      </c>
      <c r="C68" s="4" t="s">
        <v>287</v>
      </c>
      <c r="D68" s="94">
        <v>4825.0</v>
      </c>
    </row>
    <row r="69">
      <c r="A69" s="40">
        <f t="array" ref="A69">IFNA(index(PlayerValues!A:A,match(IFNA(vlookup(B69,'Special Names'!A:B,2,FALSE),B69),PlayerValues!E:E,0)),"N/A")</f>
        <v>17045</v>
      </c>
      <c r="B69" s="4" t="s">
        <v>407</v>
      </c>
      <c r="C69" s="4" t="s">
        <v>278</v>
      </c>
      <c r="D69" s="94">
        <v>4825.0</v>
      </c>
    </row>
    <row r="70">
      <c r="A70" s="40" t="str">
        <f t="array" ref="A70">IFNA(index(PlayerValues!A:A,match(IFNA(vlookup(B70,'Special Names'!A:B,2,FALSE),B70),PlayerValues!E:E,0)),"N/A")</f>
        <v>N/A</v>
      </c>
      <c r="B70" s="4" t="s">
        <v>104</v>
      </c>
      <c r="C70" s="4" t="s">
        <v>325</v>
      </c>
      <c r="D70" s="94">
        <v>4825.0</v>
      </c>
    </row>
    <row r="71">
      <c r="A71" s="40">
        <f t="array" ref="A71">IFNA(index(PlayerValues!A:A,match(IFNA(vlookup(B71,'Special Names'!A:B,2,FALSE),B71),PlayerValues!E:E,0)),"N/A")</f>
        <v>17498</v>
      </c>
      <c r="B71" s="4" t="s">
        <v>396</v>
      </c>
      <c r="C71" s="4" t="s">
        <v>287</v>
      </c>
      <c r="D71" s="94">
        <v>4820.0</v>
      </c>
    </row>
    <row r="72">
      <c r="A72" s="40">
        <f t="array" ref="A72">IFNA(index(PlayerValues!A:A,match(IFNA(vlookup(B72,'Special Names'!A:B,2,FALSE),B72),PlayerValues!E:E,0)),"N/A")</f>
        <v>15282</v>
      </c>
      <c r="B72" s="4" t="s">
        <v>364</v>
      </c>
      <c r="C72" s="4" t="s">
        <v>287</v>
      </c>
      <c r="D72" s="94">
        <v>4797.0</v>
      </c>
    </row>
    <row r="73">
      <c r="A73" s="40" t="str">
        <f t="array" ref="A73">IFNA(index(PlayerValues!A:A,match(IFNA(vlookup(B73,'Special Names'!A:B,2,FALSE),B73),PlayerValues!E:E,0)),"N/A")</f>
        <v>N/A</v>
      </c>
      <c r="B73" s="4" t="s">
        <v>94</v>
      </c>
      <c r="C73" s="4" t="s">
        <v>325</v>
      </c>
      <c r="D73" s="94">
        <v>4785.0</v>
      </c>
    </row>
    <row r="74">
      <c r="A74" s="40">
        <f t="array" ref="A74">IFNA(index(PlayerValues!A:A,match(IFNA(vlookup(B74,'Special Names'!A:B,2,FALSE),B74),PlayerValues!E:E,0)),"N/A")</f>
        <v>13604</v>
      </c>
      <c r="B74" s="4" t="s">
        <v>378</v>
      </c>
      <c r="C74" s="4" t="s">
        <v>278</v>
      </c>
      <c r="D74" s="94">
        <v>4781.0</v>
      </c>
    </row>
    <row r="75">
      <c r="A75" s="40">
        <f t="array" ref="A75">IFNA(index(PlayerValues!A:A,match(IFNA(vlookup(B75,'Special Names'!A:B,2,FALSE),B75),PlayerValues!E:E,0)),"N/A")</f>
        <v>14104</v>
      </c>
      <c r="B75" s="4" t="s">
        <v>379</v>
      </c>
      <c r="C75" s="4" t="s">
        <v>287</v>
      </c>
      <c r="D75" s="94">
        <v>4743.0</v>
      </c>
    </row>
    <row r="76">
      <c r="A76" s="40">
        <f t="array" ref="A76">IFNA(index(PlayerValues!A:A,match(IFNA(vlookup(B76,'Special Names'!A:B,2,FALSE),B76),PlayerValues!E:E,0)),"N/A")</f>
        <v>15756</v>
      </c>
      <c r="B76" s="4" t="s">
        <v>399</v>
      </c>
      <c r="C76" s="4" t="s">
        <v>287</v>
      </c>
      <c r="D76" s="94">
        <v>4740.0</v>
      </c>
    </row>
    <row r="77">
      <c r="A77" s="40">
        <f t="array" ref="A77">IFNA(index(PlayerValues!A:A,match(IFNA(vlookup(B77,'Special Names'!A:B,2,FALSE),B77),PlayerValues!E:E,0)),"N/A")</f>
        <v>16190</v>
      </c>
      <c r="B77" s="4" t="s">
        <v>371</v>
      </c>
      <c r="C77" s="4" t="s">
        <v>287</v>
      </c>
      <c r="D77" s="94">
        <v>4697.0</v>
      </c>
    </row>
    <row r="78">
      <c r="A78" s="40" t="str">
        <f t="array" ref="A78">IFNA(index(PlayerValues!A:A,match(IFNA(vlookup(B78,'Special Names'!A:B,2,FALSE),B78),PlayerValues!E:E,0)),"N/A")</f>
        <v>N/A</v>
      </c>
      <c r="B78" s="4" t="s">
        <v>80</v>
      </c>
      <c r="C78" s="4" t="s">
        <v>325</v>
      </c>
      <c r="D78" s="94">
        <v>4693.0</v>
      </c>
    </row>
    <row r="79">
      <c r="A79" s="40">
        <f t="array" ref="A79">IFNA(index(PlayerValues!A:A,match(IFNA(vlookup(B79,'Special Names'!A:B,2,FALSE),B79),PlayerValues!E:E,0)),"N/A")</f>
        <v>12611</v>
      </c>
      <c r="B79" s="4" t="s">
        <v>410</v>
      </c>
      <c r="C79" s="4" t="s">
        <v>283</v>
      </c>
      <c r="D79" s="94">
        <v>4625.0</v>
      </c>
    </row>
    <row r="80">
      <c r="A80" s="40">
        <f t="array" ref="A80">IFNA(index(PlayerValues!A:A,match(IFNA(vlookup(B80,'Special Names'!A:B,2,FALSE),B80),PlayerValues!E:E,0)),"N/A")</f>
        <v>15284</v>
      </c>
      <c r="B80" s="4" t="s">
        <v>390</v>
      </c>
      <c r="C80" s="4" t="s">
        <v>287</v>
      </c>
      <c r="D80" s="94">
        <v>4606.0</v>
      </c>
    </row>
    <row r="81">
      <c r="A81" s="40">
        <f t="array" ref="A81">IFNA(index(PlayerValues!A:A,match(IFNA(vlookup(B81,'Special Names'!A:B,2,FALSE),B81),PlayerValues!E:E,0)),"N/A")</f>
        <v>17039</v>
      </c>
      <c r="B81" s="4" t="s">
        <v>400</v>
      </c>
      <c r="C81" s="4" t="s">
        <v>283</v>
      </c>
      <c r="D81" s="94">
        <v>4599.0</v>
      </c>
    </row>
    <row r="82">
      <c r="A82" s="40">
        <f t="array" ref="A82">IFNA(index(PlayerValues!A:A,match(IFNA(vlookup(B82,'Special Names'!A:B,2,FALSE),B82),PlayerValues!E:E,0)),"N/A")</f>
        <v>16214</v>
      </c>
      <c r="B82" s="4" t="s">
        <v>413</v>
      </c>
      <c r="C82" s="4" t="s">
        <v>298</v>
      </c>
      <c r="D82" s="94">
        <v>5132.0</v>
      </c>
    </row>
    <row r="83">
      <c r="A83" s="40">
        <f t="array" ref="A83">IFNA(index(PlayerValues!A:A,match(IFNA(vlookup(B83,'Special Names'!A:B,2,FALSE),B83),PlayerValues!E:E,0)),"N/A")</f>
        <v>15329</v>
      </c>
      <c r="B83" s="4" t="s">
        <v>416</v>
      </c>
      <c r="C83" s="4" t="s">
        <v>298</v>
      </c>
      <c r="D83" s="94">
        <v>5103.0</v>
      </c>
    </row>
    <row r="84">
      <c r="A84" s="40">
        <f t="array" ref="A84">IFNA(index(PlayerValues!A:A,match(IFNA(vlookup(B84,'Special Names'!A:B,2,FALSE),B84),PlayerValues!E:E,0)),"N/A")</f>
        <v>15256</v>
      </c>
      <c r="B84" s="4" t="s">
        <v>401</v>
      </c>
      <c r="C84" s="4" t="s">
        <v>278</v>
      </c>
      <c r="D84" s="94">
        <v>4548.0</v>
      </c>
    </row>
    <row r="85">
      <c r="A85" s="40">
        <f t="array" ref="A85">IFNA(index(PlayerValues!A:A,match(IFNA(vlookup(B85,'Special Names'!A:B,2,FALSE),B85),PlayerValues!E:E,0)),"N/A")</f>
        <v>15253</v>
      </c>
      <c r="B85" s="4" t="s">
        <v>415</v>
      </c>
      <c r="C85" s="4" t="s">
        <v>278</v>
      </c>
      <c r="D85" s="94">
        <v>4500.0</v>
      </c>
    </row>
    <row r="86">
      <c r="A86" s="40">
        <f t="array" ref="A86">IFNA(index(PlayerValues!A:A,match(IFNA(vlookup(B86,'Special Names'!A:B,2,FALSE),B86),PlayerValues!E:E,0)),"N/A")</f>
        <v>17068</v>
      </c>
      <c r="B86" s="4" t="s">
        <v>450</v>
      </c>
      <c r="C86" s="4" t="s">
        <v>278</v>
      </c>
      <c r="D86" s="94">
        <v>4472.0</v>
      </c>
    </row>
    <row r="87">
      <c r="A87" s="40">
        <f t="array" ref="A87">IFNA(index(PlayerValues!A:A,match(IFNA(vlookup(B87,'Special Names'!A:B,2,FALSE),B87),PlayerValues!E:E,0)),"N/A")</f>
        <v>14073</v>
      </c>
      <c r="B87" s="4" t="s">
        <v>464</v>
      </c>
      <c r="C87" s="4" t="s">
        <v>278</v>
      </c>
      <c r="D87" s="94">
        <v>4462.0</v>
      </c>
    </row>
    <row r="88">
      <c r="A88" s="40">
        <f t="array" ref="A88">IFNA(index(PlayerValues!A:A,match(IFNA(vlookup(B88,'Special Names'!A:B,2,FALSE),B88),PlayerValues!E:E,0)),"N/A")</f>
        <v>16148</v>
      </c>
      <c r="B88" s="4" t="s">
        <v>426</v>
      </c>
      <c r="C88" s="4" t="s">
        <v>283</v>
      </c>
      <c r="D88" s="94">
        <v>4445.0</v>
      </c>
    </row>
    <row r="89">
      <c r="A89" s="40" t="str">
        <f t="array" ref="A89">IFNA(index(PlayerValues!A:A,match(IFNA(vlookup(B89,'Special Names'!A:B,2,FALSE),B89),PlayerValues!E:E,0)),"N/A")</f>
        <v>N/A</v>
      </c>
      <c r="B89" s="4" t="s">
        <v>105</v>
      </c>
      <c r="C89" s="4" t="s">
        <v>325</v>
      </c>
      <c r="D89" s="94">
        <v>4443.0</v>
      </c>
    </row>
    <row r="90">
      <c r="A90" s="40" t="str">
        <f t="array" ref="A90">IFNA(index(PlayerValues!A:A,match(IFNA(vlookup(B90,'Special Names'!A:B,2,FALSE),B90),PlayerValues!E:E,0)),"N/A")</f>
        <v>N/A</v>
      </c>
      <c r="B90" s="4" t="s">
        <v>81</v>
      </c>
      <c r="C90" s="4" t="s">
        <v>325</v>
      </c>
      <c r="D90" s="94">
        <v>4231.0</v>
      </c>
    </row>
    <row r="91">
      <c r="A91" s="40">
        <f t="array" ref="A91">IFNA(index(PlayerValues!A:A,match(IFNA(vlookup(B91,'Special Names'!A:B,2,FALSE),B91),PlayerValues!E:E,0)),"N/A")</f>
        <v>16186</v>
      </c>
      <c r="B91" s="4" t="s">
        <v>425</v>
      </c>
      <c r="C91" s="4" t="s">
        <v>287</v>
      </c>
      <c r="D91" s="94">
        <v>4155.0</v>
      </c>
    </row>
    <row r="92">
      <c r="A92" s="40">
        <f t="array" ref="A92">IFNA(index(PlayerValues!A:A,match(IFNA(vlookup(B92,'Special Names'!A:B,2,FALSE),B92),PlayerValues!E:E,0)),"N/A")</f>
        <v>17099</v>
      </c>
      <c r="B92" s="4" t="s">
        <v>474</v>
      </c>
      <c r="C92" s="4" t="s">
        <v>298</v>
      </c>
      <c r="D92" s="94">
        <v>4653.0</v>
      </c>
    </row>
    <row r="93">
      <c r="A93" s="40">
        <f t="array" ref="A93">IFNA(index(PlayerValues!A:A,match(IFNA(vlookup(B93,'Special Names'!A:B,2,FALSE),B93),PlayerValues!E:E,0)),"N/A")</f>
        <v>14059</v>
      </c>
      <c r="B93" s="4" t="s">
        <v>435</v>
      </c>
      <c r="C93" s="4" t="s">
        <v>283</v>
      </c>
      <c r="D93" s="94">
        <v>4050.0</v>
      </c>
    </row>
    <row r="94">
      <c r="A94" s="40">
        <f t="array" ref="A94">IFNA(index(PlayerValues!A:A,match(IFNA(vlookup(B94,'Special Names'!A:B,2,FALSE),B94),PlayerValues!E:E,0)),"N/A")</f>
        <v>17074</v>
      </c>
      <c r="B94" s="4" t="s">
        <v>475</v>
      </c>
      <c r="C94" s="4" t="s">
        <v>287</v>
      </c>
      <c r="D94" s="94">
        <v>4043.0</v>
      </c>
    </row>
    <row r="95">
      <c r="A95" s="40" t="str">
        <f t="array" ref="A95">IFNA(index(PlayerValues!A:A,match(IFNA(vlookup(B95,'Special Names'!A:B,2,FALSE),B95),PlayerValues!E:E,0)),"N/A")</f>
        <v>N/A</v>
      </c>
      <c r="B95" s="4" t="s">
        <v>107</v>
      </c>
      <c r="C95" s="4" t="s">
        <v>325</v>
      </c>
      <c r="D95" s="94">
        <v>4032.0</v>
      </c>
    </row>
    <row r="96">
      <c r="A96" s="40">
        <f t="array" ref="A96">IFNA(index(PlayerValues!A:A,match(IFNA(vlookup(B96,'Special Names'!A:B,2,FALSE),B96),PlayerValues!E:E,0)),"N/A")</f>
        <v>17543</v>
      </c>
      <c r="B96" s="4" t="s">
        <v>436</v>
      </c>
      <c r="C96" s="4" t="s">
        <v>298</v>
      </c>
      <c r="D96" s="94">
        <v>4507.0</v>
      </c>
    </row>
    <row r="97">
      <c r="A97" s="40">
        <f t="array" ref="A97">IFNA(index(PlayerValues!A:A,match(IFNA(vlookup(B97,'Special Names'!A:B,2,FALSE),B97),PlayerValues!E:E,0)),"N/A")</f>
        <v>16622</v>
      </c>
      <c r="B97" s="4" t="s">
        <v>517</v>
      </c>
      <c r="C97" s="4" t="s">
        <v>287</v>
      </c>
      <c r="D97" s="94">
        <v>3972.0</v>
      </c>
    </row>
    <row r="98">
      <c r="A98" s="40">
        <f t="array" ref="A98">IFNA(index(PlayerValues!A:A,match(IFNA(vlookup(B98,'Special Names'!A:B,2,FALSE),B98),PlayerValues!E:E,0)),"N/A")</f>
        <v>15768</v>
      </c>
      <c r="B98" s="4" t="s">
        <v>432</v>
      </c>
      <c r="C98" s="4" t="s">
        <v>287</v>
      </c>
      <c r="D98" s="94">
        <v>3964.0</v>
      </c>
    </row>
    <row r="99">
      <c r="A99" s="40">
        <f t="array" ref="A99">IFNA(index(PlayerValues!A:A,match(IFNA(vlookup(B99,'Special Names'!A:B,2,FALSE),B99),PlayerValues!E:E,0)),"N/A")</f>
        <v>12626</v>
      </c>
      <c r="B99" s="4" t="s">
        <v>419</v>
      </c>
      <c r="C99" s="4" t="s">
        <v>278</v>
      </c>
      <c r="D99" s="94">
        <v>3932.0</v>
      </c>
    </row>
    <row r="100">
      <c r="A100" s="40">
        <f t="array" ref="A100">IFNA(index(PlayerValues!A:A,match(IFNA(vlookup(B100,'Special Names'!A:B,2,FALSE),B100),PlayerValues!E:E,0)),"N/A")</f>
        <v>16206</v>
      </c>
      <c r="B100" s="4" t="s">
        <v>431</v>
      </c>
      <c r="C100" s="4" t="s">
        <v>287</v>
      </c>
      <c r="D100" s="94">
        <v>3893.0</v>
      </c>
    </row>
    <row r="101">
      <c r="A101" s="40">
        <f t="array" ref="A101">IFNA(index(PlayerValues!A:A,match(IFNA(vlookup(B101,'Special Names'!A:B,2,FALSE),B101),PlayerValues!E:E,0)),"N/A")</f>
        <v>17083</v>
      </c>
      <c r="B101" s="4" t="s">
        <v>479</v>
      </c>
      <c r="C101" s="4" t="s">
        <v>287</v>
      </c>
      <c r="D101" s="94">
        <v>3847.0</v>
      </c>
    </row>
    <row r="102">
      <c r="A102" s="40">
        <f t="array" ref="A102">IFNA(index(PlayerValues!A:A,match(IFNA(vlookup(B102,'Special Names'!A:B,2,FALSE),B102),PlayerValues!E:E,0)),"N/A")</f>
        <v>14102</v>
      </c>
      <c r="B102" s="4" t="s">
        <v>444</v>
      </c>
      <c r="C102" s="4" t="s">
        <v>287</v>
      </c>
      <c r="D102" s="94">
        <v>3843.0</v>
      </c>
    </row>
    <row r="103">
      <c r="A103" s="40" t="str">
        <f t="array" ref="A103">IFNA(index(PlayerValues!A:A,match(IFNA(vlookup(B103,'Special Names'!A:B,2,FALSE),B103),PlayerValues!E:E,0)),"N/A")</f>
        <v>N/A</v>
      </c>
      <c r="B103" s="4" t="s">
        <v>95</v>
      </c>
      <c r="C103" s="4" t="s">
        <v>325</v>
      </c>
      <c r="D103" s="94">
        <v>3843.0</v>
      </c>
    </row>
    <row r="104">
      <c r="A104" s="40">
        <f t="array" ref="A104">IFNA(index(PlayerValues!A:A,match(IFNA(vlookup(B104,'Special Names'!A:B,2,FALSE),B104),PlayerValues!E:E,0)),"N/A")</f>
        <v>17501</v>
      </c>
      <c r="B104" s="4" t="s">
        <v>404</v>
      </c>
      <c r="C104" s="4" t="s">
        <v>287</v>
      </c>
      <c r="D104" s="94">
        <v>3842.0</v>
      </c>
    </row>
    <row r="105">
      <c r="A105" s="40">
        <f t="array" ref="A105">IFNA(index(PlayerValues!A:A,match(IFNA(vlookup(B105,'Special Names'!A:B,2,FALSE),B105),PlayerValues!E:E,0)),"N/A")</f>
        <v>17066</v>
      </c>
      <c r="B105" s="4" t="s">
        <v>446</v>
      </c>
      <c r="C105" s="4" t="s">
        <v>278</v>
      </c>
      <c r="D105" s="94">
        <v>3811.0</v>
      </c>
    </row>
    <row r="106">
      <c r="A106" s="40">
        <f t="array" ref="A106">IFNA(index(PlayerValues!A:A,match(IFNA(vlookup(B106,'Special Names'!A:B,2,FALSE),B106),PlayerValues!E:E,0)),"N/A")</f>
        <v>17500</v>
      </c>
      <c r="B106" s="4" t="s">
        <v>430</v>
      </c>
      <c r="C106" s="4" t="s">
        <v>287</v>
      </c>
      <c r="D106" s="94">
        <v>3796.0</v>
      </c>
    </row>
    <row r="107">
      <c r="A107" s="40">
        <f t="array" ref="A107">IFNA(index(PlayerValues!A:A,match(IFNA(vlookup(B107,'Special Names'!A:B,2,FALSE),B107),PlayerValues!E:E,0)),"N/A")</f>
        <v>15789</v>
      </c>
      <c r="B107" s="4" t="s">
        <v>421</v>
      </c>
      <c r="C107" s="4" t="s">
        <v>287</v>
      </c>
      <c r="D107" s="94">
        <v>3760.0</v>
      </c>
    </row>
    <row r="108">
      <c r="A108" s="40">
        <f t="array" ref="A108">IFNA(index(PlayerValues!A:A,match(IFNA(vlookup(B108,'Special Names'!A:B,2,FALSE),B108),PlayerValues!E:E,0)),"N/A")</f>
        <v>14797</v>
      </c>
      <c r="B108" s="4" t="s">
        <v>420</v>
      </c>
      <c r="C108" s="4" t="s">
        <v>278</v>
      </c>
      <c r="D108" s="94">
        <v>3719.0</v>
      </c>
    </row>
    <row r="109">
      <c r="A109" s="40">
        <f t="array" ref="A109">IFNA(index(PlayerValues!A:A,match(IFNA(vlookup(B109,'Special Names'!A:B,2,FALSE),B109),PlayerValues!E:E,0)),"N/A")</f>
        <v>16192</v>
      </c>
      <c r="B109" s="4" t="s">
        <v>412</v>
      </c>
      <c r="C109" s="4" t="s">
        <v>287</v>
      </c>
      <c r="D109" s="94">
        <v>3705.0</v>
      </c>
    </row>
    <row r="110">
      <c r="A110" s="40">
        <f t="array" ref="A110">IFNA(index(PlayerValues!A:A,match(IFNA(vlookup(B110,'Special Names'!A:B,2,FALSE),B110),PlayerValues!E:E,0)),"N/A")</f>
        <v>9431</v>
      </c>
      <c r="B110" s="4" t="s">
        <v>428</v>
      </c>
      <c r="C110" s="4" t="s">
        <v>283</v>
      </c>
      <c r="D110" s="94">
        <v>3697.0</v>
      </c>
    </row>
    <row r="111">
      <c r="A111" s="40">
        <f t="array" ref="A111">IFNA(index(PlayerValues!A:A,match(IFNA(vlookup(B111,'Special Names'!A:B,2,FALSE),B111),PlayerValues!E:E,0)),"N/A")</f>
        <v>11675</v>
      </c>
      <c r="B111" s="4" t="s">
        <v>438</v>
      </c>
      <c r="C111" s="4" t="s">
        <v>287</v>
      </c>
      <c r="D111" s="94">
        <v>3692.0</v>
      </c>
    </row>
    <row r="112">
      <c r="A112" s="40">
        <f t="array" ref="A112">IFNA(index(PlayerValues!A:A,match(IFNA(vlookup(B112,'Special Names'!A:B,2,FALSE),B112),PlayerValues!E:E,0)),"N/A")</f>
        <v>14056</v>
      </c>
      <c r="B112" s="4" t="s">
        <v>423</v>
      </c>
      <c r="C112" s="4" t="s">
        <v>283</v>
      </c>
      <c r="D112" s="94">
        <v>3614.0</v>
      </c>
    </row>
    <row r="113">
      <c r="A113" s="40">
        <f t="array" ref="A113">IFNA(index(PlayerValues!A:A,match(IFNA(vlookup(B113,'Special Names'!A:B,2,FALSE),B113),PlayerValues!E:E,0)),"N/A")</f>
        <v>17075</v>
      </c>
      <c r="B113" s="4" t="s">
        <v>429</v>
      </c>
      <c r="C113" s="4" t="s">
        <v>287</v>
      </c>
      <c r="D113" s="94">
        <v>3608.0</v>
      </c>
    </row>
    <row r="114">
      <c r="A114" s="40">
        <f t="array" ref="A114">IFNA(index(PlayerValues!A:A,match(IFNA(vlookup(B114,'Special Names'!A:B,2,FALSE),B114),PlayerValues!E:E,0)),"N/A")</f>
        <v>15757</v>
      </c>
      <c r="B114" s="4" t="s">
        <v>449</v>
      </c>
      <c r="C114" s="4" t="s">
        <v>287</v>
      </c>
      <c r="D114" s="94">
        <v>3606.0</v>
      </c>
    </row>
    <row r="115">
      <c r="A115" s="40">
        <f t="array" ref="A115">IFNA(index(PlayerValues!A:A,match(IFNA(vlookup(B115,'Special Names'!A:B,2,FALSE),B115),PlayerValues!E:E,0)),"N/A")</f>
        <v>14842</v>
      </c>
      <c r="B115" s="4" t="s">
        <v>456</v>
      </c>
      <c r="C115" s="4" t="s">
        <v>287</v>
      </c>
      <c r="D115" s="94">
        <v>3597.0</v>
      </c>
    </row>
    <row r="116">
      <c r="A116" s="40">
        <f t="array" ref="A116">IFNA(index(PlayerValues!A:A,match(IFNA(vlookup(B116,'Special Names'!A:B,2,FALSE),B116),PlayerValues!E:E,0)),"N/A")</f>
        <v>16213</v>
      </c>
      <c r="B116" s="4" t="s">
        <v>458</v>
      </c>
      <c r="C116" s="4" t="s">
        <v>298</v>
      </c>
      <c r="D116" s="94">
        <v>4039.0</v>
      </c>
    </row>
    <row r="117">
      <c r="A117" s="40">
        <f t="array" ref="A117">IFNA(index(PlayerValues!A:A,match(IFNA(vlookup(B117,'Special Names'!A:B,2,FALSE),B117),PlayerValues!E:E,0)),"N/A")</f>
        <v>16583</v>
      </c>
      <c r="B117" s="4" t="s">
        <v>493</v>
      </c>
      <c r="C117" s="4" t="s">
        <v>283</v>
      </c>
      <c r="D117" s="94">
        <v>3561.0</v>
      </c>
    </row>
    <row r="118">
      <c r="A118" s="40">
        <f t="array" ref="A118">IFNA(index(PlayerValues!A:A,match(IFNA(vlookup(B118,'Special Names'!A:B,2,FALSE),B118),PlayerValues!E:E,0)),"N/A")</f>
        <v>16169</v>
      </c>
      <c r="B118" s="4" t="s">
        <v>457</v>
      </c>
      <c r="C118" s="4" t="s">
        <v>278</v>
      </c>
      <c r="D118" s="94">
        <v>3545.0</v>
      </c>
    </row>
    <row r="119">
      <c r="A119" s="40">
        <f t="array" ref="A119">IFNA(index(PlayerValues!A:A,match(IFNA(vlookup(B119,'Special Names'!A:B,2,FALSE),B119),PlayerValues!E:E,0)),"N/A")</f>
        <v>16188</v>
      </c>
      <c r="B119" s="4" t="s">
        <v>439</v>
      </c>
      <c r="C119" s="4" t="s">
        <v>287</v>
      </c>
      <c r="D119" s="94">
        <v>3534.0</v>
      </c>
    </row>
    <row r="120">
      <c r="A120" s="40">
        <f t="array" ref="A120">IFNA(index(PlayerValues!A:A,match(IFNA(vlookup(B120,'Special Names'!A:B,2,FALSE),B120),PlayerValues!E:E,0)),"N/A")</f>
        <v>16584</v>
      </c>
      <c r="B120" s="4" t="s">
        <v>569</v>
      </c>
      <c r="C120" s="4" t="s">
        <v>283</v>
      </c>
      <c r="D120" s="94">
        <v>3509.0</v>
      </c>
    </row>
    <row r="121">
      <c r="A121" s="40">
        <f t="array" ref="A121">IFNA(index(PlayerValues!A:A,match(IFNA(vlookup(B121,'Special Names'!A:B,2,FALSE),B121),PlayerValues!E:E,0)),"N/A")</f>
        <v>16593</v>
      </c>
      <c r="B121" s="4" t="s">
        <v>442</v>
      </c>
      <c r="C121" s="4" t="s">
        <v>278</v>
      </c>
      <c r="D121" s="94">
        <v>3499.0</v>
      </c>
    </row>
    <row r="122">
      <c r="A122" s="40">
        <f t="array" ref="A122">IFNA(index(PlayerValues!A:A,match(IFNA(vlookup(B122,'Special Names'!A:B,2,FALSE),B122),PlayerValues!E:E,0)),"N/A")</f>
        <v>15694</v>
      </c>
      <c r="B122" s="4" t="s">
        <v>434</v>
      </c>
      <c r="C122" s="4" t="s">
        <v>283</v>
      </c>
      <c r="D122" s="94">
        <v>3492.0</v>
      </c>
    </row>
    <row r="123">
      <c r="A123" s="40">
        <f t="array" ref="A123">IFNA(index(PlayerValues!A:A,match(IFNA(vlookup(B123,'Special Names'!A:B,2,FALSE),B123),PlayerValues!E:E,0)),"N/A")</f>
        <v>17052</v>
      </c>
      <c r="B123" s="4" t="s">
        <v>417</v>
      </c>
      <c r="C123" s="4" t="s">
        <v>278</v>
      </c>
      <c r="D123" s="94">
        <v>3491.0</v>
      </c>
    </row>
    <row r="124">
      <c r="A124" s="40">
        <f t="array" ref="A124">IFNA(index(PlayerValues!A:A,match(IFNA(vlookup(B124,'Special Names'!A:B,2,FALSE),B124),PlayerValues!E:E,0)),"N/A")</f>
        <v>16620</v>
      </c>
      <c r="B124" s="4" t="s">
        <v>467</v>
      </c>
      <c r="C124" s="4" t="s">
        <v>287</v>
      </c>
      <c r="D124" s="94">
        <v>3483.0</v>
      </c>
    </row>
    <row r="125">
      <c r="A125" s="40">
        <f t="array" ref="A125">IFNA(index(PlayerValues!A:A,match(IFNA(vlookup(B125,'Special Names'!A:B,2,FALSE),B125),PlayerValues!E:E,0)),"N/A")</f>
        <v>15742</v>
      </c>
      <c r="B125" s="4" t="s">
        <v>447</v>
      </c>
      <c r="C125" s="4" t="s">
        <v>278</v>
      </c>
      <c r="D125" s="94">
        <v>3481.0</v>
      </c>
    </row>
    <row r="126">
      <c r="A126" s="40" t="str">
        <f t="array" ref="A126">IFNA(index(PlayerValues!A:A,match(IFNA(vlookup(B126,'Special Names'!A:B,2,FALSE),B126),PlayerValues!E:E,0)),"N/A")</f>
        <v>N/A</v>
      </c>
      <c r="B126" s="4" t="s">
        <v>82</v>
      </c>
      <c r="C126" s="4" t="s">
        <v>325</v>
      </c>
      <c r="D126" s="94">
        <v>3478.0</v>
      </c>
    </row>
    <row r="127">
      <c r="A127" s="40">
        <f t="array" ref="A127">IFNA(index(PlayerValues!A:A,match(IFNA(vlookup(B127,'Special Names'!A:B,2,FALSE),B127),PlayerValues!E:E,0)),"N/A")</f>
        <v>14127</v>
      </c>
      <c r="B127" s="4" t="s">
        <v>486</v>
      </c>
      <c r="C127" s="4" t="s">
        <v>287</v>
      </c>
      <c r="D127" s="94">
        <v>3443.0</v>
      </c>
    </row>
    <row r="128">
      <c r="A128" s="40">
        <f t="array" ref="A128">IFNA(index(PlayerValues!A:A,match(IFNA(vlookup(B128,'Special Names'!A:B,2,FALSE),B128),PlayerValues!E:E,0)),"N/A")</f>
        <v>13299</v>
      </c>
      <c r="B128" s="4" t="s">
        <v>448</v>
      </c>
      <c r="C128" s="4" t="s">
        <v>298</v>
      </c>
      <c r="D128" s="94">
        <v>3888.0</v>
      </c>
    </row>
    <row r="129">
      <c r="A129" s="40" t="str">
        <f t="array" ref="A129">IFNA(index(PlayerValues!A:A,match(IFNA(vlookup(B129,'Special Names'!A:B,2,FALSE),B129),PlayerValues!E:E,0)),"N/A")</f>
        <v>N/A</v>
      </c>
      <c r="B129" s="4" t="s">
        <v>96</v>
      </c>
      <c r="C129" s="4" t="s">
        <v>325</v>
      </c>
      <c r="D129" s="94">
        <v>3405.0</v>
      </c>
    </row>
    <row r="130">
      <c r="A130" s="40">
        <f t="array" ref="A130">IFNA(index(PlayerValues!A:A,match(IFNA(vlookup(B130,'Special Names'!A:B,2,FALSE),B130),PlayerValues!E:E,0)),"N/A")</f>
        <v>15799</v>
      </c>
      <c r="B130" s="4" t="s">
        <v>468</v>
      </c>
      <c r="C130" s="4" t="s">
        <v>298</v>
      </c>
      <c r="D130" s="94">
        <v>3845.0</v>
      </c>
    </row>
    <row r="131">
      <c r="A131" s="40">
        <f t="array" ref="A131">IFNA(index(PlayerValues!A:A,match(IFNA(vlookup(B131,'Special Names'!A:B,2,FALSE),B131),PlayerValues!E:E,0)),"N/A")</f>
        <v>14109</v>
      </c>
      <c r="B131" s="4" t="s">
        <v>437</v>
      </c>
      <c r="C131" s="4" t="s">
        <v>287</v>
      </c>
      <c r="D131" s="94">
        <v>3390.0</v>
      </c>
    </row>
    <row r="132">
      <c r="A132" s="40">
        <f t="array" ref="A132">IFNA(index(PlayerValues!A:A,match(IFNA(vlookup(B132,'Special Names'!A:B,2,FALSE),B132),PlayerValues!E:E,0)),"N/A")</f>
        <v>13630</v>
      </c>
      <c r="B132" s="4" t="s">
        <v>465</v>
      </c>
      <c r="C132" s="4" t="s">
        <v>287</v>
      </c>
      <c r="D132" s="94">
        <v>3364.0</v>
      </c>
    </row>
    <row r="133">
      <c r="A133" s="40">
        <f t="array" ref="A133">IFNA(index(PlayerValues!A:A,match(IFNA(vlookup(B133,'Special Names'!A:B,2,FALSE),B133),PlayerValues!E:E,0)),"N/A")</f>
        <v>16594</v>
      </c>
      <c r="B133" s="4" t="s">
        <v>607</v>
      </c>
      <c r="C133" s="4" t="s">
        <v>278</v>
      </c>
      <c r="D133" s="94">
        <v>3357.0</v>
      </c>
    </row>
    <row r="134">
      <c r="A134" s="40">
        <f t="array" ref="A134">IFNA(index(PlayerValues!A:A,match(IFNA(vlookup(B134,'Special Names'!A:B,2,FALSE),B134),PlayerValues!E:E,0)),"N/A")</f>
        <v>15712</v>
      </c>
      <c r="B134" s="4" t="s">
        <v>488</v>
      </c>
      <c r="C134" s="4" t="s">
        <v>278</v>
      </c>
      <c r="D134" s="94">
        <v>3348.0</v>
      </c>
    </row>
    <row r="135">
      <c r="A135" s="40">
        <f t="array" ref="A135">IFNA(index(PlayerValues!A:A,match(IFNA(vlookup(B135,'Special Names'!A:B,2,FALSE),B135),PlayerValues!E:E,0)),"N/A")</f>
        <v>17053</v>
      </c>
      <c r="B135" s="4" t="s">
        <v>484</v>
      </c>
      <c r="C135" s="4" t="s">
        <v>278</v>
      </c>
      <c r="D135" s="94">
        <v>3311.0</v>
      </c>
    </row>
    <row r="136">
      <c r="A136" s="40">
        <f t="array" ref="A136">IFNA(index(PlayerValues!A:A,match(IFNA(vlookup(B136,'Special Names'!A:B,2,FALSE),B136),PlayerValues!E:E,0)),"N/A")</f>
        <v>16184</v>
      </c>
      <c r="B136" s="4" t="s">
        <v>445</v>
      </c>
      <c r="C136" s="4" t="s">
        <v>287</v>
      </c>
      <c r="D136" s="94">
        <v>3309.0</v>
      </c>
    </row>
    <row r="137">
      <c r="A137" s="40">
        <f t="array" ref="A137">IFNA(index(PlayerValues!A:A,match(IFNA(vlookup(B137,'Special Names'!A:B,2,FALSE),B137),PlayerValues!E:E,0)),"N/A")</f>
        <v>17473</v>
      </c>
      <c r="B137" s="4" t="s">
        <v>391</v>
      </c>
      <c r="C137" s="4" t="s">
        <v>278</v>
      </c>
      <c r="D137" s="94">
        <v>3286.0</v>
      </c>
    </row>
    <row r="138">
      <c r="A138" s="40">
        <f t="array" ref="A138">IFNA(index(PlayerValues!A:A,match(IFNA(vlookup(B138,'Special Names'!A:B,2,FALSE),B138),PlayerValues!E:E,0)),"N/A")</f>
        <v>16809</v>
      </c>
      <c r="B138" s="4" t="s">
        <v>455</v>
      </c>
      <c r="C138" s="4" t="s">
        <v>287</v>
      </c>
      <c r="D138" s="94">
        <v>3277.0</v>
      </c>
    </row>
    <row r="139">
      <c r="A139" s="40">
        <f t="array" ref="A139">IFNA(index(PlayerValues!A:A,match(IFNA(vlookup(B139,'Special Names'!A:B,2,FALSE),B139),PlayerValues!E:E,0)),"N/A")</f>
        <v>13635</v>
      </c>
      <c r="B139" s="4" t="s">
        <v>424</v>
      </c>
      <c r="C139" s="4" t="s">
        <v>287</v>
      </c>
      <c r="D139" s="94">
        <v>3273.0</v>
      </c>
    </row>
    <row r="140">
      <c r="A140" s="40">
        <f t="array" ref="A140">IFNA(index(PlayerValues!A:A,match(IFNA(vlookup(B140,'Special Names'!A:B,2,FALSE),B140),PlayerValues!E:E,0)),"N/A")</f>
        <v>16269</v>
      </c>
      <c r="B140" s="4" t="s">
        <v>481</v>
      </c>
      <c r="C140" s="4" t="s">
        <v>298</v>
      </c>
      <c r="D140" s="94">
        <v>3714.0</v>
      </c>
    </row>
    <row r="141">
      <c r="A141" s="40">
        <f t="array" ref="A141">IFNA(index(PlayerValues!A:A,match(IFNA(vlookup(B141,'Special Names'!A:B,2,FALSE),B141),PlayerValues!E:E,0)),"N/A")</f>
        <v>17477</v>
      </c>
      <c r="B141" s="4" t="s">
        <v>452</v>
      </c>
      <c r="C141" s="4" t="s">
        <v>278</v>
      </c>
      <c r="D141" s="94">
        <v>3239.0</v>
      </c>
    </row>
    <row r="142">
      <c r="A142" s="40">
        <f t="array" ref="A142">IFNA(index(PlayerValues!A:A,match(IFNA(vlookup(B142,'Special Names'!A:B,2,FALSE),B142),PlayerValues!E:E,0)),"N/A")</f>
        <v>17502</v>
      </c>
      <c r="B142" s="4" t="s">
        <v>451</v>
      </c>
      <c r="C142" s="4" t="s">
        <v>287</v>
      </c>
      <c r="D142" s="94">
        <v>3210.0</v>
      </c>
    </row>
    <row r="143">
      <c r="A143" s="40">
        <f t="array" ref="A143">IFNA(index(PlayerValues!A:A,match(IFNA(vlookup(B143,'Special Names'!A:B,2,FALSE),B143),PlayerValues!E:E,0)),"N/A")</f>
        <v>16187</v>
      </c>
      <c r="B143" s="4" t="s">
        <v>441</v>
      </c>
      <c r="C143" s="4" t="s">
        <v>287</v>
      </c>
      <c r="D143" s="94">
        <v>3158.0</v>
      </c>
    </row>
    <row r="144">
      <c r="A144" s="40">
        <f t="array" ref="A144">IFNA(index(PlayerValues!A:A,match(IFNA(vlookup(B144,'Special Names'!A:B,2,FALSE),B144),PlayerValues!E:E,0)),"N/A")</f>
        <v>14823</v>
      </c>
      <c r="B144" s="4" t="s">
        <v>459</v>
      </c>
      <c r="C144" s="4" t="s">
        <v>278</v>
      </c>
      <c r="D144" s="94">
        <v>3132.0</v>
      </c>
    </row>
    <row r="145">
      <c r="A145" s="40">
        <f t="array" ref="A145">IFNA(index(PlayerValues!A:A,match(IFNA(vlookup(B145,'Special Names'!A:B,2,FALSE),B145),PlayerValues!E:E,0)),"N/A")</f>
        <v>15761</v>
      </c>
      <c r="B145" s="4" t="s">
        <v>491</v>
      </c>
      <c r="C145" s="4" t="s">
        <v>287</v>
      </c>
      <c r="D145" s="94">
        <v>3101.0</v>
      </c>
    </row>
    <row r="146">
      <c r="A146" s="40">
        <f t="array" ref="A146">IFNA(index(PlayerValues!A:A,match(IFNA(vlookup(B146,'Special Names'!A:B,2,FALSE),B146),PlayerValues!E:E,0)),"N/A")</f>
        <v>15798</v>
      </c>
      <c r="B146" s="4" t="s">
        <v>443</v>
      </c>
      <c r="C146" s="4" t="s">
        <v>298</v>
      </c>
      <c r="D146" s="94">
        <v>3528.0</v>
      </c>
    </row>
    <row r="147">
      <c r="A147" s="40">
        <f t="array" ref="A147">IFNA(index(PlayerValues!A:A,match(IFNA(vlookup(B147,'Special Names'!A:B,2,FALSE),B147),PlayerValues!E:E,0)),"N/A")</f>
        <v>15261</v>
      </c>
      <c r="B147" s="4" t="s">
        <v>466</v>
      </c>
      <c r="C147" s="4" t="s">
        <v>278</v>
      </c>
      <c r="D147" s="94">
        <v>3090.0</v>
      </c>
    </row>
    <row r="148">
      <c r="A148" s="40" t="str">
        <f t="array" ref="A148">IFNA(index(PlayerValues!A:A,match(IFNA(vlookup(B148,'Special Names'!A:B,2,FALSE),B148),PlayerValues!E:E,0)),"N/A")</f>
        <v>N/A</v>
      </c>
      <c r="B148" s="4" t="s">
        <v>108</v>
      </c>
      <c r="C148" s="4" t="s">
        <v>325</v>
      </c>
      <c r="D148" s="94">
        <v>3071.0</v>
      </c>
    </row>
    <row r="149">
      <c r="A149" s="40" t="str">
        <f t="array" ref="A149">IFNA(index(PlayerValues!A:A,match(IFNA(vlookup(B149,'Special Names'!A:B,2,FALSE),B149),PlayerValues!E:E,0)),"N/A")</f>
        <v>N/A</v>
      </c>
      <c r="B149" s="4" t="s">
        <v>97</v>
      </c>
      <c r="C149" s="4" t="s">
        <v>325</v>
      </c>
      <c r="D149" s="94">
        <v>3045.0</v>
      </c>
    </row>
    <row r="150">
      <c r="A150" s="40">
        <f t="array" ref="A150">IFNA(index(PlayerValues!A:A,match(IFNA(vlookup(B150,'Special Names'!A:B,2,FALSE),B150),PlayerValues!E:E,0)),"N/A")</f>
        <v>16619</v>
      </c>
      <c r="B150" s="4" t="s">
        <v>538</v>
      </c>
      <c r="C150" s="4" t="s">
        <v>287</v>
      </c>
      <c r="D150" s="94">
        <v>3043.0</v>
      </c>
    </row>
    <row r="151">
      <c r="A151" s="40" t="str">
        <f t="array" ref="A151">IFNA(index(PlayerValues!A:A,match(IFNA(vlookup(B151,'Special Names'!A:B,2,FALSE),B151),PlayerValues!E:E,0)),"N/A")</f>
        <v>N/A</v>
      </c>
      <c r="B151" s="4" t="s">
        <v>84</v>
      </c>
      <c r="C151" s="4" t="s">
        <v>325</v>
      </c>
      <c r="D151" s="94">
        <v>3039.0</v>
      </c>
    </row>
    <row r="152">
      <c r="A152" s="40">
        <f t="array" ref="A152">IFNA(index(PlayerValues!A:A,match(IFNA(vlookup(B152,'Special Names'!A:B,2,FALSE),B152),PlayerValues!E:E,0)),"N/A")</f>
        <v>15259</v>
      </c>
      <c r="B152" s="4" t="s">
        <v>453</v>
      </c>
      <c r="C152" s="4" t="s">
        <v>278</v>
      </c>
      <c r="D152" s="94">
        <v>3023.0</v>
      </c>
    </row>
    <row r="153">
      <c r="A153" s="40">
        <f t="array" ref="A153">IFNA(index(PlayerValues!A:A,match(IFNA(vlookup(B153,'Special Names'!A:B,2,FALSE),B153),PlayerValues!E:E,0)),"N/A")</f>
        <v>17082</v>
      </c>
      <c r="B153" s="4" t="s">
        <v>498</v>
      </c>
      <c r="C153" s="4" t="s">
        <v>287</v>
      </c>
      <c r="D153" s="94">
        <v>3009.0</v>
      </c>
    </row>
    <row r="154">
      <c r="A154" s="40">
        <f t="array" ref="A154">IFNA(index(PlayerValues!A:A,match(IFNA(vlookup(B154,'Special Names'!A:B,2,FALSE),B154),PlayerValues!E:E,0)),"N/A")</f>
        <v>15779</v>
      </c>
      <c r="B154" s="4" t="s">
        <v>461</v>
      </c>
      <c r="C154" s="4" t="s">
        <v>287</v>
      </c>
      <c r="D154" s="94">
        <v>2988.0</v>
      </c>
    </row>
    <row r="155">
      <c r="A155" s="40">
        <f t="array" ref="A155">IFNA(index(PlayerValues!A:A,match(IFNA(vlookup(B155,'Special Names'!A:B,2,FALSE),B155),PlayerValues!E:E,0)),"N/A")</f>
        <v>16193</v>
      </c>
      <c r="B155" s="4" t="s">
        <v>487</v>
      </c>
      <c r="C155" s="4" t="s">
        <v>287</v>
      </c>
      <c r="D155" s="94">
        <v>2966.0</v>
      </c>
    </row>
    <row r="156">
      <c r="A156" s="40">
        <f t="array" ref="A156">IFNA(index(PlayerValues!A:A,match(IFNA(vlookup(B156,'Special Names'!A:B,2,FALSE),B156),PlayerValues!E:E,0)),"N/A")</f>
        <v>15241</v>
      </c>
      <c r="B156" s="4" t="s">
        <v>546</v>
      </c>
      <c r="C156" s="4" t="s">
        <v>283</v>
      </c>
      <c r="D156" s="94">
        <v>2931.0</v>
      </c>
    </row>
    <row r="157">
      <c r="A157" s="40">
        <f t="array" ref="A157">IFNA(index(PlayerValues!A:A,match(IFNA(vlookup(B157,'Special Names'!A:B,2,FALSE),B157),PlayerValues!E:E,0)),"N/A")</f>
        <v>17106</v>
      </c>
      <c r="B157" s="4" t="s">
        <v>550</v>
      </c>
      <c r="C157" s="4" t="s">
        <v>298</v>
      </c>
      <c r="D157" s="94">
        <v>3348.0</v>
      </c>
    </row>
    <row r="158">
      <c r="A158" s="40">
        <f t="array" ref="A158">IFNA(index(PlayerValues!A:A,match(IFNA(vlookup(B158,'Special Names'!A:B,2,FALSE),B158),PlayerValues!E:E,0)),"N/A")</f>
        <v>16723</v>
      </c>
      <c r="B158" s="4" t="s">
        <v>502</v>
      </c>
      <c r="C158" s="4" t="s">
        <v>298</v>
      </c>
      <c r="D158" s="94">
        <v>3338.0</v>
      </c>
    </row>
    <row r="159">
      <c r="A159" s="40">
        <f t="array" ref="A159">IFNA(index(PlayerValues!A:A,match(IFNA(vlookup(B159,'Special Names'!A:B,2,FALSE),B159),PlayerValues!E:E,0)),"N/A")</f>
        <v>17256</v>
      </c>
      <c r="B159" s="4" t="s">
        <v>462</v>
      </c>
      <c r="C159" s="4" t="s">
        <v>278</v>
      </c>
      <c r="D159" s="94">
        <v>2915.0</v>
      </c>
    </row>
    <row r="160">
      <c r="A160" s="40">
        <f t="array" ref="A160">IFNA(index(PlayerValues!A:A,match(IFNA(vlookup(B160,'Special Names'!A:B,2,FALSE),B160),PlayerValues!E:E,0)),"N/A")</f>
        <v>14860</v>
      </c>
      <c r="B160" s="4" t="s">
        <v>554</v>
      </c>
      <c r="C160" s="4" t="s">
        <v>287</v>
      </c>
      <c r="D160" s="94">
        <v>2910.0</v>
      </c>
    </row>
    <row r="161">
      <c r="A161" s="40">
        <f t="array" ref="A161">IFNA(index(PlayerValues!A:A,match(IFNA(vlookup(B161,'Special Names'!A:B,2,FALSE),B161),PlayerValues!E:E,0)),"N/A")</f>
        <v>17107</v>
      </c>
      <c r="B161" s="4" t="s">
        <v>478</v>
      </c>
      <c r="C161" s="4" t="s">
        <v>298</v>
      </c>
      <c r="D161" s="94">
        <v>3324.0</v>
      </c>
    </row>
    <row r="162">
      <c r="A162" s="40">
        <f t="array" ref="A162">IFNA(index(PlayerValues!A:A,match(IFNA(vlookup(B162,'Special Names'!A:B,2,FALSE),B162),PlayerValues!E:E,0)),"N/A")</f>
        <v>11671</v>
      </c>
      <c r="B162" s="4" t="s">
        <v>463</v>
      </c>
      <c r="C162" s="4" t="s">
        <v>287</v>
      </c>
      <c r="D162" s="94">
        <v>2902.0</v>
      </c>
    </row>
    <row r="163">
      <c r="A163" s="40">
        <f t="array" ref="A163">IFNA(index(PlayerValues!A:A,match(IFNA(vlookup(B163,'Special Names'!A:B,2,FALSE),B163),PlayerValues!E:E,0)),"N/A")</f>
        <v>17463</v>
      </c>
      <c r="B163" s="4" t="s">
        <v>433</v>
      </c>
      <c r="C163" s="4" t="s">
        <v>283</v>
      </c>
      <c r="D163" s="94">
        <v>2884.0</v>
      </c>
    </row>
    <row r="164">
      <c r="A164" s="40">
        <f t="array" ref="A164">IFNA(index(PlayerValues!A:A,match(IFNA(vlookup(B164,'Special Names'!A:B,2,FALSE),B164),PlayerValues!E:E,0)),"N/A")</f>
        <v>16080</v>
      </c>
      <c r="B164" s="4" t="s">
        <v>499</v>
      </c>
      <c r="C164" s="4" t="s">
        <v>287</v>
      </c>
      <c r="D164" s="94">
        <v>2876.0</v>
      </c>
    </row>
    <row r="165">
      <c r="A165" s="40">
        <f t="array" ref="A165">IFNA(index(PlayerValues!A:A,match(IFNA(vlookup(B165,'Special Names'!A:B,2,FALSE),B165),PlayerValues!E:E,0)),"N/A")</f>
        <v>16628</v>
      </c>
      <c r="B165" s="4" t="s">
        <v>490</v>
      </c>
      <c r="C165" s="4" t="s">
        <v>287</v>
      </c>
      <c r="D165" s="94">
        <v>2849.0</v>
      </c>
    </row>
    <row r="166">
      <c r="A166" s="40">
        <f t="array" ref="A166">IFNA(index(PlayerValues!A:A,match(IFNA(vlookup(B166,'Special Names'!A:B,2,FALSE),B166),PlayerValues!E:E,0)),"N/A")</f>
        <v>17031</v>
      </c>
      <c r="B166" s="4" t="s">
        <v>535</v>
      </c>
      <c r="C166" s="4" t="s">
        <v>283</v>
      </c>
      <c r="D166" s="94">
        <v>2842.0</v>
      </c>
    </row>
    <row r="167">
      <c r="A167" s="40">
        <f t="array" ref="A167">IFNA(index(PlayerValues!A:A,match(IFNA(vlookup(B167,'Special Names'!A:B,2,FALSE),B167),PlayerValues!E:E,0)),"N/A")</f>
        <v>17073</v>
      </c>
      <c r="B167" s="4" t="s">
        <v>547</v>
      </c>
      <c r="C167" s="4" t="s">
        <v>287</v>
      </c>
      <c r="D167" s="94">
        <v>2838.0</v>
      </c>
    </row>
    <row r="168">
      <c r="A168" s="40">
        <f t="array" ref="A168">IFNA(index(PlayerValues!A:A,match(IFNA(vlookup(B168,'Special Names'!A:B,2,FALSE),B168),PlayerValues!E:E,0)),"N/A")</f>
        <v>17072</v>
      </c>
      <c r="B168" s="4" t="s">
        <v>508</v>
      </c>
      <c r="C168" s="4" t="s">
        <v>287</v>
      </c>
      <c r="D168" s="94">
        <v>2837.0</v>
      </c>
    </row>
    <row r="169">
      <c r="A169" s="40">
        <f t="array" ref="A169">IFNA(index(PlayerValues!A:A,match(IFNA(vlookup(B169,'Special Names'!A:B,2,FALSE),B169),PlayerValues!E:E,0)),"N/A")</f>
        <v>17157</v>
      </c>
      <c r="B169" s="4" t="s">
        <v>524</v>
      </c>
      <c r="C169" s="4" t="s">
        <v>287</v>
      </c>
      <c r="D169" s="94">
        <v>2837.0</v>
      </c>
    </row>
    <row r="170">
      <c r="A170" s="40">
        <f t="array" ref="A170">IFNA(index(PlayerValues!A:A,match(IFNA(vlookup(B170,'Special Names'!A:B,2,FALSE),B170),PlayerValues!E:E,0)),"N/A")</f>
        <v>17171</v>
      </c>
      <c r="B170" s="4" t="s">
        <v>561</v>
      </c>
      <c r="C170" s="4" t="s">
        <v>287</v>
      </c>
      <c r="D170" s="94">
        <v>2836.0</v>
      </c>
    </row>
    <row r="171">
      <c r="A171" s="40" t="str">
        <f t="array" ref="A171">IFNA(index(PlayerValues!A:A,match(IFNA(vlookup(B171,'Special Names'!A:B,2,FALSE),B171),PlayerValues!E:E,0)),"N/A")</f>
        <v>N/A</v>
      </c>
      <c r="B171" s="4" t="s">
        <v>109</v>
      </c>
      <c r="C171" s="4" t="s">
        <v>325</v>
      </c>
      <c r="D171" s="94">
        <v>2833.0</v>
      </c>
    </row>
    <row r="172">
      <c r="A172" s="40">
        <f t="array" ref="A172">IFNA(index(PlayerValues!A:A,match(IFNA(vlookup(B172,'Special Names'!A:B,2,FALSE),B172),PlayerValues!E:E,0)),"N/A")</f>
        <v>16596</v>
      </c>
      <c r="B172" s="4" t="s">
        <v>501</v>
      </c>
      <c r="C172" s="4" t="s">
        <v>278</v>
      </c>
      <c r="D172" s="94">
        <v>2827.0</v>
      </c>
    </row>
    <row r="173">
      <c r="A173" s="40">
        <f t="array" ref="A173">IFNA(index(PlayerValues!A:A,match(IFNA(vlookup(B173,'Special Names'!A:B,2,FALSE),B173),PlayerValues!E:E,0)),"N/A")</f>
        <v>14071</v>
      </c>
      <c r="B173" s="4" t="s">
        <v>440</v>
      </c>
      <c r="C173" s="4" t="s">
        <v>278</v>
      </c>
      <c r="D173" s="94">
        <v>2825.0</v>
      </c>
    </row>
    <row r="174">
      <c r="A174" s="40">
        <f t="array" ref="A174">IFNA(index(PlayerValues!A:A,match(IFNA(vlookup(B174,'Special Names'!A:B,2,FALSE),B174),PlayerValues!E:E,0)),"N/A")</f>
        <v>16165</v>
      </c>
      <c r="B174" s="4" t="s">
        <v>520</v>
      </c>
      <c r="C174" s="4" t="s">
        <v>278</v>
      </c>
      <c r="D174" s="94">
        <v>2814.0</v>
      </c>
    </row>
    <row r="175">
      <c r="A175" s="40">
        <f t="array" ref="A175">IFNA(index(PlayerValues!A:A,match(IFNA(vlookup(B175,'Special Names'!A:B,2,FALSE),B175),PlayerValues!E:E,0)),"N/A")</f>
        <v>16649</v>
      </c>
      <c r="B175" s="4" t="s">
        <v>586</v>
      </c>
      <c r="C175" s="4" t="s">
        <v>298</v>
      </c>
      <c r="D175" s="94">
        <v>3215.0</v>
      </c>
    </row>
    <row r="176">
      <c r="A176" s="40">
        <f t="array" ref="A176">IFNA(index(PlayerValues!A:A,match(IFNA(vlookup(B176,'Special Names'!A:B,2,FALSE),B176),PlayerValues!E:E,0)),"N/A")</f>
        <v>17080</v>
      </c>
      <c r="B176" s="4" t="s">
        <v>532</v>
      </c>
      <c r="C176" s="4" t="s">
        <v>287</v>
      </c>
      <c r="D176" s="94">
        <v>2791.0</v>
      </c>
    </row>
    <row r="177">
      <c r="A177" s="40">
        <f t="array" ref="A177">IFNA(index(PlayerValues!A:A,match(IFNA(vlookup(B177,'Special Names'!A:B,2,FALSE),B177),PlayerValues!E:E,0)),"N/A")</f>
        <v>15255</v>
      </c>
      <c r="B177" s="4" t="s">
        <v>477</v>
      </c>
      <c r="C177" s="4" t="s">
        <v>278</v>
      </c>
      <c r="D177" s="94">
        <v>2786.0</v>
      </c>
    </row>
    <row r="178">
      <c r="A178" s="40" t="str">
        <f t="array" ref="A178">IFNA(index(PlayerValues!A:A,match(IFNA(vlookup(B178,'Special Names'!A:B,2,FALSE),B178),PlayerValues!E:E,0)),"N/A")</f>
        <v>N/A</v>
      </c>
      <c r="B178" s="4" t="s">
        <v>85</v>
      </c>
      <c r="C178" s="4" t="s">
        <v>325</v>
      </c>
      <c r="D178" s="94">
        <v>2786.0</v>
      </c>
    </row>
    <row r="179">
      <c r="A179" s="40">
        <f t="array" ref="A179">IFNA(index(PlayerValues!A:A,match(IFNA(vlookup(B179,'Special Names'!A:B,2,FALSE),B179),PlayerValues!E:E,0)),"N/A")</f>
        <v>13163</v>
      </c>
      <c r="B179" s="4" t="s">
        <v>473</v>
      </c>
      <c r="C179" s="4" t="s">
        <v>287</v>
      </c>
      <c r="D179" s="94">
        <v>2785.0</v>
      </c>
    </row>
    <row r="180">
      <c r="A180" s="40">
        <f t="array" ref="A180">IFNA(index(PlayerValues!A:A,match(IFNA(vlookup(B180,'Special Names'!A:B,2,FALSE),B180),PlayerValues!E:E,0)),"N/A")</f>
        <v>14800</v>
      </c>
      <c r="B180" s="4" t="s">
        <v>472</v>
      </c>
      <c r="C180" s="4" t="s">
        <v>278</v>
      </c>
      <c r="D180" s="94">
        <v>2785.0</v>
      </c>
    </row>
    <row r="181">
      <c r="A181" s="40">
        <f t="array" ref="A181">IFNA(index(PlayerValues!A:A,match(IFNA(vlookup(B181,'Special Names'!A:B,2,FALSE),B181),PlayerValues!E:E,0)),"N/A")</f>
        <v>17098</v>
      </c>
      <c r="B181" s="4" t="s">
        <v>533</v>
      </c>
      <c r="C181" s="4" t="s">
        <v>287</v>
      </c>
      <c r="D181" s="94">
        <v>2785.0</v>
      </c>
    </row>
    <row r="182">
      <c r="A182" s="40">
        <f t="array" ref="A182">IFNA(index(PlayerValues!A:A,match(IFNA(vlookup(B182,'Special Names'!A:B,2,FALSE),B182),PlayerValues!E:E,0)),"N/A")</f>
        <v>16597</v>
      </c>
      <c r="B182" s="4" t="s">
        <v>427</v>
      </c>
      <c r="C182" s="4" t="s">
        <v>278</v>
      </c>
      <c r="D182" s="94">
        <v>2784.0</v>
      </c>
    </row>
    <row r="183">
      <c r="A183" s="40">
        <f t="array" ref="A183">IFNA(index(PlayerValues!A:A,match(IFNA(vlookup(B183,'Special Names'!A:B,2,FALSE),B183),PlayerValues!E:E,0)),"N/A")</f>
        <v>17134</v>
      </c>
      <c r="B183" s="4" t="s">
        <v>548</v>
      </c>
      <c r="C183" s="4" t="s">
        <v>287</v>
      </c>
      <c r="D183" s="94">
        <v>2773.0</v>
      </c>
    </row>
    <row r="184">
      <c r="A184" s="40">
        <f t="array" ref="A184">IFNA(index(PlayerValues!A:A,match(IFNA(vlookup(B184,'Special Names'!A:B,2,FALSE),B184),PlayerValues!E:E,0)),"N/A")</f>
        <v>17476</v>
      </c>
      <c r="B184" s="4" t="s">
        <v>494</v>
      </c>
      <c r="C184" s="4" t="s">
        <v>278</v>
      </c>
      <c r="D184" s="94">
        <v>2758.0</v>
      </c>
    </row>
    <row r="185">
      <c r="A185" s="40">
        <f t="array" ref="A185">IFNA(index(PlayerValues!A:A,match(IFNA(vlookup(B185,'Special Names'!A:B,2,FALSE),B185),PlayerValues!E:E,0)),"N/A")</f>
        <v>14138</v>
      </c>
      <c r="B185" s="4" t="s">
        <v>531</v>
      </c>
      <c r="C185" s="4" t="s">
        <v>298</v>
      </c>
      <c r="D185" s="94">
        <v>3141.0</v>
      </c>
    </row>
    <row r="186">
      <c r="A186" s="40">
        <f t="array" ref="A186">IFNA(index(PlayerValues!A:A,match(IFNA(vlookup(B186,'Special Names'!A:B,2,FALSE),B186),PlayerValues!E:E,0)),"N/A")</f>
        <v>16747</v>
      </c>
      <c r="B186" s="4" t="s">
        <v>555</v>
      </c>
      <c r="C186" s="4" t="s">
        <v>278</v>
      </c>
      <c r="D186" s="94">
        <v>2713.0</v>
      </c>
    </row>
    <row r="187">
      <c r="A187" s="40">
        <f t="array" ref="A187">IFNA(index(PlayerValues!A:A,match(IFNA(vlookup(B187,'Special Names'!A:B,2,FALSE),B187),PlayerValues!E:E,0)),"N/A")</f>
        <v>16626</v>
      </c>
      <c r="B187" s="4" t="s">
        <v>515</v>
      </c>
      <c r="C187" s="4" t="s">
        <v>287</v>
      </c>
      <c r="D187" s="94">
        <v>2709.0</v>
      </c>
    </row>
    <row r="188">
      <c r="A188" s="40">
        <f t="array" ref="A188">IFNA(index(PlayerValues!A:A,match(IFNA(vlookup(B188,'Special Names'!A:B,2,FALSE),B188),PlayerValues!E:E,0)),"N/A")</f>
        <v>17048</v>
      </c>
      <c r="B188" s="4" t="s">
        <v>539</v>
      </c>
      <c r="C188" s="4" t="s">
        <v>278</v>
      </c>
      <c r="D188" s="94">
        <v>2709.0</v>
      </c>
    </row>
    <row r="189">
      <c r="A189" s="40">
        <f t="array" ref="A189">IFNA(index(PlayerValues!A:A,match(IFNA(vlookup(B189,'Special Names'!A:B,2,FALSE),B189),PlayerValues!E:E,0)),"N/A")</f>
        <v>17047</v>
      </c>
      <c r="B189" s="4" t="s">
        <v>510</v>
      </c>
      <c r="C189" s="4" t="s">
        <v>278</v>
      </c>
      <c r="D189" s="94">
        <v>2702.0</v>
      </c>
    </row>
    <row r="190">
      <c r="A190" s="40">
        <f t="array" ref="A190">IFNA(index(PlayerValues!A:A,match(IFNA(vlookup(B190,'Special Names'!A:B,2,FALSE),B190),PlayerValues!E:E,0)),"N/A")</f>
        <v>14778</v>
      </c>
      <c r="B190" s="4" t="s">
        <v>564</v>
      </c>
      <c r="C190" s="4" t="s">
        <v>283</v>
      </c>
      <c r="D190" s="94">
        <v>2701.0</v>
      </c>
    </row>
    <row r="191">
      <c r="A191" s="40">
        <f t="array" ref="A191">IFNA(index(PlayerValues!A:A,match(IFNA(vlookup(B191,'Special Names'!A:B,2,FALSE),B191),PlayerValues!E:E,0)),"N/A")</f>
        <v>14085</v>
      </c>
      <c r="B191" s="4" t="s">
        <v>489</v>
      </c>
      <c r="C191" s="4" t="s">
        <v>278</v>
      </c>
      <c r="D191" s="94">
        <v>2688.0</v>
      </c>
    </row>
    <row r="192">
      <c r="A192" s="40" t="str">
        <f t="array" ref="A192">IFNA(index(PlayerValues!A:A,match(IFNA(vlookup(B192,'Special Names'!A:B,2,FALSE),B192),PlayerValues!E:E,0)),"N/A")</f>
        <v>N/A</v>
      </c>
      <c r="B192" s="4" t="s">
        <v>110</v>
      </c>
      <c r="C192" s="4" t="s">
        <v>325</v>
      </c>
      <c r="D192" s="94">
        <v>2659.0</v>
      </c>
    </row>
    <row r="193">
      <c r="A193" s="40">
        <f t="array" ref="A193">IFNA(index(PlayerValues!A:A,match(IFNA(vlookup(B193,'Special Names'!A:B,2,FALSE),B193),PlayerValues!E:E,0)),"N/A")</f>
        <v>12186</v>
      </c>
      <c r="B193" s="4" t="s">
        <v>497</v>
      </c>
      <c r="C193" s="4" t="s">
        <v>287</v>
      </c>
      <c r="D193" s="94">
        <v>2655.0</v>
      </c>
    </row>
    <row r="194">
      <c r="A194" s="40">
        <f t="array" ref="A194">IFNA(index(PlayerValues!A:A,match(IFNA(vlookup(B194,'Special Names'!A:B,2,FALSE),B194),PlayerValues!E:E,0)),"N/A")</f>
        <v>17046</v>
      </c>
      <c r="B194" s="4" t="s">
        <v>602</v>
      </c>
      <c r="C194" s="4" t="s">
        <v>278</v>
      </c>
      <c r="D194" s="94">
        <v>2649.0</v>
      </c>
    </row>
    <row r="195">
      <c r="A195" s="40">
        <f t="array" ref="A195">IFNA(index(PlayerValues!A:A,match(IFNA(vlookup(B195,'Special Names'!A:B,2,FALSE),B195),PlayerValues!E:E,0)),"N/A")</f>
        <v>14833</v>
      </c>
      <c r="B195" s="4" t="s">
        <v>553</v>
      </c>
      <c r="C195" s="4" t="s">
        <v>287</v>
      </c>
      <c r="D195" s="94">
        <v>2647.0</v>
      </c>
    </row>
    <row r="196">
      <c r="A196" s="40">
        <f t="array" ref="A196">IFNA(index(PlayerValues!A:A,match(IFNA(vlookup(B196,'Special Names'!A:B,2,FALSE),B196),PlayerValues!E:E,0)),"N/A")</f>
        <v>14840</v>
      </c>
      <c r="B196" s="4" t="s">
        <v>731</v>
      </c>
      <c r="C196" s="4" t="s">
        <v>287</v>
      </c>
      <c r="D196" s="94">
        <v>2640.0</v>
      </c>
    </row>
    <row r="197">
      <c r="A197" s="40">
        <f t="array" ref="A197">IFNA(index(PlayerValues!A:A,match(IFNA(vlookup(B197,'Special Names'!A:B,2,FALSE),B197),PlayerValues!E:E,0)),"N/A")</f>
        <v>15721</v>
      </c>
      <c r="B197" s="4" t="s">
        <v>504</v>
      </c>
      <c r="C197" s="4" t="s">
        <v>278</v>
      </c>
      <c r="D197" s="94">
        <v>2636.0</v>
      </c>
    </row>
    <row r="198">
      <c r="A198" s="40">
        <f t="array" ref="A198">IFNA(index(PlayerValues!A:A,match(IFNA(vlookup(B198,'Special Names'!A:B,2,FALSE),B198),PlayerValues!E:E,0)),"N/A")</f>
        <v>13192</v>
      </c>
      <c r="B198" s="4" t="s">
        <v>563</v>
      </c>
      <c r="C198" s="4" t="s">
        <v>298</v>
      </c>
      <c r="D198" s="94">
        <v>3046.0</v>
      </c>
    </row>
    <row r="199">
      <c r="A199" s="40">
        <f t="array" ref="A199">IFNA(index(PlayerValues!A:A,match(IFNA(vlookup(B199,'Special Names'!A:B,2,FALSE),B199),PlayerValues!E:E,0)),"N/A")</f>
        <v>17108</v>
      </c>
      <c r="B199" s="4" t="s">
        <v>542</v>
      </c>
      <c r="C199" s="4" t="s">
        <v>298</v>
      </c>
      <c r="D199" s="94">
        <v>3042.0</v>
      </c>
    </row>
    <row r="200">
      <c r="A200" s="40">
        <f t="array" ref="A200">IFNA(index(PlayerValues!A:A,match(IFNA(vlookup(B200,'Special Names'!A:B,2,FALSE),B200),PlayerValues!E:E,0)),"N/A")</f>
        <v>16757</v>
      </c>
      <c r="B200" s="4" t="s">
        <v>558</v>
      </c>
      <c r="C200" s="4" t="s">
        <v>278</v>
      </c>
      <c r="D200" s="94">
        <v>2611.0</v>
      </c>
    </row>
    <row r="201">
      <c r="A201" s="40" t="str">
        <f t="array" ref="A201">IFNA(index(PlayerValues!A:A,match(IFNA(vlookup(B201,'Special Names'!A:B,2,FALSE),B201),PlayerValues!E:E,0)),"N/A")</f>
        <v>N/A</v>
      </c>
      <c r="B201" s="4" t="s">
        <v>557</v>
      </c>
      <c r="C201" s="4" t="s">
        <v>278</v>
      </c>
      <c r="D201" s="94">
        <v>2593.0</v>
      </c>
    </row>
    <row r="202">
      <c r="A202" s="40">
        <f t="array" ref="A202">IFNA(index(PlayerValues!A:A,match(IFNA(vlookup(B202,'Special Names'!A:B,2,FALSE),B202),PlayerValues!E:E,0)),"N/A")</f>
        <v>16152</v>
      </c>
      <c r="B202" s="4" t="s">
        <v>601</v>
      </c>
      <c r="C202" s="4" t="s">
        <v>283</v>
      </c>
      <c r="D202" s="94">
        <v>2585.0</v>
      </c>
    </row>
    <row r="203">
      <c r="A203" s="40">
        <f t="array" ref="A203">IFNA(index(PlayerValues!A:A,match(IFNA(vlookup(B203,'Special Names'!A:B,2,FALSE),B203),PlayerValues!E:E,0)),"N/A")</f>
        <v>13674</v>
      </c>
      <c r="B203" s="4" t="s">
        <v>511</v>
      </c>
      <c r="C203" s="4" t="s">
        <v>298</v>
      </c>
      <c r="D203" s="94">
        <v>2993.0</v>
      </c>
    </row>
    <row r="204">
      <c r="A204" s="40">
        <f t="array" ref="A204">IFNA(index(PlayerValues!A:A,match(IFNA(vlookup(B204,'Special Names'!A:B,2,FALSE),B204),PlayerValues!E:E,0)),"N/A")</f>
        <v>17078</v>
      </c>
      <c r="B204" s="4" t="s">
        <v>543</v>
      </c>
      <c r="C204" s="4" t="s">
        <v>287</v>
      </c>
      <c r="D204" s="94">
        <v>2566.0</v>
      </c>
    </row>
    <row r="205">
      <c r="A205" s="40">
        <f t="array" ref="A205">IFNA(index(PlayerValues!A:A,match(IFNA(vlookup(B205,'Special Names'!A:B,2,FALSE),B205),PlayerValues!E:E,0)),"N/A")</f>
        <v>16166</v>
      </c>
      <c r="B205" s="4" t="s">
        <v>567</v>
      </c>
      <c r="C205" s="4" t="s">
        <v>278</v>
      </c>
      <c r="D205" s="94">
        <v>2565.0</v>
      </c>
    </row>
    <row r="206">
      <c r="A206" s="40">
        <f t="array" ref="A206">IFNA(index(PlayerValues!A:A,match(IFNA(vlookup(B206,'Special Names'!A:B,2,FALSE),B206),PlayerValues!E:E,0)),"N/A")</f>
        <v>13671</v>
      </c>
      <c r="B206" s="4" t="s">
        <v>506</v>
      </c>
      <c r="C206" s="4" t="s">
        <v>298</v>
      </c>
      <c r="D206" s="94">
        <v>2968.0</v>
      </c>
    </row>
    <row r="207">
      <c r="A207" s="40">
        <f t="array" ref="A207">IFNA(index(PlayerValues!A:A,match(IFNA(vlookup(B207,'Special Names'!A:B,2,FALSE),B207),PlayerValues!E:E,0)),"N/A")</f>
        <v>17505</v>
      </c>
      <c r="B207" s="4" t="s">
        <v>528</v>
      </c>
      <c r="C207" s="4" t="s">
        <v>287</v>
      </c>
      <c r="D207" s="94">
        <v>2559.0</v>
      </c>
    </row>
    <row r="208">
      <c r="A208" s="40">
        <f t="array" ref="A208">IFNA(index(PlayerValues!A:A,match(IFNA(vlookup(B208,'Special Names'!A:B,2,FALSE),B208),PlayerValues!E:E,0)),"N/A")</f>
        <v>14136</v>
      </c>
      <c r="B208" s="4" t="s">
        <v>536</v>
      </c>
      <c r="C208" s="4" t="s">
        <v>287</v>
      </c>
      <c r="D208" s="94">
        <v>2551.0</v>
      </c>
    </row>
    <row r="209">
      <c r="A209" s="40">
        <f t="array" ref="A209">IFNA(index(PlayerValues!A:A,match(IFNA(vlookup(B209,'Special Names'!A:B,2,FALSE),B209),PlayerValues!E:E,0)),"N/A")</f>
        <v>16189</v>
      </c>
      <c r="B209" s="4" t="s">
        <v>582</v>
      </c>
      <c r="C209" s="4" t="s">
        <v>287</v>
      </c>
      <c r="D209" s="94">
        <v>2541.0</v>
      </c>
    </row>
    <row r="210">
      <c r="A210" s="40">
        <f t="array" ref="A210">IFNA(index(PlayerValues!A:A,match(IFNA(vlookup(B210,'Special Names'!A:B,2,FALSE),B210),PlayerValues!E:E,0)),"N/A")</f>
        <v>16164</v>
      </c>
      <c r="B210" s="4" t="s">
        <v>512</v>
      </c>
      <c r="C210" s="4" t="s">
        <v>278</v>
      </c>
      <c r="D210" s="94">
        <v>2523.0</v>
      </c>
    </row>
    <row r="211">
      <c r="A211" s="40">
        <f t="array" ref="A211">IFNA(index(PlayerValues!A:A,match(IFNA(vlookup(B211,'Special Names'!A:B,2,FALSE),B211),PlayerValues!E:E,0)),"N/A")</f>
        <v>16617</v>
      </c>
      <c r="B211" s="4" t="s">
        <v>541</v>
      </c>
      <c r="C211" s="4" t="s">
        <v>287</v>
      </c>
      <c r="D211" s="94">
        <v>2514.0</v>
      </c>
    </row>
    <row r="212">
      <c r="A212" s="40">
        <f t="array" ref="A212">IFNA(index(PlayerValues!A:A,match(IFNA(vlookup(B212,'Special Names'!A:B,2,FALSE),B212),PlayerValues!E:E,0)),"N/A")</f>
        <v>12616</v>
      </c>
      <c r="B212" s="4" t="s">
        <v>529</v>
      </c>
      <c r="C212" s="4" t="s">
        <v>283</v>
      </c>
      <c r="D212" s="94">
        <v>2503.0</v>
      </c>
    </row>
    <row r="213">
      <c r="A213" s="40">
        <f t="array" ref="A213">IFNA(index(PlayerValues!A:A,match(IFNA(vlookup(B213,'Special Names'!A:B,2,FALSE),B213),PlayerValues!E:E,0)),"N/A")</f>
        <v>15972</v>
      </c>
      <c r="B213" s="4" t="s">
        <v>469</v>
      </c>
      <c r="C213" s="4" t="s">
        <v>278</v>
      </c>
      <c r="D213" s="94">
        <v>2477.0</v>
      </c>
    </row>
    <row r="214">
      <c r="A214" s="40" t="str">
        <f t="array" ref="A214">IFNA(index(PlayerValues!A:A,match(IFNA(vlookup(B214,'Special Names'!A:B,2,FALSE),B214),PlayerValues!E:E,0)),"N/A")</f>
        <v>N/A</v>
      </c>
      <c r="B214" s="4" t="s">
        <v>98</v>
      </c>
      <c r="C214" s="4" t="s">
        <v>325</v>
      </c>
      <c r="D214" s="94">
        <v>2468.0</v>
      </c>
    </row>
    <row r="215">
      <c r="A215" s="40">
        <f t="array" ref="A215">IFNA(index(PlayerValues!A:A,match(IFNA(vlookup(B215,'Special Names'!A:B,2,FALSE),B215),PlayerValues!E:E,0)),"N/A")</f>
        <v>17474</v>
      </c>
      <c r="B215" s="4" t="s">
        <v>513</v>
      </c>
      <c r="C215" s="4" t="s">
        <v>278</v>
      </c>
      <c r="D215" s="94">
        <v>2468.0</v>
      </c>
    </row>
    <row r="216">
      <c r="A216" s="40">
        <f t="array" ref="A216">IFNA(index(PlayerValues!A:A,match(IFNA(vlookup(B216,'Special Names'!A:B,2,FALSE),B216),PlayerValues!E:E,0)),"N/A")</f>
        <v>16287</v>
      </c>
      <c r="B216" s="4" t="s">
        <v>516</v>
      </c>
      <c r="C216" s="4" t="s">
        <v>287</v>
      </c>
      <c r="D216" s="94">
        <v>2466.0</v>
      </c>
    </row>
    <row r="217">
      <c r="A217" s="40">
        <f t="array" ref="A217">IFNA(index(PlayerValues!A:A,match(IFNA(vlookup(B217,'Special Names'!A:B,2,FALSE),B217),PlayerValues!E:E,0)),"N/A")</f>
        <v>17033</v>
      </c>
      <c r="B217" s="4" t="s">
        <v>570</v>
      </c>
      <c r="C217" s="4" t="s">
        <v>283</v>
      </c>
      <c r="D217" s="94">
        <v>2437.0</v>
      </c>
    </row>
    <row r="218">
      <c r="A218" s="40">
        <f t="array" ref="A218">IFNA(index(PlayerValues!A:A,match(IFNA(vlookup(B218,'Special Names'!A:B,2,FALSE),B218),PlayerValues!E:E,0)),"N/A")</f>
        <v>16204</v>
      </c>
      <c r="B218" s="4" t="s">
        <v>530</v>
      </c>
      <c r="C218" s="4" t="s">
        <v>287</v>
      </c>
      <c r="D218" s="94">
        <v>2424.0</v>
      </c>
    </row>
    <row r="219">
      <c r="A219" s="40">
        <f t="array" ref="A219">IFNA(index(PlayerValues!A:A,match(IFNA(vlookup(B219,'Special Names'!A:B,2,FALSE),B219),PlayerValues!E:E,0)),"N/A")</f>
        <v>14861</v>
      </c>
      <c r="B219" s="4" t="s">
        <v>523</v>
      </c>
      <c r="C219" s="4" t="s">
        <v>298</v>
      </c>
      <c r="D219" s="94">
        <v>2825.0</v>
      </c>
    </row>
    <row r="220">
      <c r="A220" s="40">
        <f t="array" ref="A220">IFNA(index(PlayerValues!A:A,match(IFNA(vlookup(B220,'Special Names'!A:B,2,FALSE),B220),PlayerValues!E:E,0)),"N/A")</f>
        <v>12676</v>
      </c>
      <c r="B220" s="4" t="s">
        <v>537</v>
      </c>
      <c r="C220" s="4" t="s">
        <v>298</v>
      </c>
      <c r="D220" s="94">
        <v>2813.0</v>
      </c>
    </row>
    <row r="221">
      <c r="A221" s="40">
        <f t="array" ref="A221">IFNA(index(PlayerValues!A:A,match(IFNA(vlookup(B221,'Special Names'!A:B,2,FALSE),B221),PlayerValues!E:E,0)),"N/A")</f>
        <v>17105</v>
      </c>
      <c r="B221" s="4" t="s">
        <v>525</v>
      </c>
      <c r="C221" s="4" t="s">
        <v>298</v>
      </c>
      <c r="D221" s="94">
        <v>2809.0</v>
      </c>
    </row>
    <row r="222">
      <c r="A222" s="40">
        <f t="array" ref="A222">IFNA(index(PlayerValues!A:A,match(IFNA(vlookup(B222,'Special Names'!A:B,2,FALSE),B222),PlayerValues!E:E,0)),"N/A")</f>
        <v>17507</v>
      </c>
      <c r="B222" s="4" t="s">
        <v>495</v>
      </c>
      <c r="C222" s="4" t="s">
        <v>287</v>
      </c>
      <c r="D222" s="94">
        <v>2400.0</v>
      </c>
    </row>
    <row r="223">
      <c r="A223" s="40">
        <f t="array" ref="A223">IFNA(index(PlayerValues!A:A,match(IFNA(vlookup(B223,'Special Names'!A:B,2,FALSE),B223),PlayerValues!E:E,0)),"N/A")</f>
        <v>16610</v>
      </c>
      <c r="B223" s="4" t="s">
        <v>562</v>
      </c>
      <c r="C223" s="4" t="s">
        <v>278</v>
      </c>
      <c r="D223" s="94">
        <v>2394.0</v>
      </c>
    </row>
    <row r="224">
      <c r="A224" s="40">
        <f t="array" ref="A224">IFNA(index(PlayerValues!A:A,match(IFNA(vlookup(B224,'Special Names'!A:B,2,FALSE),B224),PlayerValues!E:E,0)),"N/A")</f>
        <v>17511</v>
      </c>
      <c r="B224" s="4" t="s">
        <v>485</v>
      </c>
      <c r="C224" s="4" t="s">
        <v>287</v>
      </c>
      <c r="D224" s="94">
        <v>2376.0</v>
      </c>
    </row>
    <row r="225">
      <c r="A225" s="40">
        <f t="array" ref="A225">IFNA(index(PlayerValues!A:A,match(IFNA(vlookup(B225,'Special Names'!A:B,2,FALSE),B225),PlayerValues!E:E,0)),"N/A")</f>
        <v>15716</v>
      </c>
      <c r="B225" s="4" t="s">
        <v>545</v>
      </c>
      <c r="C225" s="4" t="s">
        <v>278</v>
      </c>
      <c r="D225" s="94">
        <v>2360.0</v>
      </c>
    </row>
    <row r="226">
      <c r="A226" s="40">
        <f t="array" ref="A226">IFNA(index(PlayerValues!A:A,match(IFNA(vlookup(B226,'Special Names'!A:B,2,FALSE),B226),PlayerValues!E:E,0)),"N/A")</f>
        <v>17464</v>
      </c>
      <c r="B226" s="4" t="s">
        <v>828</v>
      </c>
      <c r="C226" s="4" t="s">
        <v>283</v>
      </c>
      <c r="D226" s="94">
        <v>2358.0</v>
      </c>
    </row>
    <row r="227">
      <c r="A227" s="40">
        <f t="array" ref="A227">IFNA(index(PlayerValues!A:A,match(IFNA(vlookup(B227,'Special Names'!A:B,2,FALSE),B227),PlayerValues!E:E,0)),"N/A")</f>
        <v>13132</v>
      </c>
      <c r="B227" s="4" t="s">
        <v>598</v>
      </c>
      <c r="C227" s="4" t="s">
        <v>278</v>
      </c>
      <c r="D227" s="94">
        <v>2357.0</v>
      </c>
    </row>
    <row r="228">
      <c r="A228" s="40">
        <f t="array" ref="A228">IFNA(index(PlayerValues!A:A,match(IFNA(vlookup(B228,'Special Names'!A:B,2,FALSE),B228),PlayerValues!E:E,0)),"N/A")</f>
        <v>15802</v>
      </c>
      <c r="B228" s="4" t="s">
        <v>566</v>
      </c>
      <c r="C228" s="4" t="s">
        <v>298</v>
      </c>
      <c r="D228" s="94">
        <v>2749.0</v>
      </c>
    </row>
    <row r="229">
      <c r="A229" s="40">
        <f t="array" ref="A229">IFNA(index(PlayerValues!A:A,match(IFNA(vlookup(B229,'Special Names'!A:B,2,FALSE),B229),PlayerValues!E:E,0)),"N/A")</f>
        <v>16178</v>
      </c>
      <c r="B229" s="4" t="s">
        <v>507</v>
      </c>
      <c r="C229" s="4" t="s">
        <v>278</v>
      </c>
      <c r="D229" s="94">
        <v>2347.0</v>
      </c>
    </row>
    <row r="230">
      <c r="A230" s="40" t="str">
        <f t="array" ref="A230">IFNA(index(PlayerValues!A:A,match(IFNA(vlookup(B230,'Special Names'!A:B,2,FALSE),B230),PlayerValues!E:E,0)),"N/A")</f>
        <v>N/A</v>
      </c>
      <c r="B230" s="4" t="s">
        <v>86</v>
      </c>
      <c r="C230" s="4" t="s">
        <v>325</v>
      </c>
      <c r="D230" s="94">
        <v>2341.0</v>
      </c>
    </row>
    <row r="231">
      <c r="A231" s="40">
        <f t="array" ref="A231">IFNA(index(PlayerValues!A:A,match(IFNA(vlookup(B231,'Special Names'!A:B,2,FALSE),B231),PlayerValues!E:E,0)),"N/A")</f>
        <v>13772</v>
      </c>
      <c r="B231" s="4" t="s">
        <v>544</v>
      </c>
      <c r="C231" s="4" t="s">
        <v>298</v>
      </c>
      <c r="D231" s="94">
        <v>2738.0</v>
      </c>
    </row>
    <row r="232">
      <c r="A232" s="40">
        <f t="array" ref="A232">IFNA(index(PlayerValues!A:A,match(IFNA(vlookup(B232,'Special Names'!A:B,2,FALSE),B232),PlayerValues!E:E,0)),"N/A")</f>
        <v>17079</v>
      </c>
      <c r="B232" s="4" t="s">
        <v>572</v>
      </c>
      <c r="C232" s="4" t="s">
        <v>287</v>
      </c>
      <c r="D232" s="94">
        <v>2320.0</v>
      </c>
    </row>
    <row r="233">
      <c r="A233" s="40">
        <f t="array" ref="A233">IFNA(index(PlayerValues!A:A,match(IFNA(vlookup(B233,'Special Names'!A:B,2,FALSE),B233),PlayerValues!E:E,0)),"N/A")</f>
        <v>16212</v>
      </c>
      <c r="B233" s="4" t="s">
        <v>568</v>
      </c>
      <c r="C233" s="4" t="s">
        <v>298</v>
      </c>
      <c r="D233" s="94">
        <v>2712.0</v>
      </c>
    </row>
    <row r="234">
      <c r="A234" s="40">
        <f t="array" ref="A234">IFNA(index(PlayerValues!A:A,match(IFNA(vlookup(B234,'Special Names'!A:B,2,FALSE),B234),PlayerValues!E:E,0)),"N/A")</f>
        <v>17049</v>
      </c>
      <c r="B234" s="4" t="s">
        <v>624</v>
      </c>
      <c r="C234" s="4" t="s">
        <v>278</v>
      </c>
      <c r="D234" s="94">
        <v>2307.0</v>
      </c>
    </row>
    <row r="235">
      <c r="A235" s="40">
        <f t="array" ref="A235">IFNA(index(PlayerValues!A:A,match(IFNA(vlookup(B235,'Special Names'!A:B,2,FALSE),B235),PlayerValues!E:E,0)),"N/A")</f>
        <v>12801</v>
      </c>
      <c r="B235" s="4" t="s">
        <v>722</v>
      </c>
      <c r="C235" s="4" t="s">
        <v>287</v>
      </c>
      <c r="D235" s="94">
        <v>2306.0</v>
      </c>
    </row>
    <row r="236">
      <c r="A236" s="40" t="str">
        <f t="array" ref="A236">IFNA(index(PlayerValues!A:A,match(IFNA(vlookup(B236,'Special Names'!A:B,2,FALSE),B236),PlayerValues!E:E,0)),"N/A")</f>
        <v>N/A</v>
      </c>
      <c r="B236" s="4" t="s">
        <v>99</v>
      </c>
      <c r="C236" s="4" t="s">
        <v>325</v>
      </c>
      <c r="D236" s="94">
        <v>2298.0</v>
      </c>
    </row>
    <row r="237">
      <c r="A237" s="40">
        <f t="array" ref="A237">IFNA(index(PlayerValues!A:A,match(IFNA(vlookup(B237,'Special Names'!A:B,2,FALSE),B237),PlayerValues!E:E,0)),"N/A")</f>
        <v>17034</v>
      </c>
      <c r="B237" s="4" t="s">
        <v>643</v>
      </c>
      <c r="C237" s="4" t="s">
        <v>283</v>
      </c>
      <c r="D237" s="94">
        <v>2297.0</v>
      </c>
    </row>
    <row r="238">
      <c r="A238" s="40">
        <f t="array" ref="A238">IFNA(index(PlayerValues!A:A,match(IFNA(vlookup(B238,'Special Names'!A:B,2,FALSE),B238),PlayerValues!E:E,0)),"N/A")</f>
        <v>16036</v>
      </c>
      <c r="B238" s="4" t="s">
        <v>592</v>
      </c>
      <c r="C238" s="4" t="s">
        <v>298</v>
      </c>
      <c r="D238" s="94">
        <v>2668.0</v>
      </c>
    </row>
    <row r="239">
      <c r="A239" s="40">
        <f t="array" ref="A239">IFNA(index(PlayerValues!A:A,match(IFNA(vlookup(B239,'Special Names'!A:B,2,FALSE),B239),PlayerValues!E:E,0)),"N/A")</f>
        <v>17076</v>
      </c>
      <c r="B239" s="4" t="s">
        <v>585</v>
      </c>
      <c r="C239" s="4" t="s">
        <v>287</v>
      </c>
      <c r="D239" s="94">
        <v>2268.0</v>
      </c>
    </row>
    <row r="240">
      <c r="A240" s="40">
        <f t="array" ref="A240">IFNA(index(PlayerValues!A:A,match(IFNA(vlookup(B240,'Special Names'!A:B,2,FALSE),B240),PlayerValues!E:E,0)),"N/A")</f>
        <v>17544</v>
      </c>
      <c r="B240" s="4" t="s">
        <v>470</v>
      </c>
      <c r="C240" s="4" t="s">
        <v>298</v>
      </c>
      <c r="D240" s="94">
        <v>2664.0</v>
      </c>
    </row>
    <row r="241">
      <c r="A241" s="40">
        <f t="array" ref="A241">IFNA(index(PlayerValues!A:A,match(IFNA(vlookup(B241,'Special Names'!A:B,2,FALSE),B241),PlayerValues!E:E,0)),"N/A")</f>
        <v>16171</v>
      </c>
      <c r="B241" s="4" t="s">
        <v>618</v>
      </c>
      <c r="C241" s="4" t="s">
        <v>278</v>
      </c>
      <c r="D241" s="94">
        <v>2255.0</v>
      </c>
    </row>
    <row r="242">
      <c r="A242" s="40">
        <f t="array" ref="A242">IFNA(index(PlayerValues!A:A,match(IFNA(vlookup(B242,'Special Names'!A:B,2,FALSE),B242),PlayerValues!E:E,0)),"N/A")</f>
        <v>16342</v>
      </c>
      <c r="B242" s="4" t="s">
        <v>583</v>
      </c>
      <c r="C242" s="4" t="s">
        <v>287</v>
      </c>
      <c r="D242" s="94">
        <v>2218.0</v>
      </c>
    </row>
    <row r="243">
      <c r="A243" s="40">
        <f t="array" ref="A243">IFNA(index(PlayerValues!A:A,match(IFNA(vlookup(B243,'Special Names'!A:B,2,FALSE),B243),PlayerValues!E:E,0)),"N/A")</f>
        <v>13319</v>
      </c>
      <c r="B243" s="4" t="s">
        <v>549</v>
      </c>
      <c r="C243" s="4" t="s">
        <v>278</v>
      </c>
      <c r="D243" s="94">
        <v>2217.0</v>
      </c>
    </row>
    <row r="244">
      <c r="A244" s="40">
        <f t="array" ref="A244">IFNA(index(PlayerValues!A:A,match(IFNA(vlookup(B244,'Special Names'!A:B,2,FALSE),B244),PlayerValues!E:E,0)),"N/A")</f>
        <v>17506</v>
      </c>
      <c r="B244" s="4" t="s">
        <v>471</v>
      </c>
      <c r="C244" s="4" t="s">
        <v>287</v>
      </c>
      <c r="D244" s="94">
        <v>2209.0</v>
      </c>
    </row>
    <row r="245">
      <c r="A245" s="40">
        <f t="array" ref="A245">IFNA(index(PlayerValues!A:A,match(IFNA(vlookup(B245,'Special Names'!A:B,2,FALSE),B245),PlayerValues!E:E,0)),"N/A")</f>
        <v>17509</v>
      </c>
      <c r="B245" s="4" t="s">
        <v>551</v>
      </c>
      <c r="C245" s="4" t="s">
        <v>287</v>
      </c>
      <c r="D245" s="94">
        <v>2209.0</v>
      </c>
    </row>
    <row r="246">
      <c r="A246" s="40">
        <f t="array" ref="A246">IFNA(index(PlayerValues!A:A,match(IFNA(vlookup(B246,'Special Names'!A:B,2,FALSE),B246),PlayerValues!E:E,0)),"N/A")</f>
        <v>16195</v>
      </c>
      <c r="B246" s="4" t="s">
        <v>509</v>
      </c>
      <c r="C246" s="4" t="s">
        <v>287</v>
      </c>
      <c r="D246" s="94">
        <v>2204.0</v>
      </c>
    </row>
    <row r="247">
      <c r="A247" s="40">
        <f t="array" ref="A247">IFNA(index(PlayerValues!A:A,match(IFNA(vlookup(B247,'Special Names'!A:B,2,FALSE),B247),PlayerValues!E:E,0)),"N/A")</f>
        <v>16639</v>
      </c>
      <c r="B247" s="4" t="s">
        <v>599</v>
      </c>
      <c r="C247" s="4" t="s">
        <v>287</v>
      </c>
      <c r="D247" s="94">
        <v>2203.0</v>
      </c>
    </row>
    <row r="248">
      <c r="A248" s="40">
        <f t="array" ref="A248">IFNA(index(PlayerValues!A:A,match(IFNA(vlookup(B248,'Special Names'!A:B,2,FALSE),B248),PlayerValues!E:E,0)),"N/A")</f>
        <v>15889</v>
      </c>
      <c r="B248" s="4" t="s">
        <v>503</v>
      </c>
      <c r="C248" s="4" t="s">
        <v>298</v>
      </c>
      <c r="D248" s="94">
        <v>2593.0</v>
      </c>
    </row>
    <row r="249">
      <c r="A249" s="40">
        <f t="array" ref="A249">IFNA(index(PlayerValues!A:A,match(IFNA(vlookup(B249,'Special Names'!A:B,2,FALSE),B249),PlayerValues!E:E,0)),"N/A")</f>
        <v>16684</v>
      </c>
      <c r="B249" s="4" t="s">
        <v>500</v>
      </c>
      <c r="C249" s="4" t="s">
        <v>287</v>
      </c>
      <c r="D249" s="94">
        <v>2194.0</v>
      </c>
    </row>
    <row r="250">
      <c r="A250" s="40" t="str">
        <f t="array" ref="A250">IFNA(index(PlayerValues!A:A,match(IFNA(vlookup(B250,'Special Names'!A:B,2,FALSE),B250),PlayerValues!E:E,0)),"N/A")</f>
        <v>N/A</v>
      </c>
      <c r="B250" s="4" t="s">
        <v>100</v>
      </c>
      <c r="C250" s="4" t="s">
        <v>325</v>
      </c>
      <c r="D250" s="94">
        <v>2171.0</v>
      </c>
    </row>
    <row r="251">
      <c r="A251" s="40" t="str">
        <f t="array" ref="A251">IFNA(index(PlayerValues!A:A,match(IFNA(vlookup(B251,'Special Names'!A:B,2,FALSE),B251),PlayerValues!E:E,0)),"N/A")</f>
        <v>N/A</v>
      </c>
      <c r="B251" s="4" t="s">
        <v>87</v>
      </c>
      <c r="C251" s="4" t="s">
        <v>325</v>
      </c>
      <c r="D251" s="94">
        <v>2166.0</v>
      </c>
    </row>
    <row r="252">
      <c r="A252" s="40">
        <f t="array" ref="A252">IFNA(index(PlayerValues!A:A,match(IFNA(vlookup(B252,'Special Names'!A:B,2,FALSE),B252),PlayerValues!E:E,0)),"N/A")</f>
        <v>16752</v>
      </c>
      <c r="B252" s="4" t="s">
        <v>597</v>
      </c>
      <c r="C252" s="4" t="s">
        <v>278</v>
      </c>
      <c r="D252" s="94">
        <v>2162.0</v>
      </c>
    </row>
    <row r="253">
      <c r="A253" s="40">
        <f t="array" ref="A253">IFNA(index(PlayerValues!A:A,match(IFNA(vlookup(B253,'Special Names'!A:B,2,FALSE),B253),PlayerValues!E:E,0)),"N/A")</f>
        <v>17087</v>
      </c>
      <c r="B253" s="4" t="s">
        <v>600</v>
      </c>
      <c r="C253" s="4" t="s">
        <v>287</v>
      </c>
      <c r="D253" s="94">
        <v>2148.0</v>
      </c>
    </row>
    <row r="254">
      <c r="A254" s="40" t="str">
        <f t="array" ref="A254">IFNA(index(PlayerValues!A:A,match(IFNA(vlookup(B254,'Special Names'!A:B,2,FALSE),B254),PlayerValues!E:E,0)),"N/A")</f>
        <v>N/A</v>
      </c>
      <c r="B254" s="4" t="s">
        <v>112</v>
      </c>
      <c r="C254" s="4" t="s">
        <v>325</v>
      </c>
      <c r="D254" s="94">
        <v>2148.0</v>
      </c>
    </row>
    <row r="255">
      <c r="A255" s="40">
        <f t="array" ref="A255">IFNA(index(PlayerValues!A:A,match(IFNA(vlookup(B255,'Special Names'!A:B,2,FALSE),B255),PlayerValues!E:E,0)),"N/A")</f>
        <v>15749</v>
      </c>
      <c r="B255" s="4" t="s">
        <v>574</v>
      </c>
      <c r="C255" s="4" t="s">
        <v>278</v>
      </c>
      <c r="D255" s="94">
        <v>2146.0</v>
      </c>
    </row>
    <row r="256">
      <c r="A256" s="40">
        <f t="array" ref="A256">IFNA(index(PlayerValues!A:A,match(IFNA(vlookup(B256,'Special Names'!A:B,2,FALSE),B256),PlayerValues!E:E,0)),"N/A")</f>
        <v>16191</v>
      </c>
      <c r="B256" s="4" t="s">
        <v>666</v>
      </c>
      <c r="C256" s="4" t="s">
        <v>287</v>
      </c>
      <c r="D256" s="94">
        <v>2141.0</v>
      </c>
    </row>
    <row r="257">
      <c r="A257" s="40">
        <f t="array" ref="A257">IFNA(index(PlayerValues!A:A,match(IFNA(vlookup(B257,'Special Names'!A:B,2,FALSE),B257),PlayerValues!E:E,0)),"N/A")</f>
        <v>17069</v>
      </c>
      <c r="B257" s="4" t="s">
        <v>604</v>
      </c>
      <c r="C257" s="4" t="s">
        <v>278</v>
      </c>
      <c r="D257" s="94">
        <v>2136.0</v>
      </c>
    </row>
    <row r="258">
      <c r="A258" s="40">
        <f t="array" ref="A258">IFNA(index(PlayerValues!A:A,match(IFNA(vlookup(B258,'Special Names'!A:B,2,FALSE),B258),PlayerValues!E:E,0)),"N/A")</f>
        <v>15238</v>
      </c>
      <c r="B258" s="4" t="s">
        <v>613</v>
      </c>
      <c r="C258" s="4" t="s">
        <v>283</v>
      </c>
      <c r="D258" s="94">
        <v>2131.0</v>
      </c>
    </row>
    <row r="259">
      <c r="A259" s="40">
        <f t="array" ref="A259">IFNA(index(PlayerValues!A:A,match(IFNA(vlookup(B259,'Special Names'!A:B,2,FALSE),B259),PlayerValues!E:E,0)),"N/A")</f>
        <v>14867</v>
      </c>
      <c r="B259" s="4" t="s">
        <v>591</v>
      </c>
      <c r="C259" s="4" t="s">
        <v>298</v>
      </c>
      <c r="D259" s="94">
        <v>2518.0</v>
      </c>
    </row>
    <row r="260">
      <c r="A260" s="40">
        <f t="array" ref="A260">IFNA(index(PlayerValues!A:A,match(IFNA(vlookup(B260,'Special Names'!A:B,2,FALSE),B260),PlayerValues!E:E,0)),"N/A")</f>
        <v>16644</v>
      </c>
      <c r="B260" s="4" t="s">
        <v>640</v>
      </c>
      <c r="C260" s="4" t="s">
        <v>298</v>
      </c>
      <c r="D260" s="94">
        <v>2513.0</v>
      </c>
    </row>
    <row r="261">
      <c r="A261" s="40">
        <f t="array" ref="A261">IFNA(index(PlayerValues!A:A,match(IFNA(vlookup(B261,'Special Names'!A:B,2,FALSE),B261),PlayerValues!E:E,0)),"N/A")</f>
        <v>14871</v>
      </c>
      <c r="B261" s="4" t="s">
        <v>584</v>
      </c>
      <c r="C261" s="4" t="s">
        <v>298</v>
      </c>
      <c r="D261" s="94">
        <v>2505.0</v>
      </c>
    </row>
    <row r="262">
      <c r="A262" s="40" t="str">
        <f t="array" ref="A262">IFNA(index(PlayerValues!A:A,match(IFNA(vlookup(B262,'Special Names'!A:B,2,FALSE),B262),PlayerValues!E:E,0)),"N/A")</f>
        <v>N/A</v>
      </c>
      <c r="B262" s="4" t="s">
        <v>88</v>
      </c>
      <c r="C262" s="4" t="s">
        <v>325</v>
      </c>
      <c r="D262" s="94">
        <v>2112.0</v>
      </c>
    </row>
    <row r="263">
      <c r="A263" s="40">
        <f t="array" ref="A263">IFNA(index(PlayerValues!A:A,match(IFNA(vlookup(B263,'Special Names'!A:B,2,FALSE),B263),PlayerValues!E:E,0)),"N/A")</f>
        <v>17478</v>
      </c>
      <c r="B263" s="4" t="s">
        <v>527</v>
      </c>
      <c r="C263" s="4" t="s">
        <v>278</v>
      </c>
      <c r="D263" s="94">
        <v>2098.0</v>
      </c>
    </row>
    <row r="264">
      <c r="A264" s="40">
        <f t="array" ref="A264">IFNA(index(PlayerValues!A:A,match(IFNA(vlookup(B264,'Special Names'!A:B,2,FALSE),B264),PlayerValues!E:E,0)),"N/A")</f>
        <v>17056</v>
      </c>
      <c r="B264" s="4" t="s">
        <v>581</v>
      </c>
      <c r="C264" s="4" t="s">
        <v>278</v>
      </c>
      <c r="D264" s="94">
        <v>2090.0</v>
      </c>
    </row>
    <row r="265">
      <c r="A265" s="40">
        <f t="array" ref="A265">IFNA(index(PlayerValues!A:A,match(IFNA(vlookup(B265,'Special Names'!A:B,2,FALSE),B265),PlayerValues!E:E,0)),"N/A")</f>
        <v>16432</v>
      </c>
      <c r="B265" s="4" t="s">
        <v>620</v>
      </c>
      <c r="C265" s="4" t="s">
        <v>278</v>
      </c>
      <c r="D265" s="94">
        <v>2088.0</v>
      </c>
    </row>
    <row r="266">
      <c r="A266" s="40">
        <f t="array" ref="A266">IFNA(index(PlayerValues!A:A,match(IFNA(vlookup(B266,'Special Names'!A:B,2,FALSE),B266),PlayerValues!E:E,0)),"N/A")</f>
        <v>16643</v>
      </c>
      <c r="B266" s="4" t="s">
        <v>609</v>
      </c>
      <c r="C266" s="4" t="s">
        <v>298</v>
      </c>
      <c r="D266" s="94">
        <v>2469.0</v>
      </c>
    </row>
    <row r="267">
      <c r="A267" s="40">
        <f t="array" ref="A267">IFNA(index(PlayerValues!A:A,match(IFNA(vlookup(B267,'Special Names'!A:B,2,FALSE),B267),PlayerValues!E:E,0)),"N/A")</f>
        <v>17060</v>
      </c>
      <c r="B267" s="4" t="s">
        <v>603</v>
      </c>
      <c r="C267" s="4" t="s">
        <v>278</v>
      </c>
      <c r="D267" s="94">
        <v>2068.0</v>
      </c>
    </row>
    <row r="268">
      <c r="A268" s="40">
        <f t="array" ref="A268">IFNA(index(PlayerValues!A:A,match(IFNA(vlookup(B268,'Special Names'!A:B,2,FALSE),B268),PlayerValues!E:E,0)),"N/A")</f>
        <v>16174</v>
      </c>
      <c r="B268" s="4" t="s">
        <v>505</v>
      </c>
      <c r="C268" s="4" t="s">
        <v>278</v>
      </c>
      <c r="D268" s="94">
        <v>2063.0</v>
      </c>
    </row>
    <row r="269">
      <c r="A269" s="40">
        <f t="array" ref="A269">IFNA(index(PlayerValues!A:A,match(IFNA(vlookup(B269,'Special Names'!A:B,2,FALSE),B269),PlayerValues!E:E,0)),"N/A")</f>
        <v>13146</v>
      </c>
      <c r="B269" s="4" t="s">
        <v>652</v>
      </c>
      <c r="C269" s="4" t="s">
        <v>278</v>
      </c>
      <c r="D269" s="94">
        <v>2060.0</v>
      </c>
    </row>
    <row r="270">
      <c r="A270" s="40" t="str">
        <f t="array" ref="A270">IFNA(index(PlayerValues!A:A,match(IFNA(vlookup(B270,'Special Names'!A:B,2,FALSE),B270),PlayerValues!E:E,0)),"N/A")</f>
        <v>N/A</v>
      </c>
      <c r="B270" s="4" t="s">
        <v>113</v>
      </c>
      <c r="C270" s="4" t="s">
        <v>325</v>
      </c>
      <c r="D270" s="94">
        <v>2058.0</v>
      </c>
    </row>
    <row r="271">
      <c r="A271" s="40">
        <f t="array" ref="A271">IFNA(index(PlayerValues!A:A,match(IFNA(vlookup(B271,'Special Names'!A:B,2,FALSE),B271),PlayerValues!E:E,0)),"N/A")</f>
        <v>15331</v>
      </c>
      <c r="B271" s="4" t="s">
        <v>560</v>
      </c>
      <c r="C271" s="4" t="s">
        <v>298</v>
      </c>
      <c r="D271" s="94">
        <v>2446.0</v>
      </c>
    </row>
    <row r="272">
      <c r="A272" s="40">
        <f t="array" ref="A272">IFNA(index(PlayerValues!A:A,match(IFNA(vlookup(B272,'Special Names'!A:B,2,FALSE),B272),PlayerValues!E:E,0)),"N/A")</f>
        <v>13633</v>
      </c>
      <c r="B272" s="4" t="s">
        <v>625</v>
      </c>
      <c r="C272" s="4" t="s">
        <v>287</v>
      </c>
      <c r="D272" s="94">
        <v>2030.0</v>
      </c>
    </row>
    <row r="273">
      <c r="A273" s="40">
        <f t="array" ref="A273">IFNA(index(PlayerValues!A:A,match(IFNA(vlookup(B273,'Special Names'!A:B,2,FALSE),B273),PlayerValues!E:E,0)),"N/A")</f>
        <v>14974</v>
      </c>
      <c r="B273" s="4" t="s">
        <v>611</v>
      </c>
      <c r="C273" s="4" t="s">
        <v>287</v>
      </c>
      <c r="D273" s="94">
        <v>2016.0</v>
      </c>
    </row>
    <row r="274">
      <c r="A274" s="40">
        <f t="array" ref="A274">IFNA(index(PlayerValues!A:A,match(IFNA(vlookup(B274,'Special Names'!A:B,2,FALSE),B274),PlayerValues!E:E,0)),"N/A")</f>
        <v>15293</v>
      </c>
      <c r="B274" s="4" t="s">
        <v>578</v>
      </c>
      <c r="C274" s="4" t="s">
        <v>287</v>
      </c>
      <c r="D274" s="94">
        <v>2012.0</v>
      </c>
    </row>
    <row r="275">
      <c r="A275" s="40">
        <f t="array" ref="A275">IFNA(index(PlayerValues!A:A,match(IFNA(vlookup(B275,'Special Names'!A:B,2,FALSE),B275),PlayerValues!E:E,0)),"N/A")</f>
        <v>11244</v>
      </c>
      <c r="B275" s="4" t="s">
        <v>519</v>
      </c>
      <c r="C275" s="4" t="s">
        <v>298</v>
      </c>
      <c r="D275" s="94">
        <v>2373.0</v>
      </c>
    </row>
    <row r="276">
      <c r="A276" s="40">
        <f t="array" ref="A276">IFNA(index(PlayerValues!A:A,match(IFNA(vlookup(B276,'Special Names'!A:B,2,FALSE),B276),PlayerValues!E:E,0)),"N/A")</f>
        <v>16603</v>
      </c>
      <c r="B276" s="4" t="s">
        <v>587</v>
      </c>
      <c r="C276" s="4" t="s">
        <v>278</v>
      </c>
      <c r="D276" s="94">
        <v>1977.0</v>
      </c>
    </row>
    <row r="277">
      <c r="A277" s="40">
        <f t="array" ref="A277">IFNA(index(PlayerValues!A:A,match(IFNA(vlookup(B277,'Special Names'!A:B,2,FALSE),B277),PlayerValues!E:E,0)),"N/A")</f>
        <v>17036</v>
      </c>
      <c r="B277" s="4" t="s">
        <v>617</v>
      </c>
      <c r="C277" s="4" t="s">
        <v>283</v>
      </c>
      <c r="D277" s="94">
        <v>1975.0</v>
      </c>
    </row>
    <row r="278">
      <c r="A278" s="40">
        <f t="array" ref="A278">IFNA(index(PlayerValues!A:A,match(IFNA(vlookup(B278,'Special Names'!A:B,2,FALSE),B278),PlayerValues!E:E,0)),"N/A")</f>
        <v>17465</v>
      </c>
      <c r="B278" s="4" t="s">
        <v>649</v>
      </c>
      <c r="C278" s="4" t="s">
        <v>283</v>
      </c>
      <c r="D278" s="94">
        <v>1957.0</v>
      </c>
    </row>
    <row r="279">
      <c r="A279" s="40">
        <f t="array" ref="A279">IFNA(index(PlayerValues!A:A,match(IFNA(vlookup(B279,'Special Names'!A:B,2,FALSE),B279),PlayerValues!E:E,0)),"N/A")</f>
        <v>17503</v>
      </c>
      <c r="B279" s="4" t="s">
        <v>480</v>
      </c>
      <c r="C279" s="4" t="s">
        <v>287</v>
      </c>
      <c r="D279" s="94">
        <v>1942.0</v>
      </c>
    </row>
    <row r="280">
      <c r="A280" s="40">
        <f t="array" ref="A280">IFNA(index(PlayerValues!A:A,match(IFNA(vlookup(B280,'Special Names'!A:B,2,FALSE),B280),PlayerValues!E:E,0)),"N/A")</f>
        <v>17482</v>
      </c>
      <c r="B280" s="4" t="s">
        <v>460</v>
      </c>
      <c r="C280" s="4" t="s">
        <v>278</v>
      </c>
      <c r="D280" s="94">
        <v>1927.0</v>
      </c>
    </row>
    <row r="281">
      <c r="A281" s="40">
        <f t="array" ref="A281">IFNA(index(PlayerValues!A:A,match(IFNA(vlookup(B281,'Special Names'!A:B,2,FALSE),B281),PlayerValues!E:E,0)),"N/A")</f>
        <v>17184</v>
      </c>
      <c r="B281" s="4" t="s">
        <v>588</v>
      </c>
      <c r="C281" s="4" t="s">
        <v>287</v>
      </c>
      <c r="D281" s="94">
        <v>1920.0</v>
      </c>
    </row>
    <row r="282">
      <c r="A282" s="40">
        <f t="array" ref="A282">IFNA(index(PlayerValues!A:A,match(IFNA(vlookup(B282,'Special Names'!A:B,2,FALSE),B282),PlayerValues!E:E,0)),"N/A")</f>
        <v>16216</v>
      </c>
      <c r="B282" s="4" t="s">
        <v>595</v>
      </c>
      <c r="C282" s="4" t="s">
        <v>298</v>
      </c>
      <c r="D282" s="94">
        <v>2296.0</v>
      </c>
    </row>
    <row r="283">
      <c r="A283" s="40">
        <f t="array" ref="A283">IFNA(index(PlayerValues!A:A,match(IFNA(vlookup(B283,'Special Names'!A:B,2,FALSE),B283),PlayerValues!E:E,0)),"N/A")</f>
        <v>13189</v>
      </c>
      <c r="B283" s="4" t="s">
        <v>626</v>
      </c>
      <c r="C283" s="4" t="s">
        <v>298</v>
      </c>
      <c r="D283" s="94">
        <v>2291.0</v>
      </c>
    </row>
    <row r="284">
      <c r="A284" s="40">
        <f t="array" ref="A284">IFNA(index(PlayerValues!A:A,match(IFNA(vlookup(B284,'Special Names'!A:B,2,FALSE),B284),PlayerValues!E:E,0)),"N/A")</f>
        <v>17512</v>
      </c>
      <c r="B284" s="4" t="s">
        <v>483</v>
      </c>
      <c r="C284" s="4" t="s">
        <v>287</v>
      </c>
      <c r="D284" s="94">
        <v>1902.0</v>
      </c>
    </row>
    <row r="285">
      <c r="A285" s="40">
        <f t="array" ref="A285">IFNA(index(PlayerValues!A:A,match(IFNA(vlookup(B285,'Special Names'!A:B,2,FALSE),B285),PlayerValues!E:E,0)),"N/A")</f>
        <v>17546</v>
      </c>
      <c r="B285" s="4" t="s">
        <v>671</v>
      </c>
      <c r="C285" s="4" t="s">
        <v>298</v>
      </c>
      <c r="D285" s="94">
        <v>2276.0</v>
      </c>
    </row>
    <row r="286">
      <c r="A286" s="40">
        <f t="array" ref="A286">IFNA(index(PlayerValues!A:A,match(IFNA(vlookup(B286,'Special Names'!A:B,2,FALSE),B286),PlayerValues!E:E,0)),"N/A")</f>
        <v>16215</v>
      </c>
      <c r="B286" s="4" t="s">
        <v>637</v>
      </c>
      <c r="C286" s="4" t="s">
        <v>298</v>
      </c>
      <c r="D286" s="94">
        <v>2271.0</v>
      </c>
    </row>
    <row r="287">
      <c r="A287" s="40">
        <f t="array" ref="A287">IFNA(index(PlayerValues!A:A,match(IFNA(vlookup(B287,'Special Names'!A:B,2,FALSE),B287),PlayerValues!E:E,0)),"N/A")</f>
        <v>16778</v>
      </c>
      <c r="B287" s="4" t="s">
        <v>577</v>
      </c>
      <c r="C287" s="4" t="s">
        <v>287</v>
      </c>
      <c r="D287" s="94">
        <v>1889.0</v>
      </c>
    </row>
    <row r="288">
      <c r="A288" s="40">
        <f t="array" ref="A288">IFNA(index(PlayerValues!A:A,match(IFNA(vlookup(B288,'Special Names'!A:B,2,FALSE),B288),PlayerValues!E:E,0)),"N/A")</f>
        <v>16635</v>
      </c>
      <c r="B288" s="4" t="s">
        <v>645</v>
      </c>
      <c r="C288" s="4" t="s">
        <v>287</v>
      </c>
      <c r="D288" s="94">
        <v>1884.0</v>
      </c>
    </row>
    <row r="289">
      <c r="A289" s="40" t="str">
        <f t="array" ref="A289">IFNA(index(PlayerValues!A:A,match(IFNA(vlookup(B289,'Special Names'!A:B,2,FALSE),B289),PlayerValues!E:E,0)),"N/A")</f>
        <v>N/A</v>
      </c>
      <c r="B289" s="4" t="s">
        <v>114</v>
      </c>
      <c r="C289" s="4" t="s">
        <v>325</v>
      </c>
      <c r="D289" s="94">
        <v>1882.0</v>
      </c>
    </row>
    <row r="290">
      <c r="A290" s="40">
        <f t="array" ref="A290">IFNA(index(PlayerValues!A:A,match(IFNA(vlookup(B290,'Special Names'!A:B,2,FALSE),B290),PlayerValues!E:E,0)),"N/A")</f>
        <v>15337</v>
      </c>
      <c r="B290" s="4" t="s">
        <v>655</v>
      </c>
      <c r="C290" s="4" t="s">
        <v>298</v>
      </c>
      <c r="D290" s="94">
        <v>2259.0</v>
      </c>
    </row>
    <row r="291">
      <c r="A291" s="40">
        <f t="array" ref="A291">IFNA(index(PlayerValues!A:A,match(IFNA(vlookup(B291,'Special Names'!A:B,2,FALSE),B291),PlayerValues!E:E,0)),"N/A")</f>
        <v>17061</v>
      </c>
      <c r="B291" s="4" t="s">
        <v>580</v>
      </c>
      <c r="C291" s="4" t="s">
        <v>278</v>
      </c>
      <c r="D291" s="94">
        <v>1872.0</v>
      </c>
    </row>
    <row r="292">
      <c r="A292" s="40">
        <f t="array" ref="A292">IFNA(index(PlayerValues!A:A,match(IFNA(vlookup(B292,'Special Names'!A:B,2,FALSE),B292),PlayerValues!E:E,0)),"N/A")</f>
        <v>17517</v>
      </c>
      <c r="B292" s="4" t="s">
        <v>454</v>
      </c>
      <c r="C292" s="4" t="s">
        <v>287</v>
      </c>
      <c r="D292" s="94">
        <v>1868.0</v>
      </c>
    </row>
    <row r="293">
      <c r="A293" s="40">
        <f t="array" ref="A293">IFNA(index(PlayerValues!A:A,match(IFNA(vlookup(B293,'Special Names'!A:B,2,FALSE),B293),PlayerValues!E:E,0)),"N/A")</f>
        <v>15254</v>
      </c>
      <c r="B293" s="4" t="s">
        <v>633</v>
      </c>
      <c r="C293" s="4" t="s">
        <v>278</v>
      </c>
      <c r="D293" s="94">
        <v>1864.0</v>
      </c>
    </row>
    <row r="294">
      <c r="A294" s="40">
        <f t="array" ref="A294">IFNA(index(PlayerValues!A:A,match(IFNA(vlookup(B294,'Special Names'!A:B,2,FALSE),B294),PlayerValues!E:E,0)),"N/A")</f>
        <v>15759</v>
      </c>
      <c r="B294" s="4" t="s">
        <v>662</v>
      </c>
      <c r="C294" s="4" t="s">
        <v>287</v>
      </c>
      <c r="D294" s="94">
        <v>1862.0</v>
      </c>
    </row>
    <row r="295">
      <c r="A295" s="40">
        <f t="array" ref="A295">IFNA(index(PlayerValues!A:A,match(IFNA(vlookup(B295,'Special Names'!A:B,2,FALSE),B295),PlayerValues!E:E,0)),"N/A")</f>
        <v>17508</v>
      </c>
      <c r="B295" s="4" t="s">
        <v>534</v>
      </c>
      <c r="C295" s="4" t="s">
        <v>287</v>
      </c>
      <c r="D295" s="94">
        <v>1861.0</v>
      </c>
    </row>
    <row r="296">
      <c r="A296" s="40">
        <f t="array" ref="A296">IFNA(index(PlayerValues!A:A,match(IFNA(vlookup(B296,'Special Names'!A:B,2,FALSE),B296),PlayerValues!E:E,0)),"N/A")</f>
        <v>16201</v>
      </c>
      <c r="B296" s="4" t="s">
        <v>589</v>
      </c>
      <c r="C296" s="4" t="s">
        <v>287</v>
      </c>
      <c r="D296" s="94">
        <v>1860.0</v>
      </c>
    </row>
    <row r="297">
      <c r="A297" s="40">
        <f t="array" ref="A297">IFNA(index(PlayerValues!A:A,match(IFNA(vlookup(B297,'Special Names'!A:B,2,FALSE),B297),PlayerValues!E:E,0)),"N/A")</f>
        <v>17035</v>
      </c>
      <c r="B297" s="4" t="s">
        <v>650</v>
      </c>
      <c r="C297" s="4" t="s">
        <v>283</v>
      </c>
      <c r="D297" s="94">
        <v>1860.0</v>
      </c>
    </row>
    <row r="298">
      <c r="A298" s="40">
        <f t="array" ref="A298">IFNA(index(PlayerValues!A:A,match(IFNA(vlookup(B298,'Special Names'!A:B,2,FALSE),B298),PlayerValues!E:E,0)),"N/A")</f>
        <v>17547</v>
      </c>
      <c r="B298" s="4" t="s">
        <v>552</v>
      </c>
      <c r="C298" s="4" t="s">
        <v>298</v>
      </c>
      <c r="D298" s="94">
        <v>2242.0</v>
      </c>
    </row>
    <row r="299">
      <c r="A299" s="40">
        <f t="array" ref="A299">IFNA(index(PlayerValues!A:A,match(IFNA(vlookup(B299,'Special Names'!A:B,2,FALSE),B299),PlayerValues!E:E,0)),"N/A")</f>
        <v>16595</v>
      </c>
      <c r="B299" s="4" t="s">
        <v>664</v>
      </c>
      <c r="C299" s="4" t="s">
        <v>278</v>
      </c>
      <c r="D299" s="94">
        <v>1843.0</v>
      </c>
    </row>
    <row r="300">
      <c r="A300" s="40" t="str">
        <f t="array" ref="A300">IFNA(index(PlayerValues!A:A,match(IFNA(vlookup(B300,'Special Names'!A:B,2,FALSE),B300),PlayerValues!E:E,0)),"N/A")</f>
        <v>N/A</v>
      </c>
      <c r="B300" s="4" t="s">
        <v>101</v>
      </c>
      <c r="C300" s="4" t="s">
        <v>325</v>
      </c>
      <c r="D300" s="94">
        <v>1829.0</v>
      </c>
    </row>
    <row r="301">
      <c r="A301" s="40">
        <f t="array" ref="A301">IFNA(index(PlayerValues!A:A,match(IFNA(vlookup(B301,'Special Names'!A:B,2,FALSE),B301),PlayerValues!E:E,0)),"N/A")</f>
        <v>16585</v>
      </c>
      <c r="B301" s="4" t="s">
        <v>623</v>
      </c>
      <c r="C301" s="4" t="s">
        <v>283</v>
      </c>
      <c r="D301" s="94">
        <v>1814.0</v>
      </c>
    </row>
    <row r="302">
      <c r="A302" s="40">
        <f t="array" ref="A302">IFNA(index(PlayerValues!A:A,match(IFNA(vlookup(B302,'Special Names'!A:B,2,FALSE),B302),PlayerValues!E:E,0)),"N/A")</f>
        <v>15786</v>
      </c>
      <c r="B302" s="4" t="s">
        <v>521</v>
      </c>
      <c r="C302" s="4" t="s">
        <v>287</v>
      </c>
      <c r="D302" s="94">
        <v>1809.0</v>
      </c>
    </row>
    <row r="303">
      <c r="A303" s="40">
        <f t="array" ref="A303">IFNA(index(PlayerValues!A:A,match(IFNA(vlookup(B303,'Special Names'!A:B,2,FALSE),B303),PlayerValues!E:E,0)),"N/A")</f>
        <v>16788</v>
      </c>
      <c r="B303" s="4" t="s">
        <v>621</v>
      </c>
      <c r="C303" s="4" t="s">
        <v>287</v>
      </c>
      <c r="D303" s="94">
        <v>1796.0</v>
      </c>
    </row>
    <row r="304">
      <c r="A304" s="40">
        <f t="array" ref="A304">IFNA(index(PlayerValues!A:A,match(IFNA(vlookup(B304,'Special Names'!A:B,2,FALSE),B304),PlayerValues!E:E,0)),"N/A")</f>
        <v>17086</v>
      </c>
      <c r="B304" s="4" t="s">
        <v>612</v>
      </c>
      <c r="C304" s="4" t="s">
        <v>287</v>
      </c>
      <c r="D304" s="94">
        <v>1783.0</v>
      </c>
    </row>
    <row r="305">
      <c r="A305" s="40">
        <f t="array" ref="A305">IFNA(index(PlayerValues!A:A,match(IFNA(vlookup(B305,'Special Names'!A:B,2,FALSE),B305),PlayerValues!E:E,0)),"N/A")</f>
        <v>17055</v>
      </c>
      <c r="B305" s="4" t="s">
        <v>565</v>
      </c>
      <c r="C305" s="4" t="s">
        <v>278</v>
      </c>
      <c r="D305" s="94">
        <v>1767.0</v>
      </c>
    </row>
    <row r="306">
      <c r="A306" s="40">
        <f t="array" ref="A306">IFNA(index(PlayerValues!A:A,match(IFNA(vlookup(B306,'Special Names'!A:B,2,FALSE),B306),PlayerValues!E:E,0)),"N/A")</f>
        <v>17058</v>
      </c>
      <c r="B306" s="4" t="s">
        <v>641</v>
      </c>
      <c r="C306" s="4" t="s">
        <v>278</v>
      </c>
      <c r="D306" s="94">
        <v>1764.0</v>
      </c>
    </row>
    <row r="307">
      <c r="A307" s="40">
        <f t="array" ref="A307">IFNA(index(PlayerValues!A:A,match(IFNA(vlookup(B307,'Special Names'!A:B,2,FALSE),B307),PlayerValues!E:E,0)),"N/A")</f>
        <v>16601</v>
      </c>
      <c r="B307" s="4" t="s">
        <v>648</v>
      </c>
      <c r="C307" s="4" t="s">
        <v>278</v>
      </c>
      <c r="D307" s="94">
        <v>1763.0</v>
      </c>
    </row>
    <row r="308">
      <c r="A308" s="40">
        <f t="array" ref="A308">IFNA(index(PlayerValues!A:A,match(IFNA(vlookup(B308,'Special Names'!A:B,2,FALSE),B308),PlayerValues!E:E,0)),"N/A")</f>
        <v>11222</v>
      </c>
      <c r="B308" s="4" t="s">
        <v>622</v>
      </c>
      <c r="C308" s="4" t="s">
        <v>287</v>
      </c>
      <c r="D308" s="94">
        <v>1761.0</v>
      </c>
    </row>
    <row r="309">
      <c r="A309" s="40">
        <f t="array" ref="A309">IFNA(index(PlayerValues!A:A,match(IFNA(vlookup(B309,'Special Names'!A:B,2,FALSE),B309),PlayerValues!E:E,0)),"N/A")</f>
        <v>14105</v>
      </c>
      <c r="B309" s="4" t="s">
        <v>675</v>
      </c>
      <c r="C309" s="4" t="s">
        <v>287</v>
      </c>
      <c r="D309" s="94">
        <v>1756.0</v>
      </c>
    </row>
    <row r="310">
      <c r="A310" s="40" t="str">
        <f t="array" ref="A310">IFNA(index(PlayerValues!A:A,match(IFNA(vlookup(B310,'Special Names'!A:B,2,FALSE),B310),PlayerValues!E:E,0)),"N/A")</f>
        <v>N/A</v>
      </c>
      <c r="B310" s="4" t="s">
        <v>89</v>
      </c>
      <c r="C310" s="4" t="s">
        <v>325</v>
      </c>
      <c r="D310" s="94">
        <v>1753.0</v>
      </c>
    </row>
    <row r="311">
      <c r="A311" s="40">
        <f t="array" ref="A311">IFNA(index(PlayerValues!A:A,match(IFNA(vlookup(B311,'Special Names'!A:B,2,FALSE),B311),PlayerValues!E:E,0)),"N/A")</f>
        <v>16586</v>
      </c>
      <c r="B311" s="4" t="s">
        <v>658</v>
      </c>
      <c r="C311" s="4" t="s">
        <v>283</v>
      </c>
      <c r="D311" s="94">
        <v>1743.0</v>
      </c>
    </row>
    <row r="312">
      <c r="A312" s="40">
        <f t="array" ref="A312">IFNA(index(PlayerValues!A:A,match(IFNA(vlookup(B312,'Special Names'!A:B,2,FALSE),B312),PlayerValues!E:E,0)),"N/A")</f>
        <v>10700</v>
      </c>
      <c r="B312" s="4" t="s">
        <v>596</v>
      </c>
      <c r="C312" s="4" t="s">
        <v>283</v>
      </c>
      <c r="D312" s="94">
        <v>1730.0</v>
      </c>
    </row>
    <row r="313">
      <c r="A313" s="40">
        <f t="array" ref="A313">IFNA(index(PlayerValues!A:A,match(IFNA(vlookup(B313,'Special Names'!A:B,2,FALSE),B313),PlayerValues!E:E,0)),"N/A")</f>
        <v>16629</v>
      </c>
      <c r="B313" s="4" t="s">
        <v>605</v>
      </c>
      <c r="C313" s="4" t="s">
        <v>287</v>
      </c>
      <c r="D313" s="94">
        <v>1730.0</v>
      </c>
    </row>
    <row r="314">
      <c r="A314" s="40">
        <f t="array" ref="A314">IFNA(index(PlayerValues!A:A,match(IFNA(vlookup(B314,'Special Names'!A:B,2,FALSE),B314),PlayerValues!E:E,0)),"N/A")</f>
        <v>7836</v>
      </c>
      <c r="B314" s="4" t="s">
        <v>590</v>
      </c>
      <c r="C314" s="4" t="s">
        <v>283</v>
      </c>
      <c r="D314" s="94">
        <v>1726.0</v>
      </c>
    </row>
    <row r="315">
      <c r="A315" s="40">
        <f t="array" ref="A315">IFNA(index(PlayerValues!A:A,match(IFNA(vlookup(B315,'Special Names'!A:B,2,FALSE),B315),PlayerValues!E:E,0)),"N/A")</f>
        <v>15787</v>
      </c>
      <c r="B315" s="4" t="s">
        <v>610</v>
      </c>
      <c r="C315" s="4" t="s">
        <v>287</v>
      </c>
      <c r="D315" s="94">
        <v>1725.0</v>
      </c>
    </row>
    <row r="316">
      <c r="A316" s="40">
        <f t="array" ref="A316">IFNA(index(PlayerValues!A:A,match(IFNA(vlookup(B316,'Special Names'!A:B,2,FALSE),B316),PlayerValues!E:E,0)),"N/A")</f>
        <v>16207</v>
      </c>
      <c r="B316" s="4" t="s">
        <v>636</v>
      </c>
      <c r="C316" s="4" t="s">
        <v>287</v>
      </c>
      <c r="D316" s="94">
        <v>1704.0</v>
      </c>
    </row>
    <row r="317">
      <c r="A317" s="40">
        <f t="array" ref="A317">IFNA(index(PlayerValues!A:A,match(IFNA(vlookup(B317,'Special Names'!A:B,2,FALSE),B317),PlayerValues!E:E,0)),"N/A")</f>
        <v>17481</v>
      </c>
      <c r="B317" s="4" t="s">
        <v>540</v>
      </c>
      <c r="C317" s="4" t="s">
        <v>278</v>
      </c>
      <c r="D317" s="94">
        <v>1703.0</v>
      </c>
    </row>
    <row r="318">
      <c r="A318" s="40">
        <f t="array" ref="A318">IFNA(index(PlayerValues!A:A,match(IFNA(vlookup(B318,'Special Names'!A:B,2,FALSE),B318),PlayerValues!E:E,0)),"N/A")</f>
        <v>13629</v>
      </c>
      <c r="B318" s="4" t="s">
        <v>619</v>
      </c>
      <c r="C318" s="4" t="s">
        <v>287</v>
      </c>
      <c r="D318" s="94">
        <v>1699.0</v>
      </c>
    </row>
    <row r="319">
      <c r="A319" s="40">
        <f t="array" ref="A319">IFNA(index(PlayerValues!A:A,match(IFNA(vlookup(B319,'Special Names'!A:B,2,FALSE),B319),PlayerValues!E:E,0)),"N/A")</f>
        <v>15777</v>
      </c>
      <c r="B319" s="4" t="s">
        <v>694</v>
      </c>
      <c r="C319" s="4" t="s">
        <v>287</v>
      </c>
      <c r="D319" s="94">
        <v>1692.0</v>
      </c>
    </row>
    <row r="320">
      <c r="A320" s="40">
        <f t="array" ref="A320">IFNA(index(PlayerValues!A:A,match(IFNA(vlookup(B320,'Special Names'!A:B,2,FALSE),B320),PlayerValues!E:E,0)),"N/A")</f>
        <v>17205</v>
      </c>
      <c r="B320" s="4" t="s">
        <v>665</v>
      </c>
      <c r="C320" s="4" t="s">
        <v>287</v>
      </c>
      <c r="D320" s="94">
        <v>1682.0</v>
      </c>
    </row>
    <row r="321">
      <c r="A321" s="40">
        <f t="array" ref="A321">IFNA(index(PlayerValues!A:A,match(IFNA(vlookup(B321,'Special Names'!A:B,2,FALSE),B321),PlayerValues!E:E,0)),"N/A")</f>
        <v>16604</v>
      </c>
      <c r="B321" s="4" t="s">
        <v>476</v>
      </c>
      <c r="C321" s="4" t="s">
        <v>278</v>
      </c>
      <c r="D321" s="94">
        <v>1677.0</v>
      </c>
    </row>
    <row r="322">
      <c r="A322" s="40" t="str">
        <f t="array" ref="A322">IFNA(index(PlayerValues!A:A,match(IFNA(vlookup(B322,'Special Names'!A:B,2,FALSE),B322),PlayerValues!E:E,0)),"N/A")</f>
        <v>N/A</v>
      </c>
      <c r="B322" s="4" t="s">
        <v>102</v>
      </c>
      <c r="C322" s="4" t="s">
        <v>325</v>
      </c>
      <c r="D322" s="94">
        <v>1671.0</v>
      </c>
    </row>
    <row r="323">
      <c r="A323" s="40">
        <f t="array" ref="A323">IFNA(index(PlayerValues!A:A,match(IFNA(vlookup(B323,'Special Names'!A:B,2,FALSE),B323),PlayerValues!E:E,0)),"N/A")</f>
        <v>17520</v>
      </c>
      <c r="B323" s="4" t="s">
        <v>518</v>
      </c>
      <c r="C323" s="4" t="s">
        <v>287</v>
      </c>
      <c r="D323" s="94">
        <v>1671.0</v>
      </c>
    </row>
    <row r="324">
      <c r="A324" s="40">
        <f t="array" ref="A324">IFNA(index(PlayerValues!A:A,match(IFNA(vlookup(B324,'Special Names'!A:B,2,FALSE),B324),PlayerValues!E:E,0)),"N/A")</f>
        <v>13164</v>
      </c>
      <c r="B324" s="4" t="s">
        <v>632</v>
      </c>
      <c r="C324" s="4" t="s">
        <v>287</v>
      </c>
      <c r="D324" s="94">
        <v>1668.0</v>
      </c>
    </row>
    <row r="325">
      <c r="A325" s="40">
        <f t="array" ref="A325">IFNA(index(PlayerValues!A:A,match(IFNA(vlookup(B325,'Special Names'!A:B,2,FALSE),B325),PlayerValues!E:E,0)),"N/A")</f>
        <v>17064</v>
      </c>
      <c r="B325" s="4" t="s">
        <v>631</v>
      </c>
      <c r="C325" s="4" t="s">
        <v>278</v>
      </c>
      <c r="D325" s="94">
        <v>1668.0</v>
      </c>
    </row>
    <row r="326">
      <c r="A326" s="40">
        <f t="array" ref="A326">IFNA(index(PlayerValues!A:A,match(IFNA(vlookup(B326,'Special Names'!A:B,2,FALSE),B326),PlayerValues!E:E,0)),"N/A")</f>
        <v>17234</v>
      </c>
      <c r="B326" s="4" t="s">
        <v>653</v>
      </c>
      <c r="C326" s="4" t="s">
        <v>287</v>
      </c>
      <c r="D326" s="94">
        <v>1653.0</v>
      </c>
    </row>
    <row r="327">
      <c r="A327" s="40">
        <f t="array" ref="A327">IFNA(index(PlayerValues!A:A,match(IFNA(vlookup(B327,'Special Names'!A:B,2,FALSE),B327),PlayerValues!E:E,0)),"N/A")</f>
        <v>17528</v>
      </c>
      <c r="B327" s="4" t="s">
        <v>579</v>
      </c>
      <c r="C327" s="4" t="s">
        <v>287</v>
      </c>
      <c r="D327" s="94">
        <v>1649.0</v>
      </c>
    </row>
    <row r="328">
      <c r="A328" s="40" t="str">
        <f t="array" ref="A328">IFNA(index(PlayerValues!A:A,match(IFNA(vlookup(B328,'Special Names'!A:B,2,FALSE),B328),PlayerValues!E:E,0)),"N/A")</f>
        <v>N/A</v>
      </c>
      <c r="B328" s="4" t="s">
        <v>90</v>
      </c>
      <c r="C328" s="4" t="s">
        <v>325</v>
      </c>
      <c r="D328" s="94">
        <v>1641.0</v>
      </c>
    </row>
    <row r="329">
      <c r="A329" s="40">
        <f t="array" ref="A329">IFNA(index(PlayerValues!A:A,match(IFNA(vlookup(B329,'Special Names'!A:B,2,FALSE),B329),PlayerValues!E:E,0)),"N/A")</f>
        <v>16633</v>
      </c>
      <c r="B329" s="4" t="s">
        <v>656</v>
      </c>
      <c r="C329" s="4" t="s">
        <v>287</v>
      </c>
      <c r="D329" s="94">
        <v>1633.0</v>
      </c>
    </row>
    <row r="330">
      <c r="A330" s="40">
        <f t="array" ref="A330">IFNA(index(PlayerValues!A:A,match(IFNA(vlookup(B330,'Special Names'!A:B,2,FALSE),B330),PlayerValues!E:E,0)),"N/A")</f>
        <v>14143</v>
      </c>
      <c r="B330" s="4" t="s">
        <v>635</v>
      </c>
      <c r="C330" s="4" t="s">
        <v>298</v>
      </c>
      <c r="D330" s="94">
        <v>1992.0</v>
      </c>
    </row>
    <row r="331">
      <c r="A331" s="40">
        <f t="array" ref="A331">IFNA(index(PlayerValues!A:A,match(IFNA(vlookup(B331,'Special Names'!A:B,2,FALSE),B331),PlayerValues!E:E,0)),"N/A")</f>
        <v>15727</v>
      </c>
      <c r="B331" s="4" t="s">
        <v>730</v>
      </c>
      <c r="C331" s="4" t="s">
        <v>278</v>
      </c>
      <c r="D331" s="94">
        <v>1615.0</v>
      </c>
    </row>
    <row r="332">
      <c r="A332" s="40">
        <f t="array" ref="A332">IFNA(index(PlayerValues!A:A,match(IFNA(vlookup(B332,'Special Names'!A:B,2,FALSE),B332),PlayerValues!E:E,0)),"N/A")</f>
        <v>17545</v>
      </c>
      <c r="B332" s="4" t="s">
        <v>719</v>
      </c>
      <c r="C332" s="4" t="s">
        <v>298</v>
      </c>
      <c r="D332" s="94">
        <v>1991.0</v>
      </c>
    </row>
    <row r="333">
      <c r="A333" s="40">
        <f t="array" ref="A333">IFNA(index(PlayerValues!A:A,match(IFNA(vlookup(B333,'Special Names'!A:B,2,FALSE),B333),PlayerValues!E:E,0)),"N/A")</f>
        <v>13131</v>
      </c>
      <c r="B333" s="4" t="s">
        <v>815</v>
      </c>
      <c r="C333" s="4" t="s">
        <v>278</v>
      </c>
      <c r="D333" s="94">
        <v>1612.0</v>
      </c>
    </row>
    <row r="334">
      <c r="A334" s="40">
        <f t="array" ref="A334">IFNA(index(PlayerValues!A:A,match(IFNA(vlookup(B334,'Special Names'!A:B,2,FALSE),B334),PlayerValues!E:E,0)),"N/A")</f>
        <v>17037</v>
      </c>
      <c r="B334" s="4" t="s">
        <v>727</v>
      </c>
      <c r="C334" s="4" t="s">
        <v>283</v>
      </c>
      <c r="D334" s="94">
        <v>1610.0</v>
      </c>
    </row>
    <row r="335">
      <c r="A335" s="40">
        <f t="array" ref="A335">IFNA(index(PlayerValues!A:A,match(IFNA(vlookup(B335,'Special Names'!A:B,2,FALSE),B335),PlayerValues!E:E,0)),"N/A")</f>
        <v>17096</v>
      </c>
      <c r="B335" s="4" t="s">
        <v>638</v>
      </c>
      <c r="C335" s="4" t="s">
        <v>287</v>
      </c>
      <c r="D335" s="94">
        <v>1605.0</v>
      </c>
    </row>
    <row r="336">
      <c r="A336" s="40" t="str">
        <f t="array" ref="A336">IFNA(index(PlayerValues!A:A,match(IFNA(vlookup(B336,'Special Names'!A:B,2,FALSE),B336),PlayerValues!E:E,0)),"N/A")</f>
        <v>N/A</v>
      </c>
      <c r="B336" s="4" t="s">
        <v>115</v>
      </c>
      <c r="C336" s="4" t="s">
        <v>325</v>
      </c>
      <c r="D336" s="94">
        <v>1602.0</v>
      </c>
    </row>
    <row r="337">
      <c r="A337" s="40">
        <f t="array" ref="A337">IFNA(index(PlayerValues!A:A,match(IFNA(vlookup(B337,'Special Names'!A:B,2,FALSE),B337),PlayerValues!E:E,0)),"N/A")</f>
        <v>13193</v>
      </c>
      <c r="B337" s="4" t="s">
        <v>773</v>
      </c>
      <c r="C337" s="4" t="s">
        <v>298</v>
      </c>
      <c r="D337" s="94">
        <v>1970.0</v>
      </c>
    </row>
    <row r="338">
      <c r="A338" s="40">
        <f t="array" ref="A338">IFNA(index(PlayerValues!A:A,match(IFNA(vlookup(B338,'Special Names'!A:B,2,FALSE),B338),PlayerValues!E:E,0)),"N/A")</f>
        <v>14122</v>
      </c>
      <c r="B338" s="4" t="s">
        <v>663</v>
      </c>
      <c r="C338" s="4" t="s">
        <v>287</v>
      </c>
      <c r="D338" s="94">
        <v>1588.0</v>
      </c>
    </row>
    <row r="339">
      <c r="A339" s="40">
        <f t="array" ref="A339">IFNA(index(PlayerValues!A:A,match(IFNA(vlookup(B339,'Special Names'!A:B,2,FALSE),B339),PlayerValues!E:E,0)),"N/A")</f>
        <v>12140</v>
      </c>
      <c r="B339" s="4" t="s">
        <v>702</v>
      </c>
      <c r="C339" s="4" t="s">
        <v>283</v>
      </c>
      <c r="D339" s="94">
        <v>1588.0</v>
      </c>
    </row>
    <row r="340">
      <c r="A340" s="40">
        <f t="array" ref="A340">IFNA(index(PlayerValues!A:A,match(IFNA(vlookup(B340,'Special Names'!A:B,2,FALSE),B340),PlayerValues!E:E,0)),"N/A")</f>
        <v>16688</v>
      </c>
      <c r="B340" s="4" t="s">
        <v>688</v>
      </c>
      <c r="C340" s="4" t="s">
        <v>278</v>
      </c>
      <c r="D340" s="94">
        <v>1585.0</v>
      </c>
    </row>
    <row r="341">
      <c r="A341" s="40">
        <f t="array" ref="A341">IFNA(index(PlayerValues!A:A,match(IFNA(vlookup(B341,'Special Names'!A:B,2,FALSE),B341),PlayerValues!E:E,0)),"N/A")</f>
        <v>15252</v>
      </c>
      <c r="B341" s="4" t="s">
        <v>715</v>
      </c>
      <c r="C341" s="4" t="s">
        <v>283</v>
      </c>
      <c r="D341" s="94">
        <v>1571.0</v>
      </c>
    </row>
    <row r="342">
      <c r="A342" s="40" t="str">
        <f t="array" ref="A342">IFNA(index(PlayerValues!A:A,match(IFNA(vlookup(B342,'Special Names'!A:B,2,FALSE),B342),PlayerValues!E:E,0)),"N/A")</f>
        <v>N/A</v>
      </c>
      <c r="B342" s="4" t="s">
        <v>103</v>
      </c>
      <c r="C342" s="4" t="s">
        <v>325</v>
      </c>
      <c r="D342" s="94">
        <v>1566.0</v>
      </c>
    </row>
    <row r="343">
      <c r="A343" s="40">
        <f t="array" ref="A343">IFNA(index(PlayerValues!A:A,match(IFNA(vlookup(B343,'Special Names'!A:B,2,FALSE),B343),PlayerValues!E:E,0)),"N/A")</f>
        <v>16390</v>
      </c>
      <c r="B343" s="4" t="s">
        <v>689</v>
      </c>
      <c r="C343" s="4" t="s">
        <v>278</v>
      </c>
      <c r="D343" s="94">
        <v>1561.0</v>
      </c>
    </row>
    <row r="344">
      <c r="A344" s="40">
        <f t="array" ref="A344">IFNA(index(PlayerValues!A:A,match(IFNA(vlookup(B344,'Special Names'!A:B,2,FALSE),B344),PlayerValues!E:E,0)),"N/A")</f>
        <v>12141</v>
      </c>
      <c r="B344" s="4" t="s">
        <v>744</v>
      </c>
      <c r="C344" s="4" t="s">
        <v>283</v>
      </c>
      <c r="D344" s="94">
        <v>1535.0</v>
      </c>
    </row>
    <row r="345">
      <c r="A345" s="40">
        <f t="array" ref="A345">IFNA(index(PlayerValues!A:A,match(IFNA(vlookup(B345,'Special Names'!A:B,2,FALSE),B345),PlayerValues!E:E,0)),"N/A")</f>
        <v>14080</v>
      </c>
      <c r="B345" s="4" t="s">
        <v>716</v>
      </c>
      <c r="C345" s="4" t="s">
        <v>278</v>
      </c>
      <c r="D345" s="94">
        <v>1525.0</v>
      </c>
    </row>
    <row r="346">
      <c r="A346" s="40" t="str">
        <f t="array" ref="A346">IFNA(index(PlayerValues!A:A,match(IFNA(vlookup(B346,'Special Names'!A:B,2,FALSE),B346),PlayerValues!E:E,0)),"N/A")</f>
        <v>N/A</v>
      </c>
      <c r="B346" s="4" t="s">
        <v>91</v>
      </c>
      <c r="C346" s="4" t="s">
        <v>325</v>
      </c>
      <c r="D346" s="94">
        <v>1515.0</v>
      </c>
    </row>
    <row r="347">
      <c r="A347" s="40" t="str">
        <f t="array" ref="A347">IFNA(index(PlayerValues!A:A,match(IFNA(vlookup(B347,'Special Names'!A:B,2,FALSE),B347),PlayerValues!E:E,0)),"N/A")</f>
        <v>N/A</v>
      </c>
      <c r="B347" s="4" t="s">
        <v>116</v>
      </c>
      <c r="C347" s="4" t="s">
        <v>325</v>
      </c>
      <c r="D347" s="94">
        <v>1515.0</v>
      </c>
    </row>
    <row r="348">
      <c r="A348" s="40">
        <f t="array" ref="A348">IFNA(index(PlayerValues!A:A,match(IFNA(vlookup(B348,'Special Names'!A:B,2,FALSE),B348),PlayerValues!E:E,0)),"N/A")</f>
        <v>15258</v>
      </c>
      <c r="B348" s="4" t="s">
        <v>757</v>
      </c>
      <c r="C348" s="4" t="s">
        <v>278</v>
      </c>
      <c r="D348" s="94">
        <v>1511.0</v>
      </c>
    </row>
    <row r="349">
      <c r="A349" s="40">
        <f t="array" ref="A349">IFNA(index(PlayerValues!A:A,match(IFNA(vlookup(B349,'Special Names'!A:B,2,FALSE),B349),PlayerValues!E:E,0)),"N/A")</f>
        <v>15319</v>
      </c>
      <c r="B349" s="4" t="s">
        <v>644</v>
      </c>
      <c r="C349" s="4" t="s">
        <v>287</v>
      </c>
      <c r="D349" s="94">
        <v>1511.0</v>
      </c>
    </row>
    <row r="350">
      <c r="A350" s="40">
        <f t="array" ref="A350">IFNA(index(PlayerValues!A:A,match(IFNA(vlookup(B350,'Special Names'!A:B,2,FALSE),B350),PlayerValues!E:E,0)),"N/A")</f>
        <v>15713</v>
      </c>
      <c r="B350" s="4" t="s">
        <v>732</v>
      </c>
      <c r="C350" s="4" t="s">
        <v>278</v>
      </c>
      <c r="D350" s="94">
        <v>1494.0</v>
      </c>
    </row>
    <row r="351">
      <c r="A351" s="40">
        <f t="array" ref="A351">IFNA(index(PlayerValues!A:A,match(IFNA(vlookup(B351,'Special Names'!A:B,2,FALSE),B351),PlayerValues!E:E,0)),"N/A")</f>
        <v>13418</v>
      </c>
      <c r="B351" s="4" t="s">
        <v>706</v>
      </c>
      <c r="C351" s="4" t="s">
        <v>287</v>
      </c>
      <c r="D351" s="94">
        <v>1474.0</v>
      </c>
    </row>
    <row r="352">
      <c r="A352" s="40">
        <f t="array" ref="A352">IFNA(index(PlayerValues!A:A,match(IFNA(vlookup(B352,'Special Names'!A:B,2,FALSE),B352),PlayerValues!E:E,0)),"N/A")</f>
        <v>17077</v>
      </c>
      <c r="B352" s="4" t="s">
        <v>714</v>
      </c>
      <c r="C352" s="4" t="s">
        <v>287</v>
      </c>
      <c r="D352" s="94">
        <v>1474.0</v>
      </c>
    </row>
    <row r="353">
      <c r="A353" s="40">
        <f t="array" ref="A353">IFNA(index(PlayerValues!A:A,match(IFNA(vlookup(B353,'Special Names'!A:B,2,FALSE),B353),PlayerValues!E:E,0)),"N/A")</f>
        <v>15755</v>
      </c>
      <c r="B353" s="4" t="s">
        <v>628</v>
      </c>
      <c r="C353" s="4" t="s">
        <v>287</v>
      </c>
      <c r="D353" s="94">
        <v>1471.0</v>
      </c>
    </row>
    <row r="354">
      <c r="A354" s="40">
        <f t="array" ref="A354">IFNA(index(PlayerValues!A:A,match(IFNA(vlookup(B354,'Special Names'!A:B,2,FALSE),B354),PlayerValues!E:E,0)),"N/A")</f>
        <v>17254</v>
      </c>
      <c r="B354" s="4" t="s">
        <v>679</v>
      </c>
      <c r="C354" s="4" t="s">
        <v>287</v>
      </c>
      <c r="D354" s="94">
        <v>1465.0</v>
      </c>
    </row>
    <row r="355">
      <c r="A355" s="40">
        <f t="array" ref="A355">IFNA(index(PlayerValues!A:A,match(IFNA(vlookup(B355,'Special Names'!A:B,2,FALSE),B355),PlayerValues!E:E,0)),"N/A")</f>
        <v>15738</v>
      </c>
      <c r="B355" s="4" t="s">
        <v>634</v>
      </c>
      <c r="C355" s="4" t="s">
        <v>278</v>
      </c>
      <c r="D355" s="94">
        <v>1459.0</v>
      </c>
    </row>
    <row r="356">
      <c r="A356" s="40">
        <f t="array" ref="A356">IFNA(index(PlayerValues!A:A,match(IFNA(vlookup(B356,'Special Names'!A:B,2,FALSE),B356),PlayerValues!E:E,0)),"N/A")</f>
        <v>15752</v>
      </c>
      <c r="B356" s="4" t="s">
        <v>647</v>
      </c>
      <c r="C356" s="4" t="s">
        <v>287</v>
      </c>
      <c r="D356" s="94">
        <v>1457.0</v>
      </c>
    </row>
    <row r="357">
      <c r="A357" s="40">
        <f t="array" ref="A357">IFNA(index(PlayerValues!A:A,match(IFNA(vlookup(B357,'Special Names'!A:B,2,FALSE),B357),PlayerValues!E:E,0)),"N/A")</f>
        <v>16631</v>
      </c>
      <c r="B357" s="4" t="s">
        <v>800</v>
      </c>
      <c r="C357" s="4" t="s">
        <v>287</v>
      </c>
      <c r="D357" s="94">
        <v>1452.0</v>
      </c>
    </row>
    <row r="358">
      <c r="A358" s="40">
        <f t="array" ref="A358">IFNA(index(PlayerValues!A:A,match(IFNA(vlookup(B358,'Special Names'!A:B,2,FALSE),B358),PlayerValues!E:E,0)),"N/A")</f>
        <v>13672</v>
      </c>
      <c r="B358" s="4" t="s">
        <v>667</v>
      </c>
      <c r="C358" s="4" t="s">
        <v>298</v>
      </c>
      <c r="D358" s="94">
        <v>1823.0</v>
      </c>
    </row>
    <row r="359">
      <c r="A359" s="40">
        <f t="array" ref="A359">IFNA(index(PlayerValues!A:A,match(IFNA(vlookup(B359,'Special Names'!A:B,2,FALSE),B359),PlayerValues!E:E,0)),"N/A")</f>
        <v>11150</v>
      </c>
      <c r="B359" s="4" t="s">
        <v>559</v>
      </c>
      <c r="C359" s="4" t="s">
        <v>283</v>
      </c>
      <c r="D359" s="94">
        <v>1449.0</v>
      </c>
    </row>
    <row r="360">
      <c r="A360" s="40">
        <f t="array" ref="A360">IFNA(index(PlayerValues!A:A,match(IFNA(vlookup(B360,'Special Names'!A:B,2,FALSE),B360),PlayerValues!E:E,0)),"N/A")</f>
        <v>14095</v>
      </c>
      <c r="B360" s="4" t="s">
        <v>680</v>
      </c>
      <c r="C360" s="4" t="s">
        <v>278</v>
      </c>
      <c r="D360" s="94">
        <v>1447.0</v>
      </c>
    </row>
    <row r="361">
      <c r="A361" s="40">
        <f t="array" ref="A361">IFNA(index(PlayerValues!A:A,match(IFNA(vlookup(B361,'Special Names'!A:B,2,FALSE),B361),PlayerValues!E:E,0)),"N/A")</f>
        <v>17269</v>
      </c>
      <c r="B361" s="4" t="s">
        <v>718</v>
      </c>
      <c r="C361" s="4" t="s">
        <v>287</v>
      </c>
      <c r="D361" s="94">
        <v>1441.0</v>
      </c>
    </row>
    <row r="362">
      <c r="A362" s="40">
        <f t="array" ref="A362">IFNA(index(PlayerValues!A:A,match(IFNA(vlookup(B362,'Special Names'!A:B,2,FALSE),B362),PlayerValues!E:E,0)),"N/A")</f>
        <v>17062</v>
      </c>
      <c r="B362" s="4" t="s">
        <v>701</v>
      </c>
      <c r="C362" s="4" t="s">
        <v>278</v>
      </c>
      <c r="D362" s="94">
        <v>1430.0</v>
      </c>
    </row>
    <row r="363">
      <c r="A363" s="40">
        <f t="array" ref="A363">IFNA(index(PlayerValues!A:A,match(IFNA(vlookup(B363,'Special Names'!A:B,2,FALSE),B363),PlayerValues!E:E,0)),"N/A")</f>
        <v>15332</v>
      </c>
      <c r="B363" s="4" t="s">
        <v>698</v>
      </c>
      <c r="C363" s="4" t="s">
        <v>298</v>
      </c>
      <c r="D363" s="94">
        <v>1780.0</v>
      </c>
    </row>
    <row r="364">
      <c r="A364" s="40">
        <f t="array" ref="A364">IFNA(index(PlayerValues!A:A,match(IFNA(vlookup(B364,'Special Names'!A:B,2,FALSE),B364),PlayerValues!E:E,0)),"N/A")</f>
        <v>13138</v>
      </c>
      <c r="B364" s="4" t="s">
        <v>817</v>
      </c>
      <c r="C364" s="4" t="s">
        <v>278</v>
      </c>
      <c r="D364" s="94">
        <v>1400.0</v>
      </c>
    </row>
    <row r="365">
      <c r="A365" s="40">
        <f t="array" ref="A365">IFNA(index(PlayerValues!A:A,match(IFNA(vlookup(B365,'Special Names'!A:B,2,FALSE),B365),PlayerValues!E:E,0)),"N/A")</f>
        <v>15788</v>
      </c>
      <c r="B365" s="4" t="s">
        <v>627</v>
      </c>
      <c r="C365" s="4" t="s">
        <v>287</v>
      </c>
      <c r="D365" s="94">
        <v>1390.0</v>
      </c>
    </row>
    <row r="366">
      <c r="A366" s="40">
        <f t="array" ref="A366">IFNA(index(PlayerValues!A:A,match(IFNA(vlookup(B366,'Special Names'!A:B,2,FALSE),B366),PlayerValues!E:E,0)),"N/A")</f>
        <v>17504</v>
      </c>
      <c r="B366" s="4" t="s">
        <v>693</v>
      </c>
      <c r="C366" s="4" t="s">
        <v>287</v>
      </c>
      <c r="D366" s="94">
        <v>1384.0</v>
      </c>
    </row>
    <row r="367">
      <c r="A367" s="40">
        <f t="array" ref="A367">IFNA(index(PlayerValues!A:A,match(IFNA(vlookup(B367,'Special Names'!A:B,2,FALSE),B367),PlayerValues!E:E,0)),"N/A")</f>
        <v>15797</v>
      </c>
      <c r="B367" s="4" t="s">
        <v>556</v>
      </c>
      <c r="C367" s="4" t="s">
        <v>298</v>
      </c>
      <c r="D367" s="94">
        <v>1754.0</v>
      </c>
    </row>
    <row r="368">
      <c r="A368" s="40">
        <f t="array" ref="A368">IFNA(index(PlayerValues!A:A,match(IFNA(vlookup(B368,'Special Names'!A:B,2,FALSE),B368),PlayerValues!E:E,0)),"N/A")</f>
        <v>17510</v>
      </c>
      <c r="B368" s="4" t="s">
        <v>661</v>
      </c>
      <c r="C368" s="4" t="s">
        <v>287</v>
      </c>
      <c r="D368" s="94">
        <v>1374.0</v>
      </c>
    </row>
    <row r="369">
      <c r="A369" s="40">
        <f t="array" ref="A369">IFNA(index(PlayerValues!A:A,match(IFNA(vlookup(B369,'Special Names'!A:B,2,FALSE),B369),PlayerValues!E:E,0)),"N/A")</f>
        <v>17475</v>
      </c>
      <c r="B369" s="4" t="s">
        <v>615</v>
      </c>
      <c r="C369" s="4" t="s">
        <v>278</v>
      </c>
      <c r="D369" s="94">
        <v>1367.0</v>
      </c>
    </row>
    <row r="370">
      <c r="A370" s="40">
        <f t="array" ref="A370">IFNA(index(PlayerValues!A:A,match(IFNA(vlookup(B370,'Special Names'!A:B,2,FALSE),B370),PlayerValues!E:E,0)),"N/A")</f>
        <v>15873</v>
      </c>
      <c r="B370" s="4" t="s">
        <v>681</v>
      </c>
      <c r="C370" s="4" t="s">
        <v>298</v>
      </c>
      <c r="D370" s="94">
        <v>1719.0</v>
      </c>
    </row>
    <row r="371">
      <c r="A371" s="40">
        <f t="array" ref="A371">IFNA(index(PlayerValues!A:A,match(IFNA(vlookup(B371,'Special Names'!A:B,2,FALSE),B371),PlayerValues!E:E,0)),"N/A")</f>
        <v>17541</v>
      </c>
      <c r="B371" s="4" t="s">
        <v>616</v>
      </c>
      <c r="C371" s="4" t="s">
        <v>287</v>
      </c>
      <c r="D371" s="94">
        <v>1347.0</v>
      </c>
    </row>
    <row r="372">
      <c r="A372" s="40">
        <f t="array" ref="A372">IFNA(index(PlayerValues!A:A,match(IFNA(vlookup(B372,'Special Names'!A:B,2,FALSE),B372),PlayerValues!E:E,0)),"N/A")</f>
        <v>16621</v>
      </c>
      <c r="B372" s="4" t="s">
        <v>672</v>
      </c>
      <c r="C372" s="4" t="s">
        <v>287</v>
      </c>
      <c r="D372" s="94">
        <v>1345.0</v>
      </c>
    </row>
    <row r="373">
      <c r="A373" s="40">
        <f t="array" ref="A373">IFNA(index(PlayerValues!A:A,match(IFNA(vlookup(B373,'Special Names'!A:B,2,FALSE),B373),PlayerValues!E:E,0)),"N/A")</f>
        <v>14137</v>
      </c>
      <c r="B373" s="4" t="s">
        <v>676</v>
      </c>
      <c r="C373" s="4" t="s">
        <v>298</v>
      </c>
      <c r="D373" s="94">
        <v>1709.0</v>
      </c>
    </row>
    <row r="374">
      <c r="A374" s="40">
        <f t="array" ref="A374">IFNA(index(PlayerValues!A:A,match(IFNA(vlookup(B374,'Special Names'!A:B,2,FALSE),B374),PlayerValues!E:E,0)),"N/A")</f>
        <v>17479</v>
      </c>
      <c r="B374" s="4" t="s">
        <v>756</v>
      </c>
      <c r="C374" s="4" t="s">
        <v>278</v>
      </c>
      <c r="D374" s="94">
        <v>1335.0</v>
      </c>
    </row>
    <row r="375">
      <c r="A375" s="40">
        <f t="array" ref="A375">IFNA(index(PlayerValues!A:A,match(IFNA(vlookup(B375,'Special Names'!A:B,2,FALSE),B375),PlayerValues!E:E,0)),"N/A")</f>
        <v>15301</v>
      </c>
      <c r="B375" s="4" t="s">
        <v>657</v>
      </c>
      <c r="C375" s="4" t="s">
        <v>287</v>
      </c>
      <c r="D375" s="94">
        <v>1333.0</v>
      </c>
    </row>
    <row r="376">
      <c r="A376" s="40">
        <f t="array" ref="A376">IFNA(index(PlayerValues!A:A,match(IFNA(vlookup(B376,'Special Names'!A:B,2,FALSE),B376),PlayerValues!E:E,0)),"N/A")</f>
        <v>16642</v>
      </c>
      <c r="B376" s="4" t="s">
        <v>691</v>
      </c>
      <c r="C376" s="4" t="s">
        <v>298</v>
      </c>
      <c r="D376" s="94">
        <v>1697.0</v>
      </c>
    </row>
    <row r="377">
      <c r="A377" s="40" t="str">
        <f t="array" ref="A377">IFNA(index(PlayerValues!A:A,match(IFNA(vlookup(B377,'Special Names'!A:B,2,FALSE),B377),PlayerValues!E:E,0)),"N/A")</f>
        <v>N/A</v>
      </c>
      <c r="B377" s="4" t="s">
        <v>117</v>
      </c>
      <c r="C377" s="4" t="s">
        <v>325</v>
      </c>
      <c r="D377" s="94">
        <v>1315.0</v>
      </c>
    </row>
    <row r="378">
      <c r="A378" s="40">
        <f t="array" ref="A378">IFNA(index(PlayerValues!A:A,match(IFNA(vlookup(B378,'Special Names'!A:B,2,FALSE),B378),PlayerValues!E:E,0)),"N/A")</f>
        <v>17487</v>
      </c>
      <c r="B378" s="4" t="s">
        <v>692</v>
      </c>
      <c r="C378" s="4" t="s">
        <v>278</v>
      </c>
      <c r="D378" s="94">
        <v>1312.0</v>
      </c>
    </row>
    <row r="379">
      <c r="A379" s="40">
        <f t="array" ref="A379">IFNA(index(PlayerValues!A:A,match(IFNA(vlookup(B379,'Special Names'!A:B,2,FALSE),B379),PlayerValues!E:E,0)),"N/A")</f>
        <v>17486</v>
      </c>
      <c r="B379" s="4" t="s">
        <v>695</v>
      </c>
      <c r="C379" s="4" t="s">
        <v>278</v>
      </c>
      <c r="D379" s="94">
        <v>1309.0</v>
      </c>
    </row>
    <row r="380">
      <c r="A380" s="40">
        <f t="array" ref="A380">IFNA(index(PlayerValues!A:A,match(IFNA(vlookup(B380,'Special Names'!A:B,2,FALSE),B380),PlayerValues!E:E,0)),"N/A")</f>
        <v>16385</v>
      </c>
      <c r="B380" s="4" t="s">
        <v>690</v>
      </c>
      <c r="C380" s="4" t="s">
        <v>278</v>
      </c>
      <c r="D380" s="94">
        <v>1295.0</v>
      </c>
    </row>
    <row r="381">
      <c r="A381" s="40">
        <f t="array" ref="A381">IFNA(index(PlayerValues!A:A,match(IFNA(vlookup(B381,'Special Names'!A:B,2,FALSE),B381),PlayerValues!E:E,0)),"N/A")</f>
        <v>17470</v>
      </c>
      <c r="B381" s="4" t="s">
        <v>841</v>
      </c>
      <c r="C381" s="4" t="s">
        <v>283</v>
      </c>
      <c r="D381" s="94">
        <v>1295.0</v>
      </c>
    </row>
    <row r="382">
      <c r="A382" s="40">
        <f t="array" ref="A382">IFNA(index(PlayerValues!A:A,match(IFNA(vlookup(B382,'Special Names'!A:B,2,FALSE),B382),PlayerValues!E:E,0)),"N/A")</f>
        <v>16175</v>
      </c>
      <c r="B382" s="4" t="s">
        <v>654</v>
      </c>
      <c r="C382" s="4" t="s">
        <v>278</v>
      </c>
      <c r="D382" s="94">
        <v>1284.0</v>
      </c>
    </row>
    <row r="383">
      <c r="A383" s="40">
        <f t="array" ref="A383">IFNA(index(PlayerValues!A:A,match(IFNA(vlookup(B383,'Special Names'!A:B,2,FALSE),B383),PlayerValues!E:E,0)),"N/A")</f>
        <v>15292</v>
      </c>
      <c r="B383" s="4" t="s">
        <v>682</v>
      </c>
      <c r="C383" s="4" t="s">
        <v>287</v>
      </c>
      <c r="D383" s="94">
        <v>1275.0</v>
      </c>
    </row>
    <row r="384">
      <c r="A384" s="40">
        <f t="array" ref="A384">IFNA(index(PlayerValues!A:A,match(IFNA(vlookup(B384,'Special Names'!A:B,2,FALSE),B384),PlayerValues!E:E,0)),"N/A")</f>
        <v>14086</v>
      </c>
      <c r="B384" s="4" t="s">
        <v>639</v>
      </c>
      <c r="C384" s="4" t="s">
        <v>278</v>
      </c>
      <c r="D384" s="94">
        <v>1263.0</v>
      </c>
    </row>
    <row r="385">
      <c r="A385" s="40">
        <f t="array" ref="A385">IFNA(index(PlayerValues!A:A,match(IFNA(vlookup(B385,'Special Names'!A:B,2,FALSE),B385),PlayerValues!E:E,0)),"N/A")</f>
        <v>14592</v>
      </c>
      <c r="B385" s="4" t="s">
        <v>705</v>
      </c>
      <c r="C385" s="4" t="s">
        <v>287</v>
      </c>
      <c r="D385" s="94">
        <v>1257.0</v>
      </c>
    </row>
    <row r="386">
      <c r="A386" s="40">
        <f t="array" ref="A386">IFNA(index(PlayerValues!A:A,match(IFNA(vlookup(B386,'Special Names'!A:B,2,FALSE),B386),PlayerValues!E:E,0)),"N/A")</f>
        <v>14108</v>
      </c>
      <c r="B386" s="4" t="s">
        <v>673</v>
      </c>
      <c r="C386" s="4" t="s">
        <v>287</v>
      </c>
      <c r="D386" s="94">
        <v>1252.0</v>
      </c>
    </row>
    <row r="387">
      <c r="A387" s="40">
        <f t="array" ref="A387">IFNA(index(PlayerValues!A:A,match(IFNA(vlookup(B387,'Special Names'!A:B,2,FALSE),B387),PlayerValues!E:E,0)),"N/A")</f>
        <v>15240</v>
      </c>
      <c r="B387" s="4" t="s">
        <v>751</v>
      </c>
      <c r="C387" s="4" t="s">
        <v>283</v>
      </c>
      <c r="D387" s="94">
        <v>1247.0</v>
      </c>
    </row>
    <row r="388">
      <c r="A388" s="40">
        <f t="array" ref="A388">IFNA(index(PlayerValues!A:A,match(IFNA(vlookup(B388,'Special Names'!A:B,2,FALSE),B388),PlayerValues!E:E,0)),"N/A")</f>
        <v>15702</v>
      </c>
      <c r="B388" s="4" t="s">
        <v>723</v>
      </c>
      <c r="C388" s="4" t="s">
        <v>283</v>
      </c>
      <c r="D388" s="94">
        <v>1247.0</v>
      </c>
    </row>
    <row r="389">
      <c r="A389" s="40">
        <f t="array" ref="A389">IFNA(index(PlayerValues!A:A,match(IFNA(vlookup(B389,'Special Names'!A:B,2,FALSE),B389),PlayerValues!E:E,0)),"N/A")</f>
        <v>16451</v>
      </c>
      <c r="B389" s="4" t="s">
        <v>769</v>
      </c>
      <c r="C389" s="4" t="s">
        <v>287</v>
      </c>
      <c r="D389" s="94">
        <v>1229.0</v>
      </c>
    </row>
    <row r="390">
      <c r="A390" s="40">
        <f t="array" ref="A390">IFNA(index(PlayerValues!A:A,match(IFNA(vlookup(B390,'Special Names'!A:B,2,FALSE),B390),PlayerValues!E:E,0)),"N/A")</f>
        <v>15981</v>
      </c>
      <c r="B390" s="4" t="s">
        <v>729</v>
      </c>
      <c r="C390" s="4" t="s">
        <v>287</v>
      </c>
      <c r="D390" s="94">
        <v>1227.0</v>
      </c>
    </row>
    <row r="391">
      <c r="A391" s="40">
        <f t="array" ref="A391">IFNA(index(PlayerValues!A:A,match(IFNA(vlookup(B391,'Special Names'!A:B,2,FALSE),B391),PlayerValues!E:E,0)),"N/A")</f>
        <v>16183</v>
      </c>
      <c r="B391" s="4" t="s">
        <v>678</v>
      </c>
      <c r="C391" s="4" t="s">
        <v>287</v>
      </c>
      <c r="D391" s="94">
        <v>1227.0</v>
      </c>
    </row>
    <row r="392">
      <c r="A392" s="40">
        <f t="array" ref="A392">IFNA(index(PlayerValues!A:A,match(IFNA(vlookup(B392,'Special Names'!A:B,2,FALSE),B392),PlayerValues!E:E,0)),"N/A")</f>
        <v>16149</v>
      </c>
      <c r="B392" s="4" t="s">
        <v>740</v>
      </c>
      <c r="C392" s="4" t="s">
        <v>283</v>
      </c>
      <c r="D392" s="94">
        <v>1227.0</v>
      </c>
    </row>
    <row r="393">
      <c r="A393" s="40">
        <f t="array" ref="A393">IFNA(index(PlayerValues!A:A,match(IFNA(vlookup(B393,'Special Names'!A:B,2,FALSE),B393),PlayerValues!E:E,0)),"N/A")</f>
        <v>12263</v>
      </c>
      <c r="B393" s="4" t="s">
        <v>697</v>
      </c>
      <c r="C393" s="4" t="s">
        <v>298</v>
      </c>
      <c r="D393" s="94">
        <v>1585.0</v>
      </c>
    </row>
    <row r="394">
      <c r="A394" s="40">
        <f t="array" ref="A394">IFNA(index(PlayerValues!A:A,match(IFNA(vlookup(B394,'Special Names'!A:B,2,FALSE),B394),PlayerValues!E:E,0)),"N/A")</f>
        <v>17526</v>
      </c>
      <c r="B394" s="4" t="s">
        <v>760</v>
      </c>
      <c r="C394" s="4" t="s">
        <v>287</v>
      </c>
      <c r="D394" s="94">
        <v>1210.0</v>
      </c>
    </row>
    <row r="395">
      <c r="A395" s="40">
        <f t="array" ref="A395">IFNA(index(PlayerValues!A:A,match(IFNA(vlookup(B395,'Special Names'!A:B,2,FALSE),B395),PlayerValues!E:E,0)),"N/A")</f>
        <v>16384</v>
      </c>
      <c r="B395" s="4" t="s">
        <v>696</v>
      </c>
      <c r="C395" s="4" t="s">
        <v>283</v>
      </c>
      <c r="D395" s="94">
        <v>1197.0</v>
      </c>
    </row>
    <row r="396">
      <c r="A396" s="40">
        <f t="array" ref="A396">IFNA(index(PlayerValues!A:A,match(IFNA(vlookup(B396,'Special Names'!A:B,2,FALSE),B396),PlayerValues!E:E,0)),"N/A")</f>
        <v>16792</v>
      </c>
      <c r="B396" s="4" t="s">
        <v>704</v>
      </c>
      <c r="C396" s="4" t="s">
        <v>287</v>
      </c>
      <c r="D396" s="94">
        <v>1194.0</v>
      </c>
    </row>
    <row r="397">
      <c r="A397" s="40">
        <f t="array" ref="A397">IFNA(index(PlayerValues!A:A,match(IFNA(vlookup(B397,'Special Names'!A:B,2,FALSE),B397),PlayerValues!E:E,0)),"N/A")</f>
        <v>17063</v>
      </c>
      <c r="B397" s="4" t="s">
        <v>686</v>
      </c>
      <c r="C397" s="4" t="s">
        <v>278</v>
      </c>
      <c r="D397" s="94">
        <v>1186.0</v>
      </c>
    </row>
    <row r="398">
      <c r="A398" s="40">
        <f t="array" ref="A398">IFNA(index(PlayerValues!A:A,match(IFNA(vlookup(B398,'Special Names'!A:B,2,FALSE),B398),PlayerValues!E:E,0)),"N/A")</f>
        <v>16221</v>
      </c>
      <c r="B398" s="4" t="s">
        <v>725</v>
      </c>
      <c r="C398" s="4" t="s">
        <v>298</v>
      </c>
      <c r="D398" s="94">
        <v>1547.0</v>
      </c>
    </row>
    <row r="399">
      <c r="A399" s="40">
        <f t="array" ref="A399">IFNA(index(PlayerValues!A:A,match(IFNA(vlookup(B399,'Special Names'!A:B,2,FALSE),B399),PlayerValues!E:E,0)),"N/A")</f>
        <v>16645</v>
      </c>
      <c r="B399" s="4" t="s">
        <v>651</v>
      </c>
      <c r="C399" s="4" t="s">
        <v>298</v>
      </c>
      <c r="D399" s="94">
        <v>1543.0</v>
      </c>
    </row>
    <row r="400">
      <c r="A400" s="40">
        <f t="array" ref="A400">IFNA(index(PlayerValues!A:A,match(IFNA(vlookup(B400,'Special Names'!A:B,2,FALSE),B400),PlayerValues!E:E,0)),"N/A")</f>
        <v>17054</v>
      </c>
      <c r="B400" s="4" t="s">
        <v>670</v>
      </c>
      <c r="C400" s="4" t="s">
        <v>278</v>
      </c>
      <c r="D400" s="94">
        <v>1170.0</v>
      </c>
    </row>
    <row r="401">
      <c r="A401" s="40">
        <f t="array" ref="A401">IFNA(index(PlayerValues!A:A,match(IFNA(vlookup(B401,'Special Names'!A:B,2,FALSE),B401),PlayerValues!E:E,0)),"N/A")</f>
        <v>12678</v>
      </c>
      <c r="B401" s="4" t="s">
        <v>703</v>
      </c>
      <c r="C401" s="4" t="s">
        <v>298</v>
      </c>
      <c r="D401" s="94">
        <v>1524.0</v>
      </c>
    </row>
    <row r="402">
      <c r="A402" s="40">
        <f t="array" ref="A402">IFNA(index(PlayerValues!A:A,match(IFNA(vlookup(B402,'Special Names'!A:B,2,FALSE),B402),PlayerValues!E:E,0)),"N/A")</f>
        <v>16883</v>
      </c>
      <c r="B402" s="4" t="s">
        <v>683</v>
      </c>
      <c r="C402" s="4" t="s">
        <v>287</v>
      </c>
      <c r="D402" s="94">
        <v>1152.0</v>
      </c>
    </row>
    <row r="403">
      <c r="A403" s="40">
        <f t="array" ref="A403">IFNA(index(PlayerValues!A:A,match(IFNA(vlookup(B403,'Special Names'!A:B,2,FALSE),B403),PlayerValues!E:E,0)),"N/A")</f>
        <v>16746</v>
      </c>
      <c r="B403" s="4" t="s">
        <v>709</v>
      </c>
      <c r="C403" s="4" t="s">
        <v>278</v>
      </c>
      <c r="D403" s="94">
        <v>1150.0</v>
      </c>
    </row>
    <row r="404">
      <c r="A404" s="40">
        <f t="array" ref="A404">IFNA(index(PlayerValues!A:A,match(IFNA(vlookup(B404,'Special Names'!A:B,2,FALSE),B404),PlayerValues!E:E,0)),"N/A")</f>
        <v>16636</v>
      </c>
      <c r="B404" s="4" t="s">
        <v>699</v>
      </c>
      <c r="C404" s="4" t="s">
        <v>287</v>
      </c>
      <c r="D404" s="94">
        <v>1149.0</v>
      </c>
    </row>
    <row r="405">
      <c r="A405" s="40">
        <f t="array" ref="A405">IFNA(index(PlayerValues!A:A,match(IFNA(vlookup(B405,'Special Names'!A:B,2,FALSE),B405),PlayerValues!E:E,0)),"N/A")</f>
        <v>16199</v>
      </c>
      <c r="B405" s="4" t="s">
        <v>687</v>
      </c>
      <c r="C405" s="4" t="s">
        <v>287</v>
      </c>
      <c r="D405" s="94">
        <v>1143.0</v>
      </c>
    </row>
    <row r="406">
      <c r="A406" s="40">
        <f t="array" ref="A406">IFNA(index(PlayerValues!A:A,match(IFNA(vlookup(B406,'Special Names'!A:B,2,FALSE),B406),PlayerValues!E:E,0)),"N/A")</f>
        <v>14789</v>
      </c>
      <c r="B406" s="4" t="s">
        <v>721</v>
      </c>
      <c r="C406" s="4" t="s">
        <v>283</v>
      </c>
      <c r="D406" s="94">
        <v>1142.0</v>
      </c>
    </row>
    <row r="407">
      <c r="A407" s="40">
        <f t="array" ref="A407">IFNA(index(PlayerValues!A:A,match(IFNA(vlookup(B407,'Special Names'!A:B,2,FALSE),B407),PlayerValues!E:E,0)),"N/A")</f>
        <v>17097</v>
      </c>
      <c r="B407" s="4" t="s">
        <v>659</v>
      </c>
      <c r="C407" s="4" t="s">
        <v>287</v>
      </c>
      <c r="D407" s="94">
        <v>1134.0</v>
      </c>
    </row>
    <row r="408">
      <c r="A408" s="40">
        <f t="array" ref="A408">IFNA(index(PlayerValues!A:A,match(IFNA(vlookup(B408,'Special Names'!A:B,2,FALSE),B408),PlayerValues!E:E,0)),"N/A")</f>
        <v>13289</v>
      </c>
      <c r="B408" s="4" t="s">
        <v>746</v>
      </c>
      <c r="C408" s="4" t="s">
        <v>287</v>
      </c>
      <c r="D408" s="94">
        <v>1124.0</v>
      </c>
    </row>
    <row r="409">
      <c r="A409" s="40">
        <f t="array" ref="A409">IFNA(index(PlayerValues!A:A,match(IFNA(vlookup(B409,'Special Names'!A:B,2,FALSE),B409),PlayerValues!E:E,0)),"N/A")</f>
        <v>17192</v>
      </c>
      <c r="B409" s="4" t="s">
        <v>677</v>
      </c>
      <c r="C409" s="4" t="s">
        <v>287</v>
      </c>
      <c r="D409" s="94">
        <v>1116.0</v>
      </c>
    </row>
    <row r="410">
      <c r="A410" s="40">
        <f t="array" ref="A410">IFNA(index(PlayerValues!A:A,match(IFNA(vlookup(B410,'Special Names'!A:B,2,FALSE),B410),PlayerValues!E:E,0)),"N/A")</f>
        <v>17050</v>
      </c>
      <c r="B410" s="4" t="s">
        <v>713</v>
      </c>
      <c r="C410" s="4" t="s">
        <v>278</v>
      </c>
      <c r="D410" s="94">
        <v>1115.0</v>
      </c>
    </row>
    <row r="411">
      <c r="A411" s="40">
        <f t="array" ref="A411">IFNA(index(PlayerValues!A:A,match(IFNA(vlookup(B411,'Special Names'!A:B,2,FALSE),B411),PlayerValues!E:E,0)),"N/A")</f>
        <v>14845</v>
      </c>
      <c r="B411" s="4" t="s">
        <v>717</v>
      </c>
      <c r="C411" s="4" t="s">
        <v>287</v>
      </c>
      <c r="D411" s="94">
        <v>1112.0</v>
      </c>
    </row>
    <row r="412">
      <c r="A412" s="40">
        <f t="array" ref="A412">IFNA(index(PlayerValues!A:A,match(IFNA(vlookup(B412,'Special Names'!A:B,2,FALSE),B412),PlayerValues!E:E,0)),"N/A")</f>
        <v>15239</v>
      </c>
      <c r="B412" s="4" t="s">
        <v>802</v>
      </c>
      <c r="C412" s="4" t="s">
        <v>283</v>
      </c>
      <c r="D412" s="94">
        <v>1111.0</v>
      </c>
    </row>
    <row r="413">
      <c r="A413" s="40">
        <f t="array" ref="A413">IFNA(index(PlayerValues!A:A,match(IFNA(vlookup(B413,'Special Names'!A:B,2,FALSE),B413),PlayerValues!E:E,0)),"N/A")</f>
        <v>15730</v>
      </c>
      <c r="B413" s="4" t="s">
        <v>734</v>
      </c>
      <c r="C413" s="4" t="s">
        <v>278</v>
      </c>
      <c r="D413" s="94">
        <v>1109.0</v>
      </c>
    </row>
    <row r="414">
      <c r="A414" s="40">
        <f t="array" ref="A414">IFNA(index(PlayerValues!A:A,match(IFNA(vlookup(B414,'Special Names'!A:B,2,FALSE),B414),PlayerValues!E:E,0)),"N/A")</f>
        <v>15692</v>
      </c>
      <c r="B414" s="4" t="s">
        <v>750</v>
      </c>
      <c r="C414" s="4" t="s">
        <v>283</v>
      </c>
      <c r="D414" s="94">
        <v>1105.0</v>
      </c>
    </row>
    <row r="415">
      <c r="A415" s="40">
        <f t="array" ref="A415">IFNA(index(PlayerValues!A:A,match(IFNA(vlookup(B415,'Special Names'!A:B,2,FALSE),B415),PlayerValues!E:E,0)),"N/A")</f>
        <v>16333</v>
      </c>
      <c r="B415" s="4" t="s">
        <v>711</v>
      </c>
      <c r="C415" s="4" t="s">
        <v>298</v>
      </c>
      <c r="D415" s="94">
        <v>1466.0</v>
      </c>
    </row>
    <row r="416">
      <c r="A416" s="40">
        <f t="array" ref="A416">IFNA(index(PlayerValues!A:A,match(IFNA(vlookup(B416,'Special Names'!A:B,2,FALSE),B416),PlayerValues!E:E,0)),"N/A")</f>
        <v>16197</v>
      </c>
      <c r="B416" s="4" t="s">
        <v>726</v>
      </c>
      <c r="C416" s="4" t="s">
        <v>287</v>
      </c>
      <c r="D416" s="94">
        <v>1095.0</v>
      </c>
    </row>
    <row r="417">
      <c r="A417" s="40">
        <f t="array" ref="A417">IFNA(index(PlayerValues!A:A,match(IFNA(vlookup(B417,'Special Names'!A:B,2,FALSE),B417),PlayerValues!E:E,0)),"N/A")</f>
        <v>17109</v>
      </c>
      <c r="B417" s="4" t="s">
        <v>707</v>
      </c>
      <c r="C417" s="4" t="s">
        <v>298</v>
      </c>
      <c r="D417" s="94">
        <v>1462.0</v>
      </c>
    </row>
    <row r="418">
      <c r="A418" s="40">
        <f t="array" ref="A418">IFNA(index(PlayerValues!A:A,match(IFNA(vlookup(B418,'Special Names'!A:B,2,FALSE),B418),PlayerValues!E:E,0)),"N/A")</f>
        <v>13610</v>
      </c>
      <c r="B418" s="4" t="s">
        <v>825</v>
      </c>
      <c r="C418" s="4" t="s">
        <v>278</v>
      </c>
      <c r="D418" s="94">
        <v>1082.0</v>
      </c>
    </row>
    <row r="419">
      <c r="A419" s="40">
        <f t="array" ref="A419">IFNA(index(PlayerValues!A:A,match(IFNA(vlookup(B419,'Special Names'!A:B,2,FALSE),B419),PlayerValues!E:E,0)),"N/A")</f>
        <v>15288</v>
      </c>
      <c r="B419" s="4" t="s">
        <v>700</v>
      </c>
      <c r="C419" s="4" t="s">
        <v>287</v>
      </c>
      <c r="D419" s="94">
        <v>1078.0</v>
      </c>
    </row>
    <row r="420">
      <c r="A420" s="40">
        <f t="array" ref="A420">IFNA(index(PlayerValues!A:A,match(IFNA(vlookup(B420,'Special Names'!A:B,2,FALSE),B420),PlayerValues!E:E,0)),"N/A")</f>
        <v>17175</v>
      </c>
      <c r="B420" s="4" t="s">
        <v>747</v>
      </c>
      <c r="C420" s="4" t="s">
        <v>287</v>
      </c>
      <c r="D420" s="94">
        <v>1074.0</v>
      </c>
    </row>
    <row r="421">
      <c r="A421" s="40">
        <f t="array" ref="A421">IFNA(index(PlayerValues!A:A,match(IFNA(vlookup(B421,'Special Names'!A:B,2,FALSE),B421),PlayerValues!E:E,0)),"N/A")</f>
        <v>15717</v>
      </c>
      <c r="B421" s="4" t="s">
        <v>745</v>
      </c>
      <c r="C421" s="4" t="s">
        <v>278</v>
      </c>
      <c r="D421" s="94">
        <v>1071.0</v>
      </c>
    </row>
    <row r="422">
      <c r="A422" s="40">
        <f t="array" ref="A422">IFNA(index(PlayerValues!A:A,match(IFNA(vlookup(B422,'Special Names'!A:B,2,FALSE),B422),PlayerValues!E:E,0)),"N/A")</f>
        <v>16219</v>
      </c>
      <c r="B422" s="4" t="s">
        <v>739</v>
      </c>
      <c r="C422" s="4" t="s">
        <v>298</v>
      </c>
      <c r="D422" s="94">
        <v>1436.0</v>
      </c>
    </row>
    <row r="423">
      <c r="A423" s="40">
        <f t="array" ref="A423">IFNA(index(PlayerValues!A:A,match(IFNA(vlookup(B423,'Special Names'!A:B,2,FALSE),B423),PlayerValues!E:E,0)),"N/A")</f>
        <v>16640</v>
      </c>
      <c r="B423" s="4" t="s">
        <v>712</v>
      </c>
      <c r="C423" s="4" t="s">
        <v>287</v>
      </c>
      <c r="D423" s="94">
        <v>1061.0</v>
      </c>
    </row>
    <row r="424">
      <c r="A424" s="40">
        <f t="array" ref="A424">IFNA(index(PlayerValues!A:A,match(IFNA(vlookup(B424,'Special Names'!A:B,2,FALSE),B424),PlayerValues!E:E,0)),"N/A")</f>
        <v>15718</v>
      </c>
      <c r="B424" s="4" t="s">
        <v>753</v>
      </c>
      <c r="C424" s="4" t="s">
        <v>278</v>
      </c>
      <c r="D424" s="94">
        <v>1058.0</v>
      </c>
    </row>
    <row r="425">
      <c r="A425" s="40">
        <f t="array" ref="A425">IFNA(index(PlayerValues!A:A,match(IFNA(vlookup(B425,'Special Names'!A:B,2,FALSE),B425),PlayerValues!E:E,0)),"N/A")</f>
        <v>16387</v>
      </c>
      <c r="B425" s="4" t="s">
        <v>646</v>
      </c>
      <c r="C425" s="4" t="s">
        <v>278</v>
      </c>
      <c r="D425" s="94">
        <v>1057.0</v>
      </c>
    </row>
    <row r="426">
      <c r="A426" s="40">
        <f t="array" ref="A426">IFNA(index(PlayerValues!A:A,match(IFNA(vlookup(B426,'Special Names'!A:B,2,FALSE),B426),PlayerValues!E:E,0)),"N/A")</f>
        <v>15720</v>
      </c>
      <c r="B426" s="4" t="s">
        <v>795</v>
      </c>
      <c r="C426" s="4" t="s">
        <v>278</v>
      </c>
      <c r="D426" s="94">
        <v>1048.0</v>
      </c>
    </row>
    <row r="427">
      <c r="A427" s="40">
        <f t="array" ref="A427">IFNA(index(PlayerValues!A:A,match(IFNA(vlookup(B427,'Special Names'!A:B,2,FALSE),B427),PlayerValues!E:E,0)),"N/A")</f>
        <v>15693</v>
      </c>
      <c r="B427" s="4" t="s">
        <v>755</v>
      </c>
      <c r="C427" s="4" t="s">
        <v>283</v>
      </c>
      <c r="D427" s="94">
        <v>1045.0</v>
      </c>
    </row>
    <row r="428">
      <c r="A428" s="40">
        <f t="array" ref="A428">IFNA(index(PlayerValues!A:A,match(IFNA(vlookup(B428,'Special Names'!A:B,2,FALSE),B428),PlayerValues!E:E,0)),"N/A")</f>
        <v>16393</v>
      </c>
      <c r="B428" s="4" t="s">
        <v>768</v>
      </c>
      <c r="C428" s="4" t="s">
        <v>287</v>
      </c>
      <c r="D428" s="94">
        <v>1038.0</v>
      </c>
    </row>
    <row r="429">
      <c r="A429" s="40">
        <f t="array" ref="A429">IFNA(index(PlayerValues!A:A,match(IFNA(vlookup(B429,'Special Names'!A:B,2,FALSE),B429),PlayerValues!E:E,0)),"N/A")</f>
        <v>15785</v>
      </c>
      <c r="B429" s="4" t="s">
        <v>763</v>
      </c>
      <c r="C429" s="4" t="s">
        <v>287</v>
      </c>
      <c r="D429" s="94">
        <v>1034.0</v>
      </c>
    </row>
    <row r="430">
      <c r="A430" s="40">
        <f t="array" ref="A430">IFNA(index(PlayerValues!A:A,match(IFNA(vlookup(B430,'Special Names'!A:B,2,FALSE),B430),PlayerValues!E:E,0)),"N/A")</f>
        <v>14118</v>
      </c>
      <c r="B430" s="4" t="s">
        <v>771</v>
      </c>
      <c r="C430" s="4" t="s">
        <v>287</v>
      </c>
      <c r="D430" s="94">
        <v>1033.0</v>
      </c>
    </row>
    <row r="431">
      <c r="A431" s="40">
        <f t="array" ref="A431">IFNA(index(PlayerValues!A:A,match(IFNA(vlookup(B431,'Special Names'!A:B,2,FALSE),B431),PlayerValues!E:E,0)),"N/A")</f>
        <v>14849</v>
      </c>
      <c r="B431" s="4" t="s">
        <v>733</v>
      </c>
      <c r="C431" s="4" t="s">
        <v>287</v>
      </c>
      <c r="D431" s="94">
        <v>1033.0</v>
      </c>
    </row>
    <row r="432">
      <c r="A432" s="40">
        <f t="array" ref="A432">IFNA(index(PlayerValues!A:A,match(IFNA(vlookup(B432,'Special Names'!A:B,2,FALSE),B432),PlayerValues!E:E,0)),"N/A")</f>
        <v>15626</v>
      </c>
      <c r="B432" s="4" t="s">
        <v>766</v>
      </c>
      <c r="C432" s="4" t="s">
        <v>298</v>
      </c>
      <c r="D432" s="94">
        <v>1394.0</v>
      </c>
    </row>
    <row r="433">
      <c r="A433" s="40">
        <f t="array" ref="A433">IFNA(index(PlayerValues!A:A,match(IFNA(vlookup(B433,'Special Names'!A:B,2,FALSE),B433),PlayerValues!E:E,0)),"N/A")</f>
        <v>16637</v>
      </c>
      <c r="B433" s="4" t="s">
        <v>736</v>
      </c>
      <c r="C433" s="4" t="s">
        <v>287</v>
      </c>
      <c r="D433" s="94">
        <v>1020.0</v>
      </c>
    </row>
    <row r="434">
      <c r="A434" s="40">
        <f t="array" ref="A434">IFNA(index(PlayerValues!A:A,match(IFNA(vlookup(B434,'Special Names'!A:B,2,FALSE),B434),PlayerValues!E:E,0)),"N/A")</f>
        <v>16159</v>
      </c>
      <c r="B434" s="4" t="s">
        <v>819</v>
      </c>
      <c r="C434" s="4" t="s">
        <v>283</v>
      </c>
      <c r="D434" s="94">
        <v>1009.0</v>
      </c>
    </row>
    <row r="435">
      <c r="A435" s="40">
        <f t="array" ref="A435">IFNA(index(PlayerValues!A:A,match(IFNA(vlookup(B435,'Special Names'!A:B,2,FALSE),B435),PlayerValues!E:E,0)),"N/A")</f>
        <v>17057</v>
      </c>
      <c r="B435" s="4" t="s">
        <v>708</v>
      </c>
      <c r="C435" s="4" t="s">
        <v>278</v>
      </c>
      <c r="D435" s="94">
        <v>1006.0</v>
      </c>
    </row>
    <row r="436">
      <c r="A436" s="40">
        <f t="array" ref="A436">IFNA(index(PlayerValues!A:A,match(IFNA(vlookup(B436,'Special Names'!A:B,2,FALSE),B436),PlayerValues!E:E,0)),"N/A")</f>
        <v>16648</v>
      </c>
      <c r="B436" s="4" t="s">
        <v>748</v>
      </c>
      <c r="C436" s="4" t="s">
        <v>298</v>
      </c>
      <c r="D436" s="94">
        <v>1365.0</v>
      </c>
    </row>
    <row r="437">
      <c r="A437" s="40">
        <f t="array" ref="A437">IFNA(index(PlayerValues!A:A,match(IFNA(vlookup(B437,'Special Names'!A:B,2,FALSE),B437),PlayerValues!E:E,0)),"N/A")</f>
        <v>16957</v>
      </c>
      <c r="B437" s="4" t="s">
        <v>806</v>
      </c>
      <c r="C437" s="4" t="s">
        <v>278</v>
      </c>
      <c r="D437" s="94">
        <v>992.0</v>
      </c>
    </row>
    <row r="438">
      <c r="A438" s="40">
        <f t="array" ref="A438">IFNA(index(PlayerValues!A:A,match(IFNA(vlookup(B438,'Special Names'!A:B,2,FALSE),B438),PlayerValues!E:E,0)),"N/A")</f>
        <v>17467</v>
      </c>
      <c r="B438" s="4" t="s">
        <v>575</v>
      </c>
      <c r="C438" s="4" t="s">
        <v>283</v>
      </c>
      <c r="D438" s="94">
        <v>992.0</v>
      </c>
    </row>
    <row r="439">
      <c r="A439" s="40">
        <f t="array" ref="A439">IFNA(index(PlayerValues!A:A,match(IFNA(vlookup(B439,'Special Names'!A:B,2,FALSE),B439),PlayerValues!E:E,0)),"N/A")</f>
        <v>16168</v>
      </c>
      <c r="B439" s="4" t="s">
        <v>738</v>
      </c>
      <c r="C439" s="4" t="s">
        <v>278</v>
      </c>
      <c r="D439" s="94">
        <v>988.0</v>
      </c>
    </row>
    <row r="440">
      <c r="A440" s="40">
        <f t="array" ref="A440">IFNA(index(PlayerValues!A:A,match(IFNA(vlookup(B440,'Special Names'!A:B,2,FALSE),B440),PlayerValues!E:E,0)),"N/A")</f>
        <v>9064</v>
      </c>
      <c r="B440" s="4" t="s">
        <v>761</v>
      </c>
      <c r="C440" s="4" t="s">
        <v>283</v>
      </c>
      <c r="D440" s="94">
        <v>984.0</v>
      </c>
    </row>
    <row r="441">
      <c r="A441" s="40">
        <f t="array" ref="A441">IFNA(index(PlayerValues!A:A,match(IFNA(vlookup(B441,'Special Names'!A:B,2,FALSE),B441),PlayerValues!E:E,0)),"N/A")</f>
        <v>14067</v>
      </c>
      <c r="B441" s="4" t="s">
        <v>735</v>
      </c>
      <c r="C441" s="4" t="s">
        <v>283</v>
      </c>
      <c r="D441" s="94">
        <v>983.0</v>
      </c>
    </row>
    <row r="442">
      <c r="A442" s="40">
        <f t="array" ref="A442">IFNA(index(PlayerValues!A:A,match(IFNA(vlookup(B442,'Special Names'!A:B,2,FALSE),B442),PlayerValues!E:E,0)),"N/A")</f>
        <v>15330</v>
      </c>
      <c r="B442" s="4" t="s">
        <v>749</v>
      </c>
      <c r="C442" s="4" t="s">
        <v>298</v>
      </c>
      <c r="D442" s="94">
        <v>1341.0</v>
      </c>
    </row>
    <row r="443">
      <c r="A443" s="40">
        <f t="array" ref="A443">IFNA(index(PlayerValues!A:A,match(IFNA(vlookup(B443,'Special Names'!A:B,2,FALSE),B443),PlayerValues!E:E,0)),"N/A")</f>
        <v>16858</v>
      </c>
      <c r="B443" s="4" t="s">
        <v>754</v>
      </c>
      <c r="C443" s="4" t="s">
        <v>287</v>
      </c>
      <c r="D443" s="94">
        <v>973.0</v>
      </c>
    </row>
    <row r="444">
      <c r="A444" s="40">
        <f t="array" ref="A444">IFNA(index(PlayerValues!A:A,match(IFNA(vlookup(B444,'Special Names'!A:B,2,FALSE),B444),PlayerValues!E:E,0)),"N/A")</f>
        <v>13143</v>
      </c>
      <c r="B444" s="4" t="s">
        <v>786</v>
      </c>
      <c r="C444" s="4" t="s">
        <v>278</v>
      </c>
      <c r="D444" s="94">
        <v>968.0</v>
      </c>
    </row>
    <row r="445">
      <c r="A445" s="40">
        <f t="array" ref="A445">IFNA(index(PlayerValues!A:A,match(IFNA(vlookup(B445,'Special Names'!A:B,2,FALSE),B445),PlayerValues!E:E,0)),"N/A")</f>
        <v>14057</v>
      </c>
      <c r="B445" s="4" t="s">
        <v>765</v>
      </c>
      <c r="C445" s="4" t="s">
        <v>283</v>
      </c>
      <c r="D445" s="94">
        <v>954.0</v>
      </c>
    </row>
    <row r="446">
      <c r="A446" s="40">
        <f t="array" ref="A446">IFNA(index(PlayerValues!A:A,match(IFNA(vlookup(B446,'Special Names'!A:B,2,FALSE),B446),PlayerValues!E:E,0)),"N/A")</f>
        <v>16773</v>
      </c>
      <c r="B446" s="4" t="s">
        <v>783</v>
      </c>
      <c r="C446" s="4" t="s">
        <v>278</v>
      </c>
      <c r="D446" s="94">
        <v>954.0</v>
      </c>
    </row>
    <row r="447">
      <c r="A447" s="40">
        <f t="array" ref="A447">IFNA(index(PlayerValues!A:A,match(IFNA(vlookup(B447,'Special Names'!A:B,2,FALSE),B447),PlayerValues!E:E,0)),"N/A")</f>
        <v>16624</v>
      </c>
      <c r="B447" s="4" t="s">
        <v>796</v>
      </c>
      <c r="C447" s="4" t="s">
        <v>287</v>
      </c>
      <c r="D447" s="94">
        <v>950.0</v>
      </c>
    </row>
    <row r="448">
      <c r="A448" s="40">
        <f t="array" ref="A448">IFNA(index(PlayerValues!A:A,match(IFNA(vlookup(B448,'Special Names'!A:B,2,FALSE),B448),PlayerValues!E:E,0)),"N/A")</f>
        <v>16205</v>
      </c>
      <c r="B448" s="4" t="s">
        <v>742</v>
      </c>
      <c r="C448" s="4" t="s">
        <v>287</v>
      </c>
      <c r="D448" s="94">
        <v>942.0</v>
      </c>
    </row>
    <row r="449">
      <c r="A449" s="40">
        <f t="array" ref="A449">IFNA(index(PlayerValues!A:A,match(IFNA(vlookup(B449,'Special Names'!A:B,2,FALSE),B449),PlayerValues!E:E,0)),"N/A")</f>
        <v>13595</v>
      </c>
      <c r="B449" s="4" t="s">
        <v>818</v>
      </c>
      <c r="C449" s="4" t="s">
        <v>283</v>
      </c>
      <c r="D449" s="94">
        <v>938.0</v>
      </c>
    </row>
    <row r="450">
      <c r="A450" s="40">
        <f t="array" ref="A450">IFNA(index(PlayerValues!A:A,match(IFNA(vlookup(B450,'Special Names'!A:B,2,FALSE),B450),PlayerValues!E:E,0)),"N/A")</f>
        <v>15766</v>
      </c>
      <c r="B450" s="4" t="s">
        <v>759</v>
      </c>
      <c r="C450" s="4" t="s">
        <v>287</v>
      </c>
      <c r="D450" s="94">
        <v>938.0</v>
      </c>
    </row>
    <row r="451">
      <c r="A451" s="40">
        <f t="array" ref="A451">IFNA(index(PlayerValues!A:A,match(IFNA(vlookup(B451,'Special Names'!A:B,2,FALSE),B451),PlayerValues!E:E,0)),"N/A")</f>
        <v>13156</v>
      </c>
      <c r="B451" s="4" t="s">
        <v>835</v>
      </c>
      <c r="C451" s="4" t="s">
        <v>287</v>
      </c>
      <c r="D451" s="94">
        <v>933.0</v>
      </c>
    </row>
    <row r="452">
      <c r="A452" s="40">
        <f t="array" ref="A452">IFNA(index(PlayerValues!A:A,match(IFNA(vlookup(B452,'Special Names'!A:B,2,FALSE),B452),PlayerValues!E:E,0)),"N/A")</f>
        <v>15109</v>
      </c>
      <c r="B452" s="4" t="s">
        <v>728</v>
      </c>
      <c r="C452" s="4" t="s">
        <v>287</v>
      </c>
      <c r="D452" s="94">
        <v>933.0</v>
      </c>
    </row>
    <row r="453">
      <c r="A453" s="40">
        <f t="array" ref="A453">IFNA(index(PlayerValues!A:A,match(IFNA(vlookup(B453,'Special Names'!A:B,2,FALSE),B453),PlayerValues!E:E,0)),"N/A")</f>
        <v>13133</v>
      </c>
      <c r="B453" s="4" t="s">
        <v>764</v>
      </c>
      <c r="C453" s="4" t="s">
        <v>278</v>
      </c>
      <c r="D453" s="94">
        <v>932.0</v>
      </c>
    </row>
    <row r="454">
      <c r="A454" s="40">
        <f t="array" ref="A454">IFNA(index(PlayerValues!A:A,match(IFNA(vlookup(B454,'Special Names'!A:B,2,FALSE),B454),PlayerValues!E:E,0)),"N/A")</f>
        <v>16176</v>
      </c>
      <c r="B454" s="4" t="s">
        <v>812</v>
      </c>
      <c r="C454" s="4" t="s">
        <v>278</v>
      </c>
      <c r="D454" s="94">
        <v>919.0</v>
      </c>
    </row>
    <row r="455">
      <c r="A455" s="40">
        <f t="array" ref="A455">IFNA(index(PlayerValues!A:A,match(IFNA(vlookup(B455,'Special Names'!A:B,2,FALSE),B455),PlayerValues!E:E,0)),"N/A")</f>
        <v>11247</v>
      </c>
      <c r="B455" s="4" t="s">
        <v>816</v>
      </c>
      <c r="C455" s="4" t="s">
        <v>298</v>
      </c>
      <c r="D455" s="94">
        <v>1286.0</v>
      </c>
    </row>
    <row r="456">
      <c r="A456" s="40">
        <f t="array" ref="A456">IFNA(index(PlayerValues!A:A,match(IFNA(vlookup(B456,'Special Names'!A:B,2,FALSE),B456),PlayerValues!E:E,0)),"N/A")</f>
        <v>14852</v>
      </c>
      <c r="B456" s="4" t="s">
        <v>837</v>
      </c>
      <c r="C456" s="4" t="s">
        <v>278</v>
      </c>
      <c r="D456" s="94">
        <v>915.0</v>
      </c>
    </row>
    <row r="457">
      <c r="A457" s="40">
        <f t="array" ref="A457">IFNA(index(PlayerValues!A:A,match(IFNA(vlookup(B457,'Special Names'!A:B,2,FALSE),B457),PlayerValues!E:E,0)),"N/A")</f>
        <v>14079</v>
      </c>
      <c r="B457" s="4" t="s">
        <v>830</v>
      </c>
      <c r="C457" s="4" t="s">
        <v>278</v>
      </c>
      <c r="D457" s="94">
        <v>913.0</v>
      </c>
    </row>
    <row r="458">
      <c r="A458" s="40">
        <f t="array" ref="A458">IFNA(index(PlayerValues!A:A,match(IFNA(vlookup(B458,'Special Names'!A:B,2,FALSE),B458),PlayerValues!E:E,0)),"N/A")</f>
        <v>16608</v>
      </c>
      <c r="B458" s="4" t="s">
        <v>629</v>
      </c>
      <c r="C458" s="4" t="s">
        <v>278</v>
      </c>
      <c r="D458" s="94">
        <v>912.0</v>
      </c>
    </row>
    <row r="459">
      <c r="A459" s="40">
        <f t="array" ref="A459">IFNA(index(PlayerValues!A:A,match(IFNA(vlookup(B459,'Special Names'!A:B,2,FALSE),B459),PlayerValues!E:E,0)),"N/A")</f>
        <v>13763</v>
      </c>
      <c r="B459" s="4" t="s">
        <v>831</v>
      </c>
      <c r="C459" s="4" t="s">
        <v>298</v>
      </c>
      <c r="D459" s="94">
        <v>1282.0</v>
      </c>
    </row>
    <row r="460">
      <c r="A460" s="40">
        <f t="array" ref="A460">IFNA(index(PlayerValues!A:A,match(IFNA(vlookup(B460,'Special Names'!A:B,2,FALSE),B460),PlayerValues!E:E,0)),"N/A")</f>
        <v>15283</v>
      </c>
      <c r="B460" s="4" t="s">
        <v>844</v>
      </c>
      <c r="C460" s="4" t="s">
        <v>287</v>
      </c>
      <c r="D460" s="94">
        <v>911.0</v>
      </c>
    </row>
    <row r="461">
      <c r="A461" s="40">
        <f t="array" ref="A461">IFNA(index(PlayerValues!A:A,match(IFNA(vlookup(B461,'Special Names'!A:B,2,FALSE),B461),PlayerValues!E:E,0)),"N/A")</f>
        <v>17337</v>
      </c>
      <c r="B461" s="4" t="s">
        <v>793</v>
      </c>
      <c r="C461" s="4" t="s">
        <v>278</v>
      </c>
      <c r="D461" s="94">
        <v>910.0</v>
      </c>
    </row>
    <row r="462">
      <c r="A462" s="40">
        <f t="array" ref="A462">IFNA(index(PlayerValues!A:A,match(IFNA(vlookup(B462,'Special Names'!A:B,2,FALSE),B462),PlayerValues!E:E,0)),"N/A")</f>
        <v>14864</v>
      </c>
      <c r="B462" s="4" t="s">
        <v>789</v>
      </c>
      <c r="C462" s="4" t="s">
        <v>287</v>
      </c>
      <c r="D462" s="94">
        <v>908.0</v>
      </c>
    </row>
    <row r="463">
      <c r="A463" s="40">
        <f t="array" ref="A463">IFNA(index(PlayerValues!A:A,match(IFNA(vlookup(B463,'Special Names'!A:B,2,FALSE),B463),PlayerValues!E:E,0)),"N/A")</f>
        <v>12785</v>
      </c>
      <c r="B463" s="4" t="s">
        <v>772</v>
      </c>
      <c r="C463" s="4" t="s">
        <v>287</v>
      </c>
      <c r="D463" s="94">
        <v>907.0</v>
      </c>
    </row>
    <row r="464">
      <c r="A464" s="40">
        <f t="array" ref="A464">IFNA(index(PlayerValues!A:A,match(IFNA(vlookup(B464,'Special Names'!A:B,2,FALSE),B464),PlayerValues!E:E,0)),"N/A")</f>
        <v>15723</v>
      </c>
      <c r="B464" s="4" t="s">
        <v>798</v>
      </c>
      <c r="C464" s="4" t="s">
        <v>278</v>
      </c>
      <c r="D464" s="94">
        <v>895.0</v>
      </c>
    </row>
    <row r="465">
      <c r="A465" s="40">
        <f t="array" ref="A465">IFNA(index(PlayerValues!A:A,match(IFNA(vlookup(B465,'Special Names'!A:B,2,FALSE),B465),PlayerValues!E:E,0)),"N/A")</f>
        <v>13157</v>
      </c>
      <c r="B465" s="4" t="s">
        <v>836</v>
      </c>
      <c r="C465" s="4" t="s">
        <v>287</v>
      </c>
      <c r="D465" s="94">
        <v>892.0</v>
      </c>
    </row>
    <row r="466">
      <c r="A466" s="40">
        <f t="array" ref="A466">IFNA(index(PlayerValues!A:A,match(IFNA(vlookup(B466,'Special Names'!A:B,2,FALSE),B466),PlayerValues!E:E,0)),"N/A")</f>
        <v>16599</v>
      </c>
      <c r="B466" s="4" t="s">
        <v>737</v>
      </c>
      <c r="C466" s="4" t="s">
        <v>278</v>
      </c>
      <c r="D466" s="94">
        <v>888.0</v>
      </c>
    </row>
    <row r="467">
      <c r="A467" s="40">
        <f t="array" ref="A467">IFNA(index(PlayerValues!A:A,match(IFNA(vlookup(B467,'Special Names'!A:B,2,FALSE),B467),PlayerValues!E:E,0)),"N/A")</f>
        <v>11232</v>
      </c>
      <c r="B467" s="4" t="s">
        <v>826</v>
      </c>
      <c r="C467" s="4" t="s">
        <v>287</v>
      </c>
      <c r="D467" s="94">
        <v>884.0</v>
      </c>
    </row>
    <row r="468">
      <c r="A468" s="40">
        <f t="array" ref="A468">IFNA(index(PlayerValues!A:A,match(IFNA(vlookup(B468,'Special Names'!A:B,2,FALSE),B468),PlayerValues!E:E,0)),"N/A")</f>
        <v>15796</v>
      </c>
      <c r="B468" s="4" t="s">
        <v>794</v>
      </c>
      <c r="C468" s="4" t="s">
        <v>298</v>
      </c>
      <c r="D468" s="94">
        <v>1251.0</v>
      </c>
    </row>
    <row r="469">
      <c r="A469" s="40">
        <f t="array" ref="A469">IFNA(index(PlayerValues!A:A,match(IFNA(vlookup(B469,'Special Names'!A:B,2,FALSE),B469),PlayerValues!E:E,0)),"N/A")</f>
        <v>15263</v>
      </c>
      <c r="B469" s="4" t="s">
        <v>804</v>
      </c>
      <c r="C469" s="4" t="s">
        <v>278</v>
      </c>
      <c r="D469" s="94">
        <v>872.0</v>
      </c>
    </row>
    <row r="470">
      <c r="A470" s="40">
        <f t="array" ref="A470">IFNA(index(PlayerValues!A:A,match(IFNA(vlookup(B470,'Special Names'!A:B,2,FALSE),B470),PlayerValues!E:E,0)),"N/A")</f>
        <v>16416</v>
      </c>
      <c r="B470" s="4" t="s">
        <v>752</v>
      </c>
      <c r="C470" s="4" t="s">
        <v>287</v>
      </c>
      <c r="D470" s="94">
        <v>864.0</v>
      </c>
    </row>
    <row r="471">
      <c r="A471" s="40">
        <f t="array" ref="A471">IFNA(index(PlayerValues!A:A,match(IFNA(vlookup(B471,'Special Names'!A:B,2,FALSE),B471),PlayerValues!E:E,0)),"N/A")</f>
        <v>14799</v>
      </c>
      <c r="B471" s="4" t="s">
        <v>829</v>
      </c>
      <c r="C471" s="4" t="s">
        <v>278</v>
      </c>
      <c r="D471" s="94">
        <v>861.0</v>
      </c>
    </row>
    <row r="472">
      <c r="A472" s="40">
        <f t="array" ref="A472">IFNA(index(PlayerValues!A:A,match(IFNA(vlookup(B472,'Special Names'!A:B,2,FALSE),B472),PlayerValues!E:E,0)),"N/A")</f>
        <v>16686</v>
      </c>
      <c r="B472" s="4" t="s">
        <v>805</v>
      </c>
      <c r="C472" s="4" t="s">
        <v>287</v>
      </c>
      <c r="D472" s="94">
        <v>859.0</v>
      </c>
    </row>
    <row r="473">
      <c r="A473" s="40">
        <f t="array" ref="A473">IFNA(index(PlayerValues!A:A,match(IFNA(vlookup(B473,'Special Names'!A:B,2,FALSE),B473),PlayerValues!E:E,0)),"N/A")</f>
        <v>16625</v>
      </c>
      <c r="B473" s="4" t="s">
        <v>778</v>
      </c>
      <c r="C473" s="4" t="s">
        <v>287</v>
      </c>
      <c r="D473" s="94">
        <v>857.0</v>
      </c>
    </row>
    <row r="474">
      <c r="A474" s="40">
        <f t="array" ref="A474">IFNA(index(PlayerValues!A:A,match(IFNA(vlookup(B474,'Special Names'!A:B,2,FALSE),B474),PlayerValues!E:E,0)),"N/A")</f>
        <v>13172</v>
      </c>
      <c r="B474" s="4" t="s">
        <v>840</v>
      </c>
      <c r="C474" s="4" t="s">
        <v>287</v>
      </c>
      <c r="D474" s="94">
        <v>854.0</v>
      </c>
    </row>
    <row r="475">
      <c r="A475" s="40">
        <f t="array" ref="A475">IFNA(index(PlayerValues!A:A,match(IFNA(vlookup(B475,'Special Names'!A:B,2,FALSE),B475),PlayerValues!E:E,0)),"N/A")</f>
        <v>15795</v>
      </c>
      <c r="B475" s="4" t="s">
        <v>669</v>
      </c>
      <c r="C475" s="4" t="s">
        <v>298</v>
      </c>
      <c r="D475" s="94">
        <v>1225.0</v>
      </c>
    </row>
    <row r="476">
      <c r="A476" s="40">
        <f t="array" ref="A476">IFNA(index(PlayerValues!A:A,match(IFNA(vlookup(B476,'Special Names'!A:B,2,FALSE),B476),PlayerValues!E:E,0)),"N/A")</f>
        <v>15714</v>
      </c>
      <c r="B476" s="4" t="s">
        <v>775</v>
      </c>
      <c r="C476" s="4" t="s">
        <v>278</v>
      </c>
      <c r="D476" s="94">
        <v>850.0</v>
      </c>
    </row>
    <row r="477">
      <c r="A477" s="40">
        <f t="array" ref="A477">IFNA(index(PlayerValues!A:A,match(IFNA(vlookup(B477,'Special Names'!A:B,2,FALSE),B477),PlayerValues!E:E,0)),"N/A")</f>
        <v>16751</v>
      </c>
      <c r="B477" s="4" t="s">
        <v>762</v>
      </c>
      <c r="C477" s="4" t="s">
        <v>287</v>
      </c>
      <c r="D477" s="94">
        <v>850.0</v>
      </c>
    </row>
    <row r="478">
      <c r="A478" s="40">
        <f t="array" ref="A478">IFNA(index(PlayerValues!A:A,match(IFNA(vlookup(B478,'Special Names'!A:B,2,FALSE),B478),PlayerValues!E:E,0)),"N/A")</f>
        <v>15271</v>
      </c>
      <c r="B478" s="4" t="s">
        <v>741</v>
      </c>
      <c r="C478" s="4" t="s">
        <v>278</v>
      </c>
      <c r="D478" s="94">
        <v>843.0</v>
      </c>
    </row>
    <row r="479">
      <c r="A479" s="40">
        <f t="array" ref="A479">IFNA(index(PlayerValues!A:A,match(IFNA(vlookup(B479,'Special Names'!A:B,2,FALSE),B479),PlayerValues!E:E,0)),"N/A")</f>
        <v>17488</v>
      </c>
      <c r="B479" s="4" t="s">
        <v>845</v>
      </c>
      <c r="C479" s="4" t="s">
        <v>278</v>
      </c>
      <c r="D479" s="94">
        <v>838.0</v>
      </c>
    </row>
    <row r="480">
      <c r="A480" s="40">
        <f t="array" ref="A480">IFNA(index(PlayerValues!A:A,match(IFNA(vlookup(B480,'Special Names'!A:B,2,FALSE),B480),PlayerValues!E:E,0)),"N/A")</f>
        <v>16623</v>
      </c>
      <c r="B480" s="4" t="s">
        <v>803</v>
      </c>
      <c r="C480" s="4" t="s">
        <v>287</v>
      </c>
      <c r="D480" s="94">
        <v>835.0</v>
      </c>
    </row>
    <row r="481">
      <c r="A481" s="40">
        <f t="array" ref="A481">IFNA(index(PlayerValues!A:A,match(IFNA(vlookup(B481,'Special Names'!A:B,2,FALSE),B481),PlayerValues!E:E,0)),"N/A")</f>
        <v>15804</v>
      </c>
      <c r="B481" s="4" t="s">
        <v>821</v>
      </c>
      <c r="C481" s="4" t="s">
        <v>298</v>
      </c>
      <c r="D481" s="94">
        <v>1206.0</v>
      </c>
    </row>
    <row r="482">
      <c r="A482" s="40">
        <f t="array" ref="A482">IFNA(index(PlayerValues!A:A,match(IFNA(vlookup(B482,'Special Names'!A:B,2,FALSE),B482),PlayerValues!E:E,0)),"N/A")</f>
        <v>10413</v>
      </c>
      <c r="B482" s="4" t="s">
        <v>811</v>
      </c>
      <c r="C482" s="4" t="s">
        <v>283</v>
      </c>
      <c r="D482" s="94">
        <v>823.0</v>
      </c>
    </row>
    <row r="483">
      <c r="A483" s="40">
        <f t="array" ref="A483">IFNA(index(PlayerValues!A:A,match(IFNA(vlookup(B483,'Special Names'!A:B,2,FALSE),B483),PlayerValues!E:E,0)),"N/A")</f>
        <v>14358</v>
      </c>
      <c r="B483" s="4" t="s">
        <v>813</v>
      </c>
      <c r="C483" s="4" t="s">
        <v>283</v>
      </c>
      <c r="D483" s="94">
        <v>821.0</v>
      </c>
    </row>
    <row r="484">
      <c r="A484" s="40">
        <f t="array" ref="A484">IFNA(index(PlayerValues!A:A,match(IFNA(vlookup(B484,'Special Names'!A:B,2,FALSE),B484),PlayerValues!E:E,0)),"N/A")</f>
        <v>14805</v>
      </c>
      <c r="B484" s="4" t="s">
        <v>770</v>
      </c>
      <c r="C484" s="4" t="s">
        <v>278</v>
      </c>
      <c r="D484" s="94">
        <v>807.0</v>
      </c>
    </row>
    <row r="485">
      <c r="A485" s="40">
        <f t="array" ref="A485">IFNA(index(PlayerValues!A:A,match(IFNA(vlookup(B485,'Special Names'!A:B,2,FALSE),B485),PlayerValues!E:E,0)),"N/A")</f>
        <v>14209</v>
      </c>
      <c r="B485" s="4" t="s">
        <v>809</v>
      </c>
      <c r="C485" s="4" t="s">
        <v>298</v>
      </c>
      <c r="D485" s="94">
        <v>1177.0</v>
      </c>
    </row>
    <row r="486">
      <c r="A486" s="40">
        <f t="array" ref="A486">IFNA(index(PlayerValues!A:A,match(IFNA(vlookup(B486,'Special Names'!A:B,2,FALSE),B486),PlayerValues!E:E,0)),"N/A")</f>
        <v>16606</v>
      </c>
      <c r="B486" s="4" t="s">
        <v>743</v>
      </c>
      <c r="C486" s="4" t="s">
        <v>278</v>
      </c>
      <c r="D486" s="94">
        <v>795.0</v>
      </c>
    </row>
    <row r="487">
      <c r="A487" s="40">
        <f t="array" ref="A487">IFNA(index(PlayerValues!A:A,match(IFNA(vlookup(B487,'Special Names'!A:B,2,FALSE),B487),PlayerValues!E:E,0)),"N/A")</f>
        <v>15285</v>
      </c>
      <c r="B487" s="4" t="s">
        <v>792</v>
      </c>
      <c r="C487" s="4" t="s">
        <v>287</v>
      </c>
      <c r="D487" s="94">
        <v>794.0</v>
      </c>
    </row>
    <row r="488">
      <c r="A488" s="40">
        <f t="array" ref="A488">IFNA(index(PlayerValues!A:A,match(IFNA(vlookup(B488,'Special Names'!A:B,2,FALSE),B488),PlayerValues!E:E,0)),"N/A")</f>
        <v>17282</v>
      </c>
      <c r="B488" s="4" t="s">
        <v>833</v>
      </c>
      <c r="C488" s="4" t="s">
        <v>283</v>
      </c>
      <c r="D488" s="94">
        <v>781.0</v>
      </c>
    </row>
    <row r="489">
      <c r="A489" s="40">
        <f t="array" ref="A489">IFNA(index(PlayerValues!A:A,match(IFNA(vlookup(B489,'Special Names'!A:B,2,FALSE),B489),PlayerValues!E:E,0)),"N/A")</f>
        <v>15965</v>
      </c>
      <c r="B489" s="4" t="s">
        <v>791</v>
      </c>
      <c r="C489" s="4" t="s">
        <v>278</v>
      </c>
      <c r="D489" s="94">
        <v>780.0</v>
      </c>
    </row>
    <row r="490">
      <c r="A490" s="40">
        <f t="array" ref="A490">IFNA(index(PlayerValues!A:A,match(IFNA(vlookup(B490,'Special Names'!A:B,2,FALSE),B490),PlayerValues!E:E,0)),"N/A")</f>
        <v>16413</v>
      </c>
      <c r="B490" s="4" t="s">
        <v>781</v>
      </c>
      <c r="C490" s="4" t="s">
        <v>287</v>
      </c>
      <c r="D490" s="94">
        <v>778.0</v>
      </c>
    </row>
    <row r="491">
      <c r="A491" s="40">
        <f t="array" ref="A491">IFNA(index(PlayerValues!A:A,match(IFNA(vlookup(B491,'Special Names'!A:B,2,FALSE),B491),PlayerValues!E:E,0)),"N/A")</f>
        <v>12658</v>
      </c>
      <c r="B491" s="4" t="s">
        <v>823</v>
      </c>
      <c r="C491" s="4" t="s">
        <v>287</v>
      </c>
      <c r="D491" s="94">
        <v>773.0</v>
      </c>
    </row>
    <row r="492">
      <c r="A492" s="40">
        <f t="array" ref="A492">IFNA(index(PlayerValues!A:A,match(IFNA(vlookup(B492,'Special Names'!A:B,2,FALSE),B492),PlayerValues!E:E,0)),"N/A")</f>
        <v>16678</v>
      </c>
      <c r="B492" s="4" t="s">
        <v>758</v>
      </c>
      <c r="C492" s="4" t="s">
        <v>278</v>
      </c>
      <c r="D492" s="94">
        <v>769.0</v>
      </c>
    </row>
    <row r="493">
      <c r="A493" s="40">
        <f t="array" ref="A493">IFNA(index(PlayerValues!A:A,match(IFNA(vlookup(B493,'Special Names'!A:B,2,FALSE),B493),PlayerValues!E:E,0)),"N/A")</f>
        <v>16632</v>
      </c>
      <c r="B493" s="4" t="s">
        <v>842</v>
      </c>
      <c r="C493" s="4" t="s">
        <v>287</v>
      </c>
      <c r="D493" s="94">
        <v>764.0</v>
      </c>
    </row>
    <row r="494">
      <c r="A494" s="40">
        <f t="array" ref="A494">IFNA(index(PlayerValues!A:A,match(IFNA(vlookup(B494,'Special Names'!A:B,2,FALSE),B494),PlayerValues!E:E,0)),"N/A")</f>
        <v>14223</v>
      </c>
      <c r="B494" s="4" t="s">
        <v>785</v>
      </c>
      <c r="C494" s="4" t="s">
        <v>278</v>
      </c>
      <c r="D494" s="94">
        <v>760.0</v>
      </c>
    </row>
    <row r="495">
      <c r="A495" s="40">
        <f t="array" ref="A495">IFNA(index(PlayerValues!A:A,match(IFNA(vlookup(B495,'Special Names'!A:B,2,FALSE),B495),PlayerValues!E:E,0)),"N/A")</f>
        <v>13176</v>
      </c>
      <c r="B495" s="4" t="s">
        <v>807</v>
      </c>
      <c r="C495" s="4" t="s">
        <v>287</v>
      </c>
      <c r="D495" s="94">
        <v>759.0</v>
      </c>
    </row>
    <row r="496">
      <c r="A496" s="40">
        <f t="array" ref="A496">IFNA(index(PlayerValues!A:A,match(IFNA(vlookup(B496,'Special Names'!A:B,2,FALSE),B496),PlayerValues!E:E,0)),"N/A")</f>
        <v>13424</v>
      </c>
      <c r="B496" s="4" t="s">
        <v>846</v>
      </c>
      <c r="C496" s="4" t="s">
        <v>298</v>
      </c>
      <c r="D496" s="94">
        <v>1106.0</v>
      </c>
    </row>
    <row r="497">
      <c r="A497" s="40">
        <f t="array" ref="A497">IFNA(index(PlayerValues!A:A,match(IFNA(vlookup(B497,'Special Names'!A:B,2,FALSE),B497),PlayerValues!E:E,0)),"N/A")</f>
        <v>17232</v>
      </c>
      <c r="B497" s="4" t="s">
        <v>784</v>
      </c>
      <c r="C497" s="4" t="s">
        <v>287</v>
      </c>
      <c r="D497" s="94">
        <v>731.0</v>
      </c>
    </row>
    <row r="498">
      <c r="A498" s="40">
        <f t="array" ref="A498">IFNA(index(PlayerValues!A:A,match(IFNA(vlookup(B498,'Special Names'!A:B,2,FALSE),B498),PlayerValues!E:E,0)),"N/A")</f>
        <v>14858</v>
      </c>
      <c r="B498" s="4" t="s">
        <v>799</v>
      </c>
      <c r="C498" s="4" t="s">
        <v>287</v>
      </c>
      <c r="D498" s="94">
        <v>721.0</v>
      </c>
    </row>
    <row r="499">
      <c r="A499" s="40">
        <f t="array" ref="A499">IFNA(index(PlayerValues!A:A,match(IFNA(vlookup(B499,'Special Names'!A:B,2,FALSE),B499),PlayerValues!E:E,0)),"N/A")</f>
        <v>13377</v>
      </c>
      <c r="B499" s="4" t="s">
        <v>847</v>
      </c>
      <c r="C499" s="4" t="s">
        <v>287</v>
      </c>
      <c r="D499" s="94">
        <v>720.0</v>
      </c>
    </row>
    <row r="500">
      <c r="A500" s="40">
        <f t="array" ref="A500">IFNA(index(PlayerValues!A:A,match(IFNA(vlookup(B500,'Special Names'!A:B,2,FALSE),B500),PlayerValues!E:E,0)),"N/A")</f>
        <v>16170</v>
      </c>
      <c r="B500" s="4" t="s">
        <v>801</v>
      </c>
      <c r="C500" s="4" t="s">
        <v>278</v>
      </c>
      <c r="D500" s="94">
        <v>719.0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9999.0</v>
      </c>
    </row>
    <row r="502">
      <c r="A502" s="40">
        <f t="array" ref="A502">IFNA(index(PlayerValues!A:A,match(IFNA(vlookup(B502,'Special Names'!A:B,2,FALSE),B502),PlayerValues!E:E,0)),"N/A")</f>
        <v>16161</v>
      </c>
      <c r="B502" s="4" t="s">
        <v>277</v>
      </c>
      <c r="C502" s="4" t="s">
        <v>278</v>
      </c>
      <c r="D502" s="94">
        <v>9994.0</v>
      </c>
    </row>
    <row r="503">
      <c r="A503" s="40">
        <f t="array" ref="A503">IFNA(index(PlayerValues!A:A,match(IFNA(vlookup(B503,'Special Names'!A:B,2,FALSE),B503),PlayerValues!E:E,0)),"N/A")</f>
        <v>15281</v>
      </c>
      <c r="B503" s="4" t="s">
        <v>286</v>
      </c>
      <c r="C503" s="4" t="s">
        <v>287</v>
      </c>
      <c r="D503" s="94">
        <v>9953.0</v>
      </c>
    </row>
    <row r="504">
      <c r="A504" s="40">
        <f t="array" ref="A504">IFNA(index(PlayerValues!A:A,match(IFNA(vlookup(B504,'Special Names'!A:B,2,FALSE),B504),PlayerValues!E:E,0)),"N/A")</f>
        <v>16185</v>
      </c>
      <c r="B504" s="4" t="s">
        <v>290</v>
      </c>
      <c r="C504" s="4" t="s">
        <v>287</v>
      </c>
      <c r="D504" s="94">
        <v>9888.0</v>
      </c>
    </row>
    <row r="505">
      <c r="A505" s="40">
        <f t="array" ref="A505">IFNA(index(PlayerValues!A:A,match(IFNA(vlookup(B505,'Special Names'!A:B,2,FALSE),B505),PlayerValues!E:E,0)),"N/A")</f>
        <v>16580</v>
      </c>
      <c r="B505" s="4" t="s">
        <v>291</v>
      </c>
      <c r="C505" s="4" t="s">
        <v>283</v>
      </c>
      <c r="D505" s="94">
        <v>9607.0</v>
      </c>
    </row>
    <row r="506">
      <c r="A506" s="40">
        <f t="array" ref="A506">IFNA(index(PlayerValues!A:A,match(IFNA(vlookup(B506,'Special Names'!A:B,2,FALSE),B506),PlayerValues!E:E,0)),"N/A")</f>
        <v>16211</v>
      </c>
      <c r="B506" s="4" t="s">
        <v>294</v>
      </c>
      <c r="C506" s="4" t="s">
        <v>287</v>
      </c>
      <c r="D506" s="94">
        <v>9507.0</v>
      </c>
    </row>
    <row r="507">
      <c r="A507" s="40">
        <f t="array" ref="A507">IFNA(index(PlayerValues!A:A,match(IFNA(vlookup(B507,'Special Names'!A:B,2,FALSE),B507),PlayerValues!E:E,0)),"N/A")</f>
        <v>16162</v>
      </c>
      <c r="B507" s="4" t="s">
        <v>281</v>
      </c>
      <c r="C507" s="4" t="s">
        <v>278</v>
      </c>
      <c r="D507" s="94">
        <v>9414.0</v>
      </c>
    </row>
    <row r="508">
      <c r="A508" s="40">
        <f t="array" ref="A508">IFNA(index(PlayerValues!A:A,match(IFNA(vlookup(B508,'Special Names'!A:B,2,FALSE),B508),PlayerValues!E:E,0)),"N/A")</f>
        <v>16615</v>
      </c>
      <c r="B508" s="4" t="s">
        <v>309</v>
      </c>
      <c r="C508" s="4" t="s">
        <v>287</v>
      </c>
      <c r="D508" s="94">
        <v>7733.0</v>
      </c>
    </row>
    <row r="509">
      <c r="A509" s="40">
        <f t="array" ref="A509">IFNA(index(PlayerValues!A:A,match(IFNA(vlookup(B509,'Special Names'!A:B,2,FALSE),B509),PlayerValues!E:E,0)),"N/A")</f>
        <v>15287</v>
      </c>
      <c r="B509" s="4" t="s">
        <v>299</v>
      </c>
      <c r="C509" s="4" t="s">
        <v>287</v>
      </c>
      <c r="D509" s="94">
        <v>7681.0</v>
      </c>
    </row>
    <row r="510">
      <c r="A510" s="40">
        <f t="array" ref="A510">IFNA(index(PlayerValues!A:A,match(IFNA(vlookup(B510,'Special Names'!A:B,2,FALSE),B510),PlayerValues!E:E,0)),"N/A")</f>
        <v>15794</v>
      </c>
      <c r="B510" s="4" t="s">
        <v>313</v>
      </c>
      <c r="C510" s="4" t="s">
        <v>298</v>
      </c>
      <c r="D510" s="94">
        <v>8496.0</v>
      </c>
    </row>
    <row r="511">
      <c r="A511" s="40">
        <f t="array" ref="A511">IFNA(index(PlayerValues!A:A,match(IFNA(vlookup(B511,'Special Names'!A:B,2,FALSE),B511),PlayerValues!E:E,0)),"N/A")</f>
        <v>16579</v>
      </c>
      <c r="B511" s="4" t="s">
        <v>302</v>
      </c>
      <c r="C511" s="4" t="s">
        <v>283</v>
      </c>
      <c r="D511" s="94">
        <v>7666.0</v>
      </c>
    </row>
    <row r="512">
      <c r="A512" s="40">
        <f t="array" ref="A512">IFNA(index(PlayerValues!A:A,match(IFNA(vlookup(B512,'Special Names'!A:B,2,FALSE),B512),PlayerValues!E:E,0)),"N/A")</f>
        <v>16641</v>
      </c>
      <c r="B512" s="4" t="s">
        <v>297</v>
      </c>
      <c r="C512" s="4" t="s">
        <v>298</v>
      </c>
      <c r="D512" s="94">
        <v>8472.0</v>
      </c>
    </row>
    <row r="513">
      <c r="A513" s="40">
        <f t="array" ref="A513">IFNA(index(PlayerValues!A:A,match(IFNA(vlookup(B513,'Special Names'!A:B,2,FALSE),B513),PlayerValues!E:E,0)),"N/A")</f>
        <v>16581</v>
      </c>
      <c r="B513" s="4" t="s">
        <v>315</v>
      </c>
      <c r="C513" s="4" t="s">
        <v>283</v>
      </c>
      <c r="D513" s="94">
        <v>7612.0</v>
      </c>
    </row>
    <row r="514">
      <c r="A514" s="40">
        <f t="array" ref="A514">IFNA(index(PlayerValues!A:A,match(IFNA(vlookup(B514,'Special Names'!A:B,2,FALSE),B514),PlayerValues!E:E,0)),"N/A")</f>
        <v>13593</v>
      </c>
      <c r="B514" s="4" t="s">
        <v>305</v>
      </c>
      <c r="C514" s="4" t="s">
        <v>283</v>
      </c>
      <c r="D514" s="94">
        <v>7546.0</v>
      </c>
    </row>
    <row r="515">
      <c r="A515" s="40">
        <f t="array" ref="A515">IFNA(index(PlayerValues!A:A,match(IFNA(vlookup(B515,'Special Names'!A:B,2,FALSE),B515),PlayerValues!E:E,0)),"N/A")</f>
        <v>14836</v>
      </c>
      <c r="B515" s="4" t="s">
        <v>306</v>
      </c>
      <c r="C515" s="4" t="s">
        <v>287</v>
      </c>
      <c r="D515" s="94">
        <v>7390.0</v>
      </c>
    </row>
    <row r="516">
      <c r="A516" s="40">
        <f t="array" ref="A516">IFNA(index(PlayerValues!A:A,match(IFNA(vlookup(B516,'Special Names'!A:B,2,FALSE),B516),PlayerValues!E:E,0)),"N/A")</f>
        <v>14832</v>
      </c>
      <c r="B516" s="4" t="s">
        <v>319</v>
      </c>
      <c r="C516" s="4" t="s">
        <v>287</v>
      </c>
      <c r="D516" s="94">
        <v>7338.0</v>
      </c>
    </row>
    <row r="517">
      <c r="A517" s="40">
        <f t="array" ref="A517">IFNA(index(PlayerValues!A:A,match(IFNA(vlookup(B517,'Special Names'!A:B,2,FALSE),B517),PlayerValues!E:E,0)),"N/A")</f>
        <v>17042</v>
      </c>
      <c r="B517" s="4" t="s">
        <v>314</v>
      </c>
      <c r="C517" s="4" t="s">
        <v>278</v>
      </c>
      <c r="D517" s="94">
        <v>7224.0</v>
      </c>
    </row>
    <row r="518">
      <c r="A518" s="40">
        <f t="array" ref="A518">IFNA(index(PlayerValues!A:A,match(IFNA(vlookup(B518,'Special Names'!A:B,2,FALSE),B518),PlayerValues!E:E,0)),"N/A")</f>
        <v>14777</v>
      </c>
      <c r="B518" s="4" t="s">
        <v>318</v>
      </c>
      <c r="C518" s="4" t="s">
        <v>283</v>
      </c>
      <c r="D518" s="94">
        <v>7223.0</v>
      </c>
    </row>
    <row r="519">
      <c r="A519" s="40">
        <f t="array" ref="A519">IFNA(index(PlayerValues!A:A,match(IFNA(vlookup(B519,'Special Names'!A:B,2,FALSE),B519),PlayerValues!E:E,0)),"N/A")</f>
        <v>16167</v>
      </c>
      <c r="B519" s="4" t="s">
        <v>323</v>
      </c>
      <c r="C519" s="4" t="s">
        <v>278</v>
      </c>
      <c r="D519" s="94">
        <v>7035.0</v>
      </c>
    </row>
    <row r="520">
      <c r="A520" s="40">
        <f t="array" ref="A520">IFNA(index(PlayerValues!A:A,match(IFNA(vlookup(B520,'Special Names'!A:B,2,FALSE),B520),PlayerValues!E:E,0)),"N/A")</f>
        <v>15751</v>
      </c>
      <c r="B520" s="4" t="s">
        <v>328</v>
      </c>
      <c r="C520" s="4" t="s">
        <v>287</v>
      </c>
      <c r="D520" s="94">
        <v>7030.0</v>
      </c>
    </row>
    <row r="521">
      <c r="A521" s="40">
        <f t="array" ref="A521">IFNA(index(PlayerValues!A:A,match(IFNA(vlookup(B521,'Special Names'!A:B,2,FALSE),B521),PlayerValues!E:E,0)),"N/A")</f>
        <v>17472</v>
      </c>
      <c r="B521" s="4" t="s">
        <v>310</v>
      </c>
      <c r="C521" s="4" t="s">
        <v>278</v>
      </c>
      <c r="D521" s="94">
        <v>6935.0</v>
      </c>
    </row>
    <row r="522">
      <c r="A522" s="40">
        <f t="array" ref="A522">IFNA(index(PlayerValues!A:A,match(IFNA(vlookup(B522,'Special Names'!A:B,2,FALSE),B522),PlayerValues!E:E,0)),"N/A")</f>
        <v>14779</v>
      </c>
      <c r="B522" s="4" t="s">
        <v>327</v>
      </c>
      <c r="C522" s="4" t="s">
        <v>283</v>
      </c>
      <c r="D522" s="94">
        <v>6889.0</v>
      </c>
    </row>
    <row r="523">
      <c r="A523" s="40" t="str">
        <f t="array" ref="A523">IFNA(index(PlayerValues!A:A,match(IFNA(vlookup(B523,'Special Names'!A:B,2,FALSE),B523),PlayerValues!E:E,0)),"N/A")</f>
        <v>N/A</v>
      </c>
      <c r="B523" s="4" t="s">
        <v>92</v>
      </c>
      <c r="C523" s="4" t="s">
        <v>325</v>
      </c>
      <c r="D523" s="94">
        <v>6650.0</v>
      </c>
    </row>
    <row r="524">
      <c r="A524" s="40">
        <f t="array" ref="A524">IFNA(index(PlayerValues!A:A,match(IFNA(vlookup(B524,'Special Names'!A:B,2,FALSE),B524),PlayerValues!E:E,0)),"N/A")</f>
        <v>17044</v>
      </c>
      <c r="B524" s="4" t="s">
        <v>322</v>
      </c>
      <c r="C524" s="4" t="s">
        <v>278</v>
      </c>
      <c r="D524" s="94">
        <v>6641.0</v>
      </c>
    </row>
    <row r="525">
      <c r="A525" s="40">
        <f t="array" ref="A525">IFNA(index(PlayerValues!A:A,match(IFNA(vlookup(B525,'Special Names'!A:B,2,FALSE),B525),PlayerValues!E:E,0)),"N/A")</f>
        <v>17032</v>
      </c>
      <c r="B525" s="4" t="s">
        <v>348</v>
      </c>
      <c r="C525" s="4" t="s">
        <v>283</v>
      </c>
      <c r="D525" s="94">
        <v>6630.0</v>
      </c>
    </row>
    <row r="526">
      <c r="A526" s="40">
        <f t="array" ref="A526">IFNA(index(PlayerValues!A:A,match(IFNA(vlookup(B526,'Special Names'!A:B,2,FALSE),B526),PlayerValues!E:E,0)),"N/A")</f>
        <v>17071</v>
      </c>
      <c r="B526" s="4" t="s">
        <v>341</v>
      </c>
      <c r="C526" s="4" t="s">
        <v>287</v>
      </c>
      <c r="D526" s="94">
        <v>6609.0</v>
      </c>
    </row>
    <row r="527">
      <c r="A527" s="40">
        <f t="array" ref="A527">IFNA(index(PlayerValues!A:A,match(IFNA(vlookup(B527,'Special Names'!A:B,2,FALSE),B527),PlayerValues!E:E,0)),"N/A")</f>
        <v>13116</v>
      </c>
      <c r="B527" s="4" t="s">
        <v>345</v>
      </c>
      <c r="C527" s="4" t="s">
        <v>283</v>
      </c>
      <c r="D527" s="94">
        <v>6579.0</v>
      </c>
    </row>
    <row r="528">
      <c r="A528" s="40">
        <f t="array" ref="A528">IFNA(index(PlayerValues!A:A,match(IFNA(vlookup(B528,'Special Names'!A:B,2,FALSE),B528),PlayerValues!E:E,0)),"N/A")</f>
        <v>14783</v>
      </c>
      <c r="B528" s="4" t="s">
        <v>342</v>
      </c>
      <c r="C528" s="4" t="s">
        <v>283</v>
      </c>
      <c r="D528" s="94">
        <v>6348.0</v>
      </c>
    </row>
    <row r="529">
      <c r="A529" s="40">
        <f t="array" ref="A529">IFNA(index(PlayerValues!A:A,match(IFNA(vlookup(B529,'Special Names'!A:B,2,FALSE),B529),PlayerValues!E:E,0)),"N/A")</f>
        <v>15237</v>
      </c>
      <c r="B529" s="4" t="s">
        <v>336</v>
      </c>
      <c r="C529" s="4" t="s">
        <v>283</v>
      </c>
      <c r="D529" s="94">
        <v>6333.0</v>
      </c>
    </row>
    <row r="530">
      <c r="A530" s="40">
        <f t="array" ref="A530">IFNA(index(PlayerValues!A:A,match(IFNA(vlookup(B530,'Special Names'!A:B,2,FALSE),B530),PlayerValues!E:E,0)),"N/A")</f>
        <v>15715</v>
      </c>
      <c r="B530" s="4" t="s">
        <v>331</v>
      </c>
      <c r="C530" s="4" t="s">
        <v>278</v>
      </c>
      <c r="D530" s="94">
        <v>6171.0</v>
      </c>
    </row>
    <row r="531">
      <c r="A531" s="40">
        <f t="array" ref="A531">IFNA(index(PlayerValues!A:A,match(IFNA(vlookup(B531,'Special Names'!A:B,2,FALSE),B531),PlayerValues!E:E,0)),"N/A")</f>
        <v>15762</v>
      </c>
      <c r="B531" s="4" t="s">
        <v>337</v>
      </c>
      <c r="C531" s="4" t="s">
        <v>287</v>
      </c>
      <c r="D531" s="94">
        <v>6154.0</v>
      </c>
    </row>
    <row r="532">
      <c r="A532" s="40">
        <f t="array" ref="A532">IFNA(index(PlayerValues!A:A,match(IFNA(vlookup(B532,'Special Names'!A:B,2,FALSE),B532),PlayerValues!E:E,0)),"N/A")</f>
        <v>16582</v>
      </c>
      <c r="B532" s="4" t="s">
        <v>343</v>
      </c>
      <c r="C532" s="4" t="s">
        <v>283</v>
      </c>
      <c r="D532" s="94">
        <v>6130.0</v>
      </c>
    </row>
    <row r="533">
      <c r="A533" s="40">
        <f t="array" ref="A533">IFNA(index(PlayerValues!A:A,match(IFNA(vlookup(B533,'Special Names'!A:B,2,FALSE),B533),PlayerValues!E:E,0)),"N/A")</f>
        <v>14802</v>
      </c>
      <c r="B533" s="4" t="s">
        <v>332</v>
      </c>
      <c r="C533" s="4" t="s">
        <v>278</v>
      </c>
      <c r="D533" s="94">
        <v>6119.0</v>
      </c>
    </row>
    <row r="534">
      <c r="A534" s="40">
        <f t="array" ref="A534">IFNA(index(PlayerValues!A:A,match(IFNA(vlookup(B534,'Special Names'!A:B,2,FALSE),B534),PlayerValues!E:E,0)),"N/A")</f>
        <v>15698</v>
      </c>
      <c r="B534" s="4" t="s">
        <v>358</v>
      </c>
      <c r="C534" s="4" t="s">
        <v>283</v>
      </c>
      <c r="D534" s="94">
        <v>6117.0</v>
      </c>
    </row>
    <row r="535">
      <c r="A535" s="40">
        <f t="array" ref="A535">IFNA(index(PlayerValues!A:A,match(IFNA(vlookup(B535,'Special Names'!A:B,2,FALSE),B535),PlayerValues!E:E,0)),"N/A")</f>
        <v>15290</v>
      </c>
      <c r="B535" s="4" t="s">
        <v>355</v>
      </c>
      <c r="C535" s="4" t="s">
        <v>287</v>
      </c>
      <c r="D535" s="94">
        <v>5988.0</v>
      </c>
    </row>
    <row r="536">
      <c r="A536" s="40">
        <f t="array" ref="A536">IFNA(index(PlayerValues!A:A,match(IFNA(vlookup(B536,'Special Names'!A:B,2,FALSE),B536),PlayerValues!E:E,0)),"N/A")</f>
        <v>17081</v>
      </c>
      <c r="B536" s="4" t="s">
        <v>340</v>
      </c>
      <c r="C536" s="4" t="s">
        <v>287</v>
      </c>
      <c r="D536" s="94">
        <v>5978.0</v>
      </c>
    </row>
    <row r="537">
      <c r="A537" s="40" t="str">
        <f t="array" ref="A537">IFNA(index(PlayerValues!A:A,match(IFNA(vlookup(B537,'Special Names'!A:B,2,FALSE),B537),PlayerValues!E:E,0)),"N/A")</f>
        <v>N/A</v>
      </c>
      <c r="B537" s="4" t="s">
        <v>79</v>
      </c>
      <c r="C537" s="4" t="s">
        <v>325</v>
      </c>
      <c r="D537" s="94">
        <v>5961.0</v>
      </c>
    </row>
    <row r="538">
      <c r="A538" s="40">
        <f t="array" ref="A538">IFNA(index(PlayerValues!A:A,match(IFNA(vlookup(B538,'Special Names'!A:B,2,FALSE),B538),PlayerValues!E:E,0)),"N/A")</f>
        <v>17104</v>
      </c>
      <c r="B538" s="4" t="s">
        <v>333</v>
      </c>
      <c r="C538" s="4" t="s">
        <v>298</v>
      </c>
      <c r="D538" s="94">
        <v>6615.0</v>
      </c>
    </row>
    <row r="539">
      <c r="A539" s="40">
        <f t="array" ref="A539">IFNA(index(PlayerValues!A:A,match(IFNA(vlookup(B539,'Special Names'!A:B,2,FALSE),B539),PlayerValues!E:E,0)),"N/A")</f>
        <v>17043</v>
      </c>
      <c r="B539" s="4" t="s">
        <v>397</v>
      </c>
      <c r="C539" s="4" t="s">
        <v>278</v>
      </c>
      <c r="D539" s="94">
        <v>5888.0</v>
      </c>
    </row>
    <row r="540">
      <c r="A540" s="40">
        <f t="array" ref="A540">IFNA(index(PlayerValues!A:A,match(IFNA(vlookup(B540,'Special Names'!A:B,2,FALSE),B540),PlayerValues!E:E,0)),"N/A")</f>
        <v>15753</v>
      </c>
      <c r="B540" s="4" t="s">
        <v>359</v>
      </c>
      <c r="C540" s="4" t="s">
        <v>287</v>
      </c>
      <c r="D540" s="94">
        <v>5833.0</v>
      </c>
    </row>
    <row r="541">
      <c r="A541" s="40">
        <f t="array" ref="A541">IFNA(index(PlayerValues!A:A,match(IFNA(vlookup(B541,'Special Names'!A:B,2,FALSE),B541),PlayerValues!E:E,0)),"N/A")</f>
        <v>15754</v>
      </c>
      <c r="B541" s="4" t="s">
        <v>354</v>
      </c>
      <c r="C541" s="4" t="s">
        <v>287</v>
      </c>
      <c r="D541" s="94">
        <v>5828.0</v>
      </c>
    </row>
    <row r="542">
      <c r="A542" s="40">
        <f t="array" ref="A542">IFNA(index(PlayerValues!A:A,match(IFNA(vlookup(B542,'Special Names'!A:B,2,FALSE),B542),PlayerValues!E:E,0)),"N/A")</f>
        <v>14782</v>
      </c>
      <c r="B542" s="4" t="s">
        <v>385</v>
      </c>
      <c r="C542" s="4" t="s">
        <v>283</v>
      </c>
      <c r="D542" s="94">
        <v>5696.0</v>
      </c>
    </row>
    <row r="543">
      <c r="A543" s="40">
        <f t="array" ref="A543">IFNA(index(PlayerValues!A:A,match(IFNA(vlookup(B543,'Special Names'!A:B,2,FALSE),B543),PlayerValues!E:E,0)),"N/A")</f>
        <v>17102</v>
      </c>
      <c r="B543" s="4" t="s">
        <v>344</v>
      </c>
      <c r="C543" s="4" t="s">
        <v>298</v>
      </c>
      <c r="D543" s="94">
        <v>6269.0</v>
      </c>
    </row>
    <row r="544">
      <c r="A544" s="40">
        <f t="array" ref="A544">IFNA(index(PlayerValues!A:A,match(IFNA(vlookup(B544,'Special Names'!A:B,2,FALSE),B544),PlayerValues!E:E,0)),"N/A")</f>
        <v>17462</v>
      </c>
      <c r="B544" s="4" t="s">
        <v>375</v>
      </c>
      <c r="C544" s="4" t="s">
        <v>283</v>
      </c>
      <c r="D544" s="94">
        <v>5615.0</v>
      </c>
    </row>
    <row r="545">
      <c r="A545" s="40">
        <f t="array" ref="A545">IFNA(index(PlayerValues!A:A,match(IFNA(vlookup(B545,'Special Names'!A:B,2,FALSE),B545),PlayerValues!E:E,0)),"N/A")</f>
        <v>15708</v>
      </c>
      <c r="B545" s="4" t="s">
        <v>382</v>
      </c>
      <c r="C545" s="4" t="s">
        <v>278</v>
      </c>
      <c r="D545" s="94">
        <v>5523.0</v>
      </c>
    </row>
    <row r="546">
      <c r="A546" s="40">
        <f t="array" ref="A546">IFNA(index(PlayerValues!A:A,match(IFNA(vlookup(B546,'Special Names'!A:B,2,FALSE),B546),PlayerValues!E:E,0)),"N/A")</f>
        <v>16627</v>
      </c>
      <c r="B546" s="4" t="s">
        <v>351</v>
      </c>
      <c r="C546" s="4" t="s">
        <v>287</v>
      </c>
      <c r="D546" s="94">
        <v>5483.0</v>
      </c>
    </row>
    <row r="547">
      <c r="A547" s="40">
        <f t="array" ref="A547">IFNA(index(PlayerValues!A:A,match(IFNA(vlookup(B547,'Special Names'!A:B,2,FALSE),B547),PlayerValues!E:E,0)),"N/A")</f>
        <v>16598</v>
      </c>
      <c r="B547" s="4" t="s">
        <v>408</v>
      </c>
      <c r="C547" s="4" t="s">
        <v>278</v>
      </c>
      <c r="D547" s="94">
        <v>5466.0</v>
      </c>
    </row>
    <row r="548">
      <c r="A548" s="40">
        <f t="array" ref="A548">IFNA(index(PlayerValues!A:A,match(IFNA(vlookup(B548,'Special Names'!A:B,2,FALSE),B548),PlayerValues!E:E,0)),"N/A")</f>
        <v>17051</v>
      </c>
      <c r="B548" s="4" t="s">
        <v>386</v>
      </c>
      <c r="C548" s="4" t="s">
        <v>278</v>
      </c>
      <c r="D548" s="94">
        <v>5463.0</v>
      </c>
    </row>
    <row r="549">
      <c r="A549" s="40" t="str">
        <f t="array" ref="A549">IFNA(index(PlayerValues!A:A,match(IFNA(vlookup(B549,'Special Names'!A:B,2,FALSE),B549),PlayerValues!E:E,0)),"N/A")</f>
        <v>N/A</v>
      </c>
      <c r="B549" s="4" t="s">
        <v>93</v>
      </c>
      <c r="C549" s="4" t="s">
        <v>325</v>
      </c>
      <c r="D549" s="94">
        <v>5447.0</v>
      </c>
    </row>
    <row r="550">
      <c r="A550" s="40">
        <f t="array" ref="A550">IFNA(index(PlayerValues!A:A,match(IFNA(vlookup(B550,'Special Names'!A:B,2,FALSE),B550),PlayerValues!E:E,0)),"N/A")</f>
        <v>17497</v>
      </c>
      <c r="B550" s="4" t="s">
        <v>365</v>
      </c>
      <c r="C550" s="4" t="s">
        <v>287</v>
      </c>
      <c r="D550" s="94">
        <v>5314.0</v>
      </c>
    </row>
    <row r="551">
      <c r="A551" s="40">
        <f t="array" ref="A551">IFNA(index(PlayerValues!A:A,match(IFNA(vlookup(B551,'Special Names'!A:B,2,FALSE),B551),PlayerValues!E:E,0)),"N/A")</f>
        <v>16616</v>
      </c>
      <c r="B551" s="4" t="s">
        <v>389</v>
      </c>
      <c r="C551" s="4" t="s">
        <v>287</v>
      </c>
      <c r="D551" s="94">
        <v>5312.0</v>
      </c>
    </row>
    <row r="552">
      <c r="A552" s="40">
        <f t="array" ref="A552">IFNA(index(PlayerValues!A:A,match(IFNA(vlookup(B552,'Special Names'!A:B,2,FALSE),B552),PlayerValues!E:E,0)),"N/A")</f>
        <v>17499</v>
      </c>
      <c r="B552" s="4" t="s">
        <v>402</v>
      </c>
      <c r="C552" s="4" t="s">
        <v>287</v>
      </c>
      <c r="D552" s="94">
        <v>5235.0</v>
      </c>
    </row>
    <row r="553">
      <c r="A553" s="40">
        <f t="array" ref="A553">IFNA(index(PlayerValues!A:A,match(IFNA(vlookup(B553,'Special Names'!A:B,2,FALSE),B553),PlayerValues!E:E,0)),"N/A")</f>
        <v>16614</v>
      </c>
      <c r="B553" s="4" t="s">
        <v>403</v>
      </c>
      <c r="C553" s="4" t="s">
        <v>287</v>
      </c>
      <c r="D553" s="94">
        <v>5124.0</v>
      </c>
    </row>
    <row r="554">
      <c r="A554" s="40">
        <f t="array" ref="A554">IFNA(index(PlayerValues!A:A,match(IFNA(vlookup(B554,'Special Names'!A:B,2,FALSE),B554),PlayerValues!E:E,0)),"N/A")</f>
        <v>17030</v>
      </c>
      <c r="B554" s="4" t="s">
        <v>406</v>
      </c>
      <c r="C554" s="4" t="s">
        <v>283</v>
      </c>
      <c r="D554" s="94">
        <v>5089.0</v>
      </c>
    </row>
    <row r="555">
      <c r="A555" s="40">
        <f t="array" ref="A555">IFNA(index(PlayerValues!A:A,match(IFNA(vlookup(B555,'Special Names'!A:B,2,FALSE),B555),PlayerValues!E:E,0)),"N/A")</f>
        <v>13130</v>
      </c>
      <c r="B555" s="4" t="s">
        <v>374</v>
      </c>
      <c r="C555" s="4" t="s">
        <v>278</v>
      </c>
      <c r="D555" s="94">
        <v>5077.0</v>
      </c>
    </row>
    <row r="556">
      <c r="A556" s="40">
        <f t="array" ref="A556">IFNA(index(PlayerValues!A:A,match(IFNA(vlookup(B556,'Special Names'!A:B,2,FALSE),B556),PlayerValues!E:E,0)),"N/A")</f>
        <v>15711</v>
      </c>
      <c r="B556" s="4" t="s">
        <v>349</v>
      </c>
      <c r="C556" s="4" t="s">
        <v>278</v>
      </c>
      <c r="D556" s="94">
        <v>5047.0</v>
      </c>
    </row>
    <row r="557">
      <c r="A557" s="40">
        <f t="array" ref="A557">IFNA(index(PlayerValues!A:A,match(IFNA(vlookup(B557,'Special Names'!A:B,2,FALSE),B557),PlayerValues!E:E,0)),"N/A")</f>
        <v>16618</v>
      </c>
      <c r="B557" s="4" t="s">
        <v>411</v>
      </c>
      <c r="C557" s="4" t="s">
        <v>287</v>
      </c>
      <c r="D557" s="94">
        <v>5041.0</v>
      </c>
    </row>
    <row r="558">
      <c r="A558" s="40">
        <f t="array" ref="A558">IFNA(index(PlayerValues!A:A,match(IFNA(vlookup(B558,'Special Names'!A:B,2,FALSE),B558),PlayerValues!E:E,0)),"N/A")</f>
        <v>12620</v>
      </c>
      <c r="B558" s="4" t="s">
        <v>394</v>
      </c>
      <c r="C558" s="4" t="s">
        <v>283</v>
      </c>
      <c r="D558" s="94">
        <v>5011.0</v>
      </c>
    </row>
    <row r="559">
      <c r="A559" s="40">
        <f t="array" ref="A559">IFNA(index(PlayerValues!A:A,match(IFNA(vlookup(B559,'Special Names'!A:B,2,FALSE),B559),PlayerValues!E:E,0)),"N/A")</f>
        <v>16194</v>
      </c>
      <c r="B559" s="4" t="s">
        <v>398</v>
      </c>
      <c r="C559" s="4" t="s">
        <v>287</v>
      </c>
      <c r="D559" s="94">
        <v>5010.0</v>
      </c>
    </row>
    <row r="560">
      <c r="A560" s="40">
        <f t="array" ref="A560">IFNA(index(PlayerValues!A:A,match(IFNA(vlookup(B560,'Special Names'!A:B,2,FALSE),B560),PlayerValues!E:E,0)),"N/A")</f>
        <v>17070</v>
      </c>
      <c r="B560" s="4" t="s">
        <v>370</v>
      </c>
      <c r="C560" s="4" t="s">
        <v>287</v>
      </c>
      <c r="D560" s="94">
        <v>4936.0</v>
      </c>
    </row>
    <row r="561">
      <c r="A561" s="40">
        <f t="array" ref="A561">IFNA(index(PlayerValues!A:A,match(IFNA(vlookup(B561,'Special Names'!A:B,2,FALSE),B561),PlayerValues!E:E,0)),"N/A")</f>
        <v>16181</v>
      </c>
      <c r="B561" s="4" t="s">
        <v>350</v>
      </c>
      <c r="C561" s="4" t="s">
        <v>278</v>
      </c>
      <c r="D561" s="94">
        <v>4935.0</v>
      </c>
    </row>
    <row r="562">
      <c r="A562" s="40">
        <f t="array" ref="A562">IFNA(index(PlayerValues!A:A,match(IFNA(vlookup(B562,'Special Names'!A:B,2,FALSE),B562),PlayerValues!E:E,0)),"N/A")</f>
        <v>17103</v>
      </c>
      <c r="B562" s="4" t="s">
        <v>405</v>
      </c>
      <c r="C562" s="4" t="s">
        <v>298</v>
      </c>
      <c r="D562" s="94">
        <v>5470.0</v>
      </c>
    </row>
    <row r="563">
      <c r="A563" s="40">
        <f t="array" ref="A563">IFNA(index(PlayerValues!A:A,match(IFNA(vlookup(B563,'Special Names'!A:B,2,FALSE),B563),PlayerValues!E:E,0)),"N/A")</f>
        <v>16222</v>
      </c>
      <c r="B563" s="4" t="s">
        <v>393</v>
      </c>
      <c r="C563" s="4" t="s">
        <v>298</v>
      </c>
      <c r="D563" s="94">
        <v>5442.0</v>
      </c>
    </row>
    <row r="564">
      <c r="A564" s="40">
        <f t="array" ref="A564">IFNA(index(PlayerValues!A:A,match(IFNA(vlookup(B564,'Special Names'!A:B,2,FALSE),B564),PlayerValues!E:E,0)),"N/A")</f>
        <v>15710</v>
      </c>
      <c r="B564" s="4" t="s">
        <v>395</v>
      </c>
      <c r="C564" s="4" t="s">
        <v>278</v>
      </c>
      <c r="D564" s="94">
        <v>4853.0</v>
      </c>
    </row>
    <row r="565">
      <c r="A565" s="40">
        <f t="array" ref="A565">IFNA(index(PlayerValues!A:A,match(IFNA(vlookup(B565,'Special Names'!A:B,2,FALSE),B565),PlayerValues!E:E,0)),"N/A")</f>
        <v>13590</v>
      </c>
      <c r="B565" s="4" t="s">
        <v>409</v>
      </c>
      <c r="C565" s="4" t="s">
        <v>283</v>
      </c>
      <c r="D565" s="94">
        <v>4839.0</v>
      </c>
    </row>
    <row r="566">
      <c r="A566" s="40">
        <f t="array" ref="A566">IFNA(index(PlayerValues!A:A,match(IFNA(vlookup(B566,'Special Names'!A:B,2,FALSE),B566),PlayerValues!E:E,0)),"N/A")</f>
        <v>13592</v>
      </c>
      <c r="B566" s="4" t="s">
        <v>418</v>
      </c>
      <c r="C566" s="4" t="s">
        <v>283</v>
      </c>
      <c r="D566" s="94">
        <v>4832.0</v>
      </c>
    </row>
    <row r="567">
      <c r="A567" s="40">
        <f t="array" ref="A567">IFNA(index(PlayerValues!A:A,match(IFNA(vlookup(B567,'Special Names'!A:B,2,FALSE),B567),PlayerValues!E:E,0)),"N/A")</f>
        <v>16150</v>
      </c>
      <c r="B567" s="4" t="s">
        <v>414</v>
      </c>
      <c r="C567" s="4" t="s">
        <v>283</v>
      </c>
      <c r="D567" s="94">
        <v>4826.0</v>
      </c>
    </row>
    <row r="568">
      <c r="A568" s="40">
        <f t="array" ref="A568">IFNA(index(PlayerValues!A:A,match(IFNA(vlookup(B568,'Special Names'!A:B,2,FALSE),B568),PlayerValues!E:E,0)),"N/A")</f>
        <v>14835</v>
      </c>
      <c r="B568" s="4" t="s">
        <v>392</v>
      </c>
      <c r="C568" s="4" t="s">
        <v>287</v>
      </c>
      <c r="D568" s="94">
        <v>4825.0</v>
      </c>
    </row>
    <row r="569">
      <c r="A569" s="40">
        <f t="array" ref="A569">IFNA(index(PlayerValues!A:A,match(IFNA(vlookup(B569,'Special Names'!A:B,2,FALSE),B569),PlayerValues!E:E,0)),"N/A")</f>
        <v>17045</v>
      </c>
      <c r="B569" s="4" t="s">
        <v>407</v>
      </c>
      <c r="C569" s="4" t="s">
        <v>278</v>
      </c>
      <c r="D569" s="94">
        <v>4825.0</v>
      </c>
    </row>
    <row r="570">
      <c r="A570" s="40" t="str">
        <f t="array" ref="A570">IFNA(index(PlayerValues!A:A,match(IFNA(vlookup(B570,'Special Names'!A:B,2,FALSE),B570),PlayerValues!E:E,0)),"N/A")</f>
        <v>N/A</v>
      </c>
      <c r="B570" s="4" t="s">
        <v>104</v>
      </c>
      <c r="C570" s="4" t="s">
        <v>325</v>
      </c>
      <c r="D570" s="94">
        <v>4825.0</v>
      </c>
    </row>
    <row r="571">
      <c r="A571" s="40">
        <f t="array" ref="A571">IFNA(index(PlayerValues!A:A,match(IFNA(vlookup(B571,'Special Names'!A:B,2,FALSE),B571),PlayerValues!E:E,0)),"N/A")</f>
        <v>17498</v>
      </c>
      <c r="B571" s="4" t="s">
        <v>396</v>
      </c>
      <c r="C571" s="4" t="s">
        <v>287</v>
      </c>
      <c r="D571" s="94">
        <v>4820.0</v>
      </c>
    </row>
    <row r="572">
      <c r="A572" s="40">
        <f t="array" ref="A572">IFNA(index(PlayerValues!A:A,match(IFNA(vlookup(B572,'Special Names'!A:B,2,FALSE),B572),PlayerValues!E:E,0)),"N/A")</f>
        <v>15282</v>
      </c>
      <c r="B572" s="4" t="s">
        <v>364</v>
      </c>
      <c r="C572" s="4" t="s">
        <v>287</v>
      </c>
      <c r="D572" s="94">
        <v>4797.0</v>
      </c>
    </row>
    <row r="573">
      <c r="A573" s="40" t="str">
        <f t="array" ref="A573">IFNA(index(PlayerValues!A:A,match(IFNA(vlookup(B573,'Special Names'!A:B,2,FALSE),B573),PlayerValues!E:E,0)),"N/A")</f>
        <v>N/A</v>
      </c>
      <c r="B573" s="4" t="s">
        <v>94</v>
      </c>
      <c r="C573" s="4" t="s">
        <v>325</v>
      </c>
      <c r="D573" s="94">
        <v>4785.0</v>
      </c>
    </row>
    <row r="574">
      <c r="A574" s="40">
        <f t="array" ref="A574">IFNA(index(PlayerValues!A:A,match(IFNA(vlookup(B574,'Special Names'!A:B,2,FALSE),B574),PlayerValues!E:E,0)),"N/A")</f>
        <v>13604</v>
      </c>
      <c r="B574" s="4" t="s">
        <v>378</v>
      </c>
      <c r="C574" s="4" t="s">
        <v>278</v>
      </c>
      <c r="D574" s="94">
        <v>4781.0</v>
      </c>
    </row>
    <row r="575">
      <c r="A575" s="40">
        <f t="array" ref="A575">IFNA(index(PlayerValues!A:A,match(IFNA(vlookup(B575,'Special Names'!A:B,2,FALSE),B575),PlayerValues!E:E,0)),"N/A")</f>
        <v>14104</v>
      </c>
      <c r="B575" s="4" t="s">
        <v>379</v>
      </c>
      <c r="C575" s="4" t="s">
        <v>287</v>
      </c>
      <c r="D575" s="94">
        <v>4743.0</v>
      </c>
    </row>
    <row r="576">
      <c r="A576" s="40">
        <f t="array" ref="A576">IFNA(index(PlayerValues!A:A,match(IFNA(vlookup(B576,'Special Names'!A:B,2,FALSE),B576),PlayerValues!E:E,0)),"N/A")</f>
        <v>15756</v>
      </c>
      <c r="B576" s="4" t="s">
        <v>399</v>
      </c>
      <c r="C576" s="4" t="s">
        <v>287</v>
      </c>
      <c r="D576" s="94">
        <v>4740.0</v>
      </c>
    </row>
    <row r="577">
      <c r="A577" s="40">
        <f t="array" ref="A577">IFNA(index(PlayerValues!A:A,match(IFNA(vlookup(B577,'Special Names'!A:B,2,FALSE),B577),PlayerValues!E:E,0)),"N/A")</f>
        <v>16190</v>
      </c>
      <c r="B577" s="4" t="s">
        <v>371</v>
      </c>
      <c r="C577" s="4" t="s">
        <v>287</v>
      </c>
      <c r="D577" s="94">
        <v>4697.0</v>
      </c>
    </row>
    <row r="578">
      <c r="A578" s="40" t="str">
        <f t="array" ref="A578">IFNA(index(PlayerValues!A:A,match(IFNA(vlookup(B578,'Special Names'!A:B,2,FALSE),B578),PlayerValues!E:E,0)),"N/A")</f>
        <v>N/A</v>
      </c>
      <c r="B578" s="4" t="s">
        <v>80</v>
      </c>
      <c r="C578" s="4" t="s">
        <v>325</v>
      </c>
      <c r="D578" s="94">
        <v>4693.0</v>
      </c>
    </row>
    <row r="579">
      <c r="A579" s="40">
        <f t="array" ref="A579">IFNA(index(PlayerValues!A:A,match(IFNA(vlookup(B579,'Special Names'!A:B,2,FALSE),B579),PlayerValues!E:E,0)),"N/A")</f>
        <v>12611</v>
      </c>
      <c r="B579" s="4" t="s">
        <v>410</v>
      </c>
      <c r="C579" s="4" t="s">
        <v>283</v>
      </c>
      <c r="D579" s="94">
        <v>4625.0</v>
      </c>
    </row>
    <row r="580">
      <c r="A580" s="40">
        <f t="array" ref="A580">IFNA(index(PlayerValues!A:A,match(IFNA(vlookup(B580,'Special Names'!A:B,2,FALSE),B580),PlayerValues!E:E,0)),"N/A")</f>
        <v>15284</v>
      </c>
      <c r="B580" s="4" t="s">
        <v>390</v>
      </c>
      <c r="C580" s="4" t="s">
        <v>287</v>
      </c>
      <c r="D580" s="94">
        <v>4606.0</v>
      </c>
    </row>
    <row r="581">
      <c r="A581" s="40">
        <f t="array" ref="A581">IFNA(index(PlayerValues!A:A,match(IFNA(vlookup(B581,'Special Names'!A:B,2,FALSE),B581),PlayerValues!E:E,0)),"N/A")</f>
        <v>17039</v>
      </c>
      <c r="B581" s="4" t="s">
        <v>400</v>
      </c>
      <c r="C581" s="4" t="s">
        <v>283</v>
      </c>
      <c r="D581" s="94">
        <v>4599.0</v>
      </c>
    </row>
    <row r="582">
      <c r="A582" s="40">
        <f t="array" ref="A582">IFNA(index(PlayerValues!A:A,match(IFNA(vlookup(B582,'Special Names'!A:B,2,FALSE),B582),PlayerValues!E:E,0)),"N/A")</f>
        <v>16214</v>
      </c>
      <c r="B582" s="4" t="s">
        <v>413</v>
      </c>
      <c r="C582" s="4" t="s">
        <v>298</v>
      </c>
      <c r="D582" s="94">
        <v>5132.0</v>
      </c>
    </row>
    <row r="583">
      <c r="A583" s="40">
        <f t="array" ref="A583">IFNA(index(PlayerValues!A:A,match(IFNA(vlookup(B583,'Special Names'!A:B,2,FALSE),B583),PlayerValues!E:E,0)),"N/A")</f>
        <v>15329</v>
      </c>
      <c r="B583" s="4" t="s">
        <v>416</v>
      </c>
      <c r="C583" s="4" t="s">
        <v>298</v>
      </c>
      <c r="D583" s="94">
        <v>5103.0</v>
      </c>
    </row>
    <row r="584">
      <c r="A584" s="40">
        <f t="array" ref="A584">IFNA(index(PlayerValues!A:A,match(IFNA(vlookup(B584,'Special Names'!A:B,2,FALSE),B584),PlayerValues!E:E,0)),"N/A")</f>
        <v>15256</v>
      </c>
      <c r="B584" s="4" t="s">
        <v>401</v>
      </c>
      <c r="C584" s="4" t="s">
        <v>278</v>
      </c>
      <c r="D584" s="94">
        <v>4548.0</v>
      </c>
    </row>
    <row r="585">
      <c r="A585" s="40">
        <f t="array" ref="A585">IFNA(index(PlayerValues!A:A,match(IFNA(vlookup(B585,'Special Names'!A:B,2,FALSE),B585),PlayerValues!E:E,0)),"N/A")</f>
        <v>15253</v>
      </c>
      <c r="B585" s="4" t="s">
        <v>415</v>
      </c>
      <c r="C585" s="4" t="s">
        <v>278</v>
      </c>
      <c r="D585" s="94">
        <v>4500.0</v>
      </c>
    </row>
    <row r="586">
      <c r="A586" s="40">
        <f t="array" ref="A586">IFNA(index(PlayerValues!A:A,match(IFNA(vlookup(B586,'Special Names'!A:B,2,FALSE),B586),PlayerValues!E:E,0)),"N/A")</f>
        <v>17068</v>
      </c>
      <c r="B586" s="4" t="s">
        <v>450</v>
      </c>
      <c r="C586" s="4" t="s">
        <v>278</v>
      </c>
      <c r="D586" s="94">
        <v>4472.0</v>
      </c>
    </row>
    <row r="587">
      <c r="A587" s="40">
        <f t="array" ref="A587">IFNA(index(PlayerValues!A:A,match(IFNA(vlookup(B587,'Special Names'!A:B,2,FALSE),B587),PlayerValues!E:E,0)),"N/A")</f>
        <v>14073</v>
      </c>
      <c r="B587" s="4" t="s">
        <v>464</v>
      </c>
      <c r="C587" s="4" t="s">
        <v>278</v>
      </c>
      <c r="D587" s="94">
        <v>4462.0</v>
      </c>
    </row>
    <row r="588">
      <c r="A588" s="40">
        <f t="array" ref="A588">IFNA(index(PlayerValues!A:A,match(IFNA(vlookup(B588,'Special Names'!A:B,2,FALSE),B588),PlayerValues!E:E,0)),"N/A")</f>
        <v>16148</v>
      </c>
      <c r="B588" s="4" t="s">
        <v>426</v>
      </c>
      <c r="C588" s="4" t="s">
        <v>283</v>
      </c>
      <c r="D588" s="94">
        <v>4445.0</v>
      </c>
    </row>
    <row r="589">
      <c r="A589" s="40" t="str">
        <f t="array" ref="A589">IFNA(index(PlayerValues!A:A,match(IFNA(vlookup(B589,'Special Names'!A:B,2,FALSE),B589),PlayerValues!E:E,0)),"N/A")</f>
        <v>N/A</v>
      </c>
      <c r="B589" s="4" t="s">
        <v>105</v>
      </c>
      <c r="C589" s="4" t="s">
        <v>325</v>
      </c>
      <c r="D589" s="94">
        <v>4443.0</v>
      </c>
    </row>
    <row r="590">
      <c r="A590" s="40" t="str">
        <f t="array" ref="A590">IFNA(index(PlayerValues!A:A,match(IFNA(vlookup(B590,'Special Names'!A:B,2,FALSE),B590),PlayerValues!E:E,0)),"N/A")</f>
        <v>N/A</v>
      </c>
      <c r="B590" s="4" t="s">
        <v>81</v>
      </c>
      <c r="C590" s="4" t="s">
        <v>325</v>
      </c>
      <c r="D590" s="94">
        <v>4231.0</v>
      </c>
    </row>
    <row r="591">
      <c r="A591" s="40">
        <f t="array" ref="A591">IFNA(index(PlayerValues!A:A,match(IFNA(vlookup(B591,'Special Names'!A:B,2,FALSE),B591),PlayerValues!E:E,0)),"N/A")</f>
        <v>16186</v>
      </c>
      <c r="B591" s="4" t="s">
        <v>425</v>
      </c>
      <c r="C591" s="4" t="s">
        <v>287</v>
      </c>
      <c r="D591" s="94">
        <v>4155.0</v>
      </c>
    </row>
    <row r="592">
      <c r="A592" s="40">
        <f t="array" ref="A592">IFNA(index(PlayerValues!A:A,match(IFNA(vlookup(B592,'Special Names'!A:B,2,FALSE),B592),PlayerValues!E:E,0)),"N/A")</f>
        <v>17099</v>
      </c>
      <c r="B592" s="4" t="s">
        <v>474</v>
      </c>
      <c r="C592" s="4" t="s">
        <v>298</v>
      </c>
      <c r="D592" s="94">
        <v>4653.0</v>
      </c>
    </row>
    <row r="593">
      <c r="A593" s="40">
        <f t="array" ref="A593">IFNA(index(PlayerValues!A:A,match(IFNA(vlookup(B593,'Special Names'!A:B,2,FALSE),B593),PlayerValues!E:E,0)),"N/A")</f>
        <v>14059</v>
      </c>
      <c r="B593" s="4" t="s">
        <v>435</v>
      </c>
      <c r="C593" s="4" t="s">
        <v>283</v>
      </c>
      <c r="D593" s="94">
        <v>4050.0</v>
      </c>
    </row>
    <row r="594">
      <c r="A594" s="40">
        <f t="array" ref="A594">IFNA(index(PlayerValues!A:A,match(IFNA(vlookup(B594,'Special Names'!A:B,2,FALSE),B594),PlayerValues!E:E,0)),"N/A")</f>
        <v>17074</v>
      </c>
      <c r="B594" s="4" t="s">
        <v>475</v>
      </c>
      <c r="C594" s="4" t="s">
        <v>287</v>
      </c>
      <c r="D594" s="94">
        <v>4043.0</v>
      </c>
    </row>
    <row r="595">
      <c r="A595" s="40" t="str">
        <f t="array" ref="A595">IFNA(index(PlayerValues!A:A,match(IFNA(vlookup(B595,'Special Names'!A:B,2,FALSE),B595),PlayerValues!E:E,0)),"N/A")</f>
        <v>N/A</v>
      </c>
      <c r="B595" s="4" t="s">
        <v>107</v>
      </c>
      <c r="C595" s="4" t="s">
        <v>325</v>
      </c>
      <c r="D595" s="94">
        <v>4032.0</v>
      </c>
    </row>
    <row r="596">
      <c r="A596" s="40">
        <f t="array" ref="A596">IFNA(index(PlayerValues!A:A,match(IFNA(vlookup(B596,'Special Names'!A:B,2,FALSE),B596),PlayerValues!E:E,0)),"N/A")</f>
        <v>17543</v>
      </c>
      <c r="B596" s="4" t="s">
        <v>436</v>
      </c>
      <c r="C596" s="4" t="s">
        <v>298</v>
      </c>
      <c r="D596" s="94">
        <v>4507.0</v>
      </c>
    </row>
    <row r="597">
      <c r="A597" s="40">
        <f t="array" ref="A597">IFNA(index(PlayerValues!A:A,match(IFNA(vlookup(B597,'Special Names'!A:B,2,FALSE),B597),PlayerValues!E:E,0)),"N/A")</f>
        <v>16622</v>
      </c>
      <c r="B597" s="4" t="s">
        <v>517</v>
      </c>
      <c r="C597" s="4" t="s">
        <v>287</v>
      </c>
      <c r="D597" s="94">
        <v>3969.0</v>
      </c>
    </row>
    <row r="598">
      <c r="A598" s="40">
        <f t="array" ref="A598">IFNA(index(PlayerValues!A:A,match(IFNA(vlookup(B598,'Special Names'!A:B,2,FALSE),B598),PlayerValues!E:E,0)),"N/A")</f>
        <v>15768</v>
      </c>
      <c r="B598" s="4" t="s">
        <v>432</v>
      </c>
      <c r="C598" s="4" t="s">
        <v>287</v>
      </c>
      <c r="D598" s="94">
        <v>3964.0</v>
      </c>
    </row>
    <row r="599">
      <c r="A599" s="40">
        <f t="array" ref="A599">IFNA(index(PlayerValues!A:A,match(IFNA(vlookup(B599,'Special Names'!A:B,2,FALSE),B599),PlayerValues!E:E,0)),"N/A")</f>
        <v>12626</v>
      </c>
      <c r="B599" s="4" t="s">
        <v>419</v>
      </c>
      <c r="C599" s="4" t="s">
        <v>278</v>
      </c>
      <c r="D599" s="94">
        <v>3932.0</v>
      </c>
    </row>
    <row r="600">
      <c r="A600" s="40">
        <f t="array" ref="A600">IFNA(index(PlayerValues!A:A,match(IFNA(vlookup(B600,'Special Names'!A:B,2,FALSE),B600),PlayerValues!E:E,0)),"N/A")</f>
        <v>16206</v>
      </c>
      <c r="B600" s="4" t="s">
        <v>431</v>
      </c>
      <c r="C600" s="4" t="s">
        <v>287</v>
      </c>
      <c r="D600" s="94">
        <v>3893.0</v>
      </c>
    </row>
    <row r="601">
      <c r="A601" s="40">
        <f t="array" ref="A601">IFNA(index(PlayerValues!A:A,match(IFNA(vlookup(B601,'Special Names'!A:B,2,FALSE),B601),PlayerValues!E:E,0)),"N/A")</f>
        <v>17083</v>
      </c>
      <c r="B601" s="4" t="s">
        <v>479</v>
      </c>
      <c r="C601" s="4" t="s">
        <v>287</v>
      </c>
      <c r="D601" s="94">
        <v>3847.0</v>
      </c>
    </row>
    <row r="602">
      <c r="A602" s="40">
        <f t="array" ref="A602">IFNA(index(PlayerValues!A:A,match(IFNA(vlookup(B602,'Special Names'!A:B,2,FALSE),B602),PlayerValues!E:E,0)),"N/A")</f>
        <v>14102</v>
      </c>
      <c r="B602" s="4" t="s">
        <v>444</v>
      </c>
      <c r="C602" s="4" t="s">
        <v>287</v>
      </c>
      <c r="D602" s="94">
        <v>3843.0</v>
      </c>
    </row>
    <row r="603">
      <c r="A603" s="40" t="str">
        <f t="array" ref="A603">IFNA(index(PlayerValues!A:A,match(IFNA(vlookup(B603,'Special Names'!A:B,2,FALSE),B603),PlayerValues!E:E,0)),"N/A")</f>
        <v>N/A</v>
      </c>
      <c r="B603" s="4" t="s">
        <v>95</v>
      </c>
      <c r="C603" s="4" t="s">
        <v>325</v>
      </c>
      <c r="D603" s="94">
        <v>3843.0</v>
      </c>
    </row>
    <row r="604">
      <c r="A604" s="40">
        <f t="array" ref="A604">IFNA(index(PlayerValues!A:A,match(IFNA(vlookup(B604,'Special Names'!A:B,2,FALSE),B604),PlayerValues!E:E,0)),"N/A")</f>
        <v>17501</v>
      </c>
      <c r="B604" s="4" t="s">
        <v>404</v>
      </c>
      <c r="C604" s="4" t="s">
        <v>287</v>
      </c>
      <c r="D604" s="94">
        <v>3842.0</v>
      </c>
    </row>
    <row r="605">
      <c r="A605" s="40">
        <f t="array" ref="A605">IFNA(index(PlayerValues!A:A,match(IFNA(vlookup(B605,'Special Names'!A:B,2,FALSE),B605),PlayerValues!E:E,0)),"N/A")</f>
        <v>17066</v>
      </c>
      <c r="B605" s="4" t="s">
        <v>446</v>
      </c>
      <c r="C605" s="4" t="s">
        <v>278</v>
      </c>
      <c r="D605" s="94">
        <v>3811.0</v>
      </c>
    </row>
    <row r="606">
      <c r="A606" s="40">
        <f t="array" ref="A606">IFNA(index(PlayerValues!A:A,match(IFNA(vlookup(B606,'Special Names'!A:B,2,FALSE),B606),PlayerValues!E:E,0)),"N/A")</f>
        <v>17500</v>
      </c>
      <c r="B606" s="4" t="s">
        <v>430</v>
      </c>
      <c r="C606" s="4" t="s">
        <v>287</v>
      </c>
      <c r="D606" s="94">
        <v>3799.0</v>
      </c>
    </row>
    <row r="607">
      <c r="A607" s="40">
        <f t="array" ref="A607">IFNA(index(PlayerValues!A:A,match(IFNA(vlookup(B607,'Special Names'!A:B,2,FALSE),B607),PlayerValues!E:E,0)),"N/A")</f>
        <v>15789</v>
      </c>
      <c r="B607" s="4" t="s">
        <v>421</v>
      </c>
      <c r="C607" s="4" t="s">
        <v>287</v>
      </c>
      <c r="D607" s="94">
        <v>3760.0</v>
      </c>
    </row>
    <row r="608">
      <c r="A608" s="40">
        <f t="array" ref="A608">IFNA(index(PlayerValues!A:A,match(IFNA(vlookup(B608,'Special Names'!A:B,2,FALSE),B608),PlayerValues!E:E,0)),"N/A")</f>
        <v>14797</v>
      </c>
      <c r="B608" s="4" t="s">
        <v>420</v>
      </c>
      <c r="C608" s="4" t="s">
        <v>278</v>
      </c>
      <c r="D608" s="94">
        <v>3719.0</v>
      </c>
    </row>
    <row r="609">
      <c r="A609" s="40">
        <f t="array" ref="A609">IFNA(index(PlayerValues!A:A,match(IFNA(vlookup(B609,'Special Names'!A:B,2,FALSE),B609),PlayerValues!E:E,0)),"N/A")</f>
        <v>16192</v>
      </c>
      <c r="B609" s="4" t="s">
        <v>412</v>
      </c>
      <c r="C609" s="4" t="s">
        <v>287</v>
      </c>
      <c r="D609" s="94">
        <v>3705.0</v>
      </c>
    </row>
    <row r="610">
      <c r="A610" s="40">
        <f t="array" ref="A610">IFNA(index(PlayerValues!A:A,match(IFNA(vlookup(B610,'Special Names'!A:B,2,FALSE),B610),PlayerValues!E:E,0)),"N/A")</f>
        <v>9431</v>
      </c>
      <c r="B610" s="4" t="s">
        <v>428</v>
      </c>
      <c r="C610" s="4" t="s">
        <v>283</v>
      </c>
      <c r="D610" s="94">
        <v>3697.0</v>
      </c>
    </row>
    <row r="611">
      <c r="A611" s="40">
        <f t="array" ref="A611">IFNA(index(PlayerValues!A:A,match(IFNA(vlookup(B611,'Special Names'!A:B,2,FALSE),B611),PlayerValues!E:E,0)),"N/A")</f>
        <v>11675</v>
      </c>
      <c r="B611" s="4" t="s">
        <v>438</v>
      </c>
      <c r="C611" s="4" t="s">
        <v>287</v>
      </c>
      <c r="D611" s="94">
        <v>3692.0</v>
      </c>
    </row>
    <row r="612">
      <c r="A612" s="40">
        <f t="array" ref="A612">IFNA(index(PlayerValues!A:A,match(IFNA(vlookup(B612,'Special Names'!A:B,2,FALSE),B612),PlayerValues!E:E,0)),"N/A")</f>
        <v>14056</v>
      </c>
      <c r="B612" s="4" t="s">
        <v>423</v>
      </c>
      <c r="C612" s="4" t="s">
        <v>283</v>
      </c>
      <c r="D612" s="94">
        <v>3614.0</v>
      </c>
    </row>
    <row r="613">
      <c r="A613" s="40">
        <f t="array" ref="A613">IFNA(index(PlayerValues!A:A,match(IFNA(vlookup(B613,'Special Names'!A:B,2,FALSE),B613),PlayerValues!E:E,0)),"N/A")</f>
        <v>17075</v>
      </c>
      <c r="B613" s="4" t="s">
        <v>429</v>
      </c>
      <c r="C613" s="4" t="s">
        <v>287</v>
      </c>
      <c r="D613" s="94">
        <v>3608.0</v>
      </c>
    </row>
    <row r="614">
      <c r="A614" s="40">
        <f t="array" ref="A614">IFNA(index(PlayerValues!A:A,match(IFNA(vlookup(B614,'Special Names'!A:B,2,FALSE),B614),PlayerValues!E:E,0)),"N/A")</f>
        <v>15757</v>
      </c>
      <c r="B614" s="4" t="s">
        <v>449</v>
      </c>
      <c r="C614" s="4" t="s">
        <v>287</v>
      </c>
      <c r="D614" s="94">
        <v>3606.0</v>
      </c>
    </row>
    <row r="615">
      <c r="A615" s="40">
        <f t="array" ref="A615">IFNA(index(PlayerValues!A:A,match(IFNA(vlookup(B615,'Special Names'!A:B,2,FALSE),B615),PlayerValues!E:E,0)),"N/A")</f>
        <v>14842</v>
      </c>
      <c r="B615" s="4" t="s">
        <v>456</v>
      </c>
      <c r="C615" s="4" t="s">
        <v>287</v>
      </c>
      <c r="D615" s="94">
        <v>3597.0</v>
      </c>
    </row>
    <row r="616">
      <c r="A616" s="40">
        <f t="array" ref="A616">IFNA(index(PlayerValues!A:A,match(IFNA(vlookup(B616,'Special Names'!A:B,2,FALSE),B616),PlayerValues!E:E,0)),"N/A")</f>
        <v>16213</v>
      </c>
      <c r="B616" s="4" t="s">
        <v>458</v>
      </c>
      <c r="C616" s="4" t="s">
        <v>298</v>
      </c>
      <c r="D616" s="94">
        <v>4039.0</v>
      </c>
    </row>
    <row r="617">
      <c r="A617" s="40">
        <f t="array" ref="A617">IFNA(index(PlayerValues!A:A,match(IFNA(vlookup(B617,'Special Names'!A:B,2,FALSE),B617),PlayerValues!E:E,0)),"N/A")</f>
        <v>16583</v>
      </c>
      <c r="B617" s="4" t="s">
        <v>493</v>
      </c>
      <c r="C617" s="4" t="s">
        <v>283</v>
      </c>
      <c r="D617" s="94">
        <v>3561.0</v>
      </c>
    </row>
    <row r="618">
      <c r="A618" s="40">
        <f t="array" ref="A618">IFNA(index(PlayerValues!A:A,match(IFNA(vlookup(B618,'Special Names'!A:B,2,FALSE),B618),PlayerValues!E:E,0)),"N/A")</f>
        <v>16169</v>
      </c>
      <c r="B618" s="4" t="s">
        <v>457</v>
      </c>
      <c r="C618" s="4" t="s">
        <v>278</v>
      </c>
      <c r="D618" s="94">
        <v>3545.0</v>
      </c>
    </row>
    <row r="619">
      <c r="A619" s="40">
        <f t="array" ref="A619">IFNA(index(PlayerValues!A:A,match(IFNA(vlookup(B619,'Special Names'!A:B,2,FALSE),B619),PlayerValues!E:E,0)),"N/A")</f>
        <v>16188</v>
      </c>
      <c r="B619" s="4" t="s">
        <v>439</v>
      </c>
      <c r="C619" s="4" t="s">
        <v>287</v>
      </c>
      <c r="D619" s="94">
        <v>3534.0</v>
      </c>
    </row>
    <row r="620">
      <c r="A620" s="40">
        <f t="array" ref="A620">IFNA(index(PlayerValues!A:A,match(IFNA(vlookup(B620,'Special Names'!A:B,2,FALSE),B620),PlayerValues!E:E,0)),"N/A")</f>
        <v>16584</v>
      </c>
      <c r="B620" s="4" t="s">
        <v>569</v>
      </c>
      <c r="C620" s="4" t="s">
        <v>283</v>
      </c>
      <c r="D620" s="94">
        <v>3509.0</v>
      </c>
    </row>
    <row r="621">
      <c r="A621" s="40">
        <f t="array" ref="A621">IFNA(index(PlayerValues!A:A,match(IFNA(vlookup(B621,'Special Names'!A:B,2,FALSE),B621),PlayerValues!E:E,0)),"N/A")</f>
        <v>16593</v>
      </c>
      <c r="B621" s="4" t="s">
        <v>442</v>
      </c>
      <c r="C621" s="4" t="s">
        <v>278</v>
      </c>
      <c r="D621" s="94">
        <v>3499.0</v>
      </c>
    </row>
    <row r="622">
      <c r="A622" s="40">
        <f t="array" ref="A622">IFNA(index(PlayerValues!A:A,match(IFNA(vlookup(B622,'Special Names'!A:B,2,FALSE),B622),PlayerValues!E:E,0)),"N/A")</f>
        <v>15694</v>
      </c>
      <c r="B622" s="4" t="s">
        <v>434</v>
      </c>
      <c r="C622" s="4" t="s">
        <v>283</v>
      </c>
      <c r="D622" s="94">
        <v>3492.0</v>
      </c>
    </row>
    <row r="623">
      <c r="A623" s="40">
        <f t="array" ref="A623">IFNA(index(PlayerValues!A:A,match(IFNA(vlookup(B623,'Special Names'!A:B,2,FALSE),B623),PlayerValues!E:E,0)),"N/A")</f>
        <v>17052</v>
      </c>
      <c r="B623" s="4" t="s">
        <v>417</v>
      </c>
      <c r="C623" s="4" t="s">
        <v>278</v>
      </c>
      <c r="D623" s="94">
        <v>3491.0</v>
      </c>
    </row>
    <row r="624">
      <c r="A624" s="40">
        <f t="array" ref="A624">IFNA(index(PlayerValues!A:A,match(IFNA(vlookup(B624,'Special Names'!A:B,2,FALSE),B624),PlayerValues!E:E,0)),"N/A")</f>
        <v>16620</v>
      </c>
      <c r="B624" s="4" t="s">
        <v>467</v>
      </c>
      <c r="C624" s="4" t="s">
        <v>287</v>
      </c>
      <c r="D624" s="94">
        <v>3483.0</v>
      </c>
    </row>
    <row r="625">
      <c r="A625" s="40">
        <f t="array" ref="A625">IFNA(index(PlayerValues!A:A,match(IFNA(vlookup(B625,'Special Names'!A:B,2,FALSE),B625),PlayerValues!E:E,0)),"N/A")</f>
        <v>15742</v>
      </c>
      <c r="B625" s="4" t="s">
        <v>447</v>
      </c>
      <c r="C625" s="4" t="s">
        <v>278</v>
      </c>
      <c r="D625" s="94">
        <v>3481.0</v>
      </c>
    </row>
    <row r="626">
      <c r="A626" s="40" t="str">
        <f t="array" ref="A626">IFNA(index(PlayerValues!A:A,match(IFNA(vlookup(B626,'Special Names'!A:B,2,FALSE),B626),PlayerValues!E:E,0)),"N/A")</f>
        <v>N/A</v>
      </c>
      <c r="B626" s="4" t="s">
        <v>82</v>
      </c>
      <c r="C626" s="4" t="s">
        <v>325</v>
      </c>
      <c r="D626" s="94">
        <v>3478.0</v>
      </c>
    </row>
    <row r="627">
      <c r="A627" s="40">
        <f t="array" ref="A627">IFNA(index(PlayerValues!A:A,match(IFNA(vlookup(B627,'Special Names'!A:B,2,FALSE),B627),PlayerValues!E:E,0)),"N/A")</f>
        <v>14127</v>
      </c>
      <c r="B627" s="4" t="s">
        <v>486</v>
      </c>
      <c r="C627" s="4" t="s">
        <v>287</v>
      </c>
      <c r="D627" s="94">
        <v>3443.0</v>
      </c>
    </row>
    <row r="628">
      <c r="A628" s="40">
        <f t="array" ref="A628">IFNA(index(PlayerValues!A:A,match(IFNA(vlookup(B628,'Special Names'!A:B,2,FALSE),B628),PlayerValues!E:E,0)),"N/A")</f>
        <v>13299</v>
      </c>
      <c r="B628" s="4" t="s">
        <v>448</v>
      </c>
      <c r="C628" s="4" t="s">
        <v>298</v>
      </c>
      <c r="D628" s="94">
        <v>3888.0</v>
      </c>
    </row>
    <row r="629">
      <c r="A629" s="40" t="str">
        <f t="array" ref="A629">IFNA(index(PlayerValues!A:A,match(IFNA(vlookup(B629,'Special Names'!A:B,2,FALSE),B629),PlayerValues!E:E,0)),"N/A")</f>
        <v>N/A</v>
      </c>
      <c r="B629" s="4" t="s">
        <v>96</v>
      </c>
      <c r="C629" s="4" t="s">
        <v>325</v>
      </c>
      <c r="D629" s="94">
        <v>3405.0</v>
      </c>
    </row>
    <row r="630">
      <c r="A630" s="40">
        <f t="array" ref="A630">IFNA(index(PlayerValues!A:A,match(IFNA(vlookup(B630,'Special Names'!A:B,2,FALSE),B630),PlayerValues!E:E,0)),"N/A")</f>
        <v>15799</v>
      </c>
      <c r="B630" s="4" t="s">
        <v>468</v>
      </c>
      <c r="C630" s="4" t="s">
        <v>298</v>
      </c>
      <c r="D630" s="94">
        <v>3845.0</v>
      </c>
    </row>
    <row r="631">
      <c r="A631" s="40">
        <f t="array" ref="A631">IFNA(index(PlayerValues!A:A,match(IFNA(vlookup(B631,'Special Names'!A:B,2,FALSE),B631),PlayerValues!E:E,0)),"N/A")</f>
        <v>14109</v>
      </c>
      <c r="B631" s="4" t="s">
        <v>437</v>
      </c>
      <c r="C631" s="4" t="s">
        <v>287</v>
      </c>
      <c r="D631" s="94">
        <v>3390.0</v>
      </c>
    </row>
    <row r="632">
      <c r="A632" s="40">
        <f t="array" ref="A632">IFNA(index(PlayerValues!A:A,match(IFNA(vlookup(B632,'Special Names'!A:B,2,FALSE),B632),PlayerValues!E:E,0)),"N/A")</f>
        <v>13630</v>
      </c>
      <c r="B632" s="4" t="s">
        <v>465</v>
      </c>
      <c r="C632" s="4" t="s">
        <v>287</v>
      </c>
      <c r="D632" s="94">
        <v>3364.0</v>
      </c>
    </row>
    <row r="633">
      <c r="A633" s="40">
        <f t="array" ref="A633">IFNA(index(PlayerValues!A:A,match(IFNA(vlookup(B633,'Special Names'!A:B,2,FALSE),B633),PlayerValues!E:E,0)),"N/A")</f>
        <v>16594</v>
      </c>
      <c r="B633" s="4" t="s">
        <v>607</v>
      </c>
      <c r="C633" s="4" t="s">
        <v>278</v>
      </c>
      <c r="D633" s="94">
        <v>3357.0</v>
      </c>
    </row>
    <row r="634">
      <c r="A634" s="40">
        <f t="array" ref="A634">IFNA(index(PlayerValues!A:A,match(IFNA(vlookup(B634,'Special Names'!A:B,2,FALSE),B634),PlayerValues!E:E,0)),"N/A")</f>
        <v>15712</v>
      </c>
      <c r="B634" s="4" t="s">
        <v>488</v>
      </c>
      <c r="C634" s="4" t="s">
        <v>278</v>
      </c>
      <c r="D634" s="94">
        <v>3348.0</v>
      </c>
    </row>
    <row r="635">
      <c r="A635" s="40">
        <f t="array" ref="A635">IFNA(index(PlayerValues!A:A,match(IFNA(vlookup(B635,'Special Names'!A:B,2,FALSE),B635),PlayerValues!E:E,0)),"N/A")</f>
        <v>17053</v>
      </c>
      <c r="B635" s="4" t="s">
        <v>484</v>
      </c>
      <c r="C635" s="4" t="s">
        <v>278</v>
      </c>
      <c r="D635" s="94">
        <v>3311.0</v>
      </c>
    </row>
    <row r="636">
      <c r="A636" s="40">
        <f t="array" ref="A636">IFNA(index(PlayerValues!A:A,match(IFNA(vlookup(B636,'Special Names'!A:B,2,FALSE),B636),PlayerValues!E:E,0)),"N/A")</f>
        <v>16184</v>
      </c>
      <c r="B636" s="4" t="s">
        <v>445</v>
      </c>
      <c r="C636" s="4" t="s">
        <v>287</v>
      </c>
      <c r="D636" s="94">
        <v>3309.0</v>
      </c>
    </row>
    <row r="637">
      <c r="A637" s="40">
        <f t="array" ref="A637">IFNA(index(PlayerValues!A:A,match(IFNA(vlookup(B637,'Special Names'!A:B,2,FALSE),B637),PlayerValues!E:E,0)),"N/A")</f>
        <v>17473</v>
      </c>
      <c r="B637" s="4" t="s">
        <v>391</v>
      </c>
      <c r="C637" s="4" t="s">
        <v>278</v>
      </c>
      <c r="D637" s="94">
        <v>3286.0</v>
      </c>
    </row>
    <row r="638">
      <c r="A638" s="40">
        <f t="array" ref="A638">IFNA(index(PlayerValues!A:A,match(IFNA(vlookup(B638,'Special Names'!A:B,2,FALSE),B638),PlayerValues!E:E,0)),"N/A")</f>
        <v>16809</v>
      </c>
      <c r="B638" s="4" t="s">
        <v>455</v>
      </c>
      <c r="C638" s="4" t="s">
        <v>287</v>
      </c>
      <c r="D638" s="94">
        <v>3277.0</v>
      </c>
    </row>
    <row r="639">
      <c r="A639" s="40">
        <f t="array" ref="A639">IFNA(index(PlayerValues!A:A,match(IFNA(vlookup(B639,'Special Names'!A:B,2,FALSE),B639),PlayerValues!E:E,0)),"N/A")</f>
        <v>13635</v>
      </c>
      <c r="B639" s="4" t="s">
        <v>424</v>
      </c>
      <c r="C639" s="4" t="s">
        <v>287</v>
      </c>
      <c r="D639" s="94">
        <v>3273.0</v>
      </c>
    </row>
    <row r="640">
      <c r="A640" s="40">
        <f t="array" ref="A640">IFNA(index(PlayerValues!A:A,match(IFNA(vlookup(B640,'Special Names'!A:B,2,FALSE),B640),PlayerValues!E:E,0)),"N/A")</f>
        <v>16269</v>
      </c>
      <c r="B640" s="4" t="s">
        <v>481</v>
      </c>
      <c r="C640" s="4" t="s">
        <v>298</v>
      </c>
      <c r="D640" s="94">
        <v>3714.0</v>
      </c>
    </row>
    <row r="641">
      <c r="A641" s="40">
        <f t="array" ref="A641">IFNA(index(PlayerValues!A:A,match(IFNA(vlookup(B641,'Special Names'!A:B,2,FALSE),B641),PlayerValues!E:E,0)),"N/A")</f>
        <v>17477</v>
      </c>
      <c r="B641" s="4" t="s">
        <v>452</v>
      </c>
      <c r="C641" s="4" t="s">
        <v>278</v>
      </c>
      <c r="D641" s="94">
        <v>3239.0</v>
      </c>
    </row>
    <row r="642">
      <c r="A642" s="40">
        <f t="array" ref="A642">IFNA(index(PlayerValues!A:A,match(IFNA(vlookup(B642,'Special Names'!A:B,2,FALSE),B642),PlayerValues!E:E,0)),"N/A")</f>
        <v>17502</v>
      </c>
      <c r="B642" s="4" t="s">
        <v>451</v>
      </c>
      <c r="C642" s="4" t="s">
        <v>287</v>
      </c>
      <c r="D642" s="94">
        <v>3210.0</v>
      </c>
    </row>
    <row r="643">
      <c r="A643" s="40">
        <f t="array" ref="A643">IFNA(index(PlayerValues!A:A,match(IFNA(vlookup(B643,'Special Names'!A:B,2,FALSE),B643),PlayerValues!E:E,0)),"N/A")</f>
        <v>16187</v>
      </c>
      <c r="B643" s="4" t="s">
        <v>441</v>
      </c>
      <c r="C643" s="4" t="s">
        <v>287</v>
      </c>
      <c r="D643" s="94">
        <v>3158.0</v>
      </c>
    </row>
    <row r="644">
      <c r="A644" s="40">
        <f t="array" ref="A644">IFNA(index(PlayerValues!A:A,match(IFNA(vlookup(B644,'Special Names'!A:B,2,FALSE),B644),PlayerValues!E:E,0)),"N/A")</f>
        <v>14823</v>
      </c>
      <c r="B644" s="4" t="s">
        <v>459</v>
      </c>
      <c r="C644" s="4" t="s">
        <v>278</v>
      </c>
      <c r="D644" s="94">
        <v>3132.0</v>
      </c>
    </row>
    <row r="645">
      <c r="A645" s="40">
        <f t="array" ref="A645">IFNA(index(PlayerValues!A:A,match(IFNA(vlookup(B645,'Special Names'!A:B,2,FALSE),B645),PlayerValues!E:E,0)),"N/A")</f>
        <v>15761</v>
      </c>
      <c r="B645" s="4" t="s">
        <v>491</v>
      </c>
      <c r="C645" s="4" t="s">
        <v>287</v>
      </c>
      <c r="D645" s="94">
        <v>3101.0</v>
      </c>
    </row>
    <row r="646">
      <c r="A646" s="40">
        <f t="array" ref="A646">IFNA(index(PlayerValues!A:A,match(IFNA(vlookup(B646,'Special Names'!A:B,2,FALSE),B646),PlayerValues!E:E,0)),"N/A")</f>
        <v>15798</v>
      </c>
      <c r="B646" s="4" t="s">
        <v>443</v>
      </c>
      <c r="C646" s="4" t="s">
        <v>298</v>
      </c>
      <c r="D646" s="94">
        <v>3528.0</v>
      </c>
    </row>
    <row r="647">
      <c r="A647" s="40">
        <f t="array" ref="A647">IFNA(index(PlayerValues!A:A,match(IFNA(vlookup(B647,'Special Names'!A:B,2,FALSE),B647),PlayerValues!E:E,0)),"N/A")</f>
        <v>15261</v>
      </c>
      <c r="B647" s="4" t="s">
        <v>466</v>
      </c>
      <c r="C647" s="4" t="s">
        <v>278</v>
      </c>
      <c r="D647" s="94">
        <v>3090.0</v>
      </c>
    </row>
    <row r="648">
      <c r="A648" s="40" t="str">
        <f t="array" ref="A648">IFNA(index(PlayerValues!A:A,match(IFNA(vlookup(B648,'Special Names'!A:B,2,FALSE),B648),PlayerValues!E:E,0)),"N/A")</f>
        <v>N/A</v>
      </c>
      <c r="B648" s="4" t="s">
        <v>108</v>
      </c>
      <c r="C648" s="4" t="s">
        <v>325</v>
      </c>
      <c r="D648" s="94">
        <v>3071.0</v>
      </c>
    </row>
    <row r="649">
      <c r="A649" s="40" t="str">
        <f t="array" ref="A649">IFNA(index(PlayerValues!A:A,match(IFNA(vlookup(B649,'Special Names'!A:B,2,FALSE),B649),PlayerValues!E:E,0)),"N/A")</f>
        <v>N/A</v>
      </c>
      <c r="B649" s="4" t="s">
        <v>97</v>
      </c>
      <c r="C649" s="4" t="s">
        <v>325</v>
      </c>
      <c r="D649" s="94">
        <v>3045.0</v>
      </c>
    </row>
    <row r="650">
      <c r="A650" s="40">
        <f t="array" ref="A650">IFNA(index(PlayerValues!A:A,match(IFNA(vlookup(B650,'Special Names'!A:B,2,FALSE),B650),PlayerValues!E:E,0)),"N/A")</f>
        <v>16619</v>
      </c>
      <c r="B650" s="4" t="s">
        <v>538</v>
      </c>
      <c r="C650" s="4" t="s">
        <v>287</v>
      </c>
      <c r="D650" s="94">
        <v>3043.0</v>
      </c>
    </row>
    <row r="651">
      <c r="A651" s="40" t="str">
        <f t="array" ref="A651">IFNA(index(PlayerValues!A:A,match(IFNA(vlookup(B651,'Special Names'!A:B,2,FALSE),B651),PlayerValues!E:E,0)),"N/A")</f>
        <v>N/A</v>
      </c>
      <c r="B651" s="4" t="s">
        <v>84</v>
      </c>
      <c r="C651" s="4" t="s">
        <v>325</v>
      </c>
      <c r="D651" s="94">
        <v>3039.0</v>
      </c>
    </row>
    <row r="652">
      <c r="A652" s="40">
        <f t="array" ref="A652">IFNA(index(PlayerValues!A:A,match(IFNA(vlookup(B652,'Special Names'!A:B,2,FALSE),B652),PlayerValues!E:E,0)),"N/A")</f>
        <v>15259</v>
      </c>
      <c r="B652" s="4" t="s">
        <v>453</v>
      </c>
      <c r="C652" s="4" t="s">
        <v>278</v>
      </c>
      <c r="D652" s="94">
        <v>3023.0</v>
      </c>
    </row>
    <row r="653">
      <c r="A653" s="40">
        <f t="array" ref="A653">IFNA(index(PlayerValues!A:A,match(IFNA(vlookup(B653,'Special Names'!A:B,2,FALSE),B653),PlayerValues!E:E,0)),"N/A")</f>
        <v>17082</v>
      </c>
      <c r="B653" s="4" t="s">
        <v>498</v>
      </c>
      <c r="C653" s="4" t="s">
        <v>287</v>
      </c>
      <c r="D653" s="94">
        <v>3009.0</v>
      </c>
    </row>
    <row r="654">
      <c r="A654" s="40">
        <f t="array" ref="A654">IFNA(index(PlayerValues!A:A,match(IFNA(vlookup(B654,'Special Names'!A:B,2,FALSE),B654),PlayerValues!E:E,0)),"N/A")</f>
        <v>15779</v>
      </c>
      <c r="B654" s="4" t="s">
        <v>461</v>
      </c>
      <c r="C654" s="4" t="s">
        <v>287</v>
      </c>
      <c r="D654" s="94">
        <v>2988.0</v>
      </c>
    </row>
    <row r="655">
      <c r="A655" s="40">
        <f t="array" ref="A655">IFNA(index(PlayerValues!A:A,match(IFNA(vlookup(B655,'Special Names'!A:B,2,FALSE),B655),PlayerValues!E:E,0)),"N/A")</f>
        <v>16193</v>
      </c>
      <c r="B655" s="4" t="s">
        <v>487</v>
      </c>
      <c r="C655" s="4" t="s">
        <v>287</v>
      </c>
      <c r="D655" s="94">
        <v>2966.0</v>
      </c>
    </row>
    <row r="656">
      <c r="A656" s="40">
        <f t="array" ref="A656">IFNA(index(PlayerValues!A:A,match(IFNA(vlookup(B656,'Special Names'!A:B,2,FALSE),B656),PlayerValues!E:E,0)),"N/A")</f>
        <v>15241</v>
      </c>
      <c r="B656" s="4" t="s">
        <v>546</v>
      </c>
      <c r="C656" s="4" t="s">
        <v>283</v>
      </c>
      <c r="D656" s="94">
        <v>2931.0</v>
      </c>
    </row>
    <row r="657">
      <c r="A657" s="40">
        <f t="array" ref="A657">IFNA(index(PlayerValues!A:A,match(IFNA(vlookup(B657,'Special Names'!A:B,2,FALSE),B657),PlayerValues!E:E,0)),"N/A")</f>
        <v>17106</v>
      </c>
      <c r="B657" s="4" t="s">
        <v>550</v>
      </c>
      <c r="C657" s="4" t="s">
        <v>298</v>
      </c>
      <c r="D657" s="94">
        <v>3348.0</v>
      </c>
    </row>
    <row r="658">
      <c r="A658" s="40">
        <f t="array" ref="A658">IFNA(index(PlayerValues!A:A,match(IFNA(vlookup(B658,'Special Names'!A:B,2,FALSE),B658),PlayerValues!E:E,0)),"N/A")</f>
        <v>16723</v>
      </c>
      <c r="B658" s="4" t="s">
        <v>502</v>
      </c>
      <c r="C658" s="4" t="s">
        <v>298</v>
      </c>
      <c r="D658" s="94">
        <v>3338.0</v>
      </c>
    </row>
    <row r="659">
      <c r="A659" s="40">
        <f t="array" ref="A659">IFNA(index(PlayerValues!A:A,match(IFNA(vlookup(B659,'Special Names'!A:B,2,FALSE),B659),PlayerValues!E:E,0)),"N/A")</f>
        <v>17256</v>
      </c>
      <c r="B659" s="4" t="s">
        <v>462</v>
      </c>
      <c r="C659" s="4" t="s">
        <v>278</v>
      </c>
      <c r="D659" s="94">
        <v>2915.0</v>
      </c>
    </row>
    <row r="660">
      <c r="A660" s="40">
        <f t="array" ref="A660">IFNA(index(PlayerValues!A:A,match(IFNA(vlookup(B660,'Special Names'!A:B,2,FALSE),B660),PlayerValues!E:E,0)),"N/A")</f>
        <v>14860</v>
      </c>
      <c r="B660" s="4" t="s">
        <v>554</v>
      </c>
      <c r="C660" s="4" t="s">
        <v>287</v>
      </c>
      <c r="D660" s="94">
        <v>2910.0</v>
      </c>
    </row>
    <row r="661">
      <c r="A661" s="40">
        <f t="array" ref="A661">IFNA(index(PlayerValues!A:A,match(IFNA(vlookup(B661,'Special Names'!A:B,2,FALSE),B661),PlayerValues!E:E,0)),"N/A")</f>
        <v>17107</v>
      </c>
      <c r="B661" s="4" t="s">
        <v>478</v>
      </c>
      <c r="C661" s="4" t="s">
        <v>298</v>
      </c>
      <c r="D661" s="94">
        <v>3324.0</v>
      </c>
    </row>
    <row r="662">
      <c r="A662" s="40">
        <f t="array" ref="A662">IFNA(index(PlayerValues!A:A,match(IFNA(vlookup(B662,'Special Names'!A:B,2,FALSE),B662),PlayerValues!E:E,0)),"N/A")</f>
        <v>11671</v>
      </c>
      <c r="B662" s="4" t="s">
        <v>463</v>
      </c>
      <c r="C662" s="4" t="s">
        <v>287</v>
      </c>
      <c r="D662" s="94">
        <v>2902.0</v>
      </c>
    </row>
    <row r="663">
      <c r="A663" s="40">
        <f t="array" ref="A663">IFNA(index(PlayerValues!A:A,match(IFNA(vlookup(B663,'Special Names'!A:B,2,FALSE),B663),PlayerValues!E:E,0)),"N/A")</f>
        <v>17463</v>
      </c>
      <c r="B663" s="4" t="s">
        <v>433</v>
      </c>
      <c r="C663" s="4" t="s">
        <v>283</v>
      </c>
      <c r="D663" s="94">
        <v>2884.0</v>
      </c>
    </row>
    <row r="664">
      <c r="A664" s="40">
        <f t="array" ref="A664">IFNA(index(PlayerValues!A:A,match(IFNA(vlookup(B664,'Special Names'!A:B,2,FALSE),B664),PlayerValues!E:E,0)),"N/A")</f>
        <v>16080</v>
      </c>
      <c r="B664" s="4" t="s">
        <v>499</v>
      </c>
      <c r="C664" s="4" t="s">
        <v>287</v>
      </c>
      <c r="D664" s="94">
        <v>2876.0</v>
      </c>
    </row>
    <row r="665">
      <c r="A665" s="40">
        <f t="array" ref="A665">IFNA(index(PlayerValues!A:A,match(IFNA(vlookup(B665,'Special Names'!A:B,2,FALSE),B665),PlayerValues!E:E,0)),"N/A")</f>
        <v>16628</v>
      </c>
      <c r="B665" s="4" t="s">
        <v>490</v>
      </c>
      <c r="C665" s="4" t="s">
        <v>287</v>
      </c>
      <c r="D665" s="94">
        <v>2849.0</v>
      </c>
    </row>
    <row r="666">
      <c r="A666" s="40">
        <f t="array" ref="A666">IFNA(index(PlayerValues!A:A,match(IFNA(vlookup(B666,'Special Names'!A:B,2,FALSE),B666),PlayerValues!E:E,0)),"N/A")</f>
        <v>17031</v>
      </c>
      <c r="B666" s="4" t="s">
        <v>535</v>
      </c>
      <c r="C666" s="4" t="s">
        <v>283</v>
      </c>
      <c r="D666" s="94">
        <v>2842.0</v>
      </c>
    </row>
    <row r="667">
      <c r="A667" s="40">
        <f t="array" ref="A667">IFNA(index(PlayerValues!A:A,match(IFNA(vlookup(B667,'Special Names'!A:B,2,FALSE),B667),PlayerValues!E:E,0)),"N/A")</f>
        <v>17073</v>
      </c>
      <c r="B667" s="4" t="s">
        <v>547</v>
      </c>
      <c r="C667" s="4" t="s">
        <v>287</v>
      </c>
      <c r="D667" s="94">
        <v>2838.0</v>
      </c>
    </row>
    <row r="668">
      <c r="A668" s="40">
        <f t="array" ref="A668">IFNA(index(PlayerValues!A:A,match(IFNA(vlookup(B668,'Special Names'!A:B,2,FALSE),B668),PlayerValues!E:E,0)),"N/A")</f>
        <v>17072</v>
      </c>
      <c r="B668" s="4" t="s">
        <v>508</v>
      </c>
      <c r="C668" s="4" t="s">
        <v>287</v>
      </c>
      <c r="D668" s="94">
        <v>2837.0</v>
      </c>
    </row>
    <row r="669">
      <c r="A669" s="40">
        <f t="array" ref="A669">IFNA(index(PlayerValues!A:A,match(IFNA(vlookup(B669,'Special Names'!A:B,2,FALSE),B669),PlayerValues!E:E,0)),"N/A")</f>
        <v>17157</v>
      </c>
      <c r="B669" s="4" t="s">
        <v>524</v>
      </c>
      <c r="C669" s="4" t="s">
        <v>287</v>
      </c>
      <c r="D669" s="94">
        <v>2837.0</v>
      </c>
    </row>
    <row r="670">
      <c r="A670" s="40">
        <f t="array" ref="A670">IFNA(index(PlayerValues!A:A,match(IFNA(vlookup(B670,'Special Names'!A:B,2,FALSE),B670),PlayerValues!E:E,0)),"N/A")</f>
        <v>17171</v>
      </c>
      <c r="B670" s="4" t="s">
        <v>561</v>
      </c>
      <c r="C670" s="4" t="s">
        <v>287</v>
      </c>
      <c r="D670" s="94">
        <v>2836.0</v>
      </c>
    </row>
    <row r="671">
      <c r="A671" s="40" t="str">
        <f t="array" ref="A671">IFNA(index(PlayerValues!A:A,match(IFNA(vlookup(B671,'Special Names'!A:B,2,FALSE),B671),PlayerValues!E:E,0)),"N/A")</f>
        <v>N/A</v>
      </c>
      <c r="B671" s="4" t="s">
        <v>109</v>
      </c>
      <c r="C671" s="4" t="s">
        <v>325</v>
      </c>
      <c r="D671" s="94">
        <v>2833.0</v>
      </c>
    </row>
    <row r="672">
      <c r="A672" s="40">
        <f t="array" ref="A672">IFNA(index(PlayerValues!A:A,match(IFNA(vlookup(B672,'Special Names'!A:B,2,FALSE),B672),PlayerValues!E:E,0)),"N/A")</f>
        <v>16596</v>
      </c>
      <c r="B672" s="4" t="s">
        <v>501</v>
      </c>
      <c r="C672" s="4" t="s">
        <v>278</v>
      </c>
      <c r="D672" s="94">
        <v>2827.0</v>
      </c>
    </row>
    <row r="673">
      <c r="A673" s="40">
        <f t="array" ref="A673">IFNA(index(PlayerValues!A:A,match(IFNA(vlookup(B673,'Special Names'!A:B,2,FALSE),B673),PlayerValues!E:E,0)),"N/A")</f>
        <v>14071</v>
      </c>
      <c r="B673" s="4" t="s">
        <v>440</v>
      </c>
      <c r="C673" s="4" t="s">
        <v>278</v>
      </c>
      <c r="D673" s="94">
        <v>2825.0</v>
      </c>
    </row>
    <row r="674">
      <c r="A674" s="40">
        <f t="array" ref="A674">IFNA(index(PlayerValues!A:A,match(IFNA(vlookup(B674,'Special Names'!A:B,2,FALSE),B674),PlayerValues!E:E,0)),"N/A")</f>
        <v>16165</v>
      </c>
      <c r="B674" s="4" t="s">
        <v>520</v>
      </c>
      <c r="C674" s="4" t="s">
        <v>278</v>
      </c>
      <c r="D674" s="94">
        <v>2814.0</v>
      </c>
    </row>
    <row r="675">
      <c r="A675" s="40">
        <f t="array" ref="A675">IFNA(index(PlayerValues!A:A,match(IFNA(vlookup(B675,'Special Names'!A:B,2,FALSE),B675),PlayerValues!E:E,0)),"N/A")</f>
        <v>16649</v>
      </c>
      <c r="B675" s="4" t="s">
        <v>586</v>
      </c>
      <c r="C675" s="4" t="s">
        <v>298</v>
      </c>
      <c r="D675" s="94">
        <v>3215.0</v>
      </c>
    </row>
    <row r="676">
      <c r="A676" s="40">
        <f t="array" ref="A676">IFNA(index(PlayerValues!A:A,match(IFNA(vlookup(B676,'Special Names'!A:B,2,FALSE),B676),PlayerValues!E:E,0)),"N/A")</f>
        <v>17080</v>
      </c>
      <c r="B676" s="4" t="s">
        <v>532</v>
      </c>
      <c r="C676" s="4" t="s">
        <v>287</v>
      </c>
      <c r="D676" s="94">
        <v>2791.0</v>
      </c>
    </row>
    <row r="677">
      <c r="A677" s="40">
        <f t="array" ref="A677">IFNA(index(PlayerValues!A:A,match(IFNA(vlookup(B677,'Special Names'!A:B,2,FALSE),B677),PlayerValues!E:E,0)),"N/A")</f>
        <v>15255</v>
      </c>
      <c r="B677" s="4" t="s">
        <v>477</v>
      </c>
      <c r="C677" s="4" t="s">
        <v>278</v>
      </c>
      <c r="D677" s="94">
        <v>2786.0</v>
      </c>
    </row>
    <row r="678">
      <c r="A678" s="40" t="str">
        <f t="array" ref="A678">IFNA(index(PlayerValues!A:A,match(IFNA(vlookup(B678,'Special Names'!A:B,2,FALSE),B678),PlayerValues!E:E,0)),"N/A")</f>
        <v>N/A</v>
      </c>
      <c r="B678" s="4" t="s">
        <v>85</v>
      </c>
      <c r="C678" s="4" t="s">
        <v>325</v>
      </c>
      <c r="D678" s="94">
        <v>2786.0</v>
      </c>
    </row>
    <row r="679">
      <c r="A679" s="40">
        <f t="array" ref="A679">IFNA(index(PlayerValues!A:A,match(IFNA(vlookup(B679,'Special Names'!A:B,2,FALSE),B679),PlayerValues!E:E,0)),"N/A")</f>
        <v>13163</v>
      </c>
      <c r="B679" s="4" t="s">
        <v>473</v>
      </c>
      <c r="C679" s="4" t="s">
        <v>287</v>
      </c>
      <c r="D679" s="94">
        <v>2785.0</v>
      </c>
    </row>
    <row r="680">
      <c r="A680" s="40">
        <f t="array" ref="A680">IFNA(index(PlayerValues!A:A,match(IFNA(vlookup(B680,'Special Names'!A:B,2,FALSE),B680),PlayerValues!E:E,0)),"N/A")</f>
        <v>14800</v>
      </c>
      <c r="B680" s="4" t="s">
        <v>472</v>
      </c>
      <c r="C680" s="4" t="s">
        <v>278</v>
      </c>
      <c r="D680" s="94">
        <v>2785.0</v>
      </c>
    </row>
    <row r="681">
      <c r="A681" s="40">
        <f t="array" ref="A681">IFNA(index(PlayerValues!A:A,match(IFNA(vlookup(B681,'Special Names'!A:B,2,FALSE),B681),PlayerValues!E:E,0)),"N/A")</f>
        <v>17098</v>
      </c>
      <c r="B681" s="4" t="s">
        <v>533</v>
      </c>
      <c r="C681" s="4" t="s">
        <v>287</v>
      </c>
      <c r="D681" s="94">
        <v>2785.0</v>
      </c>
    </row>
    <row r="682">
      <c r="A682" s="40">
        <f t="array" ref="A682">IFNA(index(PlayerValues!A:A,match(IFNA(vlookup(B682,'Special Names'!A:B,2,FALSE),B682),PlayerValues!E:E,0)),"N/A")</f>
        <v>16597</v>
      </c>
      <c r="B682" s="4" t="s">
        <v>427</v>
      </c>
      <c r="C682" s="4" t="s">
        <v>278</v>
      </c>
      <c r="D682" s="94">
        <v>2784.0</v>
      </c>
    </row>
    <row r="683">
      <c r="A683" s="40">
        <f t="array" ref="A683">IFNA(index(PlayerValues!A:A,match(IFNA(vlookup(B683,'Special Names'!A:B,2,FALSE),B683),PlayerValues!E:E,0)),"N/A")</f>
        <v>17134</v>
      </c>
      <c r="B683" s="4" t="s">
        <v>548</v>
      </c>
      <c r="C683" s="4" t="s">
        <v>287</v>
      </c>
      <c r="D683" s="94">
        <v>2773.0</v>
      </c>
    </row>
    <row r="684">
      <c r="A684" s="40">
        <f t="array" ref="A684">IFNA(index(PlayerValues!A:A,match(IFNA(vlookup(B684,'Special Names'!A:B,2,FALSE),B684),PlayerValues!E:E,0)),"N/A")</f>
        <v>17476</v>
      </c>
      <c r="B684" s="4" t="s">
        <v>494</v>
      </c>
      <c r="C684" s="4" t="s">
        <v>278</v>
      </c>
      <c r="D684" s="94">
        <v>2758.0</v>
      </c>
    </row>
    <row r="685">
      <c r="A685" s="40">
        <f t="array" ref="A685">IFNA(index(PlayerValues!A:A,match(IFNA(vlookup(B685,'Special Names'!A:B,2,FALSE),B685),PlayerValues!E:E,0)),"N/A")</f>
        <v>14138</v>
      </c>
      <c r="B685" s="4" t="s">
        <v>531</v>
      </c>
      <c r="C685" s="4" t="s">
        <v>298</v>
      </c>
      <c r="D685" s="94">
        <v>3141.0</v>
      </c>
    </row>
    <row r="686">
      <c r="A686" s="40">
        <f t="array" ref="A686">IFNA(index(PlayerValues!A:A,match(IFNA(vlookup(B686,'Special Names'!A:B,2,FALSE),B686),PlayerValues!E:E,0)),"N/A")</f>
        <v>16747</v>
      </c>
      <c r="B686" s="4" t="s">
        <v>555</v>
      </c>
      <c r="C686" s="4" t="s">
        <v>278</v>
      </c>
      <c r="D686" s="94">
        <v>2713.0</v>
      </c>
    </row>
    <row r="687">
      <c r="A687" s="40">
        <f t="array" ref="A687">IFNA(index(PlayerValues!A:A,match(IFNA(vlookup(B687,'Special Names'!A:B,2,FALSE),B687),PlayerValues!E:E,0)),"N/A")</f>
        <v>16626</v>
      </c>
      <c r="B687" s="4" t="s">
        <v>515</v>
      </c>
      <c r="C687" s="4" t="s">
        <v>287</v>
      </c>
      <c r="D687" s="94">
        <v>2709.0</v>
      </c>
    </row>
    <row r="688">
      <c r="A688" s="40">
        <f t="array" ref="A688">IFNA(index(PlayerValues!A:A,match(IFNA(vlookup(B688,'Special Names'!A:B,2,FALSE),B688),PlayerValues!E:E,0)),"N/A")</f>
        <v>17048</v>
      </c>
      <c r="B688" s="4" t="s">
        <v>539</v>
      </c>
      <c r="C688" s="4" t="s">
        <v>278</v>
      </c>
      <c r="D688" s="94">
        <v>2709.0</v>
      </c>
    </row>
    <row r="689">
      <c r="A689" s="40">
        <f t="array" ref="A689">IFNA(index(PlayerValues!A:A,match(IFNA(vlookup(B689,'Special Names'!A:B,2,FALSE),B689),PlayerValues!E:E,0)),"N/A")</f>
        <v>17047</v>
      </c>
      <c r="B689" s="4" t="s">
        <v>510</v>
      </c>
      <c r="C689" s="4" t="s">
        <v>278</v>
      </c>
      <c r="D689" s="94">
        <v>2702.0</v>
      </c>
    </row>
    <row r="690">
      <c r="A690" s="40">
        <f t="array" ref="A690">IFNA(index(PlayerValues!A:A,match(IFNA(vlookup(B690,'Special Names'!A:B,2,FALSE),B690),PlayerValues!E:E,0)),"N/A")</f>
        <v>14778</v>
      </c>
      <c r="B690" s="4" t="s">
        <v>564</v>
      </c>
      <c r="C690" s="4" t="s">
        <v>283</v>
      </c>
      <c r="D690" s="94">
        <v>2701.0</v>
      </c>
    </row>
    <row r="691">
      <c r="A691" s="40">
        <f t="array" ref="A691">IFNA(index(PlayerValues!A:A,match(IFNA(vlookup(B691,'Special Names'!A:B,2,FALSE),B691),PlayerValues!E:E,0)),"N/A")</f>
        <v>14085</v>
      </c>
      <c r="B691" s="4" t="s">
        <v>489</v>
      </c>
      <c r="C691" s="4" t="s">
        <v>278</v>
      </c>
      <c r="D691" s="94">
        <v>2688.0</v>
      </c>
    </row>
    <row r="692">
      <c r="A692" s="40" t="str">
        <f t="array" ref="A692">IFNA(index(PlayerValues!A:A,match(IFNA(vlookup(B692,'Special Names'!A:B,2,FALSE),B692),PlayerValues!E:E,0)),"N/A")</f>
        <v>N/A</v>
      </c>
      <c r="B692" s="4" t="s">
        <v>110</v>
      </c>
      <c r="C692" s="4" t="s">
        <v>325</v>
      </c>
      <c r="D692" s="94">
        <v>2659.0</v>
      </c>
    </row>
    <row r="693">
      <c r="A693" s="40">
        <f t="array" ref="A693">IFNA(index(PlayerValues!A:A,match(IFNA(vlookup(B693,'Special Names'!A:B,2,FALSE),B693),PlayerValues!E:E,0)),"N/A")</f>
        <v>12186</v>
      </c>
      <c r="B693" s="4" t="s">
        <v>497</v>
      </c>
      <c r="C693" s="4" t="s">
        <v>287</v>
      </c>
      <c r="D693" s="94">
        <v>2655.0</v>
      </c>
    </row>
    <row r="694">
      <c r="A694" s="40">
        <f t="array" ref="A694">IFNA(index(PlayerValues!A:A,match(IFNA(vlookup(B694,'Special Names'!A:B,2,FALSE),B694),PlayerValues!E:E,0)),"N/A")</f>
        <v>17046</v>
      </c>
      <c r="B694" s="4" t="s">
        <v>602</v>
      </c>
      <c r="C694" s="4" t="s">
        <v>278</v>
      </c>
      <c r="D694" s="94">
        <v>2649.0</v>
      </c>
    </row>
    <row r="695">
      <c r="A695" s="40">
        <f t="array" ref="A695">IFNA(index(PlayerValues!A:A,match(IFNA(vlookup(B695,'Special Names'!A:B,2,FALSE),B695),PlayerValues!E:E,0)),"N/A")</f>
        <v>14833</v>
      </c>
      <c r="B695" s="4" t="s">
        <v>553</v>
      </c>
      <c r="C695" s="4" t="s">
        <v>287</v>
      </c>
      <c r="D695" s="94">
        <v>2647.0</v>
      </c>
    </row>
    <row r="696">
      <c r="A696" s="40">
        <f t="array" ref="A696">IFNA(index(PlayerValues!A:A,match(IFNA(vlookup(B696,'Special Names'!A:B,2,FALSE),B696),PlayerValues!E:E,0)),"N/A")</f>
        <v>14840</v>
      </c>
      <c r="B696" s="4" t="s">
        <v>731</v>
      </c>
      <c r="C696" s="4" t="s">
        <v>287</v>
      </c>
      <c r="D696" s="94">
        <v>2640.0</v>
      </c>
    </row>
    <row r="697">
      <c r="A697" s="40">
        <f t="array" ref="A697">IFNA(index(PlayerValues!A:A,match(IFNA(vlookup(B697,'Special Names'!A:B,2,FALSE),B697),PlayerValues!E:E,0)),"N/A")</f>
        <v>15721</v>
      </c>
      <c r="B697" s="4" t="s">
        <v>504</v>
      </c>
      <c r="C697" s="4" t="s">
        <v>278</v>
      </c>
      <c r="D697" s="94">
        <v>2636.0</v>
      </c>
    </row>
    <row r="698">
      <c r="A698" s="40">
        <f t="array" ref="A698">IFNA(index(PlayerValues!A:A,match(IFNA(vlookup(B698,'Special Names'!A:B,2,FALSE),B698),PlayerValues!E:E,0)),"N/A")</f>
        <v>13192</v>
      </c>
      <c r="B698" s="4" t="s">
        <v>563</v>
      </c>
      <c r="C698" s="4" t="s">
        <v>298</v>
      </c>
      <c r="D698" s="94">
        <v>3046.0</v>
      </c>
    </row>
    <row r="699">
      <c r="A699" s="40">
        <f t="array" ref="A699">IFNA(index(PlayerValues!A:A,match(IFNA(vlookup(B699,'Special Names'!A:B,2,FALSE),B699),PlayerValues!E:E,0)),"N/A")</f>
        <v>17108</v>
      </c>
      <c r="B699" s="4" t="s">
        <v>542</v>
      </c>
      <c r="C699" s="4" t="s">
        <v>298</v>
      </c>
      <c r="D699" s="94">
        <v>3042.0</v>
      </c>
    </row>
    <row r="700">
      <c r="A700" s="40">
        <f t="array" ref="A700">IFNA(index(PlayerValues!A:A,match(IFNA(vlookup(B700,'Special Names'!A:B,2,FALSE),B700),PlayerValues!E:E,0)),"N/A")</f>
        <v>16757</v>
      </c>
      <c r="B700" s="4" t="s">
        <v>558</v>
      </c>
      <c r="C700" s="4" t="s">
        <v>278</v>
      </c>
      <c r="D700" s="94">
        <v>2611.0</v>
      </c>
    </row>
    <row r="701">
      <c r="A701" s="40" t="str">
        <f t="array" ref="A701">IFNA(index(PlayerValues!A:A,match(IFNA(vlookup(B701,'Special Names'!A:B,2,FALSE),B701),PlayerValues!E:E,0)),"N/A")</f>
        <v>N/A</v>
      </c>
      <c r="B701" s="4" t="s">
        <v>557</v>
      </c>
      <c r="C701" s="4" t="s">
        <v>278</v>
      </c>
      <c r="D701" s="94">
        <v>2593.0</v>
      </c>
    </row>
    <row r="702">
      <c r="A702" s="40">
        <f t="array" ref="A702">IFNA(index(PlayerValues!A:A,match(IFNA(vlookup(B702,'Special Names'!A:B,2,FALSE),B702),PlayerValues!E:E,0)),"N/A")</f>
        <v>16152</v>
      </c>
      <c r="B702" s="4" t="s">
        <v>601</v>
      </c>
      <c r="C702" s="4" t="s">
        <v>283</v>
      </c>
      <c r="D702" s="94">
        <v>2585.0</v>
      </c>
    </row>
    <row r="703">
      <c r="A703" s="40">
        <f t="array" ref="A703">IFNA(index(PlayerValues!A:A,match(IFNA(vlookup(B703,'Special Names'!A:B,2,FALSE),B703),PlayerValues!E:E,0)),"N/A")</f>
        <v>13674</v>
      </c>
      <c r="B703" s="4" t="s">
        <v>511</v>
      </c>
      <c r="C703" s="4" t="s">
        <v>298</v>
      </c>
      <c r="D703" s="94">
        <v>2993.0</v>
      </c>
    </row>
    <row r="704">
      <c r="A704" s="40">
        <f t="array" ref="A704">IFNA(index(PlayerValues!A:A,match(IFNA(vlookup(B704,'Special Names'!A:B,2,FALSE),B704),PlayerValues!E:E,0)),"N/A")</f>
        <v>17078</v>
      </c>
      <c r="B704" s="4" t="s">
        <v>543</v>
      </c>
      <c r="C704" s="4" t="s">
        <v>287</v>
      </c>
      <c r="D704" s="94">
        <v>2566.0</v>
      </c>
    </row>
    <row r="705">
      <c r="A705" s="40">
        <f t="array" ref="A705">IFNA(index(PlayerValues!A:A,match(IFNA(vlookup(B705,'Special Names'!A:B,2,FALSE),B705),PlayerValues!E:E,0)),"N/A")</f>
        <v>16166</v>
      </c>
      <c r="B705" s="4" t="s">
        <v>567</v>
      </c>
      <c r="C705" s="4" t="s">
        <v>278</v>
      </c>
      <c r="D705" s="94">
        <v>2565.0</v>
      </c>
    </row>
    <row r="706">
      <c r="A706" s="40">
        <f t="array" ref="A706">IFNA(index(PlayerValues!A:A,match(IFNA(vlookup(B706,'Special Names'!A:B,2,FALSE),B706),PlayerValues!E:E,0)),"N/A")</f>
        <v>13671</v>
      </c>
      <c r="B706" s="4" t="s">
        <v>506</v>
      </c>
      <c r="C706" s="4" t="s">
        <v>298</v>
      </c>
      <c r="D706" s="94">
        <v>2968.0</v>
      </c>
    </row>
    <row r="707">
      <c r="A707" s="40">
        <f t="array" ref="A707">IFNA(index(PlayerValues!A:A,match(IFNA(vlookup(B707,'Special Names'!A:B,2,FALSE),B707),PlayerValues!E:E,0)),"N/A")</f>
        <v>17505</v>
      </c>
      <c r="B707" s="4" t="s">
        <v>528</v>
      </c>
      <c r="C707" s="4" t="s">
        <v>287</v>
      </c>
      <c r="D707" s="94">
        <v>2559.0</v>
      </c>
    </row>
    <row r="708">
      <c r="A708" s="40">
        <f t="array" ref="A708">IFNA(index(PlayerValues!A:A,match(IFNA(vlookup(B708,'Special Names'!A:B,2,FALSE),B708),PlayerValues!E:E,0)),"N/A")</f>
        <v>14136</v>
      </c>
      <c r="B708" s="4" t="s">
        <v>536</v>
      </c>
      <c r="C708" s="4" t="s">
        <v>287</v>
      </c>
      <c r="D708" s="94">
        <v>2551.0</v>
      </c>
    </row>
    <row r="709">
      <c r="A709" s="40">
        <f t="array" ref="A709">IFNA(index(PlayerValues!A:A,match(IFNA(vlookup(B709,'Special Names'!A:B,2,FALSE),B709),PlayerValues!E:E,0)),"N/A")</f>
        <v>16189</v>
      </c>
      <c r="B709" s="4" t="s">
        <v>582</v>
      </c>
      <c r="C709" s="4" t="s">
        <v>287</v>
      </c>
      <c r="D709" s="94">
        <v>2541.0</v>
      </c>
    </row>
    <row r="710">
      <c r="A710" s="40">
        <f t="array" ref="A710">IFNA(index(PlayerValues!A:A,match(IFNA(vlookup(B710,'Special Names'!A:B,2,FALSE),B710),PlayerValues!E:E,0)),"N/A")</f>
        <v>16164</v>
      </c>
      <c r="B710" s="4" t="s">
        <v>512</v>
      </c>
      <c r="C710" s="4" t="s">
        <v>278</v>
      </c>
      <c r="D710" s="94">
        <v>2523.0</v>
      </c>
    </row>
    <row r="711">
      <c r="A711" s="40">
        <f t="array" ref="A711">IFNA(index(PlayerValues!A:A,match(IFNA(vlookup(B711,'Special Names'!A:B,2,FALSE),B711),PlayerValues!E:E,0)),"N/A")</f>
        <v>16617</v>
      </c>
      <c r="B711" s="4" t="s">
        <v>541</v>
      </c>
      <c r="C711" s="4" t="s">
        <v>287</v>
      </c>
      <c r="D711" s="94">
        <v>2514.0</v>
      </c>
    </row>
    <row r="712">
      <c r="A712" s="40">
        <f t="array" ref="A712">IFNA(index(PlayerValues!A:A,match(IFNA(vlookup(B712,'Special Names'!A:B,2,FALSE),B712),PlayerValues!E:E,0)),"N/A")</f>
        <v>12616</v>
      </c>
      <c r="B712" s="4" t="s">
        <v>529</v>
      </c>
      <c r="C712" s="4" t="s">
        <v>283</v>
      </c>
      <c r="D712" s="94">
        <v>2503.0</v>
      </c>
    </row>
    <row r="713">
      <c r="A713" s="40">
        <f t="array" ref="A713">IFNA(index(PlayerValues!A:A,match(IFNA(vlookup(B713,'Special Names'!A:B,2,FALSE),B713),PlayerValues!E:E,0)),"N/A")</f>
        <v>15972</v>
      </c>
      <c r="B713" s="4" t="s">
        <v>469</v>
      </c>
      <c r="C713" s="4" t="s">
        <v>278</v>
      </c>
      <c r="D713" s="94">
        <v>2477.0</v>
      </c>
    </row>
    <row r="714">
      <c r="A714" s="40" t="str">
        <f t="array" ref="A714">IFNA(index(PlayerValues!A:A,match(IFNA(vlookup(B714,'Special Names'!A:B,2,FALSE),B714),PlayerValues!E:E,0)),"N/A")</f>
        <v>N/A</v>
      </c>
      <c r="B714" s="4" t="s">
        <v>98</v>
      </c>
      <c r="C714" s="4" t="s">
        <v>325</v>
      </c>
      <c r="D714" s="94">
        <v>2468.0</v>
      </c>
    </row>
    <row r="715">
      <c r="A715" s="40">
        <f t="array" ref="A715">IFNA(index(PlayerValues!A:A,match(IFNA(vlookup(B715,'Special Names'!A:B,2,FALSE),B715),PlayerValues!E:E,0)),"N/A")</f>
        <v>17474</v>
      </c>
      <c r="B715" s="4" t="s">
        <v>513</v>
      </c>
      <c r="C715" s="4" t="s">
        <v>278</v>
      </c>
      <c r="D715" s="94">
        <v>2468.0</v>
      </c>
    </row>
    <row r="716">
      <c r="A716" s="40">
        <f t="array" ref="A716">IFNA(index(PlayerValues!A:A,match(IFNA(vlookup(B716,'Special Names'!A:B,2,FALSE),B716),PlayerValues!E:E,0)),"N/A")</f>
        <v>16287</v>
      </c>
      <c r="B716" s="4" t="s">
        <v>516</v>
      </c>
      <c r="C716" s="4" t="s">
        <v>287</v>
      </c>
      <c r="D716" s="94">
        <v>2466.0</v>
      </c>
    </row>
    <row r="717">
      <c r="A717" s="40">
        <f t="array" ref="A717">IFNA(index(PlayerValues!A:A,match(IFNA(vlookup(B717,'Special Names'!A:B,2,FALSE),B717),PlayerValues!E:E,0)),"N/A")</f>
        <v>17033</v>
      </c>
      <c r="B717" s="4" t="s">
        <v>570</v>
      </c>
      <c r="C717" s="4" t="s">
        <v>283</v>
      </c>
      <c r="D717" s="94">
        <v>2437.0</v>
      </c>
    </row>
    <row r="718">
      <c r="A718" s="40">
        <f t="array" ref="A718">IFNA(index(PlayerValues!A:A,match(IFNA(vlookup(B718,'Special Names'!A:B,2,FALSE),B718),PlayerValues!E:E,0)),"N/A")</f>
        <v>16204</v>
      </c>
      <c r="B718" s="4" t="s">
        <v>530</v>
      </c>
      <c r="C718" s="4" t="s">
        <v>287</v>
      </c>
      <c r="D718" s="94">
        <v>2424.0</v>
      </c>
    </row>
    <row r="719">
      <c r="A719" s="40">
        <f t="array" ref="A719">IFNA(index(PlayerValues!A:A,match(IFNA(vlookup(B719,'Special Names'!A:B,2,FALSE),B719),PlayerValues!E:E,0)),"N/A")</f>
        <v>14861</v>
      </c>
      <c r="B719" s="4" t="s">
        <v>523</v>
      </c>
      <c r="C719" s="4" t="s">
        <v>298</v>
      </c>
      <c r="D719" s="94">
        <v>2825.0</v>
      </c>
    </row>
    <row r="720">
      <c r="A720" s="40">
        <f t="array" ref="A720">IFNA(index(PlayerValues!A:A,match(IFNA(vlookup(B720,'Special Names'!A:B,2,FALSE),B720),PlayerValues!E:E,0)),"N/A")</f>
        <v>12676</v>
      </c>
      <c r="B720" s="4" t="s">
        <v>537</v>
      </c>
      <c r="C720" s="4" t="s">
        <v>298</v>
      </c>
      <c r="D720" s="94">
        <v>2813.0</v>
      </c>
    </row>
    <row r="721">
      <c r="A721" s="40">
        <f t="array" ref="A721">IFNA(index(PlayerValues!A:A,match(IFNA(vlookup(B721,'Special Names'!A:B,2,FALSE),B721),PlayerValues!E:E,0)),"N/A")</f>
        <v>17105</v>
      </c>
      <c r="B721" s="4" t="s">
        <v>525</v>
      </c>
      <c r="C721" s="4" t="s">
        <v>298</v>
      </c>
      <c r="D721" s="94">
        <v>2809.0</v>
      </c>
    </row>
    <row r="722">
      <c r="A722" s="40">
        <f t="array" ref="A722">IFNA(index(PlayerValues!A:A,match(IFNA(vlookup(B722,'Special Names'!A:B,2,FALSE),B722),PlayerValues!E:E,0)),"N/A")</f>
        <v>17507</v>
      </c>
      <c r="B722" s="4" t="s">
        <v>495</v>
      </c>
      <c r="C722" s="4" t="s">
        <v>287</v>
      </c>
      <c r="D722" s="94">
        <v>2400.0</v>
      </c>
    </row>
    <row r="723">
      <c r="A723" s="40">
        <f t="array" ref="A723">IFNA(index(PlayerValues!A:A,match(IFNA(vlookup(B723,'Special Names'!A:B,2,FALSE),B723),PlayerValues!E:E,0)),"N/A")</f>
        <v>16610</v>
      </c>
      <c r="B723" s="4" t="s">
        <v>562</v>
      </c>
      <c r="C723" s="4" t="s">
        <v>278</v>
      </c>
      <c r="D723" s="94">
        <v>2394.0</v>
      </c>
    </row>
    <row r="724">
      <c r="A724" s="40">
        <f t="array" ref="A724">IFNA(index(PlayerValues!A:A,match(IFNA(vlookup(B724,'Special Names'!A:B,2,FALSE),B724),PlayerValues!E:E,0)),"N/A")</f>
        <v>17511</v>
      </c>
      <c r="B724" s="4" t="s">
        <v>485</v>
      </c>
      <c r="C724" s="4" t="s">
        <v>287</v>
      </c>
      <c r="D724" s="94">
        <v>2376.0</v>
      </c>
    </row>
    <row r="725">
      <c r="A725" s="40">
        <f t="array" ref="A725">IFNA(index(PlayerValues!A:A,match(IFNA(vlookup(B725,'Special Names'!A:B,2,FALSE),B725),PlayerValues!E:E,0)),"N/A")</f>
        <v>15716</v>
      </c>
      <c r="B725" s="4" t="s">
        <v>545</v>
      </c>
      <c r="C725" s="4" t="s">
        <v>278</v>
      </c>
      <c r="D725" s="94">
        <v>2360.0</v>
      </c>
    </row>
    <row r="726">
      <c r="A726" s="40">
        <f t="array" ref="A726">IFNA(index(PlayerValues!A:A,match(IFNA(vlookup(B726,'Special Names'!A:B,2,FALSE),B726),PlayerValues!E:E,0)),"N/A")</f>
        <v>17464</v>
      </c>
      <c r="B726" s="4" t="s">
        <v>828</v>
      </c>
      <c r="C726" s="4" t="s">
        <v>283</v>
      </c>
      <c r="D726" s="94">
        <v>2358.0</v>
      </c>
    </row>
    <row r="727">
      <c r="A727" s="40">
        <f t="array" ref="A727">IFNA(index(PlayerValues!A:A,match(IFNA(vlookup(B727,'Special Names'!A:B,2,FALSE),B727),PlayerValues!E:E,0)),"N/A")</f>
        <v>13132</v>
      </c>
      <c r="B727" s="4" t="s">
        <v>598</v>
      </c>
      <c r="C727" s="4" t="s">
        <v>278</v>
      </c>
      <c r="D727" s="94">
        <v>2357.0</v>
      </c>
    </row>
    <row r="728">
      <c r="A728" s="40">
        <f t="array" ref="A728">IFNA(index(PlayerValues!A:A,match(IFNA(vlookup(B728,'Special Names'!A:B,2,FALSE),B728),PlayerValues!E:E,0)),"N/A")</f>
        <v>15802</v>
      </c>
      <c r="B728" s="4" t="s">
        <v>566</v>
      </c>
      <c r="C728" s="4" t="s">
        <v>298</v>
      </c>
      <c r="D728" s="94">
        <v>2749.0</v>
      </c>
    </row>
    <row r="729">
      <c r="A729" s="40">
        <f t="array" ref="A729">IFNA(index(PlayerValues!A:A,match(IFNA(vlookup(B729,'Special Names'!A:B,2,FALSE),B729),PlayerValues!E:E,0)),"N/A")</f>
        <v>16178</v>
      </c>
      <c r="B729" s="4" t="s">
        <v>507</v>
      </c>
      <c r="C729" s="4" t="s">
        <v>278</v>
      </c>
      <c r="D729" s="94">
        <v>2347.0</v>
      </c>
    </row>
    <row r="730">
      <c r="A730" s="40" t="str">
        <f t="array" ref="A730">IFNA(index(PlayerValues!A:A,match(IFNA(vlookup(B730,'Special Names'!A:B,2,FALSE),B730),PlayerValues!E:E,0)),"N/A")</f>
        <v>N/A</v>
      </c>
      <c r="B730" s="4" t="s">
        <v>86</v>
      </c>
      <c r="C730" s="4" t="s">
        <v>325</v>
      </c>
      <c r="D730" s="94">
        <v>2341.0</v>
      </c>
    </row>
    <row r="731">
      <c r="A731" s="40">
        <f t="array" ref="A731">IFNA(index(PlayerValues!A:A,match(IFNA(vlookup(B731,'Special Names'!A:B,2,FALSE),B731),PlayerValues!E:E,0)),"N/A")</f>
        <v>13772</v>
      </c>
      <c r="B731" s="4" t="s">
        <v>544</v>
      </c>
      <c r="C731" s="4" t="s">
        <v>298</v>
      </c>
      <c r="D731" s="94">
        <v>2738.0</v>
      </c>
    </row>
    <row r="732">
      <c r="A732" s="40">
        <f t="array" ref="A732">IFNA(index(PlayerValues!A:A,match(IFNA(vlookup(B732,'Special Names'!A:B,2,FALSE),B732),PlayerValues!E:E,0)),"N/A")</f>
        <v>17079</v>
      </c>
      <c r="B732" s="4" t="s">
        <v>572</v>
      </c>
      <c r="C732" s="4" t="s">
        <v>287</v>
      </c>
      <c r="D732" s="94">
        <v>2320.0</v>
      </c>
    </row>
    <row r="733">
      <c r="A733" s="40">
        <f t="array" ref="A733">IFNA(index(PlayerValues!A:A,match(IFNA(vlookup(B733,'Special Names'!A:B,2,FALSE),B733),PlayerValues!E:E,0)),"N/A")</f>
        <v>16212</v>
      </c>
      <c r="B733" s="4" t="s">
        <v>568</v>
      </c>
      <c r="C733" s="4" t="s">
        <v>298</v>
      </c>
      <c r="D733" s="94">
        <v>2712.0</v>
      </c>
    </row>
    <row r="734">
      <c r="A734" s="40">
        <f t="array" ref="A734">IFNA(index(PlayerValues!A:A,match(IFNA(vlookup(B734,'Special Names'!A:B,2,FALSE),B734),PlayerValues!E:E,0)),"N/A")</f>
        <v>17049</v>
      </c>
      <c r="B734" s="4" t="s">
        <v>624</v>
      </c>
      <c r="C734" s="4" t="s">
        <v>278</v>
      </c>
      <c r="D734" s="94">
        <v>2307.0</v>
      </c>
    </row>
    <row r="735">
      <c r="A735" s="40">
        <f t="array" ref="A735">IFNA(index(PlayerValues!A:A,match(IFNA(vlookup(B735,'Special Names'!A:B,2,FALSE),B735),PlayerValues!E:E,0)),"N/A")</f>
        <v>12801</v>
      </c>
      <c r="B735" s="4" t="s">
        <v>722</v>
      </c>
      <c r="C735" s="4" t="s">
        <v>287</v>
      </c>
      <c r="D735" s="94">
        <v>2306.0</v>
      </c>
    </row>
    <row r="736">
      <c r="A736" s="40" t="str">
        <f t="array" ref="A736">IFNA(index(PlayerValues!A:A,match(IFNA(vlookup(B736,'Special Names'!A:B,2,FALSE),B736),PlayerValues!E:E,0)),"N/A")</f>
        <v>N/A</v>
      </c>
      <c r="B736" s="4" t="s">
        <v>99</v>
      </c>
      <c r="C736" s="4" t="s">
        <v>325</v>
      </c>
      <c r="D736" s="94">
        <v>2298.0</v>
      </c>
    </row>
    <row r="737">
      <c r="A737" s="40">
        <f t="array" ref="A737">IFNA(index(PlayerValues!A:A,match(IFNA(vlookup(B737,'Special Names'!A:B,2,FALSE),B737),PlayerValues!E:E,0)),"N/A")</f>
        <v>17034</v>
      </c>
      <c r="B737" s="4" t="s">
        <v>643</v>
      </c>
      <c r="C737" s="4" t="s">
        <v>283</v>
      </c>
      <c r="D737" s="94">
        <v>2297.0</v>
      </c>
    </row>
    <row r="738">
      <c r="A738" s="40">
        <f t="array" ref="A738">IFNA(index(PlayerValues!A:A,match(IFNA(vlookup(B738,'Special Names'!A:B,2,FALSE),B738),PlayerValues!E:E,0)),"N/A")</f>
        <v>16036</v>
      </c>
      <c r="B738" s="4" t="s">
        <v>592</v>
      </c>
      <c r="C738" s="4" t="s">
        <v>298</v>
      </c>
      <c r="D738" s="94">
        <v>2668.0</v>
      </c>
    </row>
    <row r="739">
      <c r="A739" s="40">
        <f t="array" ref="A739">IFNA(index(PlayerValues!A:A,match(IFNA(vlookup(B739,'Special Names'!A:B,2,FALSE),B739),PlayerValues!E:E,0)),"N/A")</f>
        <v>17076</v>
      </c>
      <c r="B739" s="4" t="s">
        <v>585</v>
      </c>
      <c r="C739" s="4" t="s">
        <v>287</v>
      </c>
      <c r="D739" s="94">
        <v>2268.0</v>
      </c>
    </row>
    <row r="740">
      <c r="A740" s="40">
        <f t="array" ref="A740">IFNA(index(PlayerValues!A:A,match(IFNA(vlookup(B740,'Special Names'!A:B,2,FALSE),B740),PlayerValues!E:E,0)),"N/A")</f>
        <v>17544</v>
      </c>
      <c r="B740" s="4" t="s">
        <v>470</v>
      </c>
      <c r="C740" s="4" t="s">
        <v>298</v>
      </c>
      <c r="D740" s="94">
        <v>2664.0</v>
      </c>
    </row>
    <row r="741">
      <c r="A741" s="40">
        <f t="array" ref="A741">IFNA(index(PlayerValues!A:A,match(IFNA(vlookup(B741,'Special Names'!A:B,2,FALSE),B741),PlayerValues!E:E,0)),"N/A")</f>
        <v>16171</v>
      </c>
      <c r="B741" s="4" t="s">
        <v>618</v>
      </c>
      <c r="C741" s="4" t="s">
        <v>278</v>
      </c>
      <c r="D741" s="94">
        <v>2255.0</v>
      </c>
    </row>
    <row r="742">
      <c r="A742" s="40">
        <f t="array" ref="A742">IFNA(index(PlayerValues!A:A,match(IFNA(vlookup(B742,'Special Names'!A:B,2,FALSE),B742),PlayerValues!E:E,0)),"N/A")</f>
        <v>16342</v>
      </c>
      <c r="B742" s="4" t="s">
        <v>583</v>
      </c>
      <c r="C742" s="4" t="s">
        <v>287</v>
      </c>
      <c r="D742" s="94">
        <v>2218.0</v>
      </c>
    </row>
    <row r="743">
      <c r="A743" s="40">
        <f t="array" ref="A743">IFNA(index(PlayerValues!A:A,match(IFNA(vlookup(B743,'Special Names'!A:B,2,FALSE),B743),PlayerValues!E:E,0)),"N/A")</f>
        <v>13319</v>
      </c>
      <c r="B743" s="4" t="s">
        <v>549</v>
      </c>
      <c r="C743" s="4" t="s">
        <v>278</v>
      </c>
      <c r="D743" s="94">
        <v>2217.0</v>
      </c>
    </row>
    <row r="744">
      <c r="A744" s="40">
        <f t="array" ref="A744">IFNA(index(PlayerValues!A:A,match(IFNA(vlookup(B744,'Special Names'!A:B,2,FALSE),B744),PlayerValues!E:E,0)),"N/A")</f>
        <v>17506</v>
      </c>
      <c r="B744" s="4" t="s">
        <v>471</v>
      </c>
      <c r="C744" s="4" t="s">
        <v>287</v>
      </c>
      <c r="D744" s="94">
        <v>2209.0</v>
      </c>
    </row>
    <row r="745">
      <c r="A745" s="40">
        <f t="array" ref="A745">IFNA(index(PlayerValues!A:A,match(IFNA(vlookup(B745,'Special Names'!A:B,2,FALSE),B745),PlayerValues!E:E,0)),"N/A")</f>
        <v>17509</v>
      </c>
      <c r="B745" s="4" t="s">
        <v>551</v>
      </c>
      <c r="C745" s="4" t="s">
        <v>287</v>
      </c>
      <c r="D745" s="94">
        <v>2209.0</v>
      </c>
    </row>
    <row r="746">
      <c r="A746" s="40">
        <f t="array" ref="A746">IFNA(index(PlayerValues!A:A,match(IFNA(vlookup(B746,'Special Names'!A:B,2,FALSE),B746),PlayerValues!E:E,0)),"N/A")</f>
        <v>16195</v>
      </c>
      <c r="B746" s="4" t="s">
        <v>509</v>
      </c>
      <c r="C746" s="4" t="s">
        <v>287</v>
      </c>
      <c r="D746" s="94">
        <v>2204.0</v>
      </c>
    </row>
    <row r="747">
      <c r="A747" s="40">
        <f t="array" ref="A747">IFNA(index(PlayerValues!A:A,match(IFNA(vlookup(B747,'Special Names'!A:B,2,FALSE),B747),PlayerValues!E:E,0)),"N/A")</f>
        <v>16639</v>
      </c>
      <c r="B747" s="4" t="s">
        <v>599</v>
      </c>
      <c r="C747" s="4" t="s">
        <v>287</v>
      </c>
      <c r="D747" s="94">
        <v>2203.0</v>
      </c>
    </row>
    <row r="748">
      <c r="A748" s="40">
        <f t="array" ref="A748">IFNA(index(PlayerValues!A:A,match(IFNA(vlookup(B748,'Special Names'!A:B,2,FALSE),B748),PlayerValues!E:E,0)),"N/A")</f>
        <v>15889</v>
      </c>
      <c r="B748" s="4" t="s">
        <v>503</v>
      </c>
      <c r="C748" s="4" t="s">
        <v>298</v>
      </c>
      <c r="D748" s="94">
        <v>2593.0</v>
      </c>
    </row>
    <row r="749">
      <c r="A749" s="40">
        <f t="array" ref="A749">IFNA(index(PlayerValues!A:A,match(IFNA(vlookup(B749,'Special Names'!A:B,2,FALSE),B749),PlayerValues!E:E,0)),"N/A")</f>
        <v>16684</v>
      </c>
      <c r="B749" s="4" t="s">
        <v>500</v>
      </c>
      <c r="C749" s="4" t="s">
        <v>287</v>
      </c>
      <c r="D749" s="94">
        <v>2194.0</v>
      </c>
    </row>
    <row r="750">
      <c r="A750" s="40" t="str">
        <f t="array" ref="A750">IFNA(index(PlayerValues!A:A,match(IFNA(vlookup(B750,'Special Names'!A:B,2,FALSE),B750),PlayerValues!E:E,0)),"N/A")</f>
        <v>N/A</v>
      </c>
      <c r="B750" s="4" t="s">
        <v>100</v>
      </c>
      <c r="C750" s="4" t="s">
        <v>325</v>
      </c>
      <c r="D750" s="94">
        <v>2171.0</v>
      </c>
    </row>
    <row r="751">
      <c r="A751" s="40" t="str">
        <f t="array" ref="A751">IFNA(index(PlayerValues!A:A,match(IFNA(vlookup(B751,'Special Names'!A:B,2,FALSE),B751),PlayerValues!E:E,0)),"N/A")</f>
        <v>N/A</v>
      </c>
      <c r="B751" s="4" t="s">
        <v>87</v>
      </c>
      <c r="C751" s="4" t="s">
        <v>325</v>
      </c>
      <c r="D751" s="94">
        <v>2166.0</v>
      </c>
    </row>
    <row r="752">
      <c r="A752" s="40">
        <f t="array" ref="A752">IFNA(index(PlayerValues!A:A,match(IFNA(vlookup(B752,'Special Names'!A:B,2,FALSE),B752),PlayerValues!E:E,0)),"N/A")</f>
        <v>16752</v>
      </c>
      <c r="B752" s="4" t="s">
        <v>597</v>
      </c>
      <c r="C752" s="4" t="s">
        <v>278</v>
      </c>
      <c r="D752" s="94">
        <v>2162.0</v>
      </c>
    </row>
    <row r="753">
      <c r="A753" s="40">
        <f t="array" ref="A753">IFNA(index(PlayerValues!A:A,match(IFNA(vlookup(B753,'Special Names'!A:B,2,FALSE),B753),PlayerValues!E:E,0)),"N/A")</f>
        <v>17087</v>
      </c>
      <c r="B753" s="4" t="s">
        <v>600</v>
      </c>
      <c r="C753" s="4" t="s">
        <v>287</v>
      </c>
      <c r="D753" s="94">
        <v>2148.0</v>
      </c>
    </row>
    <row r="754">
      <c r="A754" s="40" t="str">
        <f t="array" ref="A754">IFNA(index(PlayerValues!A:A,match(IFNA(vlookup(B754,'Special Names'!A:B,2,FALSE),B754),PlayerValues!E:E,0)),"N/A")</f>
        <v>N/A</v>
      </c>
      <c r="B754" s="4" t="s">
        <v>112</v>
      </c>
      <c r="C754" s="4" t="s">
        <v>325</v>
      </c>
      <c r="D754" s="94">
        <v>2148.0</v>
      </c>
    </row>
    <row r="755">
      <c r="A755" s="40">
        <f t="array" ref="A755">IFNA(index(PlayerValues!A:A,match(IFNA(vlookup(B755,'Special Names'!A:B,2,FALSE),B755),PlayerValues!E:E,0)),"N/A")</f>
        <v>15749</v>
      </c>
      <c r="B755" s="4" t="s">
        <v>574</v>
      </c>
      <c r="C755" s="4" t="s">
        <v>278</v>
      </c>
      <c r="D755" s="94">
        <v>2146.0</v>
      </c>
    </row>
    <row r="756">
      <c r="A756" s="40">
        <f t="array" ref="A756">IFNA(index(PlayerValues!A:A,match(IFNA(vlookup(B756,'Special Names'!A:B,2,FALSE),B756),PlayerValues!E:E,0)),"N/A")</f>
        <v>16191</v>
      </c>
      <c r="B756" s="4" t="s">
        <v>666</v>
      </c>
      <c r="C756" s="4" t="s">
        <v>287</v>
      </c>
      <c r="D756" s="94">
        <v>2141.0</v>
      </c>
    </row>
    <row r="757">
      <c r="A757" s="40">
        <f t="array" ref="A757">IFNA(index(PlayerValues!A:A,match(IFNA(vlookup(B757,'Special Names'!A:B,2,FALSE),B757),PlayerValues!E:E,0)),"N/A")</f>
        <v>17069</v>
      </c>
      <c r="B757" s="4" t="s">
        <v>604</v>
      </c>
      <c r="C757" s="4" t="s">
        <v>278</v>
      </c>
      <c r="D757" s="94">
        <v>2136.0</v>
      </c>
    </row>
    <row r="758">
      <c r="A758" s="40">
        <f t="array" ref="A758">IFNA(index(PlayerValues!A:A,match(IFNA(vlookup(B758,'Special Names'!A:B,2,FALSE),B758),PlayerValues!E:E,0)),"N/A")</f>
        <v>15238</v>
      </c>
      <c r="B758" s="4" t="s">
        <v>613</v>
      </c>
      <c r="C758" s="4" t="s">
        <v>283</v>
      </c>
      <c r="D758" s="94">
        <v>2131.0</v>
      </c>
    </row>
    <row r="759">
      <c r="A759" s="40">
        <f t="array" ref="A759">IFNA(index(PlayerValues!A:A,match(IFNA(vlookup(B759,'Special Names'!A:B,2,FALSE),B759),PlayerValues!E:E,0)),"N/A")</f>
        <v>14867</v>
      </c>
      <c r="B759" s="4" t="s">
        <v>591</v>
      </c>
      <c r="C759" s="4" t="s">
        <v>298</v>
      </c>
      <c r="D759" s="94">
        <v>2518.0</v>
      </c>
    </row>
    <row r="760">
      <c r="A760" s="40">
        <f t="array" ref="A760">IFNA(index(PlayerValues!A:A,match(IFNA(vlookup(B760,'Special Names'!A:B,2,FALSE),B760),PlayerValues!E:E,0)),"N/A")</f>
        <v>16644</v>
      </c>
      <c r="B760" s="4" t="s">
        <v>640</v>
      </c>
      <c r="C760" s="4" t="s">
        <v>298</v>
      </c>
      <c r="D760" s="94">
        <v>2513.0</v>
      </c>
    </row>
    <row r="761">
      <c r="A761" s="40">
        <f t="array" ref="A761">IFNA(index(PlayerValues!A:A,match(IFNA(vlookup(B761,'Special Names'!A:B,2,FALSE),B761),PlayerValues!E:E,0)),"N/A")</f>
        <v>14871</v>
      </c>
      <c r="B761" s="4" t="s">
        <v>584</v>
      </c>
      <c r="C761" s="4" t="s">
        <v>298</v>
      </c>
      <c r="D761" s="94">
        <v>2505.0</v>
      </c>
    </row>
    <row r="762">
      <c r="A762" s="40" t="str">
        <f t="array" ref="A762">IFNA(index(PlayerValues!A:A,match(IFNA(vlookup(B762,'Special Names'!A:B,2,FALSE),B762),PlayerValues!E:E,0)),"N/A")</f>
        <v>N/A</v>
      </c>
      <c r="B762" s="4" t="s">
        <v>88</v>
      </c>
      <c r="C762" s="4" t="s">
        <v>325</v>
      </c>
      <c r="D762" s="94">
        <v>2112.0</v>
      </c>
    </row>
    <row r="763">
      <c r="A763" s="40">
        <f t="array" ref="A763">IFNA(index(PlayerValues!A:A,match(IFNA(vlookup(B763,'Special Names'!A:B,2,FALSE),B763),PlayerValues!E:E,0)),"N/A")</f>
        <v>17478</v>
      </c>
      <c r="B763" s="4" t="s">
        <v>527</v>
      </c>
      <c r="C763" s="4" t="s">
        <v>278</v>
      </c>
      <c r="D763" s="94">
        <v>2098.0</v>
      </c>
    </row>
    <row r="764">
      <c r="A764" s="40">
        <f t="array" ref="A764">IFNA(index(PlayerValues!A:A,match(IFNA(vlookup(B764,'Special Names'!A:B,2,FALSE),B764),PlayerValues!E:E,0)),"N/A")</f>
        <v>17056</v>
      </c>
      <c r="B764" s="4" t="s">
        <v>581</v>
      </c>
      <c r="C764" s="4" t="s">
        <v>278</v>
      </c>
      <c r="D764" s="94">
        <v>2090.0</v>
      </c>
    </row>
    <row r="765">
      <c r="A765" s="40">
        <f t="array" ref="A765">IFNA(index(PlayerValues!A:A,match(IFNA(vlookup(B765,'Special Names'!A:B,2,FALSE),B765),PlayerValues!E:E,0)),"N/A")</f>
        <v>16432</v>
      </c>
      <c r="B765" s="4" t="s">
        <v>620</v>
      </c>
      <c r="C765" s="4" t="s">
        <v>278</v>
      </c>
      <c r="D765" s="94">
        <v>2088.0</v>
      </c>
    </row>
    <row r="766">
      <c r="A766" s="40">
        <f t="array" ref="A766">IFNA(index(PlayerValues!A:A,match(IFNA(vlookup(B766,'Special Names'!A:B,2,FALSE),B766),PlayerValues!E:E,0)),"N/A")</f>
        <v>16643</v>
      </c>
      <c r="B766" s="4" t="s">
        <v>609</v>
      </c>
      <c r="C766" s="4" t="s">
        <v>298</v>
      </c>
      <c r="D766" s="94">
        <v>2469.0</v>
      </c>
    </row>
    <row r="767">
      <c r="A767" s="40">
        <f t="array" ref="A767">IFNA(index(PlayerValues!A:A,match(IFNA(vlookup(B767,'Special Names'!A:B,2,FALSE),B767),PlayerValues!E:E,0)),"N/A")</f>
        <v>17060</v>
      </c>
      <c r="B767" s="4" t="s">
        <v>603</v>
      </c>
      <c r="C767" s="4" t="s">
        <v>278</v>
      </c>
      <c r="D767" s="94">
        <v>2068.0</v>
      </c>
    </row>
    <row r="768">
      <c r="A768" s="40">
        <f t="array" ref="A768">IFNA(index(PlayerValues!A:A,match(IFNA(vlookup(B768,'Special Names'!A:B,2,FALSE),B768),PlayerValues!E:E,0)),"N/A")</f>
        <v>16174</v>
      </c>
      <c r="B768" s="4" t="s">
        <v>505</v>
      </c>
      <c r="C768" s="4" t="s">
        <v>278</v>
      </c>
      <c r="D768" s="94">
        <v>2063.0</v>
      </c>
    </row>
    <row r="769">
      <c r="A769" s="40">
        <f t="array" ref="A769">IFNA(index(PlayerValues!A:A,match(IFNA(vlookup(B769,'Special Names'!A:B,2,FALSE),B769),PlayerValues!E:E,0)),"N/A")</f>
        <v>13146</v>
      </c>
      <c r="B769" s="4" t="s">
        <v>652</v>
      </c>
      <c r="C769" s="4" t="s">
        <v>278</v>
      </c>
      <c r="D769" s="94">
        <v>2060.0</v>
      </c>
    </row>
    <row r="770">
      <c r="A770" s="40" t="str">
        <f t="array" ref="A770">IFNA(index(PlayerValues!A:A,match(IFNA(vlookup(B770,'Special Names'!A:B,2,FALSE),B770),PlayerValues!E:E,0)),"N/A")</f>
        <v>N/A</v>
      </c>
      <c r="B770" s="4" t="s">
        <v>113</v>
      </c>
      <c r="C770" s="4" t="s">
        <v>325</v>
      </c>
      <c r="D770" s="94">
        <v>2058.0</v>
      </c>
    </row>
    <row r="771">
      <c r="A771" s="40">
        <f t="array" ref="A771">IFNA(index(PlayerValues!A:A,match(IFNA(vlookup(B771,'Special Names'!A:B,2,FALSE),B771),PlayerValues!E:E,0)),"N/A")</f>
        <v>15331</v>
      </c>
      <c r="B771" s="4" t="s">
        <v>560</v>
      </c>
      <c r="C771" s="4" t="s">
        <v>298</v>
      </c>
      <c r="D771" s="94">
        <v>2446.0</v>
      </c>
    </row>
    <row r="772">
      <c r="A772" s="40">
        <f t="array" ref="A772">IFNA(index(PlayerValues!A:A,match(IFNA(vlookup(B772,'Special Names'!A:B,2,FALSE),B772),PlayerValues!E:E,0)),"N/A")</f>
        <v>13633</v>
      </c>
      <c r="B772" s="4" t="s">
        <v>625</v>
      </c>
      <c r="C772" s="4" t="s">
        <v>287</v>
      </c>
      <c r="D772" s="94">
        <v>2030.0</v>
      </c>
    </row>
    <row r="773">
      <c r="A773" s="40">
        <f t="array" ref="A773">IFNA(index(PlayerValues!A:A,match(IFNA(vlookup(B773,'Special Names'!A:B,2,FALSE),B773),PlayerValues!E:E,0)),"N/A")</f>
        <v>14974</v>
      </c>
      <c r="B773" s="4" t="s">
        <v>611</v>
      </c>
      <c r="C773" s="4" t="s">
        <v>287</v>
      </c>
      <c r="D773" s="94">
        <v>2016.0</v>
      </c>
    </row>
    <row r="774">
      <c r="A774" s="40">
        <f t="array" ref="A774">IFNA(index(PlayerValues!A:A,match(IFNA(vlookup(B774,'Special Names'!A:B,2,FALSE),B774),PlayerValues!E:E,0)),"N/A")</f>
        <v>15293</v>
      </c>
      <c r="B774" s="4" t="s">
        <v>578</v>
      </c>
      <c r="C774" s="4" t="s">
        <v>287</v>
      </c>
      <c r="D774" s="94">
        <v>2012.0</v>
      </c>
    </row>
    <row r="775">
      <c r="A775" s="40">
        <f t="array" ref="A775">IFNA(index(PlayerValues!A:A,match(IFNA(vlookup(B775,'Special Names'!A:B,2,FALSE),B775),PlayerValues!E:E,0)),"N/A")</f>
        <v>11244</v>
      </c>
      <c r="B775" s="4" t="s">
        <v>519</v>
      </c>
      <c r="C775" s="4" t="s">
        <v>298</v>
      </c>
      <c r="D775" s="94">
        <v>2373.0</v>
      </c>
    </row>
    <row r="776">
      <c r="A776" s="40">
        <f t="array" ref="A776">IFNA(index(PlayerValues!A:A,match(IFNA(vlookup(B776,'Special Names'!A:B,2,FALSE),B776),PlayerValues!E:E,0)),"N/A")</f>
        <v>16603</v>
      </c>
      <c r="B776" s="4" t="s">
        <v>587</v>
      </c>
      <c r="C776" s="4" t="s">
        <v>278</v>
      </c>
      <c r="D776" s="94">
        <v>1977.0</v>
      </c>
    </row>
    <row r="777">
      <c r="A777" s="40">
        <f t="array" ref="A777">IFNA(index(PlayerValues!A:A,match(IFNA(vlookup(B777,'Special Names'!A:B,2,FALSE),B777),PlayerValues!E:E,0)),"N/A")</f>
        <v>17036</v>
      </c>
      <c r="B777" s="4" t="s">
        <v>617</v>
      </c>
      <c r="C777" s="4" t="s">
        <v>283</v>
      </c>
      <c r="D777" s="94">
        <v>1975.0</v>
      </c>
    </row>
    <row r="778">
      <c r="A778" s="40">
        <f t="array" ref="A778">IFNA(index(PlayerValues!A:A,match(IFNA(vlookup(B778,'Special Names'!A:B,2,FALSE),B778),PlayerValues!E:E,0)),"N/A")</f>
        <v>17465</v>
      </c>
      <c r="B778" s="4" t="s">
        <v>649</v>
      </c>
      <c r="C778" s="4" t="s">
        <v>283</v>
      </c>
      <c r="D778" s="94">
        <v>1957.0</v>
      </c>
    </row>
    <row r="779">
      <c r="A779" s="40">
        <f t="array" ref="A779">IFNA(index(PlayerValues!A:A,match(IFNA(vlookup(B779,'Special Names'!A:B,2,FALSE),B779),PlayerValues!E:E,0)),"N/A")</f>
        <v>17503</v>
      </c>
      <c r="B779" s="4" t="s">
        <v>480</v>
      </c>
      <c r="C779" s="4" t="s">
        <v>287</v>
      </c>
      <c r="D779" s="94">
        <v>1942.0</v>
      </c>
    </row>
    <row r="780">
      <c r="A780" s="40">
        <f t="array" ref="A780">IFNA(index(PlayerValues!A:A,match(IFNA(vlookup(B780,'Special Names'!A:B,2,FALSE),B780),PlayerValues!E:E,0)),"N/A")</f>
        <v>17482</v>
      </c>
      <c r="B780" s="4" t="s">
        <v>460</v>
      </c>
      <c r="C780" s="4" t="s">
        <v>278</v>
      </c>
      <c r="D780" s="94">
        <v>1927.0</v>
      </c>
    </row>
    <row r="781">
      <c r="A781" s="40">
        <f t="array" ref="A781">IFNA(index(PlayerValues!A:A,match(IFNA(vlookup(B781,'Special Names'!A:B,2,FALSE),B781),PlayerValues!E:E,0)),"N/A")</f>
        <v>17184</v>
      </c>
      <c r="B781" s="4" t="s">
        <v>588</v>
      </c>
      <c r="C781" s="4" t="s">
        <v>287</v>
      </c>
      <c r="D781" s="94">
        <v>1920.0</v>
      </c>
    </row>
    <row r="782">
      <c r="A782" s="40">
        <f t="array" ref="A782">IFNA(index(PlayerValues!A:A,match(IFNA(vlookup(B782,'Special Names'!A:B,2,FALSE),B782),PlayerValues!E:E,0)),"N/A")</f>
        <v>16216</v>
      </c>
      <c r="B782" s="4" t="s">
        <v>595</v>
      </c>
      <c r="C782" s="4" t="s">
        <v>298</v>
      </c>
      <c r="D782" s="94">
        <v>2296.0</v>
      </c>
    </row>
    <row r="783">
      <c r="A783" s="40">
        <f t="array" ref="A783">IFNA(index(PlayerValues!A:A,match(IFNA(vlookup(B783,'Special Names'!A:B,2,FALSE),B783),PlayerValues!E:E,0)),"N/A")</f>
        <v>13189</v>
      </c>
      <c r="B783" s="4" t="s">
        <v>626</v>
      </c>
      <c r="C783" s="4" t="s">
        <v>298</v>
      </c>
      <c r="D783" s="94">
        <v>2291.0</v>
      </c>
    </row>
    <row r="784">
      <c r="A784" s="40">
        <f t="array" ref="A784">IFNA(index(PlayerValues!A:A,match(IFNA(vlookup(B784,'Special Names'!A:B,2,FALSE),B784),PlayerValues!E:E,0)),"N/A")</f>
        <v>17512</v>
      </c>
      <c r="B784" s="4" t="s">
        <v>483</v>
      </c>
      <c r="C784" s="4" t="s">
        <v>287</v>
      </c>
      <c r="D784" s="94">
        <v>1902.0</v>
      </c>
    </row>
    <row r="785">
      <c r="A785" s="40">
        <f t="array" ref="A785">IFNA(index(PlayerValues!A:A,match(IFNA(vlookup(B785,'Special Names'!A:B,2,FALSE),B785),PlayerValues!E:E,0)),"N/A")</f>
        <v>17546</v>
      </c>
      <c r="B785" s="4" t="s">
        <v>671</v>
      </c>
      <c r="C785" s="4" t="s">
        <v>298</v>
      </c>
      <c r="D785" s="94">
        <v>2276.0</v>
      </c>
    </row>
    <row r="786">
      <c r="A786" s="40">
        <f t="array" ref="A786">IFNA(index(PlayerValues!A:A,match(IFNA(vlookup(B786,'Special Names'!A:B,2,FALSE),B786),PlayerValues!E:E,0)),"N/A")</f>
        <v>16215</v>
      </c>
      <c r="B786" s="4" t="s">
        <v>637</v>
      </c>
      <c r="C786" s="4" t="s">
        <v>298</v>
      </c>
      <c r="D786" s="94">
        <v>2271.0</v>
      </c>
    </row>
    <row r="787">
      <c r="A787" s="40">
        <f t="array" ref="A787">IFNA(index(PlayerValues!A:A,match(IFNA(vlookup(B787,'Special Names'!A:B,2,FALSE),B787),PlayerValues!E:E,0)),"N/A")</f>
        <v>16778</v>
      </c>
      <c r="B787" s="4" t="s">
        <v>577</v>
      </c>
      <c r="C787" s="4" t="s">
        <v>287</v>
      </c>
      <c r="D787" s="94">
        <v>1889.0</v>
      </c>
    </row>
    <row r="788">
      <c r="A788" s="40">
        <f t="array" ref="A788">IFNA(index(PlayerValues!A:A,match(IFNA(vlookup(B788,'Special Names'!A:B,2,FALSE),B788),PlayerValues!E:E,0)),"N/A")</f>
        <v>16635</v>
      </c>
      <c r="B788" s="4" t="s">
        <v>645</v>
      </c>
      <c r="C788" s="4" t="s">
        <v>287</v>
      </c>
      <c r="D788" s="94">
        <v>1884.0</v>
      </c>
    </row>
    <row r="789">
      <c r="A789" s="40" t="str">
        <f t="array" ref="A789">IFNA(index(PlayerValues!A:A,match(IFNA(vlookup(B789,'Special Names'!A:B,2,FALSE),B789),PlayerValues!E:E,0)),"N/A")</f>
        <v>N/A</v>
      </c>
      <c r="B789" s="4" t="s">
        <v>114</v>
      </c>
      <c r="C789" s="4" t="s">
        <v>325</v>
      </c>
      <c r="D789" s="94">
        <v>1882.0</v>
      </c>
    </row>
    <row r="790">
      <c r="A790" s="40">
        <f t="array" ref="A790">IFNA(index(PlayerValues!A:A,match(IFNA(vlookup(B790,'Special Names'!A:B,2,FALSE),B790),PlayerValues!E:E,0)),"N/A")</f>
        <v>15337</v>
      </c>
      <c r="B790" s="4" t="s">
        <v>655</v>
      </c>
      <c r="C790" s="4" t="s">
        <v>298</v>
      </c>
      <c r="D790" s="94">
        <v>2259.0</v>
      </c>
    </row>
    <row r="791">
      <c r="A791" s="40">
        <f t="array" ref="A791">IFNA(index(PlayerValues!A:A,match(IFNA(vlookup(B791,'Special Names'!A:B,2,FALSE),B791),PlayerValues!E:E,0)),"N/A")</f>
        <v>17061</v>
      </c>
      <c r="B791" s="4" t="s">
        <v>580</v>
      </c>
      <c r="C791" s="4" t="s">
        <v>278</v>
      </c>
      <c r="D791" s="94">
        <v>1872.0</v>
      </c>
    </row>
    <row r="792">
      <c r="A792" s="40">
        <f t="array" ref="A792">IFNA(index(PlayerValues!A:A,match(IFNA(vlookup(B792,'Special Names'!A:B,2,FALSE),B792),PlayerValues!E:E,0)),"N/A")</f>
        <v>17517</v>
      </c>
      <c r="B792" s="4" t="s">
        <v>454</v>
      </c>
      <c r="C792" s="4" t="s">
        <v>287</v>
      </c>
      <c r="D792" s="94">
        <v>1868.0</v>
      </c>
    </row>
    <row r="793">
      <c r="A793" s="40">
        <f t="array" ref="A793">IFNA(index(PlayerValues!A:A,match(IFNA(vlookup(B793,'Special Names'!A:B,2,FALSE),B793),PlayerValues!E:E,0)),"N/A")</f>
        <v>15254</v>
      </c>
      <c r="B793" s="4" t="s">
        <v>633</v>
      </c>
      <c r="C793" s="4" t="s">
        <v>278</v>
      </c>
      <c r="D793" s="94">
        <v>1864.0</v>
      </c>
    </row>
    <row r="794">
      <c r="A794" s="40">
        <f t="array" ref="A794">IFNA(index(PlayerValues!A:A,match(IFNA(vlookup(B794,'Special Names'!A:B,2,FALSE),B794),PlayerValues!E:E,0)),"N/A")</f>
        <v>15759</v>
      </c>
      <c r="B794" s="4" t="s">
        <v>662</v>
      </c>
      <c r="C794" s="4" t="s">
        <v>287</v>
      </c>
      <c r="D794" s="94">
        <v>1862.0</v>
      </c>
    </row>
    <row r="795">
      <c r="A795" s="40">
        <f t="array" ref="A795">IFNA(index(PlayerValues!A:A,match(IFNA(vlookup(B795,'Special Names'!A:B,2,FALSE),B795),PlayerValues!E:E,0)),"N/A")</f>
        <v>17508</v>
      </c>
      <c r="B795" s="4" t="s">
        <v>534</v>
      </c>
      <c r="C795" s="4" t="s">
        <v>287</v>
      </c>
      <c r="D795" s="94">
        <v>1861.0</v>
      </c>
    </row>
    <row r="796">
      <c r="A796" s="40">
        <f t="array" ref="A796">IFNA(index(PlayerValues!A:A,match(IFNA(vlookup(B796,'Special Names'!A:B,2,FALSE),B796),PlayerValues!E:E,0)),"N/A")</f>
        <v>16201</v>
      </c>
      <c r="B796" s="4" t="s">
        <v>589</v>
      </c>
      <c r="C796" s="4" t="s">
        <v>287</v>
      </c>
      <c r="D796" s="94">
        <v>1860.0</v>
      </c>
    </row>
    <row r="797">
      <c r="A797" s="40">
        <f t="array" ref="A797">IFNA(index(PlayerValues!A:A,match(IFNA(vlookup(B797,'Special Names'!A:B,2,FALSE),B797),PlayerValues!E:E,0)),"N/A")</f>
        <v>17035</v>
      </c>
      <c r="B797" s="4" t="s">
        <v>650</v>
      </c>
      <c r="C797" s="4" t="s">
        <v>283</v>
      </c>
      <c r="D797" s="94">
        <v>1860.0</v>
      </c>
    </row>
    <row r="798">
      <c r="A798" s="40">
        <f t="array" ref="A798">IFNA(index(PlayerValues!A:A,match(IFNA(vlookup(B798,'Special Names'!A:B,2,FALSE),B798),PlayerValues!E:E,0)),"N/A")</f>
        <v>17547</v>
      </c>
      <c r="B798" s="4" t="s">
        <v>552</v>
      </c>
      <c r="C798" s="4" t="s">
        <v>298</v>
      </c>
      <c r="D798" s="94">
        <v>2242.0</v>
      </c>
    </row>
    <row r="799">
      <c r="A799" s="40">
        <f t="array" ref="A799">IFNA(index(PlayerValues!A:A,match(IFNA(vlookup(B799,'Special Names'!A:B,2,FALSE),B799),PlayerValues!E:E,0)),"N/A")</f>
        <v>16595</v>
      </c>
      <c r="B799" s="4" t="s">
        <v>664</v>
      </c>
      <c r="C799" s="4" t="s">
        <v>278</v>
      </c>
      <c r="D799" s="94">
        <v>1843.0</v>
      </c>
    </row>
    <row r="800">
      <c r="A800" s="40" t="str">
        <f t="array" ref="A800">IFNA(index(PlayerValues!A:A,match(IFNA(vlookup(B800,'Special Names'!A:B,2,FALSE),B800),PlayerValues!E:E,0)),"N/A")</f>
        <v>N/A</v>
      </c>
      <c r="B800" s="4" t="s">
        <v>101</v>
      </c>
      <c r="C800" s="4" t="s">
        <v>325</v>
      </c>
      <c r="D800" s="94">
        <v>1829.0</v>
      </c>
    </row>
    <row r="801">
      <c r="A801" s="40">
        <f t="array" ref="A801">IFNA(index(PlayerValues!A:A,match(IFNA(vlookup(B801,'Special Names'!A:B,2,FALSE),B801),PlayerValues!E:E,0)),"N/A")</f>
        <v>16585</v>
      </c>
      <c r="B801" s="4" t="s">
        <v>623</v>
      </c>
      <c r="C801" s="4" t="s">
        <v>283</v>
      </c>
      <c r="D801" s="94">
        <v>1814.0</v>
      </c>
    </row>
    <row r="802">
      <c r="A802" s="40">
        <f t="array" ref="A802">IFNA(index(PlayerValues!A:A,match(IFNA(vlookup(B802,'Special Names'!A:B,2,FALSE),B802),PlayerValues!E:E,0)),"N/A")</f>
        <v>15786</v>
      </c>
      <c r="B802" s="4" t="s">
        <v>521</v>
      </c>
      <c r="C802" s="4" t="s">
        <v>287</v>
      </c>
      <c r="D802" s="94">
        <v>1809.0</v>
      </c>
    </row>
    <row r="803">
      <c r="A803" s="40">
        <f t="array" ref="A803">IFNA(index(PlayerValues!A:A,match(IFNA(vlookup(B803,'Special Names'!A:B,2,FALSE),B803),PlayerValues!E:E,0)),"N/A")</f>
        <v>16788</v>
      </c>
      <c r="B803" s="4" t="s">
        <v>621</v>
      </c>
      <c r="C803" s="4" t="s">
        <v>287</v>
      </c>
      <c r="D803" s="94">
        <v>1796.0</v>
      </c>
    </row>
    <row r="804">
      <c r="A804" s="40">
        <f t="array" ref="A804">IFNA(index(PlayerValues!A:A,match(IFNA(vlookup(B804,'Special Names'!A:B,2,FALSE),B804),PlayerValues!E:E,0)),"N/A")</f>
        <v>17086</v>
      </c>
      <c r="B804" s="4" t="s">
        <v>612</v>
      </c>
      <c r="C804" s="4" t="s">
        <v>287</v>
      </c>
      <c r="D804" s="94">
        <v>1783.0</v>
      </c>
    </row>
    <row r="805">
      <c r="A805" s="40">
        <f t="array" ref="A805">IFNA(index(PlayerValues!A:A,match(IFNA(vlookup(B805,'Special Names'!A:B,2,FALSE),B805),PlayerValues!E:E,0)),"N/A")</f>
        <v>17055</v>
      </c>
      <c r="B805" s="4" t="s">
        <v>565</v>
      </c>
      <c r="C805" s="4" t="s">
        <v>278</v>
      </c>
      <c r="D805" s="94">
        <v>1767.0</v>
      </c>
    </row>
    <row r="806">
      <c r="A806" s="40">
        <f t="array" ref="A806">IFNA(index(PlayerValues!A:A,match(IFNA(vlookup(B806,'Special Names'!A:B,2,FALSE),B806),PlayerValues!E:E,0)),"N/A")</f>
        <v>17058</v>
      </c>
      <c r="B806" s="4" t="s">
        <v>641</v>
      </c>
      <c r="C806" s="4" t="s">
        <v>278</v>
      </c>
      <c r="D806" s="94">
        <v>1764.0</v>
      </c>
    </row>
    <row r="807">
      <c r="A807" s="40">
        <f t="array" ref="A807">IFNA(index(PlayerValues!A:A,match(IFNA(vlookup(B807,'Special Names'!A:B,2,FALSE),B807),PlayerValues!E:E,0)),"N/A")</f>
        <v>16601</v>
      </c>
      <c r="B807" s="4" t="s">
        <v>648</v>
      </c>
      <c r="C807" s="4" t="s">
        <v>278</v>
      </c>
      <c r="D807" s="94">
        <v>1763.0</v>
      </c>
    </row>
    <row r="808">
      <c r="A808" s="40">
        <f t="array" ref="A808">IFNA(index(PlayerValues!A:A,match(IFNA(vlookup(B808,'Special Names'!A:B,2,FALSE),B808),PlayerValues!E:E,0)),"N/A")</f>
        <v>11222</v>
      </c>
      <c r="B808" s="4" t="s">
        <v>622</v>
      </c>
      <c r="C808" s="4" t="s">
        <v>287</v>
      </c>
      <c r="D808" s="94">
        <v>1761.0</v>
      </c>
    </row>
    <row r="809">
      <c r="A809" s="40">
        <f t="array" ref="A809">IFNA(index(PlayerValues!A:A,match(IFNA(vlookup(B809,'Special Names'!A:B,2,FALSE),B809),PlayerValues!E:E,0)),"N/A")</f>
        <v>14105</v>
      </c>
      <c r="B809" s="4" t="s">
        <v>675</v>
      </c>
      <c r="C809" s="4" t="s">
        <v>287</v>
      </c>
      <c r="D809" s="94">
        <v>1756.0</v>
      </c>
    </row>
    <row r="810">
      <c r="A810" s="40" t="str">
        <f t="array" ref="A810">IFNA(index(PlayerValues!A:A,match(IFNA(vlookup(B810,'Special Names'!A:B,2,FALSE),B810),PlayerValues!E:E,0)),"N/A")</f>
        <v>N/A</v>
      </c>
      <c r="B810" s="4" t="s">
        <v>89</v>
      </c>
      <c r="C810" s="4" t="s">
        <v>325</v>
      </c>
      <c r="D810" s="94">
        <v>1753.0</v>
      </c>
    </row>
    <row r="811">
      <c r="A811" s="40">
        <f t="array" ref="A811">IFNA(index(PlayerValues!A:A,match(IFNA(vlookup(B811,'Special Names'!A:B,2,FALSE),B811),PlayerValues!E:E,0)),"N/A")</f>
        <v>16586</v>
      </c>
      <c r="B811" s="4" t="s">
        <v>658</v>
      </c>
      <c r="C811" s="4" t="s">
        <v>283</v>
      </c>
      <c r="D811" s="94">
        <v>1743.0</v>
      </c>
    </row>
    <row r="812">
      <c r="A812" s="40">
        <f t="array" ref="A812">IFNA(index(PlayerValues!A:A,match(IFNA(vlookup(B812,'Special Names'!A:B,2,FALSE),B812),PlayerValues!E:E,0)),"N/A")</f>
        <v>10700</v>
      </c>
      <c r="B812" s="4" t="s">
        <v>596</v>
      </c>
      <c r="C812" s="4" t="s">
        <v>283</v>
      </c>
      <c r="D812" s="94">
        <v>1730.0</v>
      </c>
    </row>
    <row r="813">
      <c r="A813" s="40">
        <f t="array" ref="A813">IFNA(index(PlayerValues!A:A,match(IFNA(vlookup(B813,'Special Names'!A:B,2,FALSE),B813),PlayerValues!E:E,0)),"N/A")</f>
        <v>16629</v>
      </c>
      <c r="B813" s="4" t="s">
        <v>605</v>
      </c>
      <c r="C813" s="4" t="s">
        <v>287</v>
      </c>
      <c r="D813" s="94">
        <v>1730.0</v>
      </c>
    </row>
    <row r="814">
      <c r="A814" s="40">
        <f t="array" ref="A814">IFNA(index(PlayerValues!A:A,match(IFNA(vlookup(B814,'Special Names'!A:B,2,FALSE),B814),PlayerValues!E:E,0)),"N/A")</f>
        <v>7836</v>
      </c>
      <c r="B814" s="4" t="s">
        <v>590</v>
      </c>
      <c r="C814" s="4" t="s">
        <v>283</v>
      </c>
      <c r="D814" s="94">
        <v>1726.0</v>
      </c>
    </row>
    <row r="815">
      <c r="A815" s="40">
        <f t="array" ref="A815">IFNA(index(PlayerValues!A:A,match(IFNA(vlookup(B815,'Special Names'!A:B,2,FALSE),B815),PlayerValues!E:E,0)),"N/A")</f>
        <v>15787</v>
      </c>
      <c r="B815" s="4" t="s">
        <v>610</v>
      </c>
      <c r="C815" s="4" t="s">
        <v>287</v>
      </c>
      <c r="D815" s="94">
        <v>1725.0</v>
      </c>
    </row>
    <row r="816">
      <c r="A816" s="40">
        <f t="array" ref="A816">IFNA(index(PlayerValues!A:A,match(IFNA(vlookup(B816,'Special Names'!A:B,2,FALSE),B816),PlayerValues!E:E,0)),"N/A")</f>
        <v>16207</v>
      </c>
      <c r="B816" s="4" t="s">
        <v>636</v>
      </c>
      <c r="C816" s="4" t="s">
        <v>287</v>
      </c>
      <c r="D816" s="94">
        <v>1704.0</v>
      </c>
    </row>
    <row r="817">
      <c r="A817" s="40">
        <f t="array" ref="A817">IFNA(index(PlayerValues!A:A,match(IFNA(vlookup(B817,'Special Names'!A:B,2,FALSE),B817),PlayerValues!E:E,0)),"N/A")</f>
        <v>17481</v>
      </c>
      <c r="B817" s="4" t="s">
        <v>540</v>
      </c>
      <c r="C817" s="4" t="s">
        <v>278</v>
      </c>
      <c r="D817" s="94">
        <v>1703.0</v>
      </c>
    </row>
    <row r="818">
      <c r="A818" s="40">
        <f t="array" ref="A818">IFNA(index(PlayerValues!A:A,match(IFNA(vlookup(B818,'Special Names'!A:B,2,FALSE),B818),PlayerValues!E:E,0)),"N/A")</f>
        <v>13629</v>
      </c>
      <c r="B818" s="4" t="s">
        <v>619</v>
      </c>
      <c r="C818" s="4" t="s">
        <v>287</v>
      </c>
      <c r="D818" s="94">
        <v>1699.0</v>
      </c>
    </row>
    <row r="819">
      <c r="A819" s="40">
        <f t="array" ref="A819">IFNA(index(PlayerValues!A:A,match(IFNA(vlookup(B819,'Special Names'!A:B,2,FALSE),B819),PlayerValues!E:E,0)),"N/A")</f>
        <v>15777</v>
      </c>
      <c r="B819" s="4" t="s">
        <v>694</v>
      </c>
      <c r="C819" s="4" t="s">
        <v>287</v>
      </c>
      <c r="D819" s="94">
        <v>1692.0</v>
      </c>
    </row>
    <row r="820">
      <c r="A820" s="40">
        <f t="array" ref="A820">IFNA(index(PlayerValues!A:A,match(IFNA(vlookup(B820,'Special Names'!A:B,2,FALSE),B820),PlayerValues!E:E,0)),"N/A")</f>
        <v>17205</v>
      </c>
      <c r="B820" s="4" t="s">
        <v>665</v>
      </c>
      <c r="C820" s="4" t="s">
        <v>287</v>
      </c>
      <c r="D820" s="94">
        <v>1682.0</v>
      </c>
    </row>
    <row r="821">
      <c r="A821" s="40">
        <f t="array" ref="A821">IFNA(index(PlayerValues!A:A,match(IFNA(vlookup(B821,'Special Names'!A:B,2,FALSE),B821),PlayerValues!E:E,0)),"N/A")</f>
        <v>16604</v>
      </c>
      <c r="B821" s="4" t="s">
        <v>476</v>
      </c>
      <c r="C821" s="4" t="s">
        <v>278</v>
      </c>
      <c r="D821" s="94">
        <v>1677.0</v>
      </c>
    </row>
    <row r="822">
      <c r="A822" s="40" t="str">
        <f t="array" ref="A822">IFNA(index(PlayerValues!A:A,match(IFNA(vlookup(B822,'Special Names'!A:B,2,FALSE),B822),PlayerValues!E:E,0)),"N/A")</f>
        <v>N/A</v>
      </c>
      <c r="B822" s="4" t="s">
        <v>102</v>
      </c>
      <c r="C822" s="4" t="s">
        <v>325</v>
      </c>
      <c r="D822" s="94">
        <v>1671.0</v>
      </c>
    </row>
    <row r="823">
      <c r="A823" s="40">
        <f t="array" ref="A823">IFNA(index(PlayerValues!A:A,match(IFNA(vlookup(B823,'Special Names'!A:B,2,FALSE),B823),PlayerValues!E:E,0)),"N/A")</f>
        <v>17520</v>
      </c>
      <c r="B823" s="4" t="s">
        <v>518</v>
      </c>
      <c r="C823" s="4" t="s">
        <v>287</v>
      </c>
      <c r="D823" s="94">
        <v>1671.0</v>
      </c>
    </row>
    <row r="824">
      <c r="A824" s="40">
        <f t="array" ref="A824">IFNA(index(PlayerValues!A:A,match(IFNA(vlookup(B824,'Special Names'!A:B,2,FALSE),B824),PlayerValues!E:E,0)),"N/A")</f>
        <v>13164</v>
      </c>
      <c r="B824" s="4" t="s">
        <v>632</v>
      </c>
      <c r="C824" s="4" t="s">
        <v>287</v>
      </c>
      <c r="D824" s="94">
        <v>1668.0</v>
      </c>
    </row>
    <row r="825">
      <c r="A825" s="40">
        <f t="array" ref="A825">IFNA(index(PlayerValues!A:A,match(IFNA(vlookup(B825,'Special Names'!A:B,2,FALSE),B825),PlayerValues!E:E,0)),"N/A")</f>
        <v>17064</v>
      </c>
      <c r="B825" s="4" t="s">
        <v>631</v>
      </c>
      <c r="C825" s="4" t="s">
        <v>278</v>
      </c>
      <c r="D825" s="94">
        <v>1668.0</v>
      </c>
    </row>
    <row r="826">
      <c r="A826" s="40">
        <f t="array" ref="A826">IFNA(index(PlayerValues!A:A,match(IFNA(vlookup(B826,'Special Names'!A:B,2,FALSE),B826),PlayerValues!E:E,0)),"N/A")</f>
        <v>17234</v>
      </c>
      <c r="B826" s="4" t="s">
        <v>653</v>
      </c>
      <c r="C826" s="4" t="s">
        <v>287</v>
      </c>
      <c r="D826" s="94">
        <v>1653.0</v>
      </c>
    </row>
    <row r="827">
      <c r="A827" s="40">
        <f t="array" ref="A827">IFNA(index(PlayerValues!A:A,match(IFNA(vlookup(B827,'Special Names'!A:B,2,FALSE),B827),PlayerValues!E:E,0)),"N/A")</f>
        <v>17528</v>
      </c>
      <c r="B827" s="4" t="s">
        <v>579</v>
      </c>
      <c r="C827" s="4" t="s">
        <v>287</v>
      </c>
      <c r="D827" s="94">
        <v>1649.0</v>
      </c>
    </row>
    <row r="828">
      <c r="A828" s="40" t="str">
        <f t="array" ref="A828">IFNA(index(PlayerValues!A:A,match(IFNA(vlookup(B828,'Special Names'!A:B,2,FALSE),B828),PlayerValues!E:E,0)),"N/A")</f>
        <v>N/A</v>
      </c>
      <c r="B828" s="4" t="s">
        <v>90</v>
      </c>
      <c r="C828" s="4" t="s">
        <v>325</v>
      </c>
      <c r="D828" s="94">
        <v>1641.0</v>
      </c>
    </row>
    <row r="829">
      <c r="A829" s="40">
        <f t="array" ref="A829">IFNA(index(PlayerValues!A:A,match(IFNA(vlookup(B829,'Special Names'!A:B,2,FALSE),B829),PlayerValues!E:E,0)),"N/A")</f>
        <v>16633</v>
      </c>
      <c r="B829" s="4" t="s">
        <v>656</v>
      </c>
      <c r="C829" s="4" t="s">
        <v>287</v>
      </c>
      <c r="D829" s="94">
        <v>1633.0</v>
      </c>
    </row>
    <row r="830">
      <c r="A830" s="40">
        <f t="array" ref="A830">IFNA(index(PlayerValues!A:A,match(IFNA(vlookup(B830,'Special Names'!A:B,2,FALSE),B830),PlayerValues!E:E,0)),"N/A")</f>
        <v>14143</v>
      </c>
      <c r="B830" s="4" t="s">
        <v>635</v>
      </c>
      <c r="C830" s="4" t="s">
        <v>298</v>
      </c>
      <c r="D830" s="94">
        <v>1992.0</v>
      </c>
    </row>
    <row r="831">
      <c r="A831" s="40">
        <f t="array" ref="A831">IFNA(index(PlayerValues!A:A,match(IFNA(vlookup(B831,'Special Names'!A:B,2,FALSE),B831),PlayerValues!E:E,0)),"N/A")</f>
        <v>15727</v>
      </c>
      <c r="B831" s="4" t="s">
        <v>730</v>
      </c>
      <c r="C831" s="4" t="s">
        <v>278</v>
      </c>
      <c r="D831" s="94">
        <v>1615.0</v>
      </c>
    </row>
    <row r="832">
      <c r="A832" s="40">
        <f t="array" ref="A832">IFNA(index(PlayerValues!A:A,match(IFNA(vlookup(B832,'Special Names'!A:B,2,FALSE),B832),PlayerValues!E:E,0)),"N/A")</f>
        <v>17545</v>
      </c>
      <c r="B832" s="4" t="s">
        <v>719</v>
      </c>
      <c r="C832" s="4" t="s">
        <v>298</v>
      </c>
      <c r="D832" s="94">
        <v>1991.0</v>
      </c>
    </row>
    <row r="833">
      <c r="A833" s="40">
        <f t="array" ref="A833">IFNA(index(PlayerValues!A:A,match(IFNA(vlookup(B833,'Special Names'!A:B,2,FALSE),B833),PlayerValues!E:E,0)),"N/A")</f>
        <v>13131</v>
      </c>
      <c r="B833" s="4" t="s">
        <v>815</v>
      </c>
      <c r="C833" s="4" t="s">
        <v>278</v>
      </c>
      <c r="D833" s="94">
        <v>1612.0</v>
      </c>
    </row>
    <row r="834">
      <c r="A834" s="40">
        <f t="array" ref="A834">IFNA(index(PlayerValues!A:A,match(IFNA(vlookup(B834,'Special Names'!A:B,2,FALSE),B834),PlayerValues!E:E,0)),"N/A")</f>
        <v>17037</v>
      </c>
      <c r="B834" s="4" t="s">
        <v>727</v>
      </c>
      <c r="C834" s="4" t="s">
        <v>283</v>
      </c>
      <c r="D834" s="94">
        <v>1610.0</v>
      </c>
    </row>
    <row r="835">
      <c r="A835" s="40">
        <f t="array" ref="A835">IFNA(index(PlayerValues!A:A,match(IFNA(vlookup(B835,'Special Names'!A:B,2,FALSE),B835),PlayerValues!E:E,0)),"N/A")</f>
        <v>17096</v>
      </c>
      <c r="B835" s="4" t="s">
        <v>638</v>
      </c>
      <c r="C835" s="4" t="s">
        <v>287</v>
      </c>
      <c r="D835" s="94">
        <v>1605.0</v>
      </c>
    </row>
    <row r="836">
      <c r="A836" s="40" t="str">
        <f t="array" ref="A836">IFNA(index(PlayerValues!A:A,match(IFNA(vlookup(B836,'Special Names'!A:B,2,FALSE),B836),PlayerValues!E:E,0)),"N/A")</f>
        <v>N/A</v>
      </c>
      <c r="B836" s="4" t="s">
        <v>115</v>
      </c>
      <c r="C836" s="4" t="s">
        <v>325</v>
      </c>
      <c r="D836" s="94">
        <v>1602.0</v>
      </c>
    </row>
    <row r="837">
      <c r="A837" s="40">
        <f t="array" ref="A837">IFNA(index(PlayerValues!A:A,match(IFNA(vlookup(B837,'Special Names'!A:B,2,FALSE),B837),PlayerValues!E:E,0)),"N/A")</f>
        <v>13193</v>
      </c>
      <c r="B837" s="4" t="s">
        <v>773</v>
      </c>
      <c r="C837" s="4" t="s">
        <v>298</v>
      </c>
      <c r="D837" s="94">
        <v>1970.0</v>
      </c>
    </row>
    <row r="838">
      <c r="A838" s="40">
        <f t="array" ref="A838">IFNA(index(PlayerValues!A:A,match(IFNA(vlookup(B838,'Special Names'!A:B,2,FALSE),B838),PlayerValues!E:E,0)),"N/A")</f>
        <v>14122</v>
      </c>
      <c r="B838" s="4" t="s">
        <v>663</v>
      </c>
      <c r="C838" s="4" t="s">
        <v>287</v>
      </c>
      <c r="D838" s="94">
        <v>1588.0</v>
      </c>
    </row>
    <row r="839">
      <c r="A839" s="40">
        <f t="array" ref="A839">IFNA(index(PlayerValues!A:A,match(IFNA(vlookup(B839,'Special Names'!A:B,2,FALSE),B839),PlayerValues!E:E,0)),"N/A")</f>
        <v>12140</v>
      </c>
      <c r="B839" s="4" t="s">
        <v>702</v>
      </c>
      <c r="C839" s="4" t="s">
        <v>283</v>
      </c>
      <c r="D839" s="94">
        <v>1588.0</v>
      </c>
    </row>
    <row r="840">
      <c r="A840" s="40">
        <f t="array" ref="A840">IFNA(index(PlayerValues!A:A,match(IFNA(vlookup(B840,'Special Names'!A:B,2,FALSE),B840),PlayerValues!E:E,0)),"N/A")</f>
        <v>16688</v>
      </c>
      <c r="B840" s="4" t="s">
        <v>688</v>
      </c>
      <c r="C840" s="4" t="s">
        <v>278</v>
      </c>
      <c r="D840" s="94">
        <v>1585.0</v>
      </c>
    </row>
    <row r="841">
      <c r="A841" s="40">
        <f t="array" ref="A841">IFNA(index(PlayerValues!A:A,match(IFNA(vlookup(B841,'Special Names'!A:B,2,FALSE),B841),PlayerValues!E:E,0)),"N/A")</f>
        <v>15252</v>
      </c>
      <c r="B841" s="4" t="s">
        <v>715</v>
      </c>
      <c r="C841" s="4" t="s">
        <v>283</v>
      </c>
      <c r="D841" s="94">
        <v>1571.0</v>
      </c>
    </row>
    <row r="842">
      <c r="A842" s="40" t="str">
        <f t="array" ref="A842">IFNA(index(PlayerValues!A:A,match(IFNA(vlookup(B842,'Special Names'!A:B,2,FALSE),B842),PlayerValues!E:E,0)),"N/A")</f>
        <v>N/A</v>
      </c>
      <c r="B842" s="4" t="s">
        <v>103</v>
      </c>
      <c r="C842" s="4" t="s">
        <v>325</v>
      </c>
      <c r="D842" s="94">
        <v>1566.0</v>
      </c>
    </row>
    <row r="843">
      <c r="A843" s="40">
        <f t="array" ref="A843">IFNA(index(PlayerValues!A:A,match(IFNA(vlookup(B843,'Special Names'!A:B,2,FALSE),B843),PlayerValues!E:E,0)),"N/A")</f>
        <v>16390</v>
      </c>
      <c r="B843" s="4" t="s">
        <v>689</v>
      </c>
      <c r="C843" s="4" t="s">
        <v>278</v>
      </c>
      <c r="D843" s="94">
        <v>1561.0</v>
      </c>
    </row>
    <row r="844">
      <c r="A844" s="40">
        <f t="array" ref="A844">IFNA(index(PlayerValues!A:A,match(IFNA(vlookup(B844,'Special Names'!A:B,2,FALSE),B844),PlayerValues!E:E,0)),"N/A")</f>
        <v>12141</v>
      </c>
      <c r="B844" s="4" t="s">
        <v>744</v>
      </c>
      <c r="C844" s="4" t="s">
        <v>283</v>
      </c>
      <c r="D844" s="94">
        <v>1535.0</v>
      </c>
    </row>
    <row r="845">
      <c r="A845" s="40">
        <f t="array" ref="A845">IFNA(index(PlayerValues!A:A,match(IFNA(vlookup(B845,'Special Names'!A:B,2,FALSE),B845),PlayerValues!E:E,0)),"N/A")</f>
        <v>14080</v>
      </c>
      <c r="B845" s="4" t="s">
        <v>716</v>
      </c>
      <c r="C845" s="4" t="s">
        <v>278</v>
      </c>
      <c r="D845" s="94">
        <v>1525.0</v>
      </c>
    </row>
    <row r="846">
      <c r="A846" s="40" t="str">
        <f t="array" ref="A846">IFNA(index(PlayerValues!A:A,match(IFNA(vlookup(B846,'Special Names'!A:B,2,FALSE),B846),PlayerValues!E:E,0)),"N/A")</f>
        <v>N/A</v>
      </c>
      <c r="B846" s="4" t="s">
        <v>91</v>
      </c>
      <c r="C846" s="4" t="s">
        <v>325</v>
      </c>
      <c r="D846" s="94">
        <v>1515.0</v>
      </c>
    </row>
    <row r="847">
      <c r="A847" s="40" t="str">
        <f t="array" ref="A847">IFNA(index(PlayerValues!A:A,match(IFNA(vlookup(B847,'Special Names'!A:B,2,FALSE),B847),PlayerValues!E:E,0)),"N/A")</f>
        <v>N/A</v>
      </c>
      <c r="B847" s="4" t="s">
        <v>116</v>
      </c>
      <c r="C847" s="4" t="s">
        <v>325</v>
      </c>
      <c r="D847" s="94">
        <v>1515.0</v>
      </c>
    </row>
    <row r="848">
      <c r="A848" s="40">
        <f t="array" ref="A848">IFNA(index(PlayerValues!A:A,match(IFNA(vlookup(B848,'Special Names'!A:B,2,FALSE),B848),PlayerValues!E:E,0)),"N/A")</f>
        <v>15258</v>
      </c>
      <c r="B848" s="4" t="s">
        <v>757</v>
      </c>
      <c r="C848" s="4" t="s">
        <v>278</v>
      </c>
      <c r="D848" s="94">
        <v>1511.0</v>
      </c>
    </row>
    <row r="849">
      <c r="A849" s="40">
        <f t="array" ref="A849">IFNA(index(PlayerValues!A:A,match(IFNA(vlookup(B849,'Special Names'!A:B,2,FALSE),B849),PlayerValues!E:E,0)),"N/A")</f>
        <v>15319</v>
      </c>
      <c r="B849" s="4" t="s">
        <v>644</v>
      </c>
      <c r="C849" s="4" t="s">
        <v>287</v>
      </c>
      <c r="D849" s="94">
        <v>1511.0</v>
      </c>
    </row>
    <row r="850">
      <c r="A850" s="40">
        <f t="array" ref="A850">IFNA(index(PlayerValues!A:A,match(IFNA(vlookup(B850,'Special Names'!A:B,2,FALSE),B850),PlayerValues!E:E,0)),"N/A")</f>
        <v>15713</v>
      </c>
      <c r="B850" s="4" t="s">
        <v>732</v>
      </c>
      <c r="C850" s="4" t="s">
        <v>278</v>
      </c>
      <c r="D850" s="94">
        <v>1494.0</v>
      </c>
    </row>
    <row r="851">
      <c r="A851" s="40">
        <f t="array" ref="A851">IFNA(index(PlayerValues!A:A,match(IFNA(vlookup(B851,'Special Names'!A:B,2,FALSE),B851),PlayerValues!E:E,0)),"N/A")</f>
        <v>13418</v>
      </c>
      <c r="B851" s="4" t="s">
        <v>706</v>
      </c>
      <c r="C851" s="4" t="s">
        <v>287</v>
      </c>
      <c r="D851" s="94">
        <v>1474.0</v>
      </c>
    </row>
    <row r="852">
      <c r="A852" s="40">
        <f t="array" ref="A852">IFNA(index(PlayerValues!A:A,match(IFNA(vlookup(B852,'Special Names'!A:B,2,FALSE),B852),PlayerValues!E:E,0)),"N/A")</f>
        <v>17077</v>
      </c>
      <c r="B852" s="4" t="s">
        <v>714</v>
      </c>
      <c r="C852" s="4" t="s">
        <v>287</v>
      </c>
      <c r="D852" s="94">
        <v>1474.0</v>
      </c>
    </row>
    <row r="853">
      <c r="A853" s="40">
        <f t="array" ref="A853">IFNA(index(PlayerValues!A:A,match(IFNA(vlookup(B853,'Special Names'!A:B,2,FALSE),B853),PlayerValues!E:E,0)),"N/A")</f>
        <v>15755</v>
      </c>
      <c r="B853" s="4" t="s">
        <v>628</v>
      </c>
      <c r="C853" s="4" t="s">
        <v>287</v>
      </c>
      <c r="D853" s="94">
        <v>1471.0</v>
      </c>
    </row>
    <row r="854">
      <c r="A854" s="40">
        <f t="array" ref="A854">IFNA(index(PlayerValues!A:A,match(IFNA(vlookup(B854,'Special Names'!A:B,2,FALSE),B854),PlayerValues!E:E,0)),"N/A")</f>
        <v>17254</v>
      </c>
      <c r="B854" s="4" t="s">
        <v>679</v>
      </c>
      <c r="C854" s="4" t="s">
        <v>287</v>
      </c>
      <c r="D854" s="94">
        <v>1465.0</v>
      </c>
    </row>
    <row r="855">
      <c r="A855" s="40">
        <f t="array" ref="A855">IFNA(index(PlayerValues!A:A,match(IFNA(vlookup(B855,'Special Names'!A:B,2,FALSE),B855),PlayerValues!E:E,0)),"N/A")</f>
        <v>15738</v>
      </c>
      <c r="B855" s="4" t="s">
        <v>634</v>
      </c>
      <c r="C855" s="4" t="s">
        <v>278</v>
      </c>
      <c r="D855" s="94">
        <v>1459.0</v>
      </c>
    </row>
    <row r="856">
      <c r="A856" s="40">
        <f t="array" ref="A856">IFNA(index(PlayerValues!A:A,match(IFNA(vlookup(B856,'Special Names'!A:B,2,FALSE),B856),PlayerValues!E:E,0)),"N/A")</f>
        <v>15752</v>
      </c>
      <c r="B856" s="4" t="s">
        <v>647</v>
      </c>
      <c r="C856" s="4" t="s">
        <v>287</v>
      </c>
      <c r="D856" s="94">
        <v>1457.0</v>
      </c>
    </row>
    <row r="857">
      <c r="A857" s="40">
        <f t="array" ref="A857">IFNA(index(PlayerValues!A:A,match(IFNA(vlookup(B857,'Special Names'!A:B,2,FALSE),B857),PlayerValues!E:E,0)),"N/A")</f>
        <v>16631</v>
      </c>
      <c r="B857" s="4" t="s">
        <v>800</v>
      </c>
      <c r="C857" s="4" t="s">
        <v>287</v>
      </c>
      <c r="D857" s="94">
        <v>1452.0</v>
      </c>
    </row>
    <row r="858">
      <c r="A858" s="40">
        <f t="array" ref="A858">IFNA(index(PlayerValues!A:A,match(IFNA(vlookup(B858,'Special Names'!A:B,2,FALSE),B858),PlayerValues!E:E,0)),"N/A")</f>
        <v>13672</v>
      </c>
      <c r="B858" s="4" t="s">
        <v>667</v>
      </c>
      <c r="C858" s="4" t="s">
        <v>298</v>
      </c>
      <c r="D858" s="94">
        <v>1823.0</v>
      </c>
    </row>
    <row r="859">
      <c r="A859" s="40">
        <f t="array" ref="A859">IFNA(index(PlayerValues!A:A,match(IFNA(vlookup(B859,'Special Names'!A:B,2,FALSE),B859),PlayerValues!E:E,0)),"N/A")</f>
        <v>11150</v>
      </c>
      <c r="B859" s="4" t="s">
        <v>559</v>
      </c>
      <c r="C859" s="4" t="s">
        <v>283</v>
      </c>
      <c r="D859" s="94">
        <v>1449.0</v>
      </c>
    </row>
    <row r="860">
      <c r="A860" s="40">
        <f t="array" ref="A860">IFNA(index(PlayerValues!A:A,match(IFNA(vlookup(B860,'Special Names'!A:B,2,FALSE),B860),PlayerValues!E:E,0)),"N/A")</f>
        <v>14095</v>
      </c>
      <c r="B860" s="4" t="s">
        <v>680</v>
      </c>
      <c r="C860" s="4" t="s">
        <v>278</v>
      </c>
      <c r="D860" s="94">
        <v>1447.0</v>
      </c>
    </row>
    <row r="861">
      <c r="A861" s="40">
        <f t="array" ref="A861">IFNA(index(PlayerValues!A:A,match(IFNA(vlookup(B861,'Special Names'!A:B,2,FALSE),B861),PlayerValues!E:E,0)),"N/A")</f>
        <v>17269</v>
      </c>
      <c r="B861" s="4" t="s">
        <v>718</v>
      </c>
      <c r="C861" s="4" t="s">
        <v>287</v>
      </c>
      <c r="D861" s="94">
        <v>1441.0</v>
      </c>
    </row>
    <row r="862">
      <c r="A862" s="40">
        <f t="array" ref="A862">IFNA(index(PlayerValues!A:A,match(IFNA(vlookup(B862,'Special Names'!A:B,2,FALSE),B862),PlayerValues!E:E,0)),"N/A")</f>
        <v>17062</v>
      </c>
      <c r="B862" s="4" t="s">
        <v>701</v>
      </c>
      <c r="C862" s="4" t="s">
        <v>278</v>
      </c>
      <c r="D862" s="94">
        <v>1430.0</v>
      </c>
    </row>
    <row r="863">
      <c r="A863" s="40">
        <f t="array" ref="A863">IFNA(index(PlayerValues!A:A,match(IFNA(vlookup(B863,'Special Names'!A:B,2,FALSE),B863),PlayerValues!E:E,0)),"N/A")</f>
        <v>15332</v>
      </c>
      <c r="B863" s="4" t="s">
        <v>698</v>
      </c>
      <c r="C863" s="4" t="s">
        <v>298</v>
      </c>
      <c r="D863" s="94">
        <v>1780.0</v>
      </c>
    </row>
    <row r="864">
      <c r="A864" s="40">
        <f t="array" ref="A864">IFNA(index(PlayerValues!A:A,match(IFNA(vlookup(B864,'Special Names'!A:B,2,FALSE),B864),PlayerValues!E:E,0)),"N/A")</f>
        <v>13138</v>
      </c>
      <c r="B864" s="4" t="s">
        <v>817</v>
      </c>
      <c r="C864" s="4" t="s">
        <v>278</v>
      </c>
      <c r="D864" s="94">
        <v>1400.0</v>
      </c>
    </row>
    <row r="865">
      <c r="A865" s="40">
        <f t="array" ref="A865">IFNA(index(PlayerValues!A:A,match(IFNA(vlookup(B865,'Special Names'!A:B,2,FALSE),B865),PlayerValues!E:E,0)),"N/A")</f>
        <v>15788</v>
      </c>
      <c r="B865" s="4" t="s">
        <v>627</v>
      </c>
      <c r="C865" s="4" t="s">
        <v>287</v>
      </c>
      <c r="D865" s="94">
        <v>1390.0</v>
      </c>
    </row>
    <row r="866">
      <c r="A866" s="40">
        <f t="array" ref="A866">IFNA(index(PlayerValues!A:A,match(IFNA(vlookup(B866,'Special Names'!A:B,2,FALSE),B866),PlayerValues!E:E,0)),"N/A")</f>
        <v>17504</v>
      </c>
      <c r="B866" s="4" t="s">
        <v>693</v>
      </c>
      <c r="C866" s="4" t="s">
        <v>287</v>
      </c>
      <c r="D866" s="94">
        <v>1384.0</v>
      </c>
    </row>
    <row r="867">
      <c r="A867" s="40">
        <f t="array" ref="A867">IFNA(index(PlayerValues!A:A,match(IFNA(vlookup(B867,'Special Names'!A:B,2,FALSE),B867),PlayerValues!E:E,0)),"N/A")</f>
        <v>15797</v>
      </c>
      <c r="B867" s="4" t="s">
        <v>556</v>
      </c>
      <c r="C867" s="4" t="s">
        <v>298</v>
      </c>
      <c r="D867" s="94">
        <v>1754.0</v>
      </c>
    </row>
    <row r="868">
      <c r="A868" s="40">
        <f t="array" ref="A868">IFNA(index(PlayerValues!A:A,match(IFNA(vlookup(B868,'Special Names'!A:B,2,FALSE),B868),PlayerValues!E:E,0)),"N/A")</f>
        <v>17510</v>
      </c>
      <c r="B868" s="4" t="s">
        <v>661</v>
      </c>
      <c r="C868" s="4" t="s">
        <v>287</v>
      </c>
      <c r="D868" s="94">
        <v>1374.0</v>
      </c>
    </row>
    <row r="869">
      <c r="A869" s="40">
        <f t="array" ref="A869">IFNA(index(PlayerValues!A:A,match(IFNA(vlookup(B869,'Special Names'!A:B,2,FALSE),B869),PlayerValues!E:E,0)),"N/A")</f>
        <v>17475</v>
      </c>
      <c r="B869" s="4" t="s">
        <v>615</v>
      </c>
      <c r="C869" s="4" t="s">
        <v>278</v>
      </c>
      <c r="D869" s="94">
        <v>1367.0</v>
      </c>
    </row>
    <row r="870">
      <c r="A870" s="40">
        <f t="array" ref="A870">IFNA(index(PlayerValues!A:A,match(IFNA(vlookup(B870,'Special Names'!A:B,2,FALSE),B870),PlayerValues!E:E,0)),"N/A")</f>
        <v>15873</v>
      </c>
      <c r="B870" s="4" t="s">
        <v>681</v>
      </c>
      <c r="C870" s="4" t="s">
        <v>298</v>
      </c>
      <c r="D870" s="94">
        <v>1719.0</v>
      </c>
    </row>
    <row r="871">
      <c r="A871" s="40">
        <f t="array" ref="A871">IFNA(index(PlayerValues!A:A,match(IFNA(vlookup(B871,'Special Names'!A:B,2,FALSE),B871),PlayerValues!E:E,0)),"N/A")</f>
        <v>17541</v>
      </c>
      <c r="B871" s="4" t="s">
        <v>616</v>
      </c>
      <c r="C871" s="4" t="s">
        <v>287</v>
      </c>
      <c r="D871" s="94">
        <v>1347.0</v>
      </c>
    </row>
    <row r="872">
      <c r="A872" s="40">
        <f t="array" ref="A872">IFNA(index(PlayerValues!A:A,match(IFNA(vlookup(B872,'Special Names'!A:B,2,FALSE),B872),PlayerValues!E:E,0)),"N/A")</f>
        <v>16621</v>
      </c>
      <c r="B872" s="4" t="s">
        <v>672</v>
      </c>
      <c r="C872" s="4" t="s">
        <v>287</v>
      </c>
      <c r="D872" s="94">
        <v>1345.0</v>
      </c>
    </row>
    <row r="873">
      <c r="A873" s="40">
        <f t="array" ref="A873">IFNA(index(PlayerValues!A:A,match(IFNA(vlookup(B873,'Special Names'!A:B,2,FALSE),B873),PlayerValues!E:E,0)),"N/A")</f>
        <v>14137</v>
      </c>
      <c r="B873" s="4" t="s">
        <v>676</v>
      </c>
      <c r="C873" s="4" t="s">
        <v>298</v>
      </c>
      <c r="D873" s="94">
        <v>1709.0</v>
      </c>
    </row>
    <row r="874">
      <c r="A874" s="40">
        <f t="array" ref="A874">IFNA(index(PlayerValues!A:A,match(IFNA(vlookup(B874,'Special Names'!A:B,2,FALSE),B874),PlayerValues!E:E,0)),"N/A")</f>
        <v>17479</v>
      </c>
      <c r="B874" s="4" t="s">
        <v>756</v>
      </c>
      <c r="C874" s="4" t="s">
        <v>278</v>
      </c>
      <c r="D874" s="94">
        <v>1335.0</v>
      </c>
    </row>
    <row r="875">
      <c r="A875" s="40">
        <f t="array" ref="A875">IFNA(index(PlayerValues!A:A,match(IFNA(vlookup(B875,'Special Names'!A:B,2,FALSE),B875),PlayerValues!E:E,0)),"N/A")</f>
        <v>15301</v>
      </c>
      <c r="B875" s="4" t="s">
        <v>657</v>
      </c>
      <c r="C875" s="4" t="s">
        <v>287</v>
      </c>
      <c r="D875" s="94">
        <v>1333.0</v>
      </c>
    </row>
    <row r="876">
      <c r="A876" s="40">
        <f t="array" ref="A876">IFNA(index(PlayerValues!A:A,match(IFNA(vlookup(B876,'Special Names'!A:B,2,FALSE),B876),PlayerValues!E:E,0)),"N/A")</f>
        <v>16642</v>
      </c>
      <c r="B876" s="4" t="s">
        <v>691</v>
      </c>
      <c r="C876" s="4" t="s">
        <v>298</v>
      </c>
      <c r="D876" s="94">
        <v>1697.0</v>
      </c>
    </row>
    <row r="877">
      <c r="A877" s="40" t="str">
        <f t="array" ref="A877">IFNA(index(PlayerValues!A:A,match(IFNA(vlookup(B877,'Special Names'!A:B,2,FALSE),B877),PlayerValues!E:E,0)),"N/A")</f>
        <v>N/A</v>
      </c>
      <c r="B877" s="4" t="s">
        <v>117</v>
      </c>
      <c r="C877" s="4" t="s">
        <v>325</v>
      </c>
      <c r="D877" s="94">
        <v>1315.0</v>
      </c>
    </row>
    <row r="878">
      <c r="A878" s="40">
        <f t="array" ref="A878">IFNA(index(PlayerValues!A:A,match(IFNA(vlookup(B878,'Special Names'!A:B,2,FALSE),B878),PlayerValues!E:E,0)),"N/A")</f>
        <v>17487</v>
      </c>
      <c r="B878" s="4" t="s">
        <v>692</v>
      </c>
      <c r="C878" s="4" t="s">
        <v>278</v>
      </c>
      <c r="D878" s="94">
        <v>1312.0</v>
      </c>
    </row>
    <row r="879">
      <c r="A879" s="40">
        <f t="array" ref="A879">IFNA(index(PlayerValues!A:A,match(IFNA(vlookup(B879,'Special Names'!A:B,2,FALSE),B879),PlayerValues!E:E,0)),"N/A")</f>
        <v>17486</v>
      </c>
      <c r="B879" s="4" t="s">
        <v>695</v>
      </c>
      <c r="C879" s="4" t="s">
        <v>278</v>
      </c>
      <c r="D879" s="94">
        <v>1309.0</v>
      </c>
    </row>
    <row r="880">
      <c r="A880" s="40">
        <f t="array" ref="A880">IFNA(index(PlayerValues!A:A,match(IFNA(vlookup(B880,'Special Names'!A:B,2,FALSE),B880),PlayerValues!E:E,0)),"N/A")</f>
        <v>16385</v>
      </c>
      <c r="B880" s="4" t="s">
        <v>690</v>
      </c>
      <c r="C880" s="4" t="s">
        <v>278</v>
      </c>
      <c r="D880" s="94">
        <v>1295.0</v>
      </c>
    </row>
    <row r="881">
      <c r="A881" s="40">
        <f t="array" ref="A881">IFNA(index(PlayerValues!A:A,match(IFNA(vlookup(B881,'Special Names'!A:B,2,FALSE),B881),PlayerValues!E:E,0)),"N/A")</f>
        <v>17470</v>
      </c>
      <c r="B881" s="4" t="s">
        <v>841</v>
      </c>
      <c r="C881" s="4" t="s">
        <v>283</v>
      </c>
      <c r="D881" s="94">
        <v>1295.0</v>
      </c>
    </row>
    <row r="882">
      <c r="A882" s="40">
        <f t="array" ref="A882">IFNA(index(PlayerValues!A:A,match(IFNA(vlookup(B882,'Special Names'!A:B,2,FALSE),B882),PlayerValues!E:E,0)),"N/A")</f>
        <v>16175</v>
      </c>
      <c r="B882" s="4" t="s">
        <v>654</v>
      </c>
      <c r="C882" s="4" t="s">
        <v>278</v>
      </c>
      <c r="D882" s="94">
        <v>1284.0</v>
      </c>
    </row>
    <row r="883">
      <c r="A883" s="40">
        <f t="array" ref="A883">IFNA(index(PlayerValues!A:A,match(IFNA(vlookup(B883,'Special Names'!A:B,2,FALSE),B883),PlayerValues!E:E,0)),"N/A")</f>
        <v>15292</v>
      </c>
      <c r="B883" s="4" t="s">
        <v>682</v>
      </c>
      <c r="C883" s="4" t="s">
        <v>287</v>
      </c>
      <c r="D883" s="94">
        <v>1275.0</v>
      </c>
    </row>
    <row r="884">
      <c r="A884" s="40">
        <f t="array" ref="A884">IFNA(index(PlayerValues!A:A,match(IFNA(vlookup(B884,'Special Names'!A:B,2,FALSE),B884),PlayerValues!E:E,0)),"N/A")</f>
        <v>14086</v>
      </c>
      <c r="B884" s="4" t="s">
        <v>639</v>
      </c>
      <c r="C884" s="4" t="s">
        <v>278</v>
      </c>
      <c r="D884" s="94">
        <v>1263.0</v>
      </c>
    </row>
    <row r="885">
      <c r="A885" s="40">
        <f t="array" ref="A885">IFNA(index(PlayerValues!A:A,match(IFNA(vlookup(B885,'Special Names'!A:B,2,FALSE),B885),PlayerValues!E:E,0)),"N/A")</f>
        <v>14592</v>
      </c>
      <c r="B885" s="4" t="s">
        <v>705</v>
      </c>
      <c r="C885" s="4" t="s">
        <v>287</v>
      </c>
      <c r="D885" s="94">
        <v>1257.0</v>
      </c>
    </row>
    <row r="886">
      <c r="A886" s="40">
        <f t="array" ref="A886">IFNA(index(PlayerValues!A:A,match(IFNA(vlookup(B886,'Special Names'!A:B,2,FALSE),B886),PlayerValues!E:E,0)),"N/A")</f>
        <v>14108</v>
      </c>
      <c r="B886" s="4" t="s">
        <v>673</v>
      </c>
      <c r="C886" s="4" t="s">
        <v>287</v>
      </c>
      <c r="D886" s="94">
        <v>1252.0</v>
      </c>
    </row>
    <row r="887">
      <c r="A887" s="40">
        <f t="array" ref="A887">IFNA(index(PlayerValues!A:A,match(IFNA(vlookup(B887,'Special Names'!A:B,2,FALSE),B887),PlayerValues!E:E,0)),"N/A")</f>
        <v>15240</v>
      </c>
      <c r="B887" s="4" t="s">
        <v>751</v>
      </c>
      <c r="C887" s="4" t="s">
        <v>283</v>
      </c>
      <c r="D887" s="94">
        <v>1247.0</v>
      </c>
    </row>
    <row r="888">
      <c r="A888" s="40">
        <f t="array" ref="A888">IFNA(index(PlayerValues!A:A,match(IFNA(vlookup(B888,'Special Names'!A:B,2,FALSE),B888),PlayerValues!E:E,0)),"N/A")</f>
        <v>15702</v>
      </c>
      <c r="B888" s="4" t="s">
        <v>723</v>
      </c>
      <c r="C888" s="4" t="s">
        <v>283</v>
      </c>
      <c r="D888" s="94">
        <v>1247.0</v>
      </c>
    </row>
    <row r="889">
      <c r="A889" s="40">
        <f t="array" ref="A889">IFNA(index(PlayerValues!A:A,match(IFNA(vlookup(B889,'Special Names'!A:B,2,FALSE),B889),PlayerValues!E:E,0)),"N/A")</f>
        <v>16451</v>
      </c>
      <c r="B889" s="4" t="s">
        <v>769</v>
      </c>
      <c r="C889" s="4" t="s">
        <v>287</v>
      </c>
      <c r="D889" s="94">
        <v>1229.0</v>
      </c>
    </row>
    <row r="890">
      <c r="A890" s="40">
        <f t="array" ref="A890">IFNA(index(PlayerValues!A:A,match(IFNA(vlookup(B890,'Special Names'!A:B,2,FALSE),B890),PlayerValues!E:E,0)),"N/A")</f>
        <v>15981</v>
      </c>
      <c r="B890" s="4" t="s">
        <v>729</v>
      </c>
      <c r="C890" s="4" t="s">
        <v>287</v>
      </c>
      <c r="D890" s="94">
        <v>1227.0</v>
      </c>
    </row>
    <row r="891">
      <c r="A891" s="40">
        <f t="array" ref="A891">IFNA(index(PlayerValues!A:A,match(IFNA(vlookup(B891,'Special Names'!A:B,2,FALSE),B891),PlayerValues!E:E,0)),"N/A")</f>
        <v>16183</v>
      </c>
      <c r="B891" s="4" t="s">
        <v>678</v>
      </c>
      <c r="C891" s="4" t="s">
        <v>287</v>
      </c>
      <c r="D891" s="94">
        <v>1227.0</v>
      </c>
    </row>
    <row r="892">
      <c r="A892" s="40">
        <f t="array" ref="A892">IFNA(index(PlayerValues!A:A,match(IFNA(vlookup(B892,'Special Names'!A:B,2,FALSE),B892),PlayerValues!E:E,0)),"N/A")</f>
        <v>16149</v>
      </c>
      <c r="B892" s="4" t="s">
        <v>740</v>
      </c>
      <c r="C892" s="4" t="s">
        <v>283</v>
      </c>
      <c r="D892" s="94">
        <v>1227.0</v>
      </c>
    </row>
    <row r="893">
      <c r="A893" s="40">
        <f t="array" ref="A893">IFNA(index(PlayerValues!A:A,match(IFNA(vlookup(B893,'Special Names'!A:B,2,FALSE),B893),PlayerValues!E:E,0)),"N/A")</f>
        <v>12263</v>
      </c>
      <c r="B893" s="4" t="s">
        <v>697</v>
      </c>
      <c r="C893" s="4" t="s">
        <v>298</v>
      </c>
      <c r="D893" s="94">
        <v>1585.0</v>
      </c>
    </row>
    <row r="894">
      <c r="A894" s="40">
        <f t="array" ref="A894">IFNA(index(PlayerValues!A:A,match(IFNA(vlookup(B894,'Special Names'!A:B,2,FALSE),B894),PlayerValues!E:E,0)),"N/A")</f>
        <v>17526</v>
      </c>
      <c r="B894" s="4" t="s">
        <v>760</v>
      </c>
      <c r="C894" s="4" t="s">
        <v>287</v>
      </c>
      <c r="D894" s="94">
        <v>1210.0</v>
      </c>
    </row>
    <row r="895">
      <c r="A895" s="40">
        <f t="array" ref="A895">IFNA(index(PlayerValues!A:A,match(IFNA(vlookup(B895,'Special Names'!A:B,2,FALSE),B895),PlayerValues!E:E,0)),"N/A")</f>
        <v>16384</v>
      </c>
      <c r="B895" s="4" t="s">
        <v>696</v>
      </c>
      <c r="C895" s="4" t="s">
        <v>283</v>
      </c>
      <c r="D895" s="94">
        <v>1197.0</v>
      </c>
    </row>
    <row r="896">
      <c r="A896" s="40">
        <f t="array" ref="A896">IFNA(index(PlayerValues!A:A,match(IFNA(vlookup(B896,'Special Names'!A:B,2,FALSE),B896),PlayerValues!E:E,0)),"N/A")</f>
        <v>16792</v>
      </c>
      <c r="B896" s="4" t="s">
        <v>704</v>
      </c>
      <c r="C896" s="4" t="s">
        <v>287</v>
      </c>
      <c r="D896" s="94">
        <v>1194.0</v>
      </c>
    </row>
    <row r="897">
      <c r="A897" s="40">
        <f t="array" ref="A897">IFNA(index(PlayerValues!A:A,match(IFNA(vlookup(B897,'Special Names'!A:B,2,FALSE),B897),PlayerValues!E:E,0)),"N/A")</f>
        <v>17063</v>
      </c>
      <c r="B897" s="4" t="s">
        <v>686</v>
      </c>
      <c r="C897" s="4" t="s">
        <v>278</v>
      </c>
      <c r="D897" s="94">
        <v>1186.0</v>
      </c>
    </row>
    <row r="898">
      <c r="A898" s="40">
        <f t="array" ref="A898">IFNA(index(PlayerValues!A:A,match(IFNA(vlookup(B898,'Special Names'!A:B,2,FALSE),B898),PlayerValues!E:E,0)),"N/A")</f>
        <v>16221</v>
      </c>
      <c r="B898" s="4" t="s">
        <v>725</v>
      </c>
      <c r="C898" s="4" t="s">
        <v>298</v>
      </c>
      <c r="D898" s="94">
        <v>1547.0</v>
      </c>
    </row>
    <row r="899">
      <c r="A899" s="40">
        <f t="array" ref="A899">IFNA(index(PlayerValues!A:A,match(IFNA(vlookup(B899,'Special Names'!A:B,2,FALSE),B899),PlayerValues!E:E,0)),"N/A")</f>
        <v>16645</v>
      </c>
      <c r="B899" s="4" t="s">
        <v>651</v>
      </c>
      <c r="C899" s="4" t="s">
        <v>298</v>
      </c>
      <c r="D899" s="94">
        <v>1543.0</v>
      </c>
    </row>
    <row r="900">
      <c r="A900" s="40">
        <f t="array" ref="A900">IFNA(index(PlayerValues!A:A,match(IFNA(vlookup(B900,'Special Names'!A:B,2,FALSE),B900),PlayerValues!E:E,0)),"N/A")</f>
        <v>17054</v>
      </c>
      <c r="B900" s="4" t="s">
        <v>670</v>
      </c>
      <c r="C900" s="4" t="s">
        <v>278</v>
      </c>
      <c r="D900" s="94">
        <v>1170.0</v>
      </c>
    </row>
    <row r="901">
      <c r="A901" s="40">
        <f t="array" ref="A901">IFNA(index(PlayerValues!A:A,match(IFNA(vlookup(B901,'Special Names'!A:B,2,FALSE),B901),PlayerValues!E:E,0)),"N/A")</f>
        <v>12678</v>
      </c>
      <c r="B901" s="4" t="s">
        <v>703</v>
      </c>
      <c r="C901" s="4" t="s">
        <v>298</v>
      </c>
      <c r="D901" s="94">
        <v>1524.0</v>
      </c>
    </row>
    <row r="902">
      <c r="A902" s="40">
        <f t="array" ref="A902">IFNA(index(PlayerValues!A:A,match(IFNA(vlookup(B902,'Special Names'!A:B,2,FALSE),B902),PlayerValues!E:E,0)),"N/A")</f>
        <v>16883</v>
      </c>
      <c r="B902" s="4" t="s">
        <v>683</v>
      </c>
      <c r="C902" s="4" t="s">
        <v>287</v>
      </c>
      <c r="D902" s="94">
        <v>1152.0</v>
      </c>
    </row>
    <row r="903">
      <c r="A903" s="40">
        <f t="array" ref="A903">IFNA(index(PlayerValues!A:A,match(IFNA(vlookup(B903,'Special Names'!A:B,2,FALSE),B903),PlayerValues!E:E,0)),"N/A")</f>
        <v>16746</v>
      </c>
      <c r="B903" s="4" t="s">
        <v>709</v>
      </c>
      <c r="C903" s="4" t="s">
        <v>278</v>
      </c>
      <c r="D903" s="94">
        <v>1150.0</v>
      </c>
    </row>
    <row r="904">
      <c r="A904" s="40">
        <f t="array" ref="A904">IFNA(index(PlayerValues!A:A,match(IFNA(vlookup(B904,'Special Names'!A:B,2,FALSE),B904),PlayerValues!E:E,0)),"N/A")</f>
        <v>16636</v>
      </c>
      <c r="B904" s="4" t="s">
        <v>699</v>
      </c>
      <c r="C904" s="4" t="s">
        <v>287</v>
      </c>
      <c r="D904" s="94">
        <v>1149.0</v>
      </c>
    </row>
    <row r="905">
      <c r="A905" s="40">
        <f t="array" ref="A905">IFNA(index(PlayerValues!A:A,match(IFNA(vlookup(B905,'Special Names'!A:B,2,FALSE),B905),PlayerValues!E:E,0)),"N/A")</f>
        <v>16199</v>
      </c>
      <c r="B905" s="4" t="s">
        <v>687</v>
      </c>
      <c r="C905" s="4" t="s">
        <v>287</v>
      </c>
      <c r="D905" s="94">
        <v>1143.0</v>
      </c>
    </row>
    <row r="906">
      <c r="A906" s="40">
        <f t="array" ref="A906">IFNA(index(PlayerValues!A:A,match(IFNA(vlookup(B906,'Special Names'!A:B,2,FALSE),B906),PlayerValues!E:E,0)),"N/A")</f>
        <v>14789</v>
      </c>
      <c r="B906" s="4" t="s">
        <v>721</v>
      </c>
      <c r="C906" s="4" t="s">
        <v>283</v>
      </c>
      <c r="D906" s="94">
        <v>1142.0</v>
      </c>
    </row>
    <row r="907">
      <c r="A907" s="40">
        <f t="array" ref="A907">IFNA(index(PlayerValues!A:A,match(IFNA(vlookup(B907,'Special Names'!A:B,2,FALSE),B907),PlayerValues!E:E,0)),"N/A")</f>
        <v>17097</v>
      </c>
      <c r="B907" s="4" t="s">
        <v>659</v>
      </c>
      <c r="C907" s="4" t="s">
        <v>287</v>
      </c>
      <c r="D907" s="94">
        <v>1134.0</v>
      </c>
    </row>
    <row r="908">
      <c r="A908" s="40">
        <f t="array" ref="A908">IFNA(index(PlayerValues!A:A,match(IFNA(vlookup(B908,'Special Names'!A:B,2,FALSE),B908),PlayerValues!E:E,0)),"N/A")</f>
        <v>13289</v>
      </c>
      <c r="B908" s="4" t="s">
        <v>746</v>
      </c>
      <c r="C908" s="4" t="s">
        <v>287</v>
      </c>
      <c r="D908" s="94">
        <v>1124.0</v>
      </c>
    </row>
    <row r="909">
      <c r="A909" s="40">
        <f t="array" ref="A909">IFNA(index(PlayerValues!A:A,match(IFNA(vlookup(B909,'Special Names'!A:B,2,FALSE),B909),PlayerValues!E:E,0)),"N/A")</f>
        <v>17192</v>
      </c>
      <c r="B909" s="4" t="s">
        <v>677</v>
      </c>
      <c r="C909" s="4" t="s">
        <v>287</v>
      </c>
      <c r="D909" s="94">
        <v>1116.0</v>
      </c>
    </row>
    <row r="910">
      <c r="A910" s="40">
        <f t="array" ref="A910">IFNA(index(PlayerValues!A:A,match(IFNA(vlookup(B910,'Special Names'!A:B,2,FALSE),B910),PlayerValues!E:E,0)),"N/A")</f>
        <v>17050</v>
      </c>
      <c r="B910" s="4" t="s">
        <v>713</v>
      </c>
      <c r="C910" s="4" t="s">
        <v>278</v>
      </c>
      <c r="D910" s="94">
        <v>1115.0</v>
      </c>
    </row>
    <row r="911">
      <c r="A911" s="40">
        <f t="array" ref="A911">IFNA(index(PlayerValues!A:A,match(IFNA(vlookup(B911,'Special Names'!A:B,2,FALSE),B911),PlayerValues!E:E,0)),"N/A")</f>
        <v>14845</v>
      </c>
      <c r="B911" s="4" t="s">
        <v>717</v>
      </c>
      <c r="C911" s="4" t="s">
        <v>287</v>
      </c>
      <c r="D911" s="94">
        <v>1112.0</v>
      </c>
    </row>
    <row r="912">
      <c r="A912" s="40">
        <f t="array" ref="A912">IFNA(index(PlayerValues!A:A,match(IFNA(vlookup(B912,'Special Names'!A:B,2,FALSE),B912),PlayerValues!E:E,0)),"N/A")</f>
        <v>15239</v>
      </c>
      <c r="B912" s="4" t="s">
        <v>802</v>
      </c>
      <c r="C912" s="4" t="s">
        <v>283</v>
      </c>
      <c r="D912" s="94">
        <v>1111.0</v>
      </c>
    </row>
    <row r="913">
      <c r="A913" s="40">
        <f t="array" ref="A913">IFNA(index(PlayerValues!A:A,match(IFNA(vlookup(B913,'Special Names'!A:B,2,FALSE),B913),PlayerValues!E:E,0)),"N/A")</f>
        <v>15730</v>
      </c>
      <c r="B913" s="4" t="s">
        <v>734</v>
      </c>
      <c r="C913" s="4" t="s">
        <v>278</v>
      </c>
      <c r="D913" s="94">
        <v>1109.0</v>
      </c>
    </row>
    <row r="914">
      <c r="A914" s="40">
        <f t="array" ref="A914">IFNA(index(PlayerValues!A:A,match(IFNA(vlookup(B914,'Special Names'!A:B,2,FALSE),B914),PlayerValues!E:E,0)),"N/A")</f>
        <v>15692</v>
      </c>
      <c r="B914" s="4" t="s">
        <v>750</v>
      </c>
      <c r="C914" s="4" t="s">
        <v>283</v>
      </c>
      <c r="D914" s="94">
        <v>1105.0</v>
      </c>
    </row>
    <row r="915">
      <c r="A915" s="40">
        <f t="array" ref="A915">IFNA(index(PlayerValues!A:A,match(IFNA(vlookup(B915,'Special Names'!A:B,2,FALSE),B915),PlayerValues!E:E,0)),"N/A")</f>
        <v>16333</v>
      </c>
      <c r="B915" s="4" t="s">
        <v>711</v>
      </c>
      <c r="C915" s="4" t="s">
        <v>298</v>
      </c>
      <c r="D915" s="94">
        <v>1466.0</v>
      </c>
    </row>
    <row r="916">
      <c r="A916" s="40">
        <f t="array" ref="A916">IFNA(index(PlayerValues!A:A,match(IFNA(vlookup(B916,'Special Names'!A:B,2,FALSE),B916),PlayerValues!E:E,0)),"N/A")</f>
        <v>16197</v>
      </c>
      <c r="B916" s="4" t="s">
        <v>726</v>
      </c>
      <c r="C916" s="4" t="s">
        <v>287</v>
      </c>
      <c r="D916" s="94">
        <v>1095.0</v>
      </c>
    </row>
    <row r="917">
      <c r="A917" s="40">
        <f t="array" ref="A917">IFNA(index(PlayerValues!A:A,match(IFNA(vlookup(B917,'Special Names'!A:B,2,FALSE),B917),PlayerValues!E:E,0)),"N/A")</f>
        <v>17109</v>
      </c>
      <c r="B917" s="4" t="s">
        <v>707</v>
      </c>
      <c r="C917" s="4" t="s">
        <v>298</v>
      </c>
      <c r="D917" s="94">
        <v>1462.0</v>
      </c>
    </row>
    <row r="918">
      <c r="A918" s="40">
        <f t="array" ref="A918">IFNA(index(PlayerValues!A:A,match(IFNA(vlookup(B918,'Special Names'!A:B,2,FALSE),B918),PlayerValues!E:E,0)),"N/A")</f>
        <v>13610</v>
      </c>
      <c r="B918" s="4" t="s">
        <v>825</v>
      </c>
      <c r="C918" s="4" t="s">
        <v>278</v>
      </c>
      <c r="D918" s="94">
        <v>1082.0</v>
      </c>
    </row>
    <row r="919">
      <c r="A919" s="40">
        <f t="array" ref="A919">IFNA(index(PlayerValues!A:A,match(IFNA(vlookup(B919,'Special Names'!A:B,2,FALSE),B919),PlayerValues!E:E,0)),"N/A")</f>
        <v>15288</v>
      </c>
      <c r="B919" s="4" t="s">
        <v>700</v>
      </c>
      <c r="C919" s="4" t="s">
        <v>287</v>
      </c>
      <c r="D919" s="94">
        <v>1078.0</v>
      </c>
    </row>
    <row r="920">
      <c r="A920" s="40">
        <f t="array" ref="A920">IFNA(index(PlayerValues!A:A,match(IFNA(vlookup(B920,'Special Names'!A:B,2,FALSE),B920),PlayerValues!E:E,0)),"N/A")</f>
        <v>17175</v>
      </c>
      <c r="B920" s="4" t="s">
        <v>747</v>
      </c>
      <c r="C920" s="4" t="s">
        <v>287</v>
      </c>
      <c r="D920" s="94">
        <v>1074.0</v>
      </c>
    </row>
    <row r="921">
      <c r="A921" s="40">
        <f t="array" ref="A921">IFNA(index(PlayerValues!A:A,match(IFNA(vlookup(B921,'Special Names'!A:B,2,FALSE),B921),PlayerValues!E:E,0)),"N/A")</f>
        <v>15717</v>
      </c>
      <c r="B921" s="4" t="s">
        <v>745</v>
      </c>
      <c r="C921" s="4" t="s">
        <v>278</v>
      </c>
      <c r="D921" s="94">
        <v>1071.0</v>
      </c>
    </row>
    <row r="922">
      <c r="A922" s="40">
        <f t="array" ref="A922">IFNA(index(PlayerValues!A:A,match(IFNA(vlookup(B922,'Special Names'!A:B,2,FALSE),B922),PlayerValues!E:E,0)),"N/A")</f>
        <v>16219</v>
      </c>
      <c r="B922" s="4" t="s">
        <v>739</v>
      </c>
      <c r="C922" s="4" t="s">
        <v>298</v>
      </c>
      <c r="D922" s="94">
        <v>1436.0</v>
      </c>
    </row>
    <row r="923">
      <c r="A923" s="40">
        <f t="array" ref="A923">IFNA(index(PlayerValues!A:A,match(IFNA(vlookup(B923,'Special Names'!A:B,2,FALSE),B923),PlayerValues!E:E,0)),"N/A")</f>
        <v>16640</v>
      </c>
      <c r="B923" s="4" t="s">
        <v>712</v>
      </c>
      <c r="C923" s="4" t="s">
        <v>287</v>
      </c>
      <c r="D923" s="94">
        <v>1061.0</v>
      </c>
    </row>
    <row r="924">
      <c r="A924" s="40">
        <f t="array" ref="A924">IFNA(index(PlayerValues!A:A,match(IFNA(vlookup(B924,'Special Names'!A:B,2,FALSE),B924),PlayerValues!E:E,0)),"N/A")</f>
        <v>15718</v>
      </c>
      <c r="B924" s="4" t="s">
        <v>753</v>
      </c>
      <c r="C924" s="4" t="s">
        <v>278</v>
      </c>
      <c r="D924" s="94">
        <v>1058.0</v>
      </c>
    </row>
    <row r="925">
      <c r="A925" s="40">
        <f t="array" ref="A925">IFNA(index(PlayerValues!A:A,match(IFNA(vlookup(B925,'Special Names'!A:B,2,FALSE),B925),PlayerValues!E:E,0)),"N/A")</f>
        <v>16387</v>
      </c>
      <c r="B925" s="4" t="s">
        <v>646</v>
      </c>
      <c r="C925" s="4" t="s">
        <v>278</v>
      </c>
      <c r="D925" s="94">
        <v>1057.0</v>
      </c>
    </row>
    <row r="926">
      <c r="A926" s="40">
        <f t="array" ref="A926">IFNA(index(PlayerValues!A:A,match(IFNA(vlookup(B926,'Special Names'!A:B,2,FALSE),B926),PlayerValues!E:E,0)),"N/A")</f>
        <v>15720</v>
      </c>
      <c r="B926" s="4" t="s">
        <v>795</v>
      </c>
      <c r="C926" s="4" t="s">
        <v>278</v>
      </c>
      <c r="D926" s="94">
        <v>1048.0</v>
      </c>
    </row>
    <row r="927">
      <c r="A927" s="40">
        <f t="array" ref="A927">IFNA(index(PlayerValues!A:A,match(IFNA(vlookup(B927,'Special Names'!A:B,2,FALSE),B927),PlayerValues!E:E,0)),"N/A")</f>
        <v>15693</v>
      </c>
      <c r="B927" s="4" t="s">
        <v>755</v>
      </c>
      <c r="C927" s="4" t="s">
        <v>283</v>
      </c>
      <c r="D927" s="94">
        <v>1045.0</v>
      </c>
    </row>
    <row r="928">
      <c r="A928" s="40">
        <f t="array" ref="A928">IFNA(index(PlayerValues!A:A,match(IFNA(vlookup(B928,'Special Names'!A:B,2,FALSE),B928),PlayerValues!E:E,0)),"N/A")</f>
        <v>16393</v>
      </c>
      <c r="B928" s="4" t="s">
        <v>768</v>
      </c>
      <c r="C928" s="4" t="s">
        <v>287</v>
      </c>
      <c r="D928" s="94">
        <v>1038.0</v>
      </c>
    </row>
    <row r="929">
      <c r="A929" s="40">
        <f t="array" ref="A929">IFNA(index(PlayerValues!A:A,match(IFNA(vlookup(B929,'Special Names'!A:B,2,FALSE),B929),PlayerValues!E:E,0)),"N/A")</f>
        <v>15785</v>
      </c>
      <c r="B929" s="4" t="s">
        <v>763</v>
      </c>
      <c r="C929" s="4" t="s">
        <v>287</v>
      </c>
      <c r="D929" s="94">
        <v>1034.0</v>
      </c>
    </row>
    <row r="930">
      <c r="A930" s="40">
        <f t="array" ref="A930">IFNA(index(PlayerValues!A:A,match(IFNA(vlookup(B930,'Special Names'!A:B,2,FALSE),B930),PlayerValues!E:E,0)),"N/A")</f>
        <v>14118</v>
      </c>
      <c r="B930" s="4" t="s">
        <v>771</v>
      </c>
      <c r="C930" s="4" t="s">
        <v>287</v>
      </c>
      <c r="D930" s="94">
        <v>1033.0</v>
      </c>
    </row>
    <row r="931">
      <c r="A931" s="40">
        <f t="array" ref="A931">IFNA(index(PlayerValues!A:A,match(IFNA(vlookup(B931,'Special Names'!A:B,2,FALSE),B931),PlayerValues!E:E,0)),"N/A")</f>
        <v>14849</v>
      </c>
      <c r="B931" s="4" t="s">
        <v>733</v>
      </c>
      <c r="C931" s="4" t="s">
        <v>287</v>
      </c>
      <c r="D931" s="94">
        <v>1033.0</v>
      </c>
    </row>
    <row r="932">
      <c r="A932" s="40">
        <f t="array" ref="A932">IFNA(index(PlayerValues!A:A,match(IFNA(vlookup(B932,'Special Names'!A:B,2,FALSE),B932),PlayerValues!E:E,0)),"N/A")</f>
        <v>15626</v>
      </c>
      <c r="B932" s="4" t="s">
        <v>766</v>
      </c>
      <c r="C932" s="4" t="s">
        <v>298</v>
      </c>
      <c r="D932" s="94">
        <v>1394.0</v>
      </c>
    </row>
    <row r="933">
      <c r="A933" s="40">
        <f t="array" ref="A933">IFNA(index(PlayerValues!A:A,match(IFNA(vlookup(B933,'Special Names'!A:B,2,FALSE),B933),PlayerValues!E:E,0)),"N/A")</f>
        <v>16637</v>
      </c>
      <c r="B933" s="4" t="s">
        <v>736</v>
      </c>
      <c r="C933" s="4" t="s">
        <v>287</v>
      </c>
      <c r="D933" s="94">
        <v>1020.0</v>
      </c>
    </row>
    <row r="934">
      <c r="A934" s="40">
        <f t="array" ref="A934">IFNA(index(PlayerValues!A:A,match(IFNA(vlookup(B934,'Special Names'!A:B,2,FALSE),B934),PlayerValues!E:E,0)),"N/A")</f>
        <v>16159</v>
      </c>
      <c r="B934" s="4" t="s">
        <v>819</v>
      </c>
      <c r="C934" s="4" t="s">
        <v>283</v>
      </c>
      <c r="D934" s="94">
        <v>1009.0</v>
      </c>
    </row>
    <row r="935">
      <c r="A935" s="40">
        <f t="array" ref="A935">IFNA(index(PlayerValues!A:A,match(IFNA(vlookup(B935,'Special Names'!A:B,2,FALSE),B935),PlayerValues!E:E,0)),"N/A")</f>
        <v>17057</v>
      </c>
      <c r="B935" s="4" t="s">
        <v>708</v>
      </c>
      <c r="C935" s="4" t="s">
        <v>278</v>
      </c>
      <c r="D935" s="94">
        <v>1006.0</v>
      </c>
    </row>
    <row r="936">
      <c r="A936" s="40">
        <f t="array" ref="A936">IFNA(index(PlayerValues!A:A,match(IFNA(vlookup(B936,'Special Names'!A:B,2,FALSE),B936),PlayerValues!E:E,0)),"N/A")</f>
        <v>16648</v>
      </c>
      <c r="B936" s="4" t="s">
        <v>748</v>
      </c>
      <c r="C936" s="4" t="s">
        <v>298</v>
      </c>
      <c r="D936" s="94">
        <v>1365.0</v>
      </c>
    </row>
    <row r="937">
      <c r="A937" s="40">
        <f t="array" ref="A937">IFNA(index(PlayerValues!A:A,match(IFNA(vlookup(B937,'Special Names'!A:B,2,FALSE),B937),PlayerValues!E:E,0)),"N/A")</f>
        <v>16957</v>
      </c>
      <c r="B937" s="4" t="s">
        <v>806</v>
      </c>
      <c r="C937" s="4" t="s">
        <v>278</v>
      </c>
      <c r="D937" s="94">
        <v>992.0</v>
      </c>
    </row>
    <row r="938">
      <c r="A938" s="40">
        <f t="array" ref="A938">IFNA(index(PlayerValues!A:A,match(IFNA(vlookup(B938,'Special Names'!A:B,2,FALSE),B938),PlayerValues!E:E,0)),"N/A")</f>
        <v>17467</v>
      </c>
      <c r="B938" s="4" t="s">
        <v>575</v>
      </c>
      <c r="C938" s="4" t="s">
        <v>283</v>
      </c>
      <c r="D938" s="94">
        <v>992.0</v>
      </c>
    </row>
    <row r="939">
      <c r="A939" s="40">
        <f t="array" ref="A939">IFNA(index(PlayerValues!A:A,match(IFNA(vlookup(B939,'Special Names'!A:B,2,FALSE),B939),PlayerValues!E:E,0)),"N/A")</f>
        <v>16168</v>
      </c>
      <c r="B939" s="4" t="s">
        <v>738</v>
      </c>
      <c r="C939" s="4" t="s">
        <v>278</v>
      </c>
      <c r="D939" s="94">
        <v>988.0</v>
      </c>
    </row>
    <row r="940">
      <c r="A940" s="40">
        <f t="array" ref="A940">IFNA(index(PlayerValues!A:A,match(IFNA(vlookup(B940,'Special Names'!A:B,2,FALSE),B940),PlayerValues!E:E,0)),"N/A")</f>
        <v>9064</v>
      </c>
      <c r="B940" s="4" t="s">
        <v>761</v>
      </c>
      <c r="C940" s="4" t="s">
        <v>283</v>
      </c>
      <c r="D940" s="94">
        <v>984.0</v>
      </c>
    </row>
    <row r="941">
      <c r="A941" s="40">
        <f t="array" ref="A941">IFNA(index(PlayerValues!A:A,match(IFNA(vlookup(B941,'Special Names'!A:B,2,FALSE),B941),PlayerValues!E:E,0)),"N/A")</f>
        <v>14067</v>
      </c>
      <c r="B941" s="4" t="s">
        <v>735</v>
      </c>
      <c r="C941" s="4" t="s">
        <v>283</v>
      </c>
      <c r="D941" s="94">
        <v>983.0</v>
      </c>
    </row>
    <row r="942">
      <c r="A942" s="40">
        <f t="array" ref="A942">IFNA(index(PlayerValues!A:A,match(IFNA(vlookup(B942,'Special Names'!A:B,2,FALSE),B942),PlayerValues!E:E,0)),"N/A")</f>
        <v>15330</v>
      </c>
      <c r="B942" s="4" t="s">
        <v>749</v>
      </c>
      <c r="C942" s="4" t="s">
        <v>298</v>
      </c>
      <c r="D942" s="94">
        <v>1341.0</v>
      </c>
    </row>
    <row r="943">
      <c r="A943" s="40">
        <f t="array" ref="A943">IFNA(index(PlayerValues!A:A,match(IFNA(vlookup(B943,'Special Names'!A:B,2,FALSE),B943),PlayerValues!E:E,0)),"N/A")</f>
        <v>16858</v>
      </c>
      <c r="B943" s="4" t="s">
        <v>754</v>
      </c>
      <c r="C943" s="4" t="s">
        <v>287</v>
      </c>
      <c r="D943" s="94">
        <v>973.0</v>
      </c>
    </row>
    <row r="944">
      <c r="A944" s="40">
        <f t="array" ref="A944">IFNA(index(PlayerValues!A:A,match(IFNA(vlookup(B944,'Special Names'!A:B,2,FALSE),B944),PlayerValues!E:E,0)),"N/A")</f>
        <v>13143</v>
      </c>
      <c r="B944" s="4" t="s">
        <v>786</v>
      </c>
      <c r="C944" s="4" t="s">
        <v>278</v>
      </c>
      <c r="D944" s="94">
        <v>968.0</v>
      </c>
    </row>
    <row r="945">
      <c r="A945" s="40">
        <f t="array" ref="A945">IFNA(index(PlayerValues!A:A,match(IFNA(vlookup(B945,'Special Names'!A:B,2,FALSE),B945),PlayerValues!E:E,0)),"N/A")</f>
        <v>14057</v>
      </c>
      <c r="B945" s="4" t="s">
        <v>765</v>
      </c>
      <c r="C945" s="4" t="s">
        <v>283</v>
      </c>
      <c r="D945" s="94">
        <v>954.0</v>
      </c>
    </row>
    <row r="946">
      <c r="A946" s="40">
        <f t="array" ref="A946">IFNA(index(PlayerValues!A:A,match(IFNA(vlookup(B946,'Special Names'!A:B,2,FALSE),B946),PlayerValues!E:E,0)),"N/A")</f>
        <v>16773</v>
      </c>
      <c r="B946" s="4" t="s">
        <v>783</v>
      </c>
      <c r="C946" s="4" t="s">
        <v>278</v>
      </c>
      <c r="D946" s="94">
        <v>954.0</v>
      </c>
    </row>
    <row r="947">
      <c r="A947" s="40">
        <f t="array" ref="A947">IFNA(index(PlayerValues!A:A,match(IFNA(vlookup(B947,'Special Names'!A:B,2,FALSE),B947),PlayerValues!E:E,0)),"N/A")</f>
        <v>16624</v>
      </c>
      <c r="B947" s="4" t="s">
        <v>796</v>
      </c>
      <c r="C947" s="4" t="s">
        <v>287</v>
      </c>
      <c r="D947" s="94">
        <v>950.0</v>
      </c>
    </row>
    <row r="948">
      <c r="A948" s="40">
        <f t="array" ref="A948">IFNA(index(PlayerValues!A:A,match(IFNA(vlookup(B948,'Special Names'!A:B,2,FALSE),B948),PlayerValues!E:E,0)),"N/A")</f>
        <v>16205</v>
      </c>
      <c r="B948" s="4" t="s">
        <v>742</v>
      </c>
      <c r="C948" s="4" t="s">
        <v>287</v>
      </c>
      <c r="D948" s="94">
        <v>942.0</v>
      </c>
    </row>
    <row r="949">
      <c r="A949" s="40">
        <f t="array" ref="A949">IFNA(index(PlayerValues!A:A,match(IFNA(vlookup(B949,'Special Names'!A:B,2,FALSE),B949),PlayerValues!E:E,0)),"N/A")</f>
        <v>13595</v>
      </c>
      <c r="B949" s="4" t="s">
        <v>818</v>
      </c>
      <c r="C949" s="4" t="s">
        <v>283</v>
      </c>
      <c r="D949" s="94">
        <v>938.0</v>
      </c>
    </row>
    <row r="950">
      <c r="A950" s="40">
        <f t="array" ref="A950">IFNA(index(PlayerValues!A:A,match(IFNA(vlookup(B950,'Special Names'!A:B,2,FALSE),B950),PlayerValues!E:E,0)),"N/A")</f>
        <v>15766</v>
      </c>
      <c r="B950" s="4" t="s">
        <v>759</v>
      </c>
      <c r="C950" s="4" t="s">
        <v>287</v>
      </c>
      <c r="D950" s="94">
        <v>938.0</v>
      </c>
    </row>
    <row r="951">
      <c r="A951" s="40">
        <f t="array" ref="A951">IFNA(index(PlayerValues!A:A,match(IFNA(vlookup(B951,'Special Names'!A:B,2,FALSE),B951),PlayerValues!E:E,0)),"N/A")</f>
        <v>13156</v>
      </c>
      <c r="B951" s="4" t="s">
        <v>835</v>
      </c>
      <c r="C951" s="4" t="s">
        <v>287</v>
      </c>
      <c r="D951" s="94">
        <v>933.0</v>
      </c>
    </row>
    <row r="952">
      <c r="A952" s="40">
        <f t="array" ref="A952">IFNA(index(PlayerValues!A:A,match(IFNA(vlookup(B952,'Special Names'!A:B,2,FALSE),B952),PlayerValues!E:E,0)),"N/A")</f>
        <v>15109</v>
      </c>
      <c r="B952" s="4" t="s">
        <v>728</v>
      </c>
      <c r="C952" s="4" t="s">
        <v>287</v>
      </c>
      <c r="D952" s="94">
        <v>933.0</v>
      </c>
    </row>
    <row r="953">
      <c r="A953" s="40">
        <f t="array" ref="A953">IFNA(index(PlayerValues!A:A,match(IFNA(vlookup(B953,'Special Names'!A:B,2,FALSE),B953),PlayerValues!E:E,0)),"N/A")</f>
        <v>13133</v>
      </c>
      <c r="B953" s="4" t="s">
        <v>764</v>
      </c>
      <c r="C953" s="4" t="s">
        <v>278</v>
      </c>
      <c r="D953" s="94">
        <v>932.0</v>
      </c>
    </row>
    <row r="954">
      <c r="A954" s="40">
        <f t="array" ref="A954">IFNA(index(PlayerValues!A:A,match(IFNA(vlookup(B954,'Special Names'!A:B,2,FALSE),B954),PlayerValues!E:E,0)),"N/A")</f>
        <v>16176</v>
      </c>
      <c r="B954" s="4" t="s">
        <v>812</v>
      </c>
      <c r="C954" s="4" t="s">
        <v>278</v>
      </c>
      <c r="D954" s="94">
        <v>919.0</v>
      </c>
    </row>
    <row r="955">
      <c r="A955" s="40">
        <f t="array" ref="A955">IFNA(index(PlayerValues!A:A,match(IFNA(vlookup(B955,'Special Names'!A:B,2,FALSE),B955),PlayerValues!E:E,0)),"N/A")</f>
        <v>11247</v>
      </c>
      <c r="B955" s="4" t="s">
        <v>816</v>
      </c>
      <c r="C955" s="4" t="s">
        <v>298</v>
      </c>
      <c r="D955" s="94">
        <v>1286.0</v>
      </c>
    </row>
    <row r="956">
      <c r="A956" s="40">
        <f t="array" ref="A956">IFNA(index(PlayerValues!A:A,match(IFNA(vlookup(B956,'Special Names'!A:B,2,FALSE),B956),PlayerValues!E:E,0)),"N/A")</f>
        <v>14852</v>
      </c>
      <c r="B956" s="4" t="s">
        <v>837</v>
      </c>
      <c r="C956" s="4" t="s">
        <v>278</v>
      </c>
      <c r="D956" s="94">
        <v>915.0</v>
      </c>
    </row>
    <row r="957">
      <c r="A957" s="40">
        <f t="array" ref="A957">IFNA(index(PlayerValues!A:A,match(IFNA(vlookup(B957,'Special Names'!A:B,2,FALSE),B957),PlayerValues!E:E,0)),"N/A")</f>
        <v>14079</v>
      </c>
      <c r="B957" s="4" t="s">
        <v>830</v>
      </c>
      <c r="C957" s="4" t="s">
        <v>278</v>
      </c>
      <c r="D957" s="94">
        <v>913.0</v>
      </c>
    </row>
    <row r="958">
      <c r="A958" s="40">
        <f t="array" ref="A958">IFNA(index(PlayerValues!A:A,match(IFNA(vlookup(B958,'Special Names'!A:B,2,FALSE),B958),PlayerValues!E:E,0)),"N/A")</f>
        <v>16608</v>
      </c>
      <c r="B958" s="4" t="s">
        <v>629</v>
      </c>
      <c r="C958" s="4" t="s">
        <v>278</v>
      </c>
      <c r="D958" s="94">
        <v>912.0</v>
      </c>
    </row>
    <row r="959">
      <c r="A959" s="40">
        <f t="array" ref="A959">IFNA(index(PlayerValues!A:A,match(IFNA(vlookup(B959,'Special Names'!A:B,2,FALSE),B959),PlayerValues!E:E,0)),"N/A")</f>
        <v>13763</v>
      </c>
      <c r="B959" s="4" t="s">
        <v>831</v>
      </c>
      <c r="C959" s="4" t="s">
        <v>298</v>
      </c>
      <c r="D959" s="94">
        <v>1282.0</v>
      </c>
    </row>
    <row r="960">
      <c r="A960" s="40">
        <f t="array" ref="A960">IFNA(index(PlayerValues!A:A,match(IFNA(vlookup(B960,'Special Names'!A:B,2,FALSE),B960),PlayerValues!E:E,0)),"N/A")</f>
        <v>15283</v>
      </c>
      <c r="B960" s="4" t="s">
        <v>844</v>
      </c>
      <c r="C960" s="4" t="s">
        <v>287</v>
      </c>
      <c r="D960" s="94">
        <v>911.0</v>
      </c>
    </row>
    <row r="961">
      <c r="A961" s="40">
        <f t="array" ref="A961">IFNA(index(PlayerValues!A:A,match(IFNA(vlookup(B961,'Special Names'!A:B,2,FALSE),B961),PlayerValues!E:E,0)),"N/A")</f>
        <v>17337</v>
      </c>
      <c r="B961" s="4" t="s">
        <v>793</v>
      </c>
      <c r="C961" s="4" t="s">
        <v>278</v>
      </c>
      <c r="D961" s="94">
        <v>910.0</v>
      </c>
    </row>
    <row r="962">
      <c r="A962" s="40">
        <f t="array" ref="A962">IFNA(index(PlayerValues!A:A,match(IFNA(vlookup(B962,'Special Names'!A:B,2,FALSE),B962),PlayerValues!E:E,0)),"N/A")</f>
        <v>14864</v>
      </c>
      <c r="B962" s="4" t="s">
        <v>789</v>
      </c>
      <c r="C962" s="4" t="s">
        <v>287</v>
      </c>
      <c r="D962" s="94">
        <v>908.0</v>
      </c>
    </row>
    <row r="963">
      <c r="A963" s="40">
        <f t="array" ref="A963">IFNA(index(PlayerValues!A:A,match(IFNA(vlookup(B963,'Special Names'!A:B,2,FALSE),B963),PlayerValues!E:E,0)),"N/A")</f>
        <v>12785</v>
      </c>
      <c r="B963" s="4" t="s">
        <v>772</v>
      </c>
      <c r="C963" s="4" t="s">
        <v>287</v>
      </c>
      <c r="D963" s="94">
        <v>907.0</v>
      </c>
    </row>
    <row r="964">
      <c r="A964" s="40">
        <f t="array" ref="A964">IFNA(index(PlayerValues!A:A,match(IFNA(vlookup(B964,'Special Names'!A:B,2,FALSE),B964),PlayerValues!E:E,0)),"N/A")</f>
        <v>15723</v>
      </c>
      <c r="B964" s="4" t="s">
        <v>798</v>
      </c>
      <c r="C964" s="4" t="s">
        <v>278</v>
      </c>
      <c r="D964" s="94">
        <v>895.0</v>
      </c>
    </row>
    <row r="965">
      <c r="A965" s="40">
        <f t="array" ref="A965">IFNA(index(PlayerValues!A:A,match(IFNA(vlookup(B965,'Special Names'!A:B,2,FALSE),B965),PlayerValues!E:E,0)),"N/A")</f>
        <v>13157</v>
      </c>
      <c r="B965" s="4" t="s">
        <v>836</v>
      </c>
      <c r="C965" s="4" t="s">
        <v>287</v>
      </c>
      <c r="D965" s="94">
        <v>892.0</v>
      </c>
    </row>
    <row r="966">
      <c r="A966" s="40">
        <f t="array" ref="A966">IFNA(index(PlayerValues!A:A,match(IFNA(vlookup(B966,'Special Names'!A:B,2,FALSE),B966),PlayerValues!E:E,0)),"N/A")</f>
        <v>16599</v>
      </c>
      <c r="B966" s="4" t="s">
        <v>737</v>
      </c>
      <c r="C966" s="4" t="s">
        <v>278</v>
      </c>
      <c r="D966" s="94">
        <v>888.0</v>
      </c>
    </row>
    <row r="967">
      <c r="A967" s="40">
        <f t="array" ref="A967">IFNA(index(PlayerValues!A:A,match(IFNA(vlookup(B967,'Special Names'!A:B,2,FALSE),B967),PlayerValues!E:E,0)),"N/A")</f>
        <v>11232</v>
      </c>
      <c r="B967" s="4" t="s">
        <v>826</v>
      </c>
      <c r="C967" s="4" t="s">
        <v>287</v>
      </c>
      <c r="D967" s="94">
        <v>884.0</v>
      </c>
    </row>
    <row r="968">
      <c r="A968" s="40">
        <f t="array" ref="A968">IFNA(index(PlayerValues!A:A,match(IFNA(vlookup(B968,'Special Names'!A:B,2,FALSE),B968),PlayerValues!E:E,0)),"N/A")</f>
        <v>15796</v>
      </c>
      <c r="B968" s="4" t="s">
        <v>794</v>
      </c>
      <c r="C968" s="4" t="s">
        <v>298</v>
      </c>
      <c r="D968" s="94">
        <v>1251.0</v>
      </c>
    </row>
    <row r="969">
      <c r="A969" s="40">
        <f t="array" ref="A969">IFNA(index(PlayerValues!A:A,match(IFNA(vlookup(B969,'Special Names'!A:B,2,FALSE),B969),PlayerValues!E:E,0)),"N/A")</f>
        <v>15263</v>
      </c>
      <c r="B969" s="4" t="s">
        <v>804</v>
      </c>
      <c r="C969" s="4" t="s">
        <v>278</v>
      </c>
      <c r="D969" s="94">
        <v>872.0</v>
      </c>
    </row>
    <row r="970">
      <c r="A970" s="40">
        <f t="array" ref="A970">IFNA(index(PlayerValues!A:A,match(IFNA(vlookup(B970,'Special Names'!A:B,2,FALSE),B970),PlayerValues!E:E,0)),"N/A")</f>
        <v>16416</v>
      </c>
      <c r="B970" s="4" t="s">
        <v>752</v>
      </c>
      <c r="C970" s="4" t="s">
        <v>287</v>
      </c>
      <c r="D970" s="94">
        <v>864.0</v>
      </c>
    </row>
    <row r="971">
      <c r="A971" s="40">
        <f t="array" ref="A971">IFNA(index(PlayerValues!A:A,match(IFNA(vlookup(B971,'Special Names'!A:B,2,FALSE),B971),PlayerValues!E:E,0)),"N/A")</f>
        <v>14799</v>
      </c>
      <c r="B971" s="4" t="s">
        <v>829</v>
      </c>
      <c r="C971" s="4" t="s">
        <v>278</v>
      </c>
      <c r="D971" s="94">
        <v>861.0</v>
      </c>
    </row>
    <row r="972">
      <c r="A972" s="40">
        <f t="array" ref="A972">IFNA(index(PlayerValues!A:A,match(IFNA(vlookup(B972,'Special Names'!A:B,2,FALSE),B972),PlayerValues!E:E,0)),"N/A")</f>
        <v>16686</v>
      </c>
      <c r="B972" s="4" t="s">
        <v>805</v>
      </c>
      <c r="C972" s="4" t="s">
        <v>287</v>
      </c>
      <c r="D972" s="94">
        <v>859.0</v>
      </c>
    </row>
    <row r="973">
      <c r="A973" s="40">
        <f t="array" ref="A973">IFNA(index(PlayerValues!A:A,match(IFNA(vlookup(B973,'Special Names'!A:B,2,FALSE),B973),PlayerValues!E:E,0)),"N/A")</f>
        <v>16625</v>
      </c>
      <c r="B973" s="4" t="s">
        <v>778</v>
      </c>
      <c r="C973" s="4" t="s">
        <v>287</v>
      </c>
      <c r="D973" s="94">
        <v>857.0</v>
      </c>
    </row>
    <row r="974">
      <c r="A974" s="40">
        <f t="array" ref="A974">IFNA(index(PlayerValues!A:A,match(IFNA(vlookup(B974,'Special Names'!A:B,2,FALSE),B974),PlayerValues!E:E,0)),"N/A")</f>
        <v>13172</v>
      </c>
      <c r="B974" s="4" t="s">
        <v>840</v>
      </c>
      <c r="C974" s="4" t="s">
        <v>287</v>
      </c>
      <c r="D974" s="94">
        <v>854.0</v>
      </c>
    </row>
    <row r="975">
      <c r="A975" s="40">
        <f t="array" ref="A975">IFNA(index(PlayerValues!A:A,match(IFNA(vlookup(B975,'Special Names'!A:B,2,FALSE),B975),PlayerValues!E:E,0)),"N/A")</f>
        <v>15795</v>
      </c>
      <c r="B975" s="4" t="s">
        <v>669</v>
      </c>
      <c r="C975" s="4" t="s">
        <v>298</v>
      </c>
      <c r="D975" s="94">
        <v>1225.0</v>
      </c>
    </row>
    <row r="976">
      <c r="A976" s="40">
        <f t="array" ref="A976">IFNA(index(PlayerValues!A:A,match(IFNA(vlookup(B976,'Special Names'!A:B,2,FALSE),B976),PlayerValues!E:E,0)),"N/A")</f>
        <v>15714</v>
      </c>
      <c r="B976" s="4" t="s">
        <v>775</v>
      </c>
      <c r="C976" s="4" t="s">
        <v>278</v>
      </c>
      <c r="D976" s="94">
        <v>850.0</v>
      </c>
    </row>
    <row r="977">
      <c r="A977" s="40">
        <f t="array" ref="A977">IFNA(index(PlayerValues!A:A,match(IFNA(vlookup(B977,'Special Names'!A:B,2,FALSE),B977),PlayerValues!E:E,0)),"N/A")</f>
        <v>16751</v>
      </c>
      <c r="B977" s="4" t="s">
        <v>762</v>
      </c>
      <c r="C977" s="4" t="s">
        <v>287</v>
      </c>
      <c r="D977" s="94">
        <v>850.0</v>
      </c>
    </row>
    <row r="978">
      <c r="A978" s="40">
        <f t="array" ref="A978">IFNA(index(PlayerValues!A:A,match(IFNA(vlookup(B978,'Special Names'!A:B,2,FALSE),B978),PlayerValues!E:E,0)),"N/A")</f>
        <v>15271</v>
      </c>
      <c r="B978" s="4" t="s">
        <v>741</v>
      </c>
      <c r="C978" s="4" t="s">
        <v>278</v>
      </c>
      <c r="D978" s="94">
        <v>843.0</v>
      </c>
    </row>
    <row r="979">
      <c r="A979" s="40">
        <f t="array" ref="A979">IFNA(index(PlayerValues!A:A,match(IFNA(vlookup(B979,'Special Names'!A:B,2,FALSE),B979),PlayerValues!E:E,0)),"N/A")</f>
        <v>17488</v>
      </c>
      <c r="B979" s="4" t="s">
        <v>845</v>
      </c>
      <c r="C979" s="4" t="s">
        <v>278</v>
      </c>
      <c r="D979" s="94">
        <v>838.0</v>
      </c>
    </row>
    <row r="980">
      <c r="A980" s="40">
        <f t="array" ref="A980">IFNA(index(PlayerValues!A:A,match(IFNA(vlookup(B980,'Special Names'!A:B,2,FALSE),B980),PlayerValues!E:E,0)),"N/A")</f>
        <v>16623</v>
      </c>
      <c r="B980" s="4" t="s">
        <v>803</v>
      </c>
      <c r="C980" s="4" t="s">
        <v>287</v>
      </c>
      <c r="D980" s="94">
        <v>835.0</v>
      </c>
    </row>
    <row r="981">
      <c r="A981" s="40">
        <f t="array" ref="A981">IFNA(index(PlayerValues!A:A,match(IFNA(vlookup(B981,'Special Names'!A:B,2,FALSE),B981),PlayerValues!E:E,0)),"N/A")</f>
        <v>15804</v>
      </c>
      <c r="B981" s="4" t="s">
        <v>821</v>
      </c>
      <c r="C981" s="4" t="s">
        <v>298</v>
      </c>
      <c r="D981" s="94">
        <v>1206.0</v>
      </c>
    </row>
    <row r="982">
      <c r="A982" s="40">
        <f t="array" ref="A982">IFNA(index(PlayerValues!A:A,match(IFNA(vlookup(B982,'Special Names'!A:B,2,FALSE),B982),PlayerValues!E:E,0)),"N/A")</f>
        <v>10413</v>
      </c>
      <c r="B982" s="4" t="s">
        <v>811</v>
      </c>
      <c r="C982" s="4" t="s">
        <v>283</v>
      </c>
      <c r="D982" s="94">
        <v>823.0</v>
      </c>
    </row>
    <row r="983">
      <c r="A983" s="40">
        <f t="array" ref="A983">IFNA(index(PlayerValues!A:A,match(IFNA(vlookup(B983,'Special Names'!A:B,2,FALSE),B983),PlayerValues!E:E,0)),"N/A")</f>
        <v>14358</v>
      </c>
      <c r="B983" s="4" t="s">
        <v>813</v>
      </c>
      <c r="C983" s="4" t="s">
        <v>283</v>
      </c>
      <c r="D983" s="94">
        <v>821.0</v>
      </c>
    </row>
    <row r="984">
      <c r="A984" s="40">
        <f t="array" ref="A984">IFNA(index(PlayerValues!A:A,match(IFNA(vlookup(B984,'Special Names'!A:B,2,FALSE),B984),PlayerValues!E:E,0)),"N/A")</f>
        <v>14805</v>
      </c>
      <c r="B984" s="4" t="s">
        <v>770</v>
      </c>
      <c r="C984" s="4" t="s">
        <v>278</v>
      </c>
      <c r="D984" s="94">
        <v>807.0</v>
      </c>
    </row>
    <row r="985">
      <c r="A985" s="40">
        <f t="array" ref="A985">IFNA(index(PlayerValues!A:A,match(IFNA(vlookup(B985,'Special Names'!A:B,2,FALSE),B985),PlayerValues!E:E,0)),"N/A")</f>
        <v>14209</v>
      </c>
      <c r="B985" s="4" t="s">
        <v>809</v>
      </c>
      <c r="C985" s="4" t="s">
        <v>298</v>
      </c>
      <c r="D985" s="94">
        <v>1177.0</v>
      </c>
    </row>
    <row r="986">
      <c r="A986" s="40">
        <f t="array" ref="A986">IFNA(index(PlayerValues!A:A,match(IFNA(vlookup(B986,'Special Names'!A:B,2,FALSE),B986),PlayerValues!E:E,0)),"N/A")</f>
        <v>16606</v>
      </c>
      <c r="B986" s="4" t="s">
        <v>743</v>
      </c>
      <c r="C986" s="4" t="s">
        <v>278</v>
      </c>
      <c r="D986" s="94">
        <v>795.0</v>
      </c>
    </row>
    <row r="987">
      <c r="A987" s="40">
        <f t="array" ref="A987">IFNA(index(PlayerValues!A:A,match(IFNA(vlookup(B987,'Special Names'!A:B,2,FALSE),B987),PlayerValues!E:E,0)),"N/A")</f>
        <v>15285</v>
      </c>
      <c r="B987" s="4" t="s">
        <v>792</v>
      </c>
      <c r="C987" s="4" t="s">
        <v>287</v>
      </c>
      <c r="D987" s="94">
        <v>794.0</v>
      </c>
    </row>
    <row r="988">
      <c r="A988" s="40">
        <f t="array" ref="A988">IFNA(index(PlayerValues!A:A,match(IFNA(vlookup(B988,'Special Names'!A:B,2,FALSE),B988),PlayerValues!E:E,0)),"N/A")</f>
        <v>17282</v>
      </c>
      <c r="B988" s="4" t="s">
        <v>833</v>
      </c>
      <c r="C988" s="4" t="s">
        <v>283</v>
      </c>
      <c r="D988" s="94">
        <v>781.0</v>
      </c>
    </row>
    <row r="989">
      <c r="A989" s="40">
        <f t="array" ref="A989">IFNA(index(PlayerValues!A:A,match(IFNA(vlookup(B989,'Special Names'!A:B,2,FALSE),B989),PlayerValues!E:E,0)),"N/A")</f>
        <v>15965</v>
      </c>
      <c r="B989" s="4" t="s">
        <v>791</v>
      </c>
      <c r="C989" s="4" t="s">
        <v>278</v>
      </c>
      <c r="D989" s="94">
        <v>780.0</v>
      </c>
    </row>
    <row r="990">
      <c r="A990" s="40">
        <f t="array" ref="A990">IFNA(index(PlayerValues!A:A,match(IFNA(vlookup(B990,'Special Names'!A:B,2,FALSE),B990),PlayerValues!E:E,0)),"N/A")</f>
        <v>16413</v>
      </c>
      <c r="B990" s="4" t="s">
        <v>781</v>
      </c>
      <c r="C990" s="4" t="s">
        <v>287</v>
      </c>
      <c r="D990" s="94">
        <v>778.0</v>
      </c>
    </row>
    <row r="991">
      <c r="A991" s="40">
        <f t="array" ref="A991">IFNA(index(PlayerValues!A:A,match(IFNA(vlookup(B991,'Special Names'!A:B,2,FALSE),B991),PlayerValues!E:E,0)),"N/A")</f>
        <v>12658</v>
      </c>
      <c r="B991" s="4" t="s">
        <v>823</v>
      </c>
      <c r="C991" s="4" t="s">
        <v>287</v>
      </c>
      <c r="D991" s="94">
        <v>773.0</v>
      </c>
    </row>
    <row r="992">
      <c r="A992" s="40">
        <f t="array" ref="A992">IFNA(index(PlayerValues!A:A,match(IFNA(vlookup(B992,'Special Names'!A:B,2,FALSE),B992),PlayerValues!E:E,0)),"N/A")</f>
        <v>16678</v>
      </c>
      <c r="B992" s="4" t="s">
        <v>758</v>
      </c>
      <c r="C992" s="4" t="s">
        <v>278</v>
      </c>
      <c r="D992" s="94">
        <v>769.0</v>
      </c>
    </row>
    <row r="993">
      <c r="A993" s="40">
        <f t="array" ref="A993">IFNA(index(PlayerValues!A:A,match(IFNA(vlookup(B993,'Special Names'!A:B,2,FALSE),B993),PlayerValues!E:E,0)),"N/A")</f>
        <v>16632</v>
      </c>
      <c r="B993" s="4" t="s">
        <v>842</v>
      </c>
      <c r="C993" s="4" t="s">
        <v>287</v>
      </c>
      <c r="D993" s="94">
        <v>764.0</v>
      </c>
    </row>
    <row r="994">
      <c r="A994" s="40">
        <f t="array" ref="A994">IFNA(index(PlayerValues!A:A,match(IFNA(vlookup(B994,'Special Names'!A:B,2,FALSE),B994),PlayerValues!E:E,0)),"N/A")</f>
        <v>14223</v>
      </c>
      <c r="B994" s="4" t="s">
        <v>785</v>
      </c>
      <c r="C994" s="4" t="s">
        <v>278</v>
      </c>
      <c r="D994" s="94">
        <v>760.0</v>
      </c>
    </row>
    <row r="995">
      <c r="A995" s="40">
        <f t="array" ref="A995">IFNA(index(PlayerValues!A:A,match(IFNA(vlookup(B995,'Special Names'!A:B,2,FALSE),B995),PlayerValues!E:E,0)),"N/A")</f>
        <v>13176</v>
      </c>
      <c r="B995" s="4" t="s">
        <v>807</v>
      </c>
      <c r="C995" s="4" t="s">
        <v>287</v>
      </c>
      <c r="D995" s="94">
        <v>759.0</v>
      </c>
    </row>
    <row r="996">
      <c r="A996" s="40">
        <f t="array" ref="A996">IFNA(index(PlayerValues!A:A,match(IFNA(vlookup(B996,'Special Names'!A:B,2,FALSE),B996),PlayerValues!E:E,0)),"N/A")</f>
        <v>13424</v>
      </c>
      <c r="B996" s="4" t="s">
        <v>846</v>
      </c>
      <c r="C996" s="4" t="s">
        <v>298</v>
      </c>
      <c r="D996" s="94">
        <v>1106.0</v>
      </c>
    </row>
    <row r="997">
      <c r="A997" s="40">
        <f t="array" ref="A997">IFNA(index(PlayerValues!A:A,match(IFNA(vlookup(B997,'Special Names'!A:B,2,FALSE),B997),PlayerValues!E:E,0)),"N/A")</f>
        <v>17232</v>
      </c>
      <c r="B997" s="4" t="s">
        <v>784</v>
      </c>
      <c r="C997" s="4" t="s">
        <v>287</v>
      </c>
      <c r="D997" s="94">
        <v>731.0</v>
      </c>
    </row>
    <row r="998">
      <c r="A998" s="40">
        <f t="array" ref="A998">IFNA(index(PlayerValues!A:A,match(IFNA(vlookup(B998,'Special Names'!A:B,2,FALSE),B998),PlayerValues!E:E,0)),"N/A")</f>
        <v>14858</v>
      </c>
      <c r="B998" s="4" t="s">
        <v>799</v>
      </c>
      <c r="C998" s="4" t="s">
        <v>287</v>
      </c>
      <c r="D998" s="94">
        <v>721.0</v>
      </c>
    </row>
    <row r="999">
      <c r="A999" s="40">
        <f t="array" ref="A999">IFNA(index(PlayerValues!A:A,match(IFNA(vlookup(B999,'Special Names'!A:B,2,FALSE),B999),PlayerValues!E:E,0)),"N/A")</f>
        <v>13377</v>
      </c>
      <c r="B999" s="4" t="s">
        <v>847</v>
      </c>
      <c r="C999" s="4" t="s">
        <v>287</v>
      </c>
      <c r="D999" s="94">
        <v>720.0</v>
      </c>
    </row>
    <row r="1000">
      <c r="A1000" s="40">
        <f t="array" ref="A1000">IFNA(index(PlayerValues!A:A,match(IFNA(vlookup(B1000,'Special Names'!A:B,2,FALSE),B1000),PlayerValues!E:E,0)),"N/A")</f>
        <v>16170</v>
      </c>
      <c r="B1000" s="4" t="s">
        <v>801</v>
      </c>
      <c r="C1000" s="4" t="s">
        <v>278</v>
      </c>
      <c r="D1000" s="94">
        <v>719.0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9999.0</v>
      </c>
    </row>
    <row r="1002">
      <c r="A1002" s="40">
        <f t="array" ref="A1002">IFNA(index(PlayerValues!A:A,match(IFNA(vlookup(B1002,'Special Names'!A:B,2,FALSE),B1002),PlayerValues!E:E,0)),"N/A")</f>
        <v>16161</v>
      </c>
      <c r="B1002" s="4" t="s">
        <v>277</v>
      </c>
      <c r="C1002" s="4" t="s">
        <v>278</v>
      </c>
      <c r="D1002" s="94">
        <v>9994.0</v>
      </c>
    </row>
    <row r="1003">
      <c r="A1003" s="40">
        <f t="array" ref="A1003">IFNA(index(PlayerValues!A:A,match(IFNA(vlookup(B1003,'Special Names'!A:B,2,FALSE),B1003),PlayerValues!E:E,0)),"N/A")</f>
        <v>15281</v>
      </c>
      <c r="B1003" s="4" t="s">
        <v>286</v>
      </c>
      <c r="C1003" s="4" t="s">
        <v>287</v>
      </c>
      <c r="D1003" s="94">
        <v>9953.0</v>
      </c>
    </row>
    <row r="1004">
      <c r="A1004" s="40">
        <f t="array" ref="A1004">IFNA(index(PlayerValues!A:A,match(IFNA(vlookup(B1004,'Special Names'!A:B,2,FALSE),B1004),PlayerValues!E:E,0)),"N/A")</f>
        <v>16185</v>
      </c>
      <c r="B1004" s="4" t="s">
        <v>290</v>
      </c>
      <c r="C1004" s="4" t="s">
        <v>287</v>
      </c>
      <c r="D1004" s="94">
        <v>9888.0</v>
      </c>
    </row>
    <row r="1005">
      <c r="A1005" s="40">
        <f t="array" ref="A1005">IFNA(index(PlayerValues!A:A,match(IFNA(vlookup(B1005,'Special Names'!A:B,2,FALSE),B1005),PlayerValues!E:E,0)),"N/A")</f>
        <v>16580</v>
      </c>
      <c r="B1005" s="4" t="s">
        <v>291</v>
      </c>
      <c r="C1005" s="4" t="s">
        <v>283</v>
      </c>
      <c r="D1005" s="94">
        <v>9607.0</v>
      </c>
    </row>
    <row r="1006">
      <c r="A1006" s="40">
        <f t="array" ref="A1006">IFNA(index(PlayerValues!A:A,match(IFNA(vlookup(B1006,'Special Names'!A:B,2,FALSE),B1006),PlayerValues!E:E,0)),"N/A")</f>
        <v>16211</v>
      </c>
      <c r="B1006" s="4" t="s">
        <v>294</v>
      </c>
      <c r="C1006" s="4" t="s">
        <v>287</v>
      </c>
      <c r="D1006" s="94">
        <v>9507.0</v>
      </c>
    </row>
    <row r="1007">
      <c r="A1007" s="40">
        <f t="array" ref="A1007">IFNA(index(PlayerValues!A:A,match(IFNA(vlookup(B1007,'Special Names'!A:B,2,FALSE),B1007),PlayerValues!E:E,0)),"N/A")</f>
        <v>16162</v>
      </c>
      <c r="B1007" s="4" t="s">
        <v>281</v>
      </c>
      <c r="C1007" s="4" t="s">
        <v>278</v>
      </c>
      <c r="D1007" s="94">
        <v>9414.0</v>
      </c>
    </row>
    <row r="1008">
      <c r="A1008" s="40">
        <f t="array" ref="A1008">IFNA(index(PlayerValues!A:A,match(IFNA(vlookup(B1008,'Special Names'!A:B,2,FALSE),B1008),PlayerValues!E:E,0)),"N/A")</f>
        <v>16615</v>
      </c>
      <c r="B1008" s="4" t="s">
        <v>309</v>
      </c>
      <c r="C1008" s="4" t="s">
        <v>287</v>
      </c>
      <c r="D1008" s="94">
        <v>7733.0</v>
      </c>
    </row>
    <row r="1009">
      <c r="A1009" s="40">
        <f t="array" ref="A1009">IFNA(index(PlayerValues!A:A,match(IFNA(vlookup(B1009,'Special Names'!A:B,2,FALSE),B1009),PlayerValues!E:E,0)),"N/A")</f>
        <v>15287</v>
      </c>
      <c r="B1009" s="4" t="s">
        <v>299</v>
      </c>
      <c r="C1009" s="4" t="s">
        <v>287</v>
      </c>
      <c r="D1009" s="94">
        <v>7681.0</v>
      </c>
    </row>
    <row r="1010">
      <c r="A1010" s="40">
        <f t="array" ref="A1010">IFNA(index(PlayerValues!A:A,match(IFNA(vlookup(B1010,'Special Names'!A:B,2,FALSE),B1010),PlayerValues!E:E,0)),"N/A")</f>
        <v>15794</v>
      </c>
      <c r="B1010" s="4" t="s">
        <v>313</v>
      </c>
      <c r="C1010" s="4" t="s">
        <v>298</v>
      </c>
      <c r="D1010" s="94">
        <v>8496.0</v>
      </c>
    </row>
    <row r="1011">
      <c r="A1011" s="40">
        <f t="array" ref="A1011">IFNA(index(PlayerValues!A:A,match(IFNA(vlookup(B1011,'Special Names'!A:B,2,FALSE),B1011),PlayerValues!E:E,0)),"N/A")</f>
        <v>16579</v>
      </c>
      <c r="B1011" s="4" t="s">
        <v>302</v>
      </c>
      <c r="C1011" s="4" t="s">
        <v>283</v>
      </c>
      <c r="D1011" s="94">
        <v>7666.0</v>
      </c>
    </row>
    <row r="1012">
      <c r="A1012" s="40">
        <f t="array" ref="A1012">IFNA(index(PlayerValues!A:A,match(IFNA(vlookup(B1012,'Special Names'!A:B,2,FALSE),B1012),PlayerValues!E:E,0)),"N/A")</f>
        <v>16641</v>
      </c>
      <c r="B1012" s="4" t="s">
        <v>297</v>
      </c>
      <c r="C1012" s="4" t="s">
        <v>298</v>
      </c>
      <c r="D1012" s="94">
        <v>8472.0</v>
      </c>
    </row>
    <row r="1013">
      <c r="A1013" s="40">
        <f t="array" ref="A1013">IFNA(index(PlayerValues!A:A,match(IFNA(vlookup(B1013,'Special Names'!A:B,2,FALSE),B1013),PlayerValues!E:E,0)),"N/A")</f>
        <v>16581</v>
      </c>
      <c r="B1013" s="4" t="s">
        <v>315</v>
      </c>
      <c r="C1013" s="4" t="s">
        <v>283</v>
      </c>
      <c r="D1013" s="94">
        <v>7612.0</v>
      </c>
    </row>
    <row r="1014">
      <c r="A1014" s="40">
        <f t="array" ref="A1014">IFNA(index(PlayerValues!A:A,match(IFNA(vlookup(B1014,'Special Names'!A:B,2,FALSE),B1014),PlayerValues!E:E,0)),"N/A")</f>
        <v>13593</v>
      </c>
      <c r="B1014" s="4" t="s">
        <v>305</v>
      </c>
      <c r="C1014" s="4" t="s">
        <v>283</v>
      </c>
      <c r="D1014" s="94">
        <v>7546.0</v>
      </c>
    </row>
    <row r="1015">
      <c r="A1015" s="40">
        <f t="array" ref="A1015">IFNA(index(PlayerValues!A:A,match(IFNA(vlookup(B1015,'Special Names'!A:B,2,FALSE),B1015),PlayerValues!E:E,0)),"N/A")</f>
        <v>14836</v>
      </c>
      <c r="B1015" s="4" t="s">
        <v>306</v>
      </c>
      <c r="C1015" s="4" t="s">
        <v>287</v>
      </c>
      <c r="D1015" s="94">
        <v>7390.0</v>
      </c>
    </row>
    <row r="1016">
      <c r="A1016" s="40">
        <f t="array" ref="A1016">IFNA(index(PlayerValues!A:A,match(IFNA(vlookup(B1016,'Special Names'!A:B,2,FALSE),B1016),PlayerValues!E:E,0)),"N/A")</f>
        <v>14832</v>
      </c>
      <c r="B1016" s="4" t="s">
        <v>319</v>
      </c>
      <c r="C1016" s="4" t="s">
        <v>287</v>
      </c>
      <c r="D1016" s="94">
        <v>7338.0</v>
      </c>
    </row>
    <row r="1017">
      <c r="A1017" s="40">
        <f t="array" ref="A1017">IFNA(index(PlayerValues!A:A,match(IFNA(vlookup(B1017,'Special Names'!A:B,2,FALSE),B1017),PlayerValues!E:E,0)),"N/A")</f>
        <v>17042</v>
      </c>
      <c r="B1017" s="4" t="s">
        <v>314</v>
      </c>
      <c r="C1017" s="4" t="s">
        <v>278</v>
      </c>
      <c r="D1017" s="94">
        <v>7224.0</v>
      </c>
    </row>
    <row r="1018">
      <c r="A1018" s="40">
        <f t="array" ref="A1018">IFNA(index(PlayerValues!A:A,match(IFNA(vlookup(B1018,'Special Names'!A:B,2,FALSE),B1018),PlayerValues!E:E,0)),"N/A")</f>
        <v>14777</v>
      </c>
      <c r="B1018" s="4" t="s">
        <v>318</v>
      </c>
      <c r="C1018" s="4" t="s">
        <v>283</v>
      </c>
      <c r="D1018" s="94">
        <v>7223.0</v>
      </c>
    </row>
    <row r="1019">
      <c r="A1019" s="40">
        <f t="array" ref="A1019">IFNA(index(PlayerValues!A:A,match(IFNA(vlookup(B1019,'Special Names'!A:B,2,FALSE),B1019),PlayerValues!E:E,0)),"N/A")</f>
        <v>16167</v>
      </c>
      <c r="B1019" s="4" t="s">
        <v>323</v>
      </c>
      <c r="C1019" s="4" t="s">
        <v>278</v>
      </c>
      <c r="D1019" s="94">
        <v>7035.0</v>
      </c>
    </row>
    <row r="1020">
      <c r="A1020" s="40">
        <f t="array" ref="A1020">IFNA(index(PlayerValues!A:A,match(IFNA(vlookup(B1020,'Special Names'!A:B,2,FALSE),B1020),PlayerValues!E:E,0)),"N/A")</f>
        <v>15751</v>
      </c>
      <c r="B1020" s="4" t="s">
        <v>328</v>
      </c>
      <c r="C1020" s="4" t="s">
        <v>287</v>
      </c>
      <c r="D1020" s="94">
        <v>7030.0</v>
      </c>
    </row>
    <row r="1021">
      <c r="A1021" s="40">
        <f t="array" ref="A1021">IFNA(index(PlayerValues!A:A,match(IFNA(vlookup(B1021,'Special Names'!A:B,2,FALSE),B1021),PlayerValues!E:E,0)),"N/A")</f>
        <v>17472</v>
      </c>
      <c r="B1021" s="4" t="s">
        <v>310</v>
      </c>
      <c r="C1021" s="4" t="s">
        <v>278</v>
      </c>
      <c r="D1021" s="94">
        <v>6935.0</v>
      </c>
    </row>
    <row r="1022">
      <c r="A1022" s="40">
        <f t="array" ref="A1022">IFNA(index(PlayerValues!A:A,match(IFNA(vlookup(B1022,'Special Names'!A:B,2,FALSE),B1022),PlayerValues!E:E,0)),"N/A")</f>
        <v>14779</v>
      </c>
      <c r="B1022" s="4" t="s">
        <v>327</v>
      </c>
      <c r="C1022" s="4" t="s">
        <v>283</v>
      </c>
      <c r="D1022" s="94">
        <v>6889.0</v>
      </c>
    </row>
    <row r="1023">
      <c r="A1023" s="40" t="str">
        <f t="array" ref="A1023">IFNA(index(PlayerValues!A:A,match(IFNA(vlookup(B1023,'Special Names'!A:B,2,FALSE),B1023),PlayerValues!E:E,0)),"N/A")</f>
        <v>N/A</v>
      </c>
      <c r="B1023" s="4" t="s">
        <v>92</v>
      </c>
      <c r="C1023" s="4" t="s">
        <v>325</v>
      </c>
      <c r="D1023" s="94">
        <v>6650.0</v>
      </c>
    </row>
    <row r="1024">
      <c r="A1024" s="40">
        <f t="array" ref="A1024">IFNA(index(PlayerValues!A:A,match(IFNA(vlookup(B1024,'Special Names'!A:B,2,FALSE),B1024),PlayerValues!E:E,0)),"N/A")</f>
        <v>17044</v>
      </c>
      <c r="B1024" s="4" t="s">
        <v>322</v>
      </c>
      <c r="C1024" s="4" t="s">
        <v>278</v>
      </c>
      <c r="D1024" s="94">
        <v>6641.0</v>
      </c>
    </row>
    <row r="1025">
      <c r="A1025" s="40">
        <f t="array" ref="A1025">IFNA(index(PlayerValues!A:A,match(IFNA(vlookup(B1025,'Special Names'!A:B,2,FALSE),B1025),PlayerValues!E:E,0)),"N/A")</f>
        <v>17032</v>
      </c>
      <c r="B1025" s="4" t="s">
        <v>348</v>
      </c>
      <c r="C1025" s="4" t="s">
        <v>283</v>
      </c>
      <c r="D1025" s="94">
        <v>6630.0</v>
      </c>
    </row>
    <row r="1026">
      <c r="A1026" s="40">
        <f t="array" ref="A1026">IFNA(index(PlayerValues!A:A,match(IFNA(vlookup(B1026,'Special Names'!A:B,2,FALSE),B1026),PlayerValues!E:E,0)),"N/A")</f>
        <v>17071</v>
      </c>
      <c r="B1026" s="4" t="s">
        <v>341</v>
      </c>
      <c r="C1026" s="4" t="s">
        <v>287</v>
      </c>
      <c r="D1026" s="94">
        <v>6609.0</v>
      </c>
    </row>
    <row r="1027">
      <c r="A1027" s="40">
        <f t="array" ref="A1027">IFNA(index(PlayerValues!A:A,match(IFNA(vlookup(B1027,'Special Names'!A:B,2,FALSE),B1027),PlayerValues!E:E,0)),"N/A")</f>
        <v>13116</v>
      </c>
      <c r="B1027" s="4" t="s">
        <v>345</v>
      </c>
      <c r="C1027" s="4" t="s">
        <v>283</v>
      </c>
      <c r="D1027" s="94">
        <v>6579.0</v>
      </c>
    </row>
    <row r="1028">
      <c r="A1028" s="40">
        <f t="array" ref="A1028">IFNA(index(PlayerValues!A:A,match(IFNA(vlookup(B1028,'Special Names'!A:B,2,FALSE),B1028),PlayerValues!E:E,0)),"N/A")</f>
        <v>14783</v>
      </c>
      <c r="B1028" s="4" t="s">
        <v>342</v>
      </c>
      <c r="C1028" s="4" t="s">
        <v>283</v>
      </c>
      <c r="D1028" s="94">
        <v>6348.0</v>
      </c>
    </row>
    <row r="1029">
      <c r="A1029" s="40">
        <f t="array" ref="A1029">IFNA(index(PlayerValues!A:A,match(IFNA(vlookup(B1029,'Special Names'!A:B,2,FALSE),B1029),PlayerValues!E:E,0)),"N/A")</f>
        <v>15237</v>
      </c>
      <c r="B1029" s="4" t="s">
        <v>336</v>
      </c>
      <c r="C1029" s="4" t="s">
        <v>283</v>
      </c>
      <c r="D1029" s="94">
        <v>6333.0</v>
      </c>
    </row>
    <row r="1030">
      <c r="A1030" s="40">
        <f t="array" ref="A1030">IFNA(index(PlayerValues!A:A,match(IFNA(vlookup(B1030,'Special Names'!A:B,2,FALSE),B1030),PlayerValues!E:E,0)),"N/A")</f>
        <v>15715</v>
      </c>
      <c r="B1030" s="4" t="s">
        <v>331</v>
      </c>
      <c r="C1030" s="4" t="s">
        <v>278</v>
      </c>
      <c r="D1030" s="94">
        <v>6171.0</v>
      </c>
    </row>
    <row r="1031">
      <c r="A1031" s="40">
        <f t="array" ref="A1031">IFNA(index(PlayerValues!A:A,match(IFNA(vlookup(B1031,'Special Names'!A:B,2,FALSE),B1031),PlayerValues!E:E,0)),"N/A")</f>
        <v>15762</v>
      </c>
      <c r="B1031" s="4" t="s">
        <v>337</v>
      </c>
      <c r="C1031" s="4" t="s">
        <v>287</v>
      </c>
      <c r="D1031" s="94">
        <v>6154.0</v>
      </c>
    </row>
    <row r="1032">
      <c r="A1032" s="40">
        <f t="array" ref="A1032">IFNA(index(PlayerValues!A:A,match(IFNA(vlookup(B1032,'Special Names'!A:B,2,FALSE),B1032),PlayerValues!E:E,0)),"N/A")</f>
        <v>16582</v>
      </c>
      <c r="B1032" s="4" t="s">
        <v>343</v>
      </c>
      <c r="C1032" s="4" t="s">
        <v>283</v>
      </c>
      <c r="D1032" s="94">
        <v>6130.0</v>
      </c>
    </row>
    <row r="1033">
      <c r="A1033" s="40">
        <f t="array" ref="A1033">IFNA(index(PlayerValues!A:A,match(IFNA(vlookup(B1033,'Special Names'!A:B,2,FALSE),B1033),PlayerValues!E:E,0)),"N/A")</f>
        <v>14802</v>
      </c>
      <c r="B1033" s="4" t="s">
        <v>332</v>
      </c>
      <c r="C1033" s="4" t="s">
        <v>278</v>
      </c>
      <c r="D1033" s="94">
        <v>6119.0</v>
      </c>
    </row>
    <row r="1034">
      <c r="A1034" s="40">
        <f t="array" ref="A1034">IFNA(index(PlayerValues!A:A,match(IFNA(vlookup(B1034,'Special Names'!A:B,2,FALSE),B1034),PlayerValues!E:E,0)),"N/A")</f>
        <v>15698</v>
      </c>
      <c r="B1034" s="4" t="s">
        <v>358</v>
      </c>
      <c r="C1034" s="4" t="s">
        <v>283</v>
      </c>
      <c r="D1034" s="94">
        <v>6117.0</v>
      </c>
    </row>
    <row r="1035">
      <c r="A1035" s="40">
        <f t="array" ref="A1035">IFNA(index(PlayerValues!A:A,match(IFNA(vlookup(B1035,'Special Names'!A:B,2,FALSE),B1035),PlayerValues!E:E,0)),"N/A")</f>
        <v>15290</v>
      </c>
      <c r="B1035" s="4" t="s">
        <v>355</v>
      </c>
      <c r="C1035" s="4" t="s">
        <v>287</v>
      </c>
      <c r="D1035" s="94">
        <v>5988.0</v>
      </c>
    </row>
    <row r="1036">
      <c r="A1036" s="40">
        <f t="array" ref="A1036">IFNA(index(PlayerValues!A:A,match(IFNA(vlookup(B1036,'Special Names'!A:B,2,FALSE),B1036),PlayerValues!E:E,0)),"N/A")</f>
        <v>17081</v>
      </c>
      <c r="B1036" s="4" t="s">
        <v>340</v>
      </c>
      <c r="C1036" s="4" t="s">
        <v>287</v>
      </c>
      <c r="D1036" s="94">
        <v>5978.0</v>
      </c>
    </row>
    <row r="1037">
      <c r="A1037" s="40" t="str">
        <f t="array" ref="A1037">IFNA(index(PlayerValues!A:A,match(IFNA(vlookup(B1037,'Special Names'!A:B,2,FALSE),B1037),PlayerValues!E:E,0)),"N/A")</f>
        <v>N/A</v>
      </c>
      <c r="B1037" s="4" t="s">
        <v>79</v>
      </c>
      <c r="C1037" s="4" t="s">
        <v>325</v>
      </c>
      <c r="D1037" s="94">
        <v>5961.0</v>
      </c>
    </row>
    <row r="1038">
      <c r="A1038" s="40">
        <f t="array" ref="A1038">IFNA(index(PlayerValues!A:A,match(IFNA(vlookup(B1038,'Special Names'!A:B,2,FALSE),B1038),PlayerValues!E:E,0)),"N/A")</f>
        <v>17104</v>
      </c>
      <c r="B1038" s="4" t="s">
        <v>333</v>
      </c>
      <c r="C1038" s="4" t="s">
        <v>298</v>
      </c>
      <c r="D1038" s="94">
        <v>6615.0</v>
      </c>
    </row>
    <row r="1039">
      <c r="A1039" s="40">
        <f t="array" ref="A1039">IFNA(index(PlayerValues!A:A,match(IFNA(vlookup(B1039,'Special Names'!A:B,2,FALSE),B1039),PlayerValues!E:E,0)),"N/A")</f>
        <v>17043</v>
      </c>
      <c r="B1039" s="4" t="s">
        <v>397</v>
      </c>
      <c r="C1039" s="4" t="s">
        <v>278</v>
      </c>
      <c r="D1039" s="94">
        <v>5888.0</v>
      </c>
    </row>
    <row r="1040">
      <c r="A1040" s="40">
        <f t="array" ref="A1040">IFNA(index(PlayerValues!A:A,match(IFNA(vlookup(B1040,'Special Names'!A:B,2,FALSE),B1040),PlayerValues!E:E,0)),"N/A")</f>
        <v>15753</v>
      </c>
      <c r="B1040" s="4" t="s">
        <v>359</v>
      </c>
      <c r="C1040" s="4" t="s">
        <v>287</v>
      </c>
      <c r="D1040" s="94">
        <v>5833.0</v>
      </c>
    </row>
    <row r="1041">
      <c r="A1041" s="40">
        <f t="array" ref="A1041">IFNA(index(PlayerValues!A:A,match(IFNA(vlookup(B1041,'Special Names'!A:B,2,FALSE),B1041),PlayerValues!E:E,0)),"N/A")</f>
        <v>15754</v>
      </c>
      <c r="B1041" s="4" t="s">
        <v>354</v>
      </c>
      <c r="C1041" s="4" t="s">
        <v>287</v>
      </c>
      <c r="D1041" s="94">
        <v>5828.0</v>
      </c>
    </row>
    <row r="1042">
      <c r="A1042" s="40">
        <f t="array" ref="A1042">IFNA(index(PlayerValues!A:A,match(IFNA(vlookup(B1042,'Special Names'!A:B,2,FALSE),B1042),PlayerValues!E:E,0)),"N/A")</f>
        <v>14782</v>
      </c>
      <c r="B1042" s="4" t="s">
        <v>385</v>
      </c>
      <c r="C1042" s="4" t="s">
        <v>283</v>
      </c>
      <c r="D1042" s="94">
        <v>5696.0</v>
      </c>
    </row>
    <row r="1043">
      <c r="A1043" s="40">
        <f t="array" ref="A1043">IFNA(index(PlayerValues!A:A,match(IFNA(vlookup(B1043,'Special Names'!A:B,2,FALSE),B1043),PlayerValues!E:E,0)),"N/A")</f>
        <v>17102</v>
      </c>
      <c r="B1043" s="4" t="s">
        <v>344</v>
      </c>
      <c r="C1043" s="4" t="s">
        <v>298</v>
      </c>
      <c r="D1043" s="94">
        <v>6269.0</v>
      </c>
    </row>
    <row r="1044">
      <c r="A1044" s="40">
        <f t="array" ref="A1044">IFNA(index(PlayerValues!A:A,match(IFNA(vlookup(B1044,'Special Names'!A:B,2,FALSE),B1044),PlayerValues!E:E,0)),"N/A")</f>
        <v>17462</v>
      </c>
      <c r="B1044" s="4" t="s">
        <v>375</v>
      </c>
      <c r="C1044" s="4" t="s">
        <v>283</v>
      </c>
      <c r="D1044" s="94">
        <v>5615.0</v>
      </c>
    </row>
    <row r="1045">
      <c r="A1045" s="40">
        <f t="array" ref="A1045">IFNA(index(PlayerValues!A:A,match(IFNA(vlookup(B1045,'Special Names'!A:B,2,FALSE),B1045),PlayerValues!E:E,0)),"N/A")</f>
        <v>15708</v>
      </c>
      <c r="B1045" s="4" t="s">
        <v>382</v>
      </c>
      <c r="C1045" s="4" t="s">
        <v>278</v>
      </c>
      <c r="D1045" s="94">
        <v>5523.0</v>
      </c>
    </row>
    <row r="1046">
      <c r="A1046" s="40">
        <f t="array" ref="A1046">IFNA(index(PlayerValues!A:A,match(IFNA(vlookup(B1046,'Special Names'!A:B,2,FALSE),B1046),PlayerValues!E:E,0)),"N/A")</f>
        <v>16627</v>
      </c>
      <c r="B1046" s="4" t="s">
        <v>351</v>
      </c>
      <c r="C1046" s="4" t="s">
        <v>287</v>
      </c>
      <c r="D1046" s="94">
        <v>5483.0</v>
      </c>
    </row>
    <row r="1047">
      <c r="A1047" s="40">
        <f t="array" ref="A1047">IFNA(index(PlayerValues!A:A,match(IFNA(vlookup(B1047,'Special Names'!A:B,2,FALSE),B1047),PlayerValues!E:E,0)),"N/A")</f>
        <v>16598</v>
      </c>
      <c r="B1047" s="4" t="s">
        <v>408</v>
      </c>
      <c r="C1047" s="4" t="s">
        <v>278</v>
      </c>
      <c r="D1047" s="94">
        <v>5466.0</v>
      </c>
    </row>
    <row r="1048">
      <c r="A1048" s="40">
        <f t="array" ref="A1048">IFNA(index(PlayerValues!A:A,match(IFNA(vlookup(B1048,'Special Names'!A:B,2,FALSE),B1048),PlayerValues!E:E,0)),"N/A")</f>
        <v>17051</v>
      </c>
      <c r="B1048" s="4" t="s">
        <v>386</v>
      </c>
      <c r="C1048" s="4" t="s">
        <v>278</v>
      </c>
      <c r="D1048" s="94">
        <v>5463.0</v>
      </c>
    </row>
    <row r="1049">
      <c r="A1049" s="40" t="str">
        <f t="array" ref="A1049">IFNA(index(PlayerValues!A:A,match(IFNA(vlookup(B1049,'Special Names'!A:B,2,FALSE),B1049),PlayerValues!E:E,0)),"N/A")</f>
        <v>N/A</v>
      </c>
      <c r="B1049" s="4" t="s">
        <v>93</v>
      </c>
      <c r="C1049" s="4" t="s">
        <v>325</v>
      </c>
      <c r="D1049" s="94">
        <v>5447.0</v>
      </c>
    </row>
    <row r="1050">
      <c r="A1050" s="40">
        <f t="array" ref="A1050">IFNA(index(PlayerValues!A:A,match(IFNA(vlookup(B1050,'Special Names'!A:B,2,FALSE),B1050),PlayerValues!E:E,0)),"N/A")</f>
        <v>17497</v>
      </c>
      <c r="B1050" s="4" t="s">
        <v>365</v>
      </c>
      <c r="C1050" s="4" t="s">
        <v>287</v>
      </c>
      <c r="D1050" s="94">
        <v>5314.0</v>
      </c>
    </row>
    <row r="1051">
      <c r="A1051" s="40">
        <f t="array" ref="A1051">IFNA(index(PlayerValues!A:A,match(IFNA(vlookup(B1051,'Special Names'!A:B,2,FALSE),B1051),PlayerValues!E:E,0)),"N/A")</f>
        <v>16616</v>
      </c>
      <c r="B1051" s="4" t="s">
        <v>389</v>
      </c>
      <c r="C1051" s="4" t="s">
        <v>287</v>
      </c>
      <c r="D1051" s="94">
        <v>5312.0</v>
      </c>
    </row>
    <row r="1052">
      <c r="A1052" s="40">
        <f t="array" ref="A1052">IFNA(index(PlayerValues!A:A,match(IFNA(vlookup(B1052,'Special Names'!A:B,2,FALSE),B1052),PlayerValues!E:E,0)),"N/A")</f>
        <v>17499</v>
      </c>
      <c r="B1052" s="4" t="s">
        <v>402</v>
      </c>
      <c r="C1052" s="4" t="s">
        <v>287</v>
      </c>
      <c r="D1052" s="94">
        <v>5235.0</v>
      </c>
    </row>
    <row r="1053">
      <c r="A1053" s="40">
        <f t="array" ref="A1053">IFNA(index(PlayerValues!A:A,match(IFNA(vlookup(B1053,'Special Names'!A:B,2,FALSE),B1053),PlayerValues!E:E,0)),"N/A")</f>
        <v>16614</v>
      </c>
      <c r="B1053" s="4" t="s">
        <v>403</v>
      </c>
      <c r="C1053" s="4" t="s">
        <v>287</v>
      </c>
      <c r="D1053" s="94">
        <v>5124.0</v>
      </c>
    </row>
    <row r="1054">
      <c r="A1054" s="40">
        <f t="array" ref="A1054">IFNA(index(PlayerValues!A:A,match(IFNA(vlookup(B1054,'Special Names'!A:B,2,FALSE),B1054),PlayerValues!E:E,0)),"N/A")</f>
        <v>17030</v>
      </c>
      <c r="B1054" s="4" t="s">
        <v>406</v>
      </c>
      <c r="C1054" s="4" t="s">
        <v>283</v>
      </c>
      <c r="D1054" s="94">
        <v>5089.0</v>
      </c>
    </row>
    <row r="1055">
      <c r="A1055" s="40">
        <f t="array" ref="A1055">IFNA(index(PlayerValues!A:A,match(IFNA(vlookup(B1055,'Special Names'!A:B,2,FALSE),B1055),PlayerValues!E:E,0)),"N/A")</f>
        <v>13130</v>
      </c>
      <c r="B1055" s="4" t="s">
        <v>374</v>
      </c>
      <c r="C1055" s="4" t="s">
        <v>278</v>
      </c>
      <c r="D1055" s="94">
        <v>5077.0</v>
      </c>
    </row>
    <row r="1056">
      <c r="A1056" s="40">
        <f t="array" ref="A1056">IFNA(index(PlayerValues!A:A,match(IFNA(vlookup(B1056,'Special Names'!A:B,2,FALSE),B1056),PlayerValues!E:E,0)),"N/A")</f>
        <v>15711</v>
      </c>
      <c r="B1056" s="4" t="s">
        <v>349</v>
      </c>
      <c r="C1056" s="4" t="s">
        <v>278</v>
      </c>
      <c r="D1056" s="94">
        <v>5047.0</v>
      </c>
    </row>
    <row r="1057">
      <c r="A1057" s="40">
        <f t="array" ref="A1057">IFNA(index(PlayerValues!A:A,match(IFNA(vlookup(B1057,'Special Names'!A:B,2,FALSE),B1057),PlayerValues!E:E,0)),"N/A")</f>
        <v>16618</v>
      </c>
      <c r="B1057" s="4" t="s">
        <v>411</v>
      </c>
      <c r="C1057" s="4" t="s">
        <v>287</v>
      </c>
      <c r="D1057" s="94">
        <v>5041.0</v>
      </c>
    </row>
    <row r="1058">
      <c r="A1058" s="40">
        <f t="array" ref="A1058">IFNA(index(PlayerValues!A:A,match(IFNA(vlookup(B1058,'Special Names'!A:B,2,FALSE),B1058),PlayerValues!E:E,0)),"N/A")</f>
        <v>12620</v>
      </c>
      <c r="B1058" s="4" t="s">
        <v>394</v>
      </c>
      <c r="C1058" s="4" t="s">
        <v>283</v>
      </c>
      <c r="D1058" s="94">
        <v>5011.0</v>
      </c>
    </row>
    <row r="1059">
      <c r="A1059" s="40">
        <f t="array" ref="A1059">IFNA(index(PlayerValues!A:A,match(IFNA(vlookup(B1059,'Special Names'!A:B,2,FALSE),B1059),PlayerValues!E:E,0)),"N/A")</f>
        <v>16194</v>
      </c>
      <c r="B1059" s="4" t="s">
        <v>398</v>
      </c>
      <c r="C1059" s="4" t="s">
        <v>287</v>
      </c>
      <c r="D1059" s="94">
        <v>5010.0</v>
      </c>
    </row>
    <row r="1060">
      <c r="A1060" s="40">
        <f t="array" ref="A1060">IFNA(index(PlayerValues!A:A,match(IFNA(vlookup(B1060,'Special Names'!A:B,2,FALSE),B1060),PlayerValues!E:E,0)),"N/A")</f>
        <v>17070</v>
      </c>
      <c r="B1060" s="4" t="s">
        <v>370</v>
      </c>
      <c r="C1060" s="4" t="s">
        <v>287</v>
      </c>
      <c r="D1060" s="94">
        <v>4936.0</v>
      </c>
    </row>
    <row r="1061">
      <c r="A1061" s="40">
        <f t="array" ref="A1061">IFNA(index(PlayerValues!A:A,match(IFNA(vlookup(B1061,'Special Names'!A:B,2,FALSE),B1061),PlayerValues!E:E,0)),"N/A")</f>
        <v>16181</v>
      </c>
      <c r="B1061" s="4" t="s">
        <v>350</v>
      </c>
      <c r="C1061" s="4" t="s">
        <v>278</v>
      </c>
      <c r="D1061" s="94">
        <v>4935.0</v>
      </c>
    </row>
    <row r="1062">
      <c r="A1062" s="40">
        <f t="array" ref="A1062">IFNA(index(PlayerValues!A:A,match(IFNA(vlookup(B1062,'Special Names'!A:B,2,FALSE),B1062),PlayerValues!E:E,0)),"N/A")</f>
        <v>17103</v>
      </c>
      <c r="B1062" s="4" t="s">
        <v>405</v>
      </c>
      <c r="C1062" s="4" t="s">
        <v>298</v>
      </c>
      <c r="D1062" s="94">
        <v>5470.0</v>
      </c>
    </row>
    <row r="1063">
      <c r="A1063" s="40">
        <f t="array" ref="A1063">IFNA(index(PlayerValues!A:A,match(IFNA(vlookup(B1063,'Special Names'!A:B,2,FALSE),B1063),PlayerValues!E:E,0)),"N/A")</f>
        <v>16222</v>
      </c>
      <c r="B1063" s="4" t="s">
        <v>393</v>
      </c>
      <c r="C1063" s="4" t="s">
        <v>298</v>
      </c>
      <c r="D1063" s="94">
        <v>5442.0</v>
      </c>
    </row>
    <row r="1064">
      <c r="A1064" s="40">
        <f t="array" ref="A1064">IFNA(index(PlayerValues!A:A,match(IFNA(vlookup(B1064,'Special Names'!A:B,2,FALSE),B1064),PlayerValues!E:E,0)),"N/A")</f>
        <v>15710</v>
      </c>
      <c r="B1064" s="4" t="s">
        <v>395</v>
      </c>
      <c r="C1064" s="4" t="s">
        <v>278</v>
      </c>
      <c r="D1064" s="94">
        <v>4853.0</v>
      </c>
    </row>
    <row r="1065">
      <c r="A1065" s="40">
        <f t="array" ref="A1065">IFNA(index(PlayerValues!A:A,match(IFNA(vlookup(B1065,'Special Names'!A:B,2,FALSE),B1065),PlayerValues!E:E,0)),"N/A")</f>
        <v>13590</v>
      </c>
      <c r="B1065" s="4" t="s">
        <v>409</v>
      </c>
      <c r="C1065" s="4" t="s">
        <v>283</v>
      </c>
      <c r="D1065" s="94">
        <v>4839.0</v>
      </c>
    </row>
    <row r="1066">
      <c r="A1066" s="40">
        <f t="array" ref="A1066">IFNA(index(PlayerValues!A:A,match(IFNA(vlookup(B1066,'Special Names'!A:B,2,FALSE),B1066),PlayerValues!E:E,0)),"N/A")</f>
        <v>13592</v>
      </c>
      <c r="B1066" s="4" t="s">
        <v>418</v>
      </c>
      <c r="C1066" s="4" t="s">
        <v>283</v>
      </c>
      <c r="D1066" s="94">
        <v>4832.0</v>
      </c>
    </row>
    <row r="1067">
      <c r="A1067" s="40">
        <f t="array" ref="A1067">IFNA(index(PlayerValues!A:A,match(IFNA(vlookup(B1067,'Special Names'!A:B,2,FALSE),B1067),PlayerValues!E:E,0)),"N/A")</f>
        <v>16150</v>
      </c>
      <c r="B1067" s="4" t="s">
        <v>414</v>
      </c>
      <c r="C1067" s="4" t="s">
        <v>283</v>
      </c>
      <c r="D1067" s="94">
        <v>4826.0</v>
      </c>
    </row>
    <row r="1068">
      <c r="A1068" s="40">
        <f t="array" ref="A1068">IFNA(index(PlayerValues!A:A,match(IFNA(vlookup(B1068,'Special Names'!A:B,2,FALSE),B1068),PlayerValues!E:E,0)),"N/A")</f>
        <v>14835</v>
      </c>
      <c r="B1068" s="4" t="s">
        <v>392</v>
      </c>
      <c r="C1068" s="4" t="s">
        <v>287</v>
      </c>
      <c r="D1068" s="94">
        <v>4825.0</v>
      </c>
    </row>
    <row r="1069">
      <c r="A1069" s="40">
        <f t="array" ref="A1069">IFNA(index(PlayerValues!A:A,match(IFNA(vlookup(B1069,'Special Names'!A:B,2,FALSE),B1069),PlayerValues!E:E,0)),"N/A")</f>
        <v>17045</v>
      </c>
      <c r="B1069" s="4" t="s">
        <v>407</v>
      </c>
      <c r="C1069" s="4" t="s">
        <v>278</v>
      </c>
      <c r="D1069" s="94">
        <v>4825.0</v>
      </c>
    </row>
    <row r="1070">
      <c r="A1070" s="40" t="str">
        <f t="array" ref="A1070">IFNA(index(PlayerValues!A:A,match(IFNA(vlookup(B1070,'Special Names'!A:B,2,FALSE),B1070),PlayerValues!E:E,0)),"N/A")</f>
        <v>N/A</v>
      </c>
      <c r="B1070" s="4" t="s">
        <v>104</v>
      </c>
      <c r="C1070" s="4" t="s">
        <v>325</v>
      </c>
      <c r="D1070" s="94">
        <v>4825.0</v>
      </c>
    </row>
    <row r="1071">
      <c r="A1071" s="40">
        <f t="array" ref="A1071">IFNA(index(PlayerValues!A:A,match(IFNA(vlookup(B1071,'Special Names'!A:B,2,FALSE),B1071),PlayerValues!E:E,0)),"N/A")</f>
        <v>17498</v>
      </c>
      <c r="B1071" s="4" t="s">
        <v>396</v>
      </c>
      <c r="C1071" s="4" t="s">
        <v>287</v>
      </c>
      <c r="D1071" s="94">
        <v>4820.0</v>
      </c>
    </row>
    <row r="1072">
      <c r="A1072" s="40">
        <f t="array" ref="A1072">IFNA(index(PlayerValues!A:A,match(IFNA(vlookup(B1072,'Special Names'!A:B,2,FALSE),B1072),PlayerValues!E:E,0)),"N/A")</f>
        <v>15282</v>
      </c>
      <c r="B1072" s="4" t="s">
        <v>364</v>
      </c>
      <c r="C1072" s="4" t="s">
        <v>287</v>
      </c>
      <c r="D1072" s="94">
        <v>4797.0</v>
      </c>
    </row>
    <row r="1073">
      <c r="A1073" s="40" t="str">
        <f t="array" ref="A1073">IFNA(index(PlayerValues!A:A,match(IFNA(vlookup(B1073,'Special Names'!A:B,2,FALSE),B1073),PlayerValues!E:E,0)),"N/A")</f>
        <v>N/A</v>
      </c>
      <c r="B1073" s="4" t="s">
        <v>94</v>
      </c>
      <c r="C1073" s="4" t="s">
        <v>325</v>
      </c>
      <c r="D1073" s="94">
        <v>4785.0</v>
      </c>
    </row>
    <row r="1074">
      <c r="A1074" s="40">
        <f t="array" ref="A1074">IFNA(index(PlayerValues!A:A,match(IFNA(vlookup(B1074,'Special Names'!A:B,2,FALSE),B1074),PlayerValues!E:E,0)),"N/A")</f>
        <v>13604</v>
      </c>
      <c r="B1074" s="4" t="s">
        <v>378</v>
      </c>
      <c r="C1074" s="4" t="s">
        <v>278</v>
      </c>
      <c r="D1074" s="94">
        <v>4781.0</v>
      </c>
    </row>
    <row r="1075">
      <c r="A1075" s="40">
        <f t="array" ref="A1075">IFNA(index(PlayerValues!A:A,match(IFNA(vlookup(B1075,'Special Names'!A:B,2,FALSE),B1075),PlayerValues!E:E,0)),"N/A")</f>
        <v>14104</v>
      </c>
      <c r="B1075" s="4" t="s">
        <v>379</v>
      </c>
      <c r="C1075" s="4" t="s">
        <v>287</v>
      </c>
      <c r="D1075" s="94">
        <v>4743.0</v>
      </c>
    </row>
    <row r="1076">
      <c r="A1076" s="40">
        <f t="array" ref="A1076">IFNA(index(PlayerValues!A:A,match(IFNA(vlookup(B1076,'Special Names'!A:B,2,FALSE),B1076),PlayerValues!E:E,0)),"N/A")</f>
        <v>15756</v>
      </c>
      <c r="B1076" s="4" t="s">
        <v>399</v>
      </c>
      <c r="C1076" s="4" t="s">
        <v>287</v>
      </c>
      <c r="D1076" s="94">
        <v>4740.0</v>
      </c>
    </row>
    <row r="1077">
      <c r="A1077" s="40">
        <f t="array" ref="A1077">IFNA(index(PlayerValues!A:A,match(IFNA(vlookup(B1077,'Special Names'!A:B,2,FALSE),B1077),PlayerValues!E:E,0)),"N/A")</f>
        <v>16190</v>
      </c>
      <c r="B1077" s="4" t="s">
        <v>371</v>
      </c>
      <c r="C1077" s="4" t="s">
        <v>287</v>
      </c>
      <c r="D1077" s="94">
        <v>4697.0</v>
      </c>
    </row>
    <row r="1078">
      <c r="A1078" s="40" t="str">
        <f t="array" ref="A1078">IFNA(index(PlayerValues!A:A,match(IFNA(vlookup(B1078,'Special Names'!A:B,2,FALSE),B1078),PlayerValues!E:E,0)),"N/A")</f>
        <v>N/A</v>
      </c>
      <c r="B1078" s="4" t="s">
        <v>80</v>
      </c>
      <c r="C1078" s="4" t="s">
        <v>325</v>
      </c>
      <c r="D1078" s="94">
        <v>4693.0</v>
      </c>
    </row>
    <row r="1079">
      <c r="A1079" s="40">
        <f t="array" ref="A1079">IFNA(index(PlayerValues!A:A,match(IFNA(vlookup(B1079,'Special Names'!A:B,2,FALSE),B1079),PlayerValues!E:E,0)),"N/A")</f>
        <v>12611</v>
      </c>
      <c r="B1079" s="4" t="s">
        <v>410</v>
      </c>
      <c r="C1079" s="4" t="s">
        <v>283</v>
      </c>
      <c r="D1079" s="94">
        <v>4625.0</v>
      </c>
    </row>
    <row r="1080">
      <c r="A1080" s="40">
        <f t="array" ref="A1080">IFNA(index(PlayerValues!A:A,match(IFNA(vlookup(B1080,'Special Names'!A:B,2,FALSE),B1080),PlayerValues!E:E,0)),"N/A")</f>
        <v>15284</v>
      </c>
      <c r="B1080" s="4" t="s">
        <v>390</v>
      </c>
      <c r="C1080" s="4" t="s">
        <v>287</v>
      </c>
      <c r="D1080" s="94">
        <v>4606.0</v>
      </c>
    </row>
    <row r="1081">
      <c r="A1081" s="40">
        <f t="array" ref="A1081">IFNA(index(PlayerValues!A:A,match(IFNA(vlookup(B1081,'Special Names'!A:B,2,FALSE),B1081),PlayerValues!E:E,0)),"N/A")</f>
        <v>17039</v>
      </c>
      <c r="B1081" s="4" t="s">
        <v>400</v>
      </c>
      <c r="C1081" s="4" t="s">
        <v>283</v>
      </c>
      <c r="D1081" s="94">
        <v>4599.0</v>
      </c>
    </row>
    <row r="1082">
      <c r="A1082" s="40">
        <f t="array" ref="A1082">IFNA(index(PlayerValues!A:A,match(IFNA(vlookup(B1082,'Special Names'!A:B,2,FALSE),B1082),PlayerValues!E:E,0)),"N/A")</f>
        <v>16214</v>
      </c>
      <c r="B1082" s="4" t="s">
        <v>413</v>
      </c>
      <c r="C1082" s="4" t="s">
        <v>298</v>
      </c>
      <c r="D1082" s="94">
        <v>5132.0</v>
      </c>
    </row>
    <row r="1083">
      <c r="A1083" s="40">
        <f t="array" ref="A1083">IFNA(index(PlayerValues!A:A,match(IFNA(vlookup(B1083,'Special Names'!A:B,2,FALSE),B1083),PlayerValues!E:E,0)),"N/A")</f>
        <v>15329</v>
      </c>
      <c r="B1083" s="4" t="s">
        <v>416</v>
      </c>
      <c r="C1083" s="4" t="s">
        <v>298</v>
      </c>
      <c r="D1083" s="94">
        <v>5103.0</v>
      </c>
    </row>
    <row r="1084">
      <c r="A1084" s="40">
        <f t="array" ref="A1084">IFNA(index(PlayerValues!A:A,match(IFNA(vlookup(B1084,'Special Names'!A:B,2,FALSE),B1084),PlayerValues!E:E,0)),"N/A")</f>
        <v>15256</v>
      </c>
      <c r="B1084" s="4" t="s">
        <v>401</v>
      </c>
      <c r="C1084" s="4" t="s">
        <v>278</v>
      </c>
      <c r="D1084" s="94">
        <v>4548.0</v>
      </c>
    </row>
    <row r="1085">
      <c r="A1085" s="40">
        <f t="array" ref="A1085">IFNA(index(PlayerValues!A:A,match(IFNA(vlookup(B1085,'Special Names'!A:B,2,FALSE),B1085),PlayerValues!E:E,0)),"N/A")</f>
        <v>15253</v>
      </c>
      <c r="B1085" s="4" t="s">
        <v>415</v>
      </c>
      <c r="C1085" s="4" t="s">
        <v>278</v>
      </c>
      <c r="D1085" s="94">
        <v>4500.0</v>
      </c>
    </row>
    <row r="1086">
      <c r="A1086" s="40">
        <f t="array" ref="A1086">IFNA(index(PlayerValues!A:A,match(IFNA(vlookup(B1086,'Special Names'!A:B,2,FALSE),B1086),PlayerValues!E:E,0)),"N/A")</f>
        <v>17068</v>
      </c>
      <c r="B1086" s="4" t="s">
        <v>450</v>
      </c>
      <c r="C1086" s="4" t="s">
        <v>278</v>
      </c>
      <c r="D1086" s="94">
        <v>4472.0</v>
      </c>
    </row>
    <row r="1087">
      <c r="A1087" s="40">
        <f t="array" ref="A1087">IFNA(index(PlayerValues!A:A,match(IFNA(vlookup(B1087,'Special Names'!A:B,2,FALSE),B1087),PlayerValues!E:E,0)),"N/A")</f>
        <v>14073</v>
      </c>
      <c r="B1087" s="4" t="s">
        <v>464</v>
      </c>
      <c r="C1087" s="4" t="s">
        <v>278</v>
      </c>
      <c r="D1087" s="94">
        <v>4462.0</v>
      </c>
    </row>
    <row r="1088">
      <c r="A1088" s="40">
        <f t="array" ref="A1088">IFNA(index(PlayerValues!A:A,match(IFNA(vlookup(B1088,'Special Names'!A:B,2,FALSE),B1088),PlayerValues!E:E,0)),"N/A")</f>
        <v>16148</v>
      </c>
      <c r="B1088" s="4" t="s">
        <v>426</v>
      </c>
      <c r="C1088" s="4" t="s">
        <v>283</v>
      </c>
      <c r="D1088" s="94">
        <v>4445.0</v>
      </c>
    </row>
    <row r="1089">
      <c r="A1089" s="40" t="str">
        <f t="array" ref="A1089">IFNA(index(PlayerValues!A:A,match(IFNA(vlookup(B1089,'Special Names'!A:B,2,FALSE),B1089),PlayerValues!E:E,0)),"N/A")</f>
        <v>N/A</v>
      </c>
      <c r="B1089" s="4" t="s">
        <v>105</v>
      </c>
      <c r="C1089" s="4" t="s">
        <v>325</v>
      </c>
      <c r="D1089" s="94">
        <v>4443.0</v>
      </c>
    </row>
    <row r="1090">
      <c r="A1090" s="40" t="str">
        <f t="array" ref="A1090">IFNA(index(PlayerValues!A:A,match(IFNA(vlookup(B1090,'Special Names'!A:B,2,FALSE),B1090),PlayerValues!E:E,0)),"N/A")</f>
        <v>N/A</v>
      </c>
      <c r="B1090" s="4" t="s">
        <v>81</v>
      </c>
      <c r="C1090" s="4" t="s">
        <v>325</v>
      </c>
      <c r="D1090" s="94">
        <v>4231.0</v>
      </c>
    </row>
    <row r="1091">
      <c r="A1091" s="40">
        <f t="array" ref="A1091">IFNA(index(PlayerValues!A:A,match(IFNA(vlookup(B1091,'Special Names'!A:B,2,FALSE),B1091),PlayerValues!E:E,0)),"N/A")</f>
        <v>16186</v>
      </c>
      <c r="B1091" s="4" t="s">
        <v>425</v>
      </c>
      <c r="C1091" s="4" t="s">
        <v>287</v>
      </c>
      <c r="D1091" s="94">
        <v>4155.0</v>
      </c>
    </row>
    <row r="1092">
      <c r="A1092" s="40">
        <f t="array" ref="A1092">IFNA(index(PlayerValues!A:A,match(IFNA(vlookup(B1092,'Special Names'!A:B,2,FALSE),B1092),PlayerValues!E:E,0)),"N/A")</f>
        <v>17099</v>
      </c>
      <c r="B1092" s="4" t="s">
        <v>474</v>
      </c>
      <c r="C1092" s="4" t="s">
        <v>298</v>
      </c>
      <c r="D1092" s="94">
        <v>4653.0</v>
      </c>
    </row>
    <row r="1093">
      <c r="A1093" s="40">
        <f t="array" ref="A1093">IFNA(index(PlayerValues!A:A,match(IFNA(vlookup(B1093,'Special Names'!A:B,2,FALSE),B1093),PlayerValues!E:E,0)),"N/A")</f>
        <v>14059</v>
      </c>
      <c r="B1093" s="4" t="s">
        <v>435</v>
      </c>
      <c r="C1093" s="4" t="s">
        <v>283</v>
      </c>
      <c r="D1093" s="94">
        <v>4050.0</v>
      </c>
    </row>
    <row r="1094">
      <c r="A1094" s="40">
        <f t="array" ref="A1094">IFNA(index(PlayerValues!A:A,match(IFNA(vlookup(B1094,'Special Names'!A:B,2,FALSE),B1094),PlayerValues!E:E,0)),"N/A")</f>
        <v>17074</v>
      </c>
      <c r="B1094" s="4" t="s">
        <v>475</v>
      </c>
      <c r="C1094" s="4" t="s">
        <v>287</v>
      </c>
      <c r="D1094" s="94">
        <v>4043.0</v>
      </c>
    </row>
    <row r="1095">
      <c r="A1095" s="40" t="str">
        <f t="array" ref="A1095">IFNA(index(PlayerValues!A:A,match(IFNA(vlookup(B1095,'Special Names'!A:B,2,FALSE),B1095),PlayerValues!E:E,0)),"N/A")</f>
        <v>N/A</v>
      </c>
      <c r="B1095" s="4" t="s">
        <v>107</v>
      </c>
      <c r="C1095" s="4" t="s">
        <v>325</v>
      </c>
      <c r="D1095" s="94">
        <v>4032.0</v>
      </c>
    </row>
    <row r="1096">
      <c r="A1096" s="40">
        <f t="array" ref="A1096">IFNA(index(PlayerValues!A:A,match(IFNA(vlookup(B1096,'Special Names'!A:B,2,FALSE),B1096),PlayerValues!E:E,0)),"N/A")</f>
        <v>17543</v>
      </c>
      <c r="B1096" s="4" t="s">
        <v>436</v>
      </c>
      <c r="C1096" s="4" t="s">
        <v>298</v>
      </c>
      <c r="D1096" s="94">
        <v>4507.0</v>
      </c>
    </row>
    <row r="1097">
      <c r="A1097" s="40">
        <f t="array" ref="A1097">IFNA(index(PlayerValues!A:A,match(IFNA(vlookup(B1097,'Special Names'!A:B,2,FALSE),B1097),PlayerValues!E:E,0)),"N/A")</f>
        <v>16622</v>
      </c>
      <c r="B1097" s="4" t="s">
        <v>517</v>
      </c>
      <c r="C1097" s="4" t="s">
        <v>287</v>
      </c>
      <c r="D1097" s="94">
        <v>3969.0</v>
      </c>
    </row>
    <row r="1098">
      <c r="A1098" s="40">
        <f t="array" ref="A1098">IFNA(index(PlayerValues!A:A,match(IFNA(vlookup(B1098,'Special Names'!A:B,2,FALSE),B1098),PlayerValues!E:E,0)),"N/A")</f>
        <v>15768</v>
      </c>
      <c r="B1098" s="4" t="s">
        <v>432</v>
      </c>
      <c r="C1098" s="4" t="s">
        <v>287</v>
      </c>
      <c r="D1098" s="94">
        <v>3964.0</v>
      </c>
    </row>
    <row r="1099">
      <c r="A1099" s="40">
        <f t="array" ref="A1099">IFNA(index(PlayerValues!A:A,match(IFNA(vlookup(B1099,'Special Names'!A:B,2,FALSE),B1099),PlayerValues!E:E,0)),"N/A")</f>
        <v>12626</v>
      </c>
      <c r="B1099" s="4" t="s">
        <v>419</v>
      </c>
      <c r="C1099" s="4" t="s">
        <v>278</v>
      </c>
      <c r="D1099" s="94">
        <v>3932.0</v>
      </c>
    </row>
    <row r="1100">
      <c r="A1100" s="40">
        <f t="array" ref="A1100">IFNA(index(PlayerValues!A:A,match(IFNA(vlookup(B1100,'Special Names'!A:B,2,FALSE),B1100),PlayerValues!E:E,0)),"N/A")</f>
        <v>16206</v>
      </c>
      <c r="B1100" s="4" t="s">
        <v>431</v>
      </c>
      <c r="C1100" s="4" t="s">
        <v>287</v>
      </c>
      <c r="D1100" s="94">
        <v>3893.0</v>
      </c>
    </row>
    <row r="1101">
      <c r="A1101" s="40">
        <f t="array" ref="A1101">IFNA(index(PlayerValues!A:A,match(IFNA(vlookup(B1101,'Special Names'!A:B,2,FALSE),B1101),PlayerValues!E:E,0)),"N/A")</f>
        <v>17083</v>
      </c>
      <c r="B1101" s="4" t="s">
        <v>479</v>
      </c>
      <c r="C1101" s="4" t="s">
        <v>287</v>
      </c>
      <c r="D1101" s="94">
        <v>3847.0</v>
      </c>
    </row>
    <row r="1102">
      <c r="A1102" s="40">
        <f t="array" ref="A1102">IFNA(index(PlayerValues!A:A,match(IFNA(vlookup(B1102,'Special Names'!A:B,2,FALSE),B1102),PlayerValues!E:E,0)),"N/A")</f>
        <v>14102</v>
      </c>
      <c r="B1102" s="4" t="s">
        <v>444</v>
      </c>
      <c r="C1102" s="4" t="s">
        <v>287</v>
      </c>
      <c r="D1102" s="94">
        <v>3843.0</v>
      </c>
    </row>
    <row r="1103">
      <c r="A1103" s="40" t="str">
        <f t="array" ref="A1103">IFNA(index(PlayerValues!A:A,match(IFNA(vlookup(B1103,'Special Names'!A:B,2,FALSE),B1103),PlayerValues!E:E,0)),"N/A")</f>
        <v>N/A</v>
      </c>
      <c r="B1103" s="4" t="s">
        <v>95</v>
      </c>
      <c r="C1103" s="4" t="s">
        <v>325</v>
      </c>
      <c r="D1103" s="94">
        <v>3843.0</v>
      </c>
    </row>
    <row r="1104">
      <c r="A1104" s="40">
        <f t="array" ref="A1104">IFNA(index(PlayerValues!A:A,match(IFNA(vlookup(B1104,'Special Names'!A:B,2,FALSE),B1104),PlayerValues!E:E,0)),"N/A")</f>
        <v>17501</v>
      </c>
      <c r="B1104" s="4" t="s">
        <v>404</v>
      </c>
      <c r="C1104" s="4" t="s">
        <v>287</v>
      </c>
      <c r="D1104" s="94">
        <v>3842.0</v>
      </c>
    </row>
    <row r="1105">
      <c r="A1105" s="40">
        <f t="array" ref="A1105">IFNA(index(PlayerValues!A:A,match(IFNA(vlookup(B1105,'Special Names'!A:B,2,FALSE),B1105),PlayerValues!E:E,0)),"N/A")</f>
        <v>17066</v>
      </c>
      <c r="B1105" s="4" t="s">
        <v>446</v>
      </c>
      <c r="C1105" s="4" t="s">
        <v>278</v>
      </c>
      <c r="D1105" s="94">
        <v>3811.0</v>
      </c>
    </row>
    <row r="1106">
      <c r="A1106" s="40">
        <f t="array" ref="A1106">IFNA(index(PlayerValues!A:A,match(IFNA(vlookup(B1106,'Special Names'!A:B,2,FALSE),B1106),PlayerValues!E:E,0)),"N/A")</f>
        <v>17500</v>
      </c>
      <c r="B1106" s="4" t="s">
        <v>430</v>
      </c>
      <c r="C1106" s="4" t="s">
        <v>287</v>
      </c>
      <c r="D1106" s="94">
        <v>3799.0</v>
      </c>
    </row>
    <row r="1107">
      <c r="A1107" s="40">
        <f t="array" ref="A1107">IFNA(index(PlayerValues!A:A,match(IFNA(vlookup(B1107,'Special Names'!A:B,2,FALSE),B1107),PlayerValues!E:E,0)),"N/A")</f>
        <v>15789</v>
      </c>
      <c r="B1107" s="4" t="s">
        <v>421</v>
      </c>
      <c r="C1107" s="4" t="s">
        <v>287</v>
      </c>
      <c r="D1107" s="94">
        <v>3760.0</v>
      </c>
    </row>
    <row r="1108">
      <c r="A1108" s="40">
        <f t="array" ref="A1108">IFNA(index(PlayerValues!A:A,match(IFNA(vlookup(B1108,'Special Names'!A:B,2,FALSE),B1108),PlayerValues!E:E,0)),"N/A")</f>
        <v>14797</v>
      </c>
      <c r="B1108" s="4" t="s">
        <v>420</v>
      </c>
      <c r="C1108" s="4" t="s">
        <v>278</v>
      </c>
      <c r="D1108" s="94">
        <v>3719.0</v>
      </c>
    </row>
    <row r="1109">
      <c r="A1109" s="40">
        <f t="array" ref="A1109">IFNA(index(PlayerValues!A:A,match(IFNA(vlookup(B1109,'Special Names'!A:B,2,FALSE),B1109),PlayerValues!E:E,0)),"N/A")</f>
        <v>16192</v>
      </c>
      <c r="B1109" s="4" t="s">
        <v>412</v>
      </c>
      <c r="C1109" s="4" t="s">
        <v>287</v>
      </c>
      <c r="D1109" s="94">
        <v>3705.0</v>
      </c>
    </row>
    <row r="1110">
      <c r="A1110" s="40">
        <f t="array" ref="A1110">IFNA(index(PlayerValues!A:A,match(IFNA(vlookup(B1110,'Special Names'!A:B,2,FALSE),B1110),PlayerValues!E:E,0)),"N/A")</f>
        <v>9431</v>
      </c>
      <c r="B1110" s="4" t="s">
        <v>428</v>
      </c>
      <c r="C1110" s="4" t="s">
        <v>283</v>
      </c>
      <c r="D1110" s="94">
        <v>3697.0</v>
      </c>
    </row>
    <row r="1111">
      <c r="A1111" s="40">
        <f t="array" ref="A1111">IFNA(index(PlayerValues!A:A,match(IFNA(vlookup(B1111,'Special Names'!A:B,2,FALSE),B1111),PlayerValues!E:E,0)),"N/A")</f>
        <v>11675</v>
      </c>
      <c r="B1111" s="4" t="s">
        <v>438</v>
      </c>
      <c r="C1111" s="4" t="s">
        <v>287</v>
      </c>
      <c r="D1111" s="94">
        <v>3692.0</v>
      </c>
    </row>
    <row r="1112">
      <c r="A1112" s="40">
        <f t="array" ref="A1112">IFNA(index(PlayerValues!A:A,match(IFNA(vlookup(B1112,'Special Names'!A:B,2,FALSE),B1112),PlayerValues!E:E,0)),"N/A")</f>
        <v>14056</v>
      </c>
      <c r="B1112" s="4" t="s">
        <v>423</v>
      </c>
      <c r="C1112" s="4" t="s">
        <v>283</v>
      </c>
      <c r="D1112" s="94">
        <v>3614.0</v>
      </c>
    </row>
    <row r="1113">
      <c r="A1113" s="40">
        <f t="array" ref="A1113">IFNA(index(PlayerValues!A:A,match(IFNA(vlookup(B1113,'Special Names'!A:B,2,FALSE),B1113),PlayerValues!E:E,0)),"N/A")</f>
        <v>17075</v>
      </c>
      <c r="B1113" s="4" t="s">
        <v>429</v>
      </c>
      <c r="C1113" s="4" t="s">
        <v>287</v>
      </c>
      <c r="D1113" s="94">
        <v>3608.0</v>
      </c>
    </row>
    <row r="1114">
      <c r="A1114" s="40">
        <f t="array" ref="A1114">IFNA(index(PlayerValues!A:A,match(IFNA(vlookup(B1114,'Special Names'!A:B,2,FALSE),B1114),PlayerValues!E:E,0)),"N/A")</f>
        <v>15757</v>
      </c>
      <c r="B1114" s="4" t="s">
        <v>449</v>
      </c>
      <c r="C1114" s="4" t="s">
        <v>287</v>
      </c>
      <c r="D1114" s="94">
        <v>3606.0</v>
      </c>
    </row>
    <row r="1115">
      <c r="A1115" s="40">
        <f t="array" ref="A1115">IFNA(index(PlayerValues!A:A,match(IFNA(vlookup(B1115,'Special Names'!A:B,2,FALSE),B1115),PlayerValues!E:E,0)),"N/A")</f>
        <v>14842</v>
      </c>
      <c r="B1115" s="4" t="s">
        <v>456</v>
      </c>
      <c r="C1115" s="4" t="s">
        <v>287</v>
      </c>
      <c r="D1115" s="94">
        <v>3597.0</v>
      </c>
    </row>
    <row r="1116">
      <c r="A1116" s="40">
        <f t="array" ref="A1116">IFNA(index(PlayerValues!A:A,match(IFNA(vlookup(B1116,'Special Names'!A:B,2,FALSE),B1116),PlayerValues!E:E,0)),"N/A")</f>
        <v>16213</v>
      </c>
      <c r="B1116" s="4" t="s">
        <v>458</v>
      </c>
      <c r="C1116" s="4" t="s">
        <v>298</v>
      </c>
      <c r="D1116" s="94">
        <v>4039.0</v>
      </c>
    </row>
    <row r="1117">
      <c r="A1117" s="40">
        <f t="array" ref="A1117">IFNA(index(PlayerValues!A:A,match(IFNA(vlookup(B1117,'Special Names'!A:B,2,FALSE),B1117),PlayerValues!E:E,0)),"N/A")</f>
        <v>16583</v>
      </c>
      <c r="B1117" s="4" t="s">
        <v>493</v>
      </c>
      <c r="C1117" s="4" t="s">
        <v>283</v>
      </c>
      <c r="D1117" s="94">
        <v>3561.0</v>
      </c>
    </row>
    <row r="1118">
      <c r="A1118" s="40">
        <f t="array" ref="A1118">IFNA(index(PlayerValues!A:A,match(IFNA(vlookup(B1118,'Special Names'!A:B,2,FALSE),B1118),PlayerValues!E:E,0)),"N/A")</f>
        <v>16169</v>
      </c>
      <c r="B1118" s="4" t="s">
        <v>457</v>
      </c>
      <c r="C1118" s="4" t="s">
        <v>278</v>
      </c>
      <c r="D1118" s="94">
        <v>3545.0</v>
      </c>
    </row>
    <row r="1119">
      <c r="A1119" s="40">
        <f t="array" ref="A1119">IFNA(index(PlayerValues!A:A,match(IFNA(vlookup(B1119,'Special Names'!A:B,2,FALSE),B1119),PlayerValues!E:E,0)),"N/A")</f>
        <v>16188</v>
      </c>
      <c r="B1119" s="4" t="s">
        <v>439</v>
      </c>
      <c r="C1119" s="4" t="s">
        <v>287</v>
      </c>
      <c r="D1119" s="94">
        <v>3534.0</v>
      </c>
    </row>
    <row r="1120">
      <c r="A1120" s="40">
        <f t="array" ref="A1120">IFNA(index(PlayerValues!A:A,match(IFNA(vlookup(B1120,'Special Names'!A:B,2,FALSE),B1120),PlayerValues!E:E,0)),"N/A")</f>
        <v>16584</v>
      </c>
      <c r="B1120" s="4" t="s">
        <v>569</v>
      </c>
      <c r="C1120" s="4" t="s">
        <v>283</v>
      </c>
      <c r="D1120" s="94">
        <v>3509.0</v>
      </c>
    </row>
    <row r="1121">
      <c r="A1121" s="40">
        <f t="array" ref="A1121">IFNA(index(PlayerValues!A:A,match(IFNA(vlookup(B1121,'Special Names'!A:B,2,FALSE),B1121),PlayerValues!E:E,0)),"N/A")</f>
        <v>16593</v>
      </c>
      <c r="B1121" s="4" t="s">
        <v>442</v>
      </c>
      <c r="C1121" s="4" t="s">
        <v>278</v>
      </c>
      <c r="D1121" s="94">
        <v>3499.0</v>
      </c>
    </row>
    <row r="1122">
      <c r="A1122" s="40">
        <f t="array" ref="A1122">IFNA(index(PlayerValues!A:A,match(IFNA(vlookup(B1122,'Special Names'!A:B,2,FALSE),B1122),PlayerValues!E:E,0)),"N/A")</f>
        <v>15694</v>
      </c>
      <c r="B1122" s="4" t="s">
        <v>434</v>
      </c>
      <c r="C1122" s="4" t="s">
        <v>283</v>
      </c>
      <c r="D1122" s="94">
        <v>3492.0</v>
      </c>
    </row>
    <row r="1123">
      <c r="A1123" s="40">
        <f t="array" ref="A1123">IFNA(index(PlayerValues!A:A,match(IFNA(vlookup(B1123,'Special Names'!A:B,2,FALSE),B1123),PlayerValues!E:E,0)),"N/A")</f>
        <v>17052</v>
      </c>
      <c r="B1123" s="4" t="s">
        <v>417</v>
      </c>
      <c r="C1123" s="4" t="s">
        <v>278</v>
      </c>
      <c r="D1123" s="94">
        <v>3491.0</v>
      </c>
    </row>
    <row r="1124">
      <c r="A1124" s="40">
        <f t="array" ref="A1124">IFNA(index(PlayerValues!A:A,match(IFNA(vlookup(B1124,'Special Names'!A:B,2,FALSE),B1124),PlayerValues!E:E,0)),"N/A")</f>
        <v>16620</v>
      </c>
      <c r="B1124" s="4" t="s">
        <v>467</v>
      </c>
      <c r="C1124" s="4" t="s">
        <v>287</v>
      </c>
      <c r="D1124" s="94">
        <v>3483.0</v>
      </c>
    </row>
    <row r="1125">
      <c r="A1125" s="40">
        <f t="array" ref="A1125">IFNA(index(PlayerValues!A:A,match(IFNA(vlookup(B1125,'Special Names'!A:B,2,FALSE),B1125),PlayerValues!E:E,0)),"N/A")</f>
        <v>15742</v>
      </c>
      <c r="B1125" s="4" t="s">
        <v>447</v>
      </c>
      <c r="C1125" s="4" t="s">
        <v>278</v>
      </c>
      <c r="D1125" s="94">
        <v>3481.0</v>
      </c>
    </row>
    <row r="1126">
      <c r="A1126" s="40" t="str">
        <f t="array" ref="A1126">IFNA(index(PlayerValues!A:A,match(IFNA(vlookup(B1126,'Special Names'!A:B,2,FALSE),B1126),PlayerValues!E:E,0)),"N/A")</f>
        <v>N/A</v>
      </c>
      <c r="B1126" s="4" t="s">
        <v>82</v>
      </c>
      <c r="C1126" s="4" t="s">
        <v>325</v>
      </c>
      <c r="D1126" s="94">
        <v>3478.0</v>
      </c>
    </row>
    <row r="1127">
      <c r="A1127" s="40">
        <f t="array" ref="A1127">IFNA(index(PlayerValues!A:A,match(IFNA(vlookup(B1127,'Special Names'!A:B,2,FALSE),B1127),PlayerValues!E:E,0)),"N/A")</f>
        <v>14127</v>
      </c>
      <c r="B1127" s="4" t="s">
        <v>486</v>
      </c>
      <c r="C1127" s="4" t="s">
        <v>287</v>
      </c>
      <c r="D1127" s="94">
        <v>3443.0</v>
      </c>
    </row>
    <row r="1128">
      <c r="A1128" s="40">
        <f t="array" ref="A1128">IFNA(index(PlayerValues!A:A,match(IFNA(vlookup(B1128,'Special Names'!A:B,2,FALSE),B1128),PlayerValues!E:E,0)),"N/A")</f>
        <v>13299</v>
      </c>
      <c r="B1128" s="4" t="s">
        <v>448</v>
      </c>
      <c r="C1128" s="4" t="s">
        <v>298</v>
      </c>
      <c r="D1128" s="94">
        <v>3888.0</v>
      </c>
    </row>
    <row r="1129">
      <c r="A1129" s="40" t="str">
        <f t="array" ref="A1129">IFNA(index(PlayerValues!A:A,match(IFNA(vlookup(B1129,'Special Names'!A:B,2,FALSE),B1129),PlayerValues!E:E,0)),"N/A")</f>
        <v>N/A</v>
      </c>
      <c r="B1129" s="4" t="s">
        <v>96</v>
      </c>
      <c r="C1129" s="4" t="s">
        <v>325</v>
      </c>
      <c r="D1129" s="94">
        <v>3405.0</v>
      </c>
    </row>
    <row r="1130">
      <c r="A1130" s="40">
        <f t="array" ref="A1130">IFNA(index(PlayerValues!A:A,match(IFNA(vlookup(B1130,'Special Names'!A:B,2,FALSE),B1130),PlayerValues!E:E,0)),"N/A")</f>
        <v>15799</v>
      </c>
      <c r="B1130" s="4" t="s">
        <v>468</v>
      </c>
      <c r="C1130" s="4" t="s">
        <v>298</v>
      </c>
      <c r="D1130" s="94">
        <v>3845.0</v>
      </c>
    </row>
    <row r="1131">
      <c r="A1131" s="40">
        <f t="array" ref="A1131">IFNA(index(PlayerValues!A:A,match(IFNA(vlookup(B1131,'Special Names'!A:B,2,FALSE),B1131),PlayerValues!E:E,0)),"N/A")</f>
        <v>14109</v>
      </c>
      <c r="B1131" s="4" t="s">
        <v>437</v>
      </c>
      <c r="C1131" s="4" t="s">
        <v>287</v>
      </c>
      <c r="D1131" s="94">
        <v>3390.0</v>
      </c>
    </row>
    <row r="1132">
      <c r="A1132" s="40">
        <f t="array" ref="A1132">IFNA(index(PlayerValues!A:A,match(IFNA(vlookup(B1132,'Special Names'!A:B,2,FALSE),B1132),PlayerValues!E:E,0)),"N/A")</f>
        <v>13630</v>
      </c>
      <c r="B1132" s="4" t="s">
        <v>465</v>
      </c>
      <c r="C1132" s="4" t="s">
        <v>287</v>
      </c>
      <c r="D1132" s="94">
        <v>3364.0</v>
      </c>
    </row>
    <row r="1133">
      <c r="A1133" s="40">
        <f t="array" ref="A1133">IFNA(index(PlayerValues!A:A,match(IFNA(vlookup(B1133,'Special Names'!A:B,2,FALSE),B1133),PlayerValues!E:E,0)),"N/A")</f>
        <v>16594</v>
      </c>
      <c r="B1133" s="4" t="s">
        <v>607</v>
      </c>
      <c r="C1133" s="4" t="s">
        <v>278</v>
      </c>
      <c r="D1133" s="94">
        <v>3357.0</v>
      </c>
    </row>
    <row r="1134">
      <c r="A1134" s="40">
        <f t="array" ref="A1134">IFNA(index(PlayerValues!A:A,match(IFNA(vlookup(B1134,'Special Names'!A:B,2,FALSE),B1134),PlayerValues!E:E,0)),"N/A")</f>
        <v>15712</v>
      </c>
      <c r="B1134" s="4" t="s">
        <v>488</v>
      </c>
      <c r="C1134" s="4" t="s">
        <v>278</v>
      </c>
      <c r="D1134" s="94">
        <v>3348.0</v>
      </c>
    </row>
    <row r="1135">
      <c r="A1135" s="40">
        <f t="array" ref="A1135">IFNA(index(PlayerValues!A:A,match(IFNA(vlookup(B1135,'Special Names'!A:B,2,FALSE),B1135),PlayerValues!E:E,0)),"N/A")</f>
        <v>17053</v>
      </c>
      <c r="B1135" s="4" t="s">
        <v>484</v>
      </c>
      <c r="C1135" s="4" t="s">
        <v>278</v>
      </c>
      <c r="D1135" s="94">
        <v>3311.0</v>
      </c>
    </row>
    <row r="1136">
      <c r="A1136" s="40">
        <f t="array" ref="A1136">IFNA(index(PlayerValues!A:A,match(IFNA(vlookup(B1136,'Special Names'!A:B,2,FALSE),B1136),PlayerValues!E:E,0)),"N/A")</f>
        <v>16184</v>
      </c>
      <c r="B1136" s="4" t="s">
        <v>445</v>
      </c>
      <c r="C1136" s="4" t="s">
        <v>287</v>
      </c>
      <c r="D1136" s="94">
        <v>3309.0</v>
      </c>
    </row>
    <row r="1137">
      <c r="A1137" s="40">
        <f t="array" ref="A1137">IFNA(index(PlayerValues!A:A,match(IFNA(vlookup(B1137,'Special Names'!A:B,2,FALSE),B1137),PlayerValues!E:E,0)),"N/A")</f>
        <v>17473</v>
      </c>
      <c r="B1137" s="4" t="s">
        <v>391</v>
      </c>
      <c r="C1137" s="4" t="s">
        <v>278</v>
      </c>
      <c r="D1137" s="94">
        <v>3286.0</v>
      </c>
    </row>
    <row r="1138">
      <c r="A1138" s="40">
        <f t="array" ref="A1138">IFNA(index(PlayerValues!A:A,match(IFNA(vlookup(B1138,'Special Names'!A:B,2,FALSE),B1138),PlayerValues!E:E,0)),"N/A")</f>
        <v>16809</v>
      </c>
      <c r="B1138" s="4" t="s">
        <v>455</v>
      </c>
      <c r="C1138" s="4" t="s">
        <v>287</v>
      </c>
      <c r="D1138" s="94">
        <v>3277.0</v>
      </c>
    </row>
    <row r="1139">
      <c r="A1139" s="40">
        <f t="array" ref="A1139">IFNA(index(PlayerValues!A:A,match(IFNA(vlookup(B1139,'Special Names'!A:B,2,FALSE),B1139),PlayerValues!E:E,0)),"N/A")</f>
        <v>13635</v>
      </c>
      <c r="B1139" s="4" t="s">
        <v>424</v>
      </c>
      <c r="C1139" s="4" t="s">
        <v>287</v>
      </c>
      <c r="D1139" s="94">
        <v>3273.0</v>
      </c>
    </row>
    <row r="1140">
      <c r="A1140" s="40">
        <f t="array" ref="A1140">IFNA(index(PlayerValues!A:A,match(IFNA(vlookup(B1140,'Special Names'!A:B,2,FALSE),B1140),PlayerValues!E:E,0)),"N/A")</f>
        <v>16269</v>
      </c>
      <c r="B1140" s="4" t="s">
        <v>481</v>
      </c>
      <c r="C1140" s="4" t="s">
        <v>298</v>
      </c>
      <c r="D1140" s="94">
        <v>3714.0</v>
      </c>
    </row>
    <row r="1141">
      <c r="A1141" s="40">
        <f t="array" ref="A1141">IFNA(index(PlayerValues!A:A,match(IFNA(vlookup(B1141,'Special Names'!A:B,2,FALSE),B1141),PlayerValues!E:E,0)),"N/A")</f>
        <v>17477</v>
      </c>
      <c r="B1141" s="4" t="s">
        <v>452</v>
      </c>
      <c r="C1141" s="4" t="s">
        <v>278</v>
      </c>
      <c r="D1141" s="94">
        <v>3239.0</v>
      </c>
    </row>
    <row r="1142">
      <c r="A1142" s="40">
        <f t="array" ref="A1142">IFNA(index(PlayerValues!A:A,match(IFNA(vlookup(B1142,'Special Names'!A:B,2,FALSE),B1142),PlayerValues!E:E,0)),"N/A")</f>
        <v>17502</v>
      </c>
      <c r="B1142" s="4" t="s">
        <v>451</v>
      </c>
      <c r="C1142" s="4" t="s">
        <v>287</v>
      </c>
      <c r="D1142" s="94">
        <v>3210.0</v>
      </c>
    </row>
    <row r="1143">
      <c r="A1143" s="40">
        <f t="array" ref="A1143">IFNA(index(PlayerValues!A:A,match(IFNA(vlookup(B1143,'Special Names'!A:B,2,FALSE),B1143),PlayerValues!E:E,0)),"N/A")</f>
        <v>16187</v>
      </c>
      <c r="B1143" s="4" t="s">
        <v>441</v>
      </c>
      <c r="C1143" s="4" t="s">
        <v>287</v>
      </c>
      <c r="D1143" s="94">
        <v>3158.0</v>
      </c>
    </row>
    <row r="1144">
      <c r="A1144" s="40">
        <f t="array" ref="A1144">IFNA(index(PlayerValues!A:A,match(IFNA(vlookup(B1144,'Special Names'!A:B,2,FALSE),B1144),PlayerValues!E:E,0)),"N/A")</f>
        <v>14823</v>
      </c>
      <c r="B1144" s="4" t="s">
        <v>459</v>
      </c>
      <c r="C1144" s="4" t="s">
        <v>278</v>
      </c>
      <c r="D1144" s="94">
        <v>3132.0</v>
      </c>
    </row>
    <row r="1145">
      <c r="A1145" s="40">
        <f t="array" ref="A1145">IFNA(index(PlayerValues!A:A,match(IFNA(vlookup(B1145,'Special Names'!A:B,2,FALSE),B1145),PlayerValues!E:E,0)),"N/A")</f>
        <v>15761</v>
      </c>
      <c r="B1145" s="4" t="s">
        <v>491</v>
      </c>
      <c r="C1145" s="4" t="s">
        <v>287</v>
      </c>
      <c r="D1145" s="94">
        <v>3101.0</v>
      </c>
    </row>
    <row r="1146">
      <c r="A1146" s="40">
        <f t="array" ref="A1146">IFNA(index(PlayerValues!A:A,match(IFNA(vlookup(B1146,'Special Names'!A:B,2,FALSE),B1146),PlayerValues!E:E,0)),"N/A")</f>
        <v>15798</v>
      </c>
      <c r="B1146" s="4" t="s">
        <v>443</v>
      </c>
      <c r="C1146" s="4" t="s">
        <v>298</v>
      </c>
      <c r="D1146" s="94">
        <v>3528.0</v>
      </c>
    </row>
    <row r="1147">
      <c r="A1147" s="40">
        <f t="array" ref="A1147">IFNA(index(PlayerValues!A:A,match(IFNA(vlookup(B1147,'Special Names'!A:B,2,FALSE),B1147),PlayerValues!E:E,0)),"N/A")</f>
        <v>15261</v>
      </c>
      <c r="B1147" s="4" t="s">
        <v>466</v>
      </c>
      <c r="C1147" s="4" t="s">
        <v>278</v>
      </c>
      <c r="D1147" s="94">
        <v>3090.0</v>
      </c>
    </row>
    <row r="1148">
      <c r="A1148" s="40" t="str">
        <f t="array" ref="A1148">IFNA(index(PlayerValues!A:A,match(IFNA(vlookup(B1148,'Special Names'!A:B,2,FALSE),B1148),PlayerValues!E:E,0)),"N/A")</f>
        <v>N/A</v>
      </c>
      <c r="B1148" s="4" t="s">
        <v>108</v>
      </c>
      <c r="C1148" s="4" t="s">
        <v>325</v>
      </c>
      <c r="D1148" s="94">
        <v>3071.0</v>
      </c>
    </row>
    <row r="1149">
      <c r="A1149" s="40" t="str">
        <f t="array" ref="A1149">IFNA(index(PlayerValues!A:A,match(IFNA(vlookup(B1149,'Special Names'!A:B,2,FALSE),B1149),PlayerValues!E:E,0)),"N/A")</f>
        <v>N/A</v>
      </c>
      <c r="B1149" s="4" t="s">
        <v>97</v>
      </c>
      <c r="C1149" s="4" t="s">
        <v>325</v>
      </c>
      <c r="D1149" s="94">
        <v>3045.0</v>
      </c>
    </row>
    <row r="1150">
      <c r="A1150" s="40">
        <f t="array" ref="A1150">IFNA(index(PlayerValues!A:A,match(IFNA(vlookup(B1150,'Special Names'!A:B,2,FALSE),B1150),PlayerValues!E:E,0)),"N/A")</f>
        <v>16619</v>
      </c>
      <c r="B1150" s="4" t="s">
        <v>538</v>
      </c>
      <c r="C1150" s="4" t="s">
        <v>287</v>
      </c>
      <c r="D1150" s="94">
        <v>3043.0</v>
      </c>
    </row>
    <row r="1151">
      <c r="A1151" s="40" t="str">
        <f t="array" ref="A1151">IFNA(index(PlayerValues!A:A,match(IFNA(vlookup(B1151,'Special Names'!A:B,2,FALSE),B1151),PlayerValues!E:E,0)),"N/A")</f>
        <v>N/A</v>
      </c>
      <c r="B1151" s="4" t="s">
        <v>84</v>
      </c>
      <c r="C1151" s="4" t="s">
        <v>325</v>
      </c>
      <c r="D1151" s="94">
        <v>3039.0</v>
      </c>
    </row>
    <row r="1152">
      <c r="A1152" s="40">
        <f t="array" ref="A1152">IFNA(index(PlayerValues!A:A,match(IFNA(vlookup(B1152,'Special Names'!A:B,2,FALSE),B1152),PlayerValues!E:E,0)),"N/A")</f>
        <v>15259</v>
      </c>
      <c r="B1152" s="4" t="s">
        <v>453</v>
      </c>
      <c r="C1152" s="4" t="s">
        <v>278</v>
      </c>
      <c r="D1152" s="94">
        <v>3023.0</v>
      </c>
    </row>
    <row r="1153">
      <c r="A1153" s="40">
        <f t="array" ref="A1153">IFNA(index(PlayerValues!A:A,match(IFNA(vlookup(B1153,'Special Names'!A:B,2,FALSE),B1153),PlayerValues!E:E,0)),"N/A")</f>
        <v>17082</v>
      </c>
      <c r="B1153" s="4" t="s">
        <v>498</v>
      </c>
      <c r="C1153" s="4" t="s">
        <v>287</v>
      </c>
      <c r="D1153" s="94">
        <v>3009.0</v>
      </c>
    </row>
    <row r="1154">
      <c r="A1154" s="40">
        <f t="array" ref="A1154">IFNA(index(PlayerValues!A:A,match(IFNA(vlookup(B1154,'Special Names'!A:B,2,FALSE),B1154),PlayerValues!E:E,0)),"N/A")</f>
        <v>15779</v>
      </c>
      <c r="B1154" s="4" t="s">
        <v>461</v>
      </c>
      <c r="C1154" s="4" t="s">
        <v>287</v>
      </c>
      <c r="D1154" s="94">
        <v>2988.0</v>
      </c>
    </row>
    <row r="1155">
      <c r="A1155" s="40">
        <f t="array" ref="A1155">IFNA(index(PlayerValues!A:A,match(IFNA(vlookup(B1155,'Special Names'!A:B,2,FALSE),B1155),PlayerValues!E:E,0)),"N/A")</f>
        <v>16193</v>
      </c>
      <c r="B1155" s="4" t="s">
        <v>487</v>
      </c>
      <c r="C1155" s="4" t="s">
        <v>287</v>
      </c>
      <c r="D1155" s="94">
        <v>2966.0</v>
      </c>
    </row>
    <row r="1156">
      <c r="A1156" s="40">
        <f t="array" ref="A1156">IFNA(index(PlayerValues!A:A,match(IFNA(vlookup(B1156,'Special Names'!A:B,2,FALSE),B1156),PlayerValues!E:E,0)),"N/A")</f>
        <v>15241</v>
      </c>
      <c r="B1156" s="4" t="s">
        <v>546</v>
      </c>
      <c r="C1156" s="4" t="s">
        <v>283</v>
      </c>
      <c r="D1156" s="94">
        <v>2931.0</v>
      </c>
    </row>
    <row r="1157">
      <c r="A1157" s="40">
        <f t="array" ref="A1157">IFNA(index(PlayerValues!A:A,match(IFNA(vlookup(B1157,'Special Names'!A:B,2,FALSE),B1157),PlayerValues!E:E,0)),"N/A")</f>
        <v>17106</v>
      </c>
      <c r="B1157" s="4" t="s">
        <v>550</v>
      </c>
      <c r="C1157" s="4" t="s">
        <v>298</v>
      </c>
      <c r="D1157" s="94">
        <v>3348.0</v>
      </c>
    </row>
    <row r="1158">
      <c r="A1158" s="40">
        <f t="array" ref="A1158">IFNA(index(PlayerValues!A:A,match(IFNA(vlookup(B1158,'Special Names'!A:B,2,FALSE),B1158),PlayerValues!E:E,0)),"N/A")</f>
        <v>16723</v>
      </c>
      <c r="B1158" s="4" t="s">
        <v>502</v>
      </c>
      <c r="C1158" s="4" t="s">
        <v>298</v>
      </c>
      <c r="D1158" s="94">
        <v>3338.0</v>
      </c>
    </row>
    <row r="1159">
      <c r="A1159" s="40">
        <f t="array" ref="A1159">IFNA(index(PlayerValues!A:A,match(IFNA(vlookup(B1159,'Special Names'!A:B,2,FALSE),B1159),PlayerValues!E:E,0)),"N/A")</f>
        <v>17256</v>
      </c>
      <c r="B1159" s="4" t="s">
        <v>462</v>
      </c>
      <c r="C1159" s="4" t="s">
        <v>278</v>
      </c>
      <c r="D1159" s="94">
        <v>2915.0</v>
      </c>
    </row>
    <row r="1160">
      <c r="A1160" s="40">
        <f t="array" ref="A1160">IFNA(index(PlayerValues!A:A,match(IFNA(vlookup(B1160,'Special Names'!A:B,2,FALSE),B1160),PlayerValues!E:E,0)),"N/A")</f>
        <v>14860</v>
      </c>
      <c r="B1160" s="4" t="s">
        <v>554</v>
      </c>
      <c r="C1160" s="4" t="s">
        <v>287</v>
      </c>
      <c r="D1160" s="94">
        <v>2910.0</v>
      </c>
    </row>
    <row r="1161">
      <c r="A1161" s="40">
        <f t="array" ref="A1161">IFNA(index(PlayerValues!A:A,match(IFNA(vlookup(B1161,'Special Names'!A:B,2,FALSE),B1161),PlayerValues!E:E,0)),"N/A")</f>
        <v>17107</v>
      </c>
      <c r="B1161" s="4" t="s">
        <v>478</v>
      </c>
      <c r="C1161" s="4" t="s">
        <v>298</v>
      </c>
      <c r="D1161" s="94">
        <v>3324.0</v>
      </c>
    </row>
    <row r="1162">
      <c r="A1162" s="40">
        <f t="array" ref="A1162">IFNA(index(PlayerValues!A:A,match(IFNA(vlookup(B1162,'Special Names'!A:B,2,FALSE),B1162),PlayerValues!E:E,0)),"N/A")</f>
        <v>11671</v>
      </c>
      <c r="B1162" s="4" t="s">
        <v>463</v>
      </c>
      <c r="C1162" s="4" t="s">
        <v>287</v>
      </c>
      <c r="D1162" s="94">
        <v>2902.0</v>
      </c>
    </row>
    <row r="1163">
      <c r="A1163" s="40">
        <f t="array" ref="A1163">IFNA(index(PlayerValues!A:A,match(IFNA(vlookup(B1163,'Special Names'!A:B,2,FALSE),B1163),PlayerValues!E:E,0)),"N/A")</f>
        <v>17463</v>
      </c>
      <c r="B1163" s="4" t="s">
        <v>433</v>
      </c>
      <c r="C1163" s="4" t="s">
        <v>283</v>
      </c>
      <c r="D1163" s="94">
        <v>2884.0</v>
      </c>
    </row>
    <row r="1164">
      <c r="A1164" s="40">
        <f t="array" ref="A1164">IFNA(index(PlayerValues!A:A,match(IFNA(vlookup(B1164,'Special Names'!A:B,2,FALSE),B1164),PlayerValues!E:E,0)),"N/A")</f>
        <v>16080</v>
      </c>
      <c r="B1164" s="4" t="s">
        <v>499</v>
      </c>
      <c r="C1164" s="4" t="s">
        <v>287</v>
      </c>
      <c r="D1164" s="94">
        <v>2876.0</v>
      </c>
    </row>
    <row r="1165">
      <c r="A1165" s="40">
        <f t="array" ref="A1165">IFNA(index(PlayerValues!A:A,match(IFNA(vlookup(B1165,'Special Names'!A:B,2,FALSE),B1165),PlayerValues!E:E,0)),"N/A")</f>
        <v>16628</v>
      </c>
      <c r="B1165" s="4" t="s">
        <v>490</v>
      </c>
      <c r="C1165" s="4" t="s">
        <v>287</v>
      </c>
      <c r="D1165" s="94">
        <v>2849.0</v>
      </c>
    </row>
    <row r="1166">
      <c r="A1166" s="40">
        <f t="array" ref="A1166">IFNA(index(PlayerValues!A:A,match(IFNA(vlookup(B1166,'Special Names'!A:B,2,FALSE),B1166),PlayerValues!E:E,0)),"N/A")</f>
        <v>17031</v>
      </c>
      <c r="B1166" s="4" t="s">
        <v>535</v>
      </c>
      <c r="C1166" s="4" t="s">
        <v>283</v>
      </c>
      <c r="D1166" s="94">
        <v>2842.0</v>
      </c>
    </row>
    <row r="1167">
      <c r="A1167" s="40">
        <f t="array" ref="A1167">IFNA(index(PlayerValues!A:A,match(IFNA(vlookup(B1167,'Special Names'!A:B,2,FALSE),B1167),PlayerValues!E:E,0)),"N/A")</f>
        <v>17073</v>
      </c>
      <c r="B1167" s="4" t="s">
        <v>547</v>
      </c>
      <c r="C1167" s="4" t="s">
        <v>287</v>
      </c>
      <c r="D1167" s="94">
        <v>2838.0</v>
      </c>
    </row>
    <row r="1168">
      <c r="A1168" s="40">
        <f t="array" ref="A1168">IFNA(index(PlayerValues!A:A,match(IFNA(vlookup(B1168,'Special Names'!A:B,2,FALSE),B1168),PlayerValues!E:E,0)),"N/A")</f>
        <v>17072</v>
      </c>
      <c r="B1168" s="4" t="s">
        <v>508</v>
      </c>
      <c r="C1168" s="4" t="s">
        <v>287</v>
      </c>
      <c r="D1168" s="94">
        <v>2837.0</v>
      </c>
    </row>
    <row r="1169">
      <c r="A1169" s="40">
        <f t="array" ref="A1169">IFNA(index(PlayerValues!A:A,match(IFNA(vlookup(B1169,'Special Names'!A:B,2,FALSE),B1169),PlayerValues!E:E,0)),"N/A")</f>
        <v>17157</v>
      </c>
      <c r="B1169" s="4" t="s">
        <v>524</v>
      </c>
      <c r="C1169" s="4" t="s">
        <v>287</v>
      </c>
      <c r="D1169" s="94">
        <v>2837.0</v>
      </c>
    </row>
    <row r="1170">
      <c r="A1170" s="40">
        <f t="array" ref="A1170">IFNA(index(PlayerValues!A:A,match(IFNA(vlookup(B1170,'Special Names'!A:B,2,FALSE),B1170),PlayerValues!E:E,0)),"N/A")</f>
        <v>17171</v>
      </c>
      <c r="B1170" s="4" t="s">
        <v>561</v>
      </c>
      <c r="C1170" s="4" t="s">
        <v>287</v>
      </c>
      <c r="D1170" s="94">
        <v>2836.0</v>
      </c>
    </row>
    <row r="1171">
      <c r="A1171" s="40" t="str">
        <f t="array" ref="A1171">IFNA(index(PlayerValues!A:A,match(IFNA(vlookup(B1171,'Special Names'!A:B,2,FALSE),B1171),PlayerValues!E:E,0)),"N/A")</f>
        <v>N/A</v>
      </c>
      <c r="B1171" s="4" t="s">
        <v>109</v>
      </c>
      <c r="C1171" s="4" t="s">
        <v>325</v>
      </c>
      <c r="D1171" s="94">
        <v>2833.0</v>
      </c>
    </row>
    <row r="1172">
      <c r="A1172" s="40">
        <f t="array" ref="A1172">IFNA(index(PlayerValues!A:A,match(IFNA(vlookup(B1172,'Special Names'!A:B,2,FALSE),B1172),PlayerValues!E:E,0)),"N/A")</f>
        <v>16596</v>
      </c>
      <c r="B1172" s="4" t="s">
        <v>501</v>
      </c>
      <c r="C1172" s="4" t="s">
        <v>278</v>
      </c>
      <c r="D1172" s="94">
        <v>2827.0</v>
      </c>
    </row>
    <row r="1173">
      <c r="A1173" s="40">
        <f t="array" ref="A1173">IFNA(index(PlayerValues!A:A,match(IFNA(vlookup(B1173,'Special Names'!A:B,2,FALSE),B1173),PlayerValues!E:E,0)),"N/A")</f>
        <v>14071</v>
      </c>
      <c r="B1173" s="4" t="s">
        <v>440</v>
      </c>
      <c r="C1173" s="4" t="s">
        <v>278</v>
      </c>
      <c r="D1173" s="94">
        <v>2825.0</v>
      </c>
    </row>
    <row r="1174">
      <c r="A1174" s="40">
        <f t="array" ref="A1174">IFNA(index(PlayerValues!A:A,match(IFNA(vlookup(B1174,'Special Names'!A:B,2,FALSE),B1174),PlayerValues!E:E,0)),"N/A")</f>
        <v>16165</v>
      </c>
      <c r="B1174" s="4" t="s">
        <v>520</v>
      </c>
      <c r="C1174" s="4" t="s">
        <v>278</v>
      </c>
      <c r="D1174" s="94">
        <v>2814.0</v>
      </c>
    </row>
    <row r="1175">
      <c r="A1175" s="40">
        <f t="array" ref="A1175">IFNA(index(PlayerValues!A:A,match(IFNA(vlookup(B1175,'Special Names'!A:B,2,FALSE),B1175),PlayerValues!E:E,0)),"N/A")</f>
        <v>16649</v>
      </c>
      <c r="B1175" s="4" t="s">
        <v>586</v>
      </c>
      <c r="C1175" s="4" t="s">
        <v>298</v>
      </c>
      <c r="D1175" s="94">
        <v>3215.0</v>
      </c>
    </row>
    <row r="1176">
      <c r="A1176" s="40">
        <f t="array" ref="A1176">IFNA(index(PlayerValues!A:A,match(IFNA(vlookup(B1176,'Special Names'!A:B,2,FALSE),B1176),PlayerValues!E:E,0)),"N/A")</f>
        <v>17080</v>
      </c>
      <c r="B1176" s="4" t="s">
        <v>532</v>
      </c>
      <c r="C1176" s="4" t="s">
        <v>287</v>
      </c>
      <c r="D1176" s="94">
        <v>2791.0</v>
      </c>
    </row>
    <row r="1177">
      <c r="A1177" s="40">
        <f t="array" ref="A1177">IFNA(index(PlayerValues!A:A,match(IFNA(vlookup(B1177,'Special Names'!A:B,2,FALSE),B1177),PlayerValues!E:E,0)),"N/A")</f>
        <v>15255</v>
      </c>
      <c r="B1177" s="4" t="s">
        <v>477</v>
      </c>
      <c r="C1177" s="4" t="s">
        <v>278</v>
      </c>
      <c r="D1177" s="94">
        <v>2786.0</v>
      </c>
    </row>
    <row r="1178">
      <c r="A1178" s="40" t="str">
        <f t="array" ref="A1178">IFNA(index(PlayerValues!A:A,match(IFNA(vlookup(B1178,'Special Names'!A:B,2,FALSE),B1178),PlayerValues!E:E,0)),"N/A")</f>
        <v>N/A</v>
      </c>
      <c r="B1178" s="4" t="s">
        <v>85</v>
      </c>
      <c r="C1178" s="4" t="s">
        <v>325</v>
      </c>
      <c r="D1178" s="94">
        <v>2786.0</v>
      </c>
    </row>
    <row r="1179">
      <c r="A1179" s="40">
        <f t="array" ref="A1179">IFNA(index(PlayerValues!A:A,match(IFNA(vlookup(B1179,'Special Names'!A:B,2,FALSE),B1179),PlayerValues!E:E,0)),"N/A")</f>
        <v>13163</v>
      </c>
      <c r="B1179" s="4" t="s">
        <v>473</v>
      </c>
      <c r="C1179" s="4" t="s">
        <v>287</v>
      </c>
      <c r="D1179" s="94">
        <v>2785.0</v>
      </c>
    </row>
    <row r="1180">
      <c r="A1180" s="40">
        <f t="array" ref="A1180">IFNA(index(PlayerValues!A:A,match(IFNA(vlookup(B1180,'Special Names'!A:B,2,FALSE),B1180),PlayerValues!E:E,0)),"N/A")</f>
        <v>14800</v>
      </c>
      <c r="B1180" s="4" t="s">
        <v>472</v>
      </c>
      <c r="C1180" s="4" t="s">
        <v>278</v>
      </c>
      <c r="D1180" s="94">
        <v>2785.0</v>
      </c>
    </row>
    <row r="1181">
      <c r="A1181" s="40">
        <f t="array" ref="A1181">IFNA(index(PlayerValues!A:A,match(IFNA(vlookup(B1181,'Special Names'!A:B,2,FALSE),B1181),PlayerValues!E:E,0)),"N/A")</f>
        <v>17098</v>
      </c>
      <c r="B1181" s="4" t="s">
        <v>533</v>
      </c>
      <c r="C1181" s="4" t="s">
        <v>287</v>
      </c>
      <c r="D1181" s="94">
        <v>2785.0</v>
      </c>
    </row>
    <row r="1182">
      <c r="A1182" s="40">
        <f t="array" ref="A1182">IFNA(index(PlayerValues!A:A,match(IFNA(vlookup(B1182,'Special Names'!A:B,2,FALSE),B1182),PlayerValues!E:E,0)),"N/A")</f>
        <v>16597</v>
      </c>
      <c r="B1182" s="4" t="s">
        <v>427</v>
      </c>
      <c r="C1182" s="4" t="s">
        <v>278</v>
      </c>
      <c r="D1182" s="94">
        <v>2784.0</v>
      </c>
    </row>
    <row r="1183">
      <c r="A1183" s="40">
        <f t="array" ref="A1183">IFNA(index(PlayerValues!A:A,match(IFNA(vlookup(B1183,'Special Names'!A:B,2,FALSE),B1183),PlayerValues!E:E,0)),"N/A")</f>
        <v>17134</v>
      </c>
      <c r="B1183" s="4" t="s">
        <v>548</v>
      </c>
      <c r="C1183" s="4" t="s">
        <v>287</v>
      </c>
      <c r="D1183" s="94">
        <v>2773.0</v>
      </c>
    </row>
    <row r="1184">
      <c r="A1184" s="40">
        <f t="array" ref="A1184">IFNA(index(PlayerValues!A:A,match(IFNA(vlookup(B1184,'Special Names'!A:B,2,FALSE),B1184),PlayerValues!E:E,0)),"N/A")</f>
        <v>17476</v>
      </c>
      <c r="B1184" s="4" t="s">
        <v>494</v>
      </c>
      <c r="C1184" s="4" t="s">
        <v>278</v>
      </c>
      <c r="D1184" s="94">
        <v>2758.0</v>
      </c>
    </row>
    <row r="1185">
      <c r="A1185" s="40">
        <f t="array" ref="A1185">IFNA(index(PlayerValues!A:A,match(IFNA(vlookup(B1185,'Special Names'!A:B,2,FALSE),B1185),PlayerValues!E:E,0)),"N/A")</f>
        <v>14138</v>
      </c>
      <c r="B1185" s="4" t="s">
        <v>531</v>
      </c>
      <c r="C1185" s="4" t="s">
        <v>298</v>
      </c>
      <c r="D1185" s="94">
        <v>3141.0</v>
      </c>
    </row>
    <row r="1186">
      <c r="A1186" s="40">
        <f t="array" ref="A1186">IFNA(index(PlayerValues!A:A,match(IFNA(vlookup(B1186,'Special Names'!A:B,2,FALSE),B1186),PlayerValues!E:E,0)),"N/A")</f>
        <v>16747</v>
      </c>
      <c r="B1186" s="4" t="s">
        <v>555</v>
      </c>
      <c r="C1186" s="4" t="s">
        <v>278</v>
      </c>
      <c r="D1186" s="94">
        <v>2713.0</v>
      </c>
    </row>
    <row r="1187">
      <c r="A1187" s="40">
        <f t="array" ref="A1187">IFNA(index(PlayerValues!A:A,match(IFNA(vlookup(B1187,'Special Names'!A:B,2,FALSE),B1187),PlayerValues!E:E,0)),"N/A")</f>
        <v>16626</v>
      </c>
      <c r="B1187" s="4" t="s">
        <v>515</v>
      </c>
      <c r="C1187" s="4" t="s">
        <v>287</v>
      </c>
      <c r="D1187" s="94">
        <v>2709.0</v>
      </c>
    </row>
    <row r="1188">
      <c r="A1188" s="40">
        <f t="array" ref="A1188">IFNA(index(PlayerValues!A:A,match(IFNA(vlookup(B1188,'Special Names'!A:B,2,FALSE),B1188),PlayerValues!E:E,0)),"N/A")</f>
        <v>17048</v>
      </c>
      <c r="B1188" s="4" t="s">
        <v>539</v>
      </c>
      <c r="C1188" s="4" t="s">
        <v>278</v>
      </c>
      <c r="D1188" s="94">
        <v>2709.0</v>
      </c>
    </row>
    <row r="1189">
      <c r="A1189" s="40">
        <f t="array" ref="A1189">IFNA(index(PlayerValues!A:A,match(IFNA(vlookup(B1189,'Special Names'!A:B,2,FALSE),B1189),PlayerValues!E:E,0)),"N/A")</f>
        <v>17047</v>
      </c>
      <c r="B1189" s="4" t="s">
        <v>510</v>
      </c>
      <c r="C1189" s="4" t="s">
        <v>278</v>
      </c>
      <c r="D1189" s="94">
        <v>2702.0</v>
      </c>
    </row>
    <row r="1190">
      <c r="A1190" s="40">
        <f t="array" ref="A1190">IFNA(index(PlayerValues!A:A,match(IFNA(vlookup(B1190,'Special Names'!A:B,2,FALSE),B1190),PlayerValues!E:E,0)),"N/A")</f>
        <v>14778</v>
      </c>
      <c r="B1190" s="4" t="s">
        <v>564</v>
      </c>
      <c r="C1190" s="4" t="s">
        <v>283</v>
      </c>
      <c r="D1190" s="94">
        <v>2701.0</v>
      </c>
    </row>
    <row r="1191">
      <c r="A1191" s="40">
        <f t="array" ref="A1191">IFNA(index(PlayerValues!A:A,match(IFNA(vlookup(B1191,'Special Names'!A:B,2,FALSE),B1191),PlayerValues!E:E,0)),"N/A")</f>
        <v>14085</v>
      </c>
      <c r="B1191" s="4" t="s">
        <v>489</v>
      </c>
      <c r="C1191" s="4" t="s">
        <v>278</v>
      </c>
      <c r="D1191" s="94">
        <v>2688.0</v>
      </c>
    </row>
    <row r="1192">
      <c r="A1192" s="40" t="str">
        <f t="array" ref="A1192">IFNA(index(PlayerValues!A:A,match(IFNA(vlookup(B1192,'Special Names'!A:B,2,FALSE),B1192),PlayerValues!E:E,0)),"N/A")</f>
        <v>N/A</v>
      </c>
      <c r="B1192" s="4" t="s">
        <v>110</v>
      </c>
      <c r="C1192" s="4" t="s">
        <v>325</v>
      </c>
      <c r="D1192" s="94">
        <v>2659.0</v>
      </c>
    </row>
    <row r="1193">
      <c r="A1193" s="40">
        <f t="array" ref="A1193">IFNA(index(PlayerValues!A:A,match(IFNA(vlookup(B1193,'Special Names'!A:B,2,FALSE),B1193),PlayerValues!E:E,0)),"N/A")</f>
        <v>12186</v>
      </c>
      <c r="B1193" s="4" t="s">
        <v>497</v>
      </c>
      <c r="C1193" s="4" t="s">
        <v>287</v>
      </c>
      <c r="D1193" s="94">
        <v>2655.0</v>
      </c>
    </row>
    <row r="1194">
      <c r="A1194" s="40">
        <f t="array" ref="A1194">IFNA(index(PlayerValues!A:A,match(IFNA(vlookup(B1194,'Special Names'!A:B,2,FALSE),B1194),PlayerValues!E:E,0)),"N/A")</f>
        <v>17046</v>
      </c>
      <c r="B1194" s="4" t="s">
        <v>602</v>
      </c>
      <c r="C1194" s="4" t="s">
        <v>278</v>
      </c>
      <c r="D1194" s="94">
        <v>2649.0</v>
      </c>
    </row>
    <row r="1195">
      <c r="A1195" s="40">
        <f t="array" ref="A1195">IFNA(index(PlayerValues!A:A,match(IFNA(vlookup(B1195,'Special Names'!A:B,2,FALSE),B1195),PlayerValues!E:E,0)),"N/A")</f>
        <v>14833</v>
      </c>
      <c r="B1195" s="4" t="s">
        <v>553</v>
      </c>
      <c r="C1195" s="4" t="s">
        <v>287</v>
      </c>
      <c r="D1195" s="94">
        <v>2647.0</v>
      </c>
    </row>
    <row r="1196">
      <c r="A1196" s="40">
        <f t="array" ref="A1196">IFNA(index(PlayerValues!A:A,match(IFNA(vlookup(B1196,'Special Names'!A:B,2,FALSE),B1196),PlayerValues!E:E,0)),"N/A")</f>
        <v>14840</v>
      </c>
      <c r="B1196" s="4" t="s">
        <v>731</v>
      </c>
      <c r="C1196" s="4" t="s">
        <v>287</v>
      </c>
      <c r="D1196" s="94">
        <v>2640.0</v>
      </c>
    </row>
    <row r="1197">
      <c r="A1197" s="40">
        <f t="array" ref="A1197">IFNA(index(PlayerValues!A:A,match(IFNA(vlookup(B1197,'Special Names'!A:B,2,FALSE),B1197),PlayerValues!E:E,0)),"N/A")</f>
        <v>15721</v>
      </c>
      <c r="B1197" s="4" t="s">
        <v>504</v>
      </c>
      <c r="C1197" s="4" t="s">
        <v>278</v>
      </c>
      <c r="D1197" s="94">
        <v>2636.0</v>
      </c>
    </row>
    <row r="1198">
      <c r="A1198" s="40">
        <f t="array" ref="A1198">IFNA(index(PlayerValues!A:A,match(IFNA(vlookup(B1198,'Special Names'!A:B,2,FALSE),B1198),PlayerValues!E:E,0)),"N/A")</f>
        <v>13192</v>
      </c>
      <c r="B1198" s="4" t="s">
        <v>563</v>
      </c>
      <c r="C1198" s="4" t="s">
        <v>298</v>
      </c>
      <c r="D1198" s="94">
        <v>3046.0</v>
      </c>
    </row>
    <row r="1199">
      <c r="A1199" s="40">
        <f t="array" ref="A1199">IFNA(index(PlayerValues!A:A,match(IFNA(vlookup(B1199,'Special Names'!A:B,2,FALSE),B1199),PlayerValues!E:E,0)),"N/A")</f>
        <v>17108</v>
      </c>
      <c r="B1199" s="4" t="s">
        <v>542</v>
      </c>
      <c r="C1199" s="4" t="s">
        <v>298</v>
      </c>
      <c r="D1199" s="94">
        <v>3042.0</v>
      </c>
    </row>
    <row r="1200">
      <c r="A1200" s="40">
        <f t="array" ref="A1200">IFNA(index(PlayerValues!A:A,match(IFNA(vlookup(B1200,'Special Names'!A:B,2,FALSE),B1200),PlayerValues!E:E,0)),"N/A")</f>
        <v>16757</v>
      </c>
      <c r="B1200" s="4" t="s">
        <v>558</v>
      </c>
      <c r="C1200" s="4" t="s">
        <v>278</v>
      </c>
      <c r="D1200" s="94">
        <v>2611.0</v>
      </c>
    </row>
    <row r="1201">
      <c r="A1201" s="40" t="str">
        <f t="array" ref="A1201">IFNA(index(PlayerValues!A:A,match(IFNA(vlookup(B1201,'Special Names'!A:B,2,FALSE),B1201),PlayerValues!E:E,0)),"N/A")</f>
        <v>N/A</v>
      </c>
      <c r="B1201" s="4" t="s">
        <v>557</v>
      </c>
      <c r="C1201" s="4" t="s">
        <v>278</v>
      </c>
      <c r="D1201" s="94">
        <v>2593.0</v>
      </c>
    </row>
    <row r="1202">
      <c r="A1202" s="40">
        <f t="array" ref="A1202">IFNA(index(PlayerValues!A:A,match(IFNA(vlookup(B1202,'Special Names'!A:B,2,FALSE),B1202),PlayerValues!E:E,0)),"N/A")</f>
        <v>16152</v>
      </c>
      <c r="B1202" s="4" t="s">
        <v>601</v>
      </c>
      <c r="C1202" s="4" t="s">
        <v>283</v>
      </c>
      <c r="D1202" s="94">
        <v>2585.0</v>
      </c>
    </row>
    <row r="1203">
      <c r="A1203" s="40">
        <f t="array" ref="A1203">IFNA(index(PlayerValues!A:A,match(IFNA(vlookup(B1203,'Special Names'!A:B,2,FALSE),B1203),PlayerValues!E:E,0)),"N/A")</f>
        <v>13674</v>
      </c>
      <c r="B1203" s="4" t="s">
        <v>511</v>
      </c>
      <c r="C1203" s="4" t="s">
        <v>298</v>
      </c>
      <c r="D1203" s="94">
        <v>2993.0</v>
      </c>
    </row>
    <row r="1204">
      <c r="A1204" s="40">
        <f t="array" ref="A1204">IFNA(index(PlayerValues!A:A,match(IFNA(vlookup(B1204,'Special Names'!A:B,2,FALSE),B1204),PlayerValues!E:E,0)),"N/A")</f>
        <v>17078</v>
      </c>
      <c r="B1204" s="4" t="s">
        <v>543</v>
      </c>
      <c r="C1204" s="4" t="s">
        <v>287</v>
      </c>
      <c r="D1204" s="94">
        <v>2566.0</v>
      </c>
    </row>
    <row r="1205">
      <c r="A1205" s="40">
        <f t="array" ref="A1205">IFNA(index(PlayerValues!A:A,match(IFNA(vlookup(B1205,'Special Names'!A:B,2,FALSE),B1205),PlayerValues!E:E,0)),"N/A")</f>
        <v>16166</v>
      </c>
      <c r="B1205" s="4" t="s">
        <v>567</v>
      </c>
      <c r="C1205" s="4" t="s">
        <v>278</v>
      </c>
      <c r="D1205" s="94">
        <v>2565.0</v>
      </c>
    </row>
    <row r="1206">
      <c r="A1206" s="40">
        <f t="array" ref="A1206">IFNA(index(PlayerValues!A:A,match(IFNA(vlookup(B1206,'Special Names'!A:B,2,FALSE),B1206),PlayerValues!E:E,0)),"N/A")</f>
        <v>13671</v>
      </c>
      <c r="B1206" s="4" t="s">
        <v>506</v>
      </c>
      <c r="C1206" s="4" t="s">
        <v>298</v>
      </c>
      <c r="D1206" s="94">
        <v>2968.0</v>
      </c>
    </row>
    <row r="1207">
      <c r="A1207" s="40">
        <f t="array" ref="A1207">IFNA(index(PlayerValues!A:A,match(IFNA(vlookup(B1207,'Special Names'!A:B,2,FALSE),B1207),PlayerValues!E:E,0)),"N/A")</f>
        <v>17505</v>
      </c>
      <c r="B1207" s="4" t="s">
        <v>528</v>
      </c>
      <c r="C1207" s="4" t="s">
        <v>287</v>
      </c>
      <c r="D1207" s="94">
        <v>2559.0</v>
      </c>
    </row>
    <row r="1208">
      <c r="A1208" s="40">
        <f t="array" ref="A1208">IFNA(index(PlayerValues!A:A,match(IFNA(vlookup(B1208,'Special Names'!A:B,2,FALSE),B1208),PlayerValues!E:E,0)),"N/A")</f>
        <v>14136</v>
      </c>
      <c r="B1208" s="4" t="s">
        <v>536</v>
      </c>
      <c r="C1208" s="4" t="s">
        <v>287</v>
      </c>
      <c r="D1208" s="94">
        <v>2551.0</v>
      </c>
    </row>
    <row r="1209">
      <c r="A1209" s="40">
        <f t="array" ref="A1209">IFNA(index(PlayerValues!A:A,match(IFNA(vlookup(B1209,'Special Names'!A:B,2,FALSE),B1209),PlayerValues!E:E,0)),"N/A")</f>
        <v>16189</v>
      </c>
      <c r="B1209" s="4" t="s">
        <v>582</v>
      </c>
      <c r="C1209" s="4" t="s">
        <v>287</v>
      </c>
      <c r="D1209" s="94">
        <v>2541.0</v>
      </c>
    </row>
    <row r="1210">
      <c r="A1210" s="40">
        <f t="array" ref="A1210">IFNA(index(PlayerValues!A:A,match(IFNA(vlookup(B1210,'Special Names'!A:B,2,FALSE),B1210),PlayerValues!E:E,0)),"N/A")</f>
        <v>16164</v>
      </c>
      <c r="B1210" s="4" t="s">
        <v>512</v>
      </c>
      <c r="C1210" s="4" t="s">
        <v>278</v>
      </c>
      <c r="D1210" s="94">
        <v>2523.0</v>
      </c>
    </row>
    <row r="1211">
      <c r="A1211" s="40">
        <f t="array" ref="A1211">IFNA(index(PlayerValues!A:A,match(IFNA(vlookup(B1211,'Special Names'!A:B,2,FALSE),B1211),PlayerValues!E:E,0)),"N/A")</f>
        <v>16617</v>
      </c>
      <c r="B1211" s="4" t="s">
        <v>541</v>
      </c>
      <c r="C1211" s="4" t="s">
        <v>287</v>
      </c>
      <c r="D1211" s="94">
        <v>2514.0</v>
      </c>
    </row>
    <row r="1212">
      <c r="A1212" s="40">
        <f t="array" ref="A1212">IFNA(index(PlayerValues!A:A,match(IFNA(vlookup(B1212,'Special Names'!A:B,2,FALSE),B1212),PlayerValues!E:E,0)),"N/A")</f>
        <v>12616</v>
      </c>
      <c r="B1212" s="4" t="s">
        <v>529</v>
      </c>
      <c r="C1212" s="4" t="s">
        <v>283</v>
      </c>
      <c r="D1212" s="94">
        <v>2503.0</v>
      </c>
    </row>
    <row r="1213">
      <c r="A1213" s="40">
        <f t="array" ref="A1213">IFNA(index(PlayerValues!A:A,match(IFNA(vlookup(B1213,'Special Names'!A:B,2,FALSE),B1213),PlayerValues!E:E,0)),"N/A")</f>
        <v>15972</v>
      </c>
      <c r="B1213" s="4" t="s">
        <v>469</v>
      </c>
      <c r="C1213" s="4" t="s">
        <v>278</v>
      </c>
      <c r="D1213" s="94">
        <v>2477.0</v>
      </c>
    </row>
    <row r="1214">
      <c r="A1214" s="40" t="str">
        <f t="array" ref="A1214">IFNA(index(PlayerValues!A:A,match(IFNA(vlookup(B1214,'Special Names'!A:B,2,FALSE),B1214),PlayerValues!E:E,0)),"N/A")</f>
        <v>N/A</v>
      </c>
      <c r="B1214" s="4" t="s">
        <v>98</v>
      </c>
      <c r="C1214" s="4" t="s">
        <v>325</v>
      </c>
      <c r="D1214" s="94">
        <v>2468.0</v>
      </c>
    </row>
    <row r="1215">
      <c r="A1215" s="40">
        <f t="array" ref="A1215">IFNA(index(PlayerValues!A:A,match(IFNA(vlookup(B1215,'Special Names'!A:B,2,FALSE),B1215),PlayerValues!E:E,0)),"N/A")</f>
        <v>17474</v>
      </c>
      <c r="B1215" s="4" t="s">
        <v>513</v>
      </c>
      <c r="C1215" s="4" t="s">
        <v>278</v>
      </c>
      <c r="D1215" s="94">
        <v>2468.0</v>
      </c>
    </row>
    <row r="1216">
      <c r="A1216" s="40">
        <f t="array" ref="A1216">IFNA(index(PlayerValues!A:A,match(IFNA(vlookup(B1216,'Special Names'!A:B,2,FALSE),B1216),PlayerValues!E:E,0)),"N/A")</f>
        <v>16287</v>
      </c>
      <c r="B1216" s="4" t="s">
        <v>516</v>
      </c>
      <c r="C1216" s="4" t="s">
        <v>287</v>
      </c>
      <c r="D1216" s="94">
        <v>2466.0</v>
      </c>
    </row>
    <row r="1217">
      <c r="A1217" s="40">
        <f t="array" ref="A1217">IFNA(index(PlayerValues!A:A,match(IFNA(vlookup(B1217,'Special Names'!A:B,2,FALSE),B1217),PlayerValues!E:E,0)),"N/A")</f>
        <v>17033</v>
      </c>
      <c r="B1217" s="4" t="s">
        <v>570</v>
      </c>
      <c r="C1217" s="4" t="s">
        <v>283</v>
      </c>
      <c r="D1217" s="94">
        <v>2437.0</v>
      </c>
    </row>
    <row r="1218">
      <c r="A1218" s="40">
        <f t="array" ref="A1218">IFNA(index(PlayerValues!A:A,match(IFNA(vlookup(B1218,'Special Names'!A:B,2,FALSE),B1218),PlayerValues!E:E,0)),"N/A")</f>
        <v>16204</v>
      </c>
      <c r="B1218" s="4" t="s">
        <v>530</v>
      </c>
      <c r="C1218" s="4" t="s">
        <v>287</v>
      </c>
      <c r="D1218" s="94">
        <v>2424.0</v>
      </c>
    </row>
    <row r="1219">
      <c r="A1219" s="40">
        <f t="array" ref="A1219">IFNA(index(PlayerValues!A:A,match(IFNA(vlookup(B1219,'Special Names'!A:B,2,FALSE),B1219),PlayerValues!E:E,0)),"N/A")</f>
        <v>14861</v>
      </c>
      <c r="B1219" s="4" t="s">
        <v>523</v>
      </c>
      <c r="C1219" s="4" t="s">
        <v>298</v>
      </c>
      <c r="D1219" s="94">
        <v>2825.0</v>
      </c>
    </row>
    <row r="1220">
      <c r="A1220" s="40">
        <f t="array" ref="A1220">IFNA(index(PlayerValues!A:A,match(IFNA(vlookup(B1220,'Special Names'!A:B,2,FALSE),B1220),PlayerValues!E:E,0)),"N/A")</f>
        <v>12676</v>
      </c>
      <c r="B1220" s="4" t="s">
        <v>537</v>
      </c>
      <c r="C1220" s="4" t="s">
        <v>298</v>
      </c>
      <c r="D1220" s="94">
        <v>2813.0</v>
      </c>
    </row>
    <row r="1221">
      <c r="A1221" s="40">
        <f t="array" ref="A1221">IFNA(index(PlayerValues!A:A,match(IFNA(vlookup(B1221,'Special Names'!A:B,2,FALSE),B1221),PlayerValues!E:E,0)),"N/A")</f>
        <v>17105</v>
      </c>
      <c r="B1221" s="4" t="s">
        <v>525</v>
      </c>
      <c r="C1221" s="4" t="s">
        <v>298</v>
      </c>
      <c r="D1221" s="94">
        <v>2809.0</v>
      </c>
    </row>
    <row r="1222">
      <c r="A1222" s="40">
        <f t="array" ref="A1222">IFNA(index(PlayerValues!A:A,match(IFNA(vlookup(B1222,'Special Names'!A:B,2,FALSE),B1222),PlayerValues!E:E,0)),"N/A")</f>
        <v>17507</v>
      </c>
      <c r="B1222" s="4" t="s">
        <v>495</v>
      </c>
      <c r="C1222" s="4" t="s">
        <v>287</v>
      </c>
      <c r="D1222" s="94">
        <v>2400.0</v>
      </c>
    </row>
    <row r="1223">
      <c r="A1223" s="40">
        <f t="array" ref="A1223">IFNA(index(PlayerValues!A:A,match(IFNA(vlookup(B1223,'Special Names'!A:B,2,FALSE),B1223),PlayerValues!E:E,0)),"N/A")</f>
        <v>16610</v>
      </c>
      <c r="B1223" s="4" t="s">
        <v>562</v>
      </c>
      <c r="C1223" s="4" t="s">
        <v>278</v>
      </c>
      <c r="D1223" s="94">
        <v>2394.0</v>
      </c>
    </row>
    <row r="1224">
      <c r="A1224" s="40">
        <f t="array" ref="A1224">IFNA(index(PlayerValues!A:A,match(IFNA(vlookup(B1224,'Special Names'!A:B,2,FALSE),B1224),PlayerValues!E:E,0)),"N/A")</f>
        <v>17511</v>
      </c>
      <c r="B1224" s="4" t="s">
        <v>485</v>
      </c>
      <c r="C1224" s="4" t="s">
        <v>287</v>
      </c>
      <c r="D1224" s="94">
        <v>2376.0</v>
      </c>
    </row>
    <row r="1225">
      <c r="A1225" s="40">
        <f t="array" ref="A1225">IFNA(index(PlayerValues!A:A,match(IFNA(vlookup(B1225,'Special Names'!A:B,2,FALSE),B1225),PlayerValues!E:E,0)),"N/A")</f>
        <v>15716</v>
      </c>
      <c r="B1225" s="4" t="s">
        <v>545</v>
      </c>
      <c r="C1225" s="4" t="s">
        <v>278</v>
      </c>
      <c r="D1225" s="94">
        <v>2360.0</v>
      </c>
    </row>
    <row r="1226">
      <c r="A1226" s="40">
        <f t="array" ref="A1226">IFNA(index(PlayerValues!A:A,match(IFNA(vlookup(B1226,'Special Names'!A:B,2,FALSE),B1226),PlayerValues!E:E,0)),"N/A")</f>
        <v>17464</v>
      </c>
      <c r="B1226" s="4" t="s">
        <v>828</v>
      </c>
      <c r="C1226" s="4" t="s">
        <v>283</v>
      </c>
      <c r="D1226" s="94">
        <v>2358.0</v>
      </c>
    </row>
    <row r="1227">
      <c r="A1227" s="40">
        <f t="array" ref="A1227">IFNA(index(PlayerValues!A:A,match(IFNA(vlookup(B1227,'Special Names'!A:B,2,FALSE),B1227),PlayerValues!E:E,0)),"N/A")</f>
        <v>13132</v>
      </c>
      <c r="B1227" s="4" t="s">
        <v>598</v>
      </c>
      <c r="C1227" s="4" t="s">
        <v>278</v>
      </c>
      <c r="D1227" s="94">
        <v>2357.0</v>
      </c>
    </row>
    <row r="1228">
      <c r="A1228" s="40">
        <f t="array" ref="A1228">IFNA(index(PlayerValues!A:A,match(IFNA(vlookup(B1228,'Special Names'!A:B,2,FALSE),B1228),PlayerValues!E:E,0)),"N/A")</f>
        <v>15802</v>
      </c>
      <c r="B1228" s="4" t="s">
        <v>566</v>
      </c>
      <c r="C1228" s="4" t="s">
        <v>298</v>
      </c>
      <c r="D1228" s="94">
        <v>2749.0</v>
      </c>
    </row>
    <row r="1229">
      <c r="A1229" s="40">
        <f t="array" ref="A1229">IFNA(index(PlayerValues!A:A,match(IFNA(vlookup(B1229,'Special Names'!A:B,2,FALSE),B1229),PlayerValues!E:E,0)),"N/A")</f>
        <v>16178</v>
      </c>
      <c r="B1229" s="4" t="s">
        <v>507</v>
      </c>
      <c r="C1229" s="4" t="s">
        <v>278</v>
      </c>
      <c r="D1229" s="94">
        <v>2347.0</v>
      </c>
    </row>
    <row r="1230">
      <c r="A1230" s="40" t="str">
        <f t="array" ref="A1230">IFNA(index(PlayerValues!A:A,match(IFNA(vlookup(B1230,'Special Names'!A:B,2,FALSE),B1230),PlayerValues!E:E,0)),"N/A")</f>
        <v>N/A</v>
      </c>
      <c r="B1230" s="4" t="s">
        <v>86</v>
      </c>
      <c r="C1230" s="4" t="s">
        <v>325</v>
      </c>
      <c r="D1230" s="94">
        <v>2341.0</v>
      </c>
    </row>
    <row r="1231">
      <c r="A1231" s="40">
        <f t="array" ref="A1231">IFNA(index(PlayerValues!A:A,match(IFNA(vlookup(B1231,'Special Names'!A:B,2,FALSE),B1231),PlayerValues!E:E,0)),"N/A")</f>
        <v>13772</v>
      </c>
      <c r="B1231" s="4" t="s">
        <v>544</v>
      </c>
      <c r="C1231" s="4" t="s">
        <v>298</v>
      </c>
      <c r="D1231" s="94">
        <v>2738.0</v>
      </c>
    </row>
    <row r="1232">
      <c r="A1232" s="40">
        <f t="array" ref="A1232">IFNA(index(PlayerValues!A:A,match(IFNA(vlookup(B1232,'Special Names'!A:B,2,FALSE),B1232),PlayerValues!E:E,0)),"N/A")</f>
        <v>17079</v>
      </c>
      <c r="B1232" s="4" t="s">
        <v>572</v>
      </c>
      <c r="C1232" s="4" t="s">
        <v>287</v>
      </c>
      <c r="D1232" s="94">
        <v>2320.0</v>
      </c>
    </row>
    <row r="1233">
      <c r="A1233" s="40">
        <f t="array" ref="A1233">IFNA(index(PlayerValues!A:A,match(IFNA(vlookup(B1233,'Special Names'!A:B,2,FALSE),B1233),PlayerValues!E:E,0)),"N/A")</f>
        <v>16212</v>
      </c>
      <c r="B1233" s="4" t="s">
        <v>568</v>
      </c>
      <c r="C1233" s="4" t="s">
        <v>298</v>
      </c>
      <c r="D1233" s="94">
        <v>2712.0</v>
      </c>
    </row>
    <row r="1234">
      <c r="A1234" s="40">
        <f t="array" ref="A1234">IFNA(index(PlayerValues!A:A,match(IFNA(vlookup(B1234,'Special Names'!A:B,2,FALSE),B1234),PlayerValues!E:E,0)),"N/A")</f>
        <v>17049</v>
      </c>
      <c r="B1234" s="4" t="s">
        <v>624</v>
      </c>
      <c r="C1234" s="4" t="s">
        <v>278</v>
      </c>
      <c r="D1234" s="94">
        <v>2307.0</v>
      </c>
    </row>
    <row r="1235">
      <c r="A1235" s="40">
        <f t="array" ref="A1235">IFNA(index(PlayerValues!A:A,match(IFNA(vlookup(B1235,'Special Names'!A:B,2,FALSE),B1235),PlayerValues!E:E,0)),"N/A")</f>
        <v>12801</v>
      </c>
      <c r="B1235" s="4" t="s">
        <v>722</v>
      </c>
      <c r="C1235" s="4" t="s">
        <v>287</v>
      </c>
      <c r="D1235" s="94">
        <v>2306.0</v>
      </c>
    </row>
    <row r="1236">
      <c r="A1236" s="40" t="str">
        <f t="array" ref="A1236">IFNA(index(PlayerValues!A:A,match(IFNA(vlookup(B1236,'Special Names'!A:B,2,FALSE),B1236),PlayerValues!E:E,0)),"N/A")</f>
        <v>N/A</v>
      </c>
      <c r="B1236" s="4" t="s">
        <v>99</v>
      </c>
      <c r="C1236" s="4" t="s">
        <v>325</v>
      </c>
      <c r="D1236" s="94">
        <v>2298.0</v>
      </c>
    </row>
    <row r="1237">
      <c r="A1237" s="40">
        <f t="array" ref="A1237">IFNA(index(PlayerValues!A:A,match(IFNA(vlookup(B1237,'Special Names'!A:B,2,FALSE),B1237),PlayerValues!E:E,0)),"N/A")</f>
        <v>17034</v>
      </c>
      <c r="B1237" s="4" t="s">
        <v>643</v>
      </c>
      <c r="C1237" s="4" t="s">
        <v>283</v>
      </c>
      <c r="D1237" s="94">
        <v>2297.0</v>
      </c>
    </row>
    <row r="1238">
      <c r="A1238" s="40">
        <f t="array" ref="A1238">IFNA(index(PlayerValues!A:A,match(IFNA(vlookup(B1238,'Special Names'!A:B,2,FALSE),B1238),PlayerValues!E:E,0)),"N/A")</f>
        <v>16036</v>
      </c>
      <c r="B1238" s="4" t="s">
        <v>592</v>
      </c>
      <c r="C1238" s="4" t="s">
        <v>298</v>
      </c>
      <c r="D1238" s="94">
        <v>2668.0</v>
      </c>
    </row>
    <row r="1239">
      <c r="A1239" s="40">
        <f t="array" ref="A1239">IFNA(index(PlayerValues!A:A,match(IFNA(vlookup(B1239,'Special Names'!A:B,2,FALSE),B1239),PlayerValues!E:E,0)),"N/A")</f>
        <v>17076</v>
      </c>
      <c r="B1239" s="4" t="s">
        <v>585</v>
      </c>
      <c r="C1239" s="4" t="s">
        <v>287</v>
      </c>
      <c r="D1239" s="94">
        <v>2268.0</v>
      </c>
    </row>
    <row r="1240">
      <c r="A1240" s="40">
        <f t="array" ref="A1240">IFNA(index(PlayerValues!A:A,match(IFNA(vlookup(B1240,'Special Names'!A:B,2,FALSE),B1240),PlayerValues!E:E,0)),"N/A")</f>
        <v>17544</v>
      </c>
      <c r="B1240" s="4" t="s">
        <v>470</v>
      </c>
      <c r="C1240" s="4" t="s">
        <v>298</v>
      </c>
      <c r="D1240" s="94">
        <v>2664.0</v>
      </c>
    </row>
    <row r="1241">
      <c r="A1241" s="40">
        <f t="array" ref="A1241">IFNA(index(PlayerValues!A:A,match(IFNA(vlookup(B1241,'Special Names'!A:B,2,FALSE),B1241),PlayerValues!E:E,0)),"N/A")</f>
        <v>16171</v>
      </c>
      <c r="B1241" s="4" t="s">
        <v>618</v>
      </c>
      <c r="C1241" s="4" t="s">
        <v>278</v>
      </c>
      <c r="D1241" s="94">
        <v>2255.0</v>
      </c>
    </row>
    <row r="1242">
      <c r="A1242" s="40">
        <f t="array" ref="A1242">IFNA(index(PlayerValues!A:A,match(IFNA(vlookup(B1242,'Special Names'!A:B,2,FALSE),B1242),PlayerValues!E:E,0)),"N/A")</f>
        <v>16342</v>
      </c>
      <c r="B1242" s="4" t="s">
        <v>583</v>
      </c>
      <c r="C1242" s="4" t="s">
        <v>287</v>
      </c>
      <c r="D1242" s="94">
        <v>2218.0</v>
      </c>
    </row>
    <row r="1243">
      <c r="A1243" s="40">
        <f t="array" ref="A1243">IFNA(index(PlayerValues!A:A,match(IFNA(vlookup(B1243,'Special Names'!A:B,2,FALSE),B1243),PlayerValues!E:E,0)),"N/A")</f>
        <v>13319</v>
      </c>
      <c r="B1243" s="4" t="s">
        <v>549</v>
      </c>
      <c r="C1243" s="4" t="s">
        <v>278</v>
      </c>
      <c r="D1243" s="94">
        <v>2217.0</v>
      </c>
    </row>
    <row r="1244">
      <c r="A1244" s="40">
        <f t="array" ref="A1244">IFNA(index(PlayerValues!A:A,match(IFNA(vlookup(B1244,'Special Names'!A:B,2,FALSE),B1244),PlayerValues!E:E,0)),"N/A")</f>
        <v>17506</v>
      </c>
      <c r="B1244" s="4" t="s">
        <v>471</v>
      </c>
      <c r="C1244" s="4" t="s">
        <v>287</v>
      </c>
      <c r="D1244" s="94">
        <v>2209.0</v>
      </c>
    </row>
    <row r="1245">
      <c r="A1245" s="40">
        <f t="array" ref="A1245">IFNA(index(PlayerValues!A:A,match(IFNA(vlookup(B1245,'Special Names'!A:B,2,FALSE),B1245),PlayerValues!E:E,0)),"N/A")</f>
        <v>17509</v>
      </c>
      <c r="B1245" s="4" t="s">
        <v>551</v>
      </c>
      <c r="C1245" s="4" t="s">
        <v>287</v>
      </c>
      <c r="D1245" s="94">
        <v>2209.0</v>
      </c>
    </row>
    <row r="1246">
      <c r="A1246" s="40">
        <f t="array" ref="A1246">IFNA(index(PlayerValues!A:A,match(IFNA(vlookup(B1246,'Special Names'!A:B,2,FALSE),B1246),PlayerValues!E:E,0)),"N/A")</f>
        <v>16195</v>
      </c>
      <c r="B1246" s="4" t="s">
        <v>509</v>
      </c>
      <c r="C1246" s="4" t="s">
        <v>287</v>
      </c>
      <c r="D1246" s="94">
        <v>2204.0</v>
      </c>
    </row>
    <row r="1247">
      <c r="A1247" s="40">
        <f t="array" ref="A1247">IFNA(index(PlayerValues!A:A,match(IFNA(vlookup(B1247,'Special Names'!A:B,2,FALSE),B1247),PlayerValues!E:E,0)),"N/A")</f>
        <v>16639</v>
      </c>
      <c r="B1247" s="4" t="s">
        <v>599</v>
      </c>
      <c r="C1247" s="4" t="s">
        <v>287</v>
      </c>
      <c r="D1247" s="94">
        <v>2203.0</v>
      </c>
    </row>
    <row r="1248">
      <c r="A1248" s="40">
        <f t="array" ref="A1248">IFNA(index(PlayerValues!A:A,match(IFNA(vlookup(B1248,'Special Names'!A:B,2,FALSE),B1248),PlayerValues!E:E,0)),"N/A")</f>
        <v>15889</v>
      </c>
      <c r="B1248" s="4" t="s">
        <v>503</v>
      </c>
      <c r="C1248" s="4" t="s">
        <v>298</v>
      </c>
      <c r="D1248" s="94">
        <v>2593.0</v>
      </c>
    </row>
    <row r="1249">
      <c r="A1249" s="40">
        <f t="array" ref="A1249">IFNA(index(PlayerValues!A:A,match(IFNA(vlookup(B1249,'Special Names'!A:B,2,FALSE),B1249),PlayerValues!E:E,0)),"N/A")</f>
        <v>16684</v>
      </c>
      <c r="B1249" s="4" t="s">
        <v>500</v>
      </c>
      <c r="C1249" s="4" t="s">
        <v>287</v>
      </c>
      <c r="D1249" s="94">
        <v>2194.0</v>
      </c>
    </row>
    <row r="1250">
      <c r="A1250" s="40" t="str">
        <f t="array" ref="A1250">IFNA(index(PlayerValues!A:A,match(IFNA(vlookup(B1250,'Special Names'!A:B,2,FALSE),B1250),PlayerValues!E:E,0)),"N/A")</f>
        <v>N/A</v>
      </c>
      <c r="B1250" s="4" t="s">
        <v>100</v>
      </c>
      <c r="C1250" s="4" t="s">
        <v>325</v>
      </c>
      <c r="D1250" s="94">
        <v>2171.0</v>
      </c>
    </row>
    <row r="1251">
      <c r="A1251" s="40" t="str">
        <f t="array" ref="A1251">IFNA(index(PlayerValues!A:A,match(IFNA(vlookup(B1251,'Special Names'!A:B,2,FALSE),B1251),PlayerValues!E:E,0)),"N/A")</f>
        <v>N/A</v>
      </c>
      <c r="B1251" s="4" t="s">
        <v>87</v>
      </c>
      <c r="C1251" s="4" t="s">
        <v>325</v>
      </c>
      <c r="D1251" s="94">
        <v>2166.0</v>
      </c>
    </row>
    <row r="1252">
      <c r="A1252" s="40">
        <f t="array" ref="A1252">IFNA(index(PlayerValues!A:A,match(IFNA(vlookup(B1252,'Special Names'!A:B,2,FALSE),B1252),PlayerValues!E:E,0)),"N/A")</f>
        <v>16752</v>
      </c>
      <c r="B1252" s="4" t="s">
        <v>597</v>
      </c>
      <c r="C1252" s="4" t="s">
        <v>278</v>
      </c>
      <c r="D1252" s="94">
        <v>2162.0</v>
      </c>
    </row>
    <row r="1253">
      <c r="A1253" s="40">
        <f t="array" ref="A1253">IFNA(index(PlayerValues!A:A,match(IFNA(vlookup(B1253,'Special Names'!A:B,2,FALSE),B1253),PlayerValues!E:E,0)),"N/A")</f>
        <v>17087</v>
      </c>
      <c r="B1253" s="4" t="s">
        <v>600</v>
      </c>
      <c r="C1253" s="4" t="s">
        <v>287</v>
      </c>
      <c r="D1253" s="94">
        <v>2148.0</v>
      </c>
    </row>
    <row r="1254">
      <c r="A1254" s="40" t="str">
        <f t="array" ref="A1254">IFNA(index(PlayerValues!A:A,match(IFNA(vlookup(B1254,'Special Names'!A:B,2,FALSE),B1254),PlayerValues!E:E,0)),"N/A")</f>
        <v>N/A</v>
      </c>
      <c r="B1254" s="4" t="s">
        <v>112</v>
      </c>
      <c r="C1254" s="4" t="s">
        <v>325</v>
      </c>
      <c r="D1254" s="94">
        <v>2148.0</v>
      </c>
    </row>
    <row r="1255">
      <c r="A1255" s="40">
        <f t="array" ref="A1255">IFNA(index(PlayerValues!A:A,match(IFNA(vlookup(B1255,'Special Names'!A:B,2,FALSE),B1255),PlayerValues!E:E,0)),"N/A")</f>
        <v>15749</v>
      </c>
      <c r="B1255" s="4" t="s">
        <v>574</v>
      </c>
      <c r="C1255" s="4" t="s">
        <v>278</v>
      </c>
      <c r="D1255" s="94">
        <v>2146.0</v>
      </c>
    </row>
    <row r="1256">
      <c r="A1256" s="40">
        <f t="array" ref="A1256">IFNA(index(PlayerValues!A:A,match(IFNA(vlookup(B1256,'Special Names'!A:B,2,FALSE),B1256),PlayerValues!E:E,0)),"N/A")</f>
        <v>16191</v>
      </c>
      <c r="B1256" s="4" t="s">
        <v>666</v>
      </c>
      <c r="C1256" s="4" t="s">
        <v>287</v>
      </c>
      <c r="D1256" s="94">
        <v>2141.0</v>
      </c>
    </row>
    <row r="1257">
      <c r="A1257" s="40">
        <f t="array" ref="A1257">IFNA(index(PlayerValues!A:A,match(IFNA(vlookup(B1257,'Special Names'!A:B,2,FALSE),B1257),PlayerValues!E:E,0)),"N/A")</f>
        <v>17069</v>
      </c>
      <c r="B1257" s="4" t="s">
        <v>604</v>
      </c>
      <c r="C1257" s="4" t="s">
        <v>278</v>
      </c>
      <c r="D1257" s="94">
        <v>2136.0</v>
      </c>
    </row>
    <row r="1258">
      <c r="A1258" s="40">
        <f t="array" ref="A1258">IFNA(index(PlayerValues!A:A,match(IFNA(vlookup(B1258,'Special Names'!A:B,2,FALSE),B1258),PlayerValues!E:E,0)),"N/A")</f>
        <v>15238</v>
      </c>
      <c r="B1258" s="4" t="s">
        <v>613</v>
      </c>
      <c r="C1258" s="4" t="s">
        <v>283</v>
      </c>
      <c r="D1258" s="94">
        <v>2131.0</v>
      </c>
    </row>
    <row r="1259">
      <c r="A1259" s="40">
        <f t="array" ref="A1259">IFNA(index(PlayerValues!A:A,match(IFNA(vlookup(B1259,'Special Names'!A:B,2,FALSE),B1259),PlayerValues!E:E,0)),"N/A")</f>
        <v>14867</v>
      </c>
      <c r="B1259" s="4" t="s">
        <v>591</v>
      </c>
      <c r="C1259" s="4" t="s">
        <v>298</v>
      </c>
      <c r="D1259" s="94">
        <v>2518.0</v>
      </c>
    </row>
    <row r="1260">
      <c r="A1260" s="40">
        <f t="array" ref="A1260">IFNA(index(PlayerValues!A:A,match(IFNA(vlookup(B1260,'Special Names'!A:B,2,FALSE),B1260),PlayerValues!E:E,0)),"N/A")</f>
        <v>16644</v>
      </c>
      <c r="B1260" s="4" t="s">
        <v>640</v>
      </c>
      <c r="C1260" s="4" t="s">
        <v>298</v>
      </c>
      <c r="D1260" s="94">
        <v>2513.0</v>
      </c>
    </row>
    <row r="1261">
      <c r="A1261" s="40">
        <f t="array" ref="A1261">IFNA(index(PlayerValues!A:A,match(IFNA(vlookup(B1261,'Special Names'!A:B,2,FALSE),B1261),PlayerValues!E:E,0)),"N/A")</f>
        <v>14871</v>
      </c>
      <c r="B1261" s="4" t="s">
        <v>584</v>
      </c>
      <c r="C1261" s="4" t="s">
        <v>298</v>
      </c>
      <c r="D1261" s="94">
        <v>2505.0</v>
      </c>
    </row>
    <row r="1262">
      <c r="A1262" s="40" t="str">
        <f t="array" ref="A1262">IFNA(index(PlayerValues!A:A,match(IFNA(vlookup(B1262,'Special Names'!A:B,2,FALSE),B1262),PlayerValues!E:E,0)),"N/A")</f>
        <v>N/A</v>
      </c>
      <c r="B1262" s="4" t="s">
        <v>88</v>
      </c>
      <c r="C1262" s="4" t="s">
        <v>325</v>
      </c>
      <c r="D1262" s="94">
        <v>2112.0</v>
      </c>
    </row>
    <row r="1263">
      <c r="A1263" s="40">
        <f t="array" ref="A1263">IFNA(index(PlayerValues!A:A,match(IFNA(vlookup(B1263,'Special Names'!A:B,2,FALSE),B1263),PlayerValues!E:E,0)),"N/A")</f>
        <v>17478</v>
      </c>
      <c r="B1263" s="4" t="s">
        <v>527</v>
      </c>
      <c r="C1263" s="4" t="s">
        <v>278</v>
      </c>
      <c r="D1263" s="94">
        <v>2098.0</v>
      </c>
    </row>
    <row r="1264">
      <c r="A1264" s="40">
        <f t="array" ref="A1264">IFNA(index(PlayerValues!A:A,match(IFNA(vlookup(B1264,'Special Names'!A:B,2,FALSE),B1264),PlayerValues!E:E,0)),"N/A")</f>
        <v>17056</v>
      </c>
      <c r="B1264" s="4" t="s">
        <v>581</v>
      </c>
      <c r="C1264" s="4" t="s">
        <v>278</v>
      </c>
      <c r="D1264" s="94">
        <v>2090.0</v>
      </c>
    </row>
    <row r="1265">
      <c r="A1265" s="40">
        <f t="array" ref="A1265">IFNA(index(PlayerValues!A:A,match(IFNA(vlookup(B1265,'Special Names'!A:B,2,FALSE),B1265),PlayerValues!E:E,0)),"N/A")</f>
        <v>16432</v>
      </c>
      <c r="B1265" s="4" t="s">
        <v>620</v>
      </c>
      <c r="C1265" s="4" t="s">
        <v>278</v>
      </c>
      <c r="D1265" s="94">
        <v>2088.0</v>
      </c>
    </row>
    <row r="1266">
      <c r="A1266" s="40">
        <f t="array" ref="A1266">IFNA(index(PlayerValues!A:A,match(IFNA(vlookup(B1266,'Special Names'!A:B,2,FALSE),B1266),PlayerValues!E:E,0)),"N/A")</f>
        <v>16643</v>
      </c>
      <c r="B1266" s="4" t="s">
        <v>609</v>
      </c>
      <c r="C1266" s="4" t="s">
        <v>298</v>
      </c>
      <c r="D1266" s="94">
        <v>2469.0</v>
      </c>
    </row>
    <row r="1267">
      <c r="A1267" s="40">
        <f t="array" ref="A1267">IFNA(index(PlayerValues!A:A,match(IFNA(vlookup(B1267,'Special Names'!A:B,2,FALSE),B1267),PlayerValues!E:E,0)),"N/A")</f>
        <v>17060</v>
      </c>
      <c r="B1267" s="4" t="s">
        <v>603</v>
      </c>
      <c r="C1267" s="4" t="s">
        <v>278</v>
      </c>
      <c r="D1267" s="94">
        <v>2068.0</v>
      </c>
    </row>
    <row r="1268">
      <c r="A1268" s="40">
        <f t="array" ref="A1268">IFNA(index(PlayerValues!A:A,match(IFNA(vlookup(B1268,'Special Names'!A:B,2,FALSE),B1268),PlayerValues!E:E,0)),"N/A")</f>
        <v>16174</v>
      </c>
      <c r="B1268" s="4" t="s">
        <v>505</v>
      </c>
      <c r="C1268" s="4" t="s">
        <v>278</v>
      </c>
      <c r="D1268" s="94">
        <v>2063.0</v>
      </c>
    </row>
    <row r="1269">
      <c r="A1269" s="40">
        <f t="array" ref="A1269">IFNA(index(PlayerValues!A:A,match(IFNA(vlookup(B1269,'Special Names'!A:B,2,FALSE),B1269),PlayerValues!E:E,0)),"N/A")</f>
        <v>13146</v>
      </c>
      <c r="B1269" s="4" t="s">
        <v>652</v>
      </c>
      <c r="C1269" s="4" t="s">
        <v>278</v>
      </c>
      <c r="D1269" s="94">
        <v>2060.0</v>
      </c>
    </row>
    <row r="1270">
      <c r="A1270" s="40" t="str">
        <f t="array" ref="A1270">IFNA(index(PlayerValues!A:A,match(IFNA(vlookup(B1270,'Special Names'!A:B,2,FALSE),B1270),PlayerValues!E:E,0)),"N/A")</f>
        <v>N/A</v>
      </c>
      <c r="B1270" s="4" t="s">
        <v>113</v>
      </c>
      <c r="C1270" s="4" t="s">
        <v>325</v>
      </c>
      <c r="D1270" s="94">
        <v>2058.0</v>
      </c>
    </row>
    <row r="1271">
      <c r="A1271" s="40">
        <f t="array" ref="A1271">IFNA(index(PlayerValues!A:A,match(IFNA(vlookup(B1271,'Special Names'!A:B,2,FALSE),B1271),PlayerValues!E:E,0)),"N/A")</f>
        <v>15331</v>
      </c>
      <c r="B1271" s="4" t="s">
        <v>560</v>
      </c>
      <c r="C1271" s="4" t="s">
        <v>298</v>
      </c>
      <c r="D1271" s="94">
        <v>2446.0</v>
      </c>
    </row>
    <row r="1272">
      <c r="A1272" s="40">
        <f t="array" ref="A1272">IFNA(index(PlayerValues!A:A,match(IFNA(vlookup(B1272,'Special Names'!A:B,2,FALSE),B1272),PlayerValues!E:E,0)),"N/A")</f>
        <v>13633</v>
      </c>
      <c r="B1272" s="4" t="s">
        <v>625</v>
      </c>
      <c r="C1272" s="4" t="s">
        <v>287</v>
      </c>
      <c r="D1272" s="94">
        <v>2030.0</v>
      </c>
    </row>
    <row r="1273">
      <c r="A1273" s="40">
        <f t="array" ref="A1273">IFNA(index(PlayerValues!A:A,match(IFNA(vlookup(B1273,'Special Names'!A:B,2,FALSE),B1273),PlayerValues!E:E,0)),"N/A")</f>
        <v>14974</v>
      </c>
      <c r="B1273" s="4" t="s">
        <v>611</v>
      </c>
      <c r="C1273" s="4" t="s">
        <v>287</v>
      </c>
      <c r="D1273" s="94">
        <v>2016.0</v>
      </c>
    </row>
    <row r="1274">
      <c r="A1274" s="40">
        <f t="array" ref="A1274">IFNA(index(PlayerValues!A:A,match(IFNA(vlookup(B1274,'Special Names'!A:B,2,FALSE),B1274),PlayerValues!E:E,0)),"N/A")</f>
        <v>15293</v>
      </c>
      <c r="B1274" s="4" t="s">
        <v>578</v>
      </c>
      <c r="C1274" s="4" t="s">
        <v>287</v>
      </c>
      <c r="D1274" s="94">
        <v>2012.0</v>
      </c>
    </row>
    <row r="1275">
      <c r="A1275" s="40">
        <f t="array" ref="A1275">IFNA(index(PlayerValues!A:A,match(IFNA(vlookup(B1275,'Special Names'!A:B,2,FALSE),B1275),PlayerValues!E:E,0)),"N/A")</f>
        <v>11244</v>
      </c>
      <c r="B1275" s="4" t="s">
        <v>519</v>
      </c>
      <c r="C1275" s="4" t="s">
        <v>298</v>
      </c>
      <c r="D1275" s="94">
        <v>2373.0</v>
      </c>
    </row>
    <row r="1276">
      <c r="A1276" s="40">
        <f t="array" ref="A1276">IFNA(index(PlayerValues!A:A,match(IFNA(vlookup(B1276,'Special Names'!A:B,2,FALSE),B1276),PlayerValues!E:E,0)),"N/A")</f>
        <v>16603</v>
      </c>
      <c r="B1276" s="4" t="s">
        <v>587</v>
      </c>
      <c r="C1276" s="4" t="s">
        <v>278</v>
      </c>
      <c r="D1276" s="94">
        <v>1977.0</v>
      </c>
    </row>
    <row r="1277">
      <c r="A1277" s="40">
        <f t="array" ref="A1277">IFNA(index(PlayerValues!A:A,match(IFNA(vlookup(B1277,'Special Names'!A:B,2,FALSE),B1277),PlayerValues!E:E,0)),"N/A")</f>
        <v>17036</v>
      </c>
      <c r="B1277" s="4" t="s">
        <v>617</v>
      </c>
      <c r="C1277" s="4" t="s">
        <v>283</v>
      </c>
      <c r="D1277" s="94">
        <v>1975.0</v>
      </c>
    </row>
    <row r="1278">
      <c r="A1278" s="40">
        <f t="array" ref="A1278">IFNA(index(PlayerValues!A:A,match(IFNA(vlookup(B1278,'Special Names'!A:B,2,FALSE),B1278),PlayerValues!E:E,0)),"N/A")</f>
        <v>17465</v>
      </c>
      <c r="B1278" s="4" t="s">
        <v>649</v>
      </c>
      <c r="C1278" s="4" t="s">
        <v>283</v>
      </c>
      <c r="D1278" s="94">
        <v>1957.0</v>
      </c>
    </row>
    <row r="1279">
      <c r="A1279" s="40">
        <f t="array" ref="A1279">IFNA(index(PlayerValues!A:A,match(IFNA(vlookup(B1279,'Special Names'!A:B,2,FALSE),B1279),PlayerValues!E:E,0)),"N/A")</f>
        <v>17503</v>
      </c>
      <c r="B1279" s="4" t="s">
        <v>480</v>
      </c>
      <c r="C1279" s="4" t="s">
        <v>287</v>
      </c>
      <c r="D1279" s="94">
        <v>1942.0</v>
      </c>
    </row>
    <row r="1280">
      <c r="A1280" s="40">
        <f t="array" ref="A1280">IFNA(index(PlayerValues!A:A,match(IFNA(vlookup(B1280,'Special Names'!A:B,2,FALSE),B1280),PlayerValues!E:E,0)),"N/A")</f>
        <v>17482</v>
      </c>
      <c r="B1280" s="4" t="s">
        <v>460</v>
      </c>
      <c r="C1280" s="4" t="s">
        <v>278</v>
      </c>
      <c r="D1280" s="94">
        <v>1927.0</v>
      </c>
    </row>
    <row r="1281">
      <c r="A1281" s="40">
        <f t="array" ref="A1281">IFNA(index(PlayerValues!A:A,match(IFNA(vlookup(B1281,'Special Names'!A:B,2,FALSE),B1281),PlayerValues!E:E,0)),"N/A")</f>
        <v>17184</v>
      </c>
      <c r="B1281" s="4" t="s">
        <v>588</v>
      </c>
      <c r="C1281" s="4" t="s">
        <v>287</v>
      </c>
      <c r="D1281" s="94">
        <v>1920.0</v>
      </c>
    </row>
    <row r="1282">
      <c r="A1282" s="40">
        <f t="array" ref="A1282">IFNA(index(PlayerValues!A:A,match(IFNA(vlookup(B1282,'Special Names'!A:B,2,FALSE),B1282),PlayerValues!E:E,0)),"N/A")</f>
        <v>16216</v>
      </c>
      <c r="B1282" s="4" t="s">
        <v>595</v>
      </c>
      <c r="C1282" s="4" t="s">
        <v>298</v>
      </c>
      <c r="D1282" s="94">
        <v>2296.0</v>
      </c>
    </row>
    <row r="1283">
      <c r="A1283" s="40">
        <f t="array" ref="A1283">IFNA(index(PlayerValues!A:A,match(IFNA(vlookup(B1283,'Special Names'!A:B,2,FALSE),B1283),PlayerValues!E:E,0)),"N/A")</f>
        <v>13189</v>
      </c>
      <c r="B1283" s="4" t="s">
        <v>626</v>
      </c>
      <c r="C1283" s="4" t="s">
        <v>298</v>
      </c>
      <c r="D1283" s="94">
        <v>2291.0</v>
      </c>
    </row>
    <row r="1284">
      <c r="A1284" s="40">
        <f t="array" ref="A1284">IFNA(index(PlayerValues!A:A,match(IFNA(vlookup(B1284,'Special Names'!A:B,2,FALSE),B1284),PlayerValues!E:E,0)),"N/A")</f>
        <v>17512</v>
      </c>
      <c r="B1284" s="4" t="s">
        <v>483</v>
      </c>
      <c r="C1284" s="4" t="s">
        <v>287</v>
      </c>
      <c r="D1284" s="94">
        <v>1902.0</v>
      </c>
    </row>
    <row r="1285">
      <c r="A1285" s="40">
        <f t="array" ref="A1285">IFNA(index(PlayerValues!A:A,match(IFNA(vlookup(B1285,'Special Names'!A:B,2,FALSE),B1285),PlayerValues!E:E,0)),"N/A")</f>
        <v>17546</v>
      </c>
      <c r="B1285" s="4" t="s">
        <v>671</v>
      </c>
      <c r="C1285" s="4" t="s">
        <v>298</v>
      </c>
      <c r="D1285" s="94">
        <v>2276.0</v>
      </c>
    </row>
    <row r="1286">
      <c r="A1286" s="40">
        <f t="array" ref="A1286">IFNA(index(PlayerValues!A:A,match(IFNA(vlookup(B1286,'Special Names'!A:B,2,FALSE),B1286),PlayerValues!E:E,0)),"N/A")</f>
        <v>16215</v>
      </c>
      <c r="B1286" s="4" t="s">
        <v>637</v>
      </c>
      <c r="C1286" s="4" t="s">
        <v>298</v>
      </c>
      <c r="D1286" s="94">
        <v>2271.0</v>
      </c>
    </row>
    <row r="1287">
      <c r="A1287" s="40">
        <f t="array" ref="A1287">IFNA(index(PlayerValues!A:A,match(IFNA(vlookup(B1287,'Special Names'!A:B,2,FALSE),B1287),PlayerValues!E:E,0)),"N/A")</f>
        <v>16778</v>
      </c>
      <c r="B1287" s="4" t="s">
        <v>577</v>
      </c>
      <c r="C1287" s="4" t="s">
        <v>287</v>
      </c>
      <c r="D1287" s="94">
        <v>1889.0</v>
      </c>
    </row>
    <row r="1288">
      <c r="A1288" s="40">
        <f t="array" ref="A1288">IFNA(index(PlayerValues!A:A,match(IFNA(vlookup(B1288,'Special Names'!A:B,2,FALSE),B1288),PlayerValues!E:E,0)),"N/A")</f>
        <v>16635</v>
      </c>
      <c r="B1288" s="4" t="s">
        <v>645</v>
      </c>
      <c r="C1288" s="4" t="s">
        <v>287</v>
      </c>
      <c r="D1288" s="94">
        <v>1884.0</v>
      </c>
    </row>
    <row r="1289">
      <c r="A1289" s="40" t="str">
        <f t="array" ref="A1289">IFNA(index(PlayerValues!A:A,match(IFNA(vlookup(B1289,'Special Names'!A:B,2,FALSE),B1289),PlayerValues!E:E,0)),"N/A")</f>
        <v>N/A</v>
      </c>
      <c r="B1289" s="4" t="s">
        <v>114</v>
      </c>
      <c r="C1289" s="4" t="s">
        <v>325</v>
      </c>
      <c r="D1289" s="94">
        <v>1882.0</v>
      </c>
    </row>
    <row r="1290">
      <c r="A1290" s="40">
        <f t="array" ref="A1290">IFNA(index(PlayerValues!A:A,match(IFNA(vlookup(B1290,'Special Names'!A:B,2,FALSE),B1290),PlayerValues!E:E,0)),"N/A")</f>
        <v>15337</v>
      </c>
      <c r="B1290" s="4" t="s">
        <v>655</v>
      </c>
      <c r="C1290" s="4" t="s">
        <v>298</v>
      </c>
      <c r="D1290" s="94">
        <v>2259.0</v>
      </c>
    </row>
    <row r="1291">
      <c r="A1291" s="40">
        <f t="array" ref="A1291">IFNA(index(PlayerValues!A:A,match(IFNA(vlookup(B1291,'Special Names'!A:B,2,FALSE),B1291),PlayerValues!E:E,0)),"N/A")</f>
        <v>17061</v>
      </c>
      <c r="B1291" s="4" t="s">
        <v>580</v>
      </c>
      <c r="C1291" s="4" t="s">
        <v>278</v>
      </c>
      <c r="D1291" s="94">
        <v>1872.0</v>
      </c>
    </row>
    <row r="1292">
      <c r="A1292" s="40">
        <f t="array" ref="A1292">IFNA(index(PlayerValues!A:A,match(IFNA(vlookup(B1292,'Special Names'!A:B,2,FALSE),B1292),PlayerValues!E:E,0)),"N/A")</f>
        <v>17517</v>
      </c>
      <c r="B1292" s="4" t="s">
        <v>454</v>
      </c>
      <c r="C1292" s="4" t="s">
        <v>287</v>
      </c>
      <c r="D1292" s="94">
        <v>1868.0</v>
      </c>
    </row>
    <row r="1293">
      <c r="A1293" s="40">
        <f t="array" ref="A1293">IFNA(index(PlayerValues!A:A,match(IFNA(vlookup(B1293,'Special Names'!A:B,2,FALSE),B1293),PlayerValues!E:E,0)),"N/A")</f>
        <v>15254</v>
      </c>
      <c r="B1293" s="4" t="s">
        <v>633</v>
      </c>
      <c r="C1293" s="4" t="s">
        <v>278</v>
      </c>
      <c r="D1293" s="94">
        <v>1864.0</v>
      </c>
    </row>
    <row r="1294">
      <c r="A1294" s="40">
        <f t="array" ref="A1294">IFNA(index(PlayerValues!A:A,match(IFNA(vlookup(B1294,'Special Names'!A:B,2,FALSE),B1294),PlayerValues!E:E,0)),"N/A")</f>
        <v>15759</v>
      </c>
      <c r="B1294" s="4" t="s">
        <v>662</v>
      </c>
      <c r="C1294" s="4" t="s">
        <v>287</v>
      </c>
      <c r="D1294" s="94">
        <v>1862.0</v>
      </c>
    </row>
    <row r="1295">
      <c r="A1295" s="40">
        <f t="array" ref="A1295">IFNA(index(PlayerValues!A:A,match(IFNA(vlookup(B1295,'Special Names'!A:B,2,FALSE),B1295),PlayerValues!E:E,0)),"N/A")</f>
        <v>17508</v>
      </c>
      <c r="B1295" s="4" t="s">
        <v>534</v>
      </c>
      <c r="C1295" s="4" t="s">
        <v>287</v>
      </c>
      <c r="D1295" s="94">
        <v>1861.0</v>
      </c>
    </row>
    <row r="1296">
      <c r="A1296" s="40">
        <f t="array" ref="A1296">IFNA(index(PlayerValues!A:A,match(IFNA(vlookup(B1296,'Special Names'!A:B,2,FALSE),B1296),PlayerValues!E:E,0)),"N/A")</f>
        <v>16201</v>
      </c>
      <c r="B1296" s="4" t="s">
        <v>589</v>
      </c>
      <c r="C1296" s="4" t="s">
        <v>287</v>
      </c>
      <c r="D1296" s="94">
        <v>1860.0</v>
      </c>
    </row>
    <row r="1297">
      <c r="A1297" s="40">
        <f t="array" ref="A1297">IFNA(index(PlayerValues!A:A,match(IFNA(vlookup(B1297,'Special Names'!A:B,2,FALSE),B1297),PlayerValues!E:E,0)),"N/A")</f>
        <v>17035</v>
      </c>
      <c r="B1297" s="4" t="s">
        <v>650</v>
      </c>
      <c r="C1297" s="4" t="s">
        <v>283</v>
      </c>
      <c r="D1297" s="94">
        <v>1860.0</v>
      </c>
    </row>
    <row r="1298">
      <c r="A1298" s="40">
        <f t="array" ref="A1298">IFNA(index(PlayerValues!A:A,match(IFNA(vlookup(B1298,'Special Names'!A:B,2,FALSE),B1298),PlayerValues!E:E,0)),"N/A")</f>
        <v>17547</v>
      </c>
      <c r="B1298" s="4" t="s">
        <v>552</v>
      </c>
      <c r="C1298" s="4" t="s">
        <v>298</v>
      </c>
      <c r="D1298" s="94">
        <v>2242.0</v>
      </c>
    </row>
    <row r="1299">
      <c r="A1299" s="40">
        <f t="array" ref="A1299">IFNA(index(PlayerValues!A:A,match(IFNA(vlookup(B1299,'Special Names'!A:B,2,FALSE),B1299),PlayerValues!E:E,0)),"N/A")</f>
        <v>16595</v>
      </c>
      <c r="B1299" s="4" t="s">
        <v>664</v>
      </c>
      <c r="C1299" s="4" t="s">
        <v>278</v>
      </c>
      <c r="D1299" s="94">
        <v>1843.0</v>
      </c>
    </row>
    <row r="1300">
      <c r="A1300" s="40" t="str">
        <f t="array" ref="A1300">IFNA(index(PlayerValues!A:A,match(IFNA(vlookup(B1300,'Special Names'!A:B,2,FALSE),B1300),PlayerValues!E:E,0)),"N/A")</f>
        <v>N/A</v>
      </c>
      <c r="B1300" s="4" t="s">
        <v>101</v>
      </c>
      <c r="C1300" s="4" t="s">
        <v>325</v>
      </c>
      <c r="D1300" s="94">
        <v>1829.0</v>
      </c>
    </row>
    <row r="1301">
      <c r="A1301" s="40">
        <f t="array" ref="A1301">IFNA(index(PlayerValues!A:A,match(IFNA(vlookup(B1301,'Special Names'!A:B,2,FALSE),B1301),PlayerValues!E:E,0)),"N/A")</f>
        <v>16585</v>
      </c>
      <c r="B1301" s="4" t="s">
        <v>623</v>
      </c>
      <c r="C1301" s="4" t="s">
        <v>283</v>
      </c>
      <c r="D1301" s="94">
        <v>1814.0</v>
      </c>
    </row>
    <row r="1302">
      <c r="A1302" s="40">
        <f t="array" ref="A1302">IFNA(index(PlayerValues!A:A,match(IFNA(vlookup(B1302,'Special Names'!A:B,2,FALSE),B1302),PlayerValues!E:E,0)),"N/A")</f>
        <v>15786</v>
      </c>
      <c r="B1302" s="4" t="s">
        <v>521</v>
      </c>
      <c r="C1302" s="4" t="s">
        <v>287</v>
      </c>
      <c r="D1302" s="94">
        <v>1809.0</v>
      </c>
    </row>
    <row r="1303">
      <c r="A1303" s="40">
        <f t="array" ref="A1303">IFNA(index(PlayerValues!A:A,match(IFNA(vlookup(B1303,'Special Names'!A:B,2,FALSE),B1303),PlayerValues!E:E,0)),"N/A")</f>
        <v>16788</v>
      </c>
      <c r="B1303" s="4" t="s">
        <v>621</v>
      </c>
      <c r="C1303" s="4" t="s">
        <v>287</v>
      </c>
      <c r="D1303" s="94">
        <v>1796.0</v>
      </c>
    </row>
    <row r="1304">
      <c r="A1304" s="40">
        <f t="array" ref="A1304">IFNA(index(PlayerValues!A:A,match(IFNA(vlookup(B1304,'Special Names'!A:B,2,FALSE),B1304),PlayerValues!E:E,0)),"N/A")</f>
        <v>17086</v>
      </c>
      <c r="B1304" s="4" t="s">
        <v>612</v>
      </c>
      <c r="C1304" s="4" t="s">
        <v>287</v>
      </c>
      <c r="D1304" s="94">
        <v>1783.0</v>
      </c>
    </row>
    <row r="1305">
      <c r="A1305" s="40">
        <f t="array" ref="A1305">IFNA(index(PlayerValues!A:A,match(IFNA(vlookup(B1305,'Special Names'!A:B,2,FALSE),B1305),PlayerValues!E:E,0)),"N/A")</f>
        <v>17055</v>
      </c>
      <c r="B1305" s="4" t="s">
        <v>565</v>
      </c>
      <c r="C1305" s="4" t="s">
        <v>278</v>
      </c>
      <c r="D1305" s="94">
        <v>1767.0</v>
      </c>
    </row>
    <row r="1306">
      <c r="A1306" s="40">
        <f t="array" ref="A1306">IFNA(index(PlayerValues!A:A,match(IFNA(vlookup(B1306,'Special Names'!A:B,2,FALSE),B1306),PlayerValues!E:E,0)),"N/A")</f>
        <v>17058</v>
      </c>
      <c r="B1306" s="4" t="s">
        <v>641</v>
      </c>
      <c r="C1306" s="4" t="s">
        <v>278</v>
      </c>
      <c r="D1306" s="94">
        <v>1764.0</v>
      </c>
    </row>
    <row r="1307">
      <c r="A1307" s="40">
        <f t="array" ref="A1307">IFNA(index(PlayerValues!A:A,match(IFNA(vlookup(B1307,'Special Names'!A:B,2,FALSE),B1307),PlayerValues!E:E,0)),"N/A")</f>
        <v>16601</v>
      </c>
      <c r="B1307" s="4" t="s">
        <v>648</v>
      </c>
      <c r="C1307" s="4" t="s">
        <v>278</v>
      </c>
      <c r="D1307" s="94">
        <v>1763.0</v>
      </c>
    </row>
    <row r="1308">
      <c r="A1308" s="40">
        <f t="array" ref="A1308">IFNA(index(PlayerValues!A:A,match(IFNA(vlookup(B1308,'Special Names'!A:B,2,FALSE),B1308),PlayerValues!E:E,0)),"N/A")</f>
        <v>11222</v>
      </c>
      <c r="B1308" s="4" t="s">
        <v>622</v>
      </c>
      <c r="C1308" s="4" t="s">
        <v>287</v>
      </c>
      <c r="D1308" s="94">
        <v>1761.0</v>
      </c>
    </row>
    <row r="1309">
      <c r="A1309" s="40">
        <f t="array" ref="A1309">IFNA(index(PlayerValues!A:A,match(IFNA(vlookup(B1309,'Special Names'!A:B,2,FALSE),B1309),PlayerValues!E:E,0)),"N/A")</f>
        <v>14105</v>
      </c>
      <c r="B1309" s="4" t="s">
        <v>675</v>
      </c>
      <c r="C1309" s="4" t="s">
        <v>287</v>
      </c>
      <c r="D1309" s="94">
        <v>1756.0</v>
      </c>
    </row>
    <row r="1310">
      <c r="A1310" s="40" t="str">
        <f t="array" ref="A1310">IFNA(index(PlayerValues!A:A,match(IFNA(vlookup(B1310,'Special Names'!A:B,2,FALSE),B1310),PlayerValues!E:E,0)),"N/A")</f>
        <v>N/A</v>
      </c>
      <c r="B1310" s="4" t="s">
        <v>89</v>
      </c>
      <c r="C1310" s="4" t="s">
        <v>325</v>
      </c>
      <c r="D1310" s="94">
        <v>1753.0</v>
      </c>
    </row>
    <row r="1311">
      <c r="A1311" s="40">
        <f t="array" ref="A1311">IFNA(index(PlayerValues!A:A,match(IFNA(vlookup(B1311,'Special Names'!A:B,2,FALSE),B1311),PlayerValues!E:E,0)),"N/A")</f>
        <v>16586</v>
      </c>
      <c r="B1311" s="4" t="s">
        <v>658</v>
      </c>
      <c r="C1311" s="4" t="s">
        <v>283</v>
      </c>
      <c r="D1311" s="94">
        <v>1743.0</v>
      </c>
    </row>
    <row r="1312">
      <c r="A1312" s="40">
        <f t="array" ref="A1312">IFNA(index(PlayerValues!A:A,match(IFNA(vlookup(B1312,'Special Names'!A:B,2,FALSE),B1312),PlayerValues!E:E,0)),"N/A")</f>
        <v>10700</v>
      </c>
      <c r="B1312" s="4" t="s">
        <v>596</v>
      </c>
      <c r="C1312" s="4" t="s">
        <v>283</v>
      </c>
      <c r="D1312" s="94">
        <v>1730.0</v>
      </c>
    </row>
    <row r="1313">
      <c r="A1313" s="40">
        <f t="array" ref="A1313">IFNA(index(PlayerValues!A:A,match(IFNA(vlookup(B1313,'Special Names'!A:B,2,FALSE),B1313),PlayerValues!E:E,0)),"N/A")</f>
        <v>16629</v>
      </c>
      <c r="B1313" s="4" t="s">
        <v>605</v>
      </c>
      <c r="C1313" s="4" t="s">
        <v>287</v>
      </c>
      <c r="D1313" s="94">
        <v>1730.0</v>
      </c>
    </row>
    <row r="1314">
      <c r="A1314" s="40">
        <f t="array" ref="A1314">IFNA(index(PlayerValues!A:A,match(IFNA(vlookup(B1314,'Special Names'!A:B,2,FALSE),B1314),PlayerValues!E:E,0)),"N/A")</f>
        <v>7836</v>
      </c>
      <c r="B1314" s="4" t="s">
        <v>590</v>
      </c>
      <c r="C1314" s="4" t="s">
        <v>283</v>
      </c>
      <c r="D1314" s="94">
        <v>1726.0</v>
      </c>
    </row>
    <row r="1315">
      <c r="A1315" s="40">
        <f t="array" ref="A1315">IFNA(index(PlayerValues!A:A,match(IFNA(vlookup(B1315,'Special Names'!A:B,2,FALSE),B1315),PlayerValues!E:E,0)),"N/A")</f>
        <v>15787</v>
      </c>
      <c r="B1315" s="4" t="s">
        <v>610</v>
      </c>
      <c r="C1315" s="4" t="s">
        <v>287</v>
      </c>
      <c r="D1315" s="94">
        <v>1725.0</v>
      </c>
    </row>
    <row r="1316">
      <c r="A1316" s="40">
        <f t="array" ref="A1316">IFNA(index(PlayerValues!A:A,match(IFNA(vlookup(B1316,'Special Names'!A:B,2,FALSE),B1316),PlayerValues!E:E,0)),"N/A")</f>
        <v>16207</v>
      </c>
      <c r="B1316" s="4" t="s">
        <v>636</v>
      </c>
      <c r="C1316" s="4" t="s">
        <v>287</v>
      </c>
      <c r="D1316" s="94">
        <v>1704.0</v>
      </c>
    </row>
    <row r="1317">
      <c r="A1317" s="40">
        <f t="array" ref="A1317">IFNA(index(PlayerValues!A:A,match(IFNA(vlookup(B1317,'Special Names'!A:B,2,FALSE),B1317),PlayerValues!E:E,0)),"N/A")</f>
        <v>17481</v>
      </c>
      <c r="B1317" s="4" t="s">
        <v>540</v>
      </c>
      <c r="C1317" s="4" t="s">
        <v>278</v>
      </c>
      <c r="D1317" s="94">
        <v>1703.0</v>
      </c>
    </row>
    <row r="1318">
      <c r="A1318" s="40">
        <f t="array" ref="A1318">IFNA(index(PlayerValues!A:A,match(IFNA(vlookup(B1318,'Special Names'!A:B,2,FALSE),B1318),PlayerValues!E:E,0)),"N/A")</f>
        <v>13629</v>
      </c>
      <c r="B1318" s="4" t="s">
        <v>619</v>
      </c>
      <c r="C1318" s="4" t="s">
        <v>287</v>
      </c>
      <c r="D1318" s="94">
        <v>1699.0</v>
      </c>
    </row>
    <row r="1319">
      <c r="A1319" s="40">
        <f t="array" ref="A1319">IFNA(index(PlayerValues!A:A,match(IFNA(vlookup(B1319,'Special Names'!A:B,2,FALSE),B1319),PlayerValues!E:E,0)),"N/A")</f>
        <v>15777</v>
      </c>
      <c r="B1319" s="4" t="s">
        <v>694</v>
      </c>
      <c r="C1319" s="4" t="s">
        <v>287</v>
      </c>
      <c r="D1319" s="94">
        <v>1692.0</v>
      </c>
    </row>
    <row r="1320">
      <c r="A1320" s="40">
        <f t="array" ref="A1320">IFNA(index(PlayerValues!A:A,match(IFNA(vlookup(B1320,'Special Names'!A:B,2,FALSE),B1320),PlayerValues!E:E,0)),"N/A")</f>
        <v>17205</v>
      </c>
      <c r="B1320" s="4" t="s">
        <v>665</v>
      </c>
      <c r="C1320" s="4" t="s">
        <v>287</v>
      </c>
      <c r="D1320" s="94">
        <v>1682.0</v>
      </c>
    </row>
    <row r="1321">
      <c r="A1321" s="40">
        <f t="array" ref="A1321">IFNA(index(PlayerValues!A:A,match(IFNA(vlookup(B1321,'Special Names'!A:B,2,FALSE),B1321),PlayerValues!E:E,0)),"N/A")</f>
        <v>16604</v>
      </c>
      <c r="B1321" s="4" t="s">
        <v>476</v>
      </c>
      <c r="C1321" s="4" t="s">
        <v>278</v>
      </c>
      <c r="D1321" s="94">
        <v>1677.0</v>
      </c>
    </row>
    <row r="1322">
      <c r="A1322" s="40" t="str">
        <f t="array" ref="A1322">IFNA(index(PlayerValues!A:A,match(IFNA(vlookup(B1322,'Special Names'!A:B,2,FALSE),B1322),PlayerValues!E:E,0)),"N/A")</f>
        <v>N/A</v>
      </c>
      <c r="B1322" s="4" t="s">
        <v>102</v>
      </c>
      <c r="C1322" s="4" t="s">
        <v>325</v>
      </c>
      <c r="D1322" s="94">
        <v>1671.0</v>
      </c>
    </row>
    <row r="1323">
      <c r="A1323" s="40">
        <f t="array" ref="A1323">IFNA(index(PlayerValues!A:A,match(IFNA(vlookup(B1323,'Special Names'!A:B,2,FALSE),B1323),PlayerValues!E:E,0)),"N/A")</f>
        <v>17520</v>
      </c>
      <c r="B1323" s="4" t="s">
        <v>518</v>
      </c>
      <c r="C1323" s="4" t="s">
        <v>287</v>
      </c>
      <c r="D1323" s="94">
        <v>1671.0</v>
      </c>
    </row>
    <row r="1324">
      <c r="A1324" s="40">
        <f t="array" ref="A1324">IFNA(index(PlayerValues!A:A,match(IFNA(vlookup(B1324,'Special Names'!A:B,2,FALSE),B1324),PlayerValues!E:E,0)),"N/A")</f>
        <v>13164</v>
      </c>
      <c r="B1324" s="4" t="s">
        <v>632</v>
      </c>
      <c r="C1324" s="4" t="s">
        <v>287</v>
      </c>
      <c r="D1324" s="94">
        <v>1668.0</v>
      </c>
    </row>
    <row r="1325">
      <c r="A1325" s="40">
        <f t="array" ref="A1325">IFNA(index(PlayerValues!A:A,match(IFNA(vlookup(B1325,'Special Names'!A:B,2,FALSE),B1325),PlayerValues!E:E,0)),"N/A")</f>
        <v>17064</v>
      </c>
      <c r="B1325" s="4" t="s">
        <v>631</v>
      </c>
      <c r="C1325" s="4" t="s">
        <v>278</v>
      </c>
      <c r="D1325" s="94">
        <v>1668.0</v>
      </c>
    </row>
    <row r="1326">
      <c r="A1326" s="40">
        <f t="array" ref="A1326">IFNA(index(PlayerValues!A:A,match(IFNA(vlookup(B1326,'Special Names'!A:B,2,FALSE),B1326),PlayerValues!E:E,0)),"N/A")</f>
        <v>17234</v>
      </c>
      <c r="B1326" s="4" t="s">
        <v>653</v>
      </c>
      <c r="C1326" s="4" t="s">
        <v>287</v>
      </c>
      <c r="D1326" s="94">
        <v>1653.0</v>
      </c>
    </row>
    <row r="1327">
      <c r="A1327" s="40">
        <f t="array" ref="A1327">IFNA(index(PlayerValues!A:A,match(IFNA(vlookup(B1327,'Special Names'!A:B,2,FALSE),B1327),PlayerValues!E:E,0)),"N/A")</f>
        <v>17528</v>
      </c>
      <c r="B1327" s="4" t="s">
        <v>579</v>
      </c>
      <c r="C1327" s="4" t="s">
        <v>287</v>
      </c>
      <c r="D1327" s="94">
        <v>1649.0</v>
      </c>
    </row>
    <row r="1328">
      <c r="A1328" s="40" t="str">
        <f t="array" ref="A1328">IFNA(index(PlayerValues!A:A,match(IFNA(vlookup(B1328,'Special Names'!A:B,2,FALSE),B1328),PlayerValues!E:E,0)),"N/A")</f>
        <v>N/A</v>
      </c>
      <c r="B1328" s="4" t="s">
        <v>90</v>
      </c>
      <c r="C1328" s="4" t="s">
        <v>325</v>
      </c>
      <c r="D1328" s="94">
        <v>1641.0</v>
      </c>
    </row>
    <row r="1329">
      <c r="A1329" s="40">
        <f t="array" ref="A1329">IFNA(index(PlayerValues!A:A,match(IFNA(vlookup(B1329,'Special Names'!A:B,2,FALSE),B1329),PlayerValues!E:E,0)),"N/A")</f>
        <v>16633</v>
      </c>
      <c r="B1329" s="4" t="s">
        <v>656</v>
      </c>
      <c r="C1329" s="4" t="s">
        <v>287</v>
      </c>
      <c r="D1329" s="94">
        <v>1633.0</v>
      </c>
    </row>
    <row r="1330">
      <c r="A1330" s="40">
        <f t="array" ref="A1330">IFNA(index(PlayerValues!A:A,match(IFNA(vlookup(B1330,'Special Names'!A:B,2,FALSE),B1330),PlayerValues!E:E,0)),"N/A")</f>
        <v>14143</v>
      </c>
      <c r="B1330" s="4" t="s">
        <v>635</v>
      </c>
      <c r="C1330" s="4" t="s">
        <v>298</v>
      </c>
      <c r="D1330" s="94">
        <v>1992.0</v>
      </c>
    </row>
    <row r="1331">
      <c r="A1331" s="40">
        <f t="array" ref="A1331">IFNA(index(PlayerValues!A:A,match(IFNA(vlookup(B1331,'Special Names'!A:B,2,FALSE),B1331),PlayerValues!E:E,0)),"N/A")</f>
        <v>15727</v>
      </c>
      <c r="B1331" s="4" t="s">
        <v>730</v>
      </c>
      <c r="C1331" s="4" t="s">
        <v>278</v>
      </c>
      <c r="D1331" s="94">
        <v>1615.0</v>
      </c>
    </row>
    <row r="1332">
      <c r="A1332" s="40">
        <f t="array" ref="A1332">IFNA(index(PlayerValues!A:A,match(IFNA(vlookup(B1332,'Special Names'!A:B,2,FALSE),B1332),PlayerValues!E:E,0)),"N/A")</f>
        <v>17545</v>
      </c>
      <c r="B1332" s="4" t="s">
        <v>719</v>
      </c>
      <c r="C1332" s="4" t="s">
        <v>298</v>
      </c>
      <c r="D1332" s="94">
        <v>1991.0</v>
      </c>
    </row>
    <row r="1333">
      <c r="A1333" s="40">
        <f t="array" ref="A1333">IFNA(index(PlayerValues!A:A,match(IFNA(vlookup(B1333,'Special Names'!A:B,2,FALSE),B1333),PlayerValues!E:E,0)),"N/A")</f>
        <v>13131</v>
      </c>
      <c r="B1333" s="4" t="s">
        <v>815</v>
      </c>
      <c r="C1333" s="4" t="s">
        <v>278</v>
      </c>
      <c r="D1333" s="94">
        <v>1612.0</v>
      </c>
    </row>
    <row r="1334">
      <c r="A1334" s="40">
        <f t="array" ref="A1334">IFNA(index(PlayerValues!A:A,match(IFNA(vlookup(B1334,'Special Names'!A:B,2,FALSE),B1334),PlayerValues!E:E,0)),"N/A")</f>
        <v>17037</v>
      </c>
      <c r="B1334" s="4" t="s">
        <v>727</v>
      </c>
      <c r="C1334" s="4" t="s">
        <v>283</v>
      </c>
      <c r="D1334" s="94">
        <v>1610.0</v>
      </c>
    </row>
    <row r="1335">
      <c r="A1335" s="40">
        <f t="array" ref="A1335">IFNA(index(PlayerValues!A:A,match(IFNA(vlookup(B1335,'Special Names'!A:B,2,FALSE),B1335),PlayerValues!E:E,0)),"N/A")</f>
        <v>17096</v>
      </c>
      <c r="B1335" s="4" t="s">
        <v>638</v>
      </c>
      <c r="C1335" s="4" t="s">
        <v>287</v>
      </c>
      <c r="D1335" s="94">
        <v>1605.0</v>
      </c>
    </row>
    <row r="1336">
      <c r="A1336" s="40" t="str">
        <f t="array" ref="A1336">IFNA(index(PlayerValues!A:A,match(IFNA(vlookup(B1336,'Special Names'!A:B,2,FALSE),B1336),PlayerValues!E:E,0)),"N/A")</f>
        <v>N/A</v>
      </c>
      <c r="B1336" s="4" t="s">
        <v>115</v>
      </c>
      <c r="C1336" s="4" t="s">
        <v>325</v>
      </c>
      <c r="D1336" s="94">
        <v>1602.0</v>
      </c>
    </row>
    <row r="1337">
      <c r="A1337" s="40">
        <f t="array" ref="A1337">IFNA(index(PlayerValues!A:A,match(IFNA(vlookup(B1337,'Special Names'!A:B,2,FALSE),B1337),PlayerValues!E:E,0)),"N/A")</f>
        <v>13193</v>
      </c>
      <c r="B1337" s="4" t="s">
        <v>773</v>
      </c>
      <c r="C1337" s="4" t="s">
        <v>298</v>
      </c>
      <c r="D1337" s="94">
        <v>1970.0</v>
      </c>
    </row>
    <row r="1338">
      <c r="A1338" s="40">
        <f t="array" ref="A1338">IFNA(index(PlayerValues!A:A,match(IFNA(vlookup(B1338,'Special Names'!A:B,2,FALSE),B1338),PlayerValues!E:E,0)),"N/A")</f>
        <v>14122</v>
      </c>
      <c r="B1338" s="4" t="s">
        <v>663</v>
      </c>
      <c r="C1338" s="4" t="s">
        <v>287</v>
      </c>
      <c r="D1338" s="94">
        <v>1588.0</v>
      </c>
    </row>
    <row r="1339">
      <c r="A1339" s="40">
        <f t="array" ref="A1339">IFNA(index(PlayerValues!A:A,match(IFNA(vlookup(B1339,'Special Names'!A:B,2,FALSE),B1339),PlayerValues!E:E,0)),"N/A")</f>
        <v>12140</v>
      </c>
      <c r="B1339" s="4" t="s">
        <v>702</v>
      </c>
      <c r="C1339" s="4" t="s">
        <v>283</v>
      </c>
      <c r="D1339" s="94">
        <v>1588.0</v>
      </c>
    </row>
    <row r="1340">
      <c r="A1340" s="40">
        <f t="array" ref="A1340">IFNA(index(PlayerValues!A:A,match(IFNA(vlookup(B1340,'Special Names'!A:B,2,FALSE),B1340),PlayerValues!E:E,0)),"N/A")</f>
        <v>16688</v>
      </c>
      <c r="B1340" s="4" t="s">
        <v>688</v>
      </c>
      <c r="C1340" s="4" t="s">
        <v>278</v>
      </c>
      <c r="D1340" s="94">
        <v>1585.0</v>
      </c>
    </row>
    <row r="1341">
      <c r="A1341" s="40">
        <f t="array" ref="A1341">IFNA(index(PlayerValues!A:A,match(IFNA(vlookup(B1341,'Special Names'!A:B,2,FALSE),B1341),PlayerValues!E:E,0)),"N/A")</f>
        <v>15252</v>
      </c>
      <c r="B1341" s="4" t="s">
        <v>715</v>
      </c>
      <c r="C1341" s="4" t="s">
        <v>283</v>
      </c>
      <c r="D1341" s="94">
        <v>1571.0</v>
      </c>
    </row>
    <row r="1342">
      <c r="A1342" s="40" t="str">
        <f t="array" ref="A1342">IFNA(index(PlayerValues!A:A,match(IFNA(vlookup(B1342,'Special Names'!A:B,2,FALSE),B1342),PlayerValues!E:E,0)),"N/A")</f>
        <v>N/A</v>
      </c>
      <c r="B1342" s="4" t="s">
        <v>103</v>
      </c>
      <c r="C1342" s="4" t="s">
        <v>325</v>
      </c>
      <c r="D1342" s="94">
        <v>1566.0</v>
      </c>
    </row>
    <row r="1343">
      <c r="A1343" s="40">
        <f t="array" ref="A1343">IFNA(index(PlayerValues!A:A,match(IFNA(vlookup(B1343,'Special Names'!A:B,2,FALSE),B1343),PlayerValues!E:E,0)),"N/A")</f>
        <v>16390</v>
      </c>
      <c r="B1343" s="4" t="s">
        <v>689</v>
      </c>
      <c r="C1343" s="4" t="s">
        <v>278</v>
      </c>
      <c r="D1343" s="94">
        <v>1561.0</v>
      </c>
    </row>
    <row r="1344">
      <c r="A1344" s="40">
        <f t="array" ref="A1344">IFNA(index(PlayerValues!A:A,match(IFNA(vlookup(B1344,'Special Names'!A:B,2,FALSE),B1344),PlayerValues!E:E,0)),"N/A")</f>
        <v>12141</v>
      </c>
      <c r="B1344" s="4" t="s">
        <v>744</v>
      </c>
      <c r="C1344" s="4" t="s">
        <v>283</v>
      </c>
      <c r="D1344" s="94">
        <v>1535.0</v>
      </c>
    </row>
    <row r="1345">
      <c r="A1345" s="40">
        <f t="array" ref="A1345">IFNA(index(PlayerValues!A:A,match(IFNA(vlookup(B1345,'Special Names'!A:B,2,FALSE),B1345),PlayerValues!E:E,0)),"N/A")</f>
        <v>14080</v>
      </c>
      <c r="B1345" s="4" t="s">
        <v>716</v>
      </c>
      <c r="C1345" s="4" t="s">
        <v>278</v>
      </c>
      <c r="D1345" s="94">
        <v>1525.0</v>
      </c>
    </row>
    <row r="1346">
      <c r="A1346" s="40" t="str">
        <f t="array" ref="A1346">IFNA(index(PlayerValues!A:A,match(IFNA(vlookup(B1346,'Special Names'!A:B,2,FALSE),B1346),PlayerValues!E:E,0)),"N/A")</f>
        <v>N/A</v>
      </c>
      <c r="B1346" s="4" t="s">
        <v>91</v>
      </c>
      <c r="C1346" s="4" t="s">
        <v>325</v>
      </c>
      <c r="D1346" s="94">
        <v>1515.0</v>
      </c>
    </row>
    <row r="1347">
      <c r="A1347" s="40" t="str">
        <f t="array" ref="A1347">IFNA(index(PlayerValues!A:A,match(IFNA(vlookup(B1347,'Special Names'!A:B,2,FALSE),B1347),PlayerValues!E:E,0)),"N/A")</f>
        <v>N/A</v>
      </c>
      <c r="B1347" s="4" t="s">
        <v>116</v>
      </c>
      <c r="C1347" s="4" t="s">
        <v>325</v>
      </c>
      <c r="D1347" s="94">
        <v>1515.0</v>
      </c>
    </row>
    <row r="1348">
      <c r="A1348" s="40">
        <f t="array" ref="A1348">IFNA(index(PlayerValues!A:A,match(IFNA(vlookup(B1348,'Special Names'!A:B,2,FALSE),B1348),PlayerValues!E:E,0)),"N/A")</f>
        <v>15258</v>
      </c>
      <c r="B1348" s="4" t="s">
        <v>757</v>
      </c>
      <c r="C1348" s="4" t="s">
        <v>278</v>
      </c>
      <c r="D1348" s="94">
        <v>1511.0</v>
      </c>
    </row>
    <row r="1349">
      <c r="A1349" s="40">
        <f t="array" ref="A1349">IFNA(index(PlayerValues!A:A,match(IFNA(vlookup(B1349,'Special Names'!A:B,2,FALSE),B1349),PlayerValues!E:E,0)),"N/A")</f>
        <v>15319</v>
      </c>
      <c r="B1349" s="4" t="s">
        <v>644</v>
      </c>
      <c r="C1349" s="4" t="s">
        <v>287</v>
      </c>
      <c r="D1349" s="94">
        <v>1511.0</v>
      </c>
    </row>
    <row r="1350">
      <c r="A1350" s="40">
        <f t="array" ref="A1350">IFNA(index(PlayerValues!A:A,match(IFNA(vlookup(B1350,'Special Names'!A:B,2,FALSE),B1350),PlayerValues!E:E,0)),"N/A")</f>
        <v>15713</v>
      </c>
      <c r="B1350" s="4" t="s">
        <v>732</v>
      </c>
      <c r="C1350" s="4" t="s">
        <v>278</v>
      </c>
      <c r="D1350" s="94">
        <v>1494.0</v>
      </c>
    </row>
    <row r="1351">
      <c r="A1351" s="40">
        <f t="array" ref="A1351">IFNA(index(PlayerValues!A:A,match(IFNA(vlookup(B1351,'Special Names'!A:B,2,FALSE),B1351),PlayerValues!E:E,0)),"N/A")</f>
        <v>13418</v>
      </c>
      <c r="B1351" s="4" t="s">
        <v>706</v>
      </c>
      <c r="C1351" s="4" t="s">
        <v>287</v>
      </c>
      <c r="D1351" s="94">
        <v>1474.0</v>
      </c>
    </row>
    <row r="1352">
      <c r="A1352" s="40">
        <f t="array" ref="A1352">IFNA(index(PlayerValues!A:A,match(IFNA(vlookup(B1352,'Special Names'!A:B,2,FALSE),B1352),PlayerValues!E:E,0)),"N/A")</f>
        <v>17077</v>
      </c>
      <c r="B1352" s="4" t="s">
        <v>714</v>
      </c>
      <c r="C1352" s="4" t="s">
        <v>287</v>
      </c>
      <c r="D1352" s="94">
        <v>1474.0</v>
      </c>
    </row>
    <row r="1353">
      <c r="A1353" s="40">
        <f t="array" ref="A1353">IFNA(index(PlayerValues!A:A,match(IFNA(vlookup(B1353,'Special Names'!A:B,2,FALSE),B1353),PlayerValues!E:E,0)),"N/A")</f>
        <v>15755</v>
      </c>
      <c r="B1353" s="4" t="s">
        <v>628</v>
      </c>
      <c r="C1353" s="4" t="s">
        <v>287</v>
      </c>
      <c r="D1353" s="94">
        <v>1471.0</v>
      </c>
    </row>
    <row r="1354">
      <c r="A1354" s="40">
        <f t="array" ref="A1354">IFNA(index(PlayerValues!A:A,match(IFNA(vlookup(B1354,'Special Names'!A:B,2,FALSE),B1354),PlayerValues!E:E,0)),"N/A")</f>
        <v>17254</v>
      </c>
      <c r="B1354" s="4" t="s">
        <v>679</v>
      </c>
      <c r="C1354" s="4" t="s">
        <v>287</v>
      </c>
      <c r="D1354" s="94">
        <v>1465.0</v>
      </c>
    </row>
    <row r="1355">
      <c r="A1355" s="40">
        <f t="array" ref="A1355">IFNA(index(PlayerValues!A:A,match(IFNA(vlookup(B1355,'Special Names'!A:B,2,FALSE),B1355),PlayerValues!E:E,0)),"N/A")</f>
        <v>15738</v>
      </c>
      <c r="B1355" s="4" t="s">
        <v>634</v>
      </c>
      <c r="C1355" s="4" t="s">
        <v>278</v>
      </c>
      <c r="D1355" s="94">
        <v>1459.0</v>
      </c>
    </row>
    <row r="1356">
      <c r="A1356" s="40">
        <f t="array" ref="A1356">IFNA(index(PlayerValues!A:A,match(IFNA(vlookup(B1356,'Special Names'!A:B,2,FALSE),B1356),PlayerValues!E:E,0)),"N/A")</f>
        <v>15752</v>
      </c>
      <c r="B1356" s="4" t="s">
        <v>647</v>
      </c>
      <c r="C1356" s="4" t="s">
        <v>287</v>
      </c>
      <c r="D1356" s="94">
        <v>1457.0</v>
      </c>
    </row>
    <row r="1357">
      <c r="A1357" s="40">
        <f t="array" ref="A1357">IFNA(index(PlayerValues!A:A,match(IFNA(vlookup(B1357,'Special Names'!A:B,2,FALSE),B1357),PlayerValues!E:E,0)),"N/A")</f>
        <v>16631</v>
      </c>
      <c r="B1357" s="4" t="s">
        <v>800</v>
      </c>
      <c r="C1357" s="4" t="s">
        <v>287</v>
      </c>
      <c r="D1357" s="94">
        <v>1452.0</v>
      </c>
    </row>
    <row r="1358">
      <c r="A1358" s="40">
        <f t="array" ref="A1358">IFNA(index(PlayerValues!A:A,match(IFNA(vlookup(B1358,'Special Names'!A:B,2,FALSE),B1358),PlayerValues!E:E,0)),"N/A")</f>
        <v>13672</v>
      </c>
      <c r="B1358" s="4" t="s">
        <v>667</v>
      </c>
      <c r="C1358" s="4" t="s">
        <v>298</v>
      </c>
      <c r="D1358" s="94">
        <v>1823.0</v>
      </c>
    </row>
    <row r="1359">
      <c r="A1359" s="40">
        <f t="array" ref="A1359">IFNA(index(PlayerValues!A:A,match(IFNA(vlookup(B1359,'Special Names'!A:B,2,FALSE),B1359),PlayerValues!E:E,0)),"N/A")</f>
        <v>11150</v>
      </c>
      <c r="B1359" s="4" t="s">
        <v>559</v>
      </c>
      <c r="C1359" s="4" t="s">
        <v>283</v>
      </c>
      <c r="D1359" s="94">
        <v>1449.0</v>
      </c>
    </row>
    <row r="1360">
      <c r="A1360" s="40">
        <f t="array" ref="A1360">IFNA(index(PlayerValues!A:A,match(IFNA(vlookup(B1360,'Special Names'!A:B,2,FALSE),B1360),PlayerValues!E:E,0)),"N/A")</f>
        <v>14095</v>
      </c>
      <c r="B1360" s="4" t="s">
        <v>680</v>
      </c>
      <c r="C1360" s="4" t="s">
        <v>278</v>
      </c>
      <c r="D1360" s="94">
        <v>1447.0</v>
      </c>
    </row>
    <row r="1361">
      <c r="A1361" s="40">
        <f t="array" ref="A1361">IFNA(index(PlayerValues!A:A,match(IFNA(vlookup(B1361,'Special Names'!A:B,2,FALSE),B1361),PlayerValues!E:E,0)),"N/A")</f>
        <v>17269</v>
      </c>
      <c r="B1361" s="4" t="s">
        <v>718</v>
      </c>
      <c r="C1361" s="4" t="s">
        <v>287</v>
      </c>
      <c r="D1361" s="94">
        <v>1441.0</v>
      </c>
    </row>
    <row r="1362">
      <c r="A1362" s="40">
        <f t="array" ref="A1362">IFNA(index(PlayerValues!A:A,match(IFNA(vlookup(B1362,'Special Names'!A:B,2,FALSE),B1362),PlayerValues!E:E,0)),"N/A")</f>
        <v>17062</v>
      </c>
      <c r="B1362" s="4" t="s">
        <v>701</v>
      </c>
      <c r="C1362" s="4" t="s">
        <v>278</v>
      </c>
      <c r="D1362" s="94">
        <v>1430.0</v>
      </c>
    </row>
    <row r="1363">
      <c r="A1363" s="40">
        <f t="array" ref="A1363">IFNA(index(PlayerValues!A:A,match(IFNA(vlookup(B1363,'Special Names'!A:B,2,FALSE),B1363),PlayerValues!E:E,0)),"N/A")</f>
        <v>15332</v>
      </c>
      <c r="B1363" s="4" t="s">
        <v>698</v>
      </c>
      <c r="C1363" s="4" t="s">
        <v>298</v>
      </c>
      <c r="D1363" s="94">
        <v>1780.0</v>
      </c>
    </row>
    <row r="1364">
      <c r="A1364" s="40">
        <f t="array" ref="A1364">IFNA(index(PlayerValues!A:A,match(IFNA(vlookup(B1364,'Special Names'!A:B,2,FALSE),B1364),PlayerValues!E:E,0)),"N/A")</f>
        <v>13138</v>
      </c>
      <c r="B1364" s="4" t="s">
        <v>817</v>
      </c>
      <c r="C1364" s="4" t="s">
        <v>278</v>
      </c>
      <c r="D1364" s="94">
        <v>1400.0</v>
      </c>
    </row>
    <row r="1365">
      <c r="A1365" s="40">
        <f t="array" ref="A1365">IFNA(index(PlayerValues!A:A,match(IFNA(vlookup(B1365,'Special Names'!A:B,2,FALSE),B1365),PlayerValues!E:E,0)),"N/A")</f>
        <v>15788</v>
      </c>
      <c r="B1365" s="4" t="s">
        <v>627</v>
      </c>
      <c r="C1365" s="4" t="s">
        <v>287</v>
      </c>
      <c r="D1365" s="94">
        <v>1390.0</v>
      </c>
    </row>
    <row r="1366">
      <c r="A1366" s="40">
        <f t="array" ref="A1366">IFNA(index(PlayerValues!A:A,match(IFNA(vlookup(B1366,'Special Names'!A:B,2,FALSE),B1366),PlayerValues!E:E,0)),"N/A")</f>
        <v>17504</v>
      </c>
      <c r="B1366" s="4" t="s">
        <v>693</v>
      </c>
      <c r="C1366" s="4" t="s">
        <v>287</v>
      </c>
      <c r="D1366" s="94">
        <v>1384.0</v>
      </c>
    </row>
    <row r="1367">
      <c r="A1367" s="40">
        <f t="array" ref="A1367">IFNA(index(PlayerValues!A:A,match(IFNA(vlookup(B1367,'Special Names'!A:B,2,FALSE),B1367),PlayerValues!E:E,0)),"N/A")</f>
        <v>15797</v>
      </c>
      <c r="B1367" s="4" t="s">
        <v>556</v>
      </c>
      <c r="C1367" s="4" t="s">
        <v>298</v>
      </c>
      <c r="D1367" s="94">
        <v>1754.0</v>
      </c>
    </row>
    <row r="1368">
      <c r="A1368" s="40">
        <f t="array" ref="A1368">IFNA(index(PlayerValues!A:A,match(IFNA(vlookup(B1368,'Special Names'!A:B,2,FALSE),B1368),PlayerValues!E:E,0)),"N/A")</f>
        <v>17510</v>
      </c>
      <c r="B1368" s="4" t="s">
        <v>661</v>
      </c>
      <c r="C1368" s="4" t="s">
        <v>287</v>
      </c>
      <c r="D1368" s="94">
        <v>1374.0</v>
      </c>
    </row>
    <row r="1369">
      <c r="A1369" s="40">
        <f t="array" ref="A1369">IFNA(index(PlayerValues!A:A,match(IFNA(vlookup(B1369,'Special Names'!A:B,2,FALSE),B1369),PlayerValues!E:E,0)),"N/A")</f>
        <v>17475</v>
      </c>
      <c r="B1369" s="4" t="s">
        <v>615</v>
      </c>
      <c r="C1369" s="4" t="s">
        <v>278</v>
      </c>
      <c r="D1369" s="94">
        <v>1367.0</v>
      </c>
    </row>
    <row r="1370">
      <c r="A1370" s="40">
        <f t="array" ref="A1370">IFNA(index(PlayerValues!A:A,match(IFNA(vlookup(B1370,'Special Names'!A:B,2,FALSE),B1370),PlayerValues!E:E,0)),"N/A")</f>
        <v>15873</v>
      </c>
      <c r="B1370" s="4" t="s">
        <v>681</v>
      </c>
      <c r="C1370" s="4" t="s">
        <v>298</v>
      </c>
      <c r="D1370" s="94">
        <v>1719.0</v>
      </c>
    </row>
    <row r="1371">
      <c r="A1371" s="40">
        <f t="array" ref="A1371">IFNA(index(PlayerValues!A:A,match(IFNA(vlookup(B1371,'Special Names'!A:B,2,FALSE),B1371),PlayerValues!E:E,0)),"N/A")</f>
        <v>17541</v>
      </c>
      <c r="B1371" s="4" t="s">
        <v>616</v>
      </c>
      <c r="C1371" s="4" t="s">
        <v>287</v>
      </c>
      <c r="D1371" s="94">
        <v>1347.0</v>
      </c>
    </row>
    <row r="1372">
      <c r="A1372" s="40">
        <f t="array" ref="A1372">IFNA(index(PlayerValues!A:A,match(IFNA(vlookup(B1372,'Special Names'!A:B,2,FALSE),B1372),PlayerValues!E:E,0)),"N/A")</f>
        <v>16621</v>
      </c>
      <c r="B1372" s="4" t="s">
        <v>672</v>
      </c>
      <c r="C1372" s="4" t="s">
        <v>287</v>
      </c>
      <c r="D1372" s="94">
        <v>1345.0</v>
      </c>
    </row>
    <row r="1373">
      <c r="A1373" s="40">
        <f t="array" ref="A1373">IFNA(index(PlayerValues!A:A,match(IFNA(vlookup(B1373,'Special Names'!A:B,2,FALSE),B1373),PlayerValues!E:E,0)),"N/A")</f>
        <v>14137</v>
      </c>
      <c r="B1373" s="4" t="s">
        <v>676</v>
      </c>
      <c r="C1373" s="4" t="s">
        <v>298</v>
      </c>
      <c r="D1373" s="94">
        <v>1709.0</v>
      </c>
    </row>
    <row r="1374">
      <c r="A1374" s="40">
        <f t="array" ref="A1374">IFNA(index(PlayerValues!A:A,match(IFNA(vlookup(B1374,'Special Names'!A:B,2,FALSE),B1374),PlayerValues!E:E,0)),"N/A")</f>
        <v>17479</v>
      </c>
      <c r="B1374" s="4" t="s">
        <v>756</v>
      </c>
      <c r="C1374" s="4" t="s">
        <v>278</v>
      </c>
      <c r="D1374" s="94">
        <v>1335.0</v>
      </c>
    </row>
    <row r="1375">
      <c r="A1375" s="40">
        <f t="array" ref="A1375">IFNA(index(PlayerValues!A:A,match(IFNA(vlookup(B1375,'Special Names'!A:B,2,FALSE),B1375),PlayerValues!E:E,0)),"N/A")</f>
        <v>15301</v>
      </c>
      <c r="B1375" s="4" t="s">
        <v>657</v>
      </c>
      <c r="C1375" s="4" t="s">
        <v>287</v>
      </c>
      <c r="D1375" s="94">
        <v>1333.0</v>
      </c>
    </row>
    <row r="1376">
      <c r="A1376" s="40">
        <f t="array" ref="A1376">IFNA(index(PlayerValues!A:A,match(IFNA(vlookup(B1376,'Special Names'!A:B,2,FALSE),B1376),PlayerValues!E:E,0)),"N/A")</f>
        <v>16642</v>
      </c>
      <c r="B1376" s="4" t="s">
        <v>691</v>
      </c>
      <c r="C1376" s="4" t="s">
        <v>298</v>
      </c>
      <c r="D1376" s="94">
        <v>1697.0</v>
      </c>
    </row>
    <row r="1377">
      <c r="A1377" s="40" t="str">
        <f t="array" ref="A1377">IFNA(index(PlayerValues!A:A,match(IFNA(vlookup(B1377,'Special Names'!A:B,2,FALSE),B1377),PlayerValues!E:E,0)),"N/A")</f>
        <v>N/A</v>
      </c>
      <c r="B1377" s="4" t="s">
        <v>117</v>
      </c>
      <c r="C1377" s="4" t="s">
        <v>325</v>
      </c>
      <c r="D1377" s="94">
        <v>1315.0</v>
      </c>
    </row>
    <row r="1378">
      <c r="A1378" s="40">
        <f t="array" ref="A1378">IFNA(index(PlayerValues!A:A,match(IFNA(vlookup(B1378,'Special Names'!A:B,2,FALSE),B1378),PlayerValues!E:E,0)),"N/A")</f>
        <v>17487</v>
      </c>
      <c r="B1378" s="4" t="s">
        <v>692</v>
      </c>
      <c r="C1378" s="4" t="s">
        <v>278</v>
      </c>
      <c r="D1378" s="94">
        <v>1312.0</v>
      </c>
    </row>
    <row r="1379">
      <c r="A1379" s="40">
        <f t="array" ref="A1379">IFNA(index(PlayerValues!A:A,match(IFNA(vlookup(B1379,'Special Names'!A:B,2,FALSE),B1379),PlayerValues!E:E,0)),"N/A")</f>
        <v>17486</v>
      </c>
      <c r="B1379" s="4" t="s">
        <v>695</v>
      </c>
      <c r="C1379" s="4" t="s">
        <v>278</v>
      </c>
      <c r="D1379" s="94">
        <v>1309.0</v>
      </c>
    </row>
    <row r="1380">
      <c r="A1380" s="40">
        <f t="array" ref="A1380">IFNA(index(PlayerValues!A:A,match(IFNA(vlookup(B1380,'Special Names'!A:B,2,FALSE),B1380),PlayerValues!E:E,0)),"N/A")</f>
        <v>16385</v>
      </c>
      <c r="B1380" s="4" t="s">
        <v>690</v>
      </c>
      <c r="C1380" s="4" t="s">
        <v>278</v>
      </c>
      <c r="D1380" s="94">
        <v>1295.0</v>
      </c>
    </row>
    <row r="1381">
      <c r="A1381" s="40">
        <f t="array" ref="A1381">IFNA(index(PlayerValues!A:A,match(IFNA(vlookup(B1381,'Special Names'!A:B,2,FALSE),B1381),PlayerValues!E:E,0)),"N/A")</f>
        <v>17470</v>
      </c>
      <c r="B1381" s="4" t="s">
        <v>841</v>
      </c>
      <c r="C1381" s="4" t="s">
        <v>283</v>
      </c>
      <c r="D1381" s="94">
        <v>1295.0</v>
      </c>
    </row>
    <row r="1382">
      <c r="A1382" s="40">
        <f t="array" ref="A1382">IFNA(index(PlayerValues!A:A,match(IFNA(vlookup(B1382,'Special Names'!A:B,2,FALSE),B1382),PlayerValues!E:E,0)),"N/A")</f>
        <v>16175</v>
      </c>
      <c r="B1382" s="4" t="s">
        <v>654</v>
      </c>
      <c r="C1382" s="4" t="s">
        <v>278</v>
      </c>
      <c r="D1382" s="94">
        <v>1284.0</v>
      </c>
    </row>
    <row r="1383">
      <c r="A1383" s="40">
        <f t="array" ref="A1383">IFNA(index(PlayerValues!A:A,match(IFNA(vlookup(B1383,'Special Names'!A:B,2,FALSE),B1383),PlayerValues!E:E,0)),"N/A")</f>
        <v>15292</v>
      </c>
      <c r="B1383" s="4" t="s">
        <v>682</v>
      </c>
      <c r="C1383" s="4" t="s">
        <v>287</v>
      </c>
      <c r="D1383" s="94">
        <v>1275.0</v>
      </c>
    </row>
    <row r="1384">
      <c r="A1384" s="40">
        <f t="array" ref="A1384">IFNA(index(PlayerValues!A:A,match(IFNA(vlookup(B1384,'Special Names'!A:B,2,FALSE),B1384),PlayerValues!E:E,0)),"N/A")</f>
        <v>14086</v>
      </c>
      <c r="B1384" s="4" t="s">
        <v>639</v>
      </c>
      <c r="C1384" s="4" t="s">
        <v>278</v>
      </c>
      <c r="D1384" s="94">
        <v>1263.0</v>
      </c>
    </row>
    <row r="1385">
      <c r="A1385" s="40">
        <f t="array" ref="A1385">IFNA(index(PlayerValues!A:A,match(IFNA(vlookup(B1385,'Special Names'!A:B,2,FALSE),B1385),PlayerValues!E:E,0)),"N/A")</f>
        <v>14592</v>
      </c>
      <c r="B1385" s="4" t="s">
        <v>705</v>
      </c>
      <c r="C1385" s="4" t="s">
        <v>287</v>
      </c>
      <c r="D1385" s="94">
        <v>1257.0</v>
      </c>
    </row>
    <row r="1386">
      <c r="A1386" s="40">
        <f t="array" ref="A1386">IFNA(index(PlayerValues!A:A,match(IFNA(vlookup(B1386,'Special Names'!A:B,2,FALSE),B1386),PlayerValues!E:E,0)),"N/A")</f>
        <v>14108</v>
      </c>
      <c r="B1386" s="4" t="s">
        <v>673</v>
      </c>
      <c r="C1386" s="4" t="s">
        <v>287</v>
      </c>
      <c r="D1386" s="94">
        <v>1252.0</v>
      </c>
    </row>
    <row r="1387">
      <c r="A1387" s="40">
        <f t="array" ref="A1387">IFNA(index(PlayerValues!A:A,match(IFNA(vlookup(B1387,'Special Names'!A:B,2,FALSE),B1387),PlayerValues!E:E,0)),"N/A")</f>
        <v>15240</v>
      </c>
      <c r="B1387" s="4" t="s">
        <v>751</v>
      </c>
      <c r="C1387" s="4" t="s">
        <v>283</v>
      </c>
      <c r="D1387" s="94">
        <v>1247.0</v>
      </c>
    </row>
    <row r="1388">
      <c r="A1388" s="40">
        <f t="array" ref="A1388">IFNA(index(PlayerValues!A:A,match(IFNA(vlookup(B1388,'Special Names'!A:B,2,FALSE),B1388),PlayerValues!E:E,0)),"N/A")</f>
        <v>15702</v>
      </c>
      <c r="B1388" s="4" t="s">
        <v>723</v>
      </c>
      <c r="C1388" s="4" t="s">
        <v>283</v>
      </c>
      <c r="D1388" s="94">
        <v>1247.0</v>
      </c>
    </row>
    <row r="1389">
      <c r="A1389" s="40">
        <f t="array" ref="A1389">IFNA(index(PlayerValues!A:A,match(IFNA(vlookup(B1389,'Special Names'!A:B,2,FALSE),B1389),PlayerValues!E:E,0)),"N/A")</f>
        <v>16451</v>
      </c>
      <c r="B1389" s="4" t="s">
        <v>769</v>
      </c>
      <c r="C1389" s="4" t="s">
        <v>287</v>
      </c>
      <c r="D1389" s="94">
        <v>1229.0</v>
      </c>
    </row>
    <row r="1390">
      <c r="A1390" s="40">
        <f t="array" ref="A1390">IFNA(index(PlayerValues!A:A,match(IFNA(vlookup(B1390,'Special Names'!A:B,2,FALSE),B1390),PlayerValues!E:E,0)),"N/A")</f>
        <v>15981</v>
      </c>
      <c r="B1390" s="4" t="s">
        <v>729</v>
      </c>
      <c r="C1390" s="4" t="s">
        <v>287</v>
      </c>
      <c r="D1390" s="94">
        <v>1227.0</v>
      </c>
    </row>
    <row r="1391">
      <c r="A1391" s="40">
        <f t="array" ref="A1391">IFNA(index(PlayerValues!A:A,match(IFNA(vlookup(B1391,'Special Names'!A:B,2,FALSE),B1391),PlayerValues!E:E,0)),"N/A")</f>
        <v>16183</v>
      </c>
      <c r="B1391" s="4" t="s">
        <v>678</v>
      </c>
      <c r="C1391" s="4" t="s">
        <v>287</v>
      </c>
      <c r="D1391" s="94">
        <v>1227.0</v>
      </c>
    </row>
    <row r="1392">
      <c r="A1392" s="40">
        <f t="array" ref="A1392">IFNA(index(PlayerValues!A:A,match(IFNA(vlookup(B1392,'Special Names'!A:B,2,FALSE),B1392),PlayerValues!E:E,0)),"N/A")</f>
        <v>16149</v>
      </c>
      <c r="B1392" s="4" t="s">
        <v>740</v>
      </c>
      <c r="C1392" s="4" t="s">
        <v>283</v>
      </c>
      <c r="D1392" s="94">
        <v>1227.0</v>
      </c>
    </row>
    <row r="1393">
      <c r="A1393" s="40">
        <f t="array" ref="A1393">IFNA(index(PlayerValues!A:A,match(IFNA(vlookup(B1393,'Special Names'!A:B,2,FALSE),B1393),PlayerValues!E:E,0)),"N/A")</f>
        <v>12263</v>
      </c>
      <c r="B1393" s="4" t="s">
        <v>697</v>
      </c>
      <c r="C1393" s="4" t="s">
        <v>298</v>
      </c>
      <c r="D1393" s="94">
        <v>1585.0</v>
      </c>
    </row>
    <row r="1394">
      <c r="A1394" s="40">
        <f t="array" ref="A1394">IFNA(index(PlayerValues!A:A,match(IFNA(vlookup(B1394,'Special Names'!A:B,2,FALSE),B1394),PlayerValues!E:E,0)),"N/A")</f>
        <v>17526</v>
      </c>
      <c r="B1394" s="4" t="s">
        <v>760</v>
      </c>
      <c r="C1394" s="4" t="s">
        <v>287</v>
      </c>
      <c r="D1394" s="94">
        <v>1210.0</v>
      </c>
    </row>
    <row r="1395">
      <c r="A1395" s="40">
        <f t="array" ref="A1395">IFNA(index(PlayerValues!A:A,match(IFNA(vlookup(B1395,'Special Names'!A:B,2,FALSE),B1395),PlayerValues!E:E,0)),"N/A")</f>
        <v>16384</v>
      </c>
      <c r="B1395" s="4" t="s">
        <v>696</v>
      </c>
      <c r="C1395" s="4" t="s">
        <v>283</v>
      </c>
      <c r="D1395" s="94">
        <v>1197.0</v>
      </c>
    </row>
    <row r="1396">
      <c r="A1396" s="40">
        <f t="array" ref="A1396">IFNA(index(PlayerValues!A:A,match(IFNA(vlookup(B1396,'Special Names'!A:B,2,FALSE),B1396),PlayerValues!E:E,0)),"N/A")</f>
        <v>16792</v>
      </c>
      <c r="B1396" s="4" t="s">
        <v>704</v>
      </c>
      <c r="C1396" s="4" t="s">
        <v>287</v>
      </c>
      <c r="D1396" s="94">
        <v>1194.0</v>
      </c>
    </row>
    <row r="1397">
      <c r="A1397" s="40">
        <f t="array" ref="A1397">IFNA(index(PlayerValues!A:A,match(IFNA(vlookup(B1397,'Special Names'!A:B,2,FALSE),B1397),PlayerValues!E:E,0)),"N/A")</f>
        <v>17063</v>
      </c>
      <c r="B1397" s="4" t="s">
        <v>686</v>
      </c>
      <c r="C1397" s="4" t="s">
        <v>278</v>
      </c>
      <c r="D1397" s="94">
        <v>1186.0</v>
      </c>
    </row>
    <row r="1398">
      <c r="A1398" s="40">
        <f t="array" ref="A1398">IFNA(index(PlayerValues!A:A,match(IFNA(vlookup(B1398,'Special Names'!A:B,2,FALSE),B1398),PlayerValues!E:E,0)),"N/A")</f>
        <v>16221</v>
      </c>
      <c r="B1398" s="4" t="s">
        <v>725</v>
      </c>
      <c r="C1398" s="4" t="s">
        <v>298</v>
      </c>
      <c r="D1398" s="94">
        <v>1547.0</v>
      </c>
    </row>
    <row r="1399">
      <c r="A1399" s="40">
        <f t="array" ref="A1399">IFNA(index(PlayerValues!A:A,match(IFNA(vlookup(B1399,'Special Names'!A:B,2,FALSE),B1399),PlayerValues!E:E,0)),"N/A")</f>
        <v>16645</v>
      </c>
      <c r="B1399" s="4" t="s">
        <v>651</v>
      </c>
      <c r="C1399" s="4" t="s">
        <v>298</v>
      </c>
      <c r="D1399" s="94">
        <v>1543.0</v>
      </c>
    </row>
    <row r="1400">
      <c r="A1400" s="40">
        <f t="array" ref="A1400">IFNA(index(PlayerValues!A:A,match(IFNA(vlookup(B1400,'Special Names'!A:B,2,FALSE),B1400),PlayerValues!E:E,0)),"N/A")</f>
        <v>17054</v>
      </c>
      <c r="B1400" s="4" t="s">
        <v>670</v>
      </c>
      <c r="C1400" s="4" t="s">
        <v>278</v>
      </c>
      <c r="D1400" s="94">
        <v>1170.0</v>
      </c>
    </row>
    <row r="1401">
      <c r="A1401" s="40">
        <f t="array" ref="A1401">IFNA(index(PlayerValues!A:A,match(IFNA(vlookup(B1401,'Special Names'!A:B,2,FALSE),B1401),PlayerValues!E:E,0)),"N/A")</f>
        <v>12678</v>
      </c>
      <c r="B1401" s="4" t="s">
        <v>703</v>
      </c>
      <c r="C1401" s="4" t="s">
        <v>298</v>
      </c>
      <c r="D1401" s="94">
        <v>1524.0</v>
      </c>
    </row>
    <row r="1402">
      <c r="A1402" s="40">
        <f t="array" ref="A1402">IFNA(index(PlayerValues!A:A,match(IFNA(vlookup(B1402,'Special Names'!A:B,2,FALSE),B1402),PlayerValues!E:E,0)),"N/A")</f>
        <v>16883</v>
      </c>
      <c r="B1402" s="4" t="s">
        <v>683</v>
      </c>
      <c r="C1402" s="4" t="s">
        <v>287</v>
      </c>
      <c r="D1402" s="94">
        <v>1152.0</v>
      </c>
    </row>
    <row r="1403">
      <c r="A1403" s="40">
        <f t="array" ref="A1403">IFNA(index(PlayerValues!A:A,match(IFNA(vlookup(B1403,'Special Names'!A:B,2,FALSE),B1403),PlayerValues!E:E,0)),"N/A")</f>
        <v>16746</v>
      </c>
      <c r="B1403" s="4" t="s">
        <v>709</v>
      </c>
      <c r="C1403" s="4" t="s">
        <v>278</v>
      </c>
      <c r="D1403" s="94">
        <v>1150.0</v>
      </c>
    </row>
    <row r="1404">
      <c r="A1404" s="40">
        <f t="array" ref="A1404">IFNA(index(PlayerValues!A:A,match(IFNA(vlookup(B1404,'Special Names'!A:B,2,FALSE),B1404),PlayerValues!E:E,0)),"N/A")</f>
        <v>16636</v>
      </c>
      <c r="B1404" s="4" t="s">
        <v>699</v>
      </c>
      <c r="C1404" s="4" t="s">
        <v>287</v>
      </c>
      <c r="D1404" s="94">
        <v>1149.0</v>
      </c>
    </row>
    <row r="1405">
      <c r="A1405" s="40">
        <f t="array" ref="A1405">IFNA(index(PlayerValues!A:A,match(IFNA(vlookup(B1405,'Special Names'!A:B,2,FALSE),B1405),PlayerValues!E:E,0)),"N/A")</f>
        <v>16199</v>
      </c>
      <c r="B1405" s="4" t="s">
        <v>687</v>
      </c>
      <c r="C1405" s="4" t="s">
        <v>287</v>
      </c>
      <c r="D1405" s="94">
        <v>1143.0</v>
      </c>
    </row>
    <row r="1406">
      <c r="A1406" s="40">
        <f t="array" ref="A1406">IFNA(index(PlayerValues!A:A,match(IFNA(vlookup(B1406,'Special Names'!A:B,2,FALSE),B1406),PlayerValues!E:E,0)),"N/A")</f>
        <v>14789</v>
      </c>
      <c r="B1406" s="4" t="s">
        <v>721</v>
      </c>
      <c r="C1406" s="4" t="s">
        <v>283</v>
      </c>
      <c r="D1406" s="94">
        <v>1142.0</v>
      </c>
    </row>
    <row r="1407">
      <c r="A1407" s="40">
        <f t="array" ref="A1407">IFNA(index(PlayerValues!A:A,match(IFNA(vlookup(B1407,'Special Names'!A:B,2,FALSE),B1407),PlayerValues!E:E,0)),"N/A")</f>
        <v>17097</v>
      </c>
      <c r="B1407" s="4" t="s">
        <v>659</v>
      </c>
      <c r="C1407" s="4" t="s">
        <v>287</v>
      </c>
      <c r="D1407" s="94">
        <v>1134.0</v>
      </c>
    </row>
    <row r="1408">
      <c r="A1408" s="40">
        <f t="array" ref="A1408">IFNA(index(PlayerValues!A:A,match(IFNA(vlookup(B1408,'Special Names'!A:B,2,FALSE),B1408),PlayerValues!E:E,0)),"N/A")</f>
        <v>13289</v>
      </c>
      <c r="B1408" s="4" t="s">
        <v>746</v>
      </c>
      <c r="C1408" s="4" t="s">
        <v>287</v>
      </c>
      <c r="D1408" s="94">
        <v>1124.0</v>
      </c>
    </row>
    <row r="1409">
      <c r="A1409" s="40">
        <f t="array" ref="A1409">IFNA(index(PlayerValues!A:A,match(IFNA(vlookup(B1409,'Special Names'!A:B,2,FALSE),B1409),PlayerValues!E:E,0)),"N/A")</f>
        <v>17192</v>
      </c>
      <c r="B1409" s="4" t="s">
        <v>677</v>
      </c>
      <c r="C1409" s="4" t="s">
        <v>287</v>
      </c>
      <c r="D1409" s="94">
        <v>1116.0</v>
      </c>
    </row>
    <row r="1410">
      <c r="A1410" s="40">
        <f t="array" ref="A1410">IFNA(index(PlayerValues!A:A,match(IFNA(vlookup(B1410,'Special Names'!A:B,2,FALSE),B1410),PlayerValues!E:E,0)),"N/A")</f>
        <v>17050</v>
      </c>
      <c r="B1410" s="4" t="s">
        <v>713</v>
      </c>
      <c r="C1410" s="4" t="s">
        <v>278</v>
      </c>
      <c r="D1410" s="94">
        <v>1115.0</v>
      </c>
    </row>
    <row r="1411">
      <c r="A1411" s="40">
        <f t="array" ref="A1411">IFNA(index(PlayerValues!A:A,match(IFNA(vlookup(B1411,'Special Names'!A:B,2,FALSE),B1411),PlayerValues!E:E,0)),"N/A")</f>
        <v>14845</v>
      </c>
      <c r="B1411" s="4" t="s">
        <v>717</v>
      </c>
      <c r="C1411" s="4" t="s">
        <v>287</v>
      </c>
      <c r="D1411" s="94">
        <v>1112.0</v>
      </c>
    </row>
    <row r="1412">
      <c r="A1412" s="40">
        <f t="array" ref="A1412">IFNA(index(PlayerValues!A:A,match(IFNA(vlookup(B1412,'Special Names'!A:B,2,FALSE),B1412),PlayerValues!E:E,0)),"N/A")</f>
        <v>15239</v>
      </c>
      <c r="B1412" s="4" t="s">
        <v>802</v>
      </c>
      <c r="C1412" s="4" t="s">
        <v>283</v>
      </c>
      <c r="D1412" s="94">
        <v>1111.0</v>
      </c>
    </row>
    <row r="1413">
      <c r="A1413" s="40">
        <f t="array" ref="A1413">IFNA(index(PlayerValues!A:A,match(IFNA(vlookup(B1413,'Special Names'!A:B,2,FALSE),B1413),PlayerValues!E:E,0)),"N/A")</f>
        <v>15730</v>
      </c>
      <c r="B1413" s="4" t="s">
        <v>734</v>
      </c>
      <c r="C1413" s="4" t="s">
        <v>278</v>
      </c>
      <c r="D1413" s="94">
        <v>1109.0</v>
      </c>
    </row>
    <row r="1414">
      <c r="A1414" s="40">
        <f t="array" ref="A1414">IFNA(index(PlayerValues!A:A,match(IFNA(vlookup(B1414,'Special Names'!A:B,2,FALSE),B1414),PlayerValues!E:E,0)),"N/A")</f>
        <v>15692</v>
      </c>
      <c r="B1414" s="4" t="s">
        <v>750</v>
      </c>
      <c r="C1414" s="4" t="s">
        <v>283</v>
      </c>
      <c r="D1414" s="94">
        <v>1105.0</v>
      </c>
    </row>
    <row r="1415">
      <c r="A1415" s="40">
        <f t="array" ref="A1415">IFNA(index(PlayerValues!A:A,match(IFNA(vlookup(B1415,'Special Names'!A:B,2,FALSE),B1415),PlayerValues!E:E,0)),"N/A")</f>
        <v>16333</v>
      </c>
      <c r="B1415" s="4" t="s">
        <v>711</v>
      </c>
      <c r="C1415" s="4" t="s">
        <v>298</v>
      </c>
      <c r="D1415" s="94">
        <v>1466.0</v>
      </c>
    </row>
    <row r="1416">
      <c r="A1416" s="40">
        <f t="array" ref="A1416">IFNA(index(PlayerValues!A:A,match(IFNA(vlookup(B1416,'Special Names'!A:B,2,FALSE),B1416),PlayerValues!E:E,0)),"N/A")</f>
        <v>16197</v>
      </c>
      <c r="B1416" s="4" t="s">
        <v>726</v>
      </c>
      <c r="C1416" s="4" t="s">
        <v>287</v>
      </c>
      <c r="D1416" s="94">
        <v>1095.0</v>
      </c>
    </row>
    <row r="1417">
      <c r="A1417" s="40">
        <f t="array" ref="A1417">IFNA(index(PlayerValues!A:A,match(IFNA(vlookup(B1417,'Special Names'!A:B,2,FALSE),B1417),PlayerValues!E:E,0)),"N/A")</f>
        <v>17109</v>
      </c>
      <c r="B1417" s="4" t="s">
        <v>707</v>
      </c>
      <c r="C1417" s="4" t="s">
        <v>298</v>
      </c>
      <c r="D1417" s="94">
        <v>1462.0</v>
      </c>
    </row>
    <row r="1418">
      <c r="A1418" s="40">
        <f t="array" ref="A1418">IFNA(index(PlayerValues!A:A,match(IFNA(vlookup(B1418,'Special Names'!A:B,2,FALSE),B1418),PlayerValues!E:E,0)),"N/A")</f>
        <v>13610</v>
      </c>
      <c r="B1418" s="4" t="s">
        <v>825</v>
      </c>
      <c r="C1418" s="4" t="s">
        <v>278</v>
      </c>
      <c r="D1418" s="94">
        <v>1082.0</v>
      </c>
    </row>
    <row r="1419">
      <c r="A1419" s="40">
        <f t="array" ref="A1419">IFNA(index(PlayerValues!A:A,match(IFNA(vlookup(B1419,'Special Names'!A:B,2,FALSE),B1419),PlayerValues!E:E,0)),"N/A")</f>
        <v>15288</v>
      </c>
      <c r="B1419" s="4" t="s">
        <v>700</v>
      </c>
      <c r="C1419" s="4" t="s">
        <v>287</v>
      </c>
      <c r="D1419" s="94">
        <v>1078.0</v>
      </c>
    </row>
    <row r="1420">
      <c r="A1420" s="40">
        <f t="array" ref="A1420">IFNA(index(PlayerValues!A:A,match(IFNA(vlookup(B1420,'Special Names'!A:B,2,FALSE),B1420),PlayerValues!E:E,0)),"N/A")</f>
        <v>17175</v>
      </c>
      <c r="B1420" s="4" t="s">
        <v>747</v>
      </c>
      <c r="C1420" s="4" t="s">
        <v>287</v>
      </c>
      <c r="D1420" s="94">
        <v>1074.0</v>
      </c>
    </row>
    <row r="1421">
      <c r="A1421" s="40">
        <f t="array" ref="A1421">IFNA(index(PlayerValues!A:A,match(IFNA(vlookup(B1421,'Special Names'!A:B,2,FALSE),B1421),PlayerValues!E:E,0)),"N/A")</f>
        <v>15717</v>
      </c>
      <c r="B1421" s="4" t="s">
        <v>745</v>
      </c>
      <c r="C1421" s="4" t="s">
        <v>278</v>
      </c>
      <c r="D1421" s="94">
        <v>1071.0</v>
      </c>
    </row>
    <row r="1422">
      <c r="A1422" s="40">
        <f t="array" ref="A1422">IFNA(index(PlayerValues!A:A,match(IFNA(vlookup(B1422,'Special Names'!A:B,2,FALSE),B1422),PlayerValues!E:E,0)),"N/A")</f>
        <v>16219</v>
      </c>
      <c r="B1422" s="4" t="s">
        <v>739</v>
      </c>
      <c r="C1422" s="4" t="s">
        <v>298</v>
      </c>
      <c r="D1422" s="94">
        <v>1436.0</v>
      </c>
    </row>
    <row r="1423">
      <c r="A1423" s="40">
        <f t="array" ref="A1423">IFNA(index(PlayerValues!A:A,match(IFNA(vlookup(B1423,'Special Names'!A:B,2,FALSE),B1423),PlayerValues!E:E,0)),"N/A")</f>
        <v>16640</v>
      </c>
      <c r="B1423" s="4" t="s">
        <v>712</v>
      </c>
      <c r="C1423" s="4" t="s">
        <v>287</v>
      </c>
      <c r="D1423" s="94">
        <v>1061.0</v>
      </c>
    </row>
    <row r="1424">
      <c r="A1424" s="40">
        <f t="array" ref="A1424">IFNA(index(PlayerValues!A:A,match(IFNA(vlookup(B1424,'Special Names'!A:B,2,FALSE),B1424),PlayerValues!E:E,0)),"N/A")</f>
        <v>15718</v>
      </c>
      <c r="B1424" s="4" t="s">
        <v>753</v>
      </c>
      <c r="C1424" s="4" t="s">
        <v>278</v>
      </c>
      <c r="D1424" s="94">
        <v>1058.0</v>
      </c>
    </row>
    <row r="1425">
      <c r="A1425" s="40">
        <f t="array" ref="A1425">IFNA(index(PlayerValues!A:A,match(IFNA(vlookup(B1425,'Special Names'!A:B,2,FALSE),B1425),PlayerValues!E:E,0)),"N/A")</f>
        <v>16387</v>
      </c>
      <c r="B1425" s="4" t="s">
        <v>646</v>
      </c>
      <c r="C1425" s="4" t="s">
        <v>278</v>
      </c>
      <c r="D1425" s="94">
        <v>1057.0</v>
      </c>
    </row>
    <row r="1426">
      <c r="A1426" s="40">
        <f t="array" ref="A1426">IFNA(index(PlayerValues!A:A,match(IFNA(vlookup(B1426,'Special Names'!A:B,2,FALSE),B1426),PlayerValues!E:E,0)),"N/A")</f>
        <v>15720</v>
      </c>
      <c r="B1426" s="4" t="s">
        <v>795</v>
      </c>
      <c r="C1426" s="4" t="s">
        <v>278</v>
      </c>
      <c r="D1426" s="94">
        <v>1048.0</v>
      </c>
    </row>
    <row r="1427">
      <c r="A1427" s="40">
        <f t="array" ref="A1427">IFNA(index(PlayerValues!A:A,match(IFNA(vlookup(B1427,'Special Names'!A:B,2,FALSE),B1427),PlayerValues!E:E,0)),"N/A")</f>
        <v>15693</v>
      </c>
      <c r="B1427" s="4" t="s">
        <v>755</v>
      </c>
      <c r="C1427" s="4" t="s">
        <v>283</v>
      </c>
      <c r="D1427" s="94">
        <v>1045.0</v>
      </c>
    </row>
    <row r="1428">
      <c r="A1428" s="40">
        <f t="array" ref="A1428">IFNA(index(PlayerValues!A:A,match(IFNA(vlookup(B1428,'Special Names'!A:B,2,FALSE),B1428),PlayerValues!E:E,0)),"N/A")</f>
        <v>16393</v>
      </c>
      <c r="B1428" s="4" t="s">
        <v>768</v>
      </c>
      <c r="C1428" s="4" t="s">
        <v>287</v>
      </c>
      <c r="D1428" s="94">
        <v>1038.0</v>
      </c>
    </row>
    <row r="1429">
      <c r="A1429" s="40">
        <f t="array" ref="A1429">IFNA(index(PlayerValues!A:A,match(IFNA(vlookup(B1429,'Special Names'!A:B,2,FALSE),B1429),PlayerValues!E:E,0)),"N/A")</f>
        <v>15785</v>
      </c>
      <c r="B1429" s="4" t="s">
        <v>763</v>
      </c>
      <c r="C1429" s="4" t="s">
        <v>287</v>
      </c>
      <c r="D1429" s="94">
        <v>1034.0</v>
      </c>
    </row>
    <row r="1430">
      <c r="A1430" s="40">
        <f t="array" ref="A1430">IFNA(index(PlayerValues!A:A,match(IFNA(vlookup(B1430,'Special Names'!A:B,2,FALSE),B1430),PlayerValues!E:E,0)),"N/A")</f>
        <v>14118</v>
      </c>
      <c r="B1430" s="4" t="s">
        <v>771</v>
      </c>
      <c r="C1430" s="4" t="s">
        <v>287</v>
      </c>
      <c r="D1430" s="94">
        <v>1033.0</v>
      </c>
    </row>
    <row r="1431">
      <c r="A1431" s="40">
        <f t="array" ref="A1431">IFNA(index(PlayerValues!A:A,match(IFNA(vlookup(B1431,'Special Names'!A:B,2,FALSE),B1431),PlayerValues!E:E,0)),"N/A")</f>
        <v>14849</v>
      </c>
      <c r="B1431" s="4" t="s">
        <v>733</v>
      </c>
      <c r="C1431" s="4" t="s">
        <v>287</v>
      </c>
      <c r="D1431" s="94">
        <v>1033.0</v>
      </c>
    </row>
    <row r="1432">
      <c r="A1432" s="40">
        <f t="array" ref="A1432">IFNA(index(PlayerValues!A:A,match(IFNA(vlookup(B1432,'Special Names'!A:B,2,FALSE),B1432),PlayerValues!E:E,0)),"N/A")</f>
        <v>15626</v>
      </c>
      <c r="B1432" s="4" t="s">
        <v>766</v>
      </c>
      <c r="C1432" s="4" t="s">
        <v>298</v>
      </c>
      <c r="D1432" s="94">
        <v>1394.0</v>
      </c>
    </row>
    <row r="1433">
      <c r="A1433" s="40">
        <f t="array" ref="A1433">IFNA(index(PlayerValues!A:A,match(IFNA(vlookup(B1433,'Special Names'!A:B,2,FALSE),B1433),PlayerValues!E:E,0)),"N/A")</f>
        <v>16637</v>
      </c>
      <c r="B1433" s="4" t="s">
        <v>736</v>
      </c>
      <c r="C1433" s="4" t="s">
        <v>287</v>
      </c>
      <c r="D1433" s="94">
        <v>1020.0</v>
      </c>
    </row>
    <row r="1434">
      <c r="A1434" s="40">
        <f t="array" ref="A1434">IFNA(index(PlayerValues!A:A,match(IFNA(vlookup(B1434,'Special Names'!A:B,2,FALSE),B1434),PlayerValues!E:E,0)),"N/A")</f>
        <v>16159</v>
      </c>
      <c r="B1434" s="4" t="s">
        <v>819</v>
      </c>
      <c r="C1434" s="4" t="s">
        <v>283</v>
      </c>
      <c r="D1434" s="94">
        <v>1009.0</v>
      </c>
    </row>
    <row r="1435">
      <c r="A1435" s="40">
        <f t="array" ref="A1435">IFNA(index(PlayerValues!A:A,match(IFNA(vlookup(B1435,'Special Names'!A:B,2,FALSE),B1435),PlayerValues!E:E,0)),"N/A")</f>
        <v>17057</v>
      </c>
      <c r="B1435" s="4" t="s">
        <v>708</v>
      </c>
      <c r="C1435" s="4" t="s">
        <v>278</v>
      </c>
      <c r="D1435" s="94">
        <v>1006.0</v>
      </c>
    </row>
    <row r="1436">
      <c r="A1436" s="40">
        <f t="array" ref="A1436">IFNA(index(PlayerValues!A:A,match(IFNA(vlookup(B1436,'Special Names'!A:B,2,FALSE),B1436),PlayerValues!E:E,0)),"N/A")</f>
        <v>16648</v>
      </c>
      <c r="B1436" s="4" t="s">
        <v>748</v>
      </c>
      <c r="C1436" s="4" t="s">
        <v>298</v>
      </c>
      <c r="D1436" s="94">
        <v>1365.0</v>
      </c>
    </row>
    <row r="1437">
      <c r="A1437" s="40">
        <f t="array" ref="A1437">IFNA(index(PlayerValues!A:A,match(IFNA(vlookup(B1437,'Special Names'!A:B,2,FALSE),B1437),PlayerValues!E:E,0)),"N/A")</f>
        <v>16957</v>
      </c>
      <c r="B1437" s="4" t="s">
        <v>806</v>
      </c>
      <c r="C1437" s="4" t="s">
        <v>278</v>
      </c>
      <c r="D1437" s="94">
        <v>992.0</v>
      </c>
    </row>
    <row r="1438">
      <c r="A1438" s="40">
        <f t="array" ref="A1438">IFNA(index(PlayerValues!A:A,match(IFNA(vlookup(B1438,'Special Names'!A:B,2,FALSE),B1438),PlayerValues!E:E,0)),"N/A")</f>
        <v>17467</v>
      </c>
      <c r="B1438" s="4" t="s">
        <v>575</v>
      </c>
      <c r="C1438" s="4" t="s">
        <v>283</v>
      </c>
      <c r="D1438" s="94">
        <v>992.0</v>
      </c>
    </row>
    <row r="1439">
      <c r="A1439" s="40">
        <f t="array" ref="A1439">IFNA(index(PlayerValues!A:A,match(IFNA(vlookup(B1439,'Special Names'!A:B,2,FALSE),B1439),PlayerValues!E:E,0)),"N/A")</f>
        <v>16168</v>
      </c>
      <c r="B1439" s="4" t="s">
        <v>738</v>
      </c>
      <c r="C1439" s="4" t="s">
        <v>278</v>
      </c>
      <c r="D1439" s="94">
        <v>988.0</v>
      </c>
    </row>
    <row r="1440">
      <c r="A1440" s="40">
        <f t="array" ref="A1440">IFNA(index(PlayerValues!A:A,match(IFNA(vlookup(B1440,'Special Names'!A:B,2,FALSE),B1440),PlayerValues!E:E,0)),"N/A")</f>
        <v>9064</v>
      </c>
      <c r="B1440" s="4" t="s">
        <v>761</v>
      </c>
      <c r="C1440" s="4" t="s">
        <v>283</v>
      </c>
      <c r="D1440" s="94">
        <v>984.0</v>
      </c>
    </row>
    <row r="1441">
      <c r="A1441" s="40">
        <f t="array" ref="A1441">IFNA(index(PlayerValues!A:A,match(IFNA(vlookup(B1441,'Special Names'!A:B,2,FALSE),B1441),PlayerValues!E:E,0)),"N/A")</f>
        <v>14067</v>
      </c>
      <c r="B1441" s="4" t="s">
        <v>735</v>
      </c>
      <c r="C1441" s="4" t="s">
        <v>283</v>
      </c>
      <c r="D1441" s="94">
        <v>983.0</v>
      </c>
    </row>
    <row r="1442">
      <c r="A1442" s="40">
        <f t="array" ref="A1442">IFNA(index(PlayerValues!A:A,match(IFNA(vlookup(B1442,'Special Names'!A:B,2,FALSE),B1442),PlayerValues!E:E,0)),"N/A")</f>
        <v>15330</v>
      </c>
      <c r="B1442" s="4" t="s">
        <v>749</v>
      </c>
      <c r="C1442" s="4" t="s">
        <v>298</v>
      </c>
      <c r="D1442" s="94">
        <v>1341.0</v>
      </c>
    </row>
    <row r="1443">
      <c r="A1443" s="40">
        <f t="array" ref="A1443">IFNA(index(PlayerValues!A:A,match(IFNA(vlookup(B1443,'Special Names'!A:B,2,FALSE),B1443),PlayerValues!E:E,0)),"N/A")</f>
        <v>16858</v>
      </c>
      <c r="B1443" s="4" t="s">
        <v>754</v>
      </c>
      <c r="C1443" s="4" t="s">
        <v>287</v>
      </c>
      <c r="D1443" s="94">
        <v>973.0</v>
      </c>
    </row>
    <row r="1444">
      <c r="A1444" s="40">
        <f t="array" ref="A1444">IFNA(index(PlayerValues!A:A,match(IFNA(vlookup(B1444,'Special Names'!A:B,2,FALSE),B1444),PlayerValues!E:E,0)),"N/A")</f>
        <v>13143</v>
      </c>
      <c r="B1444" s="4" t="s">
        <v>786</v>
      </c>
      <c r="C1444" s="4" t="s">
        <v>278</v>
      </c>
      <c r="D1444" s="94">
        <v>968.0</v>
      </c>
    </row>
    <row r="1445">
      <c r="A1445" s="40">
        <f t="array" ref="A1445">IFNA(index(PlayerValues!A:A,match(IFNA(vlookup(B1445,'Special Names'!A:B,2,FALSE),B1445),PlayerValues!E:E,0)),"N/A")</f>
        <v>14057</v>
      </c>
      <c r="B1445" s="4" t="s">
        <v>765</v>
      </c>
      <c r="C1445" s="4" t="s">
        <v>283</v>
      </c>
      <c r="D1445" s="94">
        <v>954.0</v>
      </c>
    </row>
    <row r="1446">
      <c r="A1446" s="40">
        <f t="array" ref="A1446">IFNA(index(PlayerValues!A:A,match(IFNA(vlookup(B1446,'Special Names'!A:B,2,FALSE),B1446),PlayerValues!E:E,0)),"N/A")</f>
        <v>16773</v>
      </c>
      <c r="B1446" s="4" t="s">
        <v>783</v>
      </c>
      <c r="C1446" s="4" t="s">
        <v>278</v>
      </c>
      <c r="D1446" s="94">
        <v>954.0</v>
      </c>
    </row>
    <row r="1447">
      <c r="A1447" s="40">
        <f t="array" ref="A1447">IFNA(index(PlayerValues!A:A,match(IFNA(vlookup(B1447,'Special Names'!A:B,2,FALSE),B1447),PlayerValues!E:E,0)),"N/A")</f>
        <v>16624</v>
      </c>
      <c r="B1447" s="4" t="s">
        <v>796</v>
      </c>
      <c r="C1447" s="4" t="s">
        <v>287</v>
      </c>
      <c r="D1447" s="94">
        <v>950.0</v>
      </c>
    </row>
    <row r="1448">
      <c r="A1448" s="40">
        <f t="array" ref="A1448">IFNA(index(PlayerValues!A:A,match(IFNA(vlookup(B1448,'Special Names'!A:B,2,FALSE),B1448),PlayerValues!E:E,0)),"N/A")</f>
        <v>16205</v>
      </c>
      <c r="B1448" s="4" t="s">
        <v>742</v>
      </c>
      <c r="C1448" s="4" t="s">
        <v>287</v>
      </c>
      <c r="D1448" s="94">
        <v>942.0</v>
      </c>
    </row>
    <row r="1449">
      <c r="A1449" s="40">
        <f t="array" ref="A1449">IFNA(index(PlayerValues!A:A,match(IFNA(vlookup(B1449,'Special Names'!A:B,2,FALSE),B1449),PlayerValues!E:E,0)),"N/A")</f>
        <v>13595</v>
      </c>
      <c r="B1449" s="4" t="s">
        <v>818</v>
      </c>
      <c r="C1449" s="4" t="s">
        <v>283</v>
      </c>
      <c r="D1449" s="94">
        <v>938.0</v>
      </c>
    </row>
    <row r="1450">
      <c r="A1450" s="40">
        <f t="array" ref="A1450">IFNA(index(PlayerValues!A:A,match(IFNA(vlookup(B1450,'Special Names'!A:B,2,FALSE),B1450),PlayerValues!E:E,0)),"N/A")</f>
        <v>15766</v>
      </c>
      <c r="B1450" s="4" t="s">
        <v>759</v>
      </c>
      <c r="C1450" s="4" t="s">
        <v>287</v>
      </c>
      <c r="D1450" s="94">
        <v>938.0</v>
      </c>
    </row>
    <row r="1451">
      <c r="A1451" s="40">
        <f t="array" ref="A1451">IFNA(index(PlayerValues!A:A,match(IFNA(vlookup(B1451,'Special Names'!A:B,2,FALSE),B1451),PlayerValues!E:E,0)),"N/A")</f>
        <v>13156</v>
      </c>
      <c r="B1451" s="4" t="s">
        <v>835</v>
      </c>
      <c r="C1451" s="4" t="s">
        <v>287</v>
      </c>
      <c r="D1451" s="94">
        <v>933.0</v>
      </c>
    </row>
    <row r="1452">
      <c r="A1452" s="40">
        <f t="array" ref="A1452">IFNA(index(PlayerValues!A:A,match(IFNA(vlookup(B1452,'Special Names'!A:B,2,FALSE),B1452),PlayerValues!E:E,0)),"N/A")</f>
        <v>15109</v>
      </c>
      <c r="B1452" s="4" t="s">
        <v>728</v>
      </c>
      <c r="C1452" s="4" t="s">
        <v>287</v>
      </c>
      <c r="D1452" s="94">
        <v>933.0</v>
      </c>
    </row>
    <row r="1453">
      <c r="A1453" s="40">
        <f t="array" ref="A1453">IFNA(index(PlayerValues!A:A,match(IFNA(vlookup(B1453,'Special Names'!A:B,2,FALSE),B1453),PlayerValues!E:E,0)),"N/A")</f>
        <v>13133</v>
      </c>
      <c r="B1453" s="4" t="s">
        <v>764</v>
      </c>
      <c r="C1453" s="4" t="s">
        <v>278</v>
      </c>
      <c r="D1453" s="94">
        <v>932.0</v>
      </c>
    </row>
    <row r="1454">
      <c r="A1454" s="40">
        <f t="array" ref="A1454">IFNA(index(PlayerValues!A:A,match(IFNA(vlookup(B1454,'Special Names'!A:B,2,FALSE),B1454),PlayerValues!E:E,0)),"N/A")</f>
        <v>16176</v>
      </c>
      <c r="B1454" s="4" t="s">
        <v>812</v>
      </c>
      <c r="C1454" s="4" t="s">
        <v>278</v>
      </c>
      <c r="D1454" s="94">
        <v>919.0</v>
      </c>
    </row>
    <row r="1455">
      <c r="A1455" s="40">
        <f t="array" ref="A1455">IFNA(index(PlayerValues!A:A,match(IFNA(vlookup(B1455,'Special Names'!A:B,2,FALSE),B1455),PlayerValues!E:E,0)),"N/A")</f>
        <v>11247</v>
      </c>
      <c r="B1455" s="4" t="s">
        <v>816</v>
      </c>
      <c r="C1455" s="4" t="s">
        <v>298</v>
      </c>
      <c r="D1455" s="94">
        <v>1286.0</v>
      </c>
    </row>
    <row r="1456">
      <c r="A1456" s="40">
        <f t="array" ref="A1456">IFNA(index(PlayerValues!A:A,match(IFNA(vlookup(B1456,'Special Names'!A:B,2,FALSE),B1456),PlayerValues!E:E,0)),"N/A")</f>
        <v>14852</v>
      </c>
      <c r="B1456" s="4" t="s">
        <v>837</v>
      </c>
      <c r="C1456" s="4" t="s">
        <v>278</v>
      </c>
      <c r="D1456" s="94">
        <v>915.0</v>
      </c>
    </row>
    <row r="1457">
      <c r="A1457" s="40">
        <f t="array" ref="A1457">IFNA(index(PlayerValues!A:A,match(IFNA(vlookup(B1457,'Special Names'!A:B,2,FALSE),B1457),PlayerValues!E:E,0)),"N/A")</f>
        <v>14079</v>
      </c>
      <c r="B1457" s="4" t="s">
        <v>830</v>
      </c>
      <c r="C1457" s="4" t="s">
        <v>278</v>
      </c>
      <c r="D1457" s="94">
        <v>913.0</v>
      </c>
    </row>
    <row r="1458">
      <c r="A1458" s="40">
        <f t="array" ref="A1458">IFNA(index(PlayerValues!A:A,match(IFNA(vlookup(B1458,'Special Names'!A:B,2,FALSE),B1458),PlayerValues!E:E,0)),"N/A")</f>
        <v>16608</v>
      </c>
      <c r="B1458" s="4" t="s">
        <v>629</v>
      </c>
      <c r="C1458" s="4" t="s">
        <v>278</v>
      </c>
      <c r="D1458" s="94">
        <v>912.0</v>
      </c>
    </row>
    <row r="1459">
      <c r="A1459" s="40">
        <f t="array" ref="A1459">IFNA(index(PlayerValues!A:A,match(IFNA(vlookup(B1459,'Special Names'!A:B,2,FALSE),B1459),PlayerValues!E:E,0)),"N/A")</f>
        <v>13763</v>
      </c>
      <c r="B1459" s="4" t="s">
        <v>831</v>
      </c>
      <c r="C1459" s="4" t="s">
        <v>298</v>
      </c>
      <c r="D1459" s="94">
        <v>1282.0</v>
      </c>
    </row>
    <row r="1460">
      <c r="A1460" s="40">
        <f t="array" ref="A1460">IFNA(index(PlayerValues!A:A,match(IFNA(vlookup(B1460,'Special Names'!A:B,2,FALSE),B1460),PlayerValues!E:E,0)),"N/A")</f>
        <v>15283</v>
      </c>
      <c r="B1460" s="4" t="s">
        <v>844</v>
      </c>
      <c r="C1460" s="4" t="s">
        <v>287</v>
      </c>
      <c r="D1460" s="94">
        <v>911.0</v>
      </c>
    </row>
    <row r="1461">
      <c r="A1461" s="40">
        <f t="array" ref="A1461">IFNA(index(PlayerValues!A:A,match(IFNA(vlookup(B1461,'Special Names'!A:B,2,FALSE),B1461),PlayerValues!E:E,0)),"N/A")</f>
        <v>17337</v>
      </c>
      <c r="B1461" s="4" t="s">
        <v>793</v>
      </c>
      <c r="C1461" s="4" t="s">
        <v>278</v>
      </c>
      <c r="D1461" s="94">
        <v>910.0</v>
      </c>
    </row>
    <row r="1462">
      <c r="A1462" s="40">
        <f t="array" ref="A1462">IFNA(index(PlayerValues!A:A,match(IFNA(vlookup(B1462,'Special Names'!A:B,2,FALSE),B1462),PlayerValues!E:E,0)),"N/A")</f>
        <v>14864</v>
      </c>
      <c r="B1462" s="4" t="s">
        <v>789</v>
      </c>
      <c r="C1462" s="4" t="s">
        <v>287</v>
      </c>
      <c r="D1462" s="94">
        <v>908.0</v>
      </c>
    </row>
    <row r="1463">
      <c r="A1463" s="40">
        <f t="array" ref="A1463">IFNA(index(PlayerValues!A:A,match(IFNA(vlookup(B1463,'Special Names'!A:B,2,FALSE),B1463),PlayerValues!E:E,0)),"N/A")</f>
        <v>12785</v>
      </c>
      <c r="B1463" s="4" t="s">
        <v>772</v>
      </c>
      <c r="C1463" s="4" t="s">
        <v>287</v>
      </c>
      <c r="D1463" s="94">
        <v>907.0</v>
      </c>
    </row>
    <row r="1464">
      <c r="A1464" s="40">
        <f t="array" ref="A1464">IFNA(index(PlayerValues!A:A,match(IFNA(vlookup(B1464,'Special Names'!A:B,2,FALSE),B1464),PlayerValues!E:E,0)),"N/A")</f>
        <v>15723</v>
      </c>
      <c r="B1464" s="4" t="s">
        <v>798</v>
      </c>
      <c r="C1464" s="4" t="s">
        <v>278</v>
      </c>
      <c r="D1464" s="94">
        <v>895.0</v>
      </c>
    </row>
    <row r="1465">
      <c r="A1465" s="40">
        <f t="array" ref="A1465">IFNA(index(PlayerValues!A:A,match(IFNA(vlookup(B1465,'Special Names'!A:B,2,FALSE),B1465),PlayerValues!E:E,0)),"N/A")</f>
        <v>13157</v>
      </c>
      <c r="B1465" s="4" t="s">
        <v>836</v>
      </c>
      <c r="C1465" s="4" t="s">
        <v>287</v>
      </c>
      <c r="D1465" s="94">
        <v>892.0</v>
      </c>
    </row>
    <row r="1466">
      <c r="A1466" s="40">
        <f t="array" ref="A1466">IFNA(index(PlayerValues!A:A,match(IFNA(vlookup(B1466,'Special Names'!A:B,2,FALSE),B1466),PlayerValues!E:E,0)),"N/A")</f>
        <v>16599</v>
      </c>
      <c r="B1466" s="4" t="s">
        <v>737</v>
      </c>
      <c r="C1466" s="4" t="s">
        <v>278</v>
      </c>
      <c r="D1466" s="94">
        <v>888.0</v>
      </c>
    </row>
    <row r="1467">
      <c r="A1467" s="40">
        <f t="array" ref="A1467">IFNA(index(PlayerValues!A:A,match(IFNA(vlookup(B1467,'Special Names'!A:B,2,FALSE),B1467),PlayerValues!E:E,0)),"N/A")</f>
        <v>11232</v>
      </c>
      <c r="B1467" s="4" t="s">
        <v>826</v>
      </c>
      <c r="C1467" s="4" t="s">
        <v>287</v>
      </c>
      <c r="D1467" s="94">
        <v>884.0</v>
      </c>
    </row>
    <row r="1468">
      <c r="A1468" s="40">
        <f t="array" ref="A1468">IFNA(index(PlayerValues!A:A,match(IFNA(vlookup(B1468,'Special Names'!A:B,2,FALSE),B1468),PlayerValues!E:E,0)),"N/A")</f>
        <v>15796</v>
      </c>
      <c r="B1468" s="4" t="s">
        <v>794</v>
      </c>
      <c r="C1468" s="4" t="s">
        <v>298</v>
      </c>
      <c r="D1468" s="94">
        <v>1251.0</v>
      </c>
    </row>
    <row r="1469">
      <c r="A1469" s="40">
        <f t="array" ref="A1469">IFNA(index(PlayerValues!A:A,match(IFNA(vlookup(B1469,'Special Names'!A:B,2,FALSE),B1469),PlayerValues!E:E,0)),"N/A")</f>
        <v>15263</v>
      </c>
      <c r="B1469" s="4" t="s">
        <v>804</v>
      </c>
      <c r="C1469" s="4" t="s">
        <v>278</v>
      </c>
      <c r="D1469" s="94">
        <v>872.0</v>
      </c>
    </row>
    <row r="1470">
      <c r="A1470" s="40">
        <f t="array" ref="A1470">IFNA(index(PlayerValues!A:A,match(IFNA(vlookup(B1470,'Special Names'!A:B,2,FALSE),B1470),PlayerValues!E:E,0)),"N/A")</f>
        <v>16416</v>
      </c>
      <c r="B1470" s="4" t="s">
        <v>752</v>
      </c>
      <c r="C1470" s="4" t="s">
        <v>287</v>
      </c>
      <c r="D1470" s="94">
        <v>864.0</v>
      </c>
    </row>
    <row r="1471">
      <c r="A1471" s="40">
        <f t="array" ref="A1471">IFNA(index(PlayerValues!A:A,match(IFNA(vlookup(B1471,'Special Names'!A:B,2,FALSE),B1471),PlayerValues!E:E,0)),"N/A")</f>
        <v>14799</v>
      </c>
      <c r="B1471" s="4" t="s">
        <v>829</v>
      </c>
      <c r="C1471" s="4" t="s">
        <v>278</v>
      </c>
      <c r="D1471" s="94">
        <v>861.0</v>
      </c>
    </row>
    <row r="1472">
      <c r="A1472" s="40">
        <f t="array" ref="A1472">IFNA(index(PlayerValues!A:A,match(IFNA(vlookup(B1472,'Special Names'!A:B,2,FALSE),B1472),PlayerValues!E:E,0)),"N/A")</f>
        <v>16686</v>
      </c>
      <c r="B1472" s="4" t="s">
        <v>805</v>
      </c>
      <c r="C1472" s="4" t="s">
        <v>287</v>
      </c>
      <c r="D1472" s="94">
        <v>859.0</v>
      </c>
    </row>
    <row r="1473">
      <c r="A1473" s="40">
        <f t="array" ref="A1473">IFNA(index(PlayerValues!A:A,match(IFNA(vlookup(B1473,'Special Names'!A:B,2,FALSE),B1473),PlayerValues!E:E,0)),"N/A")</f>
        <v>16625</v>
      </c>
      <c r="B1473" s="4" t="s">
        <v>778</v>
      </c>
      <c r="C1473" s="4" t="s">
        <v>287</v>
      </c>
      <c r="D1473" s="94">
        <v>857.0</v>
      </c>
    </row>
    <row r="1474">
      <c r="A1474" s="40">
        <f t="array" ref="A1474">IFNA(index(PlayerValues!A:A,match(IFNA(vlookup(B1474,'Special Names'!A:B,2,FALSE),B1474),PlayerValues!E:E,0)),"N/A")</f>
        <v>13172</v>
      </c>
      <c r="B1474" s="4" t="s">
        <v>840</v>
      </c>
      <c r="C1474" s="4" t="s">
        <v>287</v>
      </c>
      <c r="D1474" s="94">
        <v>854.0</v>
      </c>
    </row>
    <row r="1475">
      <c r="A1475" s="40">
        <f t="array" ref="A1475">IFNA(index(PlayerValues!A:A,match(IFNA(vlookup(B1475,'Special Names'!A:B,2,FALSE),B1475),PlayerValues!E:E,0)),"N/A")</f>
        <v>15795</v>
      </c>
      <c r="B1475" s="4" t="s">
        <v>669</v>
      </c>
      <c r="C1475" s="4" t="s">
        <v>298</v>
      </c>
      <c r="D1475" s="94">
        <v>1225.0</v>
      </c>
    </row>
    <row r="1476">
      <c r="A1476" s="40">
        <f t="array" ref="A1476">IFNA(index(PlayerValues!A:A,match(IFNA(vlookup(B1476,'Special Names'!A:B,2,FALSE),B1476),PlayerValues!E:E,0)),"N/A")</f>
        <v>15714</v>
      </c>
      <c r="B1476" s="4" t="s">
        <v>775</v>
      </c>
      <c r="C1476" s="4" t="s">
        <v>278</v>
      </c>
      <c r="D1476" s="94">
        <v>850.0</v>
      </c>
    </row>
    <row r="1477">
      <c r="A1477" s="40">
        <f t="array" ref="A1477">IFNA(index(PlayerValues!A:A,match(IFNA(vlookup(B1477,'Special Names'!A:B,2,FALSE),B1477),PlayerValues!E:E,0)),"N/A")</f>
        <v>16751</v>
      </c>
      <c r="B1477" s="4" t="s">
        <v>762</v>
      </c>
      <c r="C1477" s="4" t="s">
        <v>287</v>
      </c>
      <c r="D1477" s="94">
        <v>850.0</v>
      </c>
    </row>
    <row r="1478">
      <c r="A1478" s="40">
        <f t="array" ref="A1478">IFNA(index(PlayerValues!A:A,match(IFNA(vlookup(B1478,'Special Names'!A:B,2,FALSE),B1478),PlayerValues!E:E,0)),"N/A")</f>
        <v>15271</v>
      </c>
      <c r="B1478" s="4" t="s">
        <v>741</v>
      </c>
      <c r="C1478" s="4" t="s">
        <v>278</v>
      </c>
      <c r="D1478" s="94">
        <v>843.0</v>
      </c>
    </row>
    <row r="1479">
      <c r="A1479" s="40">
        <f t="array" ref="A1479">IFNA(index(PlayerValues!A:A,match(IFNA(vlookup(B1479,'Special Names'!A:B,2,FALSE),B1479),PlayerValues!E:E,0)),"N/A")</f>
        <v>17488</v>
      </c>
      <c r="B1479" s="4" t="s">
        <v>845</v>
      </c>
      <c r="C1479" s="4" t="s">
        <v>278</v>
      </c>
      <c r="D1479" s="94">
        <v>838.0</v>
      </c>
    </row>
    <row r="1480">
      <c r="A1480" s="40">
        <f t="array" ref="A1480">IFNA(index(PlayerValues!A:A,match(IFNA(vlookup(B1480,'Special Names'!A:B,2,FALSE),B1480),PlayerValues!E:E,0)),"N/A")</f>
        <v>16623</v>
      </c>
      <c r="B1480" s="4" t="s">
        <v>803</v>
      </c>
      <c r="C1480" s="4" t="s">
        <v>287</v>
      </c>
      <c r="D1480" s="94">
        <v>835.0</v>
      </c>
    </row>
    <row r="1481">
      <c r="A1481" s="40">
        <f t="array" ref="A1481">IFNA(index(PlayerValues!A:A,match(IFNA(vlookup(B1481,'Special Names'!A:B,2,FALSE),B1481),PlayerValues!E:E,0)),"N/A")</f>
        <v>15804</v>
      </c>
      <c r="B1481" s="4" t="s">
        <v>821</v>
      </c>
      <c r="C1481" s="4" t="s">
        <v>298</v>
      </c>
      <c r="D1481" s="94">
        <v>1206.0</v>
      </c>
    </row>
    <row r="1482">
      <c r="A1482" s="40">
        <f t="array" ref="A1482">IFNA(index(PlayerValues!A:A,match(IFNA(vlookup(B1482,'Special Names'!A:B,2,FALSE),B1482),PlayerValues!E:E,0)),"N/A")</f>
        <v>10413</v>
      </c>
      <c r="B1482" s="4" t="s">
        <v>811</v>
      </c>
      <c r="C1482" s="4" t="s">
        <v>283</v>
      </c>
      <c r="D1482" s="94">
        <v>823.0</v>
      </c>
    </row>
    <row r="1483">
      <c r="A1483" s="40">
        <f t="array" ref="A1483">IFNA(index(PlayerValues!A:A,match(IFNA(vlookup(B1483,'Special Names'!A:B,2,FALSE),B1483),PlayerValues!E:E,0)),"N/A")</f>
        <v>14358</v>
      </c>
      <c r="B1483" s="4" t="s">
        <v>813</v>
      </c>
      <c r="C1483" s="4" t="s">
        <v>283</v>
      </c>
      <c r="D1483" s="94">
        <v>821.0</v>
      </c>
    </row>
    <row r="1484">
      <c r="A1484" s="40">
        <f t="array" ref="A1484">IFNA(index(PlayerValues!A:A,match(IFNA(vlookup(B1484,'Special Names'!A:B,2,FALSE),B1484),PlayerValues!E:E,0)),"N/A")</f>
        <v>14805</v>
      </c>
      <c r="B1484" s="4" t="s">
        <v>770</v>
      </c>
      <c r="C1484" s="4" t="s">
        <v>278</v>
      </c>
      <c r="D1484" s="94">
        <v>807.0</v>
      </c>
    </row>
    <row r="1485">
      <c r="A1485" s="40">
        <f t="array" ref="A1485">IFNA(index(PlayerValues!A:A,match(IFNA(vlookup(B1485,'Special Names'!A:B,2,FALSE),B1485),PlayerValues!E:E,0)),"N/A")</f>
        <v>14209</v>
      </c>
      <c r="B1485" s="4" t="s">
        <v>809</v>
      </c>
      <c r="C1485" s="4" t="s">
        <v>298</v>
      </c>
      <c r="D1485" s="94">
        <v>1177.0</v>
      </c>
    </row>
    <row r="1486">
      <c r="A1486" s="40">
        <f t="array" ref="A1486">IFNA(index(PlayerValues!A:A,match(IFNA(vlookup(B1486,'Special Names'!A:B,2,FALSE),B1486),PlayerValues!E:E,0)),"N/A")</f>
        <v>16606</v>
      </c>
      <c r="B1486" s="4" t="s">
        <v>743</v>
      </c>
      <c r="C1486" s="4" t="s">
        <v>278</v>
      </c>
      <c r="D1486" s="94">
        <v>795.0</v>
      </c>
    </row>
    <row r="1487">
      <c r="A1487" s="40">
        <f t="array" ref="A1487">IFNA(index(PlayerValues!A:A,match(IFNA(vlookup(B1487,'Special Names'!A:B,2,FALSE),B1487),PlayerValues!E:E,0)),"N/A")</f>
        <v>15285</v>
      </c>
      <c r="B1487" s="4" t="s">
        <v>792</v>
      </c>
      <c r="C1487" s="4" t="s">
        <v>287</v>
      </c>
      <c r="D1487" s="94">
        <v>794.0</v>
      </c>
    </row>
    <row r="1488">
      <c r="A1488" s="40">
        <f t="array" ref="A1488">IFNA(index(PlayerValues!A:A,match(IFNA(vlookup(B1488,'Special Names'!A:B,2,FALSE),B1488),PlayerValues!E:E,0)),"N/A")</f>
        <v>17282</v>
      </c>
      <c r="B1488" s="4" t="s">
        <v>833</v>
      </c>
      <c r="C1488" s="4" t="s">
        <v>283</v>
      </c>
      <c r="D1488" s="94">
        <v>781.0</v>
      </c>
    </row>
    <row r="1489">
      <c r="A1489" s="40">
        <f t="array" ref="A1489">IFNA(index(PlayerValues!A:A,match(IFNA(vlookup(B1489,'Special Names'!A:B,2,FALSE),B1489),PlayerValues!E:E,0)),"N/A")</f>
        <v>15965</v>
      </c>
      <c r="B1489" s="4" t="s">
        <v>791</v>
      </c>
      <c r="C1489" s="4" t="s">
        <v>278</v>
      </c>
      <c r="D1489" s="94">
        <v>780.0</v>
      </c>
    </row>
    <row r="1490">
      <c r="A1490" s="40">
        <f t="array" ref="A1490">IFNA(index(PlayerValues!A:A,match(IFNA(vlookup(B1490,'Special Names'!A:B,2,FALSE),B1490),PlayerValues!E:E,0)),"N/A")</f>
        <v>16413</v>
      </c>
      <c r="B1490" s="4" t="s">
        <v>781</v>
      </c>
      <c r="C1490" s="4" t="s">
        <v>287</v>
      </c>
      <c r="D1490" s="94">
        <v>778.0</v>
      </c>
    </row>
    <row r="1491">
      <c r="A1491" s="40">
        <f t="array" ref="A1491">IFNA(index(PlayerValues!A:A,match(IFNA(vlookup(B1491,'Special Names'!A:B,2,FALSE),B1491),PlayerValues!E:E,0)),"N/A")</f>
        <v>12658</v>
      </c>
      <c r="B1491" s="4" t="s">
        <v>823</v>
      </c>
      <c r="C1491" s="4" t="s">
        <v>287</v>
      </c>
      <c r="D1491" s="94">
        <v>773.0</v>
      </c>
    </row>
    <row r="1492">
      <c r="A1492" s="40">
        <f t="array" ref="A1492">IFNA(index(PlayerValues!A:A,match(IFNA(vlookup(B1492,'Special Names'!A:B,2,FALSE),B1492),PlayerValues!E:E,0)),"N/A")</f>
        <v>16678</v>
      </c>
      <c r="B1492" s="4" t="s">
        <v>758</v>
      </c>
      <c r="C1492" s="4" t="s">
        <v>278</v>
      </c>
      <c r="D1492" s="94">
        <v>769.0</v>
      </c>
    </row>
    <row r="1493">
      <c r="A1493" s="40">
        <f t="array" ref="A1493">IFNA(index(PlayerValues!A:A,match(IFNA(vlookup(B1493,'Special Names'!A:B,2,FALSE),B1493),PlayerValues!E:E,0)),"N/A")</f>
        <v>16632</v>
      </c>
      <c r="B1493" s="4" t="s">
        <v>842</v>
      </c>
      <c r="C1493" s="4" t="s">
        <v>287</v>
      </c>
      <c r="D1493" s="94">
        <v>764.0</v>
      </c>
    </row>
    <row r="1494">
      <c r="A1494" s="40">
        <f t="array" ref="A1494">IFNA(index(PlayerValues!A:A,match(IFNA(vlookup(B1494,'Special Names'!A:B,2,FALSE),B1494),PlayerValues!E:E,0)),"N/A")</f>
        <v>14223</v>
      </c>
      <c r="B1494" s="4" t="s">
        <v>785</v>
      </c>
      <c r="C1494" s="4" t="s">
        <v>278</v>
      </c>
      <c r="D1494" s="94">
        <v>760.0</v>
      </c>
    </row>
    <row r="1495">
      <c r="A1495" s="40">
        <f t="array" ref="A1495">IFNA(index(PlayerValues!A:A,match(IFNA(vlookup(B1495,'Special Names'!A:B,2,FALSE),B1495),PlayerValues!E:E,0)),"N/A")</f>
        <v>13176</v>
      </c>
      <c r="B1495" s="4" t="s">
        <v>807</v>
      </c>
      <c r="C1495" s="4" t="s">
        <v>287</v>
      </c>
      <c r="D1495" s="94">
        <v>759.0</v>
      </c>
    </row>
    <row r="1496">
      <c r="A1496" s="40">
        <f t="array" ref="A1496">IFNA(index(PlayerValues!A:A,match(IFNA(vlookup(B1496,'Special Names'!A:B,2,FALSE),B1496),PlayerValues!E:E,0)),"N/A")</f>
        <v>13424</v>
      </c>
      <c r="B1496" s="4" t="s">
        <v>846</v>
      </c>
      <c r="C1496" s="4" t="s">
        <v>298</v>
      </c>
      <c r="D1496" s="94">
        <v>1106.0</v>
      </c>
    </row>
    <row r="1497">
      <c r="A1497" s="40">
        <f t="array" ref="A1497">IFNA(index(PlayerValues!A:A,match(IFNA(vlookup(B1497,'Special Names'!A:B,2,FALSE),B1497),PlayerValues!E:E,0)),"N/A")</f>
        <v>17232</v>
      </c>
      <c r="B1497" s="4" t="s">
        <v>784</v>
      </c>
      <c r="C1497" s="4" t="s">
        <v>287</v>
      </c>
      <c r="D1497" s="94">
        <v>731.0</v>
      </c>
    </row>
    <row r="1498">
      <c r="A1498" s="40">
        <f t="array" ref="A1498">IFNA(index(PlayerValues!A:A,match(IFNA(vlookup(B1498,'Special Names'!A:B,2,FALSE),B1498),PlayerValues!E:E,0)),"N/A")</f>
        <v>14858</v>
      </c>
      <c r="B1498" s="4" t="s">
        <v>799</v>
      </c>
      <c r="C1498" s="4" t="s">
        <v>287</v>
      </c>
      <c r="D1498" s="94">
        <v>721.0</v>
      </c>
    </row>
    <row r="1499">
      <c r="A1499" s="40">
        <f t="array" ref="A1499">IFNA(index(PlayerValues!A:A,match(IFNA(vlookup(B1499,'Special Names'!A:B,2,FALSE),B1499),PlayerValues!E:E,0)),"N/A")</f>
        <v>13377</v>
      </c>
      <c r="B1499" s="4" t="s">
        <v>847</v>
      </c>
      <c r="C1499" s="4" t="s">
        <v>287</v>
      </c>
      <c r="D1499" s="94">
        <v>720.0</v>
      </c>
    </row>
    <row r="1500">
      <c r="A1500" s="40">
        <f t="array" ref="A1500">IFNA(index(PlayerValues!A:A,match(IFNA(vlookup(B1500,'Special Names'!A:B,2,FALSE),B1500),PlayerValues!E:E,0)),"N/A")</f>
        <v>16170</v>
      </c>
      <c r="B1500" s="4" t="s">
        <v>801</v>
      </c>
      <c r="C1500" s="4" t="s">
        <v>278</v>
      </c>
      <c r="D1500" s="94">
        <v>719.0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9999.0</v>
      </c>
    </row>
    <row r="1502">
      <c r="A1502" s="40">
        <f t="array" ref="A1502">IFNA(index(PlayerValues!A:A,match(IFNA(vlookup(B1502,'Special Names'!A:B,2,FALSE),B1502),PlayerValues!E:E,0)),"N/A")</f>
        <v>16161</v>
      </c>
      <c r="B1502" s="4" t="s">
        <v>277</v>
      </c>
      <c r="C1502" s="4" t="s">
        <v>278</v>
      </c>
      <c r="D1502" s="94">
        <v>9994.0</v>
      </c>
    </row>
    <row r="1503">
      <c r="A1503" s="40">
        <f t="array" ref="A1503">IFNA(index(PlayerValues!A:A,match(IFNA(vlookup(B1503,'Special Names'!A:B,2,FALSE),B1503),PlayerValues!E:E,0)),"N/A")</f>
        <v>15281</v>
      </c>
      <c r="B1503" s="4" t="s">
        <v>286</v>
      </c>
      <c r="C1503" s="4" t="s">
        <v>287</v>
      </c>
      <c r="D1503" s="94">
        <v>9953.0</v>
      </c>
    </row>
    <row r="1504">
      <c r="A1504" s="40">
        <f t="array" ref="A1504">IFNA(index(PlayerValues!A:A,match(IFNA(vlookup(B1504,'Special Names'!A:B,2,FALSE),B1504),PlayerValues!E:E,0)),"N/A")</f>
        <v>16185</v>
      </c>
      <c r="B1504" s="4" t="s">
        <v>290</v>
      </c>
      <c r="C1504" s="4" t="s">
        <v>287</v>
      </c>
      <c r="D1504" s="94">
        <v>9888.0</v>
      </c>
    </row>
    <row r="1505">
      <c r="A1505" s="40">
        <f t="array" ref="A1505">IFNA(index(PlayerValues!A:A,match(IFNA(vlookup(B1505,'Special Names'!A:B,2,FALSE),B1505),PlayerValues!E:E,0)),"N/A")</f>
        <v>16580</v>
      </c>
      <c r="B1505" s="4" t="s">
        <v>291</v>
      </c>
      <c r="C1505" s="4" t="s">
        <v>283</v>
      </c>
      <c r="D1505" s="94">
        <v>9607.0</v>
      </c>
    </row>
    <row r="1506">
      <c r="A1506" s="40">
        <f t="array" ref="A1506">IFNA(index(PlayerValues!A:A,match(IFNA(vlookup(B1506,'Special Names'!A:B,2,FALSE),B1506),PlayerValues!E:E,0)),"N/A")</f>
        <v>16211</v>
      </c>
      <c r="B1506" s="4" t="s">
        <v>294</v>
      </c>
      <c r="C1506" s="4" t="s">
        <v>287</v>
      </c>
      <c r="D1506" s="94">
        <v>9507.0</v>
      </c>
    </row>
    <row r="1507">
      <c r="A1507" s="40">
        <f t="array" ref="A1507">IFNA(index(PlayerValues!A:A,match(IFNA(vlookup(B1507,'Special Names'!A:B,2,FALSE),B1507),PlayerValues!E:E,0)),"N/A")</f>
        <v>16162</v>
      </c>
      <c r="B1507" s="4" t="s">
        <v>281</v>
      </c>
      <c r="C1507" s="4" t="s">
        <v>278</v>
      </c>
      <c r="D1507" s="94">
        <v>9414.0</v>
      </c>
    </row>
    <row r="1508">
      <c r="A1508" s="40">
        <f t="array" ref="A1508">IFNA(index(PlayerValues!A:A,match(IFNA(vlookup(B1508,'Special Names'!A:B,2,FALSE),B1508),PlayerValues!E:E,0)),"N/A")</f>
        <v>16615</v>
      </c>
      <c r="B1508" s="4" t="s">
        <v>309</v>
      </c>
      <c r="C1508" s="4" t="s">
        <v>287</v>
      </c>
      <c r="D1508" s="94">
        <v>7733.0</v>
      </c>
    </row>
    <row r="1509">
      <c r="A1509" s="40">
        <f t="array" ref="A1509">IFNA(index(PlayerValues!A:A,match(IFNA(vlookup(B1509,'Special Names'!A:B,2,FALSE),B1509),PlayerValues!E:E,0)),"N/A")</f>
        <v>15287</v>
      </c>
      <c r="B1509" s="4" t="s">
        <v>299</v>
      </c>
      <c r="C1509" s="4" t="s">
        <v>287</v>
      </c>
      <c r="D1509" s="94">
        <v>7681.0</v>
      </c>
    </row>
    <row r="1510">
      <c r="A1510" s="40">
        <f t="array" ref="A1510">IFNA(index(PlayerValues!A:A,match(IFNA(vlookup(B1510,'Special Names'!A:B,2,FALSE),B1510),PlayerValues!E:E,0)),"N/A")</f>
        <v>15794</v>
      </c>
      <c r="B1510" s="4" t="s">
        <v>313</v>
      </c>
      <c r="C1510" s="4" t="s">
        <v>298</v>
      </c>
      <c r="D1510" s="94">
        <v>8496.0</v>
      </c>
    </row>
    <row r="1511">
      <c r="A1511" s="40">
        <f t="array" ref="A1511">IFNA(index(PlayerValues!A:A,match(IFNA(vlookup(B1511,'Special Names'!A:B,2,FALSE),B1511),PlayerValues!E:E,0)),"N/A")</f>
        <v>16579</v>
      </c>
      <c r="B1511" s="4" t="s">
        <v>302</v>
      </c>
      <c r="C1511" s="4" t="s">
        <v>283</v>
      </c>
      <c r="D1511" s="94">
        <v>7666.0</v>
      </c>
    </row>
    <row r="1512">
      <c r="A1512" s="40">
        <f t="array" ref="A1512">IFNA(index(PlayerValues!A:A,match(IFNA(vlookup(B1512,'Special Names'!A:B,2,FALSE),B1512),PlayerValues!E:E,0)),"N/A")</f>
        <v>16641</v>
      </c>
      <c r="B1512" s="4" t="s">
        <v>297</v>
      </c>
      <c r="C1512" s="4" t="s">
        <v>298</v>
      </c>
      <c r="D1512" s="94">
        <v>8472.0</v>
      </c>
    </row>
    <row r="1513">
      <c r="A1513" s="40">
        <f t="array" ref="A1513">IFNA(index(PlayerValues!A:A,match(IFNA(vlookup(B1513,'Special Names'!A:B,2,FALSE),B1513),PlayerValues!E:E,0)),"N/A")</f>
        <v>16581</v>
      </c>
      <c r="B1513" s="4" t="s">
        <v>315</v>
      </c>
      <c r="C1513" s="4" t="s">
        <v>283</v>
      </c>
      <c r="D1513" s="94">
        <v>7612.0</v>
      </c>
    </row>
    <row r="1514">
      <c r="A1514" s="40">
        <f t="array" ref="A1514">IFNA(index(PlayerValues!A:A,match(IFNA(vlookup(B1514,'Special Names'!A:B,2,FALSE),B1514),PlayerValues!E:E,0)),"N/A")</f>
        <v>13593</v>
      </c>
      <c r="B1514" s="4" t="s">
        <v>305</v>
      </c>
      <c r="C1514" s="4" t="s">
        <v>283</v>
      </c>
      <c r="D1514" s="94">
        <v>7546.0</v>
      </c>
    </row>
    <row r="1515">
      <c r="A1515" s="40">
        <f t="array" ref="A1515">IFNA(index(PlayerValues!A:A,match(IFNA(vlookup(B1515,'Special Names'!A:B,2,FALSE),B1515),PlayerValues!E:E,0)),"N/A")</f>
        <v>14836</v>
      </c>
      <c r="B1515" s="4" t="s">
        <v>306</v>
      </c>
      <c r="C1515" s="4" t="s">
        <v>287</v>
      </c>
      <c r="D1515" s="94">
        <v>7390.0</v>
      </c>
    </row>
    <row r="1516">
      <c r="A1516" s="40">
        <f t="array" ref="A1516">IFNA(index(PlayerValues!A:A,match(IFNA(vlookup(B1516,'Special Names'!A:B,2,FALSE),B1516),PlayerValues!E:E,0)),"N/A")</f>
        <v>14832</v>
      </c>
      <c r="B1516" s="4" t="s">
        <v>319</v>
      </c>
      <c r="C1516" s="4" t="s">
        <v>287</v>
      </c>
      <c r="D1516" s="94">
        <v>7338.0</v>
      </c>
    </row>
    <row r="1517">
      <c r="A1517" s="40">
        <f t="array" ref="A1517">IFNA(index(PlayerValues!A:A,match(IFNA(vlookup(B1517,'Special Names'!A:B,2,FALSE),B1517),PlayerValues!E:E,0)),"N/A")</f>
        <v>17042</v>
      </c>
      <c r="B1517" s="4" t="s">
        <v>314</v>
      </c>
      <c r="C1517" s="4" t="s">
        <v>278</v>
      </c>
      <c r="D1517" s="94">
        <v>7224.0</v>
      </c>
    </row>
    <row r="1518">
      <c r="A1518" s="40">
        <f t="array" ref="A1518">IFNA(index(PlayerValues!A:A,match(IFNA(vlookup(B1518,'Special Names'!A:B,2,FALSE),B1518),PlayerValues!E:E,0)),"N/A")</f>
        <v>14777</v>
      </c>
      <c r="B1518" s="4" t="s">
        <v>318</v>
      </c>
      <c r="C1518" s="4" t="s">
        <v>283</v>
      </c>
      <c r="D1518" s="94">
        <v>7223.0</v>
      </c>
    </row>
    <row r="1519">
      <c r="A1519" s="40">
        <f t="array" ref="A1519">IFNA(index(PlayerValues!A:A,match(IFNA(vlookup(B1519,'Special Names'!A:B,2,FALSE),B1519),PlayerValues!E:E,0)),"N/A")</f>
        <v>16167</v>
      </c>
      <c r="B1519" s="4" t="s">
        <v>323</v>
      </c>
      <c r="C1519" s="4" t="s">
        <v>278</v>
      </c>
      <c r="D1519" s="94">
        <v>7035.0</v>
      </c>
    </row>
    <row r="1520">
      <c r="A1520" s="40">
        <f t="array" ref="A1520">IFNA(index(PlayerValues!A:A,match(IFNA(vlookup(B1520,'Special Names'!A:B,2,FALSE),B1520),PlayerValues!E:E,0)),"N/A")</f>
        <v>15751</v>
      </c>
      <c r="B1520" s="4" t="s">
        <v>328</v>
      </c>
      <c r="C1520" s="4" t="s">
        <v>287</v>
      </c>
      <c r="D1520" s="94">
        <v>7030.0</v>
      </c>
    </row>
    <row r="1521">
      <c r="A1521" s="40">
        <f t="array" ref="A1521">IFNA(index(PlayerValues!A:A,match(IFNA(vlookup(B1521,'Special Names'!A:B,2,FALSE),B1521),PlayerValues!E:E,0)),"N/A")</f>
        <v>17472</v>
      </c>
      <c r="B1521" s="4" t="s">
        <v>310</v>
      </c>
      <c r="C1521" s="4" t="s">
        <v>278</v>
      </c>
      <c r="D1521" s="94">
        <v>6935.0</v>
      </c>
    </row>
    <row r="1522">
      <c r="A1522" s="40">
        <f t="array" ref="A1522">IFNA(index(PlayerValues!A:A,match(IFNA(vlookup(B1522,'Special Names'!A:B,2,FALSE),B1522),PlayerValues!E:E,0)),"N/A")</f>
        <v>14779</v>
      </c>
      <c r="B1522" s="4" t="s">
        <v>327</v>
      </c>
      <c r="C1522" s="4" t="s">
        <v>283</v>
      </c>
      <c r="D1522" s="94">
        <v>6889.0</v>
      </c>
    </row>
    <row r="1523">
      <c r="A1523" s="40" t="str">
        <f t="array" ref="A1523">IFNA(index(PlayerValues!A:A,match(IFNA(vlookup(B1523,'Special Names'!A:B,2,FALSE),B1523),PlayerValues!E:E,0)),"N/A")</f>
        <v>N/A</v>
      </c>
      <c r="B1523" s="4" t="s">
        <v>92</v>
      </c>
      <c r="C1523" s="4" t="s">
        <v>325</v>
      </c>
      <c r="D1523" s="94">
        <v>6650.0</v>
      </c>
    </row>
    <row r="1524">
      <c r="A1524" s="40">
        <f t="array" ref="A1524">IFNA(index(PlayerValues!A:A,match(IFNA(vlookup(B1524,'Special Names'!A:B,2,FALSE),B1524),PlayerValues!E:E,0)),"N/A")</f>
        <v>17044</v>
      </c>
      <c r="B1524" s="4" t="s">
        <v>322</v>
      </c>
      <c r="C1524" s="4" t="s">
        <v>278</v>
      </c>
      <c r="D1524" s="94">
        <v>6641.0</v>
      </c>
    </row>
    <row r="1525">
      <c r="A1525" s="40">
        <f t="array" ref="A1525">IFNA(index(PlayerValues!A:A,match(IFNA(vlookup(B1525,'Special Names'!A:B,2,FALSE),B1525),PlayerValues!E:E,0)),"N/A")</f>
        <v>17032</v>
      </c>
      <c r="B1525" s="4" t="s">
        <v>348</v>
      </c>
      <c r="C1525" s="4" t="s">
        <v>283</v>
      </c>
      <c r="D1525" s="94">
        <v>6630.0</v>
      </c>
    </row>
    <row r="1526">
      <c r="A1526" s="40">
        <f t="array" ref="A1526">IFNA(index(PlayerValues!A:A,match(IFNA(vlookup(B1526,'Special Names'!A:B,2,FALSE),B1526),PlayerValues!E:E,0)),"N/A")</f>
        <v>17071</v>
      </c>
      <c r="B1526" s="4" t="s">
        <v>341</v>
      </c>
      <c r="C1526" s="4" t="s">
        <v>287</v>
      </c>
      <c r="D1526" s="94">
        <v>6609.0</v>
      </c>
    </row>
    <row r="1527">
      <c r="A1527" s="40">
        <f t="array" ref="A1527">IFNA(index(PlayerValues!A:A,match(IFNA(vlookup(B1527,'Special Names'!A:B,2,FALSE),B1527),PlayerValues!E:E,0)),"N/A")</f>
        <v>13116</v>
      </c>
      <c r="B1527" s="4" t="s">
        <v>345</v>
      </c>
      <c r="C1527" s="4" t="s">
        <v>283</v>
      </c>
      <c r="D1527" s="94">
        <v>6579.0</v>
      </c>
    </row>
    <row r="1528">
      <c r="A1528" s="40">
        <f t="array" ref="A1528">IFNA(index(PlayerValues!A:A,match(IFNA(vlookup(B1528,'Special Names'!A:B,2,FALSE),B1528),PlayerValues!E:E,0)),"N/A")</f>
        <v>14783</v>
      </c>
      <c r="B1528" s="4" t="s">
        <v>342</v>
      </c>
      <c r="C1528" s="4" t="s">
        <v>283</v>
      </c>
      <c r="D1528" s="94">
        <v>6348.0</v>
      </c>
    </row>
    <row r="1529">
      <c r="A1529" s="40">
        <f t="array" ref="A1529">IFNA(index(PlayerValues!A:A,match(IFNA(vlookup(B1529,'Special Names'!A:B,2,FALSE),B1529),PlayerValues!E:E,0)),"N/A")</f>
        <v>15237</v>
      </c>
      <c r="B1529" s="4" t="s">
        <v>336</v>
      </c>
      <c r="C1529" s="4" t="s">
        <v>283</v>
      </c>
      <c r="D1529" s="94">
        <v>6333.0</v>
      </c>
    </row>
    <row r="1530">
      <c r="A1530" s="40">
        <f t="array" ref="A1530">IFNA(index(PlayerValues!A:A,match(IFNA(vlookup(B1530,'Special Names'!A:B,2,FALSE),B1530),PlayerValues!E:E,0)),"N/A")</f>
        <v>15715</v>
      </c>
      <c r="B1530" s="4" t="s">
        <v>331</v>
      </c>
      <c r="C1530" s="4" t="s">
        <v>278</v>
      </c>
      <c r="D1530" s="94">
        <v>6171.0</v>
      </c>
    </row>
    <row r="1531">
      <c r="A1531" s="40">
        <f t="array" ref="A1531">IFNA(index(PlayerValues!A:A,match(IFNA(vlookup(B1531,'Special Names'!A:B,2,FALSE),B1531),PlayerValues!E:E,0)),"N/A")</f>
        <v>15762</v>
      </c>
      <c r="B1531" s="4" t="s">
        <v>337</v>
      </c>
      <c r="C1531" s="4" t="s">
        <v>287</v>
      </c>
      <c r="D1531" s="94">
        <v>6154.0</v>
      </c>
    </row>
    <row r="1532">
      <c r="A1532" s="40">
        <f t="array" ref="A1532">IFNA(index(PlayerValues!A:A,match(IFNA(vlookup(B1532,'Special Names'!A:B,2,FALSE),B1532),PlayerValues!E:E,0)),"N/A")</f>
        <v>16582</v>
      </c>
      <c r="B1532" s="4" t="s">
        <v>343</v>
      </c>
      <c r="C1532" s="4" t="s">
        <v>283</v>
      </c>
      <c r="D1532" s="94">
        <v>6130.0</v>
      </c>
    </row>
    <row r="1533">
      <c r="A1533" s="40">
        <f t="array" ref="A1533">IFNA(index(PlayerValues!A:A,match(IFNA(vlookup(B1533,'Special Names'!A:B,2,FALSE),B1533),PlayerValues!E:E,0)),"N/A")</f>
        <v>14802</v>
      </c>
      <c r="B1533" s="4" t="s">
        <v>332</v>
      </c>
      <c r="C1533" s="4" t="s">
        <v>278</v>
      </c>
      <c r="D1533" s="94">
        <v>6119.0</v>
      </c>
    </row>
    <row r="1534">
      <c r="A1534" s="40">
        <f t="array" ref="A1534">IFNA(index(PlayerValues!A:A,match(IFNA(vlookup(B1534,'Special Names'!A:B,2,FALSE),B1534),PlayerValues!E:E,0)),"N/A")</f>
        <v>15698</v>
      </c>
      <c r="B1534" s="4" t="s">
        <v>358</v>
      </c>
      <c r="C1534" s="4" t="s">
        <v>283</v>
      </c>
      <c r="D1534" s="94">
        <v>6117.0</v>
      </c>
    </row>
    <row r="1535">
      <c r="A1535" s="40">
        <f t="array" ref="A1535">IFNA(index(PlayerValues!A:A,match(IFNA(vlookup(B1535,'Special Names'!A:B,2,FALSE),B1535),PlayerValues!E:E,0)),"N/A")</f>
        <v>15290</v>
      </c>
      <c r="B1535" s="4" t="s">
        <v>355</v>
      </c>
      <c r="C1535" s="4" t="s">
        <v>287</v>
      </c>
      <c r="D1535" s="94">
        <v>5988.0</v>
      </c>
    </row>
    <row r="1536">
      <c r="A1536" s="40">
        <f t="array" ref="A1536">IFNA(index(PlayerValues!A:A,match(IFNA(vlookup(B1536,'Special Names'!A:B,2,FALSE),B1536),PlayerValues!E:E,0)),"N/A")</f>
        <v>17081</v>
      </c>
      <c r="B1536" s="4" t="s">
        <v>340</v>
      </c>
      <c r="C1536" s="4" t="s">
        <v>287</v>
      </c>
      <c r="D1536" s="94">
        <v>5978.0</v>
      </c>
    </row>
    <row r="1537">
      <c r="A1537" s="40" t="str">
        <f t="array" ref="A1537">IFNA(index(PlayerValues!A:A,match(IFNA(vlookup(B1537,'Special Names'!A:B,2,FALSE),B1537),PlayerValues!E:E,0)),"N/A")</f>
        <v>N/A</v>
      </c>
      <c r="B1537" s="4" t="s">
        <v>79</v>
      </c>
      <c r="C1537" s="4" t="s">
        <v>325</v>
      </c>
      <c r="D1537" s="94">
        <v>5961.0</v>
      </c>
    </row>
    <row r="1538">
      <c r="A1538" s="40">
        <f t="array" ref="A1538">IFNA(index(PlayerValues!A:A,match(IFNA(vlookup(B1538,'Special Names'!A:B,2,FALSE),B1538),PlayerValues!E:E,0)),"N/A")</f>
        <v>17104</v>
      </c>
      <c r="B1538" s="4" t="s">
        <v>333</v>
      </c>
      <c r="C1538" s="4" t="s">
        <v>298</v>
      </c>
      <c r="D1538" s="94">
        <v>6615.0</v>
      </c>
    </row>
    <row r="1539">
      <c r="A1539" s="40">
        <f t="array" ref="A1539">IFNA(index(PlayerValues!A:A,match(IFNA(vlookup(B1539,'Special Names'!A:B,2,FALSE),B1539),PlayerValues!E:E,0)),"N/A")</f>
        <v>17043</v>
      </c>
      <c r="B1539" s="4" t="s">
        <v>397</v>
      </c>
      <c r="C1539" s="4" t="s">
        <v>278</v>
      </c>
      <c r="D1539" s="94">
        <v>5888.0</v>
      </c>
    </row>
    <row r="1540">
      <c r="A1540" s="40">
        <f t="array" ref="A1540">IFNA(index(PlayerValues!A:A,match(IFNA(vlookup(B1540,'Special Names'!A:B,2,FALSE),B1540),PlayerValues!E:E,0)),"N/A")</f>
        <v>15753</v>
      </c>
      <c r="B1540" s="4" t="s">
        <v>359</v>
      </c>
      <c r="C1540" s="4" t="s">
        <v>287</v>
      </c>
      <c r="D1540" s="94">
        <v>5833.0</v>
      </c>
    </row>
    <row r="1541">
      <c r="A1541" s="40">
        <f t="array" ref="A1541">IFNA(index(PlayerValues!A:A,match(IFNA(vlookup(B1541,'Special Names'!A:B,2,FALSE),B1541),PlayerValues!E:E,0)),"N/A")</f>
        <v>15754</v>
      </c>
      <c r="B1541" s="4" t="s">
        <v>354</v>
      </c>
      <c r="C1541" s="4" t="s">
        <v>287</v>
      </c>
      <c r="D1541" s="94">
        <v>5828.0</v>
      </c>
    </row>
    <row r="1542">
      <c r="A1542" s="40">
        <f t="array" ref="A1542">IFNA(index(PlayerValues!A:A,match(IFNA(vlookup(B1542,'Special Names'!A:B,2,FALSE),B1542),PlayerValues!E:E,0)),"N/A")</f>
        <v>14782</v>
      </c>
      <c r="B1542" s="4" t="s">
        <v>385</v>
      </c>
      <c r="C1542" s="4" t="s">
        <v>283</v>
      </c>
      <c r="D1542" s="94">
        <v>5696.0</v>
      </c>
    </row>
    <row r="1543">
      <c r="A1543" s="40">
        <f t="array" ref="A1543">IFNA(index(PlayerValues!A:A,match(IFNA(vlookup(B1543,'Special Names'!A:B,2,FALSE),B1543),PlayerValues!E:E,0)),"N/A")</f>
        <v>17102</v>
      </c>
      <c r="B1543" s="4" t="s">
        <v>344</v>
      </c>
      <c r="C1543" s="4" t="s">
        <v>298</v>
      </c>
      <c r="D1543" s="94">
        <v>6269.0</v>
      </c>
    </row>
    <row r="1544">
      <c r="A1544" s="40">
        <f t="array" ref="A1544">IFNA(index(PlayerValues!A:A,match(IFNA(vlookup(B1544,'Special Names'!A:B,2,FALSE),B1544),PlayerValues!E:E,0)),"N/A")</f>
        <v>17462</v>
      </c>
      <c r="B1544" s="4" t="s">
        <v>375</v>
      </c>
      <c r="C1544" s="4" t="s">
        <v>283</v>
      </c>
      <c r="D1544" s="94">
        <v>5615.0</v>
      </c>
    </row>
    <row r="1545">
      <c r="A1545" s="40">
        <f t="array" ref="A1545">IFNA(index(PlayerValues!A:A,match(IFNA(vlookup(B1545,'Special Names'!A:B,2,FALSE),B1545),PlayerValues!E:E,0)),"N/A")</f>
        <v>15708</v>
      </c>
      <c r="B1545" s="4" t="s">
        <v>382</v>
      </c>
      <c r="C1545" s="4" t="s">
        <v>278</v>
      </c>
      <c r="D1545" s="94">
        <v>5523.0</v>
      </c>
    </row>
    <row r="1546">
      <c r="A1546" s="40">
        <f t="array" ref="A1546">IFNA(index(PlayerValues!A:A,match(IFNA(vlookup(B1546,'Special Names'!A:B,2,FALSE),B1546),PlayerValues!E:E,0)),"N/A")</f>
        <v>16627</v>
      </c>
      <c r="B1546" s="4" t="s">
        <v>351</v>
      </c>
      <c r="C1546" s="4" t="s">
        <v>287</v>
      </c>
      <c r="D1546" s="94">
        <v>5483.0</v>
      </c>
    </row>
    <row r="1547">
      <c r="A1547" s="40">
        <f t="array" ref="A1547">IFNA(index(PlayerValues!A:A,match(IFNA(vlookup(B1547,'Special Names'!A:B,2,FALSE),B1547),PlayerValues!E:E,0)),"N/A")</f>
        <v>16598</v>
      </c>
      <c r="B1547" s="4" t="s">
        <v>408</v>
      </c>
      <c r="C1547" s="4" t="s">
        <v>278</v>
      </c>
      <c r="D1547" s="94">
        <v>5466.0</v>
      </c>
    </row>
    <row r="1548">
      <c r="A1548" s="40">
        <f t="array" ref="A1548">IFNA(index(PlayerValues!A:A,match(IFNA(vlookup(B1548,'Special Names'!A:B,2,FALSE),B1548),PlayerValues!E:E,0)),"N/A")</f>
        <v>17051</v>
      </c>
      <c r="B1548" s="4" t="s">
        <v>386</v>
      </c>
      <c r="C1548" s="4" t="s">
        <v>278</v>
      </c>
      <c r="D1548" s="94">
        <v>5463.0</v>
      </c>
    </row>
    <row r="1549">
      <c r="A1549" s="40" t="str">
        <f t="array" ref="A1549">IFNA(index(PlayerValues!A:A,match(IFNA(vlookup(B1549,'Special Names'!A:B,2,FALSE),B1549),PlayerValues!E:E,0)),"N/A")</f>
        <v>N/A</v>
      </c>
      <c r="B1549" s="4" t="s">
        <v>93</v>
      </c>
      <c r="C1549" s="4" t="s">
        <v>325</v>
      </c>
      <c r="D1549" s="94">
        <v>5447.0</v>
      </c>
    </row>
    <row r="1550">
      <c r="A1550" s="40">
        <f t="array" ref="A1550">IFNA(index(PlayerValues!A:A,match(IFNA(vlookup(B1550,'Special Names'!A:B,2,FALSE),B1550),PlayerValues!E:E,0)),"N/A")</f>
        <v>17497</v>
      </c>
      <c r="B1550" s="4" t="s">
        <v>365</v>
      </c>
      <c r="C1550" s="4" t="s">
        <v>287</v>
      </c>
      <c r="D1550" s="94">
        <v>5314.0</v>
      </c>
    </row>
    <row r="1551">
      <c r="A1551" s="40">
        <f t="array" ref="A1551">IFNA(index(PlayerValues!A:A,match(IFNA(vlookup(B1551,'Special Names'!A:B,2,FALSE),B1551),PlayerValues!E:E,0)),"N/A")</f>
        <v>16616</v>
      </c>
      <c r="B1551" s="4" t="s">
        <v>389</v>
      </c>
      <c r="C1551" s="4" t="s">
        <v>287</v>
      </c>
      <c r="D1551" s="94">
        <v>5312.0</v>
      </c>
    </row>
    <row r="1552">
      <c r="A1552" s="40">
        <f t="array" ref="A1552">IFNA(index(PlayerValues!A:A,match(IFNA(vlookup(B1552,'Special Names'!A:B,2,FALSE),B1552),PlayerValues!E:E,0)),"N/A")</f>
        <v>17499</v>
      </c>
      <c r="B1552" s="4" t="s">
        <v>402</v>
      </c>
      <c r="C1552" s="4" t="s">
        <v>287</v>
      </c>
      <c r="D1552" s="94">
        <v>5235.0</v>
      </c>
    </row>
    <row r="1553">
      <c r="A1553" s="40">
        <f t="array" ref="A1553">IFNA(index(PlayerValues!A:A,match(IFNA(vlookup(B1553,'Special Names'!A:B,2,FALSE),B1553),PlayerValues!E:E,0)),"N/A")</f>
        <v>16614</v>
      </c>
      <c r="B1553" s="4" t="s">
        <v>403</v>
      </c>
      <c r="C1553" s="4" t="s">
        <v>287</v>
      </c>
      <c r="D1553" s="94">
        <v>5124.0</v>
      </c>
    </row>
    <row r="1554">
      <c r="A1554" s="40">
        <f t="array" ref="A1554">IFNA(index(PlayerValues!A:A,match(IFNA(vlookup(B1554,'Special Names'!A:B,2,FALSE),B1554),PlayerValues!E:E,0)),"N/A")</f>
        <v>17030</v>
      </c>
      <c r="B1554" s="4" t="s">
        <v>406</v>
      </c>
      <c r="C1554" s="4" t="s">
        <v>283</v>
      </c>
      <c r="D1554" s="94">
        <v>5089.0</v>
      </c>
    </row>
    <row r="1555">
      <c r="A1555" s="40">
        <f t="array" ref="A1555">IFNA(index(PlayerValues!A:A,match(IFNA(vlookup(B1555,'Special Names'!A:B,2,FALSE),B1555),PlayerValues!E:E,0)),"N/A")</f>
        <v>13130</v>
      </c>
      <c r="B1555" s="4" t="s">
        <v>374</v>
      </c>
      <c r="C1555" s="4" t="s">
        <v>278</v>
      </c>
      <c r="D1555" s="94">
        <v>5077.0</v>
      </c>
    </row>
    <row r="1556">
      <c r="A1556" s="40">
        <f t="array" ref="A1556">IFNA(index(PlayerValues!A:A,match(IFNA(vlookup(B1556,'Special Names'!A:B,2,FALSE),B1556),PlayerValues!E:E,0)),"N/A")</f>
        <v>15711</v>
      </c>
      <c r="B1556" s="4" t="s">
        <v>349</v>
      </c>
      <c r="C1556" s="4" t="s">
        <v>278</v>
      </c>
      <c r="D1556" s="94">
        <v>5047.0</v>
      </c>
    </row>
    <row r="1557">
      <c r="A1557" s="40">
        <f t="array" ref="A1557">IFNA(index(PlayerValues!A:A,match(IFNA(vlookup(B1557,'Special Names'!A:B,2,FALSE),B1557),PlayerValues!E:E,0)),"N/A")</f>
        <v>16618</v>
      </c>
      <c r="B1557" s="4" t="s">
        <v>411</v>
      </c>
      <c r="C1557" s="4" t="s">
        <v>287</v>
      </c>
      <c r="D1557" s="94">
        <v>5041.0</v>
      </c>
    </row>
    <row r="1558">
      <c r="A1558" s="40">
        <f t="array" ref="A1558">IFNA(index(PlayerValues!A:A,match(IFNA(vlookup(B1558,'Special Names'!A:B,2,FALSE),B1558),PlayerValues!E:E,0)),"N/A")</f>
        <v>12620</v>
      </c>
      <c r="B1558" s="4" t="s">
        <v>394</v>
      </c>
      <c r="C1558" s="4" t="s">
        <v>283</v>
      </c>
      <c r="D1558" s="94">
        <v>5011.0</v>
      </c>
    </row>
    <row r="1559">
      <c r="A1559" s="40">
        <f t="array" ref="A1559">IFNA(index(PlayerValues!A:A,match(IFNA(vlookup(B1559,'Special Names'!A:B,2,FALSE),B1559),PlayerValues!E:E,0)),"N/A")</f>
        <v>16194</v>
      </c>
      <c r="B1559" s="4" t="s">
        <v>398</v>
      </c>
      <c r="C1559" s="4" t="s">
        <v>287</v>
      </c>
      <c r="D1559" s="94">
        <v>5010.0</v>
      </c>
    </row>
    <row r="1560">
      <c r="A1560" s="40">
        <f t="array" ref="A1560">IFNA(index(PlayerValues!A:A,match(IFNA(vlookup(B1560,'Special Names'!A:B,2,FALSE),B1560),PlayerValues!E:E,0)),"N/A")</f>
        <v>17070</v>
      </c>
      <c r="B1560" s="4" t="s">
        <v>370</v>
      </c>
      <c r="C1560" s="4" t="s">
        <v>287</v>
      </c>
      <c r="D1560" s="94">
        <v>4936.0</v>
      </c>
    </row>
    <row r="1561">
      <c r="A1561" s="40">
        <f t="array" ref="A1561">IFNA(index(PlayerValues!A:A,match(IFNA(vlookup(B1561,'Special Names'!A:B,2,FALSE),B1561),PlayerValues!E:E,0)),"N/A")</f>
        <v>16181</v>
      </c>
      <c r="B1561" s="4" t="s">
        <v>350</v>
      </c>
      <c r="C1561" s="4" t="s">
        <v>278</v>
      </c>
      <c r="D1561" s="94">
        <v>4935.0</v>
      </c>
    </row>
    <row r="1562">
      <c r="A1562" s="40">
        <f t="array" ref="A1562">IFNA(index(PlayerValues!A:A,match(IFNA(vlookup(B1562,'Special Names'!A:B,2,FALSE),B1562),PlayerValues!E:E,0)),"N/A")</f>
        <v>17103</v>
      </c>
      <c r="B1562" s="4" t="s">
        <v>405</v>
      </c>
      <c r="C1562" s="4" t="s">
        <v>298</v>
      </c>
      <c r="D1562" s="94">
        <v>5470.0</v>
      </c>
    </row>
    <row r="1563">
      <c r="A1563" s="40">
        <f t="array" ref="A1563">IFNA(index(PlayerValues!A:A,match(IFNA(vlookup(B1563,'Special Names'!A:B,2,FALSE),B1563),PlayerValues!E:E,0)),"N/A")</f>
        <v>16222</v>
      </c>
      <c r="B1563" s="4" t="s">
        <v>393</v>
      </c>
      <c r="C1563" s="4" t="s">
        <v>298</v>
      </c>
      <c r="D1563" s="94">
        <v>5442.0</v>
      </c>
    </row>
    <row r="1564">
      <c r="A1564" s="40">
        <f t="array" ref="A1564">IFNA(index(PlayerValues!A:A,match(IFNA(vlookup(B1564,'Special Names'!A:B,2,FALSE),B1564),PlayerValues!E:E,0)),"N/A")</f>
        <v>15710</v>
      </c>
      <c r="B1564" s="4" t="s">
        <v>395</v>
      </c>
      <c r="C1564" s="4" t="s">
        <v>278</v>
      </c>
      <c r="D1564" s="94">
        <v>4853.0</v>
      </c>
    </row>
    <row r="1565">
      <c r="A1565" s="40">
        <f t="array" ref="A1565">IFNA(index(PlayerValues!A:A,match(IFNA(vlookup(B1565,'Special Names'!A:B,2,FALSE),B1565),PlayerValues!E:E,0)),"N/A")</f>
        <v>13590</v>
      </c>
      <c r="B1565" s="4" t="s">
        <v>409</v>
      </c>
      <c r="C1565" s="4" t="s">
        <v>283</v>
      </c>
      <c r="D1565" s="94">
        <v>4839.0</v>
      </c>
    </row>
    <row r="1566">
      <c r="A1566" s="40">
        <f t="array" ref="A1566">IFNA(index(PlayerValues!A:A,match(IFNA(vlookup(B1566,'Special Names'!A:B,2,FALSE),B1566),PlayerValues!E:E,0)),"N/A")</f>
        <v>13592</v>
      </c>
      <c r="B1566" s="4" t="s">
        <v>418</v>
      </c>
      <c r="C1566" s="4" t="s">
        <v>283</v>
      </c>
      <c r="D1566" s="94">
        <v>4832.0</v>
      </c>
    </row>
    <row r="1567">
      <c r="A1567" s="40">
        <f t="array" ref="A1567">IFNA(index(PlayerValues!A:A,match(IFNA(vlookup(B1567,'Special Names'!A:B,2,FALSE),B1567),PlayerValues!E:E,0)),"N/A")</f>
        <v>16150</v>
      </c>
      <c r="B1567" s="4" t="s">
        <v>414</v>
      </c>
      <c r="C1567" s="4" t="s">
        <v>283</v>
      </c>
      <c r="D1567" s="94">
        <v>4826.0</v>
      </c>
    </row>
    <row r="1568">
      <c r="A1568" s="40">
        <f t="array" ref="A1568">IFNA(index(PlayerValues!A:A,match(IFNA(vlookup(B1568,'Special Names'!A:B,2,FALSE),B1568),PlayerValues!E:E,0)),"N/A")</f>
        <v>14835</v>
      </c>
      <c r="B1568" s="4" t="s">
        <v>392</v>
      </c>
      <c r="C1568" s="4" t="s">
        <v>287</v>
      </c>
      <c r="D1568" s="94">
        <v>4825.0</v>
      </c>
    </row>
    <row r="1569">
      <c r="A1569" s="40">
        <f t="array" ref="A1569">IFNA(index(PlayerValues!A:A,match(IFNA(vlookup(B1569,'Special Names'!A:B,2,FALSE),B1569),PlayerValues!E:E,0)),"N/A")</f>
        <v>17045</v>
      </c>
      <c r="B1569" s="4" t="s">
        <v>407</v>
      </c>
      <c r="C1569" s="4" t="s">
        <v>278</v>
      </c>
      <c r="D1569" s="94">
        <v>4825.0</v>
      </c>
    </row>
    <row r="1570">
      <c r="A1570" s="40" t="str">
        <f t="array" ref="A1570">IFNA(index(PlayerValues!A:A,match(IFNA(vlookup(B1570,'Special Names'!A:B,2,FALSE),B1570),PlayerValues!E:E,0)),"N/A")</f>
        <v>N/A</v>
      </c>
      <c r="B1570" s="4" t="s">
        <v>104</v>
      </c>
      <c r="C1570" s="4" t="s">
        <v>325</v>
      </c>
      <c r="D1570" s="94">
        <v>4825.0</v>
      </c>
    </row>
    <row r="1571">
      <c r="A1571" s="40">
        <f t="array" ref="A1571">IFNA(index(PlayerValues!A:A,match(IFNA(vlookup(B1571,'Special Names'!A:B,2,FALSE),B1571),PlayerValues!E:E,0)),"N/A")</f>
        <v>17498</v>
      </c>
      <c r="B1571" s="4" t="s">
        <v>396</v>
      </c>
      <c r="C1571" s="4" t="s">
        <v>287</v>
      </c>
      <c r="D1571" s="94">
        <v>4820.0</v>
      </c>
    </row>
    <row r="1572">
      <c r="A1572" s="40">
        <f t="array" ref="A1572">IFNA(index(PlayerValues!A:A,match(IFNA(vlookup(B1572,'Special Names'!A:B,2,FALSE),B1572),PlayerValues!E:E,0)),"N/A")</f>
        <v>15282</v>
      </c>
      <c r="B1572" s="4" t="s">
        <v>364</v>
      </c>
      <c r="C1572" s="4" t="s">
        <v>287</v>
      </c>
      <c r="D1572" s="94">
        <v>4797.0</v>
      </c>
    </row>
    <row r="1573">
      <c r="A1573" s="40" t="str">
        <f t="array" ref="A1573">IFNA(index(PlayerValues!A:A,match(IFNA(vlookup(B1573,'Special Names'!A:B,2,FALSE),B1573),PlayerValues!E:E,0)),"N/A")</f>
        <v>N/A</v>
      </c>
      <c r="B1573" s="4" t="s">
        <v>94</v>
      </c>
      <c r="C1573" s="4" t="s">
        <v>325</v>
      </c>
      <c r="D1573" s="94">
        <v>4785.0</v>
      </c>
    </row>
    <row r="1574">
      <c r="A1574" s="40">
        <f t="array" ref="A1574">IFNA(index(PlayerValues!A:A,match(IFNA(vlookup(B1574,'Special Names'!A:B,2,FALSE),B1574),PlayerValues!E:E,0)),"N/A")</f>
        <v>13604</v>
      </c>
      <c r="B1574" s="4" t="s">
        <v>378</v>
      </c>
      <c r="C1574" s="4" t="s">
        <v>278</v>
      </c>
      <c r="D1574" s="94">
        <v>4781.0</v>
      </c>
    </row>
    <row r="1575">
      <c r="A1575" s="40">
        <f t="array" ref="A1575">IFNA(index(PlayerValues!A:A,match(IFNA(vlookup(B1575,'Special Names'!A:B,2,FALSE),B1575),PlayerValues!E:E,0)),"N/A")</f>
        <v>14104</v>
      </c>
      <c r="B1575" s="4" t="s">
        <v>379</v>
      </c>
      <c r="C1575" s="4" t="s">
        <v>287</v>
      </c>
      <c r="D1575" s="94">
        <v>4743.0</v>
      </c>
    </row>
    <row r="1576">
      <c r="A1576" s="40">
        <f t="array" ref="A1576">IFNA(index(PlayerValues!A:A,match(IFNA(vlookup(B1576,'Special Names'!A:B,2,FALSE),B1576),PlayerValues!E:E,0)),"N/A")</f>
        <v>15756</v>
      </c>
      <c r="B1576" s="4" t="s">
        <v>399</v>
      </c>
      <c r="C1576" s="4" t="s">
        <v>287</v>
      </c>
      <c r="D1576" s="94">
        <v>4740.0</v>
      </c>
    </row>
    <row r="1577">
      <c r="A1577" s="40">
        <f t="array" ref="A1577">IFNA(index(PlayerValues!A:A,match(IFNA(vlookup(B1577,'Special Names'!A:B,2,FALSE),B1577),PlayerValues!E:E,0)),"N/A")</f>
        <v>16190</v>
      </c>
      <c r="B1577" s="4" t="s">
        <v>371</v>
      </c>
      <c r="C1577" s="4" t="s">
        <v>287</v>
      </c>
      <c r="D1577" s="94">
        <v>4697.0</v>
      </c>
    </row>
    <row r="1578">
      <c r="A1578" s="40" t="str">
        <f t="array" ref="A1578">IFNA(index(PlayerValues!A:A,match(IFNA(vlookup(B1578,'Special Names'!A:B,2,FALSE),B1578),PlayerValues!E:E,0)),"N/A")</f>
        <v>N/A</v>
      </c>
      <c r="B1578" s="4" t="s">
        <v>80</v>
      </c>
      <c r="C1578" s="4" t="s">
        <v>325</v>
      </c>
      <c r="D1578" s="94">
        <v>4693.0</v>
      </c>
    </row>
    <row r="1579">
      <c r="A1579" s="40">
        <f t="array" ref="A1579">IFNA(index(PlayerValues!A:A,match(IFNA(vlookup(B1579,'Special Names'!A:B,2,FALSE),B1579),PlayerValues!E:E,0)),"N/A")</f>
        <v>12611</v>
      </c>
      <c r="B1579" s="4" t="s">
        <v>410</v>
      </c>
      <c r="C1579" s="4" t="s">
        <v>283</v>
      </c>
      <c r="D1579" s="94">
        <v>4625.0</v>
      </c>
    </row>
    <row r="1580">
      <c r="A1580" s="40">
        <f t="array" ref="A1580">IFNA(index(PlayerValues!A:A,match(IFNA(vlookup(B1580,'Special Names'!A:B,2,FALSE),B1580),PlayerValues!E:E,0)),"N/A")</f>
        <v>15284</v>
      </c>
      <c r="B1580" s="4" t="s">
        <v>390</v>
      </c>
      <c r="C1580" s="4" t="s">
        <v>287</v>
      </c>
      <c r="D1580" s="94">
        <v>4606.0</v>
      </c>
    </row>
    <row r="1581">
      <c r="A1581" s="40">
        <f t="array" ref="A1581">IFNA(index(PlayerValues!A:A,match(IFNA(vlookup(B1581,'Special Names'!A:B,2,FALSE),B1581),PlayerValues!E:E,0)),"N/A")</f>
        <v>17039</v>
      </c>
      <c r="B1581" s="4" t="s">
        <v>400</v>
      </c>
      <c r="C1581" s="4" t="s">
        <v>283</v>
      </c>
      <c r="D1581" s="94">
        <v>4599.0</v>
      </c>
    </row>
    <row r="1582">
      <c r="A1582" s="40">
        <f t="array" ref="A1582">IFNA(index(PlayerValues!A:A,match(IFNA(vlookup(B1582,'Special Names'!A:B,2,FALSE),B1582),PlayerValues!E:E,0)),"N/A")</f>
        <v>16214</v>
      </c>
      <c r="B1582" s="4" t="s">
        <v>413</v>
      </c>
      <c r="C1582" s="4" t="s">
        <v>298</v>
      </c>
      <c r="D1582" s="94">
        <v>5132.0</v>
      </c>
    </row>
    <row r="1583">
      <c r="A1583" s="40">
        <f t="array" ref="A1583">IFNA(index(PlayerValues!A:A,match(IFNA(vlookup(B1583,'Special Names'!A:B,2,FALSE),B1583),PlayerValues!E:E,0)),"N/A")</f>
        <v>15329</v>
      </c>
      <c r="B1583" s="4" t="s">
        <v>416</v>
      </c>
      <c r="C1583" s="4" t="s">
        <v>298</v>
      </c>
      <c r="D1583" s="94">
        <v>5103.0</v>
      </c>
    </row>
    <row r="1584">
      <c r="A1584" s="40">
        <f t="array" ref="A1584">IFNA(index(PlayerValues!A:A,match(IFNA(vlookup(B1584,'Special Names'!A:B,2,FALSE),B1584),PlayerValues!E:E,0)),"N/A")</f>
        <v>15256</v>
      </c>
      <c r="B1584" s="4" t="s">
        <v>401</v>
      </c>
      <c r="C1584" s="4" t="s">
        <v>278</v>
      </c>
      <c r="D1584" s="94">
        <v>4548.0</v>
      </c>
    </row>
    <row r="1585">
      <c r="A1585" s="40">
        <f t="array" ref="A1585">IFNA(index(PlayerValues!A:A,match(IFNA(vlookup(B1585,'Special Names'!A:B,2,FALSE),B1585),PlayerValues!E:E,0)),"N/A")</f>
        <v>15253</v>
      </c>
      <c r="B1585" s="4" t="s">
        <v>415</v>
      </c>
      <c r="C1585" s="4" t="s">
        <v>278</v>
      </c>
      <c r="D1585" s="94">
        <v>4500.0</v>
      </c>
    </row>
    <row r="1586">
      <c r="A1586" s="40">
        <f t="array" ref="A1586">IFNA(index(PlayerValues!A:A,match(IFNA(vlookup(B1586,'Special Names'!A:B,2,FALSE),B1586),PlayerValues!E:E,0)),"N/A")</f>
        <v>17068</v>
      </c>
      <c r="B1586" s="4" t="s">
        <v>450</v>
      </c>
      <c r="C1586" s="4" t="s">
        <v>278</v>
      </c>
      <c r="D1586" s="94">
        <v>4472.0</v>
      </c>
    </row>
    <row r="1587">
      <c r="A1587" s="40">
        <f t="array" ref="A1587">IFNA(index(PlayerValues!A:A,match(IFNA(vlookup(B1587,'Special Names'!A:B,2,FALSE),B1587),PlayerValues!E:E,0)),"N/A")</f>
        <v>14073</v>
      </c>
      <c r="B1587" s="4" t="s">
        <v>464</v>
      </c>
      <c r="C1587" s="4" t="s">
        <v>278</v>
      </c>
      <c r="D1587" s="94">
        <v>4462.0</v>
      </c>
    </row>
    <row r="1588">
      <c r="A1588" s="40">
        <f t="array" ref="A1588">IFNA(index(PlayerValues!A:A,match(IFNA(vlookup(B1588,'Special Names'!A:B,2,FALSE),B1588),PlayerValues!E:E,0)),"N/A")</f>
        <v>16148</v>
      </c>
      <c r="B1588" s="4" t="s">
        <v>426</v>
      </c>
      <c r="C1588" s="4" t="s">
        <v>283</v>
      </c>
      <c r="D1588" s="94">
        <v>4445.0</v>
      </c>
    </row>
    <row r="1589">
      <c r="A1589" s="40" t="str">
        <f t="array" ref="A1589">IFNA(index(PlayerValues!A:A,match(IFNA(vlookup(B1589,'Special Names'!A:B,2,FALSE),B1589),PlayerValues!E:E,0)),"N/A")</f>
        <v>N/A</v>
      </c>
      <c r="B1589" s="4" t="s">
        <v>105</v>
      </c>
      <c r="C1589" s="4" t="s">
        <v>325</v>
      </c>
      <c r="D1589" s="94">
        <v>4443.0</v>
      </c>
    </row>
    <row r="1590">
      <c r="A1590" s="40" t="str">
        <f t="array" ref="A1590">IFNA(index(PlayerValues!A:A,match(IFNA(vlookup(B1590,'Special Names'!A:B,2,FALSE),B1590),PlayerValues!E:E,0)),"N/A")</f>
        <v>N/A</v>
      </c>
      <c r="B1590" s="4" t="s">
        <v>81</v>
      </c>
      <c r="C1590" s="4" t="s">
        <v>325</v>
      </c>
      <c r="D1590" s="94">
        <v>4231.0</v>
      </c>
    </row>
    <row r="1591">
      <c r="A1591" s="40">
        <f t="array" ref="A1591">IFNA(index(PlayerValues!A:A,match(IFNA(vlookup(B1591,'Special Names'!A:B,2,FALSE),B1591),PlayerValues!E:E,0)),"N/A")</f>
        <v>16186</v>
      </c>
      <c r="B1591" s="4" t="s">
        <v>425</v>
      </c>
      <c r="C1591" s="4" t="s">
        <v>287</v>
      </c>
      <c r="D1591" s="94">
        <v>4155.0</v>
      </c>
    </row>
    <row r="1592">
      <c r="A1592" s="40">
        <f t="array" ref="A1592">IFNA(index(PlayerValues!A:A,match(IFNA(vlookup(B1592,'Special Names'!A:B,2,FALSE),B1592),PlayerValues!E:E,0)),"N/A")</f>
        <v>17099</v>
      </c>
      <c r="B1592" s="4" t="s">
        <v>474</v>
      </c>
      <c r="C1592" s="4" t="s">
        <v>298</v>
      </c>
      <c r="D1592" s="94">
        <v>4653.0</v>
      </c>
    </row>
    <row r="1593">
      <c r="A1593" s="40">
        <f t="array" ref="A1593">IFNA(index(PlayerValues!A:A,match(IFNA(vlookup(B1593,'Special Names'!A:B,2,FALSE),B1593),PlayerValues!E:E,0)),"N/A")</f>
        <v>14059</v>
      </c>
      <c r="B1593" s="4" t="s">
        <v>435</v>
      </c>
      <c r="C1593" s="4" t="s">
        <v>283</v>
      </c>
      <c r="D1593" s="94">
        <v>4050.0</v>
      </c>
    </row>
    <row r="1594">
      <c r="A1594" s="40">
        <f t="array" ref="A1594">IFNA(index(PlayerValues!A:A,match(IFNA(vlookup(B1594,'Special Names'!A:B,2,FALSE),B1594),PlayerValues!E:E,0)),"N/A")</f>
        <v>17074</v>
      </c>
      <c r="B1594" s="4" t="s">
        <v>475</v>
      </c>
      <c r="C1594" s="4" t="s">
        <v>287</v>
      </c>
      <c r="D1594" s="94">
        <v>4043.0</v>
      </c>
    </row>
    <row r="1595">
      <c r="A1595" s="40" t="str">
        <f t="array" ref="A1595">IFNA(index(PlayerValues!A:A,match(IFNA(vlookup(B1595,'Special Names'!A:B,2,FALSE),B1595),PlayerValues!E:E,0)),"N/A")</f>
        <v>N/A</v>
      </c>
      <c r="B1595" s="4" t="s">
        <v>107</v>
      </c>
      <c r="C1595" s="4" t="s">
        <v>325</v>
      </c>
      <c r="D1595" s="94">
        <v>4032.0</v>
      </c>
    </row>
    <row r="1596">
      <c r="A1596" s="40">
        <f t="array" ref="A1596">IFNA(index(PlayerValues!A:A,match(IFNA(vlookup(B1596,'Special Names'!A:B,2,FALSE),B1596),PlayerValues!E:E,0)),"N/A")</f>
        <v>17543</v>
      </c>
      <c r="B1596" s="4" t="s">
        <v>436</v>
      </c>
      <c r="C1596" s="4" t="s">
        <v>298</v>
      </c>
      <c r="D1596" s="94">
        <v>4507.0</v>
      </c>
    </row>
    <row r="1597">
      <c r="A1597" s="40">
        <f t="array" ref="A1597">IFNA(index(PlayerValues!A:A,match(IFNA(vlookup(B1597,'Special Names'!A:B,2,FALSE),B1597),PlayerValues!E:E,0)),"N/A")</f>
        <v>16622</v>
      </c>
      <c r="B1597" s="4" t="s">
        <v>517</v>
      </c>
      <c r="C1597" s="4" t="s">
        <v>287</v>
      </c>
      <c r="D1597" s="94">
        <v>3969.0</v>
      </c>
    </row>
    <row r="1598">
      <c r="A1598" s="40">
        <f t="array" ref="A1598">IFNA(index(PlayerValues!A:A,match(IFNA(vlookup(B1598,'Special Names'!A:B,2,FALSE),B1598),PlayerValues!E:E,0)),"N/A")</f>
        <v>15768</v>
      </c>
      <c r="B1598" s="4" t="s">
        <v>432</v>
      </c>
      <c r="C1598" s="4" t="s">
        <v>287</v>
      </c>
      <c r="D1598" s="94">
        <v>3964.0</v>
      </c>
    </row>
    <row r="1599">
      <c r="A1599" s="40">
        <f t="array" ref="A1599">IFNA(index(PlayerValues!A:A,match(IFNA(vlookup(B1599,'Special Names'!A:B,2,FALSE),B1599),PlayerValues!E:E,0)),"N/A")</f>
        <v>12626</v>
      </c>
      <c r="B1599" s="4" t="s">
        <v>419</v>
      </c>
      <c r="C1599" s="4" t="s">
        <v>278</v>
      </c>
      <c r="D1599" s="94">
        <v>3932.0</v>
      </c>
    </row>
    <row r="1600">
      <c r="A1600" s="40">
        <f t="array" ref="A1600">IFNA(index(PlayerValues!A:A,match(IFNA(vlookup(B1600,'Special Names'!A:B,2,FALSE),B1600),PlayerValues!E:E,0)),"N/A")</f>
        <v>16206</v>
      </c>
      <c r="B1600" s="4" t="s">
        <v>431</v>
      </c>
      <c r="C1600" s="4" t="s">
        <v>287</v>
      </c>
      <c r="D1600" s="94">
        <v>3893.0</v>
      </c>
    </row>
    <row r="1601">
      <c r="A1601" s="40">
        <f t="array" ref="A1601">IFNA(index(PlayerValues!A:A,match(IFNA(vlookup(B1601,'Special Names'!A:B,2,FALSE),B1601),PlayerValues!E:E,0)),"N/A")</f>
        <v>17083</v>
      </c>
      <c r="B1601" s="4" t="s">
        <v>479</v>
      </c>
      <c r="C1601" s="4" t="s">
        <v>287</v>
      </c>
      <c r="D1601" s="94">
        <v>3847.0</v>
      </c>
    </row>
    <row r="1602">
      <c r="A1602" s="40">
        <f t="array" ref="A1602">IFNA(index(PlayerValues!A:A,match(IFNA(vlookup(B1602,'Special Names'!A:B,2,FALSE),B1602),PlayerValues!E:E,0)),"N/A")</f>
        <v>14102</v>
      </c>
      <c r="B1602" s="4" t="s">
        <v>444</v>
      </c>
      <c r="C1602" s="4" t="s">
        <v>287</v>
      </c>
      <c r="D1602" s="94">
        <v>3843.0</v>
      </c>
    </row>
    <row r="1603">
      <c r="A1603" s="40" t="str">
        <f t="array" ref="A1603">IFNA(index(PlayerValues!A:A,match(IFNA(vlookup(B1603,'Special Names'!A:B,2,FALSE),B1603),PlayerValues!E:E,0)),"N/A")</f>
        <v>N/A</v>
      </c>
      <c r="B1603" s="4" t="s">
        <v>95</v>
      </c>
      <c r="C1603" s="4" t="s">
        <v>325</v>
      </c>
      <c r="D1603" s="94">
        <v>3843.0</v>
      </c>
    </row>
    <row r="1604">
      <c r="A1604" s="40">
        <f t="array" ref="A1604">IFNA(index(PlayerValues!A:A,match(IFNA(vlookup(B1604,'Special Names'!A:B,2,FALSE),B1604),PlayerValues!E:E,0)),"N/A")</f>
        <v>17501</v>
      </c>
      <c r="B1604" s="4" t="s">
        <v>404</v>
      </c>
      <c r="C1604" s="4" t="s">
        <v>287</v>
      </c>
      <c r="D1604" s="94">
        <v>3842.0</v>
      </c>
    </row>
    <row r="1605">
      <c r="A1605" s="40">
        <f t="array" ref="A1605">IFNA(index(PlayerValues!A:A,match(IFNA(vlookup(B1605,'Special Names'!A:B,2,FALSE),B1605),PlayerValues!E:E,0)),"N/A")</f>
        <v>17066</v>
      </c>
      <c r="B1605" s="4" t="s">
        <v>446</v>
      </c>
      <c r="C1605" s="4" t="s">
        <v>278</v>
      </c>
      <c r="D1605" s="94">
        <v>3811.0</v>
      </c>
    </row>
    <row r="1606">
      <c r="A1606" s="40">
        <f t="array" ref="A1606">IFNA(index(PlayerValues!A:A,match(IFNA(vlookup(B1606,'Special Names'!A:B,2,FALSE),B1606),PlayerValues!E:E,0)),"N/A")</f>
        <v>17500</v>
      </c>
      <c r="B1606" s="4" t="s">
        <v>430</v>
      </c>
      <c r="C1606" s="4" t="s">
        <v>287</v>
      </c>
      <c r="D1606" s="94">
        <v>3799.0</v>
      </c>
    </row>
    <row r="1607">
      <c r="A1607" s="40">
        <f t="array" ref="A1607">IFNA(index(PlayerValues!A:A,match(IFNA(vlookup(B1607,'Special Names'!A:B,2,FALSE),B1607),PlayerValues!E:E,0)),"N/A")</f>
        <v>15789</v>
      </c>
      <c r="B1607" s="4" t="s">
        <v>421</v>
      </c>
      <c r="C1607" s="4" t="s">
        <v>287</v>
      </c>
      <c r="D1607" s="94">
        <v>3760.0</v>
      </c>
    </row>
    <row r="1608">
      <c r="A1608" s="40">
        <f t="array" ref="A1608">IFNA(index(PlayerValues!A:A,match(IFNA(vlookup(B1608,'Special Names'!A:B,2,FALSE),B1608),PlayerValues!E:E,0)),"N/A")</f>
        <v>14797</v>
      </c>
      <c r="B1608" s="4" t="s">
        <v>420</v>
      </c>
      <c r="C1608" s="4" t="s">
        <v>278</v>
      </c>
      <c r="D1608" s="94">
        <v>3719.0</v>
      </c>
    </row>
    <row r="1609">
      <c r="A1609" s="40">
        <f t="array" ref="A1609">IFNA(index(PlayerValues!A:A,match(IFNA(vlookup(B1609,'Special Names'!A:B,2,FALSE),B1609),PlayerValues!E:E,0)),"N/A")</f>
        <v>16192</v>
      </c>
      <c r="B1609" s="4" t="s">
        <v>412</v>
      </c>
      <c r="C1609" s="4" t="s">
        <v>287</v>
      </c>
      <c r="D1609" s="94">
        <v>3705.0</v>
      </c>
    </row>
    <row r="1610">
      <c r="A1610" s="40">
        <f t="array" ref="A1610">IFNA(index(PlayerValues!A:A,match(IFNA(vlookup(B1610,'Special Names'!A:B,2,FALSE),B1610),PlayerValues!E:E,0)),"N/A")</f>
        <v>9431</v>
      </c>
      <c r="B1610" s="4" t="s">
        <v>428</v>
      </c>
      <c r="C1610" s="4" t="s">
        <v>283</v>
      </c>
      <c r="D1610" s="94">
        <v>3697.0</v>
      </c>
    </row>
    <row r="1611">
      <c r="A1611" s="40">
        <f t="array" ref="A1611">IFNA(index(PlayerValues!A:A,match(IFNA(vlookup(B1611,'Special Names'!A:B,2,FALSE),B1611),PlayerValues!E:E,0)),"N/A")</f>
        <v>11675</v>
      </c>
      <c r="B1611" s="4" t="s">
        <v>438</v>
      </c>
      <c r="C1611" s="4" t="s">
        <v>287</v>
      </c>
      <c r="D1611" s="94">
        <v>3692.0</v>
      </c>
    </row>
    <row r="1612">
      <c r="A1612" s="40">
        <f t="array" ref="A1612">IFNA(index(PlayerValues!A:A,match(IFNA(vlookup(B1612,'Special Names'!A:B,2,FALSE),B1612),PlayerValues!E:E,0)),"N/A")</f>
        <v>14056</v>
      </c>
      <c r="B1612" s="4" t="s">
        <v>423</v>
      </c>
      <c r="C1612" s="4" t="s">
        <v>283</v>
      </c>
      <c r="D1612" s="94">
        <v>3614.0</v>
      </c>
    </row>
    <row r="1613">
      <c r="A1613" s="40">
        <f t="array" ref="A1613">IFNA(index(PlayerValues!A:A,match(IFNA(vlookup(B1613,'Special Names'!A:B,2,FALSE),B1613),PlayerValues!E:E,0)),"N/A")</f>
        <v>17075</v>
      </c>
      <c r="B1613" s="4" t="s">
        <v>429</v>
      </c>
      <c r="C1613" s="4" t="s">
        <v>287</v>
      </c>
      <c r="D1613" s="94">
        <v>3608.0</v>
      </c>
    </row>
    <row r="1614">
      <c r="A1614" s="40">
        <f t="array" ref="A1614">IFNA(index(PlayerValues!A:A,match(IFNA(vlookup(B1614,'Special Names'!A:B,2,FALSE),B1614),PlayerValues!E:E,0)),"N/A")</f>
        <v>15757</v>
      </c>
      <c r="B1614" s="4" t="s">
        <v>449</v>
      </c>
      <c r="C1614" s="4" t="s">
        <v>287</v>
      </c>
      <c r="D1614" s="94">
        <v>3606.0</v>
      </c>
    </row>
    <row r="1615">
      <c r="A1615" s="40">
        <f t="array" ref="A1615">IFNA(index(PlayerValues!A:A,match(IFNA(vlookup(B1615,'Special Names'!A:B,2,FALSE),B1615),PlayerValues!E:E,0)),"N/A")</f>
        <v>14842</v>
      </c>
      <c r="B1615" s="4" t="s">
        <v>456</v>
      </c>
      <c r="C1615" s="4" t="s">
        <v>287</v>
      </c>
      <c r="D1615" s="94">
        <v>3597.0</v>
      </c>
    </row>
    <row r="1616">
      <c r="A1616" s="40">
        <f t="array" ref="A1616">IFNA(index(PlayerValues!A:A,match(IFNA(vlookup(B1616,'Special Names'!A:B,2,FALSE),B1616),PlayerValues!E:E,0)),"N/A")</f>
        <v>16213</v>
      </c>
      <c r="B1616" s="4" t="s">
        <v>458</v>
      </c>
      <c r="C1616" s="4" t="s">
        <v>298</v>
      </c>
      <c r="D1616" s="94">
        <v>4039.0</v>
      </c>
    </row>
    <row r="1617">
      <c r="A1617" s="40">
        <f t="array" ref="A1617">IFNA(index(PlayerValues!A:A,match(IFNA(vlookup(B1617,'Special Names'!A:B,2,FALSE),B1617),PlayerValues!E:E,0)),"N/A")</f>
        <v>16583</v>
      </c>
      <c r="B1617" s="4" t="s">
        <v>493</v>
      </c>
      <c r="C1617" s="4" t="s">
        <v>283</v>
      </c>
      <c r="D1617" s="94">
        <v>3561.0</v>
      </c>
    </row>
    <row r="1618">
      <c r="A1618" s="40">
        <f t="array" ref="A1618">IFNA(index(PlayerValues!A:A,match(IFNA(vlookup(B1618,'Special Names'!A:B,2,FALSE),B1618),PlayerValues!E:E,0)),"N/A")</f>
        <v>16169</v>
      </c>
      <c r="B1618" s="4" t="s">
        <v>457</v>
      </c>
      <c r="C1618" s="4" t="s">
        <v>278</v>
      </c>
      <c r="D1618" s="94">
        <v>3545.0</v>
      </c>
    </row>
    <row r="1619">
      <c r="A1619" s="40">
        <f t="array" ref="A1619">IFNA(index(PlayerValues!A:A,match(IFNA(vlookup(B1619,'Special Names'!A:B,2,FALSE),B1619),PlayerValues!E:E,0)),"N/A")</f>
        <v>16188</v>
      </c>
      <c r="B1619" s="4" t="s">
        <v>439</v>
      </c>
      <c r="C1619" s="4" t="s">
        <v>287</v>
      </c>
      <c r="D1619" s="94">
        <v>3534.0</v>
      </c>
    </row>
    <row r="1620">
      <c r="A1620" s="40">
        <f t="array" ref="A1620">IFNA(index(PlayerValues!A:A,match(IFNA(vlookup(B1620,'Special Names'!A:B,2,FALSE),B1620),PlayerValues!E:E,0)),"N/A")</f>
        <v>16584</v>
      </c>
      <c r="B1620" s="4" t="s">
        <v>569</v>
      </c>
      <c r="C1620" s="4" t="s">
        <v>283</v>
      </c>
      <c r="D1620" s="94">
        <v>3509.0</v>
      </c>
    </row>
    <row r="1621">
      <c r="A1621" s="40">
        <f t="array" ref="A1621">IFNA(index(PlayerValues!A:A,match(IFNA(vlookup(B1621,'Special Names'!A:B,2,FALSE),B1621),PlayerValues!E:E,0)),"N/A")</f>
        <v>16593</v>
      </c>
      <c r="B1621" s="4" t="s">
        <v>442</v>
      </c>
      <c r="C1621" s="4" t="s">
        <v>278</v>
      </c>
      <c r="D1621" s="94">
        <v>3499.0</v>
      </c>
    </row>
    <row r="1622">
      <c r="A1622" s="40">
        <f t="array" ref="A1622">IFNA(index(PlayerValues!A:A,match(IFNA(vlookup(B1622,'Special Names'!A:B,2,FALSE),B1622),PlayerValues!E:E,0)),"N/A")</f>
        <v>15694</v>
      </c>
      <c r="B1622" s="4" t="s">
        <v>434</v>
      </c>
      <c r="C1622" s="4" t="s">
        <v>283</v>
      </c>
      <c r="D1622" s="94">
        <v>3492.0</v>
      </c>
    </row>
    <row r="1623">
      <c r="A1623" s="40">
        <f t="array" ref="A1623">IFNA(index(PlayerValues!A:A,match(IFNA(vlookup(B1623,'Special Names'!A:B,2,FALSE),B1623),PlayerValues!E:E,0)),"N/A")</f>
        <v>17052</v>
      </c>
      <c r="B1623" s="4" t="s">
        <v>417</v>
      </c>
      <c r="C1623" s="4" t="s">
        <v>278</v>
      </c>
      <c r="D1623" s="94">
        <v>3491.0</v>
      </c>
    </row>
    <row r="1624">
      <c r="A1624" s="40">
        <f t="array" ref="A1624">IFNA(index(PlayerValues!A:A,match(IFNA(vlookup(B1624,'Special Names'!A:B,2,FALSE),B1624),PlayerValues!E:E,0)),"N/A")</f>
        <v>16620</v>
      </c>
      <c r="B1624" s="4" t="s">
        <v>467</v>
      </c>
      <c r="C1624" s="4" t="s">
        <v>287</v>
      </c>
      <c r="D1624" s="94">
        <v>3483.0</v>
      </c>
    </row>
    <row r="1625">
      <c r="A1625" s="40">
        <f t="array" ref="A1625">IFNA(index(PlayerValues!A:A,match(IFNA(vlookup(B1625,'Special Names'!A:B,2,FALSE),B1625),PlayerValues!E:E,0)),"N/A")</f>
        <v>15742</v>
      </c>
      <c r="B1625" s="4" t="s">
        <v>447</v>
      </c>
      <c r="C1625" s="4" t="s">
        <v>278</v>
      </c>
      <c r="D1625" s="94">
        <v>3481.0</v>
      </c>
    </row>
    <row r="1626">
      <c r="A1626" s="40" t="str">
        <f t="array" ref="A1626">IFNA(index(PlayerValues!A:A,match(IFNA(vlookup(B1626,'Special Names'!A:B,2,FALSE),B1626),PlayerValues!E:E,0)),"N/A")</f>
        <v>N/A</v>
      </c>
      <c r="B1626" s="4" t="s">
        <v>82</v>
      </c>
      <c r="C1626" s="4" t="s">
        <v>325</v>
      </c>
      <c r="D1626" s="94">
        <v>3478.0</v>
      </c>
    </row>
    <row r="1627">
      <c r="A1627" s="40">
        <f t="array" ref="A1627">IFNA(index(PlayerValues!A:A,match(IFNA(vlookup(B1627,'Special Names'!A:B,2,FALSE),B1627),PlayerValues!E:E,0)),"N/A")</f>
        <v>14127</v>
      </c>
      <c r="B1627" s="4" t="s">
        <v>486</v>
      </c>
      <c r="C1627" s="4" t="s">
        <v>287</v>
      </c>
      <c r="D1627" s="94">
        <v>3443.0</v>
      </c>
    </row>
    <row r="1628">
      <c r="A1628" s="40">
        <f t="array" ref="A1628">IFNA(index(PlayerValues!A:A,match(IFNA(vlookup(B1628,'Special Names'!A:B,2,FALSE),B1628),PlayerValues!E:E,0)),"N/A")</f>
        <v>13299</v>
      </c>
      <c r="B1628" s="4" t="s">
        <v>448</v>
      </c>
      <c r="C1628" s="4" t="s">
        <v>298</v>
      </c>
      <c r="D1628" s="94">
        <v>3888.0</v>
      </c>
    </row>
    <row r="1629">
      <c r="A1629" s="40" t="str">
        <f t="array" ref="A1629">IFNA(index(PlayerValues!A:A,match(IFNA(vlookup(B1629,'Special Names'!A:B,2,FALSE),B1629),PlayerValues!E:E,0)),"N/A")</f>
        <v>N/A</v>
      </c>
      <c r="B1629" s="4" t="s">
        <v>96</v>
      </c>
      <c r="C1629" s="4" t="s">
        <v>325</v>
      </c>
      <c r="D1629" s="94">
        <v>3405.0</v>
      </c>
    </row>
    <row r="1630">
      <c r="A1630" s="40">
        <f t="array" ref="A1630">IFNA(index(PlayerValues!A:A,match(IFNA(vlookup(B1630,'Special Names'!A:B,2,FALSE),B1630),PlayerValues!E:E,0)),"N/A")</f>
        <v>15799</v>
      </c>
      <c r="B1630" s="4" t="s">
        <v>468</v>
      </c>
      <c r="C1630" s="4" t="s">
        <v>298</v>
      </c>
      <c r="D1630" s="94">
        <v>3845.0</v>
      </c>
    </row>
    <row r="1631">
      <c r="A1631" s="40">
        <f t="array" ref="A1631">IFNA(index(PlayerValues!A:A,match(IFNA(vlookup(B1631,'Special Names'!A:B,2,FALSE),B1631),PlayerValues!E:E,0)),"N/A")</f>
        <v>14109</v>
      </c>
      <c r="B1631" s="4" t="s">
        <v>437</v>
      </c>
      <c r="C1631" s="4" t="s">
        <v>287</v>
      </c>
      <c r="D1631" s="94">
        <v>3390.0</v>
      </c>
    </row>
    <row r="1632">
      <c r="A1632" s="40">
        <f t="array" ref="A1632">IFNA(index(PlayerValues!A:A,match(IFNA(vlookup(B1632,'Special Names'!A:B,2,FALSE),B1632),PlayerValues!E:E,0)),"N/A")</f>
        <v>13630</v>
      </c>
      <c r="B1632" s="4" t="s">
        <v>465</v>
      </c>
      <c r="C1632" s="4" t="s">
        <v>287</v>
      </c>
      <c r="D1632" s="94">
        <v>3364.0</v>
      </c>
    </row>
    <row r="1633">
      <c r="A1633" s="40">
        <f t="array" ref="A1633">IFNA(index(PlayerValues!A:A,match(IFNA(vlookup(B1633,'Special Names'!A:B,2,FALSE),B1633),PlayerValues!E:E,0)),"N/A")</f>
        <v>16594</v>
      </c>
      <c r="B1633" s="4" t="s">
        <v>607</v>
      </c>
      <c r="C1633" s="4" t="s">
        <v>278</v>
      </c>
      <c r="D1633" s="94">
        <v>3357.0</v>
      </c>
    </row>
    <row r="1634">
      <c r="A1634" s="40">
        <f t="array" ref="A1634">IFNA(index(PlayerValues!A:A,match(IFNA(vlookup(B1634,'Special Names'!A:B,2,FALSE),B1634),PlayerValues!E:E,0)),"N/A")</f>
        <v>15712</v>
      </c>
      <c r="B1634" s="4" t="s">
        <v>488</v>
      </c>
      <c r="C1634" s="4" t="s">
        <v>278</v>
      </c>
      <c r="D1634" s="94">
        <v>3348.0</v>
      </c>
    </row>
    <row r="1635">
      <c r="A1635" s="40">
        <f t="array" ref="A1635">IFNA(index(PlayerValues!A:A,match(IFNA(vlookup(B1635,'Special Names'!A:B,2,FALSE),B1635),PlayerValues!E:E,0)),"N/A")</f>
        <v>17053</v>
      </c>
      <c r="B1635" s="4" t="s">
        <v>484</v>
      </c>
      <c r="C1635" s="4" t="s">
        <v>278</v>
      </c>
      <c r="D1635" s="94">
        <v>3311.0</v>
      </c>
    </row>
    <row r="1636">
      <c r="A1636" s="40">
        <f t="array" ref="A1636">IFNA(index(PlayerValues!A:A,match(IFNA(vlookup(B1636,'Special Names'!A:B,2,FALSE),B1636),PlayerValues!E:E,0)),"N/A")</f>
        <v>16184</v>
      </c>
      <c r="B1636" s="4" t="s">
        <v>445</v>
      </c>
      <c r="C1636" s="4" t="s">
        <v>287</v>
      </c>
      <c r="D1636" s="94">
        <v>3309.0</v>
      </c>
    </row>
    <row r="1637">
      <c r="A1637" s="40">
        <f t="array" ref="A1637">IFNA(index(PlayerValues!A:A,match(IFNA(vlookup(B1637,'Special Names'!A:B,2,FALSE),B1637),PlayerValues!E:E,0)),"N/A")</f>
        <v>17473</v>
      </c>
      <c r="B1637" s="4" t="s">
        <v>391</v>
      </c>
      <c r="C1637" s="4" t="s">
        <v>278</v>
      </c>
      <c r="D1637" s="94">
        <v>3286.0</v>
      </c>
    </row>
    <row r="1638">
      <c r="A1638" s="40">
        <f t="array" ref="A1638">IFNA(index(PlayerValues!A:A,match(IFNA(vlookup(B1638,'Special Names'!A:B,2,FALSE),B1638),PlayerValues!E:E,0)),"N/A")</f>
        <v>16809</v>
      </c>
      <c r="B1638" s="4" t="s">
        <v>455</v>
      </c>
      <c r="C1638" s="4" t="s">
        <v>287</v>
      </c>
      <c r="D1638" s="94">
        <v>3277.0</v>
      </c>
    </row>
    <row r="1639">
      <c r="A1639" s="40">
        <f t="array" ref="A1639">IFNA(index(PlayerValues!A:A,match(IFNA(vlookup(B1639,'Special Names'!A:B,2,FALSE),B1639),PlayerValues!E:E,0)),"N/A")</f>
        <v>13635</v>
      </c>
      <c r="B1639" s="4" t="s">
        <v>424</v>
      </c>
      <c r="C1639" s="4" t="s">
        <v>287</v>
      </c>
      <c r="D1639" s="94">
        <v>3273.0</v>
      </c>
    </row>
    <row r="1640">
      <c r="A1640" s="40">
        <f t="array" ref="A1640">IFNA(index(PlayerValues!A:A,match(IFNA(vlookup(B1640,'Special Names'!A:B,2,FALSE),B1640),PlayerValues!E:E,0)),"N/A")</f>
        <v>16269</v>
      </c>
      <c r="B1640" s="4" t="s">
        <v>481</v>
      </c>
      <c r="C1640" s="4" t="s">
        <v>298</v>
      </c>
      <c r="D1640" s="94">
        <v>3714.0</v>
      </c>
    </row>
    <row r="1641">
      <c r="A1641" s="40">
        <f t="array" ref="A1641">IFNA(index(PlayerValues!A:A,match(IFNA(vlookup(B1641,'Special Names'!A:B,2,FALSE),B1641),PlayerValues!E:E,0)),"N/A")</f>
        <v>17477</v>
      </c>
      <c r="B1641" s="4" t="s">
        <v>452</v>
      </c>
      <c r="C1641" s="4" t="s">
        <v>278</v>
      </c>
      <c r="D1641" s="94">
        <v>3239.0</v>
      </c>
    </row>
    <row r="1642">
      <c r="A1642" s="40">
        <f t="array" ref="A1642">IFNA(index(PlayerValues!A:A,match(IFNA(vlookup(B1642,'Special Names'!A:B,2,FALSE),B1642),PlayerValues!E:E,0)),"N/A")</f>
        <v>17502</v>
      </c>
      <c r="B1642" s="4" t="s">
        <v>451</v>
      </c>
      <c r="C1642" s="4" t="s">
        <v>287</v>
      </c>
      <c r="D1642" s="94">
        <v>3210.0</v>
      </c>
    </row>
    <row r="1643">
      <c r="A1643" s="40">
        <f t="array" ref="A1643">IFNA(index(PlayerValues!A:A,match(IFNA(vlookup(B1643,'Special Names'!A:B,2,FALSE),B1643),PlayerValues!E:E,0)),"N/A")</f>
        <v>16187</v>
      </c>
      <c r="B1643" s="4" t="s">
        <v>441</v>
      </c>
      <c r="C1643" s="4" t="s">
        <v>287</v>
      </c>
      <c r="D1643" s="94">
        <v>3158.0</v>
      </c>
    </row>
    <row r="1644">
      <c r="A1644" s="40">
        <f t="array" ref="A1644">IFNA(index(PlayerValues!A:A,match(IFNA(vlookup(B1644,'Special Names'!A:B,2,FALSE),B1644),PlayerValues!E:E,0)),"N/A")</f>
        <v>14823</v>
      </c>
      <c r="B1644" s="4" t="s">
        <v>459</v>
      </c>
      <c r="C1644" s="4" t="s">
        <v>278</v>
      </c>
      <c r="D1644" s="94">
        <v>3132.0</v>
      </c>
    </row>
    <row r="1645">
      <c r="A1645" s="40">
        <f t="array" ref="A1645">IFNA(index(PlayerValues!A:A,match(IFNA(vlookup(B1645,'Special Names'!A:B,2,FALSE),B1645),PlayerValues!E:E,0)),"N/A")</f>
        <v>15761</v>
      </c>
      <c r="B1645" s="4" t="s">
        <v>491</v>
      </c>
      <c r="C1645" s="4" t="s">
        <v>287</v>
      </c>
      <c r="D1645" s="94">
        <v>3101.0</v>
      </c>
    </row>
    <row r="1646">
      <c r="A1646" s="40">
        <f t="array" ref="A1646">IFNA(index(PlayerValues!A:A,match(IFNA(vlookup(B1646,'Special Names'!A:B,2,FALSE),B1646),PlayerValues!E:E,0)),"N/A")</f>
        <v>15798</v>
      </c>
      <c r="B1646" s="4" t="s">
        <v>443</v>
      </c>
      <c r="C1646" s="4" t="s">
        <v>298</v>
      </c>
      <c r="D1646" s="94">
        <v>3528.0</v>
      </c>
    </row>
    <row r="1647">
      <c r="A1647" s="40">
        <f t="array" ref="A1647">IFNA(index(PlayerValues!A:A,match(IFNA(vlookup(B1647,'Special Names'!A:B,2,FALSE),B1647),PlayerValues!E:E,0)),"N/A")</f>
        <v>15261</v>
      </c>
      <c r="B1647" s="4" t="s">
        <v>466</v>
      </c>
      <c r="C1647" s="4" t="s">
        <v>278</v>
      </c>
      <c r="D1647" s="94">
        <v>3090.0</v>
      </c>
    </row>
    <row r="1648">
      <c r="A1648" s="40" t="str">
        <f t="array" ref="A1648">IFNA(index(PlayerValues!A:A,match(IFNA(vlookup(B1648,'Special Names'!A:B,2,FALSE),B1648),PlayerValues!E:E,0)),"N/A")</f>
        <v>N/A</v>
      </c>
      <c r="B1648" s="4" t="s">
        <v>108</v>
      </c>
      <c r="C1648" s="4" t="s">
        <v>325</v>
      </c>
      <c r="D1648" s="94">
        <v>3071.0</v>
      </c>
    </row>
    <row r="1649">
      <c r="A1649" s="40" t="str">
        <f t="array" ref="A1649">IFNA(index(PlayerValues!A:A,match(IFNA(vlookup(B1649,'Special Names'!A:B,2,FALSE),B1649),PlayerValues!E:E,0)),"N/A")</f>
        <v>N/A</v>
      </c>
      <c r="B1649" s="4" t="s">
        <v>97</v>
      </c>
      <c r="C1649" s="4" t="s">
        <v>325</v>
      </c>
      <c r="D1649" s="94">
        <v>3045.0</v>
      </c>
    </row>
    <row r="1650">
      <c r="A1650" s="40">
        <f t="array" ref="A1650">IFNA(index(PlayerValues!A:A,match(IFNA(vlookup(B1650,'Special Names'!A:B,2,FALSE),B1650),PlayerValues!E:E,0)),"N/A")</f>
        <v>16619</v>
      </c>
      <c r="B1650" s="4" t="s">
        <v>538</v>
      </c>
      <c r="C1650" s="4" t="s">
        <v>287</v>
      </c>
      <c r="D1650" s="94">
        <v>3043.0</v>
      </c>
    </row>
    <row r="1651">
      <c r="A1651" s="40" t="str">
        <f t="array" ref="A1651">IFNA(index(PlayerValues!A:A,match(IFNA(vlookup(B1651,'Special Names'!A:B,2,FALSE),B1651),PlayerValues!E:E,0)),"N/A")</f>
        <v>N/A</v>
      </c>
      <c r="B1651" s="4" t="s">
        <v>84</v>
      </c>
      <c r="C1651" s="4" t="s">
        <v>325</v>
      </c>
      <c r="D1651" s="94">
        <v>3039.0</v>
      </c>
    </row>
    <row r="1652">
      <c r="A1652" s="40">
        <f t="array" ref="A1652">IFNA(index(PlayerValues!A:A,match(IFNA(vlookup(B1652,'Special Names'!A:B,2,FALSE),B1652),PlayerValues!E:E,0)),"N/A")</f>
        <v>15259</v>
      </c>
      <c r="B1652" s="4" t="s">
        <v>453</v>
      </c>
      <c r="C1652" s="4" t="s">
        <v>278</v>
      </c>
      <c r="D1652" s="94">
        <v>3023.0</v>
      </c>
    </row>
    <row r="1653">
      <c r="A1653" s="40">
        <f t="array" ref="A1653">IFNA(index(PlayerValues!A:A,match(IFNA(vlookup(B1653,'Special Names'!A:B,2,FALSE),B1653),PlayerValues!E:E,0)),"N/A")</f>
        <v>17082</v>
      </c>
      <c r="B1653" s="4" t="s">
        <v>498</v>
      </c>
      <c r="C1653" s="4" t="s">
        <v>287</v>
      </c>
      <c r="D1653" s="94">
        <v>3009.0</v>
      </c>
    </row>
    <row r="1654">
      <c r="A1654" s="40">
        <f t="array" ref="A1654">IFNA(index(PlayerValues!A:A,match(IFNA(vlookup(B1654,'Special Names'!A:B,2,FALSE),B1654),PlayerValues!E:E,0)),"N/A")</f>
        <v>15779</v>
      </c>
      <c r="B1654" s="4" t="s">
        <v>461</v>
      </c>
      <c r="C1654" s="4" t="s">
        <v>287</v>
      </c>
      <c r="D1654" s="94">
        <v>2988.0</v>
      </c>
    </row>
    <row r="1655">
      <c r="A1655" s="40">
        <f t="array" ref="A1655">IFNA(index(PlayerValues!A:A,match(IFNA(vlookup(B1655,'Special Names'!A:B,2,FALSE),B1655),PlayerValues!E:E,0)),"N/A")</f>
        <v>16193</v>
      </c>
      <c r="B1655" s="4" t="s">
        <v>487</v>
      </c>
      <c r="C1655" s="4" t="s">
        <v>287</v>
      </c>
      <c r="D1655" s="94">
        <v>2966.0</v>
      </c>
    </row>
    <row r="1656">
      <c r="A1656" s="40">
        <f t="array" ref="A1656">IFNA(index(PlayerValues!A:A,match(IFNA(vlookup(B1656,'Special Names'!A:B,2,FALSE),B1656),PlayerValues!E:E,0)),"N/A")</f>
        <v>15241</v>
      </c>
      <c r="B1656" s="4" t="s">
        <v>546</v>
      </c>
      <c r="C1656" s="4" t="s">
        <v>283</v>
      </c>
      <c r="D1656" s="94">
        <v>2931.0</v>
      </c>
    </row>
    <row r="1657">
      <c r="A1657" s="40">
        <f t="array" ref="A1657">IFNA(index(PlayerValues!A:A,match(IFNA(vlookup(B1657,'Special Names'!A:B,2,FALSE),B1657),PlayerValues!E:E,0)),"N/A")</f>
        <v>17106</v>
      </c>
      <c r="B1657" s="4" t="s">
        <v>550</v>
      </c>
      <c r="C1657" s="4" t="s">
        <v>298</v>
      </c>
      <c r="D1657" s="94">
        <v>3348.0</v>
      </c>
    </row>
    <row r="1658">
      <c r="A1658" s="40">
        <f t="array" ref="A1658">IFNA(index(PlayerValues!A:A,match(IFNA(vlookup(B1658,'Special Names'!A:B,2,FALSE),B1658),PlayerValues!E:E,0)),"N/A")</f>
        <v>16723</v>
      </c>
      <c r="B1658" s="4" t="s">
        <v>502</v>
      </c>
      <c r="C1658" s="4" t="s">
        <v>298</v>
      </c>
      <c r="D1658" s="94">
        <v>3338.0</v>
      </c>
    </row>
    <row r="1659">
      <c r="A1659" s="40">
        <f t="array" ref="A1659">IFNA(index(PlayerValues!A:A,match(IFNA(vlookup(B1659,'Special Names'!A:B,2,FALSE),B1659),PlayerValues!E:E,0)),"N/A")</f>
        <v>17256</v>
      </c>
      <c r="B1659" s="4" t="s">
        <v>462</v>
      </c>
      <c r="C1659" s="4" t="s">
        <v>278</v>
      </c>
      <c r="D1659" s="94">
        <v>2915.0</v>
      </c>
    </row>
    <row r="1660">
      <c r="A1660" s="40">
        <f t="array" ref="A1660">IFNA(index(PlayerValues!A:A,match(IFNA(vlookup(B1660,'Special Names'!A:B,2,FALSE),B1660),PlayerValues!E:E,0)),"N/A")</f>
        <v>14860</v>
      </c>
      <c r="B1660" s="4" t="s">
        <v>554</v>
      </c>
      <c r="C1660" s="4" t="s">
        <v>287</v>
      </c>
      <c r="D1660" s="94">
        <v>2910.0</v>
      </c>
    </row>
    <row r="1661">
      <c r="A1661" s="40">
        <f t="array" ref="A1661">IFNA(index(PlayerValues!A:A,match(IFNA(vlookup(B1661,'Special Names'!A:B,2,FALSE),B1661),PlayerValues!E:E,0)),"N/A")</f>
        <v>17107</v>
      </c>
      <c r="B1661" s="4" t="s">
        <v>478</v>
      </c>
      <c r="C1661" s="4" t="s">
        <v>298</v>
      </c>
      <c r="D1661" s="94">
        <v>3324.0</v>
      </c>
    </row>
    <row r="1662">
      <c r="A1662" s="40">
        <f t="array" ref="A1662">IFNA(index(PlayerValues!A:A,match(IFNA(vlookup(B1662,'Special Names'!A:B,2,FALSE),B1662),PlayerValues!E:E,0)),"N/A")</f>
        <v>11671</v>
      </c>
      <c r="B1662" s="4" t="s">
        <v>463</v>
      </c>
      <c r="C1662" s="4" t="s">
        <v>287</v>
      </c>
      <c r="D1662" s="94">
        <v>2902.0</v>
      </c>
    </row>
    <row r="1663">
      <c r="A1663" s="40">
        <f t="array" ref="A1663">IFNA(index(PlayerValues!A:A,match(IFNA(vlookup(B1663,'Special Names'!A:B,2,FALSE),B1663),PlayerValues!E:E,0)),"N/A")</f>
        <v>17463</v>
      </c>
      <c r="B1663" s="4" t="s">
        <v>433</v>
      </c>
      <c r="C1663" s="4" t="s">
        <v>283</v>
      </c>
      <c r="D1663" s="94">
        <v>2884.0</v>
      </c>
    </row>
    <row r="1664">
      <c r="A1664" s="40">
        <f t="array" ref="A1664">IFNA(index(PlayerValues!A:A,match(IFNA(vlookup(B1664,'Special Names'!A:B,2,FALSE),B1664),PlayerValues!E:E,0)),"N/A")</f>
        <v>16080</v>
      </c>
      <c r="B1664" s="4" t="s">
        <v>499</v>
      </c>
      <c r="C1664" s="4" t="s">
        <v>287</v>
      </c>
      <c r="D1664" s="94">
        <v>2876.0</v>
      </c>
    </row>
    <row r="1665">
      <c r="A1665" s="40">
        <f t="array" ref="A1665">IFNA(index(PlayerValues!A:A,match(IFNA(vlookup(B1665,'Special Names'!A:B,2,FALSE),B1665),PlayerValues!E:E,0)),"N/A")</f>
        <v>16628</v>
      </c>
      <c r="B1665" s="4" t="s">
        <v>490</v>
      </c>
      <c r="C1665" s="4" t="s">
        <v>287</v>
      </c>
      <c r="D1665" s="94">
        <v>2849.0</v>
      </c>
    </row>
    <row r="1666">
      <c r="A1666" s="40">
        <f t="array" ref="A1666">IFNA(index(PlayerValues!A:A,match(IFNA(vlookup(B1666,'Special Names'!A:B,2,FALSE),B1666),PlayerValues!E:E,0)),"N/A")</f>
        <v>17031</v>
      </c>
      <c r="B1666" s="4" t="s">
        <v>535</v>
      </c>
      <c r="C1666" s="4" t="s">
        <v>283</v>
      </c>
      <c r="D1666" s="94">
        <v>2842.0</v>
      </c>
    </row>
    <row r="1667">
      <c r="A1667" s="40">
        <f t="array" ref="A1667">IFNA(index(PlayerValues!A:A,match(IFNA(vlookup(B1667,'Special Names'!A:B,2,FALSE),B1667),PlayerValues!E:E,0)),"N/A")</f>
        <v>17073</v>
      </c>
      <c r="B1667" s="4" t="s">
        <v>547</v>
      </c>
      <c r="C1667" s="4" t="s">
        <v>287</v>
      </c>
      <c r="D1667" s="94">
        <v>2838.0</v>
      </c>
    </row>
    <row r="1668">
      <c r="A1668" s="40">
        <f t="array" ref="A1668">IFNA(index(PlayerValues!A:A,match(IFNA(vlookup(B1668,'Special Names'!A:B,2,FALSE),B1668),PlayerValues!E:E,0)),"N/A")</f>
        <v>17072</v>
      </c>
      <c r="B1668" s="4" t="s">
        <v>508</v>
      </c>
      <c r="C1668" s="4" t="s">
        <v>287</v>
      </c>
      <c r="D1668" s="94">
        <v>2837.0</v>
      </c>
    </row>
    <row r="1669">
      <c r="A1669" s="40">
        <f t="array" ref="A1669">IFNA(index(PlayerValues!A:A,match(IFNA(vlookup(B1669,'Special Names'!A:B,2,FALSE),B1669),PlayerValues!E:E,0)),"N/A")</f>
        <v>17157</v>
      </c>
      <c r="B1669" s="4" t="s">
        <v>524</v>
      </c>
      <c r="C1669" s="4" t="s">
        <v>287</v>
      </c>
      <c r="D1669" s="94">
        <v>2837.0</v>
      </c>
    </row>
    <row r="1670">
      <c r="A1670" s="40">
        <f t="array" ref="A1670">IFNA(index(PlayerValues!A:A,match(IFNA(vlookup(B1670,'Special Names'!A:B,2,FALSE),B1670),PlayerValues!E:E,0)),"N/A")</f>
        <v>17171</v>
      </c>
      <c r="B1670" s="4" t="s">
        <v>561</v>
      </c>
      <c r="C1670" s="4" t="s">
        <v>287</v>
      </c>
      <c r="D1670" s="94">
        <v>2836.0</v>
      </c>
    </row>
    <row r="1671">
      <c r="A1671" s="40" t="str">
        <f t="array" ref="A1671">IFNA(index(PlayerValues!A:A,match(IFNA(vlookup(B1671,'Special Names'!A:B,2,FALSE),B1671),PlayerValues!E:E,0)),"N/A")</f>
        <v>N/A</v>
      </c>
      <c r="B1671" s="4" t="s">
        <v>109</v>
      </c>
      <c r="C1671" s="4" t="s">
        <v>325</v>
      </c>
      <c r="D1671" s="94">
        <v>2833.0</v>
      </c>
    </row>
    <row r="1672">
      <c r="A1672" s="40">
        <f t="array" ref="A1672">IFNA(index(PlayerValues!A:A,match(IFNA(vlookup(B1672,'Special Names'!A:B,2,FALSE),B1672),PlayerValues!E:E,0)),"N/A")</f>
        <v>16596</v>
      </c>
      <c r="B1672" s="4" t="s">
        <v>501</v>
      </c>
      <c r="C1672" s="4" t="s">
        <v>278</v>
      </c>
      <c r="D1672" s="94">
        <v>2827.0</v>
      </c>
    </row>
    <row r="1673">
      <c r="A1673" s="40">
        <f t="array" ref="A1673">IFNA(index(PlayerValues!A:A,match(IFNA(vlookup(B1673,'Special Names'!A:B,2,FALSE),B1673),PlayerValues!E:E,0)),"N/A")</f>
        <v>14071</v>
      </c>
      <c r="B1673" s="4" t="s">
        <v>440</v>
      </c>
      <c r="C1673" s="4" t="s">
        <v>278</v>
      </c>
      <c r="D1673" s="94">
        <v>2825.0</v>
      </c>
    </row>
    <row r="1674">
      <c r="A1674" s="40">
        <f t="array" ref="A1674">IFNA(index(PlayerValues!A:A,match(IFNA(vlookup(B1674,'Special Names'!A:B,2,FALSE),B1674),PlayerValues!E:E,0)),"N/A")</f>
        <v>16165</v>
      </c>
      <c r="B1674" s="4" t="s">
        <v>520</v>
      </c>
      <c r="C1674" s="4" t="s">
        <v>278</v>
      </c>
      <c r="D1674" s="94">
        <v>2814.0</v>
      </c>
    </row>
    <row r="1675">
      <c r="A1675" s="40">
        <f t="array" ref="A1675">IFNA(index(PlayerValues!A:A,match(IFNA(vlookup(B1675,'Special Names'!A:B,2,FALSE),B1675),PlayerValues!E:E,0)),"N/A")</f>
        <v>16649</v>
      </c>
      <c r="B1675" s="4" t="s">
        <v>586</v>
      </c>
      <c r="C1675" s="4" t="s">
        <v>298</v>
      </c>
      <c r="D1675" s="94">
        <v>3215.0</v>
      </c>
    </row>
    <row r="1676">
      <c r="A1676" s="40">
        <f t="array" ref="A1676">IFNA(index(PlayerValues!A:A,match(IFNA(vlookup(B1676,'Special Names'!A:B,2,FALSE),B1676),PlayerValues!E:E,0)),"N/A")</f>
        <v>17080</v>
      </c>
      <c r="B1676" s="4" t="s">
        <v>532</v>
      </c>
      <c r="C1676" s="4" t="s">
        <v>287</v>
      </c>
      <c r="D1676" s="94">
        <v>2791.0</v>
      </c>
    </row>
    <row r="1677">
      <c r="A1677" s="40">
        <f t="array" ref="A1677">IFNA(index(PlayerValues!A:A,match(IFNA(vlookup(B1677,'Special Names'!A:B,2,FALSE),B1677),PlayerValues!E:E,0)),"N/A")</f>
        <v>15255</v>
      </c>
      <c r="B1677" s="4" t="s">
        <v>477</v>
      </c>
      <c r="C1677" s="4" t="s">
        <v>278</v>
      </c>
      <c r="D1677" s="94">
        <v>2786.0</v>
      </c>
    </row>
    <row r="1678">
      <c r="A1678" s="40" t="str">
        <f t="array" ref="A1678">IFNA(index(PlayerValues!A:A,match(IFNA(vlookup(B1678,'Special Names'!A:B,2,FALSE),B1678),PlayerValues!E:E,0)),"N/A")</f>
        <v>N/A</v>
      </c>
      <c r="B1678" s="4" t="s">
        <v>85</v>
      </c>
      <c r="C1678" s="4" t="s">
        <v>325</v>
      </c>
      <c r="D1678" s="94">
        <v>2786.0</v>
      </c>
    </row>
    <row r="1679">
      <c r="A1679" s="40">
        <f t="array" ref="A1679">IFNA(index(PlayerValues!A:A,match(IFNA(vlookup(B1679,'Special Names'!A:B,2,FALSE),B1679),PlayerValues!E:E,0)),"N/A")</f>
        <v>13163</v>
      </c>
      <c r="B1679" s="4" t="s">
        <v>473</v>
      </c>
      <c r="C1679" s="4" t="s">
        <v>287</v>
      </c>
      <c r="D1679" s="94">
        <v>2785.0</v>
      </c>
    </row>
    <row r="1680">
      <c r="A1680" s="40">
        <f t="array" ref="A1680">IFNA(index(PlayerValues!A:A,match(IFNA(vlookup(B1680,'Special Names'!A:B,2,FALSE),B1680),PlayerValues!E:E,0)),"N/A")</f>
        <v>14800</v>
      </c>
      <c r="B1680" s="4" t="s">
        <v>472</v>
      </c>
      <c r="C1680" s="4" t="s">
        <v>278</v>
      </c>
      <c r="D1680" s="94">
        <v>2785.0</v>
      </c>
    </row>
    <row r="1681">
      <c r="A1681" s="40">
        <f t="array" ref="A1681">IFNA(index(PlayerValues!A:A,match(IFNA(vlookup(B1681,'Special Names'!A:B,2,FALSE),B1681),PlayerValues!E:E,0)),"N/A")</f>
        <v>17098</v>
      </c>
      <c r="B1681" s="4" t="s">
        <v>533</v>
      </c>
      <c r="C1681" s="4" t="s">
        <v>287</v>
      </c>
      <c r="D1681" s="94">
        <v>2785.0</v>
      </c>
    </row>
    <row r="1682">
      <c r="A1682" s="40">
        <f t="array" ref="A1682">IFNA(index(PlayerValues!A:A,match(IFNA(vlookup(B1682,'Special Names'!A:B,2,FALSE),B1682),PlayerValues!E:E,0)),"N/A")</f>
        <v>16597</v>
      </c>
      <c r="B1682" s="4" t="s">
        <v>427</v>
      </c>
      <c r="C1682" s="4" t="s">
        <v>278</v>
      </c>
      <c r="D1682" s="94">
        <v>2784.0</v>
      </c>
    </row>
    <row r="1683">
      <c r="A1683" s="40">
        <f t="array" ref="A1683">IFNA(index(PlayerValues!A:A,match(IFNA(vlookup(B1683,'Special Names'!A:B,2,FALSE),B1683),PlayerValues!E:E,0)),"N/A")</f>
        <v>17134</v>
      </c>
      <c r="B1683" s="4" t="s">
        <v>548</v>
      </c>
      <c r="C1683" s="4" t="s">
        <v>287</v>
      </c>
      <c r="D1683" s="94">
        <v>2773.0</v>
      </c>
    </row>
    <row r="1684">
      <c r="A1684" s="40">
        <f t="array" ref="A1684">IFNA(index(PlayerValues!A:A,match(IFNA(vlookup(B1684,'Special Names'!A:B,2,FALSE),B1684),PlayerValues!E:E,0)),"N/A")</f>
        <v>17476</v>
      </c>
      <c r="B1684" s="4" t="s">
        <v>494</v>
      </c>
      <c r="C1684" s="4" t="s">
        <v>278</v>
      </c>
      <c r="D1684" s="94">
        <v>2758.0</v>
      </c>
    </row>
    <row r="1685">
      <c r="A1685" s="40">
        <f t="array" ref="A1685">IFNA(index(PlayerValues!A:A,match(IFNA(vlookup(B1685,'Special Names'!A:B,2,FALSE),B1685),PlayerValues!E:E,0)),"N/A")</f>
        <v>14138</v>
      </c>
      <c r="B1685" s="4" t="s">
        <v>531</v>
      </c>
      <c r="C1685" s="4" t="s">
        <v>298</v>
      </c>
      <c r="D1685" s="94">
        <v>3141.0</v>
      </c>
    </row>
    <row r="1686">
      <c r="A1686" s="40">
        <f t="array" ref="A1686">IFNA(index(PlayerValues!A:A,match(IFNA(vlookup(B1686,'Special Names'!A:B,2,FALSE),B1686),PlayerValues!E:E,0)),"N/A")</f>
        <v>16747</v>
      </c>
      <c r="B1686" s="4" t="s">
        <v>555</v>
      </c>
      <c r="C1686" s="4" t="s">
        <v>278</v>
      </c>
      <c r="D1686" s="94">
        <v>2713.0</v>
      </c>
    </row>
    <row r="1687">
      <c r="A1687" s="40">
        <f t="array" ref="A1687">IFNA(index(PlayerValues!A:A,match(IFNA(vlookup(B1687,'Special Names'!A:B,2,FALSE),B1687),PlayerValues!E:E,0)),"N/A")</f>
        <v>16626</v>
      </c>
      <c r="B1687" s="4" t="s">
        <v>515</v>
      </c>
      <c r="C1687" s="4" t="s">
        <v>287</v>
      </c>
      <c r="D1687" s="94">
        <v>2709.0</v>
      </c>
    </row>
    <row r="1688">
      <c r="A1688" s="40">
        <f t="array" ref="A1688">IFNA(index(PlayerValues!A:A,match(IFNA(vlookup(B1688,'Special Names'!A:B,2,FALSE),B1688),PlayerValues!E:E,0)),"N/A")</f>
        <v>17048</v>
      </c>
      <c r="B1688" s="4" t="s">
        <v>539</v>
      </c>
      <c r="C1688" s="4" t="s">
        <v>278</v>
      </c>
      <c r="D1688" s="94">
        <v>2709.0</v>
      </c>
    </row>
    <row r="1689">
      <c r="A1689" s="40">
        <f t="array" ref="A1689">IFNA(index(PlayerValues!A:A,match(IFNA(vlookup(B1689,'Special Names'!A:B,2,FALSE),B1689),PlayerValues!E:E,0)),"N/A")</f>
        <v>17047</v>
      </c>
      <c r="B1689" s="4" t="s">
        <v>510</v>
      </c>
      <c r="C1689" s="4" t="s">
        <v>278</v>
      </c>
      <c r="D1689" s="94">
        <v>2702.0</v>
      </c>
    </row>
    <row r="1690">
      <c r="A1690" s="40">
        <f t="array" ref="A1690">IFNA(index(PlayerValues!A:A,match(IFNA(vlookup(B1690,'Special Names'!A:B,2,FALSE),B1690),PlayerValues!E:E,0)),"N/A")</f>
        <v>14778</v>
      </c>
      <c r="B1690" s="4" t="s">
        <v>564</v>
      </c>
      <c r="C1690" s="4" t="s">
        <v>283</v>
      </c>
      <c r="D1690" s="94">
        <v>2701.0</v>
      </c>
    </row>
    <row r="1691">
      <c r="A1691" s="40">
        <f t="array" ref="A1691">IFNA(index(PlayerValues!A:A,match(IFNA(vlookup(B1691,'Special Names'!A:B,2,FALSE),B1691),PlayerValues!E:E,0)),"N/A")</f>
        <v>14085</v>
      </c>
      <c r="B1691" s="4" t="s">
        <v>489</v>
      </c>
      <c r="C1691" s="4" t="s">
        <v>278</v>
      </c>
      <c r="D1691" s="94">
        <v>2688.0</v>
      </c>
    </row>
    <row r="1692">
      <c r="A1692" s="40" t="str">
        <f t="array" ref="A1692">IFNA(index(PlayerValues!A:A,match(IFNA(vlookup(B1692,'Special Names'!A:B,2,FALSE),B1692),PlayerValues!E:E,0)),"N/A")</f>
        <v>N/A</v>
      </c>
      <c r="B1692" s="4" t="s">
        <v>110</v>
      </c>
      <c r="C1692" s="4" t="s">
        <v>325</v>
      </c>
      <c r="D1692" s="94">
        <v>2659.0</v>
      </c>
    </row>
    <row r="1693">
      <c r="A1693" s="40">
        <f t="array" ref="A1693">IFNA(index(PlayerValues!A:A,match(IFNA(vlookup(B1693,'Special Names'!A:B,2,FALSE),B1693),PlayerValues!E:E,0)),"N/A")</f>
        <v>12186</v>
      </c>
      <c r="B1693" s="4" t="s">
        <v>497</v>
      </c>
      <c r="C1693" s="4" t="s">
        <v>287</v>
      </c>
      <c r="D1693" s="94">
        <v>2655.0</v>
      </c>
    </row>
    <row r="1694">
      <c r="A1694" s="40">
        <f t="array" ref="A1694">IFNA(index(PlayerValues!A:A,match(IFNA(vlookup(B1694,'Special Names'!A:B,2,FALSE),B1694),PlayerValues!E:E,0)),"N/A")</f>
        <v>17046</v>
      </c>
      <c r="B1694" s="4" t="s">
        <v>602</v>
      </c>
      <c r="C1694" s="4" t="s">
        <v>278</v>
      </c>
      <c r="D1694" s="94">
        <v>2649.0</v>
      </c>
    </row>
    <row r="1695">
      <c r="A1695" s="40">
        <f t="array" ref="A1695">IFNA(index(PlayerValues!A:A,match(IFNA(vlookup(B1695,'Special Names'!A:B,2,FALSE),B1695),PlayerValues!E:E,0)),"N/A")</f>
        <v>14833</v>
      </c>
      <c r="B1695" s="4" t="s">
        <v>553</v>
      </c>
      <c r="C1695" s="4" t="s">
        <v>287</v>
      </c>
      <c r="D1695" s="94">
        <v>2647.0</v>
      </c>
    </row>
    <row r="1696">
      <c r="A1696" s="40">
        <f t="array" ref="A1696">IFNA(index(PlayerValues!A:A,match(IFNA(vlookup(B1696,'Special Names'!A:B,2,FALSE),B1696),PlayerValues!E:E,0)),"N/A")</f>
        <v>14840</v>
      </c>
      <c r="B1696" s="4" t="s">
        <v>731</v>
      </c>
      <c r="C1696" s="4" t="s">
        <v>287</v>
      </c>
      <c r="D1696" s="94">
        <v>2640.0</v>
      </c>
    </row>
    <row r="1697">
      <c r="A1697" s="40">
        <f t="array" ref="A1697">IFNA(index(PlayerValues!A:A,match(IFNA(vlookup(B1697,'Special Names'!A:B,2,FALSE),B1697),PlayerValues!E:E,0)),"N/A")</f>
        <v>15721</v>
      </c>
      <c r="B1697" s="4" t="s">
        <v>504</v>
      </c>
      <c r="C1697" s="4" t="s">
        <v>278</v>
      </c>
      <c r="D1697" s="94">
        <v>2636.0</v>
      </c>
    </row>
    <row r="1698">
      <c r="A1698" s="40">
        <f t="array" ref="A1698">IFNA(index(PlayerValues!A:A,match(IFNA(vlookup(B1698,'Special Names'!A:B,2,FALSE),B1698),PlayerValues!E:E,0)),"N/A")</f>
        <v>13192</v>
      </c>
      <c r="B1698" s="4" t="s">
        <v>563</v>
      </c>
      <c r="C1698" s="4" t="s">
        <v>298</v>
      </c>
      <c r="D1698" s="94">
        <v>3046.0</v>
      </c>
    </row>
    <row r="1699">
      <c r="A1699" s="40">
        <f t="array" ref="A1699">IFNA(index(PlayerValues!A:A,match(IFNA(vlookup(B1699,'Special Names'!A:B,2,FALSE),B1699),PlayerValues!E:E,0)),"N/A")</f>
        <v>17108</v>
      </c>
      <c r="B1699" s="4" t="s">
        <v>542</v>
      </c>
      <c r="C1699" s="4" t="s">
        <v>298</v>
      </c>
      <c r="D1699" s="94">
        <v>3042.0</v>
      </c>
    </row>
    <row r="1700">
      <c r="A1700" s="40">
        <f t="array" ref="A1700">IFNA(index(PlayerValues!A:A,match(IFNA(vlookup(B1700,'Special Names'!A:B,2,FALSE),B1700),PlayerValues!E:E,0)),"N/A")</f>
        <v>16757</v>
      </c>
      <c r="B1700" s="4" t="s">
        <v>558</v>
      </c>
      <c r="C1700" s="4" t="s">
        <v>278</v>
      </c>
      <c r="D1700" s="94">
        <v>2611.0</v>
      </c>
    </row>
    <row r="1701">
      <c r="A1701" s="40" t="str">
        <f t="array" ref="A1701">IFNA(index(PlayerValues!A:A,match(IFNA(vlookup(B1701,'Special Names'!A:B,2,FALSE),B1701),PlayerValues!E:E,0)),"N/A")</f>
        <v>N/A</v>
      </c>
      <c r="B1701" s="4" t="s">
        <v>557</v>
      </c>
      <c r="C1701" s="4" t="s">
        <v>278</v>
      </c>
      <c r="D1701" s="94">
        <v>2593.0</v>
      </c>
    </row>
    <row r="1702">
      <c r="A1702" s="40">
        <f t="array" ref="A1702">IFNA(index(PlayerValues!A:A,match(IFNA(vlookup(B1702,'Special Names'!A:B,2,FALSE),B1702),PlayerValues!E:E,0)),"N/A")</f>
        <v>16152</v>
      </c>
      <c r="B1702" s="4" t="s">
        <v>601</v>
      </c>
      <c r="C1702" s="4" t="s">
        <v>283</v>
      </c>
      <c r="D1702" s="94">
        <v>2585.0</v>
      </c>
    </row>
    <row r="1703">
      <c r="A1703" s="40">
        <f t="array" ref="A1703">IFNA(index(PlayerValues!A:A,match(IFNA(vlookup(B1703,'Special Names'!A:B,2,FALSE),B1703),PlayerValues!E:E,0)),"N/A")</f>
        <v>13674</v>
      </c>
      <c r="B1703" s="4" t="s">
        <v>511</v>
      </c>
      <c r="C1703" s="4" t="s">
        <v>298</v>
      </c>
      <c r="D1703" s="94">
        <v>2993.0</v>
      </c>
    </row>
    <row r="1704">
      <c r="A1704" s="40">
        <f t="array" ref="A1704">IFNA(index(PlayerValues!A:A,match(IFNA(vlookup(B1704,'Special Names'!A:B,2,FALSE),B1704),PlayerValues!E:E,0)),"N/A")</f>
        <v>17078</v>
      </c>
      <c r="B1704" s="4" t="s">
        <v>543</v>
      </c>
      <c r="C1704" s="4" t="s">
        <v>287</v>
      </c>
      <c r="D1704" s="94">
        <v>2566.0</v>
      </c>
    </row>
    <row r="1705">
      <c r="A1705" s="40">
        <f t="array" ref="A1705">IFNA(index(PlayerValues!A:A,match(IFNA(vlookup(B1705,'Special Names'!A:B,2,FALSE),B1705),PlayerValues!E:E,0)),"N/A")</f>
        <v>16166</v>
      </c>
      <c r="B1705" s="4" t="s">
        <v>567</v>
      </c>
      <c r="C1705" s="4" t="s">
        <v>278</v>
      </c>
      <c r="D1705" s="94">
        <v>2565.0</v>
      </c>
    </row>
    <row r="1706">
      <c r="A1706" s="40">
        <f t="array" ref="A1706">IFNA(index(PlayerValues!A:A,match(IFNA(vlookup(B1706,'Special Names'!A:B,2,FALSE),B1706),PlayerValues!E:E,0)),"N/A")</f>
        <v>13671</v>
      </c>
      <c r="B1706" s="4" t="s">
        <v>506</v>
      </c>
      <c r="C1706" s="4" t="s">
        <v>298</v>
      </c>
      <c r="D1706" s="94">
        <v>2968.0</v>
      </c>
    </row>
    <row r="1707">
      <c r="A1707" s="40">
        <f t="array" ref="A1707">IFNA(index(PlayerValues!A:A,match(IFNA(vlookup(B1707,'Special Names'!A:B,2,FALSE),B1707),PlayerValues!E:E,0)),"N/A")</f>
        <v>17505</v>
      </c>
      <c r="B1707" s="4" t="s">
        <v>528</v>
      </c>
      <c r="C1707" s="4" t="s">
        <v>287</v>
      </c>
      <c r="D1707" s="94">
        <v>2559.0</v>
      </c>
    </row>
    <row r="1708">
      <c r="A1708" s="40">
        <f t="array" ref="A1708">IFNA(index(PlayerValues!A:A,match(IFNA(vlookup(B1708,'Special Names'!A:B,2,FALSE),B1708),PlayerValues!E:E,0)),"N/A")</f>
        <v>14136</v>
      </c>
      <c r="B1708" s="4" t="s">
        <v>536</v>
      </c>
      <c r="C1708" s="4" t="s">
        <v>287</v>
      </c>
      <c r="D1708" s="94">
        <v>2551.0</v>
      </c>
    </row>
    <row r="1709">
      <c r="A1709" s="40">
        <f t="array" ref="A1709">IFNA(index(PlayerValues!A:A,match(IFNA(vlookup(B1709,'Special Names'!A:B,2,FALSE),B1709),PlayerValues!E:E,0)),"N/A")</f>
        <v>16189</v>
      </c>
      <c r="B1709" s="4" t="s">
        <v>582</v>
      </c>
      <c r="C1709" s="4" t="s">
        <v>287</v>
      </c>
      <c r="D1709" s="94">
        <v>2541.0</v>
      </c>
    </row>
    <row r="1710">
      <c r="A1710" s="40">
        <f t="array" ref="A1710">IFNA(index(PlayerValues!A:A,match(IFNA(vlookup(B1710,'Special Names'!A:B,2,FALSE),B1710),PlayerValues!E:E,0)),"N/A")</f>
        <v>16164</v>
      </c>
      <c r="B1710" s="4" t="s">
        <v>512</v>
      </c>
      <c r="C1710" s="4" t="s">
        <v>278</v>
      </c>
      <c r="D1710" s="94">
        <v>2523.0</v>
      </c>
    </row>
    <row r="1711">
      <c r="A1711" s="40">
        <f t="array" ref="A1711">IFNA(index(PlayerValues!A:A,match(IFNA(vlookup(B1711,'Special Names'!A:B,2,FALSE),B1711),PlayerValues!E:E,0)),"N/A")</f>
        <v>16617</v>
      </c>
      <c r="B1711" s="4" t="s">
        <v>541</v>
      </c>
      <c r="C1711" s="4" t="s">
        <v>287</v>
      </c>
      <c r="D1711" s="94">
        <v>2514.0</v>
      </c>
    </row>
    <row r="1712">
      <c r="A1712" s="40">
        <f t="array" ref="A1712">IFNA(index(PlayerValues!A:A,match(IFNA(vlookup(B1712,'Special Names'!A:B,2,FALSE),B1712),PlayerValues!E:E,0)),"N/A")</f>
        <v>12616</v>
      </c>
      <c r="B1712" s="4" t="s">
        <v>529</v>
      </c>
      <c r="C1712" s="4" t="s">
        <v>283</v>
      </c>
      <c r="D1712" s="94">
        <v>2503.0</v>
      </c>
    </row>
    <row r="1713">
      <c r="A1713" s="40">
        <f t="array" ref="A1713">IFNA(index(PlayerValues!A:A,match(IFNA(vlookup(B1713,'Special Names'!A:B,2,FALSE),B1713),PlayerValues!E:E,0)),"N/A")</f>
        <v>15972</v>
      </c>
      <c r="B1713" s="4" t="s">
        <v>469</v>
      </c>
      <c r="C1713" s="4" t="s">
        <v>278</v>
      </c>
      <c r="D1713" s="94">
        <v>2477.0</v>
      </c>
    </row>
    <row r="1714">
      <c r="A1714" s="40" t="str">
        <f t="array" ref="A1714">IFNA(index(PlayerValues!A:A,match(IFNA(vlookup(B1714,'Special Names'!A:B,2,FALSE),B1714),PlayerValues!E:E,0)),"N/A")</f>
        <v>N/A</v>
      </c>
      <c r="B1714" s="4" t="s">
        <v>98</v>
      </c>
      <c r="C1714" s="4" t="s">
        <v>325</v>
      </c>
      <c r="D1714" s="94">
        <v>2468.0</v>
      </c>
    </row>
    <row r="1715">
      <c r="A1715" s="40">
        <f t="array" ref="A1715">IFNA(index(PlayerValues!A:A,match(IFNA(vlookup(B1715,'Special Names'!A:B,2,FALSE),B1715),PlayerValues!E:E,0)),"N/A")</f>
        <v>17474</v>
      </c>
      <c r="B1715" s="4" t="s">
        <v>513</v>
      </c>
      <c r="C1715" s="4" t="s">
        <v>278</v>
      </c>
      <c r="D1715" s="94">
        <v>2468.0</v>
      </c>
    </row>
    <row r="1716">
      <c r="A1716" s="40">
        <f t="array" ref="A1716">IFNA(index(PlayerValues!A:A,match(IFNA(vlookup(B1716,'Special Names'!A:B,2,FALSE),B1716),PlayerValues!E:E,0)),"N/A")</f>
        <v>16287</v>
      </c>
      <c r="B1716" s="4" t="s">
        <v>516</v>
      </c>
      <c r="C1716" s="4" t="s">
        <v>287</v>
      </c>
      <c r="D1716" s="94">
        <v>2466.0</v>
      </c>
    </row>
    <row r="1717">
      <c r="A1717" s="40">
        <f t="array" ref="A1717">IFNA(index(PlayerValues!A:A,match(IFNA(vlookup(B1717,'Special Names'!A:B,2,FALSE),B1717),PlayerValues!E:E,0)),"N/A")</f>
        <v>17033</v>
      </c>
      <c r="B1717" s="4" t="s">
        <v>570</v>
      </c>
      <c r="C1717" s="4" t="s">
        <v>283</v>
      </c>
      <c r="D1717" s="94">
        <v>2437.0</v>
      </c>
    </row>
    <row r="1718">
      <c r="A1718" s="40">
        <f t="array" ref="A1718">IFNA(index(PlayerValues!A:A,match(IFNA(vlookup(B1718,'Special Names'!A:B,2,FALSE),B1718),PlayerValues!E:E,0)),"N/A")</f>
        <v>16204</v>
      </c>
      <c r="B1718" s="4" t="s">
        <v>530</v>
      </c>
      <c r="C1718" s="4" t="s">
        <v>287</v>
      </c>
      <c r="D1718" s="94">
        <v>2424.0</v>
      </c>
    </row>
    <row r="1719">
      <c r="A1719" s="40">
        <f t="array" ref="A1719">IFNA(index(PlayerValues!A:A,match(IFNA(vlookup(B1719,'Special Names'!A:B,2,FALSE),B1719),PlayerValues!E:E,0)),"N/A")</f>
        <v>14861</v>
      </c>
      <c r="B1719" s="4" t="s">
        <v>523</v>
      </c>
      <c r="C1719" s="4" t="s">
        <v>298</v>
      </c>
      <c r="D1719" s="94">
        <v>2825.0</v>
      </c>
    </row>
    <row r="1720">
      <c r="A1720" s="40">
        <f t="array" ref="A1720">IFNA(index(PlayerValues!A:A,match(IFNA(vlookup(B1720,'Special Names'!A:B,2,FALSE),B1720),PlayerValues!E:E,0)),"N/A")</f>
        <v>12676</v>
      </c>
      <c r="B1720" s="4" t="s">
        <v>537</v>
      </c>
      <c r="C1720" s="4" t="s">
        <v>298</v>
      </c>
      <c r="D1720" s="94">
        <v>2813.0</v>
      </c>
    </row>
    <row r="1721">
      <c r="A1721" s="40">
        <f t="array" ref="A1721">IFNA(index(PlayerValues!A:A,match(IFNA(vlookup(B1721,'Special Names'!A:B,2,FALSE),B1721),PlayerValues!E:E,0)),"N/A")</f>
        <v>17105</v>
      </c>
      <c r="B1721" s="4" t="s">
        <v>525</v>
      </c>
      <c r="C1721" s="4" t="s">
        <v>298</v>
      </c>
      <c r="D1721" s="94">
        <v>2809.0</v>
      </c>
    </row>
    <row r="1722">
      <c r="A1722" s="40">
        <f t="array" ref="A1722">IFNA(index(PlayerValues!A:A,match(IFNA(vlookup(B1722,'Special Names'!A:B,2,FALSE),B1722),PlayerValues!E:E,0)),"N/A")</f>
        <v>17507</v>
      </c>
      <c r="B1722" s="4" t="s">
        <v>495</v>
      </c>
      <c r="C1722" s="4" t="s">
        <v>287</v>
      </c>
      <c r="D1722" s="94">
        <v>2400.0</v>
      </c>
    </row>
    <row r="1723">
      <c r="A1723" s="40">
        <f t="array" ref="A1723">IFNA(index(PlayerValues!A:A,match(IFNA(vlookup(B1723,'Special Names'!A:B,2,FALSE),B1723),PlayerValues!E:E,0)),"N/A")</f>
        <v>16610</v>
      </c>
      <c r="B1723" s="4" t="s">
        <v>562</v>
      </c>
      <c r="C1723" s="4" t="s">
        <v>278</v>
      </c>
      <c r="D1723" s="94">
        <v>2394.0</v>
      </c>
    </row>
    <row r="1724">
      <c r="A1724" s="40">
        <f t="array" ref="A1724">IFNA(index(PlayerValues!A:A,match(IFNA(vlookup(B1724,'Special Names'!A:B,2,FALSE),B1724),PlayerValues!E:E,0)),"N/A")</f>
        <v>17511</v>
      </c>
      <c r="B1724" s="4" t="s">
        <v>485</v>
      </c>
      <c r="C1724" s="4" t="s">
        <v>287</v>
      </c>
      <c r="D1724" s="94">
        <v>2376.0</v>
      </c>
    </row>
    <row r="1725">
      <c r="A1725" s="40">
        <f t="array" ref="A1725">IFNA(index(PlayerValues!A:A,match(IFNA(vlookup(B1725,'Special Names'!A:B,2,FALSE),B1725),PlayerValues!E:E,0)),"N/A")</f>
        <v>15716</v>
      </c>
      <c r="B1725" s="4" t="s">
        <v>545</v>
      </c>
      <c r="C1725" s="4" t="s">
        <v>278</v>
      </c>
      <c r="D1725" s="94">
        <v>2360.0</v>
      </c>
    </row>
    <row r="1726">
      <c r="A1726" s="40">
        <f t="array" ref="A1726">IFNA(index(PlayerValues!A:A,match(IFNA(vlookup(B1726,'Special Names'!A:B,2,FALSE),B1726),PlayerValues!E:E,0)),"N/A")</f>
        <v>17464</v>
      </c>
      <c r="B1726" s="4" t="s">
        <v>828</v>
      </c>
      <c r="C1726" s="4" t="s">
        <v>283</v>
      </c>
      <c r="D1726" s="94">
        <v>2358.0</v>
      </c>
    </row>
    <row r="1727">
      <c r="A1727" s="40">
        <f t="array" ref="A1727">IFNA(index(PlayerValues!A:A,match(IFNA(vlookup(B1727,'Special Names'!A:B,2,FALSE),B1727),PlayerValues!E:E,0)),"N/A")</f>
        <v>13132</v>
      </c>
      <c r="B1727" s="4" t="s">
        <v>598</v>
      </c>
      <c r="C1727" s="4" t="s">
        <v>278</v>
      </c>
      <c r="D1727" s="94">
        <v>2357.0</v>
      </c>
    </row>
    <row r="1728">
      <c r="A1728" s="40">
        <f t="array" ref="A1728">IFNA(index(PlayerValues!A:A,match(IFNA(vlookup(B1728,'Special Names'!A:B,2,FALSE),B1728),PlayerValues!E:E,0)),"N/A")</f>
        <v>15802</v>
      </c>
      <c r="B1728" s="4" t="s">
        <v>566</v>
      </c>
      <c r="C1728" s="4" t="s">
        <v>298</v>
      </c>
      <c r="D1728" s="94">
        <v>2749.0</v>
      </c>
    </row>
    <row r="1729">
      <c r="A1729" s="40">
        <f t="array" ref="A1729">IFNA(index(PlayerValues!A:A,match(IFNA(vlookup(B1729,'Special Names'!A:B,2,FALSE),B1729),PlayerValues!E:E,0)),"N/A")</f>
        <v>16178</v>
      </c>
      <c r="B1729" s="4" t="s">
        <v>507</v>
      </c>
      <c r="C1729" s="4" t="s">
        <v>278</v>
      </c>
      <c r="D1729" s="94">
        <v>2347.0</v>
      </c>
    </row>
    <row r="1730">
      <c r="A1730" s="40" t="str">
        <f t="array" ref="A1730">IFNA(index(PlayerValues!A:A,match(IFNA(vlookup(B1730,'Special Names'!A:B,2,FALSE),B1730),PlayerValues!E:E,0)),"N/A")</f>
        <v>N/A</v>
      </c>
      <c r="B1730" s="4" t="s">
        <v>86</v>
      </c>
      <c r="C1730" s="4" t="s">
        <v>325</v>
      </c>
      <c r="D1730" s="94">
        <v>2341.0</v>
      </c>
    </row>
    <row r="1731">
      <c r="A1731" s="40">
        <f t="array" ref="A1731">IFNA(index(PlayerValues!A:A,match(IFNA(vlookup(B1731,'Special Names'!A:B,2,FALSE),B1731),PlayerValues!E:E,0)),"N/A")</f>
        <v>13772</v>
      </c>
      <c r="B1731" s="4" t="s">
        <v>544</v>
      </c>
      <c r="C1731" s="4" t="s">
        <v>298</v>
      </c>
      <c r="D1731" s="94">
        <v>2738.0</v>
      </c>
    </row>
    <row r="1732">
      <c r="A1732" s="40">
        <f t="array" ref="A1732">IFNA(index(PlayerValues!A:A,match(IFNA(vlookup(B1732,'Special Names'!A:B,2,FALSE),B1732),PlayerValues!E:E,0)),"N/A")</f>
        <v>17079</v>
      </c>
      <c r="B1732" s="4" t="s">
        <v>572</v>
      </c>
      <c r="C1732" s="4" t="s">
        <v>287</v>
      </c>
      <c r="D1732" s="94">
        <v>2320.0</v>
      </c>
    </row>
    <row r="1733">
      <c r="A1733" s="40">
        <f t="array" ref="A1733">IFNA(index(PlayerValues!A:A,match(IFNA(vlookup(B1733,'Special Names'!A:B,2,FALSE),B1733),PlayerValues!E:E,0)),"N/A")</f>
        <v>16212</v>
      </c>
      <c r="B1733" s="4" t="s">
        <v>568</v>
      </c>
      <c r="C1733" s="4" t="s">
        <v>298</v>
      </c>
      <c r="D1733" s="94">
        <v>2712.0</v>
      </c>
    </row>
    <row r="1734">
      <c r="A1734" s="40">
        <f t="array" ref="A1734">IFNA(index(PlayerValues!A:A,match(IFNA(vlookup(B1734,'Special Names'!A:B,2,FALSE),B1734),PlayerValues!E:E,0)),"N/A")</f>
        <v>17049</v>
      </c>
      <c r="B1734" s="4" t="s">
        <v>624</v>
      </c>
      <c r="C1734" s="4" t="s">
        <v>278</v>
      </c>
      <c r="D1734" s="94">
        <v>2307.0</v>
      </c>
    </row>
    <row r="1735">
      <c r="A1735" s="40">
        <f t="array" ref="A1735">IFNA(index(PlayerValues!A:A,match(IFNA(vlookup(B1735,'Special Names'!A:B,2,FALSE),B1735),PlayerValues!E:E,0)),"N/A")</f>
        <v>12801</v>
      </c>
      <c r="B1735" s="4" t="s">
        <v>722</v>
      </c>
      <c r="C1735" s="4" t="s">
        <v>287</v>
      </c>
      <c r="D1735" s="94">
        <v>2306.0</v>
      </c>
    </row>
    <row r="1736">
      <c r="A1736" s="40" t="str">
        <f t="array" ref="A1736">IFNA(index(PlayerValues!A:A,match(IFNA(vlookup(B1736,'Special Names'!A:B,2,FALSE),B1736),PlayerValues!E:E,0)),"N/A")</f>
        <v>N/A</v>
      </c>
      <c r="B1736" s="4" t="s">
        <v>99</v>
      </c>
      <c r="C1736" s="4" t="s">
        <v>325</v>
      </c>
      <c r="D1736" s="94">
        <v>2298.0</v>
      </c>
    </row>
    <row r="1737">
      <c r="A1737" s="40">
        <f t="array" ref="A1737">IFNA(index(PlayerValues!A:A,match(IFNA(vlookup(B1737,'Special Names'!A:B,2,FALSE),B1737),PlayerValues!E:E,0)),"N/A")</f>
        <v>17034</v>
      </c>
      <c r="B1737" s="4" t="s">
        <v>643</v>
      </c>
      <c r="C1737" s="4" t="s">
        <v>283</v>
      </c>
      <c r="D1737" s="94">
        <v>2297.0</v>
      </c>
    </row>
    <row r="1738">
      <c r="A1738" s="40">
        <f t="array" ref="A1738">IFNA(index(PlayerValues!A:A,match(IFNA(vlookup(B1738,'Special Names'!A:B,2,FALSE),B1738),PlayerValues!E:E,0)),"N/A")</f>
        <v>16036</v>
      </c>
      <c r="B1738" s="4" t="s">
        <v>592</v>
      </c>
      <c r="C1738" s="4" t="s">
        <v>298</v>
      </c>
      <c r="D1738" s="94">
        <v>2668.0</v>
      </c>
    </row>
    <row r="1739">
      <c r="A1739" s="40">
        <f t="array" ref="A1739">IFNA(index(PlayerValues!A:A,match(IFNA(vlookup(B1739,'Special Names'!A:B,2,FALSE),B1739),PlayerValues!E:E,0)),"N/A")</f>
        <v>17076</v>
      </c>
      <c r="B1739" s="4" t="s">
        <v>585</v>
      </c>
      <c r="C1739" s="4" t="s">
        <v>287</v>
      </c>
      <c r="D1739" s="94">
        <v>2268.0</v>
      </c>
    </row>
    <row r="1740">
      <c r="A1740" s="40">
        <f t="array" ref="A1740">IFNA(index(PlayerValues!A:A,match(IFNA(vlookup(B1740,'Special Names'!A:B,2,FALSE),B1740),PlayerValues!E:E,0)),"N/A")</f>
        <v>17544</v>
      </c>
      <c r="B1740" s="4" t="s">
        <v>470</v>
      </c>
      <c r="C1740" s="4" t="s">
        <v>298</v>
      </c>
      <c r="D1740" s="94">
        <v>2664.0</v>
      </c>
    </row>
    <row r="1741">
      <c r="A1741" s="40">
        <f t="array" ref="A1741">IFNA(index(PlayerValues!A:A,match(IFNA(vlookup(B1741,'Special Names'!A:B,2,FALSE),B1741),PlayerValues!E:E,0)),"N/A")</f>
        <v>16171</v>
      </c>
      <c r="B1741" s="4" t="s">
        <v>618</v>
      </c>
      <c r="C1741" s="4" t="s">
        <v>278</v>
      </c>
      <c r="D1741" s="94">
        <v>2255.0</v>
      </c>
    </row>
    <row r="1742">
      <c r="A1742" s="40">
        <f t="array" ref="A1742">IFNA(index(PlayerValues!A:A,match(IFNA(vlookup(B1742,'Special Names'!A:B,2,FALSE),B1742),PlayerValues!E:E,0)),"N/A")</f>
        <v>16342</v>
      </c>
      <c r="B1742" s="4" t="s">
        <v>583</v>
      </c>
      <c r="C1742" s="4" t="s">
        <v>287</v>
      </c>
      <c r="D1742" s="94">
        <v>2218.0</v>
      </c>
    </row>
    <row r="1743">
      <c r="A1743" s="40">
        <f t="array" ref="A1743">IFNA(index(PlayerValues!A:A,match(IFNA(vlookup(B1743,'Special Names'!A:B,2,FALSE),B1743),PlayerValues!E:E,0)),"N/A")</f>
        <v>13319</v>
      </c>
      <c r="B1743" s="4" t="s">
        <v>549</v>
      </c>
      <c r="C1743" s="4" t="s">
        <v>278</v>
      </c>
      <c r="D1743" s="94">
        <v>2217.0</v>
      </c>
    </row>
    <row r="1744">
      <c r="A1744" s="40">
        <f t="array" ref="A1744">IFNA(index(PlayerValues!A:A,match(IFNA(vlookup(B1744,'Special Names'!A:B,2,FALSE),B1744),PlayerValues!E:E,0)),"N/A")</f>
        <v>17506</v>
      </c>
      <c r="B1744" s="4" t="s">
        <v>471</v>
      </c>
      <c r="C1744" s="4" t="s">
        <v>287</v>
      </c>
      <c r="D1744" s="94">
        <v>2209.0</v>
      </c>
    </row>
    <row r="1745">
      <c r="A1745" s="40">
        <f t="array" ref="A1745">IFNA(index(PlayerValues!A:A,match(IFNA(vlookup(B1745,'Special Names'!A:B,2,FALSE),B1745),PlayerValues!E:E,0)),"N/A")</f>
        <v>17509</v>
      </c>
      <c r="B1745" s="4" t="s">
        <v>551</v>
      </c>
      <c r="C1745" s="4" t="s">
        <v>287</v>
      </c>
      <c r="D1745" s="94">
        <v>2209.0</v>
      </c>
    </row>
    <row r="1746">
      <c r="A1746" s="40">
        <f t="array" ref="A1746">IFNA(index(PlayerValues!A:A,match(IFNA(vlookup(B1746,'Special Names'!A:B,2,FALSE),B1746),PlayerValues!E:E,0)),"N/A")</f>
        <v>16195</v>
      </c>
      <c r="B1746" s="4" t="s">
        <v>509</v>
      </c>
      <c r="C1746" s="4" t="s">
        <v>287</v>
      </c>
      <c r="D1746" s="94">
        <v>2204.0</v>
      </c>
    </row>
    <row r="1747">
      <c r="A1747" s="40">
        <f t="array" ref="A1747">IFNA(index(PlayerValues!A:A,match(IFNA(vlookup(B1747,'Special Names'!A:B,2,FALSE),B1747),PlayerValues!E:E,0)),"N/A")</f>
        <v>16639</v>
      </c>
      <c r="B1747" s="4" t="s">
        <v>599</v>
      </c>
      <c r="C1747" s="4" t="s">
        <v>287</v>
      </c>
      <c r="D1747" s="94">
        <v>2203.0</v>
      </c>
    </row>
    <row r="1748">
      <c r="A1748" s="40">
        <f t="array" ref="A1748">IFNA(index(PlayerValues!A:A,match(IFNA(vlookup(B1748,'Special Names'!A:B,2,FALSE),B1748),PlayerValues!E:E,0)),"N/A")</f>
        <v>15889</v>
      </c>
      <c r="B1748" s="4" t="s">
        <v>503</v>
      </c>
      <c r="C1748" s="4" t="s">
        <v>298</v>
      </c>
      <c r="D1748" s="94">
        <v>2593.0</v>
      </c>
    </row>
    <row r="1749">
      <c r="A1749" s="40">
        <f t="array" ref="A1749">IFNA(index(PlayerValues!A:A,match(IFNA(vlookup(B1749,'Special Names'!A:B,2,FALSE),B1749),PlayerValues!E:E,0)),"N/A")</f>
        <v>16684</v>
      </c>
      <c r="B1749" s="4" t="s">
        <v>500</v>
      </c>
      <c r="C1749" s="4" t="s">
        <v>287</v>
      </c>
      <c r="D1749" s="94">
        <v>2194.0</v>
      </c>
    </row>
    <row r="1750">
      <c r="A1750" s="40" t="str">
        <f t="array" ref="A1750">IFNA(index(PlayerValues!A:A,match(IFNA(vlookup(B1750,'Special Names'!A:B,2,FALSE),B1750),PlayerValues!E:E,0)),"N/A")</f>
        <v>N/A</v>
      </c>
      <c r="B1750" s="4" t="s">
        <v>100</v>
      </c>
      <c r="C1750" s="4" t="s">
        <v>325</v>
      </c>
      <c r="D1750" s="94">
        <v>2171.0</v>
      </c>
    </row>
    <row r="1751">
      <c r="A1751" s="40" t="str">
        <f t="array" ref="A1751">IFNA(index(PlayerValues!A:A,match(IFNA(vlookup(B1751,'Special Names'!A:B,2,FALSE),B1751),PlayerValues!E:E,0)),"N/A")</f>
        <v>N/A</v>
      </c>
      <c r="B1751" s="4" t="s">
        <v>87</v>
      </c>
      <c r="C1751" s="4" t="s">
        <v>325</v>
      </c>
      <c r="D1751" s="94">
        <v>2166.0</v>
      </c>
    </row>
    <row r="1752">
      <c r="A1752" s="40">
        <f t="array" ref="A1752">IFNA(index(PlayerValues!A:A,match(IFNA(vlookup(B1752,'Special Names'!A:B,2,FALSE),B1752),PlayerValues!E:E,0)),"N/A")</f>
        <v>16752</v>
      </c>
      <c r="B1752" s="4" t="s">
        <v>597</v>
      </c>
      <c r="C1752" s="4" t="s">
        <v>278</v>
      </c>
      <c r="D1752" s="94">
        <v>2162.0</v>
      </c>
    </row>
    <row r="1753">
      <c r="A1753" s="40">
        <f t="array" ref="A1753">IFNA(index(PlayerValues!A:A,match(IFNA(vlookup(B1753,'Special Names'!A:B,2,FALSE),B1753),PlayerValues!E:E,0)),"N/A")</f>
        <v>17087</v>
      </c>
      <c r="B1753" s="4" t="s">
        <v>600</v>
      </c>
      <c r="C1753" s="4" t="s">
        <v>287</v>
      </c>
      <c r="D1753" s="94">
        <v>2148.0</v>
      </c>
    </row>
    <row r="1754">
      <c r="A1754" s="40" t="str">
        <f t="array" ref="A1754">IFNA(index(PlayerValues!A:A,match(IFNA(vlookup(B1754,'Special Names'!A:B,2,FALSE),B1754),PlayerValues!E:E,0)),"N/A")</f>
        <v>N/A</v>
      </c>
      <c r="B1754" s="4" t="s">
        <v>112</v>
      </c>
      <c r="C1754" s="4" t="s">
        <v>325</v>
      </c>
      <c r="D1754" s="94">
        <v>2148.0</v>
      </c>
    </row>
    <row r="1755">
      <c r="A1755" s="40">
        <f t="array" ref="A1755">IFNA(index(PlayerValues!A:A,match(IFNA(vlookup(B1755,'Special Names'!A:B,2,FALSE),B1755),PlayerValues!E:E,0)),"N/A")</f>
        <v>15749</v>
      </c>
      <c r="B1755" s="4" t="s">
        <v>574</v>
      </c>
      <c r="C1755" s="4" t="s">
        <v>278</v>
      </c>
      <c r="D1755" s="94">
        <v>2146.0</v>
      </c>
    </row>
    <row r="1756">
      <c r="A1756" s="40">
        <f t="array" ref="A1756">IFNA(index(PlayerValues!A:A,match(IFNA(vlookup(B1756,'Special Names'!A:B,2,FALSE),B1756),PlayerValues!E:E,0)),"N/A")</f>
        <v>16191</v>
      </c>
      <c r="B1756" s="4" t="s">
        <v>666</v>
      </c>
      <c r="C1756" s="4" t="s">
        <v>287</v>
      </c>
      <c r="D1756" s="94">
        <v>2141.0</v>
      </c>
    </row>
    <row r="1757">
      <c r="A1757" s="40">
        <f t="array" ref="A1757">IFNA(index(PlayerValues!A:A,match(IFNA(vlookup(B1757,'Special Names'!A:B,2,FALSE),B1757),PlayerValues!E:E,0)),"N/A")</f>
        <v>17069</v>
      </c>
      <c r="B1757" s="4" t="s">
        <v>604</v>
      </c>
      <c r="C1757" s="4" t="s">
        <v>278</v>
      </c>
      <c r="D1757" s="94">
        <v>2136.0</v>
      </c>
    </row>
    <row r="1758">
      <c r="A1758" s="40">
        <f t="array" ref="A1758">IFNA(index(PlayerValues!A:A,match(IFNA(vlookup(B1758,'Special Names'!A:B,2,FALSE),B1758),PlayerValues!E:E,0)),"N/A")</f>
        <v>15238</v>
      </c>
      <c r="B1758" s="4" t="s">
        <v>613</v>
      </c>
      <c r="C1758" s="4" t="s">
        <v>283</v>
      </c>
      <c r="D1758" s="94">
        <v>2131.0</v>
      </c>
    </row>
    <row r="1759">
      <c r="A1759" s="40">
        <f t="array" ref="A1759">IFNA(index(PlayerValues!A:A,match(IFNA(vlookup(B1759,'Special Names'!A:B,2,FALSE),B1759),PlayerValues!E:E,0)),"N/A")</f>
        <v>14867</v>
      </c>
      <c r="B1759" s="4" t="s">
        <v>591</v>
      </c>
      <c r="C1759" s="4" t="s">
        <v>298</v>
      </c>
      <c r="D1759" s="94">
        <v>2518.0</v>
      </c>
    </row>
    <row r="1760">
      <c r="A1760" s="40">
        <f t="array" ref="A1760">IFNA(index(PlayerValues!A:A,match(IFNA(vlookup(B1760,'Special Names'!A:B,2,FALSE),B1760),PlayerValues!E:E,0)),"N/A")</f>
        <v>16644</v>
      </c>
      <c r="B1760" s="4" t="s">
        <v>640</v>
      </c>
      <c r="C1760" s="4" t="s">
        <v>298</v>
      </c>
      <c r="D1760" s="94">
        <v>2513.0</v>
      </c>
    </row>
    <row r="1761">
      <c r="A1761" s="40">
        <f t="array" ref="A1761">IFNA(index(PlayerValues!A:A,match(IFNA(vlookup(B1761,'Special Names'!A:B,2,FALSE),B1761),PlayerValues!E:E,0)),"N/A")</f>
        <v>14871</v>
      </c>
      <c r="B1761" s="4" t="s">
        <v>584</v>
      </c>
      <c r="C1761" s="4" t="s">
        <v>298</v>
      </c>
      <c r="D1761" s="94">
        <v>2505.0</v>
      </c>
    </row>
    <row r="1762">
      <c r="A1762" s="40" t="str">
        <f t="array" ref="A1762">IFNA(index(PlayerValues!A:A,match(IFNA(vlookup(B1762,'Special Names'!A:B,2,FALSE),B1762),PlayerValues!E:E,0)),"N/A")</f>
        <v>N/A</v>
      </c>
      <c r="B1762" s="4" t="s">
        <v>88</v>
      </c>
      <c r="C1762" s="4" t="s">
        <v>325</v>
      </c>
      <c r="D1762" s="94">
        <v>2112.0</v>
      </c>
    </row>
    <row r="1763">
      <c r="A1763" s="40">
        <f t="array" ref="A1763">IFNA(index(PlayerValues!A:A,match(IFNA(vlookup(B1763,'Special Names'!A:B,2,FALSE),B1763),PlayerValues!E:E,0)),"N/A")</f>
        <v>17478</v>
      </c>
      <c r="B1763" s="4" t="s">
        <v>527</v>
      </c>
      <c r="C1763" s="4" t="s">
        <v>278</v>
      </c>
      <c r="D1763" s="94">
        <v>2098.0</v>
      </c>
    </row>
    <row r="1764">
      <c r="A1764" s="40">
        <f t="array" ref="A1764">IFNA(index(PlayerValues!A:A,match(IFNA(vlookup(B1764,'Special Names'!A:B,2,FALSE),B1764),PlayerValues!E:E,0)),"N/A")</f>
        <v>17056</v>
      </c>
      <c r="B1764" s="4" t="s">
        <v>581</v>
      </c>
      <c r="C1764" s="4" t="s">
        <v>278</v>
      </c>
      <c r="D1764" s="94">
        <v>2090.0</v>
      </c>
    </row>
    <row r="1765">
      <c r="A1765" s="40">
        <f t="array" ref="A1765">IFNA(index(PlayerValues!A:A,match(IFNA(vlookup(B1765,'Special Names'!A:B,2,FALSE),B1765),PlayerValues!E:E,0)),"N/A")</f>
        <v>16432</v>
      </c>
      <c r="B1765" s="4" t="s">
        <v>620</v>
      </c>
      <c r="C1765" s="4" t="s">
        <v>278</v>
      </c>
      <c r="D1765" s="94">
        <v>2088.0</v>
      </c>
    </row>
    <row r="1766">
      <c r="A1766" s="40">
        <f t="array" ref="A1766">IFNA(index(PlayerValues!A:A,match(IFNA(vlookup(B1766,'Special Names'!A:B,2,FALSE),B1766),PlayerValues!E:E,0)),"N/A")</f>
        <v>16643</v>
      </c>
      <c r="B1766" s="4" t="s">
        <v>609</v>
      </c>
      <c r="C1766" s="4" t="s">
        <v>298</v>
      </c>
      <c r="D1766" s="94">
        <v>2469.0</v>
      </c>
    </row>
    <row r="1767">
      <c r="A1767" s="40">
        <f t="array" ref="A1767">IFNA(index(PlayerValues!A:A,match(IFNA(vlookup(B1767,'Special Names'!A:B,2,FALSE),B1767),PlayerValues!E:E,0)),"N/A")</f>
        <v>17060</v>
      </c>
      <c r="B1767" s="4" t="s">
        <v>603</v>
      </c>
      <c r="C1767" s="4" t="s">
        <v>278</v>
      </c>
      <c r="D1767" s="94">
        <v>2068.0</v>
      </c>
    </row>
    <row r="1768">
      <c r="A1768" s="40">
        <f t="array" ref="A1768">IFNA(index(PlayerValues!A:A,match(IFNA(vlookup(B1768,'Special Names'!A:B,2,FALSE),B1768),PlayerValues!E:E,0)),"N/A")</f>
        <v>16174</v>
      </c>
      <c r="B1768" s="4" t="s">
        <v>505</v>
      </c>
      <c r="C1768" s="4" t="s">
        <v>278</v>
      </c>
      <c r="D1768" s="94">
        <v>2063.0</v>
      </c>
    </row>
    <row r="1769">
      <c r="A1769" s="40">
        <f t="array" ref="A1769">IFNA(index(PlayerValues!A:A,match(IFNA(vlookup(B1769,'Special Names'!A:B,2,FALSE),B1769),PlayerValues!E:E,0)),"N/A")</f>
        <v>13146</v>
      </c>
      <c r="B1769" s="4" t="s">
        <v>652</v>
      </c>
      <c r="C1769" s="4" t="s">
        <v>278</v>
      </c>
      <c r="D1769" s="94">
        <v>2060.0</v>
      </c>
    </row>
    <row r="1770">
      <c r="A1770" s="40" t="str">
        <f t="array" ref="A1770">IFNA(index(PlayerValues!A:A,match(IFNA(vlookup(B1770,'Special Names'!A:B,2,FALSE),B1770),PlayerValues!E:E,0)),"N/A")</f>
        <v>N/A</v>
      </c>
      <c r="B1770" s="4" t="s">
        <v>113</v>
      </c>
      <c r="C1770" s="4" t="s">
        <v>325</v>
      </c>
      <c r="D1770" s="94">
        <v>2058.0</v>
      </c>
    </row>
    <row r="1771">
      <c r="A1771" s="40">
        <f t="array" ref="A1771">IFNA(index(PlayerValues!A:A,match(IFNA(vlookup(B1771,'Special Names'!A:B,2,FALSE),B1771),PlayerValues!E:E,0)),"N/A")</f>
        <v>15331</v>
      </c>
      <c r="B1771" s="4" t="s">
        <v>560</v>
      </c>
      <c r="C1771" s="4" t="s">
        <v>298</v>
      </c>
      <c r="D1771" s="94">
        <v>2446.0</v>
      </c>
    </row>
    <row r="1772">
      <c r="A1772" s="40">
        <f t="array" ref="A1772">IFNA(index(PlayerValues!A:A,match(IFNA(vlookup(B1772,'Special Names'!A:B,2,FALSE),B1772),PlayerValues!E:E,0)),"N/A")</f>
        <v>13633</v>
      </c>
      <c r="B1772" s="4" t="s">
        <v>625</v>
      </c>
      <c r="C1772" s="4" t="s">
        <v>287</v>
      </c>
      <c r="D1772" s="94">
        <v>2030.0</v>
      </c>
    </row>
    <row r="1773">
      <c r="A1773" s="40">
        <f t="array" ref="A1773">IFNA(index(PlayerValues!A:A,match(IFNA(vlookup(B1773,'Special Names'!A:B,2,FALSE),B1773),PlayerValues!E:E,0)),"N/A")</f>
        <v>14974</v>
      </c>
      <c r="B1773" s="4" t="s">
        <v>611</v>
      </c>
      <c r="C1773" s="4" t="s">
        <v>287</v>
      </c>
      <c r="D1773" s="94">
        <v>2016.0</v>
      </c>
    </row>
    <row r="1774">
      <c r="A1774" s="40">
        <f t="array" ref="A1774">IFNA(index(PlayerValues!A:A,match(IFNA(vlookup(B1774,'Special Names'!A:B,2,FALSE),B1774),PlayerValues!E:E,0)),"N/A")</f>
        <v>15293</v>
      </c>
      <c r="B1774" s="4" t="s">
        <v>578</v>
      </c>
      <c r="C1774" s="4" t="s">
        <v>287</v>
      </c>
      <c r="D1774" s="94">
        <v>2012.0</v>
      </c>
    </row>
    <row r="1775">
      <c r="A1775" s="40">
        <f t="array" ref="A1775">IFNA(index(PlayerValues!A:A,match(IFNA(vlookup(B1775,'Special Names'!A:B,2,FALSE),B1775),PlayerValues!E:E,0)),"N/A")</f>
        <v>11244</v>
      </c>
      <c r="B1775" s="4" t="s">
        <v>519</v>
      </c>
      <c r="C1775" s="4" t="s">
        <v>298</v>
      </c>
      <c r="D1775" s="94">
        <v>2373.0</v>
      </c>
    </row>
    <row r="1776">
      <c r="A1776" s="40">
        <f t="array" ref="A1776">IFNA(index(PlayerValues!A:A,match(IFNA(vlookup(B1776,'Special Names'!A:B,2,FALSE),B1776),PlayerValues!E:E,0)),"N/A")</f>
        <v>16603</v>
      </c>
      <c r="B1776" s="4" t="s">
        <v>587</v>
      </c>
      <c r="C1776" s="4" t="s">
        <v>278</v>
      </c>
      <c r="D1776" s="94">
        <v>1977.0</v>
      </c>
    </row>
    <row r="1777">
      <c r="A1777" s="40">
        <f t="array" ref="A1777">IFNA(index(PlayerValues!A:A,match(IFNA(vlookup(B1777,'Special Names'!A:B,2,FALSE),B1777),PlayerValues!E:E,0)),"N/A")</f>
        <v>17036</v>
      </c>
      <c r="B1777" s="4" t="s">
        <v>617</v>
      </c>
      <c r="C1777" s="4" t="s">
        <v>283</v>
      </c>
      <c r="D1777" s="94">
        <v>1975.0</v>
      </c>
    </row>
    <row r="1778">
      <c r="A1778" s="40">
        <f t="array" ref="A1778">IFNA(index(PlayerValues!A:A,match(IFNA(vlookup(B1778,'Special Names'!A:B,2,FALSE),B1778),PlayerValues!E:E,0)),"N/A")</f>
        <v>17465</v>
      </c>
      <c r="B1778" s="4" t="s">
        <v>649</v>
      </c>
      <c r="C1778" s="4" t="s">
        <v>283</v>
      </c>
      <c r="D1778" s="94">
        <v>1957.0</v>
      </c>
    </row>
    <row r="1779">
      <c r="A1779" s="40">
        <f t="array" ref="A1779">IFNA(index(PlayerValues!A:A,match(IFNA(vlookup(B1779,'Special Names'!A:B,2,FALSE),B1779),PlayerValues!E:E,0)),"N/A")</f>
        <v>17503</v>
      </c>
      <c r="B1779" s="4" t="s">
        <v>480</v>
      </c>
      <c r="C1779" s="4" t="s">
        <v>287</v>
      </c>
      <c r="D1779" s="94">
        <v>1942.0</v>
      </c>
    </row>
    <row r="1780">
      <c r="A1780" s="40">
        <f t="array" ref="A1780">IFNA(index(PlayerValues!A:A,match(IFNA(vlookup(B1780,'Special Names'!A:B,2,FALSE),B1780),PlayerValues!E:E,0)),"N/A")</f>
        <v>17482</v>
      </c>
      <c r="B1780" s="4" t="s">
        <v>460</v>
      </c>
      <c r="C1780" s="4" t="s">
        <v>278</v>
      </c>
      <c r="D1780" s="94">
        <v>1927.0</v>
      </c>
    </row>
    <row r="1781">
      <c r="A1781" s="40">
        <f t="array" ref="A1781">IFNA(index(PlayerValues!A:A,match(IFNA(vlookup(B1781,'Special Names'!A:B,2,FALSE),B1781),PlayerValues!E:E,0)),"N/A")</f>
        <v>17184</v>
      </c>
      <c r="B1781" s="4" t="s">
        <v>588</v>
      </c>
      <c r="C1781" s="4" t="s">
        <v>287</v>
      </c>
      <c r="D1781" s="94">
        <v>1920.0</v>
      </c>
    </row>
    <row r="1782">
      <c r="A1782" s="40">
        <f t="array" ref="A1782">IFNA(index(PlayerValues!A:A,match(IFNA(vlookup(B1782,'Special Names'!A:B,2,FALSE),B1782),PlayerValues!E:E,0)),"N/A")</f>
        <v>16216</v>
      </c>
      <c r="B1782" s="4" t="s">
        <v>595</v>
      </c>
      <c r="C1782" s="4" t="s">
        <v>298</v>
      </c>
      <c r="D1782" s="94">
        <v>2296.0</v>
      </c>
    </row>
    <row r="1783">
      <c r="A1783" s="40">
        <f t="array" ref="A1783">IFNA(index(PlayerValues!A:A,match(IFNA(vlookup(B1783,'Special Names'!A:B,2,FALSE),B1783),PlayerValues!E:E,0)),"N/A")</f>
        <v>13189</v>
      </c>
      <c r="B1783" s="4" t="s">
        <v>626</v>
      </c>
      <c r="C1783" s="4" t="s">
        <v>298</v>
      </c>
      <c r="D1783" s="94">
        <v>2291.0</v>
      </c>
    </row>
    <row r="1784">
      <c r="A1784" s="40">
        <f t="array" ref="A1784">IFNA(index(PlayerValues!A:A,match(IFNA(vlookup(B1784,'Special Names'!A:B,2,FALSE),B1784),PlayerValues!E:E,0)),"N/A")</f>
        <v>17512</v>
      </c>
      <c r="B1784" s="4" t="s">
        <v>483</v>
      </c>
      <c r="C1784" s="4" t="s">
        <v>287</v>
      </c>
      <c r="D1784" s="94">
        <v>1902.0</v>
      </c>
    </row>
    <row r="1785">
      <c r="A1785" s="40">
        <f t="array" ref="A1785">IFNA(index(PlayerValues!A:A,match(IFNA(vlookup(B1785,'Special Names'!A:B,2,FALSE),B1785),PlayerValues!E:E,0)),"N/A")</f>
        <v>17546</v>
      </c>
      <c r="B1785" s="4" t="s">
        <v>671</v>
      </c>
      <c r="C1785" s="4" t="s">
        <v>298</v>
      </c>
      <c r="D1785" s="94">
        <v>2276.0</v>
      </c>
    </row>
    <row r="1786">
      <c r="A1786" s="40">
        <f t="array" ref="A1786">IFNA(index(PlayerValues!A:A,match(IFNA(vlookup(B1786,'Special Names'!A:B,2,FALSE),B1786),PlayerValues!E:E,0)),"N/A")</f>
        <v>16215</v>
      </c>
      <c r="B1786" s="4" t="s">
        <v>637</v>
      </c>
      <c r="C1786" s="4" t="s">
        <v>298</v>
      </c>
      <c r="D1786" s="94">
        <v>2271.0</v>
      </c>
    </row>
    <row r="1787">
      <c r="A1787" s="40">
        <f t="array" ref="A1787">IFNA(index(PlayerValues!A:A,match(IFNA(vlookup(B1787,'Special Names'!A:B,2,FALSE),B1787),PlayerValues!E:E,0)),"N/A")</f>
        <v>16778</v>
      </c>
      <c r="B1787" s="4" t="s">
        <v>577</v>
      </c>
      <c r="C1787" s="4" t="s">
        <v>287</v>
      </c>
      <c r="D1787" s="94">
        <v>1889.0</v>
      </c>
    </row>
    <row r="1788">
      <c r="A1788" s="40">
        <f t="array" ref="A1788">IFNA(index(PlayerValues!A:A,match(IFNA(vlookup(B1788,'Special Names'!A:B,2,FALSE),B1788),PlayerValues!E:E,0)),"N/A")</f>
        <v>16635</v>
      </c>
      <c r="B1788" s="4" t="s">
        <v>645</v>
      </c>
      <c r="C1788" s="4" t="s">
        <v>287</v>
      </c>
      <c r="D1788" s="94">
        <v>1884.0</v>
      </c>
    </row>
    <row r="1789">
      <c r="A1789" s="40" t="str">
        <f t="array" ref="A1789">IFNA(index(PlayerValues!A:A,match(IFNA(vlookup(B1789,'Special Names'!A:B,2,FALSE),B1789),PlayerValues!E:E,0)),"N/A")</f>
        <v>N/A</v>
      </c>
      <c r="B1789" s="4" t="s">
        <v>114</v>
      </c>
      <c r="C1789" s="4" t="s">
        <v>325</v>
      </c>
      <c r="D1789" s="94">
        <v>1882.0</v>
      </c>
    </row>
    <row r="1790">
      <c r="A1790" s="40">
        <f t="array" ref="A1790">IFNA(index(PlayerValues!A:A,match(IFNA(vlookup(B1790,'Special Names'!A:B,2,FALSE),B1790),PlayerValues!E:E,0)),"N/A")</f>
        <v>15337</v>
      </c>
      <c r="B1790" s="4" t="s">
        <v>655</v>
      </c>
      <c r="C1790" s="4" t="s">
        <v>298</v>
      </c>
      <c r="D1790" s="94">
        <v>2259.0</v>
      </c>
    </row>
    <row r="1791">
      <c r="A1791" s="40">
        <f t="array" ref="A1791">IFNA(index(PlayerValues!A:A,match(IFNA(vlookup(B1791,'Special Names'!A:B,2,FALSE),B1791),PlayerValues!E:E,0)),"N/A")</f>
        <v>17061</v>
      </c>
      <c r="B1791" s="4" t="s">
        <v>580</v>
      </c>
      <c r="C1791" s="4" t="s">
        <v>278</v>
      </c>
      <c r="D1791" s="94">
        <v>1872.0</v>
      </c>
    </row>
    <row r="1792">
      <c r="A1792" s="40">
        <f t="array" ref="A1792">IFNA(index(PlayerValues!A:A,match(IFNA(vlookup(B1792,'Special Names'!A:B,2,FALSE),B1792),PlayerValues!E:E,0)),"N/A")</f>
        <v>17517</v>
      </c>
      <c r="B1792" s="4" t="s">
        <v>454</v>
      </c>
      <c r="C1792" s="4" t="s">
        <v>287</v>
      </c>
      <c r="D1792" s="94">
        <v>1868.0</v>
      </c>
    </row>
    <row r="1793">
      <c r="A1793" s="40">
        <f t="array" ref="A1793">IFNA(index(PlayerValues!A:A,match(IFNA(vlookup(B1793,'Special Names'!A:B,2,FALSE),B1793),PlayerValues!E:E,0)),"N/A")</f>
        <v>15254</v>
      </c>
      <c r="B1793" s="4" t="s">
        <v>633</v>
      </c>
      <c r="C1793" s="4" t="s">
        <v>278</v>
      </c>
      <c r="D1793" s="94">
        <v>1864.0</v>
      </c>
    </row>
    <row r="1794">
      <c r="A1794" s="40">
        <f t="array" ref="A1794">IFNA(index(PlayerValues!A:A,match(IFNA(vlookup(B1794,'Special Names'!A:B,2,FALSE),B1794),PlayerValues!E:E,0)),"N/A")</f>
        <v>15759</v>
      </c>
      <c r="B1794" s="4" t="s">
        <v>662</v>
      </c>
      <c r="C1794" s="4" t="s">
        <v>287</v>
      </c>
      <c r="D1794" s="94">
        <v>1862.0</v>
      </c>
    </row>
    <row r="1795">
      <c r="A1795" s="40">
        <f t="array" ref="A1795">IFNA(index(PlayerValues!A:A,match(IFNA(vlookup(B1795,'Special Names'!A:B,2,FALSE),B1795),PlayerValues!E:E,0)),"N/A")</f>
        <v>17508</v>
      </c>
      <c r="B1795" s="4" t="s">
        <v>534</v>
      </c>
      <c r="C1795" s="4" t="s">
        <v>287</v>
      </c>
      <c r="D1795" s="94">
        <v>1861.0</v>
      </c>
    </row>
    <row r="1796">
      <c r="A1796" s="40">
        <f t="array" ref="A1796">IFNA(index(PlayerValues!A:A,match(IFNA(vlookup(B1796,'Special Names'!A:B,2,FALSE),B1796),PlayerValues!E:E,0)),"N/A")</f>
        <v>16201</v>
      </c>
      <c r="B1796" s="4" t="s">
        <v>589</v>
      </c>
      <c r="C1796" s="4" t="s">
        <v>287</v>
      </c>
      <c r="D1796" s="94">
        <v>1860.0</v>
      </c>
    </row>
    <row r="1797">
      <c r="A1797" s="40">
        <f t="array" ref="A1797">IFNA(index(PlayerValues!A:A,match(IFNA(vlookup(B1797,'Special Names'!A:B,2,FALSE),B1797),PlayerValues!E:E,0)),"N/A")</f>
        <v>17035</v>
      </c>
      <c r="B1797" s="4" t="s">
        <v>650</v>
      </c>
      <c r="C1797" s="4" t="s">
        <v>283</v>
      </c>
      <c r="D1797" s="94">
        <v>1860.0</v>
      </c>
    </row>
    <row r="1798">
      <c r="A1798" s="40">
        <f t="array" ref="A1798">IFNA(index(PlayerValues!A:A,match(IFNA(vlookup(B1798,'Special Names'!A:B,2,FALSE),B1798),PlayerValues!E:E,0)),"N/A")</f>
        <v>17547</v>
      </c>
      <c r="B1798" s="4" t="s">
        <v>552</v>
      </c>
      <c r="C1798" s="4" t="s">
        <v>298</v>
      </c>
      <c r="D1798" s="94">
        <v>2242.0</v>
      </c>
    </row>
    <row r="1799">
      <c r="A1799" s="40">
        <f t="array" ref="A1799">IFNA(index(PlayerValues!A:A,match(IFNA(vlookup(B1799,'Special Names'!A:B,2,FALSE),B1799),PlayerValues!E:E,0)),"N/A")</f>
        <v>16595</v>
      </c>
      <c r="B1799" s="4" t="s">
        <v>664</v>
      </c>
      <c r="C1799" s="4" t="s">
        <v>278</v>
      </c>
      <c r="D1799" s="94">
        <v>1843.0</v>
      </c>
    </row>
    <row r="1800">
      <c r="A1800" s="40" t="str">
        <f t="array" ref="A1800">IFNA(index(PlayerValues!A:A,match(IFNA(vlookup(B1800,'Special Names'!A:B,2,FALSE),B1800),PlayerValues!E:E,0)),"N/A")</f>
        <v>N/A</v>
      </c>
      <c r="B1800" s="4" t="s">
        <v>101</v>
      </c>
      <c r="C1800" s="4" t="s">
        <v>325</v>
      </c>
      <c r="D1800" s="94">
        <v>1829.0</v>
      </c>
    </row>
    <row r="1801">
      <c r="A1801" s="40">
        <f t="array" ref="A1801">IFNA(index(PlayerValues!A:A,match(IFNA(vlookup(B1801,'Special Names'!A:B,2,FALSE),B1801),PlayerValues!E:E,0)),"N/A")</f>
        <v>16585</v>
      </c>
      <c r="B1801" s="4" t="s">
        <v>623</v>
      </c>
      <c r="C1801" s="4" t="s">
        <v>283</v>
      </c>
      <c r="D1801" s="94">
        <v>1814.0</v>
      </c>
    </row>
    <row r="1802">
      <c r="A1802" s="40">
        <f t="array" ref="A1802">IFNA(index(PlayerValues!A:A,match(IFNA(vlookup(B1802,'Special Names'!A:B,2,FALSE),B1802),PlayerValues!E:E,0)),"N/A")</f>
        <v>15786</v>
      </c>
      <c r="B1802" s="4" t="s">
        <v>521</v>
      </c>
      <c r="C1802" s="4" t="s">
        <v>287</v>
      </c>
      <c r="D1802" s="94">
        <v>1809.0</v>
      </c>
    </row>
    <row r="1803">
      <c r="A1803" s="40">
        <f t="array" ref="A1803">IFNA(index(PlayerValues!A:A,match(IFNA(vlookup(B1803,'Special Names'!A:B,2,FALSE),B1803),PlayerValues!E:E,0)),"N/A")</f>
        <v>16788</v>
      </c>
      <c r="B1803" s="4" t="s">
        <v>621</v>
      </c>
      <c r="C1803" s="4" t="s">
        <v>287</v>
      </c>
      <c r="D1803" s="94">
        <v>1796.0</v>
      </c>
    </row>
    <row r="1804">
      <c r="A1804" s="40">
        <f t="array" ref="A1804">IFNA(index(PlayerValues!A:A,match(IFNA(vlookup(B1804,'Special Names'!A:B,2,FALSE),B1804),PlayerValues!E:E,0)),"N/A")</f>
        <v>17086</v>
      </c>
      <c r="B1804" s="4" t="s">
        <v>612</v>
      </c>
      <c r="C1804" s="4" t="s">
        <v>287</v>
      </c>
      <c r="D1804" s="94">
        <v>1783.0</v>
      </c>
    </row>
    <row r="1805">
      <c r="A1805" s="40">
        <f t="array" ref="A1805">IFNA(index(PlayerValues!A:A,match(IFNA(vlookup(B1805,'Special Names'!A:B,2,FALSE),B1805),PlayerValues!E:E,0)),"N/A")</f>
        <v>17055</v>
      </c>
      <c r="B1805" s="4" t="s">
        <v>565</v>
      </c>
      <c r="C1805" s="4" t="s">
        <v>278</v>
      </c>
      <c r="D1805" s="94">
        <v>1767.0</v>
      </c>
    </row>
    <row r="1806">
      <c r="A1806" s="40">
        <f t="array" ref="A1806">IFNA(index(PlayerValues!A:A,match(IFNA(vlookup(B1806,'Special Names'!A:B,2,FALSE),B1806),PlayerValues!E:E,0)),"N/A")</f>
        <v>17058</v>
      </c>
      <c r="B1806" s="4" t="s">
        <v>641</v>
      </c>
      <c r="C1806" s="4" t="s">
        <v>278</v>
      </c>
      <c r="D1806" s="94">
        <v>1764.0</v>
      </c>
    </row>
    <row r="1807">
      <c r="A1807" s="40">
        <f t="array" ref="A1807">IFNA(index(PlayerValues!A:A,match(IFNA(vlookup(B1807,'Special Names'!A:B,2,FALSE),B1807),PlayerValues!E:E,0)),"N/A")</f>
        <v>16601</v>
      </c>
      <c r="B1807" s="4" t="s">
        <v>648</v>
      </c>
      <c r="C1807" s="4" t="s">
        <v>278</v>
      </c>
      <c r="D1807" s="94">
        <v>1763.0</v>
      </c>
    </row>
    <row r="1808">
      <c r="A1808" s="40">
        <f t="array" ref="A1808">IFNA(index(PlayerValues!A:A,match(IFNA(vlookup(B1808,'Special Names'!A:B,2,FALSE),B1808),PlayerValues!E:E,0)),"N/A")</f>
        <v>11222</v>
      </c>
      <c r="B1808" s="4" t="s">
        <v>622</v>
      </c>
      <c r="C1808" s="4" t="s">
        <v>287</v>
      </c>
      <c r="D1808" s="94">
        <v>1761.0</v>
      </c>
    </row>
    <row r="1809">
      <c r="A1809" s="40">
        <f t="array" ref="A1809">IFNA(index(PlayerValues!A:A,match(IFNA(vlookup(B1809,'Special Names'!A:B,2,FALSE),B1809),PlayerValues!E:E,0)),"N/A")</f>
        <v>14105</v>
      </c>
      <c r="B1809" s="4" t="s">
        <v>675</v>
      </c>
      <c r="C1809" s="4" t="s">
        <v>287</v>
      </c>
      <c r="D1809" s="94">
        <v>1756.0</v>
      </c>
    </row>
    <row r="1810">
      <c r="A1810" s="40" t="str">
        <f t="array" ref="A1810">IFNA(index(PlayerValues!A:A,match(IFNA(vlookup(B1810,'Special Names'!A:B,2,FALSE),B1810),PlayerValues!E:E,0)),"N/A")</f>
        <v>N/A</v>
      </c>
      <c r="B1810" s="4" t="s">
        <v>89</v>
      </c>
      <c r="C1810" s="4" t="s">
        <v>325</v>
      </c>
      <c r="D1810" s="94">
        <v>1753.0</v>
      </c>
    </row>
    <row r="1811">
      <c r="A1811" s="40">
        <f t="array" ref="A1811">IFNA(index(PlayerValues!A:A,match(IFNA(vlookup(B1811,'Special Names'!A:B,2,FALSE),B1811),PlayerValues!E:E,0)),"N/A")</f>
        <v>16586</v>
      </c>
      <c r="B1811" s="4" t="s">
        <v>658</v>
      </c>
      <c r="C1811" s="4" t="s">
        <v>283</v>
      </c>
      <c r="D1811" s="94">
        <v>1743.0</v>
      </c>
    </row>
    <row r="1812">
      <c r="A1812" s="40">
        <f t="array" ref="A1812">IFNA(index(PlayerValues!A:A,match(IFNA(vlookup(B1812,'Special Names'!A:B,2,FALSE),B1812),PlayerValues!E:E,0)),"N/A")</f>
        <v>10700</v>
      </c>
      <c r="B1812" s="4" t="s">
        <v>596</v>
      </c>
      <c r="C1812" s="4" t="s">
        <v>283</v>
      </c>
      <c r="D1812" s="94">
        <v>1730.0</v>
      </c>
    </row>
    <row r="1813">
      <c r="A1813" s="40">
        <f t="array" ref="A1813">IFNA(index(PlayerValues!A:A,match(IFNA(vlookup(B1813,'Special Names'!A:B,2,FALSE),B1813),PlayerValues!E:E,0)),"N/A")</f>
        <v>16629</v>
      </c>
      <c r="B1813" s="4" t="s">
        <v>605</v>
      </c>
      <c r="C1813" s="4" t="s">
        <v>287</v>
      </c>
      <c r="D1813" s="94">
        <v>1730.0</v>
      </c>
    </row>
    <row r="1814">
      <c r="A1814" s="40">
        <f t="array" ref="A1814">IFNA(index(PlayerValues!A:A,match(IFNA(vlookup(B1814,'Special Names'!A:B,2,FALSE),B1814),PlayerValues!E:E,0)),"N/A")</f>
        <v>7836</v>
      </c>
      <c r="B1814" s="4" t="s">
        <v>590</v>
      </c>
      <c r="C1814" s="4" t="s">
        <v>283</v>
      </c>
      <c r="D1814" s="94">
        <v>1726.0</v>
      </c>
    </row>
    <row r="1815">
      <c r="A1815" s="40">
        <f t="array" ref="A1815">IFNA(index(PlayerValues!A:A,match(IFNA(vlookup(B1815,'Special Names'!A:B,2,FALSE),B1815),PlayerValues!E:E,0)),"N/A")</f>
        <v>15787</v>
      </c>
      <c r="B1815" s="4" t="s">
        <v>610</v>
      </c>
      <c r="C1815" s="4" t="s">
        <v>287</v>
      </c>
      <c r="D1815" s="94">
        <v>1725.0</v>
      </c>
    </row>
    <row r="1816">
      <c r="A1816" s="40">
        <f t="array" ref="A1816">IFNA(index(PlayerValues!A:A,match(IFNA(vlookup(B1816,'Special Names'!A:B,2,FALSE),B1816),PlayerValues!E:E,0)),"N/A")</f>
        <v>16207</v>
      </c>
      <c r="B1816" s="4" t="s">
        <v>636</v>
      </c>
      <c r="C1816" s="4" t="s">
        <v>287</v>
      </c>
      <c r="D1816" s="94">
        <v>1704.0</v>
      </c>
    </row>
    <row r="1817">
      <c r="A1817" s="40">
        <f t="array" ref="A1817">IFNA(index(PlayerValues!A:A,match(IFNA(vlookup(B1817,'Special Names'!A:B,2,FALSE),B1817),PlayerValues!E:E,0)),"N/A")</f>
        <v>17481</v>
      </c>
      <c r="B1817" s="4" t="s">
        <v>540</v>
      </c>
      <c r="C1817" s="4" t="s">
        <v>278</v>
      </c>
      <c r="D1817" s="94">
        <v>1703.0</v>
      </c>
    </row>
    <row r="1818">
      <c r="A1818" s="40">
        <f t="array" ref="A1818">IFNA(index(PlayerValues!A:A,match(IFNA(vlookup(B1818,'Special Names'!A:B,2,FALSE),B1818),PlayerValues!E:E,0)),"N/A")</f>
        <v>13629</v>
      </c>
      <c r="B1818" s="4" t="s">
        <v>619</v>
      </c>
      <c r="C1818" s="4" t="s">
        <v>287</v>
      </c>
      <c r="D1818" s="94">
        <v>1699.0</v>
      </c>
    </row>
    <row r="1819">
      <c r="A1819" s="40">
        <f t="array" ref="A1819">IFNA(index(PlayerValues!A:A,match(IFNA(vlookup(B1819,'Special Names'!A:B,2,FALSE),B1819),PlayerValues!E:E,0)),"N/A")</f>
        <v>15777</v>
      </c>
      <c r="B1819" s="4" t="s">
        <v>694</v>
      </c>
      <c r="C1819" s="4" t="s">
        <v>287</v>
      </c>
      <c r="D1819" s="94">
        <v>1692.0</v>
      </c>
    </row>
    <row r="1820">
      <c r="A1820" s="40">
        <f t="array" ref="A1820">IFNA(index(PlayerValues!A:A,match(IFNA(vlookup(B1820,'Special Names'!A:B,2,FALSE),B1820),PlayerValues!E:E,0)),"N/A")</f>
        <v>17205</v>
      </c>
      <c r="B1820" s="4" t="s">
        <v>665</v>
      </c>
      <c r="C1820" s="4" t="s">
        <v>287</v>
      </c>
      <c r="D1820" s="94">
        <v>1682.0</v>
      </c>
    </row>
    <row r="1821">
      <c r="A1821" s="40">
        <f t="array" ref="A1821">IFNA(index(PlayerValues!A:A,match(IFNA(vlookup(B1821,'Special Names'!A:B,2,FALSE),B1821),PlayerValues!E:E,0)),"N/A")</f>
        <v>16604</v>
      </c>
      <c r="B1821" s="4" t="s">
        <v>476</v>
      </c>
      <c r="C1821" s="4" t="s">
        <v>278</v>
      </c>
      <c r="D1821" s="94">
        <v>1677.0</v>
      </c>
    </row>
    <row r="1822">
      <c r="A1822" s="40" t="str">
        <f t="array" ref="A1822">IFNA(index(PlayerValues!A:A,match(IFNA(vlookup(B1822,'Special Names'!A:B,2,FALSE),B1822),PlayerValues!E:E,0)),"N/A")</f>
        <v>N/A</v>
      </c>
      <c r="B1822" s="4" t="s">
        <v>102</v>
      </c>
      <c r="C1822" s="4" t="s">
        <v>325</v>
      </c>
      <c r="D1822" s="94">
        <v>1671.0</v>
      </c>
    </row>
    <row r="1823">
      <c r="A1823" s="40">
        <f t="array" ref="A1823">IFNA(index(PlayerValues!A:A,match(IFNA(vlookup(B1823,'Special Names'!A:B,2,FALSE),B1823),PlayerValues!E:E,0)),"N/A")</f>
        <v>17520</v>
      </c>
      <c r="B1823" s="4" t="s">
        <v>518</v>
      </c>
      <c r="C1823" s="4" t="s">
        <v>287</v>
      </c>
      <c r="D1823" s="94">
        <v>1671.0</v>
      </c>
    </row>
    <row r="1824">
      <c r="A1824" s="40">
        <f t="array" ref="A1824">IFNA(index(PlayerValues!A:A,match(IFNA(vlookup(B1824,'Special Names'!A:B,2,FALSE),B1824),PlayerValues!E:E,0)),"N/A")</f>
        <v>13164</v>
      </c>
      <c r="B1824" s="4" t="s">
        <v>632</v>
      </c>
      <c r="C1824" s="4" t="s">
        <v>287</v>
      </c>
      <c r="D1824" s="94">
        <v>1668.0</v>
      </c>
    </row>
    <row r="1825">
      <c r="A1825" s="40">
        <f t="array" ref="A1825">IFNA(index(PlayerValues!A:A,match(IFNA(vlookup(B1825,'Special Names'!A:B,2,FALSE),B1825),PlayerValues!E:E,0)),"N/A")</f>
        <v>17064</v>
      </c>
      <c r="B1825" s="4" t="s">
        <v>631</v>
      </c>
      <c r="C1825" s="4" t="s">
        <v>278</v>
      </c>
      <c r="D1825" s="94">
        <v>1668.0</v>
      </c>
    </row>
    <row r="1826">
      <c r="A1826" s="40">
        <f t="array" ref="A1826">IFNA(index(PlayerValues!A:A,match(IFNA(vlookup(B1826,'Special Names'!A:B,2,FALSE),B1826),PlayerValues!E:E,0)),"N/A")</f>
        <v>17234</v>
      </c>
      <c r="B1826" s="4" t="s">
        <v>653</v>
      </c>
      <c r="C1826" s="4" t="s">
        <v>287</v>
      </c>
      <c r="D1826" s="94">
        <v>1653.0</v>
      </c>
    </row>
    <row r="1827">
      <c r="A1827" s="40">
        <f t="array" ref="A1827">IFNA(index(PlayerValues!A:A,match(IFNA(vlookup(B1827,'Special Names'!A:B,2,FALSE),B1827),PlayerValues!E:E,0)),"N/A")</f>
        <v>17528</v>
      </c>
      <c r="B1827" s="4" t="s">
        <v>579</v>
      </c>
      <c r="C1827" s="4" t="s">
        <v>287</v>
      </c>
      <c r="D1827" s="94">
        <v>1649.0</v>
      </c>
    </row>
    <row r="1828">
      <c r="A1828" s="40" t="str">
        <f t="array" ref="A1828">IFNA(index(PlayerValues!A:A,match(IFNA(vlookup(B1828,'Special Names'!A:B,2,FALSE),B1828),PlayerValues!E:E,0)),"N/A")</f>
        <v>N/A</v>
      </c>
      <c r="B1828" s="4" t="s">
        <v>90</v>
      </c>
      <c r="C1828" s="4" t="s">
        <v>325</v>
      </c>
      <c r="D1828" s="94">
        <v>1641.0</v>
      </c>
    </row>
    <row r="1829">
      <c r="A1829" s="40">
        <f t="array" ref="A1829">IFNA(index(PlayerValues!A:A,match(IFNA(vlookup(B1829,'Special Names'!A:B,2,FALSE),B1829),PlayerValues!E:E,0)),"N/A")</f>
        <v>16633</v>
      </c>
      <c r="B1829" s="4" t="s">
        <v>656</v>
      </c>
      <c r="C1829" s="4" t="s">
        <v>287</v>
      </c>
      <c r="D1829" s="94">
        <v>1633.0</v>
      </c>
    </row>
    <row r="1830">
      <c r="A1830" s="40">
        <f t="array" ref="A1830">IFNA(index(PlayerValues!A:A,match(IFNA(vlookup(B1830,'Special Names'!A:B,2,FALSE),B1830),PlayerValues!E:E,0)),"N/A")</f>
        <v>14143</v>
      </c>
      <c r="B1830" s="4" t="s">
        <v>635</v>
      </c>
      <c r="C1830" s="4" t="s">
        <v>298</v>
      </c>
      <c r="D1830" s="94">
        <v>1992.0</v>
      </c>
    </row>
    <row r="1831">
      <c r="A1831" s="40">
        <f t="array" ref="A1831">IFNA(index(PlayerValues!A:A,match(IFNA(vlookup(B1831,'Special Names'!A:B,2,FALSE),B1831),PlayerValues!E:E,0)),"N/A")</f>
        <v>15727</v>
      </c>
      <c r="B1831" s="4" t="s">
        <v>730</v>
      </c>
      <c r="C1831" s="4" t="s">
        <v>278</v>
      </c>
      <c r="D1831" s="94">
        <v>1615.0</v>
      </c>
    </row>
    <row r="1832">
      <c r="A1832" s="40">
        <f t="array" ref="A1832">IFNA(index(PlayerValues!A:A,match(IFNA(vlookup(B1832,'Special Names'!A:B,2,FALSE),B1832),PlayerValues!E:E,0)),"N/A")</f>
        <v>17545</v>
      </c>
      <c r="B1832" s="4" t="s">
        <v>719</v>
      </c>
      <c r="C1832" s="4" t="s">
        <v>298</v>
      </c>
      <c r="D1832" s="94">
        <v>1991.0</v>
      </c>
    </row>
    <row r="1833">
      <c r="A1833" s="40">
        <f t="array" ref="A1833">IFNA(index(PlayerValues!A:A,match(IFNA(vlookup(B1833,'Special Names'!A:B,2,FALSE),B1833),PlayerValues!E:E,0)),"N/A")</f>
        <v>13131</v>
      </c>
      <c r="B1833" s="4" t="s">
        <v>815</v>
      </c>
      <c r="C1833" s="4" t="s">
        <v>278</v>
      </c>
      <c r="D1833" s="94">
        <v>1612.0</v>
      </c>
    </row>
    <row r="1834">
      <c r="A1834" s="40">
        <f t="array" ref="A1834">IFNA(index(PlayerValues!A:A,match(IFNA(vlookup(B1834,'Special Names'!A:B,2,FALSE),B1834),PlayerValues!E:E,0)),"N/A")</f>
        <v>17037</v>
      </c>
      <c r="B1834" s="4" t="s">
        <v>727</v>
      </c>
      <c r="C1834" s="4" t="s">
        <v>283</v>
      </c>
      <c r="D1834" s="94">
        <v>1610.0</v>
      </c>
    </row>
    <row r="1835">
      <c r="A1835" s="40">
        <f t="array" ref="A1835">IFNA(index(PlayerValues!A:A,match(IFNA(vlookup(B1835,'Special Names'!A:B,2,FALSE),B1835),PlayerValues!E:E,0)),"N/A")</f>
        <v>17096</v>
      </c>
      <c r="B1835" s="4" t="s">
        <v>638</v>
      </c>
      <c r="C1835" s="4" t="s">
        <v>287</v>
      </c>
      <c r="D1835" s="94">
        <v>1605.0</v>
      </c>
    </row>
    <row r="1836">
      <c r="A1836" s="40" t="str">
        <f t="array" ref="A1836">IFNA(index(PlayerValues!A:A,match(IFNA(vlookup(B1836,'Special Names'!A:B,2,FALSE),B1836),PlayerValues!E:E,0)),"N/A")</f>
        <v>N/A</v>
      </c>
      <c r="B1836" s="4" t="s">
        <v>115</v>
      </c>
      <c r="C1836" s="4" t="s">
        <v>325</v>
      </c>
      <c r="D1836" s="94">
        <v>1602.0</v>
      </c>
    </row>
    <row r="1837">
      <c r="A1837" s="40">
        <f t="array" ref="A1837">IFNA(index(PlayerValues!A:A,match(IFNA(vlookup(B1837,'Special Names'!A:B,2,FALSE),B1837),PlayerValues!E:E,0)),"N/A")</f>
        <v>13193</v>
      </c>
      <c r="B1837" s="4" t="s">
        <v>773</v>
      </c>
      <c r="C1837" s="4" t="s">
        <v>298</v>
      </c>
      <c r="D1837" s="94">
        <v>1970.0</v>
      </c>
    </row>
    <row r="1838">
      <c r="A1838" s="40">
        <f t="array" ref="A1838">IFNA(index(PlayerValues!A:A,match(IFNA(vlookup(B1838,'Special Names'!A:B,2,FALSE),B1838),PlayerValues!E:E,0)),"N/A")</f>
        <v>14122</v>
      </c>
      <c r="B1838" s="4" t="s">
        <v>663</v>
      </c>
      <c r="C1838" s="4" t="s">
        <v>287</v>
      </c>
      <c r="D1838" s="94">
        <v>1588.0</v>
      </c>
    </row>
    <row r="1839">
      <c r="A1839" s="40">
        <f t="array" ref="A1839">IFNA(index(PlayerValues!A:A,match(IFNA(vlookup(B1839,'Special Names'!A:B,2,FALSE),B1839),PlayerValues!E:E,0)),"N/A")</f>
        <v>12140</v>
      </c>
      <c r="B1839" s="4" t="s">
        <v>702</v>
      </c>
      <c r="C1839" s="4" t="s">
        <v>283</v>
      </c>
      <c r="D1839" s="94">
        <v>1588.0</v>
      </c>
    </row>
    <row r="1840">
      <c r="A1840" s="40">
        <f t="array" ref="A1840">IFNA(index(PlayerValues!A:A,match(IFNA(vlookup(B1840,'Special Names'!A:B,2,FALSE),B1840),PlayerValues!E:E,0)),"N/A")</f>
        <v>16688</v>
      </c>
      <c r="B1840" s="4" t="s">
        <v>688</v>
      </c>
      <c r="C1840" s="4" t="s">
        <v>278</v>
      </c>
      <c r="D1840" s="94">
        <v>1585.0</v>
      </c>
    </row>
    <row r="1841">
      <c r="A1841" s="40">
        <f t="array" ref="A1841">IFNA(index(PlayerValues!A:A,match(IFNA(vlookup(B1841,'Special Names'!A:B,2,FALSE),B1841),PlayerValues!E:E,0)),"N/A")</f>
        <v>15252</v>
      </c>
      <c r="B1841" s="4" t="s">
        <v>715</v>
      </c>
      <c r="C1841" s="4" t="s">
        <v>283</v>
      </c>
      <c r="D1841" s="94">
        <v>1571.0</v>
      </c>
    </row>
    <row r="1842">
      <c r="A1842" s="40" t="str">
        <f t="array" ref="A1842">IFNA(index(PlayerValues!A:A,match(IFNA(vlookup(B1842,'Special Names'!A:B,2,FALSE),B1842),PlayerValues!E:E,0)),"N/A")</f>
        <v>N/A</v>
      </c>
      <c r="B1842" s="4" t="s">
        <v>103</v>
      </c>
      <c r="C1842" s="4" t="s">
        <v>325</v>
      </c>
      <c r="D1842" s="94">
        <v>1566.0</v>
      </c>
    </row>
    <row r="1843">
      <c r="A1843" s="40">
        <f t="array" ref="A1843">IFNA(index(PlayerValues!A:A,match(IFNA(vlookup(B1843,'Special Names'!A:B,2,FALSE),B1843),PlayerValues!E:E,0)),"N/A")</f>
        <v>16390</v>
      </c>
      <c r="B1843" s="4" t="s">
        <v>689</v>
      </c>
      <c r="C1843" s="4" t="s">
        <v>278</v>
      </c>
      <c r="D1843" s="94">
        <v>1561.0</v>
      </c>
    </row>
    <row r="1844">
      <c r="A1844" s="40">
        <f t="array" ref="A1844">IFNA(index(PlayerValues!A:A,match(IFNA(vlookup(B1844,'Special Names'!A:B,2,FALSE),B1844),PlayerValues!E:E,0)),"N/A")</f>
        <v>12141</v>
      </c>
      <c r="B1844" s="4" t="s">
        <v>744</v>
      </c>
      <c r="C1844" s="4" t="s">
        <v>283</v>
      </c>
      <c r="D1844" s="94">
        <v>1535.0</v>
      </c>
    </row>
    <row r="1845">
      <c r="A1845" s="40">
        <f t="array" ref="A1845">IFNA(index(PlayerValues!A:A,match(IFNA(vlookup(B1845,'Special Names'!A:B,2,FALSE),B1845),PlayerValues!E:E,0)),"N/A")</f>
        <v>14080</v>
      </c>
      <c r="B1845" s="4" t="s">
        <v>716</v>
      </c>
      <c r="C1845" s="4" t="s">
        <v>278</v>
      </c>
      <c r="D1845" s="94">
        <v>1525.0</v>
      </c>
    </row>
    <row r="1846">
      <c r="A1846" s="40" t="str">
        <f t="array" ref="A1846">IFNA(index(PlayerValues!A:A,match(IFNA(vlookup(B1846,'Special Names'!A:B,2,FALSE),B1846),PlayerValues!E:E,0)),"N/A")</f>
        <v>N/A</v>
      </c>
      <c r="B1846" s="4" t="s">
        <v>91</v>
      </c>
      <c r="C1846" s="4" t="s">
        <v>325</v>
      </c>
      <c r="D1846" s="94">
        <v>1515.0</v>
      </c>
    </row>
    <row r="1847">
      <c r="A1847" s="40" t="str">
        <f t="array" ref="A1847">IFNA(index(PlayerValues!A:A,match(IFNA(vlookup(B1847,'Special Names'!A:B,2,FALSE),B1847),PlayerValues!E:E,0)),"N/A")</f>
        <v>N/A</v>
      </c>
      <c r="B1847" s="4" t="s">
        <v>116</v>
      </c>
      <c r="C1847" s="4" t="s">
        <v>325</v>
      </c>
      <c r="D1847" s="94">
        <v>1515.0</v>
      </c>
    </row>
    <row r="1848">
      <c r="A1848" s="40">
        <f t="array" ref="A1848">IFNA(index(PlayerValues!A:A,match(IFNA(vlookup(B1848,'Special Names'!A:B,2,FALSE),B1848),PlayerValues!E:E,0)),"N/A")</f>
        <v>15258</v>
      </c>
      <c r="B1848" s="4" t="s">
        <v>757</v>
      </c>
      <c r="C1848" s="4" t="s">
        <v>278</v>
      </c>
      <c r="D1848" s="94">
        <v>1511.0</v>
      </c>
    </row>
    <row r="1849">
      <c r="A1849" s="40">
        <f t="array" ref="A1849">IFNA(index(PlayerValues!A:A,match(IFNA(vlookup(B1849,'Special Names'!A:B,2,FALSE),B1849),PlayerValues!E:E,0)),"N/A")</f>
        <v>15319</v>
      </c>
      <c r="B1849" s="4" t="s">
        <v>644</v>
      </c>
      <c r="C1849" s="4" t="s">
        <v>287</v>
      </c>
      <c r="D1849" s="94">
        <v>1511.0</v>
      </c>
    </row>
    <row r="1850">
      <c r="A1850" s="40">
        <f t="array" ref="A1850">IFNA(index(PlayerValues!A:A,match(IFNA(vlookup(B1850,'Special Names'!A:B,2,FALSE),B1850),PlayerValues!E:E,0)),"N/A")</f>
        <v>15713</v>
      </c>
      <c r="B1850" s="4" t="s">
        <v>732</v>
      </c>
      <c r="C1850" s="4" t="s">
        <v>278</v>
      </c>
      <c r="D1850" s="94">
        <v>1494.0</v>
      </c>
    </row>
    <row r="1851">
      <c r="A1851" s="40">
        <f t="array" ref="A1851">IFNA(index(PlayerValues!A:A,match(IFNA(vlookup(B1851,'Special Names'!A:B,2,FALSE),B1851),PlayerValues!E:E,0)),"N/A")</f>
        <v>13418</v>
      </c>
      <c r="B1851" s="4" t="s">
        <v>706</v>
      </c>
      <c r="C1851" s="4" t="s">
        <v>287</v>
      </c>
      <c r="D1851" s="94">
        <v>1474.0</v>
      </c>
    </row>
    <row r="1852">
      <c r="A1852" s="40">
        <f t="array" ref="A1852">IFNA(index(PlayerValues!A:A,match(IFNA(vlookup(B1852,'Special Names'!A:B,2,FALSE),B1852),PlayerValues!E:E,0)),"N/A")</f>
        <v>17077</v>
      </c>
      <c r="B1852" s="4" t="s">
        <v>714</v>
      </c>
      <c r="C1852" s="4" t="s">
        <v>287</v>
      </c>
      <c r="D1852" s="94">
        <v>1474.0</v>
      </c>
    </row>
    <row r="1853">
      <c r="A1853" s="40">
        <f t="array" ref="A1853">IFNA(index(PlayerValues!A:A,match(IFNA(vlookup(B1853,'Special Names'!A:B,2,FALSE),B1853),PlayerValues!E:E,0)),"N/A")</f>
        <v>15755</v>
      </c>
      <c r="B1853" s="4" t="s">
        <v>628</v>
      </c>
      <c r="C1853" s="4" t="s">
        <v>287</v>
      </c>
      <c r="D1853" s="94">
        <v>1471.0</v>
      </c>
    </row>
    <row r="1854">
      <c r="A1854" s="40">
        <f t="array" ref="A1854">IFNA(index(PlayerValues!A:A,match(IFNA(vlookup(B1854,'Special Names'!A:B,2,FALSE),B1854),PlayerValues!E:E,0)),"N/A")</f>
        <v>17254</v>
      </c>
      <c r="B1854" s="4" t="s">
        <v>679</v>
      </c>
      <c r="C1854" s="4" t="s">
        <v>287</v>
      </c>
      <c r="D1854" s="94">
        <v>1465.0</v>
      </c>
    </row>
    <row r="1855">
      <c r="A1855" s="40">
        <f t="array" ref="A1855">IFNA(index(PlayerValues!A:A,match(IFNA(vlookup(B1855,'Special Names'!A:B,2,FALSE),B1855),PlayerValues!E:E,0)),"N/A")</f>
        <v>15738</v>
      </c>
      <c r="B1855" s="4" t="s">
        <v>634</v>
      </c>
      <c r="C1855" s="4" t="s">
        <v>278</v>
      </c>
      <c r="D1855" s="94">
        <v>1459.0</v>
      </c>
    </row>
    <row r="1856">
      <c r="A1856" s="40">
        <f t="array" ref="A1856">IFNA(index(PlayerValues!A:A,match(IFNA(vlookup(B1856,'Special Names'!A:B,2,FALSE),B1856),PlayerValues!E:E,0)),"N/A")</f>
        <v>15752</v>
      </c>
      <c r="B1856" s="4" t="s">
        <v>647</v>
      </c>
      <c r="C1856" s="4" t="s">
        <v>287</v>
      </c>
      <c r="D1856" s="94">
        <v>1457.0</v>
      </c>
    </row>
    <row r="1857">
      <c r="A1857" s="40">
        <f t="array" ref="A1857">IFNA(index(PlayerValues!A:A,match(IFNA(vlookup(B1857,'Special Names'!A:B,2,FALSE),B1857),PlayerValues!E:E,0)),"N/A")</f>
        <v>16631</v>
      </c>
      <c r="B1857" s="4" t="s">
        <v>800</v>
      </c>
      <c r="C1857" s="4" t="s">
        <v>287</v>
      </c>
      <c r="D1857" s="94">
        <v>1452.0</v>
      </c>
    </row>
    <row r="1858">
      <c r="A1858" s="40">
        <f t="array" ref="A1858">IFNA(index(PlayerValues!A:A,match(IFNA(vlookup(B1858,'Special Names'!A:B,2,FALSE),B1858),PlayerValues!E:E,0)),"N/A")</f>
        <v>13672</v>
      </c>
      <c r="B1858" s="4" t="s">
        <v>667</v>
      </c>
      <c r="C1858" s="4" t="s">
        <v>298</v>
      </c>
      <c r="D1858" s="94">
        <v>1823.0</v>
      </c>
    </row>
    <row r="1859">
      <c r="A1859" s="40">
        <f t="array" ref="A1859">IFNA(index(PlayerValues!A:A,match(IFNA(vlookup(B1859,'Special Names'!A:B,2,FALSE),B1859),PlayerValues!E:E,0)),"N/A")</f>
        <v>11150</v>
      </c>
      <c r="B1859" s="4" t="s">
        <v>559</v>
      </c>
      <c r="C1859" s="4" t="s">
        <v>283</v>
      </c>
      <c r="D1859" s="94">
        <v>1449.0</v>
      </c>
    </row>
    <row r="1860">
      <c r="A1860" s="40">
        <f t="array" ref="A1860">IFNA(index(PlayerValues!A:A,match(IFNA(vlookup(B1860,'Special Names'!A:B,2,FALSE),B1860),PlayerValues!E:E,0)),"N/A")</f>
        <v>14095</v>
      </c>
      <c r="B1860" s="4" t="s">
        <v>680</v>
      </c>
      <c r="C1860" s="4" t="s">
        <v>278</v>
      </c>
      <c r="D1860" s="94">
        <v>1447.0</v>
      </c>
    </row>
    <row r="1861">
      <c r="A1861" s="40">
        <f t="array" ref="A1861">IFNA(index(PlayerValues!A:A,match(IFNA(vlookup(B1861,'Special Names'!A:B,2,FALSE),B1861),PlayerValues!E:E,0)),"N/A")</f>
        <v>17269</v>
      </c>
      <c r="B1861" s="4" t="s">
        <v>718</v>
      </c>
      <c r="C1861" s="4" t="s">
        <v>287</v>
      </c>
      <c r="D1861" s="94">
        <v>1441.0</v>
      </c>
    </row>
    <row r="1862">
      <c r="A1862" s="40">
        <f t="array" ref="A1862">IFNA(index(PlayerValues!A:A,match(IFNA(vlookup(B1862,'Special Names'!A:B,2,FALSE),B1862),PlayerValues!E:E,0)),"N/A")</f>
        <v>17062</v>
      </c>
      <c r="B1862" s="4" t="s">
        <v>701</v>
      </c>
      <c r="C1862" s="4" t="s">
        <v>278</v>
      </c>
      <c r="D1862" s="94">
        <v>1430.0</v>
      </c>
    </row>
    <row r="1863">
      <c r="A1863" s="40">
        <f t="array" ref="A1863">IFNA(index(PlayerValues!A:A,match(IFNA(vlookup(B1863,'Special Names'!A:B,2,FALSE),B1863),PlayerValues!E:E,0)),"N/A")</f>
        <v>15332</v>
      </c>
      <c r="B1863" s="4" t="s">
        <v>698</v>
      </c>
      <c r="C1863" s="4" t="s">
        <v>298</v>
      </c>
      <c r="D1863" s="94">
        <v>1780.0</v>
      </c>
    </row>
    <row r="1864">
      <c r="A1864" s="40">
        <f t="array" ref="A1864">IFNA(index(PlayerValues!A:A,match(IFNA(vlookup(B1864,'Special Names'!A:B,2,FALSE),B1864),PlayerValues!E:E,0)),"N/A")</f>
        <v>13138</v>
      </c>
      <c r="B1864" s="4" t="s">
        <v>817</v>
      </c>
      <c r="C1864" s="4" t="s">
        <v>278</v>
      </c>
      <c r="D1864" s="94">
        <v>1400.0</v>
      </c>
    </row>
    <row r="1865">
      <c r="A1865" s="40">
        <f t="array" ref="A1865">IFNA(index(PlayerValues!A:A,match(IFNA(vlookup(B1865,'Special Names'!A:B,2,FALSE),B1865),PlayerValues!E:E,0)),"N/A")</f>
        <v>15788</v>
      </c>
      <c r="B1865" s="4" t="s">
        <v>627</v>
      </c>
      <c r="C1865" s="4" t="s">
        <v>287</v>
      </c>
      <c r="D1865" s="94">
        <v>1390.0</v>
      </c>
    </row>
    <row r="1866">
      <c r="A1866" s="40">
        <f t="array" ref="A1866">IFNA(index(PlayerValues!A:A,match(IFNA(vlookup(B1866,'Special Names'!A:B,2,FALSE),B1866),PlayerValues!E:E,0)),"N/A")</f>
        <v>17504</v>
      </c>
      <c r="B1866" s="4" t="s">
        <v>693</v>
      </c>
      <c r="C1866" s="4" t="s">
        <v>287</v>
      </c>
      <c r="D1866" s="94">
        <v>1384.0</v>
      </c>
    </row>
    <row r="1867">
      <c r="A1867" s="40">
        <f t="array" ref="A1867">IFNA(index(PlayerValues!A:A,match(IFNA(vlookup(B1867,'Special Names'!A:B,2,FALSE),B1867),PlayerValues!E:E,0)),"N/A")</f>
        <v>15797</v>
      </c>
      <c r="B1867" s="4" t="s">
        <v>556</v>
      </c>
      <c r="C1867" s="4" t="s">
        <v>298</v>
      </c>
      <c r="D1867" s="94">
        <v>1754.0</v>
      </c>
    </row>
    <row r="1868">
      <c r="A1868" s="40">
        <f t="array" ref="A1868">IFNA(index(PlayerValues!A:A,match(IFNA(vlookup(B1868,'Special Names'!A:B,2,FALSE),B1868),PlayerValues!E:E,0)),"N/A")</f>
        <v>17510</v>
      </c>
      <c r="B1868" s="4" t="s">
        <v>661</v>
      </c>
      <c r="C1868" s="4" t="s">
        <v>287</v>
      </c>
      <c r="D1868" s="94">
        <v>1374.0</v>
      </c>
    </row>
    <row r="1869">
      <c r="A1869" s="40">
        <f t="array" ref="A1869">IFNA(index(PlayerValues!A:A,match(IFNA(vlookup(B1869,'Special Names'!A:B,2,FALSE),B1869),PlayerValues!E:E,0)),"N/A")</f>
        <v>17475</v>
      </c>
      <c r="B1869" s="4" t="s">
        <v>615</v>
      </c>
      <c r="C1869" s="4" t="s">
        <v>278</v>
      </c>
      <c r="D1869" s="94">
        <v>1367.0</v>
      </c>
    </row>
    <row r="1870">
      <c r="A1870" s="40">
        <f t="array" ref="A1870">IFNA(index(PlayerValues!A:A,match(IFNA(vlookup(B1870,'Special Names'!A:B,2,FALSE),B1870),PlayerValues!E:E,0)),"N/A")</f>
        <v>15873</v>
      </c>
      <c r="B1870" s="4" t="s">
        <v>681</v>
      </c>
      <c r="C1870" s="4" t="s">
        <v>298</v>
      </c>
      <c r="D1870" s="94">
        <v>1719.0</v>
      </c>
    </row>
    <row r="1871">
      <c r="A1871" s="40">
        <f t="array" ref="A1871">IFNA(index(PlayerValues!A:A,match(IFNA(vlookup(B1871,'Special Names'!A:B,2,FALSE),B1871),PlayerValues!E:E,0)),"N/A")</f>
        <v>17541</v>
      </c>
      <c r="B1871" s="4" t="s">
        <v>616</v>
      </c>
      <c r="C1871" s="4" t="s">
        <v>287</v>
      </c>
      <c r="D1871" s="94">
        <v>1347.0</v>
      </c>
    </row>
    <row r="1872">
      <c r="A1872" s="40">
        <f t="array" ref="A1872">IFNA(index(PlayerValues!A:A,match(IFNA(vlookup(B1872,'Special Names'!A:B,2,FALSE),B1872),PlayerValues!E:E,0)),"N/A")</f>
        <v>16621</v>
      </c>
      <c r="B1872" s="4" t="s">
        <v>672</v>
      </c>
      <c r="C1872" s="4" t="s">
        <v>287</v>
      </c>
      <c r="D1872" s="94">
        <v>1345.0</v>
      </c>
    </row>
    <row r="1873">
      <c r="A1873" s="40">
        <f t="array" ref="A1873">IFNA(index(PlayerValues!A:A,match(IFNA(vlookup(B1873,'Special Names'!A:B,2,FALSE),B1873),PlayerValues!E:E,0)),"N/A")</f>
        <v>14137</v>
      </c>
      <c r="B1873" s="4" t="s">
        <v>676</v>
      </c>
      <c r="C1873" s="4" t="s">
        <v>298</v>
      </c>
      <c r="D1873" s="94">
        <v>1709.0</v>
      </c>
    </row>
    <row r="1874">
      <c r="A1874" s="40">
        <f t="array" ref="A1874">IFNA(index(PlayerValues!A:A,match(IFNA(vlookup(B1874,'Special Names'!A:B,2,FALSE),B1874),PlayerValues!E:E,0)),"N/A")</f>
        <v>17479</v>
      </c>
      <c r="B1874" s="4" t="s">
        <v>756</v>
      </c>
      <c r="C1874" s="4" t="s">
        <v>278</v>
      </c>
      <c r="D1874" s="94">
        <v>1335.0</v>
      </c>
    </row>
    <row r="1875">
      <c r="A1875" s="40">
        <f t="array" ref="A1875">IFNA(index(PlayerValues!A:A,match(IFNA(vlookup(B1875,'Special Names'!A:B,2,FALSE),B1875),PlayerValues!E:E,0)),"N/A")</f>
        <v>15301</v>
      </c>
      <c r="B1875" s="4" t="s">
        <v>657</v>
      </c>
      <c r="C1875" s="4" t="s">
        <v>287</v>
      </c>
      <c r="D1875" s="94">
        <v>1333.0</v>
      </c>
    </row>
    <row r="1876">
      <c r="A1876" s="40">
        <f t="array" ref="A1876">IFNA(index(PlayerValues!A:A,match(IFNA(vlookup(B1876,'Special Names'!A:B,2,FALSE),B1876),PlayerValues!E:E,0)),"N/A")</f>
        <v>16642</v>
      </c>
      <c r="B1876" s="4" t="s">
        <v>691</v>
      </c>
      <c r="C1876" s="4" t="s">
        <v>298</v>
      </c>
      <c r="D1876" s="94">
        <v>1697.0</v>
      </c>
    </row>
    <row r="1877">
      <c r="A1877" s="40" t="str">
        <f t="array" ref="A1877">IFNA(index(PlayerValues!A:A,match(IFNA(vlookup(B1877,'Special Names'!A:B,2,FALSE),B1877),PlayerValues!E:E,0)),"N/A")</f>
        <v>N/A</v>
      </c>
      <c r="B1877" s="4" t="s">
        <v>117</v>
      </c>
      <c r="C1877" s="4" t="s">
        <v>325</v>
      </c>
      <c r="D1877" s="94">
        <v>1315.0</v>
      </c>
    </row>
    <row r="1878">
      <c r="A1878" s="40">
        <f t="array" ref="A1878">IFNA(index(PlayerValues!A:A,match(IFNA(vlookup(B1878,'Special Names'!A:B,2,FALSE),B1878),PlayerValues!E:E,0)),"N/A")</f>
        <v>17487</v>
      </c>
      <c r="B1878" s="4" t="s">
        <v>692</v>
      </c>
      <c r="C1878" s="4" t="s">
        <v>278</v>
      </c>
      <c r="D1878" s="94">
        <v>1312.0</v>
      </c>
    </row>
    <row r="1879">
      <c r="A1879" s="40">
        <f t="array" ref="A1879">IFNA(index(PlayerValues!A:A,match(IFNA(vlookup(B1879,'Special Names'!A:B,2,FALSE),B1879),PlayerValues!E:E,0)),"N/A")</f>
        <v>17486</v>
      </c>
      <c r="B1879" s="4" t="s">
        <v>695</v>
      </c>
      <c r="C1879" s="4" t="s">
        <v>278</v>
      </c>
      <c r="D1879" s="94">
        <v>1309.0</v>
      </c>
    </row>
    <row r="1880">
      <c r="A1880" s="40">
        <f t="array" ref="A1880">IFNA(index(PlayerValues!A:A,match(IFNA(vlookup(B1880,'Special Names'!A:B,2,FALSE),B1880),PlayerValues!E:E,0)),"N/A")</f>
        <v>16385</v>
      </c>
      <c r="B1880" s="4" t="s">
        <v>690</v>
      </c>
      <c r="C1880" s="4" t="s">
        <v>278</v>
      </c>
      <c r="D1880" s="94">
        <v>1295.0</v>
      </c>
    </row>
    <row r="1881">
      <c r="A1881" s="40">
        <f t="array" ref="A1881">IFNA(index(PlayerValues!A:A,match(IFNA(vlookup(B1881,'Special Names'!A:B,2,FALSE),B1881),PlayerValues!E:E,0)),"N/A")</f>
        <v>17470</v>
      </c>
      <c r="B1881" s="4" t="s">
        <v>841</v>
      </c>
      <c r="C1881" s="4" t="s">
        <v>283</v>
      </c>
      <c r="D1881" s="94">
        <v>1295.0</v>
      </c>
    </row>
    <row r="1882">
      <c r="A1882" s="40">
        <f t="array" ref="A1882">IFNA(index(PlayerValues!A:A,match(IFNA(vlookup(B1882,'Special Names'!A:B,2,FALSE),B1882),PlayerValues!E:E,0)),"N/A")</f>
        <v>16175</v>
      </c>
      <c r="B1882" s="4" t="s">
        <v>654</v>
      </c>
      <c r="C1882" s="4" t="s">
        <v>278</v>
      </c>
      <c r="D1882" s="94">
        <v>1284.0</v>
      </c>
    </row>
    <row r="1883">
      <c r="A1883" s="40">
        <f t="array" ref="A1883">IFNA(index(PlayerValues!A:A,match(IFNA(vlookup(B1883,'Special Names'!A:B,2,FALSE),B1883),PlayerValues!E:E,0)),"N/A")</f>
        <v>15292</v>
      </c>
      <c r="B1883" s="4" t="s">
        <v>682</v>
      </c>
      <c r="C1883" s="4" t="s">
        <v>287</v>
      </c>
      <c r="D1883" s="94">
        <v>1275.0</v>
      </c>
    </row>
    <row r="1884">
      <c r="A1884" s="40">
        <f t="array" ref="A1884">IFNA(index(PlayerValues!A:A,match(IFNA(vlookup(B1884,'Special Names'!A:B,2,FALSE),B1884),PlayerValues!E:E,0)),"N/A")</f>
        <v>14086</v>
      </c>
      <c r="B1884" s="4" t="s">
        <v>639</v>
      </c>
      <c r="C1884" s="4" t="s">
        <v>278</v>
      </c>
      <c r="D1884" s="94">
        <v>1263.0</v>
      </c>
    </row>
    <row r="1885">
      <c r="A1885" s="40">
        <f t="array" ref="A1885">IFNA(index(PlayerValues!A:A,match(IFNA(vlookup(B1885,'Special Names'!A:B,2,FALSE),B1885),PlayerValues!E:E,0)),"N/A")</f>
        <v>14592</v>
      </c>
      <c r="B1885" s="4" t="s">
        <v>705</v>
      </c>
      <c r="C1885" s="4" t="s">
        <v>287</v>
      </c>
      <c r="D1885" s="94">
        <v>1257.0</v>
      </c>
    </row>
    <row r="1886">
      <c r="A1886" s="40">
        <f t="array" ref="A1886">IFNA(index(PlayerValues!A:A,match(IFNA(vlookup(B1886,'Special Names'!A:B,2,FALSE),B1886),PlayerValues!E:E,0)),"N/A")</f>
        <v>14108</v>
      </c>
      <c r="B1886" s="4" t="s">
        <v>673</v>
      </c>
      <c r="C1886" s="4" t="s">
        <v>287</v>
      </c>
      <c r="D1886" s="94">
        <v>1252.0</v>
      </c>
    </row>
    <row r="1887">
      <c r="A1887" s="40">
        <f t="array" ref="A1887">IFNA(index(PlayerValues!A:A,match(IFNA(vlookup(B1887,'Special Names'!A:B,2,FALSE),B1887),PlayerValues!E:E,0)),"N/A")</f>
        <v>15240</v>
      </c>
      <c r="B1887" s="4" t="s">
        <v>751</v>
      </c>
      <c r="C1887" s="4" t="s">
        <v>283</v>
      </c>
      <c r="D1887" s="94">
        <v>1247.0</v>
      </c>
    </row>
    <row r="1888">
      <c r="A1888" s="40">
        <f t="array" ref="A1888">IFNA(index(PlayerValues!A:A,match(IFNA(vlookup(B1888,'Special Names'!A:B,2,FALSE),B1888),PlayerValues!E:E,0)),"N/A")</f>
        <v>15702</v>
      </c>
      <c r="B1888" s="4" t="s">
        <v>723</v>
      </c>
      <c r="C1888" s="4" t="s">
        <v>283</v>
      </c>
      <c r="D1888" s="94">
        <v>1247.0</v>
      </c>
    </row>
    <row r="1889">
      <c r="A1889" s="40">
        <f t="array" ref="A1889">IFNA(index(PlayerValues!A:A,match(IFNA(vlookup(B1889,'Special Names'!A:B,2,FALSE),B1889),PlayerValues!E:E,0)),"N/A")</f>
        <v>16451</v>
      </c>
      <c r="B1889" s="4" t="s">
        <v>769</v>
      </c>
      <c r="C1889" s="4" t="s">
        <v>287</v>
      </c>
      <c r="D1889" s="94">
        <v>1229.0</v>
      </c>
    </row>
    <row r="1890">
      <c r="A1890" s="40">
        <f t="array" ref="A1890">IFNA(index(PlayerValues!A:A,match(IFNA(vlookup(B1890,'Special Names'!A:B,2,FALSE),B1890),PlayerValues!E:E,0)),"N/A")</f>
        <v>15981</v>
      </c>
      <c r="B1890" s="4" t="s">
        <v>729</v>
      </c>
      <c r="C1890" s="4" t="s">
        <v>287</v>
      </c>
      <c r="D1890" s="94">
        <v>1227.0</v>
      </c>
    </row>
    <row r="1891">
      <c r="A1891" s="40">
        <f t="array" ref="A1891">IFNA(index(PlayerValues!A:A,match(IFNA(vlookup(B1891,'Special Names'!A:B,2,FALSE),B1891),PlayerValues!E:E,0)),"N/A")</f>
        <v>16183</v>
      </c>
      <c r="B1891" s="4" t="s">
        <v>678</v>
      </c>
      <c r="C1891" s="4" t="s">
        <v>287</v>
      </c>
      <c r="D1891" s="94">
        <v>1227.0</v>
      </c>
    </row>
    <row r="1892">
      <c r="A1892" s="40">
        <f t="array" ref="A1892">IFNA(index(PlayerValues!A:A,match(IFNA(vlookup(B1892,'Special Names'!A:B,2,FALSE),B1892),PlayerValues!E:E,0)),"N/A")</f>
        <v>16149</v>
      </c>
      <c r="B1892" s="4" t="s">
        <v>740</v>
      </c>
      <c r="C1892" s="4" t="s">
        <v>283</v>
      </c>
      <c r="D1892" s="94">
        <v>1227.0</v>
      </c>
    </row>
    <row r="1893">
      <c r="A1893" s="40">
        <f t="array" ref="A1893">IFNA(index(PlayerValues!A:A,match(IFNA(vlookup(B1893,'Special Names'!A:B,2,FALSE),B1893),PlayerValues!E:E,0)),"N/A")</f>
        <v>12263</v>
      </c>
      <c r="B1893" s="4" t="s">
        <v>697</v>
      </c>
      <c r="C1893" s="4" t="s">
        <v>298</v>
      </c>
      <c r="D1893" s="94">
        <v>1585.0</v>
      </c>
    </row>
    <row r="1894">
      <c r="A1894" s="40">
        <f t="array" ref="A1894">IFNA(index(PlayerValues!A:A,match(IFNA(vlookup(B1894,'Special Names'!A:B,2,FALSE),B1894),PlayerValues!E:E,0)),"N/A")</f>
        <v>17526</v>
      </c>
      <c r="B1894" s="4" t="s">
        <v>760</v>
      </c>
      <c r="C1894" s="4" t="s">
        <v>287</v>
      </c>
      <c r="D1894" s="94">
        <v>1210.0</v>
      </c>
    </row>
    <row r="1895">
      <c r="A1895" s="40">
        <f t="array" ref="A1895">IFNA(index(PlayerValues!A:A,match(IFNA(vlookup(B1895,'Special Names'!A:B,2,FALSE),B1895),PlayerValues!E:E,0)),"N/A")</f>
        <v>16384</v>
      </c>
      <c r="B1895" s="4" t="s">
        <v>696</v>
      </c>
      <c r="C1895" s="4" t="s">
        <v>283</v>
      </c>
      <c r="D1895" s="94">
        <v>1197.0</v>
      </c>
    </row>
    <row r="1896">
      <c r="A1896" s="40">
        <f t="array" ref="A1896">IFNA(index(PlayerValues!A:A,match(IFNA(vlookup(B1896,'Special Names'!A:B,2,FALSE),B1896),PlayerValues!E:E,0)),"N/A")</f>
        <v>16792</v>
      </c>
      <c r="B1896" s="4" t="s">
        <v>704</v>
      </c>
      <c r="C1896" s="4" t="s">
        <v>287</v>
      </c>
      <c r="D1896" s="94">
        <v>1194.0</v>
      </c>
    </row>
    <row r="1897">
      <c r="A1897" s="40">
        <f t="array" ref="A1897">IFNA(index(PlayerValues!A:A,match(IFNA(vlookup(B1897,'Special Names'!A:B,2,FALSE),B1897),PlayerValues!E:E,0)),"N/A")</f>
        <v>17063</v>
      </c>
      <c r="B1897" s="4" t="s">
        <v>686</v>
      </c>
      <c r="C1897" s="4" t="s">
        <v>278</v>
      </c>
      <c r="D1897" s="94">
        <v>1186.0</v>
      </c>
    </row>
    <row r="1898">
      <c r="A1898" s="40">
        <f t="array" ref="A1898">IFNA(index(PlayerValues!A:A,match(IFNA(vlookup(B1898,'Special Names'!A:B,2,FALSE),B1898),PlayerValues!E:E,0)),"N/A")</f>
        <v>16221</v>
      </c>
      <c r="B1898" s="4" t="s">
        <v>725</v>
      </c>
      <c r="C1898" s="4" t="s">
        <v>298</v>
      </c>
      <c r="D1898" s="94">
        <v>1547.0</v>
      </c>
    </row>
    <row r="1899">
      <c r="A1899" s="40">
        <f t="array" ref="A1899">IFNA(index(PlayerValues!A:A,match(IFNA(vlookup(B1899,'Special Names'!A:B,2,FALSE),B1899),PlayerValues!E:E,0)),"N/A")</f>
        <v>16645</v>
      </c>
      <c r="B1899" s="4" t="s">
        <v>651</v>
      </c>
      <c r="C1899" s="4" t="s">
        <v>298</v>
      </c>
      <c r="D1899" s="94">
        <v>1543.0</v>
      </c>
    </row>
    <row r="1900">
      <c r="A1900" s="40">
        <f t="array" ref="A1900">IFNA(index(PlayerValues!A:A,match(IFNA(vlookup(B1900,'Special Names'!A:B,2,FALSE),B1900),PlayerValues!E:E,0)),"N/A")</f>
        <v>17054</v>
      </c>
      <c r="B1900" s="4" t="s">
        <v>670</v>
      </c>
      <c r="C1900" s="4" t="s">
        <v>278</v>
      </c>
      <c r="D1900" s="94">
        <v>1170.0</v>
      </c>
    </row>
    <row r="1901">
      <c r="A1901" s="40">
        <f t="array" ref="A1901">IFNA(index(PlayerValues!A:A,match(IFNA(vlookup(B1901,'Special Names'!A:B,2,FALSE),B1901),PlayerValues!E:E,0)),"N/A")</f>
        <v>12678</v>
      </c>
      <c r="B1901" s="4" t="s">
        <v>703</v>
      </c>
      <c r="C1901" s="4" t="s">
        <v>298</v>
      </c>
      <c r="D1901" s="94">
        <v>1524.0</v>
      </c>
    </row>
    <row r="1902">
      <c r="A1902" s="40">
        <f t="array" ref="A1902">IFNA(index(PlayerValues!A:A,match(IFNA(vlookup(B1902,'Special Names'!A:B,2,FALSE),B1902),PlayerValues!E:E,0)),"N/A")</f>
        <v>16883</v>
      </c>
      <c r="B1902" s="4" t="s">
        <v>683</v>
      </c>
      <c r="C1902" s="4" t="s">
        <v>287</v>
      </c>
      <c r="D1902" s="94">
        <v>1152.0</v>
      </c>
    </row>
    <row r="1903">
      <c r="A1903" s="40">
        <f t="array" ref="A1903">IFNA(index(PlayerValues!A:A,match(IFNA(vlookup(B1903,'Special Names'!A:B,2,FALSE),B1903),PlayerValues!E:E,0)),"N/A")</f>
        <v>16746</v>
      </c>
      <c r="B1903" s="4" t="s">
        <v>709</v>
      </c>
      <c r="C1903" s="4" t="s">
        <v>278</v>
      </c>
      <c r="D1903" s="94">
        <v>1150.0</v>
      </c>
    </row>
    <row r="1904">
      <c r="A1904" s="40">
        <f t="array" ref="A1904">IFNA(index(PlayerValues!A:A,match(IFNA(vlookup(B1904,'Special Names'!A:B,2,FALSE),B1904),PlayerValues!E:E,0)),"N/A")</f>
        <v>16636</v>
      </c>
      <c r="B1904" s="4" t="s">
        <v>699</v>
      </c>
      <c r="C1904" s="4" t="s">
        <v>287</v>
      </c>
      <c r="D1904" s="94">
        <v>1149.0</v>
      </c>
    </row>
    <row r="1905">
      <c r="A1905" s="40">
        <f t="array" ref="A1905">IFNA(index(PlayerValues!A:A,match(IFNA(vlookup(B1905,'Special Names'!A:B,2,FALSE),B1905),PlayerValues!E:E,0)),"N/A")</f>
        <v>16199</v>
      </c>
      <c r="B1905" s="4" t="s">
        <v>687</v>
      </c>
      <c r="C1905" s="4" t="s">
        <v>287</v>
      </c>
      <c r="D1905" s="94">
        <v>1143.0</v>
      </c>
    </row>
    <row r="1906">
      <c r="A1906" s="40">
        <f t="array" ref="A1906">IFNA(index(PlayerValues!A:A,match(IFNA(vlookup(B1906,'Special Names'!A:B,2,FALSE),B1906),PlayerValues!E:E,0)),"N/A")</f>
        <v>14789</v>
      </c>
      <c r="B1906" s="4" t="s">
        <v>721</v>
      </c>
      <c r="C1906" s="4" t="s">
        <v>283</v>
      </c>
      <c r="D1906" s="94">
        <v>1142.0</v>
      </c>
    </row>
    <row r="1907">
      <c r="A1907" s="40">
        <f t="array" ref="A1907">IFNA(index(PlayerValues!A:A,match(IFNA(vlookup(B1907,'Special Names'!A:B,2,FALSE),B1907),PlayerValues!E:E,0)),"N/A")</f>
        <v>17097</v>
      </c>
      <c r="B1907" s="4" t="s">
        <v>659</v>
      </c>
      <c r="C1907" s="4" t="s">
        <v>287</v>
      </c>
      <c r="D1907" s="94">
        <v>1134.0</v>
      </c>
    </row>
    <row r="1908">
      <c r="A1908" s="40">
        <f t="array" ref="A1908">IFNA(index(PlayerValues!A:A,match(IFNA(vlookup(B1908,'Special Names'!A:B,2,FALSE),B1908),PlayerValues!E:E,0)),"N/A")</f>
        <v>13289</v>
      </c>
      <c r="B1908" s="4" t="s">
        <v>746</v>
      </c>
      <c r="C1908" s="4" t="s">
        <v>287</v>
      </c>
      <c r="D1908" s="94">
        <v>1124.0</v>
      </c>
    </row>
    <row r="1909">
      <c r="A1909" s="40">
        <f t="array" ref="A1909">IFNA(index(PlayerValues!A:A,match(IFNA(vlookup(B1909,'Special Names'!A:B,2,FALSE),B1909),PlayerValues!E:E,0)),"N/A")</f>
        <v>17192</v>
      </c>
      <c r="B1909" s="4" t="s">
        <v>677</v>
      </c>
      <c r="C1909" s="4" t="s">
        <v>287</v>
      </c>
      <c r="D1909" s="94">
        <v>1116.0</v>
      </c>
    </row>
    <row r="1910">
      <c r="A1910" s="40">
        <f t="array" ref="A1910">IFNA(index(PlayerValues!A:A,match(IFNA(vlookup(B1910,'Special Names'!A:B,2,FALSE),B1910),PlayerValues!E:E,0)),"N/A")</f>
        <v>17050</v>
      </c>
      <c r="B1910" s="4" t="s">
        <v>713</v>
      </c>
      <c r="C1910" s="4" t="s">
        <v>278</v>
      </c>
      <c r="D1910" s="94">
        <v>1115.0</v>
      </c>
    </row>
    <row r="1911">
      <c r="A1911" s="40">
        <f t="array" ref="A1911">IFNA(index(PlayerValues!A:A,match(IFNA(vlookup(B1911,'Special Names'!A:B,2,FALSE),B1911),PlayerValues!E:E,0)),"N/A")</f>
        <v>14845</v>
      </c>
      <c r="B1911" s="4" t="s">
        <v>717</v>
      </c>
      <c r="C1911" s="4" t="s">
        <v>287</v>
      </c>
      <c r="D1911" s="94">
        <v>1112.0</v>
      </c>
    </row>
    <row r="1912">
      <c r="A1912" s="40">
        <f t="array" ref="A1912">IFNA(index(PlayerValues!A:A,match(IFNA(vlookup(B1912,'Special Names'!A:B,2,FALSE),B1912),PlayerValues!E:E,0)),"N/A")</f>
        <v>15239</v>
      </c>
      <c r="B1912" s="4" t="s">
        <v>802</v>
      </c>
      <c r="C1912" s="4" t="s">
        <v>283</v>
      </c>
      <c r="D1912" s="94">
        <v>1111.0</v>
      </c>
    </row>
    <row r="1913">
      <c r="A1913" s="40">
        <f t="array" ref="A1913">IFNA(index(PlayerValues!A:A,match(IFNA(vlookup(B1913,'Special Names'!A:B,2,FALSE),B1913),PlayerValues!E:E,0)),"N/A")</f>
        <v>15730</v>
      </c>
      <c r="B1913" s="4" t="s">
        <v>734</v>
      </c>
      <c r="C1913" s="4" t="s">
        <v>278</v>
      </c>
      <c r="D1913" s="94">
        <v>1109.0</v>
      </c>
    </row>
    <row r="1914">
      <c r="A1914" s="40">
        <f t="array" ref="A1914">IFNA(index(PlayerValues!A:A,match(IFNA(vlookup(B1914,'Special Names'!A:B,2,FALSE),B1914),PlayerValues!E:E,0)),"N/A")</f>
        <v>15692</v>
      </c>
      <c r="B1914" s="4" t="s">
        <v>750</v>
      </c>
      <c r="C1914" s="4" t="s">
        <v>283</v>
      </c>
      <c r="D1914" s="94">
        <v>1105.0</v>
      </c>
    </row>
    <row r="1915">
      <c r="A1915" s="40">
        <f t="array" ref="A1915">IFNA(index(PlayerValues!A:A,match(IFNA(vlookup(B1915,'Special Names'!A:B,2,FALSE),B1915),PlayerValues!E:E,0)),"N/A")</f>
        <v>16333</v>
      </c>
      <c r="B1915" s="4" t="s">
        <v>711</v>
      </c>
      <c r="C1915" s="4" t="s">
        <v>298</v>
      </c>
      <c r="D1915" s="94">
        <v>1466.0</v>
      </c>
    </row>
    <row r="1916">
      <c r="A1916" s="40">
        <f t="array" ref="A1916">IFNA(index(PlayerValues!A:A,match(IFNA(vlookup(B1916,'Special Names'!A:B,2,FALSE),B1916),PlayerValues!E:E,0)),"N/A")</f>
        <v>16197</v>
      </c>
      <c r="B1916" s="4" t="s">
        <v>726</v>
      </c>
      <c r="C1916" s="4" t="s">
        <v>287</v>
      </c>
      <c r="D1916" s="94">
        <v>1095.0</v>
      </c>
    </row>
    <row r="1917">
      <c r="A1917" s="40">
        <f t="array" ref="A1917">IFNA(index(PlayerValues!A:A,match(IFNA(vlookup(B1917,'Special Names'!A:B,2,FALSE),B1917),PlayerValues!E:E,0)),"N/A")</f>
        <v>17109</v>
      </c>
      <c r="B1917" s="4" t="s">
        <v>707</v>
      </c>
      <c r="C1917" s="4" t="s">
        <v>298</v>
      </c>
      <c r="D1917" s="94">
        <v>1462.0</v>
      </c>
    </row>
    <row r="1918">
      <c r="A1918" s="40">
        <f t="array" ref="A1918">IFNA(index(PlayerValues!A:A,match(IFNA(vlookup(B1918,'Special Names'!A:B,2,FALSE),B1918),PlayerValues!E:E,0)),"N/A")</f>
        <v>13610</v>
      </c>
      <c r="B1918" s="4" t="s">
        <v>825</v>
      </c>
      <c r="C1918" s="4" t="s">
        <v>278</v>
      </c>
      <c r="D1918" s="94">
        <v>1082.0</v>
      </c>
    </row>
    <row r="1919">
      <c r="A1919" s="40">
        <f t="array" ref="A1919">IFNA(index(PlayerValues!A:A,match(IFNA(vlookup(B1919,'Special Names'!A:B,2,FALSE),B1919),PlayerValues!E:E,0)),"N/A")</f>
        <v>15288</v>
      </c>
      <c r="B1919" s="4" t="s">
        <v>700</v>
      </c>
      <c r="C1919" s="4" t="s">
        <v>287</v>
      </c>
      <c r="D1919" s="94">
        <v>1078.0</v>
      </c>
    </row>
    <row r="1920">
      <c r="A1920" s="40">
        <f t="array" ref="A1920">IFNA(index(PlayerValues!A:A,match(IFNA(vlookup(B1920,'Special Names'!A:B,2,FALSE),B1920),PlayerValues!E:E,0)),"N/A")</f>
        <v>17175</v>
      </c>
      <c r="B1920" s="4" t="s">
        <v>747</v>
      </c>
      <c r="C1920" s="4" t="s">
        <v>287</v>
      </c>
      <c r="D1920" s="94">
        <v>1074.0</v>
      </c>
    </row>
    <row r="1921">
      <c r="A1921" s="40">
        <f t="array" ref="A1921">IFNA(index(PlayerValues!A:A,match(IFNA(vlookup(B1921,'Special Names'!A:B,2,FALSE),B1921),PlayerValues!E:E,0)),"N/A")</f>
        <v>15717</v>
      </c>
      <c r="B1921" s="4" t="s">
        <v>745</v>
      </c>
      <c r="C1921" s="4" t="s">
        <v>278</v>
      </c>
      <c r="D1921" s="94">
        <v>1071.0</v>
      </c>
    </row>
    <row r="1922">
      <c r="A1922" s="40">
        <f t="array" ref="A1922">IFNA(index(PlayerValues!A:A,match(IFNA(vlookup(B1922,'Special Names'!A:B,2,FALSE),B1922),PlayerValues!E:E,0)),"N/A")</f>
        <v>16219</v>
      </c>
      <c r="B1922" s="4" t="s">
        <v>739</v>
      </c>
      <c r="C1922" s="4" t="s">
        <v>298</v>
      </c>
      <c r="D1922" s="94">
        <v>1436.0</v>
      </c>
    </row>
    <row r="1923">
      <c r="A1923" s="40">
        <f t="array" ref="A1923">IFNA(index(PlayerValues!A:A,match(IFNA(vlookup(B1923,'Special Names'!A:B,2,FALSE),B1923),PlayerValues!E:E,0)),"N/A")</f>
        <v>16640</v>
      </c>
      <c r="B1923" s="4" t="s">
        <v>712</v>
      </c>
      <c r="C1923" s="4" t="s">
        <v>287</v>
      </c>
      <c r="D1923" s="94">
        <v>1061.0</v>
      </c>
    </row>
    <row r="1924">
      <c r="A1924" s="40">
        <f t="array" ref="A1924">IFNA(index(PlayerValues!A:A,match(IFNA(vlookup(B1924,'Special Names'!A:B,2,FALSE),B1924),PlayerValues!E:E,0)),"N/A")</f>
        <v>15718</v>
      </c>
      <c r="B1924" s="4" t="s">
        <v>753</v>
      </c>
      <c r="C1924" s="4" t="s">
        <v>278</v>
      </c>
      <c r="D1924" s="94">
        <v>1058.0</v>
      </c>
    </row>
    <row r="1925">
      <c r="A1925" s="40">
        <f t="array" ref="A1925">IFNA(index(PlayerValues!A:A,match(IFNA(vlookup(B1925,'Special Names'!A:B,2,FALSE),B1925),PlayerValues!E:E,0)),"N/A")</f>
        <v>16387</v>
      </c>
      <c r="B1925" s="4" t="s">
        <v>646</v>
      </c>
      <c r="C1925" s="4" t="s">
        <v>278</v>
      </c>
      <c r="D1925" s="94">
        <v>1057.0</v>
      </c>
    </row>
    <row r="1926">
      <c r="A1926" s="40">
        <f t="array" ref="A1926">IFNA(index(PlayerValues!A:A,match(IFNA(vlookup(B1926,'Special Names'!A:B,2,FALSE),B1926),PlayerValues!E:E,0)),"N/A")</f>
        <v>15720</v>
      </c>
      <c r="B1926" s="4" t="s">
        <v>795</v>
      </c>
      <c r="C1926" s="4" t="s">
        <v>278</v>
      </c>
      <c r="D1926" s="94">
        <v>1048.0</v>
      </c>
    </row>
    <row r="1927">
      <c r="A1927" s="40">
        <f t="array" ref="A1927">IFNA(index(PlayerValues!A:A,match(IFNA(vlookup(B1927,'Special Names'!A:B,2,FALSE),B1927),PlayerValues!E:E,0)),"N/A")</f>
        <v>15693</v>
      </c>
      <c r="B1927" s="4" t="s">
        <v>755</v>
      </c>
      <c r="C1927" s="4" t="s">
        <v>283</v>
      </c>
      <c r="D1927" s="94">
        <v>1045.0</v>
      </c>
    </row>
    <row r="1928">
      <c r="A1928" s="40">
        <f t="array" ref="A1928">IFNA(index(PlayerValues!A:A,match(IFNA(vlookup(B1928,'Special Names'!A:B,2,FALSE),B1928),PlayerValues!E:E,0)),"N/A")</f>
        <v>16393</v>
      </c>
      <c r="B1928" s="4" t="s">
        <v>768</v>
      </c>
      <c r="C1928" s="4" t="s">
        <v>287</v>
      </c>
      <c r="D1928" s="94">
        <v>1038.0</v>
      </c>
    </row>
    <row r="1929">
      <c r="A1929" s="40">
        <f t="array" ref="A1929">IFNA(index(PlayerValues!A:A,match(IFNA(vlookup(B1929,'Special Names'!A:B,2,FALSE),B1929),PlayerValues!E:E,0)),"N/A")</f>
        <v>15785</v>
      </c>
      <c r="B1929" s="4" t="s">
        <v>763</v>
      </c>
      <c r="C1929" s="4" t="s">
        <v>287</v>
      </c>
      <c r="D1929" s="94">
        <v>1034.0</v>
      </c>
    </row>
    <row r="1930">
      <c r="A1930" s="40">
        <f t="array" ref="A1930">IFNA(index(PlayerValues!A:A,match(IFNA(vlookup(B1930,'Special Names'!A:B,2,FALSE),B1930),PlayerValues!E:E,0)),"N/A")</f>
        <v>14118</v>
      </c>
      <c r="B1930" s="4" t="s">
        <v>771</v>
      </c>
      <c r="C1930" s="4" t="s">
        <v>287</v>
      </c>
      <c r="D1930" s="94">
        <v>1033.0</v>
      </c>
    </row>
    <row r="1931">
      <c r="A1931" s="40">
        <f t="array" ref="A1931">IFNA(index(PlayerValues!A:A,match(IFNA(vlookup(B1931,'Special Names'!A:B,2,FALSE),B1931),PlayerValues!E:E,0)),"N/A")</f>
        <v>14849</v>
      </c>
      <c r="B1931" s="4" t="s">
        <v>733</v>
      </c>
      <c r="C1931" s="4" t="s">
        <v>287</v>
      </c>
      <c r="D1931" s="94">
        <v>1033.0</v>
      </c>
    </row>
    <row r="1932">
      <c r="A1932" s="40">
        <f t="array" ref="A1932">IFNA(index(PlayerValues!A:A,match(IFNA(vlookup(B1932,'Special Names'!A:B,2,FALSE),B1932),PlayerValues!E:E,0)),"N/A")</f>
        <v>15626</v>
      </c>
      <c r="B1932" s="4" t="s">
        <v>766</v>
      </c>
      <c r="C1932" s="4" t="s">
        <v>298</v>
      </c>
      <c r="D1932" s="94">
        <v>1394.0</v>
      </c>
    </row>
    <row r="1933">
      <c r="A1933" s="40">
        <f t="array" ref="A1933">IFNA(index(PlayerValues!A:A,match(IFNA(vlookup(B1933,'Special Names'!A:B,2,FALSE),B1933),PlayerValues!E:E,0)),"N/A")</f>
        <v>16637</v>
      </c>
      <c r="B1933" s="4" t="s">
        <v>736</v>
      </c>
      <c r="C1933" s="4" t="s">
        <v>287</v>
      </c>
      <c r="D1933" s="94">
        <v>1020.0</v>
      </c>
    </row>
    <row r="1934">
      <c r="A1934" s="40">
        <f t="array" ref="A1934">IFNA(index(PlayerValues!A:A,match(IFNA(vlookup(B1934,'Special Names'!A:B,2,FALSE),B1934),PlayerValues!E:E,0)),"N/A")</f>
        <v>16159</v>
      </c>
      <c r="B1934" s="4" t="s">
        <v>819</v>
      </c>
      <c r="C1934" s="4" t="s">
        <v>283</v>
      </c>
      <c r="D1934" s="94">
        <v>1009.0</v>
      </c>
    </row>
    <row r="1935">
      <c r="A1935" s="40">
        <f t="array" ref="A1935">IFNA(index(PlayerValues!A:A,match(IFNA(vlookup(B1935,'Special Names'!A:B,2,FALSE),B1935),PlayerValues!E:E,0)),"N/A")</f>
        <v>17057</v>
      </c>
      <c r="B1935" s="4" t="s">
        <v>708</v>
      </c>
      <c r="C1935" s="4" t="s">
        <v>278</v>
      </c>
      <c r="D1935" s="94">
        <v>1006.0</v>
      </c>
    </row>
    <row r="1936">
      <c r="A1936" s="40">
        <f t="array" ref="A1936">IFNA(index(PlayerValues!A:A,match(IFNA(vlookup(B1936,'Special Names'!A:B,2,FALSE),B1936),PlayerValues!E:E,0)),"N/A")</f>
        <v>16648</v>
      </c>
      <c r="B1936" s="4" t="s">
        <v>748</v>
      </c>
      <c r="C1936" s="4" t="s">
        <v>298</v>
      </c>
      <c r="D1936" s="94">
        <v>1365.0</v>
      </c>
    </row>
    <row r="1937">
      <c r="A1937" s="40">
        <f t="array" ref="A1937">IFNA(index(PlayerValues!A:A,match(IFNA(vlookup(B1937,'Special Names'!A:B,2,FALSE),B1937),PlayerValues!E:E,0)),"N/A")</f>
        <v>16957</v>
      </c>
      <c r="B1937" s="4" t="s">
        <v>806</v>
      </c>
      <c r="C1937" s="4" t="s">
        <v>278</v>
      </c>
      <c r="D1937" s="94">
        <v>992.0</v>
      </c>
    </row>
    <row r="1938">
      <c r="A1938" s="40">
        <f t="array" ref="A1938">IFNA(index(PlayerValues!A:A,match(IFNA(vlookup(B1938,'Special Names'!A:B,2,FALSE),B1938),PlayerValues!E:E,0)),"N/A")</f>
        <v>17467</v>
      </c>
      <c r="B1938" s="4" t="s">
        <v>575</v>
      </c>
      <c r="C1938" s="4" t="s">
        <v>283</v>
      </c>
      <c r="D1938" s="94">
        <v>992.0</v>
      </c>
    </row>
    <row r="1939">
      <c r="A1939" s="40">
        <f t="array" ref="A1939">IFNA(index(PlayerValues!A:A,match(IFNA(vlookup(B1939,'Special Names'!A:B,2,FALSE),B1939),PlayerValues!E:E,0)),"N/A")</f>
        <v>16168</v>
      </c>
      <c r="B1939" s="4" t="s">
        <v>738</v>
      </c>
      <c r="C1939" s="4" t="s">
        <v>278</v>
      </c>
      <c r="D1939" s="94">
        <v>988.0</v>
      </c>
    </row>
    <row r="1940">
      <c r="A1940" s="40">
        <f t="array" ref="A1940">IFNA(index(PlayerValues!A:A,match(IFNA(vlookup(B1940,'Special Names'!A:B,2,FALSE),B1940),PlayerValues!E:E,0)),"N/A")</f>
        <v>9064</v>
      </c>
      <c r="B1940" s="4" t="s">
        <v>761</v>
      </c>
      <c r="C1940" s="4" t="s">
        <v>283</v>
      </c>
      <c r="D1940" s="94">
        <v>984.0</v>
      </c>
    </row>
    <row r="1941">
      <c r="A1941" s="40">
        <f t="array" ref="A1941">IFNA(index(PlayerValues!A:A,match(IFNA(vlookup(B1941,'Special Names'!A:B,2,FALSE),B1941),PlayerValues!E:E,0)),"N/A")</f>
        <v>14067</v>
      </c>
      <c r="B1941" s="4" t="s">
        <v>735</v>
      </c>
      <c r="C1941" s="4" t="s">
        <v>283</v>
      </c>
      <c r="D1941" s="94">
        <v>983.0</v>
      </c>
    </row>
    <row r="1942">
      <c r="A1942" s="40">
        <f t="array" ref="A1942">IFNA(index(PlayerValues!A:A,match(IFNA(vlookup(B1942,'Special Names'!A:B,2,FALSE),B1942),PlayerValues!E:E,0)),"N/A")</f>
        <v>15330</v>
      </c>
      <c r="B1942" s="4" t="s">
        <v>749</v>
      </c>
      <c r="C1942" s="4" t="s">
        <v>298</v>
      </c>
      <c r="D1942" s="94">
        <v>1341.0</v>
      </c>
    </row>
    <row r="1943">
      <c r="A1943" s="40">
        <f t="array" ref="A1943">IFNA(index(PlayerValues!A:A,match(IFNA(vlookup(B1943,'Special Names'!A:B,2,FALSE),B1943),PlayerValues!E:E,0)),"N/A")</f>
        <v>16858</v>
      </c>
      <c r="B1943" s="4" t="s">
        <v>754</v>
      </c>
      <c r="C1943" s="4" t="s">
        <v>287</v>
      </c>
      <c r="D1943" s="94">
        <v>973.0</v>
      </c>
    </row>
    <row r="1944">
      <c r="A1944" s="40">
        <f t="array" ref="A1944">IFNA(index(PlayerValues!A:A,match(IFNA(vlookup(B1944,'Special Names'!A:B,2,FALSE),B1944),PlayerValues!E:E,0)),"N/A")</f>
        <v>13143</v>
      </c>
      <c r="B1944" s="4" t="s">
        <v>786</v>
      </c>
      <c r="C1944" s="4" t="s">
        <v>278</v>
      </c>
      <c r="D1944" s="94">
        <v>968.0</v>
      </c>
    </row>
    <row r="1945">
      <c r="A1945" s="40">
        <f t="array" ref="A1945">IFNA(index(PlayerValues!A:A,match(IFNA(vlookup(B1945,'Special Names'!A:B,2,FALSE),B1945),PlayerValues!E:E,0)),"N/A")</f>
        <v>14057</v>
      </c>
      <c r="B1945" s="4" t="s">
        <v>765</v>
      </c>
      <c r="C1945" s="4" t="s">
        <v>283</v>
      </c>
      <c r="D1945" s="94">
        <v>954.0</v>
      </c>
    </row>
    <row r="1946">
      <c r="A1946" s="40">
        <f t="array" ref="A1946">IFNA(index(PlayerValues!A:A,match(IFNA(vlookup(B1946,'Special Names'!A:B,2,FALSE),B1946),PlayerValues!E:E,0)),"N/A")</f>
        <v>16773</v>
      </c>
      <c r="B1946" s="4" t="s">
        <v>783</v>
      </c>
      <c r="C1946" s="4" t="s">
        <v>278</v>
      </c>
      <c r="D1946" s="94">
        <v>954.0</v>
      </c>
    </row>
    <row r="1947">
      <c r="A1947" s="40">
        <f t="array" ref="A1947">IFNA(index(PlayerValues!A:A,match(IFNA(vlookup(B1947,'Special Names'!A:B,2,FALSE),B1947),PlayerValues!E:E,0)),"N/A")</f>
        <v>16624</v>
      </c>
      <c r="B1947" s="4" t="s">
        <v>796</v>
      </c>
      <c r="C1947" s="4" t="s">
        <v>287</v>
      </c>
      <c r="D1947" s="94">
        <v>950.0</v>
      </c>
    </row>
    <row r="1948">
      <c r="A1948" s="40">
        <f t="array" ref="A1948">IFNA(index(PlayerValues!A:A,match(IFNA(vlookup(B1948,'Special Names'!A:B,2,FALSE),B1948),PlayerValues!E:E,0)),"N/A")</f>
        <v>16205</v>
      </c>
      <c r="B1948" s="4" t="s">
        <v>742</v>
      </c>
      <c r="C1948" s="4" t="s">
        <v>287</v>
      </c>
      <c r="D1948" s="94">
        <v>942.0</v>
      </c>
    </row>
    <row r="1949">
      <c r="A1949" s="40">
        <f t="array" ref="A1949">IFNA(index(PlayerValues!A:A,match(IFNA(vlookup(B1949,'Special Names'!A:B,2,FALSE),B1949),PlayerValues!E:E,0)),"N/A")</f>
        <v>13595</v>
      </c>
      <c r="B1949" s="4" t="s">
        <v>818</v>
      </c>
      <c r="C1949" s="4" t="s">
        <v>283</v>
      </c>
      <c r="D1949" s="94">
        <v>938.0</v>
      </c>
    </row>
    <row r="1950">
      <c r="A1950" s="40">
        <f t="array" ref="A1950">IFNA(index(PlayerValues!A:A,match(IFNA(vlookup(B1950,'Special Names'!A:B,2,FALSE),B1950),PlayerValues!E:E,0)),"N/A")</f>
        <v>15766</v>
      </c>
      <c r="B1950" s="4" t="s">
        <v>759</v>
      </c>
      <c r="C1950" s="4" t="s">
        <v>287</v>
      </c>
      <c r="D1950" s="94">
        <v>938.0</v>
      </c>
    </row>
    <row r="1951">
      <c r="A1951" s="40">
        <f t="array" ref="A1951">IFNA(index(PlayerValues!A:A,match(IFNA(vlookup(B1951,'Special Names'!A:B,2,FALSE),B1951),PlayerValues!E:E,0)),"N/A")</f>
        <v>13156</v>
      </c>
      <c r="B1951" s="4" t="s">
        <v>835</v>
      </c>
      <c r="C1951" s="4" t="s">
        <v>287</v>
      </c>
      <c r="D1951" s="94">
        <v>933.0</v>
      </c>
    </row>
    <row r="1952">
      <c r="A1952" s="40">
        <f t="array" ref="A1952">IFNA(index(PlayerValues!A:A,match(IFNA(vlookup(B1952,'Special Names'!A:B,2,FALSE),B1952),PlayerValues!E:E,0)),"N/A")</f>
        <v>15109</v>
      </c>
      <c r="B1952" s="4" t="s">
        <v>728</v>
      </c>
      <c r="C1952" s="4" t="s">
        <v>287</v>
      </c>
      <c r="D1952" s="94">
        <v>933.0</v>
      </c>
    </row>
    <row r="1953">
      <c r="A1953" s="40">
        <f t="array" ref="A1953">IFNA(index(PlayerValues!A:A,match(IFNA(vlookup(B1953,'Special Names'!A:B,2,FALSE),B1953),PlayerValues!E:E,0)),"N/A")</f>
        <v>13133</v>
      </c>
      <c r="B1953" s="4" t="s">
        <v>764</v>
      </c>
      <c r="C1953" s="4" t="s">
        <v>278</v>
      </c>
      <c r="D1953" s="94">
        <v>932.0</v>
      </c>
    </row>
    <row r="1954">
      <c r="A1954" s="40">
        <f t="array" ref="A1954">IFNA(index(PlayerValues!A:A,match(IFNA(vlookup(B1954,'Special Names'!A:B,2,FALSE),B1954),PlayerValues!E:E,0)),"N/A")</f>
        <v>16176</v>
      </c>
      <c r="B1954" s="4" t="s">
        <v>812</v>
      </c>
      <c r="C1954" s="4" t="s">
        <v>278</v>
      </c>
      <c r="D1954" s="94">
        <v>919.0</v>
      </c>
    </row>
    <row r="1955">
      <c r="A1955" s="40">
        <f t="array" ref="A1955">IFNA(index(PlayerValues!A:A,match(IFNA(vlookup(B1955,'Special Names'!A:B,2,FALSE),B1955),PlayerValues!E:E,0)),"N/A")</f>
        <v>11247</v>
      </c>
      <c r="B1955" s="4" t="s">
        <v>816</v>
      </c>
      <c r="C1955" s="4" t="s">
        <v>298</v>
      </c>
      <c r="D1955" s="94">
        <v>1286.0</v>
      </c>
    </row>
    <row r="1956">
      <c r="A1956" s="40">
        <f t="array" ref="A1956">IFNA(index(PlayerValues!A:A,match(IFNA(vlookup(B1956,'Special Names'!A:B,2,FALSE),B1956),PlayerValues!E:E,0)),"N/A")</f>
        <v>14852</v>
      </c>
      <c r="B1956" s="4" t="s">
        <v>837</v>
      </c>
      <c r="C1956" s="4" t="s">
        <v>278</v>
      </c>
      <c r="D1956" s="94">
        <v>915.0</v>
      </c>
    </row>
    <row r="1957">
      <c r="A1957" s="40">
        <f t="array" ref="A1957">IFNA(index(PlayerValues!A:A,match(IFNA(vlookup(B1957,'Special Names'!A:B,2,FALSE),B1957),PlayerValues!E:E,0)),"N/A")</f>
        <v>14079</v>
      </c>
      <c r="B1957" s="4" t="s">
        <v>830</v>
      </c>
      <c r="C1957" s="4" t="s">
        <v>278</v>
      </c>
      <c r="D1957" s="94">
        <v>913.0</v>
      </c>
    </row>
    <row r="1958">
      <c r="A1958" s="40">
        <f t="array" ref="A1958">IFNA(index(PlayerValues!A:A,match(IFNA(vlookup(B1958,'Special Names'!A:B,2,FALSE),B1958),PlayerValues!E:E,0)),"N/A")</f>
        <v>16608</v>
      </c>
      <c r="B1958" s="4" t="s">
        <v>629</v>
      </c>
      <c r="C1958" s="4" t="s">
        <v>278</v>
      </c>
      <c r="D1958" s="94">
        <v>912.0</v>
      </c>
    </row>
    <row r="1959">
      <c r="A1959" s="40">
        <f t="array" ref="A1959">IFNA(index(PlayerValues!A:A,match(IFNA(vlookup(B1959,'Special Names'!A:B,2,FALSE),B1959),PlayerValues!E:E,0)),"N/A")</f>
        <v>13763</v>
      </c>
      <c r="B1959" s="4" t="s">
        <v>831</v>
      </c>
      <c r="C1959" s="4" t="s">
        <v>298</v>
      </c>
      <c r="D1959" s="94">
        <v>1282.0</v>
      </c>
    </row>
    <row r="1960">
      <c r="A1960" s="40">
        <f t="array" ref="A1960">IFNA(index(PlayerValues!A:A,match(IFNA(vlookup(B1960,'Special Names'!A:B,2,FALSE),B1960),PlayerValues!E:E,0)),"N/A")</f>
        <v>15283</v>
      </c>
      <c r="B1960" s="4" t="s">
        <v>844</v>
      </c>
      <c r="C1960" s="4" t="s">
        <v>287</v>
      </c>
      <c r="D1960" s="94">
        <v>911.0</v>
      </c>
    </row>
    <row r="1961">
      <c r="A1961" s="40">
        <f t="array" ref="A1961">IFNA(index(PlayerValues!A:A,match(IFNA(vlookup(B1961,'Special Names'!A:B,2,FALSE),B1961),PlayerValues!E:E,0)),"N/A")</f>
        <v>17337</v>
      </c>
      <c r="B1961" s="4" t="s">
        <v>793</v>
      </c>
      <c r="C1961" s="4" t="s">
        <v>278</v>
      </c>
      <c r="D1961" s="94">
        <v>910.0</v>
      </c>
    </row>
    <row r="1962">
      <c r="A1962" s="40">
        <f t="array" ref="A1962">IFNA(index(PlayerValues!A:A,match(IFNA(vlookup(B1962,'Special Names'!A:B,2,FALSE),B1962),PlayerValues!E:E,0)),"N/A")</f>
        <v>14864</v>
      </c>
      <c r="B1962" s="4" t="s">
        <v>789</v>
      </c>
      <c r="C1962" s="4" t="s">
        <v>287</v>
      </c>
      <c r="D1962" s="94">
        <v>908.0</v>
      </c>
    </row>
    <row r="1963">
      <c r="A1963" s="40">
        <f t="array" ref="A1963">IFNA(index(PlayerValues!A:A,match(IFNA(vlookup(B1963,'Special Names'!A:B,2,FALSE),B1963),PlayerValues!E:E,0)),"N/A")</f>
        <v>12785</v>
      </c>
      <c r="B1963" s="4" t="s">
        <v>772</v>
      </c>
      <c r="C1963" s="4" t="s">
        <v>287</v>
      </c>
      <c r="D1963" s="94">
        <v>907.0</v>
      </c>
    </row>
    <row r="1964">
      <c r="A1964" s="40">
        <f t="array" ref="A1964">IFNA(index(PlayerValues!A:A,match(IFNA(vlookup(B1964,'Special Names'!A:B,2,FALSE),B1964),PlayerValues!E:E,0)),"N/A")</f>
        <v>15723</v>
      </c>
      <c r="B1964" s="4" t="s">
        <v>798</v>
      </c>
      <c r="C1964" s="4" t="s">
        <v>278</v>
      </c>
      <c r="D1964" s="94">
        <v>895.0</v>
      </c>
    </row>
    <row r="1965">
      <c r="A1965" s="40">
        <f t="array" ref="A1965">IFNA(index(PlayerValues!A:A,match(IFNA(vlookup(B1965,'Special Names'!A:B,2,FALSE),B1965),PlayerValues!E:E,0)),"N/A")</f>
        <v>13157</v>
      </c>
      <c r="B1965" s="4" t="s">
        <v>836</v>
      </c>
      <c r="C1965" s="4" t="s">
        <v>287</v>
      </c>
      <c r="D1965" s="94">
        <v>892.0</v>
      </c>
    </row>
    <row r="1966">
      <c r="A1966" s="40">
        <f t="array" ref="A1966">IFNA(index(PlayerValues!A:A,match(IFNA(vlookup(B1966,'Special Names'!A:B,2,FALSE),B1966),PlayerValues!E:E,0)),"N/A")</f>
        <v>16599</v>
      </c>
      <c r="B1966" s="4" t="s">
        <v>737</v>
      </c>
      <c r="C1966" s="4" t="s">
        <v>278</v>
      </c>
      <c r="D1966" s="94">
        <v>888.0</v>
      </c>
    </row>
    <row r="1967">
      <c r="A1967" s="40">
        <f t="array" ref="A1967">IFNA(index(PlayerValues!A:A,match(IFNA(vlookup(B1967,'Special Names'!A:B,2,FALSE),B1967),PlayerValues!E:E,0)),"N/A")</f>
        <v>11232</v>
      </c>
      <c r="B1967" s="4" t="s">
        <v>826</v>
      </c>
      <c r="C1967" s="4" t="s">
        <v>287</v>
      </c>
      <c r="D1967" s="94">
        <v>884.0</v>
      </c>
    </row>
    <row r="1968">
      <c r="A1968" s="40">
        <f t="array" ref="A1968">IFNA(index(PlayerValues!A:A,match(IFNA(vlookup(B1968,'Special Names'!A:B,2,FALSE),B1968),PlayerValues!E:E,0)),"N/A")</f>
        <v>15796</v>
      </c>
      <c r="B1968" s="4" t="s">
        <v>794</v>
      </c>
      <c r="C1968" s="4" t="s">
        <v>298</v>
      </c>
      <c r="D1968" s="94">
        <v>1251.0</v>
      </c>
    </row>
    <row r="1969">
      <c r="A1969" s="40">
        <f t="array" ref="A1969">IFNA(index(PlayerValues!A:A,match(IFNA(vlookup(B1969,'Special Names'!A:B,2,FALSE),B1969),PlayerValues!E:E,0)),"N/A")</f>
        <v>15263</v>
      </c>
      <c r="B1969" s="4" t="s">
        <v>804</v>
      </c>
      <c r="C1969" s="4" t="s">
        <v>278</v>
      </c>
      <c r="D1969" s="94">
        <v>872.0</v>
      </c>
    </row>
    <row r="1970">
      <c r="A1970" s="40">
        <f t="array" ref="A1970">IFNA(index(PlayerValues!A:A,match(IFNA(vlookup(B1970,'Special Names'!A:B,2,FALSE),B1970),PlayerValues!E:E,0)),"N/A")</f>
        <v>16416</v>
      </c>
      <c r="B1970" s="4" t="s">
        <v>752</v>
      </c>
      <c r="C1970" s="4" t="s">
        <v>287</v>
      </c>
      <c r="D1970" s="94">
        <v>864.0</v>
      </c>
    </row>
    <row r="1971">
      <c r="A1971" s="40">
        <f t="array" ref="A1971">IFNA(index(PlayerValues!A:A,match(IFNA(vlookup(B1971,'Special Names'!A:B,2,FALSE),B1971),PlayerValues!E:E,0)),"N/A")</f>
        <v>14799</v>
      </c>
      <c r="B1971" s="4" t="s">
        <v>829</v>
      </c>
      <c r="C1971" s="4" t="s">
        <v>278</v>
      </c>
      <c r="D1971" s="94">
        <v>861.0</v>
      </c>
    </row>
    <row r="1972">
      <c r="A1972" s="40">
        <f t="array" ref="A1972">IFNA(index(PlayerValues!A:A,match(IFNA(vlookup(B1972,'Special Names'!A:B,2,FALSE),B1972),PlayerValues!E:E,0)),"N/A")</f>
        <v>16686</v>
      </c>
      <c r="B1972" s="4" t="s">
        <v>805</v>
      </c>
      <c r="C1972" s="4" t="s">
        <v>287</v>
      </c>
      <c r="D1972" s="94">
        <v>859.0</v>
      </c>
    </row>
    <row r="1973">
      <c r="A1973" s="40">
        <f t="array" ref="A1973">IFNA(index(PlayerValues!A:A,match(IFNA(vlookup(B1973,'Special Names'!A:B,2,FALSE),B1973),PlayerValues!E:E,0)),"N/A")</f>
        <v>16625</v>
      </c>
      <c r="B1973" s="4" t="s">
        <v>778</v>
      </c>
      <c r="C1973" s="4" t="s">
        <v>287</v>
      </c>
      <c r="D1973" s="94">
        <v>857.0</v>
      </c>
    </row>
    <row r="1974">
      <c r="A1974" s="40">
        <f t="array" ref="A1974">IFNA(index(PlayerValues!A:A,match(IFNA(vlookup(B1974,'Special Names'!A:B,2,FALSE),B1974),PlayerValues!E:E,0)),"N/A")</f>
        <v>13172</v>
      </c>
      <c r="B1974" s="4" t="s">
        <v>840</v>
      </c>
      <c r="C1974" s="4" t="s">
        <v>287</v>
      </c>
      <c r="D1974" s="94">
        <v>854.0</v>
      </c>
    </row>
    <row r="1975">
      <c r="A1975" s="40">
        <f t="array" ref="A1975">IFNA(index(PlayerValues!A:A,match(IFNA(vlookup(B1975,'Special Names'!A:B,2,FALSE),B1975),PlayerValues!E:E,0)),"N/A")</f>
        <v>15795</v>
      </c>
      <c r="B1975" s="4" t="s">
        <v>669</v>
      </c>
      <c r="C1975" s="4" t="s">
        <v>298</v>
      </c>
      <c r="D1975" s="94">
        <v>1225.0</v>
      </c>
    </row>
    <row r="1976">
      <c r="A1976" s="40">
        <f t="array" ref="A1976">IFNA(index(PlayerValues!A:A,match(IFNA(vlookup(B1976,'Special Names'!A:B,2,FALSE),B1976),PlayerValues!E:E,0)),"N/A")</f>
        <v>15714</v>
      </c>
      <c r="B1976" s="4" t="s">
        <v>775</v>
      </c>
      <c r="C1976" s="4" t="s">
        <v>278</v>
      </c>
      <c r="D1976" s="94">
        <v>850.0</v>
      </c>
    </row>
    <row r="1977">
      <c r="A1977" s="40">
        <f t="array" ref="A1977">IFNA(index(PlayerValues!A:A,match(IFNA(vlookup(B1977,'Special Names'!A:B,2,FALSE),B1977),PlayerValues!E:E,0)),"N/A")</f>
        <v>16751</v>
      </c>
      <c r="B1977" s="4" t="s">
        <v>762</v>
      </c>
      <c r="C1977" s="4" t="s">
        <v>287</v>
      </c>
      <c r="D1977" s="94">
        <v>850.0</v>
      </c>
    </row>
    <row r="1978">
      <c r="A1978" s="40">
        <f t="array" ref="A1978">IFNA(index(PlayerValues!A:A,match(IFNA(vlookup(B1978,'Special Names'!A:B,2,FALSE),B1978),PlayerValues!E:E,0)),"N/A")</f>
        <v>15271</v>
      </c>
      <c r="B1978" s="4" t="s">
        <v>741</v>
      </c>
      <c r="C1978" s="4" t="s">
        <v>278</v>
      </c>
      <c r="D1978" s="94">
        <v>843.0</v>
      </c>
    </row>
    <row r="1979">
      <c r="A1979" s="40">
        <f t="array" ref="A1979">IFNA(index(PlayerValues!A:A,match(IFNA(vlookup(B1979,'Special Names'!A:B,2,FALSE),B1979),PlayerValues!E:E,0)),"N/A")</f>
        <v>17488</v>
      </c>
      <c r="B1979" s="4" t="s">
        <v>845</v>
      </c>
      <c r="C1979" s="4" t="s">
        <v>278</v>
      </c>
      <c r="D1979" s="94">
        <v>838.0</v>
      </c>
    </row>
    <row r="1980">
      <c r="A1980" s="40">
        <f t="array" ref="A1980">IFNA(index(PlayerValues!A:A,match(IFNA(vlookup(B1980,'Special Names'!A:B,2,FALSE),B1980),PlayerValues!E:E,0)),"N/A")</f>
        <v>16623</v>
      </c>
      <c r="B1980" s="4" t="s">
        <v>803</v>
      </c>
      <c r="C1980" s="4" t="s">
        <v>287</v>
      </c>
      <c r="D1980" s="94">
        <v>835.0</v>
      </c>
    </row>
    <row r="1981">
      <c r="A1981" s="40">
        <f t="array" ref="A1981">IFNA(index(PlayerValues!A:A,match(IFNA(vlookup(B1981,'Special Names'!A:B,2,FALSE),B1981),PlayerValues!E:E,0)),"N/A")</f>
        <v>15804</v>
      </c>
      <c r="B1981" s="4" t="s">
        <v>821</v>
      </c>
      <c r="C1981" s="4" t="s">
        <v>298</v>
      </c>
      <c r="D1981" s="94">
        <v>1206.0</v>
      </c>
    </row>
    <row r="1982">
      <c r="A1982" s="40">
        <f t="array" ref="A1982">IFNA(index(PlayerValues!A:A,match(IFNA(vlookup(B1982,'Special Names'!A:B,2,FALSE),B1982),PlayerValues!E:E,0)),"N/A")</f>
        <v>10413</v>
      </c>
      <c r="B1982" s="4" t="s">
        <v>811</v>
      </c>
      <c r="C1982" s="4" t="s">
        <v>283</v>
      </c>
      <c r="D1982" s="94">
        <v>823.0</v>
      </c>
    </row>
    <row r="1983">
      <c r="A1983" s="40">
        <f t="array" ref="A1983">IFNA(index(PlayerValues!A:A,match(IFNA(vlookup(B1983,'Special Names'!A:B,2,FALSE),B1983),PlayerValues!E:E,0)),"N/A")</f>
        <v>14358</v>
      </c>
      <c r="B1983" s="4" t="s">
        <v>813</v>
      </c>
      <c r="C1983" s="4" t="s">
        <v>283</v>
      </c>
      <c r="D1983" s="94">
        <v>821.0</v>
      </c>
    </row>
    <row r="1984">
      <c r="A1984" s="40">
        <f t="array" ref="A1984">IFNA(index(PlayerValues!A:A,match(IFNA(vlookup(B1984,'Special Names'!A:B,2,FALSE),B1984),PlayerValues!E:E,0)),"N/A")</f>
        <v>14805</v>
      </c>
      <c r="B1984" s="4" t="s">
        <v>770</v>
      </c>
      <c r="C1984" s="4" t="s">
        <v>278</v>
      </c>
      <c r="D1984" s="94">
        <v>807.0</v>
      </c>
    </row>
    <row r="1985">
      <c r="A1985" s="40">
        <f t="array" ref="A1985">IFNA(index(PlayerValues!A:A,match(IFNA(vlookup(B1985,'Special Names'!A:B,2,FALSE),B1985),PlayerValues!E:E,0)),"N/A")</f>
        <v>14209</v>
      </c>
      <c r="B1985" s="4" t="s">
        <v>809</v>
      </c>
      <c r="C1985" s="4" t="s">
        <v>298</v>
      </c>
      <c r="D1985" s="94">
        <v>1177.0</v>
      </c>
    </row>
    <row r="1986">
      <c r="A1986" s="40">
        <f t="array" ref="A1986">IFNA(index(PlayerValues!A:A,match(IFNA(vlookup(B1986,'Special Names'!A:B,2,FALSE),B1986),PlayerValues!E:E,0)),"N/A")</f>
        <v>16606</v>
      </c>
      <c r="B1986" s="4" t="s">
        <v>743</v>
      </c>
      <c r="C1986" s="4" t="s">
        <v>278</v>
      </c>
      <c r="D1986" s="94">
        <v>795.0</v>
      </c>
    </row>
    <row r="1987">
      <c r="A1987" s="40">
        <f t="array" ref="A1987">IFNA(index(PlayerValues!A:A,match(IFNA(vlookup(B1987,'Special Names'!A:B,2,FALSE),B1987),PlayerValues!E:E,0)),"N/A")</f>
        <v>15285</v>
      </c>
      <c r="B1987" s="4" t="s">
        <v>792</v>
      </c>
      <c r="C1987" s="4" t="s">
        <v>287</v>
      </c>
      <c r="D1987" s="94">
        <v>794.0</v>
      </c>
    </row>
    <row r="1988">
      <c r="A1988" s="40">
        <f t="array" ref="A1988">IFNA(index(PlayerValues!A:A,match(IFNA(vlookup(B1988,'Special Names'!A:B,2,FALSE),B1988),PlayerValues!E:E,0)),"N/A")</f>
        <v>17282</v>
      </c>
      <c r="B1988" s="4" t="s">
        <v>833</v>
      </c>
      <c r="C1988" s="4" t="s">
        <v>283</v>
      </c>
      <c r="D1988" s="94">
        <v>781.0</v>
      </c>
    </row>
    <row r="1989">
      <c r="A1989" s="40">
        <f t="array" ref="A1989">IFNA(index(PlayerValues!A:A,match(IFNA(vlookup(B1989,'Special Names'!A:B,2,FALSE),B1989),PlayerValues!E:E,0)),"N/A")</f>
        <v>15965</v>
      </c>
      <c r="B1989" s="4" t="s">
        <v>791</v>
      </c>
      <c r="C1989" s="4" t="s">
        <v>278</v>
      </c>
      <c r="D1989" s="94">
        <v>780.0</v>
      </c>
    </row>
    <row r="1990">
      <c r="A1990" s="40">
        <f t="array" ref="A1990">IFNA(index(PlayerValues!A:A,match(IFNA(vlookup(B1990,'Special Names'!A:B,2,FALSE),B1990),PlayerValues!E:E,0)),"N/A")</f>
        <v>16413</v>
      </c>
      <c r="B1990" s="4" t="s">
        <v>781</v>
      </c>
      <c r="C1990" s="4" t="s">
        <v>287</v>
      </c>
      <c r="D1990" s="94">
        <v>778.0</v>
      </c>
    </row>
    <row r="1991">
      <c r="A1991" s="40">
        <f t="array" ref="A1991">IFNA(index(PlayerValues!A:A,match(IFNA(vlookup(B1991,'Special Names'!A:B,2,FALSE),B1991),PlayerValues!E:E,0)),"N/A")</f>
        <v>12658</v>
      </c>
      <c r="B1991" s="4" t="s">
        <v>823</v>
      </c>
      <c r="C1991" s="4" t="s">
        <v>287</v>
      </c>
      <c r="D1991" s="94">
        <v>773.0</v>
      </c>
    </row>
    <row r="1992">
      <c r="A1992" s="40">
        <f t="array" ref="A1992">IFNA(index(PlayerValues!A:A,match(IFNA(vlookup(B1992,'Special Names'!A:B,2,FALSE),B1992),PlayerValues!E:E,0)),"N/A")</f>
        <v>16678</v>
      </c>
      <c r="B1992" s="4" t="s">
        <v>758</v>
      </c>
      <c r="C1992" s="4" t="s">
        <v>278</v>
      </c>
      <c r="D1992" s="94">
        <v>769.0</v>
      </c>
    </row>
    <row r="1993">
      <c r="A1993" s="40">
        <f t="array" ref="A1993">IFNA(index(PlayerValues!A:A,match(IFNA(vlookup(B1993,'Special Names'!A:B,2,FALSE),B1993),PlayerValues!E:E,0)),"N/A")</f>
        <v>16632</v>
      </c>
      <c r="B1993" s="4" t="s">
        <v>842</v>
      </c>
      <c r="C1993" s="4" t="s">
        <v>287</v>
      </c>
      <c r="D1993" s="94">
        <v>764.0</v>
      </c>
    </row>
    <row r="1994">
      <c r="A1994" s="40">
        <f t="array" ref="A1994">IFNA(index(PlayerValues!A:A,match(IFNA(vlookup(B1994,'Special Names'!A:B,2,FALSE),B1994),PlayerValues!E:E,0)),"N/A")</f>
        <v>14223</v>
      </c>
      <c r="B1994" s="4" t="s">
        <v>785</v>
      </c>
      <c r="C1994" s="4" t="s">
        <v>278</v>
      </c>
      <c r="D1994" s="94">
        <v>760.0</v>
      </c>
    </row>
    <row r="1995">
      <c r="A1995" s="40">
        <f t="array" ref="A1995">IFNA(index(PlayerValues!A:A,match(IFNA(vlookup(B1995,'Special Names'!A:B,2,FALSE),B1995),PlayerValues!E:E,0)),"N/A")</f>
        <v>13176</v>
      </c>
      <c r="B1995" s="4" t="s">
        <v>807</v>
      </c>
      <c r="C1995" s="4" t="s">
        <v>287</v>
      </c>
      <c r="D1995" s="94">
        <v>759.0</v>
      </c>
    </row>
    <row r="1996">
      <c r="A1996" s="40">
        <f t="array" ref="A1996">IFNA(index(PlayerValues!A:A,match(IFNA(vlookup(B1996,'Special Names'!A:B,2,FALSE),B1996),PlayerValues!E:E,0)),"N/A")</f>
        <v>13424</v>
      </c>
      <c r="B1996" s="4" t="s">
        <v>846</v>
      </c>
      <c r="C1996" s="4" t="s">
        <v>298</v>
      </c>
      <c r="D1996" s="94">
        <v>1106.0</v>
      </c>
    </row>
    <row r="1997">
      <c r="A1997" s="40">
        <f t="array" ref="A1997">IFNA(index(PlayerValues!A:A,match(IFNA(vlookup(B1997,'Special Names'!A:B,2,FALSE),B1997),PlayerValues!E:E,0)),"N/A")</f>
        <v>17232</v>
      </c>
      <c r="B1997" s="4" t="s">
        <v>784</v>
      </c>
      <c r="C1997" s="4" t="s">
        <v>287</v>
      </c>
      <c r="D1997" s="94">
        <v>731.0</v>
      </c>
    </row>
    <row r="1998">
      <c r="A1998" s="40">
        <f t="array" ref="A1998">IFNA(index(PlayerValues!A:A,match(IFNA(vlookup(B1998,'Special Names'!A:B,2,FALSE),B1998),PlayerValues!E:E,0)),"N/A")</f>
        <v>14858</v>
      </c>
      <c r="B1998" s="4" t="s">
        <v>799</v>
      </c>
      <c r="C1998" s="4" t="s">
        <v>287</v>
      </c>
      <c r="D1998" s="94">
        <v>721.0</v>
      </c>
    </row>
    <row r="1999">
      <c r="A1999" s="40">
        <f t="array" ref="A1999">IFNA(index(PlayerValues!A:A,match(IFNA(vlookup(B1999,'Special Names'!A:B,2,FALSE),B1999),PlayerValues!E:E,0)),"N/A")</f>
        <v>13377</v>
      </c>
      <c r="B1999" s="4" t="s">
        <v>847</v>
      </c>
      <c r="C1999" s="4" t="s">
        <v>287</v>
      </c>
      <c r="D1999" s="94">
        <v>720.0</v>
      </c>
    </row>
    <row r="2000">
      <c r="A2000" s="40">
        <f t="array" ref="A2000">IFNA(index(PlayerValues!A:A,match(IFNA(vlookup(B2000,'Special Names'!A:B,2,FALSE),B2000),PlayerValues!E:E,0)),"N/A")</f>
        <v>16170</v>
      </c>
      <c r="B2000" s="4" t="s">
        <v>801</v>
      </c>
      <c r="C2000" s="4" t="s">
        <v>278</v>
      </c>
      <c r="D2000" s="94">
        <v>719.0</v>
      </c>
    </row>
    <row r="2001">
      <c r="A2001" s="40">
        <f t="array" ref="A2001">IFNA(index(PlayerValues!A:A,match(IFNA(vlookup(B2001,'Special Names'!A:B,2,FALSE),B2001),PlayerValues!E:E,0)),"N/A")</f>
        <v>13589</v>
      </c>
      <c r="B2001" s="4" t="s">
        <v>282</v>
      </c>
      <c r="C2001" s="4" t="s">
        <v>283</v>
      </c>
      <c r="D2001" s="94">
        <v>9999.0</v>
      </c>
    </row>
    <row r="2002">
      <c r="A2002" s="40">
        <f t="array" ref="A2002">IFNA(index(PlayerValues!A:A,match(IFNA(vlookup(B2002,'Special Names'!A:B,2,FALSE),B2002),PlayerValues!E:E,0)),"N/A")</f>
        <v>16161</v>
      </c>
      <c r="B2002" s="4" t="s">
        <v>277</v>
      </c>
      <c r="C2002" s="4" t="s">
        <v>278</v>
      </c>
      <c r="D2002" s="94">
        <v>9994.0</v>
      </c>
    </row>
    <row r="2003">
      <c r="A2003" s="40">
        <f t="array" ref="A2003">IFNA(index(PlayerValues!A:A,match(IFNA(vlookup(B2003,'Special Names'!A:B,2,FALSE),B2003),PlayerValues!E:E,0)),"N/A")</f>
        <v>15281</v>
      </c>
      <c r="B2003" s="4" t="s">
        <v>286</v>
      </c>
      <c r="C2003" s="4" t="s">
        <v>287</v>
      </c>
      <c r="D2003" s="94">
        <v>9953.0</v>
      </c>
    </row>
    <row r="2004">
      <c r="A2004" s="40">
        <f t="array" ref="A2004">IFNA(index(PlayerValues!A:A,match(IFNA(vlookup(B2004,'Special Names'!A:B,2,FALSE),B2004),PlayerValues!E:E,0)),"N/A")</f>
        <v>16185</v>
      </c>
      <c r="B2004" s="4" t="s">
        <v>290</v>
      </c>
      <c r="C2004" s="4" t="s">
        <v>287</v>
      </c>
      <c r="D2004" s="94">
        <v>9888.0</v>
      </c>
    </row>
    <row r="2005">
      <c r="A2005" s="40">
        <f t="array" ref="A2005">IFNA(index(PlayerValues!A:A,match(IFNA(vlookup(B2005,'Special Names'!A:B,2,FALSE),B2005),PlayerValues!E:E,0)),"N/A")</f>
        <v>16580</v>
      </c>
      <c r="B2005" s="4" t="s">
        <v>291</v>
      </c>
      <c r="C2005" s="4" t="s">
        <v>283</v>
      </c>
      <c r="D2005" s="94">
        <v>9607.0</v>
      </c>
    </row>
    <row r="2006">
      <c r="A2006" s="40">
        <f t="array" ref="A2006">IFNA(index(PlayerValues!A:A,match(IFNA(vlookup(B2006,'Special Names'!A:B,2,FALSE),B2006),PlayerValues!E:E,0)),"N/A")</f>
        <v>16211</v>
      </c>
      <c r="B2006" s="4" t="s">
        <v>294</v>
      </c>
      <c r="C2006" s="4" t="s">
        <v>287</v>
      </c>
      <c r="D2006" s="94">
        <v>9507.0</v>
      </c>
    </row>
    <row r="2007">
      <c r="A2007" s="40">
        <f t="array" ref="A2007">IFNA(index(PlayerValues!A:A,match(IFNA(vlookup(B2007,'Special Names'!A:B,2,FALSE),B2007),PlayerValues!E:E,0)),"N/A")</f>
        <v>16162</v>
      </c>
      <c r="B2007" s="4" t="s">
        <v>281</v>
      </c>
      <c r="C2007" s="4" t="s">
        <v>278</v>
      </c>
      <c r="D2007" s="94">
        <v>9414.0</v>
      </c>
    </row>
    <row r="2008">
      <c r="A2008" s="40">
        <f t="array" ref="A2008">IFNA(index(PlayerValues!A:A,match(IFNA(vlookup(B2008,'Special Names'!A:B,2,FALSE),B2008),PlayerValues!E:E,0)),"N/A")</f>
        <v>16615</v>
      </c>
      <c r="B2008" s="4" t="s">
        <v>309</v>
      </c>
      <c r="C2008" s="4" t="s">
        <v>287</v>
      </c>
      <c r="D2008" s="94">
        <v>7733.0</v>
      </c>
    </row>
    <row r="2009">
      <c r="A2009" s="40">
        <f t="array" ref="A2009">IFNA(index(PlayerValues!A:A,match(IFNA(vlookup(B2009,'Special Names'!A:B,2,FALSE),B2009),PlayerValues!E:E,0)),"N/A")</f>
        <v>15287</v>
      </c>
      <c r="B2009" s="4" t="s">
        <v>299</v>
      </c>
      <c r="C2009" s="4" t="s">
        <v>287</v>
      </c>
      <c r="D2009" s="94">
        <v>7681.0</v>
      </c>
    </row>
    <row r="2010">
      <c r="A2010" s="40">
        <f t="array" ref="A2010">IFNA(index(PlayerValues!A:A,match(IFNA(vlookup(B2010,'Special Names'!A:B,2,FALSE),B2010),PlayerValues!E:E,0)),"N/A")</f>
        <v>15794</v>
      </c>
      <c r="B2010" s="4" t="s">
        <v>313</v>
      </c>
      <c r="C2010" s="4" t="s">
        <v>298</v>
      </c>
      <c r="D2010" s="94">
        <v>8498.0</v>
      </c>
    </row>
    <row r="2011">
      <c r="A2011" s="40">
        <f t="array" ref="A2011">IFNA(index(PlayerValues!A:A,match(IFNA(vlookup(B2011,'Special Names'!A:B,2,FALSE),B2011),PlayerValues!E:E,0)),"N/A")</f>
        <v>16579</v>
      </c>
      <c r="B2011" s="4" t="s">
        <v>302</v>
      </c>
      <c r="C2011" s="4" t="s">
        <v>283</v>
      </c>
      <c r="D2011" s="94">
        <v>7663.0</v>
      </c>
    </row>
    <row r="2012">
      <c r="A2012" s="40">
        <f t="array" ref="A2012">IFNA(index(PlayerValues!A:A,match(IFNA(vlookup(B2012,'Special Names'!A:B,2,FALSE),B2012),PlayerValues!E:E,0)),"N/A")</f>
        <v>16641</v>
      </c>
      <c r="B2012" s="4" t="s">
        <v>297</v>
      </c>
      <c r="C2012" s="4" t="s">
        <v>298</v>
      </c>
      <c r="D2012" s="94">
        <v>8476.0</v>
      </c>
    </row>
    <row r="2013">
      <c r="A2013" s="40">
        <f t="array" ref="A2013">IFNA(index(PlayerValues!A:A,match(IFNA(vlookup(B2013,'Special Names'!A:B,2,FALSE),B2013),PlayerValues!E:E,0)),"N/A")</f>
        <v>16581</v>
      </c>
      <c r="B2013" s="4" t="s">
        <v>315</v>
      </c>
      <c r="C2013" s="4" t="s">
        <v>283</v>
      </c>
      <c r="D2013" s="94">
        <v>7613.0</v>
      </c>
    </row>
    <row r="2014">
      <c r="A2014" s="40">
        <f t="array" ref="A2014">IFNA(index(PlayerValues!A:A,match(IFNA(vlookup(B2014,'Special Names'!A:B,2,FALSE),B2014),PlayerValues!E:E,0)),"N/A")</f>
        <v>13593</v>
      </c>
      <c r="B2014" s="4" t="s">
        <v>305</v>
      </c>
      <c r="C2014" s="4" t="s">
        <v>283</v>
      </c>
      <c r="D2014" s="94">
        <v>7544.0</v>
      </c>
    </row>
    <row r="2015">
      <c r="A2015" s="40">
        <f t="array" ref="A2015">IFNA(index(PlayerValues!A:A,match(IFNA(vlookup(B2015,'Special Names'!A:B,2,FALSE),B2015),PlayerValues!E:E,0)),"N/A")</f>
        <v>14836</v>
      </c>
      <c r="B2015" s="4" t="s">
        <v>306</v>
      </c>
      <c r="C2015" s="4" t="s">
        <v>287</v>
      </c>
      <c r="D2015" s="94">
        <v>7390.0</v>
      </c>
    </row>
    <row r="2016">
      <c r="A2016" s="40">
        <f t="array" ref="A2016">IFNA(index(PlayerValues!A:A,match(IFNA(vlookup(B2016,'Special Names'!A:B,2,FALSE),B2016),PlayerValues!E:E,0)),"N/A")</f>
        <v>14832</v>
      </c>
      <c r="B2016" s="4" t="s">
        <v>319</v>
      </c>
      <c r="C2016" s="4" t="s">
        <v>287</v>
      </c>
      <c r="D2016" s="94">
        <v>7338.0</v>
      </c>
    </row>
    <row r="2017">
      <c r="A2017" s="40">
        <f t="array" ref="A2017">IFNA(index(PlayerValues!A:A,match(IFNA(vlookup(B2017,'Special Names'!A:B,2,FALSE),B2017),PlayerValues!E:E,0)),"N/A")</f>
        <v>17042</v>
      </c>
      <c r="B2017" s="4" t="s">
        <v>314</v>
      </c>
      <c r="C2017" s="4" t="s">
        <v>278</v>
      </c>
      <c r="D2017" s="94">
        <v>7224.0</v>
      </c>
    </row>
    <row r="2018">
      <c r="A2018" s="40">
        <f t="array" ref="A2018">IFNA(index(PlayerValues!A:A,match(IFNA(vlookup(B2018,'Special Names'!A:B,2,FALSE),B2018),PlayerValues!E:E,0)),"N/A")</f>
        <v>14777</v>
      </c>
      <c r="B2018" s="4" t="s">
        <v>318</v>
      </c>
      <c r="C2018" s="4" t="s">
        <v>283</v>
      </c>
      <c r="D2018" s="94">
        <v>7223.0</v>
      </c>
    </row>
    <row r="2019">
      <c r="A2019" s="40">
        <f t="array" ref="A2019">IFNA(index(PlayerValues!A:A,match(IFNA(vlookup(B2019,'Special Names'!A:B,2,FALSE),B2019),PlayerValues!E:E,0)),"N/A")</f>
        <v>16167</v>
      </c>
      <c r="B2019" s="4" t="s">
        <v>323</v>
      </c>
      <c r="C2019" s="4" t="s">
        <v>278</v>
      </c>
      <c r="D2019" s="94">
        <v>7035.0</v>
      </c>
    </row>
    <row r="2020">
      <c r="A2020" s="40">
        <f t="array" ref="A2020">IFNA(index(PlayerValues!A:A,match(IFNA(vlookup(B2020,'Special Names'!A:B,2,FALSE),B2020),PlayerValues!E:E,0)),"N/A")</f>
        <v>15751</v>
      </c>
      <c r="B2020" s="4" t="s">
        <v>328</v>
      </c>
      <c r="C2020" s="4" t="s">
        <v>287</v>
      </c>
      <c r="D2020" s="94">
        <v>7030.0</v>
      </c>
    </row>
    <row r="2021">
      <c r="A2021" s="40">
        <f t="array" ref="A2021">IFNA(index(PlayerValues!A:A,match(IFNA(vlookup(B2021,'Special Names'!A:B,2,FALSE),B2021),PlayerValues!E:E,0)),"N/A")</f>
        <v>17472</v>
      </c>
      <c r="B2021" s="4" t="s">
        <v>310</v>
      </c>
      <c r="C2021" s="4" t="s">
        <v>278</v>
      </c>
      <c r="D2021" s="94">
        <v>6935.0</v>
      </c>
    </row>
    <row r="2022">
      <c r="A2022" s="40">
        <f t="array" ref="A2022">IFNA(index(PlayerValues!A:A,match(IFNA(vlookup(B2022,'Special Names'!A:B,2,FALSE),B2022),PlayerValues!E:E,0)),"N/A")</f>
        <v>14779</v>
      </c>
      <c r="B2022" s="4" t="s">
        <v>327</v>
      </c>
      <c r="C2022" s="4" t="s">
        <v>283</v>
      </c>
      <c r="D2022" s="94">
        <v>6889.0</v>
      </c>
    </row>
    <row r="2023">
      <c r="A2023" s="40" t="str">
        <f t="array" ref="A2023">IFNA(index(PlayerValues!A:A,match(IFNA(vlookup(B2023,'Special Names'!A:B,2,FALSE),B2023),PlayerValues!E:E,0)),"N/A")</f>
        <v>N/A</v>
      </c>
      <c r="B2023" s="4" t="s">
        <v>92</v>
      </c>
      <c r="C2023" s="4" t="s">
        <v>325</v>
      </c>
      <c r="D2023" s="94">
        <v>6650.0</v>
      </c>
    </row>
    <row r="2024">
      <c r="A2024" s="40">
        <f t="array" ref="A2024">IFNA(index(PlayerValues!A:A,match(IFNA(vlookup(B2024,'Special Names'!A:B,2,FALSE),B2024),PlayerValues!E:E,0)),"N/A")</f>
        <v>17044</v>
      </c>
      <c r="B2024" s="4" t="s">
        <v>322</v>
      </c>
      <c r="C2024" s="4" t="s">
        <v>278</v>
      </c>
      <c r="D2024" s="94">
        <v>6641.0</v>
      </c>
    </row>
    <row r="2025">
      <c r="A2025" s="40">
        <f t="array" ref="A2025">IFNA(index(PlayerValues!A:A,match(IFNA(vlookup(B2025,'Special Names'!A:B,2,FALSE),B2025),PlayerValues!E:E,0)),"N/A")</f>
        <v>17032</v>
      </c>
      <c r="B2025" s="4" t="s">
        <v>348</v>
      </c>
      <c r="C2025" s="4" t="s">
        <v>283</v>
      </c>
      <c r="D2025" s="94">
        <v>6630.0</v>
      </c>
    </row>
    <row r="2026">
      <c r="A2026" s="40">
        <f t="array" ref="A2026">IFNA(index(PlayerValues!A:A,match(IFNA(vlookup(B2026,'Special Names'!A:B,2,FALSE),B2026),PlayerValues!E:E,0)),"N/A")</f>
        <v>17071</v>
      </c>
      <c r="B2026" s="4" t="s">
        <v>341</v>
      </c>
      <c r="C2026" s="4" t="s">
        <v>287</v>
      </c>
      <c r="D2026" s="94">
        <v>6609.0</v>
      </c>
    </row>
    <row r="2027">
      <c r="A2027" s="40">
        <f t="array" ref="A2027">IFNA(index(PlayerValues!A:A,match(IFNA(vlookup(B2027,'Special Names'!A:B,2,FALSE),B2027),PlayerValues!E:E,0)),"N/A")</f>
        <v>13116</v>
      </c>
      <c r="B2027" s="4" t="s">
        <v>345</v>
      </c>
      <c r="C2027" s="4" t="s">
        <v>283</v>
      </c>
      <c r="D2027" s="94">
        <v>6579.0</v>
      </c>
    </row>
    <row r="2028">
      <c r="A2028" s="40">
        <f t="array" ref="A2028">IFNA(index(PlayerValues!A:A,match(IFNA(vlookup(B2028,'Special Names'!A:B,2,FALSE),B2028),PlayerValues!E:E,0)),"N/A")</f>
        <v>14783</v>
      </c>
      <c r="B2028" s="4" t="s">
        <v>342</v>
      </c>
      <c r="C2028" s="4" t="s">
        <v>283</v>
      </c>
      <c r="D2028" s="94">
        <v>6348.0</v>
      </c>
    </row>
    <row r="2029">
      <c r="A2029" s="40">
        <f t="array" ref="A2029">IFNA(index(PlayerValues!A:A,match(IFNA(vlookup(B2029,'Special Names'!A:B,2,FALSE),B2029),PlayerValues!E:E,0)),"N/A")</f>
        <v>15237</v>
      </c>
      <c r="B2029" s="4" t="s">
        <v>336</v>
      </c>
      <c r="C2029" s="4" t="s">
        <v>283</v>
      </c>
      <c r="D2029" s="94">
        <v>6333.0</v>
      </c>
    </row>
    <row r="2030">
      <c r="A2030" s="40">
        <f t="array" ref="A2030">IFNA(index(PlayerValues!A:A,match(IFNA(vlookup(B2030,'Special Names'!A:B,2,FALSE),B2030),PlayerValues!E:E,0)),"N/A")</f>
        <v>15715</v>
      </c>
      <c r="B2030" s="4" t="s">
        <v>331</v>
      </c>
      <c r="C2030" s="4" t="s">
        <v>278</v>
      </c>
      <c r="D2030" s="94">
        <v>6171.0</v>
      </c>
    </row>
    <row r="2031">
      <c r="A2031" s="40">
        <f t="array" ref="A2031">IFNA(index(PlayerValues!A:A,match(IFNA(vlookup(B2031,'Special Names'!A:B,2,FALSE),B2031),PlayerValues!E:E,0)),"N/A")</f>
        <v>15762</v>
      </c>
      <c r="B2031" s="4" t="s">
        <v>337</v>
      </c>
      <c r="C2031" s="4" t="s">
        <v>287</v>
      </c>
      <c r="D2031" s="94">
        <v>6154.0</v>
      </c>
    </row>
    <row r="2032">
      <c r="A2032" s="40">
        <f t="array" ref="A2032">IFNA(index(PlayerValues!A:A,match(IFNA(vlookup(B2032,'Special Names'!A:B,2,FALSE),B2032),PlayerValues!E:E,0)),"N/A")</f>
        <v>16582</v>
      </c>
      <c r="B2032" s="4" t="s">
        <v>343</v>
      </c>
      <c r="C2032" s="4" t="s">
        <v>283</v>
      </c>
      <c r="D2032" s="94">
        <v>6130.0</v>
      </c>
    </row>
    <row r="2033">
      <c r="A2033" s="40">
        <f t="array" ref="A2033">IFNA(index(PlayerValues!A:A,match(IFNA(vlookup(B2033,'Special Names'!A:B,2,FALSE),B2033),PlayerValues!E:E,0)),"N/A")</f>
        <v>14802</v>
      </c>
      <c r="B2033" s="4" t="s">
        <v>332</v>
      </c>
      <c r="C2033" s="4" t="s">
        <v>278</v>
      </c>
      <c r="D2033" s="94">
        <v>6119.0</v>
      </c>
    </row>
    <row r="2034">
      <c r="A2034" s="40">
        <f t="array" ref="A2034">IFNA(index(PlayerValues!A:A,match(IFNA(vlookup(B2034,'Special Names'!A:B,2,FALSE),B2034),PlayerValues!E:E,0)),"N/A")</f>
        <v>15698</v>
      </c>
      <c r="B2034" s="4" t="s">
        <v>358</v>
      </c>
      <c r="C2034" s="4" t="s">
        <v>283</v>
      </c>
      <c r="D2034" s="94">
        <v>6117.0</v>
      </c>
    </row>
    <row r="2035">
      <c r="A2035" s="40">
        <f t="array" ref="A2035">IFNA(index(PlayerValues!A:A,match(IFNA(vlookup(B2035,'Special Names'!A:B,2,FALSE),B2035),PlayerValues!E:E,0)),"N/A")</f>
        <v>15290</v>
      </c>
      <c r="B2035" s="4" t="s">
        <v>355</v>
      </c>
      <c r="C2035" s="4" t="s">
        <v>287</v>
      </c>
      <c r="D2035" s="94">
        <v>5988.0</v>
      </c>
    </row>
    <row r="2036">
      <c r="A2036" s="40">
        <f t="array" ref="A2036">IFNA(index(PlayerValues!A:A,match(IFNA(vlookup(B2036,'Special Names'!A:B,2,FALSE),B2036),PlayerValues!E:E,0)),"N/A")</f>
        <v>17081</v>
      </c>
      <c r="B2036" s="4" t="s">
        <v>340</v>
      </c>
      <c r="C2036" s="4" t="s">
        <v>287</v>
      </c>
      <c r="D2036" s="94">
        <v>5978.0</v>
      </c>
    </row>
    <row r="2037">
      <c r="A2037" s="40" t="str">
        <f t="array" ref="A2037">IFNA(index(PlayerValues!A:A,match(IFNA(vlookup(B2037,'Special Names'!A:B,2,FALSE),B2037),PlayerValues!E:E,0)),"N/A")</f>
        <v>N/A</v>
      </c>
      <c r="B2037" s="4" t="s">
        <v>79</v>
      </c>
      <c r="C2037" s="4" t="s">
        <v>325</v>
      </c>
      <c r="D2037" s="94">
        <v>5961.0</v>
      </c>
    </row>
    <row r="2038">
      <c r="A2038" s="40">
        <f t="array" ref="A2038">IFNA(index(PlayerValues!A:A,match(IFNA(vlookup(B2038,'Special Names'!A:B,2,FALSE),B2038),PlayerValues!E:E,0)),"N/A")</f>
        <v>17104</v>
      </c>
      <c r="B2038" s="4" t="s">
        <v>333</v>
      </c>
      <c r="C2038" s="4" t="s">
        <v>298</v>
      </c>
      <c r="D2038" s="94">
        <v>6615.0</v>
      </c>
    </row>
    <row r="2039">
      <c r="A2039" s="40">
        <f t="array" ref="A2039">IFNA(index(PlayerValues!A:A,match(IFNA(vlookup(B2039,'Special Names'!A:B,2,FALSE),B2039),PlayerValues!E:E,0)),"N/A")</f>
        <v>17043</v>
      </c>
      <c r="B2039" s="4" t="s">
        <v>397</v>
      </c>
      <c r="C2039" s="4" t="s">
        <v>278</v>
      </c>
      <c r="D2039" s="94">
        <v>5888.0</v>
      </c>
    </row>
    <row r="2040">
      <c r="A2040" s="40">
        <f t="array" ref="A2040">IFNA(index(PlayerValues!A:A,match(IFNA(vlookup(B2040,'Special Names'!A:B,2,FALSE),B2040),PlayerValues!E:E,0)),"N/A")</f>
        <v>15753</v>
      </c>
      <c r="B2040" s="4" t="s">
        <v>359</v>
      </c>
      <c r="C2040" s="4" t="s">
        <v>287</v>
      </c>
      <c r="D2040" s="94">
        <v>5833.0</v>
      </c>
    </row>
    <row r="2041">
      <c r="A2041" s="40">
        <f t="array" ref="A2041">IFNA(index(PlayerValues!A:A,match(IFNA(vlookup(B2041,'Special Names'!A:B,2,FALSE),B2041),PlayerValues!E:E,0)),"N/A")</f>
        <v>15754</v>
      </c>
      <c r="B2041" s="4" t="s">
        <v>354</v>
      </c>
      <c r="C2041" s="4" t="s">
        <v>287</v>
      </c>
      <c r="D2041" s="94">
        <v>5828.0</v>
      </c>
    </row>
    <row r="2042">
      <c r="A2042" s="40">
        <f t="array" ref="A2042">IFNA(index(PlayerValues!A:A,match(IFNA(vlookup(B2042,'Special Names'!A:B,2,FALSE),B2042),PlayerValues!E:E,0)),"N/A")</f>
        <v>14782</v>
      </c>
      <c r="B2042" s="4" t="s">
        <v>385</v>
      </c>
      <c r="C2042" s="4" t="s">
        <v>283</v>
      </c>
      <c r="D2042" s="94">
        <v>5696.0</v>
      </c>
    </row>
    <row r="2043">
      <c r="A2043" s="40">
        <f t="array" ref="A2043">IFNA(index(PlayerValues!A:A,match(IFNA(vlookup(B2043,'Special Names'!A:B,2,FALSE),B2043),PlayerValues!E:E,0)),"N/A")</f>
        <v>17102</v>
      </c>
      <c r="B2043" s="4" t="s">
        <v>344</v>
      </c>
      <c r="C2043" s="4" t="s">
        <v>298</v>
      </c>
      <c r="D2043" s="94">
        <v>6269.0</v>
      </c>
    </row>
    <row r="2044">
      <c r="A2044" s="40">
        <f t="array" ref="A2044">IFNA(index(PlayerValues!A:A,match(IFNA(vlookup(B2044,'Special Names'!A:B,2,FALSE),B2044),PlayerValues!E:E,0)),"N/A")</f>
        <v>17462</v>
      </c>
      <c r="B2044" s="4" t="s">
        <v>375</v>
      </c>
      <c r="C2044" s="4" t="s">
        <v>283</v>
      </c>
      <c r="D2044" s="94">
        <v>5615.0</v>
      </c>
    </row>
    <row r="2045">
      <c r="A2045" s="40">
        <f t="array" ref="A2045">IFNA(index(PlayerValues!A:A,match(IFNA(vlookup(B2045,'Special Names'!A:B,2,FALSE),B2045),PlayerValues!E:E,0)),"N/A")</f>
        <v>15708</v>
      </c>
      <c r="B2045" s="4" t="s">
        <v>382</v>
      </c>
      <c r="C2045" s="4" t="s">
        <v>278</v>
      </c>
      <c r="D2045" s="94">
        <v>5523.0</v>
      </c>
    </row>
    <row r="2046">
      <c r="A2046" s="40">
        <f t="array" ref="A2046">IFNA(index(PlayerValues!A:A,match(IFNA(vlookup(B2046,'Special Names'!A:B,2,FALSE),B2046),PlayerValues!E:E,0)),"N/A")</f>
        <v>16627</v>
      </c>
      <c r="B2046" s="4" t="s">
        <v>351</v>
      </c>
      <c r="C2046" s="4" t="s">
        <v>287</v>
      </c>
      <c r="D2046" s="94">
        <v>5483.0</v>
      </c>
    </row>
    <row r="2047">
      <c r="A2047" s="40">
        <f t="array" ref="A2047">IFNA(index(PlayerValues!A:A,match(IFNA(vlookup(B2047,'Special Names'!A:B,2,FALSE),B2047),PlayerValues!E:E,0)),"N/A")</f>
        <v>16598</v>
      </c>
      <c r="B2047" s="4" t="s">
        <v>408</v>
      </c>
      <c r="C2047" s="4" t="s">
        <v>278</v>
      </c>
      <c r="D2047" s="94">
        <v>5466.0</v>
      </c>
    </row>
    <row r="2048">
      <c r="A2048" s="40">
        <f t="array" ref="A2048">IFNA(index(PlayerValues!A:A,match(IFNA(vlookup(B2048,'Special Names'!A:B,2,FALSE),B2048),PlayerValues!E:E,0)),"N/A")</f>
        <v>17051</v>
      </c>
      <c r="B2048" s="4" t="s">
        <v>386</v>
      </c>
      <c r="C2048" s="4" t="s">
        <v>278</v>
      </c>
      <c r="D2048" s="94">
        <v>5463.0</v>
      </c>
    </row>
    <row r="2049">
      <c r="A2049" s="40" t="str">
        <f t="array" ref="A2049">IFNA(index(PlayerValues!A:A,match(IFNA(vlookup(B2049,'Special Names'!A:B,2,FALSE),B2049),PlayerValues!E:E,0)),"N/A")</f>
        <v>N/A</v>
      </c>
      <c r="B2049" s="4" t="s">
        <v>93</v>
      </c>
      <c r="C2049" s="4" t="s">
        <v>325</v>
      </c>
      <c r="D2049" s="94">
        <v>5447.0</v>
      </c>
    </row>
    <row r="2050">
      <c r="A2050" s="40">
        <f t="array" ref="A2050">IFNA(index(PlayerValues!A:A,match(IFNA(vlookup(B2050,'Special Names'!A:B,2,FALSE),B2050),PlayerValues!E:E,0)),"N/A")</f>
        <v>17497</v>
      </c>
      <c r="B2050" s="4" t="s">
        <v>365</v>
      </c>
      <c r="C2050" s="4" t="s">
        <v>287</v>
      </c>
      <c r="D2050" s="94">
        <v>5314.0</v>
      </c>
    </row>
    <row r="2051">
      <c r="A2051" s="40">
        <f t="array" ref="A2051">IFNA(index(PlayerValues!A:A,match(IFNA(vlookup(B2051,'Special Names'!A:B,2,FALSE),B2051),PlayerValues!E:E,0)),"N/A")</f>
        <v>16616</v>
      </c>
      <c r="B2051" s="4" t="s">
        <v>389</v>
      </c>
      <c r="C2051" s="4" t="s">
        <v>287</v>
      </c>
      <c r="D2051" s="94">
        <v>5312.0</v>
      </c>
    </row>
    <row r="2052">
      <c r="A2052" s="40">
        <f t="array" ref="A2052">IFNA(index(PlayerValues!A:A,match(IFNA(vlookup(B2052,'Special Names'!A:B,2,FALSE),B2052),PlayerValues!E:E,0)),"N/A")</f>
        <v>17499</v>
      </c>
      <c r="B2052" s="4" t="s">
        <v>402</v>
      </c>
      <c r="C2052" s="4" t="s">
        <v>287</v>
      </c>
      <c r="D2052" s="94">
        <v>5235.0</v>
      </c>
    </row>
    <row r="2053">
      <c r="A2053" s="40">
        <f t="array" ref="A2053">IFNA(index(PlayerValues!A:A,match(IFNA(vlookup(B2053,'Special Names'!A:B,2,FALSE),B2053),PlayerValues!E:E,0)),"N/A")</f>
        <v>16614</v>
      </c>
      <c r="B2053" s="4" t="s">
        <v>403</v>
      </c>
      <c r="C2053" s="4" t="s">
        <v>287</v>
      </c>
      <c r="D2053" s="94">
        <v>5124.0</v>
      </c>
    </row>
    <row r="2054">
      <c r="A2054" s="40">
        <f t="array" ref="A2054">IFNA(index(PlayerValues!A:A,match(IFNA(vlookup(B2054,'Special Names'!A:B,2,FALSE),B2054),PlayerValues!E:E,0)),"N/A")</f>
        <v>17030</v>
      </c>
      <c r="B2054" s="4" t="s">
        <v>406</v>
      </c>
      <c r="C2054" s="4" t="s">
        <v>283</v>
      </c>
      <c r="D2054" s="94">
        <v>5092.0</v>
      </c>
    </row>
    <row r="2055">
      <c r="A2055" s="40">
        <f t="array" ref="A2055">IFNA(index(PlayerValues!A:A,match(IFNA(vlookup(B2055,'Special Names'!A:B,2,FALSE),B2055),PlayerValues!E:E,0)),"N/A")</f>
        <v>13130</v>
      </c>
      <c r="B2055" s="4" t="s">
        <v>374</v>
      </c>
      <c r="C2055" s="4" t="s">
        <v>278</v>
      </c>
      <c r="D2055" s="94">
        <v>5074.0</v>
      </c>
    </row>
    <row r="2056">
      <c r="A2056" s="40">
        <f t="array" ref="A2056">IFNA(index(PlayerValues!A:A,match(IFNA(vlookup(B2056,'Special Names'!A:B,2,FALSE),B2056),PlayerValues!E:E,0)),"N/A")</f>
        <v>15711</v>
      </c>
      <c r="B2056" s="4" t="s">
        <v>349</v>
      </c>
      <c r="C2056" s="4" t="s">
        <v>278</v>
      </c>
      <c r="D2056" s="94">
        <v>5047.0</v>
      </c>
    </row>
    <row r="2057">
      <c r="A2057" s="40">
        <f t="array" ref="A2057">IFNA(index(PlayerValues!A:A,match(IFNA(vlookup(B2057,'Special Names'!A:B,2,FALSE),B2057),PlayerValues!E:E,0)),"N/A")</f>
        <v>16618</v>
      </c>
      <c r="B2057" s="4" t="s">
        <v>411</v>
      </c>
      <c r="C2057" s="4" t="s">
        <v>287</v>
      </c>
      <c r="D2057" s="94">
        <v>5041.0</v>
      </c>
    </row>
    <row r="2058">
      <c r="A2058" s="40">
        <f t="array" ref="A2058">IFNA(index(PlayerValues!A:A,match(IFNA(vlookup(B2058,'Special Names'!A:B,2,FALSE),B2058),PlayerValues!E:E,0)),"N/A")</f>
        <v>12620</v>
      </c>
      <c r="B2058" s="4" t="s">
        <v>394</v>
      </c>
      <c r="C2058" s="4" t="s">
        <v>283</v>
      </c>
      <c r="D2058" s="94">
        <v>5011.0</v>
      </c>
    </row>
    <row r="2059">
      <c r="A2059" s="40">
        <f t="array" ref="A2059">IFNA(index(PlayerValues!A:A,match(IFNA(vlookup(B2059,'Special Names'!A:B,2,FALSE),B2059),PlayerValues!E:E,0)),"N/A")</f>
        <v>16194</v>
      </c>
      <c r="B2059" s="4" t="s">
        <v>398</v>
      </c>
      <c r="C2059" s="4" t="s">
        <v>287</v>
      </c>
      <c r="D2059" s="94">
        <v>5010.0</v>
      </c>
    </row>
    <row r="2060">
      <c r="A2060" s="40">
        <f t="array" ref="A2060">IFNA(index(PlayerValues!A:A,match(IFNA(vlookup(B2060,'Special Names'!A:B,2,FALSE),B2060),PlayerValues!E:E,0)),"N/A")</f>
        <v>17070</v>
      </c>
      <c r="B2060" s="4" t="s">
        <v>370</v>
      </c>
      <c r="C2060" s="4" t="s">
        <v>287</v>
      </c>
      <c r="D2060" s="94">
        <v>4936.0</v>
      </c>
    </row>
    <row r="2061">
      <c r="A2061" s="40">
        <f t="array" ref="A2061">IFNA(index(PlayerValues!A:A,match(IFNA(vlookup(B2061,'Special Names'!A:B,2,FALSE),B2061),PlayerValues!E:E,0)),"N/A")</f>
        <v>16181</v>
      </c>
      <c r="B2061" s="4" t="s">
        <v>350</v>
      </c>
      <c r="C2061" s="4" t="s">
        <v>278</v>
      </c>
      <c r="D2061" s="94">
        <v>4935.0</v>
      </c>
    </row>
    <row r="2062">
      <c r="A2062" s="40">
        <f t="array" ref="A2062">IFNA(index(PlayerValues!A:A,match(IFNA(vlookup(B2062,'Special Names'!A:B,2,FALSE),B2062),PlayerValues!E:E,0)),"N/A")</f>
        <v>17103</v>
      </c>
      <c r="B2062" s="4" t="s">
        <v>405</v>
      </c>
      <c r="C2062" s="4" t="s">
        <v>298</v>
      </c>
      <c r="D2062" s="94">
        <v>5470.0</v>
      </c>
    </row>
    <row r="2063">
      <c r="A2063" s="40">
        <f t="array" ref="A2063">IFNA(index(PlayerValues!A:A,match(IFNA(vlookup(B2063,'Special Names'!A:B,2,FALSE),B2063),PlayerValues!E:E,0)),"N/A")</f>
        <v>16222</v>
      </c>
      <c r="B2063" s="4" t="s">
        <v>393</v>
      </c>
      <c r="C2063" s="4" t="s">
        <v>298</v>
      </c>
      <c r="D2063" s="94">
        <v>5442.0</v>
      </c>
    </row>
    <row r="2064">
      <c r="A2064" s="40">
        <f t="array" ref="A2064">IFNA(index(PlayerValues!A:A,match(IFNA(vlookup(B2064,'Special Names'!A:B,2,FALSE),B2064),PlayerValues!E:E,0)),"N/A")</f>
        <v>15710</v>
      </c>
      <c r="B2064" s="4" t="s">
        <v>395</v>
      </c>
      <c r="C2064" s="4" t="s">
        <v>278</v>
      </c>
      <c r="D2064" s="94">
        <v>4853.0</v>
      </c>
    </row>
    <row r="2065">
      <c r="A2065" s="40">
        <f t="array" ref="A2065">IFNA(index(PlayerValues!A:A,match(IFNA(vlookup(B2065,'Special Names'!A:B,2,FALSE),B2065),PlayerValues!E:E,0)),"N/A")</f>
        <v>13590</v>
      </c>
      <c r="B2065" s="4" t="s">
        <v>409</v>
      </c>
      <c r="C2065" s="4" t="s">
        <v>283</v>
      </c>
      <c r="D2065" s="94">
        <v>4839.0</v>
      </c>
    </row>
    <row r="2066">
      <c r="A2066" s="40">
        <f t="array" ref="A2066">IFNA(index(PlayerValues!A:A,match(IFNA(vlookup(B2066,'Special Names'!A:B,2,FALSE),B2066),PlayerValues!E:E,0)),"N/A")</f>
        <v>13592</v>
      </c>
      <c r="B2066" s="4" t="s">
        <v>418</v>
      </c>
      <c r="C2066" s="4" t="s">
        <v>283</v>
      </c>
      <c r="D2066" s="94">
        <v>4832.0</v>
      </c>
    </row>
    <row r="2067">
      <c r="A2067" s="40">
        <f t="array" ref="A2067">IFNA(index(PlayerValues!A:A,match(IFNA(vlookup(B2067,'Special Names'!A:B,2,FALSE),B2067),PlayerValues!E:E,0)),"N/A")</f>
        <v>16150</v>
      </c>
      <c r="B2067" s="4" t="s">
        <v>414</v>
      </c>
      <c r="C2067" s="4" t="s">
        <v>283</v>
      </c>
      <c r="D2067" s="94">
        <v>4826.0</v>
      </c>
    </row>
    <row r="2068">
      <c r="A2068" s="40">
        <f t="array" ref="A2068">IFNA(index(PlayerValues!A:A,match(IFNA(vlookup(B2068,'Special Names'!A:B,2,FALSE),B2068),PlayerValues!E:E,0)),"N/A")</f>
        <v>14835</v>
      </c>
      <c r="B2068" s="4" t="s">
        <v>392</v>
      </c>
      <c r="C2068" s="4" t="s">
        <v>287</v>
      </c>
      <c r="D2068" s="94">
        <v>4825.0</v>
      </c>
    </row>
    <row r="2069">
      <c r="A2069" s="40" t="str">
        <f t="array" ref="A2069">IFNA(index(PlayerValues!A:A,match(IFNA(vlookup(B2069,'Special Names'!A:B,2,FALSE),B2069),PlayerValues!E:E,0)),"N/A")</f>
        <v>N/A</v>
      </c>
      <c r="B2069" s="4" t="s">
        <v>104</v>
      </c>
      <c r="C2069" s="4" t="s">
        <v>325</v>
      </c>
      <c r="D2069" s="94">
        <v>4825.0</v>
      </c>
    </row>
    <row r="2070">
      <c r="A2070" s="40">
        <f t="array" ref="A2070">IFNA(index(PlayerValues!A:A,match(IFNA(vlookup(B2070,'Special Names'!A:B,2,FALSE),B2070),PlayerValues!E:E,0)),"N/A")</f>
        <v>17045</v>
      </c>
      <c r="B2070" s="4" t="s">
        <v>407</v>
      </c>
      <c r="C2070" s="4" t="s">
        <v>278</v>
      </c>
      <c r="D2070" s="94">
        <v>4822.0</v>
      </c>
    </row>
    <row r="2071">
      <c r="A2071" s="40">
        <f t="array" ref="A2071">IFNA(index(PlayerValues!A:A,match(IFNA(vlookup(B2071,'Special Names'!A:B,2,FALSE),B2071),PlayerValues!E:E,0)),"N/A")</f>
        <v>17498</v>
      </c>
      <c r="B2071" s="4" t="s">
        <v>396</v>
      </c>
      <c r="C2071" s="4" t="s">
        <v>287</v>
      </c>
      <c r="D2071" s="94">
        <v>4820.0</v>
      </c>
    </row>
    <row r="2072">
      <c r="A2072" s="40">
        <f t="array" ref="A2072">IFNA(index(PlayerValues!A:A,match(IFNA(vlookup(B2072,'Special Names'!A:B,2,FALSE),B2072),PlayerValues!E:E,0)),"N/A")</f>
        <v>15282</v>
      </c>
      <c r="B2072" s="4" t="s">
        <v>364</v>
      </c>
      <c r="C2072" s="4" t="s">
        <v>287</v>
      </c>
      <c r="D2072" s="94">
        <v>4797.0</v>
      </c>
    </row>
    <row r="2073">
      <c r="A2073" s="40" t="str">
        <f t="array" ref="A2073">IFNA(index(PlayerValues!A:A,match(IFNA(vlookup(B2073,'Special Names'!A:B,2,FALSE),B2073),PlayerValues!E:E,0)),"N/A")</f>
        <v>N/A</v>
      </c>
      <c r="B2073" s="4" t="s">
        <v>94</v>
      </c>
      <c r="C2073" s="4" t="s">
        <v>325</v>
      </c>
      <c r="D2073" s="94">
        <v>4788.0</v>
      </c>
    </row>
    <row r="2074">
      <c r="A2074" s="40">
        <f t="array" ref="A2074">IFNA(index(PlayerValues!A:A,match(IFNA(vlookup(B2074,'Special Names'!A:B,2,FALSE),B2074),PlayerValues!E:E,0)),"N/A")</f>
        <v>13604</v>
      </c>
      <c r="B2074" s="4" t="s">
        <v>378</v>
      </c>
      <c r="C2074" s="4" t="s">
        <v>278</v>
      </c>
      <c r="D2074" s="94">
        <v>4781.0</v>
      </c>
    </row>
    <row r="2075">
      <c r="A2075" s="40">
        <f t="array" ref="A2075">IFNA(index(PlayerValues!A:A,match(IFNA(vlookup(B2075,'Special Names'!A:B,2,FALSE),B2075),PlayerValues!E:E,0)),"N/A")</f>
        <v>14104</v>
      </c>
      <c r="B2075" s="4" t="s">
        <v>379</v>
      </c>
      <c r="C2075" s="4" t="s">
        <v>287</v>
      </c>
      <c r="D2075" s="94">
        <v>4743.0</v>
      </c>
    </row>
    <row r="2076">
      <c r="A2076" s="40">
        <f t="array" ref="A2076">IFNA(index(PlayerValues!A:A,match(IFNA(vlookup(B2076,'Special Names'!A:B,2,FALSE),B2076),PlayerValues!E:E,0)),"N/A")</f>
        <v>15756</v>
      </c>
      <c r="B2076" s="4" t="s">
        <v>399</v>
      </c>
      <c r="C2076" s="4" t="s">
        <v>287</v>
      </c>
      <c r="D2076" s="94">
        <v>4740.0</v>
      </c>
    </row>
    <row r="2077">
      <c r="A2077" s="40">
        <f t="array" ref="A2077">IFNA(index(PlayerValues!A:A,match(IFNA(vlookup(B2077,'Special Names'!A:B,2,FALSE),B2077),PlayerValues!E:E,0)),"N/A")</f>
        <v>16190</v>
      </c>
      <c r="B2077" s="4" t="s">
        <v>371</v>
      </c>
      <c r="C2077" s="4" t="s">
        <v>287</v>
      </c>
      <c r="D2077" s="94">
        <v>4697.0</v>
      </c>
    </row>
    <row r="2078">
      <c r="A2078" s="40" t="str">
        <f t="array" ref="A2078">IFNA(index(PlayerValues!A:A,match(IFNA(vlookup(B2078,'Special Names'!A:B,2,FALSE),B2078),PlayerValues!E:E,0)),"N/A")</f>
        <v>N/A</v>
      </c>
      <c r="B2078" s="4" t="s">
        <v>80</v>
      </c>
      <c r="C2078" s="4" t="s">
        <v>325</v>
      </c>
      <c r="D2078" s="94">
        <v>4696.0</v>
      </c>
    </row>
    <row r="2079">
      <c r="A2079" s="40">
        <f t="array" ref="A2079">IFNA(index(PlayerValues!A:A,match(IFNA(vlookup(B2079,'Special Names'!A:B,2,FALSE),B2079),PlayerValues!E:E,0)),"N/A")</f>
        <v>12611</v>
      </c>
      <c r="B2079" s="4" t="s">
        <v>410</v>
      </c>
      <c r="C2079" s="4" t="s">
        <v>283</v>
      </c>
      <c r="D2079" s="94">
        <v>4622.0</v>
      </c>
    </row>
    <row r="2080">
      <c r="A2080" s="40">
        <f t="array" ref="A2080">IFNA(index(PlayerValues!A:A,match(IFNA(vlookup(B2080,'Special Names'!A:B,2,FALSE),B2080),PlayerValues!E:E,0)),"N/A")</f>
        <v>15284</v>
      </c>
      <c r="B2080" s="4" t="s">
        <v>390</v>
      </c>
      <c r="C2080" s="4" t="s">
        <v>287</v>
      </c>
      <c r="D2080" s="94">
        <v>4606.0</v>
      </c>
    </row>
    <row r="2081">
      <c r="A2081" s="40">
        <f t="array" ref="A2081">IFNA(index(PlayerValues!A:A,match(IFNA(vlookup(B2081,'Special Names'!A:B,2,FALSE),B2081),PlayerValues!E:E,0)),"N/A")</f>
        <v>17039</v>
      </c>
      <c r="B2081" s="4" t="s">
        <v>400</v>
      </c>
      <c r="C2081" s="4" t="s">
        <v>283</v>
      </c>
      <c r="D2081" s="94">
        <v>4599.0</v>
      </c>
    </row>
    <row r="2082">
      <c r="A2082" s="40">
        <f t="array" ref="A2082">IFNA(index(PlayerValues!A:A,match(IFNA(vlookup(B2082,'Special Names'!A:B,2,FALSE),B2082),PlayerValues!E:E,0)),"N/A")</f>
        <v>16214</v>
      </c>
      <c r="B2082" s="4" t="s">
        <v>413</v>
      </c>
      <c r="C2082" s="4" t="s">
        <v>298</v>
      </c>
      <c r="D2082" s="94">
        <v>5132.0</v>
      </c>
    </row>
    <row r="2083">
      <c r="A2083" s="40">
        <f t="array" ref="A2083">IFNA(index(PlayerValues!A:A,match(IFNA(vlookup(B2083,'Special Names'!A:B,2,FALSE),B2083),PlayerValues!E:E,0)),"N/A")</f>
        <v>15329</v>
      </c>
      <c r="B2083" s="4" t="s">
        <v>416</v>
      </c>
      <c r="C2083" s="4" t="s">
        <v>298</v>
      </c>
      <c r="D2083" s="94">
        <v>5103.0</v>
      </c>
    </row>
    <row r="2084">
      <c r="A2084" s="40">
        <f t="array" ref="A2084">IFNA(index(PlayerValues!A:A,match(IFNA(vlookup(B2084,'Special Names'!A:B,2,FALSE),B2084),PlayerValues!E:E,0)),"N/A")</f>
        <v>15256</v>
      </c>
      <c r="B2084" s="4" t="s">
        <v>401</v>
      </c>
      <c r="C2084" s="4" t="s">
        <v>278</v>
      </c>
      <c r="D2084" s="94">
        <v>4548.0</v>
      </c>
    </row>
    <row r="2085">
      <c r="A2085" s="40">
        <f t="array" ref="A2085">IFNA(index(PlayerValues!A:A,match(IFNA(vlookup(B2085,'Special Names'!A:B,2,FALSE),B2085),PlayerValues!E:E,0)),"N/A")</f>
        <v>15253</v>
      </c>
      <c r="B2085" s="4" t="s">
        <v>415</v>
      </c>
      <c r="C2085" s="4" t="s">
        <v>278</v>
      </c>
      <c r="D2085" s="94">
        <v>4500.0</v>
      </c>
    </row>
    <row r="2086">
      <c r="A2086" s="40">
        <f t="array" ref="A2086">IFNA(index(PlayerValues!A:A,match(IFNA(vlookup(B2086,'Special Names'!A:B,2,FALSE),B2086),PlayerValues!E:E,0)),"N/A")</f>
        <v>17068</v>
      </c>
      <c r="B2086" s="4" t="s">
        <v>450</v>
      </c>
      <c r="C2086" s="4" t="s">
        <v>278</v>
      </c>
      <c r="D2086" s="94">
        <v>4472.0</v>
      </c>
    </row>
    <row r="2087">
      <c r="A2087" s="40">
        <f t="array" ref="A2087">IFNA(index(PlayerValues!A:A,match(IFNA(vlookup(B2087,'Special Names'!A:B,2,FALSE),B2087),PlayerValues!E:E,0)),"N/A")</f>
        <v>14073</v>
      </c>
      <c r="B2087" s="4" t="s">
        <v>464</v>
      </c>
      <c r="C2087" s="4" t="s">
        <v>278</v>
      </c>
      <c r="D2087" s="94">
        <v>4462.0</v>
      </c>
    </row>
    <row r="2088">
      <c r="A2088" s="40">
        <f t="array" ref="A2088">IFNA(index(PlayerValues!A:A,match(IFNA(vlookup(B2088,'Special Names'!A:B,2,FALSE),B2088),PlayerValues!E:E,0)),"N/A")</f>
        <v>16148</v>
      </c>
      <c r="B2088" s="4" t="s">
        <v>426</v>
      </c>
      <c r="C2088" s="4" t="s">
        <v>283</v>
      </c>
      <c r="D2088" s="94">
        <v>4445.0</v>
      </c>
    </row>
    <row r="2089">
      <c r="A2089" s="40" t="str">
        <f t="array" ref="A2089">IFNA(index(PlayerValues!A:A,match(IFNA(vlookup(B2089,'Special Names'!A:B,2,FALSE),B2089),PlayerValues!E:E,0)),"N/A")</f>
        <v>N/A</v>
      </c>
      <c r="B2089" s="4" t="s">
        <v>105</v>
      </c>
      <c r="C2089" s="4" t="s">
        <v>325</v>
      </c>
      <c r="D2089" s="94">
        <v>4443.0</v>
      </c>
    </row>
    <row r="2090">
      <c r="A2090" s="40" t="str">
        <f t="array" ref="A2090">IFNA(index(PlayerValues!A:A,match(IFNA(vlookup(B2090,'Special Names'!A:B,2,FALSE),B2090),PlayerValues!E:E,0)),"N/A")</f>
        <v>N/A</v>
      </c>
      <c r="B2090" s="4" t="s">
        <v>81</v>
      </c>
      <c r="C2090" s="4" t="s">
        <v>325</v>
      </c>
      <c r="D2090" s="94">
        <v>4231.0</v>
      </c>
    </row>
    <row r="2091">
      <c r="A2091" s="40">
        <f t="array" ref="A2091">IFNA(index(PlayerValues!A:A,match(IFNA(vlookup(B2091,'Special Names'!A:B,2,FALSE),B2091),PlayerValues!E:E,0)),"N/A")</f>
        <v>16186</v>
      </c>
      <c r="B2091" s="4" t="s">
        <v>425</v>
      </c>
      <c r="C2091" s="4" t="s">
        <v>287</v>
      </c>
      <c r="D2091" s="94">
        <v>4155.0</v>
      </c>
    </row>
    <row r="2092">
      <c r="A2092" s="40">
        <f t="array" ref="A2092">IFNA(index(PlayerValues!A:A,match(IFNA(vlookup(B2092,'Special Names'!A:B,2,FALSE),B2092),PlayerValues!E:E,0)),"N/A")</f>
        <v>17099</v>
      </c>
      <c r="B2092" s="4" t="s">
        <v>474</v>
      </c>
      <c r="C2092" s="4" t="s">
        <v>298</v>
      </c>
      <c r="D2092" s="94">
        <v>4653.0</v>
      </c>
    </row>
    <row r="2093">
      <c r="A2093" s="40">
        <f t="array" ref="A2093">IFNA(index(PlayerValues!A:A,match(IFNA(vlookup(B2093,'Special Names'!A:B,2,FALSE),B2093),PlayerValues!E:E,0)),"N/A")</f>
        <v>14059</v>
      </c>
      <c r="B2093" s="4" t="s">
        <v>435</v>
      </c>
      <c r="C2093" s="4" t="s">
        <v>283</v>
      </c>
      <c r="D2093" s="94">
        <v>4050.0</v>
      </c>
    </row>
    <row r="2094">
      <c r="A2094" s="40">
        <f t="array" ref="A2094">IFNA(index(PlayerValues!A:A,match(IFNA(vlookup(B2094,'Special Names'!A:B,2,FALSE),B2094),PlayerValues!E:E,0)),"N/A")</f>
        <v>17074</v>
      </c>
      <c r="B2094" s="4" t="s">
        <v>475</v>
      </c>
      <c r="C2094" s="4" t="s">
        <v>287</v>
      </c>
      <c r="D2094" s="94">
        <v>4043.0</v>
      </c>
    </row>
    <row r="2095">
      <c r="A2095" s="40" t="str">
        <f t="array" ref="A2095">IFNA(index(PlayerValues!A:A,match(IFNA(vlookup(B2095,'Special Names'!A:B,2,FALSE),B2095),PlayerValues!E:E,0)),"N/A")</f>
        <v>N/A</v>
      </c>
      <c r="B2095" s="4" t="s">
        <v>107</v>
      </c>
      <c r="C2095" s="4" t="s">
        <v>325</v>
      </c>
      <c r="D2095" s="94">
        <v>4032.0</v>
      </c>
    </row>
    <row r="2096">
      <c r="A2096" s="40">
        <f t="array" ref="A2096">IFNA(index(PlayerValues!A:A,match(IFNA(vlookup(B2096,'Special Names'!A:B,2,FALSE),B2096),PlayerValues!E:E,0)),"N/A")</f>
        <v>17543</v>
      </c>
      <c r="B2096" s="4" t="s">
        <v>436</v>
      </c>
      <c r="C2096" s="4" t="s">
        <v>298</v>
      </c>
      <c r="D2096" s="94">
        <v>4507.0</v>
      </c>
    </row>
    <row r="2097">
      <c r="A2097" s="40">
        <f t="array" ref="A2097">IFNA(index(PlayerValues!A:A,match(IFNA(vlookup(B2097,'Special Names'!A:B,2,FALSE),B2097),PlayerValues!E:E,0)),"N/A")</f>
        <v>16622</v>
      </c>
      <c r="B2097" s="4" t="s">
        <v>517</v>
      </c>
      <c r="C2097" s="4" t="s">
        <v>287</v>
      </c>
      <c r="D2097" s="94">
        <v>3972.0</v>
      </c>
    </row>
    <row r="2098">
      <c r="A2098" s="40">
        <f t="array" ref="A2098">IFNA(index(PlayerValues!A:A,match(IFNA(vlookup(B2098,'Special Names'!A:B,2,FALSE),B2098),PlayerValues!E:E,0)),"N/A")</f>
        <v>15768</v>
      </c>
      <c r="B2098" s="4" t="s">
        <v>432</v>
      </c>
      <c r="C2098" s="4" t="s">
        <v>287</v>
      </c>
      <c r="D2098" s="94">
        <v>3964.0</v>
      </c>
    </row>
    <row r="2099">
      <c r="A2099" s="40">
        <f t="array" ref="A2099">IFNA(index(PlayerValues!A:A,match(IFNA(vlookup(B2099,'Special Names'!A:B,2,FALSE),B2099),PlayerValues!E:E,0)),"N/A")</f>
        <v>12626</v>
      </c>
      <c r="B2099" s="4" t="s">
        <v>419</v>
      </c>
      <c r="C2099" s="4" t="s">
        <v>278</v>
      </c>
      <c r="D2099" s="94">
        <v>3932.0</v>
      </c>
    </row>
    <row r="2100">
      <c r="A2100" s="40">
        <f t="array" ref="A2100">IFNA(index(PlayerValues!A:A,match(IFNA(vlookup(B2100,'Special Names'!A:B,2,FALSE),B2100),PlayerValues!E:E,0)),"N/A")</f>
        <v>16206</v>
      </c>
      <c r="B2100" s="4" t="s">
        <v>431</v>
      </c>
      <c r="C2100" s="4" t="s">
        <v>287</v>
      </c>
      <c r="D2100" s="94">
        <v>3893.0</v>
      </c>
    </row>
    <row r="2101">
      <c r="A2101" s="40">
        <f t="array" ref="A2101">IFNA(index(PlayerValues!A:A,match(IFNA(vlookup(B2101,'Special Names'!A:B,2,FALSE),B2101),PlayerValues!E:E,0)),"N/A")</f>
        <v>17083</v>
      </c>
      <c r="B2101" s="4" t="s">
        <v>479</v>
      </c>
      <c r="C2101" s="4" t="s">
        <v>287</v>
      </c>
      <c r="D2101" s="94">
        <v>3847.0</v>
      </c>
    </row>
    <row r="2102">
      <c r="A2102" s="40">
        <f t="array" ref="A2102">IFNA(index(PlayerValues!A:A,match(IFNA(vlookup(B2102,'Special Names'!A:B,2,FALSE),B2102),PlayerValues!E:E,0)),"N/A")</f>
        <v>14102</v>
      </c>
      <c r="B2102" s="4" t="s">
        <v>444</v>
      </c>
      <c r="C2102" s="4" t="s">
        <v>287</v>
      </c>
      <c r="D2102" s="94">
        <v>3843.0</v>
      </c>
    </row>
    <row r="2103">
      <c r="A2103" s="40" t="str">
        <f t="array" ref="A2103">IFNA(index(PlayerValues!A:A,match(IFNA(vlookup(B2103,'Special Names'!A:B,2,FALSE),B2103),PlayerValues!E:E,0)),"N/A")</f>
        <v>N/A</v>
      </c>
      <c r="B2103" s="4" t="s">
        <v>95</v>
      </c>
      <c r="C2103" s="4" t="s">
        <v>325</v>
      </c>
      <c r="D2103" s="94">
        <v>3843.0</v>
      </c>
    </row>
    <row r="2104">
      <c r="A2104" s="40">
        <f t="array" ref="A2104">IFNA(index(PlayerValues!A:A,match(IFNA(vlookup(B2104,'Special Names'!A:B,2,FALSE),B2104),PlayerValues!E:E,0)),"N/A")</f>
        <v>17501</v>
      </c>
      <c r="B2104" s="4" t="s">
        <v>404</v>
      </c>
      <c r="C2104" s="4" t="s">
        <v>287</v>
      </c>
      <c r="D2104" s="94">
        <v>3842.0</v>
      </c>
    </row>
    <row r="2105">
      <c r="A2105" s="40">
        <f t="array" ref="A2105">IFNA(index(PlayerValues!A:A,match(IFNA(vlookup(B2105,'Special Names'!A:B,2,FALSE),B2105),PlayerValues!E:E,0)),"N/A")</f>
        <v>17066</v>
      </c>
      <c r="B2105" s="4" t="s">
        <v>446</v>
      </c>
      <c r="C2105" s="4" t="s">
        <v>278</v>
      </c>
      <c r="D2105" s="94">
        <v>3811.0</v>
      </c>
    </row>
    <row r="2106">
      <c r="A2106" s="40">
        <f t="array" ref="A2106">IFNA(index(PlayerValues!A:A,match(IFNA(vlookup(B2106,'Special Names'!A:B,2,FALSE),B2106),PlayerValues!E:E,0)),"N/A")</f>
        <v>17500</v>
      </c>
      <c r="B2106" s="4" t="s">
        <v>430</v>
      </c>
      <c r="C2106" s="4" t="s">
        <v>287</v>
      </c>
      <c r="D2106" s="94">
        <v>3796.0</v>
      </c>
    </row>
    <row r="2107">
      <c r="A2107" s="40">
        <f t="array" ref="A2107">IFNA(index(PlayerValues!A:A,match(IFNA(vlookup(B2107,'Special Names'!A:B,2,FALSE),B2107),PlayerValues!E:E,0)),"N/A")</f>
        <v>15789</v>
      </c>
      <c r="B2107" s="4" t="s">
        <v>421</v>
      </c>
      <c r="C2107" s="4" t="s">
        <v>287</v>
      </c>
      <c r="D2107" s="94">
        <v>3760.0</v>
      </c>
    </row>
    <row r="2108">
      <c r="A2108" s="40">
        <f t="array" ref="A2108">IFNA(index(PlayerValues!A:A,match(IFNA(vlookup(B2108,'Special Names'!A:B,2,FALSE),B2108),PlayerValues!E:E,0)),"N/A")</f>
        <v>14797</v>
      </c>
      <c r="B2108" s="4" t="s">
        <v>420</v>
      </c>
      <c r="C2108" s="4" t="s">
        <v>278</v>
      </c>
      <c r="D2108" s="94">
        <v>3719.0</v>
      </c>
    </row>
    <row r="2109">
      <c r="A2109" s="40">
        <f t="array" ref="A2109">IFNA(index(PlayerValues!A:A,match(IFNA(vlookup(B2109,'Special Names'!A:B,2,FALSE),B2109),PlayerValues!E:E,0)),"N/A")</f>
        <v>16192</v>
      </c>
      <c r="B2109" s="4" t="s">
        <v>412</v>
      </c>
      <c r="C2109" s="4" t="s">
        <v>287</v>
      </c>
      <c r="D2109" s="94">
        <v>3705.0</v>
      </c>
    </row>
    <row r="2110">
      <c r="A2110" s="40">
        <f t="array" ref="A2110">IFNA(index(PlayerValues!A:A,match(IFNA(vlookup(B2110,'Special Names'!A:B,2,FALSE),B2110),PlayerValues!E:E,0)),"N/A")</f>
        <v>9431</v>
      </c>
      <c r="B2110" s="4" t="s">
        <v>428</v>
      </c>
      <c r="C2110" s="4" t="s">
        <v>283</v>
      </c>
      <c r="D2110" s="94">
        <v>3697.0</v>
      </c>
    </row>
    <row r="2111">
      <c r="A2111" s="40">
        <f t="array" ref="A2111">IFNA(index(PlayerValues!A:A,match(IFNA(vlookup(B2111,'Special Names'!A:B,2,FALSE),B2111),PlayerValues!E:E,0)),"N/A")</f>
        <v>11675</v>
      </c>
      <c r="B2111" s="4" t="s">
        <v>438</v>
      </c>
      <c r="C2111" s="4" t="s">
        <v>287</v>
      </c>
      <c r="D2111" s="94">
        <v>3692.0</v>
      </c>
    </row>
    <row r="2112">
      <c r="A2112" s="40">
        <f t="array" ref="A2112">IFNA(index(PlayerValues!A:A,match(IFNA(vlookup(B2112,'Special Names'!A:B,2,FALSE),B2112),PlayerValues!E:E,0)),"N/A")</f>
        <v>14056</v>
      </c>
      <c r="B2112" s="4" t="s">
        <v>423</v>
      </c>
      <c r="C2112" s="4" t="s">
        <v>283</v>
      </c>
      <c r="D2112" s="94">
        <v>3614.0</v>
      </c>
    </row>
    <row r="2113">
      <c r="A2113" s="40">
        <f t="array" ref="A2113">IFNA(index(PlayerValues!A:A,match(IFNA(vlookup(B2113,'Special Names'!A:B,2,FALSE),B2113),PlayerValues!E:E,0)),"N/A")</f>
        <v>17075</v>
      </c>
      <c r="B2113" s="4" t="s">
        <v>429</v>
      </c>
      <c r="C2113" s="4" t="s">
        <v>287</v>
      </c>
      <c r="D2113" s="94">
        <v>3608.0</v>
      </c>
    </row>
    <row r="2114">
      <c r="A2114" s="40">
        <f t="array" ref="A2114">IFNA(index(PlayerValues!A:A,match(IFNA(vlookup(B2114,'Special Names'!A:B,2,FALSE),B2114),PlayerValues!E:E,0)),"N/A")</f>
        <v>15757</v>
      </c>
      <c r="B2114" s="4" t="s">
        <v>449</v>
      </c>
      <c r="C2114" s="4" t="s">
        <v>287</v>
      </c>
      <c r="D2114" s="94">
        <v>3606.0</v>
      </c>
    </row>
    <row r="2115">
      <c r="A2115" s="40">
        <f t="array" ref="A2115">IFNA(index(PlayerValues!A:A,match(IFNA(vlookup(B2115,'Special Names'!A:B,2,FALSE),B2115),PlayerValues!E:E,0)),"N/A")</f>
        <v>14842</v>
      </c>
      <c r="B2115" s="4" t="s">
        <v>456</v>
      </c>
      <c r="C2115" s="4" t="s">
        <v>287</v>
      </c>
      <c r="D2115" s="94">
        <v>3597.0</v>
      </c>
    </row>
    <row r="2116">
      <c r="A2116" s="40">
        <f t="array" ref="A2116">IFNA(index(PlayerValues!A:A,match(IFNA(vlookup(B2116,'Special Names'!A:B,2,FALSE),B2116),PlayerValues!E:E,0)),"N/A")</f>
        <v>16213</v>
      </c>
      <c r="B2116" s="4" t="s">
        <v>458</v>
      </c>
      <c r="C2116" s="4" t="s">
        <v>298</v>
      </c>
      <c r="D2116" s="94">
        <v>4039.0</v>
      </c>
    </row>
    <row r="2117">
      <c r="A2117" s="40">
        <f t="array" ref="A2117">IFNA(index(PlayerValues!A:A,match(IFNA(vlookup(B2117,'Special Names'!A:B,2,FALSE),B2117),PlayerValues!E:E,0)),"N/A")</f>
        <v>16583</v>
      </c>
      <c r="B2117" s="4" t="s">
        <v>493</v>
      </c>
      <c r="C2117" s="4" t="s">
        <v>283</v>
      </c>
      <c r="D2117" s="94">
        <v>3561.0</v>
      </c>
    </row>
    <row r="2118">
      <c r="A2118" s="40">
        <f t="array" ref="A2118">IFNA(index(PlayerValues!A:A,match(IFNA(vlookup(B2118,'Special Names'!A:B,2,FALSE),B2118),PlayerValues!E:E,0)),"N/A")</f>
        <v>16169</v>
      </c>
      <c r="B2118" s="4" t="s">
        <v>457</v>
      </c>
      <c r="C2118" s="4" t="s">
        <v>278</v>
      </c>
      <c r="D2118" s="94">
        <v>3545.0</v>
      </c>
    </row>
    <row r="2119">
      <c r="A2119" s="40">
        <f t="array" ref="A2119">IFNA(index(PlayerValues!A:A,match(IFNA(vlookup(B2119,'Special Names'!A:B,2,FALSE),B2119),PlayerValues!E:E,0)),"N/A")</f>
        <v>16188</v>
      </c>
      <c r="B2119" s="4" t="s">
        <v>439</v>
      </c>
      <c r="C2119" s="4" t="s">
        <v>287</v>
      </c>
      <c r="D2119" s="94">
        <v>3534.0</v>
      </c>
    </row>
    <row r="2120">
      <c r="A2120" s="40">
        <f t="array" ref="A2120">IFNA(index(PlayerValues!A:A,match(IFNA(vlookup(B2120,'Special Names'!A:B,2,FALSE),B2120),PlayerValues!E:E,0)),"N/A")</f>
        <v>16584</v>
      </c>
      <c r="B2120" s="4" t="s">
        <v>569</v>
      </c>
      <c r="C2120" s="4" t="s">
        <v>283</v>
      </c>
      <c r="D2120" s="94">
        <v>3509.0</v>
      </c>
    </row>
    <row r="2121">
      <c r="A2121" s="40">
        <f t="array" ref="A2121">IFNA(index(PlayerValues!A:A,match(IFNA(vlookup(B2121,'Special Names'!A:B,2,FALSE),B2121),PlayerValues!E:E,0)),"N/A")</f>
        <v>16593</v>
      </c>
      <c r="B2121" s="4" t="s">
        <v>442</v>
      </c>
      <c r="C2121" s="4" t="s">
        <v>278</v>
      </c>
      <c r="D2121" s="94">
        <v>3499.0</v>
      </c>
    </row>
    <row r="2122">
      <c r="A2122" s="40">
        <f t="array" ref="A2122">IFNA(index(PlayerValues!A:A,match(IFNA(vlookup(B2122,'Special Names'!A:B,2,FALSE),B2122),PlayerValues!E:E,0)),"N/A")</f>
        <v>15694</v>
      </c>
      <c r="B2122" s="4" t="s">
        <v>434</v>
      </c>
      <c r="C2122" s="4" t="s">
        <v>283</v>
      </c>
      <c r="D2122" s="94">
        <v>3492.0</v>
      </c>
    </row>
    <row r="2123">
      <c r="A2123" s="40">
        <f t="array" ref="A2123">IFNA(index(PlayerValues!A:A,match(IFNA(vlookup(B2123,'Special Names'!A:B,2,FALSE),B2123),PlayerValues!E:E,0)),"N/A")</f>
        <v>17052</v>
      </c>
      <c r="B2123" s="4" t="s">
        <v>417</v>
      </c>
      <c r="C2123" s="4" t="s">
        <v>278</v>
      </c>
      <c r="D2123" s="94">
        <v>3491.0</v>
      </c>
    </row>
    <row r="2124">
      <c r="A2124" s="40">
        <f t="array" ref="A2124">IFNA(index(PlayerValues!A:A,match(IFNA(vlookup(B2124,'Special Names'!A:B,2,FALSE),B2124),PlayerValues!E:E,0)),"N/A")</f>
        <v>16620</v>
      </c>
      <c r="B2124" s="4" t="s">
        <v>467</v>
      </c>
      <c r="C2124" s="4" t="s">
        <v>287</v>
      </c>
      <c r="D2124" s="94">
        <v>3483.0</v>
      </c>
    </row>
    <row r="2125">
      <c r="A2125" s="40">
        <f t="array" ref="A2125">IFNA(index(PlayerValues!A:A,match(IFNA(vlookup(B2125,'Special Names'!A:B,2,FALSE),B2125),PlayerValues!E:E,0)),"N/A")</f>
        <v>15742</v>
      </c>
      <c r="B2125" s="4" t="s">
        <v>447</v>
      </c>
      <c r="C2125" s="4" t="s">
        <v>278</v>
      </c>
      <c r="D2125" s="94">
        <v>3481.0</v>
      </c>
    </row>
    <row r="2126">
      <c r="A2126" s="40" t="str">
        <f t="array" ref="A2126">IFNA(index(PlayerValues!A:A,match(IFNA(vlookup(B2126,'Special Names'!A:B,2,FALSE),B2126),PlayerValues!E:E,0)),"N/A")</f>
        <v>N/A</v>
      </c>
      <c r="B2126" s="4" t="s">
        <v>82</v>
      </c>
      <c r="C2126" s="4" t="s">
        <v>325</v>
      </c>
      <c r="D2126" s="94">
        <v>3478.0</v>
      </c>
    </row>
    <row r="2127">
      <c r="A2127" s="40">
        <f t="array" ref="A2127">IFNA(index(PlayerValues!A:A,match(IFNA(vlookup(B2127,'Special Names'!A:B,2,FALSE),B2127),PlayerValues!E:E,0)),"N/A")</f>
        <v>14127</v>
      </c>
      <c r="B2127" s="4" t="s">
        <v>486</v>
      </c>
      <c r="C2127" s="4" t="s">
        <v>287</v>
      </c>
      <c r="D2127" s="94">
        <v>3443.0</v>
      </c>
    </row>
    <row r="2128">
      <c r="A2128" s="40">
        <f t="array" ref="A2128">IFNA(index(PlayerValues!A:A,match(IFNA(vlookup(B2128,'Special Names'!A:B,2,FALSE),B2128),PlayerValues!E:E,0)),"N/A")</f>
        <v>13299</v>
      </c>
      <c r="B2128" s="4" t="s">
        <v>448</v>
      </c>
      <c r="C2128" s="4" t="s">
        <v>298</v>
      </c>
      <c r="D2128" s="94">
        <v>3888.0</v>
      </c>
    </row>
    <row r="2129">
      <c r="A2129" s="40" t="str">
        <f t="array" ref="A2129">IFNA(index(PlayerValues!A:A,match(IFNA(vlookup(B2129,'Special Names'!A:B,2,FALSE),B2129),PlayerValues!E:E,0)),"N/A")</f>
        <v>N/A</v>
      </c>
      <c r="B2129" s="4" t="s">
        <v>96</v>
      </c>
      <c r="C2129" s="4" t="s">
        <v>325</v>
      </c>
      <c r="D2129" s="94">
        <v>3405.0</v>
      </c>
    </row>
    <row r="2130">
      <c r="A2130" s="40">
        <f t="array" ref="A2130">IFNA(index(PlayerValues!A:A,match(IFNA(vlookup(B2130,'Special Names'!A:B,2,FALSE),B2130),PlayerValues!E:E,0)),"N/A")</f>
        <v>15799</v>
      </c>
      <c r="B2130" s="4" t="s">
        <v>468</v>
      </c>
      <c r="C2130" s="4" t="s">
        <v>298</v>
      </c>
      <c r="D2130" s="94">
        <v>3845.0</v>
      </c>
    </row>
    <row r="2131">
      <c r="A2131" s="40">
        <f t="array" ref="A2131">IFNA(index(PlayerValues!A:A,match(IFNA(vlookup(B2131,'Special Names'!A:B,2,FALSE),B2131),PlayerValues!E:E,0)),"N/A")</f>
        <v>14109</v>
      </c>
      <c r="B2131" s="4" t="s">
        <v>437</v>
      </c>
      <c r="C2131" s="4" t="s">
        <v>287</v>
      </c>
      <c r="D2131" s="94">
        <v>3390.0</v>
      </c>
    </row>
    <row r="2132">
      <c r="A2132" s="40">
        <f t="array" ref="A2132">IFNA(index(PlayerValues!A:A,match(IFNA(vlookup(B2132,'Special Names'!A:B,2,FALSE),B2132),PlayerValues!E:E,0)),"N/A")</f>
        <v>13630</v>
      </c>
      <c r="B2132" s="4" t="s">
        <v>465</v>
      </c>
      <c r="C2132" s="4" t="s">
        <v>287</v>
      </c>
      <c r="D2132" s="94">
        <v>3364.0</v>
      </c>
    </row>
    <row r="2133">
      <c r="A2133" s="40">
        <f t="array" ref="A2133">IFNA(index(PlayerValues!A:A,match(IFNA(vlookup(B2133,'Special Names'!A:B,2,FALSE),B2133),PlayerValues!E:E,0)),"N/A")</f>
        <v>16594</v>
      </c>
      <c r="B2133" s="4" t="s">
        <v>607</v>
      </c>
      <c r="C2133" s="4" t="s">
        <v>278</v>
      </c>
      <c r="D2133" s="94">
        <v>3354.0</v>
      </c>
    </row>
    <row r="2134">
      <c r="A2134" s="40">
        <f t="array" ref="A2134">IFNA(index(PlayerValues!A:A,match(IFNA(vlookup(B2134,'Special Names'!A:B,2,FALSE),B2134),PlayerValues!E:E,0)),"N/A")</f>
        <v>15712</v>
      </c>
      <c r="B2134" s="4" t="s">
        <v>488</v>
      </c>
      <c r="C2134" s="4" t="s">
        <v>278</v>
      </c>
      <c r="D2134" s="94">
        <v>3348.0</v>
      </c>
    </row>
    <row r="2135">
      <c r="A2135" s="40">
        <f t="array" ref="A2135">IFNA(index(PlayerValues!A:A,match(IFNA(vlookup(B2135,'Special Names'!A:B,2,FALSE),B2135),PlayerValues!E:E,0)),"N/A")</f>
        <v>17053</v>
      </c>
      <c r="B2135" s="4" t="s">
        <v>484</v>
      </c>
      <c r="C2135" s="4" t="s">
        <v>278</v>
      </c>
      <c r="D2135" s="94">
        <v>3311.0</v>
      </c>
    </row>
    <row r="2136">
      <c r="A2136" s="40">
        <f t="array" ref="A2136">IFNA(index(PlayerValues!A:A,match(IFNA(vlookup(B2136,'Special Names'!A:B,2,FALSE),B2136),PlayerValues!E:E,0)),"N/A")</f>
        <v>16184</v>
      </c>
      <c r="B2136" s="4" t="s">
        <v>445</v>
      </c>
      <c r="C2136" s="4" t="s">
        <v>287</v>
      </c>
      <c r="D2136" s="94">
        <v>3309.0</v>
      </c>
    </row>
    <row r="2137">
      <c r="A2137" s="40">
        <f t="array" ref="A2137">IFNA(index(PlayerValues!A:A,match(IFNA(vlookup(B2137,'Special Names'!A:B,2,FALSE),B2137),PlayerValues!E:E,0)),"N/A")</f>
        <v>17473</v>
      </c>
      <c r="B2137" s="4" t="s">
        <v>391</v>
      </c>
      <c r="C2137" s="4" t="s">
        <v>278</v>
      </c>
      <c r="D2137" s="94">
        <v>3286.0</v>
      </c>
    </row>
    <row r="2138">
      <c r="A2138" s="40">
        <f t="array" ref="A2138">IFNA(index(PlayerValues!A:A,match(IFNA(vlookup(B2138,'Special Names'!A:B,2,FALSE),B2138),PlayerValues!E:E,0)),"N/A")</f>
        <v>16809</v>
      </c>
      <c r="B2138" s="4" t="s">
        <v>455</v>
      </c>
      <c r="C2138" s="4" t="s">
        <v>287</v>
      </c>
      <c r="D2138" s="94">
        <v>3277.0</v>
      </c>
    </row>
    <row r="2139">
      <c r="A2139" s="40">
        <f t="array" ref="A2139">IFNA(index(PlayerValues!A:A,match(IFNA(vlookup(B2139,'Special Names'!A:B,2,FALSE),B2139),PlayerValues!E:E,0)),"N/A")</f>
        <v>13635</v>
      </c>
      <c r="B2139" s="4" t="s">
        <v>424</v>
      </c>
      <c r="C2139" s="4" t="s">
        <v>287</v>
      </c>
      <c r="D2139" s="94">
        <v>3273.0</v>
      </c>
    </row>
    <row r="2140">
      <c r="A2140" s="40">
        <f t="array" ref="A2140">IFNA(index(PlayerValues!A:A,match(IFNA(vlookup(B2140,'Special Names'!A:B,2,FALSE),B2140),PlayerValues!E:E,0)),"N/A")</f>
        <v>16269</v>
      </c>
      <c r="B2140" s="4" t="s">
        <v>481</v>
      </c>
      <c r="C2140" s="4" t="s">
        <v>298</v>
      </c>
      <c r="D2140" s="94">
        <v>3717.0</v>
      </c>
    </row>
    <row r="2141">
      <c r="A2141" s="40">
        <f t="array" ref="A2141">IFNA(index(PlayerValues!A:A,match(IFNA(vlookup(B2141,'Special Names'!A:B,2,FALSE),B2141),PlayerValues!E:E,0)),"N/A")</f>
        <v>17477</v>
      </c>
      <c r="B2141" s="4" t="s">
        <v>452</v>
      </c>
      <c r="C2141" s="4" t="s">
        <v>278</v>
      </c>
      <c r="D2141" s="94">
        <v>3239.0</v>
      </c>
    </row>
    <row r="2142">
      <c r="A2142" s="40">
        <f t="array" ref="A2142">IFNA(index(PlayerValues!A:A,match(IFNA(vlookup(B2142,'Special Names'!A:B,2,FALSE),B2142),PlayerValues!E:E,0)),"N/A")</f>
        <v>17502</v>
      </c>
      <c r="B2142" s="4" t="s">
        <v>451</v>
      </c>
      <c r="C2142" s="4" t="s">
        <v>287</v>
      </c>
      <c r="D2142" s="94">
        <v>3210.0</v>
      </c>
    </row>
    <row r="2143">
      <c r="A2143" s="40">
        <f t="array" ref="A2143">IFNA(index(PlayerValues!A:A,match(IFNA(vlookup(B2143,'Special Names'!A:B,2,FALSE),B2143),PlayerValues!E:E,0)),"N/A")</f>
        <v>16187</v>
      </c>
      <c r="B2143" s="4" t="s">
        <v>441</v>
      </c>
      <c r="C2143" s="4" t="s">
        <v>287</v>
      </c>
      <c r="D2143" s="94">
        <v>3158.0</v>
      </c>
    </row>
    <row r="2144">
      <c r="A2144" s="40">
        <f t="array" ref="A2144">IFNA(index(PlayerValues!A:A,match(IFNA(vlookup(B2144,'Special Names'!A:B,2,FALSE),B2144),PlayerValues!E:E,0)),"N/A")</f>
        <v>14823</v>
      </c>
      <c r="B2144" s="4" t="s">
        <v>459</v>
      </c>
      <c r="C2144" s="4" t="s">
        <v>278</v>
      </c>
      <c r="D2144" s="94">
        <v>3132.0</v>
      </c>
    </row>
    <row r="2145">
      <c r="A2145" s="40">
        <f t="array" ref="A2145">IFNA(index(PlayerValues!A:A,match(IFNA(vlookup(B2145,'Special Names'!A:B,2,FALSE),B2145),PlayerValues!E:E,0)),"N/A")</f>
        <v>15761</v>
      </c>
      <c r="B2145" s="4" t="s">
        <v>491</v>
      </c>
      <c r="C2145" s="4" t="s">
        <v>287</v>
      </c>
      <c r="D2145" s="94">
        <v>3101.0</v>
      </c>
    </row>
    <row r="2146">
      <c r="A2146" s="40">
        <f t="array" ref="A2146">IFNA(index(PlayerValues!A:A,match(IFNA(vlookup(B2146,'Special Names'!A:B,2,FALSE),B2146),PlayerValues!E:E,0)),"N/A")</f>
        <v>15798</v>
      </c>
      <c r="B2146" s="4" t="s">
        <v>443</v>
      </c>
      <c r="C2146" s="4" t="s">
        <v>298</v>
      </c>
      <c r="D2146" s="94">
        <v>3528.0</v>
      </c>
    </row>
    <row r="2147">
      <c r="A2147" s="40">
        <f t="array" ref="A2147">IFNA(index(PlayerValues!A:A,match(IFNA(vlookup(B2147,'Special Names'!A:B,2,FALSE),B2147),PlayerValues!E:E,0)),"N/A")</f>
        <v>15261</v>
      </c>
      <c r="B2147" s="4" t="s">
        <v>466</v>
      </c>
      <c r="C2147" s="4" t="s">
        <v>278</v>
      </c>
      <c r="D2147" s="94">
        <v>3090.0</v>
      </c>
    </row>
    <row r="2148">
      <c r="A2148" s="40" t="str">
        <f t="array" ref="A2148">IFNA(index(PlayerValues!A:A,match(IFNA(vlookup(B2148,'Special Names'!A:B,2,FALSE),B2148),PlayerValues!E:E,0)),"N/A")</f>
        <v>N/A</v>
      </c>
      <c r="B2148" s="4" t="s">
        <v>108</v>
      </c>
      <c r="C2148" s="4" t="s">
        <v>325</v>
      </c>
      <c r="D2148" s="94">
        <v>3071.0</v>
      </c>
    </row>
    <row r="2149">
      <c r="A2149" s="40" t="str">
        <f t="array" ref="A2149">IFNA(index(PlayerValues!A:A,match(IFNA(vlookup(B2149,'Special Names'!A:B,2,FALSE),B2149),PlayerValues!E:E,0)),"N/A")</f>
        <v>N/A</v>
      </c>
      <c r="B2149" s="4" t="s">
        <v>97</v>
      </c>
      <c r="C2149" s="4" t="s">
        <v>325</v>
      </c>
      <c r="D2149" s="94">
        <v>3045.0</v>
      </c>
    </row>
    <row r="2150">
      <c r="A2150" s="40">
        <f t="array" ref="A2150">IFNA(index(PlayerValues!A:A,match(IFNA(vlookup(B2150,'Special Names'!A:B,2,FALSE),B2150),PlayerValues!E:E,0)),"N/A")</f>
        <v>16619</v>
      </c>
      <c r="B2150" s="4" t="s">
        <v>538</v>
      </c>
      <c r="C2150" s="4" t="s">
        <v>287</v>
      </c>
      <c r="D2150" s="94">
        <v>3043.0</v>
      </c>
    </row>
    <row r="2151">
      <c r="A2151" s="40" t="str">
        <f t="array" ref="A2151">IFNA(index(PlayerValues!A:A,match(IFNA(vlookup(B2151,'Special Names'!A:B,2,FALSE),B2151),PlayerValues!E:E,0)),"N/A")</f>
        <v>N/A</v>
      </c>
      <c r="B2151" s="4" t="s">
        <v>84</v>
      </c>
      <c r="C2151" s="4" t="s">
        <v>325</v>
      </c>
      <c r="D2151" s="94">
        <v>3039.0</v>
      </c>
    </row>
    <row r="2152">
      <c r="A2152" s="40">
        <f t="array" ref="A2152">IFNA(index(PlayerValues!A:A,match(IFNA(vlookup(B2152,'Special Names'!A:B,2,FALSE),B2152),PlayerValues!E:E,0)),"N/A")</f>
        <v>15259</v>
      </c>
      <c r="B2152" s="4" t="s">
        <v>453</v>
      </c>
      <c r="C2152" s="4" t="s">
        <v>278</v>
      </c>
      <c r="D2152" s="94">
        <v>3023.0</v>
      </c>
    </row>
    <row r="2153">
      <c r="A2153" s="40">
        <f t="array" ref="A2153">IFNA(index(PlayerValues!A:A,match(IFNA(vlookup(B2153,'Special Names'!A:B,2,FALSE),B2153),PlayerValues!E:E,0)),"N/A")</f>
        <v>17082</v>
      </c>
      <c r="B2153" s="4" t="s">
        <v>498</v>
      </c>
      <c r="C2153" s="4" t="s">
        <v>287</v>
      </c>
      <c r="D2153" s="94">
        <v>3009.0</v>
      </c>
    </row>
    <row r="2154">
      <c r="A2154" s="40">
        <f t="array" ref="A2154">IFNA(index(PlayerValues!A:A,match(IFNA(vlookup(B2154,'Special Names'!A:B,2,FALSE),B2154),PlayerValues!E:E,0)),"N/A")</f>
        <v>15779</v>
      </c>
      <c r="B2154" s="4" t="s">
        <v>461</v>
      </c>
      <c r="C2154" s="4" t="s">
        <v>287</v>
      </c>
      <c r="D2154" s="94">
        <v>2988.0</v>
      </c>
    </row>
    <row r="2155">
      <c r="A2155" s="40">
        <f t="array" ref="A2155">IFNA(index(PlayerValues!A:A,match(IFNA(vlookup(B2155,'Special Names'!A:B,2,FALSE),B2155),PlayerValues!E:E,0)),"N/A")</f>
        <v>16193</v>
      </c>
      <c r="B2155" s="4" t="s">
        <v>487</v>
      </c>
      <c r="C2155" s="4" t="s">
        <v>287</v>
      </c>
      <c r="D2155" s="94">
        <v>2966.0</v>
      </c>
    </row>
    <row r="2156">
      <c r="A2156" s="40">
        <f t="array" ref="A2156">IFNA(index(PlayerValues!A:A,match(IFNA(vlookup(B2156,'Special Names'!A:B,2,FALSE),B2156),PlayerValues!E:E,0)),"N/A")</f>
        <v>15241</v>
      </c>
      <c r="B2156" s="4" t="s">
        <v>546</v>
      </c>
      <c r="C2156" s="4" t="s">
        <v>283</v>
      </c>
      <c r="D2156" s="94">
        <v>2931.0</v>
      </c>
    </row>
    <row r="2157">
      <c r="A2157" s="40">
        <f t="array" ref="A2157">IFNA(index(PlayerValues!A:A,match(IFNA(vlookup(B2157,'Special Names'!A:B,2,FALSE),B2157),PlayerValues!E:E,0)),"N/A")</f>
        <v>17106</v>
      </c>
      <c r="B2157" s="4" t="s">
        <v>550</v>
      </c>
      <c r="C2157" s="4" t="s">
        <v>298</v>
      </c>
      <c r="D2157" s="94">
        <v>3348.0</v>
      </c>
    </row>
    <row r="2158">
      <c r="A2158" s="40">
        <f t="array" ref="A2158">IFNA(index(PlayerValues!A:A,match(IFNA(vlookup(B2158,'Special Names'!A:B,2,FALSE),B2158),PlayerValues!E:E,0)),"N/A")</f>
        <v>16723</v>
      </c>
      <c r="B2158" s="4" t="s">
        <v>502</v>
      </c>
      <c r="C2158" s="4" t="s">
        <v>298</v>
      </c>
      <c r="D2158" s="94">
        <v>3338.0</v>
      </c>
    </row>
    <row r="2159">
      <c r="A2159" s="40">
        <f t="array" ref="A2159">IFNA(index(PlayerValues!A:A,match(IFNA(vlookup(B2159,'Special Names'!A:B,2,FALSE),B2159),PlayerValues!E:E,0)),"N/A")</f>
        <v>17256</v>
      </c>
      <c r="B2159" s="4" t="s">
        <v>462</v>
      </c>
      <c r="C2159" s="4" t="s">
        <v>278</v>
      </c>
      <c r="D2159" s="94">
        <v>2915.0</v>
      </c>
    </row>
    <row r="2160">
      <c r="A2160" s="40">
        <f t="array" ref="A2160">IFNA(index(PlayerValues!A:A,match(IFNA(vlookup(B2160,'Special Names'!A:B,2,FALSE),B2160),PlayerValues!E:E,0)),"N/A")</f>
        <v>14860</v>
      </c>
      <c r="B2160" s="4" t="s">
        <v>554</v>
      </c>
      <c r="C2160" s="4" t="s">
        <v>287</v>
      </c>
      <c r="D2160" s="94">
        <v>2910.0</v>
      </c>
    </row>
    <row r="2161">
      <c r="A2161" s="40">
        <f t="array" ref="A2161">IFNA(index(PlayerValues!A:A,match(IFNA(vlookup(B2161,'Special Names'!A:B,2,FALSE),B2161),PlayerValues!E:E,0)),"N/A")</f>
        <v>17107</v>
      </c>
      <c r="B2161" s="4" t="s">
        <v>478</v>
      </c>
      <c r="C2161" s="4" t="s">
        <v>298</v>
      </c>
      <c r="D2161" s="94">
        <v>3324.0</v>
      </c>
    </row>
    <row r="2162">
      <c r="A2162" s="40">
        <f t="array" ref="A2162">IFNA(index(PlayerValues!A:A,match(IFNA(vlookup(B2162,'Special Names'!A:B,2,FALSE),B2162),PlayerValues!E:E,0)),"N/A")</f>
        <v>11671</v>
      </c>
      <c r="B2162" s="4" t="s">
        <v>463</v>
      </c>
      <c r="C2162" s="4" t="s">
        <v>287</v>
      </c>
      <c r="D2162" s="94">
        <v>2902.0</v>
      </c>
    </row>
    <row r="2163">
      <c r="A2163" s="40">
        <f t="array" ref="A2163">IFNA(index(PlayerValues!A:A,match(IFNA(vlookup(B2163,'Special Names'!A:B,2,FALSE),B2163),PlayerValues!E:E,0)),"N/A")</f>
        <v>17463</v>
      </c>
      <c r="B2163" s="4" t="s">
        <v>433</v>
      </c>
      <c r="C2163" s="4" t="s">
        <v>283</v>
      </c>
      <c r="D2163" s="94">
        <v>2884.0</v>
      </c>
    </row>
    <row r="2164">
      <c r="A2164" s="40">
        <f t="array" ref="A2164">IFNA(index(PlayerValues!A:A,match(IFNA(vlookup(B2164,'Special Names'!A:B,2,FALSE),B2164),PlayerValues!E:E,0)),"N/A")</f>
        <v>16080</v>
      </c>
      <c r="B2164" s="4" t="s">
        <v>499</v>
      </c>
      <c r="C2164" s="4" t="s">
        <v>287</v>
      </c>
      <c r="D2164" s="94">
        <v>2876.0</v>
      </c>
    </row>
    <row r="2165">
      <c r="A2165" s="40">
        <f t="array" ref="A2165">IFNA(index(PlayerValues!A:A,match(IFNA(vlookup(B2165,'Special Names'!A:B,2,FALSE),B2165),PlayerValues!E:E,0)),"N/A")</f>
        <v>16628</v>
      </c>
      <c r="B2165" s="4" t="s">
        <v>490</v>
      </c>
      <c r="C2165" s="4" t="s">
        <v>287</v>
      </c>
      <c r="D2165" s="94">
        <v>2849.0</v>
      </c>
    </row>
    <row r="2166">
      <c r="A2166" s="40">
        <f t="array" ref="A2166">IFNA(index(PlayerValues!A:A,match(IFNA(vlookup(B2166,'Special Names'!A:B,2,FALSE),B2166),PlayerValues!E:E,0)),"N/A")</f>
        <v>17031</v>
      </c>
      <c r="B2166" s="4" t="s">
        <v>535</v>
      </c>
      <c r="C2166" s="4" t="s">
        <v>283</v>
      </c>
      <c r="D2166" s="94">
        <v>2842.0</v>
      </c>
    </row>
    <row r="2167">
      <c r="A2167" s="40">
        <f t="array" ref="A2167">IFNA(index(PlayerValues!A:A,match(IFNA(vlookup(B2167,'Special Names'!A:B,2,FALSE),B2167),PlayerValues!E:E,0)),"N/A")</f>
        <v>17073</v>
      </c>
      <c r="B2167" s="4" t="s">
        <v>547</v>
      </c>
      <c r="C2167" s="4" t="s">
        <v>287</v>
      </c>
      <c r="D2167" s="94">
        <v>2838.0</v>
      </c>
    </row>
    <row r="2168">
      <c r="A2168" s="40">
        <f t="array" ref="A2168">IFNA(index(PlayerValues!A:A,match(IFNA(vlookup(B2168,'Special Names'!A:B,2,FALSE),B2168),PlayerValues!E:E,0)),"N/A")</f>
        <v>17072</v>
      </c>
      <c r="B2168" s="4" t="s">
        <v>508</v>
      </c>
      <c r="C2168" s="4" t="s">
        <v>287</v>
      </c>
      <c r="D2168" s="94">
        <v>2837.0</v>
      </c>
    </row>
    <row r="2169">
      <c r="A2169" s="40">
        <f t="array" ref="A2169">IFNA(index(PlayerValues!A:A,match(IFNA(vlookup(B2169,'Special Names'!A:B,2,FALSE),B2169),PlayerValues!E:E,0)),"N/A")</f>
        <v>17157</v>
      </c>
      <c r="B2169" s="4" t="s">
        <v>524</v>
      </c>
      <c r="C2169" s="4" t="s">
        <v>287</v>
      </c>
      <c r="D2169" s="94">
        <v>2837.0</v>
      </c>
    </row>
    <row r="2170">
      <c r="A2170" s="40">
        <f t="array" ref="A2170">IFNA(index(PlayerValues!A:A,match(IFNA(vlookup(B2170,'Special Names'!A:B,2,FALSE),B2170),PlayerValues!E:E,0)),"N/A")</f>
        <v>17171</v>
      </c>
      <c r="B2170" s="4" t="s">
        <v>561</v>
      </c>
      <c r="C2170" s="4" t="s">
        <v>287</v>
      </c>
      <c r="D2170" s="94">
        <v>2836.0</v>
      </c>
    </row>
    <row r="2171">
      <c r="A2171" s="40" t="str">
        <f t="array" ref="A2171">IFNA(index(PlayerValues!A:A,match(IFNA(vlookup(B2171,'Special Names'!A:B,2,FALSE),B2171),PlayerValues!E:E,0)),"N/A")</f>
        <v>N/A</v>
      </c>
      <c r="B2171" s="4" t="s">
        <v>109</v>
      </c>
      <c r="C2171" s="4" t="s">
        <v>325</v>
      </c>
      <c r="D2171" s="94">
        <v>2833.0</v>
      </c>
    </row>
    <row r="2172">
      <c r="A2172" s="40">
        <f t="array" ref="A2172">IFNA(index(PlayerValues!A:A,match(IFNA(vlookup(B2172,'Special Names'!A:B,2,FALSE),B2172),PlayerValues!E:E,0)),"N/A")</f>
        <v>16596</v>
      </c>
      <c r="B2172" s="4" t="s">
        <v>501</v>
      </c>
      <c r="C2172" s="4" t="s">
        <v>278</v>
      </c>
      <c r="D2172" s="94">
        <v>2827.0</v>
      </c>
    </row>
    <row r="2173">
      <c r="A2173" s="40">
        <f t="array" ref="A2173">IFNA(index(PlayerValues!A:A,match(IFNA(vlookup(B2173,'Special Names'!A:B,2,FALSE),B2173),PlayerValues!E:E,0)),"N/A")</f>
        <v>14071</v>
      </c>
      <c r="B2173" s="4" t="s">
        <v>440</v>
      </c>
      <c r="C2173" s="4" t="s">
        <v>278</v>
      </c>
      <c r="D2173" s="94">
        <v>2825.0</v>
      </c>
    </row>
    <row r="2174">
      <c r="A2174" s="40">
        <f t="array" ref="A2174">IFNA(index(PlayerValues!A:A,match(IFNA(vlookup(B2174,'Special Names'!A:B,2,FALSE),B2174),PlayerValues!E:E,0)),"N/A")</f>
        <v>16165</v>
      </c>
      <c r="B2174" s="4" t="s">
        <v>520</v>
      </c>
      <c r="C2174" s="4" t="s">
        <v>278</v>
      </c>
      <c r="D2174" s="94">
        <v>2811.0</v>
      </c>
    </row>
    <row r="2175">
      <c r="A2175" s="40">
        <f t="array" ref="A2175">IFNA(index(PlayerValues!A:A,match(IFNA(vlookup(B2175,'Special Names'!A:B,2,FALSE),B2175),PlayerValues!E:E,0)),"N/A")</f>
        <v>16649</v>
      </c>
      <c r="B2175" s="4" t="s">
        <v>586</v>
      </c>
      <c r="C2175" s="4" t="s">
        <v>298</v>
      </c>
      <c r="D2175" s="94">
        <v>3215.0</v>
      </c>
    </row>
    <row r="2176">
      <c r="A2176" s="40">
        <f t="array" ref="A2176">IFNA(index(PlayerValues!A:A,match(IFNA(vlookup(B2176,'Special Names'!A:B,2,FALSE),B2176),PlayerValues!E:E,0)),"N/A")</f>
        <v>17080</v>
      </c>
      <c r="B2176" s="4" t="s">
        <v>532</v>
      </c>
      <c r="C2176" s="4" t="s">
        <v>287</v>
      </c>
      <c r="D2176" s="94">
        <v>2791.0</v>
      </c>
    </row>
    <row r="2177">
      <c r="A2177" s="40">
        <f t="array" ref="A2177">IFNA(index(PlayerValues!A:A,match(IFNA(vlookup(B2177,'Special Names'!A:B,2,FALSE),B2177),PlayerValues!E:E,0)),"N/A")</f>
        <v>14800</v>
      </c>
      <c r="B2177" s="4" t="s">
        <v>472</v>
      </c>
      <c r="C2177" s="4" t="s">
        <v>278</v>
      </c>
      <c r="D2177" s="94">
        <v>2788.0</v>
      </c>
    </row>
    <row r="2178">
      <c r="A2178" s="40">
        <f t="array" ref="A2178">IFNA(index(PlayerValues!A:A,match(IFNA(vlookup(B2178,'Special Names'!A:B,2,FALSE),B2178),PlayerValues!E:E,0)),"N/A")</f>
        <v>15255</v>
      </c>
      <c r="B2178" s="4" t="s">
        <v>477</v>
      </c>
      <c r="C2178" s="4" t="s">
        <v>278</v>
      </c>
      <c r="D2178" s="94">
        <v>2786.0</v>
      </c>
    </row>
    <row r="2179">
      <c r="A2179" s="40" t="str">
        <f t="array" ref="A2179">IFNA(index(PlayerValues!A:A,match(IFNA(vlookup(B2179,'Special Names'!A:B,2,FALSE),B2179),PlayerValues!E:E,0)),"N/A")</f>
        <v>N/A</v>
      </c>
      <c r="B2179" s="4" t="s">
        <v>85</v>
      </c>
      <c r="C2179" s="4" t="s">
        <v>325</v>
      </c>
      <c r="D2179" s="94">
        <v>2786.0</v>
      </c>
    </row>
    <row r="2180">
      <c r="A2180" s="40">
        <f t="array" ref="A2180">IFNA(index(PlayerValues!A:A,match(IFNA(vlookup(B2180,'Special Names'!A:B,2,FALSE),B2180),PlayerValues!E:E,0)),"N/A")</f>
        <v>13163</v>
      </c>
      <c r="B2180" s="4" t="s">
        <v>473</v>
      </c>
      <c r="C2180" s="4" t="s">
        <v>287</v>
      </c>
      <c r="D2180" s="94">
        <v>2785.0</v>
      </c>
    </row>
    <row r="2181">
      <c r="A2181" s="40">
        <f t="array" ref="A2181">IFNA(index(PlayerValues!A:A,match(IFNA(vlookup(B2181,'Special Names'!A:B,2,FALSE),B2181),PlayerValues!E:E,0)),"N/A")</f>
        <v>17098</v>
      </c>
      <c r="B2181" s="4" t="s">
        <v>533</v>
      </c>
      <c r="C2181" s="4" t="s">
        <v>287</v>
      </c>
      <c r="D2181" s="94">
        <v>2785.0</v>
      </c>
    </row>
    <row r="2182">
      <c r="A2182" s="40">
        <f t="array" ref="A2182">IFNA(index(PlayerValues!A:A,match(IFNA(vlookup(B2182,'Special Names'!A:B,2,FALSE),B2182),PlayerValues!E:E,0)),"N/A")</f>
        <v>16597</v>
      </c>
      <c r="B2182" s="4" t="s">
        <v>427</v>
      </c>
      <c r="C2182" s="4" t="s">
        <v>278</v>
      </c>
      <c r="D2182" s="94">
        <v>2784.0</v>
      </c>
    </row>
    <row r="2183">
      <c r="A2183" s="40">
        <f t="array" ref="A2183">IFNA(index(PlayerValues!A:A,match(IFNA(vlookup(B2183,'Special Names'!A:B,2,FALSE),B2183),PlayerValues!E:E,0)),"N/A")</f>
        <v>17134</v>
      </c>
      <c r="B2183" s="4" t="s">
        <v>548</v>
      </c>
      <c r="C2183" s="4" t="s">
        <v>287</v>
      </c>
      <c r="D2183" s="94">
        <v>2773.0</v>
      </c>
    </row>
    <row r="2184">
      <c r="A2184" s="40">
        <f t="array" ref="A2184">IFNA(index(PlayerValues!A:A,match(IFNA(vlookup(B2184,'Special Names'!A:B,2,FALSE),B2184),PlayerValues!E:E,0)),"N/A")</f>
        <v>17476</v>
      </c>
      <c r="B2184" s="4" t="s">
        <v>494</v>
      </c>
      <c r="C2184" s="4" t="s">
        <v>278</v>
      </c>
      <c r="D2184" s="94">
        <v>2758.0</v>
      </c>
    </row>
    <row r="2185">
      <c r="A2185" s="40">
        <f t="array" ref="A2185">IFNA(index(PlayerValues!A:A,match(IFNA(vlookup(B2185,'Special Names'!A:B,2,FALSE),B2185),PlayerValues!E:E,0)),"N/A")</f>
        <v>14138</v>
      </c>
      <c r="B2185" s="4" t="s">
        <v>531</v>
      </c>
      <c r="C2185" s="4" t="s">
        <v>298</v>
      </c>
      <c r="D2185" s="94">
        <v>3141.0</v>
      </c>
    </row>
    <row r="2186">
      <c r="A2186" s="40">
        <f t="array" ref="A2186">IFNA(index(PlayerValues!A:A,match(IFNA(vlookup(B2186,'Special Names'!A:B,2,FALSE),B2186),PlayerValues!E:E,0)),"N/A")</f>
        <v>16747</v>
      </c>
      <c r="B2186" s="4" t="s">
        <v>555</v>
      </c>
      <c r="C2186" s="4" t="s">
        <v>278</v>
      </c>
      <c r="D2186" s="94">
        <v>2713.0</v>
      </c>
    </row>
    <row r="2187">
      <c r="A2187" s="40">
        <f t="array" ref="A2187">IFNA(index(PlayerValues!A:A,match(IFNA(vlookup(B2187,'Special Names'!A:B,2,FALSE),B2187),PlayerValues!E:E,0)),"N/A")</f>
        <v>17048</v>
      </c>
      <c r="B2187" s="4" t="s">
        <v>539</v>
      </c>
      <c r="C2187" s="4" t="s">
        <v>278</v>
      </c>
      <c r="D2187" s="94">
        <v>2712.0</v>
      </c>
    </row>
    <row r="2188">
      <c r="A2188" s="40">
        <f t="array" ref="A2188">IFNA(index(PlayerValues!A:A,match(IFNA(vlookup(B2188,'Special Names'!A:B,2,FALSE),B2188),PlayerValues!E:E,0)),"N/A")</f>
        <v>16626</v>
      </c>
      <c r="B2188" s="4" t="s">
        <v>515</v>
      </c>
      <c r="C2188" s="4" t="s">
        <v>287</v>
      </c>
      <c r="D2188" s="94">
        <v>2709.0</v>
      </c>
    </row>
    <row r="2189">
      <c r="A2189" s="40">
        <f t="array" ref="A2189">IFNA(index(PlayerValues!A:A,match(IFNA(vlookup(B2189,'Special Names'!A:B,2,FALSE),B2189),PlayerValues!E:E,0)),"N/A")</f>
        <v>17047</v>
      </c>
      <c r="B2189" s="4" t="s">
        <v>510</v>
      </c>
      <c r="C2189" s="4" t="s">
        <v>278</v>
      </c>
      <c r="D2189" s="94">
        <v>2702.0</v>
      </c>
    </row>
    <row r="2190">
      <c r="A2190" s="40">
        <f t="array" ref="A2190">IFNA(index(PlayerValues!A:A,match(IFNA(vlookup(B2190,'Special Names'!A:B,2,FALSE),B2190),PlayerValues!E:E,0)),"N/A")</f>
        <v>14778</v>
      </c>
      <c r="B2190" s="4" t="s">
        <v>564</v>
      </c>
      <c r="C2190" s="4" t="s">
        <v>283</v>
      </c>
      <c r="D2190" s="94">
        <v>2698.0</v>
      </c>
    </row>
    <row r="2191">
      <c r="A2191" s="40">
        <f t="array" ref="A2191">IFNA(index(PlayerValues!A:A,match(IFNA(vlookup(B2191,'Special Names'!A:B,2,FALSE),B2191),PlayerValues!E:E,0)),"N/A")</f>
        <v>14085</v>
      </c>
      <c r="B2191" s="4" t="s">
        <v>489</v>
      </c>
      <c r="C2191" s="4" t="s">
        <v>278</v>
      </c>
      <c r="D2191" s="94">
        <v>2688.0</v>
      </c>
    </row>
    <row r="2192">
      <c r="A2192" s="40" t="str">
        <f t="array" ref="A2192">IFNA(index(PlayerValues!A:A,match(IFNA(vlookup(B2192,'Special Names'!A:B,2,FALSE),B2192),PlayerValues!E:E,0)),"N/A")</f>
        <v>N/A</v>
      </c>
      <c r="B2192" s="4" t="s">
        <v>110</v>
      </c>
      <c r="C2192" s="4" t="s">
        <v>325</v>
      </c>
      <c r="D2192" s="94">
        <v>2659.0</v>
      </c>
    </row>
    <row r="2193">
      <c r="A2193" s="40">
        <f t="array" ref="A2193">IFNA(index(PlayerValues!A:A,match(IFNA(vlookup(B2193,'Special Names'!A:B,2,FALSE),B2193),PlayerValues!E:E,0)),"N/A")</f>
        <v>12186</v>
      </c>
      <c r="B2193" s="4" t="s">
        <v>497</v>
      </c>
      <c r="C2193" s="4" t="s">
        <v>287</v>
      </c>
      <c r="D2193" s="94">
        <v>2655.0</v>
      </c>
    </row>
    <row r="2194">
      <c r="A2194" s="40">
        <f t="array" ref="A2194">IFNA(index(PlayerValues!A:A,match(IFNA(vlookup(B2194,'Special Names'!A:B,2,FALSE),B2194),PlayerValues!E:E,0)),"N/A")</f>
        <v>17046</v>
      </c>
      <c r="B2194" s="4" t="s">
        <v>602</v>
      </c>
      <c r="C2194" s="4" t="s">
        <v>278</v>
      </c>
      <c r="D2194" s="94">
        <v>2649.0</v>
      </c>
    </row>
    <row r="2195">
      <c r="A2195" s="40">
        <f t="array" ref="A2195">IFNA(index(PlayerValues!A:A,match(IFNA(vlookup(B2195,'Special Names'!A:B,2,FALSE),B2195),PlayerValues!E:E,0)),"N/A")</f>
        <v>14833</v>
      </c>
      <c r="B2195" s="4" t="s">
        <v>553</v>
      </c>
      <c r="C2195" s="4" t="s">
        <v>287</v>
      </c>
      <c r="D2195" s="94">
        <v>2647.0</v>
      </c>
    </row>
    <row r="2196">
      <c r="A2196" s="40">
        <f t="array" ref="A2196">IFNA(index(PlayerValues!A:A,match(IFNA(vlookup(B2196,'Special Names'!A:B,2,FALSE),B2196),PlayerValues!E:E,0)),"N/A")</f>
        <v>14840</v>
      </c>
      <c r="B2196" s="4" t="s">
        <v>731</v>
      </c>
      <c r="C2196" s="4" t="s">
        <v>287</v>
      </c>
      <c r="D2196" s="94">
        <v>2640.0</v>
      </c>
    </row>
    <row r="2197">
      <c r="A2197" s="40">
        <f t="array" ref="A2197">IFNA(index(PlayerValues!A:A,match(IFNA(vlookup(B2197,'Special Names'!A:B,2,FALSE),B2197),PlayerValues!E:E,0)),"N/A")</f>
        <v>15721</v>
      </c>
      <c r="B2197" s="4" t="s">
        <v>504</v>
      </c>
      <c r="C2197" s="4" t="s">
        <v>278</v>
      </c>
      <c r="D2197" s="94">
        <v>2636.0</v>
      </c>
    </row>
    <row r="2198">
      <c r="A2198" s="40">
        <f t="array" ref="A2198">IFNA(index(PlayerValues!A:A,match(IFNA(vlookup(B2198,'Special Names'!A:B,2,FALSE),B2198),PlayerValues!E:E,0)),"N/A")</f>
        <v>13192</v>
      </c>
      <c r="B2198" s="4" t="s">
        <v>563</v>
      </c>
      <c r="C2198" s="4" t="s">
        <v>298</v>
      </c>
      <c r="D2198" s="94">
        <v>3046.0</v>
      </c>
    </row>
    <row r="2199">
      <c r="A2199" s="40">
        <f t="array" ref="A2199">IFNA(index(PlayerValues!A:A,match(IFNA(vlookup(B2199,'Special Names'!A:B,2,FALSE),B2199),PlayerValues!E:E,0)),"N/A")</f>
        <v>17108</v>
      </c>
      <c r="B2199" s="4" t="s">
        <v>542</v>
      </c>
      <c r="C2199" s="4" t="s">
        <v>298</v>
      </c>
      <c r="D2199" s="94">
        <v>3042.0</v>
      </c>
    </row>
    <row r="2200">
      <c r="A2200" s="40">
        <f t="array" ref="A2200">IFNA(index(PlayerValues!A:A,match(IFNA(vlookup(B2200,'Special Names'!A:B,2,FALSE),B2200),PlayerValues!E:E,0)),"N/A")</f>
        <v>16757</v>
      </c>
      <c r="B2200" s="4" t="s">
        <v>558</v>
      </c>
      <c r="C2200" s="4" t="s">
        <v>278</v>
      </c>
      <c r="D2200" s="94">
        <v>2611.0</v>
      </c>
    </row>
    <row r="2201">
      <c r="A2201" s="40" t="str">
        <f t="array" ref="A2201">IFNA(index(PlayerValues!A:A,match(IFNA(vlookup(B2201,'Special Names'!A:B,2,FALSE),B2201),PlayerValues!E:E,0)),"N/A")</f>
        <v>N/A</v>
      </c>
      <c r="B2201" s="4" t="s">
        <v>557</v>
      </c>
      <c r="C2201" s="4" t="s">
        <v>278</v>
      </c>
      <c r="D2201" s="94">
        <v>2593.0</v>
      </c>
    </row>
    <row r="2202">
      <c r="A2202" s="40">
        <f t="array" ref="A2202">IFNA(index(PlayerValues!A:A,match(IFNA(vlookup(B2202,'Special Names'!A:B,2,FALSE),B2202),PlayerValues!E:E,0)),"N/A")</f>
        <v>16152</v>
      </c>
      <c r="B2202" s="4" t="s">
        <v>601</v>
      </c>
      <c r="C2202" s="4" t="s">
        <v>283</v>
      </c>
      <c r="D2202" s="94">
        <v>2585.0</v>
      </c>
    </row>
    <row r="2203">
      <c r="A2203" s="40">
        <f t="array" ref="A2203">IFNA(index(PlayerValues!A:A,match(IFNA(vlookup(B2203,'Special Names'!A:B,2,FALSE),B2203),PlayerValues!E:E,0)),"N/A")</f>
        <v>13674</v>
      </c>
      <c r="B2203" s="4" t="s">
        <v>511</v>
      </c>
      <c r="C2203" s="4" t="s">
        <v>298</v>
      </c>
      <c r="D2203" s="94">
        <v>2993.0</v>
      </c>
    </row>
    <row r="2204">
      <c r="A2204" s="40">
        <f t="array" ref="A2204">IFNA(index(PlayerValues!A:A,match(IFNA(vlookup(B2204,'Special Names'!A:B,2,FALSE),B2204),PlayerValues!E:E,0)),"N/A")</f>
        <v>17078</v>
      </c>
      <c r="B2204" s="4" t="s">
        <v>543</v>
      </c>
      <c r="C2204" s="4" t="s">
        <v>287</v>
      </c>
      <c r="D2204" s="94">
        <v>2566.0</v>
      </c>
    </row>
    <row r="2205">
      <c r="A2205" s="40">
        <f t="array" ref="A2205">IFNA(index(PlayerValues!A:A,match(IFNA(vlookup(B2205,'Special Names'!A:B,2,FALSE),B2205),PlayerValues!E:E,0)),"N/A")</f>
        <v>16166</v>
      </c>
      <c r="B2205" s="4" t="s">
        <v>567</v>
      </c>
      <c r="C2205" s="4" t="s">
        <v>278</v>
      </c>
      <c r="D2205" s="94">
        <v>2565.0</v>
      </c>
    </row>
    <row r="2206">
      <c r="A2206" s="40">
        <f t="array" ref="A2206">IFNA(index(PlayerValues!A:A,match(IFNA(vlookup(B2206,'Special Names'!A:B,2,FALSE),B2206),PlayerValues!E:E,0)),"N/A")</f>
        <v>13671</v>
      </c>
      <c r="B2206" s="4" t="s">
        <v>506</v>
      </c>
      <c r="C2206" s="4" t="s">
        <v>298</v>
      </c>
      <c r="D2206" s="94">
        <v>2968.0</v>
      </c>
    </row>
    <row r="2207">
      <c r="A2207" s="40">
        <f t="array" ref="A2207">IFNA(index(PlayerValues!A:A,match(IFNA(vlookup(B2207,'Special Names'!A:B,2,FALSE),B2207),PlayerValues!E:E,0)),"N/A")</f>
        <v>17505</v>
      </c>
      <c r="B2207" s="4" t="s">
        <v>528</v>
      </c>
      <c r="C2207" s="4" t="s">
        <v>287</v>
      </c>
      <c r="D2207" s="94">
        <v>2559.0</v>
      </c>
    </row>
    <row r="2208">
      <c r="A2208" s="40">
        <f t="array" ref="A2208">IFNA(index(PlayerValues!A:A,match(IFNA(vlookup(B2208,'Special Names'!A:B,2,FALSE),B2208),PlayerValues!E:E,0)),"N/A")</f>
        <v>14136</v>
      </c>
      <c r="B2208" s="4" t="s">
        <v>536</v>
      </c>
      <c r="C2208" s="4" t="s">
        <v>287</v>
      </c>
      <c r="D2208" s="94">
        <v>2551.0</v>
      </c>
    </row>
    <row r="2209">
      <c r="A2209" s="40">
        <f t="array" ref="A2209">IFNA(index(PlayerValues!A:A,match(IFNA(vlookup(B2209,'Special Names'!A:B,2,FALSE),B2209),PlayerValues!E:E,0)),"N/A")</f>
        <v>16189</v>
      </c>
      <c r="B2209" s="4" t="s">
        <v>582</v>
      </c>
      <c r="C2209" s="4" t="s">
        <v>287</v>
      </c>
      <c r="D2209" s="94">
        <v>2541.0</v>
      </c>
    </row>
    <row r="2210">
      <c r="A2210" s="40">
        <f t="array" ref="A2210">IFNA(index(PlayerValues!A:A,match(IFNA(vlookup(B2210,'Special Names'!A:B,2,FALSE),B2210),PlayerValues!E:E,0)),"N/A")</f>
        <v>16164</v>
      </c>
      <c r="B2210" s="4" t="s">
        <v>512</v>
      </c>
      <c r="C2210" s="4" t="s">
        <v>278</v>
      </c>
      <c r="D2210" s="94">
        <v>2523.0</v>
      </c>
    </row>
    <row r="2211">
      <c r="A2211" s="40">
        <f t="array" ref="A2211">IFNA(index(PlayerValues!A:A,match(IFNA(vlookup(B2211,'Special Names'!A:B,2,FALSE),B2211),PlayerValues!E:E,0)),"N/A")</f>
        <v>16617</v>
      </c>
      <c r="B2211" s="4" t="s">
        <v>541</v>
      </c>
      <c r="C2211" s="4" t="s">
        <v>287</v>
      </c>
      <c r="D2211" s="94">
        <v>2514.0</v>
      </c>
    </row>
    <row r="2212">
      <c r="A2212" s="40">
        <f t="array" ref="A2212">IFNA(index(PlayerValues!A:A,match(IFNA(vlookup(B2212,'Special Names'!A:B,2,FALSE),B2212),PlayerValues!E:E,0)),"N/A")</f>
        <v>12616</v>
      </c>
      <c r="B2212" s="4" t="s">
        <v>529</v>
      </c>
      <c r="C2212" s="4" t="s">
        <v>283</v>
      </c>
      <c r="D2212" s="94">
        <v>2503.0</v>
      </c>
    </row>
    <row r="2213">
      <c r="A2213" s="40">
        <f t="array" ref="A2213">IFNA(index(PlayerValues!A:A,match(IFNA(vlookup(B2213,'Special Names'!A:B,2,FALSE),B2213),PlayerValues!E:E,0)),"N/A")</f>
        <v>15972</v>
      </c>
      <c r="B2213" s="4" t="s">
        <v>469</v>
      </c>
      <c r="C2213" s="4" t="s">
        <v>278</v>
      </c>
      <c r="D2213" s="94">
        <v>2477.0</v>
      </c>
    </row>
    <row r="2214">
      <c r="A2214" s="40" t="str">
        <f t="array" ref="A2214">IFNA(index(PlayerValues!A:A,match(IFNA(vlookup(B2214,'Special Names'!A:B,2,FALSE),B2214),PlayerValues!E:E,0)),"N/A")</f>
        <v>N/A</v>
      </c>
      <c r="B2214" s="4" t="s">
        <v>98</v>
      </c>
      <c r="C2214" s="4" t="s">
        <v>325</v>
      </c>
      <c r="D2214" s="94">
        <v>2468.0</v>
      </c>
    </row>
    <row r="2215">
      <c r="A2215" s="40">
        <f t="array" ref="A2215">IFNA(index(PlayerValues!A:A,match(IFNA(vlookup(B2215,'Special Names'!A:B,2,FALSE),B2215),PlayerValues!E:E,0)),"N/A")</f>
        <v>17474</v>
      </c>
      <c r="B2215" s="4" t="s">
        <v>513</v>
      </c>
      <c r="C2215" s="4" t="s">
        <v>278</v>
      </c>
      <c r="D2215" s="94">
        <v>2468.0</v>
      </c>
    </row>
    <row r="2216">
      <c r="A2216" s="40">
        <f t="array" ref="A2216">IFNA(index(PlayerValues!A:A,match(IFNA(vlookup(B2216,'Special Names'!A:B,2,FALSE),B2216),PlayerValues!E:E,0)),"N/A")</f>
        <v>16287</v>
      </c>
      <c r="B2216" s="4" t="s">
        <v>516</v>
      </c>
      <c r="C2216" s="4" t="s">
        <v>287</v>
      </c>
      <c r="D2216" s="94">
        <v>2466.0</v>
      </c>
    </row>
    <row r="2217">
      <c r="A2217" s="40">
        <f t="array" ref="A2217">IFNA(index(PlayerValues!A:A,match(IFNA(vlookup(B2217,'Special Names'!A:B,2,FALSE),B2217),PlayerValues!E:E,0)),"N/A")</f>
        <v>17033</v>
      </c>
      <c r="B2217" s="4" t="s">
        <v>570</v>
      </c>
      <c r="C2217" s="4" t="s">
        <v>283</v>
      </c>
      <c r="D2217" s="94">
        <v>2437.0</v>
      </c>
    </row>
    <row r="2218">
      <c r="A2218" s="40">
        <f t="array" ref="A2218">IFNA(index(PlayerValues!A:A,match(IFNA(vlookup(B2218,'Special Names'!A:B,2,FALSE),B2218),PlayerValues!E:E,0)),"N/A")</f>
        <v>16204</v>
      </c>
      <c r="B2218" s="4" t="s">
        <v>530</v>
      </c>
      <c r="C2218" s="4" t="s">
        <v>287</v>
      </c>
      <c r="D2218" s="94">
        <v>2424.0</v>
      </c>
    </row>
    <row r="2219">
      <c r="A2219" s="40">
        <f t="array" ref="A2219">IFNA(index(PlayerValues!A:A,match(IFNA(vlookup(B2219,'Special Names'!A:B,2,FALSE),B2219),PlayerValues!E:E,0)),"N/A")</f>
        <v>14861</v>
      </c>
      <c r="B2219" s="4" t="s">
        <v>523</v>
      </c>
      <c r="C2219" s="4" t="s">
        <v>298</v>
      </c>
      <c r="D2219" s="94">
        <v>2825.0</v>
      </c>
    </row>
    <row r="2220">
      <c r="A2220" s="40">
        <f t="array" ref="A2220">IFNA(index(PlayerValues!A:A,match(IFNA(vlookup(B2220,'Special Names'!A:B,2,FALSE),B2220),PlayerValues!E:E,0)),"N/A")</f>
        <v>12676</v>
      </c>
      <c r="B2220" s="4" t="s">
        <v>537</v>
      </c>
      <c r="C2220" s="4" t="s">
        <v>298</v>
      </c>
      <c r="D2220" s="94">
        <v>2813.0</v>
      </c>
    </row>
    <row r="2221">
      <c r="A2221" s="40">
        <f t="array" ref="A2221">IFNA(index(PlayerValues!A:A,match(IFNA(vlookup(B2221,'Special Names'!A:B,2,FALSE),B2221),PlayerValues!E:E,0)),"N/A")</f>
        <v>17105</v>
      </c>
      <c r="B2221" s="4" t="s">
        <v>525</v>
      </c>
      <c r="C2221" s="4" t="s">
        <v>298</v>
      </c>
      <c r="D2221" s="94">
        <v>2809.0</v>
      </c>
    </row>
    <row r="2222">
      <c r="A2222" s="40">
        <f t="array" ref="A2222">IFNA(index(PlayerValues!A:A,match(IFNA(vlookup(B2222,'Special Names'!A:B,2,FALSE),B2222),PlayerValues!E:E,0)),"N/A")</f>
        <v>17507</v>
      </c>
      <c r="B2222" s="4" t="s">
        <v>495</v>
      </c>
      <c r="C2222" s="4" t="s">
        <v>287</v>
      </c>
      <c r="D2222" s="94">
        <v>2400.0</v>
      </c>
    </row>
    <row r="2223">
      <c r="A2223" s="40">
        <f t="array" ref="A2223">IFNA(index(PlayerValues!A:A,match(IFNA(vlookup(B2223,'Special Names'!A:B,2,FALSE),B2223),PlayerValues!E:E,0)),"N/A")</f>
        <v>16610</v>
      </c>
      <c r="B2223" s="4" t="s">
        <v>562</v>
      </c>
      <c r="C2223" s="4" t="s">
        <v>278</v>
      </c>
      <c r="D2223" s="94">
        <v>2394.0</v>
      </c>
    </row>
    <row r="2224">
      <c r="A2224" s="40">
        <f t="array" ref="A2224">IFNA(index(PlayerValues!A:A,match(IFNA(vlookup(B2224,'Special Names'!A:B,2,FALSE),B2224),PlayerValues!E:E,0)),"N/A")</f>
        <v>17511</v>
      </c>
      <c r="B2224" s="4" t="s">
        <v>485</v>
      </c>
      <c r="C2224" s="4" t="s">
        <v>287</v>
      </c>
      <c r="D2224" s="94">
        <v>2376.0</v>
      </c>
    </row>
    <row r="2225">
      <c r="A2225" s="40">
        <f t="array" ref="A2225">IFNA(index(PlayerValues!A:A,match(IFNA(vlookup(B2225,'Special Names'!A:B,2,FALSE),B2225),PlayerValues!E:E,0)),"N/A")</f>
        <v>15716</v>
      </c>
      <c r="B2225" s="4" t="s">
        <v>545</v>
      </c>
      <c r="C2225" s="4" t="s">
        <v>278</v>
      </c>
      <c r="D2225" s="94">
        <v>2360.0</v>
      </c>
    </row>
    <row r="2226">
      <c r="A2226" s="40">
        <f t="array" ref="A2226">IFNA(index(PlayerValues!A:A,match(IFNA(vlookup(B2226,'Special Names'!A:B,2,FALSE),B2226),PlayerValues!E:E,0)),"N/A")</f>
        <v>17464</v>
      </c>
      <c r="B2226" s="4" t="s">
        <v>828</v>
      </c>
      <c r="C2226" s="4" t="s">
        <v>283</v>
      </c>
      <c r="D2226" s="94">
        <v>2358.0</v>
      </c>
    </row>
    <row r="2227">
      <c r="A2227" s="40">
        <f t="array" ref="A2227">IFNA(index(PlayerValues!A:A,match(IFNA(vlookup(B2227,'Special Names'!A:B,2,FALSE),B2227),PlayerValues!E:E,0)),"N/A")</f>
        <v>13132</v>
      </c>
      <c r="B2227" s="4" t="s">
        <v>598</v>
      </c>
      <c r="C2227" s="4" t="s">
        <v>278</v>
      </c>
      <c r="D2227" s="94">
        <v>2357.0</v>
      </c>
    </row>
    <row r="2228">
      <c r="A2228" s="40">
        <f t="array" ref="A2228">IFNA(index(PlayerValues!A:A,match(IFNA(vlookup(B2228,'Special Names'!A:B,2,FALSE),B2228),PlayerValues!E:E,0)),"N/A")</f>
        <v>15802</v>
      </c>
      <c r="B2228" s="4" t="s">
        <v>566</v>
      </c>
      <c r="C2228" s="4" t="s">
        <v>298</v>
      </c>
      <c r="D2228" s="94">
        <v>2749.0</v>
      </c>
    </row>
    <row r="2229">
      <c r="A2229" s="40">
        <f t="array" ref="A2229">IFNA(index(PlayerValues!A:A,match(IFNA(vlookup(B2229,'Special Names'!A:B,2,FALSE),B2229),PlayerValues!E:E,0)),"N/A")</f>
        <v>16178</v>
      </c>
      <c r="B2229" s="4" t="s">
        <v>507</v>
      </c>
      <c r="C2229" s="4" t="s">
        <v>278</v>
      </c>
      <c r="D2229" s="94">
        <v>2347.0</v>
      </c>
    </row>
    <row r="2230">
      <c r="A2230" s="40" t="str">
        <f t="array" ref="A2230">IFNA(index(PlayerValues!A:A,match(IFNA(vlookup(B2230,'Special Names'!A:B,2,FALSE),B2230),PlayerValues!E:E,0)),"N/A")</f>
        <v>N/A</v>
      </c>
      <c r="B2230" s="4" t="s">
        <v>86</v>
      </c>
      <c r="C2230" s="4" t="s">
        <v>325</v>
      </c>
      <c r="D2230" s="94">
        <v>2341.0</v>
      </c>
    </row>
    <row r="2231">
      <c r="A2231" s="40">
        <f t="array" ref="A2231">IFNA(index(PlayerValues!A:A,match(IFNA(vlookup(B2231,'Special Names'!A:B,2,FALSE),B2231),PlayerValues!E:E,0)),"N/A")</f>
        <v>13772</v>
      </c>
      <c r="B2231" s="4" t="s">
        <v>544</v>
      </c>
      <c r="C2231" s="4" t="s">
        <v>298</v>
      </c>
      <c r="D2231" s="94">
        <v>2738.0</v>
      </c>
    </row>
    <row r="2232">
      <c r="A2232" s="40">
        <f t="array" ref="A2232">IFNA(index(PlayerValues!A:A,match(IFNA(vlookup(B2232,'Special Names'!A:B,2,FALSE),B2232),PlayerValues!E:E,0)),"N/A")</f>
        <v>17079</v>
      </c>
      <c r="B2232" s="4" t="s">
        <v>572</v>
      </c>
      <c r="C2232" s="4" t="s">
        <v>287</v>
      </c>
      <c r="D2232" s="94">
        <v>2320.0</v>
      </c>
    </row>
    <row r="2233">
      <c r="A2233" s="40">
        <f t="array" ref="A2233">IFNA(index(PlayerValues!A:A,match(IFNA(vlookup(B2233,'Special Names'!A:B,2,FALSE),B2233),PlayerValues!E:E,0)),"N/A")</f>
        <v>16212</v>
      </c>
      <c r="B2233" s="4" t="s">
        <v>568</v>
      </c>
      <c r="C2233" s="4" t="s">
        <v>298</v>
      </c>
      <c r="D2233" s="94">
        <v>2712.0</v>
      </c>
    </row>
    <row r="2234">
      <c r="A2234" s="40">
        <f t="array" ref="A2234">IFNA(index(PlayerValues!A:A,match(IFNA(vlookup(B2234,'Special Names'!A:B,2,FALSE),B2234),PlayerValues!E:E,0)),"N/A")</f>
        <v>17049</v>
      </c>
      <c r="B2234" s="4" t="s">
        <v>624</v>
      </c>
      <c r="C2234" s="4" t="s">
        <v>278</v>
      </c>
      <c r="D2234" s="94">
        <v>2307.0</v>
      </c>
    </row>
    <row r="2235">
      <c r="A2235" s="40">
        <f t="array" ref="A2235">IFNA(index(PlayerValues!A:A,match(IFNA(vlookup(B2235,'Special Names'!A:B,2,FALSE),B2235),PlayerValues!E:E,0)),"N/A")</f>
        <v>12801</v>
      </c>
      <c r="B2235" s="4" t="s">
        <v>722</v>
      </c>
      <c r="C2235" s="4" t="s">
        <v>287</v>
      </c>
      <c r="D2235" s="94">
        <v>2306.0</v>
      </c>
    </row>
    <row r="2236">
      <c r="A2236" s="40" t="str">
        <f t="array" ref="A2236">IFNA(index(PlayerValues!A:A,match(IFNA(vlookup(B2236,'Special Names'!A:B,2,FALSE),B2236),PlayerValues!E:E,0)),"N/A")</f>
        <v>N/A</v>
      </c>
      <c r="B2236" s="4" t="s">
        <v>99</v>
      </c>
      <c r="C2236" s="4" t="s">
        <v>325</v>
      </c>
      <c r="D2236" s="94">
        <v>2298.0</v>
      </c>
    </row>
    <row r="2237">
      <c r="A2237" s="40">
        <f t="array" ref="A2237">IFNA(index(PlayerValues!A:A,match(IFNA(vlookup(B2237,'Special Names'!A:B,2,FALSE),B2237),PlayerValues!E:E,0)),"N/A")</f>
        <v>17034</v>
      </c>
      <c r="B2237" s="4" t="s">
        <v>643</v>
      </c>
      <c r="C2237" s="4" t="s">
        <v>283</v>
      </c>
      <c r="D2237" s="94">
        <v>2297.0</v>
      </c>
    </row>
    <row r="2238">
      <c r="A2238" s="40">
        <f t="array" ref="A2238">IFNA(index(PlayerValues!A:A,match(IFNA(vlookup(B2238,'Special Names'!A:B,2,FALSE),B2238),PlayerValues!E:E,0)),"N/A")</f>
        <v>16036</v>
      </c>
      <c r="B2238" s="4" t="s">
        <v>592</v>
      </c>
      <c r="C2238" s="4" t="s">
        <v>298</v>
      </c>
      <c r="D2238" s="94">
        <v>2664.0</v>
      </c>
    </row>
    <row r="2239">
      <c r="A2239" s="40">
        <f t="array" ref="A2239">IFNA(index(PlayerValues!A:A,match(IFNA(vlookup(B2239,'Special Names'!A:B,2,FALSE),B2239),PlayerValues!E:E,0)),"N/A")</f>
        <v>17076</v>
      </c>
      <c r="B2239" s="4" t="s">
        <v>585</v>
      </c>
      <c r="C2239" s="4" t="s">
        <v>287</v>
      </c>
      <c r="D2239" s="94">
        <v>2268.0</v>
      </c>
    </row>
    <row r="2240">
      <c r="A2240" s="40">
        <f t="array" ref="A2240">IFNA(index(PlayerValues!A:A,match(IFNA(vlookup(B2240,'Special Names'!A:B,2,FALSE),B2240),PlayerValues!E:E,0)),"N/A")</f>
        <v>17544</v>
      </c>
      <c r="B2240" s="4" t="s">
        <v>470</v>
      </c>
      <c r="C2240" s="4" t="s">
        <v>298</v>
      </c>
      <c r="D2240" s="94">
        <v>2664.0</v>
      </c>
    </row>
    <row r="2241">
      <c r="A2241" s="40">
        <f t="array" ref="A2241">IFNA(index(PlayerValues!A:A,match(IFNA(vlookup(B2241,'Special Names'!A:B,2,FALSE),B2241),PlayerValues!E:E,0)),"N/A")</f>
        <v>16171</v>
      </c>
      <c r="B2241" s="4" t="s">
        <v>618</v>
      </c>
      <c r="C2241" s="4" t="s">
        <v>278</v>
      </c>
      <c r="D2241" s="94">
        <v>2255.0</v>
      </c>
    </row>
    <row r="2242">
      <c r="A2242" s="40">
        <f t="array" ref="A2242">IFNA(index(PlayerValues!A:A,match(IFNA(vlookup(B2242,'Special Names'!A:B,2,FALSE),B2242),PlayerValues!E:E,0)),"N/A")</f>
        <v>16342</v>
      </c>
      <c r="B2242" s="4" t="s">
        <v>583</v>
      </c>
      <c r="C2242" s="4" t="s">
        <v>287</v>
      </c>
      <c r="D2242" s="94">
        <v>2218.0</v>
      </c>
    </row>
    <row r="2243">
      <c r="A2243" s="40">
        <f t="array" ref="A2243">IFNA(index(PlayerValues!A:A,match(IFNA(vlookup(B2243,'Special Names'!A:B,2,FALSE),B2243),PlayerValues!E:E,0)),"N/A")</f>
        <v>13319</v>
      </c>
      <c r="B2243" s="4" t="s">
        <v>549</v>
      </c>
      <c r="C2243" s="4" t="s">
        <v>278</v>
      </c>
      <c r="D2243" s="94">
        <v>2217.0</v>
      </c>
    </row>
    <row r="2244">
      <c r="A2244" s="40">
        <f t="array" ref="A2244">IFNA(index(PlayerValues!A:A,match(IFNA(vlookup(B2244,'Special Names'!A:B,2,FALSE),B2244),PlayerValues!E:E,0)),"N/A")</f>
        <v>17506</v>
      </c>
      <c r="B2244" s="4" t="s">
        <v>471</v>
      </c>
      <c r="C2244" s="4" t="s">
        <v>287</v>
      </c>
      <c r="D2244" s="94">
        <v>2209.0</v>
      </c>
    </row>
    <row r="2245">
      <c r="A2245" s="40">
        <f t="array" ref="A2245">IFNA(index(PlayerValues!A:A,match(IFNA(vlookup(B2245,'Special Names'!A:B,2,FALSE),B2245),PlayerValues!E:E,0)),"N/A")</f>
        <v>17509</v>
      </c>
      <c r="B2245" s="4" t="s">
        <v>551</v>
      </c>
      <c r="C2245" s="4" t="s">
        <v>287</v>
      </c>
      <c r="D2245" s="94">
        <v>2209.0</v>
      </c>
    </row>
    <row r="2246">
      <c r="A2246" s="40">
        <f t="array" ref="A2246">IFNA(index(PlayerValues!A:A,match(IFNA(vlookup(B2246,'Special Names'!A:B,2,FALSE),B2246),PlayerValues!E:E,0)),"N/A")</f>
        <v>16639</v>
      </c>
      <c r="B2246" s="4" t="s">
        <v>599</v>
      </c>
      <c r="C2246" s="4" t="s">
        <v>287</v>
      </c>
      <c r="D2246" s="94">
        <v>2206.0</v>
      </c>
    </row>
    <row r="2247">
      <c r="A2247" s="40">
        <f t="array" ref="A2247">IFNA(index(PlayerValues!A:A,match(IFNA(vlookup(B2247,'Special Names'!A:B,2,FALSE),B2247),PlayerValues!E:E,0)),"N/A")</f>
        <v>16195</v>
      </c>
      <c r="B2247" s="4" t="s">
        <v>509</v>
      </c>
      <c r="C2247" s="4" t="s">
        <v>287</v>
      </c>
      <c r="D2247" s="94">
        <v>2204.0</v>
      </c>
    </row>
    <row r="2248">
      <c r="A2248" s="40">
        <f t="array" ref="A2248">IFNA(index(PlayerValues!A:A,match(IFNA(vlookup(B2248,'Special Names'!A:B,2,FALSE),B2248),PlayerValues!E:E,0)),"N/A")</f>
        <v>15889</v>
      </c>
      <c r="B2248" s="4" t="s">
        <v>503</v>
      </c>
      <c r="C2248" s="4" t="s">
        <v>298</v>
      </c>
      <c r="D2248" s="94">
        <v>2593.0</v>
      </c>
    </row>
    <row r="2249">
      <c r="A2249" s="40">
        <f t="array" ref="A2249">IFNA(index(PlayerValues!A:A,match(IFNA(vlookup(B2249,'Special Names'!A:B,2,FALSE),B2249),PlayerValues!E:E,0)),"N/A")</f>
        <v>16684</v>
      </c>
      <c r="B2249" s="4" t="s">
        <v>500</v>
      </c>
      <c r="C2249" s="4" t="s">
        <v>287</v>
      </c>
      <c r="D2249" s="94">
        <v>2194.0</v>
      </c>
    </row>
    <row r="2250">
      <c r="A2250" s="40" t="str">
        <f t="array" ref="A2250">IFNA(index(PlayerValues!A:A,match(IFNA(vlookup(B2250,'Special Names'!A:B,2,FALSE),B2250),PlayerValues!E:E,0)),"N/A")</f>
        <v>N/A</v>
      </c>
      <c r="B2250" s="4" t="s">
        <v>100</v>
      </c>
      <c r="C2250" s="4" t="s">
        <v>325</v>
      </c>
      <c r="D2250" s="94">
        <v>2171.0</v>
      </c>
    </row>
    <row r="2251">
      <c r="A2251" s="40" t="str">
        <f t="array" ref="A2251">IFNA(index(PlayerValues!A:A,match(IFNA(vlookup(B2251,'Special Names'!A:B,2,FALSE),B2251),PlayerValues!E:E,0)),"N/A")</f>
        <v>N/A</v>
      </c>
      <c r="B2251" s="4" t="s">
        <v>87</v>
      </c>
      <c r="C2251" s="4" t="s">
        <v>325</v>
      </c>
      <c r="D2251" s="94">
        <v>2166.0</v>
      </c>
    </row>
    <row r="2252">
      <c r="A2252" s="40">
        <f t="array" ref="A2252">IFNA(index(PlayerValues!A:A,match(IFNA(vlookup(B2252,'Special Names'!A:B,2,FALSE),B2252),PlayerValues!E:E,0)),"N/A")</f>
        <v>16752</v>
      </c>
      <c r="B2252" s="4" t="s">
        <v>597</v>
      </c>
      <c r="C2252" s="4" t="s">
        <v>278</v>
      </c>
      <c r="D2252" s="94">
        <v>2162.0</v>
      </c>
    </row>
    <row r="2253">
      <c r="A2253" s="40">
        <f t="array" ref="A2253">IFNA(index(PlayerValues!A:A,match(IFNA(vlookup(B2253,'Special Names'!A:B,2,FALSE),B2253),PlayerValues!E:E,0)),"N/A")</f>
        <v>17087</v>
      </c>
      <c r="B2253" s="4" t="s">
        <v>600</v>
      </c>
      <c r="C2253" s="4" t="s">
        <v>287</v>
      </c>
      <c r="D2253" s="94">
        <v>2148.0</v>
      </c>
    </row>
    <row r="2254">
      <c r="A2254" s="40" t="str">
        <f t="array" ref="A2254">IFNA(index(PlayerValues!A:A,match(IFNA(vlookup(B2254,'Special Names'!A:B,2,FALSE),B2254),PlayerValues!E:E,0)),"N/A")</f>
        <v>N/A</v>
      </c>
      <c r="B2254" s="4" t="s">
        <v>112</v>
      </c>
      <c r="C2254" s="4" t="s">
        <v>325</v>
      </c>
      <c r="D2254" s="94">
        <v>2148.0</v>
      </c>
    </row>
    <row r="2255">
      <c r="A2255" s="40">
        <f t="array" ref="A2255">IFNA(index(PlayerValues!A:A,match(IFNA(vlookup(B2255,'Special Names'!A:B,2,FALSE),B2255),PlayerValues!E:E,0)),"N/A")</f>
        <v>15749</v>
      </c>
      <c r="B2255" s="4" t="s">
        <v>574</v>
      </c>
      <c r="C2255" s="4" t="s">
        <v>278</v>
      </c>
      <c r="D2255" s="94">
        <v>2146.0</v>
      </c>
    </row>
    <row r="2256">
      <c r="A2256" s="40">
        <f t="array" ref="A2256">IFNA(index(PlayerValues!A:A,match(IFNA(vlookup(B2256,'Special Names'!A:B,2,FALSE),B2256),PlayerValues!E:E,0)),"N/A")</f>
        <v>16191</v>
      </c>
      <c r="B2256" s="4" t="s">
        <v>666</v>
      </c>
      <c r="C2256" s="4" t="s">
        <v>287</v>
      </c>
      <c r="D2256" s="94">
        <v>2141.0</v>
      </c>
    </row>
    <row r="2257">
      <c r="A2257" s="40">
        <f t="array" ref="A2257">IFNA(index(PlayerValues!A:A,match(IFNA(vlookup(B2257,'Special Names'!A:B,2,FALSE),B2257),PlayerValues!E:E,0)),"N/A")</f>
        <v>17069</v>
      </c>
      <c r="B2257" s="4" t="s">
        <v>604</v>
      </c>
      <c r="C2257" s="4" t="s">
        <v>278</v>
      </c>
      <c r="D2257" s="94">
        <v>2136.0</v>
      </c>
    </row>
    <row r="2258">
      <c r="A2258" s="40">
        <f t="array" ref="A2258">IFNA(index(PlayerValues!A:A,match(IFNA(vlookup(B2258,'Special Names'!A:B,2,FALSE),B2258),PlayerValues!E:E,0)),"N/A")</f>
        <v>15238</v>
      </c>
      <c r="B2258" s="4" t="s">
        <v>613</v>
      </c>
      <c r="C2258" s="4" t="s">
        <v>283</v>
      </c>
      <c r="D2258" s="94">
        <v>2131.0</v>
      </c>
    </row>
    <row r="2259">
      <c r="A2259" s="40">
        <f t="array" ref="A2259">IFNA(index(PlayerValues!A:A,match(IFNA(vlookup(B2259,'Special Names'!A:B,2,FALSE),B2259),PlayerValues!E:E,0)),"N/A")</f>
        <v>14867</v>
      </c>
      <c r="B2259" s="4" t="s">
        <v>591</v>
      </c>
      <c r="C2259" s="4" t="s">
        <v>298</v>
      </c>
      <c r="D2259" s="94">
        <v>2518.0</v>
      </c>
    </row>
    <row r="2260">
      <c r="A2260" s="40">
        <f t="array" ref="A2260">IFNA(index(PlayerValues!A:A,match(IFNA(vlookup(B2260,'Special Names'!A:B,2,FALSE),B2260),PlayerValues!E:E,0)),"N/A")</f>
        <v>16644</v>
      </c>
      <c r="B2260" s="4" t="s">
        <v>640</v>
      </c>
      <c r="C2260" s="4" t="s">
        <v>298</v>
      </c>
      <c r="D2260" s="94">
        <v>2513.0</v>
      </c>
    </row>
    <row r="2261">
      <c r="A2261" s="40">
        <f t="array" ref="A2261">IFNA(index(PlayerValues!A:A,match(IFNA(vlookup(B2261,'Special Names'!A:B,2,FALSE),B2261),PlayerValues!E:E,0)),"N/A")</f>
        <v>14871</v>
      </c>
      <c r="B2261" s="4" t="s">
        <v>584</v>
      </c>
      <c r="C2261" s="4" t="s">
        <v>298</v>
      </c>
      <c r="D2261" s="94">
        <v>2505.0</v>
      </c>
    </row>
    <row r="2262">
      <c r="A2262" s="40" t="str">
        <f t="array" ref="A2262">IFNA(index(PlayerValues!A:A,match(IFNA(vlookup(B2262,'Special Names'!A:B,2,FALSE),B2262),PlayerValues!E:E,0)),"N/A")</f>
        <v>N/A</v>
      </c>
      <c r="B2262" s="4" t="s">
        <v>88</v>
      </c>
      <c r="C2262" s="4" t="s">
        <v>325</v>
      </c>
      <c r="D2262" s="94">
        <v>2112.0</v>
      </c>
    </row>
    <row r="2263">
      <c r="A2263" s="40">
        <f t="array" ref="A2263">IFNA(index(PlayerValues!A:A,match(IFNA(vlookup(B2263,'Special Names'!A:B,2,FALSE),B2263),PlayerValues!E:E,0)),"N/A")</f>
        <v>17478</v>
      </c>
      <c r="B2263" s="4" t="s">
        <v>527</v>
      </c>
      <c r="C2263" s="4" t="s">
        <v>278</v>
      </c>
      <c r="D2263" s="94">
        <v>2098.0</v>
      </c>
    </row>
    <row r="2264">
      <c r="A2264" s="40">
        <f t="array" ref="A2264">IFNA(index(PlayerValues!A:A,match(IFNA(vlookup(B2264,'Special Names'!A:B,2,FALSE),B2264),PlayerValues!E:E,0)),"N/A")</f>
        <v>17056</v>
      </c>
      <c r="B2264" s="4" t="s">
        <v>581</v>
      </c>
      <c r="C2264" s="4" t="s">
        <v>278</v>
      </c>
      <c r="D2264" s="94">
        <v>2090.0</v>
      </c>
    </row>
    <row r="2265">
      <c r="A2265" s="40">
        <f t="array" ref="A2265">IFNA(index(PlayerValues!A:A,match(IFNA(vlookup(B2265,'Special Names'!A:B,2,FALSE),B2265),PlayerValues!E:E,0)),"N/A")</f>
        <v>16432</v>
      </c>
      <c r="B2265" s="4" t="s">
        <v>620</v>
      </c>
      <c r="C2265" s="4" t="s">
        <v>278</v>
      </c>
      <c r="D2265" s="94">
        <v>2088.0</v>
      </c>
    </row>
    <row r="2266">
      <c r="A2266" s="40">
        <f t="array" ref="A2266">IFNA(index(PlayerValues!A:A,match(IFNA(vlookup(B2266,'Special Names'!A:B,2,FALSE),B2266),PlayerValues!E:E,0)),"N/A")</f>
        <v>16643</v>
      </c>
      <c r="B2266" s="4" t="s">
        <v>609</v>
      </c>
      <c r="C2266" s="4" t="s">
        <v>298</v>
      </c>
      <c r="D2266" s="94">
        <v>2469.0</v>
      </c>
    </row>
    <row r="2267">
      <c r="A2267" s="40">
        <f t="array" ref="A2267">IFNA(index(PlayerValues!A:A,match(IFNA(vlookup(B2267,'Special Names'!A:B,2,FALSE),B2267),PlayerValues!E:E,0)),"N/A")</f>
        <v>17060</v>
      </c>
      <c r="B2267" s="4" t="s">
        <v>603</v>
      </c>
      <c r="C2267" s="4" t="s">
        <v>278</v>
      </c>
      <c r="D2267" s="94">
        <v>2068.0</v>
      </c>
    </row>
    <row r="2268">
      <c r="A2268" s="40">
        <f t="array" ref="A2268">IFNA(index(PlayerValues!A:A,match(IFNA(vlookup(B2268,'Special Names'!A:B,2,FALSE),B2268),PlayerValues!E:E,0)),"N/A")</f>
        <v>16174</v>
      </c>
      <c r="B2268" s="4" t="s">
        <v>505</v>
      </c>
      <c r="C2268" s="4" t="s">
        <v>278</v>
      </c>
      <c r="D2268" s="94">
        <v>2063.0</v>
      </c>
    </row>
    <row r="2269">
      <c r="A2269" s="40">
        <f t="array" ref="A2269">IFNA(index(PlayerValues!A:A,match(IFNA(vlookup(B2269,'Special Names'!A:B,2,FALSE),B2269),PlayerValues!E:E,0)),"N/A")</f>
        <v>13146</v>
      </c>
      <c r="B2269" s="4" t="s">
        <v>652</v>
      </c>
      <c r="C2269" s="4" t="s">
        <v>278</v>
      </c>
      <c r="D2269" s="94">
        <v>2060.0</v>
      </c>
    </row>
    <row r="2270">
      <c r="A2270" s="40" t="str">
        <f t="array" ref="A2270">IFNA(index(PlayerValues!A:A,match(IFNA(vlookup(B2270,'Special Names'!A:B,2,FALSE),B2270),PlayerValues!E:E,0)),"N/A")</f>
        <v>N/A</v>
      </c>
      <c r="B2270" s="4" t="s">
        <v>113</v>
      </c>
      <c r="C2270" s="4" t="s">
        <v>325</v>
      </c>
      <c r="D2270" s="94">
        <v>2058.0</v>
      </c>
    </row>
    <row r="2271">
      <c r="A2271" s="40">
        <f t="array" ref="A2271">IFNA(index(PlayerValues!A:A,match(IFNA(vlookup(B2271,'Special Names'!A:B,2,FALSE),B2271),PlayerValues!E:E,0)),"N/A")</f>
        <v>15331</v>
      </c>
      <c r="B2271" s="4" t="s">
        <v>560</v>
      </c>
      <c r="C2271" s="4" t="s">
        <v>298</v>
      </c>
      <c r="D2271" s="94">
        <v>2446.0</v>
      </c>
    </row>
    <row r="2272">
      <c r="A2272" s="40">
        <f t="array" ref="A2272">IFNA(index(PlayerValues!A:A,match(IFNA(vlookup(B2272,'Special Names'!A:B,2,FALSE),B2272),PlayerValues!E:E,0)),"N/A")</f>
        <v>13633</v>
      </c>
      <c r="B2272" s="4" t="s">
        <v>625</v>
      </c>
      <c r="C2272" s="4" t="s">
        <v>287</v>
      </c>
      <c r="D2272" s="94">
        <v>2030.0</v>
      </c>
    </row>
    <row r="2273">
      <c r="A2273" s="40">
        <f t="array" ref="A2273">IFNA(index(PlayerValues!A:A,match(IFNA(vlookup(B2273,'Special Names'!A:B,2,FALSE),B2273),PlayerValues!E:E,0)),"N/A")</f>
        <v>14974</v>
      </c>
      <c r="B2273" s="4" t="s">
        <v>611</v>
      </c>
      <c r="C2273" s="4" t="s">
        <v>287</v>
      </c>
      <c r="D2273" s="94">
        <v>2016.0</v>
      </c>
    </row>
    <row r="2274">
      <c r="A2274" s="40">
        <f t="array" ref="A2274">IFNA(index(PlayerValues!A:A,match(IFNA(vlookup(B2274,'Special Names'!A:B,2,FALSE),B2274),PlayerValues!E:E,0)),"N/A")</f>
        <v>15293</v>
      </c>
      <c r="B2274" s="4" t="s">
        <v>578</v>
      </c>
      <c r="C2274" s="4" t="s">
        <v>287</v>
      </c>
      <c r="D2274" s="94">
        <v>2012.0</v>
      </c>
    </row>
    <row r="2275">
      <c r="A2275" s="40">
        <f t="array" ref="A2275">IFNA(index(PlayerValues!A:A,match(IFNA(vlookup(B2275,'Special Names'!A:B,2,FALSE),B2275),PlayerValues!E:E,0)),"N/A")</f>
        <v>11244</v>
      </c>
      <c r="B2275" s="4" t="s">
        <v>519</v>
      </c>
      <c r="C2275" s="4" t="s">
        <v>298</v>
      </c>
      <c r="D2275" s="94">
        <v>2373.0</v>
      </c>
    </row>
    <row r="2276">
      <c r="A2276" s="40">
        <f t="array" ref="A2276">IFNA(index(PlayerValues!A:A,match(IFNA(vlookup(B2276,'Special Names'!A:B,2,FALSE),B2276),PlayerValues!E:E,0)),"N/A")</f>
        <v>16603</v>
      </c>
      <c r="B2276" s="4" t="s">
        <v>587</v>
      </c>
      <c r="C2276" s="4" t="s">
        <v>278</v>
      </c>
      <c r="D2276" s="94">
        <v>1977.0</v>
      </c>
    </row>
    <row r="2277">
      <c r="A2277" s="40">
        <f t="array" ref="A2277">IFNA(index(PlayerValues!A:A,match(IFNA(vlookup(B2277,'Special Names'!A:B,2,FALSE),B2277),PlayerValues!E:E,0)),"N/A")</f>
        <v>17036</v>
      </c>
      <c r="B2277" s="4" t="s">
        <v>617</v>
      </c>
      <c r="C2277" s="4" t="s">
        <v>283</v>
      </c>
      <c r="D2277" s="94">
        <v>1975.0</v>
      </c>
    </row>
    <row r="2278">
      <c r="A2278" s="40">
        <f t="array" ref="A2278">IFNA(index(PlayerValues!A:A,match(IFNA(vlookup(B2278,'Special Names'!A:B,2,FALSE),B2278),PlayerValues!E:E,0)),"N/A")</f>
        <v>17465</v>
      </c>
      <c r="B2278" s="4" t="s">
        <v>649</v>
      </c>
      <c r="C2278" s="4" t="s">
        <v>283</v>
      </c>
      <c r="D2278" s="94">
        <v>1957.0</v>
      </c>
    </row>
    <row r="2279">
      <c r="A2279" s="40">
        <f t="array" ref="A2279">IFNA(index(PlayerValues!A:A,match(IFNA(vlookup(B2279,'Special Names'!A:B,2,FALSE),B2279),PlayerValues!E:E,0)),"N/A")</f>
        <v>17503</v>
      </c>
      <c r="B2279" s="4" t="s">
        <v>480</v>
      </c>
      <c r="C2279" s="4" t="s">
        <v>287</v>
      </c>
      <c r="D2279" s="94">
        <v>1942.0</v>
      </c>
    </row>
    <row r="2280">
      <c r="A2280" s="40">
        <f t="array" ref="A2280">IFNA(index(PlayerValues!A:A,match(IFNA(vlookup(B2280,'Special Names'!A:B,2,FALSE),B2280),PlayerValues!E:E,0)),"N/A")</f>
        <v>17482</v>
      </c>
      <c r="B2280" s="4" t="s">
        <v>460</v>
      </c>
      <c r="C2280" s="4" t="s">
        <v>278</v>
      </c>
      <c r="D2280" s="94">
        <v>1927.0</v>
      </c>
    </row>
    <row r="2281">
      <c r="A2281" s="40">
        <f t="array" ref="A2281">IFNA(index(PlayerValues!A:A,match(IFNA(vlookup(B2281,'Special Names'!A:B,2,FALSE),B2281),PlayerValues!E:E,0)),"N/A")</f>
        <v>17184</v>
      </c>
      <c r="B2281" s="4" t="s">
        <v>588</v>
      </c>
      <c r="C2281" s="4" t="s">
        <v>287</v>
      </c>
      <c r="D2281" s="94">
        <v>1920.0</v>
      </c>
    </row>
    <row r="2282">
      <c r="A2282" s="40">
        <f t="array" ref="A2282">IFNA(index(PlayerValues!A:A,match(IFNA(vlookup(B2282,'Special Names'!A:B,2,FALSE),B2282),PlayerValues!E:E,0)),"N/A")</f>
        <v>16216</v>
      </c>
      <c r="B2282" s="4" t="s">
        <v>595</v>
      </c>
      <c r="C2282" s="4" t="s">
        <v>298</v>
      </c>
      <c r="D2282" s="94">
        <v>2296.0</v>
      </c>
    </row>
    <row r="2283">
      <c r="A2283" s="40">
        <f t="array" ref="A2283">IFNA(index(PlayerValues!A:A,match(IFNA(vlookup(B2283,'Special Names'!A:B,2,FALSE),B2283),PlayerValues!E:E,0)),"N/A")</f>
        <v>13189</v>
      </c>
      <c r="B2283" s="4" t="s">
        <v>626</v>
      </c>
      <c r="C2283" s="4" t="s">
        <v>298</v>
      </c>
      <c r="D2283" s="94">
        <v>2291.0</v>
      </c>
    </row>
    <row r="2284">
      <c r="A2284" s="40">
        <f t="array" ref="A2284">IFNA(index(PlayerValues!A:A,match(IFNA(vlookup(B2284,'Special Names'!A:B,2,FALSE),B2284),PlayerValues!E:E,0)),"N/A")</f>
        <v>17512</v>
      </c>
      <c r="B2284" s="4" t="s">
        <v>483</v>
      </c>
      <c r="C2284" s="4" t="s">
        <v>287</v>
      </c>
      <c r="D2284" s="94">
        <v>1902.0</v>
      </c>
    </row>
    <row r="2285">
      <c r="A2285" s="40">
        <f t="array" ref="A2285">IFNA(index(PlayerValues!A:A,match(IFNA(vlookup(B2285,'Special Names'!A:B,2,FALSE),B2285),PlayerValues!E:E,0)),"N/A")</f>
        <v>17546</v>
      </c>
      <c r="B2285" s="4" t="s">
        <v>671</v>
      </c>
      <c r="C2285" s="4" t="s">
        <v>298</v>
      </c>
      <c r="D2285" s="94">
        <v>2276.0</v>
      </c>
    </row>
    <row r="2286">
      <c r="A2286" s="40">
        <f t="array" ref="A2286">IFNA(index(PlayerValues!A:A,match(IFNA(vlookup(B2286,'Special Names'!A:B,2,FALSE),B2286),PlayerValues!E:E,0)),"N/A")</f>
        <v>16215</v>
      </c>
      <c r="B2286" s="4" t="s">
        <v>637</v>
      </c>
      <c r="C2286" s="4" t="s">
        <v>298</v>
      </c>
      <c r="D2286" s="94">
        <v>2271.0</v>
      </c>
    </row>
    <row r="2287">
      <c r="A2287" s="40">
        <f t="array" ref="A2287">IFNA(index(PlayerValues!A:A,match(IFNA(vlookup(B2287,'Special Names'!A:B,2,FALSE),B2287),PlayerValues!E:E,0)),"N/A")</f>
        <v>16778</v>
      </c>
      <c r="B2287" s="4" t="s">
        <v>577</v>
      </c>
      <c r="C2287" s="4" t="s">
        <v>287</v>
      </c>
      <c r="D2287" s="94">
        <v>1889.0</v>
      </c>
    </row>
    <row r="2288">
      <c r="A2288" s="40">
        <f t="array" ref="A2288">IFNA(index(PlayerValues!A:A,match(IFNA(vlookup(B2288,'Special Names'!A:B,2,FALSE),B2288),PlayerValues!E:E,0)),"N/A")</f>
        <v>16635</v>
      </c>
      <c r="B2288" s="4" t="s">
        <v>645</v>
      </c>
      <c r="C2288" s="4" t="s">
        <v>287</v>
      </c>
      <c r="D2288" s="94">
        <v>1884.0</v>
      </c>
    </row>
    <row r="2289">
      <c r="A2289" s="40" t="str">
        <f t="array" ref="A2289">IFNA(index(PlayerValues!A:A,match(IFNA(vlookup(B2289,'Special Names'!A:B,2,FALSE),B2289),PlayerValues!E:E,0)),"N/A")</f>
        <v>N/A</v>
      </c>
      <c r="B2289" s="4" t="s">
        <v>114</v>
      </c>
      <c r="C2289" s="4" t="s">
        <v>325</v>
      </c>
      <c r="D2289" s="94">
        <v>1882.0</v>
      </c>
    </row>
    <row r="2290">
      <c r="A2290" s="40">
        <f t="array" ref="A2290">IFNA(index(PlayerValues!A:A,match(IFNA(vlookup(B2290,'Special Names'!A:B,2,FALSE),B2290),PlayerValues!E:E,0)),"N/A")</f>
        <v>15337</v>
      </c>
      <c r="B2290" s="4" t="s">
        <v>655</v>
      </c>
      <c r="C2290" s="4" t="s">
        <v>298</v>
      </c>
      <c r="D2290" s="94">
        <v>2259.0</v>
      </c>
    </row>
    <row r="2291">
      <c r="A2291" s="40">
        <f t="array" ref="A2291">IFNA(index(PlayerValues!A:A,match(IFNA(vlookup(B2291,'Special Names'!A:B,2,FALSE),B2291),PlayerValues!E:E,0)),"N/A")</f>
        <v>17061</v>
      </c>
      <c r="B2291" s="4" t="s">
        <v>580</v>
      </c>
      <c r="C2291" s="4" t="s">
        <v>278</v>
      </c>
      <c r="D2291" s="94">
        <v>1872.0</v>
      </c>
    </row>
    <row r="2292">
      <c r="A2292" s="40">
        <f t="array" ref="A2292">IFNA(index(PlayerValues!A:A,match(IFNA(vlookup(B2292,'Special Names'!A:B,2,FALSE),B2292),PlayerValues!E:E,0)),"N/A")</f>
        <v>17517</v>
      </c>
      <c r="B2292" s="4" t="s">
        <v>454</v>
      </c>
      <c r="C2292" s="4" t="s">
        <v>287</v>
      </c>
      <c r="D2292" s="94">
        <v>1868.0</v>
      </c>
    </row>
    <row r="2293">
      <c r="A2293" s="40">
        <f t="array" ref="A2293">IFNA(index(PlayerValues!A:A,match(IFNA(vlookup(B2293,'Special Names'!A:B,2,FALSE),B2293),PlayerValues!E:E,0)),"N/A")</f>
        <v>15254</v>
      </c>
      <c r="B2293" s="4" t="s">
        <v>633</v>
      </c>
      <c r="C2293" s="4" t="s">
        <v>278</v>
      </c>
      <c r="D2293" s="94">
        <v>1864.0</v>
      </c>
    </row>
    <row r="2294">
      <c r="A2294" s="40">
        <f t="array" ref="A2294">IFNA(index(PlayerValues!A:A,match(IFNA(vlookup(B2294,'Special Names'!A:B,2,FALSE),B2294),PlayerValues!E:E,0)),"N/A")</f>
        <v>15759</v>
      </c>
      <c r="B2294" s="4" t="s">
        <v>662</v>
      </c>
      <c r="C2294" s="4" t="s">
        <v>287</v>
      </c>
      <c r="D2294" s="94">
        <v>1862.0</v>
      </c>
    </row>
    <row r="2295">
      <c r="A2295" s="40">
        <f t="array" ref="A2295">IFNA(index(PlayerValues!A:A,match(IFNA(vlookup(B2295,'Special Names'!A:B,2,FALSE),B2295),PlayerValues!E:E,0)),"N/A")</f>
        <v>17508</v>
      </c>
      <c r="B2295" s="4" t="s">
        <v>534</v>
      </c>
      <c r="C2295" s="4" t="s">
        <v>287</v>
      </c>
      <c r="D2295" s="94">
        <v>1861.0</v>
      </c>
    </row>
    <row r="2296">
      <c r="A2296" s="40">
        <f t="array" ref="A2296">IFNA(index(PlayerValues!A:A,match(IFNA(vlookup(B2296,'Special Names'!A:B,2,FALSE),B2296),PlayerValues!E:E,0)),"N/A")</f>
        <v>16201</v>
      </c>
      <c r="B2296" s="4" t="s">
        <v>589</v>
      </c>
      <c r="C2296" s="4" t="s">
        <v>287</v>
      </c>
      <c r="D2296" s="94">
        <v>1860.0</v>
      </c>
    </row>
    <row r="2297">
      <c r="A2297" s="40">
        <f t="array" ref="A2297">IFNA(index(PlayerValues!A:A,match(IFNA(vlookup(B2297,'Special Names'!A:B,2,FALSE),B2297),PlayerValues!E:E,0)),"N/A")</f>
        <v>17035</v>
      </c>
      <c r="B2297" s="4" t="s">
        <v>650</v>
      </c>
      <c r="C2297" s="4" t="s">
        <v>283</v>
      </c>
      <c r="D2297" s="94">
        <v>1860.0</v>
      </c>
    </row>
    <row r="2298">
      <c r="A2298" s="40">
        <f t="array" ref="A2298">IFNA(index(PlayerValues!A:A,match(IFNA(vlookup(B2298,'Special Names'!A:B,2,FALSE),B2298),PlayerValues!E:E,0)),"N/A")</f>
        <v>17547</v>
      </c>
      <c r="B2298" s="4" t="s">
        <v>552</v>
      </c>
      <c r="C2298" s="4" t="s">
        <v>298</v>
      </c>
      <c r="D2298" s="94">
        <v>2242.0</v>
      </c>
    </row>
    <row r="2299">
      <c r="A2299" s="40">
        <f t="array" ref="A2299">IFNA(index(PlayerValues!A:A,match(IFNA(vlookup(B2299,'Special Names'!A:B,2,FALSE),B2299),PlayerValues!E:E,0)),"N/A")</f>
        <v>16595</v>
      </c>
      <c r="B2299" s="4" t="s">
        <v>664</v>
      </c>
      <c r="C2299" s="4" t="s">
        <v>278</v>
      </c>
      <c r="D2299" s="94">
        <v>1843.0</v>
      </c>
    </row>
    <row r="2300">
      <c r="A2300" s="40" t="str">
        <f t="array" ref="A2300">IFNA(index(PlayerValues!A:A,match(IFNA(vlookup(B2300,'Special Names'!A:B,2,FALSE),B2300),PlayerValues!E:E,0)),"N/A")</f>
        <v>N/A</v>
      </c>
      <c r="B2300" s="4" t="s">
        <v>101</v>
      </c>
      <c r="C2300" s="4" t="s">
        <v>325</v>
      </c>
      <c r="D2300" s="94">
        <v>1829.0</v>
      </c>
    </row>
    <row r="2301">
      <c r="A2301" s="40">
        <f t="array" ref="A2301">IFNA(index(PlayerValues!A:A,match(IFNA(vlookup(B2301,'Special Names'!A:B,2,FALSE),B2301),PlayerValues!E:E,0)),"N/A")</f>
        <v>16585</v>
      </c>
      <c r="B2301" s="4" t="s">
        <v>623</v>
      </c>
      <c r="C2301" s="4" t="s">
        <v>283</v>
      </c>
      <c r="D2301" s="94">
        <v>1814.0</v>
      </c>
    </row>
    <row r="2302">
      <c r="A2302" s="40">
        <f t="array" ref="A2302">IFNA(index(PlayerValues!A:A,match(IFNA(vlookup(B2302,'Special Names'!A:B,2,FALSE),B2302),PlayerValues!E:E,0)),"N/A")</f>
        <v>15786</v>
      </c>
      <c r="B2302" s="4" t="s">
        <v>521</v>
      </c>
      <c r="C2302" s="4" t="s">
        <v>287</v>
      </c>
      <c r="D2302" s="94">
        <v>1809.0</v>
      </c>
    </row>
    <row r="2303">
      <c r="A2303" s="40">
        <f t="array" ref="A2303">IFNA(index(PlayerValues!A:A,match(IFNA(vlookup(B2303,'Special Names'!A:B,2,FALSE),B2303),PlayerValues!E:E,0)),"N/A")</f>
        <v>16788</v>
      </c>
      <c r="B2303" s="4" t="s">
        <v>621</v>
      </c>
      <c r="C2303" s="4" t="s">
        <v>287</v>
      </c>
      <c r="D2303" s="94">
        <v>1796.0</v>
      </c>
    </row>
    <row r="2304">
      <c r="A2304" s="40">
        <f t="array" ref="A2304">IFNA(index(PlayerValues!A:A,match(IFNA(vlookup(B2304,'Special Names'!A:B,2,FALSE),B2304),PlayerValues!E:E,0)),"N/A")</f>
        <v>17086</v>
      </c>
      <c r="B2304" s="4" t="s">
        <v>612</v>
      </c>
      <c r="C2304" s="4" t="s">
        <v>287</v>
      </c>
      <c r="D2304" s="94">
        <v>1783.0</v>
      </c>
    </row>
    <row r="2305">
      <c r="A2305" s="40">
        <f t="array" ref="A2305">IFNA(index(PlayerValues!A:A,match(IFNA(vlookup(B2305,'Special Names'!A:B,2,FALSE),B2305),PlayerValues!E:E,0)),"N/A")</f>
        <v>17055</v>
      </c>
      <c r="B2305" s="4" t="s">
        <v>565</v>
      </c>
      <c r="C2305" s="4" t="s">
        <v>278</v>
      </c>
      <c r="D2305" s="94">
        <v>1767.0</v>
      </c>
    </row>
    <row r="2306">
      <c r="A2306" s="40">
        <f t="array" ref="A2306">IFNA(index(PlayerValues!A:A,match(IFNA(vlookup(B2306,'Special Names'!A:B,2,FALSE),B2306),PlayerValues!E:E,0)),"N/A")</f>
        <v>17058</v>
      </c>
      <c r="B2306" s="4" t="s">
        <v>641</v>
      </c>
      <c r="C2306" s="4" t="s">
        <v>278</v>
      </c>
      <c r="D2306" s="94">
        <v>1764.0</v>
      </c>
    </row>
    <row r="2307">
      <c r="A2307" s="40">
        <f t="array" ref="A2307">IFNA(index(PlayerValues!A:A,match(IFNA(vlookup(B2307,'Special Names'!A:B,2,FALSE),B2307),PlayerValues!E:E,0)),"N/A")</f>
        <v>16601</v>
      </c>
      <c r="B2307" s="4" t="s">
        <v>648</v>
      </c>
      <c r="C2307" s="4" t="s">
        <v>278</v>
      </c>
      <c r="D2307" s="94">
        <v>1763.0</v>
      </c>
    </row>
    <row r="2308">
      <c r="A2308" s="40">
        <f t="array" ref="A2308">IFNA(index(PlayerValues!A:A,match(IFNA(vlookup(B2308,'Special Names'!A:B,2,FALSE),B2308),PlayerValues!E:E,0)),"N/A")</f>
        <v>11222</v>
      </c>
      <c r="B2308" s="4" t="s">
        <v>622</v>
      </c>
      <c r="C2308" s="4" t="s">
        <v>287</v>
      </c>
      <c r="D2308" s="94">
        <v>1761.0</v>
      </c>
    </row>
    <row r="2309">
      <c r="A2309" s="40">
        <f t="array" ref="A2309">IFNA(index(PlayerValues!A:A,match(IFNA(vlookup(B2309,'Special Names'!A:B,2,FALSE),B2309),PlayerValues!E:E,0)),"N/A")</f>
        <v>14105</v>
      </c>
      <c r="B2309" s="4" t="s">
        <v>675</v>
      </c>
      <c r="C2309" s="4" t="s">
        <v>287</v>
      </c>
      <c r="D2309" s="94">
        <v>1756.0</v>
      </c>
    </row>
    <row r="2310">
      <c r="A2310" s="40" t="str">
        <f t="array" ref="A2310">IFNA(index(PlayerValues!A:A,match(IFNA(vlookup(B2310,'Special Names'!A:B,2,FALSE),B2310),PlayerValues!E:E,0)),"N/A")</f>
        <v>N/A</v>
      </c>
      <c r="B2310" s="4" t="s">
        <v>89</v>
      </c>
      <c r="C2310" s="4" t="s">
        <v>325</v>
      </c>
      <c r="D2310" s="94">
        <v>1753.0</v>
      </c>
    </row>
    <row r="2311">
      <c r="A2311" s="40">
        <f t="array" ref="A2311">IFNA(index(PlayerValues!A:A,match(IFNA(vlookup(B2311,'Special Names'!A:B,2,FALSE),B2311),PlayerValues!E:E,0)),"N/A")</f>
        <v>16586</v>
      </c>
      <c r="B2311" s="4" t="s">
        <v>658</v>
      </c>
      <c r="C2311" s="4" t="s">
        <v>283</v>
      </c>
      <c r="D2311" s="94">
        <v>1743.0</v>
      </c>
    </row>
    <row r="2312">
      <c r="A2312" s="40">
        <f t="array" ref="A2312">IFNA(index(PlayerValues!A:A,match(IFNA(vlookup(B2312,'Special Names'!A:B,2,FALSE),B2312),PlayerValues!E:E,0)),"N/A")</f>
        <v>10700</v>
      </c>
      <c r="B2312" s="4" t="s">
        <v>596</v>
      </c>
      <c r="C2312" s="4" t="s">
        <v>283</v>
      </c>
      <c r="D2312" s="94">
        <v>1730.0</v>
      </c>
    </row>
    <row r="2313">
      <c r="A2313" s="40">
        <f t="array" ref="A2313">IFNA(index(PlayerValues!A:A,match(IFNA(vlookup(B2313,'Special Names'!A:B,2,FALSE),B2313),PlayerValues!E:E,0)),"N/A")</f>
        <v>16629</v>
      </c>
      <c r="B2313" s="4" t="s">
        <v>605</v>
      </c>
      <c r="C2313" s="4" t="s">
        <v>287</v>
      </c>
      <c r="D2313" s="94">
        <v>1730.0</v>
      </c>
    </row>
    <row r="2314">
      <c r="A2314" s="40">
        <f t="array" ref="A2314">IFNA(index(PlayerValues!A:A,match(IFNA(vlookup(B2314,'Special Names'!A:B,2,FALSE),B2314),PlayerValues!E:E,0)),"N/A")</f>
        <v>7836</v>
      </c>
      <c r="B2314" s="4" t="s">
        <v>590</v>
      </c>
      <c r="C2314" s="4" t="s">
        <v>283</v>
      </c>
      <c r="D2314" s="94">
        <v>1726.0</v>
      </c>
    </row>
    <row r="2315">
      <c r="A2315" s="40">
        <f t="array" ref="A2315">IFNA(index(PlayerValues!A:A,match(IFNA(vlookup(B2315,'Special Names'!A:B,2,FALSE),B2315),PlayerValues!E:E,0)),"N/A")</f>
        <v>15787</v>
      </c>
      <c r="B2315" s="4" t="s">
        <v>610</v>
      </c>
      <c r="C2315" s="4" t="s">
        <v>287</v>
      </c>
      <c r="D2315" s="94">
        <v>1725.0</v>
      </c>
    </row>
    <row r="2316">
      <c r="A2316" s="40">
        <f t="array" ref="A2316">IFNA(index(PlayerValues!A:A,match(IFNA(vlookup(B2316,'Special Names'!A:B,2,FALSE),B2316),PlayerValues!E:E,0)),"N/A")</f>
        <v>16207</v>
      </c>
      <c r="B2316" s="4" t="s">
        <v>636</v>
      </c>
      <c r="C2316" s="4" t="s">
        <v>287</v>
      </c>
      <c r="D2316" s="94">
        <v>1704.0</v>
      </c>
    </row>
    <row r="2317">
      <c r="A2317" s="40">
        <f t="array" ref="A2317">IFNA(index(PlayerValues!A:A,match(IFNA(vlookup(B2317,'Special Names'!A:B,2,FALSE),B2317),PlayerValues!E:E,0)),"N/A")</f>
        <v>17481</v>
      </c>
      <c r="B2317" s="4" t="s">
        <v>540</v>
      </c>
      <c r="C2317" s="4" t="s">
        <v>278</v>
      </c>
      <c r="D2317" s="94">
        <v>1703.0</v>
      </c>
    </row>
    <row r="2318">
      <c r="A2318" s="40">
        <f t="array" ref="A2318">IFNA(index(PlayerValues!A:A,match(IFNA(vlookup(B2318,'Special Names'!A:B,2,FALSE),B2318),PlayerValues!E:E,0)),"N/A")</f>
        <v>13629</v>
      </c>
      <c r="B2318" s="4" t="s">
        <v>619</v>
      </c>
      <c r="C2318" s="4" t="s">
        <v>287</v>
      </c>
      <c r="D2318" s="94">
        <v>1699.0</v>
      </c>
    </row>
    <row r="2319">
      <c r="A2319" s="40">
        <f t="array" ref="A2319">IFNA(index(PlayerValues!A:A,match(IFNA(vlookup(B2319,'Special Names'!A:B,2,FALSE),B2319),PlayerValues!E:E,0)),"N/A")</f>
        <v>15777</v>
      </c>
      <c r="B2319" s="4" t="s">
        <v>694</v>
      </c>
      <c r="C2319" s="4" t="s">
        <v>287</v>
      </c>
      <c r="D2319" s="94">
        <v>1692.0</v>
      </c>
    </row>
    <row r="2320">
      <c r="A2320" s="40">
        <f t="array" ref="A2320">IFNA(index(PlayerValues!A:A,match(IFNA(vlookup(B2320,'Special Names'!A:B,2,FALSE),B2320),PlayerValues!E:E,0)),"N/A")</f>
        <v>17205</v>
      </c>
      <c r="B2320" s="4" t="s">
        <v>665</v>
      </c>
      <c r="C2320" s="4" t="s">
        <v>287</v>
      </c>
      <c r="D2320" s="94">
        <v>1682.0</v>
      </c>
    </row>
    <row r="2321">
      <c r="A2321" s="40">
        <f t="array" ref="A2321">IFNA(index(PlayerValues!A:A,match(IFNA(vlookup(B2321,'Special Names'!A:B,2,FALSE),B2321),PlayerValues!E:E,0)),"N/A")</f>
        <v>16604</v>
      </c>
      <c r="B2321" s="4" t="s">
        <v>476</v>
      </c>
      <c r="C2321" s="4" t="s">
        <v>278</v>
      </c>
      <c r="D2321" s="94">
        <v>1677.0</v>
      </c>
    </row>
    <row r="2322">
      <c r="A2322" s="40" t="str">
        <f t="array" ref="A2322">IFNA(index(PlayerValues!A:A,match(IFNA(vlookup(B2322,'Special Names'!A:B,2,FALSE),B2322),PlayerValues!E:E,0)),"N/A")</f>
        <v>N/A</v>
      </c>
      <c r="B2322" s="4" t="s">
        <v>102</v>
      </c>
      <c r="C2322" s="4" t="s">
        <v>325</v>
      </c>
      <c r="D2322" s="94">
        <v>1671.0</v>
      </c>
    </row>
    <row r="2323">
      <c r="A2323" s="40">
        <f t="array" ref="A2323">IFNA(index(PlayerValues!A:A,match(IFNA(vlookup(B2323,'Special Names'!A:B,2,FALSE),B2323),PlayerValues!E:E,0)),"N/A")</f>
        <v>17520</v>
      </c>
      <c r="B2323" s="4" t="s">
        <v>518</v>
      </c>
      <c r="C2323" s="4" t="s">
        <v>287</v>
      </c>
      <c r="D2323" s="94">
        <v>1671.0</v>
      </c>
    </row>
    <row r="2324">
      <c r="A2324" s="40">
        <f t="array" ref="A2324">IFNA(index(PlayerValues!A:A,match(IFNA(vlookup(B2324,'Special Names'!A:B,2,FALSE),B2324),PlayerValues!E:E,0)),"N/A")</f>
        <v>13164</v>
      </c>
      <c r="B2324" s="4" t="s">
        <v>632</v>
      </c>
      <c r="C2324" s="4" t="s">
        <v>287</v>
      </c>
      <c r="D2324" s="94">
        <v>1668.0</v>
      </c>
    </row>
    <row r="2325">
      <c r="A2325" s="40">
        <f t="array" ref="A2325">IFNA(index(PlayerValues!A:A,match(IFNA(vlookup(B2325,'Special Names'!A:B,2,FALSE),B2325),PlayerValues!E:E,0)),"N/A")</f>
        <v>17064</v>
      </c>
      <c r="B2325" s="4" t="s">
        <v>631</v>
      </c>
      <c r="C2325" s="4" t="s">
        <v>278</v>
      </c>
      <c r="D2325" s="94">
        <v>1668.0</v>
      </c>
    </row>
    <row r="2326">
      <c r="A2326" s="40">
        <f t="array" ref="A2326">IFNA(index(PlayerValues!A:A,match(IFNA(vlookup(B2326,'Special Names'!A:B,2,FALSE),B2326),PlayerValues!E:E,0)),"N/A")</f>
        <v>17234</v>
      </c>
      <c r="B2326" s="4" t="s">
        <v>653</v>
      </c>
      <c r="C2326" s="4" t="s">
        <v>287</v>
      </c>
      <c r="D2326" s="94">
        <v>1653.0</v>
      </c>
    </row>
    <row r="2327">
      <c r="A2327" s="40">
        <f t="array" ref="A2327">IFNA(index(PlayerValues!A:A,match(IFNA(vlookup(B2327,'Special Names'!A:B,2,FALSE),B2327),PlayerValues!E:E,0)),"N/A")</f>
        <v>17528</v>
      </c>
      <c r="B2327" s="4" t="s">
        <v>579</v>
      </c>
      <c r="C2327" s="4" t="s">
        <v>287</v>
      </c>
      <c r="D2327" s="94">
        <v>1649.0</v>
      </c>
    </row>
    <row r="2328">
      <c r="A2328" s="40" t="str">
        <f t="array" ref="A2328">IFNA(index(PlayerValues!A:A,match(IFNA(vlookup(B2328,'Special Names'!A:B,2,FALSE),B2328),PlayerValues!E:E,0)),"N/A")</f>
        <v>N/A</v>
      </c>
      <c r="B2328" s="4" t="s">
        <v>90</v>
      </c>
      <c r="C2328" s="4" t="s">
        <v>325</v>
      </c>
      <c r="D2328" s="94">
        <v>1641.0</v>
      </c>
    </row>
    <row r="2329">
      <c r="A2329" s="40">
        <f t="array" ref="A2329">IFNA(index(PlayerValues!A:A,match(IFNA(vlookup(B2329,'Special Names'!A:B,2,FALSE),B2329),PlayerValues!E:E,0)),"N/A")</f>
        <v>16633</v>
      </c>
      <c r="B2329" s="4" t="s">
        <v>656</v>
      </c>
      <c r="C2329" s="4" t="s">
        <v>287</v>
      </c>
      <c r="D2329" s="94">
        <v>1633.0</v>
      </c>
    </row>
    <row r="2330">
      <c r="A2330" s="40">
        <f t="array" ref="A2330">IFNA(index(PlayerValues!A:A,match(IFNA(vlookup(B2330,'Special Names'!A:B,2,FALSE),B2330),PlayerValues!E:E,0)),"N/A")</f>
        <v>14143</v>
      </c>
      <c r="B2330" s="4" t="s">
        <v>635</v>
      </c>
      <c r="C2330" s="4" t="s">
        <v>298</v>
      </c>
      <c r="D2330" s="94">
        <v>1992.0</v>
      </c>
    </row>
    <row r="2331">
      <c r="A2331" s="40">
        <f t="array" ref="A2331">IFNA(index(PlayerValues!A:A,match(IFNA(vlookup(B2331,'Special Names'!A:B,2,FALSE),B2331),PlayerValues!E:E,0)),"N/A")</f>
        <v>15727</v>
      </c>
      <c r="B2331" s="4" t="s">
        <v>730</v>
      </c>
      <c r="C2331" s="4" t="s">
        <v>278</v>
      </c>
      <c r="D2331" s="94">
        <v>1615.0</v>
      </c>
    </row>
    <row r="2332">
      <c r="A2332" s="40">
        <f t="array" ref="A2332">IFNA(index(PlayerValues!A:A,match(IFNA(vlookup(B2332,'Special Names'!A:B,2,FALSE),B2332),PlayerValues!E:E,0)),"N/A")</f>
        <v>17545</v>
      </c>
      <c r="B2332" s="4" t="s">
        <v>719</v>
      </c>
      <c r="C2332" s="4" t="s">
        <v>298</v>
      </c>
      <c r="D2332" s="94">
        <v>1991.0</v>
      </c>
    </row>
    <row r="2333">
      <c r="A2333" s="40">
        <f t="array" ref="A2333">IFNA(index(PlayerValues!A:A,match(IFNA(vlookup(B2333,'Special Names'!A:B,2,FALSE),B2333),PlayerValues!E:E,0)),"N/A")</f>
        <v>13131</v>
      </c>
      <c r="B2333" s="4" t="s">
        <v>815</v>
      </c>
      <c r="C2333" s="4" t="s">
        <v>278</v>
      </c>
      <c r="D2333" s="94">
        <v>1612.0</v>
      </c>
    </row>
    <row r="2334">
      <c r="A2334" s="40">
        <f t="array" ref="A2334">IFNA(index(PlayerValues!A:A,match(IFNA(vlookup(B2334,'Special Names'!A:B,2,FALSE),B2334),PlayerValues!E:E,0)),"N/A")</f>
        <v>17037</v>
      </c>
      <c r="B2334" s="4" t="s">
        <v>727</v>
      </c>
      <c r="C2334" s="4" t="s">
        <v>283</v>
      </c>
      <c r="D2334" s="94">
        <v>1610.0</v>
      </c>
    </row>
    <row r="2335">
      <c r="A2335" s="40">
        <f t="array" ref="A2335">IFNA(index(PlayerValues!A:A,match(IFNA(vlookup(B2335,'Special Names'!A:B,2,FALSE),B2335),PlayerValues!E:E,0)),"N/A")</f>
        <v>17096</v>
      </c>
      <c r="B2335" s="4" t="s">
        <v>638</v>
      </c>
      <c r="C2335" s="4" t="s">
        <v>287</v>
      </c>
      <c r="D2335" s="94">
        <v>1605.0</v>
      </c>
    </row>
    <row r="2336">
      <c r="A2336" s="40" t="str">
        <f t="array" ref="A2336">IFNA(index(PlayerValues!A:A,match(IFNA(vlookup(B2336,'Special Names'!A:B,2,FALSE),B2336),PlayerValues!E:E,0)),"N/A")</f>
        <v>N/A</v>
      </c>
      <c r="B2336" s="4" t="s">
        <v>115</v>
      </c>
      <c r="C2336" s="4" t="s">
        <v>325</v>
      </c>
      <c r="D2336" s="94">
        <v>1602.0</v>
      </c>
    </row>
    <row r="2337">
      <c r="A2337" s="40">
        <f t="array" ref="A2337">IFNA(index(PlayerValues!A:A,match(IFNA(vlookup(B2337,'Special Names'!A:B,2,FALSE),B2337),PlayerValues!E:E,0)),"N/A")</f>
        <v>13193</v>
      </c>
      <c r="B2337" s="4" t="s">
        <v>773</v>
      </c>
      <c r="C2337" s="4" t="s">
        <v>298</v>
      </c>
      <c r="D2337" s="94">
        <v>1970.0</v>
      </c>
    </row>
    <row r="2338">
      <c r="A2338" s="40">
        <f t="array" ref="A2338">IFNA(index(PlayerValues!A:A,match(IFNA(vlookup(B2338,'Special Names'!A:B,2,FALSE),B2338),PlayerValues!E:E,0)),"N/A")</f>
        <v>14122</v>
      </c>
      <c r="B2338" s="4" t="s">
        <v>663</v>
      </c>
      <c r="C2338" s="4" t="s">
        <v>287</v>
      </c>
      <c r="D2338" s="94">
        <v>1588.0</v>
      </c>
    </row>
    <row r="2339">
      <c r="A2339" s="40">
        <f t="array" ref="A2339">IFNA(index(PlayerValues!A:A,match(IFNA(vlookup(B2339,'Special Names'!A:B,2,FALSE),B2339),PlayerValues!E:E,0)),"N/A")</f>
        <v>12140</v>
      </c>
      <c r="B2339" s="4" t="s">
        <v>702</v>
      </c>
      <c r="C2339" s="4" t="s">
        <v>283</v>
      </c>
      <c r="D2339" s="94">
        <v>1588.0</v>
      </c>
    </row>
    <row r="2340">
      <c r="A2340" s="40">
        <f t="array" ref="A2340">IFNA(index(PlayerValues!A:A,match(IFNA(vlookup(B2340,'Special Names'!A:B,2,FALSE),B2340),PlayerValues!E:E,0)),"N/A")</f>
        <v>16688</v>
      </c>
      <c r="B2340" s="4" t="s">
        <v>688</v>
      </c>
      <c r="C2340" s="4" t="s">
        <v>278</v>
      </c>
      <c r="D2340" s="94">
        <v>1585.0</v>
      </c>
    </row>
    <row r="2341">
      <c r="A2341" s="40">
        <f t="array" ref="A2341">IFNA(index(PlayerValues!A:A,match(IFNA(vlookup(B2341,'Special Names'!A:B,2,FALSE),B2341),PlayerValues!E:E,0)),"N/A")</f>
        <v>15252</v>
      </c>
      <c r="B2341" s="4" t="s">
        <v>715</v>
      </c>
      <c r="C2341" s="4" t="s">
        <v>283</v>
      </c>
      <c r="D2341" s="94">
        <v>1571.0</v>
      </c>
    </row>
    <row r="2342">
      <c r="A2342" s="40" t="str">
        <f t="array" ref="A2342">IFNA(index(PlayerValues!A:A,match(IFNA(vlookup(B2342,'Special Names'!A:B,2,FALSE),B2342),PlayerValues!E:E,0)),"N/A")</f>
        <v>N/A</v>
      </c>
      <c r="B2342" s="4" t="s">
        <v>103</v>
      </c>
      <c r="C2342" s="4" t="s">
        <v>325</v>
      </c>
      <c r="D2342" s="94">
        <v>1566.0</v>
      </c>
    </row>
    <row r="2343">
      <c r="A2343" s="40">
        <f t="array" ref="A2343">IFNA(index(PlayerValues!A:A,match(IFNA(vlookup(B2343,'Special Names'!A:B,2,FALSE),B2343),PlayerValues!E:E,0)),"N/A")</f>
        <v>16390</v>
      </c>
      <c r="B2343" s="4" t="s">
        <v>689</v>
      </c>
      <c r="C2343" s="4" t="s">
        <v>278</v>
      </c>
      <c r="D2343" s="94">
        <v>1561.0</v>
      </c>
    </row>
    <row r="2344">
      <c r="A2344" s="40">
        <f t="array" ref="A2344">IFNA(index(PlayerValues!A:A,match(IFNA(vlookup(B2344,'Special Names'!A:B,2,FALSE),B2344),PlayerValues!E:E,0)),"N/A")</f>
        <v>12141</v>
      </c>
      <c r="B2344" s="4" t="s">
        <v>744</v>
      </c>
      <c r="C2344" s="4" t="s">
        <v>283</v>
      </c>
      <c r="D2344" s="94">
        <v>1535.0</v>
      </c>
    </row>
    <row r="2345">
      <c r="A2345" s="40">
        <f t="array" ref="A2345">IFNA(index(PlayerValues!A:A,match(IFNA(vlookup(B2345,'Special Names'!A:B,2,FALSE),B2345),PlayerValues!E:E,0)),"N/A")</f>
        <v>14080</v>
      </c>
      <c r="B2345" s="4" t="s">
        <v>716</v>
      </c>
      <c r="C2345" s="4" t="s">
        <v>278</v>
      </c>
      <c r="D2345" s="94">
        <v>1525.0</v>
      </c>
    </row>
    <row r="2346">
      <c r="A2346" s="40" t="str">
        <f t="array" ref="A2346">IFNA(index(PlayerValues!A:A,match(IFNA(vlookup(B2346,'Special Names'!A:B,2,FALSE),B2346),PlayerValues!E:E,0)),"N/A")</f>
        <v>N/A</v>
      </c>
      <c r="B2346" s="4" t="s">
        <v>91</v>
      </c>
      <c r="C2346" s="4" t="s">
        <v>325</v>
      </c>
      <c r="D2346" s="94">
        <v>1515.0</v>
      </c>
    </row>
    <row r="2347">
      <c r="A2347" s="40" t="str">
        <f t="array" ref="A2347">IFNA(index(PlayerValues!A:A,match(IFNA(vlookup(B2347,'Special Names'!A:B,2,FALSE),B2347),PlayerValues!E:E,0)),"N/A")</f>
        <v>N/A</v>
      </c>
      <c r="B2347" s="4" t="s">
        <v>116</v>
      </c>
      <c r="C2347" s="4" t="s">
        <v>325</v>
      </c>
      <c r="D2347" s="94">
        <v>1515.0</v>
      </c>
    </row>
    <row r="2348">
      <c r="A2348" s="40">
        <f t="array" ref="A2348">IFNA(index(PlayerValues!A:A,match(IFNA(vlookup(B2348,'Special Names'!A:B,2,FALSE),B2348),PlayerValues!E:E,0)),"N/A")</f>
        <v>15258</v>
      </c>
      <c r="B2348" s="4" t="s">
        <v>757</v>
      </c>
      <c r="C2348" s="4" t="s">
        <v>278</v>
      </c>
      <c r="D2348" s="94">
        <v>1511.0</v>
      </c>
    </row>
    <row r="2349">
      <c r="A2349" s="40">
        <f t="array" ref="A2349">IFNA(index(PlayerValues!A:A,match(IFNA(vlookup(B2349,'Special Names'!A:B,2,FALSE),B2349),PlayerValues!E:E,0)),"N/A")</f>
        <v>15319</v>
      </c>
      <c r="B2349" s="4" t="s">
        <v>644</v>
      </c>
      <c r="C2349" s="4" t="s">
        <v>287</v>
      </c>
      <c r="D2349" s="94">
        <v>1511.0</v>
      </c>
    </row>
    <row r="2350">
      <c r="A2350" s="40">
        <f t="array" ref="A2350">IFNA(index(PlayerValues!A:A,match(IFNA(vlookup(B2350,'Special Names'!A:B,2,FALSE),B2350),PlayerValues!E:E,0)),"N/A")</f>
        <v>15713</v>
      </c>
      <c r="B2350" s="4" t="s">
        <v>732</v>
      </c>
      <c r="C2350" s="4" t="s">
        <v>278</v>
      </c>
      <c r="D2350" s="94">
        <v>1494.0</v>
      </c>
    </row>
    <row r="2351">
      <c r="A2351" s="40">
        <f t="array" ref="A2351">IFNA(index(PlayerValues!A:A,match(IFNA(vlookup(B2351,'Special Names'!A:B,2,FALSE),B2351),PlayerValues!E:E,0)),"N/A")</f>
        <v>13418</v>
      </c>
      <c r="B2351" s="4" t="s">
        <v>706</v>
      </c>
      <c r="C2351" s="4" t="s">
        <v>287</v>
      </c>
      <c r="D2351" s="94">
        <v>1474.0</v>
      </c>
    </row>
    <row r="2352">
      <c r="A2352" s="40">
        <f t="array" ref="A2352">IFNA(index(PlayerValues!A:A,match(IFNA(vlookup(B2352,'Special Names'!A:B,2,FALSE),B2352),PlayerValues!E:E,0)),"N/A")</f>
        <v>17077</v>
      </c>
      <c r="B2352" s="4" t="s">
        <v>714</v>
      </c>
      <c r="C2352" s="4" t="s">
        <v>287</v>
      </c>
      <c r="D2352" s="94">
        <v>1474.0</v>
      </c>
    </row>
    <row r="2353">
      <c r="A2353" s="40">
        <f t="array" ref="A2353">IFNA(index(PlayerValues!A:A,match(IFNA(vlookup(B2353,'Special Names'!A:B,2,FALSE),B2353),PlayerValues!E:E,0)),"N/A")</f>
        <v>15755</v>
      </c>
      <c r="B2353" s="4" t="s">
        <v>628</v>
      </c>
      <c r="C2353" s="4" t="s">
        <v>287</v>
      </c>
      <c r="D2353" s="94">
        <v>1471.0</v>
      </c>
    </row>
    <row r="2354">
      <c r="A2354" s="40">
        <f t="array" ref="A2354">IFNA(index(PlayerValues!A:A,match(IFNA(vlookup(B2354,'Special Names'!A:B,2,FALSE),B2354),PlayerValues!E:E,0)),"N/A")</f>
        <v>17254</v>
      </c>
      <c r="B2354" s="4" t="s">
        <v>679</v>
      </c>
      <c r="C2354" s="4" t="s">
        <v>287</v>
      </c>
      <c r="D2354" s="94">
        <v>1465.0</v>
      </c>
    </row>
    <row r="2355">
      <c r="A2355" s="40">
        <f t="array" ref="A2355">IFNA(index(PlayerValues!A:A,match(IFNA(vlookup(B2355,'Special Names'!A:B,2,FALSE),B2355),PlayerValues!E:E,0)),"N/A")</f>
        <v>15738</v>
      </c>
      <c r="B2355" s="4" t="s">
        <v>634</v>
      </c>
      <c r="C2355" s="4" t="s">
        <v>278</v>
      </c>
      <c r="D2355" s="94">
        <v>1459.0</v>
      </c>
    </row>
    <row r="2356">
      <c r="A2356" s="40">
        <f t="array" ref="A2356">IFNA(index(PlayerValues!A:A,match(IFNA(vlookup(B2356,'Special Names'!A:B,2,FALSE),B2356),PlayerValues!E:E,0)),"N/A")</f>
        <v>15752</v>
      </c>
      <c r="B2356" s="4" t="s">
        <v>647</v>
      </c>
      <c r="C2356" s="4" t="s">
        <v>287</v>
      </c>
      <c r="D2356" s="94">
        <v>1457.0</v>
      </c>
    </row>
    <row r="2357">
      <c r="A2357" s="40">
        <f t="array" ref="A2357">IFNA(index(PlayerValues!A:A,match(IFNA(vlookup(B2357,'Special Names'!A:B,2,FALSE),B2357),PlayerValues!E:E,0)),"N/A")</f>
        <v>16631</v>
      </c>
      <c r="B2357" s="4" t="s">
        <v>800</v>
      </c>
      <c r="C2357" s="4" t="s">
        <v>287</v>
      </c>
      <c r="D2357" s="94">
        <v>1452.0</v>
      </c>
    </row>
    <row r="2358">
      <c r="A2358" s="40">
        <f t="array" ref="A2358">IFNA(index(PlayerValues!A:A,match(IFNA(vlookup(B2358,'Special Names'!A:B,2,FALSE),B2358),PlayerValues!E:E,0)),"N/A")</f>
        <v>13672</v>
      </c>
      <c r="B2358" s="4" t="s">
        <v>667</v>
      </c>
      <c r="C2358" s="4" t="s">
        <v>298</v>
      </c>
      <c r="D2358" s="94">
        <v>1823.0</v>
      </c>
    </row>
    <row r="2359">
      <c r="A2359" s="40">
        <f t="array" ref="A2359">IFNA(index(PlayerValues!A:A,match(IFNA(vlookup(B2359,'Special Names'!A:B,2,FALSE),B2359),PlayerValues!E:E,0)),"N/A")</f>
        <v>11150</v>
      </c>
      <c r="B2359" s="4" t="s">
        <v>559</v>
      </c>
      <c r="C2359" s="4" t="s">
        <v>283</v>
      </c>
      <c r="D2359" s="94">
        <v>1449.0</v>
      </c>
    </row>
    <row r="2360">
      <c r="A2360" s="40">
        <f t="array" ref="A2360">IFNA(index(PlayerValues!A:A,match(IFNA(vlookup(B2360,'Special Names'!A:B,2,FALSE),B2360),PlayerValues!E:E,0)),"N/A")</f>
        <v>14095</v>
      </c>
      <c r="B2360" s="4" t="s">
        <v>680</v>
      </c>
      <c r="C2360" s="4" t="s">
        <v>278</v>
      </c>
      <c r="D2360" s="94">
        <v>1447.0</v>
      </c>
    </row>
    <row r="2361">
      <c r="A2361" s="40">
        <f t="array" ref="A2361">IFNA(index(PlayerValues!A:A,match(IFNA(vlookup(B2361,'Special Names'!A:B,2,FALSE),B2361),PlayerValues!E:E,0)),"N/A")</f>
        <v>17269</v>
      </c>
      <c r="B2361" s="4" t="s">
        <v>718</v>
      </c>
      <c r="C2361" s="4" t="s">
        <v>287</v>
      </c>
      <c r="D2361" s="94">
        <v>1441.0</v>
      </c>
    </row>
    <row r="2362">
      <c r="A2362" s="40">
        <f t="array" ref="A2362">IFNA(index(PlayerValues!A:A,match(IFNA(vlookup(B2362,'Special Names'!A:B,2,FALSE),B2362),PlayerValues!E:E,0)),"N/A")</f>
        <v>17062</v>
      </c>
      <c r="B2362" s="4" t="s">
        <v>701</v>
      </c>
      <c r="C2362" s="4" t="s">
        <v>278</v>
      </c>
      <c r="D2362" s="94">
        <v>1430.0</v>
      </c>
    </row>
    <row r="2363">
      <c r="A2363" s="40">
        <f t="array" ref="A2363">IFNA(index(PlayerValues!A:A,match(IFNA(vlookup(B2363,'Special Names'!A:B,2,FALSE),B2363),PlayerValues!E:E,0)),"N/A")</f>
        <v>15332</v>
      </c>
      <c r="B2363" s="4" t="s">
        <v>698</v>
      </c>
      <c r="C2363" s="4" t="s">
        <v>298</v>
      </c>
      <c r="D2363" s="94">
        <v>1780.0</v>
      </c>
    </row>
    <row r="2364">
      <c r="A2364" s="40">
        <f t="array" ref="A2364">IFNA(index(PlayerValues!A:A,match(IFNA(vlookup(B2364,'Special Names'!A:B,2,FALSE),B2364),PlayerValues!E:E,0)),"N/A")</f>
        <v>13138</v>
      </c>
      <c r="B2364" s="4" t="s">
        <v>817</v>
      </c>
      <c r="C2364" s="4" t="s">
        <v>278</v>
      </c>
      <c r="D2364" s="94">
        <v>1400.0</v>
      </c>
    </row>
    <row r="2365">
      <c r="A2365" s="40">
        <f t="array" ref="A2365">IFNA(index(PlayerValues!A:A,match(IFNA(vlookup(B2365,'Special Names'!A:B,2,FALSE),B2365),PlayerValues!E:E,0)),"N/A")</f>
        <v>15788</v>
      </c>
      <c r="B2365" s="4" t="s">
        <v>627</v>
      </c>
      <c r="C2365" s="4" t="s">
        <v>287</v>
      </c>
      <c r="D2365" s="94">
        <v>1390.0</v>
      </c>
    </row>
    <row r="2366">
      <c r="A2366" s="40">
        <f t="array" ref="A2366">IFNA(index(PlayerValues!A:A,match(IFNA(vlookup(B2366,'Special Names'!A:B,2,FALSE),B2366),PlayerValues!E:E,0)),"N/A")</f>
        <v>17504</v>
      </c>
      <c r="B2366" s="4" t="s">
        <v>693</v>
      </c>
      <c r="C2366" s="4" t="s">
        <v>287</v>
      </c>
      <c r="D2366" s="94">
        <v>1384.0</v>
      </c>
    </row>
    <row r="2367">
      <c r="A2367" s="40">
        <f t="array" ref="A2367">IFNA(index(PlayerValues!A:A,match(IFNA(vlookup(B2367,'Special Names'!A:B,2,FALSE),B2367),PlayerValues!E:E,0)),"N/A")</f>
        <v>15797</v>
      </c>
      <c r="B2367" s="4" t="s">
        <v>556</v>
      </c>
      <c r="C2367" s="4" t="s">
        <v>298</v>
      </c>
      <c r="D2367" s="94">
        <v>1754.0</v>
      </c>
    </row>
    <row r="2368">
      <c r="A2368" s="40">
        <f t="array" ref="A2368">IFNA(index(PlayerValues!A:A,match(IFNA(vlookup(B2368,'Special Names'!A:B,2,FALSE),B2368),PlayerValues!E:E,0)),"N/A")</f>
        <v>17510</v>
      </c>
      <c r="B2368" s="4" t="s">
        <v>661</v>
      </c>
      <c r="C2368" s="4" t="s">
        <v>287</v>
      </c>
      <c r="D2368" s="94">
        <v>1374.0</v>
      </c>
    </row>
    <row r="2369">
      <c r="A2369" s="40">
        <f t="array" ref="A2369">IFNA(index(PlayerValues!A:A,match(IFNA(vlookup(B2369,'Special Names'!A:B,2,FALSE),B2369),PlayerValues!E:E,0)),"N/A")</f>
        <v>17475</v>
      </c>
      <c r="B2369" s="4" t="s">
        <v>615</v>
      </c>
      <c r="C2369" s="4" t="s">
        <v>278</v>
      </c>
      <c r="D2369" s="94">
        <v>1367.0</v>
      </c>
    </row>
    <row r="2370">
      <c r="A2370" s="40">
        <f t="array" ref="A2370">IFNA(index(PlayerValues!A:A,match(IFNA(vlookup(B2370,'Special Names'!A:B,2,FALSE),B2370),PlayerValues!E:E,0)),"N/A")</f>
        <v>15873</v>
      </c>
      <c r="B2370" s="4" t="s">
        <v>681</v>
      </c>
      <c r="C2370" s="4" t="s">
        <v>298</v>
      </c>
      <c r="D2370" s="94">
        <v>1719.0</v>
      </c>
    </row>
    <row r="2371">
      <c r="A2371" s="40">
        <f t="array" ref="A2371">IFNA(index(PlayerValues!A:A,match(IFNA(vlookup(B2371,'Special Names'!A:B,2,FALSE),B2371),PlayerValues!E:E,0)),"N/A")</f>
        <v>17541</v>
      </c>
      <c r="B2371" s="4" t="s">
        <v>616</v>
      </c>
      <c r="C2371" s="4" t="s">
        <v>287</v>
      </c>
      <c r="D2371" s="94">
        <v>1347.0</v>
      </c>
    </row>
    <row r="2372">
      <c r="A2372" s="40">
        <f t="array" ref="A2372">IFNA(index(PlayerValues!A:A,match(IFNA(vlookup(B2372,'Special Names'!A:B,2,FALSE),B2372),PlayerValues!E:E,0)),"N/A")</f>
        <v>16621</v>
      </c>
      <c r="B2372" s="4" t="s">
        <v>672</v>
      </c>
      <c r="C2372" s="4" t="s">
        <v>287</v>
      </c>
      <c r="D2372" s="94">
        <v>1345.0</v>
      </c>
    </row>
    <row r="2373">
      <c r="A2373" s="40">
        <f t="array" ref="A2373">IFNA(index(PlayerValues!A:A,match(IFNA(vlookup(B2373,'Special Names'!A:B,2,FALSE),B2373),PlayerValues!E:E,0)),"N/A")</f>
        <v>14137</v>
      </c>
      <c r="B2373" s="4" t="s">
        <v>676</v>
      </c>
      <c r="C2373" s="4" t="s">
        <v>298</v>
      </c>
      <c r="D2373" s="94">
        <v>1709.0</v>
      </c>
    </row>
    <row r="2374">
      <c r="A2374" s="40">
        <f t="array" ref="A2374">IFNA(index(PlayerValues!A:A,match(IFNA(vlookup(B2374,'Special Names'!A:B,2,FALSE),B2374),PlayerValues!E:E,0)),"N/A")</f>
        <v>17479</v>
      </c>
      <c r="B2374" s="4" t="s">
        <v>756</v>
      </c>
      <c r="C2374" s="4" t="s">
        <v>278</v>
      </c>
      <c r="D2374" s="94">
        <v>1335.0</v>
      </c>
    </row>
    <row r="2375">
      <c r="A2375" s="40">
        <f t="array" ref="A2375">IFNA(index(PlayerValues!A:A,match(IFNA(vlookup(B2375,'Special Names'!A:B,2,FALSE),B2375),PlayerValues!E:E,0)),"N/A")</f>
        <v>15301</v>
      </c>
      <c r="B2375" s="4" t="s">
        <v>657</v>
      </c>
      <c r="C2375" s="4" t="s">
        <v>287</v>
      </c>
      <c r="D2375" s="94">
        <v>1333.0</v>
      </c>
    </row>
    <row r="2376">
      <c r="A2376" s="40">
        <f t="array" ref="A2376">IFNA(index(PlayerValues!A:A,match(IFNA(vlookup(B2376,'Special Names'!A:B,2,FALSE),B2376),PlayerValues!E:E,0)),"N/A")</f>
        <v>16642</v>
      </c>
      <c r="B2376" s="4" t="s">
        <v>691</v>
      </c>
      <c r="C2376" s="4" t="s">
        <v>298</v>
      </c>
      <c r="D2376" s="94">
        <v>1697.0</v>
      </c>
    </row>
    <row r="2377">
      <c r="A2377" s="40" t="str">
        <f t="array" ref="A2377">IFNA(index(PlayerValues!A:A,match(IFNA(vlookup(B2377,'Special Names'!A:B,2,FALSE),B2377),PlayerValues!E:E,0)),"N/A")</f>
        <v>N/A</v>
      </c>
      <c r="B2377" s="4" t="s">
        <v>117</v>
      </c>
      <c r="C2377" s="4" t="s">
        <v>325</v>
      </c>
      <c r="D2377" s="94">
        <v>1315.0</v>
      </c>
    </row>
    <row r="2378">
      <c r="A2378" s="40">
        <f t="array" ref="A2378">IFNA(index(PlayerValues!A:A,match(IFNA(vlookup(B2378,'Special Names'!A:B,2,FALSE),B2378),PlayerValues!E:E,0)),"N/A")</f>
        <v>17487</v>
      </c>
      <c r="B2378" s="4" t="s">
        <v>692</v>
      </c>
      <c r="C2378" s="4" t="s">
        <v>278</v>
      </c>
      <c r="D2378" s="94">
        <v>1312.0</v>
      </c>
    </row>
    <row r="2379">
      <c r="A2379" s="40">
        <f t="array" ref="A2379">IFNA(index(PlayerValues!A:A,match(IFNA(vlookup(B2379,'Special Names'!A:B,2,FALSE),B2379),PlayerValues!E:E,0)),"N/A")</f>
        <v>17486</v>
      </c>
      <c r="B2379" s="4" t="s">
        <v>695</v>
      </c>
      <c r="C2379" s="4" t="s">
        <v>278</v>
      </c>
      <c r="D2379" s="94">
        <v>1309.0</v>
      </c>
    </row>
    <row r="2380">
      <c r="A2380" s="40">
        <f t="array" ref="A2380">IFNA(index(PlayerValues!A:A,match(IFNA(vlookup(B2380,'Special Names'!A:B,2,FALSE),B2380),PlayerValues!E:E,0)),"N/A")</f>
        <v>16385</v>
      </c>
      <c r="B2380" s="4" t="s">
        <v>690</v>
      </c>
      <c r="C2380" s="4" t="s">
        <v>278</v>
      </c>
      <c r="D2380" s="94">
        <v>1295.0</v>
      </c>
    </row>
    <row r="2381">
      <c r="A2381" s="40">
        <f t="array" ref="A2381">IFNA(index(PlayerValues!A:A,match(IFNA(vlookup(B2381,'Special Names'!A:B,2,FALSE),B2381),PlayerValues!E:E,0)),"N/A")</f>
        <v>17470</v>
      </c>
      <c r="B2381" s="4" t="s">
        <v>841</v>
      </c>
      <c r="C2381" s="4" t="s">
        <v>283</v>
      </c>
      <c r="D2381" s="94">
        <v>1295.0</v>
      </c>
    </row>
    <row r="2382">
      <c r="A2382" s="40">
        <f t="array" ref="A2382">IFNA(index(PlayerValues!A:A,match(IFNA(vlookup(B2382,'Special Names'!A:B,2,FALSE),B2382),PlayerValues!E:E,0)),"N/A")</f>
        <v>16175</v>
      </c>
      <c r="B2382" s="4" t="s">
        <v>654</v>
      </c>
      <c r="C2382" s="4" t="s">
        <v>278</v>
      </c>
      <c r="D2382" s="94">
        <v>1284.0</v>
      </c>
    </row>
    <row r="2383">
      <c r="A2383" s="40">
        <f t="array" ref="A2383">IFNA(index(PlayerValues!A:A,match(IFNA(vlookup(B2383,'Special Names'!A:B,2,FALSE),B2383),PlayerValues!E:E,0)),"N/A")</f>
        <v>15292</v>
      </c>
      <c r="B2383" s="4" t="s">
        <v>682</v>
      </c>
      <c r="C2383" s="4" t="s">
        <v>287</v>
      </c>
      <c r="D2383" s="94">
        <v>1275.0</v>
      </c>
    </row>
    <row r="2384">
      <c r="A2384" s="40">
        <f t="array" ref="A2384">IFNA(index(PlayerValues!A:A,match(IFNA(vlookup(B2384,'Special Names'!A:B,2,FALSE),B2384),PlayerValues!E:E,0)),"N/A")</f>
        <v>14086</v>
      </c>
      <c r="B2384" s="4" t="s">
        <v>639</v>
      </c>
      <c r="C2384" s="4" t="s">
        <v>278</v>
      </c>
      <c r="D2384" s="94">
        <v>1263.0</v>
      </c>
    </row>
    <row r="2385">
      <c r="A2385" s="40">
        <f t="array" ref="A2385">IFNA(index(PlayerValues!A:A,match(IFNA(vlookup(B2385,'Special Names'!A:B,2,FALSE),B2385),PlayerValues!E:E,0)),"N/A")</f>
        <v>14592</v>
      </c>
      <c r="B2385" s="4" t="s">
        <v>705</v>
      </c>
      <c r="C2385" s="4" t="s">
        <v>287</v>
      </c>
      <c r="D2385" s="94">
        <v>1257.0</v>
      </c>
    </row>
    <row r="2386">
      <c r="A2386" s="40">
        <f t="array" ref="A2386">IFNA(index(PlayerValues!A:A,match(IFNA(vlookup(B2386,'Special Names'!A:B,2,FALSE),B2386),PlayerValues!E:E,0)),"N/A")</f>
        <v>14108</v>
      </c>
      <c r="B2386" s="4" t="s">
        <v>673</v>
      </c>
      <c r="C2386" s="4" t="s">
        <v>287</v>
      </c>
      <c r="D2386" s="94">
        <v>1252.0</v>
      </c>
    </row>
    <row r="2387">
      <c r="A2387" s="40">
        <f t="array" ref="A2387">IFNA(index(PlayerValues!A:A,match(IFNA(vlookup(B2387,'Special Names'!A:B,2,FALSE),B2387),PlayerValues!E:E,0)),"N/A")</f>
        <v>15240</v>
      </c>
      <c r="B2387" s="4" t="s">
        <v>751</v>
      </c>
      <c r="C2387" s="4" t="s">
        <v>283</v>
      </c>
      <c r="D2387" s="94">
        <v>1247.0</v>
      </c>
    </row>
    <row r="2388">
      <c r="A2388" s="40">
        <f t="array" ref="A2388">IFNA(index(PlayerValues!A:A,match(IFNA(vlookup(B2388,'Special Names'!A:B,2,FALSE),B2388),PlayerValues!E:E,0)),"N/A")</f>
        <v>15702</v>
      </c>
      <c r="B2388" s="4" t="s">
        <v>723</v>
      </c>
      <c r="C2388" s="4" t="s">
        <v>283</v>
      </c>
      <c r="D2388" s="94">
        <v>1247.0</v>
      </c>
    </row>
    <row r="2389">
      <c r="A2389" s="40">
        <f t="array" ref="A2389">IFNA(index(PlayerValues!A:A,match(IFNA(vlookup(B2389,'Special Names'!A:B,2,FALSE),B2389),PlayerValues!E:E,0)),"N/A")</f>
        <v>16149</v>
      </c>
      <c r="B2389" s="4" t="s">
        <v>740</v>
      </c>
      <c r="C2389" s="4" t="s">
        <v>283</v>
      </c>
      <c r="D2389" s="94">
        <v>1230.0</v>
      </c>
    </row>
    <row r="2390">
      <c r="A2390" s="40">
        <f t="array" ref="A2390">IFNA(index(PlayerValues!A:A,match(IFNA(vlookup(B2390,'Special Names'!A:B,2,FALSE),B2390),PlayerValues!E:E,0)),"N/A")</f>
        <v>16451</v>
      </c>
      <c r="B2390" s="4" t="s">
        <v>769</v>
      </c>
      <c r="C2390" s="4" t="s">
        <v>287</v>
      </c>
      <c r="D2390" s="94">
        <v>1229.0</v>
      </c>
    </row>
    <row r="2391">
      <c r="A2391" s="40">
        <f t="array" ref="A2391">IFNA(index(PlayerValues!A:A,match(IFNA(vlookup(B2391,'Special Names'!A:B,2,FALSE),B2391),PlayerValues!E:E,0)),"N/A")</f>
        <v>16183</v>
      </c>
      <c r="B2391" s="4" t="s">
        <v>678</v>
      </c>
      <c r="C2391" s="4" t="s">
        <v>287</v>
      </c>
      <c r="D2391" s="94">
        <v>1227.0</v>
      </c>
    </row>
    <row r="2392">
      <c r="A2392" s="40">
        <f t="array" ref="A2392">IFNA(index(PlayerValues!A:A,match(IFNA(vlookup(B2392,'Special Names'!A:B,2,FALSE),B2392),PlayerValues!E:E,0)),"N/A")</f>
        <v>15981</v>
      </c>
      <c r="B2392" s="4" t="s">
        <v>729</v>
      </c>
      <c r="C2392" s="4" t="s">
        <v>287</v>
      </c>
      <c r="D2392" s="94">
        <v>1224.0</v>
      </c>
    </row>
    <row r="2393">
      <c r="A2393" s="40">
        <f t="array" ref="A2393">IFNA(index(PlayerValues!A:A,match(IFNA(vlookup(B2393,'Special Names'!A:B,2,FALSE),B2393),PlayerValues!E:E,0)),"N/A")</f>
        <v>12263</v>
      </c>
      <c r="B2393" s="4" t="s">
        <v>697</v>
      </c>
      <c r="C2393" s="4" t="s">
        <v>298</v>
      </c>
      <c r="D2393" s="94">
        <v>1585.0</v>
      </c>
    </row>
    <row r="2394">
      <c r="A2394" s="40">
        <f t="array" ref="A2394">IFNA(index(PlayerValues!A:A,match(IFNA(vlookup(B2394,'Special Names'!A:B,2,FALSE),B2394),PlayerValues!E:E,0)),"N/A")</f>
        <v>17526</v>
      </c>
      <c r="B2394" s="4" t="s">
        <v>760</v>
      </c>
      <c r="C2394" s="4" t="s">
        <v>287</v>
      </c>
      <c r="D2394" s="94">
        <v>1210.0</v>
      </c>
    </row>
    <row r="2395">
      <c r="A2395" s="40">
        <f t="array" ref="A2395">IFNA(index(PlayerValues!A:A,match(IFNA(vlookup(B2395,'Special Names'!A:B,2,FALSE),B2395),PlayerValues!E:E,0)),"N/A")</f>
        <v>16384</v>
      </c>
      <c r="B2395" s="4" t="s">
        <v>696</v>
      </c>
      <c r="C2395" s="4" t="s">
        <v>283</v>
      </c>
      <c r="D2395" s="94">
        <v>1197.0</v>
      </c>
    </row>
    <row r="2396">
      <c r="A2396" s="40">
        <f t="array" ref="A2396">IFNA(index(PlayerValues!A:A,match(IFNA(vlookup(B2396,'Special Names'!A:B,2,FALSE),B2396),PlayerValues!E:E,0)),"N/A")</f>
        <v>16792</v>
      </c>
      <c r="B2396" s="4" t="s">
        <v>704</v>
      </c>
      <c r="C2396" s="4" t="s">
        <v>287</v>
      </c>
      <c r="D2396" s="94">
        <v>1194.0</v>
      </c>
    </row>
    <row r="2397">
      <c r="A2397" s="40">
        <f t="array" ref="A2397">IFNA(index(PlayerValues!A:A,match(IFNA(vlookup(B2397,'Special Names'!A:B,2,FALSE),B2397),PlayerValues!E:E,0)),"N/A")</f>
        <v>17063</v>
      </c>
      <c r="B2397" s="4" t="s">
        <v>686</v>
      </c>
      <c r="C2397" s="4" t="s">
        <v>278</v>
      </c>
      <c r="D2397" s="94">
        <v>1186.0</v>
      </c>
    </row>
    <row r="2398">
      <c r="A2398" s="40">
        <f t="array" ref="A2398">IFNA(index(PlayerValues!A:A,match(IFNA(vlookup(B2398,'Special Names'!A:B,2,FALSE),B2398),PlayerValues!E:E,0)),"N/A")</f>
        <v>16221</v>
      </c>
      <c r="B2398" s="4" t="s">
        <v>725</v>
      </c>
      <c r="C2398" s="4" t="s">
        <v>298</v>
      </c>
      <c r="D2398" s="94">
        <v>1547.0</v>
      </c>
    </row>
    <row r="2399">
      <c r="A2399" s="40">
        <f t="array" ref="A2399">IFNA(index(PlayerValues!A:A,match(IFNA(vlookup(B2399,'Special Names'!A:B,2,FALSE),B2399),PlayerValues!E:E,0)),"N/A")</f>
        <v>16645</v>
      </c>
      <c r="B2399" s="4" t="s">
        <v>651</v>
      </c>
      <c r="C2399" s="4" t="s">
        <v>298</v>
      </c>
      <c r="D2399" s="94">
        <v>1543.0</v>
      </c>
    </row>
    <row r="2400">
      <c r="A2400" s="40">
        <f t="array" ref="A2400">IFNA(index(PlayerValues!A:A,match(IFNA(vlookup(B2400,'Special Names'!A:B,2,FALSE),B2400),PlayerValues!E:E,0)),"N/A")</f>
        <v>17054</v>
      </c>
      <c r="B2400" s="4" t="s">
        <v>670</v>
      </c>
      <c r="C2400" s="4" t="s">
        <v>278</v>
      </c>
      <c r="D2400" s="94">
        <v>1170.0</v>
      </c>
    </row>
    <row r="2401">
      <c r="A2401" s="40">
        <f t="array" ref="A2401">IFNA(index(PlayerValues!A:A,match(IFNA(vlookup(B2401,'Special Names'!A:B,2,FALSE),B2401),PlayerValues!E:E,0)),"N/A")</f>
        <v>12678</v>
      </c>
      <c r="B2401" s="4" t="s">
        <v>703</v>
      </c>
      <c r="C2401" s="4" t="s">
        <v>298</v>
      </c>
      <c r="D2401" s="94">
        <v>1524.0</v>
      </c>
    </row>
    <row r="2402">
      <c r="A2402" s="40">
        <f t="array" ref="A2402">IFNA(index(PlayerValues!A:A,match(IFNA(vlookup(B2402,'Special Names'!A:B,2,FALSE),B2402),PlayerValues!E:E,0)),"N/A")</f>
        <v>16883</v>
      </c>
      <c r="B2402" s="4" t="s">
        <v>683</v>
      </c>
      <c r="C2402" s="4" t="s">
        <v>287</v>
      </c>
      <c r="D2402" s="94">
        <v>1152.0</v>
      </c>
    </row>
    <row r="2403">
      <c r="A2403" s="40">
        <f t="array" ref="A2403">IFNA(index(PlayerValues!A:A,match(IFNA(vlookup(B2403,'Special Names'!A:B,2,FALSE),B2403),PlayerValues!E:E,0)),"N/A")</f>
        <v>16746</v>
      </c>
      <c r="B2403" s="4" t="s">
        <v>709</v>
      </c>
      <c r="C2403" s="4" t="s">
        <v>278</v>
      </c>
      <c r="D2403" s="94">
        <v>1150.0</v>
      </c>
    </row>
    <row r="2404">
      <c r="A2404" s="40">
        <f t="array" ref="A2404">IFNA(index(PlayerValues!A:A,match(IFNA(vlookup(B2404,'Special Names'!A:B,2,FALSE),B2404),PlayerValues!E:E,0)),"N/A")</f>
        <v>16636</v>
      </c>
      <c r="B2404" s="4" t="s">
        <v>699</v>
      </c>
      <c r="C2404" s="4" t="s">
        <v>287</v>
      </c>
      <c r="D2404" s="94">
        <v>1149.0</v>
      </c>
    </row>
    <row r="2405">
      <c r="A2405" s="40">
        <f t="array" ref="A2405">IFNA(index(PlayerValues!A:A,match(IFNA(vlookup(B2405,'Special Names'!A:B,2,FALSE),B2405),PlayerValues!E:E,0)),"N/A")</f>
        <v>16199</v>
      </c>
      <c r="B2405" s="4" t="s">
        <v>687</v>
      </c>
      <c r="C2405" s="4" t="s">
        <v>287</v>
      </c>
      <c r="D2405" s="94">
        <v>1143.0</v>
      </c>
    </row>
    <row r="2406">
      <c r="A2406" s="40">
        <f t="array" ref="A2406">IFNA(index(PlayerValues!A:A,match(IFNA(vlookup(B2406,'Special Names'!A:B,2,FALSE),B2406),PlayerValues!E:E,0)),"N/A")</f>
        <v>14789</v>
      </c>
      <c r="B2406" s="4" t="s">
        <v>721</v>
      </c>
      <c r="C2406" s="4" t="s">
        <v>283</v>
      </c>
      <c r="D2406" s="94">
        <v>1142.0</v>
      </c>
    </row>
    <row r="2407">
      <c r="A2407" s="40">
        <f t="array" ref="A2407">IFNA(index(PlayerValues!A:A,match(IFNA(vlookup(B2407,'Special Names'!A:B,2,FALSE),B2407),PlayerValues!E:E,0)),"N/A")</f>
        <v>17097</v>
      </c>
      <c r="B2407" s="4" t="s">
        <v>659</v>
      </c>
      <c r="C2407" s="4" t="s">
        <v>287</v>
      </c>
      <c r="D2407" s="94">
        <v>1134.0</v>
      </c>
    </row>
    <row r="2408">
      <c r="A2408" s="40">
        <f t="array" ref="A2408">IFNA(index(PlayerValues!A:A,match(IFNA(vlookup(B2408,'Special Names'!A:B,2,FALSE),B2408),PlayerValues!E:E,0)),"N/A")</f>
        <v>13289</v>
      </c>
      <c r="B2408" s="4" t="s">
        <v>746</v>
      </c>
      <c r="C2408" s="4" t="s">
        <v>287</v>
      </c>
      <c r="D2408" s="94">
        <v>1124.0</v>
      </c>
    </row>
    <row r="2409">
      <c r="A2409" s="40">
        <f t="array" ref="A2409">IFNA(index(PlayerValues!A:A,match(IFNA(vlookup(B2409,'Special Names'!A:B,2,FALSE),B2409),PlayerValues!E:E,0)),"N/A")</f>
        <v>17192</v>
      </c>
      <c r="B2409" s="4" t="s">
        <v>677</v>
      </c>
      <c r="C2409" s="4" t="s">
        <v>287</v>
      </c>
      <c r="D2409" s="94">
        <v>1116.0</v>
      </c>
    </row>
    <row r="2410">
      <c r="A2410" s="40">
        <f t="array" ref="A2410">IFNA(index(PlayerValues!A:A,match(IFNA(vlookup(B2410,'Special Names'!A:B,2,FALSE),B2410),PlayerValues!E:E,0)),"N/A")</f>
        <v>17050</v>
      </c>
      <c r="B2410" s="4" t="s">
        <v>713</v>
      </c>
      <c r="C2410" s="4" t="s">
        <v>278</v>
      </c>
      <c r="D2410" s="94">
        <v>1115.0</v>
      </c>
    </row>
    <row r="2411">
      <c r="A2411" s="40">
        <f t="array" ref="A2411">IFNA(index(PlayerValues!A:A,match(IFNA(vlookup(B2411,'Special Names'!A:B,2,FALSE),B2411),PlayerValues!E:E,0)),"N/A")</f>
        <v>14845</v>
      </c>
      <c r="B2411" s="4" t="s">
        <v>717</v>
      </c>
      <c r="C2411" s="4" t="s">
        <v>287</v>
      </c>
      <c r="D2411" s="94">
        <v>1112.0</v>
      </c>
    </row>
    <row r="2412">
      <c r="A2412" s="40">
        <f t="array" ref="A2412">IFNA(index(PlayerValues!A:A,match(IFNA(vlookup(B2412,'Special Names'!A:B,2,FALSE),B2412),PlayerValues!E:E,0)),"N/A")</f>
        <v>15239</v>
      </c>
      <c r="B2412" s="4" t="s">
        <v>802</v>
      </c>
      <c r="C2412" s="4" t="s">
        <v>283</v>
      </c>
      <c r="D2412" s="94">
        <v>1111.0</v>
      </c>
    </row>
    <row r="2413">
      <c r="A2413" s="40">
        <f t="array" ref="A2413">IFNA(index(PlayerValues!A:A,match(IFNA(vlookup(B2413,'Special Names'!A:B,2,FALSE),B2413),PlayerValues!E:E,0)),"N/A")</f>
        <v>15730</v>
      </c>
      <c r="B2413" s="4" t="s">
        <v>734</v>
      </c>
      <c r="C2413" s="4" t="s">
        <v>278</v>
      </c>
      <c r="D2413" s="94">
        <v>1109.0</v>
      </c>
    </row>
    <row r="2414">
      <c r="A2414" s="40">
        <f t="array" ref="A2414">IFNA(index(PlayerValues!A:A,match(IFNA(vlookup(B2414,'Special Names'!A:B,2,FALSE),B2414),PlayerValues!E:E,0)),"N/A")</f>
        <v>15692</v>
      </c>
      <c r="B2414" s="4" t="s">
        <v>750</v>
      </c>
      <c r="C2414" s="4" t="s">
        <v>283</v>
      </c>
      <c r="D2414" s="94">
        <v>1105.0</v>
      </c>
    </row>
    <row r="2415">
      <c r="A2415" s="40">
        <f t="array" ref="A2415">IFNA(index(PlayerValues!A:A,match(IFNA(vlookup(B2415,'Special Names'!A:B,2,FALSE),B2415),PlayerValues!E:E,0)),"N/A")</f>
        <v>16333</v>
      </c>
      <c r="B2415" s="4" t="s">
        <v>711</v>
      </c>
      <c r="C2415" s="4" t="s">
        <v>298</v>
      </c>
      <c r="D2415" s="94">
        <v>1466.0</v>
      </c>
    </row>
    <row r="2416">
      <c r="A2416" s="40">
        <f t="array" ref="A2416">IFNA(index(PlayerValues!A:A,match(IFNA(vlookup(B2416,'Special Names'!A:B,2,FALSE),B2416),PlayerValues!E:E,0)),"N/A")</f>
        <v>16197</v>
      </c>
      <c r="B2416" s="4" t="s">
        <v>726</v>
      </c>
      <c r="C2416" s="4" t="s">
        <v>287</v>
      </c>
      <c r="D2416" s="94">
        <v>1095.0</v>
      </c>
    </row>
    <row r="2417">
      <c r="A2417" s="40">
        <f t="array" ref="A2417">IFNA(index(PlayerValues!A:A,match(IFNA(vlookup(B2417,'Special Names'!A:B,2,FALSE),B2417),PlayerValues!E:E,0)),"N/A")</f>
        <v>17109</v>
      </c>
      <c r="B2417" s="4" t="s">
        <v>707</v>
      </c>
      <c r="C2417" s="4" t="s">
        <v>298</v>
      </c>
      <c r="D2417" s="94">
        <v>1462.0</v>
      </c>
    </row>
    <row r="2418">
      <c r="A2418" s="40">
        <f t="array" ref="A2418">IFNA(index(PlayerValues!A:A,match(IFNA(vlookup(B2418,'Special Names'!A:B,2,FALSE),B2418),PlayerValues!E:E,0)),"N/A")</f>
        <v>13610</v>
      </c>
      <c r="B2418" s="4" t="s">
        <v>825</v>
      </c>
      <c r="C2418" s="4" t="s">
        <v>278</v>
      </c>
      <c r="D2418" s="94">
        <v>1082.0</v>
      </c>
    </row>
    <row r="2419">
      <c r="A2419" s="40">
        <f t="array" ref="A2419">IFNA(index(PlayerValues!A:A,match(IFNA(vlookup(B2419,'Special Names'!A:B,2,FALSE),B2419),PlayerValues!E:E,0)),"N/A")</f>
        <v>15288</v>
      </c>
      <c r="B2419" s="4" t="s">
        <v>700</v>
      </c>
      <c r="C2419" s="4" t="s">
        <v>287</v>
      </c>
      <c r="D2419" s="94">
        <v>1078.0</v>
      </c>
    </row>
    <row r="2420">
      <c r="A2420" s="40">
        <f t="array" ref="A2420">IFNA(index(PlayerValues!A:A,match(IFNA(vlookup(B2420,'Special Names'!A:B,2,FALSE),B2420),PlayerValues!E:E,0)),"N/A")</f>
        <v>17175</v>
      </c>
      <c r="B2420" s="4" t="s">
        <v>747</v>
      </c>
      <c r="C2420" s="4" t="s">
        <v>287</v>
      </c>
      <c r="D2420" s="94">
        <v>1074.0</v>
      </c>
    </row>
    <row r="2421">
      <c r="A2421" s="40">
        <f t="array" ref="A2421">IFNA(index(PlayerValues!A:A,match(IFNA(vlookup(B2421,'Special Names'!A:B,2,FALSE),B2421),PlayerValues!E:E,0)),"N/A")</f>
        <v>15717</v>
      </c>
      <c r="B2421" s="4" t="s">
        <v>745</v>
      </c>
      <c r="C2421" s="4" t="s">
        <v>278</v>
      </c>
      <c r="D2421" s="94">
        <v>1071.0</v>
      </c>
    </row>
    <row r="2422">
      <c r="A2422" s="40">
        <f t="array" ref="A2422">IFNA(index(PlayerValues!A:A,match(IFNA(vlookup(B2422,'Special Names'!A:B,2,FALSE),B2422),PlayerValues!E:E,0)),"N/A")</f>
        <v>16219</v>
      </c>
      <c r="B2422" s="4" t="s">
        <v>739</v>
      </c>
      <c r="C2422" s="4" t="s">
        <v>298</v>
      </c>
      <c r="D2422" s="94">
        <v>1436.0</v>
      </c>
    </row>
    <row r="2423">
      <c r="A2423" s="40">
        <f t="array" ref="A2423">IFNA(index(PlayerValues!A:A,match(IFNA(vlookup(B2423,'Special Names'!A:B,2,FALSE),B2423),PlayerValues!E:E,0)),"N/A")</f>
        <v>16640</v>
      </c>
      <c r="B2423" s="4" t="s">
        <v>712</v>
      </c>
      <c r="C2423" s="4" t="s">
        <v>287</v>
      </c>
      <c r="D2423" s="94">
        <v>1061.0</v>
      </c>
    </row>
    <row r="2424">
      <c r="A2424" s="40">
        <f t="array" ref="A2424">IFNA(index(PlayerValues!A:A,match(IFNA(vlookup(B2424,'Special Names'!A:B,2,FALSE),B2424),PlayerValues!E:E,0)),"N/A")</f>
        <v>15718</v>
      </c>
      <c r="B2424" s="4" t="s">
        <v>753</v>
      </c>
      <c r="C2424" s="4" t="s">
        <v>278</v>
      </c>
      <c r="D2424" s="94">
        <v>1058.0</v>
      </c>
    </row>
    <row r="2425">
      <c r="A2425" s="40">
        <f t="array" ref="A2425">IFNA(index(PlayerValues!A:A,match(IFNA(vlookup(B2425,'Special Names'!A:B,2,FALSE),B2425),PlayerValues!E:E,0)),"N/A")</f>
        <v>16387</v>
      </c>
      <c r="B2425" s="4" t="s">
        <v>646</v>
      </c>
      <c r="C2425" s="4" t="s">
        <v>278</v>
      </c>
      <c r="D2425" s="94">
        <v>1057.0</v>
      </c>
    </row>
    <row r="2426">
      <c r="A2426" s="40">
        <f t="array" ref="A2426">IFNA(index(PlayerValues!A:A,match(IFNA(vlookup(B2426,'Special Names'!A:B,2,FALSE),B2426),PlayerValues!E:E,0)),"N/A")</f>
        <v>15720</v>
      </c>
      <c r="B2426" s="4" t="s">
        <v>795</v>
      </c>
      <c r="C2426" s="4" t="s">
        <v>278</v>
      </c>
      <c r="D2426" s="94">
        <v>1048.0</v>
      </c>
    </row>
    <row r="2427">
      <c r="A2427" s="40">
        <f t="array" ref="A2427">IFNA(index(PlayerValues!A:A,match(IFNA(vlookup(B2427,'Special Names'!A:B,2,FALSE),B2427),PlayerValues!E:E,0)),"N/A")</f>
        <v>15693</v>
      </c>
      <c r="B2427" s="4" t="s">
        <v>755</v>
      </c>
      <c r="C2427" s="4" t="s">
        <v>283</v>
      </c>
      <c r="D2427" s="94">
        <v>1045.0</v>
      </c>
    </row>
    <row r="2428">
      <c r="A2428" s="40">
        <f t="array" ref="A2428">IFNA(index(PlayerValues!A:A,match(IFNA(vlookup(B2428,'Special Names'!A:B,2,FALSE),B2428),PlayerValues!E:E,0)),"N/A")</f>
        <v>16393</v>
      </c>
      <c r="B2428" s="4" t="s">
        <v>768</v>
      </c>
      <c r="C2428" s="4" t="s">
        <v>287</v>
      </c>
      <c r="D2428" s="94">
        <v>1038.0</v>
      </c>
    </row>
    <row r="2429">
      <c r="A2429" s="40">
        <f t="array" ref="A2429">IFNA(index(PlayerValues!A:A,match(IFNA(vlookup(B2429,'Special Names'!A:B,2,FALSE),B2429),PlayerValues!E:E,0)),"N/A")</f>
        <v>15785</v>
      </c>
      <c r="B2429" s="4" t="s">
        <v>763</v>
      </c>
      <c r="C2429" s="4" t="s">
        <v>287</v>
      </c>
      <c r="D2429" s="94">
        <v>1034.0</v>
      </c>
    </row>
    <row r="2430">
      <c r="A2430" s="40">
        <f t="array" ref="A2430">IFNA(index(PlayerValues!A:A,match(IFNA(vlookup(B2430,'Special Names'!A:B,2,FALSE),B2430),PlayerValues!E:E,0)),"N/A")</f>
        <v>14118</v>
      </c>
      <c r="B2430" s="4" t="s">
        <v>771</v>
      </c>
      <c r="C2430" s="4" t="s">
        <v>287</v>
      </c>
      <c r="D2430" s="94">
        <v>1033.0</v>
      </c>
    </row>
    <row r="2431">
      <c r="A2431" s="40">
        <f t="array" ref="A2431">IFNA(index(PlayerValues!A:A,match(IFNA(vlookup(B2431,'Special Names'!A:B,2,FALSE),B2431),PlayerValues!E:E,0)),"N/A")</f>
        <v>14849</v>
      </c>
      <c r="B2431" s="4" t="s">
        <v>733</v>
      </c>
      <c r="C2431" s="4" t="s">
        <v>287</v>
      </c>
      <c r="D2431" s="94">
        <v>1033.0</v>
      </c>
    </row>
    <row r="2432">
      <c r="A2432" s="40">
        <f t="array" ref="A2432">IFNA(index(PlayerValues!A:A,match(IFNA(vlookup(B2432,'Special Names'!A:B,2,FALSE),B2432),PlayerValues!E:E,0)),"N/A")</f>
        <v>15626</v>
      </c>
      <c r="B2432" s="4" t="s">
        <v>766</v>
      </c>
      <c r="C2432" s="4" t="s">
        <v>298</v>
      </c>
      <c r="D2432" s="94">
        <v>1394.0</v>
      </c>
    </row>
    <row r="2433">
      <c r="A2433" s="40">
        <f t="array" ref="A2433">IFNA(index(PlayerValues!A:A,match(IFNA(vlookup(B2433,'Special Names'!A:B,2,FALSE),B2433),PlayerValues!E:E,0)),"N/A")</f>
        <v>16637</v>
      </c>
      <c r="B2433" s="4" t="s">
        <v>736</v>
      </c>
      <c r="C2433" s="4" t="s">
        <v>287</v>
      </c>
      <c r="D2433" s="94">
        <v>1017.0</v>
      </c>
    </row>
    <row r="2434">
      <c r="A2434" s="40">
        <f t="array" ref="A2434">IFNA(index(PlayerValues!A:A,match(IFNA(vlookup(B2434,'Special Names'!A:B,2,FALSE),B2434),PlayerValues!E:E,0)),"N/A")</f>
        <v>16159</v>
      </c>
      <c r="B2434" s="4" t="s">
        <v>819</v>
      </c>
      <c r="C2434" s="4" t="s">
        <v>283</v>
      </c>
      <c r="D2434" s="94">
        <v>1009.0</v>
      </c>
    </row>
    <row r="2435">
      <c r="A2435" s="40">
        <f t="array" ref="A2435">IFNA(index(PlayerValues!A:A,match(IFNA(vlookup(B2435,'Special Names'!A:B,2,FALSE),B2435),PlayerValues!E:E,0)),"N/A")</f>
        <v>17057</v>
      </c>
      <c r="B2435" s="4" t="s">
        <v>708</v>
      </c>
      <c r="C2435" s="4" t="s">
        <v>278</v>
      </c>
      <c r="D2435" s="94">
        <v>1006.0</v>
      </c>
    </row>
    <row r="2436">
      <c r="A2436" s="40">
        <f t="array" ref="A2436">IFNA(index(PlayerValues!A:A,match(IFNA(vlookup(B2436,'Special Names'!A:B,2,FALSE),B2436),PlayerValues!E:E,0)),"N/A")</f>
        <v>17467</v>
      </c>
      <c r="B2436" s="4" t="s">
        <v>575</v>
      </c>
      <c r="C2436" s="4" t="s">
        <v>283</v>
      </c>
      <c r="D2436" s="94">
        <v>998.0</v>
      </c>
    </row>
    <row r="2437">
      <c r="A2437" s="40">
        <f t="array" ref="A2437">IFNA(index(PlayerValues!A:A,match(IFNA(vlookup(B2437,'Special Names'!A:B,2,FALSE),B2437),PlayerValues!E:E,0)),"N/A")</f>
        <v>16648</v>
      </c>
      <c r="B2437" s="4" t="s">
        <v>748</v>
      </c>
      <c r="C2437" s="4" t="s">
        <v>298</v>
      </c>
      <c r="D2437" s="94">
        <v>1365.0</v>
      </c>
    </row>
    <row r="2438">
      <c r="A2438" s="40">
        <f t="array" ref="A2438">IFNA(index(PlayerValues!A:A,match(IFNA(vlookup(B2438,'Special Names'!A:B,2,FALSE),B2438),PlayerValues!E:E,0)),"N/A")</f>
        <v>16957</v>
      </c>
      <c r="B2438" s="4" t="s">
        <v>806</v>
      </c>
      <c r="C2438" s="4" t="s">
        <v>278</v>
      </c>
      <c r="D2438" s="94">
        <v>992.0</v>
      </c>
    </row>
    <row r="2439">
      <c r="A2439" s="40">
        <f t="array" ref="A2439">IFNA(index(PlayerValues!A:A,match(IFNA(vlookup(B2439,'Special Names'!A:B,2,FALSE),B2439),PlayerValues!E:E,0)),"N/A")</f>
        <v>16168</v>
      </c>
      <c r="B2439" s="4" t="s">
        <v>738</v>
      </c>
      <c r="C2439" s="4" t="s">
        <v>278</v>
      </c>
      <c r="D2439" s="94">
        <v>988.0</v>
      </c>
    </row>
    <row r="2440">
      <c r="A2440" s="40">
        <f t="array" ref="A2440">IFNA(index(PlayerValues!A:A,match(IFNA(vlookup(B2440,'Special Names'!A:B,2,FALSE),B2440),PlayerValues!E:E,0)),"N/A")</f>
        <v>9064</v>
      </c>
      <c r="B2440" s="4" t="s">
        <v>761</v>
      </c>
      <c r="C2440" s="4" t="s">
        <v>283</v>
      </c>
      <c r="D2440" s="94">
        <v>984.0</v>
      </c>
    </row>
    <row r="2441">
      <c r="A2441" s="40">
        <f t="array" ref="A2441">IFNA(index(PlayerValues!A:A,match(IFNA(vlookup(B2441,'Special Names'!A:B,2,FALSE),B2441),PlayerValues!E:E,0)),"N/A")</f>
        <v>14067</v>
      </c>
      <c r="B2441" s="4" t="s">
        <v>735</v>
      </c>
      <c r="C2441" s="4" t="s">
        <v>283</v>
      </c>
      <c r="D2441" s="94">
        <v>983.0</v>
      </c>
    </row>
    <row r="2442">
      <c r="A2442" s="40">
        <f t="array" ref="A2442">IFNA(index(PlayerValues!A:A,match(IFNA(vlookup(B2442,'Special Names'!A:B,2,FALSE),B2442),PlayerValues!E:E,0)),"N/A")</f>
        <v>15330</v>
      </c>
      <c r="B2442" s="4" t="s">
        <v>749</v>
      </c>
      <c r="C2442" s="4" t="s">
        <v>298</v>
      </c>
      <c r="D2442" s="94">
        <v>1341.0</v>
      </c>
    </row>
    <row r="2443">
      <c r="A2443" s="40">
        <f t="array" ref="A2443">IFNA(index(PlayerValues!A:A,match(IFNA(vlookup(B2443,'Special Names'!A:B,2,FALSE),B2443),PlayerValues!E:E,0)),"N/A")</f>
        <v>16858</v>
      </c>
      <c r="B2443" s="4" t="s">
        <v>754</v>
      </c>
      <c r="C2443" s="4" t="s">
        <v>287</v>
      </c>
      <c r="D2443" s="94">
        <v>973.0</v>
      </c>
    </row>
    <row r="2444">
      <c r="A2444" s="40">
        <f t="array" ref="A2444">IFNA(index(PlayerValues!A:A,match(IFNA(vlookup(B2444,'Special Names'!A:B,2,FALSE),B2444),PlayerValues!E:E,0)),"N/A")</f>
        <v>13143</v>
      </c>
      <c r="B2444" s="4" t="s">
        <v>786</v>
      </c>
      <c r="C2444" s="4" t="s">
        <v>278</v>
      </c>
      <c r="D2444" s="94">
        <v>968.0</v>
      </c>
    </row>
    <row r="2445">
      <c r="A2445" s="40">
        <f t="array" ref="A2445">IFNA(index(PlayerValues!A:A,match(IFNA(vlookup(B2445,'Special Names'!A:B,2,FALSE),B2445),PlayerValues!E:E,0)),"N/A")</f>
        <v>16773</v>
      </c>
      <c r="B2445" s="4" t="s">
        <v>783</v>
      </c>
      <c r="C2445" s="4" t="s">
        <v>278</v>
      </c>
      <c r="D2445" s="94">
        <v>954.0</v>
      </c>
    </row>
    <row r="2446">
      <c r="A2446" s="40">
        <f t="array" ref="A2446">IFNA(index(PlayerValues!A:A,match(IFNA(vlookup(B2446,'Special Names'!A:B,2,FALSE),B2446),PlayerValues!E:E,0)),"N/A")</f>
        <v>14057</v>
      </c>
      <c r="B2446" s="4" t="s">
        <v>765</v>
      </c>
      <c r="C2446" s="4" t="s">
        <v>283</v>
      </c>
      <c r="D2446" s="94">
        <v>951.0</v>
      </c>
    </row>
    <row r="2447">
      <c r="A2447" s="40">
        <f t="array" ref="A2447">IFNA(index(PlayerValues!A:A,match(IFNA(vlookup(B2447,'Special Names'!A:B,2,FALSE),B2447),PlayerValues!E:E,0)),"N/A")</f>
        <v>16624</v>
      </c>
      <c r="B2447" s="4" t="s">
        <v>796</v>
      </c>
      <c r="C2447" s="4" t="s">
        <v>287</v>
      </c>
      <c r="D2447" s="94">
        <v>950.0</v>
      </c>
    </row>
    <row r="2448">
      <c r="A2448" s="40">
        <f t="array" ref="A2448">IFNA(index(PlayerValues!A:A,match(IFNA(vlookup(B2448,'Special Names'!A:B,2,FALSE),B2448),PlayerValues!E:E,0)),"N/A")</f>
        <v>16205</v>
      </c>
      <c r="B2448" s="4" t="s">
        <v>742</v>
      </c>
      <c r="C2448" s="4" t="s">
        <v>287</v>
      </c>
      <c r="D2448" s="94">
        <v>942.0</v>
      </c>
    </row>
    <row r="2449">
      <c r="A2449" s="40">
        <f t="array" ref="A2449">IFNA(index(PlayerValues!A:A,match(IFNA(vlookup(B2449,'Special Names'!A:B,2,FALSE),B2449),PlayerValues!E:E,0)),"N/A")</f>
        <v>13595</v>
      </c>
      <c r="B2449" s="4" t="s">
        <v>818</v>
      </c>
      <c r="C2449" s="4" t="s">
        <v>283</v>
      </c>
      <c r="D2449" s="94">
        <v>938.0</v>
      </c>
    </row>
    <row r="2450">
      <c r="A2450" s="40">
        <f t="array" ref="A2450">IFNA(index(PlayerValues!A:A,match(IFNA(vlookup(B2450,'Special Names'!A:B,2,FALSE),B2450),PlayerValues!E:E,0)),"N/A")</f>
        <v>15766</v>
      </c>
      <c r="B2450" s="4" t="s">
        <v>759</v>
      </c>
      <c r="C2450" s="4" t="s">
        <v>287</v>
      </c>
      <c r="D2450" s="94">
        <v>938.0</v>
      </c>
    </row>
    <row r="2451">
      <c r="A2451" s="40">
        <f t="array" ref="A2451">IFNA(index(PlayerValues!A:A,match(IFNA(vlookup(B2451,'Special Names'!A:B,2,FALSE),B2451),PlayerValues!E:E,0)),"N/A")</f>
        <v>13156</v>
      </c>
      <c r="B2451" s="4" t="s">
        <v>835</v>
      </c>
      <c r="C2451" s="4" t="s">
        <v>287</v>
      </c>
      <c r="D2451" s="94">
        <v>933.0</v>
      </c>
    </row>
    <row r="2452">
      <c r="A2452" s="40">
        <f t="array" ref="A2452">IFNA(index(PlayerValues!A:A,match(IFNA(vlookup(B2452,'Special Names'!A:B,2,FALSE),B2452),PlayerValues!E:E,0)),"N/A")</f>
        <v>15109</v>
      </c>
      <c r="B2452" s="4" t="s">
        <v>728</v>
      </c>
      <c r="C2452" s="4" t="s">
        <v>287</v>
      </c>
      <c r="D2452" s="94">
        <v>933.0</v>
      </c>
    </row>
    <row r="2453">
      <c r="A2453" s="40">
        <f t="array" ref="A2453">IFNA(index(PlayerValues!A:A,match(IFNA(vlookup(B2453,'Special Names'!A:B,2,FALSE),B2453),PlayerValues!E:E,0)),"N/A")</f>
        <v>13133</v>
      </c>
      <c r="B2453" s="4" t="s">
        <v>764</v>
      </c>
      <c r="C2453" s="4" t="s">
        <v>278</v>
      </c>
      <c r="D2453" s="94">
        <v>932.0</v>
      </c>
    </row>
    <row r="2454">
      <c r="A2454" s="40">
        <f t="array" ref="A2454">IFNA(index(PlayerValues!A:A,match(IFNA(vlookup(B2454,'Special Names'!A:B,2,FALSE),B2454),PlayerValues!E:E,0)),"N/A")</f>
        <v>16176</v>
      </c>
      <c r="B2454" s="4" t="s">
        <v>812</v>
      </c>
      <c r="C2454" s="4" t="s">
        <v>278</v>
      </c>
      <c r="D2454" s="94">
        <v>919.0</v>
      </c>
    </row>
    <row r="2455">
      <c r="A2455" s="40">
        <f t="array" ref="A2455">IFNA(index(PlayerValues!A:A,match(IFNA(vlookup(B2455,'Special Names'!A:B,2,FALSE),B2455),PlayerValues!E:E,0)),"N/A")</f>
        <v>11247</v>
      </c>
      <c r="B2455" s="4" t="s">
        <v>816</v>
      </c>
      <c r="C2455" s="4" t="s">
        <v>298</v>
      </c>
      <c r="D2455" s="94">
        <v>1286.0</v>
      </c>
    </row>
    <row r="2456">
      <c r="A2456" s="40">
        <f t="array" ref="A2456">IFNA(index(PlayerValues!A:A,match(IFNA(vlookup(B2456,'Special Names'!A:B,2,FALSE),B2456),PlayerValues!E:E,0)),"N/A")</f>
        <v>14852</v>
      </c>
      <c r="B2456" s="4" t="s">
        <v>837</v>
      </c>
      <c r="C2456" s="4" t="s">
        <v>278</v>
      </c>
      <c r="D2456" s="94">
        <v>915.0</v>
      </c>
    </row>
    <row r="2457">
      <c r="A2457" s="40">
        <f t="array" ref="A2457">IFNA(index(PlayerValues!A:A,match(IFNA(vlookup(B2457,'Special Names'!A:B,2,FALSE),B2457),PlayerValues!E:E,0)),"N/A")</f>
        <v>14079</v>
      </c>
      <c r="B2457" s="4" t="s">
        <v>830</v>
      </c>
      <c r="C2457" s="4" t="s">
        <v>278</v>
      </c>
      <c r="D2457" s="94">
        <v>913.0</v>
      </c>
    </row>
    <row r="2458">
      <c r="A2458" s="40">
        <f t="array" ref="A2458">IFNA(index(PlayerValues!A:A,match(IFNA(vlookup(B2458,'Special Names'!A:B,2,FALSE),B2458),PlayerValues!E:E,0)),"N/A")</f>
        <v>16608</v>
      </c>
      <c r="B2458" s="4" t="s">
        <v>629</v>
      </c>
      <c r="C2458" s="4" t="s">
        <v>278</v>
      </c>
      <c r="D2458" s="94">
        <v>912.0</v>
      </c>
    </row>
    <row r="2459">
      <c r="A2459" s="40">
        <f t="array" ref="A2459">IFNA(index(PlayerValues!A:A,match(IFNA(vlookup(B2459,'Special Names'!A:B,2,FALSE),B2459),PlayerValues!E:E,0)),"N/A")</f>
        <v>13763</v>
      </c>
      <c r="B2459" s="4" t="s">
        <v>831</v>
      </c>
      <c r="C2459" s="4" t="s">
        <v>298</v>
      </c>
      <c r="D2459" s="94">
        <v>1282.0</v>
      </c>
    </row>
    <row r="2460">
      <c r="A2460" s="40">
        <f t="array" ref="A2460">IFNA(index(PlayerValues!A:A,match(IFNA(vlookup(B2460,'Special Names'!A:B,2,FALSE),B2460),PlayerValues!E:E,0)),"N/A")</f>
        <v>15283</v>
      </c>
      <c r="B2460" s="4" t="s">
        <v>844</v>
      </c>
      <c r="C2460" s="4" t="s">
        <v>287</v>
      </c>
      <c r="D2460" s="94">
        <v>911.0</v>
      </c>
    </row>
    <row r="2461">
      <c r="A2461" s="40">
        <f t="array" ref="A2461">IFNA(index(PlayerValues!A:A,match(IFNA(vlookup(B2461,'Special Names'!A:B,2,FALSE),B2461),PlayerValues!E:E,0)),"N/A")</f>
        <v>17337</v>
      </c>
      <c r="B2461" s="4" t="s">
        <v>793</v>
      </c>
      <c r="C2461" s="4" t="s">
        <v>278</v>
      </c>
      <c r="D2461" s="94">
        <v>910.0</v>
      </c>
    </row>
    <row r="2462">
      <c r="A2462" s="40">
        <f t="array" ref="A2462">IFNA(index(PlayerValues!A:A,match(IFNA(vlookup(B2462,'Special Names'!A:B,2,FALSE),B2462),PlayerValues!E:E,0)),"N/A")</f>
        <v>14864</v>
      </c>
      <c r="B2462" s="4" t="s">
        <v>789</v>
      </c>
      <c r="C2462" s="4" t="s">
        <v>287</v>
      </c>
      <c r="D2462" s="94">
        <v>908.0</v>
      </c>
    </row>
    <row r="2463">
      <c r="A2463" s="40">
        <f t="array" ref="A2463">IFNA(index(PlayerValues!A:A,match(IFNA(vlookup(B2463,'Special Names'!A:B,2,FALSE),B2463),PlayerValues!E:E,0)),"N/A")</f>
        <v>12785</v>
      </c>
      <c r="B2463" s="4" t="s">
        <v>772</v>
      </c>
      <c r="C2463" s="4" t="s">
        <v>287</v>
      </c>
      <c r="D2463" s="94">
        <v>907.0</v>
      </c>
    </row>
    <row r="2464">
      <c r="A2464" s="40">
        <f t="array" ref="A2464">IFNA(index(PlayerValues!A:A,match(IFNA(vlookup(B2464,'Special Names'!A:B,2,FALSE),B2464),PlayerValues!E:E,0)),"N/A")</f>
        <v>15723</v>
      </c>
      <c r="B2464" s="4" t="s">
        <v>798</v>
      </c>
      <c r="C2464" s="4" t="s">
        <v>278</v>
      </c>
      <c r="D2464" s="94">
        <v>895.0</v>
      </c>
    </row>
    <row r="2465">
      <c r="A2465" s="40">
        <f t="array" ref="A2465">IFNA(index(PlayerValues!A:A,match(IFNA(vlookup(B2465,'Special Names'!A:B,2,FALSE),B2465),PlayerValues!E:E,0)),"N/A")</f>
        <v>13157</v>
      </c>
      <c r="B2465" s="4" t="s">
        <v>836</v>
      </c>
      <c r="C2465" s="4" t="s">
        <v>287</v>
      </c>
      <c r="D2465" s="94">
        <v>892.0</v>
      </c>
    </row>
    <row r="2466">
      <c r="A2466" s="40">
        <f t="array" ref="A2466">IFNA(index(PlayerValues!A:A,match(IFNA(vlookup(B2466,'Special Names'!A:B,2,FALSE),B2466),PlayerValues!E:E,0)),"N/A")</f>
        <v>16599</v>
      </c>
      <c r="B2466" s="4" t="s">
        <v>737</v>
      </c>
      <c r="C2466" s="4" t="s">
        <v>278</v>
      </c>
      <c r="D2466" s="94">
        <v>888.0</v>
      </c>
    </row>
    <row r="2467">
      <c r="A2467" s="40">
        <f t="array" ref="A2467">IFNA(index(PlayerValues!A:A,match(IFNA(vlookup(B2467,'Special Names'!A:B,2,FALSE),B2467),PlayerValues!E:E,0)),"N/A")</f>
        <v>11232</v>
      </c>
      <c r="B2467" s="4" t="s">
        <v>826</v>
      </c>
      <c r="C2467" s="4" t="s">
        <v>287</v>
      </c>
      <c r="D2467" s="94">
        <v>884.0</v>
      </c>
    </row>
    <row r="2468">
      <c r="A2468" s="40">
        <f t="array" ref="A2468">IFNA(index(PlayerValues!A:A,match(IFNA(vlookup(B2468,'Special Names'!A:B,2,FALSE),B2468),PlayerValues!E:E,0)),"N/A")</f>
        <v>15796</v>
      </c>
      <c r="B2468" s="4" t="s">
        <v>794</v>
      </c>
      <c r="C2468" s="4" t="s">
        <v>298</v>
      </c>
      <c r="D2468" s="94">
        <v>1251.0</v>
      </c>
    </row>
    <row r="2469">
      <c r="A2469" s="40">
        <f t="array" ref="A2469">IFNA(index(PlayerValues!A:A,match(IFNA(vlookup(B2469,'Special Names'!A:B,2,FALSE),B2469),PlayerValues!E:E,0)),"N/A")</f>
        <v>15263</v>
      </c>
      <c r="B2469" s="4" t="s">
        <v>804</v>
      </c>
      <c r="C2469" s="4" t="s">
        <v>278</v>
      </c>
      <c r="D2469" s="94">
        <v>872.0</v>
      </c>
    </row>
    <row r="2470">
      <c r="A2470" s="40">
        <f t="array" ref="A2470">IFNA(index(PlayerValues!A:A,match(IFNA(vlookup(B2470,'Special Names'!A:B,2,FALSE),B2470),PlayerValues!E:E,0)),"N/A")</f>
        <v>16416</v>
      </c>
      <c r="B2470" s="4" t="s">
        <v>752</v>
      </c>
      <c r="C2470" s="4" t="s">
        <v>287</v>
      </c>
      <c r="D2470" s="94">
        <v>864.0</v>
      </c>
    </row>
    <row r="2471">
      <c r="A2471" s="40">
        <f t="array" ref="A2471">IFNA(index(PlayerValues!A:A,match(IFNA(vlookup(B2471,'Special Names'!A:B,2,FALSE),B2471),PlayerValues!E:E,0)),"N/A")</f>
        <v>14799</v>
      </c>
      <c r="B2471" s="4" t="s">
        <v>829</v>
      </c>
      <c r="C2471" s="4" t="s">
        <v>278</v>
      </c>
      <c r="D2471" s="94">
        <v>861.0</v>
      </c>
    </row>
    <row r="2472">
      <c r="A2472" s="40">
        <f t="array" ref="A2472">IFNA(index(PlayerValues!A:A,match(IFNA(vlookup(B2472,'Special Names'!A:B,2,FALSE),B2472),PlayerValues!E:E,0)),"N/A")</f>
        <v>16686</v>
      </c>
      <c r="B2472" s="4" t="s">
        <v>805</v>
      </c>
      <c r="C2472" s="4" t="s">
        <v>287</v>
      </c>
      <c r="D2472" s="94">
        <v>859.0</v>
      </c>
    </row>
    <row r="2473">
      <c r="A2473" s="40">
        <f t="array" ref="A2473">IFNA(index(PlayerValues!A:A,match(IFNA(vlookup(B2473,'Special Names'!A:B,2,FALSE),B2473),PlayerValues!E:E,0)),"N/A")</f>
        <v>16625</v>
      </c>
      <c r="B2473" s="4" t="s">
        <v>778</v>
      </c>
      <c r="C2473" s="4" t="s">
        <v>287</v>
      </c>
      <c r="D2473" s="94">
        <v>857.0</v>
      </c>
    </row>
    <row r="2474">
      <c r="A2474" s="40">
        <f t="array" ref="A2474">IFNA(index(PlayerValues!A:A,match(IFNA(vlookup(B2474,'Special Names'!A:B,2,FALSE),B2474),PlayerValues!E:E,0)),"N/A")</f>
        <v>13172</v>
      </c>
      <c r="B2474" s="4" t="s">
        <v>840</v>
      </c>
      <c r="C2474" s="4" t="s">
        <v>287</v>
      </c>
      <c r="D2474" s="94">
        <v>854.0</v>
      </c>
    </row>
    <row r="2475">
      <c r="A2475" s="40">
        <f t="array" ref="A2475">IFNA(index(PlayerValues!A:A,match(IFNA(vlookup(B2475,'Special Names'!A:B,2,FALSE),B2475),PlayerValues!E:E,0)),"N/A")</f>
        <v>15795</v>
      </c>
      <c r="B2475" s="4" t="s">
        <v>669</v>
      </c>
      <c r="C2475" s="4" t="s">
        <v>298</v>
      </c>
      <c r="D2475" s="94">
        <v>1225.0</v>
      </c>
    </row>
    <row r="2476">
      <c r="A2476" s="40">
        <f t="array" ref="A2476">IFNA(index(PlayerValues!A:A,match(IFNA(vlookup(B2476,'Special Names'!A:B,2,FALSE),B2476),PlayerValues!E:E,0)),"N/A")</f>
        <v>15714</v>
      </c>
      <c r="B2476" s="4" t="s">
        <v>775</v>
      </c>
      <c r="C2476" s="4" t="s">
        <v>278</v>
      </c>
      <c r="D2476" s="94">
        <v>850.0</v>
      </c>
    </row>
    <row r="2477">
      <c r="A2477" s="40">
        <f t="array" ref="A2477">IFNA(index(PlayerValues!A:A,match(IFNA(vlookup(B2477,'Special Names'!A:B,2,FALSE),B2477),PlayerValues!E:E,0)),"N/A")</f>
        <v>16751</v>
      </c>
      <c r="B2477" s="4" t="s">
        <v>762</v>
      </c>
      <c r="C2477" s="4" t="s">
        <v>287</v>
      </c>
      <c r="D2477" s="94">
        <v>850.0</v>
      </c>
    </row>
    <row r="2478">
      <c r="A2478" s="40">
        <f t="array" ref="A2478">IFNA(index(PlayerValues!A:A,match(IFNA(vlookup(B2478,'Special Names'!A:B,2,FALSE),B2478),PlayerValues!E:E,0)),"N/A")</f>
        <v>15271</v>
      </c>
      <c r="B2478" s="4" t="s">
        <v>741</v>
      </c>
      <c r="C2478" s="4" t="s">
        <v>278</v>
      </c>
      <c r="D2478" s="94">
        <v>843.0</v>
      </c>
    </row>
    <row r="2479">
      <c r="A2479" s="40">
        <f t="array" ref="A2479">IFNA(index(PlayerValues!A:A,match(IFNA(vlookup(B2479,'Special Names'!A:B,2,FALSE),B2479),PlayerValues!E:E,0)),"N/A")</f>
        <v>17488</v>
      </c>
      <c r="B2479" s="4" t="s">
        <v>845</v>
      </c>
      <c r="C2479" s="4" t="s">
        <v>278</v>
      </c>
      <c r="D2479" s="94">
        <v>838.0</v>
      </c>
    </row>
    <row r="2480">
      <c r="A2480" s="40">
        <f t="array" ref="A2480">IFNA(index(PlayerValues!A:A,match(IFNA(vlookup(B2480,'Special Names'!A:B,2,FALSE),B2480),PlayerValues!E:E,0)),"N/A")</f>
        <v>16623</v>
      </c>
      <c r="B2480" s="4" t="s">
        <v>803</v>
      </c>
      <c r="C2480" s="4" t="s">
        <v>287</v>
      </c>
      <c r="D2480" s="94">
        <v>835.0</v>
      </c>
    </row>
    <row r="2481">
      <c r="A2481" s="40">
        <f t="array" ref="A2481">IFNA(index(PlayerValues!A:A,match(IFNA(vlookup(B2481,'Special Names'!A:B,2,FALSE),B2481),PlayerValues!E:E,0)),"N/A")</f>
        <v>15804</v>
      </c>
      <c r="B2481" s="4" t="s">
        <v>821</v>
      </c>
      <c r="C2481" s="4" t="s">
        <v>298</v>
      </c>
      <c r="D2481" s="94">
        <v>1206.0</v>
      </c>
    </row>
    <row r="2482">
      <c r="A2482" s="40">
        <f t="array" ref="A2482">IFNA(index(PlayerValues!A:A,match(IFNA(vlookup(B2482,'Special Names'!A:B,2,FALSE),B2482),PlayerValues!E:E,0)),"N/A")</f>
        <v>10413</v>
      </c>
      <c r="B2482" s="4" t="s">
        <v>811</v>
      </c>
      <c r="C2482" s="4" t="s">
        <v>283</v>
      </c>
      <c r="D2482" s="94">
        <v>823.0</v>
      </c>
    </row>
    <row r="2483">
      <c r="A2483" s="40">
        <f t="array" ref="A2483">IFNA(index(PlayerValues!A:A,match(IFNA(vlookup(B2483,'Special Names'!A:B,2,FALSE),B2483),PlayerValues!E:E,0)),"N/A")</f>
        <v>14358</v>
      </c>
      <c r="B2483" s="4" t="s">
        <v>813</v>
      </c>
      <c r="C2483" s="4" t="s">
        <v>283</v>
      </c>
      <c r="D2483" s="94">
        <v>821.0</v>
      </c>
    </row>
    <row r="2484">
      <c r="A2484" s="40">
        <f t="array" ref="A2484">IFNA(index(PlayerValues!A:A,match(IFNA(vlookup(B2484,'Special Names'!A:B,2,FALSE),B2484),PlayerValues!E:E,0)),"N/A")</f>
        <v>14805</v>
      </c>
      <c r="B2484" s="4" t="s">
        <v>770</v>
      </c>
      <c r="C2484" s="4" t="s">
        <v>278</v>
      </c>
      <c r="D2484" s="94">
        <v>807.0</v>
      </c>
    </row>
    <row r="2485">
      <c r="A2485" s="40">
        <f t="array" ref="A2485">IFNA(index(PlayerValues!A:A,match(IFNA(vlookup(B2485,'Special Names'!A:B,2,FALSE),B2485),PlayerValues!E:E,0)),"N/A")</f>
        <v>14209</v>
      </c>
      <c r="B2485" s="4" t="s">
        <v>809</v>
      </c>
      <c r="C2485" s="4" t="s">
        <v>298</v>
      </c>
      <c r="D2485" s="94">
        <v>1177.0</v>
      </c>
    </row>
    <row r="2486">
      <c r="A2486" s="40">
        <f t="array" ref="A2486">IFNA(index(PlayerValues!A:A,match(IFNA(vlookup(B2486,'Special Names'!A:B,2,FALSE),B2486),PlayerValues!E:E,0)),"N/A")</f>
        <v>16606</v>
      </c>
      <c r="B2486" s="4" t="s">
        <v>743</v>
      </c>
      <c r="C2486" s="4" t="s">
        <v>278</v>
      </c>
      <c r="D2486" s="94">
        <v>795.0</v>
      </c>
    </row>
    <row r="2487">
      <c r="A2487" s="40">
        <f t="array" ref="A2487">IFNA(index(PlayerValues!A:A,match(IFNA(vlookup(B2487,'Special Names'!A:B,2,FALSE),B2487),PlayerValues!E:E,0)),"N/A")</f>
        <v>15285</v>
      </c>
      <c r="B2487" s="4" t="s">
        <v>792</v>
      </c>
      <c r="C2487" s="4" t="s">
        <v>287</v>
      </c>
      <c r="D2487" s="94">
        <v>794.0</v>
      </c>
    </row>
    <row r="2488">
      <c r="A2488" s="40">
        <f t="array" ref="A2488">IFNA(index(PlayerValues!A:A,match(IFNA(vlookup(B2488,'Special Names'!A:B,2,FALSE),B2488),PlayerValues!E:E,0)),"N/A")</f>
        <v>17282</v>
      </c>
      <c r="B2488" s="4" t="s">
        <v>833</v>
      </c>
      <c r="C2488" s="4" t="s">
        <v>283</v>
      </c>
      <c r="D2488" s="94">
        <v>781.0</v>
      </c>
    </row>
    <row r="2489">
      <c r="A2489" s="40">
        <f t="array" ref="A2489">IFNA(index(PlayerValues!A:A,match(IFNA(vlookup(B2489,'Special Names'!A:B,2,FALSE),B2489),PlayerValues!E:E,0)),"N/A")</f>
        <v>15965</v>
      </c>
      <c r="B2489" s="4" t="s">
        <v>791</v>
      </c>
      <c r="C2489" s="4" t="s">
        <v>278</v>
      </c>
      <c r="D2489" s="94">
        <v>780.0</v>
      </c>
    </row>
    <row r="2490">
      <c r="A2490" s="40">
        <f t="array" ref="A2490">IFNA(index(PlayerValues!A:A,match(IFNA(vlookup(B2490,'Special Names'!A:B,2,FALSE),B2490),PlayerValues!E:E,0)),"N/A")</f>
        <v>16413</v>
      </c>
      <c r="B2490" s="4" t="s">
        <v>781</v>
      </c>
      <c r="C2490" s="4" t="s">
        <v>287</v>
      </c>
      <c r="D2490" s="94">
        <v>778.0</v>
      </c>
    </row>
    <row r="2491">
      <c r="A2491" s="40">
        <f t="array" ref="A2491">IFNA(index(PlayerValues!A:A,match(IFNA(vlookup(B2491,'Special Names'!A:B,2,FALSE),B2491),PlayerValues!E:E,0)),"N/A")</f>
        <v>12658</v>
      </c>
      <c r="B2491" s="4" t="s">
        <v>823</v>
      </c>
      <c r="C2491" s="4" t="s">
        <v>287</v>
      </c>
      <c r="D2491" s="94">
        <v>773.0</v>
      </c>
    </row>
    <row r="2492">
      <c r="A2492" s="40">
        <f t="array" ref="A2492">IFNA(index(PlayerValues!A:A,match(IFNA(vlookup(B2492,'Special Names'!A:B,2,FALSE),B2492),PlayerValues!E:E,0)),"N/A")</f>
        <v>16678</v>
      </c>
      <c r="B2492" s="4" t="s">
        <v>758</v>
      </c>
      <c r="C2492" s="4" t="s">
        <v>278</v>
      </c>
      <c r="D2492" s="94">
        <v>769.0</v>
      </c>
    </row>
    <row r="2493">
      <c r="A2493" s="40">
        <f t="array" ref="A2493">IFNA(index(PlayerValues!A:A,match(IFNA(vlookup(B2493,'Special Names'!A:B,2,FALSE),B2493),PlayerValues!E:E,0)),"N/A")</f>
        <v>16632</v>
      </c>
      <c r="B2493" s="4" t="s">
        <v>842</v>
      </c>
      <c r="C2493" s="4" t="s">
        <v>287</v>
      </c>
      <c r="D2493" s="94">
        <v>764.0</v>
      </c>
    </row>
    <row r="2494">
      <c r="A2494" s="40">
        <f t="array" ref="A2494">IFNA(index(PlayerValues!A:A,match(IFNA(vlookup(B2494,'Special Names'!A:B,2,FALSE),B2494),PlayerValues!E:E,0)),"N/A")</f>
        <v>14223</v>
      </c>
      <c r="B2494" s="4" t="s">
        <v>785</v>
      </c>
      <c r="C2494" s="4" t="s">
        <v>278</v>
      </c>
      <c r="D2494" s="94">
        <v>760.0</v>
      </c>
    </row>
    <row r="2495">
      <c r="A2495" s="40">
        <f t="array" ref="A2495">IFNA(index(PlayerValues!A:A,match(IFNA(vlookup(B2495,'Special Names'!A:B,2,FALSE),B2495),PlayerValues!E:E,0)),"N/A")</f>
        <v>13176</v>
      </c>
      <c r="B2495" s="4" t="s">
        <v>807</v>
      </c>
      <c r="C2495" s="4" t="s">
        <v>287</v>
      </c>
      <c r="D2495" s="94">
        <v>759.0</v>
      </c>
    </row>
    <row r="2496">
      <c r="A2496" s="40">
        <f t="array" ref="A2496">IFNA(index(PlayerValues!A:A,match(IFNA(vlookup(B2496,'Special Names'!A:B,2,FALSE),B2496),PlayerValues!E:E,0)),"N/A")</f>
        <v>13424</v>
      </c>
      <c r="B2496" s="4" t="s">
        <v>846</v>
      </c>
      <c r="C2496" s="4" t="s">
        <v>298</v>
      </c>
      <c r="D2496" s="94">
        <v>1106.0</v>
      </c>
    </row>
    <row r="2497">
      <c r="A2497" s="40">
        <f t="array" ref="A2497">IFNA(index(PlayerValues!A:A,match(IFNA(vlookup(B2497,'Special Names'!A:B,2,FALSE),B2497),PlayerValues!E:E,0)),"N/A")</f>
        <v>17232</v>
      </c>
      <c r="B2497" s="4" t="s">
        <v>784</v>
      </c>
      <c r="C2497" s="4" t="s">
        <v>287</v>
      </c>
      <c r="D2497" s="94">
        <v>731.0</v>
      </c>
    </row>
    <row r="2498">
      <c r="A2498" s="40">
        <f t="array" ref="A2498">IFNA(index(PlayerValues!A:A,match(IFNA(vlookup(B2498,'Special Names'!A:B,2,FALSE),B2498),PlayerValues!E:E,0)),"N/A")</f>
        <v>14858</v>
      </c>
      <c r="B2498" s="4" t="s">
        <v>799</v>
      </c>
      <c r="C2498" s="4" t="s">
        <v>287</v>
      </c>
      <c r="D2498" s="94">
        <v>721.0</v>
      </c>
    </row>
    <row r="2499">
      <c r="A2499" s="40">
        <f t="array" ref="A2499">IFNA(index(PlayerValues!A:A,match(IFNA(vlookup(B2499,'Special Names'!A:B,2,FALSE),B2499),PlayerValues!E:E,0)),"N/A")</f>
        <v>13377</v>
      </c>
      <c r="B2499" s="4" t="s">
        <v>847</v>
      </c>
      <c r="C2499" s="4" t="s">
        <v>287</v>
      </c>
      <c r="D2499" s="94">
        <v>720.0</v>
      </c>
    </row>
    <row r="2500">
      <c r="A2500" s="40">
        <f t="array" ref="A2500">IFNA(index(PlayerValues!A:A,match(IFNA(vlookup(B2500,'Special Names'!A:B,2,FALSE),B2500),PlayerValues!E:E,0)),"N/A")</f>
        <v>16170</v>
      </c>
      <c r="B2500" s="4" t="s">
        <v>801</v>
      </c>
      <c r="C2500" s="4" t="s">
        <v>278</v>
      </c>
      <c r="D2500" s="94">
        <v>719.0</v>
      </c>
    </row>
    <row r="2501">
      <c r="A2501" s="40">
        <f t="array" ref="A2501">IFNA(index(PlayerValues!A:A,match(IFNA(vlookup(B2501,'Special Names'!A:B,2,FALSE),B2501),PlayerValues!E:E,0)),"N/A")</f>
        <v>13589</v>
      </c>
      <c r="B2501" s="4" t="s">
        <v>282</v>
      </c>
      <c r="C2501" s="4" t="s">
        <v>283</v>
      </c>
      <c r="D2501" s="94">
        <v>9999.0</v>
      </c>
    </row>
    <row r="2502">
      <c r="A2502" s="40">
        <f t="array" ref="A2502">IFNA(index(PlayerValues!A:A,match(IFNA(vlookup(B2502,'Special Names'!A:B,2,FALSE),B2502),PlayerValues!E:E,0)),"N/A")</f>
        <v>16161</v>
      </c>
      <c r="B2502" s="4" t="s">
        <v>277</v>
      </c>
      <c r="C2502" s="4" t="s">
        <v>278</v>
      </c>
      <c r="D2502" s="94">
        <v>9994.0</v>
      </c>
    </row>
    <row r="2503">
      <c r="A2503" s="40">
        <f t="array" ref="A2503">IFNA(index(PlayerValues!A:A,match(IFNA(vlookup(B2503,'Special Names'!A:B,2,FALSE),B2503),PlayerValues!E:E,0)),"N/A")</f>
        <v>15281</v>
      </c>
      <c r="B2503" s="4" t="s">
        <v>286</v>
      </c>
      <c r="C2503" s="4" t="s">
        <v>287</v>
      </c>
      <c r="D2503" s="94">
        <v>9953.0</v>
      </c>
    </row>
    <row r="2504">
      <c r="A2504" s="40">
        <f t="array" ref="A2504">IFNA(index(PlayerValues!A:A,match(IFNA(vlookup(B2504,'Special Names'!A:B,2,FALSE),B2504),PlayerValues!E:E,0)),"N/A")</f>
        <v>16185</v>
      </c>
      <c r="B2504" s="4" t="s">
        <v>290</v>
      </c>
      <c r="C2504" s="4" t="s">
        <v>287</v>
      </c>
      <c r="D2504" s="94">
        <v>9888.0</v>
      </c>
    </row>
    <row r="2505">
      <c r="A2505" s="40">
        <f t="array" ref="A2505">IFNA(index(PlayerValues!A:A,match(IFNA(vlookup(B2505,'Special Names'!A:B,2,FALSE),B2505),PlayerValues!E:E,0)),"N/A")</f>
        <v>16580</v>
      </c>
      <c r="B2505" s="4" t="s">
        <v>291</v>
      </c>
      <c r="C2505" s="4" t="s">
        <v>283</v>
      </c>
      <c r="D2505" s="94">
        <v>9607.0</v>
      </c>
    </row>
    <row r="2506">
      <c r="A2506" s="40">
        <f t="array" ref="A2506">IFNA(index(PlayerValues!A:A,match(IFNA(vlookup(B2506,'Special Names'!A:B,2,FALSE),B2506),PlayerValues!E:E,0)),"N/A")</f>
        <v>16211</v>
      </c>
      <c r="B2506" s="4" t="s">
        <v>294</v>
      </c>
      <c r="C2506" s="4" t="s">
        <v>287</v>
      </c>
      <c r="D2506" s="94">
        <v>9507.0</v>
      </c>
    </row>
    <row r="2507">
      <c r="A2507" s="40">
        <f t="array" ref="A2507">IFNA(index(PlayerValues!A:A,match(IFNA(vlookup(B2507,'Special Names'!A:B,2,FALSE),B2507),PlayerValues!E:E,0)),"N/A")</f>
        <v>16162</v>
      </c>
      <c r="B2507" s="4" t="s">
        <v>281</v>
      </c>
      <c r="C2507" s="4" t="s">
        <v>278</v>
      </c>
      <c r="D2507" s="94">
        <v>9414.0</v>
      </c>
    </row>
    <row r="2508">
      <c r="A2508" s="40">
        <f t="array" ref="A2508">IFNA(index(PlayerValues!A:A,match(IFNA(vlookup(B2508,'Special Names'!A:B,2,FALSE),B2508),PlayerValues!E:E,0)),"N/A")</f>
        <v>16615</v>
      </c>
      <c r="B2508" s="4" t="s">
        <v>309</v>
      </c>
      <c r="C2508" s="4" t="s">
        <v>287</v>
      </c>
      <c r="D2508" s="94">
        <v>7733.0</v>
      </c>
    </row>
    <row r="2509">
      <c r="A2509" s="40">
        <f t="array" ref="A2509">IFNA(index(PlayerValues!A:A,match(IFNA(vlookup(B2509,'Special Names'!A:B,2,FALSE),B2509),PlayerValues!E:E,0)),"N/A")</f>
        <v>15287</v>
      </c>
      <c r="B2509" s="4" t="s">
        <v>299</v>
      </c>
      <c r="C2509" s="4" t="s">
        <v>287</v>
      </c>
      <c r="D2509" s="94">
        <v>7681.0</v>
      </c>
    </row>
    <row r="2510">
      <c r="A2510" s="40">
        <f t="array" ref="A2510">IFNA(index(PlayerValues!A:A,match(IFNA(vlookup(B2510,'Special Names'!A:B,2,FALSE),B2510),PlayerValues!E:E,0)),"N/A")</f>
        <v>15794</v>
      </c>
      <c r="B2510" s="4" t="s">
        <v>313</v>
      </c>
      <c r="C2510" s="4" t="s">
        <v>298</v>
      </c>
      <c r="D2510" s="94">
        <v>8496.0</v>
      </c>
    </row>
    <row r="2511">
      <c r="A2511" s="40">
        <f t="array" ref="A2511">IFNA(index(PlayerValues!A:A,match(IFNA(vlookup(B2511,'Special Names'!A:B,2,FALSE),B2511),PlayerValues!E:E,0)),"N/A")</f>
        <v>16579</v>
      </c>
      <c r="B2511" s="4" t="s">
        <v>302</v>
      </c>
      <c r="C2511" s="4" t="s">
        <v>283</v>
      </c>
      <c r="D2511" s="94">
        <v>7666.0</v>
      </c>
    </row>
    <row r="2512">
      <c r="A2512" s="40">
        <f t="array" ref="A2512">IFNA(index(PlayerValues!A:A,match(IFNA(vlookup(B2512,'Special Names'!A:B,2,FALSE),B2512),PlayerValues!E:E,0)),"N/A")</f>
        <v>16641</v>
      </c>
      <c r="B2512" s="4" t="s">
        <v>297</v>
      </c>
      <c r="C2512" s="4" t="s">
        <v>298</v>
      </c>
      <c r="D2512" s="94">
        <v>8472.0</v>
      </c>
    </row>
    <row r="2513">
      <c r="A2513" s="40">
        <f t="array" ref="A2513">IFNA(index(PlayerValues!A:A,match(IFNA(vlookup(B2513,'Special Names'!A:B,2,FALSE),B2513),PlayerValues!E:E,0)),"N/A")</f>
        <v>16581</v>
      </c>
      <c r="B2513" s="4" t="s">
        <v>315</v>
      </c>
      <c r="C2513" s="4" t="s">
        <v>283</v>
      </c>
      <c r="D2513" s="94">
        <v>7612.0</v>
      </c>
    </row>
    <row r="2514">
      <c r="A2514" s="40">
        <f t="array" ref="A2514">IFNA(index(PlayerValues!A:A,match(IFNA(vlookup(B2514,'Special Names'!A:B,2,FALSE),B2514),PlayerValues!E:E,0)),"N/A")</f>
        <v>13593</v>
      </c>
      <c r="B2514" s="4" t="s">
        <v>305</v>
      </c>
      <c r="C2514" s="4" t="s">
        <v>283</v>
      </c>
      <c r="D2514" s="94">
        <v>7546.0</v>
      </c>
    </row>
    <row r="2515">
      <c r="A2515" s="40">
        <f t="array" ref="A2515">IFNA(index(PlayerValues!A:A,match(IFNA(vlookup(B2515,'Special Names'!A:B,2,FALSE),B2515),PlayerValues!E:E,0)),"N/A")</f>
        <v>14836</v>
      </c>
      <c r="B2515" s="4" t="s">
        <v>306</v>
      </c>
      <c r="C2515" s="4" t="s">
        <v>287</v>
      </c>
      <c r="D2515" s="94">
        <v>7390.0</v>
      </c>
    </row>
    <row r="2516">
      <c r="A2516" s="40">
        <f t="array" ref="A2516">IFNA(index(PlayerValues!A:A,match(IFNA(vlookup(B2516,'Special Names'!A:B,2,FALSE),B2516),PlayerValues!E:E,0)),"N/A")</f>
        <v>14832</v>
      </c>
      <c r="B2516" s="4" t="s">
        <v>319</v>
      </c>
      <c r="C2516" s="4" t="s">
        <v>287</v>
      </c>
      <c r="D2516" s="94">
        <v>7338.0</v>
      </c>
    </row>
    <row r="2517">
      <c r="A2517" s="40">
        <f t="array" ref="A2517">IFNA(index(PlayerValues!A:A,match(IFNA(vlookup(B2517,'Special Names'!A:B,2,FALSE),B2517),PlayerValues!E:E,0)),"N/A")</f>
        <v>17042</v>
      </c>
      <c r="B2517" s="4" t="s">
        <v>314</v>
      </c>
      <c r="C2517" s="4" t="s">
        <v>278</v>
      </c>
      <c r="D2517" s="94">
        <v>7224.0</v>
      </c>
    </row>
    <row r="2518">
      <c r="A2518" s="40">
        <f t="array" ref="A2518">IFNA(index(PlayerValues!A:A,match(IFNA(vlookup(B2518,'Special Names'!A:B,2,FALSE),B2518),PlayerValues!E:E,0)),"N/A")</f>
        <v>14777</v>
      </c>
      <c r="B2518" s="4" t="s">
        <v>318</v>
      </c>
      <c r="C2518" s="4" t="s">
        <v>283</v>
      </c>
      <c r="D2518" s="94">
        <v>7223.0</v>
      </c>
    </row>
    <row r="2519">
      <c r="A2519" s="40">
        <f t="array" ref="A2519">IFNA(index(PlayerValues!A:A,match(IFNA(vlookup(B2519,'Special Names'!A:B,2,FALSE),B2519),PlayerValues!E:E,0)),"N/A")</f>
        <v>16167</v>
      </c>
      <c r="B2519" s="4" t="s">
        <v>323</v>
      </c>
      <c r="C2519" s="4" t="s">
        <v>278</v>
      </c>
      <c r="D2519" s="94">
        <v>7035.0</v>
      </c>
    </row>
    <row r="2520">
      <c r="A2520" s="40">
        <f t="array" ref="A2520">IFNA(index(PlayerValues!A:A,match(IFNA(vlookup(B2520,'Special Names'!A:B,2,FALSE),B2520),PlayerValues!E:E,0)),"N/A")</f>
        <v>15751</v>
      </c>
      <c r="B2520" s="4" t="s">
        <v>328</v>
      </c>
      <c r="C2520" s="4" t="s">
        <v>287</v>
      </c>
      <c r="D2520" s="94">
        <v>7030.0</v>
      </c>
    </row>
    <row r="2521">
      <c r="A2521" s="40">
        <f t="array" ref="A2521">IFNA(index(PlayerValues!A:A,match(IFNA(vlookup(B2521,'Special Names'!A:B,2,FALSE),B2521),PlayerValues!E:E,0)),"N/A")</f>
        <v>17472</v>
      </c>
      <c r="B2521" s="4" t="s">
        <v>310</v>
      </c>
      <c r="C2521" s="4" t="s">
        <v>278</v>
      </c>
      <c r="D2521" s="94">
        <v>6935.0</v>
      </c>
    </row>
    <row r="2522">
      <c r="A2522" s="40">
        <f t="array" ref="A2522">IFNA(index(PlayerValues!A:A,match(IFNA(vlookup(B2522,'Special Names'!A:B,2,FALSE),B2522),PlayerValues!E:E,0)),"N/A")</f>
        <v>14779</v>
      </c>
      <c r="B2522" s="4" t="s">
        <v>327</v>
      </c>
      <c r="C2522" s="4" t="s">
        <v>283</v>
      </c>
      <c r="D2522" s="94">
        <v>6889.0</v>
      </c>
    </row>
    <row r="2523">
      <c r="A2523" s="40" t="str">
        <f t="array" ref="A2523">IFNA(index(PlayerValues!A:A,match(IFNA(vlookup(B2523,'Special Names'!A:B,2,FALSE),B2523),PlayerValues!E:E,0)),"N/A")</f>
        <v>N/A</v>
      </c>
      <c r="B2523" s="4" t="s">
        <v>92</v>
      </c>
      <c r="C2523" s="4" t="s">
        <v>325</v>
      </c>
      <c r="D2523" s="94">
        <v>6650.0</v>
      </c>
    </row>
    <row r="2524">
      <c r="A2524" s="40">
        <f t="array" ref="A2524">IFNA(index(PlayerValues!A:A,match(IFNA(vlookup(B2524,'Special Names'!A:B,2,FALSE),B2524),PlayerValues!E:E,0)),"N/A")</f>
        <v>17044</v>
      </c>
      <c r="B2524" s="4" t="s">
        <v>322</v>
      </c>
      <c r="C2524" s="4" t="s">
        <v>278</v>
      </c>
      <c r="D2524" s="94">
        <v>6641.0</v>
      </c>
    </row>
    <row r="2525">
      <c r="A2525" s="40">
        <f t="array" ref="A2525">IFNA(index(PlayerValues!A:A,match(IFNA(vlookup(B2525,'Special Names'!A:B,2,FALSE),B2525),PlayerValues!E:E,0)),"N/A")</f>
        <v>17032</v>
      </c>
      <c r="B2525" s="4" t="s">
        <v>348</v>
      </c>
      <c r="C2525" s="4" t="s">
        <v>283</v>
      </c>
      <c r="D2525" s="94">
        <v>6630.0</v>
      </c>
    </row>
    <row r="2526">
      <c r="A2526" s="40">
        <f t="array" ref="A2526">IFNA(index(PlayerValues!A:A,match(IFNA(vlookup(B2526,'Special Names'!A:B,2,FALSE),B2526),PlayerValues!E:E,0)),"N/A")</f>
        <v>17071</v>
      </c>
      <c r="B2526" s="4" t="s">
        <v>341</v>
      </c>
      <c r="C2526" s="4" t="s">
        <v>287</v>
      </c>
      <c r="D2526" s="94">
        <v>6609.0</v>
      </c>
    </row>
    <row r="2527">
      <c r="A2527" s="40">
        <f t="array" ref="A2527">IFNA(index(PlayerValues!A:A,match(IFNA(vlookup(B2527,'Special Names'!A:B,2,FALSE),B2527),PlayerValues!E:E,0)),"N/A")</f>
        <v>13116</v>
      </c>
      <c r="B2527" s="4" t="s">
        <v>345</v>
      </c>
      <c r="C2527" s="4" t="s">
        <v>283</v>
      </c>
      <c r="D2527" s="94">
        <v>6579.0</v>
      </c>
    </row>
    <row r="2528">
      <c r="A2528" s="40">
        <f t="array" ref="A2528">IFNA(index(PlayerValues!A:A,match(IFNA(vlookup(B2528,'Special Names'!A:B,2,FALSE),B2528),PlayerValues!E:E,0)),"N/A")</f>
        <v>14783</v>
      </c>
      <c r="B2528" s="4" t="s">
        <v>342</v>
      </c>
      <c r="C2528" s="4" t="s">
        <v>283</v>
      </c>
      <c r="D2528" s="94">
        <v>6348.0</v>
      </c>
    </row>
    <row r="2529">
      <c r="A2529" s="40">
        <f t="array" ref="A2529">IFNA(index(PlayerValues!A:A,match(IFNA(vlookup(B2529,'Special Names'!A:B,2,FALSE),B2529),PlayerValues!E:E,0)),"N/A")</f>
        <v>15237</v>
      </c>
      <c r="B2529" s="4" t="s">
        <v>336</v>
      </c>
      <c r="C2529" s="4" t="s">
        <v>283</v>
      </c>
      <c r="D2529" s="94">
        <v>6333.0</v>
      </c>
    </row>
    <row r="2530">
      <c r="A2530" s="40">
        <f t="array" ref="A2530">IFNA(index(PlayerValues!A:A,match(IFNA(vlookup(B2530,'Special Names'!A:B,2,FALSE),B2530),PlayerValues!E:E,0)),"N/A")</f>
        <v>15715</v>
      </c>
      <c r="B2530" s="4" t="s">
        <v>331</v>
      </c>
      <c r="C2530" s="4" t="s">
        <v>278</v>
      </c>
      <c r="D2530" s="94">
        <v>6171.0</v>
      </c>
    </row>
    <row r="2531">
      <c r="A2531" s="40">
        <f t="array" ref="A2531">IFNA(index(PlayerValues!A:A,match(IFNA(vlookup(B2531,'Special Names'!A:B,2,FALSE),B2531),PlayerValues!E:E,0)),"N/A")</f>
        <v>15762</v>
      </c>
      <c r="B2531" s="4" t="s">
        <v>337</v>
      </c>
      <c r="C2531" s="4" t="s">
        <v>287</v>
      </c>
      <c r="D2531" s="94">
        <v>6154.0</v>
      </c>
    </row>
    <row r="2532">
      <c r="A2532" s="40">
        <f t="array" ref="A2532">IFNA(index(PlayerValues!A:A,match(IFNA(vlookup(B2532,'Special Names'!A:B,2,FALSE),B2532),PlayerValues!E:E,0)),"N/A")</f>
        <v>16582</v>
      </c>
      <c r="B2532" s="4" t="s">
        <v>343</v>
      </c>
      <c r="C2532" s="4" t="s">
        <v>283</v>
      </c>
      <c r="D2532" s="94">
        <v>6130.0</v>
      </c>
    </row>
    <row r="2533">
      <c r="A2533" s="40">
        <f t="array" ref="A2533">IFNA(index(PlayerValues!A:A,match(IFNA(vlookup(B2533,'Special Names'!A:B,2,FALSE),B2533),PlayerValues!E:E,0)),"N/A")</f>
        <v>14802</v>
      </c>
      <c r="B2533" s="4" t="s">
        <v>332</v>
      </c>
      <c r="C2533" s="4" t="s">
        <v>278</v>
      </c>
      <c r="D2533" s="94">
        <v>6119.0</v>
      </c>
    </row>
    <row r="2534">
      <c r="A2534" s="40">
        <f t="array" ref="A2534">IFNA(index(PlayerValues!A:A,match(IFNA(vlookup(B2534,'Special Names'!A:B,2,FALSE),B2534),PlayerValues!E:E,0)),"N/A")</f>
        <v>15698</v>
      </c>
      <c r="B2534" s="4" t="s">
        <v>358</v>
      </c>
      <c r="C2534" s="4" t="s">
        <v>283</v>
      </c>
      <c r="D2534" s="94">
        <v>6117.0</v>
      </c>
    </row>
    <row r="2535">
      <c r="A2535" s="40">
        <f t="array" ref="A2535">IFNA(index(PlayerValues!A:A,match(IFNA(vlookup(B2535,'Special Names'!A:B,2,FALSE),B2535),PlayerValues!E:E,0)),"N/A")</f>
        <v>15290</v>
      </c>
      <c r="B2535" s="4" t="s">
        <v>355</v>
      </c>
      <c r="C2535" s="4" t="s">
        <v>287</v>
      </c>
      <c r="D2535" s="94">
        <v>5988.0</v>
      </c>
    </row>
    <row r="2536">
      <c r="A2536" s="40">
        <f t="array" ref="A2536">IFNA(index(PlayerValues!A:A,match(IFNA(vlookup(B2536,'Special Names'!A:B,2,FALSE),B2536),PlayerValues!E:E,0)),"N/A")</f>
        <v>17081</v>
      </c>
      <c r="B2536" s="4" t="s">
        <v>340</v>
      </c>
      <c r="C2536" s="4" t="s">
        <v>287</v>
      </c>
      <c r="D2536" s="94">
        <v>5978.0</v>
      </c>
    </row>
    <row r="2537">
      <c r="A2537" s="40" t="str">
        <f t="array" ref="A2537">IFNA(index(PlayerValues!A:A,match(IFNA(vlookup(B2537,'Special Names'!A:B,2,FALSE),B2537),PlayerValues!E:E,0)),"N/A")</f>
        <v>N/A</v>
      </c>
      <c r="B2537" s="4" t="s">
        <v>79</v>
      </c>
      <c r="C2537" s="4" t="s">
        <v>325</v>
      </c>
      <c r="D2537" s="94">
        <v>5961.0</v>
      </c>
    </row>
    <row r="2538">
      <c r="A2538" s="40">
        <f t="array" ref="A2538">IFNA(index(PlayerValues!A:A,match(IFNA(vlookup(B2538,'Special Names'!A:B,2,FALSE),B2538),PlayerValues!E:E,0)),"N/A")</f>
        <v>17104</v>
      </c>
      <c r="B2538" s="4" t="s">
        <v>333</v>
      </c>
      <c r="C2538" s="4" t="s">
        <v>298</v>
      </c>
      <c r="D2538" s="94">
        <v>6615.0</v>
      </c>
    </row>
    <row r="2539">
      <c r="A2539" s="40">
        <f t="array" ref="A2539">IFNA(index(PlayerValues!A:A,match(IFNA(vlookup(B2539,'Special Names'!A:B,2,FALSE),B2539),PlayerValues!E:E,0)),"N/A")</f>
        <v>17043</v>
      </c>
      <c r="B2539" s="4" t="s">
        <v>397</v>
      </c>
      <c r="C2539" s="4" t="s">
        <v>278</v>
      </c>
      <c r="D2539" s="94">
        <v>5888.0</v>
      </c>
    </row>
    <row r="2540">
      <c r="A2540" s="40">
        <f t="array" ref="A2540">IFNA(index(PlayerValues!A:A,match(IFNA(vlookup(B2540,'Special Names'!A:B,2,FALSE),B2540),PlayerValues!E:E,0)),"N/A")</f>
        <v>15753</v>
      </c>
      <c r="B2540" s="4" t="s">
        <v>359</v>
      </c>
      <c r="C2540" s="4" t="s">
        <v>287</v>
      </c>
      <c r="D2540" s="94">
        <v>5833.0</v>
      </c>
    </row>
    <row r="2541">
      <c r="A2541" s="40">
        <f t="array" ref="A2541">IFNA(index(PlayerValues!A:A,match(IFNA(vlookup(B2541,'Special Names'!A:B,2,FALSE),B2541),PlayerValues!E:E,0)),"N/A")</f>
        <v>15754</v>
      </c>
      <c r="B2541" s="4" t="s">
        <v>354</v>
      </c>
      <c r="C2541" s="4" t="s">
        <v>287</v>
      </c>
      <c r="D2541" s="94">
        <v>5828.0</v>
      </c>
    </row>
    <row r="2542">
      <c r="A2542" s="40">
        <f t="array" ref="A2542">IFNA(index(PlayerValues!A:A,match(IFNA(vlookup(B2542,'Special Names'!A:B,2,FALSE),B2542),PlayerValues!E:E,0)),"N/A")</f>
        <v>14782</v>
      </c>
      <c r="B2542" s="4" t="s">
        <v>385</v>
      </c>
      <c r="C2542" s="4" t="s">
        <v>283</v>
      </c>
      <c r="D2542" s="94">
        <v>5696.0</v>
      </c>
    </row>
    <row r="2543">
      <c r="A2543" s="40">
        <f t="array" ref="A2543">IFNA(index(PlayerValues!A:A,match(IFNA(vlookup(B2543,'Special Names'!A:B,2,FALSE),B2543),PlayerValues!E:E,0)),"N/A")</f>
        <v>17102</v>
      </c>
      <c r="B2543" s="4" t="s">
        <v>344</v>
      </c>
      <c r="C2543" s="4" t="s">
        <v>298</v>
      </c>
      <c r="D2543" s="94">
        <v>6269.0</v>
      </c>
    </row>
    <row r="2544">
      <c r="A2544" s="40">
        <f t="array" ref="A2544">IFNA(index(PlayerValues!A:A,match(IFNA(vlookup(B2544,'Special Names'!A:B,2,FALSE),B2544),PlayerValues!E:E,0)),"N/A")</f>
        <v>17462</v>
      </c>
      <c r="B2544" s="4" t="s">
        <v>375</v>
      </c>
      <c r="C2544" s="4" t="s">
        <v>283</v>
      </c>
      <c r="D2544" s="94">
        <v>5615.0</v>
      </c>
    </row>
    <row r="2545">
      <c r="A2545" s="40">
        <f t="array" ref="A2545">IFNA(index(PlayerValues!A:A,match(IFNA(vlookup(B2545,'Special Names'!A:B,2,FALSE),B2545),PlayerValues!E:E,0)),"N/A")</f>
        <v>15708</v>
      </c>
      <c r="B2545" s="4" t="s">
        <v>382</v>
      </c>
      <c r="C2545" s="4" t="s">
        <v>278</v>
      </c>
      <c r="D2545" s="94">
        <v>5523.0</v>
      </c>
    </row>
    <row r="2546">
      <c r="A2546" s="40">
        <f t="array" ref="A2546">IFNA(index(PlayerValues!A:A,match(IFNA(vlookup(B2546,'Special Names'!A:B,2,FALSE),B2546),PlayerValues!E:E,0)),"N/A")</f>
        <v>16627</v>
      </c>
      <c r="B2546" s="4" t="s">
        <v>351</v>
      </c>
      <c r="C2546" s="4" t="s">
        <v>287</v>
      </c>
      <c r="D2546" s="94">
        <v>5483.0</v>
      </c>
    </row>
    <row r="2547">
      <c r="A2547" s="40">
        <f t="array" ref="A2547">IFNA(index(PlayerValues!A:A,match(IFNA(vlookup(B2547,'Special Names'!A:B,2,FALSE),B2547),PlayerValues!E:E,0)),"N/A")</f>
        <v>16598</v>
      </c>
      <c r="B2547" s="4" t="s">
        <v>408</v>
      </c>
      <c r="C2547" s="4" t="s">
        <v>278</v>
      </c>
      <c r="D2547" s="94">
        <v>5466.0</v>
      </c>
    </row>
    <row r="2548">
      <c r="A2548" s="40">
        <f t="array" ref="A2548">IFNA(index(PlayerValues!A:A,match(IFNA(vlookup(B2548,'Special Names'!A:B,2,FALSE),B2548),PlayerValues!E:E,0)),"N/A")</f>
        <v>17051</v>
      </c>
      <c r="B2548" s="4" t="s">
        <v>386</v>
      </c>
      <c r="C2548" s="4" t="s">
        <v>278</v>
      </c>
      <c r="D2548" s="94">
        <v>5463.0</v>
      </c>
    </row>
    <row r="2549">
      <c r="A2549" s="40" t="str">
        <f t="array" ref="A2549">IFNA(index(PlayerValues!A:A,match(IFNA(vlookup(B2549,'Special Names'!A:B,2,FALSE),B2549),PlayerValues!E:E,0)),"N/A")</f>
        <v>N/A</v>
      </c>
      <c r="B2549" s="4" t="s">
        <v>93</v>
      </c>
      <c r="C2549" s="4" t="s">
        <v>325</v>
      </c>
      <c r="D2549" s="94">
        <v>5447.0</v>
      </c>
    </row>
    <row r="2550">
      <c r="A2550" s="40">
        <f t="array" ref="A2550">IFNA(index(PlayerValues!A:A,match(IFNA(vlookup(B2550,'Special Names'!A:B,2,FALSE),B2550),PlayerValues!E:E,0)),"N/A")</f>
        <v>17497</v>
      </c>
      <c r="B2550" s="4" t="s">
        <v>365</v>
      </c>
      <c r="C2550" s="4" t="s">
        <v>287</v>
      </c>
      <c r="D2550" s="94">
        <v>5314.0</v>
      </c>
    </row>
    <row r="2551">
      <c r="A2551" s="40">
        <f t="array" ref="A2551">IFNA(index(PlayerValues!A:A,match(IFNA(vlookup(B2551,'Special Names'!A:B,2,FALSE),B2551),PlayerValues!E:E,0)),"N/A")</f>
        <v>16616</v>
      </c>
      <c r="B2551" s="4" t="s">
        <v>389</v>
      </c>
      <c r="C2551" s="4" t="s">
        <v>287</v>
      </c>
      <c r="D2551" s="94">
        <v>5312.0</v>
      </c>
    </row>
    <row r="2552">
      <c r="A2552" s="40">
        <f t="array" ref="A2552">IFNA(index(PlayerValues!A:A,match(IFNA(vlookup(B2552,'Special Names'!A:B,2,FALSE),B2552),PlayerValues!E:E,0)),"N/A")</f>
        <v>17499</v>
      </c>
      <c r="B2552" s="4" t="s">
        <v>402</v>
      </c>
      <c r="C2552" s="4" t="s">
        <v>287</v>
      </c>
      <c r="D2552" s="94">
        <v>5235.0</v>
      </c>
    </row>
    <row r="2553">
      <c r="A2553" s="40">
        <f t="array" ref="A2553">IFNA(index(PlayerValues!A:A,match(IFNA(vlookup(B2553,'Special Names'!A:B,2,FALSE),B2553),PlayerValues!E:E,0)),"N/A")</f>
        <v>16614</v>
      </c>
      <c r="B2553" s="4" t="s">
        <v>403</v>
      </c>
      <c r="C2553" s="4" t="s">
        <v>287</v>
      </c>
      <c r="D2553" s="94">
        <v>5124.0</v>
      </c>
    </row>
    <row r="2554">
      <c r="A2554" s="40">
        <f t="array" ref="A2554">IFNA(index(PlayerValues!A:A,match(IFNA(vlookup(B2554,'Special Names'!A:B,2,FALSE),B2554),PlayerValues!E:E,0)),"N/A")</f>
        <v>17030</v>
      </c>
      <c r="B2554" s="4" t="s">
        <v>406</v>
      </c>
      <c r="C2554" s="4" t="s">
        <v>283</v>
      </c>
      <c r="D2554" s="94">
        <v>5089.0</v>
      </c>
    </row>
    <row r="2555">
      <c r="A2555" s="40">
        <f t="array" ref="A2555">IFNA(index(PlayerValues!A:A,match(IFNA(vlookup(B2555,'Special Names'!A:B,2,FALSE),B2555),PlayerValues!E:E,0)),"N/A")</f>
        <v>13130</v>
      </c>
      <c r="B2555" s="4" t="s">
        <v>374</v>
      </c>
      <c r="C2555" s="4" t="s">
        <v>278</v>
      </c>
      <c r="D2555" s="94">
        <v>5077.0</v>
      </c>
    </row>
    <row r="2556">
      <c r="A2556" s="40">
        <f t="array" ref="A2556">IFNA(index(PlayerValues!A:A,match(IFNA(vlookup(B2556,'Special Names'!A:B,2,FALSE),B2556),PlayerValues!E:E,0)),"N/A")</f>
        <v>15711</v>
      </c>
      <c r="B2556" s="4" t="s">
        <v>349</v>
      </c>
      <c r="C2556" s="4" t="s">
        <v>278</v>
      </c>
      <c r="D2556" s="94">
        <v>5047.0</v>
      </c>
    </row>
    <row r="2557">
      <c r="A2557" s="40">
        <f t="array" ref="A2557">IFNA(index(PlayerValues!A:A,match(IFNA(vlookup(B2557,'Special Names'!A:B,2,FALSE),B2557),PlayerValues!E:E,0)),"N/A")</f>
        <v>16618</v>
      </c>
      <c r="B2557" s="4" t="s">
        <v>411</v>
      </c>
      <c r="C2557" s="4" t="s">
        <v>287</v>
      </c>
      <c r="D2557" s="94">
        <v>5041.0</v>
      </c>
    </row>
    <row r="2558">
      <c r="A2558" s="40">
        <f t="array" ref="A2558">IFNA(index(PlayerValues!A:A,match(IFNA(vlookup(B2558,'Special Names'!A:B,2,FALSE),B2558),PlayerValues!E:E,0)),"N/A")</f>
        <v>12620</v>
      </c>
      <c r="B2558" s="4" t="s">
        <v>394</v>
      </c>
      <c r="C2558" s="4" t="s">
        <v>283</v>
      </c>
      <c r="D2558" s="94">
        <v>5011.0</v>
      </c>
    </row>
    <row r="2559">
      <c r="A2559" s="40">
        <f t="array" ref="A2559">IFNA(index(PlayerValues!A:A,match(IFNA(vlookup(B2559,'Special Names'!A:B,2,FALSE),B2559),PlayerValues!E:E,0)),"N/A")</f>
        <v>16194</v>
      </c>
      <c r="B2559" s="4" t="s">
        <v>398</v>
      </c>
      <c r="C2559" s="4" t="s">
        <v>287</v>
      </c>
      <c r="D2559" s="94">
        <v>5010.0</v>
      </c>
    </row>
    <row r="2560">
      <c r="A2560" s="40">
        <f t="array" ref="A2560">IFNA(index(PlayerValues!A:A,match(IFNA(vlookup(B2560,'Special Names'!A:B,2,FALSE),B2560),PlayerValues!E:E,0)),"N/A")</f>
        <v>17070</v>
      </c>
      <c r="B2560" s="4" t="s">
        <v>370</v>
      </c>
      <c r="C2560" s="4" t="s">
        <v>287</v>
      </c>
      <c r="D2560" s="94">
        <v>4936.0</v>
      </c>
    </row>
    <row r="2561">
      <c r="A2561" s="40">
        <f t="array" ref="A2561">IFNA(index(PlayerValues!A:A,match(IFNA(vlookup(B2561,'Special Names'!A:B,2,FALSE),B2561),PlayerValues!E:E,0)),"N/A")</f>
        <v>16181</v>
      </c>
      <c r="B2561" s="4" t="s">
        <v>350</v>
      </c>
      <c r="C2561" s="4" t="s">
        <v>278</v>
      </c>
      <c r="D2561" s="94">
        <v>4935.0</v>
      </c>
    </row>
    <row r="2562">
      <c r="A2562" s="40">
        <f t="array" ref="A2562">IFNA(index(PlayerValues!A:A,match(IFNA(vlookup(B2562,'Special Names'!A:B,2,FALSE),B2562),PlayerValues!E:E,0)),"N/A")</f>
        <v>17103</v>
      </c>
      <c r="B2562" s="4" t="s">
        <v>405</v>
      </c>
      <c r="C2562" s="4" t="s">
        <v>298</v>
      </c>
      <c r="D2562" s="94">
        <v>5470.0</v>
      </c>
    </row>
    <row r="2563">
      <c r="A2563" s="40">
        <f t="array" ref="A2563">IFNA(index(PlayerValues!A:A,match(IFNA(vlookup(B2563,'Special Names'!A:B,2,FALSE),B2563),PlayerValues!E:E,0)),"N/A")</f>
        <v>16222</v>
      </c>
      <c r="B2563" s="4" t="s">
        <v>393</v>
      </c>
      <c r="C2563" s="4" t="s">
        <v>298</v>
      </c>
      <c r="D2563" s="94">
        <v>5442.0</v>
      </c>
    </row>
    <row r="2564">
      <c r="A2564" s="40">
        <f t="array" ref="A2564">IFNA(index(PlayerValues!A:A,match(IFNA(vlookup(B2564,'Special Names'!A:B,2,FALSE),B2564),PlayerValues!E:E,0)),"N/A")</f>
        <v>15710</v>
      </c>
      <c r="B2564" s="4" t="s">
        <v>395</v>
      </c>
      <c r="C2564" s="4" t="s">
        <v>278</v>
      </c>
      <c r="D2564" s="94">
        <v>4853.0</v>
      </c>
    </row>
    <row r="2565">
      <c r="A2565" s="40">
        <f t="array" ref="A2565">IFNA(index(PlayerValues!A:A,match(IFNA(vlookup(B2565,'Special Names'!A:B,2,FALSE),B2565),PlayerValues!E:E,0)),"N/A")</f>
        <v>13590</v>
      </c>
      <c r="B2565" s="4" t="s">
        <v>409</v>
      </c>
      <c r="C2565" s="4" t="s">
        <v>283</v>
      </c>
      <c r="D2565" s="94">
        <v>4839.0</v>
      </c>
    </row>
    <row r="2566">
      <c r="A2566" s="40">
        <f t="array" ref="A2566">IFNA(index(PlayerValues!A:A,match(IFNA(vlookup(B2566,'Special Names'!A:B,2,FALSE),B2566),PlayerValues!E:E,0)),"N/A")</f>
        <v>13592</v>
      </c>
      <c r="B2566" s="4" t="s">
        <v>418</v>
      </c>
      <c r="C2566" s="4" t="s">
        <v>283</v>
      </c>
      <c r="D2566" s="94">
        <v>4832.0</v>
      </c>
    </row>
    <row r="2567">
      <c r="A2567" s="40">
        <f t="array" ref="A2567">IFNA(index(PlayerValues!A:A,match(IFNA(vlookup(B2567,'Special Names'!A:B,2,FALSE),B2567),PlayerValues!E:E,0)),"N/A")</f>
        <v>16150</v>
      </c>
      <c r="B2567" s="4" t="s">
        <v>414</v>
      </c>
      <c r="C2567" s="4" t="s">
        <v>283</v>
      </c>
      <c r="D2567" s="94">
        <v>4826.0</v>
      </c>
    </row>
    <row r="2568">
      <c r="A2568" s="40">
        <f t="array" ref="A2568">IFNA(index(PlayerValues!A:A,match(IFNA(vlookup(B2568,'Special Names'!A:B,2,FALSE),B2568),PlayerValues!E:E,0)),"N/A")</f>
        <v>14835</v>
      </c>
      <c r="B2568" s="4" t="s">
        <v>392</v>
      </c>
      <c r="C2568" s="4" t="s">
        <v>287</v>
      </c>
      <c r="D2568" s="94">
        <v>4825.0</v>
      </c>
    </row>
    <row r="2569">
      <c r="A2569" s="40">
        <f t="array" ref="A2569">IFNA(index(PlayerValues!A:A,match(IFNA(vlookup(B2569,'Special Names'!A:B,2,FALSE),B2569),PlayerValues!E:E,0)),"N/A")</f>
        <v>17045</v>
      </c>
      <c r="B2569" s="4" t="s">
        <v>407</v>
      </c>
      <c r="C2569" s="4" t="s">
        <v>278</v>
      </c>
      <c r="D2569" s="94">
        <v>4825.0</v>
      </c>
    </row>
    <row r="2570">
      <c r="A2570" s="40" t="str">
        <f t="array" ref="A2570">IFNA(index(PlayerValues!A:A,match(IFNA(vlookup(B2570,'Special Names'!A:B,2,FALSE),B2570),PlayerValues!E:E,0)),"N/A")</f>
        <v>N/A</v>
      </c>
      <c r="B2570" s="4" t="s">
        <v>104</v>
      </c>
      <c r="C2570" s="4" t="s">
        <v>325</v>
      </c>
      <c r="D2570" s="94">
        <v>4825.0</v>
      </c>
    </row>
    <row r="2571">
      <c r="A2571" s="40">
        <f t="array" ref="A2571">IFNA(index(PlayerValues!A:A,match(IFNA(vlookup(B2571,'Special Names'!A:B,2,FALSE),B2571),PlayerValues!E:E,0)),"N/A")</f>
        <v>17498</v>
      </c>
      <c r="B2571" s="4" t="s">
        <v>396</v>
      </c>
      <c r="C2571" s="4" t="s">
        <v>287</v>
      </c>
      <c r="D2571" s="94">
        <v>4820.0</v>
      </c>
    </row>
    <row r="2572">
      <c r="A2572" s="40">
        <f t="array" ref="A2572">IFNA(index(PlayerValues!A:A,match(IFNA(vlookup(B2572,'Special Names'!A:B,2,FALSE),B2572),PlayerValues!E:E,0)),"N/A")</f>
        <v>15282</v>
      </c>
      <c r="B2572" s="4" t="s">
        <v>364</v>
      </c>
      <c r="C2572" s="4" t="s">
        <v>287</v>
      </c>
      <c r="D2572" s="94">
        <v>4797.0</v>
      </c>
    </row>
    <row r="2573">
      <c r="A2573" s="40" t="str">
        <f t="array" ref="A2573">IFNA(index(PlayerValues!A:A,match(IFNA(vlookup(B2573,'Special Names'!A:B,2,FALSE),B2573),PlayerValues!E:E,0)),"N/A")</f>
        <v>N/A</v>
      </c>
      <c r="B2573" s="4" t="s">
        <v>94</v>
      </c>
      <c r="C2573" s="4" t="s">
        <v>325</v>
      </c>
      <c r="D2573" s="94">
        <v>4785.0</v>
      </c>
    </row>
    <row r="2574">
      <c r="A2574" s="40">
        <f t="array" ref="A2574">IFNA(index(PlayerValues!A:A,match(IFNA(vlookup(B2574,'Special Names'!A:B,2,FALSE),B2574),PlayerValues!E:E,0)),"N/A")</f>
        <v>13604</v>
      </c>
      <c r="B2574" s="4" t="s">
        <v>378</v>
      </c>
      <c r="C2574" s="4" t="s">
        <v>278</v>
      </c>
      <c r="D2574" s="94">
        <v>4781.0</v>
      </c>
    </row>
    <row r="2575">
      <c r="A2575" s="40">
        <f t="array" ref="A2575">IFNA(index(PlayerValues!A:A,match(IFNA(vlookup(B2575,'Special Names'!A:B,2,FALSE),B2575),PlayerValues!E:E,0)),"N/A")</f>
        <v>14104</v>
      </c>
      <c r="B2575" s="4" t="s">
        <v>379</v>
      </c>
      <c r="C2575" s="4" t="s">
        <v>287</v>
      </c>
      <c r="D2575" s="94">
        <v>4743.0</v>
      </c>
    </row>
    <row r="2576">
      <c r="A2576" s="40">
        <f t="array" ref="A2576">IFNA(index(PlayerValues!A:A,match(IFNA(vlookup(B2576,'Special Names'!A:B,2,FALSE),B2576),PlayerValues!E:E,0)),"N/A")</f>
        <v>15756</v>
      </c>
      <c r="B2576" s="4" t="s">
        <v>399</v>
      </c>
      <c r="C2576" s="4" t="s">
        <v>287</v>
      </c>
      <c r="D2576" s="94">
        <v>4740.0</v>
      </c>
    </row>
    <row r="2577">
      <c r="A2577" s="40">
        <f t="array" ref="A2577">IFNA(index(PlayerValues!A:A,match(IFNA(vlookup(B2577,'Special Names'!A:B,2,FALSE),B2577),PlayerValues!E:E,0)),"N/A")</f>
        <v>16190</v>
      </c>
      <c r="B2577" s="4" t="s">
        <v>371</v>
      </c>
      <c r="C2577" s="4" t="s">
        <v>287</v>
      </c>
      <c r="D2577" s="94">
        <v>4697.0</v>
      </c>
    </row>
    <row r="2578">
      <c r="A2578" s="40" t="str">
        <f t="array" ref="A2578">IFNA(index(PlayerValues!A:A,match(IFNA(vlookup(B2578,'Special Names'!A:B,2,FALSE),B2578),PlayerValues!E:E,0)),"N/A")</f>
        <v>N/A</v>
      </c>
      <c r="B2578" s="4" t="s">
        <v>80</v>
      </c>
      <c r="C2578" s="4" t="s">
        <v>325</v>
      </c>
      <c r="D2578" s="94">
        <v>4693.0</v>
      </c>
    </row>
    <row r="2579">
      <c r="A2579" s="40">
        <f t="array" ref="A2579">IFNA(index(PlayerValues!A:A,match(IFNA(vlookup(B2579,'Special Names'!A:B,2,FALSE),B2579),PlayerValues!E:E,0)),"N/A")</f>
        <v>12611</v>
      </c>
      <c r="B2579" s="4" t="s">
        <v>410</v>
      </c>
      <c r="C2579" s="4" t="s">
        <v>283</v>
      </c>
      <c r="D2579" s="94">
        <v>4625.0</v>
      </c>
    </row>
    <row r="2580">
      <c r="A2580" s="40">
        <f t="array" ref="A2580">IFNA(index(PlayerValues!A:A,match(IFNA(vlookup(B2580,'Special Names'!A:B,2,FALSE),B2580),PlayerValues!E:E,0)),"N/A")</f>
        <v>15284</v>
      </c>
      <c r="B2580" s="4" t="s">
        <v>390</v>
      </c>
      <c r="C2580" s="4" t="s">
        <v>287</v>
      </c>
      <c r="D2580" s="94">
        <v>4606.0</v>
      </c>
    </row>
    <row r="2581">
      <c r="A2581" s="40">
        <f t="array" ref="A2581">IFNA(index(PlayerValues!A:A,match(IFNA(vlookup(B2581,'Special Names'!A:B,2,FALSE),B2581),PlayerValues!E:E,0)),"N/A")</f>
        <v>17039</v>
      </c>
      <c r="B2581" s="4" t="s">
        <v>400</v>
      </c>
      <c r="C2581" s="4" t="s">
        <v>283</v>
      </c>
      <c r="D2581" s="94">
        <v>4599.0</v>
      </c>
    </row>
    <row r="2582">
      <c r="A2582" s="40">
        <f t="array" ref="A2582">IFNA(index(PlayerValues!A:A,match(IFNA(vlookup(B2582,'Special Names'!A:B,2,FALSE),B2582),PlayerValues!E:E,0)),"N/A")</f>
        <v>16214</v>
      </c>
      <c r="B2582" s="4" t="s">
        <v>413</v>
      </c>
      <c r="C2582" s="4" t="s">
        <v>298</v>
      </c>
      <c r="D2582" s="94">
        <v>5132.0</v>
      </c>
    </row>
    <row r="2583">
      <c r="A2583" s="40">
        <f t="array" ref="A2583">IFNA(index(PlayerValues!A:A,match(IFNA(vlookup(B2583,'Special Names'!A:B,2,FALSE),B2583),PlayerValues!E:E,0)),"N/A")</f>
        <v>15329</v>
      </c>
      <c r="B2583" s="4" t="s">
        <v>416</v>
      </c>
      <c r="C2583" s="4" t="s">
        <v>298</v>
      </c>
      <c r="D2583" s="94">
        <v>5103.0</v>
      </c>
    </row>
    <row r="2584">
      <c r="A2584" s="40">
        <f t="array" ref="A2584">IFNA(index(PlayerValues!A:A,match(IFNA(vlookup(B2584,'Special Names'!A:B,2,FALSE),B2584),PlayerValues!E:E,0)),"N/A")</f>
        <v>15256</v>
      </c>
      <c r="B2584" s="4" t="s">
        <v>401</v>
      </c>
      <c r="C2584" s="4" t="s">
        <v>278</v>
      </c>
      <c r="D2584" s="94">
        <v>4548.0</v>
      </c>
    </row>
    <row r="2585">
      <c r="A2585" s="40">
        <f t="array" ref="A2585">IFNA(index(PlayerValues!A:A,match(IFNA(vlookup(B2585,'Special Names'!A:B,2,FALSE),B2585),PlayerValues!E:E,0)),"N/A")</f>
        <v>15253</v>
      </c>
      <c r="B2585" s="4" t="s">
        <v>415</v>
      </c>
      <c r="C2585" s="4" t="s">
        <v>278</v>
      </c>
      <c r="D2585" s="94">
        <v>4500.0</v>
      </c>
    </row>
    <row r="2586">
      <c r="A2586" s="40">
        <f t="array" ref="A2586">IFNA(index(PlayerValues!A:A,match(IFNA(vlookup(B2586,'Special Names'!A:B,2,FALSE),B2586),PlayerValues!E:E,0)),"N/A")</f>
        <v>17068</v>
      </c>
      <c r="B2586" s="4" t="s">
        <v>450</v>
      </c>
      <c r="C2586" s="4" t="s">
        <v>278</v>
      </c>
      <c r="D2586" s="94">
        <v>4472.0</v>
      </c>
    </row>
    <row r="2587">
      <c r="A2587" s="40">
        <f t="array" ref="A2587">IFNA(index(PlayerValues!A:A,match(IFNA(vlookup(B2587,'Special Names'!A:B,2,FALSE),B2587),PlayerValues!E:E,0)),"N/A")</f>
        <v>14073</v>
      </c>
      <c r="B2587" s="4" t="s">
        <v>464</v>
      </c>
      <c r="C2587" s="4" t="s">
        <v>278</v>
      </c>
      <c r="D2587" s="94">
        <v>4462.0</v>
      </c>
    </row>
    <row r="2588">
      <c r="A2588" s="40">
        <f t="array" ref="A2588">IFNA(index(PlayerValues!A:A,match(IFNA(vlookup(B2588,'Special Names'!A:B,2,FALSE),B2588),PlayerValues!E:E,0)),"N/A")</f>
        <v>16148</v>
      </c>
      <c r="B2588" s="4" t="s">
        <v>426</v>
      </c>
      <c r="C2588" s="4" t="s">
        <v>283</v>
      </c>
      <c r="D2588" s="94">
        <v>4445.0</v>
      </c>
    </row>
    <row r="2589">
      <c r="A2589" s="40" t="str">
        <f t="array" ref="A2589">IFNA(index(PlayerValues!A:A,match(IFNA(vlookup(B2589,'Special Names'!A:B,2,FALSE),B2589),PlayerValues!E:E,0)),"N/A")</f>
        <v>N/A</v>
      </c>
      <c r="B2589" s="4" t="s">
        <v>105</v>
      </c>
      <c r="C2589" s="4" t="s">
        <v>325</v>
      </c>
      <c r="D2589" s="94">
        <v>4443.0</v>
      </c>
    </row>
    <row r="2590">
      <c r="A2590" s="40" t="str">
        <f t="array" ref="A2590">IFNA(index(PlayerValues!A:A,match(IFNA(vlookup(B2590,'Special Names'!A:B,2,FALSE),B2590),PlayerValues!E:E,0)),"N/A")</f>
        <v>N/A</v>
      </c>
      <c r="B2590" s="4" t="s">
        <v>81</v>
      </c>
      <c r="C2590" s="4" t="s">
        <v>325</v>
      </c>
      <c r="D2590" s="94">
        <v>4231.0</v>
      </c>
    </row>
    <row r="2591">
      <c r="A2591" s="40">
        <f t="array" ref="A2591">IFNA(index(PlayerValues!A:A,match(IFNA(vlookup(B2591,'Special Names'!A:B,2,FALSE),B2591),PlayerValues!E:E,0)),"N/A")</f>
        <v>16186</v>
      </c>
      <c r="B2591" s="4" t="s">
        <v>425</v>
      </c>
      <c r="C2591" s="4" t="s">
        <v>287</v>
      </c>
      <c r="D2591" s="94">
        <v>4155.0</v>
      </c>
    </row>
    <row r="2592">
      <c r="A2592" s="40">
        <f t="array" ref="A2592">IFNA(index(PlayerValues!A:A,match(IFNA(vlookup(B2592,'Special Names'!A:B,2,FALSE),B2592),PlayerValues!E:E,0)),"N/A")</f>
        <v>17099</v>
      </c>
      <c r="B2592" s="4" t="s">
        <v>474</v>
      </c>
      <c r="C2592" s="4" t="s">
        <v>298</v>
      </c>
      <c r="D2592" s="94">
        <v>4653.0</v>
      </c>
    </row>
    <row r="2593">
      <c r="A2593" s="40">
        <f t="array" ref="A2593">IFNA(index(PlayerValues!A:A,match(IFNA(vlookup(B2593,'Special Names'!A:B,2,FALSE),B2593),PlayerValues!E:E,0)),"N/A")</f>
        <v>14059</v>
      </c>
      <c r="B2593" s="4" t="s">
        <v>435</v>
      </c>
      <c r="C2593" s="4" t="s">
        <v>283</v>
      </c>
      <c r="D2593" s="94">
        <v>4050.0</v>
      </c>
    </row>
    <row r="2594">
      <c r="A2594" s="40">
        <f t="array" ref="A2594">IFNA(index(PlayerValues!A:A,match(IFNA(vlookup(B2594,'Special Names'!A:B,2,FALSE),B2594),PlayerValues!E:E,0)),"N/A")</f>
        <v>17074</v>
      </c>
      <c r="B2594" s="4" t="s">
        <v>475</v>
      </c>
      <c r="C2594" s="4" t="s">
        <v>287</v>
      </c>
      <c r="D2594" s="94">
        <v>4043.0</v>
      </c>
    </row>
    <row r="2595">
      <c r="A2595" s="40" t="str">
        <f t="array" ref="A2595">IFNA(index(PlayerValues!A:A,match(IFNA(vlookup(B2595,'Special Names'!A:B,2,FALSE),B2595),PlayerValues!E:E,0)),"N/A")</f>
        <v>N/A</v>
      </c>
      <c r="B2595" s="4" t="s">
        <v>107</v>
      </c>
      <c r="C2595" s="4" t="s">
        <v>325</v>
      </c>
      <c r="D2595" s="94">
        <v>4032.0</v>
      </c>
    </row>
    <row r="2596">
      <c r="A2596" s="40">
        <f t="array" ref="A2596">IFNA(index(PlayerValues!A:A,match(IFNA(vlookup(B2596,'Special Names'!A:B,2,FALSE),B2596),PlayerValues!E:E,0)),"N/A")</f>
        <v>17543</v>
      </c>
      <c r="B2596" s="4" t="s">
        <v>436</v>
      </c>
      <c r="C2596" s="4" t="s">
        <v>298</v>
      </c>
      <c r="D2596" s="94">
        <v>4507.0</v>
      </c>
    </row>
    <row r="2597">
      <c r="A2597" s="40">
        <f t="array" ref="A2597">IFNA(index(PlayerValues!A:A,match(IFNA(vlookup(B2597,'Special Names'!A:B,2,FALSE),B2597),PlayerValues!E:E,0)),"N/A")</f>
        <v>16622</v>
      </c>
      <c r="B2597" s="4" t="s">
        <v>517</v>
      </c>
      <c r="C2597" s="4" t="s">
        <v>287</v>
      </c>
      <c r="D2597" s="94">
        <v>3969.0</v>
      </c>
    </row>
    <row r="2598">
      <c r="A2598" s="40">
        <f t="array" ref="A2598">IFNA(index(PlayerValues!A:A,match(IFNA(vlookup(B2598,'Special Names'!A:B,2,FALSE),B2598),PlayerValues!E:E,0)),"N/A")</f>
        <v>15768</v>
      </c>
      <c r="B2598" s="4" t="s">
        <v>432</v>
      </c>
      <c r="C2598" s="4" t="s">
        <v>287</v>
      </c>
      <c r="D2598" s="94">
        <v>3964.0</v>
      </c>
    </row>
    <row r="2599">
      <c r="A2599" s="40">
        <f t="array" ref="A2599">IFNA(index(PlayerValues!A:A,match(IFNA(vlookup(B2599,'Special Names'!A:B,2,FALSE),B2599),PlayerValues!E:E,0)),"N/A")</f>
        <v>12626</v>
      </c>
      <c r="B2599" s="4" t="s">
        <v>419</v>
      </c>
      <c r="C2599" s="4" t="s">
        <v>278</v>
      </c>
      <c r="D2599" s="94">
        <v>3932.0</v>
      </c>
    </row>
    <row r="2600">
      <c r="A2600" s="40">
        <f t="array" ref="A2600">IFNA(index(PlayerValues!A:A,match(IFNA(vlookup(B2600,'Special Names'!A:B,2,FALSE),B2600),PlayerValues!E:E,0)),"N/A")</f>
        <v>16206</v>
      </c>
      <c r="B2600" s="4" t="s">
        <v>431</v>
      </c>
      <c r="C2600" s="4" t="s">
        <v>287</v>
      </c>
      <c r="D2600" s="94">
        <v>3893.0</v>
      </c>
    </row>
    <row r="2601">
      <c r="A2601" s="40">
        <f t="array" ref="A2601">IFNA(index(PlayerValues!A:A,match(IFNA(vlookup(B2601,'Special Names'!A:B,2,FALSE),B2601),PlayerValues!E:E,0)),"N/A")</f>
        <v>17083</v>
      </c>
      <c r="B2601" s="4" t="s">
        <v>479</v>
      </c>
      <c r="C2601" s="4" t="s">
        <v>287</v>
      </c>
      <c r="D2601" s="94">
        <v>3847.0</v>
      </c>
    </row>
    <row r="2602">
      <c r="A2602" s="40">
        <f t="array" ref="A2602">IFNA(index(PlayerValues!A:A,match(IFNA(vlookup(B2602,'Special Names'!A:B,2,FALSE),B2602),PlayerValues!E:E,0)),"N/A")</f>
        <v>14102</v>
      </c>
      <c r="B2602" s="4" t="s">
        <v>444</v>
      </c>
      <c r="C2602" s="4" t="s">
        <v>287</v>
      </c>
      <c r="D2602" s="94">
        <v>3843.0</v>
      </c>
    </row>
    <row r="2603">
      <c r="A2603" s="40" t="str">
        <f t="array" ref="A2603">IFNA(index(PlayerValues!A:A,match(IFNA(vlookup(B2603,'Special Names'!A:B,2,FALSE),B2603),PlayerValues!E:E,0)),"N/A")</f>
        <v>N/A</v>
      </c>
      <c r="B2603" s="4" t="s">
        <v>95</v>
      </c>
      <c r="C2603" s="4" t="s">
        <v>325</v>
      </c>
      <c r="D2603" s="94">
        <v>3843.0</v>
      </c>
    </row>
    <row r="2604">
      <c r="A2604" s="40">
        <f t="array" ref="A2604">IFNA(index(PlayerValues!A:A,match(IFNA(vlookup(B2604,'Special Names'!A:B,2,FALSE),B2604),PlayerValues!E:E,0)),"N/A")</f>
        <v>17501</v>
      </c>
      <c r="B2604" s="4" t="s">
        <v>404</v>
      </c>
      <c r="C2604" s="4" t="s">
        <v>287</v>
      </c>
      <c r="D2604" s="94">
        <v>3842.0</v>
      </c>
    </row>
    <row r="2605">
      <c r="A2605" s="40">
        <f t="array" ref="A2605">IFNA(index(PlayerValues!A:A,match(IFNA(vlookup(B2605,'Special Names'!A:B,2,FALSE),B2605),PlayerValues!E:E,0)),"N/A")</f>
        <v>17066</v>
      </c>
      <c r="B2605" s="4" t="s">
        <v>446</v>
      </c>
      <c r="C2605" s="4" t="s">
        <v>278</v>
      </c>
      <c r="D2605" s="94">
        <v>3811.0</v>
      </c>
    </row>
    <row r="2606">
      <c r="A2606" s="40">
        <f t="array" ref="A2606">IFNA(index(PlayerValues!A:A,match(IFNA(vlookup(B2606,'Special Names'!A:B,2,FALSE),B2606),PlayerValues!E:E,0)),"N/A")</f>
        <v>17500</v>
      </c>
      <c r="B2606" s="4" t="s">
        <v>430</v>
      </c>
      <c r="C2606" s="4" t="s">
        <v>287</v>
      </c>
      <c r="D2606" s="94">
        <v>3799.0</v>
      </c>
    </row>
    <row r="2607">
      <c r="A2607" s="40">
        <f t="array" ref="A2607">IFNA(index(PlayerValues!A:A,match(IFNA(vlookup(B2607,'Special Names'!A:B,2,FALSE),B2607),PlayerValues!E:E,0)),"N/A")</f>
        <v>15789</v>
      </c>
      <c r="B2607" s="4" t="s">
        <v>421</v>
      </c>
      <c r="C2607" s="4" t="s">
        <v>287</v>
      </c>
      <c r="D2607" s="94">
        <v>3760.0</v>
      </c>
    </row>
    <row r="2608">
      <c r="A2608" s="40">
        <f t="array" ref="A2608">IFNA(index(PlayerValues!A:A,match(IFNA(vlookup(B2608,'Special Names'!A:B,2,FALSE),B2608),PlayerValues!E:E,0)),"N/A")</f>
        <v>14797</v>
      </c>
      <c r="B2608" s="4" t="s">
        <v>420</v>
      </c>
      <c r="C2608" s="4" t="s">
        <v>278</v>
      </c>
      <c r="D2608" s="94">
        <v>3719.0</v>
      </c>
    </row>
    <row r="2609">
      <c r="A2609" s="40">
        <f t="array" ref="A2609">IFNA(index(PlayerValues!A:A,match(IFNA(vlookup(B2609,'Special Names'!A:B,2,FALSE),B2609),PlayerValues!E:E,0)),"N/A")</f>
        <v>16192</v>
      </c>
      <c r="B2609" s="4" t="s">
        <v>412</v>
      </c>
      <c r="C2609" s="4" t="s">
        <v>287</v>
      </c>
      <c r="D2609" s="94">
        <v>3705.0</v>
      </c>
    </row>
    <row r="2610">
      <c r="A2610" s="40">
        <f t="array" ref="A2610">IFNA(index(PlayerValues!A:A,match(IFNA(vlookup(B2610,'Special Names'!A:B,2,FALSE),B2610),PlayerValues!E:E,0)),"N/A")</f>
        <v>9431</v>
      </c>
      <c r="B2610" s="4" t="s">
        <v>428</v>
      </c>
      <c r="C2610" s="4" t="s">
        <v>283</v>
      </c>
      <c r="D2610" s="94">
        <v>3697.0</v>
      </c>
    </row>
    <row r="2611">
      <c r="A2611" s="40">
        <f t="array" ref="A2611">IFNA(index(PlayerValues!A:A,match(IFNA(vlookup(B2611,'Special Names'!A:B,2,FALSE),B2611),PlayerValues!E:E,0)),"N/A")</f>
        <v>11675</v>
      </c>
      <c r="B2611" s="4" t="s">
        <v>438</v>
      </c>
      <c r="C2611" s="4" t="s">
        <v>287</v>
      </c>
      <c r="D2611" s="94">
        <v>3692.0</v>
      </c>
    </row>
    <row r="2612">
      <c r="A2612" s="40">
        <f t="array" ref="A2612">IFNA(index(PlayerValues!A:A,match(IFNA(vlookup(B2612,'Special Names'!A:B,2,FALSE),B2612),PlayerValues!E:E,0)),"N/A")</f>
        <v>14056</v>
      </c>
      <c r="B2612" s="4" t="s">
        <v>423</v>
      </c>
      <c r="C2612" s="4" t="s">
        <v>283</v>
      </c>
      <c r="D2612" s="94">
        <v>3614.0</v>
      </c>
    </row>
    <row r="2613">
      <c r="A2613" s="40">
        <f t="array" ref="A2613">IFNA(index(PlayerValues!A:A,match(IFNA(vlookup(B2613,'Special Names'!A:B,2,FALSE),B2613),PlayerValues!E:E,0)),"N/A")</f>
        <v>17075</v>
      </c>
      <c r="B2613" s="4" t="s">
        <v>429</v>
      </c>
      <c r="C2613" s="4" t="s">
        <v>287</v>
      </c>
      <c r="D2613" s="94">
        <v>3608.0</v>
      </c>
    </row>
    <row r="2614">
      <c r="A2614" s="40">
        <f t="array" ref="A2614">IFNA(index(PlayerValues!A:A,match(IFNA(vlookup(B2614,'Special Names'!A:B,2,FALSE),B2614),PlayerValues!E:E,0)),"N/A")</f>
        <v>15757</v>
      </c>
      <c r="B2614" s="4" t="s">
        <v>449</v>
      </c>
      <c r="C2614" s="4" t="s">
        <v>287</v>
      </c>
      <c r="D2614" s="94">
        <v>3606.0</v>
      </c>
    </row>
    <row r="2615">
      <c r="A2615" s="40">
        <f t="array" ref="A2615">IFNA(index(PlayerValues!A:A,match(IFNA(vlookup(B2615,'Special Names'!A:B,2,FALSE),B2615),PlayerValues!E:E,0)),"N/A")</f>
        <v>14842</v>
      </c>
      <c r="B2615" s="4" t="s">
        <v>456</v>
      </c>
      <c r="C2615" s="4" t="s">
        <v>287</v>
      </c>
      <c r="D2615" s="94">
        <v>3597.0</v>
      </c>
    </row>
    <row r="2616">
      <c r="A2616" s="40">
        <f t="array" ref="A2616">IFNA(index(PlayerValues!A:A,match(IFNA(vlookup(B2616,'Special Names'!A:B,2,FALSE),B2616),PlayerValues!E:E,0)),"N/A")</f>
        <v>16213</v>
      </c>
      <c r="B2616" s="4" t="s">
        <v>458</v>
      </c>
      <c r="C2616" s="4" t="s">
        <v>298</v>
      </c>
      <c r="D2616" s="94">
        <v>4039.0</v>
      </c>
    </row>
    <row r="2617">
      <c r="A2617" s="40">
        <f t="array" ref="A2617">IFNA(index(PlayerValues!A:A,match(IFNA(vlookup(B2617,'Special Names'!A:B,2,FALSE),B2617),PlayerValues!E:E,0)),"N/A")</f>
        <v>16583</v>
      </c>
      <c r="B2617" s="4" t="s">
        <v>493</v>
      </c>
      <c r="C2617" s="4" t="s">
        <v>283</v>
      </c>
      <c r="D2617" s="94">
        <v>3561.0</v>
      </c>
    </row>
    <row r="2618">
      <c r="A2618" s="40">
        <f t="array" ref="A2618">IFNA(index(PlayerValues!A:A,match(IFNA(vlookup(B2618,'Special Names'!A:B,2,FALSE),B2618),PlayerValues!E:E,0)),"N/A")</f>
        <v>16169</v>
      </c>
      <c r="B2618" s="4" t="s">
        <v>457</v>
      </c>
      <c r="C2618" s="4" t="s">
        <v>278</v>
      </c>
      <c r="D2618" s="94">
        <v>3545.0</v>
      </c>
    </row>
    <row r="2619">
      <c r="A2619" s="40">
        <f t="array" ref="A2619">IFNA(index(PlayerValues!A:A,match(IFNA(vlookup(B2619,'Special Names'!A:B,2,FALSE),B2619),PlayerValues!E:E,0)),"N/A")</f>
        <v>16188</v>
      </c>
      <c r="B2619" s="4" t="s">
        <v>439</v>
      </c>
      <c r="C2619" s="4" t="s">
        <v>287</v>
      </c>
      <c r="D2619" s="94">
        <v>3534.0</v>
      </c>
    </row>
    <row r="2620">
      <c r="A2620" s="40">
        <f t="array" ref="A2620">IFNA(index(PlayerValues!A:A,match(IFNA(vlookup(B2620,'Special Names'!A:B,2,FALSE),B2620),PlayerValues!E:E,0)),"N/A")</f>
        <v>16584</v>
      </c>
      <c r="B2620" s="4" t="s">
        <v>569</v>
      </c>
      <c r="C2620" s="4" t="s">
        <v>283</v>
      </c>
      <c r="D2620" s="94">
        <v>3509.0</v>
      </c>
    </row>
    <row r="2621">
      <c r="A2621" s="40">
        <f t="array" ref="A2621">IFNA(index(PlayerValues!A:A,match(IFNA(vlookup(B2621,'Special Names'!A:B,2,FALSE),B2621),PlayerValues!E:E,0)),"N/A")</f>
        <v>16593</v>
      </c>
      <c r="B2621" s="4" t="s">
        <v>442</v>
      </c>
      <c r="C2621" s="4" t="s">
        <v>278</v>
      </c>
      <c r="D2621" s="94">
        <v>3499.0</v>
      </c>
    </row>
    <row r="2622">
      <c r="A2622" s="40">
        <f t="array" ref="A2622">IFNA(index(PlayerValues!A:A,match(IFNA(vlookup(B2622,'Special Names'!A:B,2,FALSE),B2622),PlayerValues!E:E,0)),"N/A")</f>
        <v>15694</v>
      </c>
      <c r="B2622" s="4" t="s">
        <v>434</v>
      </c>
      <c r="C2622" s="4" t="s">
        <v>283</v>
      </c>
      <c r="D2622" s="94">
        <v>3492.0</v>
      </c>
    </row>
    <row r="2623">
      <c r="A2623" s="40">
        <f t="array" ref="A2623">IFNA(index(PlayerValues!A:A,match(IFNA(vlookup(B2623,'Special Names'!A:B,2,FALSE),B2623),PlayerValues!E:E,0)),"N/A")</f>
        <v>17052</v>
      </c>
      <c r="B2623" s="4" t="s">
        <v>417</v>
      </c>
      <c r="C2623" s="4" t="s">
        <v>278</v>
      </c>
      <c r="D2623" s="94">
        <v>3491.0</v>
      </c>
    </row>
    <row r="2624">
      <c r="A2624" s="40">
        <f t="array" ref="A2624">IFNA(index(PlayerValues!A:A,match(IFNA(vlookup(B2624,'Special Names'!A:B,2,FALSE),B2624),PlayerValues!E:E,0)),"N/A")</f>
        <v>16620</v>
      </c>
      <c r="B2624" s="4" t="s">
        <v>467</v>
      </c>
      <c r="C2624" s="4" t="s">
        <v>287</v>
      </c>
      <c r="D2624" s="94">
        <v>3483.0</v>
      </c>
    </row>
    <row r="2625">
      <c r="A2625" s="40">
        <f t="array" ref="A2625">IFNA(index(PlayerValues!A:A,match(IFNA(vlookup(B2625,'Special Names'!A:B,2,FALSE),B2625),PlayerValues!E:E,0)),"N/A")</f>
        <v>15742</v>
      </c>
      <c r="B2625" s="4" t="s">
        <v>447</v>
      </c>
      <c r="C2625" s="4" t="s">
        <v>278</v>
      </c>
      <c r="D2625" s="94">
        <v>3481.0</v>
      </c>
    </row>
    <row r="2626">
      <c r="A2626" s="40" t="str">
        <f t="array" ref="A2626">IFNA(index(PlayerValues!A:A,match(IFNA(vlookup(B2626,'Special Names'!A:B,2,FALSE),B2626),PlayerValues!E:E,0)),"N/A")</f>
        <v>N/A</v>
      </c>
      <c r="B2626" s="4" t="s">
        <v>82</v>
      </c>
      <c r="C2626" s="4" t="s">
        <v>325</v>
      </c>
      <c r="D2626" s="94">
        <v>3478.0</v>
      </c>
    </row>
    <row r="2627">
      <c r="A2627" s="40">
        <f t="array" ref="A2627">IFNA(index(PlayerValues!A:A,match(IFNA(vlookup(B2627,'Special Names'!A:B,2,FALSE),B2627),PlayerValues!E:E,0)),"N/A")</f>
        <v>14127</v>
      </c>
      <c r="B2627" s="4" t="s">
        <v>486</v>
      </c>
      <c r="C2627" s="4" t="s">
        <v>287</v>
      </c>
      <c r="D2627" s="94">
        <v>3443.0</v>
      </c>
    </row>
    <row r="2628">
      <c r="A2628" s="40">
        <f t="array" ref="A2628">IFNA(index(PlayerValues!A:A,match(IFNA(vlookup(B2628,'Special Names'!A:B,2,FALSE),B2628),PlayerValues!E:E,0)),"N/A")</f>
        <v>13299</v>
      </c>
      <c r="B2628" s="4" t="s">
        <v>448</v>
      </c>
      <c r="C2628" s="4" t="s">
        <v>298</v>
      </c>
      <c r="D2628" s="94">
        <v>3888.0</v>
      </c>
    </row>
    <row r="2629">
      <c r="A2629" s="40" t="str">
        <f t="array" ref="A2629">IFNA(index(PlayerValues!A:A,match(IFNA(vlookup(B2629,'Special Names'!A:B,2,FALSE),B2629),PlayerValues!E:E,0)),"N/A")</f>
        <v>N/A</v>
      </c>
      <c r="B2629" s="4" t="s">
        <v>96</v>
      </c>
      <c r="C2629" s="4" t="s">
        <v>325</v>
      </c>
      <c r="D2629" s="94">
        <v>3405.0</v>
      </c>
    </row>
    <row r="2630">
      <c r="A2630" s="40">
        <f t="array" ref="A2630">IFNA(index(PlayerValues!A:A,match(IFNA(vlookup(B2630,'Special Names'!A:B,2,FALSE),B2630),PlayerValues!E:E,0)),"N/A")</f>
        <v>15799</v>
      </c>
      <c r="B2630" s="4" t="s">
        <v>468</v>
      </c>
      <c r="C2630" s="4" t="s">
        <v>298</v>
      </c>
      <c r="D2630" s="94">
        <v>3845.0</v>
      </c>
    </row>
    <row r="2631">
      <c r="A2631" s="40">
        <f t="array" ref="A2631">IFNA(index(PlayerValues!A:A,match(IFNA(vlookup(B2631,'Special Names'!A:B,2,FALSE),B2631),PlayerValues!E:E,0)),"N/A")</f>
        <v>14109</v>
      </c>
      <c r="B2631" s="4" t="s">
        <v>437</v>
      </c>
      <c r="C2631" s="4" t="s">
        <v>287</v>
      </c>
      <c r="D2631" s="94">
        <v>3390.0</v>
      </c>
    </row>
    <row r="2632">
      <c r="A2632" s="40">
        <f t="array" ref="A2632">IFNA(index(PlayerValues!A:A,match(IFNA(vlookup(B2632,'Special Names'!A:B,2,FALSE),B2632),PlayerValues!E:E,0)),"N/A")</f>
        <v>13630</v>
      </c>
      <c r="B2632" s="4" t="s">
        <v>465</v>
      </c>
      <c r="C2632" s="4" t="s">
        <v>287</v>
      </c>
      <c r="D2632" s="94">
        <v>3364.0</v>
      </c>
    </row>
    <row r="2633">
      <c r="A2633" s="40">
        <f t="array" ref="A2633">IFNA(index(PlayerValues!A:A,match(IFNA(vlookup(B2633,'Special Names'!A:B,2,FALSE),B2633),PlayerValues!E:E,0)),"N/A")</f>
        <v>16594</v>
      </c>
      <c r="B2633" s="4" t="s">
        <v>607</v>
      </c>
      <c r="C2633" s="4" t="s">
        <v>278</v>
      </c>
      <c r="D2633" s="94">
        <v>3357.0</v>
      </c>
    </row>
    <row r="2634">
      <c r="A2634" s="40">
        <f t="array" ref="A2634">IFNA(index(PlayerValues!A:A,match(IFNA(vlookup(B2634,'Special Names'!A:B,2,FALSE),B2634),PlayerValues!E:E,0)),"N/A")</f>
        <v>15712</v>
      </c>
      <c r="B2634" s="4" t="s">
        <v>488</v>
      </c>
      <c r="C2634" s="4" t="s">
        <v>278</v>
      </c>
      <c r="D2634" s="94">
        <v>3348.0</v>
      </c>
    </row>
    <row r="2635">
      <c r="A2635" s="40">
        <f t="array" ref="A2635">IFNA(index(PlayerValues!A:A,match(IFNA(vlookup(B2635,'Special Names'!A:B,2,FALSE),B2635),PlayerValues!E:E,0)),"N/A")</f>
        <v>17053</v>
      </c>
      <c r="B2635" s="4" t="s">
        <v>484</v>
      </c>
      <c r="C2635" s="4" t="s">
        <v>278</v>
      </c>
      <c r="D2635" s="94">
        <v>3311.0</v>
      </c>
    </row>
    <row r="2636">
      <c r="A2636" s="40">
        <f t="array" ref="A2636">IFNA(index(PlayerValues!A:A,match(IFNA(vlookup(B2636,'Special Names'!A:B,2,FALSE),B2636),PlayerValues!E:E,0)),"N/A")</f>
        <v>16184</v>
      </c>
      <c r="B2636" s="4" t="s">
        <v>445</v>
      </c>
      <c r="C2636" s="4" t="s">
        <v>287</v>
      </c>
      <c r="D2636" s="94">
        <v>3309.0</v>
      </c>
    </row>
    <row r="2637">
      <c r="A2637" s="40">
        <f t="array" ref="A2637">IFNA(index(PlayerValues!A:A,match(IFNA(vlookup(B2637,'Special Names'!A:B,2,FALSE),B2637),PlayerValues!E:E,0)),"N/A")</f>
        <v>17473</v>
      </c>
      <c r="B2637" s="4" t="s">
        <v>391</v>
      </c>
      <c r="C2637" s="4" t="s">
        <v>278</v>
      </c>
      <c r="D2637" s="94">
        <v>3286.0</v>
      </c>
    </row>
    <row r="2638">
      <c r="A2638" s="40">
        <f t="array" ref="A2638">IFNA(index(PlayerValues!A:A,match(IFNA(vlookup(B2638,'Special Names'!A:B,2,FALSE),B2638),PlayerValues!E:E,0)),"N/A")</f>
        <v>16809</v>
      </c>
      <c r="B2638" s="4" t="s">
        <v>455</v>
      </c>
      <c r="C2638" s="4" t="s">
        <v>287</v>
      </c>
      <c r="D2638" s="94">
        <v>3277.0</v>
      </c>
    </row>
    <row r="2639">
      <c r="A2639" s="40">
        <f t="array" ref="A2639">IFNA(index(PlayerValues!A:A,match(IFNA(vlookup(B2639,'Special Names'!A:B,2,FALSE),B2639),PlayerValues!E:E,0)),"N/A")</f>
        <v>13635</v>
      </c>
      <c r="B2639" s="4" t="s">
        <v>424</v>
      </c>
      <c r="C2639" s="4" t="s">
        <v>287</v>
      </c>
      <c r="D2639" s="94">
        <v>3273.0</v>
      </c>
    </row>
    <row r="2640">
      <c r="A2640" s="40">
        <f t="array" ref="A2640">IFNA(index(PlayerValues!A:A,match(IFNA(vlookup(B2640,'Special Names'!A:B,2,FALSE),B2640),PlayerValues!E:E,0)),"N/A")</f>
        <v>16269</v>
      </c>
      <c r="B2640" s="4" t="s">
        <v>481</v>
      </c>
      <c r="C2640" s="4" t="s">
        <v>298</v>
      </c>
      <c r="D2640" s="94">
        <v>3714.0</v>
      </c>
    </row>
    <row r="2641">
      <c r="A2641" s="40">
        <f t="array" ref="A2641">IFNA(index(PlayerValues!A:A,match(IFNA(vlookup(B2641,'Special Names'!A:B,2,FALSE),B2641),PlayerValues!E:E,0)),"N/A")</f>
        <v>17477</v>
      </c>
      <c r="B2641" s="4" t="s">
        <v>452</v>
      </c>
      <c r="C2641" s="4" t="s">
        <v>278</v>
      </c>
      <c r="D2641" s="94">
        <v>3239.0</v>
      </c>
    </row>
    <row r="2642">
      <c r="A2642" s="40">
        <f t="array" ref="A2642">IFNA(index(PlayerValues!A:A,match(IFNA(vlookup(B2642,'Special Names'!A:B,2,FALSE),B2642),PlayerValues!E:E,0)),"N/A")</f>
        <v>17502</v>
      </c>
      <c r="B2642" s="4" t="s">
        <v>451</v>
      </c>
      <c r="C2642" s="4" t="s">
        <v>287</v>
      </c>
      <c r="D2642" s="94">
        <v>3210.0</v>
      </c>
    </row>
    <row r="2643">
      <c r="A2643" s="40">
        <f t="array" ref="A2643">IFNA(index(PlayerValues!A:A,match(IFNA(vlookup(B2643,'Special Names'!A:B,2,FALSE),B2643),PlayerValues!E:E,0)),"N/A")</f>
        <v>16187</v>
      </c>
      <c r="B2643" s="4" t="s">
        <v>441</v>
      </c>
      <c r="C2643" s="4" t="s">
        <v>287</v>
      </c>
      <c r="D2643" s="94">
        <v>3158.0</v>
      </c>
    </row>
    <row r="2644">
      <c r="A2644" s="40">
        <f t="array" ref="A2644">IFNA(index(PlayerValues!A:A,match(IFNA(vlookup(B2644,'Special Names'!A:B,2,FALSE),B2644),PlayerValues!E:E,0)),"N/A")</f>
        <v>14823</v>
      </c>
      <c r="B2644" s="4" t="s">
        <v>459</v>
      </c>
      <c r="C2644" s="4" t="s">
        <v>278</v>
      </c>
      <c r="D2644" s="94">
        <v>3132.0</v>
      </c>
    </row>
    <row r="2645">
      <c r="A2645" s="40">
        <f t="array" ref="A2645">IFNA(index(PlayerValues!A:A,match(IFNA(vlookup(B2645,'Special Names'!A:B,2,FALSE),B2645),PlayerValues!E:E,0)),"N/A")</f>
        <v>15761</v>
      </c>
      <c r="B2645" s="4" t="s">
        <v>491</v>
      </c>
      <c r="C2645" s="4" t="s">
        <v>287</v>
      </c>
      <c r="D2645" s="94">
        <v>3101.0</v>
      </c>
    </row>
    <row r="2646">
      <c r="A2646" s="40">
        <f t="array" ref="A2646">IFNA(index(PlayerValues!A:A,match(IFNA(vlookup(B2646,'Special Names'!A:B,2,FALSE),B2646),PlayerValues!E:E,0)),"N/A")</f>
        <v>15798</v>
      </c>
      <c r="B2646" s="4" t="s">
        <v>443</v>
      </c>
      <c r="C2646" s="4" t="s">
        <v>298</v>
      </c>
      <c r="D2646" s="94">
        <v>3528.0</v>
      </c>
    </row>
    <row r="2647">
      <c r="A2647" s="40">
        <f t="array" ref="A2647">IFNA(index(PlayerValues!A:A,match(IFNA(vlookup(B2647,'Special Names'!A:B,2,FALSE),B2647),PlayerValues!E:E,0)),"N/A")</f>
        <v>15261</v>
      </c>
      <c r="B2647" s="4" t="s">
        <v>466</v>
      </c>
      <c r="C2647" s="4" t="s">
        <v>278</v>
      </c>
      <c r="D2647" s="94">
        <v>3090.0</v>
      </c>
    </row>
    <row r="2648">
      <c r="A2648" s="40" t="str">
        <f t="array" ref="A2648">IFNA(index(PlayerValues!A:A,match(IFNA(vlookup(B2648,'Special Names'!A:B,2,FALSE),B2648),PlayerValues!E:E,0)),"N/A")</f>
        <v>N/A</v>
      </c>
      <c r="B2648" s="4" t="s">
        <v>108</v>
      </c>
      <c r="C2648" s="4" t="s">
        <v>325</v>
      </c>
      <c r="D2648" s="94">
        <v>3071.0</v>
      </c>
    </row>
    <row r="2649">
      <c r="A2649" s="40" t="str">
        <f t="array" ref="A2649">IFNA(index(PlayerValues!A:A,match(IFNA(vlookup(B2649,'Special Names'!A:B,2,FALSE),B2649),PlayerValues!E:E,0)),"N/A")</f>
        <v>N/A</v>
      </c>
      <c r="B2649" s="4" t="s">
        <v>97</v>
      </c>
      <c r="C2649" s="4" t="s">
        <v>325</v>
      </c>
      <c r="D2649" s="94">
        <v>3045.0</v>
      </c>
    </row>
    <row r="2650">
      <c r="A2650" s="40">
        <f t="array" ref="A2650">IFNA(index(PlayerValues!A:A,match(IFNA(vlookup(B2650,'Special Names'!A:B,2,FALSE),B2650),PlayerValues!E:E,0)),"N/A")</f>
        <v>16619</v>
      </c>
      <c r="B2650" s="4" t="s">
        <v>538</v>
      </c>
      <c r="C2650" s="4" t="s">
        <v>287</v>
      </c>
      <c r="D2650" s="94">
        <v>3043.0</v>
      </c>
    </row>
    <row r="2651">
      <c r="A2651" s="40" t="str">
        <f t="array" ref="A2651">IFNA(index(PlayerValues!A:A,match(IFNA(vlookup(B2651,'Special Names'!A:B,2,FALSE),B2651),PlayerValues!E:E,0)),"N/A")</f>
        <v>N/A</v>
      </c>
      <c r="B2651" s="4" t="s">
        <v>84</v>
      </c>
      <c r="C2651" s="4" t="s">
        <v>325</v>
      </c>
      <c r="D2651" s="94">
        <v>3039.0</v>
      </c>
    </row>
    <row r="2652">
      <c r="A2652" s="40">
        <f t="array" ref="A2652">IFNA(index(PlayerValues!A:A,match(IFNA(vlookup(B2652,'Special Names'!A:B,2,FALSE),B2652),PlayerValues!E:E,0)),"N/A")</f>
        <v>15259</v>
      </c>
      <c r="B2652" s="4" t="s">
        <v>453</v>
      </c>
      <c r="C2652" s="4" t="s">
        <v>278</v>
      </c>
      <c r="D2652" s="94">
        <v>3023.0</v>
      </c>
    </row>
    <row r="2653">
      <c r="A2653" s="40">
        <f t="array" ref="A2653">IFNA(index(PlayerValues!A:A,match(IFNA(vlookup(B2653,'Special Names'!A:B,2,FALSE),B2653),PlayerValues!E:E,0)),"N/A")</f>
        <v>17082</v>
      </c>
      <c r="B2653" s="4" t="s">
        <v>498</v>
      </c>
      <c r="C2653" s="4" t="s">
        <v>287</v>
      </c>
      <c r="D2653" s="94">
        <v>3009.0</v>
      </c>
    </row>
    <row r="2654">
      <c r="A2654" s="40">
        <f t="array" ref="A2654">IFNA(index(PlayerValues!A:A,match(IFNA(vlookup(B2654,'Special Names'!A:B,2,FALSE),B2654),PlayerValues!E:E,0)),"N/A")</f>
        <v>15779</v>
      </c>
      <c r="B2654" s="4" t="s">
        <v>461</v>
      </c>
      <c r="C2654" s="4" t="s">
        <v>287</v>
      </c>
      <c r="D2654" s="94">
        <v>2988.0</v>
      </c>
    </row>
    <row r="2655">
      <c r="A2655" s="40">
        <f t="array" ref="A2655">IFNA(index(PlayerValues!A:A,match(IFNA(vlookup(B2655,'Special Names'!A:B,2,FALSE),B2655),PlayerValues!E:E,0)),"N/A")</f>
        <v>16193</v>
      </c>
      <c r="B2655" s="4" t="s">
        <v>487</v>
      </c>
      <c r="C2655" s="4" t="s">
        <v>287</v>
      </c>
      <c r="D2655" s="94">
        <v>2966.0</v>
      </c>
    </row>
    <row r="2656">
      <c r="A2656" s="40">
        <f t="array" ref="A2656">IFNA(index(PlayerValues!A:A,match(IFNA(vlookup(B2656,'Special Names'!A:B,2,FALSE),B2656),PlayerValues!E:E,0)),"N/A")</f>
        <v>15241</v>
      </c>
      <c r="B2656" s="4" t="s">
        <v>546</v>
      </c>
      <c r="C2656" s="4" t="s">
        <v>283</v>
      </c>
      <c r="D2656" s="94">
        <v>2931.0</v>
      </c>
    </row>
    <row r="2657">
      <c r="A2657" s="40">
        <f t="array" ref="A2657">IFNA(index(PlayerValues!A:A,match(IFNA(vlookup(B2657,'Special Names'!A:B,2,FALSE),B2657),PlayerValues!E:E,0)),"N/A")</f>
        <v>17106</v>
      </c>
      <c r="B2657" s="4" t="s">
        <v>550</v>
      </c>
      <c r="C2657" s="4" t="s">
        <v>298</v>
      </c>
      <c r="D2657" s="94">
        <v>3348.0</v>
      </c>
    </row>
    <row r="2658">
      <c r="A2658" s="40">
        <f t="array" ref="A2658">IFNA(index(PlayerValues!A:A,match(IFNA(vlookup(B2658,'Special Names'!A:B,2,FALSE),B2658),PlayerValues!E:E,0)),"N/A")</f>
        <v>16723</v>
      </c>
      <c r="B2658" s="4" t="s">
        <v>502</v>
      </c>
      <c r="C2658" s="4" t="s">
        <v>298</v>
      </c>
      <c r="D2658" s="94">
        <v>3338.0</v>
      </c>
    </row>
    <row r="2659">
      <c r="A2659" s="40">
        <f t="array" ref="A2659">IFNA(index(PlayerValues!A:A,match(IFNA(vlookup(B2659,'Special Names'!A:B,2,FALSE),B2659),PlayerValues!E:E,0)),"N/A")</f>
        <v>17256</v>
      </c>
      <c r="B2659" s="4" t="s">
        <v>462</v>
      </c>
      <c r="C2659" s="4" t="s">
        <v>278</v>
      </c>
      <c r="D2659" s="94">
        <v>2915.0</v>
      </c>
    </row>
    <row r="2660">
      <c r="A2660" s="40">
        <f t="array" ref="A2660">IFNA(index(PlayerValues!A:A,match(IFNA(vlookup(B2660,'Special Names'!A:B,2,FALSE),B2660),PlayerValues!E:E,0)),"N/A")</f>
        <v>14860</v>
      </c>
      <c r="B2660" s="4" t="s">
        <v>554</v>
      </c>
      <c r="C2660" s="4" t="s">
        <v>287</v>
      </c>
      <c r="D2660" s="94">
        <v>2910.0</v>
      </c>
    </row>
    <row r="2661">
      <c r="A2661" s="40">
        <f t="array" ref="A2661">IFNA(index(PlayerValues!A:A,match(IFNA(vlookup(B2661,'Special Names'!A:B,2,FALSE),B2661),PlayerValues!E:E,0)),"N/A")</f>
        <v>17107</v>
      </c>
      <c r="B2661" s="4" t="s">
        <v>478</v>
      </c>
      <c r="C2661" s="4" t="s">
        <v>298</v>
      </c>
      <c r="D2661" s="94">
        <v>3324.0</v>
      </c>
    </row>
    <row r="2662">
      <c r="A2662" s="40">
        <f t="array" ref="A2662">IFNA(index(PlayerValues!A:A,match(IFNA(vlookup(B2662,'Special Names'!A:B,2,FALSE),B2662),PlayerValues!E:E,0)),"N/A")</f>
        <v>11671</v>
      </c>
      <c r="B2662" s="4" t="s">
        <v>463</v>
      </c>
      <c r="C2662" s="4" t="s">
        <v>287</v>
      </c>
      <c r="D2662" s="94">
        <v>2902.0</v>
      </c>
    </row>
    <row r="2663">
      <c r="A2663" s="40">
        <f t="array" ref="A2663">IFNA(index(PlayerValues!A:A,match(IFNA(vlookup(B2663,'Special Names'!A:B,2,FALSE),B2663),PlayerValues!E:E,0)),"N/A")</f>
        <v>17463</v>
      </c>
      <c r="B2663" s="4" t="s">
        <v>433</v>
      </c>
      <c r="C2663" s="4" t="s">
        <v>283</v>
      </c>
      <c r="D2663" s="94">
        <v>2884.0</v>
      </c>
    </row>
    <row r="2664">
      <c r="A2664" s="40">
        <f t="array" ref="A2664">IFNA(index(PlayerValues!A:A,match(IFNA(vlookup(B2664,'Special Names'!A:B,2,FALSE),B2664),PlayerValues!E:E,0)),"N/A")</f>
        <v>16080</v>
      </c>
      <c r="B2664" s="4" t="s">
        <v>499</v>
      </c>
      <c r="C2664" s="4" t="s">
        <v>287</v>
      </c>
      <c r="D2664" s="94">
        <v>2876.0</v>
      </c>
    </row>
    <row r="2665">
      <c r="A2665" s="40">
        <f t="array" ref="A2665">IFNA(index(PlayerValues!A:A,match(IFNA(vlookup(B2665,'Special Names'!A:B,2,FALSE),B2665),PlayerValues!E:E,0)),"N/A")</f>
        <v>16628</v>
      </c>
      <c r="B2665" s="4" t="s">
        <v>490</v>
      </c>
      <c r="C2665" s="4" t="s">
        <v>287</v>
      </c>
      <c r="D2665" s="94">
        <v>2849.0</v>
      </c>
    </row>
    <row r="2666">
      <c r="A2666" s="40">
        <f t="array" ref="A2666">IFNA(index(PlayerValues!A:A,match(IFNA(vlookup(B2666,'Special Names'!A:B,2,FALSE),B2666),PlayerValues!E:E,0)),"N/A")</f>
        <v>17031</v>
      </c>
      <c r="B2666" s="4" t="s">
        <v>535</v>
      </c>
      <c r="C2666" s="4" t="s">
        <v>283</v>
      </c>
      <c r="D2666" s="94">
        <v>2842.0</v>
      </c>
    </row>
    <row r="2667">
      <c r="A2667" s="40">
        <f t="array" ref="A2667">IFNA(index(PlayerValues!A:A,match(IFNA(vlookup(B2667,'Special Names'!A:B,2,FALSE),B2667),PlayerValues!E:E,0)),"N/A")</f>
        <v>17073</v>
      </c>
      <c r="B2667" s="4" t="s">
        <v>547</v>
      </c>
      <c r="C2667" s="4" t="s">
        <v>287</v>
      </c>
      <c r="D2667" s="94">
        <v>2838.0</v>
      </c>
    </row>
    <row r="2668">
      <c r="A2668" s="40">
        <f t="array" ref="A2668">IFNA(index(PlayerValues!A:A,match(IFNA(vlookup(B2668,'Special Names'!A:B,2,FALSE),B2668),PlayerValues!E:E,0)),"N/A")</f>
        <v>17072</v>
      </c>
      <c r="B2668" s="4" t="s">
        <v>508</v>
      </c>
      <c r="C2668" s="4" t="s">
        <v>287</v>
      </c>
      <c r="D2668" s="94">
        <v>2837.0</v>
      </c>
    </row>
    <row r="2669">
      <c r="A2669" s="40">
        <f t="array" ref="A2669">IFNA(index(PlayerValues!A:A,match(IFNA(vlookup(B2669,'Special Names'!A:B,2,FALSE),B2669),PlayerValues!E:E,0)),"N/A")</f>
        <v>17157</v>
      </c>
      <c r="B2669" s="4" t="s">
        <v>524</v>
      </c>
      <c r="C2669" s="4" t="s">
        <v>287</v>
      </c>
      <c r="D2669" s="94">
        <v>2837.0</v>
      </c>
    </row>
    <row r="2670">
      <c r="A2670" s="40">
        <f t="array" ref="A2670">IFNA(index(PlayerValues!A:A,match(IFNA(vlookup(B2670,'Special Names'!A:B,2,FALSE),B2670),PlayerValues!E:E,0)),"N/A")</f>
        <v>17171</v>
      </c>
      <c r="B2670" s="4" t="s">
        <v>561</v>
      </c>
      <c r="C2670" s="4" t="s">
        <v>287</v>
      </c>
      <c r="D2670" s="94">
        <v>2836.0</v>
      </c>
    </row>
    <row r="2671">
      <c r="A2671" s="40" t="str">
        <f t="array" ref="A2671">IFNA(index(PlayerValues!A:A,match(IFNA(vlookup(B2671,'Special Names'!A:B,2,FALSE),B2671),PlayerValues!E:E,0)),"N/A")</f>
        <v>N/A</v>
      </c>
      <c r="B2671" s="4" t="s">
        <v>109</v>
      </c>
      <c r="C2671" s="4" t="s">
        <v>325</v>
      </c>
      <c r="D2671" s="94">
        <v>2833.0</v>
      </c>
    </row>
    <row r="2672">
      <c r="A2672" s="40">
        <f t="array" ref="A2672">IFNA(index(PlayerValues!A:A,match(IFNA(vlookup(B2672,'Special Names'!A:B,2,FALSE),B2672),PlayerValues!E:E,0)),"N/A")</f>
        <v>16596</v>
      </c>
      <c r="B2672" s="4" t="s">
        <v>501</v>
      </c>
      <c r="C2672" s="4" t="s">
        <v>278</v>
      </c>
      <c r="D2672" s="94">
        <v>2827.0</v>
      </c>
    </row>
    <row r="2673">
      <c r="A2673" s="40">
        <f t="array" ref="A2673">IFNA(index(PlayerValues!A:A,match(IFNA(vlookup(B2673,'Special Names'!A:B,2,FALSE),B2673),PlayerValues!E:E,0)),"N/A")</f>
        <v>14071</v>
      </c>
      <c r="B2673" s="4" t="s">
        <v>440</v>
      </c>
      <c r="C2673" s="4" t="s">
        <v>278</v>
      </c>
      <c r="D2673" s="94">
        <v>2825.0</v>
      </c>
    </row>
    <row r="2674">
      <c r="A2674" s="40">
        <f t="array" ref="A2674">IFNA(index(PlayerValues!A:A,match(IFNA(vlookup(B2674,'Special Names'!A:B,2,FALSE),B2674),PlayerValues!E:E,0)),"N/A")</f>
        <v>16165</v>
      </c>
      <c r="B2674" s="4" t="s">
        <v>520</v>
      </c>
      <c r="C2674" s="4" t="s">
        <v>278</v>
      </c>
      <c r="D2674" s="94">
        <v>2814.0</v>
      </c>
    </row>
    <row r="2675">
      <c r="A2675" s="40">
        <f t="array" ref="A2675">IFNA(index(PlayerValues!A:A,match(IFNA(vlookup(B2675,'Special Names'!A:B,2,FALSE),B2675),PlayerValues!E:E,0)),"N/A")</f>
        <v>16649</v>
      </c>
      <c r="B2675" s="4" t="s">
        <v>586</v>
      </c>
      <c r="C2675" s="4" t="s">
        <v>298</v>
      </c>
      <c r="D2675" s="94">
        <v>3215.0</v>
      </c>
    </row>
    <row r="2676">
      <c r="A2676" s="40">
        <f t="array" ref="A2676">IFNA(index(PlayerValues!A:A,match(IFNA(vlookup(B2676,'Special Names'!A:B,2,FALSE),B2676),PlayerValues!E:E,0)),"N/A")</f>
        <v>17080</v>
      </c>
      <c r="B2676" s="4" t="s">
        <v>532</v>
      </c>
      <c r="C2676" s="4" t="s">
        <v>287</v>
      </c>
      <c r="D2676" s="94">
        <v>2791.0</v>
      </c>
    </row>
    <row r="2677">
      <c r="A2677" s="40">
        <f t="array" ref="A2677">IFNA(index(PlayerValues!A:A,match(IFNA(vlookup(B2677,'Special Names'!A:B,2,FALSE),B2677),PlayerValues!E:E,0)),"N/A")</f>
        <v>15255</v>
      </c>
      <c r="B2677" s="4" t="s">
        <v>477</v>
      </c>
      <c r="C2677" s="4" t="s">
        <v>278</v>
      </c>
      <c r="D2677" s="94">
        <v>2786.0</v>
      </c>
    </row>
    <row r="2678">
      <c r="A2678" s="40" t="str">
        <f t="array" ref="A2678">IFNA(index(PlayerValues!A:A,match(IFNA(vlookup(B2678,'Special Names'!A:B,2,FALSE),B2678),PlayerValues!E:E,0)),"N/A")</f>
        <v>N/A</v>
      </c>
      <c r="B2678" s="4" t="s">
        <v>85</v>
      </c>
      <c r="C2678" s="4" t="s">
        <v>325</v>
      </c>
      <c r="D2678" s="94">
        <v>2786.0</v>
      </c>
    </row>
    <row r="2679">
      <c r="A2679" s="40">
        <f t="array" ref="A2679">IFNA(index(PlayerValues!A:A,match(IFNA(vlookup(B2679,'Special Names'!A:B,2,FALSE),B2679),PlayerValues!E:E,0)),"N/A")</f>
        <v>13163</v>
      </c>
      <c r="B2679" s="4" t="s">
        <v>473</v>
      </c>
      <c r="C2679" s="4" t="s">
        <v>287</v>
      </c>
      <c r="D2679" s="94">
        <v>2785.0</v>
      </c>
    </row>
    <row r="2680">
      <c r="A2680" s="40">
        <f t="array" ref="A2680">IFNA(index(PlayerValues!A:A,match(IFNA(vlookup(B2680,'Special Names'!A:B,2,FALSE),B2680),PlayerValues!E:E,0)),"N/A")</f>
        <v>14800</v>
      </c>
      <c r="B2680" s="4" t="s">
        <v>472</v>
      </c>
      <c r="C2680" s="4" t="s">
        <v>278</v>
      </c>
      <c r="D2680" s="94">
        <v>2785.0</v>
      </c>
    </row>
    <row r="2681">
      <c r="A2681" s="40">
        <f t="array" ref="A2681">IFNA(index(PlayerValues!A:A,match(IFNA(vlookup(B2681,'Special Names'!A:B,2,FALSE),B2681),PlayerValues!E:E,0)),"N/A")</f>
        <v>17098</v>
      </c>
      <c r="B2681" s="4" t="s">
        <v>533</v>
      </c>
      <c r="C2681" s="4" t="s">
        <v>287</v>
      </c>
      <c r="D2681" s="94">
        <v>2785.0</v>
      </c>
    </row>
    <row r="2682">
      <c r="A2682" s="40">
        <f t="array" ref="A2682">IFNA(index(PlayerValues!A:A,match(IFNA(vlookup(B2682,'Special Names'!A:B,2,FALSE),B2682),PlayerValues!E:E,0)),"N/A")</f>
        <v>16597</v>
      </c>
      <c r="B2682" s="4" t="s">
        <v>427</v>
      </c>
      <c r="C2682" s="4" t="s">
        <v>278</v>
      </c>
      <c r="D2682" s="94">
        <v>2784.0</v>
      </c>
    </row>
    <row r="2683">
      <c r="A2683" s="40">
        <f t="array" ref="A2683">IFNA(index(PlayerValues!A:A,match(IFNA(vlookup(B2683,'Special Names'!A:B,2,FALSE),B2683),PlayerValues!E:E,0)),"N/A")</f>
        <v>17134</v>
      </c>
      <c r="B2683" s="4" t="s">
        <v>548</v>
      </c>
      <c r="C2683" s="4" t="s">
        <v>287</v>
      </c>
      <c r="D2683" s="94">
        <v>2773.0</v>
      </c>
    </row>
    <row r="2684">
      <c r="A2684" s="40">
        <f t="array" ref="A2684">IFNA(index(PlayerValues!A:A,match(IFNA(vlookup(B2684,'Special Names'!A:B,2,FALSE),B2684),PlayerValues!E:E,0)),"N/A")</f>
        <v>17476</v>
      </c>
      <c r="B2684" s="4" t="s">
        <v>494</v>
      </c>
      <c r="C2684" s="4" t="s">
        <v>278</v>
      </c>
      <c r="D2684" s="94">
        <v>2758.0</v>
      </c>
    </row>
    <row r="2685">
      <c r="A2685" s="40">
        <f t="array" ref="A2685">IFNA(index(PlayerValues!A:A,match(IFNA(vlookup(B2685,'Special Names'!A:B,2,FALSE),B2685),PlayerValues!E:E,0)),"N/A")</f>
        <v>14138</v>
      </c>
      <c r="B2685" s="4" t="s">
        <v>531</v>
      </c>
      <c r="C2685" s="4" t="s">
        <v>298</v>
      </c>
      <c r="D2685" s="94">
        <v>3141.0</v>
      </c>
    </row>
    <row r="2686">
      <c r="A2686" s="40">
        <f t="array" ref="A2686">IFNA(index(PlayerValues!A:A,match(IFNA(vlookup(B2686,'Special Names'!A:B,2,FALSE),B2686),PlayerValues!E:E,0)),"N/A")</f>
        <v>16747</v>
      </c>
      <c r="B2686" s="4" t="s">
        <v>555</v>
      </c>
      <c r="C2686" s="4" t="s">
        <v>278</v>
      </c>
      <c r="D2686" s="94">
        <v>2713.0</v>
      </c>
    </row>
    <row r="2687">
      <c r="A2687" s="40">
        <f t="array" ref="A2687">IFNA(index(PlayerValues!A:A,match(IFNA(vlookup(B2687,'Special Names'!A:B,2,FALSE),B2687),PlayerValues!E:E,0)),"N/A")</f>
        <v>16626</v>
      </c>
      <c r="B2687" s="4" t="s">
        <v>515</v>
      </c>
      <c r="C2687" s="4" t="s">
        <v>287</v>
      </c>
      <c r="D2687" s="94">
        <v>2709.0</v>
      </c>
    </row>
    <row r="2688">
      <c r="A2688" s="40">
        <f t="array" ref="A2688">IFNA(index(PlayerValues!A:A,match(IFNA(vlookup(B2688,'Special Names'!A:B,2,FALSE),B2688),PlayerValues!E:E,0)),"N/A")</f>
        <v>17048</v>
      </c>
      <c r="B2688" s="4" t="s">
        <v>539</v>
      </c>
      <c r="C2688" s="4" t="s">
        <v>278</v>
      </c>
      <c r="D2688" s="94">
        <v>2709.0</v>
      </c>
    </row>
    <row r="2689">
      <c r="A2689" s="40">
        <f t="array" ref="A2689">IFNA(index(PlayerValues!A:A,match(IFNA(vlookup(B2689,'Special Names'!A:B,2,FALSE),B2689),PlayerValues!E:E,0)),"N/A")</f>
        <v>17047</v>
      </c>
      <c r="B2689" s="4" t="s">
        <v>510</v>
      </c>
      <c r="C2689" s="4" t="s">
        <v>278</v>
      </c>
      <c r="D2689" s="94">
        <v>2702.0</v>
      </c>
    </row>
    <row r="2690">
      <c r="A2690" s="40">
        <f t="array" ref="A2690">IFNA(index(PlayerValues!A:A,match(IFNA(vlookup(B2690,'Special Names'!A:B,2,FALSE),B2690),PlayerValues!E:E,0)),"N/A")</f>
        <v>14778</v>
      </c>
      <c r="B2690" s="4" t="s">
        <v>564</v>
      </c>
      <c r="C2690" s="4" t="s">
        <v>283</v>
      </c>
      <c r="D2690" s="94">
        <v>2701.0</v>
      </c>
    </row>
    <row r="2691">
      <c r="A2691" s="40">
        <f t="array" ref="A2691">IFNA(index(PlayerValues!A:A,match(IFNA(vlookup(B2691,'Special Names'!A:B,2,FALSE),B2691),PlayerValues!E:E,0)),"N/A")</f>
        <v>14085</v>
      </c>
      <c r="B2691" s="4" t="s">
        <v>489</v>
      </c>
      <c r="C2691" s="4" t="s">
        <v>278</v>
      </c>
      <c r="D2691" s="94">
        <v>2688.0</v>
      </c>
    </row>
    <row r="2692">
      <c r="A2692" s="40" t="str">
        <f t="array" ref="A2692">IFNA(index(PlayerValues!A:A,match(IFNA(vlookup(B2692,'Special Names'!A:B,2,FALSE),B2692),PlayerValues!E:E,0)),"N/A")</f>
        <v>N/A</v>
      </c>
      <c r="B2692" s="4" t="s">
        <v>110</v>
      </c>
      <c r="C2692" s="4" t="s">
        <v>325</v>
      </c>
      <c r="D2692" s="94">
        <v>2659.0</v>
      </c>
    </row>
    <row r="2693">
      <c r="A2693" s="40">
        <f t="array" ref="A2693">IFNA(index(PlayerValues!A:A,match(IFNA(vlookup(B2693,'Special Names'!A:B,2,FALSE),B2693),PlayerValues!E:E,0)),"N/A")</f>
        <v>12186</v>
      </c>
      <c r="B2693" s="4" t="s">
        <v>497</v>
      </c>
      <c r="C2693" s="4" t="s">
        <v>287</v>
      </c>
      <c r="D2693" s="94">
        <v>2655.0</v>
      </c>
    </row>
    <row r="2694">
      <c r="A2694" s="40">
        <f t="array" ref="A2694">IFNA(index(PlayerValues!A:A,match(IFNA(vlookup(B2694,'Special Names'!A:B,2,FALSE),B2694),PlayerValues!E:E,0)),"N/A")</f>
        <v>17046</v>
      </c>
      <c r="B2694" s="4" t="s">
        <v>602</v>
      </c>
      <c r="C2694" s="4" t="s">
        <v>278</v>
      </c>
      <c r="D2694" s="94">
        <v>2649.0</v>
      </c>
    </row>
    <row r="2695">
      <c r="A2695" s="40">
        <f t="array" ref="A2695">IFNA(index(PlayerValues!A:A,match(IFNA(vlookup(B2695,'Special Names'!A:B,2,FALSE),B2695),PlayerValues!E:E,0)),"N/A")</f>
        <v>14833</v>
      </c>
      <c r="B2695" s="4" t="s">
        <v>553</v>
      </c>
      <c r="C2695" s="4" t="s">
        <v>287</v>
      </c>
      <c r="D2695" s="94">
        <v>2647.0</v>
      </c>
    </row>
    <row r="2696">
      <c r="A2696" s="40">
        <f t="array" ref="A2696">IFNA(index(PlayerValues!A:A,match(IFNA(vlookup(B2696,'Special Names'!A:B,2,FALSE),B2696),PlayerValues!E:E,0)),"N/A")</f>
        <v>14840</v>
      </c>
      <c r="B2696" s="4" t="s">
        <v>731</v>
      </c>
      <c r="C2696" s="4" t="s">
        <v>287</v>
      </c>
      <c r="D2696" s="94">
        <v>2640.0</v>
      </c>
    </row>
    <row r="2697">
      <c r="A2697" s="40">
        <f t="array" ref="A2697">IFNA(index(PlayerValues!A:A,match(IFNA(vlookup(B2697,'Special Names'!A:B,2,FALSE),B2697),PlayerValues!E:E,0)),"N/A")</f>
        <v>15721</v>
      </c>
      <c r="B2697" s="4" t="s">
        <v>504</v>
      </c>
      <c r="C2697" s="4" t="s">
        <v>278</v>
      </c>
      <c r="D2697" s="94">
        <v>2636.0</v>
      </c>
    </row>
    <row r="2698">
      <c r="A2698" s="40">
        <f t="array" ref="A2698">IFNA(index(PlayerValues!A:A,match(IFNA(vlookup(B2698,'Special Names'!A:B,2,FALSE),B2698),PlayerValues!E:E,0)),"N/A")</f>
        <v>13192</v>
      </c>
      <c r="B2698" s="4" t="s">
        <v>563</v>
      </c>
      <c r="C2698" s="4" t="s">
        <v>298</v>
      </c>
      <c r="D2698" s="94">
        <v>3046.0</v>
      </c>
    </row>
    <row r="2699">
      <c r="A2699" s="40">
        <f t="array" ref="A2699">IFNA(index(PlayerValues!A:A,match(IFNA(vlookup(B2699,'Special Names'!A:B,2,FALSE),B2699),PlayerValues!E:E,0)),"N/A")</f>
        <v>17108</v>
      </c>
      <c r="B2699" s="4" t="s">
        <v>542</v>
      </c>
      <c r="C2699" s="4" t="s">
        <v>298</v>
      </c>
      <c r="D2699" s="94">
        <v>3042.0</v>
      </c>
    </row>
    <row r="2700">
      <c r="A2700" s="40">
        <f t="array" ref="A2700">IFNA(index(PlayerValues!A:A,match(IFNA(vlookup(B2700,'Special Names'!A:B,2,FALSE),B2700),PlayerValues!E:E,0)),"N/A")</f>
        <v>16757</v>
      </c>
      <c r="B2700" s="4" t="s">
        <v>558</v>
      </c>
      <c r="C2700" s="4" t="s">
        <v>278</v>
      </c>
      <c r="D2700" s="94">
        <v>2611.0</v>
      </c>
    </row>
    <row r="2701">
      <c r="A2701" s="40" t="str">
        <f t="array" ref="A2701">IFNA(index(PlayerValues!A:A,match(IFNA(vlookup(B2701,'Special Names'!A:B,2,FALSE),B2701),PlayerValues!E:E,0)),"N/A")</f>
        <v>N/A</v>
      </c>
      <c r="B2701" s="4" t="s">
        <v>557</v>
      </c>
      <c r="C2701" s="4" t="s">
        <v>278</v>
      </c>
      <c r="D2701" s="94">
        <v>2593.0</v>
      </c>
    </row>
    <row r="2702">
      <c r="A2702" s="40">
        <f t="array" ref="A2702">IFNA(index(PlayerValues!A:A,match(IFNA(vlookup(B2702,'Special Names'!A:B,2,FALSE),B2702),PlayerValues!E:E,0)),"N/A")</f>
        <v>16152</v>
      </c>
      <c r="B2702" s="4" t="s">
        <v>601</v>
      </c>
      <c r="C2702" s="4" t="s">
        <v>283</v>
      </c>
      <c r="D2702" s="94">
        <v>2585.0</v>
      </c>
    </row>
    <row r="2703">
      <c r="A2703" s="40">
        <f t="array" ref="A2703">IFNA(index(PlayerValues!A:A,match(IFNA(vlookup(B2703,'Special Names'!A:B,2,FALSE),B2703),PlayerValues!E:E,0)),"N/A")</f>
        <v>13674</v>
      </c>
      <c r="B2703" s="4" t="s">
        <v>511</v>
      </c>
      <c r="C2703" s="4" t="s">
        <v>298</v>
      </c>
      <c r="D2703" s="94">
        <v>2993.0</v>
      </c>
    </row>
    <row r="2704">
      <c r="A2704" s="40">
        <f t="array" ref="A2704">IFNA(index(PlayerValues!A:A,match(IFNA(vlookup(B2704,'Special Names'!A:B,2,FALSE),B2704),PlayerValues!E:E,0)),"N/A")</f>
        <v>17078</v>
      </c>
      <c r="B2704" s="4" t="s">
        <v>543</v>
      </c>
      <c r="C2704" s="4" t="s">
        <v>287</v>
      </c>
      <c r="D2704" s="94">
        <v>2566.0</v>
      </c>
    </row>
    <row r="2705">
      <c r="A2705" s="40">
        <f t="array" ref="A2705">IFNA(index(PlayerValues!A:A,match(IFNA(vlookup(B2705,'Special Names'!A:B,2,FALSE),B2705),PlayerValues!E:E,0)),"N/A")</f>
        <v>16166</v>
      </c>
      <c r="B2705" s="4" t="s">
        <v>567</v>
      </c>
      <c r="C2705" s="4" t="s">
        <v>278</v>
      </c>
      <c r="D2705" s="94">
        <v>2565.0</v>
      </c>
    </row>
    <row r="2706">
      <c r="A2706" s="40">
        <f t="array" ref="A2706">IFNA(index(PlayerValues!A:A,match(IFNA(vlookup(B2706,'Special Names'!A:B,2,FALSE),B2706),PlayerValues!E:E,0)),"N/A")</f>
        <v>13671</v>
      </c>
      <c r="B2706" s="4" t="s">
        <v>506</v>
      </c>
      <c r="C2706" s="4" t="s">
        <v>298</v>
      </c>
      <c r="D2706" s="94">
        <v>2968.0</v>
      </c>
    </row>
    <row r="2707">
      <c r="A2707" s="40">
        <f t="array" ref="A2707">IFNA(index(PlayerValues!A:A,match(IFNA(vlookup(B2707,'Special Names'!A:B,2,FALSE),B2707),PlayerValues!E:E,0)),"N/A")</f>
        <v>17505</v>
      </c>
      <c r="B2707" s="4" t="s">
        <v>528</v>
      </c>
      <c r="C2707" s="4" t="s">
        <v>287</v>
      </c>
      <c r="D2707" s="94">
        <v>2559.0</v>
      </c>
    </row>
    <row r="2708">
      <c r="A2708" s="40">
        <f t="array" ref="A2708">IFNA(index(PlayerValues!A:A,match(IFNA(vlookup(B2708,'Special Names'!A:B,2,FALSE),B2708),PlayerValues!E:E,0)),"N/A")</f>
        <v>14136</v>
      </c>
      <c r="B2708" s="4" t="s">
        <v>536</v>
      </c>
      <c r="C2708" s="4" t="s">
        <v>287</v>
      </c>
      <c r="D2708" s="94">
        <v>2551.0</v>
      </c>
    </row>
    <row r="2709">
      <c r="A2709" s="40">
        <f t="array" ref="A2709">IFNA(index(PlayerValues!A:A,match(IFNA(vlookup(B2709,'Special Names'!A:B,2,FALSE),B2709),PlayerValues!E:E,0)),"N/A")</f>
        <v>16189</v>
      </c>
      <c r="B2709" s="4" t="s">
        <v>582</v>
      </c>
      <c r="C2709" s="4" t="s">
        <v>287</v>
      </c>
      <c r="D2709" s="94">
        <v>2541.0</v>
      </c>
    </row>
    <row r="2710">
      <c r="A2710" s="40">
        <f t="array" ref="A2710">IFNA(index(PlayerValues!A:A,match(IFNA(vlookup(B2710,'Special Names'!A:B,2,FALSE),B2710),PlayerValues!E:E,0)),"N/A")</f>
        <v>16164</v>
      </c>
      <c r="B2710" s="4" t="s">
        <v>512</v>
      </c>
      <c r="C2710" s="4" t="s">
        <v>278</v>
      </c>
      <c r="D2710" s="94">
        <v>2523.0</v>
      </c>
    </row>
    <row r="2711">
      <c r="A2711" s="40">
        <f t="array" ref="A2711">IFNA(index(PlayerValues!A:A,match(IFNA(vlookup(B2711,'Special Names'!A:B,2,FALSE),B2711),PlayerValues!E:E,0)),"N/A")</f>
        <v>16617</v>
      </c>
      <c r="B2711" s="4" t="s">
        <v>541</v>
      </c>
      <c r="C2711" s="4" t="s">
        <v>287</v>
      </c>
      <c r="D2711" s="94">
        <v>2514.0</v>
      </c>
    </row>
    <row r="2712">
      <c r="A2712" s="40">
        <f t="array" ref="A2712">IFNA(index(PlayerValues!A:A,match(IFNA(vlookup(B2712,'Special Names'!A:B,2,FALSE),B2712),PlayerValues!E:E,0)),"N/A")</f>
        <v>12616</v>
      </c>
      <c r="B2712" s="4" t="s">
        <v>529</v>
      </c>
      <c r="C2712" s="4" t="s">
        <v>283</v>
      </c>
      <c r="D2712" s="94">
        <v>2503.0</v>
      </c>
    </row>
    <row r="2713">
      <c r="A2713" s="40">
        <f t="array" ref="A2713">IFNA(index(PlayerValues!A:A,match(IFNA(vlookup(B2713,'Special Names'!A:B,2,FALSE),B2713),PlayerValues!E:E,0)),"N/A")</f>
        <v>15972</v>
      </c>
      <c r="B2713" s="4" t="s">
        <v>469</v>
      </c>
      <c r="C2713" s="4" t="s">
        <v>278</v>
      </c>
      <c r="D2713" s="94">
        <v>2477.0</v>
      </c>
    </row>
    <row r="2714">
      <c r="A2714" s="40" t="str">
        <f t="array" ref="A2714">IFNA(index(PlayerValues!A:A,match(IFNA(vlookup(B2714,'Special Names'!A:B,2,FALSE),B2714),PlayerValues!E:E,0)),"N/A")</f>
        <v>N/A</v>
      </c>
      <c r="B2714" s="4" t="s">
        <v>98</v>
      </c>
      <c r="C2714" s="4" t="s">
        <v>325</v>
      </c>
      <c r="D2714" s="94">
        <v>2468.0</v>
      </c>
    </row>
    <row r="2715">
      <c r="A2715" s="40">
        <f t="array" ref="A2715">IFNA(index(PlayerValues!A:A,match(IFNA(vlookup(B2715,'Special Names'!A:B,2,FALSE),B2715),PlayerValues!E:E,0)),"N/A")</f>
        <v>17474</v>
      </c>
      <c r="B2715" s="4" t="s">
        <v>513</v>
      </c>
      <c r="C2715" s="4" t="s">
        <v>278</v>
      </c>
      <c r="D2715" s="94">
        <v>2468.0</v>
      </c>
    </row>
    <row r="2716">
      <c r="A2716" s="40">
        <f t="array" ref="A2716">IFNA(index(PlayerValues!A:A,match(IFNA(vlookup(B2716,'Special Names'!A:B,2,FALSE),B2716),PlayerValues!E:E,0)),"N/A")</f>
        <v>16287</v>
      </c>
      <c r="B2716" s="4" t="s">
        <v>516</v>
      </c>
      <c r="C2716" s="4" t="s">
        <v>287</v>
      </c>
      <c r="D2716" s="94">
        <v>2466.0</v>
      </c>
    </row>
    <row r="2717">
      <c r="A2717" s="40">
        <f t="array" ref="A2717">IFNA(index(PlayerValues!A:A,match(IFNA(vlookup(B2717,'Special Names'!A:B,2,FALSE),B2717),PlayerValues!E:E,0)),"N/A")</f>
        <v>17033</v>
      </c>
      <c r="B2717" s="4" t="s">
        <v>570</v>
      </c>
      <c r="C2717" s="4" t="s">
        <v>283</v>
      </c>
      <c r="D2717" s="94">
        <v>2437.0</v>
      </c>
    </row>
    <row r="2718">
      <c r="A2718" s="40">
        <f t="array" ref="A2718">IFNA(index(PlayerValues!A:A,match(IFNA(vlookup(B2718,'Special Names'!A:B,2,FALSE),B2718),PlayerValues!E:E,0)),"N/A")</f>
        <v>16204</v>
      </c>
      <c r="B2718" s="4" t="s">
        <v>530</v>
      </c>
      <c r="C2718" s="4" t="s">
        <v>287</v>
      </c>
      <c r="D2718" s="94">
        <v>2424.0</v>
      </c>
    </row>
    <row r="2719">
      <c r="A2719" s="40">
        <f t="array" ref="A2719">IFNA(index(PlayerValues!A:A,match(IFNA(vlookup(B2719,'Special Names'!A:B,2,FALSE),B2719),PlayerValues!E:E,0)),"N/A")</f>
        <v>14861</v>
      </c>
      <c r="B2719" s="4" t="s">
        <v>523</v>
      </c>
      <c r="C2719" s="4" t="s">
        <v>298</v>
      </c>
      <c r="D2719" s="94">
        <v>2825.0</v>
      </c>
    </row>
    <row r="2720">
      <c r="A2720" s="40">
        <f t="array" ref="A2720">IFNA(index(PlayerValues!A:A,match(IFNA(vlookup(B2720,'Special Names'!A:B,2,FALSE),B2720),PlayerValues!E:E,0)),"N/A")</f>
        <v>12676</v>
      </c>
      <c r="B2720" s="4" t="s">
        <v>537</v>
      </c>
      <c r="C2720" s="4" t="s">
        <v>298</v>
      </c>
      <c r="D2720" s="94">
        <v>2813.0</v>
      </c>
    </row>
    <row r="2721">
      <c r="A2721" s="40">
        <f t="array" ref="A2721">IFNA(index(PlayerValues!A:A,match(IFNA(vlookup(B2721,'Special Names'!A:B,2,FALSE),B2721),PlayerValues!E:E,0)),"N/A")</f>
        <v>17105</v>
      </c>
      <c r="B2721" s="4" t="s">
        <v>525</v>
      </c>
      <c r="C2721" s="4" t="s">
        <v>298</v>
      </c>
      <c r="D2721" s="94">
        <v>2809.0</v>
      </c>
    </row>
    <row r="2722">
      <c r="A2722" s="40">
        <f t="array" ref="A2722">IFNA(index(PlayerValues!A:A,match(IFNA(vlookup(B2722,'Special Names'!A:B,2,FALSE),B2722),PlayerValues!E:E,0)),"N/A")</f>
        <v>17507</v>
      </c>
      <c r="B2722" s="4" t="s">
        <v>495</v>
      </c>
      <c r="C2722" s="4" t="s">
        <v>287</v>
      </c>
      <c r="D2722" s="94">
        <v>2400.0</v>
      </c>
    </row>
    <row r="2723">
      <c r="A2723" s="40">
        <f t="array" ref="A2723">IFNA(index(PlayerValues!A:A,match(IFNA(vlookup(B2723,'Special Names'!A:B,2,FALSE),B2723),PlayerValues!E:E,0)),"N/A")</f>
        <v>16610</v>
      </c>
      <c r="B2723" s="4" t="s">
        <v>562</v>
      </c>
      <c r="C2723" s="4" t="s">
        <v>278</v>
      </c>
      <c r="D2723" s="94">
        <v>2394.0</v>
      </c>
    </row>
    <row r="2724">
      <c r="A2724" s="40">
        <f t="array" ref="A2724">IFNA(index(PlayerValues!A:A,match(IFNA(vlookup(B2724,'Special Names'!A:B,2,FALSE),B2724),PlayerValues!E:E,0)),"N/A")</f>
        <v>17511</v>
      </c>
      <c r="B2724" s="4" t="s">
        <v>485</v>
      </c>
      <c r="C2724" s="4" t="s">
        <v>287</v>
      </c>
      <c r="D2724" s="94">
        <v>2376.0</v>
      </c>
    </row>
    <row r="2725">
      <c r="A2725" s="40">
        <f t="array" ref="A2725">IFNA(index(PlayerValues!A:A,match(IFNA(vlookup(B2725,'Special Names'!A:B,2,FALSE),B2725),PlayerValues!E:E,0)),"N/A")</f>
        <v>15716</v>
      </c>
      <c r="B2725" s="4" t="s">
        <v>545</v>
      </c>
      <c r="C2725" s="4" t="s">
        <v>278</v>
      </c>
      <c r="D2725" s="94">
        <v>2360.0</v>
      </c>
    </row>
    <row r="2726">
      <c r="A2726" s="40">
        <f t="array" ref="A2726">IFNA(index(PlayerValues!A:A,match(IFNA(vlookup(B2726,'Special Names'!A:B,2,FALSE),B2726),PlayerValues!E:E,0)),"N/A")</f>
        <v>17464</v>
      </c>
      <c r="B2726" s="4" t="s">
        <v>828</v>
      </c>
      <c r="C2726" s="4" t="s">
        <v>283</v>
      </c>
      <c r="D2726" s="94">
        <v>2358.0</v>
      </c>
    </row>
    <row r="2727">
      <c r="A2727" s="40">
        <f t="array" ref="A2727">IFNA(index(PlayerValues!A:A,match(IFNA(vlookup(B2727,'Special Names'!A:B,2,FALSE),B2727),PlayerValues!E:E,0)),"N/A")</f>
        <v>13132</v>
      </c>
      <c r="B2727" s="4" t="s">
        <v>598</v>
      </c>
      <c r="C2727" s="4" t="s">
        <v>278</v>
      </c>
      <c r="D2727" s="94">
        <v>2357.0</v>
      </c>
    </row>
    <row r="2728">
      <c r="A2728" s="40">
        <f t="array" ref="A2728">IFNA(index(PlayerValues!A:A,match(IFNA(vlookup(B2728,'Special Names'!A:B,2,FALSE),B2728),PlayerValues!E:E,0)),"N/A")</f>
        <v>15802</v>
      </c>
      <c r="B2728" s="4" t="s">
        <v>566</v>
      </c>
      <c r="C2728" s="4" t="s">
        <v>298</v>
      </c>
      <c r="D2728" s="94">
        <v>2749.0</v>
      </c>
    </row>
    <row r="2729">
      <c r="A2729" s="40">
        <f t="array" ref="A2729">IFNA(index(PlayerValues!A:A,match(IFNA(vlookup(B2729,'Special Names'!A:B,2,FALSE),B2729),PlayerValues!E:E,0)),"N/A")</f>
        <v>16178</v>
      </c>
      <c r="B2729" s="4" t="s">
        <v>507</v>
      </c>
      <c r="C2729" s="4" t="s">
        <v>278</v>
      </c>
      <c r="D2729" s="94">
        <v>2347.0</v>
      </c>
    </row>
    <row r="2730">
      <c r="A2730" s="40" t="str">
        <f t="array" ref="A2730">IFNA(index(PlayerValues!A:A,match(IFNA(vlookup(B2730,'Special Names'!A:B,2,FALSE),B2730),PlayerValues!E:E,0)),"N/A")</f>
        <v>N/A</v>
      </c>
      <c r="B2730" s="4" t="s">
        <v>86</v>
      </c>
      <c r="C2730" s="4" t="s">
        <v>325</v>
      </c>
      <c r="D2730" s="94">
        <v>2341.0</v>
      </c>
    </row>
    <row r="2731">
      <c r="A2731" s="40">
        <f t="array" ref="A2731">IFNA(index(PlayerValues!A:A,match(IFNA(vlookup(B2731,'Special Names'!A:B,2,FALSE),B2731),PlayerValues!E:E,0)),"N/A")</f>
        <v>13772</v>
      </c>
      <c r="B2731" s="4" t="s">
        <v>544</v>
      </c>
      <c r="C2731" s="4" t="s">
        <v>298</v>
      </c>
      <c r="D2731" s="94">
        <v>2738.0</v>
      </c>
    </row>
    <row r="2732">
      <c r="A2732" s="40">
        <f t="array" ref="A2732">IFNA(index(PlayerValues!A:A,match(IFNA(vlookup(B2732,'Special Names'!A:B,2,FALSE),B2732),PlayerValues!E:E,0)),"N/A")</f>
        <v>17079</v>
      </c>
      <c r="B2732" s="4" t="s">
        <v>572</v>
      </c>
      <c r="C2732" s="4" t="s">
        <v>287</v>
      </c>
      <c r="D2732" s="94">
        <v>2320.0</v>
      </c>
    </row>
    <row r="2733">
      <c r="A2733" s="40">
        <f t="array" ref="A2733">IFNA(index(PlayerValues!A:A,match(IFNA(vlookup(B2733,'Special Names'!A:B,2,FALSE),B2733),PlayerValues!E:E,0)),"N/A")</f>
        <v>16212</v>
      </c>
      <c r="B2733" s="4" t="s">
        <v>568</v>
      </c>
      <c r="C2733" s="4" t="s">
        <v>298</v>
      </c>
      <c r="D2733" s="94">
        <v>2712.0</v>
      </c>
    </row>
    <row r="2734">
      <c r="A2734" s="40">
        <f t="array" ref="A2734">IFNA(index(PlayerValues!A:A,match(IFNA(vlookup(B2734,'Special Names'!A:B,2,FALSE),B2734),PlayerValues!E:E,0)),"N/A")</f>
        <v>17049</v>
      </c>
      <c r="B2734" s="4" t="s">
        <v>624</v>
      </c>
      <c r="C2734" s="4" t="s">
        <v>278</v>
      </c>
      <c r="D2734" s="94">
        <v>2307.0</v>
      </c>
    </row>
    <row r="2735">
      <c r="A2735" s="40">
        <f t="array" ref="A2735">IFNA(index(PlayerValues!A:A,match(IFNA(vlookup(B2735,'Special Names'!A:B,2,FALSE),B2735),PlayerValues!E:E,0)),"N/A")</f>
        <v>12801</v>
      </c>
      <c r="B2735" s="4" t="s">
        <v>722</v>
      </c>
      <c r="C2735" s="4" t="s">
        <v>287</v>
      </c>
      <c r="D2735" s="94">
        <v>2306.0</v>
      </c>
    </row>
    <row r="2736">
      <c r="A2736" s="40" t="str">
        <f t="array" ref="A2736">IFNA(index(PlayerValues!A:A,match(IFNA(vlookup(B2736,'Special Names'!A:B,2,FALSE),B2736),PlayerValues!E:E,0)),"N/A")</f>
        <v>N/A</v>
      </c>
      <c r="B2736" s="4" t="s">
        <v>99</v>
      </c>
      <c r="C2736" s="4" t="s">
        <v>325</v>
      </c>
      <c r="D2736" s="94">
        <v>2298.0</v>
      </c>
    </row>
    <row r="2737">
      <c r="A2737" s="40">
        <f t="array" ref="A2737">IFNA(index(PlayerValues!A:A,match(IFNA(vlookup(B2737,'Special Names'!A:B,2,FALSE),B2737),PlayerValues!E:E,0)),"N/A")</f>
        <v>17034</v>
      </c>
      <c r="B2737" s="4" t="s">
        <v>643</v>
      </c>
      <c r="C2737" s="4" t="s">
        <v>283</v>
      </c>
      <c r="D2737" s="94">
        <v>2297.0</v>
      </c>
    </row>
    <row r="2738">
      <c r="A2738" s="40">
        <f t="array" ref="A2738">IFNA(index(PlayerValues!A:A,match(IFNA(vlookup(B2738,'Special Names'!A:B,2,FALSE),B2738),PlayerValues!E:E,0)),"N/A")</f>
        <v>16036</v>
      </c>
      <c r="B2738" s="4" t="s">
        <v>592</v>
      </c>
      <c r="C2738" s="4" t="s">
        <v>298</v>
      </c>
      <c r="D2738" s="94">
        <v>2668.0</v>
      </c>
    </row>
    <row r="2739">
      <c r="A2739" s="40">
        <f t="array" ref="A2739">IFNA(index(PlayerValues!A:A,match(IFNA(vlookup(B2739,'Special Names'!A:B,2,FALSE),B2739),PlayerValues!E:E,0)),"N/A")</f>
        <v>17076</v>
      </c>
      <c r="B2739" s="4" t="s">
        <v>585</v>
      </c>
      <c r="C2739" s="4" t="s">
        <v>287</v>
      </c>
      <c r="D2739" s="94">
        <v>2268.0</v>
      </c>
    </row>
    <row r="2740">
      <c r="A2740" s="40">
        <f t="array" ref="A2740">IFNA(index(PlayerValues!A:A,match(IFNA(vlookup(B2740,'Special Names'!A:B,2,FALSE),B2740),PlayerValues!E:E,0)),"N/A")</f>
        <v>17544</v>
      </c>
      <c r="B2740" s="4" t="s">
        <v>470</v>
      </c>
      <c r="C2740" s="4" t="s">
        <v>298</v>
      </c>
      <c r="D2740" s="94">
        <v>2664.0</v>
      </c>
    </row>
    <row r="2741">
      <c r="A2741" s="40">
        <f t="array" ref="A2741">IFNA(index(PlayerValues!A:A,match(IFNA(vlookup(B2741,'Special Names'!A:B,2,FALSE),B2741),PlayerValues!E:E,0)),"N/A")</f>
        <v>16171</v>
      </c>
      <c r="B2741" s="4" t="s">
        <v>618</v>
      </c>
      <c r="C2741" s="4" t="s">
        <v>278</v>
      </c>
      <c r="D2741" s="94">
        <v>2255.0</v>
      </c>
    </row>
    <row r="2742">
      <c r="A2742" s="40">
        <f t="array" ref="A2742">IFNA(index(PlayerValues!A:A,match(IFNA(vlookup(B2742,'Special Names'!A:B,2,FALSE),B2742),PlayerValues!E:E,0)),"N/A")</f>
        <v>16342</v>
      </c>
      <c r="B2742" s="4" t="s">
        <v>583</v>
      </c>
      <c r="C2742" s="4" t="s">
        <v>287</v>
      </c>
      <c r="D2742" s="94">
        <v>2218.0</v>
      </c>
    </row>
    <row r="2743">
      <c r="A2743" s="40">
        <f t="array" ref="A2743">IFNA(index(PlayerValues!A:A,match(IFNA(vlookup(B2743,'Special Names'!A:B,2,FALSE),B2743),PlayerValues!E:E,0)),"N/A")</f>
        <v>13319</v>
      </c>
      <c r="B2743" s="4" t="s">
        <v>549</v>
      </c>
      <c r="C2743" s="4" t="s">
        <v>278</v>
      </c>
      <c r="D2743" s="94">
        <v>2217.0</v>
      </c>
    </row>
    <row r="2744">
      <c r="A2744" s="40">
        <f t="array" ref="A2744">IFNA(index(PlayerValues!A:A,match(IFNA(vlookup(B2744,'Special Names'!A:B,2,FALSE),B2744),PlayerValues!E:E,0)),"N/A")</f>
        <v>17506</v>
      </c>
      <c r="B2744" s="4" t="s">
        <v>471</v>
      </c>
      <c r="C2744" s="4" t="s">
        <v>287</v>
      </c>
      <c r="D2744" s="94">
        <v>2209.0</v>
      </c>
    </row>
    <row r="2745">
      <c r="A2745" s="40">
        <f t="array" ref="A2745">IFNA(index(PlayerValues!A:A,match(IFNA(vlookup(B2745,'Special Names'!A:B,2,FALSE),B2745),PlayerValues!E:E,0)),"N/A")</f>
        <v>17509</v>
      </c>
      <c r="B2745" s="4" t="s">
        <v>551</v>
      </c>
      <c r="C2745" s="4" t="s">
        <v>287</v>
      </c>
      <c r="D2745" s="94">
        <v>2209.0</v>
      </c>
    </row>
    <row r="2746">
      <c r="A2746" s="40">
        <f t="array" ref="A2746">IFNA(index(PlayerValues!A:A,match(IFNA(vlookup(B2746,'Special Names'!A:B,2,FALSE),B2746),PlayerValues!E:E,0)),"N/A")</f>
        <v>16195</v>
      </c>
      <c r="B2746" s="4" t="s">
        <v>509</v>
      </c>
      <c r="C2746" s="4" t="s">
        <v>287</v>
      </c>
      <c r="D2746" s="94">
        <v>2204.0</v>
      </c>
    </row>
    <row r="2747">
      <c r="A2747" s="40">
        <f t="array" ref="A2747">IFNA(index(PlayerValues!A:A,match(IFNA(vlookup(B2747,'Special Names'!A:B,2,FALSE),B2747),PlayerValues!E:E,0)),"N/A")</f>
        <v>16639</v>
      </c>
      <c r="B2747" s="4" t="s">
        <v>599</v>
      </c>
      <c r="C2747" s="4" t="s">
        <v>287</v>
      </c>
      <c r="D2747" s="94">
        <v>2203.0</v>
      </c>
    </row>
    <row r="2748">
      <c r="A2748" s="40">
        <f t="array" ref="A2748">IFNA(index(PlayerValues!A:A,match(IFNA(vlookup(B2748,'Special Names'!A:B,2,FALSE),B2748),PlayerValues!E:E,0)),"N/A")</f>
        <v>15889</v>
      </c>
      <c r="B2748" s="4" t="s">
        <v>503</v>
      </c>
      <c r="C2748" s="4" t="s">
        <v>298</v>
      </c>
      <c r="D2748" s="94">
        <v>2593.0</v>
      </c>
    </row>
    <row r="2749">
      <c r="A2749" s="40">
        <f t="array" ref="A2749">IFNA(index(PlayerValues!A:A,match(IFNA(vlookup(B2749,'Special Names'!A:B,2,FALSE),B2749),PlayerValues!E:E,0)),"N/A")</f>
        <v>16684</v>
      </c>
      <c r="B2749" s="4" t="s">
        <v>500</v>
      </c>
      <c r="C2749" s="4" t="s">
        <v>287</v>
      </c>
      <c r="D2749" s="94">
        <v>2194.0</v>
      </c>
    </row>
    <row r="2750">
      <c r="A2750" s="40" t="str">
        <f t="array" ref="A2750">IFNA(index(PlayerValues!A:A,match(IFNA(vlookup(B2750,'Special Names'!A:B,2,FALSE),B2750),PlayerValues!E:E,0)),"N/A")</f>
        <v>N/A</v>
      </c>
      <c r="B2750" s="4" t="s">
        <v>100</v>
      </c>
      <c r="C2750" s="4" t="s">
        <v>325</v>
      </c>
      <c r="D2750" s="94">
        <v>2171.0</v>
      </c>
    </row>
    <row r="2751">
      <c r="A2751" s="40" t="str">
        <f t="array" ref="A2751">IFNA(index(PlayerValues!A:A,match(IFNA(vlookup(B2751,'Special Names'!A:B,2,FALSE),B2751),PlayerValues!E:E,0)),"N/A")</f>
        <v>N/A</v>
      </c>
      <c r="B2751" s="4" t="s">
        <v>87</v>
      </c>
      <c r="C2751" s="4" t="s">
        <v>325</v>
      </c>
      <c r="D2751" s="94">
        <v>2166.0</v>
      </c>
    </row>
    <row r="2752">
      <c r="A2752" s="40">
        <f t="array" ref="A2752">IFNA(index(PlayerValues!A:A,match(IFNA(vlookup(B2752,'Special Names'!A:B,2,FALSE),B2752),PlayerValues!E:E,0)),"N/A")</f>
        <v>16752</v>
      </c>
      <c r="B2752" s="4" t="s">
        <v>597</v>
      </c>
      <c r="C2752" s="4" t="s">
        <v>278</v>
      </c>
      <c r="D2752" s="94">
        <v>2162.0</v>
      </c>
    </row>
    <row r="2753">
      <c r="A2753" s="40">
        <f t="array" ref="A2753">IFNA(index(PlayerValues!A:A,match(IFNA(vlookup(B2753,'Special Names'!A:B,2,FALSE),B2753),PlayerValues!E:E,0)),"N/A")</f>
        <v>17087</v>
      </c>
      <c r="B2753" s="4" t="s">
        <v>600</v>
      </c>
      <c r="C2753" s="4" t="s">
        <v>287</v>
      </c>
      <c r="D2753" s="94">
        <v>2148.0</v>
      </c>
    </row>
    <row r="2754">
      <c r="A2754" s="40" t="str">
        <f t="array" ref="A2754">IFNA(index(PlayerValues!A:A,match(IFNA(vlookup(B2754,'Special Names'!A:B,2,FALSE),B2754),PlayerValues!E:E,0)),"N/A")</f>
        <v>N/A</v>
      </c>
      <c r="B2754" s="4" t="s">
        <v>112</v>
      </c>
      <c r="C2754" s="4" t="s">
        <v>325</v>
      </c>
      <c r="D2754" s="94">
        <v>2148.0</v>
      </c>
    </row>
    <row r="2755">
      <c r="A2755" s="40">
        <f t="array" ref="A2755">IFNA(index(PlayerValues!A:A,match(IFNA(vlookup(B2755,'Special Names'!A:B,2,FALSE),B2755),PlayerValues!E:E,0)),"N/A")</f>
        <v>15749</v>
      </c>
      <c r="B2755" s="4" t="s">
        <v>574</v>
      </c>
      <c r="C2755" s="4" t="s">
        <v>278</v>
      </c>
      <c r="D2755" s="94">
        <v>2146.0</v>
      </c>
    </row>
    <row r="2756">
      <c r="A2756" s="40">
        <f t="array" ref="A2756">IFNA(index(PlayerValues!A:A,match(IFNA(vlookup(B2756,'Special Names'!A:B,2,FALSE),B2756),PlayerValues!E:E,0)),"N/A")</f>
        <v>16191</v>
      </c>
      <c r="B2756" s="4" t="s">
        <v>666</v>
      </c>
      <c r="C2756" s="4" t="s">
        <v>287</v>
      </c>
      <c r="D2756" s="94">
        <v>2141.0</v>
      </c>
    </row>
    <row r="2757">
      <c r="A2757" s="40">
        <f t="array" ref="A2757">IFNA(index(PlayerValues!A:A,match(IFNA(vlookup(B2757,'Special Names'!A:B,2,FALSE),B2757),PlayerValues!E:E,0)),"N/A")</f>
        <v>17069</v>
      </c>
      <c r="B2757" s="4" t="s">
        <v>604</v>
      </c>
      <c r="C2757" s="4" t="s">
        <v>278</v>
      </c>
      <c r="D2757" s="94">
        <v>2136.0</v>
      </c>
    </row>
    <row r="2758">
      <c r="A2758" s="40">
        <f t="array" ref="A2758">IFNA(index(PlayerValues!A:A,match(IFNA(vlookup(B2758,'Special Names'!A:B,2,FALSE),B2758),PlayerValues!E:E,0)),"N/A")</f>
        <v>15238</v>
      </c>
      <c r="B2758" s="4" t="s">
        <v>613</v>
      </c>
      <c r="C2758" s="4" t="s">
        <v>283</v>
      </c>
      <c r="D2758" s="94">
        <v>2131.0</v>
      </c>
    </row>
    <row r="2759">
      <c r="A2759" s="40">
        <f t="array" ref="A2759">IFNA(index(PlayerValues!A:A,match(IFNA(vlookup(B2759,'Special Names'!A:B,2,FALSE),B2759),PlayerValues!E:E,0)),"N/A")</f>
        <v>14867</v>
      </c>
      <c r="B2759" s="4" t="s">
        <v>591</v>
      </c>
      <c r="C2759" s="4" t="s">
        <v>298</v>
      </c>
      <c r="D2759" s="94">
        <v>2518.0</v>
      </c>
    </row>
    <row r="2760">
      <c r="A2760" s="40">
        <f t="array" ref="A2760">IFNA(index(PlayerValues!A:A,match(IFNA(vlookup(B2760,'Special Names'!A:B,2,FALSE),B2760),PlayerValues!E:E,0)),"N/A")</f>
        <v>16644</v>
      </c>
      <c r="B2760" s="4" t="s">
        <v>640</v>
      </c>
      <c r="C2760" s="4" t="s">
        <v>298</v>
      </c>
      <c r="D2760" s="94">
        <v>2513.0</v>
      </c>
    </row>
    <row r="2761">
      <c r="A2761" s="40">
        <f t="array" ref="A2761">IFNA(index(PlayerValues!A:A,match(IFNA(vlookup(B2761,'Special Names'!A:B,2,FALSE),B2761),PlayerValues!E:E,0)),"N/A")</f>
        <v>14871</v>
      </c>
      <c r="B2761" s="4" t="s">
        <v>584</v>
      </c>
      <c r="C2761" s="4" t="s">
        <v>298</v>
      </c>
      <c r="D2761" s="94">
        <v>2505.0</v>
      </c>
    </row>
    <row r="2762">
      <c r="A2762" s="40" t="str">
        <f t="array" ref="A2762">IFNA(index(PlayerValues!A:A,match(IFNA(vlookup(B2762,'Special Names'!A:B,2,FALSE),B2762),PlayerValues!E:E,0)),"N/A")</f>
        <v>N/A</v>
      </c>
      <c r="B2762" s="4" t="s">
        <v>88</v>
      </c>
      <c r="C2762" s="4" t="s">
        <v>325</v>
      </c>
      <c r="D2762" s="94">
        <v>2112.0</v>
      </c>
    </row>
    <row r="2763">
      <c r="A2763" s="40">
        <f t="array" ref="A2763">IFNA(index(PlayerValues!A:A,match(IFNA(vlookup(B2763,'Special Names'!A:B,2,FALSE),B2763),PlayerValues!E:E,0)),"N/A")</f>
        <v>17478</v>
      </c>
      <c r="B2763" s="4" t="s">
        <v>527</v>
      </c>
      <c r="C2763" s="4" t="s">
        <v>278</v>
      </c>
      <c r="D2763" s="94">
        <v>2098.0</v>
      </c>
    </row>
    <row r="2764">
      <c r="A2764" s="40">
        <f t="array" ref="A2764">IFNA(index(PlayerValues!A:A,match(IFNA(vlookup(B2764,'Special Names'!A:B,2,FALSE),B2764),PlayerValues!E:E,0)),"N/A")</f>
        <v>17056</v>
      </c>
      <c r="B2764" s="4" t="s">
        <v>581</v>
      </c>
      <c r="C2764" s="4" t="s">
        <v>278</v>
      </c>
      <c r="D2764" s="94">
        <v>2090.0</v>
      </c>
    </row>
    <row r="2765">
      <c r="A2765" s="40">
        <f t="array" ref="A2765">IFNA(index(PlayerValues!A:A,match(IFNA(vlookup(B2765,'Special Names'!A:B,2,FALSE),B2765),PlayerValues!E:E,0)),"N/A")</f>
        <v>16432</v>
      </c>
      <c r="B2765" s="4" t="s">
        <v>620</v>
      </c>
      <c r="C2765" s="4" t="s">
        <v>278</v>
      </c>
      <c r="D2765" s="94">
        <v>2088.0</v>
      </c>
    </row>
    <row r="2766">
      <c r="A2766" s="40">
        <f t="array" ref="A2766">IFNA(index(PlayerValues!A:A,match(IFNA(vlookup(B2766,'Special Names'!A:B,2,FALSE),B2766),PlayerValues!E:E,0)),"N/A")</f>
        <v>16643</v>
      </c>
      <c r="B2766" s="4" t="s">
        <v>609</v>
      </c>
      <c r="C2766" s="4" t="s">
        <v>298</v>
      </c>
      <c r="D2766" s="94">
        <v>2469.0</v>
      </c>
    </row>
    <row r="2767">
      <c r="A2767" s="40">
        <f t="array" ref="A2767">IFNA(index(PlayerValues!A:A,match(IFNA(vlookup(B2767,'Special Names'!A:B,2,FALSE),B2767),PlayerValues!E:E,0)),"N/A")</f>
        <v>17060</v>
      </c>
      <c r="B2767" s="4" t="s">
        <v>603</v>
      </c>
      <c r="C2767" s="4" t="s">
        <v>278</v>
      </c>
      <c r="D2767" s="94">
        <v>2068.0</v>
      </c>
    </row>
    <row r="2768">
      <c r="A2768" s="40">
        <f t="array" ref="A2768">IFNA(index(PlayerValues!A:A,match(IFNA(vlookup(B2768,'Special Names'!A:B,2,FALSE),B2768),PlayerValues!E:E,0)),"N/A")</f>
        <v>16174</v>
      </c>
      <c r="B2768" s="4" t="s">
        <v>505</v>
      </c>
      <c r="C2768" s="4" t="s">
        <v>278</v>
      </c>
      <c r="D2768" s="94">
        <v>2063.0</v>
      </c>
    </row>
    <row r="2769">
      <c r="A2769" s="40">
        <f t="array" ref="A2769">IFNA(index(PlayerValues!A:A,match(IFNA(vlookup(B2769,'Special Names'!A:B,2,FALSE),B2769),PlayerValues!E:E,0)),"N/A")</f>
        <v>13146</v>
      </c>
      <c r="B2769" s="4" t="s">
        <v>652</v>
      </c>
      <c r="C2769" s="4" t="s">
        <v>278</v>
      </c>
      <c r="D2769" s="94">
        <v>2060.0</v>
      </c>
    </row>
    <row r="2770">
      <c r="A2770" s="40" t="str">
        <f t="array" ref="A2770">IFNA(index(PlayerValues!A:A,match(IFNA(vlookup(B2770,'Special Names'!A:B,2,FALSE),B2770),PlayerValues!E:E,0)),"N/A")</f>
        <v>N/A</v>
      </c>
      <c r="B2770" s="4" t="s">
        <v>113</v>
      </c>
      <c r="C2770" s="4" t="s">
        <v>325</v>
      </c>
      <c r="D2770" s="94">
        <v>2058.0</v>
      </c>
    </row>
    <row r="2771">
      <c r="A2771" s="40">
        <f t="array" ref="A2771">IFNA(index(PlayerValues!A:A,match(IFNA(vlookup(B2771,'Special Names'!A:B,2,FALSE),B2771),PlayerValues!E:E,0)),"N/A")</f>
        <v>15331</v>
      </c>
      <c r="B2771" s="4" t="s">
        <v>560</v>
      </c>
      <c r="C2771" s="4" t="s">
        <v>298</v>
      </c>
      <c r="D2771" s="94">
        <v>2446.0</v>
      </c>
    </row>
    <row r="2772">
      <c r="A2772" s="40">
        <f t="array" ref="A2772">IFNA(index(PlayerValues!A:A,match(IFNA(vlookup(B2772,'Special Names'!A:B,2,FALSE),B2772),PlayerValues!E:E,0)),"N/A")</f>
        <v>13633</v>
      </c>
      <c r="B2772" s="4" t="s">
        <v>625</v>
      </c>
      <c r="C2772" s="4" t="s">
        <v>287</v>
      </c>
      <c r="D2772" s="94">
        <v>2030.0</v>
      </c>
    </row>
    <row r="2773">
      <c r="A2773" s="40">
        <f t="array" ref="A2773">IFNA(index(PlayerValues!A:A,match(IFNA(vlookup(B2773,'Special Names'!A:B,2,FALSE),B2773),PlayerValues!E:E,0)),"N/A")</f>
        <v>14974</v>
      </c>
      <c r="B2773" s="4" t="s">
        <v>611</v>
      </c>
      <c r="C2773" s="4" t="s">
        <v>287</v>
      </c>
      <c r="D2773" s="94">
        <v>2016.0</v>
      </c>
    </row>
    <row r="2774">
      <c r="A2774" s="40">
        <f t="array" ref="A2774">IFNA(index(PlayerValues!A:A,match(IFNA(vlookup(B2774,'Special Names'!A:B,2,FALSE),B2774),PlayerValues!E:E,0)),"N/A")</f>
        <v>15293</v>
      </c>
      <c r="B2774" s="4" t="s">
        <v>578</v>
      </c>
      <c r="C2774" s="4" t="s">
        <v>287</v>
      </c>
      <c r="D2774" s="94">
        <v>2012.0</v>
      </c>
    </row>
    <row r="2775">
      <c r="A2775" s="40">
        <f t="array" ref="A2775">IFNA(index(PlayerValues!A:A,match(IFNA(vlookup(B2775,'Special Names'!A:B,2,FALSE),B2775),PlayerValues!E:E,0)),"N/A")</f>
        <v>11244</v>
      </c>
      <c r="B2775" s="4" t="s">
        <v>519</v>
      </c>
      <c r="C2775" s="4" t="s">
        <v>298</v>
      </c>
      <c r="D2775" s="94">
        <v>2373.0</v>
      </c>
    </row>
    <row r="2776">
      <c r="A2776" s="40">
        <f t="array" ref="A2776">IFNA(index(PlayerValues!A:A,match(IFNA(vlookup(B2776,'Special Names'!A:B,2,FALSE),B2776),PlayerValues!E:E,0)),"N/A")</f>
        <v>16603</v>
      </c>
      <c r="B2776" s="4" t="s">
        <v>587</v>
      </c>
      <c r="C2776" s="4" t="s">
        <v>278</v>
      </c>
      <c r="D2776" s="94">
        <v>1977.0</v>
      </c>
    </row>
    <row r="2777">
      <c r="A2777" s="40">
        <f t="array" ref="A2777">IFNA(index(PlayerValues!A:A,match(IFNA(vlookup(B2777,'Special Names'!A:B,2,FALSE),B2777),PlayerValues!E:E,0)),"N/A")</f>
        <v>17036</v>
      </c>
      <c r="B2777" s="4" t="s">
        <v>617</v>
      </c>
      <c r="C2777" s="4" t="s">
        <v>283</v>
      </c>
      <c r="D2777" s="94">
        <v>1975.0</v>
      </c>
    </row>
    <row r="2778">
      <c r="A2778" s="40">
        <f t="array" ref="A2778">IFNA(index(PlayerValues!A:A,match(IFNA(vlookup(B2778,'Special Names'!A:B,2,FALSE),B2778),PlayerValues!E:E,0)),"N/A")</f>
        <v>17465</v>
      </c>
      <c r="B2778" s="4" t="s">
        <v>649</v>
      </c>
      <c r="C2778" s="4" t="s">
        <v>283</v>
      </c>
      <c r="D2778" s="94">
        <v>1957.0</v>
      </c>
    </row>
    <row r="2779">
      <c r="A2779" s="40">
        <f t="array" ref="A2779">IFNA(index(PlayerValues!A:A,match(IFNA(vlookup(B2779,'Special Names'!A:B,2,FALSE),B2779),PlayerValues!E:E,0)),"N/A")</f>
        <v>17503</v>
      </c>
      <c r="B2779" s="4" t="s">
        <v>480</v>
      </c>
      <c r="C2779" s="4" t="s">
        <v>287</v>
      </c>
      <c r="D2779" s="94">
        <v>1942.0</v>
      </c>
    </row>
    <row r="2780">
      <c r="A2780" s="40">
        <f t="array" ref="A2780">IFNA(index(PlayerValues!A:A,match(IFNA(vlookup(B2780,'Special Names'!A:B,2,FALSE),B2780),PlayerValues!E:E,0)),"N/A")</f>
        <v>17482</v>
      </c>
      <c r="B2780" s="4" t="s">
        <v>460</v>
      </c>
      <c r="C2780" s="4" t="s">
        <v>278</v>
      </c>
      <c r="D2780" s="94">
        <v>1927.0</v>
      </c>
    </row>
    <row r="2781">
      <c r="A2781" s="40">
        <f t="array" ref="A2781">IFNA(index(PlayerValues!A:A,match(IFNA(vlookup(B2781,'Special Names'!A:B,2,FALSE),B2781),PlayerValues!E:E,0)),"N/A")</f>
        <v>17184</v>
      </c>
      <c r="B2781" s="4" t="s">
        <v>588</v>
      </c>
      <c r="C2781" s="4" t="s">
        <v>287</v>
      </c>
      <c r="D2781" s="94">
        <v>1920.0</v>
      </c>
    </row>
    <row r="2782">
      <c r="A2782" s="40">
        <f t="array" ref="A2782">IFNA(index(PlayerValues!A:A,match(IFNA(vlookup(B2782,'Special Names'!A:B,2,FALSE),B2782),PlayerValues!E:E,0)),"N/A")</f>
        <v>16216</v>
      </c>
      <c r="B2782" s="4" t="s">
        <v>595</v>
      </c>
      <c r="C2782" s="4" t="s">
        <v>298</v>
      </c>
      <c r="D2782" s="94">
        <v>2296.0</v>
      </c>
    </row>
    <row r="2783">
      <c r="A2783" s="40">
        <f t="array" ref="A2783">IFNA(index(PlayerValues!A:A,match(IFNA(vlookup(B2783,'Special Names'!A:B,2,FALSE),B2783),PlayerValues!E:E,0)),"N/A")</f>
        <v>13189</v>
      </c>
      <c r="B2783" s="4" t="s">
        <v>626</v>
      </c>
      <c r="C2783" s="4" t="s">
        <v>298</v>
      </c>
      <c r="D2783" s="94">
        <v>2291.0</v>
      </c>
    </row>
    <row r="2784">
      <c r="A2784" s="40">
        <f t="array" ref="A2784">IFNA(index(PlayerValues!A:A,match(IFNA(vlookup(B2784,'Special Names'!A:B,2,FALSE),B2784),PlayerValues!E:E,0)),"N/A")</f>
        <v>17512</v>
      </c>
      <c r="B2784" s="4" t="s">
        <v>483</v>
      </c>
      <c r="C2784" s="4" t="s">
        <v>287</v>
      </c>
      <c r="D2784" s="94">
        <v>1902.0</v>
      </c>
    </row>
    <row r="2785">
      <c r="A2785" s="40">
        <f t="array" ref="A2785">IFNA(index(PlayerValues!A:A,match(IFNA(vlookup(B2785,'Special Names'!A:B,2,FALSE),B2785),PlayerValues!E:E,0)),"N/A")</f>
        <v>17546</v>
      </c>
      <c r="B2785" s="4" t="s">
        <v>671</v>
      </c>
      <c r="C2785" s="4" t="s">
        <v>298</v>
      </c>
      <c r="D2785" s="94">
        <v>2276.0</v>
      </c>
    </row>
    <row r="2786">
      <c r="A2786" s="40">
        <f t="array" ref="A2786">IFNA(index(PlayerValues!A:A,match(IFNA(vlookup(B2786,'Special Names'!A:B,2,FALSE),B2786),PlayerValues!E:E,0)),"N/A")</f>
        <v>16215</v>
      </c>
      <c r="B2786" s="4" t="s">
        <v>637</v>
      </c>
      <c r="C2786" s="4" t="s">
        <v>298</v>
      </c>
      <c r="D2786" s="94">
        <v>2271.0</v>
      </c>
    </row>
    <row r="2787">
      <c r="A2787" s="40">
        <f t="array" ref="A2787">IFNA(index(PlayerValues!A:A,match(IFNA(vlookup(B2787,'Special Names'!A:B,2,FALSE),B2787),PlayerValues!E:E,0)),"N/A")</f>
        <v>16778</v>
      </c>
      <c r="B2787" s="4" t="s">
        <v>577</v>
      </c>
      <c r="C2787" s="4" t="s">
        <v>287</v>
      </c>
      <c r="D2787" s="94">
        <v>1889.0</v>
      </c>
    </row>
    <row r="2788">
      <c r="A2788" s="40">
        <f t="array" ref="A2788">IFNA(index(PlayerValues!A:A,match(IFNA(vlookup(B2788,'Special Names'!A:B,2,FALSE),B2788),PlayerValues!E:E,0)),"N/A")</f>
        <v>16635</v>
      </c>
      <c r="B2788" s="4" t="s">
        <v>645</v>
      </c>
      <c r="C2788" s="4" t="s">
        <v>287</v>
      </c>
      <c r="D2788" s="94">
        <v>1884.0</v>
      </c>
    </row>
    <row r="2789">
      <c r="A2789" s="40" t="str">
        <f t="array" ref="A2789">IFNA(index(PlayerValues!A:A,match(IFNA(vlookup(B2789,'Special Names'!A:B,2,FALSE),B2789),PlayerValues!E:E,0)),"N/A")</f>
        <v>N/A</v>
      </c>
      <c r="B2789" s="4" t="s">
        <v>114</v>
      </c>
      <c r="C2789" s="4" t="s">
        <v>325</v>
      </c>
      <c r="D2789" s="94">
        <v>1882.0</v>
      </c>
    </row>
    <row r="2790">
      <c r="A2790" s="40">
        <f t="array" ref="A2790">IFNA(index(PlayerValues!A:A,match(IFNA(vlookup(B2790,'Special Names'!A:B,2,FALSE),B2790),PlayerValues!E:E,0)),"N/A")</f>
        <v>15337</v>
      </c>
      <c r="B2790" s="4" t="s">
        <v>655</v>
      </c>
      <c r="C2790" s="4" t="s">
        <v>298</v>
      </c>
      <c r="D2790" s="94">
        <v>2259.0</v>
      </c>
    </row>
    <row r="2791">
      <c r="A2791" s="40">
        <f t="array" ref="A2791">IFNA(index(PlayerValues!A:A,match(IFNA(vlookup(B2791,'Special Names'!A:B,2,FALSE),B2791),PlayerValues!E:E,0)),"N/A")</f>
        <v>17061</v>
      </c>
      <c r="B2791" s="4" t="s">
        <v>580</v>
      </c>
      <c r="C2791" s="4" t="s">
        <v>278</v>
      </c>
      <c r="D2791" s="94">
        <v>1872.0</v>
      </c>
    </row>
    <row r="2792">
      <c r="A2792" s="40">
        <f t="array" ref="A2792">IFNA(index(PlayerValues!A:A,match(IFNA(vlookup(B2792,'Special Names'!A:B,2,FALSE),B2792),PlayerValues!E:E,0)),"N/A")</f>
        <v>17517</v>
      </c>
      <c r="B2792" s="4" t="s">
        <v>454</v>
      </c>
      <c r="C2792" s="4" t="s">
        <v>287</v>
      </c>
      <c r="D2792" s="94">
        <v>1868.0</v>
      </c>
    </row>
    <row r="2793">
      <c r="A2793" s="40">
        <f t="array" ref="A2793">IFNA(index(PlayerValues!A:A,match(IFNA(vlookup(B2793,'Special Names'!A:B,2,FALSE),B2793),PlayerValues!E:E,0)),"N/A")</f>
        <v>15254</v>
      </c>
      <c r="B2793" s="4" t="s">
        <v>633</v>
      </c>
      <c r="C2793" s="4" t="s">
        <v>278</v>
      </c>
      <c r="D2793" s="94">
        <v>1864.0</v>
      </c>
    </row>
    <row r="2794">
      <c r="A2794" s="40">
        <f t="array" ref="A2794">IFNA(index(PlayerValues!A:A,match(IFNA(vlookup(B2794,'Special Names'!A:B,2,FALSE),B2794),PlayerValues!E:E,0)),"N/A")</f>
        <v>15759</v>
      </c>
      <c r="B2794" s="4" t="s">
        <v>662</v>
      </c>
      <c r="C2794" s="4" t="s">
        <v>287</v>
      </c>
      <c r="D2794" s="94">
        <v>1862.0</v>
      </c>
    </row>
    <row r="2795">
      <c r="A2795" s="40">
        <f t="array" ref="A2795">IFNA(index(PlayerValues!A:A,match(IFNA(vlookup(B2795,'Special Names'!A:B,2,FALSE),B2795),PlayerValues!E:E,0)),"N/A")</f>
        <v>17508</v>
      </c>
      <c r="B2795" s="4" t="s">
        <v>534</v>
      </c>
      <c r="C2795" s="4" t="s">
        <v>287</v>
      </c>
      <c r="D2795" s="94">
        <v>1861.0</v>
      </c>
    </row>
    <row r="2796">
      <c r="A2796" s="40">
        <f t="array" ref="A2796">IFNA(index(PlayerValues!A:A,match(IFNA(vlookup(B2796,'Special Names'!A:B,2,FALSE),B2796),PlayerValues!E:E,0)),"N/A")</f>
        <v>16201</v>
      </c>
      <c r="B2796" s="4" t="s">
        <v>589</v>
      </c>
      <c r="C2796" s="4" t="s">
        <v>287</v>
      </c>
      <c r="D2796" s="94">
        <v>1860.0</v>
      </c>
    </row>
    <row r="2797">
      <c r="A2797" s="40">
        <f t="array" ref="A2797">IFNA(index(PlayerValues!A:A,match(IFNA(vlookup(B2797,'Special Names'!A:B,2,FALSE),B2797),PlayerValues!E:E,0)),"N/A")</f>
        <v>17035</v>
      </c>
      <c r="B2797" s="4" t="s">
        <v>650</v>
      </c>
      <c r="C2797" s="4" t="s">
        <v>283</v>
      </c>
      <c r="D2797" s="94">
        <v>1860.0</v>
      </c>
    </row>
    <row r="2798">
      <c r="A2798" s="40">
        <f t="array" ref="A2798">IFNA(index(PlayerValues!A:A,match(IFNA(vlookup(B2798,'Special Names'!A:B,2,FALSE),B2798),PlayerValues!E:E,0)),"N/A")</f>
        <v>17547</v>
      </c>
      <c r="B2798" s="4" t="s">
        <v>552</v>
      </c>
      <c r="C2798" s="4" t="s">
        <v>298</v>
      </c>
      <c r="D2798" s="94">
        <v>2242.0</v>
      </c>
    </row>
    <row r="2799">
      <c r="A2799" s="40">
        <f t="array" ref="A2799">IFNA(index(PlayerValues!A:A,match(IFNA(vlookup(B2799,'Special Names'!A:B,2,FALSE),B2799),PlayerValues!E:E,0)),"N/A")</f>
        <v>16595</v>
      </c>
      <c r="B2799" s="4" t="s">
        <v>664</v>
      </c>
      <c r="C2799" s="4" t="s">
        <v>278</v>
      </c>
      <c r="D2799" s="94">
        <v>1843.0</v>
      </c>
    </row>
    <row r="2800">
      <c r="A2800" s="40" t="str">
        <f t="array" ref="A2800">IFNA(index(PlayerValues!A:A,match(IFNA(vlookup(B2800,'Special Names'!A:B,2,FALSE),B2800),PlayerValues!E:E,0)),"N/A")</f>
        <v>N/A</v>
      </c>
      <c r="B2800" s="4" t="s">
        <v>101</v>
      </c>
      <c r="C2800" s="4" t="s">
        <v>325</v>
      </c>
      <c r="D2800" s="94">
        <v>1829.0</v>
      </c>
    </row>
    <row r="2801">
      <c r="A2801" s="40">
        <f t="array" ref="A2801">IFNA(index(PlayerValues!A:A,match(IFNA(vlookup(B2801,'Special Names'!A:B,2,FALSE),B2801),PlayerValues!E:E,0)),"N/A")</f>
        <v>16585</v>
      </c>
      <c r="B2801" s="4" t="s">
        <v>623</v>
      </c>
      <c r="C2801" s="4" t="s">
        <v>283</v>
      </c>
      <c r="D2801" s="94">
        <v>1814.0</v>
      </c>
    </row>
    <row r="2802">
      <c r="A2802" s="40">
        <f t="array" ref="A2802">IFNA(index(PlayerValues!A:A,match(IFNA(vlookup(B2802,'Special Names'!A:B,2,FALSE),B2802),PlayerValues!E:E,0)),"N/A")</f>
        <v>15786</v>
      </c>
      <c r="B2802" s="4" t="s">
        <v>521</v>
      </c>
      <c r="C2802" s="4" t="s">
        <v>287</v>
      </c>
      <c r="D2802" s="94">
        <v>1809.0</v>
      </c>
    </row>
    <row r="2803">
      <c r="A2803" s="40">
        <f t="array" ref="A2803">IFNA(index(PlayerValues!A:A,match(IFNA(vlookup(B2803,'Special Names'!A:B,2,FALSE),B2803),PlayerValues!E:E,0)),"N/A")</f>
        <v>16788</v>
      </c>
      <c r="B2803" s="4" t="s">
        <v>621</v>
      </c>
      <c r="C2803" s="4" t="s">
        <v>287</v>
      </c>
      <c r="D2803" s="94">
        <v>1796.0</v>
      </c>
    </row>
    <row r="2804">
      <c r="A2804" s="40">
        <f t="array" ref="A2804">IFNA(index(PlayerValues!A:A,match(IFNA(vlookup(B2804,'Special Names'!A:B,2,FALSE),B2804),PlayerValues!E:E,0)),"N/A")</f>
        <v>17086</v>
      </c>
      <c r="B2804" s="4" t="s">
        <v>612</v>
      </c>
      <c r="C2804" s="4" t="s">
        <v>287</v>
      </c>
      <c r="D2804" s="94">
        <v>1783.0</v>
      </c>
    </row>
    <row r="2805">
      <c r="A2805" s="40">
        <f t="array" ref="A2805">IFNA(index(PlayerValues!A:A,match(IFNA(vlookup(B2805,'Special Names'!A:B,2,FALSE),B2805),PlayerValues!E:E,0)),"N/A")</f>
        <v>17055</v>
      </c>
      <c r="B2805" s="4" t="s">
        <v>565</v>
      </c>
      <c r="C2805" s="4" t="s">
        <v>278</v>
      </c>
      <c r="D2805" s="94">
        <v>1767.0</v>
      </c>
    </row>
    <row r="2806">
      <c r="A2806" s="40">
        <f t="array" ref="A2806">IFNA(index(PlayerValues!A:A,match(IFNA(vlookup(B2806,'Special Names'!A:B,2,FALSE),B2806),PlayerValues!E:E,0)),"N/A")</f>
        <v>17058</v>
      </c>
      <c r="B2806" s="4" t="s">
        <v>641</v>
      </c>
      <c r="C2806" s="4" t="s">
        <v>278</v>
      </c>
      <c r="D2806" s="94">
        <v>1764.0</v>
      </c>
    </row>
    <row r="2807">
      <c r="A2807" s="40">
        <f t="array" ref="A2807">IFNA(index(PlayerValues!A:A,match(IFNA(vlookup(B2807,'Special Names'!A:B,2,FALSE),B2807),PlayerValues!E:E,0)),"N/A")</f>
        <v>16601</v>
      </c>
      <c r="B2807" s="4" t="s">
        <v>648</v>
      </c>
      <c r="C2807" s="4" t="s">
        <v>278</v>
      </c>
      <c r="D2807" s="94">
        <v>1763.0</v>
      </c>
    </row>
    <row r="2808">
      <c r="A2808" s="40">
        <f t="array" ref="A2808">IFNA(index(PlayerValues!A:A,match(IFNA(vlookup(B2808,'Special Names'!A:B,2,FALSE),B2808),PlayerValues!E:E,0)),"N/A")</f>
        <v>11222</v>
      </c>
      <c r="B2808" s="4" t="s">
        <v>622</v>
      </c>
      <c r="C2808" s="4" t="s">
        <v>287</v>
      </c>
      <c r="D2808" s="94">
        <v>1761.0</v>
      </c>
    </row>
    <row r="2809">
      <c r="A2809" s="40">
        <f t="array" ref="A2809">IFNA(index(PlayerValues!A:A,match(IFNA(vlookup(B2809,'Special Names'!A:B,2,FALSE),B2809),PlayerValues!E:E,0)),"N/A")</f>
        <v>14105</v>
      </c>
      <c r="B2809" s="4" t="s">
        <v>675</v>
      </c>
      <c r="C2809" s="4" t="s">
        <v>287</v>
      </c>
      <c r="D2809" s="94">
        <v>1756.0</v>
      </c>
    </row>
    <row r="2810">
      <c r="A2810" s="40" t="str">
        <f t="array" ref="A2810">IFNA(index(PlayerValues!A:A,match(IFNA(vlookup(B2810,'Special Names'!A:B,2,FALSE),B2810),PlayerValues!E:E,0)),"N/A")</f>
        <v>N/A</v>
      </c>
      <c r="B2810" s="4" t="s">
        <v>89</v>
      </c>
      <c r="C2810" s="4" t="s">
        <v>325</v>
      </c>
      <c r="D2810" s="94">
        <v>1753.0</v>
      </c>
    </row>
    <row r="2811">
      <c r="A2811" s="40">
        <f t="array" ref="A2811">IFNA(index(PlayerValues!A:A,match(IFNA(vlookup(B2811,'Special Names'!A:B,2,FALSE),B2811),PlayerValues!E:E,0)),"N/A")</f>
        <v>16586</v>
      </c>
      <c r="B2811" s="4" t="s">
        <v>658</v>
      </c>
      <c r="C2811" s="4" t="s">
        <v>283</v>
      </c>
      <c r="D2811" s="94">
        <v>1743.0</v>
      </c>
    </row>
    <row r="2812">
      <c r="A2812" s="40">
        <f t="array" ref="A2812">IFNA(index(PlayerValues!A:A,match(IFNA(vlookup(B2812,'Special Names'!A:B,2,FALSE),B2812),PlayerValues!E:E,0)),"N/A")</f>
        <v>10700</v>
      </c>
      <c r="B2812" s="4" t="s">
        <v>596</v>
      </c>
      <c r="C2812" s="4" t="s">
        <v>283</v>
      </c>
      <c r="D2812" s="94">
        <v>1730.0</v>
      </c>
    </row>
    <row r="2813">
      <c r="A2813" s="40">
        <f t="array" ref="A2813">IFNA(index(PlayerValues!A:A,match(IFNA(vlookup(B2813,'Special Names'!A:B,2,FALSE),B2813),PlayerValues!E:E,0)),"N/A")</f>
        <v>16629</v>
      </c>
      <c r="B2813" s="4" t="s">
        <v>605</v>
      </c>
      <c r="C2813" s="4" t="s">
        <v>287</v>
      </c>
      <c r="D2813" s="94">
        <v>1730.0</v>
      </c>
    </row>
    <row r="2814">
      <c r="A2814" s="40">
        <f t="array" ref="A2814">IFNA(index(PlayerValues!A:A,match(IFNA(vlookup(B2814,'Special Names'!A:B,2,FALSE),B2814),PlayerValues!E:E,0)),"N/A")</f>
        <v>7836</v>
      </c>
      <c r="B2814" s="4" t="s">
        <v>590</v>
      </c>
      <c r="C2814" s="4" t="s">
        <v>283</v>
      </c>
      <c r="D2814" s="94">
        <v>1726.0</v>
      </c>
    </row>
    <row r="2815">
      <c r="A2815" s="40">
        <f t="array" ref="A2815">IFNA(index(PlayerValues!A:A,match(IFNA(vlookup(B2815,'Special Names'!A:B,2,FALSE),B2815),PlayerValues!E:E,0)),"N/A")</f>
        <v>15787</v>
      </c>
      <c r="B2815" s="4" t="s">
        <v>610</v>
      </c>
      <c r="C2815" s="4" t="s">
        <v>287</v>
      </c>
      <c r="D2815" s="94">
        <v>1725.0</v>
      </c>
    </row>
    <row r="2816">
      <c r="A2816" s="40">
        <f t="array" ref="A2816">IFNA(index(PlayerValues!A:A,match(IFNA(vlookup(B2816,'Special Names'!A:B,2,FALSE),B2816),PlayerValues!E:E,0)),"N/A")</f>
        <v>16207</v>
      </c>
      <c r="B2816" s="4" t="s">
        <v>636</v>
      </c>
      <c r="C2816" s="4" t="s">
        <v>287</v>
      </c>
      <c r="D2816" s="94">
        <v>1704.0</v>
      </c>
    </row>
    <row r="2817">
      <c r="A2817" s="40">
        <f t="array" ref="A2817">IFNA(index(PlayerValues!A:A,match(IFNA(vlookup(B2817,'Special Names'!A:B,2,FALSE),B2817),PlayerValues!E:E,0)),"N/A")</f>
        <v>17481</v>
      </c>
      <c r="B2817" s="4" t="s">
        <v>540</v>
      </c>
      <c r="C2817" s="4" t="s">
        <v>278</v>
      </c>
      <c r="D2817" s="94">
        <v>1703.0</v>
      </c>
    </row>
    <row r="2818">
      <c r="A2818" s="40">
        <f t="array" ref="A2818">IFNA(index(PlayerValues!A:A,match(IFNA(vlookup(B2818,'Special Names'!A:B,2,FALSE),B2818),PlayerValues!E:E,0)),"N/A")</f>
        <v>13629</v>
      </c>
      <c r="B2818" s="4" t="s">
        <v>619</v>
      </c>
      <c r="C2818" s="4" t="s">
        <v>287</v>
      </c>
      <c r="D2818" s="94">
        <v>1699.0</v>
      </c>
    </row>
    <row r="2819">
      <c r="A2819" s="40">
        <f t="array" ref="A2819">IFNA(index(PlayerValues!A:A,match(IFNA(vlookup(B2819,'Special Names'!A:B,2,FALSE),B2819),PlayerValues!E:E,0)),"N/A")</f>
        <v>15777</v>
      </c>
      <c r="B2819" s="4" t="s">
        <v>694</v>
      </c>
      <c r="C2819" s="4" t="s">
        <v>287</v>
      </c>
      <c r="D2819" s="94">
        <v>1692.0</v>
      </c>
    </row>
    <row r="2820">
      <c r="A2820" s="40">
        <f t="array" ref="A2820">IFNA(index(PlayerValues!A:A,match(IFNA(vlookup(B2820,'Special Names'!A:B,2,FALSE),B2820),PlayerValues!E:E,0)),"N/A")</f>
        <v>17205</v>
      </c>
      <c r="B2820" s="4" t="s">
        <v>665</v>
      </c>
      <c r="C2820" s="4" t="s">
        <v>287</v>
      </c>
      <c r="D2820" s="94">
        <v>1682.0</v>
      </c>
    </row>
    <row r="2821">
      <c r="A2821" s="40">
        <f t="array" ref="A2821">IFNA(index(PlayerValues!A:A,match(IFNA(vlookup(B2821,'Special Names'!A:B,2,FALSE),B2821),PlayerValues!E:E,0)),"N/A")</f>
        <v>16604</v>
      </c>
      <c r="B2821" s="4" t="s">
        <v>476</v>
      </c>
      <c r="C2821" s="4" t="s">
        <v>278</v>
      </c>
      <c r="D2821" s="94">
        <v>1677.0</v>
      </c>
    </row>
    <row r="2822">
      <c r="A2822" s="40" t="str">
        <f t="array" ref="A2822">IFNA(index(PlayerValues!A:A,match(IFNA(vlookup(B2822,'Special Names'!A:B,2,FALSE),B2822),PlayerValues!E:E,0)),"N/A")</f>
        <v>N/A</v>
      </c>
      <c r="B2822" s="4" t="s">
        <v>102</v>
      </c>
      <c r="C2822" s="4" t="s">
        <v>325</v>
      </c>
      <c r="D2822" s="94">
        <v>1671.0</v>
      </c>
    </row>
    <row r="2823">
      <c r="A2823" s="40">
        <f t="array" ref="A2823">IFNA(index(PlayerValues!A:A,match(IFNA(vlookup(B2823,'Special Names'!A:B,2,FALSE),B2823),PlayerValues!E:E,0)),"N/A")</f>
        <v>17520</v>
      </c>
      <c r="B2823" s="4" t="s">
        <v>518</v>
      </c>
      <c r="C2823" s="4" t="s">
        <v>287</v>
      </c>
      <c r="D2823" s="94">
        <v>1671.0</v>
      </c>
    </row>
    <row r="2824">
      <c r="A2824" s="40">
        <f t="array" ref="A2824">IFNA(index(PlayerValues!A:A,match(IFNA(vlookup(B2824,'Special Names'!A:B,2,FALSE),B2824),PlayerValues!E:E,0)),"N/A")</f>
        <v>13164</v>
      </c>
      <c r="B2824" s="4" t="s">
        <v>632</v>
      </c>
      <c r="C2824" s="4" t="s">
        <v>287</v>
      </c>
      <c r="D2824" s="94">
        <v>1668.0</v>
      </c>
    </row>
    <row r="2825">
      <c r="A2825" s="40">
        <f t="array" ref="A2825">IFNA(index(PlayerValues!A:A,match(IFNA(vlookup(B2825,'Special Names'!A:B,2,FALSE),B2825),PlayerValues!E:E,0)),"N/A")</f>
        <v>17064</v>
      </c>
      <c r="B2825" s="4" t="s">
        <v>631</v>
      </c>
      <c r="C2825" s="4" t="s">
        <v>278</v>
      </c>
      <c r="D2825" s="94">
        <v>1668.0</v>
      </c>
    </row>
    <row r="2826">
      <c r="A2826" s="40">
        <f t="array" ref="A2826">IFNA(index(PlayerValues!A:A,match(IFNA(vlookup(B2826,'Special Names'!A:B,2,FALSE),B2826),PlayerValues!E:E,0)),"N/A")</f>
        <v>17234</v>
      </c>
      <c r="B2826" s="4" t="s">
        <v>653</v>
      </c>
      <c r="C2826" s="4" t="s">
        <v>287</v>
      </c>
      <c r="D2826" s="94">
        <v>1653.0</v>
      </c>
    </row>
    <row r="2827">
      <c r="A2827" s="40">
        <f t="array" ref="A2827">IFNA(index(PlayerValues!A:A,match(IFNA(vlookup(B2827,'Special Names'!A:B,2,FALSE),B2827),PlayerValues!E:E,0)),"N/A")</f>
        <v>17528</v>
      </c>
      <c r="B2827" s="4" t="s">
        <v>579</v>
      </c>
      <c r="C2827" s="4" t="s">
        <v>287</v>
      </c>
      <c r="D2827" s="94">
        <v>1649.0</v>
      </c>
    </row>
    <row r="2828">
      <c r="A2828" s="40" t="str">
        <f t="array" ref="A2828">IFNA(index(PlayerValues!A:A,match(IFNA(vlookup(B2828,'Special Names'!A:B,2,FALSE),B2828),PlayerValues!E:E,0)),"N/A")</f>
        <v>N/A</v>
      </c>
      <c r="B2828" s="4" t="s">
        <v>90</v>
      </c>
      <c r="C2828" s="4" t="s">
        <v>325</v>
      </c>
      <c r="D2828" s="94">
        <v>1641.0</v>
      </c>
    </row>
    <row r="2829">
      <c r="A2829" s="40">
        <f t="array" ref="A2829">IFNA(index(PlayerValues!A:A,match(IFNA(vlookup(B2829,'Special Names'!A:B,2,FALSE),B2829),PlayerValues!E:E,0)),"N/A")</f>
        <v>16633</v>
      </c>
      <c r="B2829" s="4" t="s">
        <v>656</v>
      </c>
      <c r="C2829" s="4" t="s">
        <v>287</v>
      </c>
      <c r="D2829" s="94">
        <v>1633.0</v>
      </c>
    </row>
    <row r="2830">
      <c r="A2830" s="40">
        <f t="array" ref="A2830">IFNA(index(PlayerValues!A:A,match(IFNA(vlookup(B2830,'Special Names'!A:B,2,FALSE),B2830),PlayerValues!E:E,0)),"N/A")</f>
        <v>14143</v>
      </c>
      <c r="B2830" s="4" t="s">
        <v>635</v>
      </c>
      <c r="C2830" s="4" t="s">
        <v>298</v>
      </c>
      <c r="D2830" s="94">
        <v>1992.0</v>
      </c>
    </row>
    <row r="2831">
      <c r="A2831" s="40">
        <f t="array" ref="A2831">IFNA(index(PlayerValues!A:A,match(IFNA(vlookup(B2831,'Special Names'!A:B,2,FALSE),B2831),PlayerValues!E:E,0)),"N/A")</f>
        <v>15727</v>
      </c>
      <c r="B2831" s="4" t="s">
        <v>730</v>
      </c>
      <c r="C2831" s="4" t="s">
        <v>278</v>
      </c>
      <c r="D2831" s="94">
        <v>1615.0</v>
      </c>
    </row>
    <row r="2832">
      <c r="A2832" s="40">
        <f t="array" ref="A2832">IFNA(index(PlayerValues!A:A,match(IFNA(vlookup(B2832,'Special Names'!A:B,2,FALSE),B2832),PlayerValues!E:E,0)),"N/A")</f>
        <v>17545</v>
      </c>
      <c r="B2832" s="4" t="s">
        <v>719</v>
      </c>
      <c r="C2832" s="4" t="s">
        <v>298</v>
      </c>
      <c r="D2832" s="94">
        <v>1991.0</v>
      </c>
    </row>
    <row r="2833">
      <c r="A2833" s="40">
        <f t="array" ref="A2833">IFNA(index(PlayerValues!A:A,match(IFNA(vlookup(B2833,'Special Names'!A:B,2,FALSE),B2833),PlayerValues!E:E,0)),"N/A")</f>
        <v>13131</v>
      </c>
      <c r="B2833" s="4" t="s">
        <v>815</v>
      </c>
      <c r="C2833" s="4" t="s">
        <v>278</v>
      </c>
      <c r="D2833" s="94">
        <v>1612.0</v>
      </c>
    </row>
    <row r="2834">
      <c r="A2834" s="40">
        <f t="array" ref="A2834">IFNA(index(PlayerValues!A:A,match(IFNA(vlookup(B2834,'Special Names'!A:B,2,FALSE),B2834),PlayerValues!E:E,0)),"N/A")</f>
        <v>17037</v>
      </c>
      <c r="B2834" s="4" t="s">
        <v>727</v>
      </c>
      <c r="C2834" s="4" t="s">
        <v>283</v>
      </c>
      <c r="D2834" s="94">
        <v>1610.0</v>
      </c>
    </row>
    <row r="2835">
      <c r="A2835" s="40">
        <f t="array" ref="A2835">IFNA(index(PlayerValues!A:A,match(IFNA(vlookup(B2835,'Special Names'!A:B,2,FALSE),B2835),PlayerValues!E:E,0)),"N/A")</f>
        <v>17096</v>
      </c>
      <c r="B2835" s="4" t="s">
        <v>638</v>
      </c>
      <c r="C2835" s="4" t="s">
        <v>287</v>
      </c>
      <c r="D2835" s="94">
        <v>1605.0</v>
      </c>
    </row>
    <row r="2836">
      <c r="A2836" s="40" t="str">
        <f t="array" ref="A2836">IFNA(index(PlayerValues!A:A,match(IFNA(vlookup(B2836,'Special Names'!A:B,2,FALSE),B2836),PlayerValues!E:E,0)),"N/A")</f>
        <v>N/A</v>
      </c>
      <c r="B2836" s="4" t="s">
        <v>115</v>
      </c>
      <c r="C2836" s="4" t="s">
        <v>325</v>
      </c>
      <c r="D2836" s="94">
        <v>1602.0</v>
      </c>
    </row>
    <row r="2837">
      <c r="A2837" s="40">
        <f t="array" ref="A2837">IFNA(index(PlayerValues!A:A,match(IFNA(vlookup(B2837,'Special Names'!A:B,2,FALSE),B2837),PlayerValues!E:E,0)),"N/A")</f>
        <v>13193</v>
      </c>
      <c r="B2837" s="4" t="s">
        <v>773</v>
      </c>
      <c r="C2837" s="4" t="s">
        <v>298</v>
      </c>
      <c r="D2837" s="94">
        <v>1970.0</v>
      </c>
    </row>
    <row r="2838">
      <c r="A2838" s="40">
        <f t="array" ref="A2838">IFNA(index(PlayerValues!A:A,match(IFNA(vlookup(B2838,'Special Names'!A:B,2,FALSE),B2838),PlayerValues!E:E,0)),"N/A")</f>
        <v>14122</v>
      </c>
      <c r="B2838" s="4" t="s">
        <v>663</v>
      </c>
      <c r="C2838" s="4" t="s">
        <v>287</v>
      </c>
      <c r="D2838" s="94">
        <v>1588.0</v>
      </c>
    </row>
    <row r="2839">
      <c r="A2839" s="40">
        <f t="array" ref="A2839">IFNA(index(PlayerValues!A:A,match(IFNA(vlookup(B2839,'Special Names'!A:B,2,FALSE),B2839),PlayerValues!E:E,0)),"N/A")</f>
        <v>12140</v>
      </c>
      <c r="B2839" s="4" t="s">
        <v>702</v>
      </c>
      <c r="C2839" s="4" t="s">
        <v>283</v>
      </c>
      <c r="D2839" s="94">
        <v>1588.0</v>
      </c>
    </row>
    <row r="2840">
      <c r="A2840" s="40">
        <f t="array" ref="A2840">IFNA(index(PlayerValues!A:A,match(IFNA(vlookup(B2840,'Special Names'!A:B,2,FALSE),B2840),PlayerValues!E:E,0)),"N/A")</f>
        <v>16688</v>
      </c>
      <c r="B2840" s="4" t="s">
        <v>688</v>
      </c>
      <c r="C2840" s="4" t="s">
        <v>278</v>
      </c>
      <c r="D2840" s="94">
        <v>1585.0</v>
      </c>
    </row>
    <row r="2841">
      <c r="A2841" s="40">
        <f t="array" ref="A2841">IFNA(index(PlayerValues!A:A,match(IFNA(vlookup(B2841,'Special Names'!A:B,2,FALSE),B2841),PlayerValues!E:E,0)),"N/A")</f>
        <v>15252</v>
      </c>
      <c r="B2841" s="4" t="s">
        <v>715</v>
      </c>
      <c r="C2841" s="4" t="s">
        <v>283</v>
      </c>
      <c r="D2841" s="94">
        <v>1571.0</v>
      </c>
    </row>
    <row r="2842">
      <c r="A2842" s="40" t="str">
        <f t="array" ref="A2842">IFNA(index(PlayerValues!A:A,match(IFNA(vlookup(B2842,'Special Names'!A:B,2,FALSE),B2842),PlayerValues!E:E,0)),"N/A")</f>
        <v>N/A</v>
      </c>
      <c r="B2842" s="4" t="s">
        <v>103</v>
      </c>
      <c r="C2842" s="4" t="s">
        <v>325</v>
      </c>
      <c r="D2842" s="94">
        <v>1566.0</v>
      </c>
    </row>
    <row r="2843">
      <c r="A2843" s="40">
        <f t="array" ref="A2843">IFNA(index(PlayerValues!A:A,match(IFNA(vlookup(B2843,'Special Names'!A:B,2,FALSE),B2843),PlayerValues!E:E,0)),"N/A")</f>
        <v>16390</v>
      </c>
      <c r="B2843" s="4" t="s">
        <v>689</v>
      </c>
      <c r="C2843" s="4" t="s">
        <v>278</v>
      </c>
      <c r="D2843" s="94">
        <v>1561.0</v>
      </c>
    </row>
    <row r="2844">
      <c r="A2844" s="40">
        <f t="array" ref="A2844">IFNA(index(PlayerValues!A:A,match(IFNA(vlookup(B2844,'Special Names'!A:B,2,FALSE),B2844),PlayerValues!E:E,0)),"N/A")</f>
        <v>12141</v>
      </c>
      <c r="B2844" s="4" t="s">
        <v>744</v>
      </c>
      <c r="C2844" s="4" t="s">
        <v>283</v>
      </c>
      <c r="D2844" s="94">
        <v>1535.0</v>
      </c>
    </row>
    <row r="2845">
      <c r="A2845" s="40">
        <f t="array" ref="A2845">IFNA(index(PlayerValues!A:A,match(IFNA(vlookup(B2845,'Special Names'!A:B,2,FALSE),B2845),PlayerValues!E:E,0)),"N/A")</f>
        <v>14080</v>
      </c>
      <c r="B2845" s="4" t="s">
        <v>716</v>
      </c>
      <c r="C2845" s="4" t="s">
        <v>278</v>
      </c>
      <c r="D2845" s="94">
        <v>1525.0</v>
      </c>
    </row>
    <row r="2846">
      <c r="A2846" s="40" t="str">
        <f t="array" ref="A2846">IFNA(index(PlayerValues!A:A,match(IFNA(vlookup(B2846,'Special Names'!A:B,2,FALSE),B2846),PlayerValues!E:E,0)),"N/A")</f>
        <v>N/A</v>
      </c>
      <c r="B2846" s="4" t="s">
        <v>91</v>
      </c>
      <c r="C2846" s="4" t="s">
        <v>325</v>
      </c>
      <c r="D2846" s="94">
        <v>1515.0</v>
      </c>
    </row>
    <row r="2847">
      <c r="A2847" s="40" t="str">
        <f t="array" ref="A2847">IFNA(index(PlayerValues!A:A,match(IFNA(vlookup(B2847,'Special Names'!A:B,2,FALSE),B2847),PlayerValues!E:E,0)),"N/A")</f>
        <v>N/A</v>
      </c>
      <c r="B2847" s="4" t="s">
        <v>116</v>
      </c>
      <c r="C2847" s="4" t="s">
        <v>325</v>
      </c>
      <c r="D2847" s="94">
        <v>1515.0</v>
      </c>
    </row>
    <row r="2848">
      <c r="A2848" s="40">
        <f t="array" ref="A2848">IFNA(index(PlayerValues!A:A,match(IFNA(vlookup(B2848,'Special Names'!A:B,2,FALSE),B2848),PlayerValues!E:E,0)),"N/A")</f>
        <v>15258</v>
      </c>
      <c r="B2848" s="4" t="s">
        <v>757</v>
      </c>
      <c r="C2848" s="4" t="s">
        <v>278</v>
      </c>
      <c r="D2848" s="94">
        <v>1511.0</v>
      </c>
    </row>
    <row r="2849">
      <c r="A2849" s="40">
        <f t="array" ref="A2849">IFNA(index(PlayerValues!A:A,match(IFNA(vlookup(B2849,'Special Names'!A:B,2,FALSE),B2849),PlayerValues!E:E,0)),"N/A")</f>
        <v>15319</v>
      </c>
      <c r="B2849" s="4" t="s">
        <v>644</v>
      </c>
      <c r="C2849" s="4" t="s">
        <v>287</v>
      </c>
      <c r="D2849" s="94">
        <v>1511.0</v>
      </c>
    </row>
    <row r="2850">
      <c r="A2850" s="40">
        <f t="array" ref="A2850">IFNA(index(PlayerValues!A:A,match(IFNA(vlookup(B2850,'Special Names'!A:B,2,FALSE),B2850),PlayerValues!E:E,0)),"N/A")</f>
        <v>15713</v>
      </c>
      <c r="B2850" s="4" t="s">
        <v>732</v>
      </c>
      <c r="C2850" s="4" t="s">
        <v>278</v>
      </c>
      <c r="D2850" s="94">
        <v>1494.0</v>
      </c>
    </row>
    <row r="2851">
      <c r="A2851" s="40">
        <f t="array" ref="A2851">IFNA(index(PlayerValues!A:A,match(IFNA(vlookup(B2851,'Special Names'!A:B,2,FALSE),B2851),PlayerValues!E:E,0)),"N/A")</f>
        <v>13418</v>
      </c>
      <c r="B2851" s="4" t="s">
        <v>706</v>
      </c>
      <c r="C2851" s="4" t="s">
        <v>287</v>
      </c>
      <c r="D2851" s="94">
        <v>1474.0</v>
      </c>
    </row>
    <row r="2852">
      <c r="A2852" s="40">
        <f t="array" ref="A2852">IFNA(index(PlayerValues!A:A,match(IFNA(vlookup(B2852,'Special Names'!A:B,2,FALSE),B2852),PlayerValues!E:E,0)),"N/A")</f>
        <v>17077</v>
      </c>
      <c r="B2852" s="4" t="s">
        <v>714</v>
      </c>
      <c r="C2852" s="4" t="s">
        <v>287</v>
      </c>
      <c r="D2852" s="94">
        <v>1474.0</v>
      </c>
    </row>
    <row r="2853">
      <c r="A2853" s="40">
        <f t="array" ref="A2853">IFNA(index(PlayerValues!A:A,match(IFNA(vlookup(B2853,'Special Names'!A:B,2,FALSE),B2853),PlayerValues!E:E,0)),"N/A")</f>
        <v>15755</v>
      </c>
      <c r="B2853" s="4" t="s">
        <v>628</v>
      </c>
      <c r="C2853" s="4" t="s">
        <v>287</v>
      </c>
      <c r="D2853" s="94">
        <v>1471.0</v>
      </c>
    </row>
    <row r="2854">
      <c r="A2854" s="40">
        <f t="array" ref="A2854">IFNA(index(PlayerValues!A:A,match(IFNA(vlookup(B2854,'Special Names'!A:B,2,FALSE),B2854),PlayerValues!E:E,0)),"N/A")</f>
        <v>17254</v>
      </c>
      <c r="B2854" s="4" t="s">
        <v>679</v>
      </c>
      <c r="C2854" s="4" t="s">
        <v>287</v>
      </c>
      <c r="D2854" s="94">
        <v>1465.0</v>
      </c>
    </row>
    <row r="2855">
      <c r="A2855" s="40">
        <f t="array" ref="A2855">IFNA(index(PlayerValues!A:A,match(IFNA(vlookup(B2855,'Special Names'!A:B,2,FALSE),B2855),PlayerValues!E:E,0)),"N/A")</f>
        <v>15738</v>
      </c>
      <c r="B2855" s="4" t="s">
        <v>634</v>
      </c>
      <c r="C2855" s="4" t="s">
        <v>278</v>
      </c>
      <c r="D2855" s="94">
        <v>1459.0</v>
      </c>
    </row>
    <row r="2856">
      <c r="A2856" s="40">
        <f t="array" ref="A2856">IFNA(index(PlayerValues!A:A,match(IFNA(vlookup(B2856,'Special Names'!A:B,2,FALSE),B2856),PlayerValues!E:E,0)),"N/A")</f>
        <v>15752</v>
      </c>
      <c r="B2856" s="4" t="s">
        <v>647</v>
      </c>
      <c r="C2856" s="4" t="s">
        <v>287</v>
      </c>
      <c r="D2856" s="94">
        <v>1457.0</v>
      </c>
    </row>
    <row r="2857">
      <c r="A2857" s="40">
        <f t="array" ref="A2857">IFNA(index(PlayerValues!A:A,match(IFNA(vlookup(B2857,'Special Names'!A:B,2,FALSE),B2857),PlayerValues!E:E,0)),"N/A")</f>
        <v>16631</v>
      </c>
      <c r="B2857" s="4" t="s">
        <v>800</v>
      </c>
      <c r="C2857" s="4" t="s">
        <v>287</v>
      </c>
      <c r="D2857" s="94">
        <v>1452.0</v>
      </c>
    </row>
    <row r="2858">
      <c r="A2858" s="40">
        <f t="array" ref="A2858">IFNA(index(PlayerValues!A:A,match(IFNA(vlookup(B2858,'Special Names'!A:B,2,FALSE),B2858),PlayerValues!E:E,0)),"N/A")</f>
        <v>13672</v>
      </c>
      <c r="B2858" s="4" t="s">
        <v>667</v>
      </c>
      <c r="C2858" s="4" t="s">
        <v>298</v>
      </c>
      <c r="D2858" s="94">
        <v>1823.0</v>
      </c>
    </row>
    <row r="2859">
      <c r="A2859" s="40">
        <f t="array" ref="A2859">IFNA(index(PlayerValues!A:A,match(IFNA(vlookup(B2859,'Special Names'!A:B,2,FALSE),B2859),PlayerValues!E:E,0)),"N/A")</f>
        <v>11150</v>
      </c>
      <c r="B2859" s="4" t="s">
        <v>559</v>
      </c>
      <c r="C2859" s="4" t="s">
        <v>283</v>
      </c>
      <c r="D2859" s="94">
        <v>1449.0</v>
      </c>
    </row>
    <row r="2860">
      <c r="A2860" s="40">
        <f t="array" ref="A2860">IFNA(index(PlayerValues!A:A,match(IFNA(vlookup(B2860,'Special Names'!A:B,2,FALSE),B2860),PlayerValues!E:E,0)),"N/A")</f>
        <v>14095</v>
      </c>
      <c r="B2860" s="4" t="s">
        <v>680</v>
      </c>
      <c r="C2860" s="4" t="s">
        <v>278</v>
      </c>
      <c r="D2860" s="94">
        <v>1447.0</v>
      </c>
    </row>
    <row r="2861">
      <c r="A2861" s="40">
        <f t="array" ref="A2861">IFNA(index(PlayerValues!A:A,match(IFNA(vlookup(B2861,'Special Names'!A:B,2,FALSE),B2861),PlayerValues!E:E,0)),"N/A")</f>
        <v>17269</v>
      </c>
      <c r="B2861" s="4" t="s">
        <v>718</v>
      </c>
      <c r="C2861" s="4" t="s">
        <v>287</v>
      </c>
      <c r="D2861" s="94">
        <v>1441.0</v>
      </c>
    </row>
    <row r="2862">
      <c r="A2862" s="40">
        <f t="array" ref="A2862">IFNA(index(PlayerValues!A:A,match(IFNA(vlookup(B2862,'Special Names'!A:B,2,FALSE),B2862),PlayerValues!E:E,0)),"N/A")</f>
        <v>17062</v>
      </c>
      <c r="B2862" s="4" t="s">
        <v>701</v>
      </c>
      <c r="C2862" s="4" t="s">
        <v>278</v>
      </c>
      <c r="D2862" s="94">
        <v>1430.0</v>
      </c>
    </row>
    <row r="2863">
      <c r="A2863" s="40">
        <f t="array" ref="A2863">IFNA(index(PlayerValues!A:A,match(IFNA(vlookup(B2863,'Special Names'!A:B,2,FALSE),B2863),PlayerValues!E:E,0)),"N/A")</f>
        <v>15332</v>
      </c>
      <c r="B2863" s="4" t="s">
        <v>698</v>
      </c>
      <c r="C2863" s="4" t="s">
        <v>298</v>
      </c>
      <c r="D2863" s="94">
        <v>1780.0</v>
      </c>
    </row>
    <row r="2864">
      <c r="A2864" s="40">
        <f t="array" ref="A2864">IFNA(index(PlayerValues!A:A,match(IFNA(vlookup(B2864,'Special Names'!A:B,2,FALSE),B2864),PlayerValues!E:E,0)),"N/A")</f>
        <v>13138</v>
      </c>
      <c r="B2864" s="4" t="s">
        <v>817</v>
      </c>
      <c r="C2864" s="4" t="s">
        <v>278</v>
      </c>
      <c r="D2864" s="94">
        <v>1400.0</v>
      </c>
    </row>
    <row r="2865">
      <c r="A2865" s="40">
        <f t="array" ref="A2865">IFNA(index(PlayerValues!A:A,match(IFNA(vlookup(B2865,'Special Names'!A:B,2,FALSE),B2865),PlayerValues!E:E,0)),"N/A")</f>
        <v>15788</v>
      </c>
      <c r="B2865" s="4" t="s">
        <v>627</v>
      </c>
      <c r="C2865" s="4" t="s">
        <v>287</v>
      </c>
      <c r="D2865" s="94">
        <v>1390.0</v>
      </c>
    </row>
    <row r="2866">
      <c r="A2866" s="40">
        <f t="array" ref="A2866">IFNA(index(PlayerValues!A:A,match(IFNA(vlookup(B2866,'Special Names'!A:B,2,FALSE),B2866),PlayerValues!E:E,0)),"N/A")</f>
        <v>17504</v>
      </c>
      <c r="B2866" s="4" t="s">
        <v>693</v>
      </c>
      <c r="C2866" s="4" t="s">
        <v>287</v>
      </c>
      <c r="D2866" s="94">
        <v>1384.0</v>
      </c>
    </row>
    <row r="2867">
      <c r="A2867" s="40">
        <f t="array" ref="A2867">IFNA(index(PlayerValues!A:A,match(IFNA(vlookup(B2867,'Special Names'!A:B,2,FALSE),B2867),PlayerValues!E:E,0)),"N/A")</f>
        <v>15797</v>
      </c>
      <c r="B2867" s="4" t="s">
        <v>556</v>
      </c>
      <c r="C2867" s="4" t="s">
        <v>298</v>
      </c>
      <c r="D2867" s="94">
        <v>1754.0</v>
      </c>
    </row>
    <row r="2868">
      <c r="A2868" s="40">
        <f t="array" ref="A2868">IFNA(index(PlayerValues!A:A,match(IFNA(vlookup(B2868,'Special Names'!A:B,2,FALSE),B2868),PlayerValues!E:E,0)),"N/A")</f>
        <v>17510</v>
      </c>
      <c r="B2868" s="4" t="s">
        <v>661</v>
      </c>
      <c r="C2868" s="4" t="s">
        <v>287</v>
      </c>
      <c r="D2868" s="94">
        <v>1374.0</v>
      </c>
    </row>
    <row r="2869">
      <c r="A2869" s="40">
        <f t="array" ref="A2869">IFNA(index(PlayerValues!A:A,match(IFNA(vlookup(B2869,'Special Names'!A:B,2,FALSE),B2869),PlayerValues!E:E,0)),"N/A")</f>
        <v>17475</v>
      </c>
      <c r="B2869" s="4" t="s">
        <v>615</v>
      </c>
      <c r="C2869" s="4" t="s">
        <v>278</v>
      </c>
      <c r="D2869" s="94">
        <v>1367.0</v>
      </c>
    </row>
    <row r="2870">
      <c r="A2870" s="40">
        <f t="array" ref="A2870">IFNA(index(PlayerValues!A:A,match(IFNA(vlookup(B2870,'Special Names'!A:B,2,FALSE),B2870),PlayerValues!E:E,0)),"N/A")</f>
        <v>15873</v>
      </c>
      <c r="B2870" s="4" t="s">
        <v>681</v>
      </c>
      <c r="C2870" s="4" t="s">
        <v>298</v>
      </c>
      <c r="D2870" s="94">
        <v>1719.0</v>
      </c>
    </row>
    <row r="2871">
      <c r="A2871" s="40">
        <f t="array" ref="A2871">IFNA(index(PlayerValues!A:A,match(IFNA(vlookup(B2871,'Special Names'!A:B,2,FALSE),B2871),PlayerValues!E:E,0)),"N/A")</f>
        <v>17541</v>
      </c>
      <c r="B2871" s="4" t="s">
        <v>616</v>
      </c>
      <c r="C2871" s="4" t="s">
        <v>287</v>
      </c>
      <c r="D2871" s="94">
        <v>1347.0</v>
      </c>
    </row>
    <row r="2872">
      <c r="A2872" s="40">
        <f t="array" ref="A2872">IFNA(index(PlayerValues!A:A,match(IFNA(vlookup(B2872,'Special Names'!A:B,2,FALSE),B2872),PlayerValues!E:E,0)),"N/A")</f>
        <v>16621</v>
      </c>
      <c r="B2872" s="4" t="s">
        <v>672</v>
      </c>
      <c r="C2872" s="4" t="s">
        <v>287</v>
      </c>
      <c r="D2872" s="94">
        <v>1345.0</v>
      </c>
    </row>
    <row r="2873">
      <c r="A2873" s="40">
        <f t="array" ref="A2873">IFNA(index(PlayerValues!A:A,match(IFNA(vlookup(B2873,'Special Names'!A:B,2,FALSE),B2873),PlayerValues!E:E,0)),"N/A")</f>
        <v>14137</v>
      </c>
      <c r="B2873" s="4" t="s">
        <v>676</v>
      </c>
      <c r="C2873" s="4" t="s">
        <v>298</v>
      </c>
      <c r="D2873" s="94">
        <v>1709.0</v>
      </c>
    </row>
    <row r="2874">
      <c r="A2874" s="40">
        <f t="array" ref="A2874">IFNA(index(PlayerValues!A:A,match(IFNA(vlookup(B2874,'Special Names'!A:B,2,FALSE),B2874),PlayerValues!E:E,0)),"N/A")</f>
        <v>17479</v>
      </c>
      <c r="B2874" s="4" t="s">
        <v>756</v>
      </c>
      <c r="C2874" s="4" t="s">
        <v>278</v>
      </c>
      <c r="D2874" s="94">
        <v>1335.0</v>
      </c>
    </row>
    <row r="2875">
      <c r="A2875" s="40">
        <f t="array" ref="A2875">IFNA(index(PlayerValues!A:A,match(IFNA(vlookup(B2875,'Special Names'!A:B,2,FALSE),B2875),PlayerValues!E:E,0)),"N/A")</f>
        <v>15301</v>
      </c>
      <c r="B2875" s="4" t="s">
        <v>657</v>
      </c>
      <c r="C2875" s="4" t="s">
        <v>287</v>
      </c>
      <c r="D2875" s="94">
        <v>1333.0</v>
      </c>
    </row>
    <row r="2876">
      <c r="A2876" s="40">
        <f t="array" ref="A2876">IFNA(index(PlayerValues!A:A,match(IFNA(vlookup(B2876,'Special Names'!A:B,2,FALSE),B2876),PlayerValues!E:E,0)),"N/A")</f>
        <v>16642</v>
      </c>
      <c r="B2876" s="4" t="s">
        <v>691</v>
      </c>
      <c r="C2876" s="4" t="s">
        <v>298</v>
      </c>
      <c r="D2876" s="94">
        <v>1697.0</v>
      </c>
    </row>
    <row r="2877">
      <c r="A2877" s="40" t="str">
        <f t="array" ref="A2877">IFNA(index(PlayerValues!A:A,match(IFNA(vlookup(B2877,'Special Names'!A:B,2,FALSE),B2877),PlayerValues!E:E,0)),"N/A")</f>
        <v>N/A</v>
      </c>
      <c r="B2877" s="4" t="s">
        <v>117</v>
      </c>
      <c r="C2877" s="4" t="s">
        <v>325</v>
      </c>
      <c r="D2877" s="94">
        <v>1315.0</v>
      </c>
    </row>
    <row r="2878">
      <c r="A2878" s="40">
        <f t="array" ref="A2878">IFNA(index(PlayerValues!A:A,match(IFNA(vlookup(B2878,'Special Names'!A:B,2,FALSE),B2878),PlayerValues!E:E,0)),"N/A")</f>
        <v>17487</v>
      </c>
      <c r="B2878" s="4" t="s">
        <v>692</v>
      </c>
      <c r="C2878" s="4" t="s">
        <v>278</v>
      </c>
      <c r="D2878" s="94">
        <v>1312.0</v>
      </c>
    </row>
    <row r="2879">
      <c r="A2879" s="40">
        <f t="array" ref="A2879">IFNA(index(PlayerValues!A:A,match(IFNA(vlookup(B2879,'Special Names'!A:B,2,FALSE),B2879),PlayerValues!E:E,0)),"N/A")</f>
        <v>17486</v>
      </c>
      <c r="B2879" s="4" t="s">
        <v>695</v>
      </c>
      <c r="C2879" s="4" t="s">
        <v>278</v>
      </c>
      <c r="D2879" s="94">
        <v>1309.0</v>
      </c>
    </row>
    <row r="2880">
      <c r="A2880" s="40">
        <f t="array" ref="A2880">IFNA(index(PlayerValues!A:A,match(IFNA(vlookup(B2880,'Special Names'!A:B,2,FALSE),B2880),PlayerValues!E:E,0)),"N/A")</f>
        <v>16385</v>
      </c>
      <c r="B2880" s="4" t="s">
        <v>690</v>
      </c>
      <c r="C2880" s="4" t="s">
        <v>278</v>
      </c>
      <c r="D2880" s="94">
        <v>1295.0</v>
      </c>
    </row>
    <row r="2881">
      <c r="A2881" s="40">
        <f t="array" ref="A2881">IFNA(index(PlayerValues!A:A,match(IFNA(vlookup(B2881,'Special Names'!A:B,2,FALSE),B2881),PlayerValues!E:E,0)),"N/A")</f>
        <v>17470</v>
      </c>
      <c r="B2881" s="4" t="s">
        <v>841</v>
      </c>
      <c r="C2881" s="4" t="s">
        <v>283</v>
      </c>
      <c r="D2881" s="94">
        <v>1295.0</v>
      </c>
    </row>
    <row r="2882">
      <c r="A2882" s="40">
        <f t="array" ref="A2882">IFNA(index(PlayerValues!A:A,match(IFNA(vlookup(B2882,'Special Names'!A:B,2,FALSE),B2882),PlayerValues!E:E,0)),"N/A")</f>
        <v>16175</v>
      </c>
      <c r="B2882" s="4" t="s">
        <v>654</v>
      </c>
      <c r="C2882" s="4" t="s">
        <v>278</v>
      </c>
      <c r="D2882" s="94">
        <v>1284.0</v>
      </c>
    </row>
    <row r="2883">
      <c r="A2883" s="40">
        <f t="array" ref="A2883">IFNA(index(PlayerValues!A:A,match(IFNA(vlookup(B2883,'Special Names'!A:B,2,FALSE),B2883),PlayerValues!E:E,0)),"N/A")</f>
        <v>15292</v>
      </c>
      <c r="B2883" s="4" t="s">
        <v>682</v>
      </c>
      <c r="C2883" s="4" t="s">
        <v>287</v>
      </c>
      <c r="D2883" s="94">
        <v>1275.0</v>
      </c>
    </row>
    <row r="2884">
      <c r="A2884" s="40">
        <f t="array" ref="A2884">IFNA(index(PlayerValues!A:A,match(IFNA(vlookup(B2884,'Special Names'!A:B,2,FALSE),B2884),PlayerValues!E:E,0)),"N/A")</f>
        <v>14086</v>
      </c>
      <c r="B2884" s="4" t="s">
        <v>639</v>
      </c>
      <c r="C2884" s="4" t="s">
        <v>278</v>
      </c>
      <c r="D2884" s="94">
        <v>1263.0</v>
      </c>
    </row>
    <row r="2885">
      <c r="A2885" s="40">
        <f t="array" ref="A2885">IFNA(index(PlayerValues!A:A,match(IFNA(vlookup(B2885,'Special Names'!A:B,2,FALSE),B2885),PlayerValues!E:E,0)),"N/A")</f>
        <v>14592</v>
      </c>
      <c r="B2885" s="4" t="s">
        <v>705</v>
      </c>
      <c r="C2885" s="4" t="s">
        <v>287</v>
      </c>
      <c r="D2885" s="94">
        <v>1257.0</v>
      </c>
    </row>
    <row r="2886">
      <c r="A2886" s="40">
        <f t="array" ref="A2886">IFNA(index(PlayerValues!A:A,match(IFNA(vlookup(B2886,'Special Names'!A:B,2,FALSE),B2886),PlayerValues!E:E,0)),"N/A")</f>
        <v>14108</v>
      </c>
      <c r="B2886" s="4" t="s">
        <v>673</v>
      </c>
      <c r="C2886" s="4" t="s">
        <v>287</v>
      </c>
      <c r="D2886" s="94">
        <v>1252.0</v>
      </c>
    </row>
    <row r="2887">
      <c r="A2887" s="40">
        <f t="array" ref="A2887">IFNA(index(PlayerValues!A:A,match(IFNA(vlookup(B2887,'Special Names'!A:B,2,FALSE),B2887),PlayerValues!E:E,0)),"N/A")</f>
        <v>15240</v>
      </c>
      <c r="B2887" s="4" t="s">
        <v>751</v>
      </c>
      <c r="C2887" s="4" t="s">
        <v>283</v>
      </c>
      <c r="D2887" s="94">
        <v>1247.0</v>
      </c>
    </row>
    <row r="2888">
      <c r="A2888" s="40">
        <f t="array" ref="A2888">IFNA(index(PlayerValues!A:A,match(IFNA(vlookup(B2888,'Special Names'!A:B,2,FALSE),B2888),PlayerValues!E:E,0)),"N/A")</f>
        <v>15702</v>
      </c>
      <c r="B2888" s="4" t="s">
        <v>723</v>
      </c>
      <c r="C2888" s="4" t="s">
        <v>283</v>
      </c>
      <c r="D2888" s="94">
        <v>1247.0</v>
      </c>
    </row>
    <row r="2889">
      <c r="A2889" s="40">
        <f t="array" ref="A2889">IFNA(index(PlayerValues!A:A,match(IFNA(vlookup(B2889,'Special Names'!A:B,2,FALSE),B2889),PlayerValues!E:E,0)),"N/A")</f>
        <v>16451</v>
      </c>
      <c r="B2889" s="4" t="s">
        <v>769</v>
      </c>
      <c r="C2889" s="4" t="s">
        <v>287</v>
      </c>
      <c r="D2889" s="94">
        <v>1229.0</v>
      </c>
    </row>
    <row r="2890">
      <c r="A2890" s="40">
        <f t="array" ref="A2890">IFNA(index(PlayerValues!A:A,match(IFNA(vlookup(B2890,'Special Names'!A:B,2,FALSE),B2890),PlayerValues!E:E,0)),"N/A")</f>
        <v>15981</v>
      </c>
      <c r="B2890" s="4" t="s">
        <v>729</v>
      </c>
      <c r="C2890" s="4" t="s">
        <v>287</v>
      </c>
      <c r="D2890" s="94">
        <v>1227.0</v>
      </c>
    </row>
    <row r="2891">
      <c r="A2891" s="40">
        <f t="array" ref="A2891">IFNA(index(PlayerValues!A:A,match(IFNA(vlookup(B2891,'Special Names'!A:B,2,FALSE),B2891),PlayerValues!E:E,0)),"N/A")</f>
        <v>16183</v>
      </c>
      <c r="B2891" s="4" t="s">
        <v>678</v>
      </c>
      <c r="C2891" s="4" t="s">
        <v>287</v>
      </c>
      <c r="D2891" s="94">
        <v>1227.0</v>
      </c>
    </row>
    <row r="2892">
      <c r="A2892" s="40">
        <f t="array" ref="A2892">IFNA(index(PlayerValues!A:A,match(IFNA(vlookup(B2892,'Special Names'!A:B,2,FALSE),B2892),PlayerValues!E:E,0)),"N/A")</f>
        <v>16149</v>
      </c>
      <c r="B2892" s="4" t="s">
        <v>740</v>
      </c>
      <c r="C2892" s="4" t="s">
        <v>283</v>
      </c>
      <c r="D2892" s="94">
        <v>1227.0</v>
      </c>
    </row>
    <row r="2893">
      <c r="A2893" s="40">
        <f t="array" ref="A2893">IFNA(index(PlayerValues!A:A,match(IFNA(vlookup(B2893,'Special Names'!A:B,2,FALSE),B2893),PlayerValues!E:E,0)),"N/A")</f>
        <v>12263</v>
      </c>
      <c r="B2893" s="4" t="s">
        <v>697</v>
      </c>
      <c r="C2893" s="4" t="s">
        <v>298</v>
      </c>
      <c r="D2893" s="94">
        <v>1585.0</v>
      </c>
    </row>
    <row r="2894">
      <c r="A2894" s="40">
        <f t="array" ref="A2894">IFNA(index(PlayerValues!A:A,match(IFNA(vlookup(B2894,'Special Names'!A:B,2,FALSE),B2894),PlayerValues!E:E,0)),"N/A")</f>
        <v>17526</v>
      </c>
      <c r="B2894" s="4" t="s">
        <v>760</v>
      </c>
      <c r="C2894" s="4" t="s">
        <v>287</v>
      </c>
      <c r="D2894" s="94">
        <v>1210.0</v>
      </c>
    </row>
    <row r="2895">
      <c r="A2895" s="40">
        <f t="array" ref="A2895">IFNA(index(PlayerValues!A:A,match(IFNA(vlookup(B2895,'Special Names'!A:B,2,FALSE),B2895),PlayerValues!E:E,0)),"N/A")</f>
        <v>16384</v>
      </c>
      <c r="B2895" s="4" t="s">
        <v>696</v>
      </c>
      <c r="C2895" s="4" t="s">
        <v>283</v>
      </c>
      <c r="D2895" s="94">
        <v>1197.0</v>
      </c>
    </row>
    <row r="2896">
      <c r="A2896" s="40">
        <f t="array" ref="A2896">IFNA(index(PlayerValues!A:A,match(IFNA(vlookup(B2896,'Special Names'!A:B,2,FALSE),B2896),PlayerValues!E:E,0)),"N/A")</f>
        <v>16792</v>
      </c>
      <c r="B2896" s="4" t="s">
        <v>704</v>
      </c>
      <c r="C2896" s="4" t="s">
        <v>287</v>
      </c>
      <c r="D2896" s="94">
        <v>1194.0</v>
      </c>
    </row>
    <row r="2897">
      <c r="A2897" s="40">
        <f t="array" ref="A2897">IFNA(index(PlayerValues!A:A,match(IFNA(vlookup(B2897,'Special Names'!A:B,2,FALSE),B2897),PlayerValues!E:E,0)),"N/A")</f>
        <v>17063</v>
      </c>
      <c r="B2897" s="4" t="s">
        <v>686</v>
      </c>
      <c r="C2897" s="4" t="s">
        <v>278</v>
      </c>
      <c r="D2897" s="94">
        <v>1186.0</v>
      </c>
    </row>
    <row r="2898">
      <c r="A2898" s="40">
        <f t="array" ref="A2898">IFNA(index(PlayerValues!A:A,match(IFNA(vlookup(B2898,'Special Names'!A:B,2,FALSE),B2898),PlayerValues!E:E,0)),"N/A")</f>
        <v>16221</v>
      </c>
      <c r="B2898" s="4" t="s">
        <v>725</v>
      </c>
      <c r="C2898" s="4" t="s">
        <v>298</v>
      </c>
      <c r="D2898" s="94">
        <v>1547.0</v>
      </c>
    </row>
    <row r="2899">
      <c r="A2899" s="40">
        <f t="array" ref="A2899">IFNA(index(PlayerValues!A:A,match(IFNA(vlookup(B2899,'Special Names'!A:B,2,FALSE),B2899),PlayerValues!E:E,0)),"N/A")</f>
        <v>16645</v>
      </c>
      <c r="B2899" s="4" t="s">
        <v>651</v>
      </c>
      <c r="C2899" s="4" t="s">
        <v>298</v>
      </c>
      <c r="D2899" s="94">
        <v>1543.0</v>
      </c>
    </row>
    <row r="2900">
      <c r="A2900" s="40">
        <f t="array" ref="A2900">IFNA(index(PlayerValues!A:A,match(IFNA(vlookup(B2900,'Special Names'!A:B,2,FALSE),B2900),PlayerValues!E:E,0)),"N/A")</f>
        <v>17054</v>
      </c>
      <c r="B2900" s="4" t="s">
        <v>670</v>
      </c>
      <c r="C2900" s="4" t="s">
        <v>278</v>
      </c>
      <c r="D2900" s="94">
        <v>1170.0</v>
      </c>
    </row>
    <row r="2901">
      <c r="A2901" s="40">
        <f t="array" ref="A2901">IFNA(index(PlayerValues!A:A,match(IFNA(vlookup(B2901,'Special Names'!A:B,2,FALSE),B2901),PlayerValues!E:E,0)),"N/A")</f>
        <v>12678</v>
      </c>
      <c r="B2901" s="4" t="s">
        <v>703</v>
      </c>
      <c r="C2901" s="4" t="s">
        <v>298</v>
      </c>
      <c r="D2901" s="94">
        <v>1524.0</v>
      </c>
    </row>
    <row r="2902">
      <c r="A2902" s="40">
        <f t="array" ref="A2902">IFNA(index(PlayerValues!A:A,match(IFNA(vlookup(B2902,'Special Names'!A:B,2,FALSE),B2902),PlayerValues!E:E,0)),"N/A")</f>
        <v>16883</v>
      </c>
      <c r="B2902" s="4" t="s">
        <v>683</v>
      </c>
      <c r="C2902" s="4" t="s">
        <v>287</v>
      </c>
      <c r="D2902" s="94">
        <v>1152.0</v>
      </c>
    </row>
    <row r="2903">
      <c r="A2903" s="40">
        <f t="array" ref="A2903">IFNA(index(PlayerValues!A:A,match(IFNA(vlookup(B2903,'Special Names'!A:B,2,FALSE),B2903),PlayerValues!E:E,0)),"N/A")</f>
        <v>16746</v>
      </c>
      <c r="B2903" s="4" t="s">
        <v>709</v>
      </c>
      <c r="C2903" s="4" t="s">
        <v>278</v>
      </c>
      <c r="D2903" s="94">
        <v>1150.0</v>
      </c>
    </row>
    <row r="2904">
      <c r="A2904" s="40">
        <f t="array" ref="A2904">IFNA(index(PlayerValues!A:A,match(IFNA(vlookup(B2904,'Special Names'!A:B,2,FALSE),B2904),PlayerValues!E:E,0)),"N/A")</f>
        <v>16636</v>
      </c>
      <c r="B2904" s="4" t="s">
        <v>699</v>
      </c>
      <c r="C2904" s="4" t="s">
        <v>287</v>
      </c>
      <c r="D2904" s="94">
        <v>1149.0</v>
      </c>
    </row>
    <row r="2905">
      <c r="A2905" s="40">
        <f t="array" ref="A2905">IFNA(index(PlayerValues!A:A,match(IFNA(vlookup(B2905,'Special Names'!A:B,2,FALSE),B2905),PlayerValues!E:E,0)),"N/A")</f>
        <v>16199</v>
      </c>
      <c r="B2905" s="4" t="s">
        <v>687</v>
      </c>
      <c r="C2905" s="4" t="s">
        <v>287</v>
      </c>
      <c r="D2905" s="94">
        <v>1143.0</v>
      </c>
    </row>
    <row r="2906">
      <c r="A2906" s="40">
        <f t="array" ref="A2906">IFNA(index(PlayerValues!A:A,match(IFNA(vlookup(B2906,'Special Names'!A:B,2,FALSE),B2906),PlayerValues!E:E,0)),"N/A")</f>
        <v>14789</v>
      </c>
      <c r="B2906" s="4" t="s">
        <v>721</v>
      </c>
      <c r="C2906" s="4" t="s">
        <v>283</v>
      </c>
      <c r="D2906" s="94">
        <v>1142.0</v>
      </c>
    </row>
    <row r="2907">
      <c r="A2907" s="40">
        <f t="array" ref="A2907">IFNA(index(PlayerValues!A:A,match(IFNA(vlookup(B2907,'Special Names'!A:B,2,FALSE),B2907),PlayerValues!E:E,0)),"N/A")</f>
        <v>17097</v>
      </c>
      <c r="B2907" s="4" t="s">
        <v>659</v>
      </c>
      <c r="C2907" s="4" t="s">
        <v>287</v>
      </c>
      <c r="D2907" s="94">
        <v>1134.0</v>
      </c>
    </row>
    <row r="2908">
      <c r="A2908" s="40">
        <f t="array" ref="A2908">IFNA(index(PlayerValues!A:A,match(IFNA(vlookup(B2908,'Special Names'!A:B,2,FALSE),B2908),PlayerValues!E:E,0)),"N/A")</f>
        <v>13289</v>
      </c>
      <c r="B2908" s="4" t="s">
        <v>746</v>
      </c>
      <c r="C2908" s="4" t="s">
        <v>287</v>
      </c>
      <c r="D2908" s="94">
        <v>1124.0</v>
      </c>
    </row>
    <row r="2909">
      <c r="A2909" s="40">
        <f t="array" ref="A2909">IFNA(index(PlayerValues!A:A,match(IFNA(vlookup(B2909,'Special Names'!A:B,2,FALSE),B2909),PlayerValues!E:E,0)),"N/A")</f>
        <v>17192</v>
      </c>
      <c r="B2909" s="4" t="s">
        <v>677</v>
      </c>
      <c r="C2909" s="4" t="s">
        <v>287</v>
      </c>
      <c r="D2909" s="94">
        <v>1116.0</v>
      </c>
    </row>
    <row r="2910">
      <c r="A2910" s="40">
        <f t="array" ref="A2910">IFNA(index(PlayerValues!A:A,match(IFNA(vlookup(B2910,'Special Names'!A:B,2,FALSE),B2910),PlayerValues!E:E,0)),"N/A")</f>
        <v>17050</v>
      </c>
      <c r="B2910" s="4" t="s">
        <v>713</v>
      </c>
      <c r="C2910" s="4" t="s">
        <v>278</v>
      </c>
      <c r="D2910" s="94">
        <v>1115.0</v>
      </c>
    </row>
    <row r="2911">
      <c r="A2911" s="40">
        <f t="array" ref="A2911">IFNA(index(PlayerValues!A:A,match(IFNA(vlookup(B2911,'Special Names'!A:B,2,FALSE),B2911),PlayerValues!E:E,0)),"N/A")</f>
        <v>14845</v>
      </c>
      <c r="B2911" s="4" t="s">
        <v>717</v>
      </c>
      <c r="C2911" s="4" t="s">
        <v>287</v>
      </c>
      <c r="D2911" s="94">
        <v>1112.0</v>
      </c>
    </row>
    <row r="2912">
      <c r="A2912" s="40">
        <f t="array" ref="A2912">IFNA(index(PlayerValues!A:A,match(IFNA(vlookup(B2912,'Special Names'!A:B,2,FALSE),B2912),PlayerValues!E:E,0)),"N/A")</f>
        <v>15239</v>
      </c>
      <c r="B2912" s="4" t="s">
        <v>802</v>
      </c>
      <c r="C2912" s="4" t="s">
        <v>283</v>
      </c>
      <c r="D2912" s="94">
        <v>1111.0</v>
      </c>
    </row>
    <row r="2913">
      <c r="A2913" s="40">
        <f t="array" ref="A2913">IFNA(index(PlayerValues!A:A,match(IFNA(vlookup(B2913,'Special Names'!A:B,2,FALSE),B2913),PlayerValues!E:E,0)),"N/A")</f>
        <v>15730</v>
      </c>
      <c r="B2913" s="4" t="s">
        <v>734</v>
      </c>
      <c r="C2913" s="4" t="s">
        <v>278</v>
      </c>
      <c r="D2913" s="94">
        <v>1109.0</v>
      </c>
    </row>
    <row r="2914">
      <c r="A2914" s="40">
        <f t="array" ref="A2914">IFNA(index(PlayerValues!A:A,match(IFNA(vlookup(B2914,'Special Names'!A:B,2,FALSE),B2914),PlayerValues!E:E,0)),"N/A")</f>
        <v>15692</v>
      </c>
      <c r="B2914" s="4" t="s">
        <v>750</v>
      </c>
      <c r="C2914" s="4" t="s">
        <v>283</v>
      </c>
      <c r="D2914" s="94">
        <v>1105.0</v>
      </c>
    </row>
    <row r="2915">
      <c r="A2915" s="40">
        <f t="array" ref="A2915">IFNA(index(PlayerValues!A:A,match(IFNA(vlookup(B2915,'Special Names'!A:B,2,FALSE),B2915),PlayerValues!E:E,0)),"N/A")</f>
        <v>16333</v>
      </c>
      <c r="B2915" s="4" t="s">
        <v>711</v>
      </c>
      <c r="C2915" s="4" t="s">
        <v>298</v>
      </c>
      <c r="D2915" s="94">
        <v>1466.0</v>
      </c>
    </row>
    <row r="2916">
      <c r="A2916" s="40">
        <f t="array" ref="A2916">IFNA(index(PlayerValues!A:A,match(IFNA(vlookup(B2916,'Special Names'!A:B,2,FALSE),B2916),PlayerValues!E:E,0)),"N/A")</f>
        <v>16197</v>
      </c>
      <c r="B2916" s="4" t="s">
        <v>726</v>
      </c>
      <c r="C2916" s="4" t="s">
        <v>287</v>
      </c>
      <c r="D2916" s="94">
        <v>1095.0</v>
      </c>
    </row>
    <row r="2917">
      <c r="A2917" s="40">
        <f t="array" ref="A2917">IFNA(index(PlayerValues!A:A,match(IFNA(vlookup(B2917,'Special Names'!A:B,2,FALSE),B2917),PlayerValues!E:E,0)),"N/A")</f>
        <v>17109</v>
      </c>
      <c r="B2917" s="4" t="s">
        <v>707</v>
      </c>
      <c r="C2917" s="4" t="s">
        <v>298</v>
      </c>
      <c r="D2917" s="94">
        <v>1462.0</v>
      </c>
    </row>
    <row r="2918">
      <c r="A2918" s="40">
        <f t="array" ref="A2918">IFNA(index(PlayerValues!A:A,match(IFNA(vlookup(B2918,'Special Names'!A:B,2,FALSE),B2918),PlayerValues!E:E,0)),"N/A")</f>
        <v>13610</v>
      </c>
      <c r="B2918" s="4" t="s">
        <v>825</v>
      </c>
      <c r="C2918" s="4" t="s">
        <v>278</v>
      </c>
      <c r="D2918" s="94">
        <v>1082.0</v>
      </c>
    </row>
    <row r="2919">
      <c r="A2919" s="40">
        <f t="array" ref="A2919">IFNA(index(PlayerValues!A:A,match(IFNA(vlookup(B2919,'Special Names'!A:B,2,FALSE),B2919),PlayerValues!E:E,0)),"N/A")</f>
        <v>15288</v>
      </c>
      <c r="B2919" s="4" t="s">
        <v>700</v>
      </c>
      <c r="C2919" s="4" t="s">
        <v>287</v>
      </c>
      <c r="D2919" s="94">
        <v>1078.0</v>
      </c>
    </row>
    <row r="2920">
      <c r="A2920" s="40">
        <f t="array" ref="A2920">IFNA(index(PlayerValues!A:A,match(IFNA(vlookup(B2920,'Special Names'!A:B,2,FALSE),B2920),PlayerValues!E:E,0)),"N/A")</f>
        <v>17175</v>
      </c>
      <c r="B2920" s="4" t="s">
        <v>747</v>
      </c>
      <c r="C2920" s="4" t="s">
        <v>287</v>
      </c>
      <c r="D2920" s="94">
        <v>1074.0</v>
      </c>
    </row>
    <row r="2921">
      <c r="A2921" s="40">
        <f t="array" ref="A2921">IFNA(index(PlayerValues!A:A,match(IFNA(vlookup(B2921,'Special Names'!A:B,2,FALSE),B2921),PlayerValues!E:E,0)),"N/A")</f>
        <v>15717</v>
      </c>
      <c r="B2921" s="4" t="s">
        <v>745</v>
      </c>
      <c r="C2921" s="4" t="s">
        <v>278</v>
      </c>
      <c r="D2921" s="94">
        <v>1071.0</v>
      </c>
    </row>
    <row r="2922">
      <c r="A2922" s="40">
        <f t="array" ref="A2922">IFNA(index(PlayerValues!A:A,match(IFNA(vlookup(B2922,'Special Names'!A:B,2,FALSE),B2922),PlayerValues!E:E,0)),"N/A")</f>
        <v>16219</v>
      </c>
      <c r="B2922" s="4" t="s">
        <v>739</v>
      </c>
      <c r="C2922" s="4" t="s">
        <v>298</v>
      </c>
      <c r="D2922" s="94">
        <v>1436.0</v>
      </c>
    </row>
    <row r="2923">
      <c r="A2923" s="40">
        <f t="array" ref="A2923">IFNA(index(PlayerValues!A:A,match(IFNA(vlookup(B2923,'Special Names'!A:B,2,FALSE),B2923),PlayerValues!E:E,0)),"N/A")</f>
        <v>16640</v>
      </c>
      <c r="B2923" s="4" t="s">
        <v>712</v>
      </c>
      <c r="C2923" s="4" t="s">
        <v>287</v>
      </c>
      <c r="D2923" s="94">
        <v>1061.0</v>
      </c>
    </row>
    <row r="2924">
      <c r="A2924" s="40">
        <f t="array" ref="A2924">IFNA(index(PlayerValues!A:A,match(IFNA(vlookup(B2924,'Special Names'!A:B,2,FALSE),B2924),PlayerValues!E:E,0)),"N/A")</f>
        <v>15718</v>
      </c>
      <c r="B2924" s="4" t="s">
        <v>753</v>
      </c>
      <c r="C2924" s="4" t="s">
        <v>278</v>
      </c>
      <c r="D2924" s="94">
        <v>1058.0</v>
      </c>
    </row>
    <row r="2925">
      <c r="A2925" s="40">
        <f t="array" ref="A2925">IFNA(index(PlayerValues!A:A,match(IFNA(vlookup(B2925,'Special Names'!A:B,2,FALSE),B2925),PlayerValues!E:E,0)),"N/A")</f>
        <v>16387</v>
      </c>
      <c r="B2925" s="4" t="s">
        <v>646</v>
      </c>
      <c r="C2925" s="4" t="s">
        <v>278</v>
      </c>
      <c r="D2925" s="94">
        <v>1057.0</v>
      </c>
    </row>
    <row r="2926">
      <c r="A2926" s="40">
        <f t="array" ref="A2926">IFNA(index(PlayerValues!A:A,match(IFNA(vlookup(B2926,'Special Names'!A:B,2,FALSE),B2926),PlayerValues!E:E,0)),"N/A")</f>
        <v>15720</v>
      </c>
      <c r="B2926" s="4" t="s">
        <v>795</v>
      </c>
      <c r="C2926" s="4" t="s">
        <v>278</v>
      </c>
      <c r="D2926" s="94">
        <v>1048.0</v>
      </c>
    </row>
    <row r="2927">
      <c r="A2927" s="40">
        <f t="array" ref="A2927">IFNA(index(PlayerValues!A:A,match(IFNA(vlookup(B2927,'Special Names'!A:B,2,FALSE),B2927),PlayerValues!E:E,0)),"N/A")</f>
        <v>15693</v>
      </c>
      <c r="B2927" s="4" t="s">
        <v>755</v>
      </c>
      <c r="C2927" s="4" t="s">
        <v>283</v>
      </c>
      <c r="D2927" s="94">
        <v>1045.0</v>
      </c>
    </row>
    <row r="2928">
      <c r="A2928" s="40">
        <f t="array" ref="A2928">IFNA(index(PlayerValues!A:A,match(IFNA(vlookup(B2928,'Special Names'!A:B,2,FALSE),B2928),PlayerValues!E:E,0)),"N/A")</f>
        <v>16393</v>
      </c>
      <c r="B2928" s="4" t="s">
        <v>768</v>
      </c>
      <c r="C2928" s="4" t="s">
        <v>287</v>
      </c>
      <c r="D2928" s="94">
        <v>1038.0</v>
      </c>
    </row>
    <row r="2929">
      <c r="A2929" s="40">
        <f t="array" ref="A2929">IFNA(index(PlayerValues!A:A,match(IFNA(vlookup(B2929,'Special Names'!A:B,2,FALSE),B2929),PlayerValues!E:E,0)),"N/A")</f>
        <v>15785</v>
      </c>
      <c r="B2929" s="4" t="s">
        <v>763</v>
      </c>
      <c r="C2929" s="4" t="s">
        <v>287</v>
      </c>
      <c r="D2929" s="94">
        <v>1034.0</v>
      </c>
    </row>
    <row r="2930">
      <c r="A2930" s="40">
        <f t="array" ref="A2930">IFNA(index(PlayerValues!A:A,match(IFNA(vlookup(B2930,'Special Names'!A:B,2,FALSE),B2930),PlayerValues!E:E,0)),"N/A")</f>
        <v>14118</v>
      </c>
      <c r="B2930" s="4" t="s">
        <v>771</v>
      </c>
      <c r="C2930" s="4" t="s">
        <v>287</v>
      </c>
      <c r="D2930" s="94">
        <v>1033.0</v>
      </c>
    </row>
    <row r="2931">
      <c r="A2931" s="40">
        <f t="array" ref="A2931">IFNA(index(PlayerValues!A:A,match(IFNA(vlookup(B2931,'Special Names'!A:B,2,FALSE),B2931),PlayerValues!E:E,0)),"N/A")</f>
        <v>14849</v>
      </c>
      <c r="B2931" s="4" t="s">
        <v>733</v>
      </c>
      <c r="C2931" s="4" t="s">
        <v>287</v>
      </c>
      <c r="D2931" s="94">
        <v>1033.0</v>
      </c>
    </row>
    <row r="2932">
      <c r="A2932" s="40">
        <f t="array" ref="A2932">IFNA(index(PlayerValues!A:A,match(IFNA(vlookup(B2932,'Special Names'!A:B,2,FALSE),B2932),PlayerValues!E:E,0)),"N/A")</f>
        <v>15626</v>
      </c>
      <c r="B2932" s="4" t="s">
        <v>766</v>
      </c>
      <c r="C2932" s="4" t="s">
        <v>298</v>
      </c>
      <c r="D2932" s="94">
        <v>1394.0</v>
      </c>
    </row>
    <row r="2933">
      <c r="A2933" s="40">
        <f t="array" ref="A2933">IFNA(index(PlayerValues!A:A,match(IFNA(vlookup(B2933,'Special Names'!A:B,2,FALSE),B2933),PlayerValues!E:E,0)),"N/A")</f>
        <v>16637</v>
      </c>
      <c r="B2933" s="4" t="s">
        <v>736</v>
      </c>
      <c r="C2933" s="4" t="s">
        <v>287</v>
      </c>
      <c r="D2933" s="94">
        <v>1020.0</v>
      </c>
    </row>
    <row r="2934">
      <c r="A2934" s="40">
        <f t="array" ref="A2934">IFNA(index(PlayerValues!A:A,match(IFNA(vlookup(B2934,'Special Names'!A:B,2,FALSE),B2934),PlayerValues!E:E,0)),"N/A")</f>
        <v>16159</v>
      </c>
      <c r="B2934" s="4" t="s">
        <v>819</v>
      </c>
      <c r="C2934" s="4" t="s">
        <v>283</v>
      </c>
      <c r="D2934" s="94">
        <v>1009.0</v>
      </c>
    </row>
    <row r="2935">
      <c r="A2935" s="40">
        <f t="array" ref="A2935">IFNA(index(PlayerValues!A:A,match(IFNA(vlookup(B2935,'Special Names'!A:B,2,FALSE),B2935),PlayerValues!E:E,0)),"N/A")</f>
        <v>17057</v>
      </c>
      <c r="B2935" s="4" t="s">
        <v>708</v>
      </c>
      <c r="C2935" s="4" t="s">
        <v>278</v>
      </c>
      <c r="D2935" s="94">
        <v>1006.0</v>
      </c>
    </row>
    <row r="2936">
      <c r="A2936" s="40">
        <f t="array" ref="A2936">IFNA(index(PlayerValues!A:A,match(IFNA(vlookup(B2936,'Special Names'!A:B,2,FALSE),B2936),PlayerValues!E:E,0)),"N/A")</f>
        <v>16648</v>
      </c>
      <c r="B2936" s="4" t="s">
        <v>748</v>
      </c>
      <c r="C2936" s="4" t="s">
        <v>298</v>
      </c>
      <c r="D2936" s="94">
        <v>1365.0</v>
      </c>
    </row>
    <row r="2937">
      <c r="A2937" s="40">
        <f t="array" ref="A2937">IFNA(index(PlayerValues!A:A,match(IFNA(vlookup(B2937,'Special Names'!A:B,2,FALSE),B2937),PlayerValues!E:E,0)),"N/A")</f>
        <v>16957</v>
      </c>
      <c r="B2937" s="4" t="s">
        <v>806</v>
      </c>
      <c r="C2937" s="4" t="s">
        <v>278</v>
      </c>
      <c r="D2937" s="94">
        <v>992.0</v>
      </c>
    </row>
    <row r="2938">
      <c r="A2938" s="40">
        <f t="array" ref="A2938">IFNA(index(PlayerValues!A:A,match(IFNA(vlookup(B2938,'Special Names'!A:B,2,FALSE),B2938),PlayerValues!E:E,0)),"N/A")</f>
        <v>17467</v>
      </c>
      <c r="B2938" s="4" t="s">
        <v>575</v>
      </c>
      <c r="C2938" s="4" t="s">
        <v>283</v>
      </c>
      <c r="D2938" s="94">
        <v>992.0</v>
      </c>
    </row>
    <row r="2939">
      <c r="A2939" s="40">
        <f t="array" ref="A2939">IFNA(index(PlayerValues!A:A,match(IFNA(vlookup(B2939,'Special Names'!A:B,2,FALSE),B2939),PlayerValues!E:E,0)),"N/A")</f>
        <v>16168</v>
      </c>
      <c r="B2939" s="4" t="s">
        <v>738</v>
      </c>
      <c r="C2939" s="4" t="s">
        <v>278</v>
      </c>
      <c r="D2939" s="94">
        <v>988.0</v>
      </c>
    </row>
    <row r="2940">
      <c r="A2940" s="40">
        <f t="array" ref="A2940">IFNA(index(PlayerValues!A:A,match(IFNA(vlookup(B2940,'Special Names'!A:B,2,FALSE),B2940),PlayerValues!E:E,0)),"N/A")</f>
        <v>9064</v>
      </c>
      <c r="B2940" s="4" t="s">
        <v>761</v>
      </c>
      <c r="C2940" s="4" t="s">
        <v>283</v>
      </c>
      <c r="D2940" s="94">
        <v>984.0</v>
      </c>
    </row>
    <row r="2941">
      <c r="A2941" s="40">
        <f t="array" ref="A2941">IFNA(index(PlayerValues!A:A,match(IFNA(vlookup(B2941,'Special Names'!A:B,2,FALSE),B2941),PlayerValues!E:E,0)),"N/A")</f>
        <v>14067</v>
      </c>
      <c r="B2941" s="4" t="s">
        <v>735</v>
      </c>
      <c r="C2941" s="4" t="s">
        <v>283</v>
      </c>
      <c r="D2941" s="94">
        <v>983.0</v>
      </c>
    </row>
    <row r="2942">
      <c r="A2942" s="40">
        <f t="array" ref="A2942">IFNA(index(PlayerValues!A:A,match(IFNA(vlookup(B2942,'Special Names'!A:B,2,FALSE),B2942),PlayerValues!E:E,0)),"N/A")</f>
        <v>15330</v>
      </c>
      <c r="B2942" s="4" t="s">
        <v>749</v>
      </c>
      <c r="C2942" s="4" t="s">
        <v>298</v>
      </c>
      <c r="D2942" s="94">
        <v>1341.0</v>
      </c>
    </row>
    <row r="2943">
      <c r="A2943" s="40">
        <f t="array" ref="A2943">IFNA(index(PlayerValues!A:A,match(IFNA(vlookup(B2943,'Special Names'!A:B,2,FALSE),B2943),PlayerValues!E:E,0)),"N/A")</f>
        <v>16858</v>
      </c>
      <c r="B2943" s="4" t="s">
        <v>754</v>
      </c>
      <c r="C2943" s="4" t="s">
        <v>287</v>
      </c>
      <c r="D2943" s="94">
        <v>973.0</v>
      </c>
    </row>
    <row r="2944">
      <c r="A2944" s="40">
        <f t="array" ref="A2944">IFNA(index(PlayerValues!A:A,match(IFNA(vlookup(B2944,'Special Names'!A:B,2,FALSE),B2944),PlayerValues!E:E,0)),"N/A")</f>
        <v>13143</v>
      </c>
      <c r="B2944" s="4" t="s">
        <v>786</v>
      </c>
      <c r="C2944" s="4" t="s">
        <v>278</v>
      </c>
      <c r="D2944" s="94">
        <v>968.0</v>
      </c>
    </row>
    <row r="2945">
      <c r="A2945" s="40">
        <f t="array" ref="A2945">IFNA(index(PlayerValues!A:A,match(IFNA(vlookup(B2945,'Special Names'!A:B,2,FALSE),B2945),PlayerValues!E:E,0)),"N/A")</f>
        <v>14057</v>
      </c>
      <c r="B2945" s="4" t="s">
        <v>765</v>
      </c>
      <c r="C2945" s="4" t="s">
        <v>283</v>
      </c>
      <c r="D2945" s="94">
        <v>954.0</v>
      </c>
    </row>
    <row r="2946">
      <c r="A2946" s="40">
        <f t="array" ref="A2946">IFNA(index(PlayerValues!A:A,match(IFNA(vlookup(B2946,'Special Names'!A:B,2,FALSE),B2946),PlayerValues!E:E,0)),"N/A")</f>
        <v>16773</v>
      </c>
      <c r="B2946" s="4" t="s">
        <v>783</v>
      </c>
      <c r="C2946" s="4" t="s">
        <v>278</v>
      </c>
      <c r="D2946" s="94">
        <v>954.0</v>
      </c>
    </row>
    <row r="2947">
      <c r="A2947" s="40">
        <f t="array" ref="A2947">IFNA(index(PlayerValues!A:A,match(IFNA(vlookup(B2947,'Special Names'!A:B,2,FALSE),B2947),PlayerValues!E:E,0)),"N/A")</f>
        <v>16624</v>
      </c>
      <c r="B2947" s="4" t="s">
        <v>796</v>
      </c>
      <c r="C2947" s="4" t="s">
        <v>287</v>
      </c>
      <c r="D2947" s="94">
        <v>950.0</v>
      </c>
    </row>
    <row r="2948">
      <c r="A2948" s="40">
        <f t="array" ref="A2948">IFNA(index(PlayerValues!A:A,match(IFNA(vlookup(B2948,'Special Names'!A:B,2,FALSE),B2948),PlayerValues!E:E,0)),"N/A")</f>
        <v>16205</v>
      </c>
      <c r="B2948" s="4" t="s">
        <v>742</v>
      </c>
      <c r="C2948" s="4" t="s">
        <v>287</v>
      </c>
      <c r="D2948" s="94">
        <v>942.0</v>
      </c>
    </row>
    <row r="2949">
      <c r="A2949" s="40">
        <f t="array" ref="A2949">IFNA(index(PlayerValues!A:A,match(IFNA(vlookup(B2949,'Special Names'!A:B,2,FALSE),B2949),PlayerValues!E:E,0)),"N/A")</f>
        <v>13595</v>
      </c>
      <c r="B2949" s="4" t="s">
        <v>818</v>
      </c>
      <c r="C2949" s="4" t="s">
        <v>283</v>
      </c>
      <c r="D2949" s="94">
        <v>938.0</v>
      </c>
    </row>
    <row r="2950">
      <c r="A2950" s="40">
        <f t="array" ref="A2950">IFNA(index(PlayerValues!A:A,match(IFNA(vlookup(B2950,'Special Names'!A:B,2,FALSE),B2950),PlayerValues!E:E,0)),"N/A")</f>
        <v>15766</v>
      </c>
      <c r="B2950" s="4" t="s">
        <v>759</v>
      </c>
      <c r="C2950" s="4" t="s">
        <v>287</v>
      </c>
      <c r="D2950" s="94">
        <v>938.0</v>
      </c>
    </row>
    <row r="2951">
      <c r="A2951" s="40">
        <f t="array" ref="A2951">IFNA(index(PlayerValues!A:A,match(IFNA(vlookup(B2951,'Special Names'!A:B,2,FALSE),B2951),PlayerValues!E:E,0)),"N/A")</f>
        <v>13156</v>
      </c>
      <c r="B2951" s="4" t="s">
        <v>835</v>
      </c>
      <c r="C2951" s="4" t="s">
        <v>287</v>
      </c>
      <c r="D2951" s="94">
        <v>933.0</v>
      </c>
    </row>
    <row r="2952">
      <c r="A2952" s="40">
        <f t="array" ref="A2952">IFNA(index(PlayerValues!A:A,match(IFNA(vlookup(B2952,'Special Names'!A:B,2,FALSE),B2952),PlayerValues!E:E,0)),"N/A")</f>
        <v>15109</v>
      </c>
      <c r="B2952" s="4" t="s">
        <v>728</v>
      </c>
      <c r="C2952" s="4" t="s">
        <v>287</v>
      </c>
      <c r="D2952" s="94">
        <v>933.0</v>
      </c>
    </row>
    <row r="2953">
      <c r="A2953" s="40">
        <f t="array" ref="A2953">IFNA(index(PlayerValues!A:A,match(IFNA(vlookup(B2953,'Special Names'!A:B,2,FALSE),B2953),PlayerValues!E:E,0)),"N/A")</f>
        <v>13133</v>
      </c>
      <c r="B2953" s="4" t="s">
        <v>764</v>
      </c>
      <c r="C2953" s="4" t="s">
        <v>278</v>
      </c>
      <c r="D2953" s="94">
        <v>932.0</v>
      </c>
    </row>
    <row r="2954">
      <c r="A2954" s="40">
        <f t="array" ref="A2954">IFNA(index(PlayerValues!A:A,match(IFNA(vlookup(B2954,'Special Names'!A:B,2,FALSE),B2954),PlayerValues!E:E,0)),"N/A")</f>
        <v>16176</v>
      </c>
      <c r="B2954" s="4" t="s">
        <v>812</v>
      </c>
      <c r="C2954" s="4" t="s">
        <v>278</v>
      </c>
      <c r="D2954" s="94">
        <v>919.0</v>
      </c>
    </row>
    <row r="2955">
      <c r="A2955" s="40">
        <f t="array" ref="A2955">IFNA(index(PlayerValues!A:A,match(IFNA(vlookup(B2955,'Special Names'!A:B,2,FALSE),B2955),PlayerValues!E:E,0)),"N/A")</f>
        <v>11247</v>
      </c>
      <c r="B2955" s="4" t="s">
        <v>816</v>
      </c>
      <c r="C2955" s="4" t="s">
        <v>298</v>
      </c>
      <c r="D2955" s="94">
        <v>1286.0</v>
      </c>
    </row>
    <row r="2956">
      <c r="A2956" s="40">
        <f t="array" ref="A2956">IFNA(index(PlayerValues!A:A,match(IFNA(vlookup(B2956,'Special Names'!A:B,2,FALSE),B2956),PlayerValues!E:E,0)),"N/A")</f>
        <v>14852</v>
      </c>
      <c r="B2956" s="4" t="s">
        <v>837</v>
      </c>
      <c r="C2956" s="4" t="s">
        <v>278</v>
      </c>
      <c r="D2956" s="94">
        <v>915.0</v>
      </c>
    </row>
    <row r="2957">
      <c r="A2957" s="40">
        <f t="array" ref="A2957">IFNA(index(PlayerValues!A:A,match(IFNA(vlookup(B2957,'Special Names'!A:B,2,FALSE),B2957),PlayerValues!E:E,0)),"N/A")</f>
        <v>14079</v>
      </c>
      <c r="B2957" s="4" t="s">
        <v>830</v>
      </c>
      <c r="C2957" s="4" t="s">
        <v>278</v>
      </c>
      <c r="D2957" s="94">
        <v>913.0</v>
      </c>
    </row>
    <row r="2958">
      <c r="A2958" s="40">
        <f t="array" ref="A2958">IFNA(index(PlayerValues!A:A,match(IFNA(vlookup(B2958,'Special Names'!A:B,2,FALSE),B2958),PlayerValues!E:E,0)),"N/A")</f>
        <v>16608</v>
      </c>
      <c r="B2958" s="4" t="s">
        <v>629</v>
      </c>
      <c r="C2958" s="4" t="s">
        <v>278</v>
      </c>
      <c r="D2958" s="94">
        <v>912.0</v>
      </c>
    </row>
    <row r="2959">
      <c r="A2959" s="40">
        <f t="array" ref="A2959">IFNA(index(PlayerValues!A:A,match(IFNA(vlookup(B2959,'Special Names'!A:B,2,FALSE),B2959),PlayerValues!E:E,0)),"N/A")</f>
        <v>13763</v>
      </c>
      <c r="B2959" s="4" t="s">
        <v>831</v>
      </c>
      <c r="C2959" s="4" t="s">
        <v>298</v>
      </c>
      <c r="D2959" s="94">
        <v>1282.0</v>
      </c>
    </row>
    <row r="2960">
      <c r="A2960" s="40">
        <f t="array" ref="A2960">IFNA(index(PlayerValues!A:A,match(IFNA(vlookup(B2960,'Special Names'!A:B,2,FALSE),B2960),PlayerValues!E:E,0)),"N/A")</f>
        <v>15283</v>
      </c>
      <c r="B2960" s="4" t="s">
        <v>844</v>
      </c>
      <c r="C2960" s="4" t="s">
        <v>287</v>
      </c>
      <c r="D2960" s="94">
        <v>911.0</v>
      </c>
    </row>
    <row r="2961">
      <c r="A2961" s="40">
        <f t="array" ref="A2961">IFNA(index(PlayerValues!A:A,match(IFNA(vlookup(B2961,'Special Names'!A:B,2,FALSE),B2961),PlayerValues!E:E,0)),"N/A")</f>
        <v>17337</v>
      </c>
      <c r="B2961" s="4" t="s">
        <v>793</v>
      </c>
      <c r="C2961" s="4" t="s">
        <v>278</v>
      </c>
      <c r="D2961" s="94">
        <v>910.0</v>
      </c>
    </row>
    <row r="2962">
      <c r="A2962" s="40">
        <f t="array" ref="A2962">IFNA(index(PlayerValues!A:A,match(IFNA(vlookup(B2962,'Special Names'!A:B,2,FALSE),B2962),PlayerValues!E:E,0)),"N/A")</f>
        <v>14864</v>
      </c>
      <c r="B2962" s="4" t="s">
        <v>789</v>
      </c>
      <c r="C2962" s="4" t="s">
        <v>287</v>
      </c>
      <c r="D2962" s="94">
        <v>908.0</v>
      </c>
    </row>
    <row r="2963">
      <c r="A2963" s="40">
        <f t="array" ref="A2963">IFNA(index(PlayerValues!A:A,match(IFNA(vlookup(B2963,'Special Names'!A:B,2,FALSE),B2963),PlayerValues!E:E,0)),"N/A")</f>
        <v>12785</v>
      </c>
      <c r="B2963" s="4" t="s">
        <v>772</v>
      </c>
      <c r="C2963" s="4" t="s">
        <v>287</v>
      </c>
      <c r="D2963" s="94">
        <v>907.0</v>
      </c>
    </row>
    <row r="2964">
      <c r="A2964" s="40">
        <f t="array" ref="A2964">IFNA(index(PlayerValues!A:A,match(IFNA(vlookup(B2964,'Special Names'!A:B,2,FALSE),B2964),PlayerValues!E:E,0)),"N/A")</f>
        <v>15723</v>
      </c>
      <c r="B2964" s="4" t="s">
        <v>798</v>
      </c>
      <c r="C2964" s="4" t="s">
        <v>278</v>
      </c>
      <c r="D2964" s="94">
        <v>895.0</v>
      </c>
    </row>
    <row r="2965">
      <c r="A2965" s="40">
        <f t="array" ref="A2965">IFNA(index(PlayerValues!A:A,match(IFNA(vlookup(B2965,'Special Names'!A:B,2,FALSE),B2965),PlayerValues!E:E,0)),"N/A")</f>
        <v>13157</v>
      </c>
      <c r="B2965" s="4" t="s">
        <v>836</v>
      </c>
      <c r="C2965" s="4" t="s">
        <v>287</v>
      </c>
      <c r="D2965" s="94">
        <v>892.0</v>
      </c>
    </row>
    <row r="2966">
      <c r="A2966" s="40">
        <f t="array" ref="A2966">IFNA(index(PlayerValues!A:A,match(IFNA(vlookup(B2966,'Special Names'!A:B,2,FALSE),B2966),PlayerValues!E:E,0)),"N/A")</f>
        <v>16599</v>
      </c>
      <c r="B2966" s="4" t="s">
        <v>737</v>
      </c>
      <c r="C2966" s="4" t="s">
        <v>278</v>
      </c>
      <c r="D2966" s="94">
        <v>888.0</v>
      </c>
    </row>
    <row r="2967">
      <c r="A2967" s="40">
        <f t="array" ref="A2967">IFNA(index(PlayerValues!A:A,match(IFNA(vlookup(B2967,'Special Names'!A:B,2,FALSE),B2967),PlayerValues!E:E,0)),"N/A")</f>
        <v>11232</v>
      </c>
      <c r="B2967" s="4" t="s">
        <v>826</v>
      </c>
      <c r="C2967" s="4" t="s">
        <v>287</v>
      </c>
      <c r="D2967" s="94">
        <v>884.0</v>
      </c>
    </row>
    <row r="2968">
      <c r="A2968" s="40">
        <f t="array" ref="A2968">IFNA(index(PlayerValues!A:A,match(IFNA(vlookup(B2968,'Special Names'!A:B,2,FALSE),B2968),PlayerValues!E:E,0)),"N/A")</f>
        <v>15796</v>
      </c>
      <c r="B2968" s="4" t="s">
        <v>794</v>
      </c>
      <c r="C2968" s="4" t="s">
        <v>298</v>
      </c>
      <c r="D2968" s="94">
        <v>1251.0</v>
      </c>
    </row>
    <row r="2969">
      <c r="A2969" s="40">
        <f t="array" ref="A2969">IFNA(index(PlayerValues!A:A,match(IFNA(vlookup(B2969,'Special Names'!A:B,2,FALSE),B2969),PlayerValues!E:E,0)),"N/A")</f>
        <v>15263</v>
      </c>
      <c r="B2969" s="4" t="s">
        <v>804</v>
      </c>
      <c r="C2969" s="4" t="s">
        <v>278</v>
      </c>
      <c r="D2969" s="94">
        <v>872.0</v>
      </c>
    </row>
    <row r="2970">
      <c r="A2970" s="40">
        <f t="array" ref="A2970">IFNA(index(PlayerValues!A:A,match(IFNA(vlookup(B2970,'Special Names'!A:B,2,FALSE),B2970),PlayerValues!E:E,0)),"N/A")</f>
        <v>16416</v>
      </c>
      <c r="B2970" s="4" t="s">
        <v>752</v>
      </c>
      <c r="C2970" s="4" t="s">
        <v>287</v>
      </c>
      <c r="D2970" s="94">
        <v>864.0</v>
      </c>
    </row>
    <row r="2971">
      <c r="A2971" s="40">
        <f t="array" ref="A2971">IFNA(index(PlayerValues!A:A,match(IFNA(vlookup(B2971,'Special Names'!A:B,2,FALSE),B2971),PlayerValues!E:E,0)),"N/A")</f>
        <v>14799</v>
      </c>
      <c r="B2971" s="4" t="s">
        <v>829</v>
      </c>
      <c r="C2971" s="4" t="s">
        <v>278</v>
      </c>
      <c r="D2971" s="94">
        <v>861.0</v>
      </c>
    </row>
    <row r="2972">
      <c r="A2972" s="40">
        <f t="array" ref="A2972">IFNA(index(PlayerValues!A:A,match(IFNA(vlookup(B2972,'Special Names'!A:B,2,FALSE),B2972),PlayerValues!E:E,0)),"N/A")</f>
        <v>16686</v>
      </c>
      <c r="B2972" s="4" t="s">
        <v>805</v>
      </c>
      <c r="C2972" s="4" t="s">
        <v>287</v>
      </c>
      <c r="D2972" s="94">
        <v>859.0</v>
      </c>
    </row>
    <row r="2973">
      <c r="A2973" s="40">
        <f t="array" ref="A2973">IFNA(index(PlayerValues!A:A,match(IFNA(vlookup(B2973,'Special Names'!A:B,2,FALSE),B2973),PlayerValues!E:E,0)),"N/A")</f>
        <v>16625</v>
      </c>
      <c r="B2973" s="4" t="s">
        <v>778</v>
      </c>
      <c r="C2973" s="4" t="s">
        <v>287</v>
      </c>
      <c r="D2973" s="94">
        <v>857.0</v>
      </c>
    </row>
    <row r="2974">
      <c r="A2974" s="40">
        <f t="array" ref="A2974">IFNA(index(PlayerValues!A:A,match(IFNA(vlookup(B2974,'Special Names'!A:B,2,FALSE),B2974),PlayerValues!E:E,0)),"N/A")</f>
        <v>13172</v>
      </c>
      <c r="B2974" s="4" t="s">
        <v>840</v>
      </c>
      <c r="C2974" s="4" t="s">
        <v>287</v>
      </c>
      <c r="D2974" s="94">
        <v>854.0</v>
      </c>
    </row>
    <row r="2975">
      <c r="A2975" s="40">
        <f t="array" ref="A2975">IFNA(index(PlayerValues!A:A,match(IFNA(vlookup(B2975,'Special Names'!A:B,2,FALSE),B2975),PlayerValues!E:E,0)),"N/A")</f>
        <v>15795</v>
      </c>
      <c r="B2975" s="4" t="s">
        <v>669</v>
      </c>
      <c r="C2975" s="4" t="s">
        <v>298</v>
      </c>
      <c r="D2975" s="94">
        <v>1225.0</v>
      </c>
    </row>
    <row r="2976">
      <c r="A2976" s="40">
        <f t="array" ref="A2976">IFNA(index(PlayerValues!A:A,match(IFNA(vlookup(B2976,'Special Names'!A:B,2,FALSE),B2976),PlayerValues!E:E,0)),"N/A")</f>
        <v>15714</v>
      </c>
      <c r="B2976" s="4" t="s">
        <v>775</v>
      </c>
      <c r="C2976" s="4" t="s">
        <v>278</v>
      </c>
      <c r="D2976" s="94">
        <v>850.0</v>
      </c>
    </row>
    <row r="2977">
      <c r="A2977" s="40">
        <f t="array" ref="A2977">IFNA(index(PlayerValues!A:A,match(IFNA(vlookup(B2977,'Special Names'!A:B,2,FALSE),B2977),PlayerValues!E:E,0)),"N/A")</f>
        <v>16751</v>
      </c>
      <c r="B2977" s="4" t="s">
        <v>762</v>
      </c>
      <c r="C2977" s="4" t="s">
        <v>287</v>
      </c>
      <c r="D2977" s="94">
        <v>850.0</v>
      </c>
    </row>
    <row r="2978">
      <c r="A2978" s="40">
        <f t="array" ref="A2978">IFNA(index(PlayerValues!A:A,match(IFNA(vlookup(B2978,'Special Names'!A:B,2,FALSE),B2978),PlayerValues!E:E,0)),"N/A")</f>
        <v>15271</v>
      </c>
      <c r="B2978" s="4" t="s">
        <v>741</v>
      </c>
      <c r="C2978" s="4" t="s">
        <v>278</v>
      </c>
      <c r="D2978" s="94">
        <v>843.0</v>
      </c>
    </row>
    <row r="2979">
      <c r="A2979" s="40">
        <f t="array" ref="A2979">IFNA(index(PlayerValues!A:A,match(IFNA(vlookup(B2979,'Special Names'!A:B,2,FALSE),B2979),PlayerValues!E:E,0)),"N/A")</f>
        <v>17488</v>
      </c>
      <c r="B2979" s="4" t="s">
        <v>845</v>
      </c>
      <c r="C2979" s="4" t="s">
        <v>278</v>
      </c>
      <c r="D2979" s="94">
        <v>838.0</v>
      </c>
    </row>
    <row r="2980">
      <c r="A2980" s="40">
        <f t="array" ref="A2980">IFNA(index(PlayerValues!A:A,match(IFNA(vlookup(B2980,'Special Names'!A:B,2,FALSE),B2980),PlayerValues!E:E,0)),"N/A")</f>
        <v>16623</v>
      </c>
      <c r="B2980" s="4" t="s">
        <v>803</v>
      </c>
      <c r="C2980" s="4" t="s">
        <v>287</v>
      </c>
      <c r="D2980" s="94">
        <v>835.0</v>
      </c>
    </row>
    <row r="2981">
      <c r="A2981" s="40">
        <f t="array" ref="A2981">IFNA(index(PlayerValues!A:A,match(IFNA(vlookup(B2981,'Special Names'!A:B,2,FALSE),B2981),PlayerValues!E:E,0)),"N/A")</f>
        <v>15804</v>
      </c>
      <c r="B2981" s="4" t="s">
        <v>821</v>
      </c>
      <c r="C2981" s="4" t="s">
        <v>298</v>
      </c>
      <c r="D2981" s="94">
        <v>1206.0</v>
      </c>
    </row>
    <row r="2982">
      <c r="A2982" s="40">
        <f t="array" ref="A2982">IFNA(index(PlayerValues!A:A,match(IFNA(vlookup(B2982,'Special Names'!A:B,2,FALSE),B2982),PlayerValues!E:E,0)),"N/A")</f>
        <v>10413</v>
      </c>
      <c r="B2982" s="4" t="s">
        <v>811</v>
      </c>
      <c r="C2982" s="4" t="s">
        <v>283</v>
      </c>
      <c r="D2982" s="94">
        <v>823.0</v>
      </c>
    </row>
    <row r="2983">
      <c r="A2983" s="40">
        <f t="array" ref="A2983">IFNA(index(PlayerValues!A:A,match(IFNA(vlookup(B2983,'Special Names'!A:B,2,FALSE),B2983),PlayerValues!E:E,0)),"N/A")</f>
        <v>14358</v>
      </c>
      <c r="B2983" s="4" t="s">
        <v>813</v>
      </c>
      <c r="C2983" s="4" t="s">
        <v>283</v>
      </c>
      <c r="D2983" s="94">
        <v>821.0</v>
      </c>
    </row>
    <row r="2984">
      <c r="A2984" s="40">
        <f t="array" ref="A2984">IFNA(index(PlayerValues!A:A,match(IFNA(vlookup(B2984,'Special Names'!A:B,2,FALSE),B2984),PlayerValues!E:E,0)),"N/A")</f>
        <v>14805</v>
      </c>
      <c r="B2984" s="4" t="s">
        <v>770</v>
      </c>
      <c r="C2984" s="4" t="s">
        <v>278</v>
      </c>
      <c r="D2984" s="94">
        <v>807.0</v>
      </c>
    </row>
    <row r="2985">
      <c r="A2985" s="40">
        <f t="array" ref="A2985">IFNA(index(PlayerValues!A:A,match(IFNA(vlookup(B2985,'Special Names'!A:B,2,FALSE),B2985),PlayerValues!E:E,0)),"N/A")</f>
        <v>14209</v>
      </c>
      <c r="B2985" s="4" t="s">
        <v>809</v>
      </c>
      <c r="C2985" s="4" t="s">
        <v>298</v>
      </c>
      <c r="D2985" s="94">
        <v>1177.0</v>
      </c>
    </row>
    <row r="2986">
      <c r="A2986" s="40">
        <f t="array" ref="A2986">IFNA(index(PlayerValues!A:A,match(IFNA(vlookup(B2986,'Special Names'!A:B,2,FALSE),B2986),PlayerValues!E:E,0)),"N/A")</f>
        <v>16606</v>
      </c>
      <c r="B2986" s="4" t="s">
        <v>743</v>
      </c>
      <c r="C2986" s="4" t="s">
        <v>278</v>
      </c>
      <c r="D2986" s="94">
        <v>795.0</v>
      </c>
    </row>
    <row r="2987">
      <c r="A2987" s="40">
        <f t="array" ref="A2987">IFNA(index(PlayerValues!A:A,match(IFNA(vlookup(B2987,'Special Names'!A:B,2,FALSE),B2987),PlayerValues!E:E,0)),"N/A")</f>
        <v>15285</v>
      </c>
      <c r="B2987" s="4" t="s">
        <v>792</v>
      </c>
      <c r="C2987" s="4" t="s">
        <v>287</v>
      </c>
      <c r="D2987" s="94">
        <v>794.0</v>
      </c>
    </row>
    <row r="2988">
      <c r="A2988" s="40">
        <f t="array" ref="A2988">IFNA(index(PlayerValues!A:A,match(IFNA(vlookup(B2988,'Special Names'!A:B,2,FALSE),B2988),PlayerValues!E:E,0)),"N/A")</f>
        <v>17282</v>
      </c>
      <c r="B2988" s="4" t="s">
        <v>833</v>
      </c>
      <c r="C2988" s="4" t="s">
        <v>283</v>
      </c>
      <c r="D2988" s="94">
        <v>781.0</v>
      </c>
    </row>
    <row r="2989">
      <c r="A2989" s="40">
        <f t="array" ref="A2989">IFNA(index(PlayerValues!A:A,match(IFNA(vlookup(B2989,'Special Names'!A:B,2,FALSE),B2989),PlayerValues!E:E,0)),"N/A")</f>
        <v>15965</v>
      </c>
      <c r="B2989" s="4" t="s">
        <v>791</v>
      </c>
      <c r="C2989" s="4" t="s">
        <v>278</v>
      </c>
      <c r="D2989" s="94">
        <v>780.0</v>
      </c>
    </row>
    <row r="2990">
      <c r="A2990" s="40">
        <f t="array" ref="A2990">IFNA(index(PlayerValues!A:A,match(IFNA(vlookup(B2990,'Special Names'!A:B,2,FALSE),B2990),PlayerValues!E:E,0)),"N/A")</f>
        <v>16413</v>
      </c>
      <c r="B2990" s="4" t="s">
        <v>781</v>
      </c>
      <c r="C2990" s="4" t="s">
        <v>287</v>
      </c>
      <c r="D2990" s="94">
        <v>778.0</v>
      </c>
    </row>
    <row r="2991">
      <c r="A2991" s="40">
        <f t="array" ref="A2991">IFNA(index(PlayerValues!A:A,match(IFNA(vlookup(B2991,'Special Names'!A:B,2,FALSE),B2991),PlayerValues!E:E,0)),"N/A")</f>
        <v>12658</v>
      </c>
      <c r="B2991" s="4" t="s">
        <v>823</v>
      </c>
      <c r="C2991" s="4" t="s">
        <v>287</v>
      </c>
      <c r="D2991" s="94">
        <v>773.0</v>
      </c>
    </row>
    <row r="2992">
      <c r="A2992" s="40">
        <f t="array" ref="A2992">IFNA(index(PlayerValues!A:A,match(IFNA(vlookup(B2992,'Special Names'!A:B,2,FALSE),B2992),PlayerValues!E:E,0)),"N/A")</f>
        <v>16678</v>
      </c>
      <c r="B2992" s="4" t="s">
        <v>758</v>
      </c>
      <c r="C2992" s="4" t="s">
        <v>278</v>
      </c>
      <c r="D2992" s="94">
        <v>769.0</v>
      </c>
    </row>
    <row r="2993">
      <c r="A2993" s="40">
        <f t="array" ref="A2993">IFNA(index(PlayerValues!A:A,match(IFNA(vlookup(B2993,'Special Names'!A:B,2,FALSE),B2993),PlayerValues!E:E,0)),"N/A")</f>
        <v>16632</v>
      </c>
      <c r="B2993" s="4" t="s">
        <v>842</v>
      </c>
      <c r="C2993" s="4" t="s">
        <v>287</v>
      </c>
      <c r="D2993" s="94">
        <v>764.0</v>
      </c>
    </row>
    <row r="2994">
      <c r="A2994" s="40">
        <f t="array" ref="A2994">IFNA(index(PlayerValues!A:A,match(IFNA(vlookup(B2994,'Special Names'!A:B,2,FALSE),B2994),PlayerValues!E:E,0)),"N/A")</f>
        <v>14223</v>
      </c>
      <c r="B2994" s="4" t="s">
        <v>785</v>
      </c>
      <c r="C2994" s="4" t="s">
        <v>278</v>
      </c>
      <c r="D2994" s="94">
        <v>760.0</v>
      </c>
    </row>
    <row r="2995">
      <c r="A2995" s="40">
        <f t="array" ref="A2995">IFNA(index(PlayerValues!A:A,match(IFNA(vlookup(B2995,'Special Names'!A:B,2,FALSE),B2995),PlayerValues!E:E,0)),"N/A")</f>
        <v>13176</v>
      </c>
      <c r="B2995" s="4" t="s">
        <v>807</v>
      </c>
      <c r="C2995" s="4" t="s">
        <v>287</v>
      </c>
      <c r="D2995" s="94">
        <v>759.0</v>
      </c>
    </row>
    <row r="2996">
      <c r="A2996" s="40">
        <f t="array" ref="A2996">IFNA(index(PlayerValues!A:A,match(IFNA(vlookup(B2996,'Special Names'!A:B,2,FALSE),B2996),PlayerValues!E:E,0)),"N/A")</f>
        <v>13424</v>
      </c>
      <c r="B2996" s="4" t="s">
        <v>846</v>
      </c>
      <c r="C2996" s="4" t="s">
        <v>298</v>
      </c>
      <c r="D2996" s="94">
        <v>1106.0</v>
      </c>
    </row>
    <row r="2997">
      <c r="A2997" s="40">
        <f t="array" ref="A2997">IFNA(index(PlayerValues!A:A,match(IFNA(vlookup(B2997,'Special Names'!A:B,2,FALSE),B2997),PlayerValues!E:E,0)),"N/A")</f>
        <v>17232</v>
      </c>
      <c r="B2997" s="4" t="s">
        <v>784</v>
      </c>
      <c r="C2997" s="4" t="s">
        <v>287</v>
      </c>
      <c r="D2997" s="94">
        <v>731.0</v>
      </c>
    </row>
    <row r="2998">
      <c r="A2998" s="40">
        <f t="array" ref="A2998">IFNA(index(PlayerValues!A:A,match(IFNA(vlookup(B2998,'Special Names'!A:B,2,FALSE),B2998),PlayerValues!E:E,0)),"N/A")</f>
        <v>14858</v>
      </c>
      <c r="B2998" s="4" t="s">
        <v>799</v>
      </c>
      <c r="C2998" s="4" t="s">
        <v>287</v>
      </c>
      <c r="D2998" s="94">
        <v>721.0</v>
      </c>
    </row>
    <row r="2999">
      <c r="A2999" s="40">
        <f t="array" ref="A2999">IFNA(index(PlayerValues!A:A,match(IFNA(vlookup(B2999,'Special Names'!A:B,2,FALSE),B2999),PlayerValues!E:E,0)),"N/A")</f>
        <v>13377</v>
      </c>
      <c r="B2999" s="4" t="s">
        <v>847</v>
      </c>
      <c r="C2999" s="4" t="s">
        <v>287</v>
      </c>
      <c r="D2999" s="94">
        <v>720.0</v>
      </c>
    </row>
    <row r="3000">
      <c r="A3000" s="40">
        <f t="array" ref="A3000">IFNA(index(PlayerValues!A:A,match(IFNA(vlookup(B3000,'Special Names'!A:B,2,FALSE),B3000),PlayerValues!E:E,0)),"N/A")</f>
        <v>16170</v>
      </c>
      <c r="B3000" s="4" t="s">
        <v>801</v>
      </c>
      <c r="C3000" s="4" t="s">
        <v>278</v>
      </c>
      <c r="D3000" s="94">
        <v>719.0</v>
      </c>
    </row>
    <row r="3001">
      <c r="A3001" s="40">
        <f t="array" ref="A3001">IFNA(index(PlayerValues!A:A,match(IFNA(vlookup(B3001,'Special Names'!A:B,2,FALSE),B3001),PlayerValues!E:E,0)),"N/A")</f>
        <v>13589</v>
      </c>
      <c r="B3001" s="4" t="s">
        <v>282</v>
      </c>
      <c r="C3001" s="4" t="s">
        <v>283</v>
      </c>
      <c r="D3001" s="94">
        <v>9999.0</v>
      </c>
    </row>
    <row r="3002">
      <c r="A3002" s="40">
        <f t="array" ref="A3002">IFNA(index(PlayerValues!A:A,match(IFNA(vlookup(B3002,'Special Names'!A:B,2,FALSE),B3002),PlayerValues!E:E,0)),"N/A")</f>
        <v>16161</v>
      </c>
      <c r="B3002" s="4" t="s">
        <v>277</v>
      </c>
      <c r="C3002" s="4" t="s">
        <v>278</v>
      </c>
      <c r="D3002" s="94">
        <v>9994.0</v>
      </c>
    </row>
    <row r="3003">
      <c r="A3003" s="40">
        <f t="array" ref="A3003">IFNA(index(PlayerValues!A:A,match(IFNA(vlookup(B3003,'Special Names'!A:B,2,FALSE),B3003),PlayerValues!E:E,0)),"N/A")</f>
        <v>15281</v>
      </c>
      <c r="B3003" s="4" t="s">
        <v>286</v>
      </c>
      <c r="C3003" s="4" t="s">
        <v>287</v>
      </c>
      <c r="D3003" s="94">
        <v>9953.0</v>
      </c>
    </row>
    <row r="3004">
      <c r="A3004" s="40">
        <f t="array" ref="A3004">IFNA(index(PlayerValues!A:A,match(IFNA(vlookup(B3004,'Special Names'!A:B,2,FALSE),B3004),PlayerValues!E:E,0)),"N/A")</f>
        <v>16185</v>
      </c>
      <c r="B3004" s="4" t="s">
        <v>290</v>
      </c>
      <c r="C3004" s="4" t="s">
        <v>287</v>
      </c>
      <c r="D3004" s="94">
        <v>9888.0</v>
      </c>
    </row>
    <row r="3005">
      <c r="A3005" s="40">
        <f t="array" ref="A3005">IFNA(index(PlayerValues!A:A,match(IFNA(vlookup(B3005,'Special Names'!A:B,2,FALSE),B3005),PlayerValues!E:E,0)),"N/A")</f>
        <v>16580</v>
      </c>
      <c r="B3005" s="4" t="s">
        <v>291</v>
      </c>
      <c r="C3005" s="4" t="s">
        <v>283</v>
      </c>
      <c r="D3005" s="94">
        <v>9607.0</v>
      </c>
    </row>
    <row r="3006">
      <c r="A3006" s="40">
        <f t="array" ref="A3006">IFNA(index(PlayerValues!A:A,match(IFNA(vlookup(B3006,'Special Names'!A:B,2,FALSE),B3006),PlayerValues!E:E,0)),"N/A")</f>
        <v>16211</v>
      </c>
      <c r="B3006" s="4" t="s">
        <v>294</v>
      </c>
      <c r="C3006" s="4" t="s">
        <v>287</v>
      </c>
      <c r="D3006" s="94">
        <v>9507.0</v>
      </c>
    </row>
    <row r="3007">
      <c r="A3007" s="40">
        <f t="array" ref="A3007">IFNA(index(PlayerValues!A:A,match(IFNA(vlookup(B3007,'Special Names'!A:B,2,FALSE),B3007),PlayerValues!E:E,0)),"N/A")</f>
        <v>16162</v>
      </c>
      <c r="B3007" s="4" t="s">
        <v>281</v>
      </c>
      <c r="C3007" s="4" t="s">
        <v>278</v>
      </c>
      <c r="D3007" s="94">
        <v>9414.0</v>
      </c>
    </row>
    <row r="3008">
      <c r="A3008" s="40">
        <f t="array" ref="A3008">IFNA(index(PlayerValues!A:A,match(IFNA(vlookup(B3008,'Special Names'!A:B,2,FALSE),B3008),PlayerValues!E:E,0)),"N/A")</f>
        <v>16615</v>
      </c>
      <c r="B3008" s="4" t="s">
        <v>309</v>
      </c>
      <c r="C3008" s="4" t="s">
        <v>287</v>
      </c>
      <c r="D3008" s="94">
        <v>7733.0</v>
      </c>
    </row>
    <row r="3009">
      <c r="A3009" s="40">
        <f t="array" ref="A3009">IFNA(index(PlayerValues!A:A,match(IFNA(vlookup(B3009,'Special Names'!A:B,2,FALSE),B3009),PlayerValues!E:E,0)),"N/A")</f>
        <v>15287</v>
      </c>
      <c r="B3009" s="4" t="s">
        <v>299</v>
      </c>
      <c r="C3009" s="4" t="s">
        <v>287</v>
      </c>
      <c r="D3009" s="94">
        <v>7681.0</v>
      </c>
    </row>
    <row r="3010">
      <c r="A3010" s="40">
        <f t="array" ref="A3010">IFNA(index(PlayerValues!A:A,match(IFNA(vlookup(B3010,'Special Names'!A:B,2,FALSE),B3010),PlayerValues!E:E,0)),"N/A")</f>
        <v>15794</v>
      </c>
      <c r="B3010" s="4" t="s">
        <v>313</v>
      </c>
      <c r="C3010" s="4" t="s">
        <v>298</v>
      </c>
      <c r="D3010" s="94">
        <v>8496.0</v>
      </c>
    </row>
    <row r="3011">
      <c r="A3011" s="40">
        <f t="array" ref="A3011">IFNA(index(PlayerValues!A:A,match(IFNA(vlookup(B3011,'Special Names'!A:B,2,FALSE),B3011),PlayerValues!E:E,0)),"N/A")</f>
        <v>16579</v>
      </c>
      <c r="B3011" s="4" t="s">
        <v>302</v>
      </c>
      <c r="C3011" s="4" t="s">
        <v>283</v>
      </c>
      <c r="D3011" s="94">
        <v>7666.0</v>
      </c>
    </row>
    <row r="3012">
      <c r="A3012" s="40">
        <f t="array" ref="A3012">IFNA(index(PlayerValues!A:A,match(IFNA(vlookup(B3012,'Special Names'!A:B,2,FALSE),B3012),PlayerValues!E:E,0)),"N/A")</f>
        <v>16641</v>
      </c>
      <c r="B3012" s="4" t="s">
        <v>297</v>
      </c>
      <c r="C3012" s="4" t="s">
        <v>298</v>
      </c>
      <c r="D3012" s="94">
        <v>8472.0</v>
      </c>
    </row>
    <row r="3013">
      <c r="A3013" s="40">
        <f t="array" ref="A3013">IFNA(index(PlayerValues!A:A,match(IFNA(vlookup(B3013,'Special Names'!A:B,2,FALSE),B3013),PlayerValues!E:E,0)),"N/A")</f>
        <v>16581</v>
      </c>
      <c r="B3013" s="4" t="s">
        <v>315</v>
      </c>
      <c r="C3013" s="4" t="s">
        <v>283</v>
      </c>
      <c r="D3013" s="94">
        <v>7612.0</v>
      </c>
    </row>
    <row r="3014">
      <c r="A3014" s="40">
        <f t="array" ref="A3014">IFNA(index(PlayerValues!A:A,match(IFNA(vlookup(B3014,'Special Names'!A:B,2,FALSE),B3014),PlayerValues!E:E,0)),"N/A")</f>
        <v>13593</v>
      </c>
      <c r="B3014" s="4" t="s">
        <v>305</v>
      </c>
      <c r="C3014" s="4" t="s">
        <v>283</v>
      </c>
      <c r="D3014" s="94">
        <v>7546.0</v>
      </c>
    </row>
    <row r="3015">
      <c r="A3015" s="40">
        <f t="array" ref="A3015">IFNA(index(PlayerValues!A:A,match(IFNA(vlookup(B3015,'Special Names'!A:B,2,FALSE),B3015),PlayerValues!E:E,0)),"N/A")</f>
        <v>14836</v>
      </c>
      <c r="B3015" s="4" t="s">
        <v>306</v>
      </c>
      <c r="C3015" s="4" t="s">
        <v>287</v>
      </c>
      <c r="D3015" s="94">
        <v>7390.0</v>
      </c>
    </row>
    <row r="3016">
      <c r="A3016" s="40">
        <f t="array" ref="A3016">IFNA(index(PlayerValues!A:A,match(IFNA(vlookup(B3016,'Special Names'!A:B,2,FALSE),B3016),PlayerValues!E:E,0)),"N/A")</f>
        <v>14832</v>
      </c>
      <c r="B3016" s="4" t="s">
        <v>319</v>
      </c>
      <c r="C3016" s="4" t="s">
        <v>287</v>
      </c>
      <c r="D3016" s="94">
        <v>7338.0</v>
      </c>
    </row>
    <row r="3017">
      <c r="A3017" s="40">
        <f t="array" ref="A3017">IFNA(index(PlayerValues!A:A,match(IFNA(vlookup(B3017,'Special Names'!A:B,2,FALSE),B3017),PlayerValues!E:E,0)),"N/A")</f>
        <v>17042</v>
      </c>
      <c r="B3017" s="4" t="s">
        <v>314</v>
      </c>
      <c r="C3017" s="4" t="s">
        <v>278</v>
      </c>
      <c r="D3017" s="94">
        <v>7224.0</v>
      </c>
    </row>
    <row r="3018">
      <c r="A3018" s="40">
        <f t="array" ref="A3018">IFNA(index(PlayerValues!A:A,match(IFNA(vlookup(B3018,'Special Names'!A:B,2,FALSE),B3018),PlayerValues!E:E,0)),"N/A")</f>
        <v>14777</v>
      </c>
      <c r="B3018" s="4" t="s">
        <v>318</v>
      </c>
      <c r="C3018" s="4" t="s">
        <v>283</v>
      </c>
      <c r="D3018" s="94">
        <v>7223.0</v>
      </c>
    </row>
    <row r="3019">
      <c r="A3019" s="40">
        <f t="array" ref="A3019">IFNA(index(PlayerValues!A:A,match(IFNA(vlookup(B3019,'Special Names'!A:B,2,FALSE),B3019),PlayerValues!E:E,0)),"N/A")</f>
        <v>16167</v>
      </c>
      <c r="B3019" s="4" t="s">
        <v>323</v>
      </c>
      <c r="C3019" s="4" t="s">
        <v>278</v>
      </c>
      <c r="D3019" s="94">
        <v>7035.0</v>
      </c>
    </row>
    <row r="3020">
      <c r="A3020" s="40">
        <f t="array" ref="A3020">IFNA(index(PlayerValues!A:A,match(IFNA(vlookup(B3020,'Special Names'!A:B,2,FALSE),B3020),PlayerValues!E:E,0)),"N/A")</f>
        <v>15751</v>
      </c>
      <c r="B3020" s="4" t="s">
        <v>328</v>
      </c>
      <c r="C3020" s="4" t="s">
        <v>287</v>
      </c>
      <c r="D3020" s="94">
        <v>7030.0</v>
      </c>
    </row>
    <row r="3021">
      <c r="A3021" s="40">
        <f t="array" ref="A3021">IFNA(index(PlayerValues!A:A,match(IFNA(vlookup(B3021,'Special Names'!A:B,2,FALSE),B3021),PlayerValues!E:E,0)),"N/A")</f>
        <v>17472</v>
      </c>
      <c r="B3021" s="4" t="s">
        <v>310</v>
      </c>
      <c r="C3021" s="4" t="s">
        <v>278</v>
      </c>
      <c r="D3021" s="94">
        <v>6935.0</v>
      </c>
    </row>
    <row r="3022">
      <c r="A3022" s="40">
        <f t="array" ref="A3022">IFNA(index(PlayerValues!A:A,match(IFNA(vlookup(B3022,'Special Names'!A:B,2,FALSE),B3022),PlayerValues!E:E,0)),"N/A")</f>
        <v>14779</v>
      </c>
      <c r="B3022" s="4" t="s">
        <v>327</v>
      </c>
      <c r="C3022" s="4" t="s">
        <v>283</v>
      </c>
      <c r="D3022" s="94">
        <v>6889.0</v>
      </c>
    </row>
    <row r="3023">
      <c r="A3023" s="40" t="str">
        <f t="array" ref="A3023">IFNA(index(PlayerValues!A:A,match(IFNA(vlookup(B3023,'Special Names'!A:B,2,FALSE),B3023),PlayerValues!E:E,0)),"N/A")</f>
        <v>N/A</v>
      </c>
      <c r="B3023" s="4" t="s">
        <v>92</v>
      </c>
      <c r="C3023" s="4" t="s">
        <v>325</v>
      </c>
      <c r="D3023" s="94">
        <v>6650.0</v>
      </c>
    </row>
    <row r="3024">
      <c r="A3024" s="40">
        <f t="array" ref="A3024">IFNA(index(PlayerValues!A:A,match(IFNA(vlookup(B3024,'Special Names'!A:B,2,FALSE),B3024),PlayerValues!E:E,0)),"N/A")</f>
        <v>17044</v>
      </c>
      <c r="B3024" s="4" t="s">
        <v>322</v>
      </c>
      <c r="C3024" s="4" t="s">
        <v>278</v>
      </c>
      <c r="D3024" s="94">
        <v>6641.0</v>
      </c>
    </row>
    <row r="3025">
      <c r="A3025" s="40">
        <f t="array" ref="A3025">IFNA(index(PlayerValues!A:A,match(IFNA(vlookup(B3025,'Special Names'!A:B,2,FALSE),B3025),PlayerValues!E:E,0)),"N/A")</f>
        <v>17032</v>
      </c>
      <c r="B3025" s="4" t="s">
        <v>348</v>
      </c>
      <c r="C3025" s="4" t="s">
        <v>283</v>
      </c>
      <c r="D3025" s="94">
        <v>6630.0</v>
      </c>
    </row>
    <row r="3026">
      <c r="A3026" s="40">
        <f t="array" ref="A3026">IFNA(index(PlayerValues!A:A,match(IFNA(vlookup(B3026,'Special Names'!A:B,2,FALSE),B3026),PlayerValues!E:E,0)),"N/A")</f>
        <v>17071</v>
      </c>
      <c r="B3026" s="4" t="s">
        <v>341</v>
      </c>
      <c r="C3026" s="4" t="s">
        <v>287</v>
      </c>
      <c r="D3026" s="94">
        <v>6609.0</v>
      </c>
    </row>
    <row r="3027">
      <c r="A3027" s="40">
        <f t="array" ref="A3027">IFNA(index(PlayerValues!A:A,match(IFNA(vlookup(B3027,'Special Names'!A:B,2,FALSE),B3027),PlayerValues!E:E,0)),"N/A")</f>
        <v>13116</v>
      </c>
      <c r="B3027" s="4" t="s">
        <v>345</v>
      </c>
      <c r="C3027" s="4" t="s">
        <v>283</v>
      </c>
      <c r="D3027" s="94">
        <v>6579.0</v>
      </c>
    </row>
    <row r="3028">
      <c r="A3028" s="40">
        <f t="array" ref="A3028">IFNA(index(PlayerValues!A:A,match(IFNA(vlookup(B3028,'Special Names'!A:B,2,FALSE),B3028),PlayerValues!E:E,0)),"N/A")</f>
        <v>14783</v>
      </c>
      <c r="B3028" s="4" t="s">
        <v>342</v>
      </c>
      <c r="C3028" s="4" t="s">
        <v>283</v>
      </c>
      <c r="D3028" s="94">
        <v>6348.0</v>
      </c>
    </row>
    <row r="3029">
      <c r="A3029" s="40">
        <f t="array" ref="A3029">IFNA(index(PlayerValues!A:A,match(IFNA(vlookup(B3029,'Special Names'!A:B,2,FALSE),B3029),PlayerValues!E:E,0)),"N/A")</f>
        <v>15237</v>
      </c>
      <c r="B3029" s="4" t="s">
        <v>336</v>
      </c>
      <c r="C3029" s="4" t="s">
        <v>283</v>
      </c>
      <c r="D3029" s="94">
        <v>6333.0</v>
      </c>
    </row>
    <row r="3030">
      <c r="A3030" s="40">
        <f t="array" ref="A3030">IFNA(index(PlayerValues!A:A,match(IFNA(vlookup(B3030,'Special Names'!A:B,2,FALSE),B3030),PlayerValues!E:E,0)),"N/A")</f>
        <v>15715</v>
      </c>
      <c r="B3030" s="4" t="s">
        <v>331</v>
      </c>
      <c r="C3030" s="4" t="s">
        <v>278</v>
      </c>
      <c r="D3030" s="94">
        <v>6171.0</v>
      </c>
    </row>
    <row r="3031">
      <c r="A3031" s="40">
        <f t="array" ref="A3031">IFNA(index(PlayerValues!A:A,match(IFNA(vlookup(B3031,'Special Names'!A:B,2,FALSE),B3031),PlayerValues!E:E,0)),"N/A")</f>
        <v>15762</v>
      </c>
      <c r="B3031" s="4" t="s">
        <v>337</v>
      </c>
      <c r="C3031" s="4" t="s">
        <v>287</v>
      </c>
      <c r="D3031" s="94">
        <v>6154.0</v>
      </c>
    </row>
    <row r="3032">
      <c r="A3032" s="40">
        <f t="array" ref="A3032">IFNA(index(PlayerValues!A:A,match(IFNA(vlookup(B3032,'Special Names'!A:B,2,FALSE),B3032),PlayerValues!E:E,0)),"N/A")</f>
        <v>16582</v>
      </c>
      <c r="B3032" s="4" t="s">
        <v>343</v>
      </c>
      <c r="C3032" s="4" t="s">
        <v>283</v>
      </c>
      <c r="D3032" s="94">
        <v>6130.0</v>
      </c>
    </row>
    <row r="3033">
      <c r="A3033" s="40">
        <f t="array" ref="A3033">IFNA(index(PlayerValues!A:A,match(IFNA(vlookup(B3033,'Special Names'!A:B,2,FALSE),B3033),PlayerValues!E:E,0)),"N/A")</f>
        <v>14802</v>
      </c>
      <c r="B3033" s="4" t="s">
        <v>332</v>
      </c>
      <c r="C3033" s="4" t="s">
        <v>278</v>
      </c>
      <c r="D3033" s="94">
        <v>6119.0</v>
      </c>
    </row>
    <row r="3034">
      <c r="A3034" s="40">
        <f t="array" ref="A3034">IFNA(index(PlayerValues!A:A,match(IFNA(vlookup(B3034,'Special Names'!A:B,2,FALSE),B3034),PlayerValues!E:E,0)),"N/A")</f>
        <v>15698</v>
      </c>
      <c r="B3034" s="4" t="s">
        <v>358</v>
      </c>
      <c r="C3034" s="4" t="s">
        <v>283</v>
      </c>
      <c r="D3034" s="94">
        <v>6117.0</v>
      </c>
    </row>
    <row r="3035">
      <c r="A3035" s="40">
        <f t="array" ref="A3035">IFNA(index(PlayerValues!A:A,match(IFNA(vlookup(B3035,'Special Names'!A:B,2,FALSE),B3035),PlayerValues!E:E,0)),"N/A")</f>
        <v>15290</v>
      </c>
      <c r="B3035" s="4" t="s">
        <v>355</v>
      </c>
      <c r="C3035" s="4" t="s">
        <v>287</v>
      </c>
      <c r="D3035" s="94">
        <v>5988.0</v>
      </c>
    </row>
    <row r="3036">
      <c r="A3036" s="40">
        <f t="array" ref="A3036">IFNA(index(PlayerValues!A:A,match(IFNA(vlookup(B3036,'Special Names'!A:B,2,FALSE),B3036),PlayerValues!E:E,0)),"N/A")</f>
        <v>17081</v>
      </c>
      <c r="B3036" s="4" t="s">
        <v>340</v>
      </c>
      <c r="C3036" s="4" t="s">
        <v>287</v>
      </c>
      <c r="D3036" s="94">
        <v>5978.0</v>
      </c>
    </row>
    <row r="3037">
      <c r="A3037" s="40" t="str">
        <f t="array" ref="A3037">IFNA(index(PlayerValues!A:A,match(IFNA(vlookup(B3037,'Special Names'!A:B,2,FALSE),B3037),PlayerValues!E:E,0)),"N/A")</f>
        <v>N/A</v>
      </c>
      <c r="B3037" s="4" t="s">
        <v>79</v>
      </c>
      <c r="C3037" s="4" t="s">
        <v>325</v>
      </c>
      <c r="D3037" s="94">
        <v>5961.0</v>
      </c>
    </row>
    <row r="3038">
      <c r="A3038" s="40">
        <f t="array" ref="A3038">IFNA(index(PlayerValues!A:A,match(IFNA(vlookup(B3038,'Special Names'!A:B,2,FALSE),B3038),PlayerValues!E:E,0)),"N/A")</f>
        <v>17104</v>
      </c>
      <c r="B3038" s="4" t="s">
        <v>333</v>
      </c>
      <c r="C3038" s="4" t="s">
        <v>298</v>
      </c>
      <c r="D3038" s="94">
        <v>6615.0</v>
      </c>
    </row>
    <row r="3039">
      <c r="A3039" s="40">
        <f t="array" ref="A3039">IFNA(index(PlayerValues!A:A,match(IFNA(vlookup(B3039,'Special Names'!A:B,2,FALSE),B3039),PlayerValues!E:E,0)),"N/A")</f>
        <v>17043</v>
      </c>
      <c r="B3039" s="4" t="s">
        <v>397</v>
      </c>
      <c r="C3039" s="4" t="s">
        <v>278</v>
      </c>
      <c r="D3039" s="94">
        <v>5888.0</v>
      </c>
    </row>
    <row r="3040">
      <c r="A3040" s="40">
        <f t="array" ref="A3040">IFNA(index(PlayerValues!A:A,match(IFNA(vlookup(B3040,'Special Names'!A:B,2,FALSE),B3040),PlayerValues!E:E,0)),"N/A")</f>
        <v>15753</v>
      </c>
      <c r="B3040" s="4" t="s">
        <v>359</v>
      </c>
      <c r="C3040" s="4" t="s">
        <v>287</v>
      </c>
      <c r="D3040" s="94">
        <v>5833.0</v>
      </c>
    </row>
    <row r="3041">
      <c r="A3041" s="40">
        <f t="array" ref="A3041">IFNA(index(PlayerValues!A:A,match(IFNA(vlookup(B3041,'Special Names'!A:B,2,FALSE),B3041),PlayerValues!E:E,0)),"N/A")</f>
        <v>15754</v>
      </c>
      <c r="B3041" s="4" t="s">
        <v>354</v>
      </c>
      <c r="C3041" s="4" t="s">
        <v>287</v>
      </c>
      <c r="D3041" s="94">
        <v>5828.0</v>
      </c>
    </row>
    <row r="3042">
      <c r="A3042" s="40">
        <f t="array" ref="A3042">IFNA(index(PlayerValues!A:A,match(IFNA(vlookup(B3042,'Special Names'!A:B,2,FALSE),B3042),PlayerValues!E:E,0)),"N/A")</f>
        <v>14782</v>
      </c>
      <c r="B3042" s="4" t="s">
        <v>385</v>
      </c>
      <c r="C3042" s="4" t="s">
        <v>283</v>
      </c>
      <c r="D3042" s="94">
        <v>5696.0</v>
      </c>
    </row>
    <row r="3043">
      <c r="A3043" s="40">
        <f t="array" ref="A3043">IFNA(index(PlayerValues!A:A,match(IFNA(vlookup(B3043,'Special Names'!A:B,2,FALSE),B3043),PlayerValues!E:E,0)),"N/A")</f>
        <v>17102</v>
      </c>
      <c r="B3043" s="4" t="s">
        <v>344</v>
      </c>
      <c r="C3043" s="4" t="s">
        <v>298</v>
      </c>
      <c r="D3043" s="94">
        <v>6269.0</v>
      </c>
    </row>
    <row r="3044">
      <c r="A3044" s="40">
        <f t="array" ref="A3044">IFNA(index(PlayerValues!A:A,match(IFNA(vlookup(B3044,'Special Names'!A:B,2,FALSE),B3044),PlayerValues!E:E,0)),"N/A")</f>
        <v>17462</v>
      </c>
      <c r="B3044" s="4" t="s">
        <v>375</v>
      </c>
      <c r="C3044" s="4" t="s">
        <v>283</v>
      </c>
      <c r="D3044" s="94">
        <v>5615.0</v>
      </c>
    </row>
    <row r="3045">
      <c r="A3045" s="40">
        <f t="array" ref="A3045">IFNA(index(PlayerValues!A:A,match(IFNA(vlookup(B3045,'Special Names'!A:B,2,FALSE),B3045),PlayerValues!E:E,0)),"N/A")</f>
        <v>15708</v>
      </c>
      <c r="B3045" s="4" t="s">
        <v>382</v>
      </c>
      <c r="C3045" s="4" t="s">
        <v>278</v>
      </c>
      <c r="D3045" s="94">
        <v>5523.0</v>
      </c>
    </row>
    <row r="3046">
      <c r="A3046" s="40">
        <f t="array" ref="A3046">IFNA(index(PlayerValues!A:A,match(IFNA(vlookup(B3046,'Special Names'!A:B,2,FALSE),B3046),PlayerValues!E:E,0)),"N/A")</f>
        <v>16627</v>
      </c>
      <c r="B3046" s="4" t="s">
        <v>351</v>
      </c>
      <c r="C3046" s="4" t="s">
        <v>287</v>
      </c>
      <c r="D3046" s="94">
        <v>5483.0</v>
      </c>
    </row>
    <row r="3047">
      <c r="A3047" s="40">
        <f t="array" ref="A3047">IFNA(index(PlayerValues!A:A,match(IFNA(vlookup(B3047,'Special Names'!A:B,2,FALSE),B3047),PlayerValues!E:E,0)),"N/A")</f>
        <v>16598</v>
      </c>
      <c r="B3047" s="4" t="s">
        <v>408</v>
      </c>
      <c r="C3047" s="4" t="s">
        <v>278</v>
      </c>
      <c r="D3047" s="94">
        <v>5466.0</v>
      </c>
    </row>
    <row r="3048">
      <c r="A3048" s="40">
        <f t="array" ref="A3048">IFNA(index(PlayerValues!A:A,match(IFNA(vlookup(B3048,'Special Names'!A:B,2,FALSE),B3048),PlayerValues!E:E,0)),"N/A")</f>
        <v>17051</v>
      </c>
      <c r="B3048" s="4" t="s">
        <v>386</v>
      </c>
      <c r="C3048" s="4" t="s">
        <v>278</v>
      </c>
      <c r="D3048" s="94">
        <v>5463.0</v>
      </c>
    </row>
    <row r="3049">
      <c r="A3049" s="40" t="str">
        <f t="array" ref="A3049">IFNA(index(PlayerValues!A:A,match(IFNA(vlookup(B3049,'Special Names'!A:B,2,FALSE),B3049),PlayerValues!E:E,0)),"N/A")</f>
        <v>N/A</v>
      </c>
      <c r="B3049" s="4" t="s">
        <v>93</v>
      </c>
      <c r="C3049" s="4" t="s">
        <v>325</v>
      </c>
      <c r="D3049" s="94">
        <v>5447.0</v>
      </c>
    </row>
    <row r="3050">
      <c r="A3050" s="40">
        <f t="array" ref="A3050">IFNA(index(PlayerValues!A:A,match(IFNA(vlookup(B3050,'Special Names'!A:B,2,FALSE),B3050),PlayerValues!E:E,0)),"N/A")</f>
        <v>17497</v>
      </c>
      <c r="B3050" s="4" t="s">
        <v>365</v>
      </c>
      <c r="C3050" s="4" t="s">
        <v>287</v>
      </c>
      <c r="D3050" s="94">
        <v>5314.0</v>
      </c>
    </row>
    <row r="3051">
      <c r="A3051" s="40">
        <f t="array" ref="A3051">IFNA(index(PlayerValues!A:A,match(IFNA(vlookup(B3051,'Special Names'!A:B,2,FALSE),B3051),PlayerValues!E:E,0)),"N/A")</f>
        <v>16616</v>
      </c>
      <c r="B3051" s="4" t="s">
        <v>389</v>
      </c>
      <c r="C3051" s="4" t="s">
        <v>287</v>
      </c>
      <c r="D3051" s="94">
        <v>5312.0</v>
      </c>
    </row>
    <row r="3052">
      <c r="A3052" s="40">
        <f t="array" ref="A3052">IFNA(index(PlayerValues!A:A,match(IFNA(vlookup(B3052,'Special Names'!A:B,2,FALSE),B3052),PlayerValues!E:E,0)),"N/A")</f>
        <v>17499</v>
      </c>
      <c r="B3052" s="4" t="s">
        <v>402</v>
      </c>
      <c r="C3052" s="4" t="s">
        <v>287</v>
      </c>
      <c r="D3052" s="94">
        <v>5235.0</v>
      </c>
    </row>
    <row r="3053">
      <c r="A3053" s="40">
        <f t="array" ref="A3053">IFNA(index(PlayerValues!A:A,match(IFNA(vlookup(B3053,'Special Names'!A:B,2,FALSE),B3053),PlayerValues!E:E,0)),"N/A")</f>
        <v>16614</v>
      </c>
      <c r="B3053" s="4" t="s">
        <v>403</v>
      </c>
      <c r="C3053" s="4" t="s">
        <v>287</v>
      </c>
      <c r="D3053" s="94">
        <v>5124.0</v>
      </c>
    </row>
    <row r="3054">
      <c r="A3054" s="40">
        <f t="array" ref="A3054">IFNA(index(PlayerValues!A:A,match(IFNA(vlookup(B3054,'Special Names'!A:B,2,FALSE),B3054),PlayerValues!E:E,0)),"N/A")</f>
        <v>17030</v>
      </c>
      <c r="B3054" s="4" t="s">
        <v>406</v>
      </c>
      <c r="C3054" s="4" t="s">
        <v>283</v>
      </c>
      <c r="D3054" s="94">
        <v>5089.0</v>
      </c>
    </row>
    <row r="3055">
      <c r="A3055" s="40">
        <f t="array" ref="A3055">IFNA(index(PlayerValues!A:A,match(IFNA(vlookup(B3055,'Special Names'!A:B,2,FALSE),B3055),PlayerValues!E:E,0)),"N/A")</f>
        <v>13130</v>
      </c>
      <c r="B3055" s="4" t="s">
        <v>374</v>
      </c>
      <c r="C3055" s="4" t="s">
        <v>278</v>
      </c>
      <c r="D3055" s="94">
        <v>5077.0</v>
      </c>
    </row>
    <row r="3056">
      <c r="A3056" s="40">
        <f t="array" ref="A3056">IFNA(index(PlayerValues!A:A,match(IFNA(vlookup(B3056,'Special Names'!A:B,2,FALSE),B3056),PlayerValues!E:E,0)),"N/A")</f>
        <v>15711</v>
      </c>
      <c r="B3056" s="4" t="s">
        <v>349</v>
      </c>
      <c r="C3056" s="4" t="s">
        <v>278</v>
      </c>
      <c r="D3056" s="94">
        <v>5047.0</v>
      </c>
    </row>
    <row r="3057">
      <c r="A3057" s="40">
        <f t="array" ref="A3057">IFNA(index(PlayerValues!A:A,match(IFNA(vlookup(B3057,'Special Names'!A:B,2,FALSE),B3057),PlayerValues!E:E,0)),"N/A")</f>
        <v>16618</v>
      </c>
      <c r="B3057" s="4" t="s">
        <v>411</v>
      </c>
      <c r="C3057" s="4" t="s">
        <v>287</v>
      </c>
      <c r="D3057" s="94">
        <v>5041.0</v>
      </c>
    </row>
    <row r="3058">
      <c r="A3058" s="40">
        <f t="array" ref="A3058">IFNA(index(PlayerValues!A:A,match(IFNA(vlookup(B3058,'Special Names'!A:B,2,FALSE),B3058),PlayerValues!E:E,0)),"N/A")</f>
        <v>12620</v>
      </c>
      <c r="B3058" s="4" t="s">
        <v>394</v>
      </c>
      <c r="C3058" s="4" t="s">
        <v>283</v>
      </c>
      <c r="D3058" s="94">
        <v>5011.0</v>
      </c>
    </row>
    <row r="3059">
      <c r="A3059" s="40">
        <f t="array" ref="A3059">IFNA(index(PlayerValues!A:A,match(IFNA(vlookup(B3059,'Special Names'!A:B,2,FALSE),B3059),PlayerValues!E:E,0)),"N/A")</f>
        <v>16194</v>
      </c>
      <c r="B3059" s="4" t="s">
        <v>398</v>
      </c>
      <c r="C3059" s="4" t="s">
        <v>287</v>
      </c>
      <c r="D3059" s="94">
        <v>5010.0</v>
      </c>
    </row>
    <row r="3060">
      <c r="A3060" s="40">
        <f t="array" ref="A3060">IFNA(index(PlayerValues!A:A,match(IFNA(vlookup(B3060,'Special Names'!A:B,2,FALSE),B3060),PlayerValues!E:E,0)),"N/A")</f>
        <v>17070</v>
      </c>
      <c r="B3060" s="4" t="s">
        <v>370</v>
      </c>
      <c r="C3060" s="4" t="s">
        <v>287</v>
      </c>
      <c r="D3060" s="94">
        <v>4936.0</v>
      </c>
    </row>
    <row r="3061">
      <c r="A3061" s="40">
        <f t="array" ref="A3061">IFNA(index(PlayerValues!A:A,match(IFNA(vlookup(B3061,'Special Names'!A:B,2,FALSE),B3061),PlayerValues!E:E,0)),"N/A")</f>
        <v>16181</v>
      </c>
      <c r="B3061" s="4" t="s">
        <v>350</v>
      </c>
      <c r="C3061" s="4" t="s">
        <v>278</v>
      </c>
      <c r="D3061" s="94">
        <v>4935.0</v>
      </c>
    </row>
    <row r="3062">
      <c r="A3062" s="40">
        <f t="array" ref="A3062">IFNA(index(PlayerValues!A:A,match(IFNA(vlookup(B3062,'Special Names'!A:B,2,FALSE),B3062),PlayerValues!E:E,0)),"N/A")</f>
        <v>17103</v>
      </c>
      <c r="B3062" s="4" t="s">
        <v>405</v>
      </c>
      <c r="C3062" s="4" t="s">
        <v>298</v>
      </c>
      <c r="D3062" s="94">
        <v>5470.0</v>
      </c>
    </row>
    <row r="3063">
      <c r="A3063" s="40">
        <f t="array" ref="A3063">IFNA(index(PlayerValues!A:A,match(IFNA(vlookup(B3063,'Special Names'!A:B,2,FALSE),B3063),PlayerValues!E:E,0)),"N/A")</f>
        <v>16222</v>
      </c>
      <c r="B3063" s="4" t="s">
        <v>393</v>
      </c>
      <c r="C3063" s="4" t="s">
        <v>298</v>
      </c>
      <c r="D3063" s="94">
        <v>5442.0</v>
      </c>
    </row>
    <row r="3064">
      <c r="A3064" s="40">
        <f t="array" ref="A3064">IFNA(index(PlayerValues!A:A,match(IFNA(vlookup(B3064,'Special Names'!A:B,2,FALSE),B3064),PlayerValues!E:E,0)),"N/A")</f>
        <v>15710</v>
      </c>
      <c r="B3064" s="4" t="s">
        <v>395</v>
      </c>
      <c r="C3064" s="4" t="s">
        <v>278</v>
      </c>
      <c r="D3064" s="94">
        <v>4853.0</v>
      </c>
    </row>
    <row r="3065">
      <c r="A3065" s="40">
        <f t="array" ref="A3065">IFNA(index(PlayerValues!A:A,match(IFNA(vlookup(B3065,'Special Names'!A:B,2,FALSE),B3065),PlayerValues!E:E,0)),"N/A")</f>
        <v>13590</v>
      </c>
      <c r="B3065" s="4" t="s">
        <v>409</v>
      </c>
      <c r="C3065" s="4" t="s">
        <v>283</v>
      </c>
      <c r="D3065" s="94">
        <v>4839.0</v>
      </c>
    </row>
    <row r="3066">
      <c r="A3066" s="40">
        <f t="array" ref="A3066">IFNA(index(PlayerValues!A:A,match(IFNA(vlookup(B3066,'Special Names'!A:B,2,FALSE),B3066),PlayerValues!E:E,0)),"N/A")</f>
        <v>13592</v>
      </c>
      <c r="B3066" s="4" t="s">
        <v>418</v>
      </c>
      <c r="C3066" s="4" t="s">
        <v>283</v>
      </c>
      <c r="D3066" s="94">
        <v>4832.0</v>
      </c>
    </row>
    <row r="3067">
      <c r="A3067" s="40">
        <f t="array" ref="A3067">IFNA(index(PlayerValues!A:A,match(IFNA(vlookup(B3067,'Special Names'!A:B,2,FALSE),B3067),PlayerValues!E:E,0)),"N/A")</f>
        <v>16150</v>
      </c>
      <c r="B3067" s="4" t="s">
        <v>414</v>
      </c>
      <c r="C3067" s="4" t="s">
        <v>283</v>
      </c>
      <c r="D3067" s="94">
        <v>4826.0</v>
      </c>
    </row>
    <row r="3068">
      <c r="A3068" s="40">
        <f t="array" ref="A3068">IFNA(index(PlayerValues!A:A,match(IFNA(vlookup(B3068,'Special Names'!A:B,2,FALSE),B3068),PlayerValues!E:E,0)),"N/A")</f>
        <v>14835</v>
      </c>
      <c r="B3068" s="4" t="s">
        <v>392</v>
      </c>
      <c r="C3068" s="4" t="s">
        <v>287</v>
      </c>
      <c r="D3068" s="94">
        <v>4825.0</v>
      </c>
    </row>
    <row r="3069">
      <c r="A3069" s="40">
        <f t="array" ref="A3069">IFNA(index(PlayerValues!A:A,match(IFNA(vlookup(B3069,'Special Names'!A:B,2,FALSE),B3069),PlayerValues!E:E,0)),"N/A")</f>
        <v>17045</v>
      </c>
      <c r="B3069" s="4" t="s">
        <v>407</v>
      </c>
      <c r="C3069" s="4" t="s">
        <v>278</v>
      </c>
      <c r="D3069" s="94">
        <v>4825.0</v>
      </c>
    </row>
    <row r="3070">
      <c r="A3070" s="40" t="str">
        <f t="array" ref="A3070">IFNA(index(PlayerValues!A:A,match(IFNA(vlookup(B3070,'Special Names'!A:B,2,FALSE),B3070),PlayerValues!E:E,0)),"N/A")</f>
        <v>N/A</v>
      </c>
      <c r="B3070" s="4" t="s">
        <v>104</v>
      </c>
      <c r="C3070" s="4" t="s">
        <v>325</v>
      </c>
      <c r="D3070" s="94">
        <v>4825.0</v>
      </c>
    </row>
    <row r="3071">
      <c r="A3071" s="40">
        <f t="array" ref="A3071">IFNA(index(PlayerValues!A:A,match(IFNA(vlookup(B3071,'Special Names'!A:B,2,FALSE),B3071),PlayerValues!E:E,0)),"N/A")</f>
        <v>17498</v>
      </c>
      <c r="B3071" s="4" t="s">
        <v>396</v>
      </c>
      <c r="C3071" s="4" t="s">
        <v>287</v>
      </c>
      <c r="D3071" s="94">
        <v>4820.0</v>
      </c>
    </row>
    <row r="3072">
      <c r="A3072" s="40">
        <f t="array" ref="A3072">IFNA(index(PlayerValues!A:A,match(IFNA(vlookup(B3072,'Special Names'!A:B,2,FALSE),B3072),PlayerValues!E:E,0)),"N/A")</f>
        <v>15282</v>
      </c>
      <c r="B3072" s="4" t="s">
        <v>364</v>
      </c>
      <c r="C3072" s="4" t="s">
        <v>287</v>
      </c>
      <c r="D3072" s="94">
        <v>4797.0</v>
      </c>
    </row>
    <row r="3073">
      <c r="A3073" s="40" t="str">
        <f t="array" ref="A3073">IFNA(index(PlayerValues!A:A,match(IFNA(vlookup(B3073,'Special Names'!A:B,2,FALSE),B3073),PlayerValues!E:E,0)),"N/A")</f>
        <v>N/A</v>
      </c>
      <c r="B3073" s="4" t="s">
        <v>94</v>
      </c>
      <c r="C3073" s="4" t="s">
        <v>325</v>
      </c>
      <c r="D3073" s="94">
        <v>4785.0</v>
      </c>
    </row>
    <row r="3074">
      <c r="A3074" s="40">
        <f t="array" ref="A3074">IFNA(index(PlayerValues!A:A,match(IFNA(vlookup(B3074,'Special Names'!A:B,2,FALSE),B3074),PlayerValues!E:E,0)),"N/A")</f>
        <v>13604</v>
      </c>
      <c r="B3074" s="4" t="s">
        <v>378</v>
      </c>
      <c r="C3074" s="4" t="s">
        <v>278</v>
      </c>
      <c r="D3074" s="94">
        <v>4781.0</v>
      </c>
    </row>
    <row r="3075">
      <c r="A3075" s="40">
        <f t="array" ref="A3075">IFNA(index(PlayerValues!A:A,match(IFNA(vlookup(B3075,'Special Names'!A:B,2,FALSE),B3075),PlayerValues!E:E,0)),"N/A")</f>
        <v>14104</v>
      </c>
      <c r="B3075" s="4" t="s">
        <v>379</v>
      </c>
      <c r="C3075" s="4" t="s">
        <v>287</v>
      </c>
      <c r="D3075" s="94">
        <v>4743.0</v>
      </c>
    </row>
    <row r="3076">
      <c r="A3076" s="40">
        <f t="array" ref="A3076">IFNA(index(PlayerValues!A:A,match(IFNA(vlookup(B3076,'Special Names'!A:B,2,FALSE),B3076),PlayerValues!E:E,0)),"N/A")</f>
        <v>15756</v>
      </c>
      <c r="B3076" s="4" t="s">
        <v>399</v>
      </c>
      <c r="C3076" s="4" t="s">
        <v>287</v>
      </c>
      <c r="D3076" s="94">
        <v>4740.0</v>
      </c>
    </row>
    <row r="3077">
      <c r="A3077" s="40">
        <f t="array" ref="A3077">IFNA(index(PlayerValues!A:A,match(IFNA(vlookup(B3077,'Special Names'!A:B,2,FALSE),B3077),PlayerValues!E:E,0)),"N/A")</f>
        <v>16190</v>
      </c>
      <c r="B3077" s="4" t="s">
        <v>371</v>
      </c>
      <c r="C3077" s="4" t="s">
        <v>287</v>
      </c>
      <c r="D3077" s="94">
        <v>4697.0</v>
      </c>
    </row>
    <row r="3078">
      <c r="A3078" s="40" t="str">
        <f t="array" ref="A3078">IFNA(index(PlayerValues!A:A,match(IFNA(vlookup(B3078,'Special Names'!A:B,2,FALSE),B3078),PlayerValues!E:E,0)),"N/A")</f>
        <v>N/A</v>
      </c>
      <c r="B3078" s="4" t="s">
        <v>80</v>
      </c>
      <c r="C3078" s="4" t="s">
        <v>325</v>
      </c>
      <c r="D3078" s="94">
        <v>4693.0</v>
      </c>
    </row>
    <row r="3079">
      <c r="A3079" s="40">
        <f t="array" ref="A3079">IFNA(index(PlayerValues!A:A,match(IFNA(vlookup(B3079,'Special Names'!A:B,2,FALSE),B3079),PlayerValues!E:E,0)),"N/A")</f>
        <v>12611</v>
      </c>
      <c r="B3079" s="4" t="s">
        <v>410</v>
      </c>
      <c r="C3079" s="4" t="s">
        <v>283</v>
      </c>
      <c r="D3079" s="94">
        <v>4625.0</v>
      </c>
    </row>
    <row r="3080">
      <c r="A3080" s="40">
        <f t="array" ref="A3080">IFNA(index(PlayerValues!A:A,match(IFNA(vlookup(B3080,'Special Names'!A:B,2,FALSE),B3080),PlayerValues!E:E,0)),"N/A")</f>
        <v>15284</v>
      </c>
      <c r="B3080" s="4" t="s">
        <v>390</v>
      </c>
      <c r="C3080" s="4" t="s">
        <v>287</v>
      </c>
      <c r="D3080" s="94">
        <v>4606.0</v>
      </c>
    </row>
    <row r="3081">
      <c r="A3081" s="40">
        <f t="array" ref="A3081">IFNA(index(PlayerValues!A:A,match(IFNA(vlookup(B3081,'Special Names'!A:B,2,FALSE),B3081),PlayerValues!E:E,0)),"N/A")</f>
        <v>17039</v>
      </c>
      <c r="B3081" s="4" t="s">
        <v>400</v>
      </c>
      <c r="C3081" s="4" t="s">
        <v>283</v>
      </c>
      <c r="D3081" s="94">
        <v>4599.0</v>
      </c>
    </row>
    <row r="3082">
      <c r="A3082" s="40">
        <f t="array" ref="A3082">IFNA(index(PlayerValues!A:A,match(IFNA(vlookup(B3082,'Special Names'!A:B,2,FALSE),B3082),PlayerValues!E:E,0)),"N/A")</f>
        <v>16214</v>
      </c>
      <c r="B3082" s="4" t="s">
        <v>413</v>
      </c>
      <c r="C3082" s="4" t="s">
        <v>298</v>
      </c>
      <c r="D3082" s="94">
        <v>5132.0</v>
      </c>
    </row>
    <row r="3083">
      <c r="A3083" s="40">
        <f t="array" ref="A3083">IFNA(index(PlayerValues!A:A,match(IFNA(vlookup(B3083,'Special Names'!A:B,2,FALSE),B3083),PlayerValues!E:E,0)),"N/A")</f>
        <v>15329</v>
      </c>
      <c r="B3083" s="4" t="s">
        <v>416</v>
      </c>
      <c r="C3083" s="4" t="s">
        <v>298</v>
      </c>
      <c r="D3083" s="94">
        <v>5103.0</v>
      </c>
    </row>
    <row r="3084">
      <c r="A3084" s="40">
        <f t="array" ref="A3084">IFNA(index(PlayerValues!A:A,match(IFNA(vlookup(B3084,'Special Names'!A:B,2,FALSE),B3084),PlayerValues!E:E,0)),"N/A")</f>
        <v>15256</v>
      </c>
      <c r="B3084" s="4" t="s">
        <v>401</v>
      </c>
      <c r="C3084" s="4" t="s">
        <v>278</v>
      </c>
      <c r="D3084" s="94">
        <v>4548.0</v>
      </c>
    </row>
    <row r="3085">
      <c r="A3085" s="40">
        <f t="array" ref="A3085">IFNA(index(PlayerValues!A:A,match(IFNA(vlookup(B3085,'Special Names'!A:B,2,FALSE),B3085),PlayerValues!E:E,0)),"N/A")</f>
        <v>15253</v>
      </c>
      <c r="B3085" s="4" t="s">
        <v>415</v>
      </c>
      <c r="C3085" s="4" t="s">
        <v>278</v>
      </c>
      <c r="D3085" s="94">
        <v>4500.0</v>
      </c>
    </row>
    <row r="3086">
      <c r="A3086" s="40">
        <f t="array" ref="A3086">IFNA(index(PlayerValues!A:A,match(IFNA(vlookup(B3086,'Special Names'!A:B,2,FALSE),B3086),PlayerValues!E:E,0)),"N/A")</f>
        <v>17068</v>
      </c>
      <c r="B3086" s="4" t="s">
        <v>450</v>
      </c>
      <c r="C3086" s="4" t="s">
        <v>278</v>
      </c>
      <c r="D3086" s="94">
        <v>4472.0</v>
      </c>
    </row>
    <row r="3087">
      <c r="A3087" s="40">
        <f t="array" ref="A3087">IFNA(index(PlayerValues!A:A,match(IFNA(vlookup(B3087,'Special Names'!A:B,2,FALSE),B3087),PlayerValues!E:E,0)),"N/A")</f>
        <v>14073</v>
      </c>
      <c r="B3087" s="4" t="s">
        <v>464</v>
      </c>
      <c r="C3087" s="4" t="s">
        <v>278</v>
      </c>
      <c r="D3087" s="94">
        <v>4462.0</v>
      </c>
    </row>
    <row r="3088">
      <c r="A3088" s="40">
        <f t="array" ref="A3088">IFNA(index(PlayerValues!A:A,match(IFNA(vlookup(B3088,'Special Names'!A:B,2,FALSE),B3088),PlayerValues!E:E,0)),"N/A")</f>
        <v>16148</v>
      </c>
      <c r="B3088" s="4" t="s">
        <v>426</v>
      </c>
      <c r="C3088" s="4" t="s">
        <v>283</v>
      </c>
      <c r="D3088" s="94">
        <v>4445.0</v>
      </c>
    </row>
    <row r="3089">
      <c r="A3089" s="40" t="str">
        <f t="array" ref="A3089">IFNA(index(PlayerValues!A:A,match(IFNA(vlookup(B3089,'Special Names'!A:B,2,FALSE),B3089),PlayerValues!E:E,0)),"N/A")</f>
        <v>N/A</v>
      </c>
      <c r="B3089" s="4" t="s">
        <v>105</v>
      </c>
      <c r="C3089" s="4" t="s">
        <v>325</v>
      </c>
      <c r="D3089" s="94">
        <v>4443.0</v>
      </c>
    </row>
    <row r="3090">
      <c r="A3090" s="40" t="str">
        <f t="array" ref="A3090">IFNA(index(PlayerValues!A:A,match(IFNA(vlookup(B3090,'Special Names'!A:B,2,FALSE),B3090),PlayerValues!E:E,0)),"N/A")</f>
        <v>N/A</v>
      </c>
      <c r="B3090" s="4" t="s">
        <v>81</v>
      </c>
      <c r="C3090" s="4" t="s">
        <v>325</v>
      </c>
      <c r="D3090" s="94">
        <v>4231.0</v>
      </c>
    </row>
    <row r="3091">
      <c r="A3091" s="40">
        <f t="array" ref="A3091">IFNA(index(PlayerValues!A:A,match(IFNA(vlookup(B3091,'Special Names'!A:B,2,FALSE),B3091),PlayerValues!E:E,0)),"N/A")</f>
        <v>16186</v>
      </c>
      <c r="B3091" s="4" t="s">
        <v>425</v>
      </c>
      <c r="C3091" s="4" t="s">
        <v>287</v>
      </c>
      <c r="D3091" s="94">
        <v>4155.0</v>
      </c>
    </row>
    <row r="3092">
      <c r="A3092" s="40">
        <f t="array" ref="A3092">IFNA(index(PlayerValues!A:A,match(IFNA(vlookup(B3092,'Special Names'!A:B,2,FALSE),B3092),PlayerValues!E:E,0)),"N/A")</f>
        <v>17099</v>
      </c>
      <c r="B3092" s="4" t="s">
        <v>474</v>
      </c>
      <c r="C3092" s="4" t="s">
        <v>298</v>
      </c>
      <c r="D3092" s="94">
        <v>4653.0</v>
      </c>
    </row>
    <row r="3093">
      <c r="A3093" s="40">
        <f t="array" ref="A3093">IFNA(index(PlayerValues!A:A,match(IFNA(vlookup(B3093,'Special Names'!A:B,2,FALSE),B3093),PlayerValues!E:E,0)),"N/A")</f>
        <v>14059</v>
      </c>
      <c r="B3093" s="4" t="s">
        <v>435</v>
      </c>
      <c r="C3093" s="4" t="s">
        <v>283</v>
      </c>
      <c r="D3093" s="94">
        <v>4050.0</v>
      </c>
    </row>
    <row r="3094">
      <c r="A3094" s="40">
        <f t="array" ref="A3094">IFNA(index(PlayerValues!A:A,match(IFNA(vlookup(B3094,'Special Names'!A:B,2,FALSE),B3094),PlayerValues!E:E,0)),"N/A")</f>
        <v>17074</v>
      </c>
      <c r="B3094" s="4" t="s">
        <v>475</v>
      </c>
      <c r="C3094" s="4" t="s">
        <v>287</v>
      </c>
      <c r="D3094" s="94">
        <v>4043.0</v>
      </c>
    </row>
    <row r="3095">
      <c r="A3095" s="40" t="str">
        <f t="array" ref="A3095">IFNA(index(PlayerValues!A:A,match(IFNA(vlookup(B3095,'Special Names'!A:B,2,FALSE),B3095),PlayerValues!E:E,0)),"N/A")</f>
        <v>N/A</v>
      </c>
      <c r="B3095" s="4" t="s">
        <v>107</v>
      </c>
      <c r="C3095" s="4" t="s">
        <v>325</v>
      </c>
      <c r="D3095" s="94">
        <v>4032.0</v>
      </c>
    </row>
    <row r="3096">
      <c r="A3096" s="40">
        <f t="array" ref="A3096">IFNA(index(PlayerValues!A:A,match(IFNA(vlookup(B3096,'Special Names'!A:B,2,FALSE),B3096),PlayerValues!E:E,0)),"N/A")</f>
        <v>17543</v>
      </c>
      <c r="B3096" s="4" t="s">
        <v>436</v>
      </c>
      <c r="C3096" s="4" t="s">
        <v>298</v>
      </c>
      <c r="D3096" s="94">
        <v>4507.0</v>
      </c>
    </row>
    <row r="3097">
      <c r="A3097" s="40">
        <f t="array" ref="A3097">IFNA(index(PlayerValues!A:A,match(IFNA(vlookup(B3097,'Special Names'!A:B,2,FALSE),B3097),PlayerValues!E:E,0)),"N/A")</f>
        <v>16622</v>
      </c>
      <c r="B3097" s="4" t="s">
        <v>517</v>
      </c>
      <c r="C3097" s="4" t="s">
        <v>287</v>
      </c>
      <c r="D3097" s="94">
        <v>3969.0</v>
      </c>
    </row>
    <row r="3098">
      <c r="A3098" s="40">
        <f t="array" ref="A3098">IFNA(index(PlayerValues!A:A,match(IFNA(vlookup(B3098,'Special Names'!A:B,2,FALSE),B3098),PlayerValues!E:E,0)),"N/A")</f>
        <v>15768</v>
      </c>
      <c r="B3098" s="4" t="s">
        <v>432</v>
      </c>
      <c r="C3098" s="4" t="s">
        <v>287</v>
      </c>
      <c r="D3098" s="94">
        <v>3964.0</v>
      </c>
    </row>
    <row r="3099">
      <c r="A3099" s="40">
        <f t="array" ref="A3099">IFNA(index(PlayerValues!A:A,match(IFNA(vlookup(B3099,'Special Names'!A:B,2,FALSE),B3099),PlayerValues!E:E,0)),"N/A")</f>
        <v>12626</v>
      </c>
      <c r="B3099" s="4" t="s">
        <v>419</v>
      </c>
      <c r="C3099" s="4" t="s">
        <v>278</v>
      </c>
      <c r="D3099" s="94">
        <v>3932.0</v>
      </c>
    </row>
    <row r="3100">
      <c r="A3100" s="40">
        <f t="array" ref="A3100">IFNA(index(PlayerValues!A:A,match(IFNA(vlookup(B3100,'Special Names'!A:B,2,FALSE),B3100),PlayerValues!E:E,0)),"N/A")</f>
        <v>16206</v>
      </c>
      <c r="B3100" s="4" t="s">
        <v>431</v>
      </c>
      <c r="C3100" s="4" t="s">
        <v>287</v>
      </c>
      <c r="D3100" s="94">
        <v>3893.0</v>
      </c>
    </row>
    <row r="3101">
      <c r="A3101" s="40">
        <f t="array" ref="A3101">IFNA(index(PlayerValues!A:A,match(IFNA(vlookup(B3101,'Special Names'!A:B,2,FALSE),B3101),PlayerValues!E:E,0)),"N/A")</f>
        <v>17083</v>
      </c>
      <c r="B3101" s="4" t="s">
        <v>479</v>
      </c>
      <c r="C3101" s="4" t="s">
        <v>287</v>
      </c>
      <c r="D3101" s="94">
        <v>3847.0</v>
      </c>
    </row>
    <row r="3102">
      <c r="A3102" s="40">
        <f t="array" ref="A3102">IFNA(index(PlayerValues!A:A,match(IFNA(vlookup(B3102,'Special Names'!A:B,2,FALSE),B3102),PlayerValues!E:E,0)),"N/A")</f>
        <v>14102</v>
      </c>
      <c r="B3102" s="4" t="s">
        <v>444</v>
      </c>
      <c r="C3102" s="4" t="s">
        <v>287</v>
      </c>
      <c r="D3102" s="94">
        <v>3843.0</v>
      </c>
    </row>
    <row r="3103">
      <c r="A3103" s="40" t="str">
        <f t="array" ref="A3103">IFNA(index(PlayerValues!A:A,match(IFNA(vlookup(B3103,'Special Names'!A:B,2,FALSE),B3103),PlayerValues!E:E,0)),"N/A")</f>
        <v>N/A</v>
      </c>
      <c r="B3103" s="4" t="s">
        <v>95</v>
      </c>
      <c r="C3103" s="4" t="s">
        <v>325</v>
      </c>
      <c r="D3103" s="94">
        <v>3843.0</v>
      </c>
    </row>
    <row r="3104">
      <c r="A3104" s="40">
        <f t="array" ref="A3104">IFNA(index(PlayerValues!A:A,match(IFNA(vlookup(B3104,'Special Names'!A:B,2,FALSE),B3104),PlayerValues!E:E,0)),"N/A")</f>
        <v>17501</v>
      </c>
      <c r="B3104" s="4" t="s">
        <v>404</v>
      </c>
      <c r="C3104" s="4" t="s">
        <v>287</v>
      </c>
      <c r="D3104" s="94">
        <v>3842.0</v>
      </c>
    </row>
    <row r="3105">
      <c r="A3105" s="40">
        <f t="array" ref="A3105">IFNA(index(PlayerValues!A:A,match(IFNA(vlookup(B3105,'Special Names'!A:B,2,FALSE),B3105),PlayerValues!E:E,0)),"N/A")</f>
        <v>17066</v>
      </c>
      <c r="B3105" s="4" t="s">
        <v>446</v>
      </c>
      <c r="C3105" s="4" t="s">
        <v>278</v>
      </c>
      <c r="D3105" s="94">
        <v>3811.0</v>
      </c>
    </row>
    <row r="3106">
      <c r="A3106" s="40">
        <f t="array" ref="A3106">IFNA(index(PlayerValues!A:A,match(IFNA(vlookup(B3106,'Special Names'!A:B,2,FALSE),B3106),PlayerValues!E:E,0)),"N/A")</f>
        <v>17500</v>
      </c>
      <c r="B3106" s="4" t="s">
        <v>430</v>
      </c>
      <c r="C3106" s="4" t="s">
        <v>287</v>
      </c>
      <c r="D3106" s="94">
        <v>3799.0</v>
      </c>
    </row>
    <row r="3107">
      <c r="A3107" s="40">
        <f t="array" ref="A3107">IFNA(index(PlayerValues!A:A,match(IFNA(vlookup(B3107,'Special Names'!A:B,2,FALSE),B3107),PlayerValues!E:E,0)),"N/A")</f>
        <v>15789</v>
      </c>
      <c r="B3107" s="4" t="s">
        <v>421</v>
      </c>
      <c r="C3107" s="4" t="s">
        <v>287</v>
      </c>
      <c r="D3107" s="94">
        <v>3760.0</v>
      </c>
    </row>
    <row r="3108">
      <c r="A3108" s="40">
        <f t="array" ref="A3108">IFNA(index(PlayerValues!A:A,match(IFNA(vlookup(B3108,'Special Names'!A:B,2,FALSE),B3108),PlayerValues!E:E,0)),"N/A")</f>
        <v>14797</v>
      </c>
      <c r="B3108" s="4" t="s">
        <v>420</v>
      </c>
      <c r="C3108" s="4" t="s">
        <v>278</v>
      </c>
      <c r="D3108" s="94">
        <v>3719.0</v>
      </c>
    </row>
    <row r="3109">
      <c r="A3109" s="40">
        <f t="array" ref="A3109">IFNA(index(PlayerValues!A:A,match(IFNA(vlookup(B3109,'Special Names'!A:B,2,FALSE),B3109),PlayerValues!E:E,0)),"N/A")</f>
        <v>16192</v>
      </c>
      <c r="B3109" s="4" t="s">
        <v>412</v>
      </c>
      <c r="C3109" s="4" t="s">
        <v>287</v>
      </c>
      <c r="D3109" s="94">
        <v>3705.0</v>
      </c>
    </row>
    <row r="3110">
      <c r="A3110" s="40">
        <f t="array" ref="A3110">IFNA(index(PlayerValues!A:A,match(IFNA(vlookup(B3110,'Special Names'!A:B,2,FALSE),B3110),PlayerValues!E:E,0)),"N/A")</f>
        <v>9431</v>
      </c>
      <c r="B3110" s="4" t="s">
        <v>428</v>
      </c>
      <c r="C3110" s="4" t="s">
        <v>283</v>
      </c>
      <c r="D3110" s="94">
        <v>3697.0</v>
      </c>
    </row>
    <row r="3111">
      <c r="A3111" s="40">
        <f t="array" ref="A3111">IFNA(index(PlayerValues!A:A,match(IFNA(vlookup(B3111,'Special Names'!A:B,2,FALSE),B3111),PlayerValues!E:E,0)),"N/A")</f>
        <v>11675</v>
      </c>
      <c r="B3111" s="4" t="s">
        <v>438</v>
      </c>
      <c r="C3111" s="4" t="s">
        <v>287</v>
      </c>
      <c r="D3111" s="94">
        <v>3692.0</v>
      </c>
    </row>
    <row r="3112">
      <c r="A3112" s="40">
        <f t="array" ref="A3112">IFNA(index(PlayerValues!A:A,match(IFNA(vlookup(B3112,'Special Names'!A:B,2,FALSE),B3112),PlayerValues!E:E,0)),"N/A")</f>
        <v>14056</v>
      </c>
      <c r="B3112" s="4" t="s">
        <v>423</v>
      </c>
      <c r="C3112" s="4" t="s">
        <v>283</v>
      </c>
      <c r="D3112" s="94">
        <v>3614.0</v>
      </c>
    </row>
    <row r="3113">
      <c r="A3113" s="40">
        <f t="array" ref="A3113">IFNA(index(PlayerValues!A:A,match(IFNA(vlookup(B3113,'Special Names'!A:B,2,FALSE),B3113),PlayerValues!E:E,0)),"N/A")</f>
        <v>17075</v>
      </c>
      <c r="B3113" s="4" t="s">
        <v>429</v>
      </c>
      <c r="C3113" s="4" t="s">
        <v>287</v>
      </c>
      <c r="D3113" s="94">
        <v>3608.0</v>
      </c>
    </row>
    <row r="3114">
      <c r="A3114" s="40">
        <f t="array" ref="A3114">IFNA(index(PlayerValues!A:A,match(IFNA(vlookup(B3114,'Special Names'!A:B,2,FALSE),B3114),PlayerValues!E:E,0)),"N/A")</f>
        <v>15757</v>
      </c>
      <c r="B3114" s="4" t="s">
        <v>449</v>
      </c>
      <c r="C3114" s="4" t="s">
        <v>287</v>
      </c>
      <c r="D3114" s="94">
        <v>3606.0</v>
      </c>
    </row>
    <row r="3115">
      <c r="A3115" s="40">
        <f t="array" ref="A3115">IFNA(index(PlayerValues!A:A,match(IFNA(vlookup(B3115,'Special Names'!A:B,2,FALSE),B3115),PlayerValues!E:E,0)),"N/A")</f>
        <v>14842</v>
      </c>
      <c r="B3115" s="4" t="s">
        <v>456</v>
      </c>
      <c r="C3115" s="4" t="s">
        <v>287</v>
      </c>
      <c r="D3115" s="94">
        <v>3597.0</v>
      </c>
    </row>
    <row r="3116">
      <c r="A3116" s="40">
        <f t="array" ref="A3116">IFNA(index(PlayerValues!A:A,match(IFNA(vlookup(B3116,'Special Names'!A:B,2,FALSE),B3116),PlayerValues!E:E,0)),"N/A")</f>
        <v>16213</v>
      </c>
      <c r="B3116" s="4" t="s">
        <v>458</v>
      </c>
      <c r="C3116" s="4" t="s">
        <v>298</v>
      </c>
      <c r="D3116" s="94">
        <v>4039.0</v>
      </c>
    </row>
    <row r="3117">
      <c r="A3117" s="40">
        <f t="array" ref="A3117">IFNA(index(PlayerValues!A:A,match(IFNA(vlookup(B3117,'Special Names'!A:B,2,FALSE),B3117),PlayerValues!E:E,0)),"N/A")</f>
        <v>16583</v>
      </c>
      <c r="B3117" s="4" t="s">
        <v>493</v>
      </c>
      <c r="C3117" s="4" t="s">
        <v>283</v>
      </c>
      <c r="D3117" s="94">
        <v>3561.0</v>
      </c>
    </row>
    <row r="3118">
      <c r="A3118" s="40">
        <f t="array" ref="A3118">IFNA(index(PlayerValues!A:A,match(IFNA(vlookup(B3118,'Special Names'!A:B,2,FALSE),B3118),PlayerValues!E:E,0)),"N/A")</f>
        <v>16169</v>
      </c>
      <c r="B3118" s="4" t="s">
        <v>457</v>
      </c>
      <c r="C3118" s="4" t="s">
        <v>278</v>
      </c>
      <c r="D3118" s="94">
        <v>3545.0</v>
      </c>
    </row>
    <row r="3119">
      <c r="A3119" s="40">
        <f t="array" ref="A3119">IFNA(index(PlayerValues!A:A,match(IFNA(vlookup(B3119,'Special Names'!A:B,2,FALSE),B3119),PlayerValues!E:E,0)),"N/A")</f>
        <v>16188</v>
      </c>
      <c r="B3119" s="4" t="s">
        <v>439</v>
      </c>
      <c r="C3119" s="4" t="s">
        <v>287</v>
      </c>
      <c r="D3119" s="94">
        <v>3534.0</v>
      </c>
    </row>
    <row r="3120">
      <c r="A3120" s="40">
        <f t="array" ref="A3120">IFNA(index(PlayerValues!A:A,match(IFNA(vlookup(B3120,'Special Names'!A:B,2,FALSE),B3120),PlayerValues!E:E,0)),"N/A")</f>
        <v>16584</v>
      </c>
      <c r="B3120" s="4" t="s">
        <v>569</v>
      </c>
      <c r="C3120" s="4" t="s">
        <v>283</v>
      </c>
      <c r="D3120" s="94">
        <v>3509.0</v>
      </c>
    </row>
    <row r="3121">
      <c r="A3121" s="40">
        <f t="array" ref="A3121">IFNA(index(PlayerValues!A:A,match(IFNA(vlookup(B3121,'Special Names'!A:B,2,FALSE),B3121),PlayerValues!E:E,0)),"N/A")</f>
        <v>16593</v>
      </c>
      <c r="B3121" s="4" t="s">
        <v>442</v>
      </c>
      <c r="C3121" s="4" t="s">
        <v>278</v>
      </c>
      <c r="D3121" s="94">
        <v>3499.0</v>
      </c>
    </row>
    <row r="3122">
      <c r="A3122" s="40">
        <f t="array" ref="A3122">IFNA(index(PlayerValues!A:A,match(IFNA(vlookup(B3122,'Special Names'!A:B,2,FALSE),B3122),PlayerValues!E:E,0)),"N/A")</f>
        <v>15694</v>
      </c>
      <c r="B3122" s="4" t="s">
        <v>434</v>
      </c>
      <c r="C3122" s="4" t="s">
        <v>283</v>
      </c>
      <c r="D3122" s="94">
        <v>3492.0</v>
      </c>
    </row>
    <row r="3123">
      <c r="A3123" s="40">
        <f t="array" ref="A3123">IFNA(index(PlayerValues!A:A,match(IFNA(vlookup(B3123,'Special Names'!A:B,2,FALSE),B3123),PlayerValues!E:E,0)),"N/A")</f>
        <v>17052</v>
      </c>
      <c r="B3123" s="4" t="s">
        <v>417</v>
      </c>
      <c r="C3123" s="4" t="s">
        <v>278</v>
      </c>
      <c r="D3123" s="94">
        <v>3491.0</v>
      </c>
    </row>
    <row r="3124">
      <c r="A3124" s="40">
        <f t="array" ref="A3124">IFNA(index(PlayerValues!A:A,match(IFNA(vlookup(B3124,'Special Names'!A:B,2,FALSE),B3124),PlayerValues!E:E,0)),"N/A")</f>
        <v>16620</v>
      </c>
      <c r="B3124" s="4" t="s">
        <v>467</v>
      </c>
      <c r="C3124" s="4" t="s">
        <v>287</v>
      </c>
      <c r="D3124" s="94">
        <v>3483.0</v>
      </c>
    </row>
    <row r="3125">
      <c r="A3125" s="40">
        <f t="array" ref="A3125">IFNA(index(PlayerValues!A:A,match(IFNA(vlookup(B3125,'Special Names'!A:B,2,FALSE),B3125),PlayerValues!E:E,0)),"N/A")</f>
        <v>15742</v>
      </c>
      <c r="B3125" s="4" t="s">
        <v>447</v>
      </c>
      <c r="C3125" s="4" t="s">
        <v>278</v>
      </c>
      <c r="D3125" s="94">
        <v>3481.0</v>
      </c>
    </row>
    <row r="3126">
      <c r="A3126" s="40" t="str">
        <f t="array" ref="A3126">IFNA(index(PlayerValues!A:A,match(IFNA(vlookup(B3126,'Special Names'!A:B,2,FALSE),B3126),PlayerValues!E:E,0)),"N/A")</f>
        <v>N/A</v>
      </c>
      <c r="B3126" s="4" t="s">
        <v>82</v>
      </c>
      <c r="C3126" s="4" t="s">
        <v>325</v>
      </c>
      <c r="D3126" s="94">
        <v>3478.0</v>
      </c>
    </row>
    <row r="3127">
      <c r="A3127" s="40">
        <f t="array" ref="A3127">IFNA(index(PlayerValues!A:A,match(IFNA(vlookup(B3127,'Special Names'!A:B,2,FALSE),B3127),PlayerValues!E:E,0)),"N/A")</f>
        <v>14127</v>
      </c>
      <c r="B3127" s="4" t="s">
        <v>486</v>
      </c>
      <c r="C3127" s="4" t="s">
        <v>287</v>
      </c>
      <c r="D3127" s="94">
        <v>3443.0</v>
      </c>
    </row>
    <row r="3128">
      <c r="A3128" s="40">
        <f t="array" ref="A3128">IFNA(index(PlayerValues!A:A,match(IFNA(vlookup(B3128,'Special Names'!A:B,2,FALSE),B3128),PlayerValues!E:E,0)),"N/A")</f>
        <v>13299</v>
      </c>
      <c r="B3128" s="4" t="s">
        <v>448</v>
      </c>
      <c r="C3128" s="4" t="s">
        <v>298</v>
      </c>
      <c r="D3128" s="94">
        <v>3888.0</v>
      </c>
    </row>
    <row r="3129">
      <c r="A3129" s="40" t="str">
        <f t="array" ref="A3129">IFNA(index(PlayerValues!A:A,match(IFNA(vlookup(B3129,'Special Names'!A:B,2,FALSE),B3129),PlayerValues!E:E,0)),"N/A")</f>
        <v>N/A</v>
      </c>
      <c r="B3129" s="4" t="s">
        <v>96</v>
      </c>
      <c r="C3129" s="4" t="s">
        <v>325</v>
      </c>
      <c r="D3129" s="94">
        <v>3405.0</v>
      </c>
    </row>
    <row r="3130">
      <c r="A3130" s="40">
        <f t="array" ref="A3130">IFNA(index(PlayerValues!A:A,match(IFNA(vlookup(B3130,'Special Names'!A:B,2,FALSE),B3130),PlayerValues!E:E,0)),"N/A")</f>
        <v>15799</v>
      </c>
      <c r="B3130" s="4" t="s">
        <v>468</v>
      </c>
      <c r="C3130" s="4" t="s">
        <v>298</v>
      </c>
      <c r="D3130" s="94">
        <v>3845.0</v>
      </c>
    </row>
    <row r="3131">
      <c r="A3131" s="40">
        <f t="array" ref="A3131">IFNA(index(PlayerValues!A:A,match(IFNA(vlookup(B3131,'Special Names'!A:B,2,FALSE),B3131),PlayerValues!E:E,0)),"N/A")</f>
        <v>14109</v>
      </c>
      <c r="B3131" s="4" t="s">
        <v>437</v>
      </c>
      <c r="C3131" s="4" t="s">
        <v>287</v>
      </c>
      <c r="D3131" s="94">
        <v>3390.0</v>
      </c>
    </row>
    <row r="3132">
      <c r="A3132" s="40">
        <f t="array" ref="A3132">IFNA(index(PlayerValues!A:A,match(IFNA(vlookup(B3132,'Special Names'!A:B,2,FALSE),B3132),PlayerValues!E:E,0)),"N/A")</f>
        <v>13630</v>
      </c>
      <c r="B3132" s="4" t="s">
        <v>465</v>
      </c>
      <c r="C3132" s="4" t="s">
        <v>287</v>
      </c>
      <c r="D3132" s="94">
        <v>3364.0</v>
      </c>
    </row>
    <row r="3133">
      <c r="A3133" s="40">
        <f t="array" ref="A3133">IFNA(index(PlayerValues!A:A,match(IFNA(vlookup(B3133,'Special Names'!A:B,2,FALSE),B3133),PlayerValues!E:E,0)),"N/A")</f>
        <v>16594</v>
      </c>
      <c r="B3133" s="4" t="s">
        <v>607</v>
      </c>
      <c r="C3133" s="4" t="s">
        <v>278</v>
      </c>
      <c r="D3133" s="94">
        <v>3357.0</v>
      </c>
    </row>
    <row r="3134">
      <c r="A3134" s="40">
        <f t="array" ref="A3134">IFNA(index(PlayerValues!A:A,match(IFNA(vlookup(B3134,'Special Names'!A:B,2,FALSE),B3134),PlayerValues!E:E,0)),"N/A")</f>
        <v>15712</v>
      </c>
      <c r="B3134" s="4" t="s">
        <v>488</v>
      </c>
      <c r="C3134" s="4" t="s">
        <v>278</v>
      </c>
      <c r="D3134" s="94">
        <v>3348.0</v>
      </c>
    </row>
    <row r="3135">
      <c r="A3135" s="40">
        <f t="array" ref="A3135">IFNA(index(PlayerValues!A:A,match(IFNA(vlookup(B3135,'Special Names'!A:B,2,FALSE),B3135),PlayerValues!E:E,0)),"N/A")</f>
        <v>17053</v>
      </c>
      <c r="B3135" s="4" t="s">
        <v>484</v>
      </c>
      <c r="C3135" s="4" t="s">
        <v>278</v>
      </c>
      <c r="D3135" s="94">
        <v>3311.0</v>
      </c>
    </row>
    <row r="3136">
      <c r="A3136" s="40">
        <f t="array" ref="A3136">IFNA(index(PlayerValues!A:A,match(IFNA(vlookup(B3136,'Special Names'!A:B,2,FALSE),B3136),PlayerValues!E:E,0)),"N/A")</f>
        <v>16184</v>
      </c>
      <c r="B3136" s="4" t="s">
        <v>445</v>
      </c>
      <c r="C3136" s="4" t="s">
        <v>287</v>
      </c>
      <c r="D3136" s="94">
        <v>3309.0</v>
      </c>
    </row>
    <row r="3137">
      <c r="A3137" s="40">
        <f t="array" ref="A3137">IFNA(index(PlayerValues!A:A,match(IFNA(vlookup(B3137,'Special Names'!A:B,2,FALSE),B3137),PlayerValues!E:E,0)),"N/A")</f>
        <v>17473</v>
      </c>
      <c r="B3137" s="4" t="s">
        <v>391</v>
      </c>
      <c r="C3137" s="4" t="s">
        <v>278</v>
      </c>
      <c r="D3137" s="94">
        <v>3286.0</v>
      </c>
    </row>
    <row r="3138">
      <c r="A3138" s="40">
        <f t="array" ref="A3138">IFNA(index(PlayerValues!A:A,match(IFNA(vlookup(B3138,'Special Names'!A:B,2,FALSE),B3138),PlayerValues!E:E,0)),"N/A")</f>
        <v>16809</v>
      </c>
      <c r="B3138" s="4" t="s">
        <v>455</v>
      </c>
      <c r="C3138" s="4" t="s">
        <v>287</v>
      </c>
      <c r="D3138" s="94">
        <v>3277.0</v>
      </c>
    </row>
    <row r="3139">
      <c r="A3139" s="40">
        <f t="array" ref="A3139">IFNA(index(PlayerValues!A:A,match(IFNA(vlookup(B3139,'Special Names'!A:B,2,FALSE),B3139),PlayerValues!E:E,0)),"N/A")</f>
        <v>13635</v>
      </c>
      <c r="B3139" s="4" t="s">
        <v>424</v>
      </c>
      <c r="C3139" s="4" t="s">
        <v>287</v>
      </c>
      <c r="D3139" s="94">
        <v>3273.0</v>
      </c>
    </row>
    <row r="3140">
      <c r="A3140" s="40">
        <f t="array" ref="A3140">IFNA(index(PlayerValues!A:A,match(IFNA(vlookup(B3140,'Special Names'!A:B,2,FALSE),B3140),PlayerValues!E:E,0)),"N/A")</f>
        <v>16269</v>
      </c>
      <c r="B3140" s="4" t="s">
        <v>481</v>
      </c>
      <c r="C3140" s="4" t="s">
        <v>298</v>
      </c>
      <c r="D3140" s="94">
        <v>3714.0</v>
      </c>
    </row>
    <row r="3141">
      <c r="A3141" s="40">
        <f t="array" ref="A3141">IFNA(index(PlayerValues!A:A,match(IFNA(vlookup(B3141,'Special Names'!A:B,2,FALSE),B3141),PlayerValues!E:E,0)),"N/A")</f>
        <v>17477</v>
      </c>
      <c r="B3141" s="4" t="s">
        <v>452</v>
      </c>
      <c r="C3141" s="4" t="s">
        <v>278</v>
      </c>
      <c r="D3141" s="94">
        <v>3239.0</v>
      </c>
    </row>
    <row r="3142">
      <c r="A3142" s="40">
        <f t="array" ref="A3142">IFNA(index(PlayerValues!A:A,match(IFNA(vlookup(B3142,'Special Names'!A:B,2,FALSE),B3142),PlayerValues!E:E,0)),"N/A")</f>
        <v>17502</v>
      </c>
      <c r="B3142" s="4" t="s">
        <v>451</v>
      </c>
      <c r="C3142" s="4" t="s">
        <v>287</v>
      </c>
      <c r="D3142" s="94">
        <v>3210.0</v>
      </c>
    </row>
    <row r="3143">
      <c r="A3143" s="40">
        <f t="array" ref="A3143">IFNA(index(PlayerValues!A:A,match(IFNA(vlookup(B3143,'Special Names'!A:B,2,FALSE),B3143),PlayerValues!E:E,0)),"N/A")</f>
        <v>16187</v>
      </c>
      <c r="B3143" s="4" t="s">
        <v>441</v>
      </c>
      <c r="C3143" s="4" t="s">
        <v>287</v>
      </c>
      <c r="D3143" s="94">
        <v>3158.0</v>
      </c>
    </row>
    <row r="3144">
      <c r="A3144" s="40">
        <f t="array" ref="A3144">IFNA(index(PlayerValues!A:A,match(IFNA(vlookup(B3144,'Special Names'!A:B,2,FALSE),B3144),PlayerValues!E:E,0)),"N/A")</f>
        <v>14823</v>
      </c>
      <c r="B3144" s="4" t="s">
        <v>459</v>
      </c>
      <c r="C3144" s="4" t="s">
        <v>278</v>
      </c>
      <c r="D3144" s="94">
        <v>3132.0</v>
      </c>
    </row>
    <row r="3145">
      <c r="A3145" s="40">
        <f t="array" ref="A3145">IFNA(index(PlayerValues!A:A,match(IFNA(vlookup(B3145,'Special Names'!A:B,2,FALSE),B3145),PlayerValues!E:E,0)),"N/A")</f>
        <v>15761</v>
      </c>
      <c r="B3145" s="4" t="s">
        <v>491</v>
      </c>
      <c r="C3145" s="4" t="s">
        <v>287</v>
      </c>
      <c r="D3145" s="94">
        <v>3101.0</v>
      </c>
    </row>
    <row r="3146">
      <c r="A3146" s="40">
        <f t="array" ref="A3146">IFNA(index(PlayerValues!A:A,match(IFNA(vlookup(B3146,'Special Names'!A:B,2,FALSE),B3146),PlayerValues!E:E,0)),"N/A")</f>
        <v>15798</v>
      </c>
      <c r="B3146" s="4" t="s">
        <v>443</v>
      </c>
      <c r="C3146" s="4" t="s">
        <v>298</v>
      </c>
      <c r="D3146" s="94">
        <v>3528.0</v>
      </c>
    </row>
    <row r="3147">
      <c r="A3147" s="40">
        <f t="array" ref="A3147">IFNA(index(PlayerValues!A:A,match(IFNA(vlookup(B3147,'Special Names'!A:B,2,FALSE),B3147),PlayerValues!E:E,0)),"N/A")</f>
        <v>15261</v>
      </c>
      <c r="B3147" s="4" t="s">
        <v>466</v>
      </c>
      <c r="C3147" s="4" t="s">
        <v>278</v>
      </c>
      <c r="D3147" s="94">
        <v>3090.0</v>
      </c>
    </row>
    <row r="3148">
      <c r="A3148" s="40" t="str">
        <f t="array" ref="A3148">IFNA(index(PlayerValues!A:A,match(IFNA(vlookup(B3148,'Special Names'!A:B,2,FALSE),B3148),PlayerValues!E:E,0)),"N/A")</f>
        <v>N/A</v>
      </c>
      <c r="B3148" s="4" t="s">
        <v>108</v>
      </c>
      <c r="C3148" s="4" t="s">
        <v>325</v>
      </c>
      <c r="D3148" s="94">
        <v>3071.0</v>
      </c>
    </row>
    <row r="3149">
      <c r="A3149" s="40" t="str">
        <f t="array" ref="A3149">IFNA(index(PlayerValues!A:A,match(IFNA(vlookup(B3149,'Special Names'!A:B,2,FALSE),B3149),PlayerValues!E:E,0)),"N/A")</f>
        <v>N/A</v>
      </c>
      <c r="B3149" s="4" t="s">
        <v>97</v>
      </c>
      <c r="C3149" s="4" t="s">
        <v>325</v>
      </c>
      <c r="D3149" s="94">
        <v>3045.0</v>
      </c>
    </row>
    <row r="3150">
      <c r="A3150" s="40">
        <f t="array" ref="A3150">IFNA(index(PlayerValues!A:A,match(IFNA(vlookup(B3150,'Special Names'!A:B,2,FALSE),B3150),PlayerValues!E:E,0)),"N/A")</f>
        <v>16619</v>
      </c>
      <c r="B3150" s="4" t="s">
        <v>538</v>
      </c>
      <c r="C3150" s="4" t="s">
        <v>287</v>
      </c>
      <c r="D3150" s="94">
        <v>3043.0</v>
      </c>
    </row>
    <row r="3151">
      <c r="A3151" s="40" t="str">
        <f t="array" ref="A3151">IFNA(index(PlayerValues!A:A,match(IFNA(vlookup(B3151,'Special Names'!A:B,2,FALSE),B3151),PlayerValues!E:E,0)),"N/A")</f>
        <v>N/A</v>
      </c>
      <c r="B3151" s="4" t="s">
        <v>84</v>
      </c>
      <c r="C3151" s="4" t="s">
        <v>325</v>
      </c>
      <c r="D3151" s="94">
        <v>3039.0</v>
      </c>
    </row>
    <row r="3152">
      <c r="A3152" s="40">
        <f t="array" ref="A3152">IFNA(index(PlayerValues!A:A,match(IFNA(vlookup(B3152,'Special Names'!A:B,2,FALSE),B3152),PlayerValues!E:E,0)),"N/A")</f>
        <v>15259</v>
      </c>
      <c r="B3152" s="4" t="s">
        <v>453</v>
      </c>
      <c r="C3152" s="4" t="s">
        <v>278</v>
      </c>
      <c r="D3152" s="94">
        <v>3023.0</v>
      </c>
    </row>
    <row r="3153">
      <c r="A3153" s="40">
        <f t="array" ref="A3153">IFNA(index(PlayerValues!A:A,match(IFNA(vlookup(B3153,'Special Names'!A:B,2,FALSE),B3153),PlayerValues!E:E,0)),"N/A")</f>
        <v>17082</v>
      </c>
      <c r="B3153" s="4" t="s">
        <v>498</v>
      </c>
      <c r="C3153" s="4" t="s">
        <v>287</v>
      </c>
      <c r="D3153" s="94">
        <v>3009.0</v>
      </c>
    </row>
    <row r="3154">
      <c r="A3154" s="40">
        <f t="array" ref="A3154">IFNA(index(PlayerValues!A:A,match(IFNA(vlookup(B3154,'Special Names'!A:B,2,FALSE),B3154),PlayerValues!E:E,0)),"N/A")</f>
        <v>15779</v>
      </c>
      <c r="B3154" s="4" t="s">
        <v>461</v>
      </c>
      <c r="C3154" s="4" t="s">
        <v>287</v>
      </c>
      <c r="D3154" s="94">
        <v>2988.0</v>
      </c>
    </row>
    <row r="3155">
      <c r="A3155" s="40">
        <f t="array" ref="A3155">IFNA(index(PlayerValues!A:A,match(IFNA(vlookup(B3155,'Special Names'!A:B,2,FALSE),B3155),PlayerValues!E:E,0)),"N/A")</f>
        <v>16193</v>
      </c>
      <c r="B3155" s="4" t="s">
        <v>487</v>
      </c>
      <c r="C3155" s="4" t="s">
        <v>287</v>
      </c>
      <c r="D3155" s="94">
        <v>2966.0</v>
      </c>
    </row>
    <row r="3156">
      <c r="A3156" s="40">
        <f t="array" ref="A3156">IFNA(index(PlayerValues!A:A,match(IFNA(vlookup(B3156,'Special Names'!A:B,2,FALSE),B3156),PlayerValues!E:E,0)),"N/A")</f>
        <v>15241</v>
      </c>
      <c r="B3156" s="4" t="s">
        <v>546</v>
      </c>
      <c r="C3156" s="4" t="s">
        <v>283</v>
      </c>
      <c r="D3156" s="94">
        <v>2931.0</v>
      </c>
    </row>
    <row r="3157">
      <c r="A3157" s="40">
        <f t="array" ref="A3157">IFNA(index(PlayerValues!A:A,match(IFNA(vlookup(B3157,'Special Names'!A:B,2,FALSE),B3157),PlayerValues!E:E,0)),"N/A")</f>
        <v>17106</v>
      </c>
      <c r="B3157" s="4" t="s">
        <v>550</v>
      </c>
      <c r="C3157" s="4" t="s">
        <v>298</v>
      </c>
      <c r="D3157" s="94">
        <v>3348.0</v>
      </c>
    </row>
    <row r="3158">
      <c r="A3158" s="40">
        <f t="array" ref="A3158">IFNA(index(PlayerValues!A:A,match(IFNA(vlookup(B3158,'Special Names'!A:B,2,FALSE),B3158),PlayerValues!E:E,0)),"N/A")</f>
        <v>16723</v>
      </c>
      <c r="B3158" s="4" t="s">
        <v>502</v>
      </c>
      <c r="C3158" s="4" t="s">
        <v>298</v>
      </c>
      <c r="D3158" s="94">
        <v>3338.0</v>
      </c>
    </row>
    <row r="3159">
      <c r="A3159" s="40">
        <f t="array" ref="A3159">IFNA(index(PlayerValues!A:A,match(IFNA(vlookup(B3159,'Special Names'!A:B,2,FALSE),B3159),PlayerValues!E:E,0)),"N/A")</f>
        <v>17256</v>
      </c>
      <c r="B3159" s="4" t="s">
        <v>462</v>
      </c>
      <c r="C3159" s="4" t="s">
        <v>278</v>
      </c>
      <c r="D3159" s="94">
        <v>2915.0</v>
      </c>
    </row>
    <row r="3160">
      <c r="A3160" s="40">
        <f t="array" ref="A3160">IFNA(index(PlayerValues!A:A,match(IFNA(vlookup(B3160,'Special Names'!A:B,2,FALSE),B3160),PlayerValues!E:E,0)),"N/A")</f>
        <v>14860</v>
      </c>
      <c r="B3160" s="4" t="s">
        <v>554</v>
      </c>
      <c r="C3160" s="4" t="s">
        <v>287</v>
      </c>
      <c r="D3160" s="94">
        <v>2910.0</v>
      </c>
    </row>
    <row r="3161">
      <c r="A3161" s="40">
        <f t="array" ref="A3161">IFNA(index(PlayerValues!A:A,match(IFNA(vlookup(B3161,'Special Names'!A:B,2,FALSE),B3161),PlayerValues!E:E,0)),"N/A")</f>
        <v>17107</v>
      </c>
      <c r="B3161" s="4" t="s">
        <v>478</v>
      </c>
      <c r="C3161" s="4" t="s">
        <v>298</v>
      </c>
      <c r="D3161" s="94">
        <v>3324.0</v>
      </c>
    </row>
    <row r="3162">
      <c r="A3162" s="40">
        <f t="array" ref="A3162">IFNA(index(PlayerValues!A:A,match(IFNA(vlookup(B3162,'Special Names'!A:B,2,FALSE),B3162),PlayerValues!E:E,0)),"N/A")</f>
        <v>11671</v>
      </c>
      <c r="B3162" s="4" t="s">
        <v>463</v>
      </c>
      <c r="C3162" s="4" t="s">
        <v>287</v>
      </c>
      <c r="D3162" s="94">
        <v>2902.0</v>
      </c>
    </row>
    <row r="3163">
      <c r="A3163" s="40">
        <f t="array" ref="A3163">IFNA(index(PlayerValues!A:A,match(IFNA(vlookup(B3163,'Special Names'!A:B,2,FALSE),B3163),PlayerValues!E:E,0)),"N/A")</f>
        <v>17463</v>
      </c>
      <c r="B3163" s="4" t="s">
        <v>433</v>
      </c>
      <c r="C3163" s="4" t="s">
        <v>283</v>
      </c>
      <c r="D3163" s="94">
        <v>2884.0</v>
      </c>
    </row>
    <row r="3164">
      <c r="A3164" s="40">
        <f t="array" ref="A3164">IFNA(index(PlayerValues!A:A,match(IFNA(vlookup(B3164,'Special Names'!A:B,2,FALSE),B3164),PlayerValues!E:E,0)),"N/A")</f>
        <v>16080</v>
      </c>
      <c r="B3164" s="4" t="s">
        <v>499</v>
      </c>
      <c r="C3164" s="4" t="s">
        <v>287</v>
      </c>
      <c r="D3164" s="94">
        <v>2876.0</v>
      </c>
    </row>
    <row r="3165">
      <c r="A3165" s="40">
        <f t="array" ref="A3165">IFNA(index(PlayerValues!A:A,match(IFNA(vlookup(B3165,'Special Names'!A:B,2,FALSE),B3165),PlayerValues!E:E,0)),"N/A")</f>
        <v>16628</v>
      </c>
      <c r="B3165" s="4" t="s">
        <v>490</v>
      </c>
      <c r="C3165" s="4" t="s">
        <v>287</v>
      </c>
      <c r="D3165" s="94">
        <v>2849.0</v>
      </c>
    </row>
    <row r="3166">
      <c r="A3166" s="40">
        <f t="array" ref="A3166">IFNA(index(PlayerValues!A:A,match(IFNA(vlookup(B3166,'Special Names'!A:B,2,FALSE),B3166),PlayerValues!E:E,0)),"N/A")</f>
        <v>17031</v>
      </c>
      <c r="B3166" s="4" t="s">
        <v>535</v>
      </c>
      <c r="C3166" s="4" t="s">
        <v>283</v>
      </c>
      <c r="D3166" s="94">
        <v>2842.0</v>
      </c>
    </row>
    <row r="3167">
      <c r="A3167" s="40">
        <f t="array" ref="A3167">IFNA(index(PlayerValues!A:A,match(IFNA(vlookup(B3167,'Special Names'!A:B,2,FALSE),B3167),PlayerValues!E:E,0)),"N/A")</f>
        <v>17073</v>
      </c>
      <c r="B3167" s="4" t="s">
        <v>547</v>
      </c>
      <c r="C3167" s="4" t="s">
        <v>287</v>
      </c>
      <c r="D3167" s="94">
        <v>2838.0</v>
      </c>
    </row>
    <row r="3168">
      <c r="A3168" s="40">
        <f t="array" ref="A3168">IFNA(index(PlayerValues!A:A,match(IFNA(vlookup(B3168,'Special Names'!A:B,2,FALSE),B3168),PlayerValues!E:E,0)),"N/A")</f>
        <v>17072</v>
      </c>
      <c r="B3168" s="4" t="s">
        <v>508</v>
      </c>
      <c r="C3168" s="4" t="s">
        <v>287</v>
      </c>
      <c r="D3168" s="94">
        <v>2837.0</v>
      </c>
    </row>
    <row r="3169">
      <c r="A3169" s="40">
        <f t="array" ref="A3169">IFNA(index(PlayerValues!A:A,match(IFNA(vlookup(B3169,'Special Names'!A:B,2,FALSE),B3169),PlayerValues!E:E,0)),"N/A")</f>
        <v>17157</v>
      </c>
      <c r="B3169" s="4" t="s">
        <v>524</v>
      </c>
      <c r="C3169" s="4" t="s">
        <v>287</v>
      </c>
      <c r="D3169" s="94">
        <v>2837.0</v>
      </c>
    </row>
    <row r="3170">
      <c r="A3170" s="40">
        <f t="array" ref="A3170">IFNA(index(PlayerValues!A:A,match(IFNA(vlookup(B3170,'Special Names'!A:B,2,FALSE),B3170),PlayerValues!E:E,0)),"N/A")</f>
        <v>17171</v>
      </c>
      <c r="B3170" s="4" t="s">
        <v>561</v>
      </c>
      <c r="C3170" s="4" t="s">
        <v>287</v>
      </c>
      <c r="D3170" s="94">
        <v>2836.0</v>
      </c>
    </row>
    <row r="3171">
      <c r="A3171" s="40" t="str">
        <f t="array" ref="A3171">IFNA(index(PlayerValues!A:A,match(IFNA(vlookup(B3171,'Special Names'!A:B,2,FALSE),B3171),PlayerValues!E:E,0)),"N/A")</f>
        <v>N/A</v>
      </c>
      <c r="B3171" s="4" t="s">
        <v>109</v>
      </c>
      <c r="C3171" s="4" t="s">
        <v>325</v>
      </c>
      <c r="D3171" s="94">
        <v>2833.0</v>
      </c>
    </row>
    <row r="3172">
      <c r="A3172" s="40">
        <f t="array" ref="A3172">IFNA(index(PlayerValues!A:A,match(IFNA(vlookup(B3172,'Special Names'!A:B,2,FALSE),B3172),PlayerValues!E:E,0)),"N/A")</f>
        <v>16596</v>
      </c>
      <c r="B3172" s="4" t="s">
        <v>501</v>
      </c>
      <c r="C3172" s="4" t="s">
        <v>278</v>
      </c>
      <c r="D3172" s="94">
        <v>2827.0</v>
      </c>
    </row>
    <row r="3173">
      <c r="A3173" s="40">
        <f t="array" ref="A3173">IFNA(index(PlayerValues!A:A,match(IFNA(vlookup(B3173,'Special Names'!A:B,2,FALSE),B3173),PlayerValues!E:E,0)),"N/A")</f>
        <v>14071</v>
      </c>
      <c r="B3173" s="4" t="s">
        <v>440</v>
      </c>
      <c r="C3173" s="4" t="s">
        <v>278</v>
      </c>
      <c r="D3173" s="94">
        <v>2825.0</v>
      </c>
    </row>
    <row r="3174">
      <c r="A3174" s="40">
        <f t="array" ref="A3174">IFNA(index(PlayerValues!A:A,match(IFNA(vlookup(B3174,'Special Names'!A:B,2,FALSE),B3174),PlayerValues!E:E,0)),"N/A")</f>
        <v>16165</v>
      </c>
      <c r="B3174" s="4" t="s">
        <v>520</v>
      </c>
      <c r="C3174" s="4" t="s">
        <v>278</v>
      </c>
      <c r="D3174" s="94">
        <v>2814.0</v>
      </c>
    </row>
    <row r="3175">
      <c r="A3175" s="40">
        <f t="array" ref="A3175">IFNA(index(PlayerValues!A:A,match(IFNA(vlookup(B3175,'Special Names'!A:B,2,FALSE),B3175),PlayerValues!E:E,0)),"N/A")</f>
        <v>16649</v>
      </c>
      <c r="B3175" s="4" t="s">
        <v>586</v>
      </c>
      <c r="C3175" s="4" t="s">
        <v>298</v>
      </c>
      <c r="D3175" s="94">
        <v>3215.0</v>
      </c>
    </row>
    <row r="3176">
      <c r="A3176" s="40">
        <f t="array" ref="A3176">IFNA(index(PlayerValues!A:A,match(IFNA(vlookup(B3176,'Special Names'!A:B,2,FALSE),B3176),PlayerValues!E:E,0)),"N/A")</f>
        <v>17080</v>
      </c>
      <c r="B3176" s="4" t="s">
        <v>532</v>
      </c>
      <c r="C3176" s="4" t="s">
        <v>287</v>
      </c>
      <c r="D3176" s="94">
        <v>2791.0</v>
      </c>
    </row>
    <row r="3177">
      <c r="A3177" s="40">
        <f t="array" ref="A3177">IFNA(index(PlayerValues!A:A,match(IFNA(vlookup(B3177,'Special Names'!A:B,2,FALSE),B3177),PlayerValues!E:E,0)),"N/A")</f>
        <v>15255</v>
      </c>
      <c r="B3177" s="4" t="s">
        <v>477</v>
      </c>
      <c r="C3177" s="4" t="s">
        <v>278</v>
      </c>
      <c r="D3177" s="94">
        <v>2786.0</v>
      </c>
    </row>
    <row r="3178">
      <c r="A3178" s="40" t="str">
        <f t="array" ref="A3178">IFNA(index(PlayerValues!A:A,match(IFNA(vlookup(B3178,'Special Names'!A:B,2,FALSE),B3178),PlayerValues!E:E,0)),"N/A")</f>
        <v>N/A</v>
      </c>
      <c r="B3178" s="4" t="s">
        <v>85</v>
      </c>
      <c r="C3178" s="4" t="s">
        <v>325</v>
      </c>
      <c r="D3178" s="94">
        <v>2786.0</v>
      </c>
    </row>
    <row r="3179">
      <c r="A3179" s="40">
        <f t="array" ref="A3179">IFNA(index(PlayerValues!A:A,match(IFNA(vlookup(B3179,'Special Names'!A:B,2,FALSE),B3179),PlayerValues!E:E,0)),"N/A")</f>
        <v>13163</v>
      </c>
      <c r="B3179" s="4" t="s">
        <v>473</v>
      </c>
      <c r="C3179" s="4" t="s">
        <v>287</v>
      </c>
      <c r="D3179" s="94">
        <v>2785.0</v>
      </c>
    </row>
    <row r="3180">
      <c r="A3180" s="40">
        <f t="array" ref="A3180">IFNA(index(PlayerValues!A:A,match(IFNA(vlookup(B3180,'Special Names'!A:B,2,FALSE),B3180),PlayerValues!E:E,0)),"N/A")</f>
        <v>14800</v>
      </c>
      <c r="B3180" s="4" t="s">
        <v>472</v>
      </c>
      <c r="C3180" s="4" t="s">
        <v>278</v>
      </c>
      <c r="D3180" s="94">
        <v>2785.0</v>
      </c>
    </row>
    <row r="3181">
      <c r="A3181" s="40">
        <f t="array" ref="A3181">IFNA(index(PlayerValues!A:A,match(IFNA(vlookup(B3181,'Special Names'!A:B,2,FALSE),B3181),PlayerValues!E:E,0)),"N/A")</f>
        <v>17098</v>
      </c>
      <c r="B3181" s="4" t="s">
        <v>533</v>
      </c>
      <c r="C3181" s="4" t="s">
        <v>287</v>
      </c>
      <c r="D3181" s="94">
        <v>2785.0</v>
      </c>
    </row>
    <row r="3182">
      <c r="A3182" s="40">
        <f t="array" ref="A3182">IFNA(index(PlayerValues!A:A,match(IFNA(vlookup(B3182,'Special Names'!A:B,2,FALSE),B3182),PlayerValues!E:E,0)),"N/A")</f>
        <v>16597</v>
      </c>
      <c r="B3182" s="4" t="s">
        <v>427</v>
      </c>
      <c r="C3182" s="4" t="s">
        <v>278</v>
      </c>
      <c r="D3182" s="94">
        <v>2784.0</v>
      </c>
    </row>
    <row r="3183">
      <c r="A3183" s="40">
        <f t="array" ref="A3183">IFNA(index(PlayerValues!A:A,match(IFNA(vlookup(B3183,'Special Names'!A:B,2,FALSE),B3183),PlayerValues!E:E,0)),"N/A")</f>
        <v>17134</v>
      </c>
      <c r="B3183" s="4" t="s">
        <v>548</v>
      </c>
      <c r="C3183" s="4" t="s">
        <v>287</v>
      </c>
      <c r="D3183" s="94">
        <v>2773.0</v>
      </c>
    </row>
    <row r="3184">
      <c r="A3184" s="40">
        <f t="array" ref="A3184">IFNA(index(PlayerValues!A:A,match(IFNA(vlookup(B3184,'Special Names'!A:B,2,FALSE),B3184),PlayerValues!E:E,0)),"N/A")</f>
        <v>17476</v>
      </c>
      <c r="B3184" s="4" t="s">
        <v>494</v>
      </c>
      <c r="C3184" s="4" t="s">
        <v>278</v>
      </c>
      <c r="D3184" s="94">
        <v>2758.0</v>
      </c>
    </row>
    <row r="3185">
      <c r="A3185" s="40">
        <f t="array" ref="A3185">IFNA(index(PlayerValues!A:A,match(IFNA(vlookup(B3185,'Special Names'!A:B,2,FALSE),B3185),PlayerValues!E:E,0)),"N/A")</f>
        <v>14138</v>
      </c>
      <c r="B3185" s="4" t="s">
        <v>531</v>
      </c>
      <c r="C3185" s="4" t="s">
        <v>298</v>
      </c>
      <c r="D3185" s="94">
        <v>3141.0</v>
      </c>
    </row>
    <row r="3186">
      <c r="A3186" s="40">
        <f t="array" ref="A3186">IFNA(index(PlayerValues!A:A,match(IFNA(vlookup(B3186,'Special Names'!A:B,2,FALSE),B3186),PlayerValues!E:E,0)),"N/A")</f>
        <v>16747</v>
      </c>
      <c r="B3186" s="4" t="s">
        <v>555</v>
      </c>
      <c r="C3186" s="4" t="s">
        <v>278</v>
      </c>
      <c r="D3186" s="94">
        <v>2713.0</v>
      </c>
    </row>
    <row r="3187">
      <c r="A3187" s="40">
        <f t="array" ref="A3187">IFNA(index(PlayerValues!A:A,match(IFNA(vlookup(B3187,'Special Names'!A:B,2,FALSE),B3187),PlayerValues!E:E,0)),"N/A")</f>
        <v>16626</v>
      </c>
      <c r="B3187" s="4" t="s">
        <v>515</v>
      </c>
      <c r="C3187" s="4" t="s">
        <v>287</v>
      </c>
      <c r="D3187" s="94">
        <v>2709.0</v>
      </c>
    </row>
    <row r="3188">
      <c r="A3188" s="40">
        <f t="array" ref="A3188">IFNA(index(PlayerValues!A:A,match(IFNA(vlookup(B3188,'Special Names'!A:B,2,FALSE),B3188),PlayerValues!E:E,0)),"N/A")</f>
        <v>17048</v>
      </c>
      <c r="B3188" s="4" t="s">
        <v>539</v>
      </c>
      <c r="C3188" s="4" t="s">
        <v>278</v>
      </c>
      <c r="D3188" s="94">
        <v>2709.0</v>
      </c>
    </row>
    <row r="3189">
      <c r="A3189" s="40">
        <f t="array" ref="A3189">IFNA(index(PlayerValues!A:A,match(IFNA(vlookup(B3189,'Special Names'!A:B,2,FALSE),B3189),PlayerValues!E:E,0)),"N/A")</f>
        <v>17047</v>
      </c>
      <c r="B3189" s="4" t="s">
        <v>510</v>
      </c>
      <c r="C3189" s="4" t="s">
        <v>278</v>
      </c>
      <c r="D3189" s="94">
        <v>2702.0</v>
      </c>
    </row>
    <row r="3190">
      <c r="A3190" s="40">
        <f t="array" ref="A3190">IFNA(index(PlayerValues!A:A,match(IFNA(vlookup(B3190,'Special Names'!A:B,2,FALSE),B3190),PlayerValues!E:E,0)),"N/A")</f>
        <v>14778</v>
      </c>
      <c r="B3190" s="4" t="s">
        <v>564</v>
      </c>
      <c r="C3190" s="4" t="s">
        <v>283</v>
      </c>
      <c r="D3190" s="94">
        <v>2701.0</v>
      </c>
    </row>
    <row r="3191">
      <c r="A3191" s="40">
        <f t="array" ref="A3191">IFNA(index(PlayerValues!A:A,match(IFNA(vlookup(B3191,'Special Names'!A:B,2,FALSE),B3191),PlayerValues!E:E,0)),"N/A")</f>
        <v>14085</v>
      </c>
      <c r="B3191" s="4" t="s">
        <v>489</v>
      </c>
      <c r="C3191" s="4" t="s">
        <v>278</v>
      </c>
      <c r="D3191" s="94">
        <v>2688.0</v>
      </c>
    </row>
    <row r="3192">
      <c r="A3192" s="40" t="str">
        <f t="array" ref="A3192">IFNA(index(PlayerValues!A:A,match(IFNA(vlookup(B3192,'Special Names'!A:B,2,FALSE),B3192),PlayerValues!E:E,0)),"N/A")</f>
        <v>N/A</v>
      </c>
      <c r="B3192" s="4" t="s">
        <v>110</v>
      </c>
      <c r="C3192" s="4" t="s">
        <v>325</v>
      </c>
      <c r="D3192" s="94">
        <v>2659.0</v>
      </c>
    </row>
    <row r="3193">
      <c r="A3193" s="40">
        <f t="array" ref="A3193">IFNA(index(PlayerValues!A:A,match(IFNA(vlookup(B3193,'Special Names'!A:B,2,FALSE),B3193),PlayerValues!E:E,0)),"N/A")</f>
        <v>12186</v>
      </c>
      <c r="B3193" s="4" t="s">
        <v>497</v>
      </c>
      <c r="C3193" s="4" t="s">
        <v>287</v>
      </c>
      <c r="D3193" s="94">
        <v>2655.0</v>
      </c>
    </row>
    <row r="3194">
      <c r="A3194" s="40">
        <f t="array" ref="A3194">IFNA(index(PlayerValues!A:A,match(IFNA(vlookup(B3194,'Special Names'!A:B,2,FALSE),B3194),PlayerValues!E:E,0)),"N/A")</f>
        <v>17046</v>
      </c>
      <c r="B3194" s="4" t="s">
        <v>602</v>
      </c>
      <c r="C3194" s="4" t="s">
        <v>278</v>
      </c>
      <c r="D3194" s="94">
        <v>2649.0</v>
      </c>
    </row>
    <row r="3195">
      <c r="A3195" s="40">
        <f t="array" ref="A3195">IFNA(index(PlayerValues!A:A,match(IFNA(vlookup(B3195,'Special Names'!A:B,2,FALSE),B3195),PlayerValues!E:E,0)),"N/A")</f>
        <v>14833</v>
      </c>
      <c r="B3195" s="4" t="s">
        <v>553</v>
      </c>
      <c r="C3195" s="4" t="s">
        <v>287</v>
      </c>
      <c r="D3195" s="94">
        <v>2647.0</v>
      </c>
    </row>
    <row r="3196">
      <c r="A3196" s="40">
        <f t="array" ref="A3196">IFNA(index(PlayerValues!A:A,match(IFNA(vlookup(B3196,'Special Names'!A:B,2,FALSE),B3196),PlayerValues!E:E,0)),"N/A")</f>
        <v>14840</v>
      </c>
      <c r="B3196" s="4" t="s">
        <v>731</v>
      </c>
      <c r="C3196" s="4" t="s">
        <v>287</v>
      </c>
      <c r="D3196" s="94">
        <v>2640.0</v>
      </c>
    </row>
    <row r="3197">
      <c r="A3197" s="40">
        <f t="array" ref="A3197">IFNA(index(PlayerValues!A:A,match(IFNA(vlookup(B3197,'Special Names'!A:B,2,FALSE),B3197),PlayerValues!E:E,0)),"N/A")</f>
        <v>15721</v>
      </c>
      <c r="B3197" s="4" t="s">
        <v>504</v>
      </c>
      <c r="C3197" s="4" t="s">
        <v>278</v>
      </c>
      <c r="D3197" s="94">
        <v>2636.0</v>
      </c>
    </row>
    <row r="3198">
      <c r="A3198" s="40">
        <f t="array" ref="A3198">IFNA(index(PlayerValues!A:A,match(IFNA(vlookup(B3198,'Special Names'!A:B,2,FALSE),B3198),PlayerValues!E:E,0)),"N/A")</f>
        <v>13192</v>
      </c>
      <c r="B3198" s="4" t="s">
        <v>563</v>
      </c>
      <c r="C3198" s="4" t="s">
        <v>298</v>
      </c>
      <c r="D3198" s="94">
        <v>3046.0</v>
      </c>
    </row>
    <row r="3199">
      <c r="A3199" s="40">
        <f t="array" ref="A3199">IFNA(index(PlayerValues!A:A,match(IFNA(vlookup(B3199,'Special Names'!A:B,2,FALSE),B3199),PlayerValues!E:E,0)),"N/A")</f>
        <v>17108</v>
      </c>
      <c r="B3199" s="4" t="s">
        <v>542</v>
      </c>
      <c r="C3199" s="4" t="s">
        <v>298</v>
      </c>
      <c r="D3199" s="94">
        <v>3042.0</v>
      </c>
    </row>
    <row r="3200">
      <c r="A3200" s="40">
        <f t="array" ref="A3200">IFNA(index(PlayerValues!A:A,match(IFNA(vlookup(B3200,'Special Names'!A:B,2,FALSE),B3200),PlayerValues!E:E,0)),"N/A")</f>
        <v>16757</v>
      </c>
      <c r="B3200" s="4" t="s">
        <v>558</v>
      </c>
      <c r="C3200" s="4" t="s">
        <v>278</v>
      </c>
      <c r="D3200" s="94">
        <v>2611.0</v>
      </c>
    </row>
    <row r="3201">
      <c r="A3201" s="40" t="str">
        <f t="array" ref="A3201">IFNA(index(PlayerValues!A:A,match(IFNA(vlookup(B3201,'Special Names'!A:B,2,FALSE),B3201),PlayerValues!E:E,0)),"N/A")</f>
        <v>N/A</v>
      </c>
      <c r="B3201" s="4" t="s">
        <v>557</v>
      </c>
      <c r="C3201" s="4" t="s">
        <v>278</v>
      </c>
      <c r="D3201" s="94">
        <v>2593.0</v>
      </c>
    </row>
    <row r="3202">
      <c r="A3202" s="40">
        <f t="array" ref="A3202">IFNA(index(PlayerValues!A:A,match(IFNA(vlookup(B3202,'Special Names'!A:B,2,FALSE),B3202),PlayerValues!E:E,0)),"N/A")</f>
        <v>16152</v>
      </c>
      <c r="B3202" s="4" t="s">
        <v>601</v>
      </c>
      <c r="C3202" s="4" t="s">
        <v>283</v>
      </c>
      <c r="D3202" s="94">
        <v>2585.0</v>
      </c>
    </row>
    <row r="3203">
      <c r="A3203" s="40">
        <f t="array" ref="A3203">IFNA(index(PlayerValues!A:A,match(IFNA(vlookup(B3203,'Special Names'!A:B,2,FALSE),B3203),PlayerValues!E:E,0)),"N/A")</f>
        <v>13674</v>
      </c>
      <c r="B3203" s="4" t="s">
        <v>511</v>
      </c>
      <c r="C3203" s="4" t="s">
        <v>298</v>
      </c>
      <c r="D3203" s="94">
        <v>2993.0</v>
      </c>
    </row>
    <row r="3204">
      <c r="A3204" s="40">
        <f t="array" ref="A3204">IFNA(index(PlayerValues!A:A,match(IFNA(vlookup(B3204,'Special Names'!A:B,2,FALSE),B3204),PlayerValues!E:E,0)),"N/A")</f>
        <v>17078</v>
      </c>
      <c r="B3204" s="4" t="s">
        <v>543</v>
      </c>
      <c r="C3204" s="4" t="s">
        <v>287</v>
      </c>
      <c r="D3204" s="94">
        <v>2566.0</v>
      </c>
    </row>
    <row r="3205">
      <c r="A3205" s="40">
        <f t="array" ref="A3205">IFNA(index(PlayerValues!A:A,match(IFNA(vlookup(B3205,'Special Names'!A:B,2,FALSE),B3205),PlayerValues!E:E,0)),"N/A")</f>
        <v>16166</v>
      </c>
      <c r="B3205" s="4" t="s">
        <v>567</v>
      </c>
      <c r="C3205" s="4" t="s">
        <v>278</v>
      </c>
      <c r="D3205" s="94">
        <v>2565.0</v>
      </c>
    </row>
    <row r="3206">
      <c r="A3206" s="40">
        <f t="array" ref="A3206">IFNA(index(PlayerValues!A:A,match(IFNA(vlookup(B3206,'Special Names'!A:B,2,FALSE),B3206),PlayerValues!E:E,0)),"N/A")</f>
        <v>13671</v>
      </c>
      <c r="B3206" s="4" t="s">
        <v>506</v>
      </c>
      <c r="C3206" s="4" t="s">
        <v>298</v>
      </c>
      <c r="D3206" s="94">
        <v>2968.0</v>
      </c>
    </row>
    <row r="3207">
      <c r="A3207" s="40">
        <f t="array" ref="A3207">IFNA(index(PlayerValues!A:A,match(IFNA(vlookup(B3207,'Special Names'!A:B,2,FALSE),B3207),PlayerValues!E:E,0)),"N/A")</f>
        <v>17505</v>
      </c>
      <c r="B3207" s="4" t="s">
        <v>528</v>
      </c>
      <c r="C3207" s="4" t="s">
        <v>287</v>
      </c>
      <c r="D3207" s="94">
        <v>2559.0</v>
      </c>
    </row>
    <row r="3208">
      <c r="A3208" s="40">
        <f t="array" ref="A3208">IFNA(index(PlayerValues!A:A,match(IFNA(vlookup(B3208,'Special Names'!A:B,2,FALSE),B3208),PlayerValues!E:E,0)),"N/A")</f>
        <v>14136</v>
      </c>
      <c r="B3208" s="4" t="s">
        <v>536</v>
      </c>
      <c r="C3208" s="4" t="s">
        <v>287</v>
      </c>
      <c r="D3208" s="94">
        <v>2551.0</v>
      </c>
    </row>
    <row r="3209">
      <c r="A3209" s="40">
        <f t="array" ref="A3209">IFNA(index(PlayerValues!A:A,match(IFNA(vlookup(B3209,'Special Names'!A:B,2,FALSE),B3209),PlayerValues!E:E,0)),"N/A")</f>
        <v>16189</v>
      </c>
      <c r="B3209" s="4" t="s">
        <v>582</v>
      </c>
      <c r="C3209" s="4" t="s">
        <v>287</v>
      </c>
      <c r="D3209" s="94">
        <v>2541.0</v>
      </c>
    </row>
    <row r="3210">
      <c r="A3210" s="40">
        <f t="array" ref="A3210">IFNA(index(PlayerValues!A:A,match(IFNA(vlookup(B3210,'Special Names'!A:B,2,FALSE),B3210),PlayerValues!E:E,0)),"N/A")</f>
        <v>16164</v>
      </c>
      <c r="B3210" s="4" t="s">
        <v>512</v>
      </c>
      <c r="C3210" s="4" t="s">
        <v>278</v>
      </c>
      <c r="D3210" s="94">
        <v>2523.0</v>
      </c>
    </row>
    <row r="3211">
      <c r="A3211" s="40">
        <f t="array" ref="A3211">IFNA(index(PlayerValues!A:A,match(IFNA(vlookup(B3211,'Special Names'!A:B,2,FALSE),B3211),PlayerValues!E:E,0)),"N/A")</f>
        <v>16617</v>
      </c>
      <c r="B3211" s="4" t="s">
        <v>541</v>
      </c>
      <c r="C3211" s="4" t="s">
        <v>287</v>
      </c>
      <c r="D3211" s="94">
        <v>2514.0</v>
      </c>
    </row>
    <row r="3212">
      <c r="A3212" s="40">
        <f t="array" ref="A3212">IFNA(index(PlayerValues!A:A,match(IFNA(vlookup(B3212,'Special Names'!A:B,2,FALSE),B3212),PlayerValues!E:E,0)),"N/A")</f>
        <v>12616</v>
      </c>
      <c r="B3212" s="4" t="s">
        <v>529</v>
      </c>
      <c r="C3212" s="4" t="s">
        <v>283</v>
      </c>
      <c r="D3212" s="94">
        <v>2503.0</v>
      </c>
    </row>
    <row r="3213">
      <c r="A3213" s="40">
        <f t="array" ref="A3213">IFNA(index(PlayerValues!A:A,match(IFNA(vlookup(B3213,'Special Names'!A:B,2,FALSE),B3213),PlayerValues!E:E,0)),"N/A")</f>
        <v>15972</v>
      </c>
      <c r="B3213" s="4" t="s">
        <v>469</v>
      </c>
      <c r="C3213" s="4" t="s">
        <v>278</v>
      </c>
      <c r="D3213" s="94">
        <v>2477.0</v>
      </c>
    </row>
    <row r="3214">
      <c r="A3214" s="40" t="str">
        <f t="array" ref="A3214">IFNA(index(PlayerValues!A:A,match(IFNA(vlookup(B3214,'Special Names'!A:B,2,FALSE),B3214),PlayerValues!E:E,0)),"N/A")</f>
        <v>N/A</v>
      </c>
      <c r="B3214" s="4" t="s">
        <v>98</v>
      </c>
      <c r="C3214" s="4" t="s">
        <v>325</v>
      </c>
      <c r="D3214" s="94">
        <v>2468.0</v>
      </c>
    </row>
    <row r="3215">
      <c r="A3215" s="40">
        <f t="array" ref="A3215">IFNA(index(PlayerValues!A:A,match(IFNA(vlookup(B3215,'Special Names'!A:B,2,FALSE),B3215),PlayerValues!E:E,0)),"N/A")</f>
        <v>17474</v>
      </c>
      <c r="B3215" s="4" t="s">
        <v>513</v>
      </c>
      <c r="C3215" s="4" t="s">
        <v>278</v>
      </c>
      <c r="D3215" s="94">
        <v>2468.0</v>
      </c>
    </row>
    <row r="3216">
      <c r="A3216" s="40">
        <f t="array" ref="A3216">IFNA(index(PlayerValues!A:A,match(IFNA(vlookup(B3216,'Special Names'!A:B,2,FALSE),B3216),PlayerValues!E:E,0)),"N/A")</f>
        <v>16287</v>
      </c>
      <c r="B3216" s="4" t="s">
        <v>516</v>
      </c>
      <c r="C3216" s="4" t="s">
        <v>287</v>
      </c>
      <c r="D3216" s="94">
        <v>2466.0</v>
      </c>
    </row>
    <row r="3217">
      <c r="A3217" s="40">
        <f t="array" ref="A3217">IFNA(index(PlayerValues!A:A,match(IFNA(vlookup(B3217,'Special Names'!A:B,2,FALSE),B3217),PlayerValues!E:E,0)),"N/A")</f>
        <v>17033</v>
      </c>
      <c r="B3217" s="4" t="s">
        <v>570</v>
      </c>
      <c r="C3217" s="4" t="s">
        <v>283</v>
      </c>
      <c r="D3217" s="94">
        <v>2437.0</v>
      </c>
    </row>
    <row r="3218">
      <c r="A3218" s="40">
        <f t="array" ref="A3218">IFNA(index(PlayerValues!A:A,match(IFNA(vlookup(B3218,'Special Names'!A:B,2,FALSE),B3218),PlayerValues!E:E,0)),"N/A")</f>
        <v>16204</v>
      </c>
      <c r="B3218" s="4" t="s">
        <v>530</v>
      </c>
      <c r="C3218" s="4" t="s">
        <v>287</v>
      </c>
      <c r="D3218" s="94">
        <v>2424.0</v>
      </c>
    </row>
    <row r="3219">
      <c r="A3219" s="40">
        <f t="array" ref="A3219">IFNA(index(PlayerValues!A:A,match(IFNA(vlookup(B3219,'Special Names'!A:B,2,FALSE),B3219),PlayerValues!E:E,0)),"N/A")</f>
        <v>14861</v>
      </c>
      <c r="B3219" s="4" t="s">
        <v>523</v>
      </c>
      <c r="C3219" s="4" t="s">
        <v>298</v>
      </c>
      <c r="D3219" s="94">
        <v>2825.0</v>
      </c>
    </row>
    <row r="3220">
      <c r="A3220" s="40">
        <f t="array" ref="A3220">IFNA(index(PlayerValues!A:A,match(IFNA(vlookup(B3220,'Special Names'!A:B,2,FALSE),B3220),PlayerValues!E:E,0)),"N/A")</f>
        <v>12676</v>
      </c>
      <c r="B3220" s="4" t="s">
        <v>537</v>
      </c>
      <c r="C3220" s="4" t="s">
        <v>298</v>
      </c>
      <c r="D3220" s="94">
        <v>2813.0</v>
      </c>
    </row>
    <row r="3221">
      <c r="A3221" s="40">
        <f t="array" ref="A3221">IFNA(index(PlayerValues!A:A,match(IFNA(vlookup(B3221,'Special Names'!A:B,2,FALSE),B3221),PlayerValues!E:E,0)),"N/A")</f>
        <v>17105</v>
      </c>
      <c r="B3221" s="4" t="s">
        <v>525</v>
      </c>
      <c r="C3221" s="4" t="s">
        <v>298</v>
      </c>
      <c r="D3221" s="94">
        <v>2809.0</v>
      </c>
    </row>
    <row r="3222">
      <c r="A3222" s="40">
        <f t="array" ref="A3222">IFNA(index(PlayerValues!A:A,match(IFNA(vlookup(B3222,'Special Names'!A:B,2,FALSE),B3222),PlayerValues!E:E,0)),"N/A")</f>
        <v>17507</v>
      </c>
      <c r="B3222" s="4" t="s">
        <v>495</v>
      </c>
      <c r="C3222" s="4" t="s">
        <v>287</v>
      </c>
      <c r="D3222" s="94">
        <v>2400.0</v>
      </c>
    </row>
    <row r="3223">
      <c r="A3223" s="40">
        <f t="array" ref="A3223">IFNA(index(PlayerValues!A:A,match(IFNA(vlookup(B3223,'Special Names'!A:B,2,FALSE),B3223),PlayerValues!E:E,0)),"N/A")</f>
        <v>16610</v>
      </c>
      <c r="B3223" s="4" t="s">
        <v>562</v>
      </c>
      <c r="C3223" s="4" t="s">
        <v>278</v>
      </c>
      <c r="D3223" s="94">
        <v>2394.0</v>
      </c>
    </row>
    <row r="3224">
      <c r="A3224" s="40">
        <f t="array" ref="A3224">IFNA(index(PlayerValues!A:A,match(IFNA(vlookup(B3224,'Special Names'!A:B,2,FALSE),B3224),PlayerValues!E:E,0)),"N/A")</f>
        <v>17511</v>
      </c>
      <c r="B3224" s="4" t="s">
        <v>485</v>
      </c>
      <c r="C3224" s="4" t="s">
        <v>287</v>
      </c>
      <c r="D3224" s="94">
        <v>2376.0</v>
      </c>
    </row>
    <row r="3225">
      <c r="A3225" s="40">
        <f t="array" ref="A3225">IFNA(index(PlayerValues!A:A,match(IFNA(vlookup(B3225,'Special Names'!A:B,2,FALSE),B3225),PlayerValues!E:E,0)),"N/A")</f>
        <v>15716</v>
      </c>
      <c r="B3225" s="4" t="s">
        <v>545</v>
      </c>
      <c r="C3225" s="4" t="s">
        <v>278</v>
      </c>
      <c r="D3225" s="94">
        <v>2360.0</v>
      </c>
    </row>
    <row r="3226">
      <c r="A3226" s="40">
        <f t="array" ref="A3226">IFNA(index(PlayerValues!A:A,match(IFNA(vlookup(B3226,'Special Names'!A:B,2,FALSE),B3226),PlayerValues!E:E,0)),"N/A")</f>
        <v>17464</v>
      </c>
      <c r="B3226" s="4" t="s">
        <v>828</v>
      </c>
      <c r="C3226" s="4" t="s">
        <v>283</v>
      </c>
      <c r="D3226" s="94">
        <v>2358.0</v>
      </c>
    </row>
    <row r="3227">
      <c r="A3227" s="40">
        <f t="array" ref="A3227">IFNA(index(PlayerValues!A:A,match(IFNA(vlookup(B3227,'Special Names'!A:B,2,FALSE),B3227),PlayerValues!E:E,0)),"N/A")</f>
        <v>13132</v>
      </c>
      <c r="B3227" s="4" t="s">
        <v>598</v>
      </c>
      <c r="C3227" s="4" t="s">
        <v>278</v>
      </c>
      <c r="D3227" s="94">
        <v>2357.0</v>
      </c>
    </row>
    <row r="3228">
      <c r="A3228" s="40">
        <f t="array" ref="A3228">IFNA(index(PlayerValues!A:A,match(IFNA(vlookup(B3228,'Special Names'!A:B,2,FALSE),B3228),PlayerValues!E:E,0)),"N/A")</f>
        <v>15802</v>
      </c>
      <c r="B3228" s="4" t="s">
        <v>566</v>
      </c>
      <c r="C3228" s="4" t="s">
        <v>298</v>
      </c>
      <c r="D3228" s="94">
        <v>2749.0</v>
      </c>
    </row>
    <row r="3229">
      <c r="A3229" s="40">
        <f t="array" ref="A3229">IFNA(index(PlayerValues!A:A,match(IFNA(vlookup(B3229,'Special Names'!A:B,2,FALSE),B3229),PlayerValues!E:E,0)),"N/A")</f>
        <v>16178</v>
      </c>
      <c r="B3229" s="4" t="s">
        <v>507</v>
      </c>
      <c r="C3229" s="4" t="s">
        <v>278</v>
      </c>
      <c r="D3229" s="94">
        <v>2347.0</v>
      </c>
    </row>
    <row r="3230">
      <c r="A3230" s="40" t="str">
        <f t="array" ref="A3230">IFNA(index(PlayerValues!A:A,match(IFNA(vlookup(B3230,'Special Names'!A:B,2,FALSE),B3230),PlayerValues!E:E,0)),"N/A")</f>
        <v>N/A</v>
      </c>
      <c r="B3230" s="4" t="s">
        <v>86</v>
      </c>
      <c r="C3230" s="4" t="s">
        <v>325</v>
      </c>
      <c r="D3230" s="94">
        <v>2341.0</v>
      </c>
    </row>
    <row r="3231">
      <c r="A3231" s="40">
        <f t="array" ref="A3231">IFNA(index(PlayerValues!A:A,match(IFNA(vlookup(B3231,'Special Names'!A:B,2,FALSE),B3231),PlayerValues!E:E,0)),"N/A")</f>
        <v>13772</v>
      </c>
      <c r="B3231" s="4" t="s">
        <v>544</v>
      </c>
      <c r="C3231" s="4" t="s">
        <v>298</v>
      </c>
      <c r="D3231" s="94">
        <v>2738.0</v>
      </c>
    </row>
    <row r="3232">
      <c r="A3232" s="40">
        <f t="array" ref="A3232">IFNA(index(PlayerValues!A:A,match(IFNA(vlookup(B3232,'Special Names'!A:B,2,FALSE),B3232),PlayerValues!E:E,0)),"N/A")</f>
        <v>17079</v>
      </c>
      <c r="B3232" s="4" t="s">
        <v>572</v>
      </c>
      <c r="C3232" s="4" t="s">
        <v>287</v>
      </c>
      <c r="D3232" s="94">
        <v>2320.0</v>
      </c>
    </row>
    <row r="3233">
      <c r="A3233" s="40">
        <f t="array" ref="A3233">IFNA(index(PlayerValues!A:A,match(IFNA(vlookup(B3233,'Special Names'!A:B,2,FALSE),B3233),PlayerValues!E:E,0)),"N/A")</f>
        <v>16212</v>
      </c>
      <c r="B3233" s="4" t="s">
        <v>568</v>
      </c>
      <c r="C3233" s="4" t="s">
        <v>298</v>
      </c>
      <c r="D3233" s="94">
        <v>2712.0</v>
      </c>
    </row>
    <row r="3234">
      <c r="A3234" s="40">
        <f t="array" ref="A3234">IFNA(index(PlayerValues!A:A,match(IFNA(vlookup(B3234,'Special Names'!A:B,2,FALSE),B3234),PlayerValues!E:E,0)),"N/A")</f>
        <v>17049</v>
      </c>
      <c r="B3234" s="4" t="s">
        <v>624</v>
      </c>
      <c r="C3234" s="4" t="s">
        <v>278</v>
      </c>
      <c r="D3234" s="94">
        <v>2307.0</v>
      </c>
    </row>
    <row r="3235">
      <c r="A3235" s="40">
        <f t="array" ref="A3235">IFNA(index(PlayerValues!A:A,match(IFNA(vlookup(B3235,'Special Names'!A:B,2,FALSE),B3235),PlayerValues!E:E,0)),"N/A")</f>
        <v>12801</v>
      </c>
      <c r="B3235" s="4" t="s">
        <v>722</v>
      </c>
      <c r="C3235" s="4" t="s">
        <v>287</v>
      </c>
      <c r="D3235" s="94">
        <v>2306.0</v>
      </c>
    </row>
    <row r="3236">
      <c r="A3236" s="40" t="str">
        <f t="array" ref="A3236">IFNA(index(PlayerValues!A:A,match(IFNA(vlookup(B3236,'Special Names'!A:B,2,FALSE),B3236),PlayerValues!E:E,0)),"N/A")</f>
        <v>N/A</v>
      </c>
      <c r="B3236" s="4" t="s">
        <v>99</v>
      </c>
      <c r="C3236" s="4" t="s">
        <v>325</v>
      </c>
      <c r="D3236" s="94">
        <v>2298.0</v>
      </c>
    </row>
    <row r="3237">
      <c r="A3237" s="40">
        <f t="array" ref="A3237">IFNA(index(PlayerValues!A:A,match(IFNA(vlookup(B3237,'Special Names'!A:B,2,FALSE),B3237),PlayerValues!E:E,0)),"N/A")</f>
        <v>17034</v>
      </c>
      <c r="B3237" s="4" t="s">
        <v>643</v>
      </c>
      <c r="C3237" s="4" t="s">
        <v>283</v>
      </c>
      <c r="D3237" s="94">
        <v>2297.0</v>
      </c>
    </row>
    <row r="3238">
      <c r="A3238" s="40">
        <f t="array" ref="A3238">IFNA(index(PlayerValues!A:A,match(IFNA(vlookup(B3238,'Special Names'!A:B,2,FALSE),B3238),PlayerValues!E:E,0)),"N/A")</f>
        <v>16036</v>
      </c>
      <c r="B3238" s="4" t="s">
        <v>592</v>
      </c>
      <c r="C3238" s="4" t="s">
        <v>298</v>
      </c>
      <c r="D3238" s="94">
        <v>2668.0</v>
      </c>
    </row>
    <row r="3239">
      <c r="A3239" s="40">
        <f t="array" ref="A3239">IFNA(index(PlayerValues!A:A,match(IFNA(vlookup(B3239,'Special Names'!A:B,2,FALSE),B3239),PlayerValues!E:E,0)),"N/A")</f>
        <v>17076</v>
      </c>
      <c r="B3239" s="4" t="s">
        <v>585</v>
      </c>
      <c r="C3239" s="4" t="s">
        <v>287</v>
      </c>
      <c r="D3239" s="94">
        <v>2268.0</v>
      </c>
    </row>
    <row r="3240">
      <c r="A3240" s="40">
        <f t="array" ref="A3240">IFNA(index(PlayerValues!A:A,match(IFNA(vlookup(B3240,'Special Names'!A:B,2,FALSE),B3240),PlayerValues!E:E,0)),"N/A")</f>
        <v>17544</v>
      </c>
      <c r="B3240" s="4" t="s">
        <v>470</v>
      </c>
      <c r="C3240" s="4" t="s">
        <v>298</v>
      </c>
      <c r="D3240" s="94">
        <v>2664.0</v>
      </c>
    </row>
    <row r="3241">
      <c r="A3241" s="40">
        <f t="array" ref="A3241">IFNA(index(PlayerValues!A:A,match(IFNA(vlookup(B3241,'Special Names'!A:B,2,FALSE),B3241),PlayerValues!E:E,0)),"N/A")</f>
        <v>16171</v>
      </c>
      <c r="B3241" s="4" t="s">
        <v>618</v>
      </c>
      <c r="C3241" s="4" t="s">
        <v>278</v>
      </c>
      <c r="D3241" s="94">
        <v>2255.0</v>
      </c>
    </row>
    <row r="3242">
      <c r="A3242" s="40">
        <f t="array" ref="A3242">IFNA(index(PlayerValues!A:A,match(IFNA(vlookup(B3242,'Special Names'!A:B,2,FALSE),B3242),PlayerValues!E:E,0)),"N/A")</f>
        <v>16342</v>
      </c>
      <c r="B3242" s="4" t="s">
        <v>583</v>
      </c>
      <c r="C3242" s="4" t="s">
        <v>287</v>
      </c>
      <c r="D3242" s="94">
        <v>2218.0</v>
      </c>
    </row>
    <row r="3243">
      <c r="A3243" s="40">
        <f t="array" ref="A3243">IFNA(index(PlayerValues!A:A,match(IFNA(vlookup(B3243,'Special Names'!A:B,2,FALSE),B3243),PlayerValues!E:E,0)),"N/A")</f>
        <v>13319</v>
      </c>
      <c r="B3243" s="4" t="s">
        <v>549</v>
      </c>
      <c r="C3243" s="4" t="s">
        <v>278</v>
      </c>
      <c r="D3243" s="94">
        <v>2217.0</v>
      </c>
    </row>
    <row r="3244">
      <c r="A3244" s="40">
        <f t="array" ref="A3244">IFNA(index(PlayerValues!A:A,match(IFNA(vlookup(B3244,'Special Names'!A:B,2,FALSE),B3244),PlayerValues!E:E,0)),"N/A")</f>
        <v>17506</v>
      </c>
      <c r="B3244" s="4" t="s">
        <v>471</v>
      </c>
      <c r="C3244" s="4" t="s">
        <v>287</v>
      </c>
      <c r="D3244" s="94">
        <v>2209.0</v>
      </c>
    </row>
    <row r="3245">
      <c r="A3245" s="40">
        <f t="array" ref="A3245">IFNA(index(PlayerValues!A:A,match(IFNA(vlookup(B3245,'Special Names'!A:B,2,FALSE),B3245),PlayerValues!E:E,0)),"N/A")</f>
        <v>17509</v>
      </c>
      <c r="B3245" s="4" t="s">
        <v>551</v>
      </c>
      <c r="C3245" s="4" t="s">
        <v>287</v>
      </c>
      <c r="D3245" s="94">
        <v>2209.0</v>
      </c>
    </row>
    <row r="3246">
      <c r="A3246" s="40">
        <f t="array" ref="A3246">IFNA(index(PlayerValues!A:A,match(IFNA(vlookup(B3246,'Special Names'!A:B,2,FALSE),B3246),PlayerValues!E:E,0)),"N/A")</f>
        <v>16195</v>
      </c>
      <c r="B3246" s="4" t="s">
        <v>509</v>
      </c>
      <c r="C3246" s="4" t="s">
        <v>287</v>
      </c>
      <c r="D3246" s="94">
        <v>2204.0</v>
      </c>
    </row>
    <row r="3247">
      <c r="A3247" s="40">
        <f t="array" ref="A3247">IFNA(index(PlayerValues!A:A,match(IFNA(vlookup(B3247,'Special Names'!A:B,2,FALSE),B3247),PlayerValues!E:E,0)),"N/A")</f>
        <v>16639</v>
      </c>
      <c r="B3247" s="4" t="s">
        <v>599</v>
      </c>
      <c r="C3247" s="4" t="s">
        <v>287</v>
      </c>
      <c r="D3247" s="94">
        <v>2203.0</v>
      </c>
    </row>
    <row r="3248">
      <c r="A3248" s="40">
        <f t="array" ref="A3248">IFNA(index(PlayerValues!A:A,match(IFNA(vlookup(B3248,'Special Names'!A:B,2,FALSE),B3248),PlayerValues!E:E,0)),"N/A")</f>
        <v>15889</v>
      </c>
      <c r="B3248" s="4" t="s">
        <v>503</v>
      </c>
      <c r="C3248" s="4" t="s">
        <v>298</v>
      </c>
      <c r="D3248" s="94">
        <v>2593.0</v>
      </c>
    </row>
    <row r="3249">
      <c r="A3249" s="40">
        <f t="array" ref="A3249">IFNA(index(PlayerValues!A:A,match(IFNA(vlookup(B3249,'Special Names'!A:B,2,FALSE),B3249),PlayerValues!E:E,0)),"N/A")</f>
        <v>16684</v>
      </c>
      <c r="B3249" s="4" t="s">
        <v>500</v>
      </c>
      <c r="C3249" s="4" t="s">
        <v>287</v>
      </c>
      <c r="D3249" s="94">
        <v>2194.0</v>
      </c>
    </row>
    <row r="3250">
      <c r="A3250" s="40" t="str">
        <f t="array" ref="A3250">IFNA(index(PlayerValues!A:A,match(IFNA(vlookup(B3250,'Special Names'!A:B,2,FALSE),B3250),PlayerValues!E:E,0)),"N/A")</f>
        <v>N/A</v>
      </c>
      <c r="B3250" s="4" t="s">
        <v>100</v>
      </c>
      <c r="C3250" s="4" t="s">
        <v>325</v>
      </c>
      <c r="D3250" s="94">
        <v>2171.0</v>
      </c>
    </row>
    <row r="3251">
      <c r="A3251" s="40" t="str">
        <f t="array" ref="A3251">IFNA(index(PlayerValues!A:A,match(IFNA(vlookup(B3251,'Special Names'!A:B,2,FALSE),B3251),PlayerValues!E:E,0)),"N/A")</f>
        <v>N/A</v>
      </c>
      <c r="B3251" s="4" t="s">
        <v>87</v>
      </c>
      <c r="C3251" s="4" t="s">
        <v>325</v>
      </c>
      <c r="D3251" s="94">
        <v>2166.0</v>
      </c>
    </row>
    <row r="3252">
      <c r="A3252" s="40">
        <f t="array" ref="A3252">IFNA(index(PlayerValues!A:A,match(IFNA(vlookup(B3252,'Special Names'!A:B,2,FALSE),B3252),PlayerValues!E:E,0)),"N/A")</f>
        <v>16752</v>
      </c>
      <c r="B3252" s="4" t="s">
        <v>597</v>
      </c>
      <c r="C3252" s="4" t="s">
        <v>278</v>
      </c>
      <c r="D3252" s="94">
        <v>2162.0</v>
      </c>
    </row>
    <row r="3253">
      <c r="A3253" s="40">
        <f t="array" ref="A3253">IFNA(index(PlayerValues!A:A,match(IFNA(vlookup(B3253,'Special Names'!A:B,2,FALSE),B3253),PlayerValues!E:E,0)),"N/A")</f>
        <v>17087</v>
      </c>
      <c r="B3253" s="4" t="s">
        <v>600</v>
      </c>
      <c r="C3253" s="4" t="s">
        <v>287</v>
      </c>
      <c r="D3253" s="94">
        <v>2148.0</v>
      </c>
    </row>
    <row r="3254">
      <c r="A3254" s="40" t="str">
        <f t="array" ref="A3254">IFNA(index(PlayerValues!A:A,match(IFNA(vlookup(B3254,'Special Names'!A:B,2,FALSE),B3254),PlayerValues!E:E,0)),"N/A")</f>
        <v>N/A</v>
      </c>
      <c r="B3254" s="4" t="s">
        <v>112</v>
      </c>
      <c r="C3254" s="4" t="s">
        <v>325</v>
      </c>
      <c r="D3254" s="94">
        <v>2148.0</v>
      </c>
    </row>
    <row r="3255">
      <c r="A3255" s="40">
        <f t="array" ref="A3255">IFNA(index(PlayerValues!A:A,match(IFNA(vlookup(B3255,'Special Names'!A:B,2,FALSE),B3255),PlayerValues!E:E,0)),"N/A")</f>
        <v>15749</v>
      </c>
      <c r="B3255" s="4" t="s">
        <v>574</v>
      </c>
      <c r="C3255" s="4" t="s">
        <v>278</v>
      </c>
      <c r="D3255" s="94">
        <v>2146.0</v>
      </c>
    </row>
    <row r="3256">
      <c r="A3256" s="40">
        <f t="array" ref="A3256">IFNA(index(PlayerValues!A:A,match(IFNA(vlookup(B3256,'Special Names'!A:B,2,FALSE),B3256),PlayerValues!E:E,0)),"N/A")</f>
        <v>16191</v>
      </c>
      <c r="B3256" s="4" t="s">
        <v>666</v>
      </c>
      <c r="C3256" s="4" t="s">
        <v>287</v>
      </c>
      <c r="D3256" s="94">
        <v>2141.0</v>
      </c>
    </row>
    <row r="3257">
      <c r="A3257" s="40">
        <f t="array" ref="A3257">IFNA(index(PlayerValues!A:A,match(IFNA(vlookup(B3257,'Special Names'!A:B,2,FALSE),B3257),PlayerValues!E:E,0)),"N/A")</f>
        <v>17069</v>
      </c>
      <c r="B3257" s="4" t="s">
        <v>604</v>
      </c>
      <c r="C3257" s="4" t="s">
        <v>278</v>
      </c>
      <c r="D3257" s="94">
        <v>2136.0</v>
      </c>
    </row>
    <row r="3258">
      <c r="A3258" s="40">
        <f t="array" ref="A3258">IFNA(index(PlayerValues!A:A,match(IFNA(vlookup(B3258,'Special Names'!A:B,2,FALSE),B3258),PlayerValues!E:E,0)),"N/A")</f>
        <v>15238</v>
      </c>
      <c r="B3258" s="4" t="s">
        <v>613</v>
      </c>
      <c r="C3258" s="4" t="s">
        <v>283</v>
      </c>
      <c r="D3258" s="94">
        <v>2131.0</v>
      </c>
    </row>
    <row r="3259">
      <c r="A3259" s="40">
        <f t="array" ref="A3259">IFNA(index(PlayerValues!A:A,match(IFNA(vlookup(B3259,'Special Names'!A:B,2,FALSE),B3259),PlayerValues!E:E,0)),"N/A")</f>
        <v>14867</v>
      </c>
      <c r="B3259" s="4" t="s">
        <v>591</v>
      </c>
      <c r="C3259" s="4" t="s">
        <v>298</v>
      </c>
      <c r="D3259" s="94">
        <v>2518.0</v>
      </c>
    </row>
    <row r="3260">
      <c r="A3260" s="40">
        <f t="array" ref="A3260">IFNA(index(PlayerValues!A:A,match(IFNA(vlookup(B3260,'Special Names'!A:B,2,FALSE),B3260),PlayerValues!E:E,0)),"N/A")</f>
        <v>16644</v>
      </c>
      <c r="B3260" s="4" t="s">
        <v>640</v>
      </c>
      <c r="C3260" s="4" t="s">
        <v>298</v>
      </c>
      <c r="D3260" s="94">
        <v>2513.0</v>
      </c>
    </row>
    <row r="3261">
      <c r="A3261" s="40">
        <f t="array" ref="A3261">IFNA(index(PlayerValues!A:A,match(IFNA(vlookup(B3261,'Special Names'!A:B,2,FALSE),B3261),PlayerValues!E:E,0)),"N/A")</f>
        <v>14871</v>
      </c>
      <c r="B3261" s="4" t="s">
        <v>584</v>
      </c>
      <c r="C3261" s="4" t="s">
        <v>298</v>
      </c>
      <c r="D3261" s="94">
        <v>2505.0</v>
      </c>
    </row>
    <row r="3262">
      <c r="A3262" s="40" t="str">
        <f t="array" ref="A3262">IFNA(index(PlayerValues!A:A,match(IFNA(vlookup(B3262,'Special Names'!A:B,2,FALSE),B3262),PlayerValues!E:E,0)),"N/A")</f>
        <v>N/A</v>
      </c>
      <c r="B3262" s="4" t="s">
        <v>88</v>
      </c>
      <c r="C3262" s="4" t="s">
        <v>325</v>
      </c>
      <c r="D3262" s="94">
        <v>2112.0</v>
      </c>
    </row>
    <row r="3263">
      <c r="A3263" s="40">
        <f t="array" ref="A3263">IFNA(index(PlayerValues!A:A,match(IFNA(vlookup(B3263,'Special Names'!A:B,2,FALSE),B3263),PlayerValues!E:E,0)),"N/A")</f>
        <v>17478</v>
      </c>
      <c r="B3263" s="4" t="s">
        <v>527</v>
      </c>
      <c r="C3263" s="4" t="s">
        <v>278</v>
      </c>
      <c r="D3263" s="94">
        <v>2098.0</v>
      </c>
    </row>
    <row r="3264">
      <c r="A3264" s="40">
        <f t="array" ref="A3264">IFNA(index(PlayerValues!A:A,match(IFNA(vlookup(B3264,'Special Names'!A:B,2,FALSE),B3264),PlayerValues!E:E,0)),"N/A")</f>
        <v>17056</v>
      </c>
      <c r="B3264" s="4" t="s">
        <v>581</v>
      </c>
      <c r="C3264" s="4" t="s">
        <v>278</v>
      </c>
      <c r="D3264" s="94">
        <v>2090.0</v>
      </c>
    </row>
    <row r="3265">
      <c r="A3265" s="40">
        <f t="array" ref="A3265">IFNA(index(PlayerValues!A:A,match(IFNA(vlookup(B3265,'Special Names'!A:B,2,FALSE),B3265),PlayerValues!E:E,0)),"N/A")</f>
        <v>16432</v>
      </c>
      <c r="B3265" s="4" t="s">
        <v>620</v>
      </c>
      <c r="C3265" s="4" t="s">
        <v>278</v>
      </c>
      <c r="D3265" s="94">
        <v>2088.0</v>
      </c>
    </row>
    <row r="3266">
      <c r="A3266" s="40">
        <f t="array" ref="A3266">IFNA(index(PlayerValues!A:A,match(IFNA(vlookup(B3266,'Special Names'!A:B,2,FALSE),B3266),PlayerValues!E:E,0)),"N/A")</f>
        <v>16643</v>
      </c>
      <c r="B3266" s="4" t="s">
        <v>609</v>
      </c>
      <c r="C3266" s="4" t="s">
        <v>298</v>
      </c>
      <c r="D3266" s="94">
        <v>2469.0</v>
      </c>
    </row>
    <row r="3267">
      <c r="A3267" s="40">
        <f t="array" ref="A3267">IFNA(index(PlayerValues!A:A,match(IFNA(vlookup(B3267,'Special Names'!A:B,2,FALSE),B3267),PlayerValues!E:E,0)),"N/A")</f>
        <v>17060</v>
      </c>
      <c r="B3267" s="4" t="s">
        <v>603</v>
      </c>
      <c r="C3267" s="4" t="s">
        <v>278</v>
      </c>
      <c r="D3267" s="94">
        <v>2068.0</v>
      </c>
    </row>
    <row r="3268">
      <c r="A3268" s="40">
        <f t="array" ref="A3268">IFNA(index(PlayerValues!A:A,match(IFNA(vlookup(B3268,'Special Names'!A:B,2,FALSE),B3268),PlayerValues!E:E,0)),"N/A")</f>
        <v>16174</v>
      </c>
      <c r="B3268" s="4" t="s">
        <v>505</v>
      </c>
      <c r="C3268" s="4" t="s">
        <v>278</v>
      </c>
      <c r="D3268" s="94">
        <v>2063.0</v>
      </c>
    </row>
    <row r="3269">
      <c r="A3269" s="40">
        <f t="array" ref="A3269">IFNA(index(PlayerValues!A:A,match(IFNA(vlookup(B3269,'Special Names'!A:B,2,FALSE),B3269),PlayerValues!E:E,0)),"N/A")</f>
        <v>13146</v>
      </c>
      <c r="B3269" s="4" t="s">
        <v>652</v>
      </c>
      <c r="C3269" s="4" t="s">
        <v>278</v>
      </c>
      <c r="D3269" s="94">
        <v>2060.0</v>
      </c>
    </row>
    <row r="3270">
      <c r="A3270" s="40" t="str">
        <f t="array" ref="A3270">IFNA(index(PlayerValues!A:A,match(IFNA(vlookup(B3270,'Special Names'!A:B,2,FALSE),B3270),PlayerValues!E:E,0)),"N/A")</f>
        <v>N/A</v>
      </c>
      <c r="B3270" s="4" t="s">
        <v>113</v>
      </c>
      <c r="C3270" s="4" t="s">
        <v>325</v>
      </c>
      <c r="D3270" s="94">
        <v>2058.0</v>
      </c>
    </row>
    <row r="3271">
      <c r="A3271" s="40">
        <f t="array" ref="A3271">IFNA(index(PlayerValues!A:A,match(IFNA(vlookup(B3271,'Special Names'!A:B,2,FALSE),B3271),PlayerValues!E:E,0)),"N/A")</f>
        <v>15331</v>
      </c>
      <c r="B3271" s="4" t="s">
        <v>560</v>
      </c>
      <c r="C3271" s="4" t="s">
        <v>298</v>
      </c>
      <c r="D3271" s="94">
        <v>2446.0</v>
      </c>
    </row>
    <row r="3272">
      <c r="A3272" s="40">
        <f t="array" ref="A3272">IFNA(index(PlayerValues!A:A,match(IFNA(vlookup(B3272,'Special Names'!A:B,2,FALSE),B3272),PlayerValues!E:E,0)),"N/A")</f>
        <v>13633</v>
      </c>
      <c r="B3272" s="4" t="s">
        <v>625</v>
      </c>
      <c r="C3272" s="4" t="s">
        <v>287</v>
      </c>
      <c r="D3272" s="94">
        <v>2030.0</v>
      </c>
    </row>
    <row r="3273">
      <c r="A3273" s="40">
        <f t="array" ref="A3273">IFNA(index(PlayerValues!A:A,match(IFNA(vlookup(B3273,'Special Names'!A:B,2,FALSE),B3273),PlayerValues!E:E,0)),"N/A")</f>
        <v>14974</v>
      </c>
      <c r="B3273" s="4" t="s">
        <v>611</v>
      </c>
      <c r="C3273" s="4" t="s">
        <v>287</v>
      </c>
      <c r="D3273" s="94">
        <v>2016.0</v>
      </c>
    </row>
    <row r="3274">
      <c r="A3274" s="40">
        <f t="array" ref="A3274">IFNA(index(PlayerValues!A:A,match(IFNA(vlookup(B3274,'Special Names'!A:B,2,FALSE),B3274),PlayerValues!E:E,0)),"N/A")</f>
        <v>15293</v>
      </c>
      <c r="B3274" s="4" t="s">
        <v>578</v>
      </c>
      <c r="C3274" s="4" t="s">
        <v>287</v>
      </c>
      <c r="D3274" s="94">
        <v>2012.0</v>
      </c>
    </row>
    <row r="3275">
      <c r="A3275" s="40">
        <f t="array" ref="A3275">IFNA(index(PlayerValues!A:A,match(IFNA(vlookup(B3275,'Special Names'!A:B,2,FALSE),B3275),PlayerValues!E:E,0)),"N/A")</f>
        <v>11244</v>
      </c>
      <c r="B3275" s="4" t="s">
        <v>519</v>
      </c>
      <c r="C3275" s="4" t="s">
        <v>298</v>
      </c>
      <c r="D3275" s="94">
        <v>2373.0</v>
      </c>
    </row>
    <row r="3276">
      <c r="A3276" s="40">
        <f t="array" ref="A3276">IFNA(index(PlayerValues!A:A,match(IFNA(vlookup(B3276,'Special Names'!A:B,2,FALSE),B3276),PlayerValues!E:E,0)),"N/A")</f>
        <v>16603</v>
      </c>
      <c r="B3276" s="4" t="s">
        <v>587</v>
      </c>
      <c r="C3276" s="4" t="s">
        <v>278</v>
      </c>
      <c r="D3276" s="94">
        <v>1977.0</v>
      </c>
    </row>
    <row r="3277">
      <c r="A3277" s="40">
        <f t="array" ref="A3277">IFNA(index(PlayerValues!A:A,match(IFNA(vlookup(B3277,'Special Names'!A:B,2,FALSE),B3277),PlayerValues!E:E,0)),"N/A")</f>
        <v>17036</v>
      </c>
      <c r="B3277" s="4" t="s">
        <v>617</v>
      </c>
      <c r="C3277" s="4" t="s">
        <v>283</v>
      </c>
      <c r="D3277" s="94">
        <v>1975.0</v>
      </c>
    </row>
    <row r="3278">
      <c r="A3278" s="40">
        <f t="array" ref="A3278">IFNA(index(PlayerValues!A:A,match(IFNA(vlookup(B3278,'Special Names'!A:B,2,FALSE),B3278),PlayerValues!E:E,0)),"N/A")</f>
        <v>17465</v>
      </c>
      <c r="B3278" s="4" t="s">
        <v>649</v>
      </c>
      <c r="C3278" s="4" t="s">
        <v>283</v>
      </c>
      <c r="D3278" s="94">
        <v>1957.0</v>
      </c>
    </row>
    <row r="3279">
      <c r="A3279" s="40">
        <f t="array" ref="A3279">IFNA(index(PlayerValues!A:A,match(IFNA(vlookup(B3279,'Special Names'!A:B,2,FALSE),B3279),PlayerValues!E:E,0)),"N/A")</f>
        <v>17503</v>
      </c>
      <c r="B3279" s="4" t="s">
        <v>480</v>
      </c>
      <c r="C3279" s="4" t="s">
        <v>287</v>
      </c>
      <c r="D3279" s="94">
        <v>1942.0</v>
      </c>
    </row>
    <row r="3280">
      <c r="A3280" s="40">
        <f t="array" ref="A3280">IFNA(index(PlayerValues!A:A,match(IFNA(vlookup(B3280,'Special Names'!A:B,2,FALSE),B3280),PlayerValues!E:E,0)),"N/A")</f>
        <v>17482</v>
      </c>
      <c r="B3280" s="4" t="s">
        <v>460</v>
      </c>
      <c r="C3280" s="4" t="s">
        <v>278</v>
      </c>
      <c r="D3280" s="94">
        <v>1927.0</v>
      </c>
    </row>
    <row r="3281">
      <c r="A3281" s="40">
        <f t="array" ref="A3281">IFNA(index(PlayerValues!A:A,match(IFNA(vlookup(B3281,'Special Names'!A:B,2,FALSE),B3281),PlayerValues!E:E,0)),"N/A")</f>
        <v>17184</v>
      </c>
      <c r="B3281" s="4" t="s">
        <v>588</v>
      </c>
      <c r="C3281" s="4" t="s">
        <v>287</v>
      </c>
      <c r="D3281" s="94">
        <v>1920.0</v>
      </c>
    </row>
    <row r="3282">
      <c r="A3282" s="40">
        <f t="array" ref="A3282">IFNA(index(PlayerValues!A:A,match(IFNA(vlookup(B3282,'Special Names'!A:B,2,FALSE),B3282),PlayerValues!E:E,0)),"N/A")</f>
        <v>16216</v>
      </c>
      <c r="B3282" s="4" t="s">
        <v>595</v>
      </c>
      <c r="C3282" s="4" t="s">
        <v>298</v>
      </c>
      <c r="D3282" s="94">
        <v>2296.0</v>
      </c>
    </row>
    <row r="3283">
      <c r="A3283" s="40">
        <f t="array" ref="A3283">IFNA(index(PlayerValues!A:A,match(IFNA(vlookup(B3283,'Special Names'!A:B,2,FALSE),B3283),PlayerValues!E:E,0)),"N/A")</f>
        <v>13189</v>
      </c>
      <c r="B3283" s="4" t="s">
        <v>626</v>
      </c>
      <c r="C3283" s="4" t="s">
        <v>298</v>
      </c>
      <c r="D3283" s="94">
        <v>2291.0</v>
      </c>
    </row>
    <row r="3284">
      <c r="A3284" s="40">
        <f t="array" ref="A3284">IFNA(index(PlayerValues!A:A,match(IFNA(vlookup(B3284,'Special Names'!A:B,2,FALSE),B3284),PlayerValues!E:E,0)),"N/A")</f>
        <v>17512</v>
      </c>
      <c r="B3284" s="4" t="s">
        <v>483</v>
      </c>
      <c r="C3284" s="4" t="s">
        <v>287</v>
      </c>
      <c r="D3284" s="94">
        <v>1902.0</v>
      </c>
    </row>
    <row r="3285">
      <c r="A3285" s="40">
        <f t="array" ref="A3285">IFNA(index(PlayerValues!A:A,match(IFNA(vlookup(B3285,'Special Names'!A:B,2,FALSE),B3285),PlayerValues!E:E,0)),"N/A")</f>
        <v>17546</v>
      </c>
      <c r="B3285" s="4" t="s">
        <v>671</v>
      </c>
      <c r="C3285" s="4" t="s">
        <v>298</v>
      </c>
      <c r="D3285" s="94">
        <v>2276.0</v>
      </c>
    </row>
    <row r="3286">
      <c r="A3286" s="40">
        <f t="array" ref="A3286">IFNA(index(PlayerValues!A:A,match(IFNA(vlookup(B3286,'Special Names'!A:B,2,FALSE),B3286),PlayerValues!E:E,0)),"N/A")</f>
        <v>16215</v>
      </c>
      <c r="B3286" s="4" t="s">
        <v>637</v>
      </c>
      <c r="C3286" s="4" t="s">
        <v>298</v>
      </c>
      <c r="D3286" s="94">
        <v>2271.0</v>
      </c>
    </row>
    <row r="3287">
      <c r="A3287" s="40">
        <f t="array" ref="A3287">IFNA(index(PlayerValues!A:A,match(IFNA(vlookup(B3287,'Special Names'!A:B,2,FALSE),B3287),PlayerValues!E:E,0)),"N/A")</f>
        <v>16778</v>
      </c>
      <c r="B3287" s="4" t="s">
        <v>577</v>
      </c>
      <c r="C3287" s="4" t="s">
        <v>287</v>
      </c>
      <c r="D3287" s="94">
        <v>1889.0</v>
      </c>
    </row>
    <row r="3288">
      <c r="A3288" s="40">
        <f t="array" ref="A3288">IFNA(index(PlayerValues!A:A,match(IFNA(vlookup(B3288,'Special Names'!A:B,2,FALSE),B3288),PlayerValues!E:E,0)),"N/A")</f>
        <v>16635</v>
      </c>
      <c r="B3288" s="4" t="s">
        <v>645</v>
      </c>
      <c r="C3288" s="4" t="s">
        <v>287</v>
      </c>
      <c r="D3288" s="94">
        <v>1884.0</v>
      </c>
    </row>
    <row r="3289">
      <c r="A3289" s="40" t="str">
        <f t="array" ref="A3289">IFNA(index(PlayerValues!A:A,match(IFNA(vlookup(B3289,'Special Names'!A:B,2,FALSE),B3289),PlayerValues!E:E,0)),"N/A")</f>
        <v>N/A</v>
      </c>
      <c r="B3289" s="4" t="s">
        <v>114</v>
      </c>
      <c r="C3289" s="4" t="s">
        <v>325</v>
      </c>
      <c r="D3289" s="94">
        <v>1882.0</v>
      </c>
    </row>
    <row r="3290">
      <c r="A3290" s="40">
        <f t="array" ref="A3290">IFNA(index(PlayerValues!A:A,match(IFNA(vlookup(B3290,'Special Names'!A:B,2,FALSE),B3290),PlayerValues!E:E,0)),"N/A")</f>
        <v>15337</v>
      </c>
      <c r="B3290" s="4" t="s">
        <v>655</v>
      </c>
      <c r="C3290" s="4" t="s">
        <v>298</v>
      </c>
      <c r="D3290" s="94">
        <v>2259.0</v>
      </c>
    </row>
    <row r="3291">
      <c r="A3291" s="40">
        <f t="array" ref="A3291">IFNA(index(PlayerValues!A:A,match(IFNA(vlookup(B3291,'Special Names'!A:B,2,FALSE),B3291),PlayerValues!E:E,0)),"N/A")</f>
        <v>17061</v>
      </c>
      <c r="B3291" s="4" t="s">
        <v>580</v>
      </c>
      <c r="C3291" s="4" t="s">
        <v>278</v>
      </c>
      <c r="D3291" s="94">
        <v>1872.0</v>
      </c>
    </row>
    <row r="3292">
      <c r="A3292" s="40">
        <f t="array" ref="A3292">IFNA(index(PlayerValues!A:A,match(IFNA(vlookup(B3292,'Special Names'!A:B,2,FALSE),B3292),PlayerValues!E:E,0)),"N/A")</f>
        <v>17517</v>
      </c>
      <c r="B3292" s="4" t="s">
        <v>454</v>
      </c>
      <c r="C3292" s="4" t="s">
        <v>287</v>
      </c>
      <c r="D3292" s="94">
        <v>1868.0</v>
      </c>
    </row>
    <row r="3293">
      <c r="A3293" s="40">
        <f t="array" ref="A3293">IFNA(index(PlayerValues!A:A,match(IFNA(vlookup(B3293,'Special Names'!A:B,2,FALSE),B3293),PlayerValues!E:E,0)),"N/A")</f>
        <v>15254</v>
      </c>
      <c r="B3293" s="4" t="s">
        <v>633</v>
      </c>
      <c r="C3293" s="4" t="s">
        <v>278</v>
      </c>
      <c r="D3293" s="94">
        <v>1864.0</v>
      </c>
    </row>
    <row r="3294">
      <c r="A3294" s="40">
        <f t="array" ref="A3294">IFNA(index(PlayerValues!A:A,match(IFNA(vlookup(B3294,'Special Names'!A:B,2,FALSE),B3294),PlayerValues!E:E,0)),"N/A")</f>
        <v>15759</v>
      </c>
      <c r="B3294" s="4" t="s">
        <v>662</v>
      </c>
      <c r="C3294" s="4" t="s">
        <v>287</v>
      </c>
      <c r="D3294" s="94">
        <v>1862.0</v>
      </c>
    </row>
    <row r="3295">
      <c r="A3295" s="40">
        <f t="array" ref="A3295">IFNA(index(PlayerValues!A:A,match(IFNA(vlookup(B3295,'Special Names'!A:B,2,FALSE),B3295),PlayerValues!E:E,0)),"N/A")</f>
        <v>17508</v>
      </c>
      <c r="B3295" s="4" t="s">
        <v>534</v>
      </c>
      <c r="C3295" s="4" t="s">
        <v>287</v>
      </c>
      <c r="D3295" s="94">
        <v>1861.0</v>
      </c>
    </row>
    <row r="3296">
      <c r="A3296" s="40">
        <f t="array" ref="A3296">IFNA(index(PlayerValues!A:A,match(IFNA(vlookup(B3296,'Special Names'!A:B,2,FALSE),B3296),PlayerValues!E:E,0)),"N/A")</f>
        <v>16201</v>
      </c>
      <c r="B3296" s="4" t="s">
        <v>589</v>
      </c>
      <c r="C3296" s="4" t="s">
        <v>287</v>
      </c>
      <c r="D3296" s="94">
        <v>1860.0</v>
      </c>
    </row>
    <row r="3297">
      <c r="A3297" s="40">
        <f t="array" ref="A3297">IFNA(index(PlayerValues!A:A,match(IFNA(vlookup(B3297,'Special Names'!A:B,2,FALSE),B3297),PlayerValues!E:E,0)),"N/A")</f>
        <v>17035</v>
      </c>
      <c r="B3297" s="4" t="s">
        <v>650</v>
      </c>
      <c r="C3297" s="4" t="s">
        <v>283</v>
      </c>
      <c r="D3297" s="94">
        <v>1860.0</v>
      </c>
    </row>
    <row r="3298">
      <c r="A3298" s="40">
        <f t="array" ref="A3298">IFNA(index(PlayerValues!A:A,match(IFNA(vlookup(B3298,'Special Names'!A:B,2,FALSE),B3298),PlayerValues!E:E,0)),"N/A")</f>
        <v>17547</v>
      </c>
      <c r="B3298" s="4" t="s">
        <v>552</v>
      </c>
      <c r="C3298" s="4" t="s">
        <v>298</v>
      </c>
      <c r="D3298" s="94">
        <v>2242.0</v>
      </c>
    </row>
    <row r="3299">
      <c r="A3299" s="40">
        <f t="array" ref="A3299">IFNA(index(PlayerValues!A:A,match(IFNA(vlookup(B3299,'Special Names'!A:B,2,FALSE),B3299),PlayerValues!E:E,0)),"N/A")</f>
        <v>16595</v>
      </c>
      <c r="B3299" s="4" t="s">
        <v>664</v>
      </c>
      <c r="C3299" s="4" t="s">
        <v>278</v>
      </c>
      <c r="D3299" s="94">
        <v>1843.0</v>
      </c>
    </row>
    <row r="3300">
      <c r="A3300" s="40" t="str">
        <f t="array" ref="A3300">IFNA(index(PlayerValues!A:A,match(IFNA(vlookup(B3300,'Special Names'!A:B,2,FALSE),B3300),PlayerValues!E:E,0)),"N/A")</f>
        <v>N/A</v>
      </c>
      <c r="B3300" s="4" t="s">
        <v>101</v>
      </c>
      <c r="C3300" s="4" t="s">
        <v>325</v>
      </c>
      <c r="D3300" s="94">
        <v>1829.0</v>
      </c>
    </row>
    <row r="3301">
      <c r="A3301" s="40">
        <f t="array" ref="A3301">IFNA(index(PlayerValues!A:A,match(IFNA(vlookup(B3301,'Special Names'!A:B,2,FALSE),B3301),PlayerValues!E:E,0)),"N/A")</f>
        <v>16585</v>
      </c>
      <c r="B3301" s="4" t="s">
        <v>623</v>
      </c>
      <c r="C3301" s="4" t="s">
        <v>283</v>
      </c>
      <c r="D3301" s="94">
        <v>1814.0</v>
      </c>
    </row>
    <row r="3302">
      <c r="A3302" s="40">
        <f t="array" ref="A3302">IFNA(index(PlayerValues!A:A,match(IFNA(vlookup(B3302,'Special Names'!A:B,2,FALSE),B3302),PlayerValues!E:E,0)),"N/A")</f>
        <v>15786</v>
      </c>
      <c r="B3302" s="4" t="s">
        <v>521</v>
      </c>
      <c r="C3302" s="4" t="s">
        <v>287</v>
      </c>
      <c r="D3302" s="94">
        <v>1809.0</v>
      </c>
    </row>
    <row r="3303">
      <c r="A3303" s="40">
        <f t="array" ref="A3303">IFNA(index(PlayerValues!A:A,match(IFNA(vlookup(B3303,'Special Names'!A:B,2,FALSE),B3303),PlayerValues!E:E,0)),"N/A")</f>
        <v>16788</v>
      </c>
      <c r="B3303" s="4" t="s">
        <v>621</v>
      </c>
      <c r="C3303" s="4" t="s">
        <v>287</v>
      </c>
      <c r="D3303" s="94">
        <v>1796.0</v>
      </c>
    </row>
    <row r="3304">
      <c r="A3304" s="40">
        <f t="array" ref="A3304">IFNA(index(PlayerValues!A:A,match(IFNA(vlookup(B3304,'Special Names'!A:B,2,FALSE),B3304),PlayerValues!E:E,0)),"N/A")</f>
        <v>17086</v>
      </c>
      <c r="B3304" s="4" t="s">
        <v>612</v>
      </c>
      <c r="C3304" s="4" t="s">
        <v>287</v>
      </c>
      <c r="D3304" s="94">
        <v>1783.0</v>
      </c>
    </row>
    <row r="3305">
      <c r="A3305" s="40">
        <f t="array" ref="A3305">IFNA(index(PlayerValues!A:A,match(IFNA(vlookup(B3305,'Special Names'!A:B,2,FALSE),B3305),PlayerValues!E:E,0)),"N/A")</f>
        <v>17055</v>
      </c>
      <c r="B3305" s="4" t="s">
        <v>565</v>
      </c>
      <c r="C3305" s="4" t="s">
        <v>278</v>
      </c>
      <c r="D3305" s="94">
        <v>1767.0</v>
      </c>
    </row>
    <row r="3306">
      <c r="A3306" s="40">
        <f t="array" ref="A3306">IFNA(index(PlayerValues!A:A,match(IFNA(vlookup(B3306,'Special Names'!A:B,2,FALSE),B3306),PlayerValues!E:E,0)),"N/A")</f>
        <v>17058</v>
      </c>
      <c r="B3306" s="4" t="s">
        <v>641</v>
      </c>
      <c r="C3306" s="4" t="s">
        <v>278</v>
      </c>
      <c r="D3306" s="94">
        <v>1764.0</v>
      </c>
    </row>
    <row r="3307">
      <c r="A3307" s="40">
        <f t="array" ref="A3307">IFNA(index(PlayerValues!A:A,match(IFNA(vlookup(B3307,'Special Names'!A:B,2,FALSE),B3307),PlayerValues!E:E,0)),"N/A")</f>
        <v>16601</v>
      </c>
      <c r="B3307" s="4" t="s">
        <v>648</v>
      </c>
      <c r="C3307" s="4" t="s">
        <v>278</v>
      </c>
      <c r="D3307" s="94">
        <v>1763.0</v>
      </c>
    </row>
    <row r="3308">
      <c r="A3308" s="40">
        <f t="array" ref="A3308">IFNA(index(PlayerValues!A:A,match(IFNA(vlookup(B3308,'Special Names'!A:B,2,FALSE),B3308),PlayerValues!E:E,0)),"N/A")</f>
        <v>11222</v>
      </c>
      <c r="B3308" s="4" t="s">
        <v>622</v>
      </c>
      <c r="C3308" s="4" t="s">
        <v>287</v>
      </c>
      <c r="D3308" s="94">
        <v>1761.0</v>
      </c>
    </row>
    <row r="3309">
      <c r="A3309" s="40">
        <f t="array" ref="A3309">IFNA(index(PlayerValues!A:A,match(IFNA(vlookup(B3309,'Special Names'!A:B,2,FALSE),B3309),PlayerValues!E:E,0)),"N/A")</f>
        <v>14105</v>
      </c>
      <c r="B3309" s="4" t="s">
        <v>675</v>
      </c>
      <c r="C3309" s="4" t="s">
        <v>287</v>
      </c>
      <c r="D3309" s="94">
        <v>1756.0</v>
      </c>
    </row>
    <row r="3310">
      <c r="A3310" s="40" t="str">
        <f t="array" ref="A3310">IFNA(index(PlayerValues!A:A,match(IFNA(vlookup(B3310,'Special Names'!A:B,2,FALSE),B3310),PlayerValues!E:E,0)),"N/A")</f>
        <v>N/A</v>
      </c>
      <c r="B3310" s="4" t="s">
        <v>89</v>
      </c>
      <c r="C3310" s="4" t="s">
        <v>325</v>
      </c>
      <c r="D3310" s="94">
        <v>1753.0</v>
      </c>
    </row>
    <row r="3311">
      <c r="A3311" s="40">
        <f t="array" ref="A3311">IFNA(index(PlayerValues!A:A,match(IFNA(vlookup(B3311,'Special Names'!A:B,2,FALSE),B3311),PlayerValues!E:E,0)),"N/A")</f>
        <v>16586</v>
      </c>
      <c r="B3311" s="4" t="s">
        <v>658</v>
      </c>
      <c r="C3311" s="4" t="s">
        <v>283</v>
      </c>
      <c r="D3311" s="94">
        <v>1743.0</v>
      </c>
    </row>
    <row r="3312">
      <c r="A3312" s="40">
        <f t="array" ref="A3312">IFNA(index(PlayerValues!A:A,match(IFNA(vlookup(B3312,'Special Names'!A:B,2,FALSE),B3312),PlayerValues!E:E,0)),"N/A")</f>
        <v>10700</v>
      </c>
      <c r="B3312" s="4" t="s">
        <v>596</v>
      </c>
      <c r="C3312" s="4" t="s">
        <v>283</v>
      </c>
      <c r="D3312" s="94">
        <v>1730.0</v>
      </c>
    </row>
    <row r="3313">
      <c r="A3313" s="40">
        <f t="array" ref="A3313">IFNA(index(PlayerValues!A:A,match(IFNA(vlookup(B3313,'Special Names'!A:B,2,FALSE),B3313),PlayerValues!E:E,0)),"N/A")</f>
        <v>16629</v>
      </c>
      <c r="B3313" s="4" t="s">
        <v>605</v>
      </c>
      <c r="C3313" s="4" t="s">
        <v>287</v>
      </c>
      <c r="D3313" s="94">
        <v>1730.0</v>
      </c>
    </row>
    <row r="3314">
      <c r="A3314" s="40">
        <f t="array" ref="A3314">IFNA(index(PlayerValues!A:A,match(IFNA(vlookup(B3314,'Special Names'!A:B,2,FALSE),B3314),PlayerValues!E:E,0)),"N/A")</f>
        <v>7836</v>
      </c>
      <c r="B3314" s="4" t="s">
        <v>590</v>
      </c>
      <c r="C3314" s="4" t="s">
        <v>283</v>
      </c>
      <c r="D3314" s="94">
        <v>1726.0</v>
      </c>
    </row>
    <row r="3315">
      <c r="A3315" s="40">
        <f t="array" ref="A3315">IFNA(index(PlayerValues!A:A,match(IFNA(vlookup(B3315,'Special Names'!A:B,2,FALSE),B3315),PlayerValues!E:E,0)),"N/A")</f>
        <v>15787</v>
      </c>
      <c r="B3315" s="4" t="s">
        <v>610</v>
      </c>
      <c r="C3315" s="4" t="s">
        <v>287</v>
      </c>
      <c r="D3315" s="94">
        <v>1725.0</v>
      </c>
    </row>
    <row r="3316">
      <c r="A3316" s="40">
        <f t="array" ref="A3316">IFNA(index(PlayerValues!A:A,match(IFNA(vlookup(B3316,'Special Names'!A:B,2,FALSE),B3316),PlayerValues!E:E,0)),"N/A")</f>
        <v>16207</v>
      </c>
      <c r="B3316" s="4" t="s">
        <v>636</v>
      </c>
      <c r="C3316" s="4" t="s">
        <v>287</v>
      </c>
      <c r="D3316" s="94">
        <v>1704.0</v>
      </c>
    </row>
    <row r="3317">
      <c r="A3317" s="40">
        <f t="array" ref="A3317">IFNA(index(PlayerValues!A:A,match(IFNA(vlookup(B3317,'Special Names'!A:B,2,FALSE),B3317),PlayerValues!E:E,0)),"N/A")</f>
        <v>17481</v>
      </c>
      <c r="B3317" s="4" t="s">
        <v>540</v>
      </c>
      <c r="C3317" s="4" t="s">
        <v>278</v>
      </c>
      <c r="D3317" s="94">
        <v>1703.0</v>
      </c>
    </row>
    <row r="3318">
      <c r="A3318" s="40">
        <f t="array" ref="A3318">IFNA(index(PlayerValues!A:A,match(IFNA(vlookup(B3318,'Special Names'!A:B,2,FALSE),B3318),PlayerValues!E:E,0)),"N/A")</f>
        <v>13629</v>
      </c>
      <c r="B3318" s="4" t="s">
        <v>619</v>
      </c>
      <c r="C3318" s="4" t="s">
        <v>287</v>
      </c>
      <c r="D3318" s="94">
        <v>1699.0</v>
      </c>
    </row>
    <row r="3319">
      <c r="A3319" s="40">
        <f t="array" ref="A3319">IFNA(index(PlayerValues!A:A,match(IFNA(vlookup(B3319,'Special Names'!A:B,2,FALSE),B3319),PlayerValues!E:E,0)),"N/A")</f>
        <v>15777</v>
      </c>
      <c r="B3319" s="4" t="s">
        <v>694</v>
      </c>
      <c r="C3319" s="4" t="s">
        <v>287</v>
      </c>
      <c r="D3319" s="94">
        <v>1692.0</v>
      </c>
    </row>
    <row r="3320">
      <c r="A3320" s="40">
        <f t="array" ref="A3320">IFNA(index(PlayerValues!A:A,match(IFNA(vlookup(B3320,'Special Names'!A:B,2,FALSE),B3320),PlayerValues!E:E,0)),"N/A")</f>
        <v>17205</v>
      </c>
      <c r="B3320" s="4" t="s">
        <v>665</v>
      </c>
      <c r="C3320" s="4" t="s">
        <v>287</v>
      </c>
      <c r="D3320" s="94">
        <v>1682.0</v>
      </c>
    </row>
    <row r="3321">
      <c r="A3321" s="40">
        <f t="array" ref="A3321">IFNA(index(PlayerValues!A:A,match(IFNA(vlookup(B3321,'Special Names'!A:B,2,FALSE),B3321),PlayerValues!E:E,0)),"N/A")</f>
        <v>16604</v>
      </c>
      <c r="B3321" s="4" t="s">
        <v>476</v>
      </c>
      <c r="C3321" s="4" t="s">
        <v>278</v>
      </c>
      <c r="D3321" s="94">
        <v>1677.0</v>
      </c>
    </row>
    <row r="3322">
      <c r="A3322" s="40" t="str">
        <f t="array" ref="A3322">IFNA(index(PlayerValues!A:A,match(IFNA(vlookup(B3322,'Special Names'!A:B,2,FALSE),B3322),PlayerValues!E:E,0)),"N/A")</f>
        <v>N/A</v>
      </c>
      <c r="B3322" s="4" t="s">
        <v>102</v>
      </c>
      <c r="C3322" s="4" t="s">
        <v>325</v>
      </c>
      <c r="D3322" s="94">
        <v>1671.0</v>
      </c>
    </row>
    <row r="3323">
      <c r="A3323" s="40">
        <f t="array" ref="A3323">IFNA(index(PlayerValues!A:A,match(IFNA(vlookup(B3323,'Special Names'!A:B,2,FALSE),B3323),PlayerValues!E:E,0)),"N/A")</f>
        <v>17520</v>
      </c>
      <c r="B3323" s="4" t="s">
        <v>518</v>
      </c>
      <c r="C3323" s="4" t="s">
        <v>287</v>
      </c>
      <c r="D3323" s="94">
        <v>1671.0</v>
      </c>
    </row>
    <row r="3324">
      <c r="A3324" s="40">
        <f t="array" ref="A3324">IFNA(index(PlayerValues!A:A,match(IFNA(vlookup(B3324,'Special Names'!A:B,2,FALSE),B3324),PlayerValues!E:E,0)),"N/A")</f>
        <v>13164</v>
      </c>
      <c r="B3324" s="4" t="s">
        <v>632</v>
      </c>
      <c r="C3324" s="4" t="s">
        <v>287</v>
      </c>
      <c r="D3324" s="94">
        <v>1668.0</v>
      </c>
    </row>
    <row r="3325">
      <c r="A3325" s="40">
        <f t="array" ref="A3325">IFNA(index(PlayerValues!A:A,match(IFNA(vlookup(B3325,'Special Names'!A:B,2,FALSE),B3325),PlayerValues!E:E,0)),"N/A")</f>
        <v>17064</v>
      </c>
      <c r="B3325" s="4" t="s">
        <v>631</v>
      </c>
      <c r="C3325" s="4" t="s">
        <v>278</v>
      </c>
      <c r="D3325" s="94">
        <v>1668.0</v>
      </c>
    </row>
    <row r="3326">
      <c r="A3326" s="40">
        <f t="array" ref="A3326">IFNA(index(PlayerValues!A:A,match(IFNA(vlookup(B3326,'Special Names'!A:B,2,FALSE),B3326),PlayerValues!E:E,0)),"N/A")</f>
        <v>17234</v>
      </c>
      <c r="B3326" s="4" t="s">
        <v>653</v>
      </c>
      <c r="C3326" s="4" t="s">
        <v>287</v>
      </c>
      <c r="D3326" s="94">
        <v>1653.0</v>
      </c>
    </row>
    <row r="3327">
      <c r="A3327" s="40">
        <f t="array" ref="A3327">IFNA(index(PlayerValues!A:A,match(IFNA(vlookup(B3327,'Special Names'!A:B,2,FALSE),B3327),PlayerValues!E:E,0)),"N/A")</f>
        <v>17528</v>
      </c>
      <c r="B3327" s="4" t="s">
        <v>579</v>
      </c>
      <c r="C3327" s="4" t="s">
        <v>287</v>
      </c>
      <c r="D3327" s="94">
        <v>1649.0</v>
      </c>
    </row>
    <row r="3328">
      <c r="A3328" s="40" t="str">
        <f t="array" ref="A3328">IFNA(index(PlayerValues!A:A,match(IFNA(vlookup(B3328,'Special Names'!A:B,2,FALSE),B3328),PlayerValues!E:E,0)),"N/A")</f>
        <v>N/A</v>
      </c>
      <c r="B3328" s="4" t="s">
        <v>90</v>
      </c>
      <c r="C3328" s="4" t="s">
        <v>325</v>
      </c>
      <c r="D3328" s="94">
        <v>1641.0</v>
      </c>
    </row>
    <row r="3329">
      <c r="A3329" s="40">
        <f t="array" ref="A3329">IFNA(index(PlayerValues!A:A,match(IFNA(vlookup(B3329,'Special Names'!A:B,2,FALSE),B3329),PlayerValues!E:E,0)),"N/A")</f>
        <v>16633</v>
      </c>
      <c r="B3329" s="4" t="s">
        <v>656</v>
      </c>
      <c r="C3329" s="4" t="s">
        <v>287</v>
      </c>
      <c r="D3329" s="94">
        <v>1633.0</v>
      </c>
    </row>
    <row r="3330">
      <c r="A3330" s="40">
        <f t="array" ref="A3330">IFNA(index(PlayerValues!A:A,match(IFNA(vlookup(B3330,'Special Names'!A:B,2,FALSE),B3330),PlayerValues!E:E,0)),"N/A")</f>
        <v>14143</v>
      </c>
      <c r="B3330" s="4" t="s">
        <v>635</v>
      </c>
      <c r="C3330" s="4" t="s">
        <v>298</v>
      </c>
      <c r="D3330" s="94">
        <v>1992.0</v>
      </c>
    </row>
    <row r="3331">
      <c r="A3331" s="40">
        <f t="array" ref="A3331">IFNA(index(PlayerValues!A:A,match(IFNA(vlookup(B3331,'Special Names'!A:B,2,FALSE),B3331),PlayerValues!E:E,0)),"N/A")</f>
        <v>15727</v>
      </c>
      <c r="B3331" s="4" t="s">
        <v>730</v>
      </c>
      <c r="C3331" s="4" t="s">
        <v>278</v>
      </c>
      <c r="D3331" s="94">
        <v>1615.0</v>
      </c>
    </row>
    <row r="3332">
      <c r="A3332" s="40">
        <f t="array" ref="A3332">IFNA(index(PlayerValues!A:A,match(IFNA(vlookup(B3332,'Special Names'!A:B,2,FALSE),B3332),PlayerValues!E:E,0)),"N/A")</f>
        <v>17545</v>
      </c>
      <c r="B3332" s="4" t="s">
        <v>719</v>
      </c>
      <c r="C3332" s="4" t="s">
        <v>298</v>
      </c>
      <c r="D3332" s="94">
        <v>1991.0</v>
      </c>
    </row>
    <row r="3333">
      <c r="A3333" s="40">
        <f t="array" ref="A3333">IFNA(index(PlayerValues!A:A,match(IFNA(vlookup(B3333,'Special Names'!A:B,2,FALSE),B3333),PlayerValues!E:E,0)),"N/A")</f>
        <v>13131</v>
      </c>
      <c r="B3333" s="4" t="s">
        <v>815</v>
      </c>
      <c r="C3333" s="4" t="s">
        <v>278</v>
      </c>
      <c r="D3333" s="94">
        <v>1612.0</v>
      </c>
    </row>
    <row r="3334">
      <c r="A3334" s="40">
        <f t="array" ref="A3334">IFNA(index(PlayerValues!A:A,match(IFNA(vlookup(B3334,'Special Names'!A:B,2,FALSE),B3334),PlayerValues!E:E,0)),"N/A")</f>
        <v>17037</v>
      </c>
      <c r="B3334" s="4" t="s">
        <v>727</v>
      </c>
      <c r="C3334" s="4" t="s">
        <v>283</v>
      </c>
      <c r="D3334" s="94">
        <v>1610.0</v>
      </c>
    </row>
    <row r="3335">
      <c r="A3335" s="40">
        <f t="array" ref="A3335">IFNA(index(PlayerValues!A:A,match(IFNA(vlookup(B3335,'Special Names'!A:B,2,FALSE),B3335),PlayerValues!E:E,0)),"N/A")</f>
        <v>17096</v>
      </c>
      <c r="B3335" s="4" t="s">
        <v>638</v>
      </c>
      <c r="C3335" s="4" t="s">
        <v>287</v>
      </c>
      <c r="D3335" s="94">
        <v>1605.0</v>
      </c>
    </row>
    <row r="3336">
      <c r="A3336" s="40" t="str">
        <f t="array" ref="A3336">IFNA(index(PlayerValues!A:A,match(IFNA(vlookup(B3336,'Special Names'!A:B,2,FALSE),B3336),PlayerValues!E:E,0)),"N/A")</f>
        <v>N/A</v>
      </c>
      <c r="B3336" s="4" t="s">
        <v>115</v>
      </c>
      <c r="C3336" s="4" t="s">
        <v>325</v>
      </c>
      <c r="D3336" s="94">
        <v>1602.0</v>
      </c>
    </row>
    <row r="3337">
      <c r="A3337" s="40">
        <f t="array" ref="A3337">IFNA(index(PlayerValues!A:A,match(IFNA(vlookup(B3337,'Special Names'!A:B,2,FALSE),B3337),PlayerValues!E:E,0)),"N/A")</f>
        <v>13193</v>
      </c>
      <c r="B3337" s="4" t="s">
        <v>773</v>
      </c>
      <c r="C3337" s="4" t="s">
        <v>298</v>
      </c>
      <c r="D3337" s="94">
        <v>1970.0</v>
      </c>
    </row>
    <row r="3338">
      <c r="A3338" s="40">
        <f t="array" ref="A3338">IFNA(index(PlayerValues!A:A,match(IFNA(vlookup(B3338,'Special Names'!A:B,2,FALSE),B3338),PlayerValues!E:E,0)),"N/A")</f>
        <v>14122</v>
      </c>
      <c r="B3338" s="4" t="s">
        <v>663</v>
      </c>
      <c r="C3338" s="4" t="s">
        <v>287</v>
      </c>
      <c r="D3338" s="94">
        <v>1588.0</v>
      </c>
    </row>
    <row r="3339">
      <c r="A3339" s="40">
        <f t="array" ref="A3339">IFNA(index(PlayerValues!A:A,match(IFNA(vlookup(B3339,'Special Names'!A:B,2,FALSE),B3339),PlayerValues!E:E,0)),"N/A")</f>
        <v>12140</v>
      </c>
      <c r="B3339" s="4" t="s">
        <v>702</v>
      </c>
      <c r="C3339" s="4" t="s">
        <v>283</v>
      </c>
      <c r="D3339" s="94">
        <v>1588.0</v>
      </c>
    </row>
    <row r="3340">
      <c r="A3340" s="40">
        <f t="array" ref="A3340">IFNA(index(PlayerValues!A:A,match(IFNA(vlookup(B3340,'Special Names'!A:B,2,FALSE),B3340),PlayerValues!E:E,0)),"N/A")</f>
        <v>16688</v>
      </c>
      <c r="B3340" s="4" t="s">
        <v>688</v>
      </c>
      <c r="C3340" s="4" t="s">
        <v>278</v>
      </c>
      <c r="D3340" s="94">
        <v>1585.0</v>
      </c>
    </row>
    <row r="3341">
      <c r="A3341" s="40">
        <f t="array" ref="A3341">IFNA(index(PlayerValues!A:A,match(IFNA(vlookup(B3341,'Special Names'!A:B,2,FALSE),B3341),PlayerValues!E:E,0)),"N/A")</f>
        <v>15252</v>
      </c>
      <c r="B3341" s="4" t="s">
        <v>715</v>
      </c>
      <c r="C3341" s="4" t="s">
        <v>283</v>
      </c>
      <c r="D3341" s="94">
        <v>1571.0</v>
      </c>
    </row>
    <row r="3342">
      <c r="A3342" s="40" t="str">
        <f t="array" ref="A3342">IFNA(index(PlayerValues!A:A,match(IFNA(vlookup(B3342,'Special Names'!A:B,2,FALSE),B3342),PlayerValues!E:E,0)),"N/A")</f>
        <v>N/A</v>
      </c>
      <c r="B3342" s="4" t="s">
        <v>103</v>
      </c>
      <c r="C3342" s="4" t="s">
        <v>325</v>
      </c>
      <c r="D3342" s="94">
        <v>1566.0</v>
      </c>
    </row>
    <row r="3343">
      <c r="A3343" s="40">
        <f t="array" ref="A3343">IFNA(index(PlayerValues!A:A,match(IFNA(vlookup(B3343,'Special Names'!A:B,2,FALSE),B3343),PlayerValues!E:E,0)),"N/A")</f>
        <v>16390</v>
      </c>
      <c r="B3343" s="4" t="s">
        <v>689</v>
      </c>
      <c r="C3343" s="4" t="s">
        <v>278</v>
      </c>
      <c r="D3343" s="94">
        <v>1561.0</v>
      </c>
    </row>
    <row r="3344">
      <c r="A3344" s="40">
        <f t="array" ref="A3344">IFNA(index(PlayerValues!A:A,match(IFNA(vlookup(B3344,'Special Names'!A:B,2,FALSE),B3344),PlayerValues!E:E,0)),"N/A")</f>
        <v>12141</v>
      </c>
      <c r="B3344" s="4" t="s">
        <v>744</v>
      </c>
      <c r="C3344" s="4" t="s">
        <v>283</v>
      </c>
      <c r="D3344" s="94">
        <v>1535.0</v>
      </c>
    </row>
    <row r="3345">
      <c r="A3345" s="40">
        <f t="array" ref="A3345">IFNA(index(PlayerValues!A:A,match(IFNA(vlookup(B3345,'Special Names'!A:B,2,FALSE),B3345),PlayerValues!E:E,0)),"N/A")</f>
        <v>14080</v>
      </c>
      <c r="B3345" s="4" t="s">
        <v>716</v>
      </c>
      <c r="C3345" s="4" t="s">
        <v>278</v>
      </c>
      <c r="D3345" s="94">
        <v>1525.0</v>
      </c>
    </row>
    <row r="3346">
      <c r="A3346" s="40" t="str">
        <f t="array" ref="A3346">IFNA(index(PlayerValues!A:A,match(IFNA(vlookup(B3346,'Special Names'!A:B,2,FALSE),B3346),PlayerValues!E:E,0)),"N/A")</f>
        <v>N/A</v>
      </c>
      <c r="B3346" s="4" t="s">
        <v>91</v>
      </c>
      <c r="C3346" s="4" t="s">
        <v>325</v>
      </c>
      <c r="D3346" s="94">
        <v>1515.0</v>
      </c>
    </row>
    <row r="3347">
      <c r="A3347" s="40" t="str">
        <f t="array" ref="A3347">IFNA(index(PlayerValues!A:A,match(IFNA(vlookup(B3347,'Special Names'!A:B,2,FALSE),B3347),PlayerValues!E:E,0)),"N/A")</f>
        <v>N/A</v>
      </c>
      <c r="B3347" s="4" t="s">
        <v>116</v>
      </c>
      <c r="C3347" s="4" t="s">
        <v>325</v>
      </c>
      <c r="D3347" s="94">
        <v>1515.0</v>
      </c>
    </row>
    <row r="3348">
      <c r="A3348" s="40">
        <f t="array" ref="A3348">IFNA(index(PlayerValues!A:A,match(IFNA(vlookup(B3348,'Special Names'!A:B,2,FALSE),B3348),PlayerValues!E:E,0)),"N/A")</f>
        <v>15258</v>
      </c>
      <c r="B3348" s="4" t="s">
        <v>757</v>
      </c>
      <c r="C3348" s="4" t="s">
        <v>278</v>
      </c>
      <c r="D3348" s="94">
        <v>1511.0</v>
      </c>
    </row>
    <row r="3349">
      <c r="A3349" s="40">
        <f t="array" ref="A3349">IFNA(index(PlayerValues!A:A,match(IFNA(vlookup(B3349,'Special Names'!A:B,2,FALSE),B3349),PlayerValues!E:E,0)),"N/A")</f>
        <v>15319</v>
      </c>
      <c r="B3349" s="4" t="s">
        <v>644</v>
      </c>
      <c r="C3349" s="4" t="s">
        <v>287</v>
      </c>
      <c r="D3349" s="94">
        <v>1511.0</v>
      </c>
    </row>
    <row r="3350">
      <c r="A3350" s="40">
        <f t="array" ref="A3350">IFNA(index(PlayerValues!A:A,match(IFNA(vlookup(B3350,'Special Names'!A:B,2,FALSE),B3350),PlayerValues!E:E,0)),"N/A")</f>
        <v>15713</v>
      </c>
      <c r="B3350" s="4" t="s">
        <v>732</v>
      </c>
      <c r="C3350" s="4" t="s">
        <v>278</v>
      </c>
      <c r="D3350" s="94">
        <v>1494.0</v>
      </c>
    </row>
    <row r="3351">
      <c r="A3351" s="40">
        <f t="array" ref="A3351">IFNA(index(PlayerValues!A:A,match(IFNA(vlookup(B3351,'Special Names'!A:B,2,FALSE),B3351),PlayerValues!E:E,0)),"N/A")</f>
        <v>13418</v>
      </c>
      <c r="B3351" s="4" t="s">
        <v>706</v>
      </c>
      <c r="C3351" s="4" t="s">
        <v>287</v>
      </c>
      <c r="D3351" s="94">
        <v>1474.0</v>
      </c>
    </row>
    <row r="3352">
      <c r="A3352" s="40">
        <f t="array" ref="A3352">IFNA(index(PlayerValues!A:A,match(IFNA(vlookup(B3352,'Special Names'!A:B,2,FALSE),B3352),PlayerValues!E:E,0)),"N/A")</f>
        <v>17077</v>
      </c>
      <c r="B3352" s="4" t="s">
        <v>714</v>
      </c>
      <c r="C3352" s="4" t="s">
        <v>287</v>
      </c>
      <c r="D3352" s="94">
        <v>1474.0</v>
      </c>
    </row>
    <row r="3353">
      <c r="A3353" s="40">
        <f t="array" ref="A3353">IFNA(index(PlayerValues!A:A,match(IFNA(vlookup(B3353,'Special Names'!A:B,2,FALSE),B3353),PlayerValues!E:E,0)),"N/A")</f>
        <v>15755</v>
      </c>
      <c r="B3353" s="4" t="s">
        <v>628</v>
      </c>
      <c r="C3353" s="4" t="s">
        <v>287</v>
      </c>
      <c r="D3353" s="94">
        <v>1471.0</v>
      </c>
    </row>
    <row r="3354">
      <c r="A3354" s="40">
        <f t="array" ref="A3354">IFNA(index(PlayerValues!A:A,match(IFNA(vlookup(B3354,'Special Names'!A:B,2,FALSE),B3354),PlayerValues!E:E,0)),"N/A")</f>
        <v>17254</v>
      </c>
      <c r="B3354" s="4" t="s">
        <v>679</v>
      </c>
      <c r="C3354" s="4" t="s">
        <v>287</v>
      </c>
      <c r="D3354" s="94">
        <v>1465.0</v>
      </c>
    </row>
    <row r="3355">
      <c r="A3355" s="40">
        <f t="array" ref="A3355">IFNA(index(PlayerValues!A:A,match(IFNA(vlookup(B3355,'Special Names'!A:B,2,FALSE),B3355),PlayerValues!E:E,0)),"N/A")</f>
        <v>15738</v>
      </c>
      <c r="B3355" s="4" t="s">
        <v>634</v>
      </c>
      <c r="C3355" s="4" t="s">
        <v>278</v>
      </c>
      <c r="D3355" s="94">
        <v>1459.0</v>
      </c>
    </row>
    <row r="3356">
      <c r="A3356" s="40">
        <f t="array" ref="A3356">IFNA(index(PlayerValues!A:A,match(IFNA(vlookup(B3356,'Special Names'!A:B,2,FALSE),B3356),PlayerValues!E:E,0)),"N/A")</f>
        <v>15752</v>
      </c>
      <c r="B3356" s="4" t="s">
        <v>647</v>
      </c>
      <c r="C3356" s="4" t="s">
        <v>287</v>
      </c>
      <c r="D3356" s="94">
        <v>1457.0</v>
      </c>
    </row>
    <row r="3357">
      <c r="A3357" s="40">
        <f t="array" ref="A3357">IFNA(index(PlayerValues!A:A,match(IFNA(vlookup(B3357,'Special Names'!A:B,2,FALSE),B3357),PlayerValues!E:E,0)),"N/A")</f>
        <v>16631</v>
      </c>
      <c r="B3357" s="4" t="s">
        <v>800</v>
      </c>
      <c r="C3357" s="4" t="s">
        <v>287</v>
      </c>
      <c r="D3357" s="94">
        <v>1452.0</v>
      </c>
    </row>
    <row r="3358">
      <c r="A3358" s="40">
        <f t="array" ref="A3358">IFNA(index(PlayerValues!A:A,match(IFNA(vlookup(B3358,'Special Names'!A:B,2,FALSE),B3358),PlayerValues!E:E,0)),"N/A")</f>
        <v>13672</v>
      </c>
      <c r="B3358" s="4" t="s">
        <v>667</v>
      </c>
      <c r="C3358" s="4" t="s">
        <v>298</v>
      </c>
      <c r="D3358" s="94">
        <v>1823.0</v>
      </c>
    </row>
    <row r="3359">
      <c r="A3359" s="40">
        <f t="array" ref="A3359">IFNA(index(PlayerValues!A:A,match(IFNA(vlookup(B3359,'Special Names'!A:B,2,FALSE),B3359),PlayerValues!E:E,0)),"N/A")</f>
        <v>11150</v>
      </c>
      <c r="B3359" s="4" t="s">
        <v>559</v>
      </c>
      <c r="C3359" s="4" t="s">
        <v>283</v>
      </c>
      <c r="D3359" s="94">
        <v>1449.0</v>
      </c>
    </row>
    <row r="3360">
      <c r="A3360" s="40">
        <f t="array" ref="A3360">IFNA(index(PlayerValues!A:A,match(IFNA(vlookup(B3360,'Special Names'!A:B,2,FALSE),B3360),PlayerValues!E:E,0)),"N/A")</f>
        <v>14095</v>
      </c>
      <c r="B3360" s="4" t="s">
        <v>680</v>
      </c>
      <c r="C3360" s="4" t="s">
        <v>278</v>
      </c>
      <c r="D3360" s="94">
        <v>1447.0</v>
      </c>
    </row>
    <row r="3361">
      <c r="A3361" s="40">
        <f t="array" ref="A3361">IFNA(index(PlayerValues!A:A,match(IFNA(vlookup(B3361,'Special Names'!A:B,2,FALSE),B3361),PlayerValues!E:E,0)),"N/A")</f>
        <v>17269</v>
      </c>
      <c r="B3361" s="4" t="s">
        <v>718</v>
      </c>
      <c r="C3361" s="4" t="s">
        <v>287</v>
      </c>
      <c r="D3361" s="94">
        <v>1441.0</v>
      </c>
    </row>
    <row r="3362">
      <c r="A3362" s="40">
        <f t="array" ref="A3362">IFNA(index(PlayerValues!A:A,match(IFNA(vlookup(B3362,'Special Names'!A:B,2,FALSE),B3362),PlayerValues!E:E,0)),"N/A")</f>
        <v>17062</v>
      </c>
      <c r="B3362" s="4" t="s">
        <v>701</v>
      </c>
      <c r="C3362" s="4" t="s">
        <v>278</v>
      </c>
      <c r="D3362" s="94">
        <v>1430.0</v>
      </c>
    </row>
    <row r="3363">
      <c r="A3363" s="40">
        <f t="array" ref="A3363">IFNA(index(PlayerValues!A:A,match(IFNA(vlookup(B3363,'Special Names'!A:B,2,FALSE),B3363),PlayerValues!E:E,0)),"N/A")</f>
        <v>15332</v>
      </c>
      <c r="B3363" s="4" t="s">
        <v>698</v>
      </c>
      <c r="C3363" s="4" t="s">
        <v>298</v>
      </c>
      <c r="D3363" s="94">
        <v>1780.0</v>
      </c>
    </row>
    <row r="3364">
      <c r="A3364" s="40">
        <f t="array" ref="A3364">IFNA(index(PlayerValues!A:A,match(IFNA(vlookup(B3364,'Special Names'!A:B,2,FALSE),B3364),PlayerValues!E:E,0)),"N/A")</f>
        <v>13138</v>
      </c>
      <c r="B3364" s="4" t="s">
        <v>817</v>
      </c>
      <c r="C3364" s="4" t="s">
        <v>278</v>
      </c>
      <c r="D3364" s="94">
        <v>1400.0</v>
      </c>
    </row>
    <row r="3365">
      <c r="A3365" s="40">
        <f t="array" ref="A3365">IFNA(index(PlayerValues!A:A,match(IFNA(vlookup(B3365,'Special Names'!A:B,2,FALSE),B3365),PlayerValues!E:E,0)),"N/A")</f>
        <v>15788</v>
      </c>
      <c r="B3365" s="4" t="s">
        <v>627</v>
      </c>
      <c r="C3365" s="4" t="s">
        <v>287</v>
      </c>
      <c r="D3365" s="94">
        <v>1390.0</v>
      </c>
    </row>
    <row r="3366">
      <c r="A3366" s="40">
        <f t="array" ref="A3366">IFNA(index(PlayerValues!A:A,match(IFNA(vlookup(B3366,'Special Names'!A:B,2,FALSE),B3366),PlayerValues!E:E,0)),"N/A")</f>
        <v>17504</v>
      </c>
      <c r="B3366" s="4" t="s">
        <v>693</v>
      </c>
      <c r="C3366" s="4" t="s">
        <v>287</v>
      </c>
      <c r="D3366" s="94">
        <v>1384.0</v>
      </c>
    </row>
    <row r="3367">
      <c r="A3367" s="40">
        <f t="array" ref="A3367">IFNA(index(PlayerValues!A:A,match(IFNA(vlookup(B3367,'Special Names'!A:B,2,FALSE),B3367),PlayerValues!E:E,0)),"N/A")</f>
        <v>15797</v>
      </c>
      <c r="B3367" s="4" t="s">
        <v>556</v>
      </c>
      <c r="C3367" s="4" t="s">
        <v>298</v>
      </c>
      <c r="D3367" s="94">
        <v>1754.0</v>
      </c>
    </row>
    <row r="3368">
      <c r="A3368" s="40">
        <f t="array" ref="A3368">IFNA(index(PlayerValues!A:A,match(IFNA(vlookup(B3368,'Special Names'!A:B,2,FALSE),B3368),PlayerValues!E:E,0)),"N/A")</f>
        <v>17510</v>
      </c>
      <c r="B3368" s="4" t="s">
        <v>661</v>
      </c>
      <c r="C3368" s="4" t="s">
        <v>287</v>
      </c>
      <c r="D3368" s="94">
        <v>1374.0</v>
      </c>
    </row>
    <row r="3369">
      <c r="A3369" s="40">
        <f t="array" ref="A3369">IFNA(index(PlayerValues!A:A,match(IFNA(vlookup(B3369,'Special Names'!A:B,2,FALSE),B3369),PlayerValues!E:E,0)),"N/A")</f>
        <v>17475</v>
      </c>
      <c r="B3369" s="4" t="s">
        <v>615</v>
      </c>
      <c r="C3369" s="4" t="s">
        <v>278</v>
      </c>
      <c r="D3369" s="94">
        <v>1367.0</v>
      </c>
    </row>
    <row r="3370">
      <c r="A3370" s="40">
        <f t="array" ref="A3370">IFNA(index(PlayerValues!A:A,match(IFNA(vlookup(B3370,'Special Names'!A:B,2,FALSE),B3370),PlayerValues!E:E,0)),"N/A")</f>
        <v>15873</v>
      </c>
      <c r="B3370" s="4" t="s">
        <v>681</v>
      </c>
      <c r="C3370" s="4" t="s">
        <v>298</v>
      </c>
      <c r="D3370" s="94">
        <v>1719.0</v>
      </c>
    </row>
    <row r="3371">
      <c r="A3371" s="40">
        <f t="array" ref="A3371">IFNA(index(PlayerValues!A:A,match(IFNA(vlookup(B3371,'Special Names'!A:B,2,FALSE),B3371),PlayerValues!E:E,0)),"N/A")</f>
        <v>17541</v>
      </c>
      <c r="B3371" s="4" t="s">
        <v>616</v>
      </c>
      <c r="C3371" s="4" t="s">
        <v>287</v>
      </c>
      <c r="D3371" s="94">
        <v>1347.0</v>
      </c>
    </row>
    <row r="3372">
      <c r="A3372" s="40">
        <f t="array" ref="A3372">IFNA(index(PlayerValues!A:A,match(IFNA(vlookup(B3372,'Special Names'!A:B,2,FALSE),B3372),PlayerValues!E:E,0)),"N/A")</f>
        <v>16621</v>
      </c>
      <c r="B3372" s="4" t="s">
        <v>672</v>
      </c>
      <c r="C3372" s="4" t="s">
        <v>287</v>
      </c>
      <c r="D3372" s="94">
        <v>1345.0</v>
      </c>
    </row>
    <row r="3373">
      <c r="A3373" s="40">
        <f t="array" ref="A3373">IFNA(index(PlayerValues!A:A,match(IFNA(vlookup(B3373,'Special Names'!A:B,2,FALSE),B3373),PlayerValues!E:E,0)),"N/A")</f>
        <v>14137</v>
      </c>
      <c r="B3373" s="4" t="s">
        <v>676</v>
      </c>
      <c r="C3373" s="4" t="s">
        <v>298</v>
      </c>
      <c r="D3373" s="94">
        <v>1709.0</v>
      </c>
    </row>
    <row r="3374">
      <c r="A3374" s="40">
        <f t="array" ref="A3374">IFNA(index(PlayerValues!A:A,match(IFNA(vlookup(B3374,'Special Names'!A:B,2,FALSE),B3374),PlayerValues!E:E,0)),"N/A")</f>
        <v>17479</v>
      </c>
      <c r="B3374" s="4" t="s">
        <v>756</v>
      </c>
      <c r="C3374" s="4" t="s">
        <v>278</v>
      </c>
      <c r="D3374" s="94">
        <v>1335.0</v>
      </c>
    </row>
    <row r="3375">
      <c r="A3375" s="40">
        <f t="array" ref="A3375">IFNA(index(PlayerValues!A:A,match(IFNA(vlookup(B3375,'Special Names'!A:B,2,FALSE),B3375),PlayerValues!E:E,0)),"N/A")</f>
        <v>15301</v>
      </c>
      <c r="B3375" s="4" t="s">
        <v>657</v>
      </c>
      <c r="C3375" s="4" t="s">
        <v>287</v>
      </c>
      <c r="D3375" s="94">
        <v>1333.0</v>
      </c>
    </row>
    <row r="3376">
      <c r="A3376" s="40">
        <f t="array" ref="A3376">IFNA(index(PlayerValues!A:A,match(IFNA(vlookup(B3376,'Special Names'!A:B,2,FALSE),B3376),PlayerValues!E:E,0)),"N/A")</f>
        <v>16642</v>
      </c>
      <c r="B3376" s="4" t="s">
        <v>691</v>
      </c>
      <c r="C3376" s="4" t="s">
        <v>298</v>
      </c>
      <c r="D3376" s="94">
        <v>1697.0</v>
      </c>
    </row>
    <row r="3377">
      <c r="A3377" s="40" t="str">
        <f t="array" ref="A3377">IFNA(index(PlayerValues!A:A,match(IFNA(vlookup(B3377,'Special Names'!A:B,2,FALSE),B3377),PlayerValues!E:E,0)),"N/A")</f>
        <v>N/A</v>
      </c>
      <c r="B3377" s="4" t="s">
        <v>117</v>
      </c>
      <c r="C3377" s="4" t="s">
        <v>325</v>
      </c>
      <c r="D3377" s="94">
        <v>1315.0</v>
      </c>
    </row>
    <row r="3378">
      <c r="A3378" s="40">
        <f t="array" ref="A3378">IFNA(index(PlayerValues!A:A,match(IFNA(vlookup(B3378,'Special Names'!A:B,2,FALSE),B3378),PlayerValues!E:E,0)),"N/A")</f>
        <v>17487</v>
      </c>
      <c r="B3378" s="4" t="s">
        <v>692</v>
      </c>
      <c r="C3378" s="4" t="s">
        <v>278</v>
      </c>
      <c r="D3378" s="94">
        <v>1312.0</v>
      </c>
    </row>
    <row r="3379">
      <c r="A3379" s="40">
        <f t="array" ref="A3379">IFNA(index(PlayerValues!A:A,match(IFNA(vlookup(B3379,'Special Names'!A:B,2,FALSE),B3379),PlayerValues!E:E,0)),"N/A")</f>
        <v>17486</v>
      </c>
      <c r="B3379" s="4" t="s">
        <v>695</v>
      </c>
      <c r="C3379" s="4" t="s">
        <v>278</v>
      </c>
      <c r="D3379" s="94">
        <v>1309.0</v>
      </c>
    </row>
    <row r="3380">
      <c r="A3380" s="40">
        <f t="array" ref="A3380">IFNA(index(PlayerValues!A:A,match(IFNA(vlookup(B3380,'Special Names'!A:B,2,FALSE),B3380),PlayerValues!E:E,0)),"N/A")</f>
        <v>16385</v>
      </c>
      <c r="B3380" s="4" t="s">
        <v>690</v>
      </c>
      <c r="C3380" s="4" t="s">
        <v>278</v>
      </c>
      <c r="D3380" s="94">
        <v>1295.0</v>
      </c>
    </row>
    <row r="3381">
      <c r="A3381" s="40">
        <f t="array" ref="A3381">IFNA(index(PlayerValues!A:A,match(IFNA(vlookup(B3381,'Special Names'!A:B,2,FALSE),B3381),PlayerValues!E:E,0)),"N/A")</f>
        <v>17470</v>
      </c>
      <c r="B3381" s="4" t="s">
        <v>841</v>
      </c>
      <c r="C3381" s="4" t="s">
        <v>283</v>
      </c>
      <c r="D3381" s="94">
        <v>1295.0</v>
      </c>
    </row>
    <row r="3382">
      <c r="A3382" s="40">
        <f t="array" ref="A3382">IFNA(index(PlayerValues!A:A,match(IFNA(vlookup(B3382,'Special Names'!A:B,2,FALSE),B3382),PlayerValues!E:E,0)),"N/A")</f>
        <v>16175</v>
      </c>
      <c r="B3382" s="4" t="s">
        <v>654</v>
      </c>
      <c r="C3382" s="4" t="s">
        <v>278</v>
      </c>
      <c r="D3382" s="94">
        <v>1284.0</v>
      </c>
    </row>
    <row r="3383">
      <c r="A3383" s="40">
        <f t="array" ref="A3383">IFNA(index(PlayerValues!A:A,match(IFNA(vlookup(B3383,'Special Names'!A:B,2,FALSE),B3383),PlayerValues!E:E,0)),"N/A")</f>
        <v>15292</v>
      </c>
      <c r="B3383" s="4" t="s">
        <v>682</v>
      </c>
      <c r="C3383" s="4" t="s">
        <v>287</v>
      </c>
      <c r="D3383" s="94">
        <v>1275.0</v>
      </c>
    </row>
    <row r="3384">
      <c r="A3384" s="40">
        <f t="array" ref="A3384">IFNA(index(PlayerValues!A:A,match(IFNA(vlookup(B3384,'Special Names'!A:B,2,FALSE),B3384),PlayerValues!E:E,0)),"N/A")</f>
        <v>14086</v>
      </c>
      <c r="B3384" s="4" t="s">
        <v>639</v>
      </c>
      <c r="C3384" s="4" t="s">
        <v>278</v>
      </c>
      <c r="D3384" s="94">
        <v>1263.0</v>
      </c>
    </row>
    <row r="3385">
      <c r="A3385" s="40">
        <f t="array" ref="A3385">IFNA(index(PlayerValues!A:A,match(IFNA(vlookup(B3385,'Special Names'!A:B,2,FALSE),B3385),PlayerValues!E:E,0)),"N/A")</f>
        <v>14592</v>
      </c>
      <c r="B3385" s="4" t="s">
        <v>705</v>
      </c>
      <c r="C3385" s="4" t="s">
        <v>287</v>
      </c>
      <c r="D3385" s="94">
        <v>1257.0</v>
      </c>
    </row>
    <row r="3386">
      <c r="A3386" s="40">
        <f t="array" ref="A3386">IFNA(index(PlayerValues!A:A,match(IFNA(vlookup(B3386,'Special Names'!A:B,2,FALSE),B3386),PlayerValues!E:E,0)),"N/A")</f>
        <v>14108</v>
      </c>
      <c r="B3386" s="4" t="s">
        <v>673</v>
      </c>
      <c r="C3386" s="4" t="s">
        <v>287</v>
      </c>
      <c r="D3386" s="94">
        <v>1252.0</v>
      </c>
    </row>
    <row r="3387">
      <c r="A3387" s="40">
        <f t="array" ref="A3387">IFNA(index(PlayerValues!A:A,match(IFNA(vlookup(B3387,'Special Names'!A:B,2,FALSE),B3387),PlayerValues!E:E,0)),"N/A")</f>
        <v>15240</v>
      </c>
      <c r="B3387" s="4" t="s">
        <v>751</v>
      </c>
      <c r="C3387" s="4" t="s">
        <v>283</v>
      </c>
      <c r="D3387" s="94">
        <v>1247.0</v>
      </c>
    </row>
    <row r="3388">
      <c r="A3388" s="40">
        <f t="array" ref="A3388">IFNA(index(PlayerValues!A:A,match(IFNA(vlookup(B3388,'Special Names'!A:B,2,FALSE),B3388),PlayerValues!E:E,0)),"N/A")</f>
        <v>15702</v>
      </c>
      <c r="B3388" s="4" t="s">
        <v>723</v>
      </c>
      <c r="C3388" s="4" t="s">
        <v>283</v>
      </c>
      <c r="D3388" s="94">
        <v>1247.0</v>
      </c>
    </row>
    <row r="3389">
      <c r="A3389" s="40">
        <f t="array" ref="A3389">IFNA(index(PlayerValues!A:A,match(IFNA(vlookup(B3389,'Special Names'!A:B,2,FALSE),B3389),PlayerValues!E:E,0)),"N/A")</f>
        <v>16451</v>
      </c>
      <c r="B3389" s="4" t="s">
        <v>769</v>
      </c>
      <c r="C3389" s="4" t="s">
        <v>287</v>
      </c>
      <c r="D3389" s="94">
        <v>1229.0</v>
      </c>
    </row>
    <row r="3390">
      <c r="A3390" s="40">
        <f t="array" ref="A3390">IFNA(index(PlayerValues!A:A,match(IFNA(vlookup(B3390,'Special Names'!A:B,2,FALSE),B3390),PlayerValues!E:E,0)),"N/A")</f>
        <v>15981</v>
      </c>
      <c r="B3390" s="4" t="s">
        <v>729</v>
      </c>
      <c r="C3390" s="4" t="s">
        <v>287</v>
      </c>
      <c r="D3390" s="94">
        <v>1227.0</v>
      </c>
    </row>
    <row r="3391">
      <c r="A3391" s="40">
        <f t="array" ref="A3391">IFNA(index(PlayerValues!A:A,match(IFNA(vlookup(B3391,'Special Names'!A:B,2,FALSE),B3391),PlayerValues!E:E,0)),"N/A")</f>
        <v>16183</v>
      </c>
      <c r="B3391" s="4" t="s">
        <v>678</v>
      </c>
      <c r="C3391" s="4" t="s">
        <v>287</v>
      </c>
      <c r="D3391" s="94">
        <v>1227.0</v>
      </c>
    </row>
    <row r="3392">
      <c r="A3392" s="40">
        <f t="array" ref="A3392">IFNA(index(PlayerValues!A:A,match(IFNA(vlookup(B3392,'Special Names'!A:B,2,FALSE),B3392),PlayerValues!E:E,0)),"N/A")</f>
        <v>16149</v>
      </c>
      <c r="B3392" s="4" t="s">
        <v>740</v>
      </c>
      <c r="C3392" s="4" t="s">
        <v>283</v>
      </c>
      <c r="D3392" s="94">
        <v>1227.0</v>
      </c>
    </row>
    <row r="3393">
      <c r="A3393" s="40">
        <f t="array" ref="A3393">IFNA(index(PlayerValues!A:A,match(IFNA(vlookup(B3393,'Special Names'!A:B,2,FALSE),B3393),PlayerValues!E:E,0)),"N/A")</f>
        <v>12263</v>
      </c>
      <c r="B3393" s="4" t="s">
        <v>697</v>
      </c>
      <c r="C3393" s="4" t="s">
        <v>298</v>
      </c>
      <c r="D3393" s="94">
        <v>1585.0</v>
      </c>
    </row>
    <row r="3394">
      <c r="A3394" s="40">
        <f t="array" ref="A3394">IFNA(index(PlayerValues!A:A,match(IFNA(vlookup(B3394,'Special Names'!A:B,2,FALSE),B3394),PlayerValues!E:E,0)),"N/A")</f>
        <v>17526</v>
      </c>
      <c r="B3394" s="4" t="s">
        <v>760</v>
      </c>
      <c r="C3394" s="4" t="s">
        <v>287</v>
      </c>
      <c r="D3394" s="94">
        <v>1210.0</v>
      </c>
    </row>
    <row r="3395">
      <c r="A3395" s="40">
        <f t="array" ref="A3395">IFNA(index(PlayerValues!A:A,match(IFNA(vlookup(B3395,'Special Names'!A:B,2,FALSE),B3395),PlayerValues!E:E,0)),"N/A")</f>
        <v>16384</v>
      </c>
      <c r="B3395" s="4" t="s">
        <v>696</v>
      </c>
      <c r="C3395" s="4" t="s">
        <v>283</v>
      </c>
      <c r="D3395" s="94">
        <v>1197.0</v>
      </c>
    </row>
    <row r="3396">
      <c r="A3396" s="40">
        <f t="array" ref="A3396">IFNA(index(PlayerValues!A:A,match(IFNA(vlookup(B3396,'Special Names'!A:B,2,FALSE),B3396),PlayerValues!E:E,0)),"N/A")</f>
        <v>16792</v>
      </c>
      <c r="B3396" s="4" t="s">
        <v>704</v>
      </c>
      <c r="C3396" s="4" t="s">
        <v>287</v>
      </c>
      <c r="D3396" s="94">
        <v>1194.0</v>
      </c>
    </row>
    <row r="3397">
      <c r="A3397" s="40">
        <f t="array" ref="A3397">IFNA(index(PlayerValues!A:A,match(IFNA(vlookup(B3397,'Special Names'!A:B,2,FALSE),B3397),PlayerValues!E:E,0)),"N/A")</f>
        <v>17063</v>
      </c>
      <c r="B3397" s="4" t="s">
        <v>686</v>
      </c>
      <c r="C3397" s="4" t="s">
        <v>278</v>
      </c>
      <c r="D3397" s="94">
        <v>1186.0</v>
      </c>
    </row>
    <row r="3398">
      <c r="A3398" s="40">
        <f t="array" ref="A3398">IFNA(index(PlayerValues!A:A,match(IFNA(vlookup(B3398,'Special Names'!A:B,2,FALSE),B3398),PlayerValues!E:E,0)),"N/A")</f>
        <v>16221</v>
      </c>
      <c r="B3398" s="4" t="s">
        <v>725</v>
      </c>
      <c r="C3398" s="4" t="s">
        <v>298</v>
      </c>
      <c r="D3398" s="94">
        <v>1547.0</v>
      </c>
    </row>
    <row r="3399">
      <c r="A3399" s="40">
        <f t="array" ref="A3399">IFNA(index(PlayerValues!A:A,match(IFNA(vlookup(B3399,'Special Names'!A:B,2,FALSE),B3399),PlayerValues!E:E,0)),"N/A")</f>
        <v>16645</v>
      </c>
      <c r="B3399" s="4" t="s">
        <v>651</v>
      </c>
      <c r="C3399" s="4" t="s">
        <v>298</v>
      </c>
      <c r="D3399" s="94">
        <v>1543.0</v>
      </c>
    </row>
    <row r="3400">
      <c r="A3400" s="40">
        <f t="array" ref="A3400">IFNA(index(PlayerValues!A:A,match(IFNA(vlookup(B3400,'Special Names'!A:B,2,FALSE),B3400),PlayerValues!E:E,0)),"N/A")</f>
        <v>17054</v>
      </c>
      <c r="B3400" s="4" t="s">
        <v>670</v>
      </c>
      <c r="C3400" s="4" t="s">
        <v>278</v>
      </c>
      <c r="D3400" s="94">
        <v>1170.0</v>
      </c>
    </row>
    <row r="3401">
      <c r="A3401" s="40">
        <f t="array" ref="A3401">IFNA(index(PlayerValues!A:A,match(IFNA(vlookup(B3401,'Special Names'!A:B,2,FALSE),B3401),PlayerValues!E:E,0)),"N/A")</f>
        <v>12678</v>
      </c>
      <c r="B3401" s="4" t="s">
        <v>703</v>
      </c>
      <c r="C3401" s="4" t="s">
        <v>298</v>
      </c>
      <c r="D3401" s="94">
        <v>1524.0</v>
      </c>
    </row>
    <row r="3402">
      <c r="A3402" s="40">
        <f t="array" ref="A3402">IFNA(index(PlayerValues!A:A,match(IFNA(vlookup(B3402,'Special Names'!A:B,2,FALSE),B3402),PlayerValues!E:E,0)),"N/A")</f>
        <v>16883</v>
      </c>
      <c r="B3402" s="4" t="s">
        <v>683</v>
      </c>
      <c r="C3402" s="4" t="s">
        <v>287</v>
      </c>
      <c r="D3402" s="94">
        <v>1152.0</v>
      </c>
    </row>
    <row r="3403">
      <c r="A3403" s="40">
        <f t="array" ref="A3403">IFNA(index(PlayerValues!A:A,match(IFNA(vlookup(B3403,'Special Names'!A:B,2,FALSE),B3403),PlayerValues!E:E,0)),"N/A")</f>
        <v>16746</v>
      </c>
      <c r="B3403" s="4" t="s">
        <v>709</v>
      </c>
      <c r="C3403" s="4" t="s">
        <v>278</v>
      </c>
      <c r="D3403" s="94">
        <v>1150.0</v>
      </c>
    </row>
    <row r="3404">
      <c r="A3404" s="40">
        <f t="array" ref="A3404">IFNA(index(PlayerValues!A:A,match(IFNA(vlookup(B3404,'Special Names'!A:B,2,FALSE),B3404),PlayerValues!E:E,0)),"N/A")</f>
        <v>16636</v>
      </c>
      <c r="B3404" s="4" t="s">
        <v>699</v>
      </c>
      <c r="C3404" s="4" t="s">
        <v>287</v>
      </c>
      <c r="D3404" s="94">
        <v>1149.0</v>
      </c>
    </row>
    <row r="3405">
      <c r="A3405" s="40">
        <f t="array" ref="A3405">IFNA(index(PlayerValues!A:A,match(IFNA(vlookup(B3405,'Special Names'!A:B,2,FALSE),B3405),PlayerValues!E:E,0)),"N/A")</f>
        <v>16199</v>
      </c>
      <c r="B3405" s="4" t="s">
        <v>687</v>
      </c>
      <c r="C3405" s="4" t="s">
        <v>287</v>
      </c>
      <c r="D3405" s="94">
        <v>1143.0</v>
      </c>
    </row>
    <row r="3406">
      <c r="A3406" s="40">
        <f t="array" ref="A3406">IFNA(index(PlayerValues!A:A,match(IFNA(vlookup(B3406,'Special Names'!A:B,2,FALSE),B3406),PlayerValues!E:E,0)),"N/A")</f>
        <v>14789</v>
      </c>
      <c r="B3406" s="4" t="s">
        <v>721</v>
      </c>
      <c r="C3406" s="4" t="s">
        <v>283</v>
      </c>
      <c r="D3406" s="94">
        <v>1142.0</v>
      </c>
    </row>
    <row r="3407">
      <c r="A3407" s="40">
        <f t="array" ref="A3407">IFNA(index(PlayerValues!A:A,match(IFNA(vlookup(B3407,'Special Names'!A:B,2,FALSE),B3407),PlayerValues!E:E,0)),"N/A")</f>
        <v>17097</v>
      </c>
      <c r="B3407" s="4" t="s">
        <v>659</v>
      </c>
      <c r="C3407" s="4" t="s">
        <v>287</v>
      </c>
      <c r="D3407" s="94">
        <v>1134.0</v>
      </c>
    </row>
    <row r="3408">
      <c r="A3408" s="40">
        <f t="array" ref="A3408">IFNA(index(PlayerValues!A:A,match(IFNA(vlookup(B3408,'Special Names'!A:B,2,FALSE),B3408),PlayerValues!E:E,0)),"N/A")</f>
        <v>13289</v>
      </c>
      <c r="B3408" s="4" t="s">
        <v>746</v>
      </c>
      <c r="C3408" s="4" t="s">
        <v>287</v>
      </c>
      <c r="D3408" s="94">
        <v>1124.0</v>
      </c>
    </row>
    <row r="3409">
      <c r="A3409" s="40">
        <f t="array" ref="A3409">IFNA(index(PlayerValues!A:A,match(IFNA(vlookup(B3409,'Special Names'!A:B,2,FALSE),B3409),PlayerValues!E:E,0)),"N/A")</f>
        <v>17192</v>
      </c>
      <c r="B3409" s="4" t="s">
        <v>677</v>
      </c>
      <c r="C3409" s="4" t="s">
        <v>287</v>
      </c>
      <c r="D3409" s="94">
        <v>1116.0</v>
      </c>
    </row>
    <row r="3410">
      <c r="A3410" s="40">
        <f t="array" ref="A3410">IFNA(index(PlayerValues!A:A,match(IFNA(vlookup(B3410,'Special Names'!A:B,2,FALSE),B3410),PlayerValues!E:E,0)),"N/A")</f>
        <v>17050</v>
      </c>
      <c r="B3410" s="4" t="s">
        <v>713</v>
      </c>
      <c r="C3410" s="4" t="s">
        <v>278</v>
      </c>
      <c r="D3410" s="94">
        <v>1115.0</v>
      </c>
    </row>
    <row r="3411">
      <c r="A3411" s="40">
        <f t="array" ref="A3411">IFNA(index(PlayerValues!A:A,match(IFNA(vlookup(B3411,'Special Names'!A:B,2,FALSE),B3411),PlayerValues!E:E,0)),"N/A")</f>
        <v>14845</v>
      </c>
      <c r="B3411" s="4" t="s">
        <v>717</v>
      </c>
      <c r="C3411" s="4" t="s">
        <v>287</v>
      </c>
      <c r="D3411" s="94">
        <v>1112.0</v>
      </c>
    </row>
    <row r="3412">
      <c r="A3412" s="40">
        <f t="array" ref="A3412">IFNA(index(PlayerValues!A:A,match(IFNA(vlookup(B3412,'Special Names'!A:B,2,FALSE),B3412),PlayerValues!E:E,0)),"N/A")</f>
        <v>15239</v>
      </c>
      <c r="B3412" s="4" t="s">
        <v>802</v>
      </c>
      <c r="C3412" s="4" t="s">
        <v>283</v>
      </c>
      <c r="D3412" s="94">
        <v>1111.0</v>
      </c>
    </row>
    <row r="3413">
      <c r="A3413" s="40">
        <f t="array" ref="A3413">IFNA(index(PlayerValues!A:A,match(IFNA(vlookup(B3413,'Special Names'!A:B,2,FALSE),B3413),PlayerValues!E:E,0)),"N/A")</f>
        <v>15730</v>
      </c>
      <c r="B3413" s="4" t="s">
        <v>734</v>
      </c>
      <c r="C3413" s="4" t="s">
        <v>278</v>
      </c>
      <c r="D3413" s="94">
        <v>1109.0</v>
      </c>
    </row>
    <row r="3414">
      <c r="A3414" s="40">
        <f t="array" ref="A3414">IFNA(index(PlayerValues!A:A,match(IFNA(vlookup(B3414,'Special Names'!A:B,2,FALSE),B3414),PlayerValues!E:E,0)),"N/A")</f>
        <v>15692</v>
      </c>
      <c r="B3414" s="4" t="s">
        <v>750</v>
      </c>
      <c r="C3414" s="4" t="s">
        <v>283</v>
      </c>
      <c r="D3414" s="94">
        <v>1105.0</v>
      </c>
    </row>
    <row r="3415">
      <c r="A3415" s="40">
        <f t="array" ref="A3415">IFNA(index(PlayerValues!A:A,match(IFNA(vlookup(B3415,'Special Names'!A:B,2,FALSE),B3415),PlayerValues!E:E,0)),"N/A")</f>
        <v>16333</v>
      </c>
      <c r="B3415" s="4" t="s">
        <v>711</v>
      </c>
      <c r="C3415" s="4" t="s">
        <v>298</v>
      </c>
      <c r="D3415" s="94">
        <v>1466.0</v>
      </c>
    </row>
    <row r="3416">
      <c r="A3416" s="40">
        <f t="array" ref="A3416">IFNA(index(PlayerValues!A:A,match(IFNA(vlookup(B3416,'Special Names'!A:B,2,FALSE),B3416),PlayerValues!E:E,0)),"N/A")</f>
        <v>16197</v>
      </c>
      <c r="B3416" s="4" t="s">
        <v>726</v>
      </c>
      <c r="C3416" s="4" t="s">
        <v>287</v>
      </c>
      <c r="D3416" s="94">
        <v>1095.0</v>
      </c>
    </row>
    <row r="3417">
      <c r="A3417" s="40">
        <f t="array" ref="A3417">IFNA(index(PlayerValues!A:A,match(IFNA(vlookup(B3417,'Special Names'!A:B,2,FALSE),B3417),PlayerValues!E:E,0)),"N/A")</f>
        <v>17109</v>
      </c>
      <c r="B3417" s="4" t="s">
        <v>707</v>
      </c>
      <c r="C3417" s="4" t="s">
        <v>298</v>
      </c>
      <c r="D3417" s="94">
        <v>1462.0</v>
      </c>
    </row>
    <row r="3418">
      <c r="A3418" s="40">
        <f t="array" ref="A3418">IFNA(index(PlayerValues!A:A,match(IFNA(vlookup(B3418,'Special Names'!A:B,2,FALSE),B3418),PlayerValues!E:E,0)),"N/A")</f>
        <v>13610</v>
      </c>
      <c r="B3418" s="4" t="s">
        <v>825</v>
      </c>
      <c r="C3418" s="4" t="s">
        <v>278</v>
      </c>
      <c r="D3418" s="94">
        <v>1082.0</v>
      </c>
    </row>
    <row r="3419">
      <c r="A3419" s="40">
        <f t="array" ref="A3419">IFNA(index(PlayerValues!A:A,match(IFNA(vlookup(B3419,'Special Names'!A:B,2,FALSE),B3419),PlayerValues!E:E,0)),"N/A")</f>
        <v>15288</v>
      </c>
      <c r="B3419" s="4" t="s">
        <v>700</v>
      </c>
      <c r="C3419" s="4" t="s">
        <v>287</v>
      </c>
      <c r="D3419" s="94">
        <v>1078.0</v>
      </c>
    </row>
    <row r="3420">
      <c r="A3420" s="40">
        <f t="array" ref="A3420">IFNA(index(PlayerValues!A:A,match(IFNA(vlookup(B3420,'Special Names'!A:B,2,FALSE),B3420),PlayerValues!E:E,0)),"N/A")</f>
        <v>17175</v>
      </c>
      <c r="B3420" s="4" t="s">
        <v>747</v>
      </c>
      <c r="C3420" s="4" t="s">
        <v>287</v>
      </c>
      <c r="D3420" s="94">
        <v>1074.0</v>
      </c>
    </row>
    <row r="3421">
      <c r="A3421" s="40">
        <f t="array" ref="A3421">IFNA(index(PlayerValues!A:A,match(IFNA(vlookup(B3421,'Special Names'!A:B,2,FALSE),B3421),PlayerValues!E:E,0)),"N/A")</f>
        <v>15717</v>
      </c>
      <c r="B3421" s="4" t="s">
        <v>745</v>
      </c>
      <c r="C3421" s="4" t="s">
        <v>278</v>
      </c>
      <c r="D3421" s="94">
        <v>1071.0</v>
      </c>
    </row>
    <row r="3422">
      <c r="A3422" s="40">
        <f t="array" ref="A3422">IFNA(index(PlayerValues!A:A,match(IFNA(vlookup(B3422,'Special Names'!A:B,2,FALSE),B3422),PlayerValues!E:E,0)),"N/A")</f>
        <v>16219</v>
      </c>
      <c r="B3422" s="4" t="s">
        <v>739</v>
      </c>
      <c r="C3422" s="4" t="s">
        <v>298</v>
      </c>
      <c r="D3422" s="94">
        <v>1436.0</v>
      </c>
    </row>
    <row r="3423">
      <c r="A3423" s="40">
        <f t="array" ref="A3423">IFNA(index(PlayerValues!A:A,match(IFNA(vlookup(B3423,'Special Names'!A:B,2,FALSE),B3423),PlayerValues!E:E,0)),"N/A")</f>
        <v>16640</v>
      </c>
      <c r="B3423" s="4" t="s">
        <v>712</v>
      </c>
      <c r="C3423" s="4" t="s">
        <v>287</v>
      </c>
      <c r="D3423" s="94">
        <v>1061.0</v>
      </c>
    </row>
    <row r="3424">
      <c r="A3424" s="40">
        <f t="array" ref="A3424">IFNA(index(PlayerValues!A:A,match(IFNA(vlookup(B3424,'Special Names'!A:B,2,FALSE),B3424),PlayerValues!E:E,0)),"N/A")</f>
        <v>15718</v>
      </c>
      <c r="B3424" s="4" t="s">
        <v>753</v>
      </c>
      <c r="C3424" s="4" t="s">
        <v>278</v>
      </c>
      <c r="D3424" s="94">
        <v>1058.0</v>
      </c>
    </row>
    <row r="3425">
      <c r="A3425" s="40">
        <f t="array" ref="A3425">IFNA(index(PlayerValues!A:A,match(IFNA(vlookup(B3425,'Special Names'!A:B,2,FALSE),B3425),PlayerValues!E:E,0)),"N/A")</f>
        <v>16387</v>
      </c>
      <c r="B3425" s="4" t="s">
        <v>646</v>
      </c>
      <c r="C3425" s="4" t="s">
        <v>278</v>
      </c>
      <c r="D3425" s="94">
        <v>1057.0</v>
      </c>
    </row>
    <row r="3426">
      <c r="A3426" s="40">
        <f t="array" ref="A3426">IFNA(index(PlayerValues!A:A,match(IFNA(vlookup(B3426,'Special Names'!A:B,2,FALSE),B3426),PlayerValues!E:E,0)),"N/A")</f>
        <v>15720</v>
      </c>
      <c r="B3426" s="4" t="s">
        <v>795</v>
      </c>
      <c r="C3426" s="4" t="s">
        <v>278</v>
      </c>
      <c r="D3426" s="94">
        <v>1048.0</v>
      </c>
    </row>
    <row r="3427">
      <c r="A3427" s="40">
        <f t="array" ref="A3427">IFNA(index(PlayerValues!A:A,match(IFNA(vlookup(B3427,'Special Names'!A:B,2,FALSE),B3427),PlayerValues!E:E,0)),"N/A")</f>
        <v>15693</v>
      </c>
      <c r="B3427" s="4" t="s">
        <v>755</v>
      </c>
      <c r="C3427" s="4" t="s">
        <v>283</v>
      </c>
      <c r="D3427" s="94">
        <v>1045.0</v>
      </c>
    </row>
    <row r="3428">
      <c r="A3428" s="40">
        <f t="array" ref="A3428">IFNA(index(PlayerValues!A:A,match(IFNA(vlookup(B3428,'Special Names'!A:B,2,FALSE),B3428),PlayerValues!E:E,0)),"N/A")</f>
        <v>16393</v>
      </c>
      <c r="B3428" s="4" t="s">
        <v>768</v>
      </c>
      <c r="C3428" s="4" t="s">
        <v>287</v>
      </c>
      <c r="D3428" s="94">
        <v>1038.0</v>
      </c>
    </row>
    <row r="3429">
      <c r="A3429" s="40">
        <f t="array" ref="A3429">IFNA(index(PlayerValues!A:A,match(IFNA(vlookup(B3429,'Special Names'!A:B,2,FALSE),B3429),PlayerValues!E:E,0)),"N/A")</f>
        <v>15785</v>
      </c>
      <c r="B3429" s="4" t="s">
        <v>763</v>
      </c>
      <c r="C3429" s="4" t="s">
        <v>287</v>
      </c>
      <c r="D3429" s="94">
        <v>1034.0</v>
      </c>
    </row>
    <row r="3430">
      <c r="A3430" s="40">
        <f t="array" ref="A3430">IFNA(index(PlayerValues!A:A,match(IFNA(vlookup(B3430,'Special Names'!A:B,2,FALSE),B3430),PlayerValues!E:E,0)),"N/A")</f>
        <v>14118</v>
      </c>
      <c r="B3430" s="4" t="s">
        <v>771</v>
      </c>
      <c r="C3430" s="4" t="s">
        <v>287</v>
      </c>
      <c r="D3430" s="94">
        <v>1033.0</v>
      </c>
    </row>
    <row r="3431">
      <c r="A3431" s="40">
        <f t="array" ref="A3431">IFNA(index(PlayerValues!A:A,match(IFNA(vlookup(B3431,'Special Names'!A:B,2,FALSE),B3431),PlayerValues!E:E,0)),"N/A")</f>
        <v>14849</v>
      </c>
      <c r="B3431" s="4" t="s">
        <v>733</v>
      </c>
      <c r="C3431" s="4" t="s">
        <v>287</v>
      </c>
      <c r="D3431" s="94">
        <v>1033.0</v>
      </c>
    </row>
    <row r="3432">
      <c r="A3432" s="40">
        <f t="array" ref="A3432">IFNA(index(PlayerValues!A:A,match(IFNA(vlookup(B3432,'Special Names'!A:B,2,FALSE),B3432),PlayerValues!E:E,0)),"N/A")</f>
        <v>15626</v>
      </c>
      <c r="B3432" s="4" t="s">
        <v>766</v>
      </c>
      <c r="C3432" s="4" t="s">
        <v>298</v>
      </c>
      <c r="D3432" s="94">
        <v>1394.0</v>
      </c>
    </row>
    <row r="3433">
      <c r="A3433" s="40">
        <f t="array" ref="A3433">IFNA(index(PlayerValues!A:A,match(IFNA(vlookup(B3433,'Special Names'!A:B,2,FALSE),B3433),PlayerValues!E:E,0)),"N/A")</f>
        <v>16637</v>
      </c>
      <c r="B3433" s="4" t="s">
        <v>736</v>
      </c>
      <c r="C3433" s="4" t="s">
        <v>287</v>
      </c>
      <c r="D3433" s="94">
        <v>1020.0</v>
      </c>
    </row>
    <row r="3434">
      <c r="A3434" s="40">
        <f t="array" ref="A3434">IFNA(index(PlayerValues!A:A,match(IFNA(vlookup(B3434,'Special Names'!A:B,2,FALSE),B3434),PlayerValues!E:E,0)),"N/A")</f>
        <v>16159</v>
      </c>
      <c r="B3434" s="4" t="s">
        <v>819</v>
      </c>
      <c r="C3434" s="4" t="s">
        <v>283</v>
      </c>
      <c r="D3434" s="94">
        <v>1009.0</v>
      </c>
    </row>
    <row r="3435">
      <c r="A3435" s="40">
        <f t="array" ref="A3435">IFNA(index(PlayerValues!A:A,match(IFNA(vlookup(B3435,'Special Names'!A:B,2,FALSE),B3435),PlayerValues!E:E,0)),"N/A")</f>
        <v>17057</v>
      </c>
      <c r="B3435" s="4" t="s">
        <v>708</v>
      </c>
      <c r="C3435" s="4" t="s">
        <v>278</v>
      </c>
      <c r="D3435" s="94">
        <v>1006.0</v>
      </c>
    </row>
    <row r="3436">
      <c r="A3436" s="40">
        <f t="array" ref="A3436">IFNA(index(PlayerValues!A:A,match(IFNA(vlookup(B3436,'Special Names'!A:B,2,FALSE),B3436),PlayerValues!E:E,0)),"N/A")</f>
        <v>16648</v>
      </c>
      <c r="B3436" s="4" t="s">
        <v>748</v>
      </c>
      <c r="C3436" s="4" t="s">
        <v>298</v>
      </c>
      <c r="D3436" s="94">
        <v>1365.0</v>
      </c>
    </row>
    <row r="3437">
      <c r="A3437" s="40">
        <f t="array" ref="A3437">IFNA(index(PlayerValues!A:A,match(IFNA(vlookup(B3437,'Special Names'!A:B,2,FALSE),B3437),PlayerValues!E:E,0)),"N/A")</f>
        <v>16957</v>
      </c>
      <c r="B3437" s="4" t="s">
        <v>806</v>
      </c>
      <c r="C3437" s="4" t="s">
        <v>278</v>
      </c>
      <c r="D3437" s="94">
        <v>992.0</v>
      </c>
    </row>
    <row r="3438">
      <c r="A3438" s="40">
        <f t="array" ref="A3438">IFNA(index(PlayerValues!A:A,match(IFNA(vlookup(B3438,'Special Names'!A:B,2,FALSE),B3438),PlayerValues!E:E,0)),"N/A")</f>
        <v>17467</v>
      </c>
      <c r="B3438" s="4" t="s">
        <v>575</v>
      </c>
      <c r="C3438" s="4" t="s">
        <v>283</v>
      </c>
      <c r="D3438" s="94">
        <v>992.0</v>
      </c>
    </row>
    <row r="3439">
      <c r="A3439" s="40">
        <f t="array" ref="A3439">IFNA(index(PlayerValues!A:A,match(IFNA(vlookup(B3439,'Special Names'!A:B,2,FALSE),B3439),PlayerValues!E:E,0)),"N/A")</f>
        <v>16168</v>
      </c>
      <c r="B3439" s="4" t="s">
        <v>738</v>
      </c>
      <c r="C3439" s="4" t="s">
        <v>278</v>
      </c>
      <c r="D3439" s="94">
        <v>988.0</v>
      </c>
    </row>
    <row r="3440">
      <c r="A3440" s="40">
        <f t="array" ref="A3440">IFNA(index(PlayerValues!A:A,match(IFNA(vlookup(B3440,'Special Names'!A:B,2,FALSE),B3440),PlayerValues!E:E,0)),"N/A")</f>
        <v>9064</v>
      </c>
      <c r="B3440" s="4" t="s">
        <v>761</v>
      </c>
      <c r="C3440" s="4" t="s">
        <v>283</v>
      </c>
      <c r="D3440" s="94">
        <v>984.0</v>
      </c>
    </row>
    <row r="3441">
      <c r="A3441" s="40">
        <f t="array" ref="A3441">IFNA(index(PlayerValues!A:A,match(IFNA(vlookup(B3441,'Special Names'!A:B,2,FALSE),B3441),PlayerValues!E:E,0)),"N/A")</f>
        <v>14067</v>
      </c>
      <c r="B3441" s="4" t="s">
        <v>735</v>
      </c>
      <c r="C3441" s="4" t="s">
        <v>283</v>
      </c>
      <c r="D3441" s="94">
        <v>983.0</v>
      </c>
    </row>
    <row r="3442">
      <c r="A3442" s="40">
        <f t="array" ref="A3442">IFNA(index(PlayerValues!A:A,match(IFNA(vlookup(B3442,'Special Names'!A:B,2,FALSE),B3442),PlayerValues!E:E,0)),"N/A")</f>
        <v>15330</v>
      </c>
      <c r="B3442" s="4" t="s">
        <v>749</v>
      </c>
      <c r="C3442" s="4" t="s">
        <v>298</v>
      </c>
      <c r="D3442" s="94">
        <v>1341.0</v>
      </c>
    </row>
    <row r="3443">
      <c r="A3443" s="40">
        <f t="array" ref="A3443">IFNA(index(PlayerValues!A:A,match(IFNA(vlookup(B3443,'Special Names'!A:B,2,FALSE),B3443),PlayerValues!E:E,0)),"N/A")</f>
        <v>16858</v>
      </c>
      <c r="B3443" s="4" t="s">
        <v>754</v>
      </c>
      <c r="C3443" s="4" t="s">
        <v>287</v>
      </c>
      <c r="D3443" s="94">
        <v>973.0</v>
      </c>
    </row>
    <row r="3444">
      <c r="A3444" s="40">
        <f t="array" ref="A3444">IFNA(index(PlayerValues!A:A,match(IFNA(vlookup(B3444,'Special Names'!A:B,2,FALSE),B3444),PlayerValues!E:E,0)),"N/A")</f>
        <v>13143</v>
      </c>
      <c r="B3444" s="4" t="s">
        <v>786</v>
      </c>
      <c r="C3444" s="4" t="s">
        <v>278</v>
      </c>
      <c r="D3444" s="94">
        <v>968.0</v>
      </c>
    </row>
    <row r="3445">
      <c r="A3445" s="40">
        <f t="array" ref="A3445">IFNA(index(PlayerValues!A:A,match(IFNA(vlookup(B3445,'Special Names'!A:B,2,FALSE),B3445),PlayerValues!E:E,0)),"N/A")</f>
        <v>14057</v>
      </c>
      <c r="B3445" s="4" t="s">
        <v>765</v>
      </c>
      <c r="C3445" s="4" t="s">
        <v>283</v>
      </c>
      <c r="D3445" s="94">
        <v>954.0</v>
      </c>
    </row>
    <row r="3446">
      <c r="A3446" s="40">
        <f t="array" ref="A3446">IFNA(index(PlayerValues!A:A,match(IFNA(vlookup(B3446,'Special Names'!A:B,2,FALSE),B3446),PlayerValues!E:E,0)),"N/A")</f>
        <v>16773</v>
      </c>
      <c r="B3446" s="4" t="s">
        <v>783</v>
      </c>
      <c r="C3446" s="4" t="s">
        <v>278</v>
      </c>
      <c r="D3446" s="94">
        <v>954.0</v>
      </c>
    </row>
    <row r="3447">
      <c r="A3447" s="40">
        <f t="array" ref="A3447">IFNA(index(PlayerValues!A:A,match(IFNA(vlookup(B3447,'Special Names'!A:B,2,FALSE),B3447),PlayerValues!E:E,0)),"N/A")</f>
        <v>16624</v>
      </c>
      <c r="B3447" s="4" t="s">
        <v>796</v>
      </c>
      <c r="C3447" s="4" t="s">
        <v>287</v>
      </c>
      <c r="D3447" s="94">
        <v>950.0</v>
      </c>
    </row>
    <row r="3448">
      <c r="A3448" s="40">
        <f t="array" ref="A3448">IFNA(index(PlayerValues!A:A,match(IFNA(vlookup(B3448,'Special Names'!A:B,2,FALSE),B3448),PlayerValues!E:E,0)),"N/A")</f>
        <v>16205</v>
      </c>
      <c r="B3448" s="4" t="s">
        <v>742</v>
      </c>
      <c r="C3448" s="4" t="s">
        <v>287</v>
      </c>
      <c r="D3448" s="94">
        <v>942.0</v>
      </c>
    </row>
    <row r="3449">
      <c r="A3449" s="40">
        <f t="array" ref="A3449">IFNA(index(PlayerValues!A:A,match(IFNA(vlookup(B3449,'Special Names'!A:B,2,FALSE),B3449),PlayerValues!E:E,0)),"N/A")</f>
        <v>13595</v>
      </c>
      <c r="B3449" s="4" t="s">
        <v>818</v>
      </c>
      <c r="C3449" s="4" t="s">
        <v>283</v>
      </c>
      <c r="D3449" s="94">
        <v>938.0</v>
      </c>
    </row>
    <row r="3450">
      <c r="A3450" s="40">
        <f t="array" ref="A3450">IFNA(index(PlayerValues!A:A,match(IFNA(vlookup(B3450,'Special Names'!A:B,2,FALSE),B3450),PlayerValues!E:E,0)),"N/A")</f>
        <v>15766</v>
      </c>
      <c r="B3450" s="4" t="s">
        <v>759</v>
      </c>
      <c r="C3450" s="4" t="s">
        <v>287</v>
      </c>
      <c r="D3450" s="94">
        <v>938.0</v>
      </c>
    </row>
    <row r="3451">
      <c r="A3451" s="40">
        <f t="array" ref="A3451">IFNA(index(PlayerValues!A:A,match(IFNA(vlookup(B3451,'Special Names'!A:B,2,FALSE),B3451),PlayerValues!E:E,0)),"N/A")</f>
        <v>13156</v>
      </c>
      <c r="B3451" s="4" t="s">
        <v>835</v>
      </c>
      <c r="C3451" s="4" t="s">
        <v>287</v>
      </c>
      <c r="D3451" s="94">
        <v>933.0</v>
      </c>
    </row>
    <row r="3452">
      <c r="A3452" s="40">
        <f t="array" ref="A3452">IFNA(index(PlayerValues!A:A,match(IFNA(vlookup(B3452,'Special Names'!A:B,2,FALSE),B3452),PlayerValues!E:E,0)),"N/A")</f>
        <v>15109</v>
      </c>
      <c r="B3452" s="4" t="s">
        <v>728</v>
      </c>
      <c r="C3452" s="4" t="s">
        <v>287</v>
      </c>
      <c r="D3452" s="94">
        <v>933.0</v>
      </c>
    </row>
    <row r="3453">
      <c r="A3453" s="40">
        <f t="array" ref="A3453">IFNA(index(PlayerValues!A:A,match(IFNA(vlookup(B3453,'Special Names'!A:B,2,FALSE),B3453),PlayerValues!E:E,0)),"N/A")</f>
        <v>13133</v>
      </c>
      <c r="B3453" s="4" t="s">
        <v>764</v>
      </c>
      <c r="C3453" s="4" t="s">
        <v>278</v>
      </c>
      <c r="D3453" s="94">
        <v>932.0</v>
      </c>
    </row>
    <row r="3454">
      <c r="A3454" s="40">
        <f t="array" ref="A3454">IFNA(index(PlayerValues!A:A,match(IFNA(vlookup(B3454,'Special Names'!A:B,2,FALSE),B3454),PlayerValues!E:E,0)),"N/A")</f>
        <v>16176</v>
      </c>
      <c r="B3454" s="4" t="s">
        <v>812</v>
      </c>
      <c r="C3454" s="4" t="s">
        <v>278</v>
      </c>
      <c r="D3454" s="94">
        <v>919.0</v>
      </c>
    </row>
    <row r="3455">
      <c r="A3455" s="40">
        <f t="array" ref="A3455">IFNA(index(PlayerValues!A:A,match(IFNA(vlookup(B3455,'Special Names'!A:B,2,FALSE),B3455),PlayerValues!E:E,0)),"N/A")</f>
        <v>11247</v>
      </c>
      <c r="B3455" s="4" t="s">
        <v>816</v>
      </c>
      <c r="C3455" s="4" t="s">
        <v>298</v>
      </c>
      <c r="D3455" s="94">
        <v>1286.0</v>
      </c>
    </row>
    <row r="3456">
      <c r="A3456" s="40">
        <f t="array" ref="A3456">IFNA(index(PlayerValues!A:A,match(IFNA(vlookup(B3456,'Special Names'!A:B,2,FALSE),B3456),PlayerValues!E:E,0)),"N/A")</f>
        <v>14852</v>
      </c>
      <c r="B3456" s="4" t="s">
        <v>837</v>
      </c>
      <c r="C3456" s="4" t="s">
        <v>278</v>
      </c>
      <c r="D3456" s="94">
        <v>915.0</v>
      </c>
    </row>
    <row r="3457">
      <c r="A3457" s="40">
        <f t="array" ref="A3457">IFNA(index(PlayerValues!A:A,match(IFNA(vlookup(B3457,'Special Names'!A:B,2,FALSE),B3457),PlayerValues!E:E,0)),"N/A")</f>
        <v>14079</v>
      </c>
      <c r="B3457" s="4" t="s">
        <v>830</v>
      </c>
      <c r="C3457" s="4" t="s">
        <v>278</v>
      </c>
      <c r="D3457" s="94">
        <v>913.0</v>
      </c>
    </row>
    <row r="3458">
      <c r="A3458" s="40">
        <f t="array" ref="A3458">IFNA(index(PlayerValues!A:A,match(IFNA(vlookup(B3458,'Special Names'!A:B,2,FALSE),B3458),PlayerValues!E:E,0)),"N/A")</f>
        <v>16608</v>
      </c>
      <c r="B3458" s="4" t="s">
        <v>629</v>
      </c>
      <c r="C3458" s="4" t="s">
        <v>278</v>
      </c>
      <c r="D3458" s="94">
        <v>912.0</v>
      </c>
    </row>
    <row r="3459">
      <c r="A3459" s="40">
        <f t="array" ref="A3459">IFNA(index(PlayerValues!A:A,match(IFNA(vlookup(B3459,'Special Names'!A:B,2,FALSE),B3459),PlayerValues!E:E,0)),"N/A")</f>
        <v>13763</v>
      </c>
      <c r="B3459" s="4" t="s">
        <v>831</v>
      </c>
      <c r="C3459" s="4" t="s">
        <v>298</v>
      </c>
      <c r="D3459" s="94">
        <v>1282.0</v>
      </c>
    </row>
    <row r="3460">
      <c r="A3460" s="40">
        <f t="array" ref="A3460">IFNA(index(PlayerValues!A:A,match(IFNA(vlookup(B3460,'Special Names'!A:B,2,FALSE),B3460),PlayerValues!E:E,0)),"N/A")</f>
        <v>15283</v>
      </c>
      <c r="B3460" s="4" t="s">
        <v>844</v>
      </c>
      <c r="C3460" s="4" t="s">
        <v>287</v>
      </c>
      <c r="D3460" s="94">
        <v>911.0</v>
      </c>
    </row>
    <row r="3461">
      <c r="A3461" s="40">
        <f t="array" ref="A3461">IFNA(index(PlayerValues!A:A,match(IFNA(vlookup(B3461,'Special Names'!A:B,2,FALSE),B3461),PlayerValues!E:E,0)),"N/A")</f>
        <v>17337</v>
      </c>
      <c r="B3461" s="4" t="s">
        <v>793</v>
      </c>
      <c r="C3461" s="4" t="s">
        <v>278</v>
      </c>
      <c r="D3461" s="94">
        <v>910.0</v>
      </c>
    </row>
    <row r="3462">
      <c r="A3462" s="40">
        <f t="array" ref="A3462">IFNA(index(PlayerValues!A:A,match(IFNA(vlookup(B3462,'Special Names'!A:B,2,FALSE),B3462),PlayerValues!E:E,0)),"N/A")</f>
        <v>14864</v>
      </c>
      <c r="B3462" s="4" t="s">
        <v>789</v>
      </c>
      <c r="C3462" s="4" t="s">
        <v>287</v>
      </c>
      <c r="D3462" s="94">
        <v>908.0</v>
      </c>
    </row>
    <row r="3463">
      <c r="A3463" s="40">
        <f t="array" ref="A3463">IFNA(index(PlayerValues!A:A,match(IFNA(vlookup(B3463,'Special Names'!A:B,2,FALSE),B3463),PlayerValues!E:E,0)),"N/A")</f>
        <v>12785</v>
      </c>
      <c r="B3463" s="4" t="s">
        <v>772</v>
      </c>
      <c r="C3463" s="4" t="s">
        <v>287</v>
      </c>
      <c r="D3463" s="94">
        <v>907.0</v>
      </c>
    </row>
    <row r="3464">
      <c r="A3464" s="40">
        <f t="array" ref="A3464">IFNA(index(PlayerValues!A:A,match(IFNA(vlookup(B3464,'Special Names'!A:B,2,FALSE),B3464),PlayerValues!E:E,0)),"N/A")</f>
        <v>15723</v>
      </c>
      <c r="B3464" s="4" t="s">
        <v>798</v>
      </c>
      <c r="C3464" s="4" t="s">
        <v>278</v>
      </c>
      <c r="D3464" s="94">
        <v>895.0</v>
      </c>
    </row>
    <row r="3465">
      <c r="A3465" s="40">
        <f t="array" ref="A3465">IFNA(index(PlayerValues!A:A,match(IFNA(vlookup(B3465,'Special Names'!A:B,2,FALSE),B3465),PlayerValues!E:E,0)),"N/A")</f>
        <v>13157</v>
      </c>
      <c r="B3465" s="4" t="s">
        <v>836</v>
      </c>
      <c r="C3465" s="4" t="s">
        <v>287</v>
      </c>
      <c r="D3465" s="94">
        <v>892.0</v>
      </c>
    </row>
    <row r="3466">
      <c r="A3466" s="40">
        <f t="array" ref="A3466">IFNA(index(PlayerValues!A:A,match(IFNA(vlookup(B3466,'Special Names'!A:B,2,FALSE),B3466),PlayerValues!E:E,0)),"N/A")</f>
        <v>16599</v>
      </c>
      <c r="B3466" s="4" t="s">
        <v>737</v>
      </c>
      <c r="C3466" s="4" t="s">
        <v>278</v>
      </c>
      <c r="D3466" s="94">
        <v>888.0</v>
      </c>
    </row>
    <row r="3467">
      <c r="A3467" s="40">
        <f t="array" ref="A3467">IFNA(index(PlayerValues!A:A,match(IFNA(vlookup(B3467,'Special Names'!A:B,2,FALSE),B3467),PlayerValues!E:E,0)),"N/A")</f>
        <v>11232</v>
      </c>
      <c r="B3467" s="4" t="s">
        <v>826</v>
      </c>
      <c r="C3467" s="4" t="s">
        <v>287</v>
      </c>
      <c r="D3467" s="94">
        <v>884.0</v>
      </c>
    </row>
    <row r="3468">
      <c r="A3468" s="40">
        <f t="array" ref="A3468">IFNA(index(PlayerValues!A:A,match(IFNA(vlookup(B3468,'Special Names'!A:B,2,FALSE),B3468),PlayerValues!E:E,0)),"N/A")</f>
        <v>15796</v>
      </c>
      <c r="B3468" s="4" t="s">
        <v>794</v>
      </c>
      <c r="C3468" s="4" t="s">
        <v>298</v>
      </c>
      <c r="D3468" s="94">
        <v>1251.0</v>
      </c>
    </row>
    <row r="3469">
      <c r="A3469" s="40">
        <f t="array" ref="A3469">IFNA(index(PlayerValues!A:A,match(IFNA(vlookup(B3469,'Special Names'!A:B,2,FALSE),B3469),PlayerValues!E:E,0)),"N/A")</f>
        <v>15263</v>
      </c>
      <c r="B3469" s="4" t="s">
        <v>804</v>
      </c>
      <c r="C3469" s="4" t="s">
        <v>278</v>
      </c>
      <c r="D3469" s="94">
        <v>872.0</v>
      </c>
    </row>
    <row r="3470">
      <c r="A3470" s="40">
        <f t="array" ref="A3470">IFNA(index(PlayerValues!A:A,match(IFNA(vlookup(B3470,'Special Names'!A:B,2,FALSE),B3470),PlayerValues!E:E,0)),"N/A")</f>
        <v>16416</v>
      </c>
      <c r="B3470" s="4" t="s">
        <v>752</v>
      </c>
      <c r="C3470" s="4" t="s">
        <v>287</v>
      </c>
      <c r="D3470" s="94">
        <v>864.0</v>
      </c>
    </row>
    <row r="3471">
      <c r="A3471" s="40">
        <f t="array" ref="A3471">IFNA(index(PlayerValues!A:A,match(IFNA(vlookup(B3471,'Special Names'!A:B,2,FALSE),B3471),PlayerValues!E:E,0)),"N/A")</f>
        <v>14799</v>
      </c>
      <c r="B3471" s="4" t="s">
        <v>829</v>
      </c>
      <c r="C3471" s="4" t="s">
        <v>278</v>
      </c>
      <c r="D3471" s="94">
        <v>861.0</v>
      </c>
    </row>
    <row r="3472">
      <c r="A3472" s="40">
        <f t="array" ref="A3472">IFNA(index(PlayerValues!A:A,match(IFNA(vlookup(B3472,'Special Names'!A:B,2,FALSE),B3472),PlayerValues!E:E,0)),"N/A")</f>
        <v>16686</v>
      </c>
      <c r="B3472" s="4" t="s">
        <v>805</v>
      </c>
      <c r="C3472" s="4" t="s">
        <v>287</v>
      </c>
      <c r="D3472" s="94">
        <v>859.0</v>
      </c>
    </row>
    <row r="3473">
      <c r="A3473" s="40">
        <f t="array" ref="A3473">IFNA(index(PlayerValues!A:A,match(IFNA(vlookup(B3473,'Special Names'!A:B,2,FALSE),B3473),PlayerValues!E:E,0)),"N/A")</f>
        <v>16625</v>
      </c>
      <c r="B3473" s="4" t="s">
        <v>778</v>
      </c>
      <c r="C3473" s="4" t="s">
        <v>287</v>
      </c>
      <c r="D3473" s="94">
        <v>857.0</v>
      </c>
    </row>
    <row r="3474">
      <c r="A3474" s="40">
        <f t="array" ref="A3474">IFNA(index(PlayerValues!A:A,match(IFNA(vlookup(B3474,'Special Names'!A:B,2,FALSE),B3474),PlayerValues!E:E,0)),"N/A")</f>
        <v>13172</v>
      </c>
      <c r="B3474" s="4" t="s">
        <v>840</v>
      </c>
      <c r="C3474" s="4" t="s">
        <v>287</v>
      </c>
      <c r="D3474" s="94">
        <v>854.0</v>
      </c>
    </row>
    <row r="3475">
      <c r="A3475" s="40">
        <f t="array" ref="A3475">IFNA(index(PlayerValues!A:A,match(IFNA(vlookup(B3475,'Special Names'!A:B,2,FALSE),B3475),PlayerValues!E:E,0)),"N/A")</f>
        <v>15795</v>
      </c>
      <c r="B3475" s="4" t="s">
        <v>669</v>
      </c>
      <c r="C3475" s="4" t="s">
        <v>298</v>
      </c>
      <c r="D3475" s="94">
        <v>1225.0</v>
      </c>
    </row>
    <row r="3476">
      <c r="A3476" s="40">
        <f t="array" ref="A3476">IFNA(index(PlayerValues!A:A,match(IFNA(vlookup(B3476,'Special Names'!A:B,2,FALSE),B3476),PlayerValues!E:E,0)),"N/A")</f>
        <v>15714</v>
      </c>
      <c r="B3476" s="4" t="s">
        <v>775</v>
      </c>
      <c r="C3476" s="4" t="s">
        <v>278</v>
      </c>
      <c r="D3476" s="94">
        <v>850.0</v>
      </c>
    </row>
    <row r="3477">
      <c r="A3477" s="40">
        <f t="array" ref="A3477">IFNA(index(PlayerValues!A:A,match(IFNA(vlookup(B3477,'Special Names'!A:B,2,FALSE),B3477),PlayerValues!E:E,0)),"N/A")</f>
        <v>16751</v>
      </c>
      <c r="B3477" s="4" t="s">
        <v>762</v>
      </c>
      <c r="C3477" s="4" t="s">
        <v>287</v>
      </c>
      <c r="D3477" s="94">
        <v>850.0</v>
      </c>
    </row>
    <row r="3478">
      <c r="A3478" s="40">
        <f t="array" ref="A3478">IFNA(index(PlayerValues!A:A,match(IFNA(vlookup(B3478,'Special Names'!A:B,2,FALSE),B3478),PlayerValues!E:E,0)),"N/A")</f>
        <v>15271</v>
      </c>
      <c r="B3478" s="4" t="s">
        <v>741</v>
      </c>
      <c r="C3478" s="4" t="s">
        <v>278</v>
      </c>
      <c r="D3478" s="94">
        <v>843.0</v>
      </c>
    </row>
    <row r="3479">
      <c r="A3479" s="40">
        <f t="array" ref="A3479">IFNA(index(PlayerValues!A:A,match(IFNA(vlookup(B3479,'Special Names'!A:B,2,FALSE),B3479),PlayerValues!E:E,0)),"N/A")</f>
        <v>17488</v>
      </c>
      <c r="B3479" s="4" t="s">
        <v>845</v>
      </c>
      <c r="C3479" s="4" t="s">
        <v>278</v>
      </c>
      <c r="D3479" s="94">
        <v>838.0</v>
      </c>
    </row>
    <row r="3480">
      <c r="A3480" s="40">
        <f t="array" ref="A3480">IFNA(index(PlayerValues!A:A,match(IFNA(vlookup(B3480,'Special Names'!A:B,2,FALSE),B3480),PlayerValues!E:E,0)),"N/A")</f>
        <v>16623</v>
      </c>
      <c r="B3480" s="4" t="s">
        <v>803</v>
      </c>
      <c r="C3480" s="4" t="s">
        <v>287</v>
      </c>
      <c r="D3480" s="94">
        <v>835.0</v>
      </c>
    </row>
    <row r="3481">
      <c r="A3481" s="40">
        <f t="array" ref="A3481">IFNA(index(PlayerValues!A:A,match(IFNA(vlookup(B3481,'Special Names'!A:B,2,FALSE),B3481),PlayerValues!E:E,0)),"N/A")</f>
        <v>15804</v>
      </c>
      <c r="B3481" s="4" t="s">
        <v>821</v>
      </c>
      <c r="C3481" s="4" t="s">
        <v>298</v>
      </c>
      <c r="D3481" s="94">
        <v>1206.0</v>
      </c>
    </row>
    <row r="3482">
      <c r="A3482" s="40">
        <f t="array" ref="A3482">IFNA(index(PlayerValues!A:A,match(IFNA(vlookup(B3482,'Special Names'!A:B,2,FALSE),B3482),PlayerValues!E:E,0)),"N/A")</f>
        <v>10413</v>
      </c>
      <c r="B3482" s="4" t="s">
        <v>811</v>
      </c>
      <c r="C3482" s="4" t="s">
        <v>283</v>
      </c>
      <c r="D3482" s="94">
        <v>823.0</v>
      </c>
    </row>
    <row r="3483">
      <c r="A3483" s="40">
        <f t="array" ref="A3483">IFNA(index(PlayerValues!A:A,match(IFNA(vlookup(B3483,'Special Names'!A:B,2,FALSE),B3483),PlayerValues!E:E,0)),"N/A")</f>
        <v>14358</v>
      </c>
      <c r="B3483" s="4" t="s">
        <v>813</v>
      </c>
      <c r="C3483" s="4" t="s">
        <v>283</v>
      </c>
      <c r="D3483" s="94">
        <v>821.0</v>
      </c>
    </row>
    <row r="3484">
      <c r="A3484" s="40">
        <f t="array" ref="A3484">IFNA(index(PlayerValues!A:A,match(IFNA(vlookup(B3484,'Special Names'!A:B,2,FALSE),B3484),PlayerValues!E:E,0)),"N/A")</f>
        <v>14805</v>
      </c>
      <c r="B3484" s="4" t="s">
        <v>770</v>
      </c>
      <c r="C3484" s="4" t="s">
        <v>278</v>
      </c>
      <c r="D3484" s="94">
        <v>807.0</v>
      </c>
    </row>
    <row r="3485">
      <c r="A3485" s="40">
        <f t="array" ref="A3485">IFNA(index(PlayerValues!A:A,match(IFNA(vlookup(B3485,'Special Names'!A:B,2,FALSE),B3485),PlayerValues!E:E,0)),"N/A")</f>
        <v>14209</v>
      </c>
      <c r="B3485" s="4" t="s">
        <v>809</v>
      </c>
      <c r="C3485" s="4" t="s">
        <v>298</v>
      </c>
      <c r="D3485" s="94">
        <v>1177.0</v>
      </c>
    </row>
    <row r="3486">
      <c r="A3486" s="40">
        <f t="array" ref="A3486">IFNA(index(PlayerValues!A:A,match(IFNA(vlookup(B3486,'Special Names'!A:B,2,FALSE),B3486),PlayerValues!E:E,0)),"N/A")</f>
        <v>16606</v>
      </c>
      <c r="B3486" s="4" t="s">
        <v>743</v>
      </c>
      <c r="C3486" s="4" t="s">
        <v>278</v>
      </c>
      <c r="D3486" s="94">
        <v>795.0</v>
      </c>
    </row>
    <row r="3487">
      <c r="A3487" s="40">
        <f t="array" ref="A3487">IFNA(index(PlayerValues!A:A,match(IFNA(vlookup(B3487,'Special Names'!A:B,2,FALSE),B3487),PlayerValues!E:E,0)),"N/A")</f>
        <v>15285</v>
      </c>
      <c r="B3487" s="4" t="s">
        <v>792</v>
      </c>
      <c r="C3487" s="4" t="s">
        <v>287</v>
      </c>
      <c r="D3487" s="94">
        <v>794.0</v>
      </c>
    </row>
    <row r="3488">
      <c r="A3488" s="40">
        <f t="array" ref="A3488">IFNA(index(PlayerValues!A:A,match(IFNA(vlookup(B3488,'Special Names'!A:B,2,FALSE),B3488),PlayerValues!E:E,0)),"N/A")</f>
        <v>17282</v>
      </c>
      <c r="B3488" s="4" t="s">
        <v>833</v>
      </c>
      <c r="C3488" s="4" t="s">
        <v>283</v>
      </c>
      <c r="D3488" s="94">
        <v>781.0</v>
      </c>
    </row>
    <row r="3489">
      <c r="A3489" s="40">
        <f t="array" ref="A3489">IFNA(index(PlayerValues!A:A,match(IFNA(vlookup(B3489,'Special Names'!A:B,2,FALSE),B3489),PlayerValues!E:E,0)),"N/A")</f>
        <v>15965</v>
      </c>
      <c r="B3489" s="4" t="s">
        <v>791</v>
      </c>
      <c r="C3489" s="4" t="s">
        <v>278</v>
      </c>
      <c r="D3489" s="94">
        <v>780.0</v>
      </c>
    </row>
    <row r="3490">
      <c r="A3490" s="40">
        <f t="array" ref="A3490">IFNA(index(PlayerValues!A:A,match(IFNA(vlookup(B3490,'Special Names'!A:B,2,FALSE),B3490),PlayerValues!E:E,0)),"N/A")</f>
        <v>16413</v>
      </c>
      <c r="B3490" s="4" t="s">
        <v>781</v>
      </c>
      <c r="C3490" s="4" t="s">
        <v>287</v>
      </c>
      <c r="D3490" s="94">
        <v>778.0</v>
      </c>
    </row>
    <row r="3491">
      <c r="A3491" s="40">
        <f t="array" ref="A3491">IFNA(index(PlayerValues!A:A,match(IFNA(vlookup(B3491,'Special Names'!A:B,2,FALSE),B3491),PlayerValues!E:E,0)),"N/A")</f>
        <v>12658</v>
      </c>
      <c r="B3491" s="4" t="s">
        <v>823</v>
      </c>
      <c r="C3491" s="4" t="s">
        <v>287</v>
      </c>
      <c r="D3491" s="94">
        <v>773.0</v>
      </c>
    </row>
    <row r="3492">
      <c r="A3492" s="40">
        <f t="array" ref="A3492">IFNA(index(PlayerValues!A:A,match(IFNA(vlookup(B3492,'Special Names'!A:B,2,FALSE),B3492),PlayerValues!E:E,0)),"N/A")</f>
        <v>16678</v>
      </c>
      <c r="B3492" s="4" t="s">
        <v>758</v>
      </c>
      <c r="C3492" s="4" t="s">
        <v>278</v>
      </c>
      <c r="D3492" s="94">
        <v>769.0</v>
      </c>
    </row>
    <row r="3493">
      <c r="A3493" s="40">
        <f t="array" ref="A3493">IFNA(index(PlayerValues!A:A,match(IFNA(vlookup(B3493,'Special Names'!A:B,2,FALSE),B3493),PlayerValues!E:E,0)),"N/A")</f>
        <v>16632</v>
      </c>
      <c r="B3493" s="4" t="s">
        <v>842</v>
      </c>
      <c r="C3493" s="4" t="s">
        <v>287</v>
      </c>
      <c r="D3493" s="94">
        <v>764.0</v>
      </c>
    </row>
    <row r="3494">
      <c r="A3494" s="40">
        <f t="array" ref="A3494">IFNA(index(PlayerValues!A:A,match(IFNA(vlookup(B3494,'Special Names'!A:B,2,FALSE),B3494),PlayerValues!E:E,0)),"N/A")</f>
        <v>14223</v>
      </c>
      <c r="B3494" s="4" t="s">
        <v>785</v>
      </c>
      <c r="C3494" s="4" t="s">
        <v>278</v>
      </c>
      <c r="D3494" s="94">
        <v>760.0</v>
      </c>
    </row>
    <row r="3495">
      <c r="A3495" s="40">
        <f t="array" ref="A3495">IFNA(index(PlayerValues!A:A,match(IFNA(vlookup(B3495,'Special Names'!A:B,2,FALSE),B3495),PlayerValues!E:E,0)),"N/A")</f>
        <v>13176</v>
      </c>
      <c r="B3495" s="4" t="s">
        <v>807</v>
      </c>
      <c r="C3495" s="4" t="s">
        <v>287</v>
      </c>
      <c r="D3495" s="94">
        <v>759.0</v>
      </c>
    </row>
    <row r="3496">
      <c r="A3496" s="40">
        <f t="array" ref="A3496">IFNA(index(PlayerValues!A:A,match(IFNA(vlookup(B3496,'Special Names'!A:B,2,FALSE),B3496),PlayerValues!E:E,0)),"N/A")</f>
        <v>13424</v>
      </c>
      <c r="B3496" s="4" t="s">
        <v>846</v>
      </c>
      <c r="C3496" s="4" t="s">
        <v>298</v>
      </c>
      <c r="D3496" s="94">
        <v>1106.0</v>
      </c>
    </row>
    <row r="3497">
      <c r="A3497" s="40">
        <f t="array" ref="A3497">IFNA(index(PlayerValues!A:A,match(IFNA(vlookup(B3497,'Special Names'!A:B,2,FALSE),B3497),PlayerValues!E:E,0)),"N/A")</f>
        <v>17232</v>
      </c>
      <c r="B3497" s="4" t="s">
        <v>784</v>
      </c>
      <c r="C3497" s="4" t="s">
        <v>287</v>
      </c>
      <c r="D3497" s="94">
        <v>731.0</v>
      </c>
    </row>
    <row r="3498">
      <c r="A3498" s="40">
        <f t="array" ref="A3498">IFNA(index(PlayerValues!A:A,match(IFNA(vlookup(B3498,'Special Names'!A:B,2,FALSE),B3498),PlayerValues!E:E,0)),"N/A")</f>
        <v>14858</v>
      </c>
      <c r="B3498" s="4" t="s">
        <v>799</v>
      </c>
      <c r="C3498" s="4" t="s">
        <v>287</v>
      </c>
      <c r="D3498" s="94">
        <v>721.0</v>
      </c>
    </row>
    <row r="3499">
      <c r="A3499" s="40">
        <f t="array" ref="A3499">IFNA(index(PlayerValues!A:A,match(IFNA(vlookup(B3499,'Special Names'!A:B,2,FALSE),B3499),PlayerValues!E:E,0)),"N/A")</f>
        <v>13377</v>
      </c>
      <c r="B3499" s="4" t="s">
        <v>847</v>
      </c>
      <c r="C3499" s="4" t="s">
        <v>287</v>
      </c>
      <c r="D3499" s="94">
        <v>720.0</v>
      </c>
    </row>
    <row r="3500">
      <c r="A3500" s="40">
        <f t="array" ref="A3500">IFNA(index(PlayerValues!A:A,match(IFNA(vlookup(B3500,'Special Names'!A:B,2,FALSE),B3500),PlayerValues!E:E,0)),"N/A")</f>
        <v>16170</v>
      </c>
      <c r="B3500" s="4" t="s">
        <v>801</v>
      </c>
      <c r="C3500" s="4" t="s">
        <v>278</v>
      </c>
      <c r="D3500" s="94">
        <v>719.0</v>
      </c>
    </row>
    <row r="3501">
      <c r="A3501" s="40">
        <f t="array" ref="A3501">IFNA(index(PlayerValues!A:A,match(IFNA(vlookup(B3501,'Special Names'!A:B,2,FALSE),B3501),PlayerValues!E:E,0)),"N/A")</f>
        <v>13589</v>
      </c>
      <c r="B3501" s="4" t="s">
        <v>282</v>
      </c>
      <c r="C3501" s="4" t="s">
        <v>283</v>
      </c>
      <c r="D3501" s="94">
        <v>9999.0</v>
      </c>
    </row>
    <row r="3502">
      <c r="A3502" s="40">
        <f t="array" ref="A3502">IFNA(index(PlayerValues!A:A,match(IFNA(vlookup(B3502,'Special Names'!A:B,2,FALSE),B3502),PlayerValues!E:E,0)),"N/A")</f>
        <v>16161</v>
      </c>
      <c r="B3502" s="4" t="s">
        <v>277</v>
      </c>
      <c r="C3502" s="4" t="s">
        <v>278</v>
      </c>
      <c r="D3502" s="94">
        <v>9994.0</v>
      </c>
    </row>
    <row r="3503">
      <c r="A3503" s="40">
        <f t="array" ref="A3503">IFNA(index(PlayerValues!A:A,match(IFNA(vlookup(B3503,'Special Names'!A:B,2,FALSE),B3503),PlayerValues!E:E,0)),"N/A")</f>
        <v>15281</v>
      </c>
      <c r="B3503" s="4" t="s">
        <v>286</v>
      </c>
      <c r="C3503" s="4" t="s">
        <v>287</v>
      </c>
      <c r="D3503" s="94">
        <v>9953.0</v>
      </c>
    </row>
    <row r="3504">
      <c r="A3504" s="40">
        <f t="array" ref="A3504">IFNA(index(PlayerValues!A:A,match(IFNA(vlookup(B3504,'Special Names'!A:B,2,FALSE),B3504),PlayerValues!E:E,0)),"N/A")</f>
        <v>16185</v>
      </c>
      <c r="B3504" s="4" t="s">
        <v>290</v>
      </c>
      <c r="C3504" s="4" t="s">
        <v>287</v>
      </c>
      <c r="D3504" s="94">
        <v>9888.0</v>
      </c>
    </row>
    <row r="3505">
      <c r="A3505" s="40">
        <f t="array" ref="A3505">IFNA(index(PlayerValues!A:A,match(IFNA(vlookup(B3505,'Special Names'!A:B,2,FALSE),B3505),PlayerValues!E:E,0)),"N/A")</f>
        <v>16580</v>
      </c>
      <c r="B3505" s="4" t="s">
        <v>291</v>
      </c>
      <c r="C3505" s="4" t="s">
        <v>283</v>
      </c>
      <c r="D3505" s="94">
        <v>9607.0</v>
      </c>
    </row>
    <row r="3506">
      <c r="A3506" s="40">
        <f t="array" ref="A3506">IFNA(index(PlayerValues!A:A,match(IFNA(vlookup(B3506,'Special Names'!A:B,2,FALSE),B3506),PlayerValues!E:E,0)),"N/A")</f>
        <v>16211</v>
      </c>
      <c r="B3506" s="4" t="s">
        <v>294</v>
      </c>
      <c r="C3506" s="4" t="s">
        <v>287</v>
      </c>
      <c r="D3506" s="94">
        <v>9507.0</v>
      </c>
    </row>
    <row r="3507">
      <c r="A3507" s="40">
        <f t="array" ref="A3507">IFNA(index(PlayerValues!A:A,match(IFNA(vlookup(B3507,'Special Names'!A:B,2,FALSE),B3507),PlayerValues!E:E,0)),"N/A")</f>
        <v>16162</v>
      </c>
      <c r="B3507" s="4" t="s">
        <v>281</v>
      </c>
      <c r="C3507" s="4" t="s">
        <v>278</v>
      </c>
      <c r="D3507" s="94">
        <v>9414.0</v>
      </c>
    </row>
    <row r="3508">
      <c r="A3508" s="40">
        <f t="array" ref="A3508">IFNA(index(PlayerValues!A:A,match(IFNA(vlookup(B3508,'Special Names'!A:B,2,FALSE),B3508),PlayerValues!E:E,0)),"N/A")</f>
        <v>16615</v>
      </c>
      <c r="B3508" s="4" t="s">
        <v>309</v>
      </c>
      <c r="C3508" s="4" t="s">
        <v>287</v>
      </c>
      <c r="D3508" s="94">
        <v>7733.0</v>
      </c>
    </row>
    <row r="3509">
      <c r="A3509" s="40">
        <f t="array" ref="A3509">IFNA(index(PlayerValues!A:A,match(IFNA(vlookup(B3509,'Special Names'!A:B,2,FALSE),B3509),PlayerValues!E:E,0)),"N/A")</f>
        <v>15287</v>
      </c>
      <c r="B3509" s="4" t="s">
        <v>299</v>
      </c>
      <c r="C3509" s="4" t="s">
        <v>287</v>
      </c>
      <c r="D3509" s="94">
        <v>7681.0</v>
      </c>
    </row>
    <row r="3510">
      <c r="A3510" s="40">
        <f t="array" ref="A3510">IFNA(index(PlayerValues!A:A,match(IFNA(vlookup(B3510,'Special Names'!A:B,2,FALSE),B3510),PlayerValues!E:E,0)),"N/A")</f>
        <v>15794</v>
      </c>
      <c r="B3510" s="4" t="s">
        <v>313</v>
      </c>
      <c r="C3510" s="4" t="s">
        <v>298</v>
      </c>
      <c r="D3510" s="94">
        <v>8496.0</v>
      </c>
    </row>
    <row r="3511">
      <c r="A3511" s="40">
        <f t="array" ref="A3511">IFNA(index(PlayerValues!A:A,match(IFNA(vlookup(B3511,'Special Names'!A:B,2,FALSE),B3511),PlayerValues!E:E,0)),"N/A")</f>
        <v>16579</v>
      </c>
      <c r="B3511" s="4" t="s">
        <v>302</v>
      </c>
      <c r="C3511" s="4" t="s">
        <v>283</v>
      </c>
      <c r="D3511" s="94">
        <v>7666.0</v>
      </c>
    </row>
    <row r="3512">
      <c r="A3512" s="40">
        <f t="array" ref="A3512">IFNA(index(PlayerValues!A:A,match(IFNA(vlookup(B3512,'Special Names'!A:B,2,FALSE),B3512),PlayerValues!E:E,0)),"N/A")</f>
        <v>16641</v>
      </c>
      <c r="B3512" s="4" t="s">
        <v>297</v>
      </c>
      <c r="C3512" s="4" t="s">
        <v>298</v>
      </c>
      <c r="D3512" s="94">
        <v>8472.0</v>
      </c>
    </row>
    <row r="3513">
      <c r="A3513" s="40">
        <f t="array" ref="A3513">IFNA(index(PlayerValues!A:A,match(IFNA(vlookup(B3513,'Special Names'!A:B,2,FALSE),B3513),PlayerValues!E:E,0)),"N/A")</f>
        <v>16581</v>
      </c>
      <c r="B3513" s="4" t="s">
        <v>315</v>
      </c>
      <c r="C3513" s="4" t="s">
        <v>283</v>
      </c>
      <c r="D3513" s="94">
        <v>7612.0</v>
      </c>
    </row>
    <row r="3514">
      <c r="A3514" s="40">
        <f t="array" ref="A3514">IFNA(index(PlayerValues!A:A,match(IFNA(vlookup(B3514,'Special Names'!A:B,2,FALSE),B3514),PlayerValues!E:E,0)),"N/A")</f>
        <v>13593</v>
      </c>
      <c r="B3514" s="4" t="s">
        <v>305</v>
      </c>
      <c r="C3514" s="4" t="s">
        <v>283</v>
      </c>
      <c r="D3514" s="94">
        <v>7546.0</v>
      </c>
    </row>
    <row r="3515">
      <c r="A3515" s="40">
        <f t="array" ref="A3515">IFNA(index(PlayerValues!A:A,match(IFNA(vlookup(B3515,'Special Names'!A:B,2,FALSE),B3515),PlayerValues!E:E,0)),"N/A")</f>
        <v>14836</v>
      </c>
      <c r="B3515" s="4" t="s">
        <v>306</v>
      </c>
      <c r="C3515" s="4" t="s">
        <v>287</v>
      </c>
      <c r="D3515" s="94">
        <v>7390.0</v>
      </c>
    </row>
    <row r="3516">
      <c r="A3516" s="40">
        <f t="array" ref="A3516">IFNA(index(PlayerValues!A:A,match(IFNA(vlookup(B3516,'Special Names'!A:B,2,FALSE),B3516),PlayerValues!E:E,0)),"N/A")</f>
        <v>14832</v>
      </c>
      <c r="B3516" s="4" t="s">
        <v>319</v>
      </c>
      <c r="C3516" s="4" t="s">
        <v>287</v>
      </c>
      <c r="D3516" s="94">
        <v>7338.0</v>
      </c>
    </row>
    <row r="3517">
      <c r="A3517" s="40">
        <f t="array" ref="A3517">IFNA(index(PlayerValues!A:A,match(IFNA(vlookup(B3517,'Special Names'!A:B,2,FALSE),B3517),PlayerValues!E:E,0)),"N/A")</f>
        <v>17042</v>
      </c>
      <c r="B3517" s="4" t="s">
        <v>314</v>
      </c>
      <c r="C3517" s="4" t="s">
        <v>278</v>
      </c>
      <c r="D3517" s="94">
        <v>7224.0</v>
      </c>
    </row>
    <row r="3518">
      <c r="A3518" s="40">
        <f t="array" ref="A3518">IFNA(index(PlayerValues!A:A,match(IFNA(vlookup(B3518,'Special Names'!A:B,2,FALSE),B3518),PlayerValues!E:E,0)),"N/A")</f>
        <v>14777</v>
      </c>
      <c r="B3518" s="4" t="s">
        <v>318</v>
      </c>
      <c r="C3518" s="4" t="s">
        <v>283</v>
      </c>
      <c r="D3518" s="94">
        <v>7223.0</v>
      </c>
    </row>
    <row r="3519">
      <c r="A3519" s="40">
        <f t="array" ref="A3519">IFNA(index(PlayerValues!A:A,match(IFNA(vlookup(B3519,'Special Names'!A:B,2,FALSE),B3519),PlayerValues!E:E,0)),"N/A")</f>
        <v>16167</v>
      </c>
      <c r="B3519" s="4" t="s">
        <v>323</v>
      </c>
      <c r="C3519" s="4" t="s">
        <v>278</v>
      </c>
      <c r="D3519" s="94">
        <v>7035.0</v>
      </c>
    </row>
    <row r="3520">
      <c r="A3520" s="40">
        <f t="array" ref="A3520">IFNA(index(PlayerValues!A:A,match(IFNA(vlookup(B3520,'Special Names'!A:B,2,FALSE),B3520),PlayerValues!E:E,0)),"N/A")</f>
        <v>15751</v>
      </c>
      <c r="B3520" s="4" t="s">
        <v>328</v>
      </c>
      <c r="C3520" s="4" t="s">
        <v>287</v>
      </c>
      <c r="D3520" s="94">
        <v>7030.0</v>
      </c>
    </row>
    <row r="3521">
      <c r="A3521" s="40">
        <f t="array" ref="A3521">IFNA(index(PlayerValues!A:A,match(IFNA(vlookup(B3521,'Special Names'!A:B,2,FALSE),B3521),PlayerValues!E:E,0)),"N/A")</f>
        <v>17472</v>
      </c>
      <c r="B3521" s="4" t="s">
        <v>310</v>
      </c>
      <c r="C3521" s="4" t="s">
        <v>278</v>
      </c>
      <c r="D3521" s="94">
        <v>6935.0</v>
      </c>
    </row>
    <row r="3522">
      <c r="A3522" s="40">
        <f t="array" ref="A3522">IFNA(index(PlayerValues!A:A,match(IFNA(vlookup(B3522,'Special Names'!A:B,2,FALSE),B3522),PlayerValues!E:E,0)),"N/A")</f>
        <v>14779</v>
      </c>
      <c r="B3522" s="4" t="s">
        <v>327</v>
      </c>
      <c r="C3522" s="4" t="s">
        <v>283</v>
      </c>
      <c r="D3522" s="94">
        <v>6889.0</v>
      </c>
    </row>
    <row r="3523">
      <c r="A3523" s="40" t="str">
        <f t="array" ref="A3523">IFNA(index(PlayerValues!A:A,match(IFNA(vlookup(B3523,'Special Names'!A:B,2,FALSE),B3523),PlayerValues!E:E,0)),"N/A")</f>
        <v>N/A</v>
      </c>
      <c r="B3523" s="4" t="s">
        <v>92</v>
      </c>
      <c r="C3523" s="4" t="s">
        <v>325</v>
      </c>
      <c r="D3523" s="94">
        <v>6650.0</v>
      </c>
    </row>
    <row r="3524">
      <c r="A3524" s="40">
        <f t="array" ref="A3524">IFNA(index(PlayerValues!A:A,match(IFNA(vlookup(B3524,'Special Names'!A:B,2,FALSE),B3524),PlayerValues!E:E,0)),"N/A")</f>
        <v>17044</v>
      </c>
      <c r="B3524" s="4" t="s">
        <v>322</v>
      </c>
      <c r="C3524" s="4" t="s">
        <v>278</v>
      </c>
      <c r="D3524" s="94">
        <v>6641.0</v>
      </c>
    </row>
    <row r="3525">
      <c r="A3525" s="40">
        <f t="array" ref="A3525">IFNA(index(PlayerValues!A:A,match(IFNA(vlookup(B3525,'Special Names'!A:B,2,FALSE),B3525),PlayerValues!E:E,0)),"N/A")</f>
        <v>17032</v>
      </c>
      <c r="B3525" s="4" t="s">
        <v>348</v>
      </c>
      <c r="C3525" s="4" t="s">
        <v>283</v>
      </c>
      <c r="D3525" s="94">
        <v>6630.0</v>
      </c>
    </row>
    <row r="3526">
      <c r="A3526" s="40">
        <f t="array" ref="A3526">IFNA(index(PlayerValues!A:A,match(IFNA(vlookup(B3526,'Special Names'!A:B,2,FALSE),B3526),PlayerValues!E:E,0)),"N/A")</f>
        <v>17071</v>
      </c>
      <c r="B3526" s="4" t="s">
        <v>341</v>
      </c>
      <c r="C3526" s="4" t="s">
        <v>287</v>
      </c>
      <c r="D3526" s="94">
        <v>6609.0</v>
      </c>
    </row>
    <row r="3527">
      <c r="A3527" s="40">
        <f t="array" ref="A3527">IFNA(index(PlayerValues!A:A,match(IFNA(vlookup(B3527,'Special Names'!A:B,2,FALSE),B3527),PlayerValues!E:E,0)),"N/A")</f>
        <v>13116</v>
      </c>
      <c r="B3527" s="4" t="s">
        <v>345</v>
      </c>
      <c r="C3527" s="4" t="s">
        <v>283</v>
      </c>
      <c r="D3527" s="94">
        <v>6579.0</v>
      </c>
    </row>
    <row r="3528">
      <c r="A3528" s="40">
        <f t="array" ref="A3528">IFNA(index(PlayerValues!A:A,match(IFNA(vlookup(B3528,'Special Names'!A:B,2,FALSE),B3528),PlayerValues!E:E,0)),"N/A")</f>
        <v>14783</v>
      </c>
      <c r="B3528" s="4" t="s">
        <v>342</v>
      </c>
      <c r="C3528" s="4" t="s">
        <v>283</v>
      </c>
      <c r="D3528" s="94">
        <v>6348.0</v>
      </c>
    </row>
    <row r="3529">
      <c r="A3529" s="40">
        <f t="array" ref="A3529">IFNA(index(PlayerValues!A:A,match(IFNA(vlookup(B3529,'Special Names'!A:B,2,FALSE),B3529),PlayerValues!E:E,0)),"N/A")</f>
        <v>15237</v>
      </c>
      <c r="B3529" s="4" t="s">
        <v>336</v>
      </c>
      <c r="C3529" s="4" t="s">
        <v>283</v>
      </c>
      <c r="D3529" s="94">
        <v>6333.0</v>
      </c>
    </row>
    <row r="3530">
      <c r="A3530" s="40">
        <f t="array" ref="A3530">IFNA(index(PlayerValues!A:A,match(IFNA(vlookup(B3530,'Special Names'!A:B,2,FALSE),B3530),PlayerValues!E:E,0)),"N/A")</f>
        <v>15715</v>
      </c>
      <c r="B3530" s="4" t="s">
        <v>331</v>
      </c>
      <c r="C3530" s="4" t="s">
        <v>278</v>
      </c>
      <c r="D3530" s="94">
        <v>6171.0</v>
      </c>
    </row>
    <row r="3531">
      <c r="A3531" s="40">
        <f t="array" ref="A3531">IFNA(index(PlayerValues!A:A,match(IFNA(vlookup(B3531,'Special Names'!A:B,2,FALSE),B3531),PlayerValues!E:E,0)),"N/A")</f>
        <v>15762</v>
      </c>
      <c r="B3531" s="4" t="s">
        <v>337</v>
      </c>
      <c r="C3531" s="4" t="s">
        <v>287</v>
      </c>
      <c r="D3531" s="94">
        <v>6154.0</v>
      </c>
    </row>
    <row r="3532">
      <c r="A3532" s="40">
        <f t="array" ref="A3532">IFNA(index(PlayerValues!A:A,match(IFNA(vlookup(B3532,'Special Names'!A:B,2,FALSE),B3532),PlayerValues!E:E,0)),"N/A")</f>
        <v>16582</v>
      </c>
      <c r="B3532" s="4" t="s">
        <v>343</v>
      </c>
      <c r="C3532" s="4" t="s">
        <v>283</v>
      </c>
      <c r="D3532" s="94">
        <v>6130.0</v>
      </c>
    </row>
    <row r="3533">
      <c r="A3533" s="40">
        <f t="array" ref="A3533">IFNA(index(PlayerValues!A:A,match(IFNA(vlookup(B3533,'Special Names'!A:B,2,FALSE),B3533),PlayerValues!E:E,0)),"N/A")</f>
        <v>14802</v>
      </c>
      <c r="B3533" s="4" t="s">
        <v>332</v>
      </c>
      <c r="C3533" s="4" t="s">
        <v>278</v>
      </c>
      <c r="D3533" s="94">
        <v>6119.0</v>
      </c>
    </row>
    <row r="3534">
      <c r="A3534" s="40">
        <f t="array" ref="A3534">IFNA(index(PlayerValues!A:A,match(IFNA(vlookup(B3534,'Special Names'!A:B,2,FALSE),B3534),PlayerValues!E:E,0)),"N/A")</f>
        <v>15698</v>
      </c>
      <c r="B3534" s="4" t="s">
        <v>358</v>
      </c>
      <c r="C3534" s="4" t="s">
        <v>283</v>
      </c>
      <c r="D3534" s="94">
        <v>6117.0</v>
      </c>
    </row>
    <row r="3535">
      <c r="A3535" s="40">
        <f t="array" ref="A3535">IFNA(index(PlayerValues!A:A,match(IFNA(vlookup(B3535,'Special Names'!A:B,2,FALSE),B3535),PlayerValues!E:E,0)),"N/A")</f>
        <v>15290</v>
      </c>
      <c r="B3535" s="4" t="s">
        <v>355</v>
      </c>
      <c r="C3535" s="4" t="s">
        <v>287</v>
      </c>
      <c r="D3535" s="94">
        <v>5988.0</v>
      </c>
    </row>
    <row r="3536">
      <c r="A3536" s="40">
        <f t="array" ref="A3536">IFNA(index(PlayerValues!A:A,match(IFNA(vlookup(B3536,'Special Names'!A:B,2,FALSE),B3536),PlayerValues!E:E,0)),"N/A")</f>
        <v>17081</v>
      </c>
      <c r="B3536" s="4" t="s">
        <v>340</v>
      </c>
      <c r="C3536" s="4" t="s">
        <v>287</v>
      </c>
      <c r="D3536" s="94">
        <v>5978.0</v>
      </c>
    </row>
    <row r="3537">
      <c r="A3537" s="40" t="str">
        <f t="array" ref="A3537">IFNA(index(PlayerValues!A:A,match(IFNA(vlookup(B3537,'Special Names'!A:B,2,FALSE),B3537),PlayerValues!E:E,0)),"N/A")</f>
        <v>N/A</v>
      </c>
      <c r="B3537" s="4" t="s">
        <v>79</v>
      </c>
      <c r="C3537" s="4" t="s">
        <v>325</v>
      </c>
      <c r="D3537" s="94">
        <v>5961.0</v>
      </c>
    </row>
    <row r="3538">
      <c r="A3538" s="40">
        <f t="array" ref="A3538">IFNA(index(PlayerValues!A:A,match(IFNA(vlookup(B3538,'Special Names'!A:B,2,FALSE),B3538),PlayerValues!E:E,0)),"N/A")</f>
        <v>17104</v>
      </c>
      <c r="B3538" s="4" t="s">
        <v>333</v>
      </c>
      <c r="C3538" s="4" t="s">
        <v>298</v>
      </c>
      <c r="D3538" s="94">
        <v>6615.0</v>
      </c>
    </row>
    <row r="3539">
      <c r="A3539" s="40">
        <f t="array" ref="A3539">IFNA(index(PlayerValues!A:A,match(IFNA(vlookup(B3539,'Special Names'!A:B,2,FALSE),B3539),PlayerValues!E:E,0)),"N/A")</f>
        <v>17043</v>
      </c>
      <c r="B3539" s="4" t="s">
        <v>397</v>
      </c>
      <c r="C3539" s="4" t="s">
        <v>278</v>
      </c>
      <c r="D3539" s="94">
        <v>5888.0</v>
      </c>
    </row>
    <row r="3540">
      <c r="A3540" s="40">
        <f t="array" ref="A3540">IFNA(index(PlayerValues!A:A,match(IFNA(vlookup(B3540,'Special Names'!A:B,2,FALSE),B3540),PlayerValues!E:E,0)),"N/A")</f>
        <v>15753</v>
      </c>
      <c r="B3540" s="4" t="s">
        <v>359</v>
      </c>
      <c r="C3540" s="4" t="s">
        <v>287</v>
      </c>
      <c r="D3540" s="94">
        <v>5833.0</v>
      </c>
    </row>
    <row r="3541">
      <c r="A3541" s="40">
        <f t="array" ref="A3541">IFNA(index(PlayerValues!A:A,match(IFNA(vlookup(B3541,'Special Names'!A:B,2,FALSE),B3541),PlayerValues!E:E,0)),"N/A")</f>
        <v>15754</v>
      </c>
      <c r="B3541" s="4" t="s">
        <v>354</v>
      </c>
      <c r="C3541" s="4" t="s">
        <v>287</v>
      </c>
      <c r="D3541" s="94">
        <v>5828.0</v>
      </c>
    </row>
    <row r="3542">
      <c r="A3542" s="40">
        <f t="array" ref="A3542">IFNA(index(PlayerValues!A:A,match(IFNA(vlookup(B3542,'Special Names'!A:B,2,FALSE),B3542),PlayerValues!E:E,0)),"N/A")</f>
        <v>14782</v>
      </c>
      <c r="B3542" s="4" t="s">
        <v>385</v>
      </c>
      <c r="C3542" s="4" t="s">
        <v>283</v>
      </c>
      <c r="D3542" s="94">
        <v>5696.0</v>
      </c>
    </row>
    <row r="3543">
      <c r="A3543" s="40">
        <f t="array" ref="A3543">IFNA(index(PlayerValues!A:A,match(IFNA(vlookup(B3543,'Special Names'!A:B,2,FALSE),B3543),PlayerValues!E:E,0)),"N/A")</f>
        <v>17102</v>
      </c>
      <c r="B3543" s="4" t="s">
        <v>344</v>
      </c>
      <c r="C3543" s="4" t="s">
        <v>298</v>
      </c>
      <c r="D3543" s="94">
        <v>6269.0</v>
      </c>
    </row>
    <row r="3544">
      <c r="A3544" s="40">
        <f t="array" ref="A3544">IFNA(index(PlayerValues!A:A,match(IFNA(vlookup(B3544,'Special Names'!A:B,2,FALSE),B3544),PlayerValues!E:E,0)),"N/A")</f>
        <v>17462</v>
      </c>
      <c r="B3544" s="4" t="s">
        <v>375</v>
      </c>
      <c r="C3544" s="4" t="s">
        <v>283</v>
      </c>
      <c r="D3544" s="94">
        <v>5615.0</v>
      </c>
    </row>
    <row r="3545">
      <c r="A3545" s="40">
        <f t="array" ref="A3545">IFNA(index(PlayerValues!A:A,match(IFNA(vlookup(B3545,'Special Names'!A:B,2,FALSE),B3545),PlayerValues!E:E,0)),"N/A")</f>
        <v>15708</v>
      </c>
      <c r="B3545" s="4" t="s">
        <v>382</v>
      </c>
      <c r="C3545" s="4" t="s">
        <v>278</v>
      </c>
      <c r="D3545" s="94">
        <v>5523.0</v>
      </c>
    </row>
    <row r="3546">
      <c r="A3546" s="40">
        <f t="array" ref="A3546">IFNA(index(PlayerValues!A:A,match(IFNA(vlookup(B3546,'Special Names'!A:B,2,FALSE),B3546),PlayerValues!E:E,0)),"N/A")</f>
        <v>16627</v>
      </c>
      <c r="B3546" s="4" t="s">
        <v>351</v>
      </c>
      <c r="C3546" s="4" t="s">
        <v>287</v>
      </c>
      <c r="D3546" s="94">
        <v>5483.0</v>
      </c>
    </row>
    <row r="3547">
      <c r="A3547" s="40">
        <f t="array" ref="A3547">IFNA(index(PlayerValues!A:A,match(IFNA(vlookup(B3547,'Special Names'!A:B,2,FALSE),B3547),PlayerValues!E:E,0)),"N/A")</f>
        <v>16598</v>
      </c>
      <c r="B3547" s="4" t="s">
        <v>408</v>
      </c>
      <c r="C3547" s="4" t="s">
        <v>278</v>
      </c>
      <c r="D3547" s="94">
        <v>5466.0</v>
      </c>
    </row>
    <row r="3548">
      <c r="A3548" s="40">
        <f t="array" ref="A3548">IFNA(index(PlayerValues!A:A,match(IFNA(vlookup(B3548,'Special Names'!A:B,2,FALSE),B3548),PlayerValues!E:E,0)),"N/A")</f>
        <v>17051</v>
      </c>
      <c r="B3548" s="4" t="s">
        <v>386</v>
      </c>
      <c r="C3548" s="4" t="s">
        <v>278</v>
      </c>
      <c r="D3548" s="94">
        <v>5463.0</v>
      </c>
    </row>
    <row r="3549">
      <c r="A3549" s="40" t="str">
        <f t="array" ref="A3549">IFNA(index(PlayerValues!A:A,match(IFNA(vlookup(B3549,'Special Names'!A:B,2,FALSE),B3549),PlayerValues!E:E,0)),"N/A")</f>
        <v>N/A</v>
      </c>
      <c r="B3549" s="4" t="s">
        <v>93</v>
      </c>
      <c r="C3549" s="4" t="s">
        <v>325</v>
      </c>
      <c r="D3549" s="94">
        <v>5447.0</v>
      </c>
    </row>
    <row r="3550">
      <c r="A3550" s="40">
        <f t="array" ref="A3550">IFNA(index(PlayerValues!A:A,match(IFNA(vlookup(B3550,'Special Names'!A:B,2,FALSE),B3550),PlayerValues!E:E,0)),"N/A")</f>
        <v>17497</v>
      </c>
      <c r="B3550" s="4" t="s">
        <v>365</v>
      </c>
      <c r="C3550" s="4" t="s">
        <v>287</v>
      </c>
      <c r="D3550" s="94">
        <v>5314.0</v>
      </c>
    </row>
    <row r="3551">
      <c r="A3551" s="40">
        <f t="array" ref="A3551">IFNA(index(PlayerValues!A:A,match(IFNA(vlookup(B3551,'Special Names'!A:B,2,FALSE),B3551),PlayerValues!E:E,0)),"N/A")</f>
        <v>16616</v>
      </c>
      <c r="B3551" s="4" t="s">
        <v>389</v>
      </c>
      <c r="C3551" s="4" t="s">
        <v>287</v>
      </c>
      <c r="D3551" s="94">
        <v>5312.0</v>
      </c>
    </row>
    <row r="3552">
      <c r="A3552" s="40">
        <f t="array" ref="A3552">IFNA(index(PlayerValues!A:A,match(IFNA(vlookup(B3552,'Special Names'!A:B,2,FALSE),B3552),PlayerValues!E:E,0)),"N/A")</f>
        <v>17499</v>
      </c>
      <c r="B3552" s="4" t="s">
        <v>402</v>
      </c>
      <c r="C3552" s="4" t="s">
        <v>287</v>
      </c>
      <c r="D3552" s="94">
        <v>5235.0</v>
      </c>
    </row>
    <row r="3553">
      <c r="A3553" s="40">
        <f t="array" ref="A3553">IFNA(index(PlayerValues!A:A,match(IFNA(vlookup(B3553,'Special Names'!A:B,2,FALSE),B3553),PlayerValues!E:E,0)),"N/A")</f>
        <v>16614</v>
      </c>
      <c r="B3553" s="4" t="s">
        <v>403</v>
      </c>
      <c r="C3553" s="4" t="s">
        <v>287</v>
      </c>
      <c r="D3553" s="94">
        <v>5124.0</v>
      </c>
    </row>
    <row r="3554">
      <c r="A3554" s="40">
        <f t="array" ref="A3554">IFNA(index(PlayerValues!A:A,match(IFNA(vlookup(B3554,'Special Names'!A:B,2,FALSE),B3554),PlayerValues!E:E,0)),"N/A")</f>
        <v>17030</v>
      </c>
      <c r="B3554" s="4" t="s">
        <v>406</v>
      </c>
      <c r="C3554" s="4" t="s">
        <v>283</v>
      </c>
      <c r="D3554" s="94">
        <v>5089.0</v>
      </c>
    </row>
    <row r="3555">
      <c r="A3555" s="40">
        <f t="array" ref="A3555">IFNA(index(PlayerValues!A:A,match(IFNA(vlookup(B3555,'Special Names'!A:B,2,FALSE),B3555),PlayerValues!E:E,0)),"N/A")</f>
        <v>13130</v>
      </c>
      <c r="B3555" s="4" t="s">
        <v>374</v>
      </c>
      <c r="C3555" s="4" t="s">
        <v>278</v>
      </c>
      <c r="D3555" s="94">
        <v>5077.0</v>
      </c>
    </row>
    <row r="3556">
      <c r="A3556" s="40">
        <f t="array" ref="A3556">IFNA(index(PlayerValues!A:A,match(IFNA(vlookup(B3556,'Special Names'!A:B,2,FALSE),B3556),PlayerValues!E:E,0)),"N/A")</f>
        <v>15711</v>
      </c>
      <c r="B3556" s="4" t="s">
        <v>349</v>
      </c>
      <c r="C3556" s="4" t="s">
        <v>278</v>
      </c>
      <c r="D3556" s="94">
        <v>5047.0</v>
      </c>
    </row>
    <row r="3557">
      <c r="A3557" s="40">
        <f t="array" ref="A3557">IFNA(index(PlayerValues!A:A,match(IFNA(vlookup(B3557,'Special Names'!A:B,2,FALSE),B3557),PlayerValues!E:E,0)),"N/A")</f>
        <v>16618</v>
      </c>
      <c r="B3557" s="4" t="s">
        <v>411</v>
      </c>
      <c r="C3557" s="4" t="s">
        <v>287</v>
      </c>
      <c r="D3557" s="94">
        <v>5041.0</v>
      </c>
    </row>
    <row r="3558">
      <c r="A3558" s="40">
        <f t="array" ref="A3558">IFNA(index(PlayerValues!A:A,match(IFNA(vlookup(B3558,'Special Names'!A:B,2,FALSE),B3558),PlayerValues!E:E,0)),"N/A")</f>
        <v>12620</v>
      </c>
      <c r="B3558" s="4" t="s">
        <v>394</v>
      </c>
      <c r="C3558" s="4" t="s">
        <v>283</v>
      </c>
      <c r="D3558" s="94">
        <v>5011.0</v>
      </c>
    </row>
    <row r="3559">
      <c r="A3559" s="40">
        <f t="array" ref="A3559">IFNA(index(PlayerValues!A:A,match(IFNA(vlookup(B3559,'Special Names'!A:B,2,FALSE),B3559),PlayerValues!E:E,0)),"N/A")</f>
        <v>16194</v>
      </c>
      <c r="B3559" s="4" t="s">
        <v>398</v>
      </c>
      <c r="C3559" s="4" t="s">
        <v>287</v>
      </c>
      <c r="D3559" s="94">
        <v>5010.0</v>
      </c>
    </row>
    <row r="3560">
      <c r="A3560" s="40">
        <f t="array" ref="A3560">IFNA(index(PlayerValues!A:A,match(IFNA(vlookup(B3560,'Special Names'!A:B,2,FALSE),B3560),PlayerValues!E:E,0)),"N/A")</f>
        <v>17070</v>
      </c>
      <c r="B3560" s="4" t="s">
        <v>370</v>
      </c>
      <c r="C3560" s="4" t="s">
        <v>287</v>
      </c>
      <c r="D3560" s="94">
        <v>4936.0</v>
      </c>
    </row>
    <row r="3561">
      <c r="A3561" s="40">
        <f t="array" ref="A3561">IFNA(index(PlayerValues!A:A,match(IFNA(vlookup(B3561,'Special Names'!A:B,2,FALSE),B3561),PlayerValues!E:E,0)),"N/A")</f>
        <v>16181</v>
      </c>
      <c r="B3561" s="4" t="s">
        <v>350</v>
      </c>
      <c r="C3561" s="4" t="s">
        <v>278</v>
      </c>
      <c r="D3561" s="94">
        <v>4935.0</v>
      </c>
    </row>
    <row r="3562">
      <c r="A3562" s="40">
        <f t="array" ref="A3562">IFNA(index(PlayerValues!A:A,match(IFNA(vlookup(B3562,'Special Names'!A:B,2,FALSE),B3562),PlayerValues!E:E,0)),"N/A")</f>
        <v>17103</v>
      </c>
      <c r="B3562" s="4" t="s">
        <v>405</v>
      </c>
      <c r="C3562" s="4" t="s">
        <v>298</v>
      </c>
      <c r="D3562" s="94">
        <v>5470.0</v>
      </c>
    </row>
    <row r="3563">
      <c r="A3563" s="40">
        <f t="array" ref="A3563">IFNA(index(PlayerValues!A:A,match(IFNA(vlookup(B3563,'Special Names'!A:B,2,FALSE),B3563),PlayerValues!E:E,0)),"N/A")</f>
        <v>16222</v>
      </c>
      <c r="B3563" s="4" t="s">
        <v>393</v>
      </c>
      <c r="C3563" s="4" t="s">
        <v>298</v>
      </c>
      <c r="D3563" s="94">
        <v>5442.0</v>
      </c>
    </row>
    <row r="3564">
      <c r="A3564" s="40">
        <f t="array" ref="A3564">IFNA(index(PlayerValues!A:A,match(IFNA(vlookup(B3564,'Special Names'!A:B,2,FALSE),B3564),PlayerValues!E:E,0)),"N/A")</f>
        <v>15710</v>
      </c>
      <c r="B3564" s="4" t="s">
        <v>395</v>
      </c>
      <c r="C3564" s="4" t="s">
        <v>278</v>
      </c>
      <c r="D3564" s="94">
        <v>4853.0</v>
      </c>
    </row>
    <row r="3565">
      <c r="A3565" s="40">
        <f t="array" ref="A3565">IFNA(index(PlayerValues!A:A,match(IFNA(vlookup(B3565,'Special Names'!A:B,2,FALSE),B3565),PlayerValues!E:E,0)),"N/A")</f>
        <v>13590</v>
      </c>
      <c r="B3565" s="4" t="s">
        <v>409</v>
      </c>
      <c r="C3565" s="4" t="s">
        <v>283</v>
      </c>
      <c r="D3565" s="94">
        <v>4839.0</v>
      </c>
    </row>
    <row r="3566">
      <c r="A3566" s="40">
        <f t="array" ref="A3566">IFNA(index(PlayerValues!A:A,match(IFNA(vlookup(B3566,'Special Names'!A:B,2,FALSE),B3566),PlayerValues!E:E,0)),"N/A")</f>
        <v>13592</v>
      </c>
      <c r="B3566" s="4" t="s">
        <v>418</v>
      </c>
      <c r="C3566" s="4" t="s">
        <v>283</v>
      </c>
      <c r="D3566" s="94">
        <v>4832.0</v>
      </c>
    </row>
    <row r="3567">
      <c r="A3567" s="40">
        <f t="array" ref="A3567">IFNA(index(PlayerValues!A:A,match(IFNA(vlookup(B3567,'Special Names'!A:B,2,FALSE),B3567),PlayerValues!E:E,0)),"N/A")</f>
        <v>16150</v>
      </c>
      <c r="B3567" s="4" t="s">
        <v>414</v>
      </c>
      <c r="C3567" s="4" t="s">
        <v>283</v>
      </c>
      <c r="D3567" s="94">
        <v>4826.0</v>
      </c>
    </row>
    <row r="3568">
      <c r="A3568" s="40">
        <f t="array" ref="A3568">IFNA(index(PlayerValues!A:A,match(IFNA(vlookup(B3568,'Special Names'!A:B,2,FALSE),B3568),PlayerValues!E:E,0)),"N/A")</f>
        <v>14835</v>
      </c>
      <c r="B3568" s="4" t="s">
        <v>392</v>
      </c>
      <c r="C3568" s="4" t="s">
        <v>287</v>
      </c>
      <c r="D3568" s="94">
        <v>4825.0</v>
      </c>
    </row>
    <row r="3569">
      <c r="A3569" s="40">
        <f t="array" ref="A3569">IFNA(index(PlayerValues!A:A,match(IFNA(vlookup(B3569,'Special Names'!A:B,2,FALSE),B3569),PlayerValues!E:E,0)),"N/A")</f>
        <v>17045</v>
      </c>
      <c r="B3569" s="4" t="s">
        <v>407</v>
      </c>
      <c r="C3569" s="4" t="s">
        <v>278</v>
      </c>
      <c r="D3569" s="94">
        <v>4825.0</v>
      </c>
    </row>
    <row r="3570">
      <c r="A3570" s="40" t="str">
        <f t="array" ref="A3570">IFNA(index(PlayerValues!A:A,match(IFNA(vlookup(B3570,'Special Names'!A:B,2,FALSE),B3570),PlayerValues!E:E,0)),"N/A")</f>
        <v>N/A</v>
      </c>
      <c r="B3570" s="4" t="s">
        <v>104</v>
      </c>
      <c r="C3570" s="4" t="s">
        <v>325</v>
      </c>
      <c r="D3570" s="94">
        <v>4825.0</v>
      </c>
    </row>
    <row r="3571">
      <c r="A3571" s="40">
        <f t="array" ref="A3571">IFNA(index(PlayerValues!A:A,match(IFNA(vlookup(B3571,'Special Names'!A:B,2,FALSE),B3571),PlayerValues!E:E,0)),"N/A")</f>
        <v>17498</v>
      </c>
      <c r="B3571" s="4" t="s">
        <v>396</v>
      </c>
      <c r="C3571" s="4" t="s">
        <v>287</v>
      </c>
      <c r="D3571" s="94">
        <v>4820.0</v>
      </c>
    </row>
    <row r="3572">
      <c r="A3572" s="40">
        <f t="array" ref="A3572">IFNA(index(PlayerValues!A:A,match(IFNA(vlookup(B3572,'Special Names'!A:B,2,FALSE),B3572),PlayerValues!E:E,0)),"N/A")</f>
        <v>15282</v>
      </c>
      <c r="B3572" s="4" t="s">
        <v>364</v>
      </c>
      <c r="C3572" s="4" t="s">
        <v>287</v>
      </c>
      <c r="D3572" s="94">
        <v>4797.0</v>
      </c>
    </row>
    <row r="3573">
      <c r="A3573" s="40" t="str">
        <f t="array" ref="A3573">IFNA(index(PlayerValues!A:A,match(IFNA(vlookup(B3573,'Special Names'!A:B,2,FALSE),B3573),PlayerValues!E:E,0)),"N/A")</f>
        <v>N/A</v>
      </c>
      <c r="B3573" s="4" t="s">
        <v>94</v>
      </c>
      <c r="C3573" s="4" t="s">
        <v>325</v>
      </c>
      <c r="D3573" s="94">
        <v>4785.0</v>
      </c>
    </row>
    <row r="3574">
      <c r="A3574" s="40">
        <f t="array" ref="A3574">IFNA(index(PlayerValues!A:A,match(IFNA(vlookup(B3574,'Special Names'!A:B,2,FALSE),B3574),PlayerValues!E:E,0)),"N/A")</f>
        <v>13604</v>
      </c>
      <c r="B3574" s="4" t="s">
        <v>378</v>
      </c>
      <c r="C3574" s="4" t="s">
        <v>278</v>
      </c>
      <c r="D3574" s="94">
        <v>4781.0</v>
      </c>
    </row>
    <row r="3575">
      <c r="A3575" s="40">
        <f t="array" ref="A3575">IFNA(index(PlayerValues!A:A,match(IFNA(vlookup(B3575,'Special Names'!A:B,2,FALSE),B3575),PlayerValues!E:E,0)),"N/A")</f>
        <v>14104</v>
      </c>
      <c r="B3575" s="4" t="s">
        <v>379</v>
      </c>
      <c r="C3575" s="4" t="s">
        <v>287</v>
      </c>
      <c r="D3575" s="94">
        <v>4743.0</v>
      </c>
    </row>
    <row r="3576">
      <c r="A3576" s="40">
        <f t="array" ref="A3576">IFNA(index(PlayerValues!A:A,match(IFNA(vlookup(B3576,'Special Names'!A:B,2,FALSE),B3576),PlayerValues!E:E,0)),"N/A")</f>
        <v>15756</v>
      </c>
      <c r="B3576" s="4" t="s">
        <v>399</v>
      </c>
      <c r="C3576" s="4" t="s">
        <v>287</v>
      </c>
      <c r="D3576" s="94">
        <v>4740.0</v>
      </c>
    </row>
    <row r="3577">
      <c r="A3577" s="40">
        <f t="array" ref="A3577">IFNA(index(PlayerValues!A:A,match(IFNA(vlookup(B3577,'Special Names'!A:B,2,FALSE),B3577),PlayerValues!E:E,0)),"N/A")</f>
        <v>16190</v>
      </c>
      <c r="B3577" s="4" t="s">
        <v>371</v>
      </c>
      <c r="C3577" s="4" t="s">
        <v>287</v>
      </c>
      <c r="D3577" s="94">
        <v>4697.0</v>
      </c>
    </row>
    <row r="3578">
      <c r="A3578" s="40" t="str">
        <f t="array" ref="A3578">IFNA(index(PlayerValues!A:A,match(IFNA(vlookup(B3578,'Special Names'!A:B,2,FALSE),B3578),PlayerValues!E:E,0)),"N/A")</f>
        <v>N/A</v>
      </c>
      <c r="B3578" s="4" t="s">
        <v>80</v>
      </c>
      <c r="C3578" s="4" t="s">
        <v>325</v>
      </c>
      <c r="D3578" s="94">
        <v>4693.0</v>
      </c>
    </row>
    <row r="3579">
      <c r="A3579" s="40">
        <f t="array" ref="A3579">IFNA(index(PlayerValues!A:A,match(IFNA(vlookup(B3579,'Special Names'!A:B,2,FALSE),B3579),PlayerValues!E:E,0)),"N/A")</f>
        <v>12611</v>
      </c>
      <c r="B3579" s="4" t="s">
        <v>410</v>
      </c>
      <c r="C3579" s="4" t="s">
        <v>283</v>
      </c>
      <c r="D3579" s="94">
        <v>4625.0</v>
      </c>
    </row>
    <row r="3580">
      <c r="A3580" s="40">
        <f t="array" ref="A3580">IFNA(index(PlayerValues!A:A,match(IFNA(vlookup(B3580,'Special Names'!A:B,2,FALSE),B3580),PlayerValues!E:E,0)),"N/A")</f>
        <v>15284</v>
      </c>
      <c r="B3580" s="4" t="s">
        <v>390</v>
      </c>
      <c r="C3580" s="4" t="s">
        <v>287</v>
      </c>
      <c r="D3580" s="94">
        <v>4606.0</v>
      </c>
    </row>
    <row r="3581">
      <c r="A3581" s="40">
        <f t="array" ref="A3581">IFNA(index(PlayerValues!A:A,match(IFNA(vlookup(B3581,'Special Names'!A:B,2,FALSE),B3581),PlayerValues!E:E,0)),"N/A")</f>
        <v>17039</v>
      </c>
      <c r="B3581" s="4" t="s">
        <v>400</v>
      </c>
      <c r="C3581" s="4" t="s">
        <v>283</v>
      </c>
      <c r="D3581" s="94">
        <v>4599.0</v>
      </c>
    </row>
    <row r="3582">
      <c r="A3582" s="40">
        <f t="array" ref="A3582">IFNA(index(PlayerValues!A:A,match(IFNA(vlookup(B3582,'Special Names'!A:B,2,FALSE),B3582),PlayerValues!E:E,0)),"N/A")</f>
        <v>16214</v>
      </c>
      <c r="B3582" s="4" t="s">
        <v>413</v>
      </c>
      <c r="C3582" s="4" t="s">
        <v>298</v>
      </c>
      <c r="D3582" s="94">
        <v>5132.0</v>
      </c>
    </row>
    <row r="3583">
      <c r="A3583" s="40">
        <f t="array" ref="A3583">IFNA(index(PlayerValues!A:A,match(IFNA(vlookup(B3583,'Special Names'!A:B,2,FALSE),B3583),PlayerValues!E:E,0)),"N/A")</f>
        <v>15329</v>
      </c>
      <c r="B3583" s="4" t="s">
        <v>416</v>
      </c>
      <c r="C3583" s="4" t="s">
        <v>298</v>
      </c>
      <c r="D3583" s="94">
        <v>5103.0</v>
      </c>
    </row>
    <row r="3584">
      <c r="A3584" s="40">
        <f t="array" ref="A3584">IFNA(index(PlayerValues!A:A,match(IFNA(vlookup(B3584,'Special Names'!A:B,2,FALSE),B3584),PlayerValues!E:E,0)),"N/A")</f>
        <v>15256</v>
      </c>
      <c r="B3584" s="4" t="s">
        <v>401</v>
      </c>
      <c r="C3584" s="4" t="s">
        <v>278</v>
      </c>
      <c r="D3584" s="94">
        <v>4548.0</v>
      </c>
    </row>
    <row r="3585">
      <c r="A3585" s="40">
        <f t="array" ref="A3585">IFNA(index(PlayerValues!A:A,match(IFNA(vlookup(B3585,'Special Names'!A:B,2,FALSE),B3585),PlayerValues!E:E,0)),"N/A")</f>
        <v>15253</v>
      </c>
      <c r="B3585" s="4" t="s">
        <v>415</v>
      </c>
      <c r="C3585" s="4" t="s">
        <v>278</v>
      </c>
      <c r="D3585" s="94">
        <v>4500.0</v>
      </c>
    </row>
    <row r="3586">
      <c r="A3586" s="40">
        <f t="array" ref="A3586">IFNA(index(PlayerValues!A:A,match(IFNA(vlookup(B3586,'Special Names'!A:B,2,FALSE),B3586),PlayerValues!E:E,0)),"N/A")</f>
        <v>17068</v>
      </c>
      <c r="B3586" s="4" t="s">
        <v>450</v>
      </c>
      <c r="C3586" s="4" t="s">
        <v>278</v>
      </c>
      <c r="D3586" s="94">
        <v>4472.0</v>
      </c>
    </row>
    <row r="3587">
      <c r="A3587" s="40">
        <f t="array" ref="A3587">IFNA(index(PlayerValues!A:A,match(IFNA(vlookup(B3587,'Special Names'!A:B,2,FALSE),B3587),PlayerValues!E:E,0)),"N/A")</f>
        <v>14073</v>
      </c>
      <c r="B3587" s="4" t="s">
        <v>464</v>
      </c>
      <c r="C3587" s="4" t="s">
        <v>278</v>
      </c>
      <c r="D3587" s="94">
        <v>4462.0</v>
      </c>
    </row>
    <row r="3588">
      <c r="A3588" s="40">
        <f t="array" ref="A3588">IFNA(index(PlayerValues!A:A,match(IFNA(vlookup(B3588,'Special Names'!A:B,2,FALSE),B3588),PlayerValues!E:E,0)),"N/A")</f>
        <v>16148</v>
      </c>
      <c r="B3588" s="4" t="s">
        <v>426</v>
      </c>
      <c r="C3588" s="4" t="s">
        <v>283</v>
      </c>
      <c r="D3588" s="94">
        <v>4445.0</v>
      </c>
    </row>
    <row r="3589">
      <c r="A3589" s="40" t="str">
        <f t="array" ref="A3589">IFNA(index(PlayerValues!A:A,match(IFNA(vlookup(B3589,'Special Names'!A:B,2,FALSE),B3589),PlayerValues!E:E,0)),"N/A")</f>
        <v>N/A</v>
      </c>
      <c r="B3589" s="4" t="s">
        <v>105</v>
      </c>
      <c r="C3589" s="4" t="s">
        <v>325</v>
      </c>
      <c r="D3589" s="94">
        <v>4443.0</v>
      </c>
    </row>
    <row r="3590">
      <c r="A3590" s="40" t="str">
        <f t="array" ref="A3590">IFNA(index(PlayerValues!A:A,match(IFNA(vlookup(B3590,'Special Names'!A:B,2,FALSE),B3590),PlayerValues!E:E,0)),"N/A")</f>
        <v>N/A</v>
      </c>
      <c r="B3590" s="4" t="s">
        <v>81</v>
      </c>
      <c r="C3590" s="4" t="s">
        <v>325</v>
      </c>
      <c r="D3590" s="94">
        <v>4231.0</v>
      </c>
    </row>
    <row r="3591">
      <c r="A3591" s="40">
        <f t="array" ref="A3591">IFNA(index(PlayerValues!A:A,match(IFNA(vlookup(B3591,'Special Names'!A:B,2,FALSE),B3591),PlayerValues!E:E,0)),"N/A")</f>
        <v>16186</v>
      </c>
      <c r="B3591" s="4" t="s">
        <v>425</v>
      </c>
      <c r="C3591" s="4" t="s">
        <v>287</v>
      </c>
      <c r="D3591" s="94">
        <v>4155.0</v>
      </c>
    </row>
    <row r="3592">
      <c r="A3592" s="40">
        <f t="array" ref="A3592">IFNA(index(PlayerValues!A:A,match(IFNA(vlookup(B3592,'Special Names'!A:B,2,FALSE),B3592),PlayerValues!E:E,0)),"N/A")</f>
        <v>17099</v>
      </c>
      <c r="B3592" s="4" t="s">
        <v>474</v>
      </c>
      <c r="C3592" s="4" t="s">
        <v>298</v>
      </c>
      <c r="D3592" s="94">
        <v>4653.0</v>
      </c>
    </row>
    <row r="3593">
      <c r="A3593" s="40">
        <f t="array" ref="A3593">IFNA(index(PlayerValues!A:A,match(IFNA(vlookup(B3593,'Special Names'!A:B,2,FALSE),B3593),PlayerValues!E:E,0)),"N/A")</f>
        <v>14059</v>
      </c>
      <c r="B3593" s="4" t="s">
        <v>435</v>
      </c>
      <c r="C3593" s="4" t="s">
        <v>283</v>
      </c>
      <c r="D3593" s="94">
        <v>4050.0</v>
      </c>
    </row>
    <row r="3594">
      <c r="A3594" s="40">
        <f t="array" ref="A3594">IFNA(index(PlayerValues!A:A,match(IFNA(vlookup(B3594,'Special Names'!A:B,2,FALSE),B3594),PlayerValues!E:E,0)),"N/A")</f>
        <v>17074</v>
      </c>
      <c r="B3594" s="4" t="s">
        <v>475</v>
      </c>
      <c r="C3594" s="4" t="s">
        <v>287</v>
      </c>
      <c r="D3594" s="94">
        <v>4043.0</v>
      </c>
    </row>
    <row r="3595">
      <c r="A3595" s="40" t="str">
        <f t="array" ref="A3595">IFNA(index(PlayerValues!A:A,match(IFNA(vlookup(B3595,'Special Names'!A:B,2,FALSE),B3595),PlayerValues!E:E,0)),"N/A")</f>
        <v>N/A</v>
      </c>
      <c r="B3595" s="4" t="s">
        <v>107</v>
      </c>
      <c r="C3595" s="4" t="s">
        <v>325</v>
      </c>
      <c r="D3595" s="94">
        <v>4032.0</v>
      </c>
    </row>
    <row r="3596">
      <c r="A3596" s="40">
        <f t="array" ref="A3596">IFNA(index(PlayerValues!A:A,match(IFNA(vlookup(B3596,'Special Names'!A:B,2,FALSE),B3596),PlayerValues!E:E,0)),"N/A")</f>
        <v>17543</v>
      </c>
      <c r="B3596" s="4" t="s">
        <v>436</v>
      </c>
      <c r="C3596" s="4" t="s">
        <v>298</v>
      </c>
      <c r="D3596" s="94">
        <v>4507.0</v>
      </c>
    </row>
    <row r="3597">
      <c r="A3597" s="40">
        <f t="array" ref="A3597">IFNA(index(PlayerValues!A:A,match(IFNA(vlookup(B3597,'Special Names'!A:B,2,FALSE),B3597),PlayerValues!E:E,0)),"N/A")</f>
        <v>16622</v>
      </c>
      <c r="B3597" s="4" t="s">
        <v>517</v>
      </c>
      <c r="C3597" s="4" t="s">
        <v>287</v>
      </c>
      <c r="D3597" s="94">
        <v>3969.0</v>
      </c>
    </row>
    <row r="3598">
      <c r="A3598" s="40">
        <f t="array" ref="A3598">IFNA(index(PlayerValues!A:A,match(IFNA(vlookup(B3598,'Special Names'!A:B,2,FALSE),B3598),PlayerValues!E:E,0)),"N/A")</f>
        <v>15768</v>
      </c>
      <c r="B3598" s="4" t="s">
        <v>432</v>
      </c>
      <c r="C3598" s="4" t="s">
        <v>287</v>
      </c>
      <c r="D3598" s="94">
        <v>3964.0</v>
      </c>
    </row>
    <row r="3599">
      <c r="A3599" s="40">
        <f t="array" ref="A3599">IFNA(index(PlayerValues!A:A,match(IFNA(vlookup(B3599,'Special Names'!A:B,2,FALSE),B3599),PlayerValues!E:E,0)),"N/A")</f>
        <v>12626</v>
      </c>
      <c r="B3599" s="4" t="s">
        <v>419</v>
      </c>
      <c r="C3599" s="4" t="s">
        <v>278</v>
      </c>
      <c r="D3599" s="94">
        <v>3932.0</v>
      </c>
    </row>
    <row r="3600">
      <c r="A3600" s="40">
        <f t="array" ref="A3600">IFNA(index(PlayerValues!A:A,match(IFNA(vlookup(B3600,'Special Names'!A:B,2,FALSE),B3600),PlayerValues!E:E,0)),"N/A")</f>
        <v>16206</v>
      </c>
      <c r="B3600" s="4" t="s">
        <v>431</v>
      </c>
      <c r="C3600" s="4" t="s">
        <v>287</v>
      </c>
      <c r="D3600" s="94">
        <v>3893.0</v>
      </c>
    </row>
    <row r="3601">
      <c r="A3601" s="40">
        <f t="array" ref="A3601">IFNA(index(PlayerValues!A:A,match(IFNA(vlookup(B3601,'Special Names'!A:B,2,FALSE),B3601),PlayerValues!E:E,0)),"N/A")</f>
        <v>17083</v>
      </c>
      <c r="B3601" s="4" t="s">
        <v>479</v>
      </c>
      <c r="C3601" s="4" t="s">
        <v>287</v>
      </c>
      <c r="D3601" s="94">
        <v>3847.0</v>
      </c>
    </row>
    <row r="3602">
      <c r="A3602" s="40">
        <f t="array" ref="A3602">IFNA(index(PlayerValues!A:A,match(IFNA(vlookup(B3602,'Special Names'!A:B,2,FALSE),B3602),PlayerValues!E:E,0)),"N/A")</f>
        <v>14102</v>
      </c>
      <c r="B3602" s="4" t="s">
        <v>444</v>
      </c>
      <c r="C3602" s="4" t="s">
        <v>287</v>
      </c>
      <c r="D3602" s="94">
        <v>3843.0</v>
      </c>
    </row>
    <row r="3603">
      <c r="A3603" s="40" t="str">
        <f t="array" ref="A3603">IFNA(index(PlayerValues!A:A,match(IFNA(vlookup(B3603,'Special Names'!A:B,2,FALSE),B3603),PlayerValues!E:E,0)),"N/A")</f>
        <v>N/A</v>
      </c>
      <c r="B3603" s="4" t="s">
        <v>95</v>
      </c>
      <c r="C3603" s="4" t="s">
        <v>325</v>
      </c>
      <c r="D3603" s="94">
        <v>3843.0</v>
      </c>
    </row>
    <row r="3604">
      <c r="A3604" s="40">
        <f t="array" ref="A3604">IFNA(index(PlayerValues!A:A,match(IFNA(vlookup(B3604,'Special Names'!A:B,2,FALSE),B3604),PlayerValues!E:E,0)),"N/A")</f>
        <v>17501</v>
      </c>
      <c r="B3604" s="4" t="s">
        <v>404</v>
      </c>
      <c r="C3604" s="4" t="s">
        <v>287</v>
      </c>
      <c r="D3604" s="94">
        <v>3842.0</v>
      </c>
    </row>
    <row r="3605">
      <c r="A3605" s="40">
        <f t="array" ref="A3605">IFNA(index(PlayerValues!A:A,match(IFNA(vlookup(B3605,'Special Names'!A:B,2,FALSE),B3605),PlayerValues!E:E,0)),"N/A")</f>
        <v>17066</v>
      </c>
      <c r="B3605" s="4" t="s">
        <v>446</v>
      </c>
      <c r="C3605" s="4" t="s">
        <v>278</v>
      </c>
      <c r="D3605" s="94">
        <v>3811.0</v>
      </c>
    </row>
    <row r="3606">
      <c r="A3606" s="40">
        <f t="array" ref="A3606">IFNA(index(PlayerValues!A:A,match(IFNA(vlookup(B3606,'Special Names'!A:B,2,FALSE),B3606),PlayerValues!E:E,0)),"N/A")</f>
        <v>17500</v>
      </c>
      <c r="B3606" s="4" t="s">
        <v>430</v>
      </c>
      <c r="C3606" s="4" t="s">
        <v>287</v>
      </c>
      <c r="D3606" s="94">
        <v>3799.0</v>
      </c>
    </row>
    <row r="3607">
      <c r="A3607" s="40">
        <f t="array" ref="A3607">IFNA(index(PlayerValues!A:A,match(IFNA(vlookup(B3607,'Special Names'!A:B,2,FALSE),B3607),PlayerValues!E:E,0)),"N/A")</f>
        <v>15789</v>
      </c>
      <c r="B3607" s="4" t="s">
        <v>421</v>
      </c>
      <c r="C3607" s="4" t="s">
        <v>287</v>
      </c>
      <c r="D3607" s="94">
        <v>3760.0</v>
      </c>
    </row>
    <row r="3608">
      <c r="A3608" s="40">
        <f t="array" ref="A3608">IFNA(index(PlayerValues!A:A,match(IFNA(vlookup(B3608,'Special Names'!A:B,2,FALSE),B3608),PlayerValues!E:E,0)),"N/A")</f>
        <v>14797</v>
      </c>
      <c r="B3608" s="4" t="s">
        <v>420</v>
      </c>
      <c r="C3608" s="4" t="s">
        <v>278</v>
      </c>
      <c r="D3608" s="94">
        <v>3719.0</v>
      </c>
    </row>
    <row r="3609">
      <c r="A3609" s="40">
        <f t="array" ref="A3609">IFNA(index(PlayerValues!A:A,match(IFNA(vlookup(B3609,'Special Names'!A:B,2,FALSE),B3609),PlayerValues!E:E,0)),"N/A")</f>
        <v>16192</v>
      </c>
      <c r="B3609" s="4" t="s">
        <v>412</v>
      </c>
      <c r="C3609" s="4" t="s">
        <v>287</v>
      </c>
      <c r="D3609" s="94">
        <v>3705.0</v>
      </c>
    </row>
    <row r="3610">
      <c r="A3610" s="40">
        <f t="array" ref="A3610">IFNA(index(PlayerValues!A:A,match(IFNA(vlookup(B3610,'Special Names'!A:B,2,FALSE),B3610),PlayerValues!E:E,0)),"N/A")</f>
        <v>9431</v>
      </c>
      <c r="B3610" s="4" t="s">
        <v>428</v>
      </c>
      <c r="C3610" s="4" t="s">
        <v>283</v>
      </c>
      <c r="D3610" s="94">
        <v>3697.0</v>
      </c>
    </row>
    <row r="3611">
      <c r="A3611" s="40">
        <f t="array" ref="A3611">IFNA(index(PlayerValues!A:A,match(IFNA(vlookup(B3611,'Special Names'!A:B,2,FALSE),B3611),PlayerValues!E:E,0)),"N/A")</f>
        <v>11675</v>
      </c>
      <c r="B3611" s="4" t="s">
        <v>438</v>
      </c>
      <c r="C3611" s="4" t="s">
        <v>287</v>
      </c>
      <c r="D3611" s="94">
        <v>3692.0</v>
      </c>
    </row>
    <row r="3612">
      <c r="A3612" s="40">
        <f t="array" ref="A3612">IFNA(index(PlayerValues!A:A,match(IFNA(vlookup(B3612,'Special Names'!A:B,2,FALSE),B3612),PlayerValues!E:E,0)),"N/A")</f>
        <v>14056</v>
      </c>
      <c r="B3612" s="4" t="s">
        <v>423</v>
      </c>
      <c r="C3612" s="4" t="s">
        <v>283</v>
      </c>
      <c r="D3612" s="94">
        <v>3614.0</v>
      </c>
    </row>
    <row r="3613">
      <c r="A3613" s="40">
        <f t="array" ref="A3613">IFNA(index(PlayerValues!A:A,match(IFNA(vlookup(B3613,'Special Names'!A:B,2,FALSE),B3613),PlayerValues!E:E,0)),"N/A")</f>
        <v>17075</v>
      </c>
      <c r="B3613" s="4" t="s">
        <v>429</v>
      </c>
      <c r="C3613" s="4" t="s">
        <v>287</v>
      </c>
      <c r="D3613" s="94">
        <v>3608.0</v>
      </c>
    </row>
    <row r="3614">
      <c r="A3614" s="40">
        <f t="array" ref="A3614">IFNA(index(PlayerValues!A:A,match(IFNA(vlookup(B3614,'Special Names'!A:B,2,FALSE),B3614),PlayerValues!E:E,0)),"N/A")</f>
        <v>15757</v>
      </c>
      <c r="B3614" s="4" t="s">
        <v>449</v>
      </c>
      <c r="C3614" s="4" t="s">
        <v>287</v>
      </c>
      <c r="D3614" s="94">
        <v>3606.0</v>
      </c>
    </row>
    <row r="3615">
      <c r="A3615" s="40">
        <f t="array" ref="A3615">IFNA(index(PlayerValues!A:A,match(IFNA(vlookup(B3615,'Special Names'!A:B,2,FALSE),B3615),PlayerValues!E:E,0)),"N/A")</f>
        <v>14842</v>
      </c>
      <c r="B3615" s="4" t="s">
        <v>456</v>
      </c>
      <c r="C3615" s="4" t="s">
        <v>287</v>
      </c>
      <c r="D3615" s="94">
        <v>3597.0</v>
      </c>
    </row>
    <row r="3616">
      <c r="A3616" s="40">
        <f t="array" ref="A3616">IFNA(index(PlayerValues!A:A,match(IFNA(vlookup(B3616,'Special Names'!A:B,2,FALSE),B3616),PlayerValues!E:E,0)),"N/A")</f>
        <v>16213</v>
      </c>
      <c r="B3616" s="4" t="s">
        <v>458</v>
      </c>
      <c r="C3616" s="4" t="s">
        <v>298</v>
      </c>
      <c r="D3616" s="94">
        <v>4039.0</v>
      </c>
    </row>
    <row r="3617">
      <c r="A3617" s="40">
        <f t="array" ref="A3617">IFNA(index(PlayerValues!A:A,match(IFNA(vlookup(B3617,'Special Names'!A:B,2,FALSE),B3617),PlayerValues!E:E,0)),"N/A")</f>
        <v>16583</v>
      </c>
      <c r="B3617" s="4" t="s">
        <v>493</v>
      </c>
      <c r="C3617" s="4" t="s">
        <v>283</v>
      </c>
      <c r="D3617" s="94">
        <v>3561.0</v>
      </c>
    </row>
    <row r="3618">
      <c r="A3618" s="40">
        <f t="array" ref="A3618">IFNA(index(PlayerValues!A:A,match(IFNA(vlookup(B3618,'Special Names'!A:B,2,FALSE),B3618),PlayerValues!E:E,0)),"N/A")</f>
        <v>16169</v>
      </c>
      <c r="B3618" s="4" t="s">
        <v>457</v>
      </c>
      <c r="C3618" s="4" t="s">
        <v>278</v>
      </c>
      <c r="D3618" s="94">
        <v>3545.0</v>
      </c>
    </row>
    <row r="3619">
      <c r="A3619" s="40">
        <f t="array" ref="A3619">IFNA(index(PlayerValues!A:A,match(IFNA(vlookup(B3619,'Special Names'!A:B,2,FALSE),B3619),PlayerValues!E:E,0)),"N/A")</f>
        <v>16188</v>
      </c>
      <c r="B3619" s="4" t="s">
        <v>439</v>
      </c>
      <c r="C3619" s="4" t="s">
        <v>287</v>
      </c>
      <c r="D3619" s="94">
        <v>3534.0</v>
      </c>
    </row>
    <row r="3620">
      <c r="A3620" s="40">
        <f t="array" ref="A3620">IFNA(index(PlayerValues!A:A,match(IFNA(vlookup(B3620,'Special Names'!A:B,2,FALSE),B3620),PlayerValues!E:E,0)),"N/A")</f>
        <v>16584</v>
      </c>
      <c r="B3620" s="4" t="s">
        <v>569</v>
      </c>
      <c r="C3620" s="4" t="s">
        <v>283</v>
      </c>
      <c r="D3620" s="94">
        <v>3509.0</v>
      </c>
    </row>
    <row r="3621">
      <c r="A3621" s="40">
        <f t="array" ref="A3621">IFNA(index(PlayerValues!A:A,match(IFNA(vlookup(B3621,'Special Names'!A:B,2,FALSE),B3621),PlayerValues!E:E,0)),"N/A")</f>
        <v>16593</v>
      </c>
      <c r="B3621" s="4" t="s">
        <v>442</v>
      </c>
      <c r="C3621" s="4" t="s">
        <v>278</v>
      </c>
      <c r="D3621" s="94">
        <v>3499.0</v>
      </c>
    </row>
    <row r="3622">
      <c r="A3622" s="40">
        <f t="array" ref="A3622">IFNA(index(PlayerValues!A:A,match(IFNA(vlookup(B3622,'Special Names'!A:B,2,FALSE),B3622),PlayerValues!E:E,0)),"N/A")</f>
        <v>15694</v>
      </c>
      <c r="B3622" s="4" t="s">
        <v>434</v>
      </c>
      <c r="C3622" s="4" t="s">
        <v>283</v>
      </c>
      <c r="D3622" s="94">
        <v>3492.0</v>
      </c>
    </row>
    <row r="3623">
      <c r="A3623" s="40">
        <f t="array" ref="A3623">IFNA(index(PlayerValues!A:A,match(IFNA(vlookup(B3623,'Special Names'!A:B,2,FALSE),B3623),PlayerValues!E:E,0)),"N/A")</f>
        <v>17052</v>
      </c>
      <c r="B3623" s="4" t="s">
        <v>417</v>
      </c>
      <c r="C3623" s="4" t="s">
        <v>278</v>
      </c>
      <c r="D3623" s="94">
        <v>3491.0</v>
      </c>
    </row>
    <row r="3624">
      <c r="A3624" s="40">
        <f t="array" ref="A3624">IFNA(index(PlayerValues!A:A,match(IFNA(vlookup(B3624,'Special Names'!A:B,2,FALSE),B3624),PlayerValues!E:E,0)),"N/A")</f>
        <v>16620</v>
      </c>
      <c r="B3624" s="4" t="s">
        <v>467</v>
      </c>
      <c r="C3624" s="4" t="s">
        <v>287</v>
      </c>
      <c r="D3624" s="94">
        <v>3483.0</v>
      </c>
    </row>
    <row r="3625">
      <c r="A3625" s="40">
        <f t="array" ref="A3625">IFNA(index(PlayerValues!A:A,match(IFNA(vlookup(B3625,'Special Names'!A:B,2,FALSE),B3625),PlayerValues!E:E,0)),"N/A")</f>
        <v>15742</v>
      </c>
      <c r="B3625" s="4" t="s">
        <v>447</v>
      </c>
      <c r="C3625" s="4" t="s">
        <v>278</v>
      </c>
      <c r="D3625" s="94">
        <v>3481.0</v>
      </c>
    </row>
    <row r="3626">
      <c r="A3626" s="40" t="str">
        <f t="array" ref="A3626">IFNA(index(PlayerValues!A:A,match(IFNA(vlookup(B3626,'Special Names'!A:B,2,FALSE),B3626),PlayerValues!E:E,0)),"N/A")</f>
        <v>N/A</v>
      </c>
      <c r="B3626" s="4" t="s">
        <v>82</v>
      </c>
      <c r="C3626" s="4" t="s">
        <v>325</v>
      </c>
      <c r="D3626" s="94">
        <v>3478.0</v>
      </c>
    </row>
    <row r="3627">
      <c r="A3627" s="40">
        <f t="array" ref="A3627">IFNA(index(PlayerValues!A:A,match(IFNA(vlookup(B3627,'Special Names'!A:B,2,FALSE),B3627),PlayerValues!E:E,0)),"N/A")</f>
        <v>14127</v>
      </c>
      <c r="B3627" s="4" t="s">
        <v>486</v>
      </c>
      <c r="C3627" s="4" t="s">
        <v>287</v>
      </c>
      <c r="D3627" s="94">
        <v>3443.0</v>
      </c>
    </row>
    <row r="3628">
      <c r="A3628" s="40">
        <f t="array" ref="A3628">IFNA(index(PlayerValues!A:A,match(IFNA(vlookup(B3628,'Special Names'!A:B,2,FALSE),B3628),PlayerValues!E:E,0)),"N/A")</f>
        <v>13299</v>
      </c>
      <c r="B3628" s="4" t="s">
        <v>448</v>
      </c>
      <c r="C3628" s="4" t="s">
        <v>298</v>
      </c>
      <c r="D3628" s="94">
        <v>3888.0</v>
      </c>
    </row>
    <row r="3629">
      <c r="A3629" s="40" t="str">
        <f t="array" ref="A3629">IFNA(index(PlayerValues!A:A,match(IFNA(vlookup(B3629,'Special Names'!A:B,2,FALSE),B3629),PlayerValues!E:E,0)),"N/A")</f>
        <v>N/A</v>
      </c>
      <c r="B3629" s="4" t="s">
        <v>96</v>
      </c>
      <c r="C3629" s="4" t="s">
        <v>325</v>
      </c>
      <c r="D3629" s="94">
        <v>3405.0</v>
      </c>
    </row>
    <row r="3630">
      <c r="A3630" s="40">
        <f t="array" ref="A3630">IFNA(index(PlayerValues!A:A,match(IFNA(vlookup(B3630,'Special Names'!A:B,2,FALSE),B3630),PlayerValues!E:E,0)),"N/A")</f>
        <v>15799</v>
      </c>
      <c r="B3630" s="4" t="s">
        <v>468</v>
      </c>
      <c r="C3630" s="4" t="s">
        <v>298</v>
      </c>
      <c r="D3630" s="94">
        <v>3845.0</v>
      </c>
    </row>
    <row r="3631">
      <c r="A3631" s="40">
        <f t="array" ref="A3631">IFNA(index(PlayerValues!A:A,match(IFNA(vlookup(B3631,'Special Names'!A:B,2,FALSE),B3631),PlayerValues!E:E,0)),"N/A")</f>
        <v>14109</v>
      </c>
      <c r="B3631" s="4" t="s">
        <v>437</v>
      </c>
      <c r="C3631" s="4" t="s">
        <v>287</v>
      </c>
      <c r="D3631" s="94">
        <v>3390.0</v>
      </c>
    </row>
    <row r="3632">
      <c r="A3632" s="40">
        <f t="array" ref="A3632">IFNA(index(PlayerValues!A:A,match(IFNA(vlookup(B3632,'Special Names'!A:B,2,FALSE),B3632),PlayerValues!E:E,0)),"N/A")</f>
        <v>13630</v>
      </c>
      <c r="B3632" s="4" t="s">
        <v>465</v>
      </c>
      <c r="C3632" s="4" t="s">
        <v>287</v>
      </c>
      <c r="D3632" s="94">
        <v>3364.0</v>
      </c>
    </row>
    <row r="3633">
      <c r="A3633" s="40">
        <f t="array" ref="A3633">IFNA(index(PlayerValues!A:A,match(IFNA(vlookup(B3633,'Special Names'!A:B,2,FALSE),B3633),PlayerValues!E:E,0)),"N/A")</f>
        <v>16594</v>
      </c>
      <c r="B3633" s="4" t="s">
        <v>607</v>
      </c>
      <c r="C3633" s="4" t="s">
        <v>278</v>
      </c>
      <c r="D3633" s="94">
        <v>3357.0</v>
      </c>
    </row>
    <row r="3634">
      <c r="A3634" s="40">
        <f t="array" ref="A3634">IFNA(index(PlayerValues!A:A,match(IFNA(vlookup(B3634,'Special Names'!A:B,2,FALSE),B3634),PlayerValues!E:E,0)),"N/A")</f>
        <v>15712</v>
      </c>
      <c r="B3634" s="4" t="s">
        <v>488</v>
      </c>
      <c r="C3634" s="4" t="s">
        <v>278</v>
      </c>
      <c r="D3634" s="94">
        <v>3348.0</v>
      </c>
    </row>
    <row r="3635">
      <c r="A3635" s="40">
        <f t="array" ref="A3635">IFNA(index(PlayerValues!A:A,match(IFNA(vlookup(B3635,'Special Names'!A:B,2,FALSE),B3635),PlayerValues!E:E,0)),"N/A")</f>
        <v>17053</v>
      </c>
      <c r="B3635" s="4" t="s">
        <v>484</v>
      </c>
      <c r="C3635" s="4" t="s">
        <v>278</v>
      </c>
      <c r="D3635" s="94">
        <v>3311.0</v>
      </c>
    </row>
    <row r="3636">
      <c r="A3636" s="40">
        <f t="array" ref="A3636">IFNA(index(PlayerValues!A:A,match(IFNA(vlookup(B3636,'Special Names'!A:B,2,FALSE),B3636),PlayerValues!E:E,0)),"N/A")</f>
        <v>16184</v>
      </c>
      <c r="B3636" s="4" t="s">
        <v>445</v>
      </c>
      <c r="C3636" s="4" t="s">
        <v>287</v>
      </c>
      <c r="D3636" s="94">
        <v>3309.0</v>
      </c>
    </row>
    <row r="3637">
      <c r="A3637" s="40">
        <f t="array" ref="A3637">IFNA(index(PlayerValues!A:A,match(IFNA(vlookup(B3637,'Special Names'!A:B,2,FALSE),B3637),PlayerValues!E:E,0)),"N/A")</f>
        <v>17473</v>
      </c>
      <c r="B3637" s="4" t="s">
        <v>391</v>
      </c>
      <c r="C3637" s="4" t="s">
        <v>278</v>
      </c>
      <c r="D3637" s="94">
        <v>3286.0</v>
      </c>
    </row>
    <row r="3638">
      <c r="A3638" s="40">
        <f t="array" ref="A3638">IFNA(index(PlayerValues!A:A,match(IFNA(vlookup(B3638,'Special Names'!A:B,2,FALSE),B3638),PlayerValues!E:E,0)),"N/A")</f>
        <v>16809</v>
      </c>
      <c r="B3638" s="4" t="s">
        <v>455</v>
      </c>
      <c r="C3638" s="4" t="s">
        <v>287</v>
      </c>
      <c r="D3638" s="94">
        <v>3277.0</v>
      </c>
    </row>
    <row r="3639">
      <c r="A3639" s="40">
        <f t="array" ref="A3639">IFNA(index(PlayerValues!A:A,match(IFNA(vlookup(B3639,'Special Names'!A:B,2,FALSE),B3639),PlayerValues!E:E,0)),"N/A")</f>
        <v>13635</v>
      </c>
      <c r="B3639" s="4" t="s">
        <v>424</v>
      </c>
      <c r="C3639" s="4" t="s">
        <v>287</v>
      </c>
      <c r="D3639" s="94">
        <v>3273.0</v>
      </c>
    </row>
    <row r="3640">
      <c r="A3640" s="40">
        <f t="array" ref="A3640">IFNA(index(PlayerValues!A:A,match(IFNA(vlookup(B3640,'Special Names'!A:B,2,FALSE),B3640),PlayerValues!E:E,0)),"N/A")</f>
        <v>16269</v>
      </c>
      <c r="B3640" s="4" t="s">
        <v>481</v>
      </c>
      <c r="C3640" s="4" t="s">
        <v>298</v>
      </c>
      <c r="D3640" s="94">
        <v>3714.0</v>
      </c>
    </row>
    <row r="3641">
      <c r="A3641" s="40">
        <f t="array" ref="A3641">IFNA(index(PlayerValues!A:A,match(IFNA(vlookup(B3641,'Special Names'!A:B,2,FALSE),B3641),PlayerValues!E:E,0)),"N/A")</f>
        <v>17477</v>
      </c>
      <c r="B3641" s="4" t="s">
        <v>452</v>
      </c>
      <c r="C3641" s="4" t="s">
        <v>278</v>
      </c>
      <c r="D3641" s="94">
        <v>3239.0</v>
      </c>
    </row>
    <row r="3642">
      <c r="A3642" s="40">
        <f t="array" ref="A3642">IFNA(index(PlayerValues!A:A,match(IFNA(vlookup(B3642,'Special Names'!A:B,2,FALSE),B3642),PlayerValues!E:E,0)),"N/A")</f>
        <v>17502</v>
      </c>
      <c r="B3642" s="4" t="s">
        <v>451</v>
      </c>
      <c r="C3642" s="4" t="s">
        <v>287</v>
      </c>
      <c r="D3642" s="94">
        <v>3210.0</v>
      </c>
    </row>
    <row r="3643">
      <c r="A3643" s="40">
        <f t="array" ref="A3643">IFNA(index(PlayerValues!A:A,match(IFNA(vlookup(B3643,'Special Names'!A:B,2,FALSE),B3643),PlayerValues!E:E,0)),"N/A")</f>
        <v>16187</v>
      </c>
      <c r="B3643" s="4" t="s">
        <v>441</v>
      </c>
      <c r="C3643" s="4" t="s">
        <v>287</v>
      </c>
      <c r="D3643" s="94">
        <v>3158.0</v>
      </c>
    </row>
    <row r="3644">
      <c r="A3644" s="40">
        <f t="array" ref="A3644">IFNA(index(PlayerValues!A:A,match(IFNA(vlookup(B3644,'Special Names'!A:B,2,FALSE),B3644),PlayerValues!E:E,0)),"N/A")</f>
        <v>14823</v>
      </c>
      <c r="B3644" s="4" t="s">
        <v>459</v>
      </c>
      <c r="C3644" s="4" t="s">
        <v>278</v>
      </c>
      <c r="D3644" s="94">
        <v>3132.0</v>
      </c>
    </row>
    <row r="3645">
      <c r="A3645" s="40">
        <f t="array" ref="A3645">IFNA(index(PlayerValues!A:A,match(IFNA(vlookup(B3645,'Special Names'!A:B,2,FALSE),B3645),PlayerValues!E:E,0)),"N/A")</f>
        <v>15761</v>
      </c>
      <c r="B3645" s="4" t="s">
        <v>491</v>
      </c>
      <c r="C3645" s="4" t="s">
        <v>287</v>
      </c>
      <c r="D3645" s="94">
        <v>3101.0</v>
      </c>
    </row>
    <row r="3646">
      <c r="A3646" s="40">
        <f t="array" ref="A3646">IFNA(index(PlayerValues!A:A,match(IFNA(vlookup(B3646,'Special Names'!A:B,2,FALSE),B3646),PlayerValues!E:E,0)),"N/A")</f>
        <v>15798</v>
      </c>
      <c r="B3646" s="4" t="s">
        <v>443</v>
      </c>
      <c r="C3646" s="4" t="s">
        <v>298</v>
      </c>
      <c r="D3646" s="94">
        <v>3528.0</v>
      </c>
    </row>
    <row r="3647">
      <c r="A3647" s="40">
        <f t="array" ref="A3647">IFNA(index(PlayerValues!A:A,match(IFNA(vlookup(B3647,'Special Names'!A:B,2,FALSE),B3647),PlayerValues!E:E,0)),"N/A")</f>
        <v>15261</v>
      </c>
      <c r="B3647" s="4" t="s">
        <v>466</v>
      </c>
      <c r="C3647" s="4" t="s">
        <v>278</v>
      </c>
      <c r="D3647" s="94">
        <v>3090.0</v>
      </c>
    </row>
    <row r="3648">
      <c r="A3648" s="40" t="str">
        <f t="array" ref="A3648">IFNA(index(PlayerValues!A:A,match(IFNA(vlookup(B3648,'Special Names'!A:B,2,FALSE),B3648),PlayerValues!E:E,0)),"N/A")</f>
        <v>N/A</v>
      </c>
      <c r="B3648" s="4" t="s">
        <v>108</v>
      </c>
      <c r="C3648" s="4" t="s">
        <v>325</v>
      </c>
      <c r="D3648" s="94">
        <v>3071.0</v>
      </c>
    </row>
    <row r="3649">
      <c r="A3649" s="40" t="str">
        <f t="array" ref="A3649">IFNA(index(PlayerValues!A:A,match(IFNA(vlookup(B3649,'Special Names'!A:B,2,FALSE),B3649),PlayerValues!E:E,0)),"N/A")</f>
        <v>N/A</v>
      </c>
      <c r="B3649" s="4" t="s">
        <v>97</v>
      </c>
      <c r="C3649" s="4" t="s">
        <v>325</v>
      </c>
      <c r="D3649" s="94">
        <v>3045.0</v>
      </c>
    </row>
    <row r="3650">
      <c r="A3650" s="40">
        <f t="array" ref="A3650">IFNA(index(PlayerValues!A:A,match(IFNA(vlookup(B3650,'Special Names'!A:B,2,FALSE),B3650),PlayerValues!E:E,0)),"N/A")</f>
        <v>16619</v>
      </c>
      <c r="B3650" s="4" t="s">
        <v>538</v>
      </c>
      <c r="C3650" s="4" t="s">
        <v>287</v>
      </c>
      <c r="D3650" s="94">
        <v>3043.0</v>
      </c>
    </row>
    <row r="3651">
      <c r="A3651" s="40" t="str">
        <f t="array" ref="A3651">IFNA(index(PlayerValues!A:A,match(IFNA(vlookup(B3651,'Special Names'!A:B,2,FALSE),B3651),PlayerValues!E:E,0)),"N/A")</f>
        <v>N/A</v>
      </c>
      <c r="B3651" s="4" t="s">
        <v>84</v>
      </c>
      <c r="C3651" s="4" t="s">
        <v>325</v>
      </c>
      <c r="D3651" s="94">
        <v>3039.0</v>
      </c>
    </row>
    <row r="3652">
      <c r="A3652" s="40">
        <f t="array" ref="A3652">IFNA(index(PlayerValues!A:A,match(IFNA(vlookup(B3652,'Special Names'!A:B,2,FALSE),B3652),PlayerValues!E:E,0)),"N/A")</f>
        <v>15259</v>
      </c>
      <c r="B3652" s="4" t="s">
        <v>453</v>
      </c>
      <c r="C3652" s="4" t="s">
        <v>278</v>
      </c>
      <c r="D3652" s="94">
        <v>3023.0</v>
      </c>
    </row>
    <row r="3653">
      <c r="A3653" s="40">
        <f t="array" ref="A3653">IFNA(index(PlayerValues!A:A,match(IFNA(vlookup(B3653,'Special Names'!A:B,2,FALSE),B3653),PlayerValues!E:E,0)),"N/A")</f>
        <v>17082</v>
      </c>
      <c r="B3653" s="4" t="s">
        <v>498</v>
      </c>
      <c r="C3653" s="4" t="s">
        <v>287</v>
      </c>
      <c r="D3653" s="94">
        <v>3009.0</v>
      </c>
    </row>
    <row r="3654">
      <c r="A3654" s="40">
        <f t="array" ref="A3654">IFNA(index(PlayerValues!A:A,match(IFNA(vlookup(B3654,'Special Names'!A:B,2,FALSE),B3654),PlayerValues!E:E,0)),"N/A")</f>
        <v>15779</v>
      </c>
      <c r="B3654" s="4" t="s">
        <v>461</v>
      </c>
      <c r="C3654" s="4" t="s">
        <v>287</v>
      </c>
      <c r="D3654" s="94">
        <v>2988.0</v>
      </c>
    </row>
    <row r="3655">
      <c r="A3655" s="40">
        <f t="array" ref="A3655">IFNA(index(PlayerValues!A:A,match(IFNA(vlookup(B3655,'Special Names'!A:B,2,FALSE),B3655),PlayerValues!E:E,0)),"N/A")</f>
        <v>16193</v>
      </c>
      <c r="B3655" s="4" t="s">
        <v>487</v>
      </c>
      <c r="C3655" s="4" t="s">
        <v>287</v>
      </c>
      <c r="D3655" s="94">
        <v>2966.0</v>
      </c>
    </row>
    <row r="3656">
      <c r="A3656" s="40">
        <f t="array" ref="A3656">IFNA(index(PlayerValues!A:A,match(IFNA(vlookup(B3656,'Special Names'!A:B,2,FALSE),B3656),PlayerValues!E:E,0)),"N/A")</f>
        <v>15241</v>
      </c>
      <c r="B3656" s="4" t="s">
        <v>546</v>
      </c>
      <c r="C3656" s="4" t="s">
        <v>283</v>
      </c>
      <c r="D3656" s="94">
        <v>2931.0</v>
      </c>
    </row>
    <row r="3657">
      <c r="A3657" s="40">
        <f t="array" ref="A3657">IFNA(index(PlayerValues!A:A,match(IFNA(vlookup(B3657,'Special Names'!A:B,2,FALSE),B3657),PlayerValues!E:E,0)),"N/A")</f>
        <v>17106</v>
      </c>
      <c r="B3657" s="4" t="s">
        <v>550</v>
      </c>
      <c r="C3657" s="4" t="s">
        <v>298</v>
      </c>
      <c r="D3657" s="94">
        <v>3348.0</v>
      </c>
    </row>
    <row r="3658">
      <c r="A3658" s="40">
        <f t="array" ref="A3658">IFNA(index(PlayerValues!A:A,match(IFNA(vlookup(B3658,'Special Names'!A:B,2,FALSE),B3658),PlayerValues!E:E,0)),"N/A")</f>
        <v>16723</v>
      </c>
      <c r="B3658" s="4" t="s">
        <v>502</v>
      </c>
      <c r="C3658" s="4" t="s">
        <v>298</v>
      </c>
      <c r="D3658" s="94">
        <v>3338.0</v>
      </c>
    </row>
    <row r="3659">
      <c r="A3659" s="40">
        <f t="array" ref="A3659">IFNA(index(PlayerValues!A:A,match(IFNA(vlookup(B3659,'Special Names'!A:B,2,FALSE),B3659),PlayerValues!E:E,0)),"N/A")</f>
        <v>17256</v>
      </c>
      <c r="B3659" s="4" t="s">
        <v>462</v>
      </c>
      <c r="C3659" s="4" t="s">
        <v>278</v>
      </c>
      <c r="D3659" s="94">
        <v>2915.0</v>
      </c>
    </row>
    <row r="3660">
      <c r="A3660" s="40">
        <f t="array" ref="A3660">IFNA(index(PlayerValues!A:A,match(IFNA(vlookup(B3660,'Special Names'!A:B,2,FALSE),B3660),PlayerValues!E:E,0)),"N/A")</f>
        <v>14860</v>
      </c>
      <c r="B3660" s="4" t="s">
        <v>554</v>
      </c>
      <c r="C3660" s="4" t="s">
        <v>287</v>
      </c>
      <c r="D3660" s="94">
        <v>2910.0</v>
      </c>
    </row>
    <row r="3661">
      <c r="A3661" s="40">
        <f t="array" ref="A3661">IFNA(index(PlayerValues!A:A,match(IFNA(vlookup(B3661,'Special Names'!A:B,2,FALSE),B3661),PlayerValues!E:E,0)),"N/A")</f>
        <v>17107</v>
      </c>
      <c r="B3661" s="4" t="s">
        <v>478</v>
      </c>
      <c r="C3661" s="4" t="s">
        <v>298</v>
      </c>
      <c r="D3661" s="94">
        <v>3324.0</v>
      </c>
    </row>
    <row r="3662">
      <c r="A3662" s="40">
        <f t="array" ref="A3662">IFNA(index(PlayerValues!A:A,match(IFNA(vlookup(B3662,'Special Names'!A:B,2,FALSE),B3662),PlayerValues!E:E,0)),"N/A")</f>
        <v>11671</v>
      </c>
      <c r="B3662" s="4" t="s">
        <v>463</v>
      </c>
      <c r="C3662" s="4" t="s">
        <v>287</v>
      </c>
      <c r="D3662" s="94">
        <v>2902.0</v>
      </c>
    </row>
    <row r="3663">
      <c r="A3663" s="40">
        <f t="array" ref="A3663">IFNA(index(PlayerValues!A:A,match(IFNA(vlookup(B3663,'Special Names'!A:B,2,FALSE),B3663),PlayerValues!E:E,0)),"N/A")</f>
        <v>17463</v>
      </c>
      <c r="B3663" s="4" t="s">
        <v>433</v>
      </c>
      <c r="C3663" s="4" t="s">
        <v>283</v>
      </c>
      <c r="D3663" s="94">
        <v>2884.0</v>
      </c>
    </row>
    <row r="3664">
      <c r="A3664" s="40">
        <f t="array" ref="A3664">IFNA(index(PlayerValues!A:A,match(IFNA(vlookup(B3664,'Special Names'!A:B,2,FALSE),B3664),PlayerValues!E:E,0)),"N/A")</f>
        <v>16080</v>
      </c>
      <c r="B3664" s="4" t="s">
        <v>499</v>
      </c>
      <c r="C3664" s="4" t="s">
        <v>287</v>
      </c>
      <c r="D3664" s="94">
        <v>2876.0</v>
      </c>
    </row>
    <row r="3665">
      <c r="A3665" s="40">
        <f t="array" ref="A3665">IFNA(index(PlayerValues!A:A,match(IFNA(vlookup(B3665,'Special Names'!A:B,2,FALSE),B3665),PlayerValues!E:E,0)),"N/A")</f>
        <v>16628</v>
      </c>
      <c r="B3665" s="4" t="s">
        <v>490</v>
      </c>
      <c r="C3665" s="4" t="s">
        <v>287</v>
      </c>
      <c r="D3665" s="94">
        <v>2849.0</v>
      </c>
    </row>
    <row r="3666">
      <c r="A3666" s="40">
        <f t="array" ref="A3666">IFNA(index(PlayerValues!A:A,match(IFNA(vlookup(B3666,'Special Names'!A:B,2,FALSE),B3666),PlayerValues!E:E,0)),"N/A")</f>
        <v>17031</v>
      </c>
      <c r="B3666" s="4" t="s">
        <v>535</v>
      </c>
      <c r="C3666" s="4" t="s">
        <v>283</v>
      </c>
      <c r="D3666" s="94">
        <v>2842.0</v>
      </c>
    </row>
    <row r="3667">
      <c r="A3667" s="40">
        <f t="array" ref="A3667">IFNA(index(PlayerValues!A:A,match(IFNA(vlookup(B3667,'Special Names'!A:B,2,FALSE),B3667),PlayerValues!E:E,0)),"N/A")</f>
        <v>17073</v>
      </c>
      <c r="B3667" s="4" t="s">
        <v>547</v>
      </c>
      <c r="C3667" s="4" t="s">
        <v>287</v>
      </c>
      <c r="D3667" s="94">
        <v>2838.0</v>
      </c>
    </row>
    <row r="3668">
      <c r="A3668" s="40">
        <f t="array" ref="A3668">IFNA(index(PlayerValues!A:A,match(IFNA(vlookup(B3668,'Special Names'!A:B,2,FALSE),B3668),PlayerValues!E:E,0)),"N/A")</f>
        <v>17072</v>
      </c>
      <c r="B3668" s="4" t="s">
        <v>508</v>
      </c>
      <c r="C3668" s="4" t="s">
        <v>287</v>
      </c>
      <c r="D3668" s="94">
        <v>2837.0</v>
      </c>
    </row>
    <row r="3669">
      <c r="A3669" s="40">
        <f t="array" ref="A3669">IFNA(index(PlayerValues!A:A,match(IFNA(vlookup(B3669,'Special Names'!A:B,2,FALSE),B3669),PlayerValues!E:E,0)),"N/A")</f>
        <v>17157</v>
      </c>
      <c r="B3669" s="4" t="s">
        <v>524</v>
      </c>
      <c r="C3669" s="4" t="s">
        <v>287</v>
      </c>
      <c r="D3669" s="94">
        <v>2837.0</v>
      </c>
    </row>
    <row r="3670">
      <c r="A3670" s="40">
        <f t="array" ref="A3670">IFNA(index(PlayerValues!A:A,match(IFNA(vlookup(B3670,'Special Names'!A:B,2,FALSE),B3670),PlayerValues!E:E,0)),"N/A")</f>
        <v>17171</v>
      </c>
      <c r="B3670" s="4" t="s">
        <v>561</v>
      </c>
      <c r="C3670" s="4" t="s">
        <v>287</v>
      </c>
      <c r="D3670" s="94">
        <v>2836.0</v>
      </c>
    </row>
    <row r="3671">
      <c r="A3671" s="40" t="str">
        <f t="array" ref="A3671">IFNA(index(PlayerValues!A:A,match(IFNA(vlookup(B3671,'Special Names'!A:B,2,FALSE),B3671),PlayerValues!E:E,0)),"N/A")</f>
        <v>N/A</v>
      </c>
      <c r="B3671" s="4" t="s">
        <v>109</v>
      </c>
      <c r="C3671" s="4" t="s">
        <v>325</v>
      </c>
      <c r="D3671" s="94">
        <v>2833.0</v>
      </c>
    </row>
    <row r="3672">
      <c r="A3672" s="40">
        <f t="array" ref="A3672">IFNA(index(PlayerValues!A:A,match(IFNA(vlookup(B3672,'Special Names'!A:B,2,FALSE),B3672),PlayerValues!E:E,0)),"N/A")</f>
        <v>16596</v>
      </c>
      <c r="B3672" s="4" t="s">
        <v>501</v>
      </c>
      <c r="C3672" s="4" t="s">
        <v>278</v>
      </c>
      <c r="D3672" s="94">
        <v>2827.0</v>
      </c>
    </row>
    <row r="3673">
      <c r="A3673" s="40">
        <f t="array" ref="A3673">IFNA(index(PlayerValues!A:A,match(IFNA(vlookup(B3673,'Special Names'!A:B,2,FALSE),B3673),PlayerValues!E:E,0)),"N/A")</f>
        <v>14071</v>
      </c>
      <c r="B3673" s="4" t="s">
        <v>440</v>
      </c>
      <c r="C3673" s="4" t="s">
        <v>278</v>
      </c>
      <c r="D3673" s="94">
        <v>2825.0</v>
      </c>
    </row>
    <row r="3674">
      <c r="A3674" s="40">
        <f t="array" ref="A3674">IFNA(index(PlayerValues!A:A,match(IFNA(vlookup(B3674,'Special Names'!A:B,2,FALSE),B3674),PlayerValues!E:E,0)),"N/A")</f>
        <v>16165</v>
      </c>
      <c r="B3674" s="4" t="s">
        <v>520</v>
      </c>
      <c r="C3674" s="4" t="s">
        <v>278</v>
      </c>
      <c r="D3674" s="94">
        <v>2814.0</v>
      </c>
    </row>
    <row r="3675">
      <c r="A3675" s="40">
        <f t="array" ref="A3675">IFNA(index(PlayerValues!A:A,match(IFNA(vlookup(B3675,'Special Names'!A:B,2,FALSE),B3675),PlayerValues!E:E,0)),"N/A")</f>
        <v>16649</v>
      </c>
      <c r="B3675" s="4" t="s">
        <v>586</v>
      </c>
      <c r="C3675" s="4" t="s">
        <v>298</v>
      </c>
      <c r="D3675" s="94">
        <v>3215.0</v>
      </c>
    </row>
    <row r="3676">
      <c r="A3676" s="40">
        <f t="array" ref="A3676">IFNA(index(PlayerValues!A:A,match(IFNA(vlookup(B3676,'Special Names'!A:B,2,FALSE),B3676),PlayerValues!E:E,0)),"N/A")</f>
        <v>17080</v>
      </c>
      <c r="B3676" s="4" t="s">
        <v>532</v>
      </c>
      <c r="C3676" s="4" t="s">
        <v>287</v>
      </c>
      <c r="D3676" s="94">
        <v>2791.0</v>
      </c>
    </row>
    <row r="3677">
      <c r="A3677" s="40">
        <f t="array" ref="A3677">IFNA(index(PlayerValues!A:A,match(IFNA(vlookup(B3677,'Special Names'!A:B,2,FALSE),B3677),PlayerValues!E:E,0)),"N/A")</f>
        <v>15255</v>
      </c>
      <c r="B3677" s="4" t="s">
        <v>477</v>
      </c>
      <c r="C3677" s="4" t="s">
        <v>278</v>
      </c>
      <c r="D3677" s="94">
        <v>2786.0</v>
      </c>
    </row>
    <row r="3678">
      <c r="A3678" s="40" t="str">
        <f t="array" ref="A3678">IFNA(index(PlayerValues!A:A,match(IFNA(vlookup(B3678,'Special Names'!A:B,2,FALSE),B3678),PlayerValues!E:E,0)),"N/A")</f>
        <v>N/A</v>
      </c>
      <c r="B3678" s="4" t="s">
        <v>85</v>
      </c>
      <c r="C3678" s="4" t="s">
        <v>325</v>
      </c>
      <c r="D3678" s="94">
        <v>2786.0</v>
      </c>
    </row>
    <row r="3679">
      <c r="A3679" s="40">
        <f t="array" ref="A3679">IFNA(index(PlayerValues!A:A,match(IFNA(vlookup(B3679,'Special Names'!A:B,2,FALSE),B3679),PlayerValues!E:E,0)),"N/A")</f>
        <v>13163</v>
      </c>
      <c r="B3679" s="4" t="s">
        <v>473</v>
      </c>
      <c r="C3679" s="4" t="s">
        <v>287</v>
      </c>
      <c r="D3679" s="94">
        <v>2785.0</v>
      </c>
    </row>
    <row r="3680">
      <c r="A3680" s="40">
        <f t="array" ref="A3680">IFNA(index(PlayerValues!A:A,match(IFNA(vlookup(B3680,'Special Names'!A:B,2,FALSE),B3680),PlayerValues!E:E,0)),"N/A")</f>
        <v>14800</v>
      </c>
      <c r="B3680" s="4" t="s">
        <v>472</v>
      </c>
      <c r="C3680" s="4" t="s">
        <v>278</v>
      </c>
      <c r="D3680" s="94">
        <v>2785.0</v>
      </c>
    </row>
    <row r="3681">
      <c r="A3681" s="40">
        <f t="array" ref="A3681">IFNA(index(PlayerValues!A:A,match(IFNA(vlookup(B3681,'Special Names'!A:B,2,FALSE),B3681),PlayerValues!E:E,0)),"N/A")</f>
        <v>17098</v>
      </c>
      <c r="B3681" s="4" t="s">
        <v>533</v>
      </c>
      <c r="C3681" s="4" t="s">
        <v>287</v>
      </c>
      <c r="D3681" s="94">
        <v>2785.0</v>
      </c>
    </row>
    <row r="3682">
      <c r="A3682" s="40">
        <f t="array" ref="A3682">IFNA(index(PlayerValues!A:A,match(IFNA(vlookup(B3682,'Special Names'!A:B,2,FALSE),B3682),PlayerValues!E:E,0)),"N/A")</f>
        <v>16597</v>
      </c>
      <c r="B3682" s="4" t="s">
        <v>427</v>
      </c>
      <c r="C3682" s="4" t="s">
        <v>278</v>
      </c>
      <c r="D3682" s="94">
        <v>2784.0</v>
      </c>
    </row>
    <row r="3683">
      <c r="A3683" s="40">
        <f t="array" ref="A3683">IFNA(index(PlayerValues!A:A,match(IFNA(vlookup(B3683,'Special Names'!A:B,2,FALSE),B3683),PlayerValues!E:E,0)),"N/A")</f>
        <v>17134</v>
      </c>
      <c r="B3683" s="4" t="s">
        <v>548</v>
      </c>
      <c r="C3683" s="4" t="s">
        <v>287</v>
      </c>
      <c r="D3683" s="94">
        <v>2773.0</v>
      </c>
    </row>
    <row r="3684">
      <c r="A3684" s="40">
        <f t="array" ref="A3684">IFNA(index(PlayerValues!A:A,match(IFNA(vlookup(B3684,'Special Names'!A:B,2,FALSE),B3684),PlayerValues!E:E,0)),"N/A")</f>
        <v>17476</v>
      </c>
      <c r="B3684" s="4" t="s">
        <v>494</v>
      </c>
      <c r="C3684" s="4" t="s">
        <v>278</v>
      </c>
      <c r="D3684" s="94">
        <v>2758.0</v>
      </c>
    </row>
    <row r="3685">
      <c r="A3685" s="40">
        <f t="array" ref="A3685">IFNA(index(PlayerValues!A:A,match(IFNA(vlookup(B3685,'Special Names'!A:B,2,FALSE),B3685),PlayerValues!E:E,0)),"N/A")</f>
        <v>14138</v>
      </c>
      <c r="B3685" s="4" t="s">
        <v>531</v>
      </c>
      <c r="C3685" s="4" t="s">
        <v>298</v>
      </c>
      <c r="D3685" s="94">
        <v>3141.0</v>
      </c>
    </row>
    <row r="3686">
      <c r="A3686" s="40">
        <f t="array" ref="A3686">IFNA(index(PlayerValues!A:A,match(IFNA(vlookup(B3686,'Special Names'!A:B,2,FALSE),B3686),PlayerValues!E:E,0)),"N/A")</f>
        <v>16747</v>
      </c>
      <c r="B3686" s="4" t="s">
        <v>555</v>
      </c>
      <c r="C3686" s="4" t="s">
        <v>278</v>
      </c>
      <c r="D3686" s="94">
        <v>2713.0</v>
      </c>
    </row>
    <row r="3687">
      <c r="A3687" s="40">
        <f t="array" ref="A3687">IFNA(index(PlayerValues!A:A,match(IFNA(vlookup(B3687,'Special Names'!A:B,2,FALSE),B3687),PlayerValues!E:E,0)),"N/A")</f>
        <v>16626</v>
      </c>
      <c r="B3687" s="4" t="s">
        <v>515</v>
      </c>
      <c r="C3687" s="4" t="s">
        <v>287</v>
      </c>
      <c r="D3687" s="94">
        <v>2709.0</v>
      </c>
    </row>
    <row r="3688">
      <c r="A3688" s="40">
        <f t="array" ref="A3688">IFNA(index(PlayerValues!A:A,match(IFNA(vlookup(B3688,'Special Names'!A:B,2,FALSE),B3688),PlayerValues!E:E,0)),"N/A")</f>
        <v>17048</v>
      </c>
      <c r="B3688" s="4" t="s">
        <v>539</v>
      </c>
      <c r="C3688" s="4" t="s">
        <v>278</v>
      </c>
      <c r="D3688" s="94">
        <v>2709.0</v>
      </c>
    </row>
    <row r="3689">
      <c r="A3689" s="40">
        <f t="array" ref="A3689">IFNA(index(PlayerValues!A:A,match(IFNA(vlookup(B3689,'Special Names'!A:B,2,FALSE),B3689),PlayerValues!E:E,0)),"N/A")</f>
        <v>17047</v>
      </c>
      <c r="B3689" s="4" t="s">
        <v>510</v>
      </c>
      <c r="C3689" s="4" t="s">
        <v>278</v>
      </c>
      <c r="D3689" s="94">
        <v>2702.0</v>
      </c>
    </row>
    <row r="3690">
      <c r="A3690" s="40">
        <f t="array" ref="A3690">IFNA(index(PlayerValues!A:A,match(IFNA(vlookup(B3690,'Special Names'!A:B,2,FALSE),B3690),PlayerValues!E:E,0)),"N/A")</f>
        <v>14778</v>
      </c>
      <c r="B3690" s="4" t="s">
        <v>564</v>
      </c>
      <c r="C3690" s="4" t="s">
        <v>283</v>
      </c>
      <c r="D3690" s="94">
        <v>2701.0</v>
      </c>
    </row>
    <row r="3691">
      <c r="A3691" s="40">
        <f t="array" ref="A3691">IFNA(index(PlayerValues!A:A,match(IFNA(vlookup(B3691,'Special Names'!A:B,2,FALSE),B3691),PlayerValues!E:E,0)),"N/A")</f>
        <v>14085</v>
      </c>
      <c r="B3691" s="4" t="s">
        <v>489</v>
      </c>
      <c r="C3691" s="4" t="s">
        <v>278</v>
      </c>
      <c r="D3691" s="94">
        <v>2688.0</v>
      </c>
    </row>
    <row r="3692">
      <c r="A3692" s="40" t="str">
        <f t="array" ref="A3692">IFNA(index(PlayerValues!A:A,match(IFNA(vlookup(B3692,'Special Names'!A:B,2,FALSE),B3692),PlayerValues!E:E,0)),"N/A")</f>
        <v>N/A</v>
      </c>
      <c r="B3692" s="4" t="s">
        <v>110</v>
      </c>
      <c r="C3692" s="4" t="s">
        <v>325</v>
      </c>
      <c r="D3692" s="94">
        <v>2659.0</v>
      </c>
    </row>
    <row r="3693">
      <c r="A3693" s="40">
        <f t="array" ref="A3693">IFNA(index(PlayerValues!A:A,match(IFNA(vlookup(B3693,'Special Names'!A:B,2,FALSE),B3693),PlayerValues!E:E,0)),"N/A")</f>
        <v>12186</v>
      </c>
      <c r="B3693" s="4" t="s">
        <v>497</v>
      </c>
      <c r="C3693" s="4" t="s">
        <v>287</v>
      </c>
      <c r="D3693" s="94">
        <v>2655.0</v>
      </c>
    </row>
    <row r="3694">
      <c r="A3694" s="40">
        <f t="array" ref="A3694">IFNA(index(PlayerValues!A:A,match(IFNA(vlookup(B3694,'Special Names'!A:B,2,FALSE),B3694),PlayerValues!E:E,0)),"N/A")</f>
        <v>17046</v>
      </c>
      <c r="B3694" s="4" t="s">
        <v>602</v>
      </c>
      <c r="C3694" s="4" t="s">
        <v>278</v>
      </c>
      <c r="D3694" s="94">
        <v>2649.0</v>
      </c>
    </row>
    <row r="3695">
      <c r="A3695" s="40">
        <f t="array" ref="A3695">IFNA(index(PlayerValues!A:A,match(IFNA(vlookup(B3695,'Special Names'!A:B,2,FALSE),B3695),PlayerValues!E:E,0)),"N/A")</f>
        <v>14833</v>
      </c>
      <c r="B3695" s="4" t="s">
        <v>553</v>
      </c>
      <c r="C3695" s="4" t="s">
        <v>287</v>
      </c>
      <c r="D3695" s="94">
        <v>2647.0</v>
      </c>
    </row>
    <row r="3696">
      <c r="A3696" s="40">
        <f t="array" ref="A3696">IFNA(index(PlayerValues!A:A,match(IFNA(vlookup(B3696,'Special Names'!A:B,2,FALSE),B3696),PlayerValues!E:E,0)),"N/A")</f>
        <v>14840</v>
      </c>
      <c r="B3696" s="4" t="s">
        <v>731</v>
      </c>
      <c r="C3696" s="4" t="s">
        <v>287</v>
      </c>
      <c r="D3696" s="94">
        <v>2640.0</v>
      </c>
    </row>
    <row r="3697">
      <c r="A3697" s="40">
        <f t="array" ref="A3697">IFNA(index(PlayerValues!A:A,match(IFNA(vlookup(B3697,'Special Names'!A:B,2,FALSE),B3697),PlayerValues!E:E,0)),"N/A")</f>
        <v>15721</v>
      </c>
      <c r="B3697" s="4" t="s">
        <v>504</v>
      </c>
      <c r="C3697" s="4" t="s">
        <v>278</v>
      </c>
      <c r="D3697" s="94">
        <v>2636.0</v>
      </c>
    </row>
    <row r="3698">
      <c r="A3698" s="40">
        <f t="array" ref="A3698">IFNA(index(PlayerValues!A:A,match(IFNA(vlookup(B3698,'Special Names'!A:B,2,FALSE),B3698),PlayerValues!E:E,0)),"N/A")</f>
        <v>13192</v>
      </c>
      <c r="B3698" s="4" t="s">
        <v>563</v>
      </c>
      <c r="C3698" s="4" t="s">
        <v>298</v>
      </c>
      <c r="D3698" s="94">
        <v>3046.0</v>
      </c>
    </row>
    <row r="3699">
      <c r="A3699" s="40">
        <f t="array" ref="A3699">IFNA(index(PlayerValues!A:A,match(IFNA(vlookup(B3699,'Special Names'!A:B,2,FALSE),B3699),PlayerValues!E:E,0)),"N/A")</f>
        <v>17108</v>
      </c>
      <c r="B3699" s="4" t="s">
        <v>542</v>
      </c>
      <c r="C3699" s="4" t="s">
        <v>298</v>
      </c>
      <c r="D3699" s="94">
        <v>3042.0</v>
      </c>
    </row>
    <row r="3700">
      <c r="A3700" s="40">
        <f t="array" ref="A3700">IFNA(index(PlayerValues!A:A,match(IFNA(vlookup(B3700,'Special Names'!A:B,2,FALSE),B3700),PlayerValues!E:E,0)),"N/A")</f>
        <v>16757</v>
      </c>
      <c r="B3700" s="4" t="s">
        <v>558</v>
      </c>
      <c r="C3700" s="4" t="s">
        <v>278</v>
      </c>
      <c r="D3700" s="94">
        <v>2611.0</v>
      </c>
    </row>
    <row r="3701">
      <c r="A3701" s="40" t="str">
        <f t="array" ref="A3701">IFNA(index(PlayerValues!A:A,match(IFNA(vlookup(B3701,'Special Names'!A:B,2,FALSE),B3701),PlayerValues!E:E,0)),"N/A")</f>
        <v>N/A</v>
      </c>
      <c r="B3701" s="4" t="s">
        <v>557</v>
      </c>
      <c r="C3701" s="4" t="s">
        <v>278</v>
      </c>
      <c r="D3701" s="94">
        <v>2593.0</v>
      </c>
    </row>
    <row r="3702">
      <c r="A3702" s="40">
        <f t="array" ref="A3702">IFNA(index(PlayerValues!A:A,match(IFNA(vlookup(B3702,'Special Names'!A:B,2,FALSE),B3702),PlayerValues!E:E,0)),"N/A")</f>
        <v>16152</v>
      </c>
      <c r="B3702" s="4" t="s">
        <v>601</v>
      </c>
      <c r="C3702" s="4" t="s">
        <v>283</v>
      </c>
      <c r="D3702" s="94">
        <v>2585.0</v>
      </c>
    </row>
    <row r="3703">
      <c r="A3703" s="40">
        <f t="array" ref="A3703">IFNA(index(PlayerValues!A:A,match(IFNA(vlookup(B3703,'Special Names'!A:B,2,FALSE),B3703),PlayerValues!E:E,0)),"N/A")</f>
        <v>13674</v>
      </c>
      <c r="B3703" s="4" t="s">
        <v>511</v>
      </c>
      <c r="C3703" s="4" t="s">
        <v>298</v>
      </c>
      <c r="D3703" s="94">
        <v>2993.0</v>
      </c>
    </row>
    <row r="3704">
      <c r="A3704" s="40">
        <f t="array" ref="A3704">IFNA(index(PlayerValues!A:A,match(IFNA(vlookup(B3704,'Special Names'!A:B,2,FALSE),B3704),PlayerValues!E:E,0)),"N/A")</f>
        <v>17078</v>
      </c>
      <c r="B3704" s="4" t="s">
        <v>543</v>
      </c>
      <c r="C3704" s="4" t="s">
        <v>287</v>
      </c>
      <c r="D3704" s="94">
        <v>2566.0</v>
      </c>
    </row>
    <row r="3705">
      <c r="A3705" s="40">
        <f t="array" ref="A3705">IFNA(index(PlayerValues!A:A,match(IFNA(vlookup(B3705,'Special Names'!A:B,2,FALSE),B3705),PlayerValues!E:E,0)),"N/A")</f>
        <v>16166</v>
      </c>
      <c r="B3705" s="4" t="s">
        <v>567</v>
      </c>
      <c r="C3705" s="4" t="s">
        <v>278</v>
      </c>
      <c r="D3705" s="94">
        <v>2565.0</v>
      </c>
    </row>
    <row r="3706">
      <c r="A3706" s="40">
        <f t="array" ref="A3706">IFNA(index(PlayerValues!A:A,match(IFNA(vlookup(B3706,'Special Names'!A:B,2,FALSE),B3706),PlayerValues!E:E,0)),"N/A")</f>
        <v>13671</v>
      </c>
      <c r="B3706" s="4" t="s">
        <v>506</v>
      </c>
      <c r="C3706" s="4" t="s">
        <v>298</v>
      </c>
      <c r="D3706" s="94">
        <v>2968.0</v>
      </c>
    </row>
    <row r="3707">
      <c r="A3707" s="40">
        <f t="array" ref="A3707">IFNA(index(PlayerValues!A:A,match(IFNA(vlookup(B3707,'Special Names'!A:B,2,FALSE),B3707),PlayerValues!E:E,0)),"N/A")</f>
        <v>17505</v>
      </c>
      <c r="B3707" s="4" t="s">
        <v>528</v>
      </c>
      <c r="C3707" s="4" t="s">
        <v>287</v>
      </c>
      <c r="D3707" s="94">
        <v>2559.0</v>
      </c>
    </row>
    <row r="3708">
      <c r="A3708" s="40">
        <f t="array" ref="A3708">IFNA(index(PlayerValues!A:A,match(IFNA(vlookup(B3708,'Special Names'!A:B,2,FALSE),B3708),PlayerValues!E:E,0)),"N/A")</f>
        <v>14136</v>
      </c>
      <c r="B3708" s="4" t="s">
        <v>536</v>
      </c>
      <c r="C3708" s="4" t="s">
        <v>287</v>
      </c>
      <c r="D3708" s="94">
        <v>2551.0</v>
      </c>
    </row>
    <row r="3709">
      <c r="A3709" s="40">
        <f t="array" ref="A3709">IFNA(index(PlayerValues!A:A,match(IFNA(vlookup(B3709,'Special Names'!A:B,2,FALSE),B3709),PlayerValues!E:E,0)),"N/A")</f>
        <v>16189</v>
      </c>
      <c r="B3709" s="4" t="s">
        <v>582</v>
      </c>
      <c r="C3709" s="4" t="s">
        <v>287</v>
      </c>
      <c r="D3709" s="94">
        <v>2541.0</v>
      </c>
    </row>
    <row r="3710">
      <c r="A3710" s="40">
        <f t="array" ref="A3710">IFNA(index(PlayerValues!A:A,match(IFNA(vlookup(B3710,'Special Names'!A:B,2,FALSE),B3710),PlayerValues!E:E,0)),"N/A")</f>
        <v>16164</v>
      </c>
      <c r="B3710" s="4" t="s">
        <v>512</v>
      </c>
      <c r="C3710" s="4" t="s">
        <v>278</v>
      </c>
      <c r="D3710" s="94">
        <v>2523.0</v>
      </c>
    </row>
    <row r="3711">
      <c r="A3711" s="40">
        <f t="array" ref="A3711">IFNA(index(PlayerValues!A:A,match(IFNA(vlookup(B3711,'Special Names'!A:B,2,FALSE),B3711),PlayerValues!E:E,0)),"N/A")</f>
        <v>16617</v>
      </c>
      <c r="B3711" s="4" t="s">
        <v>541</v>
      </c>
      <c r="C3711" s="4" t="s">
        <v>287</v>
      </c>
      <c r="D3711" s="94">
        <v>2514.0</v>
      </c>
    </row>
    <row r="3712">
      <c r="A3712" s="40">
        <f t="array" ref="A3712">IFNA(index(PlayerValues!A:A,match(IFNA(vlookup(B3712,'Special Names'!A:B,2,FALSE),B3712),PlayerValues!E:E,0)),"N/A")</f>
        <v>12616</v>
      </c>
      <c r="B3712" s="4" t="s">
        <v>529</v>
      </c>
      <c r="C3712" s="4" t="s">
        <v>283</v>
      </c>
      <c r="D3712" s="94">
        <v>2503.0</v>
      </c>
    </row>
    <row r="3713">
      <c r="A3713" s="40">
        <f t="array" ref="A3713">IFNA(index(PlayerValues!A:A,match(IFNA(vlookup(B3713,'Special Names'!A:B,2,FALSE),B3713),PlayerValues!E:E,0)),"N/A")</f>
        <v>15972</v>
      </c>
      <c r="B3713" s="4" t="s">
        <v>469</v>
      </c>
      <c r="C3713" s="4" t="s">
        <v>278</v>
      </c>
      <c r="D3713" s="94">
        <v>2477.0</v>
      </c>
    </row>
    <row r="3714">
      <c r="A3714" s="40" t="str">
        <f t="array" ref="A3714">IFNA(index(PlayerValues!A:A,match(IFNA(vlookup(B3714,'Special Names'!A:B,2,FALSE),B3714),PlayerValues!E:E,0)),"N/A")</f>
        <v>N/A</v>
      </c>
      <c r="B3714" s="4" t="s">
        <v>98</v>
      </c>
      <c r="C3714" s="4" t="s">
        <v>325</v>
      </c>
      <c r="D3714" s="94">
        <v>2468.0</v>
      </c>
    </row>
    <row r="3715">
      <c r="A3715" s="40">
        <f t="array" ref="A3715">IFNA(index(PlayerValues!A:A,match(IFNA(vlookup(B3715,'Special Names'!A:B,2,FALSE),B3715),PlayerValues!E:E,0)),"N/A")</f>
        <v>17474</v>
      </c>
      <c r="B3715" s="4" t="s">
        <v>513</v>
      </c>
      <c r="C3715" s="4" t="s">
        <v>278</v>
      </c>
      <c r="D3715" s="94">
        <v>2468.0</v>
      </c>
    </row>
    <row r="3716">
      <c r="A3716" s="40">
        <f t="array" ref="A3716">IFNA(index(PlayerValues!A:A,match(IFNA(vlookup(B3716,'Special Names'!A:B,2,FALSE),B3716),PlayerValues!E:E,0)),"N/A")</f>
        <v>16287</v>
      </c>
      <c r="B3716" s="4" t="s">
        <v>516</v>
      </c>
      <c r="C3716" s="4" t="s">
        <v>287</v>
      </c>
      <c r="D3716" s="94">
        <v>2466.0</v>
      </c>
    </row>
    <row r="3717">
      <c r="A3717" s="40">
        <f t="array" ref="A3717">IFNA(index(PlayerValues!A:A,match(IFNA(vlookup(B3717,'Special Names'!A:B,2,FALSE),B3717),PlayerValues!E:E,0)),"N/A")</f>
        <v>17033</v>
      </c>
      <c r="B3717" s="4" t="s">
        <v>570</v>
      </c>
      <c r="C3717" s="4" t="s">
        <v>283</v>
      </c>
      <c r="D3717" s="94">
        <v>2437.0</v>
      </c>
    </row>
    <row r="3718">
      <c r="A3718" s="40">
        <f t="array" ref="A3718">IFNA(index(PlayerValues!A:A,match(IFNA(vlookup(B3718,'Special Names'!A:B,2,FALSE),B3718),PlayerValues!E:E,0)),"N/A")</f>
        <v>16204</v>
      </c>
      <c r="B3718" s="4" t="s">
        <v>530</v>
      </c>
      <c r="C3718" s="4" t="s">
        <v>287</v>
      </c>
      <c r="D3718" s="94">
        <v>2424.0</v>
      </c>
    </row>
    <row r="3719">
      <c r="A3719" s="40">
        <f t="array" ref="A3719">IFNA(index(PlayerValues!A:A,match(IFNA(vlookup(B3719,'Special Names'!A:B,2,FALSE),B3719),PlayerValues!E:E,0)),"N/A")</f>
        <v>14861</v>
      </c>
      <c r="B3719" s="4" t="s">
        <v>523</v>
      </c>
      <c r="C3719" s="4" t="s">
        <v>298</v>
      </c>
      <c r="D3719" s="94">
        <v>2825.0</v>
      </c>
    </row>
    <row r="3720">
      <c r="A3720" s="40">
        <f t="array" ref="A3720">IFNA(index(PlayerValues!A:A,match(IFNA(vlookup(B3720,'Special Names'!A:B,2,FALSE),B3720),PlayerValues!E:E,0)),"N/A")</f>
        <v>12676</v>
      </c>
      <c r="B3720" s="4" t="s">
        <v>537</v>
      </c>
      <c r="C3720" s="4" t="s">
        <v>298</v>
      </c>
      <c r="D3720" s="94">
        <v>2813.0</v>
      </c>
    </row>
    <row r="3721">
      <c r="A3721" s="40">
        <f t="array" ref="A3721">IFNA(index(PlayerValues!A:A,match(IFNA(vlookup(B3721,'Special Names'!A:B,2,FALSE),B3721),PlayerValues!E:E,0)),"N/A")</f>
        <v>17105</v>
      </c>
      <c r="B3721" s="4" t="s">
        <v>525</v>
      </c>
      <c r="C3721" s="4" t="s">
        <v>298</v>
      </c>
      <c r="D3721" s="94">
        <v>2809.0</v>
      </c>
    </row>
    <row r="3722">
      <c r="A3722" s="40">
        <f t="array" ref="A3722">IFNA(index(PlayerValues!A:A,match(IFNA(vlookup(B3722,'Special Names'!A:B,2,FALSE),B3722),PlayerValues!E:E,0)),"N/A")</f>
        <v>17507</v>
      </c>
      <c r="B3722" s="4" t="s">
        <v>495</v>
      </c>
      <c r="C3722" s="4" t="s">
        <v>287</v>
      </c>
      <c r="D3722" s="94">
        <v>2400.0</v>
      </c>
    </row>
    <row r="3723">
      <c r="A3723" s="40">
        <f t="array" ref="A3723">IFNA(index(PlayerValues!A:A,match(IFNA(vlookup(B3723,'Special Names'!A:B,2,FALSE),B3723),PlayerValues!E:E,0)),"N/A")</f>
        <v>16610</v>
      </c>
      <c r="B3723" s="4" t="s">
        <v>562</v>
      </c>
      <c r="C3723" s="4" t="s">
        <v>278</v>
      </c>
      <c r="D3723" s="94">
        <v>2394.0</v>
      </c>
    </row>
    <row r="3724">
      <c r="A3724" s="40">
        <f t="array" ref="A3724">IFNA(index(PlayerValues!A:A,match(IFNA(vlookup(B3724,'Special Names'!A:B,2,FALSE),B3724),PlayerValues!E:E,0)),"N/A")</f>
        <v>17511</v>
      </c>
      <c r="B3724" s="4" t="s">
        <v>485</v>
      </c>
      <c r="C3724" s="4" t="s">
        <v>287</v>
      </c>
      <c r="D3724" s="94">
        <v>2376.0</v>
      </c>
    </row>
    <row r="3725">
      <c r="A3725" s="40">
        <f t="array" ref="A3725">IFNA(index(PlayerValues!A:A,match(IFNA(vlookup(B3725,'Special Names'!A:B,2,FALSE),B3725),PlayerValues!E:E,0)),"N/A")</f>
        <v>15716</v>
      </c>
      <c r="B3725" s="4" t="s">
        <v>545</v>
      </c>
      <c r="C3725" s="4" t="s">
        <v>278</v>
      </c>
      <c r="D3725" s="94">
        <v>2360.0</v>
      </c>
    </row>
    <row r="3726">
      <c r="A3726" s="40">
        <f t="array" ref="A3726">IFNA(index(PlayerValues!A:A,match(IFNA(vlookup(B3726,'Special Names'!A:B,2,FALSE),B3726),PlayerValues!E:E,0)),"N/A")</f>
        <v>17464</v>
      </c>
      <c r="B3726" s="4" t="s">
        <v>828</v>
      </c>
      <c r="C3726" s="4" t="s">
        <v>283</v>
      </c>
      <c r="D3726" s="94">
        <v>2358.0</v>
      </c>
    </row>
    <row r="3727">
      <c r="A3727" s="40">
        <f t="array" ref="A3727">IFNA(index(PlayerValues!A:A,match(IFNA(vlookup(B3727,'Special Names'!A:B,2,FALSE),B3727),PlayerValues!E:E,0)),"N/A")</f>
        <v>13132</v>
      </c>
      <c r="B3727" s="4" t="s">
        <v>598</v>
      </c>
      <c r="C3727" s="4" t="s">
        <v>278</v>
      </c>
      <c r="D3727" s="94">
        <v>2357.0</v>
      </c>
    </row>
    <row r="3728">
      <c r="A3728" s="40">
        <f t="array" ref="A3728">IFNA(index(PlayerValues!A:A,match(IFNA(vlookup(B3728,'Special Names'!A:B,2,FALSE),B3728),PlayerValues!E:E,0)),"N/A")</f>
        <v>15802</v>
      </c>
      <c r="B3728" s="4" t="s">
        <v>566</v>
      </c>
      <c r="C3728" s="4" t="s">
        <v>298</v>
      </c>
      <c r="D3728" s="94">
        <v>2749.0</v>
      </c>
    </row>
    <row r="3729">
      <c r="A3729" s="40">
        <f t="array" ref="A3729">IFNA(index(PlayerValues!A:A,match(IFNA(vlookup(B3729,'Special Names'!A:B,2,FALSE),B3729),PlayerValues!E:E,0)),"N/A")</f>
        <v>16178</v>
      </c>
      <c r="B3729" s="4" t="s">
        <v>507</v>
      </c>
      <c r="C3729" s="4" t="s">
        <v>278</v>
      </c>
      <c r="D3729" s="94">
        <v>2347.0</v>
      </c>
    </row>
    <row r="3730">
      <c r="A3730" s="40" t="str">
        <f t="array" ref="A3730">IFNA(index(PlayerValues!A:A,match(IFNA(vlookup(B3730,'Special Names'!A:B,2,FALSE),B3730),PlayerValues!E:E,0)),"N/A")</f>
        <v>N/A</v>
      </c>
      <c r="B3730" s="4" t="s">
        <v>86</v>
      </c>
      <c r="C3730" s="4" t="s">
        <v>325</v>
      </c>
      <c r="D3730" s="94">
        <v>2341.0</v>
      </c>
    </row>
    <row r="3731">
      <c r="A3731" s="40">
        <f t="array" ref="A3731">IFNA(index(PlayerValues!A:A,match(IFNA(vlookup(B3731,'Special Names'!A:B,2,FALSE),B3731),PlayerValues!E:E,0)),"N/A")</f>
        <v>13772</v>
      </c>
      <c r="B3731" s="4" t="s">
        <v>544</v>
      </c>
      <c r="C3731" s="4" t="s">
        <v>298</v>
      </c>
      <c r="D3731" s="94">
        <v>2738.0</v>
      </c>
    </row>
    <row r="3732">
      <c r="A3732" s="40">
        <f t="array" ref="A3732">IFNA(index(PlayerValues!A:A,match(IFNA(vlookup(B3732,'Special Names'!A:B,2,FALSE),B3732),PlayerValues!E:E,0)),"N/A")</f>
        <v>17079</v>
      </c>
      <c r="B3732" s="4" t="s">
        <v>572</v>
      </c>
      <c r="C3732" s="4" t="s">
        <v>287</v>
      </c>
      <c r="D3732" s="94">
        <v>2320.0</v>
      </c>
    </row>
    <row r="3733">
      <c r="A3733" s="40">
        <f t="array" ref="A3733">IFNA(index(PlayerValues!A:A,match(IFNA(vlookup(B3733,'Special Names'!A:B,2,FALSE),B3733),PlayerValues!E:E,0)),"N/A")</f>
        <v>16212</v>
      </c>
      <c r="B3733" s="4" t="s">
        <v>568</v>
      </c>
      <c r="C3733" s="4" t="s">
        <v>298</v>
      </c>
      <c r="D3733" s="94">
        <v>2712.0</v>
      </c>
    </row>
    <row r="3734">
      <c r="A3734" s="40">
        <f t="array" ref="A3734">IFNA(index(PlayerValues!A:A,match(IFNA(vlookup(B3734,'Special Names'!A:B,2,FALSE),B3734),PlayerValues!E:E,0)),"N/A")</f>
        <v>17049</v>
      </c>
      <c r="B3734" s="4" t="s">
        <v>624</v>
      </c>
      <c r="C3734" s="4" t="s">
        <v>278</v>
      </c>
      <c r="D3734" s="94">
        <v>2307.0</v>
      </c>
    </row>
    <row r="3735">
      <c r="A3735" s="40">
        <f t="array" ref="A3735">IFNA(index(PlayerValues!A:A,match(IFNA(vlookup(B3735,'Special Names'!A:B,2,FALSE),B3735),PlayerValues!E:E,0)),"N/A")</f>
        <v>12801</v>
      </c>
      <c r="B3735" s="4" t="s">
        <v>722</v>
      </c>
      <c r="C3735" s="4" t="s">
        <v>287</v>
      </c>
      <c r="D3735" s="94">
        <v>2306.0</v>
      </c>
    </row>
    <row r="3736">
      <c r="A3736" s="40" t="str">
        <f t="array" ref="A3736">IFNA(index(PlayerValues!A:A,match(IFNA(vlookup(B3736,'Special Names'!A:B,2,FALSE),B3736),PlayerValues!E:E,0)),"N/A")</f>
        <v>N/A</v>
      </c>
      <c r="B3736" s="4" t="s">
        <v>99</v>
      </c>
      <c r="C3736" s="4" t="s">
        <v>325</v>
      </c>
      <c r="D3736" s="94">
        <v>2298.0</v>
      </c>
    </row>
    <row r="3737">
      <c r="A3737" s="40">
        <f t="array" ref="A3737">IFNA(index(PlayerValues!A:A,match(IFNA(vlookup(B3737,'Special Names'!A:B,2,FALSE),B3737),PlayerValues!E:E,0)),"N/A")</f>
        <v>17034</v>
      </c>
      <c r="B3737" s="4" t="s">
        <v>643</v>
      </c>
      <c r="C3737" s="4" t="s">
        <v>283</v>
      </c>
      <c r="D3737" s="94">
        <v>2297.0</v>
      </c>
    </row>
    <row r="3738">
      <c r="A3738" s="40">
        <f t="array" ref="A3738">IFNA(index(PlayerValues!A:A,match(IFNA(vlookup(B3738,'Special Names'!A:B,2,FALSE),B3738),PlayerValues!E:E,0)),"N/A")</f>
        <v>16036</v>
      </c>
      <c r="B3738" s="4" t="s">
        <v>592</v>
      </c>
      <c r="C3738" s="4" t="s">
        <v>298</v>
      </c>
      <c r="D3738" s="94">
        <v>2668.0</v>
      </c>
    </row>
    <row r="3739">
      <c r="A3739" s="40">
        <f t="array" ref="A3739">IFNA(index(PlayerValues!A:A,match(IFNA(vlookup(B3739,'Special Names'!A:B,2,FALSE),B3739),PlayerValues!E:E,0)),"N/A")</f>
        <v>17076</v>
      </c>
      <c r="B3739" s="4" t="s">
        <v>585</v>
      </c>
      <c r="C3739" s="4" t="s">
        <v>287</v>
      </c>
      <c r="D3739" s="94">
        <v>2268.0</v>
      </c>
    </row>
    <row r="3740">
      <c r="A3740" s="40">
        <f t="array" ref="A3740">IFNA(index(PlayerValues!A:A,match(IFNA(vlookup(B3740,'Special Names'!A:B,2,FALSE),B3740),PlayerValues!E:E,0)),"N/A")</f>
        <v>17544</v>
      </c>
      <c r="B3740" s="4" t="s">
        <v>470</v>
      </c>
      <c r="C3740" s="4" t="s">
        <v>298</v>
      </c>
      <c r="D3740" s="94">
        <v>2664.0</v>
      </c>
    </row>
    <row r="3741">
      <c r="A3741" s="40">
        <f t="array" ref="A3741">IFNA(index(PlayerValues!A:A,match(IFNA(vlookup(B3741,'Special Names'!A:B,2,FALSE),B3741),PlayerValues!E:E,0)),"N/A")</f>
        <v>16171</v>
      </c>
      <c r="B3741" s="4" t="s">
        <v>618</v>
      </c>
      <c r="C3741" s="4" t="s">
        <v>278</v>
      </c>
      <c r="D3741" s="94">
        <v>2255.0</v>
      </c>
    </row>
    <row r="3742">
      <c r="A3742" s="40">
        <f t="array" ref="A3742">IFNA(index(PlayerValues!A:A,match(IFNA(vlookup(B3742,'Special Names'!A:B,2,FALSE),B3742),PlayerValues!E:E,0)),"N/A")</f>
        <v>16342</v>
      </c>
      <c r="B3742" s="4" t="s">
        <v>583</v>
      </c>
      <c r="C3742" s="4" t="s">
        <v>287</v>
      </c>
      <c r="D3742" s="94">
        <v>2218.0</v>
      </c>
    </row>
    <row r="3743">
      <c r="A3743" s="40">
        <f t="array" ref="A3743">IFNA(index(PlayerValues!A:A,match(IFNA(vlookup(B3743,'Special Names'!A:B,2,FALSE),B3743),PlayerValues!E:E,0)),"N/A")</f>
        <v>13319</v>
      </c>
      <c r="B3743" s="4" t="s">
        <v>549</v>
      </c>
      <c r="C3743" s="4" t="s">
        <v>278</v>
      </c>
      <c r="D3743" s="94">
        <v>2217.0</v>
      </c>
    </row>
    <row r="3744">
      <c r="A3744" s="40">
        <f t="array" ref="A3744">IFNA(index(PlayerValues!A:A,match(IFNA(vlookup(B3744,'Special Names'!A:B,2,FALSE),B3744),PlayerValues!E:E,0)),"N/A")</f>
        <v>17506</v>
      </c>
      <c r="B3744" s="4" t="s">
        <v>471</v>
      </c>
      <c r="C3744" s="4" t="s">
        <v>287</v>
      </c>
      <c r="D3744" s="94">
        <v>2209.0</v>
      </c>
    </row>
    <row r="3745">
      <c r="A3745" s="40">
        <f t="array" ref="A3745">IFNA(index(PlayerValues!A:A,match(IFNA(vlookup(B3745,'Special Names'!A:B,2,FALSE),B3745),PlayerValues!E:E,0)),"N/A")</f>
        <v>17509</v>
      </c>
      <c r="B3745" s="4" t="s">
        <v>551</v>
      </c>
      <c r="C3745" s="4" t="s">
        <v>287</v>
      </c>
      <c r="D3745" s="94">
        <v>2209.0</v>
      </c>
    </row>
    <row r="3746">
      <c r="A3746" s="40">
        <f t="array" ref="A3746">IFNA(index(PlayerValues!A:A,match(IFNA(vlookup(B3746,'Special Names'!A:B,2,FALSE),B3746),PlayerValues!E:E,0)),"N/A")</f>
        <v>16195</v>
      </c>
      <c r="B3746" s="4" t="s">
        <v>509</v>
      </c>
      <c r="C3746" s="4" t="s">
        <v>287</v>
      </c>
      <c r="D3746" s="94">
        <v>2204.0</v>
      </c>
    </row>
    <row r="3747">
      <c r="A3747" s="40">
        <f t="array" ref="A3747">IFNA(index(PlayerValues!A:A,match(IFNA(vlookup(B3747,'Special Names'!A:B,2,FALSE),B3747),PlayerValues!E:E,0)),"N/A")</f>
        <v>16639</v>
      </c>
      <c r="B3747" s="4" t="s">
        <v>599</v>
      </c>
      <c r="C3747" s="4" t="s">
        <v>287</v>
      </c>
      <c r="D3747" s="94">
        <v>2203.0</v>
      </c>
    </row>
    <row r="3748">
      <c r="A3748" s="40">
        <f t="array" ref="A3748">IFNA(index(PlayerValues!A:A,match(IFNA(vlookup(B3748,'Special Names'!A:B,2,FALSE),B3748),PlayerValues!E:E,0)),"N/A")</f>
        <v>15889</v>
      </c>
      <c r="B3748" s="4" t="s">
        <v>503</v>
      </c>
      <c r="C3748" s="4" t="s">
        <v>298</v>
      </c>
      <c r="D3748" s="94">
        <v>2593.0</v>
      </c>
    </row>
    <row r="3749">
      <c r="A3749" s="40">
        <f t="array" ref="A3749">IFNA(index(PlayerValues!A:A,match(IFNA(vlookup(B3749,'Special Names'!A:B,2,FALSE),B3749),PlayerValues!E:E,0)),"N/A")</f>
        <v>16684</v>
      </c>
      <c r="B3749" s="4" t="s">
        <v>500</v>
      </c>
      <c r="C3749" s="4" t="s">
        <v>287</v>
      </c>
      <c r="D3749" s="94">
        <v>2194.0</v>
      </c>
    </row>
    <row r="3750">
      <c r="A3750" s="40" t="str">
        <f t="array" ref="A3750">IFNA(index(PlayerValues!A:A,match(IFNA(vlookup(B3750,'Special Names'!A:B,2,FALSE),B3750),PlayerValues!E:E,0)),"N/A")</f>
        <v>N/A</v>
      </c>
      <c r="B3750" s="4" t="s">
        <v>100</v>
      </c>
      <c r="C3750" s="4" t="s">
        <v>325</v>
      </c>
      <c r="D3750" s="94">
        <v>2171.0</v>
      </c>
    </row>
    <row r="3751">
      <c r="A3751" s="40" t="str">
        <f t="array" ref="A3751">IFNA(index(PlayerValues!A:A,match(IFNA(vlookup(B3751,'Special Names'!A:B,2,FALSE),B3751),PlayerValues!E:E,0)),"N/A")</f>
        <v>N/A</v>
      </c>
      <c r="B3751" s="4" t="s">
        <v>87</v>
      </c>
      <c r="C3751" s="4" t="s">
        <v>325</v>
      </c>
      <c r="D3751" s="94">
        <v>2166.0</v>
      </c>
    </row>
    <row r="3752">
      <c r="A3752" s="40">
        <f t="array" ref="A3752">IFNA(index(PlayerValues!A:A,match(IFNA(vlookup(B3752,'Special Names'!A:B,2,FALSE),B3752),PlayerValues!E:E,0)),"N/A")</f>
        <v>16752</v>
      </c>
      <c r="B3752" s="4" t="s">
        <v>597</v>
      </c>
      <c r="C3752" s="4" t="s">
        <v>278</v>
      </c>
      <c r="D3752" s="94">
        <v>2162.0</v>
      </c>
    </row>
    <row r="3753">
      <c r="A3753" s="40">
        <f t="array" ref="A3753">IFNA(index(PlayerValues!A:A,match(IFNA(vlookup(B3753,'Special Names'!A:B,2,FALSE),B3753),PlayerValues!E:E,0)),"N/A")</f>
        <v>17087</v>
      </c>
      <c r="B3753" s="4" t="s">
        <v>600</v>
      </c>
      <c r="C3753" s="4" t="s">
        <v>287</v>
      </c>
      <c r="D3753" s="94">
        <v>2148.0</v>
      </c>
    </row>
    <row r="3754">
      <c r="A3754" s="40" t="str">
        <f t="array" ref="A3754">IFNA(index(PlayerValues!A:A,match(IFNA(vlookup(B3754,'Special Names'!A:B,2,FALSE),B3754),PlayerValues!E:E,0)),"N/A")</f>
        <v>N/A</v>
      </c>
      <c r="B3754" s="4" t="s">
        <v>112</v>
      </c>
      <c r="C3754" s="4" t="s">
        <v>325</v>
      </c>
      <c r="D3754" s="94">
        <v>2148.0</v>
      </c>
    </row>
    <row r="3755">
      <c r="A3755" s="40">
        <f t="array" ref="A3755">IFNA(index(PlayerValues!A:A,match(IFNA(vlookup(B3755,'Special Names'!A:B,2,FALSE),B3755),PlayerValues!E:E,0)),"N/A")</f>
        <v>15749</v>
      </c>
      <c r="B3755" s="4" t="s">
        <v>574</v>
      </c>
      <c r="C3755" s="4" t="s">
        <v>278</v>
      </c>
      <c r="D3755" s="94">
        <v>2146.0</v>
      </c>
    </row>
    <row r="3756">
      <c r="A3756" s="40">
        <f t="array" ref="A3756">IFNA(index(PlayerValues!A:A,match(IFNA(vlookup(B3756,'Special Names'!A:B,2,FALSE),B3756),PlayerValues!E:E,0)),"N/A")</f>
        <v>16191</v>
      </c>
      <c r="B3756" s="4" t="s">
        <v>666</v>
      </c>
      <c r="C3756" s="4" t="s">
        <v>287</v>
      </c>
      <c r="D3756" s="94">
        <v>2141.0</v>
      </c>
    </row>
    <row r="3757">
      <c r="A3757" s="40">
        <f t="array" ref="A3757">IFNA(index(PlayerValues!A:A,match(IFNA(vlookup(B3757,'Special Names'!A:B,2,FALSE),B3757),PlayerValues!E:E,0)),"N/A")</f>
        <v>17069</v>
      </c>
      <c r="B3757" s="4" t="s">
        <v>604</v>
      </c>
      <c r="C3757" s="4" t="s">
        <v>278</v>
      </c>
      <c r="D3757" s="94">
        <v>2136.0</v>
      </c>
    </row>
    <row r="3758">
      <c r="A3758" s="40">
        <f t="array" ref="A3758">IFNA(index(PlayerValues!A:A,match(IFNA(vlookup(B3758,'Special Names'!A:B,2,FALSE),B3758),PlayerValues!E:E,0)),"N/A")</f>
        <v>15238</v>
      </c>
      <c r="B3758" s="4" t="s">
        <v>613</v>
      </c>
      <c r="C3758" s="4" t="s">
        <v>283</v>
      </c>
      <c r="D3758" s="94">
        <v>2131.0</v>
      </c>
    </row>
    <row r="3759">
      <c r="A3759" s="40">
        <f t="array" ref="A3759">IFNA(index(PlayerValues!A:A,match(IFNA(vlookup(B3759,'Special Names'!A:B,2,FALSE),B3759),PlayerValues!E:E,0)),"N/A")</f>
        <v>14867</v>
      </c>
      <c r="B3759" s="4" t="s">
        <v>591</v>
      </c>
      <c r="C3759" s="4" t="s">
        <v>298</v>
      </c>
      <c r="D3759" s="94">
        <v>2518.0</v>
      </c>
    </row>
    <row r="3760">
      <c r="A3760" s="40">
        <f t="array" ref="A3760">IFNA(index(PlayerValues!A:A,match(IFNA(vlookup(B3760,'Special Names'!A:B,2,FALSE),B3760),PlayerValues!E:E,0)),"N/A")</f>
        <v>16644</v>
      </c>
      <c r="B3760" s="4" t="s">
        <v>640</v>
      </c>
      <c r="C3760" s="4" t="s">
        <v>298</v>
      </c>
      <c r="D3760" s="94">
        <v>2513.0</v>
      </c>
    </row>
    <row r="3761">
      <c r="A3761" s="40">
        <f t="array" ref="A3761">IFNA(index(PlayerValues!A:A,match(IFNA(vlookup(B3761,'Special Names'!A:B,2,FALSE),B3761),PlayerValues!E:E,0)),"N/A")</f>
        <v>14871</v>
      </c>
      <c r="B3761" s="4" t="s">
        <v>584</v>
      </c>
      <c r="C3761" s="4" t="s">
        <v>298</v>
      </c>
      <c r="D3761" s="94">
        <v>2505.0</v>
      </c>
    </row>
    <row r="3762">
      <c r="A3762" s="40" t="str">
        <f t="array" ref="A3762">IFNA(index(PlayerValues!A:A,match(IFNA(vlookup(B3762,'Special Names'!A:B,2,FALSE),B3762),PlayerValues!E:E,0)),"N/A")</f>
        <v>N/A</v>
      </c>
      <c r="B3762" s="4" t="s">
        <v>88</v>
      </c>
      <c r="C3762" s="4" t="s">
        <v>325</v>
      </c>
      <c r="D3762" s="94">
        <v>2112.0</v>
      </c>
    </row>
    <row r="3763">
      <c r="A3763" s="40">
        <f t="array" ref="A3763">IFNA(index(PlayerValues!A:A,match(IFNA(vlookup(B3763,'Special Names'!A:B,2,FALSE),B3763),PlayerValues!E:E,0)),"N/A")</f>
        <v>17478</v>
      </c>
      <c r="B3763" s="4" t="s">
        <v>527</v>
      </c>
      <c r="C3763" s="4" t="s">
        <v>278</v>
      </c>
      <c r="D3763" s="94">
        <v>2098.0</v>
      </c>
    </row>
    <row r="3764">
      <c r="A3764" s="40">
        <f t="array" ref="A3764">IFNA(index(PlayerValues!A:A,match(IFNA(vlookup(B3764,'Special Names'!A:B,2,FALSE),B3764),PlayerValues!E:E,0)),"N/A")</f>
        <v>17056</v>
      </c>
      <c r="B3764" s="4" t="s">
        <v>581</v>
      </c>
      <c r="C3764" s="4" t="s">
        <v>278</v>
      </c>
      <c r="D3764" s="94">
        <v>2090.0</v>
      </c>
    </row>
    <row r="3765">
      <c r="A3765" s="40">
        <f t="array" ref="A3765">IFNA(index(PlayerValues!A:A,match(IFNA(vlookup(B3765,'Special Names'!A:B,2,FALSE),B3765),PlayerValues!E:E,0)),"N/A")</f>
        <v>16432</v>
      </c>
      <c r="B3765" s="4" t="s">
        <v>620</v>
      </c>
      <c r="C3765" s="4" t="s">
        <v>278</v>
      </c>
      <c r="D3765" s="94">
        <v>2088.0</v>
      </c>
    </row>
    <row r="3766">
      <c r="A3766" s="40">
        <f t="array" ref="A3766">IFNA(index(PlayerValues!A:A,match(IFNA(vlookup(B3766,'Special Names'!A:B,2,FALSE),B3766),PlayerValues!E:E,0)),"N/A")</f>
        <v>16643</v>
      </c>
      <c r="B3766" s="4" t="s">
        <v>609</v>
      </c>
      <c r="C3766" s="4" t="s">
        <v>298</v>
      </c>
      <c r="D3766" s="94">
        <v>2469.0</v>
      </c>
    </row>
    <row r="3767">
      <c r="A3767" s="40">
        <f t="array" ref="A3767">IFNA(index(PlayerValues!A:A,match(IFNA(vlookup(B3767,'Special Names'!A:B,2,FALSE),B3767),PlayerValues!E:E,0)),"N/A")</f>
        <v>17060</v>
      </c>
      <c r="B3767" s="4" t="s">
        <v>603</v>
      </c>
      <c r="C3767" s="4" t="s">
        <v>278</v>
      </c>
      <c r="D3767" s="94">
        <v>2068.0</v>
      </c>
    </row>
    <row r="3768">
      <c r="A3768" s="40">
        <f t="array" ref="A3768">IFNA(index(PlayerValues!A:A,match(IFNA(vlookup(B3768,'Special Names'!A:B,2,FALSE),B3768),PlayerValues!E:E,0)),"N/A")</f>
        <v>16174</v>
      </c>
      <c r="B3768" s="4" t="s">
        <v>505</v>
      </c>
      <c r="C3768" s="4" t="s">
        <v>278</v>
      </c>
      <c r="D3768" s="94">
        <v>2063.0</v>
      </c>
    </row>
    <row r="3769">
      <c r="A3769" s="40">
        <f t="array" ref="A3769">IFNA(index(PlayerValues!A:A,match(IFNA(vlookup(B3769,'Special Names'!A:B,2,FALSE),B3769),PlayerValues!E:E,0)),"N/A")</f>
        <v>13146</v>
      </c>
      <c r="B3769" s="4" t="s">
        <v>652</v>
      </c>
      <c r="C3769" s="4" t="s">
        <v>278</v>
      </c>
      <c r="D3769" s="94">
        <v>2060.0</v>
      </c>
    </row>
    <row r="3770">
      <c r="A3770" s="40" t="str">
        <f t="array" ref="A3770">IFNA(index(PlayerValues!A:A,match(IFNA(vlookup(B3770,'Special Names'!A:B,2,FALSE),B3770),PlayerValues!E:E,0)),"N/A")</f>
        <v>N/A</v>
      </c>
      <c r="B3770" s="4" t="s">
        <v>113</v>
      </c>
      <c r="C3770" s="4" t="s">
        <v>325</v>
      </c>
      <c r="D3770" s="94">
        <v>2058.0</v>
      </c>
    </row>
    <row r="3771">
      <c r="A3771" s="40">
        <f t="array" ref="A3771">IFNA(index(PlayerValues!A:A,match(IFNA(vlookup(B3771,'Special Names'!A:B,2,FALSE),B3771),PlayerValues!E:E,0)),"N/A")</f>
        <v>15331</v>
      </c>
      <c r="B3771" s="4" t="s">
        <v>560</v>
      </c>
      <c r="C3771" s="4" t="s">
        <v>298</v>
      </c>
      <c r="D3771" s="94">
        <v>2446.0</v>
      </c>
    </row>
    <row r="3772">
      <c r="A3772" s="40">
        <f t="array" ref="A3772">IFNA(index(PlayerValues!A:A,match(IFNA(vlookup(B3772,'Special Names'!A:B,2,FALSE),B3772),PlayerValues!E:E,0)),"N/A")</f>
        <v>13633</v>
      </c>
      <c r="B3772" s="4" t="s">
        <v>625</v>
      </c>
      <c r="C3772" s="4" t="s">
        <v>287</v>
      </c>
      <c r="D3772" s="94">
        <v>2030.0</v>
      </c>
    </row>
    <row r="3773">
      <c r="A3773" s="40">
        <f t="array" ref="A3773">IFNA(index(PlayerValues!A:A,match(IFNA(vlookup(B3773,'Special Names'!A:B,2,FALSE),B3773),PlayerValues!E:E,0)),"N/A")</f>
        <v>14974</v>
      </c>
      <c r="B3773" s="4" t="s">
        <v>611</v>
      </c>
      <c r="C3773" s="4" t="s">
        <v>287</v>
      </c>
      <c r="D3773" s="94">
        <v>2016.0</v>
      </c>
    </row>
    <row r="3774">
      <c r="A3774" s="40">
        <f t="array" ref="A3774">IFNA(index(PlayerValues!A:A,match(IFNA(vlookup(B3774,'Special Names'!A:B,2,FALSE),B3774),PlayerValues!E:E,0)),"N/A")</f>
        <v>15293</v>
      </c>
      <c r="B3774" s="4" t="s">
        <v>578</v>
      </c>
      <c r="C3774" s="4" t="s">
        <v>287</v>
      </c>
      <c r="D3774" s="94">
        <v>2012.0</v>
      </c>
    </row>
    <row r="3775">
      <c r="A3775" s="40">
        <f t="array" ref="A3775">IFNA(index(PlayerValues!A:A,match(IFNA(vlookup(B3775,'Special Names'!A:B,2,FALSE),B3775),PlayerValues!E:E,0)),"N/A")</f>
        <v>11244</v>
      </c>
      <c r="B3775" s="4" t="s">
        <v>519</v>
      </c>
      <c r="C3775" s="4" t="s">
        <v>298</v>
      </c>
      <c r="D3775" s="94">
        <v>2373.0</v>
      </c>
    </row>
    <row r="3776">
      <c r="A3776" s="40">
        <f t="array" ref="A3776">IFNA(index(PlayerValues!A:A,match(IFNA(vlookup(B3776,'Special Names'!A:B,2,FALSE),B3776),PlayerValues!E:E,0)),"N/A")</f>
        <v>16603</v>
      </c>
      <c r="B3776" s="4" t="s">
        <v>587</v>
      </c>
      <c r="C3776" s="4" t="s">
        <v>278</v>
      </c>
      <c r="D3776" s="94">
        <v>1977.0</v>
      </c>
    </row>
    <row r="3777">
      <c r="A3777" s="40">
        <f t="array" ref="A3777">IFNA(index(PlayerValues!A:A,match(IFNA(vlookup(B3777,'Special Names'!A:B,2,FALSE),B3777),PlayerValues!E:E,0)),"N/A")</f>
        <v>17036</v>
      </c>
      <c r="B3777" s="4" t="s">
        <v>617</v>
      </c>
      <c r="C3777" s="4" t="s">
        <v>283</v>
      </c>
      <c r="D3777" s="94">
        <v>1975.0</v>
      </c>
    </row>
    <row r="3778">
      <c r="A3778" s="40">
        <f t="array" ref="A3778">IFNA(index(PlayerValues!A:A,match(IFNA(vlookup(B3778,'Special Names'!A:B,2,FALSE),B3778),PlayerValues!E:E,0)),"N/A")</f>
        <v>17465</v>
      </c>
      <c r="B3778" s="4" t="s">
        <v>649</v>
      </c>
      <c r="C3778" s="4" t="s">
        <v>283</v>
      </c>
      <c r="D3778" s="94">
        <v>1957.0</v>
      </c>
    </row>
    <row r="3779">
      <c r="A3779" s="40">
        <f t="array" ref="A3779">IFNA(index(PlayerValues!A:A,match(IFNA(vlookup(B3779,'Special Names'!A:B,2,FALSE),B3779),PlayerValues!E:E,0)),"N/A")</f>
        <v>17503</v>
      </c>
      <c r="B3779" s="4" t="s">
        <v>480</v>
      </c>
      <c r="C3779" s="4" t="s">
        <v>287</v>
      </c>
      <c r="D3779" s="94">
        <v>1942.0</v>
      </c>
    </row>
    <row r="3780">
      <c r="A3780" s="40">
        <f t="array" ref="A3780">IFNA(index(PlayerValues!A:A,match(IFNA(vlookup(B3780,'Special Names'!A:B,2,FALSE),B3780),PlayerValues!E:E,0)),"N/A")</f>
        <v>17482</v>
      </c>
      <c r="B3780" s="4" t="s">
        <v>460</v>
      </c>
      <c r="C3780" s="4" t="s">
        <v>278</v>
      </c>
      <c r="D3780" s="94">
        <v>1927.0</v>
      </c>
    </row>
    <row r="3781">
      <c r="A3781" s="40">
        <f t="array" ref="A3781">IFNA(index(PlayerValues!A:A,match(IFNA(vlookup(B3781,'Special Names'!A:B,2,FALSE),B3781),PlayerValues!E:E,0)),"N/A")</f>
        <v>17184</v>
      </c>
      <c r="B3781" s="4" t="s">
        <v>588</v>
      </c>
      <c r="C3781" s="4" t="s">
        <v>287</v>
      </c>
      <c r="D3781" s="94">
        <v>1920.0</v>
      </c>
    </row>
    <row r="3782">
      <c r="A3782" s="40">
        <f t="array" ref="A3782">IFNA(index(PlayerValues!A:A,match(IFNA(vlookup(B3782,'Special Names'!A:B,2,FALSE),B3782),PlayerValues!E:E,0)),"N/A")</f>
        <v>16216</v>
      </c>
      <c r="B3782" s="4" t="s">
        <v>595</v>
      </c>
      <c r="C3782" s="4" t="s">
        <v>298</v>
      </c>
      <c r="D3782" s="94">
        <v>2296.0</v>
      </c>
    </row>
    <row r="3783">
      <c r="A3783" s="40">
        <f t="array" ref="A3783">IFNA(index(PlayerValues!A:A,match(IFNA(vlookup(B3783,'Special Names'!A:B,2,FALSE),B3783),PlayerValues!E:E,0)),"N/A")</f>
        <v>13189</v>
      </c>
      <c r="B3783" s="4" t="s">
        <v>626</v>
      </c>
      <c r="C3783" s="4" t="s">
        <v>298</v>
      </c>
      <c r="D3783" s="94">
        <v>2291.0</v>
      </c>
    </row>
    <row r="3784">
      <c r="A3784" s="40">
        <f t="array" ref="A3784">IFNA(index(PlayerValues!A:A,match(IFNA(vlookup(B3784,'Special Names'!A:B,2,FALSE),B3784),PlayerValues!E:E,0)),"N/A")</f>
        <v>17512</v>
      </c>
      <c r="B3784" s="4" t="s">
        <v>483</v>
      </c>
      <c r="C3784" s="4" t="s">
        <v>287</v>
      </c>
      <c r="D3784" s="94">
        <v>1902.0</v>
      </c>
    </row>
    <row r="3785">
      <c r="A3785" s="40">
        <f t="array" ref="A3785">IFNA(index(PlayerValues!A:A,match(IFNA(vlookup(B3785,'Special Names'!A:B,2,FALSE),B3785),PlayerValues!E:E,0)),"N/A")</f>
        <v>17546</v>
      </c>
      <c r="B3785" s="4" t="s">
        <v>671</v>
      </c>
      <c r="C3785" s="4" t="s">
        <v>298</v>
      </c>
      <c r="D3785" s="94">
        <v>2276.0</v>
      </c>
    </row>
    <row r="3786">
      <c r="A3786" s="40">
        <f t="array" ref="A3786">IFNA(index(PlayerValues!A:A,match(IFNA(vlookup(B3786,'Special Names'!A:B,2,FALSE),B3786),PlayerValues!E:E,0)),"N/A")</f>
        <v>16215</v>
      </c>
      <c r="B3786" s="4" t="s">
        <v>637</v>
      </c>
      <c r="C3786" s="4" t="s">
        <v>298</v>
      </c>
      <c r="D3786" s="94">
        <v>2271.0</v>
      </c>
    </row>
    <row r="3787">
      <c r="A3787" s="40">
        <f t="array" ref="A3787">IFNA(index(PlayerValues!A:A,match(IFNA(vlookup(B3787,'Special Names'!A:B,2,FALSE),B3787),PlayerValues!E:E,0)),"N/A")</f>
        <v>16778</v>
      </c>
      <c r="B3787" s="4" t="s">
        <v>577</v>
      </c>
      <c r="C3787" s="4" t="s">
        <v>287</v>
      </c>
      <c r="D3787" s="94">
        <v>1889.0</v>
      </c>
    </row>
    <row r="3788">
      <c r="A3788" s="40">
        <f t="array" ref="A3788">IFNA(index(PlayerValues!A:A,match(IFNA(vlookup(B3788,'Special Names'!A:B,2,FALSE),B3788),PlayerValues!E:E,0)),"N/A")</f>
        <v>16635</v>
      </c>
      <c r="B3788" s="4" t="s">
        <v>645</v>
      </c>
      <c r="C3788" s="4" t="s">
        <v>287</v>
      </c>
      <c r="D3788" s="94">
        <v>1884.0</v>
      </c>
    </row>
    <row r="3789">
      <c r="A3789" s="40" t="str">
        <f t="array" ref="A3789">IFNA(index(PlayerValues!A:A,match(IFNA(vlookup(B3789,'Special Names'!A:B,2,FALSE),B3789),PlayerValues!E:E,0)),"N/A")</f>
        <v>N/A</v>
      </c>
      <c r="B3789" s="4" t="s">
        <v>114</v>
      </c>
      <c r="C3789" s="4" t="s">
        <v>325</v>
      </c>
      <c r="D3789" s="94">
        <v>1882.0</v>
      </c>
    </row>
    <row r="3790">
      <c r="A3790" s="40">
        <f t="array" ref="A3790">IFNA(index(PlayerValues!A:A,match(IFNA(vlookup(B3790,'Special Names'!A:B,2,FALSE),B3790),PlayerValues!E:E,0)),"N/A")</f>
        <v>15337</v>
      </c>
      <c r="B3790" s="4" t="s">
        <v>655</v>
      </c>
      <c r="C3790" s="4" t="s">
        <v>298</v>
      </c>
      <c r="D3790" s="94">
        <v>2259.0</v>
      </c>
    </row>
    <row r="3791">
      <c r="A3791" s="40">
        <f t="array" ref="A3791">IFNA(index(PlayerValues!A:A,match(IFNA(vlookup(B3791,'Special Names'!A:B,2,FALSE),B3791),PlayerValues!E:E,0)),"N/A")</f>
        <v>17061</v>
      </c>
      <c r="B3791" s="4" t="s">
        <v>580</v>
      </c>
      <c r="C3791" s="4" t="s">
        <v>278</v>
      </c>
      <c r="D3791" s="94">
        <v>1872.0</v>
      </c>
    </row>
    <row r="3792">
      <c r="A3792" s="40">
        <f t="array" ref="A3792">IFNA(index(PlayerValues!A:A,match(IFNA(vlookup(B3792,'Special Names'!A:B,2,FALSE),B3792),PlayerValues!E:E,0)),"N/A")</f>
        <v>17517</v>
      </c>
      <c r="B3792" s="4" t="s">
        <v>454</v>
      </c>
      <c r="C3792" s="4" t="s">
        <v>287</v>
      </c>
      <c r="D3792" s="94">
        <v>1868.0</v>
      </c>
    </row>
    <row r="3793">
      <c r="A3793" s="40">
        <f t="array" ref="A3793">IFNA(index(PlayerValues!A:A,match(IFNA(vlookup(B3793,'Special Names'!A:B,2,FALSE),B3793),PlayerValues!E:E,0)),"N/A")</f>
        <v>15254</v>
      </c>
      <c r="B3793" s="4" t="s">
        <v>633</v>
      </c>
      <c r="C3793" s="4" t="s">
        <v>278</v>
      </c>
      <c r="D3793" s="94">
        <v>1864.0</v>
      </c>
    </row>
    <row r="3794">
      <c r="A3794" s="40">
        <f t="array" ref="A3794">IFNA(index(PlayerValues!A:A,match(IFNA(vlookup(B3794,'Special Names'!A:B,2,FALSE),B3794),PlayerValues!E:E,0)),"N/A")</f>
        <v>15759</v>
      </c>
      <c r="B3794" s="4" t="s">
        <v>662</v>
      </c>
      <c r="C3794" s="4" t="s">
        <v>287</v>
      </c>
      <c r="D3794" s="94">
        <v>1862.0</v>
      </c>
    </row>
    <row r="3795">
      <c r="A3795" s="40">
        <f t="array" ref="A3795">IFNA(index(PlayerValues!A:A,match(IFNA(vlookup(B3795,'Special Names'!A:B,2,FALSE),B3795),PlayerValues!E:E,0)),"N/A")</f>
        <v>17508</v>
      </c>
      <c r="B3795" s="4" t="s">
        <v>534</v>
      </c>
      <c r="C3795" s="4" t="s">
        <v>287</v>
      </c>
      <c r="D3795" s="94">
        <v>1861.0</v>
      </c>
    </row>
    <row r="3796">
      <c r="A3796" s="40">
        <f t="array" ref="A3796">IFNA(index(PlayerValues!A:A,match(IFNA(vlookup(B3796,'Special Names'!A:B,2,FALSE),B3796),PlayerValues!E:E,0)),"N/A")</f>
        <v>16201</v>
      </c>
      <c r="B3796" s="4" t="s">
        <v>589</v>
      </c>
      <c r="C3796" s="4" t="s">
        <v>287</v>
      </c>
      <c r="D3796" s="94">
        <v>1860.0</v>
      </c>
    </row>
    <row r="3797">
      <c r="A3797" s="40">
        <f t="array" ref="A3797">IFNA(index(PlayerValues!A:A,match(IFNA(vlookup(B3797,'Special Names'!A:B,2,FALSE),B3797),PlayerValues!E:E,0)),"N/A")</f>
        <v>17035</v>
      </c>
      <c r="B3797" s="4" t="s">
        <v>650</v>
      </c>
      <c r="C3797" s="4" t="s">
        <v>283</v>
      </c>
      <c r="D3797" s="94">
        <v>1860.0</v>
      </c>
    </row>
    <row r="3798">
      <c r="A3798" s="40">
        <f t="array" ref="A3798">IFNA(index(PlayerValues!A:A,match(IFNA(vlookup(B3798,'Special Names'!A:B,2,FALSE),B3798),PlayerValues!E:E,0)),"N/A")</f>
        <v>17547</v>
      </c>
      <c r="B3798" s="4" t="s">
        <v>552</v>
      </c>
      <c r="C3798" s="4" t="s">
        <v>298</v>
      </c>
      <c r="D3798" s="94">
        <v>2242.0</v>
      </c>
    </row>
    <row r="3799">
      <c r="A3799" s="40">
        <f t="array" ref="A3799">IFNA(index(PlayerValues!A:A,match(IFNA(vlookup(B3799,'Special Names'!A:B,2,FALSE),B3799),PlayerValues!E:E,0)),"N/A")</f>
        <v>16595</v>
      </c>
      <c r="B3799" s="4" t="s">
        <v>664</v>
      </c>
      <c r="C3799" s="4" t="s">
        <v>278</v>
      </c>
      <c r="D3799" s="94">
        <v>1843.0</v>
      </c>
    </row>
    <row r="3800">
      <c r="A3800" s="40" t="str">
        <f t="array" ref="A3800">IFNA(index(PlayerValues!A:A,match(IFNA(vlookup(B3800,'Special Names'!A:B,2,FALSE),B3800),PlayerValues!E:E,0)),"N/A")</f>
        <v>N/A</v>
      </c>
      <c r="B3800" s="4" t="s">
        <v>101</v>
      </c>
      <c r="C3800" s="4" t="s">
        <v>325</v>
      </c>
      <c r="D3800" s="94">
        <v>1829.0</v>
      </c>
    </row>
    <row r="3801">
      <c r="A3801" s="40">
        <f t="array" ref="A3801">IFNA(index(PlayerValues!A:A,match(IFNA(vlookup(B3801,'Special Names'!A:B,2,FALSE),B3801),PlayerValues!E:E,0)),"N/A")</f>
        <v>16585</v>
      </c>
      <c r="B3801" s="4" t="s">
        <v>623</v>
      </c>
      <c r="C3801" s="4" t="s">
        <v>283</v>
      </c>
      <c r="D3801" s="94">
        <v>1814.0</v>
      </c>
    </row>
    <row r="3802">
      <c r="A3802" s="40">
        <f t="array" ref="A3802">IFNA(index(PlayerValues!A:A,match(IFNA(vlookup(B3802,'Special Names'!A:B,2,FALSE),B3802),PlayerValues!E:E,0)),"N/A")</f>
        <v>15786</v>
      </c>
      <c r="B3802" s="4" t="s">
        <v>521</v>
      </c>
      <c r="C3802" s="4" t="s">
        <v>287</v>
      </c>
      <c r="D3802" s="94">
        <v>1809.0</v>
      </c>
    </row>
    <row r="3803">
      <c r="A3803" s="40">
        <f t="array" ref="A3803">IFNA(index(PlayerValues!A:A,match(IFNA(vlookup(B3803,'Special Names'!A:B,2,FALSE),B3803),PlayerValues!E:E,0)),"N/A")</f>
        <v>16788</v>
      </c>
      <c r="B3803" s="4" t="s">
        <v>621</v>
      </c>
      <c r="C3803" s="4" t="s">
        <v>287</v>
      </c>
      <c r="D3803" s="94">
        <v>1796.0</v>
      </c>
    </row>
    <row r="3804">
      <c r="A3804" s="40">
        <f t="array" ref="A3804">IFNA(index(PlayerValues!A:A,match(IFNA(vlookup(B3804,'Special Names'!A:B,2,FALSE),B3804),PlayerValues!E:E,0)),"N/A")</f>
        <v>17086</v>
      </c>
      <c r="B3804" s="4" t="s">
        <v>612</v>
      </c>
      <c r="C3804" s="4" t="s">
        <v>287</v>
      </c>
      <c r="D3804" s="94">
        <v>1783.0</v>
      </c>
    </row>
    <row r="3805">
      <c r="A3805" s="40">
        <f t="array" ref="A3805">IFNA(index(PlayerValues!A:A,match(IFNA(vlookup(B3805,'Special Names'!A:B,2,FALSE),B3805),PlayerValues!E:E,0)),"N/A")</f>
        <v>17055</v>
      </c>
      <c r="B3805" s="4" t="s">
        <v>565</v>
      </c>
      <c r="C3805" s="4" t="s">
        <v>278</v>
      </c>
      <c r="D3805" s="94">
        <v>1767.0</v>
      </c>
    </row>
    <row r="3806">
      <c r="A3806" s="40">
        <f t="array" ref="A3806">IFNA(index(PlayerValues!A:A,match(IFNA(vlookup(B3806,'Special Names'!A:B,2,FALSE),B3806),PlayerValues!E:E,0)),"N/A")</f>
        <v>17058</v>
      </c>
      <c r="B3806" s="4" t="s">
        <v>641</v>
      </c>
      <c r="C3806" s="4" t="s">
        <v>278</v>
      </c>
      <c r="D3806" s="94">
        <v>1764.0</v>
      </c>
    </row>
    <row r="3807">
      <c r="A3807" s="40">
        <f t="array" ref="A3807">IFNA(index(PlayerValues!A:A,match(IFNA(vlookup(B3807,'Special Names'!A:B,2,FALSE),B3807),PlayerValues!E:E,0)),"N/A")</f>
        <v>16601</v>
      </c>
      <c r="B3807" s="4" t="s">
        <v>648</v>
      </c>
      <c r="C3807" s="4" t="s">
        <v>278</v>
      </c>
      <c r="D3807" s="94">
        <v>1763.0</v>
      </c>
    </row>
    <row r="3808">
      <c r="A3808" s="40">
        <f t="array" ref="A3808">IFNA(index(PlayerValues!A:A,match(IFNA(vlookup(B3808,'Special Names'!A:B,2,FALSE),B3808),PlayerValues!E:E,0)),"N/A")</f>
        <v>11222</v>
      </c>
      <c r="B3808" s="4" t="s">
        <v>622</v>
      </c>
      <c r="C3808" s="4" t="s">
        <v>287</v>
      </c>
      <c r="D3808" s="94">
        <v>1761.0</v>
      </c>
    </row>
    <row r="3809">
      <c r="A3809" s="40">
        <f t="array" ref="A3809">IFNA(index(PlayerValues!A:A,match(IFNA(vlookup(B3809,'Special Names'!A:B,2,FALSE),B3809),PlayerValues!E:E,0)),"N/A")</f>
        <v>14105</v>
      </c>
      <c r="B3809" s="4" t="s">
        <v>675</v>
      </c>
      <c r="C3809" s="4" t="s">
        <v>287</v>
      </c>
      <c r="D3809" s="94">
        <v>1756.0</v>
      </c>
    </row>
    <row r="3810">
      <c r="A3810" s="40" t="str">
        <f t="array" ref="A3810">IFNA(index(PlayerValues!A:A,match(IFNA(vlookup(B3810,'Special Names'!A:B,2,FALSE),B3810),PlayerValues!E:E,0)),"N/A")</f>
        <v>N/A</v>
      </c>
      <c r="B3810" s="4" t="s">
        <v>89</v>
      </c>
      <c r="C3810" s="4" t="s">
        <v>325</v>
      </c>
      <c r="D3810" s="94">
        <v>1753.0</v>
      </c>
    </row>
    <row r="3811">
      <c r="A3811" s="40">
        <f t="array" ref="A3811">IFNA(index(PlayerValues!A:A,match(IFNA(vlookup(B3811,'Special Names'!A:B,2,FALSE),B3811),PlayerValues!E:E,0)),"N/A")</f>
        <v>16586</v>
      </c>
      <c r="B3811" s="4" t="s">
        <v>658</v>
      </c>
      <c r="C3811" s="4" t="s">
        <v>283</v>
      </c>
      <c r="D3811" s="94">
        <v>1743.0</v>
      </c>
    </row>
    <row r="3812">
      <c r="A3812" s="40">
        <f t="array" ref="A3812">IFNA(index(PlayerValues!A:A,match(IFNA(vlookup(B3812,'Special Names'!A:B,2,FALSE),B3812),PlayerValues!E:E,0)),"N/A")</f>
        <v>10700</v>
      </c>
      <c r="B3812" s="4" t="s">
        <v>596</v>
      </c>
      <c r="C3812" s="4" t="s">
        <v>283</v>
      </c>
      <c r="D3812" s="94">
        <v>1730.0</v>
      </c>
    </row>
    <row r="3813">
      <c r="A3813" s="40">
        <f t="array" ref="A3813">IFNA(index(PlayerValues!A:A,match(IFNA(vlookup(B3813,'Special Names'!A:B,2,FALSE),B3813),PlayerValues!E:E,0)),"N/A")</f>
        <v>16629</v>
      </c>
      <c r="B3813" s="4" t="s">
        <v>605</v>
      </c>
      <c r="C3813" s="4" t="s">
        <v>287</v>
      </c>
      <c r="D3813" s="94">
        <v>1730.0</v>
      </c>
    </row>
    <row r="3814">
      <c r="A3814" s="40">
        <f t="array" ref="A3814">IFNA(index(PlayerValues!A:A,match(IFNA(vlookup(B3814,'Special Names'!A:B,2,FALSE),B3814),PlayerValues!E:E,0)),"N/A")</f>
        <v>7836</v>
      </c>
      <c r="B3814" s="4" t="s">
        <v>590</v>
      </c>
      <c r="C3814" s="4" t="s">
        <v>283</v>
      </c>
      <c r="D3814" s="94">
        <v>1726.0</v>
      </c>
    </row>
    <row r="3815">
      <c r="A3815" s="40">
        <f t="array" ref="A3815">IFNA(index(PlayerValues!A:A,match(IFNA(vlookup(B3815,'Special Names'!A:B,2,FALSE),B3815),PlayerValues!E:E,0)),"N/A")</f>
        <v>15787</v>
      </c>
      <c r="B3815" s="4" t="s">
        <v>610</v>
      </c>
      <c r="C3815" s="4" t="s">
        <v>287</v>
      </c>
      <c r="D3815" s="94">
        <v>1725.0</v>
      </c>
    </row>
    <row r="3816">
      <c r="A3816" s="40">
        <f t="array" ref="A3816">IFNA(index(PlayerValues!A:A,match(IFNA(vlookup(B3816,'Special Names'!A:B,2,FALSE),B3816),PlayerValues!E:E,0)),"N/A")</f>
        <v>16207</v>
      </c>
      <c r="B3816" s="4" t="s">
        <v>636</v>
      </c>
      <c r="C3816" s="4" t="s">
        <v>287</v>
      </c>
      <c r="D3816" s="94">
        <v>1704.0</v>
      </c>
    </row>
    <row r="3817">
      <c r="A3817" s="40">
        <f t="array" ref="A3817">IFNA(index(PlayerValues!A:A,match(IFNA(vlookup(B3817,'Special Names'!A:B,2,FALSE),B3817),PlayerValues!E:E,0)),"N/A")</f>
        <v>17481</v>
      </c>
      <c r="B3817" s="4" t="s">
        <v>540</v>
      </c>
      <c r="C3817" s="4" t="s">
        <v>278</v>
      </c>
      <c r="D3817" s="94">
        <v>1703.0</v>
      </c>
    </row>
    <row r="3818">
      <c r="A3818" s="40">
        <f t="array" ref="A3818">IFNA(index(PlayerValues!A:A,match(IFNA(vlookup(B3818,'Special Names'!A:B,2,FALSE),B3818),PlayerValues!E:E,0)),"N/A")</f>
        <v>13629</v>
      </c>
      <c r="B3818" s="4" t="s">
        <v>619</v>
      </c>
      <c r="C3818" s="4" t="s">
        <v>287</v>
      </c>
      <c r="D3818" s="94">
        <v>1699.0</v>
      </c>
    </row>
    <row r="3819">
      <c r="A3819" s="40">
        <f t="array" ref="A3819">IFNA(index(PlayerValues!A:A,match(IFNA(vlookup(B3819,'Special Names'!A:B,2,FALSE),B3819),PlayerValues!E:E,0)),"N/A")</f>
        <v>15777</v>
      </c>
      <c r="B3819" s="4" t="s">
        <v>694</v>
      </c>
      <c r="C3819" s="4" t="s">
        <v>287</v>
      </c>
      <c r="D3819" s="94">
        <v>1692.0</v>
      </c>
    </row>
    <row r="3820">
      <c r="A3820" s="40">
        <f t="array" ref="A3820">IFNA(index(PlayerValues!A:A,match(IFNA(vlookup(B3820,'Special Names'!A:B,2,FALSE),B3820),PlayerValues!E:E,0)),"N/A")</f>
        <v>17205</v>
      </c>
      <c r="B3820" s="4" t="s">
        <v>665</v>
      </c>
      <c r="C3820" s="4" t="s">
        <v>287</v>
      </c>
      <c r="D3820" s="94">
        <v>1682.0</v>
      </c>
    </row>
    <row r="3821">
      <c r="A3821" s="40">
        <f t="array" ref="A3821">IFNA(index(PlayerValues!A:A,match(IFNA(vlookup(B3821,'Special Names'!A:B,2,FALSE),B3821),PlayerValues!E:E,0)),"N/A")</f>
        <v>16604</v>
      </c>
      <c r="B3821" s="4" t="s">
        <v>476</v>
      </c>
      <c r="C3821" s="4" t="s">
        <v>278</v>
      </c>
      <c r="D3821" s="94">
        <v>1677.0</v>
      </c>
    </row>
    <row r="3822">
      <c r="A3822" s="40" t="str">
        <f t="array" ref="A3822">IFNA(index(PlayerValues!A:A,match(IFNA(vlookup(B3822,'Special Names'!A:B,2,FALSE),B3822),PlayerValues!E:E,0)),"N/A")</f>
        <v>N/A</v>
      </c>
      <c r="B3822" s="4" t="s">
        <v>102</v>
      </c>
      <c r="C3822" s="4" t="s">
        <v>325</v>
      </c>
      <c r="D3822" s="94">
        <v>1671.0</v>
      </c>
    </row>
    <row r="3823">
      <c r="A3823" s="40">
        <f t="array" ref="A3823">IFNA(index(PlayerValues!A:A,match(IFNA(vlookup(B3823,'Special Names'!A:B,2,FALSE),B3823),PlayerValues!E:E,0)),"N/A")</f>
        <v>17520</v>
      </c>
      <c r="B3823" s="4" t="s">
        <v>518</v>
      </c>
      <c r="C3823" s="4" t="s">
        <v>287</v>
      </c>
      <c r="D3823" s="94">
        <v>1671.0</v>
      </c>
    </row>
    <row r="3824">
      <c r="A3824" s="40">
        <f t="array" ref="A3824">IFNA(index(PlayerValues!A:A,match(IFNA(vlookup(B3824,'Special Names'!A:B,2,FALSE),B3824),PlayerValues!E:E,0)),"N/A")</f>
        <v>13164</v>
      </c>
      <c r="B3824" s="4" t="s">
        <v>632</v>
      </c>
      <c r="C3824" s="4" t="s">
        <v>287</v>
      </c>
      <c r="D3824" s="94">
        <v>1668.0</v>
      </c>
    </row>
    <row r="3825">
      <c r="A3825" s="40">
        <f t="array" ref="A3825">IFNA(index(PlayerValues!A:A,match(IFNA(vlookup(B3825,'Special Names'!A:B,2,FALSE),B3825),PlayerValues!E:E,0)),"N/A")</f>
        <v>17064</v>
      </c>
      <c r="B3825" s="4" t="s">
        <v>631</v>
      </c>
      <c r="C3825" s="4" t="s">
        <v>278</v>
      </c>
      <c r="D3825" s="94">
        <v>1668.0</v>
      </c>
    </row>
    <row r="3826">
      <c r="A3826" s="40">
        <f t="array" ref="A3826">IFNA(index(PlayerValues!A:A,match(IFNA(vlookup(B3826,'Special Names'!A:B,2,FALSE),B3826),PlayerValues!E:E,0)),"N/A")</f>
        <v>17234</v>
      </c>
      <c r="B3826" s="4" t="s">
        <v>653</v>
      </c>
      <c r="C3826" s="4" t="s">
        <v>287</v>
      </c>
      <c r="D3826" s="94">
        <v>1653.0</v>
      </c>
    </row>
    <row r="3827">
      <c r="A3827" s="40">
        <f t="array" ref="A3827">IFNA(index(PlayerValues!A:A,match(IFNA(vlookup(B3827,'Special Names'!A:B,2,FALSE),B3827),PlayerValues!E:E,0)),"N/A")</f>
        <v>17528</v>
      </c>
      <c r="B3827" s="4" t="s">
        <v>579</v>
      </c>
      <c r="C3827" s="4" t="s">
        <v>287</v>
      </c>
      <c r="D3827" s="94">
        <v>1649.0</v>
      </c>
    </row>
    <row r="3828">
      <c r="A3828" s="40" t="str">
        <f t="array" ref="A3828">IFNA(index(PlayerValues!A:A,match(IFNA(vlookup(B3828,'Special Names'!A:B,2,FALSE),B3828),PlayerValues!E:E,0)),"N/A")</f>
        <v>N/A</v>
      </c>
      <c r="B3828" s="4" t="s">
        <v>90</v>
      </c>
      <c r="C3828" s="4" t="s">
        <v>325</v>
      </c>
      <c r="D3828" s="94">
        <v>1641.0</v>
      </c>
    </row>
    <row r="3829">
      <c r="A3829" s="40">
        <f t="array" ref="A3829">IFNA(index(PlayerValues!A:A,match(IFNA(vlookup(B3829,'Special Names'!A:B,2,FALSE),B3829),PlayerValues!E:E,0)),"N/A")</f>
        <v>16633</v>
      </c>
      <c r="B3829" s="4" t="s">
        <v>656</v>
      </c>
      <c r="C3829" s="4" t="s">
        <v>287</v>
      </c>
      <c r="D3829" s="94">
        <v>1633.0</v>
      </c>
    </row>
    <row r="3830">
      <c r="A3830" s="40">
        <f t="array" ref="A3830">IFNA(index(PlayerValues!A:A,match(IFNA(vlookup(B3830,'Special Names'!A:B,2,FALSE),B3830),PlayerValues!E:E,0)),"N/A")</f>
        <v>14143</v>
      </c>
      <c r="B3830" s="4" t="s">
        <v>635</v>
      </c>
      <c r="C3830" s="4" t="s">
        <v>298</v>
      </c>
      <c r="D3830" s="94">
        <v>1992.0</v>
      </c>
    </row>
    <row r="3831">
      <c r="A3831" s="40">
        <f t="array" ref="A3831">IFNA(index(PlayerValues!A:A,match(IFNA(vlookup(B3831,'Special Names'!A:B,2,FALSE),B3831),PlayerValues!E:E,0)),"N/A")</f>
        <v>15727</v>
      </c>
      <c r="B3831" s="4" t="s">
        <v>730</v>
      </c>
      <c r="C3831" s="4" t="s">
        <v>278</v>
      </c>
      <c r="D3831" s="94">
        <v>1615.0</v>
      </c>
    </row>
    <row r="3832">
      <c r="A3832" s="40">
        <f t="array" ref="A3832">IFNA(index(PlayerValues!A:A,match(IFNA(vlookup(B3832,'Special Names'!A:B,2,FALSE),B3832),PlayerValues!E:E,0)),"N/A")</f>
        <v>17545</v>
      </c>
      <c r="B3832" s="4" t="s">
        <v>719</v>
      </c>
      <c r="C3832" s="4" t="s">
        <v>298</v>
      </c>
      <c r="D3832" s="94">
        <v>1991.0</v>
      </c>
    </row>
    <row r="3833">
      <c r="A3833" s="40">
        <f t="array" ref="A3833">IFNA(index(PlayerValues!A:A,match(IFNA(vlookup(B3833,'Special Names'!A:B,2,FALSE),B3833),PlayerValues!E:E,0)),"N/A")</f>
        <v>13131</v>
      </c>
      <c r="B3833" s="4" t="s">
        <v>815</v>
      </c>
      <c r="C3833" s="4" t="s">
        <v>278</v>
      </c>
      <c r="D3833" s="94">
        <v>1612.0</v>
      </c>
    </row>
    <row r="3834">
      <c r="A3834" s="40">
        <f t="array" ref="A3834">IFNA(index(PlayerValues!A:A,match(IFNA(vlookup(B3834,'Special Names'!A:B,2,FALSE),B3834),PlayerValues!E:E,0)),"N/A")</f>
        <v>17037</v>
      </c>
      <c r="B3834" s="4" t="s">
        <v>727</v>
      </c>
      <c r="C3834" s="4" t="s">
        <v>283</v>
      </c>
      <c r="D3834" s="94">
        <v>1610.0</v>
      </c>
    </row>
    <row r="3835">
      <c r="A3835" s="40">
        <f t="array" ref="A3835">IFNA(index(PlayerValues!A:A,match(IFNA(vlookup(B3835,'Special Names'!A:B,2,FALSE),B3835),PlayerValues!E:E,0)),"N/A")</f>
        <v>17096</v>
      </c>
      <c r="B3835" s="4" t="s">
        <v>638</v>
      </c>
      <c r="C3835" s="4" t="s">
        <v>287</v>
      </c>
      <c r="D3835" s="94">
        <v>1605.0</v>
      </c>
    </row>
    <row r="3836">
      <c r="A3836" s="40" t="str">
        <f t="array" ref="A3836">IFNA(index(PlayerValues!A:A,match(IFNA(vlookup(B3836,'Special Names'!A:B,2,FALSE),B3836),PlayerValues!E:E,0)),"N/A")</f>
        <v>N/A</v>
      </c>
      <c r="B3836" s="4" t="s">
        <v>115</v>
      </c>
      <c r="C3836" s="4" t="s">
        <v>325</v>
      </c>
      <c r="D3836" s="94">
        <v>1602.0</v>
      </c>
    </row>
    <row r="3837">
      <c r="A3837" s="40">
        <f t="array" ref="A3837">IFNA(index(PlayerValues!A:A,match(IFNA(vlookup(B3837,'Special Names'!A:B,2,FALSE),B3837),PlayerValues!E:E,0)),"N/A")</f>
        <v>13193</v>
      </c>
      <c r="B3837" s="4" t="s">
        <v>773</v>
      </c>
      <c r="C3837" s="4" t="s">
        <v>298</v>
      </c>
      <c r="D3837" s="94">
        <v>1970.0</v>
      </c>
    </row>
    <row r="3838">
      <c r="A3838" s="40">
        <f t="array" ref="A3838">IFNA(index(PlayerValues!A:A,match(IFNA(vlookup(B3838,'Special Names'!A:B,2,FALSE),B3838),PlayerValues!E:E,0)),"N/A")</f>
        <v>14122</v>
      </c>
      <c r="B3838" s="4" t="s">
        <v>663</v>
      </c>
      <c r="C3838" s="4" t="s">
        <v>287</v>
      </c>
      <c r="D3838" s="94">
        <v>1588.0</v>
      </c>
    </row>
    <row r="3839">
      <c r="A3839" s="40">
        <f t="array" ref="A3839">IFNA(index(PlayerValues!A:A,match(IFNA(vlookup(B3839,'Special Names'!A:B,2,FALSE),B3839),PlayerValues!E:E,0)),"N/A")</f>
        <v>12140</v>
      </c>
      <c r="B3839" s="4" t="s">
        <v>702</v>
      </c>
      <c r="C3839" s="4" t="s">
        <v>283</v>
      </c>
      <c r="D3839" s="94">
        <v>1588.0</v>
      </c>
    </row>
    <row r="3840">
      <c r="A3840" s="40">
        <f t="array" ref="A3840">IFNA(index(PlayerValues!A:A,match(IFNA(vlookup(B3840,'Special Names'!A:B,2,FALSE),B3840),PlayerValues!E:E,0)),"N/A")</f>
        <v>16688</v>
      </c>
      <c r="B3840" s="4" t="s">
        <v>688</v>
      </c>
      <c r="C3840" s="4" t="s">
        <v>278</v>
      </c>
      <c r="D3840" s="94">
        <v>1585.0</v>
      </c>
    </row>
    <row r="3841">
      <c r="A3841" s="40">
        <f t="array" ref="A3841">IFNA(index(PlayerValues!A:A,match(IFNA(vlookup(B3841,'Special Names'!A:B,2,FALSE),B3841),PlayerValues!E:E,0)),"N/A")</f>
        <v>15252</v>
      </c>
      <c r="B3841" s="4" t="s">
        <v>715</v>
      </c>
      <c r="C3841" s="4" t="s">
        <v>283</v>
      </c>
      <c r="D3841" s="94">
        <v>1571.0</v>
      </c>
    </row>
    <row r="3842">
      <c r="A3842" s="40" t="str">
        <f t="array" ref="A3842">IFNA(index(PlayerValues!A:A,match(IFNA(vlookup(B3842,'Special Names'!A:B,2,FALSE),B3842),PlayerValues!E:E,0)),"N/A")</f>
        <v>N/A</v>
      </c>
      <c r="B3842" s="4" t="s">
        <v>103</v>
      </c>
      <c r="C3842" s="4" t="s">
        <v>325</v>
      </c>
      <c r="D3842" s="94">
        <v>1566.0</v>
      </c>
    </row>
    <row r="3843">
      <c r="A3843" s="40">
        <f t="array" ref="A3843">IFNA(index(PlayerValues!A:A,match(IFNA(vlookup(B3843,'Special Names'!A:B,2,FALSE),B3843),PlayerValues!E:E,0)),"N/A")</f>
        <v>16390</v>
      </c>
      <c r="B3843" s="4" t="s">
        <v>689</v>
      </c>
      <c r="C3843" s="4" t="s">
        <v>278</v>
      </c>
      <c r="D3843" s="94">
        <v>1561.0</v>
      </c>
    </row>
    <row r="3844">
      <c r="A3844" s="40">
        <f t="array" ref="A3844">IFNA(index(PlayerValues!A:A,match(IFNA(vlookup(B3844,'Special Names'!A:B,2,FALSE),B3844),PlayerValues!E:E,0)),"N/A")</f>
        <v>12141</v>
      </c>
      <c r="B3844" s="4" t="s">
        <v>744</v>
      </c>
      <c r="C3844" s="4" t="s">
        <v>283</v>
      </c>
      <c r="D3844" s="94">
        <v>1535.0</v>
      </c>
    </row>
    <row r="3845">
      <c r="A3845" s="40">
        <f t="array" ref="A3845">IFNA(index(PlayerValues!A:A,match(IFNA(vlookup(B3845,'Special Names'!A:B,2,FALSE),B3845),PlayerValues!E:E,0)),"N/A")</f>
        <v>14080</v>
      </c>
      <c r="B3845" s="4" t="s">
        <v>716</v>
      </c>
      <c r="C3845" s="4" t="s">
        <v>278</v>
      </c>
      <c r="D3845" s="94">
        <v>1525.0</v>
      </c>
    </row>
    <row r="3846">
      <c r="A3846" s="40" t="str">
        <f t="array" ref="A3846">IFNA(index(PlayerValues!A:A,match(IFNA(vlookup(B3846,'Special Names'!A:B,2,FALSE),B3846),PlayerValues!E:E,0)),"N/A")</f>
        <v>N/A</v>
      </c>
      <c r="B3846" s="4" t="s">
        <v>91</v>
      </c>
      <c r="C3846" s="4" t="s">
        <v>325</v>
      </c>
      <c r="D3846" s="94">
        <v>1515.0</v>
      </c>
    </row>
    <row r="3847">
      <c r="A3847" s="40" t="str">
        <f t="array" ref="A3847">IFNA(index(PlayerValues!A:A,match(IFNA(vlookup(B3847,'Special Names'!A:B,2,FALSE),B3847),PlayerValues!E:E,0)),"N/A")</f>
        <v>N/A</v>
      </c>
      <c r="B3847" s="4" t="s">
        <v>116</v>
      </c>
      <c r="C3847" s="4" t="s">
        <v>325</v>
      </c>
      <c r="D3847" s="94">
        <v>1515.0</v>
      </c>
    </row>
    <row r="3848">
      <c r="A3848" s="40">
        <f t="array" ref="A3848">IFNA(index(PlayerValues!A:A,match(IFNA(vlookup(B3848,'Special Names'!A:B,2,FALSE),B3848),PlayerValues!E:E,0)),"N/A")</f>
        <v>15258</v>
      </c>
      <c r="B3848" s="4" t="s">
        <v>757</v>
      </c>
      <c r="C3848" s="4" t="s">
        <v>278</v>
      </c>
      <c r="D3848" s="94">
        <v>1511.0</v>
      </c>
    </row>
    <row r="3849">
      <c r="A3849" s="40">
        <f t="array" ref="A3849">IFNA(index(PlayerValues!A:A,match(IFNA(vlookup(B3849,'Special Names'!A:B,2,FALSE),B3849),PlayerValues!E:E,0)),"N/A")</f>
        <v>15319</v>
      </c>
      <c r="B3849" s="4" t="s">
        <v>644</v>
      </c>
      <c r="C3849" s="4" t="s">
        <v>287</v>
      </c>
      <c r="D3849" s="94">
        <v>1511.0</v>
      </c>
    </row>
    <row r="3850">
      <c r="A3850" s="40">
        <f t="array" ref="A3850">IFNA(index(PlayerValues!A:A,match(IFNA(vlookup(B3850,'Special Names'!A:B,2,FALSE),B3850),PlayerValues!E:E,0)),"N/A")</f>
        <v>15713</v>
      </c>
      <c r="B3850" s="4" t="s">
        <v>732</v>
      </c>
      <c r="C3850" s="4" t="s">
        <v>278</v>
      </c>
      <c r="D3850" s="94">
        <v>1494.0</v>
      </c>
    </row>
    <row r="3851">
      <c r="A3851" s="40">
        <f t="array" ref="A3851">IFNA(index(PlayerValues!A:A,match(IFNA(vlookup(B3851,'Special Names'!A:B,2,FALSE),B3851),PlayerValues!E:E,0)),"N/A")</f>
        <v>13418</v>
      </c>
      <c r="B3851" s="4" t="s">
        <v>706</v>
      </c>
      <c r="C3851" s="4" t="s">
        <v>287</v>
      </c>
      <c r="D3851" s="94">
        <v>1474.0</v>
      </c>
    </row>
    <row r="3852">
      <c r="A3852" s="40">
        <f t="array" ref="A3852">IFNA(index(PlayerValues!A:A,match(IFNA(vlookup(B3852,'Special Names'!A:B,2,FALSE),B3852),PlayerValues!E:E,0)),"N/A")</f>
        <v>17077</v>
      </c>
      <c r="B3852" s="4" t="s">
        <v>714</v>
      </c>
      <c r="C3852" s="4" t="s">
        <v>287</v>
      </c>
      <c r="D3852" s="94">
        <v>1474.0</v>
      </c>
    </row>
    <row r="3853">
      <c r="A3853" s="40">
        <f t="array" ref="A3853">IFNA(index(PlayerValues!A:A,match(IFNA(vlookup(B3853,'Special Names'!A:B,2,FALSE),B3853),PlayerValues!E:E,0)),"N/A")</f>
        <v>15755</v>
      </c>
      <c r="B3853" s="4" t="s">
        <v>628</v>
      </c>
      <c r="C3853" s="4" t="s">
        <v>287</v>
      </c>
      <c r="D3853" s="94">
        <v>1471.0</v>
      </c>
    </row>
    <row r="3854">
      <c r="A3854" s="40">
        <f t="array" ref="A3854">IFNA(index(PlayerValues!A:A,match(IFNA(vlookup(B3854,'Special Names'!A:B,2,FALSE),B3854),PlayerValues!E:E,0)),"N/A")</f>
        <v>17254</v>
      </c>
      <c r="B3854" s="4" t="s">
        <v>679</v>
      </c>
      <c r="C3854" s="4" t="s">
        <v>287</v>
      </c>
      <c r="D3854" s="94">
        <v>1465.0</v>
      </c>
    </row>
    <row r="3855">
      <c r="A3855" s="40">
        <f t="array" ref="A3855">IFNA(index(PlayerValues!A:A,match(IFNA(vlookup(B3855,'Special Names'!A:B,2,FALSE),B3855),PlayerValues!E:E,0)),"N/A")</f>
        <v>15738</v>
      </c>
      <c r="B3855" s="4" t="s">
        <v>634</v>
      </c>
      <c r="C3855" s="4" t="s">
        <v>278</v>
      </c>
      <c r="D3855" s="94">
        <v>1459.0</v>
      </c>
    </row>
    <row r="3856">
      <c r="A3856" s="40">
        <f t="array" ref="A3856">IFNA(index(PlayerValues!A:A,match(IFNA(vlookup(B3856,'Special Names'!A:B,2,FALSE),B3856),PlayerValues!E:E,0)),"N/A")</f>
        <v>15752</v>
      </c>
      <c r="B3856" s="4" t="s">
        <v>647</v>
      </c>
      <c r="C3856" s="4" t="s">
        <v>287</v>
      </c>
      <c r="D3856" s="94">
        <v>1457.0</v>
      </c>
    </row>
    <row r="3857">
      <c r="A3857" s="40">
        <f t="array" ref="A3857">IFNA(index(PlayerValues!A:A,match(IFNA(vlookup(B3857,'Special Names'!A:B,2,FALSE),B3857),PlayerValues!E:E,0)),"N/A")</f>
        <v>16631</v>
      </c>
      <c r="B3857" s="4" t="s">
        <v>800</v>
      </c>
      <c r="C3857" s="4" t="s">
        <v>287</v>
      </c>
      <c r="D3857" s="94">
        <v>1452.0</v>
      </c>
    </row>
    <row r="3858">
      <c r="A3858" s="40">
        <f t="array" ref="A3858">IFNA(index(PlayerValues!A:A,match(IFNA(vlookup(B3858,'Special Names'!A:B,2,FALSE),B3858),PlayerValues!E:E,0)),"N/A")</f>
        <v>13672</v>
      </c>
      <c r="B3858" s="4" t="s">
        <v>667</v>
      </c>
      <c r="C3858" s="4" t="s">
        <v>298</v>
      </c>
      <c r="D3858" s="94">
        <v>1823.0</v>
      </c>
    </row>
    <row r="3859">
      <c r="A3859" s="40">
        <f t="array" ref="A3859">IFNA(index(PlayerValues!A:A,match(IFNA(vlookup(B3859,'Special Names'!A:B,2,FALSE),B3859),PlayerValues!E:E,0)),"N/A")</f>
        <v>11150</v>
      </c>
      <c r="B3859" s="4" t="s">
        <v>559</v>
      </c>
      <c r="C3859" s="4" t="s">
        <v>283</v>
      </c>
      <c r="D3859" s="94">
        <v>1449.0</v>
      </c>
    </row>
    <row r="3860">
      <c r="A3860" s="40">
        <f t="array" ref="A3860">IFNA(index(PlayerValues!A:A,match(IFNA(vlookup(B3860,'Special Names'!A:B,2,FALSE),B3860),PlayerValues!E:E,0)),"N/A")</f>
        <v>14095</v>
      </c>
      <c r="B3860" s="4" t="s">
        <v>680</v>
      </c>
      <c r="C3860" s="4" t="s">
        <v>278</v>
      </c>
      <c r="D3860" s="94">
        <v>1447.0</v>
      </c>
    </row>
    <row r="3861">
      <c r="A3861" s="40">
        <f t="array" ref="A3861">IFNA(index(PlayerValues!A:A,match(IFNA(vlookup(B3861,'Special Names'!A:B,2,FALSE),B3861),PlayerValues!E:E,0)),"N/A")</f>
        <v>17269</v>
      </c>
      <c r="B3861" s="4" t="s">
        <v>718</v>
      </c>
      <c r="C3861" s="4" t="s">
        <v>287</v>
      </c>
      <c r="D3861" s="94">
        <v>1441.0</v>
      </c>
    </row>
    <row r="3862">
      <c r="A3862" s="40">
        <f t="array" ref="A3862">IFNA(index(PlayerValues!A:A,match(IFNA(vlookup(B3862,'Special Names'!A:B,2,FALSE),B3862),PlayerValues!E:E,0)),"N/A")</f>
        <v>17062</v>
      </c>
      <c r="B3862" s="4" t="s">
        <v>701</v>
      </c>
      <c r="C3862" s="4" t="s">
        <v>278</v>
      </c>
      <c r="D3862" s="94">
        <v>1430.0</v>
      </c>
    </row>
    <row r="3863">
      <c r="A3863" s="40">
        <f t="array" ref="A3863">IFNA(index(PlayerValues!A:A,match(IFNA(vlookup(B3863,'Special Names'!A:B,2,FALSE),B3863),PlayerValues!E:E,0)),"N/A")</f>
        <v>15332</v>
      </c>
      <c r="B3863" s="4" t="s">
        <v>698</v>
      </c>
      <c r="C3863" s="4" t="s">
        <v>298</v>
      </c>
      <c r="D3863" s="94">
        <v>1780.0</v>
      </c>
    </row>
    <row r="3864">
      <c r="A3864" s="40">
        <f t="array" ref="A3864">IFNA(index(PlayerValues!A:A,match(IFNA(vlookup(B3864,'Special Names'!A:B,2,FALSE),B3864),PlayerValues!E:E,0)),"N/A")</f>
        <v>13138</v>
      </c>
      <c r="B3864" s="4" t="s">
        <v>817</v>
      </c>
      <c r="C3864" s="4" t="s">
        <v>278</v>
      </c>
      <c r="D3864" s="94">
        <v>1400.0</v>
      </c>
    </row>
    <row r="3865">
      <c r="A3865" s="40">
        <f t="array" ref="A3865">IFNA(index(PlayerValues!A:A,match(IFNA(vlookup(B3865,'Special Names'!A:B,2,FALSE),B3865),PlayerValues!E:E,0)),"N/A")</f>
        <v>15788</v>
      </c>
      <c r="B3865" s="4" t="s">
        <v>627</v>
      </c>
      <c r="C3865" s="4" t="s">
        <v>287</v>
      </c>
      <c r="D3865" s="94">
        <v>1390.0</v>
      </c>
    </row>
    <row r="3866">
      <c r="A3866" s="40">
        <f t="array" ref="A3866">IFNA(index(PlayerValues!A:A,match(IFNA(vlookup(B3866,'Special Names'!A:B,2,FALSE),B3866),PlayerValues!E:E,0)),"N/A")</f>
        <v>17504</v>
      </c>
      <c r="B3866" s="4" t="s">
        <v>693</v>
      </c>
      <c r="C3866" s="4" t="s">
        <v>287</v>
      </c>
      <c r="D3866" s="94">
        <v>1384.0</v>
      </c>
    </row>
    <row r="3867">
      <c r="A3867" s="40">
        <f t="array" ref="A3867">IFNA(index(PlayerValues!A:A,match(IFNA(vlookup(B3867,'Special Names'!A:B,2,FALSE),B3867),PlayerValues!E:E,0)),"N/A")</f>
        <v>15797</v>
      </c>
      <c r="B3867" s="4" t="s">
        <v>556</v>
      </c>
      <c r="C3867" s="4" t="s">
        <v>298</v>
      </c>
      <c r="D3867" s="94">
        <v>1754.0</v>
      </c>
    </row>
    <row r="3868">
      <c r="A3868" s="40">
        <f t="array" ref="A3868">IFNA(index(PlayerValues!A:A,match(IFNA(vlookup(B3868,'Special Names'!A:B,2,FALSE),B3868),PlayerValues!E:E,0)),"N/A")</f>
        <v>17510</v>
      </c>
      <c r="B3868" s="4" t="s">
        <v>661</v>
      </c>
      <c r="C3868" s="4" t="s">
        <v>287</v>
      </c>
      <c r="D3868" s="94">
        <v>1374.0</v>
      </c>
    </row>
    <row r="3869">
      <c r="A3869" s="40">
        <f t="array" ref="A3869">IFNA(index(PlayerValues!A:A,match(IFNA(vlookup(B3869,'Special Names'!A:B,2,FALSE),B3869),PlayerValues!E:E,0)),"N/A")</f>
        <v>17475</v>
      </c>
      <c r="B3869" s="4" t="s">
        <v>615</v>
      </c>
      <c r="C3869" s="4" t="s">
        <v>278</v>
      </c>
      <c r="D3869" s="94">
        <v>1367.0</v>
      </c>
    </row>
    <row r="3870">
      <c r="A3870" s="40">
        <f t="array" ref="A3870">IFNA(index(PlayerValues!A:A,match(IFNA(vlookup(B3870,'Special Names'!A:B,2,FALSE),B3870),PlayerValues!E:E,0)),"N/A")</f>
        <v>15873</v>
      </c>
      <c r="B3870" s="4" t="s">
        <v>681</v>
      </c>
      <c r="C3870" s="4" t="s">
        <v>298</v>
      </c>
      <c r="D3870" s="94">
        <v>1719.0</v>
      </c>
    </row>
    <row r="3871">
      <c r="A3871" s="40">
        <f t="array" ref="A3871">IFNA(index(PlayerValues!A:A,match(IFNA(vlookup(B3871,'Special Names'!A:B,2,FALSE),B3871),PlayerValues!E:E,0)),"N/A")</f>
        <v>17541</v>
      </c>
      <c r="B3871" s="4" t="s">
        <v>616</v>
      </c>
      <c r="C3871" s="4" t="s">
        <v>287</v>
      </c>
      <c r="D3871" s="94">
        <v>1347.0</v>
      </c>
    </row>
    <row r="3872">
      <c r="A3872" s="40">
        <f t="array" ref="A3872">IFNA(index(PlayerValues!A:A,match(IFNA(vlookup(B3872,'Special Names'!A:B,2,FALSE),B3872),PlayerValues!E:E,0)),"N/A")</f>
        <v>16621</v>
      </c>
      <c r="B3872" s="4" t="s">
        <v>672</v>
      </c>
      <c r="C3872" s="4" t="s">
        <v>287</v>
      </c>
      <c r="D3872" s="94">
        <v>1345.0</v>
      </c>
    </row>
    <row r="3873">
      <c r="A3873" s="40">
        <f t="array" ref="A3873">IFNA(index(PlayerValues!A:A,match(IFNA(vlookup(B3873,'Special Names'!A:B,2,FALSE),B3873),PlayerValues!E:E,0)),"N/A")</f>
        <v>14137</v>
      </c>
      <c r="B3873" s="4" t="s">
        <v>676</v>
      </c>
      <c r="C3873" s="4" t="s">
        <v>298</v>
      </c>
      <c r="D3873" s="94">
        <v>1709.0</v>
      </c>
    </row>
    <row r="3874">
      <c r="A3874" s="40">
        <f t="array" ref="A3874">IFNA(index(PlayerValues!A:A,match(IFNA(vlookup(B3874,'Special Names'!A:B,2,FALSE),B3874),PlayerValues!E:E,0)),"N/A")</f>
        <v>17479</v>
      </c>
      <c r="B3874" s="4" t="s">
        <v>756</v>
      </c>
      <c r="C3874" s="4" t="s">
        <v>278</v>
      </c>
      <c r="D3874" s="94">
        <v>1335.0</v>
      </c>
    </row>
    <row r="3875">
      <c r="A3875" s="40">
        <f t="array" ref="A3875">IFNA(index(PlayerValues!A:A,match(IFNA(vlookup(B3875,'Special Names'!A:B,2,FALSE),B3875),PlayerValues!E:E,0)),"N/A")</f>
        <v>15301</v>
      </c>
      <c r="B3875" s="4" t="s">
        <v>657</v>
      </c>
      <c r="C3875" s="4" t="s">
        <v>287</v>
      </c>
      <c r="D3875" s="94">
        <v>1333.0</v>
      </c>
    </row>
    <row r="3876">
      <c r="A3876" s="40">
        <f t="array" ref="A3876">IFNA(index(PlayerValues!A:A,match(IFNA(vlookup(B3876,'Special Names'!A:B,2,FALSE),B3876),PlayerValues!E:E,0)),"N/A")</f>
        <v>16642</v>
      </c>
      <c r="B3876" s="4" t="s">
        <v>691</v>
      </c>
      <c r="C3876" s="4" t="s">
        <v>298</v>
      </c>
      <c r="D3876" s="94">
        <v>1697.0</v>
      </c>
    </row>
    <row r="3877">
      <c r="A3877" s="40" t="str">
        <f t="array" ref="A3877">IFNA(index(PlayerValues!A:A,match(IFNA(vlookup(B3877,'Special Names'!A:B,2,FALSE),B3877),PlayerValues!E:E,0)),"N/A")</f>
        <v>N/A</v>
      </c>
      <c r="B3877" s="4" t="s">
        <v>117</v>
      </c>
      <c r="C3877" s="4" t="s">
        <v>325</v>
      </c>
      <c r="D3877" s="94">
        <v>1315.0</v>
      </c>
    </row>
    <row r="3878">
      <c r="A3878" s="40">
        <f t="array" ref="A3878">IFNA(index(PlayerValues!A:A,match(IFNA(vlookup(B3878,'Special Names'!A:B,2,FALSE),B3878),PlayerValues!E:E,0)),"N/A")</f>
        <v>17487</v>
      </c>
      <c r="B3878" s="4" t="s">
        <v>692</v>
      </c>
      <c r="C3878" s="4" t="s">
        <v>278</v>
      </c>
      <c r="D3878" s="94">
        <v>1312.0</v>
      </c>
    </row>
    <row r="3879">
      <c r="A3879" s="40">
        <f t="array" ref="A3879">IFNA(index(PlayerValues!A:A,match(IFNA(vlookup(B3879,'Special Names'!A:B,2,FALSE),B3879),PlayerValues!E:E,0)),"N/A")</f>
        <v>17486</v>
      </c>
      <c r="B3879" s="4" t="s">
        <v>695</v>
      </c>
      <c r="C3879" s="4" t="s">
        <v>278</v>
      </c>
      <c r="D3879" s="94">
        <v>1309.0</v>
      </c>
    </row>
    <row r="3880">
      <c r="A3880" s="40">
        <f t="array" ref="A3880">IFNA(index(PlayerValues!A:A,match(IFNA(vlookup(B3880,'Special Names'!A:B,2,FALSE),B3880),PlayerValues!E:E,0)),"N/A")</f>
        <v>16385</v>
      </c>
      <c r="B3880" s="4" t="s">
        <v>690</v>
      </c>
      <c r="C3880" s="4" t="s">
        <v>278</v>
      </c>
      <c r="D3880" s="94">
        <v>1295.0</v>
      </c>
    </row>
    <row r="3881">
      <c r="A3881" s="40">
        <f t="array" ref="A3881">IFNA(index(PlayerValues!A:A,match(IFNA(vlookup(B3881,'Special Names'!A:B,2,FALSE),B3881),PlayerValues!E:E,0)),"N/A")</f>
        <v>17470</v>
      </c>
      <c r="B3881" s="4" t="s">
        <v>841</v>
      </c>
      <c r="C3881" s="4" t="s">
        <v>283</v>
      </c>
      <c r="D3881" s="94">
        <v>1295.0</v>
      </c>
    </row>
    <row r="3882">
      <c r="A3882" s="40">
        <f t="array" ref="A3882">IFNA(index(PlayerValues!A:A,match(IFNA(vlookup(B3882,'Special Names'!A:B,2,FALSE),B3882),PlayerValues!E:E,0)),"N/A")</f>
        <v>16175</v>
      </c>
      <c r="B3882" s="4" t="s">
        <v>654</v>
      </c>
      <c r="C3882" s="4" t="s">
        <v>278</v>
      </c>
      <c r="D3882" s="94">
        <v>1284.0</v>
      </c>
    </row>
    <row r="3883">
      <c r="A3883" s="40">
        <f t="array" ref="A3883">IFNA(index(PlayerValues!A:A,match(IFNA(vlookup(B3883,'Special Names'!A:B,2,FALSE),B3883),PlayerValues!E:E,0)),"N/A")</f>
        <v>15292</v>
      </c>
      <c r="B3883" s="4" t="s">
        <v>682</v>
      </c>
      <c r="C3883" s="4" t="s">
        <v>287</v>
      </c>
      <c r="D3883" s="94">
        <v>1275.0</v>
      </c>
    </row>
    <row r="3884">
      <c r="A3884" s="40">
        <f t="array" ref="A3884">IFNA(index(PlayerValues!A:A,match(IFNA(vlookup(B3884,'Special Names'!A:B,2,FALSE),B3884),PlayerValues!E:E,0)),"N/A")</f>
        <v>14086</v>
      </c>
      <c r="B3884" s="4" t="s">
        <v>639</v>
      </c>
      <c r="C3884" s="4" t="s">
        <v>278</v>
      </c>
      <c r="D3884" s="94">
        <v>1263.0</v>
      </c>
    </row>
    <row r="3885">
      <c r="A3885" s="40">
        <f t="array" ref="A3885">IFNA(index(PlayerValues!A:A,match(IFNA(vlookup(B3885,'Special Names'!A:B,2,FALSE),B3885),PlayerValues!E:E,0)),"N/A")</f>
        <v>14592</v>
      </c>
      <c r="B3885" s="4" t="s">
        <v>705</v>
      </c>
      <c r="C3885" s="4" t="s">
        <v>287</v>
      </c>
      <c r="D3885" s="94">
        <v>1257.0</v>
      </c>
    </row>
    <row r="3886">
      <c r="A3886" s="40">
        <f t="array" ref="A3886">IFNA(index(PlayerValues!A:A,match(IFNA(vlookup(B3886,'Special Names'!A:B,2,FALSE),B3886),PlayerValues!E:E,0)),"N/A")</f>
        <v>14108</v>
      </c>
      <c r="B3886" s="4" t="s">
        <v>673</v>
      </c>
      <c r="C3886" s="4" t="s">
        <v>287</v>
      </c>
      <c r="D3886" s="94">
        <v>1252.0</v>
      </c>
    </row>
    <row r="3887">
      <c r="A3887" s="40">
        <f t="array" ref="A3887">IFNA(index(PlayerValues!A:A,match(IFNA(vlookup(B3887,'Special Names'!A:B,2,FALSE),B3887),PlayerValues!E:E,0)),"N/A")</f>
        <v>15240</v>
      </c>
      <c r="B3887" s="4" t="s">
        <v>751</v>
      </c>
      <c r="C3887" s="4" t="s">
        <v>283</v>
      </c>
      <c r="D3887" s="94">
        <v>1247.0</v>
      </c>
    </row>
    <row r="3888">
      <c r="A3888" s="40">
        <f t="array" ref="A3888">IFNA(index(PlayerValues!A:A,match(IFNA(vlookup(B3888,'Special Names'!A:B,2,FALSE),B3888),PlayerValues!E:E,0)),"N/A")</f>
        <v>15702</v>
      </c>
      <c r="B3888" s="4" t="s">
        <v>723</v>
      </c>
      <c r="C3888" s="4" t="s">
        <v>283</v>
      </c>
      <c r="D3888" s="94">
        <v>1247.0</v>
      </c>
    </row>
    <row r="3889">
      <c r="A3889" s="40">
        <f t="array" ref="A3889">IFNA(index(PlayerValues!A:A,match(IFNA(vlookup(B3889,'Special Names'!A:B,2,FALSE),B3889),PlayerValues!E:E,0)),"N/A")</f>
        <v>16451</v>
      </c>
      <c r="B3889" s="4" t="s">
        <v>769</v>
      </c>
      <c r="C3889" s="4" t="s">
        <v>287</v>
      </c>
      <c r="D3889" s="94">
        <v>1229.0</v>
      </c>
    </row>
    <row r="3890">
      <c r="A3890" s="40">
        <f t="array" ref="A3890">IFNA(index(PlayerValues!A:A,match(IFNA(vlookup(B3890,'Special Names'!A:B,2,FALSE),B3890),PlayerValues!E:E,0)),"N/A")</f>
        <v>15981</v>
      </c>
      <c r="B3890" s="4" t="s">
        <v>729</v>
      </c>
      <c r="C3890" s="4" t="s">
        <v>287</v>
      </c>
      <c r="D3890" s="94">
        <v>1227.0</v>
      </c>
    </row>
    <row r="3891">
      <c r="A3891" s="40">
        <f t="array" ref="A3891">IFNA(index(PlayerValues!A:A,match(IFNA(vlookup(B3891,'Special Names'!A:B,2,FALSE),B3891),PlayerValues!E:E,0)),"N/A")</f>
        <v>16183</v>
      </c>
      <c r="B3891" s="4" t="s">
        <v>678</v>
      </c>
      <c r="C3891" s="4" t="s">
        <v>287</v>
      </c>
      <c r="D3891" s="94">
        <v>1227.0</v>
      </c>
    </row>
    <row r="3892">
      <c r="A3892" s="40">
        <f t="array" ref="A3892">IFNA(index(PlayerValues!A:A,match(IFNA(vlookup(B3892,'Special Names'!A:B,2,FALSE),B3892),PlayerValues!E:E,0)),"N/A")</f>
        <v>16149</v>
      </c>
      <c r="B3892" s="4" t="s">
        <v>740</v>
      </c>
      <c r="C3892" s="4" t="s">
        <v>283</v>
      </c>
      <c r="D3892" s="94">
        <v>1227.0</v>
      </c>
    </row>
    <row r="3893">
      <c r="A3893" s="40">
        <f t="array" ref="A3893">IFNA(index(PlayerValues!A:A,match(IFNA(vlookup(B3893,'Special Names'!A:B,2,FALSE),B3893),PlayerValues!E:E,0)),"N/A")</f>
        <v>12263</v>
      </c>
      <c r="B3893" s="4" t="s">
        <v>697</v>
      </c>
      <c r="C3893" s="4" t="s">
        <v>298</v>
      </c>
      <c r="D3893" s="94">
        <v>1585.0</v>
      </c>
    </row>
    <row r="3894">
      <c r="A3894" s="40">
        <f t="array" ref="A3894">IFNA(index(PlayerValues!A:A,match(IFNA(vlookup(B3894,'Special Names'!A:B,2,FALSE),B3894),PlayerValues!E:E,0)),"N/A")</f>
        <v>17526</v>
      </c>
      <c r="B3894" s="4" t="s">
        <v>760</v>
      </c>
      <c r="C3894" s="4" t="s">
        <v>287</v>
      </c>
      <c r="D3894" s="94">
        <v>1210.0</v>
      </c>
    </row>
    <row r="3895">
      <c r="A3895" s="40">
        <f t="array" ref="A3895">IFNA(index(PlayerValues!A:A,match(IFNA(vlookup(B3895,'Special Names'!A:B,2,FALSE),B3895),PlayerValues!E:E,0)),"N/A")</f>
        <v>16384</v>
      </c>
      <c r="B3895" s="4" t="s">
        <v>696</v>
      </c>
      <c r="C3895" s="4" t="s">
        <v>283</v>
      </c>
      <c r="D3895" s="94">
        <v>1197.0</v>
      </c>
    </row>
    <row r="3896">
      <c r="A3896" s="40">
        <f t="array" ref="A3896">IFNA(index(PlayerValues!A:A,match(IFNA(vlookup(B3896,'Special Names'!A:B,2,FALSE),B3896),PlayerValues!E:E,0)),"N/A")</f>
        <v>16792</v>
      </c>
      <c r="B3896" s="4" t="s">
        <v>704</v>
      </c>
      <c r="C3896" s="4" t="s">
        <v>287</v>
      </c>
      <c r="D3896" s="94">
        <v>1194.0</v>
      </c>
    </row>
    <row r="3897">
      <c r="A3897" s="40">
        <f t="array" ref="A3897">IFNA(index(PlayerValues!A:A,match(IFNA(vlookup(B3897,'Special Names'!A:B,2,FALSE),B3897),PlayerValues!E:E,0)),"N/A")</f>
        <v>17063</v>
      </c>
      <c r="B3897" s="4" t="s">
        <v>686</v>
      </c>
      <c r="C3897" s="4" t="s">
        <v>278</v>
      </c>
      <c r="D3897" s="94">
        <v>1186.0</v>
      </c>
    </row>
    <row r="3898">
      <c r="A3898" s="40">
        <f t="array" ref="A3898">IFNA(index(PlayerValues!A:A,match(IFNA(vlookup(B3898,'Special Names'!A:B,2,FALSE),B3898),PlayerValues!E:E,0)),"N/A")</f>
        <v>16221</v>
      </c>
      <c r="B3898" s="4" t="s">
        <v>725</v>
      </c>
      <c r="C3898" s="4" t="s">
        <v>298</v>
      </c>
      <c r="D3898" s="94">
        <v>1547.0</v>
      </c>
    </row>
    <row r="3899">
      <c r="A3899" s="40">
        <f t="array" ref="A3899">IFNA(index(PlayerValues!A:A,match(IFNA(vlookup(B3899,'Special Names'!A:B,2,FALSE),B3899),PlayerValues!E:E,0)),"N/A")</f>
        <v>16645</v>
      </c>
      <c r="B3899" s="4" t="s">
        <v>651</v>
      </c>
      <c r="C3899" s="4" t="s">
        <v>298</v>
      </c>
      <c r="D3899" s="94">
        <v>1543.0</v>
      </c>
    </row>
    <row r="3900">
      <c r="A3900" s="40">
        <f t="array" ref="A3900">IFNA(index(PlayerValues!A:A,match(IFNA(vlookup(B3900,'Special Names'!A:B,2,FALSE),B3900),PlayerValues!E:E,0)),"N/A")</f>
        <v>17054</v>
      </c>
      <c r="B3900" s="4" t="s">
        <v>670</v>
      </c>
      <c r="C3900" s="4" t="s">
        <v>278</v>
      </c>
      <c r="D3900" s="94">
        <v>1170.0</v>
      </c>
    </row>
    <row r="3901">
      <c r="A3901" s="40">
        <f t="array" ref="A3901">IFNA(index(PlayerValues!A:A,match(IFNA(vlookup(B3901,'Special Names'!A:B,2,FALSE),B3901),PlayerValues!E:E,0)),"N/A")</f>
        <v>12678</v>
      </c>
      <c r="B3901" s="4" t="s">
        <v>703</v>
      </c>
      <c r="C3901" s="4" t="s">
        <v>298</v>
      </c>
      <c r="D3901" s="94">
        <v>1524.0</v>
      </c>
    </row>
    <row r="3902">
      <c r="A3902" s="40">
        <f t="array" ref="A3902">IFNA(index(PlayerValues!A:A,match(IFNA(vlookup(B3902,'Special Names'!A:B,2,FALSE),B3902),PlayerValues!E:E,0)),"N/A")</f>
        <v>16883</v>
      </c>
      <c r="B3902" s="4" t="s">
        <v>683</v>
      </c>
      <c r="C3902" s="4" t="s">
        <v>287</v>
      </c>
      <c r="D3902" s="94">
        <v>1152.0</v>
      </c>
    </row>
    <row r="3903">
      <c r="A3903" s="40">
        <f t="array" ref="A3903">IFNA(index(PlayerValues!A:A,match(IFNA(vlookup(B3903,'Special Names'!A:B,2,FALSE),B3903),PlayerValues!E:E,0)),"N/A")</f>
        <v>16746</v>
      </c>
      <c r="B3903" s="4" t="s">
        <v>709</v>
      </c>
      <c r="C3903" s="4" t="s">
        <v>278</v>
      </c>
      <c r="D3903" s="94">
        <v>1150.0</v>
      </c>
    </row>
    <row r="3904">
      <c r="A3904" s="40">
        <f t="array" ref="A3904">IFNA(index(PlayerValues!A:A,match(IFNA(vlookup(B3904,'Special Names'!A:B,2,FALSE),B3904),PlayerValues!E:E,0)),"N/A")</f>
        <v>16636</v>
      </c>
      <c r="B3904" s="4" t="s">
        <v>699</v>
      </c>
      <c r="C3904" s="4" t="s">
        <v>287</v>
      </c>
      <c r="D3904" s="94">
        <v>1149.0</v>
      </c>
    </row>
    <row r="3905">
      <c r="A3905" s="40">
        <f t="array" ref="A3905">IFNA(index(PlayerValues!A:A,match(IFNA(vlookup(B3905,'Special Names'!A:B,2,FALSE),B3905),PlayerValues!E:E,0)),"N/A")</f>
        <v>16199</v>
      </c>
      <c r="B3905" s="4" t="s">
        <v>687</v>
      </c>
      <c r="C3905" s="4" t="s">
        <v>287</v>
      </c>
      <c r="D3905" s="94">
        <v>1143.0</v>
      </c>
    </row>
    <row r="3906">
      <c r="A3906" s="40">
        <f t="array" ref="A3906">IFNA(index(PlayerValues!A:A,match(IFNA(vlookup(B3906,'Special Names'!A:B,2,FALSE),B3906),PlayerValues!E:E,0)),"N/A")</f>
        <v>14789</v>
      </c>
      <c r="B3906" s="4" t="s">
        <v>721</v>
      </c>
      <c r="C3906" s="4" t="s">
        <v>283</v>
      </c>
      <c r="D3906" s="94">
        <v>1142.0</v>
      </c>
    </row>
    <row r="3907">
      <c r="A3907" s="40">
        <f t="array" ref="A3907">IFNA(index(PlayerValues!A:A,match(IFNA(vlookup(B3907,'Special Names'!A:B,2,FALSE),B3907),PlayerValues!E:E,0)),"N/A")</f>
        <v>17097</v>
      </c>
      <c r="B3907" s="4" t="s">
        <v>659</v>
      </c>
      <c r="C3907" s="4" t="s">
        <v>287</v>
      </c>
      <c r="D3907" s="94">
        <v>1134.0</v>
      </c>
    </row>
    <row r="3908">
      <c r="A3908" s="40">
        <f t="array" ref="A3908">IFNA(index(PlayerValues!A:A,match(IFNA(vlookup(B3908,'Special Names'!A:B,2,FALSE),B3908),PlayerValues!E:E,0)),"N/A")</f>
        <v>13289</v>
      </c>
      <c r="B3908" s="4" t="s">
        <v>746</v>
      </c>
      <c r="C3908" s="4" t="s">
        <v>287</v>
      </c>
      <c r="D3908" s="94">
        <v>1124.0</v>
      </c>
    </row>
    <row r="3909">
      <c r="A3909" s="40">
        <f t="array" ref="A3909">IFNA(index(PlayerValues!A:A,match(IFNA(vlookup(B3909,'Special Names'!A:B,2,FALSE),B3909),PlayerValues!E:E,0)),"N/A")</f>
        <v>17192</v>
      </c>
      <c r="B3909" s="4" t="s">
        <v>677</v>
      </c>
      <c r="C3909" s="4" t="s">
        <v>287</v>
      </c>
      <c r="D3909" s="94">
        <v>1116.0</v>
      </c>
    </row>
    <row r="3910">
      <c r="A3910" s="40">
        <f t="array" ref="A3910">IFNA(index(PlayerValues!A:A,match(IFNA(vlookup(B3910,'Special Names'!A:B,2,FALSE),B3910),PlayerValues!E:E,0)),"N/A")</f>
        <v>17050</v>
      </c>
      <c r="B3910" s="4" t="s">
        <v>713</v>
      </c>
      <c r="C3910" s="4" t="s">
        <v>278</v>
      </c>
      <c r="D3910" s="94">
        <v>1115.0</v>
      </c>
    </row>
    <row r="3911">
      <c r="A3911" s="40">
        <f t="array" ref="A3911">IFNA(index(PlayerValues!A:A,match(IFNA(vlookup(B3911,'Special Names'!A:B,2,FALSE),B3911),PlayerValues!E:E,0)),"N/A")</f>
        <v>14845</v>
      </c>
      <c r="B3911" s="4" t="s">
        <v>717</v>
      </c>
      <c r="C3911" s="4" t="s">
        <v>287</v>
      </c>
      <c r="D3911" s="94">
        <v>1112.0</v>
      </c>
    </row>
    <row r="3912">
      <c r="A3912" s="40">
        <f t="array" ref="A3912">IFNA(index(PlayerValues!A:A,match(IFNA(vlookup(B3912,'Special Names'!A:B,2,FALSE),B3912),PlayerValues!E:E,0)),"N/A")</f>
        <v>15239</v>
      </c>
      <c r="B3912" s="4" t="s">
        <v>802</v>
      </c>
      <c r="C3912" s="4" t="s">
        <v>283</v>
      </c>
      <c r="D3912" s="94">
        <v>1111.0</v>
      </c>
    </row>
    <row r="3913">
      <c r="A3913" s="40">
        <f t="array" ref="A3913">IFNA(index(PlayerValues!A:A,match(IFNA(vlookup(B3913,'Special Names'!A:B,2,FALSE),B3913),PlayerValues!E:E,0)),"N/A")</f>
        <v>15730</v>
      </c>
      <c r="B3913" s="4" t="s">
        <v>734</v>
      </c>
      <c r="C3913" s="4" t="s">
        <v>278</v>
      </c>
      <c r="D3913" s="94">
        <v>1109.0</v>
      </c>
    </row>
    <row r="3914">
      <c r="A3914" s="40">
        <f t="array" ref="A3914">IFNA(index(PlayerValues!A:A,match(IFNA(vlookup(B3914,'Special Names'!A:B,2,FALSE),B3914),PlayerValues!E:E,0)),"N/A")</f>
        <v>15692</v>
      </c>
      <c r="B3914" s="4" t="s">
        <v>750</v>
      </c>
      <c r="C3914" s="4" t="s">
        <v>283</v>
      </c>
      <c r="D3914" s="94">
        <v>1105.0</v>
      </c>
    </row>
    <row r="3915">
      <c r="A3915" s="40">
        <f t="array" ref="A3915">IFNA(index(PlayerValues!A:A,match(IFNA(vlookup(B3915,'Special Names'!A:B,2,FALSE),B3915),PlayerValues!E:E,0)),"N/A")</f>
        <v>16333</v>
      </c>
      <c r="B3915" s="4" t="s">
        <v>711</v>
      </c>
      <c r="C3915" s="4" t="s">
        <v>298</v>
      </c>
      <c r="D3915" s="94">
        <v>1466.0</v>
      </c>
    </row>
    <row r="3916">
      <c r="A3916" s="40">
        <f t="array" ref="A3916">IFNA(index(PlayerValues!A:A,match(IFNA(vlookup(B3916,'Special Names'!A:B,2,FALSE),B3916),PlayerValues!E:E,0)),"N/A")</f>
        <v>16197</v>
      </c>
      <c r="B3916" s="4" t="s">
        <v>726</v>
      </c>
      <c r="C3916" s="4" t="s">
        <v>287</v>
      </c>
      <c r="D3916" s="94">
        <v>1095.0</v>
      </c>
    </row>
    <row r="3917">
      <c r="A3917" s="40">
        <f t="array" ref="A3917">IFNA(index(PlayerValues!A:A,match(IFNA(vlookup(B3917,'Special Names'!A:B,2,FALSE),B3917),PlayerValues!E:E,0)),"N/A")</f>
        <v>17109</v>
      </c>
      <c r="B3917" s="4" t="s">
        <v>707</v>
      </c>
      <c r="C3917" s="4" t="s">
        <v>298</v>
      </c>
      <c r="D3917" s="94">
        <v>1462.0</v>
      </c>
    </row>
    <row r="3918">
      <c r="A3918" s="40">
        <f t="array" ref="A3918">IFNA(index(PlayerValues!A:A,match(IFNA(vlookup(B3918,'Special Names'!A:B,2,FALSE),B3918),PlayerValues!E:E,0)),"N/A")</f>
        <v>13610</v>
      </c>
      <c r="B3918" s="4" t="s">
        <v>825</v>
      </c>
      <c r="C3918" s="4" t="s">
        <v>278</v>
      </c>
      <c r="D3918" s="94">
        <v>1082.0</v>
      </c>
    </row>
    <row r="3919">
      <c r="A3919" s="40">
        <f t="array" ref="A3919">IFNA(index(PlayerValues!A:A,match(IFNA(vlookup(B3919,'Special Names'!A:B,2,FALSE),B3919),PlayerValues!E:E,0)),"N/A")</f>
        <v>15288</v>
      </c>
      <c r="B3919" s="4" t="s">
        <v>700</v>
      </c>
      <c r="C3919" s="4" t="s">
        <v>287</v>
      </c>
      <c r="D3919" s="94">
        <v>1078.0</v>
      </c>
    </row>
    <row r="3920">
      <c r="A3920" s="40">
        <f t="array" ref="A3920">IFNA(index(PlayerValues!A:A,match(IFNA(vlookup(B3920,'Special Names'!A:B,2,FALSE),B3920),PlayerValues!E:E,0)),"N/A")</f>
        <v>17175</v>
      </c>
      <c r="B3920" s="4" t="s">
        <v>747</v>
      </c>
      <c r="C3920" s="4" t="s">
        <v>287</v>
      </c>
      <c r="D3920" s="94">
        <v>1074.0</v>
      </c>
    </row>
    <row r="3921">
      <c r="A3921" s="40">
        <f t="array" ref="A3921">IFNA(index(PlayerValues!A:A,match(IFNA(vlookup(B3921,'Special Names'!A:B,2,FALSE),B3921),PlayerValues!E:E,0)),"N/A")</f>
        <v>15717</v>
      </c>
      <c r="B3921" s="4" t="s">
        <v>745</v>
      </c>
      <c r="C3921" s="4" t="s">
        <v>278</v>
      </c>
      <c r="D3921" s="94">
        <v>1071.0</v>
      </c>
    </row>
    <row r="3922">
      <c r="A3922" s="40">
        <f t="array" ref="A3922">IFNA(index(PlayerValues!A:A,match(IFNA(vlookup(B3922,'Special Names'!A:B,2,FALSE),B3922),PlayerValues!E:E,0)),"N/A")</f>
        <v>16219</v>
      </c>
      <c r="B3922" s="4" t="s">
        <v>739</v>
      </c>
      <c r="C3922" s="4" t="s">
        <v>298</v>
      </c>
      <c r="D3922" s="94">
        <v>1436.0</v>
      </c>
    </row>
    <row r="3923">
      <c r="A3923" s="40">
        <f t="array" ref="A3923">IFNA(index(PlayerValues!A:A,match(IFNA(vlookup(B3923,'Special Names'!A:B,2,FALSE),B3923),PlayerValues!E:E,0)),"N/A")</f>
        <v>16640</v>
      </c>
      <c r="B3923" s="4" t="s">
        <v>712</v>
      </c>
      <c r="C3923" s="4" t="s">
        <v>287</v>
      </c>
      <c r="D3923" s="94">
        <v>1061.0</v>
      </c>
    </row>
    <row r="3924">
      <c r="A3924" s="40">
        <f t="array" ref="A3924">IFNA(index(PlayerValues!A:A,match(IFNA(vlookup(B3924,'Special Names'!A:B,2,FALSE),B3924),PlayerValues!E:E,0)),"N/A")</f>
        <v>15718</v>
      </c>
      <c r="B3924" s="4" t="s">
        <v>753</v>
      </c>
      <c r="C3924" s="4" t="s">
        <v>278</v>
      </c>
      <c r="D3924" s="94">
        <v>1058.0</v>
      </c>
    </row>
    <row r="3925">
      <c r="A3925" s="40">
        <f t="array" ref="A3925">IFNA(index(PlayerValues!A:A,match(IFNA(vlookup(B3925,'Special Names'!A:B,2,FALSE),B3925),PlayerValues!E:E,0)),"N/A")</f>
        <v>16387</v>
      </c>
      <c r="B3925" s="4" t="s">
        <v>646</v>
      </c>
      <c r="C3925" s="4" t="s">
        <v>278</v>
      </c>
      <c r="D3925" s="94">
        <v>1057.0</v>
      </c>
    </row>
    <row r="3926">
      <c r="A3926" s="40">
        <f t="array" ref="A3926">IFNA(index(PlayerValues!A:A,match(IFNA(vlookup(B3926,'Special Names'!A:B,2,FALSE),B3926),PlayerValues!E:E,0)),"N/A")</f>
        <v>15720</v>
      </c>
      <c r="B3926" s="4" t="s">
        <v>795</v>
      </c>
      <c r="C3926" s="4" t="s">
        <v>278</v>
      </c>
      <c r="D3926" s="94">
        <v>1048.0</v>
      </c>
    </row>
    <row r="3927">
      <c r="A3927" s="40">
        <f t="array" ref="A3927">IFNA(index(PlayerValues!A:A,match(IFNA(vlookup(B3927,'Special Names'!A:B,2,FALSE),B3927),PlayerValues!E:E,0)),"N/A")</f>
        <v>15693</v>
      </c>
      <c r="B3927" s="4" t="s">
        <v>755</v>
      </c>
      <c r="C3927" s="4" t="s">
        <v>283</v>
      </c>
      <c r="D3927" s="94">
        <v>1045.0</v>
      </c>
    </row>
    <row r="3928">
      <c r="A3928" s="40">
        <f t="array" ref="A3928">IFNA(index(PlayerValues!A:A,match(IFNA(vlookup(B3928,'Special Names'!A:B,2,FALSE),B3928),PlayerValues!E:E,0)),"N/A")</f>
        <v>16393</v>
      </c>
      <c r="B3928" s="4" t="s">
        <v>768</v>
      </c>
      <c r="C3928" s="4" t="s">
        <v>287</v>
      </c>
      <c r="D3928" s="94">
        <v>1038.0</v>
      </c>
    </row>
    <row r="3929">
      <c r="A3929" s="40">
        <f t="array" ref="A3929">IFNA(index(PlayerValues!A:A,match(IFNA(vlookup(B3929,'Special Names'!A:B,2,FALSE),B3929),PlayerValues!E:E,0)),"N/A")</f>
        <v>15785</v>
      </c>
      <c r="B3929" s="4" t="s">
        <v>763</v>
      </c>
      <c r="C3929" s="4" t="s">
        <v>287</v>
      </c>
      <c r="D3929" s="94">
        <v>1034.0</v>
      </c>
    </row>
    <row r="3930">
      <c r="A3930" s="40">
        <f t="array" ref="A3930">IFNA(index(PlayerValues!A:A,match(IFNA(vlookup(B3930,'Special Names'!A:B,2,FALSE),B3930),PlayerValues!E:E,0)),"N/A")</f>
        <v>14118</v>
      </c>
      <c r="B3930" s="4" t="s">
        <v>771</v>
      </c>
      <c r="C3930" s="4" t="s">
        <v>287</v>
      </c>
      <c r="D3930" s="94">
        <v>1033.0</v>
      </c>
    </row>
    <row r="3931">
      <c r="A3931" s="40">
        <f t="array" ref="A3931">IFNA(index(PlayerValues!A:A,match(IFNA(vlookup(B3931,'Special Names'!A:B,2,FALSE),B3931),PlayerValues!E:E,0)),"N/A")</f>
        <v>14849</v>
      </c>
      <c r="B3931" s="4" t="s">
        <v>733</v>
      </c>
      <c r="C3931" s="4" t="s">
        <v>287</v>
      </c>
      <c r="D3931" s="94">
        <v>1033.0</v>
      </c>
    </row>
    <row r="3932">
      <c r="A3932" s="40">
        <f t="array" ref="A3932">IFNA(index(PlayerValues!A:A,match(IFNA(vlookup(B3932,'Special Names'!A:B,2,FALSE),B3932),PlayerValues!E:E,0)),"N/A")</f>
        <v>15626</v>
      </c>
      <c r="B3932" s="4" t="s">
        <v>766</v>
      </c>
      <c r="C3932" s="4" t="s">
        <v>298</v>
      </c>
      <c r="D3932" s="94">
        <v>1394.0</v>
      </c>
    </row>
    <row r="3933">
      <c r="A3933" s="40">
        <f t="array" ref="A3933">IFNA(index(PlayerValues!A:A,match(IFNA(vlookup(B3933,'Special Names'!A:B,2,FALSE),B3933),PlayerValues!E:E,0)),"N/A")</f>
        <v>16637</v>
      </c>
      <c r="B3933" s="4" t="s">
        <v>736</v>
      </c>
      <c r="C3933" s="4" t="s">
        <v>287</v>
      </c>
      <c r="D3933" s="94">
        <v>1020.0</v>
      </c>
    </row>
    <row r="3934">
      <c r="A3934" s="40">
        <f t="array" ref="A3934">IFNA(index(PlayerValues!A:A,match(IFNA(vlookup(B3934,'Special Names'!A:B,2,FALSE),B3934),PlayerValues!E:E,0)),"N/A")</f>
        <v>16159</v>
      </c>
      <c r="B3934" s="4" t="s">
        <v>819</v>
      </c>
      <c r="C3934" s="4" t="s">
        <v>283</v>
      </c>
      <c r="D3934" s="94">
        <v>1009.0</v>
      </c>
    </row>
    <row r="3935">
      <c r="A3935" s="40">
        <f t="array" ref="A3935">IFNA(index(PlayerValues!A:A,match(IFNA(vlookup(B3935,'Special Names'!A:B,2,FALSE),B3935),PlayerValues!E:E,0)),"N/A")</f>
        <v>17057</v>
      </c>
      <c r="B3935" s="4" t="s">
        <v>708</v>
      </c>
      <c r="C3935" s="4" t="s">
        <v>278</v>
      </c>
      <c r="D3935" s="94">
        <v>1006.0</v>
      </c>
    </row>
    <row r="3936">
      <c r="A3936" s="40">
        <f t="array" ref="A3936">IFNA(index(PlayerValues!A:A,match(IFNA(vlookup(B3936,'Special Names'!A:B,2,FALSE),B3936),PlayerValues!E:E,0)),"N/A")</f>
        <v>16648</v>
      </c>
      <c r="B3936" s="4" t="s">
        <v>748</v>
      </c>
      <c r="C3936" s="4" t="s">
        <v>298</v>
      </c>
      <c r="D3936" s="94">
        <v>1365.0</v>
      </c>
    </row>
    <row r="3937">
      <c r="A3937" s="40">
        <f t="array" ref="A3937">IFNA(index(PlayerValues!A:A,match(IFNA(vlookup(B3937,'Special Names'!A:B,2,FALSE),B3937),PlayerValues!E:E,0)),"N/A")</f>
        <v>16957</v>
      </c>
      <c r="B3937" s="4" t="s">
        <v>806</v>
      </c>
      <c r="C3937" s="4" t="s">
        <v>278</v>
      </c>
      <c r="D3937" s="94">
        <v>992.0</v>
      </c>
    </row>
    <row r="3938">
      <c r="A3938" s="40">
        <f t="array" ref="A3938">IFNA(index(PlayerValues!A:A,match(IFNA(vlookup(B3938,'Special Names'!A:B,2,FALSE),B3938),PlayerValues!E:E,0)),"N/A")</f>
        <v>17467</v>
      </c>
      <c r="B3938" s="4" t="s">
        <v>575</v>
      </c>
      <c r="C3938" s="4" t="s">
        <v>283</v>
      </c>
      <c r="D3938" s="94">
        <v>992.0</v>
      </c>
    </row>
    <row r="3939">
      <c r="A3939" s="40">
        <f t="array" ref="A3939">IFNA(index(PlayerValues!A:A,match(IFNA(vlookup(B3939,'Special Names'!A:B,2,FALSE),B3939),PlayerValues!E:E,0)),"N/A")</f>
        <v>16168</v>
      </c>
      <c r="B3939" s="4" t="s">
        <v>738</v>
      </c>
      <c r="C3939" s="4" t="s">
        <v>278</v>
      </c>
      <c r="D3939" s="94">
        <v>988.0</v>
      </c>
    </row>
    <row r="3940">
      <c r="A3940" s="40">
        <f t="array" ref="A3940">IFNA(index(PlayerValues!A:A,match(IFNA(vlookup(B3940,'Special Names'!A:B,2,FALSE),B3940),PlayerValues!E:E,0)),"N/A")</f>
        <v>9064</v>
      </c>
      <c r="B3940" s="4" t="s">
        <v>761</v>
      </c>
      <c r="C3940" s="4" t="s">
        <v>283</v>
      </c>
      <c r="D3940" s="94">
        <v>984.0</v>
      </c>
    </row>
    <row r="3941">
      <c r="A3941" s="40">
        <f t="array" ref="A3941">IFNA(index(PlayerValues!A:A,match(IFNA(vlookup(B3941,'Special Names'!A:B,2,FALSE),B3941),PlayerValues!E:E,0)),"N/A")</f>
        <v>14067</v>
      </c>
      <c r="B3941" s="4" t="s">
        <v>735</v>
      </c>
      <c r="C3941" s="4" t="s">
        <v>283</v>
      </c>
      <c r="D3941" s="94">
        <v>983.0</v>
      </c>
    </row>
    <row r="3942">
      <c r="A3942" s="40">
        <f t="array" ref="A3942">IFNA(index(PlayerValues!A:A,match(IFNA(vlookup(B3942,'Special Names'!A:B,2,FALSE),B3942),PlayerValues!E:E,0)),"N/A")</f>
        <v>15330</v>
      </c>
      <c r="B3942" s="4" t="s">
        <v>749</v>
      </c>
      <c r="C3942" s="4" t="s">
        <v>298</v>
      </c>
      <c r="D3942" s="94">
        <v>1341.0</v>
      </c>
    </row>
    <row r="3943">
      <c r="A3943" s="40">
        <f t="array" ref="A3943">IFNA(index(PlayerValues!A:A,match(IFNA(vlookup(B3943,'Special Names'!A:B,2,FALSE),B3943),PlayerValues!E:E,0)),"N/A")</f>
        <v>16858</v>
      </c>
      <c r="B3943" s="4" t="s">
        <v>754</v>
      </c>
      <c r="C3943" s="4" t="s">
        <v>287</v>
      </c>
      <c r="D3943" s="94">
        <v>973.0</v>
      </c>
    </row>
    <row r="3944">
      <c r="A3944" s="40">
        <f t="array" ref="A3944">IFNA(index(PlayerValues!A:A,match(IFNA(vlookup(B3944,'Special Names'!A:B,2,FALSE),B3944),PlayerValues!E:E,0)),"N/A")</f>
        <v>13143</v>
      </c>
      <c r="B3944" s="4" t="s">
        <v>786</v>
      </c>
      <c r="C3944" s="4" t="s">
        <v>278</v>
      </c>
      <c r="D3944" s="94">
        <v>968.0</v>
      </c>
    </row>
    <row r="3945">
      <c r="A3945" s="40">
        <f t="array" ref="A3945">IFNA(index(PlayerValues!A:A,match(IFNA(vlookup(B3945,'Special Names'!A:B,2,FALSE),B3945),PlayerValues!E:E,0)),"N/A")</f>
        <v>14057</v>
      </c>
      <c r="B3945" s="4" t="s">
        <v>765</v>
      </c>
      <c r="C3945" s="4" t="s">
        <v>283</v>
      </c>
      <c r="D3945" s="94">
        <v>954.0</v>
      </c>
    </row>
    <row r="3946">
      <c r="A3946" s="40">
        <f t="array" ref="A3946">IFNA(index(PlayerValues!A:A,match(IFNA(vlookup(B3946,'Special Names'!A:B,2,FALSE),B3946),PlayerValues!E:E,0)),"N/A")</f>
        <v>16773</v>
      </c>
      <c r="B3946" s="4" t="s">
        <v>783</v>
      </c>
      <c r="C3946" s="4" t="s">
        <v>278</v>
      </c>
      <c r="D3946" s="94">
        <v>954.0</v>
      </c>
    </row>
    <row r="3947">
      <c r="A3947" s="40">
        <f t="array" ref="A3947">IFNA(index(PlayerValues!A:A,match(IFNA(vlookup(B3947,'Special Names'!A:B,2,FALSE),B3947),PlayerValues!E:E,0)),"N/A")</f>
        <v>16624</v>
      </c>
      <c r="B3947" s="4" t="s">
        <v>796</v>
      </c>
      <c r="C3947" s="4" t="s">
        <v>287</v>
      </c>
      <c r="D3947" s="94">
        <v>950.0</v>
      </c>
    </row>
    <row r="3948">
      <c r="A3948" s="40">
        <f t="array" ref="A3948">IFNA(index(PlayerValues!A:A,match(IFNA(vlookup(B3948,'Special Names'!A:B,2,FALSE),B3948),PlayerValues!E:E,0)),"N/A")</f>
        <v>16205</v>
      </c>
      <c r="B3948" s="4" t="s">
        <v>742</v>
      </c>
      <c r="C3948" s="4" t="s">
        <v>287</v>
      </c>
      <c r="D3948" s="94">
        <v>942.0</v>
      </c>
    </row>
    <row r="3949">
      <c r="A3949" s="40">
        <f t="array" ref="A3949">IFNA(index(PlayerValues!A:A,match(IFNA(vlookup(B3949,'Special Names'!A:B,2,FALSE),B3949),PlayerValues!E:E,0)),"N/A")</f>
        <v>13595</v>
      </c>
      <c r="B3949" s="4" t="s">
        <v>818</v>
      </c>
      <c r="C3949" s="4" t="s">
        <v>283</v>
      </c>
      <c r="D3949" s="94">
        <v>938.0</v>
      </c>
    </row>
    <row r="3950">
      <c r="A3950" s="40">
        <f t="array" ref="A3950">IFNA(index(PlayerValues!A:A,match(IFNA(vlookup(B3950,'Special Names'!A:B,2,FALSE),B3950),PlayerValues!E:E,0)),"N/A")</f>
        <v>15766</v>
      </c>
      <c r="B3950" s="4" t="s">
        <v>759</v>
      </c>
      <c r="C3950" s="4" t="s">
        <v>287</v>
      </c>
      <c r="D3950" s="94">
        <v>938.0</v>
      </c>
    </row>
    <row r="3951">
      <c r="A3951" s="40">
        <f t="array" ref="A3951">IFNA(index(PlayerValues!A:A,match(IFNA(vlookup(B3951,'Special Names'!A:B,2,FALSE),B3951),PlayerValues!E:E,0)),"N/A")</f>
        <v>13156</v>
      </c>
      <c r="B3951" s="4" t="s">
        <v>835</v>
      </c>
      <c r="C3951" s="4" t="s">
        <v>287</v>
      </c>
      <c r="D3951" s="94">
        <v>933.0</v>
      </c>
    </row>
    <row r="3952">
      <c r="A3952" s="40">
        <f t="array" ref="A3952">IFNA(index(PlayerValues!A:A,match(IFNA(vlookup(B3952,'Special Names'!A:B,2,FALSE),B3952),PlayerValues!E:E,0)),"N/A")</f>
        <v>15109</v>
      </c>
      <c r="B3952" s="4" t="s">
        <v>728</v>
      </c>
      <c r="C3952" s="4" t="s">
        <v>287</v>
      </c>
      <c r="D3952" s="94">
        <v>933.0</v>
      </c>
    </row>
    <row r="3953">
      <c r="A3953" s="40">
        <f t="array" ref="A3953">IFNA(index(PlayerValues!A:A,match(IFNA(vlookup(B3953,'Special Names'!A:B,2,FALSE),B3953),PlayerValues!E:E,0)),"N/A")</f>
        <v>13133</v>
      </c>
      <c r="B3953" s="4" t="s">
        <v>764</v>
      </c>
      <c r="C3953" s="4" t="s">
        <v>278</v>
      </c>
      <c r="D3953" s="94">
        <v>932.0</v>
      </c>
    </row>
    <row r="3954">
      <c r="A3954" s="40">
        <f t="array" ref="A3954">IFNA(index(PlayerValues!A:A,match(IFNA(vlookup(B3954,'Special Names'!A:B,2,FALSE),B3954),PlayerValues!E:E,0)),"N/A")</f>
        <v>16176</v>
      </c>
      <c r="B3954" s="4" t="s">
        <v>812</v>
      </c>
      <c r="C3954" s="4" t="s">
        <v>278</v>
      </c>
      <c r="D3954" s="94">
        <v>919.0</v>
      </c>
    </row>
    <row r="3955">
      <c r="A3955" s="40">
        <f t="array" ref="A3955">IFNA(index(PlayerValues!A:A,match(IFNA(vlookup(B3955,'Special Names'!A:B,2,FALSE),B3955),PlayerValues!E:E,0)),"N/A")</f>
        <v>11247</v>
      </c>
      <c r="B3955" s="4" t="s">
        <v>816</v>
      </c>
      <c r="C3955" s="4" t="s">
        <v>298</v>
      </c>
      <c r="D3955" s="94">
        <v>1286.0</v>
      </c>
    </row>
    <row r="3956">
      <c r="A3956" s="40">
        <f t="array" ref="A3956">IFNA(index(PlayerValues!A:A,match(IFNA(vlookup(B3956,'Special Names'!A:B,2,FALSE),B3956),PlayerValues!E:E,0)),"N/A")</f>
        <v>14852</v>
      </c>
      <c r="B3956" s="4" t="s">
        <v>837</v>
      </c>
      <c r="C3956" s="4" t="s">
        <v>278</v>
      </c>
      <c r="D3956" s="94">
        <v>915.0</v>
      </c>
    </row>
    <row r="3957">
      <c r="A3957" s="40">
        <f t="array" ref="A3957">IFNA(index(PlayerValues!A:A,match(IFNA(vlookup(B3957,'Special Names'!A:B,2,FALSE),B3957),PlayerValues!E:E,0)),"N/A")</f>
        <v>14079</v>
      </c>
      <c r="B3957" s="4" t="s">
        <v>830</v>
      </c>
      <c r="C3957" s="4" t="s">
        <v>278</v>
      </c>
      <c r="D3957" s="94">
        <v>913.0</v>
      </c>
    </row>
    <row r="3958">
      <c r="A3958" s="40">
        <f t="array" ref="A3958">IFNA(index(PlayerValues!A:A,match(IFNA(vlookup(B3958,'Special Names'!A:B,2,FALSE),B3958),PlayerValues!E:E,0)),"N/A")</f>
        <v>16608</v>
      </c>
      <c r="B3958" s="4" t="s">
        <v>629</v>
      </c>
      <c r="C3958" s="4" t="s">
        <v>278</v>
      </c>
      <c r="D3958" s="94">
        <v>912.0</v>
      </c>
    </row>
    <row r="3959">
      <c r="A3959" s="40">
        <f t="array" ref="A3959">IFNA(index(PlayerValues!A:A,match(IFNA(vlookup(B3959,'Special Names'!A:B,2,FALSE),B3959),PlayerValues!E:E,0)),"N/A")</f>
        <v>13763</v>
      </c>
      <c r="B3959" s="4" t="s">
        <v>831</v>
      </c>
      <c r="C3959" s="4" t="s">
        <v>298</v>
      </c>
      <c r="D3959" s="94">
        <v>1282.0</v>
      </c>
    </row>
    <row r="3960">
      <c r="A3960" s="40">
        <f t="array" ref="A3960">IFNA(index(PlayerValues!A:A,match(IFNA(vlookup(B3960,'Special Names'!A:B,2,FALSE),B3960),PlayerValues!E:E,0)),"N/A")</f>
        <v>15283</v>
      </c>
      <c r="B3960" s="4" t="s">
        <v>844</v>
      </c>
      <c r="C3960" s="4" t="s">
        <v>287</v>
      </c>
      <c r="D3960" s="94">
        <v>911.0</v>
      </c>
    </row>
    <row r="3961">
      <c r="A3961" s="40">
        <f t="array" ref="A3961">IFNA(index(PlayerValues!A:A,match(IFNA(vlookup(B3961,'Special Names'!A:B,2,FALSE),B3961),PlayerValues!E:E,0)),"N/A")</f>
        <v>17337</v>
      </c>
      <c r="B3961" s="4" t="s">
        <v>793</v>
      </c>
      <c r="C3961" s="4" t="s">
        <v>278</v>
      </c>
      <c r="D3961" s="94">
        <v>910.0</v>
      </c>
    </row>
    <row r="3962">
      <c r="A3962" s="40">
        <f t="array" ref="A3962">IFNA(index(PlayerValues!A:A,match(IFNA(vlookup(B3962,'Special Names'!A:B,2,FALSE),B3962),PlayerValues!E:E,0)),"N/A")</f>
        <v>14864</v>
      </c>
      <c r="B3962" s="4" t="s">
        <v>789</v>
      </c>
      <c r="C3962" s="4" t="s">
        <v>287</v>
      </c>
      <c r="D3962" s="94">
        <v>908.0</v>
      </c>
    </row>
    <row r="3963">
      <c r="A3963" s="40">
        <f t="array" ref="A3963">IFNA(index(PlayerValues!A:A,match(IFNA(vlookup(B3963,'Special Names'!A:B,2,FALSE),B3963),PlayerValues!E:E,0)),"N/A")</f>
        <v>12785</v>
      </c>
      <c r="B3963" s="4" t="s">
        <v>772</v>
      </c>
      <c r="C3963" s="4" t="s">
        <v>287</v>
      </c>
      <c r="D3963" s="94">
        <v>907.0</v>
      </c>
    </row>
    <row r="3964">
      <c r="A3964" s="40">
        <f t="array" ref="A3964">IFNA(index(PlayerValues!A:A,match(IFNA(vlookup(B3964,'Special Names'!A:B,2,FALSE),B3964),PlayerValues!E:E,0)),"N/A")</f>
        <v>15723</v>
      </c>
      <c r="B3964" s="4" t="s">
        <v>798</v>
      </c>
      <c r="C3964" s="4" t="s">
        <v>278</v>
      </c>
      <c r="D3964" s="94">
        <v>895.0</v>
      </c>
    </row>
    <row r="3965">
      <c r="A3965" s="40">
        <f t="array" ref="A3965">IFNA(index(PlayerValues!A:A,match(IFNA(vlookup(B3965,'Special Names'!A:B,2,FALSE),B3965),PlayerValues!E:E,0)),"N/A")</f>
        <v>13157</v>
      </c>
      <c r="B3965" s="4" t="s">
        <v>836</v>
      </c>
      <c r="C3965" s="4" t="s">
        <v>287</v>
      </c>
      <c r="D3965" s="94">
        <v>892.0</v>
      </c>
    </row>
    <row r="3966">
      <c r="A3966" s="40">
        <f t="array" ref="A3966">IFNA(index(PlayerValues!A:A,match(IFNA(vlookup(B3966,'Special Names'!A:B,2,FALSE),B3966),PlayerValues!E:E,0)),"N/A")</f>
        <v>16599</v>
      </c>
      <c r="B3966" s="4" t="s">
        <v>737</v>
      </c>
      <c r="C3966" s="4" t="s">
        <v>278</v>
      </c>
      <c r="D3966" s="94">
        <v>888.0</v>
      </c>
    </row>
    <row r="3967">
      <c r="A3967" s="40">
        <f t="array" ref="A3967">IFNA(index(PlayerValues!A:A,match(IFNA(vlookup(B3967,'Special Names'!A:B,2,FALSE),B3967),PlayerValues!E:E,0)),"N/A")</f>
        <v>11232</v>
      </c>
      <c r="B3967" s="4" t="s">
        <v>826</v>
      </c>
      <c r="C3967" s="4" t="s">
        <v>287</v>
      </c>
      <c r="D3967" s="94">
        <v>884.0</v>
      </c>
    </row>
    <row r="3968">
      <c r="A3968" s="40">
        <f t="array" ref="A3968">IFNA(index(PlayerValues!A:A,match(IFNA(vlookup(B3968,'Special Names'!A:B,2,FALSE),B3968),PlayerValues!E:E,0)),"N/A")</f>
        <v>15796</v>
      </c>
      <c r="B3968" s="4" t="s">
        <v>794</v>
      </c>
      <c r="C3968" s="4" t="s">
        <v>298</v>
      </c>
      <c r="D3968" s="94">
        <v>1251.0</v>
      </c>
    </row>
    <row r="3969">
      <c r="A3969" s="40">
        <f t="array" ref="A3969">IFNA(index(PlayerValues!A:A,match(IFNA(vlookup(B3969,'Special Names'!A:B,2,FALSE),B3969),PlayerValues!E:E,0)),"N/A")</f>
        <v>15263</v>
      </c>
      <c r="B3969" s="4" t="s">
        <v>804</v>
      </c>
      <c r="C3969" s="4" t="s">
        <v>278</v>
      </c>
      <c r="D3969" s="94">
        <v>872.0</v>
      </c>
    </row>
    <row r="3970">
      <c r="A3970" s="40">
        <f t="array" ref="A3970">IFNA(index(PlayerValues!A:A,match(IFNA(vlookup(B3970,'Special Names'!A:B,2,FALSE),B3970),PlayerValues!E:E,0)),"N/A")</f>
        <v>16416</v>
      </c>
      <c r="B3970" s="4" t="s">
        <v>752</v>
      </c>
      <c r="C3970" s="4" t="s">
        <v>287</v>
      </c>
      <c r="D3970" s="94">
        <v>864.0</v>
      </c>
    </row>
    <row r="3971">
      <c r="A3971" s="40">
        <f t="array" ref="A3971">IFNA(index(PlayerValues!A:A,match(IFNA(vlookup(B3971,'Special Names'!A:B,2,FALSE),B3971),PlayerValues!E:E,0)),"N/A")</f>
        <v>14799</v>
      </c>
      <c r="B3971" s="4" t="s">
        <v>829</v>
      </c>
      <c r="C3971" s="4" t="s">
        <v>278</v>
      </c>
      <c r="D3971" s="94">
        <v>861.0</v>
      </c>
    </row>
    <row r="3972">
      <c r="A3972" s="40">
        <f t="array" ref="A3972">IFNA(index(PlayerValues!A:A,match(IFNA(vlookup(B3972,'Special Names'!A:B,2,FALSE),B3972),PlayerValues!E:E,0)),"N/A")</f>
        <v>16686</v>
      </c>
      <c r="B3972" s="4" t="s">
        <v>805</v>
      </c>
      <c r="C3972" s="4" t="s">
        <v>287</v>
      </c>
      <c r="D3972" s="94">
        <v>859.0</v>
      </c>
    </row>
    <row r="3973">
      <c r="A3973" s="40">
        <f t="array" ref="A3973">IFNA(index(PlayerValues!A:A,match(IFNA(vlookup(B3973,'Special Names'!A:B,2,FALSE),B3973),PlayerValues!E:E,0)),"N/A")</f>
        <v>16625</v>
      </c>
      <c r="B3973" s="4" t="s">
        <v>778</v>
      </c>
      <c r="C3973" s="4" t="s">
        <v>287</v>
      </c>
      <c r="D3973" s="94">
        <v>857.0</v>
      </c>
    </row>
    <row r="3974">
      <c r="A3974" s="40">
        <f t="array" ref="A3974">IFNA(index(PlayerValues!A:A,match(IFNA(vlookup(B3974,'Special Names'!A:B,2,FALSE),B3974),PlayerValues!E:E,0)),"N/A")</f>
        <v>13172</v>
      </c>
      <c r="B3974" s="4" t="s">
        <v>840</v>
      </c>
      <c r="C3974" s="4" t="s">
        <v>287</v>
      </c>
      <c r="D3974" s="94">
        <v>854.0</v>
      </c>
    </row>
    <row r="3975">
      <c r="A3975" s="40">
        <f t="array" ref="A3975">IFNA(index(PlayerValues!A:A,match(IFNA(vlookup(B3975,'Special Names'!A:B,2,FALSE),B3975),PlayerValues!E:E,0)),"N/A")</f>
        <v>15795</v>
      </c>
      <c r="B3975" s="4" t="s">
        <v>669</v>
      </c>
      <c r="C3975" s="4" t="s">
        <v>298</v>
      </c>
      <c r="D3975" s="94">
        <v>1225.0</v>
      </c>
    </row>
    <row r="3976">
      <c r="A3976" s="40">
        <f t="array" ref="A3976">IFNA(index(PlayerValues!A:A,match(IFNA(vlookup(B3976,'Special Names'!A:B,2,FALSE),B3976),PlayerValues!E:E,0)),"N/A")</f>
        <v>15714</v>
      </c>
      <c r="B3976" s="4" t="s">
        <v>775</v>
      </c>
      <c r="C3976" s="4" t="s">
        <v>278</v>
      </c>
      <c r="D3976" s="94">
        <v>850.0</v>
      </c>
    </row>
    <row r="3977">
      <c r="A3977" s="40">
        <f t="array" ref="A3977">IFNA(index(PlayerValues!A:A,match(IFNA(vlookup(B3977,'Special Names'!A:B,2,FALSE),B3977),PlayerValues!E:E,0)),"N/A")</f>
        <v>16751</v>
      </c>
      <c r="B3977" s="4" t="s">
        <v>762</v>
      </c>
      <c r="C3977" s="4" t="s">
        <v>287</v>
      </c>
      <c r="D3977" s="94">
        <v>850.0</v>
      </c>
    </row>
    <row r="3978">
      <c r="A3978" s="40">
        <f t="array" ref="A3978">IFNA(index(PlayerValues!A:A,match(IFNA(vlookup(B3978,'Special Names'!A:B,2,FALSE),B3978),PlayerValues!E:E,0)),"N/A")</f>
        <v>15271</v>
      </c>
      <c r="B3978" s="4" t="s">
        <v>741</v>
      </c>
      <c r="C3978" s="4" t="s">
        <v>278</v>
      </c>
      <c r="D3978" s="94">
        <v>843.0</v>
      </c>
    </row>
    <row r="3979">
      <c r="A3979" s="40">
        <f t="array" ref="A3979">IFNA(index(PlayerValues!A:A,match(IFNA(vlookup(B3979,'Special Names'!A:B,2,FALSE),B3979),PlayerValues!E:E,0)),"N/A")</f>
        <v>17488</v>
      </c>
      <c r="B3979" s="4" t="s">
        <v>845</v>
      </c>
      <c r="C3979" s="4" t="s">
        <v>278</v>
      </c>
      <c r="D3979" s="94">
        <v>838.0</v>
      </c>
    </row>
    <row r="3980">
      <c r="A3980" s="40">
        <f t="array" ref="A3980">IFNA(index(PlayerValues!A:A,match(IFNA(vlookup(B3980,'Special Names'!A:B,2,FALSE),B3980),PlayerValues!E:E,0)),"N/A")</f>
        <v>16623</v>
      </c>
      <c r="B3980" s="4" t="s">
        <v>803</v>
      </c>
      <c r="C3980" s="4" t="s">
        <v>287</v>
      </c>
      <c r="D3980" s="94">
        <v>835.0</v>
      </c>
    </row>
    <row r="3981">
      <c r="A3981" s="40">
        <f t="array" ref="A3981">IFNA(index(PlayerValues!A:A,match(IFNA(vlookup(B3981,'Special Names'!A:B,2,FALSE),B3981),PlayerValues!E:E,0)),"N/A")</f>
        <v>15804</v>
      </c>
      <c r="B3981" s="4" t="s">
        <v>821</v>
      </c>
      <c r="C3981" s="4" t="s">
        <v>298</v>
      </c>
      <c r="D3981" s="94">
        <v>1206.0</v>
      </c>
    </row>
    <row r="3982">
      <c r="A3982" s="40">
        <f t="array" ref="A3982">IFNA(index(PlayerValues!A:A,match(IFNA(vlookup(B3982,'Special Names'!A:B,2,FALSE),B3982),PlayerValues!E:E,0)),"N/A")</f>
        <v>10413</v>
      </c>
      <c r="B3982" s="4" t="s">
        <v>811</v>
      </c>
      <c r="C3982" s="4" t="s">
        <v>283</v>
      </c>
      <c r="D3982" s="94">
        <v>823.0</v>
      </c>
    </row>
    <row r="3983">
      <c r="A3983" s="40">
        <f t="array" ref="A3983">IFNA(index(PlayerValues!A:A,match(IFNA(vlookup(B3983,'Special Names'!A:B,2,FALSE),B3983),PlayerValues!E:E,0)),"N/A")</f>
        <v>14358</v>
      </c>
      <c r="B3983" s="4" t="s">
        <v>813</v>
      </c>
      <c r="C3983" s="4" t="s">
        <v>283</v>
      </c>
      <c r="D3983" s="94">
        <v>821.0</v>
      </c>
    </row>
    <row r="3984">
      <c r="A3984" s="40">
        <f t="array" ref="A3984">IFNA(index(PlayerValues!A:A,match(IFNA(vlookup(B3984,'Special Names'!A:B,2,FALSE),B3984),PlayerValues!E:E,0)),"N/A")</f>
        <v>14805</v>
      </c>
      <c r="B3984" s="4" t="s">
        <v>770</v>
      </c>
      <c r="C3984" s="4" t="s">
        <v>278</v>
      </c>
      <c r="D3984" s="94">
        <v>807.0</v>
      </c>
    </row>
    <row r="3985">
      <c r="A3985" s="40">
        <f t="array" ref="A3985">IFNA(index(PlayerValues!A:A,match(IFNA(vlookup(B3985,'Special Names'!A:B,2,FALSE),B3985),PlayerValues!E:E,0)),"N/A")</f>
        <v>14209</v>
      </c>
      <c r="B3985" s="4" t="s">
        <v>809</v>
      </c>
      <c r="C3985" s="4" t="s">
        <v>298</v>
      </c>
      <c r="D3985" s="94">
        <v>1177.0</v>
      </c>
    </row>
    <row r="3986">
      <c r="A3986" s="40">
        <f t="array" ref="A3986">IFNA(index(PlayerValues!A:A,match(IFNA(vlookup(B3986,'Special Names'!A:B,2,FALSE),B3986),PlayerValues!E:E,0)),"N/A")</f>
        <v>16606</v>
      </c>
      <c r="B3986" s="4" t="s">
        <v>743</v>
      </c>
      <c r="C3986" s="4" t="s">
        <v>278</v>
      </c>
      <c r="D3986" s="94">
        <v>795.0</v>
      </c>
    </row>
    <row r="3987">
      <c r="A3987" s="40">
        <f t="array" ref="A3987">IFNA(index(PlayerValues!A:A,match(IFNA(vlookup(B3987,'Special Names'!A:B,2,FALSE),B3987),PlayerValues!E:E,0)),"N/A")</f>
        <v>15285</v>
      </c>
      <c r="B3987" s="4" t="s">
        <v>792</v>
      </c>
      <c r="C3987" s="4" t="s">
        <v>287</v>
      </c>
      <c r="D3987" s="94">
        <v>794.0</v>
      </c>
    </row>
    <row r="3988">
      <c r="A3988" s="40">
        <f t="array" ref="A3988">IFNA(index(PlayerValues!A:A,match(IFNA(vlookup(B3988,'Special Names'!A:B,2,FALSE),B3988),PlayerValues!E:E,0)),"N/A")</f>
        <v>17282</v>
      </c>
      <c r="B3988" s="4" t="s">
        <v>833</v>
      </c>
      <c r="C3988" s="4" t="s">
        <v>283</v>
      </c>
      <c r="D3988" s="94">
        <v>781.0</v>
      </c>
    </row>
    <row r="3989">
      <c r="A3989" s="40">
        <f t="array" ref="A3989">IFNA(index(PlayerValues!A:A,match(IFNA(vlookup(B3989,'Special Names'!A:B,2,FALSE),B3989),PlayerValues!E:E,0)),"N/A")</f>
        <v>15965</v>
      </c>
      <c r="B3989" s="4" t="s">
        <v>791</v>
      </c>
      <c r="C3989" s="4" t="s">
        <v>278</v>
      </c>
      <c r="D3989" s="94">
        <v>780.0</v>
      </c>
    </row>
    <row r="3990">
      <c r="A3990" s="40">
        <f t="array" ref="A3990">IFNA(index(PlayerValues!A:A,match(IFNA(vlookup(B3990,'Special Names'!A:B,2,FALSE),B3990),PlayerValues!E:E,0)),"N/A")</f>
        <v>16413</v>
      </c>
      <c r="B3990" s="4" t="s">
        <v>781</v>
      </c>
      <c r="C3990" s="4" t="s">
        <v>287</v>
      </c>
      <c r="D3990" s="94">
        <v>778.0</v>
      </c>
    </row>
    <row r="3991">
      <c r="A3991" s="40">
        <f t="array" ref="A3991">IFNA(index(PlayerValues!A:A,match(IFNA(vlookup(B3991,'Special Names'!A:B,2,FALSE),B3991),PlayerValues!E:E,0)),"N/A")</f>
        <v>12658</v>
      </c>
      <c r="B3991" s="4" t="s">
        <v>823</v>
      </c>
      <c r="C3991" s="4" t="s">
        <v>287</v>
      </c>
      <c r="D3991" s="94">
        <v>773.0</v>
      </c>
    </row>
    <row r="3992">
      <c r="A3992" s="40">
        <f t="array" ref="A3992">IFNA(index(PlayerValues!A:A,match(IFNA(vlookup(B3992,'Special Names'!A:B,2,FALSE),B3992),PlayerValues!E:E,0)),"N/A")</f>
        <v>16678</v>
      </c>
      <c r="B3992" s="4" t="s">
        <v>758</v>
      </c>
      <c r="C3992" s="4" t="s">
        <v>278</v>
      </c>
      <c r="D3992" s="94">
        <v>769.0</v>
      </c>
    </row>
    <row r="3993">
      <c r="A3993" s="40">
        <f t="array" ref="A3993">IFNA(index(PlayerValues!A:A,match(IFNA(vlookup(B3993,'Special Names'!A:B,2,FALSE),B3993),PlayerValues!E:E,0)),"N/A")</f>
        <v>16632</v>
      </c>
      <c r="B3993" s="4" t="s">
        <v>842</v>
      </c>
      <c r="C3993" s="4" t="s">
        <v>287</v>
      </c>
      <c r="D3993" s="94">
        <v>764.0</v>
      </c>
    </row>
    <row r="3994">
      <c r="A3994" s="40">
        <f t="array" ref="A3994">IFNA(index(PlayerValues!A:A,match(IFNA(vlookup(B3994,'Special Names'!A:B,2,FALSE),B3994),PlayerValues!E:E,0)),"N/A")</f>
        <v>14223</v>
      </c>
      <c r="B3994" s="4" t="s">
        <v>785</v>
      </c>
      <c r="C3994" s="4" t="s">
        <v>278</v>
      </c>
      <c r="D3994" s="94">
        <v>760.0</v>
      </c>
    </row>
    <row r="3995">
      <c r="A3995" s="40">
        <f t="array" ref="A3995">IFNA(index(PlayerValues!A:A,match(IFNA(vlookup(B3995,'Special Names'!A:B,2,FALSE),B3995),PlayerValues!E:E,0)),"N/A")</f>
        <v>13176</v>
      </c>
      <c r="B3995" s="4" t="s">
        <v>807</v>
      </c>
      <c r="C3995" s="4" t="s">
        <v>287</v>
      </c>
      <c r="D3995" s="94">
        <v>759.0</v>
      </c>
    </row>
    <row r="3996">
      <c r="A3996" s="40">
        <f t="array" ref="A3996">IFNA(index(PlayerValues!A:A,match(IFNA(vlookup(B3996,'Special Names'!A:B,2,FALSE),B3996),PlayerValues!E:E,0)),"N/A")</f>
        <v>13424</v>
      </c>
      <c r="B3996" s="4" t="s">
        <v>846</v>
      </c>
      <c r="C3996" s="4" t="s">
        <v>298</v>
      </c>
      <c r="D3996" s="94">
        <v>1106.0</v>
      </c>
    </row>
    <row r="3997">
      <c r="A3997" s="40">
        <f t="array" ref="A3997">IFNA(index(PlayerValues!A:A,match(IFNA(vlookup(B3997,'Special Names'!A:B,2,FALSE),B3997),PlayerValues!E:E,0)),"N/A")</f>
        <v>17232</v>
      </c>
      <c r="B3997" s="4" t="s">
        <v>784</v>
      </c>
      <c r="C3997" s="4" t="s">
        <v>287</v>
      </c>
      <c r="D3997" s="94">
        <v>731.0</v>
      </c>
    </row>
    <row r="3998">
      <c r="A3998" s="40">
        <f t="array" ref="A3998">IFNA(index(PlayerValues!A:A,match(IFNA(vlookup(B3998,'Special Names'!A:B,2,FALSE),B3998),PlayerValues!E:E,0)),"N/A")</f>
        <v>14858</v>
      </c>
      <c r="B3998" s="4" t="s">
        <v>799</v>
      </c>
      <c r="C3998" s="4" t="s">
        <v>287</v>
      </c>
      <c r="D3998" s="94">
        <v>721.0</v>
      </c>
    </row>
    <row r="3999">
      <c r="A3999" s="40">
        <f t="array" ref="A3999">IFNA(index(PlayerValues!A:A,match(IFNA(vlookup(B3999,'Special Names'!A:B,2,FALSE),B3999),PlayerValues!E:E,0)),"N/A")</f>
        <v>13377</v>
      </c>
      <c r="B3999" s="4" t="s">
        <v>847</v>
      </c>
      <c r="C3999" s="4" t="s">
        <v>287</v>
      </c>
      <c r="D3999" s="94">
        <v>720.0</v>
      </c>
    </row>
    <row r="4000">
      <c r="A4000" s="40">
        <f t="array" ref="A4000">IFNA(index(PlayerValues!A:A,match(IFNA(vlookup(B4000,'Special Names'!A:B,2,FALSE),B4000),PlayerValues!E:E,0)),"N/A")</f>
        <v>16170</v>
      </c>
      <c r="B4000" s="4" t="s">
        <v>801</v>
      </c>
      <c r="C4000" s="4" t="s">
        <v>278</v>
      </c>
      <c r="D4000" s="94">
        <v>719.0</v>
      </c>
    </row>
    <row r="4001">
      <c r="A4001" s="40">
        <f t="array" ref="A4001">IFNA(index(PlayerValues!A:A,match(IFNA(vlookup(B4001,'Special Names'!A:B,2,FALSE),B4001),PlayerValues!E:E,0)),"N/A")</f>
        <v>13589</v>
      </c>
      <c r="B4001" s="4" t="s">
        <v>282</v>
      </c>
      <c r="C4001" s="4" t="s">
        <v>283</v>
      </c>
      <c r="D4001" s="94">
        <v>9999.0</v>
      </c>
    </row>
    <row r="4002">
      <c r="A4002" s="40">
        <f t="array" ref="A4002">IFNA(index(PlayerValues!A:A,match(IFNA(vlookup(B4002,'Special Names'!A:B,2,FALSE),B4002),PlayerValues!E:E,0)),"N/A")</f>
        <v>16161</v>
      </c>
      <c r="B4002" s="4" t="s">
        <v>277</v>
      </c>
      <c r="C4002" s="4" t="s">
        <v>278</v>
      </c>
      <c r="D4002" s="94">
        <v>9994.0</v>
      </c>
    </row>
    <row r="4003">
      <c r="A4003" s="40">
        <f t="array" ref="A4003">IFNA(index(PlayerValues!A:A,match(IFNA(vlookup(B4003,'Special Names'!A:B,2,FALSE),B4003),PlayerValues!E:E,0)),"N/A")</f>
        <v>15281</v>
      </c>
      <c r="B4003" s="4" t="s">
        <v>286</v>
      </c>
      <c r="C4003" s="4" t="s">
        <v>287</v>
      </c>
      <c r="D4003" s="94">
        <v>9953.0</v>
      </c>
    </row>
    <row r="4004">
      <c r="A4004" s="40">
        <f t="array" ref="A4004">IFNA(index(PlayerValues!A:A,match(IFNA(vlookup(B4004,'Special Names'!A:B,2,FALSE),B4004),PlayerValues!E:E,0)),"N/A")</f>
        <v>16185</v>
      </c>
      <c r="B4004" s="4" t="s">
        <v>290</v>
      </c>
      <c r="C4004" s="4" t="s">
        <v>287</v>
      </c>
      <c r="D4004" s="94">
        <v>9888.0</v>
      </c>
    </row>
    <row r="4005">
      <c r="A4005" s="40">
        <f t="array" ref="A4005">IFNA(index(PlayerValues!A:A,match(IFNA(vlookup(B4005,'Special Names'!A:B,2,FALSE),B4005),PlayerValues!E:E,0)),"N/A")</f>
        <v>16580</v>
      </c>
      <c r="B4005" s="4" t="s">
        <v>291</v>
      </c>
      <c r="C4005" s="4" t="s">
        <v>283</v>
      </c>
      <c r="D4005" s="94">
        <v>9607.0</v>
      </c>
    </row>
    <row r="4006">
      <c r="A4006" s="40">
        <f t="array" ref="A4006">IFNA(index(PlayerValues!A:A,match(IFNA(vlookup(B4006,'Special Names'!A:B,2,FALSE),B4006),PlayerValues!E:E,0)),"N/A")</f>
        <v>16211</v>
      </c>
      <c r="B4006" s="4" t="s">
        <v>294</v>
      </c>
      <c r="C4006" s="4" t="s">
        <v>287</v>
      </c>
      <c r="D4006" s="94">
        <v>9507.0</v>
      </c>
    </row>
    <row r="4007">
      <c r="A4007" s="40">
        <f t="array" ref="A4007">IFNA(index(PlayerValues!A:A,match(IFNA(vlookup(B4007,'Special Names'!A:B,2,FALSE),B4007),PlayerValues!E:E,0)),"N/A")</f>
        <v>16162</v>
      </c>
      <c r="B4007" s="4" t="s">
        <v>281</v>
      </c>
      <c r="C4007" s="4" t="s">
        <v>278</v>
      </c>
      <c r="D4007" s="94">
        <v>9414.0</v>
      </c>
    </row>
    <row r="4008">
      <c r="A4008" s="40">
        <f t="array" ref="A4008">IFNA(index(PlayerValues!A:A,match(IFNA(vlookup(B4008,'Special Names'!A:B,2,FALSE),B4008),PlayerValues!E:E,0)),"N/A")</f>
        <v>16615</v>
      </c>
      <c r="B4008" s="4" t="s">
        <v>309</v>
      </c>
      <c r="C4008" s="4" t="s">
        <v>287</v>
      </c>
      <c r="D4008" s="94">
        <v>7733.0</v>
      </c>
    </row>
    <row r="4009">
      <c r="A4009" s="40">
        <f t="array" ref="A4009">IFNA(index(PlayerValues!A:A,match(IFNA(vlookup(B4009,'Special Names'!A:B,2,FALSE),B4009),PlayerValues!E:E,0)),"N/A")</f>
        <v>15287</v>
      </c>
      <c r="B4009" s="4" t="s">
        <v>299</v>
      </c>
      <c r="C4009" s="4" t="s">
        <v>287</v>
      </c>
      <c r="D4009" s="94">
        <v>7681.0</v>
      </c>
    </row>
    <row r="4010">
      <c r="A4010" s="40">
        <f t="array" ref="A4010">IFNA(index(PlayerValues!A:A,match(IFNA(vlookup(B4010,'Special Names'!A:B,2,FALSE),B4010),PlayerValues!E:E,0)),"N/A")</f>
        <v>15794</v>
      </c>
      <c r="B4010" s="4" t="s">
        <v>313</v>
      </c>
      <c r="C4010" s="4" t="s">
        <v>298</v>
      </c>
      <c r="D4010" s="94">
        <v>8498.0</v>
      </c>
    </row>
    <row r="4011">
      <c r="A4011" s="40">
        <f t="array" ref="A4011">IFNA(index(PlayerValues!A:A,match(IFNA(vlookup(B4011,'Special Names'!A:B,2,FALSE),B4011),PlayerValues!E:E,0)),"N/A")</f>
        <v>16579</v>
      </c>
      <c r="B4011" s="4" t="s">
        <v>302</v>
      </c>
      <c r="C4011" s="4" t="s">
        <v>283</v>
      </c>
      <c r="D4011" s="94">
        <v>7663.0</v>
      </c>
    </row>
    <row r="4012">
      <c r="A4012" s="40">
        <f t="array" ref="A4012">IFNA(index(PlayerValues!A:A,match(IFNA(vlookup(B4012,'Special Names'!A:B,2,FALSE),B4012),PlayerValues!E:E,0)),"N/A")</f>
        <v>16641</v>
      </c>
      <c r="B4012" s="4" t="s">
        <v>297</v>
      </c>
      <c r="C4012" s="4" t="s">
        <v>298</v>
      </c>
      <c r="D4012" s="94">
        <v>8476.0</v>
      </c>
    </row>
    <row r="4013">
      <c r="A4013" s="40">
        <f t="array" ref="A4013">IFNA(index(PlayerValues!A:A,match(IFNA(vlookup(B4013,'Special Names'!A:B,2,FALSE),B4013),PlayerValues!E:E,0)),"N/A")</f>
        <v>16581</v>
      </c>
      <c r="B4013" s="4" t="s">
        <v>315</v>
      </c>
      <c r="C4013" s="4" t="s">
        <v>283</v>
      </c>
      <c r="D4013" s="94">
        <v>7613.0</v>
      </c>
    </row>
    <row r="4014">
      <c r="A4014" s="40">
        <f t="array" ref="A4014">IFNA(index(PlayerValues!A:A,match(IFNA(vlookup(B4014,'Special Names'!A:B,2,FALSE),B4014),PlayerValues!E:E,0)),"N/A")</f>
        <v>13593</v>
      </c>
      <c r="B4014" s="4" t="s">
        <v>305</v>
      </c>
      <c r="C4014" s="4" t="s">
        <v>283</v>
      </c>
      <c r="D4014" s="94">
        <v>7544.0</v>
      </c>
    </row>
    <row r="4015">
      <c r="A4015" s="40">
        <f t="array" ref="A4015">IFNA(index(PlayerValues!A:A,match(IFNA(vlookup(B4015,'Special Names'!A:B,2,FALSE),B4015),PlayerValues!E:E,0)),"N/A")</f>
        <v>14836</v>
      </c>
      <c r="B4015" s="4" t="s">
        <v>306</v>
      </c>
      <c r="C4015" s="4" t="s">
        <v>287</v>
      </c>
      <c r="D4015" s="94">
        <v>7390.0</v>
      </c>
    </row>
    <row r="4016">
      <c r="A4016" s="40">
        <f t="array" ref="A4016">IFNA(index(PlayerValues!A:A,match(IFNA(vlookup(B4016,'Special Names'!A:B,2,FALSE),B4016),PlayerValues!E:E,0)),"N/A")</f>
        <v>14832</v>
      </c>
      <c r="B4016" s="4" t="s">
        <v>319</v>
      </c>
      <c r="C4016" s="4" t="s">
        <v>287</v>
      </c>
      <c r="D4016" s="94">
        <v>7338.0</v>
      </c>
    </row>
    <row r="4017">
      <c r="A4017" s="40">
        <f t="array" ref="A4017">IFNA(index(PlayerValues!A:A,match(IFNA(vlookup(B4017,'Special Names'!A:B,2,FALSE),B4017),PlayerValues!E:E,0)),"N/A")</f>
        <v>17042</v>
      </c>
      <c r="B4017" s="4" t="s">
        <v>314</v>
      </c>
      <c r="C4017" s="4" t="s">
        <v>278</v>
      </c>
      <c r="D4017" s="94">
        <v>7224.0</v>
      </c>
    </row>
    <row r="4018">
      <c r="A4018" s="40">
        <f t="array" ref="A4018">IFNA(index(PlayerValues!A:A,match(IFNA(vlookup(B4018,'Special Names'!A:B,2,FALSE),B4018),PlayerValues!E:E,0)),"N/A")</f>
        <v>14777</v>
      </c>
      <c r="B4018" s="4" t="s">
        <v>318</v>
      </c>
      <c r="C4018" s="4" t="s">
        <v>283</v>
      </c>
      <c r="D4018" s="94">
        <v>7223.0</v>
      </c>
    </row>
    <row r="4019">
      <c r="A4019" s="40">
        <f t="array" ref="A4019">IFNA(index(PlayerValues!A:A,match(IFNA(vlookup(B4019,'Special Names'!A:B,2,FALSE),B4019),PlayerValues!E:E,0)),"N/A")</f>
        <v>16167</v>
      </c>
      <c r="B4019" s="4" t="s">
        <v>323</v>
      </c>
      <c r="C4019" s="4" t="s">
        <v>278</v>
      </c>
      <c r="D4019" s="94">
        <v>7035.0</v>
      </c>
    </row>
    <row r="4020">
      <c r="A4020" s="40">
        <f t="array" ref="A4020">IFNA(index(PlayerValues!A:A,match(IFNA(vlookup(B4020,'Special Names'!A:B,2,FALSE),B4020),PlayerValues!E:E,0)),"N/A")</f>
        <v>15751</v>
      </c>
      <c r="B4020" s="4" t="s">
        <v>328</v>
      </c>
      <c r="C4020" s="4" t="s">
        <v>287</v>
      </c>
      <c r="D4020" s="94">
        <v>7030.0</v>
      </c>
    </row>
    <row r="4021">
      <c r="A4021" s="40">
        <f t="array" ref="A4021">IFNA(index(PlayerValues!A:A,match(IFNA(vlookup(B4021,'Special Names'!A:B,2,FALSE),B4021),PlayerValues!E:E,0)),"N/A")</f>
        <v>17472</v>
      </c>
      <c r="B4021" s="4" t="s">
        <v>310</v>
      </c>
      <c r="C4021" s="4" t="s">
        <v>278</v>
      </c>
      <c r="D4021" s="94">
        <v>6935.0</v>
      </c>
    </row>
    <row r="4022">
      <c r="A4022" s="40">
        <f t="array" ref="A4022">IFNA(index(PlayerValues!A:A,match(IFNA(vlookup(B4022,'Special Names'!A:B,2,FALSE),B4022),PlayerValues!E:E,0)),"N/A")</f>
        <v>14779</v>
      </c>
      <c r="B4022" s="4" t="s">
        <v>327</v>
      </c>
      <c r="C4022" s="4" t="s">
        <v>283</v>
      </c>
      <c r="D4022" s="94">
        <v>6889.0</v>
      </c>
    </row>
    <row r="4023">
      <c r="A4023" s="40" t="str">
        <f t="array" ref="A4023">IFNA(index(PlayerValues!A:A,match(IFNA(vlookup(B4023,'Special Names'!A:B,2,FALSE),B4023),PlayerValues!E:E,0)),"N/A")</f>
        <v>N/A</v>
      </c>
      <c r="B4023" s="4" t="s">
        <v>92</v>
      </c>
      <c r="C4023" s="4" t="s">
        <v>325</v>
      </c>
      <c r="D4023" s="94">
        <v>6650.0</v>
      </c>
    </row>
    <row r="4024">
      <c r="A4024" s="40">
        <f t="array" ref="A4024">IFNA(index(PlayerValues!A:A,match(IFNA(vlookup(B4024,'Special Names'!A:B,2,FALSE),B4024),PlayerValues!E:E,0)),"N/A")</f>
        <v>17044</v>
      </c>
      <c r="B4024" s="4" t="s">
        <v>322</v>
      </c>
      <c r="C4024" s="4" t="s">
        <v>278</v>
      </c>
      <c r="D4024" s="94">
        <v>6641.0</v>
      </c>
    </row>
    <row r="4025">
      <c r="A4025" s="40">
        <f t="array" ref="A4025">IFNA(index(PlayerValues!A:A,match(IFNA(vlookup(B4025,'Special Names'!A:B,2,FALSE),B4025),PlayerValues!E:E,0)),"N/A")</f>
        <v>17032</v>
      </c>
      <c r="B4025" s="4" t="s">
        <v>348</v>
      </c>
      <c r="C4025" s="4" t="s">
        <v>283</v>
      </c>
      <c r="D4025" s="94">
        <v>6630.0</v>
      </c>
    </row>
    <row r="4026">
      <c r="A4026" s="40">
        <f t="array" ref="A4026">IFNA(index(PlayerValues!A:A,match(IFNA(vlookup(B4026,'Special Names'!A:B,2,FALSE),B4026),PlayerValues!E:E,0)),"N/A")</f>
        <v>17071</v>
      </c>
      <c r="B4026" s="4" t="s">
        <v>341</v>
      </c>
      <c r="C4026" s="4" t="s">
        <v>287</v>
      </c>
      <c r="D4026" s="94">
        <v>6609.0</v>
      </c>
    </row>
    <row r="4027">
      <c r="A4027" s="40">
        <f t="array" ref="A4027">IFNA(index(PlayerValues!A:A,match(IFNA(vlookup(B4027,'Special Names'!A:B,2,FALSE),B4027),PlayerValues!E:E,0)),"N/A")</f>
        <v>13116</v>
      </c>
      <c r="B4027" s="4" t="s">
        <v>345</v>
      </c>
      <c r="C4027" s="4" t="s">
        <v>283</v>
      </c>
      <c r="D4027" s="94">
        <v>6579.0</v>
      </c>
    </row>
    <row r="4028">
      <c r="A4028" s="40">
        <f t="array" ref="A4028">IFNA(index(PlayerValues!A:A,match(IFNA(vlookup(B4028,'Special Names'!A:B,2,FALSE),B4028),PlayerValues!E:E,0)),"N/A")</f>
        <v>14783</v>
      </c>
      <c r="B4028" s="4" t="s">
        <v>342</v>
      </c>
      <c r="C4028" s="4" t="s">
        <v>283</v>
      </c>
      <c r="D4028" s="94">
        <v>6348.0</v>
      </c>
    </row>
    <row r="4029">
      <c r="A4029" s="40">
        <f t="array" ref="A4029">IFNA(index(PlayerValues!A:A,match(IFNA(vlookup(B4029,'Special Names'!A:B,2,FALSE),B4029),PlayerValues!E:E,0)),"N/A")</f>
        <v>15237</v>
      </c>
      <c r="B4029" s="4" t="s">
        <v>336</v>
      </c>
      <c r="C4029" s="4" t="s">
        <v>283</v>
      </c>
      <c r="D4029" s="94">
        <v>6333.0</v>
      </c>
    </row>
    <row r="4030">
      <c r="A4030" s="40">
        <f t="array" ref="A4030">IFNA(index(PlayerValues!A:A,match(IFNA(vlookup(B4030,'Special Names'!A:B,2,FALSE),B4030),PlayerValues!E:E,0)),"N/A")</f>
        <v>15715</v>
      </c>
      <c r="B4030" s="4" t="s">
        <v>331</v>
      </c>
      <c r="C4030" s="4" t="s">
        <v>278</v>
      </c>
      <c r="D4030" s="94">
        <v>6171.0</v>
      </c>
    </row>
    <row r="4031">
      <c r="A4031" s="40">
        <f t="array" ref="A4031">IFNA(index(PlayerValues!A:A,match(IFNA(vlookup(B4031,'Special Names'!A:B,2,FALSE),B4031),PlayerValues!E:E,0)),"N/A")</f>
        <v>15762</v>
      </c>
      <c r="B4031" s="4" t="s">
        <v>337</v>
      </c>
      <c r="C4031" s="4" t="s">
        <v>287</v>
      </c>
      <c r="D4031" s="94">
        <v>6154.0</v>
      </c>
    </row>
    <row r="4032">
      <c r="A4032" s="40">
        <f t="array" ref="A4032">IFNA(index(PlayerValues!A:A,match(IFNA(vlookup(B4032,'Special Names'!A:B,2,FALSE),B4032),PlayerValues!E:E,0)),"N/A")</f>
        <v>16582</v>
      </c>
      <c r="B4032" s="4" t="s">
        <v>343</v>
      </c>
      <c r="C4032" s="4" t="s">
        <v>283</v>
      </c>
      <c r="D4032" s="94">
        <v>6130.0</v>
      </c>
    </row>
    <row r="4033">
      <c r="A4033" s="40">
        <f t="array" ref="A4033">IFNA(index(PlayerValues!A:A,match(IFNA(vlookup(B4033,'Special Names'!A:B,2,FALSE),B4033),PlayerValues!E:E,0)),"N/A")</f>
        <v>14802</v>
      </c>
      <c r="B4033" s="4" t="s">
        <v>332</v>
      </c>
      <c r="C4033" s="4" t="s">
        <v>278</v>
      </c>
      <c r="D4033" s="94">
        <v>6119.0</v>
      </c>
    </row>
    <row r="4034">
      <c r="A4034" s="40">
        <f t="array" ref="A4034">IFNA(index(PlayerValues!A:A,match(IFNA(vlookup(B4034,'Special Names'!A:B,2,FALSE),B4034),PlayerValues!E:E,0)),"N/A")</f>
        <v>15698</v>
      </c>
      <c r="B4034" s="4" t="s">
        <v>358</v>
      </c>
      <c r="C4034" s="4" t="s">
        <v>283</v>
      </c>
      <c r="D4034" s="94">
        <v>6117.0</v>
      </c>
    </row>
    <row r="4035">
      <c r="A4035" s="40">
        <f t="array" ref="A4035">IFNA(index(PlayerValues!A:A,match(IFNA(vlookup(B4035,'Special Names'!A:B,2,FALSE),B4035),PlayerValues!E:E,0)),"N/A")</f>
        <v>15290</v>
      </c>
      <c r="B4035" s="4" t="s">
        <v>355</v>
      </c>
      <c r="C4035" s="4" t="s">
        <v>287</v>
      </c>
      <c r="D4035" s="94">
        <v>5988.0</v>
      </c>
    </row>
    <row r="4036">
      <c r="A4036" s="40">
        <f t="array" ref="A4036">IFNA(index(PlayerValues!A:A,match(IFNA(vlookup(B4036,'Special Names'!A:B,2,FALSE),B4036),PlayerValues!E:E,0)),"N/A")</f>
        <v>17081</v>
      </c>
      <c r="B4036" s="4" t="s">
        <v>340</v>
      </c>
      <c r="C4036" s="4" t="s">
        <v>287</v>
      </c>
      <c r="D4036" s="94">
        <v>5978.0</v>
      </c>
    </row>
    <row r="4037">
      <c r="A4037" s="40" t="str">
        <f t="array" ref="A4037">IFNA(index(PlayerValues!A:A,match(IFNA(vlookup(B4037,'Special Names'!A:B,2,FALSE),B4037),PlayerValues!E:E,0)),"N/A")</f>
        <v>N/A</v>
      </c>
      <c r="B4037" s="4" t="s">
        <v>79</v>
      </c>
      <c r="C4037" s="4" t="s">
        <v>325</v>
      </c>
      <c r="D4037" s="94">
        <v>5961.0</v>
      </c>
    </row>
    <row r="4038">
      <c r="A4038" s="40">
        <f t="array" ref="A4038">IFNA(index(PlayerValues!A:A,match(IFNA(vlookup(B4038,'Special Names'!A:B,2,FALSE),B4038),PlayerValues!E:E,0)),"N/A")</f>
        <v>17104</v>
      </c>
      <c r="B4038" s="4" t="s">
        <v>333</v>
      </c>
      <c r="C4038" s="4" t="s">
        <v>298</v>
      </c>
      <c r="D4038" s="94">
        <v>6615.0</v>
      </c>
    </row>
    <row r="4039">
      <c r="A4039" s="40">
        <f t="array" ref="A4039">IFNA(index(PlayerValues!A:A,match(IFNA(vlookup(B4039,'Special Names'!A:B,2,FALSE),B4039),PlayerValues!E:E,0)),"N/A")</f>
        <v>17043</v>
      </c>
      <c r="B4039" s="4" t="s">
        <v>397</v>
      </c>
      <c r="C4039" s="4" t="s">
        <v>278</v>
      </c>
      <c r="D4039" s="94">
        <v>5888.0</v>
      </c>
    </row>
    <row r="4040">
      <c r="A4040" s="40">
        <f t="array" ref="A4040">IFNA(index(PlayerValues!A:A,match(IFNA(vlookup(B4040,'Special Names'!A:B,2,FALSE),B4040),PlayerValues!E:E,0)),"N/A")</f>
        <v>15753</v>
      </c>
      <c r="B4040" s="4" t="s">
        <v>359</v>
      </c>
      <c r="C4040" s="4" t="s">
        <v>287</v>
      </c>
      <c r="D4040" s="94">
        <v>5833.0</v>
      </c>
    </row>
    <row r="4041">
      <c r="A4041" s="40">
        <f t="array" ref="A4041">IFNA(index(PlayerValues!A:A,match(IFNA(vlookup(B4041,'Special Names'!A:B,2,FALSE),B4041),PlayerValues!E:E,0)),"N/A")</f>
        <v>15754</v>
      </c>
      <c r="B4041" s="4" t="s">
        <v>354</v>
      </c>
      <c r="C4041" s="4" t="s">
        <v>287</v>
      </c>
      <c r="D4041" s="94">
        <v>5828.0</v>
      </c>
    </row>
    <row r="4042">
      <c r="A4042" s="40">
        <f t="array" ref="A4042">IFNA(index(PlayerValues!A:A,match(IFNA(vlookup(B4042,'Special Names'!A:B,2,FALSE),B4042),PlayerValues!E:E,0)),"N/A")</f>
        <v>14782</v>
      </c>
      <c r="B4042" s="4" t="s">
        <v>385</v>
      </c>
      <c r="C4042" s="4" t="s">
        <v>283</v>
      </c>
      <c r="D4042" s="94">
        <v>5696.0</v>
      </c>
    </row>
    <row r="4043">
      <c r="A4043" s="40">
        <f t="array" ref="A4043">IFNA(index(PlayerValues!A:A,match(IFNA(vlookup(B4043,'Special Names'!A:B,2,FALSE),B4043),PlayerValues!E:E,0)),"N/A")</f>
        <v>17102</v>
      </c>
      <c r="B4043" s="4" t="s">
        <v>344</v>
      </c>
      <c r="C4043" s="4" t="s">
        <v>298</v>
      </c>
      <c r="D4043" s="94">
        <v>6269.0</v>
      </c>
    </row>
    <row r="4044">
      <c r="A4044" s="40">
        <f t="array" ref="A4044">IFNA(index(PlayerValues!A:A,match(IFNA(vlookup(B4044,'Special Names'!A:B,2,FALSE),B4044),PlayerValues!E:E,0)),"N/A")</f>
        <v>17462</v>
      </c>
      <c r="B4044" s="4" t="s">
        <v>375</v>
      </c>
      <c r="C4044" s="4" t="s">
        <v>283</v>
      </c>
      <c r="D4044" s="94">
        <v>5615.0</v>
      </c>
    </row>
    <row r="4045">
      <c r="A4045" s="40">
        <f t="array" ref="A4045">IFNA(index(PlayerValues!A:A,match(IFNA(vlookup(B4045,'Special Names'!A:B,2,FALSE),B4045),PlayerValues!E:E,0)),"N/A")</f>
        <v>15708</v>
      </c>
      <c r="B4045" s="4" t="s">
        <v>382</v>
      </c>
      <c r="C4045" s="4" t="s">
        <v>278</v>
      </c>
      <c r="D4045" s="94">
        <v>5523.0</v>
      </c>
    </row>
    <row r="4046">
      <c r="A4046" s="40">
        <f t="array" ref="A4046">IFNA(index(PlayerValues!A:A,match(IFNA(vlookup(B4046,'Special Names'!A:B,2,FALSE),B4046),PlayerValues!E:E,0)),"N/A")</f>
        <v>16627</v>
      </c>
      <c r="B4046" s="4" t="s">
        <v>351</v>
      </c>
      <c r="C4046" s="4" t="s">
        <v>287</v>
      </c>
      <c r="D4046" s="94">
        <v>5483.0</v>
      </c>
    </row>
    <row r="4047">
      <c r="A4047" s="40">
        <f t="array" ref="A4047">IFNA(index(PlayerValues!A:A,match(IFNA(vlookup(B4047,'Special Names'!A:B,2,FALSE),B4047),PlayerValues!E:E,0)),"N/A")</f>
        <v>16598</v>
      </c>
      <c r="B4047" s="4" t="s">
        <v>408</v>
      </c>
      <c r="C4047" s="4" t="s">
        <v>278</v>
      </c>
      <c r="D4047" s="94">
        <v>5466.0</v>
      </c>
    </row>
    <row r="4048">
      <c r="A4048" s="40">
        <f t="array" ref="A4048">IFNA(index(PlayerValues!A:A,match(IFNA(vlookup(B4048,'Special Names'!A:B,2,FALSE),B4048),PlayerValues!E:E,0)),"N/A")</f>
        <v>17051</v>
      </c>
      <c r="B4048" s="4" t="s">
        <v>386</v>
      </c>
      <c r="C4048" s="4" t="s">
        <v>278</v>
      </c>
      <c r="D4048" s="94">
        <v>5463.0</v>
      </c>
    </row>
    <row r="4049">
      <c r="A4049" s="40" t="str">
        <f t="array" ref="A4049">IFNA(index(PlayerValues!A:A,match(IFNA(vlookup(B4049,'Special Names'!A:B,2,FALSE),B4049),PlayerValues!E:E,0)),"N/A")</f>
        <v>N/A</v>
      </c>
      <c r="B4049" s="4" t="s">
        <v>93</v>
      </c>
      <c r="C4049" s="4" t="s">
        <v>325</v>
      </c>
      <c r="D4049" s="94">
        <v>5447.0</v>
      </c>
    </row>
    <row r="4050">
      <c r="A4050" s="40">
        <f t="array" ref="A4050">IFNA(index(PlayerValues!A:A,match(IFNA(vlookup(B4050,'Special Names'!A:B,2,FALSE),B4050),PlayerValues!E:E,0)),"N/A")</f>
        <v>17497</v>
      </c>
      <c r="B4050" s="4" t="s">
        <v>365</v>
      </c>
      <c r="C4050" s="4" t="s">
        <v>287</v>
      </c>
      <c r="D4050" s="94">
        <v>5314.0</v>
      </c>
    </row>
    <row r="4051">
      <c r="A4051" s="40">
        <f t="array" ref="A4051">IFNA(index(PlayerValues!A:A,match(IFNA(vlookup(B4051,'Special Names'!A:B,2,FALSE),B4051),PlayerValues!E:E,0)),"N/A")</f>
        <v>16616</v>
      </c>
      <c r="B4051" s="4" t="s">
        <v>389</v>
      </c>
      <c r="C4051" s="4" t="s">
        <v>287</v>
      </c>
      <c r="D4051" s="94">
        <v>5312.0</v>
      </c>
    </row>
    <row r="4052">
      <c r="A4052" s="40">
        <f t="array" ref="A4052">IFNA(index(PlayerValues!A:A,match(IFNA(vlookup(B4052,'Special Names'!A:B,2,FALSE),B4052),PlayerValues!E:E,0)),"N/A")</f>
        <v>17499</v>
      </c>
      <c r="B4052" s="4" t="s">
        <v>402</v>
      </c>
      <c r="C4052" s="4" t="s">
        <v>287</v>
      </c>
      <c r="D4052" s="94">
        <v>5235.0</v>
      </c>
    </row>
    <row r="4053">
      <c r="A4053" s="40">
        <f t="array" ref="A4053">IFNA(index(PlayerValues!A:A,match(IFNA(vlookup(B4053,'Special Names'!A:B,2,FALSE),B4053),PlayerValues!E:E,0)),"N/A")</f>
        <v>16614</v>
      </c>
      <c r="B4053" s="4" t="s">
        <v>403</v>
      </c>
      <c r="C4053" s="4" t="s">
        <v>287</v>
      </c>
      <c r="D4053" s="94">
        <v>5124.0</v>
      </c>
    </row>
    <row r="4054">
      <c r="A4054" s="40">
        <f t="array" ref="A4054">IFNA(index(PlayerValues!A:A,match(IFNA(vlookup(B4054,'Special Names'!A:B,2,FALSE),B4054),PlayerValues!E:E,0)),"N/A")</f>
        <v>17030</v>
      </c>
      <c r="B4054" s="4" t="s">
        <v>406</v>
      </c>
      <c r="C4054" s="4" t="s">
        <v>283</v>
      </c>
      <c r="D4054" s="94">
        <v>5092.0</v>
      </c>
    </row>
    <row r="4055">
      <c r="A4055" s="40">
        <f t="array" ref="A4055">IFNA(index(PlayerValues!A:A,match(IFNA(vlookup(B4055,'Special Names'!A:B,2,FALSE),B4055),PlayerValues!E:E,0)),"N/A")</f>
        <v>13130</v>
      </c>
      <c r="B4055" s="4" t="s">
        <v>374</v>
      </c>
      <c r="C4055" s="4" t="s">
        <v>278</v>
      </c>
      <c r="D4055" s="94">
        <v>5074.0</v>
      </c>
    </row>
    <row r="4056">
      <c r="A4056" s="40">
        <f t="array" ref="A4056">IFNA(index(PlayerValues!A:A,match(IFNA(vlookup(B4056,'Special Names'!A:B,2,FALSE),B4056),PlayerValues!E:E,0)),"N/A")</f>
        <v>15711</v>
      </c>
      <c r="B4056" s="4" t="s">
        <v>349</v>
      </c>
      <c r="C4056" s="4" t="s">
        <v>278</v>
      </c>
      <c r="D4056" s="94">
        <v>5047.0</v>
      </c>
    </row>
    <row r="4057">
      <c r="A4057" s="40">
        <f t="array" ref="A4057">IFNA(index(PlayerValues!A:A,match(IFNA(vlookup(B4057,'Special Names'!A:B,2,FALSE),B4057),PlayerValues!E:E,0)),"N/A")</f>
        <v>16618</v>
      </c>
      <c r="B4057" s="4" t="s">
        <v>411</v>
      </c>
      <c r="C4057" s="4" t="s">
        <v>287</v>
      </c>
      <c r="D4057" s="94">
        <v>5041.0</v>
      </c>
    </row>
    <row r="4058">
      <c r="A4058" s="40">
        <f t="array" ref="A4058">IFNA(index(PlayerValues!A:A,match(IFNA(vlookup(B4058,'Special Names'!A:B,2,FALSE),B4058),PlayerValues!E:E,0)),"N/A")</f>
        <v>12620</v>
      </c>
      <c r="B4058" s="4" t="s">
        <v>394</v>
      </c>
      <c r="C4058" s="4" t="s">
        <v>283</v>
      </c>
      <c r="D4058" s="94">
        <v>5011.0</v>
      </c>
    </row>
    <row r="4059">
      <c r="A4059" s="40">
        <f t="array" ref="A4059">IFNA(index(PlayerValues!A:A,match(IFNA(vlookup(B4059,'Special Names'!A:B,2,FALSE),B4059),PlayerValues!E:E,0)),"N/A")</f>
        <v>16194</v>
      </c>
      <c r="B4059" s="4" t="s">
        <v>398</v>
      </c>
      <c r="C4059" s="4" t="s">
        <v>287</v>
      </c>
      <c r="D4059" s="94">
        <v>5010.0</v>
      </c>
    </row>
    <row r="4060">
      <c r="A4060" s="40">
        <f t="array" ref="A4060">IFNA(index(PlayerValues!A:A,match(IFNA(vlookup(B4060,'Special Names'!A:B,2,FALSE),B4060),PlayerValues!E:E,0)),"N/A")</f>
        <v>17070</v>
      </c>
      <c r="B4060" s="4" t="s">
        <v>370</v>
      </c>
      <c r="C4060" s="4" t="s">
        <v>287</v>
      </c>
      <c r="D4060" s="94">
        <v>4936.0</v>
      </c>
    </row>
    <row r="4061">
      <c r="A4061" s="40">
        <f t="array" ref="A4061">IFNA(index(PlayerValues!A:A,match(IFNA(vlookup(B4061,'Special Names'!A:B,2,FALSE),B4061),PlayerValues!E:E,0)),"N/A")</f>
        <v>16181</v>
      </c>
      <c r="B4061" s="4" t="s">
        <v>350</v>
      </c>
      <c r="C4061" s="4" t="s">
        <v>278</v>
      </c>
      <c r="D4061" s="94">
        <v>4935.0</v>
      </c>
    </row>
    <row r="4062">
      <c r="A4062" s="40">
        <f t="array" ref="A4062">IFNA(index(PlayerValues!A:A,match(IFNA(vlookup(B4062,'Special Names'!A:B,2,FALSE),B4062),PlayerValues!E:E,0)),"N/A")</f>
        <v>17103</v>
      </c>
      <c r="B4062" s="4" t="s">
        <v>405</v>
      </c>
      <c r="C4062" s="4" t="s">
        <v>298</v>
      </c>
      <c r="D4062" s="94">
        <v>5470.0</v>
      </c>
    </row>
    <row r="4063">
      <c r="A4063" s="40">
        <f t="array" ref="A4063">IFNA(index(PlayerValues!A:A,match(IFNA(vlookup(B4063,'Special Names'!A:B,2,FALSE),B4063),PlayerValues!E:E,0)),"N/A")</f>
        <v>16222</v>
      </c>
      <c r="B4063" s="4" t="s">
        <v>393</v>
      </c>
      <c r="C4063" s="4" t="s">
        <v>298</v>
      </c>
      <c r="D4063" s="94">
        <v>5442.0</v>
      </c>
    </row>
    <row r="4064">
      <c r="A4064" s="40">
        <f t="array" ref="A4064">IFNA(index(PlayerValues!A:A,match(IFNA(vlookup(B4064,'Special Names'!A:B,2,FALSE),B4064),PlayerValues!E:E,0)),"N/A")</f>
        <v>15710</v>
      </c>
      <c r="B4064" s="4" t="s">
        <v>395</v>
      </c>
      <c r="C4064" s="4" t="s">
        <v>278</v>
      </c>
      <c r="D4064" s="94">
        <v>4853.0</v>
      </c>
    </row>
    <row r="4065">
      <c r="A4065" s="40">
        <f t="array" ref="A4065">IFNA(index(PlayerValues!A:A,match(IFNA(vlookup(B4065,'Special Names'!A:B,2,FALSE),B4065),PlayerValues!E:E,0)),"N/A")</f>
        <v>13590</v>
      </c>
      <c r="B4065" s="4" t="s">
        <v>409</v>
      </c>
      <c r="C4065" s="4" t="s">
        <v>283</v>
      </c>
      <c r="D4065" s="94">
        <v>4839.0</v>
      </c>
    </row>
    <row r="4066">
      <c r="A4066" s="40">
        <f t="array" ref="A4066">IFNA(index(PlayerValues!A:A,match(IFNA(vlookup(B4066,'Special Names'!A:B,2,FALSE),B4066),PlayerValues!E:E,0)),"N/A")</f>
        <v>13592</v>
      </c>
      <c r="B4066" s="4" t="s">
        <v>418</v>
      </c>
      <c r="C4066" s="4" t="s">
        <v>283</v>
      </c>
      <c r="D4066" s="94">
        <v>4832.0</v>
      </c>
    </row>
    <row r="4067">
      <c r="A4067" s="40">
        <f t="array" ref="A4067">IFNA(index(PlayerValues!A:A,match(IFNA(vlookup(B4067,'Special Names'!A:B,2,FALSE),B4067),PlayerValues!E:E,0)),"N/A")</f>
        <v>16150</v>
      </c>
      <c r="B4067" s="4" t="s">
        <v>414</v>
      </c>
      <c r="C4067" s="4" t="s">
        <v>283</v>
      </c>
      <c r="D4067" s="94">
        <v>4826.0</v>
      </c>
    </row>
    <row r="4068">
      <c r="A4068" s="40">
        <f t="array" ref="A4068">IFNA(index(PlayerValues!A:A,match(IFNA(vlookup(B4068,'Special Names'!A:B,2,FALSE),B4068),PlayerValues!E:E,0)),"N/A")</f>
        <v>14835</v>
      </c>
      <c r="B4068" s="4" t="s">
        <v>392</v>
      </c>
      <c r="C4068" s="4" t="s">
        <v>287</v>
      </c>
      <c r="D4068" s="94">
        <v>4825.0</v>
      </c>
    </row>
    <row r="4069">
      <c r="A4069" s="40" t="str">
        <f t="array" ref="A4069">IFNA(index(PlayerValues!A:A,match(IFNA(vlookup(B4069,'Special Names'!A:B,2,FALSE),B4069),PlayerValues!E:E,0)),"N/A")</f>
        <v>N/A</v>
      </c>
      <c r="B4069" s="4" t="s">
        <v>104</v>
      </c>
      <c r="C4069" s="4" t="s">
        <v>325</v>
      </c>
      <c r="D4069" s="94">
        <v>4825.0</v>
      </c>
    </row>
    <row r="4070">
      <c r="A4070" s="40">
        <f t="array" ref="A4070">IFNA(index(PlayerValues!A:A,match(IFNA(vlookup(B4070,'Special Names'!A:B,2,FALSE),B4070),PlayerValues!E:E,0)),"N/A")</f>
        <v>17045</v>
      </c>
      <c r="B4070" s="4" t="s">
        <v>407</v>
      </c>
      <c r="C4070" s="4" t="s">
        <v>278</v>
      </c>
      <c r="D4070" s="94">
        <v>4822.0</v>
      </c>
    </row>
    <row r="4071">
      <c r="A4071" s="40">
        <f t="array" ref="A4071">IFNA(index(PlayerValues!A:A,match(IFNA(vlookup(B4071,'Special Names'!A:B,2,FALSE),B4071),PlayerValues!E:E,0)),"N/A")</f>
        <v>17498</v>
      </c>
      <c r="B4071" s="4" t="s">
        <v>396</v>
      </c>
      <c r="C4071" s="4" t="s">
        <v>287</v>
      </c>
      <c r="D4071" s="94">
        <v>4820.0</v>
      </c>
    </row>
    <row r="4072">
      <c r="A4072" s="40">
        <f t="array" ref="A4072">IFNA(index(PlayerValues!A:A,match(IFNA(vlookup(B4072,'Special Names'!A:B,2,FALSE),B4072),PlayerValues!E:E,0)),"N/A")</f>
        <v>15282</v>
      </c>
      <c r="B4072" s="4" t="s">
        <v>364</v>
      </c>
      <c r="C4072" s="4" t="s">
        <v>287</v>
      </c>
      <c r="D4072" s="94">
        <v>4797.0</v>
      </c>
    </row>
    <row r="4073">
      <c r="A4073" s="40" t="str">
        <f t="array" ref="A4073">IFNA(index(PlayerValues!A:A,match(IFNA(vlookup(B4073,'Special Names'!A:B,2,FALSE),B4073),PlayerValues!E:E,0)),"N/A")</f>
        <v>N/A</v>
      </c>
      <c r="B4073" s="4" t="s">
        <v>94</v>
      </c>
      <c r="C4073" s="4" t="s">
        <v>325</v>
      </c>
      <c r="D4073" s="94">
        <v>4788.0</v>
      </c>
    </row>
    <row r="4074">
      <c r="A4074" s="40">
        <f t="array" ref="A4074">IFNA(index(PlayerValues!A:A,match(IFNA(vlookup(B4074,'Special Names'!A:B,2,FALSE),B4074),PlayerValues!E:E,0)),"N/A")</f>
        <v>13604</v>
      </c>
      <c r="B4074" s="4" t="s">
        <v>378</v>
      </c>
      <c r="C4074" s="4" t="s">
        <v>278</v>
      </c>
      <c r="D4074" s="94">
        <v>4781.0</v>
      </c>
    </row>
    <row r="4075">
      <c r="A4075" s="40">
        <f t="array" ref="A4075">IFNA(index(PlayerValues!A:A,match(IFNA(vlookup(B4075,'Special Names'!A:B,2,FALSE),B4075),PlayerValues!E:E,0)),"N/A")</f>
        <v>14104</v>
      </c>
      <c r="B4075" s="4" t="s">
        <v>379</v>
      </c>
      <c r="C4075" s="4" t="s">
        <v>287</v>
      </c>
      <c r="D4075" s="94">
        <v>4743.0</v>
      </c>
    </row>
    <row r="4076">
      <c r="A4076" s="40">
        <f t="array" ref="A4076">IFNA(index(PlayerValues!A:A,match(IFNA(vlookup(B4076,'Special Names'!A:B,2,FALSE),B4076),PlayerValues!E:E,0)),"N/A")</f>
        <v>15756</v>
      </c>
      <c r="B4076" s="4" t="s">
        <v>399</v>
      </c>
      <c r="C4076" s="4" t="s">
        <v>287</v>
      </c>
      <c r="D4076" s="94">
        <v>4740.0</v>
      </c>
    </row>
    <row r="4077">
      <c r="A4077" s="40">
        <f t="array" ref="A4077">IFNA(index(PlayerValues!A:A,match(IFNA(vlookup(B4077,'Special Names'!A:B,2,FALSE),B4077),PlayerValues!E:E,0)),"N/A")</f>
        <v>16190</v>
      </c>
      <c r="B4077" s="4" t="s">
        <v>371</v>
      </c>
      <c r="C4077" s="4" t="s">
        <v>287</v>
      </c>
      <c r="D4077" s="94">
        <v>4697.0</v>
      </c>
    </row>
    <row r="4078">
      <c r="A4078" s="40" t="str">
        <f t="array" ref="A4078">IFNA(index(PlayerValues!A:A,match(IFNA(vlookup(B4078,'Special Names'!A:B,2,FALSE),B4078),PlayerValues!E:E,0)),"N/A")</f>
        <v>N/A</v>
      </c>
      <c r="B4078" s="4" t="s">
        <v>80</v>
      </c>
      <c r="C4078" s="4" t="s">
        <v>325</v>
      </c>
      <c r="D4078" s="94">
        <v>4696.0</v>
      </c>
    </row>
    <row r="4079">
      <c r="A4079" s="40">
        <f t="array" ref="A4079">IFNA(index(PlayerValues!A:A,match(IFNA(vlookup(B4079,'Special Names'!A:B,2,FALSE),B4079),PlayerValues!E:E,0)),"N/A")</f>
        <v>12611</v>
      </c>
      <c r="B4079" s="4" t="s">
        <v>410</v>
      </c>
      <c r="C4079" s="4" t="s">
        <v>283</v>
      </c>
      <c r="D4079" s="94">
        <v>4622.0</v>
      </c>
    </row>
    <row r="4080">
      <c r="A4080" s="40">
        <f t="array" ref="A4080">IFNA(index(PlayerValues!A:A,match(IFNA(vlookup(B4080,'Special Names'!A:B,2,FALSE),B4080),PlayerValues!E:E,0)),"N/A")</f>
        <v>15284</v>
      </c>
      <c r="B4080" s="4" t="s">
        <v>390</v>
      </c>
      <c r="C4080" s="4" t="s">
        <v>287</v>
      </c>
      <c r="D4080" s="94">
        <v>4606.0</v>
      </c>
    </row>
    <row r="4081">
      <c r="A4081" s="40">
        <f t="array" ref="A4081">IFNA(index(PlayerValues!A:A,match(IFNA(vlookup(B4081,'Special Names'!A:B,2,FALSE),B4081),PlayerValues!E:E,0)),"N/A")</f>
        <v>17039</v>
      </c>
      <c r="B4081" s="4" t="s">
        <v>400</v>
      </c>
      <c r="C4081" s="4" t="s">
        <v>283</v>
      </c>
      <c r="D4081" s="94">
        <v>4599.0</v>
      </c>
    </row>
    <row r="4082">
      <c r="A4082" s="40">
        <f t="array" ref="A4082">IFNA(index(PlayerValues!A:A,match(IFNA(vlookup(B4082,'Special Names'!A:B,2,FALSE),B4082),PlayerValues!E:E,0)),"N/A")</f>
        <v>16214</v>
      </c>
      <c r="B4082" s="4" t="s">
        <v>413</v>
      </c>
      <c r="C4082" s="4" t="s">
        <v>298</v>
      </c>
      <c r="D4082" s="94">
        <v>5132.0</v>
      </c>
    </row>
    <row r="4083">
      <c r="A4083" s="40">
        <f t="array" ref="A4083">IFNA(index(PlayerValues!A:A,match(IFNA(vlookup(B4083,'Special Names'!A:B,2,FALSE),B4083),PlayerValues!E:E,0)),"N/A")</f>
        <v>15329</v>
      </c>
      <c r="B4083" s="4" t="s">
        <v>416</v>
      </c>
      <c r="C4083" s="4" t="s">
        <v>298</v>
      </c>
      <c r="D4083" s="94">
        <v>5103.0</v>
      </c>
    </row>
    <row r="4084">
      <c r="A4084" s="40">
        <f t="array" ref="A4084">IFNA(index(PlayerValues!A:A,match(IFNA(vlookup(B4084,'Special Names'!A:B,2,FALSE),B4084),PlayerValues!E:E,0)),"N/A")</f>
        <v>15256</v>
      </c>
      <c r="B4084" s="4" t="s">
        <v>401</v>
      </c>
      <c r="C4084" s="4" t="s">
        <v>278</v>
      </c>
      <c r="D4084" s="94">
        <v>4548.0</v>
      </c>
    </row>
    <row r="4085">
      <c r="A4085" s="40">
        <f t="array" ref="A4085">IFNA(index(PlayerValues!A:A,match(IFNA(vlookup(B4085,'Special Names'!A:B,2,FALSE),B4085),PlayerValues!E:E,0)),"N/A")</f>
        <v>15253</v>
      </c>
      <c r="B4085" s="4" t="s">
        <v>415</v>
      </c>
      <c r="C4085" s="4" t="s">
        <v>278</v>
      </c>
      <c r="D4085" s="94">
        <v>4500.0</v>
      </c>
    </row>
    <row r="4086">
      <c r="A4086" s="40">
        <f t="array" ref="A4086">IFNA(index(PlayerValues!A:A,match(IFNA(vlookup(B4086,'Special Names'!A:B,2,FALSE),B4086),PlayerValues!E:E,0)),"N/A")</f>
        <v>17068</v>
      </c>
      <c r="B4086" s="4" t="s">
        <v>450</v>
      </c>
      <c r="C4086" s="4" t="s">
        <v>278</v>
      </c>
      <c r="D4086" s="94">
        <v>4472.0</v>
      </c>
    </row>
    <row r="4087">
      <c r="A4087" s="40">
        <f t="array" ref="A4087">IFNA(index(PlayerValues!A:A,match(IFNA(vlookup(B4087,'Special Names'!A:B,2,FALSE),B4087),PlayerValues!E:E,0)),"N/A")</f>
        <v>14073</v>
      </c>
      <c r="B4087" s="4" t="s">
        <v>464</v>
      </c>
      <c r="C4087" s="4" t="s">
        <v>278</v>
      </c>
      <c r="D4087" s="94">
        <v>4462.0</v>
      </c>
    </row>
    <row r="4088">
      <c r="A4088" s="40">
        <f t="array" ref="A4088">IFNA(index(PlayerValues!A:A,match(IFNA(vlookup(B4088,'Special Names'!A:B,2,FALSE),B4088),PlayerValues!E:E,0)),"N/A")</f>
        <v>16148</v>
      </c>
      <c r="B4088" s="4" t="s">
        <v>426</v>
      </c>
      <c r="C4088" s="4" t="s">
        <v>283</v>
      </c>
      <c r="D4088" s="94">
        <v>4445.0</v>
      </c>
    </row>
    <row r="4089">
      <c r="A4089" s="40" t="str">
        <f t="array" ref="A4089">IFNA(index(PlayerValues!A:A,match(IFNA(vlookup(B4089,'Special Names'!A:B,2,FALSE),B4089),PlayerValues!E:E,0)),"N/A")</f>
        <v>N/A</v>
      </c>
      <c r="B4089" s="4" t="s">
        <v>105</v>
      </c>
      <c r="C4089" s="4" t="s">
        <v>325</v>
      </c>
      <c r="D4089" s="94">
        <v>4443.0</v>
      </c>
    </row>
    <row r="4090">
      <c r="A4090" s="40" t="str">
        <f t="array" ref="A4090">IFNA(index(PlayerValues!A:A,match(IFNA(vlookup(B4090,'Special Names'!A:B,2,FALSE),B4090),PlayerValues!E:E,0)),"N/A")</f>
        <v>N/A</v>
      </c>
      <c r="B4090" s="4" t="s">
        <v>81</v>
      </c>
      <c r="C4090" s="4" t="s">
        <v>325</v>
      </c>
      <c r="D4090" s="94">
        <v>4231.0</v>
      </c>
    </row>
    <row r="4091">
      <c r="A4091" s="40">
        <f t="array" ref="A4091">IFNA(index(PlayerValues!A:A,match(IFNA(vlookup(B4091,'Special Names'!A:B,2,FALSE),B4091),PlayerValues!E:E,0)),"N/A")</f>
        <v>16186</v>
      </c>
      <c r="B4091" s="4" t="s">
        <v>425</v>
      </c>
      <c r="C4091" s="4" t="s">
        <v>287</v>
      </c>
      <c r="D4091" s="94">
        <v>4155.0</v>
      </c>
    </row>
    <row r="4092">
      <c r="A4092" s="40">
        <f t="array" ref="A4092">IFNA(index(PlayerValues!A:A,match(IFNA(vlookup(B4092,'Special Names'!A:B,2,FALSE),B4092),PlayerValues!E:E,0)),"N/A")</f>
        <v>17099</v>
      </c>
      <c r="B4092" s="4" t="s">
        <v>474</v>
      </c>
      <c r="C4092" s="4" t="s">
        <v>298</v>
      </c>
      <c r="D4092" s="94">
        <v>4653.0</v>
      </c>
    </row>
    <row r="4093">
      <c r="A4093" s="40">
        <f t="array" ref="A4093">IFNA(index(PlayerValues!A:A,match(IFNA(vlookup(B4093,'Special Names'!A:B,2,FALSE),B4093),PlayerValues!E:E,0)),"N/A")</f>
        <v>14059</v>
      </c>
      <c r="B4093" s="4" t="s">
        <v>435</v>
      </c>
      <c r="C4093" s="4" t="s">
        <v>283</v>
      </c>
      <c r="D4093" s="94">
        <v>4050.0</v>
      </c>
    </row>
    <row r="4094">
      <c r="A4094" s="40">
        <f t="array" ref="A4094">IFNA(index(PlayerValues!A:A,match(IFNA(vlookup(B4094,'Special Names'!A:B,2,FALSE),B4094),PlayerValues!E:E,0)),"N/A")</f>
        <v>17074</v>
      </c>
      <c r="B4094" s="4" t="s">
        <v>475</v>
      </c>
      <c r="C4094" s="4" t="s">
        <v>287</v>
      </c>
      <c r="D4094" s="94">
        <v>4043.0</v>
      </c>
    </row>
    <row r="4095">
      <c r="A4095" s="40" t="str">
        <f t="array" ref="A4095">IFNA(index(PlayerValues!A:A,match(IFNA(vlookup(B4095,'Special Names'!A:B,2,FALSE),B4095),PlayerValues!E:E,0)),"N/A")</f>
        <v>N/A</v>
      </c>
      <c r="B4095" s="4" t="s">
        <v>107</v>
      </c>
      <c r="C4095" s="4" t="s">
        <v>325</v>
      </c>
      <c r="D4095" s="94">
        <v>4032.0</v>
      </c>
    </row>
    <row r="4096">
      <c r="A4096" s="40">
        <f t="array" ref="A4096">IFNA(index(PlayerValues!A:A,match(IFNA(vlookup(B4096,'Special Names'!A:B,2,FALSE),B4096),PlayerValues!E:E,0)),"N/A")</f>
        <v>17543</v>
      </c>
      <c r="B4096" s="4" t="s">
        <v>436</v>
      </c>
      <c r="C4096" s="4" t="s">
        <v>298</v>
      </c>
      <c r="D4096" s="94">
        <v>4507.0</v>
      </c>
    </row>
    <row r="4097">
      <c r="A4097" s="40">
        <f t="array" ref="A4097">IFNA(index(PlayerValues!A:A,match(IFNA(vlookup(B4097,'Special Names'!A:B,2,FALSE),B4097),PlayerValues!E:E,0)),"N/A")</f>
        <v>16622</v>
      </c>
      <c r="B4097" s="4" t="s">
        <v>517</v>
      </c>
      <c r="C4097" s="4" t="s">
        <v>287</v>
      </c>
      <c r="D4097" s="94">
        <v>3972.0</v>
      </c>
    </row>
    <row r="4098">
      <c r="A4098" s="40">
        <f t="array" ref="A4098">IFNA(index(PlayerValues!A:A,match(IFNA(vlookup(B4098,'Special Names'!A:B,2,FALSE),B4098),PlayerValues!E:E,0)),"N/A")</f>
        <v>15768</v>
      </c>
      <c r="B4098" s="4" t="s">
        <v>432</v>
      </c>
      <c r="C4098" s="4" t="s">
        <v>287</v>
      </c>
      <c r="D4098" s="94">
        <v>3964.0</v>
      </c>
    </row>
    <row r="4099">
      <c r="A4099" s="40">
        <f t="array" ref="A4099">IFNA(index(PlayerValues!A:A,match(IFNA(vlookup(B4099,'Special Names'!A:B,2,FALSE),B4099),PlayerValues!E:E,0)),"N/A")</f>
        <v>12626</v>
      </c>
      <c r="B4099" s="4" t="s">
        <v>419</v>
      </c>
      <c r="C4099" s="4" t="s">
        <v>278</v>
      </c>
      <c r="D4099" s="94">
        <v>3932.0</v>
      </c>
    </row>
    <row r="4100">
      <c r="A4100" s="40">
        <f t="array" ref="A4100">IFNA(index(PlayerValues!A:A,match(IFNA(vlookup(B4100,'Special Names'!A:B,2,FALSE),B4100),PlayerValues!E:E,0)),"N/A")</f>
        <v>16206</v>
      </c>
      <c r="B4100" s="4" t="s">
        <v>431</v>
      </c>
      <c r="C4100" s="4" t="s">
        <v>287</v>
      </c>
      <c r="D4100" s="94">
        <v>3893.0</v>
      </c>
    </row>
    <row r="4101">
      <c r="A4101" s="40">
        <f t="array" ref="A4101">IFNA(index(PlayerValues!A:A,match(IFNA(vlookup(B4101,'Special Names'!A:B,2,FALSE),B4101),PlayerValues!E:E,0)),"N/A")</f>
        <v>17083</v>
      </c>
      <c r="B4101" s="4" t="s">
        <v>479</v>
      </c>
      <c r="C4101" s="4" t="s">
        <v>287</v>
      </c>
      <c r="D4101" s="94">
        <v>3847.0</v>
      </c>
    </row>
    <row r="4102">
      <c r="A4102" s="40">
        <f t="array" ref="A4102">IFNA(index(PlayerValues!A:A,match(IFNA(vlookup(B4102,'Special Names'!A:B,2,FALSE),B4102),PlayerValues!E:E,0)),"N/A")</f>
        <v>14102</v>
      </c>
      <c r="B4102" s="4" t="s">
        <v>444</v>
      </c>
      <c r="C4102" s="4" t="s">
        <v>287</v>
      </c>
      <c r="D4102" s="94">
        <v>3843.0</v>
      </c>
    </row>
    <row r="4103">
      <c r="A4103" s="40" t="str">
        <f t="array" ref="A4103">IFNA(index(PlayerValues!A:A,match(IFNA(vlookup(B4103,'Special Names'!A:B,2,FALSE),B4103),PlayerValues!E:E,0)),"N/A")</f>
        <v>N/A</v>
      </c>
      <c r="B4103" s="4" t="s">
        <v>95</v>
      </c>
      <c r="C4103" s="4" t="s">
        <v>325</v>
      </c>
      <c r="D4103" s="94">
        <v>3843.0</v>
      </c>
    </row>
    <row r="4104">
      <c r="A4104" s="40">
        <f t="array" ref="A4104">IFNA(index(PlayerValues!A:A,match(IFNA(vlookup(B4104,'Special Names'!A:B,2,FALSE),B4104),PlayerValues!E:E,0)),"N/A")</f>
        <v>17501</v>
      </c>
      <c r="B4104" s="4" t="s">
        <v>404</v>
      </c>
      <c r="C4104" s="4" t="s">
        <v>287</v>
      </c>
      <c r="D4104" s="94">
        <v>3842.0</v>
      </c>
    </row>
    <row r="4105">
      <c r="A4105" s="40">
        <f t="array" ref="A4105">IFNA(index(PlayerValues!A:A,match(IFNA(vlookup(B4105,'Special Names'!A:B,2,FALSE),B4105),PlayerValues!E:E,0)),"N/A")</f>
        <v>17066</v>
      </c>
      <c r="B4105" s="4" t="s">
        <v>446</v>
      </c>
      <c r="C4105" s="4" t="s">
        <v>278</v>
      </c>
      <c r="D4105" s="94">
        <v>3811.0</v>
      </c>
    </row>
    <row r="4106">
      <c r="A4106" s="40">
        <f t="array" ref="A4106">IFNA(index(PlayerValues!A:A,match(IFNA(vlookup(B4106,'Special Names'!A:B,2,FALSE),B4106),PlayerValues!E:E,0)),"N/A")</f>
        <v>17500</v>
      </c>
      <c r="B4106" s="4" t="s">
        <v>430</v>
      </c>
      <c r="C4106" s="4" t="s">
        <v>287</v>
      </c>
      <c r="D4106" s="94">
        <v>3796.0</v>
      </c>
    </row>
    <row r="4107">
      <c r="A4107" s="40">
        <f t="array" ref="A4107">IFNA(index(PlayerValues!A:A,match(IFNA(vlookup(B4107,'Special Names'!A:B,2,FALSE),B4107),PlayerValues!E:E,0)),"N/A")</f>
        <v>15789</v>
      </c>
      <c r="B4107" s="4" t="s">
        <v>421</v>
      </c>
      <c r="C4107" s="4" t="s">
        <v>287</v>
      </c>
      <c r="D4107" s="94">
        <v>3760.0</v>
      </c>
    </row>
    <row r="4108">
      <c r="A4108" s="40">
        <f t="array" ref="A4108">IFNA(index(PlayerValues!A:A,match(IFNA(vlookup(B4108,'Special Names'!A:B,2,FALSE),B4108),PlayerValues!E:E,0)),"N/A")</f>
        <v>14797</v>
      </c>
      <c r="B4108" s="4" t="s">
        <v>420</v>
      </c>
      <c r="C4108" s="4" t="s">
        <v>278</v>
      </c>
      <c r="D4108" s="94">
        <v>3719.0</v>
      </c>
    </row>
    <row r="4109">
      <c r="A4109" s="40">
        <f t="array" ref="A4109">IFNA(index(PlayerValues!A:A,match(IFNA(vlookup(B4109,'Special Names'!A:B,2,FALSE),B4109),PlayerValues!E:E,0)),"N/A")</f>
        <v>16192</v>
      </c>
      <c r="B4109" s="4" t="s">
        <v>412</v>
      </c>
      <c r="C4109" s="4" t="s">
        <v>287</v>
      </c>
      <c r="D4109" s="94">
        <v>3705.0</v>
      </c>
    </row>
    <row r="4110">
      <c r="A4110" s="40">
        <f t="array" ref="A4110">IFNA(index(PlayerValues!A:A,match(IFNA(vlookup(B4110,'Special Names'!A:B,2,FALSE),B4110),PlayerValues!E:E,0)),"N/A")</f>
        <v>9431</v>
      </c>
      <c r="B4110" s="4" t="s">
        <v>428</v>
      </c>
      <c r="C4110" s="4" t="s">
        <v>283</v>
      </c>
      <c r="D4110" s="94">
        <v>3697.0</v>
      </c>
    </row>
    <row r="4111">
      <c r="A4111" s="40">
        <f t="array" ref="A4111">IFNA(index(PlayerValues!A:A,match(IFNA(vlookup(B4111,'Special Names'!A:B,2,FALSE),B4111),PlayerValues!E:E,0)),"N/A")</f>
        <v>11675</v>
      </c>
      <c r="B4111" s="4" t="s">
        <v>438</v>
      </c>
      <c r="C4111" s="4" t="s">
        <v>287</v>
      </c>
      <c r="D4111" s="94">
        <v>3692.0</v>
      </c>
    </row>
    <row r="4112">
      <c r="A4112" s="40">
        <f t="array" ref="A4112">IFNA(index(PlayerValues!A:A,match(IFNA(vlookup(B4112,'Special Names'!A:B,2,FALSE),B4112),PlayerValues!E:E,0)),"N/A")</f>
        <v>14056</v>
      </c>
      <c r="B4112" s="4" t="s">
        <v>423</v>
      </c>
      <c r="C4112" s="4" t="s">
        <v>283</v>
      </c>
      <c r="D4112" s="94">
        <v>3614.0</v>
      </c>
    </row>
    <row r="4113">
      <c r="A4113" s="40">
        <f t="array" ref="A4113">IFNA(index(PlayerValues!A:A,match(IFNA(vlookup(B4113,'Special Names'!A:B,2,FALSE),B4113),PlayerValues!E:E,0)),"N/A")</f>
        <v>17075</v>
      </c>
      <c r="B4113" s="4" t="s">
        <v>429</v>
      </c>
      <c r="C4113" s="4" t="s">
        <v>287</v>
      </c>
      <c r="D4113" s="94">
        <v>3608.0</v>
      </c>
    </row>
    <row r="4114">
      <c r="A4114" s="40">
        <f t="array" ref="A4114">IFNA(index(PlayerValues!A:A,match(IFNA(vlookup(B4114,'Special Names'!A:B,2,FALSE),B4114),PlayerValues!E:E,0)),"N/A")</f>
        <v>15757</v>
      </c>
      <c r="B4114" s="4" t="s">
        <v>449</v>
      </c>
      <c r="C4114" s="4" t="s">
        <v>287</v>
      </c>
      <c r="D4114" s="94">
        <v>3606.0</v>
      </c>
    </row>
    <row r="4115">
      <c r="A4115" s="40">
        <f t="array" ref="A4115">IFNA(index(PlayerValues!A:A,match(IFNA(vlookup(B4115,'Special Names'!A:B,2,FALSE),B4115),PlayerValues!E:E,0)),"N/A")</f>
        <v>14842</v>
      </c>
      <c r="B4115" s="4" t="s">
        <v>456</v>
      </c>
      <c r="C4115" s="4" t="s">
        <v>287</v>
      </c>
      <c r="D4115" s="94">
        <v>3597.0</v>
      </c>
    </row>
    <row r="4116">
      <c r="A4116" s="40">
        <f t="array" ref="A4116">IFNA(index(PlayerValues!A:A,match(IFNA(vlookup(B4116,'Special Names'!A:B,2,FALSE),B4116),PlayerValues!E:E,0)),"N/A")</f>
        <v>16213</v>
      </c>
      <c r="B4116" s="4" t="s">
        <v>458</v>
      </c>
      <c r="C4116" s="4" t="s">
        <v>298</v>
      </c>
      <c r="D4116" s="94">
        <v>4039.0</v>
      </c>
    </row>
    <row r="4117">
      <c r="A4117" s="40">
        <f t="array" ref="A4117">IFNA(index(PlayerValues!A:A,match(IFNA(vlookup(B4117,'Special Names'!A:B,2,FALSE),B4117),PlayerValues!E:E,0)),"N/A")</f>
        <v>16583</v>
      </c>
      <c r="B4117" s="4" t="s">
        <v>493</v>
      </c>
      <c r="C4117" s="4" t="s">
        <v>283</v>
      </c>
      <c r="D4117" s="94">
        <v>3561.0</v>
      </c>
    </row>
    <row r="4118">
      <c r="A4118" s="40">
        <f t="array" ref="A4118">IFNA(index(PlayerValues!A:A,match(IFNA(vlookup(B4118,'Special Names'!A:B,2,FALSE),B4118),PlayerValues!E:E,0)),"N/A")</f>
        <v>16169</v>
      </c>
      <c r="B4118" s="4" t="s">
        <v>457</v>
      </c>
      <c r="C4118" s="4" t="s">
        <v>278</v>
      </c>
      <c r="D4118" s="94">
        <v>3545.0</v>
      </c>
    </row>
    <row r="4119">
      <c r="A4119" s="40">
        <f t="array" ref="A4119">IFNA(index(PlayerValues!A:A,match(IFNA(vlookup(B4119,'Special Names'!A:B,2,FALSE),B4119),PlayerValues!E:E,0)),"N/A")</f>
        <v>16188</v>
      </c>
      <c r="B4119" s="4" t="s">
        <v>439</v>
      </c>
      <c r="C4119" s="4" t="s">
        <v>287</v>
      </c>
      <c r="D4119" s="94">
        <v>3534.0</v>
      </c>
    </row>
    <row r="4120">
      <c r="A4120" s="40">
        <f t="array" ref="A4120">IFNA(index(PlayerValues!A:A,match(IFNA(vlookup(B4120,'Special Names'!A:B,2,FALSE),B4120),PlayerValues!E:E,0)),"N/A")</f>
        <v>16584</v>
      </c>
      <c r="B4120" s="4" t="s">
        <v>569</v>
      </c>
      <c r="C4120" s="4" t="s">
        <v>283</v>
      </c>
      <c r="D4120" s="94">
        <v>3509.0</v>
      </c>
    </row>
    <row r="4121">
      <c r="A4121" s="40">
        <f t="array" ref="A4121">IFNA(index(PlayerValues!A:A,match(IFNA(vlookup(B4121,'Special Names'!A:B,2,FALSE),B4121),PlayerValues!E:E,0)),"N/A")</f>
        <v>16593</v>
      </c>
      <c r="B4121" s="4" t="s">
        <v>442</v>
      </c>
      <c r="C4121" s="4" t="s">
        <v>278</v>
      </c>
      <c r="D4121" s="94">
        <v>3499.0</v>
      </c>
    </row>
    <row r="4122">
      <c r="A4122" s="40">
        <f t="array" ref="A4122">IFNA(index(PlayerValues!A:A,match(IFNA(vlookup(B4122,'Special Names'!A:B,2,FALSE),B4122),PlayerValues!E:E,0)),"N/A")</f>
        <v>15694</v>
      </c>
      <c r="B4122" s="4" t="s">
        <v>434</v>
      </c>
      <c r="C4122" s="4" t="s">
        <v>283</v>
      </c>
      <c r="D4122" s="94">
        <v>3492.0</v>
      </c>
    </row>
    <row r="4123">
      <c r="A4123" s="40">
        <f t="array" ref="A4123">IFNA(index(PlayerValues!A:A,match(IFNA(vlookup(B4123,'Special Names'!A:B,2,FALSE),B4123),PlayerValues!E:E,0)),"N/A")</f>
        <v>17052</v>
      </c>
      <c r="B4123" s="4" t="s">
        <v>417</v>
      </c>
      <c r="C4123" s="4" t="s">
        <v>278</v>
      </c>
      <c r="D4123" s="94">
        <v>3491.0</v>
      </c>
    </row>
    <row r="4124">
      <c r="A4124" s="40">
        <f t="array" ref="A4124">IFNA(index(PlayerValues!A:A,match(IFNA(vlookup(B4124,'Special Names'!A:B,2,FALSE),B4124),PlayerValues!E:E,0)),"N/A")</f>
        <v>16620</v>
      </c>
      <c r="B4124" s="4" t="s">
        <v>467</v>
      </c>
      <c r="C4124" s="4" t="s">
        <v>287</v>
      </c>
      <c r="D4124" s="94">
        <v>3483.0</v>
      </c>
    </row>
    <row r="4125">
      <c r="A4125" s="40">
        <f t="array" ref="A4125">IFNA(index(PlayerValues!A:A,match(IFNA(vlookup(B4125,'Special Names'!A:B,2,FALSE),B4125),PlayerValues!E:E,0)),"N/A")</f>
        <v>15742</v>
      </c>
      <c r="B4125" s="4" t="s">
        <v>447</v>
      </c>
      <c r="C4125" s="4" t="s">
        <v>278</v>
      </c>
      <c r="D4125" s="94">
        <v>3481.0</v>
      </c>
    </row>
    <row r="4126">
      <c r="A4126" s="40" t="str">
        <f t="array" ref="A4126">IFNA(index(PlayerValues!A:A,match(IFNA(vlookup(B4126,'Special Names'!A:B,2,FALSE),B4126),PlayerValues!E:E,0)),"N/A")</f>
        <v>N/A</v>
      </c>
      <c r="B4126" s="4" t="s">
        <v>82</v>
      </c>
      <c r="C4126" s="4" t="s">
        <v>325</v>
      </c>
      <c r="D4126" s="94">
        <v>3478.0</v>
      </c>
    </row>
    <row r="4127">
      <c r="A4127" s="40">
        <f t="array" ref="A4127">IFNA(index(PlayerValues!A:A,match(IFNA(vlookup(B4127,'Special Names'!A:B,2,FALSE),B4127),PlayerValues!E:E,0)),"N/A")</f>
        <v>14127</v>
      </c>
      <c r="B4127" s="4" t="s">
        <v>486</v>
      </c>
      <c r="C4127" s="4" t="s">
        <v>287</v>
      </c>
      <c r="D4127" s="94">
        <v>3443.0</v>
      </c>
    </row>
    <row r="4128">
      <c r="A4128" s="40">
        <f t="array" ref="A4128">IFNA(index(PlayerValues!A:A,match(IFNA(vlookup(B4128,'Special Names'!A:B,2,FALSE),B4128),PlayerValues!E:E,0)),"N/A")</f>
        <v>13299</v>
      </c>
      <c r="B4128" s="4" t="s">
        <v>448</v>
      </c>
      <c r="C4128" s="4" t="s">
        <v>298</v>
      </c>
      <c r="D4128" s="94">
        <v>3888.0</v>
      </c>
    </row>
    <row r="4129">
      <c r="A4129" s="40" t="str">
        <f t="array" ref="A4129">IFNA(index(PlayerValues!A:A,match(IFNA(vlookup(B4129,'Special Names'!A:B,2,FALSE),B4129),PlayerValues!E:E,0)),"N/A")</f>
        <v>N/A</v>
      </c>
      <c r="B4129" s="4" t="s">
        <v>96</v>
      </c>
      <c r="C4129" s="4" t="s">
        <v>325</v>
      </c>
      <c r="D4129" s="94">
        <v>3405.0</v>
      </c>
    </row>
    <row r="4130">
      <c r="A4130" s="40">
        <f t="array" ref="A4130">IFNA(index(PlayerValues!A:A,match(IFNA(vlookup(B4130,'Special Names'!A:B,2,FALSE),B4130),PlayerValues!E:E,0)),"N/A")</f>
        <v>15799</v>
      </c>
      <c r="B4130" s="4" t="s">
        <v>468</v>
      </c>
      <c r="C4130" s="4" t="s">
        <v>298</v>
      </c>
      <c r="D4130" s="94">
        <v>3845.0</v>
      </c>
    </row>
    <row r="4131">
      <c r="A4131" s="40">
        <f t="array" ref="A4131">IFNA(index(PlayerValues!A:A,match(IFNA(vlookup(B4131,'Special Names'!A:B,2,FALSE),B4131),PlayerValues!E:E,0)),"N/A")</f>
        <v>14109</v>
      </c>
      <c r="B4131" s="4" t="s">
        <v>437</v>
      </c>
      <c r="C4131" s="4" t="s">
        <v>287</v>
      </c>
      <c r="D4131" s="94">
        <v>3390.0</v>
      </c>
    </row>
    <row r="4132">
      <c r="A4132" s="40">
        <f t="array" ref="A4132">IFNA(index(PlayerValues!A:A,match(IFNA(vlookup(B4132,'Special Names'!A:B,2,FALSE),B4132),PlayerValues!E:E,0)),"N/A")</f>
        <v>13630</v>
      </c>
      <c r="B4132" s="4" t="s">
        <v>465</v>
      </c>
      <c r="C4132" s="4" t="s">
        <v>287</v>
      </c>
      <c r="D4132" s="94">
        <v>3364.0</v>
      </c>
    </row>
    <row r="4133">
      <c r="A4133" s="40">
        <f t="array" ref="A4133">IFNA(index(PlayerValues!A:A,match(IFNA(vlookup(B4133,'Special Names'!A:B,2,FALSE),B4133),PlayerValues!E:E,0)),"N/A")</f>
        <v>16594</v>
      </c>
      <c r="B4133" s="4" t="s">
        <v>607</v>
      </c>
      <c r="C4133" s="4" t="s">
        <v>278</v>
      </c>
      <c r="D4133" s="94">
        <v>3354.0</v>
      </c>
    </row>
    <row r="4134">
      <c r="A4134" s="40">
        <f t="array" ref="A4134">IFNA(index(PlayerValues!A:A,match(IFNA(vlookup(B4134,'Special Names'!A:B,2,FALSE),B4134),PlayerValues!E:E,0)),"N/A")</f>
        <v>15712</v>
      </c>
      <c r="B4134" s="4" t="s">
        <v>488</v>
      </c>
      <c r="C4134" s="4" t="s">
        <v>278</v>
      </c>
      <c r="D4134" s="94">
        <v>3348.0</v>
      </c>
    </row>
    <row r="4135">
      <c r="A4135" s="40">
        <f t="array" ref="A4135">IFNA(index(PlayerValues!A:A,match(IFNA(vlookup(B4135,'Special Names'!A:B,2,FALSE),B4135),PlayerValues!E:E,0)),"N/A")</f>
        <v>17053</v>
      </c>
      <c r="B4135" s="4" t="s">
        <v>484</v>
      </c>
      <c r="C4135" s="4" t="s">
        <v>278</v>
      </c>
      <c r="D4135" s="94">
        <v>3311.0</v>
      </c>
    </row>
    <row r="4136">
      <c r="A4136" s="40">
        <f t="array" ref="A4136">IFNA(index(PlayerValues!A:A,match(IFNA(vlookup(B4136,'Special Names'!A:B,2,FALSE),B4136),PlayerValues!E:E,0)),"N/A")</f>
        <v>16184</v>
      </c>
      <c r="B4136" s="4" t="s">
        <v>445</v>
      </c>
      <c r="C4136" s="4" t="s">
        <v>287</v>
      </c>
      <c r="D4136" s="94">
        <v>3309.0</v>
      </c>
    </row>
    <row r="4137">
      <c r="A4137" s="40">
        <f t="array" ref="A4137">IFNA(index(PlayerValues!A:A,match(IFNA(vlookup(B4137,'Special Names'!A:B,2,FALSE),B4137),PlayerValues!E:E,0)),"N/A")</f>
        <v>17473</v>
      </c>
      <c r="B4137" s="4" t="s">
        <v>391</v>
      </c>
      <c r="C4137" s="4" t="s">
        <v>278</v>
      </c>
      <c r="D4137" s="94">
        <v>3286.0</v>
      </c>
    </row>
    <row r="4138">
      <c r="A4138" s="40">
        <f t="array" ref="A4138">IFNA(index(PlayerValues!A:A,match(IFNA(vlookup(B4138,'Special Names'!A:B,2,FALSE),B4138),PlayerValues!E:E,0)),"N/A")</f>
        <v>16809</v>
      </c>
      <c r="B4138" s="4" t="s">
        <v>455</v>
      </c>
      <c r="C4138" s="4" t="s">
        <v>287</v>
      </c>
      <c r="D4138" s="94">
        <v>3277.0</v>
      </c>
    </row>
    <row r="4139">
      <c r="A4139" s="40">
        <f t="array" ref="A4139">IFNA(index(PlayerValues!A:A,match(IFNA(vlookup(B4139,'Special Names'!A:B,2,FALSE),B4139),PlayerValues!E:E,0)),"N/A")</f>
        <v>13635</v>
      </c>
      <c r="B4139" s="4" t="s">
        <v>424</v>
      </c>
      <c r="C4139" s="4" t="s">
        <v>287</v>
      </c>
      <c r="D4139" s="94">
        <v>3273.0</v>
      </c>
    </row>
    <row r="4140">
      <c r="A4140" s="40">
        <f t="array" ref="A4140">IFNA(index(PlayerValues!A:A,match(IFNA(vlookup(B4140,'Special Names'!A:B,2,FALSE),B4140),PlayerValues!E:E,0)),"N/A")</f>
        <v>16269</v>
      </c>
      <c r="B4140" s="4" t="s">
        <v>481</v>
      </c>
      <c r="C4140" s="4" t="s">
        <v>298</v>
      </c>
      <c r="D4140" s="94">
        <v>3717.0</v>
      </c>
    </row>
    <row r="4141">
      <c r="A4141" s="40">
        <f t="array" ref="A4141">IFNA(index(PlayerValues!A:A,match(IFNA(vlookup(B4141,'Special Names'!A:B,2,FALSE),B4141),PlayerValues!E:E,0)),"N/A")</f>
        <v>17477</v>
      </c>
      <c r="B4141" s="4" t="s">
        <v>452</v>
      </c>
      <c r="C4141" s="4" t="s">
        <v>278</v>
      </c>
      <c r="D4141" s="94">
        <v>3239.0</v>
      </c>
    </row>
    <row r="4142">
      <c r="A4142" s="40">
        <f t="array" ref="A4142">IFNA(index(PlayerValues!A:A,match(IFNA(vlookup(B4142,'Special Names'!A:B,2,FALSE),B4142),PlayerValues!E:E,0)),"N/A")</f>
        <v>17502</v>
      </c>
      <c r="B4142" s="4" t="s">
        <v>451</v>
      </c>
      <c r="C4142" s="4" t="s">
        <v>287</v>
      </c>
      <c r="D4142" s="94">
        <v>3210.0</v>
      </c>
    </row>
    <row r="4143">
      <c r="A4143" s="40">
        <f t="array" ref="A4143">IFNA(index(PlayerValues!A:A,match(IFNA(vlookup(B4143,'Special Names'!A:B,2,FALSE),B4143),PlayerValues!E:E,0)),"N/A")</f>
        <v>16187</v>
      </c>
      <c r="B4143" s="4" t="s">
        <v>441</v>
      </c>
      <c r="C4143" s="4" t="s">
        <v>287</v>
      </c>
      <c r="D4143" s="94">
        <v>3158.0</v>
      </c>
    </row>
    <row r="4144">
      <c r="A4144" s="40">
        <f t="array" ref="A4144">IFNA(index(PlayerValues!A:A,match(IFNA(vlookup(B4144,'Special Names'!A:B,2,FALSE),B4144),PlayerValues!E:E,0)),"N/A")</f>
        <v>14823</v>
      </c>
      <c r="B4144" s="4" t="s">
        <v>459</v>
      </c>
      <c r="C4144" s="4" t="s">
        <v>278</v>
      </c>
      <c r="D4144" s="94">
        <v>3132.0</v>
      </c>
    </row>
    <row r="4145">
      <c r="A4145" s="40">
        <f t="array" ref="A4145">IFNA(index(PlayerValues!A:A,match(IFNA(vlookup(B4145,'Special Names'!A:B,2,FALSE),B4145),PlayerValues!E:E,0)),"N/A")</f>
        <v>15761</v>
      </c>
      <c r="B4145" s="4" t="s">
        <v>491</v>
      </c>
      <c r="C4145" s="4" t="s">
        <v>287</v>
      </c>
      <c r="D4145" s="94">
        <v>3101.0</v>
      </c>
    </row>
    <row r="4146">
      <c r="A4146" s="40">
        <f t="array" ref="A4146">IFNA(index(PlayerValues!A:A,match(IFNA(vlookup(B4146,'Special Names'!A:B,2,FALSE),B4146),PlayerValues!E:E,0)),"N/A")</f>
        <v>15798</v>
      </c>
      <c r="B4146" s="4" t="s">
        <v>443</v>
      </c>
      <c r="C4146" s="4" t="s">
        <v>298</v>
      </c>
      <c r="D4146" s="94">
        <v>3528.0</v>
      </c>
    </row>
    <row r="4147">
      <c r="A4147" s="40">
        <f t="array" ref="A4147">IFNA(index(PlayerValues!A:A,match(IFNA(vlookup(B4147,'Special Names'!A:B,2,FALSE),B4147),PlayerValues!E:E,0)),"N/A")</f>
        <v>15261</v>
      </c>
      <c r="B4147" s="4" t="s">
        <v>466</v>
      </c>
      <c r="C4147" s="4" t="s">
        <v>278</v>
      </c>
      <c r="D4147" s="94">
        <v>3090.0</v>
      </c>
    </row>
    <row r="4148">
      <c r="A4148" s="40" t="str">
        <f t="array" ref="A4148">IFNA(index(PlayerValues!A:A,match(IFNA(vlookup(B4148,'Special Names'!A:B,2,FALSE),B4148),PlayerValues!E:E,0)),"N/A")</f>
        <v>N/A</v>
      </c>
      <c r="B4148" s="4" t="s">
        <v>108</v>
      </c>
      <c r="C4148" s="4" t="s">
        <v>325</v>
      </c>
      <c r="D4148" s="94">
        <v>3071.0</v>
      </c>
    </row>
    <row r="4149">
      <c r="A4149" s="40" t="str">
        <f t="array" ref="A4149">IFNA(index(PlayerValues!A:A,match(IFNA(vlookup(B4149,'Special Names'!A:B,2,FALSE),B4149),PlayerValues!E:E,0)),"N/A")</f>
        <v>N/A</v>
      </c>
      <c r="B4149" s="4" t="s">
        <v>97</v>
      </c>
      <c r="C4149" s="4" t="s">
        <v>325</v>
      </c>
      <c r="D4149" s="94">
        <v>3045.0</v>
      </c>
    </row>
    <row r="4150">
      <c r="A4150" s="40">
        <f t="array" ref="A4150">IFNA(index(PlayerValues!A:A,match(IFNA(vlookup(B4150,'Special Names'!A:B,2,FALSE),B4150),PlayerValues!E:E,0)),"N/A")</f>
        <v>16619</v>
      </c>
      <c r="B4150" s="4" t="s">
        <v>538</v>
      </c>
      <c r="C4150" s="4" t="s">
        <v>287</v>
      </c>
      <c r="D4150" s="94">
        <v>3043.0</v>
      </c>
    </row>
    <row r="4151">
      <c r="A4151" s="40" t="str">
        <f t="array" ref="A4151">IFNA(index(PlayerValues!A:A,match(IFNA(vlookup(B4151,'Special Names'!A:B,2,FALSE),B4151),PlayerValues!E:E,0)),"N/A")</f>
        <v>N/A</v>
      </c>
      <c r="B4151" s="4" t="s">
        <v>84</v>
      </c>
      <c r="C4151" s="4" t="s">
        <v>325</v>
      </c>
      <c r="D4151" s="94">
        <v>3039.0</v>
      </c>
    </row>
    <row r="4152">
      <c r="A4152" s="40">
        <f t="array" ref="A4152">IFNA(index(PlayerValues!A:A,match(IFNA(vlookup(B4152,'Special Names'!A:B,2,FALSE),B4152),PlayerValues!E:E,0)),"N/A")</f>
        <v>15259</v>
      </c>
      <c r="B4152" s="4" t="s">
        <v>453</v>
      </c>
      <c r="C4152" s="4" t="s">
        <v>278</v>
      </c>
      <c r="D4152" s="94">
        <v>3023.0</v>
      </c>
    </row>
    <row r="4153">
      <c r="A4153" s="40">
        <f t="array" ref="A4153">IFNA(index(PlayerValues!A:A,match(IFNA(vlookup(B4153,'Special Names'!A:B,2,FALSE),B4153),PlayerValues!E:E,0)),"N/A")</f>
        <v>17082</v>
      </c>
      <c r="B4153" s="4" t="s">
        <v>498</v>
      </c>
      <c r="C4153" s="4" t="s">
        <v>287</v>
      </c>
      <c r="D4153" s="94">
        <v>3009.0</v>
      </c>
    </row>
    <row r="4154">
      <c r="A4154" s="40">
        <f t="array" ref="A4154">IFNA(index(PlayerValues!A:A,match(IFNA(vlookup(B4154,'Special Names'!A:B,2,FALSE),B4154),PlayerValues!E:E,0)),"N/A")</f>
        <v>15779</v>
      </c>
      <c r="B4154" s="4" t="s">
        <v>461</v>
      </c>
      <c r="C4154" s="4" t="s">
        <v>287</v>
      </c>
      <c r="D4154" s="94">
        <v>2988.0</v>
      </c>
    </row>
    <row r="4155">
      <c r="A4155" s="40">
        <f t="array" ref="A4155">IFNA(index(PlayerValues!A:A,match(IFNA(vlookup(B4155,'Special Names'!A:B,2,FALSE),B4155),PlayerValues!E:E,0)),"N/A")</f>
        <v>16193</v>
      </c>
      <c r="B4155" s="4" t="s">
        <v>487</v>
      </c>
      <c r="C4155" s="4" t="s">
        <v>287</v>
      </c>
      <c r="D4155" s="94">
        <v>2966.0</v>
      </c>
    </row>
    <row r="4156">
      <c r="A4156" s="40">
        <f t="array" ref="A4156">IFNA(index(PlayerValues!A:A,match(IFNA(vlookup(B4156,'Special Names'!A:B,2,FALSE),B4156),PlayerValues!E:E,0)),"N/A")</f>
        <v>15241</v>
      </c>
      <c r="B4156" s="4" t="s">
        <v>546</v>
      </c>
      <c r="C4156" s="4" t="s">
        <v>283</v>
      </c>
      <c r="D4156" s="94">
        <v>2931.0</v>
      </c>
    </row>
    <row r="4157">
      <c r="A4157" s="40">
        <f t="array" ref="A4157">IFNA(index(PlayerValues!A:A,match(IFNA(vlookup(B4157,'Special Names'!A:B,2,FALSE),B4157),PlayerValues!E:E,0)),"N/A")</f>
        <v>17106</v>
      </c>
      <c r="B4157" s="4" t="s">
        <v>550</v>
      </c>
      <c r="C4157" s="4" t="s">
        <v>298</v>
      </c>
      <c r="D4157" s="94">
        <v>3348.0</v>
      </c>
    </row>
    <row r="4158">
      <c r="A4158" s="40">
        <f t="array" ref="A4158">IFNA(index(PlayerValues!A:A,match(IFNA(vlookup(B4158,'Special Names'!A:B,2,FALSE),B4158),PlayerValues!E:E,0)),"N/A")</f>
        <v>16723</v>
      </c>
      <c r="B4158" s="4" t="s">
        <v>502</v>
      </c>
      <c r="C4158" s="4" t="s">
        <v>298</v>
      </c>
      <c r="D4158" s="94">
        <v>3338.0</v>
      </c>
    </row>
    <row r="4159">
      <c r="A4159" s="40">
        <f t="array" ref="A4159">IFNA(index(PlayerValues!A:A,match(IFNA(vlookup(B4159,'Special Names'!A:B,2,FALSE),B4159),PlayerValues!E:E,0)),"N/A")</f>
        <v>17256</v>
      </c>
      <c r="B4159" s="4" t="s">
        <v>462</v>
      </c>
      <c r="C4159" s="4" t="s">
        <v>278</v>
      </c>
      <c r="D4159" s="94">
        <v>2915.0</v>
      </c>
    </row>
    <row r="4160">
      <c r="A4160" s="40">
        <f t="array" ref="A4160">IFNA(index(PlayerValues!A:A,match(IFNA(vlookup(B4160,'Special Names'!A:B,2,FALSE),B4160),PlayerValues!E:E,0)),"N/A")</f>
        <v>14860</v>
      </c>
      <c r="B4160" s="4" t="s">
        <v>554</v>
      </c>
      <c r="C4160" s="4" t="s">
        <v>287</v>
      </c>
      <c r="D4160" s="94">
        <v>2910.0</v>
      </c>
    </row>
    <row r="4161">
      <c r="A4161" s="40">
        <f t="array" ref="A4161">IFNA(index(PlayerValues!A:A,match(IFNA(vlookup(B4161,'Special Names'!A:B,2,FALSE),B4161),PlayerValues!E:E,0)),"N/A")</f>
        <v>17107</v>
      </c>
      <c r="B4161" s="4" t="s">
        <v>478</v>
      </c>
      <c r="C4161" s="4" t="s">
        <v>298</v>
      </c>
      <c r="D4161" s="94">
        <v>3324.0</v>
      </c>
    </row>
    <row r="4162">
      <c r="A4162" s="40">
        <f t="array" ref="A4162">IFNA(index(PlayerValues!A:A,match(IFNA(vlookup(B4162,'Special Names'!A:B,2,FALSE),B4162),PlayerValues!E:E,0)),"N/A")</f>
        <v>11671</v>
      </c>
      <c r="B4162" s="4" t="s">
        <v>463</v>
      </c>
      <c r="C4162" s="4" t="s">
        <v>287</v>
      </c>
      <c r="D4162" s="94">
        <v>2902.0</v>
      </c>
    </row>
    <row r="4163">
      <c r="A4163" s="40">
        <f t="array" ref="A4163">IFNA(index(PlayerValues!A:A,match(IFNA(vlookup(B4163,'Special Names'!A:B,2,FALSE),B4163),PlayerValues!E:E,0)),"N/A")</f>
        <v>17463</v>
      </c>
      <c r="B4163" s="4" t="s">
        <v>433</v>
      </c>
      <c r="C4163" s="4" t="s">
        <v>283</v>
      </c>
      <c r="D4163" s="94">
        <v>2884.0</v>
      </c>
    </row>
    <row r="4164">
      <c r="A4164" s="40">
        <f t="array" ref="A4164">IFNA(index(PlayerValues!A:A,match(IFNA(vlookup(B4164,'Special Names'!A:B,2,FALSE),B4164),PlayerValues!E:E,0)),"N/A")</f>
        <v>16080</v>
      </c>
      <c r="B4164" s="4" t="s">
        <v>499</v>
      </c>
      <c r="C4164" s="4" t="s">
        <v>287</v>
      </c>
      <c r="D4164" s="94">
        <v>2876.0</v>
      </c>
    </row>
    <row r="4165">
      <c r="A4165" s="40">
        <f t="array" ref="A4165">IFNA(index(PlayerValues!A:A,match(IFNA(vlookup(B4165,'Special Names'!A:B,2,FALSE),B4165),PlayerValues!E:E,0)),"N/A")</f>
        <v>16628</v>
      </c>
      <c r="B4165" s="4" t="s">
        <v>490</v>
      </c>
      <c r="C4165" s="4" t="s">
        <v>287</v>
      </c>
      <c r="D4165" s="94">
        <v>2849.0</v>
      </c>
    </row>
    <row r="4166">
      <c r="A4166" s="40">
        <f t="array" ref="A4166">IFNA(index(PlayerValues!A:A,match(IFNA(vlookup(B4166,'Special Names'!A:B,2,FALSE),B4166),PlayerValues!E:E,0)),"N/A")</f>
        <v>17031</v>
      </c>
      <c r="B4166" s="4" t="s">
        <v>535</v>
      </c>
      <c r="C4166" s="4" t="s">
        <v>283</v>
      </c>
      <c r="D4166" s="94">
        <v>2842.0</v>
      </c>
    </row>
    <row r="4167">
      <c r="A4167" s="40">
        <f t="array" ref="A4167">IFNA(index(PlayerValues!A:A,match(IFNA(vlookup(B4167,'Special Names'!A:B,2,FALSE),B4167),PlayerValues!E:E,0)),"N/A")</f>
        <v>17073</v>
      </c>
      <c r="B4167" s="4" t="s">
        <v>547</v>
      </c>
      <c r="C4167" s="4" t="s">
        <v>287</v>
      </c>
      <c r="D4167" s="94">
        <v>2838.0</v>
      </c>
    </row>
    <row r="4168">
      <c r="A4168" s="40">
        <f t="array" ref="A4168">IFNA(index(PlayerValues!A:A,match(IFNA(vlookup(B4168,'Special Names'!A:B,2,FALSE),B4168),PlayerValues!E:E,0)),"N/A")</f>
        <v>17072</v>
      </c>
      <c r="B4168" s="4" t="s">
        <v>508</v>
      </c>
      <c r="C4168" s="4" t="s">
        <v>287</v>
      </c>
      <c r="D4168" s="94">
        <v>2837.0</v>
      </c>
    </row>
    <row r="4169">
      <c r="A4169" s="40">
        <f t="array" ref="A4169">IFNA(index(PlayerValues!A:A,match(IFNA(vlookup(B4169,'Special Names'!A:B,2,FALSE),B4169),PlayerValues!E:E,0)),"N/A")</f>
        <v>17157</v>
      </c>
      <c r="B4169" s="4" t="s">
        <v>524</v>
      </c>
      <c r="C4169" s="4" t="s">
        <v>287</v>
      </c>
      <c r="D4169" s="94">
        <v>2837.0</v>
      </c>
    </row>
    <row r="4170">
      <c r="A4170" s="40">
        <f t="array" ref="A4170">IFNA(index(PlayerValues!A:A,match(IFNA(vlookup(B4170,'Special Names'!A:B,2,FALSE),B4170),PlayerValues!E:E,0)),"N/A")</f>
        <v>17171</v>
      </c>
      <c r="B4170" s="4" t="s">
        <v>561</v>
      </c>
      <c r="C4170" s="4" t="s">
        <v>287</v>
      </c>
      <c r="D4170" s="94">
        <v>2836.0</v>
      </c>
    </row>
    <row r="4171">
      <c r="A4171" s="40" t="str">
        <f t="array" ref="A4171">IFNA(index(PlayerValues!A:A,match(IFNA(vlookup(B4171,'Special Names'!A:B,2,FALSE),B4171),PlayerValues!E:E,0)),"N/A")</f>
        <v>N/A</v>
      </c>
      <c r="B4171" s="4" t="s">
        <v>109</v>
      </c>
      <c r="C4171" s="4" t="s">
        <v>325</v>
      </c>
      <c r="D4171" s="94">
        <v>2833.0</v>
      </c>
    </row>
    <row r="4172">
      <c r="A4172" s="40">
        <f t="array" ref="A4172">IFNA(index(PlayerValues!A:A,match(IFNA(vlookup(B4172,'Special Names'!A:B,2,FALSE),B4172),PlayerValues!E:E,0)),"N/A")</f>
        <v>16596</v>
      </c>
      <c r="B4172" s="4" t="s">
        <v>501</v>
      </c>
      <c r="C4172" s="4" t="s">
        <v>278</v>
      </c>
      <c r="D4172" s="94">
        <v>2827.0</v>
      </c>
    </row>
    <row r="4173">
      <c r="A4173" s="40">
        <f t="array" ref="A4173">IFNA(index(PlayerValues!A:A,match(IFNA(vlookup(B4173,'Special Names'!A:B,2,FALSE),B4173),PlayerValues!E:E,0)),"N/A")</f>
        <v>14071</v>
      </c>
      <c r="B4173" s="4" t="s">
        <v>440</v>
      </c>
      <c r="C4173" s="4" t="s">
        <v>278</v>
      </c>
      <c r="D4173" s="94">
        <v>2825.0</v>
      </c>
    </row>
    <row r="4174">
      <c r="A4174" s="40">
        <f t="array" ref="A4174">IFNA(index(PlayerValues!A:A,match(IFNA(vlookup(B4174,'Special Names'!A:B,2,FALSE),B4174),PlayerValues!E:E,0)),"N/A")</f>
        <v>16165</v>
      </c>
      <c r="B4174" s="4" t="s">
        <v>520</v>
      </c>
      <c r="C4174" s="4" t="s">
        <v>278</v>
      </c>
      <c r="D4174" s="94">
        <v>2811.0</v>
      </c>
    </row>
    <row r="4175">
      <c r="A4175" s="40">
        <f t="array" ref="A4175">IFNA(index(PlayerValues!A:A,match(IFNA(vlookup(B4175,'Special Names'!A:B,2,FALSE),B4175),PlayerValues!E:E,0)),"N/A")</f>
        <v>16649</v>
      </c>
      <c r="B4175" s="4" t="s">
        <v>586</v>
      </c>
      <c r="C4175" s="4" t="s">
        <v>298</v>
      </c>
      <c r="D4175" s="94">
        <v>3215.0</v>
      </c>
    </row>
    <row r="4176">
      <c r="A4176" s="40">
        <f t="array" ref="A4176">IFNA(index(PlayerValues!A:A,match(IFNA(vlookup(B4176,'Special Names'!A:B,2,FALSE),B4176),PlayerValues!E:E,0)),"N/A")</f>
        <v>17080</v>
      </c>
      <c r="B4176" s="4" t="s">
        <v>532</v>
      </c>
      <c r="C4176" s="4" t="s">
        <v>287</v>
      </c>
      <c r="D4176" s="94">
        <v>2791.0</v>
      </c>
    </row>
    <row r="4177">
      <c r="A4177" s="40">
        <f t="array" ref="A4177">IFNA(index(PlayerValues!A:A,match(IFNA(vlookup(B4177,'Special Names'!A:B,2,FALSE),B4177),PlayerValues!E:E,0)),"N/A")</f>
        <v>14800</v>
      </c>
      <c r="B4177" s="4" t="s">
        <v>472</v>
      </c>
      <c r="C4177" s="4" t="s">
        <v>278</v>
      </c>
      <c r="D4177" s="94">
        <v>2788.0</v>
      </c>
    </row>
    <row r="4178">
      <c r="A4178" s="40">
        <f t="array" ref="A4178">IFNA(index(PlayerValues!A:A,match(IFNA(vlookup(B4178,'Special Names'!A:B,2,FALSE),B4178),PlayerValues!E:E,0)),"N/A")</f>
        <v>15255</v>
      </c>
      <c r="B4178" s="4" t="s">
        <v>477</v>
      </c>
      <c r="C4178" s="4" t="s">
        <v>278</v>
      </c>
      <c r="D4178" s="94">
        <v>2786.0</v>
      </c>
    </row>
    <row r="4179">
      <c r="A4179" s="40" t="str">
        <f t="array" ref="A4179">IFNA(index(PlayerValues!A:A,match(IFNA(vlookup(B4179,'Special Names'!A:B,2,FALSE),B4179),PlayerValues!E:E,0)),"N/A")</f>
        <v>N/A</v>
      </c>
      <c r="B4179" s="4" t="s">
        <v>85</v>
      </c>
      <c r="C4179" s="4" t="s">
        <v>325</v>
      </c>
      <c r="D4179" s="94">
        <v>2786.0</v>
      </c>
    </row>
    <row r="4180">
      <c r="A4180" s="40">
        <f t="array" ref="A4180">IFNA(index(PlayerValues!A:A,match(IFNA(vlookup(B4180,'Special Names'!A:B,2,FALSE),B4180),PlayerValues!E:E,0)),"N/A")</f>
        <v>13163</v>
      </c>
      <c r="B4180" s="4" t="s">
        <v>473</v>
      </c>
      <c r="C4180" s="4" t="s">
        <v>287</v>
      </c>
      <c r="D4180" s="94">
        <v>2785.0</v>
      </c>
    </row>
    <row r="4181">
      <c r="A4181" s="40">
        <f t="array" ref="A4181">IFNA(index(PlayerValues!A:A,match(IFNA(vlookup(B4181,'Special Names'!A:B,2,FALSE),B4181),PlayerValues!E:E,0)),"N/A")</f>
        <v>17098</v>
      </c>
      <c r="B4181" s="4" t="s">
        <v>533</v>
      </c>
      <c r="C4181" s="4" t="s">
        <v>287</v>
      </c>
      <c r="D4181" s="94">
        <v>2785.0</v>
      </c>
    </row>
    <row r="4182">
      <c r="A4182" s="40">
        <f t="array" ref="A4182">IFNA(index(PlayerValues!A:A,match(IFNA(vlookup(B4182,'Special Names'!A:B,2,FALSE),B4182),PlayerValues!E:E,0)),"N/A")</f>
        <v>16597</v>
      </c>
      <c r="B4182" s="4" t="s">
        <v>427</v>
      </c>
      <c r="C4182" s="4" t="s">
        <v>278</v>
      </c>
      <c r="D4182" s="94">
        <v>2784.0</v>
      </c>
    </row>
    <row r="4183">
      <c r="A4183" s="40">
        <f t="array" ref="A4183">IFNA(index(PlayerValues!A:A,match(IFNA(vlookup(B4183,'Special Names'!A:B,2,FALSE),B4183),PlayerValues!E:E,0)),"N/A")</f>
        <v>17134</v>
      </c>
      <c r="B4183" s="4" t="s">
        <v>548</v>
      </c>
      <c r="C4183" s="4" t="s">
        <v>287</v>
      </c>
      <c r="D4183" s="94">
        <v>2773.0</v>
      </c>
    </row>
    <row r="4184">
      <c r="A4184" s="40">
        <f t="array" ref="A4184">IFNA(index(PlayerValues!A:A,match(IFNA(vlookup(B4184,'Special Names'!A:B,2,FALSE),B4184),PlayerValues!E:E,0)),"N/A")</f>
        <v>17476</v>
      </c>
      <c r="B4184" s="4" t="s">
        <v>494</v>
      </c>
      <c r="C4184" s="4" t="s">
        <v>278</v>
      </c>
      <c r="D4184" s="94">
        <v>2758.0</v>
      </c>
    </row>
    <row r="4185">
      <c r="A4185" s="40">
        <f t="array" ref="A4185">IFNA(index(PlayerValues!A:A,match(IFNA(vlookup(B4185,'Special Names'!A:B,2,FALSE),B4185),PlayerValues!E:E,0)),"N/A")</f>
        <v>14138</v>
      </c>
      <c r="B4185" s="4" t="s">
        <v>531</v>
      </c>
      <c r="C4185" s="4" t="s">
        <v>298</v>
      </c>
      <c r="D4185" s="94">
        <v>3141.0</v>
      </c>
    </row>
    <row r="4186">
      <c r="A4186" s="40">
        <f t="array" ref="A4186">IFNA(index(PlayerValues!A:A,match(IFNA(vlookup(B4186,'Special Names'!A:B,2,FALSE),B4186),PlayerValues!E:E,0)),"N/A")</f>
        <v>16747</v>
      </c>
      <c r="B4186" s="4" t="s">
        <v>555</v>
      </c>
      <c r="C4186" s="4" t="s">
        <v>278</v>
      </c>
      <c r="D4186" s="94">
        <v>2713.0</v>
      </c>
    </row>
    <row r="4187">
      <c r="A4187" s="40">
        <f t="array" ref="A4187">IFNA(index(PlayerValues!A:A,match(IFNA(vlookup(B4187,'Special Names'!A:B,2,FALSE),B4187),PlayerValues!E:E,0)),"N/A")</f>
        <v>17048</v>
      </c>
      <c r="B4187" s="4" t="s">
        <v>539</v>
      </c>
      <c r="C4187" s="4" t="s">
        <v>278</v>
      </c>
      <c r="D4187" s="94">
        <v>2712.0</v>
      </c>
    </row>
    <row r="4188">
      <c r="A4188" s="40">
        <f t="array" ref="A4188">IFNA(index(PlayerValues!A:A,match(IFNA(vlookup(B4188,'Special Names'!A:B,2,FALSE),B4188),PlayerValues!E:E,0)),"N/A")</f>
        <v>16626</v>
      </c>
      <c r="B4188" s="4" t="s">
        <v>515</v>
      </c>
      <c r="C4188" s="4" t="s">
        <v>287</v>
      </c>
      <c r="D4188" s="94">
        <v>2709.0</v>
      </c>
    </row>
    <row r="4189">
      <c r="A4189" s="40">
        <f t="array" ref="A4189">IFNA(index(PlayerValues!A:A,match(IFNA(vlookup(B4189,'Special Names'!A:B,2,FALSE),B4189),PlayerValues!E:E,0)),"N/A")</f>
        <v>17047</v>
      </c>
      <c r="B4189" s="4" t="s">
        <v>510</v>
      </c>
      <c r="C4189" s="4" t="s">
        <v>278</v>
      </c>
      <c r="D4189" s="94">
        <v>2702.0</v>
      </c>
    </row>
    <row r="4190">
      <c r="A4190" s="40">
        <f t="array" ref="A4190">IFNA(index(PlayerValues!A:A,match(IFNA(vlookup(B4190,'Special Names'!A:B,2,FALSE),B4190),PlayerValues!E:E,0)),"N/A")</f>
        <v>14778</v>
      </c>
      <c r="B4190" s="4" t="s">
        <v>564</v>
      </c>
      <c r="C4190" s="4" t="s">
        <v>283</v>
      </c>
      <c r="D4190" s="94">
        <v>2698.0</v>
      </c>
    </row>
    <row r="4191">
      <c r="A4191" s="40">
        <f t="array" ref="A4191">IFNA(index(PlayerValues!A:A,match(IFNA(vlookup(B4191,'Special Names'!A:B,2,FALSE),B4191),PlayerValues!E:E,0)),"N/A")</f>
        <v>14085</v>
      </c>
      <c r="B4191" s="4" t="s">
        <v>489</v>
      </c>
      <c r="C4191" s="4" t="s">
        <v>278</v>
      </c>
      <c r="D4191" s="94">
        <v>2688.0</v>
      </c>
    </row>
    <row r="4192">
      <c r="A4192" s="40" t="str">
        <f t="array" ref="A4192">IFNA(index(PlayerValues!A:A,match(IFNA(vlookup(B4192,'Special Names'!A:B,2,FALSE),B4192),PlayerValues!E:E,0)),"N/A")</f>
        <v>N/A</v>
      </c>
      <c r="B4192" s="4" t="s">
        <v>110</v>
      </c>
      <c r="C4192" s="4" t="s">
        <v>325</v>
      </c>
      <c r="D4192" s="94">
        <v>2659.0</v>
      </c>
    </row>
    <row r="4193">
      <c r="A4193" s="40">
        <f t="array" ref="A4193">IFNA(index(PlayerValues!A:A,match(IFNA(vlookup(B4193,'Special Names'!A:B,2,FALSE),B4193),PlayerValues!E:E,0)),"N/A")</f>
        <v>12186</v>
      </c>
      <c r="B4193" s="4" t="s">
        <v>497</v>
      </c>
      <c r="C4193" s="4" t="s">
        <v>287</v>
      </c>
      <c r="D4193" s="94">
        <v>2655.0</v>
      </c>
    </row>
    <row r="4194">
      <c r="A4194" s="40">
        <f t="array" ref="A4194">IFNA(index(PlayerValues!A:A,match(IFNA(vlookup(B4194,'Special Names'!A:B,2,FALSE),B4194),PlayerValues!E:E,0)),"N/A")</f>
        <v>17046</v>
      </c>
      <c r="B4194" s="4" t="s">
        <v>602</v>
      </c>
      <c r="C4194" s="4" t="s">
        <v>278</v>
      </c>
      <c r="D4194" s="94">
        <v>2649.0</v>
      </c>
    </row>
    <row r="4195">
      <c r="A4195" s="40">
        <f t="array" ref="A4195">IFNA(index(PlayerValues!A:A,match(IFNA(vlookup(B4195,'Special Names'!A:B,2,FALSE),B4195),PlayerValues!E:E,0)),"N/A")</f>
        <v>14833</v>
      </c>
      <c r="B4195" s="4" t="s">
        <v>553</v>
      </c>
      <c r="C4195" s="4" t="s">
        <v>287</v>
      </c>
      <c r="D4195" s="94">
        <v>2647.0</v>
      </c>
    </row>
    <row r="4196">
      <c r="A4196" s="40">
        <f t="array" ref="A4196">IFNA(index(PlayerValues!A:A,match(IFNA(vlookup(B4196,'Special Names'!A:B,2,FALSE),B4196),PlayerValues!E:E,0)),"N/A")</f>
        <v>14840</v>
      </c>
      <c r="B4196" s="4" t="s">
        <v>731</v>
      </c>
      <c r="C4196" s="4" t="s">
        <v>287</v>
      </c>
      <c r="D4196" s="94">
        <v>2640.0</v>
      </c>
    </row>
    <row r="4197">
      <c r="A4197" s="40">
        <f t="array" ref="A4197">IFNA(index(PlayerValues!A:A,match(IFNA(vlookup(B4197,'Special Names'!A:B,2,FALSE),B4197),PlayerValues!E:E,0)),"N/A")</f>
        <v>15721</v>
      </c>
      <c r="B4197" s="4" t="s">
        <v>504</v>
      </c>
      <c r="C4197" s="4" t="s">
        <v>278</v>
      </c>
      <c r="D4197" s="94">
        <v>2636.0</v>
      </c>
    </row>
    <row r="4198">
      <c r="A4198" s="40">
        <f t="array" ref="A4198">IFNA(index(PlayerValues!A:A,match(IFNA(vlookup(B4198,'Special Names'!A:B,2,FALSE),B4198),PlayerValues!E:E,0)),"N/A")</f>
        <v>13192</v>
      </c>
      <c r="B4198" s="4" t="s">
        <v>563</v>
      </c>
      <c r="C4198" s="4" t="s">
        <v>298</v>
      </c>
      <c r="D4198" s="94">
        <v>3046.0</v>
      </c>
    </row>
    <row r="4199">
      <c r="A4199" s="40">
        <f t="array" ref="A4199">IFNA(index(PlayerValues!A:A,match(IFNA(vlookup(B4199,'Special Names'!A:B,2,FALSE),B4199),PlayerValues!E:E,0)),"N/A")</f>
        <v>17108</v>
      </c>
      <c r="B4199" s="4" t="s">
        <v>542</v>
      </c>
      <c r="C4199" s="4" t="s">
        <v>298</v>
      </c>
      <c r="D4199" s="94">
        <v>3042.0</v>
      </c>
    </row>
    <row r="4200">
      <c r="A4200" s="40">
        <f t="array" ref="A4200">IFNA(index(PlayerValues!A:A,match(IFNA(vlookup(B4200,'Special Names'!A:B,2,FALSE),B4200),PlayerValues!E:E,0)),"N/A")</f>
        <v>16757</v>
      </c>
      <c r="B4200" s="4" t="s">
        <v>558</v>
      </c>
      <c r="C4200" s="4" t="s">
        <v>278</v>
      </c>
      <c r="D4200" s="94">
        <v>2611.0</v>
      </c>
    </row>
    <row r="4201">
      <c r="A4201" s="40" t="str">
        <f t="array" ref="A4201">IFNA(index(PlayerValues!A:A,match(IFNA(vlookup(B4201,'Special Names'!A:B,2,FALSE),B4201),PlayerValues!E:E,0)),"N/A")</f>
        <v>N/A</v>
      </c>
      <c r="B4201" s="4" t="s">
        <v>557</v>
      </c>
      <c r="C4201" s="4" t="s">
        <v>278</v>
      </c>
      <c r="D4201" s="94">
        <v>2593.0</v>
      </c>
    </row>
    <row r="4202">
      <c r="A4202" s="40">
        <f t="array" ref="A4202">IFNA(index(PlayerValues!A:A,match(IFNA(vlookup(B4202,'Special Names'!A:B,2,FALSE),B4202),PlayerValues!E:E,0)),"N/A")</f>
        <v>16152</v>
      </c>
      <c r="B4202" s="4" t="s">
        <v>601</v>
      </c>
      <c r="C4202" s="4" t="s">
        <v>283</v>
      </c>
      <c r="D4202" s="94">
        <v>2585.0</v>
      </c>
    </row>
    <row r="4203">
      <c r="A4203" s="40">
        <f t="array" ref="A4203">IFNA(index(PlayerValues!A:A,match(IFNA(vlookup(B4203,'Special Names'!A:B,2,FALSE),B4203),PlayerValues!E:E,0)),"N/A")</f>
        <v>13674</v>
      </c>
      <c r="B4203" s="4" t="s">
        <v>511</v>
      </c>
      <c r="C4203" s="4" t="s">
        <v>298</v>
      </c>
      <c r="D4203" s="94">
        <v>2993.0</v>
      </c>
    </row>
    <row r="4204">
      <c r="A4204" s="40">
        <f t="array" ref="A4204">IFNA(index(PlayerValues!A:A,match(IFNA(vlookup(B4204,'Special Names'!A:B,2,FALSE),B4204),PlayerValues!E:E,0)),"N/A")</f>
        <v>17078</v>
      </c>
      <c r="B4204" s="4" t="s">
        <v>543</v>
      </c>
      <c r="C4204" s="4" t="s">
        <v>287</v>
      </c>
      <c r="D4204" s="94">
        <v>2566.0</v>
      </c>
    </row>
    <row r="4205">
      <c r="A4205" s="40">
        <f t="array" ref="A4205">IFNA(index(PlayerValues!A:A,match(IFNA(vlookup(B4205,'Special Names'!A:B,2,FALSE),B4205),PlayerValues!E:E,0)),"N/A")</f>
        <v>16166</v>
      </c>
      <c r="B4205" s="4" t="s">
        <v>567</v>
      </c>
      <c r="C4205" s="4" t="s">
        <v>278</v>
      </c>
      <c r="D4205" s="94">
        <v>2565.0</v>
      </c>
    </row>
    <row r="4206">
      <c r="A4206" s="40">
        <f t="array" ref="A4206">IFNA(index(PlayerValues!A:A,match(IFNA(vlookup(B4206,'Special Names'!A:B,2,FALSE),B4206),PlayerValues!E:E,0)),"N/A")</f>
        <v>13671</v>
      </c>
      <c r="B4206" s="4" t="s">
        <v>506</v>
      </c>
      <c r="C4206" s="4" t="s">
        <v>298</v>
      </c>
      <c r="D4206" s="94">
        <v>2968.0</v>
      </c>
    </row>
    <row r="4207">
      <c r="A4207" s="40">
        <f t="array" ref="A4207">IFNA(index(PlayerValues!A:A,match(IFNA(vlookup(B4207,'Special Names'!A:B,2,FALSE),B4207),PlayerValues!E:E,0)),"N/A")</f>
        <v>17505</v>
      </c>
      <c r="B4207" s="4" t="s">
        <v>528</v>
      </c>
      <c r="C4207" s="4" t="s">
        <v>287</v>
      </c>
      <c r="D4207" s="94">
        <v>2559.0</v>
      </c>
    </row>
    <row r="4208">
      <c r="A4208" s="40">
        <f t="array" ref="A4208">IFNA(index(PlayerValues!A:A,match(IFNA(vlookup(B4208,'Special Names'!A:B,2,FALSE),B4208),PlayerValues!E:E,0)),"N/A")</f>
        <v>14136</v>
      </c>
      <c r="B4208" s="4" t="s">
        <v>536</v>
      </c>
      <c r="C4208" s="4" t="s">
        <v>287</v>
      </c>
      <c r="D4208" s="94">
        <v>2551.0</v>
      </c>
    </row>
    <row r="4209">
      <c r="A4209" s="40">
        <f t="array" ref="A4209">IFNA(index(PlayerValues!A:A,match(IFNA(vlookup(B4209,'Special Names'!A:B,2,FALSE),B4209),PlayerValues!E:E,0)),"N/A")</f>
        <v>16189</v>
      </c>
      <c r="B4209" s="4" t="s">
        <v>582</v>
      </c>
      <c r="C4209" s="4" t="s">
        <v>287</v>
      </c>
      <c r="D4209" s="94">
        <v>2541.0</v>
      </c>
    </row>
    <row r="4210">
      <c r="A4210" s="40">
        <f t="array" ref="A4210">IFNA(index(PlayerValues!A:A,match(IFNA(vlookup(B4210,'Special Names'!A:B,2,FALSE),B4210),PlayerValues!E:E,0)),"N/A")</f>
        <v>16164</v>
      </c>
      <c r="B4210" s="4" t="s">
        <v>512</v>
      </c>
      <c r="C4210" s="4" t="s">
        <v>278</v>
      </c>
      <c r="D4210" s="94">
        <v>2523.0</v>
      </c>
    </row>
    <row r="4211">
      <c r="A4211" s="40">
        <f t="array" ref="A4211">IFNA(index(PlayerValues!A:A,match(IFNA(vlookup(B4211,'Special Names'!A:B,2,FALSE),B4211),PlayerValues!E:E,0)),"N/A")</f>
        <v>16617</v>
      </c>
      <c r="B4211" s="4" t="s">
        <v>541</v>
      </c>
      <c r="C4211" s="4" t="s">
        <v>287</v>
      </c>
      <c r="D4211" s="94">
        <v>2514.0</v>
      </c>
    </row>
    <row r="4212">
      <c r="A4212" s="40">
        <f t="array" ref="A4212">IFNA(index(PlayerValues!A:A,match(IFNA(vlookup(B4212,'Special Names'!A:B,2,FALSE),B4212),PlayerValues!E:E,0)),"N/A")</f>
        <v>12616</v>
      </c>
      <c r="B4212" s="4" t="s">
        <v>529</v>
      </c>
      <c r="C4212" s="4" t="s">
        <v>283</v>
      </c>
      <c r="D4212" s="94">
        <v>2503.0</v>
      </c>
    </row>
    <row r="4213">
      <c r="A4213" s="40">
        <f t="array" ref="A4213">IFNA(index(PlayerValues!A:A,match(IFNA(vlookup(B4213,'Special Names'!A:B,2,FALSE),B4213),PlayerValues!E:E,0)),"N/A")</f>
        <v>15972</v>
      </c>
      <c r="B4213" s="4" t="s">
        <v>469</v>
      </c>
      <c r="C4213" s="4" t="s">
        <v>278</v>
      </c>
      <c r="D4213" s="94">
        <v>2477.0</v>
      </c>
    </row>
    <row r="4214">
      <c r="A4214" s="40" t="str">
        <f t="array" ref="A4214">IFNA(index(PlayerValues!A:A,match(IFNA(vlookup(B4214,'Special Names'!A:B,2,FALSE),B4214),PlayerValues!E:E,0)),"N/A")</f>
        <v>N/A</v>
      </c>
      <c r="B4214" s="4" t="s">
        <v>98</v>
      </c>
      <c r="C4214" s="4" t="s">
        <v>325</v>
      </c>
      <c r="D4214" s="94">
        <v>2468.0</v>
      </c>
    </row>
    <row r="4215">
      <c r="A4215" s="40">
        <f t="array" ref="A4215">IFNA(index(PlayerValues!A:A,match(IFNA(vlookup(B4215,'Special Names'!A:B,2,FALSE),B4215),PlayerValues!E:E,0)),"N/A")</f>
        <v>17474</v>
      </c>
      <c r="B4215" s="4" t="s">
        <v>513</v>
      </c>
      <c r="C4215" s="4" t="s">
        <v>278</v>
      </c>
      <c r="D4215" s="94">
        <v>2468.0</v>
      </c>
    </row>
    <row r="4216">
      <c r="A4216" s="40">
        <f t="array" ref="A4216">IFNA(index(PlayerValues!A:A,match(IFNA(vlookup(B4216,'Special Names'!A:B,2,FALSE),B4216),PlayerValues!E:E,0)),"N/A")</f>
        <v>16287</v>
      </c>
      <c r="B4216" s="4" t="s">
        <v>516</v>
      </c>
      <c r="C4216" s="4" t="s">
        <v>287</v>
      </c>
      <c r="D4216" s="94">
        <v>2466.0</v>
      </c>
    </row>
    <row r="4217">
      <c r="A4217" s="40">
        <f t="array" ref="A4217">IFNA(index(PlayerValues!A:A,match(IFNA(vlookup(B4217,'Special Names'!A:B,2,FALSE),B4217),PlayerValues!E:E,0)),"N/A")</f>
        <v>17033</v>
      </c>
      <c r="B4217" s="4" t="s">
        <v>570</v>
      </c>
      <c r="C4217" s="4" t="s">
        <v>283</v>
      </c>
      <c r="D4217" s="94">
        <v>2437.0</v>
      </c>
    </row>
    <row r="4218">
      <c r="A4218" s="40">
        <f t="array" ref="A4218">IFNA(index(PlayerValues!A:A,match(IFNA(vlookup(B4218,'Special Names'!A:B,2,FALSE),B4218),PlayerValues!E:E,0)),"N/A")</f>
        <v>16204</v>
      </c>
      <c r="B4218" s="4" t="s">
        <v>530</v>
      </c>
      <c r="C4218" s="4" t="s">
        <v>287</v>
      </c>
      <c r="D4218" s="94">
        <v>2424.0</v>
      </c>
    </row>
    <row r="4219">
      <c r="A4219" s="40">
        <f t="array" ref="A4219">IFNA(index(PlayerValues!A:A,match(IFNA(vlookup(B4219,'Special Names'!A:B,2,FALSE),B4219),PlayerValues!E:E,0)),"N/A")</f>
        <v>14861</v>
      </c>
      <c r="B4219" s="4" t="s">
        <v>523</v>
      </c>
      <c r="C4219" s="4" t="s">
        <v>298</v>
      </c>
      <c r="D4219" s="94">
        <v>2825.0</v>
      </c>
    </row>
    <row r="4220">
      <c r="A4220" s="40">
        <f t="array" ref="A4220">IFNA(index(PlayerValues!A:A,match(IFNA(vlookup(B4220,'Special Names'!A:B,2,FALSE),B4220),PlayerValues!E:E,0)),"N/A")</f>
        <v>12676</v>
      </c>
      <c r="B4220" s="4" t="s">
        <v>537</v>
      </c>
      <c r="C4220" s="4" t="s">
        <v>298</v>
      </c>
      <c r="D4220" s="94">
        <v>2813.0</v>
      </c>
    </row>
    <row r="4221">
      <c r="A4221" s="40">
        <f t="array" ref="A4221">IFNA(index(PlayerValues!A:A,match(IFNA(vlookup(B4221,'Special Names'!A:B,2,FALSE),B4221),PlayerValues!E:E,0)),"N/A")</f>
        <v>17105</v>
      </c>
      <c r="B4221" s="4" t="s">
        <v>525</v>
      </c>
      <c r="C4221" s="4" t="s">
        <v>298</v>
      </c>
      <c r="D4221" s="94">
        <v>2809.0</v>
      </c>
    </row>
    <row r="4222">
      <c r="A4222" s="40">
        <f t="array" ref="A4222">IFNA(index(PlayerValues!A:A,match(IFNA(vlookup(B4222,'Special Names'!A:B,2,FALSE),B4222),PlayerValues!E:E,0)),"N/A")</f>
        <v>17507</v>
      </c>
      <c r="B4222" s="4" t="s">
        <v>495</v>
      </c>
      <c r="C4222" s="4" t="s">
        <v>287</v>
      </c>
      <c r="D4222" s="94">
        <v>2400.0</v>
      </c>
    </row>
    <row r="4223">
      <c r="A4223" s="40">
        <f t="array" ref="A4223">IFNA(index(PlayerValues!A:A,match(IFNA(vlookup(B4223,'Special Names'!A:B,2,FALSE),B4223),PlayerValues!E:E,0)),"N/A")</f>
        <v>16610</v>
      </c>
      <c r="B4223" s="4" t="s">
        <v>562</v>
      </c>
      <c r="C4223" s="4" t="s">
        <v>278</v>
      </c>
      <c r="D4223" s="94">
        <v>2394.0</v>
      </c>
    </row>
    <row r="4224">
      <c r="A4224" s="40">
        <f t="array" ref="A4224">IFNA(index(PlayerValues!A:A,match(IFNA(vlookup(B4224,'Special Names'!A:B,2,FALSE),B4224),PlayerValues!E:E,0)),"N/A")</f>
        <v>17511</v>
      </c>
      <c r="B4224" s="4" t="s">
        <v>485</v>
      </c>
      <c r="C4224" s="4" t="s">
        <v>287</v>
      </c>
      <c r="D4224" s="94">
        <v>2376.0</v>
      </c>
    </row>
    <row r="4225">
      <c r="A4225" s="40">
        <f t="array" ref="A4225">IFNA(index(PlayerValues!A:A,match(IFNA(vlookup(B4225,'Special Names'!A:B,2,FALSE),B4225),PlayerValues!E:E,0)),"N/A")</f>
        <v>15716</v>
      </c>
      <c r="B4225" s="4" t="s">
        <v>545</v>
      </c>
      <c r="C4225" s="4" t="s">
        <v>278</v>
      </c>
      <c r="D4225" s="94">
        <v>2360.0</v>
      </c>
    </row>
    <row r="4226">
      <c r="A4226" s="40">
        <f t="array" ref="A4226">IFNA(index(PlayerValues!A:A,match(IFNA(vlookup(B4226,'Special Names'!A:B,2,FALSE),B4226),PlayerValues!E:E,0)),"N/A")</f>
        <v>17464</v>
      </c>
      <c r="B4226" s="4" t="s">
        <v>828</v>
      </c>
      <c r="C4226" s="4" t="s">
        <v>283</v>
      </c>
      <c r="D4226" s="94">
        <v>2358.0</v>
      </c>
    </row>
    <row r="4227">
      <c r="A4227" s="40">
        <f t="array" ref="A4227">IFNA(index(PlayerValues!A:A,match(IFNA(vlookup(B4227,'Special Names'!A:B,2,FALSE),B4227),PlayerValues!E:E,0)),"N/A")</f>
        <v>13132</v>
      </c>
      <c r="B4227" s="4" t="s">
        <v>598</v>
      </c>
      <c r="C4227" s="4" t="s">
        <v>278</v>
      </c>
      <c r="D4227" s="94">
        <v>2357.0</v>
      </c>
    </row>
    <row r="4228">
      <c r="A4228" s="40">
        <f t="array" ref="A4228">IFNA(index(PlayerValues!A:A,match(IFNA(vlookup(B4228,'Special Names'!A:B,2,FALSE),B4228),PlayerValues!E:E,0)),"N/A")</f>
        <v>15802</v>
      </c>
      <c r="B4228" s="4" t="s">
        <v>566</v>
      </c>
      <c r="C4228" s="4" t="s">
        <v>298</v>
      </c>
      <c r="D4228" s="94">
        <v>2749.0</v>
      </c>
    </row>
    <row r="4229">
      <c r="A4229" s="40">
        <f t="array" ref="A4229">IFNA(index(PlayerValues!A:A,match(IFNA(vlookup(B4229,'Special Names'!A:B,2,FALSE),B4229),PlayerValues!E:E,0)),"N/A")</f>
        <v>16178</v>
      </c>
      <c r="B4229" s="4" t="s">
        <v>507</v>
      </c>
      <c r="C4229" s="4" t="s">
        <v>278</v>
      </c>
      <c r="D4229" s="94">
        <v>2347.0</v>
      </c>
    </row>
    <row r="4230">
      <c r="A4230" s="40" t="str">
        <f t="array" ref="A4230">IFNA(index(PlayerValues!A:A,match(IFNA(vlookup(B4230,'Special Names'!A:B,2,FALSE),B4230),PlayerValues!E:E,0)),"N/A")</f>
        <v>N/A</v>
      </c>
      <c r="B4230" s="4" t="s">
        <v>86</v>
      </c>
      <c r="C4230" s="4" t="s">
        <v>325</v>
      </c>
      <c r="D4230" s="94">
        <v>2341.0</v>
      </c>
    </row>
    <row r="4231">
      <c r="A4231" s="40">
        <f t="array" ref="A4231">IFNA(index(PlayerValues!A:A,match(IFNA(vlookup(B4231,'Special Names'!A:B,2,FALSE),B4231),PlayerValues!E:E,0)),"N/A")</f>
        <v>13772</v>
      </c>
      <c r="B4231" s="4" t="s">
        <v>544</v>
      </c>
      <c r="C4231" s="4" t="s">
        <v>298</v>
      </c>
      <c r="D4231" s="94">
        <v>2738.0</v>
      </c>
    </row>
    <row r="4232">
      <c r="A4232" s="40">
        <f t="array" ref="A4232">IFNA(index(PlayerValues!A:A,match(IFNA(vlookup(B4232,'Special Names'!A:B,2,FALSE),B4232),PlayerValues!E:E,0)),"N/A")</f>
        <v>17079</v>
      </c>
      <c r="B4232" s="4" t="s">
        <v>572</v>
      </c>
      <c r="C4232" s="4" t="s">
        <v>287</v>
      </c>
      <c r="D4232" s="94">
        <v>2320.0</v>
      </c>
    </row>
    <row r="4233">
      <c r="A4233" s="40">
        <f t="array" ref="A4233">IFNA(index(PlayerValues!A:A,match(IFNA(vlookup(B4233,'Special Names'!A:B,2,FALSE),B4233),PlayerValues!E:E,0)),"N/A")</f>
        <v>16212</v>
      </c>
      <c r="B4233" s="4" t="s">
        <v>568</v>
      </c>
      <c r="C4233" s="4" t="s">
        <v>298</v>
      </c>
      <c r="D4233" s="94">
        <v>2712.0</v>
      </c>
    </row>
    <row r="4234">
      <c r="A4234" s="40">
        <f t="array" ref="A4234">IFNA(index(PlayerValues!A:A,match(IFNA(vlookup(B4234,'Special Names'!A:B,2,FALSE),B4234),PlayerValues!E:E,0)),"N/A")</f>
        <v>17049</v>
      </c>
      <c r="B4234" s="4" t="s">
        <v>624</v>
      </c>
      <c r="C4234" s="4" t="s">
        <v>278</v>
      </c>
      <c r="D4234" s="94">
        <v>2307.0</v>
      </c>
    </row>
    <row r="4235">
      <c r="A4235" s="40">
        <f t="array" ref="A4235">IFNA(index(PlayerValues!A:A,match(IFNA(vlookup(B4235,'Special Names'!A:B,2,FALSE),B4235),PlayerValues!E:E,0)),"N/A")</f>
        <v>12801</v>
      </c>
      <c r="B4235" s="4" t="s">
        <v>722</v>
      </c>
      <c r="C4235" s="4" t="s">
        <v>287</v>
      </c>
      <c r="D4235" s="94">
        <v>2306.0</v>
      </c>
    </row>
    <row r="4236">
      <c r="A4236" s="40" t="str">
        <f t="array" ref="A4236">IFNA(index(PlayerValues!A:A,match(IFNA(vlookup(B4236,'Special Names'!A:B,2,FALSE),B4236),PlayerValues!E:E,0)),"N/A")</f>
        <v>N/A</v>
      </c>
      <c r="B4236" s="4" t="s">
        <v>99</v>
      </c>
      <c r="C4236" s="4" t="s">
        <v>325</v>
      </c>
      <c r="D4236" s="94">
        <v>2298.0</v>
      </c>
    </row>
    <row r="4237">
      <c r="A4237" s="40">
        <f t="array" ref="A4237">IFNA(index(PlayerValues!A:A,match(IFNA(vlookup(B4237,'Special Names'!A:B,2,FALSE),B4237),PlayerValues!E:E,0)),"N/A")</f>
        <v>17034</v>
      </c>
      <c r="B4237" s="4" t="s">
        <v>643</v>
      </c>
      <c r="C4237" s="4" t="s">
        <v>283</v>
      </c>
      <c r="D4237" s="94">
        <v>2297.0</v>
      </c>
    </row>
    <row r="4238">
      <c r="A4238" s="40">
        <f t="array" ref="A4238">IFNA(index(PlayerValues!A:A,match(IFNA(vlookup(B4238,'Special Names'!A:B,2,FALSE),B4238),PlayerValues!E:E,0)),"N/A")</f>
        <v>16036</v>
      </c>
      <c r="B4238" s="4" t="s">
        <v>592</v>
      </c>
      <c r="C4238" s="4" t="s">
        <v>298</v>
      </c>
      <c r="D4238" s="94">
        <v>2664.0</v>
      </c>
    </row>
    <row r="4239">
      <c r="A4239" s="40">
        <f t="array" ref="A4239">IFNA(index(PlayerValues!A:A,match(IFNA(vlookup(B4239,'Special Names'!A:B,2,FALSE),B4239),PlayerValues!E:E,0)),"N/A")</f>
        <v>17076</v>
      </c>
      <c r="B4239" s="4" t="s">
        <v>585</v>
      </c>
      <c r="C4239" s="4" t="s">
        <v>287</v>
      </c>
      <c r="D4239" s="94">
        <v>2268.0</v>
      </c>
    </row>
    <row r="4240">
      <c r="A4240" s="40">
        <f t="array" ref="A4240">IFNA(index(PlayerValues!A:A,match(IFNA(vlookup(B4240,'Special Names'!A:B,2,FALSE),B4240),PlayerValues!E:E,0)),"N/A")</f>
        <v>17544</v>
      </c>
      <c r="B4240" s="4" t="s">
        <v>470</v>
      </c>
      <c r="C4240" s="4" t="s">
        <v>298</v>
      </c>
      <c r="D4240" s="94">
        <v>2664.0</v>
      </c>
    </row>
    <row r="4241">
      <c r="A4241" s="40">
        <f t="array" ref="A4241">IFNA(index(PlayerValues!A:A,match(IFNA(vlookup(B4241,'Special Names'!A:B,2,FALSE),B4241),PlayerValues!E:E,0)),"N/A")</f>
        <v>16171</v>
      </c>
      <c r="B4241" s="4" t="s">
        <v>618</v>
      </c>
      <c r="C4241" s="4" t="s">
        <v>278</v>
      </c>
      <c r="D4241" s="94">
        <v>2255.0</v>
      </c>
    </row>
    <row r="4242">
      <c r="A4242" s="40">
        <f t="array" ref="A4242">IFNA(index(PlayerValues!A:A,match(IFNA(vlookup(B4242,'Special Names'!A:B,2,FALSE),B4242),PlayerValues!E:E,0)),"N/A")</f>
        <v>16342</v>
      </c>
      <c r="B4242" s="4" t="s">
        <v>583</v>
      </c>
      <c r="C4242" s="4" t="s">
        <v>287</v>
      </c>
      <c r="D4242" s="94">
        <v>2218.0</v>
      </c>
    </row>
    <row r="4243">
      <c r="A4243" s="40">
        <f t="array" ref="A4243">IFNA(index(PlayerValues!A:A,match(IFNA(vlookup(B4243,'Special Names'!A:B,2,FALSE),B4243),PlayerValues!E:E,0)),"N/A")</f>
        <v>13319</v>
      </c>
      <c r="B4243" s="4" t="s">
        <v>549</v>
      </c>
      <c r="C4243" s="4" t="s">
        <v>278</v>
      </c>
      <c r="D4243" s="94">
        <v>2217.0</v>
      </c>
    </row>
    <row r="4244">
      <c r="A4244" s="40">
        <f t="array" ref="A4244">IFNA(index(PlayerValues!A:A,match(IFNA(vlookup(B4244,'Special Names'!A:B,2,FALSE),B4244),PlayerValues!E:E,0)),"N/A")</f>
        <v>17506</v>
      </c>
      <c r="B4244" s="4" t="s">
        <v>471</v>
      </c>
      <c r="C4244" s="4" t="s">
        <v>287</v>
      </c>
      <c r="D4244" s="94">
        <v>2209.0</v>
      </c>
    </row>
    <row r="4245">
      <c r="A4245" s="40">
        <f t="array" ref="A4245">IFNA(index(PlayerValues!A:A,match(IFNA(vlookup(B4245,'Special Names'!A:B,2,FALSE),B4245),PlayerValues!E:E,0)),"N/A")</f>
        <v>17509</v>
      </c>
      <c r="B4245" s="4" t="s">
        <v>551</v>
      </c>
      <c r="C4245" s="4" t="s">
        <v>287</v>
      </c>
      <c r="D4245" s="94">
        <v>2209.0</v>
      </c>
    </row>
    <row r="4246">
      <c r="A4246" s="40">
        <f t="array" ref="A4246">IFNA(index(PlayerValues!A:A,match(IFNA(vlookup(B4246,'Special Names'!A:B,2,FALSE),B4246),PlayerValues!E:E,0)),"N/A")</f>
        <v>16639</v>
      </c>
      <c r="B4246" s="4" t="s">
        <v>599</v>
      </c>
      <c r="C4246" s="4" t="s">
        <v>287</v>
      </c>
      <c r="D4246" s="94">
        <v>2206.0</v>
      </c>
    </row>
    <row r="4247">
      <c r="A4247" s="40">
        <f t="array" ref="A4247">IFNA(index(PlayerValues!A:A,match(IFNA(vlookup(B4247,'Special Names'!A:B,2,FALSE),B4247),PlayerValues!E:E,0)),"N/A")</f>
        <v>16195</v>
      </c>
      <c r="B4247" s="4" t="s">
        <v>509</v>
      </c>
      <c r="C4247" s="4" t="s">
        <v>287</v>
      </c>
      <c r="D4247" s="94">
        <v>2204.0</v>
      </c>
    </row>
    <row r="4248">
      <c r="A4248" s="40">
        <f t="array" ref="A4248">IFNA(index(PlayerValues!A:A,match(IFNA(vlookup(B4248,'Special Names'!A:B,2,FALSE),B4248),PlayerValues!E:E,0)),"N/A")</f>
        <v>15889</v>
      </c>
      <c r="B4248" s="4" t="s">
        <v>503</v>
      </c>
      <c r="C4248" s="4" t="s">
        <v>298</v>
      </c>
      <c r="D4248" s="94">
        <v>2593.0</v>
      </c>
    </row>
    <row r="4249">
      <c r="A4249" s="40">
        <f t="array" ref="A4249">IFNA(index(PlayerValues!A:A,match(IFNA(vlookup(B4249,'Special Names'!A:B,2,FALSE),B4249),PlayerValues!E:E,0)),"N/A")</f>
        <v>16684</v>
      </c>
      <c r="B4249" s="4" t="s">
        <v>500</v>
      </c>
      <c r="C4249" s="4" t="s">
        <v>287</v>
      </c>
      <c r="D4249" s="94">
        <v>2194.0</v>
      </c>
    </row>
    <row r="4250">
      <c r="A4250" s="40" t="str">
        <f t="array" ref="A4250">IFNA(index(PlayerValues!A:A,match(IFNA(vlookup(B4250,'Special Names'!A:B,2,FALSE),B4250),PlayerValues!E:E,0)),"N/A")</f>
        <v>N/A</v>
      </c>
      <c r="B4250" s="4" t="s">
        <v>100</v>
      </c>
      <c r="C4250" s="4" t="s">
        <v>325</v>
      </c>
      <c r="D4250" s="94">
        <v>2171.0</v>
      </c>
    </row>
    <row r="4251">
      <c r="A4251" s="40" t="str">
        <f t="array" ref="A4251">IFNA(index(PlayerValues!A:A,match(IFNA(vlookup(B4251,'Special Names'!A:B,2,FALSE),B4251),PlayerValues!E:E,0)),"N/A")</f>
        <v>N/A</v>
      </c>
      <c r="B4251" s="4" t="s">
        <v>87</v>
      </c>
      <c r="C4251" s="4" t="s">
        <v>325</v>
      </c>
      <c r="D4251" s="94">
        <v>2166.0</v>
      </c>
    </row>
    <row r="4252">
      <c r="A4252" s="40">
        <f t="array" ref="A4252">IFNA(index(PlayerValues!A:A,match(IFNA(vlookup(B4252,'Special Names'!A:B,2,FALSE),B4252),PlayerValues!E:E,0)),"N/A")</f>
        <v>16752</v>
      </c>
      <c r="B4252" s="4" t="s">
        <v>597</v>
      </c>
      <c r="C4252" s="4" t="s">
        <v>278</v>
      </c>
      <c r="D4252" s="94">
        <v>2162.0</v>
      </c>
    </row>
    <row r="4253">
      <c r="A4253" s="40">
        <f t="array" ref="A4253">IFNA(index(PlayerValues!A:A,match(IFNA(vlookup(B4253,'Special Names'!A:B,2,FALSE),B4253),PlayerValues!E:E,0)),"N/A")</f>
        <v>17087</v>
      </c>
      <c r="B4253" s="4" t="s">
        <v>600</v>
      </c>
      <c r="C4253" s="4" t="s">
        <v>287</v>
      </c>
      <c r="D4253" s="94">
        <v>2148.0</v>
      </c>
    </row>
    <row r="4254">
      <c r="A4254" s="40" t="str">
        <f t="array" ref="A4254">IFNA(index(PlayerValues!A:A,match(IFNA(vlookup(B4254,'Special Names'!A:B,2,FALSE),B4254),PlayerValues!E:E,0)),"N/A")</f>
        <v>N/A</v>
      </c>
      <c r="B4254" s="4" t="s">
        <v>112</v>
      </c>
      <c r="C4254" s="4" t="s">
        <v>325</v>
      </c>
      <c r="D4254" s="94">
        <v>2148.0</v>
      </c>
    </row>
    <row r="4255">
      <c r="A4255" s="40">
        <f t="array" ref="A4255">IFNA(index(PlayerValues!A:A,match(IFNA(vlookup(B4255,'Special Names'!A:B,2,FALSE),B4255),PlayerValues!E:E,0)),"N/A")</f>
        <v>15749</v>
      </c>
      <c r="B4255" s="4" t="s">
        <v>574</v>
      </c>
      <c r="C4255" s="4" t="s">
        <v>278</v>
      </c>
      <c r="D4255" s="94">
        <v>2146.0</v>
      </c>
    </row>
    <row r="4256">
      <c r="A4256" s="40">
        <f t="array" ref="A4256">IFNA(index(PlayerValues!A:A,match(IFNA(vlookup(B4256,'Special Names'!A:B,2,FALSE),B4256),PlayerValues!E:E,0)),"N/A")</f>
        <v>16191</v>
      </c>
      <c r="B4256" s="4" t="s">
        <v>666</v>
      </c>
      <c r="C4256" s="4" t="s">
        <v>287</v>
      </c>
      <c r="D4256" s="94">
        <v>2141.0</v>
      </c>
    </row>
    <row r="4257">
      <c r="A4257" s="40">
        <f t="array" ref="A4257">IFNA(index(PlayerValues!A:A,match(IFNA(vlookup(B4257,'Special Names'!A:B,2,FALSE),B4257),PlayerValues!E:E,0)),"N/A")</f>
        <v>17069</v>
      </c>
      <c r="B4257" s="4" t="s">
        <v>604</v>
      </c>
      <c r="C4257" s="4" t="s">
        <v>278</v>
      </c>
      <c r="D4257" s="94">
        <v>2136.0</v>
      </c>
    </row>
    <row r="4258">
      <c r="A4258" s="40">
        <f t="array" ref="A4258">IFNA(index(PlayerValues!A:A,match(IFNA(vlookup(B4258,'Special Names'!A:B,2,FALSE),B4258),PlayerValues!E:E,0)),"N/A")</f>
        <v>15238</v>
      </c>
      <c r="B4258" s="4" t="s">
        <v>613</v>
      </c>
      <c r="C4258" s="4" t="s">
        <v>283</v>
      </c>
      <c r="D4258" s="94">
        <v>2131.0</v>
      </c>
    </row>
    <row r="4259">
      <c r="A4259" s="40">
        <f t="array" ref="A4259">IFNA(index(PlayerValues!A:A,match(IFNA(vlookup(B4259,'Special Names'!A:B,2,FALSE),B4259),PlayerValues!E:E,0)),"N/A")</f>
        <v>14867</v>
      </c>
      <c r="B4259" s="4" t="s">
        <v>591</v>
      </c>
      <c r="C4259" s="4" t="s">
        <v>298</v>
      </c>
      <c r="D4259" s="94">
        <v>2518.0</v>
      </c>
    </row>
    <row r="4260">
      <c r="A4260" s="40">
        <f t="array" ref="A4260">IFNA(index(PlayerValues!A:A,match(IFNA(vlookup(B4260,'Special Names'!A:B,2,FALSE),B4260),PlayerValues!E:E,0)),"N/A")</f>
        <v>16644</v>
      </c>
      <c r="B4260" s="4" t="s">
        <v>640</v>
      </c>
      <c r="C4260" s="4" t="s">
        <v>298</v>
      </c>
      <c r="D4260" s="94">
        <v>2513.0</v>
      </c>
    </row>
    <row r="4261">
      <c r="A4261" s="40">
        <f t="array" ref="A4261">IFNA(index(PlayerValues!A:A,match(IFNA(vlookup(B4261,'Special Names'!A:B,2,FALSE),B4261),PlayerValues!E:E,0)),"N/A")</f>
        <v>14871</v>
      </c>
      <c r="B4261" s="4" t="s">
        <v>584</v>
      </c>
      <c r="C4261" s="4" t="s">
        <v>298</v>
      </c>
      <c r="D4261" s="94">
        <v>2505.0</v>
      </c>
    </row>
    <row r="4262">
      <c r="A4262" s="40" t="str">
        <f t="array" ref="A4262">IFNA(index(PlayerValues!A:A,match(IFNA(vlookup(B4262,'Special Names'!A:B,2,FALSE),B4262),PlayerValues!E:E,0)),"N/A")</f>
        <v>N/A</v>
      </c>
      <c r="B4262" s="4" t="s">
        <v>88</v>
      </c>
      <c r="C4262" s="4" t="s">
        <v>325</v>
      </c>
      <c r="D4262" s="94">
        <v>2112.0</v>
      </c>
    </row>
    <row r="4263">
      <c r="A4263" s="40">
        <f t="array" ref="A4263">IFNA(index(PlayerValues!A:A,match(IFNA(vlookup(B4263,'Special Names'!A:B,2,FALSE),B4263),PlayerValues!E:E,0)),"N/A")</f>
        <v>17478</v>
      </c>
      <c r="B4263" s="4" t="s">
        <v>527</v>
      </c>
      <c r="C4263" s="4" t="s">
        <v>278</v>
      </c>
      <c r="D4263" s="94">
        <v>2098.0</v>
      </c>
    </row>
    <row r="4264">
      <c r="A4264" s="40">
        <f t="array" ref="A4264">IFNA(index(PlayerValues!A:A,match(IFNA(vlookup(B4264,'Special Names'!A:B,2,FALSE),B4264),PlayerValues!E:E,0)),"N/A")</f>
        <v>17056</v>
      </c>
      <c r="B4264" s="4" t="s">
        <v>581</v>
      </c>
      <c r="C4264" s="4" t="s">
        <v>278</v>
      </c>
      <c r="D4264" s="94">
        <v>2090.0</v>
      </c>
    </row>
    <row r="4265">
      <c r="A4265" s="40">
        <f t="array" ref="A4265">IFNA(index(PlayerValues!A:A,match(IFNA(vlookup(B4265,'Special Names'!A:B,2,FALSE),B4265),PlayerValues!E:E,0)),"N/A")</f>
        <v>16432</v>
      </c>
      <c r="B4265" s="4" t="s">
        <v>620</v>
      </c>
      <c r="C4265" s="4" t="s">
        <v>278</v>
      </c>
      <c r="D4265" s="94">
        <v>2088.0</v>
      </c>
    </row>
    <row r="4266">
      <c r="A4266" s="40">
        <f t="array" ref="A4266">IFNA(index(PlayerValues!A:A,match(IFNA(vlookup(B4266,'Special Names'!A:B,2,FALSE),B4266),PlayerValues!E:E,0)),"N/A")</f>
        <v>16643</v>
      </c>
      <c r="B4266" s="4" t="s">
        <v>609</v>
      </c>
      <c r="C4266" s="4" t="s">
        <v>298</v>
      </c>
      <c r="D4266" s="94">
        <v>2469.0</v>
      </c>
    </row>
    <row r="4267">
      <c r="A4267" s="40">
        <f t="array" ref="A4267">IFNA(index(PlayerValues!A:A,match(IFNA(vlookup(B4267,'Special Names'!A:B,2,FALSE),B4267),PlayerValues!E:E,0)),"N/A")</f>
        <v>17060</v>
      </c>
      <c r="B4267" s="4" t="s">
        <v>603</v>
      </c>
      <c r="C4267" s="4" t="s">
        <v>278</v>
      </c>
      <c r="D4267" s="94">
        <v>2068.0</v>
      </c>
    </row>
    <row r="4268">
      <c r="A4268" s="40">
        <f t="array" ref="A4268">IFNA(index(PlayerValues!A:A,match(IFNA(vlookup(B4268,'Special Names'!A:B,2,FALSE),B4268),PlayerValues!E:E,0)),"N/A")</f>
        <v>16174</v>
      </c>
      <c r="B4268" s="4" t="s">
        <v>505</v>
      </c>
      <c r="C4268" s="4" t="s">
        <v>278</v>
      </c>
      <c r="D4268" s="94">
        <v>2063.0</v>
      </c>
    </row>
    <row r="4269">
      <c r="A4269" s="40">
        <f t="array" ref="A4269">IFNA(index(PlayerValues!A:A,match(IFNA(vlookup(B4269,'Special Names'!A:B,2,FALSE),B4269),PlayerValues!E:E,0)),"N/A")</f>
        <v>13146</v>
      </c>
      <c r="B4269" s="4" t="s">
        <v>652</v>
      </c>
      <c r="C4269" s="4" t="s">
        <v>278</v>
      </c>
      <c r="D4269" s="94">
        <v>2060.0</v>
      </c>
    </row>
    <row r="4270">
      <c r="A4270" s="40" t="str">
        <f t="array" ref="A4270">IFNA(index(PlayerValues!A:A,match(IFNA(vlookup(B4270,'Special Names'!A:B,2,FALSE),B4270),PlayerValues!E:E,0)),"N/A")</f>
        <v>N/A</v>
      </c>
      <c r="B4270" s="4" t="s">
        <v>113</v>
      </c>
      <c r="C4270" s="4" t="s">
        <v>325</v>
      </c>
      <c r="D4270" s="94">
        <v>2058.0</v>
      </c>
    </row>
    <row r="4271">
      <c r="A4271" s="40">
        <f t="array" ref="A4271">IFNA(index(PlayerValues!A:A,match(IFNA(vlookup(B4271,'Special Names'!A:B,2,FALSE),B4271),PlayerValues!E:E,0)),"N/A")</f>
        <v>15331</v>
      </c>
      <c r="B4271" s="4" t="s">
        <v>560</v>
      </c>
      <c r="C4271" s="4" t="s">
        <v>298</v>
      </c>
      <c r="D4271" s="94">
        <v>2446.0</v>
      </c>
    </row>
    <row r="4272">
      <c r="A4272" s="40">
        <f t="array" ref="A4272">IFNA(index(PlayerValues!A:A,match(IFNA(vlookup(B4272,'Special Names'!A:B,2,FALSE),B4272),PlayerValues!E:E,0)),"N/A")</f>
        <v>13633</v>
      </c>
      <c r="B4272" s="4" t="s">
        <v>625</v>
      </c>
      <c r="C4272" s="4" t="s">
        <v>287</v>
      </c>
      <c r="D4272" s="94">
        <v>2030.0</v>
      </c>
    </row>
    <row r="4273">
      <c r="A4273" s="40">
        <f t="array" ref="A4273">IFNA(index(PlayerValues!A:A,match(IFNA(vlookup(B4273,'Special Names'!A:B,2,FALSE),B4273),PlayerValues!E:E,0)),"N/A")</f>
        <v>14974</v>
      </c>
      <c r="B4273" s="4" t="s">
        <v>611</v>
      </c>
      <c r="C4273" s="4" t="s">
        <v>287</v>
      </c>
      <c r="D4273" s="94">
        <v>2016.0</v>
      </c>
    </row>
    <row r="4274">
      <c r="A4274" s="40">
        <f t="array" ref="A4274">IFNA(index(PlayerValues!A:A,match(IFNA(vlookup(B4274,'Special Names'!A:B,2,FALSE),B4274),PlayerValues!E:E,0)),"N/A")</f>
        <v>15293</v>
      </c>
      <c r="B4274" s="4" t="s">
        <v>578</v>
      </c>
      <c r="C4274" s="4" t="s">
        <v>287</v>
      </c>
      <c r="D4274" s="94">
        <v>2012.0</v>
      </c>
    </row>
    <row r="4275">
      <c r="A4275" s="40">
        <f t="array" ref="A4275">IFNA(index(PlayerValues!A:A,match(IFNA(vlookup(B4275,'Special Names'!A:B,2,FALSE),B4275),PlayerValues!E:E,0)),"N/A")</f>
        <v>11244</v>
      </c>
      <c r="B4275" s="4" t="s">
        <v>519</v>
      </c>
      <c r="C4275" s="4" t="s">
        <v>298</v>
      </c>
      <c r="D4275" s="94">
        <v>2373.0</v>
      </c>
    </row>
    <row r="4276">
      <c r="A4276" s="40">
        <f t="array" ref="A4276">IFNA(index(PlayerValues!A:A,match(IFNA(vlookup(B4276,'Special Names'!A:B,2,FALSE),B4276),PlayerValues!E:E,0)),"N/A")</f>
        <v>16603</v>
      </c>
      <c r="B4276" s="4" t="s">
        <v>587</v>
      </c>
      <c r="C4276" s="4" t="s">
        <v>278</v>
      </c>
      <c r="D4276" s="94">
        <v>1977.0</v>
      </c>
    </row>
    <row r="4277">
      <c r="A4277" s="40">
        <f t="array" ref="A4277">IFNA(index(PlayerValues!A:A,match(IFNA(vlookup(B4277,'Special Names'!A:B,2,FALSE),B4277),PlayerValues!E:E,0)),"N/A")</f>
        <v>17036</v>
      </c>
      <c r="B4277" s="4" t="s">
        <v>617</v>
      </c>
      <c r="C4277" s="4" t="s">
        <v>283</v>
      </c>
      <c r="D4277" s="94">
        <v>1975.0</v>
      </c>
    </row>
    <row r="4278">
      <c r="A4278" s="40">
        <f t="array" ref="A4278">IFNA(index(PlayerValues!A:A,match(IFNA(vlookup(B4278,'Special Names'!A:B,2,FALSE),B4278),PlayerValues!E:E,0)),"N/A")</f>
        <v>17465</v>
      </c>
      <c r="B4278" s="4" t="s">
        <v>649</v>
      </c>
      <c r="C4278" s="4" t="s">
        <v>283</v>
      </c>
      <c r="D4278" s="94">
        <v>1957.0</v>
      </c>
    </row>
    <row r="4279">
      <c r="A4279" s="40">
        <f t="array" ref="A4279">IFNA(index(PlayerValues!A:A,match(IFNA(vlookup(B4279,'Special Names'!A:B,2,FALSE),B4279),PlayerValues!E:E,0)),"N/A")</f>
        <v>17503</v>
      </c>
      <c r="B4279" s="4" t="s">
        <v>480</v>
      </c>
      <c r="C4279" s="4" t="s">
        <v>287</v>
      </c>
      <c r="D4279" s="94">
        <v>1942.0</v>
      </c>
    </row>
    <row r="4280">
      <c r="A4280" s="40">
        <f t="array" ref="A4280">IFNA(index(PlayerValues!A:A,match(IFNA(vlookup(B4280,'Special Names'!A:B,2,FALSE),B4280),PlayerValues!E:E,0)),"N/A")</f>
        <v>17482</v>
      </c>
      <c r="B4280" s="4" t="s">
        <v>460</v>
      </c>
      <c r="C4280" s="4" t="s">
        <v>278</v>
      </c>
      <c r="D4280" s="94">
        <v>1927.0</v>
      </c>
    </row>
    <row r="4281">
      <c r="A4281" s="40">
        <f t="array" ref="A4281">IFNA(index(PlayerValues!A:A,match(IFNA(vlookup(B4281,'Special Names'!A:B,2,FALSE),B4281),PlayerValues!E:E,0)),"N/A")</f>
        <v>17184</v>
      </c>
      <c r="B4281" s="4" t="s">
        <v>588</v>
      </c>
      <c r="C4281" s="4" t="s">
        <v>287</v>
      </c>
      <c r="D4281" s="94">
        <v>1920.0</v>
      </c>
    </row>
    <row r="4282">
      <c r="A4282" s="40">
        <f t="array" ref="A4282">IFNA(index(PlayerValues!A:A,match(IFNA(vlookup(B4282,'Special Names'!A:B,2,FALSE),B4282),PlayerValues!E:E,0)),"N/A")</f>
        <v>16216</v>
      </c>
      <c r="B4282" s="4" t="s">
        <v>595</v>
      </c>
      <c r="C4282" s="4" t="s">
        <v>298</v>
      </c>
      <c r="D4282" s="94">
        <v>2296.0</v>
      </c>
    </row>
    <row r="4283">
      <c r="A4283" s="40">
        <f t="array" ref="A4283">IFNA(index(PlayerValues!A:A,match(IFNA(vlookup(B4283,'Special Names'!A:B,2,FALSE),B4283),PlayerValues!E:E,0)),"N/A")</f>
        <v>13189</v>
      </c>
      <c r="B4283" s="4" t="s">
        <v>626</v>
      </c>
      <c r="C4283" s="4" t="s">
        <v>298</v>
      </c>
      <c r="D4283" s="94">
        <v>2291.0</v>
      </c>
    </row>
    <row r="4284">
      <c r="A4284" s="40">
        <f t="array" ref="A4284">IFNA(index(PlayerValues!A:A,match(IFNA(vlookup(B4284,'Special Names'!A:B,2,FALSE),B4284),PlayerValues!E:E,0)),"N/A")</f>
        <v>17512</v>
      </c>
      <c r="B4284" s="4" t="s">
        <v>483</v>
      </c>
      <c r="C4284" s="4" t="s">
        <v>287</v>
      </c>
      <c r="D4284" s="94">
        <v>1902.0</v>
      </c>
    </row>
    <row r="4285">
      <c r="A4285" s="40">
        <f t="array" ref="A4285">IFNA(index(PlayerValues!A:A,match(IFNA(vlookup(B4285,'Special Names'!A:B,2,FALSE),B4285),PlayerValues!E:E,0)),"N/A")</f>
        <v>17546</v>
      </c>
      <c r="B4285" s="4" t="s">
        <v>671</v>
      </c>
      <c r="C4285" s="4" t="s">
        <v>298</v>
      </c>
      <c r="D4285" s="94">
        <v>2276.0</v>
      </c>
    </row>
    <row r="4286">
      <c r="A4286" s="40">
        <f t="array" ref="A4286">IFNA(index(PlayerValues!A:A,match(IFNA(vlookup(B4286,'Special Names'!A:B,2,FALSE),B4286),PlayerValues!E:E,0)),"N/A")</f>
        <v>16215</v>
      </c>
      <c r="B4286" s="4" t="s">
        <v>637</v>
      </c>
      <c r="C4286" s="4" t="s">
        <v>298</v>
      </c>
      <c r="D4286" s="94">
        <v>2271.0</v>
      </c>
    </row>
    <row r="4287">
      <c r="A4287" s="40">
        <f t="array" ref="A4287">IFNA(index(PlayerValues!A:A,match(IFNA(vlookup(B4287,'Special Names'!A:B,2,FALSE),B4287),PlayerValues!E:E,0)),"N/A")</f>
        <v>16778</v>
      </c>
      <c r="B4287" s="4" t="s">
        <v>577</v>
      </c>
      <c r="C4287" s="4" t="s">
        <v>287</v>
      </c>
      <c r="D4287" s="94">
        <v>1889.0</v>
      </c>
    </row>
    <row r="4288">
      <c r="A4288" s="40">
        <f t="array" ref="A4288">IFNA(index(PlayerValues!A:A,match(IFNA(vlookup(B4288,'Special Names'!A:B,2,FALSE),B4288),PlayerValues!E:E,0)),"N/A")</f>
        <v>16635</v>
      </c>
      <c r="B4288" s="4" t="s">
        <v>645</v>
      </c>
      <c r="C4288" s="4" t="s">
        <v>287</v>
      </c>
      <c r="D4288" s="94">
        <v>1884.0</v>
      </c>
    </row>
    <row r="4289">
      <c r="A4289" s="40" t="str">
        <f t="array" ref="A4289">IFNA(index(PlayerValues!A:A,match(IFNA(vlookup(B4289,'Special Names'!A:B,2,FALSE),B4289),PlayerValues!E:E,0)),"N/A")</f>
        <v>N/A</v>
      </c>
      <c r="B4289" s="4" t="s">
        <v>114</v>
      </c>
      <c r="C4289" s="4" t="s">
        <v>325</v>
      </c>
      <c r="D4289" s="94">
        <v>1882.0</v>
      </c>
    </row>
    <row r="4290">
      <c r="A4290" s="40">
        <f t="array" ref="A4290">IFNA(index(PlayerValues!A:A,match(IFNA(vlookup(B4290,'Special Names'!A:B,2,FALSE),B4290),PlayerValues!E:E,0)),"N/A")</f>
        <v>15337</v>
      </c>
      <c r="B4290" s="4" t="s">
        <v>655</v>
      </c>
      <c r="C4290" s="4" t="s">
        <v>298</v>
      </c>
      <c r="D4290" s="94">
        <v>2259.0</v>
      </c>
    </row>
    <row r="4291">
      <c r="A4291" s="40">
        <f t="array" ref="A4291">IFNA(index(PlayerValues!A:A,match(IFNA(vlookup(B4291,'Special Names'!A:B,2,FALSE),B4291),PlayerValues!E:E,0)),"N/A")</f>
        <v>17061</v>
      </c>
      <c r="B4291" s="4" t="s">
        <v>580</v>
      </c>
      <c r="C4291" s="4" t="s">
        <v>278</v>
      </c>
      <c r="D4291" s="94">
        <v>1872.0</v>
      </c>
    </row>
    <row r="4292">
      <c r="A4292" s="40">
        <f t="array" ref="A4292">IFNA(index(PlayerValues!A:A,match(IFNA(vlookup(B4292,'Special Names'!A:B,2,FALSE),B4292),PlayerValues!E:E,0)),"N/A")</f>
        <v>17517</v>
      </c>
      <c r="B4292" s="4" t="s">
        <v>454</v>
      </c>
      <c r="C4292" s="4" t="s">
        <v>287</v>
      </c>
      <c r="D4292" s="94">
        <v>1868.0</v>
      </c>
    </row>
    <row r="4293">
      <c r="A4293" s="40">
        <f t="array" ref="A4293">IFNA(index(PlayerValues!A:A,match(IFNA(vlookup(B4293,'Special Names'!A:B,2,FALSE),B4293),PlayerValues!E:E,0)),"N/A")</f>
        <v>15254</v>
      </c>
      <c r="B4293" s="4" t="s">
        <v>633</v>
      </c>
      <c r="C4293" s="4" t="s">
        <v>278</v>
      </c>
      <c r="D4293" s="94">
        <v>1864.0</v>
      </c>
    </row>
    <row r="4294">
      <c r="A4294" s="40">
        <f t="array" ref="A4294">IFNA(index(PlayerValues!A:A,match(IFNA(vlookup(B4294,'Special Names'!A:B,2,FALSE),B4294),PlayerValues!E:E,0)),"N/A")</f>
        <v>15759</v>
      </c>
      <c r="B4294" s="4" t="s">
        <v>662</v>
      </c>
      <c r="C4294" s="4" t="s">
        <v>287</v>
      </c>
      <c r="D4294" s="94">
        <v>1862.0</v>
      </c>
    </row>
    <row r="4295">
      <c r="A4295" s="40">
        <f t="array" ref="A4295">IFNA(index(PlayerValues!A:A,match(IFNA(vlookup(B4295,'Special Names'!A:B,2,FALSE),B4295),PlayerValues!E:E,0)),"N/A")</f>
        <v>17508</v>
      </c>
      <c r="B4295" s="4" t="s">
        <v>534</v>
      </c>
      <c r="C4295" s="4" t="s">
        <v>287</v>
      </c>
      <c r="D4295" s="94">
        <v>1861.0</v>
      </c>
    </row>
    <row r="4296">
      <c r="A4296" s="40">
        <f t="array" ref="A4296">IFNA(index(PlayerValues!A:A,match(IFNA(vlookup(B4296,'Special Names'!A:B,2,FALSE),B4296),PlayerValues!E:E,0)),"N/A")</f>
        <v>16201</v>
      </c>
      <c r="B4296" s="4" t="s">
        <v>589</v>
      </c>
      <c r="C4296" s="4" t="s">
        <v>287</v>
      </c>
      <c r="D4296" s="94">
        <v>1860.0</v>
      </c>
    </row>
    <row r="4297">
      <c r="A4297" s="40">
        <f t="array" ref="A4297">IFNA(index(PlayerValues!A:A,match(IFNA(vlookup(B4297,'Special Names'!A:B,2,FALSE),B4297),PlayerValues!E:E,0)),"N/A")</f>
        <v>17035</v>
      </c>
      <c r="B4297" s="4" t="s">
        <v>650</v>
      </c>
      <c r="C4297" s="4" t="s">
        <v>283</v>
      </c>
      <c r="D4297" s="94">
        <v>1860.0</v>
      </c>
    </row>
    <row r="4298">
      <c r="A4298" s="40">
        <f t="array" ref="A4298">IFNA(index(PlayerValues!A:A,match(IFNA(vlookup(B4298,'Special Names'!A:B,2,FALSE),B4298),PlayerValues!E:E,0)),"N/A")</f>
        <v>17547</v>
      </c>
      <c r="B4298" s="4" t="s">
        <v>552</v>
      </c>
      <c r="C4298" s="4" t="s">
        <v>298</v>
      </c>
      <c r="D4298" s="94">
        <v>2242.0</v>
      </c>
    </row>
    <row r="4299">
      <c r="A4299" s="40">
        <f t="array" ref="A4299">IFNA(index(PlayerValues!A:A,match(IFNA(vlookup(B4299,'Special Names'!A:B,2,FALSE),B4299),PlayerValues!E:E,0)),"N/A")</f>
        <v>16595</v>
      </c>
      <c r="B4299" s="4" t="s">
        <v>664</v>
      </c>
      <c r="C4299" s="4" t="s">
        <v>278</v>
      </c>
      <c r="D4299" s="94">
        <v>1843.0</v>
      </c>
    </row>
    <row r="4300">
      <c r="A4300" s="40" t="str">
        <f t="array" ref="A4300">IFNA(index(PlayerValues!A:A,match(IFNA(vlookup(B4300,'Special Names'!A:B,2,FALSE),B4300),PlayerValues!E:E,0)),"N/A")</f>
        <v>N/A</v>
      </c>
      <c r="B4300" s="4" t="s">
        <v>101</v>
      </c>
      <c r="C4300" s="4" t="s">
        <v>325</v>
      </c>
      <c r="D4300" s="94">
        <v>1829.0</v>
      </c>
    </row>
    <row r="4301">
      <c r="A4301" s="40">
        <f t="array" ref="A4301">IFNA(index(PlayerValues!A:A,match(IFNA(vlookup(B4301,'Special Names'!A:B,2,FALSE),B4301),PlayerValues!E:E,0)),"N/A")</f>
        <v>16585</v>
      </c>
      <c r="B4301" s="4" t="s">
        <v>623</v>
      </c>
      <c r="C4301" s="4" t="s">
        <v>283</v>
      </c>
      <c r="D4301" s="94">
        <v>1814.0</v>
      </c>
    </row>
    <row r="4302">
      <c r="A4302" s="40">
        <f t="array" ref="A4302">IFNA(index(PlayerValues!A:A,match(IFNA(vlookup(B4302,'Special Names'!A:B,2,FALSE),B4302),PlayerValues!E:E,0)),"N/A")</f>
        <v>15786</v>
      </c>
      <c r="B4302" s="4" t="s">
        <v>521</v>
      </c>
      <c r="C4302" s="4" t="s">
        <v>287</v>
      </c>
      <c r="D4302" s="94">
        <v>1809.0</v>
      </c>
    </row>
    <row r="4303">
      <c r="A4303" s="40">
        <f t="array" ref="A4303">IFNA(index(PlayerValues!A:A,match(IFNA(vlookup(B4303,'Special Names'!A:B,2,FALSE),B4303),PlayerValues!E:E,0)),"N/A")</f>
        <v>16788</v>
      </c>
      <c r="B4303" s="4" t="s">
        <v>621</v>
      </c>
      <c r="C4303" s="4" t="s">
        <v>287</v>
      </c>
      <c r="D4303" s="94">
        <v>1796.0</v>
      </c>
    </row>
    <row r="4304">
      <c r="A4304" s="40">
        <f t="array" ref="A4304">IFNA(index(PlayerValues!A:A,match(IFNA(vlookup(B4304,'Special Names'!A:B,2,FALSE),B4304),PlayerValues!E:E,0)),"N/A")</f>
        <v>17086</v>
      </c>
      <c r="B4304" s="4" t="s">
        <v>612</v>
      </c>
      <c r="C4304" s="4" t="s">
        <v>287</v>
      </c>
      <c r="D4304" s="94">
        <v>1783.0</v>
      </c>
    </row>
    <row r="4305">
      <c r="A4305" s="40">
        <f t="array" ref="A4305">IFNA(index(PlayerValues!A:A,match(IFNA(vlookup(B4305,'Special Names'!A:B,2,FALSE),B4305),PlayerValues!E:E,0)),"N/A")</f>
        <v>17055</v>
      </c>
      <c r="B4305" s="4" t="s">
        <v>565</v>
      </c>
      <c r="C4305" s="4" t="s">
        <v>278</v>
      </c>
      <c r="D4305" s="94">
        <v>1767.0</v>
      </c>
    </row>
    <row r="4306">
      <c r="A4306" s="40">
        <f t="array" ref="A4306">IFNA(index(PlayerValues!A:A,match(IFNA(vlookup(B4306,'Special Names'!A:B,2,FALSE),B4306),PlayerValues!E:E,0)),"N/A")</f>
        <v>17058</v>
      </c>
      <c r="B4306" s="4" t="s">
        <v>641</v>
      </c>
      <c r="C4306" s="4" t="s">
        <v>278</v>
      </c>
      <c r="D4306" s="94">
        <v>1764.0</v>
      </c>
    </row>
    <row r="4307">
      <c r="A4307" s="40">
        <f t="array" ref="A4307">IFNA(index(PlayerValues!A:A,match(IFNA(vlookup(B4307,'Special Names'!A:B,2,FALSE),B4307),PlayerValues!E:E,0)),"N/A")</f>
        <v>16601</v>
      </c>
      <c r="B4307" s="4" t="s">
        <v>648</v>
      </c>
      <c r="C4307" s="4" t="s">
        <v>278</v>
      </c>
      <c r="D4307" s="94">
        <v>1763.0</v>
      </c>
    </row>
    <row r="4308">
      <c r="A4308" s="40">
        <f t="array" ref="A4308">IFNA(index(PlayerValues!A:A,match(IFNA(vlookup(B4308,'Special Names'!A:B,2,FALSE),B4308),PlayerValues!E:E,0)),"N/A")</f>
        <v>11222</v>
      </c>
      <c r="B4308" s="4" t="s">
        <v>622</v>
      </c>
      <c r="C4308" s="4" t="s">
        <v>287</v>
      </c>
      <c r="D4308" s="94">
        <v>1761.0</v>
      </c>
    </row>
    <row r="4309">
      <c r="A4309" s="40">
        <f t="array" ref="A4309">IFNA(index(PlayerValues!A:A,match(IFNA(vlookup(B4309,'Special Names'!A:B,2,FALSE),B4309),PlayerValues!E:E,0)),"N/A")</f>
        <v>14105</v>
      </c>
      <c r="B4309" s="4" t="s">
        <v>675</v>
      </c>
      <c r="C4309" s="4" t="s">
        <v>287</v>
      </c>
      <c r="D4309" s="94">
        <v>1756.0</v>
      </c>
    </row>
    <row r="4310">
      <c r="A4310" s="40" t="str">
        <f t="array" ref="A4310">IFNA(index(PlayerValues!A:A,match(IFNA(vlookup(B4310,'Special Names'!A:B,2,FALSE),B4310),PlayerValues!E:E,0)),"N/A")</f>
        <v>N/A</v>
      </c>
      <c r="B4310" s="4" t="s">
        <v>89</v>
      </c>
      <c r="C4310" s="4" t="s">
        <v>325</v>
      </c>
      <c r="D4310" s="94">
        <v>1753.0</v>
      </c>
    </row>
    <row r="4311">
      <c r="A4311" s="40">
        <f t="array" ref="A4311">IFNA(index(PlayerValues!A:A,match(IFNA(vlookup(B4311,'Special Names'!A:B,2,FALSE),B4311),PlayerValues!E:E,0)),"N/A")</f>
        <v>16586</v>
      </c>
      <c r="B4311" s="4" t="s">
        <v>658</v>
      </c>
      <c r="C4311" s="4" t="s">
        <v>283</v>
      </c>
      <c r="D4311" s="94">
        <v>1743.0</v>
      </c>
    </row>
    <row r="4312">
      <c r="A4312" s="40">
        <f t="array" ref="A4312">IFNA(index(PlayerValues!A:A,match(IFNA(vlookup(B4312,'Special Names'!A:B,2,FALSE),B4312),PlayerValues!E:E,0)),"N/A")</f>
        <v>10700</v>
      </c>
      <c r="B4312" s="4" t="s">
        <v>596</v>
      </c>
      <c r="C4312" s="4" t="s">
        <v>283</v>
      </c>
      <c r="D4312" s="94">
        <v>1730.0</v>
      </c>
    </row>
    <row r="4313">
      <c r="A4313" s="40">
        <f t="array" ref="A4313">IFNA(index(PlayerValues!A:A,match(IFNA(vlookup(B4313,'Special Names'!A:B,2,FALSE),B4313),PlayerValues!E:E,0)),"N/A")</f>
        <v>16629</v>
      </c>
      <c r="B4313" s="4" t="s">
        <v>605</v>
      </c>
      <c r="C4313" s="4" t="s">
        <v>287</v>
      </c>
      <c r="D4313" s="94">
        <v>1730.0</v>
      </c>
    </row>
    <row r="4314">
      <c r="A4314" s="40">
        <f t="array" ref="A4314">IFNA(index(PlayerValues!A:A,match(IFNA(vlookup(B4314,'Special Names'!A:B,2,FALSE),B4314),PlayerValues!E:E,0)),"N/A")</f>
        <v>7836</v>
      </c>
      <c r="B4314" s="4" t="s">
        <v>590</v>
      </c>
      <c r="C4314" s="4" t="s">
        <v>283</v>
      </c>
      <c r="D4314" s="94">
        <v>1726.0</v>
      </c>
    </row>
    <row r="4315">
      <c r="A4315" s="40">
        <f t="array" ref="A4315">IFNA(index(PlayerValues!A:A,match(IFNA(vlookup(B4315,'Special Names'!A:B,2,FALSE),B4315),PlayerValues!E:E,0)),"N/A")</f>
        <v>15787</v>
      </c>
      <c r="B4315" s="4" t="s">
        <v>610</v>
      </c>
      <c r="C4315" s="4" t="s">
        <v>287</v>
      </c>
      <c r="D4315" s="94">
        <v>1725.0</v>
      </c>
    </row>
    <row r="4316">
      <c r="A4316" s="40">
        <f t="array" ref="A4316">IFNA(index(PlayerValues!A:A,match(IFNA(vlookup(B4316,'Special Names'!A:B,2,FALSE),B4316),PlayerValues!E:E,0)),"N/A")</f>
        <v>16207</v>
      </c>
      <c r="B4316" s="4" t="s">
        <v>636</v>
      </c>
      <c r="C4316" s="4" t="s">
        <v>287</v>
      </c>
      <c r="D4316" s="94">
        <v>1704.0</v>
      </c>
    </row>
    <row r="4317">
      <c r="A4317" s="40">
        <f t="array" ref="A4317">IFNA(index(PlayerValues!A:A,match(IFNA(vlookup(B4317,'Special Names'!A:B,2,FALSE),B4317),PlayerValues!E:E,0)),"N/A")</f>
        <v>17481</v>
      </c>
      <c r="B4317" s="4" t="s">
        <v>540</v>
      </c>
      <c r="C4317" s="4" t="s">
        <v>278</v>
      </c>
      <c r="D4317" s="94">
        <v>1703.0</v>
      </c>
    </row>
    <row r="4318">
      <c r="A4318" s="40">
        <f t="array" ref="A4318">IFNA(index(PlayerValues!A:A,match(IFNA(vlookup(B4318,'Special Names'!A:B,2,FALSE),B4318),PlayerValues!E:E,0)),"N/A")</f>
        <v>13629</v>
      </c>
      <c r="B4318" s="4" t="s">
        <v>619</v>
      </c>
      <c r="C4318" s="4" t="s">
        <v>287</v>
      </c>
      <c r="D4318" s="94">
        <v>1699.0</v>
      </c>
    </row>
    <row r="4319">
      <c r="A4319" s="40">
        <f t="array" ref="A4319">IFNA(index(PlayerValues!A:A,match(IFNA(vlookup(B4319,'Special Names'!A:B,2,FALSE),B4319),PlayerValues!E:E,0)),"N/A")</f>
        <v>15777</v>
      </c>
      <c r="B4319" s="4" t="s">
        <v>694</v>
      </c>
      <c r="C4319" s="4" t="s">
        <v>287</v>
      </c>
      <c r="D4319" s="94">
        <v>1692.0</v>
      </c>
    </row>
    <row r="4320">
      <c r="A4320" s="40">
        <f t="array" ref="A4320">IFNA(index(PlayerValues!A:A,match(IFNA(vlookup(B4320,'Special Names'!A:B,2,FALSE),B4320),PlayerValues!E:E,0)),"N/A")</f>
        <v>17205</v>
      </c>
      <c r="B4320" s="4" t="s">
        <v>665</v>
      </c>
      <c r="C4320" s="4" t="s">
        <v>287</v>
      </c>
      <c r="D4320" s="94">
        <v>1682.0</v>
      </c>
    </row>
    <row r="4321">
      <c r="A4321" s="40">
        <f t="array" ref="A4321">IFNA(index(PlayerValues!A:A,match(IFNA(vlookup(B4321,'Special Names'!A:B,2,FALSE),B4321),PlayerValues!E:E,0)),"N/A")</f>
        <v>16604</v>
      </c>
      <c r="B4321" s="4" t="s">
        <v>476</v>
      </c>
      <c r="C4321" s="4" t="s">
        <v>278</v>
      </c>
      <c r="D4321" s="94">
        <v>1677.0</v>
      </c>
    </row>
    <row r="4322">
      <c r="A4322" s="40" t="str">
        <f t="array" ref="A4322">IFNA(index(PlayerValues!A:A,match(IFNA(vlookup(B4322,'Special Names'!A:B,2,FALSE),B4322),PlayerValues!E:E,0)),"N/A")</f>
        <v>N/A</v>
      </c>
      <c r="B4322" s="4" t="s">
        <v>102</v>
      </c>
      <c r="C4322" s="4" t="s">
        <v>325</v>
      </c>
      <c r="D4322" s="94">
        <v>1671.0</v>
      </c>
    </row>
    <row r="4323">
      <c r="A4323" s="40">
        <f t="array" ref="A4323">IFNA(index(PlayerValues!A:A,match(IFNA(vlookup(B4323,'Special Names'!A:B,2,FALSE),B4323),PlayerValues!E:E,0)),"N/A")</f>
        <v>17520</v>
      </c>
      <c r="B4323" s="4" t="s">
        <v>518</v>
      </c>
      <c r="C4323" s="4" t="s">
        <v>287</v>
      </c>
      <c r="D4323" s="94">
        <v>1671.0</v>
      </c>
    </row>
    <row r="4324">
      <c r="A4324" s="40">
        <f t="array" ref="A4324">IFNA(index(PlayerValues!A:A,match(IFNA(vlookup(B4324,'Special Names'!A:B,2,FALSE),B4324),PlayerValues!E:E,0)),"N/A")</f>
        <v>13164</v>
      </c>
      <c r="B4324" s="4" t="s">
        <v>632</v>
      </c>
      <c r="C4324" s="4" t="s">
        <v>287</v>
      </c>
      <c r="D4324" s="94">
        <v>1668.0</v>
      </c>
    </row>
    <row r="4325">
      <c r="A4325" s="40">
        <f t="array" ref="A4325">IFNA(index(PlayerValues!A:A,match(IFNA(vlookup(B4325,'Special Names'!A:B,2,FALSE),B4325),PlayerValues!E:E,0)),"N/A")</f>
        <v>17064</v>
      </c>
      <c r="B4325" s="4" t="s">
        <v>631</v>
      </c>
      <c r="C4325" s="4" t="s">
        <v>278</v>
      </c>
      <c r="D4325" s="94">
        <v>1668.0</v>
      </c>
    </row>
    <row r="4326">
      <c r="A4326" s="40">
        <f t="array" ref="A4326">IFNA(index(PlayerValues!A:A,match(IFNA(vlookup(B4326,'Special Names'!A:B,2,FALSE),B4326),PlayerValues!E:E,0)),"N/A")</f>
        <v>17234</v>
      </c>
      <c r="B4326" s="4" t="s">
        <v>653</v>
      </c>
      <c r="C4326" s="4" t="s">
        <v>287</v>
      </c>
      <c r="D4326" s="94">
        <v>1653.0</v>
      </c>
    </row>
    <row r="4327">
      <c r="A4327" s="40">
        <f t="array" ref="A4327">IFNA(index(PlayerValues!A:A,match(IFNA(vlookup(B4327,'Special Names'!A:B,2,FALSE),B4327),PlayerValues!E:E,0)),"N/A")</f>
        <v>17528</v>
      </c>
      <c r="B4327" s="4" t="s">
        <v>579</v>
      </c>
      <c r="C4327" s="4" t="s">
        <v>287</v>
      </c>
      <c r="D4327" s="94">
        <v>1649.0</v>
      </c>
    </row>
    <row r="4328">
      <c r="A4328" s="40" t="str">
        <f t="array" ref="A4328">IFNA(index(PlayerValues!A:A,match(IFNA(vlookup(B4328,'Special Names'!A:B,2,FALSE),B4328),PlayerValues!E:E,0)),"N/A")</f>
        <v>N/A</v>
      </c>
      <c r="B4328" s="4" t="s">
        <v>90</v>
      </c>
      <c r="C4328" s="4" t="s">
        <v>325</v>
      </c>
      <c r="D4328" s="94">
        <v>1641.0</v>
      </c>
    </row>
    <row r="4329">
      <c r="A4329" s="40">
        <f t="array" ref="A4329">IFNA(index(PlayerValues!A:A,match(IFNA(vlookup(B4329,'Special Names'!A:B,2,FALSE),B4329),PlayerValues!E:E,0)),"N/A")</f>
        <v>16633</v>
      </c>
      <c r="B4329" s="4" t="s">
        <v>656</v>
      </c>
      <c r="C4329" s="4" t="s">
        <v>287</v>
      </c>
      <c r="D4329" s="94">
        <v>1633.0</v>
      </c>
    </row>
    <row r="4330">
      <c r="A4330" s="40">
        <f t="array" ref="A4330">IFNA(index(PlayerValues!A:A,match(IFNA(vlookup(B4330,'Special Names'!A:B,2,FALSE),B4330),PlayerValues!E:E,0)),"N/A")</f>
        <v>14143</v>
      </c>
      <c r="B4330" s="4" t="s">
        <v>635</v>
      </c>
      <c r="C4330" s="4" t="s">
        <v>298</v>
      </c>
      <c r="D4330" s="94">
        <v>1992.0</v>
      </c>
    </row>
    <row r="4331">
      <c r="A4331" s="40">
        <f t="array" ref="A4331">IFNA(index(PlayerValues!A:A,match(IFNA(vlookup(B4331,'Special Names'!A:B,2,FALSE),B4331),PlayerValues!E:E,0)),"N/A")</f>
        <v>15727</v>
      </c>
      <c r="B4331" s="4" t="s">
        <v>730</v>
      </c>
      <c r="C4331" s="4" t="s">
        <v>278</v>
      </c>
      <c r="D4331" s="94">
        <v>1615.0</v>
      </c>
    </row>
    <row r="4332">
      <c r="A4332" s="40">
        <f t="array" ref="A4332">IFNA(index(PlayerValues!A:A,match(IFNA(vlookup(B4332,'Special Names'!A:B,2,FALSE),B4332),PlayerValues!E:E,0)),"N/A")</f>
        <v>17545</v>
      </c>
      <c r="B4332" s="4" t="s">
        <v>719</v>
      </c>
      <c r="C4332" s="4" t="s">
        <v>298</v>
      </c>
      <c r="D4332" s="94">
        <v>1991.0</v>
      </c>
    </row>
    <row r="4333">
      <c r="A4333" s="40">
        <f t="array" ref="A4333">IFNA(index(PlayerValues!A:A,match(IFNA(vlookup(B4333,'Special Names'!A:B,2,FALSE),B4333),PlayerValues!E:E,0)),"N/A")</f>
        <v>13131</v>
      </c>
      <c r="B4333" s="4" t="s">
        <v>815</v>
      </c>
      <c r="C4333" s="4" t="s">
        <v>278</v>
      </c>
      <c r="D4333" s="94">
        <v>1612.0</v>
      </c>
    </row>
    <row r="4334">
      <c r="A4334" s="40">
        <f t="array" ref="A4334">IFNA(index(PlayerValues!A:A,match(IFNA(vlookup(B4334,'Special Names'!A:B,2,FALSE),B4334),PlayerValues!E:E,0)),"N/A")</f>
        <v>17037</v>
      </c>
      <c r="B4334" s="4" t="s">
        <v>727</v>
      </c>
      <c r="C4334" s="4" t="s">
        <v>283</v>
      </c>
      <c r="D4334" s="94">
        <v>1610.0</v>
      </c>
    </row>
    <row r="4335">
      <c r="A4335" s="40">
        <f t="array" ref="A4335">IFNA(index(PlayerValues!A:A,match(IFNA(vlookup(B4335,'Special Names'!A:B,2,FALSE),B4335),PlayerValues!E:E,0)),"N/A")</f>
        <v>17096</v>
      </c>
      <c r="B4335" s="4" t="s">
        <v>638</v>
      </c>
      <c r="C4335" s="4" t="s">
        <v>287</v>
      </c>
      <c r="D4335" s="94">
        <v>1605.0</v>
      </c>
    </row>
    <row r="4336">
      <c r="A4336" s="40" t="str">
        <f t="array" ref="A4336">IFNA(index(PlayerValues!A:A,match(IFNA(vlookup(B4336,'Special Names'!A:B,2,FALSE),B4336),PlayerValues!E:E,0)),"N/A")</f>
        <v>N/A</v>
      </c>
      <c r="B4336" s="4" t="s">
        <v>115</v>
      </c>
      <c r="C4336" s="4" t="s">
        <v>325</v>
      </c>
      <c r="D4336" s="94">
        <v>1602.0</v>
      </c>
    </row>
    <row r="4337">
      <c r="A4337" s="40">
        <f t="array" ref="A4337">IFNA(index(PlayerValues!A:A,match(IFNA(vlookup(B4337,'Special Names'!A:B,2,FALSE),B4337),PlayerValues!E:E,0)),"N/A")</f>
        <v>13193</v>
      </c>
      <c r="B4337" s="4" t="s">
        <v>773</v>
      </c>
      <c r="C4337" s="4" t="s">
        <v>298</v>
      </c>
      <c r="D4337" s="94">
        <v>1970.0</v>
      </c>
    </row>
    <row r="4338">
      <c r="A4338" s="40">
        <f t="array" ref="A4338">IFNA(index(PlayerValues!A:A,match(IFNA(vlookup(B4338,'Special Names'!A:B,2,FALSE),B4338),PlayerValues!E:E,0)),"N/A")</f>
        <v>14122</v>
      </c>
      <c r="B4338" s="4" t="s">
        <v>663</v>
      </c>
      <c r="C4338" s="4" t="s">
        <v>287</v>
      </c>
      <c r="D4338" s="94">
        <v>1588.0</v>
      </c>
    </row>
    <row r="4339">
      <c r="A4339" s="40">
        <f t="array" ref="A4339">IFNA(index(PlayerValues!A:A,match(IFNA(vlookup(B4339,'Special Names'!A:B,2,FALSE),B4339),PlayerValues!E:E,0)),"N/A")</f>
        <v>12140</v>
      </c>
      <c r="B4339" s="4" t="s">
        <v>702</v>
      </c>
      <c r="C4339" s="4" t="s">
        <v>283</v>
      </c>
      <c r="D4339" s="94">
        <v>1588.0</v>
      </c>
    </row>
    <row r="4340">
      <c r="A4340" s="40">
        <f t="array" ref="A4340">IFNA(index(PlayerValues!A:A,match(IFNA(vlookup(B4340,'Special Names'!A:B,2,FALSE),B4340),PlayerValues!E:E,0)),"N/A")</f>
        <v>16688</v>
      </c>
      <c r="B4340" s="4" t="s">
        <v>688</v>
      </c>
      <c r="C4340" s="4" t="s">
        <v>278</v>
      </c>
      <c r="D4340" s="94">
        <v>1585.0</v>
      </c>
    </row>
    <row r="4341">
      <c r="A4341" s="40">
        <f t="array" ref="A4341">IFNA(index(PlayerValues!A:A,match(IFNA(vlookup(B4341,'Special Names'!A:B,2,FALSE),B4341),PlayerValues!E:E,0)),"N/A")</f>
        <v>15252</v>
      </c>
      <c r="B4341" s="4" t="s">
        <v>715</v>
      </c>
      <c r="C4341" s="4" t="s">
        <v>283</v>
      </c>
      <c r="D4341" s="94">
        <v>1571.0</v>
      </c>
    </row>
    <row r="4342">
      <c r="A4342" s="40" t="str">
        <f t="array" ref="A4342">IFNA(index(PlayerValues!A:A,match(IFNA(vlookup(B4342,'Special Names'!A:B,2,FALSE),B4342),PlayerValues!E:E,0)),"N/A")</f>
        <v>N/A</v>
      </c>
      <c r="B4342" s="4" t="s">
        <v>103</v>
      </c>
      <c r="C4342" s="4" t="s">
        <v>325</v>
      </c>
      <c r="D4342" s="94">
        <v>1566.0</v>
      </c>
    </row>
    <row r="4343">
      <c r="A4343" s="40">
        <f t="array" ref="A4343">IFNA(index(PlayerValues!A:A,match(IFNA(vlookup(B4343,'Special Names'!A:B,2,FALSE),B4343),PlayerValues!E:E,0)),"N/A")</f>
        <v>16390</v>
      </c>
      <c r="B4343" s="4" t="s">
        <v>689</v>
      </c>
      <c r="C4343" s="4" t="s">
        <v>278</v>
      </c>
      <c r="D4343" s="94">
        <v>1561.0</v>
      </c>
    </row>
    <row r="4344">
      <c r="A4344" s="40">
        <f t="array" ref="A4344">IFNA(index(PlayerValues!A:A,match(IFNA(vlookup(B4344,'Special Names'!A:B,2,FALSE),B4344),PlayerValues!E:E,0)),"N/A")</f>
        <v>12141</v>
      </c>
      <c r="B4344" s="4" t="s">
        <v>744</v>
      </c>
      <c r="C4344" s="4" t="s">
        <v>283</v>
      </c>
      <c r="D4344" s="94">
        <v>1535.0</v>
      </c>
    </row>
    <row r="4345">
      <c r="A4345" s="40">
        <f t="array" ref="A4345">IFNA(index(PlayerValues!A:A,match(IFNA(vlookup(B4345,'Special Names'!A:B,2,FALSE),B4345),PlayerValues!E:E,0)),"N/A")</f>
        <v>14080</v>
      </c>
      <c r="B4345" s="4" t="s">
        <v>716</v>
      </c>
      <c r="C4345" s="4" t="s">
        <v>278</v>
      </c>
      <c r="D4345" s="94">
        <v>1525.0</v>
      </c>
    </row>
    <row r="4346">
      <c r="A4346" s="40" t="str">
        <f t="array" ref="A4346">IFNA(index(PlayerValues!A:A,match(IFNA(vlookup(B4346,'Special Names'!A:B,2,FALSE),B4346),PlayerValues!E:E,0)),"N/A")</f>
        <v>N/A</v>
      </c>
      <c r="B4346" s="4" t="s">
        <v>91</v>
      </c>
      <c r="C4346" s="4" t="s">
        <v>325</v>
      </c>
      <c r="D4346" s="94">
        <v>1515.0</v>
      </c>
    </row>
    <row r="4347">
      <c r="A4347" s="40" t="str">
        <f t="array" ref="A4347">IFNA(index(PlayerValues!A:A,match(IFNA(vlookup(B4347,'Special Names'!A:B,2,FALSE),B4347),PlayerValues!E:E,0)),"N/A")</f>
        <v>N/A</v>
      </c>
      <c r="B4347" s="4" t="s">
        <v>116</v>
      </c>
      <c r="C4347" s="4" t="s">
        <v>325</v>
      </c>
      <c r="D4347" s="94">
        <v>1515.0</v>
      </c>
    </row>
    <row r="4348">
      <c r="A4348" s="40">
        <f t="array" ref="A4348">IFNA(index(PlayerValues!A:A,match(IFNA(vlookup(B4348,'Special Names'!A:B,2,FALSE),B4348),PlayerValues!E:E,0)),"N/A")</f>
        <v>15258</v>
      </c>
      <c r="B4348" s="4" t="s">
        <v>757</v>
      </c>
      <c r="C4348" s="4" t="s">
        <v>278</v>
      </c>
      <c r="D4348" s="94">
        <v>1511.0</v>
      </c>
    </row>
    <row r="4349">
      <c r="A4349" s="40">
        <f t="array" ref="A4349">IFNA(index(PlayerValues!A:A,match(IFNA(vlookup(B4349,'Special Names'!A:B,2,FALSE),B4349),PlayerValues!E:E,0)),"N/A")</f>
        <v>15319</v>
      </c>
      <c r="B4349" s="4" t="s">
        <v>644</v>
      </c>
      <c r="C4349" s="4" t="s">
        <v>287</v>
      </c>
      <c r="D4349" s="94">
        <v>1511.0</v>
      </c>
    </row>
    <row r="4350">
      <c r="A4350" s="40">
        <f t="array" ref="A4350">IFNA(index(PlayerValues!A:A,match(IFNA(vlookup(B4350,'Special Names'!A:B,2,FALSE),B4350),PlayerValues!E:E,0)),"N/A")</f>
        <v>15713</v>
      </c>
      <c r="B4350" s="4" t="s">
        <v>732</v>
      </c>
      <c r="C4350" s="4" t="s">
        <v>278</v>
      </c>
      <c r="D4350" s="94">
        <v>1494.0</v>
      </c>
    </row>
    <row r="4351">
      <c r="A4351" s="40">
        <f t="array" ref="A4351">IFNA(index(PlayerValues!A:A,match(IFNA(vlookup(B4351,'Special Names'!A:B,2,FALSE),B4351),PlayerValues!E:E,0)),"N/A")</f>
        <v>13418</v>
      </c>
      <c r="B4351" s="4" t="s">
        <v>706</v>
      </c>
      <c r="C4351" s="4" t="s">
        <v>287</v>
      </c>
      <c r="D4351" s="94">
        <v>1474.0</v>
      </c>
    </row>
    <row r="4352">
      <c r="A4352" s="40">
        <f t="array" ref="A4352">IFNA(index(PlayerValues!A:A,match(IFNA(vlookup(B4352,'Special Names'!A:B,2,FALSE),B4352),PlayerValues!E:E,0)),"N/A")</f>
        <v>17077</v>
      </c>
      <c r="B4352" s="4" t="s">
        <v>714</v>
      </c>
      <c r="C4352" s="4" t="s">
        <v>287</v>
      </c>
      <c r="D4352" s="94">
        <v>1474.0</v>
      </c>
    </row>
    <row r="4353">
      <c r="A4353" s="40">
        <f t="array" ref="A4353">IFNA(index(PlayerValues!A:A,match(IFNA(vlookup(B4353,'Special Names'!A:B,2,FALSE),B4353),PlayerValues!E:E,0)),"N/A")</f>
        <v>15755</v>
      </c>
      <c r="B4353" s="4" t="s">
        <v>628</v>
      </c>
      <c r="C4353" s="4" t="s">
        <v>287</v>
      </c>
      <c r="D4353" s="94">
        <v>1471.0</v>
      </c>
    </row>
    <row r="4354">
      <c r="A4354" s="40">
        <f t="array" ref="A4354">IFNA(index(PlayerValues!A:A,match(IFNA(vlookup(B4354,'Special Names'!A:B,2,FALSE),B4354),PlayerValues!E:E,0)),"N/A")</f>
        <v>17254</v>
      </c>
      <c r="B4354" s="4" t="s">
        <v>679</v>
      </c>
      <c r="C4354" s="4" t="s">
        <v>287</v>
      </c>
      <c r="D4354" s="94">
        <v>1465.0</v>
      </c>
    </row>
    <row r="4355">
      <c r="A4355" s="40">
        <f t="array" ref="A4355">IFNA(index(PlayerValues!A:A,match(IFNA(vlookup(B4355,'Special Names'!A:B,2,FALSE),B4355),PlayerValues!E:E,0)),"N/A")</f>
        <v>15738</v>
      </c>
      <c r="B4355" s="4" t="s">
        <v>634</v>
      </c>
      <c r="C4355" s="4" t="s">
        <v>278</v>
      </c>
      <c r="D4355" s="94">
        <v>1459.0</v>
      </c>
    </row>
    <row r="4356">
      <c r="A4356" s="40">
        <f t="array" ref="A4356">IFNA(index(PlayerValues!A:A,match(IFNA(vlookup(B4356,'Special Names'!A:B,2,FALSE),B4356),PlayerValues!E:E,0)),"N/A")</f>
        <v>15752</v>
      </c>
      <c r="B4356" s="4" t="s">
        <v>647</v>
      </c>
      <c r="C4356" s="4" t="s">
        <v>287</v>
      </c>
      <c r="D4356" s="94">
        <v>1457.0</v>
      </c>
    </row>
    <row r="4357">
      <c r="A4357" s="40">
        <f t="array" ref="A4357">IFNA(index(PlayerValues!A:A,match(IFNA(vlookup(B4357,'Special Names'!A:B,2,FALSE),B4357),PlayerValues!E:E,0)),"N/A")</f>
        <v>16631</v>
      </c>
      <c r="B4357" s="4" t="s">
        <v>800</v>
      </c>
      <c r="C4357" s="4" t="s">
        <v>287</v>
      </c>
      <c r="D4357" s="94">
        <v>1452.0</v>
      </c>
    </row>
    <row r="4358">
      <c r="A4358" s="40">
        <f t="array" ref="A4358">IFNA(index(PlayerValues!A:A,match(IFNA(vlookup(B4358,'Special Names'!A:B,2,FALSE),B4358),PlayerValues!E:E,0)),"N/A")</f>
        <v>13672</v>
      </c>
      <c r="B4358" s="4" t="s">
        <v>667</v>
      </c>
      <c r="C4358" s="4" t="s">
        <v>298</v>
      </c>
      <c r="D4358" s="94">
        <v>1823.0</v>
      </c>
    </row>
    <row r="4359">
      <c r="A4359" s="40">
        <f t="array" ref="A4359">IFNA(index(PlayerValues!A:A,match(IFNA(vlookup(B4359,'Special Names'!A:B,2,FALSE),B4359),PlayerValues!E:E,0)),"N/A")</f>
        <v>11150</v>
      </c>
      <c r="B4359" s="4" t="s">
        <v>559</v>
      </c>
      <c r="C4359" s="4" t="s">
        <v>283</v>
      </c>
      <c r="D4359" s="94">
        <v>1449.0</v>
      </c>
    </row>
    <row r="4360">
      <c r="A4360" s="40">
        <f t="array" ref="A4360">IFNA(index(PlayerValues!A:A,match(IFNA(vlookup(B4360,'Special Names'!A:B,2,FALSE),B4360),PlayerValues!E:E,0)),"N/A")</f>
        <v>14095</v>
      </c>
      <c r="B4360" s="4" t="s">
        <v>680</v>
      </c>
      <c r="C4360" s="4" t="s">
        <v>278</v>
      </c>
      <c r="D4360" s="94">
        <v>1447.0</v>
      </c>
    </row>
    <row r="4361">
      <c r="A4361" s="40">
        <f t="array" ref="A4361">IFNA(index(PlayerValues!A:A,match(IFNA(vlookup(B4361,'Special Names'!A:B,2,FALSE),B4361),PlayerValues!E:E,0)),"N/A")</f>
        <v>17269</v>
      </c>
      <c r="B4361" s="4" t="s">
        <v>718</v>
      </c>
      <c r="C4361" s="4" t="s">
        <v>287</v>
      </c>
      <c r="D4361" s="94">
        <v>1441.0</v>
      </c>
    </row>
    <row r="4362">
      <c r="A4362" s="40">
        <f t="array" ref="A4362">IFNA(index(PlayerValues!A:A,match(IFNA(vlookup(B4362,'Special Names'!A:B,2,FALSE),B4362),PlayerValues!E:E,0)),"N/A")</f>
        <v>17062</v>
      </c>
      <c r="B4362" s="4" t="s">
        <v>701</v>
      </c>
      <c r="C4362" s="4" t="s">
        <v>278</v>
      </c>
      <c r="D4362" s="94">
        <v>1430.0</v>
      </c>
    </row>
    <row r="4363">
      <c r="A4363" s="40">
        <f t="array" ref="A4363">IFNA(index(PlayerValues!A:A,match(IFNA(vlookup(B4363,'Special Names'!A:B,2,FALSE),B4363),PlayerValues!E:E,0)),"N/A")</f>
        <v>15332</v>
      </c>
      <c r="B4363" s="4" t="s">
        <v>698</v>
      </c>
      <c r="C4363" s="4" t="s">
        <v>298</v>
      </c>
      <c r="D4363" s="94">
        <v>1780.0</v>
      </c>
    </row>
    <row r="4364">
      <c r="A4364" s="40">
        <f t="array" ref="A4364">IFNA(index(PlayerValues!A:A,match(IFNA(vlookup(B4364,'Special Names'!A:B,2,FALSE),B4364),PlayerValues!E:E,0)),"N/A")</f>
        <v>13138</v>
      </c>
      <c r="B4364" s="4" t="s">
        <v>817</v>
      </c>
      <c r="C4364" s="4" t="s">
        <v>278</v>
      </c>
      <c r="D4364" s="94">
        <v>1400.0</v>
      </c>
    </row>
    <row r="4365">
      <c r="A4365" s="40">
        <f t="array" ref="A4365">IFNA(index(PlayerValues!A:A,match(IFNA(vlookup(B4365,'Special Names'!A:B,2,FALSE),B4365),PlayerValues!E:E,0)),"N/A")</f>
        <v>15788</v>
      </c>
      <c r="B4365" s="4" t="s">
        <v>627</v>
      </c>
      <c r="C4365" s="4" t="s">
        <v>287</v>
      </c>
      <c r="D4365" s="94">
        <v>1390.0</v>
      </c>
    </row>
    <row r="4366">
      <c r="A4366" s="40">
        <f t="array" ref="A4366">IFNA(index(PlayerValues!A:A,match(IFNA(vlookup(B4366,'Special Names'!A:B,2,FALSE),B4366),PlayerValues!E:E,0)),"N/A")</f>
        <v>17504</v>
      </c>
      <c r="B4366" s="4" t="s">
        <v>693</v>
      </c>
      <c r="C4366" s="4" t="s">
        <v>287</v>
      </c>
      <c r="D4366" s="94">
        <v>1384.0</v>
      </c>
    </row>
    <row r="4367">
      <c r="A4367" s="40">
        <f t="array" ref="A4367">IFNA(index(PlayerValues!A:A,match(IFNA(vlookup(B4367,'Special Names'!A:B,2,FALSE),B4367),PlayerValues!E:E,0)),"N/A")</f>
        <v>15797</v>
      </c>
      <c r="B4367" s="4" t="s">
        <v>556</v>
      </c>
      <c r="C4367" s="4" t="s">
        <v>298</v>
      </c>
      <c r="D4367" s="94">
        <v>1754.0</v>
      </c>
    </row>
    <row r="4368">
      <c r="A4368" s="40">
        <f t="array" ref="A4368">IFNA(index(PlayerValues!A:A,match(IFNA(vlookup(B4368,'Special Names'!A:B,2,FALSE),B4368),PlayerValues!E:E,0)),"N/A")</f>
        <v>17510</v>
      </c>
      <c r="B4368" s="4" t="s">
        <v>661</v>
      </c>
      <c r="C4368" s="4" t="s">
        <v>287</v>
      </c>
      <c r="D4368" s="94">
        <v>1374.0</v>
      </c>
    </row>
    <row r="4369">
      <c r="A4369" s="40">
        <f t="array" ref="A4369">IFNA(index(PlayerValues!A:A,match(IFNA(vlookup(B4369,'Special Names'!A:B,2,FALSE),B4369),PlayerValues!E:E,0)),"N/A")</f>
        <v>17475</v>
      </c>
      <c r="B4369" s="4" t="s">
        <v>615</v>
      </c>
      <c r="C4369" s="4" t="s">
        <v>278</v>
      </c>
      <c r="D4369" s="94">
        <v>1367.0</v>
      </c>
    </row>
    <row r="4370">
      <c r="A4370" s="40">
        <f t="array" ref="A4370">IFNA(index(PlayerValues!A:A,match(IFNA(vlookup(B4370,'Special Names'!A:B,2,FALSE),B4370),PlayerValues!E:E,0)),"N/A")</f>
        <v>15873</v>
      </c>
      <c r="B4370" s="4" t="s">
        <v>681</v>
      </c>
      <c r="C4370" s="4" t="s">
        <v>298</v>
      </c>
      <c r="D4370" s="94">
        <v>1719.0</v>
      </c>
    </row>
    <row r="4371">
      <c r="A4371" s="40">
        <f t="array" ref="A4371">IFNA(index(PlayerValues!A:A,match(IFNA(vlookup(B4371,'Special Names'!A:B,2,FALSE),B4371),PlayerValues!E:E,0)),"N/A")</f>
        <v>17541</v>
      </c>
      <c r="B4371" s="4" t="s">
        <v>616</v>
      </c>
      <c r="C4371" s="4" t="s">
        <v>287</v>
      </c>
      <c r="D4371" s="94">
        <v>1347.0</v>
      </c>
    </row>
    <row r="4372">
      <c r="A4372" s="40">
        <f t="array" ref="A4372">IFNA(index(PlayerValues!A:A,match(IFNA(vlookup(B4372,'Special Names'!A:B,2,FALSE),B4372),PlayerValues!E:E,0)),"N/A")</f>
        <v>16621</v>
      </c>
      <c r="B4372" s="4" t="s">
        <v>672</v>
      </c>
      <c r="C4372" s="4" t="s">
        <v>287</v>
      </c>
      <c r="D4372" s="94">
        <v>1345.0</v>
      </c>
    </row>
    <row r="4373">
      <c r="A4373" s="40">
        <f t="array" ref="A4373">IFNA(index(PlayerValues!A:A,match(IFNA(vlookup(B4373,'Special Names'!A:B,2,FALSE),B4373),PlayerValues!E:E,0)),"N/A")</f>
        <v>14137</v>
      </c>
      <c r="B4373" s="4" t="s">
        <v>676</v>
      </c>
      <c r="C4373" s="4" t="s">
        <v>298</v>
      </c>
      <c r="D4373" s="94">
        <v>1709.0</v>
      </c>
    </row>
    <row r="4374">
      <c r="A4374" s="40">
        <f t="array" ref="A4374">IFNA(index(PlayerValues!A:A,match(IFNA(vlookup(B4374,'Special Names'!A:B,2,FALSE),B4374),PlayerValues!E:E,0)),"N/A")</f>
        <v>17479</v>
      </c>
      <c r="B4374" s="4" t="s">
        <v>756</v>
      </c>
      <c r="C4374" s="4" t="s">
        <v>278</v>
      </c>
      <c r="D4374" s="94">
        <v>1335.0</v>
      </c>
    </row>
    <row r="4375">
      <c r="A4375" s="40">
        <f t="array" ref="A4375">IFNA(index(PlayerValues!A:A,match(IFNA(vlookup(B4375,'Special Names'!A:B,2,FALSE),B4375),PlayerValues!E:E,0)),"N/A")</f>
        <v>15301</v>
      </c>
      <c r="B4375" s="4" t="s">
        <v>657</v>
      </c>
      <c r="C4375" s="4" t="s">
        <v>287</v>
      </c>
      <c r="D4375" s="94">
        <v>1333.0</v>
      </c>
    </row>
    <row r="4376">
      <c r="A4376" s="40">
        <f t="array" ref="A4376">IFNA(index(PlayerValues!A:A,match(IFNA(vlookup(B4376,'Special Names'!A:B,2,FALSE),B4376),PlayerValues!E:E,0)),"N/A")</f>
        <v>16642</v>
      </c>
      <c r="B4376" s="4" t="s">
        <v>691</v>
      </c>
      <c r="C4376" s="4" t="s">
        <v>298</v>
      </c>
      <c r="D4376" s="94">
        <v>1697.0</v>
      </c>
    </row>
    <row r="4377">
      <c r="A4377" s="40" t="str">
        <f t="array" ref="A4377">IFNA(index(PlayerValues!A:A,match(IFNA(vlookup(B4377,'Special Names'!A:B,2,FALSE),B4377),PlayerValues!E:E,0)),"N/A")</f>
        <v>N/A</v>
      </c>
      <c r="B4377" s="4" t="s">
        <v>117</v>
      </c>
      <c r="C4377" s="4" t="s">
        <v>325</v>
      </c>
      <c r="D4377" s="94">
        <v>1315.0</v>
      </c>
    </row>
    <row r="4378">
      <c r="A4378" s="40">
        <f t="array" ref="A4378">IFNA(index(PlayerValues!A:A,match(IFNA(vlookup(B4378,'Special Names'!A:B,2,FALSE),B4378),PlayerValues!E:E,0)),"N/A")</f>
        <v>17487</v>
      </c>
      <c r="B4378" s="4" t="s">
        <v>692</v>
      </c>
      <c r="C4378" s="4" t="s">
        <v>278</v>
      </c>
      <c r="D4378" s="94">
        <v>1312.0</v>
      </c>
    </row>
    <row r="4379">
      <c r="A4379" s="40">
        <f t="array" ref="A4379">IFNA(index(PlayerValues!A:A,match(IFNA(vlookup(B4379,'Special Names'!A:B,2,FALSE),B4379),PlayerValues!E:E,0)),"N/A")</f>
        <v>17486</v>
      </c>
      <c r="B4379" s="4" t="s">
        <v>695</v>
      </c>
      <c r="C4379" s="4" t="s">
        <v>278</v>
      </c>
      <c r="D4379" s="94">
        <v>1309.0</v>
      </c>
    </row>
    <row r="4380">
      <c r="A4380" s="40">
        <f t="array" ref="A4380">IFNA(index(PlayerValues!A:A,match(IFNA(vlookup(B4380,'Special Names'!A:B,2,FALSE),B4380),PlayerValues!E:E,0)),"N/A")</f>
        <v>16385</v>
      </c>
      <c r="B4380" s="4" t="s">
        <v>690</v>
      </c>
      <c r="C4380" s="4" t="s">
        <v>278</v>
      </c>
      <c r="D4380" s="94">
        <v>1295.0</v>
      </c>
    </row>
    <row r="4381">
      <c r="A4381" s="40">
        <f t="array" ref="A4381">IFNA(index(PlayerValues!A:A,match(IFNA(vlookup(B4381,'Special Names'!A:B,2,FALSE),B4381),PlayerValues!E:E,0)),"N/A")</f>
        <v>17470</v>
      </c>
      <c r="B4381" s="4" t="s">
        <v>841</v>
      </c>
      <c r="C4381" s="4" t="s">
        <v>283</v>
      </c>
      <c r="D4381" s="94">
        <v>1295.0</v>
      </c>
    </row>
    <row r="4382">
      <c r="A4382" s="40">
        <f t="array" ref="A4382">IFNA(index(PlayerValues!A:A,match(IFNA(vlookup(B4382,'Special Names'!A:B,2,FALSE),B4382),PlayerValues!E:E,0)),"N/A")</f>
        <v>16175</v>
      </c>
      <c r="B4382" s="4" t="s">
        <v>654</v>
      </c>
      <c r="C4382" s="4" t="s">
        <v>278</v>
      </c>
      <c r="D4382" s="94">
        <v>1284.0</v>
      </c>
    </row>
    <row r="4383">
      <c r="A4383" s="40">
        <f t="array" ref="A4383">IFNA(index(PlayerValues!A:A,match(IFNA(vlookup(B4383,'Special Names'!A:B,2,FALSE),B4383),PlayerValues!E:E,0)),"N/A")</f>
        <v>15292</v>
      </c>
      <c r="B4383" s="4" t="s">
        <v>682</v>
      </c>
      <c r="C4383" s="4" t="s">
        <v>287</v>
      </c>
      <c r="D4383" s="94">
        <v>1275.0</v>
      </c>
    </row>
    <row r="4384">
      <c r="A4384" s="40">
        <f t="array" ref="A4384">IFNA(index(PlayerValues!A:A,match(IFNA(vlookup(B4384,'Special Names'!A:B,2,FALSE),B4384),PlayerValues!E:E,0)),"N/A")</f>
        <v>14086</v>
      </c>
      <c r="B4384" s="4" t="s">
        <v>639</v>
      </c>
      <c r="C4384" s="4" t="s">
        <v>278</v>
      </c>
      <c r="D4384" s="94">
        <v>1263.0</v>
      </c>
    </row>
    <row r="4385">
      <c r="A4385" s="40">
        <f t="array" ref="A4385">IFNA(index(PlayerValues!A:A,match(IFNA(vlookup(B4385,'Special Names'!A:B,2,FALSE),B4385),PlayerValues!E:E,0)),"N/A")</f>
        <v>14592</v>
      </c>
      <c r="B4385" s="4" t="s">
        <v>705</v>
      </c>
      <c r="C4385" s="4" t="s">
        <v>287</v>
      </c>
      <c r="D4385" s="94">
        <v>1257.0</v>
      </c>
    </row>
    <row r="4386">
      <c r="A4386" s="40">
        <f t="array" ref="A4386">IFNA(index(PlayerValues!A:A,match(IFNA(vlookup(B4386,'Special Names'!A:B,2,FALSE),B4386),PlayerValues!E:E,0)),"N/A")</f>
        <v>14108</v>
      </c>
      <c r="B4386" s="4" t="s">
        <v>673</v>
      </c>
      <c r="C4386" s="4" t="s">
        <v>287</v>
      </c>
      <c r="D4386" s="94">
        <v>1252.0</v>
      </c>
    </row>
    <row r="4387">
      <c r="A4387" s="40">
        <f t="array" ref="A4387">IFNA(index(PlayerValues!A:A,match(IFNA(vlookup(B4387,'Special Names'!A:B,2,FALSE),B4387),PlayerValues!E:E,0)),"N/A")</f>
        <v>15240</v>
      </c>
      <c r="B4387" s="4" t="s">
        <v>751</v>
      </c>
      <c r="C4387" s="4" t="s">
        <v>283</v>
      </c>
      <c r="D4387" s="94">
        <v>1247.0</v>
      </c>
    </row>
    <row r="4388">
      <c r="A4388" s="40">
        <f t="array" ref="A4388">IFNA(index(PlayerValues!A:A,match(IFNA(vlookup(B4388,'Special Names'!A:B,2,FALSE),B4388),PlayerValues!E:E,0)),"N/A")</f>
        <v>15702</v>
      </c>
      <c r="B4388" s="4" t="s">
        <v>723</v>
      </c>
      <c r="C4388" s="4" t="s">
        <v>283</v>
      </c>
      <c r="D4388" s="94">
        <v>1247.0</v>
      </c>
    </row>
    <row r="4389">
      <c r="A4389" s="40">
        <f t="array" ref="A4389">IFNA(index(PlayerValues!A:A,match(IFNA(vlookup(B4389,'Special Names'!A:B,2,FALSE),B4389),PlayerValues!E:E,0)),"N/A")</f>
        <v>16149</v>
      </c>
      <c r="B4389" s="4" t="s">
        <v>740</v>
      </c>
      <c r="C4389" s="4" t="s">
        <v>283</v>
      </c>
      <c r="D4389" s="94">
        <v>1230.0</v>
      </c>
    </row>
    <row r="4390">
      <c r="A4390" s="40">
        <f t="array" ref="A4390">IFNA(index(PlayerValues!A:A,match(IFNA(vlookup(B4390,'Special Names'!A:B,2,FALSE),B4390),PlayerValues!E:E,0)),"N/A")</f>
        <v>16451</v>
      </c>
      <c r="B4390" s="4" t="s">
        <v>769</v>
      </c>
      <c r="C4390" s="4" t="s">
        <v>287</v>
      </c>
      <c r="D4390" s="94">
        <v>1229.0</v>
      </c>
    </row>
    <row r="4391">
      <c r="A4391" s="40">
        <f t="array" ref="A4391">IFNA(index(PlayerValues!A:A,match(IFNA(vlookup(B4391,'Special Names'!A:B,2,FALSE),B4391),PlayerValues!E:E,0)),"N/A")</f>
        <v>16183</v>
      </c>
      <c r="B4391" s="4" t="s">
        <v>678</v>
      </c>
      <c r="C4391" s="4" t="s">
        <v>287</v>
      </c>
      <c r="D4391" s="94">
        <v>1227.0</v>
      </c>
    </row>
    <row r="4392">
      <c r="A4392" s="40">
        <f t="array" ref="A4392">IFNA(index(PlayerValues!A:A,match(IFNA(vlookup(B4392,'Special Names'!A:B,2,FALSE),B4392),PlayerValues!E:E,0)),"N/A")</f>
        <v>15981</v>
      </c>
      <c r="B4392" s="4" t="s">
        <v>729</v>
      </c>
      <c r="C4392" s="4" t="s">
        <v>287</v>
      </c>
      <c r="D4392" s="94">
        <v>1224.0</v>
      </c>
    </row>
    <row r="4393">
      <c r="A4393" s="40">
        <f t="array" ref="A4393">IFNA(index(PlayerValues!A:A,match(IFNA(vlookup(B4393,'Special Names'!A:B,2,FALSE),B4393),PlayerValues!E:E,0)),"N/A")</f>
        <v>12263</v>
      </c>
      <c r="B4393" s="4" t="s">
        <v>697</v>
      </c>
      <c r="C4393" s="4" t="s">
        <v>298</v>
      </c>
      <c r="D4393" s="94">
        <v>1585.0</v>
      </c>
    </row>
    <row r="4394">
      <c r="A4394" s="40">
        <f t="array" ref="A4394">IFNA(index(PlayerValues!A:A,match(IFNA(vlookup(B4394,'Special Names'!A:B,2,FALSE),B4394),PlayerValues!E:E,0)),"N/A")</f>
        <v>17526</v>
      </c>
      <c r="B4394" s="4" t="s">
        <v>760</v>
      </c>
      <c r="C4394" s="4" t="s">
        <v>287</v>
      </c>
      <c r="D4394" s="94">
        <v>1210.0</v>
      </c>
    </row>
    <row r="4395">
      <c r="A4395" s="40">
        <f t="array" ref="A4395">IFNA(index(PlayerValues!A:A,match(IFNA(vlookup(B4395,'Special Names'!A:B,2,FALSE),B4395),PlayerValues!E:E,0)),"N/A")</f>
        <v>16384</v>
      </c>
      <c r="B4395" s="4" t="s">
        <v>696</v>
      </c>
      <c r="C4395" s="4" t="s">
        <v>283</v>
      </c>
      <c r="D4395" s="94">
        <v>1197.0</v>
      </c>
    </row>
    <row r="4396">
      <c r="A4396" s="40">
        <f t="array" ref="A4396">IFNA(index(PlayerValues!A:A,match(IFNA(vlookup(B4396,'Special Names'!A:B,2,FALSE),B4396),PlayerValues!E:E,0)),"N/A")</f>
        <v>16792</v>
      </c>
      <c r="B4396" s="4" t="s">
        <v>704</v>
      </c>
      <c r="C4396" s="4" t="s">
        <v>287</v>
      </c>
      <c r="D4396" s="94">
        <v>1194.0</v>
      </c>
    </row>
    <row r="4397">
      <c r="A4397" s="40">
        <f t="array" ref="A4397">IFNA(index(PlayerValues!A:A,match(IFNA(vlookup(B4397,'Special Names'!A:B,2,FALSE),B4397),PlayerValues!E:E,0)),"N/A")</f>
        <v>17063</v>
      </c>
      <c r="B4397" s="4" t="s">
        <v>686</v>
      </c>
      <c r="C4397" s="4" t="s">
        <v>278</v>
      </c>
      <c r="D4397" s="94">
        <v>1186.0</v>
      </c>
    </row>
    <row r="4398">
      <c r="A4398" s="40">
        <f t="array" ref="A4398">IFNA(index(PlayerValues!A:A,match(IFNA(vlookup(B4398,'Special Names'!A:B,2,FALSE),B4398),PlayerValues!E:E,0)),"N/A")</f>
        <v>16221</v>
      </c>
      <c r="B4398" s="4" t="s">
        <v>725</v>
      </c>
      <c r="C4398" s="4" t="s">
        <v>298</v>
      </c>
      <c r="D4398" s="94">
        <v>1547.0</v>
      </c>
    </row>
    <row r="4399">
      <c r="A4399" s="40">
        <f t="array" ref="A4399">IFNA(index(PlayerValues!A:A,match(IFNA(vlookup(B4399,'Special Names'!A:B,2,FALSE),B4399),PlayerValues!E:E,0)),"N/A")</f>
        <v>16645</v>
      </c>
      <c r="B4399" s="4" t="s">
        <v>651</v>
      </c>
      <c r="C4399" s="4" t="s">
        <v>298</v>
      </c>
      <c r="D4399" s="94">
        <v>1543.0</v>
      </c>
    </row>
    <row r="4400">
      <c r="A4400" s="40">
        <f t="array" ref="A4400">IFNA(index(PlayerValues!A:A,match(IFNA(vlookup(B4400,'Special Names'!A:B,2,FALSE),B4400),PlayerValues!E:E,0)),"N/A")</f>
        <v>17054</v>
      </c>
      <c r="B4400" s="4" t="s">
        <v>670</v>
      </c>
      <c r="C4400" s="4" t="s">
        <v>278</v>
      </c>
      <c r="D4400" s="94">
        <v>1170.0</v>
      </c>
    </row>
    <row r="4401">
      <c r="A4401" s="40">
        <f t="array" ref="A4401">IFNA(index(PlayerValues!A:A,match(IFNA(vlookup(B4401,'Special Names'!A:B,2,FALSE),B4401),PlayerValues!E:E,0)),"N/A")</f>
        <v>12678</v>
      </c>
      <c r="B4401" s="4" t="s">
        <v>703</v>
      </c>
      <c r="C4401" s="4" t="s">
        <v>298</v>
      </c>
      <c r="D4401" s="94">
        <v>1524.0</v>
      </c>
    </row>
    <row r="4402">
      <c r="A4402" s="40">
        <f t="array" ref="A4402">IFNA(index(PlayerValues!A:A,match(IFNA(vlookup(B4402,'Special Names'!A:B,2,FALSE),B4402),PlayerValues!E:E,0)),"N/A")</f>
        <v>16883</v>
      </c>
      <c r="B4402" s="4" t="s">
        <v>683</v>
      </c>
      <c r="C4402" s="4" t="s">
        <v>287</v>
      </c>
      <c r="D4402" s="94">
        <v>1152.0</v>
      </c>
    </row>
    <row r="4403">
      <c r="A4403" s="40">
        <f t="array" ref="A4403">IFNA(index(PlayerValues!A:A,match(IFNA(vlookup(B4403,'Special Names'!A:B,2,FALSE),B4403),PlayerValues!E:E,0)),"N/A")</f>
        <v>16746</v>
      </c>
      <c r="B4403" s="4" t="s">
        <v>709</v>
      </c>
      <c r="C4403" s="4" t="s">
        <v>278</v>
      </c>
      <c r="D4403" s="94">
        <v>1150.0</v>
      </c>
    </row>
    <row r="4404">
      <c r="A4404" s="40">
        <f t="array" ref="A4404">IFNA(index(PlayerValues!A:A,match(IFNA(vlookup(B4404,'Special Names'!A:B,2,FALSE),B4404),PlayerValues!E:E,0)),"N/A")</f>
        <v>16636</v>
      </c>
      <c r="B4404" s="4" t="s">
        <v>699</v>
      </c>
      <c r="C4404" s="4" t="s">
        <v>287</v>
      </c>
      <c r="D4404" s="94">
        <v>1149.0</v>
      </c>
    </row>
    <row r="4405">
      <c r="A4405" s="40">
        <f t="array" ref="A4405">IFNA(index(PlayerValues!A:A,match(IFNA(vlookup(B4405,'Special Names'!A:B,2,FALSE),B4405),PlayerValues!E:E,0)),"N/A")</f>
        <v>16199</v>
      </c>
      <c r="B4405" s="4" t="s">
        <v>687</v>
      </c>
      <c r="C4405" s="4" t="s">
        <v>287</v>
      </c>
      <c r="D4405" s="94">
        <v>1143.0</v>
      </c>
    </row>
    <row r="4406">
      <c r="A4406" s="40">
        <f t="array" ref="A4406">IFNA(index(PlayerValues!A:A,match(IFNA(vlookup(B4406,'Special Names'!A:B,2,FALSE),B4406),PlayerValues!E:E,0)),"N/A")</f>
        <v>14789</v>
      </c>
      <c r="B4406" s="4" t="s">
        <v>721</v>
      </c>
      <c r="C4406" s="4" t="s">
        <v>283</v>
      </c>
      <c r="D4406" s="94">
        <v>1142.0</v>
      </c>
    </row>
    <row r="4407">
      <c r="A4407" s="40">
        <f t="array" ref="A4407">IFNA(index(PlayerValues!A:A,match(IFNA(vlookup(B4407,'Special Names'!A:B,2,FALSE),B4407),PlayerValues!E:E,0)),"N/A")</f>
        <v>17097</v>
      </c>
      <c r="B4407" s="4" t="s">
        <v>659</v>
      </c>
      <c r="C4407" s="4" t="s">
        <v>287</v>
      </c>
      <c r="D4407" s="94">
        <v>1134.0</v>
      </c>
    </row>
    <row r="4408">
      <c r="A4408" s="40">
        <f t="array" ref="A4408">IFNA(index(PlayerValues!A:A,match(IFNA(vlookup(B4408,'Special Names'!A:B,2,FALSE),B4408),PlayerValues!E:E,0)),"N/A")</f>
        <v>13289</v>
      </c>
      <c r="B4408" s="4" t="s">
        <v>746</v>
      </c>
      <c r="C4408" s="4" t="s">
        <v>287</v>
      </c>
      <c r="D4408" s="94">
        <v>1124.0</v>
      </c>
    </row>
    <row r="4409">
      <c r="A4409" s="40">
        <f t="array" ref="A4409">IFNA(index(PlayerValues!A:A,match(IFNA(vlookup(B4409,'Special Names'!A:B,2,FALSE),B4409),PlayerValues!E:E,0)),"N/A")</f>
        <v>17192</v>
      </c>
      <c r="B4409" s="4" t="s">
        <v>677</v>
      </c>
      <c r="C4409" s="4" t="s">
        <v>287</v>
      </c>
      <c r="D4409" s="94">
        <v>1116.0</v>
      </c>
    </row>
    <row r="4410">
      <c r="A4410" s="40">
        <f t="array" ref="A4410">IFNA(index(PlayerValues!A:A,match(IFNA(vlookup(B4410,'Special Names'!A:B,2,FALSE),B4410),PlayerValues!E:E,0)),"N/A")</f>
        <v>17050</v>
      </c>
      <c r="B4410" s="4" t="s">
        <v>713</v>
      </c>
      <c r="C4410" s="4" t="s">
        <v>278</v>
      </c>
      <c r="D4410" s="94">
        <v>1115.0</v>
      </c>
    </row>
    <row r="4411">
      <c r="A4411" s="40">
        <f t="array" ref="A4411">IFNA(index(PlayerValues!A:A,match(IFNA(vlookup(B4411,'Special Names'!A:B,2,FALSE),B4411),PlayerValues!E:E,0)),"N/A")</f>
        <v>14845</v>
      </c>
      <c r="B4411" s="4" t="s">
        <v>717</v>
      </c>
      <c r="C4411" s="4" t="s">
        <v>287</v>
      </c>
      <c r="D4411" s="94">
        <v>1112.0</v>
      </c>
    </row>
    <row r="4412">
      <c r="A4412" s="40">
        <f t="array" ref="A4412">IFNA(index(PlayerValues!A:A,match(IFNA(vlookup(B4412,'Special Names'!A:B,2,FALSE),B4412),PlayerValues!E:E,0)),"N/A")</f>
        <v>15239</v>
      </c>
      <c r="B4412" s="4" t="s">
        <v>802</v>
      </c>
      <c r="C4412" s="4" t="s">
        <v>283</v>
      </c>
      <c r="D4412" s="94">
        <v>1111.0</v>
      </c>
    </row>
    <row r="4413">
      <c r="A4413" s="40">
        <f t="array" ref="A4413">IFNA(index(PlayerValues!A:A,match(IFNA(vlookup(B4413,'Special Names'!A:B,2,FALSE),B4413),PlayerValues!E:E,0)),"N/A")</f>
        <v>15730</v>
      </c>
      <c r="B4413" s="4" t="s">
        <v>734</v>
      </c>
      <c r="C4413" s="4" t="s">
        <v>278</v>
      </c>
      <c r="D4413" s="94">
        <v>1109.0</v>
      </c>
    </row>
    <row r="4414">
      <c r="A4414" s="40">
        <f t="array" ref="A4414">IFNA(index(PlayerValues!A:A,match(IFNA(vlookup(B4414,'Special Names'!A:B,2,FALSE),B4414),PlayerValues!E:E,0)),"N/A")</f>
        <v>15692</v>
      </c>
      <c r="B4414" s="4" t="s">
        <v>750</v>
      </c>
      <c r="C4414" s="4" t="s">
        <v>283</v>
      </c>
      <c r="D4414" s="94">
        <v>1105.0</v>
      </c>
    </row>
    <row r="4415">
      <c r="A4415" s="40">
        <f t="array" ref="A4415">IFNA(index(PlayerValues!A:A,match(IFNA(vlookup(B4415,'Special Names'!A:B,2,FALSE),B4415),PlayerValues!E:E,0)),"N/A")</f>
        <v>16333</v>
      </c>
      <c r="B4415" s="4" t="s">
        <v>711</v>
      </c>
      <c r="C4415" s="4" t="s">
        <v>298</v>
      </c>
      <c r="D4415" s="94">
        <v>1466.0</v>
      </c>
    </row>
    <row r="4416">
      <c r="A4416" s="40">
        <f t="array" ref="A4416">IFNA(index(PlayerValues!A:A,match(IFNA(vlookup(B4416,'Special Names'!A:B,2,FALSE),B4416),PlayerValues!E:E,0)),"N/A")</f>
        <v>16197</v>
      </c>
      <c r="B4416" s="4" t="s">
        <v>726</v>
      </c>
      <c r="C4416" s="4" t="s">
        <v>287</v>
      </c>
      <c r="D4416" s="94">
        <v>1095.0</v>
      </c>
    </row>
    <row r="4417">
      <c r="A4417" s="40">
        <f t="array" ref="A4417">IFNA(index(PlayerValues!A:A,match(IFNA(vlookup(B4417,'Special Names'!A:B,2,FALSE),B4417),PlayerValues!E:E,0)),"N/A")</f>
        <v>17109</v>
      </c>
      <c r="B4417" s="4" t="s">
        <v>707</v>
      </c>
      <c r="C4417" s="4" t="s">
        <v>298</v>
      </c>
      <c r="D4417" s="94">
        <v>1462.0</v>
      </c>
    </row>
    <row r="4418">
      <c r="A4418" s="40">
        <f t="array" ref="A4418">IFNA(index(PlayerValues!A:A,match(IFNA(vlookup(B4418,'Special Names'!A:B,2,FALSE),B4418),PlayerValues!E:E,0)),"N/A")</f>
        <v>13610</v>
      </c>
      <c r="B4418" s="4" t="s">
        <v>825</v>
      </c>
      <c r="C4418" s="4" t="s">
        <v>278</v>
      </c>
      <c r="D4418" s="94">
        <v>1082.0</v>
      </c>
    </row>
    <row r="4419">
      <c r="A4419" s="40">
        <f t="array" ref="A4419">IFNA(index(PlayerValues!A:A,match(IFNA(vlookup(B4419,'Special Names'!A:B,2,FALSE),B4419),PlayerValues!E:E,0)),"N/A")</f>
        <v>15288</v>
      </c>
      <c r="B4419" s="4" t="s">
        <v>700</v>
      </c>
      <c r="C4419" s="4" t="s">
        <v>287</v>
      </c>
      <c r="D4419" s="94">
        <v>1078.0</v>
      </c>
    </row>
    <row r="4420">
      <c r="A4420" s="40">
        <f t="array" ref="A4420">IFNA(index(PlayerValues!A:A,match(IFNA(vlookup(B4420,'Special Names'!A:B,2,FALSE),B4420),PlayerValues!E:E,0)),"N/A")</f>
        <v>17175</v>
      </c>
      <c r="B4420" s="4" t="s">
        <v>747</v>
      </c>
      <c r="C4420" s="4" t="s">
        <v>287</v>
      </c>
      <c r="D4420" s="94">
        <v>1074.0</v>
      </c>
    </row>
    <row r="4421">
      <c r="A4421" s="40">
        <f t="array" ref="A4421">IFNA(index(PlayerValues!A:A,match(IFNA(vlookup(B4421,'Special Names'!A:B,2,FALSE),B4421),PlayerValues!E:E,0)),"N/A")</f>
        <v>15717</v>
      </c>
      <c r="B4421" s="4" t="s">
        <v>745</v>
      </c>
      <c r="C4421" s="4" t="s">
        <v>278</v>
      </c>
      <c r="D4421" s="94">
        <v>1071.0</v>
      </c>
    </row>
    <row r="4422">
      <c r="A4422" s="40">
        <f t="array" ref="A4422">IFNA(index(PlayerValues!A:A,match(IFNA(vlookup(B4422,'Special Names'!A:B,2,FALSE),B4422),PlayerValues!E:E,0)),"N/A")</f>
        <v>16219</v>
      </c>
      <c r="B4422" s="4" t="s">
        <v>739</v>
      </c>
      <c r="C4422" s="4" t="s">
        <v>298</v>
      </c>
      <c r="D4422" s="94">
        <v>1436.0</v>
      </c>
    </row>
    <row r="4423">
      <c r="A4423" s="40">
        <f t="array" ref="A4423">IFNA(index(PlayerValues!A:A,match(IFNA(vlookup(B4423,'Special Names'!A:B,2,FALSE),B4423),PlayerValues!E:E,0)),"N/A")</f>
        <v>16640</v>
      </c>
      <c r="B4423" s="4" t="s">
        <v>712</v>
      </c>
      <c r="C4423" s="4" t="s">
        <v>287</v>
      </c>
      <c r="D4423" s="94">
        <v>1061.0</v>
      </c>
    </row>
    <row r="4424">
      <c r="A4424" s="40">
        <f t="array" ref="A4424">IFNA(index(PlayerValues!A:A,match(IFNA(vlookup(B4424,'Special Names'!A:B,2,FALSE),B4424),PlayerValues!E:E,0)),"N/A")</f>
        <v>15718</v>
      </c>
      <c r="B4424" s="4" t="s">
        <v>753</v>
      </c>
      <c r="C4424" s="4" t="s">
        <v>278</v>
      </c>
      <c r="D4424" s="94">
        <v>1058.0</v>
      </c>
    </row>
    <row r="4425">
      <c r="A4425" s="40">
        <f t="array" ref="A4425">IFNA(index(PlayerValues!A:A,match(IFNA(vlookup(B4425,'Special Names'!A:B,2,FALSE),B4425),PlayerValues!E:E,0)),"N/A")</f>
        <v>16387</v>
      </c>
      <c r="B4425" s="4" t="s">
        <v>646</v>
      </c>
      <c r="C4425" s="4" t="s">
        <v>278</v>
      </c>
      <c r="D4425" s="94">
        <v>1057.0</v>
      </c>
    </row>
    <row r="4426">
      <c r="A4426" s="40">
        <f t="array" ref="A4426">IFNA(index(PlayerValues!A:A,match(IFNA(vlookup(B4426,'Special Names'!A:B,2,FALSE),B4426),PlayerValues!E:E,0)),"N/A")</f>
        <v>15720</v>
      </c>
      <c r="B4426" s="4" t="s">
        <v>795</v>
      </c>
      <c r="C4426" s="4" t="s">
        <v>278</v>
      </c>
      <c r="D4426" s="94">
        <v>1048.0</v>
      </c>
    </row>
    <row r="4427">
      <c r="A4427" s="40">
        <f t="array" ref="A4427">IFNA(index(PlayerValues!A:A,match(IFNA(vlookup(B4427,'Special Names'!A:B,2,FALSE),B4427),PlayerValues!E:E,0)),"N/A")</f>
        <v>15693</v>
      </c>
      <c r="B4427" s="4" t="s">
        <v>755</v>
      </c>
      <c r="C4427" s="4" t="s">
        <v>283</v>
      </c>
      <c r="D4427" s="94">
        <v>1045.0</v>
      </c>
    </row>
    <row r="4428">
      <c r="A4428" s="40">
        <f t="array" ref="A4428">IFNA(index(PlayerValues!A:A,match(IFNA(vlookup(B4428,'Special Names'!A:B,2,FALSE),B4428),PlayerValues!E:E,0)),"N/A")</f>
        <v>16393</v>
      </c>
      <c r="B4428" s="4" t="s">
        <v>768</v>
      </c>
      <c r="C4428" s="4" t="s">
        <v>287</v>
      </c>
      <c r="D4428" s="94">
        <v>1038.0</v>
      </c>
    </row>
    <row r="4429">
      <c r="A4429" s="40">
        <f t="array" ref="A4429">IFNA(index(PlayerValues!A:A,match(IFNA(vlookup(B4429,'Special Names'!A:B,2,FALSE),B4429),PlayerValues!E:E,0)),"N/A")</f>
        <v>15785</v>
      </c>
      <c r="B4429" s="4" t="s">
        <v>763</v>
      </c>
      <c r="C4429" s="4" t="s">
        <v>287</v>
      </c>
      <c r="D4429" s="94">
        <v>1034.0</v>
      </c>
    </row>
    <row r="4430">
      <c r="A4430" s="40">
        <f t="array" ref="A4430">IFNA(index(PlayerValues!A:A,match(IFNA(vlookup(B4430,'Special Names'!A:B,2,FALSE),B4430),PlayerValues!E:E,0)),"N/A")</f>
        <v>14118</v>
      </c>
      <c r="B4430" s="4" t="s">
        <v>771</v>
      </c>
      <c r="C4430" s="4" t="s">
        <v>287</v>
      </c>
      <c r="D4430" s="94">
        <v>1033.0</v>
      </c>
    </row>
    <row r="4431">
      <c r="A4431" s="40">
        <f t="array" ref="A4431">IFNA(index(PlayerValues!A:A,match(IFNA(vlookup(B4431,'Special Names'!A:B,2,FALSE),B4431),PlayerValues!E:E,0)),"N/A")</f>
        <v>14849</v>
      </c>
      <c r="B4431" s="4" t="s">
        <v>733</v>
      </c>
      <c r="C4431" s="4" t="s">
        <v>287</v>
      </c>
      <c r="D4431" s="94">
        <v>1033.0</v>
      </c>
    </row>
    <row r="4432">
      <c r="A4432" s="40">
        <f t="array" ref="A4432">IFNA(index(PlayerValues!A:A,match(IFNA(vlookup(B4432,'Special Names'!A:B,2,FALSE),B4432),PlayerValues!E:E,0)),"N/A")</f>
        <v>15626</v>
      </c>
      <c r="B4432" s="4" t="s">
        <v>766</v>
      </c>
      <c r="C4432" s="4" t="s">
        <v>298</v>
      </c>
      <c r="D4432" s="94">
        <v>1394.0</v>
      </c>
    </row>
    <row r="4433">
      <c r="A4433" s="40">
        <f t="array" ref="A4433">IFNA(index(PlayerValues!A:A,match(IFNA(vlookup(B4433,'Special Names'!A:B,2,FALSE),B4433),PlayerValues!E:E,0)),"N/A")</f>
        <v>16637</v>
      </c>
      <c r="B4433" s="4" t="s">
        <v>736</v>
      </c>
      <c r="C4433" s="4" t="s">
        <v>287</v>
      </c>
      <c r="D4433" s="94">
        <v>1017.0</v>
      </c>
    </row>
    <row r="4434">
      <c r="A4434" s="40">
        <f t="array" ref="A4434">IFNA(index(PlayerValues!A:A,match(IFNA(vlookup(B4434,'Special Names'!A:B,2,FALSE),B4434),PlayerValues!E:E,0)),"N/A")</f>
        <v>16159</v>
      </c>
      <c r="B4434" s="4" t="s">
        <v>819</v>
      </c>
      <c r="C4434" s="4" t="s">
        <v>283</v>
      </c>
      <c r="D4434" s="94">
        <v>1009.0</v>
      </c>
    </row>
    <row r="4435">
      <c r="A4435" s="40">
        <f t="array" ref="A4435">IFNA(index(PlayerValues!A:A,match(IFNA(vlookup(B4435,'Special Names'!A:B,2,FALSE),B4435),PlayerValues!E:E,0)),"N/A")</f>
        <v>17057</v>
      </c>
      <c r="B4435" s="4" t="s">
        <v>708</v>
      </c>
      <c r="C4435" s="4" t="s">
        <v>278</v>
      </c>
      <c r="D4435" s="94">
        <v>1006.0</v>
      </c>
    </row>
    <row r="4436">
      <c r="A4436" s="40">
        <f t="array" ref="A4436">IFNA(index(PlayerValues!A:A,match(IFNA(vlookup(B4436,'Special Names'!A:B,2,FALSE),B4436),PlayerValues!E:E,0)),"N/A")</f>
        <v>17467</v>
      </c>
      <c r="B4436" s="4" t="s">
        <v>575</v>
      </c>
      <c r="C4436" s="4" t="s">
        <v>283</v>
      </c>
      <c r="D4436" s="94">
        <v>998.0</v>
      </c>
    </row>
    <row r="4437">
      <c r="A4437" s="40">
        <f t="array" ref="A4437">IFNA(index(PlayerValues!A:A,match(IFNA(vlookup(B4437,'Special Names'!A:B,2,FALSE),B4437),PlayerValues!E:E,0)),"N/A")</f>
        <v>16648</v>
      </c>
      <c r="B4437" s="4" t="s">
        <v>748</v>
      </c>
      <c r="C4437" s="4" t="s">
        <v>298</v>
      </c>
      <c r="D4437" s="94">
        <v>1365.0</v>
      </c>
    </row>
    <row r="4438">
      <c r="A4438" s="40">
        <f t="array" ref="A4438">IFNA(index(PlayerValues!A:A,match(IFNA(vlookup(B4438,'Special Names'!A:B,2,FALSE),B4438),PlayerValues!E:E,0)),"N/A")</f>
        <v>16957</v>
      </c>
      <c r="B4438" s="4" t="s">
        <v>806</v>
      </c>
      <c r="C4438" s="4" t="s">
        <v>278</v>
      </c>
      <c r="D4438" s="94">
        <v>992.0</v>
      </c>
    </row>
    <row r="4439">
      <c r="A4439" s="40">
        <f t="array" ref="A4439">IFNA(index(PlayerValues!A:A,match(IFNA(vlookup(B4439,'Special Names'!A:B,2,FALSE),B4439),PlayerValues!E:E,0)),"N/A")</f>
        <v>16168</v>
      </c>
      <c r="B4439" s="4" t="s">
        <v>738</v>
      </c>
      <c r="C4439" s="4" t="s">
        <v>278</v>
      </c>
      <c r="D4439" s="94">
        <v>988.0</v>
      </c>
    </row>
    <row r="4440">
      <c r="A4440" s="40">
        <f t="array" ref="A4440">IFNA(index(PlayerValues!A:A,match(IFNA(vlookup(B4440,'Special Names'!A:B,2,FALSE),B4440),PlayerValues!E:E,0)),"N/A")</f>
        <v>9064</v>
      </c>
      <c r="B4440" s="4" t="s">
        <v>761</v>
      </c>
      <c r="C4440" s="4" t="s">
        <v>283</v>
      </c>
      <c r="D4440" s="94">
        <v>984.0</v>
      </c>
    </row>
    <row r="4441">
      <c r="A4441" s="40">
        <f t="array" ref="A4441">IFNA(index(PlayerValues!A:A,match(IFNA(vlookup(B4441,'Special Names'!A:B,2,FALSE),B4441),PlayerValues!E:E,0)),"N/A")</f>
        <v>14067</v>
      </c>
      <c r="B4441" s="4" t="s">
        <v>735</v>
      </c>
      <c r="C4441" s="4" t="s">
        <v>283</v>
      </c>
      <c r="D4441" s="94">
        <v>983.0</v>
      </c>
    </row>
    <row r="4442">
      <c r="A4442" s="40">
        <f t="array" ref="A4442">IFNA(index(PlayerValues!A:A,match(IFNA(vlookup(B4442,'Special Names'!A:B,2,FALSE),B4442),PlayerValues!E:E,0)),"N/A")</f>
        <v>15330</v>
      </c>
      <c r="B4442" s="4" t="s">
        <v>749</v>
      </c>
      <c r="C4442" s="4" t="s">
        <v>298</v>
      </c>
      <c r="D4442" s="94">
        <v>1341.0</v>
      </c>
    </row>
    <row r="4443">
      <c r="A4443" s="40">
        <f t="array" ref="A4443">IFNA(index(PlayerValues!A:A,match(IFNA(vlookup(B4443,'Special Names'!A:B,2,FALSE),B4443),PlayerValues!E:E,0)),"N/A")</f>
        <v>16858</v>
      </c>
      <c r="B4443" s="4" t="s">
        <v>754</v>
      </c>
      <c r="C4443" s="4" t="s">
        <v>287</v>
      </c>
      <c r="D4443" s="94">
        <v>973.0</v>
      </c>
    </row>
    <row r="4444">
      <c r="A4444" s="40">
        <f t="array" ref="A4444">IFNA(index(PlayerValues!A:A,match(IFNA(vlookup(B4444,'Special Names'!A:B,2,FALSE),B4444),PlayerValues!E:E,0)),"N/A")</f>
        <v>13143</v>
      </c>
      <c r="B4444" s="4" t="s">
        <v>786</v>
      </c>
      <c r="C4444" s="4" t="s">
        <v>278</v>
      </c>
      <c r="D4444" s="94">
        <v>968.0</v>
      </c>
    </row>
    <row r="4445">
      <c r="A4445" s="40">
        <f t="array" ref="A4445">IFNA(index(PlayerValues!A:A,match(IFNA(vlookup(B4445,'Special Names'!A:B,2,FALSE),B4445),PlayerValues!E:E,0)),"N/A")</f>
        <v>16773</v>
      </c>
      <c r="B4445" s="4" t="s">
        <v>783</v>
      </c>
      <c r="C4445" s="4" t="s">
        <v>278</v>
      </c>
      <c r="D4445" s="94">
        <v>954.0</v>
      </c>
    </row>
    <row r="4446">
      <c r="A4446" s="40">
        <f t="array" ref="A4446">IFNA(index(PlayerValues!A:A,match(IFNA(vlookup(B4446,'Special Names'!A:B,2,FALSE),B4446),PlayerValues!E:E,0)),"N/A")</f>
        <v>14057</v>
      </c>
      <c r="B4446" s="4" t="s">
        <v>765</v>
      </c>
      <c r="C4446" s="4" t="s">
        <v>283</v>
      </c>
      <c r="D4446" s="94">
        <v>951.0</v>
      </c>
    </row>
    <row r="4447">
      <c r="A4447" s="40">
        <f t="array" ref="A4447">IFNA(index(PlayerValues!A:A,match(IFNA(vlookup(B4447,'Special Names'!A:B,2,FALSE),B4447),PlayerValues!E:E,0)),"N/A")</f>
        <v>16624</v>
      </c>
      <c r="B4447" s="4" t="s">
        <v>796</v>
      </c>
      <c r="C4447" s="4" t="s">
        <v>287</v>
      </c>
      <c r="D4447" s="94">
        <v>950.0</v>
      </c>
    </row>
    <row r="4448">
      <c r="A4448" s="40">
        <f t="array" ref="A4448">IFNA(index(PlayerValues!A:A,match(IFNA(vlookup(B4448,'Special Names'!A:B,2,FALSE),B4448),PlayerValues!E:E,0)),"N/A")</f>
        <v>16205</v>
      </c>
      <c r="B4448" s="4" t="s">
        <v>742</v>
      </c>
      <c r="C4448" s="4" t="s">
        <v>287</v>
      </c>
      <c r="D4448" s="94">
        <v>942.0</v>
      </c>
    </row>
    <row r="4449">
      <c r="A4449" s="40">
        <f t="array" ref="A4449">IFNA(index(PlayerValues!A:A,match(IFNA(vlookup(B4449,'Special Names'!A:B,2,FALSE),B4449),PlayerValues!E:E,0)),"N/A")</f>
        <v>13595</v>
      </c>
      <c r="B4449" s="4" t="s">
        <v>818</v>
      </c>
      <c r="C4449" s="4" t="s">
        <v>283</v>
      </c>
      <c r="D4449" s="94">
        <v>938.0</v>
      </c>
    </row>
    <row r="4450">
      <c r="A4450" s="40">
        <f t="array" ref="A4450">IFNA(index(PlayerValues!A:A,match(IFNA(vlookup(B4450,'Special Names'!A:B,2,FALSE),B4450),PlayerValues!E:E,0)),"N/A")</f>
        <v>15766</v>
      </c>
      <c r="B4450" s="4" t="s">
        <v>759</v>
      </c>
      <c r="C4450" s="4" t="s">
        <v>287</v>
      </c>
      <c r="D4450" s="94">
        <v>938.0</v>
      </c>
    </row>
    <row r="4451">
      <c r="A4451" s="40">
        <f t="array" ref="A4451">IFNA(index(PlayerValues!A:A,match(IFNA(vlookup(B4451,'Special Names'!A:B,2,FALSE),B4451),PlayerValues!E:E,0)),"N/A")</f>
        <v>13156</v>
      </c>
      <c r="B4451" s="4" t="s">
        <v>835</v>
      </c>
      <c r="C4451" s="4" t="s">
        <v>287</v>
      </c>
      <c r="D4451" s="94">
        <v>933.0</v>
      </c>
    </row>
    <row r="4452">
      <c r="A4452" s="40">
        <f t="array" ref="A4452">IFNA(index(PlayerValues!A:A,match(IFNA(vlookup(B4452,'Special Names'!A:B,2,FALSE),B4452),PlayerValues!E:E,0)),"N/A")</f>
        <v>15109</v>
      </c>
      <c r="B4452" s="4" t="s">
        <v>728</v>
      </c>
      <c r="C4452" s="4" t="s">
        <v>287</v>
      </c>
      <c r="D4452" s="94">
        <v>933.0</v>
      </c>
    </row>
    <row r="4453">
      <c r="A4453" s="40">
        <f t="array" ref="A4453">IFNA(index(PlayerValues!A:A,match(IFNA(vlookup(B4453,'Special Names'!A:B,2,FALSE),B4453),PlayerValues!E:E,0)),"N/A")</f>
        <v>13133</v>
      </c>
      <c r="B4453" s="4" t="s">
        <v>764</v>
      </c>
      <c r="C4453" s="4" t="s">
        <v>278</v>
      </c>
      <c r="D4453" s="94">
        <v>932.0</v>
      </c>
    </row>
    <row r="4454">
      <c r="A4454" s="40">
        <f t="array" ref="A4454">IFNA(index(PlayerValues!A:A,match(IFNA(vlookup(B4454,'Special Names'!A:B,2,FALSE),B4454),PlayerValues!E:E,0)),"N/A")</f>
        <v>16176</v>
      </c>
      <c r="B4454" s="4" t="s">
        <v>812</v>
      </c>
      <c r="C4454" s="4" t="s">
        <v>278</v>
      </c>
      <c r="D4454" s="94">
        <v>919.0</v>
      </c>
    </row>
    <row r="4455">
      <c r="A4455" s="40">
        <f t="array" ref="A4455">IFNA(index(PlayerValues!A:A,match(IFNA(vlookup(B4455,'Special Names'!A:B,2,FALSE),B4455),PlayerValues!E:E,0)),"N/A")</f>
        <v>11247</v>
      </c>
      <c r="B4455" s="4" t="s">
        <v>816</v>
      </c>
      <c r="C4455" s="4" t="s">
        <v>298</v>
      </c>
      <c r="D4455" s="94">
        <v>1286.0</v>
      </c>
    </row>
    <row r="4456">
      <c r="A4456" s="40">
        <f t="array" ref="A4456">IFNA(index(PlayerValues!A:A,match(IFNA(vlookup(B4456,'Special Names'!A:B,2,FALSE),B4456),PlayerValues!E:E,0)),"N/A")</f>
        <v>14852</v>
      </c>
      <c r="B4456" s="4" t="s">
        <v>837</v>
      </c>
      <c r="C4456" s="4" t="s">
        <v>278</v>
      </c>
      <c r="D4456" s="94">
        <v>915.0</v>
      </c>
    </row>
    <row r="4457">
      <c r="A4457" s="40">
        <f t="array" ref="A4457">IFNA(index(PlayerValues!A:A,match(IFNA(vlookup(B4457,'Special Names'!A:B,2,FALSE),B4457),PlayerValues!E:E,0)),"N/A")</f>
        <v>14079</v>
      </c>
      <c r="B4457" s="4" t="s">
        <v>830</v>
      </c>
      <c r="C4457" s="4" t="s">
        <v>278</v>
      </c>
      <c r="D4457" s="94">
        <v>913.0</v>
      </c>
    </row>
    <row r="4458">
      <c r="A4458" s="40">
        <f t="array" ref="A4458">IFNA(index(PlayerValues!A:A,match(IFNA(vlookup(B4458,'Special Names'!A:B,2,FALSE),B4458),PlayerValues!E:E,0)),"N/A")</f>
        <v>16608</v>
      </c>
      <c r="B4458" s="4" t="s">
        <v>629</v>
      </c>
      <c r="C4458" s="4" t="s">
        <v>278</v>
      </c>
      <c r="D4458" s="94">
        <v>912.0</v>
      </c>
    </row>
    <row r="4459">
      <c r="A4459" s="40">
        <f t="array" ref="A4459">IFNA(index(PlayerValues!A:A,match(IFNA(vlookup(B4459,'Special Names'!A:B,2,FALSE),B4459),PlayerValues!E:E,0)),"N/A")</f>
        <v>13763</v>
      </c>
      <c r="B4459" s="4" t="s">
        <v>831</v>
      </c>
      <c r="C4459" s="4" t="s">
        <v>298</v>
      </c>
      <c r="D4459" s="94">
        <v>1282.0</v>
      </c>
    </row>
    <row r="4460">
      <c r="A4460" s="40">
        <f t="array" ref="A4460">IFNA(index(PlayerValues!A:A,match(IFNA(vlookup(B4460,'Special Names'!A:B,2,FALSE),B4460),PlayerValues!E:E,0)),"N/A")</f>
        <v>15283</v>
      </c>
      <c r="B4460" s="4" t="s">
        <v>844</v>
      </c>
      <c r="C4460" s="4" t="s">
        <v>287</v>
      </c>
      <c r="D4460" s="94">
        <v>911.0</v>
      </c>
    </row>
    <row r="4461">
      <c r="A4461" s="40">
        <f t="array" ref="A4461">IFNA(index(PlayerValues!A:A,match(IFNA(vlookup(B4461,'Special Names'!A:B,2,FALSE),B4461),PlayerValues!E:E,0)),"N/A")</f>
        <v>17337</v>
      </c>
      <c r="B4461" s="4" t="s">
        <v>793</v>
      </c>
      <c r="C4461" s="4" t="s">
        <v>278</v>
      </c>
      <c r="D4461" s="94">
        <v>910.0</v>
      </c>
    </row>
    <row r="4462">
      <c r="A4462" s="40">
        <f t="array" ref="A4462">IFNA(index(PlayerValues!A:A,match(IFNA(vlookup(B4462,'Special Names'!A:B,2,FALSE),B4462),PlayerValues!E:E,0)),"N/A")</f>
        <v>14864</v>
      </c>
      <c r="B4462" s="4" t="s">
        <v>789</v>
      </c>
      <c r="C4462" s="4" t="s">
        <v>287</v>
      </c>
      <c r="D4462" s="94">
        <v>908.0</v>
      </c>
    </row>
    <row r="4463">
      <c r="A4463" s="40">
        <f t="array" ref="A4463">IFNA(index(PlayerValues!A:A,match(IFNA(vlookup(B4463,'Special Names'!A:B,2,FALSE),B4463),PlayerValues!E:E,0)),"N/A")</f>
        <v>12785</v>
      </c>
      <c r="B4463" s="4" t="s">
        <v>772</v>
      </c>
      <c r="C4463" s="4" t="s">
        <v>287</v>
      </c>
      <c r="D4463" s="94">
        <v>907.0</v>
      </c>
    </row>
    <row r="4464">
      <c r="A4464" s="40">
        <f t="array" ref="A4464">IFNA(index(PlayerValues!A:A,match(IFNA(vlookup(B4464,'Special Names'!A:B,2,FALSE),B4464),PlayerValues!E:E,0)),"N/A")</f>
        <v>15723</v>
      </c>
      <c r="B4464" s="4" t="s">
        <v>798</v>
      </c>
      <c r="C4464" s="4" t="s">
        <v>278</v>
      </c>
      <c r="D4464" s="94">
        <v>895.0</v>
      </c>
    </row>
    <row r="4465">
      <c r="A4465" s="40">
        <f t="array" ref="A4465">IFNA(index(PlayerValues!A:A,match(IFNA(vlookup(B4465,'Special Names'!A:B,2,FALSE),B4465),PlayerValues!E:E,0)),"N/A")</f>
        <v>13157</v>
      </c>
      <c r="B4465" s="4" t="s">
        <v>836</v>
      </c>
      <c r="C4465" s="4" t="s">
        <v>287</v>
      </c>
      <c r="D4465" s="94">
        <v>892.0</v>
      </c>
    </row>
    <row r="4466">
      <c r="A4466" s="40">
        <f t="array" ref="A4466">IFNA(index(PlayerValues!A:A,match(IFNA(vlookup(B4466,'Special Names'!A:B,2,FALSE),B4466),PlayerValues!E:E,0)),"N/A")</f>
        <v>16599</v>
      </c>
      <c r="B4466" s="4" t="s">
        <v>737</v>
      </c>
      <c r="C4466" s="4" t="s">
        <v>278</v>
      </c>
      <c r="D4466" s="94">
        <v>888.0</v>
      </c>
    </row>
    <row r="4467">
      <c r="A4467" s="40">
        <f t="array" ref="A4467">IFNA(index(PlayerValues!A:A,match(IFNA(vlookup(B4467,'Special Names'!A:B,2,FALSE),B4467),PlayerValues!E:E,0)),"N/A")</f>
        <v>11232</v>
      </c>
      <c r="B4467" s="4" t="s">
        <v>826</v>
      </c>
      <c r="C4467" s="4" t="s">
        <v>287</v>
      </c>
      <c r="D4467" s="94">
        <v>884.0</v>
      </c>
    </row>
    <row r="4468">
      <c r="A4468" s="40">
        <f t="array" ref="A4468">IFNA(index(PlayerValues!A:A,match(IFNA(vlookup(B4468,'Special Names'!A:B,2,FALSE),B4468),PlayerValues!E:E,0)),"N/A")</f>
        <v>15796</v>
      </c>
      <c r="B4468" s="4" t="s">
        <v>794</v>
      </c>
      <c r="C4468" s="4" t="s">
        <v>298</v>
      </c>
      <c r="D4468" s="94">
        <v>1251.0</v>
      </c>
    </row>
    <row r="4469">
      <c r="A4469" s="40">
        <f t="array" ref="A4469">IFNA(index(PlayerValues!A:A,match(IFNA(vlookup(B4469,'Special Names'!A:B,2,FALSE),B4469),PlayerValues!E:E,0)),"N/A")</f>
        <v>15263</v>
      </c>
      <c r="B4469" s="4" t="s">
        <v>804</v>
      </c>
      <c r="C4469" s="4" t="s">
        <v>278</v>
      </c>
      <c r="D4469" s="94">
        <v>872.0</v>
      </c>
    </row>
    <row r="4470">
      <c r="A4470" s="40">
        <f t="array" ref="A4470">IFNA(index(PlayerValues!A:A,match(IFNA(vlookup(B4470,'Special Names'!A:B,2,FALSE),B4470),PlayerValues!E:E,0)),"N/A")</f>
        <v>16416</v>
      </c>
      <c r="B4470" s="4" t="s">
        <v>752</v>
      </c>
      <c r="C4470" s="4" t="s">
        <v>287</v>
      </c>
      <c r="D4470" s="94">
        <v>864.0</v>
      </c>
    </row>
    <row r="4471">
      <c r="A4471" s="40">
        <f t="array" ref="A4471">IFNA(index(PlayerValues!A:A,match(IFNA(vlookup(B4471,'Special Names'!A:B,2,FALSE),B4471),PlayerValues!E:E,0)),"N/A")</f>
        <v>14799</v>
      </c>
      <c r="B4471" s="4" t="s">
        <v>829</v>
      </c>
      <c r="C4471" s="4" t="s">
        <v>278</v>
      </c>
      <c r="D4471" s="94">
        <v>861.0</v>
      </c>
    </row>
    <row r="4472">
      <c r="A4472" s="40">
        <f t="array" ref="A4472">IFNA(index(PlayerValues!A:A,match(IFNA(vlookup(B4472,'Special Names'!A:B,2,FALSE),B4472),PlayerValues!E:E,0)),"N/A")</f>
        <v>16686</v>
      </c>
      <c r="B4472" s="4" t="s">
        <v>805</v>
      </c>
      <c r="C4472" s="4" t="s">
        <v>287</v>
      </c>
      <c r="D4472" s="94">
        <v>859.0</v>
      </c>
    </row>
    <row r="4473">
      <c r="A4473" s="40">
        <f t="array" ref="A4473">IFNA(index(PlayerValues!A:A,match(IFNA(vlookup(B4473,'Special Names'!A:B,2,FALSE),B4473),PlayerValues!E:E,0)),"N/A")</f>
        <v>16625</v>
      </c>
      <c r="B4473" s="4" t="s">
        <v>778</v>
      </c>
      <c r="C4473" s="4" t="s">
        <v>287</v>
      </c>
      <c r="D4473" s="94">
        <v>857.0</v>
      </c>
    </row>
    <row r="4474">
      <c r="A4474" s="40">
        <f t="array" ref="A4474">IFNA(index(PlayerValues!A:A,match(IFNA(vlookup(B4474,'Special Names'!A:B,2,FALSE),B4474),PlayerValues!E:E,0)),"N/A")</f>
        <v>13172</v>
      </c>
      <c r="B4474" s="4" t="s">
        <v>840</v>
      </c>
      <c r="C4474" s="4" t="s">
        <v>287</v>
      </c>
      <c r="D4474" s="94">
        <v>854.0</v>
      </c>
    </row>
    <row r="4475">
      <c r="A4475" s="40">
        <f t="array" ref="A4475">IFNA(index(PlayerValues!A:A,match(IFNA(vlookup(B4475,'Special Names'!A:B,2,FALSE),B4475),PlayerValues!E:E,0)),"N/A")</f>
        <v>15795</v>
      </c>
      <c r="B4475" s="4" t="s">
        <v>669</v>
      </c>
      <c r="C4475" s="4" t="s">
        <v>298</v>
      </c>
      <c r="D4475" s="94">
        <v>1225.0</v>
      </c>
    </row>
    <row r="4476">
      <c r="A4476" s="40">
        <f t="array" ref="A4476">IFNA(index(PlayerValues!A:A,match(IFNA(vlookup(B4476,'Special Names'!A:B,2,FALSE),B4476),PlayerValues!E:E,0)),"N/A")</f>
        <v>15714</v>
      </c>
      <c r="B4476" s="4" t="s">
        <v>775</v>
      </c>
      <c r="C4476" s="4" t="s">
        <v>278</v>
      </c>
      <c r="D4476" s="94">
        <v>850.0</v>
      </c>
    </row>
    <row r="4477">
      <c r="A4477" s="40">
        <f t="array" ref="A4477">IFNA(index(PlayerValues!A:A,match(IFNA(vlookup(B4477,'Special Names'!A:B,2,FALSE),B4477),PlayerValues!E:E,0)),"N/A")</f>
        <v>16751</v>
      </c>
      <c r="B4477" s="4" t="s">
        <v>762</v>
      </c>
      <c r="C4477" s="4" t="s">
        <v>287</v>
      </c>
      <c r="D4477" s="94">
        <v>850.0</v>
      </c>
    </row>
    <row r="4478">
      <c r="A4478" s="40">
        <f t="array" ref="A4478">IFNA(index(PlayerValues!A:A,match(IFNA(vlookup(B4478,'Special Names'!A:B,2,FALSE),B4478),PlayerValues!E:E,0)),"N/A")</f>
        <v>15271</v>
      </c>
      <c r="B4478" s="4" t="s">
        <v>741</v>
      </c>
      <c r="C4478" s="4" t="s">
        <v>278</v>
      </c>
      <c r="D4478" s="94">
        <v>843.0</v>
      </c>
    </row>
    <row r="4479">
      <c r="A4479" s="40">
        <f t="array" ref="A4479">IFNA(index(PlayerValues!A:A,match(IFNA(vlookup(B4479,'Special Names'!A:B,2,FALSE),B4479),PlayerValues!E:E,0)),"N/A")</f>
        <v>17488</v>
      </c>
      <c r="B4479" s="4" t="s">
        <v>845</v>
      </c>
      <c r="C4479" s="4" t="s">
        <v>278</v>
      </c>
      <c r="D4479" s="94">
        <v>838.0</v>
      </c>
    </row>
    <row r="4480">
      <c r="A4480" s="40">
        <f t="array" ref="A4480">IFNA(index(PlayerValues!A:A,match(IFNA(vlookup(B4480,'Special Names'!A:B,2,FALSE),B4480),PlayerValues!E:E,0)),"N/A")</f>
        <v>16623</v>
      </c>
      <c r="B4480" s="4" t="s">
        <v>803</v>
      </c>
      <c r="C4480" s="4" t="s">
        <v>287</v>
      </c>
      <c r="D4480" s="94">
        <v>835.0</v>
      </c>
    </row>
    <row r="4481">
      <c r="A4481" s="40">
        <f t="array" ref="A4481">IFNA(index(PlayerValues!A:A,match(IFNA(vlookup(B4481,'Special Names'!A:B,2,FALSE),B4481),PlayerValues!E:E,0)),"N/A")</f>
        <v>15804</v>
      </c>
      <c r="B4481" s="4" t="s">
        <v>821</v>
      </c>
      <c r="C4481" s="4" t="s">
        <v>298</v>
      </c>
      <c r="D4481" s="94">
        <v>1206.0</v>
      </c>
    </row>
    <row r="4482">
      <c r="A4482" s="40">
        <f t="array" ref="A4482">IFNA(index(PlayerValues!A:A,match(IFNA(vlookup(B4482,'Special Names'!A:B,2,FALSE),B4482),PlayerValues!E:E,0)),"N/A")</f>
        <v>10413</v>
      </c>
      <c r="B4482" s="4" t="s">
        <v>811</v>
      </c>
      <c r="C4482" s="4" t="s">
        <v>283</v>
      </c>
      <c r="D4482" s="94">
        <v>823.0</v>
      </c>
    </row>
    <row r="4483">
      <c r="A4483" s="40">
        <f t="array" ref="A4483">IFNA(index(PlayerValues!A:A,match(IFNA(vlookup(B4483,'Special Names'!A:B,2,FALSE),B4483),PlayerValues!E:E,0)),"N/A")</f>
        <v>14358</v>
      </c>
      <c r="B4483" s="4" t="s">
        <v>813</v>
      </c>
      <c r="C4483" s="4" t="s">
        <v>283</v>
      </c>
      <c r="D4483" s="94">
        <v>821.0</v>
      </c>
    </row>
    <row r="4484">
      <c r="A4484" s="40">
        <f t="array" ref="A4484">IFNA(index(PlayerValues!A:A,match(IFNA(vlookup(B4484,'Special Names'!A:B,2,FALSE),B4484),PlayerValues!E:E,0)),"N/A")</f>
        <v>14805</v>
      </c>
      <c r="B4484" s="4" t="s">
        <v>770</v>
      </c>
      <c r="C4484" s="4" t="s">
        <v>278</v>
      </c>
      <c r="D4484" s="94">
        <v>807.0</v>
      </c>
    </row>
    <row r="4485">
      <c r="A4485" s="40">
        <f t="array" ref="A4485">IFNA(index(PlayerValues!A:A,match(IFNA(vlookup(B4485,'Special Names'!A:B,2,FALSE),B4485),PlayerValues!E:E,0)),"N/A")</f>
        <v>14209</v>
      </c>
      <c r="B4485" s="4" t="s">
        <v>809</v>
      </c>
      <c r="C4485" s="4" t="s">
        <v>298</v>
      </c>
      <c r="D4485" s="94">
        <v>1177.0</v>
      </c>
    </row>
    <row r="4486">
      <c r="A4486" s="40">
        <f t="array" ref="A4486">IFNA(index(PlayerValues!A:A,match(IFNA(vlookup(B4486,'Special Names'!A:B,2,FALSE),B4486),PlayerValues!E:E,0)),"N/A")</f>
        <v>16606</v>
      </c>
      <c r="B4486" s="4" t="s">
        <v>743</v>
      </c>
      <c r="C4486" s="4" t="s">
        <v>278</v>
      </c>
      <c r="D4486" s="94">
        <v>795.0</v>
      </c>
    </row>
    <row r="4487">
      <c r="A4487" s="40">
        <f t="array" ref="A4487">IFNA(index(PlayerValues!A:A,match(IFNA(vlookup(B4487,'Special Names'!A:B,2,FALSE),B4487),PlayerValues!E:E,0)),"N/A")</f>
        <v>15285</v>
      </c>
      <c r="B4487" s="4" t="s">
        <v>792</v>
      </c>
      <c r="C4487" s="4" t="s">
        <v>287</v>
      </c>
      <c r="D4487" s="94">
        <v>794.0</v>
      </c>
    </row>
    <row r="4488">
      <c r="A4488" s="40">
        <f t="array" ref="A4488">IFNA(index(PlayerValues!A:A,match(IFNA(vlookup(B4488,'Special Names'!A:B,2,FALSE),B4488),PlayerValues!E:E,0)),"N/A")</f>
        <v>17282</v>
      </c>
      <c r="B4488" s="4" t="s">
        <v>833</v>
      </c>
      <c r="C4488" s="4" t="s">
        <v>283</v>
      </c>
      <c r="D4488" s="94">
        <v>781.0</v>
      </c>
    </row>
    <row r="4489">
      <c r="A4489" s="40">
        <f t="array" ref="A4489">IFNA(index(PlayerValues!A:A,match(IFNA(vlookup(B4489,'Special Names'!A:B,2,FALSE),B4489),PlayerValues!E:E,0)),"N/A")</f>
        <v>15965</v>
      </c>
      <c r="B4489" s="4" t="s">
        <v>791</v>
      </c>
      <c r="C4489" s="4" t="s">
        <v>278</v>
      </c>
      <c r="D4489" s="94">
        <v>780.0</v>
      </c>
    </row>
    <row r="4490">
      <c r="A4490" s="40">
        <f t="array" ref="A4490">IFNA(index(PlayerValues!A:A,match(IFNA(vlookup(B4490,'Special Names'!A:B,2,FALSE),B4490),PlayerValues!E:E,0)),"N/A")</f>
        <v>16413</v>
      </c>
      <c r="B4490" s="4" t="s">
        <v>781</v>
      </c>
      <c r="C4490" s="4" t="s">
        <v>287</v>
      </c>
      <c r="D4490" s="94">
        <v>778.0</v>
      </c>
    </row>
    <row r="4491">
      <c r="A4491" s="40">
        <f t="array" ref="A4491">IFNA(index(PlayerValues!A:A,match(IFNA(vlookup(B4491,'Special Names'!A:B,2,FALSE),B4491),PlayerValues!E:E,0)),"N/A")</f>
        <v>12658</v>
      </c>
      <c r="B4491" s="4" t="s">
        <v>823</v>
      </c>
      <c r="C4491" s="4" t="s">
        <v>287</v>
      </c>
      <c r="D4491" s="94">
        <v>773.0</v>
      </c>
    </row>
    <row r="4492">
      <c r="A4492" s="40">
        <f t="array" ref="A4492">IFNA(index(PlayerValues!A:A,match(IFNA(vlookup(B4492,'Special Names'!A:B,2,FALSE),B4492),PlayerValues!E:E,0)),"N/A")</f>
        <v>16678</v>
      </c>
      <c r="B4492" s="4" t="s">
        <v>758</v>
      </c>
      <c r="C4492" s="4" t="s">
        <v>278</v>
      </c>
      <c r="D4492" s="94">
        <v>769.0</v>
      </c>
    </row>
    <row r="4493">
      <c r="A4493" s="40">
        <f t="array" ref="A4493">IFNA(index(PlayerValues!A:A,match(IFNA(vlookup(B4493,'Special Names'!A:B,2,FALSE),B4493),PlayerValues!E:E,0)),"N/A")</f>
        <v>16632</v>
      </c>
      <c r="B4493" s="4" t="s">
        <v>842</v>
      </c>
      <c r="C4493" s="4" t="s">
        <v>287</v>
      </c>
      <c r="D4493" s="94">
        <v>764.0</v>
      </c>
    </row>
    <row r="4494">
      <c r="A4494" s="40">
        <f t="array" ref="A4494">IFNA(index(PlayerValues!A:A,match(IFNA(vlookup(B4494,'Special Names'!A:B,2,FALSE),B4494),PlayerValues!E:E,0)),"N/A")</f>
        <v>14223</v>
      </c>
      <c r="B4494" s="4" t="s">
        <v>785</v>
      </c>
      <c r="C4494" s="4" t="s">
        <v>278</v>
      </c>
      <c r="D4494" s="94">
        <v>760.0</v>
      </c>
    </row>
    <row r="4495">
      <c r="A4495" s="40">
        <f t="array" ref="A4495">IFNA(index(PlayerValues!A:A,match(IFNA(vlookup(B4495,'Special Names'!A:B,2,FALSE),B4495),PlayerValues!E:E,0)),"N/A")</f>
        <v>13176</v>
      </c>
      <c r="B4495" s="4" t="s">
        <v>807</v>
      </c>
      <c r="C4495" s="4" t="s">
        <v>287</v>
      </c>
      <c r="D4495" s="94">
        <v>759.0</v>
      </c>
    </row>
    <row r="4496">
      <c r="A4496" s="40">
        <f t="array" ref="A4496">IFNA(index(PlayerValues!A:A,match(IFNA(vlookup(B4496,'Special Names'!A:B,2,FALSE),B4496),PlayerValues!E:E,0)),"N/A")</f>
        <v>13424</v>
      </c>
      <c r="B4496" s="4" t="s">
        <v>846</v>
      </c>
      <c r="C4496" s="4" t="s">
        <v>298</v>
      </c>
      <c r="D4496" s="94">
        <v>1106.0</v>
      </c>
    </row>
    <row r="4497">
      <c r="A4497" s="40">
        <f t="array" ref="A4497">IFNA(index(PlayerValues!A:A,match(IFNA(vlookup(B4497,'Special Names'!A:B,2,FALSE),B4497),PlayerValues!E:E,0)),"N/A")</f>
        <v>17232</v>
      </c>
      <c r="B4497" s="4" t="s">
        <v>784</v>
      </c>
      <c r="C4497" s="4" t="s">
        <v>287</v>
      </c>
      <c r="D4497" s="94">
        <v>731.0</v>
      </c>
    </row>
    <row r="4498">
      <c r="A4498" s="40">
        <f t="array" ref="A4498">IFNA(index(PlayerValues!A:A,match(IFNA(vlookup(B4498,'Special Names'!A:B,2,FALSE),B4498),PlayerValues!E:E,0)),"N/A")</f>
        <v>14858</v>
      </c>
      <c r="B4498" s="4" t="s">
        <v>799</v>
      </c>
      <c r="C4498" s="4" t="s">
        <v>287</v>
      </c>
      <c r="D4498" s="94">
        <v>721.0</v>
      </c>
    </row>
    <row r="4499">
      <c r="A4499" s="40">
        <f t="array" ref="A4499">IFNA(index(PlayerValues!A:A,match(IFNA(vlookup(B4499,'Special Names'!A:B,2,FALSE),B4499),PlayerValues!E:E,0)),"N/A")</f>
        <v>13377</v>
      </c>
      <c r="B4499" s="4" t="s">
        <v>847</v>
      </c>
      <c r="C4499" s="4" t="s">
        <v>287</v>
      </c>
      <c r="D4499" s="94">
        <v>720.0</v>
      </c>
    </row>
    <row r="4500">
      <c r="A4500" s="40">
        <f t="array" ref="A4500">IFNA(index(PlayerValues!A:A,match(IFNA(vlookup(B4500,'Special Names'!A:B,2,FALSE),B4500),PlayerValues!E:E,0)),"N/A")</f>
        <v>16170</v>
      </c>
      <c r="B4500" s="4" t="s">
        <v>801</v>
      </c>
      <c r="C4500" s="4" t="s">
        <v>278</v>
      </c>
      <c r="D4500" s="94">
        <v>719.0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9999.0</v>
      </c>
    </row>
    <row r="4502">
      <c r="A4502" s="40">
        <f t="array" ref="A4502">IFNA(index(PlayerValues!A:A,match(IFNA(vlookup(B4502,'Special Names'!A:B,2,FALSE),B4502),PlayerValues!E:E,0)),"N/A")</f>
        <v>16161</v>
      </c>
      <c r="B4502" s="4" t="s">
        <v>277</v>
      </c>
      <c r="C4502" s="4" t="s">
        <v>278</v>
      </c>
      <c r="D4502" s="94">
        <v>9994.0</v>
      </c>
    </row>
    <row r="4503">
      <c r="A4503" s="40">
        <f t="array" ref="A4503">IFNA(index(PlayerValues!A:A,match(IFNA(vlookup(B4503,'Special Names'!A:B,2,FALSE),B4503),PlayerValues!E:E,0)),"N/A")</f>
        <v>15281</v>
      </c>
      <c r="B4503" s="4" t="s">
        <v>286</v>
      </c>
      <c r="C4503" s="4" t="s">
        <v>287</v>
      </c>
      <c r="D4503" s="94">
        <v>9953.0</v>
      </c>
    </row>
    <row r="4504">
      <c r="A4504" s="40">
        <f t="array" ref="A4504">IFNA(index(PlayerValues!A:A,match(IFNA(vlookup(B4504,'Special Names'!A:B,2,FALSE),B4504),PlayerValues!E:E,0)),"N/A")</f>
        <v>16185</v>
      </c>
      <c r="B4504" s="4" t="s">
        <v>290</v>
      </c>
      <c r="C4504" s="4" t="s">
        <v>287</v>
      </c>
      <c r="D4504" s="94">
        <v>9888.0</v>
      </c>
    </row>
    <row r="4505">
      <c r="A4505" s="40">
        <f t="array" ref="A4505">IFNA(index(PlayerValues!A:A,match(IFNA(vlookup(B4505,'Special Names'!A:B,2,FALSE),B4505),PlayerValues!E:E,0)),"N/A")</f>
        <v>16580</v>
      </c>
      <c r="B4505" s="4" t="s">
        <v>291</v>
      </c>
      <c r="C4505" s="4" t="s">
        <v>283</v>
      </c>
      <c r="D4505" s="94">
        <v>9607.0</v>
      </c>
    </row>
    <row r="4506">
      <c r="A4506" s="40">
        <f t="array" ref="A4506">IFNA(index(PlayerValues!A:A,match(IFNA(vlookup(B4506,'Special Names'!A:B,2,FALSE),B4506),PlayerValues!E:E,0)),"N/A")</f>
        <v>16211</v>
      </c>
      <c r="B4506" s="4" t="s">
        <v>294</v>
      </c>
      <c r="C4506" s="4" t="s">
        <v>287</v>
      </c>
      <c r="D4506" s="94">
        <v>9507.0</v>
      </c>
    </row>
    <row r="4507">
      <c r="A4507" s="40">
        <f t="array" ref="A4507">IFNA(index(PlayerValues!A:A,match(IFNA(vlookup(B4507,'Special Names'!A:B,2,FALSE),B4507),PlayerValues!E:E,0)),"N/A")</f>
        <v>16162</v>
      </c>
      <c r="B4507" s="4" t="s">
        <v>281</v>
      </c>
      <c r="C4507" s="4" t="s">
        <v>278</v>
      </c>
      <c r="D4507" s="94">
        <v>9414.0</v>
      </c>
    </row>
    <row r="4508">
      <c r="A4508" s="40">
        <f t="array" ref="A4508">IFNA(index(PlayerValues!A:A,match(IFNA(vlookup(B4508,'Special Names'!A:B,2,FALSE),B4508),PlayerValues!E:E,0)),"N/A")</f>
        <v>16615</v>
      </c>
      <c r="B4508" s="4" t="s">
        <v>309</v>
      </c>
      <c r="C4508" s="4" t="s">
        <v>287</v>
      </c>
      <c r="D4508" s="94">
        <v>7733.0</v>
      </c>
    </row>
    <row r="4509">
      <c r="A4509" s="40">
        <f t="array" ref="A4509">IFNA(index(PlayerValues!A:A,match(IFNA(vlookup(B4509,'Special Names'!A:B,2,FALSE),B4509),PlayerValues!E:E,0)),"N/A")</f>
        <v>15287</v>
      </c>
      <c r="B4509" s="4" t="s">
        <v>299</v>
      </c>
      <c r="C4509" s="4" t="s">
        <v>287</v>
      </c>
      <c r="D4509" s="94">
        <v>7681.0</v>
      </c>
    </row>
    <row r="4510">
      <c r="A4510" s="40">
        <f t="array" ref="A4510">IFNA(index(PlayerValues!A:A,match(IFNA(vlookup(B4510,'Special Names'!A:B,2,FALSE),B4510),PlayerValues!E:E,0)),"N/A")</f>
        <v>15794</v>
      </c>
      <c r="B4510" s="4" t="s">
        <v>313</v>
      </c>
      <c r="C4510" s="4" t="s">
        <v>298</v>
      </c>
      <c r="D4510" s="94">
        <v>8498.0</v>
      </c>
    </row>
    <row r="4511">
      <c r="A4511" s="40">
        <f t="array" ref="A4511">IFNA(index(PlayerValues!A:A,match(IFNA(vlookup(B4511,'Special Names'!A:B,2,FALSE),B4511),PlayerValues!E:E,0)),"N/A")</f>
        <v>16579</v>
      </c>
      <c r="B4511" s="4" t="s">
        <v>302</v>
      </c>
      <c r="C4511" s="4" t="s">
        <v>283</v>
      </c>
      <c r="D4511" s="94">
        <v>7663.0</v>
      </c>
    </row>
    <row r="4512">
      <c r="A4512" s="40">
        <f t="array" ref="A4512">IFNA(index(PlayerValues!A:A,match(IFNA(vlookup(B4512,'Special Names'!A:B,2,FALSE),B4512),PlayerValues!E:E,0)),"N/A")</f>
        <v>16641</v>
      </c>
      <c r="B4512" s="4" t="s">
        <v>297</v>
      </c>
      <c r="C4512" s="4" t="s">
        <v>298</v>
      </c>
      <c r="D4512" s="94">
        <v>8476.0</v>
      </c>
    </row>
    <row r="4513">
      <c r="A4513" s="40">
        <f t="array" ref="A4513">IFNA(index(PlayerValues!A:A,match(IFNA(vlookup(B4513,'Special Names'!A:B,2,FALSE),B4513),PlayerValues!E:E,0)),"N/A")</f>
        <v>16581</v>
      </c>
      <c r="B4513" s="4" t="s">
        <v>315</v>
      </c>
      <c r="C4513" s="4" t="s">
        <v>283</v>
      </c>
      <c r="D4513" s="94">
        <v>7613.0</v>
      </c>
    </row>
    <row r="4514">
      <c r="A4514" s="40">
        <f t="array" ref="A4514">IFNA(index(PlayerValues!A:A,match(IFNA(vlookup(B4514,'Special Names'!A:B,2,FALSE),B4514),PlayerValues!E:E,0)),"N/A")</f>
        <v>13593</v>
      </c>
      <c r="B4514" s="4" t="s">
        <v>305</v>
      </c>
      <c r="C4514" s="4" t="s">
        <v>283</v>
      </c>
      <c r="D4514" s="94">
        <v>7544.0</v>
      </c>
    </row>
    <row r="4515">
      <c r="A4515" s="40">
        <f t="array" ref="A4515">IFNA(index(PlayerValues!A:A,match(IFNA(vlookup(B4515,'Special Names'!A:B,2,FALSE),B4515),PlayerValues!E:E,0)),"N/A")</f>
        <v>14836</v>
      </c>
      <c r="B4515" s="4" t="s">
        <v>306</v>
      </c>
      <c r="C4515" s="4" t="s">
        <v>287</v>
      </c>
      <c r="D4515" s="94">
        <v>7390.0</v>
      </c>
    </row>
    <row r="4516">
      <c r="A4516" s="40">
        <f t="array" ref="A4516">IFNA(index(PlayerValues!A:A,match(IFNA(vlookup(B4516,'Special Names'!A:B,2,FALSE),B4516),PlayerValues!E:E,0)),"N/A")</f>
        <v>14832</v>
      </c>
      <c r="B4516" s="4" t="s">
        <v>319</v>
      </c>
      <c r="C4516" s="4" t="s">
        <v>287</v>
      </c>
      <c r="D4516" s="94">
        <v>7338.0</v>
      </c>
    </row>
    <row r="4517">
      <c r="A4517" s="40">
        <f t="array" ref="A4517">IFNA(index(PlayerValues!A:A,match(IFNA(vlookup(B4517,'Special Names'!A:B,2,FALSE),B4517),PlayerValues!E:E,0)),"N/A")</f>
        <v>17042</v>
      </c>
      <c r="B4517" s="4" t="s">
        <v>314</v>
      </c>
      <c r="C4517" s="4" t="s">
        <v>278</v>
      </c>
      <c r="D4517" s="94">
        <v>7224.0</v>
      </c>
    </row>
    <row r="4518">
      <c r="A4518" s="40">
        <f t="array" ref="A4518">IFNA(index(PlayerValues!A:A,match(IFNA(vlookup(B4518,'Special Names'!A:B,2,FALSE),B4518),PlayerValues!E:E,0)),"N/A")</f>
        <v>14777</v>
      </c>
      <c r="B4518" s="4" t="s">
        <v>318</v>
      </c>
      <c r="C4518" s="4" t="s">
        <v>283</v>
      </c>
      <c r="D4518" s="94">
        <v>7223.0</v>
      </c>
    </row>
    <row r="4519">
      <c r="A4519" s="40">
        <f t="array" ref="A4519">IFNA(index(PlayerValues!A:A,match(IFNA(vlookup(B4519,'Special Names'!A:B,2,FALSE),B4519),PlayerValues!E:E,0)),"N/A")</f>
        <v>16167</v>
      </c>
      <c r="B4519" s="4" t="s">
        <v>323</v>
      </c>
      <c r="C4519" s="4" t="s">
        <v>278</v>
      </c>
      <c r="D4519" s="94">
        <v>7035.0</v>
      </c>
    </row>
    <row r="4520">
      <c r="A4520" s="40">
        <f t="array" ref="A4520">IFNA(index(PlayerValues!A:A,match(IFNA(vlookup(B4520,'Special Names'!A:B,2,FALSE),B4520),PlayerValues!E:E,0)),"N/A")</f>
        <v>15751</v>
      </c>
      <c r="B4520" s="4" t="s">
        <v>328</v>
      </c>
      <c r="C4520" s="4" t="s">
        <v>287</v>
      </c>
      <c r="D4520" s="94">
        <v>7030.0</v>
      </c>
    </row>
    <row r="4521">
      <c r="A4521" s="40">
        <f t="array" ref="A4521">IFNA(index(PlayerValues!A:A,match(IFNA(vlookup(B4521,'Special Names'!A:B,2,FALSE),B4521),PlayerValues!E:E,0)),"N/A")</f>
        <v>17472</v>
      </c>
      <c r="B4521" s="4" t="s">
        <v>310</v>
      </c>
      <c r="C4521" s="4" t="s">
        <v>278</v>
      </c>
      <c r="D4521" s="94">
        <v>6935.0</v>
      </c>
    </row>
    <row r="4522">
      <c r="A4522" s="40">
        <f t="array" ref="A4522">IFNA(index(PlayerValues!A:A,match(IFNA(vlookup(B4522,'Special Names'!A:B,2,FALSE),B4522),PlayerValues!E:E,0)),"N/A")</f>
        <v>14779</v>
      </c>
      <c r="B4522" s="4" t="s">
        <v>327</v>
      </c>
      <c r="C4522" s="4" t="s">
        <v>283</v>
      </c>
      <c r="D4522" s="94">
        <v>6889.0</v>
      </c>
    </row>
    <row r="4523">
      <c r="A4523" s="40" t="str">
        <f t="array" ref="A4523">IFNA(index(PlayerValues!A:A,match(IFNA(vlookup(B4523,'Special Names'!A:B,2,FALSE),B4523),PlayerValues!E:E,0)),"N/A")</f>
        <v>N/A</v>
      </c>
      <c r="B4523" s="4" t="s">
        <v>92</v>
      </c>
      <c r="C4523" s="4" t="s">
        <v>325</v>
      </c>
      <c r="D4523" s="94">
        <v>6650.0</v>
      </c>
    </row>
    <row r="4524">
      <c r="A4524" s="40">
        <f t="array" ref="A4524">IFNA(index(PlayerValues!A:A,match(IFNA(vlookup(B4524,'Special Names'!A:B,2,FALSE),B4524),PlayerValues!E:E,0)),"N/A")</f>
        <v>17044</v>
      </c>
      <c r="B4524" s="4" t="s">
        <v>322</v>
      </c>
      <c r="C4524" s="4" t="s">
        <v>278</v>
      </c>
      <c r="D4524" s="94">
        <v>6641.0</v>
      </c>
    </row>
    <row r="4525">
      <c r="A4525" s="40">
        <f t="array" ref="A4525">IFNA(index(PlayerValues!A:A,match(IFNA(vlookup(B4525,'Special Names'!A:B,2,FALSE),B4525),PlayerValues!E:E,0)),"N/A")</f>
        <v>17032</v>
      </c>
      <c r="B4525" s="4" t="s">
        <v>348</v>
      </c>
      <c r="C4525" s="4" t="s">
        <v>283</v>
      </c>
      <c r="D4525" s="94">
        <v>6630.0</v>
      </c>
    </row>
    <row r="4526">
      <c r="A4526" s="40">
        <f t="array" ref="A4526">IFNA(index(PlayerValues!A:A,match(IFNA(vlookup(B4526,'Special Names'!A:B,2,FALSE),B4526),PlayerValues!E:E,0)),"N/A")</f>
        <v>17071</v>
      </c>
      <c r="B4526" s="4" t="s">
        <v>341</v>
      </c>
      <c r="C4526" s="4" t="s">
        <v>287</v>
      </c>
      <c r="D4526" s="94">
        <v>6609.0</v>
      </c>
    </row>
    <row r="4527">
      <c r="A4527" s="40">
        <f t="array" ref="A4527">IFNA(index(PlayerValues!A:A,match(IFNA(vlookup(B4527,'Special Names'!A:B,2,FALSE),B4527),PlayerValues!E:E,0)),"N/A")</f>
        <v>13116</v>
      </c>
      <c r="B4527" s="4" t="s">
        <v>345</v>
      </c>
      <c r="C4527" s="4" t="s">
        <v>283</v>
      </c>
      <c r="D4527" s="94">
        <v>6579.0</v>
      </c>
    </row>
    <row r="4528">
      <c r="A4528" s="40">
        <f t="array" ref="A4528">IFNA(index(PlayerValues!A:A,match(IFNA(vlookup(B4528,'Special Names'!A:B,2,FALSE),B4528),PlayerValues!E:E,0)),"N/A")</f>
        <v>14783</v>
      </c>
      <c r="B4528" s="4" t="s">
        <v>342</v>
      </c>
      <c r="C4528" s="4" t="s">
        <v>283</v>
      </c>
      <c r="D4528" s="94">
        <v>6348.0</v>
      </c>
    </row>
    <row r="4529">
      <c r="A4529" s="40">
        <f t="array" ref="A4529">IFNA(index(PlayerValues!A:A,match(IFNA(vlookup(B4529,'Special Names'!A:B,2,FALSE),B4529),PlayerValues!E:E,0)),"N/A")</f>
        <v>15237</v>
      </c>
      <c r="B4529" s="4" t="s">
        <v>336</v>
      </c>
      <c r="C4529" s="4" t="s">
        <v>283</v>
      </c>
      <c r="D4529" s="94">
        <v>6333.0</v>
      </c>
    </row>
    <row r="4530">
      <c r="A4530" s="40">
        <f t="array" ref="A4530">IFNA(index(PlayerValues!A:A,match(IFNA(vlookup(B4530,'Special Names'!A:B,2,FALSE),B4530),PlayerValues!E:E,0)),"N/A")</f>
        <v>15715</v>
      </c>
      <c r="B4530" s="4" t="s">
        <v>331</v>
      </c>
      <c r="C4530" s="4" t="s">
        <v>278</v>
      </c>
      <c r="D4530" s="94">
        <v>6171.0</v>
      </c>
    </row>
    <row r="4531">
      <c r="A4531" s="40">
        <f t="array" ref="A4531">IFNA(index(PlayerValues!A:A,match(IFNA(vlookup(B4531,'Special Names'!A:B,2,FALSE),B4531),PlayerValues!E:E,0)),"N/A")</f>
        <v>15762</v>
      </c>
      <c r="B4531" s="4" t="s">
        <v>337</v>
      </c>
      <c r="C4531" s="4" t="s">
        <v>287</v>
      </c>
      <c r="D4531" s="94">
        <v>6154.0</v>
      </c>
    </row>
    <row r="4532">
      <c r="A4532" s="40">
        <f t="array" ref="A4532">IFNA(index(PlayerValues!A:A,match(IFNA(vlookup(B4532,'Special Names'!A:B,2,FALSE),B4532),PlayerValues!E:E,0)),"N/A")</f>
        <v>16582</v>
      </c>
      <c r="B4532" s="4" t="s">
        <v>343</v>
      </c>
      <c r="C4532" s="4" t="s">
        <v>283</v>
      </c>
      <c r="D4532" s="94">
        <v>6130.0</v>
      </c>
    </row>
    <row r="4533">
      <c r="A4533" s="40">
        <f t="array" ref="A4533">IFNA(index(PlayerValues!A:A,match(IFNA(vlookup(B4533,'Special Names'!A:B,2,FALSE),B4533),PlayerValues!E:E,0)),"N/A")</f>
        <v>14802</v>
      </c>
      <c r="B4533" s="4" t="s">
        <v>332</v>
      </c>
      <c r="C4533" s="4" t="s">
        <v>278</v>
      </c>
      <c r="D4533" s="94">
        <v>6119.0</v>
      </c>
    </row>
    <row r="4534">
      <c r="A4534" s="40">
        <f t="array" ref="A4534">IFNA(index(PlayerValues!A:A,match(IFNA(vlookup(B4534,'Special Names'!A:B,2,FALSE),B4534),PlayerValues!E:E,0)),"N/A")</f>
        <v>15698</v>
      </c>
      <c r="B4534" s="4" t="s">
        <v>358</v>
      </c>
      <c r="C4534" s="4" t="s">
        <v>283</v>
      </c>
      <c r="D4534" s="94">
        <v>6117.0</v>
      </c>
    </row>
    <row r="4535">
      <c r="A4535" s="40">
        <f t="array" ref="A4535">IFNA(index(PlayerValues!A:A,match(IFNA(vlookup(B4535,'Special Names'!A:B,2,FALSE),B4535),PlayerValues!E:E,0)),"N/A")</f>
        <v>15290</v>
      </c>
      <c r="B4535" s="4" t="s">
        <v>355</v>
      </c>
      <c r="C4535" s="4" t="s">
        <v>287</v>
      </c>
      <c r="D4535" s="94">
        <v>5988.0</v>
      </c>
    </row>
    <row r="4536">
      <c r="A4536" s="40">
        <f t="array" ref="A4536">IFNA(index(PlayerValues!A:A,match(IFNA(vlookup(B4536,'Special Names'!A:B,2,FALSE),B4536),PlayerValues!E:E,0)),"N/A")</f>
        <v>17081</v>
      </c>
      <c r="B4536" s="4" t="s">
        <v>340</v>
      </c>
      <c r="C4536" s="4" t="s">
        <v>287</v>
      </c>
      <c r="D4536" s="94">
        <v>5978.0</v>
      </c>
    </row>
    <row r="4537">
      <c r="A4537" s="40" t="str">
        <f t="array" ref="A4537">IFNA(index(PlayerValues!A:A,match(IFNA(vlookup(B4537,'Special Names'!A:B,2,FALSE),B4537),PlayerValues!E:E,0)),"N/A")</f>
        <v>N/A</v>
      </c>
      <c r="B4537" s="4" t="s">
        <v>79</v>
      </c>
      <c r="C4537" s="4" t="s">
        <v>325</v>
      </c>
      <c r="D4537" s="94">
        <v>5961.0</v>
      </c>
    </row>
    <row r="4538">
      <c r="A4538" s="40">
        <f t="array" ref="A4538">IFNA(index(PlayerValues!A:A,match(IFNA(vlookup(B4538,'Special Names'!A:B,2,FALSE),B4538),PlayerValues!E:E,0)),"N/A")</f>
        <v>17104</v>
      </c>
      <c r="B4538" s="4" t="s">
        <v>333</v>
      </c>
      <c r="C4538" s="4" t="s">
        <v>298</v>
      </c>
      <c r="D4538" s="94">
        <v>6615.0</v>
      </c>
    </row>
    <row r="4539">
      <c r="A4539" s="40">
        <f t="array" ref="A4539">IFNA(index(PlayerValues!A:A,match(IFNA(vlookup(B4539,'Special Names'!A:B,2,FALSE),B4539),PlayerValues!E:E,0)),"N/A")</f>
        <v>17043</v>
      </c>
      <c r="B4539" s="4" t="s">
        <v>397</v>
      </c>
      <c r="C4539" s="4" t="s">
        <v>278</v>
      </c>
      <c r="D4539" s="94">
        <v>5888.0</v>
      </c>
    </row>
    <row r="4540">
      <c r="A4540" s="40">
        <f t="array" ref="A4540">IFNA(index(PlayerValues!A:A,match(IFNA(vlookup(B4540,'Special Names'!A:B,2,FALSE),B4540),PlayerValues!E:E,0)),"N/A")</f>
        <v>15753</v>
      </c>
      <c r="B4540" s="4" t="s">
        <v>359</v>
      </c>
      <c r="C4540" s="4" t="s">
        <v>287</v>
      </c>
      <c r="D4540" s="94">
        <v>5833.0</v>
      </c>
    </row>
    <row r="4541">
      <c r="A4541" s="40">
        <f t="array" ref="A4541">IFNA(index(PlayerValues!A:A,match(IFNA(vlookup(B4541,'Special Names'!A:B,2,FALSE),B4541),PlayerValues!E:E,0)),"N/A")</f>
        <v>15754</v>
      </c>
      <c r="B4541" s="4" t="s">
        <v>354</v>
      </c>
      <c r="C4541" s="4" t="s">
        <v>287</v>
      </c>
      <c r="D4541" s="94">
        <v>5828.0</v>
      </c>
    </row>
    <row r="4542">
      <c r="A4542" s="40">
        <f t="array" ref="A4542">IFNA(index(PlayerValues!A:A,match(IFNA(vlookup(B4542,'Special Names'!A:B,2,FALSE),B4542),PlayerValues!E:E,0)),"N/A")</f>
        <v>14782</v>
      </c>
      <c r="B4542" s="4" t="s">
        <v>385</v>
      </c>
      <c r="C4542" s="4" t="s">
        <v>283</v>
      </c>
      <c r="D4542" s="94">
        <v>5696.0</v>
      </c>
    </row>
    <row r="4543">
      <c r="A4543" s="40">
        <f t="array" ref="A4543">IFNA(index(PlayerValues!A:A,match(IFNA(vlookup(B4543,'Special Names'!A:B,2,FALSE),B4543),PlayerValues!E:E,0)),"N/A")</f>
        <v>17102</v>
      </c>
      <c r="B4543" s="4" t="s">
        <v>344</v>
      </c>
      <c r="C4543" s="4" t="s">
        <v>298</v>
      </c>
      <c r="D4543" s="94">
        <v>6269.0</v>
      </c>
    </row>
    <row r="4544">
      <c r="A4544" s="40">
        <f t="array" ref="A4544">IFNA(index(PlayerValues!A:A,match(IFNA(vlookup(B4544,'Special Names'!A:B,2,FALSE),B4544),PlayerValues!E:E,0)),"N/A")</f>
        <v>17462</v>
      </c>
      <c r="B4544" s="4" t="s">
        <v>375</v>
      </c>
      <c r="C4544" s="4" t="s">
        <v>283</v>
      </c>
      <c r="D4544" s="94">
        <v>5615.0</v>
      </c>
    </row>
    <row r="4545">
      <c r="A4545" s="40">
        <f t="array" ref="A4545">IFNA(index(PlayerValues!A:A,match(IFNA(vlookup(B4545,'Special Names'!A:B,2,FALSE),B4545),PlayerValues!E:E,0)),"N/A")</f>
        <v>15708</v>
      </c>
      <c r="B4545" s="4" t="s">
        <v>382</v>
      </c>
      <c r="C4545" s="4" t="s">
        <v>278</v>
      </c>
      <c r="D4545" s="94">
        <v>5523.0</v>
      </c>
    </row>
    <row r="4546">
      <c r="A4546" s="40">
        <f t="array" ref="A4546">IFNA(index(PlayerValues!A:A,match(IFNA(vlookup(B4546,'Special Names'!A:B,2,FALSE),B4546),PlayerValues!E:E,0)),"N/A")</f>
        <v>16627</v>
      </c>
      <c r="B4546" s="4" t="s">
        <v>351</v>
      </c>
      <c r="C4546" s="4" t="s">
        <v>287</v>
      </c>
      <c r="D4546" s="94">
        <v>5483.0</v>
      </c>
    </row>
    <row r="4547">
      <c r="A4547" s="40">
        <f t="array" ref="A4547">IFNA(index(PlayerValues!A:A,match(IFNA(vlookup(B4547,'Special Names'!A:B,2,FALSE),B4547),PlayerValues!E:E,0)),"N/A")</f>
        <v>16598</v>
      </c>
      <c r="B4547" s="4" t="s">
        <v>408</v>
      </c>
      <c r="C4547" s="4" t="s">
        <v>278</v>
      </c>
      <c r="D4547" s="94">
        <v>5466.0</v>
      </c>
    </row>
    <row r="4548">
      <c r="A4548" s="40">
        <f t="array" ref="A4548">IFNA(index(PlayerValues!A:A,match(IFNA(vlookup(B4548,'Special Names'!A:B,2,FALSE),B4548),PlayerValues!E:E,0)),"N/A")</f>
        <v>17051</v>
      </c>
      <c r="B4548" s="4" t="s">
        <v>386</v>
      </c>
      <c r="C4548" s="4" t="s">
        <v>278</v>
      </c>
      <c r="D4548" s="94">
        <v>5463.0</v>
      </c>
    </row>
    <row r="4549">
      <c r="A4549" s="40" t="str">
        <f t="array" ref="A4549">IFNA(index(PlayerValues!A:A,match(IFNA(vlookup(B4549,'Special Names'!A:B,2,FALSE),B4549),PlayerValues!E:E,0)),"N/A")</f>
        <v>N/A</v>
      </c>
      <c r="B4549" s="4" t="s">
        <v>93</v>
      </c>
      <c r="C4549" s="4" t="s">
        <v>325</v>
      </c>
      <c r="D4549" s="94">
        <v>5447.0</v>
      </c>
    </row>
    <row r="4550">
      <c r="A4550" s="40">
        <f t="array" ref="A4550">IFNA(index(PlayerValues!A:A,match(IFNA(vlookup(B4550,'Special Names'!A:B,2,FALSE),B4550),PlayerValues!E:E,0)),"N/A")</f>
        <v>17497</v>
      </c>
      <c r="B4550" s="4" t="s">
        <v>365</v>
      </c>
      <c r="C4550" s="4" t="s">
        <v>287</v>
      </c>
      <c r="D4550" s="94">
        <v>5314.0</v>
      </c>
    </row>
    <row r="4551">
      <c r="A4551" s="40">
        <f t="array" ref="A4551">IFNA(index(PlayerValues!A:A,match(IFNA(vlookup(B4551,'Special Names'!A:B,2,FALSE),B4551),PlayerValues!E:E,0)),"N/A")</f>
        <v>16616</v>
      </c>
      <c r="B4551" s="4" t="s">
        <v>389</v>
      </c>
      <c r="C4551" s="4" t="s">
        <v>287</v>
      </c>
      <c r="D4551" s="94">
        <v>5312.0</v>
      </c>
    </row>
    <row r="4552">
      <c r="A4552" s="40">
        <f t="array" ref="A4552">IFNA(index(PlayerValues!A:A,match(IFNA(vlookup(B4552,'Special Names'!A:B,2,FALSE),B4552),PlayerValues!E:E,0)),"N/A")</f>
        <v>17499</v>
      </c>
      <c r="B4552" s="4" t="s">
        <v>402</v>
      </c>
      <c r="C4552" s="4" t="s">
        <v>287</v>
      </c>
      <c r="D4552" s="94">
        <v>5235.0</v>
      </c>
    </row>
    <row r="4553">
      <c r="A4553" s="40">
        <f t="array" ref="A4553">IFNA(index(PlayerValues!A:A,match(IFNA(vlookup(B4553,'Special Names'!A:B,2,FALSE),B4553),PlayerValues!E:E,0)),"N/A")</f>
        <v>16614</v>
      </c>
      <c r="B4553" s="4" t="s">
        <v>403</v>
      </c>
      <c r="C4553" s="4" t="s">
        <v>287</v>
      </c>
      <c r="D4553" s="94">
        <v>5124.0</v>
      </c>
    </row>
    <row r="4554">
      <c r="A4554" s="40">
        <f t="array" ref="A4554">IFNA(index(PlayerValues!A:A,match(IFNA(vlookup(B4554,'Special Names'!A:B,2,FALSE),B4554),PlayerValues!E:E,0)),"N/A")</f>
        <v>17030</v>
      </c>
      <c r="B4554" s="4" t="s">
        <v>406</v>
      </c>
      <c r="C4554" s="4" t="s">
        <v>283</v>
      </c>
      <c r="D4554" s="94">
        <v>5092.0</v>
      </c>
    </row>
    <row r="4555">
      <c r="A4555" s="40">
        <f t="array" ref="A4555">IFNA(index(PlayerValues!A:A,match(IFNA(vlookup(B4555,'Special Names'!A:B,2,FALSE),B4555),PlayerValues!E:E,0)),"N/A")</f>
        <v>13130</v>
      </c>
      <c r="B4555" s="4" t="s">
        <v>374</v>
      </c>
      <c r="C4555" s="4" t="s">
        <v>278</v>
      </c>
      <c r="D4555" s="94">
        <v>5074.0</v>
      </c>
    </row>
    <row r="4556">
      <c r="A4556" s="40">
        <f t="array" ref="A4556">IFNA(index(PlayerValues!A:A,match(IFNA(vlookup(B4556,'Special Names'!A:B,2,FALSE),B4556),PlayerValues!E:E,0)),"N/A")</f>
        <v>15711</v>
      </c>
      <c r="B4556" s="4" t="s">
        <v>349</v>
      </c>
      <c r="C4556" s="4" t="s">
        <v>278</v>
      </c>
      <c r="D4556" s="94">
        <v>5047.0</v>
      </c>
    </row>
    <row r="4557">
      <c r="A4557" s="40">
        <f t="array" ref="A4557">IFNA(index(PlayerValues!A:A,match(IFNA(vlookup(B4557,'Special Names'!A:B,2,FALSE),B4557),PlayerValues!E:E,0)),"N/A")</f>
        <v>16618</v>
      </c>
      <c r="B4557" s="4" t="s">
        <v>411</v>
      </c>
      <c r="C4557" s="4" t="s">
        <v>287</v>
      </c>
      <c r="D4557" s="94">
        <v>5041.0</v>
      </c>
    </row>
    <row r="4558">
      <c r="A4558" s="40">
        <f t="array" ref="A4558">IFNA(index(PlayerValues!A:A,match(IFNA(vlookup(B4558,'Special Names'!A:B,2,FALSE),B4558),PlayerValues!E:E,0)),"N/A")</f>
        <v>12620</v>
      </c>
      <c r="B4558" s="4" t="s">
        <v>394</v>
      </c>
      <c r="C4558" s="4" t="s">
        <v>283</v>
      </c>
      <c r="D4558" s="94">
        <v>5011.0</v>
      </c>
    </row>
    <row r="4559">
      <c r="A4559" s="40">
        <f t="array" ref="A4559">IFNA(index(PlayerValues!A:A,match(IFNA(vlookup(B4559,'Special Names'!A:B,2,FALSE),B4559),PlayerValues!E:E,0)),"N/A")</f>
        <v>16194</v>
      </c>
      <c r="B4559" s="4" t="s">
        <v>398</v>
      </c>
      <c r="C4559" s="4" t="s">
        <v>287</v>
      </c>
      <c r="D4559" s="94">
        <v>5010.0</v>
      </c>
    </row>
    <row r="4560">
      <c r="A4560" s="40">
        <f t="array" ref="A4560">IFNA(index(PlayerValues!A:A,match(IFNA(vlookup(B4560,'Special Names'!A:B,2,FALSE),B4560),PlayerValues!E:E,0)),"N/A")</f>
        <v>17070</v>
      </c>
      <c r="B4560" s="4" t="s">
        <v>370</v>
      </c>
      <c r="C4560" s="4" t="s">
        <v>287</v>
      </c>
      <c r="D4560" s="94">
        <v>4936.0</v>
      </c>
    </row>
    <row r="4561">
      <c r="A4561" s="40">
        <f t="array" ref="A4561">IFNA(index(PlayerValues!A:A,match(IFNA(vlookup(B4561,'Special Names'!A:B,2,FALSE),B4561),PlayerValues!E:E,0)),"N/A")</f>
        <v>16181</v>
      </c>
      <c r="B4561" s="4" t="s">
        <v>350</v>
      </c>
      <c r="C4561" s="4" t="s">
        <v>278</v>
      </c>
      <c r="D4561" s="94">
        <v>4935.0</v>
      </c>
    </row>
    <row r="4562">
      <c r="A4562" s="40">
        <f t="array" ref="A4562">IFNA(index(PlayerValues!A:A,match(IFNA(vlookup(B4562,'Special Names'!A:B,2,FALSE),B4562),PlayerValues!E:E,0)),"N/A")</f>
        <v>17103</v>
      </c>
      <c r="B4562" s="4" t="s">
        <v>405</v>
      </c>
      <c r="C4562" s="4" t="s">
        <v>298</v>
      </c>
      <c r="D4562" s="94">
        <v>5470.0</v>
      </c>
    </row>
    <row r="4563">
      <c r="A4563" s="40">
        <f t="array" ref="A4563">IFNA(index(PlayerValues!A:A,match(IFNA(vlookup(B4563,'Special Names'!A:B,2,FALSE),B4563),PlayerValues!E:E,0)),"N/A")</f>
        <v>16222</v>
      </c>
      <c r="B4563" s="4" t="s">
        <v>393</v>
      </c>
      <c r="C4563" s="4" t="s">
        <v>298</v>
      </c>
      <c r="D4563" s="94">
        <v>5442.0</v>
      </c>
    </row>
    <row r="4564">
      <c r="A4564" s="40">
        <f t="array" ref="A4564">IFNA(index(PlayerValues!A:A,match(IFNA(vlookup(B4564,'Special Names'!A:B,2,FALSE),B4564),PlayerValues!E:E,0)),"N/A")</f>
        <v>15710</v>
      </c>
      <c r="B4564" s="4" t="s">
        <v>395</v>
      </c>
      <c r="C4564" s="4" t="s">
        <v>278</v>
      </c>
      <c r="D4564" s="94">
        <v>4853.0</v>
      </c>
    </row>
    <row r="4565">
      <c r="A4565" s="40">
        <f t="array" ref="A4565">IFNA(index(PlayerValues!A:A,match(IFNA(vlookup(B4565,'Special Names'!A:B,2,FALSE),B4565),PlayerValues!E:E,0)),"N/A")</f>
        <v>13590</v>
      </c>
      <c r="B4565" s="4" t="s">
        <v>409</v>
      </c>
      <c r="C4565" s="4" t="s">
        <v>283</v>
      </c>
      <c r="D4565" s="94">
        <v>4839.0</v>
      </c>
    </row>
    <row r="4566">
      <c r="A4566" s="40">
        <f t="array" ref="A4566">IFNA(index(PlayerValues!A:A,match(IFNA(vlookup(B4566,'Special Names'!A:B,2,FALSE),B4566),PlayerValues!E:E,0)),"N/A")</f>
        <v>13592</v>
      </c>
      <c r="B4566" s="4" t="s">
        <v>418</v>
      </c>
      <c r="C4566" s="4" t="s">
        <v>283</v>
      </c>
      <c r="D4566" s="94">
        <v>4832.0</v>
      </c>
    </row>
    <row r="4567">
      <c r="A4567" s="40">
        <f t="array" ref="A4567">IFNA(index(PlayerValues!A:A,match(IFNA(vlookup(B4567,'Special Names'!A:B,2,FALSE),B4567),PlayerValues!E:E,0)),"N/A")</f>
        <v>16150</v>
      </c>
      <c r="B4567" s="4" t="s">
        <v>414</v>
      </c>
      <c r="C4567" s="4" t="s">
        <v>283</v>
      </c>
      <c r="D4567" s="94">
        <v>4826.0</v>
      </c>
    </row>
    <row r="4568">
      <c r="A4568" s="40">
        <f t="array" ref="A4568">IFNA(index(PlayerValues!A:A,match(IFNA(vlookup(B4568,'Special Names'!A:B,2,FALSE),B4568),PlayerValues!E:E,0)),"N/A")</f>
        <v>14835</v>
      </c>
      <c r="B4568" s="4" t="s">
        <v>392</v>
      </c>
      <c r="C4568" s="4" t="s">
        <v>287</v>
      </c>
      <c r="D4568" s="94">
        <v>4825.0</v>
      </c>
    </row>
    <row r="4569">
      <c r="A4569" s="40" t="str">
        <f t="array" ref="A4569">IFNA(index(PlayerValues!A:A,match(IFNA(vlookup(B4569,'Special Names'!A:B,2,FALSE),B4569),PlayerValues!E:E,0)),"N/A")</f>
        <v>N/A</v>
      </c>
      <c r="B4569" s="4" t="s">
        <v>104</v>
      </c>
      <c r="C4569" s="4" t="s">
        <v>325</v>
      </c>
      <c r="D4569" s="94">
        <v>4825.0</v>
      </c>
    </row>
    <row r="4570">
      <c r="A4570" s="40">
        <f t="array" ref="A4570">IFNA(index(PlayerValues!A:A,match(IFNA(vlookup(B4570,'Special Names'!A:B,2,FALSE),B4570),PlayerValues!E:E,0)),"N/A")</f>
        <v>17045</v>
      </c>
      <c r="B4570" s="4" t="s">
        <v>407</v>
      </c>
      <c r="C4570" s="4" t="s">
        <v>278</v>
      </c>
      <c r="D4570" s="94">
        <v>4822.0</v>
      </c>
    </row>
    <row r="4571">
      <c r="A4571" s="40">
        <f t="array" ref="A4571">IFNA(index(PlayerValues!A:A,match(IFNA(vlookup(B4571,'Special Names'!A:B,2,FALSE),B4571),PlayerValues!E:E,0)),"N/A")</f>
        <v>17498</v>
      </c>
      <c r="B4571" s="4" t="s">
        <v>396</v>
      </c>
      <c r="C4571" s="4" t="s">
        <v>287</v>
      </c>
      <c r="D4571" s="94">
        <v>4820.0</v>
      </c>
    </row>
    <row r="4572">
      <c r="A4572" s="40">
        <f t="array" ref="A4572">IFNA(index(PlayerValues!A:A,match(IFNA(vlookup(B4572,'Special Names'!A:B,2,FALSE),B4572),PlayerValues!E:E,0)),"N/A")</f>
        <v>15282</v>
      </c>
      <c r="B4572" s="4" t="s">
        <v>364</v>
      </c>
      <c r="C4572" s="4" t="s">
        <v>287</v>
      </c>
      <c r="D4572" s="94">
        <v>4797.0</v>
      </c>
    </row>
    <row r="4573">
      <c r="A4573" s="40" t="str">
        <f t="array" ref="A4573">IFNA(index(PlayerValues!A:A,match(IFNA(vlookup(B4573,'Special Names'!A:B,2,FALSE),B4573),PlayerValues!E:E,0)),"N/A")</f>
        <v>N/A</v>
      </c>
      <c r="B4573" s="4" t="s">
        <v>94</v>
      </c>
      <c r="C4573" s="4" t="s">
        <v>325</v>
      </c>
      <c r="D4573" s="94">
        <v>4788.0</v>
      </c>
    </row>
    <row r="4574">
      <c r="A4574" s="40">
        <f t="array" ref="A4574">IFNA(index(PlayerValues!A:A,match(IFNA(vlookup(B4574,'Special Names'!A:B,2,FALSE),B4574),PlayerValues!E:E,0)),"N/A")</f>
        <v>13604</v>
      </c>
      <c r="B4574" s="4" t="s">
        <v>378</v>
      </c>
      <c r="C4574" s="4" t="s">
        <v>278</v>
      </c>
      <c r="D4574" s="94">
        <v>4781.0</v>
      </c>
    </row>
    <row r="4575">
      <c r="A4575" s="40">
        <f t="array" ref="A4575">IFNA(index(PlayerValues!A:A,match(IFNA(vlookup(B4575,'Special Names'!A:B,2,FALSE),B4575),PlayerValues!E:E,0)),"N/A")</f>
        <v>14104</v>
      </c>
      <c r="B4575" s="4" t="s">
        <v>379</v>
      </c>
      <c r="C4575" s="4" t="s">
        <v>287</v>
      </c>
      <c r="D4575" s="94">
        <v>4743.0</v>
      </c>
    </row>
    <row r="4576">
      <c r="A4576" s="40">
        <f t="array" ref="A4576">IFNA(index(PlayerValues!A:A,match(IFNA(vlookup(B4576,'Special Names'!A:B,2,FALSE),B4576),PlayerValues!E:E,0)),"N/A")</f>
        <v>15756</v>
      </c>
      <c r="B4576" s="4" t="s">
        <v>399</v>
      </c>
      <c r="C4576" s="4" t="s">
        <v>287</v>
      </c>
      <c r="D4576" s="94">
        <v>4740.0</v>
      </c>
    </row>
    <row r="4577">
      <c r="A4577" s="40">
        <f t="array" ref="A4577">IFNA(index(PlayerValues!A:A,match(IFNA(vlookup(B4577,'Special Names'!A:B,2,FALSE),B4577),PlayerValues!E:E,0)),"N/A")</f>
        <v>16190</v>
      </c>
      <c r="B4577" s="4" t="s">
        <v>371</v>
      </c>
      <c r="C4577" s="4" t="s">
        <v>287</v>
      </c>
      <c r="D4577" s="94">
        <v>4697.0</v>
      </c>
    </row>
    <row r="4578">
      <c r="A4578" s="40" t="str">
        <f t="array" ref="A4578">IFNA(index(PlayerValues!A:A,match(IFNA(vlookup(B4578,'Special Names'!A:B,2,FALSE),B4578),PlayerValues!E:E,0)),"N/A")</f>
        <v>N/A</v>
      </c>
      <c r="B4578" s="4" t="s">
        <v>80</v>
      </c>
      <c r="C4578" s="4" t="s">
        <v>325</v>
      </c>
      <c r="D4578" s="94">
        <v>4696.0</v>
      </c>
    </row>
    <row r="4579">
      <c r="A4579" s="40">
        <f t="array" ref="A4579">IFNA(index(PlayerValues!A:A,match(IFNA(vlookup(B4579,'Special Names'!A:B,2,FALSE),B4579),PlayerValues!E:E,0)),"N/A")</f>
        <v>12611</v>
      </c>
      <c r="B4579" s="4" t="s">
        <v>410</v>
      </c>
      <c r="C4579" s="4" t="s">
        <v>283</v>
      </c>
      <c r="D4579" s="94">
        <v>4622.0</v>
      </c>
    </row>
    <row r="4580">
      <c r="A4580" s="40">
        <f t="array" ref="A4580">IFNA(index(PlayerValues!A:A,match(IFNA(vlookup(B4580,'Special Names'!A:B,2,FALSE),B4580),PlayerValues!E:E,0)),"N/A")</f>
        <v>15284</v>
      </c>
      <c r="B4580" s="4" t="s">
        <v>390</v>
      </c>
      <c r="C4580" s="4" t="s">
        <v>287</v>
      </c>
      <c r="D4580" s="94">
        <v>4606.0</v>
      </c>
    </row>
    <row r="4581">
      <c r="A4581" s="40">
        <f t="array" ref="A4581">IFNA(index(PlayerValues!A:A,match(IFNA(vlookup(B4581,'Special Names'!A:B,2,FALSE),B4581),PlayerValues!E:E,0)),"N/A")</f>
        <v>17039</v>
      </c>
      <c r="B4581" s="4" t="s">
        <v>400</v>
      </c>
      <c r="C4581" s="4" t="s">
        <v>283</v>
      </c>
      <c r="D4581" s="94">
        <v>4599.0</v>
      </c>
    </row>
    <row r="4582">
      <c r="A4582" s="40">
        <f t="array" ref="A4582">IFNA(index(PlayerValues!A:A,match(IFNA(vlookup(B4582,'Special Names'!A:B,2,FALSE),B4582),PlayerValues!E:E,0)),"N/A")</f>
        <v>16214</v>
      </c>
      <c r="B4582" s="4" t="s">
        <v>413</v>
      </c>
      <c r="C4582" s="4" t="s">
        <v>298</v>
      </c>
      <c r="D4582" s="94">
        <v>5132.0</v>
      </c>
    </row>
    <row r="4583">
      <c r="A4583" s="40">
        <f t="array" ref="A4583">IFNA(index(PlayerValues!A:A,match(IFNA(vlookup(B4583,'Special Names'!A:B,2,FALSE),B4583),PlayerValues!E:E,0)),"N/A")</f>
        <v>15329</v>
      </c>
      <c r="B4583" s="4" t="s">
        <v>416</v>
      </c>
      <c r="C4583" s="4" t="s">
        <v>298</v>
      </c>
      <c r="D4583" s="94">
        <v>5103.0</v>
      </c>
    </row>
    <row r="4584">
      <c r="A4584" s="40">
        <f t="array" ref="A4584">IFNA(index(PlayerValues!A:A,match(IFNA(vlookup(B4584,'Special Names'!A:B,2,FALSE),B4584),PlayerValues!E:E,0)),"N/A")</f>
        <v>15256</v>
      </c>
      <c r="B4584" s="4" t="s">
        <v>401</v>
      </c>
      <c r="C4584" s="4" t="s">
        <v>278</v>
      </c>
      <c r="D4584" s="94">
        <v>4548.0</v>
      </c>
    </row>
    <row r="4585">
      <c r="A4585" s="40">
        <f t="array" ref="A4585">IFNA(index(PlayerValues!A:A,match(IFNA(vlookup(B4585,'Special Names'!A:B,2,FALSE),B4585),PlayerValues!E:E,0)),"N/A")</f>
        <v>15253</v>
      </c>
      <c r="B4585" s="4" t="s">
        <v>415</v>
      </c>
      <c r="C4585" s="4" t="s">
        <v>278</v>
      </c>
      <c r="D4585" s="94">
        <v>4500.0</v>
      </c>
    </row>
    <row r="4586">
      <c r="A4586" s="40">
        <f t="array" ref="A4586">IFNA(index(PlayerValues!A:A,match(IFNA(vlookup(B4586,'Special Names'!A:B,2,FALSE),B4586),PlayerValues!E:E,0)),"N/A")</f>
        <v>17068</v>
      </c>
      <c r="B4586" s="4" t="s">
        <v>450</v>
      </c>
      <c r="C4586" s="4" t="s">
        <v>278</v>
      </c>
      <c r="D4586" s="94">
        <v>4472.0</v>
      </c>
    </row>
    <row r="4587">
      <c r="A4587" s="40">
        <f t="array" ref="A4587">IFNA(index(PlayerValues!A:A,match(IFNA(vlookup(B4587,'Special Names'!A:B,2,FALSE),B4587),PlayerValues!E:E,0)),"N/A")</f>
        <v>14073</v>
      </c>
      <c r="B4587" s="4" t="s">
        <v>464</v>
      </c>
      <c r="C4587" s="4" t="s">
        <v>278</v>
      </c>
      <c r="D4587" s="94">
        <v>4462.0</v>
      </c>
    </row>
    <row r="4588">
      <c r="A4588" s="40">
        <f t="array" ref="A4588">IFNA(index(PlayerValues!A:A,match(IFNA(vlookup(B4588,'Special Names'!A:B,2,FALSE),B4588),PlayerValues!E:E,0)),"N/A")</f>
        <v>16148</v>
      </c>
      <c r="B4588" s="4" t="s">
        <v>426</v>
      </c>
      <c r="C4588" s="4" t="s">
        <v>283</v>
      </c>
      <c r="D4588" s="94">
        <v>4445.0</v>
      </c>
    </row>
    <row r="4589">
      <c r="A4589" s="40" t="str">
        <f t="array" ref="A4589">IFNA(index(PlayerValues!A:A,match(IFNA(vlookup(B4589,'Special Names'!A:B,2,FALSE),B4589),PlayerValues!E:E,0)),"N/A")</f>
        <v>N/A</v>
      </c>
      <c r="B4589" s="4" t="s">
        <v>105</v>
      </c>
      <c r="C4589" s="4" t="s">
        <v>325</v>
      </c>
      <c r="D4589" s="94">
        <v>4443.0</v>
      </c>
    </row>
    <row r="4590">
      <c r="A4590" s="40" t="str">
        <f t="array" ref="A4590">IFNA(index(PlayerValues!A:A,match(IFNA(vlookup(B4590,'Special Names'!A:B,2,FALSE),B4590),PlayerValues!E:E,0)),"N/A")</f>
        <v>N/A</v>
      </c>
      <c r="B4590" s="4" t="s">
        <v>81</v>
      </c>
      <c r="C4590" s="4" t="s">
        <v>325</v>
      </c>
      <c r="D4590" s="94">
        <v>4231.0</v>
      </c>
    </row>
    <row r="4591">
      <c r="A4591" s="40">
        <f t="array" ref="A4591">IFNA(index(PlayerValues!A:A,match(IFNA(vlookup(B4591,'Special Names'!A:B,2,FALSE),B4591),PlayerValues!E:E,0)),"N/A")</f>
        <v>16186</v>
      </c>
      <c r="B4591" s="4" t="s">
        <v>425</v>
      </c>
      <c r="C4591" s="4" t="s">
        <v>287</v>
      </c>
      <c r="D4591" s="94">
        <v>4155.0</v>
      </c>
    </row>
    <row r="4592">
      <c r="A4592" s="40">
        <f t="array" ref="A4592">IFNA(index(PlayerValues!A:A,match(IFNA(vlookup(B4592,'Special Names'!A:B,2,FALSE),B4592),PlayerValues!E:E,0)),"N/A")</f>
        <v>17099</v>
      </c>
      <c r="B4592" s="4" t="s">
        <v>474</v>
      </c>
      <c r="C4592" s="4" t="s">
        <v>298</v>
      </c>
      <c r="D4592" s="94">
        <v>4653.0</v>
      </c>
    </row>
    <row r="4593">
      <c r="A4593" s="40">
        <f t="array" ref="A4593">IFNA(index(PlayerValues!A:A,match(IFNA(vlookup(B4593,'Special Names'!A:B,2,FALSE),B4593),PlayerValues!E:E,0)),"N/A")</f>
        <v>14059</v>
      </c>
      <c r="B4593" s="4" t="s">
        <v>435</v>
      </c>
      <c r="C4593" s="4" t="s">
        <v>283</v>
      </c>
      <c r="D4593" s="94">
        <v>4050.0</v>
      </c>
    </row>
    <row r="4594">
      <c r="A4594" s="40">
        <f t="array" ref="A4594">IFNA(index(PlayerValues!A:A,match(IFNA(vlookup(B4594,'Special Names'!A:B,2,FALSE),B4594),PlayerValues!E:E,0)),"N/A")</f>
        <v>17074</v>
      </c>
      <c r="B4594" s="4" t="s">
        <v>475</v>
      </c>
      <c r="C4594" s="4" t="s">
        <v>287</v>
      </c>
      <c r="D4594" s="94">
        <v>4043.0</v>
      </c>
    </row>
    <row r="4595">
      <c r="A4595" s="40" t="str">
        <f t="array" ref="A4595">IFNA(index(PlayerValues!A:A,match(IFNA(vlookup(B4595,'Special Names'!A:B,2,FALSE),B4595),PlayerValues!E:E,0)),"N/A")</f>
        <v>N/A</v>
      </c>
      <c r="B4595" s="4" t="s">
        <v>107</v>
      </c>
      <c r="C4595" s="4" t="s">
        <v>325</v>
      </c>
      <c r="D4595" s="94">
        <v>4032.0</v>
      </c>
    </row>
    <row r="4596">
      <c r="A4596" s="40">
        <f t="array" ref="A4596">IFNA(index(PlayerValues!A:A,match(IFNA(vlookup(B4596,'Special Names'!A:B,2,FALSE),B4596),PlayerValues!E:E,0)),"N/A")</f>
        <v>17543</v>
      </c>
      <c r="B4596" s="4" t="s">
        <v>436</v>
      </c>
      <c r="C4596" s="4" t="s">
        <v>298</v>
      </c>
      <c r="D4596" s="94">
        <v>4507.0</v>
      </c>
    </row>
    <row r="4597">
      <c r="A4597" s="40">
        <f t="array" ref="A4597">IFNA(index(PlayerValues!A:A,match(IFNA(vlookup(B4597,'Special Names'!A:B,2,FALSE),B4597),PlayerValues!E:E,0)),"N/A")</f>
        <v>16622</v>
      </c>
      <c r="B4597" s="4" t="s">
        <v>517</v>
      </c>
      <c r="C4597" s="4" t="s">
        <v>287</v>
      </c>
      <c r="D4597" s="94">
        <v>3972.0</v>
      </c>
    </row>
    <row r="4598">
      <c r="A4598" s="40">
        <f t="array" ref="A4598">IFNA(index(PlayerValues!A:A,match(IFNA(vlookup(B4598,'Special Names'!A:B,2,FALSE),B4598),PlayerValues!E:E,0)),"N/A")</f>
        <v>15768</v>
      </c>
      <c r="B4598" s="4" t="s">
        <v>432</v>
      </c>
      <c r="C4598" s="4" t="s">
        <v>287</v>
      </c>
      <c r="D4598" s="94">
        <v>3964.0</v>
      </c>
    </row>
    <row r="4599">
      <c r="A4599" s="40">
        <f t="array" ref="A4599">IFNA(index(PlayerValues!A:A,match(IFNA(vlookup(B4599,'Special Names'!A:B,2,FALSE),B4599),PlayerValues!E:E,0)),"N/A")</f>
        <v>12626</v>
      </c>
      <c r="B4599" s="4" t="s">
        <v>419</v>
      </c>
      <c r="C4599" s="4" t="s">
        <v>278</v>
      </c>
      <c r="D4599" s="94">
        <v>3932.0</v>
      </c>
    </row>
    <row r="4600">
      <c r="A4600" s="40">
        <f t="array" ref="A4600">IFNA(index(PlayerValues!A:A,match(IFNA(vlookup(B4600,'Special Names'!A:B,2,FALSE),B4600),PlayerValues!E:E,0)),"N/A")</f>
        <v>16206</v>
      </c>
      <c r="B4600" s="4" t="s">
        <v>431</v>
      </c>
      <c r="C4600" s="4" t="s">
        <v>287</v>
      </c>
      <c r="D4600" s="94">
        <v>3893.0</v>
      </c>
    </row>
    <row r="4601">
      <c r="A4601" s="40">
        <f t="array" ref="A4601">IFNA(index(PlayerValues!A:A,match(IFNA(vlookup(B4601,'Special Names'!A:B,2,FALSE),B4601),PlayerValues!E:E,0)),"N/A")</f>
        <v>17083</v>
      </c>
      <c r="B4601" s="4" t="s">
        <v>479</v>
      </c>
      <c r="C4601" s="4" t="s">
        <v>287</v>
      </c>
      <c r="D4601" s="94">
        <v>3847.0</v>
      </c>
    </row>
    <row r="4602">
      <c r="A4602" s="40">
        <f t="array" ref="A4602">IFNA(index(PlayerValues!A:A,match(IFNA(vlookup(B4602,'Special Names'!A:B,2,FALSE),B4602),PlayerValues!E:E,0)),"N/A")</f>
        <v>14102</v>
      </c>
      <c r="B4602" s="4" t="s">
        <v>444</v>
      </c>
      <c r="C4602" s="4" t="s">
        <v>287</v>
      </c>
      <c r="D4602" s="94">
        <v>3843.0</v>
      </c>
    </row>
    <row r="4603">
      <c r="A4603" s="40" t="str">
        <f t="array" ref="A4603">IFNA(index(PlayerValues!A:A,match(IFNA(vlookup(B4603,'Special Names'!A:B,2,FALSE),B4603),PlayerValues!E:E,0)),"N/A")</f>
        <v>N/A</v>
      </c>
      <c r="B4603" s="4" t="s">
        <v>95</v>
      </c>
      <c r="C4603" s="4" t="s">
        <v>325</v>
      </c>
      <c r="D4603" s="94">
        <v>3843.0</v>
      </c>
    </row>
    <row r="4604">
      <c r="A4604" s="40">
        <f t="array" ref="A4604">IFNA(index(PlayerValues!A:A,match(IFNA(vlookup(B4604,'Special Names'!A:B,2,FALSE),B4604),PlayerValues!E:E,0)),"N/A")</f>
        <v>17501</v>
      </c>
      <c r="B4604" s="4" t="s">
        <v>404</v>
      </c>
      <c r="C4604" s="4" t="s">
        <v>287</v>
      </c>
      <c r="D4604" s="94">
        <v>3842.0</v>
      </c>
    </row>
    <row r="4605">
      <c r="A4605" s="40">
        <f t="array" ref="A4605">IFNA(index(PlayerValues!A:A,match(IFNA(vlookup(B4605,'Special Names'!A:B,2,FALSE),B4605),PlayerValues!E:E,0)),"N/A")</f>
        <v>17066</v>
      </c>
      <c r="B4605" s="4" t="s">
        <v>446</v>
      </c>
      <c r="C4605" s="4" t="s">
        <v>278</v>
      </c>
      <c r="D4605" s="94">
        <v>3811.0</v>
      </c>
    </row>
    <row r="4606">
      <c r="A4606" s="40">
        <f t="array" ref="A4606">IFNA(index(PlayerValues!A:A,match(IFNA(vlookup(B4606,'Special Names'!A:B,2,FALSE),B4606),PlayerValues!E:E,0)),"N/A")</f>
        <v>17500</v>
      </c>
      <c r="B4606" s="4" t="s">
        <v>430</v>
      </c>
      <c r="C4606" s="4" t="s">
        <v>287</v>
      </c>
      <c r="D4606" s="94">
        <v>3796.0</v>
      </c>
    </row>
    <row r="4607">
      <c r="A4607" s="40">
        <f t="array" ref="A4607">IFNA(index(PlayerValues!A:A,match(IFNA(vlookup(B4607,'Special Names'!A:B,2,FALSE),B4607),PlayerValues!E:E,0)),"N/A")</f>
        <v>15789</v>
      </c>
      <c r="B4607" s="4" t="s">
        <v>421</v>
      </c>
      <c r="C4607" s="4" t="s">
        <v>287</v>
      </c>
      <c r="D4607" s="94">
        <v>3760.0</v>
      </c>
    </row>
    <row r="4608">
      <c r="A4608" s="40">
        <f t="array" ref="A4608">IFNA(index(PlayerValues!A:A,match(IFNA(vlookup(B4608,'Special Names'!A:B,2,FALSE),B4608),PlayerValues!E:E,0)),"N/A")</f>
        <v>14797</v>
      </c>
      <c r="B4608" s="4" t="s">
        <v>420</v>
      </c>
      <c r="C4608" s="4" t="s">
        <v>278</v>
      </c>
      <c r="D4608" s="94">
        <v>3719.0</v>
      </c>
    </row>
    <row r="4609">
      <c r="A4609" s="40">
        <f t="array" ref="A4609">IFNA(index(PlayerValues!A:A,match(IFNA(vlookup(B4609,'Special Names'!A:B,2,FALSE),B4609),PlayerValues!E:E,0)),"N/A")</f>
        <v>16192</v>
      </c>
      <c r="B4609" s="4" t="s">
        <v>412</v>
      </c>
      <c r="C4609" s="4" t="s">
        <v>287</v>
      </c>
      <c r="D4609" s="94">
        <v>3705.0</v>
      </c>
    </row>
    <row r="4610">
      <c r="A4610" s="40">
        <f t="array" ref="A4610">IFNA(index(PlayerValues!A:A,match(IFNA(vlookup(B4610,'Special Names'!A:B,2,FALSE),B4610),PlayerValues!E:E,0)),"N/A")</f>
        <v>9431</v>
      </c>
      <c r="B4610" s="4" t="s">
        <v>428</v>
      </c>
      <c r="C4610" s="4" t="s">
        <v>283</v>
      </c>
      <c r="D4610" s="94">
        <v>3697.0</v>
      </c>
    </row>
    <row r="4611">
      <c r="A4611" s="40">
        <f t="array" ref="A4611">IFNA(index(PlayerValues!A:A,match(IFNA(vlookup(B4611,'Special Names'!A:B,2,FALSE),B4611),PlayerValues!E:E,0)),"N/A")</f>
        <v>11675</v>
      </c>
      <c r="B4611" s="4" t="s">
        <v>438</v>
      </c>
      <c r="C4611" s="4" t="s">
        <v>287</v>
      </c>
      <c r="D4611" s="94">
        <v>3692.0</v>
      </c>
    </row>
    <row r="4612">
      <c r="A4612" s="40">
        <f t="array" ref="A4612">IFNA(index(PlayerValues!A:A,match(IFNA(vlookup(B4612,'Special Names'!A:B,2,FALSE),B4612),PlayerValues!E:E,0)),"N/A")</f>
        <v>14056</v>
      </c>
      <c r="B4612" s="4" t="s">
        <v>423</v>
      </c>
      <c r="C4612" s="4" t="s">
        <v>283</v>
      </c>
      <c r="D4612" s="94">
        <v>3614.0</v>
      </c>
    </row>
    <row r="4613">
      <c r="A4613" s="40">
        <f t="array" ref="A4613">IFNA(index(PlayerValues!A:A,match(IFNA(vlookup(B4613,'Special Names'!A:B,2,FALSE),B4613),PlayerValues!E:E,0)),"N/A")</f>
        <v>17075</v>
      </c>
      <c r="B4613" s="4" t="s">
        <v>429</v>
      </c>
      <c r="C4613" s="4" t="s">
        <v>287</v>
      </c>
      <c r="D4613" s="94">
        <v>3608.0</v>
      </c>
    </row>
    <row r="4614">
      <c r="A4614" s="40">
        <f t="array" ref="A4614">IFNA(index(PlayerValues!A:A,match(IFNA(vlookup(B4614,'Special Names'!A:B,2,FALSE),B4614),PlayerValues!E:E,0)),"N/A")</f>
        <v>15757</v>
      </c>
      <c r="B4614" s="4" t="s">
        <v>449</v>
      </c>
      <c r="C4614" s="4" t="s">
        <v>287</v>
      </c>
      <c r="D4614" s="94">
        <v>3606.0</v>
      </c>
    </row>
    <row r="4615">
      <c r="A4615" s="40">
        <f t="array" ref="A4615">IFNA(index(PlayerValues!A:A,match(IFNA(vlookup(B4615,'Special Names'!A:B,2,FALSE),B4615),PlayerValues!E:E,0)),"N/A")</f>
        <v>14842</v>
      </c>
      <c r="B4615" s="4" t="s">
        <v>456</v>
      </c>
      <c r="C4615" s="4" t="s">
        <v>287</v>
      </c>
      <c r="D4615" s="94">
        <v>3597.0</v>
      </c>
    </row>
    <row r="4616">
      <c r="A4616" s="40">
        <f t="array" ref="A4616">IFNA(index(PlayerValues!A:A,match(IFNA(vlookup(B4616,'Special Names'!A:B,2,FALSE),B4616),PlayerValues!E:E,0)),"N/A")</f>
        <v>16213</v>
      </c>
      <c r="B4616" s="4" t="s">
        <v>458</v>
      </c>
      <c r="C4616" s="4" t="s">
        <v>298</v>
      </c>
      <c r="D4616" s="94">
        <v>4039.0</v>
      </c>
    </row>
    <row r="4617">
      <c r="A4617" s="40">
        <f t="array" ref="A4617">IFNA(index(PlayerValues!A:A,match(IFNA(vlookup(B4617,'Special Names'!A:B,2,FALSE),B4617),PlayerValues!E:E,0)),"N/A")</f>
        <v>16583</v>
      </c>
      <c r="B4617" s="4" t="s">
        <v>493</v>
      </c>
      <c r="C4617" s="4" t="s">
        <v>283</v>
      </c>
      <c r="D4617" s="94">
        <v>3561.0</v>
      </c>
    </row>
    <row r="4618">
      <c r="A4618" s="40">
        <f t="array" ref="A4618">IFNA(index(PlayerValues!A:A,match(IFNA(vlookup(B4618,'Special Names'!A:B,2,FALSE),B4618),PlayerValues!E:E,0)),"N/A")</f>
        <v>16169</v>
      </c>
      <c r="B4618" s="4" t="s">
        <v>457</v>
      </c>
      <c r="C4618" s="4" t="s">
        <v>278</v>
      </c>
      <c r="D4618" s="94">
        <v>3545.0</v>
      </c>
    </row>
    <row r="4619">
      <c r="A4619" s="40">
        <f t="array" ref="A4619">IFNA(index(PlayerValues!A:A,match(IFNA(vlookup(B4619,'Special Names'!A:B,2,FALSE),B4619),PlayerValues!E:E,0)),"N/A")</f>
        <v>16188</v>
      </c>
      <c r="B4619" s="4" t="s">
        <v>439</v>
      </c>
      <c r="C4619" s="4" t="s">
        <v>287</v>
      </c>
      <c r="D4619" s="94">
        <v>3534.0</v>
      </c>
    </row>
    <row r="4620">
      <c r="A4620" s="40">
        <f t="array" ref="A4620">IFNA(index(PlayerValues!A:A,match(IFNA(vlookup(B4620,'Special Names'!A:B,2,FALSE),B4620),PlayerValues!E:E,0)),"N/A")</f>
        <v>16584</v>
      </c>
      <c r="B4620" s="4" t="s">
        <v>569</v>
      </c>
      <c r="C4620" s="4" t="s">
        <v>283</v>
      </c>
      <c r="D4620" s="94">
        <v>3509.0</v>
      </c>
    </row>
    <row r="4621">
      <c r="A4621" s="40">
        <f t="array" ref="A4621">IFNA(index(PlayerValues!A:A,match(IFNA(vlookup(B4621,'Special Names'!A:B,2,FALSE),B4621),PlayerValues!E:E,0)),"N/A")</f>
        <v>16593</v>
      </c>
      <c r="B4621" s="4" t="s">
        <v>442</v>
      </c>
      <c r="C4621" s="4" t="s">
        <v>278</v>
      </c>
      <c r="D4621" s="94">
        <v>3499.0</v>
      </c>
    </row>
    <row r="4622">
      <c r="A4622" s="40">
        <f t="array" ref="A4622">IFNA(index(PlayerValues!A:A,match(IFNA(vlookup(B4622,'Special Names'!A:B,2,FALSE),B4622),PlayerValues!E:E,0)),"N/A")</f>
        <v>15694</v>
      </c>
      <c r="B4622" s="4" t="s">
        <v>434</v>
      </c>
      <c r="C4622" s="4" t="s">
        <v>283</v>
      </c>
      <c r="D4622" s="94">
        <v>3492.0</v>
      </c>
    </row>
    <row r="4623">
      <c r="A4623" s="40">
        <f t="array" ref="A4623">IFNA(index(PlayerValues!A:A,match(IFNA(vlookup(B4623,'Special Names'!A:B,2,FALSE),B4623),PlayerValues!E:E,0)),"N/A")</f>
        <v>17052</v>
      </c>
      <c r="B4623" s="4" t="s">
        <v>417</v>
      </c>
      <c r="C4623" s="4" t="s">
        <v>278</v>
      </c>
      <c r="D4623" s="94">
        <v>3491.0</v>
      </c>
    </row>
    <row r="4624">
      <c r="A4624" s="40">
        <f t="array" ref="A4624">IFNA(index(PlayerValues!A:A,match(IFNA(vlookup(B4624,'Special Names'!A:B,2,FALSE),B4624),PlayerValues!E:E,0)),"N/A")</f>
        <v>16620</v>
      </c>
      <c r="B4624" s="4" t="s">
        <v>467</v>
      </c>
      <c r="C4624" s="4" t="s">
        <v>287</v>
      </c>
      <c r="D4624" s="94">
        <v>3483.0</v>
      </c>
    </row>
    <row r="4625">
      <c r="A4625" s="40">
        <f t="array" ref="A4625">IFNA(index(PlayerValues!A:A,match(IFNA(vlookup(B4625,'Special Names'!A:B,2,FALSE),B4625),PlayerValues!E:E,0)),"N/A")</f>
        <v>15742</v>
      </c>
      <c r="B4625" s="4" t="s">
        <v>447</v>
      </c>
      <c r="C4625" s="4" t="s">
        <v>278</v>
      </c>
      <c r="D4625" s="94">
        <v>3481.0</v>
      </c>
    </row>
    <row r="4626">
      <c r="A4626" s="40" t="str">
        <f t="array" ref="A4626">IFNA(index(PlayerValues!A:A,match(IFNA(vlookup(B4626,'Special Names'!A:B,2,FALSE),B4626),PlayerValues!E:E,0)),"N/A")</f>
        <v>N/A</v>
      </c>
      <c r="B4626" s="4" t="s">
        <v>82</v>
      </c>
      <c r="C4626" s="4" t="s">
        <v>325</v>
      </c>
      <c r="D4626" s="94">
        <v>3478.0</v>
      </c>
    </row>
    <row r="4627">
      <c r="A4627" s="40">
        <f t="array" ref="A4627">IFNA(index(PlayerValues!A:A,match(IFNA(vlookup(B4627,'Special Names'!A:B,2,FALSE),B4627),PlayerValues!E:E,0)),"N/A")</f>
        <v>14127</v>
      </c>
      <c r="B4627" s="4" t="s">
        <v>486</v>
      </c>
      <c r="C4627" s="4" t="s">
        <v>287</v>
      </c>
      <c r="D4627" s="94">
        <v>3443.0</v>
      </c>
    </row>
    <row r="4628">
      <c r="A4628" s="40">
        <f t="array" ref="A4628">IFNA(index(PlayerValues!A:A,match(IFNA(vlookup(B4628,'Special Names'!A:B,2,FALSE),B4628),PlayerValues!E:E,0)),"N/A")</f>
        <v>13299</v>
      </c>
      <c r="B4628" s="4" t="s">
        <v>448</v>
      </c>
      <c r="C4628" s="4" t="s">
        <v>298</v>
      </c>
      <c r="D4628" s="94">
        <v>3888.0</v>
      </c>
    </row>
    <row r="4629">
      <c r="A4629" s="40" t="str">
        <f t="array" ref="A4629">IFNA(index(PlayerValues!A:A,match(IFNA(vlookup(B4629,'Special Names'!A:B,2,FALSE),B4629),PlayerValues!E:E,0)),"N/A")</f>
        <v>N/A</v>
      </c>
      <c r="B4629" s="4" t="s">
        <v>96</v>
      </c>
      <c r="C4629" s="4" t="s">
        <v>325</v>
      </c>
      <c r="D4629" s="94">
        <v>3405.0</v>
      </c>
    </row>
    <row r="4630">
      <c r="A4630" s="40">
        <f t="array" ref="A4630">IFNA(index(PlayerValues!A:A,match(IFNA(vlookup(B4630,'Special Names'!A:B,2,FALSE),B4630),PlayerValues!E:E,0)),"N/A")</f>
        <v>15799</v>
      </c>
      <c r="B4630" s="4" t="s">
        <v>468</v>
      </c>
      <c r="C4630" s="4" t="s">
        <v>298</v>
      </c>
      <c r="D4630" s="94">
        <v>3845.0</v>
      </c>
    </row>
    <row r="4631">
      <c r="A4631" s="40">
        <f t="array" ref="A4631">IFNA(index(PlayerValues!A:A,match(IFNA(vlookup(B4631,'Special Names'!A:B,2,FALSE),B4631),PlayerValues!E:E,0)),"N/A")</f>
        <v>14109</v>
      </c>
      <c r="B4631" s="4" t="s">
        <v>437</v>
      </c>
      <c r="C4631" s="4" t="s">
        <v>287</v>
      </c>
      <c r="D4631" s="94">
        <v>3390.0</v>
      </c>
    </row>
    <row r="4632">
      <c r="A4632" s="40">
        <f t="array" ref="A4632">IFNA(index(PlayerValues!A:A,match(IFNA(vlookup(B4632,'Special Names'!A:B,2,FALSE),B4632),PlayerValues!E:E,0)),"N/A")</f>
        <v>13630</v>
      </c>
      <c r="B4632" s="4" t="s">
        <v>465</v>
      </c>
      <c r="C4632" s="4" t="s">
        <v>287</v>
      </c>
      <c r="D4632" s="94">
        <v>3364.0</v>
      </c>
    </row>
    <row r="4633">
      <c r="A4633" s="40">
        <f t="array" ref="A4633">IFNA(index(PlayerValues!A:A,match(IFNA(vlookup(B4633,'Special Names'!A:B,2,FALSE),B4633),PlayerValues!E:E,0)),"N/A")</f>
        <v>16594</v>
      </c>
      <c r="B4633" s="4" t="s">
        <v>607</v>
      </c>
      <c r="C4633" s="4" t="s">
        <v>278</v>
      </c>
      <c r="D4633" s="94">
        <v>3354.0</v>
      </c>
    </row>
    <row r="4634">
      <c r="A4634" s="40">
        <f t="array" ref="A4634">IFNA(index(PlayerValues!A:A,match(IFNA(vlookup(B4634,'Special Names'!A:B,2,FALSE),B4634),PlayerValues!E:E,0)),"N/A")</f>
        <v>15712</v>
      </c>
      <c r="B4634" s="4" t="s">
        <v>488</v>
      </c>
      <c r="C4634" s="4" t="s">
        <v>278</v>
      </c>
      <c r="D4634" s="94">
        <v>3348.0</v>
      </c>
    </row>
    <row r="4635">
      <c r="A4635" s="40">
        <f t="array" ref="A4635">IFNA(index(PlayerValues!A:A,match(IFNA(vlookup(B4635,'Special Names'!A:B,2,FALSE),B4635),PlayerValues!E:E,0)),"N/A")</f>
        <v>17053</v>
      </c>
      <c r="B4635" s="4" t="s">
        <v>484</v>
      </c>
      <c r="C4635" s="4" t="s">
        <v>278</v>
      </c>
      <c r="D4635" s="94">
        <v>3311.0</v>
      </c>
    </row>
    <row r="4636">
      <c r="A4636" s="40">
        <f t="array" ref="A4636">IFNA(index(PlayerValues!A:A,match(IFNA(vlookup(B4636,'Special Names'!A:B,2,FALSE),B4636),PlayerValues!E:E,0)),"N/A")</f>
        <v>16184</v>
      </c>
      <c r="B4636" s="4" t="s">
        <v>445</v>
      </c>
      <c r="C4636" s="4" t="s">
        <v>287</v>
      </c>
      <c r="D4636" s="94">
        <v>3309.0</v>
      </c>
    </row>
    <row r="4637">
      <c r="A4637" s="40">
        <f t="array" ref="A4637">IFNA(index(PlayerValues!A:A,match(IFNA(vlookup(B4637,'Special Names'!A:B,2,FALSE),B4637),PlayerValues!E:E,0)),"N/A")</f>
        <v>17473</v>
      </c>
      <c r="B4637" s="4" t="s">
        <v>391</v>
      </c>
      <c r="C4637" s="4" t="s">
        <v>278</v>
      </c>
      <c r="D4637" s="94">
        <v>3286.0</v>
      </c>
    </row>
    <row r="4638">
      <c r="A4638" s="40">
        <f t="array" ref="A4638">IFNA(index(PlayerValues!A:A,match(IFNA(vlookup(B4638,'Special Names'!A:B,2,FALSE),B4638),PlayerValues!E:E,0)),"N/A")</f>
        <v>16809</v>
      </c>
      <c r="B4638" s="4" t="s">
        <v>455</v>
      </c>
      <c r="C4638" s="4" t="s">
        <v>287</v>
      </c>
      <c r="D4638" s="94">
        <v>3277.0</v>
      </c>
    </row>
    <row r="4639">
      <c r="A4639" s="40">
        <f t="array" ref="A4639">IFNA(index(PlayerValues!A:A,match(IFNA(vlookup(B4639,'Special Names'!A:B,2,FALSE),B4639),PlayerValues!E:E,0)),"N/A")</f>
        <v>13635</v>
      </c>
      <c r="B4639" s="4" t="s">
        <v>424</v>
      </c>
      <c r="C4639" s="4" t="s">
        <v>287</v>
      </c>
      <c r="D4639" s="94">
        <v>3273.0</v>
      </c>
    </row>
    <row r="4640">
      <c r="A4640" s="40">
        <f t="array" ref="A4640">IFNA(index(PlayerValues!A:A,match(IFNA(vlookup(B4640,'Special Names'!A:B,2,FALSE),B4640),PlayerValues!E:E,0)),"N/A")</f>
        <v>16269</v>
      </c>
      <c r="B4640" s="4" t="s">
        <v>481</v>
      </c>
      <c r="C4640" s="4" t="s">
        <v>298</v>
      </c>
      <c r="D4640" s="94">
        <v>3717.0</v>
      </c>
    </row>
    <row r="4641">
      <c r="A4641" s="40">
        <f t="array" ref="A4641">IFNA(index(PlayerValues!A:A,match(IFNA(vlookup(B4641,'Special Names'!A:B,2,FALSE),B4641),PlayerValues!E:E,0)),"N/A")</f>
        <v>17477</v>
      </c>
      <c r="B4641" s="4" t="s">
        <v>452</v>
      </c>
      <c r="C4641" s="4" t="s">
        <v>278</v>
      </c>
      <c r="D4641" s="94">
        <v>3239.0</v>
      </c>
    </row>
    <row r="4642">
      <c r="A4642" s="40">
        <f t="array" ref="A4642">IFNA(index(PlayerValues!A:A,match(IFNA(vlookup(B4642,'Special Names'!A:B,2,FALSE),B4642),PlayerValues!E:E,0)),"N/A")</f>
        <v>17502</v>
      </c>
      <c r="B4642" s="4" t="s">
        <v>451</v>
      </c>
      <c r="C4642" s="4" t="s">
        <v>287</v>
      </c>
      <c r="D4642" s="94">
        <v>3210.0</v>
      </c>
    </row>
    <row r="4643">
      <c r="A4643" s="40">
        <f t="array" ref="A4643">IFNA(index(PlayerValues!A:A,match(IFNA(vlookup(B4643,'Special Names'!A:B,2,FALSE),B4643),PlayerValues!E:E,0)),"N/A")</f>
        <v>16187</v>
      </c>
      <c r="B4643" s="4" t="s">
        <v>441</v>
      </c>
      <c r="C4643" s="4" t="s">
        <v>287</v>
      </c>
      <c r="D4643" s="94">
        <v>3158.0</v>
      </c>
    </row>
    <row r="4644">
      <c r="A4644" s="40">
        <f t="array" ref="A4644">IFNA(index(PlayerValues!A:A,match(IFNA(vlookup(B4644,'Special Names'!A:B,2,FALSE),B4644),PlayerValues!E:E,0)),"N/A")</f>
        <v>14823</v>
      </c>
      <c r="B4644" s="4" t="s">
        <v>459</v>
      </c>
      <c r="C4644" s="4" t="s">
        <v>278</v>
      </c>
      <c r="D4644" s="94">
        <v>3132.0</v>
      </c>
    </row>
    <row r="4645">
      <c r="A4645" s="40">
        <f t="array" ref="A4645">IFNA(index(PlayerValues!A:A,match(IFNA(vlookup(B4645,'Special Names'!A:B,2,FALSE),B4645),PlayerValues!E:E,0)),"N/A")</f>
        <v>15761</v>
      </c>
      <c r="B4645" s="4" t="s">
        <v>491</v>
      </c>
      <c r="C4645" s="4" t="s">
        <v>287</v>
      </c>
      <c r="D4645" s="94">
        <v>3101.0</v>
      </c>
    </row>
    <row r="4646">
      <c r="A4646" s="40">
        <f t="array" ref="A4646">IFNA(index(PlayerValues!A:A,match(IFNA(vlookup(B4646,'Special Names'!A:B,2,FALSE),B4646),PlayerValues!E:E,0)),"N/A")</f>
        <v>15798</v>
      </c>
      <c r="B4646" s="4" t="s">
        <v>443</v>
      </c>
      <c r="C4646" s="4" t="s">
        <v>298</v>
      </c>
      <c r="D4646" s="94">
        <v>3528.0</v>
      </c>
    </row>
    <row r="4647">
      <c r="A4647" s="40">
        <f t="array" ref="A4647">IFNA(index(PlayerValues!A:A,match(IFNA(vlookup(B4647,'Special Names'!A:B,2,FALSE),B4647),PlayerValues!E:E,0)),"N/A")</f>
        <v>15261</v>
      </c>
      <c r="B4647" s="4" t="s">
        <v>466</v>
      </c>
      <c r="C4647" s="4" t="s">
        <v>278</v>
      </c>
      <c r="D4647" s="94">
        <v>3090.0</v>
      </c>
    </row>
    <row r="4648">
      <c r="A4648" s="40" t="str">
        <f t="array" ref="A4648">IFNA(index(PlayerValues!A:A,match(IFNA(vlookup(B4648,'Special Names'!A:B,2,FALSE),B4648),PlayerValues!E:E,0)),"N/A")</f>
        <v>N/A</v>
      </c>
      <c r="B4648" s="4" t="s">
        <v>108</v>
      </c>
      <c r="C4648" s="4" t="s">
        <v>325</v>
      </c>
      <c r="D4648" s="94">
        <v>3071.0</v>
      </c>
    </row>
    <row r="4649">
      <c r="A4649" s="40" t="str">
        <f t="array" ref="A4649">IFNA(index(PlayerValues!A:A,match(IFNA(vlookup(B4649,'Special Names'!A:B,2,FALSE),B4649),PlayerValues!E:E,0)),"N/A")</f>
        <v>N/A</v>
      </c>
      <c r="B4649" s="4" t="s">
        <v>97</v>
      </c>
      <c r="C4649" s="4" t="s">
        <v>325</v>
      </c>
      <c r="D4649" s="94">
        <v>3045.0</v>
      </c>
    </row>
    <row r="4650">
      <c r="A4650" s="40">
        <f t="array" ref="A4650">IFNA(index(PlayerValues!A:A,match(IFNA(vlookup(B4650,'Special Names'!A:B,2,FALSE),B4650),PlayerValues!E:E,0)),"N/A")</f>
        <v>16619</v>
      </c>
      <c r="B4650" s="4" t="s">
        <v>538</v>
      </c>
      <c r="C4650" s="4" t="s">
        <v>287</v>
      </c>
      <c r="D4650" s="94">
        <v>3043.0</v>
      </c>
    </row>
    <row r="4651">
      <c r="A4651" s="40" t="str">
        <f t="array" ref="A4651">IFNA(index(PlayerValues!A:A,match(IFNA(vlookup(B4651,'Special Names'!A:B,2,FALSE),B4651),PlayerValues!E:E,0)),"N/A")</f>
        <v>N/A</v>
      </c>
      <c r="B4651" s="4" t="s">
        <v>84</v>
      </c>
      <c r="C4651" s="4" t="s">
        <v>325</v>
      </c>
      <c r="D4651" s="94">
        <v>3039.0</v>
      </c>
    </row>
    <row r="4652">
      <c r="A4652" s="40">
        <f t="array" ref="A4652">IFNA(index(PlayerValues!A:A,match(IFNA(vlookup(B4652,'Special Names'!A:B,2,FALSE),B4652),PlayerValues!E:E,0)),"N/A")</f>
        <v>15259</v>
      </c>
      <c r="B4652" s="4" t="s">
        <v>453</v>
      </c>
      <c r="C4652" s="4" t="s">
        <v>278</v>
      </c>
      <c r="D4652" s="94">
        <v>3023.0</v>
      </c>
    </row>
    <row r="4653">
      <c r="A4653" s="40">
        <f t="array" ref="A4653">IFNA(index(PlayerValues!A:A,match(IFNA(vlookup(B4653,'Special Names'!A:B,2,FALSE),B4653),PlayerValues!E:E,0)),"N/A")</f>
        <v>17082</v>
      </c>
      <c r="B4653" s="4" t="s">
        <v>498</v>
      </c>
      <c r="C4653" s="4" t="s">
        <v>287</v>
      </c>
      <c r="D4653" s="94">
        <v>3009.0</v>
      </c>
    </row>
    <row r="4654">
      <c r="A4654" s="40">
        <f t="array" ref="A4654">IFNA(index(PlayerValues!A:A,match(IFNA(vlookup(B4654,'Special Names'!A:B,2,FALSE),B4654),PlayerValues!E:E,0)),"N/A")</f>
        <v>15779</v>
      </c>
      <c r="B4654" s="4" t="s">
        <v>461</v>
      </c>
      <c r="C4654" s="4" t="s">
        <v>287</v>
      </c>
      <c r="D4654" s="94">
        <v>2988.0</v>
      </c>
    </row>
    <row r="4655">
      <c r="A4655" s="40">
        <f t="array" ref="A4655">IFNA(index(PlayerValues!A:A,match(IFNA(vlookup(B4655,'Special Names'!A:B,2,FALSE),B4655),PlayerValues!E:E,0)),"N/A")</f>
        <v>16193</v>
      </c>
      <c r="B4655" s="4" t="s">
        <v>487</v>
      </c>
      <c r="C4655" s="4" t="s">
        <v>287</v>
      </c>
      <c r="D4655" s="94">
        <v>2966.0</v>
      </c>
    </row>
    <row r="4656">
      <c r="A4656" s="40">
        <f t="array" ref="A4656">IFNA(index(PlayerValues!A:A,match(IFNA(vlookup(B4656,'Special Names'!A:B,2,FALSE),B4656),PlayerValues!E:E,0)),"N/A")</f>
        <v>15241</v>
      </c>
      <c r="B4656" s="4" t="s">
        <v>546</v>
      </c>
      <c r="C4656" s="4" t="s">
        <v>283</v>
      </c>
      <c r="D4656" s="94">
        <v>2931.0</v>
      </c>
    </row>
    <row r="4657">
      <c r="A4657" s="40">
        <f t="array" ref="A4657">IFNA(index(PlayerValues!A:A,match(IFNA(vlookup(B4657,'Special Names'!A:B,2,FALSE),B4657),PlayerValues!E:E,0)),"N/A")</f>
        <v>17106</v>
      </c>
      <c r="B4657" s="4" t="s">
        <v>550</v>
      </c>
      <c r="C4657" s="4" t="s">
        <v>298</v>
      </c>
      <c r="D4657" s="94">
        <v>3348.0</v>
      </c>
    </row>
    <row r="4658">
      <c r="A4658" s="40">
        <f t="array" ref="A4658">IFNA(index(PlayerValues!A:A,match(IFNA(vlookup(B4658,'Special Names'!A:B,2,FALSE),B4658),PlayerValues!E:E,0)),"N/A")</f>
        <v>16723</v>
      </c>
      <c r="B4658" s="4" t="s">
        <v>502</v>
      </c>
      <c r="C4658" s="4" t="s">
        <v>298</v>
      </c>
      <c r="D4658" s="94">
        <v>3338.0</v>
      </c>
    </row>
    <row r="4659">
      <c r="A4659" s="40">
        <f t="array" ref="A4659">IFNA(index(PlayerValues!A:A,match(IFNA(vlookup(B4659,'Special Names'!A:B,2,FALSE),B4659),PlayerValues!E:E,0)),"N/A")</f>
        <v>17256</v>
      </c>
      <c r="B4659" s="4" t="s">
        <v>462</v>
      </c>
      <c r="C4659" s="4" t="s">
        <v>278</v>
      </c>
      <c r="D4659" s="94">
        <v>2915.0</v>
      </c>
    </row>
    <row r="4660">
      <c r="A4660" s="40">
        <f t="array" ref="A4660">IFNA(index(PlayerValues!A:A,match(IFNA(vlookup(B4660,'Special Names'!A:B,2,FALSE),B4660),PlayerValues!E:E,0)),"N/A")</f>
        <v>14860</v>
      </c>
      <c r="B4660" s="4" t="s">
        <v>554</v>
      </c>
      <c r="C4660" s="4" t="s">
        <v>287</v>
      </c>
      <c r="D4660" s="94">
        <v>2910.0</v>
      </c>
    </row>
    <row r="4661">
      <c r="A4661" s="40">
        <f t="array" ref="A4661">IFNA(index(PlayerValues!A:A,match(IFNA(vlookup(B4661,'Special Names'!A:B,2,FALSE),B4661),PlayerValues!E:E,0)),"N/A")</f>
        <v>17107</v>
      </c>
      <c r="B4661" s="4" t="s">
        <v>478</v>
      </c>
      <c r="C4661" s="4" t="s">
        <v>298</v>
      </c>
      <c r="D4661" s="94">
        <v>3324.0</v>
      </c>
    </row>
    <row r="4662">
      <c r="A4662" s="40">
        <f t="array" ref="A4662">IFNA(index(PlayerValues!A:A,match(IFNA(vlookup(B4662,'Special Names'!A:B,2,FALSE),B4662),PlayerValues!E:E,0)),"N/A")</f>
        <v>11671</v>
      </c>
      <c r="B4662" s="4" t="s">
        <v>463</v>
      </c>
      <c r="C4662" s="4" t="s">
        <v>287</v>
      </c>
      <c r="D4662" s="94">
        <v>2902.0</v>
      </c>
    </row>
    <row r="4663">
      <c r="A4663" s="40">
        <f t="array" ref="A4663">IFNA(index(PlayerValues!A:A,match(IFNA(vlookup(B4663,'Special Names'!A:B,2,FALSE),B4663),PlayerValues!E:E,0)),"N/A")</f>
        <v>17463</v>
      </c>
      <c r="B4663" s="4" t="s">
        <v>433</v>
      </c>
      <c r="C4663" s="4" t="s">
        <v>283</v>
      </c>
      <c r="D4663" s="94">
        <v>2884.0</v>
      </c>
    </row>
    <row r="4664">
      <c r="A4664" s="40">
        <f t="array" ref="A4664">IFNA(index(PlayerValues!A:A,match(IFNA(vlookup(B4664,'Special Names'!A:B,2,FALSE),B4664),PlayerValues!E:E,0)),"N/A")</f>
        <v>16080</v>
      </c>
      <c r="B4664" s="4" t="s">
        <v>499</v>
      </c>
      <c r="C4664" s="4" t="s">
        <v>287</v>
      </c>
      <c r="D4664" s="94">
        <v>2876.0</v>
      </c>
    </row>
    <row r="4665">
      <c r="A4665" s="40">
        <f t="array" ref="A4665">IFNA(index(PlayerValues!A:A,match(IFNA(vlookup(B4665,'Special Names'!A:B,2,FALSE),B4665),PlayerValues!E:E,0)),"N/A")</f>
        <v>16628</v>
      </c>
      <c r="B4665" s="4" t="s">
        <v>490</v>
      </c>
      <c r="C4665" s="4" t="s">
        <v>287</v>
      </c>
      <c r="D4665" s="94">
        <v>2849.0</v>
      </c>
    </row>
    <row r="4666">
      <c r="A4666" s="40">
        <f t="array" ref="A4666">IFNA(index(PlayerValues!A:A,match(IFNA(vlookup(B4666,'Special Names'!A:B,2,FALSE),B4666),PlayerValues!E:E,0)),"N/A")</f>
        <v>17031</v>
      </c>
      <c r="B4666" s="4" t="s">
        <v>535</v>
      </c>
      <c r="C4666" s="4" t="s">
        <v>283</v>
      </c>
      <c r="D4666" s="94">
        <v>2842.0</v>
      </c>
    </row>
    <row r="4667">
      <c r="A4667" s="40">
        <f t="array" ref="A4667">IFNA(index(PlayerValues!A:A,match(IFNA(vlookup(B4667,'Special Names'!A:B,2,FALSE),B4667),PlayerValues!E:E,0)),"N/A")</f>
        <v>17073</v>
      </c>
      <c r="B4667" s="4" t="s">
        <v>547</v>
      </c>
      <c r="C4667" s="4" t="s">
        <v>287</v>
      </c>
      <c r="D4667" s="94">
        <v>2838.0</v>
      </c>
    </row>
    <row r="4668">
      <c r="A4668" s="40">
        <f t="array" ref="A4668">IFNA(index(PlayerValues!A:A,match(IFNA(vlookup(B4668,'Special Names'!A:B,2,FALSE),B4668),PlayerValues!E:E,0)),"N/A")</f>
        <v>17072</v>
      </c>
      <c r="B4668" s="4" t="s">
        <v>508</v>
      </c>
      <c r="C4668" s="4" t="s">
        <v>287</v>
      </c>
      <c r="D4668" s="94">
        <v>2837.0</v>
      </c>
    </row>
    <row r="4669">
      <c r="A4669" s="40">
        <f t="array" ref="A4669">IFNA(index(PlayerValues!A:A,match(IFNA(vlookup(B4669,'Special Names'!A:B,2,FALSE),B4669),PlayerValues!E:E,0)),"N/A")</f>
        <v>17157</v>
      </c>
      <c r="B4669" s="4" t="s">
        <v>524</v>
      </c>
      <c r="C4669" s="4" t="s">
        <v>287</v>
      </c>
      <c r="D4669" s="94">
        <v>2837.0</v>
      </c>
    </row>
    <row r="4670">
      <c r="A4670" s="40">
        <f t="array" ref="A4670">IFNA(index(PlayerValues!A:A,match(IFNA(vlookup(B4670,'Special Names'!A:B,2,FALSE),B4670),PlayerValues!E:E,0)),"N/A")</f>
        <v>17171</v>
      </c>
      <c r="B4670" s="4" t="s">
        <v>561</v>
      </c>
      <c r="C4670" s="4" t="s">
        <v>287</v>
      </c>
      <c r="D4670" s="94">
        <v>2836.0</v>
      </c>
    </row>
    <row r="4671">
      <c r="A4671" s="40" t="str">
        <f t="array" ref="A4671">IFNA(index(PlayerValues!A:A,match(IFNA(vlookup(B4671,'Special Names'!A:B,2,FALSE),B4671),PlayerValues!E:E,0)),"N/A")</f>
        <v>N/A</v>
      </c>
      <c r="B4671" s="4" t="s">
        <v>109</v>
      </c>
      <c r="C4671" s="4" t="s">
        <v>325</v>
      </c>
      <c r="D4671" s="94">
        <v>2833.0</v>
      </c>
    </row>
    <row r="4672">
      <c r="A4672" s="40">
        <f t="array" ref="A4672">IFNA(index(PlayerValues!A:A,match(IFNA(vlookup(B4672,'Special Names'!A:B,2,FALSE),B4672),PlayerValues!E:E,0)),"N/A")</f>
        <v>16596</v>
      </c>
      <c r="B4672" s="4" t="s">
        <v>501</v>
      </c>
      <c r="C4672" s="4" t="s">
        <v>278</v>
      </c>
      <c r="D4672" s="94">
        <v>2827.0</v>
      </c>
    </row>
    <row r="4673">
      <c r="A4673" s="40">
        <f t="array" ref="A4673">IFNA(index(PlayerValues!A:A,match(IFNA(vlookup(B4673,'Special Names'!A:B,2,FALSE),B4673),PlayerValues!E:E,0)),"N/A")</f>
        <v>14071</v>
      </c>
      <c r="B4673" s="4" t="s">
        <v>440</v>
      </c>
      <c r="C4673" s="4" t="s">
        <v>278</v>
      </c>
      <c r="D4673" s="94">
        <v>2825.0</v>
      </c>
    </row>
    <row r="4674">
      <c r="A4674" s="40">
        <f t="array" ref="A4674">IFNA(index(PlayerValues!A:A,match(IFNA(vlookup(B4674,'Special Names'!A:B,2,FALSE),B4674),PlayerValues!E:E,0)),"N/A")</f>
        <v>16165</v>
      </c>
      <c r="B4674" s="4" t="s">
        <v>520</v>
      </c>
      <c r="C4674" s="4" t="s">
        <v>278</v>
      </c>
      <c r="D4674" s="94">
        <v>2811.0</v>
      </c>
    </row>
    <row r="4675">
      <c r="A4675" s="40">
        <f t="array" ref="A4675">IFNA(index(PlayerValues!A:A,match(IFNA(vlookup(B4675,'Special Names'!A:B,2,FALSE),B4675),PlayerValues!E:E,0)),"N/A")</f>
        <v>16649</v>
      </c>
      <c r="B4675" s="4" t="s">
        <v>586</v>
      </c>
      <c r="C4675" s="4" t="s">
        <v>298</v>
      </c>
      <c r="D4675" s="94">
        <v>3215.0</v>
      </c>
    </row>
    <row r="4676">
      <c r="A4676" s="40">
        <f t="array" ref="A4676">IFNA(index(PlayerValues!A:A,match(IFNA(vlookup(B4676,'Special Names'!A:B,2,FALSE),B4676),PlayerValues!E:E,0)),"N/A")</f>
        <v>17080</v>
      </c>
      <c r="B4676" s="4" t="s">
        <v>532</v>
      </c>
      <c r="C4676" s="4" t="s">
        <v>287</v>
      </c>
      <c r="D4676" s="94">
        <v>2791.0</v>
      </c>
    </row>
    <row r="4677">
      <c r="A4677" s="40">
        <f t="array" ref="A4677">IFNA(index(PlayerValues!A:A,match(IFNA(vlookup(B4677,'Special Names'!A:B,2,FALSE),B4677),PlayerValues!E:E,0)),"N/A")</f>
        <v>14800</v>
      </c>
      <c r="B4677" s="4" t="s">
        <v>472</v>
      </c>
      <c r="C4677" s="4" t="s">
        <v>278</v>
      </c>
      <c r="D4677" s="94">
        <v>2788.0</v>
      </c>
    </row>
    <row r="4678">
      <c r="A4678" s="40">
        <f t="array" ref="A4678">IFNA(index(PlayerValues!A:A,match(IFNA(vlookup(B4678,'Special Names'!A:B,2,FALSE),B4678),PlayerValues!E:E,0)),"N/A")</f>
        <v>15255</v>
      </c>
      <c r="B4678" s="4" t="s">
        <v>477</v>
      </c>
      <c r="C4678" s="4" t="s">
        <v>278</v>
      </c>
      <c r="D4678" s="94">
        <v>2786.0</v>
      </c>
    </row>
    <row r="4679">
      <c r="A4679" s="40" t="str">
        <f t="array" ref="A4679">IFNA(index(PlayerValues!A:A,match(IFNA(vlookup(B4679,'Special Names'!A:B,2,FALSE),B4679),PlayerValues!E:E,0)),"N/A")</f>
        <v>N/A</v>
      </c>
      <c r="B4679" s="4" t="s">
        <v>85</v>
      </c>
      <c r="C4679" s="4" t="s">
        <v>325</v>
      </c>
      <c r="D4679" s="94">
        <v>2786.0</v>
      </c>
    </row>
    <row r="4680">
      <c r="A4680" s="40">
        <f t="array" ref="A4680">IFNA(index(PlayerValues!A:A,match(IFNA(vlookup(B4680,'Special Names'!A:B,2,FALSE),B4680),PlayerValues!E:E,0)),"N/A")</f>
        <v>13163</v>
      </c>
      <c r="B4680" s="4" t="s">
        <v>473</v>
      </c>
      <c r="C4680" s="4" t="s">
        <v>287</v>
      </c>
      <c r="D4680" s="94">
        <v>2785.0</v>
      </c>
    </row>
    <row r="4681">
      <c r="A4681" s="40">
        <f t="array" ref="A4681">IFNA(index(PlayerValues!A:A,match(IFNA(vlookup(B4681,'Special Names'!A:B,2,FALSE),B4681),PlayerValues!E:E,0)),"N/A")</f>
        <v>17098</v>
      </c>
      <c r="B4681" s="4" t="s">
        <v>533</v>
      </c>
      <c r="C4681" s="4" t="s">
        <v>287</v>
      </c>
      <c r="D4681" s="94">
        <v>2785.0</v>
      </c>
    </row>
    <row r="4682">
      <c r="A4682" s="40">
        <f t="array" ref="A4682">IFNA(index(PlayerValues!A:A,match(IFNA(vlookup(B4682,'Special Names'!A:B,2,FALSE),B4682),PlayerValues!E:E,0)),"N/A")</f>
        <v>16597</v>
      </c>
      <c r="B4682" s="4" t="s">
        <v>427</v>
      </c>
      <c r="C4682" s="4" t="s">
        <v>278</v>
      </c>
      <c r="D4682" s="94">
        <v>2784.0</v>
      </c>
    </row>
    <row r="4683">
      <c r="A4683" s="40">
        <f t="array" ref="A4683">IFNA(index(PlayerValues!A:A,match(IFNA(vlookup(B4683,'Special Names'!A:B,2,FALSE),B4683),PlayerValues!E:E,0)),"N/A")</f>
        <v>17134</v>
      </c>
      <c r="B4683" s="4" t="s">
        <v>548</v>
      </c>
      <c r="C4683" s="4" t="s">
        <v>287</v>
      </c>
      <c r="D4683" s="94">
        <v>2773.0</v>
      </c>
    </row>
    <row r="4684">
      <c r="A4684" s="40">
        <f t="array" ref="A4684">IFNA(index(PlayerValues!A:A,match(IFNA(vlookup(B4684,'Special Names'!A:B,2,FALSE),B4684),PlayerValues!E:E,0)),"N/A")</f>
        <v>17476</v>
      </c>
      <c r="B4684" s="4" t="s">
        <v>494</v>
      </c>
      <c r="C4684" s="4" t="s">
        <v>278</v>
      </c>
      <c r="D4684" s="94">
        <v>2758.0</v>
      </c>
    </row>
    <row r="4685">
      <c r="A4685" s="40">
        <f t="array" ref="A4685">IFNA(index(PlayerValues!A:A,match(IFNA(vlookup(B4685,'Special Names'!A:B,2,FALSE),B4685),PlayerValues!E:E,0)),"N/A")</f>
        <v>14138</v>
      </c>
      <c r="B4685" s="4" t="s">
        <v>531</v>
      </c>
      <c r="C4685" s="4" t="s">
        <v>298</v>
      </c>
      <c r="D4685" s="94">
        <v>3141.0</v>
      </c>
    </row>
    <row r="4686">
      <c r="A4686" s="40">
        <f t="array" ref="A4686">IFNA(index(PlayerValues!A:A,match(IFNA(vlookup(B4686,'Special Names'!A:B,2,FALSE),B4686),PlayerValues!E:E,0)),"N/A")</f>
        <v>16747</v>
      </c>
      <c r="B4686" s="4" t="s">
        <v>555</v>
      </c>
      <c r="C4686" s="4" t="s">
        <v>278</v>
      </c>
      <c r="D4686" s="94">
        <v>2713.0</v>
      </c>
    </row>
    <row r="4687">
      <c r="A4687" s="40">
        <f t="array" ref="A4687">IFNA(index(PlayerValues!A:A,match(IFNA(vlookup(B4687,'Special Names'!A:B,2,FALSE),B4687),PlayerValues!E:E,0)),"N/A")</f>
        <v>17048</v>
      </c>
      <c r="B4687" s="4" t="s">
        <v>539</v>
      </c>
      <c r="C4687" s="4" t="s">
        <v>278</v>
      </c>
      <c r="D4687" s="94">
        <v>2712.0</v>
      </c>
    </row>
    <row r="4688">
      <c r="A4688" s="40">
        <f t="array" ref="A4688">IFNA(index(PlayerValues!A:A,match(IFNA(vlookup(B4688,'Special Names'!A:B,2,FALSE),B4688),PlayerValues!E:E,0)),"N/A")</f>
        <v>16626</v>
      </c>
      <c r="B4688" s="4" t="s">
        <v>515</v>
      </c>
      <c r="C4688" s="4" t="s">
        <v>287</v>
      </c>
      <c r="D4688" s="94">
        <v>2709.0</v>
      </c>
    </row>
    <row r="4689">
      <c r="A4689" s="40">
        <f t="array" ref="A4689">IFNA(index(PlayerValues!A:A,match(IFNA(vlookup(B4689,'Special Names'!A:B,2,FALSE),B4689),PlayerValues!E:E,0)),"N/A")</f>
        <v>17047</v>
      </c>
      <c r="B4689" s="4" t="s">
        <v>510</v>
      </c>
      <c r="C4689" s="4" t="s">
        <v>278</v>
      </c>
      <c r="D4689" s="94">
        <v>2702.0</v>
      </c>
    </row>
    <row r="4690">
      <c r="A4690" s="40">
        <f t="array" ref="A4690">IFNA(index(PlayerValues!A:A,match(IFNA(vlookup(B4690,'Special Names'!A:B,2,FALSE),B4690),PlayerValues!E:E,0)),"N/A")</f>
        <v>14778</v>
      </c>
      <c r="B4690" s="4" t="s">
        <v>564</v>
      </c>
      <c r="C4690" s="4" t="s">
        <v>283</v>
      </c>
      <c r="D4690" s="94">
        <v>2698.0</v>
      </c>
    </row>
    <row r="4691">
      <c r="A4691" s="40">
        <f t="array" ref="A4691">IFNA(index(PlayerValues!A:A,match(IFNA(vlookup(B4691,'Special Names'!A:B,2,FALSE),B4691),PlayerValues!E:E,0)),"N/A")</f>
        <v>14085</v>
      </c>
      <c r="B4691" s="4" t="s">
        <v>489</v>
      </c>
      <c r="C4691" s="4" t="s">
        <v>278</v>
      </c>
      <c r="D4691" s="94">
        <v>2688.0</v>
      </c>
    </row>
    <row r="4692">
      <c r="A4692" s="40" t="str">
        <f t="array" ref="A4692">IFNA(index(PlayerValues!A:A,match(IFNA(vlookup(B4692,'Special Names'!A:B,2,FALSE),B4692),PlayerValues!E:E,0)),"N/A")</f>
        <v>N/A</v>
      </c>
      <c r="B4692" s="4" t="s">
        <v>110</v>
      </c>
      <c r="C4692" s="4" t="s">
        <v>325</v>
      </c>
      <c r="D4692" s="94">
        <v>2659.0</v>
      </c>
    </row>
    <row r="4693">
      <c r="A4693" s="40">
        <f t="array" ref="A4693">IFNA(index(PlayerValues!A:A,match(IFNA(vlookup(B4693,'Special Names'!A:B,2,FALSE),B4693),PlayerValues!E:E,0)),"N/A")</f>
        <v>12186</v>
      </c>
      <c r="B4693" s="4" t="s">
        <v>497</v>
      </c>
      <c r="C4693" s="4" t="s">
        <v>287</v>
      </c>
      <c r="D4693" s="94">
        <v>2655.0</v>
      </c>
    </row>
    <row r="4694">
      <c r="A4694" s="40">
        <f t="array" ref="A4694">IFNA(index(PlayerValues!A:A,match(IFNA(vlookup(B4694,'Special Names'!A:B,2,FALSE),B4694),PlayerValues!E:E,0)),"N/A")</f>
        <v>17046</v>
      </c>
      <c r="B4694" s="4" t="s">
        <v>602</v>
      </c>
      <c r="C4694" s="4" t="s">
        <v>278</v>
      </c>
      <c r="D4694" s="94">
        <v>2649.0</v>
      </c>
    </row>
    <row r="4695">
      <c r="A4695" s="40">
        <f t="array" ref="A4695">IFNA(index(PlayerValues!A:A,match(IFNA(vlookup(B4695,'Special Names'!A:B,2,FALSE),B4695),PlayerValues!E:E,0)),"N/A")</f>
        <v>14833</v>
      </c>
      <c r="B4695" s="4" t="s">
        <v>553</v>
      </c>
      <c r="C4695" s="4" t="s">
        <v>287</v>
      </c>
      <c r="D4695" s="94">
        <v>2647.0</v>
      </c>
    </row>
    <row r="4696">
      <c r="A4696" s="40">
        <f t="array" ref="A4696">IFNA(index(PlayerValues!A:A,match(IFNA(vlookup(B4696,'Special Names'!A:B,2,FALSE),B4696),PlayerValues!E:E,0)),"N/A")</f>
        <v>14840</v>
      </c>
      <c r="B4696" s="4" t="s">
        <v>731</v>
      </c>
      <c r="C4696" s="4" t="s">
        <v>287</v>
      </c>
      <c r="D4696" s="94">
        <v>2640.0</v>
      </c>
    </row>
    <row r="4697">
      <c r="A4697" s="40">
        <f t="array" ref="A4697">IFNA(index(PlayerValues!A:A,match(IFNA(vlookup(B4697,'Special Names'!A:B,2,FALSE),B4697),PlayerValues!E:E,0)),"N/A")</f>
        <v>15721</v>
      </c>
      <c r="B4697" s="4" t="s">
        <v>504</v>
      </c>
      <c r="C4697" s="4" t="s">
        <v>278</v>
      </c>
      <c r="D4697" s="94">
        <v>2636.0</v>
      </c>
    </row>
    <row r="4698">
      <c r="A4698" s="40">
        <f t="array" ref="A4698">IFNA(index(PlayerValues!A:A,match(IFNA(vlookup(B4698,'Special Names'!A:B,2,FALSE),B4698),PlayerValues!E:E,0)),"N/A")</f>
        <v>13192</v>
      </c>
      <c r="B4698" s="4" t="s">
        <v>563</v>
      </c>
      <c r="C4698" s="4" t="s">
        <v>298</v>
      </c>
      <c r="D4698" s="94">
        <v>3046.0</v>
      </c>
    </row>
    <row r="4699">
      <c r="A4699" s="40">
        <f t="array" ref="A4699">IFNA(index(PlayerValues!A:A,match(IFNA(vlookup(B4699,'Special Names'!A:B,2,FALSE),B4699),PlayerValues!E:E,0)),"N/A")</f>
        <v>17108</v>
      </c>
      <c r="B4699" s="4" t="s">
        <v>542</v>
      </c>
      <c r="C4699" s="4" t="s">
        <v>298</v>
      </c>
      <c r="D4699" s="94">
        <v>3042.0</v>
      </c>
    </row>
    <row r="4700">
      <c r="A4700" s="40">
        <f t="array" ref="A4700">IFNA(index(PlayerValues!A:A,match(IFNA(vlookup(B4700,'Special Names'!A:B,2,FALSE),B4700),PlayerValues!E:E,0)),"N/A")</f>
        <v>16757</v>
      </c>
      <c r="B4700" s="4" t="s">
        <v>558</v>
      </c>
      <c r="C4700" s="4" t="s">
        <v>278</v>
      </c>
      <c r="D4700" s="94">
        <v>2611.0</v>
      </c>
    </row>
    <row r="4701">
      <c r="A4701" s="40" t="str">
        <f t="array" ref="A4701">IFNA(index(PlayerValues!A:A,match(IFNA(vlookup(B4701,'Special Names'!A:B,2,FALSE),B4701),PlayerValues!E:E,0)),"N/A")</f>
        <v>N/A</v>
      </c>
      <c r="B4701" s="4" t="s">
        <v>557</v>
      </c>
      <c r="C4701" s="4" t="s">
        <v>278</v>
      </c>
      <c r="D4701" s="94">
        <v>2593.0</v>
      </c>
    </row>
    <row r="4702">
      <c r="A4702" s="40">
        <f t="array" ref="A4702">IFNA(index(PlayerValues!A:A,match(IFNA(vlookup(B4702,'Special Names'!A:B,2,FALSE),B4702),PlayerValues!E:E,0)),"N/A")</f>
        <v>16152</v>
      </c>
      <c r="B4702" s="4" t="s">
        <v>601</v>
      </c>
      <c r="C4702" s="4" t="s">
        <v>283</v>
      </c>
      <c r="D4702" s="94">
        <v>2585.0</v>
      </c>
    </row>
    <row r="4703">
      <c r="A4703" s="40">
        <f t="array" ref="A4703">IFNA(index(PlayerValues!A:A,match(IFNA(vlookup(B4703,'Special Names'!A:B,2,FALSE),B4703),PlayerValues!E:E,0)),"N/A")</f>
        <v>13674</v>
      </c>
      <c r="B4703" s="4" t="s">
        <v>511</v>
      </c>
      <c r="C4703" s="4" t="s">
        <v>298</v>
      </c>
      <c r="D4703" s="94">
        <v>2993.0</v>
      </c>
    </row>
    <row r="4704">
      <c r="A4704" s="40">
        <f t="array" ref="A4704">IFNA(index(PlayerValues!A:A,match(IFNA(vlookup(B4704,'Special Names'!A:B,2,FALSE),B4704),PlayerValues!E:E,0)),"N/A")</f>
        <v>17078</v>
      </c>
      <c r="B4704" s="4" t="s">
        <v>543</v>
      </c>
      <c r="C4704" s="4" t="s">
        <v>287</v>
      </c>
      <c r="D4704" s="94">
        <v>2566.0</v>
      </c>
    </row>
    <row r="4705">
      <c r="A4705" s="40">
        <f t="array" ref="A4705">IFNA(index(PlayerValues!A:A,match(IFNA(vlookup(B4705,'Special Names'!A:B,2,FALSE),B4705),PlayerValues!E:E,0)),"N/A")</f>
        <v>16166</v>
      </c>
      <c r="B4705" s="4" t="s">
        <v>567</v>
      </c>
      <c r="C4705" s="4" t="s">
        <v>278</v>
      </c>
      <c r="D4705" s="94">
        <v>2565.0</v>
      </c>
    </row>
    <row r="4706">
      <c r="A4706" s="40">
        <f t="array" ref="A4706">IFNA(index(PlayerValues!A:A,match(IFNA(vlookup(B4706,'Special Names'!A:B,2,FALSE),B4706),PlayerValues!E:E,0)),"N/A")</f>
        <v>13671</v>
      </c>
      <c r="B4706" s="4" t="s">
        <v>506</v>
      </c>
      <c r="C4706" s="4" t="s">
        <v>298</v>
      </c>
      <c r="D4706" s="94">
        <v>2968.0</v>
      </c>
    </row>
    <row r="4707">
      <c r="A4707" s="40">
        <f t="array" ref="A4707">IFNA(index(PlayerValues!A:A,match(IFNA(vlookup(B4707,'Special Names'!A:B,2,FALSE),B4707),PlayerValues!E:E,0)),"N/A")</f>
        <v>17505</v>
      </c>
      <c r="B4707" s="4" t="s">
        <v>528</v>
      </c>
      <c r="C4707" s="4" t="s">
        <v>287</v>
      </c>
      <c r="D4707" s="94">
        <v>2559.0</v>
      </c>
    </row>
    <row r="4708">
      <c r="A4708" s="40">
        <f t="array" ref="A4708">IFNA(index(PlayerValues!A:A,match(IFNA(vlookup(B4708,'Special Names'!A:B,2,FALSE),B4708),PlayerValues!E:E,0)),"N/A")</f>
        <v>14136</v>
      </c>
      <c r="B4708" s="4" t="s">
        <v>536</v>
      </c>
      <c r="C4708" s="4" t="s">
        <v>287</v>
      </c>
      <c r="D4708" s="94">
        <v>2551.0</v>
      </c>
    </row>
    <row r="4709">
      <c r="A4709" s="40">
        <f t="array" ref="A4709">IFNA(index(PlayerValues!A:A,match(IFNA(vlookup(B4709,'Special Names'!A:B,2,FALSE),B4709),PlayerValues!E:E,0)),"N/A")</f>
        <v>16189</v>
      </c>
      <c r="B4709" s="4" t="s">
        <v>582</v>
      </c>
      <c r="C4709" s="4" t="s">
        <v>287</v>
      </c>
      <c r="D4709" s="94">
        <v>2541.0</v>
      </c>
    </row>
    <row r="4710">
      <c r="A4710" s="40">
        <f t="array" ref="A4710">IFNA(index(PlayerValues!A:A,match(IFNA(vlookup(B4710,'Special Names'!A:B,2,FALSE),B4710),PlayerValues!E:E,0)),"N/A")</f>
        <v>16164</v>
      </c>
      <c r="B4710" s="4" t="s">
        <v>512</v>
      </c>
      <c r="C4710" s="4" t="s">
        <v>278</v>
      </c>
      <c r="D4710" s="94">
        <v>2523.0</v>
      </c>
    </row>
    <row r="4711">
      <c r="A4711" s="40">
        <f t="array" ref="A4711">IFNA(index(PlayerValues!A:A,match(IFNA(vlookup(B4711,'Special Names'!A:B,2,FALSE),B4711),PlayerValues!E:E,0)),"N/A")</f>
        <v>16617</v>
      </c>
      <c r="B4711" s="4" t="s">
        <v>541</v>
      </c>
      <c r="C4711" s="4" t="s">
        <v>287</v>
      </c>
      <c r="D4711" s="94">
        <v>2514.0</v>
      </c>
    </row>
    <row r="4712">
      <c r="A4712" s="40">
        <f t="array" ref="A4712">IFNA(index(PlayerValues!A:A,match(IFNA(vlookup(B4712,'Special Names'!A:B,2,FALSE),B4712),PlayerValues!E:E,0)),"N/A")</f>
        <v>12616</v>
      </c>
      <c r="B4712" s="4" t="s">
        <v>529</v>
      </c>
      <c r="C4712" s="4" t="s">
        <v>283</v>
      </c>
      <c r="D4712" s="94">
        <v>2503.0</v>
      </c>
    </row>
    <row r="4713">
      <c r="A4713" s="40">
        <f t="array" ref="A4713">IFNA(index(PlayerValues!A:A,match(IFNA(vlookup(B4713,'Special Names'!A:B,2,FALSE),B4713),PlayerValues!E:E,0)),"N/A")</f>
        <v>15972</v>
      </c>
      <c r="B4713" s="4" t="s">
        <v>469</v>
      </c>
      <c r="C4713" s="4" t="s">
        <v>278</v>
      </c>
      <c r="D4713" s="94">
        <v>2477.0</v>
      </c>
    </row>
    <row r="4714">
      <c r="A4714" s="40" t="str">
        <f t="array" ref="A4714">IFNA(index(PlayerValues!A:A,match(IFNA(vlookup(B4714,'Special Names'!A:B,2,FALSE),B4714),PlayerValues!E:E,0)),"N/A")</f>
        <v>N/A</v>
      </c>
      <c r="B4714" s="4" t="s">
        <v>98</v>
      </c>
      <c r="C4714" s="4" t="s">
        <v>325</v>
      </c>
      <c r="D4714" s="94">
        <v>2468.0</v>
      </c>
    </row>
    <row r="4715">
      <c r="A4715" s="40">
        <f t="array" ref="A4715">IFNA(index(PlayerValues!A:A,match(IFNA(vlookup(B4715,'Special Names'!A:B,2,FALSE),B4715),PlayerValues!E:E,0)),"N/A")</f>
        <v>17474</v>
      </c>
      <c r="B4715" s="4" t="s">
        <v>513</v>
      </c>
      <c r="C4715" s="4" t="s">
        <v>278</v>
      </c>
      <c r="D4715" s="94">
        <v>2468.0</v>
      </c>
    </row>
    <row r="4716">
      <c r="A4716" s="40">
        <f t="array" ref="A4716">IFNA(index(PlayerValues!A:A,match(IFNA(vlookup(B4716,'Special Names'!A:B,2,FALSE),B4716),PlayerValues!E:E,0)),"N/A")</f>
        <v>16287</v>
      </c>
      <c r="B4716" s="4" t="s">
        <v>516</v>
      </c>
      <c r="C4716" s="4" t="s">
        <v>287</v>
      </c>
      <c r="D4716" s="94">
        <v>2466.0</v>
      </c>
    </row>
    <row r="4717">
      <c r="A4717" s="40">
        <f t="array" ref="A4717">IFNA(index(PlayerValues!A:A,match(IFNA(vlookup(B4717,'Special Names'!A:B,2,FALSE),B4717),PlayerValues!E:E,0)),"N/A")</f>
        <v>17033</v>
      </c>
      <c r="B4717" s="4" t="s">
        <v>570</v>
      </c>
      <c r="C4717" s="4" t="s">
        <v>283</v>
      </c>
      <c r="D4717" s="94">
        <v>2437.0</v>
      </c>
    </row>
    <row r="4718">
      <c r="A4718" s="40">
        <f t="array" ref="A4718">IFNA(index(PlayerValues!A:A,match(IFNA(vlookup(B4718,'Special Names'!A:B,2,FALSE),B4718),PlayerValues!E:E,0)),"N/A")</f>
        <v>16204</v>
      </c>
      <c r="B4718" s="4" t="s">
        <v>530</v>
      </c>
      <c r="C4718" s="4" t="s">
        <v>287</v>
      </c>
      <c r="D4718" s="94">
        <v>2424.0</v>
      </c>
    </row>
    <row r="4719">
      <c r="A4719" s="40">
        <f t="array" ref="A4719">IFNA(index(PlayerValues!A:A,match(IFNA(vlookup(B4719,'Special Names'!A:B,2,FALSE),B4719),PlayerValues!E:E,0)),"N/A")</f>
        <v>14861</v>
      </c>
      <c r="B4719" s="4" t="s">
        <v>523</v>
      </c>
      <c r="C4719" s="4" t="s">
        <v>298</v>
      </c>
      <c r="D4719" s="94">
        <v>2825.0</v>
      </c>
    </row>
    <row r="4720">
      <c r="A4720" s="40">
        <f t="array" ref="A4720">IFNA(index(PlayerValues!A:A,match(IFNA(vlookup(B4720,'Special Names'!A:B,2,FALSE),B4720),PlayerValues!E:E,0)),"N/A")</f>
        <v>12676</v>
      </c>
      <c r="B4720" s="4" t="s">
        <v>537</v>
      </c>
      <c r="C4720" s="4" t="s">
        <v>298</v>
      </c>
      <c r="D4720" s="94">
        <v>2813.0</v>
      </c>
    </row>
    <row r="4721">
      <c r="A4721" s="40">
        <f t="array" ref="A4721">IFNA(index(PlayerValues!A:A,match(IFNA(vlookup(B4721,'Special Names'!A:B,2,FALSE),B4721),PlayerValues!E:E,0)),"N/A")</f>
        <v>17105</v>
      </c>
      <c r="B4721" s="4" t="s">
        <v>525</v>
      </c>
      <c r="C4721" s="4" t="s">
        <v>298</v>
      </c>
      <c r="D4721" s="94">
        <v>2809.0</v>
      </c>
    </row>
    <row r="4722">
      <c r="A4722" s="40">
        <f t="array" ref="A4722">IFNA(index(PlayerValues!A:A,match(IFNA(vlookup(B4722,'Special Names'!A:B,2,FALSE),B4722),PlayerValues!E:E,0)),"N/A")</f>
        <v>17507</v>
      </c>
      <c r="B4722" s="4" t="s">
        <v>495</v>
      </c>
      <c r="C4722" s="4" t="s">
        <v>287</v>
      </c>
      <c r="D4722" s="94">
        <v>2400.0</v>
      </c>
    </row>
    <row r="4723">
      <c r="A4723" s="40">
        <f t="array" ref="A4723">IFNA(index(PlayerValues!A:A,match(IFNA(vlookup(B4723,'Special Names'!A:B,2,FALSE),B4723),PlayerValues!E:E,0)),"N/A")</f>
        <v>16610</v>
      </c>
      <c r="B4723" s="4" t="s">
        <v>562</v>
      </c>
      <c r="C4723" s="4" t="s">
        <v>278</v>
      </c>
      <c r="D4723" s="94">
        <v>2394.0</v>
      </c>
    </row>
    <row r="4724">
      <c r="A4724" s="40">
        <f t="array" ref="A4724">IFNA(index(PlayerValues!A:A,match(IFNA(vlookup(B4724,'Special Names'!A:B,2,FALSE),B4724),PlayerValues!E:E,0)),"N/A")</f>
        <v>17511</v>
      </c>
      <c r="B4724" s="4" t="s">
        <v>485</v>
      </c>
      <c r="C4724" s="4" t="s">
        <v>287</v>
      </c>
      <c r="D4724" s="94">
        <v>2376.0</v>
      </c>
    </row>
    <row r="4725">
      <c r="A4725" s="40">
        <f t="array" ref="A4725">IFNA(index(PlayerValues!A:A,match(IFNA(vlookup(B4725,'Special Names'!A:B,2,FALSE),B4725),PlayerValues!E:E,0)),"N/A")</f>
        <v>15716</v>
      </c>
      <c r="B4725" s="4" t="s">
        <v>545</v>
      </c>
      <c r="C4725" s="4" t="s">
        <v>278</v>
      </c>
      <c r="D4725" s="94">
        <v>2360.0</v>
      </c>
    </row>
    <row r="4726">
      <c r="A4726" s="40">
        <f t="array" ref="A4726">IFNA(index(PlayerValues!A:A,match(IFNA(vlookup(B4726,'Special Names'!A:B,2,FALSE),B4726),PlayerValues!E:E,0)),"N/A")</f>
        <v>17464</v>
      </c>
      <c r="B4726" s="4" t="s">
        <v>828</v>
      </c>
      <c r="C4726" s="4" t="s">
        <v>283</v>
      </c>
      <c r="D4726" s="94">
        <v>2358.0</v>
      </c>
    </row>
    <row r="4727">
      <c r="A4727" s="40">
        <f t="array" ref="A4727">IFNA(index(PlayerValues!A:A,match(IFNA(vlookup(B4727,'Special Names'!A:B,2,FALSE),B4727),PlayerValues!E:E,0)),"N/A")</f>
        <v>13132</v>
      </c>
      <c r="B4727" s="4" t="s">
        <v>598</v>
      </c>
      <c r="C4727" s="4" t="s">
        <v>278</v>
      </c>
      <c r="D4727" s="94">
        <v>2357.0</v>
      </c>
    </row>
    <row r="4728">
      <c r="A4728" s="40">
        <f t="array" ref="A4728">IFNA(index(PlayerValues!A:A,match(IFNA(vlookup(B4728,'Special Names'!A:B,2,FALSE),B4728),PlayerValues!E:E,0)),"N/A")</f>
        <v>15802</v>
      </c>
      <c r="B4728" s="4" t="s">
        <v>566</v>
      </c>
      <c r="C4728" s="4" t="s">
        <v>298</v>
      </c>
      <c r="D4728" s="94">
        <v>2749.0</v>
      </c>
    </row>
    <row r="4729">
      <c r="A4729" s="40">
        <f t="array" ref="A4729">IFNA(index(PlayerValues!A:A,match(IFNA(vlookup(B4729,'Special Names'!A:B,2,FALSE),B4729),PlayerValues!E:E,0)),"N/A")</f>
        <v>16178</v>
      </c>
      <c r="B4729" s="4" t="s">
        <v>507</v>
      </c>
      <c r="C4729" s="4" t="s">
        <v>278</v>
      </c>
      <c r="D4729" s="94">
        <v>2347.0</v>
      </c>
    </row>
    <row r="4730">
      <c r="A4730" s="40" t="str">
        <f t="array" ref="A4730">IFNA(index(PlayerValues!A:A,match(IFNA(vlookup(B4730,'Special Names'!A:B,2,FALSE),B4730),PlayerValues!E:E,0)),"N/A")</f>
        <v>N/A</v>
      </c>
      <c r="B4730" s="4" t="s">
        <v>86</v>
      </c>
      <c r="C4730" s="4" t="s">
        <v>325</v>
      </c>
      <c r="D4730" s="94">
        <v>2341.0</v>
      </c>
    </row>
    <row r="4731">
      <c r="A4731" s="40">
        <f t="array" ref="A4731">IFNA(index(PlayerValues!A:A,match(IFNA(vlookup(B4731,'Special Names'!A:B,2,FALSE),B4731),PlayerValues!E:E,0)),"N/A")</f>
        <v>13772</v>
      </c>
      <c r="B4731" s="4" t="s">
        <v>544</v>
      </c>
      <c r="C4731" s="4" t="s">
        <v>298</v>
      </c>
      <c r="D4731" s="94">
        <v>2738.0</v>
      </c>
    </row>
    <row r="4732">
      <c r="A4732" s="40">
        <f t="array" ref="A4732">IFNA(index(PlayerValues!A:A,match(IFNA(vlookup(B4732,'Special Names'!A:B,2,FALSE),B4732),PlayerValues!E:E,0)),"N/A")</f>
        <v>17079</v>
      </c>
      <c r="B4732" s="4" t="s">
        <v>572</v>
      </c>
      <c r="C4732" s="4" t="s">
        <v>287</v>
      </c>
      <c r="D4732" s="94">
        <v>2320.0</v>
      </c>
    </row>
    <row r="4733">
      <c r="A4733" s="40">
        <f t="array" ref="A4733">IFNA(index(PlayerValues!A:A,match(IFNA(vlookup(B4733,'Special Names'!A:B,2,FALSE),B4733),PlayerValues!E:E,0)),"N/A")</f>
        <v>16212</v>
      </c>
      <c r="B4733" s="4" t="s">
        <v>568</v>
      </c>
      <c r="C4733" s="4" t="s">
        <v>298</v>
      </c>
      <c r="D4733" s="94">
        <v>2712.0</v>
      </c>
    </row>
    <row r="4734">
      <c r="A4734" s="40">
        <f t="array" ref="A4734">IFNA(index(PlayerValues!A:A,match(IFNA(vlookup(B4734,'Special Names'!A:B,2,FALSE),B4734),PlayerValues!E:E,0)),"N/A")</f>
        <v>17049</v>
      </c>
      <c r="B4734" s="4" t="s">
        <v>624</v>
      </c>
      <c r="C4734" s="4" t="s">
        <v>278</v>
      </c>
      <c r="D4734" s="94">
        <v>2307.0</v>
      </c>
    </row>
    <row r="4735">
      <c r="A4735" s="40">
        <f t="array" ref="A4735">IFNA(index(PlayerValues!A:A,match(IFNA(vlookup(B4735,'Special Names'!A:B,2,FALSE),B4735),PlayerValues!E:E,0)),"N/A")</f>
        <v>12801</v>
      </c>
      <c r="B4735" s="4" t="s">
        <v>722</v>
      </c>
      <c r="C4735" s="4" t="s">
        <v>287</v>
      </c>
      <c r="D4735" s="94">
        <v>2306.0</v>
      </c>
    </row>
    <row r="4736">
      <c r="A4736" s="40" t="str">
        <f t="array" ref="A4736">IFNA(index(PlayerValues!A:A,match(IFNA(vlookup(B4736,'Special Names'!A:B,2,FALSE),B4736),PlayerValues!E:E,0)),"N/A")</f>
        <v>N/A</v>
      </c>
      <c r="B4736" s="4" t="s">
        <v>99</v>
      </c>
      <c r="C4736" s="4" t="s">
        <v>325</v>
      </c>
      <c r="D4736" s="94">
        <v>2298.0</v>
      </c>
    </row>
    <row r="4737">
      <c r="A4737" s="40">
        <f t="array" ref="A4737">IFNA(index(PlayerValues!A:A,match(IFNA(vlookup(B4737,'Special Names'!A:B,2,FALSE),B4737),PlayerValues!E:E,0)),"N/A")</f>
        <v>17034</v>
      </c>
      <c r="B4737" s="4" t="s">
        <v>643</v>
      </c>
      <c r="C4737" s="4" t="s">
        <v>283</v>
      </c>
      <c r="D4737" s="94">
        <v>2297.0</v>
      </c>
    </row>
    <row r="4738">
      <c r="A4738" s="40">
        <f t="array" ref="A4738">IFNA(index(PlayerValues!A:A,match(IFNA(vlookup(B4738,'Special Names'!A:B,2,FALSE),B4738),PlayerValues!E:E,0)),"N/A")</f>
        <v>16036</v>
      </c>
      <c r="B4738" s="4" t="s">
        <v>592</v>
      </c>
      <c r="C4738" s="4" t="s">
        <v>298</v>
      </c>
      <c r="D4738" s="94">
        <v>2664.0</v>
      </c>
    </row>
    <row r="4739">
      <c r="A4739" s="40">
        <f t="array" ref="A4739">IFNA(index(PlayerValues!A:A,match(IFNA(vlookup(B4739,'Special Names'!A:B,2,FALSE),B4739),PlayerValues!E:E,0)),"N/A")</f>
        <v>17076</v>
      </c>
      <c r="B4739" s="4" t="s">
        <v>585</v>
      </c>
      <c r="C4739" s="4" t="s">
        <v>287</v>
      </c>
      <c r="D4739" s="94">
        <v>2268.0</v>
      </c>
    </row>
    <row r="4740">
      <c r="A4740" s="40">
        <f t="array" ref="A4740">IFNA(index(PlayerValues!A:A,match(IFNA(vlookup(B4740,'Special Names'!A:B,2,FALSE),B4740),PlayerValues!E:E,0)),"N/A")</f>
        <v>17544</v>
      </c>
      <c r="B4740" s="4" t="s">
        <v>470</v>
      </c>
      <c r="C4740" s="4" t="s">
        <v>298</v>
      </c>
      <c r="D4740" s="94">
        <v>2664.0</v>
      </c>
    </row>
    <row r="4741">
      <c r="A4741" s="40">
        <f t="array" ref="A4741">IFNA(index(PlayerValues!A:A,match(IFNA(vlookup(B4741,'Special Names'!A:B,2,FALSE),B4741),PlayerValues!E:E,0)),"N/A")</f>
        <v>16171</v>
      </c>
      <c r="B4741" s="4" t="s">
        <v>618</v>
      </c>
      <c r="C4741" s="4" t="s">
        <v>278</v>
      </c>
      <c r="D4741" s="94">
        <v>2255.0</v>
      </c>
    </row>
    <row r="4742">
      <c r="A4742" s="40">
        <f t="array" ref="A4742">IFNA(index(PlayerValues!A:A,match(IFNA(vlookup(B4742,'Special Names'!A:B,2,FALSE),B4742),PlayerValues!E:E,0)),"N/A")</f>
        <v>16342</v>
      </c>
      <c r="B4742" s="4" t="s">
        <v>583</v>
      </c>
      <c r="C4742" s="4" t="s">
        <v>287</v>
      </c>
      <c r="D4742" s="94">
        <v>2218.0</v>
      </c>
    </row>
    <row r="4743">
      <c r="A4743" s="40">
        <f t="array" ref="A4743">IFNA(index(PlayerValues!A:A,match(IFNA(vlookup(B4743,'Special Names'!A:B,2,FALSE),B4743),PlayerValues!E:E,0)),"N/A")</f>
        <v>13319</v>
      </c>
      <c r="B4743" s="4" t="s">
        <v>549</v>
      </c>
      <c r="C4743" s="4" t="s">
        <v>278</v>
      </c>
      <c r="D4743" s="94">
        <v>2217.0</v>
      </c>
    </row>
    <row r="4744">
      <c r="A4744" s="40">
        <f t="array" ref="A4744">IFNA(index(PlayerValues!A:A,match(IFNA(vlookup(B4744,'Special Names'!A:B,2,FALSE),B4744),PlayerValues!E:E,0)),"N/A")</f>
        <v>17506</v>
      </c>
      <c r="B4744" s="4" t="s">
        <v>471</v>
      </c>
      <c r="C4744" s="4" t="s">
        <v>287</v>
      </c>
      <c r="D4744" s="94">
        <v>2209.0</v>
      </c>
    </row>
    <row r="4745">
      <c r="A4745" s="40">
        <f t="array" ref="A4745">IFNA(index(PlayerValues!A:A,match(IFNA(vlookup(B4745,'Special Names'!A:B,2,FALSE),B4745),PlayerValues!E:E,0)),"N/A")</f>
        <v>17509</v>
      </c>
      <c r="B4745" s="4" t="s">
        <v>551</v>
      </c>
      <c r="C4745" s="4" t="s">
        <v>287</v>
      </c>
      <c r="D4745" s="94">
        <v>2209.0</v>
      </c>
    </row>
    <row r="4746">
      <c r="A4746" s="40">
        <f t="array" ref="A4746">IFNA(index(PlayerValues!A:A,match(IFNA(vlookup(B4746,'Special Names'!A:B,2,FALSE),B4746),PlayerValues!E:E,0)),"N/A")</f>
        <v>16639</v>
      </c>
      <c r="B4746" s="4" t="s">
        <v>599</v>
      </c>
      <c r="C4746" s="4" t="s">
        <v>287</v>
      </c>
      <c r="D4746" s="94">
        <v>2206.0</v>
      </c>
    </row>
    <row r="4747">
      <c r="A4747" s="40">
        <f t="array" ref="A4747">IFNA(index(PlayerValues!A:A,match(IFNA(vlookup(B4747,'Special Names'!A:B,2,FALSE),B4747),PlayerValues!E:E,0)),"N/A")</f>
        <v>16195</v>
      </c>
      <c r="B4747" s="4" t="s">
        <v>509</v>
      </c>
      <c r="C4747" s="4" t="s">
        <v>287</v>
      </c>
      <c r="D4747" s="94">
        <v>2204.0</v>
      </c>
    </row>
    <row r="4748">
      <c r="A4748" s="40">
        <f t="array" ref="A4748">IFNA(index(PlayerValues!A:A,match(IFNA(vlookup(B4748,'Special Names'!A:B,2,FALSE),B4748),PlayerValues!E:E,0)),"N/A")</f>
        <v>15889</v>
      </c>
      <c r="B4748" s="4" t="s">
        <v>503</v>
      </c>
      <c r="C4748" s="4" t="s">
        <v>298</v>
      </c>
      <c r="D4748" s="94">
        <v>2593.0</v>
      </c>
    </row>
    <row r="4749">
      <c r="A4749" s="40">
        <f t="array" ref="A4749">IFNA(index(PlayerValues!A:A,match(IFNA(vlookup(B4749,'Special Names'!A:B,2,FALSE),B4749),PlayerValues!E:E,0)),"N/A")</f>
        <v>16684</v>
      </c>
      <c r="B4749" s="4" t="s">
        <v>500</v>
      </c>
      <c r="C4749" s="4" t="s">
        <v>287</v>
      </c>
      <c r="D4749" s="94">
        <v>2194.0</v>
      </c>
    </row>
    <row r="4750">
      <c r="A4750" s="40" t="str">
        <f t="array" ref="A4750">IFNA(index(PlayerValues!A:A,match(IFNA(vlookup(B4750,'Special Names'!A:B,2,FALSE),B4750),PlayerValues!E:E,0)),"N/A")</f>
        <v>N/A</v>
      </c>
      <c r="B4750" s="4" t="s">
        <v>100</v>
      </c>
      <c r="C4750" s="4" t="s">
        <v>325</v>
      </c>
      <c r="D4750" s="94">
        <v>2171.0</v>
      </c>
    </row>
    <row r="4751">
      <c r="A4751" s="40" t="str">
        <f t="array" ref="A4751">IFNA(index(PlayerValues!A:A,match(IFNA(vlookup(B4751,'Special Names'!A:B,2,FALSE),B4751),PlayerValues!E:E,0)),"N/A")</f>
        <v>N/A</v>
      </c>
      <c r="B4751" s="4" t="s">
        <v>87</v>
      </c>
      <c r="C4751" s="4" t="s">
        <v>325</v>
      </c>
      <c r="D4751" s="94">
        <v>2166.0</v>
      </c>
    </row>
    <row r="4752">
      <c r="A4752" s="40">
        <f t="array" ref="A4752">IFNA(index(PlayerValues!A:A,match(IFNA(vlookup(B4752,'Special Names'!A:B,2,FALSE),B4752),PlayerValues!E:E,0)),"N/A")</f>
        <v>16752</v>
      </c>
      <c r="B4752" s="4" t="s">
        <v>597</v>
      </c>
      <c r="C4752" s="4" t="s">
        <v>278</v>
      </c>
      <c r="D4752" s="94">
        <v>2162.0</v>
      </c>
    </row>
    <row r="4753">
      <c r="A4753" s="40">
        <f t="array" ref="A4753">IFNA(index(PlayerValues!A:A,match(IFNA(vlookup(B4753,'Special Names'!A:B,2,FALSE),B4753),PlayerValues!E:E,0)),"N/A")</f>
        <v>17087</v>
      </c>
      <c r="B4753" s="4" t="s">
        <v>600</v>
      </c>
      <c r="C4753" s="4" t="s">
        <v>287</v>
      </c>
      <c r="D4753" s="94">
        <v>2148.0</v>
      </c>
    </row>
    <row r="4754">
      <c r="A4754" s="40" t="str">
        <f t="array" ref="A4754">IFNA(index(PlayerValues!A:A,match(IFNA(vlookup(B4754,'Special Names'!A:B,2,FALSE),B4754),PlayerValues!E:E,0)),"N/A")</f>
        <v>N/A</v>
      </c>
      <c r="B4754" s="4" t="s">
        <v>112</v>
      </c>
      <c r="C4754" s="4" t="s">
        <v>325</v>
      </c>
      <c r="D4754" s="94">
        <v>2148.0</v>
      </c>
    </row>
    <row r="4755">
      <c r="A4755" s="40">
        <f t="array" ref="A4755">IFNA(index(PlayerValues!A:A,match(IFNA(vlookup(B4755,'Special Names'!A:B,2,FALSE),B4755),PlayerValues!E:E,0)),"N/A")</f>
        <v>15749</v>
      </c>
      <c r="B4755" s="4" t="s">
        <v>574</v>
      </c>
      <c r="C4755" s="4" t="s">
        <v>278</v>
      </c>
      <c r="D4755" s="94">
        <v>2146.0</v>
      </c>
    </row>
    <row r="4756">
      <c r="A4756" s="40">
        <f t="array" ref="A4756">IFNA(index(PlayerValues!A:A,match(IFNA(vlookup(B4756,'Special Names'!A:B,2,FALSE),B4756),PlayerValues!E:E,0)),"N/A")</f>
        <v>16191</v>
      </c>
      <c r="B4756" s="4" t="s">
        <v>666</v>
      </c>
      <c r="C4756" s="4" t="s">
        <v>287</v>
      </c>
      <c r="D4756" s="94">
        <v>2141.0</v>
      </c>
    </row>
    <row r="4757">
      <c r="A4757" s="40">
        <f t="array" ref="A4757">IFNA(index(PlayerValues!A:A,match(IFNA(vlookup(B4757,'Special Names'!A:B,2,FALSE),B4757),PlayerValues!E:E,0)),"N/A")</f>
        <v>17069</v>
      </c>
      <c r="B4757" s="4" t="s">
        <v>604</v>
      </c>
      <c r="C4757" s="4" t="s">
        <v>278</v>
      </c>
      <c r="D4757" s="94">
        <v>2136.0</v>
      </c>
    </row>
    <row r="4758">
      <c r="A4758" s="40">
        <f t="array" ref="A4758">IFNA(index(PlayerValues!A:A,match(IFNA(vlookup(B4758,'Special Names'!A:B,2,FALSE),B4758),PlayerValues!E:E,0)),"N/A")</f>
        <v>15238</v>
      </c>
      <c r="B4758" s="4" t="s">
        <v>613</v>
      </c>
      <c r="C4758" s="4" t="s">
        <v>283</v>
      </c>
      <c r="D4758" s="94">
        <v>2131.0</v>
      </c>
    </row>
    <row r="4759">
      <c r="A4759" s="40">
        <f t="array" ref="A4759">IFNA(index(PlayerValues!A:A,match(IFNA(vlookup(B4759,'Special Names'!A:B,2,FALSE),B4759),PlayerValues!E:E,0)),"N/A")</f>
        <v>14867</v>
      </c>
      <c r="B4759" s="4" t="s">
        <v>591</v>
      </c>
      <c r="C4759" s="4" t="s">
        <v>298</v>
      </c>
      <c r="D4759" s="94">
        <v>2518.0</v>
      </c>
    </row>
    <row r="4760">
      <c r="A4760" s="40">
        <f t="array" ref="A4760">IFNA(index(PlayerValues!A:A,match(IFNA(vlookup(B4760,'Special Names'!A:B,2,FALSE),B4760),PlayerValues!E:E,0)),"N/A")</f>
        <v>16644</v>
      </c>
      <c r="B4760" s="4" t="s">
        <v>640</v>
      </c>
      <c r="C4760" s="4" t="s">
        <v>298</v>
      </c>
      <c r="D4760" s="94">
        <v>2513.0</v>
      </c>
    </row>
    <row r="4761">
      <c r="A4761" s="40">
        <f t="array" ref="A4761">IFNA(index(PlayerValues!A:A,match(IFNA(vlookup(B4761,'Special Names'!A:B,2,FALSE),B4761),PlayerValues!E:E,0)),"N/A")</f>
        <v>14871</v>
      </c>
      <c r="B4761" s="4" t="s">
        <v>584</v>
      </c>
      <c r="C4761" s="4" t="s">
        <v>298</v>
      </c>
      <c r="D4761" s="94">
        <v>2505.0</v>
      </c>
    </row>
    <row r="4762">
      <c r="A4762" s="40" t="str">
        <f t="array" ref="A4762">IFNA(index(PlayerValues!A:A,match(IFNA(vlookup(B4762,'Special Names'!A:B,2,FALSE),B4762),PlayerValues!E:E,0)),"N/A")</f>
        <v>N/A</v>
      </c>
      <c r="B4762" s="4" t="s">
        <v>88</v>
      </c>
      <c r="C4762" s="4" t="s">
        <v>325</v>
      </c>
      <c r="D4762" s="94">
        <v>2112.0</v>
      </c>
    </row>
    <row r="4763">
      <c r="A4763" s="40">
        <f t="array" ref="A4763">IFNA(index(PlayerValues!A:A,match(IFNA(vlookup(B4763,'Special Names'!A:B,2,FALSE),B4763),PlayerValues!E:E,0)),"N/A")</f>
        <v>17478</v>
      </c>
      <c r="B4763" s="4" t="s">
        <v>527</v>
      </c>
      <c r="C4763" s="4" t="s">
        <v>278</v>
      </c>
      <c r="D4763" s="94">
        <v>2098.0</v>
      </c>
    </row>
    <row r="4764">
      <c r="A4764" s="40">
        <f t="array" ref="A4764">IFNA(index(PlayerValues!A:A,match(IFNA(vlookup(B4764,'Special Names'!A:B,2,FALSE),B4764),PlayerValues!E:E,0)),"N/A")</f>
        <v>17056</v>
      </c>
      <c r="B4764" s="4" t="s">
        <v>581</v>
      </c>
      <c r="C4764" s="4" t="s">
        <v>278</v>
      </c>
      <c r="D4764" s="94">
        <v>2090.0</v>
      </c>
    </row>
    <row r="4765">
      <c r="A4765" s="40">
        <f t="array" ref="A4765">IFNA(index(PlayerValues!A:A,match(IFNA(vlookup(B4765,'Special Names'!A:B,2,FALSE),B4765),PlayerValues!E:E,0)),"N/A")</f>
        <v>16432</v>
      </c>
      <c r="B4765" s="4" t="s">
        <v>620</v>
      </c>
      <c r="C4765" s="4" t="s">
        <v>278</v>
      </c>
      <c r="D4765" s="94">
        <v>2088.0</v>
      </c>
    </row>
    <row r="4766">
      <c r="A4766" s="40">
        <f t="array" ref="A4766">IFNA(index(PlayerValues!A:A,match(IFNA(vlookup(B4766,'Special Names'!A:B,2,FALSE),B4766),PlayerValues!E:E,0)),"N/A")</f>
        <v>16643</v>
      </c>
      <c r="B4766" s="4" t="s">
        <v>609</v>
      </c>
      <c r="C4766" s="4" t="s">
        <v>298</v>
      </c>
      <c r="D4766" s="94">
        <v>2469.0</v>
      </c>
    </row>
    <row r="4767">
      <c r="A4767" s="40">
        <f t="array" ref="A4767">IFNA(index(PlayerValues!A:A,match(IFNA(vlookup(B4767,'Special Names'!A:B,2,FALSE),B4767),PlayerValues!E:E,0)),"N/A")</f>
        <v>17060</v>
      </c>
      <c r="B4767" s="4" t="s">
        <v>603</v>
      </c>
      <c r="C4767" s="4" t="s">
        <v>278</v>
      </c>
      <c r="D4767" s="94">
        <v>2068.0</v>
      </c>
    </row>
    <row r="4768">
      <c r="A4768" s="40">
        <f t="array" ref="A4768">IFNA(index(PlayerValues!A:A,match(IFNA(vlookup(B4768,'Special Names'!A:B,2,FALSE),B4768),PlayerValues!E:E,0)),"N/A")</f>
        <v>16174</v>
      </c>
      <c r="B4768" s="4" t="s">
        <v>505</v>
      </c>
      <c r="C4768" s="4" t="s">
        <v>278</v>
      </c>
      <c r="D4768" s="94">
        <v>2063.0</v>
      </c>
    </row>
    <row r="4769">
      <c r="A4769" s="40">
        <f t="array" ref="A4769">IFNA(index(PlayerValues!A:A,match(IFNA(vlookup(B4769,'Special Names'!A:B,2,FALSE),B4769),PlayerValues!E:E,0)),"N/A")</f>
        <v>13146</v>
      </c>
      <c r="B4769" s="4" t="s">
        <v>652</v>
      </c>
      <c r="C4769" s="4" t="s">
        <v>278</v>
      </c>
      <c r="D4769" s="94">
        <v>2060.0</v>
      </c>
    </row>
    <row r="4770">
      <c r="A4770" s="40" t="str">
        <f t="array" ref="A4770">IFNA(index(PlayerValues!A:A,match(IFNA(vlookup(B4770,'Special Names'!A:B,2,FALSE),B4770),PlayerValues!E:E,0)),"N/A")</f>
        <v>N/A</v>
      </c>
      <c r="B4770" s="4" t="s">
        <v>113</v>
      </c>
      <c r="C4770" s="4" t="s">
        <v>325</v>
      </c>
      <c r="D4770" s="94">
        <v>2058.0</v>
      </c>
    </row>
    <row r="4771">
      <c r="A4771" s="40">
        <f t="array" ref="A4771">IFNA(index(PlayerValues!A:A,match(IFNA(vlookup(B4771,'Special Names'!A:B,2,FALSE),B4771),PlayerValues!E:E,0)),"N/A")</f>
        <v>15331</v>
      </c>
      <c r="B4771" s="4" t="s">
        <v>560</v>
      </c>
      <c r="C4771" s="4" t="s">
        <v>298</v>
      </c>
      <c r="D4771" s="94">
        <v>2446.0</v>
      </c>
    </row>
    <row r="4772">
      <c r="A4772" s="40">
        <f t="array" ref="A4772">IFNA(index(PlayerValues!A:A,match(IFNA(vlookup(B4772,'Special Names'!A:B,2,FALSE),B4772),PlayerValues!E:E,0)),"N/A")</f>
        <v>13633</v>
      </c>
      <c r="B4772" s="4" t="s">
        <v>625</v>
      </c>
      <c r="C4772" s="4" t="s">
        <v>287</v>
      </c>
      <c r="D4772" s="94">
        <v>2030.0</v>
      </c>
    </row>
    <row r="4773">
      <c r="A4773" s="40">
        <f t="array" ref="A4773">IFNA(index(PlayerValues!A:A,match(IFNA(vlookup(B4773,'Special Names'!A:B,2,FALSE),B4773),PlayerValues!E:E,0)),"N/A")</f>
        <v>14974</v>
      </c>
      <c r="B4773" s="4" t="s">
        <v>611</v>
      </c>
      <c r="C4773" s="4" t="s">
        <v>287</v>
      </c>
      <c r="D4773" s="94">
        <v>2016.0</v>
      </c>
    </row>
    <row r="4774">
      <c r="A4774" s="40">
        <f t="array" ref="A4774">IFNA(index(PlayerValues!A:A,match(IFNA(vlookup(B4774,'Special Names'!A:B,2,FALSE),B4774),PlayerValues!E:E,0)),"N/A")</f>
        <v>15293</v>
      </c>
      <c r="B4774" s="4" t="s">
        <v>578</v>
      </c>
      <c r="C4774" s="4" t="s">
        <v>287</v>
      </c>
      <c r="D4774" s="94">
        <v>2012.0</v>
      </c>
    </row>
    <row r="4775">
      <c r="A4775" s="40">
        <f t="array" ref="A4775">IFNA(index(PlayerValues!A:A,match(IFNA(vlookup(B4775,'Special Names'!A:B,2,FALSE),B4775),PlayerValues!E:E,0)),"N/A")</f>
        <v>11244</v>
      </c>
      <c r="B4775" s="4" t="s">
        <v>519</v>
      </c>
      <c r="C4775" s="4" t="s">
        <v>298</v>
      </c>
      <c r="D4775" s="94">
        <v>2373.0</v>
      </c>
    </row>
    <row r="4776">
      <c r="A4776" s="40">
        <f t="array" ref="A4776">IFNA(index(PlayerValues!A:A,match(IFNA(vlookup(B4776,'Special Names'!A:B,2,FALSE),B4776),PlayerValues!E:E,0)),"N/A")</f>
        <v>16603</v>
      </c>
      <c r="B4776" s="4" t="s">
        <v>587</v>
      </c>
      <c r="C4776" s="4" t="s">
        <v>278</v>
      </c>
      <c r="D4776" s="94">
        <v>1977.0</v>
      </c>
    </row>
    <row r="4777">
      <c r="A4777" s="40">
        <f t="array" ref="A4777">IFNA(index(PlayerValues!A:A,match(IFNA(vlookup(B4777,'Special Names'!A:B,2,FALSE),B4777),PlayerValues!E:E,0)),"N/A")</f>
        <v>17036</v>
      </c>
      <c r="B4777" s="4" t="s">
        <v>617</v>
      </c>
      <c r="C4777" s="4" t="s">
        <v>283</v>
      </c>
      <c r="D4777" s="94">
        <v>1975.0</v>
      </c>
    </row>
    <row r="4778">
      <c r="A4778" s="40">
        <f t="array" ref="A4778">IFNA(index(PlayerValues!A:A,match(IFNA(vlookup(B4778,'Special Names'!A:B,2,FALSE),B4778),PlayerValues!E:E,0)),"N/A")</f>
        <v>17465</v>
      </c>
      <c r="B4778" s="4" t="s">
        <v>649</v>
      </c>
      <c r="C4778" s="4" t="s">
        <v>283</v>
      </c>
      <c r="D4778" s="94">
        <v>1957.0</v>
      </c>
    </row>
    <row r="4779">
      <c r="A4779" s="40">
        <f t="array" ref="A4779">IFNA(index(PlayerValues!A:A,match(IFNA(vlookup(B4779,'Special Names'!A:B,2,FALSE),B4779),PlayerValues!E:E,0)),"N/A")</f>
        <v>17503</v>
      </c>
      <c r="B4779" s="4" t="s">
        <v>480</v>
      </c>
      <c r="C4779" s="4" t="s">
        <v>287</v>
      </c>
      <c r="D4779" s="94">
        <v>1942.0</v>
      </c>
    </row>
    <row r="4780">
      <c r="A4780" s="40">
        <f t="array" ref="A4780">IFNA(index(PlayerValues!A:A,match(IFNA(vlookup(B4780,'Special Names'!A:B,2,FALSE),B4780),PlayerValues!E:E,0)),"N/A")</f>
        <v>17482</v>
      </c>
      <c r="B4780" s="4" t="s">
        <v>460</v>
      </c>
      <c r="C4780" s="4" t="s">
        <v>278</v>
      </c>
      <c r="D4780" s="94">
        <v>1927.0</v>
      </c>
    </row>
    <row r="4781">
      <c r="A4781" s="40">
        <f t="array" ref="A4781">IFNA(index(PlayerValues!A:A,match(IFNA(vlookup(B4781,'Special Names'!A:B,2,FALSE),B4781),PlayerValues!E:E,0)),"N/A")</f>
        <v>17184</v>
      </c>
      <c r="B4781" s="4" t="s">
        <v>588</v>
      </c>
      <c r="C4781" s="4" t="s">
        <v>287</v>
      </c>
      <c r="D4781" s="94">
        <v>1920.0</v>
      </c>
    </row>
    <row r="4782">
      <c r="A4782" s="40">
        <f t="array" ref="A4782">IFNA(index(PlayerValues!A:A,match(IFNA(vlookup(B4782,'Special Names'!A:B,2,FALSE),B4782),PlayerValues!E:E,0)),"N/A")</f>
        <v>16216</v>
      </c>
      <c r="B4782" s="4" t="s">
        <v>595</v>
      </c>
      <c r="C4782" s="4" t="s">
        <v>298</v>
      </c>
      <c r="D4782" s="94">
        <v>2296.0</v>
      </c>
    </row>
    <row r="4783">
      <c r="A4783" s="40">
        <f t="array" ref="A4783">IFNA(index(PlayerValues!A:A,match(IFNA(vlookup(B4783,'Special Names'!A:B,2,FALSE),B4783),PlayerValues!E:E,0)),"N/A")</f>
        <v>13189</v>
      </c>
      <c r="B4783" s="4" t="s">
        <v>626</v>
      </c>
      <c r="C4783" s="4" t="s">
        <v>298</v>
      </c>
      <c r="D4783" s="94">
        <v>2291.0</v>
      </c>
    </row>
    <row r="4784">
      <c r="A4784" s="40">
        <f t="array" ref="A4784">IFNA(index(PlayerValues!A:A,match(IFNA(vlookup(B4784,'Special Names'!A:B,2,FALSE),B4784),PlayerValues!E:E,0)),"N/A")</f>
        <v>17512</v>
      </c>
      <c r="B4784" s="4" t="s">
        <v>483</v>
      </c>
      <c r="C4784" s="4" t="s">
        <v>287</v>
      </c>
      <c r="D4784" s="94">
        <v>1902.0</v>
      </c>
    </row>
    <row r="4785">
      <c r="A4785" s="40">
        <f t="array" ref="A4785">IFNA(index(PlayerValues!A:A,match(IFNA(vlookup(B4785,'Special Names'!A:B,2,FALSE),B4785),PlayerValues!E:E,0)),"N/A")</f>
        <v>17546</v>
      </c>
      <c r="B4785" s="4" t="s">
        <v>671</v>
      </c>
      <c r="C4785" s="4" t="s">
        <v>298</v>
      </c>
      <c r="D4785" s="94">
        <v>2276.0</v>
      </c>
    </row>
    <row r="4786">
      <c r="A4786" s="40">
        <f t="array" ref="A4786">IFNA(index(PlayerValues!A:A,match(IFNA(vlookup(B4786,'Special Names'!A:B,2,FALSE),B4786),PlayerValues!E:E,0)),"N/A")</f>
        <v>16215</v>
      </c>
      <c r="B4786" s="4" t="s">
        <v>637</v>
      </c>
      <c r="C4786" s="4" t="s">
        <v>298</v>
      </c>
      <c r="D4786" s="94">
        <v>2271.0</v>
      </c>
    </row>
    <row r="4787">
      <c r="A4787" s="40">
        <f t="array" ref="A4787">IFNA(index(PlayerValues!A:A,match(IFNA(vlookup(B4787,'Special Names'!A:B,2,FALSE),B4787),PlayerValues!E:E,0)),"N/A")</f>
        <v>16778</v>
      </c>
      <c r="B4787" s="4" t="s">
        <v>577</v>
      </c>
      <c r="C4787" s="4" t="s">
        <v>287</v>
      </c>
      <c r="D4787" s="94">
        <v>1889.0</v>
      </c>
    </row>
    <row r="4788">
      <c r="A4788" s="40">
        <f t="array" ref="A4788">IFNA(index(PlayerValues!A:A,match(IFNA(vlookup(B4788,'Special Names'!A:B,2,FALSE),B4788),PlayerValues!E:E,0)),"N/A")</f>
        <v>16635</v>
      </c>
      <c r="B4788" s="4" t="s">
        <v>645</v>
      </c>
      <c r="C4788" s="4" t="s">
        <v>287</v>
      </c>
      <c r="D4788" s="94">
        <v>1884.0</v>
      </c>
    </row>
    <row r="4789">
      <c r="A4789" s="40" t="str">
        <f t="array" ref="A4789">IFNA(index(PlayerValues!A:A,match(IFNA(vlookup(B4789,'Special Names'!A:B,2,FALSE),B4789),PlayerValues!E:E,0)),"N/A")</f>
        <v>N/A</v>
      </c>
      <c r="B4789" s="4" t="s">
        <v>114</v>
      </c>
      <c r="C4789" s="4" t="s">
        <v>325</v>
      </c>
      <c r="D4789" s="94">
        <v>1882.0</v>
      </c>
    </row>
    <row r="4790">
      <c r="A4790" s="40">
        <f t="array" ref="A4790">IFNA(index(PlayerValues!A:A,match(IFNA(vlookup(B4790,'Special Names'!A:B,2,FALSE),B4790),PlayerValues!E:E,0)),"N/A")</f>
        <v>15337</v>
      </c>
      <c r="B4790" s="4" t="s">
        <v>655</v>
      </c>
      <c r="C4790" s="4" t="s">
        <v>298</v>
      </c>
      <c r="D4790" s="94">
        <v>2259.0</v>
      </c>
    </row>
    <row r="4791">
      <c r="A4791" s="40">
        <f t="array" ref="A4791">IFNA(index(PlayerValues!A:A,match(IFNA(vlookup(B4791,'Special Names'!A:B,2,FALSE),B4791),PlayerValues!E:E,0)),"N/A")</f>
        <v>17061</v>
      </c>
      <c r="B4791" s="4" t="s">
        <v>580</v>
      </c>
      <c r="C4791" s="4" t="s">
        <v>278</v>
      </c>
      <c r="D4791" s="94">
        <v>1872.0</v>
      </c>
    </row>
    <row r="4792">
      <c r="A4792" s="40">
        <f t="array" ref="A4792">IFNA(index(PlayerValues!A:A,match(IFNA(vlookup(B4792,'Special Names'!A:B,2,FALSE),B4792),PlayerValues!E:E,0)),"N/A")</f>
        <v>17517</v>
      </c>
      <c r="B4792" s="4" t="s">
        <v>454</v>
      </c>
      <c r="C4792" s="4" t="s">
        <v>287</v>
      </c>
      <c r="D4792" s="94">
        <v>1868.0</v>
      </c>
    </row>
    <row r="4793">
      <c r="A4793" s="40">
        <f t="array" ref="A4793">IFNA(index(PlayerValues!A:A,match(IFNA(vlookup(B4793,'Special Names'!A:B,2,FALSE),B4793),PlayerValues!E:E,0)),"N/A")</f>
        <v>15254</v>
      </c>
      <c r="B4793" s="4" t="s">
        <v>633</v>
      </c>
      <c r="C4793" s="4" t="s">
        <v>278</v>
      </c>
      <c r="D4793" s="94">
        <v>1864.0</v>
      </c>
    </row>
    <row r="4794">
      <c r="A4794" s="40">
        <f t="array" ref="A4794">IFNA(index(PlayerValues!A:A,match(IFNA(vlookup(B4794,'Special Names'!A:B,2,FALSE),B4794),PlayerValues!E:E,0)),"N/A")</f>
        <v>15759</v>
      </c>
      <c r="B4794" s="4" t="s">
        <v>662</v>
      </c>
      <c r="C4794" s="4" t="s">
        <v>287</v>
      </c>
      <c r="D4794" s="94">
        <v>1862.0</v>
      </c>
    </row>
    <row r="4795">
      <c r="A4795" s="40">
        <f t="array" ref="A4795">IFNA(index(PlayerValues!A:A,match(IFNA(vlookup(B4795,'Special Names'!A:B,2,FALSE),B4795),PlayerValues!E:E,0)),"N/A")</f>
        <v>17508</v>
      </c>
      <c r="B4795" s="4" t="s">
        <v>534</v>
      </c>
      <c r="C4795" s="4" t="s">
        <v>287</v>
      </c>
      <c r="D4795" s="94">
        <v>1861.0</v>
      </c>
    </row>
    <row r="4796">
      <c r="A4796" s="40">
        <f t="array" ref="A4796">IFNA(index(PlayerValues!A:A,match(IFNA(vlookup(B4796,'Special Names'!A:B,2,FALSE),B4796),PlayerValues!E:E,0)),"N/A")</f>
        <v>16201</v>
      </c>
      <c r="B4796" s="4" t="s">
        <v>589</v>
      </c>
      <c r="C4796" s="4" t="s">
        <v>287</v>
      </c>
      <c r="D4796" s="94">
        <v>1860.0</v>
      </c>
    </row>
    <row r="4797">
      <c r="A4797" s="40">
        <f t="array" ref="A4797">IFNA(index(PlayerValues!A:A,match(IFNA(vlookup(B4797,'Special Names'!A:B,2,FALSE),B4797),PlayerValues!E:E,0)),"N/A")</f>
        <v>17035</v>
      </c>
      <c r="B4797" s="4" t="s">
        <v>650</v>
      </c>
      <c r="C4797" s="4" t="s">
        <v>283</v>
      </c>
      <c r="D4797" s="94">
        <v>1860.0</v>
      </c>
    </row>
    <row r="4798">
      <c r="A4798" s="40">
        <f t="array" ref="A4798">IFNA(index(PlayerValues!A:A,match(IFNA(vlookup(B4798,'Special Names'!A:B,2,FALSE),B4798),PlayerValues!E:E,0)),"N/A")</f>
        <v>17547</v>
      </c>
      <c r="B4798" s="4" t="s">
        <v>552</v>
      </c>
      <c r="C4798" s="4" t="s">
        <v>298</v>
      </c>
      <c r="D4798" s="94">
        <v>2242.0</v>
      </c>
    </row>
    <row r="4799">
      <c r="A4799" s="40">
        <f t="array" ref="A4799">IFNA(index(PlayerValues!A:A,match(IFNA(vlookup(B4799,'Special Names'!A:B,2,FALSE),B4799),PlayerValues!E:E,0)),"N/A")</f>
        <v>16595</v>
      </c>
      <c r="B4799" s="4" t="s">
        <v>664</v>
      </c>
      <c r="C4799" s="4" t="s">
        <v>278</v>
      </c>
      <c r="D4799" s="94">
        <v>1843.0</v>
      </c>
    </row>
    <row r="4800">
      <c r="A4800" s="40" t="str">
        <f t="array" ref="A4800">IFNA(index(PlayerValues!A:A,match(IFNA(vlookup(B4800,'Special Names'!A:B,2,FALSE),B4800),PlayerValues!E:E,0)),"N/A")</f>
        <v>N/A</v>
      </c>
      <c r="B4800" s="4" t="s">
        <v>101</v>
      </c>
      <c r="C4800" s="4" t="s">
        <v>325</v>
      </c>
      <c r="D4800" s="94">
        <v>1829.0</v>
      </c>
    </row>
    <row r="4801">
      <c r="A4801" s="40">
        <f t="array" ref="A4801">IFNA(index(PlayerValues!A:A,match(IFNA(vlookup(B4801,'Special Names'!A:B,2,FALSE),B4801),PlayerValues!E:E,0)),"N/A")</f>
        <v>16585</v>
      </c>
      <c r="B4801" s="4" t="s">
        <v>623</v>
      </c>
      <c r="C4801" s="4" t="s">
        <v>283</v>
      </c>
      <c r="D4801" s="94">
        <v>1814.0</v>
      </c>
    </row>
    <row r="4802">
      <c r="A4802" s="40">
        <f t="array" ref="A4802">IFNA(index(PlayerValues!A:A,match(IFNA(vlookup(B4802,'Special Names'!A:B,2,FALSE),B4802),PlayerValues!E:E,0)),"N/A")</f>
        <v>15786</v>
      </c>
      <c r="B4802" s="4" t="s">
        <v>521</v>
      </c>
      <c r="C4802" s="4" t="s">
        <v>287</v>
      </c>
      <c r="D4802" s="94">
        <v>1809.0</v>
      </c>
    </row>
    <row r="4803">
      <c r="A4803" s="40">
        <f t="array" ref="A4803">IFNA(index(PlayerValues!A:A,match(IFNA(vlookup(B4803,'Special Names'!A:B,2,FALSE),B4803),PlayerValues!E:E,0)),"N/A")</f>
        <v>16788</v>
      </c>
      <c r="B4803" s="4" t="s">
        <v>621</v>
      </c>
      <c r="C4803" s="4" t="s">
        <v>287</v>
      </c>
      <c r="D4803" s="94">
        <v>1796.0</v>
      </c>
    </row>
    <row r="4804">
      <c r="A4804" s="40">
        <f t="array" ref="A4804">IFNA(index(PlayerValues!A:A,match(IFNA(vlookup(B4804,'Special Names'!A:B,2,FALSE),B4804),PlayerValues!E:E,0)),"N/A")</f>
        <v>17086</v>
      </c>
      <c r="B4804" s="4" t="s">
        <v>612</v>
      </c>
      <c r="C4804" s="4" t="s">
        <v>287</v>
      </c>
      <c r="D4804" s="94">
        <v>1783.0</v>
      </c>
    </row>
    <row r="4805">
      <c r="A4805" s="40">
        <f t="array" ref="A4805">IFNA(index(PlayerValues!A:A,match(IFNA(vlookup(B4805,'Special Names'!A:B,2,FALSE),B4805),PlayerValues!E:E,0)),"N/A")</f>
        <v>17055</v>
      </c>
      <c r="B4805" s="4" t="s">
        <v>565</v>
      </c>
      <c r="C4805" s="4" t="s">
        <v>278</v>
      </c>
      <c r="D4805" s="94">
        <v>1767.0</v>
      </c>
    </row>
    <row r="4806">
      <c r="A4806" s="40">
        <f t="array" ref="A4806">IFNA(index(PlayerValues!A:A,match(IFNA(vlookup(B4806,'Special Names'!A:B,2,FALSE),B4806),PlayerValues!E:E,0)),"N/A")</f>
        <v>17058</v>
      </c>
      <c r="B4806" s="4" t="s">
        <v>641</v>
      </c>
      <c r="C4806" s="4" t="s">
        <v>278</v>
      </c>
      <c r="D4806" s="94">
        <v>1764.0</v>
      </c>
    </row>
    <row r="4807">
      <c r="A4807" s="40">
        <f t="array" ref="A4807">IFNA(index(PlayerValues!A:A,match(IFNA(vlookup(B4807,'Special Names'!A:B,2,FALSE),B4807),PlayerValues!E:E,0)),"N/A")</f>
        <v>16601</v>
      </c>
      <c r="B4807" s="4" t="s">
        <v>648</v>
      </c>
      <c r="C4807" s="4" t="s">
        <v>278</v>
      </c>
      <c r="D4807" s="94">
        <v>1763.0</v>
      </c>
    </row>
    <row r="4808">
      <c r="A4808" s="40">
        <f t="array" ref="A4808">IFNA(index(PlayerValues!A:A,match(IFNA(vlookup(B4808,'Special Names'!A:B,2,FALSE),B4808),PlayerValues!E:E,0)),"N/A")</f>
        <v>11222</v>
      </c>
      <c r="B4808" s="4" t="s">
        <v>622</v>
      </c>
      <c r="C4808" s="4" t="s">
        <v>287</v>
      </c>
      <c r="D4808" s="94">
        <v>1761.0</v>
      </c>
    </row>
    <row r="4809">
      <c r="A4809" s="40">
        <f t="array" ref="A4809">IFNA(index(PlayerValues!A:A,match(IFNA(vlookup(B4809,'Special Names'!A:B,2,FALSE),B4809),PlayerValues!E:E,0)),"N/A")</f>
        <v>14105</v>
      </c>
      <c r="B4809" s="4" t="s">
        <v>675</v>
      </c>
      <c r="C4809" s="4" t="s">
        <v>287</v>
      </c>
      <c r="D4809" s="94">
        <v>1756.0</v>
      </c>
    </row>
    <row r="4810">
      <c r="A4810" s="40" t="str">
        <f t="array" ref="A4810">IFNA(index(PlayerValues!A:A,match(IFNA(vlookup(B4810,'Special Names'!A:B,2,FALSE),B4810),PlayerValues!E:E,0)),"N/A")</f>
        <v>N/A</v>
      </c>
      <c r="B4810" s="4" t="s">
        <v>89</v>
      </c>
      <c r="C4810" s="4" t="s">
        <v>325</v>
      </c>
      <c r="D4810" s="94">
        <v>1753.0</v>
      </c>
    </row>
    <row r="4811">
      <c r="A4811" s="40">
        <f t="array" ref="A4811">IFNA(index(PlayerValues!A:A,match(IFNA(vlookup(B4811,'Special Names'!A:B,2,FALSE),B4811),PlayerValues!E:E,0)),"N/A")</f>
        <v>16586</v>
      </c>
      <c r="B4811" s="4" t="s">
        <v>658</v>
      </c>
      <c r="C4811" s="4" t="s">
        <v>283</v>
      </c>
      <c r="D4811" s="94">
        <v>1743.0</v>
      </c>
    </row>
    <row r="4812">
      <c r="A4812" s="40">
        <f t="array" ref="A4812">IFNA(index(PlayerValues!A:A,match(IFNA(vlookup(B4812,'Special Names'!A:B,2,FALSE),B4812),PlayerValues!E:E,0)),"N/A")</f>
        <v>10700</v>
      </c>
      <c r="B4812" s="4" t="s">
        <v>596</v>
      </c>
      <c r="C4812" s="4" t="s">
        <v>283</v>
      </c>
      <c r="D4812" s="94">
        <v>1730.0</v>
      </c>
    </row>
    <row r="4813">
      <c r="A4813" s="40">
        <f t="array" ref="A4813">IFNA(index(PlayerValues!A:A,match(IFNA(vlookup(B4813,'Special Names'!A:B,2,FALSE),B4813),PlayerValues!E:E,0)),"N/A")</f>
        <v>16629</v>
      </c>
      <c r="B4813" s="4" t="s">
        <v>605</v>
      </c>
      <c r="C4813" s="4" t="s">
        <v>287</v>
      </c>
      <c r="D4813" s="94">
        <v>1730.0</v>
      </c>
    </row>
    <row r="4814">
      <c r="A4814" s="40">
        <f t="array" ref="A4814">IFNA(index(PlayerValues!A:A,match(IFNA(vlookup(B4814,'Special Names'!A:B,2,FALSE),B4814),PlayerValues!E:E,0)),"N/A")</f>
        <v>7836</v>
      </c>
      <c r="B4814" s="4" t="s">
        <v>590</v>
      </c>
      <c r="C4814" s="4" t="s">
        <v>283</v>
      </c>
      <c r="D4814" s="94">
        <v>1726.0</v>
      </c>
    </row>
    <row r="4815">
      <c r="A4815" s="40">
        <f t="array" ref="A4815">IFNA(index(PlayerValues!A:A,match(IFNA(vlookup(B4815,'Special Names'!A:B,2,FALSE),B4815),PlayerValues!E:E,0)),"N/A")</f>
        <v>15787</v>
      </c>
      <c r="B4815" s="4" t="s">
        <v>610</v>
      </c>
      <c r="C4815" s="4" t="s">
        <v>287</v>
      </c>
      <c r="D4815" s="94">
        <v>1725.0</v>
      </c>
    </row>
    <row r="4816">
      <c r="A4816" s="40">
        <f t="array" ref="A4816">IFNA(index(PlayerValues!A:A,match(IFNA(vlookup(B4816,'Special Names'!A:B,2,FALSE),B4816),PlayerValues!E:E,0)),"N/A")</f>
        <v>16207</v>
      </c>
      <c r="B4816" s="4" t="s">
        <v>636</v>
      </c>
      <c r="C4816" s="4" t="s">
        <v>287</v>
      </c>
      <c r="D4816" s="94">
        <v>1704.0</v>
      </c>
    </row>
    <row r="4817">
      <c r="A4817" s="40">
        <f t="array" ref="A4817">IFNA(index(PlayerValues!A:A,match(IFNA(vlookup(B4817,'Special Names'!A:B,2,FALSE),B4817),PlayerValues!E:E,0)),"N/A")</f>
        <v>17481</v>
      </c>
      <c r="B4817" s="4" t="s">
        <v>540</v>
      </c>
      <c r="C4817" s="4" t="s">
        <v>278</v>
      </c>
      <c r="D4817" s="94">
        <v>1703.0</v>
      </c>
    </row>
    <row r="4818">
      <c r="A4818" s="40">
        <f t="array" ref="A4818">IFNA(index(PlayerValues!A:A,match(IFNA(vlookup(B4818,'Special Names'!A:B,2,FALSE),B4818),PlayerValues!E:E,0)),"N/A")</f>
        <v>13629</v>
      </c>
      <c r="B4818" s="4" t="s">
        <v>619</v>
      </c>
      <c r="C4818" s="4" t="s">
        <v>287</v>
      </c>
      <c r="D4818" s="94">
        <v>1699.0</v>
      </c>
    </row>
    <row r="4819">
      <c r="A4819" s="40">
        <f t="array" ref="A4819">IFNA(index(PlayerValues!A:A,match(IFNA(vlookup(B4819,'Special Names'!A:B,2,FALSE),B4819),PlayerValues!E:E,0)),"N/A")</f>
        <v>15777</v>
      </c>
      <c r="B4819" s="4" t="s">
        <v>694</v>
      </c>
      <c r="C4819" s="4" t="s">
        <v>287</v>
      </c>
      <c r="D4819" s="94">
        <v>1692.0</v>
      </c>
    </row>
    <row r="4820">
      <c r="A4820" s="40">
        <f t="array" ref="A4820">IFNA(index(PlayerValues!A:A,match(IFNA(vlookup(B4820,'Special Names'!A:B,2,FALSE),B4820),PlayerValues!E:E,0)),"N/A")</f>
        <v>17205</v>
      </c>
      <c r="B4820" s="4" t="s">
        <v>665</v>
      </c>
      <c r="C4820" s="4" t="s">
        <v>287</v>
      </c>
      <c r="D4820" s="94">
        <v>1682.0</v>
      </c>
    </row>
    <row r="4821">
      <c r="A4821" s="40">
        <f t="array" ref="A4821">IFNA(index(PlayerValues!A:A,match(IFNA(vlookup(B4821,'Special Names'!A:B,2,FALSE),B4821),PlayerValues!E:E,0)),"N/A")</f>
        <v>16604</v>
      </c>
      <c r="B4821" s="4" t="s">
        <v>476</v>
      </c>
      <c r="C4821" s="4" t="s">
        <v>278</v>
      </c>
      <c r="D4821" s="94">
        <v>1677.0</v>
      </c>
    </row>
    <row r="4822">
      <c r="A4822" s="40" t="str">
        <f t="array" ref="A4822">IFNA(index(PlayerValues!A:A,match(IFNA(vlookup(B4822,'Special Names'!A:B,2,FALSE),B4822),PlayerValues!E:E,0)),"N/A")</f>
        <v>N/A</v>
      </c>
      <c r="B4822" s="4" t="s">
        <v>102</v>
      </c>
      <c r="C4822" s="4" t="s">
        <v>325</v>
      </c>
      <c r="D4822" s="94">
        <v>1671.0</v>
      </c>
    </row>
    <row r="4823">
      <c r="A4823" s="40">
        <f t="array" ref="A4823">IFNA(index(PlayerValues!A:A,match(IFNA(vlookup(B4823,'Special Names'!A:B,2,FALSE),B4823),PlayerValues!E:E,0)),"N/A")</f>
        <v>17520</v>
      </c>
      <c r="B4823" s="4" t="s">
        <v>518</v>
      </c>
      <c r="C4823" s="4" t="s">
        <v>287</v>
      </c>
      <c r="D4823" s="94">
        <v>1671.0</v>
      </c>
    </row>
    <row r="4824">
      <c r="A4824" s="40">
        <f t="array" ref="A4824">IFNA(index(PlayerValues!A:A,match(IFNA(vlookup(B4824,'Special Names'!A:B,2,FALSE),B4824),PlayerValues!E:E,0)),"N/A")</f>
        <v>13164</v>
      </c>
      <c r="B4824" s="4" t="s">
        <v>632</v>
      </c>
      <c r="C4824" s="4" t="s">
        <v>287</v>
      </c>
      <c r="D4824" s="94">
        <v>1668.0</v>
      </c>
    </row>
    <row r="4825">
      <c r="A4825" s="40">
        <f t="array" ref="A4825">IFNA(index(PlayerValues!A:A,match(IFNA(vlookup(B4825,'Special Names'!A:B,2,FALSE),B4825),PlayerValues!E:E,0)),"N/A")</f>
        <v>17064</v>
      </c>
      <c r="B4825" s="4" t="s">
        <v>631</v>
      </c>
      <c r="C4825" s="4" t="s">
        <v>278</v>
      </c>
      <c r="D4825" s="94">
        <v>1668.0</v>
      </c>
    </row>
    <row r="4826">
      <c r="A4826" s="40">
        <f t="array" ref="A4826">IFNA(index(PlayerValues!A:A,match(IFNA(vlookup(B4826,'Special Names'!A:B,2,FALSE),B4826),PlayerValues!E:E,0)),"N/A")</f>
        <v>17234</v>
      </c>
      <c r="B4826" s="4" t="s">
        <v>653</v>
      </c>
      <c r="C4826" s="4" t="s">
        <v>287</v>
      </c>
      <c r="D4826" s="94">
        <v>1653.0</v>
      </c>
    </row>
    <row r="4827">
      <c r="A4827" s="40">
        <f t="array" ref="A4827">IFNA(index(PlayerValues!A:A,match(IFNA(vlookup(B4827,'Special Names'!A:B,2,FALSE),B4827),PlayerValues!E:E,0)),"N/A")</f>
        <v>17528</v>
      </c>
      <c r="B4827" s="4" t="s">
        <v>579</v>
      </c>
      <c r="C4827" s="4" t="s">
        <v>287</v>
      </c>
      <c r="D4827" s="94">
        <v>1649.0</v>
      </c>
    </row>
    <row r="4828">
      <c r="A4828" s="40" t="str">
        <f t="array" ref="A4828">IFNA(index(PlayerValues!A:A,match(IFNA(vlookup(B4828,'Special Names'!A:B,2,FALSE),B4828),PlayerValues!E:E,0)),"N/A")</f>
        <v>N/A</v>
      </c>
      <c r="B4828" s="4" t="s">
        <v>90</v>
      </c>
      <c r="C4828" s="4" t="s">
        <v>325</v>
      </c>
      <c r="D4828" s="94">
        <v>1641.0</v>
      </c>
    </row>
    <row r="4829">
      <c r="A4829" s="40">
        <f t="array" ref="A4829">IFNA(index(PlayerValues!A:A,match(IFNA(vlookup(B4829,'Special Names'!A:B,2,FALSE),B4829),PlayerValues!E:E,0)),"N/A")</f>
        <v>16633</v>
      </c>
      <c r="B4829" s="4" t="s">
        <v>656</v>
      </c>
      <c r="C4829" s="4" t="s">
        <v>287</v>
      </c>
      <c r="D4829" s="94">
        <v>1633.0</v>
      </c>
    </row>
    <row r="4830">
      <c r="A4830" s="40">
        <f t="array" ref="A4830">IFNA(index(PlayerValues!A:A,match(IFNA(vlookup(B4830,'Special Names'!A:B,2,FALSE),B4830),PlayerValues!E:E,0)),"N/A")</f>
        <v>14143</v>
      </c>
      <c r="B4830" s="4" t="s">
        <v>635</v>
      </c>
      <c r="C4830" s="4" t="s">
        <v>298</v>
      </c>
      <c r="D4830" s="94">
        <v>1992.0</v>
      </c>
    </row>
    <row r="4831">
      <c r="A4831" s="40">
        <f t="array" ref="A4831">IFNA(index(PlayerValues!A:A,match(IFNA(vlookup(B4831,'Special Names'!A:B,2,FALSE),B4831),PlayerValues!E:E,0)),"N/A")</f>
        <v>15727</v>
      </c>
      <c r="B4831" s="4" t="s">
        <v>730</v>
      </c>
      <c r="C4831" s="4" t="s">
        <v>278</v>
      </c>
      <c r="D4831" s="94">
        <v>1615.0</v>
      </c>
    </row>
    <row r="4832">
      <c r="A4832" s="40">
        <f t="array" ref="A4832">IFNA(index(PlayerValues!A:A,match(IFNA(vlookup(B4832,'Special Names'!A:B,2,FALSE),B4832),PlayerValues!E:E,0)),"N/A")</f>
        <v>17545</v>
      </c>
      <c r="B4832" s="4" t="s">
        <v>719</v>
      </c>
      <c r="C4832" s="4" t="s">
        <v>298</v>
      </c>
      <c r="D4832" s="94">
        <v>1991.0</v>
      </c>
    </row>
    <row r="4833">
      <c r="A4833" s="40">
        <f t="array" ref="A4833">IFNA(index(PlayerValues!A:A,match(IFNA(vlookup(B4833,'Special Names'!A:B,2,FALSE),B4833),PlayerValues!E:E,0)),"N/A")</f>
        <v>13131</v>
      </c>
      <c r="B4833" s="4" t="s">
        <v>815</v>
      </c>
      <c r="C4833" s="4" t="s">
        <v>278</v>
      </c>
      <c r="D4833" s="94">
        <v>1612.0</v>
      </c>
    </row>
    <row r="4834">
      <c r="A4834" s="40">
        <f t="array" ref="A4834">IFNA(index(PlayerValues!A:A,match(IFNA(vlookup(B4834,'Special Names'!A:B,2,FALSE),B4834),PlayerValues!E:E,0)),"N/A")</f>
        <v>17037</v>
      </c>
      <c r="B4834" s="4" t="s">
        <v>727</v>
      </c>
      <c r="C4834" s="4" t="s">
        <v>283</v>
      </c>
      <c r="D4834" s="94">
        <v>1610.0</v>
      </c>
    </row>
    <row r="4835">
      <c r="A4835" s="40">
        <f t="array" ref="A4835">IFNA(index(PlayerValues!A:A,match(IFNA(vlookup(B4835,'Special Names'!A:B,2,FALSE),B4835),PlayerValues!E:E,0)),"N/A")</f>
        <v>17096</v>
      </c>
      <c r="B4835" s="4" t="s">
        <v>638</v>
      </c>
      <c r="C4835" s="4" t="s">
        <v>287</v>
      </c>
      <c r="D4835" s="94">
        <v>1605.0</v>
      </c>
    </row>
    <row r="4836">
      <c r="A4836" s="40" t="str">
        <f t="array" ref="A4836">IFNA(index(PlayerValues!A:A,match(IFNA(vlookup(B4836,'Special Names'!A:B,2,FALSE),B4836),PlayerValues!E:E,0)),"N/A")</f>
        <v>N/A</v>
      </c>
      <c r="B4836" s="4" t="s">
        <v>115</v>
      </c>
      <c r="C4836" s="4" t="s">
        <v>325</v>
      </c>
      <c r="D4836" s="94">
        <v>1602.0</v>
      </c>
    </row>
    <row r="4837">
      <c r="A4837" s="40">
        <f t="array" ref="A4837">IFNA(index(PlayerValues!A:A,match(IFNA(vlookup(B4837,'Special Names'!A:B,2,FALSE),B4837),PlayerValues!E:E,0)),"N/A")</f>
        <v>13193</v>
      </c>
      <c r="B4837" s="4" t="s">
        <v>773</v>
      </c>
      <c r="C4837" s="4" t="s">
        <v>298</v>
      </c>
      <c r="D4837" s="94">
        <v>1970.0</v>
      </c>
    </row>
    <row r="4838">
      <c r="A4838" s="40">
        <f t="array" ref="A4838">IFNA(index(PlayerValues!A:A,match(IFNA(vlookup(B4838,'Special Names'!A:B,2,FALSE),B4838),PlayerValues!E:E,0)),"N/A")</f>
        <v>14122</v>
      </c>
      <c r="B4838" s="4" t="s">
        <v>663</v>
      </c>
      <c r="C4838" s="4" t="s">
        <v>287</v>
      </c>
      <c r="D4838" s="94">
        <v>1588.0</v>
      </c>
    </row>
    <row r="4839">
      <c r="A4839" s="40">
        <f t="array" ref="A4839">IFNA(index(PlayerValues!A:A,match(IFNA(vlookup(B4839,'Special Names'!A:B,2,FALSE),B4839),PlayerValues!E:E,0)),"N/A")</f>
        <v>12140</v>
      </c>
      <c r="B4839" s="4" t="s">
        <v>702</v>
      </c>
      <c r="C4839" s="4" t="s">
        <v>283</v>
      </c>
      <c r="D4839" s="94">
        <v>1588.0</v>
      </c>
    </row>
    <row r="4840">
      <c r="A4840" s="40">
        <f t="array" ref="A4840">IFNA(index(PlayerValues!A:A,match(IFNA(vlookup(B4840,'Special Names'!A:B,2,FALSE),B4840),PlayerValues!E:E,0)),"N/A")</f>
        <v>16688</v>
      </c>
      <c r="B4840" s="4" t="s">
        <v>688</v>
      </c>
      <c r="C4840" s="4" t="s">
        <v>278</v>
      </c>
      <c r="D4840" s="94">
        <v>1585.0</v>
      </c>
    </row>
    <row r="4841">
      <c r="A4841" s="40">
        <f t="array" ref="A4841">IFNA(index(PlayerValues!A:A,match(IFNA(vlookup(B4841,'Special Names'!A:B,2,FALSE),B4841),PlayerValues!E:E,0)),"N/A")</f>
        <v>15252</v>
      </c>
      <c r="B4841" s="4" t="s">
        <v>715</v>
      </c>
      <c r="C4841" s="4" t="s">
        <v>283</v>
      </c>
      <c r="D4841" s="94">
        <v>1571.0</v>
      </c>
    </row>
    <row r="4842">
      <c r="A4842" s="40" t="str">
        <f t="array" ref="A4842">IFNA(index(PlayerValues!A:A,match(IFNA(vlookup(B4842,'Special Names'!A:B,2,FALSE),B4842),PlayerValues!E:E,0)),"N/A")</f>
        <v>N/A</v>
      </c>
      <c r="B4842" s="4" t="s">
        <v>103</v>
      </c>
      <c r="C4842" s="4" t="s">
        <v>325</v>
      </c>
      <c r="D4842" s="94">
        <v>1566.0</v>
      </c>
    </row>
    <row r="4843">
      <c r="A4843" s="40">
        <f t="array" ref="A4843">IFNA(index(PlayerValues!A:A,match(IFNA(vlookup(B4843,'Special Names'!A:B,2,FALSE),B4843),PlayerValues!E:E,0)),"N/A")</f>
        <v>16390</v>
      </c>
      <c r="B4843" s="4" t="s">
        <v>689</v>
      </c>
      <c r="C4843" s="4" t="s">
        <v>278</v>
      </c>
      <c r="D4843" s="94">
        <v>1561.0</v>
      </c>
    </row>
    <row r="4844">
      <c r="A4844" s="40">
        <f t="array" ref="A4844">IFNA(index(PlayerValues!A:A,match(IFNA(vlookup(B4844,'Special Names'!A:B,2,FALSE),B4844),PlayerValues!E:E,0)),"N/A")</f>
        <v>12141</v>
      </c>
      <c r="B4844" s="4" t="s">
        <v>744</v>
      </c>
      <c r="C4844" s="4" t="s">
        <v>283</v>
      </c>
      <c r="D4844" s="94">
        <v>1535.0</v>
      </c>
    </row>
    <row r="4845">
      <c r="A4845" s="40">
        <f t="array" ref="A4845">IFNA(index(PlayerValues!A:A,match(IFNA(vlookup(B4845,'Special Names'!A:B,2,FALSE),B4845),PlayerValues!E:E,0)),"N/A")</f>
        <v>14080</v>
      </c>
      <c r="B4845" s="4" t="s">
        <v>716</v>
      </c>
      <c r="C4845" s="4" t="s">
        <v>278</v>
      </c>
      <c r="D4845" s="94">
        <v>1525.0</v>
      </c>
    </row>
    <row r="4846">
      <c r="A4846" s="40" t="str">
        <f t="array" ref="A4846">IFNA(index(PlayerValues!A:A,match(IFNA(vlookup(B4846,'Special Names'!A:B,2,FALSE),B4846),PlayerValues!E:E,0)),"N/A")</f>
        <v>N/A</v>
      </c>
      <c r="B4846" s="4" t="s">
        <v>91</v>
      </c>
      <c r="C4846" s="4" t="s">
        <v>325</v>
      </c>
      <c r="D4846" s="94">
        <v>1515.0</v>
      </c>
    </row>
    <row r="4847">
      <c r="A4847" s="40" t="str">
        <f t="array" ref="A4847">IFNA(index(PlayerValues!A:A,match(IFNA(vlookup(B4847,'Special Names'!A:B,2,FALSE),B4847),PlayerValues!E:E,0)),"N/A")</f>
        <v>N/A</v>
      </c>
      <c r="B4847" s="4" t="s">
        <v>116</v>
      </c>
      <c r="C4847" s="4" t="s">
        <v>325</v>
      </c>
      <c r="D4847" s="94">
        <v>1515.0</v>
      </c>
    </row>
    <row r="4848">
      <c r="A4848" s="40">
        <f t="array" ref="A4848">IFNA(index(PlayerValues!A:A,match(IFNA(vlookup(B4848,'Special Names'!A:B,2,FALSE),B4848),PlayerValues!E:E,0)),"N/A")</f>
        <v>15258</v>
      </c>
      <c r="B4848" s="4" t="s">
        <v>757</v>
      </c>
      <c r="C4848" s="4" t="s">
        <v>278</v>
      </c>
      <c r="D4848" s="94">
        <v>1511.0</v>
      </c>
    </row>
    <row r="4849">
      <c r="A4849" s="40">
        <f t="array" ref="A4849">IFNA(index(PlayerValues!A:A,match(IFNA(vlookup(B4849,'Special Names'!A:B,2,FALSE),B4849),PlayerValues!E:E,0)),"N/A")</f>
        <v>15319</v>
      </c>
      <c r="B4849" s="4" t="s">
        <v>644</v>
      </c>
      <c r="C4849" s="4" t="s">
        <v>287</v>
      </c>
      <c r="D4849" s="94">
        <v>1511.0</v>
      </c>
    </row>
    <row r="4850">
      <c r="A4850" s="40">
        <f t="array" ref="A4850">IFNA(index(PlayerValues!A:A,match(IFNA(vlookup(B4850,'Special Names'!A:B,2,FALSE),B4850),PlayerValues!E:E,0)),"N/A")</f>
        <v>15713</v>
      </c>
      <c r="B4850" s="4" t="s">
        <v>732</v>
      </c>
      <c r="C4850" s="4" t="s">
        <v>278</v>
      </c>
      <c r="D4850" s="94">
        <v>1494.0</v>
      </c>
    </row>
    <row r="4851">
      <c r="A4851" s="40">
        <f t="array" ref="A4851">IFNA(index(PlayerValues!A:A,match(IFNA(vlookup(B4851,'Special Names'!A:B,2,FALSE),B4851),PlayerValues!E:E,0)),"N/A")</f>
        <v>13418</v>
      </c>
      <c r="B4851" s="4" t="s">
        <v>706</v>
      </c>
      <c r="C4851" s="4" t="s">
        <v>287</v>
      </c>
      <c r="D4851" s="94">
        <v>1474.0</v>
      </c>
    </row>
    <row r="4852">
      <c r="A4852" s="40">
        <f t="array" ref="A4852">IFNA(index(PlayerValues!A:A,match(IFNA(vlookup(B4852,'Special Names'!A:B,2,FALSE),B4852),PlayerValues!E:E,0)),"N/A")</f>
        <v>17077</v>
      </c>
      <c r="B4852" s="4" t="s">
        <v>714</v>
      </c>
      <c r="C4852" s="4" t="s">
        <v>287</v>
      </c>
      <c r="D4852" s="94">
        <v>1474.0</v>
      </c>
    </row>
    <row r="4853">
      <c r="A4853" s="40">
        <f t="array" ref="A4853">IFNA(index(PlayerValues!A:A,match(IFNA(vlookup(B4853,'Special Names'!A:B,2,FALSE),B4853),PlayerValues!E:E,0)),"N/A")</f>
        <v>15755</v>
      </c>
      <c r="B4853" s="4" t="s">
        <v>628</v>
      </c>
      <c r="C4853" s="4" t="s">
        <v>287</v>
      </c>
      <c r="D4853" s="94">
        <v>1471.0</v>
      </c>
    </row>
    <row r="4854">
      <c r="A4854" s="40">
        <f t="array" ref="A4854">IFNA(index(PlayerValues!A:A,match(IFNA(vlookup(B4854,'Special Names'!A:B,2,FALSE),B4854),PlayerValues!E:E,0)),"N/A")</f>
        <v>17254</v>
      </c>
      <c r="B4854" s="4" t="s">
        <v>679</v>
      </c>
      <c r="C4854" s="4" t="s">
        <v>287</v>
      </c>
      <c r="D4854" s="94">
        <v>1465.0</v>
      </c>
    </row>
    <row r="4855">
      <c r="A4855" s="40">
        <f t="array" ref="A4855">IFNA(index(PlayerValues!A:A,match(IFNA(vlookup(B4855,'Special Names'!A:B,2,FALSE),B4855),PlayerValues!E:E,0)),"N/A")</f>
        <v>15738</v>
      </c>
      <c r="B4855" s="4" t="s">
        <v>634</v>
      </c>
      <c r="C4855" s="4" t="s">
        <v>278</v>
      </c>
      <c r="D4855" s="94">
        <v>1459.0</v>
      </c>
    </row>
    <row r="4856">
      <c r="A4856" s="40">
        <f t="array" ref="A4856">IFNA(index(PlayerValues!A:A,match(IFNA(vlookup(B4856,'Special Names'!A:B,2,FALSE),B4856),PlayerValues!E:E,0)),"N/A")</f>
        <v>15752</v>
      </c>
      <c r="B4856" s="4" t="s">
        <v>647</v>
      </c>
      <c r="C4856" s="4" t="s">
        <v>287</v>
      </c>
      <c r="D4856" s="94">
        <v>1457.0</v>
      </c>
    </row>
    <row r="4857">
      <c r="A4857" s="40">
        <f t="array" ref="A4857">IFNA(index(PlayerValues!A:A,match(IFNA(vlookup(B4857,'Special Names'!A:B,2,FALSE),B4857),PlayerValues!E:E,0)),"N/A")</f>
        <v>16631</v>
      </c>
      <c r="B4857" s="4" t="s">
        <v>800</v>
      </c>
      <c r="C4857" s="4" t="s">
        <v>287</v>
      </c>
      <c r="D4857" s="94">
        <v>1452.0</v>
      </c>
    </row>
    <row r="4858">
      <c r="A4858" s="40">
        <f t="array" ref="A4858">IFNA(index(PlayerValues!A:A,match(IFNA(vlookup(B4858,'Special Names'!A:B,2,FALSE),B4858),PlayerValues!E:E,0)),"N/A")</f>
        <v>13672</v>
      </c>
      <c r="B4858" s="4" t="s">
        <v>667</v>
      </c>
      <c r="C4858" s="4" t="s">
        <v>298</v>
      </c>
      <c r="D4858" s="94">
        <v>1823.0</v>
      </c>
    </row>
    <row r="4859">
      <c r="A4859" s="40">
        <f t="array" ref="A4859">IFNA(index(PlayerValues!A:A,match(IFNA(vlookup(B4859,'Special Names'!A:B,2,FALSE),B4859),PlayerValues!E:E,0)),"N/A")</f>
        <v>11150</v>
      </c>
      <c r="B4859" s="4" t="s">
        <v>559</v>
      </c>
      <c r="C4859" s="4" t="s">
        <v>283</v>
      </c>
      <c r="D4859" s="94">
        <v>1449.0</v>
      </c>
    </row>
    <row r="4860">
      <c r="A4860" s="40">
        <f t="array" ref="A4860">IFNA(index(PlayerValues!A:A,match(IFNA(vlookup(B4860,'Special Names'!A:B,2,FALSE),B4860),PlayerValues!E:E,0)),"N/A")</f>
        <v>14095</v>
      </c>
      <c r="B4860" s="4" t="s">
        <v>680</v>
      </c>
      <c r="C4860" s="4" t="s">
        <v>278</v>
      </c>
      <c r="D4860" s="94">
        <v>1447.0</v>
      </c>
    </row>
    <row r="4861">
      <c r="A4861" s="40">
        <f t="array" ref="A4861">IFNA(index(PlayerValues!A:A,match(IFNA(vlookup(B4861,'Special Names'!A:B,2,FALSE),B4861),PlayerValues!E:E,0)),"N/A")</f>
        <v>17269</v>
      </c>
      <c r="B4861" s="4" t="s">
        <v>718</v>
      </c>
      <c r="C4861" s="4" t="s">
        <v>287</v>
      </c>
      <c r="D4861" s="94">
        <v>1441.0</v>
      </c>
    </row>
    <row r="4862">
      <c r="A4862" s="40">
        <f t="array" ref="A4862">IFNA(index(PlayerValues!A:A,match(IFNA(vlookup(B4862,'Special Names'!A:B,2,FALSE),B4862),PlayerValues!E:E,0)),"N/A")</f>
        <v>17062</v>
      </c>
      <c r="B4862" s="4" t="s">
        <v>701</v>
      </c>
      <c r="C4862" s="4" t="s">
        <v>278</v>
      </c>
      <c r="D4862" s="94">
        <v>1430.0</v>
      </c>
    </row>
    <row r="4863">
      <c r="A4863" s="40">
        <f t="array" ref="A4863">IFNA(index(PlayerValues!A:A,match(IFNA(vlookup(B4863,'Special Names'!A:B,2,FALSE),B4863),PlayerValues!E:E,0)),"N/A")</f>
        <v>15332</v>
      </c>
      <c r="B4863" s="4" t="s">
        <v>698</v>
      </c>
      <c r="C4863" s="4" t="s">
        <v>298</v>
      </c>
      <c r="D4863" s="94">
        <v>1780.0</v>
      </c>
    </row>
    <row r="4864">
      <c r="A4864" s="40">
        <f t="array" ref="A4864">IFNA(index(PlayerValues!A:A,match(IFNA(vlookup(B4864,'Special Names'!A:B,2,FALSE),B4864),PlayerValues!E:E,0)),"N/A")</f>
        <v>13138</v>
      </c>
      <c r="B4864" s="4" t="s">
        <v>817</v>
      </c>
      <c r="C4864" s="4" t="s">
        <v>278</v>
      </c>
      <c r="D4864" s="94">
        <v>1400.0</v>
      </c>
    </row>
    <row r="4865">
      <c r="A4865" s="40">
        <f t="array" ref="A4865">IFNA(index(PlayerValues!A:A,match(IFNA(vlookup(B4865,'Special Names'!A:B,2,FALSE),B4865),PlayerValues!E:E,0)),"N/A")</f>
        <v>15788</v>
      </c>
      <c r="B4865" s="4" t="s">
        <v>627</v>
      </c>
      <c r="C4865" s="4" t="s">
        <v>287</v>
      </c>
      <c r="D4865" s="94">
        <v>1390.0</v>
      </c>
    </row>
    <row r="4866">
      <c r="A4866" s="40">
        <f t="array" ref="A4866">IFNA(index(PlayerValues!A:A,match(IFNA(vlookup(B4866,'Special Names'!A:B,2,FALSE),B4866),PlayerValues!E:E,0)),"N/A")</f>
        <v>17504</v>
      </c>
      <c r="B4866" s="4" t="s">
        <v>693</v>
      </c>
      <c r="C4866" s="4" t="s">
        <v>287</v>
      </c>
      <c r="D4866" s="94">
        <v>1384.0</v>
      </c>
    </row>
    <row r="4867">
      <c r="A4867" s="40">
        <f t="array" ref="A4867">IFNA(index(PlayerValues!A:A,match(IFNA(vlookup(B4867,'Special Names'!A:B,2,FALSE),B4867),PlayerValues!E:E,0)),"N/A")</f>
        <v>15797</v>
      </c>
      <c r="B4867" s="4" t="s">
        <v>556</v>
      </c>
      <c r="C4867" s="4" t="s">
        <v>298</v>
      </c>
      <c r="D4867" s="94">
        <v>1754.0</v>
      </c>
    </row>
    <row r="4868">
      <c r="A4868" s="40">
        <f t="array" ref="A4868">IFNA(index(PlayerValues!A:A,match(IFNA(vlookup(B4868,'Special Names'!A:B,2,FALSE),B4868),PlayerValues!E:E,0)),"N/A")</f>
        <v>17510</v>
      </c>
      <c r="B4868" s="4" t="s">
        <v>661</v>
      </c>
      <c r="C4868" s="4" t="s">
        <v>287</v>
      </c>
      <c r="D4868" s="94">
        <v>1374.0</v>
      </c>
    </row>
    <row r="4869">
      <c r="A4869" s="40">
        <f t="array" ref="A4869">IFNA(index(PlayerValues!A:A,match(IFNA(vlookup(B4869,'Special Names'!A:B,2,FALSE),B4869),PlayerValues!E:E,0)),"N/A")</f>
        <v>17475</v>
      </c>
      <c r="B4869" s="4" t="s">
        <v>615</v>
      </c>
      <c r="C4869" s="4" t="s">
        <v>278</v>
      </c>
      <c r="D4869" s="94">
        <v>1367.0</v>
      </c>
    </row>
    <row r="4870">
      <c r="A4870" s="40">
        <f t="array" ref="A4870">IFNA(index(PlayerValues!A:A,match(IFNA(vlookup(B4870,'Special Names'!A:B,2,FALSE),B4870),PlayerValues!E:E,0)),"N/A")</f>
        <v>15873</v>
      </c>
      <c r="B4870" s="4" t="s">
        <v>681</v>
      </c>
      <c r="C4870" s="4" t="s">
        <v>298</v>
      </c>
      <c r="D4870" s="94">
        <v>1719.0</v>
      </c>
    </row>
    <row r="4871">
      <c r="A4871" s="40">
        <f t="array" ref="A4871">IFNA(index(PlayerValues!A:A,match(IFNA(vlookup(B4871,'Special Names'!A:B,2,FALSE),B4871),PlayerValues!E:E,0)),"N/A")</f>
        <v>17541</v>
      </c>
      <c r="B4871" s="4" t="s">
        <v>616</v>
      </c>
      <c r="C4871" s="4" t="s">
        <v>287</v>
      </c>
      <c r="D4871" s="94">
        <v>1347.0</v>
      </c>
    </row>
    <row r="4872">
      <c r="A4872" s="40">
        <f t="array" ref="A4872">IFNA(index(PlayerValues!A:A,match(IFNA(vlookup(B4872,'Special Names'!A:B,2,FALSE),B4872),PlayerValues!E:E,0)),"N/A")</f>
        <v>16621</v>
      </c>
      <c r="B4872" s="4" t="s">
        <v>672</v>
      </c>
      <c r="C4872" s="4" t="s">
        <v>287</v>
      </c>
      <c r="D4872" s="94">
        <v>1345.0</v>
      </c>
    </row>
    <row r="4873">
      <c r="A4873" s="40">
        <f t="array" ref="A4873">IFNA(index(PlayerValues!A:A,match(IFNA(vlookup(B4873,'Special Names'!A:B,2,FALSE),B4873),PlayerValues!E:E,0)),"N/A")</f>
        <v>14137</v>
      </c>
      <c r="B4873" s="4" t="s">
        <v>676</v>
      </c>
      <c r="C4873" s="4" t="s">
        <v>298</v>
      </c>
      <c r="D4873" s="94">
        <v>1709.0</v>
      </c>
    </row>
    <row r="4874">
      <c r="A4874" s="40">
        <f t="array" ref="A4874">IFNA(index(PlayerValues!A:A,match(IFNA(vlookup(B4874,'Special Names'!A:B,2,FALSE),B4874),PlayerValues!E:E,0)),"N/A")</f>
        <v>17479</v>
      </c>
      <c r="B4874" s="4" t="s">
        <v>756</v>
      </c>
      <c r="C4874" s="4" t="s">
        <v>278</v>
      </c>
      <c r="D4874" s="94">
        <v>1335.0</v>
      </c>
    </row>
    <row r="4875">
      <c r="A4875" s="40">
        <f t="array" ref="A4875">IFNA(index(PlayerValues!A:A,match(IFNA(vlookup(B4875,'Special Names'!A:B,2,FALSE),B4875),PlayerValues!E:E,0)),"N/A")</f>
        <v>15301</v>
      </c>
      <c r="B4875" s="4" t="s">
        <v>657</v>
      </c>
      <c r="C4875" s="4" t="s">
        <v>287</v>
      </c>
      <c r="D4875" s="94">
        <v>1333.0</v>
      </c>
    </row>
    <row r="4876">
      <c r="A4876" s="40">
        <f t="array" ref="A4876">IFNA(index(PlayerValues!A:A,match(IFNA(vlookup(B4876,'Special Names'!A:B,2,FALSE),B4876),PlayerValues!E:E,0)),"N/A")</f>
        <v>16642</v>
      </c>
      <c r="B4876" s="4" t="s">
        <v>691</v>
      </c>
      <c r="C4876" s="4" t="s">
        <v>298</v>
      </c>
      <c r="D4876" s="94">
        <v>1697.0</v>
      </c>
    </row>
    <row r="4877">
      <c r="A4877" s="40" t="str">
        <f t="array" ref="A4877">IFNA(index(PlayerValues!A:A,match(IFNA(vlookup(B4877,'Special Names'!A:B,2,FALSE),B4877),PlayerValues!E:E,0)),"N/A")</f>
        <v>N/A</v>
      </c>
      <c r="B4877" s="4" t="s">
        <v>117</v>
      </c>
      <c r="C4877" s="4" t="s">
        <v>325</v>
      </c>
      <c r="D4877" s="94">
        <v>1315.0</v>
      </c>
    </row>
    <row r="4878">
      <c r="A4878" s="40">
        <f t="array" ref="A4878">IFNA(index(PlayerValues!A:A,match(IFNA(vlookup(B4878,'Special Names'!A:B,2,FALSE),B4878),PlayerValues!E:E,0)),"N/A")</f>
        <v>17487</v>
      </c>
      <c r="B4878" s="4" t="s">
        <v>692</v>
      </c>
      <c r="C4878" s="4" t="s">
        <v>278</v>
      </c>
      <c r="D4878" s="94">
        <v>1312.0</v>
      </c>
    </row>
    <row r="4879">
      <c r="A4879" s="40">
        <f t="array" ref="A4879">IFNA(index(PlayerValues!A:A,match(IFNA(vlookup(B4879,'Special Names'!A:B,2,FALSE),B4879),PlayerValues!E:E,0)),"N/A")</f>
        <v>17486</v>
      </c>
      <c r="B4879" s="4" t="s">
        <v>695</v>
      </c>
      <c r="C4879" s="4" t="s">
        <v>278</v>
      </c>
      <c r="D4879" s="94">
        <v>1309.0</v>
      </c>
    </row>
    <row r="4880">
      <c r="A4880" s="40">
        <f t="array" ref="A4880">IFNA(index(PlayerValues!A:A,match(IFNA(vlookup(B4880,'Special Names'!A:B,2,FALSE),B4880),PlayerValues!E:E,0)),"N/A")</f>
        <v>16385</v>
      </c>
      <c r="B4880" s="4" t="s">
        <v>690</v>
      </c>
      <c r="C4880" s="4" t="s">
        <v>278</v>
      </c>
      <c r="D4880" s="94">
        <v>1295.0</v>
      </c>
    </row>
    <row r="4881">
      <c r="A4881" s="40">
        <f t="array" ref="A4881">IFNA(index(PlayerValues!A:A,match(IFNA(vlookup(B4881,'Special Names'!A:B,2,FALSE),B4881),PlayerValues!E:E,0)),"N/A")</f>
        <v>17470</v>
      </c>
      <c r="B4881" s="4" t="s">
        <v>841</v>
      </c>
      <c r="C4881" s="4" t="s">
        <v>283</v>
      </c>
      <c r="D4881" s="94">
        <v>1295.0</v>
      </c>
    </row>
    <row r="4882">
      <c r="A4882" s="40">
        <f t="array" ref="A4882">IFNA(index(PlayerValues!A:A,match(IFNA(vlookup(B4882,'Special Names'!A:B,2,FALSE),B4882),PlayerValues!E:E,0)),"N/A")</f>
        <v>16175</v>
      </c>
      <c r="B4882" s="4" t="s">
        <v>654</v>
      </c>
      <c r="C4882" s="4" t="s">
        <v>278</v>
      </c>
      <c r="D4882" s="94">
        <v>1284.0</v>
      </c>
    </row>
    <row r="4883">
      <c r="A4883" s="40">
        <f t="array" ref="A4883">IFNA(index(PlayerValues!A:A,match(IFNA(vlookup(B4883,'Special Names'!A:B,2,FALSE),B4883),PlayerValues!E:E,0)),"N/A")</f>
        <v>15292</v>
      </c>
      <c r="B4883" s="4" t="s">
        <v>682</v>
      </c>
      <c r="C4883" s="4" t="s">
        <v>287</v>
      </c>
      <c r="D4883" s="94">
        <v>1275.0</v>
      </c>
    </row>
    <row r="4884">
      <c r="A4884" s="40">
        <f t="array" ref="A4884">IFNA(index(PlayerValues!A:A,match(IFNA(vlookup(B4884,'Special Names'!A:B,2,FALSE),B4884),PlayerValues!E:E,0)),"N/A")</f>
        <v>14086</v>
      </c>
      <c r="B4884" s="4" t="s">
        <v>639</v>
      </c>
      <c r="C4884" s="4" t="s">
        <v>278</v>
      </c>
      <c r="D4884" s="94">
        <v>1263.0</v>
      </c>
    </row>
    <row r="4885">
      <c r="A4885" s="40">
        <f t="array" ref="A4885">IFNA(index(PlayerValues!A:A,match(IFNA(vlookup(B4885,'Special Names'!A:B,2,FALSE),B4885),PlayerValues!E:E,0)),"N/A")</f>
        <v>14592</v>
      </c>
      <c r="B4885" s="4" t="s">
        <v>705</v>
      </c>
      <c r="C4885" s="4" t="s">
        <v>287</v>
      </c>
      <c r="D4885" s="94">
        <v>1257.0</v>
      </c>
    </row>
    <row r="4886">
      <c r="A4886" s="40">
        <f t="array" ref="A4886">IFNA(index(PlayerValues!A:A,match(IFNA(vlookup(B4886,'Special Names'!A:B,2,FALSE),B4886),PlayerValues!E:E,0)),"N/A")</f>
        <v>14108</v>
      </c>
      <c r="B4886" s="4" t="s">
        <v>673</v>
      </c>
      <c r="C4886" s="4" t="s">
        <v>287</v>
      </c>
      <c r="D4886" s="94">
        <v>1252.0</v>
      </c>
    </row>
    <row r="4887">
      <c r="A4887" s="40">
        <f t="array" ref="A4887">IFNA(index(PlayerValues!A:A,match(IFNA(vlookup(B4887,'Special Names'!A:B,2,FALSE),B4887),PlayerValues!E:E,0)),"N/A")</f>
        <v>15240</v>
      </c>
      <c r="B4887" s="4" t="s">
        <v>751</v>
      </c>
      <c r="C4887" s="4" t="s">
        <v>283</v>
      </c>
      <c r="D4887" s="94">
        <v>1247.0</v>
      </c>
    </row>
    <row r="4888">
      <c r="A4888" s="40">
        <f t="array" ref="A4888">IFNA(index(PlayerValues!A:A,match(IFNA(vlookup(B4888,'Special Names'!A:B,2,FALSE),B4888),PlayerValues!E:E,0)),"N/A")</f>
        <v>15702</v>
      </c>
      <c r="B4888" s="4" t="s">
        <v>723</v>
      </c>
      <c r="C4888" s="4" t="s">
        <v>283</v>
      </c>
      <c r="D4888" s="94">
        <v>1247.0</v>
      </c>
    </row>
    <row r="4889">
      <c r="A4889" s="40">
        <f t="array" ref="A4889">IFNA(index(PlayerValues!A:A,match(IFNA(vlookup(B4889,'Special Names'!A:B,2,FALSE),B4889),PlayerValues!E:E,0)),"N/A")</f>
        <v>16149</v>
      </c>
      <c r="B4889" s="4" t="s">
        <v>740</v>
      </c>
      <c r="C4889" s="4" t="s">
        <v>283</v>
      </c>
      <c r="D4889" s="94">
        <v>1230.0</v>
      </c>
    </row>
    <row r="4890">
      <c r="A4890" s="40">
        <f t="array" ref="A4890">IFNA(index(PlayerValues!A:A,match(IFNA(vlookup(B4890,'Special Names'!A:B,2,FALSE),B4890),PlayerValues!E:E,0)),"N/A")</f>
        <v>16451</v>
      </c>
      <c r="B4890" s="4" t="s">
        <v>769</v>
      </c>
      <c r="C4890" s="4" t="s">
        <v>287</v>
      </c>
      <c r="D4890" s="94">
        <v>1229.0</v>
      </c>
    </row>
    <row r="4891">
      <c r="A4891" s="40">
        <f t="array" ref="A4891">IFNA(index(PlayerValues!A:A,match(IFNA(vlookup(B4891,'Special Names'!A:B,2,FALSE),B4891),PlayerValues!E:E,0)),"N/A")</f>
        <v>16183</v>
      </c>
      <c r="B4891" s="4" t="s">
        <v>678</v>
      </c>
      <c r="C4891" s="4" t="s">
        <v>287</v>
      </c>
      <c r="D4891" s="94">
        <v>1227.0</v>
      </c>
    </row>
    <row r="4892">
      <c r="A4892" s="40">
        <f t="array" ref="A4892">IFNA(index(PlayerValues!A:A,match(IFNA(vlookup(B4892,'Special Names'!A:B,2,FALSE),B4892),PlayerValues!E:E,0)),"N/A")</f>
        <v>15981</v>
      </c>
      <c r="B4892" s="4" t="s">
        <v>729</v>
      </c>
      <c r="C4892" s="4" t="s">
        <v>287</v>
      </c>
      <c r="D4892" s="94">
        <v>1224.0</v>
      </c>
    </row>
    <row r="4893">
      <c r="A4893" s="40">
        <f t="array" ref="A4893">IFNA(index(PlayerValues!A:A,match(IFNA(vlookup(B4893,'Special Names'!A:B,2,FALSE),B4893),PlayerValues!E:E,0)),"N/A")</f>
        <v>12263</v>
      </c>
      <c r="B4893" s="4" t="s">
        <v>697</v>
      </c>
      <c r="C4893" s="4" t="s">
        <v>298</v>
      </c>
      <c r="D4893" s="94">
        <v>1585.0</v>
      </c>
    </row>
    <row r="4894">
      <c r="A4894" s="40">
        <f t="array" ref="A4894">IFNA(index(PlayerValues!A:A,match(IFNA(vlookup(B4894,'Special Names'!A:B,2,FALSE),B4894),PlayerValues!E:E,0)),"N/A")</f>
        <v>17526</v>
      </c>
      <c r="B4894" s="4" t="s">
        <v>760</v>
      </c>
      <c r="C4894" s="4" t="s">
        <v>287</v>
      </c>
      <c r="D4894" s="94">
        <v>1210.0</v>
      </c>
    </row>
    <row r="4895">
      <c r="A4895" s="40">
        <f t="array" ref="A4895">IFNA(index(PlayerValues!A:A,match(IFNA(vlookup(B4895,'Special Names'!A:B,2,FALSE),B4895),PlayerValues!E:E,0)),"N/A")</f>
        <v>16384</v>
      </c>
      <c r="B4895" s="4" t="s">
        <v>696</v>
      </c>
      <c r="C4895" s="4" t="s">
        <v>283</v>
      </c>
      <c r="D4895" s="94">
        <v>1197.0</v>
      </c>
    </row>
    <row r="4896">
      <c r="A4896" s="40">
        <f t="array" ref="A4896">IFNA(index(PlayerValues!A:A,match(IFNA(vlookup(B4896,'Special Names'!A:B,2,FALSE),B4896),PlayerValues!E:E,0)),"N/A")</f>
        <v>16792</v>
      </c>
      <c r="B4896" s="4" t="s">
        <v>704</v>
      </c>
      <c r="C4896" s="4" t="s">
        <v>287</v>
      </c>
      <c r="D4896" s="94">
        <v>1194.0</v>
      </c>
    </row>
    <row r="4897">
      <c r="A4897" s="40">
        <f t="array" ref="A4897">IFNA(index(PlayerValues!A:A,match(IFNA(vlookup(B4897,'Special Names'!A:B,2,FALSE),B4897),PlayerValues!E:E,0)),"N/A")</f>
        <v>17063</v>
      </c>
      <c r="B4897" s="4" t="s">
        <v>686</v>
      </c>
      <c r="C4897" s="4" t="s">
        <v>278</v>
      </c>
      <c r="D4897" s="94">
        <v>1186.0</v>
      </c>
    </row>
    <row r="4898">
      <c r="A4898" s="40">
        <f t="array" ref="A4898">IFNA(index(PlayerValues!A:A,match(IFNA(vlookup(B4898,'Special Names'!A:B,2,FALSE),B4898),PlayerValues!E:E,0)),"N/A")</f>
        <v>16221</v>
      </c>
      <c r="B4898" s="4" t="s">
        <v>725</v>
      </c>
      <c r="C4898" s="4" t="s">
        <v>298</v>
      </c>
      <c r="D4898" s="94">
        <v>1547.0</v>
      </c>
    </row>
    <row r="4899">
      <c r="A4899" s="40">
        <f t="array" ref="A4899">IFNA(index(PlayerValues!A:A,match(IFNA(vlookup(B4899,'Special Names'!A:B,2,FALSE),B4899),PlayerValues!E:E,0)),"N/A")</f>
        <v>16645</v>
      </c>
      <c r="B4899" s="4" t="s">
        <v>651</v>
      </c>
      <c r="C4899" s="4" t="s">
        <v>298</v>
      </c>
      <c r="D4899" s="94">
        <v>1543.0</v>
      </c>
    </row>
    <row r="4900">
      <c r="A4900" s="40">
        <f t="array" ref="A4900">IFNA(index(PlayerValues!A:A,match(IFNA(vlookup(B4900,'Special Names'!A:B,2,FALSE),B4900),PlayerValues!E:E,0)),"N/A")</f>
        <v>17054</v>
      </c>
      <c r="B4900" s="4" t="s">
        <v>670</v>
      </c>
      <c r="C4900" s="4" t="s">
        <v>278</v>
      </c>
      <c r="D4900" s="94">
        <v>1170.0</v>
      </c>
    </row>
    <row r="4901">
      <c r="A4901" s="40">
        <f t="array" ref="A4901">IFNA(index(PlayerValues!A:A,match(IFNA(vlookup(B4901,'Special Names'!A:B,2,FALSE),B4901),PlayerValues!E:E,0)),"N/A")</f>
        <v>12678</v>
      </c>
      <c r="B4901" s="4" t="s">
        <v>703</v>
      </c>
      <c r="C4901" s="4" t="s">
        <v>298</v>
      </c>
      <c r="D4901" s="94">
        <v>1524.0</v>
      </c>
    </row>
    <row r="4902">
      <c r="A4902" s="40">
        <f t="array" ref="A4902">IFNA(index(PlayerValues!A:A,match(IFNA(vlookup(B4902,'Special Names'!A:B,2,FALSE),B4902),PlayerValues!E:E,0)),"N/A")</f>
        <v>16883</v>
      </c>
      <c r="B4902" s="4" t="s">
        <v>683</v>
      </c>
      <c r="C4902" s="4" t="s">
        <v>287</v>
      </c>
      <c r="D4902" s="94">
        <v>1152.0</v>
      </c>
    </row>
    <row r="4903">
      <c r="A4903" s="40">
        <f t="array" ref="A4903">IFNA(index(PlayerValues!A:A,match(IFNA(vlookup(B4903,'Special Names'!A:B,2,FALSE),B4903),PlayerValues!E:E,0)),"N/A")</f>
        <v>16746</v>
      </c>
      <c r="B4903" s="4" t="s">
        <v>709</v>
      </c>
      <c r="C4903" s="4" t="s">
        <v>278</v>
      </c>
      <c r="D4903" s="94">
        <v>1150.0</v>
      </c>
    </row>
    <row r="4904">
      <c r="A4904" s="40">
        <f t="array" ref="A4904">IFNA(index(PlayerValues!A:A,match(IFNA(vlookup(B4904,'Special Names'!A:B,2,FALSE),B4904),PlayerValues!E:E,0)),"N/A")</f>
        <v>16636</v>
      </c>
      <c r="B4904" s="4" t="s">
        <v>699</v>
      </c>
      <c r="C4904" s="4" t="s">
        <v>287</v>
      </c>
      <c r="D4904" s="94">
        <v>1149.0</v>
      </c>
    </row>
    <row r="4905">
      <c r="A4905" s="40">
        <f t="array" ref="A4905">IFNA(index(PlayerValues!A:A,match(IFNA(vlookup(B4905,'Special Names'!A:B,2,FALSE),B4905),PlayerValues!E:E,0)),"N/A")</f>
        <v>16199</v>
      </c>
      <c r="B4905" s="4" t="s">
        <v>687</v>
      </c>
      <c r="C4905" s="4" t="s">
        <v>287</v>
      </c>
      <c r="D4905" s="94">
        <v>1143.0</v>
      </c>
    </row>
    <row r="4906">
      <c r="A4906" s="40">
        <f t="array" ref="A4906">IFNA(index(PlayerValues!A:A,match(IFNA(vlookup(B4906,'Special Names'!A:B,2,FALSE),B4906),PlayerValues!E:E,0)),"N/A")</f>
        <v>14789</v>
      </c>
      <c r="B4906" s="4" t="s">
        <v>721</v>
      </c>
      <c r="C4906" s="4" t="s">
        <v>283</v>
      </c>
      <c r="D4906" s="94">
        <v>1142.0</v>
      </c>
    </row>
    <row r="4907">
      <c r="A4907" s="40">
        <f t="array" ref="A4907">IFNA(index(PlayerValues!A:A,match(IFNA(vlookup(B4907,'Special Names'!A:B,2,FALSE),B4907),PlayerValues!E:E,0)),"N/A")</f>
        <v>17097</v>
      </c>
      <c r="B4907" s="4" t="s">
        <v>659</v>
      </c>
      <c r="C4907" s="4" t="s">
        <v>287</v>
      </c>
      <c r="D4907" s="94">
        <v>1134.0</v>
      </c>
    </row>
    <row r="4908">
      <c r="A4908" s="40">
        <f t="array" ref="A4908">IFNA(index(PlayerValues!A:A,match(IFNA(vlookup(B4908,'Special Names'!A:B,2,FALSE),B4908),PlayerValues!E:E,0)),"N/A")</f>
        <v>13289</v>
      </c>
      <c r="B4908" s="4" t="s">
        <v>746</v>
      </c>
      <c r="C4908" s="4" t="s">
        <v>287</v>
      </c>
      <c r="D4908" s="94">
        <v>1124.0</v>
      </c>
    </row>
    <row r="4909">
      <c r="A4909" s="40">
        <f t="array" ref="A4909">IFNA(index(PlayerValues!A:A,match(IFNA(vlookup(B4909,'Special Names'!A:B,2,FALSE),B4909),PlayerValues!E:E,0)),"N/A")</f>
        <v>17192</v>
      </c>
      <c r="B4909" s="4" t="s">
        <v>677</v>
      </c>
      <c r="C4909" s="4" t="s">
        <v>287</v>
      </c>
      <c r="D4909" s="94">
        <v>1116.0</v>
      </c>
    </row>
    <row r="4910">
      <c r="A4910" s="40">
        <f t="array" ref="A4910">IFNA(index(PlayerValues!A:A,match(IFNA(vlookup(B4910,'Special Names'!A:B,2,FALSE),B4910),PlayerValues!E:E,0)),"N/A")</f>
        <v>17050</v>
      </c>
      <c r="B4910" s="4" t="s">
        <v>713</v>
      </c>
      <c r="C4910" s="4" t="s">
        <v>278</v>
      </c>
      <c r="D4910" s="94">
        <v>1115.0</v>
      </c>
    </row>
    <row r="4911">
      <c r="A4911" s="40">
        <f t="array" ref="A4911">IFNA(index(PlayerValues!A:A,match(IFNA(vlookup(B4911,'Special Names'!A:B,2,FALSE),B4911),PlayerValues!E:E,0)),"N/A")</f>
        <v>14845</v>
      </c>
      <c r="B4911" s="4" t="s">
        <v>717</v>
      </c>
      <c r="C4911" s="4" t="s">
        <v>287</v>
      </c>
      <c r="D4911" s="94">
        <v>1112.0</v>
      </c>
    </row>
    <row r="4912">
      <c r="A4912" s="40">
        <f t="array" ref="A4912">IFNA(index(PlayerValues!A:A,match(IFNA(vlookup(B4912,'Special Names'!A:B,2,FALSE),B4912),PlayerValues!E:E,0)),"N/A")</f>
        <v>15239</v>
      </c>
      <c r="B4912" s="4" t="s">
        <v>802</v>
      </c>
      <c r="C4912" s="4" t="s">
        <v>283</v>
      </c>
      <c r="D4912" s="94">
        <v>1111.0</v>
      </c>
    </row>
    <row r="4913">
      <c r="A4913" s="40">
        <f t="array" ref="A4913">IFNA(index(PlayerValues!A:A,match(IFNA(vlookup(B4913,'Special Names'!A:B,2,FALSE),B4913),PlayerValues!E:E,0)),"N/A")</f>
        <v>15730</v>
      </c>
      <c r="B4913" s="4" t="s">
        <v>734</v>
      </c>
      <c r="C4913" s="4" t="s">
        <v>278</v>
      </c>
      <c r="D4913" s="94">
        <v>1109.0</v>
      </c>
    </row>
    <row r="4914">
      <c r="A4914" s="40">
        <f t="array" ref="A4914">IFNA(index(PlayerValues!A:A,match(IFNA(vlookup(B4914,'Special Names'!A:B,2,FALSE),B4914),PlayerValues!E:E,0)),"N/A")</f>
        <v>15692</v>
      </c>
      <c r="B4914" s="4" t="s">
        <v>750</v>
      </c>
      <c r="C4914" s="4" t="s">
        <v>283</v>
      </c>
      <c r="D4914" s="94">
        <v>1105.0</v>
      </c>
    </row>
    <row r="4915">
      <c r="A4915" s="40">
        <f t="array" ref="A4915">IFNA(index(PlayerValues!A:A,match(IFNA(vlookup(B4915,'Special Names'!A:B,2,FALSE),B4915),PlayerValues!E:E,0)),"N/A")</f>
        <v>16333</v>
      </c>
      <c r="B4915" s="4" t="s">
        <v>711</v>
      </c>
      <c r="C4915" s="4" t="s">
        <v>298</v>
      </c>
      <c r="D4915" s="94">
        <v>1466.0</v>
      </c>
    </row>
    <row r="4916">
      <c r="A4916" s="40">
        <f t="array" ref="A4916">IFNA(index(PlayerValues!A:A,match(IFNA(vlookup(B4916,'Special Names'!A:B,2,FALSE),B4916),PlayerValues!E:E,0)),"N/A")</f>
        <v>16197</v>
      </c>
      <c r="B4916" s="4" t="s">
        <v>726</v>
      </c>
      <c r="C4916" s="4" t="s">
        <v>287</v>
      </c>
      <c r="D4916" s="94">
        <v>1095.0</v>
      </c>
    </row>
    <row r="4917">
      <c r="A4917" s="40">
        <f t="array" ref="A4917">IFNA(index(PlayerValues!A:A,match(IFNA(vlookup(B4917,'Special Names'!A:B,2,FALSE),B4917),PlayerValues!E:E,0)),"N/A")</f>
        <v>17109</v>
      </c>
      <c r="B4917" s="4" t="s">
        <v>707</v>
      </c>
      <c r="C4917" s="4" t="s">
        <v>298</v>
      </c>
      <c r="D4917" s="94">
        <v>1462.0</v>
      </c>
    </row>
    <row r="4918">
      <c r="A4918" s="40">
        <f t="array" ref="A4918">IFNA(index(PlayerValues!A:A,match(IFNA(vlookup(B4918,'Special Names'!A:B,2,FALSE),B4918),PlayerValues!E:E,0)),"N/A")</f>
        <v>13610</v>
      </c>
      <c r="B4918" s="4" t="s">
        <v>825</v>
      </c>
      <c r="C4918" s="4" t="s">
        <v>278</v>
      </c>
      <c r="D4918" s="94">
        <v>1082.0</v>
      </c>
    </row>
    <row r="4919">
      <c r="A4919" s="40">
        <f t="array" ref="A4919">IFNA(index(PlayerValues!A:A,match(IFNA(vlookup(B4919,'Special Names'!A:B,2,FALSE),B4919),PlayerValues!E:E,0)),"N/A")</f>
        <v>15288</v>
      </c>
      <c r="B4919" s="4" t="s">
        <v>700</v>
      </c>
      <c r="C4919" s="4" t="s">
        <v>287</v>
      </c>
      <c r="D4919" s="94">
        <v>1078.0</v>
      </c>
    </row>
    <row r="4920">
      <c r="A4920" s="40">
        <f t="array" ref="A4920">IFNA(index(PlayerValues!A:A,match(IFNA(vlookup(B4920,'Special Names'!A:B,2,FALSE),B4920),PlayerValues!E:E,0)),"N/A")</f>
        <v>17175</v>
      </c>
      <c r="B4920" s="4" t="s">
        <v>747</v>
      </c>
      <c r="C4920" s="4" t="s">
        <v>287</v>
      </c>
      <c r="D4920" s="94">
        <v>1074.0</v>
      </c>
    </row>
    <row r="4921">
      <c r="A4921" s="40">
        <f t="array" ref="A4921">IFNA(index(PlayerValues!A:A,match(IFNA(vlookup(B4921,'Special Names'!A:B,2,FALSE),B4921),PlayerValues!E:E,0)),"N/A")</f>
        <v>15717</v>
      </c>
      <c r="B4921" s="4" t="s">
        <v>745</v>
      </c>
      <c r="C4921" s="4" t="s">
        <v>278</v>
      </c>
      <c r="D4921" s="94">
        <v>1071.0</v>
      </c>
    </row>
    <row r="4922">
      <c r="A4922" s="40">
        <f t="array" ref="A4922">IFNA(index(PlayerValues!A:A,match(IFNA(vlookup(B4922,'Special Names'!A:B,2,FALSE),B4922),PlayerValues!E:E,0)),"N/A")</f>
        <v>16219</v>
      </c>
      <c r="B4922" s="4" t="s">
        <v>739</v>
      </c>
      <c r="C4922" s="4" t="s">
        <v>298</v>
      </c>
      <c r="D4922" s="94">
        <v>1436.0</v>
      </c>
    </row>
    <row r="4923">
      <c r="A4923" s="40">
        <f t="array" ref="A4923">IFNA(index(PlayerValues!A:A,match(IFNA(vlookup(B4923,'Special Names'!A:B,2,FALSE),B4923),PlayerValues!E:E,0)),"N/A")</f>
        <v>16640</v>
      </c>
      <c r="B4923" s="4" t="s">
        <v>712</v>
      </c>
      <c r="C4923" s="4" t="s">
        <v>287</v>
      </c>
      <c r="D4923" s="94">
        <v>1061.0</v>
      </c>
    </row>
    <row r="4924">
      <c r="A4924" s="40">
        <f t="array" ref="A4924">IFNA(index(PlayerValues!A:A,match(IFNA(vlookup(B4924,'Special Names'!A:B,2,FALSE),B4924),PlayerValues!E:E,0)),"N/A")</f>
        <v>15718</v>
      </c>
      <c r="B4924" s="4" t="s">
        <v>753</v>
      </c>
      <c r="C4924" s="4" t="s">
        <v>278</v>
      </c>
      <c r="D4924" s="94">
        <v>1058.0</v>
      </c>
    </row>
    <row r="4925">
      <c r="A4925" s="40">
        <f t="array" ref="A4925">IFNA(index(PlayerValues!A:A,match(IFNA(vlookup(B4925,'Special Names'!A:B,2,FALSE),B4925),PlayerValues!E:E,0)),"N/A")</f>
        <v>16387</v>
      </c>
      <c r="B4925" s="4" t="s">
        <v>646</v>
      </c>
      <c r="C4925" s="4" t="s">
        <v>278</v>
      </c>
      <c r="D4925" s="94">
        <v>1057.0</v>
      </c>
    </row>
    <row r="4926">
      <c r="A4926" s="40">
        <f t="array" ref="A4926">IFNA(index(PlayerValues!A:A,match(IFNA(vlookup(B4926,'Special Names'!A:B,2,FALSE),B4926),PlayerValues!E:E,0)),"N/A")</f>
        <v>15720</v>
      </c>
      <c r="B4926" s="4" t="s">
        <v>795</v>
      </c>
      <c r="C4926" s="4" t="s">
        <v>278</v>
      </c>
      <c r="D4926" s="94">
        <v>1048.0</v>
      </c>
    </row>
    <row r="4927">
      <c r="A4927" s="40">
        <f t="array" ref="A4927">IFNA(index(PlayerValues!A:A,match(IFNA(vlookup(B4927,'Special Names'!A:B,2,FALSE),B4927),PlayerValues!E:E,0)),"N/A")</f>
        <v>15693</v>
      </c>
      <c r="B4927" s="4" t="s">
        <v>755</v>
      </c>
      <c r="C4927" s="4" t="s">
        <v>283</v>
      </c>
      <c r="D4927" s="94">
        <v>1045.0</v>
      </c>
    </row>
    <row r="4928">
      <c r="A4928" s="40">
        <f t="array" ref="A4928">IFNA(index(PlayerValues!A:A,match(IFNA(vlookup(B4928,'Special Names'!A:B,2,FALSE),B4928),PlayerValues!E:E,0)),"N/A")</f>
        <v>16393</v>
      </c>
      <c r="B4928" s="4" t="s">
        <v>768</v>
      </c>
      <c r="C4928" s="4" t="s">
        <v>287</v>
      </c>
      <c r="D4928" s="94">
        <v>1038.0</v>
      </c>
    </row>
    <row r="4929">
      <c r="A4929" s="40">
        <f t="array" ref="A4929">IFNA(index(PlayerValues!A:A,match(IFNA(vlookup(B4929,'Special Names'!A:B,2,FALSE),B4929),PlayerValues!E:E,0)),"N/A")</f>
        <v>15785</v>
      </c>
      <c r="B4929" s="4" t="s">
        <v>763</v>
      </c>
      <c r="C4929" s="4" t="s">
        <v>287</v>
      </c>
      <c r="D4929" s="94">
        <v>1034.0</v>
      </c>
    </row>
    <row r="4930">
      <c r="A4930" s="40">
        <f t="array" ref="A4930">IFNA(index(PlayerValues!A:A,match(IFNA(vlookup(B4930,'Special Names'!A:B,2,FALSE),B4930),PlayerValues!E:E,0)),"N/A")</f>
        <v>14118</v>
      </c>
      <c r="B4930" s="4" t="s">
        <v>771</v>
      </c>
      <c r="C4930" s="4" t="s">
        <v>287</v>
      </c>
      <c r="D4930" s="94">
        <v>1033.0</v>
      </c>
    </row>
    <row r="4931">
      <c r="A4931" s="40">
        <f t="array" ref="A4931">IFNA(index(PlayerValues!A:A,match(IFNA(vlookup(B4931,'Special Names'!A:B,2,FALSE),B4931),PlayerValues!E:E,0)),"N/A")</f>
        <v>14849</v>
      </c>
      <c r="B4931" s="4" t="s">
        <v>733</v>
      </c>
      <c r="C4931" s="4" t="s">
        <v>287</v>
      </c>
      <c r="D4931" s="94">
        <v>1033.0</v>
      </c>
    </row>
    <row r="4932">
      <c r="A4932" s="40">
        <f t="array" ref="A4932">IFNA(index(PlayerValues!A:A,match(IFNA(vlookup(B4932,'Special Names'!A:B,2,FALSE),B4932),PlayerValues!E:E,0)),"N/A")</f>
        <v>15626</v>
      </c>
      <c r="B4932" s="4" t="s">
        <v>766</v>
      </c>
      <c r="C4932" s="4" t="s">
        <v>298</v>
      </c>
      <c r="D4932" s="94">
        <v>1394.0</v>
      </c>
    </row>
    <row r="4933">
      <c r="A4933" s="40">
        <f t="array" ref="A4933">IFNA(index(PlayerValues!A:A,match(IFNA(vlookup(B4933,'Special Names'!A:B,2,FALSE),B4933),PlayerValues!E:E,0)),"N/A")</f>
        <v>16637</v>
      </c>
      <c r="B4933" s="4" t="s">
        <v>736</v>
      </c>
      <c r="C4933" s="4" t="s">
        <v>287</v>
      </c>
      <c r="D4933" s="94">
        <v>1017.0</v>
      </c>
    </row>
    <row r="4934">
      <c r="A4934" s="40">
        <f t="array" ref="A4934">IFNA(index(PlayerValues!A:A,match(IFNA(vlookup(B4934,'Special Names'!A:B,2,FALSE),B4934),PlayerValues!E:E,0)),"N/A")</f>
        <v>16159</v>
      </c>
      <c r="B4934" s="4" t="s">
        <v>819</v>
      </c>
      <c r="C4934" s="4" t="s">
        <v>283</v>
      </c>
      <c r="D4934" s="94">
        <v>1009.0</v>
      </c>
    </row>
    <row r="4935">
      <c r="A4935" s="40">
        <f t="array" ref="A4935">IFNA(index(PlayerValues!A:A,match(IFNA(vlookup(B4935,'Special Names'!A:B,2,FALSE),B4935),PlayerValues!E:E,0)),"N/A")</f>
        <v>17057</v>
      </c>
      <c r="B4935" s="4" t="s">
        <v>708</v>
      </c>
      <c r="C4935" s="4" t="s">
        <v>278</v>
      </c>
      <c r="D4935" s="94">
        <v>1006.0</v>
      </c>
    </row>
    <row r="4936">
      <c r="A4936" s="40">
        <f t="array" ref="A4936">IFNA(index(PlayerValues!A:A,match(IFNA(vlookup(B4936,'Special Names'!A:B,2,FALSE),B4936),PlayerValues!E:E,0)),"N/A")</f>
        <v>17467</v>
      </c>
      <c r="B4936" s="4" t="s">
        <v>575</v>
      </c>
      <c r="C4936" s="4" t="s">
        <v>283</v>
      </c>
      <c r="D4936" s="94">
        <v>998.0</v>
      </c>
    </row>
    <row r="4937">
      <c r="A4937" s="40">
        <f t="array" ref="A4937">IFNA(index(PlayerValues!A:A,match(IFNA(vlookup(B4937,'Special Names'!A:B,2,FALSE),B4937),PlayerValues!E:E,0)),"N/A")</f>
        <v>16648</v>
      </c>
      <c r="B4937" s="4" t="s">
        <v>748</v>
      </c>
      <c r="C4937" s="4" t="s">
        <v>298</v>
      </c>
      <c r="D4937" s="94">
        <v>1365.0</v>
      </c>
    </row>
    <row r="4938">
      <c r="A4938" s="40">
        <f t="array" ref="A4938">IFNA(index(PlayerValues!A:A,match(IFNA(vlookup(B4938,'Special Names'!A:B,2,FALSE),B4938),PlayerValues!E:E,0)),"N/A")</f>
        <v>16957</v>
      </c>
      <c r="B4938" s="4" t="s">
        <v>806</v>
      </c>
      <c r="C4938" s="4" t="s">
        <v>278</v>
      </c>
      <c r="D4938" s="94">
        <v>992.0</v>
      </c>
    </row>
    <row r="4939">
      <c r="A4939" s="40">
        <f t="array" ref="A4939">IFNA(index(PlayerValues!A:A,match(IFNA(vlookup(B4939,'Special Names'!A:B,2,FALSE),B4939),PlayerValues!E:E,0)),"N/A")</f>
        <v>16168</v>
      </c>
      <c r="B4939" s="4" t="s">
        <v>738</v>
      </c>
      <c r="C4939" s="4" t="s">
        <v>278</v>
      </c>
      <c r="D4939" s="94">
        <v>988.0</v>
      </c>
    </row>
    <row r="4940">
      <c r="A4940" s="40">
        <f t="array" ref="A4940">IFNA(index(PlayerValues!A:A,match(IFNA(vlookup(B4940,'Special Names'!A:B,2,FALSE),B4940),PlayerValues!E:E,0)),"N/A")</f>
        <v>9064</v>
      </c>
      <c r="B4940" s="4" t="s">
        <v>761</v>
      </c>
      <c r="C4940" s="4" t="s">
        <v>283</v>
      </c>
      <c r="D4940" s="94">
        <v>984.0</v>
      </c>
    </row>
    <row r="4941">
      <c r="A4941" s="40">
        <f t="array" ref="A4941">IFNA(index(PlayerValues!A:A,match(IFNA(vlookup(B4941,'Special Names'!A:B,2,FALSE),B4941),PlayerValues!E:E,0)),"N/A")</f>
        <v>14067</v>
      </c>
      <c r="B4941" s="4" t="s">
        <v>735</v>
      </c>
      <c r="C4941" s="4" t="s">
        <v>283</v>
      </c>
      <c r="D4941" s="94">
        <v>983.0</v>
      </c>
    </row>
    <row r="4942">
      <c r="A4942" s="40">
        <f t="array" ref="A4942">IFNA(index(PlayerValues!A:A,match(IFNA(vlookup(B4942,'Special Names'!A:B,2,FALSE),B4942),PlayerValues!E:E,0)),"N/A")</f>
        <v>15330</v>
      </c>
      <c r="B4942" s="4" t="s">
        <v>749</v>
      </c>
      <c r="C4942" s="4" t="s">
        <v>298</v>
      </c>
      <c r="D4942" s="94">
        <v>1341.0</v>
      </c>
    </row>
    <row r="4943">
      <c r="A4943" s="40">
        <f t="array" ref="A4943">IFNA(index(PlayerValues!A:A,match(IFNA(vlookup(B4943,'Special Names'!A:B,2,FALSE),B4943),PlayerValues!E:E,0)),"N/A")</f>
        <v>16858</v>
      </c>
      <c r="B4943" s="4" t="s">
        <v>754</v>
      </c>
      <c r="C4943" s="4" t="s">
        <v>287</v>
      </c>
      <c r="D4943" s="94">
        <v>973.0</v>
      </c>
    </row>
    <row r="4944">
      <c r="A4944" s="40">
        <f t="array" ref="A4944">IFNA(index(PlayerValues!A:A,match(IFNA(vlookup(B4944,'Special Names'!A:B,2,FALSE),B4944),PlayerValues!E:E,0)),"N/A")</f>
        <v>13143</v>
      </c>
      <c r="B4944" s="4" t="s">
        <v>786</v>
      </c>
      <c r="C4944" s="4" t="s">
        <v>278</v>
      </c>
      <c r="D4944" s="94">
        <v>968.0</v>
      </c>
    </row>
    <row r="4945">
      <c r="A4945" s="40">
        <f t="array" ref="A4945">IFNA(index(PlayerValues!A:A,match(IFNA(vlookup(B4945,'Special Names'!A:B,2,FALSE),B4945),PlayerValues!E:E,0)),"N/A")</f>
        <v>16773</v>
      </c>
      <c r="B4945" s="4" t="s">
        <v>783</v>
      </c>
      <c r="C4945" s="4" t="s">
        <v>278</v>
      </c>
      <c r="D4945" s="94">
        <v>954.0</v>
      </c>
    </row>
    <row r="4946">
      <c r="A4946" s="40">
        <f t="array" ref="A4946">IFNA(index(PlayerValues!A:A,match(IFNA(vlookup(B4946,'Special Names'!A:B,2,FALSE),B4946),PlayerValues!E:E,0)),"N/A")</f>
        <v>14057</v>
      </c>
      <c r="B4946" s="4" t="s">
        <v>765</v>
      </c>
      <c r="C4946" s="4" t="s">
        <v>283</v>
      </c>
      <c r="D4946" s="94">
        <v>951.0</v>
      </c>
    </row>
    <row r="4947">
      <c r="A4947" s="40">
        <f t="array" ref="A4947">IFNA(index(PlayerValues!A:A,match(IFNA(vlookup(B4947,'Special Names'!A:B,2,FALSE),B4947),PlayerValues!E:E,0)),"N/A")</f>
        <v>16624</v>
      </c>
      <c r="B4947" s="4" t="s">
        <v>796</v>
      </c>
      <c r="C4947" s="4" t="s">
        <v>287</v>
      </c>
      <c r="D4947" s="94">
        <v>950.0</v>
      </c>
    </row>
    <row r="4948">
      <c r="A4948" s="40">
        <f t="array" ref="A4948">IFNA(index(PlayerValues!A:A,match(IFNA(vlookup(B4948,'Special Names'!A:B,2,FALSE),B4948),PlayerValues!E:E,0)),"N/A")</f>
        <v>16205</v>
      </c>
      <c r="B4948" s="4" t="s">
        <v>742</v>
      </c>
      <c r="C4948" s="4" t="s">
        <v>287</v>
      </c>
      <c r="D4948" s="94">
        <v>942.0</v>
      </c>
    </row>
    <row r="4949">
      <c r="A4949" s="40">
        <f t="array" ref="A4949">IFNA(index(PlayerValues!A:A,match(IFNA(vlookup(B4949,'Special Names'!A:B,2,FALSE),B4949),PlayerValues!E:E,0)),"N/A")</f>
        <v>13595</v>
      </c>
      <c r="B4949" s="4" t="s">
        <v>818</v>
      </c>
      <c r="C4949" s="4" t="s">
        <v>283</v>
      </c>
      <c r="D4949" s="94">
        <v>938.0</v>
      </c>
    </row>
    <row r="4950">
      <c r="A4950" s="40">
        <f t="array" ref="A4950">IFNA(index(PlayerValues!A:A,match(IFNA(vlookup(B4950,'Special Names'!A:B,2,FALSE),B4950),PlayerValues!E:E,0)),"N/A")</f>
        <v>15766</v>
      </c>
      <c r="B4950" s="4" t="s">
        <v>759</v>
      </c>
      <c r="C4950" s="4" t="s">
        <v>287</v>
      </c>
      <c r="D4950" s="94">
        <v>938.0</v>
      </c>
    </row>
    <row r="4951">
      <c r="A4951" s="40">
        <f t="array" ref="A4951">IFNA(index(PlayerValues!A:A,match(IFNA(vlookup(B4951,'Special Names'!A:B,2,FALSE),B4951),PlayerValues!E:E,0)),"N/A")</f>
        <v>13156</v>
      </c>
      <c r="B4951" s="4" t="s">
        <v>835</v>
      </c>
      <c r="C4951" s="4" t="s">
        <v>287</v>
      </c>
      <c r="D4951" s="94">
        <v>933.0</v>
      </c>
    </row>
    <row r="4952">
      <c r="A4952" s="40">
        <f t="array" ref="A4952">IFNA(index(PlayerValues!A:A,match(IFNA(vlookup(B4952,'Special Names'!A:B,2,FALSE),B4952),PlayerValues!E:E,0)),"N/A")</f>
        <v>15109</v>
      </c>
      <c r="B4952" s="4" t="s">
        <v>728</v>
      </c>
      <c r="C4952" s="4" t="s">
        <v>287</v>
      </c>
      <c r="D4952" s="94">
        <v>933.0</v>
      </c>
    </row>
    <row r="4953">
      <c r="A4953" s="40">
        <f t="array" ref="A4953">IFNA(index(PlayerValues!A:A,match(IFNA(vlookup(B4953,'Special Names'!A:B,2,FALSE),B4953),PlayerValues!E:E,0)),"N/A")</f>
        <v>13133</v>
      </c>
      <c r="B4953" s="4" t="s">
        <v>764</v>
      </c>
      <c r="C4953" s="4" t="s">
        <v>278</v>
      </c>
      <c r="D4953" s="94">
        <v>932.0</v>
      </c>
    </row>
    <row r="4954">
      <c r="A4954" s="40">
        <f t="array" ref="A4954">IFNA(index(PlayerValues!A:A,match(IFNA(vlookup(B4954,'Special Names'!A:B,2,FALSE),B4954),PlayerValues!E:E,0)),"N/A")</f>
        <v>16176</v>
      </c>
      <c r="B4954" s="4" t="s">
        <v>812</v>
      </c>
      <c r="C4954" s="4" t="s">
        <v>278</v>
      </c>
      <c r="D4954" s="94">
        <v>919.0</v>
      </c>
    </row>
    <row r="4955">
      <c r="A4955" s="40">
        <f t="array" ref="A4955">IFNA(index(PlayerValues!A:A,match(IFNA(vlookup(B4955,'Special Names'!A:B,2,FALSE),B4955),PlayerValues!E:E,0)),"N/A")</f>
        <v>11247</v>
      </c>
      <c r="B4955" s="4" t="s">
        <v>816</v>
      </c>
      <c r="C4955" s="4" t="s">
        <v>298</v>
      </c>
      <c r="D4955" s="94">
        <v>1286.0</v>
      </c>
    </row>
    <row r="4956">
      <c r="A4956" s="40">
        <f t="array" ref="A4956">IFNA(index(PlayerValues!A:A,match(IFNA(vlookup(B4956,'Special Names'!A:B,2,FALSE),B4956),PlayerValues!E:E,0)),"N/A")</f>
        <v>14852</v>
      </c>
      <c r="B4956" s="4" t="s">
        <v>837</v>
      </c>
      <c r="C4956" s="4" t="s">
        <v>278</v>
      </c>
      <c r="D4956" s="94">
        <v>915.0</v>
      </c>
    </row>
    <row r="4957">
      <c r="A4957" s="40">
        <f t="array" ref="A4957">IFNA(index(PlayerValues!A:A,match(IFNA(vlookup(B4957,'Special Names'!A:B,2,FALSE),B4957),PlayerValues!E:E,0)),"N/A")</f>
        <v>14079</v>
      </c>
      <c r="B4957" s="4" t="s">
        <v>830</v>
      </c>
      <c r="C4957" s="4" t="s">
        <v>278</v>
      </c>
      <c r="D4957" s="94">
        <v>913.0</v>
      </c>
    </row>
    <row r="4958">
      <c r="A4958" s="40">
        <f t="array" ref="A4958">IFNA(index(PlayerValues!A:A,match(IFNA(vlookup(B4958,'Special Names'!A:B,2,FALSE),B4958),PlayerValues!E:E,0)),"N/A")</f>
        <v>16608</v>
      </c>
      <c r="B4958" s="4" t="s">
        <v>629</v>
      </c>
      <c r="C4958" s="4" t="s">
        <v>278</v>
      </c>
      <c r="D4958" s="94">
        <v>912.0</v>
      </c>
    </row>
    <row r="4959">
      <c r="A4959" s="40">
        <f t="array" ref="A4959">IFNA(index(PlayerValues!A:A,match(IFNA(vlookup(B4959,'Special Names'!A:B,2,FALSE),B4959),PlayerValues!E:E,0)),"N/A")</f>
        <v>13763</v>
      </c>
      <c r="B4959" s="4" t="s">
        <v>831</v>
      </c>
      <c r="C4959" s="4" t="s">
        <v>298</v>
      </c>
      <c r="D4959" s="94">
        <v>1282.0</v>
      </c>
    </row>
    <row r="4960">
      <c r="A4960" s="40">
        <f t="array" ref="A4960">IFNA(index(PlayerValues!A:A,match(IFNA(vlookup(B4960,'Special Names'!A:B,2,FALSE),B4960),PlayerValues!E:E,0)),"N/A")</f>
        <v>15283</v>
      </c>
      <c r="B4960" s="4" t="s">
        <v>844</v>
      </c>
      <c r="C4960" s="4" t="s">
        <v>287</v>
      </c>
      <c r="D4960" s="94">
        <v>911.0</v>
      </c>
    </row>
    <row r="4961">
      <c r="A4961" s="40">
        <f t="array" ref="A4961">IFNA(index(PlayerValues!A:A,match(IFNA(vlookup(B4961,'Special Names'!A:B,2,FALSE),B4961),PlayerValues!E:E,0)),"N/A")</f>
        <v>17337</v>
      </c>
      <c r="B4961" s="4" t="s">
        <v>793</v>
      </c>
      <c r="C4961" s="4" t="s">
        <v>278</v>
      </c>
      <c r="D4961" s="94">
        <v>910.0</v>
      </c>
    </row>
    <row r="4962">
      <c r="A4962" s="40">
        <f t="array" ref="A4962">IFNA(index(PlayerValues!A:A,match(IFNA(vlookup(B4962,'Special Names'!A:B,2,FALSE),B4962),PlayerValues!E:E,0)),"N/A")</f>
        <v>14864</v>
      </c>
      <c r="B4962" s="4" t="s">
        <v>789</v>
      </c>
      <c r="C4962" s="4" t="s">
        <v>287</v>
      </c>
      <c r="D4962" s="94">
        <v>908.0</v>
      </c>
    </row>
    <row r="4963">
      <c r="A4963" s="40">
        <f t="array" ref="A4963">IFNA(index(PlayerValues!A:A,match(IFNA(vlookup(B4963,'Special Names'!A:B,2,FALSE),B4963),PlayerValues!E:E,0)),"N/A")</f>
        <v>12785</v>
      </c>
      <c r="B4963" s="4" t="s">
        <v>772</v>
      </c>
      <c r="C4963" s="4" t="s">
        <v>287</v>
      </c>
      <c r="D4963" s="94">
        <v>907.0</v>
      </c>
    </row>
    <row r="4964">
      <c r="A4964" s="40">
        <f t="array" ref="A4964">IFNA(index(PlayerValues!A:A,match(IFNA(vlookup(B4964,'Special Names'!A:B,2,FALSE),B4964),PlayerValues!E:E,0)),"N/A")</f>
        <v>15723</v>
      </c>
      <c r="B4964" s="4" t="s">
        <v>798</v>
      </c>
      <c r="C4964" s="4" t="s">
        <v>278</v>
      </c>
      <c r="D4964" s="94">
        <v>895.0</v>
      </c>
    </row>
    <row r="4965">
      <c r="A4965" s="40">
        <f t="array" ref="A4965">IFNA(index(PlayerValues!A:A,match(IFNA(vlookup(B4965,'Special Names'!A:B,2,FALSE),B4965),PlayerValues!E:E,0)),"N/A")</f>
        <v>13157</v>
      </c>
      <c r="B4965" s="4" t="s">
        <v>836</v>
      </c>
      <c r="C4965" s="4" t="s">
        <v>287</v>
      </c>
      <c r="D4965" s="94">
        <v>892.0</v>
      </c>
    </row>
    <row r="4966">
      <c r="A4966" s="40">
        <f t="array" ref="A4966">IFNA(index(PlayerValues!A:A,match(IFNA(vlookup(B4966,'Special Names'!A:B,2,FALSE),B4966),PlayerValues!E:E,0)),"N/A")</f>
        <v>16599</v>
      </c>
      <c r="B4966" s="4" t="s">
        <v>737</v>
      </c>
      <c r="C4966" s="4" t="s">
        <v>278</v>
      </c>
      <c r="D4966" s="94">
        <v>888.0</v>
      </c>
    </row>
    <row r="4967">
      <c r="A4967" s="40">
        <f t="array" ref="A4967">IFNA(index(PlayerValues!A:A,match(IFNA(vlookup(B4967,'Special Names'!A:B,2,FALSE),B4967),PlayerValues!E:E,0)),"N/A")</f>
        <v>11232</v>
      </c>
      <c r="B4967" s="4" t="s">
        <v>826</v>
      </c>
      <c r="C4967" s="4" t="s">
        <v>287</v>
      </c>
      <c r="D4967" s="94">
        <v>884.0</v>
      </c>
    </row>
    <row r="4968">
      <c r="A4968" s="40">
        <f t="array" ref="A4968">IFNA(index(PlayerValues!A:A,match(IFNA(vlookup(B4968,'Special Names'!A:B,2,FALSE),B4968),PlayerValues!E:E,0)),"N/A")</f>
        <v>15796</v>
      </c>
      <c r="B4968" s="4" t="s">
        <v>794</v>
      </c>
      <c r="C4968" s="4" t="s">
        <v>298</v>
      </c>
      <c r="D4968" s="94">
        <v>1251.0</v>
      </c>
    </row>
    <row r="4969">
      <c r="A4969" s="40">
        <f t="array" ref="A4969">IFNA(index(PlayerValues!A:A,match(IFNA(vlookup(B4969,'Special Names'!A:B,2,FALSE),B4969),PlayerValues!E:E,0)),"N/A")</f>
        <v>15263</v>
      </c>
      <c r="B4969" s="4" t="s">
        <v>804</v>
      </c>
      <c r="C4969" s="4" t="s">
        <v>278</v>
      </c>
      <c r="D4969" s="94">
        <v>872.0</v>
      </c>
    </row>
    <row r="4970">
      <c r="A4970" s="40">
        <f t="array" ref="A4970">IFNA(index(PlayerValues!A:A,match(IFNA(vlookup(B4970,'Special Names'!A:B,2,FALSE),B4970),PlayerValues!E:E,0)),"N/A")</f>
        <v>16416</v>
      </c>
      <c r="B4970" s="4" t="s">
        <v>752</v>
      </c>
      <c r="C4970" s="4" t="s">
        <v>287</v>
      </c>
      <c r="D4970" s="94">
        <v>864.0</v>
      </c>
    </row>
    <row r="4971">
      <c r="A4971" s="40">
        <f t="array" ref="A4971">IFNA(index(PlayerValues!A:A,match(IFNA(vlookup(B4971,'Special Names'!A:B,2,FALSE),B4971),PlayerValues!E:E,0)),"N/A")</f>
        <v>14799</v>
      </c>
      <c r="B4971" s="4" t="s">
        <v>829</v>
      </c>
      <c r="C4971" s="4" t="s">
        <v>278</v>
      </c>
      <c r="D4971" s="94">
        <v>861.0</v>
      </c>
    </row>
    <row r="4972">
      <c r="A4972" s="40">
        <f t="array" ref="A4972">IFNA(index(PlayerValues!A:A,match(IFNA(vlookup(B4972,'Special Names'!A:B,2,FALSE),B4972),PlayerValues!E:E,0)),"N/A")</f>
        <v>16686</v>
      </c>
      <c r="B4972" s="4" t="s">
        <v>805</v>
      </c>
      <c r="C4972" s="4" t="s">
        <v>287</v>
      </c>
      <c r="D4972" s="94">
        <v>859.0</v>
      </c>
    </row>
    <row r="4973">
      <c r="A4973" s="40">
        <f t="array" ref="A4973">IFNA(index(PlayerValues!A:A,match(IFNA(vlookup(B4973,'Special Names'!A:B,2,FALSE),B4973),PlayerValues!E:E,0)),"N/A")</f>
        <v>16625</v>
      </c>
      <c r="B4973" s="4" t="s">
        <v>778</v>
      </c>
      <c r="C4973" s="4" t="s">
        <v>287</v>
      </c>
      <c r="D4973" s="94">
        <v>857.0</v>
      </c>
    </row>
    <row r="4974">
      <c r="A4974" s="40">
        <f t="array" ref="A4974">IFNA(index(PlayerValues!A:A,match(IFNA(vlookup(B4974,'Special Names'!A:B,2,FALSE),B4974),PlayerValues!E:E,0)),"N/A")</f>
        <v>13172</v>
      </c>
      <c r="B4974" s="4" t="s">
        <v>840</v>
      </c>
      <c r="C4974" s="4" t="s">
        <v>287</v>
      </c>
      <c r="D4974" s="94">
        <v>854.0</v>
      </c>
    </row>
    <row r="4975">
      <c r="A4975" s="40">
        <f t="array" ref="A4975">IFNA(index(PlayerValues!A:A,match(IFNA(vlookup(B4975,'Special Names'!A:B,2,FALSE),B4975),PlayerValues!E:E,0)),"N/A")</f>
        <v>15795</v>
      </c>
      <c r="B4975" s="4" t="s">
        <v>669</v>
      </c>
      <c r="C4975" s="4" t="s">
        <v>298</v>
      </c>
      <c r="D4975" s="94">
        <v>1225.0</v>
      </c>
    </row>
    <row r="4976">
      <c r="A4976" s="40">
        <f t="array" ref="A4976">IFNA(index(PlayerValues!A:A,match(IFNA(vlookup(B4976,'Special Names'!A:B,2,FALSE),B4976),PlayerValues!E:E,0)),"N/A")</f>
        <v>15714</v>
      </c>
      <c r="B4976" s="4" t="s">
        <v>775</v>
      </c>
      <c r="C4976" s="4" t="s">
        <v>278</v>
      </c>
      <c r="D4976" s="94">
        <v>850.0</v>
      </c>
    </row>
    <row r="4977">
      <c r="A4977" s="40">
        <f t="array" ref="A4977">IFNA(index(PlayerValues!A:A,match(IFNA(vlookup(B4977,'Special Names'!A:B,2,FALSE),B4977),PlayerValues!E:E,0)),"N/A")</f>
        <v>16751</v>
      </c>
      <c r="B4977" s="4" t="s">
        <v>762</v>
      </c>
      <c r="C4977" s="4" t="s">
        <v>287</v>
      </c>
      <c r="D4977" s="94">
        <v>850.0</v>
      </c>
    </row>
    <row r="4978">
      <c r="A4978" s="40">
        <f t="array" ref="A4978">IFNA(index(PlayerValues!A:A,match(IFNA(vlookup(B4978,'Special Names'!A:B,2,FALSE),B4978),PlayerValues!E:E,0)),"N/A")</f>
        <v>15271</v>
      </c>
      <c r="B4978" s="4" t="s">
        <v>741</v>
      </c>
      <c r="C4978" s="4" t="s">
        <v>278</v>
      </c>
      <c r="D4978" s="94">
        <v>843.0</v>
      </c>
    </row>
    <row r="4979">
      <c r="A4979" s="40">
        <f t="array" ref="A4979">IFNA(index(PlayerValues!A:A,match(IFNA(vlookup(B4979,'Special Names'!A:B,2,FALSE),B4979),PlayerValues!E:E,0)),"N/A")</f>
        <v>17488</v>
      </c>
      <c r="B4979" s="4" t="s">
        <v>845</v>
      </c>
      <c r="C4979" s="4" t="s">
        <v>278</v>
      </c>
      <c r="D4979" s="94">
        <v>838.0</v>
      </c>
    </row>
    <row r="4980">
      <c r="A4980" s="40">
        <f t="array" ref="A4980">IFNA(index(PlayerValues!A:A,match(IFNA(vlookup(B4980,'Special Names'!A:B,2,FALSE),B4980),PlayerValues!E:E,0)),"N/A")</f>
        <v>16623</v>
      </c>
      <c r="B4980" s="4" t="s">
        <v>803</v>
      </c>
      <c r="C4980" s="4" t="s">
        <v>287</v>
      </c>
      <c r="D4980" s="94">
        <v>835.0</v>
      </c>
    </row>
    <row r="4981">
      <c r="A4981" s="40">
        <f t="array" ref="A4981">IFNA(index(PlayerValues!A:A,match(IFNA(vlookup(B4981,'Special Names'!A:B,2,FALSE),B4981),PlayerValues!E:E,0)),"N/A")</f>
        <v>15804</v>
      </c>
      <c r="B4981" s="4" t="s">
        <v>821</v>
      </c>
      <c r="C4981" s="4" t="s">
        <v>298</v>
      </c>
      <c r="D4981" s="94">
        <v>1206.0</v>
      </c>
    </row>
    <row r="4982">
      <c r="A4982" s="40">
        <f t="array" ref="A4982">IFNA(index(PlayerValues!A:A,match(IFNA(vlookup(B4982,'Special Names'!A:B,2,FALSE),B4982),PlayerValues!E:E,0)),"N/A")</f>
        <v>10413</v>
      </c>
      <c r="B4982" s="4" t="s">
        <v>811</v>
      </c>
      <c r="C4982" s="4" t="s">
        <v>283</v>
      </c>
      <c r="D4982" s="94">
        <v>823.0</v>
      </c>
    </row>
    <row r="4983">
      <c r="A4983" s="40">
        <f t="array" ref="A4983">IFNA(index(PlayerValues!A:A,match(IFNA(vlookup(B4983,'Special Names'!A:B,2,FALSE),B4983),PlayerValues!E:E,0)),"N/A")</f>
        <v>14358</v>
      </c>
      <c r="B4983" s="4" t="s">
        <v>813</v>
      </c>
      <c r="C4983" s="4" t="s">
        <v>283</v>
      </c>
      <c r="D4983" s="94">
        <v>821.0</v>
      </c>
    </row>
    <row r="4984">
      <c r="A4984" s="40">
        <f t="array" ref="A4984">IFNA(index(PlayerValues!A:A,match(IFNA(vlookup(B4984,'Special Names'!A:B,2,FALSE),B4984),PlayerValues!E:E,0)),"N/A")</f>
        <v>14805</v>
      </c>
      <c r="B4984" s="4" t="s">
        <v>770</v>
      </c>
      <c r="C4984" s="4" t="s">
        <v>278</v>
      </c>
      <c r="D4984" s="94">
        <v>807.0</v>
      </c>
    </row>
    <row r="4985">
      <c r="A4985" s="40">
        <f t="array" ref="A4985">IFNA(index(PlayerValues!A:A,match(IFNA(vlookup(B4985,'Special Names'!A:B,2,FALSE),B4985),PlayerValues!E:E,0)),"N/A")</f>
        <v>14209</v>
      </c>
      <c r="B4985" s="4" t="s">
        <v>809</v>
      </c>
      <c r="C4985" s="4" t="s">
        <v>298</v>
      </c>
      <c r="D4985" s="94">
        <v>1177.0</v>
      </c>
    </row>
    <row r="4986">
      <c r="A4986" s="40">
        <f t="array" ref="A4986">IFNA(index(PlayerValues!A:A,match(IFNA(vlookup(B4986,'Special Names'!A:B,2,FALSE),B4986),PlayerValues!E:E,0)),"N/A")</f>
        <v>16606</v>
      </c>
      <c r="B4986" s="4" t="s">
        <v>743</v>
      </c>
      <c r="C4986" s="4" t="s">
        <v>278</v>
      </c>
      <c r="D4986" s="94">
        <v>795.0</v>
      </c>
    </row>
    <row r="4987">
      <c r="A4987" s="40">
        <f t="array" ref="A4987">IFNA(index(PlayerValues!A:A,match(IFNA(vlookup(B4987,'Special Names'!A:B,2,FALSE),B4987),PlayerValues!E:E,0)),"N/A")</f>
        <v>15285</v>
      </c>
      <c r="B4987" s="4" t="s">
        <v>792</v>
      </c>
      <c r="C4987" s="4" t="s">
        <v>287</v>
      </c>
      <c r="D4987" s="94">
        <v>794.0</v>
      </c>
    </row>
    <row r="4988">
      <c r="A4988" s="40">
        <f t="array" ref="A4988">IFNA(index(PlayerValues!A:A,match(IFNA(vlookup(B4988,'Special Names'!A:B,2,FALSE),B4988),PlayerValues!E:E,0)),"N/A")</f>
        <v>17282</v>
      </c>
      <c r="B4988" s="4" t="s">
        <v>833</v>
      </c>
      <c r="C4988" s="4" t="s">
        <v>283</v>
      </c>
      <c r="D4988" s="94">
        <v>781.0</v>
      </c>
    </row>
    <row r="4989">
      <c r="A4989" s="40">
        <f t="array" ref="A4989">IFNA(index(PlayerValues!A:A,match(IFNA(vlookup(B4989,'Special Names'!A:B,2,FALSE),B4989),PlayerValues!E:E,0)),"N/A")</f>
        <v>15965</v>
      </c>
      <c r="B4989" s="4" t="s">
        <v>791</v>
      </c>
      <c r="C4989" s="4" t="s">
        <v>278</v>
      </c>
      <c r="D4989" s="94">
        <v>780.0</v>
      </c>
    </row>
    <row r="4990">
      <c r="A4990" s="40">
        <f t="array" ref="A4990">IFNA(index(PlayerValues!A:A,match(IFNA(vlookup(B4990,'Special Names'!A:B,2,FALSE),B4990),PlayerValues!E:E,0)),"N/A")</f>
        <v>16413</v>
      </c>
      <c r="B4990" s="4" t="s">
        <v>781</v>
      </c>
      <c r="C4990" s="4" t="s">
        <v>287</v>
      </c>
      <c r="D4990" s="94">
        <v>778.0</v>
      </c>
    </row>
    <row r="4991">
      <c r="A4991" s="40">
        <f t="array" ref="A4991">IFNA(index(PlayerValues!A:A,match(IFNA(vlookup(B4991,'Special Names'!A:B,2,FALSE),B4991),PlayerValues!E:E,0)),"N/A")</f>
        <v>12658</v>
      </c>
      <c r="B4991" s="4" t="s">
        <v>823</v>
      </c>
      <c r="C4991" s="4" t="s">
        <v>287</v>
      </c>
      <c r="D4991" s="94">
        <v>773.0</v>
      </c>
    </row>
    <row r="4992">
      <c r="A4992" s="40">
        <f t="array" ref="A4992">IFNA(index(PlayerValues!A:A,match(IFNA(vlookup(B4992,'Special Names'!A:B,2,FALSE),B4992),PlayerValues!E:E,0)),"N/A")</f>
        <v>16678</v>
      </c>
      <c r="B4992" s="4" t="s">
        <v>758</v>
      </c>
      <c r="C4992" s="4" t="s">
        <v>278</v>
      </c>
      <c r="D4992" s="94">
        <v>769.0</v>
      </c>
    </row>
    <row r="4993">
      <c r="A4993" s="40">
        <f t="array" ref="A4993">IFNA(index(PlayerValues!A:A,match(IFNA(vlookup(B4993,'Special Names'!A:B,2,FALSE),B4993),PlayerValues!E:E,0)),"N/A")</f>
        <v>16632</v>
      </c>
      <c r="B4993" s="4" t="s">
        <v>842</v>
      </c>
      <c r="C4993" s="4" t="s">
        <v>287</v>
      </c>
      <c r="D4993" s="94">
        <v>764.0</v>
      </c>
    </row>
    <row r="4994">
      <c r="A4994" s="40">
        <f t="array" ref="A4994">IFNA(index(PlayerValues!A:A,match(IFNA(vlookup(B4994,'Special Names'!A:B,2,FALSE),B4994),PlayerValues!E:E,0)),"N/A")</f>
        <v>14223</v>
      </c>
      <c r="B4994" s="4" t="s">
        <v>785</v>
      </c>
      <c r="C4994" s="4" t="s">
        <v>278</v>
      </c>
      <c r="D4994" s="94">
        <v>760.0</v>
      </c>
    </row>
    <row r="4995">
      <c r="A4995" s="40">
        <f t="array" ref="A4995">IFNA(index(PlayerValues!A:A,match(IFNA(vlookup(B4995,'Special Names'!A:B,2,FALSE),B4995),PlayerValues!E:E,0)),"N/A")</f>
        <v>13176</v>
      </c>
      <c r="B4995" s="4" t="s">
        <v>807</v>
      </c>
      <c r="C4995" s="4" t="s">
        <v>287</v>
      </c>
      <c r="D4995" s="94">
        <v>759.0</v>
      </c>
    </row>
    <row r="4996">
      <c r="A4996" s="40">
        <f t="array" ref="A4996">IFNA(index(PlayerValues!A:A,match(IFNA(vlookup(B4996,'Special Names'!A:B,2,FALSE),B4996),PlayerValues!E:E,0)),"N/A")</f>
        <v>13424</v>
      </c>
      <c r="B4996" s="4" t="s">
        <v>846</v>
      </c>
      <c r="C4996" s="4" t="s">
        <v>298</v>
      </c>
      <c r="D4996" s="94">
        <v>1106.0</v>
      </c>
    </row>
    <row r="4997">
      <c r="A4997" s="40">
        <f t="array" ref="A4997">IFNA(index(PlayerValues!A:A,match(IFNA(vlookup(B4997,'Special Names'!A:B,2,FALSE),B4997),PlayerValues!E:E,0)),"N/A")</f>
        <v>17232</v>
      </c>
      <c r="B4997" s="4" t="s">
        <v>784</v>
      </c>
      <c r="C4997" s="4" t="s">
        <v>287</v>
      </c>
      <c r="D4997" s="94">
        <v>731.0</v>
      </c>
    </row>
    <row r="4998">
      <c r="A4998" s="40">
        <f t="array" ref="A4998">IFNA(index(PlayerValues!A:A,match(IFNA(vlookup(B4998,'Special Names'!A:B,2,FALSE),B4998),PlayerValues!E:E,0)),"N/A")</f>
        <v>14858</v>
      </c>
      <c r="B4998" s="4" t="s">
        <v>799</v>
      </c>
      <c r="C4998" s="4" t="s">
        <v>287</v>
      </c>
      <c r="D4998" s="94">
        <v>721.0</v>
      </c>
    </row>
    <row r="4999">
      <c r="A4999" s="40">
        <f t="array" ref="A4999">IFNA(index(PlayerValues!A:A,match(IFNA(vlookup(B4999,'Special Names'!A:B,2,FALSE),B4999),PlayerValues!E:E,0)),"N/A")</f>
        <v>13377</v>
      </c>
      <c r="B4999" s="4" t="s">
        <v>847</v>
      </c>
      <c r="C4999" s="4" t="s">
        <v>287</v>
      </c>
      <c r="D4999" s="94">
        <v>720.0</v>
      </c>
    </row>
    <row r="5000">
      <c r="A5000" s="40">
        <f t="array" ref="A5000">IFNA(index(PlayerValues!A:A,match(IFNA(vlookup(B5000,'Special Names'!A:B,2,FALSE),B5000),PlayerValues!E:E,0)),"N/A")</f>
        <v>16170</v>
      </c>
      <c r="B5000" s="4" t="s">
        <v>801</v>
      </c>
      <c r="C5000" s="4" t="s">
        <v>278</v>
      </c>
      <c r="D5000" s="94">
        <v>719.0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13589</v>
      </c>
      <c r="B1" s="4" t="s">
        <v>282</v>
      </c>
      <c r="C1" s="4" t="s">
        <v>283</v>
      </c>
      <c r="D1" s="94">
        <v>9997.0</v>
      </c>
    </row>
    <row r="2">
      <c r="A2" s="40">
        <f t="array" ref="A2">IFNA(index(PlayerValues!A:A,match(IFNA(vlookup(B2,'Special Names'!A:B,2,FALSE),B2),PlayerValues!E:E,0)),"N/A")</f>
        <v>16161</v>
      </c>
      <c r="B2" s="4" t="s">
        <v>277</v>
      </c>
      <c r="C2" s="4" t="s">
        <v>278</v>
      </c>
      <c r="D2" s="94">
        <v>9986.0</v>
      </c>
    </row>
    <row r="3">
      <c r="A3" s="40">
        <f t="array" ref="A3">IFNA(index(PlayerValues!A:A,match(IFNA(vlookup(B3,'Special Names'!A:B,2,FALSE),B3),PlayerValues!E:E,0)),"N/A")</f>
        <v>16185</v>
      </c>
      <c r="B3" s="4" t="s">
        <v>290</v>
      </c>
      <c r="C3" s="4" t="s">
        <v>287</v>
      </c>
      <c r="D3" s="94">
        <v>9963.0</v>
      </c>
    </row>
    <row r="4">
      <c r="A4" s="40">
        <f t="array" ref="A4">IFNA(index(PlayerValues!A:A,match(IFNA(vlookup(B4,'Special Names'!A:B,2,FALSE),B4),PlayerValues!E:E,0)),"N/A")</f>
        <v>15281</v>
      </c>
      <c r="B4" s="4" t="s">
        <v>286</v>
      </c>
      <c r="C4" s="4" t="s">
        <v>287</v>
      </c>
      <c r="D4" s="94">
        <v>9821.0</v>
      </c>
    </row>
    <row r="5">
      <c r="A5" s="40">
        <f t="array" ref="A5">IFNA(index(PlayerValues!A:A,match(IFNA(vlookup(B5,'Special Names'!A:B,2,FALSE),B5),PlayerValues!E:E,0)),"N/A")</f>
        <v>16580</v>
      </c>
      <c r="B5" s="4" t="s">
        <v>291</v>
      </c>
      <c r="C5" s="4" t="s">
        <v>283</v>
      </c>
      <c r="D5" s="94">
        <v>9714.0</v>
      </c>
    </row>
    <row r="6">
      <c r="A6" s="40">
        <f t="array" ref="A6">IFNA(index(PlayerValues!A:A,match(IFNA(vlookup(B6,'Special Names'!A:B,2,FALSE),B6),PlayerValues!E:E,0)),"N/A")</f>
        <v>16211</v>
      </c>
      <c r="B6" s="4" t="s">
        <v>294</v>
      </c>
      <c r="C6" s="4" t="s">
        <v>287</v>
      </c>
      <c r="D6" s="94">
        <v>9553.0</v>
      </c>
    </row>
    <row r="7">
      <c r="A7" s="40">
        <f t="array" ref="A7">IFNA(index(PlayerValues!A:A,match(IFNA(vlookup(B7,'Special Names'!A:B,2,FALSE),B7),PlayerValues!E:E,0)),"N/A")</f>
        <v>16162</v>
      </c>
      <c r="B7" s="4" t="s">
        <v>281</v>
      </c>
      <c r="C7" s="4" t="s">
        <v>278</v>
      </c>
      <c r="D7" s="94">
        <v>9419.0</v>
      </c>
    </row>
    <row r="8">
      <c r="A8" s="40">
        <f t="array" ref="A8">IFNA(index(PlayerValues!A:A,match(IFNA(vlookup(B8,'Special Names'!A:B,2,FALSE),B8),PlayerValues!E:E,0)),"N/A")</f>
        <v>16615</v>
      </c>
      <c r="B8" s="4" t="s">
        <v>309</v>
      </c>
      <c r="C8" s="4" t="s">
        <v>287</v>
      </c>
      <c r="D8" s="94">
        <v>7738.0</v>
      </c>
    </row>
    <row r="9">
      <c r="A9" s="40">
        <f t="array" ref="A9">IFNA(index(PlayerValues!A:A,match(IFNA(vlookup(B9,'Special Names'!A:B,2,FALSE),B9),PlayerValues!E:E,0)),"N/A")</f>
        <v>15794</v>
      </c>
      <c r="B9" s="4" t="s">
        <v>313</v>
      </c>
      <c r="C9" s="4" t="s">
        <v>298</v>
      </c>
      <c r="D9" s="94">
        <v>8530.0</v>
      </c>
    </row>
    <row r="10">
      <c r="A10" s="40">
        <f t="array" ref="A10">IFNA(index(PlayerValues!A:A,match(IFNA(vlookup(B10,'Special Names'!A:B,2,FALSE),B10),PlayerValues!E:E,0)),"N/A")</f>
        <v>15287</v>
      </c>
      <c r="B10" s="4" t="s">
        <v>299</v>
      </c>
      <c r="C10" s="4" t="s">
        <v>287</v>
      </c>
      <c r="D10" s="94">
        <v>7648.0</v>
      </c>
    </row>
    <row r="11">
      <c r="A11" s="40">
        <f t="array" ref="A11">IFNA(index(PlayerValues!A:A,match(IFNA(vlookup(B11,'Special Names'!A:B,2,FALSE),B11),PlayerValues!E:E,0)),"N/A")</f>
        <v>16641</v>
      </c>
      <c r="B11" s="4" t="s">
        <v>297</v>
      </c>
      <c r="C11" s="4" t="s">
        <v>298</v>
      </c>
      <c r="D11" s="94">
        <v>8425.0</v>
      </c>
    </row>
    <row r="12">
      <c r="A12" s="40">
        <f t="array" ref="A12">IFNA(index(PlayerValues!A:A,match(IFNA(vlookup(B12,'Special Names'!A:B,2,FALSE),B12),PlayerValues!E:E,0)),"N/A")</f>
        <v>16581</v>
      </c>
      <c r="B12" s="4" t="s">
        <v>315</v>
      </c>
      <c r="C12" s="4" t="s">
        <v>283</v>
      </c>
      <c r="D12" s="94">
        <v>7607.0</v>
      </c>
    </row>
    <row r="13">
      <c r="A13" s="40">
        <f t="array" ref="A13">IFNA(index(PlayerValues!A:A,match(IFNA(vlookup(B13,'Special Names'!A:B,2,FALSE),B13),PlayerValues!E:E,0)),"N/A")</f>
        <v>16579</v>
      </c>
      <c r="B13" s="4" t="s">
        <v>302</v>
      </c>
      <c r="C13" s="4" t="s">
        <v>283</v>
      </c>
      <c r="D13" s="94">
        <v>7599.0</v>
      </c>
    </row>
    <row r="14">
      <c r="A14" s="40">
        <f t="array" ref="A14">IFNA(index(PlayerValues!A:A,match(IFNA(vlookup(B14,'Special Names'!A:B,2,FALSE),B14),PlayerValues!E:E,0)),"N/A")</f>
        <v>13593</v>
      </c>
      <c r="B14" s="4" t="s">
        <v>305</v>
      </c>
      <c r="C14" s="4" t="s">
        <v>283</v>
      </c>
      <c r="D14" s="94">
        <v>7516.0</v>
      </c>
    </row>
    <row r="15">
      <c r="A15" s="40">
        <f t="array" ref="A15">IFNA(index(PlayerValues!A:A,match(IFNA(vlookup(B15,'Special Names'!A:B,2,FALSE),B15),PlayerValues!E:E,0)),"N/A")</f>
        <v>14836</v>
      </c>
      <c r="B15" s="4" t="s">
        <v>306</v>
      </c>
      <c r="C15" s="4" t="s">
        <v>287</v>
      </c>
      <c r="D15" s="94">
        <v>7410.0</v>
      </c>
    </row>
    <row r="16">
      <c r="A16" s="40">
        <f t="array" ref="A16">IFNA(index(PlayerValues!A:A,match(IFNA(vlookup(B16,'Special Names'!A:B,2,FALSE),B16),PlayerValues!E:E,0)),"N/A")</f>
        <v>14832</v>
      </c>
      <c r="B16" s="4" t="s">
        <v>319</v>
      </c>
      <c r="C16" s="4" t="s">
        <v>287</v>
      </c>
      <c r="D16" s="94">
        <v>7349.0</v>
      </c>
    </row>
    <row r="17">
      <c r="A17" s="40">
        <f t="array" ref="A17">IFNA(index(PlayerValues!A:A,match(IFNA(vlookup(B17,'Special Names'!A:B,2,FALSE),B17),PlayerValues!E:E,0)),"N/A")</f>
        <v>14777</v>
      </c>
      <c r="B17" s="4" t="s">
        <v>318</v>
      </c>
      <c r="C17" s="4" t="s">
        <v>283</v>
      </c>
      <c r="D17" s="94">
        <v>7238.0</v>
      </c>
    </row>
    <row r="18">
      <c r="A18" s="40">
        <f t="array" ref="A18">IFNA(index(PlayerValues!A:A,match(IFNA(vlookup(B18,'Special Names'!A:B,2,FALSE),B18),PlayerValues!E:E,0)),"N/A")</f>
        <v>17042</v>
      </c>
      <c r="B18" s="4" t="s">
        <v>314</v>
      </c>
      <c r="C18" s="4" t="s">
        <v>278</v>
      </c>
      <c r="D18" s="94">
        <v>7198.0</v>
      </c>
    </row>
    <row r="19">
      <c r="A19" s="40">
        <f t="array" ref="A19">IFNA(index(PlayerValues!A:A,match(IFNA(vlookup(B19,'Special Names'!A:B,2,FALSE),B19),PlayerValues!E:E,0)),"N/A")</f>
        <v>16167</v>
      </c>
      <c r="B19" s="4" t="s">
        <v>323</v>
      </c>
      <c r="C19" s="4" t="s">
        <v>278</v>
      </c>
      <c r="D19" s="94">
        <v>7103.0</v>
      </c>
    </row>
    <row r="20">
      <c r="A20" s="40">
        <f t="array" ref="A20">IFNA(index(PlayerValues!A:A,match(IFNA(vlookup(B20,'Special Names'!A:B,2,FALSE),B20),PlayerValues!E:E,0)),"N/A")</f>
        <v>15751</v>
      </c>
      <c r="B20" s="4" t="s">
        <v>328</v>
      </c>
      <c r="C20" s="4" t="s">
        <v>287</v>
      </c>
      <c r="D20" s="94">
        <v>7006.0</v>
      </c>
    </row>
    <row r="21">
      <c r="A21" s="40">
        <f t="array" ref="A21">IFNA(index(PlayerValues!A:A,match(IFNA(vlookup(B21,'Special Names'!A:B,2,FALSE),B21),PlayerValues!E:E,0)),"N/A")</f>
        <v>14779</v>
      </c>
      <c r="B21" s="4" t="s">
        <v>327</v>
      </c>
      <c r="C21" s="4" t="s">
        <v>283</v>
      </c>
      <c r="D21" s="94">
        <v>6843.0</v>
      </c>
    </row>
    <row r="22">
      <c r="A22" s="40">
        <f t="array" ref="A22">IFNA(index(PlayerValues!A:A,match(IFNA(vlookup(B22,'Special Names'!A:B,2,FALSE),B22),PlayerValues!E:E,0)),"N/A")</f>
        <v>17472</v>
      </c>
      <c r="B22" s="4" t="s">
        <v>310</v>
      </c>
      <c r="C22" s="4" t="s">
        <v>278</v>
      </c>
      <c r="D22" s="94">
        <v>6748.0</v>
      </c>
    </row>
    <row r="23">
      <c r="A23" s="40" t="str">
        <f t="array" ref="A23">IFNA(index(PlayerValues!A:A,match(IFNA(vlookup(B23,'Special Names'!A:B,2,FALSE),B23),PlayerValues!E:E,0)),"N/A")</f>
        <v>N/A</v>
      </c>
      <c r="B23" s="4" t="s">
        <v>92</v>
      </c>
      <c r="C23" s="4" t="s">
        <v>325</v>
      </c>
      <c r="D23" s="94">
        <v>6634.0</v>
      </c>
    </row>
    <row r="24">
      <c r="A24" s="40">
        <f t="array" ref="A24">IFNA(index(PlayerValues!A:A,match(IFNA(vlookup(B24,'Special Names'!A:B,2,FALSE),B24),PlayerValues!E:E,0)),"N/A")</f>
        <v>17044</v>
      </c>
      <c r="B24" s="4" t="s">
        <v>322</v>
      </c>
      <c r="C24" s="4" t="s">
        <v>278</v>
      </c>
      <c r="D24" s="94">
        <v>6621.0</v>
      </c>
    </row>
    <row r="25">
      <c r="A25" s="40">
        <f t="array" ref="A25">IFNA(index(PlayerValues!A:A,match(IFNA(vlookup(B25,'Special Names'!A:B,2,FALSE),B25),PlayerValues!E:E,0)),"N/A")</f>
        <v>13116</v>
      </c>
      <c r="B25" s="4" t="s">
        <v>345</v>
      </c>
      <c r="C25" s="4" t="s">
        <v>283</v>
      </c>
      <c r="D25" s="94">
        <v>6608.0</v>
      </c>
    </row>
    <row r="26">
      <c r="A26" s="40">
        <f t="array" ref="A26">IFNA(index(PlayerValues!A:A,match(IFNA(vlookup(B26,'Special Names'!A:B,2,FALSE),B26),PlayerValues!E:E,0)),"N/A")</f>
        <v>17032</v>
      </c>
      <c r="B26" s="4" t="s">
        <v>348</v>
      </c>
      <c r="C26" s="4" t="s">
        <v>283</v>
      </c>
      <c r="D26" s="94">
        <v>6600.0</v>
      </c>
    </row>
    <row r="27">
      <c r="A27" s="40">
        <f t="array" ref="A27">IFNA(index(PlayerValues!A:A,match(IFNA(vlookup(B27,'Special Names'!A:B,2,FALSE),B27),PlayerValues!E:E,0)),"N/A")</f>
        <v>17071</v>
      </c>
      <c r="B27" s="4" t="s">
        <v>341</v>
      </c>
      <c r="C27" s="4" t="s">
        <v>287</v>
      </c>
      <c r="D27" s="94">
        <v>6571.0</v>
      </c>
    </row>
    <row r="28">
      <c r="A28" s="40">
        <f t="array" ref="A28">IFNA(index(PlayerValues!A:A,match(IFNA(vlookup(B28,'Special Names'!A:B,2,FALSE),B28),PlayerValues!E:E,0)),"N/A")</f>
        <v>14783</v>
      </c>
      <c r="B28" s="4" t="s">
        <v>342</v>
      </c>
      <c r="C28" s="4" t="s">
        <v>283</v>
      </c>
      <c r="D28" s="94">
        <v>6396.0</v>
      </c>
    </row>
    <row r="29">
      <c r="A29" s="40">
        <f t="array" ref="A29">IFNA(index(PlayerValues!A:A,match(IFNA(vlookup(B29,'Special Names'!A:B,2,FALSE),B29),PlayerValues!E:E,0)),"N/A")</f>
        <v>15237</v>
      </c>
      <c r="B29" s="4" t="s">
        <v>336</v>
      </c>
      <c r="C29" s="4" t="s">
        <v>283</v>
      </c>
      <c r="D29" s="94">
        <v>6315.0</v>
      </c>
    </row>
    <row r="30">
      <c r="A30" s="40">
        <f t="array" ref="A30">IFNA(index(PlayerValues!A:A,match(IFNA(vlookup(B30,'Special Names'!A:B,2,FALSE),B30),PlayerValues!E:E,0)),"N/A")</f>
        <v>16582</v>
      </c>
      <c r="B30" s="4" t="s">
        <v>343</v>
      </c>
      <c r="C30" s="4" t="s">
        <v>283</v>
      </c>
      <c r="D30" s="94">
        <v>6197.0</v>
      </c>
    </row>
    <row r="31">
      <c r="A31" s="40">
        <f t="array" ref="A31">IFNA(index(PlayerValues!A:A,match(IFNA(vlookup(B31,'Special Names'!A:B,2,FALSE),B31),PlayerValues!E:E,0)),"N/A")</f>
        <v>14802</v>
      </c>
      <c r="B31" s="4" t="s">
        <v>332</v>
      </c>
      <c r="C31" s="4" t="s">
        <v>278</v>
      </c>
      <c r="D31" s="94">
        <v>6188.0</v>
      </c>
    </row>
    <row r="32">
      <c r="A32" s="40">
        <f t="array" ref="A32">IFNA(index(PlayerValues!A:A,match(IFNA(vlookup(B32,'Special Names'!A:B,2,FALSE),B32),PlayerValues!E:E,0)),"N/A")</f>
        <v>15715</v>
      </c>
      <c r="B32" s="4" t="s">
        <v>331</v>
      </c>
      <c r="C32" s="4" t="s">
        <v>278</v>
      </c>
      <c r="D32" s="94">
        <v>6165.0</v>
      </c>
    </row>
    <row r="33">
      <c r="A33" s="40">
        <f t="array" ref="A33">IFNA(index(PlayerValues!A:A,match(IFNA(vlookup(B33,'Special Names'!A:B,2,FALSE),B33),PlayerValues!E:E,0)),"N/A")</f>
        <v>15762</v>
      </c>
      <c r="B33" s="4" t="s">
        <v>337</v>
      </c>
      <c r="C33" s="4" t="s">
        <v>287</v>
      </c>
      <c r="D33" s="94">
        <v>6154.0</v>
      </c>
    </row>
    <row r="34">
      <c r="A34" s="40">
        <f t="array" ref="A34">IFNA(index(PlayerValues!A:A,match(IFNA(vlookup(B34,'Special Names'!A:B,2,FALSE),B34),PlayerValues!E:E,0)),"N/A")</f>
        <v>15698</v>
      </c>
      <c r="B34" s="4" t="s">
        <v>358</v>
      </c>
      <c r="C34" s="4" t="s">
        <v>283</v>
      </c>
      <c r="D34" s="94">
        <v>6098.0</v>
      </c>
    </row>
    <row r="35">
      <c r="A35" s="40" t="str">
        <f t="array" ref="A35">IFNA(index(PlayerValues!A:A,match(IFNA(vlookup(B35,'Special Names'!A:B,2,FALSE),B35),PlayerValues!E:E,0)),"N/A")</f>
        <v>N/A</v>
      </c>
      <c r="B35" s="4" t="s">
        <v>79</v>
      </c>
      <c r="C35" s="4" t="s">
        <v>325</v>
      </c>
      <c r="D35" s="94">
        <v>6044.0</v>
      </c>
    </row>
    <row r="36">
      <c r="A36" s="40">
        <f t="array" ref="A36">IFNA(index(PlayerValues!A:A,match(IFNA(vlookup(B36,'Special Names'!A:B,2,FALSE),B36),PlayerValues!E:E,0)),"N/A")</f>
        <v>17081</v>
      </c>
      <c r="B36" s="4" t="s">
        <v>340</v>
      </c>
      <c r="C36" s="4" t="s">
        <v>287</v>
      </c>
      <c r="D36" s="94">
        <v>6005.0</v>
      </c>
    </row>
    <row r="37">
      <c r="A37" s="40">
        <f t="array" ref="A37">IFNA(index(PlayerValues!A:A,match(IFNA(vlookup(B37,'Special Names'!A:B,2,FALSE),B37),PlayerValues!E:E,0)),"N/A")</f>
        <v>15290</v>
      </c>
      <c r="B37" s="4" t="s">
        <v>355</v>
      </c>
      <c r="C37" s="4" t="s">
        <v>287</v>
      </c>
      <c r="D37" s="94">
        <v>5983.0</v>
      </c>
    </row>
    <row r="38">
      <c r="A38" s="40">
        <f t="array" ref="A38">IFNA(index(PlayerValues!A:A,match(IFNA(vlookup(B38,'Special Names'!A:B,2,FALSE),B38),PlayerValues!E:E,0)),"N/A")</f>
        <v>17043</v>
      </c>
      <c r="B38" s="4" t="s">
        <v>397</v>
      </c>
      <c r="C38" s="4" t="s">
        <v>278</v>
      </c>
      <c r="D38" s="94">
        <v>5966.0</v>
      </c>
    </row>
    <row r="39">
      <c r="A39" s="40">
        <f t="array" ref="A39">IFNA(index(PlayerValues!A:A,match(IFNA(vlookup(B39,'Special Names'!A:B,2,FALSE),B39),PlayerValues!E:E,0)),"N/A")</f>
        <v>17104</v>
      </c>
      <c r="B39" s="4" t="s">
        <v>333</v>
      </c>
      <c r="C39" s="4" t="s">
        <v>298</v>
      </c>
      <c r="D39" s="94">
        <v>6491.0</v>
      </c>
    </row>
    <row r="40">
      <c r="A40" s="40">
        <f t="array" ref="A40">IFNA(index(PlayerValues!A:A,match(IFNA(vlookup(B40,'Special Names'!A:B,2,FALSE),B40),PlayerValues!E:E,0)),"N/A")</f>
        <v>15753</v>
      </c>
      <c r="B40" s="4" t="s">
        <v>359</v>
      </c>
      <c r="C40" s="4" t="s">
        <v>287</v>
      </c>
      <c r="D40" s="94">
        <v>5819.0</v>
      </c>
    </row>
    <row r="41">
      <c r="A41" s="40">
        <f t="array" ref="A41">IFNA(index(PlayerValues!A:A,match(IFNA(vlookup(B41,'Special Names'!A:B,2,FALSE),B41),PlayerValues!E:E,0)),"N/A")</f>
        <v>15754</v>
      </c>
      <c r="B41" s="4" t="s">
        <v>354</v>
      </c>
      <c r="C41" s="4" t="s">
        <v>287</v>
      </c>
      <c r="D41" s="94">
        <v>5805.0</v>
      </c>
    </row>
    <row r="42">
      <c r="A42" s="40">
        <f t="array" ref="A42">IFNA(index(PlayerValues!A:A,match(IFNA(vlookup(B42,'Special Names'!A:B,2,FALSE),B42),PlayerValues!E:E,0)),"N/A")</f>
        <v>14782</v>
      </c>
      <c r="B42" s="4" t="s">
        <v>385</v>
      </c>
      <c r="C42" s="4" t="s">
        <v>283</v>
      </c>
      <c r="D42" s="94">
        <v>5702.0</v>
      </c>
    </row>
    <row r="43">
      <c r="A43" s="40">
        <f t="array" ref="A43">IFNA(index(PlayerValues!A:A,match(IFNA(vlookup(B43,'Special Names'!A:B,2,FALSE),B43),PlayerValues!E:E,0)),"N/A")</f>
        <v>17102</v>
      </c>
      <c r="B43" s="4" t="s">
        <v>344</v>
      </c>
      <c r="C43" s="4" t="s">
        <v>298</v>
      </c>
      <c r="D43" s="94">
        <v>6248.0</v>
      </c>
    </row>
    <row r="44">
      <c r="A44" s="40">
        <f t="array" ref="A44">IFNA(index(PlayerValues!A:A,match(IFNA(vlookup(B44,'Special Names'!A:B,2,FALSE),B44),PlayerValues!E:E,0)),"N/A")</f>
        <v>17462</v>
      </c>
      <c r="B44" s="4" t="s">
        <v>375</v>
      </c>
      <c r="C44" s="4" t="s">
        <v>283</v>
      </c>
      <c r="D44" s="94">
        <v>5583.0</v>
      </c>
    </row>
    <row r="45">
      <c r="A45" s="40">
        <f t="array" ref="A45">IFNA(index(PlayerValues!A:A,match(IFNA(vlookup(B45,'Special Names'!A:B,2,FALSE),B45),PlayerValues!E:E,0)),"N/A")</f>
        <v>17051</v>
      </c>
      <c r="B45" s="4" t="s">
        <v>386</v>
      </c>
      <c r="C45" s="4" t="s">
        <v>278</v>
      </c>
      <c r="D45" s="94">
        <v>5508.0</v>
      </c>
    </row>
    <row r="46">
      <c r="A46" s="40">
        <f t="array" ref="A46">IFNA(index(PlayerValues!A:A,match(IFNA(vlookup(B46,'Special Names'!A:B,2,FALSE),B46),PlayerValues!E:E,0)),"N/A")</f>
        <v>15708</v>
      </c>
      <c r="B46" s="4" t="s">
        <v>382</v>
      </c>
      <c r="C46" s="4" t="s">
        <v>278</v>
      </c>
      <c r="D46" s="94">
        <v>5486.0</v>
      </c>
    </row>
    <row r="47">
      <c r="A47" s="40">
        <f t="array" ref="A47">IFNA(index(PlayerValues!A:A,match(IFNA(vlookup(B47,'Special Names'!A:B,2,FALSE),B47),PlayerValues!E:E,0)),"N/A")</f>
        <v>16598</v>
      </c>
      <c r="B47" s="4" t="s">
        <v>408</v>
      </c>
      <c r="C47" s="4" t="s">
        <v>278</v>
      </c>
      <c r="D47" s="94">
        <v>5486.0</v>
      </c>
    </row>
    <row r="48">
      <c r="A48" s="40">
        <f t="array" ref="A48">IFNA(index(PlayerValues!A:A,match(IFNA(vlookup(B48,'Special Names'!A:B,2,FALSE),B48),PlayerValues!E:E,0)),"N/A")</f>
        <v>16194</v>
      </c>
      <c r="B48" s="4" t="s">
        <v>398</v>
      </c>
      <c r="C48" s="4" t="s">
        <v>287</v>
      </c>
      <c r="D48" s="94">
        <v>5404.0</v>
      </c>
    </row>
    <row r="49">
      <c r="A49" s="40" t="str">
        <f t="array" ref="A49">IFNA(index(PlayerValues!A:A,match(IFNA(vlookup(B49,'Special Names'!A:B,2,FALSE),B49),PlayerValues!E:E,0)),"N/A")</f>
        <v>N/A</v>
      </c>
      <c r="B49" s="4" t="s">
        <v>93</v>
      </c>
      <c r="C49" s="4" t="s">
        <v>325</v>
      </c>
      <c r="D49" s="94">
        <v>5404.0</v>
      </c>
    </row>
    <row r="50">
      <c r="A50" s="40">
        <f t="array" ref="A50">IFNA(index(PlayerValues!A:A,match(IFNA(vlookup(B50,'Special Names'!A:B,2,FALSE),B50),PlayerValues!E:E,0)),"N/A")</f>
        <v>17499</v>
      </c>
      <c r="B50" s="4" t="s">
        <v>402</v>
      </c>
      <c r="C50" s="4" t="s">
        <v>287</v>
      </c>
      <c r="D50" s="94">
        <v>5391.0</v>
      </c>
    </row>
    <row r="51">
      <c r="A51" s="40">
        <f t="array" ref="A51">IFNA(index(PlayerValues!A:A,match(IFNA(vlookup(B51,'Special Names'!A:B,2,FALSE),B51),PlayerValues!E:E,0)),"N/A")</f>
        <v>16627</v>
      </c>
      <c r="B51" s="4" t="s">
        <v>351</v>
      </c>
      <c r="C51" s="4" t="s">
        <v>287</v>
      </c>
      <c r="D51" s="94">
        <v>5376.0</v>
      </c>
    </row>
    <row r="52">
      <c r="A52" s="40">
        <f t="array" ref="A52">IFNA(index(PlayerValues!A:A,match(IFNA(vlookup(B52,'Special Names'!A:B,2,FALSE),B52),PlayerValues!E:E,0)),"N/A")</f>
        <v>16616</v>
      </c>
      <c r="B52" s="4" t="s">
        <v>389</v>
      </c>
      <c r="C52" s="4" t="s">
        <v>287</v>
      </c>
      <c r="D52" s="94">
        <v>5245.0</v>
      </c>
    </row>
    <row r="53">
      <c r="A53" s="40">
        <f t="array" ref="A53">IFNA(index(PlayerValues!A:A,match(IFNA(vlookup(B53,'Special Names'!A:B,2,FALSE),B53),PlayerValues!E:E,0)),"N/A")</f>
        <v>13130</v>
      </c>
      <c r="B53" s="4" t="s">
        <v>374</v>
      </c>
      <c r="C53" s="4" t="s">
        <v>278</v>
      </c>
      <c r="D53" s="94">
        <v>5183.0</v>
      </c>
    </row>
    <row r="54">
      <c r="A54" s="40">
        <f t="array" ref="A54">IFNA(index(PlayerValues!A:A,match(IFNA(vlookup(B54,'Special Names'!A:B,2,FALSE),B54),PlayerValues!E:E,0)),"N/A")</f>
        <v>17497</v>
      </c>
      <c r="B54" s="4" t="s">
        <v>365</v>
      </c>
      <c r="C54" s="4" t="s">
        <v>287</v>
      </c>
      <c r="D54" s="94">
        <v>5182.0</v>
      </c>
    </row>
    <row r="55">
      <c r="A55" s="40">
        <f t="array" ref="A55">IFNA(index(PlayerValues!A:A,match(IFNA(vlookup(B55,'Special Names'!A:B,2,FALSE),B55),PlayerValues!E:E,0)),"N/A")</f>
        <v>16614</v>
      </c>
      <c r="B55" s="4" t="s">
        <v>403</v>
      </c>
      <c r="C55" s="4" t="s">
        <v>287</v>
      </c>
      <c r="D55" s="94">
        <v>5116.0</v>
      </c>
    </row>
    <row r="56">
      <c r="A56" s="40">
        <f t="array" ref="A56">IFNA(index(PlayerValues!A:A,match(IFNA(vlookup(B56,'Special Names'!A:B,2,FALSE),B56),PlayerValues!E:E,0)),"N/A")</f>
        <v>17030</v>
      </c>
      <c r="B56" s="4" t="s">
        <v>406</v>
      </c>
      <c r="C56" s="4" t="s">
        <v>283</v>
      </c>
      <c r="D56" s="94">
        <v>5030.0</v>
      </c>
    </row>
    <row r="57">
      <c r="A57" s="40">
        <f t="array" ref="A57">IFNA(index(PlayerValues!A:A,match(IFNA(vlookup(B57,'Special Names'!A:B,2,FALSE),B57),PlayerValues!E:E,0)),"N/A")</f>
        <v>12620</v>
      </c>
      <c r="B57" s="4" t="s">
        <v>394</v>
      </c>
      <c r="C57" s="4" t="s">
        <v>283</v>
      </c>
      <c r="D57" s="94">
        <v>4998.0</v>
      </c>
    </row>
    <row r="58">
      <c r="A58" s="40">
        <f t="array" ref="A58">IFNA(index(PlayerValues!A:A,match(IFNA(vlookup(B58,'Special Names'!A:B,2,FALSE),B58),PlayerValues!E:E,0)),"N/A")</f>
        <v>17070</v>
      </c>
      <c r="B58" s="4" t="s">
        <v>370</v>
      </c>
      <c r="C58" s="4" t="s">
        <v>287</v>
      </c>
      <c r="D58" s="94">
        <v>4970.0</v>
      </c>
    </row>
    <row r="59">
      <c r="A59" s="40">
        <f t="array" ref="A59">IFNA(index(PlayerValues!A:A,match(IFNA(vlookup(B59,'Special Names'!A:B,2,FALSE),B59),PlayerValues!E:E,0)),"N/A")</f>
        <v>15711</v>
      </c>
      <c r="B59" s="4" t="s">
        <v>349</v>
      </c>
      <c r="C59" s="4" t="s">
        <v>278</v>
      </c>
      <c r="D59" s="94">
        <v>4968.0</v>
      </c>
    </row>
    <row r="60">
      <c r="A60" s="40">
        <f t="array" ref="A60">IFNA(index(PlayerValues!A:A,match(IFNA(vlookup(B60,'Special Names'!A:B,2,FALSE),B60),PlayerValues!E:E,0)),"N/A")</f>
        <v>16618</v>
      </c>
      <c r="B60" s="4" t="s">
        <v>411</v>
      </c>
      <c r="C60" s="4" t="s">
        <v>287</v>
      </c>
      <c r="D60" s="94">
        <v>4967.0</v>
      </c>
    </row>
    <row r="61">
      <c r="A61" s="40">
        <f t="array" ref="A61">IFNA(index(PlayerValues!A:A,match(IFNA(vlookup(B61,'Special Names'!A:B,2,FALSE),B61),PlayerValues!E:E,0)),"N/A")</f>
        <v>16150</v>
      </c>
      <c r="B61" s="4" t="s">
        <v>414</v>
      </c>
      <c r="C61" s="4" t="s">
        <v>283</v>
      </c>
      <c r="D61" s="94">
        <v>4942.0</v>
      </c>
    </row>
    <row r="62">
      <c r="A62" s="40">
        <f t="array" ref="A62">IFNA(index(PlayerValues!A:A,match(IFNA(vlookup(B62,'Special Names'!A:B,2,FALSE),B62),PlayerValues!E:E,0)),"N/A")</f>
        <v>14835</v>
      </c>
      <c r="B62" s="4" t="s">
        <v>392</v>
      </c>
      <c r="C62" s="4" t="s">
        <v>287</v>
      </c>
      <c r="D62" s="94">
        <v>4876.0</v>
      </c>
    </row>
    <row r="63">
      <c r="A63" s="40">
        <f t="array" ref="A63">IFNA(index(PlayerValues!A:A,match(IFNA(vlookup(B63,'Special Names'!A:B,2,FALSE),B63),PlayerValues!E:E,0)),"N/A")</f>
        <v>17103</v>
      </c>
      <c r="B63" s="4" t="s">
        <v>405</v>
      </c>
      <c r="C63" s="4" t="s">
        <v>298</v>
      </c>
      <c r="D63" s="94">
        <v>5445.0</v>
      </c>
    </row>
    <row r="64">
      <c r="A64" s="40">
        <f t="array" ref="A64">IFNA(index(PlayerValues!A:A,match(IFNA(vlookup(B64,'Special Names'!A:B,2,FALSE),B64),PlayerValues!E:E,0)),"N/A")</f>
        <v>16181</v>
      </c>
      <c r="B64" s="4" t="s">
        <v>350</v>
      </c>
      <c r="C64" s="4" t="s">
        <v>278</v>
      </c>
      <c r="D64" s="94">
        <v>4870.0</v>
      </c>
    </row>
    <row r="65">
      <c r="A65" s="40">
        <f t="array" ref="A65">IFNA(index(PlayerValues!A:A,match(IFNA(vlookup(B65,'Special Names'!A:B,2,FALSE),B65),PlayerValues!E:E,0)),"N/A")</f>
        <v>16222</v>
      </c>
      <c r="B65" s="4" t="s">
        <v>393</v>
      </c>
      <c r="C65" s="4" t="s">
        <v>298</v>
      </c>
      <c r="D65" s="94">
        <v>5427.0</v>
      </c>
    </row>
    <row r="66">
      <c r="A66" s="40">
        <f t="array" ref="A66">IFNA(index(PlayerValues!A:A,match(IFNA(vlookup(B66,'Special Names'!A:B,2,FALSE),B66),PlayerValues!E:E,0)),"N/A")</f>
        <v>17498</v>
      </c>
      <c r="B66" s="4" t="s">
        <v>396</v>
      </c>
      <c r="C66" s="4" t="s">
        <v>287</v>
      </c>
      <c r="D66" s="94">
        <v>4857.0</v>
      </c>
    </row>
    <row r="67">
      <c r="A67" s="40">
        <f t="array" ref="A67">IFNA(index(PlayerValues!A:A,match(IFNA(vlookup(B67,'Special Names'!A:B,2,FALSE),B67),PlayerValues!E:E,0)),"N/A")</f>
        <v>17045</v>
      </c>
      <c r="B67" s="4" t="s">
        <v>407</v>
      </c>
      <c r="C67" s="4" t="s">
        <v>278</v>
      </c>
      <c r="D67" s="94">
        <v>4852.0</v>
      </c>
    </row>
    <row r="68">
      <c r="A68" s="40">
        <f t="array" ref="A68">IFNA(index(PlayerValues!A:A,match(IFNA(vlookup(B68,'Special Names'!A:B,2,FALSE),B68),PlayerValues!E:E,0)),"N/A")</f>
        <v>15710</v>
      </c>
      <c r="B68" s="4" t="s">
        <v>395</v>
      </c>
      <c r="C68" s="4" t="s">
        <v>278</v>
      </c>
      <c r="D68" s="94">
        <v>4832.0</v>
      </c>
    </row>
    <row r="69">
      <c r="A69" s="40" t="str">
        <f t="array" ref="A69">IFNA(index(PlayerValues!A:A,match(IFNA(vlookup(B69,'Special Names'!A:B,2,FALSE),B69),PlayerValues!E:E,0)),"N/A")</f>
        <v>N/A</v>
      </c>
      <c r="B69" s="4" t="s">
        <v>104</v>
      </c>
      <c r="C69" s="4" t="s">
        <v>325</v>
      </c>
      <c r="D69" s="94">
        <v>4813.0</v>
      </c>
    </row>
    <row r="70">
      <c r="A70" s="40">
        <f t="array" ref="A70">IFNA(index(PlayerValues!A:A,match(IFNA(vlookup(B70,'Special Names'!A:B,2,FALSE),B70),PlayerValues!E:E,0)),"N/A")</f>
        <v>13604</v>
      </c>
      <c r="B70" s="4" t="s">
        <v>378</v>
      </c>
      <c r="C70" s="4" t="s">
        <v>278</v>
      </c>
      <c r="D70" s="94">
        <v>4796.0</v>
      </c>
    </row>
    <row r="71">
      <c r="A71" s="40">
        <f t="array" ref="A71">IFNA(index(PlayerValues!A:A,match(IFNA(vlookup(B71,'Special Names'!A:B,2,FALSE),B71),PlayerValues!E:E,0)),"N/A")</f>
        <v>13592</v>
      </c>
      <c r="B71" s="4" t="s">
        <v>418</v>
      </c>
      <c r="C71" s="4" t="s">
        <v>283</v>
      </c>
      <c r="D71" s="94">
        <v>4790.0</v>
      </c>
    </row>
    <row r="72">
      <c r="A72" s="40">
        <f t="array" ref="A72">IFNA(index(PlayerValues!A:A,match(IFNA(vlookup(B72,'Special Names'!A:B,2,FALSE),B72),PlayerValues!E:E,0)),"N/A")</f>
        <v>15756</v>
      </c>
      <c r="B72" s="4" t="s">
        <v>399</v>
      </c>
      <c r="C72" s="4" t="s">
        <v>287</v>
      </c>
      <c r="D72" s="94">
        <v>4789.0</v>
      </c>
    </row>
    <row r="73">
      <c r="A73" s="40">
        <f t="array" ref="A73">IFNA(index(PlayerValues!A:A,match(IFNA(vlookup(B73,'Special Names'!A:B,2,FALSE),B73),PlayerValues!E:E,0)),"N/A")</f>
        <v>13590</v>
      </c>
      <c r="B73" s="4" t="s">
        <v>409</v>
      </c>
      <c r="C73" s="4" t="s">
        <v>283</v>
      </c>
      <c r="D73" s="94">
        <v>4769.0</v>
      </c>
    </row>
    <row r="74">
      <c r="A74" s="40" t="str">
        <f t="array" ref="A74">IFNA(index(PlayerValues!A:A,match(IFNA(vlookup(B74,'Special Names'!A:B,2,FALSE),B74),PlayerValues!E:E,0)),"N/A")</f>
        <v>N/A</v>
      </c>
      <c r="B74" s="4" t="s">
        <v>80</v>
      </c>
      <c r="C74" s="4" t="s">
        <v>325</v>
      </c>
      <c r="D74" s="94">
        <v>4728.0</v>
      </c>
    </row>
    <row r="75">
      <c r="A75" s="40" t="str">
        <f t="array" ref="A75">IFNA(index(PlayerValues!A:A,match(IFNA(vlookup(B75,'Special Names'!A:B,2,FALSE),B75),PlayerValues!E:E,0)),"N/A")</f>
        <v>N/A</v>
      </c>
      <c r="B75" s="4" t="s">
        <v>94</v>
      </c>
      <c r="C75" s="4" t="s">
        <v>325</v>
      </c>
      <c r="D75" s="94">
        <v>4720.0</v>
      </c>
    </row>
    <row r="76">
      <c r="A76" s="40">
        <f t="array" ref="A76">IFNA(index(PlayerValues!A:A,match(IFNA(vlookup(B76,'Special Names'!A:B,2,FALSE),B76),PlayerValues!E:E,0)),"N/A")</f>
        <v>15282</v>
      </c>
      <c r="B76" s="4" t="s">
        <v>364</v>
      </c>
      <c r="C76" s="4" t="s">
        <v>287</v>
      </c>
      <c r="D76" s="94">
        <v>4715.0</v>
      </c>
    </row>
    <row r="77">
      <c r="A77" s="40">
        <f t="array" ref="A77">IFNA(index(PlayerValues!A:A,match(IFNA(vlookup(B77,'Special Names'!A:B,2,FALSE),B77),PlayerValues!E:E,0)),"N/A")</f>
        <v>14104</v>
      </c>
      <c r="B77" s="4" t="s">
        <v>379</v>
      </c>
      <c r="C77" s="4" t="s">
        <v>287</v>
      </c>
      <c r="D77" s="94">
        <v>4692.0</v>
      </c>
    </row>
    <row r="78">
      <c r="A78" s="40">
        <f t="array" ref="A78">IFNA(index(PlayerValues!A:A,match(IFNA(vlookup(B78,'Special Names'!A:B,2,FALSE),B78),PlayerValues!E:E,0)),"N/A")</f>
        <v>16190</v>
      </c>
      <c r="B78" s="4" t="s">
        <v>371</v>
      </c>
      <c r="C78" s="4" t="s">
        <v>287</v>
      </c>
      <c r="D78" s="94">
        <v>4691.0</v>
      </c>
    </row>
    <row r="79">
      <c r="A79" s="40">
        <f t="array" ref="A79">IFNA(index(PlayerValues!A:A,match(IFNA(vlookup(B79,'Special Names'!A:B,2,FALSE),B79),PlayerValues!E:E,0)),"N/A")</f>
        <v>12611</v>
      </c>
      <c r="B79" s="4" t="s">
        <v>410</v>
      </c>
      <c r="C79" s="4" t="s">
        <v>283</v>
      </c>
      <c r="D79" s="94">
        <v>4626.0</v>
      </c>
    </row>
    <row r="80">
      <c r="A80" s="40">
        <f t="array" ref="A80">IFNA(index(PlayerValues!A:A,match(IFNA(vlookup(B80,'Special Names'!A:B,2,FALSE),B80),PlayerValues!E:E,0)),"N/A")</f>
        <v>16214</v>
      </c>
      <c r="B80" s="4" t="s">
        <v>413</v>
      </c>
      <c r="C80" s="4" t="s">
        <v>298</v>
      </c>
      <c r="D80" s="94">
        <v>5137.0</v>
      </c>
    </row>
    <row r="81">
      <c r="A81" s="40">
        <f t="array" ref="A81">IFNA(index(PlayerValues!A:A,match(IFNA(vlookup(B81,'Special Names'!A:B,2,FALSE),B81),PlayerValues!E:E,0)),"N/A")</f>
        <v>17039</v>
      </c>
      <c r="B81" s="4" t="s">
        <v>400</v>
      </c>
      <c r="C81" s="4" t="s">
        <v>283</v>
      </c>
      <c r="D81" s="94">
        <v>4586.0</v>
      </c>
    </row>
    <row r="82">
      <c r="A82" s="40">
        <f t="array" ref="A82">IFNA(index(PlayerValues!A:A,match(IFNA(vlookup(B82,'Special Names'!A:B,2,FALSE),B82),PlayerValues!E:E,0)),"N/A")</f>
        <v>15284</v>
      </c>
      <c r="B82" s="4" t="s">
        <v>390</v>
      </c>
      <c r="C82" s="4" t="s">
        <v>287</v>
      </c>
      <c r="D82" s="94">
        <v>4573.0</v>
      </c>
    </row>
    <row r="83">
      <c r="A83" s="40">
        <f t="array" ref="A83">IFNA(index(PlayerValues!A:A,match(IFNA(vlookup(B83,'Special Names'!A:B,2,FALSE),B83),PlayerValues!E:E,0)),"N/A")</f>
        <v>17068</v>
      </c>
      <c r="B83" s="4" t="s">
        <v>450</v>
      </c>
      <c r="C83" s="4" t="s">
        <v>278</v>
      </c>
      <c r="D83" s="94">
        <v>4532.0</v>
      </c>
    </row>
    <row r="84">
      <c r="A84" s="40">
        <f t="array" ref="A84">IFNA(index(PlayerValues!A:A,match(IFNA(vlookup(B84,'Special Names'!A:B,2,FALSE),B84),PlayerValues!E:E,0)),"N/A")</f>
        <v>16148</v>
      </c>
      <c r="B84" s="4" t="s">
        <v>426</v>
      </c>
      <c r="C84" s="4" t="s">
        <v>283</v>
      </c>
      <c r="D84" s="94">
        <v>4501.0</v>
      </c>
    </row>
    <row r="85">
      <c r="A85" s="40">
        <f t="array" ref="A85">IFNA(index(PlayerValues!A:A,match(IFNA(vlookup(B85,'Special Names'!A:B,2,FALSE),B85),PlayerValues!E:E,0)),"N/A")</f>
        <v>15253</v>
      </c>
      <c r="B85" s="4" t="s">
        <v>415</v>
      </c>
      <c r="C85" s="4" t="s">
        <v>278</v>
      </c>
      <c r="D85" s="94">
        <v>4490.0</v>
      </c>
    </row>
    <row r="86">
      <c r="A86" s="40">
        <f t="array" ref="A86">IFNA(index(PlayerValues!A:A,match(IFNA(vlookup(B86,'Special Names'!A:B,2,FALSE),B86),PlayerValues!E:E,0)),"N/A")</f>
        <v>15329</v>
      </c>
      <c r="B86" s="4" t="s">
        <v>416</v>
      </c>
      <c r="C86" s="4" t="s">
        <v>298</v>
      </c>
      <c r="D86" s="94">
        <v>5018.0</v>
      </c>
    </row>
    <row r="87">
      <c r="A87" s="40">
        <f t="array" ref="A87">IFNA(index(PlayerValues!A:A,match(IFNA(vlookup(B87,'Special Names'!A:B,2,FALSE),B87),PlayerValues!E:E,0)),"N/A")</f>
        <v>14073</v>
      </c>
      <c r="B87" s="4" t="s">
        <v>464</v>
      </c>
      <c r="C87" s="4" t="s">
        <v>278</v>
      </c>
      <c r="D87" s="94">
        <v>4475.0</v>
      </c>
    </row>
    <row r="88">
      <c r="A88" s="40" t="str">
        <f t="array" ref="A88">IFNA(index(PlayerValues!A:A,match(IFNA(vlookup(B88,'Special Names'!A:B,2,FALSE),B88),PlayerValues!E:E,0)),"N/A")</f>
        <v>N/A</v>
      </c>
      <c r="B88" s="4" t="s">
        <v>105</v>
      </c>
      <c r="C88" s="4" t="s">
        <v>325</v>
      </c>
      <c r="D88" s="94">
        <v>4438.0</v>
      </c>
    </row>
    <row r="89">
      <c r="A89" s="40">
        <f t="array" ref="A89">IFNA(index(PlayerValues!A:A,match(IFNA(vlookup(B89,'Special Names'!A:B,2,FALSE),B89),PlayerValues!E:E,0)),"N/A")</f>
        <v>15256</v>
      </c>
      <c r="B89" s="4" t="s">
        <v>401</v>
      </c>
      <c r="C89" s="4" t="s">
        <v>278</v>
      </c>
      <c r="D89" s="94">
        <v>4384.0</v>
      </c>
    </row>
    <row r="90">
      <c r="A90" s="40" t="str">
        <f t="array" ref="A90">IFNA(index(PlayerValues!A:A,match(IFNA(vlookup(B90,'Special Names'!A:B,2,FALSE),B90),PlayerValues!E:E,0)),"N/A")</f>
        <v>N/A</v>
      </c>
      <c r="B90" s="4" t="s">
        <v>81</v>
      </c>
      <c r="C90" s="4" t="s">
        <v>325</v>
      </c>
      <c r="D90" s="94">
        <v>4332.0</v>
      </c>
    </row>
    <row r="91">
      <c r="A91" s="40">
        <f t="array" ref="A91">IFNA(index(PlayerValues!A:A,match(IFNA(vlookup(B91,'Special Names'!A:B,2,FALSE),B91),PlayerValues!E:E,0)),"N/A")</f>
        <v>17074</v>
      </c>
      <c r="B91" s="4" t="s">
        <v>475</v>
      </c>
      <c r="C91" s="4" t="s">
        <v>287</v>
      </c>
      <c r="D91" s="94">
        <v>4217.0</v>
      </c>
    </row>
    <row r="92">
      <c r="A92" s="40">
        <f t="array" ref="A92">IFNA(index(PlayerValues!A:A,match(IFNA(vlookup(B92,'Special Names'!A:B,2,FALSE),B92),PlayerValues!E:E,0)),"N/A")</f>
        <v>17500</v>
      </c>
      <c r="B92" s="4" t="s">
        <v>430</v>
      </c>
      <c r="C92" s="4" t="s">
        <v>287</v>
      </c>
      <c r="D92" s="94">
        <v>4194.0</v>
      </c>
    </row>
    <row r="93">
      <c r="A93" s="40">
        <f t="array" ref="A93">IFNA(index(PlayerValues!A:A,match(IFNA(vlookup(B93,'Special Names'!A:B,2,FALSE),B93),PlayerValues!E:E,0)),"N/A")</f>
        <v>17099</v>
      </c>
      <c r="B93" s="4" t="s">
        <v>474</v>
      </c>
      <c r="C93" s="4" t="s">
        <v>298</v>
      </c>
      <c r="D93" s="94">
        <v>4644.0</v>
      </c>
    </row>
    <row r="94">
      <c r="A94" s="40">
        <f t="array" ref="A94">IFNA(index(PlayerValues!A:A,match(IFNA(vlookup(B94,'Special Names'!A:B,2,FALSE),B94),PlayerValues!E:E,0)),"N/A")</f>
        <v>16186</v>
      </c>
      <c r="B94" s="4" t="s">
        <v>425</v>
      </c>
      <c r="C94" s="4" t="s">
        <v>287</v>
      </c>
      <c r="D94" s="94">
        <v>4064.0</v>
      </c>
    </row>
    <row r="95">
      <c r="A95" s="40" t="str">
        <f t="array" ref="A95">IFNA(index(PlayerValues!A:A,match(IFNA(vlookup(B95,'Special Names'!A:B,2,FALSE),B95),PlayerValues!E:E,0)),"N/A")</f>
        <v>N/A</v>
      </c>
      <c r="B95" s="4" t="s">
        <v>107</v>
      </c>
      <c r="C95" s="4" t="s">
        <v>325</v>
      </c>
      <c r="D95" s="94">
        <v>4001.0</v>
      </c>
    </row>
    <row r="96">
      <c r="A96" s="40">
        <f t="array" ref="A96">IFNA(index(PlayerValues!A:A,match(IFNA(vlookup(B96,'Special Names'!A:B,2,FALSE),B96),PlayerValues!E:E,0)),"N/A")</f>
        <v>14059</v>
      </c>
      <c r="B96" s="4" t="s">
        <v>435</v>
      </c>
      <c r="C96" s="4" t="s">
        <v>283</v>
      </c>
      <c r="D96" s="94">
        <v>3990.0</v>
      </c>
    </row>
    <row r="97">
      <c r="A97" s="40">
        <f t="array" ref="A97">IFNA(index(PlayerValues!A:A,match(IFNA(vlookup(B97,'Special Names'!A:B,2,FALSE),B97),PlayerValues!E:E,0)),"N/A")</f>
        <v>17543</v>
      </c>
      <c r="B97" s="4" t="s">
        <v>436</v>
      </c>
      <c r="C97" s="4" t="s">
        <v>298</v>
      </c>
      <c r="D97" s="94">
        <v>4481.0</v>
      </c>
    </row>
    <row r="98">
      <c r="A98" s="40">
        <f t="array" ref="A98">IFNA(index(PlayerValues!A:A,match(IFNA(vlookup(B98,'Special Names'!A:B,2,FALSE),B98),PlayerValues!E:E,0)),"N/A")</f>
        <v>17501</v>
      </c>
      <c r="B98" s="4" t="s">
        <v>404</v>
      </c>
      <c r="C98" s="4" t="s">
        <v>287</v>
      </c>
      <c r="D98" s="94">
        <v>3957.0</v>
      </c>
    </row>
    <row r="99">
      <c r="A99" s="40">
        <f t="array" ref="A99">IFNA(index(PlayerValues!A:A,match(IFNA(vlookup(B99,'Special Names'!A:B,2,FALSE),B99),PlayerValues!E:E,0)),"N/A")</f>
        <v>17066</v>
      </c>
      <c r="B99" s="4" t="s">
        <v>446</v>
      </c>
      <c r="C99" s="4" t="s">
        <v>278</v>
      </c>
      <c r="D99" s="94">
        <v>3935.0</v>
      </c>
    </row>
    <row r="100">
      <c r="A100" s="40">
        <f t="array" ref="A100">IFNA(index(PlayerValues!A:A,match(IFNA(vlookup(B100,'Special Names'!A:B,2,FALSE),B100),PlayerValues!E:E,0)),"N/A")</f>
        <v>12626</v>
      </c>
      <c r="B100" s="4" t="s">
        <v>419</v>
      </c>
      <c r="C100" s="4" t="s">
        <v>278</v>
      </c>
      <c r="D100" s="94">
        <v>3906.0</v>
      </c>
    </row>
    <row r="101">
      <c r="A101" s="40">
        <f t="array" ref="A101">IFNA(index(PlayerValues!A:A,match(IFNA(vlookup(B101,'Special Names'!A:B,2,FALSE),B101),PlayerValues!E:E,0)),"N/A")</f>
        <v>16622</v>
      </c>
      <c r="B101" s="4" t="s">
        <v>517</v>
      </c>
      <c r="C101" s="4" t="s">
        <v>287</v>
      </c>
      <c r="D101" s="94">
        <v>3903.0</v>
      </c>
    </row>
    <row r="102">
      <c r="A102" s="40">
        <f t="array" ref="A102">IFNA(index(PlayerValues!A:A,match(IFNA(vlookup(B102,'Special Names'!A:B,2,FALSE),B102),PlayerValues!E:E,0)),"N/A")</f>
        <v>16206</v>
      </c>
      <c r="B102" s="4" t="s">
        <v>431</v>
      </c>
      <c r="C102" s="4" t="s">
        <v>287</v>
      </c>
      <c r="D102" s="94">
        <v>3878.0</v>
      </c>
    </row>
    <row r="103">
      <c r="A103" s="40">
        <f t="array" ref="A103">IFNA(index(PlayerValues!A:A,match(IFNA(vlookup(B103,'Special Names'!A:B,2,FALSE),B103),PlayerValues!E:E,0)),"N/A")</f>
        <v>15768</v>
      </c>
      <c r="B103" s="4" t="s">
        <v>432</v>
      </c>
      <c r="C103" s="4" t="s">
        <v>287</v>
      </c>
      <c r="D103" s="94">
        <v>3861.0</v>
      </c>
    </row>
    <row r="104">
      <c r="A104" s="40">
        <f t="array" ref="A104">IFNA(index(PlayerValues!A:A,match(IFNA(vlookup(B104,'Special Names'!A:B,2,FALSE),B104),PlayerValues!E:E,0)),"N/A")</f>
        <v>14102</v>
      </c>
      <c r="B104" s="4" t="s">
        <v>444</v>
      </c>
      <c r="C104" s="4" t="s">
        <v>287</v>
      </c>
      <c r="D104" s="94">
        <v>3846.0</v>
      </c>
    </row>
    <row r="105">
      <c r="A105" s="40" t="str">
        <f t="array" ref="A105">IFNA(index(PlayerValues!A:A,match(IFNA(vlookup(B105,'Special Names'!A:B,2,FALSE),B105),PlayerValues!E:E,0)),"N/A")</f>
        <v>N/A</v>
      </c>
      <c r="B105" s="4" t="s">
        <v>95</v>
      </c>
      <c r="C105" s="4" t="s">
        <v>325</v>
      </c>
      <c r="D105" s="94">
        <v>3826.0</v>
      </c>
    </row>
    <row r="106">
      <c r="A106" s="40">
        <f t="array" ref="A106">IFNA(index(PlayerValues!A:A,match(IFNA(vlookup(B106,'Special Names'!A:B,2,FALSE),B106),PlayerValues!E:E,0)),"N/A")</f>
        <v>17083</v>
      </c>
      <c r="B106" s="4" t="s">
        <v>479</v>
      </c>
      <c r="C106" s="4" t="s">
        <v>287</v>
      </c>
      <c r="D106" s="94">
        <v>3822.0</v>
      </c>
    </row>
    <row r="107">
      <c r="A107" s="40">
        <f t="array" ref="A107">IFNA(index(PlayerValues!A:A,match(IFNA(vlookup(B107,'Special Names'!A:B,2,FALSE),B107),PlayerValues!E:E,0)),"N/A")</f>
        <v>15789</v>
      </c>
      <c r="B107" s="4" t="s">
        <v>421</v>
      </c>
      <c r="C107" s="4" t="s">
        <v>287</v>
      </c>
      <c r="D107" s="94">
        <v>3737.0</v>
      </c>
    </row>
    <row r="108">
      <c r="A108" s="40">
        <f t="array" ref="A108">IFNA(index(PlayerValues!A:A,match(IFNA(vlookup(B108,'Special Names'!A:B,2,FALSE),B108),PlayerValues!E:E,0)),"N/A")</f>
        <v>14797</v>
      </c>
      <c r="B108" s="4" t="s">
        <v>420</v>
      </c>
      <c r="C108" s="4" t="s">
        <v>278</v>
      </c>
      <c r="D108" s="94">
        <v>3731.0</v>
      </c>
    </row>
    <row r="109">
      <c r="A109" s="40">
        <f t="array" ref="A109">IFNA(index(PlayerValues!A:A,match(IFNA(vlookup(B109,'Special Names'!A:B,2,FALSE),B109),PlayerValues!E:E,0)),"N/A")</f>
        <v>9431</v>
      </c>
      <c r="B109" s="4" t="s">
        <v>428</v>
      </c>
      <c r="C109" s="4" t="s">
        <v>283</v>
      </c>
      <c r="D109" s="94">
        <v>3717.0</v>
      </c>
    </row>
    <row r="110">
      <c r="A110" s="40">
        <f t="array" ref="A110">IFNA(index(PlayerValues!A:A,match(IFNA(vlookup(B110,'Special Names'!A:B,2,FALSE),B110),PlayerValues!E:E,0)),"N/A")</f>
        <v>11675</v>
      </c>
      <c r="B110" s="4" t="s">
        <v>438</v>
      </c>
      <c r="C110" s="4" t="s">
        <v>287</v>
      </c>
      <c r="D110" s="94">
        <v>3658.0</v>
      </c>
    </row>
    <row r="111">
      <c r="A111" s="40">
        <f t="array" ref="A111">IFNA(index(PlayerValues!A:A,match(IFNA(vlookup(B111,'Special Names'!A:B,2,FALSE),B111),PlayerValues!E:E,0)),"N/A")</f>
        <v>17477</v>
      </c>
      <c r="B111" s="4" t="s">
        <v>452</v>
      </c>
      <c r="C111" s="4" t="s">
        <v>278</v>
      </c>
      <c r="D111" s="94">
        <v>3634.0</v>
      </c>
    </row>
    <row r="112">
      <c r="A112" s="40">
        <f t="array" ref="A112">IFNA(index(PlayerValues!A:A,match(IFNA(vlookup(B112,'Special Names'!A:B,2,FALSE),B112),PlayerValues!E:E,0)),"N/A")</f>
        <v>15757</v>
      </c>
      <c r="B112" s="4" t="s">
        <v>449</v>
      </c>
      <c r="C112" s="4" t="s">
        <v>287</v>
      </c>
      <c r="D112" s="94">
        <v>3624.0</v>
      </c>
    </row>
    <row r="113">
      <c r="A113" s="40">
        <f t="array" ref="A113">IFNA(index(PlayerValues!A:A,match(IFNA(vlookup(B113,'Special Names'!A:B,2,FALSE),B113),PlayerValues!E:E,0)),"N/A")</f>
        <v>14056</v>
      </c>
      <c r="B113" s="4" t="s">
        <v>423</v>
      </c>
      <c r="C113" s="4" t="s">
        <v>283</v>
      </c>
      <c r="D113" s="94">
        <v>3604.0</v>
      </c>
    </row>
    <row r="114">
      <c r="A114" s="40">
        <f t="array" ref="A114">IFNA(index(PlayerValues!A:A,match(IFNA(vlookup(B114,'Special Names'!A:B,2,FALSE),B114),PlayerValues!E:E,0)),"N/A")</f>
        <v>16583</v>
      </c>
      <c r="B114" s="4" t="s">
        <v>493</v>
      </c>
      <c r="C114" s="4" t="s">
        <v>283</v>
      </c>
      <c r="D114" s="94">
        <v>3599.0</v>
      </c>
    </row>
    <row r="115">
      <c r="A115" s="40">
        <f t="array" ref="A115">IFNA(index(PlayerValues!A:A,match(IFNA(vlookup(B115,'Special Names'!A:B,2,FALSE),B115),PlayerValues!E:E,0)),"N/A")</f>
        <v>14842</v>
      </c>
      <c r="B115" s="4" t="s">
        <v>456</v>
      </c>
      <c r="C115" s="4" t="s">
        <v>287</v>
      </c>
      <c r="D115" s="94">
        <v>3584.0</v>
      </c>
    </row>
    <row r="116">
      <c r="A116" s="40">
        <f t="array" ref="A116">IFNA(index(PlayerValues!A:A,match(IFNA(vlookup(B116,'Special Names'!A:B,2,FALSE),B116),PlayerValues!E:E,0)),"N/A")</f>
        <v>16169</v>
      </c>
      <c r="B116" s="4" t="s">
        <v>457</v>
      </c>
      <c r="C116" s="4" t="s">
        <v>278</v>
      </c>
      <c r="D116" s="94">
        <v>3576.0</v>
      </c>
    </row>
    <row r="117">
      <c r="A117" s="40">
        <f t="array" ref="A117">IFNA(index(PlayerValues!A:A,match(IFNA(vlookup(B117,'Special Names'!A:B,2,FALSE),B117),PlayerValues!E:E,0)),"N/A")</f>
        <v>16192</v>
      </c>
      <c r="B117" s="4" t="s">
        <v>412</v>
      </c>
      <c r="C117" s="4" t="s">
        <v>287</v>
      </c>
      <c r="D117" s="94">
        <v>3572.0</v>
      </c>
    </row>
    <row r="118">
      <c r="A118" s="40">
        <f t="array" ref="A118">IFNA(index(PlayerValues!A:A,match(IFNA(vlookup(B118,'Special Names'!A:B,2,FALSE),B118),PlayerValues!E:E,0)),"N/A")</f>
        <v>16213</v>
      </c>
      <c r="B118" s="4" t="s">
        <v>458</v>
      </c>
      <c r="C118" s="4" t="s">
        <v>298</v>
      </c>
      <c r="D118" s="94">
        <v>4026.0</v>
      </c>
    </row>
    <row r="119">
      <c r="A119" s="40">
        <f t="array" ref="A119">IFNA(index(PlayerValues!A:A,match(IFNA(vlookup(B119,'Special Names'!A:B,2,FALSE),B119),PlayerValues!E:E,0)),"N/A")</f>
        <v>16584</v>
      </c>
      <c r="B119" s="4" t="s">
        <v>569</v>
      </c>
      <c r="C119" s="4" t="s">
        <v>283</v>
      </c>
      <c r="D119" s="94">
        <v>3535.0</v>
      </c>
    </row>
    <row r="120">
      <c r="A120" s="40">
        <f t="array" ref="A120">IFNA(index(PlayerValues!A:A,match(IFNA(vlookup(B120,'Special Names'!A:B,2,FALSE),B120),PlayerValues!E:E,0)),"N/A")</f>
        <v>17075</v>
      </c>
      <c r="B120" s="4" t="s">
        <v>429</v>
      </c>
      <c r="C120" s="4" t="s">
        <v>287</v>
      </c>
      <c r="D120" s="94">
        <v>3534.0</v>
      </c>
    </row>
    <row r="121">
      <c r="A121" s="40">
        <f t="array" ref="A121">IFNA(index(PlayerValues!A:A,match(IFNA(vlookup(B121,'Special Names'!A:B,2,FALSE),B121),PlayerValues!E:E,0)),"N/A")</f>
        <v>16620</v>
      </c>
      <c r="B121" s="4" t="s">
        <v>467</v>
      </c>
      <c r="C121" s="4" t="s">
        <v>287</v>
      </c>
      <c r="D121" s="94">
        <v>3528.0</v>
      </c>
    </row>
    <row r="122">
      <c r="A122" s="40">
        <f t="array" ref="A122">IFNA(index(PlayerValues!A:A,match(IFNA(vlookup(B122,'Special Names'!A:B,2,FALSE),B122),PlayerValues!E:E,0)),"N/A")</f>
        <v>16188</v>
      </c>
      <c r="B122" s="4" t="s">
        <v>439</v>
      </c>
      <c r="C122" s="4" t="s">
        <v>287</v>
      </c>
      <c r="D122" s="94">
        <v>3512.0</v>
      </c>
    </row>
    <row r="123">
      <c r="A123" s="40" t="str">
        <f t="array" ref="A123">IFNA(index(PlayerValues!A:A,match(IFNA(vlookup(B123,'Special Names'!A:B,2,FALSE),B123),PlayerValues!E:E,0)),"N/A")</f>
        <v>N/A</v>
      </c>
      <c r="B123" s="4" t="s">
        <v>82</v>
      </c>
      <c r="C123" s="4" t="s">
        <v>325</v>
      </c>
      <c r="D123" s="94">
        <v>3495.0</v>
      </c>
    </row>
    <row r="124">
      <c r="A124" s="40">
        <f t="array" ref="A124">IFNA(index(PlayerValues!A:A,match(IFNA(vlookup(B124,'Special Names'!A:B,2,FALSE),B124),PlayerValues!E:E,0)),"N/A")</f>
        <v>16593</v>
      </c>
      <c r="B124" s="4" t="s">
        <v>442</v>
      </c>
      <c r="C124" s="4" t="s">
        <v>278</v>
      </c>
      <c r="D124" s="94">
        <v>3495.0</v>
      </c>
    </row>
    <row r="125">
      <c r="A125" s="40">
        <f t="array" ref="A125">IFNA(index(PlayerValues!A:A,match(IFNA(vlookup(B125,'Special Names'!A:B,2,FALSE),B125),PlayerValues!E:E,0)),"N/A")</f>
        <v>13299</v>
      </c>
      <c r="B125" s="4" t="s">
        <v>448</v>
      </c>
      <c r="C125" s="4" t="s">
        <v>298</v>
      </c>
      <c r="D125" s="94">
        <v>3945.0</v>
      </c>
    </row>
    <row r="126">
      <c r="A126" s="40">
        <f t="array" ref="A126">IFNA(index(PlayerValues!A:A,match(IFNA(vlookup(B126,'Special Names'!A:B,2,FALSE),B126),PlayerValues!E:E,0)),"N/A")</f>
        <v>14127</v>
      </c>
      <c r="B126" s="4" t="s">
        <v>486</v>
      </c>
      <c r="C126" s="4" t="s">
        <v>287</v>
      </c>
      <c r="D126" s="94">
        <v>3459.0</v>
      </c>
    </row>
    <row r="127">
      <c r="A127" s="40">
        <f t="array" ref="A127">IFNA(index(PlayerValues!A:A,match(IFNA(vlookup(B127,'Special Names'!A:B,2,FALSE),B127),PlayerValues!E:E,0)),"N/A")</f>
        <v>17052</v>
      </c>
      <c r="B127" s="4" t="s">
        <v>417</v>
      </c>
      <c r="C127" s="4" t="s">
        <v>278</v>
      </c>
      <c r="D127" s="94">
        <v>3455.0</v>
      </c>
    </row>
    <row r="128">
      <c r="A128" s="40">
        <f t="array" ref="A128">IFNA(index(PlayerValues!A:A,match(IFNA(vlookup(B128,'Special Names'!A:B,2,FALSE),B128),PlayerValues!E:E,0)),"N/A")</f>
        <v>15742</v>
      </c>
      <c r="B128" s="4" t="s">
        <v>447</v>
      </c>
      <c r="C128" s="4" t="s">
        <v>278</v>
      </c>
      <c r="D128" s="94">
        <v>3439.0</v>
      </c>
    </row>
    <row r="129">
      <c r="A129" s="40">
        <f t="array" ref="A129">IFNA(index(PlayerValues!A:A,match(IFNA(vlookup(B129,'Special Names'!A:B,2,FALSE),B129),PlayerValues!E:E,0)),"N/A")</f>
        <v>15799</v>
      </c>
      <c r="B129" s="4" t="s">
        <v>468</v>
      </c>
      <c r="C129" s="4" t="s">
        <v>298</v>
      </c>
      <c r="D129" s="94">
        <v>3859.0</v>
      </c>
    </row>
    <row r="130">
      <c r="A130" s="40">
        <f t="array" ref="A130">IFNA(index(PlayerValues!A:A,match(IFNA(vlookup(B130,'Special Names'!A:B,2,FALSE),B130),PlayerValues!E:E,0)),"N/A")</f>
        <v>17502</v>
      </c>
      <c r="B130" s="4" t="s">
        <v>451</v>
      </c>
      <c r="C130" s="4" t="s">
        <v>287</v>
      </c>
      <c r="D130" s="94">
        <v>3399.0</v>
      </c>
    </row>
    <row r="131">
      <c r="A131" s="40" t="str">
        <f t="array" ref="A131">IFNA(index(PlayerValues!A:A,match(IFNA(vlookup(B131,'Special Names'!A:B,2,FALSE),B131),PlayerValues!E:E,0)),"N/A")</f>
        <v>N/A</v>
      </c>
      <c r="B131" s="4" t="s">
        <v>96</v>
      </c>
      <c r="C131" s="4" t="s">
        <v>325</v>
      </c>
      <c r="D131" s="94">
        <v>3373.0</v>
      </c>
    </row>
    <row r="132">
      <c r="A132" s="40">
        <f t="array" ref="A132">IFNA(index(PlayerValues!A:A,match(IFNA(vlookup(B132,'Special Names'!A:B,2,FALSE),B132),PlayerValues!E:E,0)),"N/A")</f>
        <v>14109</v>
      </c>
      <c r="B132" s="4" t="s">
        <v>437</v>
      </c>
      <c r="C132" s="4" t="s">
        <v>287</v>
      </c>
      <c r="D132" s="94">
        <v>3358.0</v>
      </c>
    </row>
    <row r="133">
      <c r="A133" s="40">
        <f t="array" ref="A133">IFNA(index(PlayerValues!A:A,match(IFNA(vlookup(B133,'Special Names'!A:B,2,FALSE),B133),PlayerValues!E:E,0)),"N/A")</f>
        <v>16594</v>
      </c>
      <c r="B133" s="4" t="s">
        <v>607</v>
      </c>
      <c r="C133" s="4" t="s">
        <v>278</v>
      </c>
      <c r="D133" s="94">
        <v>3331.0</v>
      </c>
    </row>
    <row r="134">
      <c r="A134" s="40">
        <f t="array" ref="A134">IFNA(index(PlayerValues!A:A,match(IFNA(vlookup(B134,'Special Names'!A:B,2,FALSE),B134),PlayerValues!E:E,0)),"N/A")</f>
        <v>17053</v>
      </c>
      <c r="B134" s="4" t="s">
        <v>484</v>
      </c>
      <c r="C134" s="4" t="s">
        <v>278</v>
      </c>
      <c r="D134" s="94">
        <v>3330.0</v>
      </c>
    </row>
    <row r="135">
      <c r="A135" s="40">
        <f t="array" ref="A135">IFNA(index(PlayerValues!A:A,match(IFNA(vlookup(B135,'Special Names'!A:B,2,FALSE),B135),PlayerValues!E:E,0)),"N/A")</f>
        <v>17473</v>
      </c>
      <c r="B135" s="4" t="s">
        <v>391</v>
      </c>
      <c r="C135" s="4" t="s">
        <v>278</v>
      </c>
      <c r="D135" s="94">
        <v>3313.0</v>
      </c>
    </row>
    <row r="136">
      <c r="A136" s="40">
        <f t="array" ref="A136">IFNA(index(PlayerValues!A:A,match(IFNA(vlookup(B136,'Special Names'!A:B,2,FALSE),B136),PlayerValues!E:E,0)),"N/A")</f>
        <v>13630</v>
      </c>
      <c r="B136" s="4" t="s">
        <v>465</v>
      </c>
      <c r="C136" s="4" t="s">
        <v>287</v>
      </c>
      <c r="D136" s="94">
        <v>3298.0</v>
      </c>
    </row>
    <row r="137">
      <c r="A137" s="40">
        <f t="array" ref="A137">IFNA(index(PlayerValues!A:A,match(IFNA(vlookup(B137,'Special Names'!A:B,2,FALSE),B137),PlayerValues!E:E,0)),"N/A")</f>
        <v>13635</v>
      </c>
      <c r="B137" s="4" t="s">
        <v>424</v>
      </c>
      <c r="C137" s="4" t="s">
        <v>287</v>
      </c>
      <c r="D137" s="94">
        <v>3274.0</v>
      </c>
    </row>
    <row r="138">
      <c r="A138" s="40">
        <f t="array" ref="A138">IFNA(index(PlayerValues!A:A,match(IFNA(vlookup(B138,'Special Names'!A:B,2,FALSE),B138),PlayerValues!E:E,0)),"N/A")</f>
        <v>16269</v>
      </c>
      <c r="B138" s="4" t="s">
        <v>481</v>
      </c>
      <c r="C138" s="4" t="s">
        <v>298</v>
      </c>
      <c r="D138" s="94">
        <v>3709.0</v>
      </c>
    </row>
    <row r="139">
      <c r="A139" s="40">
        <f t="array" ref="A139">IFNA(index(PlayerValues!A:A,match(IFNA(vlookup(B139,'Special Names'!A:B,2,FALSE),B139),PlayerValues!E:E,0)),"N/A")</f>
        <v>16184</v>
      </c>
      <c r="B139" s="4" t="s">
        <v>445</v>
      </c>
      <c r="C139" s="4" t="s">
        <v>287</v>
      </c>
      <c r="D139" s="94">
        <v>3261.0</v>
      </c>
    </row>
    <row r="140">
      <c r="A140" s="40">
        <f t="array" ref="A140">IFNA(index(PlayerValues!A:A,match(IFNA(vlookup(B140,'Special Names'!A:B,2,FALSE),B140),PlayerValues!E:E,0)),"N/A")</f>
        <v>15694</v>
      </c>
      <c r="B140" s="4" t="s">
        <v>434</v>
      </c>
      <c r="C140" s="4" t="s">
        <v>283</v>
      </c>
      <c r="D140" s="94">
        <v>3213.0</v>
      </c>
    </row>
    <row r="141">
      <c r="A141" s="40">
        <f t="array" ref="A141">IFNA(index(PlayerValues!A:A,match(IFNA(vlookup(B141,'Special Names'!A:B,2,FALSE),B141),PlayerValues!E:E,0)),"N/A")</f>
        <v>15712</v>
      </c>
      <c r="B141" s="4" t="s">
        <v>488</v>
      </c>
      <c r="C141" s="4" t="s">
        <v>278</v>
      </c>
      <c r="D141" s="94">
        <v>3212.0</v>
      </c>
    </row>
    <row r="142">
      <c r="A142" s="40">
        <f t="array" ref="A142">IFNA(index(PlayerValues!A:A,match(IFNA(vlookup(B142,'Special Names'!A:B,2,FALSE),B142),PlayerValues!E:E,0)),"N/A")</f>
        <v>17476</v>
      </c>
      <c r="B142" s="4" t="s">
        <v>494</v>
      </c>
      <c r="C142" s="4" t="s">
        <v>278</v>
      </c>
      <c r="D142" s="94">
        <v>3202.0</v>
      </c>
    </row>
    <row r="143">
      <c r="A143" s="40">
        <f t="array" ref="A143">IFNA(index(PlayerValues!A:A,match(IFNA(vlookup(B143,'Special Names'!A:B,2,FALSE),B143),PlayerValues!E:E,0)),"N/A")</f>
        <v>16809</v>
      </c>
      <c r="B143" s="4" t="s">
        <v>455</v>
      </c>
      <c r="C143" s="4" t="s">
        <v>287</v>
      </c>
      <c r="D143" s="94">
        <v>3167.0</v>
      </c>
    </row>
    <row r="144">
      <c r="A144" s="40">
        <f t="array" ref="A144">IFNA(index(PlayerValues!A:A,match(IFNA(vlookup(B144,'Special Names'!A:B,2,FALSE),B144),PlayerValues!E:E,0)),"N/A")</f>
        <v>16187</v>
      </c>
      <c r="B144" s="4" t="s">
        <v>441</v>
      </c>
      <c r="C144" s="4" t="s">
        <v>287</v>
      </c>
      <c r="D144" s="94">
        <v>3151.0</v>
      </c>
    </row>
    <row r="145">
      <c r="A145" s="40">
        <f t="array" ref="A145">IFNA(index(PlayerValues!A:A,match(IFNA(vlookup(B145,'Special Names'!A:B,2,FALSE),B145),PlayerValues!E:E,0)),"N/A")</f>
        <v>14823</v>
      </c>
      <c r="B145" s="4" t="s">
        <v>459</v>
      </c>
      <c r="C145" s="4" t="s">
        <v>278</v>
      </c>
      <c r="D145" s="94">
        <v>3150.0</v>
      </c>
    </row>
    <row r="146">
      <c r="A146" s="40">
        <f t="array" ref="A146">IFNA(index(PlayerValues!A:A,match(IFNA(vlookup(B146,'Special Names'!A:B,2,FALSE),B146),PlayerValues!E:E,0)),"N/A")</f>
        <v>15761</v>
      </c>
      <c r="B146" s="4" t="s">
        <v>491</v>
      </c>
      <c r="C146" s="4" t="s">
        <v>287</v>
      </c>
      <c r="D146" s="94">
        <v>3111.0</v>
      </c>
    </row>
    <row r="147">
      <c r="A147" s="40" t="str">
        <f t="array" ref="A147">IFNA(index(PlayerValues!A:A,match(IFNA(vlookup(B147,'Special Names'!A:B,2,FALSE),B147),PlayerValues!E:E,0)),"N/A")</f>
        <v>N/A</v>
      </c>
      <c r="B147" s="4" t="s">
        <v>108</v>
      </c>
      <c r="C147" s="4" t="s">
        <v>325</v>
      </c>
      <c r="D147" s="94">
        <v>3078.0</v>
      </c>
    </row>
    <row r="148">
      <c r="A148" s="40" t="str">
        <f t="array" ref="A148">IFNA(index(PlayerValues!A:A,match(IFNA(vlookup(B148,'Special Names'!A:B,2,FALSE),B148),PlayerValues!E:E,0)),"N/A")</f>
        <v>N/A</v>
      </c>
      <c r="B148" s="4" t="s">
        <v>84</v>
      </c>
      <c r="C148" s="4" t="s">
        <v>325</v>
      </c>
      <c r="D148" s="94">
        <v>3074.0</v>
      </c>
    </row>
    <row r="149">
      <c r="A149" s="40" t="str">
        <f t="array" ref="A149">IFNA(index(PlayerValues!A:A,match(IFNA(vlookup(B149,'Special Names'!A:B,2,FALSE),B149),PlayerValues!E:E,0)),"N/A")</f>
        <v>N/A</v>
      </c>
      <c r="B149" s="4" t="s">
        <v>97</v>
      </c>
      <c r="C149" s="4" t="s">
        <v>325</v>
      </c>
      <c r="D149" s="94">
        <v>3068.0</v>
      </c>
    </row>
    <row r="150">
      <c r="A150" s="40">
        <f t="array" ref="A150">IFNA(index(PlayerValues!A:A,match(IFNA(vlookup(B150,'Special Names'!A:B,2,FALSE),B150),PlayerValues!E:E,0)),"N/A")</f>
        <v>15261</v>
      </c>
      <c r="B150" s="4" t="s">
        <v>466</v>
      </c>
      <c r="C150" s="4" t="s">
        <v>278</v>
      </c>
      <c r="D150" s="94">
        <v>3050.0</v>
      </c>
    </row>
    <row r="151">
      <c r="A151" s="40">
        <f t="array" ref="A151">IFNA(index(PlayerValues!A:A,match(IFNA(vlookup(B151,'Special Names'!A:B,2,FALSE),B151),PlayerValues!E:E,0)),"N/A")</f>
        <v>16619</v>
      </c>
      <c r="B151" s="4" t="s">
        <v>538</v>
      </c>
      <c r="C151" s="4" t="s">
        <v>287</v>
      </c>
      <c r="D151" s="94">
        <v>3046.0</v>
      </c>
    </row>
    <row r="152">
      <c r="A152" s="40">
        <f t="array" ref="A152">IFNA(index(PlayerValues!A:A,match(IFNA(vlookup(B152,'Special Names'!A:B,2,FALSE),B152),PlayerValues!E:E,0)),"N/A")</f>
        <v>15798</v>
      </c>
      <c r="B152" s="4" t="s">
        <v>443</v>
      </c>
      <c r="C152" s="4" t="s">
        <v>298</v>
      </c>
      <c r="D152" s="94">
        <v>3452.0</v>
      </c>
    </row>
    <row r="153">
      <c r="A153" s="40">
        <f t="array" ref="A153">IFNA(index(PlayerValues!A:A,match(IFNA(vlookup(B153,'Special Names'!A:B,2,FALSE),B153),PlayerValues!E:E,0)),"N/A")</f>
        <v>17463</v>
      </c>
      <c r="B153" s="4" t="s">
        <v>433</v>
      </c>
      <c r="C153" s="4" t="s">
        <v>283</v>
      </c>
      <c r="D153" s="94">
        <v>2990.0</v>
      </c>
    </row>
    <row r="154">
      <c r="A154" s="40">
        <f t="array" ref="A154">IFNA(index(PlayerValues!A:A,match(IFNA(vlookup(B154,'Special Names'!A:B,2,FALSE),B154),PlayerValues!E:E,0)),"N/A")</f>
        <v>17082</v>
      </c>
      <c r="B154" s="4" t="s">
        <v>498</v>
      </c>
      <c r="C154" s="4" t="s">
        <v>287</v>
      </c>
      <c r="D154" s="94">
        <v>2978.0</v>
      </c>
    </row>
    <row r="155">
      <c r="A155" s="40">
        <f t="array" ref="A155">IFNA(index(PlayerValues!A:A,match(IFNA(vlookup(B155,'Special Names'!A:B,2,FALSE),B155),PlayerValues!E:E,0)),"N/A")</f>
        <v>15259</v>
      </c>
      <c r="B155" s="4" t="s">
        <v>453</v>
      </c>
      <c r="C155" s="4" t="s">
        <v>278</v>
      </c>
      <c r="D155" s="94">
        <v>2975.0</v>
      </c>
    </row>
    <row r="156">
      <c r="A156" s="40">
        <f t="array" ref="A156">IFNA(index(PlayerValues!A:A,match(IFNA(vlookup(B156,'Special Names'!A:B,2,FALSE),B156),PlayerValues!E:E,0)),"N/A")</f>
        <v>16193</v>
      </c>
      <c r="B156" s="4" t="s">
        <v>487</v>
      </c>
      <c r="C156" s="4" t="s">
        <v>287</v>
      </c>
      <c r="D156" s="94">
        <v>2972.0</v>
      </c>
    </row>
    <row r="157">
      <c r="A157" s="40">
        <f t="array" ref="A157">IFNA(index(PlayerValues!A:A,match(IFNA(vlookup(B157,'Special Names'!A:B,2,FALSE),B157),PlayerValues!E:E,0)),"N/A")</f>
        <v>15779</v>
      </c>
      <c r="B157" s="4" t="s">
        <v>461</v>
      </c>
      <c r="C157" s="4" t="s">
        <v>287</v>
      </c>
      <c r="D157" s="94">
        <v>2971.0</v>
      </c>
    </row>
    <row r="158">
      <c r="A158" s="40">
        <f t="array" ref="A158">IFNA(index(PlayerValues!A:A,match(IFNA(vlookup(B158,'Special Names'!A:B,2,FALSE),B158),PlayerValues!E:E,0)),"N/A")</f>
        <v>17106</v>
      </c>
      <c r="B158" s="4" t="s">
        <v>550</v>
      </c>
      <c r="C158" s="4" t="s">
        <v>298</v>
      </c>
      <c r="D158" s="94">
        <v>3349.0</v>
      </c>
    </row>
    <row r="159">
      <c r="A159" s="40">
        <f t="array" ref="A159">IFNA(index(PlayerValues!A:A,match(IFNA(vlookup(B159,'Special Names'!A:B,2,FALSE),B159),PlayerValues!E:E,0)),"N/A")</f>
        <v>17107</v>
      </c>
      <c r="B159" s="4" t="s">
        <v>478</v>
      </c>
      <c r="C159" s="4" t="s">
        <v>298</v>
      </c>
      <c r="D159" s="94">
        <v>3326.0</v>
      </c>
    </row>
    <row r="160">
      <c r="A160" s="40">
        <f t="array" ref="A160">IFNA(index(PlayerValues!A:A,match(IFNA(vlookup(B160,'Special Names'!A:B,2,FALSE),B160),PlayerValues!E:E,0)),"N/A")</f>
        <v>17031</v>
      </c>
      <c r="B160" s="4" t="s">
        <v>535</v>
      </c>
      <c r="C160" s="4" t="s">
        <v>283</v>
      </c>
      <c r="D160" s="94">
        <v>2900.0</v>
      </c>
    </row>
    <row r="161">
      <c r="A161" s="40">
        <f t="array" ref="A161">IFNA(index(PlayerValues!A:A,match(IFNA(vlookup(B161,'Special Names'!A:B,2,FALSE),B161),PlayerValues!E:E,0)),"N/A")</f>
        <v>17256</v>
      </c>
      <c r="B161" s="4" t="s">
        <v>462</v>
      </c>
      <c r="C161" s="4" t="s">
        <v>278</v>
      </c>
      <c r="D161" s="94">
        <v>2891.0</v>
      </c>
    </row>
    <row r="162">
      <c r="A162" s="40">
        <f t="array" ref="A162">IFNA(index(PlayerValues!A:A,match(IFNA(vlookup(B162,'Special Names'!A:B,2,FALSE),B162),PlayerValues!E:E,0)),"N/A")</f>
        <v>16723</v>
      </c>
      <c r="B162" s="4" t="s">
        <v>502</v>
      </c>
      <c r="C162" s="4" t="s">
        <v>298</v>
      </c>
      <c r="D162" s="94">
        <v>3297.0</v>
      </c>
    </row>
    <row r="163">
      <c r="A163" s="40">
        <f t="array" ref="A163">IFNA(index(PlayerValues!A:A,match(IFNA(vlookup(B163,'Special Names'!A:B,2,FALSE),B163),PlayerValues!E:E,0)),"N/A")</f>
        <v>11671</v>
      </c>
      <c r="B163" s="4" t="s">
        <v>463</v>
      </c>
      <c r="C163" s="4" t="s">
        <v>287</v>
      </c>
      <c r="D163" s="94">
        <v>2867.0</v>
      </c>
    </row>
    <row r="164">
      <c r="A164" s="40">
        <f t="array" ref="A164">IFNA(index(PlayerValues!A:A,match(IFNA(vlookup(B164,'Special Names'!A:B,2,FALSE),B164),PlayerValues!E:E,0)),"N/A")</f>
        <v>16628</v>
      </c>
      <c r="B164" s="4" t="s">
        <v>490</v>
      </c>
      <c r="C164" s="4" t="s">
        <v>287</v>
      </c>
      <c r="D164" s="94">
        <v>2864.0</v>
      </c>
    </row>
    <row r="165">
      <c r="A165" s="40">
        <f t="array" ref="A165">IFNA(index(PlayerValues!A:A,match(IFNA(vlookup(B165,'Special Names'!A:B,2,FALSE),B165),PlayerValues!E:E,0)),"N/A")</f>
        <v>17171</v>
      </c>
      <c r="B165" s="4" t="s">
        <v>561</v>
      </c>
      <c r="C165" s="4" t="s">
        <v>287</v>
      </c>
      <c r="D165" s="94">
        <v>2851.0</v>
      </c>
    </row>
    <row r="166">
      <c r="A166" s="40">
        <f t="array" ref="A166">IFNA(index(PlayerValues!A:A,match(IFNA(vlookup(B166,'Special Names'!A:B,2,FALSE),B166),PlayerValues!E:E,0)),"N/A")</f>
        <v>16596</v>
      </c>
      <c r="B166" s="4" t="s">
        <v>501</v>
      </c>
      <c r="C166" s="4" t="s">
        <v>278</v>
      </c>
      <c r="D166" s="94">
        <v>2844.0</v>
      </c>
    </row>
    <row r="167">
      <c r="A167" s="40">
        <f t="array" ref="A167">IFNA(index(PlayerValues!A:A,match(IFNA(vlookup(B167,'Special Names'!A:B,2,FALSE),B167),PlayerValues!E:E,0)),"N/A")</f>
        <v>17073</v>
      </c>
      <c r="B167" s="4" t="s">
        <v>547</v>
      </c>
      <c r="C167" s="4" t="s">
        <v>287</v>
      </c>
      <c r="D167" s="94">
        <v>2841.0</v>
      </c>
    </row>
    <row r="168">
      <c r="A168" s="40">
        <f t="array" ref="A168">IFNA(index(PlayerValues!A:A,match(IFNA(vlookup(B168,'Special Names'!A:B,2,FALSE),B168),PlayerValues!E:E,0)),"N/A")</f>
        <v>14860</v>
      </c>
      <c r="B168" s="4" t="s">
        <v>554</v>
      </c>
      <c r="C168" s="4" t="s">
        <v>287</v>
      </c>
      <c r="D168" s="94">
        <v>2839.0</v>
      </c>
    </row>
    <row r="169">
      <c r="A169" s="40">
        <f t="array" ref="A169">IFNA(index(PlayerValues!A:A,match(IFNA(vlookup(B169,'Special Names'!A:B,2,FALSE),B169),PlayerValues!E:E,0)),"N/A")</f>
        <v>17072</v>
      </c>
      <c r="B169" s="4" t="s">
        <v>508</v>
      </c>
      <c r="C169" s="4" t="s">
        <v>287</v>
      </c>
      <c r="D169" s="94">
        <v>2839.0</v>
      </c>
    </row>
    <row r="170">
      <c r="A170" s="40">
        <f t="array" ref="A170">IFNA(index(PlayerValues!A:A,match(IFNA(vlookup(B170,'Special Names'!A:B,2,FALSE),B170),PlayerValues!E:E,0)),"N/A")</f>
        <v>17157</v>
      </c>
      <c r="B170" s="4" t="s">
        <v>524</v>
      </c>
      <c r="C170" s="4" t="s">
        <v>287</v>
      </c>
      <c r="D170" s="94">
        <v>2835.0</v>
      </c>
    </row>
    <row r="171">
      <c r="A171" s="40">
        <f t="array" ref="A171">IFNA(index(PlayerValues!A:A,match(IFNA(vlookup(B171,'Special Names'!A:B,2,FALSE),B171),PlayerValues!E:E,0)),"N/A")</f>
        <v>16080</v>
      </c>
      <c r="B171" s="4" t="s">
        <v>499</v>
      </c>
      <c r="C171" s="4" t="s">
        <v>287</v>
      </c>
      <c r="D171" s="94">
        <v>2829.0</v>
      </c>
    </row>
    <row r="172">
      <c r="A172" s="40">
        <f t="array" ref="A172">IFNA(index(PlayerValues!A:A,match(IFNA(vlookup(B172,'Special Names'!A:B,2,FALSE),B172),PlayerValues!E:E,0)),"N/A")</f>
        <v>17511</v>
      </c>
      <c r="B172" s="4" t="s">
        <v>485</v>
      </c>
      <c r="C172" s="4" t="s">
        <v>287</v>
      </c>
      <c r="D172" s="94">
        <v>2819.0</v>
      </c>
    </row>
    <row r="173">
      <c r="A173" s="40">
        <f t="array" ref="A173">IFNA(index(PlayerValues!A:A,match(IFNA(vlookup(B173,'Special Names'!A:B,2,FALSE),B173),PlayerValues!E:E,0)),"N/A")</f>
        <v>16165</v>
      </c>
      <c r="B173" s="4" t="s">
        <v>520</v>
      </c>
      <c r="C173" s="4" t="s">
        <v>278</v>
      </c>
      <c r="D173" s="94">
        <v>2810.0</v>
      </c>
    </row>
    <row r="174">
      <c r="A174" s="40">
        <f t="array" ref="A174">IFNA(index(PlayerValues!A:A,match(IFNA(vlookup(B174,'Special Names'!A:B,2,FALSE),B174),PlayerValues!E:E,0)),"N/A")</f>
        <v>15255</v>
      </c>
      <c r="B174" s="4" t="s">
        <v>477</v>
      </c>
      <c r="C174" s="4" t="s">
        <v>278</v>
      </c>
      <c r="D174" s="94">
        <v>2804.0</v>
      </c>
    </row>
    <row r="175">
      <c r="A175" s="40" t="str">
        <f t="array" ref="A175">IFNA(index(PlayerValues!A:A,match(IFNA(vlookup(B175,'Special Names'!A:B,2,FALSE),B175),PlayerValues!E:E,0)),"N/A")</f>
        <v>N/A</v>
      </c>
      <c r="B175" s="4" t="s">
        <v>85</v>
      </c>
      <c r="C175" s="4" t="s">
        <v>325</v>
      </c>
      <c r="D175" s="94">
        <v>2804.0</v>
      </c>
    </row>
    <row r="176">
      <c r="A176" s="40">
        <f t="array" ref="A176">IFNA(index(PlayerValues!A:A,match(IFNA(vlookup(B176,'Special Names'!A:B,2,FALSE),B176),PlayerValues!E:E,0)),"N/A")</f>
        <v>17134</v>
      </c>
      <c r="B176" s="4" t="s">
        <v>548</v>
      </c>
      <c r="C176" s="4" t="s">
        <v>287</v>
      </c>
      <c r="D176" s="94">
        <v>2803.0</v>
      </c>
    </row>
    <row r="177">
      <c r="A177" s="40" t="str">
        <f t="array" ref="A177">IFNA(index(PlayerValues!A:A,match(IFNA(vlookup(B177,'Special Names'!A:B,2,FALSE),B177),PlayerValues!E:E,0)),"N/A")</f>
        <v>N/A</v>
      </c>
      <c r="B177" s="4" t="s">
        <v>109</v>
      </c>
      <c r="C177" s="4" t="s">
        <v>325</v>
      </c>
      <c r="D177" s="94">
        <v>2799.0</v>
      </c>
    </row>
    <row r="178">
      <c r="A178" s="40">
        <f t="array" ref="A178">IFNA(index(PlayerValues!A:A,match(IFNA(vlookup(B178,'Special Names'!A:B,2,FALSE),B178),PlayerValues!E:E,0)),"N/A")</f>
        <v>15241</v>
      </c>
      <c r="B178" s="4" t="s">
        <v>546</v>
      </c>
      <c r="C178" s="4" t="s">
        <v>283</v>
      </c>
      <c r="D178" s="94">
        <v>2797.0</v>
      </c>
    </row>
    <row r="179">
      <c r="A179" s="40">
        <f t="array" ref="A179">IFNA(index(PlayerValues!A:A,match(IFNA(vlookup(B179,'Special Names'!A:B,2,FALSE),B179),PlayerValues!E:E,0)),"N/A")</f>
        <v>16649</v>
      </c>
      <c r="B179" s="4" t="s">
        <v>586</v>
      </c>
      <c r="C179" s="4" t="s">
        <v>298</v>
      </c>
      <c r="D179" s="94">
        <v>3215.0</v>
      </c>
    </row>
    <row r="180">
      <c r="A180" s="40">
        <f t="array" ref="A180">IFNA(index(PlayerValues!A:A,match(IFNA(vlookup(B180,'Special Names'!A:B,2,FALSE),B180),PlayerValues!E:E,0)),"N/A")</f>
        <v>14071</v>
      </c>
      <c r="B180" s="4" t="s">
        <v>440</v>
      </c>
      <c r="C180" s="4" t="s">
        <v>278</v>
      </c>
      <c r="D180" s="94">
        <v>2791.0</v>
      </c>
    </row>
    <row r="181">
      <c r="A181" s="40">
        <f t="array" ref="A181">IFNA(index(PlayerValues!A:A,match(IFNA(vlookup(B181,'Special Names'!A:B,2,FALSE),B181),PlayerValues!E:E,0)),"N/A")</f>
        <v>17080</v>
      </c>
      <c r="B181" s="4" t="s">
        <v>532</v>
      </c>
      <c r="C181" s="4" t="s">
        <v>287</v>
      </c>
      <c r="D181" s="94">
        <v>2782.0</v>
      </c>
    </row>
    <row r="182">
      <c r="A182" s="40">
        <f t="array" ref="A182">IFNA(index(PlayerValues!A:A,match(IFNA(vlookup(B182,'Special Names'!A:B,2,FALSE),B182),PlayerValues!E:E,0)),"N/A")</f>
        <v>16626</v>
      </c>
      <c r="B182" s="4" t="s">
        <v>515</v>
      </c>
      <c r="C182" s="4" t="s">
        <v>287</v>
      </c>
      <c r="D182" s="94">
        <v>2766.0</v>
      </c>
    </row>
    <row r="183">
      <c r="A183" s="40">
        <f t="array" ref="A183">IFNA(index(PlayerValues!A:A,match(IFNA(vlookup(B183,'Special Names'!A:B,2,FALSE),B183),PlayerValues!E:E,0)),"N/A")</f>
        <v>13163</v>
      </c>
      <c r="B183" s="4" t="s">
        <v>473</v>
      </c>
      <c r="C183" s="4" t="s">
        <v>287</v>
      </c>
      <c r="D183" s="94">
        <v>2764.0</v>
      </c>
    </row>
    <row r="184">
      <c r="A184" s="40">
        <f t="array" ref="A184">IFNA(index(PlayerValues!A:A,match(IFNA(vlookup(B184,'Special Names'!A:B,2,FALSE),B184),PlayerValues!E:E,0)),"N/A")</f>
        <v>14800</v>
      </c>
      <c r="B184" s="4" t="s">
        <v>472</v>
      </c>
      <c r="C184" s="4" t="s">
        <v>278</v>
      </c>
      <c r="D184" s="94">
        <v>2759.0</v>
      </c>
    </row>
    <row r="185">
      <c r="A185" s="40">
        <f t="array" ref="A185">IFNA(index(PlayerValues!A:A,match(IFNA(vlookup(B185,'Special Names'!A:B,2,FALSE),B185),PlayerValues!E:E,0)),"N/A")</f>
        <v>17098</v>
      </c>
      <c r="B185" s="4" t="s">
        <v>533</v>
      </c>
      <c r="C185" s="4" t="s">
        <v>287</v>
      </c>
      <c r="D185" s="94">
        <v>2742.0</v>
      </c>
    </row>
    <row r="186">
      <c r="A186" s="40">
        <f t="array" ref="A186">IFNA(index(PlayerValues!A:A,match(IFNA(vlookup(B186,'Special Names'!A:B,2,FALSE),B186),PlayerValues!E:E,0)),"N/A")</f>
        <v>16747</v>
      </c>
      <c r="B186" s="4" t="s">
        <v>555</v>
      </c>
      <c r="C186" s="4" t="s">
        <v>278</v>
      </c>
      <c r="D186" s="94">
        <v>2738.0</v>
      </c>
    </row>
    <row r="187">
      <c r="A187" s="40">
        <f t="array" ref="A187">IFNA(index(PlayerValues!A:A,match(IFNA(vlookup(B187,'Special Names'!A:B,2,FALSE),B187),PlayerValues!E:E,0)),"N/A")</f>
        <v>17047</v>
      </c>
      <c r="B187" s="4" t="s">
        <v>510</v>
      </c>
      <c r="C187" s="4" t="s">
        <v>278</v>
      </c>
      <c r="D187" s="94">
        <v>2724.0</v>
      </c>
    </row>
    <row r="188">
      <c r="A188" s="40">
        <f t="array" ref="A188">IFNA(index(PlayerValues!A:A,match(IFNA(vlookup(B188,'Special Names'!A:B,2,FALSE),B188),PlayerValues!E:E,0)),"N/A")</f>
        <v>14840</v>
      </c>
      <c r="B188" s="4" t="s">
        <v>731</v>
      </c>
      <c r="C188" s="4" t="s">
        <v>287</v>
      </c>
      <c r="D188" s="94">
        <v>2693.0</v>
      </c>
    </row>
    <row r="189">
      <c r="A189" s="40">
        <f t="array" ref="A189">IFNA(index(PlayerValues!A:A,match(IFNA(vlookup(B189,'Special Names'!A:B,2,FALSE),B189),PlayerValues!E:E,0)),"N/A")</f>
        <v>16597</v>
      </c>
      <c r="B189" s="4" t="s">
        <v>427</v>
      </c>
      <c r="C189" s="4" t="s">
        <v>278</v>
      </c>
      <c r="D189" s="94">
        <v>2692.0</v>
      </c>
    </row>
    <row r="190">
      <c r="A190" s="40">
        <f t="array" ref="A190">IFNA(index(PlayerValues!A:A,match(IFNA(vlookup(B190,'Special Names'!A:B,2,FALSE),B190),PlayerValues!E:E,0)),"N/A")</f>
        <v>14085</v>
      </c>
      <c r="B190" s="4" t="s">
        <v>489</v>
      </c>
      <c r="C190" s="4" t="s">
        <v>278</v>
      </c>
      <c r="D190" s="94">
        <v>2685.0</v>
      </c>
    </row>
    <row r="191">
      <c r="A191" s="40">
        <f t="array" ref="A191">IFNA(index(PlayerValues!A:A,match(IFNA(vlookup(B191,'Special Names'!A:B,2,FALSE),B191),PlayerValues!E:E,0)),"N/A")</f>
        <v>17048</v>
      </c>
      <c r="B191" s="4" t="s">
        <v>539</v>
      </c>
      <c r="C191" s="4" t="s">
        <v>278</v>
      </c>
      <c r="D191" s="94">
        <v>2683.0</v>
      </c>
    </row>
    <row r="192">
      <c r="A192" s="40">
        <f t="array" ref="A192">IFNA(index(PlayerValues!A:A,match(IFNA(vlookup(B192,'Special Names'!A:B,2,FALSE),B192),PlayerValues!E:E,0)),"N/A")</f>
        <v>17505</v>
      </c>
      <c r="B192" s="4" t="s">
        <v>528</v>
      </c>
      <c r="C192" s="4" t="s">
        <v>287</v>
      </c>
      <c r="D192" s="94">
        <v>2675.0</v>
      </c>
    </row>
    <row r="193">
      <c r="A193" s="40">
        <f t="array" ref="A193">IFNA(index(PlayerValues!A:A,match(IFNA(vlookup(B193,'Special Names'!A:B,2,FALSE),B193),PlayerValues!E:E,0)),"N/A")</f>
        <v>17507</v>
      </c>
      <c r="B193" s="4" t="s">
        <v>495</v>
      </c>
      <c r="C193" s="4" t="s">
        <v>287</v>
      </c>
      <c r="D193" s="94">
        <v>2661.0</v>
      </c>
    </row>
    <row r="194">
      <c r="A194" s="40">
        <f t="array" ref="A194">IFNA(index(PlayerValues!A:A,match(IFNA(vlookup(B194,'Special Names'!A:B,2,FALSE),B194),PlayerValues!E:E,0)),"N/A")</f>
        <v>14833</v>
      </c>
      <c r="B194" s="4" t="s">
        <v>553</v>
      </c>
      <c r="C194" s="4" t="s">
        <v>287</v>
      </c>
      <c r="D194" s="94">
        <v>2647.0</v>
      </c>
    </row>
    <row r="195">
      <c r="A195" s="40">
        <f t="array" ref="A195">IFNA(index(PlayerValues!A:A,match(IFNA(vlookup(B195,'Special Names'!A:B,2,FALSE),B195),PlayerValues!E:E,0)),"N/A")</f>
        <v>12186</v>
      </c>
      <c r="B195" s="4" t="s">
        <v>497</v>
      </c>
      <c r="C195" s="4" t="s">
        <v>287</v>
      </c>
      <c r="D195" s="94">
        <v>2628.0</v>
      </c>
    </row>
    <row r="196">
      <c r="A196" s="40" t="str">
        <f t="array" ref="A196">IFNA(index(PlayerValues!A:A,match(IFNA(vlookup(B196,'Special Names'!A:B,2,FALSE),B196),PlayerValues!E:E,0)),"N/A")</f>
        <v>N/A</v>
      </c>
      <c r="B196" s="4" t="s">
        <v>110</v>
      </c>
      <c r="C196" s="4" t="s">
        <v>325</v>
      </c>
      <c r="D196" s="94">
        <v>2627.0</v>
      </c>
    </row>
    <row r="197">
      <c r="A197" s="40">
        <f t="array" ref="A197">IFNA(index(PlayerValues!A:A,match(IFNA(vlookup(B197,'Special Names'!A:B,2,FALSE),B197),PlayerValues!E:E,0)),"N/A")</f>
        <v>14778</v>
      </c>
      <c r="B197" s="4" t="s">
        <v>564</v>
      </c>
      <c r="C197" s="4" t="s">
        <v>283</v>
      </c>
      <c r="D197" s="94">
        <v>2626.0</v>
      </c>
    </row>
    <row r="198">
      <c r="A198" s="40">
        <f t="array" ref="A198">IFNA(index(PlayerValues!A:A,match(IFNA(vlookup(B198,'Special Names'!A:B,2,FALSE),B198),PlayerValues!E:E,0)),"N/A")</f>
        <v>17046</v>
      </c>
      <c r="B198" s="4" t="s">
        <v>602</v>
      </c>
      <c r="C198" s="4" t="s">
        <v>278</v>
      </c>
      <c r="D198" s="94">
        <v>2621.0</v>
      </c>
    </row>
    <row r="199">
      <c r="A199" s="40">
        <f t="array" ref="A199">IFNA(index(PlayerValues!A:A,match(IFNA(vlookup(B199,'Special Names'!A:B,2,FALSE),B199),PlayerValues!E:E,0)),"N/A")</f>
        <v>16757</v>
      </c>
      <c r="B199" s="4" t="s">
        <v>558</v>
      </c>
      <c r="C199" s="4" t="s">
        <v>278</v>
      </c>
      <c r="D199" s="94">
        <v>2611.0</v>
      </c>
    </row>
    <row r="200">
      <c r="A200" s="40">
        <f t="array" ref="A200">IFNA(index(PlayerValues!A:A,match(IFNA(vlookup(B200,'Special Names'!A:B,2,FALSE),B200),PlayerValues!E:E,0)),"N/A")</f>
        <v>14138</v>
      </c>
      <c r="B200" s="4" t="s">
        <v>531</v>
      </c>
      <c r="C200" s="4" t="s">
        <v>298</v>
      </c>
      <c r="D200" s="94">
        <v>3020.0</v>
      </c>
    </row>
    <row r="201">
      <c r="A201" s="40">
        <f t="array" ref="A201">IFNA(index(PlayerValues!A:A,match(IFNA(vlookup(B201,'Special Names'!A:B,2,FALSE),B201),PlayerValues!E:E,0)),"N/A")</f>
        <v>13674</v>
      </c>
      <c r="B201" s="4" t="s">
        <v>511</v>
      </c>
      <c r="C201" s="4" t="s">
        <v>298</v>
      </c>
      <c r="D201" s="94">
        <v>3014.0</v>
      </c>
    </row>
    <row r="202">
      <c r="A202" s="40">
        <f t="array" ref="A202">IFNA(index(PlayerValues!A:A,match(IFNA(vlookup(B202,'Special Names'!A:B,2,FALSE),B202),PlayerValues!E:E,0)),"N/A")</f>
        <v>15721</v>
      </c>
      <c r="B202" s="4" t="s">
        <v>504</v>
      </c>
      <c r="C202" s="4" t="s">
        <v>278</v>
      </c>
      <c r="D202" s="94">
        <v>2585.0</v>
      </c>
    </row>
    <row r="203">
      <c r="A203" s="40" t="str">
        <f t="array" ref="A203">IFNA(index(PlayerValues!A:A,match(IFNA(vlookup(B203,'Special Names'!A:B,2,FALSE),B203),PlayerValues!E:E,0)),"N/A")</f>
        <v>N/A</v>
      </c>
      <c r="B203" s="4" t="s">
        <v>557</v>
      </c>
      <c r="C203" s="4" t="s">
        <v>278</v>
      </c>
      <c r="D203" s="94">
        <v>2579.0</v>
      </c>
    </row>
    <row r="204">
      <c r="A204" s="40">
        <f t="array" ref="A204">IFNA(index(PlayerValues!A:A,match(IFNA(vlookup(B204,'Special Names'!A:B,2,FALSE),B204),PlayerValues!E:E,0)),"N/A")</f>
        <v>17108</v>
      </c>
      <c r="B204" s="4" t="s">
        <v>542</v>
      </c>
      <c r="C204" s="4" t="s">
        <v>298</v>
      </c>
      <c r="D204" s="94">
        <v>2988.0</v>
      </c>
    </row>
    <row r="205">
      <c r="A205" s="40">
        <f t="array" ref="A205">IFNA(index(PlayerValues!A:A,match(IFNA(vlookup(B205,'Special Names'!A:B,2,FALSE),B205),PlayerValues!E:E,0)),"N/A")</f>
        <v>13192</v>
      </c>
      <c r="B205" s="4" t="s">
        <v>563</v>
      </c>
      <c r="C205" s="4" t="s">
        <v>298</v>
      </c>
      <c r="D205" s="94">
        <v>2964.0</v>
      </c>
    </row>
    <row r="206">
      <c r="A206" s="40">
        <f t="array" ref="A206">IFNA(index(PlayerValues!A:A,match(IFNA(vlookup(B206,'Special Names'!A:B,2,FALSE),B206),PlayerValues!E:E,0)),"N/A")</f>
        <v>16287</v>
      </c>
      <c r="B206" s="4" t="s">
        <v>516</v>
      </c>
      <c r="C206" s="4" t="s">
        <v>287</v>
      </c>
      <c r="D206" s="94">
        <v>2541.0</v>
      </c>
    </row>
    <row r="207">
      <c r="A207" s="40">
        <f t="array" ref="A207">IFNA(index(PlayerValues!A:A,match(IFNA(vlookup(B207,'Special Names'!A:B,2,FALSE),B207),PlayerValues!E:E,0)),"N/A")</f>
        <v>17464</v>
      </c>
      <c r="B207" s="4" t="s">
        <v>828</v>
      </c>
      <c r="C207" s="4" t="s">
        <v>283</v>
      </c>
      <c r="D207" s="94">
        <v>2540.0</v>
      </c>
    </row>
    <row r="208">
      <c r="A208" s="40">
        <f t="array" ref="A208">IFNA(index(PlayerValues!A:A,match(IFNA(vlookup(B208,'Special Names'!A:B,2,FALSE),B208),PlayerValues!E:E,0)),"N/A")</f>
        <v>16166</v>
      </c>
      <c r="B208" s="4" t="s">
        <v>567</v>
      </c>
      <c r="C208" s="4" t="s">
        <v>278</v>
      </c>
      <c r="D208" s="94">
        <v>2537.0</v>
      </c>
    </row>
    <row r="209">
      <c r="A209" s="40">
        <f t="array" ref="A209">IFNA(index(PlayerValues!A:A,match(IFNA(vlookup(B209,'Special Names'!A:B,2,FALSE),B209),PlayerValues!E:E,0)),"N/A")</f>
        <v>14136</v>
      </c>
      <c r="B209" s="4" t="s">
        <v>536</v>
      </c>
      <c r="C209" s="4" t="s">
        <v>287</v>
      </c>
      <c r="D209" s="94">
        <v>2532.0</v>
      </c>
    </row>
    <row r="210">
      <c r="A210" s="40">
        <f t="array" ref="A210">IFNA(index(PlayerValues!A:A,match(IFNA(vlookup(B210,'Special Names'!A:B,2,FALSE),B210),PlayerValues!E:E,0)),"N/A")</f>
        <v>13671</v>
      </c>
      <c r="B210" s="4" t="s">
        <v>506</v>
      </c>
      <c r="C210" s="4" t="s">
        <v>298</v>
      </c>
      <c r="D210" s="94">
        <v>2939.0</v>
      </c>
    </row>
    <row r="211">
      <c r="A211" s="40">
        <f t="array" ref="A211">IFNA(index(PlayerValues!A:A,match(IFNA(vlookup(B211,'Special Names'!A:B,2,FALSE),B211),PlayerValues!E:E,0)),"N/A")</f>
        <v>17078</v>
      </c>
      <c r="B211" s="4" t="s">
        <v>543</v>
      </c>
      <c r="C211" s="4" t="s">
        <v>287</v>
      </c>
      <c r="D211" s="94">
        <v>2489.0</v>
      </c>
    </row>
    <row r="212">
      <c r="A212" s="40">
        <f t="array" ref="A212">IFNA(index(PlayerValues!A:A,match(IFNA(vlookup(B212,'Special Names'!A:B,2,FALSE),B212),PlayerValues!E:E,0)),"N/A")</f>
        <v>15972</v>
      </c>
      <c r="B212" s="4" t="s">
        <v>469</v>
      </c>
      <c r="C212" s="4" t="s">
        <v>278</v>
      </c>
      <c r="D212" s="94">
        <v>2485.0</v>
      </c>
    </row>
    <row r="213">
      <c r="A213" s="40">
        <f t="array" ref="A213">IFNA(index(PlayerValues!A:A,match(IFNA(vlookup(B213,'Special Names'!A:B,2,FALSE),B213),PlayerValues!E:E,0)),"N/A")</f>
        <v>17509</v>
      </c>
      <c r="B213" s="4" t="s">
        <v>551</v>
      </c>
      <c r="C213" s="4" t="s">
        <v>287</v>
      </c>
      <c r="D213" s="94">
        <v>2482.0</v>
      </c>
    </row>
    <row r="214">
      <c r="A214" s="40">
        <f t="array" ref="A214">IFNA(index(PlayerValues!A:A,match(IFNA(vlookup(B214,'Special Names'!A:B,2,FALSE),B214),PlayerValues!E:E,0)),"N/A")</f>
        <v>17474</v>
      </c>
      <c r="B214" s="4" t="s">
        <v>513</v>
      </c>
      <c r="C214" s="4" t="s">
        <v>278</v>
      </c>
      <c r="D214" s="94">
        <v>2474.0</v>
      </c>
    </row>
    <row r="215">
      <c r="A215" s="40">
        <f t="array" ref="A215">IFNA(index(PlayerValues!A:A,match(IFNA(vlookup(B215,'Special Names'!A:B,2,FALSE),B215),PlayerValues!E:E,0)),"N/A")</f>
        <v>16164</v>
      </c>
      <c r="B215" s="4" t="s">
        <v>512</v>
      </c>
      <c r="C215" s="4" t="s">
        <v>278</v>
      </c>
      <c r="D215" s="94">
        <v>2474.0</v>
      </c>
    </row>
    <row r="216">
      <c r="A216" s="40">
        <f t="array" ref="A216">IFNA(index(PlayerValues!A:A,match(IFNA(vlookup(B216,'Special Names'!A:B,2,FALSE),B216),PlayerValues!E:E,0)),"N/A")</f>
        <v>16617</v>
      </c>
      <c r="B216" s="4" t="s">
        <v>541</v>
      </c>
      <c r="C216" s="4" t="s">
        <v>287</v>
      </c>
      <c r="D216" s="94">
        <v>2470.0</v>
      </c>
    </row>
    <row r="217">
      <c r="A217" s="40">
        <f t="array" ref="A217">IFNA(index(PlayerValues!A:A,match(IFNA(vlookup(B217,'Special Names'!A:B,2,FALSE),B217),PlayerValues!E:E,0)),"N/A")</f>
        <v>16189</v>
      </c>
      <c r="B217" s="4" t="s">
        <v>582</v>
      </c>
      <c r="C217" s="4" t="s">
        <v>287</v>
      </c>
      <c r="D217" s="94">
        <v>2468.0</v>
      </c>
    </row>
    <row r="218">
      <c r="A218" s="40" t="str">
        <f t="array" ref="A218">IFNA(index(PlayerValues!A:A,match(IFNA(vlookup(B218,'Special Names'!A:B,2,FALSE),B218),PlayerValues!E:E,0)),"N/A")</f>
        <v>N/A</v>
      </c>
      <c r="B218" s="4" t="s">
        <v>98</v>
      </c>
      <c r="C218" s="4" t="s">
        <v>325</v>
      </c>
      <c r="D218" s="94">
        <v>2453.0</v>
      </c>
    </row>
    <row r="219">
      <c r="A219" s="40">
        <f t="array" ref="A219">IFNA(index(PlayerValues!A:A,match(IFNA(vlookup(B219,'Special Names'!A:B,2,FALSE),B219),PlayerValues!E:E,0)),"N/A")</f>
        <v>16152</v>
      </c>
      <c r="B219" s="4" t="s">
        <v>601</v>
      </c>
      <c r="C219" s="4" t="s">
        <v>283</v>
      </c>
      <c r="D219" s="94">
        <v>2430.0</v>
      </c>
    </row>
    <row r="220">
      <c r="A220" s="40">
        <f t="array" ref="A220">IFNA(index(PlayerValues!A:A,match(IFNA(vlookup(B220,'Special Names'!A:B,2,FALSE),B220),PlayerValues!E:E,0)),"N/A")</f>
        <v>12616</v>
      </c>
      <c r="B220" s="4" t="s">
        <v>529</v>
      </c>
      <c r="C220" s="4" t="s">
        <v>283</v>
      </c>
      <c r="D220" s="94">
        <v>2427.0</v>
      </c>
    </row>
    <row r="221">
      <c r="A221" s="40">
        <f t="array" ref="A221">IFNA(index(PlayerValues!A:A,match(IFNA(vlookup(B221,'Special Names'!A:B,2,FALSE),B221),PlayerValues!E:E,0)),"N/A")</f>
        <v>16204</v>
      </c>
      <c r="B221" s="4" t="s">
        <v>530</v>
      </c>
      <c r="C221" s="4" t="s">
        <v>287</v>
      </c>
      <c r="D221" s="94">
        <v>2411.0</v>
      </c>
    </row>
    <row r="222">
      <c r="A222" s="40">
        <f t="array" ref="A222">IFNA(index(PlayerValues!A:A,match(IFNA(vlookup(B222,'Special Names'!A:B,2,FALSE),B222),PlayerValues!E:E,0)),"N/A")</f>
        <v>17506</v>
      </c>
      <c r="B222" s="4" t="s">
        <v>471</v>
      </c>
      <c r="C222" s="4" t="s">
        <v>287</v>
      </c>
      <c r="D222" s="94">
        <v>2398.0</v>
      </c>
    </row>
    <row r="223">
      <c r="A223" s="40">
        <f t="array" ref="A223">IFNA(index(PlayerValues!A:A,match(IFNA(vlookup(B223,'Special Names'!A:B,2,FALSE),B223),PlayerValues!E:E,0)),"N/A")</f>
        <v>12676</v>
      </c>
      <c r="B223" s="4" t="s">
        <v>537</v>
      </c>
      <c r="C223" s="4" t="s">
        <v>298</v>
      </c>
      <c r="D223" s="94">
        <v>2792.0</v>
      </c>
    </row>
    <row r="224">
      <c r="A224" s="40">
        <f t="array" ref="A224">IFNA(index(PlayerValues!A:A,match(IFNA(vlookup(B224,'Special Names'!A:B,2,FALSE),B224),PlayerValues!E:E,0)),"N/A")</f>
        <v>17033</v>
      </c>
      <c r="B224" s="4" t="s">
        <v>570</v>
      </c>
      <c r="C224" s="4" t="s">
        <v>283</v>
      </c>
      <c r="D224" s="94">
        <v>2383.0</v>
      </c>
    </row>
    <row r="225">
      <c r="A225" s="40" t="str">
        <f t="array" ref="A225">IFNA(index(PlayerValues!A:A,match(IFNA(vlookup(B225,'Special Names'!A:B,2,FALSE),B225),PlayerValues!E:E,0)),"N/A")</f>
        <v>N/A</v>
      </c>
      <c r="B225" s="4" t="s">
        <v>86</v>
      </c>
      <c r="C225" s="4" t="s">
        <v>325</v>
      </c>
      <c r="D225" s="94">
        <v>2364.0</v>
      </c>
    </row>
    <row r="226">
      <c r="A226" s="40">
        <f t="array" ref="A226">IFNA(index(PlayerValues!A:A,match(IFNA(vlookup(B226,'Special Names'!A:B,2,FALSE),B226),PlayerValues!E:E,0)),"N/A")</f>
        <v>16610</v>
      </c>
      <c r="B226" s="4" t="s">
        <v>562</v>
      </c>
      <c r="C226" s="4" t="s">
        <v>278</v>
      </c>
      <c r="D226" s="94">
        <v>2358.0</v>
      </c>
    </row>
    <row r="227">
      <c r="A227" s="40">
        <f t="array" ref="A227">IFNA(index(PlayerValues!A:A,match(IFNA(vlookup(B227,'Special Names'!A:B,2,FALSE),B227),PlayerValues!E:E,0)),"N/A")</f>
        <v>15716</v>
      </c>
      <c r="B227" s="4" t="s">
        <v>545</v>
      </c>
      <c r="C227" s="4" t="s">
        <v>278</v>
      </c>
      <c r="D227" s="94">
        <v>2355.0</v>
      </c>
    </row>
    <row r="228">
      <c r="A228" s="40">
        <f t="array" ref="A228">IFNA(index(PlayerValues!A:A,match(IFNA(vlookup(B228,'Special Names'!A:B,2,FALSE),B228),PlayerValues!E:E,0)),"N/A")</f>
        <v>14861</v>
      </c>
      <c r="B228" s="4" t="s">
        <v>523</v>
      </c>
      <c r="C228" s="4" t="s">
        <v>298</v>
      </c>
      <c r="D228" s="94">
        <v>2746.0</v>
      </c>
    </row>
    <row r="229">
      <c r="A229" s="40">
        <f t="array" ref="A229">IFNA(index(PlayerValues!A:A,match(IFNA(vlookup(B229,'Special Names'!A:B,2,FALSE),B229),PlayerValues!E:E,0)),"N/A")</f>
        <v>13132</v>
      </c>
      <c r="B229" s="4" t="s">
        <v>598</v>
      </c>
      <c r="C229" s="4" t="s">
        <v>278</v>
      </c>
      <c r="D229" s="94">
        <v>2346.0</v>
      </c>
    </row>
    <row r="230">
      <c r="A230" s="40">
        <f t="array" ref="A230">IFNA(index(PlayerValues!A:A,match(IFNA(vlookup(B230,'Special Names'!A:B,2,FALSE),B230),PlayerValues!E:E,0)),"N/A")</f>
        <v>13772</v>
      </c>
      <c r="B230" s="4" t="s">
        <v>544</v>
      </c>
      <c r="C230" s="4" t="s">
        <v>298</v>
      </c>
      <c r="D230" s="94">
        <v>2742.0</v>
      </c>
    </row>
    <row r="231">
      <c r="A231" s="40">
        <f t="array" ref="A231">IFNA(index(PlayerValues!A:A,match(IFNA(vlookup(B231,'Special Names'!A:B,2,FALSE),B231),PlayerValues!E:E,0)),"N/A")</f>
        <v>16178</v>
      </c>
      <c r="B231" s="4" t="s">
        <v>507</v>
      </c>
      <c r="C231" s="4" t="s">
        <v>278</v>
      </c>
      <c r="D231" s="94">
        <v>2339.0</v>
      </c>
    </row>
    <row r="232">
      <c r="A232" s="40">
        <f t="array" ref="A232">IFNA(index(PlayerValues!A:A,match(IFNA(vlookup(B232,'Special Names'!A:B,2,FALSE),B232),PlayerValues!E:E,0)),"N/A")</f>
        <v>17079</v>
      </c>
      <c r="B232" s="4" t="s">
        <v>572</v>
      </c>
      <c r="C232" s="4" t="s">
        <v>287</v>
      </c>
      <c r="D232" s="94">
        <v>2334.0</v>
      </c>
    </row>
    <row r="233">
      <c r="A233" s="40">
        <f t="array" ref="A233">IFNA(index(PlayerValues!A:A,match(IFNA(vlookup(B233,'Special Names'!A:B,2,FALSE),B233),PlayerValues!E:E,0)),"N/A")</f>
        <v>17105</v>
      </c>
      <c r="B233" s="4" t="s">
        <v>525</v>
      </c>
      <c r="C233" s="4" t="s">
        <v>298</v>
      </c>
      <c r="D233" s="94">
        <v>2733.0</v>
      </c>
    </row>
    <row r="234">
      <c r="A234" s="40" t="str">
        <f t="array" ref="A234">IFNA(index(PlayerValues!A:A,match(IFNA(vlookup(B234,'Special Names'!A:B,2,FALSE),B234),PlayerValues!E:E,0)),"N/A")</f>
        <v>N/A</v>
      </c>
      <c r="B234" s="4" t="s">
        <v>99</v>
      </c>
      <c r="C234" s="4" t="s">
        <v>325</v>
      </c>
      <c r="D234" s="94">
        <v>2325.0</v>
      </c>
    </row>
    <row r="235">
      <c r="A235" s="40">
        <f t="array" ref="A235">IFNA(index(PlayerValues!A:A,match(IFNA(vlookup(B235,'Special Names'!A:B,2,FALSE),B235),PlayerValues!E:E,0)),"N/A")</f>
        <v>15802</v>
      </c>
      <c r="B235" s="4" t="s">
        <v>566</v>
      </c>
      <c r="C235" s="4" t="s">
        <v>298</v>
      </c>
      <c r="D235" s="94">
        <v>2722.0</v>
      </c>
    </row>
    <row r="236">
      <c r="A236" s="40">
        <f t="array" ref="A236">IFNA(index(PlayerValues!A:A,match(IFNA(vlookup(B236,'Special Names'!A:B,2,FALSE),B236),PlayerValues!E:E,0)),"N/A")</f>
        <v>17049</v>
      </c>
      <c r="B236" s="4" t="s">
        <v>624</v>
      </c>
      <c r="C236" s="4" t="s">
        <v>278</v>
      </c>
      <c r="D236" s="94">
        <v>2307.0</v>
      </c>
    </row>
    <row r="237">
      <c r="A237" s="40">
        <f t="array" ref="A237">IFNA(index(PlayerValues!A:A,match(IFNA(vlookup(B237,'Special Names'!A:B,2,FALSE),B237),PlayerValues!E:E,0)),"N/A")</f>
        <v>12801</v>
      </c>
      <c r="B237" s="4" t="s">
        <v>722</v>
      </c>
      <c r="C237" s="4" t="s">
        <v>287</v>
      </c>
      <c r="D237" s="94">
        <v>2303.0</v>
      </c>
    </row>
    <row r="238">
      <c r="A238" s="40">
        <f t="array" ref="A238">IFNA(index(PlayerValues!A:A,match(IFNA(vlookup(B238,'Special Names'!A:B,2,FALSE),B238),PlayerValues!E:E,0)),"N/A")</f>
        <v>16212</v>
      </c>
      <c r="B238" s="4" t="s">
        <v>568</v>
      </c>
      <c r="C238" s="4" t="s">
        <v>298</v>
      </c>
      <c r="D238" s="94">
        <v>2686.0</v>
      </c>
    </row>
    <row r="239">
      <c r="A239" s="40">
        <f t="array" ref="A239">IFNA(index(PlayerValues!A:A,match(IFNA(vlookup(B239,'Special Names'!A:B,2,FALSE),B239),PlayerValues!E:E,0)),"N/A")</f>
        <v>16171</v>
      </c>
      <c r="B239" s="4" t="s">
        <v>618</v>
      </c>
      <c r="C239" s="4" t="s">
        <v>278</v>
      </c>
      <c r="D239" s="94">
        <v>2282.0</v>
      </c>
    </row>
    <row r="240">
      <c r="A240" s="40">
        <f t="array" ref="A240">IFNA(index(PlayerValues!A:A,match(IFNA(vlookup(B240,'Special Names'!A:B,2,FALSE),B240),PlayerValues!E:E,0)),"N/A")</f>
        <v>17076</v>
      </c>
      <c r="B240" s="4" t="s">
        <v>585</v>
      </c>
      <c r="C240" s="4" t="s">
        <v>287</v>
      </c>
      <c r="D240" s="94">
        <v>2250.0</v>
      </c>
    </row>
    <row r="241">
      <c r="A241" s="40">
        <f t="array" ref="A241">IFNA(index(PlayerValues!A:A,match(IFNA(vlookup(B241,'Special Names'!A:B,2,FALSE),B241),PlayerValues!E:E,0)),"N/A")</f>
        <v>16195</v>
      </c>
      <c r="B241" s="4" t="s">
        <v>509</v>
      </c>
      <c r="C241" s="4" t="s">
        <v>287</v>
      </c>
      <c r="D241" s="94">
        <v>2232.0</v>
      </c>
    </row>
    <row r="242">
      <c r="A242" s="40">
        <f t="array" ref="A242">IFNA(index(PlayerValues!A:A,match(IFNA(vlookup(B242,'Special Names'!A:B,2,FALSE),B242),PlayerValues!E:E,0)),"N/A")</f>
        <v>16342</v>
      </c>
      <c r="B242" s="4" t="s">
        <v>583</v>
      </c>
      <c r="C242" s="4" t="s">
        <v>287</v>
      </c>
      <c r="D242" s="94">
        <v>2225.0</v>
      </c>
    </row>
    <row r="243">
      <c r="A243" s="40">
        <f t="array" ref="A243">IFNA(index(PlayerValues!A:A,match(IFNA(vlookup(B243,'Special Names'!A:B,2,FALSE),B243),PlayerValues!E:E,0)),"N/A")</f>
        <v>17478</v>
      </c>
      <c r="B243" s="4" t="s">
        <v>527</v>
      </c>
      <c r="C243" s="4" t="s">
        <v>278</v>
      </c>
      <c r="D243" s="94">
        <v>2215.0</v>
      </c>
    </row>
    <row r="244">
      <c r="A244" s="40">
        <f t="array" ref="A244">IFNA(index(PlayerValues!A:A,match(IFNA(vlookup(B244,'Special Names'!A:B,2,FALSE),B244),PlayerValues!E:E,0)),"N/A")</f>
        <v>17544</v>
      </c>
      <c r="B244" s="4" t="s">
        <v>470</v>
      </c>
      <c r="C244" s="4" t="s">
        <v>298</v>
      </c>
      <c r="D244" s="94">
        <v>2605.0</v>
      </c>
    </row>
    <row r="245">
      <c r="A245" s="40">
        <f t="array" ref="A245">IFNA(index(PlayerValues!A:A,match(IFNA(vlookup(B245,'Special Names'!A:B,2,FALSE),B245),PlayerValues!E:E,0)),"N/A")</f>
        <v>16639</v>
      </c>
      <c r="B245" s="4" t="s">
        <v>599</v>
      </c>
      <c r="C245" s="4" t="s">
        <v>287</v>
      </c>
      <c r="D245" s="94">
        <v>2207.0</v>
      </c>
    </row>
    <row r="246">
      <c r="A246" s="40">
        <f t="array" ref="A246">IFNA(index(PlayerValues!A:A,match(IFNA(vlookup(B246,'Special Names'!A:B,2,FALSE),B246),PlayerValues!E:E,0)),"N/A")</f>
        <v>17034</v>
      </c>
      <c r="B246" s="4" t="s">
        <v>643</v>
      </c>
      <c r="C246" s="4" t="s">
        <v>283</v>
      </c>
      <c r="D246" s="94">
        <v>2197.0</v>
      </c>
    </row>
    <row r="247">
      <c r="A247" s="40" t="str">
        <f t="array" ref="A247">IFNA(index(PlayerValues!A:A,match(IFNA(vlookup(B247,'Special Names'!A:B,2,FALSE),B247),PlayerValues!E:E,0)),"N/A")</f>
        <v>N/A</v>
      </c>
      <c r="B247" s="4" t="s">
        <v>100</v>
      </c>
      <c r="C247" s="4" t="s">
        <v>325</v>
      </c>
      <c r="D247" s="94">
        <v>2192.0</v>
      </c>
    </row>
    <row r="248">
      <c r="A248" s="40">
        <f t="array" ref="A248">IFNA(index(PlayerValues!A:A,match(IFNA(vlookup(B248,'Special Names'!A:B,2,FALSE),B248),PlayerValues!E:E,0)),"N/A")</f>
        <v>13319</v>
      </c>
      <c r="B248" s="4" t="s">
        <v>549</v>
      </c>
      <c r="C248" s="4" t="s">
        <v>278</v>
      </c>
      <c r="D248" s="94">
        <v>2190.0</v>
      </c>
    </row>
    <row r="249">
      <c r="A249" s="40" t="str">
        <f t="array" ref="A249">IFNA(index(PlayerValues!A:A,match(IFNA(vlookup(B249,'Special Names'!A:B,2,FALSE),B249),PlayerValues!E:E,0)),"N/A")</f>
        <v>N/A</v>
      </c>
      <c r="B249" s="4" t="s">
        <v>87</v>
      </c>
      <c r="C249" s="4" t="s">
        <v>325</v>
      </c>
      <c r="D249" s="94">
        <v>2189.0</v>
      </c>
    </row>
    <row r="250">
      <c r="A250" s="40">
        <f t="array" ref="A250">IFNA(index(PlayerValues!A:A,match(IFNA(vlookup(B250,'Special Names'!A:B,2,FALSE),B250),PlayerValues!E:E,0)),"N/A")</f>
        <v>16036</v>
      </c>
      <c r="B250" s="4" t="s">
        <v>592</v>
      </c>
      <c r="C250" s="4" t="s">
        <v>298</v>
      </c>
      <c r="D250" s="94">
        <v>2573.0</v>
      </c>
    </row>
    <row r="251">
      <c r="A251" s="40">
        <f t="array" ref="A251">IFNA(index(PlayerValues!A:A,match(IFNA(vlookup(B251,'Special Names'!A:B,2,FALSE),B251),PlayerValues!E:E,0)),"N/A")</f>
        <v>17069</v>
      </c>
      <c r="B251" s="4" t="s">
        <v>604</v>
      </c>
      <c r="C251" s="4" t="s">
        <v>278</v>
      </c>
      <c r="D251" s="94">
        <v>2176.0</v>
      </c>
    </row>
    <row r="252">
      <c r="A252" s="40">
        <f t="array" ref="A252">IFNA(index(PlayerValues!A:A,match(IFNA(vlookup(B252,'Special Names'!A:B,2,FALSE),B252),PlayerValues!E:E,0)),"N/A")</f>
        <v>15889</v>
      </c>
      <c r="B252" s="4" t="s">
        <v>503</v>
      </c>
      <c r="C252" s="4" t="s">
        <v>298</v>
      </c>
      <c r="D252" s="94">
        <v>2566.0</v>
      </c>
    </row>
    <row r="253">
      <c r="A253" s="40">
        <f t="array" ref="A253">IFNA(index(PlayerValues!A:A,match(IFNA(vlookup(B253,'Special Names'!A:B,2,FALSE),B253),PlayerValues!E:E,0)),"N/A")</f>
        <v>16684</v>
      </c>
      <c r="B253" s="4" t="s">
        <v>500</v>
      </c>
      <c r="C253" s="4" t="s">
        <v>287</v>
      </c>
      <c r="D253" s="94">
        <v>2173.0</v>
      </c>
    </row>
    <row r="254">
      <c r="A254" s="40">
        <f t="array" ref="A254">IFNA(index(PlayerValues!A:A,match(IFNA(vlookup(B254,'Special Names'!A:B,2,FALSE),B254),PlayerValues!E:E,0)),"N/A")</f>
        <v>17503</v>
      </c>
      <c r="B254" s="4" t="s">
        <v>480</v>
      </c>
      <c r="C254" s="4" t="s">
        <v>287</v>
      </c>
      <c r="D254" s="94">
        <v>2157.0</v>
      </c>
    </row>
    <row r="255">
      <c r="A255" s="40">
        <f t="array" ref="A255">IFNA(index(PlayerValues!A:A,match(IFNA(vlookup(B255,'Special Names'!A:B,2,FALSE),B255),PlayerValues!E:E,0)),"N/A")</f>
        <v>15749</v>
      </c>
      <c r="B255" s="4" t="s">
        <v>574</v>
      </c>
      <c r="C255" s="4" t="s">
        <v>278</v>
      </c>
      <c r="D255" s="94">
        <v>2137.0</v>
      </c>
    </row>
    <row r="256">
      <c r="A256" s="40">
        <f t="array" ref="A256">IFNA(index(PlayerValues!A:A,match(IFNA(vlookup(B256,'Special Names'!A:B,2,FALSE),B256),PlayerValues!E:E,0)),"N/A")</f>
        <v>16752</v>
      </c>
      <c r="B256" s="4" t="s">
        <v>597</v>
      </c>
      <c r="C256" s="4" t="s">
        <v>278</v>
      </c>
      <c r="D256" s="94">
        <v>2128.0</v>
      </c>
    </row>
    <row r="257">
      <c r="A257" s="40">
        <f t="array" ref="A257">IFNA(index(PlayerValues!A:A,match(IFNA(vlookup(B257,'Special Names'!A:B,2,FALSE),B257),PlayerValues!E:E,0)),"N/A")</f>
        <v>14871</v>
      </c>
      <c r="B257" s="4" t="s">
        <v>584</v>
      </c>
      <c r="C257" s="4" t="s">
        <v>298</v>
      </c>
      <c r="D257" s="94">
        <v>2513.0</v>
      </c>
    </row>
    <row r="258">
      <c r="A258" s="40" t="str">
        <f t="array" ref="A258">IFNA(index(PlayerValues!A:A,match(IFNA(vlookup(B258,'Special Names'!A:B,2,FALSE),B258),PlayerValues!E:E,0)),"N/A")</f>
        <v>N/A</v>
      </c>
      <c r="B258" s="4" t="s">
        <v>112</v>
      </c>
      <c r="C258" s="4" t="s">
        <v>325</v>
      </c>
      <c r="D258" s="94">
        <v>2121.0</v>
      </c>
    </row>
    <row r="259">
      <c r="A259" s="40">
        <f t="array" ref="A259">IFNA(index(PlayerValues!A:A,match(IFNA(vlookup(B259,'Special Names'!A:B,2,FALSE),B259),PlayerValues!E:E,0)),"N/A")</f>
        <v>16191</v>
      </c>
      <c r="B259" s="4" t="s">
        <v>666</v>
      </c>
      <c r="C259" s="4" t="s">
        <v>287</v>
      </c>
      <c r="D259" s="94">
        <v>2111.0</v>
      </c>
    </row>
    <row r="260">
      <c r="A260" s="40">
        <f t="array" ref="A260">IFNA(index(PlayerValues!A:A,match(IFNA(vlookup(B260,'Special Names'!A:B,2,FALSE),B260),PlayerValues!E:E,0)),"N/A")</f>
        <v>17087</v>
      </c>
      <c r="B260" s="4" t="s">
        <v>600</v>
      </c>
      <c r="C260" s="4" t="s">
        <v>287</v>
      </c>
      <c r="D260" s="94">
        <v>2110.0</v>
      </c>
    </row>
    <row r="261">
      <c r="A261" s="40">
        <f t="array" ref="A261">IFNA(index(PlayerValues!A:A,match(IFNA(vlookup(B261,'Special Names'!A:B,2,FALSE),B261),PlayerValues!E:E,0)),"N/A")</f>
        <v>16644</v>
      </c>
      <c r="B261" s="4" t="s">
        <v>640</v>
      </c>
      <c r="C261" s="4" t="s">
        <v>298</v>
      </c>
      <c r="D261" s="94">
        <v>2500.0</v>
      </c>
    </row>
    <row r="262">
      <c r="A262" s="40">
        <f t="array" ref="A262">IFNA(index(PlayerValues!A:A,match(IFNA(vlookup(B262,'Special Names'!A:B,2,FALSE),B262),PlayerValues!E:E,0)),"N/A")</f>
        <v>16432</v>
      </c>
      <c r="B262" s="4" t="s">
        <v>620</v>
      </c>
      <c r="C262" s="4" t="s">
        <v>278</v>
      </c>
      <c r="D262" s="94">
        <v>2101.0</v>
      </c>
    </row>
    <row r="263">
      <c r="A263" s="40">
        <f t="array" ref="A263">IFNA(index(PlayerValues!A:A,match(IFNA(vlookup(B263,'Special Names'!A:B,2,FALSE),B263),PlayerValues!E:E,0)),"N/A")</f>
        <v>14867</v>
      </c>
      <c r="B263" s="4" t="s">
        <v>591</v>
      </c>
      <c r="C263" s="4" t="s">
        <v>298</v>
      </c>
      <c r="D263" s="94">
        <v>2480.0</v>
      </c>
    </row>
    <row r="264">
      <c r="A264" s="40" t="str">
        <f t="array" ref="A264">IFNA(index(PlayerValues!A:A,match(IFNA(vlookup(B264,'Special Names'!A:B,2,FALSE),B264),PlayerValues!E:E,0)),"N/A")</f>
        <v>N/A</v>
      </c>
      <c r="B264" s="4" t="s">
        <v>88</v>
      </c>
      <c r="C264" s="4" t="s">
        <v>325</v>
      </c>
      <c r="D264" s="94">
        <v>2085.0</v>
      </c>
    </row>
    <row r="265">
      <c r="A265" s="40">
        <f t="array" ref="A265">IFNA(index(PlayerValues!A:A,match(IFNA(vlookup(B265,'Special Names'!A:B,2,FALSE),B265),PlayerValues!E:E,0)),"N/A")</f>
        <v>16643</v>
      </c>
      <c r="B265" s="4" t="s">
        <v>609</v>
      </c>
      <c r="C265" s="4" t="s">
        <v>298</v>
      </c>
      <c r="D265" s="94">
        <v>2474.0</v>
      </c>
    </row>
    <row r="266">
      <c r="A266" s="40">
        <f t="array" ref="A266">IFNA(index(PlayerValues!A:A,match(IFNA(vlookup(B266,'Special Names'!A:B,2,FALSE),B266),PlayerValues!E:E,0)),"N/A")</f>
        <v>16174</v>
      </c>
      <c r="B266" s="4" t="s">
        <v>505</v>
      </c>
      <c r="C266" s="4" t="s">
        <v>278</v>
      </c>
      <c r="D266" s="94">
        <v>2081.0</v>
      </c>
    </row>
    <row r="267">
      <c r="A267" s="40">
        <f t="array" ref="A267">IFNA(index(PlayerValues!A:A,match(IFNA(vlookup(B267,'Special Names'!A:B,2,FALSE),B267),PlayerValues!E:E,0)),"N/A")</f>
        <v>17482</v>
      </c>
      <c r="B267" s="4" t="s">
        <v>460</v>
      </c>
      <c r="C267" s="4" t="s">
        <v>278</v>
      </c>
      <c r="D267" s="94">
        <v>2072.0</v>
      </c>
    </row>
    <row r="268">
      <c r="A268" s="40">
        <f t="array" ref="A268">IFNA(index(PlayerValues!A:A,match(IFNA(vlookup(B268,'Special Names'!A:B,2,FALSE),B268),PlayerValues!E:E,0)),"N/A")</f>
        <v>15238</v>
      </c>
      <c r="B268" s="4" t="s">
        <v>613</v>
      </c>
      <c r="C268" s="4" t="s">
        <v>283</v>
      </c>
      <c r="D268" s="94">
        <v>2058.0</v>
      </c>
    </row>
    <row r="269">
      <c r="A269" s="40">
        <f t="array" ref="A269">IFNA(index(PlayerValues!A:A,match(IFNA(vlookup(B269,'Special Names'!A:B,2,FALSE),B269),PlayerValues!E:E,0)),"N/A")</f>
        <v>15331</v>
      </c>
      <c r="B269" s="4" t="s">
        <v>560</v>
      </c>
      <c r="C269" s="4" t="s">
        <v>298</v>
      </c>
      <c r="D269" s="94">
        <v>2423.0</v>
      </c>
    </row>
    <row r="270">
      <c r="A270" s="40">
        <f t="array" ref="A270">IFNA(index(PlayerValues!A:A,match(IFNA(vlookup(B270,'Special Names'!A:B,2,FALSE),B270),PlayerValues!E:E,0)),"N/A")</f>
        <v>17517</v>
      </c>
      <c r="B270" s="4" t="s">
        <v>454</v>
      </c>
      <c r="C270" s="4" t="s">
        <v>287</v>
      </c>
      <c r="D270" s="94">
        <v>2029.0</v>
      </c>
    </row>
    <row r="271">
      <c r="A271" s="40">
        <f t="array" ref="A271">IFNA(index(PlayerValues!A:A,match(IFNA(vlookup(B271,'Special Names'!A:B,2,FALSE),B271),PlayerValues!E:E,0)),"N/A")</f>
        <v>17056</v>
      </c>
      <c r="B271" s="4" t="s">
        <v>581</v>
      </c>
      <c r="C271" s="4" t="s">
        <v>278</v>
      </c>
      <c r="D271" s="94">
        <v>2025.0</v>
      </c>
    </row>
    <row r="272">
      <c r="A272" s="40">
        <f t="array" ref="A272">IFNA(index(PlayerValues!A:A,match(IFNA(vlookup(B272,'Special Names'!A:B,2,FALSE),B272),PlayerValues!E:E,0)),"N/A")</f>
        <v>17512</v>
      </c>
      <c r="B272" s="4" t="s">
        <v>483</v>
      </c>
      <c r="C272" s="4" t="s">
        <v>287</v>
      </c>
      <c r="D272" s="94">
        <v>2023.0</v>
      </c>
    </row>
    <row r="273">
      <c r="A273" s="40">
        <f t="array" ref="A273">IFNA(index(PlayerValues!A:A,match(IFNA(vlookup(B273,'Special Names'!A:B,2,FALSE),B273),PlayerValues!E:E,0)),"N/A")</f>
        <v>13146</v>
      </c>
      <c r="B273" s="4" t="s">
        <v>652</v>
      </c>
      <c r="C273" s="4" t="s">
        <v>278</v>
      </c>
      <c r="D273" s="94">
        <v>2013.0</v>
      </c>
    </row>
    <row r="274">
      <c r="A274" s="40">
        <f t="array" ref="A274">IFNA(index(PlayerValues!A:A,match(IFNA(vlookup(B274,'Special Names'!A:B,2,FALSE),B274),PlayerValues!E:E,0)),"N/A")</f>
        <v>17547</v>
      </c>
      <c r="B274" s="4" t="s">
        <v>552</v>
      </c>
      <c r="C274" s="4" t="s">
        <v>298</v>
      </c>
      <c r="D274" s="94">
        <v>2394.0</v>
      </c>
    </row>
    <row r="275">
      <c r="A275" s="40" t="str">
        <f t="array" ref="A275">IFNA(index(PlayerValues!A:A,match(IFNA(vlookup(B275,'Special Names'!A:B,2,FALSE),B275),PlayerValues!E:E,0)),"N/A")</f>
        <v>N/A</v>
      </c>
      <c r="B275" s="4" t="s">
        <v>113</v>
      </c>
      <c r="C275" s="4" t="s">
        <v>325</v>
      </c>
      <c r="D275" s="94">
        <v>2001.0</v>
      </c>
    </row>
    <row r="276">
      <c r="A276" s="40">
        <f t="array" ref="A276">IFNA(index(PlayerValues!A:A,match(IFNA(vlookup(B276,'Special Names'!A:B,2,FALSE),B276),PlayerValues!E:E,0)),"N/A")</f>
        <v>17060</v>
      </c>
      <c r="B276" s="4" t="s">
        <v>603</v>
      </c>
      <c r="C276" s="4" t="s">
        <v>278</v>
      </c>
      <c r="D276" s="94">
        <v>2000.0</v>
      </c>
    </row>
    <row r="277">
      <c r="A277" s="40">
        <f t="array" ref="A277">IFNA(index(PlayerValues!A:A,match(IFNA(vlookup(B277,'Special Names'!A:B,2,FALSE),B277),PlayerValues!E:E,0)),"N/A")</f>
        <v>16603</v>
      </c>
      <c r="B277" s="4" t="s">
        <v>587</v>
      </c>
      <c r="C277" s="4" t="s">
        <v>278</v>
      </c>
      <c r="D277" s="94">
        <v>1985.0</v>
      </c>
    </row>
    <row r="278">
      <c r="A278" s="40">
        <f t="array" ref="A278">IFNA(index(PlayerValues!A:A,match(IFNA(vlookup(B278,'Special Names'!A:B,2,FALSE),B278),PlayerValues!E:E,0)),"N/A")</f>
        <v>14974</v>
      </c>
      <c r="B278" s="4" t="s">
        <v>611</v>
      </c>
      <c r="C278" s="4" t="s">
        <v>287</v>
      </c>
      <c r="D278" s="94">
        <v>1974.0</v>
      </c>
    </row>
    <row r="279">
      <c r="A279" s="40">
        <f t="array" ref="A279">IFNA(index(PlayerValues!A:A,match(IFNA(vlookup(B279,'Special Names'!A:B,2,FALSE),B279),PlayerValues!E:E,0)),"N/A")</f>
        <v>17546</v>
      </c>
      <c r="B279" s="4" t="s">
        <v>671</v>
      </c>
      <c r="C279" s="4" t="s">
        <v>298</v>
      </c>
      <c r="D279" s="94">
        <v>2358.0</v>
      </c>
    </row>
    <row r="280">
      <c r="A280" s="40">
        <f t="array" ref="A280">IFNA(index(PlayerValues!A:A,match(IFNA(vlookup(B280,'Special Names'!A:B,2,FALSE),B280),PlayerValues!E:E,0)),"N/A")</f>
        <v>13633</v>
      </c>
      <c r="B280" s="4" t="s">
        <v>625</v>
      </c>
      <c r="C280" s="4" t="s">
        <v>287</v>
      </c>
      <c r="D280" s="94">
        <v>1964.0</v>
      </c>
    </row>
    <row r="281">
      <c r="A281" s="40">
        <f t="array" ref="A281">IFNA(index(PlayerValues!A:A,match(IFNA(vlookup(B281,'Special Names'!A:B,2,FALSE),B281),PlayerValues!E:E,0)),"N/A")</f>
        <v>17508</v>
      </c>
      <c r="B281" s="4" t="s">
        <v>534</v>
      </c>
      <c r="C281" s="4" t="s">
        <v>287</v>
      </c>
      <c r="D281" s="94">
        <v>1961.0</v>
      </c>
    </row>
    <row r="282">
      <c r="A282" s="40">
        <f t="array" ref="A282">IFNA(index(PlayerValues!A:A,match(IFNA(vlookup(B282,'Special Names'!A:B,2,FALSE),B282),PlayerValues!E:E,0)),"N/A")</f>
        <v>15293</v>
      </c>
      <c r="B282" s="4" t="s">
        <v>578</v>
      </c>
      <c r="C282" s="4" t="s">
        <v>287</v>
      </c>
      <c r="D282" s="94">
        <v>1953.0</v>
      </c>
    </row>
    <row r="283">
      <c r="A283" s="40">
        <f t="array" ref="A283">IFNA(index(PlayerValues!A:A,match(IFNA(vlookup(B283,'Special Names'!A:B,2,FALSE),B283),PlayerValues!E:E,0)),"N/A")</f>
        <v>17184</v>
      </c>
      <c r="B283" s="4" t="s">
        <v>588</v>
      </c>
      <c r="C283" s="4" t="s">
        <v>287</v>
      </c>
      <c r="D283" s="94">
        <v>1938.0</v>
      </c>
    </row>
    <row r="284">
      <c r="A284" s="40">
        <f t="array" ref="A284">IFNA(index(PlayerValues!A:A,match(IFNA(vlookup(B284,'Special Names'!A:B,2,FALSE),B284),PlayerValues!E:E,0)),"N/A")</f>
        <v>11244</v>
      </c>
      <c r="B284" s="4" t="s">
        <v>519</v>
      </c>
      <c r="C284" s="4" t="s">
        <v>298</v>
      </c>
      <c r="D284" s="94">
        <v>2317.0</v>
      </c>
    </row>
    <row r="285">
      <c r="A285" s="40">
        <f t="array" ref="A285">IFNA(index(PlayerValues!A:A,match(IFNA(vlookup(B285,'Special Names'!A:B,2,FALSE),B285),PlayerValues!E:E,0)),"N/A")</f>
        <v>16778</v>
      </c>
      <c r="B285" s="4" t="s">
        <v>577</v>
      </c>
      <c r="C285" s="4" t="s">
        <v>287</v>
      </c>
      <c r="D285" s="94">
        <v>1904.0</v>
      </c>
    </row>
    <row r="286">
      <c r="A286" s="40">
        <f t="array" ref="A286">IFNA(index(PlayerValues!A:A,match(IFNA(vlookup(B286,'Special Names'!A:B,2,FALSE),B286),PlayerValues!E:E,0)),"N/A")</f>
        <v>16216</v>
      </c>
      <c r="B286" s="4" t="s">
        <v>595</v>
      </c>
      <c r="C286" s="4" t="s">
        <v>298</v>
      </c>
      <c r="D286" s="94">
        <v>2283.0</v>
      </c>
    </row>
    <row r="287">
      <c r="A287" s="40">
        <f t="array" ref="A287">IFNA(index(PlayerValues!A:A,match(IFNA(vlookup(B287,'Special Names'!A:B,2,FALSE),B287),PlayerValues!E:E,0)),"N/A")</f>
        <v>17465</v>
      </c>
      <c r="B287" s="4" t="s">
        <v>649</v>
      </c>
      <c r="C287" s="4" t="s">
        <v>283</v>
      </c>
      <c r="D287" s="94">
        <v>1895.0</v>
      </c>
    </row>
    <row r="288">
      <c r="A288" s="40" t="str">
        <f t="array" ref="A288">IFNA(index(PlayerValues!A:A,match(IFNA(vlookup(B288,'Special Names'!A:B,2,FALSE),B288),PlayerValues!E:E,0)),"N/A")</f>
        <v>N/A</v>
      </c>
      <c r="B288" s="4" t="s">
        <v>114</v>
      </c>
      <c r="C288" s="4" t="s">
        <v>325</v>
      </c>
      <c r="D288" s="94">
        <v>1894.0</v>
      </c>
    </row>
    <row r="289">
      <c r="A289" s="40">
        <f t="array" ref="A289">IFNA(index(PlayerValues!A:A,match(IFNA(vlookup(B289,'Special Names'!A:B,2,FALSE),B289),PlayerValues!E:E,0)),"N/A")</f>
        <v>13189</v>
      </c>
      <c r="B289" s="4" t="s">
        <v>626</v>
      </c>
      <c r="C289" s="4" t="s">
        <v>298</v>
      </c>
      <c r="D289" s="94">
        <v>2275.0</v>
      </c>
    </row>
    <row r="290">
      <c r="A290" s="40">
        <f t="array" ref="A290">IFNA(index(PlayerValues!A:A,match(IFNA(vlookup(B290,'Special Names'!A:B,2,FALSE),B290),PlayerValues!E:E,0)),"N/A")</f>
        <v>15759</v>
      </c>
      <c r="B290" s="4" t="s">
        <v>662</v>
      </c>
      <c r="C290" s="4" t="s">
        <v>287</v>
      </c>
      <c r="D290" s="94">
        <v>1878.0</v>
      </c>
    </row>
    <row r="291">
      <c r="A291" s="40">
        <f t="array" ref="A291">IFNA(index(PlayerValues!A:A,match(IFNA(vlookup(B291,'Special Names'!A:B,2,FALSE),B291),PlayerValues!E:E,0)),"N/A")</f>
        <v>16215</v>
      </c>
      <c r="B291" s="4" t="s">
        <v>637</v>
      </c>
      <c r="C291" s="4" t="s">
        <v>298</v>
      </c>
      <c r="D291" s="94">
        <v>2260.0</v>
      </c>
    </row>
    <row r="292">
      <c r="A292" s="40">
        <f t="array" ref="A292">IFNA(index(PlayerValues!A:A,match(IFNA(vlookup(B292,'Special Names'!A:B,2,FALSE),B292),PlayerValues!E:E,0)),"N/A")</f>
        <v>17036</v>
      </c>
      <c r="B292" s="4" t="s">
        <v>617</v>
      </c>
      <c r="C292" s="4" t="s">
        <v>283</v>
      </c>
      <c r="D292" s="94">
        <v>1872.0</v>
      </c>
    </row>
    <row r="293">
      <c r="A293" s="40">
        <f t="array" ref="A293">IFNA(index(PlayerValues!A:A,match(IFNA(vlookup(B293,'Special Names'!A:B,2,FALSE),B293),PlayerValues!E:E,0)),"N/A")</f>
        <v>16201</v>
      </c>
      <c r="B293" s="4" t="s">
        <v>589</v>
      </c>
      <c r="C293" s="4" t="s">
        <v>287</v>
      </c>
      <c r="D293" s="94">
        <v>1857.0</v>
      </c>
    </row>
    <row r="294">
      <c r="A294" s="40">
        <f t="array" ref="A294">IFNA(index(PlayerValues!A:A,match(IFNA(vlookup(B294,'Special Names'!A:B,2,FALSE),B294),PlayerValues!E:E,0)),"N/A")</f>
        <v>15254</v>
      </c>
      <c r="B294" s="4" t="s">
        <v>633</v>
      </c>
      <c r="C294" s="4" t="s">
        <v>278</v>
      </c>
      <c r="D294" s="94">
        <v>1848.0</v>
      </c>
    </row>
    <row r="295">
      <c r="A295" s="40">
        <f t="array" ref="A295">IFNA(index(PlayerValues!A:A,match(IFNA(vlookup(B295,'Special Names'!A:B,2,FALSE),B295),PlayerValues!E:E,0)),"N/A")</f>
        <v>16635</v>
      </c>
      <c r="B295" s="4" t="s">
        <v>645</v>
      </c>
      <c r="C295" s="4" t="s">
        <v>287</v>
      </c>
      <c r="D295" s="94">
        <v>1848.0</v>
      </c>
    </row>
    <row r="296">
      <c r="A296" s="40">
        <f t="array" ref="A296">IFNA(index(PlayerValues!A:A,match(IFNA(vlookup(B296,'Special Names'!A:B,2,FALSE),B296),PlayerValues!E:E,0)),"N/A")</f>
        <v>17061</v>
      </c>
      <c r="B296" s="4" t="s">
        <v>580</v>
      </c>
      <c r="C296" s="4" t="s">
        <v>278</v>
      </c>
      <c r="D296" s="94">
        <v>1845.0</v>
      </c>
    </row>
    <row r="297">
      <c r="A297" s="40">
        <f t="array" ref="A297">IFNA(index(PlayerValues!A:A,match(IFNA(vlookup(B297,'Special Names'!A:B,2,FALSE),B297),PlayerValues!E:E,0)),"N/A")</f>
        <v>16595</v>
      </c>
      <c r="B297" s="4" t="s">
        <v>664</v>
      </c>
      <c r="C297" s="4" t="s">
        <v>278</v>
      </c>
      <c r="D297" s="94">
        <v>1838.0</v>
      </c>
    </row>
    <row r="298">
      <c r="A298" s="40">
        <f t="array" ref="A298">IFNA(index(PlayerValues!A:A,match(IFNA(vlookup(B298,'Special Names'!A:B,2,FALSE),B298),PlayerValues!E:E,0)),"N/A")</f>
        <v>17520</v>
      </c>
      <c r="B298" s="4" t="s">
        <v>518</v>
      </c>
      <c r="C298" s="4" t="s">
        <v>287</v>
      </c>
      <c r="D298" s="94">
        <v>1830.0</v>
      </c>
    </row>
    <row r="299">
      <c r="A299" s="40">
        <f t="array" ref="A299">IFNA(index(PlayerValues!A:A,match(IFNA(vlookup(B299,'Special Names'!A:B,2,FALSE),B299),PlayerValues!E:E,0)),"N/A")</f>
        <v>15337</v>
      </c>
      <c r="B299" s="4" t="s">
        <v>655</v>
      </c>
      <c r="C299" s="4" t="s">
        <v>298</v>
      </c>
      <c r="D299" s="94">
        <v>2187.0</v>
      </c>
    </row>
    <row r="300">
      <c r="A300" s="40">
        <f t="array" ref="A300">IFNA(index(PlayerValues!A:A,match(IFNA(vlookup(B300,'Special Names'!A:B,2,FALSE),B300),PlayerValues!E:E,0)),"N/A")</f>
        <v>17035</v>
      </c>
      <c r="B300" s="4" t="s">
        <v>650</v>
      </c>
      <c r="C300" s="4" t="s">
        <v>283</v>
      </c>
      <c r="D300" s="94">
        <v>1804.0</v>
      </c>
    </row>
    <row r="301">
      <c r="A301" s="40" t="str">
        <f t="array" ref="A301">IFNA(index(PlayerValues!A:A,match(IFNA(vlookup(B301,'Special Names'!A:B,2,FALSE),B301),PlayerValues!E:E,0)),"N/A")</f>
        <v>N/A</v>
      </c>
      <c r="B301" s="4" t="s">
        <v>101</v>
      </c>
      <c r="C301" s="4" t="s">
        <v>325</v>
      </c>
      <c r="D301" s="94">
        <v>1801.0</v>
      </c>
    </row>
    <row r="302">
      <c r="A302" s="40">
        <f t="array" ref="A302">IFNA(index(PlayerValues!A:A,match(IFNA(vlookup(B302,'Special Names'!A:B,2,FALSE),B302),PlayerValues!E:E,0)),"N/A")</f>
        <v>17481</v>
      </c>
      <c r="B302" s="4" t="s">
        <v>540</v>
      </c>
      <c r="C302" s="4" t="s">
        <v>278</v>
      </c>
      <c r="D302" s="94">
        <v>1801.0</v>
      </c>
    </row>
    <row r="303">
      <c r="A303" s="40">
        <f t="array" ref="A303">IFNA(index(PlayerValues!A:A,match(IFNA(vlookup(B303,'Special Names'!A:B,2,FALSE),B303),PlayerValues!E:E,0)),"N/A")</f>
        <v>17545</v>
      </c>
      <c r="B303" s="4" t="s">
        <v>719</v>
      </c>
      <c r="C303" s="4" t="s">
        <v>298</v>
      </c>
      <c r="D303" s="94">
        <v>2179.0</v>
      </c>
    </row>
    <row r="304">
      <c r="A304" s="40">
        <f t="array" ref="A304">IFNA(index(PlayerValues!A:A,match(IFNA(vlookup(B304,'Special Names'!A:B,2,FALSE),B304),PlayerValues!E:E,0)),"N/A")</f>
        <v>16788</v>
      </c>
      <c r="B304" s="4" t="s">
        <v>621</v>
      </c>
      <c r="C304" s="4" t="s">
        <v>287</v>
      </c>
      <c r="D304" s="94">
        <v>1795.0</v>
      </c>
    </row>
    <row r="305">
      <c r="A305" s="40">
        <f t="array" ref="A305">IFNA(index(PlayerValues!A:A,match(IFNA(vlookup(B305,'Special Names'!A:B,2,FALSE),B305),PlayerValues!E:E,0)),"N/A")</f>
        <v>15786</v>
      </c>
      <c r="B305" s="4" t="s">
        <v>521</v>
      </c>
      <c r="C305" s="4" t="s">
        <v>287</v>
      </c>
      <c r="D305" s="94">
        <v>1790.0</v>
      </c>
    </row>
    <row r="306">
      <c r="A306" s="40" t="str">
        <f t="array" ref="A306">IFNA(index(PlayerValues!A:A,match(IFNA(vlookup(B306,'Special Names'!A:B,2,FALSE),B306),PlayerValues!E:E,0)),"N/A")</f>
        <v>N/A</v>
      </c>
      <c r="B306" s="4" t="s">
        <v>89</v>
      </c>
      <c r="C306" s="4" t="s">
        <v>325</v>
      </c>
      <c r="D306" s="94">
        <v>1770.0</v>
      </c>
    </row>
    <row r="307">
      <c r="A307" s="40">
        <f t="array" ref="A307">IFNA(index(PlayerValues!A:A,match(IFNA(vlookup(B307,'Special Names'!A:B,2,FALSE),B307),PlayerValues!E:E,0)),"N/A")</f>
        <v>17086</v>
      </c>
      <c r="B307" s="4" t="s">
        <v>612</v>
      </c>
      <c r="C307" s="4" t="s">
        <v>287</v>
      </c>
      <c r="D307" s="94">
        <v>1764.0</v>
      </c>
    </row>
    <row r="308">
      <c r="A308" s="40">
        <f t="array" ref="A308">IFNA(index(PlayerValues!A:A,match(IFNA(vlookup(B308,'Special Names'!A:B,2,FALSE),B308),PlayerValues!E:E,0)),"N/A")</f>
        <v>16207</v>
      </c>
      <c r="B308" s="4" t="s">
        <v>636</v>
      </c>
      <c r="C308" s="4" t="s">
        <v>287</v>
      </c>
      <c r="D308" s="94">
        <v>1757.0</v>
      </c>
    </row>
    <row r="309">
      <c r="A309" s="40">
        <f t="array" ref="A309">IFNA(index(PlayerValues!A:A,match(IFNA(vlookup(B309,'Special Names'!A:B,2,FALSE),B309),PlayerValues!E:E,0)),"N/A")</f>
        <v>11222</v>
      </c>
      <c r="B309" s="4" t="s">
        <v>622</v>
      </c>
      <c r="C309" s="4" t="s">
        <v>287</v>
      </c>
      <c r="D309" s="94">
        <v>1754.0</v>
      </c>
    </row>
    <row r="310">
      <c r="A310" s="40">
        <f t="array" ref="A310">IFNA(index(PlayerValues!A:A,match(IFNA(vlookup(B310,'Special Names'!A:B,2,FALSE),B310),PlayerValues!E:E,0)),"N/A")</f>
        <v>16585</v>
      </c>
      <c r="B310" s="4" t="s">
        <v>623</v>
      </c>
      <c r="C310" s="4" t="s">
        <v>283</v>
      </c>
      <c r="D310" s="94">
        <v>1747.0</v>
      </c>
    </row>
    <row r="311">
      <c r="A311" s="40">
        <f t="array" ref="A311">IFNA(index(PlayerValues!A:A,match(IFNA(vlookup(B311,'Special Names'!A:B,2,FALSE),B311),PlayerValues!E:E,0)),"N/A")</f>
        <v>17055</v>
      </c>
      <c r="B311" s="4" t="s">
        <v>565</v>
      </c>
      <c r="C311" s="4" t="s">
        <v>278</v>
      </c>
      <c r="D311" s="94">
        <v>1738.0</v>
      </c>
    </row>
    <row r="312">
      <c r="A312" s="40">
        <f t="array" ref="A312">IFNA(index(PlayerValues!A:A,match(IFNA(vlookup(B312,'Special Names'!A:B,2,FALSE),B312),PlayerValues!E:E,0)),"N/A")</f>
        <v>14105</v>
      </c>
      <c r="B312" s="4" t="s">
        <v>675</v>
      </c>
      <c r="C312" s="4" t="s">
        <v>287</v>
      </c>
      <c r="D312" s="94">
        <v>1734.0</v>
      </c>
    </row>
    <row r="313">
      <c r="A313" s="40">
        <f t="array" ref="A313">IFNA(index(PlayerValues!A:A,match(IFNA(vlookup(B313,'Special Names'!A:B,2,FALSE),B313),PlayerValues!E:E,0)),"N/A")</f>
        <v>17528</v>
      </c>
      <c r="B313" s="4" t="s">
        <v>579</v>
      </c>
      <c r="C313" s="4" t="s">
        <v>287</v>
      </c>
      <c r="D313" s="94">
        <v>1733.0</v>
      </c>
    </row>
    <row r="314">
      <c r="A314" s="40">
        <f t="array" ref="A314">IFNA(index(PlayerValues!A:A,match(IFNA(vlookup(B314,'Special Names'!A:B,2,FALSE),B314),PlayerValues!E:E,0)),"N/A")</f>
        <v>16629</v>
      </c>
      <c r="B314" s="4" t="s">
        <v>605</v>
      </c>
      <c r="C314" s="4" t="s">
        <v>287</v>
      </c>
      <c r="D314" s="94">
        <v>1730.0</v>
      </c>
    </row>
    <row r="315">
      <c r="A315" s="40">
        <f t="array" ref="A315">IFNA(index(PlayerValues!A:A,match(IFNA(vlookup(B315,'Special Names'!A:B,2,FALSE),B315),PlayerValues!E:E,0)),"N/A")</f>
        <v>17058</v>
      </c>
      <c r="B315" s="4" t="s">
        <v>641</v>
      </c>
      <c r="C315" s="4" t="s">
        <v>278</v>
      </c>
      <c r="D315" s="94">
        <v>1721.0</v>
      </c>
    </row>
    <row r="316">
      <c r="A316" s="40">
        <f t="array" ref="A316">IFNA(index(PlayerValues!A:A,match(IFNA(vlookup(B316,'Special Names'!A:B,2,FALSE),B316),PlayerValues!E:E,0)),"N/A")</f>
        <v>7836</v>
      </c>
      <c r="B316" s="4" t="s">
        <v>590</v>
      </c>
      <c r="C316" s="4" t="s">
        <v>283</v>
      </c>
      <c r="D316" s="94">
        <v>1714.0</v>
      </c>
    </row>
    <row r="317">
      <c r="A317" s="40">
        <f t="array" ref="A317">IFNA(index(PlayerValues!A:A,match(IFNA(vlookup(B317,'Special Names'!A:B,2,FALSE),B317),PlayerValues!E:E,0)),"N/A")</f>
        <v>16586</v>
      </c>
      <c r="B317" s="4" t="s">
        <v>658</v>
      </c>
      <c r="C317" s="4" t="s">
        <v>283</v>
      </c>
      <c r="D317" s="94">
        <v>1697.0</v>
      </c>
    </row>
    <row r="318">
      <c r="A318" s="40">
        <f t="array" ref="A318">IFNA(index(PlayerValues!A:A,match(IFNA(vlookup(B318,'Special Names'!A:B,2,FALSE),B318),PlayerValues!E:E,0)),"N/A")</f>
        <v>16601</v>
      </c>
      <c r="B318" s="4" t="s">
        <v>648</v>
      </c>
      <c r="C318" s="4" t="s">
        <v>278</v>
      </c>
      <c r="D318" s="94">
        <v>1687.0</v>
      </c>
    </row>
    <row r="319">
      <c r="A319" s="40">
        <f t="array" ref="A319">IFNA(index(PlayerValues!A:A,match(IFNA(vlookup(B319,'Special Names'!A:B,2,FALSE),B319),PlayerValues!E:E,0)),"N/A")</f>
        <v>17064</v>
      </c>
      <c r="B319" s="4" t="s">
        <v>631</v>
      </c>
      <c r="C319" s="4" t="s">
        <v>278</v>
      </c>
      <c r="D319" s="94">
        <v>1676.0</v>
      </c>
    </row>
    <row r="320">
      <c r="A320" s="40" t="str">
        <f t="array" ref="A320">IFNA(index(PlayerValues!A:A,match(IFNA(vlookup(B320,'Special Names'!A:B,2,FALSE),B320),PlayerValues!E:E,0)),"N/A")</f>
        <v>N/A</v>
      </c>
      <c r="B320" s="4" t="s">
        <v>102</v>
      </c>
      <c r="C320" s="4" t="s">
        <v>325</v>
      </c>
      <c r="D320" s="94">
        <v>1670.0</v>
      </c>
    </row>
    <row r="321">
      <c r="A321" s="40">
        <f t="array" ref="A321">IFNA(index(PlayerValues!A:A,match(IFNA(vlookup(B321,'Special Names'!A:B,2,FALSE),B321),PlayerValues!E:E,0)),"N/A")</f>
        <v>10700</v>
      </c>
      <c r="B321" s="4" t="s">
        <v>596</v>
      </c>
      <c r="C321" s="4" t="s">
        <v>283</v>
      </c>
      <c r="D321" s="94">
        <v>1669.0</v>
      </c>
    </row>
    <row r="322">
      <c r="A322" s="40">
        <f t="array" ref="A322">IFNA(index(PlayerValues!A:A,match(IFNA(vlookup(B322,'Special Names'!A:B,2,FALSE),B322),PlayerValues!E:E,0)),"N/A")</f>
        <v>15777</v>
      </c>
      <c r="B322" s="4" t="s">
        <v>694</v>
      </c>
      <c r="C322" s="4" t="s">
        <v>287</v>
      </c>
      <c r="D322" s="94">
        <v>1667.0</v>
      </c>
    </row>
    <row r="323">
      <c r="A323" s="40">
        <f t="array" ref="A323">IFNA(index(PlayerValues!A:A,match(IFNA(vlookup(B323,'Special Names'!A:B,2,FALSE),B323),PlayerValues!E:E,0)),"N/A")</f>
        <v>15787</v>
      </c>
      <c r="B323" s="4" t="s">
        <v>610</v>
      </c>
      <c r="C323" s="4" t="s">
        <v>287</v>
      </c>
      <c r="D323" s="94">
        <v>1665.0</v>
      </c>
    </row>
    <row r="324">
      <c r="A324" s="40">
        <f t="array" ref="A324">IFNA(index(PlayerValues!A:A,match(IFNA(vlookup(B324,'Special Names'!A:B,2,FALSE),B324),PlayerValues!E:E,0)),"N/A")</f>
        <v>13629</v>
      </c>
      <c r="B324" s="4" t="s">
        <v>619</v>
      </c>
      <c r="C324" s="4" t="s">
        <v>287</v>
      </c>
      <c r="D324" s="94">
        <v>1664.0</v>
      </c>
    </row>
    <row r="325">
      <c r="A325" s="40">
        <f t="array" ref="A325">IFNA(index(PlayerValues!A:A,match(IFNA(vlookup(B325,'Special Names'!A:B,2,FALSE),B325),PlayerValues!E:E,0)),"N/A")</f>
        <v>15727</v>
      </c>
      <c r="B325" s="4" t="s">
        <v>730</v>
      </c>
      <c r="C325" s="4" t="s">
        <v>278</v>
      </c>
      <c r="D325" s="94">
        <v>1663.0</v>
      </c>
    </row>
    <row r="326">
      <c r="A326" s="40">
        <f t="array" ref="A326">IFNA(index(PlayerValues!A:A,match(IFNA(vlookup(B326,'Special Names'!A:B,2,FALSE),B326),PlayerValues!E:E,0)),"N/A")</f>
        <v>16604</v>
      </c>
      <c r="B326" s="4" t="s">
        <v>476</v>
      </c>
      <c r="C326" s="4" t="s">
        <v>278</v>
      </c>
      <c r="D326" s="94">
        <v>1652.0</v>
      </c>
    </row>
    <row r="327">
      <c r="A327" s="40">
        <f t="array" ref="A327">IFNA(index(PlayerValues!A:A,match(IFNA(vlookup(B327,'Special Names'!A:B,2,FALSE),B327),PlayerValues!E:E,0)),"N/A")</f>
        <v>17205</v>
      </c>
      <c r="B327" s="4" t="s">
        <v>665</v>
      </c>
      <c r="C327" s="4" t="s">
        <v>287</v>
      </c>
      <c r="D327" s="94">
        <v>1640.0</v>
      </c>
    </row>
    <row r="328">
      <c r="A328" s="40" t="str">
        <f t="array" ref="A328">IFNA(index(PlayerValues!A:A,match(IFNA(vlookup(B328,'Special Names'!A:B,2,FALSE),B328),PlayerValues!E:E,0)),"N/A")</f>
        <v>N/A</v>
      </c>
      <c r="B328" s="4" t="s">
        <v>115</v>
      </c>
      <c r="C328" s="4" t="s">
        <v>325</v>
      </c>
      <c r="D328" s="94">
        <v>1640.0</v>
      </c>
    </row>
    <row r="329">
      <c r="A329" s="40">
        <f t="array" ref="A329">IFNA(index(PlayerValues!A:A,match(IFNA(vlookup(B329,'Special Names'!A:B,2,FALSE),B329),PlayerValues!E:E,0)),"N/A")</f>
        <v>13131</v>
      </c>
      <c r="B329" s="4" t="s">
        <v>815</v>
      </c>
      <c r="C329" s="4" t="s">
        <v>278</v>
      </c>
      <c r="D329" s="94">
        <v>1635.0</v>
      </c>
    </row>
    <row r="330">
      <c r="A330" s="40">
        <f t="array" ref="A330">IFNA(index(PlayerValues!A:A,match(IFNA(vlookup(B330,'Special Names'!A:B,2,FALSE),B330),PlayerValues!E:E,0)),"N/A")</f>
        <v>13164</v>
      </c>
      <c r="B330" s="4" t="s">
        <v>632</v>
      </c>
      <c r="C330" s="4" t="s">
        <v>287</v>
      </c>
      <c r="D330" s="94">
        <v>1629.0</v>
      </c>
    </row>
    <row r="331">
      <c r="A331" s="40">
        <f t="array" ref="A331">IFNA(index(PlayerValues!A:A,match(IFNA(vlookup(B331,'Special Names'!A:B,2,FALSE),B331),PlayerValues!E:E,0)),"N/A")</f>
        <v>17234</v>
      </c>
      <c r="B331" s="4" t="s">
        <v>653</v>
      </c>
      <c r="C331" s="4" t="s">
        <v>287</v>
      </c>
      <c r="D331" s="94">
        <v>1628.0</v>
      </c>
    </row>
    <row r="332">
      <c r="A332" s="40">
        <f t="array" ref="A332">IFNA(index(PlayerValues!A:A,match(IFNA(vlookup(B332,'Special Names'!A:B,2,FALSE),B332),PlayerValues!E:E,0)),"N/A")</f>
        <v>14143</v>
      </c>
      <c r="B332" s="4" t="s">
        <v>635</v>
      </c>
      <c r="C332" s="4" t="s">
        <v>298</v>
      </c>
      <c r="D332" s="94">
        <v>1995.0</v>
      </c>
    </row>
    <row r="333">
      <c r="A333" s="40" t="str">
        <f t="array" ref="A333">IFNA(index(PlayerValues!A:A,match(IFNA(vlookup(B333,'Special Names'!A:B,2,FALSE),B333),PlayerValues!E:E,0)),"N/A")</f>
        <v>N/A</v>
      </c>
      <c r="B333" s="4" t="s">
        <v>90</v>
      </c>
      <c r="C333" s="4" t="s">
        <v>325</v>
      </c>
      <c r="D333" s="94">
        <v>1616.0</v>
      </c>
    </row>
    <row r="334">
      <c r="A334" s="40">
        <f t="array" ref="A334">IFNA(index(PlayerValues!A:A,match(IFNA(vlookup(B334,'Special Names'!A:B,2,FALSE),B334),PlayerValues!E:E,0)),"N/A")</f>
        <v>12141</v>
      </c>
      <c r="B334" s="4" t="s">
        <v>744</v>
      </c>
      <c r="C334" s="4" t="s">
        <v>283</v>
      </c>
      <c r="D334" s="94">
        <v>1615.0</v>
      </c>
    </row>
    <row r="335">
      <c r="A335" s="40">
        <f t="array" ref="A335">IFNA(index(PlayerValues!A:A,match(IFNA(vlookup(B335,'Special Names'!A:B,2,FALSE),B335),PlayerValues!E:E,0)),"N/A")</f>
        <v>16633</v>
      </c>
      <c r="B335" s="4" t="s">
        <v>656</v>
      </c>
      <c r="C335" s="4" t="s">
        <v>287</v>
      </c>
      <c r="D335" s="94">
        <v>1603.0</v>
      </c>
    </row>
    <row r="336">
      <c r="A336" s="40">
        <f t="array" ref="A336">IFNA(index(PlayerValues!A:A,match(IFNA(vlookup(B336,'Special Names'!A:B,2,FALSE),B336),PlayerValues!E:E,0)),"N/A")</f>
        <v>17037</v>
      </c>
      <c r="B336" s="4" t="s">
        <v>727</v>
      </c>
      <c r="C336" s="4" t="s">
        <v>283</v>
      </c>
      <c r="D336" s="94">
        <v>1601.0</v>
      </c>
    </row>
    <row r="337">
      <c r="A337" s="40">
        <f t="array" ref="A337">IFNA(index(PlayerValues!A:A,match(IFNA(vlookup(B337,'Special Names'!A:B,2,FALSE),B337),PlayerValues!E:E,0)),"N/A")</f>
        <v>17096</v>
      </c>
      <c r="B337" s="4" t="s">
        <v>638</v>
      </c>
      <c r="C337" s="4" t="s">
        <v>287</v>
      </c>
      <c r="D337" s="94">
        <v>1590.0</v>
      </c>
    </row>
    <row r="338">
      <c r="A338" s="40">
        <f t="array" ref="A338">IFNA(index(PlayerValues!A:A,match(IFNA(vlookup(B338,'Special Names'!A:B,2,FALSE),B338),PlayerValues!E:E,0)),"N/A")</f>
        <v>13193</v>
      </c>
      <c r="B338" s="4" t="s">
        <v>773</v>
      </c>
      <c r="C338" s="4" t="s">
        <v>298</v>
      </c>
      <c r="D338" s="94">
        <v>1965.0</v>
      </c>
    </row>
    <row r="339">
      <c r="A339" s="40">
        <f t="array" ref="A339">IFNA(index(PlayerValues!A:A,match(IFNA(vlookup(B339,'Special Names'!A:B,2,FALSE),B339),PlayerValues!E:E,0)),"N/A")</f>
        <v>14122</v>
      </c>
      <c r="B339" s="4" t="s">
        <v>663</v>
      </c>
      <c r="C339" s="4" t="s">
        <v>287</v>
      </c>
      <c r="D339" s="94">
        <v>1579.0</v>
      </c>
    </row>
    <row r="340">
      <c r="A340" s="40">
        <f t="array" ref="A340">IFNA(index(PlayerValues!A:A,match(IFNA(vlookup(B340,'Special Names'!A:B,2,FALSE),B340),PlayerValues!E:E,0)),"N/A")</f>
        <v>16390</v>
      </c>
      <c r="B340" s="4" t="s">
        <v>689</v>
      </c>
      <c r="C340" s="4" t="s">
        <v>278</v>
      </c>
      <c r="D340" s="94">
        <v>1567.0</v>
      </c>
    </row>
    <row r="341">
      <c r="A341" s="40">
        <f t="array" ref="A341">IFNA(index(PlayerValues!A:A,match(IFNA(vlookup(B341,'Special Names'!A:B,2,FALSE),B341),PlayerValues!E:E,0)),"N/A")</f>
        <v>12140</v>
      </c>
      <c r="B341" s="4" t="s">
        <v>702</v>
      </c>
      <c r="C341" s="4" t="s">
        <v>283</v>
      </c>
      <c r="D341" s="94">
        <v>1566.0</v>
      </c>
    </row>
    <row r="342">
      <c r="A342" s="40" t="str">
        <f t="array" ref="A342">IFNA(index(PlayerValues!A:A,match(IFNA(vlookup(B342,'Special Names'!A:B,2,FALSE),B342),PlayerValues!E:E,0)),"N/A")</f>
        <v>N/A</v>
      </c>
      <c r="B342" s="4" t="s">
        <v>91</v>
      </c>
      <c r="C342" s="4" t="s">
        <v>325</v>
      </c>
      <c r="D342" s="94">
        <v>1558.0</v>
      </c>
    </row>
    <row r="343">
      <c r="A343" s="40">
        <f t="array" ref="A343">IFNA(index(PlayerValues!A:A,match(IFNA(vlookup(B343,'Special Names'!A:B,2,FALSE),B343),PlayerValues!E:E,0)),"N/A")</f>
        <v>16688</v>
      </c>
      <c r="B343" s="4" t="s">
        <v>688</v>
      </c>
      <c r="C343" s="4" t="s">
        <v>278</v>
      </c>
      <c r="D343" s="94">
        <v>1542.0</v>
      </c>
    </row>
    <row r="344">
      <c r="A344" s="40">
        <f t="array" ref="A344">IFNA(index(PlayerValues!A:A,match(IFNA(vlookup(B344,'Special Names'!A:B,2,FALSE),B344),PlayerValues!E:E,0)),"N/A")</f>
        <v>15252</v>
      </c>
      <c r="B344" s="4" t="s">
        <v>715</v>
      </c>
      <c r="C344" s="4" t="s">
        <v>283</v>
      </c>
      <c r="D344" s="94">
        <v>1541.0</v>
      </c>
    </row>
    <row r="345">
      <c r="A345" s="40">
        <f t="array" ref="A345">IFNA(index(PlayerValues!A:A,match(IFNA(vlookup(B345,'Special Names'!A:B,2,FALSE),B345),PlayerValues!E:E,0)),"N/A")</f>
        <v>15258</v>
      </c>
      <c r="B345" s="4" t="s">
        <v>757</v>
      </c>
      <c r="C345" s="4" t="s">
        <v>278</v>
      </c>
      <c r="D345" s="94">
        <v>1541.0</v>
      </c>
    </row>
    <row r="346">
      <c r="A346" s="40">
        <f t="array" ref="A346">IFNA(index(PlayerValues!A:A,match(IFNA(vlookup(B346,'Special Names'!A:B,2,FALSE),B346),PlayerValues!E:E,0)),"N/A")</f>
        <v>14080</v>
      </c>
      <c r="B346" s="4" t="s">
        <v>716</v>
      </c>
      <c r="C346" s="4" t="s">
        <v>278</v>
      </c>
      <c r="D346" s="94">
        <v>1539.0</v>
      </c>
    </row>
    <row r="347">
      <c r="A347" s="40" t="str">
        <f t="array" ref="A347">IFNA(index(PlayerValues!A:A,match(IFNA(vlookup(B347,'Special Names'!A:B,2,FALSE),B347),PlayerValues!E:E,0)),"N/A")</f>
        <v>N/A</v>
      </c>
      <c r="B347" s="4" t="s">
        <v>103</v>
      </c>
      <c r="C347" s="4" t="s">
        <v>325</v>
      </c>
      <c r="D347" s="94">
        <v>1532.0</v>
      </c>
    </row>
    <row r="348">
      <c r="A348" s="40" t="str">
        <f t="array" ref="A348">IFNA(index(PlayerValues!A:A,match(IFNA(vlookup(B348,'Special Names'!A:B,2,FALSE),B348),PlayerValues!E:E,0)),"N/A")</f>
        <v>N/A</v>
      </c>
      <c r="B348" s="4" t="s">
        <v>116</v>
      </c>
      <c r="C348" s="4" t="s">
        <v>325</v>
      </c>
      <c r="D348" s="94">
        <v>1513.0</v>
      </c>
    </row>
    <row r="349">
      <c r="A349" s="40">
        <f t="array" ref="A349">IFNA(index(PlayerValues!A:A,match(IFNA(vlookup(B349,'Special Names'!A:B,2,FALSE),B349),PlayerValues!E:E,0)),"N/A")</f>
        <v>17475</v>
      </c>
      <c r="B349" s="4" t="s">
        <v>615</v>
      </c>
      <c r="C349" s="4" t="s">
        <v>278</v>
      </c>
      <c r="D349" s="94">
        <v>1508.0</v>
      </c>
    </row>
    <row r="350">
      <c r="A350" s="40">
        <f t="array" ref="A350">IFNA(index(PlayerValues!A:A,match(IFNA(vlookup(B350,'Special Names'!A:B,2,FALSE),B350),PlayerValues!E:E,0)),"N/A")</f>
        <v>17504</v>
      </c>
      <c r="B350" s="4" t="s">
        <v>693</v>
      </c>
      <c r="C350" s="4" t="s">
        <v>287</v>
      </c>
      <c r="D350" s="94">
        <v>1504.0</v>
      </c>
    </row>
    <row r="351">
      <c r="A351" s="40">
        <f t="array" ref="A351">IFNA(index(PlayerValues!A:A,match(IFNA(vlookup(B351,'Special Names'!A:B,2,FALSE),B351),PlayerValues!E:E,0)),"N/A")</f>
        <v>15319</v>
      </c>
      <c r="B351" s="4" t="s">
        <v>644</v>
      </c>
      <c r="C351" s="4" t="s">
        <v>287</v>
      </c>
      <c r="D351" s="94">
        <v>1497.0</v>
      </c>
    </row>
    <row r="352">
      <c r="A352" s="40">
        <f t="array" ref="A352">IFNA(index(PlayerValues!A:A,match(IFNA(vlookup(B352,'Special Names'!A:B,2,FALSE),B352),PlayerValues!E:E,0)),"N/A")</f>
        <v>17077</v>
      </c>
      <c r="B352" s="4" t="s">
        <v>714</v>
      </c>
      <c r="C352" s="4" t="s">
        <v>287</v>
      </c>
      <c r="D352" s="94">
        <v>1497.0</v>
      </c>
    </row>
    <row r="353">
      <c r="A353" s="40">
        <f t="array" ref="A353">IFNA(index(PlayerValues!A:A,match(IFNA(vlookup(B353,'Special Names'!A:B,2,FALSE),B353),PlayerValues!E:E,0)),"N/A")</f>
        <v>15752</v>
      </c>
      <c r="B353" s="4" t="s">
        <v>647</v>
      </c>
      <c r="C353" s="4" t="s">
        <v>287</v>
      </c>
      <c r="D353" s="94">
        <v>1465.0</v>
      </c>
    </row>
    <row r="354">
      <c r="A354" s="40">
        <f t="array" ref="A354">IFNA(index(PlayerValues!A:A,match(IFNA(vlookup(B354,'Special Names'!A:B,2,FALSE),B354),PlayerValues!E:E,0)),"N/A")</f>
        <v>11150</v>
      </c>
      <c r="B354" s="4" t="s">
        <v>559</v>
      </c>
      <c r="C354" s="4" t="s">
        <v>283</v>
      </c>
      <c r="D354" s="94">
        <v>1458.0</v>
      </c>
    </row>
    <row r="355">
      <c r="A355" s="40">
        <f t="array" ref="A355">IFNA(index(PlayerValues!A:A,match(IFNA(vlookup(B355,'Special Names'!A:B,2,FALSE),B355),PlayerValues!E:E,0)),"N/A")</f>
        <v>17541</v>
      </c>
      <c r="B355" s="4" t="s">
        <v>616</v>
      </c>
      <c r="C355" s="4" t="s">
        <v>287</v>
      </c>
      <c r="D355" s="94">
        <v>1458.0</v>
      </c>
    </row>
    <row r="356">
      <c r="A356" s="40">
        <f t="array" ref="A356">IFNA(index(PlayerValues!A:A,match(IFNA(vlookup(B356,'Special Names'!A:B,2,FALSE),B356),PlayerValues!E:E,0)),"N/A")</f>
        <v>15738</v>
      </c>
      <c r="B356" s="4" t="s">
        <v>634</v>
      </c>
      <c r="C356" s="4" t="s">
        <v>278</v>
      </c>
      <c r="D356" s="94">
        <v>1456.0</v>
      </c>
    </row>
    <row r="357">
      <c r="A357" s="40">
        <f t="array" ref="A357">IFNA(index(PlayerValues!A:A,match(IFNA(vlookup(B357,'Special Names'!A:B,2,FALSE),B357),PlayerValues!E:E,0)),"N/A")</f>
        <v>13418</v>
      </c>
      <c r="B357" s="4" t="s">
        <v>706</v>
      </c>
      <c r="C357" s="4" t="s">
        <v>287</v>
      </c>
      <c r="D357" s="94">
        <v>1455.0</v>
      </c>
    </row>
    <row r="358">
      <c r="A358" s="40">
        <f t="array" ref="A358">IFNA(index(PlayerValues!A:A,match(IFNA(vlookup(B358,'Special Names'!A:B,2,FALSE),B358),PlayerValues!E:E,0)),"N/A")</f>
        <v>17254</v>
      </c>
      <c r="B358" s="4" t="s">
        <v>679</v>
      </c>
      <c r="C358" s="4" t="s">
        <v>287</v>
      </c>
      <c r="D358" s="94">
        <v>1447.0</v>
      </c>
    </row>
    <row r="359">
      <c r="A359" s="40">
        <f t="array" ref="A359">IFNA(index(PlayerValues!A:A,match(IFNA(vlookup(B359,'Special Names'!A:B,2,FALSE),B359),PlayerValues!E:E,0)),"N/A")</f>
        <v>15755</v>
      </c>
      <c r="B359" s="4" t="s">
        <v>628</v>
      </c>
      <c r="C359" s="4" t="s">
        <v>287</v>
      </c>
      <c r="D359" s="94">
        <v>1445.0</v>
      </c>
    </row>
    <row r="360">
      <c r="A360" s="40">
        <f t="array" ref="A360">IFNA(index(PlayerValues!A:A,match(IFNA(vlookup(B360,'Special Names'!A:B,2,FALSE),B360),PlayerValues!E:E,0)),"N/A")</f>
        <v>14095</v>
      </c>
      <c r="B360" s="4" t="s">
        <v>680</v>
      </c>
      <c r="C360" s="4" t="s">
        <v>278</v>
      </c>
      <c r="D360" s="94">
        <v>1432.0</v>
      </c>
    </row>
    <row r="361">
      <c r="A361" s="40">
        <f t="array" ref="A361">IFNA(index(PlayerValues!A:A,match(IFNA(vlookup(B361,'Special Names'!A:B,2,FALSE),B361),PlayerValues!E:E,0)),"N/A")</f>
        <v>17510</v>
      </c>
      <c r="B361" s="4" t="s">
        <v>661</v>
      </c>
      <c r="C361" s="4" t="s">
        <v>287</v>
      </c>
      <c r="D361" s="94">
        <v>1428.0</v>
      </c>
    </row>
    <row r="362">
      <c r="A362" s="40">
        <f t="array" ref="A362">IFNA(index(PlayerValues!A:A,match(IFNA(vlookup(B362,'Special Names'!A:B,2,FALSE),B362),PlayerValues!E:E,0)),"N/A")</f>
        <v>13672</v>
      </c>
      <c r="B362" s="4" t="s">
        <v>667</v>
      </c>
      <c r="C362" s="4" t="s">
        <v>298</v>
      </c>
      <c r="D362" s="94">
        <v>1790.0</v>
      </c>
    </row>
    <row r="363">
      <c r="A363" s="40">
        <f t="array" ref="A363">IFNA(index(PlayerValues!A:A,match(IFNA(vlookup(B363,'Special Names'!A:B,2,FALSE),B363),PlayerValues!E:E,0)),"N/A")</f>
        <v>15713</v>
      </c>
      <c r="B363" s="4" t="s">
        <v>732</v>
      </c>
      <c r="C363" s="4" t="s">
        <v>278</v>
      </c>
      <c r="D363" s="94">
        <v>1415.0</v>
      </c>
    </row>
    <row r="364">
      <c r="A364" s="40">
        <f t="array" ref="A364">IFNA(index(PlayerValues!A:A,match(IFNA(vlookup(B364,'Special Names'!A:B,2,FALSE),B364),PlayerValues!E:E,0)),"N/A")</f>
        <v>13138</v>
      </c>
      <c r="B364" s="4" t="s">
        <v>817</v>
      </c>
      <c r="C364" s="4" t="s">
        <v>278</v>
      </c>
      <c r="D364" s="94">
        <v>1405.0</v>
      </c>
    </row>
    <row r="365">
      <c r="A365" s="40">
        <f t="array" ref="A365">IFNA(index(PlayerValues!A:A,match(IFNA(vlookup(B365,'Special Names'!A:B,2,FALSE),B365),PlayerValues!E:E,0)),"N/A")</f>
        <v>17470</v>
      </c>
      <c r="B365" s="4" t="s">
        <v>841</v>
      </c>
      <c r="C365" s="4" t="s">
        <v>283</v>
      </c>
      <c r="D365" s="94">
        <v>1402.0</v>
      </c>
    </row>
    <row r="366">
      <c r="A366" s="40">
        <f t="array" ref="A366">IFNA(index(PlayerValues!A:A,match(IFNA(vlookup(B366,'Special Names'!A:B,2,FALSE),B366),PlayerValues!E:E,0)),"N/A")</f>
        <v>15788</v>
      </c>
      <c r="B366" s="4" t="s">
        <v>627</v>
      </c>
      <c r="C366" s="4" t="s">
        <v>287</v>
      </c>
      <c r="D366" s="94">
        <v>1398.0</v>
      </c>
    </row>
    <row r="367">
      <c r="A367" s="40">
        <f t="array" ref="A367">IFNA(index(PlayerValues!A:A,match(IFNA(vlookup(B367,'Special Names'!A:B,2,FALSE),B367),PlayerValues!E:E,0)),"N/A")</f>
        <v>17269</v>
      </c>
      <c r="B367" s="4" t="s">
        <v>718</v>
      </c>
      <c r="C367" s="4" t="s">
        <v>287</v>
      </c>
      <c r="D367" s="94">
        <v>1392.0</v>
      </c>
    </row>
    <row r="368">
      <c r="A368" s="40">
        <f t="array" ref="A368">IFNA(index(PlayerValues!A:A,match(IFNA(vlookup(B368,'Special Names'!A:B,2,FALSE),B368),PlayerValues!E:E,0)),"N/A")</f>
        <v>17486</v>
      </c>
      <c r="B368" s="4" t="s">
        <v>695</v>
      </c>
      <c r="C368" s="4" t="s">
        <v>278</v>
      </c>
      <c r="D368" s="94">
        <v>1389.0</v>
      </c>
    </row>
    <row r="369">
      <c r="A369" s="40">
        <f t="array" ref="A369">IFNA(index(PlayerValues!A:A,match(IFNA(vlookup(B369,'Special Names'!A:B,2,FALSE),B369),PlayerValues!E:E,0)),"N/A")</f>
        <v>17062</v>
      </c>
      <c r="B369" s="4" t="s">
        <v>701</v>
      </c>
      <c r="C369" s="4" t="s">
        <v>278</v>
      </c>
      <c r="D369" s="94">
        <v>1385.0</v>
      </c>
    </row>
    <row r="370">
      <c r="A370" s="40">
        <f t="array" ref="A370">IFNA(index(PlayerValues!A:A,match(IFNA(vlookup(B370,'Special Names'!A:B,2,FALSE),B370),PlayerValues!E:E,0)),"N/A")</f>
        <v>17479</v>
      </c>
      <c r="B370" s="4" t="s">
        <v>756</v>
      </c>
      <c r="C370" s="4" t="s">
        <v>278</v>
      </c>
      <c r="D370" s="94">
        <v>1385.0</v>
      </c>
    </row>
    <row r="371">
      <c r="A371" s="40">
        <f t="array" ref="A371">IFNA(index(PlayerValues!A:A,match(IFNA(vlookup(B371,'Special Names'!A:B,2,FALSE),B371),PlayerValues!E:E,0)),"N/A")</f>
        <v>16631</v>
      </c>
      <c r="B371" s="4" t="s">
        <v>800</v>
      </c>
      <c r="C371" s="4" t="s">
        <v>287</v>
      </c>
      <c r="D371" s="94">
        <v>1373.0</v>
      </c>
    </row>
    <row r="372">
      <c r="A372" s="40">
        <f t="array" ref="A372">IFNA(index(PlayerValues!A:A,match(IFNA(vlookup(B372,'Special Names'!A:B,2,FALSE),B372),PlayerValues!E:E,0)),"N/A")</f>
        <v>17487</v>
      </c>
      <c r="B372" s="4" t="s">
        <v>692</v>
      </c>
      <c r="C372" s="4" t="s">
        <v>278</v>
      </c>
      <c r="D372" s="94">
        <v>1343.0</v>
      </c>
    </row>
    <row r="373">
      <c r="A373" s="40">
        <f t="array" ref="A373">IFNA(index(PlayerValues!A:A,match(IFNA(vlookup(B373,'Special Names'!A:B,2,FALSE),B373),PlayerValues!E:E,0)),"N/A")</f>
        <v>15797</v>
      </c>
      <c r="B373" s="4" t="s">
        <v>556</v>
      </c>
      <c r="C373" s="4" t="s">
        <v>298</v>
      </c>
      <c r="D373" s="94">
        <v>1712.0</v>
      </c>
    </row>
    <row r="374">
      <c r="A374" s="40">
        <f t="array" ref="A374">IFNA(index(PlayerValues!A:A,match(IFNA(vlookup(B374,'Special Names'!A:B,2,FALSE),B374),PlayerValues!E:E,0)),"N/A")</f>
        <v>15332</v>
      </c>
      <c r="B374" s="4" t="s">
        <v>698</v>
      </c>
      <c r="C374" s="4" t="s">
        <v>298</v>
      </c>
      <c r="D374" s="94">
        <v>1708.0</v>
      </c>
    </row>
    <row r="375">
      <c r="A375" s="40">
        <f t="array" ref="A375">IFNA(index(PlayerValues!A:A,match(IFNA(vlookup(B375,'Special Names'!A:B,2,FALSE),B375),PlayerValues!E:E,0)),"N/A")</f>
        <v>14137</v>
      </c>
      <c r="B375" s="4" t="s">
        <v>676</v>
      </c>
      <c r="C375" s="4" t="s">
        <v>298</v>
      </c>
      <c r="D375" s="94">
        <v>1706.0</v>
      </c>
    </row>
    <row r="376">
      <c r="A376" s="40">
        <f t="array" ref="A376">IFNA(index(PlayerValues!A:A,match(IFNA(vlookup(B376,'Special Names'!A:B,2,FALSE),B376),PlayerValues!E:E,0)),"N/A")</f>
        <v>15301</v>
      </c>
      <c r="B376" s="4" t="s">
        <v>657</v>
      </c>
      <c r="C376" s="4" t="s">
        <v>287</v>
      </c>
      <c r="D376" s="94">
        <v>1326.0</v>
      </c>
    </row>
    <row r="377">
      <c r="A377" s="40">
        <f t="array" ref="A377">IFNA(index(PlayerValues!A:A,match(IFNA(vlookup(B377,'Special Names'!A:B,2,FALSE),B377),PlayerValues!E:E,0)),"N/A")</f>
        <v>15873</v>
      </c>
      <c r="B377" s="4" t="s">
        <v>681</v>
      </c>
      <c r="C377" s="4" t="s">
        <v>298</v>
      </c>
      <c r="D377" s="94">
        <v>1694.0</v>
      </c>
    </row>
    <row r="378">
      <c r="A378" s="40">
        <f t="array" ref="A378">IFNA(index(PlayerValues!A:A,match(IFNA(vlookup(B378,'Special Names'!A:B,2,FALSE),B378),PlayerValues!E:E,0)),"N/A")</f>
        <v>16621</v>
      </c>
      <c r="B378" s="4" t="s">
        <v>672</v>
      </c>
      <c r="C378" s="4" t="s">
        <v>287</v>
      </c>
      <c r="D378" s="94">
        <v>1321.0</v>
      </c>
    </row>
    <row r="379">
      <c r="A379" s="40">
        <f t="array" ref="A379">IFNA(index(PlayerValues!A:A,match(IFNA(vlookup(B379,'Special Names'!A:B,2,FALSE),B379),PlayerValues!E:E,0)),"N/A")</f>
        <v>16642</v>
      </c>
      <c r="B379" s="4" t="s">
        <v>691</v>
      </c>
      <c r="C379" s="4" t="s">
        <v>298</v>
      </c>
      <c r="D379" s="94">
        <v>1678.0</v>
      </c>
    </row>
    <row r="380">
      <c r="A380" s="40">
        <f t="array" ref="A380">IFNA(index(PlayerValues!A:A,match(IFNA(vlookup(B380,'Special Names'!A:B,2,FALSE),B380),PlayerValues!E:E,0)),"N/A")</f>
        <v>16385</v>
      </c>
      <c r="B380" s="4" t="s">
        <v>690</v>
      </c>
      <c r="C380" s="4" t="s">
        <v>278</v>
      </c>
      <c r="D380" s="94">
        <v>1304.0</v>
      </c>
    </row>
    <row r="381">
      <c r="A381" s="40" t="str">
        <f t="array" ref="A381">IFNA(index(PlayerValues!A:A,match(IFNA(vlookup(B381,'Special Names'!A:B,2,FALSE),B381),PlayerValues!E:E,0)),"N/A")</f>
        <v>N/A</v>
      </c>
      <c r="B381" s="4" t="s">
        <v>117</v>
      </c>
      <c r="C381" s="4" t="s">
        <v>325</v>
      </c>
      <c r="D381" s="94">
        <v>1289.0</v>
      </c>
    </row>
    <row r="382">
      <c r="A382" s="40">
        <f t="array" ref="A382">IFNA(index(PlayerValues!A:A,match(IFNA(vlookup(B382,'Special Names'!A:B,2,FALSE),B382),PlayerValues!E:E,0)),"N/A")</f>
        <v>17526</v>
      </c>
      <c r="B382" s="4" t="s">
        <v>760</v>
      </c>
      <c r="C382" s="4" t="s">
        <v>287</v>
      </c>
      <c r="D382" s="94">
        <v>1287.0</v>
      </c>
    </row>
    <row r="383">
      <c r="A383" s="40">
        <f t="array" ref="A383">IFNA(index(PlayerValues!A:A,match(IFNA(vlookup(B383,'Special Names'!A:B,2,FALSE),B383),PlayerValues!E:E,0)),"N/A")</f>
        <v>14592</v>
      </c>
      <c r="B383" s="4" t="s">
        <v>705</v>
      </c>
      <c r="C383" s="4" t="s">
        <v>287</v>
      </c>
      <c r="D383" s="94">
        <v>1276.0</v>
      </c>
    </row>
    <row r="384">
      <c r="A384" s="40">
        <f t="array" ref="A384">IFNA(index(PlayerValues!A:A,match(IFNA(vlookup(B384,'Special Names'!A:B,2,FALSE),B384),PlayerValues!E:E,0)),"N/A")</f>
        <v>16175</v>
      </c>
      <c r="B384" s="4" t="s">
        <v>654</v>
      </c>
      <c r="C384" s="4" t="s">
        <v>278</v>
      </c>
      <c r="D384" s="94">
        <v>1263.0</v>
      </c>
    </row>
    <row r="385">
      <c r="A385" s="40">
        <f t="array" ref="A385">IFNA(index(PlayerValues!A:A,match(IFNA(vlookup(B385,'Special Names'!A:B,2,FALSE),B385),PlayerValues!E:E,0)),"N/A")</f>
        <v>15292</v>
      </c>
      <c r="B385" s="4" t="s">
        <v>682</v>
      </c>
      <c r="C385" s="4" t="s">
        <v>287</v>
      </c>
      <c r="D385" s="94">
        <v>1262.0</v>
      </c>
    </row>
    <row r="386">
      <c r="A386" s="40">
        <f t="array" ref="A386">IFNA(index(PlayerValues!A:A,match(IFNA(vlookup(B386,'Special Names'!A:B,2,FALSE),B386),PlayerValues!E:E,0)),"N/A")</f>
        <v>14086</v>
      </c>
      <c r="B386" s="4" t="s">
        <v>639</v>
      </c>
      <c r="C386" s="4" t="s">
        <v>278</v>
      </c>
      <c r="D386" s="94">
        <v>1253.0</v>
      </c>
    </row>
    <row r="387">
      <c r="A387" s="40">
        <f t="array" ref="A387">IFNA(index(PlayerValues!A:A,match(IFNA(vlookup(B387,'Special Names'!A:B,2,FALSE),B387),PlayerValues!E:E,0)),"N/A")</f>
        <v>14108</v>
      </c>
      <c r="B387" s="4" t="s">
        <v>673</v>
      </c>
      <c r="C387" s="4" t="s">
        <v>287</v>
      </c>
      <c r="D387" s="94">
        <v>1249.0</v>
      </c>
    </row>
    <row r="388">
      <c r="A388" s="40">
        <f t="array" ref="A388">IFNA(index(PlayerValues!A:A,match(IFNA(vlookup(B388,'Special Names'!A:B,2,FALSE),B388),PlayerValues!E:E,0)),"N/A")</f>
        <v>16451</v>
      </c>
      <c r="B388" s="4" t="s">
        <v>769</v>
      </c>
      <c r="C388" s="4" t="s">
        <v>287</v>
      </c>
      <c r="D388" s="94">
        <v>1243.0</v>
      </c>
    </row>
    <row r="389">
      <c r="A389" s="40">
        <f t="array" ref="A389">IFNA(index(PlayerValues!A:A,match(IFNA(vlookup(B389,'Special Names'!A:B,2,FALSE),B389),PlayerValues!E:E,0)),"N/A")</f>
        <v>15981</v>
      </c>
      <c r="B389" s="4" t="s">
        <v>729</v>
      </c>
      <c r="C389" s="4" t="s">
        <v>287</v>
      </c>
      <c r="D389" s="94">
        <v>1230.0</v>
      </c>
    </row>
    <row r="390">
      <c r="A390" s="40">
        <f t="array" ref="A390">IFNA(index(PlayerValues!A:A,match(IFNA(vlookup(B390,'Special Names'!A:B,2,FALSE),B390),PlayerValues!E:E,0)),"N/A")</f>
        <v>16183</v>
      </c>
      <c r="B390" s="4" t="s">
        <v>678</v>
      </c>
      <c r="C390" s="4" t="s">
        <v>287</v>
      </c>
      <c r="D390" s="94">
        <v>1223.0</v>
      </c>
    </row>
    <row r="391">
      <c r="A391" s="40">
        <f t="array" ref="A391">IFNA(index(PlayerValues!A:A,match(IFNA(vlookup(B391,'Special Names'!A:B,2,FALSE),B391),PlayerValues!E:E,0)),"N/A")</f>
        <v>12263</v>
      </c>
      <c r="B391" s="4" t="s">
        <v>697</v>
      </c>
      <c r="C391" s="4" t="s">
        <v>298</v>
      </c>
      <c r="D391" s="94">
        <v>1588.0</v>
      </c>
    </row>
    <row r="392">
      <c r="A392" s="40">
        <f t="array" ref="A392">IFNA(index(PlayerValues!A:A,match(IFNA(vlookup(B392,'Special Names'!A:B,2,FALSE),B392),PlayerValues!E:E,0)),"N/A")</f>
        <v>16792</v>
      </c>
      <c r="B392" s="4" t="s">
        <v>704</v>
      </c>
      <c r="C392" s="4" t="s">
        <v>287</v>
      </c>
      <c r="D392" s="94">
        <v>1202.0</v>
      </c>
    </row>
    <row r="393">
      <c r="A393" s="40">
        <f t="array" ref="A393">IFNA(index(PlayerValues!A:A,match(IFNA(vlookup(B393,'Special Names'!A:B,2,FALSE),B393),PlayerValues!E:E,0)),"N/A")</f>
        <v>16149</v>
      </c>
      <c r="B393" s="4" t="s">
        <v>740</v>
      </c>
      <c r="C393" s="4" t="s">
        <v>283</v>
      </c>
      <c r="D393" s="94">
        <v>1198.0</v>
      </c>
    </row>
    <row r="394">
      <c r="A394" s="40">
        <f t="array" ref="A394">IFNA(index(PlayerValues!A:A,match(IFNA(vlookup(B394,'Special Names'!A:B,2,FALSE),B394),PlayerValues!E:E,0)),"N/A")</f>
        <v>17063</v>
      </c>
      <c r="B394" s="4" t="s">
        <v>686</v>
      </c>
      <c r="C394" s="4" t="s">
        <v>278</v>
      </c>
      <c r="D394" s="94">
        <v>1188.0</v>
      </c>
    </row>
    <row r="395">
      <c r="A395" s="40">
        <f t="array" ref="A395">IFNA(index(PlayerValues!A:A,match(IFNA(vlookup(B395,'Special Names'!A:B,2,FALSE),B395),PlayerValues!E:E,0)),"N/A")</f>
        <v>15240</v>
      </c>
      <c r="B395" s="4" t="s">
        <v>751</v>
      </c>
      <c r="C395" s="4" t="s">
        <v>283</v>
      </c>
      <c r="D395" s="94">
        <v>1186.0</v>
      </c>
    </row>
    <row r="396">
      <c r="A396" s="40">
        <f t="array" ref="A396">IFNA(index(PlayerValues!A:A,match(IFNA(vlookup(B396,'Special Names'!A:B,2,FALSE),B396),PlayerValues!E:E,0)),"N/A")</f>
        <v>15702</v>
      </c>
      <c r="B396" s="4" t="s">
        <v>723</v>
      </c>
      <c r="C396" s="4" t="s">
        <v>283</v>
      </c>
      <c r="D396" s="94">
        <v>1175.0</v>
      </c>
    </row>
    <row r="397">
      <c r="A397" s="40">
        <f t="array" ref="A397">IFNA(index(PlayerValues!A:A,match(IFNA(vlookup(B397,'Special Names'!A:B,2,FALSE),B397),PlayerValues!E:E,0)),"N/A")</f>
        <v>16636</v>
      </c>
      <c r="B397" s="4" t="s">
        <v>699</v>
      </c>
      <c r="C397" s="4" t="s">
        <v>287</v>
      </c>
      <c r="D397" s="94">
        <v>1172.0</v>
      </c>
    </row>
    <row r="398">
      <c r="A398" s="40">
        <f t="array" ref="A398">IFNA(index(PlayerValues!A:A,match(IFNA(vlookup(B398,'Special Names'!A:B,2,FALSE),B398),PlayerValues!E:E,0)),"N/A")</f>
        <v>16746</v>
      </c>
      <c r="B398" s="4" t="s">
        <v>709</v>
      </c>
      <c r="C398" s="4" t="s">
        <v>278</v>
      </c>
      <c r="D398" s="94">
        <v>1167.0</v>
      </c>
    </row>
    <row r="399">
      <c r="A399" s="40">
        <f t="array" ref="A399">IFNA(index(PlayerValues!A:A,match(IFNA(vlookup(B399,'Special Names'!A:B,2,FALSE),B399),PlayerValues!E:E,0)),"N/A")</f>
        <v>16199</v>
      </c>
      <c r="B399" s="4" t="s">
        <v>687</v>
      </c>
      <c r="C399" s="4" t="s">
        <v>287</v>
      </c>
      <c r="D399" s="94">
        <v>1160.0</v>
      </c>
    </row>
    <row r="400">
      <c r="A400" s="40">
        <f t="array" ref="A400">IFNA(index(PlayerValues!A:A,match(IFNA(vlookup(B400,'Special Names'!A:B,2,FALSE),B400),PlayerValues!E:E,0)),"N/A")</f>
        <v>16645</v>
      </c>
      <c r="B400" s="4" t="s">
        <v>651</v>
      </c>
      <c r="C400" s="4" t="s">
        <v>298</v>
      </c>
      <c r="D400" s="94">
        <v>1526.0</v>
      </c>
    </row>
    <row r="401">
      <c r="A401" s="40">
        <f t="array" ref="A401">IFNA(index(PlayerValues!A:A,match(IFNA(vlookup(B401,'Special Names'!A:B,2,FALSE),B401),PlayerValues!E:E,0)),"N/A")</f>
        <v>16883</v>
      </c>
      <c r="B401" s="4" t="s">
        <v>683</v>
      </c>
      <c r="C401" s="4" t="s">
        <v>287</v>
      </c>
      <c r="D401" s="94">
        <v>1160.0</v>
      </c>
    </row>
    <row r="402">
      <c r="A402" s="40">
        <f t="array" ref="A402">IFNA(index(PlayerValues!A:A,match(IFNA(vlookup(B402,'Special Names'!A:B,2,FALSE),B402),PlayerValues!E:E,0)),"N/A")</f>
        <v>12678</v>
      </c>
      <c r="B402" s="4" t="s">
        <v>703</v>
      </c>
      <c r="C402" s="4" t="s">
        <v>298</v>
      </c>
      <c r="D402" s="94">
        <v>1524.0</v>
      </c>
    </row>
    <row r="403">
      <c r="A403" s="40">
        <f t="array" ref="A403">IFNA(index(PlayerValues!A:A,match(IFNA(vlookup(B403,'Special Names'!A:B,2,FALSE),B403),PlayerValues!E:E,0)),"N/A")</f>
        <v>14789</v>
      </c>
      <c r="B403" s="4" t="s">
        <v>721</v>
      </c>
      <c r="C403" s="4" t="s">
        <v>283</v>
      </c>
      <c r="D403" s="94">
        <v>1153.0</v>
      </c>
    </row>
    <row r="404">
      <c r="A404" s="40">
        <f t="array" ref="A404">IFNA(index(PlayerValues!A:A,match(IFNA(vlookup(B404,'Special Names'!A:B,2,FALSE),B404),PlayerValues!E:E,0)),"N/A")</f>
        <v>17097</v>
      </c>
      <c r="B404" s="4" t="s">
        <v>659</v>
      </c>
      <c r="C404" s="4" t="s">
        <v>287</v>
      </c>
      <c r="D404" s="94">
        <v>1148.0</v>
      </c>
    </row>
    <row r="405">
      <c r="A405" s="40">
        <f t="array" ref="A405">IFNA(index(PlayerValues!A:A,match(IFNA(vlookup(B405,'Special Names'!A:B,2,FALSE),B405),PlayerValues!E:E,0)),"N/A")</f>
        <v>17054</v>
      </c>
      <c r="B405" s="4" t="s">
        <v>670</v>
      </c>
      <c r="C405" s="4" t="s">
        <v>278</v>
      </c>
      <c r="D405" s="94">
        <v>1136.0</v>
      </c>
    </row>
    <row r="406">
      <c r="A406" s="40">
        <f t="array" ref="A406">IFNA(index(PlayerValues!A:A,match(IFNA(vlookup(B406,'Special Names'!A:B,2,FALSE),B406),PlayerValues!E:E,0)),"N/A")</f>
        <v>17050</v>
      </c>
      <c r="B406" s="4" t="s">
        <v>713</v>
      </c>
      <c r="C406" s="4" t="s">
        <v>278</v>
      </c>
      <c r="D406" s="94">
        <v>1135.0</v>
      </c>
    </row>
    <row r="407">
      <c r="A407" s="40">
        <f t="array" ref="A407">IFNA(index(PlayerValues!A:A,match(IFNA(vlookup(B407,'Special Names'!A:B,2,FALSE),B407),PlayerValues!E:E,0)),"N/A")</f>
        <v>15692</v>
      </c>
      <c r="B407" s="4" t="s">
        <v>750</v>
      </c>
      <c r="C407" s="4" t="s">
        <v>283</v>
      </c>
      <c r="D407" s="94">
        <v>1134.0</v>
      </c>
    </row>
    <row r="408">
      <c r="A408" s="40">
        <f t="array" ref="A408">IFNA(index(PlayerValues!A:A,match(IFNA(vlookup(B408,'Special Names'!A:B,2,FALSE),B408),PlayerValues!E:E,0)),"N/A")</f>
        <v>14845</v>
      </c>
      <c r="B408" s="4" t="s">
        <v>717</v>
      </c>
      <c r="C408" s="4" t="s">
        <v>287</v>
      </c>
      <c r="D408" s="94">
        <v>1133.0</v>
      </c>
    </row>
    <row r="409">
      <c r="A409" s="40">
        <f t="array" ref="A409">IFNA(index(PlayerValues!A:A,match(IFNA(vlookup(B409,'Special Names'!A:B,2,FALSE),B409),PlayerValues!E:E,0)),"N/A")</f>
        <v>16221</v>
      </c>
      <c r="B409" s="4" t="s">
        <v>725</v>
      </c>
      <c r="C409" s="4" t="s">
        <v>298</v>
      </c>
      <c r="D409" s="94">
        <v>1500.0</v>
      </c>
    </row>
    <row r="410">
      <c r="A410" s="40">
        <f t="array" ref="A410">IFNA(index(PlayerValues!A:A,match(IFNA(vlookup(B410,'Special Names'!A:B,2,FALSE),B410),PlayerValues!E:E,0)),"N/A")</f>
        <v>17109</v>
      </c>
      <c r="B410" s="4" t="s">
        <v>707</v>
      </c>
      <c r="C410" s="4" t="s">
        <v>298</v>
      </c>
      <c r="D410" s="94">
        <v>1490.0</v>
      </c>
    </row>
    <row r="411">
      <c r="A411" s="40">
        <f t="array" ref="A411">IFNA(index(PlayerValues!A:A,match(IFNA(vlookup(B411,'Special Names'!A:B,2,FALSE),B411),PlayerValues!E:E,0)),"N/A")</f>
        <v>13289</v>
      </c>
      <c r="B411" s="4" t="s">
        <v>746</v>
      </c>
      <c r="C411" s="4" t="s">
        <v>287</v>
      </c>
      <c r="D411" s="94">
        <v>1117.0</v>
      </c>
    </row>
    <row r="412">
      <c r="A412" s="40">
        <f t="array" ref="A412">IFNA(index(PlayerValues!A:A,match(IFNA(vlookup(B412,'Special Names'!A:B,2,FALSE),B412),PlayerValues!E:E,0)),"N/A")</f>
        <v>16333</v>
      </c>
      <c r="B412" s="4" t="s">
        <v>711</v>
      </c>
      <c r="C412" s="4" t="s">
        <v>298</v>
      </c>
      <c r="D412" s="94">
        <v>1481.0</v>
      </c>
    </row>
    <row r="413">
      <c r="A413" s="40">
        <f t="array" ref="A413">IFNA(index(PlayerValues!A:A,match(IFNA(vlookup(B413,'Special Names'!A:B,2,FALSE),B413),PlayerValues!E:E,0)),"N/A")</f>
        <v>15239</v>
      </c>
      <c r="B413" s="4" t="s">
        <v>802</v>
      </c>
      <c r="C413" s="4" t="s">
        <v>283</v>
      </c>
      <c r="D413" s="94">
        <v>1113.0</v>
      </c>
    </row>
    <row r="414">
      <c r="A414" s="40">
        <f t="array" ref="A414">IFNA(index(PlayerValues!A:A,match(IFNA(vlookup(B414,'Special Names'!A:B,2,FALSE),B414),PlayerValues!E:E,0)),"N/A")</f>
        <v>17192</v>
      </c>
      <c r="B414" s="4" t="s">
        <v>677</v>
      </c>
      <c r="C414" s="4" t="s">
        <v>287</v>
      </c>
      <c r="D414" s="94">
        <v>1104.0</v>
      </c>
    </row>
    <row r="415">
      <c r="A415" s="40">
        <f t="array" ref="A415">IFNA(index(PlayerValues!A:A,match(IFNA(vlookup(B415,'Special Names'!A:B,2,FALSE),B415),PlayerValues!E:E,0)),"N/A")</f>
        <v>15288</v>
      </c>
      <c r="B415" s="4" t="s">
        <v>700</v>
      </c>
      <c r="C415" s="4" t="s">
        <v>287</v>
      </c>
      <c r="D415" s="94">
        <v>1102.0</v>
      </c>
    </row>
    <row r="416">
      <c r="A416" s="40">
        <f t="array" ref="A416">IFNA(index(PlayerValues!A:A,match(IFNA(vlookup(B416,'Special Names'!A:B,2,FALSE),B416),PlayerValues!E:E,0)),"N/A")</f>
        <v>16384</v>
      </c>
      <c r="B416" s="4" t="s">
        <v>696</v>
      </c>
      <c r="C416" s="4" t="s">
        <v>283</v>
      </c>
      <c r="D416" s="94">
        <v>1098.0</v>
      </c>
    </row>
    <row r="417">
      <c r="A417" s="40">
        <f t="array" ref="A417">IFNA(index(PlayerValues!A:A,match(IFNA(vlookup(B417,'Special Names'!A:B,2,FALSE),B417),PlayerValues!E:E,0)),"N/A")</f>
        <v>17175</v>
      </c>
      <c r="B417" s="4" t="s">
        <v>747</v>
      </c>
      <c r="C417" s="4" t="s">
        <v>287</v>
      </c>
      <c r="D417" s="94">
        <v>1091.0</v>
      </c>
    </row>
    <row r="418">
      <c r="A418" s="40">
        <f t="array" ref="A418">IFNA(index(PlayerValues!A:A,match(IFNA(vlookup(B418,'Special Names'!A:B,2,FALSE),B418),PlayerValues!E:E,0)),"N/A")</f>
        <v>15717</v>
      </c>
      <c r="B418" s="4" t="s">
        <v>745</v>
      </c>
      <c r="C418" s="4" t="s">
        <v>278</v>
      </c>
      <c r="D418" s="94">
        <v>1083.0</v>
      </c>
    </row>
    <row r="419">
      <c r="A419" s="40">
        <f t="array" ref="A419">IFNA(index(PlayerValues!A:A,match(IFNA(vlookup(B419,'Special Names'!A:B,2,FALSE),B419),PlayerValues!E:E,0)),"N/A")</f>
        <v>15718</v>
      </c>
      <c r="B419" s="4" t="s">
        <v>753</v>
      </c>
      <c r="C419" s="4" t="s">
        <v>278</v>
      </c>
      <c r="D419" s="94">
        <v>1079.0</v>
      </c>
    </row>
    <row r="420">
      <c r="A420" s="40">
        <f t="array" ref="A420">IFNA(index(PlayerValues!A:A,match(IFNA(vlookup(B420,'Special Names'!A:B,2,FALSE),B420),PlayerValues!E:E,0)),"N/A")</f>
        <v>16197</v>
      </c>
      <c r="B420" s="4" t="s">
        <v>726</v>
      </c>
      <c r="C420" s="4" t="s">
        <v>287</v>
      </c>
      <c r="D420" s="94">
        <v>1073.0</v>
      </c>
    </row>
    <row r="421">
      <c r="A421" s="40">
        <f t="array" ref="A421">IFNA(index(PlayerValues!A:A,match(IFNA(vlookup(B421,'Special Names'!A:B,2,FALSE),B421),PlayerValues!E:E,0)),"N/A")</f>
        <v>16219</v>
      </c>
      <c r="B421" s="4" t="s">
        <v>739</v>
      </c>
      <c r="C421" s="4" t="s">
        <v>298</v>
      </c>
      <c r="D421" s="94">
        <v>1439.0</v>
      </c>
    </row>
    <row r="422">
      <c r="A422" s="40">
        <f t="array" ref="A422">IFNA(index(PlayerValues!A:A,match(IFNA(vlookup(B422,'Special Names'!A:B,2,FALSE),B422),PlayerValues!E:E,0)),"N/A")</f>
        <v>13610</v>
      </c>
      <c r="B422" s="4" t="s">
        <v>825</v>
      </c>
      <c r="C422" s="4" t="s">
        <v>278</v>
      </c>
      <c r="D422" s="94">
        <v>1069.0</v>
      </c>
    </row>
    <row r="423">
      <c r="A423" s="40">
        <f t="array" ref="A423">IFNA(index(PlayerValues!A:A,match(IFNA(vlookup(B423,'Special Names'!A:B,2,FALSE),B423),PlayerValues!E:E,0)),"N/A")</f>
        <v>15730</v>
      </c>
      <c r="B423" s="4" t="s">
        <v>734</v>
      </c>
      <c r="C423" s="4" t="s">
        <v>278</v>
      </c>
      <c r="D423" s="94">
        <v>1069.0</v>
      </c>
    </row>
    <row r="424">
      <c r="A424" s="40">
        <f t="array" ref="A424">IFNA(index(PlayerValues!A:A,match(IFNA(vlookup(B424,'Special Names'!A:B,2,FALSE),B424),PlayerValues!E:E,0)),"N/A")</f>
        <v>16387</v>
      </c>
      <c r="B424" s="4" t="s">
        <v>646</v>
      </c>
      <c r="C424" s="4" t="s">
        <v>278</v>
      </c>
      <c r="D424" s="94">
        <v>1056.0</v>
      </c>
    </row>
    <row r="425">
      <c r="A425" s="40">
        <f t="array" ref="A425">IFNA(index(PlayerValues!A:A,match(IFNA(vlookup(B425,'Special Names'!A:B,2,FALSE),B425),PlayerValues!E:E,0)),"N/A")</f>
        <v>16640</v>
      </c>
      <c r="B425" s="4" t="s">
        <v>712</v>
      </c>
      <c r="C425" s="4" t="s">
        <v>287</v>
      </c>
      <c r="D425" s="94">
        <v>1055.0</v>
      </c>
    </row>
    <row r="426">
      <c r="A426" s="40">
        <f t="array" ref="A426">IFNA(index(PlayerValues!A:A,match(IFNA(vlookup(B426,'Special Names'!A:B,2,FALSE),B426),PlayerValues!E:E,0)),"N/A")</f>
        <v>14849</v>
      </c>
      <c r="B426" s="4" t="s">
        <v>733</v>
      </c>
      <c r="C426" s="4" t="s">
        <v>287</v>
      </c>
      <c r="D426" s="94">
        <v>1042.0</v>
      </c>
    </row>
    <row r="427">
      <c r="A427" s="40">
        <f t="array" ref="A427">IFNA(index(PlayerValues!A:A,match(IFNA(vlookup(B427,'Special Names'!A:B,2,FALSE),B427),PlayerValues!E:E,0)),"N/A")</f>
        <v>14118</v>
      </c>
      <c r="B427" s="4" t="s">
        <v>771</v>
      </c>
      <c r="C427" s="4" t="s">
        <v>287</v>
      </c>
      <c r="D427" s="94">
        <v>1038.0</v>
      </c>
    </row>
    <row r="428">
      <c r="A428" s="40">
        <f t="array" ref="A428">IFNA(index(PlayerValues!A:A,match(IFNA(vlookup(B428,'Special Names'!A:B,2,FALSE),B428),PlayerValues!E:E,0)),"N/A")</f>
        <v>15720</v>
      </c>
      <c r="B428" s="4" t="s">
        <v>795</v>
      </c>
      <c r="C428" s="4" t="s">
        <v>278</v>
      </c>
      <c r="D428" s="94">
        <v>1033.0</v>
      </c>
    </row>
    <row r="429">
      <c r="A429" s="40">
        <f t="array" ref="A429">IFNA(index(PlayerValues!A:A,match(IFNA(vlookup(B429,'Special Names'!A:B,2,FALSE),B429),PlayerValues!E:E,0)),"N/A")</f>
        <v>15693</v>
      </c>
      <c r="B429" s="4" t="s">
        <v>755</v>
      </c>
      <c r="C429" s="4" t="s">
        <v>283</v>
      </c>
      <c r="D429" s="94">
        <v>1029.0</v>
      </c>
    </row>
    <row r="430">
      <c r="A430" s="40">
        <f t="array" ref="A430">IFNA(index(PlayerValues!A:A,match(IFNA(vlookup(B430,'Special Names'!A:B,2,FALSE),B430),PlayerValues!E:E,0)),"N/A")</f>
        <v>15785</v>
      </c>
      <c r="B430" s="4" t="s">
        <v>763</v>
      </c>
      <c r="C430" s="4" t="s">
        <v>287</v>
      </c>
      <c r="D430" s="94">
        <v>1027.0</v>
      </c>
    </row>
    <row r="431">
      <c r="A431" s="40">
        <f t="array" ref="A431">IFNA(index(PlayerValues!A:A,match(IFNA(vlookup(B431,'Special Names'!A:B,2,FALSE),B431),PlayerValues!E:E,0)),"N/A")</f>
        <v>13143</v>
      </c>
      <c r="B431" s="4" t="s">
        <v>786</v>
      </c>
      <c r="C431" s="4" t="s">
        <v>278</v>
      </c>
      <c r="D431" s="94">
        <v>1024.0</v>
      </c>
    </row>
    <row r="432">
      <c r="A432" s="40">
        <f t="array" ref="A432">IFNA(index(PlayerValues!A:A,match(IFNA(vlookup(B432,'Special Names'!A:B,2,FALSE),B432),PlayerValues!E:E,0)),"N/A")</f>
        <v>15626</v>
      </c>
      <c r="B432" s="4" t="s">
        <v>766</v>
      </c>
      <c r="C432" s="4" t="s">
        <v>298</v>
      </c>
      <c r="D432" s="94">
        <v>1389.0</v>
      </c>
    </row>
    <row r="433">
      <c r="A433" s="40">
        <f t="array" ref="A433">IFNA(index(PlayerValues!A:A,match(IFNA(vlookup(B433,'Special Names'!A:B,2,FALSE),B433),PlayerValues!E:E,0)),"N/A")</f>
        <v>16637</v>
      </c>
      <c r="B433" s="4" t="s">
        <v>736</v>
      </c>
      <c r="C433" s="4" t="s">
        <v>287</v>
      </c>
      <c r="D433" s="94">
        <v>1014.0</v>
      </c>
    </row>
    <row r="434">
      <c r="A434" s="40">
        <f t="array" ref="A434">IFNA(index(PlayerValues!A:A,match(IFNA(vlookup(B434,'Special Names'!A:B,2,FALSE),B434),PlayerValues!E:E,0)),"N/A")</f>
        <v>15283</v>
      </c>
      <c r="B434" s="4" t="s">
        <v>844</v>
      </c>
      <c r="C434" s="4" t="s">
        <v>287</v>
      </c>
      <c r="D434" s="94">
        <v>1006.0</v>
      </c>
    </row>
    <row r="435">
      <c r="A435" s="40">
        <f t="array" ref="A435">IFNA(index(PlayerValues!A:A,match(IFNA(vlookup(B435,'Special Names'!A:B,2,FALSE),B435),PlayerValues!E:E,0)),"N/A")</f>
        <v>17057</v>
      </c>
      <c r="B435" s="4" t="s">
        <v>708</v>
      </c>
      <c r="C435" s="4" t="s">
        <v>278</v>
      </c>
      <c r="D435" s="94">
        <v>1005.0</v>
      </c>
    </row>
    <row r="436">
      <c r="A436" s="40">
        <f t="array" ref="A436">IFNA(index(PlayerValues!A:A,match(IFNA(vlookup(B436,'Special Names'!A:B,2,FALSE),B436),PlayerValues!E:E,0)),"N/A")</f>
        <v>17467</v>
      </c>
      <c r="B436" s="4" t="s">
        <v>575</v>
      </c>
      <c r="C436" s="4" t="s">
        <v>283</v>
      </c>
      <c r="D436" s="94">
        <v>1003.0</v>
      </c>
    </row>
    <row r="437">
      <c r="A437" s="40">
        <f t="array" ref="A437">IFNA(index(PlayerValues!A:A,match(IFNA(vlookup(B437,'Special Names'!A:B,2,FALSE),B437),PlayerValues!E:E,0)),"N/A")</f>
        <v>16168</v>
      </c>
      <c r="B437" s="4" t="s">
        <v>738</v>
      </c>
      <c r="C437" s="4" t="s">
        <v>278</v>
      </c>
      <c r="D437" s="94">
        <v>1000.0</v>
      </c>
    </row>
    <row r="438">
      <c r="A438" s="40">
        <f t="array" ref="A438">IFNA(index(PlayerValues!A:A,match(IFNA(vlookup(B438,'Special Names'!A:B,2,FALSE),B438),PlayerValues!E:E,0)),"N/A")</f>
        <v>16393</v>
      </c>
      <c r="B438" s="4" t="s">
        <v>768</v>
      </c>
      <c r="C438" s="4" t="s">
        <v>287</v>
      </c>
      <c r="D438" s="94">
        <v>998.0</v>
      </c>
    </row>
    <row r="439">
      <c r="A439" s="40">
        <f t="array" ref="A439">IFNA(index(PlayerValues!A:A,match(IFNA(vlookup(B439,'Special Names'!A:B,2,FALSE),B439),PlayerValues!E:E,0)),"N/A")</f>
        <v>16648</v>
      </c>
      <c r="B439" s="4" t="s">
        <v>748</v>
      </c>
      <c r="C439" s="4" t="s">
        <v>298</v>
      </c>
      <c r="D439" s="94">
        <v>1366.0</v>
      </c>
    </row>
    <row r="440">
      <c r="A440" s="40">
        <f t="array" ref="A440">IFNA(index(PlayerValues!A:A,match(IFNA(vlookup(B440,'Special Names'!A:B,2,FALSE),B440),PlayerValues!E:E,0)),"N/A")</f>
        <v>16159</v>
      </c>
      <c r="B440" s="4" t="s">
        <v>819</v>
      </c>
      <c r="C440" s="4" t="s">
        <v>283</v>
      </c>
      <c r="D440" s="94">
        <v>993.0</v>
      </c>
    </row>
    <row r="441">
      <c r="A441" s="40">
        <f t="array" ref="A441">IFNA(index(PlayerValues!A:A,match(IFNA(vlookup(B441,'Special Names'!A:B,2,FALSE),B441),PlayerValues!E:E,0)),"N/A")</f>
        <v>16858</v>
      </c>
      <c r="B441" s="4" t="s">
        <v>754</v>
      </c>
      <c r="C441" s="4" t="s">
        <v>287</v>
      </c>
      <c r="D441" s="94">
        <v>990.0</v>
      </c>
    </row>
    <row r="442">
      <c r="A442" s="40">
        <f t="array" ref="A442">IFNA(index(PlayerValues!A:A,match(IFNA(vlookup(B442,'Special Names'!A:B,2,FALSE),B442),PlayerValues!E:E,0)),"N/A")</f>
        <v>15330</v>
      </c>
      <c r="B442" s="4" t="s">
        <v>749</v>
      </c>
      <c r="C442" s="4" t="s">
        <v>298</v>
      </c>
      <c r="D442" s="94">
        <v>1354.0</v>
      </c>
    </row>
    <row r="443">
      <c r="A443" s="40">
        <f t="array" ref="A443">IFNA(index(PlayerValues!A:A,match(IFNA(vlookup(B443,'Special Names'!A:B,2,FALSE),B443),PlayerValues!E:E,0)),"N/A")</f>
        <v>16957</v>
      </c>
      <c r="B443" s="4" t="s">
        <v>806</v>
      </c>
      <c r="C443" s="4" t="s">
        <v>278</v>
      </c>
      <c r="D443" s="94">
        <v>961.0</v>
      </c>
    </row>
    <row r="444">
      <c r="A444" s="40">
        <f t="array" ref="A444">IFNA(index(PlayerValues!A:A,match(IFNA(vlookup(B444,'Special Names'!A:B,2,FALSE),B444),PlayerValues!E:E,0)),"N/A")</f>
        <v>9064</v>
      </c>
      <c r="B444" s="4" t="s">
        <v>761</v>
      </c>
      <c r="C444" s="4" t="s">
        <v>283</v>
      </c>
      <c r="D444" s="94">
        <v>950.0</v>
      </c>
    </row>
    <row r="445">
      <c r="A445" s="40">
        <f t="array" ref="A445">IFNA(index(PlayerValues!A:A,match(IFNA(vlookup(B445,'Special Names'!A:B,2,FALSE),B445),PlayerValues!E:E,0)),"N/A")</f>
        <v>14067</v>
      </c>
      <c r="B445" s="4" t="s">
        <v>735</v>
      </c>
      <c r="C445" s="4" t="s">
        <v>283</v>
      </c>
      <c r="D445" s="94">
        <v>947.0</v>
      </c>
    </row>
    <row r="446">
      <c r="A446" s="40">
        <f t="array" ref="A446">IFNA(index(PlayerValues!A:A,match(IFNA(vlookup(B446,'Special Names'!A:B,2,FALSE),B446),PlayerValues!E:E,0)),"N/A")</f>
        <v>15766</v>
      </c>
      <c r="B446" s="4" t="s">
        <v>759</v>
      </c>
      <c r="C446" s="4" t="s">
        <v>287</v>
      </c>
      <c r="D446" s="94">
        <v>946.0</v>
      </c>
    </row>
    <row r="447">
      <c r="A447" s="40">
        <f t="array" ref="A447">IFNA(index(PlayerValues!A:A,match(IFNA(vlookup(B447,'Special Names'!A:B,2,FALSE),B447),PlayerValues!E:E,0)),"N/A")</f>
        <v>14852</v>
      </c>
      <c r="B447" s="4" t="s">
        <v>837</v>
      </c>
      <c r="C447" s="4" t="s">
        <v>278</v>
      </c>
      <c r="D447" s="94">
        <v>945.0</v>
      </c>
    </row>
    <row r="448">
      <c r="A448" s="40">
        <f t="array" ref="A448">IFNA(index(PlayerValues!A:A,match(IFNA(vlookup(B448,'Special Names'!A:B,2,FALSE),B448),PlayerValues!E:E,0)),"N/A")</f>
        <v>16205</v>
      </c>
      <c r="B448" s="4" t="s">
        <v>742</v>
      </c>
      <c r="C448" s="4" t="s">
        <v>287</v>
      </c>
      <c r="D448" s="94">
        <v>945.0</v>
      </c>
    </row>
    <row r="449">
      <c r="A449" s="40">
        <f t="array" ref="A449">IFNA(index(PlayerValues!A:A,match(IFNA(vlookup(B449,'Special Names'!A:B,2,FALSE),B449),PlayerValues!E:E,0)),"N/A")</f>
        <v>17337</v>
      </c>
      <c r="B449" s="4" t="s">
        <v>793</v>
      </c>
      <c r="C449" s="4" t="s">
        <v>278</v>
      </c>
      <c r="D449" s="94">
        <v>942.0</v>
      </c>
    </row>
    <row r="450">
      <c r="A450" s="40">
        <f t="array" ref="A450">IFNA(index(PlayerValues!A:A,match(IFNA(vlookup(B450,'Special Names'!A:B,2,FALSE),B450),PlayerValues!E:E,0)),"N/A")</f>
        <v>13156</v>
      </c>
      <c r="B450" s="4" t="s">
        <v>835</v>
      </c>
      <c r="C450" s="4" t="s">
        <v>287</v>
      </c>
      <c r="D450" s="94">
        <v>938.0</v>
      </c>
    </row>
    <row r="451">
      <c r="A451" s="40">
        <f t="array" ref="A451">IFNA(index(PlayerValues!A:A,match(IFNA(vlookup(B451,'Special Names'!A:B,2,FALSE),B451),PlayerValues!E:E,0)),"N/A")</f>
        <v>13133</v>
      </c>
      <c r="B451" s="4" t="s">
        <v>764</v>
      </c>
      <c r="C451" s="4" t="s">
        <v>278</v>
      </c>
      <c r="D451" s="94">
        <v>937.0</v>
      </c>
    </row>
    <row r="452">
      <c r="A452" s="40">
        <f t="array" ref="A452">IFNA(index(PlayerValues!A:A,match(IFNA(vlookup(B452,'Special Names'!A:B,2,FALSE),B452),PlayerValues!E:E,0)),"N/A")</f>
        <v>14864</v>
      </c>
      <c r="B452" s="4" t="s">
        <v>789</v>
      </c>
      <c r="C452" s="4" t="s">
        <v>287</v>
      </c>
      <c r="D452" s="94">
        <v>932.0</v>
      </c>
    </row>
    <row r="453">
      <c r="A453" s="40">
        <f t="array" ref="A453">IFNA(index(PlayerValues!A:A,match(IFNA(vlookup(B453,'Special Names'!A:B,2,FALSE),B453),PlayerValues!E:E,0)),"N/A")</f>
        <v>14057</v>
      </c>
      <c r="B453" s="4" t="s">
        <v>765</v>
      </c>
      <c r="C453" s="4" t="s">
        <v>283</v>
      </c>
      <c r="D453" s="94">
        <v>929.0</v>
      </c>
    </row>
    <row r="454">
      <c r="A454" s="40">
        <f t="array" ref="A454">IFNA(index(PlayerValues!A:A,match(IFNA(vlookup(B454,'Special Names'!A:B,2,FALSE),B454),PlayerValues!E:E,0)),"N/A")</f>
        <v>13595</v>
      </c>
      <c r="B454" s="4" t="s">
        <v>818</v>
      </c>
      <c r="C454" s="4" t="s">
        <v>283</v>
      </c>
      <c r="D454" s="94">
        <v>929.0</v>
      </c>
    </row>
    <row r="455">
      <c r="A455" s="40">
        <f t="array" ref="A455">IFNA(index(PlayerValues!A:A,match(IFNA(vlookup(B455,'Special Names'!A:B,2,FALSE),B455),PlayerValues!E:E,0)),"N/A")</f>
        <v>15109</v>
      </c>
      <c r="B455" s="4" t="s">
        <v>728</v>
      </c>
      <c r="C455" s="4" t="s">
        <v>287</v>
      </c>
      <c r="D455" s="94">
        <v>927.0</v>
      </c>
    </row>
    <row r="456">
      <c r="A456" s="40">
        <f t="array" ref="A456">IFNA(index(PlayerValues!A:A,match(IFNA(vlookup(B456,'Special Names'!A:B,2,FALSE),B456),PlayerValues!E:E,0)),"N/A")</f>
        <v>12785</v>
      </c>
      <c r="B456" s="4" t="s">
        <v>772</v>
      </c>
      <c r="C456" s="4" t="s">
        <v>287</v>
      </c>
      <c r="D456" s="94">
        <v>924.0</v>
      </c>
    </row>
    <row r="457">
      <c r="A457" s="40">
        <f t="array" ref="A457">IFNA(index(PlayerValues!A:A,match(IFNA(vlookup(B457,'Special Names'!A:B,2,FALSE),B457),PlayerValues!E:E,0)),"N/A")</f>
        <v>16624</v>
      </c>
      <c r="B457" s="4" t="s">
        <v>796</v>
      </c>
      <c r="C457" s="4" t="s">
        <v>287</v>
      </c>
      <c r="D457" s="94">
        <v>922.0</v>
      </c>
    </row>
    <row r="458">
      <c r="A458" s="40">
        <f t="array" ref="A458">IFNA(index(PlayerValues!A:A,match(IFNA(vlookup(B458,'Special Names'!A:B,2,FALSE),B458),PlayerValues!E:E,0)),"N/A")</f>
        <v>14079</v>
      </c>
      <c r="B458" s="4" t="s">
        <v>830</v>
      </c>
      <c r="C458" s="4" t="s">
        <v>278</v>
      </c>
      <c r="D458" s="94">
        <v>919.0</v>
      </c>
    </row>
    <row r="459">
      <c r="A459" s="40">
        <f t="array" ref="A459">IFNA(index(PlayerValues!A:A,match(IFNA(vlookup(B459,'Special Names'!A:B,2,FALSE),B459),PlayerValues!E:E,0)),"N/A")</f>
        <v>11247</v>
      </c>
      <c r="B459" s="4" t="s">
        <v>816</v>
      </c>
      <c r="C459" s="4" t="s">
        <v>298</v>
      </c>
      <c r="D459" s="94">
        <v>1280.0</v>
      </c>
    </row>
    <row r="460">
      <c r="A460" s="40">
        <f t="array" ref="A460">IFNA(index(PlayerValues!A:A,match(IFNA(vlookup(B460,'Special Names'!A:B,2,FALSE),B460),PlayerValues!E:E,0)),"N/A")</f>
        <v>16176</v>
      </c>
      <c r="B460" s="4" t="s">
        <v>812</v>
      </c>
      <c r="C460" s="4" t="s">
        <v>278</v>
      </c>
      <c r="D460" s="94">
        <v>907.0</v>
      </c>
    </row>
    <row r="461">
      <c r="A461" s="40">
        <f t="array" ref="A461">IFNA(index(PlayerValues!A:A,match(IFNA(vlookup(B461,'Special Names'!A:B,2,FALSE),B461),PlayerValues!E:E,0)),"N/A")</f>
        <v>17488</v>
      </c>
      <c r="B461" s="4" t="s">
        <v>845</v>
      </c>
      <c r="C461" s="4" t="s">
        <v>278</v>
      </c>
      <c r="D461" s="94">
        <v>907.0</v>
      </c>
    </row>
    <row r="462">
      <c r="A462" s="40">
        <f t="array" ref="A462">IFNA(index(PlayerValues!A:A,match(IFNA(vlookup(B462,'Special Names'!A:B,2,FALSE),B462),PlayerValues!E:E,0)),"N/A")</f>
        <v>15723</v>
      </c>
      <c r="B462" s="4" t="s">
        <v>798</v>
      </c>
      <c r="C462" s="4" t="s">
        <v>278</v>
      </c>
      <c r="D462" s="94">
        <v>904.0</v>
      </c>
    </row>
    <row r="463">
      <c r="A463" s="40">
        <f t="array" ref="A463">IFNA(index(PlayerValues!A:A,match(IFNA(vlookup(B463,'Special Names'!A:B,2,FALSE),B463),PlayerValues!E:E,0)),"N/A")</f>
        <v>16773</v>
      </c>
      <c r="B463" s="4" t="s">
        <v>783</v>
      </c>
      <c r="C463" s="4" t="s">
        <v>278</v>
      </c>
      <c r="D463" s="94">
        <v>900.0</v>
      </c>
    </row>
    <row r="464">
      <c r="A464" s="40">
        <f t="array" ref="A464">IFNA(index(PlayerValues!A:A,match(IFNA(vlookup(B464,'Special Names'!A:B,2,FALSE),B464),PlayerValues!E:E,0)),"N/A")</f>
        <v>13763</v>
      </c>
      <c r="B464" s="4" t="s">
        <v>831</v>
      </c>
      <c r="C464" s="4" t="s">
        <v>298</v>
      </c>
      <c r="D464" s="94">
        <v>1270.0</v>
      </c>
    </row>
    <row r="465">
      <c r="A465" s="40">
        <f t="array" ref="A465">IFNA(index(PlayerValues!A:A,match(IFNA(vlookup(B465,'Special Names'!A:B,2,FALSE),B465),PlayerValues!E:E,0)),"N/A")</f>
        <v>16599</v>
      </c>
      <c r="B465" s="4" t="s">
        <v>737</v>
      </c>
      <c r="C465" s="4" t="s">
        <v>278</v>
      </c>
      <c r="D465" s="94">
        <v>894.0</v>
      </c>
    </row>
    <row r="466">
      <c r="A466" s="40">
        <f t="array" ref="A466">IFNA(index(PlayerValues!A:A,match(IFNA(vlookup(B466,'Special Names'!A:B,2,FALSE),B466),PlayerValues!E:E,0)),"N/A")</f>
        <v>11232</v>
      </c>
      <c r="B466" s="4" t="s">
        <v>826</v>
      </c>
      <c r="C466" s="4" t="s">
        <v>287</v>
      </c>
      <c r="D466" s="94">
        <v>878.0</v>
      </c>
    </row>
    <row r="467">
      <c r="A467" s="40">
        <f t="array" ref="A467">IFNA(index(PlayerValues!A:A,match(IFNA(vlookup(B467,'Special Names'!A:B,2,FALSE),B467),PlayerValues!E:E,0)),"N/A")</f>
        <v>16686</v>
      </c>
      <c r="B467" s="4" t="s">
        <v>805</v>
      </c>
      <c r="C467" s="4" t="s">
        <v>287</v>
      </c>
      <c r="D467" s="94">
        <v>877.0</v>
      </c>
    </row>
    <row r="468">
      <c r="A468" s="40">
        <f t="array" ref="A468">IFNA(index(PlayerValues!A:A,match(IFNA(vlookup(B468,'Special Names'!A:B,2,FALSE),B468),PlayerValues!E:E,0)),"N/A")</f>
        <v>14799</v>
      </c>
      <c r="B468" s="4" t="s">
        <v>829</v>
      </c>
      <c r="C468" s="4" t="s">
        <v>278</v>
      </c>
      <c r="D468" s="94">
        <v>870.0</v>
      </c>
    </row>
    <row r="469">
      <c r="A469" s="40">
        <f t="array" ref="A469">IFNA(index(PlayerValues!A:A,match(IFNA(vlookup(B469,'Special Names'!A:B,2,FALSE),B469),PlayerValues!E:E,0)),"N/A")</f>
        <v>15796</v>
      </c>
      <c r="B469" s="4" t="s">
        <v>794</v>
      </c>
      <c r="C469" s="4" t="s">
        <v>298</v>
      </c>
      <c r="D469" s="94">
        <v>1242.0</v>
      </c>
    </row>
    <row r="470">
      <c r="A470" s="40">
        <f t="array" ref="A470">IFNA(index(PlayerValues!A:A,match(IFNA(vlookup(B470,'Special Names'!A:B,2,FALSE),B470),PlayerValues!E:E,0)),"N/A")</f>
        <v>15263</v>
      </c>
      <c r="B470" s="4" t="s">
        <v>804</v>
      </c>
      <c r="C470" s="4" t="s">
        <v>278</v>
      </c>
      <c r="D470" s="94">
        <v>869.0</v>
      </c>
    </row>
    <row r="471">
      <c r="A471" s="40">
        <f t="array" ref="A471">IFNA(index(PlayerValues!A:A,match(IFNA(vlookup(B471,'Special Names'!A:B,2,FALSE),B471),PlayerValues!E:E,0)),"N/A")</f>
        <v>16416</v>
      </c>
      <c r="B471" s="4" t="s">
        <v>752</v>
      </c>
      <c r="C471" s="4" t="s">
        <v>287</v>
      </c>
      <c r="D471" s="94">
        <v>869.0</v>
      </c>
    </row>
    <row r="472">
      <c r="A472" s="40">
        <f t="array" ref="A472">IFNA(index(PlayerValues!A:A,match(IFNA(vlookup(B472,'Special Names'!A:B,2,FALSE),B472),PlayerValues!E:E,0)),"N/A")</f>
        <v>13157</v>
      </c>
      <c r="B472" s="4" t="s">
        <v>836</v>
      </c>
      <c r="C472" s="4" t="s">
        <v>287</v>
      </c>
      <c r="D472" s="94">
        <v>868.0</v>
      </c>
    </row>
    <row r="473">
      <c r="A473" s="40">
        <f t="array" ref="A473">IFNA(index(PlayerValues!A:A,match(IFNA(vlookup(B473,'Special Names'!A:B,2,FALSE),B473),PlayerValues!E:E,0)),"N/A")</f>
        <v>16608</v>
      </c>
      <c r="B473" s="4" t="s">
        <v>629</v>
      </c>
      <c r="C473" s="4" t="s">
        <v>278</v>
      </c>
      <c r="D473" s="94">
        <v>860.0</v>
      </c>
    </row>
    <row r="474">
      <c r="A474" s="40">
        <f t="array" ref="A474">IFNA(index(PlayerValues!A:A,match(IFNA(vlookup(B474,'Special Names'!A:B,2,FALSE),B474),PlayerValues!E:E,0)),"N/A")</f>
        <v>16751</v>
      </c>
      <c r="B474" s="4" t="s">
        <v>762</v>
      </c>
      <c r="C474" s="4" t="s">
        <v>287</v>
      </c>
      <c r="D474" s="94">
        <v>859.0</v>
      </c>
    </row>
    <row r="475">
      <c r="A475" s="40">
        <f t="array" ref="A475">IFNA(index(PlayerValues!A:A,match(IFNA(vlookup(B475,'Special Names'!A:B,2,FALSE),B475),PlayerValues!E:E,0)),"N/A")</f>
        <v>15714</v>
      </c>
      <c r="B475" s="4" t="s">
        <v>775</v>
      </c>
      <c r="C475" s="4" t="s">
        <v>278</v>
      </c>
      <c r="D475" s="94">
        <v>855.0</v>
      </c>
    </row>
    <row r="476">
      <c r="A476" s="40">
        <f t="array" ref="A476">IFNA(index(PlayerValues!A:A,match(IFNA(vlookup(B476,'Special Names'!A:B,2,FALSE),B476),PlayerValues!E:E,0)),"N/A")</f>
        <v>15804</v>
      </c>
      <c r="B476" s="4" t="s">
        <v>821</v>
      </c>
      <c r="C476" s="4" t="s">
        <v>298</v>
      </c>
      <c r="D476" s="94">
        <v>1226.0</v>
      </c>
    </row>
    <row r="477">
      <c r="A477" s="40">
        <f t="array" ref="A477">IFNA(index(PlayerValues!A:A,match(IFNA(vlookup(B477,'Special Names'!A:B,2,FALSE),B477),PlayerValues!E:E,0)),"N/A")</f>
        <v>16623</v>
      </c>
      <c r="B477" s="4" t="s">
        <v>803</v>
      </c>
      <c r="C477" s="4" t="s">
        <v>287</v>
      </c>
      <c r="D477" s="94">
        <v>847.0</v>
      </c>
    </row>
    <row r="478">
      <c r="A478" s="40">
        <f t="array" ref="A478">IFNA(index(PlayerValues!A:A,match(IFNA(vlookup(B478,'Special Names'!A:B,2,FALSE),B478),PlayerValues!E:E,0)),"N/A")</f>
        <v>13172</v>
      </c>
      <c r="B478" s="4" t="s">
        <v>840</v>
      </c>
      <c r="C478" s="4" t="s">
        <v>287</v>
      </c>
      <c r="D478" s="94">
        <v>845.0</v>
      </c>
    </row>
    <row r="479">
      <c r="A479" s="40">
        <f t="array" ref="A479">IFNA(index(PlayerValues!A:A,match(IFNA(vlookup(B479,'Special Names'!A:B,2,FALSE),B479),PlayerValues!E:E,0)),"N/A")</f>
        <v>15795</v>
      </c>
      <c r="B479" s="4" t="s">
        <v>669</v>
      </c>
      <c r="C479" s="4" t="s">
        <v>298</v>
      </c>
      <c r="D479" s="94">
        <v>1209.0</v>
      </c>
    </row>
    <row r="480">
      <c r="A480" s="40">
        <f t="array" ref="A480">IFNA(index(PlayerValues!A:A,match(IFNA(vlookup(B480,'Special Names'!A:B,2,FALSE),B480),PlayerValues!E:E,0)),"N/A")</f>
        <v>16625</v>
      </c>
      <c r="B480" s="4" t="s">
        <v>778</v>
      </c>
      <c r="C480" s="4" t="s">
        <v>287</v>
      </c>
      <c r="D480" s="94">
        <v>830.0</v>
      </c>
    </row>
    <row r="481">
      <c r="A481" s="40">
        <f t="array" ref="A481">IFNA(index(PlayerValues!A:A,match(IFNA(vlookup(B481,'Special Names'!A:B,2,FALSE),B481),PlayerValues!E:E,0)),"N/A")</f>
        <v>14209</v>
      </c>
      <c r="B481" s="4" t="s">
        <v>809</v>
      </c>
      <c r="C481" s="4" t="s">
        <v>298</v>
      </c>
      <c r="D481" s="94">
        <v>1198.0</v>
      </c>
    </row>
    <row r="482">
      <c r="A482" s="40">
        <f t="array" ref="A482">IFNA(index(PlayerValues!A:A,match(IFNA(vlookup(B482,'Special Names'!A:B,2,FALSE),B482),PlayerValues!E:E,0)),"N/A")</f>
        <v>15271</v>
      </c>
      <c r="B482" s="4" t="s">
        <v>741</v>
      </c>
      <c r="C482" s="4" t="s">
        <v>278</v>
      </c>
      <c r="D482" s="94">
        <v>810.0</v>
      </c>
    </row>
    <row r="483">
      <c r="A483" s="40">
        <f t="array" ref="A483">IFNA(index(PlayerValues!A:A,match(IFNA(vlookup(B483,'Special Names'!A:B,2,FALSE),B483),PlayerValues!E:E,0)),"N/A")</f>
        <v>10413</v>
      </c>
      <c r="B483" s="4" t="s">
        <v>811</v>
      </c>
      <c r="C483" s="4" t="s">
        <v>283</v>
      </c>
      <c r="D483" s="94">
        <v>808.0</v>
      </c>
    </row>
    <row r="484">
      <c r="A484" s="40">
        <f t="array" ref="A484">IFNA(index(PlayerValues!A:A,match(IFNA(vlookup(B484,'Special Names'!A:B,2,FALSE),B484),PlayerValues!E:E,0)),"N/A")</f>
        <v>12658</v>
      </c>
      <c r="B484" s="4" t="s">
        <v>823</v>
      </c>
      <c r="C484" s="4" t="s">
        <v>287</v>
      </c>
      <c r="D484" s="94">
        <v>807.0</v>
      </c>
    </row>
    <row r="485">
      <c r="A485" s="40">
        <f t="array" ref="A485">IFNA(index(PlayerValues!A:A,match(IFNA(vlookup(B485,'Special Names'!A:B,2,FALSE),B485),PlayerValues!E:E,0)),"N/A")</f>
        <v>16606</v>
      </c>
      <c r="B485" s="4" t="s">
        <v>743</v>
      </c>
      <c r="C485" s="4" t="s">
        <v>278</v>
      </c>
      <c r="D485" s="94">
        <v>800.0</v>
      </c>
    </row>
    <row r="486">
      <c r="A486" s="40">
        <f t="array" ref="A486">IFNA(index(PlayerValues!A:A,match(IFNA(vlookup(B486,'Special Names'!A:B,2,FALSE),B486),PlayerValues!E:E,0)),"N/A")</f>
        <v>13176</v>
      </c>
      <c r="B486" s="4" t="s">
        <v>807</v>
      </c>
      <c r="C486" s="4" t="s">
        <v>287</v>
      </c>
      <c r="D486" s="94">
        <v>796.0</v>
      </c>
    </row>
    <row r="487">
      <c r="A487" s="40">
        <f t="array" ref="A487">IFNA(index(PlayerValues!A:A,match(IFNA(vlookup(B487,'Special Names'!A:B,2,FALSE),B487),PlayerValues!E:E,0)),"N/A")</f>
        <v>14358</v>
      </c>
      <c r="B487" s="4" t="s">
        <v>813</v>
      </c>
      <c r="C487" s="4" t="s">
        <v>283</v>
      </c>
      <c r="D487" s="94">
        <v>784.0</v>
      </c>
    </row>
    <row r="488">
      <c r="A488" s="40">
        <f t="array" ref="A488">IFNA(index(PlayerValues!A:A,match(IFNA(vlookup(B488,'Special Names'!A:B,2,FALSE),B488),PlayerValues!E:E,0)),"N/A")</f>
        <v>15285</v>
      </c>
      <c r="B488" s="4" t="s">
        <v>792</v>
      </c>
      <c r="C488" s="4" t="s">
        <v>287</v>
      </c>
      <c r="D488" s="94">
        <v>784.0</v>
      </c>
    </row>
    <row r="489">
      <c r="A489" s="40">
        <f t="array" ref="A489">IFNA(index(PlayerValues!A:A,match(IFNA(vlookup(B489,'Special Names'!A:B,2,FALSE),B489),PlayerValues!E:E,0)),"N/A")</f>
        <v>16413</v>
      </c>
      <c r="B489" s="4" t="s">
        <v>781</v>
      </c>
      <c r="C489" s="4" t="s">
        <v>287</v>
      </c>
      <c r="D489" s="94">
        <v>783.0</v>
      </c>
    </row>
    <row r="490">
      <c r="A490" s="40">
        <f t="array" ref="A490">IFNA(index(PlayerValues!A:A,match(IFNA(vlookup(B490,'Special Names'!A:B,2,FALSE),B490),PlayerValues!E:E,0)),"N/A")</f>
        <v>17282</v>
      </c>
      <c r="B490" s="4" t="s">
        <v>833</v>
      </c>
      <c r="C490" s="4" t="s">
        <v>283</v>
      </c>
      <c r="D490" s="94">
        <v>778.0</v>
      </c>
    </row>
    <row r="491">
      <c r="A491" s="40">
        <f t="array" ref="A491">IFNA(index(PlayerValues!A:A,match(IFNA(vlookup(B491,'Special Names'!A:B,2,FALSE),B491),PlayerValues!E:E,0)),"N/A")</f>
        <v>16632</v>
      </c>
      <c r="B491" s="4" t="s">
        <v>842</v>
      </c>
      <c r="C491" s="4" t="s">
        <v>287</v>
      </c>
      <c r="D491" s="94">
        <v>771.0</v>
      </c>
    </row>
    <row r="492">
      <c r="A492" s="40">
        <f t="array" ref="A492">IFNA(index(PlayerValues!A:A,match(IFNA(vlookup(B492,'Special Names'!A:B,2,FALSE),B492),PlayerValues!E:E,0)),"N/A")</f>
        <v>14805</v>
      </c>
      <c r="B492" s="4" t="s">
        <v>770</v>
      </c>
      <c r="C492" s="4" t="s">
        <v>278</v>
      </c>
      <c r="D492" s="94">
        <v>770.0</v>
      </c>
    </row>
    <row r="493">
      <c r="A493" s="40">
        <f t="array" ref="A493">IFNA(index(PlayerValues!A:A,match(IFNA(vlookup(B493,'Special Names'!A:B,2,FALSE),B493),PlayerValues!E:E,0)),"N/A")</f>
        <v>15965</v>
      </c>
      <c r="B493" s="4" t="s">
        <v>791</v>
      </c>
      <c r="C493" s="4" t="s">
        <v>278</v>
      </c>
      <c r="D493" s="94">
        <v>770.0</v>
      </c>
    </row>
    <row r="494">
      <c r="A494" s="40">
        <f t="array" ref="A494">IFNA(index(PlayerValues!A:A,match(IFNA(vlookup(B494,'Special Names'!A:B,2,FALSE),B494),PlayerValues!E:E,0)),"N/A")</f>
        <v>16678</v>
      </c>
      <c r="B494" s="4" t="s">
        <v>758</v>
      </c>
      <c r="C494" s="4" t="s">
        <v>278</v>
      </c>
      <c r="D494" s="94">
        <v>758.0</v>
      </c>
    </row>
    <row r="495">
      <c r="A495" s="40">
        <f t="array" ref="A495">IFNA(index(PlayerValues!A:A,match(IFNA(vlookup(B495,'Special Names'!A:B,2,FALSE),B495),PlayerValues!E:E,0)),"N/A")</f>
        <v>13424</v>
      </c>
      <c r="B495" s="4" t="s">
        <v>846</v>
      </c>
      <c r="C495" s="4" t="s">
        <v>298</v>
      </c>
      <c r="D495" s="94">
        <v>1116.0</v>
      </c>
    </row>
    <row r="496">
      <c r="A496" s="40">
        <f t="array" ref="A496">IFNA(index(PlayerValues!A:A,match(IFNA(vlookup(B496,'Special Names'!A:B,2,FALSE),B496),PlayerValues!E:E,0)),"N/A")</f>
        <v>14223</v>
      </c>
      <c r="B496" s="4" t="s">
        <v>785</v>
      </c>
      <c r="C496" s="4" t="s">
        <v>278</v>
      </c>
      <c r="D496" s="94">
        <v>744.0</v>
      </c>
    </row>
    <row r="497">
      <c r="A497" s="40">
        <f t="array" ref="A497">IFNA(index(PlayerValues!A:A,match(IFNA(vlookup(B497,'Special Names'!A:B,2,FALSE),B497),PlayerValues!E:E,0)),"N/A")</f>
        <v>13675</v>
      </c>
      <c r="B497" s="4" t="s">
        <v>839</v>
      </c>
      <c r="C497" s="4" t="s">
        <v>298</v>
      </c>
      <c r="D497" s="94">
        <v>1111.0</v>
      </c>
    </row>
    <row r="498">
      <c r="A498" s="40">
        <f t="array" ref="A498">IFNA(index(PlayerValues!A:A,match(IFNA(vlookup(B498,'Special Names'!A:B,2,FALSE),B498),PlayerValues!E:E,0)),"N/A")</f>
        <v>17232</v>
      </c>
      <c r="B498" s="4" t="s">
        <v>784</v>
      </c>
      <c r="C498" s="4" t="s">
        <v>287</v>
      </c>
      <c r="D498" s="94">
        <v>735.0</v>
      </c>
    </row>
    <row r="499">
      <c r="A499" s="40">
        <f t="array" ref="A499">IFNA(index(PlayerValues!A:A,match(IFNA(vlookup(B499,'Special Names'!A:B,2,FALSE),B499),PlayerValues!E:E,0)),"N/A")</f>
        <v>13377</v>
      </c>
      <c r="B499" s="4" t="s">
        <v>847</v>
      </c>
      <c r="C499" s="4" t="s">
        <v>287</v>
      </c>
      <c r="D499" s="94">
        <v>728.0</v>
      </c>
    </row>
    <row r="500">
      <c r="A500" s="40">
        <f t="array" ref="A500">IFNA(index(PlayerValues!A:A,match(IFNA(vlookup(B500,'Special Names'!A:B,2,FALSE),B500),PlayerValues!E:E,0)),"N/A")</f>
        <v>16170</v>
      </c>
      <c r="B500" s="4" t="s">
        <v>801</v>
      </c>
      <c r="C500" s="4" t="s">
        <v>278</v>
      </c>
      <c r="D500" s="94">
        <v>725.0</v>
      </c>
    </row>
    <row r="501">
      <c r="A501" s="40">
        <f t="array" ref="A501">IFNA(index(PlayerValues!A:A,match(IFNA(vlookup(B501,'Special Names'!A:B,2,FALSE),B501),PlayerValues!E:E,0)),"N/A")</f>
        <v>13589</v>
      </c>
      <c r="B501" s="4" t="s">
        <v>282</v>
      </c>
      <c r="C501" s="4" t="s">
        <v>283</v>
      </c>
      <c r="D501" s="94">
        <v>9997.0</v>
      </c>
    </row>
    <row r="502">
      <c r="A502" s="40">
        <f t="array" ref="A502">IFNA(index(PlayerValues!A:A,match(IFNA(vlookup(B502,'Special Names'!A:B,2,FALSE),B502),PlayerValues!E:E,0)),"N/A")</f>
        <v>16161</v>
      </c>
      <c r="B502" s="4" t="s">
        <v>277</v>
      </c>
      <c r="C502" s="4" t="s">
        <v>278</v>
      </c>
      <c r="D502" s="94">
        <v>9986.0</v>
      </c>
    </row>
    <row r="503">
      <c r="A503" s="40">
        <f t="array" ref="A503">IFNA(index(PlayerValues!A:A,match(IFNA(vlookup(B503,'Special Names'!A:B,2,FALSE),B503),PlayerValues!E:E,0)),"N/A")</f>
        <v>16185</v>
      </c>
      <c r="B503" s="4" t="s">
        <v>290</v>
      </c>
      <c r="C503" s="4" t="s">
        <v>287</v>
      </c>
      <c r="D503" s="94">
        <v>9963.0</v>
      </c>
    </row>
    <row r="504">
      <c r="A504" s="40">
        <f t="array" ref="A504">IFNA(index(PlayerValues!A:A,match(IFNA(vlookup(B504,'Special Names'!A:B,2,FALSE),B504),PlayerValues!E:E,0)),"N/A")</f>
        <v>15281</v>
      </c>
      <c r="B504" s="4" t="s">
        <v>286</v>
      </c>
      <c r="C504" s="4" t="s">
        <v>287</v>
      </c>
      <c r="D504" s="94">
        <v>9821.0</v>
      </c>
    </row>
    <row r="505">
      <c r="A505" s="40">
        <f t="array" ref="A505">IFNA(index(PlayerValues!A:A,match(IFNA(vlookup(B505,'Special Names'!A:B,2,FALSE),B505),PlayerValues!E:E,0)),"N/A")</f>
        <v>16580</v>
      </c>
      <c r="B505" s="4" t="s">
        <v>291</v>
      </c>
      <c r="C505" s="4" t="s">
        <v>283</v>
      </c>
      <c r="D505" s="94">
        <v>9714.0</v>
      </c>
    </row>
    <row r="506">
      <c r="A506" s="40">
        <f t="array" ref="A506">IFNA(index(PlayerValues!A:A,match(IFNA(vlookup(B506,'Special Names'!A:B,2,FALSE),B506),PlayerValues!E:E,0)),"N/A")</f>
        <v>16211</v>
      </c>
      <c r="B506" s="4" t="s">
        <v>294</v>
      </c>
      <c r="C506" s="4" t="s">
        <v>287</v>
      </c>
      <c r="D506" s="94">
        <v>9553.0</v>
      </c>
    </row>
    <row r="507">
      <c r="A507" s="40">
        <f t="array" ref="A507">IFNA(index(PlayerValues!A:A,match(IFNA(vlookup(B507,'Special Names'!A:B,2,FALSE),B507),PlayerValues!E:E,0)),"N/A")</f>
        <v>16162</v>
      </c>
      <c r="B507" s="4" t="s">
        <v>281</v>
      </c>
      <c r="C507" s="4" t="s">
        <v>278</v>
      </c>
      <c r="D507" s="94">
        <v>9419.0</v>
      </c>
    </row>
    <row r="508">
      <c r="A508" s="40">
        <f t="array" ref="A508">IFNA(index(PlayerValues!A:A,match(IFNA(vlookup(B508,'Special Names'!A:B,2,FALSE),B508),PlayerValues!E:E,0)),"N/A")</f>
        <v>16615</v>
      </c>
      <c r="B508" s="4" t="s">
        <v>309</v>
      </c>
      <c r="C508" s="4" t="s">
        <v>287</v>
      </c>
      <c r="D508" s="94">
        <v>7738.0</v>
      </c>
    </row>
    <row r="509">
      <c r="A509" s="40">
        <f t="array" ref="A509">IFNA(index(PlayerValues!A:A,match(IFNA(vlookup(B509,'Special Names'!A:B,2,FALSE),B509),PlayerValues!E:E,0)),"N/A")</f>
        <v>15794</v>
      </c>
      <c r="B509" s="4" t="s">
        <v>313</v>
      </c>
      <c r="C509" s="4" t="s">
        <v>298</v>
      </c>
      <c r="D509" s="94">
        <v>8530.0</v>
      </c>
    </row>
    <row r="510">
      <c r="A510" s="40">
        <f t="array" ref="A510">IFNA(index(PlayerValues!A:A,match(IFNA(vlookup(B510,'Special Names'!A:B,2,FALSE),B510),PlayerValues!E:E,0)),"N/A")</f>
        <v>15287</v>
      </c>
      <c r="B510" s="4" t="s">
        <v>299</v>
      </c>
      <c r="C510" s="4" t="s">
        <v>287</v>
      </c>
      <c r="D510" s="94">
        <v>7648.0</v>
      </c>
    </row>
    <row r="511">
      <c r="A511" s="40">
        <f t="array" ref="A511">IFNA(index(PlayerValues!A:A,match(IFNA(vlookup(B511,'Special Names'!A:B,2,FALSE),B511),PlayerValues!E:E,0)),"N/A")</f>
        <v>16641</v>
      </c>
      <c r="B511" s="4" t="s">
        <v>297</v>
      </c>
      <c r="C511" s="4" t="s">
        <v>298</v>
      </c>
      <c r="D511" s="94">
        <v>8425.0</v>
      </c>
    </row>
    <row r="512">
      <c r="A512" s="40">
        <f t="array" ref="A512">IFNA(index(PlayerValues!A:A,match(IFNA(vlookup(B512,'Special Names'!A:B,2,FALSE),B512),PlayerValues!E:E,0)),"N/A")</f>
        <v>16581</v>
      </c>
      <c r="B512" s="4" t="s">
        <v>315</v>
      </c>
      <c r="C512" s="4" t="s">
        <v>283</v>
      </c>
      <c r="D512" s="94">
        <v>7607.0</v>
      </c>
    </row>
    <row r="513">
      <c r="A513" s="40">
        <f t="array" ref="A513">IFNA(index(PlayerValues!A:A,match(IFNA(vlookup(B513,'Special Names'!A:B,2,FALSE),B513),PlayerValues!E:E,0)),"N/A")</f>
        <v>16579</v>
      </c>
      <c r="B513" s="4" t="s">
        <v>302</v>
      </c>
      <c r="C513" s="4" t="s">
        <v>283</v>
      </c>
      <c r="D513" s="94">
        <v>7599.0</v>
      </c>
    </row>
    <row r="514">
      <c r="A514" s="40">
        <f t="array" ref="A514">IFNA(index(PlayerValues!A:A,match(IFNA(vlookup(B514,'Special Names'!A:B,2,FALSE),B514),PlayerValues!E:E,0)),"N/A")</f>
        <v>13593</v>
      </c>
      <c r="B514" s="4" t="s">
        <v>305</v>
      </c>
      <c r="C514" s="4" t="s">
        <v>283</v>
      </c>
      <c r="D514" s="94">
        <v>7516.0</v>
      </c>
    </row>
    <row r="515">
      <c r="A515" s="40">
        <f t="array" ref="A515">IFNA(index(PlayerValues!A:A,match(IFNA(vlookup(B515,'Special Names'!A:B,2,FALSE),B515),PlayerValues!E:E,0)),"N/A")</f>
        <v>14836</v>
      </c>
      <c r="B515" s="4" t="s">
        <v>306</v>
      </c>
      <c r="C515" s="4" t="s">
        <v>287</v>
      </c>
      <c r="D515" s="94">
        <v>7410.0</v>
      </c>
    </row>
    <row r="516">
      <c r="A516" s="40">
        <f t="array" ref="A516">IFNA(index(PlayerValues!A:A,match(IFNA(vlookup(B516,'Special Names'!A:B,2,FALSE),B516),PlayerValues!E:E,0)),"N/A")</f>
        <v>14832</v>
      </c>
      <c r="B516" s="4" t="s">
        <v>319</v>
      </c>
      <c r="C516" s="4" t="s">
        <v>287</v>
      </c>
      <c r="D516" s="94">
        <v>7349.0</v>
      </c>
    </row>
    <row r="517">
      <c r="A517" s="40">
        <f t="array" ref="A517">IFNA(index(PlayerValues!A:A,match(IFNA(vlookup(B517,'Special Names'!A:B,2,FALSE),B517),PlayerValues!E:E,0)),"N/A")</f>
        <v>14777</v>
      </c>
      <c r="B517" s="4" t="s">
        <v>318</v>
      </c>
      <c r="C517" s="4" t="s">
        <v>283</v>
      </c>
      <c r="D517" s="94">
        <v>7238.0</v>
      </c>
    </row>
    <row r="518">
      <c r="A518" s="40">
        <f t="array" ref="A518">IFNA(index(PlayerValues!A:A,match(IFNA(vlookup(B518,'Special Names'!A:B,2,FALSE),B518),PlayerValues!E:E,0)),"N/A")</f>
        <v>17042</v>
      </c>
      <c r="B518" s="4" t="s">
        <v>314</v>
      </c>
      <c r="C518" s="4" t="s">
        <v>278</v>
      </c>
      <c r="D518" s="94">
        <v>7198.0</v>
      </c>
    </row>
    <row r="519">
      <c r="A519" s="40">
        <f t="array" ref="A519">IFNA(index(PlayerValues!A:A,match(IFNA(vlookup(B519,'Special Names'!A:B,2,FALSE),B519),PlayerValues!E:E,0)),"N/A")</f>
        <v>16167</v>
      </c>
      <c r="B519" s="4" t="s">
        <v>323</v>
      </c>
      <c r="C519" s="4" t="s">
        <v>278</v>
      </c>
      <c r="D519" s="94">
        <v>7103.0</v>
      </c>
    </row>
    <row r="520">
      <c r="A520" s="40">
        <f t="array" ref="A520">IFNA(index(PlayerValues!A:A,match(IFNA(vlookup(B520,'Special Names'!A:B,2,FALSE),B520),PlayerValues!E:E,0)),"N/A")</f>
        <v>15751</v>
      </c>
      <c r="B520" s="4" t="s">
        <v>328</v>
      </c>
      <c r="C520" s="4" t="s">
        <v>287</v>
      </c>
      <c r="D520" s="94">
        <v>7006.0</v>
      </c>
    </row>
    <row r="521">
      <c r="A521" s="40">
        <f t="array" ref="A521">IFNA(index(PlayerValues!A:A,match(IFNA(vlookup(B521,'Special Names'!A:B,2,FALSE),B521),PlayerValues!E:E,0)),"N/A")</f>
        <v>14779</v>
      </c>
      <c r="B521" s="4" t="s">
        <v>327</v>
      </c>
      <c r="C521" s="4" t="s">
        <v>283</v>
      </c>
      <c r="D521" s="94">
        <v>6843.0</v>
      </c>
    </row>
    <row r="522">
      <c r="A522" s="40">
        <f t="array" ref="A522">IFNA(index(PlayerValues!A:A,match(IFNA(vlookup(B522,'Special Names'!A:B,2,FALSE),B522),PlayerValues!E:E,0)),"N/A")</f>
        <v>17472</v>
      </c>
      <c r="B522" s="4" t="s">
        <v>310</v>
      </c>
      <c r="C522" s="4" t="s">
        <v>278</v>
      </c>
      <c r="D522" s="94">
        <v>6748.0</v>
      </c>
    </row>
    <row r="523">
      <c r="A523" s="40" t="str">
        <f t="array" ref="A523">IFNA(index(PlayerValues!A:A,match(IFNA(vlookup(B523,'Special Names'!A:B,2,FALSE),B523),PlayerValues!E:E,0)),"N/A")</f>
        <v>N/A</v>
      </c>
      <c r="B523" s="4" t="s">
        <v>92</v>
      </c>
      <c r="C523" s="4" t="s">
        <v>325</v>
      </c>
      <c r="D523" s="94">
        <v>6634.0</v>
      </c>
    </row>
    <row r="524">
      <c r="A524" s="40">
        <f t="array" ref="A524">IFNA(index(PlayerValues!A:A,match(IFNA(vlookup(B524,'Special Names'!A:B,2,FALSE),B524),PlayerValues!E:E,0)),"N/A")</f>
        <v>17044</v>
      </c>
      <c r="B524" s="4" t="s">
        <v>322</v>
      </c>
      <c r="C524" s="4" t="s">
        <v>278</v>
      </c>
      <c r="D524" s="94">
        <v>6621.0</v>
      </c>
    </row>
    <row r="525">
      <c r="A525" s="40">
        <f t="array" ref="A525">IFNA(index(PlayerValues!A:A,match(IFNA(vlookup(B525,'Special Names'!A:B,2,FALSE),B525),PlayerValues!E:E,0)),"N/A")</f>
        <v>13116</v>
      </c>
      <c r="B525" s="4" t="s">
        <v>345</v>
      </c>
      <c r="C525" s="4" t="s">
        <v>283</v>
      </c>
      <c r="D525" s="94">
        <v>6608.0</v>
      </c>
    </row>
    <row r="526">
      <c r="A526" s="40">
        <f t="array" ref="A526">IFNA(index(PlayerValues!A:A,match(IFNA(vlookup(B526,'Special Names'!A:B,2,FALSE),B526),PlayerValues!E:E,0)),"N/A")</f>
        <v>17032</v>
      </c>
      <c r="B526" s="4" t="s">
        <v>348</v>
      </c>
      <c r="C526" s="4" t="s">
        <v>283</v>
      </c>
      <c r="D526" s="94">
        <v>6600.0</v>
      </c>
    </row>
    <row r="527">
      <c r="A527" s="40">
        <f t="array" ref="A527">IFNA(index(PlayerValues!A:A,match(IFNA(vlookup(B527,'Special Names'!A:B,2,FALSE),B527),PlayerValues!E:E,0)),"N/A")</f>
        <v>17071</v>
      </c>
      <c r="B527" s="4" t="s">
        <v>341</v>
      </c>
      <c r="C527" s="4" t="s">
        <v>287</v>
      </c>
      <c r="D527" s="94">
        <v>6571.0</v>
      </c>
    </row>
    <row r="528">
      <c r="A528" s="40">
        <f t="array" ref="A528">IFNA(index(PlayerValues!A:A,match(IFNA(vlookup(B528,'Special Names'!A:B,2,FALSE),B528),PlayerValues!E:E,0)),"N/A")</f>
        <v>14783</v>
      </c>
      <c r="B528" s="4" t="s">
        <v>342</v>
      </c>
      <c r="C528" s="4" t="s">
        <v>283</v>
      </c>
      <c r="D528" s="94">
        <v>6396.0</v>
      </c>
    </row>
    <row r="529">
      <c r="A529" s="40">
        <f t="array" ref="A529">IFNA(index(PlayerValues!A:A,match(IFNA(vlookup(B529,'Special Names'!A:B,2,FALSE),B529),PlayerValues!E:E,0)),"N/A")</f>
        <v>15237</v>
      </c>
      <c r="B529" s="4" t="s">
        <v>336</v>
      </c>
      <c r="C529" s="4" t="s">
        <v>283</v>
      </c>
      <c r="D529" s="94">
        <v>6315.0</v>
      </c>
    </row>
    <row r="530">
      <c r="A530" s="40">
        <f t="array" ref="A530">IFNA(index(PlayerValues!A:A,match(IFNA(vlookup(B530,'Special Names'!A:B,2,FALSE),B530),PlayerValues!E:E,0)),"N/A")</f>
        <v>16582</v>
      </c>
      <c r="B530" s="4" t="s">
        <v>343</v>
      </c>
      <c r="C530" s="4" t="s">
        <v>283</v>
      </c>
      <c r="D530" s="94">
        <v>6197.0</v>
      </c>
    </row>
    <row r="531">
      <c r="A531" s="40">
        <f t="array" ref="A531">IFNA(index(PlayerValues!A:A,match(IFNA(vlookup(B531,'Special Names'!A:B,2,FALSE),B531),PlayerValues!E:E,0)),"N/A")</f>
        <v>14802</v>
      </c>
      <c r="B531" s="4" t="s">
        <v>332</v>
      </c>
      <c r="C531" s="4" t="s">
        <v>278</v>
      </c>
      <c r="D531" s="94">
        <v>6188.0</v>
      </c>
    </row>
    <row r="532">
      <c r="A532" s="40">
        <f t="array" ref="A532">IFNA(index(PlayerValues!A:A,match(IFNA(vlookup(B532,'Special Names'!A:B,2,FALSE),B532),PlayerValues!E:E,0)),"N/A")</f>
        <v>15715</v>
      </c>
      <c r="B532" s="4" t="s">
        <v>331</v>
      </c>
      <c r="C532" s="4" t="s">
        <v>278</v>
      </c>
      <c r="D532" s="94">
        <v>6165.0</v>
      </c>
    </row>
    <row r="533">
      <c r="A533" s="40">
        <f t="array" ref="A533">IFNA(index(PlayerValues!A:A,match(IFNA(vlookup(B533,'Special Names'!A:B,2,FALSE),B533),PlayerValues!E:E,0)),"N/A")</f>
        <v>15762</v>
      </c>
      <c r="B533" s="4" t="s">
        <v>337</v>
      </c>
      <c r="C533" s="4" t="s">
        <v>287</v>
      </c>
      <c r="D533" s="94">
        <v>6154.0</v>
      </c>
    </row>
    <row r="534">
      <c r="A534" s="40">
        <f t="array" ref="A534">IFNA(index(PlayerValues!A:A,match(IFNA(vlookup(B534,'Special Names'!A:B,2,FALSE),B534),PlayerValues!E:E,0)),"N/A")</f>
        <v>15698</v>
      </c>
      <c r="B534" s="4" t="s">
        <v>358</v>
      </c>
      <c r="C534" s="4" t="s">
        <v>283</v>
      </c>
      <c r="D534" s="94">
        <v>6098.0</v>
      </c>
    </row>
    <row r="535">
      <c r="A535" s="40" t="str">
        <f t="array" ref="A535">IFNA(index(PlayerValues!A:A,match(IFNA(vlookup(B535,'Special Names'!A:B,2,FALSE),B535),PlayerValues!E:E,0)),"N/A")</f>
        <v>N/A</v>
      </c>
      <c r="B535" s="4" t="s">
        <v>79</v>
      </c>
      <c r="C535" s="4" t="s">
        <v>325</v>
      </c>
      <c r="D535" s="94">
        <v>6044.0</v>
      </c>
    </row>
    <row r="536">
      <c r="A536" s="40">
        <f t="array" ref="A536">IFNA(index(PlayerValues!A:A,match(IFNA(vlookup(B536,'Special Names'!A:B,2,FALSE),B536),PlayerValues!E:E,0)),"N/A")</f>
        <v>17081</v>
      </c>
      <c r="B536" s="4" t="s">
        <v>340</v>
      </c>
      <c r="C536" s="4" t="s">
        <v>287</v>
      </c>
      <c r="D536" s="94">
        <v>6005.0</v>
      </c>
    </row>
    <row r="537">
      <c r="A537" s="40">
        <f t="array" ref="A537">IFNA(index(PlayerValues!A:A,match(IFNA(vlookup(B537,'Special Names'!A:B,2,FALSE),B537),PlayerValues!E:E,0)),"N/A")</f>
        <v>15290</v>
      </c>
      <c r="B537" s="4" t="s">
        <v>355</v>
      </c>
      <c r="C537" s="4" t="s">
        <v>287</v>
      </c>
      <c r="D537" s="94">
        <v>5983.0</v>
      </c>
    </row>
    <row r="538">
      <c r="A538" s="40">
        <f t="array" ref="A538">IFNA(index(PlayerValues!A:A,match(IFNA(vlookup(B538,'Special Names'!A:B,2,FALSE),B538),PlayerValues!E:E,0)),"N/A")</f>
        <v>17043</v>
      </c>
      <c r="B538" s="4" t="s">
        <v>397</v>
      </c>
      <c r="C538" s="4" t="s">
        <v>278</v>
      </c>
      <c r="D538" s="94">
        <v>5966.0</v>
      </c>
    </row>
    <row r="539">
      <c r="A539" s="40">
        <f t="array" ref="A539">IFNA(index(PlayerValues!A:A,match(IFNA(vlookup(B539,'Special Names'!A:B,2,FALSE),B539),PlayerValues!E:E,0)),"N/A")</f>
        <v>17104</v>
      </c>
      <c r="B539" s="4" t="s">
        <v>333</v>
      </c>
      <c r="C539" s="4" t="s">
        <v>298</v>
      </c>
      <c r="D539" s="94">
        <v>6491.0</v>
      </c>
    </row>
    <row r="540">
      <c r="A540" s="40">
        <f t="array" ref="A540">IFNA(index(PlayerValues!A:A,match(IFNA(vlookup(B540,'Special Names'!A:B,2,FALSE),B540),PlayerValues!E:E,0)),"N/A")</f>
        <v>15753</v>
      </c>
      <c r="B540" s="4" t="s">
        <v>359</v>
      </c>
      <c r="C540" s="4" t="s">
        <v>287</v>
      </c>
      <c r="D540" s="94">
        <v>5819.0</v>
      </c>
    </row>
    <row r="541">
      <c r="A541" s="40">
        <f t="array" ref="A541">IFNA(index(PlayerValues!A:A,match(IFNA(vlookup(B541,'Special Names'!A:B,2,FALSE),B541),PlayerValues!E:E,0)),"N/A")</f>
        <v>15754</v>
      </c>
      <c r="B541" s="4" t="s">
        <v>354</v>
      </c>
      <c r="C541" s="4" t="s">
        <v>287</v>
      </c>
      <c r="D541" s="94">
        <v>5805.0</v>
      </c>
    </row>
    <row r="542">
      <c r="A542" s="40">
        <f t="array" ref="A542">IFNA(index(PlayerValues!A:A,match(IFNA(vlookup(B542,'Special Names'!A:B,2,FALSE),B542),PlayerValues!E:E,0)),"N/A")</f>
        <v>14782</v>
      </c>
      <c r="B542" s="4" t="s">
        <v>385</v>
      </c>
      <c r="C542" s="4" t="s">
        <v>283</v>
      </c>
      <c r="D542" s="94">
        <v>5702.0</v>
      </c>
    </row>
    <row r="543">
      <c r="A543" s="40">
        <f t="array" ref="A543">IFNA(index(PlayerValues!A:A,match(IFNA(vlookup(B543,'Special Names'!A:B,2,FALSE),B543),PlayerValues!E:E,0)),"N/A")</f>
        <v>17102</v>
      </c>
      <c r="B543" s="4" t="s">
        <v>344</v>
      </c>
      <c r="C543" s="4" t="s">
        <v>298</v>
      </c>
      <c r="D543" s="94">
        <v>6248.0</v>
      </c>
    </row>
    <row r="544">
      <c r="A544" s="40">
        <f t="array" ref="A544">IFNA(index(PlayerValues!A:A,match(IFNA(vlookup(B544,'Special Names'!A:B,2,FALSE),B544),PlayerValues!E:E,0)),"N/A")</f>
        <v>17462</v>
      </c>
      <c r="B544" s="4" t="s">
        <v>375</v>
      </c>
      <c r="C544" s="4" t="s">
        <v>283</v>
      </c>
      <c r="D544" s="94">
        <v>5583.0</v>
      </c>
    </row>
    <row r="545">
      <c r="A545" s="40">
        <f t="array" ref="A545">IFNA(index(PlayerValues!A:A,match(IFNA(vlookup(B545,'Special Names'!A:B,2,FALSE),B545),PlayerValues!E:E,0)),"N/A")</f>
        <v>17051</v>
      </c>
      <c r="B545" s="4" t="s">
        <v>386</v>
      </c>
      <c r="C545" s="4" t="s">
        <v>278</v>
      </c>
      <c r="D545" s="94">
        <v>5508.0</v>
      </c>
    </row>
    <row r="546">
      <c r="A546" s="40">
        <f t="array" ref="A546">IFNA(index(PlayerValues!A:A,match(IFNA(vlookup(B546,'Special Names'!A:B,2,FALSE),B546),PlayerValues!E:E,0)),"N/A")</f>
        <v>15708</v>
      </c>
      <c r="B546" s="4" t="s">
        <v>382</v>
      </c>
      <c r="C546" s="4" t="s">
        <v>278</v>
      </c>
      <c r="D546" s="94">
        <v>5486.0</v>
      </c>
    </row>
    <row r="547">
      <c r="A547" s="40">
        <f t="array" ref="A547">IFNA(index(PlayerValues!A:A,match(IFNA(vlookup(B547,'Special Names'!A:B,2,FALSE),B547),PlayerValues!E:E,0)),"N/A")</f>
        <v>16598</v>
      </c>
      <c r="B547" s="4" t="s">
        <v>408</v>
      </c>
      <c r="C547" s="4" t="s">
        <v>278</v>
      </c>
      <c r="D547" s="94">
        <v>5486.0</v>
      </c>
    </row>
    <row r="548">
      <c r="A548" s="40">
        <f t="array" ref="A548">IFNA(index(PlayerValues!A:A,match(IFNA(vlookup(B548,'Special Names'!A:B,2,FALSE),B548),PlayerValues!E:E,0)),"N/A")</f>
        <v>16194</v>
      </c>
      <c r="B548" s="4" t="s">
        <v>398</v>
      </c>
      <c r="C548" s="4" t="s">
        <v>287</v>
      </c>
      <c r="D548" s="94">
        <v>5404.0</v>
      </c>
    </row>
    <row r="549">
      <c r="A549" s="40" t="str">
        <f t="array" ref="A549">IFNA(index(PlayerValues!A:A,match(IFNA(vlookup(B549,'Special Names'!A:B,2,FALSE),B549),PlayerValues!E:E,0)),"N/A")</f>
        <v>N/A</v>
      </c>
      <c r="B549" s="4" t="s">
        <v>93</v>
      </c>
      <c r="C549" s="4" t="s">
        <v>325</v>
      </c>
      <c r="D549" s="94">
        <v>5404.0</v>
      </c>
    </row>
    <row r="550">
      <c r="A550" s="40">
        <f t="array" ref="A550">IFNA(index(PlayerValues!A:A,match(IFNA(vlookup(B550,'Special Names'!A:B,2,FALSE),B550),PlayerValues!E:E,0)),"N/A")</f>
        <v>17499</v>
      </c>
      <c r="B550" s="4" t="s">
        <v>402</v>
      </c>
      <c r="C550" s="4" t="s">
        <v>287</v>
      </c>
      <c r="D550" s="94">
        <v>5391.0</v>
      </c>
    </row>
    <row r="551">
      <c r="A551" s="40">
        <f t="array" ref="A551">IFNA(index(PlayerValues!A:A,match(IFNA(vlookup(B551,'Special Names'!A:B,2,FALSE),B551),PlayerValues!E:E,0)),"N/A")</f>
        <v>16627</v>
      </c>
      <c r="B551" s="4" t="s">
        <v>351</v>
      </c>
      <c r="C551" s="4" t="s">
        <v>287</v>
      </c>
      <c r="D551" s="94">
        <v>5376.0</v>
      </c>
    </row>
    <row r="552">
      <c r="A552" s="40">
        <f t="array" ref="A552">IFNA(index(PlayerValues!A:A,match(IFNA(vlookup(B552,'Special Names'!A:B,2,FALSE),B552),PlayerValues!E:E,0)),"N/A")</f>
        <v>16616</v>
      </c>
      <c r="B552" s="4" t="s">
        <v>389</v>
      </c>
      <c r="C552" s="4" t="s">
        <v>287</v>
      </c>
      <c r="D552" s="94">
        <v>5245.0</v>
      </c>
    </row>
    <row r="553">
      <c r="A553" s="40">
        <f t="array" ref="A553">IFNA(index(PlayerValues!A:A,match(IFNA(vlookup(B553,'Special Names'!A:B,2,FALSE),B553),PlayerValues!E:E,0)),"N/A")</f>
        <v>13130</v>
      </c>
      <c r="B553" s="4" t="s">
        <v>374</v>
      </c>
      <c r="C553" s="4" t="s">
        <v>278</v>
      </c>
      <c r="D553" s="94">
        <v>5183.0</v>
      </c>
    </row>
    <row r="554">
      <c r="A554" s="40">
        <f t="array" ref="A554">IFNA(index(PlayerValues!A:A,match(IFNA(vlookup(B554,'Special Names'!A:B,2,FALSE),B554),PlayerValues!E:E,0)),"N/A")</f>
        <v>17497</v>
      </c>
      <c r="B554" s="4" t="s">
        <v>365</v>
      </c>
      <c r="C554" s="4" t="s">
        <v>287</v>
      </c>
      <c r="D554" s="94">
        <v>5182.0</v>
      </c>
    </row>
    <row r="555">
      <c r="A555" s="40">
        <f t="array" ref="A555">IFNA(index(PlayerValues!A:A,match(IFNA(vlookup(B555,'Special Names'!A:B,2,FALSE),B555),PlayerValues!E:E,0)),"N/A")</f>
        <v>16614</v>
      </c>
      <c r="B555" s="4" t="s">
        <v>403</v>
      </c>
      <c r="C555" s="4" t="s">
        <v>287</v>
      </c>
      <c r="D555" s="94">
        <v>5116.0</v>
      </c>
    </row>
    <row r="556">
      <c r="A556" s="40">
        <f t="array" ref="A556">IFNA(index(PlayerValues!A:A,match(IFNA(vlookup(B556,'Special Names'!A:B,2,FALSE),B556),PlayerValues!E:E,0)),"N/A")</f>
        <v>17030</v>
      </c>
      <c r="B556" s="4" t="s">
        <v>406</v>
      </c>
      <c r="C556" s="4" t="s">
        <v>283</v>
      </c>
      <c r="D556" s="94">
        <v>5030.0</v>
      </c>
    </row>
    <row r="557">
      <c r="A557" s="40">
        <f t="array" ref="A557">IFNA(index(PlayerValues!A:A,match(IFNA(vlookup(B557,'Special Names'!A:B,2,FALSE),B557),PlayerValues!E:E,0)),"N/A")</f>
        <v>12620</v>
      </c>
      <c r="B557" s="4" t="s">
        <v>394</v>
      </c>
      <c r="C557" s="4" t="s">
        <v>283</v>
      </c>
      <c r="D557" s="94">
        <v>4998.0</v>
      </c>
    </row>
    <row r="558">
      <c r="A558" s="40">
        <f t="array" ref="A558">IFNA(index(PlayerValues!A:A,match(IFNA(vlookup(B558,'Special Names'!A:B,2,FALSE),B558),PlayerValues!E:E,0)),"N/A")</f>
        <v>17070</v>
      </c>
      <c r="B558" s="4" t="s">
        <v>370</v>
      </c>
      <c r="C558" s="4" t="s">
        <v>287</v>
      </c>
      <c r="D558" s="94">
        <v>4970.0</v>
      </c>
    </row>
    <row r="559">
      <c r="A559" s="40">
        <f t="array" ref="A559">IFNA(index(PlayerValues!A:A,match(IFNA(vlookup(B559,'Special Names'!A:B,2,FALSE),B559),PlayerValues!E:E,0)),"N/A")</f>
        <v>15711</v>
      </c>
      <c r="B559" s="4" t="s">
        <v>349</v>
      </c>
      <c r="C559" s="4" t="s">
        <v>278</v>
      </c>
      <c r="D559" s="94">
        <v>4968.0</v>
      </c>
    </row>
    <row r="560">
      <c r="A560" s="40">
        <f t="array" ref="A560">IFNA(index(PlayerValues!A:A,match(IFNA(vlookup(B560,'Special Names'!A:B,2,FALSE),B560),PlayerValues!E:E,0)),"N/A")</f>
        <v>16618</v>
      </c>
      <c r="B560" s="4" t="s">
        <v>411</v>
      </c>
      <c r="C560" s="4" t="s">
        <v>287</v>
      </c>
      <c r="D560" s="94">
        <v>4967.0</v>
      </c>
    </row>
    <row r="561">
      <c r="A561" s="40">
        <f t="array" ref="A561">IFNA(index(PlayerValues!A:A,match(IFNA(vlookup(B561,'Special Names'!A:B,2,FALSE),B561),PlayerValues!E:E,0)),"N/A")</f>
        <v>16150</v>
      </c>
      <c r="B561" s="4" t="s">
        <v>414</v>
      </c>
      <c r="C561" s="4" t="s">
        <v>283</v>
      </c>
      <c r="D561" s="94">
        <v>4942.0</v>
      </c>
    </row>
    <row r="562">
      <c r="A562" s="40">
        <f t="array" ref="A562">IFNA(index(PlayerValues!A:A,match(IFNA(vlookup(B562,'Special Names'!A:B,2,FALSE),B562),PlayerValues!E:E,0)),"N/A")</f>
        <v>14835</v>
      </c>
      <c r="B562" s="4" t="s">
        <v>392</v>
      </c>
      <c r="C562" s="4" t="s">
        <v>287</v>
      </c>
      <c r="D562" s="94">
        <v>4876.0</v>
      </c>
    </row>
    <row r="563">
      <c r="A563" s="40">
        <f t="array" ref="A563">IFNA(index(PlayerValues!A:A,match(IFNA(vlookup(B563,'Special Names'!A:B,2,FALSE),B563),PlayerValues!E:E,0)),"N/A")</f>
        <v>17103</v>
      </c>
      <c r="B563" s="4" t="s">
        <v>405</v>
      </c>
      <c r="C563" s="4" t="s">
        <v>298</v>
      </c>
      <c r="D563" s="94">
        <v>5445.0</v>
      </c>
    </row>
    <row r="564">
      <c r="A564" s="40">
        <f t="array" ref="A564">IFNA(index(PlayerValues!A:A,match(IFNA(vlookup(B564,'Special Names'!A:B,2,FALSE),B564),PlayerValues!E:E,0)),"N/A")</f>
        <v>16181</v>
      </c>
      <c r="B564" s="4" t="s">
        <v>350</v>
      </c>
      <c r="C564" s="4" t="s">
        <v>278</v>
      </c>
      <c r="D564" s="94">
        <v>4870.0</v>
      </c>
    </row>
    <row r="565">
      <c r="A565" s="40">
        <f t="array" ref="A565">IFNA(index(PlayerValues!A:A,match(IFNA(vlookup(B565,'Special Names'!A:B,2,FALSE),B565),PlayerValues!E:E,0)),"N/A")</f>
        <v>16222</v>
      </c>
      <c r="B565" s="4" t="s">
        <v>393</v>
      </c>
      <c r="C565" s="4" t="s">
        <v>298</v>
      </c>
      <c r="D565" s="94">
        <v>5427.0</v>
      </c>
    </row>
    <row r="566">
      <c r="A566" s="40">
        <f t="array" ref="A566">IFNA(index(PlayerValues!A:A,match(IFNA(vlookup(B566,'Special Names'!A:B,2,FALSE),B566),PlayerValues!E:E,0)),"N/A")</f>
        <v>17498</v>
      </c>
      <c r="B566" s="4" t="s">
        <v>396</v>
      </c>
      <c r="C566" s="4" t="s">
        <v>287</v>
      </c>
      <c r="D566" s="94">
        <v>4857.0</v>
      </c>
    </row>
    <row r="567">
      <c r="A567" s="40">
        <f t="array" ref="A567">IFNA(index(PlayerValues!A:A,match(IFNA(vlookup(B567,'Special Names'!A:B,2,FALSE),B567),PlayerValues!E:E,0)),"N/A")</f>
        <v>17045</v>
      </c>
      <c r="B567" s="4" t="s">
        <v>407</v>
      </c>
      <c r="C567" s="4" t="s">
        <v>278</v>
      </c>
      <c r="D567" s="94">
        <v>4852.0</v>
      </c>
    </row>
    <row r="568">
      <c r="A568" s="40">
        <f t="array" ref="A568">IFNA(index(PlayerValues!A:A,match(IFNA(vlookup(B568,'Special Names'!A:B,2,FALSE),B568),PlayerValues!E:E,0)),"N/A")</f>
        <v>15710</v>
      </c>
      <c r="B568" s="4" t="s">
        <v>395</v>
      </c>
      <c r="C568" s="4" t="s">
        <v>278</v>
      </c>
      <c r="D568" s="94">
        <v>4832.0</v>
      </c>
    </row>
    <row r="569">
      <c r="A569" s="40" t="str">
        <f t="array" ref="A569">IFNA(index(PlayerValues!A:A,match(IFNA(vlookup(B569,'Special Names'!A:B,2,FALSE),B569),PlayerValues!E:E,0)),"N/A")</f>
        <v>N/A</v>
      </c>
      <c r="B569" s="4" t="s">
        <v>104</v>
      </c>
      <c r="C569" s="4" t="s">
        <v>325</v>
      </c>
      <c r="D569" s="94">
        <v>4813.0</v>
      </c>
    </row>
    <row r="570">
      <c r="A570" s="40">
        <f t="array" ref="A570">IFNA(index(PlayerValues!A:A,match(IFNA(vlookup(B570,'Special Names'!A:B,2,FALSE),B570),PlayerValues!E:E,0)),"N/A")</f>
        <v>13604</v>
      </c>
      <c r="B570" s="4" t="s">
        <v>378</v>
      </c>
      <c r="C570" s="4" t="s">
        <v>278</v>
      </c>
      <c r="D570" s="94">
        <v>4796.0</v>
      </c>
    </row>
    <row r="571">
      <c r="A571" s="40">
        <f t="array" ref="A571">IFNA(index(PlayerValues!A:A,match(IFNA(vlookup(B571,'Special Names'!A:B,2,FALSE),B571),PlayerValues!E:E,0)),"N/A")</f>
        <v>13592</v>
      </c>
      <c r="B571" s="4" t="s">
        <v>418</v>
      </c>
      <c r="C571" s="4" t="s">
        <v>283</v>
      </c>
      <c r="D571" s="94">
        <v>4790.0</v>
      </c>
    </row>
    <row r="572">
      <c r="A572" s="40">
        <f t="array" ref="A572">IFNA(index(PlayerValues!A:A,match(IFNA(vlookup(B572,'Special Names'!A:B,2,FALSE),B572),PlayerValues!E:E,0)),"N/A")</f>
        <v>15756</v>
      </c>
      <c r="B572" s="4" t="s">
        <v>399</v>
      </c>
      <c r="C572" s="4" t="s">
        <v>287</v>
      </c>
      <c r="D572" s="94">
        <v>4789.0</v>
      </c>
    </row>
    <row r="573">
      <c r="A573" s="40">
        <f t="array" ref="A573">IFNA(index(PlayerValues!A:A,match(IFNA(vlookup(B573,'Special Names'!A:B,2,FALSE),B573),PlayerValues!E:E,0)),"N/A")</f>
        <v>13590</v>
      </c>
      <c r="B573" s="4" t="s">
        <v>409</v>
      </c>
      <c r="C573" s="4" t="s">
        <v>283</v>
      </c>
      <c r="D573" s="94">
        <v>4769.0</v>
      </c>
    </row>
    <row r="574">
      <c r="A574" s="40" t="str">
        <f t="array" ref="A574">IFNA(index(PlayerValues!A:A,match(IFNA(vlookup(B574,'Special Names'!A:B,2,FALSE),B574),PlayerValues!E:E,0)),"N/A")</f>
        <v>N/A</v>
      </c>
      <c r="B574" s="4" t="s">
        <v>80</v>
      </c>
      <c r="C574" s="4" t="s">
        <v>325</v>
      </c>
      <c r="D574" s="94">
        <v>4728.0</v>
      </c>
    </row>
    <row r="575">
      <c r="A575" s="40" t="str">
        <f t="array" ref="A575">IFNA(index(PlayerValues!A:A,match(IFNA(vlookup(B575,'Special Names'!A:B,2,FALSE),B575),PlayerValues!E:E,0)),"N/A")</f>
        <v>N/A</v>
      </c>
      <c r="B575" s="4" t="s">
        <v>94</v>
      </c>
      <c r="C575" s="4" t="s">
        <v>325</v>
      </c>
      <c r="D575" s="94">
        <v>4720.0</v>
      </c>
    </row>
    <row r="576">
      <c r="A576" s="40">
        <f t="array" ref="A576">IFNA(index(PlayerValues!A:A,match(IFNA(vlookup(B576,'Special Names'!A:B,2,FALSE),B576),PlayerValues!E:E,0)),"N/A")</f>
        <v>15282</v>
      </c>
      <c r="B576" s="4" t="s">
        <v>364</v>
      </c>
      <c r="C576" s="4" t="s">
        <v>287</v>
      </c>
      <c r="D576" s="94">
        <v>4715.0</v>
      </c>
    </row>
    <row r="577">
      <c r="A577" s="40">
        <f t="array" ref="A577">IFNA(index(PlayerValues!A:A,match(IFNA(vlookup(B577,'Special Names'!A:B,2,FALSE),B577),PlayerValues!E:E,0)),"N/A")</f>
        <v>14104</v>
      </c>
      <c r="B577" s="4" t="s">
        <v>379</v>
      </c>
      <c r="C577" s="4" t="s">
        <v>287</v>
      </c>
      <c r="D577" s="94">
        <v>4692.0</v>
      </c>
    </row>
    <row r="578">
      <c r="A578" s="40">
        <f t="array" ref="A578">IFNA(index(PlayerValues!A:A,match(IFNA(vlookup(B578,'Special Names'!A:B,2,FALSE),B578),PlayerValues!E:E,0)),"N/A")</f>
        <v>16190</v>
      </c>
      <c r="B578" s="4" t="s">
        <v>371</v>
      </c>
      <c r="C578" s="4" t="s">
        <v>287</v>
      </c>
      <c r="D578" s="94">
        <v>4691.0</v>
      </c>
    </row>
    <row r="579">
      <c r="A579" s="40">
        <f t="array" ref="A579">IFNA(index(PlayerValues!A:A,match(IFNA(vlookup(B579,'Special Names'!A:B,2,FALSE),B579),PlayerValues!E:E,0)),"N/A")</f>
        <v>12611</v>
      </c>
      <c r="B579" s="4" t="s">
        <v>410</v>
      </c>
      <c r="C579" s="4" t="s">
        <v>283</v>
      </c>
      <c r="D579" s="94">
        <v>4626.0</v>
      </c>
    </row>
    <row r="580">
      <c r="A580" s="40">
        <f t="array" ref="A580">IFNA(index(PlayerValues!A:A,match(IFNA(vlookup(B580,'Special Names'!A:B,2,FALSE),B580),PlayerValues!E:E,0)),"N/A")</f>
        <v>16214</v>
      </c>
      <c r="B580" s="4" t="s">
        <v>413</v>
      </c>
      <c r="C580" s="4" t="s">
        <v>298</v>
      </c>
      <c r="D580" s="94">
        <v>5137.0</v>
      </c>
    </row>
    <row r="581">
      <c r="A581" s="40">
        <f t="array" ref="A581">IFNA(index(PlayerValues!A:A,match(IFNA(vlookup(B581,'Special Names'!A:B,2,FALSE),B581),PlayerValues!E:E,0)),"N/A")</f>
        <v>17039</v>
      </c>
      <c r="B581" s="4" t="s">
        <v>400</v>
      </c>
      <c r="C581" s="4" t="s">
        <v>283</v>
      </c>
      <c r="D581" s="94">
        <v>4586.0</v>
      </c>
    </row>
    <row r="582">
      <c r="A582" s="40">
        <f t="array" ref="A582">IFNA(index(PlayerValues!A:A,match(IFNA(vlookup(B582,'Special Names'!A:B,2,FALSE),B582),PlayerValues!E:E,0)),"N/A")</f>
        <v>15284</v>
      </c>
      <c r="B582" s="4" t="s">
        <v>390</v>
      </c>
      <c r="C582" s="4" t="s">
        <v>287</v>
      </c>
      <c r="D582" s="94">
        <v>4573.0</v>
      </c>
    </row>
    <row r="583">
      <c r="A583" s="40">
        <f t="array" ref="A583">IFNA(index(PlayerValues!A:A,match(IFNA(vlookup(B583,'Special Names'!A:B,2,FALSE),B583),PlayerValues!E:E,0)),"N/A")</f>
        <v>17068</v>
      </c>
      <c r="B583" s="4" t="s">
        <v>450</v>
      </c>
      <c r="C583" s="4" t="s">
        <v>278</v>
      </c>
      <c r="D583" s="94">
        <v>4532.0</v>
      </c>
    </row>
    <row r="584">
      <c r="A584" s="40">
        <f t="array" ref="A584">IFNA(index(PlayerValues!A:A,match(IFNA(vlookup(B584,'Special Names'!A:B,2,FALSE),B584),PlayerValues!E:E,0)),"N/A")</f>
        <v>16148</v>
      </c>
      <c r="B584" s="4" t="s">
        <v>426</v>
      </c>
      <c r="C584" s="4" t="s">
        <v>283</v>
      </c>
      <c r="D584" s="94">
        <v>4501.0</v>
      </c>
    </row>
    <row r="585">
      <c r="A585" s="40">
        <f t="array" ref="A585">IFNA(index(PlayerValues!A:A,match(IFNA(vlookup(B585,'Special Names'!A:B,2,FALSE),B585),PlayerValues!E:E,0)),"N/A")</f>
        <v>15253</v>
      </c>
      <c r="B585" s="4" t="s">
        <v>415</v>
      </c>
      <c r="C585" s="4" t="s">
        <v>278</v>
      </c>
      <c r="D585" s="94">
        <v>4490.0</v>
      </c>
    </row>
    <row r="586">
      <c r="A586" s="40">
        <f t="array" ref="A586">IFNA(index(PlayerValues!A:A,match(IFNA(vlookup(B586,'Special Names'!A:B,2,FALSE),B586),PlayerValues!E:E,0)),"N/A")</f>
        <v>15329</v>
      </c>
      <c r="B586" s="4" t="s">
        <v>416</v>
      </c>
      <c r="C586" s="4" t="s">
        <v>298</v>
      </c>
      <c r="D586" s="94">
        <v>5018.0</v>
      </c>
    </row>
    <row r="587">
      <c r="A587" s="40">
        <f t="array" ref="A587">IFNA(index(PlayerValues!A:A,match(IFNA(vlookup(B587,'Special Names'!A:B,2,FALSE),B587),PlayerValues!E:E,0)),"N/A")</f>
        <v>14073</v>
      </c>
      <c r="B587" s="4" t="s">
        <v>464</v>
      </c>
      <c r="C587" s="4" t="s">
        <v>278</v>
      </c>
      <c r="D587" s="94">
        <v>4475.0</v>
      </c>
    </row>
    <row r="588">
      <c r="A588" s="40" t="str">
        <f t="array" ref="A588">IFNA(index(PlayerValues!A:A,match(IFNA(vlookup(B588,'Special Names'!A:B,2,FALSE),B588),PlayerValues!E:E,0)),"N/A")</f>
        <v>N/A</v>
      </c>
      <c r="B588" s="4" t="s">
        <v>105</v>
      </c>
      <c r="C588" s="4" t="s">
        <v>325</v>
      </c>
      <c r="D588" s="94">
        <v>4438.0</v>
      </c>
    </row>
    <row r="589">
      <c r="A589" s="40">
        <f t="array" ref="A589">IFNA(index(PlayerValues!A:A,match(IFNA(vlookup(B589,'Special Names'!A:B,2,FALSE),B589),PlayerValues!E:E,0)),"N/A")</f>
        <v>15256</v>
      </c>
      <c r="B589" s="4" t="s">
        <v>401</v>
      </c>
      <c r="C589" s="4" t="s">
        <v>278</v>
      </c>
      <c r="D589" s="94">
        <v>4384.0</v>
      </c>
    </row>
    <row r="590">
      <c r="A590" s="40" t="str">
        <f t="array" ref="A590">IFNA(index(PlayerValues!A:A,match(IFNA(vlookup(B590,'Special Names'!A:B,2,FALSE),B590),PlayerValues!E:E,0)),"N/A")</f>
        <v>N/A</v>
      </c>
      <c r="B590" s="4" t="s">
        <v>81</v>
      </c>
      <c r="C590" s="4" t="s">
        <v>325</v>
      </c>
      <c r="D590" s="94">
        <v>4332.0</v>
      </c>
    </row>
    <row r="591">
      <c r="A591" s="40">
        <f t="array" ref="A591">IFNA(index(PlayerValues!A:A,match(IFNA(vlookup(B591,'Special Names'!A:B,2,FALSE),B591),PlayerValues!E:E,0)),"N/A")</f>
        <v>17074</v>
      </c>
      <c r="B591" s="4" t="s">
        <v>475</v>
      </c>
      <c r="C591" s="4" t="s">
        <v>287</v>
      </c>
      <c r="D591" s="94">
        <v>4217.0</v>
      </c>
    </row>
    <row r="592">
      <c r="A592" s="40">
        <f t="array" ref="A592">IFNA(index(PlayerValues!A:A,match(IFNA(vlookup(B592,'Special Names'!A:B,2,FALSE),B592),PlayerValues!E:E,0)),"N/A")</f>
        <v>17500</v>
      </c>
      <c r="B592" s="4" t="s">
        <v>430</v>
      </c>
      <c r="C592" s="4" t="s">
        <v>287</v>
      </c>
      <c r="D592" s="94">
        <v>4194.0</v>
      </c>
    </row>
    <row r="593">
      <c r="A593" s="40">
        <f t="array" ref="A593">IFNA(index(PlayerValues!A:A,match(IFNA(vlookup(B593,'Special Names'!A:B,2,FALSE),B593),PlayerValues!E:E,0)),"N/A")</f>
        <v>17099</v>
      </c>
      <c r="B593" s="4" t="s">
        <v>474</v>
      </c>
      <c r="C593" s="4" t="s">
        <v>298</v>
      </c>
      <c r="D593" s="94">
        <v>4644.0</v>
      </c>
    </row>
    <row r="594">
      <c r="A594" s="40">
        <f t="array" ref="A594">IFNA(index(PlayerValues!A:A,match(IFNA(vlookup(B594,'Special Names'!A:B,2,FALSE),B594),PlayerValues!E:E,0)),"N/A")</f>
        <v>16186</v>
      </c>
      <c r="B594" s="4" t="s">
        <v>425</v>
      </c>
      <c r="C594" s="4" t="s">
        <v>287</v>
      </c>
      <c r="D594" s="94">
        <v>4064.0</v>
      </c>
    </row>
    <row r="595">
      <c r="A595" s="40" t="str">
        <f t="array" ref="A595">IFNA(index(PlayerValues!A:A,match(IFNA(vlookup(B595,'Special Names'!A:B,2,FALSE),B595),PlayerValues!E:E,0)),"N/A")</f>
        <v>N/A</v>
      </c>
      <c r="B595" s="4" t="s">
        <v>107</v>
      </c>
      <c r="C595" s="4" t="s">
        <v>325</v>
      </c>
      <c r="D595" s="94">
        <v>4001.0</v>
      </c>
    </row>
    <row r="596">
      <c r="A596" s="40">
        <f t="array" ref="A596">IFNA(index(PlayerValues!A:A,match(IFNA(vlookup(B596,'Special Names'!A:B,2,FALSE),B596),PlayerValues!E:E,0)),"N/A")</f>
        <v>14059</v>
      </c>
      <c r="B596" s="4" t="s">
        <v>435</v>
      </c>
      <c r="C596" s="4" t="s">
        <v>283</v>
      </c>
      <c r="D596" s="94">
        <v>3990.0</v>
      </c>
    </row>
    <row r="597">
      <c r="A597" s="40">
        <f t="array" ref="A597">IFNA(index(PlayerValues!A:A,match(IFNA(vlookup(B597,'Special Names'!A:B,2,FALSE),B597),PlayerValues!E:E,0)),"N/A")</f>
        <v>17543</v>
      </c>
      <c r="B597" s="4" t="s">
        <v>436</v>
      </c>
      <c r="C597" s="4" t="s">
        <v>298</v>
      </c>
      <c r="D597" s="94">
        <v>4481.0</v>
      </c>
    </row>
    <row r="598">
      <c r="A598" s="40">
        <f t="array" ref="A598">IFNA(index(PlayerValues!A:A,match(IFNA(vlookup(B598,'Special Names'!A:B,2,FALSE),B598),PlayerValues!E:E,0)),"N/A")</f>
        <v>17501</v>
      </c>
      <c r="B598" s="4" t="s">
        <v>404</v>
      </c>
      <c r="C598" s="4" t="s">
        <v>287</v>
      </c>
      <c r="D598" s="94">
        <v>3957.0</v>
      </c>
    </row>
    <row r="599">
      <c r="A599" s="40">
        <f t="array" ref="A599">IFNA(index(PlayerValues!A:A,match(IFNA(vlookup(B599,'Special Names'!A:B,2,FALSE),B599),PlayerValues!E:E,0)),"N/A")</f>
        <v>17066</v>
      </c>
      <c r="B599" s="4" t="s">
        <v>446</v>
      </c>
      <c r="C599" s="4" t="s">
        <v>278</v>
      </c>
      <c r="D599" s="94">
        <v>3935.0</v>
      </c>
    </row>
    <row r="600">
      <c r="A600" s="40">
        <f t="array" ref="A600">IFNA(index(PlayerValues!A:A,match(IFNA(vlookup(B600,'Special Names'!A:B,2,FALSE),B600),PlayerValues!E:E,0)),"N/A")</f>
        <v>12626</v>
      </c>
      <c r="B600" s="4" t="s">
        <v>419</v>
      </c>
      <c r="C600" s="4" t="s">
        <v>278</v>
      </c>
      <c r="D600" s="94">
        <v>3906.0</v>
      </c>
    </row>
    <row r="601">
      <c r="A601" s="40">
        <f t="array" ref="A601">IFNA(index(PlayerValues!A:A,match(IFNA(vlookup(B601,'Special Names'!A:B,2,FALSE),B601),PlayerValues!E:E,0)),"N/A")</f>
        <v>16622</v>
      </c>
      <c r="B601" s="4" t="s">
        <v>517</v>
      </c>
      <c r="C601" s="4" t="s">
        <v>287</v>
      </c>
      <c r="D601" s="94">
        <v>3903.0</v>
      </c>
    </row>
    <row r="602">
      <c r="A602" s="40">
        <f t="array" ref="A602">IFNA(index(PlayerValues!A:A,match(IFNA(vlookup(B602,'Special Names'!A:B,2,FALSE),B602),PlayerValues!E:E,0)),"N/A")</f>
        <v>16206</v>
      </c>
      <c r="B602" s="4" t="s">
        <v>431</v>
      </c>
      <c r="C602" s="4" t="s">
        <v>287</v>
      </c>
      <c r="D602" s="94">
        <v>3878.0</v>
      </c>
    </row>
    <row r="603">
      <c r="A603" s="40">
        <f t="array" ref="A603">IFNA(index(PlayerValues!A:A,match(IFNA(vlookup(B603,'Special Names'!A:B,2,FALSE),B603),PlayerValues!E:E,0)),"N/A")</f>
        <v>15768</v>
      </c>
      <c r="B603" s="4" t="s">
        <v>432</v>
      </c>
      <c r="C603" s="4" t="s">
        <v>287</v>
      </c>
      <c r="D603" s="94">
        <v>3861.0</v>
      </c>
    </row>
    <row r="604">
      <c r="A604" s="40">
        <f t="array" ref="A604">IFNA(index(PlayerValues!A:A,match(IFNA(vlookup(B604,'Special Names'!A:B,2,FALSE),B604),PlayerValues!E:E,0)),"N/A")</f>
        <v>14102</v>
      </c>
      <c r="B604" s="4" t="s">
        <v>444</v>
      </c>
      <c r="C604" s="4" t="s">
        <v>287</v>
      </c>
      <c r="D604" s="94">
        <v>3846.0</v>
      </c>
    </row>
    <row r="605">
      <c r="A605" s="40" t="str">
        <f t="array" ref="A605">IFNA(index(PlayerValues!A:A,match(IFNA(vlookup(B605,'Special Names'!A:B,2,FALSE),B605),PlayerValues!E:E,0)),"N/A")</f>
        <v>N/A</v>
      </c>
      <c r="B605" s="4" t="s">
        <v>95</v>
      </c>
      <c r="C605" s="4" t="s">
        <v>325</v>
      </c>
      <c r="D605" s="94">
        <v>3826.0</v>
      </c>
    </row>
    <row r="606">
      <c r="A606" s="40">
        <f t="array" ref="A606">IFNA(index(PlayerValues!A:A,match(IFNA(vlookup(B606,'Special Names'!A:B,2,FALSE),B606),PlayerValues!E:E,0)),"N/A")</f>
        <v>17083</v>
      </c>
      <c r="B606" s="4" t="s">
        <v>479</v>
      </c>
      <c r="C606" s="4" t="s">
        <v>287</v>
      </c>
      <c r="D606" s="94">
        <v>3822.0</v>
      </c>
    </row>
    <row r="607">
      <c r="A607" s="40">
        <f t="array" ref="A607">IFNA(index(PlayerValues!A:A,match(IFNA(vlookup(B607,'Special Names'!A:B,2,FALSE),B607),PlayerValues!E:E,0)),"N/A")</f>
        <v>15789</v>
      </c>
      <c r="B607" s="4" t="s">
        <v>421</v>
      </c>
      <c r="C607" s="4" t="s">
        <v>287</v>
      </c>
      <c r="D607" s="94">
        <v>3737.0</v>
      </c>
    </row>
    <row r="608">
      <c r="A608" s="40">
        <f t="array" ref="A608">IFNA(index(PlayerValues!A:A,match(IFNA(vlookup(B608,'Special Names'!A:B,2,FALSE),B608),PlayerValues!E:E,0)),"N/A")</f>
        <v>14797</v>
      </c>
      <c r="B608" s="4" t="s">
        <v>420</v>
      </c>
      <c r="C608" s="4" t="s">
        <v>278</v>
      </c>
      <c r="D608" s="94">
        <v>3731.0</v>
      </c>
    </row>
    <row r="609">
      <c r="A609" s="40">
        <f t="array" ref="A609">IFNA(index(PlayerValues!A:A,match(IFNA(vlookup(B609,'Special Names'!A:B,2,FALSE),B609),PlayerValues!E:E,0)),"N/A")</f>
        <v>9431</v>
      </c>
      <c r="B609" s="4" t="s">
        <v>428</v>
      </c>
      <c r="C609" s="4" t="s">
        <v>283</v>
      </c>
      <c r="D609" s="94">
        <v>3717.0</v>
      </c>
    </row>
    <row r="610">
      <c r="A610" s="40">
        <f t="array" ref="A610">IFNA(index(PlayerValues!A:A,match(IFNA(vlookup(B610,'Special Names'!A:B,2,FALSE),B610),PlayerValues!E:E,0)),"N/A")</f>
        <v>11675</v>
      </c>
      <c r="B610" s="4" t="s">
        <v>438</v>
      </c>
      <c r="C610" s="4" t="s">
        <v>287</v>
      </c>
      <c r="D610" s="94">
        <v>3658.0</v>
      </c>
    </row>
    <row r="611">
      <c r="A611" s="40">
        <f t="array" ref="A611">IFNA(index(PlayerValues!A:A,match(IFNA(vlookup(B611,'Special Names'!A:B,2,FALSE),B611),PlayerValues!E:E,0)),"N/A")</f>
        <v>17477</v>
      </c>
      <c r="B611" s="4" t="s">
        <v>452</v>
      </c>
      <c r="C611" s="4" t="s">
        <v>278</v>
      </c>
      <c r="D611" s="94">
        <v>3634.0</v>
      </c>
    </row>
    <row r="612">
      <c r="A612" s="40">
        <f t="array" ref="A612">IFNA(index(PlayerValues!A:A,match(IFNA(vlookup(B612,'Special Names'!A:B,2,FALSE),B612),PlayerValues!E:E,0)),"N/A")</f>
        <v>15757</v>
      </c>
      <c r="B612" s="4" t="s">
        <v>449</v>
      </c>
      <c r="C612" s="4" t="s">
        <v>287</v>
      </c>
      <c r="D612" s="94">
        <v>3624.0</v>
      </c>
    </row>
    <row r="613">
      <c r="A613" s="40">
        <f t="array" ref="A613">IFNA(index(PlayerValues!A:A,match(IFNA(vlookup(B613,'Special Names'!A:B,2,FALSE),B613),PlayerValues!E:E,0)),"N/A")</f>
        <v>14056</v>
      </c>
      <c r="B613" s="4" t="s">
        <v>423</v>
      </c>
      <c r="C613" s="4" t="s">
        <v>283</v>
      </c>
      <c r="D613" s="94">
        <v>3604.0</v>
      </c>
    </row>
    <row r="614">
      <c r="A614" s="40">
        <f t="array" ref="A614">IFNA(index(PlayerValues!A:A,match(IFNA(vlookup(B614,'Special Names'!A:B,2,FALSE),B614),PlayerValues!E:E,0)),"N/A")</f>
        <v>16583</v>
      </c>
      <c r="B614" s="4" t="s">
        <v>493</v>
      </c>
      <c r="C614" s="4" t="s">
        <v>283</v>
      </c>
      <c r="D614" s="94">
        <v>3599.0</v>
      </c>
    </row>
    <row r="615">
      <c r="A615" s="40">
        <f t="array" ref="A615">IFNA(index(PlayerValues!A:A,match(IFNA(vlookup(B615,'Special Names'!A:B,2,FALSE),B615),PlayerValues!E:E,0)),"N/A")</f>
        <v>14842</v>
      </c>
      <c r="B615" s="4" t="s">
        <v>456</v>
      </c>
      <c r="C615" s="4" t="s">
        <v>287</v>
      </c>
      <c r="D615" s="94">
        <v>3584.0</v>
      </c>
    </row>
    <row r="616">
      <c r="A616" s="40">
        <f t="array" ref="A616">IFNA(index(PlayerValues!A:A,match(IFNA(vlookup(B616,'Special Names'!A:B,2,FALSE),B616),PlayerValues!E:E,0)),"N/A")</f>
        <v>16169</v>
      </c>
      <c r="B616" s="4" t="s">
        <v>457</v>
      </c>
      <c r="C616" s="4" t="s">
        <v>278</v>
      </c>
      <c r="D616" s="94">
        <v>3576.0</v>
      </c>
    </row>
    <row r="617">
      <c r="A617" s="40">
        <f t="array" ref="A617">IFNA(index(PlayerValues!A:A,match(IFNA(vlookup(B617,'Special Names'!A:B,2,FALSE),B617),PlayerValues!E:E,0)),"N/A")</f>
        <v>16192</v>
      </c>
      <c r="B617" s="4" t="s">
        <v>412</v>
      </c>
      <c r="C617" s="4" t="s">
        <v>287</v>
      </c>
      <c r="D617" s="94">
        <v>3572.0</v>
      </c>
    </row>
    <row r="618">
      <c r="A618" s="40">
        <f t="array" ref="A618">IFNA(index(PlayerValues!A:A,match(IFNA(vlookup(B618,'Special Names'!A:B,2,FALSE),B618),PlayerValues!E:E,0)),"N/A")</f>
        <v>16213</v>
      </c>
      <c r="B618" s="4" t="s">
        <v>458</v>
      </c>
      <c r="C618" s="4" t="s">
        <v>298</v>
      </c>
      <c r="D618" s="94">
        <v>4026.0</v>
      </c>
    </row>
    <row r="619">
      <c r="A619" s="40">
        <f t="array" ref="A619">IFNA(index(PlayerValues!A:A,match(IFNA(vlookup(B619,'Special Names'!A:B,2,FALSE),B619),PlayerValues!E:E,0)),"N/A")</f>
        <v>16584</v>
      </c>
      <c r="B619" s="4" t="s">
        <v>569</v>
      </c>
      <c r="C619" s="4" t="s">
        <v>283</v>
      </c>
      <c r="D619" s="94">
        <v>3535.0</v>
      </c>
    </row>
    <row r="620">
      <c r="A620" s="40">
        <f t="array" ref="A620">IFNA(index(PlayerValues!A:A,match(IFNA(vlookup(B620,'Special Names'!A:B,2,FALSE),B620),PlayerValues!E:E,0)),"N/A")</f>
        <v>17075</v>
      </c>
      <c r="B620" s="4" t="s">
        <v>429</v>
      </c>
      <c r="C620" s="4" t="s">
        <v>287</v>
      </c>
      <c r="D620" s="94">
        <v>3534.0</v>
      </c>
    </row>
    <row r="621">
      <c r="A621" s="40">
        <f t="array" ref="A621">IFNA(index(PlayerValues!A:A,match(IFNA(vlookup(B621,'Special Names'!A:B,2,FALSE),B621),PlayerValues!E:E,0)),"N/A")</f>
        <v>16620</v>
      </c>
      <c r="B621" s="4" t="s">
        <v>467</v>
      </c>
      <c r="C621" s="4" t="s">
        <v>287</v>
      </c>
      <c r="D621" s="94">
        <v>3528.0</v>
      </c>
    </row>
    <row r="622">
      <c r="A622" s="40">
        <f t="array" ref="A622">IFNA(index(PlayerValues!A:A,match(IFNA(vlookup(B622,'Special Names'!A:B,2,FALSE),B622),PlayerValues!E:E,0)),"N/A")</f>
        <v>16188</v>
      </c>
      <c r="B622" s="4" t="s">
        <v>439</v>
      </c>
      <c r="C622" s="4" t="s">
        <v>287</v>
      </c>
      <c r="D622" s="94">
        <v>3512.0</v>
      </c>
    </row>
    <row r="623">
      <c r="A623" s="40" t="str">
        <f t="array" ref="A623">IFNA(index(PlayerValues!A:A,match(IFNA(vlookup(B623,'Special Names'!A:B,2,FALSE),B623),PlayerValues!E:E,0)),"N/A")</f>
        <v>N/A</v>
      </c>
      <c r="B623" s="4" t="s">
        <v>82</v>
      </c>
      <c r="C623" s="4" t="s">
        <v>325</v>
      </c>
      <c r="D623" s="94">
        <v>3495.0</v>
      </c>
    </row>
    <row r="624">
      <c r="A624" s="40">
        <f t="array" ref="A624">IFNA(index(PlayerValues!A:A,match(IFNA(vlookup(B624,'Special Names'!A:B,2,FALSE),B624),PlayerValues!E:E,0)),"N/A")</f>
        <v>16593</v>
      </c>
      <c r="B624" s="4" t="s">
        <v>442</v>
      </c>
      <c r="C624" s="4" t="s">
        <v>278</v>
      </c>
      <c r="D624" s="94">
        <v>3495.0</v>
      </c>
    </row>
    <row r="625">
      <c r="A625" s="40">
        <f t="array" ref="A625">IFNA(index(PlayerValues!A:A,match(IFNA(vlookup(B625,'Special Names'!A:B,2,FALSE),B625),PlayerValues!E:E,0)),"N/A")</f>
        <v>13299</v>
      </c>
      <c r="B625" s="4" t="s">
        <v>448</v>
      </c>
      <c r="C625" s="4" t="s">
        <v>298</v>
      </c>
      <c r="D625" s="94">
        <v>3945.0</v>
      </c>
    </row>
    <row r="626">
      <c r="A626" s="40">
        <f t="array" ref="A626">IFNA(index(PlayerValues!A:A,match(IFNA(vlookup(B626,'Special Names'!A:B,2,FALSE),B626),PlayerValues!E:E,0)),"N/A")</f>
        <v>14127</v>
      </c>
      <c r="B626" s="4" t="s">
        <v>486</v>
      </c>
      <c r="C626" s="4" t="s">
        <v>287</v>
      </c>
      <c r="D626" s="94">
        <v>3459.0</v>
      </c>
    </row>
    <row r="627">
      <c r="A627" s="40">
        <f t="array" ref="A627">IFNA(index(PlayerValues!A:A,match(IFNA(vlookup(B627,'Special Names'!A:B,2,FALSE),B627),PlayerValues!E:E,0)),"N/A")</f>
        <v>17052</v>
      </c>
      <c r="B627" s="4" t="s">
        <v>417</v>
      </c>
      <c r="C627" s="4" t="s">
        <v>278</v>
      </c>
      <c r="D627" s="94">
        <v>3455.0</v>
      </c>
    </row>
    <row r="628">
      <c r="A628" s="40">
        <f t="array" ref="A628">IFNA(index(PlayerValues!A:A,match(IFNA(vlookup(B628,'Special Names'!A:B,2,FALSE),B628),PlayerValues!E:E,0)),"N/A")</f>
        <v>15742</v>
      </c>
      <c r="B628" s="4" t="s">
        <v>447</v>
      </c>
      <c r="C628" s="4" t="s">
        <v>278</v>
      </c>
      <c r="D628" s="94">
        <v>3439.0</v>
      </c>
    </row>
    <row r="629">
      <c r="A629" s="40">
        <f t="array" ref="A629">IFNA(index(PlayerValues!A:A,match(IFNA(vlookup(B629,'Special Names'!A:B,2,FALSE),B629),PlayerValues!E:E,0)),"N/A")</f>
        <v>15799</v>
      </c>
      <c r="B629" s="4" t="s">
        <v>468</v>
      </c>
      <c r="C629" s="4" t="s">
        <v>298</v>
      </c>
      <c r="D629" s="94">
        <v>3859.0</v>
      </c>
    </row>
    <row r="630">
      <c r="A630" s="40">
        <f t="array" ref="A630">IFNA(index(PlayerValues!A:A,match(IFNA(vlookup(B630,'Special Names'!A:B,2,FALSE),B630),PlayerValues!E:E,0)),"N/A")</f>
        <v>17502</v>
      </c>
      <c r="B630" s="4" t="s">
        <v>451</v>
      </c>
      <c r="C630" s="4" t="s">
        <v>287</v>
      </c>
      <c r="D630" s="94">
        <v>3399.0</v>
      </c>
    </row>
    <row r="631">
      <c r="A631" s="40" t="str">
        <f t="array" ref="A631">IFNA(index(PlayerValues!A:A,match(IFNA(vlookup(B631,'Special Names'!A:B,2,FALSE),B631),PlayerValues!E:E,0)),"N/A")</f>
        <v>N/A</v>
      </c>
      <c r="B631" s="4" t="s">
        <v>96</v>
      </c>
      <c r="C631" s="4" t="s">
        <v>325</v>
      </c>
      <c r="D631" s="94">
        <v>3373.0</v>
      </c>
    </row>
    <row r="632">
      <c r="A632" s="40">
        <f t="array" ref="A632">IFNA(index(PlayerValues!A:A,match(IFNA(vlookup(B632,'Special Names'!A:B,2,FALSE),B632),PlayerValues!E:E,0)),"N/A")</f>
        <v>14109</v>
      </c>
      <c r="B632" s="4" t="s">
        <v>437</v>
      </c>
      <c r="C632" s="4" t="s">
        <v>287</v>
      </c>
      <c r="D632" s="94">
        <v>3358.0</v>
      </c>
    </row>
    <row r="633">
      <c r="A633" s="40">
        <f t="array" ref="A633">IFNA(index(PlayerValues!A:A,match(IFNA(vlookup(B633,'Special Names'!A:B,2,FALSE),B633),PlayerValues!E:E,0)),"N/A")</f>
        <v>16594</v>
      </c>
      <c r="B633" s="4" t="s">
        <v>607</v>
      </c>
      <c r="C633" s="4" t="s">
        <v>278</v>
      </c>
      <c r="D633" s="94">
        <v>3331.0</v>
      </c>
    </row>
    <row r="634">
      <c r="A634" s="40">
        <f t="array" ref="A634">IFNA(index(PlayerValues!A:A,match(IFNA(vlookup(B634,'Special Names'!A:B,2,FALSE),B634),PlayerValues!E:E,0)),"N/A")</f>
        <v>17053</v>
      </c>
      <c r="B634" s="4" t="s">
        <v>484</v>
      </c>
      <c r="C634" s="4" t="s">
        <v>278</v>
      </c>
      <c r="D634" s="94">
        <v>3330.0</v>
      </c>
    </row>
    <row r="635">
      <c r="A635" s="40">
        <f t="array" ref="A635">IFNA(index(PlayerValues!A:A,match(IFNA(vlookup(B635,'Special Names'!A:B,2,FALSE),B635),PlayerValues!E:E,0)),"N/A")</f>
        <v>17473</v>
      </c>
      <c r="B635" s="4" t="s">
        <v>391</v>
      </c>
      <c r="C635" s="4" t="s">
        <v>278</v>
      </c>
      <c r="D635" s="94">
        <v>3313.0</v>
      </c>
    </row>
    <row r="636">
      <c r="A636" s="40">
        <f t="array" ref="A636">IFNA(index(PlayerValues!A:A,match(IFNA(vlookup(B636,'Special Names'!A:B,2,FALSE),B636),PlayerValues!E:E,0)),"N/A")</f>
        <v>13630</v>
      </c>
      <c r="B636" s="4" t="s">
        <v>465</v>
      </c>
      <c r="C636" s="4" t="s">
        <v>287</v>
      </c>
      <c r="D636" s="94">
        <v>3298.0</v>
      </c>
    </row>
    <row r="637">
      <c r="A637" s="40">
        <f t="array" ref="A637">IFNA(index(PlayerValues!A:A,match(IFNA(vlookup(B637,'Special Names'!A:B,2,FALSE),B637),PlayerValues!E:E,0)),"N/A")</f>
        <v>13635</v>
      </c>
      <c r="B637" s="4" t="s">
        <v>424</v>
      </c>
      <c r="C637" s="4" t="s">
        <v>287</v>
      </c>
      <c r="D637" s="94">
        <v>3274.0</v>
      </c>
    </row>
    <row r="638">
      <c r="A638" s="40">
        <f t="array" ref="A638">IFNA(index(PlayerValues!A:A,match(IFNA(vlookup(B638,'Special Names'!A:B,2,FALSE),B638),PlayerValues!E:E,0)),"N/A")</f>
        <v>16269</v>
      </c>
      <c r="B638" s="4" t="s">
        <v>481</v>
      </c>
      <c r="C638" s="4" t="s">
        <v>298</v>
      </c>
      <c r="D638" s="94">
        <v>3709.0</v>
      </c>
    </row>
    <row r="639">
      <c r="A639" s="40">
        <f t="array" ref="A639">IFNA(index(PlayerValues!A:A,match(IFNA(vlookup(B639,'Special Names'!A:B,2,FALSE),B639),PlayerValues!E:E,0)),"N/A")</f>
        <v>16184</v>
      </c>
      <c r="B639" s="4" t="s">
        <v>445</v>
      </c>
      <c r="C639" s="4" t="s">
        <v>287</v>
      </c>
      <c r="D639" s="94">
        <v>3261.0</v>
      </c>
    </row>
    <row r="640">
      <c r="A640" s="40">
        <f t="array" ref="A640">IFNA(index(PlayerValues!A:A,match(IFNA(vlookup(B640,'Special Names'!A:B,2,FALSE),B640),PlayerValues!E:E,0)),"N/A")</f>
        <v>15694</v>
      </c>
      <c r="B640" s="4" t="s">
        <v>434</v>
      </c>
      <c r="C640" s="4" t="s">
        <v>283</v>
      </c>
      <c r="D640" s="94">
        <v>3213.0</v>
      </c>
    </row>
    <row r="641">
      <c r="A641" s="40">
        <f t="array" ref="A641">IFNA(index(PlayerValues!A:A,match(IFNA(vlookup(B641,'Special Names'!A:B,2,FALSE),B641),PlayerValues!E:E,0)),"N/A")</f>
        <v>15712</v>
      </c>
      <c r="B641" s="4" t="s">
        <v>488</v>
      </c>
      <c r="C641" s="4" t="s">
        <v>278</v>
      </c>
      <c r="D641" s="94">
        <v>3212.0</v>
      </c>
    </row>
    <row r="642">
      <c r="A642" s="40">
        <f t="array" ref="A642">IFNA(index(PlayerValues!A:A,match(IFNA(vlookup(B642,'Special Names'!A:B,2,FALSE),B642),PlayerValues!E:E,0)),"N/A")</f>
        <v>17476</v>
      </c>
      <c r="B642" s="4" t="s">
        <v>494</v>
      </c>
      <c r="C642" s="4" t="s">
        <v>278</v>
      </c>
      <c r="D642" s="94">
        <v>3202.0</v>
      </c>
    </row>
    <row r="643">
      <c r="A643" s="40">
        <f t="array" ref="A643">IFNA(index(PlayerValues!A:A,match(IFNA(vlookup(B643,'Special Names'!A:B,2,FALSE),B643),PlayerValues!E:E,0)),"N/A")</f>
        <v>16809</v>
      </c>
      <c r="B643" s="4" t="s">
        <v>455</v>
      </c>
      <c r="C643" s="4" t="s">
        <v>287</v>
      </c>
      <c r="D643" s="94">
        <v>3167.0</v>
      </c>
    </row>
    <row r="644">
      <c r="A644" s="40">
        <f t="array" ref="A644">IFNA(index(PlayerValues!A:A,match(IFNA(vlookup(B644,'Special Names'!A:B,2,FALSE),B644),PlayerValues!E:E,0)),"N/A")</f>
        <v>16187</v>
      </c>
      <c r="B644" s="4" t="s">
        <v>441</v>
      </c>
      <c r="C644" s="4" t="s">
        <v>287</v>
      </c>
      <c r="D644" s="94">
        <v>3151.0</v>
      </c>
    </row>
    <row r="645">
      <c r="A645" s="40">
        <f t="array" ref="A645">IFNA(index(PlayerValues!A:A,match(IFNA(vlookup(B645,'Special Names'!A:B,2,FALSE),B645),PlayerValues!E:E,0)),"N/A")</f>
        <v>14823</v>
      </c>
      <c r="B645" s="4" t="s">
        <v>459</v>
      </c>
      <c r="C645" s="4" t="s">
        <v>278</v>
      </c>
      <c r="D645" s="94">
        <v>3150.0</v>
      </c>
    </row>
    <row r="646">
      <c r="A646" s="40">
        <f t="array" ref="A646">IFNA(index(PlayerValues!A:A,match(IFNA(vlookup(B646,'Special Names'!A:B,2,FALSE),B646),PlayerValues!E:E,0)),"N/A")</f>
        <v>15761</v>
      </c>
      <c r="B646" s="4" t="s">
        <v>491</v>
      </c>
      <c r="C646" s="4" t="s">
        <v>287</v>
      </c>
      <c r="D646" s="94">
        <v>3111.0</v>
      </c>
    </row>
    <row r="647">
      <c r="A647" s="40" t="str">
        <f t="array" ref="A647">IFNA(index(PlayerValues!A:A,match(IFNA(vlookup(B647,'Special Names'!A:B,2,FALSE),B647),PlayerValues!E:E,0)),"N/A")</f>
        <v>N/A</v>
      </c>
      <c r="B647" s="4" t="s">
        <v>108</v>
      </c>
      <c r="C647" s="4" t="s">
        <v>325</v>
      </c>
      <c r="D647" s="94">
        <v>3078.0</v>
      </c>
    </row>
    <row r="648">
      <c r="A648" s="40" t="str">
        <f t="array" ref="A648">IFNA(index(PlayerValues!A:A,match(IFNA(vlookup(B648,'Special Names'!A:B,2,FALSE),B648),PlayerValues!E:E,0)),"N/A")</f>
        <v>N/A</v>
      </c>
      <c r="B648" s="4" t="s">
        <v>84</v>
      </c>
      <c r="C648" s="4" t="s">
        <v>325</v>
      </c>
      <c r="D648" s="94">
        <v>3074.0</v>
      </c>
    </row>
    <row r="649">
      <c r="A649" s="40" t="str">
        <f t="array" ref="A649">IFNA(index(PlayerValues!A:A,match(IFNA(vlookup(B649,'Special Names'!A:B,2,FALSE),B649),PlayerValues!E:E,0)),"N/A")</f>
        <v>N/A</v>
      </c>
      <c r="B649" s="4" t="s">
        <v>97</v>
      </c>
      <c r="C649" s="4" t="s">
        <v>325</v>
      </c>
      <c r="D649" s="94">
        <v>3068.0</v>
      </c>
    </row>
    <row r="650">
      <c r="A650" s="40">
        <f t="array" ref="A650">IFNA(index(PlayerValues!A:A,match(IFNA(vlookup(B650,'Special Names'!A:B,2,FALSE),B650),PlayerValues!E:E,0)),"N/A")</f>
        <v>15261</v>
      </c>
      <c r="B650" s="4" t="s">
        <v>466</v>
      </c>
      <c r="C650" s="4" t="s">
        <v>278</v>
      </c>
      <c r="D650" s="94">
        <v>3050.0</v>
      </c>
    </row>
    <row r="651">
      <c r="A651" s="40">
        <f t="array" ref="A651">IFNA(index(PlayerValues!A:A,match(IFNA(vlookup(B651,'Special Names'!A:B,2,FALSE),B651),PlayerValues!E:E,0)),"N/A")</f>
        <v>16619</v>
      </c>
      <c r="B651" s="4" t="s">
        <v>538</v>
      </c>
      <c r="C651" s="4" t="s">
        <v>287</v>
      </c>
      <c r="D651" s="94">
        <v>3046.0</v>
      </c>
    </row>
    <row r="652">
      <c r="A652" s="40">
        <f t="array" ref="A652">IFNA(index(PlayerValues!A:A,match(IFNA(vlookup(B652,'Special Names'!A:B,2,FALSE),B652),PlayerValues!E:E,0)),"N/A")</f>
        <v>15798</v>
      </c>
      <c r="B652" s="4" t="s">
        <v>443</v>
      </c>
      <c r="C652" s="4" t="s">
        <v>298</v>
      </c>
      <c r="D652" s="94">
        <v>3452.0</v>
      </c>
    </row>
    <row r="653">
      <c r="A653" s="40">
        <f t="array" ref="A653">IFNA(index(PlayerValues!A:A,match(IFNA(vlookup(B653,'Special Names'!A:B,2,FALSE),B653),PlayerValues!E:E,0)),"N/A")</f>
        <v>17463</v>
      </c>
      <c r="B653" s="4" t="s">
        <v>433</v>
      </c>
      <c r="C653" s="4" t="s">
        <v>283</v>
      </c>
      <c r="D653" s="94">
        <v>2990.0</v>
      </c>
    </row>
    <row r="654">
      <c r="A654" s="40">
        <f t="array" ref="A654">IFNA(index(PlayerValues!A:A,match(IFNA(vlookup(B654,'Special Names'!A:B,2,FALSE),B654),PlayerValues!E:E,0)),"N/A")</f>
        <v>17082</v>
      </c>
      <c r="B654" s="4" t="s">
        <v>498</v>
      </c>
      <c r="C654" s="4" t="s">
        <v>287</v>
      </c>
      <c r="D654" s="94">
        <v>2978.0</v>
      </c>
    </row>
    <row r="655">
      <c r="A655" s="40">
        <f t="array" ref="A655">IFNA(index(PlayerValues!A:A,match(IFNA(vlookup(B655,'Special Names'!A:B,2,FALSE),B655),PlayerValues!E:E,0)),"N/A")</f>
        <v>15259</v>
      </c>
      <c r="B655" s="4" t="s">
        <v>453</v>
      </c>
      <c r="C655" s="4" t="s">
        <v>278</v>
      </c>
      <c r="D655" s="94">
        <v>2975.0</v>
      </c>
    </row>
    <row r="656">
      <c r="A656" s="40">
        <f t="array" ref="A656">IFNA(index(PlayerValues!A:A,match(IFNA(vlookup(B656,'Special Names'!A:B,2,FALSE),B656),PlayerValues!E:E,0)),"N/A")</f>
        <v>16193</v>
      </c>
      <c r="B656" s="4" t="s">
        <v>487</v>
      </c>
      <c r="C656" s="4" t="s">
        <v>287</v>
      </c>
      <c r="D656" s="94">
        <v>2972.0</v>
      </c>
    </row>
    <row r="657">
      <c r="A657" s="40">
        <f t="array" ref="A657">IFNA(index(PlayerValues!A:A,match(IFNA(vlookup(B657,'Special Names'!A:B,2,FALSE),B657),PlayerValues!E:E,0)),"N/A")</f>
        <v>15779</v>
      </c>
      <c r="B657" s="4" t="s">
        <v>461</v>
      </c>
      <c r="C657" s="4" t="s">
        <v>287</v>
      </c>
      <c r="D657" s="94">
        <v>2971.0</v>
      </c>
    </row>
    <row r="658">
      <c r="A658" s="40">
        <f t="array" ref="A658">IFNA(index(PlayerValues!A:A,match(IFNA(vlookup(B658,'Special Names'!A:B,2,FALSE),B658),PlayerValues!E:E,0)),"N/A")</f>
        <v>17106</v>
      </c>
      <c r="B658" s="4" t="s">
        <v>550</v>
      </c>
      <c r="C658" s="4" t="s">
        <v>298</v>
      </c>
      <c r="D658" s="94">
        <v>3349.0</v>
      </c>
    </row>
    <row r="659">
      <c r="A659" s="40">
        <f t="array" ref="A659">IFNA(index(PlayerValues!A:A,match(IFNA(vlookup(B659,'Special Names'!A:B,2,FALSE),B659),PlayerValues!E:E,0)),"N/A")</f>
        <v>17107</v>
      </c>
      <c r="B659" s="4" t="s">
        <v>478</v>
      </c>
      <c r="C659" s="4" t="s">
        <v>298</v>
      </c>
      <c r="D659" s="94">
        <v>3326.0</v>
      </c>
    </row>
    <row r="660">
      <c r="A660" s="40">
        <f t="array" ref="A660">IFNA(index(PlayerValues!A:A,match(IFNA(vlookup(B660,'Special Names'!A:B,2,FALSE),B660),PlayerValues!E:E,0)),"N/A")</f>
        <v>17031</v>
      </c>
      <c r="B660" s="4" t="s">
        <v>535</v>
      </c>
      <c r="C660" s="4" t="s">
        <v>283</v>
      </c>
      <c r="D660" s="94">
        <v>2900.0</v>
      </c>
    </row>
    <row r="661">
      <c r="A661" s="40">
        <f t="array" ref="A661">IFNA(index(PlayerValues!A:A,match(IFNA(vlookup(B661,'Special Names'!A:B,2,FALSE),B661),PlayerValues!E:E,0)),"N/A")</f>
        <v>17256</v>
      </c>
      <c r="B661" s="4" t="s">
        <v>462</v>
      </c>
      <c r="C661" s="4" t="s">
        <v>278</v>
      </c>
      <c r="D661" s="94">
        <v>2891.0</v>
      </c>
    </row>
    <row r="662">
      <c r="A662" s="40">
        <f t="array" ref="A662">IFNA(index(PlayerValues!A:A,match(IFNA(vlookup(B662,'Special Names'!A:B,2,FALSE),B662),PlayerValues!E:E,0)),"N/A")</f>
        <v>16723</v>
      </c>
      <c r="B662" s="4" t="s">
        <v>502</v>
      </c>
      <c r="C662" s="4" t="s">
        <v>298</v>
      </c>
      <c r="D662" s="94">
        <v>3297.0</v>
      </c>
    </row>
    <row r="663">
      <c r="A663" s="40">
        <f t="array" ref="A663">IFNA(index(PlayerValues!A:A,match(IFNA(vlookup(B663,'Special Names'!A:B,2,FALSE),B663),PlayerValues!E:E,0)),"N/A")</f>
        <v>11671</v>
      </c>
      <c r="B663" s="4" t="s">
        <v>463</v>
      </c>
      <c r="C663" s="4" t="s">
        <v>287</v>
      </c>
      <c r="D663" s="94">
        <v>2867.0</v>
      </c>
    </row>
    <row r="664">
      <c r="A664" s="40">
        <f t="array" ref="A664">IFNA(index(PlayerValues!A:A,match(IFNA(vlookup(B664,'Special Names'!A:B,2,FALSE),B664),PlayerValues!E:E,0)),"N/A")</f>
        <v>16628</v>
      </c>
      <c r="B664" s="4" t="s">
        <v>490</v>
      </c>
      <c r="C664" s="4" t="s">
        <v>287</v>
      </c>
      <c r="D664" s="94">
        <v>2864.0</v>
      </c>
    </row>
    <row r="665">
      <c r="A665" s="40">
        <f t="array" ref="A665">IFNA(index(PlayerValues!A:A,match(IFNA(vlookup(B665,'Special Names'!A:B,2,FALSE),B665),PlayerValues!E:E,0)),"N/A")</f>
        <v>17171</v>
      </c>
      <c r="B665" s="4" t="s">
        <v>561</v>
      </c>
      <c r="C665" s="4" t="s">
        <v>287</v>
      </c>
      <c r="D665" s="94">
        <v>2851.0</v>
      </c>
    </row>
    <row r="666">
      <c r="A666" s="40">
        <f t="array" ref="A666">IFNA(index(PlayerValues!A:A,match(IFNA(vlookup(B666,'Special Names'!A:B,2,FALSE),B666),PlayerValues!E:E,0)),"N/A")</f>
        <v>16596</v>
      </c>
      <c r="B666" s="4" t="s">
        <v>501</v>
      </c>
      <c r="C666" s="4" t="s">
        <v>278</v>
      </c>
      <c r="D666" s="94">
        <v>2844.0</v>
      </c>
    </row>
    <row r="667">
      <c r="A667" s="40">
        <f t="array" ref="A667">IFNA(index(PlayerValues!A:A,match(IFNA(vlookup(B667,'Special Names'!A:B,2,FALSE),B667),PlayerValues!E:E,0)),"N/A")</f>
        <v>17073</v>
      </c>
      <c r="B667" s="4" t="s">
        <v>547</v>
      </c>
      <c r="C667" s="4" t="s">
        <v>287</v>
      </c>
      <c r="D667" s="94">
        <v>2841.0</v>
      </c>
    </row>
    <row r="668">
      <c r="A668" s="40">
        <f t="array" ref="A668">IFNA(index(PlayerValues!A:A,match(IFNA(vlookup(B668,'Special Names'!A:B,2,FALSE),B668),PlayerValues!E:E,0)),"N/A")</f>
        <v>14860</v>
      </c>
      <c r="B668" s="4" t="s">
        <v>554</v>
      </c>
      <c r="C668" s="4" t="s">
        <v>287</v>
      </c>
      <c r="D668" s="94">
        <v>2839.0</v>
      </c>
    </row>
    <row r="669">
      <c r="A669" s="40">
        <f t="array" ref="A669">IFNA(index(PlayerValues!A:A,match(IFNA(vlookup(B669,'Special Names'!A:B,2,FALSE),B669),PlayerValues!E:E,0)),"N/A")</f>
        <v>17072</v>
      </c>
      <c r="B669" s="4" t="s">
        <v>508</v>
      </c>
      <c r="C669" s="4" t="s">
        <v>287</v>
      </c>
      <c r="D669" s="94">
        <v>2839.0</v>
      </c>
    </row>
    <row r="670">
      <c r="A670" s="40">
        <f t="array" ref="A670">IFNA(index(PlayerValues!A:A,match(IFNA(vlookup(B670,'Special Names'!A:B,2,FALSE),B670),PlayerValues!E:E,0)),"N/A")</f>
        <v>17157</v>
      </c>
      <c r="B670" s="4" t="s">
        <v>524</v>
      </c>
      <c r="C670" s="4" t="s">
        <v>287</v>
      </c>
      <c r="D670" s="94">
        <v>2835.0</v>
      </c>
    </row>
    <row r="671">
      <c r="A671" s="40">
        <f t="array" ref="A671">IFNA(index(PlayerValues!A:A,match(IFNA(vlookup(B671,'Special Names'!A:B,2,FALSE),B671),PlayerValues!E:E,0)),"N/A")</f>
        <v>16080</v>
      </c>
      <c r="B671" s="4" t="s">
        <v>499</v>
      </c>
      <c r="C671" s="4" t="s">
        <v>287</v>
      </c>
      <c r="D671" s="94">
        <v>2829.0</v>
      </c>
    </row>
    <row r="672">
      <c r="A672" s="40">
        <f t="array" ref="A672">IFNA(index(PlayerValues!A:A,match(IFNA(vlookup(B672,'Special Names'!A:B,2,FALSE),B672),PlayerValues!E:E,0)),"N/A")</f>
        <v>17511</v>
      </c>
      <c r="B672" s="4" t="s">
        <v>485</v>
      </c>
      <c r="C672" s="4" t="s">
        <v>287</v>
      </c>
      <c r="D672" s="94">
        <v>2819.0</v>
      </c>
    </row>
    <row r="673">
      <c r="A673" s="40">
        <f t="array" ref="A673">IFNA(index(PlayerValues!A:A,match(IFNA(vlookup(B673,'Special Names'!A:B,2,FALSE),B673),PlayerValues!E:E,0)),"N/A")</f>
        <v>16165</v>
      </c>
      <c r="B673" s="4" t="s">
        <v>520</v>
      </c>
      <c r="C673" s="4" t="s">
        <v>278</v>
      </c>
      <c r="D673" s="94">
        <v>2810.0</v>
      </c>
    </row>
    <row r="674">
      <c r="A674" s="40">
        <f t="array" ref="A674">IFNA(index(PlayerValues!A:A,match(IFNA(vlookup(B674,'Special Names'!A:B,2,FALSE),B674),PlayerValues!E:E,0)),"N/A")</f>
        <v>15255</v>
      </c>
      <c r="B674" s="4" t="s">
        <v>477</v>
      </c>
      <c r="C674" s="4" t="s">
        <v>278</v>
      </c>
      <c r="D674" s="94">
        <v>2804.0</v>
      </c>
    </row>
    <row r="675">
      <c r="A675" s="40" t="str">
        <f t="array" ref="A675">IFNA(index(PlayerValues!A:A,match(IFNA(vlookup(B675,'Special Names'!A:B,2,FALSE),B675),PlayerValues!E:E,0)),"N/A")</f>
        <v>N/A</v>
      </c>
      <c r="B675" s="4" t="s">
        <v>85</v>
      </c>
      <c r="C675" s="4" t="s">
        <v>325</v>
      </c>
      <c r="D675" s="94">
        <v>2804.0</v>
      </c>
    </row>
    <row r="676">
      <c r="A676" s="40">
        <f t="array" ref="A676">IFNA(index(PlayerValues!A:A,match(IFNA(vlookup(B676,'Special Names'!A:B,2,FALSE),B676),PlayerValues!E:E,0)),"N/A")</f>
        <v>17134</v>
      </c>
      <c r="B676" s="4" t="s">
        <v>548</v>
      </c>
      <c r="C676" s="4" t="s">
        <v>287</v>
      </c>
      <c r="D676" s="94">
        <v>2803.0</v>
      </c>
    </row>
    <row r="677">
      <c r="A677" s="40" t="str">
        <f t="array" ref="A677">IFNA(index(PlayerValues!A:A,match(IFNA(vlookup(B677,'Special Names'!A:B,2,FALSE),B677),PlayerValues!E:E,0)),"N/A")</f>
        <v>N/A</v>
      </c>
      <c r="B677" s="4" t="s">
        <v>109</v>
      </c>
      <c r="C677" s="4" t="s">
        <v>325</v>
      </c>
      <c r="D677" s="94">
        <v>2799.0</v>
      </c>
    </row>
    <row r="678">
      <c r="A678" s="40">
        <f t="array" ref="A678">IFNA(index(PlayerValues!A:A,match(IFNA(vlookup(B678,'Special Names'!A:B,2,FALSE),B678),PlayerValues!E:E,0)),"N/A")</f>
        <v>15241</v>
      </c>
      <c r="B678" s="4" t="s">
        <v>546</v>
      </c>
      <c r="C678" s="4" t="s">
        <v>283</v>
      </c>
      <c r="D678" s="94">
        <v>2797.0</v>
      </c>
    </row>
    <row r="679">
      <c r="A679" s="40">
        <f t="array" ref="A679">IFNA(index(PlayerValues!A:A,match(IFNA(vlookup(B679,'Special Names'!A:B,2,FALSE),B679),PlayerValues!E:E,0)),"N/A")</f>
        <v>16649</v>
      </c>
      <c r="B679" s="4" t="s">
        <v>586</v>
      </c>
      <c r="C679" s="4" t="s">
        <v>298</v>
      </c>
      <c r="D679" s="94">
        <v>3215.0</v>
      </c>
    </row>
    <row r="680">
      <c r="A680" s="40">
        <f t="array" ref="A680">IFNA(index(PlayerValues!A:A,match(IFNA(vlookup(B680,'Special Names'!A:B,2,FALSE),B680),PlayerValues!E:E,0)),"N/A")</f>
        <v>14071</v>
      </c>
      <c r="B680" s="4" t="s">
        <v>440</v>
      </c>
      <c r="C680" s="4" t="s">
        <v>278</v>
      </c>
      <c r="D680" s="94">
        <v>2791.0</v>
      </c>
    </row>
    <row r="681">
      <c r="A681" s="40">
        <f t="array" ref="A681">IFNA(index(PlayerValues!A:A,match(IFNA(vlookup(B681,'Special Names'!A:B,2,FALSE),B681),PlayerValues!E:E,0)),"N/A")</f>
        <v>17080</v>
      </c>
      <c r="B681" s="4" t="s">
        <v>532</v>
      </c>
      <c r="C681" s="4" t="s">
        <v>287</v>
      </c>
      <c r="D681" s="94">
        <v>2782.0</v>
      </c>
    </row>
    <row r="682">
      <c r="A682" s="40">
        <f t="array" ref="A682">IFNA(index(PlayerValues!A:A,match(IFNA(vlookup(B682,'Special Names'!A:B,2,FALSE),B682),PlayerValues!E:E,0)),"N/A")</f>
        <v>16626</v>
      </c>
      <c r="B682" s="4" t="s">
        <v>515</v>
      </c>
      <c r="C682" s="4" t="s">
        <v>287</v>
      </c>
      <c r="D682" s="94">
        <v>2766.0</v>
      </c>
    </row>
    <row r="683">
      <c r="A683" s="40">
        <f t="array" ref="A683">IFNA(index(PlayerValues!A:A,match(IFNA(vlookup(B683,'Special Names'!A:B,2,FALSE),B683),PlayerValues!E:E,0)),"N/A")</f>
        <v>13163</v>
      </c>
      <c r="B683" s="4" t="s">
        <v>473</v>
      </c>
      <c r="C683" s="4" t="s">
        <v>287</v>
      </c>
      <c r="D683" s="94">
        <v>2764.0</v>
      </c>
    </row>
    <row r="684">
      <c r="A684" s="40">
        <f t="array" ref="A684">IFNA(index(PlayerValues!A:A,match(IFNA(vlookup(B684,'Special Names'!A:B,2,FALSE),B684),PlayerValues!E:E,0)),"N/A")</f>
        <v>14800</v>
      </c>
      <c r="B684" s="4" t="s">
        <v>472</v>
      </c>
      <c r="C684" s="4" t="s">
        <v>278</v>
      </c>
      <c r="D684" s="94">
        <v>2759.0</v>
      </c>
    </row>
    <row r="685">
      <c r="A685" s="40">
        <f t="array" ref="A685">IFNA(index(PlayerValues!A:A,match(IFNA(vlookup(B685,'Special Names'!A:B,2,FALSE),B685),PlayerValues!E:E,0)),"N/A")</f>
        <v>17098</v>
      </c>
      <c r="B685" s="4" t="s">
        <v>533</v>
      </c>
      <c r="C685" s="4" t="s">
        <v>287</v>
      </c>
      <c r="D685" s="94">
        <v>2742.0</v>
      </c>
    </row>
    <row r="686">
      <c r="A686" s="40">
        <f t="array" ref="A686">IFNA(index(PlayerValues!A:A,match(IFNA(vlookup(B686,'Special Names'!A:B,2,FALSE),B686),PlayerValues!E:E,0)),"N/A")</f>
        <v>16747</v>
      </c>
      <c r="B686" s="4" t="s">
        <v>555</v>
      </c>
      <c r="C686" s="4" t="s">
        <v>278</v>
      </c>
      <c r="D686" s="94">
        <v>2738.0</v>
      </c>
    </row>
    <row r="687">
      <c r="A687" s="40">
        <f t="array" ref="A687">IFNA(index(PlayerValues!A:A,match(IFNA(vlookup(B687,'Special Names'!A:B,2,FALSE),B687),PlayerValues!E:E,0)),"N/A")</f>
        <v>17047</v>
      </c>
      <c r="B687" s="4" t="s">
        <v>510</v>
      </c>
      <c r="C687" s="4" t="s">
        <v>278</v>
      </c>
      <c r="D687" s="94">
        <v>2724.0</v>
      </c>
    </row>
    <row r="688">
      <c r="A688" s="40">
        <f t="array" ref="A688">IFNA(index(PlayerValues!A:A,match(IFNA(vlookup(B688,'Special Names'!A:B,2,FALSE),B688),PlayerValues!E:E,0)),"N/A")</f>
        <v>14840</v>
      </c>
      <c r="B688" s="4" t="s">
        <v>731</v>
      </c>
      <c r="C688" s="4" t="s">
        <v>287</v>
      </c>
      <c r="D688" s="94">
        <v>2693.0</v>
      </c>
    </row>
    <row r="689">
      <c r="A689" s="40">
        <f t="array" ref="A689">IFNA(index(PlayerValues!A:A,match(IFNA(vlookup(B689,'Special Names'!A:B,2,FALSE),B689),PlayerValues!E:E,0)),"N/A")</f>
        <v>16597</v>
      </c>
      <c r="B689" s="4" t="s">
        <v>427</v>
      </c>
      <c r="C689" s="4" t="s">
        <v>278</v>
      </c>
      <c r="D689" s="94">
        <v>2692.0</v>
      </c>
    </row>
    <row r="690">
      <c r="A690" s="40">
        <f t="array" ref="A690">IFNA(index(PlayerValues!A:A,match(IFNA(vlookup(B690,'Special Names'!A:B,2,FALSE),B690),PlayerValues!E:E,0)),"N/A")</f>
        <v>14085</v>
      </c>
      <c r="B690" s="4" t="s">
        <v>489</v>
      </c>
      <c r="C690" s="4" t="s">
        <v>278</v>
      </c>
      <c r="D690" s="94">
        <v>2685.0</v>
      </c>
    </row>
    <row r="691">
      <c r="A691" s="40">
        <f t="array" ref="A691">IFNA(index(PlayerValues!A:A,match(IFNA(vlookup(B691,'Special Names'!A:B,2,FALSE),B691),PlayerValues!E:E,0)),"N/A")</f>
        <v>17048</v>
      </c>
      <c r="B691" s="4" t="s">
        <v>539</v>
      </c>
      <c r="C691" s="4" t="s">
        <v>278</v>
      </c>
      <c r="D691" s="94">
        <v>2683.0</v>
      </c>
    </row>
    <row r="692">
      <c r="A692" s="40">
        <f t="array" ref="A692">IFNA(index(PlayerValues!A:A,match(IFNA(vlookup(B692,'Special Names'!A:B,2,FALSE),B692),PlayerValues!E:E,0)),"N/A")</f>
        <v>17505</v>
      </c>
      <c r="B692" s="4" t="s">
        <v>528</v>
      </c>
      <c r="C692" s="4" t="s">
        <v>287</v>
      </c>
      <c r="D692" s="94">
        <v>2675.0</v>
      </c>
    </row>
    <row r="693">
      <c r="A693" s="40">
        <f t="array" ref="A693">IFNA(index(PlayerValues!A:A,match(IFNA(vlookup(B693,'Special Names'!A:B,2,FALSE),B693),PlayerValues!E:E,0)),"N/A")</f>
        <v>17507</v>
      </c>
      <c r="B693" s="4" t="s">
        <v>495</v>
      </c>
      <c r="C693" s="4" t="s">
        <v>287</v>
      </c>
      <c r="D693" s="94">
        <v>2661.0</v>
      </c>
    </row>
    <row r="694">
      <c r="A694" s="40">
        <f t="array" ref="A694">IFNA(index(PlayerValues!A:A,match(IFNA(vlookup(B694,'Special Names'!A:B,2,FALSE),B694),PlayerValues!E:E,0)),"N/A")</f>
        <v>14833</v>
      </c>
      <c r="B694" s="4" t="s">
        <v>553</v>
      </c>
      <c r="C694" s="4" t="s">
        <v>287</v>
      </c>
      <c r="D694" s="94">
        <v>2647.0</v>
      </c>
    </row>
    <row r="695">
      <c r="A695" s="40">
        <f t="array" ref="A695">IFNA(index(PlayerValues!A:A,match(IFNA(vlookup(B695,'Special Names'!A:B,2,FALSE),B695),PlayerValues!E:E,0)),"N/A")</f>
        <v>12186</v>
      </c>
      <c r="B695" s="4" t="s">
        <v>497</v>
      </c>
      <c r="C695" s="4" t="s">
        <v>287</v>
      </c>
      <c r="D695" s="94">
        <v>2628.0</v>
      </c>
    </row>
    <row r="696">
      <c r="A696" s="40" t="str">
        <f t="array" ref="A696">IFNA(index(PlayerValues!A:A,match(IFNA(vlookup(B696,'Special Names'!A:B,2,FALSE),B696),PlayerValues!E:E,0)),"N/A")</f>
        <v>N/A</v>
      </c>
      <c r="B696" s="4" t="s">
        <v>110</v>
      </c>
      <c r="C696" s="4" t="s">
        <v>325</v>
      </c>
      <c r="D696" s="94">
        <v>2627.0</v>
      </c>
    </row>
    <row r="697">
      <c r="A697" s="40">
        <f t="array" ref="A697">IFNA(index(PlayerValues!A:A,match(IFNA(vlookup(B697,'Special Names'!A:B,2,FALSE),B697),PlayerValues!E:E,0)),"N/A")</f>
        <v>14778</v>
      </c>
      <c r="B697" s="4" t="s">
        <v>564</v>
      </c>
      <c r="C697" s="4" t="s">
        <v>283</v>
      </c>
      <c r="D697" s="94">
        <v>2626.0</v>
      </c>
    </row>
    <row r="698">
      <c r="A698" s="40">
        <f t="array" ref="A698">IFNA(index(PlayerValues!A:A,match(IFNA(vlookup(B698,'Special Names'!A:B,2,FALSE),B698),PlayerValues!E:E,0)),"N/A")</f>
        <v>17046</v>
      </c>
      <c r="B698" s="4" t="s">
        <v>602</v>
      </c>
      <c r="C698" s="4" t="s">
        <v>278</v>
      </c>
      <c r="D698" s="94">
        <v>2621.0</v>
      </c>
    </row>
    <row r="699">
      <c r="A699" s="40">
        <f t="array" ref="A699">IFNA(index(PlayerValues!A:A,match(IFNA(vlookup(B699,'Special Names'!A:B,2,FALSE),B699),PlayerValues!E:E,0)),"N/A")</f>
        <v>16757</v>
      </c>
      <c r="B699" s="4" t="s">
        <v>558</v>
      </c>
      <c r="C699" s="4" t="s">
        <v>278</v>
      </c>
      <c r="D699" s="94">
        <v>2611.0</v>
      </c>
    </row>
    <row r="700">
      <c r="A700" s="40">
        <f t="array" ref="A700">IFNA(index(PlayerValues!A:A,match(IFNA(vlookup(B700,'Special Names'!A:B,2,FALSE),B700),PlayerValues!E:E,0)),"N/A")</f>
        <v>14138</v>
      </c>
      <c r="B700" s="4" t="s">
        <v>531</v>
      </c>
      <c r="C700" s="4" t="s">
        <v>298</v>
      </c>
      <c r="D700" s="94">
        <v>3020.0</v>
      </c>
    </row>
    <row r="701">
      <c r="A701" s="40">
        <f t="array" ref="A701">IFNA(index(PlayerValues!A:A,match(IFNA(vlookup(B701,'Special Names'!A:B,2,FALSE),B701),PlayerValues!E:E,0)),"N/A")</f>
        <v>13674</v>
      </c>
      <c r="B701" s="4" t="s">
        <v>511</v>
      </c>
      <c r="C701" s="4" t="s">
        <v>298</v>
      </c>
      <c r="D701" s="94">
        <v>3014.0</v>
      </c>
    </row>
    <row r="702">
      <c r="A702" s="40">
        <f t="array" ref="A702">IFNA(index(PlayerValues!A:A,match(IFNA(vlookup(B702,'Special Names'!A:B,2,FALSE),B702),PlayerValues!E:E,0)),"N/A")</f>
        <v>15721</v>
      </c>
      <c r="B702" s="4" t="s">
        <v>504</v>
      </c>
      <c r="C702" s="4" t="s">
        <v>278</v>
      </c>
      <c r="D702" s="94">
        <v>2585.0</v>
      </c>
    </row>
    <row r="703">
      <c r="A703" s="40" t="str">
        <f t="array" ref="A703">IFNA(index(PlayerValues!A:A,match(IFNA(vlookup(B703,'Special Names'!A:B,2,FALSE),B703),PlayerValues!E:E,0)),"N/A")</f>
        <v>N/A</v>
      </c>
      <c r="B703" s="4" t="s">
        <v>557</v>
      </c>
      <c r="C703" s="4" t="s">
        <v>278</v>
      </c>
      <c r="D703" s="94">
        <v>2579.0</v>
      </c>
    </row>
    <row r="704">
      <c r="A704" s="40">
        <f t="array" ref="A704">IFNA(index(PlayerValues!A:A,match(IFNA(vlookup(B704,'Special Names'!A:B,2,FALSE),B704),PlayerValues!E:E,0)),"N/A")</f>
        <v>17108</v>
      </c>
      <c r="B704" s="4" t="s">
        <v>542</v>
      </c>
      <c r="C704" s="4" t="s">
        <v>298</v>
      </c>
      <c r="D704" s="94">
        <v>2988.0</v>
      </c>
    </row>
    <row r="705">
      <c r="A705" s="40">
        <f t="array" ref="A705">IFNA(index(PlayerValues!A:A,match(IFNA(vlookup(B705,'Special Names'!A:B,2,FALSE),B705),PlayerValues!E:E,0)),"N/A")</f>
        <v>13192</v>
      </c>
      <c r="B705" s="4" t="s">
        <v>563</v>
      </c>
      <c r="C705" s="4" t="s">
        <v>298</v>
      </c>
      <c r="D705" s="94">
        <v>2964.0</v>
      </c>
    </row>
    <row r="706">
      <c r="A706" s="40">
        <f t="array" ref="A706">IFNA(index(PlayerValues!A:A,match(IFNA(vlookup(B706,'Special Names'!A:B,2,FALSE),B706),PlayerValues!E:E,0)),"N/A")</f>
        <v>16287</v>
      </c>
      <c r="B706" s="4" t="s">
        <v>516</v>
      </c>
      <c r="C706" s="4" t="s">
        <v>287</v>
      </c>
      <c r="D706" s="94">
        <v>2541.0</v>
      </c>
    </row>
    <row r="707">
      <c r="A707" s="40">
        <f t="array" ref="A707">IFNA(index(PlayerValues!A:A,match(IFNA(vlookup(B707,'Special Names'!A:B,2,FALSE),B707),PlayerValues!E:E,0)),"N/A")</f>
        <v>17464</v>
      </c>
      <c r="B707" s="4" t="s">
        <v>828</v>
      </c>
      <c r="C707" s="4" t="s">
        <v>283</v>
      </c>
      <c r="D707" s="94">
        <v>2540.0</v>
      </c>
    </row>
    <row r="708">
      <c r="A708" s="40">
        <f t="array" ref="A708">IFNA(index(PlayerValues!A:A,match(IFNA(vlookup(B708,'Special Names'!A:B,2,FALSE),B708),PlayerValues!E:E,0)),"N/A")</f>
        <v>16166</v>
      </c>
      <c r="B708" s="4" t="s">
        <v>567</v>
      </c>
      <c r="C708" s="4" t="s">
        <v>278</v>
      </c>
      <c r="D708" s="94">
        <v>2537.0</v>
      </c>
    </row>
    <row r="709">
      <c r="A709" s="40">
        <f t="array" ref="A709">IFNA(index(PlayerValues!A:A,match(IFNA(vlookup(B709,'Special Names'!A:B,2,FALSE),B709),PlayerValues!E:E,0)),"N/A")</f>
        <v>14136</v>
      </c>
      <c r="B709" s="4" t="s">
        <v>536</v>
      </c>
      <c r="C709" s="4" t="s">
        <v>287</v>
      </c>
      <c r="D709" s="94">
        <v>2532.0</v>
      </c>
    </row>
    <row r="710">
      <c r="A710" s="40">
        <f t="array" ref="A710">IFNA(index(PlayerValues!A:A,match(IFNA(vlookup(B710,'Special Names'!A:B,2,FALSE),B710),PlayerValues!E:E,0)),"N/A")</f>
        <v>13671</v>
      </c>
      <c r="B710" s="4" t="s">
        <v>506</v>
      </c>
      <c r="C710" s="4" t="s">
        <v>298</v>
      </c>
      <c r="D710" s="94">
        <v>2939.0</v>
      </c>
    </row>
    <row r="711">
      <c r="A711" s="40">
        <f t="array" ref="A711">IFNA(index(PlayerValues!A:A,match(IFNA(vlookup(B711,'Special Names'!A:B,2,FALSE),B711),PlayerValues!E:E,0)),"N/A")</f>
        <v>17078</v>
      </c>
      <c r="B711" s="4" t="s">
        <v>543</v>
      </c>
      <c r="C711" s="4" t="s">
        <v>287</v>
      </c>
      <c r="D711" s="94">
        <v>2489.0</v>
      </c>
    </row>
    <row r="712">
      <c r="A712" s="40">
        <f t="array" ref="A712">IFNA(index(PlayerValues!A:A,match(IFNA(vlookup(B712,'Special Names'!A:B,2,FALSE),B712),PlayerValues!E:E,0)),"N/A")</f>
        <v>15972</v>
      </c>
      <c r="B712" s="4" t="s">
        <v>469</v>
      </c>
      <c r="C712" s="4" t="s">
        <v>278</v>
      </c>
      <c r="D712" s="94">
        <v>2485.0</v>
      </c>
    </row>
    <row r="713">
      <c r="A713" s="40">
        <f t="array" ref="A713">IFNA(index(PlayerValues!A:A,match(IFNA(vlookup(B713,'Special Names'!A:B,2,FALSE),B713),PlayerValues!E:E,0)),"N/A")</f>
        <v>17509</v>
      </c>
      <c r="B713" s="4" t="s">
        <v>551</v>
      </c>
      <c r="C713" s="4" t="s">
        <v>287</v>
      </c>
      <c r="D713" s="94">
        <v>2482.0</v>
      </c>
    </row>
    <row r="714">
      <c r="A714" s="40">
        <f t="array" ref="A714">IFNA(index(PlayerValues!A:A,match(IFNA(vlookup(B714,'Special Names'!A:B,2,FALSE),B714),PlayerValues!E:E,0)),"N/A")</f>
        <v>17474</v>
      </c>
      <c r="B714" s="4" t="s">
        <v>513</v>
      </c>
      <c r="C714" s="4" t="s">
        <v>278</v>
      </c>
      <c r="D714" s="94">
        <v>2474.0</v>
      </c>
    </row>
    <row r="715">
      <c r="A715" s="40">
        <f t="array" ref="A715">IFNA(index(PlayerValues!A:A,match(IFNA(vlookup(B715,'Special Names'!A:B,2,FALSE),B715),PlayerValues!E:E,0)),"N/A")</f>
        <v>16164</v>
      </c>
      <c r="B715" s="4" t="s">
        <v>512</v>
      </c>
      <c r="C715" s="4" t="s">
        <v>278</v>
      </c>
      <c r="D715" s="94">
        <v>2474.0</v>
      </c>
    </row>
    <row r="716">
      <c r="A716" s="40">
        <f t="array" ref="A716">IFNA(index(PlayerValues!A:A,match(IFNA(vlookup(B716,'Special Names'!A:B,2,FALSE),B716),PlayerValues!E:E,0)),"N/A")</f>
        <v>16617</v>
      </c>
      <c r="B716" s="4" t="s">
        <v>541</v>
      </c>
      <c r="C716" s="4" t="s">
        <v>287</v>
      </c>
      <c r="D716" s="94">
        <v>2470.0</v>
      </c>
    </row>
    <row r="717">
      <c r="A717" s="40">
        <f t="array" ref="A717">IFNA(index(PlayerValues!A:A,match(IFNA(vlookup(B717,'Special Names'!A:B,2,FALSE),B717),PlayerValues!E:E,0)),"N/A")</f>
        <v>16189</v>
      </c>
      <c r="B717" s="4" t="s">
        <v>582</v>
      </c>
      <c r="C717" s="4" t="s">
        <v>287</v>
      </c>
      <c r="D717" s="94">
        <v>2468.0</v>
      </c>
    </row>
    <row r="718">
      <c r="A718" s="40" t="str">
        <f t="array" ref="A718">IFNA(index(PlayerValues!A:A,match(IFNA(vlookup(B718,'Special Names'!A:B,2,FALSE),B718),PlayerValues!E:E,0)),"N/A")</f>
        <v>N/A</v>
      </c>
      <c r="B718" s="4" t="s">
        <v>98</v>
      </c>
      <c r="C718" s="4" t="s">
        <v>325</v>
      </c>
      <c r="D718" s="94">
        <v>2453.0</v>
      </c>
    </row>
    <row r="719">
      <c r="A719" s="40">
        <f t="array" ref="A719">IFNA(index(PlayerValues!A:A,match(IFNA(vlookup(B719,'Special Names'!A:B,2,FALSE),B719),PlayerValues!E:E,0)),"N/A")</f>
        <v>16152</v>
      </c>
      <c r="B719" s="4" t="s">
        <v>601</v>
      </c>
      <c r="C719" s="4" t="s">
        <v>283</v>
      </c>
      <c r="D719" s="94">
        <v>2430.0</v>
      </c>
    </row>
    <row r="720">
      <c r="A720" s="40">
        <f t="array" ref="A720">IFNA(index(PlayerValues!A:A,match(IFNA(vlookup(B720,'Special Names'!A:B,2,FALSE),B720),PlayerValues!E:E,0)),"N/A")</f>
        <v>12616</v>
      </c>
      <c r="B720" s="4" t="s">
        <v>529</v>
      </c>
      <c r="C720" s="4" t="s">
        <v>283</v>
      </c>
      <c r="D720" s="94">
        <v>2427.0</v>
      </c>
    </row>
    <row r="721">
      <c r="A721" s="40">
        <f t="array" ref="A721">IFNA(index(PlayerValues!A:A,match(IFNA(vlookup(B721,'Special Names'!A:B,2,FALSE),B721),PlayerValues!E:E,0)),"N/A")</f>
        <v>16204</v>
      </c>
      <c r="B721" s="4" t="s">
        <v>530</v>
      </c>
      <c r="C721" s="4" t="s">
        <v>287</v>
      </c>
      <c r="D721" s="94">
        <v>2411.0</v>
      </c>
    </row>
    <row r="722">
      <c r="A722" s="40">
        <f t="array" ref="A722">IFNA(index(PlayerValues!A:A,match(IFNA(vlookup(B722,'Special Names'!A:B,2,FALSE),B722),PlayerValues!E:E,0)),"N/A")</f>
        <v>17506</v>
      </c>
      <c r="B722" s="4" t="s">
        <v>471</v>
      </c>
      <c r="C722" s="4" t="s">
        <v>287</v>
      </c>
      <c r="D722" s="94">
        <v>2398.0</v>
      </c>
    </row>
    <row r="723">
      <c r="A723" s="40">
        <f t="array" ref="A723">IFNA(index(PlayerValues!A:A,match(IFNA(vlookup(B723,'Special Names'!A:B,2,FALSE),B723),PlayerValues!E:E,0)),"N/A")</f>
        <v>12676</v>
      </c>
      <c r="B723" s="4" t="s">
        <v>537</v>
      </c>
      <c r="C723" s="4" t="s">
        <v>298</v>
      </c>
      <c r="D723" s="94">
        <v>2792.0</v>
      </c>
    </row>
    <row r="724">
      <c r="A724" s="40">
        <f t="array" ref="A724">IFNA(index(PlayerValues!A:A,match(IFNA(vlookup(B724,'Special Names'!A:B,2,FALSE),B724),PlayerValues!E:E,0)),"N/A")</f>
        <v>17033</v>
      </c>
      <c r="B724" s="4" t="s">
        <v>570</v>
      </c>
      <c r="C724" s="4" t="s">
        <v>283</v>
      </c>
      <c r="D724" s="94">
        <v>2383.0</v>
      </c>
    </row>
    <row r="725">
      <c r="A725" s="40" t="str">
        <f t="array" ref="A725">IFNA(index(PlayerValues!A:A,match(IFNA(vlookup(B725,'Special Names'!A:B,2,FALSE),B725),PlayerValues!E:E,0)),"N/A")</f>
        <v>N/A</v>
      </c>
      <c r="B725" s="4" t="s">
        <v>86</v>
      </c>
      <c r="C725" s="4" t="s">
        <v>325</v>
      </c>
      <c r="D725" s="94">
        <v>2364.0</v>
      </c>
    </row>
    <row r="726">
      <c r="A726" s="40">
        <f t="array" ref="A726">IFNA(index(PlayerValues!A:A,match(IFNA(vlookup(B726,'Special Names'!A:B,2,FALSE),B726),PlayerValues!E:E,0)),"N/A")</f>
        <v>16610</v>
      </c>
      <c r="B726" s="4" t="s">
        <v>562</v>
      </c>
      <c r="C726" s="4" t="s">
        <v>278</v>
      </c>
      <c r="D726" s="94">
        <v>2358.0</v>
      </c>
    </row>
    <row r="727">
      <c r="A727" s="40">
        <f t="array" ref="A727">IFNA(index(PlayerValues!A:A,match(IFNA(vlookup(B727,'Special Names'!A:B,2,FALSE),B727),PlayerValues!E:E,0)),"N/A")</f>
        <v>15716</v>
      </c>
      <c r="B727" s="4" t="s">
        <v>545</v>
      </c>
      <c r="C727" s="4" t="s">
        <v>278</v>
      </c>
      <c r="D727" s="94">
        <v>2355.0</v>
      </c>
    </row>
    <row r="728">
      <c r="A728" s="40">
        <f t="array" ref="A728">IFNA(index(PlayerValues!A:A,match(IFNA(vlookup(B728,'Special Names'!A:B,2,FALSE),B728),PlayerValues!E:E,0)),"N/A")</f>
        <v>14861</v>
      </c>
      <c r="B728" s="4" t="s">
        <v>523</v>
      </c>
      <c r="C728" s="4" t="s">
        <v>298</v>
      </c>
      <c r="D728" s="94">
        <v>2746.0</v>
      </c>
    </row>
    <row r="729">
      <c r="A729" s="40">
        <f t="array" ref="A729">IFNA(index(PlayerValues!A:A,match(IFNA(vlookup(B729,'Special Names'!A:B,2,FALSE),B729),PlayerValues!E:E,0)),"N/A")</f>
        <v>13132</v>
      </c>
      <c r="B729" s="4" t="s">
        <v>598</v>
      </c>
      <c r="C729" s="4" t="s">
        <v>278</v>
      </c>
      <c r="D729" s="94">
        <v>2346.0</v>
      </c>
    </row>
    <row r="730">
      <c r="A730" s="40">
        <f t="array" ref="A730">IFNA(index(PlayerValues!A:A,match(IFNA(vlookup(B730,'Special Names'!A:B,2,FALSE),B730),PlayerValues!E:E,0)),"N/A")</f>
        <v>13772</v>
      </c>
      <c r="B730" s="4" t="s">
        <v>544</v>
      </c>
      <c r="C730" s="4" t="s">
        <v>298</v>
      </c>
      <c r="D730" s="94">
        <v>2742.0</v>
      </c>
    </row>
    <row r="731">
      <c r="A731" s="40">
        <f t="array" ref="A731">IFNA(index(PlayerValues!A:A,match(IFNA(vlookup(B731,'Special Names'!A:B,2,FALSE),B731),PlayerValues!E:E,0)),"N/A")</f>
        <v>16178</v>
      </c>
      <c r="B731" s="4" t="s">
        <v>507</v>
      </c>
      <c r="C731" s="4" t="s">
        <v>278</v>
      </c>
      <c r="D731" s="94">
        <v>2339.0</v>
      </c>
    </row>
    <row r="732">
      <c r="A732" s="40">
        <f t="array" ref="A732">IFNA(index(PlayerValues!A:A,match(IFNA(vlookup(B732,'Special Names'!A:B,2,FALSE),B732),PlayerValues!E:E,0)),"N/A")</f>
        <v>17079</v>
      </c>
      <c r="B732" s="4" t="s">
        <v>572</v>
      </c>
      <c r="C732" s="4" t="s">
        <v>287</v>
      </c>
      <c r="D732" s="94">
        <v>2334.0</v>
      </c>
    </row>
    <row r="733">
      <c r="A733" s="40">
        <f t="array" ref="A733">IFNA(index(PlayerValues!A:A,match(IFNA(vlookup(B733,'Special Names'!A:B,2,FALSE),B733),PlayerValues!E:E,0)),"N/A")</f>
        <v>17105</v>
      </c>
      <c r="B733" s="4" t="s">
        <v>525</v>
      </c>
      <c r="C733" s="4" t="s">
        <v>298</v>
      </c>
      <c r="D733" s="94">
        <v>2733.0</v>
      </c>
    </row>
    <row r="734">
      <c r="A734" s="40" t="str">
        <f t="array" ref="A734">IFNA(index(PlayerValues!A:A,match(IFNA(vlookup(B734,'Special Names'!A:B,2,FALSE),B734),PlayerValues!E:E,0)),"N/A")</f>
        <v>N/A</v>
      </c>
      <c r="B734" s="4" t="s">
        <v>99</v>
      </c>
      <c r="C734" s="4" t="s">
        <v>325</v>
      </c>
      <c r="D734" s="94">
        <v>2325.0</v>
      </c>
    </row>
    <row r="735">
      <c r="A735" s="40">
        <f t="array" ref="A735">IFNA(index(PlayerValues!A:A,match(IFNA(vlookup(B735,'Special Names'!A:B,2,FALSE),B735),PlayerValues!E:E,0)),"N/A")</f>
        <v>15802</v>
      </c>
      <c r="B735" s="4" t="s">
        <v>566</v>
      </c>
      <c r="C735" s="4" t="s">
        <v>298</v>
      </c>
      <c r="D735" s="94">
        <v>2722.0</v>
      </c>
    </row>
    <row r="736">
      <c r="A736" s="40">
        <f t="array" ref="A736">IFNA(index(PlayerValues!A:A,match(IFNA(vlookup(B736,'Special Names'!A:B,2,FALSE),B736),PlayerValues!E:E,0)),"N/A")</f>
        <v>17049</v>
      </c>
      <c r="B736" s="4" t="s">
        <v>624</v>
      </c>
      <c r="C736" s="4" t="s">
        <v>278</v>
      </c>
      <c r="D736" s="94">
        <v>2307.0</v>
      </c>
    </row>
    <row r="737">
      <c r="A737" s="40">
        <f t="array" ref="A737">IFNA(index(PlayerValues!A:A,match(IFNA(vlookup(B737,'Special Names'!A:B,2,FALSE),B737),PlayerValues!E:E,0)),"N/A")</f>
        <v>12801</v>
      </c>
      <c r="B737" s="4" t="s">
        <v>722</v>
      </c>
      <c r="C737" s="4" t="s">
        <v>287</v>
      </c>
      <c r="D737" s="94">
        <v>2303.0</v>
      </c>
    </row>
    <row r="738">
      <c r="A738" s="40">
        <f t="array" ref="A738">IFNA(index(PlayerValues!A:A,match(IFNA(vlookup(B738,'Special Names'!A:B,2,FALSE),B738),PlayerValues!E:E,0)),"N/A")</f>
        <v>16212</v>
      </c>
      <c r="B738" s="4" t="s">
        <v>568</v>
      </c>
      <c r="C738" s="4" t="s">
        <v>298</v>
      </c>
      <c r="D738" s="94">
        <v>2686.0</v>
      </c>
    </row>
    <row r="739">
      <c r="A739" s="40">
        <f t="array" ref="A739">IFNA(index(PlayerValues!A:A,match(IFNA(vlookup(B739,'Special Names'!A:B,2,FALSE),B739),PlayerValues!E:E,0)),"N/A")</f>
        <v>16171</v>
      </c>
      <c r="B739" s="4" t="s">
        <v>618</v>
      </c>
      <c r="C739" s="4" t="s">
        <v>278</v>
      </c>
      <c r="D739" s="94">
        <v>2282.0</v>
      </c>
    </row>
    <row r="740">
      <c r="A740" s="40">
        <f t="array" ref="A740">IFNA(index(PlayerValues!A:A,match(IFNA(vlookup(B740,'Special Names'!A:B,2,FALSE),B740),PlayerValues!E:E,0)),"N/A")</f>
        <v>17076</v>
      </c>
      <c r="B740" s="4" t="s">
        <v>585</v>
      </c>
      <c r="C740" s="4" t="s">
        <v>287</v>
      </c>
      <c r="D740" s="94">
        <v>2250.0</v>
      </c>
    </row>
    <row r="741">
      <c r="A741" s="40">
        <f t="array" ref="A741">IFNA(index(PlayerValues!A:A,match(IFNA(vlookup(B741,'Special Names'!A:B,2,FALSE),B741),PlayerValues!E:E,0)),"N/A")</f>
        <v>16195</v>
      </c>
      <c r="B741" s="4" t="s">
        <v>509</v>
      </c>
      <c r="C741" s="4" t="s">
        <v>287</v>
      </c>
      <c r="D741" s="94">
        <v>2232.0</v>
      </c>
    </row>
    <row r="742">
      <c r="A742" s="40">
        <f t="array" ref="A742">IFNA(index(PlayerValues!A:A,match(IFNA(vlookup(B742,'Special Names'!A:B,2,FALSE),B742),PlayerValues!E:E,0)),"N/A")</f>
        <v>16342</v>
      </c>
      <c r="B742" s="4" t="s">
        <v>583</v>
      </c>
      <c r="C742" s="4" t="s">
        <v>287</v>
      </c>
      <c r="D742" s="94">
        <v>2225.0</v>
      </c>
    </row>
    <row r="743">
      <c r="A743" s="40">
        <f t="array" ref="A743">IFNA(index(PlayerValues!A:A,match(IFNA(vlookup(B743,'Special Names'!A:B,2,FALSE),B743),PlayerValues!E:E,0)),"N/A")</f>
        <v>17478</v>
      </c>
      <c r="B743" s="4" t="s">
        <v>527</v>
      </c>
      <c r="C743" s="4" t="s">
        <v>278</v>
      </c>
      <c r="D743" s="94">
        <v>2215.0</v>
      </c>
    </row>
    <row r="744">
      <c r="A744" s="40">
        <f t="array" ref="A744">IFNA(index(PlayerValues!A:A,match(IFNA(vlookup(B744,'Special Names'!A:B,2,FALSE),B744),PlayerValues!E:E,0)),"N/A")</f>
        <v>17544</v>
      </c>
      <c r="B744" s="4" t="s">
        <v>470</v>
      </c>
      <c r="C744" s="4" t="s">
        <v>298</v>
      </c>
      <c r="D744" s="94">
        <v>2605.0</v>
      </c>
    </row>
    <row r="745">
      <c r="A745" s="40">
        <f t="array" ref="A745">IFNA(index(PlayerValues!A:A,match(IFNA(vlookup(B745,'Special Names'!A:B,2,FALSE),B745),PlayerValues!E:E,0)),"N/A")</f>
        <v>16639</v>
      </c>
      <c r="B745" s="4" t="s">
        <v>599</v>
      </c>
      <c r="C745" s="4" t="s">
        <v>287</v>
      </c>
      <c r="D745" s="94">
        <v>2207.0</v>
      </c>
    </row>
    <row r="746">
      <c r="A746" s="40">
        <f t="array" ref="A746">IFNA(index(PlayerValues!A:A,match(IFNA(vlookup(B746,'Special Names'!A:B,2,FALSE),B746),PlayerValues!E:E,0)),"N/A")</f>
        <v>17034</v>
      </c>
      <c r="B746" s="4" t="s">
        <v>643</v>
      </c>
      <c r="C746" s="4" t="s">
        <v>283</v>
      </c>
      <c r="D746" s="94">
        <v>2197.0</v>
      </c>
    </row>
    <row r="747">
      <c r="A747" s="40" t="str">
        <f t="array" ref="A747">IFNA(index(PlayerValues!A:A,match(IFNA(vlookup(B747,'Special Names'!A:B,2,FALSE),B747),PlayerValues!E:E,0)),"N/A")</f>
        <v>N/A</v>
      </c>
      <c r="B747" s="4" t="s">
        <v>100</v>
      </c>
      <c r="C747" s="4" t="s">
        <v>325</v>
      </c>
      <c r="D747" s="94">
        <v>2192.0</v>
      </c>
    </row>
    <row r="748">
      <c r="A748" s="40">
        <f t="array" ref="A748">IFNA(index(PlayerValues!A:A,match(IFNA(vlookup(B748,'Special Names'!A:B,2,FALSE),B748),PlayerValues!E:E,0)),"N/A")</f>
        <v>13319</v>
      </c>
      <c r="B748" s="4" t="s">
        <v>549</v>
      </c>
      <c r="C748" s="4" t="s">
        <v>278</v>
      </c>
      <c r="D748" s="94">
        <v>2190.0</v>
      </c>
    </row>
    <row r="749">
      <c r="A749" s="40" t="str">
        <f t="array" ref="A749">IFNA(index(PlayerValues!A:A,match(IFNA(vlookup(B749,'Special Names'!A:B,2,FALSE),B749),PlayerValues!E:E,0)),"N/A")</f>
        <v>N/A</v>
      </c>
      <c r="B749" s="4" t="s">
        <v>87</v>
      </c>
      <c r="C749" s="4" t="s">
        <v>325</v>
      </c>
      <c r="D749" s="94">
        <v>2189.0</v>
      </c>
    </row>
    <row r="750">
      <c r="A750" s="40">
        <f t="array" ref="A750">IFNA(index(PlayerValues!A:A,match(IFNA(vlookup(B750,'Special Names'!A:B,2,FALSE),B750),PlayerValues!E:E,0)),"N/A")</f>
        <v>16036</v>
      </c>
      <c r="B750" s="4" t="s">
        <v>592</v>
      </c>
      <c r="C750" s="4" t="s">
        <v>298</v>
      </c>
      <c r="D750" s="94">
        <v>2573.0</v>
      </c>
    </row>
    <row r="751">
      <c r="A751" s="40">
        <f t="array" ref="A751">IFNA(index(PlayerValues!A:A,match(IFNA(vlookup(B751,'Special Names'!A:B,2,FALSE),B751),PlayerValues!E:E,0)),"N/A")</f>
        <v>17069</v>
      </c>
      <c r="B751" s="4" t="s">
        <v>604</v>
      </c>
      <c r="C751" s="4" t="s">
        <v>278</v>
      </c>
      <c r="D751" s="94">
        <v>2176.0</v>
      </c>
    </row>
    <row r="752">
      <c r="A752" s="40">
        <f t="array" ref="A752">IFNA(index(PlayerValues!A:A,match(IFNA(vlookup(B752,'Special Names'!A:B,2,FALSE),B752),PlayerValues!E:E,0)),"N/A")</f>
        <v>15889</v>
      </c>
      <c r="B752" s="4" t="s">
        <v>503</v>
      </c>
      <c r="C752" s="4" t="s">
        <v>298</v>
      </c>
      <c r="D752" s="94">
        <v>2566.0</v>
      </c>
    </row>
    <row r="753">
      <c r="A753" s="40">
        <f t="array" ref="A753">IFNA(index(PlayerValues!A:A,match(IFNA(vlookup(B753,'Special Names'!A:B,2,FALSE),B753),PlayerValues!E:E,0)),"N/A")</f>
        <v>16684</v>
      </c>
      <c r="B753" s="4" t="s">
        <v>500</v>
      </c>
      <c r="C753" s="4" t="s">
        <v>287</v>
      </c>
      <c r="D753" s="94">
        <v>2173.0</v>
      </c>
    </row>
    <row r="754">
      <c r="A754" s="40">
        <f t="array" ref="A754">IFNA(index(PlayerValues!A:A,match(IFNA(vlookup(B754,'Special Names'!A:B,2,FALSE),B754),PlayerValues!E:E,0)),"N/A")</f>
        <v>17503</v>
      </c>
      <c r="B754" s="4" t="s">
        <v>480</v>
      </c>
      <c r="C754" s="4" t="s">
        <v>287</v>
      </c>
      <c r="D754" s="94">
        <v>2157.0</v>
      </c>
    </row>
    <row r="755">
      <c r="A755" s="40">
        <f t="array" ref="A755">IFNA(index(PlayerValues!A:A,match(IFNA(vlookup(B755,'Special Names'!A:B,2,FALSE),B755),PlayerValues!E:E,0)),"N/A")</f>
        <v>15749</v>
      </c>
      <c r="B755" s="4" t="s">
        <v>574</v>
      </c>
      <c r="C755" s="4" t="s">
        <v>278</v>
      </c>
      <c r="D755" s="94">
        <v>2137.0</v>
      </c>
    </row>
    <row r="756">
      <c r="A756" s="40">
        <f t="array" ref="A756">IFNA(index(PlayerValues!A:A,match(IFNA(vlookup(B756,'Special Names'!A:B,2,FALSE),B756),PlayerValues!E:E,0)),"N/A")</f>
        <v>16752</v>
      </c>
      <c r="B756" s="4" t="s">
        <v>597</v>
      </c>
      <c r="C756" s="4" t="s">
        <v>278</v>
      </c>
      <c r="D756" s="94">
        <v>2128.0</v>
      </c>
    </row>
    <row r="757">
      <c r="A757" s="40">
        <f t="array" ref="A757">IFNA(index(PlayerValues!A:A,match(IFNA(vlookup(B757,'Special Names'!A:B,2,FALSE),B757),PlayerValues!E:E,0)),"N/A")</f>
        <v>14871</v>
      </c>
      <c r="B757" s="4" t="s">
        <v>584</v>
      </c>
      <c r="C757" s="4" t="s">
        <v>298</v>
      </c>
      <c r="D757" s="94">
        <v>2513.0</v>
      </c>
    </row>
    <row r="758">
      <c r="A758" s="40" t="str">
        <f t="array" ref="A758">IFNA(index(PlayerValues!A:A,match(IFNA(vlookup(B758,'Special Names'!A:B,2,FALSE),B758),PlayerValues!E:E,0)),"N/A")</f>
        <v>N/A</v>
      </c>
      <c r="B758" s="4" t="s">
        <v>112</v>
      </c>
      <c r="C758" s="4" t="s">
        <v>325</v>
      </c>
      <c r="D758" s="94">
        <v>2121.0</v>
      </c>
    </row>
    <row r="759">
      <c r="A759" s="40">
        <f t="array" ref="A759">IFNA(index(PlayerValues!A:A,match(IFNA(vlookup(B759,'Special Names'!A:B,2,FALSE),B759),PlayerValues!E:E,0)),"N/A")</f>
        <v>16191</v>
      </c>
      <c r="B759" s="4" t="s">
        <v>666</v>
      </c>
      <c r="C759" s="4" t="s">
        <v>287</v>
      </c>
      <c r="D759" s="94">
        <v>2111.0</v>
      </c>
    </row>
    <row r="760">
      <c r="A760" s="40">
        <f t="array" ref="A760">IFNA(index(PlayerValues!A:A,match(IFNA(vlookup(B760,'Special Names'!A:B,2,FALSE),B760),PlayerValues!E:E,0)),"N/A")</f>
        <v>17087</v>
      </c>
      <c r="B760" s="4" t="s">
        <v>600</v>
      </c>
      <c r="C760" s="4" t="s">
        <v>287</v>
      </c>
      <c r="D760" s="94">
        <v>2110.0</v>
      </c>
    </row>
    <row r="761">
      <c r="A761" s="40">
        <f t="array" ref="A761">IFNA(index(PlayerValues!A:A,match(IFNA(vlookup(B761,'Special Names'!A:B,2,FALSE),B761),PlayerValues!E:E,0)),"N/A")</f>
        <v>16644</v>
      </c>
      <c r="B761" s="4" t="s">
        <v>640</v>
      </c>
      <c r="C761" s="4" t="s">
        <v>298</v>
      </c>
      <c r="D761" s="94">
        <v>2500.0</v>
      </c>
    </row>
    <row r="762">
      <c r="A762" s="40">
        <f t="array" ref="A762">IFNA(index(PlayerValues!A:A,match(IFNA(vlookup(B762,'Special Names'!A:B,2,FALSE),B762),PlayerValues!E:E,0)),"N/A")</f>
        <v>16432</v>
      </c>
      <c r="B762" s="4" t="s">
        <v>620</v>
      </c>
      <c r="C762" s="4" t="s">
        <v>278</v>
      </c>
      <c r="D762" s="94">
        <v>2101.0</v>
      </c>
    </row>
    <row r="763">
      <c r="A763" s="40">
        <f t="array" ref="A763">IFNA(index(PlayerValues!A:A,match(IFNA(vlookup(B763,'Special Names'!A:B,2,FALSE),B763),PlayerValues!E:E,0)),"N/A")</f>
        <v>14867</v>
      </c>
      <c r="B763" s="4" t="s">
        <v>591</v>
      </c>
      <c r="C763" s="4" t="s">
        <v>298</v>
      </c>
      <c r="D763" s="94">
        <v>2480.0</v>
      </c>
    </row>
    <row r="764">
      <c r="A764" s="40" t="str">
        <f t="array" ref="A764">IFNA(index(PlayerValues!A:A,match(IFNA(vlookup(B764,'Special Names'!A:B,2,FALSE),B764),PlayerValues!E:E,0)),"N/A")</f>
        <v>N/A</v>
      </c>
      <c r="B764" s="4" t="s">
        <v>88</v>
      </c>
      <c r="C764" s="4" t="s">
        <v>325</v>
      </c>
      <c r="D764" s="94">
        <v>2085.0</v>
      </c>
    </row>
    <row r="765">
      <c r="A765" s="40">
        <f t="array" ref="A765">IFNA(index(PlayerValues!A:A,match(IFNA(vlookup(B765,'Special Names'!A:B,2,FALSE),B765),PlayerValues!E:E,0)),"N/A")</f>
        <v>16643</v>
      </c>
      <c r="B765" s="4" t="s">
        <v>609</v>
      </c>
      <c r="C765" s="4" t="s">
        <v>298</v>
      </c>
      <c r="D765" s="94">
        <v>2474.0</v>
      </c>
    </row>
    <row r="766">
      <c r="A766" s="40">
        <f t="array" ref="A766">IFNA(index(PlayerValues!A:A,match(IFNA(vlookup(B766,'Special Names'!A:B,2,FALSE),B766),PlayerValues!E:E,0)),"N/A")</f>
        <v>16174</v>
      </c>
      <c r="B766" s="4" t="s">
        <v>505</v>
      </c>
      <c r="C766" s="4" t="s">
        <v>278</v>
      </c>
      <c r="D766" s="94">
        <v>2081.0</v>
      </c>
    </row>
    <row r="767">
      <c r="A767" s="40">
        <f t="array" ref="A767">IFNA(index(PlayerValues!A:A,match(IFNA(vlookup(B767,'Special Names'!A:B,2,FALSE),B767),PlayerValues!E:E,0)),"N/A")</f>
        <v>17482</v>
      </c>
      <c r="B767" s="4" t="s">
        <v>460</v>
      </c>
      <c r="C767" s="4" t="s">
        <v>278</v>
      </c>
      <c r="D767" s="94">
        <v>2072.0</v>
      </c>
    </row>
    <row r="768">
      <c r="A768" s="40">
        <f t="array" ref="A768">IFNA(index(PlayerValues!A:A,match(IFNA(vlookup(B768,'Special Names'!A:B,2,FALSE),B768),PlayerValues!E:E,0)),"N/A")</f>
        <v>15238</v>
      </c>
      <c r="B768" s="4" t="s">
        <v>613</v>
      </c>
      <c r="C768" s="4" t="s">
        <v>283</v>
      </c>
      <c r="D768" s="94">
        <v>2058.0</v>
      </c>
    </row>
    <row r="769">
      <c r="A769" s="40">
        <f t="array" ref="A769">IFNA(index(PlayerValues!A:A,match(IFNA(vlookup(B769,'Special Names'!A:B,2,FALSE),B769),PlayerValues!E:E,0)),"N/A")</f>
        <v>15331</v>
      </c>
      <c r="B769" s="4" t="s">
        <v>560</v>
      </c>
      <c r="C769" s="4" t="s">
        <v>298</v>
      </c>
      <c r="D769" s="94">
        <v>2423.0</v>
      </c>
    </row>
    <row r="770">
      <c r="A770" s="40">
        <f t="array" ref="A770">IFNA(index(PlayerValues!A:A,match(IFNA(vlookup(B770,'Special Names'!A:B,2,FALSE),B770),PlayerValues!E:E,0)),"N/A")</f>
        <v>17517</v>
      </c>
      <c r="B770" s="4" t="s">
        <v>454</v>
      </c>
      <c r="C770" s="4" t="s">
        <v>287</v>
      </c>
      <c r="D770" s="94">
        <v>2029.0</v>
      </c>
    </row>
    <row r="771">
      <c r="A771" s="40">
        <f t="array" ref="A771">IFNA(index(PlayerValues!A:A,match(IFNA(vlookup(B771,'Special Names'!A:B,2,FALSE),B771),PlayerValues!E:E,0)),"N/A")</f>
        <v>17056</v>
      </c>
      <c r="B771" s="4" t="s">
        <v>581</v>
      </c>
      <c r="C771" s="4" t="s">
        <v>278</v>
      </c>
      <c r="D771" s="94">
        <v>2025.0</v>
      </c>
    </row>
    <row r="772">
      <c r="A772" s="40">
        <f t="array" ref="A772">IFNA(index(PlayerValues!A:A,match(IFNA(vlookup(B772,'Special Names'!A:B,2,FALSE),B772),PlayerValues!E:E,0)),"N/A")</f>
        <v>17512</v>
      </c>
      <c r="B772" s="4" t="s">
        <v>483</v>
      </c>
      <c r="C772" s="4" t="s">
        <v>287</v>
      </c>
      <c r="D772" s="94">
        <v>2023.0</v>
      </c>
    </row>
    <row r="773">
      <c r="A773" s="40">
        <f t="array" ref="A773">IFNA(index(PlayerValues!A:A,match(IFNA(vlookup(B773,'Special Names'!A:B,2,FALSE),B773),PlayerValues!E:E,0)),"N/A")</f>
        <v>13146</v>
      </c>
      <c r="B773" s="4" t="s">
        <v>652</v>
      </c>
      <c r="C773" s="4" t="s">
        <v>278</v>
      </c>
      <c r="D773" s="94">
        <v>2013.0</v>
      </c>
    </row>
    <row r="774">
      <c r="A774" s="40">
        <f t="array" ref="A774">IFNA(index(PlayerValues!A:A,match(IFNA(vlookup(B774,'Special Names'!A:B,2,FALSE),B774),PlayerValues!E:E,0)),"N/A")</f>
        <v>17547</v>
      </c>
      <c r="B774" s="4" t="s">
        <v>552</v>
      </c>
      <c r="C774" s="4" t="s">
        <v>298</v>
      </c>
      <c r="D774" s="94">
        <v>2394.0</v>
      </c>
    </row>
    <row r="775">
      <c r="A775" s="40" t="str">
        <f t="array" ref="A775">IFNA(index(PlayerValues!A:A,match(IFNA(vlookup(B775,'Special Names'!A:B,2,FALSE),B775),PlayerValues!E:E,0)),"N/A")</f>
        <v>N/A</v>
      </c>
      <c r="B775" s="4" t="s">
        <v>113</v>
      </c>
      <c r="C775" s="4" t="s">
        <v>325</v>
      </c>
      <c r="D775" s="94">
        <v>2001.0</v>
      </c>
    </row>
    <row r="776">
      <c r="A776" s="40">
        <f t="array" ref="A776">IFNA(index(PlayerValues!A:A,match(IFNA(vlookup(B776,'Special Names'!A:B,2,FALSE),B776),PlayerValues!E:E,0)),"N/A")</f>
        <v>17060</v>
      </c>
      <c r="B776" s="4" t="s">
        <v>603</v>
      </c>
      <c r="C776" s="4" t="s">
        <v>278</v>
      </c>
      <c r="D776" s="94">
        <v>2000.0</v>
      </c>
    </row>
    <row r="777">
      <c r="A777" s="40">
        <f t="array" ref="A777">IFNA(index(PlayerValues!A:A,match(IFNA(vlookup(B777,'Special Names'!A:B,2,FALSE),B777),PlayerValues!E:E,0)),"N/A")</f>
        <v>16603</v>
      </c>
      <c r="B777" s="4" t="s">
        <v>587</v>
      </c>
      <c r="C777" s="4" t="s">
        <v>278</v>
      </c>
      <c r="D777" s="94">
        <v>1985.0</v>
      </c>
    </row>
    <row r="778">
      <c r="A778" s="40">
        <f t="array" ref="A778">IFNA(index(PlayerValues!A:A,match(IFNA(vlookup(B778,'Special Names'!A:B,2,FALSE),B778),PlayerValues!E:E,0)),"N/A")</f>
        <v>14974</v>
      </c>
      <c r="B778" s="4" t="s">
        <v>611</v>
      </c>
      <c r="C778" s="4" t="s">
        <v>287</v>
      </c>
      <c r="D778" s="94">
        <v>1974.0</v>
      </c>
    </row>
    <row r="779">
      <c r="A779" s="40">
        <f t="array" ref="A779">IFNA(index(PlayerValues!A:A,match(IFNA(vlookup(B779,'Special Names'!A:B,2,FALSE),B779),PlayerValues!E:E,0)),"N/A")</f>
        <v>17546</v>
      </c>
      <c r="B779" s="4" t="s">
        <v>671</v>
      </c>
      <c r="C779" s="4" t="s">
        <v>298</v>
      </c>
      <c r="D779" s="94">
        <v>2358.0</v>
      </c>
    </row>
    <row r="780">
      <c r="A780" s="40">
        <f t="array" ref="A780">IFNA(index(PlayerValues!A:A,match(IFNA(vlookup(B780,'Special Names'!A:B,2,FALSE),B780),PlayerValues!E:E,0)),"N/A")</f>
        <v>13633</v>
      </c>
      <c r="B780" s="4" t="s">
        <v>625</v>
      </c>
      <c r="C780" s="4" t="s">
        <v>287</v>
      </c>
      <c r="D780" s="94">
        <v>1964.0</v>
      </c>
    </row>
    <row r="781">
      <c r="A781" s="40">
        <f t="array" ref="A781">IFNA(index(PlayerValues!A:A,match(IFNA(vlookup(B781,'Special Names'!A:B,2,FALSE),B781),PlayerValues!E:E,0)),"N/A")</f>
        <v>17508</v>
      </c>
      <c r="B781" s="4" t="s">
        <v>534</v>
      </c>
      <c r="C781" s="4" t="s">
        <v>287</v>
      </c>
      <c r="D781" s="94">
        <v>1961.0</v>
      </c>
    </row>
    <row r="782">
      <c r="A782" s="40">
        <f t="array" ref="A782">IFNA(index(PlayerValues!A:A,match(IFNA(vlookup(B782,'Special Names'!A:B,2,FALSE),B782),PlayerValues!E:E,0)),"N/A")</f>
        <v>15293</v>
      </c>
      <c r="B782" s="4" t="s">
        <v>578</v>
      </c>
      <c r="C782" s="4" t="s">
        <v>287</v>
      </c>
      <c r="D782" s="94">
        <v>1953.0</v>
      </c>
    </row>
    <row r="783">
      <c r="A783" s="40">
        <f t="array" ref="A783">IFNA(index(PlayerValues!A:A,match(IFNA(vlookup(B783,'Special Names'!A:B,2,FALSE),B783),PlayerValues!E:E,0)),"N/A")</f>
        <v>17184</v>
      </c>
      <c r="B783" s="4" t="s">
        <v>588</v>
      </c>
      <c r="C783" s="4" t="s">
        <v>287</v>
      </c>
      <c r="D783" s="94">
        <v>1938.0</v>
      </c>
    </row>
    <row r="784">
      <c r="A784" s="40">
        <f t="array" ref="A784">IFNA(index(PlayerValues!A:A,match(IFNA(vlookup(B784,'Special Names'!A:B,2,FALSE),B784),PlayerValues!E:E,0)),"N/A")</f>
        <v>11244</v>
      </c>
      <c r="B784" s="4" t="s">
        <v>519</v>
      </c>
      <c r="C784" s="4" t="s">
        <v>298</v>
      </c>
      <c r="D784" s="94">
        <v>2317.0</v>
      </c>
    </row>
    <row r="785">
      <c r="A785" s="40">
        <f t="array" ref="A785">IFNA(index(PlayerValues!A:A,match(IFNA(vlookup(B785,'Special Names'!A:B,2,FALSE),B785),PlayerValues!E:E,0)),"N/A")</f>
        <v>16778</v>
      </c>
      <c r="B785" s="4" t="s">
        <v>577</v>
      </c>
      <c r="C785" s="4" t="s">
        <v>287</v>
      </c>
      <c r="D785" s="94">
        <v>1904.0</v>
      </c>
    </row>
    <row r="786">
      <c r="A786" s="40">
        <f t="array" ref="A786">IFNA(index(PlayerValues!A:A,match(IFNA(vlookup(B786,'Special Names'!A:B,2,FALSE),B786),PlayerValues!E:E,0)),"N/A")</f>
        <v>16216</v>
      </c>
      <c r="B786" s="4" t="s">
        <v>595</v>
      </c>
      <c r="C786" s="4" t="s">
        <v>298</v>
      </c>
      <c r="D786" s="94">
        <v>2283.0</v>
      </c>
    </row>
    <row r="787">
      <c r="A787" s="40">
        <f t="array" ref="A787">IFNA(index(PlayerValues!A:A,match(IFNA(vlookup(B787,'Special Names'!A:B,2,FALSE),B787),PlayerValues!E:E,0)),"N/A")</f>
        <v>17465</v>
      </c>
      <c r="B787" s="4" t="s">
        <v>649</v>
      </c>
      <c r="C787" s="4" t="s">
        <v>283</v>
      </c>
      <c r="D787" s="94">
        <v>1895.0</v>
      </c>
    </row>
    <row r="788">
      <c r="A788" s="40" t="str">
        <f t="array" ref="A788">IFNA(index(PlayerValues!A:A,match(IFNA(vlookup(B788,'Special Names'!A:B,2,FALSE),B788),PlayerValues!E:E,0)),"N/A")</f>
        <v>N/A</v>
      </c>
      <c r="B788" s="4" t="s">
        <v>114</v>
      </c>
      <c r="C788" s="4" t="s">
        <v>325</v>
      </c>
      <c r="D788" s="94">
        <v>1894.0</v>
      </c>
    </row>
    <row r="789">
      <c r="A789" s="40">
        <f t="array" ref="A789">IFNA(index(PlayerValues!A:A,match(IFNA(vlookup(B789,'Special Names'!A:B,2,FALSE),B789),PlayerValues!E:E,0)),"N/A")</f>
        <v>13189</v>
      </c>
      <c r="B789" s="4" t="s">
        <v>626</v>
      </c>
      <c r="C789" s="4" t="s">
        <v>298</v>
      </c>
      <c r="D789" s="94">
        <v>2275.0</v>
      </c>
    </row>
    <row r="790">
      <c r="A790" s="40">
        <f t="array" ref="A790">IFNA(index(PlayerValues!A:A,match(IFNA(vlookup(B790,'Special Names'!A:B,2,FALSE),B790),PlayerValues!E:E,0)),"N/A")</f>
        <v>15759</v>
      </c>
      <c r="B790" s="4" t="s">
        <v>662</v>
      </c>
      <c r="C790" s="4" t="s">
        <v>287</v>
      </c>
      <c r="D790" s="94">
        <v>1878.0</v>
      </c>
    </row>
    <row r="791">
      <c r="A791" s="40">
        <f t="array" ref="A791">IFNA(index(PlayerValues!A:A,match(IFNA(vlookup(B791,'Special Names'!A:B,2,FALSE),B791),PlayerValues!E:E,0)),"N/A")</f>
        <v>16215</v>
      </c>
      <c r="B791" s="4" t="s">
        <v>637</v>
      </c>
      <c r="C791" s="4" t="s">
        <v>298</v>
      </c>
      <c r="D791" s="94">
        <v>2260.0</v>
      </c>
    </row>
    <row r="792">
      <c r="A792" s="40">
        <f t="array" ref="A792">IFNA(index(PlayerValues!A:A,match(IFNA(vlookup(B792,'Special Names'!A:B,2,FALSE),B792),PlayerValues!E:E,0)),"N/A")</f>
        <v>17036</v>
      </c>
      <c r="B792" s="4" t="s">
        <v>617</v>
      </c>
      <c r="C792" s="4" t="s">
        <v>283</v>
      </c>
      <c r="D792" s="94">
        <v>1872.0</v>
      </c>
    </row>
    <row r="793">
      <c r="A793" s="40">
        <f t="array" ref="A793">IFNA(index(PlayerValues!A:A,match(IFNA(vlookup(B793,'Special Names'!A:B,2,FALSE),B793),PlayerValues!E:E,0)),"N/A")</f>
        <v>16201</v>
      </c>
      <c r="B793" s="4" t="s">
        <v>589</v>
      </c>
      <c r="C793" s="4" t="s">
        <v>287</v>
      </c>
      <c r="D793" s="94">
        <v>1857.0</v>
      </c>
    </row>
    <row r="794">
      <c r="A794" s="40">
        <f t="array" ref="A794">IFNA(index(PlayerValues!A:A,match(IFNA(vlookup(B794,'Special Names'!A:B,2,FALSE),B794),PlayerValues!E:E,0)),"N/A")</f>
        <v>15254</v>
      </c>
      <c r="B794" s="4" t="s">
        <v>633</v>
      </c>
      <c r="C794" s="4" t="s">
        <v>278</v>
      </c>
      <c r="D794" s="94">
        <v>1848.0</v>
      </c>
    </row>
    <row r="795">
      <c r="A795" s="40">
        <f t="array" ref="A795">IFNA(index(PlayerValues!A:A,match(IFNA(vlookup(B795,'Special Names'!A:B,2,FALSE),B795),PlayerValues!E:E,0)),"N/A")</f>
        <v>16635</v>
      </c>
      <c r="B795" s="4" t="s">
        <v>645</v>
      </c>
      <c r="C795" s="4" t="s">
        <v>287</v>
      </c>
      <c r="D795" s="94">
        <v>1848.0</v>
      </c>
    </row>
    <row r="796">
      <c r="A796" s="40">
        <f t="array" ref="A796">IFNA(index(PlayerValues!A:A,match(IFNA(vlookup(B796,'Special Names'!A:B,2,FALSE),B796),PlayerValues!E:E,0)),"N/A")</f>
        <v>17061</v>
      </c>
      <c r="B796" s="4" t="s">
        <v>580</v>
      </c>
      <c r="C796" s="4" t="s">
        <v>278</v>
      </c>
      <c r="D796" s="94">
        <v>1845.0</v>
      </c>
    </row>
    <row r="797">
      <c r="A797" s="40">
        <f t="array" ref="A797">IFNA(index(PlayerValues!A:A,match(IFNA(vlookup(B797,'Special Names'!A:B,2,FALSE),B797),PlayerValues!E:E,0)),"N/A")</f>
        <v>16595</v>
      </c>
      <c r="B797" s="4" t="s">
        <v>664</v>
      </c>
      <c r="C797" s="4" t="s">
        <v>278</v>
      </c>
      <c r="D797" s="94">
        <v>1838.0</v>
      </c>
    </row>
    <row r="798">
      <c r="A798" s="40">
        <f t="array" ref="A798">IFNA(index(PlayerValues!A:A,match(IFNA(vlookup(B798,'Special Names'!A:B,2,FALSE),B798),PlayerValues!E:E,0)),"N/A")</f>
        <v>17520</v>
      </c>
      <c r="B798" s="4" t="s">
        <v>518</v>
      </c>
      <c r="C798" s="4" t="s">
        <v>287</v>
      </c>
      <c r="D798" s="94">
        <v>1830.0</v>
      </c>
    </row>
    <row r="799">
      <c r="A799" s="40">
        <f t="array" ref="A799">IFNA(index(PlayerValues!A:A,match(IFNA(vlookup(B799,'Special Names'!A:B,2,FALSE),B799),PlayerValues!E:E,0)),"N/A")</f>
        <v>15337</v>
      </c>
      <c r="B799" s="4" t="s">
        <v>655</v>
      </c>
      <c r="C799" s="4" t="s">
        <v>298</v>
      </c>
      <c r="D799" s="94">
        <v>2187.0</v>
      </c>
    </row>
    <row r="800">
      <c r="A800" s="40">
        <f t="array" ref="A800">IFNA(index(PlayerValues!A:A,match(IFNA(vlookup(B800,'Special Names'!A:B,2,FALSE),B800),PlayerValues!E:E,0)),"N/A")</f>
        <v>17035</v>
      </c>
      <c r="B800" s="4" t="s">
        <v>650</v>
      </c>
      <c r="C800" s="4" t="s">
        <v>283</v>
      </c>
      <c r="D800" s="94">
        <v>1804.0</v>
      </c>
    </row>
    <row r="801">
      <c r="A801" s="40" t="str">
        <f t="array" ref="A801">IFNA(index(PlayerValues!A:A,match(IFNA(vlookup(B801,'Special Names'!A:B,2,FALSE),B801),PlayerValues!E:E,0)),"N/A")</f>
        <v>N/A</v>
      </c>
      <c r="B801" s="4" t="s">
        <v>101</v>
      </c>
      <c r="C801" s="4" t="s">
        <v>325</v>
      </c>
      <c r="D801" s="94">
        <v>1801.0</v>
      </c>
    </row>
    <row r="802">
      <c r="A802" s="40">
        <f t="array" ref="A802">IFNA(index(PlayerValues!A:A,match(IFNA(vlookup(B802,'Special Names'!A:B,2,FALSE),B802),PlayerValues!E:E,0)),"N/A")</f>
        <v>17481</v>
      </c>
      <c r="B802" s="4" t="s">
        <v>540</v>
      </c>
      <c r="C802" s="4" t="s">
        <v>278</v>
      </c>
      <c r="D802" s="94">
        <v>1801.0</v>
      </c>
    </row>
    <row r="803">
      <c r="A803" s="40">
        <f t="array" ref="A803">IFNA(index(PlayerValues!A:A,match(IFNA(vlookup(B803,'Special Names'!A:B,2,FALSE),B803),PlayerValues!E:E,0)),"N/A")</f>
        <v>17545</v>
      </c>
      <c r="B803" s="4" t="s">
        <v>719</v>
      </c>
      <c r="C803" s="4" t="s">
        <v>298</v>
      </c>
      <c r="D803" s="94">
        <v>2179.0</v>
      </c>
    </row>
    <row r="804">
      <c r="A804" s="40">
        <f t="array" ref="A804">IFNA(index(PlayerValues!A:A,match(IFNA(vlookup(B804,'Special Names'!A:B,2,FALSE),B804),PlayerValues!E:E,0)),"N/A")</f>
        <v>16788</v>
      </c>
      <c r="B804" s="4" t="s">
        <v>621</v>
      </c>
      <c r="C804" s="4" t="s">
        <v>287</v>
      </c>
      <c r="D804" s="94">
        <v>1795.0</v>
      </c>
    </row>
    <row r="805">
      <c r="A805" s="40">
        <f t="array" ref="A805">IFNA(index(PlayerValues!A:A,match(IFNA(vlookup(B805,'Special Names'!A:B,2,FALSE),B805),PlayerValues!E:E,0)),"N/A")</f>
        <v>15786</v>
      </c>
      <c r="B805" s="4" t="s">
        <v>521</v>
      </c>
      <c r="C805" s="4" t="s">
        <v>287</v>
      </c>
      <c r="D805" s="94">
        <v>1790.0</v>
      </c>
    </row>
    <row r="806">
      <c r="A806" s="40" t="str">
        <f t="array" ref="A806">IFNA(index(PlayerValues!A:A,match(IFNA(vlookup(B806,'Special Names'!A:B,2,FALSE),B806),PlayerValues!E:E,0)),"N/A")</f>
        <v>N/A</v>
      </c>
      <c r="B806" s="4" t="s">
        <v>89</v>
      </c>
      <c r="C806" s="4" t="s">
        <v>325</v>
      </c>
      <c r="D806" s="94">
        <v>1770.0</v>
      </c>
    </row>
    <row r="807">
      <c r="A807" s="40">
        <f t="array" ref="A807">IFNA(index(PlayerValues!A:A,match(IFNA(vlookup(B807,'Special Names'!A:B,2,FALSE),B807),PlayerValues!E:E,0)),"N/A")</f>
        <v>17086</v>
      </c>
      <c r="B807" s="4" t="s">
        <v>612</v>
      </c>
      <c r="C807" s="4" t="s">
        <v>287</v>
      </c>
      <c r="D807" s="94">
        <v>1764.0</v>
      </c>
    </row>
    <row r="808">
      <c r="A808" s="40">
        <f t="array" ref="A808">IFNA(index(PlayerValues!A:A,match(IFNA(vlookup(B808,'Special Names'!A:B,2,FALSE),B808),PlayerValues!E:E,0)),"N/A")</f>
        <v>16207</v>
      </c>
      <c r="B808" s="4" t="s">
        <v>636</v>
      </c>
      <c r="C808" s="4" t="s">
        <v>287</v>
      </c>
      <c r="D808" s="94">
        <v>1757.0</v>
      </c>
    </row>
    <row r="809">
      <c r="A809" s="40">
        <f t="array" ref="A809">IFNA(index(PlayerValues!A:A,match(IFNA(vlookup(B809,'Special Names'!A:B,2,FALSE),B809),PlayerValues!E:E,0)),"N/A")</f>
        <v>11222</v>
      </c>
      <c r="B809" s="4" t="s">
        <v>622</v>
      </c>
      <c r="C809" s="4" t="s">
        <v>287</v>
      </c>
      <c r="D809" s="94">
        <v>1754.0</v>
      </c>
    </row>
    <row r="810">
      <c r="A810" s="40">
        <f t="array" ref="A810">IFNA(index(PlayerValues!A:A,match(IFNA(vlookup(B810,'Special Names'!A:B,2,FALSE),B810),PlayerValues!E:E,0)),"N/A")</f>
        <v>16585</v>
      </c>
      <c r="B810" s="4" t="s">
        <v>623</v>
      </c>
      <c r="C810" s="4" t="s">
        <v>283</v>
      </c>
      <c r="D810" s="94">
        <v>1747.0</v>
      </c>
    </row>
    <row r="811">
      <c r="A811" s="40">
        <f t="array" ref="A811">IFNA(index(PlayerValues!A:A,match(IFNA(vlookup(B811,'Special Names'!A:B,2,FALSE),B811),PlayerValues!E:E,0)),"N/A")</f>
        <v>17055</v>
      </c>
      <c r="B811" s="4" t="s">
        <v>565</v>
      </c>
      <c r="C811" s="4" t="s">
        <v>278</v>
      </c>
      <c r="D811" s="94">
        <v>1738.0</v>
      </c>
    </row>
    <row r="812">
      <c r="A812" s="40">
        <f t="array" ref="A812">IFNA(index(PlayerValues!A:A,match(IFNA(vlookup(B812,'Special Names'!A:B,2,FALSE),B812),PlayerValues!E:E,0)),"N/A")</f>
        <v>14105</v>
      </c>
      <c r="B812" s="4" t="s">
        <v>675</v>
      </c>
      <c r="C812" s="4" t="s">
        <v>287</v>
      </c>
      <c r="D812" s="94">
        <v>1734.0</v>
      </c>
    </row>
    <row r="813">
      <c r="A813" s="40">
        <f t="array" ref="A813">IFNA(index(PlayerValues!A:A,match(IFNA(vlookup(B813,'Special Names'!A:B,2,FALSE),B813),PlayerValues!E:E,0)),"N/A")</f>
        <v>17528</v>
      </c>
      <c r="B813" s="4" t="s">
        <v>579</v>
      </c>
      <c r="C813" s="4" t="s">
        <v>287</v>
      </c>
      <c r="D813" s="94">
        <v>1733.0</v>
      </c>
    </row>
    <row r="814">
      <c r="A814" s="40">
        <f t="array" ref="A814">IFNA(index(PlayerValues!A:A,match(IFNA(vlookup(B814,'Special Names'!A:B,2,FALSE),B814),PlayerValues!E:E,0)),"N/A")</f>
        <v>16629</v>
      </c>
      <c r="B814" s="4" t="s">
        <v>605</v>
      </c>
      <c r="C814" s="4" t="s">
        <v>287</v>
      </c>
      <c r="D814" s="94">
        <v>1730.0</v>
      </c>
    </row>
    <row r="815">
      <c r="A815" s="40">
        <f t="array" ref="A815">IFNA(index(PlayerValues!A:A,match(IFNA(vlookup(B815,'Special Names'!A:B,2,FALSE),B815),PlayerValues!E:E,0)),"N/A")</f>
        <v>17058</v>
      </c>
      <c r="B815" s="4" t="s">
        <v>641</v>
      </c>
      <c r="C815" s="4" t="s">
        <v>278</v>
      </c>
      <c r="D815" s="94">
        <v>1721.0</v>
      </c>
    </row>
    <row r="816">
      <c r="A816" s="40">
        <f t="array" ref="A816">IFNA(index(PlayerValues!A:A,match(IFNA(vlookup(B816,'Special Names'!A:B,2,FALSE),B816),PlayerValues!E:E,0)),"N/A")</f>
        <v>7836</v>
      </c>
      <c r="B816" s="4" t="s">
        <v>590</v>
      </c>
      <c r="C816" s="4" t="s">
        <v>283</v>
      </c>
      <c r="D816" s="94">
        <v>1714.0</v>
      </c>
    </row>
    <row r="817">
      <c r="A817" s="40">
        <f t="array" ref="A817">IFNA(index(PlayerValues!A:A,match(IFNA(vlookup(B817,'Special Names'!A:B,2,FALSE),B817),PlayerValues!E:E,0)),"N/A")</f>
        <v>16586</v>
      </c>
      <c r="B817" s="4" t="s">
        <v>658</v>
      </c>
      <c r="C817" s="4" t="s">
        <v>283</v>
      </c>
      <c r="D817" s="94">
        <v>1697.0</v>
      </c>
    </row>
    <row r="818">
      <c r="A818" s="40">
        <f t="array" ref="A818">IFNA(index(PlayerValues!A:A,match(IFNA(vlookup(B818,'Special Names'!A:B,2,FALSE),B818),PlayerValues!E:E,0)),"N/A")</f>
        <v>16601</v>
      </c>
      <c r="B818" s="4" t="s">
        <v>648</v>
      </c>
      <c r="C818" s="4" t="s">
        <v>278</v>
      </c>
      <c r="D818" s="94">
        <v>1687.0</v>
      </c>
    </row>
    <row r="819">
      <c r="A819" s="40">
        <f t="array" ref="A819">IFNA(index(PlayerValues!A:A,match(IFNA(vlookup(B819,'Special Names'!A:B,2,FALSE),B819),PlayerValues!E:E,0)),"N/A")</f>
        <v>17064</v>
      </c>
      <c r="B819" s="4" t="s">
        <v>631</v>
      </c>
      <c r="C819" s="4" t="s">
        <v>278</v>
      </c>
      <c r="D819" s="94">
        <v>1676.0</v>
      </c>
    </row>
    <row r="820">
      <c r="A820" s="40" t="str">
        <f t="array" ref="A820">IFNA(index(PlayerValues!A:A,match(IFNA(vlookup(B820,'Special Names'!A:B,2,FALSE),B820),PlayerValues!E:E,0)),"N/A")</f>
        <v>N/A</v>
      </c>
      <c r="B820" s="4" t="s">
        <v>102</v>
      </c>
      <c r="C820" s="4" t="s">
        <v>325</v>
      </c>
      <c r="D820" s="94">
        <v>1670.0</v>
      </c>
    </row>
    <row r="821">
      <c r="A821" s="40">
        <f t="array" ref="A821">IFNA(index(PlayerValues!A:A,match(IFNA(vlookup(B821,'Special Names'!A:B,2,FALSE),B821),PlayerValues!E:E,0)),"N/A")</f>
        <v>10700</v>
      </c>
      <c r="B821" s="4" t="s">
        <v>596</v>
      </c>
      <c r="C821" s="4" t="s">
        <v>283</v>
      </c>
      <c r="D821" s="94">
        <v>1669.0</v>
      </c>
    </row>
    <row r="822">
      <c r="A822" s="40">
        <f t="array" ref="A822">IFNA(index(PlayerValues!A:A,match(IFNA(vlookup(B822,'Special Names'!A:B,2,FALSE),B822),PlayerValues!E:E,0)),"N/A")</f>
        <v>15777</v>
      </c>
      <c r="B822" s="4" t="s">
        <v>694</v>
      </c>
      <c r="C822" s="4" t="s">
        <v>287</v>
      </c>
      <c r="D822" s="94">
        <v>1667.0</v>
      </c>
    </row>
    <row r="823">
      <c r="A823" s="40">
        <f t="array" ref="A823">IFNA(index(PlayerValues!A:A,match(IFNA(vlookup(B823,'Special Names'!A:B,2,FALSE),B823),PlayerValues!E:E,0)),"N/A")</f>
        <v>15787</v>
      </c>
      <c r="B823" s="4" t="s">
        <v>610</v>
      </c>
      <c r="C823" s="4" t="s">
        <v>287</v>
      </c>
      <c r="D823" s="94">
        <v>1665.0</v>
      </c>
    </row>
    <row r="824">
      <c r="A824" s="40">
        <f t="array" ref="A824">IFNA(index(PlayerValues!A:A,match(IFNA(vlookup(B824,'Special Names'!A:B,2,FALSE),B824),PlayerValues!E:E,0)),"N/A")</f>
        <v>13629</v>
      </c>
      <c r="B824" s="4" t="s">
        <v>619</v>
      </c>
      <c r="C824" s="4" t="s">
        <v>287</v>
      </c>
      <c r="D824" s="94">
        <v>1664.0</v>
      </c>
    </row>
    <row r="825">
      <c r="A825" s="40">
        <f t="array" ref="A825">IFNA(index(PlayerValues!A:A,match(IFNA(vlookup(B825,'Special Names'!A:B,2,FALSE),B825),PlayerValues!E:E,0)),"N/A")</f>
        <v>15727</v>
      </c>
      <c r="B825" s="4" t="s">
        <v>730</v>
      </c>
      <c r="C825" s="4" t="s">
        <v>278</v>
      </c>
      <c r="D825" s="94">
        <v>1663.0</v>
      </c>
    </row>
    <row r="826">
      <c r="A826" s="40">
        <f t="array" ref="A826">IFNA(index(PlayerValues!A:A,match(IFNA(vlookup(B826,'Special Names'!A:B,2,FALSE),B826),PlayerValues!E:E,0)),"N/A")</f>
        <v>16604</v>
      </c>
      <c r="B826" s="4" t="s">
        <v>476</v>
      </c>
      <c r="C826" s="4" t="s">
        <v>278</v>
      </c>
      <c r="D826" s="94">
        <v>1652.0</v>
      </c>
    </row>
    <row r="827">
      <c r="A827" s="40">
        <f t="array" ref="A827">IFNA(index(PlayerValues!A:A,match(IFNA(vlookup(B827,'Special Names'!A:B,2,FALSE),B827),PlayerValues!E:E,0)),"N/A")</f>
        <v>17205</v>
      </c>
      <c r="B827" s="4" t="s">
        <v>665</v>
      </c>
      <c r="C827" s="4" t="s">
        <v>287</v>
      </c>
      <c r="D827" s="94">
        <v>1640.0</v>
      </c>
    </row>
    <row r="828">
      <c r="A828" s="40" t="str">
        <f t="array" ref="A828">IFNA(index(PlayerValues!A:A,match(IFNA(vlookup(B828,'Special Names'!A:B,2,FALSE),B828),PlayerValues!E:E,0)),"N/A")</f>
        <v>N/A</v>
      </c>
      <c r="B828" s="4" t="s">
        <v>115</v>
      </c>
      <c r="C828" s="4" t="s">
        <v>325</v>
      </c>
      <c r="D828" s="94">
        <v>1640.0</v>
      </c>
    </row>
    <row r="829">
      <c r="A829" s="40">
        <f t="array" ref="A829">IFNA(index(PlayerValues!A:A,match(IFNA(vlookup(B829,'Special Names'!A:B,2,FALSE),B829),PlayerValues!E:E,0)),"N/A")</f>
        <v>13131</v>
      </c>
      <c r="B829" s="4" t="s">
        <v>815</v>
      </c>
      <c r="C829" s="4" t="s">
        <v>278</v>
      </c>
      <c r="D829" s="94">
        <v>1635.0</v>
      </c>
    </row>
    <row r="830">
      <c r="A830" s="40">
        <f t="array" ref="A830">IFNA(index(PlayerValues!A:A,match(IFNA(vlookup(B830,'Special Names'!A:B,2,FALSE),B830),PlayerValues!E:E,0)),"N/A")</f>
        <v>13164</v>
      </c>
      <c r="B830" s="4" t="s">
        <v>632</v>
      </c>
      <c r="C830" s="4" t="s">
        <v>287</v>
      </c>
      <c r="D830" s="94">
        <v>1629.0</v>
      </c>
    </row>
    <row r="831">
      <c r="A831" s="40">
        <f t="array" ref="A831">IFNA(index(PlayerValues!A:A,match(IFNA(vlookup(B831,'Special Names'!A:B,2,FALSE),B831),PlayerValues!E:E,0)),"N/A")</f>
        <v>17234</v>
      </c>
      <c r="B831" s="4" t="s">
        <v>653</v>
      </c>
      <c r="C831" s="4" t="s">
        <v>287</v>
      </c>
      <c r="D831" s="94">
        <v>1628.0</v>
      </c>
    </row>
    <row r="832">
      <c r="A832" s="40">
        <f t="array" ref="A832">IFNA(index(PlayerValues!A:A,match(IFNA(vlookup(B832,'Special Names'!A:B,2,FALSE),B832),PlayerValues!E:E,0)),"N/A")</f>
        <v>14143</v>
      </c>
      <c r="B832" s="4" t="s">
        <v>635</v>
      </c>
      <c r="C832" s="4" t="s">
        <v>298</v>
      </c>
      <c r="D832" s="94">
        <v>1995.0</v>
      </c>
    </row>
    <row r="833">
      <c r="A833" s="40" t="str">
        <f t="array" ref="A833">IFNA(index(PlayerValues!A:A,match(IFNA(vlookup(B833,'Special Names'!A:B,2,FALSE),B833),PlayerValues!E:E,0)),"N/A")</f>
        <v>N/A</v>
      </c>
      <c r="B833" s="4" t="s">
        <v>90</v>
      </c>
      <c r="C833" s="4" t="s">
        <v>325</v>
      </c>
      <c r="D833" s="94">
        <v>1616.0</v>
      </c>
    </row>
    <row r="834">
      <c r="A834" s="40">
        <f t="array" ref="A834">IFNA(index(PlayerValues!A:A,match(IFNA(vlookup(B834,'Special Names'!A:B,2,FALSE),B834),PlayerValues!E:E,0)),"N/A")</f>
        <v>12141</v>
      </c>
      <c r="B834" s="4" t="s">
        <v>744</v>
      </c>
      <c r="C834" s="4" t="s">
        <v>283</v>
      </c>
      <c r="D834" s="94">
        <v>1615.0</v>
      </c>
    </row>
    <row r="835">
      <c r="A835" s="40">
        <f t="array" ref="A835">IFNA(index(PlayerValues!A:A,match(IFNA(vlookup(B835,'Special Names'!A:B,2,FALSE),B835),PlayerValues!E:E,0)),"N/A")</f>
        <v>16633</v>
      </c>
      <c r="B835" s="4" t="s">
        <v>656</v>
      </c>
      <c r="C835" s="4" t="s">
        <v>287</v>
      </c>
      <c r="D835" s="94">
        <v>1603.0</v>
      </c>
    </row>
    <row r="836">
      <c r="A836" s="40">
        <f t="array" ref="A836">IFNA(index(PlayerValues!A:A,match(IFNA(vlookup(B836,'Special Names'!A:B,2,FALSE),B836),PlayerValues!E:E,0)),"N/A")</f>
        <v>17037</v>
      </c>
      <c r="B836" s="4" t="s">
        <v>727</v>
      </c>
      <c r="C836" s="4" t="s">
        <v>283</v>
      </c>
      <c r="D836" s="94">
        <v>1601.0</v>
      </c>
    </row>
    <row r="837">
      <c r="A837" s="40">
        <f t="array" ref="A837">IFNA(index(PlayerValues!A:A,match(IFNA(vlookup(B837,'Special Names'!A:B,2,FALSE),B837),PlayerValues!E:E,0)),"N/A")</f>
        <v>17096</v>
      </c>
      <c r="B837" s="4" t="s">
        <v>638</v>
      </c>
      <c r="C837" s="4" t="s">
        <v>287</v>
      </c>
      <c r="D837" s="94">
        <v>1590.0</v>
      </c>
    </row>
    <row r="838">
      <c r="A838" s="40">
        <f t="array" ref="A838">IFNA(index(PlayerValues!A:A,match(IFNA(vlookup(B838,'Special Names'!A:B,2,FALSE),B838),PlayerValues!E:E,0)),"N/A")</f>
        <v>13193</v>
      </c>
      <c r="B838" s="4" t="s">
        <v>773</v>
      </c>
      <c r="C838" s="4" t="s">
        <v>298</v>
      </c>
      <c r="D838" s="94">
        <v>1965.0</v>
      </c>
    </row>
    <row r="839">
      <c r="A839" s="40">
        <f t="array" ref="A839">IFNA(index(PlayerValues!A:A,match(IFNA(vlookup(B839,'Special Names'!A:B,2,FALSE),B839),PlayerValues!E:E,0)),"N/A")</f>
        <v>14122</v>
      </c>
      <c r="B839" s="4" t="s">
        <v>663</v>
      </c>
      <c r="C839" s="4" t="s">
        <v>287</v>
      </c>
      <c r="D839" s="94">
        <v>1579.0</v>
      </c>
    </row>
    <row r="840">
      <c r="A840" s="40">
        <f t="array" ref="A840">IFNA(index(PlayerValues!A:A,match(IFNA(vlookup(B840,'Special Names'!A:B,2,FALSE),B840),PlayerValues!E:E,0)),"N/A")</f>
        <v>16390</v>
      </c>
      <c r="B840" s="4" t="s">
        <v>689</v>
      </c>
      <c r="C840" s="4" t="s">
        <v>278</v>
      </c>
      <c r="D840" s="94">
        <v>1567.0</v>
      </c>
    </row>
    <row r="841">
      <c r="A841" s="40">
        <f t="array" ref="A841">IFNA(index(PlayerValues!A:A,match(IFNA(vlookup(B841,'Special Names'!A:B,2,FALSE),B841),PlayerValues!E:E,0)),"N/A")</f>
        <v>12140</v>
      </c>
      <c r="B841" s="4" t="s">
        <v>702</v>
      </c>
      <c r="C841" s="4" t="s">
        <v>283</v>
      </c>
      <c r="D841" s="94">
        <v>1566.0</v>
      </c>
    </row>
    <row r="842">
      <c r="A842" s="40" t="str">
        <f t="array" ref="A842">IFNA(index(PlayerValues!A:A,match(IFNA(vlookup(B842,'Special Names'!A:B,2,FALSE),B842),PlayerValues!E:E,0)),"N/A")</f>
        <v>N/A</v>
      </c>
      <c r="B842" s="4" t="s">
        <v>91</v>
      </c>
      <c r="C842" s="4" t="s">
        <v>325</v>
      </c>
      <c r="D842" s="94">
        <v>1558.0</v>
      </c>
    </row>
    <row r="843">
      <c r="A843" s="40">
        <f t="array" ref="A843">IFNA(index(PlayerValues!A:A,match(IFNA(vlookup(B843,'Special Names'!A:B,2,FALSE),B843),PlayerValues!E:E,0)),"N/A")</f>
        <v>16688</v>
      </c>
      <c r="B843" s="4" t="s">
        <v>688</v>
      </c>
      <c r="C843" s="4" t="s">
        <v>278</v>
      </c>
      <c r="D843" s="94">
        <v>1542.0</v>
      </c>
    </row>
    <row r="844">
      <c r="A844" s="40">
        <f t="array" ref="A844">IFNA(index(PlayerValues!A:A,match(IFNA(vlookup(B844,'Special Names'!A:B,2,FALSE),B844),PlayerValues!E:E,0)),"N/A")</f>
        <v>15252</v>
      </c>
      <c r="B844" s="4" t="s">
        <v>715</v>
      </c>
      <c r="C844" s="4" t="s">
        <v>283</v>
      </c>
      <c r="D844" s="94">
        <v>1541.0</v>
      </c>
    </row>
    <row r="845">
      <c r="A845" s="40">
        <f t="array" ref="A845">IFNA(index(PlayerValues!A:A,match(IFNA(vlookup(B845,'Special Names'!A:B,2,FALSE),B845),PlayerValues!E:E,0)),"N/A")</f>
        <v>15258</v>
      </c>
      <c r="B845" s="4" t="s">
        <v>757</v>
      </c>
      <c r="C845" s="4" t="s">
        <v>278</v>
      </c>
      <c r="D845" s="94">
        <v>1541.0</v>
      </c>
    </row>
    <row r="846">
      <c r="A846" s="40">
        <f t="array" ref="A846">IFNA(index(PlayerValues!A:A,match(IFNA(vlookup(B846,'Special Names'!A:B,2,FALSE),B846),PlayerValues!E:E,0)),"N/A")</f>
        <v>14080</v>
      </c>
      <c r="B846" s="4" t="s">
        <v>716</v>
      </c>
      <c r="C846" s="4" t="s">
        <v>278</v>
      </c>
      <c r="D846" s="94">
        <v>1539.0</v>
      </c>
    </row>
    <row r="847">
      <c r="A847" s="40" t="str">
        <f t="array" ref="A847">IFNA(index(PlayerValues!A:A,match(IFNA(vlookup(B847,'Special Names'!A:B,2,FALSE),B847),PlayerValues!E:E,0)),"N/A")</f>
        <v>N/A</v>
      </c>
      <c r="B847" s="4" t="s">
        <v>103</v>
      </c>
      <c r="C847" s="4" t="s">
        <v>325</v>
      </c>
      <c r="D847" s="94">
        <v>1532.0</v>
      </c>
    </row>
    <row r="848">
      <c r="A848" s="40" t="str">
        <f t="array" ref="A848">IFNA(index(PlayerValues!A:A,match(IFNA(vlookup(B848,'Special Names'!A:B,2,FALSE),B848),PlayerValues!E:E,0)),"N/A")</f>
        <v>N/A</v>
      </c>
      <c r="B848" s="4" t="s">
        <v>116</v>
      </c>
      <c r="C848" s="4" t="s">
        <v>325</v>
      </c>
      <c r="D848" s="94">
        <v>1513.0</v>
      </c>
    </row>
    <row r="849">
      <c r="A849" s="40">
        <f t="array" ref="A849">IFNA(index(PlayerValues!A:A,match(IFNA(vlookup(B849,'Special Names'!A:B,2,FALSE),B849),PlayerValues!E:E,0)),"N/A")</f>
        <v>17475</v>
      </c>
      <c r="B849" s="4" t="s">
        <v>615</v>
      </c>
      <c r="C849" s="4" t="s">
        <v>278</v>
      </c>
      <c r="D849" s="94">
        <v>1508.0</v>
      </c>
    </row>
    <row r="850">
      <c r="A850" s="40">
        <f t="array" ref="A850">IFNA(index(PlayerValues!A:A,match(IFNA(vlookup(B850,'Special Names'!A:B,2,FALSE),B850),PlayerValues!E:E,0)),"N/A")</f>
        <v>17504</v>
      </c>
      <c r="B850" s="4" t="s">
        <v>693</v>
      </c>
      <c r="C850" s="4" t="s">
        <v>287</v>
      </c>
      <c r="D850" s="94">
        <v>1504.0</v>
      </c>
    </row>
    <row r="851">
      <c r="A851" s="40">
        <f t="array" ref="A851">IFNA(index(PlayerValues!A:A,match(IFNA(vlookup(B851,'Special Names'!A:B,2,FALSE),B851),PlayerValues!E:E,0)),"N/A")</f>
        <v>15319</v>
      </c>
      <c r="B851" s="4" t="s">
        <v>644</v>
      </c>
      <c r="C851" s="4" t="s">
        <v>287</v>
      </c>
      <c r="D851" s="94">
        <v>1497.0</v>
      </c>
    </row>
    <row r="852">
      <c r="A852" s="40">
        <f t="array" ref="A852">IFNA(index(PlayerValues!A:A,match(IFNA(vlookup(B852,'Special Names'!A:B,2,FALSE),B852),PlayerValues!E:E,0)),"N/A")</f>
        <v>17077</v>
      </c>
      <c r="B852" s="4" t="s">
        <v>714</v>
      </c>
      <c r="C852" s="4" t="s">
        <v>287</v>
      </c>
      <c r="D852" s="94">
        <v>1497.0</v>
      </c>
    </row>
    <row r="853">
      <c r="A853" s="40">
        <f t="array" ref="A853">IFNA(index(PlayerValues!A:A,match(IFNA(vlookup(B853,'Special Names'!A:B,2,FALSE),B853),PlayerValues!E:E,0)),"N/A")</f>
        <v>15752</v>
      </c>
      <c r="B853" s="4" t="s">
        <v>647</v>
      </c>
      <c r="C853" s="4" t="s">
        <v>287</v>
      </c>
      <c r="D853" s="94">
        <v>1465.0</v>
      </c>
    </row>
    <row r="854">
      <c r="A854" s="40">
        <f t="array" ref="A854">IFNA(index(PlayerValues!A:A,match(IFNA(vlookup(B854,'Special Names'!A:B,2,FALSE),B854),PlayerValues!E:E,0)),"N/A")</f>
        <v>11150</v>
      </c>
      <c r="B854" s="4" t="s">
        <v>559</v>
      </c>
      <c r="C854" s="4" t="s">
        <v>283</v>
      </c>
      <c r="D854" s="94">
        <v>1458.0</v>
      </c>
    </row>
    <row r="855">
      <c r="A855" s="40">
        <f t="array" ref="A855">IFNA(index(PlayerValues!A:A,match(IFNA(vlookup(B855,'Special Names'!A:B,2,FALSE),B855),PlayerValues!E:E,0)),"N/A")</f>
        <v>17541</v>
      </c>
      <c r="B855" s="4" t="s">
        <v>616</v>
      </c>
      <c r="C855" s="4" t="s">
        <v>287</v>
      </c>
      <c r="D855" s="94">
        <v>1458.0</v>
      </c>
    </row>
    <row r="856">
      <c r="A856" s="40">
        <f t="array" ref="A856">IFNA(index(PlayerValues!A:A,match(IFNA(vlookup(B856,'Special Names'!A:B,2,FALSE),B856),PlayerValues!E:E,0)),"N/A")</f>
        <v>15738</v>
      </c>
      <c r="B856" s="4" t="s">
        <v>634</v>
      </c>
      <c r="C856" s="4" t="s">
        <v>278</v>
      </c>
      <c r="D856" s="94">
        <v>1456.0</v>
      </c>
    </row>
    <row r="857">
      <c r="A857" s="40">
        <f t="array" ref="A857">IFNA(index(PlayerValues!A:A,match(IFNA(vlookup(B857,'Special Names'!A:B,2,FALSE),B857),PlayerValues!E:E,0)),"N/A")</f>
        <v>13418</v>
      </c>
      <c r="B857" s="4" t="s">
        <v>706</v>
      </c>
      <c r="C857" s="4" t="s">
        <v>287</v>
      </c>
      <c r="D857" s="94">
        <v>1455.0</v>
      </c>
    </row>
    <row r="858">
      <c r="A858" s="40">
        <f t="array" ref="A858">IFNA(index(PlayerValues!A:A,match(IFNA(vlookup(B858,'Special Names'!A:B,2,FALSE),B858),PlayerValues!E:E,0)),"N/A")</f>
        <v>17254</v>
      </c>
      <c r="B858" s="4" t="s">
        <v>679</v>
      </c>
      <c r="C858" s="4" t="s">
        <v>287</v>
      </c>
      <c r="D858" s="94">
        <v>1447.0</v>
      </c>
    </row>
    <row r="859">
      <c r="A859" s="40">
        <f t="array" ref="A859">IFNA(index(PlayerValues!A:A,match(IFNA(vlookup(B859,'Special Names'!A:B,2,FALSE),B859),PlayerValues!E:E,0)),"N/A")</f>
        <v>15755</v>
      </c>
      <c r="B859" s="4" t="s">
        <v>628</v>
      </c>
      <c r="C859" s="4" t="s">
        <v>287</v>
      </c>
      <c r="D859" s="94">
        <v>1445.0</v>
      </c>
    </row>
    <row r="860">
      <c r="A860" s="40">
        <f t="array" ref="A860">IFNA(index(PlayerValues!A:A,match(IFNA(vlookup(B860,'Special Names'!A:B,2,FALSE),B860),PlayerValues!E:E,0)),"N/A")</f>
        <v>14095</v>
      </c>
      <c r="B860" s="4" t="s">
        <v>680</v>
      </c>
      <c r="C860" s="4" t="s">
        <v>278</v>
      </c>
      <c r="D860" s="94">
        <v>1432.0</v>
      </c>
    </row>
    <row r="861">
      <c r="A861" s="40">
        <f t="array" ref="A861">IFNA(index(PlayerValues!A:A,match(IFNA(vlookup(B861,'Special Names'!A:B,2,FALSE),B861),PlayerValues!E:E,0)),"N/A")</f>
        <v>17510</v>
      </c>
      <c r="B861" s="4" t="s">
        <v>661</v>
      </c>
      <c r="C861" s="4" t="s">
        <v>287</v>
      </c>
      <c r="D861" s="94">
        <v>1428.0</v>
      </c>
    </row>
    <row r="862">
      <c r="A862" s="40">
        <f t="array" ref="A862">IFNA(index(PlayerValues!A:A,match(IFNA(vlookup(B862,'Special Names'!A:B,2,FALSE),B862),PlayerValues!E:E,0)),"N/A")</f>
        <v>13672</v>
      </c>
      <c r="B862" s="4" t="s">
        <v>667</v>
      </c>
      <c r="C862" s="4" t="s">
        <v>298</v>
      </c>
      <c r="D862" s="94">
        <v>1790.0</v>
      </c>
    </row>
    <row r="863">
      <c r="A863" s="40">
        <f t="array" ref="A863">IFNA(index(PlayerValues!A:A,match(IFNA(vlookup(B863,'Special Names'!A:B,2,FALSE),B863),PlayerValues!E:E,0)),"N/A")</f>
        <v>15713</v>
      </c>
      <c r="B863" s="4" t="s">
        <v>732</v>
      </c>
      <c r="C863" s="4" t="s">
        <v>278</v>
      </c>
      <c r="D863" s="94">
        <v>1415.0</v>
      </c>
    </row>
    <row r="864">
      <c r="A864" s="40">
        <f t="array" ref="A864">IFNA(index(PlayerValues!A:A,match(IFNA(vlookup(B864,'Special Names'!A:B,2,FALSE),B864),PlayerValues!E:E,0)),"N/A")</f>
        <v>13138</v>
      </c>
      <c r="B864" s="4" t="s">
        <v>817</v>
      </c>
      <c r="C864" s="4" t="s">
        <v>278</v>
      </c>
      <c r="D864" s="94">
        <v>1405.0</v>
      </c>
    </row>
    <row r="865">
      <c r="A865" s="40">
        <f t="array" ref="A865">IFNA(index(PlayerValues!A:A,match(IFNA(vlookup(B865,'Special Names'!A:B,2,FALSE),B865),PlayerValues!E:E,0)),"N/A")</f>
        <v>17470</v>
      </c>
      <c r="B865" s="4" t="s">
        <v>841</v>
      </c>
      <c r="C865" s="4" t="s">
        <v>283</v>
      </c>
      <c r="D865" s="94">
        <v>1402.0</v>
      </c>
    </row>
    <row r="866">
      <c r="A866" s="40">
        <f t="array" ref="A866">IFNA(index(PlayerValues!A:A,match(IFNA(vlookup(B866,'Special Names'!A:B,2,FALSE),B866),PlayerValues!E:E,0)),"N/A")</f>
        <v>15788</v>
      </c>
      <c r="B866" s="4" t="s">
        <v>627</v>
      </c>
      <c r="C866" s="4" t="s">
        <v>287</v>
      </c>
      <c r="D866" s="94">
        <v>1398.0</v>
      </c>
    </row>
    <row r="867">
      <c r="A867" s="40">
        <f t="array" ref="A867">IFNA(index(PlayerValues!A:A,match(IFNA(vlookup(B867,'Special Names'!A:B,2,FALSE),B867),PlayerValues!E:E,0)),"N/A")</f>
        <v>17269</v>
      </c>
      <c r="B867" s="4" t="s">
        <v>718</v>
      </c>
      <c r="C867" s="4" t="s">
        <v>287</v>
      </c>
      <c r="D867" s="94">
        <v>1392.0</v>
      </c>
    </row>
    <row r="868">
      <c r="A868" s="40">
        <f t="array" ref="A868">IFNA(index(PlayerValues!A:A,match(IFNA(vlookup(B868,'Special Names'!A:B,2,FALSE),B868),PlayerValues!E:E,0)),"N/A")</f>
        <v>17486</v>
      </c>
      <c r="B868" s="4" t="s">
        <v>695</v>
      </c>
      <c r="C868" s="4" t="s">
        <v>278</v>
      </c>
      <c r="D868" s="94">
        <v>1389.0</v>
      </c>
    </row>
    <row r="869">
      <c r="A869" s="40">
        <f t="array" ref="A869">IFNA(index(PlayerValues!A:A,match(IFNA(vlookup(B869,'Special Names'!A:B,2,FALSE),B869),PlayerValues!E:E,0)),"N/A")</f>
        <v>17062</v>
      </c>
      <c r="B869" s="4" t="s">
        <v>701</v>
      </c>
      <c r="C869" s="4" t="s">
        <v>278</v>
      </c>
      <c r="D869" s="94">
        <v>1385.0</v>
      </c>
    </row>
    <row r="870">
      <c r="A870" s="40">
        <f t="array" ref="A870">IFNA(index(PlayerValues!A:A,match(IFNA(vlookup(B870,'Special Names'!A:B,2,FALSE),B870),PlayerValues!E:E,0)),"N/A")</f>
        <v>17479</v>
      </c>
      <c r="B870" s="4" t="s">
        <v>756</v>
      </c>
      <c r="C870" s="4" t="s">
        <v>278</v>
      </c>
      <c r="D870" s="94">
        <v>1385.0</v>
      </c>
    </row>
    <row r="871">
      <c r="A871" s="40">
        <f t="array" ref="A871">IFNA(index(PlayerValues!A:A,match(IFNA(vlookup(B871,'Special Names'!A:B,2,FALSE),B871),PlayerValues!E:E,0)),"N/A")</f>
        <v>16631</v>
      </c>
      <c r="B871" s="4" t="s">
        <v>800</v>
      </c>
      <c r="C871" s="4" t="s">
        <v>287</v>
      </c>
      <c r="D871" s="94">
        <v>1373.0</v>
      </c>
    </row>
    <row r="872">
      <c r="A872" s="40">
        <f t="array" ref="A872">IFNA(index(PlayerValues!A:A,match(IFNA(vlookup(B872,'Special Names'!A:B,2,FALSE),B872),PlayerValues!E:E,0)),"N/A")</f>
        <v>17487</v>
      </c>
      <c r="B872" s="4" t="s">
        <v>692</v>
      </c>
      <c r="C872" s="4" t="s">
        <v>278</v>
      </c>
      <c r="D872" s="94">
        <v>1343.0</v>
      </c>
    </row>
    <row r="873">
      <c r="A873" s="40">
        <f t="array" ref="A873">IFNA(index(PlayerValues!A:A,match(IFNA(vlookup(B873,'Special Names'!A:B,2,FALSE),B873),PlayerValues!E:E,0)),"N/A")</f>
        <v>15797</v>
      </c>
      <c r="B873" s="4" t="s">
        <v>556</v>
      </c>
      <c r="C873" s="4" t="s">
        <v>298</v>
      </c>
      <c r="D873" s="94">
        <v>1712.0</v>
      </c>
    </row>
    <row r="874">
      <c r="A874" s="40">
        <f t="array" ref="A874">IFNA(index(PlayerValues!A:A,match(IFNA(vlookup(B874,'Special Names'!A:B,2,FALSE),B874),PlayerValues!E:E,0)),"N/A")</f>
        <v>15332</v>
      </c>
      <c r="B874" s="4" t="s">
        <v>698</v>
      </c>
      <c r="C874" s="4" t="s">
        <v>298</v>
      </c>
      <c r="D874" s="94">
        <v>1708.0</v>
      </c>
    </row>
    <row r="875">
      <c r="A875" s="40">
        <f t="array" ref="A875">IFNA(index(PlayerValues!A:A,match(IFNA(vlookup(B875,'Special Names'!A:B,2,FALSE),B875),PlayerValues!E:E,0)),"N/A")</f>
        <v>14137</v>
      </c>
      <c r="B875" s="4" t="s">
        <v>676</v>
      </c>
      <c r="C875" s="4" t="s">
        <v>298</v>
      </c>
      <c r="D875" s="94">
        <v>1706.0</v>
      </c>
    </row>
    <row r="876">
      <c r="A876" s="40">
        <f t="array" ref="A876">IFNA(index(PlayerValues!A:A,match(IFNA(vlookup(B876,'Special Names'!A:B,2,FALSE),B876),PlayerValues!E:E,0)),"N/A")</f>
        <v>15301</v>
      </c>
      <c r="B876" s="4" t="s">
        <v>657</v>
      </c>
      <c r="C876" s="4" t="s">
        <v>287</v>
      </c>
      <c r="D876" s="94">
        <v>1326.0</v>
      </c>
    </row>
    <row r="877">
      <c r="A877" s="40">
        <f t="array" ref="A877">IFNA(index(PlayerValues!A:A,match(IFNA(vlookup(B877,'Special Names'!A:B,2,FALSE),B877),PlayerValues!E:E,0)),"N/A")</f>
        <v>15873</v>
      </c>
      <c r="B877" s="4" t="s">
        <v>681</v>
      </c>
      <c r="C877" s="4" t="s">
        <v>298</v>
      </c>
      <c r="D877" s="94">
        <v>1694.0</v>
      </c>
    </row>
    <row r="878">
      <c r="A878" s="40">
        <f t="array" ref="A878">IFNA(index(PlayerValues!A:A,match(IFNA(vlookup(B878,'Special Names'!A:B,2,FALSE),B878),PlayerValues!E:E,0)),"N/A")</f>
        <v>16621</v>
      </c>
      <c r="B878" s="4" t="s">
        <v>672</v>
      </c>
      <c r="C878" s="4" t="s">
        <v>287</v>
      </c>
      <c r="D878" s="94">
        <v>1321.0</v>
      </c>
    </row>
    <row r="879">
      <c r="A879" s="40">
        <f t="array" ref="A879">IFNA(index(PlayerValues!A:A,match(IFNA(vlookup(B879,'Special Names'!A:B,2,FALSE),B879),PlayerValues!E:E,0)),"N/A")</f>
        <v>16642</v>
      </c>
      <c r="B879" s="4" t="s">
        <v>691</v>
      </c>
      <c r="C879" s="4" t="s">
        <v>298</v>
      </c>
      <c r="D879" s="94">
        <v>1678.0</v>
      </c>
    </row>
    <row r="880">
      <c r="A880" s="40">
        <f t="array" ref="A880">IFNA(index(PlayerValues!A:A,match(IFNA(vlookup(B880,'Special Names'!A:B,2,FALSE),B880),PlayerValues!E:E,0)),"N/A")</f>
        <v>16385</v>
      </c>
      <c r="B880" s="4" t="s">
        <v>690</v>
      </c>
      <c r="C880" s="4" t="s">
        <v>278</v>
      </c>
      <c r="D880" s="94">
        <v>1304.0</v>
      </c>
    </row>
    <row r="881">
      <c r="A881" s="40" t="str">
        <f t="array" ref="A881">IFNA(index(PlayerValues!A:A,match(IFNA(vlookup(B881,'Special Names'!A:B,2,FALSE),B881),PlayerValues!E:E,0)),"N/A")</f>
        <v>N/A</v>
      </c>
      <c r="B881" s="4" t="s">
        <v>117</v>
      </c>
      <c r="C881" s="4" t="s">
        <v>325</v>
      </c>
      <c r="D881" s="94">
        <v>1289.0</v>
      </c>
    </row>
    <row r="882">
      <c r="A882" s="40">
        <f t="array" ref="A882">IFNA(index(PlayerValues!A:A,match(IFNA(vlookup(B882,'Special Names'!A:B,2,FALSE),B882),PlayerValues!E:E,0)),"N/A")</f>
        <v>17526</v>
      </c>
      <c r="B882" s="4" t="s">
        <v>760</v>
      </c>
      <c r="C882" s="4" t="s">
        <v>287</v>
      </c>
      <c r="D882" s="94">
        <v>1287.0</v>
      </c>
    </row>
    <row r="883">
      <c r="A883" s="40">
        <f t="array" ref="A883">IFNA(index(PlayerValues!A:A,match(IFNA(vlookup(B883,'Special Names'!A:B,2,FALSE),B883),PlayerValues!E:E,0)),"N/A")</f>
        <v>14592</v>
      </c>
      <c r="B883" s="4" t="s">
        <v>705</v>
      </c>
      <c r="C883" s="4" t="s">
        <v>287</v>
      </c>
      <c r="D883" s="94">
        <v>1276.0</v>
      </c>
    </row>
    <row r="884">
      <c r="A884" s="40">
        <f t="array" ref="A884">IFNA(index(PlayerValues!A:A,match(IFNA(vlookup(B884,'Special Names'!A:B,2,FALSE),B884),PlayerValues!E:E,0)),"N/A")</f>
        <v>16175</v>
      </c>
      <c r="B884" s="4" t="s">
        <v>654</v>
      </c>
      <c r="C884" s="4" t="s">
        <v>278</v>
      </c>
      <c r="D884" s="94">
        <v>1263.0</v>
      </c>
    </row>
    <row r="885">
      <c r="A885" s="40">
        <f t="array" ref="A885">IFNA(index(PlayerValues!A:A,match(IFNA(vlookup(B885,'Special Names'!A:B,2,FALSE),B885),PlayerValues!E:E,0)),"N/A")</f>
        <v>15292</v>
      </c>
      <c r="B885" s="4" t="s">
        <v>682</v>
      </c>
      <c r="C885" s="4" t="s">
        <v>287</v>
      </c>
      <c r="D885" s="94">
        <v>1262.0</v>
      </c>
    </row>
    <row r="886">
      <c r="A886" s="40">
        <f t="array" ref="A886">IFNA(index(PlayerValues!A:A,match(IFNA(vlookup(B886,'Special Names'!A:B,2,FALSE),B886),PlayerValues!E:E,0)),"N/A")</f>
        <v>14086</v>
      </c>
      <c r="B886" s="4" t="s">
        <v>639</v>
      </c>
      <c r="C886" s="4" t="s">
        <v>278</v>
      </c>
      <c r="D886" s="94">
        <v>1253.0</v>
      </c>
    </row>
    <row r="887">
      <c r="A887" s="40">
        <f t="array" ref="A887">IFNA(index(PlayerValues!A:A,match(IFNA(vlookup(B887,'Special Names'!A:B,2,FALSE),B887),PlayerValues!E:E,0)),"N/A")</f>
        <v>14108</v>
      </c>
      <c r="B887" s="4" t="s">
        <v>673</v>
      </c>
      <c r="C887" s="4" t="s">
        <v>287</v>
      </c>
      <c r="D887" s="94">
        <v>1249.0</v>
      </c>
    </row>
    <row r="888">
      <c r="A888" s="40">
        <f t="array" ref="A888">IFNA(index(PlayerValues!A:A,match(IFNA(vlookup(B888,'Special Names'!A:B,2,FALSE),B888),PlayerValues!E:E,0)),"N/A")</f>
        <v>16451</v>
      </c>
      <c r="B888" s="4" t="s">
        <v>769</v>
      </c>
      <c r="C888" s="4" t="s">
        <v>287</v>
      </c>
      <c r="D888" s="94">
        <v>1243.0</v>
      </c>
    </row>
    <row r="889">
      <c r="A889" s="40">
        <f t="array" ref="A889">IFNA(index(PlayerValues!A:A,match(IFNA(vlookup(B889,'Special Names'!A:B,2,FALSE),B889),PlayerValues!E:E,0)),"N/A")</f>
        <v>15981</v>
      </c>
      <c r="B889" s="4" t="s">
        <v>729</v>
      </c>
      <c r="C889" s="4" t="s">
        <v>287</v>
      </c>
      <c r="D889" s="94">
        <v>1230.0</v>
      </c>
    </row>
    <row r="890">
      <c r="A890" s="40">
        <f t="array" ref="A890">IFNA(index(PlayerValues!A:A,match(IFNA(vlookup(B890,'Special Names'!A:B,2,FALSE),B890),PlayerValues!E:E,0)),"N/A")</f>
        <v>16183</v>
      </c>
      <c r="B890" s="4" t="s">
        <v>678</v>
      </c>
      <c r="C890" s="4" t="s">
        <v>287</v>
      </c>
      <c r="D890" s="94">
        <v>1223.0</v>
      </c>
    </row>
    <row r="891">
      <c r="A891" s="40">
        <f t="array" ref="A891">IFNA(index(PlayerValues!A:A,match(IFNA(vlookup(B891,'Special Names'!A:B,2,FALSE),B891),PlayerValues!E:E,0)),"N/A")</f>
        <v>12263</v>
      </c>
      <c r="B891" s="4" t="s">
        <v>697</v>
      </c>
      <c r="C891" s="4" t="s">
        <v>298</v>
      </c>
      <c r="D891" s="94">
        <v>1588.0</v>
      </c>
    </row>
    <row r="892">
      <c r="A892" s="40">
        <f t="array" ref="A892">IFNA(index(PlayerValues!A:A,match(IFNA(vlookup(B892,'Special Names'!A:B,2,FALSE),B892),PlayerValues!E:E,0)),"N/A")</f>
        <v>16792</v>
      </c>
      <c r="B892" s="4" t="s">
        <v>704</v>
      </c>
      <c r="C892" s="4" t="s">
        <v>287</v>
      </c>
      <c r="D892" s="94">
        <v>1202.0</v>
      </c>
    </row>
    <row r="893">
      <c r="A893" s="40">
        <f t="array" ref="A893">IFNA(index(PlayerValues!A:A,match(IFNA(vlookup(B893,'Special Names'!A:B,2,FALSE),B893),PlayerValues!E:E,0)),"N/A")</f>
        <v>16149</v>
      </c>
      <c r="B893" s="4" t="s">
        <v>740</v>
      </c>
      <c r="C893" s="4" t="s">
        <v>283</v>
      </c>
      <c r="D893" s="94">
        <v>1198.0</v>
      </c>
    </row>
    <row r="894">
      <c r="A894" s="40">
        <f t="array" ref="A894">IFNA(index(PlayerValues!A:A,match(IFNA(vlookup(B894,'Special Names'!A:B,2,FALSE),B894),PlayerValues!E:E,0)),"N/A")</f>
        <v>17063</v>
      </c>
      <c r="B894" s="4" t="s">
        <v>686</v>
      </c>
      <c r="C894" s="4" t="s">
        <v>278</v>
      </c>
      <c r="D894" s="94">
        <v>1188.0</v>
      </c>
    </row>
    <row r="895">
      <c r="A895" s="40">
        <f t="array" ref="A895">IFNA(index(PlayerValues!A:A,match(IFNA(vlookup(B895,'Special Names'!A:B,2,FALSE),B895),PlayerValues!E:E,0)),"N/A")</f>
        <v>15240</v>
      </c>
      <c r="B895" s="4" t="s">
        <v>751</v>
      </c>
      <c r="C895" s="4" t="s">
        <v>283</v>
      </c>
      <c r="D895" s="94">
        <v>1186.0</v>
      </c>
    </row>
    <row r="896">
      <c r="A896" s="40">
        <f t="array" ref="A896">IFNA(index(PlayerValues!A:A,match(IFNA(vlookup(B896,'Special Names'!A:B,2,FALSE),B896),PlayerValues!E:E,0)),"N/A")</f>
        <v>15702</v>
      </c>
      <c r="B896" s="4" t="s">
        <v>723</v>
      </c>
      <c r="C896" s="4" t="s">
        <v>283</v>
      </c>
      <c r="D896" s="94">
        <v>1175.0</v>
      </c>
    </row>
    <row r="897">
      <c r="A897" s="40">
        <f t="array" ref="A897">IFNA(index(PlayerValues!A:A,match(IFNA(vlookup(B897,'Special Names'!A:B,2,FALSE),B897),PlayerValues!E:E,0)),"N/A")</f>
        <v>16636</v>
      </c>
      <c r="B897" s="4" t="s">
        <v>699</v>
      </c>
      <c r="C897" s="4" t="s">
        <v>287</v>
      </c>
      <c r="D897" s="94">
        <v>1172.0</v>
      </c>
    </row>
    <row r="898">
      <c r="A898" s="40">
        <f t="array" ref="A898">IFNA(index(PlayerValues!A:A,match(IFNA(vlookup(B898,'Special Names'!A:B,2,FALSE),B898),PlayerValues!E:E,0)),"N/A")</f>
        <v>16746</v>
      </c>
      <c r="B898" s="4" t="s">
        <v>709</v>
      </c>
      <c r="C898" s="4" t="s">
        <v>278</v>
      </c>
      <c r="D898" s="94">
        <v>1167.0</v>
      </c>
    </row>
    <row r="899">
      <c r="A899" s="40">
        <f t="array" ref="A899">IFNA(index(PlayerValues!A:A,match(IFNA(vlookup(B899,'Special Names'!A:B,2,FALSE),B899),PlayerValues!E:E,0)),"N/A")</f>
        <v>16199</v>
      </c>
      <c r="B899" s="4" t="s">
        <v>687</v>
      </c>
      <c r="C899" s="4" t="s">
        <v>287</v>
      </c>
      <c r="D899" s="94">
        <v>1160.0</v>
      </c>
    </row>
    <row r="900">
      <c r="A900" s="40">
        <f t="array" ref="A900">IFNA(index(PlayerValues!A:A,match(IFNA(vlookup(B900,'Special Names'!A:B,2,FALSE),B900),PlayerValues!E:E,0)),"N/A")</f>
        <v>16645</v>
      </c>
      <c r="B900" s="4" t="s">
        <v>651</v>
      </c>
      <c r="C900" s="4" t="s">
        <v>298</v>
      </c>
      <c r="D900" s="94">
        <v>1526.0</v>
      </c>
    </row>
    <row r="901">
      <c r="A901" s="40">
        <f t="array" ref="A901">IFNA(index(PlayerValues!A:A,match(IFNA(vlookup(B901,'Special Names'!A:B,2,FALSE),B901),PlayerValues!E:E,0)),"N/A")</f>
        <v>16883</v>
      </c>
      <c r="B901" s="4" t="s">
        <v>683</v>
      </c>
      <c r="C901" s="4" t="s">
        <v>287</v>
      </c>
      <c r="D901" s="94">
        <v>1160.0</v>
      </c>
    </row>
    <row r="902">
      <c r="A902" s="40">
        <f t="array" ref="A902">IFNA(index(PlayerValues!A:A,match(IFNA(vlookup(B902,'Special Names'!A:B,2,FALSE),B902),PlayerValues!E:E,0)),"N/A")</f>
        <v>12678</v>
      </c>
      <c r="B902" s="4" t="s">
        <v>703</v>
      </c>
      <c r="C902" s="4" t="s">
        <v>298</v>
      </c>
      <c r="D902" s="94">
        <v>1524.0</v>
      </c>
    </row>
    <row r="903">
      <c r="A903" s="40">
        <f t="array" ref="A903">IFNA(index(PlayerValues!A:A,match(IFNA(vlookup(B903,'Special Names'!A:B,2,FALSE),B903),PlayerValues!E:E,0)),"N/A")</f>
        <v>14789</v>
      </c>
      <c r="B903" s="4" t="s">
        <v>721</v>
      </c>
      <c r="C903" s="4" t="s">
        <v>283</v>
      </c>
      <c r="D903" s="94">
        <v>1153.0</v>
      </c>
    </row>
    <row r="904">
      <c r="A904" s="40">
        <f t="array" ref="A904">IFNA(index(PlayerValues!A:A,match(IFNA(vlookup(B904,'Special Names'!A:B,2,FALSE),B904),PlayerValues!E:E,0)),"N/A")</f>
        <v>17097</v>
      </c>
      <c r="B904" s="4" t="s">
        <v>659</v>
      </c>
      <c r="C904" s="4" t="s">
        <v>287</v>
      </c>
      <c r="D904" s="94">
        <v>1148.0</v>
      </c>
    </row>
    <row r="905">
      <c r="A905" s="40">
        <f t="array" ref="A905">IFNA(index(PlayerValues!A:A,match(IFNA(vlookup(B905,'Special Names'!A:B,2,FALSE),B905),PlayerValues!E:E,0)),"N/A")</f>
        <v>17054</v>
      </c>
      <c r="B905" s="4" t="s">
        <v>670</v>
      </c>
      <c r="C905" s="4" t="s">
        <v>278</v>
      </c>
      <c r="D905" s="94">
        <v>1136.0</v>
      </c>
    </row>
    <row r="906">
      <c r="A906" s="40">
        <f t="array" ref="A906">IFNA(index(PlayerValues!A:A,match(IFNA(vlookup(B906,'Special Names'!A:B,2,FALSE),B906),PlayerValues!E:E,0)),"N/A")</f>
        <v>17050</v>
      </c>
      <c r="B906" s="4" t="s">
        <v>713</v>
      </c>
      <c r="C906" s="4" t="s">
        <v>278</v>
      </c>
      <c r="D906" s="94">
        <v>1135.0</v>
      </c>
    </row>
    <row r="907">
      <c r="A907" s="40">
        <f t="array" ref="A907">IFNA(index(PlayerValues!A:A,match(IFNA(vlookup(B907,'Special Names'!A:B,2,FALSE),B907),PlayerValues!E:E,0)),"N/A")</f>
        <v>15692</v>
      </c>
      <c r="B907" s="4" t="s">
        <v>750</v>
      </c>
      <c r="C907" s="4" t="s">
        <v>283</v>
      </c>
      <c r="D907" s="94">
        <v>1134.0</v>
      </c>
    </row>
    <row r="908">
      <c r="A908" s="40">
        <f t="array" ref="A908">IFNA(index(PlayerValues!A:A,match(IFNA(vlookup(B908,'Special Names'!A:B,2,FALSE),B908),PlayerValues!E:E,0)),"N/A")</f>
        <v>14845</v>
      </c>
      <c r="B908" s="4" t="s">
        <v>717</v>
      </c>
      <c r="C908" s="4" t="s">
        <v>287</v>
      </c>
      <c r="D908" s="94">
        <v>1133.0</v>
      </c>
    </row>
    <row r="909">
      <c r="A909" s="40">
        <f t="array" ref="A909">IFNA(index(PlayerValues!A:A,match(IFNA(vlookup(B909,'Special Names'!A:B,2,FALSE),B909),PlayerValues!E:E,0)),"N/A")</f>
        <v>16221</v>
      </c>
      <c r="B909" s="4" t="s">
        <v>725</v>
      </c>
      <c r="C909" s="4" t="s">
        <v>298</v>
      </c>
      <c r="D909" s="94">
        <v>1500.0</v>
      </c>
    </row>
    <row r="910">
      <c r="A910" s="40">
        <f t="array" ref="A910">IFNA(index(PlayerValues!A:A,match(IFNA(vlookup(B910,'Special Names'!A:B,2,FALSE),B910),PlayerValues!E:E,0)),"N/A")</f>
        <v>17109</v>
      </c>
      <c r="B910" s="4" t="s">
        <v>707</v>
      </c>
      <c r="C910" s="4" t="s">
        <v>298</v>
      </c>
      <c r="D910" s="94">
        <v>1490.0</v>
      </c>
    </row>
    <row r="911">
      <c r="A911" s="40">
        <f t="array" ref="A911">IFNA(index(PlayerValues!A:A,match(IFNA(vlookup(B911,'Special Names'!A:B,2,FALSE),B911),PlayerValues!E:E,0)),"N/A")</f>
        <v>13289</v>
      </c>
      <c r="B911" s="4" t="s">
        <v>746</v>
      </c>
      <c r="C911" s="4" t="s">
        <v>287</v>
      </c>
      <c r="D911" s="94">
        <v>1117.0</v>
      </c>
    </row>
    <row r="912">
      <c r="A912" s="40">
        <f t="array" ref="A912">IFNA(index(PlayerValues!A:A,match(IFNA(vlookup(B912,'Special Names'!A:B,2,FALSE),B912),PlayerValues!E:E,0)),"N/A")</f>
        <v>16333</v>
      </c>
      <c r="B912" s="4" t="s">
        <v>711</v>
      </c>
      <c r="C912" s="4" t="s">
        <v>298</v>
      </c>
      <c r="D912" s="94">
        <v>1481.0</v>
      </c>
    </row>
    <row r="913">
      <c r="A913" s="40">
        <f t="array" ref="A913">IFNA(index(PlayerValues!A:A,match(IFNA(vlookup(B913,'Special Names'!A:B,2,FALSE),B913),PlayerValues!E:E,0)),"N/A")</f>
        <v>15239</v>
      </c>
      <c r="B913" s="4" t="s">
        <v>802</v>
      </c>
      <c r="C913" s="4" t="s">
        <v>283</v>
      </c>
      <c r="D913" s="94">
        <v>1113.0</v>
      </c>
    </row>
    <row r="914">
      <c r="A914" s="40">
        <f t="array" ref="A914">IFNA(index(PlayerValues!A:A,match(IFNA(vlookup(B914,'Special Names'!A:B,2,FALSE),B914),PlayerValues!E:E,0)),"N/A")</f>
        <v>17192</v>
      </c>
      <c r="B914" s="4" t="s">
        <v>677</v>
      </c>
      <c r="C914" s="4" t="s">
        <v>287</v>
      </c>
      <c r="D914" s="94">
        <v>1104.0</v>
      </c>
    </row>
    <row r="915">
      <c r="A915" s="40">
        <f t="array" ref="A915">IFNA(index(PlayerValues!A:A,match(IFNA(vlookup(B915,'Special Names'!A:B,2,FALSE),B915),PlayerValues!E:E,0)),"N/A")</f>
        <v>15288</v>
      </c>
      <c r="B915" s="4" t="s">
        <v>700</v>
      </c>
      <c r="C915" s="4" t="s">
        <v>287</v>
      </c>
      <c r="D915" s="94">
        <v>1102.0</v>
      </c>
    </row>
    <row r="916">
      <c r="A916" s="40">
        <f t="array" ref="A916">IFNA(index(PlayerValues!A:A,match(IFNA(vlookup(B916,'Special Names'!A:B,2,FALSE),B916),PlayerValues!E:E,0)),"N/A")</f>
        <v>16384</v>
      </c>
      <c r="B916" s="4" t="s">
        <v>696</v>
      </c>
      <c r="C916" s="4" t="s">
        <v>283</v>
      </c>
      <c r="D916" s="94">
        <v>1098.0</v>
      </c>
    </row>
    <row r="917">
      <c r="A917" s="40">
        <f t="array" ref="A917">IFNA(index(PlayerValues!A:A,match(IFNA(vlookup(B917,'Special Names'!A:B,2,FALSE),B917),PlayerValues!E:E,0)),"N/A")</f>
        <v>17175</v>
      </c>
      <c r="B917" s="4" t="s">
        <v>747</v>
      </c>
      <c r="C917" s="4" t="s">
        <v>287</v>
      </c>
      <c r="D917" s="94">
        <v>1091.0</v>
      </c>
    </row>
    <row r="918">
      <c r="A918" s="40">
        <f t="array" ref="A918">IFNA(index(PlayerValues!A:A,match(IFNA(vlookup(B918,'Special Names'!A:B,2,FALSE),B918),PlayerValues!E:E,0)),"N/A")</f>
        <v>15717</v>
      </c>
      <c r="B918" s="4" t="s">
        <v>745</v>
      </c>
      <c r="C918" s="4" t="s">
        <v>278</v>
      </c>
      <c r="D918" s="94">
        <v>1083.0</v>
      </c>
    </row>
    <row r="919">
      <c r="A919" s="40">
        <f t="array" ref="A919">IFNA(index(PlayerValues!A:A,match(IFNA(vlookup(B919,'Special Names'!A:B,2,FALSE),B919),PlayerValues!E:E,0)),"N/A")</f>
        <v>15718</v>
      </c>
      <c r="B919" s="4" t="s">
        <v>753</v>
      </c>
      <c r="C919" s="4" t="s">
        <v>278</v>
      </c>
      <c r="D919" s="94">
        <v>1079.0</v>
      </c>
    </row>
    <row r="920">
      <c r="A920" s="40">
        <f t="array" ref="A920">IFNA(index(PlayerValues!A:A,match(IFNA(vlookup(B920,'Special Names'!A:B,2,FALSE),B920),PlayerValues!E:E,0)),"N/A")</f>
        <v>16197</v>
      </c>
      <c r="B920" s="4" t="s">
        <v>726</v>
      </c>
      <c r="C920" s="4" t="s">
        <v>287</v>
      </c>
      <c r="D920" s="94">
        <v>1073.0</v>
      </c>
    </row>
    <row r="921">
      <c r="A921" s="40">
        <f t="array" ref="A921">IFNA(index(PlayerValues!A:A,match(IFNA(vlookup(B921,'Special Names'!A:B,2,FALSE),B921),PlayerValues!E:E,0)),"N/A")</f>
        <v>16219</v>
      </c>
      <c r="B921" s="4" t="s">
        <v>739</v>
      </c>
      <c r="C921" s="4" t="s">
        <v>298</v>
      </c>
      <c r="D921" s="94">
        <v>1439.0</v>
      </c>
    </row>
    <row r="922">
      <c r="A922" s="40">
        <f t="array" ref="A922">IFNA(index(PlayerValues!A:A,match(IFNA(vlookup(B922,'Special Names'!A:B,2,FALSE),B922),PlayerValues!E:E,0)),"N/A")</f>
        <v>13610</v>
      </c>
      <c r="B922" s="4" t="s">
        <v>825</v>
      </c>
      <c r="C922" s="4" t="s">
        <v>278</v>
      </c>
      <c r="D922" s="94">
        <v>1069.0</v>
      </c>
    </row>
    <row r="923">
      <c r="A923" s="40">
        <f t="array" ref="A923">IFNA(index(PlayerValues!A:A,match(IFNA(vlookup(B923,'Special Names'!A:B,2,FALSE),B923),PlayerValues!E:E,0)),"N/A")</f>
        <v>15730</v>
      </c>
      <c r="B923" s="4" t="s">
        <v>734</v>
      </c>
      <c r="C923" s="4" t="s">
        <v>278</v>
      </c>
      <c r="D923" s="94">
        <v>1069.0</v>
      </c>
    </row>
    <row r="924">
      <c r="A924" s="40">
        <f t="array" ref="A924">IFNA(index(PlayerValues!A:A,match(IFNA(vlookup(B924,'Special Names'!A:B,2,FALSE),B924),PlayerValues!E:E,0)),"N/A")</f>
        <v>16387</v>
      </c>
      <c r="B924" s="4" t="s">
        <v>646</v>
      </c>
      <c r="C924" s="4" t="s">
        <v>278</v>
      </c>
      <c r="D924" s="94">
        <v>1056.0</v>
      </c>
    </row>
    <row r="925">
      <c r="A925" s="40">
        <f t="array" ref="A925">IFNA(index(PlayerValues!A:A,match(IFNA(vlookup(B925,'Special Names'!A:B,2,FALSE),B925),PlayerValues!E:E,0)),"N/A")</f>
        <v>16640</v>
      </c>
      <c r="B925" s="4" t="s">
        <v>712</v>
      </c>
      <c r="C925" s="4" t="s">
        <v>287</v>
      </c>
      <c r="D925" s="94">
        <v>1055.0</v>
      </c>
    </row>
    <row r="926">
      <c r="A926" s="40">
        <f t="array" ref="A926">IFNA(index(PlayerValues!A:A,match(IFNA(vlookup(B926,'Special Names'!A:B,2,FALSE),B926),PlayerValues!E:E,0)),"N/A")</f>
        <v>14849</v>
      </c>
      <c r="B926" s="4" t="s">
        <v>733</v>
      </c>
      <c r="C926" s="4" t="s">
        <v>287</v>
      </c>
      <c r="D926" s="94">
        <v>1042.0</v>
      </c>
    </row>
    <row r="927">
      <c r="A927" s="40">
        <f t="array" ref="A927">IFNA(index(PlayerValues!A:A,match(IFNA(vlookup(B927,'Special Names'!A:B,2,FALSE),B927),PlayerValues!E:E,0)),"N/A")</f>
        <v>14118</v>
      </c>
      <c r="B927" s="4" t="s">
        <v>771</v>
      </c>
      <c r="C927" s="4" t="s">
        <v>287</v>
      </c>
      <c r="D927" s="94">
        <v>1038.0</v>
      </c>
    </row>
    <row r="928">
      <c r="A928" s="40">
        <f t="array" ref="A928">IFNA(index(PlayerValues!A:A,match(IFNA(vlookup(B928,'Special Names'!A:B,2,FALSE),B928),PlayerValues!E:E,0)),"N/A")</f>
        <v>15720</v>
      </c>
      <c r="B928" s="4" t="s">
        <v>795</v>
      </c>
      <c r="C928" s="4" t="s">
        <v>278</v>
      </c>
      <c r="D928" s="94">
        <v>1033.0</v>
      </c>
    </row>
    <row r="929">
      <c r="A929" s="40">
        <f t="array" ref="A929">IFNA(index(PlayerValues!A:A,match(IFNA(vlookup(B929,'Special Names'!A:B,2,FALSE),B929),PlayerValues!E:E,0)),"N/A")</f>
        <v>15693</v>
      </c>
      <c r="B929" s="4" t="s">
        <v>755</v>
      </c>
      <c r="C929" s="4" t="s">
        <v>283</v>
      </c>
      <c r="D929" s="94">
        <v>1029.0</v>
      </c>
    </row>
    <row r="930">
      <c r="A930" s="40">
        <f t="array" ref="A930">IFNA(index(PlayerValues!A:A,match(IFNA(vlookup(B930,'Special Names'!A:B,2,FALSE),B930),PlayerValues!E:E,0)),"N/A")</f>
        <v>15785</v>
      </c>
      <c r="B930" s="4" t="s">
        <v>763</v>
      </c>
      <c r="C930" s="4" t="s">
        <v>287</v>
      </c>
      <c r="D930" s="94">
        <v>1027.0</v>
      </c>
    </row>
    <row r="931">
      <c r="A931" s="40">
        <f t="array" ref="A931">IFNA(index(PlayerValues!A:A,match(IFNA(vlookup(B931,'Special Names'!A:B,2,FALSE),B931),PlayerValues!E:E,0)),"N/A")</f>
        <v>13143</v>
      </c>
      <c r="B931" s="4" t="s">
        <v>786</v>
      </c>
      <c r="C931" s="4" t="s">
        <v>278</v>
      </c>
      <c r="D931" s="94">
        <v>1024.0</v>
      </c>
    </row>
    <row r="932">
      <c r="A932" s="40">
        <f t="array" ref="A932">IFNA(index(PlayerValues!A:A,match(IFNA(vlookup(B932,'Special Names'!A:B,2,FALSE),B932),PlayerValues!E:E,0)),"N/A")</f>
        <v>15626</v>
      </c>
      <c r="B932" s="4" t="s">
        <v>766</v>
      </c>
      <c r="C932" s="4" t="s">
        <v>298</v>
      </c>
      <c r="D932" s="94">
        <v>1389.0</v>
      </c>
    </row>
    <row r="933">
      <c r="A933" s="40">
        <f t="array" ref="A933">IFNA(index(PlayerValues!A:A,match(IFNA(vlookup(B933,'Special Names'!A:B,2,FALSE),B933),PlayerValues!E:E,0)),"N/A")</f>
        <v>16637</v>
      </c>
      <c r="B933" s="4" t="s">
        <v>736</v>
      </c>
      <c r="C933" s="4" t="s">
        <v>287</v>
      </c>
      <c r="D933" s="94">
        <v>1014.0</v>
      </c>
    </row>
    <row r="934">
      <c r="A934" s="40">
        <f t="array" ref="A934">IFNA(index(PlayerValues!A:A,match(IFNA(vlookup(B934,'Special Names'!A:B,2,FALSE),B934),PlayerValues!E:E,0)),"N/A")</f>
        <v>15283</v>
      </c>
      <c r="B934" s="4" t="s">
        <v>844</v>
      </c>
      <c r="C934" s="4" t="s">
        <v>287</v>
      </c>
      <c r="D934" s="94">
        <v>1006.0</v>
      </c>
    </row>
    <row r="935">
      <c r="A935" s="40">
        <f t="array" ref="A935">IFNA(index(PlayerValues!A:A,match(IFNA(vlookup(B935,'Special Names'!A:B,2,FALSE),B935),PlayerValues!E:E,0)),"N/A")</f>
        <v>17057</v>
      </c>
      <c r="B935" s="4" t="s">
        <v>708</v>
      </c>
      <c r="C935" s="4" t="s">
        <v>278</v>
      </c>
      <c r="D935" s="94">
        <v>1005.0</v>
      </c>
    </row>
    <row r="936">
      <c r="A936" s="40">
        <f t="array" ref="A936">IFNA(index(PlayerValues!A:A,match(IFNA(vlookup(B936,'Special Names'!A:B,2,FALSE),B936),PlayerValues!E:E,0)),"N/A")</f>
        <v>17467</v>
      </c>
      <c r="B936" s="4" t="s">
        <v>575</v>
      </c>
      <c r="C936" s="4" t="s">
        <v>283</v>
      </c>
      <c r="D936" s="94">
        <v>1003.0</v>
      </c>
    </row>
    <row r="937">
      <c r="A937" s="40">
        <f t="array" ref="A937">IFNA(index(PlayerValues!A:A,match(IFNA(vlookup(B937,'Special Names'!A:B,2,FALSE),B937),PlayerValues!E:E,0)),"N/A")</f>
        <v>16168</v>
      </c>
      <c r="B937" s="4" t="s">
        <v>738</v>
      </c>
      <c r="C937" s="4" t="s">
        <v>278</v>
      </c>
      <c r="D937" s="94">
        <v>1000.0</v>
      </c>
    </row>
    <row r="938">
      <c r="A938" s="40">
        <f t="array" ref="A938">IFNA(index(PlayerValues!A:A,match(IFNA(vlookup(B938,'Special Names'!A:B,2,FALSE),B938),PlayerValues!E:E,0)),"N/A")</f>
        <v>16393</v>
      </c>
      <c r="B938" s="4" t="s">
        <v>768</v>
      </c>
      <c r="C938" s="4" t="s">
        <v>287</v>
      </c>
      <c r="D938" s="94">
        <v>998.0</v>
      </c>
    </row>
    <row r="939">
      <c r="A939" s="40">
        <f t="array" ref="A939">IFNA(index(PlayerValues!A:A,match(IFNA(vlookup(B939,'Special Names'!A:B,2,FALSE),B939),PlayerValues!E:E,0)),"N/A")</f>
        <v>16648</v>
      </c>
      <c r="B939" s="4" t="s">
        <v>748</v>
      </c>
      <c r="C939" s="4" t="s">
        <v>298</v>
      </c>
      <c r="D939" s="94">
        <v>1366.0</v>
      </c>
    </row>
    <row r="940">
      <c r="A940" s="40">
        <f t="array" ref="A940">IFNA(index(PlayerValues!A:A,match(IFNA(vlookup(B940,'Special Names'!A:B,2,FALSE),B940),PlayerValues!E:E,0)),"N/A")</f>
        <v>16159</v>
      </c>
      <c r="B940" s="4" t="s">
        <v>819</v>
      </c>
      <c r="C940" s="4" t="s">
        <v>283</v>
      </c>
      <c r="D940" s="94">
        <v>993.0</v>
      </c>
    </row>
    <row r="941">
      <c r="A941" s="40">
        <f t="array" ref="A941">IFNA(index(PlayerValues!A:A,match(IFNA(vlookup(B941,'Special Names'!A:B,2,FALSE),B941),PlayerValues!E:E,0)),"N/A")</f>
        <v>16858</v>
      </c>
      <c r="B941" s="4" t="s">
        <v>754</v>
      </c>
      <c r="C941" s="4" t="s">
        <v>287</v>
      </c>
      <c r="D941" s="94">
        <v>990.0</v>
      </c>
    </row>
    <row r="942">
      <c r="A942" s="40">
        <f t="array" ref="A942">IFNA(index(PlayerValues!A:A,match(IFNA(vlookup(B942,'Special Names'!A:B,2,FALSE),B942),PlayerValues!E:E,0)),"N/A")</f>
        <v>15330</v>
      </c>
      <c r="B942" s="4" t="s">
        <v>749</v>
      </c>
      <c r="C942" s="4" t="s">
        <v>298</v>
      </c>
      <c r="D942" s="94">
        <v>1354.0</v>
      </c>
    </row>
    <row r="943">
      <c r="A943" s="40">
        <f t="array" ref="A943">IFNA(index(PlayerValues!A:A,match(IFNA(vlookup(B943,'Special Names'!A:B,2,FALSE),B943),PlayerValues!E:E,0)),"N/A")</f>
        <v>16957</v>
      </c>
      <c r="B943" s="4" t="s">
        <v>806</v>
      </c>
      <c r="C943" s="4" t="s">
        <v>278</v>
      </c>
      <c r="D943" s="94">
        <v>961.0</v>
      </c>
    </row>
    <row r="944">
      <c r="A944" s="40">
        <f t="array" ref="A944">IFNA(index(PlayerValues!A:A,match(IFNA(vlookup(B944,'Special Names'!A:B,2,FALSE),B944),PlayerValues!E:E,0)),"N/A")</f>
        <v>9064</v>
      </c>
      <c r="B944" s="4" t="s">
        <v>761</v>
      </c>
      <c r="C944" s="4" t="s">
        <v>283</v>
      </c>
      <c r="D944" s="94">
        <v>950.0</v>
      </c>
    </row>
    <row r="945">
      <c r="A945" s="40">
        <f t="array" ref="A945">IFNA(index(PlayerValues!A:A,match(IFNA(vlookup(B945,'Special Names'!A:B,2,FALSE),B945),PlayerValues!E:E,0)),"N/A")</f>
        <v>14067</v>
      </c>
      <c r="B945" s="4" t="s">
        <v>735</v>
      </c>
      <c r="C945" s="4" t="s">
        <v>283</v>
      </c>
      <c r="D945" s="94">
        <v>947.0</v>
      </c>
    </row>
    <row r="946">
      <c r="A946" s="40">
        <f t="array" ref="A946">IFNA(index(PlayerValues!A:A,match(IFNA(vlookup(B946,'Special Names'!A:B,2,FALSE),B946),PlayerValues!E:E,0)),"N/A")</f>
        <v>15766</v>
      </c>
      <c r="B946" s="4" t="s">
        <v>759</v>
      </c>
      <c r="C946" s="4" t="s">
        <v>287</v>
      </c>
      <c r="D946" s="94">
        <v>946.0</v>
      </c>
    </row>
    <row r="947">
      <c r="A947" s="40">
        <f t="array" ref="A947">IFNA(index(PlayerValues!A:A,match(IFNA(vlookup(B947,'Special Names'!A:B,2,FALSE),B947),PlayerValues!E:E,0)),"N/A")</f>
        <v>14852</v>
      </c>
      <c r="B947" s="4" t="s">
        <v>837</v>
      </c>
      <c r="C947" s="4" t="s">
        <v>278</v>
      </c>
      <c r="D947" s="94">
        <v>945.0</v>
      </c>
    </row>
    <row r="948">
      <c r="A948" s="40">
        <f t="array" ref="A948">IFNA(index(PlayerValues!A:A,match(IFNA(vlookup(B948,'Special Names'!A:B,2,FALSE),B948),PlayerValues!E:E,0)),"N/A")</f>
        <v>16205</v>
      </c>
      <c r="B948" s="4" t="s">
        <v>742</v>
      </c>
      <c r="C948" s="4" t="s">
        <v>287</v>
      </c>
      <c r="D948" s="94">
        <v>945.0</v>
      </c>
    </row>
    <row r="949">
      <c r="A949" s="40">
        <f t="array" ref="A949">IFNA(index(PlayerValues!A:A,match(IFNA(vlookup(B949,'Special Names'!A:B,2,FALSE),B949),PlayerValues!E:E,0)),"N/A")</f>
        <v>17337</v>
      </c>
      <c r="B949" s="4" t="s">
        <v>793</v>
      </c>
      <c r="C949" s="4" t="s">
        <v>278</v>
      </c>
      <c r="D949" s="94">
        <v>942.0</v>
      </c>
    </row>
    <row r="950">
      <c r="A950" s="40">
        <f t="array" ref="A950">IFNA(index(PlayerValues!A:A,match(IFNA(vlookup(B950,'Special Names'!A:B,2,FALSE),B950),PlayerValues!E:E,0)),"N/A")</f>
        <v>13156</v>
      </c>
      <c r="B950" s="4" t="s">
        <v>835</v>
      </c>
      <c r="C950" s="4" t="s">
        <v>287</v>
      </c>
      <c r="D950" s="94">
        <v>938.0</v>
      </c>
    </row>
    <row r="951">
      <c r="A951" s="40">
        <f t="array" ref="A951">IFNA(index(PlayerValues!A:A,match(IFNA(vlookup(B951,'Special Names'!A:B,2,FALSE),B951),PlayerValues!E:E,0)),"N/A")</f>
        <v>13133</v>
      </c>
      <c r="B951" s="4" t="s">
        <v>764</v>
      </c>
      <c r="C951" s="4" t="s">
        <v>278</v>
      </c>
      <c r="D951" s="94">
        <v>937.0</v>
      </c>
    </row>
    <row r="952">
      <c r="A952" s="40">
        <f t="array" ref="A952">IFNA(index(PlayerValues!A:A,match(IFNA(vlookup(B952,'Special Names'!A:B,2,FALSE),B952),PlayerValues!E:E,0)),"N/A")</f>
        <v>14864</v>
      </c>
      <c r="B952" s="4" t="s">
        <v>789</v>
      </c>
      <c r="C952" s="4" t="s">
        <v>287</v>
      </c>
      <c r="D952" s="94">
        <v>932.0</v>
      </c>
    </row>
    <row r="953">
      <c r="A953" s="40">
        <f t="array" ref="A953">IFNA(index(PlayerValues!A:A,match(IFNA(vlookup(B953,'Special Names'!A:B,2,FALSE),B953),PlayerValues!E:E,0)),"N/A")</f>
        <v>14057</v>
      </c>
      <c r="B953" s="4" t="s">
        <v>765</v>
      </c>
      <c r="C953" s="4" t="s">
        <v>283</v>
      </c>
      <c r="D953" s="94">
        <v>929.0</v>
      </c>
    </row>
    <row r="954">
      <c r="A954" s="40">
        <f t="array" ref="A954">IFNA(index(PlayerValues!A:A,match(IFNA(vlookup(B954,'Special Names'!A:B,2,FALSE),B954),PlayerValues!E:E,0)),"N/A")</f>
        <v>13595</v>
      </c>
      <c r="B954" s="4" t="s">
        <v>818</v>
      </c>
      <c r="C954" s="4" t="s">
        <v>283</v>
      </c>
      <c r="D954" s="94">
        <v>929.0</v>
      </c>
    </row>
    <row r="955">
      <c r="A955" s="40">
        <f t="array" ref="A955">IFNA(index(PlayerValues!A:A,match(IFNA(vlookup(B955,'Special Names'!A:B,2,FALSE),B955),PlayerValues!E:E,0)),"N/A")</f>
        <v>15109</v>
      </c>
      <c r="B955" s="4" t="s">
        <v>728</v>
      </c>
      <c r="C955" s="4" t="s">
        <v>287</v>
      </c>
      <c r="D955" s="94">
        <v>927.0</v>
      </c>
    </row>
    <row r="956">
      <c r="A956" s="40">
        <f t="array" ref="A956">IFNA(index(PlayerValues!A:A,match(IFNA(vlookup(B956,'Special Names'!A:B,2,FALSE),B956),PlayerValues!E:E,0)),"N/A")</f>
        <v>12785</v>
      </c>
      <c r="B956" s="4" t="s">
        <v>772</v>
      </c>
      <c r="C956" s="4" t="s">
        <v>287</v>
      </c>
      <c r="D956" s="94">
        <v>924.0</v>
      </c>
    </row>
    <row r="957">
      <c r="A957" s="40">
        <f t="array" ref="A957">IFNA(index(PlayerValues!A:A,match(IFNA(vlookup(B957,'Special Names'!A:B,2,FALSE),B957),PlayerValues!E:E,0)),"N/A")</f>
        <v>16624</v>
      </c>
      <c r="B957" s="4" t="s">
        <v>796</v>
      </c>
      <c r="C957" s="4" t="s">
        <v>287</v>
      </c>
      <c r="D957" s="94">
        <v>922.0</v>
      </c>
    </row>
    <row r="958">
      <c r="A958" s="40">
        <f t="array" ref="A958">IFNA(index(PlayerValues!A:A,match(IFNA(vlookup(B958,'Special Names'!A:B,2,FALSE),B958),PlayerValues!E:E,0)),"N/A")</f>
        <v>14079</v>
      </c>
      <c r="B958" s="4" t="s">
        <v>830</v>
      </c>
      <c r="C958" s="4" t="s">
        <v>278</v>
      </c>
      <c r="D958" s="94">
        <v>919.0</v>
      </c>
    </row>
    <row r="959">
      <c r="A959" s="40">
        <f t="array" ref="A959">IFNA(index(PlayerValues!A:A,match(IFNA(vlookup(B959,'Special Names'!A:B,2,FALSE),B959),PlayerValues!E:E,0)),"N/A")</f>
        <v>11247</v>
      </c>
      <c r="B959" s="4" t="s">
        <v>816</v>
      </c>
      <c r="C959" s="4" t="s">
        <v>298</v>
      </c>
      <c r="D959" s="94">
        <v>1280.0</v>
      </c>
    </row>
    <row r="960">
      <c r="A960" s="40">
        <f t="array" ref="A960">IFNA(index(PlayerValues!A:A,match(IFNA(vlookup(B960,'Special Names'!A:B,2,FALSE),B960),PlayerValues!E:E,0)),"N/A")</f>
        <v>16176</v>
      </c>
      <c r="B960" s="4" t="s">
        <v>812</v>
      </c>
      <c r="C960" s="4" t="s">
        <v>278</v>
      </c>
      <c r="D960" s="94">
        <v>907.0</v>
      </c>
    </row>
    <row r="961">
      <c r="A961" s="40">
        <f t="array" ref="A961">IFNA(index(PlayerValues!A:A,match(IFNA(vlookup(B961,'Special Names'!A:B,2,FALSE),B961),PlayerValues!E:E,0)),"N/A")</f>
        <v>17488</v>
      </c>
      <c r="B961" s="4" t="s">
        <v>845</v>
      </c>
      <c r="C961" s="4" t="s">
        <v>278</v>
      </c>
      <c r="D961" s="94">
        <v>907.0</v>
      </c>
    </row>
    <row r="962">
      <c r="A962" s="40">
        <f t="array" ref="A962">IFNA(index(PlayerValues!A:A,match(IFNA(vlookup(B962,'Special Names'!A:B,2,FALSE),B962),PlayerValues!E:E,0)),"N/A")</f>
        <v>15723</v>
      </c>
      <c r="B962" s="4" t="s">
        <v>798</v>
      </c>
      <c r="C962" s="4" t="s">
        <v>278</v>
      </c>
      <c r="D962" s="94">
        <v>904.0</v>
      </c>
    </row>
    <row r="963">
      <c r="A963" s="40">
        <f t="array" ref="A963">IFNA(index(PlayerValues!A:A,match(IFNA(vlookup(B963,'Special Names'!A:B,2,FALSE),B963),PlayerValues!E:E,0)),"N/A")</f>
        <v>16773</v>
      </c>
      <c r="B963" s="4" t="s">
        <v>783</v>
      </c>
      <c r="C963" s="4" t="s">
        <v>278</v>
      </c>
      <c r="D963" s="94">
        <v>900.0</v>
      </c>
    </row>
    <row r="964">
      <c r="A964" s="40">
        <f t="array" ref="A964">IFNA(index(PlayerValues!A:A,match(IFNA(vlookup(B964,'Special Names'!A:B,2,FALSE),B964),PlayerValues!E:E,0)),"N/A")</f>
        <v>13763</v>
      </c>
      <c r="B964" s="4" t="s">
        <v>831</v>
      </c>
      <c r="C964" s="4" t="s">
        <v>298</v>
      </c>
      <c r="D964" s="94">
        <v>1270.0</v>
      </c>
    </row>
    <row r="965">
      <c r="A965" s="40">
        <f t="array" ref="A965">IFNA(index(PlayerValues!A:A,match(IFNA(vlookup(B965,'Special Names'!A:B,2,FALSE),B965),PlayerValues!E:E,0)),"N/A")</f>
        <v>16599</v>
      </c>
      <c r="B965" s="4" t="s">
        <v>737</v>
      </c>
      <c r="C965" s="4" t="s">
        <v>278</v>
      </c>
      <c r="D965" s="94">
        <v>894.0</v>
      </c>
    </row>
    <row r="966">
      <c r="A966" s="40">
        <f t="array" ref="A966">IFNA(index(PlayerValues!A:A,match(IFNA(vlookup(B966,'Special Names'!A:B,2,FALSE),B966),PlayerValues!E:E,0)),"N/A")</f>
        <v>11232</v>
      </c>
      <c r="B966" s="4" t="s">
        <v>826</v>
      </c>
      <c r="C966" s="4" t="s">
        <v>287</v>
      </c>
      <c r="D966" s="94">
        <v>878.0</v>
      </c>
    </row>
    <row r="967">
      <c r="A967" s="40">
        <f t="array" ref="A967">IFNA(index(PlayerValues!A:A,match(IFNA(vlookup(B967,'Special Names'!A:B,2,FALSE),B967),PlayerValues!E:E,0)),"N/A")</f>
        <v>16686</v>
      </c>
      <c r="B967" s="4" t="s">
        <v>805</v>
      </c>
      <c r="C967" s="4" t="s">
        <v>287</v>
      </c>
      <c r="D967" s="94">
        <v>877.0</v>
      </c>
    </row>
    <row r="968">
      <c r="A968" s="40">
        <f t="array" ref="A968">IFNA(index(PlayerValues!A:A,match(IFNA(vlookup(B968,'Special Names'!A:B,2,FALSE),B968),PlayerValues!E:E,0)),"N/A")</f>
        <v>14799</v>
      </c>
      <c r="B968" s="4" t="s">
        <v>829</v>
      </c>
      <c r="C968" s="4" t="s">
        <v>278</v>
      </c>
      <c r="D968" s="94">
        <v>870.0</v>
      </c>
    </row>
    <row r="969">
      <c r="A969" s="40">
        <f t="array" ref="A969">IFNA(index(PlayerValues!A:A,match(IFNA(vlookup(B969,'Special Names'!A:B,2,FALSE),B969),PlayerValues!E:E,0)),"N/A")</f>
        <v>15796</v>
      </c>
      <c r="B969" s="4" t="s">
        <v>794</v>
      </c>
      <c r="C969" s="4" t="s">
        <v>298</v>
      </c>
      <c r="D969" s="94">
        <v>1242.0</v>
      </c>
    </row>
    <row r="970">
      <c r="A970" s="40">
        <f t="array" ref="A970">IFNA(index(PlayerValues!A:A,match(IFNA(vlookup(B970,'Special Names'!A:B,2,FALSE),B970),PlayerValues!E:E,0)),"N/A")</f>
        <v>15263</v>
      </c>
      <c r="B970" s="4" t="s">
        <v>804</v>
      </c>
      <c r="C970" s="4" t="s">
        <v>278</v>
      </c>
      <c r="D970" s="94">
        <v>869.0</v>
      </c>
    </row>
    <row r="971">
      <c r="A971" s="40">
        <f t="array" ref="A971">IFNA(index(PlayerValues!A:A,match(IFNA(vlookup(B971,'Special Names'!A:B,2,FALSE),B971),PlayerValues!E:E,0)),"N/A")</f>
        <v>16416</v>
      </c>
      <c r="B971" s="4" t="s">
        <v>752</v>
      </c>
      <c r="C971" s="4" t="s">
        <v>287</v>
      </c>
      <c r="D971" s="94">
        <v>869.0</v>
      </c>
    </row>
    <row r="972">
      <c r="A972" s="40">
        <f t="array" ref="A972">IFNA(index(PlayerValues!A:A,match(IFNA(vlookup(B972,'Special Names'!A:B,2,FALSE),B972),PlayerValues!E:E,0)),"N/A")</f>
        <v>13157</v>
      </c>
      <c r="B972" s="4" t="s">
        <v>836</v>
      </c>
      <c r="C972" s="4" t="s">
        <v>287</v>
      </c>
      <c r="D972" s="94">
        <v>868.0</v>
      </c>
    </row>
    <row r="973">
      <c r="A973" s="40">
        <f t="array" ref="A973">IFNA(index(PlayerValues!A:A,match(IFNA(vlookup(B973,'Special Names'!A:B,2,FALSE),B973),PlayerValues!E:E,0)),"N/A")</f>
        <v>16608</v>
      </c>
      <c r="B973" s="4" t="s">
        <v>629</v>
      </c>
      <c r="C973" s="4" t="s">
        <v>278</v>
      </c>
      <c r="D973" s="94">
        <v>860.0</v>
      </c>
    </row>
    <row r="974">
      <c r="A974" s="40">
        <f t="array" ref="A974">IFNA(index(PlayerValues!A:A,match(IFNA(vlookup(B974,'Special Names'!A:B,2,FALSE),B974),PlayerValues!E:E,0)),"N/A")</f>
        <v>16751</v>
      </c>
      <c r="B974" s="4" t="s">
        <v>762</v>
      </c>
      <c r="C974" s="4" t="s">
        <v>287</v>
      </c>
      <c r="D974" s="94">
        <v>859.0</v>
      </c>
    </row>
    <row r="975">
      <c r="A975" s="40">
        <f t="array" ref="A975">IFNA(index(PlayerValues!A:A,match(IFNA(vlookup(B975,'Special Names'!A:B,2,FALSE),B975),PlayerValues!E:E,0)),"N/A")</f>
        <v>15714</v>
      </c>
      <c r="B975" s="4" t="s">
        <v>775</v>
      </c>
      <c r="C975" s="4" t="s">
        <v>278</v>
      </c>
      <c r="D975" s="94">
        <v>855.0</v>
      </c>
    </row>
    <row r="976">
      <c r="A976" s="40">
        <f t="array" ref="A976">IFNA(index(PlayerValues!A:A,match(IFNA(vlookup(B976,'Special Names'!A:B,2,FALSE),B976),PlayerValues!E:E,0)),"N/A")</f>
        <v>15804</v>
      </c>
      <c r="B976" s="4" t="s">
        <v>821</v>
      </c>
      <c r="C976" s="4" t="s">
        <v>298</v>
      </c>
      <c r="D976" s="94">
        <v>1226.0</v>
      </c>
    </row>
    <row r="977">
      <c r="A977" s="40">
        <f t="array" ref="A977">IFNA(index(PlayerValues!A:A,match(IFNA(vlookup(B977,'Special Names'!A:B,2,FALSE),B977),PlayerValues!E:E,0)),"N/A")</f>
        <v>16623</v>
      </c>
      <c r="B977" s="4" t="s">
        <v>803</v>
      </c>
      <c r="C977" s="4" t="s">
        <v>287</v>
      </c>
      <c r="D977" s="94">
        <v>847.0</v>
      </c>
    </row>
    <row r="978">
      <c r="A978" s="40">
        <f t="array" ref="A978">IFNA(index(PlayerValues!A:A,match(IFNA(vlookup(B978,'Special Names'!A:B,2,FALSE),B978),PlayerValues!E:E,0)),"N/A")</f>
        <v>13172</v>
      </c>
      <c r="B978" s="4" t="s">
        <v>840</v>
      </c>
      <c r="C978" s="4" t="s">
        <v>287</v>
      </c>
      <c r="D978" s="94">
        <v>845.0</v>
      </c>
    </row>
    <row r="979">
      <c r="A979" s="40">
        <f t="array" ref="A979">IFNA(index(PlayerValues!A:A,match(IFNA(vlookup(B979,'Special Names'!A:B,2,FALSE),B979),PlayerValues!E:E,0)),"N/A")</f>
        <v>15795</v>
      </c>
      <c r="B979" s="4" t="s">
        <v>669</v>
      </c>
      <c r="C979" s="4" t="s">
        <v>298</v>
      </c>
      <c r="D979" s="94">
        <v>1209.0</v>
      </c>
    </row>
    <row r="980">
      <c r="A980" s="40">
        <f t="array" ref="A980">IFNA(index(PlayerValues!A:A,match(IFNA(vlookup(B980,'Special Names'!A:B,2,FALSE),B980),PlayerValues!E:E,0)),"N/A")</f>
        <v>16625</v>
      </c>
      <c r="B980" s="4" t="s">
        <v>778</v>
      </c>
      <c r="C980" s="4" t="s">
        <v>287</v>
      </c>
      <c r="D980" s="94">
        <v>830.0</v>
      </c>
    </row>
    <row r="981">
      <c r="A981" s="40">
        <f t="array" ref="A981">IFNA(index(PlayerValues!A:A,match(IFNA(vlookup(B981,'Special Names'!A:B,2,FALSE),B981),PlayerValues!E:E,0)),"N/A")</f>
        <v>14209</v>
      </c>
      <c r="B981" s="4" t="s">
        <v>809</v>
      </c>
      <c r="C981" s="4" t="s">
        <v>298</v>
      </c>
      <c r="D981" s="94">
        <v>1198.0</v>
      </c>
    </row>
    <row r="982">
      <c r="A982" s="40">
        <f t="array" ref="A982">IFNA(index(PlayerValues!A:A,match(IFNA(vlookup(B982,'Special Names'!A:B,2,FALSE),B982),PlayerValues!E:E,0)),"N/A")</f>
        <v>15271</v>
      </c>
      <c r="B982" s="4" t="s">
        <v>741</v>
      </c>
      <c r="C982" s="4" t="s">
        <v>278</v>
      </c>
      <c r="D982" s="94">
        <v>810.0</v>
      </c>
    </row>
    <row r="983">
      <c r="A983" s="40">
        <f t="array" ref="A983">IFNA(index(PlayerValues!A:A,match(IFNA(vlookup(B983,'Special Names'!A:B,2,FALSE),B983),PlayerValues!E:E,0)),"N/A")</f>
        <v>10413</v>
      </c>
      <c r="B983" s="4" t="s">
        <v>811</v>
      </c>
      <c r="C983" s="4" t="s">
        <v>283</v>
      </c>
      <c r="D983" s="94">
        <v>808.0</v>
      </c>
    </row>
    <row r="984">
      <c r="A984" s="40">
        <f t="array" ref="A984">IFNA(index(PlayerValues!A:A,match(IFNA(vlookup(B984,'Special Names'!A:B,2,FALSE),B984),PlayerValues!E:E,0)),"N/A")</f>
        <v>12658</v>
      </c>
      <c r="B984" s="4" t="s">
        <v>823</v>
      </c>
      <c r="C984" s="4" t="s">
        <v>287</v>
      </c>
      <c r="D984" s="94">
        <v>807.0</v>
      </c>
    </row>
    <row r="985">
      <c r="A985" s="40">
        <f t="array" ref="A985">IFNA(index(PlayerValues!A:A,match(IFNA(vlookup(B985,'Special Names'!A:B,2,FALSE),B985),PlayerValues!E:E,0)),"N/A")</f>
        <v>16606</v>
      </c>
      <c r="B985" s="4" t="s">
        <v>743</v>
      </c>
      <c r="C985" s="4" t="s">
        <v>278</v>
      </c>
      <c r="D985" s="94">
        <v>800.0</v>
      </c>
    </row>
    <row r="986">
      <c r="A986" s="40">
        <f t="array" ref="A986">IFNA(index(PlayerValues!A:A,match(IFNA(vlookup(B986,'Special Names'!A:B,2,FALSE),B986),PlayerValues!E:E,0)),"N/A")</f>
        <v>13176</v>
      </c>
      <c r="B986" s="4" t="s">
        <v>807</v>
      </c>
      <c r="C986" s="4" t="s">
        <v>287</v>
      </c>
      <c r="D986" s="94">
        <v>796.0</v>
      </c>
    </row>
    <row r="987">
      <c r="A987" s="40">
        <f t="array" ref="A987">IFNA(index(PlayerValues!A:A,match(IFNA(vlookup(B987,'Special Names'!A:B,2,FALSE),B987),PlayerValues!E:E,0)),"N/A")</f>
        <v>14358</v>
      </c>
      <c r="B987" s="4" t="s">
        <v>813</v>
      </c>
      <c r="C987" s="4" t="s">
        <v>283</v>
      </c>
      <c r="D987" s="94">
        <v>784.0</v>
      </c>
    </row>
    <row r="988">
      <c r="A988" s="40">
        <f t="array" ref="A988">IFNA(index(PlayerValues!A:A,match(IFNA(vlookup(B988,'Special Names'!A:B,2,FALSE),B988),PlayerValues!E:E,0)),"N/A")</f>
        <v>15285</v>
      </c>
      <c r="B988" s="4" t="s">
        <v>792</v>
      </c>
      <c r="C988" s="4" t="s">
        <v>287</v>
      </c>
      <c r="D988" s="94">
        <v>784.0</v>
      </c>
    </row>
    <row r="989">
      <c r="A989" s="40">
        <f t="array" ref="A989">IFNA(index(PlayerValues!A:A,match(IFNA(vlookup(B989,'Special Names'!A:B,2,FALSE),B989),PlayerValues!E:E,0)),"N/A")</f>
        <v>16413</v>
      </c>
      <c r="B989" s="4" t="s">
        <v>781</v>
      </c>
      <c r="C989" s="4" t="s">
        <v>287</v>
      </c>
      <c r="D989" s="94">
        <v>783.0</v>
      </c>
    </row>
    <row r="990">
      <c r="A990" s="40">
        <f t="array" ref="A990">IFNA(index(PlayerValues!A:A,match(IFNA(vlookup(B990,'Special Names'!A:B,2,FALSE),B990),PlayerValues!E:E,0)),"N/A")</f>
        <v>17282</v>
      </c>
      <c r="B990" s="4" t="s">
        <v>833</v>
      </c>
      <c r="C990" s="4" t="s">
        <v>283</v>
      </c>
      <c r="D990" s="94">
        <v>778.0</v>
      </c>
    </row>
    <row r="991">
      <c r="A991" s="40">
        <f t="array" ref="A991">IFNA(index(PlayerValues!A:A,match(IFNA(vlookup(B991,'Special Names'!A:B,2,FALSE),B991),PlayerValues!E:E,0)),"N/A")</f>
        <v>16632</v>
      </c>
      <c r="B991" s="4" t="s">
        <v>842</v>
      </c>
      <c r="C991" s="4" t="s">
        <v>287</v>
      </c>
      <c r="D991" s="94">
        <v>771.0</v>
      </c>
    </row>
    <row r="992">
      <c r="A992" s="40">
        <f t="array" ref="A992">IFNA(index(PlayerValues!A:A,match(IFNA(vlookup(B992,'Special Names'!A:B,2,FALSE),B992),PlayerValues!E:E,0)),"N/A")</f>
        <v>14805</v>
      </c>
      <c r="B992" s="4" t="s">
        <v>770</v>
      </c>
      <c r="C992" s="4" t="s">
        <v>278</v>
      </c>
      <c r="D992" s="94">
        <v>770.0</v>
      </c>
    </row>
    <row r="993">
      <c r="A993" s="40">
        <f t="array" ref="A993">IFNA(index(PlayerValues!A:A,match(IFNA(vlookup(B993,'Special Names'!A:B,2,FALSE),B993),PlayerValues!E:E,0)),"N/A")</f>
        <v>15965</v>
      </c>
      <c r="B993" s="4" t="s">
        <v>791</v>
      </c>
      <c r="C993" s="4" t="s">
        <v>278</v>
      </c>
      <c r="D993" s="94">
        <v>770.0</v>
      </c>
    </row>
    <row r="994">
      <c r="A994" s="40">
        <f t="array" ref="A994">IFNA(index(PlayerValues!A:A,match(IFNA(vlookup(B994,'Special Names'!A:B,2,FALSE),B994),PlayerValues!E:E,0)),"N/A")</f>
        <v>16678</v>
      </c>
      <c r="B994" s="4" t="s">
        <v>758</v>
      </c>
      <c r="C994" s="4" t="s">
        <v>278</v>
      </c>
      <c r="D994" s="94">
        <v>758.0</v>
      </c>
    </row>
    <row r="995">
      <c r="A995" s="40">
        <f t="array" ref="A995">IFNA(index(PlayerValues!A:A,match(IFNA(vlookup(B995,'Special Names'!A:B,2,FALSE),B995),PlayerValues!E:E,0)),"N/A")</f>
        <v>13424</v>
      </c>
      <c r="B995" s="4" t="s">
        <v>846</v>
      </c>
      <c r="C995" s="4" t="s">
        <v>298</v>
      </c>
      <c r="D995" s="94">
        <v>1116.0</v>
      </c>
    </row>
    <row r="996">
      <c r="A996" s="40">
        <f t="array" ref="A996">IFNA(index(PlayerValues!A:A,match(IFNA(vlookup(B996,'Special Names'!A:B,2,FALSE),B996),PlayerValues!E:E,0)),"N/A")</f>
        <v>14223</v>
      </c>
      <c r="B996" s="4" t="s">
        <v>785</v>
      </c>
      <c r="C996" s="4" t="s">
        <v>278</v>
      </c>
      <c r="D996" s="94">
        <v>744.0</v>
      </c>
    </row>
    <row r="997">
      <c r="A997" s="40">
        <f t="array" ref="A997">IFNA(index(PlayerValues!A:A,match(IFNA(vlookup(B997,'Special Names'!A:B,2,FALSE),B997),PlayerValues!E:E,0)),"N/A")</f>
        <v>13675</v>
      </c>
      <c r="B997" s="4" t="s">
        <v>839</v>
      </c>
      <c r="C997" s="4" t="s">
        <v>298</v>
      </c>
      <c r="D997" s="94">
        <v>1111.0</v>
      </c>
    </row>
    <row r="998">
      <c r="A998" s="40">
        <f t="array" ref="A998">IFNA(index(PlayerValues!A:A,match(IFNA(vlookup(B998,'Special Names'!A:B,2,FALSE),B998),PlayerValues!E:E,0)),"N/A")</f>
        <v>17232</v>
      </c>
      <c r="B998" s="4" t="s">
        <v>784</v>
      </c>
      <c r="C998" s="4" t="s">
        <v>287</v>
      </c>
      <c r="D998" s="94">
        <v>735.0</v>
      </c>
    </row>
    <row r="999">
      <c r="A999" s="40">
        <f t="array" ref="A999">IFNA(index(PlayerValues!A:A,match(IFNA(vlookup(B999,'Special Names'!A:B,2,FALSE),B999),PlayerValues!E:E,0)),"N/A")</f>
        <v>13377</v>
      </c>
      <c r="B999" s="4" t="s">
        <v>847</v>
      </c>
      <c r="C999" s="4" t="s">
        <v>287</v>
      </c>
      <c r="D999" s="94">
        <v>728.0</v>
      </c>
    </row>
    <row r="1000">
      <c r="A1000" s="40">
        <f t="array" ref="A1000">IFNA(index(PlayerValues!A:A,match(IFNA(vlookup(B1000,'Special Names'!A:B,2,FALSE),B1000),PlayerValues!E:E,0)),"N/A")</f>
        <v>16170</v>
      </c>
      <c r="B1000" s="4" t="s">
        <v>801</v>
      </c>
      <c r="C1000" s="4" t="s">
        <v>278</v>
      </c>
      <c r="D1000" s="94">
        <v>725.0</v>
      </c>
    </row>
    <row r="1001">
      <c r="A1001" s="40">
        <f t="array" ref="A1001">IFNA(index(PlayerValues!A:A,match(IFNA(vlookup(B1001,'Special Names'!A:B,2,FALSE),B1001),PlayerValues!E:E,0)),"N/A")</f>
        <v>13589</v>
      </c>
      <c r="B1001" s="4" t="s">
        <v>282</v>
      </c>
      <c r="C1001" s="4" t="s">
        <v>283</v>
      </c>
      <c r="D1001" s="94">
        <v>9997.0</v>
      </c>
    </row>
    <row r="1002">
      <c r="A1002" s="40">
        <f t="array" ref="A1002">IFNA(index(PlayerValues!A:A,match(IFNA(vlookup(B1002,'Special Names'!A:B,2,FALSE),B1002),PlayerValues!E:E,0)),"N/A")</f>
        <v>16161</v>
      </c>
      <c r="B1002" s="4" t="s">
        <v>277</v>
      </c>
      <c r="C1002" s="4" t="s">
        <v>278</v>
      </c>
      <c r="D1002" s="94">
        <v>9986.0</v>
      </c>
    </row>
    <row r="1003">
      <c r="A1003" s="40">
        <f t="array" ref="A1003">IFNA(index(PlayerValues!A:A,match(IFNA(vlookup(B1003,'Special Names'!A:B,2,FALSE),B1003),PlayerValues!E:E,0)),"N/A")</f>
        <v>16185</v>
      </c>
      <c r="B1003" s="4" t="s">
        <v>290</v>
      </c>
      <c r="C1003" s="4" t="s">
        <v>287</v>
      </c>
      <c r="D1003" s="94">
        <v>9963.0</v>
      </c>
    </row>
    <row r="1004">
      <c r="A1004" s="40">
        <f t="array" ref="A1004">IFNA(index(PlayerValues!A:A,match(IFNA(vlookup(B1004,'Special Names'!A:B,2,FALSE),B1004),PlayerValues!E:E,0)),"N/A")</f>
        <v>15281</v>
      </c>
      <c r="B1004" s="4" t="s">
        <v>286</v>
      </c>
      <c r="C1004" s="4" t="s">
        <v>287</v>
      </c>
      <c r="D1004" s="94">
        <v>9821.0</v>
      </c>
    </row>
    <row r="1005">
      <c r="A1005" s="40">
        <f t="array" ref="A1005">IFNA(index(PlayerValues!A:A,match(IFNA(vlookup(B1005,'Special Names'!A:B,2,FALSE),B1005),PlayerValues!E:E,0)),"N/A")</f>
        <v>16580</v>
      </c>
      <c r="B1005" s="4" t="s">
        <v>291</v>
      </c>
      <c r="C1005" s="4" t="s">
        <v>283</v>
      </c>
      <c r="D1005" s="94">
        <v>9714.0</v>
      </c>
    </row>
    <row r="1006">
      <c r="A1006" s="40">
        <f t="array" ref="A1006">IFNA(index(PlayerValues!A:A,match(IFNA(vlookup(B1006,'Special Names'!A:B,2,FALSE),B1006),PlayerValues!E:E,0)),"N/A")</f>
        <v>16211</v>
      </c>
      <c r="B1006" s="4" t="s">
        <v>294</v>
      </c>
      <c r="C1006" s="4" t="s">
        <v>287</v>
      </c>
      <c r="D1006" s="94">
        <v>9553.0</v>
      </c>
    </row>
    <row r="1007">
      <c r="A1007" s="40">
        <f t="array" ref="A1007">IFNA(index(PlayerValues!A:A,match(IFNA(vlookup(B1007,'Special Names'!A:B,2,FALSE),B1007),PlayerValues!E:E,0)),"N/A")</f>
        <v>16162</v>
      </c>
      <c r="B1007" s="4" t="s">
        <v>281</v>
      </c>
      <c r="C1007" s="4" t="s">
        <v>278</v>
      </c>
      <c r="D1007" s="94">
        <v>9419.0</v>
      </c>
    </row>
    <row r="1008">
      <c r="A1008" s="40">
        <f t="array" ref="A1008">IFNA(index(PlayerValues!A:A,match(IFNA(vlookup(B1008,'Special Names'!A:B,2,FALSE),B1008),PlayerValues!E:E,0)),"N/A")</f>
        <v>16615</v>
      </c>
      <c r="B1008" s="4" t="s">
        <v>309</v>
      </c>
      <c r="C1008" s="4" t="s">
        <v>287</v>
      </c>
      <c r="D1008" s="94">
        <v>7738.0</v>
      </c>
    </row>
    <row r="1009">
      <c r="A1009" s="40">
        <f t="array" ref="A1009">IFNA(index(PlayerValues!A:A,match(IFNA(vlookup(B1009,'Special Names'!A:B,2,FALSE),B1009),PlayerValues!E:E,0)),"N/A")</f>
        <v>15794</v>
      </c>
      <c r="B1009" s="4" t="s">
        <v>313</v>
      </c>
      <c r="C1009" s="4" t="s">
        <v>298</v>
      </c>
      <c r="D1009" s="94">
        <v>8530.0</v>
      </c>
    </row>
    <row r="1010">
      <c r="A1010" s="40">
        <f t="array" ref="A1010">IFNA(index(PlayerValues!A:A,match(IFNA(vlookup(B1010,'Special Names'!A:B,2,FALSE),B1010),PlayerValues!E:E,0)),"N/A")</f>
        <v>15287</v>
      </c>
      <c r="B1010" s="4" t="s">
        <v>299</v>
      </c>
      <c r="C1010" s="4" t="s">
        <v>287</v>
      </c>
      <c r="D1010" s="94">
        <v>7648.0</v>
      </c>
    </row>
    <row r="1011">
      <c r="A1011" s="40">
        <f t="array" ref="A1011">IFNA(index(PlayerValues!A:A,match(IFNA(vlookup(B1011,'Special Names'!A:B,2,FALSE),B1011),PlayerValues!E:E,0)),"N/A")</f>
        <v>16641</v>
      </c>
      <c r="B1011" s="4" t="s">
        <v>297</v>
      </c>
      <c r="C1011" s="4" t="s">
        <v>298</v>
      </c>
      <c r="D1011" s="94">
        <v>8425.0</v>
      </c>
    </row>
    <row r="1012">
      <c r="A1012" s="40">
        <f t="array" ref="A1012">IFNA(index(PlayerValues!A:A,match(IFNA(vlookup(B1012,'Special Names'!A:B,2,FALSE),B1012),PlayerValues!E:E,0)),"N/A")</f>
        <v>16581</v>
      </c>
      <c r="B1012" s="4" t="s">
        <v>315</v>
      </c>
      <c r="C1012" s="4" t="s">
        <v>283</v>
      </c>
      <c r="D1012" s="94">
        <v>7607.0</v>
      </c>
    </row>
    <row r="1013">
      <c r="A1013" s="40">
        <f t="array" ref="A1013">IFNA(index(PlayerValues!A:A,match(IFNA(vlookup(B1013,'Special Names'!A:B,2,FALSE),B1013),PlayerValues!E:E,0)),"N/A")</f>
        <v>16579</v>
      </c>
      <c r="B1013" s="4" t="s">
        <v>302</v>
      </c>
      <c r="C1013" s="4" t="s">
        <v>283</v>
      </c>
      <c r="D1013" s="94">
        <v>7599.0</v>
      </c>
    </row>
    <row r="1014">
      <c r="A1014" s="40">
        <f t="array" ref="A1014">IFNA(index(PlayerValues!A:A,match(IFNA(vlookup(B1014,'Special Names'!A:B,2,FALSE),B1014),PlayerValues!E:E,0)),"N/A")</f>
        <v>13593</v>
      </c>
      <c r="B1014" s="4" t="s">
        <v>305</v>
      </c>
      <c r="C1014" s="4" t="s">
        <v>283</v>
      </c>
      <c r="D1014" s="94">
        <v>7516.0</v>
      </c>
    </row>
    <row r="1015">
      <c r="A1015" s="40">
        <f t="array" ref="A1015">IFNA(index(PlayerValues!A:A,match(IFNA(vlookup(B1015,'Special Names'!A:B,2,FALSE),B1015),PlayerValues!E:E,0)),"N/A")</f>
        <v>14836</v>
      </c>
      <c r="B1015" s="4" t="s">
        <v>306</v>
      </c>
      <c r="C1015" s="4" t="s">
        <v>287</v>
      </c>
      <c r="D1015" s="94">
        <v>7410.0</v>
      </c>
    </row>
    <row r="1016">
      <c r="A1016" s="40">
        <f t="array" ref="A1016">IFNA(index(PlayerValues!A:A,match(IFNA(vlookup(B1016,'Special Names'!A:B,2,FALSE),B1016),PlayerValues!E:E,0)),"N/A")</f>
        <v>14832</v>
      </c>
      <c r="B1016" s="4" t="s">
        <v>319</v>
      </c>
      <c r="C1016" s="4" t="s">
        <v>287</v>
      </c>
      <c r="D1016" s="94">
        <v>7349.0</v>
      </c>
    </row>
    <row r="1017">
      <c r="A1017" s="40">
        <f t="array" ref="A1017">IFNA(index(PlayerValues!A:A,match(IFNA(vlookup(B1017,'Special Names'!A:B,2,FALSE),B1017),PlayerValues!E:E,0)),"N/A")</f>
        <v>14777</v>
      </c>
      <c r="B1017" s="4" t="s">
        <v>318</v>
      </c>
      <c r="C1017" s="4" t="s">
        <v>283</v>
      </c>
      <c r="D1017" s="94">
        <v>7238.0</v>
      </c>
    </row>
    <row r="1018">
      <c r="A1018" s="40">
        <f t="array" ref="A1018">IFNA(index(PlayerValues!A:A,match(IFNA(vlookup(B1018,'Special Names'!A:B,2,FALSE),B1018),PlayerValues!E:E,0)),"N/A")</f>
        <v>17042</v>
      </c>
      <c r="B1018" s="4" t="s">
        <v>314</v>
      </c>
      <c r="C1018" s="4" t="s">
        <v>278</v>
      </c>
      <c r="D1018" s="94">
        <v>7198.0</v>
      </c>
    </row>
    <row r="1019">
      <c r="A1019" s="40">
        <f t="array" ref="A1019">IFNA(index(PlayerValues!A:A,match(IFNA(vlookup(B1019,'Special Names'!A:B,2,FALSE),B1019),PlayerValues!E:E,0)),"N/A")</f>
        <v>16167</v>
      </c>
      <c r="B1019" s="4" t="s">
        <v>323</v>
      </c>
      <c r="C1019" s="4" t="s">
        <v>278</v>
      </c>
      <c r="D1019" s="94">
        <v>7103.0</v>
      </c>
    </row>
    <row r="1020">
      <c r="A1020" s="40">
        <f t="array" ref="A1020">IFNA(index(PlayerValues!A:A,match(IFNA(vlookup(B1020,'Special Names'!A:B,2,FALSE),B1020),PlayerValues!E:E,0)),"N/A")</f>
        <v>15751</v>
      </c>
      <c r="B1020" s="4" t="s">
        <v>328</v>
      </c>
      <c r="C1020" s="4" t="s">
        <v>287</v>
      </c>
      <c r="D1020" s="94">
        <v>7006.0</v>
      </c>
    </row>
    <row r="1021">
      <c r="A1021" s="40">
        <f t="array" ref="A1021">IFNA(index(PlayerValues!A:A,match(IFNA(vlookup(B1021,'Special Names'!A:B,2,FALSE),B1021),PlayerValues!E:E,0)),"N/A")</f>
        <v>14779</v>
      </c>
      <c r="B1021" s="4" t="s">
        <v>327</v>
      </c>
      <c r="C1021" s="4" t="s">
        <v>283</v>
      </c>
      <c r="D1021" s="94">
        <v>6843.0</v>
      </c>
    </row>
    <row r="1022">
      <c r="A1022" s="40">
        <f t="array" ref="A1022">IFNA(index(PlayerValues!A:A,match(IFNA(vlookup(B1022,'Special Names'!A:B,2,FALSE),B1022),PlayerValues!E:E,0)),"N/A")</f>
        <v>17472</v>
      </c>
      <c r="B1022" s="4" t="s">
        <v>310</v>
      </c>
      <c r="C1022" s="4" t="s">
        <v>278</v>
      </c>
      <c r="D1022" s="94">
        <v>6748.0</v>
      </c>
    </row>
    <row r="1023">
      <c r="A1023" s="40" t="str">
        <f t="array" ref="A1023">IFNA(index(PlayerValues!A:A,match(IFNA(vlookup(B1023,'Special Names'!A:B,2,FALSE),B1023),PlayerValues!E:E,0)),"N/A")</f>
        <v>N/A</v>
      </c>
      <c r="B1023" s="4" t="s">
        <v>92</v>
      </c>
      <c r="C1023" s="4" t="s">
        <v>325</v>
      </c>
      <c r="D1023" s="94">
        <v>6634.0</v>
      </c>
    </row>
    <row r="1024">
      <c r="A1024" s="40">
        <f t="array" ref="A1024">IFNA(index(PlayerValues!A:A,match(IFNA(vlookup(B1024,'Special Names'!A:B,2,FALSE),B1024),PlayerValues!E:E,0)),"N/A")</f>
        <v>17044</v>
      </c>
      <c r="B1024" s="4" t="s">
        <v>322</v>
      </c>
      <c r="C1024" s="4" t="s">
        <v>278</v>
      </c>
      <c r="D1024" s="94">
        <v>6621.0</v>
      </c>
    </row>
    <row r="1025">
      <c r="A1025" s="40">
        <f t="array" ref="A1025">IFNA(index(PlayerValues!A:A,match(IFNA(vlookup(B1025,'Special Names'!A:B,2,FALSE),B1025),PlayerValues!E:E,0)),"N/A")</f>
        <v>13116</v>
      </c>
      <c r="B1025" s="4" t="s">
        <v>345</v>
      </c>
      <c r="C1025" s="4" t="s">
        <v>283</v>
      </c>
      <c r="D1025" s="94">
        <v>6608.0</v>
      </c>
    </row>
    <row r="1026">
      <c r="A1026" s="40">
        <f t="array" ref="A1026">IFNA(index(PlayerValues!A:A,match(IFNA(vlookup(B1026,'Special Names'!A:B,2,FALSE),B1026),PlayerValues!E:E,0)),"N/A")</f>
        <v>17032</v>
      </c>
      <c r="B1026" s="4" t="s">
        <v>348</v>
      </c>
      <c r="C1026" s="4" t="s">
        <v>283</v>
      </c>
      <c r="D1026" s="94">
        <v>6600.0</v>
      </c>
    </row>
    <row r="1027">
      <c r="A1027" s="40">
        <f t="array" ref="A1027">IFNA(index(PlayerValues!A:A,match(IFNA(vlookup(B1027,'Special Names'!A:B,2,FALSE),B1027),PlayerValues!E:E,0)),"N/A")</f>
        <v>17071</v>
      </c>
      <c r="B1027" s="4" t="s">
        <v>341</v>
      </c>
      <c r="C1027" s="4" t="s">
        <v>287</v>
      </c>
      <c r="D1027" s="94">
        <v>6571.0</v>
      </c>
    </row>
    <row r="1028">
      <c r="A1028" s="40">
        <f t="array" ref="A1028">IFNA(index(PlayerValues!A:A,match(IFNA(vlookup(B1028,'Special Names'!A:B,2,FALSE),B1028),PlayerValues!E:E,0)),"N/A")</f>
        <v>14783</v>
      </c>
      <c r="B1028" s="4" t="s">
        <v>342</v>
      </c>
      <c r="C1028" s="4" t="s">
        <v>283</v>
      </c>
      <c r="D1028" s="94">
        <v>6396.0</v>
      </c>
    </row>
    <row r="1029">
      <c r="A1029" s="40">
        <f t="array" ref="A1029">IFNA(index(PlayerValues!A:A,match(IFNA(vlookup(B1029,'Special Names'!A:B,2,FALSE),B1029),PlayerValues!E:E,0)),"N/A")</f>
        <v>15237</v>
      </c>
      <c r="B1029" s="4" t="s">
        <v>336</v>
      </c>
      <c r="C1029" s="4" t="s">
        <v>283</v>
      </c>
      <c r="D1029" s="94">
        <v>6315.0</v>
      </c>
    </row>
    <row r="1030">
      <c r="A1030" s="40">
        <f t="array" ref="A1030">IFNA(index(PlayerValues!A:A,match(IFNA(vlookup(B1030,'Special Names'!A:B,2,FALSE),B1030),PlayerValues!E:E,0)),"N/A")</f>
        <v>16582</v>
      </c>
      <c r="B1030" s="4" t="s">
        <v>343</v>
      </c>
      <c r="C1030" s="4" t="s">
        <v>283</v>
      </c>
      <c r="D1030" s="94">
        <v>6197.0</v>
      </c>
    </row>
    <row r="1031">
      <c r="A1031" s="40">
        <f t="array" ref="A1031">IFNA(index(PlayerValues!A:A,match(IFNA(vlookup(B1031,'Special Names'!A:B,2,FALSE),B1031),PlayerValues!E:E,0)),"N/A")</f>
        <v>14802</v>
      </c>
      <c r="B1031" s="4" t="s">
        <v>332</v>
      </c>
      <c r="C1031" s="4" t="s">
        <v>278</v>
      </c>
      <c r="D1031" s="94">
        <v>6188.0</v>
      </c>
    </row>
    <row r="1032">
      <c r="A1032" s="40">
        <f t="array" ref="A1032">IFNA(index(PlayerValues!A:A,match(IFNA(vlookup(B1032,'Special Names'!A:B,2,FALSE),B1032),PlayerValues!E:E,0)),"N/A")</f>
        <v>15715</v>
      </c>
      <c r="B1032" s="4" t="s">
        <v>331</v>
      </c>
      <c r="C1032" s="4" t="s">
        <v>278</v>
      </c>
      <c r="D1032" s="94">
        <v>6165.0</v>
      </c>
    </row>
    <row r="1033">
      <c r="A1033" s="40">
        <f t="array" ref="A1033">IFNA(index(PlayerValues!A:A,match(IFNA(vlookup(B1033,'Special Names'!A:B,2,FALSE),B1033),PlayerValues!E:E,0)),"N/A")</f>
        <v>15762</v>
      </c>
      <c r="B1033" s="4" t="s">
        <v>337</v>
      </c>
      <c r="C1033" s="4" t="s">
        <v>287</v>
      </c>
      <c r="D1033" s="94">
        <v>6154.0</v>
      </c>
    </row>
    <row r="1034">
      <c r="A1034" s="40">
        <f t="array" ref="A1034">IFNA(index(PlayerValues!A:A,match(IFNA(vlookup(B1034,'Special Names'!A:B,2,FALSE),B1034),PlayerValues!E:E,0)),"N/A")</f>
        <v>15698</v>
      </c>
      <c r="B1034" s="4" t="s">
        <v>358</v>
      </c>
      <c r="C1034" s="4" t="s">
        <v>283</v>
      </c>
      <c r="D1034" s="94">
        <v>6098.0</v>
      </c>
    </row>
    <row r="1035">
      <c r="A1035" s="40" t="str">
        <f t="array" ref="A1035">IFNA(index(PlayerValues!A:A,match(IFNA(vlookup(B1035,'Special Names'!A:B,2,FALSE),B1035),PlayerValues!E:E,0)),"N/A")</f>
        <v>N/A</v>
      </c>
      <c r="B1035" s="4" t="s">
        <v>79</v>
      </c>
      <c r="C1035" s="4" t="s">
        <v>325</v>
      </c>
      <c r="D1035" s="94">
        <v>6044.0</v>
      </c>
    </row>
    <row r="1036">
      <c r="A1036" s="40">
        <f t="array" ref="A1036">IFNA(index(PlayerValues!A:A,match(IFNA(vlookup(B1036,'Special Names'!A:B,2,FALSE),B1036),PlayerValues!E:E,0)),"N/A")</f>
        <v>17081</v>
      </c>
      <c r="B1036" s="4" t="s">
        <v>340</v>
      </c>
      <c r="C1036" s="4" t="s">
        <v>287</v>
      </c>
      <c r="D1036" s="94">
        <v>6005.0</v>
      </c>
    </row>
    <row r="1037">
      <c r="A1037" s="40">
        <f t="array" ref="A1037">IFNA(index(PlayerValues!A:A,match(IFNA(vlookup(B1037,'Special Names'!A:B,2,FALSE),B1037),PlayerValues!E:E,0)),"N/A")</f>
        <v>15290</v>
      </c>
      <c r="B1037" s="4" t="s">
        <v>355</v>
      </c>
      <c r="C1037" s="4" t="s">
        <v>287</v>
      </c>
      <c r="D1037" s="94">
        <v>5983.0</v>
      </c>
    </row>
    <row r="1038">
      <c r="A1038" s="40">
        <f t="array" ref="A1038">IFNA(index(PlayerValues!A:A,match(IFNA(vlookup(B1038,'Special Names'!A:B,2,FALSE),B1038),PlayerValues!E:E,0)),"N/A")</f>
        <v>17043</v>
      </c>
      <c r="B1038" s="4" t="s">
        <v>397</v>
      </c>
      <c r="C1038" s="4" t="s">
        <v>278</v>
      </c>
      <c r="D1038" s="94">
        <v>5966.0</v>
      </c>
    </row>
    <row r="1039">
      <c r="A1039" s="40">
        <f t="array" ref="A1039">IFNA(index(PlayerValues!A:A,match(IFNA(vlookup(B1039,'Special Names'!A:B,2,FALSE),B1039),PlayerValues!E:E,0)),"N/A")</f>
        <v>17104</v>
      </c>
      <c r="B1039" s="4" t="s">
        <v>333</v>
      </c>
      <c r="C1039" s="4" t="s">
        <v>298</v>
      </c>
      <c r="D1039" s="94">
        <v>6491.0</v>
      </c>
    </row>
    <row r="1040">
      <c r="A1040" s="40">
        <f t="array" ref="A1040">IFNA(index(PlayerValues!A:A,match(IFNA(vlookup(B1040,'Special Names'!A:B,2,FALSE),B1040),PlayerValues!E:E,0)),"N/A")</f>
        <v>15753</v>
      </c>
      <c r="B1040" s="4" t="s">
        <v>359</v>
      </c>
      <c r="C1040" s="4" t="s">
        <v>287</v>
      </c>
      <c r="D1040" s="94">
        <v>5819.0</v>
      </c>
    </row>
    <row r="1041">
      <c r="A1041" s="40">
        <f t="array" ref="A1041">IFNA(index(PlayerValues!A:A,match(IFNA(vlookup(B1041,'Special Names'!A:B,2,FALSE),B1041),PlayerValues!E:E,0)),"N/A")</f>
        <v>15754</v>
      </c>
      <c r="B1041" s="4" t="s">
        <v>354</v>
      </c>
      <c r="C1041" s="4" t="s">
        <v>287</v>
      </c>
      <c r="D1041" s="94">
        <v>5805.0</v>
      </c>
    </row>
    <row r="1042">
      <c r="A1042" s="40">
        <f t="array" ref="A1042">IFNA(index(PlayerValues!A:A,match(IFNA(vlookup(B1042,'Special Names'!A:B,2,FALSE),B1042),PlayerValues!E:E,0)),"N/A")</f>
        <v>14782</v>
      </c>
      <c r="B1042" s="4" t="s">
        <v>385</v>
      </c>
      <c r="C1042" s="4" t="s">
        <v>283</v>
      </c>
      <c r="D1042" s="94">
        <v>5702.0</v>
      </c>
    </row>
    <row r="1043">
      <c r="A1043" s="40">
        <f t="array" ref="A1043">IFNA(index(PlayerValues!A:A,match(IFNA(vlookup(B1043,'Special Names'!A:B,2,FALSE),B1043),PlayerValues!E:E,0)),"N/A")</f>
        <v>17102</v>
      </c>
      <c r="B1043" s="4" t="s">
        <v>344</v>
      </c>
      <c r="C1043" s="4" t="s">
        <v>298</v>
      </c>
      <c r="D1043" s="94">
        <v>6248.0</v>
      </c>
    </row>
    <row r="1044">
      <c r="A1044" s="40">
        <f t="array" ref="A1044">IFNA(index(PlayerValues!A:A,match(IFNA(vlookup(B1044,'Special Names'!A:B,2,FALSE),B1044),PlayerValues!E:E,0)),"N/A")</f>
        <v>17462</v>
      </c>
      <c r="B1044" s="4" t="s">
        <v>375</v>
      </c>
      <c r="C1044" s="4" t="s">
        <v>283</v>
      </c>
      <c r="D1044" s="94">
        <v>5583.0</v>
      </c>
    </row>
    <row r="1045">
      <c r="A1045" s="40">
        <f t="array" ref="A1045">IFNA(index(PlayerValues!A:A,match(IFNA(vlookup(B1045,'Special Names'!A:B,2,FALSE),B1045),PlayerValues!E:E,0)),"N/A")</f>
        <v>17051</v>
      </c>
      <c r="B1045" s="4" t="s">
        <v>386</v>
      </c>
      <c r="C1045" s="4" t="s">
        <v>278</v>
      </c>
      <c r="D1045" s="94">
        <v>5508.0</v>
      </c>
    </row>
    <row r="1046">
      <c r="A1046" s="40">
        <f t="array" ref="A1046">IFNA(index(PlayerValues!A:A,match(IFNA(vlookup(B1046,'Special Names'!A:B,2,FALSE),B1046),PlayerValues!E:E,0)),"N/A")</f>
        <v>15708</v>
      </c>
      <c r="B1046" s="4" t="s">
        <v>382</v>
      </c>
      <c r="C1046" s="4" t="s">
        <v>278</v>
      </c>
      <c r="D1046" s="94">
        <v>5486.0</v>
      </c>
    </row>
    <row r="1047">
      <c r="A1047" s="40">
        <f t="array" ref="A1047">IFNA(index(PlayerValues!A:A,match(IFNA(vlookup(B1047,'Special Names'!A:B,2,FALSE),B1047),PlayerValues!E:E,0)),"N/A")</f>
        <v>16598</v>
      </c>
      <c r="B1047" s="4" t="s">
        <v>408</v>
      </c>
      <c r="C1047" s="4" t="s">
        <v>278</v>
      </c>
      <c r="D1047" s="94">
        <v>5486.0</v>
      </c>
    </row>
    <row r="1048">
      <c r="A1048" s="40">
        <f t="array" ref="A1048">IFNA(index(PlayerValues!A:A,match(IFNA(vlookup(B1048,'Special Names'!A:B,2,FALSE),B1048),PlayerValues!E:E,0)),"N/A")</f>
        <v>16194</v>
      </c>
      <c r="B1048" s="4" t="s">
        <v>398</v>
      </c>
      <c r="C1048" s="4" t="s">
        <v>287</v>
      </c>
      <c r="D1048" s="94">
        <v>5404.0</v>
      </c>
    </row>
    <row r="1049">
      <c r="A1049" s="40" t="str">
        <f t="array" ref="A1049">IFNA(index(PlayerValues!A:A,match(IFNA(vlookup(B1049,'Special Names'!A:B,2,FALSE),B1049),PlayerValues!E:E,0)),"N/A")</f>
        <v>N/A</v>
      </c>
      <c r="B1049" s="4" t="s">
        <v>93</v>
      </c>
      <c r="C1049" s="4" t="s">
        <v>325</v>
      </c>
      <c r="D1049" s="94">
        <v>5404.0</v>
      </c>
    </row>
    <row r="1050">
      <c r="A1050" s="40">
        <f t="array" ref="A1050">IFNA(index(PlayerValues!A:A,match(IFNA(vlookup(B1050,'Special Names'!A:B,2,FALSE),B1050),PlayerValues!E:E,0)),"N/A")</f>
        <v>17499</v>
      </c>
      <c r="B1050" s="4" t="s">
        <v>402</v>
      </c>
      <c r="C1050" s="4" t="s">
        <v>287</v>
      </c>
      <c r="D1050" s="94">
        <v>5391.0</v>
      </c>
    </row>
    <row r="1051">
      <c r="A1051" s="40">
        <f t="array" ref="A1051">IFNA(index(PlayerValues!A:A,match(IFNA(vlookup(B1051,'Special Names'!A:B,2,FALSE),B1051),PlayerValues!E:E,0)),"N/A")</f>
        <v>16627</v>
      </c>
      <c r="B1051" s="4" t="s">
        <v>351</v>
      </c>
      <c r="C1051" s="4" t="s">
        <v>287</v>
      </c>
      <c r="D1051" s="94">
        <v>5376.0</v>
      </c>
    </row>
    <row r="1052">
      <c r="A1052" s="40">
        <f t="array" ref="A1052">IFNA(index(PlayerValues!A:A,match(IFNA(vlookup(B1052,'Special Names'!A:B,2,FALSE),B1052),PlayerValues!E:E,0)),"N/A")</f>
        <v>16616</v>
      </c>
      <c r="B1052" s="4" t="s">
        <v>389</v>
      </c>
      <c r="C1052" s="4" t="s">
        <v>287</v>
      </c>
      <c r="D1052" s="94">
        <v>5245.0</v>
      </c>
    </row>
    <row r="1053">
      <c r="A1053" s="40">
        <f t="array" ref="A1053">IFNA(index(PlayerValues!A:A,match(IFNA(vlookup(B1053,'Special Names'!A:B,2,FALSE),B1053),PlayerValues!E:E,0)),"N/A")</f>
        <v>13130</v>
      </c>
      <c r="B1053" s="4" t="s">
        <v>374</v>
      </c>
      <c r="C1053" s="4" t="s">
        <v>278</v>
      </c>
      <c r="D1053" s="94">
        <v>5183.0</v>
      </c>
    </row>
    <row r="1054">
      <c r="A1054" s="40">
        <f t="array" ref="A1054">IFNA(index(PlayerValues!A:A,match(IFNA(vlookup(B1054,'Special Names'!A:B,2,FALSE),B1054),PlayerValues!E:E,0)),"N/A")</f>
        <v>17497</v>
      </c>
      <c r="B1054" s="4" t="s">
        <v>365</v>
      </c>
      <c r="C1054" s="4" t="s">
        <v>287</v>
      </c>
      <c r="D1054" s="94">
        <v>5182.0</v>
      </c>
    </row>
    <row r="1055">
      <c r="A1055" s="40">
        <f t="array" ref="A1055">IFNA(index(PlayerValues!A:A,match(IFNA(vlookup(B1055,'Special Names'!A:B,2,FALSE),B1055),PlayerValues!E:E,0)),"N/A")</f>
        <v>16614</v>
      </c>
      <c r="B1055" s="4" t="s">
        <v>403</v>
      </c>
      <c r="C1055" s="4" t="s">
        <v>287</v>
      </c>
      <c r="D1055" s="94">
        <v>5116.0</v>
      </c>
    </row>
    <row r="1056">
      <c r="A1056" s="40">
        <f t="array" ref="A1056">IFNA(index(PlayerValues!A:A,match(IFNA(vlookup(B1056,'Special Names'!A:B,2,FALSE),B1056),PlayerValues!E:E,0)),"N/A")</f>
        <v>17030</v>
      </c>
      <c r="B1056" s="4" t="s">
        <v>406</v>
      </c>
      <c r="C1056" s="4" t="s">
        <v>283</v>
      </c>
      <c r="D1056" s="94">
        <v>5030.0</v>
      </c>
    </row>
    <row r="1057">
      <c r="A1057" s="40">
        <f t="array" ref="A1057">IFNA(index(PlayerValues!A:A,match(IFNA(vlookup(B1057,'Special Names'!A:B,2,FALSE),B1057),PlayerValues!E:E,0)),"N/A")</f>
        <v>12620</v>
      </c>
      <c r="B1057" s="4" t="s">
        <v>394</v>
      </c>
      <c r="C1057" s="4" t="s">
        <v>283</v>
      </c>
      <c r="D1057" s="94">
        <v>4998.0</v>
      </c>
    </row>
    <row r="1058">
      <c r="A1058" s="40">
        <f t="array" ref="A1058">IFNA(index(PlayerValues!A:A,match(IFNA(vlookup(B1058,'Special Names'!A:B,2,FALSE),B1058),PlayerValues!E:E,0)),"N/A")</f>
        <v>17070</v>
      </c>
      <c r="B1058" s="4" t="s">
        <v>370</v>
      </c>
      <c r="C1058" s="4" t="s">
        <v>287</v>
      </c>
      <c r="D1058" s="94">
        <v>4970.0</v>
      </c>
    </row>
    <row r="1059">
      <c r="A1059" s="40">
        <f t="array" ref="A1059">IFNA(index(PlayerValues!A:A,match(IFNA(vlookup(B1059,'Special Names'!A:B,2,FALSE),B1059),PlayerValues!E:E,0)),"N/A")</f>
        <v>15711</v>
      </c>
      <c r="B1059" s="4" t="s">
        <v>349</v>
      </c>
      <c r="C1059" s="4" t="s">
        <v>278</v>
      </c>
      <c r="D1059" s="94">
        <v>4968.0</v>
      </c>
    </row>
    <row r="1060">
      <c r="A1060" s="40">
        <f t="array" ref="A1060">IFNA(index(PlayerValues!A:A,match(IFNA(vlookup(B1060,'Special Names'!A:B,2,FALSE),B1060),PlayerValues!E:E,0)),"N/A")</f>
        <v>16618</v>
      </c>
      <c r="B1060" s="4" t="s">
        <v>411</v>
      </c>
      <c r="C1060" s="4" t="s">
        <v>287</v>
      </c>
      <c r="D1060" s="94">
        <v>4967.0</v>
      </c>
    </row>
    <row r="1061">
      <c r="A1061" s="40">
        <f t="array" ref="A1061">IFNA(index(PlayerValues!A:A,match(IFNA(vlookup(B1061,'Special Names'!A:B,2,FALSE),B1061),PlayerValues!E:E,0)),"N/A")</f>
        <v>16150</v>
      </c>
      <c r="B1061" s="4" t="s">
        <v>414</v>
      </c>
      <c r="C1061" s="4" t="s">
        <v>283</v>
      </c>
      <c r="D1061" s="94">
        <v>4942.0</v>
      </c>
    </row>
    <row r="1062">
      <c r="A1062" s="40">
        <f t="array" ref="A1062">IFNA(index(PlayerValues!A:A,match(IFNA(vlookup(B1062,'Special Names'!A:B,2,FALSE),B1062),PlayerValues!E:E,0)),"N/A")</f>
        <v>14835</v>
      </c>
      <c r="B1062" s="4" t="s">
        <v>392</v>
      </c>
      <c r="C1062" s="4" t="s">
        <v>287</v>
      </c>
      <c r="D1062" s="94">
        <v>4876.0</v>
      </c>
    </row>
    <row r="1063">
      <c r="A1063" s="40">
        <f t="array" ref="A1063">IFNA(index(PlayerValues!A:A,match(IFNA(vlookup(B1063,'Special Names'!A:B,2,FALSE),B1063),PlayerValues!E:E,0)),"N/A")</f>
        <v>17103</v>
      </c>
      <c r="B1063" s="4" t="s">
        <v>405</v>
      </c>
      <c r="C1063" s="4" t="s">
        <v>298</v>
      </c>
      <c r="D1063" s="94">
        <v>5445.0</v>
      </c>
    </row>
    <row r="1064">
      <c r="A1064" s="40">
        <f t="array" ref="A1064">IFNA(index(PlayerValues!A:A,match(IFNA(vlookup(B1064,'Special Names'!A:B,2,FALSE),B1064),PlayerValues!E:E,0)),"N/A")</f>
        <v>16181</v>
      </c>
      <c r="B1064" s="4" t="s">
        <v>350</v>
      </c>
      <c r="C1064" s="4" t="s">
        <v>278</v>
      </c>
      <c r="D1064" s="94">
        <v>4870.0</v>
      </c>
    </row>
    <row r="1065">
      <c r="A1065" s="40">
        <f t="array" ref="A1065">IFNA(index(PlayerValues!A:A,match(IFNA(vlookup(B1065,'Special Names'!A:B,2,FALSE),B1065),PlayerValues!E:E,0)),"N/A")</f>
        <v>16222</v>
      </c>
      <c r="B1065" s="4" t="s">
        <v>393</v>
      </c>
      <c r="C1065" s="4" t="s">
        <v>298</v>
      </c>
      <c r="D1065" s="94">
        <v>5427.0</v>
      </c>
    </row>
    <row r="1066">
      <c r="A1066" s="40">
        <f t="array" ref="A1066">IFNA(index(PlayerValues!A:A,match(IFNA(vlookup(B1066,'Special Names'!A:B,2,FALSE),B1066),PlayerValues!E:E,0)),"N/A")</f>
        <v>17498</v>
      </c>
      <c r="B1066" s="4" t="s">
        <v>396</v>
      </c>
      <c r="C1066" s="4" t="s">
        <v>287</v>
      </c>
      <c r="D1066" s="94">
        <v>4857.0</v>
      </c>
    </row>
    <row r="1067">
      <c r="A1067" s="40">
        <f t="array" ref="A1067">IFNA(index(PlayerValues!A:A,match(IFNA(vlookup(B1067,'Special Names'!A:B,2,FALSE),B1067),PlayerValues!E:E,0)),"N/A")</f>
        <v>17045</v>
      </c>
      <c r="B1067" s="4" t="s">
        <v>407</v>
      </c>
      <c r="C1067" s="4" t="s">
        <v>278</v>
      </c>
      <c r="D1067" s="94">
        <v>4852.0</v>
      </c>
    </row>
    <row r="1068">
      <c r="A1068" s="40">
        <f t="array" ref="A1068">IFNA(index(PlayerValues!A:A,match(IFNA(vlookup(B1068,'Special Names'!A:B,2,FALSE),B1068),PlayerValues!E:E,0)),"N/A")</f>
        <v>15710</v>
      </c>
      <c r="B1068" s="4" t="s">
        <v>395</v>
      </c>
      <c r="C1068" s="4" t="s">
        <v>278</v>
      </c>
      <c r="D1068" s="94">
        <v>4832.0</v>
      </c>
    </row>
    <row r="1069">
      <c r="A1069" s="40" t="str">
        <f t="array" ref="A1069">IFNA(index(PlayerValues!A:A,match(IFNA(vlookup(B1069,'Special Names'!A:B,2,FALSE),B1069),PlayerValues!E:E,0)),"N/A")</f>
        <v>N/A</v>
      </c>
      <c r="B1069" s="4" t="s">
        <v>104</v>
      </c>
      <c r="C1069" s="4" t="s">
        <v>325</v>
      </c>
      <c r="D1069" s="94">
        <v>4813.0</v>
      </c>
    </row>
    <row r="1070">
      <c r="A1070" s="40">
        <f t="array" ref="A1070">IFNA(index(PlayerValues!A:A,match(IFNA(vlookup(B1070,'Special Names'!A:B,2,FALSE),B1070),PlayerValues!E:E,0)),"N/A")</f>
        <v>13604</v>
      </c>
      <c r="B1070" s="4" t="s">
        <v>378</v>
      </c>
      <c r="C1070" s="4" t="s">
        <v>278</v>
      </c>
      <c r="D1070" s="94">
        <v>4796.0</v>
      </c>
    </row>
    <row r="1071">
      <c r="A1071" s="40">
        <f t="array" ref="A1071">IFNA(index(PlayerValues!A:A,match(IFNA(vlookup(B1071,'Special Names'!A:B,2,FALSE),B1071),PlayerValues!E:E,0)),"N/A")</f>
        <v>13592</v>
      </c>
      <c r="B1071" s="4" t="s">
        <v>418</v>
      </c>
      <c r="C1071" s="4" t="s">
        <v>283</v>
      </c>
      <c r="D1071" s="94">
        <v>4790.0</v>
      </c>
    </row>
    <row r="1072">
      <c r="A1072" s="40">
        <f t="array" ref="A1072">IFNA(index(PlayerValues!A:A,match(IFNA(vlookup(B1072,'Special Names'!A:B,2,FALSE),B1072),PlayerValues!E:E,0)),"N/A")</f>
        <v>15756</v>
      </c>
      <c r="B1072" s="4" t="s">
        <v>399</v>
      </c>
      <c r="C1072" s="4" t="s">
        <v>287</v>
      </c>
      <c r="D1072" s="94">
        <v>4789.0</v>
      </c>
    </row>
    <row r="1073">
      <c r="A1073" s="40">
        <f t="array" ref="A1073">IFNA(index(PlayerValues!A:A,match(IFNA(vlookup(B1073,'Special Names'!A:B,2,FALSE),B1073),PlayerValues!E:E,0)),"N/A")</f>
        <v>13590</v>
      </c>
      <c r="B1073" s="4" t="s">
        <v>409</v>
      </c>
      <c r="C1073" s="4" t="s">
        <v>283</v>
      </c>
      <c r="D1073" s="94">
        <v>4769.0</v>
      </c>
    </row>
    <row r="1074">
      <c r="A1074" s="40" t="str">
        <f t="array" ref="A1074">IFNA(index(PlayerValues!A:A,match(IFNA(vlookup(B1074,'Special Names'!A:B,2,FALSE),B1074),PlayerValues!E:E,0)),"N/A")</f>
        <v>N/A</v>
      </c>
      <c r="B1074" s="4" t="s">
        <v>80</v>
      </c>
      <c r="C1074" s="4" t="s">
        <v>325</v>
      </c>
      <c r="D1074" s="94">
        <v>4728.0</v>
      </c>
    </row>
    <row r="1075">
      <c r="A1075" s="40" t="str">
        <f t="array" ref="A1075">IFNA(index(PlayerValues!A:A,match(IFNA(vlookup(B1075,'Special Names'!A:B,2,FALSE),B1075),PlayerValues!E:E,0)),"N/A")</f>
        <v>N/A</v>
      </c>
      <c r="B1075" s="4" t="s">
        <v>94</v>
      </c>
      <c r="C1075" s="4" t="s">
        <v>325</v>
      </c>
      <c r="D1075" s="94">
        <v>4720.0</v>
      </c>
    </row>
    <row r="1076">
      <c r="A1076" s="40">
        <f t="array" ref="A1076">IFNA(index(PlayerValues!A:A,match(IFNA(vlookup(B1076,'Special Names'!A:B,2,FALSE),B1076),PlayerValues!E:E,0)),"N/A")</f>
        <v>15282</v>
      </c>
      <c r="B1076" s="4" t="s">
        <v>364</v>
      </c>
      <c r="C1076" s="4" t="s">
        <v>287</v>
      </c>
      <c r="D1076" s="94">
        <v>4715.0</v>
      </c>
    </row>
    <row r="1077">
      <c r="A1077" s="40">
        <f t="array" ref="A1077">IFNA(index(PlayerValues!A:A,match(IFNA(vlookup(B1077,'Special Names'!A:B,2,FALSE),B1077),PlayerValues!E:E,0)),"N/A")</f>
        <v>14104</v>
      </c>
      <c r="B1077" s="4" t="s">
        <v>379</v>
      </c>
      <c r="C1077" s="4" t="s">
        <v>287</v>
      </c>
      <c r="D1077" s="94">
        <v>4692.0</v>
      </c>
    </row>
    <row r="1078">
      <c r="A1078" s="40">
        <f t="array" ref="A1078">IFNA(index(PlayerValues!A:A,match(IFNA(vlookup(B1078,'Special Names'!A:B,2,FALSE),B1078),PlayerValues!E:E,0)),"N/A")</f>
        <v>16190</v>
      </c>
      <c r="B1078" s="4" t="s">
        <v>371</v>
      </c>
      <c r="C1078" s="4" t="s">
        <v>287</v>
      </c>
      <c r="D1078" s="94">
        <v>4691.0</v>
      </c>
    </row>
    <row r="1079">
      <c r="A1079" s="40">
        <f t="array" ref="A1079">IFNA(index(PlayerValues!A:A,match(IFNA(vlookup(B1079,'Special Names'!A:B,2,FALSE),B1079),PlayerValues!E:E,0)),"N/A")</f>
        <v>12611</v>
      </c>
      <c r="B1079" s="4" t="s">
        <v>410</v>
      </c>
      <c r="C1079" s="4" t="s">
        <v>283</v>
      </c>
      <c r="D1079" s="94">
        <v>4626.0</v>
      </c>
    </row>
    <row r="1080">
      <c r="A1080" s="40">
        <f t="array" ref="A1080">IFNA(index(PlayerValues!A:A,match(IFNA(vlookup(B1080,'Special Names'!A:B,2,FALSE),B1080),PlayerValues!E:E,0)),"N/A")</f>
        <v>16214</v>
      </c>
      <c r="B1080" s="4" t="s">
        <v>413</v>
      </c>
      <c r="C1080" s="4" t="s">
        <v>298</v>
      </c>
      <c r="D1080" s="94">
        <v>5137.0</v>
      </c>
    </row>
    <row r="1081">
      <c r="A1081" s="40">
        <f t="array" ref="A1081">IFNA(index(PlayerValues!A:A,match(IFNA(vlookup(B1081,'Special Names'!A:B,2,FALSE),B1081),PlayerValues!E:E,0)),"N/A")</f>
        <v>17039</v>
      </c>
      <c r="B1081" s="4" t="s">
        <v>400</v>
      </c>
      <c r="C1081" s="4" t="s">
        <v>283</v>
      </c>
      <c r="D1081" s="94">
        <v>4586.0</v>
      </c>
    </row>
    <row r="1082">
      <c r="A1082" s="40">
        <f t="array" ref="A1082">IFNA(index(PlayerValues!A:A,match(IFNA(vlookup(B1082,'Special Names'!A:B,2,FALSE),B1082),PlayerValues!E:E,0)),"N/A")</f>
        <v>15284</v>
      </c>
      <c r="B1082" s="4" t="s">
        <v>390</v>
      </c>
      <c r="C1082" s="4" t="s">
        <v>287</v>
      </c>
      <c r="D1082" s="94">
        <v>4573.0</v>
      </c>
    </row>
    <row r="1083">
      <c r="A1083" s="40">
        <f t="array" ref="A1083">IFNA(index(PlayerValues!A:A,match(IFNA(vlookup(B1083,'Special Names'!A:B,2,FALSE),B1083),PlayerValues!E:E,0)),"N/A")</f>
        <v>17068</v>
      </c>
      <c r="B1083" s="4" t="s">
        <v>450</v>
      </c>
      <c r="C1083" s="4" t="s">
        <v>278</v>
      </c>
      <c r="D1083" s="94">
        <v>4532.0</v>
      </c>
    </row>
    <row r="1084">
      <c r="A1084" s="40">
        <f t="array" ref="A1084">IFNA(index(PlayerValues!A:A,match(IFNA(vlookup(B1084,'Special Names'!A:B,2,FALSE),B1084),PlayerValues!E:E,0)),"N/A")</f>
        <v>16148</v>
      </c>
      <c r="B1084" s="4" t="s">
        <v>426</v>
      </c>
      <c r="C1084" s="4" t="s">
        <v>283</v>
      </c>
      <c r="D1084" s="94">
        <v>4501.0</v>
      </c>
    </row>
    <row r="1085">
      <c r="A1085" s="40">
        <f t="array" ref="A1085">IFNA(index(PlayerValues!A:A,match(IFNA(vlookup(B1085,'Special Names'!A:B,2,FALSE),B1085),PlayerValues!E:E,0)),"N/A")</f>
        <v>15253</v>
      </c>
      <c r="B1085" s="4" t="s">
        <v>415</v>
      </c>
      <c r="C1085" s="4" t="s">
        <v>278</v>
      </c>
      <c r="D1085" s="94">
        <v>4490.0</v>
      </c>
    </row>
    <row r="1086">
      <c r="A1086" s="40">
        <f t="array" ref="A1086">IFNA(index(PlayerValues!A:A,match(IFNA(vlookup(B1086,'Special Names'!A:B,2,FALSE),B1086),PlayerValues!E:E,0)),"N/A")</f>
        <v>15329</v>
      </c>
      <c r="B1086" s="4" t="s">
        <v>416</v>
      </c>
      <c r="C1086" s="4" t="s">
        <v>298</v>
      </c>
      <c r="D1086" s="94">
        <v>5018.0</v>
      </c>
    </row>
    <row r="1087">
      <c r="A1087" s="40">
        <f t="array" ref="A1087">IFNA(index(PlayerValues!A:A,match(IFNA(vlookup(B1087,'Special Names'!A:B,2,FALSE),B1087),PlayerValues!E:E,0)),"N/A")</f>
        <v>14073</v>
      </c>
      <c r="B1087" s="4" t="s">
        <v>464</v>
      </c>
      <c r="C1087" s="4" t="s">
        <v>278</v>
      </c>
      <c r="D1087" s="94">
        <v>4475.0</v>
      </c>
    </row>
    <row r="1088">
      <c r="A1088" s="40" t="str">
        <f t="array" ref="A1088">IFNA(index(PlayerValues!A:A,match(IFNA(vlookup(B1088,'Special Names'!A:B,2,FALSE),B1088),PlayerValues!E:E,0)),"N/A")</f>
        <v>N/A</v>
      </c>
      <c r="B1088" s="4" t="s">
        <v>105</v>
      </c>
      <c r="C1088" s="4" t="s">
        <v>325</v>
      </c>
      <c r="D1088" s="94">
        <v>4438.0</v>
      </c>
    </row>
    <row r="1089">
      <c r="A1089" s="40">
        <f t="array" ref="A1089">IFNA(index(PlayerValues!A:A,match(IFNA(vlookup(B1089,'Special Names'!A:B,2,FALSE),B1089),PlayerValues!E:E,0)),"N/A")</f>
        <v>15256</v>
      </c>
      <c r="B1089" s="4" t="s">
        <v>401</v>
      </c>
      <c r="C1089" s="4" t="s">
        <v>278</v>
      </c>
      <c r="D1089" s="94">
        <v>4384.0</v>
      </c>
    </row>
    <row r="1090">
      <c r="A1090" s="40" t="str">
        <f t="array" ref="A1090">IFNA(index(PlayerValues!A:A,match(IFNA(vlookup(B1090,'Special Names'!A:B,2,FALSE),B1090),PlayerValues!E:E,0)),"N/A")</f>
        <v>N/A</v>
      </c>
      <c r="B1090" s="4" t="s">
        <v>81</v>
      </c>
      <c r="C1090" s="4" t="s">
        <v>325</v>
      </c>
      <c r="D1090" s="94">
        <v>4332.0</v>
      </c>
    </row>
    <row r="1091">
      <c r="A1091" s="40">
        <f t="array" ref="A1091">IFNA(index(PlayerValues!A:A,match(IFNA(vlookup(B1091,'Special Names'!A:B,2,FALSE),B1091),PlayerValues!E:E,0)),"N/A")</f>
        <v>17074</v>
      </c>
      <c r="B1091" s="4" t="s">
        <v>475</v>
      </c>
      <c r="C1091" s="4" t="s">
        <v>287</v>
      </c>
      <c r="D1091" s="94">
        <v>4217.0</v>
      </c>
    </row>
    <row r="1092">
      <c r="A1092" s="40">
        <f t="array" ref="A1092">IFNA(index(PlayerValues!A:A,match(IFNA(vlookup(B1092,'Special Names'!A:B,2,FALSE),B1092),PlayerValues!E:E,0)),"N/A")</f>
        <v>17500</v>
      </c>
      <c r="B1092" s="4" t="s">
        <v>430</v>
      </c>
      <c r="C1092" s="4" t="s">
        <v>287</v>
      </c>
      <c r="D1092" s="94">
        <v>4194.0</v>
      </c>
    </row>
    <row r="1093">
      <c r="A1093" s="40">
        <f t="array" ref="A1093">IFNA(index(PlayerValues!A:A,match(IFNA(vlookup(B1093,'Special Names'!A:B,2,FALSE),B1093),PlayerValues!E:E,0)),"N/A")</f>
        <v>17099</v>
      </c>
      <c r="B1093" s="4" t="s">
        <v>474</v>
      </c>
      <c r="C1093" s="4" t="s">
        <v>298</v>
      </c>
      <c r="D1093" s="94">
        <v>4644.0</v>
      </c>
    </row>
    <row r="1094">
      <c r="A1094" s="40">
        <f t="array" ref="A1094">IFNA(index(PlayerValues!A:A,match(IFNA(vlookup(B1094,'Special Names'!A:B,2,FALSE),B1094),PlayerValues!E:E,0)),"N/A")</f>
        <v>16186</v>
      </c>
      <c r="B1094" s="4" t="s">
        <v>425</v>
      </c>
      <c r="C1094" s="4" t="s">
        <v>287</v>
      </c>
      <c r="D1094" s="94">
        <v>4064.0</v>
      </c>
    </row>
    <row r="1095">
      <c r="A1095" s="40" t="str">
        <f t="array" ref="A1095">IFNA(index(PlayerValues!A:A,match(IFNA(vlookup(B1095,'Special Names'!A:B,2,FALSE),B1095),PlayerValues!E:E,0)),"N/A")</f>
        <v>N/A</v>
      </c>
      <c r="B1095" s="4" t="s">
        <v>107</v>
      </c>
      <c r="C1095" s="4" t="s">
        <v>325</v>
      </c>
      <c r="D1095" s="94">
        <v>4001.0</v>
      </c>
    </row>
    <row r="1096">
      <c r="A1096" s="40">
        <f t="array" ref="A1096">IFNA(index(PlayerValues!A:A,match(IFNA(vlookup(B1096,'Special Names'!A:B,2,FALSE),B1096),PlayerValues!E:E,0)),"N/A")</f>
        <v>14059</v>
      </c>
      <c r="B1096" s="4" t="s">
        <v>435</v>
      </c>
      <c r="C1096" s="4" t="s">
        <v>283</v>
      </c>
      <c r="D1096" s="94">
        <v>3990.0</v>
      </c>
    </row>
    <row r="1097">
      <c r="A1097" s="40">
        <f t="array" ref="A1097">IFNA(index(PlayerValues!A:A,match(IFNA(vlookup(B1097,'Special Names'!A:B,2,FALSE),B1097),PlayerValues!E:E,0)),"N/A")</f>
        <v>17543</v>
      </c>
      <c r="B1097" s="4" t="s">
        <v>436</v>
      </c>
      <c r="C1097" s="4" t="s">
        <v>298</v>
      </c>
      <c r="D1097" s="94">
        <v>4481.0</v>
      </c>
    </row>
    <row r="1098">
      <c r="A1098" s="40">
        <f t="array" ref="A1098">IFNA(index(PlayerValues!A:A,match(IFNA(vlookup(B1098,'Special Names'!A:B,2,FALSE),B1098),PlayerValues!E:E,0)),"N/A")</f>
        <v>17501</v>
      </c>
      <c r="B1098" s="4" t="s">
        <v>404</v>
      </c>
      <c r="C1098" s="4" t="s">
        <v>287</v>
      </c>
      <c r="D1098" s="94">
        <v>3957.0</v>
      </c>
    </row>
    <row r="1099">
      <c r="A1099" s="40">
        <f t="array" ref="A1099">IFNA(index(PlayerValues!A:A,match(IFNA(vlookup(B1099,'Special Names'!A:B,2,FALSE),B1099),PlayerValues!E:E,0)),"N/A")</f>
        <v>17066</v>
      </c>
      <c r="B1099" s="4" t="s">
        <v>446</v>
      </c>
      <c r="C1099" s="4" t="s">
        <v>278</v>
      </c>
      <c r="D1099" s="94">
        <v>3935.0</v>
      </c>
    </row>
    <row r="1100">
      <c r="A1100" s="40">
        <f t="array" ref="A1100">IFNA(index(PlayerValues!A:A,match(IFNA(vlookup(B1100,'Special Names'!A:B,2,FALSE),B1100),PlayerValues!E:E,0)),"N/A")</f>
        <v>12626</v>
      </c>
      <c r="B1100" s="4" t="s">
        <v>419</v>
      </c>
      <c r="C1100" s="4" t="s">
        <v>278</v>
      </c>
      <c r="D1100" s="94">
        <v>3906.0</v>
      </c>
    </row>
    <row r="1101">
      <c r="A1101" s="40">
        <f t="array" ref="A1101">IFNA(index(PlayerValues!A:A,match(IFNA(vlookup(B1101,'Special Names'!A:B,2,FALSE),B1101),PlayerValues!E:E,0)),"N/A")</f>
        <v>16622</v>
      </c>
      <c r="B1101" s="4" t="s">
        <v>517</v>
      </c>
      <c r="C1101" s="4" t="s">
        <v>287</v>
      </c>
      <c r="D1101" s="94">
        <v>3903.0</v>
      </c>
    </row>
    <row r="1102">
      <c r="A1102" s="40">
        <f t="array" ref="A1102">IFNA(index(PlayerValues!A:A,match(IFNA(vlookup(B1102,'Special Names'!A:B,2,FALSE),B1102),PlayerValues!E:E,0)),"N/A")</f>
        <v>16206</v>
      </c>
      <c r="B1102" s="4" t="s">
        <v>431</v>
      </c>
      <c r="C1102" s="4" t="s">
        <v>287</v>
      </c>
      <c r="D1102" s="94">
        <v>3878.0</v>
      </c>
    </row>
    <row r="1103">
      <c r="A1103" s="40">
        <f t="array" ref="A1103">IFNA(index(PlayerValues!A:A,match(IFNA(vlookup(B1103,'Special Names'!A:B,2,FALSE),B1103),PlayerValues!E:E,0)),"N/A")</f>
        <v>15768</v>
      </c>
      <c r="B1103" s="4" t="s">
        <v>432</v>
      </c>
      <c r="C1103" s="4" t="s">
        <v>287</v>
      </c>
      <c r="D1103" s="94">
        <v>3861.0</v>
      </c>
    </row>
    <row r="1104">
      <c r="A1104" s="40">
        <f t="array" ref="A1104">IFNA(index(PlayerValues!A:A,match(IFNA(vlookup(B1104,'Special Names'!A:B,2,FALSE),B1104),PlayerValues!E:E,0)),"N/A")</f>
        <v>14102</v>
      </c>
      <c r="B1104" s="4" t="s">
        <v>444</v>
      </c>
      <c r="C1104" s="4" t="s">
        <v>287</v>
      </c>
      <c r="D1104" s="94">
        <v>3846.0</v>
      </c>
    </row>
    <row r="1105">
      <c r="A1105" s="40" t="str">
        <f t="array" ref="A1105">IFNA(index(PlayerValues!A:A,match(IFNA(vlookup(B1105,'Special Names'!A:B,2,FALSE),B1105),PlayerValues!E:E,0)),"N/A")</f>
        <v>N/A</v>
      </c>
      <c r="B1105" s="4" t="s">
        <v>95</v>
      </c>
      <c r="C1105" s="4" t="s">
        <v>325</v>
      </c>
      <c r="D1105" s="94">
        <v>3826.0</v>
      </c>
    </row>
    <row r="1106">
      <c r="A1106" s="40">
        <f t="array" ref="A1106">IFNA(index(PlayerValues!A:A,match(IFNA(vlookup(B1106,'Special Names'!A:B,2,FALSE),B1106),PlayerValues!E:E,0)),"N/A")</f>
        <v>17083</v>
      </c>
      <c r="B1106" s="4" t="s">
        <v>479</v>
      </c>
      <c r="C1106" s="4" t="s">
        <v>287</v>
      </c>
      <c r="D1106" s="94">
        <v>3822.0</v>
      </c>
    </row>
    <row r="1107">
      <c r="A1107" s="40">
        <f t="array" ref="A1107">IFNA(index(PlayerValues!A:A,match(IFNA(vlookup(B1107,'Special Names'!A:B,2,FALSE),B1107),PlayerValues!E:E,0)),"N/A")</f>
        <v>15789</v>
      </c>
      <c r="B1107" s="4" t="s">
        <v>421</v>
      </c>
      <c r="C1107" s="4" t="s">
        <v>287</v>
      </c>
      <c r="D1107" s="94">
        <v>3737.0</v>
      </c>
    </row>
    <row r="1108">
      <c r="A1108" s="40">
        <f t="array" ref="A1108">IFNA(index(PlayerValues!A:A,match(IFNA(vlookup(B1108,'Special Names'!A:B,2,FALSE),B1108),PlayerValues!E:E,0)),"N/A")</f>
        <v>14797</v>
      </c>
      <c r="B1108" s="4" t="s">
        <v>420</v>
      </c>
      <c r="C1108" s="4" t="s">
        <v>278</v>
      </c>
      <c r="D1108" s="94">
        <v>3731.0</v>
      </c>
    </row>
    <row r="1109">
      <c r="A1109" s="40">
        <f t="array" ref="A1109">IFNA(index(PlayerValues!A:A,match(IFNA(vlookup(B1109,'Special Names'!A:B,2,FALSE),B1109),PlayerValues!E:E,0)),"N/A")</f>
        <v>9431</v>
      </c>
      <c r="B1109" s="4" t="s">
        <v>428</v>
      </c>
      <c r="C1109" s="4" t="s">
        <v>283</v>
      </c>
      <c r="D1109" s="94">
        <v>3717.0</v>
      </c>
    </row>
    <row r="1110">
      <c r="A1110" s="40">
        <f t="array" ref="A1110">IFNA(index(PlayerValues!A:A,match(IFNA(vlookup(B1110,'Special Names'!A:B,2,FALSE),B1110),PlayerValues!E:E,0)),"N/A")</f>
        <v>11675</v>
      </c>
      <c r="B1110" s="4" t="s">
        <v>438</v>
      </c>
      <c r="C1110" s="4" t="s">
        <v>287</v>
      </c>
      <c r="D1110" s="94">
        <v>3658.0</v>
      </c>
    </row>
    <row r="1111">
      <c r="A1111" s="40">
        <f t="array" ref="A1111">IFNA(index(PlayerValues!A:A,match(IFNA(vlookup(B1111,'Special Names'!A:B,2,FALSE),B1111),PlayerValues!E:E,0)),"N/A")</f>
        <v>17477</v>
      </c>
      <c r="B1111" s="4" t="s">
        <v>452</v>
      </c>
      <c r="C1111" s="4" t="s">
        <v>278</v>
      </c>
      <c r="D1111" s="94">
        <v>3634.0</v>
      </c>
    </row>
    <row r="1112">
      <c r="A1112" s="40">
        <f t="array" ref="A1112">IFNA(index(PlayerValues!A:A,match(IFNA(vlookup(B1112,'Special Names'!A:B,2,FALSE),B1112),PlayerValues!E:E,0)),"N/A")</f>
        <v>15757</v>
      </c>
      <c r="B1112" s="4" t="s">
        <v>449</v>
      </c>
      <c r="C1112" s="4" t="s">
        <v>287</v>
      </c>
      <c r="D1112" s="94">
        <v>3624.0</v>
      </c>
    </row>
    <row r="1113">
      <c r="A1113" s="40">
        <f t="array" ref="A1113">IFNA(index(PlayerValues!A:A,match(IFNA(vlookup(B1113,'Special Names'!A:B,2,FALSE),B1113),PlayerValues!E:E,0)),"N/A")</f>
        <v>14056</v>
      </c>
      <c r="B1113" s="4" t="s">
        <v>423</v>
      </c>
      <c r="C1113" s="4" t="s">
        <v>283</v>
      </c>
      <c r="D1113" s="94">
        <v>3604.0</v>
      </c>
    </row>
    <row r="1114">
      <c r="A1114" s="40">
        <f t="array" ref="A1114">IFNA(index(PlayerValues!A:A,match(IFNA(vlookup(B1114,'Special Names'!A:B,2,FALSE),B1114),PlayerValues!E:E,0)),"N/A")</f>
        <v>16583</v>
      </c>
      <c r="B1114" s="4" t="s">
        <v>493</v>
      </c>
      <c r="C1114" s="4" t="s">
        <v>283</v>
      </c>
      <c r="D1114" s="94">
        <v>3599.0</v>
      </c>
    </row>
    <row r="1115">
      <c r="A1115" s="40">
        <f t="array" ref="A1115">IFNA(index(PlayerValues!A:A,match(IFNA(vlookup(B1115,'Special Names'!A:B,2,FALSE),B1115),PlayerValues!E:E,0)),"N/A")</f>
        <v>14842</v>
      </c>
      <c r="B1115" s="4" t="s">
        <v>456</v>
      </c>
      <c r="C1115" s="4" t="s">
        <v>287</v>
      </c>
      <c r="D1115" s="94">
        <v>3584.0</v>
      </c>
    </row>
    <row r="1116">
      <c r="A1116" s="40">
        <f t="array" ref="A1116">IFNA(index(PlayerValues!A:A,match(IFNA(vlookup(B1116,'Special Names'!A:B,2,FALSE),B1116),PlayerValues!E:E,0)),"N/A")</f>
        <v>16169</v>
      </c>
      <c r="B1116" s="4" t="s">
        <v>457</v>
      </c>
      <c r="C1116" s="4" t="s">
        <v>278</v>
      </c>
      <c r="D1116" s="94">
        <v>3576.0</v>
      </c>
    </row>
    <row r="1117">
      <c r="A1117" s="40">
        <f t="array" ref="A1117">IFNA(index(PlayerValues!A:A,match(IFNA(vlookup(B1117,'Special Names'!A:B,2,FALSE),B1117),PlayerValues!E:E,0)),"N/A")</f>
        <v>16192</v>
      </c>
      <c r="B1117" s="4" t="s">
        <v>412</v>
      </c>
      <c r="C1117" s="4" t="s">
        <v>287</v>
      </c>
      <c r="D1117" s="94">
        <v>3572.0</v>
      </c>
    </row>
    <row r="1118">
      <c r="A1118" s="40">
        <f t="array" ref="A1118">IFNA(index(PlayerValues!A:A,match(IFNA(vlookup(B1118,'Special Names'!A:B,2,FALSE),B1118),PlayerValues!E:E,0)),"N/A")</f>
        <v>16213</v>
      </c>
      <c r="B1118" s="4" t="s">
        <v>458</v>
      </c>
      <c r="C1118" s="4" t="s">
        <v>298</v>
      </c>
      <c r="D1118" s="94">
        <v>4026.0</v>
      </c>
    </row>
    <row r="1119">
      <c r="A1119" s="40">
        <f t="array" ref="A1119">IFNA(index(PlayerValues!A:A,match(IFNA(vlookup(B1119,'Special Names'!A:B,2,FALSE),B1119),PlayerValues!E:E,0)),"N/A")</f>
        <v>16584</v>
      </c>
      <c r="B1119" s="4" t="s">
        <v>569</v>
      </c>
      <c r="C1119" s="4" t="s">
        <v>283</v>
      </c>
      <c r="D1119" s="94">
        <v>3535.0</v>
      </c>
    </row>
    <row r="1120">
      <c r="A1120" s="40">
        <f t="array" ref="A1120">IFNA(index(PlayerValues!A:A,match(IFNA(vlookup(B1120,'Special Names'!A:B,2,FALSE),B1120),PlayerValues!E:E,0)),"N/A")</f>
        <v>17075</v>
      </c>
      <c r="B1120" s="4" t="s">
        <v>429</v>
      </c>
      <c r="C1120" s="4" t="s">
        <v>287</v>
      </c>
      <c r="D1120" s="94">
        <v>3534.0</v>
      </c>
    </row>
    <row r="1121">
      <c r="A1121" s="40">
        <f t="array" ref="A1121">IFNA(index(PlayerValues!A:A,match(IFNA(vlookup(B1121,'Special Names'!A:B,2,FALSE),B1121),PlayerValues!E:E,0)),"N/A")</f>
        <v>16620</v>
      </c>
      <c r="B1121" s="4" t="s">
        <v>467</v>
      </c>
      <c r="C1121" s="4" t="s">
        <v>287</v>
      </c>
      <c r="D1121" s="94">
        <v>3528.0</v>
      </c>
    </row>
    <row r="1122">
      <c r="A1122" s="40">
        <f t="array" ref="A1122">IFNA(index(PlayerValues!A:A,match(IFNA(vlookup(B1122,'Special Names'!A:B,2,FALSE),B1122),PlayerValues!E:E,0)),"N/A")</f>
        <v>16188</v>
      </c>
      <c r="B1122" s="4" t="s">
        <v>439</v>
      </c>
      <c r="C1122" s="4" t="s">
        <v>287</v>
      </c>
      <c r="D1122" s="94">
        <v>3512.0</v>
      </c>
    </row>
    <row r="1123">
      <c r="A1123" s="40" t="str">
        <f t="array" ref="A1123">IFNA(index(PlayerValues!A:A,match(IFNA(vlookup(B1123,'Special Names'!A:B,2,FALSE),B1123),PlayerValues!E:E,0)),"N/A")</f>
        <v>N/A</v>
      </c>
      <c r="B1123" s="4" t="s">
        <v>82</v>
      </c>
      <c r="C1123" s="4" t="s">
        <v>325</v>
      </c>
      <c r="D1123" s="94">
        <v>3495.0</v>
      </c>
    </row>
    <row r="1124">
      <c r="A1124" s="40">
        <f t="array" ref="A1124">IFNA(index(PlayerValues!A:A,match(IFNA(vlookup(B1124,'Special Names'!A:B,2,FALSE),B1124),PlayerValues!E:E,0)),"N/A")</f>
        <v>16593</v>
      </c>
      <c r="B1124" s="4" t="s">
        <v>442</v>
      </c>
      <c r="C1124" s="4" t="s">
        <v>278</v>
      </c>
      <c r="D1124" s="94">
        <v>3495.0</v>
      </c>
    </row>
    <row r="1125">
      <c r="A1125" s="40">
        <f t="array" ref="A1125">IFNA(index(PlayerValues!A:A,match(IFNA(vlookup(B1125,'Special Names'!A:B,2,FALSE),B1125),PlayerValues!E:E,0)),"N/A")</f>
        <v>13299</v>
      </c>
      <c r="B1125" s="4" t="s">
        <v>448</v>
      </c>
      <c r="C1125" s="4" t="s">
        <v>298</v>
      </c>
      <c r="D1125" s="94">
        <v>3945.0</v>
      </c>
    </row>
    <row r="1126">
      <c r="A1126" s="40">
        <f t="array" ref="A1126">IFNA(index(PlayerValues!A:A,match(IFNA(vlookup(B1126,'Special Names'!A:B,2,FALSE),B1126),PlayerValues!E:E,0)),"N/A")</f>
        <v>14127</v>
      </c>
      <c r="B1126" s="4" t="s">
        <v>486</v>
      </c>
      <c r="C1126" s="4" t="s">
        <v>287</v>
      </c>
      <c r="D1126" s="94">
        <v>3459.0</v>
      </c>
    </row>
    <row r="1127">
      <c r="A1127" s="40">
        <f t="array" ref="A1127">IFNA(index(PlayerValues!A:A,match(IFNA(vlookup(B1127,'Special Names'!A:B,2,FALSE),B1127),PlayerValues!E:E,0)),"N/A")</f>
        <v>17052</v>
      </c>
      <c r="B1127" s="4" t="s">
        <v>417</v>
      </c>
      <c r="C1127" s="4" t="s">
        <v>278</v>
      </c>
      <c r="D1127" s="94">
        <v>3455.0</v>
      </c>
    </row>
    <row r="1128">
      <c r="A1128" s="40">
        <f t="array" ref="A1128">IFNA(index(PlayerValues!A:A,match(IFNA(vlookup(B1128,'Special Names'!A:B,2,FALSE),B1128),PlayerValues!E:E,0)),"N/A")</f>
        <v>15742</v>
      </c>
      <c r="B1128" s="4" t="s">
        <v>447</v>
      </c>
      <c r="C1128" s="4" t="s">
        <v>278</v>
      </c>
      <c r="D1128" s="94">
        <v>3439.0</v>
      </c>
    </row>
    <row r="1129">
      <c r="A1129" s="40">
        <f t="array" ref="A1129">IFNA(index(PlayerValues!A:A,match(IFNA(vlookup(B1129,'Special Names'!A:B,2,FALSE),B1129),PlayerValues!E:E,0)),"N/A")</f>
        <v>15799</v>
      </c>
      <c r="B1129" s="4" t="s">
        <v>468</v>
      </c>
      <c r="C1129" s="4" t="s">
        <v>298</v>
      </c>
      <c r="D1129" s="94">
        <v>3859.0</v>
      </c>
    </row>
    <row r="1130">
      <c r="A1130" s="40">
        <f t="array" ref="A1130">IFNA(index(PlayerValues!A:A,match(IFNA(vlookup(B1130,'Special Names'!A:B,2,FALSE),B1130),PlayerValues!E:E,0)),"N/A")</f>
        <v>17502</v>
      </c>
      <c r="B1130" s="4" t="s">
        <v>451</v>
      </c>
      <c r="C1130" s="4" t="s">
        <v>287</v>
      </c>
      <c r="D1130" s="94">
        <v>3399.0</v>
      </c>
    </row>
    <row r="1131">
      <c r="A1131" s="40" t="str">
        <f t="array" ref="A1131">IFNA(index(PlayerValues!A:A,match(IFNA(vlookup(B1131,'Special Names'!A:B,2,FALSE),B1131),PlayerValues!E:E,0)),"N/A")</f>
        <v>N/A</v>
      </c>
      <c r="B1131" s="4" t="s">
        <v>96</v>
      </c>
      <c r="C1131" s="4" t="s">
        <v>325</v>
      </c>
      <c r="D1131" s="94">
        <v>3373.0</v>
      </c>
    </row>
    <row r="1132">
      <c r="A1132" s="40">
        <f t="array" ref="A1132">IFNA(index(PlayerValues!A:A,match(IFNA(vlookup(B1132,'Special Names'!A:B,2,FALSE),B1132),PlayerValues!E:E,0)),"N/A")</f>
        <v>14109</v>
      </c>
      <c r="B1132" s="4" t="s">
        <v>437</v>
      </c>
      <c r="C1132" s="4" t="s">
        <v>287</v>
      </c>
      <c r="D1132" s="94">
        <v>3358.0</v>
      </c>
    </row>
    <row r="1133">
      <c r="A1133" s="40">
        <f t="array" ref="A1133">IFNA(index(PlayerValues!A:A,match(IFNA(vlookup(B1133,'Special Names'!A:B,2,FALSE),B1133),PlayerValues!E:E,0)),"N/A")</f>
        <v>16594</v>
      </c>
      <c r="B1133" s="4" t="s">
        <v>607</v>
      </c>
      <c r="C1133" s="4" t="s">
        <v>278</v>
      </c>
      <c r="D1133" s="94">
        <v>3331.0</v>
      </c>
    </row>
    <row r="1134">
      <c r="A1134" s="40">
        <f t="array" ref="A1134">IFNA(index(PlayerValues!A:A,match(IFNA(vlookup(B1134,'Special Names'!A:B,2,FALSE),B1134),PlayerValues!E:E,0)),"N/A")</f>
        <v>17053</v>
      </c>
      <c r="B1134" s="4" t="s">
        <v>484</v>
      </c>
      <c r="C1134" s="4" t="s">
        <v>278</v>
      </c>
      <c r="D1134" s="94">
        <v>3330.0</v>
      </c>
    </row>
    <row r="1135">
      <c r="A1135" s="40">
        <f t="array" ref="A1135">IFNA(index(PlayerValues!A:A,match(IFNA(vlookup(B1135,'Special Names'!A:B,2,FALSE),B1135),PlayerValues!E:E,0)),"N/A")</f>
        <v>17473</v>
      </c>
      <c r="B1135" s="4" t="s">
        <v>391</v>
      </c>
      <c r="C1135" s="4" t="s">
        <v>278</v>
      </c>
      <c r="D1135" s="94">
        <v>3313.0</v>
      </c>
    </row>
    <row r="1136">
      <c r="A1136" s="40">
        <f t="array" ref="A1136">IFNA(index(PlayerValues!A:A,match(IFNA(vlookup(B1136,'Special Names'!A:B,2,FALSE),B1136),PlayerValues!E:E,0)),"N/A")</f>
        <v>13630</v>
      </c>
      <c r="B1136" s="4" t="s">
        <v>465</v>
      </c>
      <c r="C1136" s="4" t="s">
        <v>287</v>
      </c>
      <c r="D1136" s="94">
        <v>3298.0</v>
      </c>
    </row>
    <row r="1137">
      <c r="A1137" s="40">
        <f t="array" ref="A1137">IFNA(index(PlayerValues!A:A,match(IFNA(vlookup(B1137,'Special Names'!A:B,2,FALSE),B1137),PlayerValues!E:E,0)),"N/A")</f>
        <v>13635</v>
      </c>
      <c r="B1137" s="4" t="s">
        <v>424</v>
      </c>
      <c r="C1137" s="4" t="s">
        <v>287</v>
      </c>
      <c r="D1137" s="94">
        <v>3274.0</v>
      </c>
    </row>
    <row r="1138">
      <c r="A1138" s="40">
        <f t="array" ref="A1138">IFNA(index(PlayerValues!A:A,match(IFNA(vlookup(B1138,'Special Names'!A:B,2,FALSE),B1138),PlayerValues!E:E,0)),"N/A")</f>
        <v>16269</v>
      </c>
      <c r="B1138" s="4" t="s">
        <v>481</v>
      </c>
      <c r="C1138" s="4" t="s">
        <v>298</v>
      </c>
      <c r="D1138" s="94">
        <v>3709.0</v>
      </c>
    </row>
    <row r="1139">
      <c r="A1139" s="40">
        <f t="array" ref="A1139">IFNA(index(PlayerValues!A:A,match(IFNA(vlookup(B1139,'Special Names'!A:B,2,FALSE),B1139),PlayerValues!E:E,0)),"N/A")</f>
        <v>16184</v>
      </c>
      <c r="B1139" s="4" t="s">
        <v>445</v>
      </c>
      <c r="C1139" s="4" t="s">
        <v>287</v>
      </c>
      <c r="D1139" s="94">
        <v>3261.0</v>
      </c>
    </row>
    <row r="1140">
      <c r="A1140" s="40">
        <f t="array" ref="A1140">IFNA(index(PlayerValues!A:A,match(IFNA(vlookup(B1140,'Special Names'!A:B,2,FALSE),B1140),PlayerValues!E:E,0)),"N/A")</f>
        <v>15694</v>
      </c>
      <c r="B1140" s="4" t="s">
        <v>434</v>
      </c>
      <c r="C1140" s="4" t="s">
        <v>283</v>
      </c>
      <c r="D1140" s="94">
        <v>3213.0</v>
      </c>
    </row>
    <row r="1141">
      <c r="A1141" s="40">
        <f t="array" ref="A1141">IFNA(index(PlayerValues!A:A,match(IFNA(vlookup(B1141,'Special Names'!A:B,2,FALSE),B1141),PlayerValues!E:E,0)),"N/A")</f>
        <v>15712</v>
      </c>
      <c r="B1141" s="4" t="s">
        <v>488</v>
      </c>
      <c r="C1141" s="4" t="s">
        <v>278</v>
      </c>
      <c r="D1141" s="94">
        <v>3212.0</v>
      </c>
    </row>
    <row r="1142">
      <c r="A1142" s="40">
        <f t="array" ref="A1142">IFNA(index(PlayerValues!A:A,match(IFNA(vlookup(B1142,'Special Names'!A:B,2,FALSE),B1142),PlayerValues!E:E,0)),"N/A")</f>
        <v>17476</v>
      </c>
      <c r="B1142" s="4" t="s">
        <v>494</v>
      </c>
      <c r="C1142" s="4" t="s">
        <v>278</v>
      </c>
      <c r="D1142" s="94">
        <v>3202.0</v>
      </c>
    </row>
    <row r="1143">
      <c r="A1143" s="40">
        <f t="array" ref="A1143">IFNA(index(PlayerValues!A:A,match(IFNA(vlookup(B1143,'Special Names'!A:B,2,FALSE),B1143),PlayerValues!E:E,0)),"N/A")</f>
        <v>16809</v>
      </c>
      <c r="B1143" s="4" t="s">
        <v>455</v>
      </c>
      <c r="C1143" s="4" t="s">
        <v>287</v>
      </c>
      <c r="D1143" s="94">
        <v>3167.0</v>
      </c>
    </row>
    <row r="1144">
      <c r="A1144" s="40">
        <f t="array" ref="A1144">IFNA(index(PlayerValues!A:A,match(IFNA(vlookup(B1144,'Special Names'!A:B,2,FALSE),B1144),PlayerValues!E:E,0)),"N/A")</f>
        <v>16187</v>
      </c>
      <c r="B1144" s="4" t="s">
        <v>441</v>
      </c>
      <c r="C1144" s="4" t="s">
        <v>287</v>
      </c>
      <c r="D1144" s="94">
        <v>3151.0</v>
      </c>
    </row>
    <row r="1145">
      <c r="A1145" s="40">
        <f t="array" ref="A1145">IFNA(index(PlayerValues!A:A,match(IFNA(vlookup(B1145,'Special Names'!A:B,2,FALSE),B1145),PlayerValues!E:E,0)),"N/A")</f>
        <v>14823</v>
      </c>
      <c r="B1145" s="4" t="s">
        <v>459</v>
      </c>
      <c r="C1145" s="4" t="s">
        <v>278</v>
      </c>
      <c r="D1145" s="94">
        <v>3150.0</v>
      </c>
    </row>
    <row r="1146">
      <c r="A1146" s="40">
        <f t="array" ref="A1146">IFNA(index(PlayerValues!A:A,match(IFNA(vlookup(B1146,'Special Names'!A:B,2,FALSE),B1146),PlayerValues!E:E,0)),"N/A")</f>
        <v>15761</v>
      </c>
      <c r="B1146" s="4" t="s">
        <v>491</v>
      </c>
      <c r="C1146" s="4" t="s">
        <v>287</v>
      </c>
      <c r="D1146" s="94">
        <v>3111.0</v>
      </c>
    </row>
    <row r="1147">
      <c r="A1147" s="40" t="str">
        <f t="array" ref="A1147">IFNA(index(PlayerValues!A:A,match(IFNA(vlookup(B1147,'Special Names'!A:B,2,FALSE),B1147),PlayerValues!E:E,0)),"N/A")</f>
        <v>N/A</v>
      </c>
      <c r="B1147" s="4" t="s">
        <v>108</v>
      </c>
      <c r="C1147" s="4" t="s">
        <v>325</v>
      </c>
      <c r="D1147" s="94">
        <v>3078.0</v>
      </c>
    </row>
    <row r="1148">
      <c r="A1148" s="40" t="str">
        <f t="array" ref="A1148">IFNA(index(PlayerValues!A:A,match(IFNA(vlookup(B1148,'Special Names'!A:B,2,FALSE),B1148),PlayerValues!E:E,0)),"N/A")</f>
        <v>N/A</v>
      </c>
      <c r="B1148" s="4" t="s">
        <v>84</v>
      </c>
      <c r="C1148" s="4" t="s">
        <v>325</v>
      </c>
      <c r="D1148" s="94">
        <v>3074.0</v>
      </c>
    </row>
    <row r="1149">
      <c r="A1149" s="40" t="str">
        <f t="array" ref="A1149">IFNA(index(PlayerValues!A:A,match(IFNA(vlookup(B1149,'Special Names'!A:B,2,FALSE),B1149),PlayerValues!E:E,0)),"N/A")</f>
        <v>N/A</v>
      </c>
      <c r="B1149" s="4" t="s">
        <v>97</v>
      </c>
      <c r="C1149" s="4" t="s">
        <v>325</v>
      </c>
      <c r="D1149" s="94">
        <v>3068.0</v>
      </c>
    </row>
    <row r="1150">
      <c r="A1150" s="40">
        <f t="array" ref="A1150">IFNA(index(PlayerValues!A:A,match(IFNA(vlookup(B1150,'Special Names'!A:B,2,FALSE),B1150),PlayerValues!E:E,0)),"N/A")</f>
        <v>15261</v>
      </c>
      <c r="B1150" s="4" t="s">
        <v>466</v>
      </c>
      <c r="C1150" s="4" t="s">
        <v>278</v>
      </c>
      <c r="D1150" s="94">
        <v>3050.0</v>
      </c>
    </row>
    <row r="1151">
      <c r="A1151" s="40">
        <f t="array" ref="A1151">IFNA(index(PlayerValues!A:A,match(IFNA(vlookup(B1151,'Special Names'!A:B,2,FALSE),B1151),PlayerValues!E:E,0)),"N/A")</f>
        <v>16619</v>
      </c>
      <c r="B1151" s="4" t="s">
        <v>538</v>
      </c>
      <c r="C1151" s="4" t="s">
        <v>287</v>
      </c>
      <c r="D1151" s="94">
        <v>3046.0</v>
      </c>
    </row>
    <row r="1152">
      <c r="A1152" s="40">
        <f t="array" ref="A1152">IFNA(index(PlayerValues!A:A,match(IFNA(vlookup(B1152,'Special Names'!A:B,2,FALSE),B1152),PlayerValues!E:E,0)),"N/A")</f>
        <v>15798</v>
      </c>
      <c r="B1152" s="4" t="s">
        <v>443</v>
      </c>
      <c r="C1152" s="4" t="s">
        <v>298</v>
      </c>
      <c r="D1152" s="94">
        <v>3452.0</v>
      </c>
    </row>
    <row r="1153">
      <c r="A1153" s="40">
        <f t="array" ref="A1153">IFNA(index(PlayerValues!A:A,match(IFNA(vlookup(B1153,'Special Names'!A:B,2,FALSE),B1153),PlayerValues!E:E,0)),"N/A")</f>
        <v>17463</v>
      </c>
      <c r="B1153" s="4" t="s">
        <v>433</v>
      </c>
      <c r="C1153" s="4" t="s">
        <v>283</v>
      </c>
      <c r="D1153" s="94">
        <v>2990.0</v>
      </c>
    </row>
    <row r="1154">
      <c r="A1154" s="40">
        <f t="array" ref="A1154">IFNA(index(PlayerValues!A:A,match(IFNA(vlookup(B1154,'Special Names'!A:B,2,FALSE),B1154),PlayerValues!E:E,0)),"N/A")</f>
        <v>17082</v>
      </c>
      <c r="B1154" s="4" t="s">
        <v>498</v>
      </c>
      <c r="C1154" s="4" t="s">
        <v>287</v>
      </c>
      <c r="D1154" s="94">
        <v>2978.0</v>
      </c>
    </row>
    <row r="1155">
      <c r="A1155" s="40">
        <f t="array" ref="A1155">IFNA(index(PlayerValues!A:A,match(IFNA(vlookup(B1155,'Special Names'!A:B,2,FALSE),B1155),PlayerValues!E:E,0)),"N/A")</f>
        <v>15259</v>
      </c>
      <c r="B1155" s="4" t="s">
        <v>453</v>
      </c>
      <c r="C1155" s="4" t="s">
        <v>278</v>
      </c>
      <c r="D1155" s="94">
        <v>2975.0</v>
      </c>
    </row>
    <row r="1156">
      <c r="A1156" s="40">
        <f t="array" ref="A1156">IFNA(index(PlayerValues!A:A,match(IFNA(vlookup(B1156,'Special Names'!A:B,2,FALSE),B1156),PlayerValues!E:E,0)),"N/A")</f>
        <v>16193</v>
      </c>
      <c r="B1156" s="4" t="s">
        <v>487</v>
      </c>
      <c r="C1156" s="4" t="s">
        <v>287</v>
      </c>
      <c r="D1156" s="94">
        <v>2972.0</v>
      </c>
    </row>
    <row r="1157">
      <c r="A1157" s="40">
        <f t="array" ref="A1157">IFNA(index(PlayerValues!A:A,match(IFNA(vlookup(B1157,'Special Names'!A:B,2,FALSE),B1157),PlayerValues!E:E,0)),"N/A")</f>
        <v>15779</v>
      </c>
      <c r="B1157" s="4" t="s">
        <v>461</v>
      </c>
      <c r="C1157" s="4" t="s">
        <v>287</v>
      </c>
      <c r="D1157" s="94">
        <v>2971.0</v>
      </c>
    </row>
    <row r="1158">
      <c r="A1158" s="40">
        <f t="array" ref="A1158">IFNA(index(PlayerValues!A:A,match(IFNA(vlookup(B1158,'Special Names'!A:B,2,FALSE),B1158),PlayerValues!E:E,0)),"N/A")</f>
        <v>17106</v>
      </c>
      <c r="B1158" s="4" t="s">
        <v>550</v>
      </c>
      <c r="C1158" s="4" t="s">
        <v>298</v>
      </c>
      <c r="D1158" s="94">
        <v>3349.0</v>
      </c>
    </row>
    <row r="1159">
      <c r="A1159" s="40">
        <f t="array" ref="A1159">IFNA(index(PlayerValues!A:A,match(IFNA(vlookup(B1159,'Special Names'!A:B,2,FALSE),B1159),PlayerValues!E:E,0)),"N/A")</f>
        <v>17107</v>
      </c>
      <c r="B1159" s="4" t="s">
        <v>478</v>
      </c>
      <c r="C1159" s="4" t="s">
        <v>298</v>
      </c>
      <c r="D1159" s="94">
        <v>3326.0</v>
      </c>
    </row>
    <row r="1160">
      <c r="A1160" s="40">
        <f t="array" ref="A1160">IFNA(index(PlayerValues!A:A,match(IFNA(vlookup(B1160,'Special Names'!A:B,2,FALSE),B1160),PlayerValues!E:E,0)),"N/A")</f>
        <v>17031</v>
      </c>
      <c r="B1160" s="4" t="s">
        <v>535</v>
      </c>
      <c r="C1160" s="4" t="s">
        <v>283</v>
      </c>
      <c r="D1160" s="94">
        <v>2900.0</v>
      </c>
    </row>
    <row r="1161">
      <c r="A1161" s="40">
        <f t="array" ref="A1161">IFNA(index(PlayerValues!A:A,match(IFNA(vlookup(B1161,'Special Names'!A:B,2,FALSE),B1161),PlayerValues!E:E,0)),"N/A")</f>
        <v>17256</v>
      </c>
      <c r="B1161" s="4" t="s">
        <v>462</v>
      </c>
      <c r="C1161" s="4" t="s">
        <v>278</v>
      </c>
      <c r="D1161" s="94">
        <v>2891.0</v>
      </c>
    </row>
    <row r="1162">
      <c r="A1162" s="40">
        <f t="array" ref="A1162">IFNA(index(PlayerValues!A:A,match(IFNA(vlookup(B1162,'Special Names'!A:B,2,FALSE),B1162),PlayerValues!E:E,0)),"N/A")</f>
        <v>16723</v>
      </c>
      <c r="B1162" s="4" t="s">
        <v>502</v>
      </c>
      <c r="C1162" s="4" t="s">
        <v>298</v>
      </c>
      <c r="D1162" s="94">
        <v>3297.0</v>
      </c>
    </row>
    <row r="1163">
      <c r="A1163" s="40">
        <f t="array" ref="A1163">IFNA(index(PlayerValues!A:A,match(IFNA(vlookup(B1163,'Special Names'!A:B,2,FALSE),B1163),PlayerValues!E:E,0)),"N/A")</f>
        <v>11671</v>
      </c>
      <c r="B1163" s="4" t="s">
        <v>463</v>
      </c>
      <c r="C1163" s="4" t="s">
        <v>287</v>
      </c>
      <c r="D1163" s="94">
        <v>2867.0</v>
      </c>
    </row>
    <row r="1164">
      <c r="A1164" s="40">
        <f t="array" ref="A1164">IFNA(index(PlayerValues!A:A,match(IFNA(vlookup(B1164,'Special Names'!A:B,2,FALSE),B1164),PlayerValues!E:E,0)),"N/A")</f>
        <v>16628</v>
      </c>
      <c r="B1164" s="4" t="s">
        <v>490</v>
      </c>
      <c r="C1164" s="4" t="s">
        <v>287</v>
      </c>
      <c r="D1164" s="94">
        <v>2864.0</v>
      </c>
    </row>
    <row r="1165">
      <c r="A1165" s="40">
        <f t="array" ref="A1165">IFNA(index(PlayerValues!A:A,match(IFNA(vlookup(B1165,'Special Names'!A:B,2,FALSE),B1165),PlayerValues!E:E,0)),"N/A")</f>
        <v>17171</v>
      </c>
      <c r="B1165" s="4" t="s">
        <v>561</v>
      </c>
      <c r="C1165" s="4" t="s">
        <v>287</v>
      </c>
      <c r="D1165" s="94">
        <v>2851.0</v>
      </c>
    </row>
    <row r="1166">
      <c r="A1166" s="40">
        <f t="array" ref="A1166">IFNA(index(PlayerValues!A:A,match(IFNA(vlookup(B1166,'Special Names'!A:B,2,FALSE),B1166),PlayerValues!E:E,0)),"N/A")</f>
        <v>16596</v>
      </c>
      <c r="B1166" s="4" t="s">
        <v>501</v>
      </c>
      <c r="C1166" s="4" t="s">
        <v>278</v>
      </c>
      <c r="D1166" s="94">
        <v>2844.0</v>
      </c>
    </row>
    <row r="1167">
      <c r="A1167" s="40">
        <f t="array" ref="A1167">IFNA(index(PlayerValues!A:A,match(IFNA(vlookup(B1167,'Special Names'!A:B,2,FALSE),B1167),PlayerValues!E:E,0)),"N/A")</f>
        <v>17073</v>
      </c>
      <c r="B1167" s="4" t="s">
        <v>547</v>
      </c>
      <c r="C1167" s="4" t="s">
        <v>287</v>
      </c>
      <c r="D1167" s="94">
        <v>2841.0</v>
      </c>
    </row>
    <row r="1168">
      <c r="A1168" s="40">
        <f t="array" ref="A1168">IFNA(index(PlayerValues!A:A,match(IFNA(vlookup(B1168,'Special Names'!A:B,2,FALSE),B1168),PlayerValues!E:E,0)),"N/A")</f>
        <v>14860</v>
      </c>
      <c r="B1168" s="4" t="s">
        <v>554</v>
      </c>
      <c r="C1168" s="4" t="s">
        <v>287</v>
      </c>
      <c r="D1168" s="94">
        <v>2839.0</v>
      </c>
    </row>
    <row r="1169">
      <c r="A1169" s="40">
        <f t="array" ref="A1169">IFNA(index(PlayerValues!A:A,match(IFNA(vlookup(B1169,'Special Names'!A:B,2,FALSE),B1169),PlayerValues!E:E,0)),"N/A")</f>
        <v>17072</v>
      </c>
      <c r="B1169" s="4" t="s">
        <v>508</v>
      </c>
      <c r="C1169" s="4" t="s">
        <v>287</v>
      </c>
      <c r="D1169" s="94">
        <v>2839.0</v>
      </c>
    </row>
    <row r="1170">
      <c r="A1170" s="40">
        <f t="array" ref="A1170">IFNA(index(PlayerValues!A:A,match(IFNA(vlookup(B1170,'Special Names'!A:B,2,FALSE),B1170),PlayerValues!E:E,0)),"N/A")</f>
        <v>17157</v>
      </c>
      <c r="B1170" s="4" t="s">
        <v>524</v>
      </c>
      <c r="C1170" s="4" t="s">
        <v>287</v>
      </c>
      <c r="D1170" s="94">
        <v>2835.0</v>
      </c>
    </row>
    <row r="1171">
      <c r="A1171" s="40">
        <f t="array" ref="A1171">IFNA(index(PlayerValues!A:A,match(IFNA(vlookup(B1171,'Special Names'!A:B,2,FALSE),B1171),PlayerValues!E:E,0)),"N/A")</f>
        <v>16080</v>
      </c>
      <c r="B1171" s="4" t="s">
        <v>499</v>
      </c>
      <c r="C1171" s="4" t="s">
        <v>287</v>
      </c>
      <c r="D1171" s="94">
        <v>2829.0</v>
      </c>
    </row>
    <row r="1172">
      <c r="A1172" s="40">
        <f t="array" ref="A1172">IFNA(index(PlayerValues!A:A,match(IFNA(vlookup(B1172,'Special Names'!A:B,2,FALSE),B1172),PlayerValues!E:E,0)),"N/A")</f>
        <v>17511</v>
      </c>
      <c r="B1172" s="4" t="s">
        <v>485</v>
      </c>
      <c r="C1172" s="4" t="s">
        <v>287</v>
      </c>
      <c r="D1172" s="94">
        <v>2819.0</v>
      </c>
    </row>
    <row r="1173">
      <c r="A1173" s="40">
        <f t="array" ref="A1173">IFNA(index(PlayerValues!A:A,match(IFNA(vlookup(B1173,'Special Names'!A:B,2,FALSE),B1173),PlayerValues!E:E,0)),"N/A")</f>
        <v>16165</v>
      </c>
      <c r="B1173" s="4" t="s">
        <v>520</v>
      </c>
      <c r="C1173" s="4" t="s">
        <v>278</v>
      </c>
      <c r="D1173" s="94">
        <v>2810.0</v>
      </c>
    </row>
    <row r="1174">
      <c r="A1174" s="40">
        <f t="array" ref="A1174">IFNA(index(PlayerValues!A:A,match(IFNA(vlookup(B1174,'Special Names'!A:B,2,FALSE),B1174),PlayerValues!E:E,0)),"N/A")</f>
        <v>15255</v>
      </c>
      <c r="B1174" s="4" t="s">
        <v>477</v>
      </c>
      <c r="C1174" s="4" t="s">
        <v>278</v>
      </c>
      <c r="D1174" s="94">
        <v>2804.0</v>
      </c>
    </row>
    <row r="1175">
      <c r="A1175" s="40" t="str">
        <f t="array" ref="A1175">IFNA(index(PlayerValues!A:A,match(IFNA(vlookup(B1175,'Special Names'!A:B,2,FALSE),B1175),PlayerValues!E:E,0)),"N/A")</f>
        <v>N/A</v>
      </c>
      <c r="B1175" s="4" t="s">
        <v>85</v>
      </c>
      <c r="C1175" s="4" t="s">
        <v>325</v>
      </c>
      <c r="D1175" s="94">
        <v>2804.0</v>
      </c>
    </row>
    <row r="1176">
      <c r="A1176" s="40">
        <f t="array" ref="A1176">IFNA(index(PlayerValues!A:A,match(IFNA(vlookup(B1176,'Special Names'!A:B,2,FALSE),B1176),PlayerValues!E:E,0)),"N/A")</f>
        <v>17134</v>
      </c>
      <c r="B1176" s="4" t="s">
        <v>548</v>
      </c>
      <c r="C1176" s="4" t="s">
        <v>287</v>
      </c>
      <c r="D1176" s="94">
        <v>2803.0</v>
      </c>
    </row>
    <row r="1177">
      <c r="A1177" s="40" t="str">
        <f t="array" ref="A1177">IFNA(index(PlayerValues!A:A,match(IFNA(vlookup(B1177,'Special Names'!A:B,2,FALSE),B1177),PlayerValues!E:E,0)),"N/A")</f>
        <v>N/A</v>
      </c>
      <c r="B1177" s="4" t="s">
        <v>109</v>
      </c>
      <c r="C1177" s="4" t="s">
        <v>325</v>
      </c>
      <c r="D1177" s="94">
        <v>2799.0</v>
      </c>
    </row>
    <row r="1178">
      <c r="A1178" s="40">
        <f t="array" ref="A1178">IFNA(index(PlayerValues!A:A,match(IFNA(vlookup(B1178,'Special Names'!A:B,2,FALSE),B1178),PlayerValues!E:E,0)),"N/A")</f>
        <v>15241</v>
      </c>
      <c r="B1178" s="4" t="s">
        <v>546</v>
      </c>
      <c r="C1178" s="4" t="s">
        <v>283</v>
      </c>
      <c r="D1178" s="94">
        <v>2797.0</v>
      </c>
    </row>
    <row r="1179">
      <c r="A1179" s="40">
        <f t="array" ref="A1179">IFNA(index(PlayerValues!A:A,match(IFNA(vlookup(B1179,'Special Names'!A:B,2,FALSE),B1179),PlayerValues!E:E,0)),"N/A")</f>
        <v>16649</v>
      </c>
      <c r="B1179" s="4" t="s">
        <v>586</v>
      </c>
      <c r="C1179" s="4" t="s">
        <v>298</v>
      </c>
      <c r="D1179" s="94">
        <v>3215.0</v>
      </c>
    </row>
    <row r="1180">
      <c r="A1180" s="40">
        <f t="array" ref="A1180">IFNA(index(PlayerValues!A:A,match(IFNA(vlookup(B1180,'Special Names'!A:B,2,FALSE),B1180),PlayerValues!E:E,0)),"N/A")</f>
        <v>14071</v>
      </c>
      <c r="B1180" s="4" t="s">
        <v>440</v>
      </c>
      <c r="C1180" s="4" t="s">
        <v>278</v>
      </c>
      <c r="D1180" s="94">
        <v>2791.0</v>
      </c>
    </row>
    <row r="1181">
      <c r="A1181" s="40">
        <f t="array" ref="A1181">IFNA(index(PlayerValues!A:A,match(IFNA(vlookup(B1181,'Special Names'!A:B,2,FALSE),B1181),PlayerValues!E:E,0)),"N/A")</f>
        <v>17080</v>
      </c>
      <c r="B1181" s="4" t="s">
        <v>532</v>
      </c>
      <c r="C1181" s="4" t="s">
        <v>287</v>
      </c>
      <c r="D1181" s="94">
        <v>2782.0</v>
      </c>
    </row>
    <row r="1182">
      <c r="A1182" s="40">
        <f t="array" ref="A1182">IFNA(index(PlayerValues!A:A,match(IFNA(vlookup(B1182,'Special Names'!A:B,2,FALSE),B1182),PlayerValues!E:E,0)),"N/A")</f>
        <v>16626</v>
      </c>
      <c r="B1182" s="4" t="s">
        <v>515</v>
      </c>
      <c r="C1182" s="4" t="s">
        <v>287</v>
      </c>
      <c r="D1182" s="94">
        <v>2766.0</v>
      </c>
    </row>
    <row r="1183">
      <c r="A1183" s="40">
        <f t="array" ref="A1183">IFNA(index(PlayerValues!A:A,match(IFNA(vlookup(B1183,'Special Names'!A:B,2,FALSE),B1183),PlayerValues!E:E,0)),"N/A")</f>
        <v>13163</v>
      </c>
      <c r="B1183" s="4" t="s">
        <v>473</v>
      </c>
      <c r="C1183" s="4" t="s">
        <v>287</v>
      </c>
      <c r="D1183" s="94">
        <v>2764.0</v>
      </c>
    </row>
    <row r="1184">
      <c r="A1184" s="40">
        <f t="array" ref="A1184">IFNA(index(PlayerValues!A:A,match(IFNA(vlookup(B1184,'Special Names'!A:B,2,FALSE),B1184),PlayerValues!E:E,0)),"N/A")</f>
        <v>14800</v>
      </c>
      <c r="B1184" s="4" t="s">
        <v>472</v>
      </c>
      <c r="C1184" s="4" t="s">
        <v>278</v>
      </c>
      <c r="D1184" s="94">
        <v>2759.0</v>
      </c>
    </row>
    <row r="1185">
      <c r="A1185" s="40">
        <f t="array" ref="A1185">IFNA(index(PlayerValues!A:A,match(IFNA(vlookup(B1185,'Special Names'!A:B,2,FALSE),B1185),PlayerValues!E:E,0)),"N/A")</f>
        <v>17098</v>
      </c>
      <c r="B1185" s="4" t="s">
        <v>533</v>
      </c>
      <c r="C1185" s="4" t="s">
        <v>287</v>
      </c>
      <c r="D1185" s="94">
        <v>2742.0</v>
      </c>
    </row>
    <row r="1186">
      <c r="A1186" s="40">
        <f t="array" ref="A1186">IFNA(index(PlayerValues!A:A,match(IFNA(vlookup(B1186,'Special Names'!A:B,2,FALSE),B1186),PlayerValues!E:E,0)),"N/A")</f>
        <v>16747</v>
      </c>
      <c r="B1186" s="4" t="s">
        <v>555</v>
      </c>
      <c r="C1186" s="4" t="s">
        <v>278</v>
      </c>
      <c r="D1186" s="94">
        <v>2738.0</v>
      </c>
    </row>
    <row r="1187">
      <c r="A1187" s="40">
        <f t="array" ref="A1187">IFNA(index(PlayerValues!A:A,match(IFNA(vlookup(B1187,'Special Names'!A:B,2,FALSE),B1187),PlayerValues!E:E,0)),"N/A")</f>
        <v>17047</v>
      </c>
      <c r="B1187" s="4" t="s">
        <v>510</v>
      </c>
      <c r="C1187" s="4" t="s">
        <v>278</v>
      </c>
      <c r="D1187" s="94">
        <v>2724.0</v>
      </c>
    </row>
    <row r="1188">
      <c r="A1188" s="40">
        <f t="array" ref="A1188">IFNA(index(PlayerValues!A:A,match(IFNA(vlookup(B1188,'Special Names'!A:B,2,FALSE),B1188),PlayerValues!E:E,0)),"N/A")</f>
        <v>14840</v>
      </c>
      <c r="B1188" s="4" t="s">
        <v>731</v>
      </c>
      <c r="C1188" s="4" t="s">
        <v>287</v>
      </c>
      <c r="D1188" s="94">
        <v>2693.0</v>
      </c>
    </row>
    <row r="1189">
      <c r="A1189" s="40">
        <f t="array" ref="A1189">IFNA(index(PlayerValues!A:A,match(IFNA(vlookup(B1189,'Special Names'!A:B,2,FALSE),B1189),PlayerValues!E:E,0)),"N/A")</f>
        <v>16597</v>
      </c>
      <c r="B1189" s="4" t="s">
        <v>427</v>
      </c>
      <c r="C1189" s="4" t="s">
        <v>278</v>
      </c>
      <c r="D1189" s="94">
        <v>2692.0</v>
      </c>
    </row>
    <row r="1190">
      <c r="A1190" s="40">
        <f t="array" ref="A1190">IFNA(index(PlayerValues!A:A,match(IFNA(vlookup(B1190,'Special Names'!A:B,2,FALSE),B1190),PlayerValues!E:E,0)),"N/A")</f>
        <v>14085</v>
      </c>
      <c r="B1190" s="4" t="s">
        <v>489</v>
      </c>
      <c r="C1190" s="4" t="s">
        <v>278</v>
      </c>
      <c r="D1190" s="94">
        <v>2685.0</v>
      </c>
    </row>
    <row r="1191">
      <c r="A1191" s="40">
        <f t="array" ref="A1191">IFNA(index(PlayerValues!A:A,match(IFNA(vlookup(B1191,'Special Names'!A:B,2,FALSE),B1191),PlayerValues!E:E,0)),"N/A")</f>
        <v>17048</v>
      </c>
      <c r="B1191" s="4" t="s">
        <v>539</v>
      </c>
      <c r="C1191" s="4" t="s">
        <v>278</v>
      </c>
      <c r="D1191" s="94">
        <v>2683.0</v>
      </c>
    </row>
    <row r="1192">
      <c r="A1192" s="40">
        <f t="array" ref="A1192">IFNA(index(PlayerValues!A:A,match(IFNA(vlookup(B1192,'Special Names'!A:B,2,FALSE),B1192),PlayerValues!E:E,0)),"N/A")</f>
        <v>17505</v>
      </c>
      <c r="B1192" s="4" t="s">
        <v>528</v>
      </c>
      <c r="C1192" s="4" t="s">
        <v>287</v>
      </c>
      <c r="D1192" s="94">
        <v>2675.0</v>
      </c>
    </row>
    <row r="1193">
      <c r="A1193" s="40">
        <f t="array" ref="A1193">IFNA(index(PlayerValues!A:A,match(IFNA(vlookup(B1193,'Special Names'!A:B,2,FALSE),B1193),PlayerValues!E:E,0)),"N/A")</f>
        <v>17507</v>
      </c>
      <c r="B1193" s="4" t="s">
        <v>495</v>
      </c>
      <c r="C1193" s="4" t="s">
        <v>287</v>
      </c>
      <c r="D1193" s="94">
        <v>2661.0</v>
      </c>
    </row>
    <row r="1194">
      <c r="A1194" s="40">
        <f t="array" ref="A1194">IFNA(index(PlayerValues!A:A,match(IFNA(vlookup(B1194,'Special Names'!A:B,2,FALSE),B1194),PlayerValues!E:E,0)),"N/A")</f>
        <v>14833</v>
      </c>
      <c r="B1194" s="4" t="s">
        <v>553</v>
      </c>
      <c r="C1194" s="4" t="s">
        <v>287</v>
      </c>
      <c r="D1194" s="94">
        <v>2647.0</v>
      </c>
    </row>
    <row r="1195">
      <c r="A1195" s="40">
        <f t="array" ref="A1195">IFNA(index(PlayerValues!A:A,match(IFNA(vlookup(B1195,'Special Names'!A:B,2,FALSE),B1195),PlayerValues!E:E,0)),"N/A")</f>
        <v>12186</v>
      </c>
      <c r="B1195" s="4" t="s">
        <v>497</v>
      </c>
      <c r="C1195" s="4" t="s">
        <v>287</v>
      </c>
      <c r="D1195" s="94">
        <v>2628.0</v>
      </c>
    </row>
    <row r="1196">
      <c r="A1196" s="40" t="str">
        <f t="array" ref="A1196">IFNA(index(PlayerValues!A:A,match(IFNA(vlookup(B1196,'Special Names'!A:B,2,FALSE),B1196),PlayerValues!E:E,0)),"N/A")</f>
        <v>N/A</v>
      </c>
      <c r="B1196" s="4" t="s">
        <v>110</v>
      </c>
      <c r="C1196" s="4" t="s">
        <v>325</v>
      </c>
      <c r="D1196" s="94">
        <v>2627.0</v>
      </c>
    </row>
    <row r="1197">
      <c r="A1197" s="40">
        <f t="array" ref="A1197">IFNA(index(PlayerValues!A:A,match(IFNA(vlookup(B1197,'Special Names'!A:B,2,FALSE),B1197),PlayerValues!E:E,0)),"N/A")</f>
        <v>14778</v>
      </c>
      <c r="B1197" s="4" t="s">
        <v>564</v>
      </c>
      <c r="C1197" s="4" t="s">
        <v>283</v>
      </c>
      <c r="D1197" s="94">
        <v>2626.0</v>
      </c>
    </row>
    <row r="1198">
      <c r="A1198" s="40">
        <f t="array" ref="A1198">IFNA(index(PlayerValues!A:A,match(IFNA(vlookup(B1198,'Special Names'!A:B,2,FALSE),B1198),PlayerValues!E:E,0)),"N/A")</f>
        <v>17046</v>
      </c>
      <c r="B1198" s="4" t="s">
        <v>602</v>
      </c>
      <c r="C1198" s="4" t="s">
        <v>278</v>
      </c>
      <c r="D1198" s="94">
        <v>2621.0</v>
      </c>
    </row>
    <row r="1199">
      <c r="A1199" s="40">
        <f t="array" ref="A1199">IFNA(index(PlayerValues!A:A,match(IFNA(vlookup(B1199,'Special Names'!A:B,2,FALSE),B1199),PlayerValues!E:E,0)),"N/A")</f>
        <v>16757</v>
      </c>
      <c r="B1199" s="4" t="s">
        <v>558</v>
      </c>
      <c r="C1199" s="4" t="s">
        <v>278</v>
      </c>
      <c r="D1199" s="94">
        <v>2611.0</v>
      </c>
    </row>
    <row r="1200">
      <c r="A1200" s="40">
        <f t="array" ref="A1200">IFNA(index(PlayerValues!A:A,match(IFNA(vlookup(B1200,'Special Names'!A:B,2,FALSE),B1200),PlayerValues!E:E,0)),"N/A")</f>
        <v>14138</v>
      </c>
      <c r="B1200" s="4" t="s">
        <v>531</v>
      </c>
      <c r="C1200" s="4" t="s">
        <v>298</v>
      </c>
      <c r="D1200" s="94">
        <v>3020.0</v>
      </c>
    </row>
    <row r="1201">
      <c r="A1201" s="40">
        <f t="array" ref="A1201">IFNA(index(PlayerValues!A:A,match(IFNA(vlookup(B1201,'Special Names'!A:B,2,FALSE),B1201),PlayerValues!E:E,0)),"N/A")</f>
        <v>13674</v>
      </c>
      <c r="B1201" s="4" t="s">
        <v>511</v>
      </c>
      <c r="C1201" s="4" t="s">
        <v>298</v>
      </c>
      <c r="D1201" s="94">
        <v>3014.0</v>
      </c>
    </row>
    <row r="1202">
      <c r="A1202" s="40">
        <f t="array" ref="A1202">IFNA(index(PlayerValues!A:A,match(IFNA(vlookup(B1202,'Special Names'!A:B,2,FALSE),B1202),PlayerValues!E:E,0)),"N/A")</f>
        <v>15721</v>
      </c>
      <c r="B1202" s="4" t="s">
        <v>504</v>
      </c>
      <c r="C1202" s="4" t="s">
        <v>278</v>
      </c>
      <c r="D1202" s="94">
        <v>2585.0</v>
      </c>
    </row>
    <row r="1203">
      <c r="A1203" s="40" t="str">
        <f t="array" ref="A1203">IFNA(index(PlayerValues!A:A,match(IFNA(vlookup(B1203,'Special Names'!A:B,2,FALSE),B1203),PlayerValues!E:E,0)),"N/A")</f>
        <v>N/A</v>
      </c>
      <c r="B1203" s="4" t="s">
        <v>557</v>
      </c>
      <c r="C1203" s="4" t="s">
        <v>278</v>
      </c>
      <c r="D1203" s="94">
        <v>2579.0</v>
      </c>
    </row>
    <row r="1204">
      <c r="A1204" s="40">
        <f t="array" ref="A1204">IFNA(index(PlayerValues!A:A,match(IFNA(vlookup(B1204,'Special Names'!A:B,2,FALSE),B1204),PlayerValues!E:E,0)),"N/A")</f>
        <v>17108</v>
      </c>
      <c r="B1204" s="4" t="s">
        <v>542</v>
      </c>
      <c r="C1204" s="4" t="s">
        <v>298</v>
      </c>
      <c r="D1204" s="94">
        <v>2988.0</v>
      </c>
    </row>
    <row r="1205">
      <c r="A1205" s="40">
        <f t="array" ref="A1205">IFNA(index(PlayerValues!A:A,match(IFNA(vlookup(B1205,'Special Names'!A:B,2,FALSE),B1205),PlayerValues!E:E,0)),"N/A")</f>
        <v>13192</v>
      </c>
      <c r="B1205" s="4" t="s">
        <v>563</v>
      </c>
      <c r="C1205" s="4" t="s">
        <v>298</v>
      </c>
      <c r="D1205" s="94">
        <v>2964.0</v>
      </c>
    </row>
    <row r="1206">
      <c r="A1206" s="40">
        <f t="array" ref="A1206">IFNA(index(PlayerValues!A:A,match(IFNA(vlookup(B1206,'Special Names'!A:B,2,FALSE),B1206),PlayerValues!E:E,0)),"N/A")</f>
        <v>16287</v>
      </c>
      <c r="B1206" s="4" t="s">
        <v>516</v>
      </c>
      <c r="C1206" s="4" t="s">
        <v>287</v>
      </c>
      <c r="D1206" s="94">
        <v>2541.0</v>
      </c>
    </row>
    <row r="1207">
      <c r="A1207" s="40">
        <f t="array" ref="A1207">IFNA(index(PlayerValues!A:A,match(IFNA(vlookup(B1207,'Special Names'!A:B,2,FALSE),B1207),PlayerValues!E:E,0)),"N/A")</f>
        <v>17464</v>
      </c>
      <c r="B1207" s="4" t="s">
        <v>828</v>
      </c>
      <c r="C1207" s="4" t="s">
        <v>283</v>
      </c>
      <c r="D1207" s="94">
        <v>2540.0</v>
      </c>
    </row>
    <row r="1208">
      <c r="A1208" s="40">
        <f t="array" ref="A1208">IFNA(index(PlayerValues!A:A,match(IFNA(vlookup(B1208,'Special Names'!A:B,2,FALSE),B1208),PlayerValues!E:E,0)),"N/A")</f>
        <v>16166</v>
      </c>
      <c r="B1208" s="4" t="s">
        <v>567</v>
      </c>
      <c r="C1208" s="4" t="s">
        <v>278</v>
      </c>
      <c r="D1208" s="94">
        <v>2537.0</v>
      </c>
    </row>
    <row r="1209">
      <c r="A1209" s="40">
        <f t="array" ref="A1209">IFNA(index(PlayerValues!A:A,match(IFNA(vlookup(B1209,'Special Names'!A:B,2,FALSE),B1209),PlayerValues!E:E,0)),"N/A")</f>
        <v>14136</v>
      </c>
      <c r="B1209" s="4" t="s">
        <v>536</v>
      </c>
      <c r="C1209" s="4" t="s">
        <v>287</v>
      </c>
      <c r="D1209" s="94">
        <v>2532.0</v>
      </c>
    </row>
    <row r="1210">
      <c r="A1210" s="40">
        <f t="array" ref="A1210">IFNA(index(PlayerValues!A:A,match(IFNA(vlookup(B1210,'Special Names'!A:B,2,FALSE),B1210),PlayerValues!E:E,0)),"N/A")</f>
        <v>13671</v>
      </c>
      <c r="B1210" s="4" t="s">
        <v>506</v>
      </c>
      <c r="C1210" s="4" t="s">
        <v>298</v>
      </c>
      <c r="D1210" s="94">
        <v>2939.0</v>
      </c>
    </row>
    <row r="1211">
      <c r="A1211" s="40">
        <f t="array" ref="A1211">IFNA(index(PlayerValues!A:A,match(IFNA(vlookup(B1211,'Special Names'!A:B,2,FALSE),B1211),PlayerValues!E:E,0)),"N/A")</f>
        <v>17078</v>
      </c>
      <c r="B1211" s="4" t="s">
        <v>543</v>
      </c>
      <c r="C1211" s="4" t="s">
        <v>287</v>
      </c>
      <c r="D1211" s="94">
        <v>2489.0</v>
      </c>
    </row>
    <row r="1212">
      <c r="A1212" s="40">
        <f t="array" ref="A1212">IFNA(index(PlayerValues!A:A,match(IFNA(vlookup(B1212,'Special Names'!A:B,2,FALSE),B1212),PlayerValues!E:E,0)),"N/A")</f>
        <v>15972</v>
      </c>
      <c r="B1212" s="4" t="s">
        <v>469</v>
      </c>
      <c r="C1212" s="4" t="s">
        <v>278</v>
      </c>
      <c r="D1212" s="94">
        <v>2485.0</v>
      </c>
    </row>
    <row r="1213">
      <c r="A1213" s="40">
        <f t="array" ref="A1213">IFNA(index(PlayerValues!A:A,match(IFNA(vlookup(B1213,'Special Names'!A:B,2,FALSE),B1213),PlayerValues!E:E,0)),"N/A")</f>
        <v>17509</v>
      </c>
      <c r="B1213" s="4" t="s">
        <v>551</v>
      </c>
      <c r="C1213" s="4" t="s">
        <v>287</v>
      </c>
      <c r="D1213" s="94">
        <v>2482.0</v>
      </c>
    </row>
    <row r="1214">
      <c r="A1214" s="40">
        <f t="array" ref="A1214">IFNA(index(PlayerValues!A:A,match(IFNA(vlookup(B1214,'Special Names'!A:B,2,FALSE),B1214),PlayerValues!E:E,0)),"N/A")</f>
        <v>17474</v>
      </c>
      <c r="B1214" s="4" t="s">
        <v>513</v>
      </c>
      <c r="C1214" s="4" t="s">
        <v>278</v>
      </c>
      <c r="D1214" s="94">
        <v>2474.0</v>
      </c>
    </row>
    <row r="1215">
      <c r="A1215" s="40">
        <f t="array" ref="A1215">IFNA(index(PlayerValues!A:A,match(IFNA(vlookup(B1215,'Special Names'!A:B,2,FALSE),B1215),PlayerValues!E:E,0)),"N/A")</f>
        <v>16164</v>
      </c>
      <c r="B1215" s="4" t="s">
        <v>512</v>
      </c>
      <c r="C1215" s="4" t="s">
        <v>278</v>
      </c>
      <c r="D1215" s="94">
        <v>2474.0</v>
      </c>
    </row>
    <row r="1216">
      <c r="A1216" s="40">
        <f t="array" ref="A1216">IFNA(index(PlayerValues!A:A,match(IFNA(vlookup(B1216,'Special Names'!A:B,2,FALSE),B1216),PlayerValues!E:E,0)),"N/A")</f>
        <v>16617</v>
      </c>
      <c r="B1216" s="4" t="s">
        <v>541</v>
      </c>
      <c r="C1216" s="4" t="s">
        <v>287</v>
      </c>
      <c r="D1216" s="94">
        <v>2470.0</v>
      </c>
    </row>
    <row r="1217">
      <c r="A1217" s="40">
        <f t="array" ref="A1217">IFNA(index(PlayerValues!A:A,match(IFNA(vlookup(B1217,'Special Names'!A:B,2,FALSE),B1217),PlayerValues!E:E,0)),"N/A")</f>
        <v>16189</v>
      </c>
      <c r="B1217" s="4" t="s">
        <v>582</v>
      </c>
      <c r="C1217" s="4" t="s">
        <v>287</v>
      </c>
      <c r="D1217" s="94">
        <v>2468.0</v>
      </c>
    </row>
    <row r="1218">
      <c r="A1218" s="40" t="str">
        <f t="array" ref="A1218">IFNA(index(PlayerValues!A:A,match(IFNA(vlookup(B1218,'Special Names'!A:B,2,FALSE),B1218),PlayerValues!E:E,0)),"N/A")</f>
        <v>N/A</v>
      </c>
      <c r="B1218" s="4" t="s">
        <v>98</v>
      </c>
      <c r="C1218" s="4" t="s">
        <v>325</v>
      </c>
      <c r="D1218" s="94">
        <v>2453.0</v>
      </c>
    </row>
    <row r="1219">
      <c r="A1219" s="40">
        <f t="array" ref="A1219">IFNA(index(PlayerValues!A:A,match(IFNA(vlookup(B1219,'Special Names'!A:B,2,FALSE),B1219),PlayerValues!E:E,0)),"N/A")</f>
        <v>16152</v>
      </c>
      <c r="B1219" s="4" t="s">
        <v>601</v>
      </c>
      <c r="C1219" s="4" t="s">
        <v>283</v>
      </c>
      <c r="D1219" s="94">
        <v>2430.0</v>
      </c>
    </row>
    <row r="1220">
      <c r="A1220" s="40">
        <f t="array" ref="A1220">IFNA(index(PlayerValues!A:A,match(IFNA(vlookup(B1220,'Special Names'!A:B,2,FALSE),B1220),PlayerValues!E:E,0)),"N/A")</f>
        <v>12616</v>
      </c>
      <c r="B1220" s="4" t="s">
        <v>529</v>
      </c>
      <c r="C1220" s="4" t="s">
        <v>283</v>
      </c>
      <c r="D1220" s="94">
        <v>2427.0</v>
      </c>
    </row>
    <row r="1221">
      <c r="A1221" s="40">
        <f t="array" ref="A1221">IFNA(index(PlayerValues!A:A,match(IFNA(vlookup(B1221,'Special Names'!A:B,2,FALSE),B1221),PlayerValues!E:E,0)),"N/A")</f>
        <v>16204</v>
      </c>
      <c r="B1221" s="4" t="s">
        <v>530</v>
      </c>
      <c r="C1221" s="4" t="s">
        <v>287</v>
      </c>
      <c r="D1221" s="94">
        <v>2411.0</v>
      </c>
    </row>
    <row r="1222">
      <c r="A1222" s="40">
        <f t="array" ref="A1222">IFNA(index(PlayerValues!A:A,match(IFNA(vlookup(B1222,'Special Names'!A:B,2,FALSE),B1222),PlayerValues!E:E,0)),"N/A")</f>
        <v>17506</v>
      </c>
      <c r="B1222" s="4" t="s">
        <v>471</v>
      </c>
      <c r="C1222" s="4" t="s">
        <v>287</v>
      </c>
      <c r="D1222" s="94">
        <v>2398.0</v>
      </c>
    </row>
    <row r="1223">
      <c r="A1223" s="40">
        <f t="array" ref="A1223">IFNA(index(PlayerValues!A:A,match(IFNA(vlookup(B1223,'Special Names'!A:B,2,FALSE),B1223),PlayerValues!E:E,0)),"N/A")</f>
        <v>12676</v>
      </c>
      <c r="B1223" s="4" t="s">
        <v>537</v>
      </c>
      <c r="C1223" s="4" t="s">
        <v>298</v>
      </c>
      <c r="D1223" s="94">
        <v>2792.0</v>
      </c>
    </row>
    <row r="1224">
      <c r="A1224" s="40">
        <f t="array" ref="A1224">IFNA(index(PlayerValues!A:A,match(IFNA(vlookup(B1224,'Special Names'!A:B,2,FALSE),B1224),PlayerValues!E:E,0)),"N/A")</f>
        <v>17033</v>
      </c>
      <c r="B1224" s="4" t="s">
        <v>570</v>
      </c>
      <c r="C1224" s="4" t="s">
        <v>283</v>
      </c>
      <c r="D1224" s="94">
        <v>2383.0</v>
      </c>
    </row>
    <row r="1225">
      <c r="A1225" s="40" t="str">
        <f t="array" ref="A1225">IFNA(index(PlayerValues!A:A,match(IFNA(vlookup(B1225,'Special Names'!A:B,2,FALSE),B1225),PlayerValues!E:E,0)),"N/A")</f>
        <v>N/A</v>
      </c>
      <c r="B1225" s="4" t="s">
        <v>86</v>
      </c>
      <c r="C1225" s="4" t="s">
        <v>325</v>
      </c>
      <c r="D1225" s="94">
        <v>2364.0</v>
      </c>
    </row>
    <row r="1226">
      <c r="A1226" s="40">
        <f t="array" ref="A1226">IFNA(index(PlayerValues!A:A,match(IFNA(vlookup(B1226,'Special Names'!A:B,2,FALSE),B1226),PlayerValues!E:E,0)),"N/A")</f>
        <v>16610</v>
      </c>
      <c r="B1226" s="4" t="s">
        <v>562</v>
      </c>
      <c r="C1226" s="4" t="s">
        <v>278</v>
      </c>
      <c r="D1226" s="94">
        <v>2358.0</v>
      </c>
    </row>
    <row r="1227">
      <c r="A1227" s="40">
        <f t="array" ref="A1227">IFNA(index(PlayerValues!A:A,match(IFNA(vlookup(B1227,'Special Names'!A:B,2,FALSE),B1227),PlayerValues!E:E,0)),"N/A")</f>
        <v>15716</v>
      </c>
      <c r="B1227" s="4" t="s">
        <v>545</v>
      </c>
      <c r="C1227" s="4" t="s">
        <v>278</v>
      </c>
      <c r="D1227" s="94">
        <v>2355.0</v>
      </c>
    </row>
    <row r="1228">
      <c r="A1228" s="40">
        <f t="array" ref="A1228">IFNA(index(PlayerValues!A:A,match(IFNA(vlookup(B1228,'Special Names'!A:B,2,FALSE),B1228),PlayerValues!E:E,0)),"N/A")</f>
        <v>14861</v>
      </c>
      <c r="B1228" s="4" t="s">
        <v>523</v>
      </c>
      <c r="C1228" s="4" t="s">
        <v>298</v>
      </c>
      <c r="D1228" s="94">
        <v>2746.0</v>
      </c>
    </row>
    <row r="1229">
      <c r="A1229" s="40">
        <f t="array" ref="A1229">IFNA(index(PlayerValues!A:A,match(IFNA(vlookup(B1229,'Special Names'!A:B,2,FALSE),B1229),PlayerValues!E:E,0)),"N/A")</f>
        <v>13132</v>
      </c>
      <c r="B1229" s="4" t="s">
        <v>598</v>
      </c>
      <c r="C1229" s="4" t="s">
        <v>278</v>
      </c>
      <c r="D1229" s="94">
        <v>2346.0</v>
      </c>
    </row>
    <row r="1230">
      <c r="A1230" s="40">
        <f t="array" ref="A1230">IFNA(index(PlayerValues!A:A,match(IFNA(vlookup(B1230,'Special Names'!A:B,2,FALSE),B1230),PlayerValues!E:E,0)),"N/A")</f>
        <v>13772</v>
      </c>
      <c r="B1230" s="4" t="s">
        <v>544</v>
      </c>
      <c r="C1230" s="4" t="s">
        <v>298</v>
      </c>
      <c r="D1230" s="94">
        <v>2742.0</v>
      </c>
    </row>
    <row r="1231">
      <c r="A1231" s="40">
        <f t="array" ref="A1231">IFNA(index(PlayerValues!A:A,match(IFNA(vlookup(B1231,'Special Names'!A:B,2,FALSE),B1231),PlayerValues!E:E,0)),"N/A")</f>
        <v>16178</v>
      </c>
      <c r="B1231" s="4" t="s">
        <v>507</v>
      </c>
      <c r="C1231" s="4" t="s">
        <v>278</v>
      </c>
      <c r="D1231" s="94">
        <v>2339.0</v>
      </c>
    </row>
    <row r="1232">
      <c r="A1232" s="40">
        <f t="array" ref="A1232">IFNA(index(PlayerValues!A:A,match(IFNA(vlookup(B1232,'Special Names'!A:B,2,FALSE),B1232),PlayerValues!E:E,0)),"N/A")</f>
        <v>17079</v>
      </c>
      <c r="B1232" s="4" t="s">
        <v>572</v>
      </c>
      <c r="C1232" s="4" t="s">
        <v>287</v>
      </c>
      <c r="D1232" s="94">
        <v>2334.0</v>
      </c>
    </row>
    <row r="1233">
      <c r="A1233" s="40">
        <f t="array" ref="A1233">IFNA(index(PlayerValues!A:A,match(IFNA(vlookup(B1233,'Special Names'!A:B,2,FALSE),B1233),PlayerValues!E:E,0)),"N/A")</f>
        <v>17105</v>
      </c>
      <c r="B1233" s="4" t="s">
        <v>525</v>
      </c>
      <c r="C1233" s="4" t="s">
        <v>298</v>
      </c>
      <c r="D1233" s="94">
        <v>2733.0</v>
      </c>
    </row>
    <row r="1234">
      <c r="A1234" s="40" t="str">
        <f t="array" ref="A1234">IFNA(index(PlayerValues!A:A,match(IFNA(vlookup(B1234,'Special Names'!A:B,2,FALSE),B1234),PlayerValues!E:E,0)),"N/A")</f>
        <v>N/A</v>
      </c>
      <c r="B1234" s="4" t="s">
        <v>99</v>
      </c>
      <c r="C1234" s="4" t="s">
        <v>325</v>
      </c>
      <c r="D1234" s="94">
        <v>2325.0</v>
      </c>
    </row>
    <row r="1235">
      <c r="A1235" s="40">
        <f t="array" ref="A1235">IFNA(index(PlayerValues!A:A,match(IFNA(vlookup(B1235,'Special Names'!A:B,2,FALSE),B1235),PlayerValues!E:E,0)),"N/A")</f>
        <v>15802</v>
      </c>
      <c r="B1235" s="4" t="s">
        <v>566</v>
      </c>
      <c r="C1235" s="4" t="s">
        <v>298</v>
      </c>
      <c r="D1235" s="94">
        <v>2722.0</v>
      </c>
    </row>
    <row r="1236">
      <c r="A1236" s="40">
        <f t="array" ref="A1236">IFNA(index(PlayerValues!A:A,match(IFNA(vlookup(B1236,'Special Names'!A:B,2,FALSE),B1236),PlayerValues!E:E,0)),"N/A")</f>
        <v>17049</v>
      </c>
      <c r="B1236" s="4" t="s">
        <v>624</v>
      </c>
      <c r="C1236" s="4" t="s">
        <v>278</v>
      </c>
      <c r="D1236" s="94">
        <v>2307.0</v>
      </c>
    </row>
    <row r="1237">
      <c r="A1237" s="40">
        <f t="array" ref="A1237">IFNA(index(PlayerValues!A:A,match(IFNA(vlookup(B1237,'Special Names'!A:B,2,FALSE),B1237),PlayerValues!E:E,0)),"N/A")</f>
        <v>12801</v>
      </c>
      <c r="B1237" s="4" t="s">
        <v>722</v>
      </c>
      <c r="C1237" s="4" t="s">
        <v>287</v>
      </c>
      <c r="D1237" s="94">
        <v>2303.0</v>
      </c>
    </row>
    <row r="1238">
      <c r="A1238" s="40">
        <f t="array" ref="A1238">IFNA(index(PlayerValues!A:A,match(IFNA(vlookup(B1238,'Special Names'!A:B,2,FALSE),B1238),PlayerValues!E:E,0)),"N/A")</f>
        <v>16212</v>
      </c>
      <c r="B1238" s="4" t="s">
        <v>568</v>
      </c>
      <c r="C1238" s="4" t="s">
        <v>298</v>
      </c>
      <c r="D1238" s="94">
        <v>2686.0</v>
      </c>
    </row>
    <row r="1239">
      <c r="A1239" s="40">
        <f t="array" ref="A1239">IFNA(index(PlayerValues!A:A,match(IFNA(vlookup(B1239,'Special Names'!A:B,2,FALSE),B1239),PlayerValues!E:E,0)),"N/A")</f>
        <v>16171</v>
      </c>
      <c r="B1239" s="4" t="s">
        <v>618</v>
      </c>
      <c r="C1239" s="4" t="s">
        <v>278</v>
      </c>
      <c r="D1239" s="94">
        <v>2282.0</v>
      </c>
    </row>
    <row r="1240">
      <c r="A1240" s="40">
        <f t="array" ref="A1240">IFNA(index(PlayerValues!A:A,match(IFNA(vlookup(B1240,'Special Names'!A:B,2,FALSE),B1240),PlayerValues!E:E,0)),"N/A")</f>
        <v>17076</v>
      </c>
      <c r="B1240" s="4" t="s">
        <v>585</v>
      </c>
      <c r="C1240" s="4" t="s">
        <v>287</v>
      </c>
      <c r="D1240" s="94">
        <v>2250.0</v>
      </c>
    </row>
    <row r="1241">
      <c r="A1241" s="40">
        <f t="array" ref="A1241">IFNA(index(PlayerValues!A:A,match(IFNA(vlookup(B1241,'Special Names'!A:B,2,FALSE),B1241),PlayerValues!E:E,0)),"N/A")</f>
        <v>16195</v>
      </c>
      <c r="B1241" s="4" t="s">
        <v>509</v>
      </c>
      <c r="C1241" s="4" t="s">
        <v>287</v>
      </c>
      <c r="D1241" s="94">
        <v>2232.0</v>
      </c>
    </row>
    <row r="1242">
      <c r="A1242" s="40">
        <f t="array" ref="A1242">IFNA(index(PlayerValues!A:A,match(IFNA(vlookup(B1242,'Special Names'!A:B,2,FALSE),B1242),PlayerValues!E:E,0)),"N/A")</f>
        <v>16342</v>
      </c>
      <c r="B1242" s="4" t="s">
        <v>583</v>
      </c>
      <c r="C1242" s="4" t="s">
        <v>287</v>
      </c>
      <c r="D1242" s="94">
        <v>2225.0</v>
      </c>
    </row>
    <row r="1243">
      <c r="A1243" s="40">
        <f t="array" ref="A1243">IFNA(index(PlayerValues!A:A,match(IFNA(vlookup(B1243,'Special Names'!A:B,2,FALSE),B1243),PlayerValues!E:E,0)),"N/A")</f>
        <v>17478</v>
      </c>
      <c r="B1243" s="4" t="s">
        <v>527</v>
      </c>
      <c r="C1243" s="4" t="s">
        <v>278</v>
      </c>
      <c r="D1243" s="94">
        <v>2215.0</v>
      </c>
    </row>
    <row r="1244">
      <c r="A1244" s="40">
        <f t="array" ref="A1244">IFNA(index(PlayerValues!A:A,match(IFNA(vlookup(B1244,'Special Names'!A:B,2,FALSE),B1244),PlayerValues!E:E,0)),"N/A")</f>
        <v>17544</v>
      </c>
      <c r="B1244" s="4" t="s">
        <v>470</v>
      </c>
      <c r="C1244" s="4" t="s">
        <v>298</v>
      </c>
      <c r="D1244" s="94">
        <v>2605.0</v>
      </c>
    </row>
    <row r="1245">
      <c r="A1245" s="40">
        <f t="array" ref="A1245">IFNA(index(PlayerValues!A:A,match(IFNA(vlookup(B1245,'Special Names'!A:B,2,FALSE),B1245),PlayerValues!E:E,0)),"N/A")</f>
        <v>16639</v>
      </c>
      <c r="B1245" s="4" t="s">
        <v>599</v>
      </c>
      <c r="C1245" s="4" t="s">
        <v>287</v>
      </c>
      <c r="D1245" s="94">
        <v>2207.0</v>
      </c>
    </row>
    <row r="1246">
      <c r="A1246" s="40">
        <f t="array" ref="A1246">IFNA(index(PlayerValues!A:A,match(IFNA(vlookup(B1246,'Special Names'!A:B,2,FALSE),B1246),PlayerValues!E:E,0)),"N/A")</f>
        <v>17034</v>
      </c>
      <c r="B1246" s="4" t="s">
        <v>643</v>
      </c>
      <c r="C1246" s="4" t="s">
        <v>283</v>
      </c>
      <c r="D1246" s="94">
        <v>2197.0</v>
      </c>
    </row>
    <row r="1247">
      <c r="A1247" s="40" t="str">
        <f t="array" ref="A1247">IFNA(index(PlayerValues!A:A,match(IFNA(vlookup(B1247,'Special Names'!A:B,2,FALSE),B1247),PlayerValues!E:E,0)),"N/A")</f>
        <v>N/A</v>
      </c>
      <c r="B1247" s="4" t="s">
        <v>100</v>
      </c>
      <c r="C1247" s="4" t="s">
        <v>325</v>
      </c>
      <c r="D1247" s="94">
        <v>2192.0</v>
      </c>
    </row>
    <row r="1248">
      <c r="A1248" s="40">
        <f t="array" ref="A1248">IFNA(index(PlayerValues!A:A,match(IFNA(vlookup(B1248,'Special Names'!A:B,2,FALSE),B1248),PlayerValues!E:E,0)),"N/A")</f>
        <v>13319</v>
      </c>
      <c r="B1248" s="4" t="s">
        <v>549</v>
      </c>
      <c r="C1248" s="4" t="s">
        <v>278</v>
      </c>
      <c r="D1248" s="94">
        <v>2190.0</v>
      </c>
    </row>
    <row r="1249">
      <c r="A1249" s="40" t="str">
        <f t="array" ref="A1249">IFNA(index(PlayerValues!A:A,match(IFNA(vlookup(B1249,'Special Names'!A:B,2,FALSE),B1249),PlayerValues!E:E,0)),"N/A")</f>
        <v>N/A</v>
      </c>
      <c r="B1249" s="4" t="s">
        <v>87</v>
      </c>
      <c r="C1249" s="4" t="s">
        <v>325</v>
      </c>
      <c r="D1249" s="94">
        <v>2189.0</v>
      </c>
    </row>
    <row r="1250">
      <c r="A1250" s="40">
        <f t="array" ref="A1250">IFNA(index(PlayerValues!A:A,match(IFNA(vlookup(B1250,'Special Names'!A:B,2,FALSE),B1250),PlayerValues!E:E,0)),"N/A")</f>
        <v>16036</v>
      </c>
      <c r="B1250" s="4" t="s">
        <v>592</v>
      </c>
      <c r="C1250" s="4" t="s">
        <v>298</v>
      </c>
      <c r="D1250" s="94">
        <v>2573.0</v>
      </c>
    </row>
    <row r="1251">
      <c r="A1251" s="40">
        <f t="array" ref="A1251">IFNA(index(PlayerValues!A:A,match(IFNA(vlookup(B1251,'Special Names'!A:B,2,FALSE),B1251),PlayerValues!E:E,0)),"N/A")</f>
        <v>17069</v>
      </c>
      <c r="B1251" s="4" t="s">
        <v>604</v>
      </c>
      <c r="C1251" s="4" t="s">
        <v>278</v>
      </c>
      <c r="D1251" s="94">
        <v>2176.0</v>
      </c>
    </row>
    <row r="1252">
      <c r="A1252" s="40">
        <f t="array" ref="A1252">IFNA(index(PlayerValues!A:A,match(IFNA(vlookup(B1252,'Special Names'!A:B,2,FALSE),B1252),PlayerValues!E:E,0)),"N/A")</f>
        <v>15889</v>
      </c>
      <c r="B1252" s="4" t="s">
        <v>503</v>
      </c>
      <c r="C1252" s="4" t="s">
        <v>298</v>
      </c>
      <c r="D1252" s="94">
        <v>2566.0</v>
      </c>
    </row>
    <row r="1253">
      <c r="A1253" s="40">
        <f t="array" ref="A1253">IFNA(index(PlayerValues!A:A,match(IFNA(vlookup(B1253,'Special Names'!A:B,2,FALSE),B1253),PlayerValues!E:E,0)),"N/A")</f>
        <v>16684</v>
      </c>
      <c r="B1253" s="4" t="s">
        <v>500</v>
      </c>
      <c r="C1253" s="4" t="s">
        <v>287</v>
      </c>
      <c r="D1253" s="94">
        <v>2173.0</v>
      </c>
    </row>
    <row r="1254">
      <c r="A1254" s="40">
        <f t="array" ref="A1254">IFNA(index(PlayerValues!A:A,match(IFNA(vlookup(B1254,'Special Names'!A:B,2,FALSE),B1254),PlayerValues!E:E,0)),"N/A")</f>
        <v>17503</v>
      </c>
      <c r="B1254" s="4" t="s">
        <v>480</v>
      </c>
      <c r="C1254" s="4" t="s">
        <v>287</v>
      </c>
      <c r="D1254" s="94">
        <v>2157.0</v>
      </c>
    </row>
    <row r="1255">
      <c r="A1255" s="40">
        <f t="array" ref="A1255">IFNA(index(PlayerValues!A:A,match(IFNA(vlookup(B1255,'Special Names'!A:B,2,FALSE),B1255),PlayerValues!E:E,0)),"N/A")</f>
        <v>15749</v>
      </c>
      <c r="B1255" s="4" t="s">
        <v>574</v>
      </c>
      <c r="C1255" s="4" t="s">
        <v>278</v>
      </c>
      <c r="D1255" s="94">
        <v>2137.0</v>
      </c>
    </row>
    <row r="1256">
      <c r="A1256" s="40">
        <f t="array" ref="A1256">IFNA(index(PlayerValues!A:A,match(IFNA(vlookup(B1256,'Special Names'!A:B,2,FALSE),B1256),PlayerValues!E:E,0)),"N/A")</f>
        <v>16752</v>
      </c>
      <c r="B1256" s="4" t="s">
        <v>597</v>
      </c>
      <c r="C1256" s="4" t="s">
        <v>278</v>
      </c>
      <c r="D1256" s="94">
        <v>2128.0</v>
      </c>
    </row>
    <row r="1257">
      <c r="A1257" s="40">
        <f t="array" ref="A1257">IFNA(index(PlayerValues!A:A,match(IFNA(vlookup(B1257,'Special Names'!A:B,2,FALSE),B1257),PlayerValues!E:E,0)),"N/A")</f>
        <v>14871</v>
      </c>
      <c r="B1257" s="4" t="s">
        <v>584</v>
      </c>
      <c r="C1257" s="4" t="s">
        <v>298</v>
      </c>
      <c r="D1257" s="94">
        <v>2513.0</v>
      </c>
    </row>
    <row r="1258">
      <c r="A1258" s="40" t="str">
        <f t="array" ref="A1258">IFNA(index(PlayerValues!A:A,match(IFNA(vlookup(B1258,'Special Names'!A:B,2,FALSE),B1258),PlayerValues!E:E,0)),"N/A")</f>
        <v>N/A</v>
      </c>
      <c r="B1258" s="4" t="s">
        <v>112</v>
      </c>
      <c r="C1258" s="4" t="s">
        <v>325</v>
      </c>
      <c r="D1258" s="94">
        <v>2121.0</v>
      </c>
    </row>
    <row r="1259">
      <c r="A1259" s="40">
        <f t="array" ref="A1259">IFNA(index(PlayerValues!A:A,match(IFNA(vlookup(B1259,'Special Names'!A:B,2,FALSE),B1259),PlayerValues!E:E,0)),"N/A")</f>
        <v>16191</v>
      </c>
      <c r="B1259" s="4" t="s">
        <v>666</v>
      </c>
      <c r="C1259" s="4" t="s">
        <v>287</v>
      </c>
      <c r="D1259" s="94">
        <v>2111.0</v>
      </c>
    </row>
    <row r="1260">
      <c r="A1260" s="40">
        <f t="array" ref="A1260">IFNA(index(PlayerValues!A:A,match(IFNA(vlookup(B1260,'Special Names'!A:B,2,FALSE),B1260),PlayerValues!E:E,0)),"N/A")</f>
        <v>17087</v>
      </c>
      <c r="B1260" s="4" t="s">
        <v>600</v>
      </c>
      <c r="C1260" s="4" t="s">
        <v>287</v>
      </c>
      <c r="D1260" s="94">
        <v>2110.0</v>
      </c>
    </row>
    <row r="1261">
      <c r="A1261" s="40">
        <f t="array" ref="A1261">IFNA(index(PlayerValues!A:A,match(IFNA(vlookup(B1261,'Special Names'!A:B,2,FALSE),B1261),PlayerValues!E:E,0)),"N/A")</f>
        <v>16644</v>
      </c>
      <c r="B1261" s="4" t="s">
        <v>640</v>
      </c>
      <c r="C1261" s="4" t="s">
        <v>298</v>
      </c>
      <c r="D1261" s="94">
        <v>2500.0</v>
      </c>
    </row>
    <row r="1262">
      <c r="A1262" s="40">
        <f t="array" ref="A1262">IFNA(index(PlayerValues!A:A,match(IFNA(vlookup(B1262,'Special Names'!A:B,2,FALSE),B1262),PlayerValues!E:E,0)),"N/A")</f>
        <v>16432</v>
      </c>
      <c r="B1262" s="4" t="s">
        <v>620</v>
      </c>
      <c r="C1262" s="4" t="s">
        <v>278</v>
      </c>
      <c r="D1262" s="94">
        <v>2101.0</v>
      </c>
    </row>
    <row r="1263">
      <c r="A1263" s="40">
        <f t="array" ref="A1263">IFNA(index(PlayerValues!A:A,match(IFNA(vlookup(B1263,'Special Names'!A:B,2,FALSE),B1263),PlayerValues!E:E,0)),"N/A")</f>
        <v>14867</v>
      </c>
      <c r="B1263" s="4" t="s">
        <v>591</v>
      </c>
      <c r="C1263" s="4" t="s">
        <v>298</v>
      </c>
      <c r="D1263" s="94">
        <v>2480.0</v>
      </c>
    </row>
    <row r="1264">
      <c r="A1264" s="40" t="str">
        <f t="array" ref="A1264">IFNA(index(PlayerValues!A:A,match(IFNA(vlookup(B1264,'Special Names'!A:B,2,FALSE),B1264),PlayerValues!E:E,0)),"N/A")</f>
        <v>N/A</v>
      </c>
      <c r="B1264" s="4" t="s">
        <v>88</v>
      </c>
      <c r="C1264" s="4" t="s">
        <v>325</v>
      </c>
      <c r="D1264" s="94">
        <v>2085.0</v>
      </c>
    </row>
    <row r="1265">
      <c r="A1265" s="40">
        <f t="array" ref="A1265">IFNA(index(PlayerValues!A:A,match(IFNA(vlookup(B1265,'Special Names'!A:B,2,FALSE),B1265),PlayerValues!E:E,0)),"N/A")</f>
        <v>16643</v>
      </c>
      <c r="B1265" s="4" t="s">
        <v>609</v>
      </c>
      <c r="C1265" s="4" t="s">
        <v>298</v>
      </c>
      <c r="D1265" s="94">
        <v>2474.0</v>
      </c>
    </row>
    <row r="1266">
      <c r="A1266" s="40">
        <f t="array" ref="A1266">IFNA(index(PlayerValues!A:A,match(IFNA(vlookup(B1266,'Special Names'!A:B,2,FALSE),B1266),PlayerValues!E:E,0)),"N/A")</f>
        <v>16174</v>
      </c>
      <c r="B1266" s="4" t="s">
        <v>505</v>
      </c>
      <c r="C1266" s="4" t="s">
        <v>278</v>
      </c>
      <c r="D1266" s="94">
        <v>2081.0</v>
      </c>
    </row>
    <row r="1267">
      <c r="A1267" s="40">
        <f t="array" ref="A1267">IFNA(index(PlayerValues!A:A,match(IFNA(vlookup(B1267,'Special Names'!A:B,2,FALSE),B1267),PlayerValues!E:E,0)),"N/A")</f>
        <v>17482</v>
      </c>
      <c r="B1267" s="4" t="s">
        <v>460</v>
      </c>
      <c r="C1267" s="4" t="s">
        <v>278</v>
      </c>
      <c r="D1267" s="94">
        <v>2072.0</v>
      </c>
    </row>
    <row r="1268">
      <c r="A1268" s="40">
        <f t="array" ref="A1268">IFNA(index(PlayerValues!A:A,match(IFNA(vlookup(B1268,'Special Names'!A:B,2,FALSE),B1268),PlayerValues!E:E,0)),"N/A")</f>
        <v>15238</v>
      </c>
      <c r="B1268" s="4" t="s">
        <v>613</v>
      </c>
      <c r="C1268" s="4" t="s">
        <v>283</v>
      </c>
      <c r="D1268" s="94">
        <v>2058.0</v>
      </c>
    </row>
    <row r="1269">
      <c r="A1269" s="40">
        <f t="array" ref="A1269">IFNA(index(PlayerValues!A:A,match(IFNA(vlookup(B1269,'Special Names'!A:B,2,FALSE),B1269),PlayerValues!E:E,0)),"N/A")</f>
        <v>15331</v>
      </c>
      <c r="B1269" s="4" t="s">
        <v>560</v>
      </c>
      <c r="C1269" s="4" t="s">
        <v>298</v>
      </c>
      <c r="D1269" s="94">
        <v>2423.0</v>
      </c>
    </row>
    <row r="1270">
      <c r="A1270" s="40">
        <f t="array" ref="A1270">IFNA(index(PlayerValues!A:A,match(IFNA(vlookup(B1270,'Special Names'!A:B,2,FALSE),B1270),PlayerValues!E:E,0)),"N/A")</f>
        <v>17517</v>
      </c>
      <c r="B1270" s="4" t="s">
        <v>454</v>
      </c>
      <c r="C1270" s="4" t="s">
        <v>287</v>
      </c>
      <c r="D1270" s="94">
        <v>2029.0</v>
      </c>
    </row>
    <row r="1271">
      <c r="A1271" s="40">
        <f t="array" ref="A1271">IFNA(index(PlayerValues!A:A,match(IFNA(vlookup(B1271,'Special Names'!A:B,2,FALSE),B1271),PlayerValues!E:E,0)),"N/A")</f>
        <v>17056</v>
      </c>
      <c r="B1271" s="4" t="s">
        <v>581</v>
      </c>
      <c r="C1271" s="4" t="s">
        <v>278</v>
      </c>
      <c r="D1271" s="94">
        <v>2025.0</v>
      </c>
    </row>
    <row r="1272">
      <c r="A1272" s="40">
        <f t="array" ref="A1272">IFNA(index(PlayerValues!A:A,match(IFNA(vlookup(B1272,'Special Names'!A:B,2,FALSE),B1272),PlayerValues!E:E,0)),"N/A")</f>
        <v>17512</v>
      </c>
      <c r="B1272" s="4" t="s">
        <v>483</v>
      </c>
      <c r="C1272" s="4" t="s">
        <v>287</v>
      </c>
      <c r="D1272" s="94">
        <v>2023.0</v>
      </c>
    </row>
    <row r="1273">
      <c r="A1273" s="40">
        <f t="array" ref="A1273">IFNA(index(PlayerValues!A:A,match(IFNA(vlookup(B1273,'Special Names'!A:B,2,FALSE),B1273),PlayerValues!E:E,0)),"N/A")</f>
        <v>13146</v>
      </c>
      <c r="B1273" s="4" t="s">
        <v>652</v>
      </c>
      <c r="C1273" s="4" t="s">
        <v>278</v>
      </c>
      <c r="D1273" s="94">
        <v>2013.0</v>
      </c>
    </row>
    <row r="1274">
      <c r="A1274" s="40">
        <f t="array" ref="A1274">IFNA(index(PlayerValues!A:A,match(IFNA(vlookup(B1274,'Special Names'!A:B,2,FALSE),B1274),PlayerValues!E:E,0)),"N/A")</f>
        <v>17547</v>
      </c>
      <c r="B1274" s="4" t="s">
        <v>552</v>
      </c>
      <c r="C1274" s="4" t="s">
        <v>298</v>
      </c>
      <c r="D1274" s="94">
        <v>2394.0</v>
      </c>
    </row>
    <row r="1275">
      <c r="A1275" s="40" t="str">
        <f t="array" ref="A1275">IFNA(index(PlayerValues!A:A,match(IFNA(vlookup(B1275,'Special Names'!A:B,2,FALSE),B1275),PlayerValues!E:E,0)),"N/A")</f>
        <v>N/A</v>
      </c>
      <c r="B1275" s="4" t="s">
        <v>113</v>
      </c>
      <c r="C1275" s="4" t="s">
        <v>325</v>
      </c>
      <c r="D1275" s="94">
        <v>2001.0</v>
      </c>
    </row>
    <row r="1276">
      <c r="A1276" s="40">
        <f t="array" ref="A1276">IFNA(index(PlayerValues!A:A,match(IFNA(vlookup(B1276,'Special Names'!A:B,2,FALSE),B1276),PlayerValues!E:E,0)),"N/A")</f>
        <v>17060</v>
      </c>
      <c r="B1276" s="4" t="s">
        <v>603</v>
      </c>
      <c r="C1276" s="4" t="s">
        <v>278</v>
      </c>
      <c r="D1276" s="94">
        <v>2000.0</v>
      </c>
    </row>
    <row r="1277">
      <c r="A1277" s="40">
        <f t="array" ref="A1277">IFNA(index(PlayerValues!A:A,match(IFNA(vlookup(B1277,'Special Names'!A:B,2,FALSE),B1277),PlayerValues!E:E,0)),"N/A")</f>
        <v>16603</v>
      </c>
      <c r="B1277" s="4" t="s">
        <v>587</v>
      </c>
      <c r="C1277" s="4" t="s">
        <v>278</v>
      </c>
      <c r="D1277" s="94">
        <v>1985.0</v>
      </c>
    </row>
    <row r="1278">
      <c r="A1278" s="40">
        <f t="array" ref="A1278">IFNA(index(PlayerValues!A:A,match(IFNA(vlookup(B1278,'Special Names'!A:B,2,FALSE),B1278),PlayerValues!E:E,0)),"N/A")</f>
        <v>14974</v>
      </c>
      <c r="B1278" s="4" t="s">
        <v>611</v>
      </c>
      <c r="C1278" s="4" t="s">
        <v>287</v>
      </c>
      <c r="D1278" s="94">
        <v>1974.0</v>
      </c>
    </row>
    <row r="1279">
      <c r="A1279" s="40">
        <f t="array" ref="A1279">IFNA(index(PlayerValues!A:A,match(IFNA(vlookup(B1279,'Special Names'!A:B,2,FALSE),B1279),PlayerValues!E:E,0)),"N/A")</f>
        <v>17546</v>
      </c>
      <c r="B1279" s="4" t="s">
        <v>671</v>
      </c>
      <c r="C1279" s="4" t="s">
        <v>298</v>
      </c>
      <c r="D1279" s="94">
        <v>2358.0</v>
      </c>
    </row>
    <row r="1280">
      <c r="A1280" s="40">
        <f t="array" ref="A1280">IFNA(index(PlayerValues!A:A,match(IFNA(vlookup(B1280,'Special Names'!A:B,2,FALSE),B1280),PlayerValues!E:E,0)),"N/A")</f>
        <v>13633</v>
      </c>
      <c r="B1280" s="4" t="s">
        <v>625</v>
      </c>
      <c r="C1280" s="4" t="s">
        <v>287</v>
      </c>
      <c r="D1280" s="94">
        <v>1964.0</v>
      </c>
    </row>
    <row r="1281">
      <c r="A1281" s="40">
        <f t="array" ref="A1281">IFNA(index(PlayerValues!A:A,match(IFNA(vlookup(B1281,'Special Names'!A:B,2,FALSE),B1281),PlayerValues!E:E,0)),"N/A")</f>
        <v>17508</v>
      </c>
      <c r="B1281" s="4" t="s">
        <v>534</v>
      </c>
      <c r="C1281" s="4" t="s">
        <v>287</v>
      </c>
      <c r="D1281" s="94">
        <v>1961.0</v>
      </c>
    </row>
    <row r="1282">
      <c r="A1282" s="40">
        <f t="array" ref="A1282">IFNA(index(PlayerValues!A:A,match(IFNA(vlookup(B1282,'Special Names'!A:B,2,FALSE),B1282),PlayerValues!E:E,0)),"N/A")</f>
        <v>15293</v>
      </c>
      <c r="B1282" s="4" t="s">
        <v>578</v>
      </c>
      <c r="C1282" s="4" t="s">
        <v>287</v>
      </c>
      <c r="D1282" s="94">
        <v>1953.0</v>
      </c>
    </row>
    <row r="1283">
      <c r="A1283" s="40">
        <f t="array" ref="A1283">IFNA(index(PlayerValues!A:A,match(IFNA(vlookup(B1283,'Special Names'!A:B,2,FALSE),B1283),PlayerValues!E:E,0)),"N/A")</f>
        <v>17184</v>
      </c>
      <c r="B1283" s="4" t="s">
        <v>588</v>
      </c>
      <c r="C1283" s="4" t="s">
        <v>287</v>
      </c>
      <c r="D1283" s="94">
        <v>1938.0</v>
      </c>
    </row>
    <row r="1284">
      <c r="A1284" s="40">
        <f t="array" ref="A1284">IFNA(index(PlayerValues!A:A,match(IFNA(vlookup(B1284,'Special Names'!A:B,2,FALSE),B1284),PlayerValues!E:E,0)),"N/A")</f>
        <v>11244</v>
      </c>
      <c r="B1284" s="4" t="s">
        <v>519</v>
      </c>
      <c r="C1284" s="4" t="s">
        <v>298</v>
      </c>
      <c r="D1284" s="94">
        <v>2317.0</v>
      </c>
    </row>
    <row r="1285">
      <c r="A1285" s="40">
        <f t="array" ref="A1285">IFNA(index(PlayerValues!A:A,match(IFNA(vlookup(B1285,'Special Names'!A:B,2,FALSE),B1285),PlayerValues!E:E,0)),"N/A")</f>
        <v>16778</v>
      </c>
      <c r="B1285" s="4" t="s">
        <v>577</v>
      </c>
      <c r="C1285" s="4" t="s">
        <v>287</v>
      </c>
      <c r="D1285" s="94">
        <v>1904.0</v>
      </c>
    </row>
    <row r="1286">
      <c r="A1286" s="40">
        <f t="array" ref="A1286">IFNA(index(PlayerValues!A:A,match(IFNA(vlookup(B1286,'Special Names'!A:B,2,FALSE),B1286),PlayerValues!E:E,0)),"N/A")</f>
        <v>16216</v>
      </c>
      <c r="B1286" s="4" t="s">
        <v>595</v>
      </c>
      <c r="C1286" s="4" t="s">
        <v>298</v>
      </c>
      <c r="D1286" s="94">
        <v>2283.0</v>
      </c>
    </row>
    <row r="1287">
      <c r="A1287" s="40">
        <f t="array" ref="A1287">IFNA(index(PlayerValues!A:A,match(IFNA(vlookup(B1287,'Special Names'!A:B,2,FALSE),B1287),PlayerValues!E:E,0)),"N/A")</f>
        <v>17465</v>
      </c>
      <c r="B1287" s="4" t="s">
        <v>649</v>
      </c>
      <c r="C1287" s="4" t="s">
        <v>283</v>
      </c>
      <c r="D1287" s="94">
        <v>1895.0</v>
      </c>
    </row>
    <row r="1288">
      <c r="A1288" s="40" t="str">
        <f t="array" ref="A1288">IFNA(index(PlayerValues!A:A,match(IFNA(vlookup(B1288,'Special Names'!A:B,2,FALSE),B1288),PlayerValues!E:E,0)),"N/A")</f>
        <v>N/A</v>
      </c>
      <c r="B1288" s="4" t="s">
        <v>114</v>
      </c>
      <c r="C1288" s="4" t="s">
        <v>325</v>
      </c>
      <c r="D1288" s="94">
        <v>1894.0</v>
      </c>
    </row>
    <row r="1289">
      <c r="A1289" s="40">
        <f t="array" ref="A1289">IFNA(index(PlayerValues!A:A,match(IFNA(vlookup(B1289,'Special Names'!A:B,2,FALSE),B1289),PlayerValues!E:E,0)),"N/A")</f>
        <v>13189</v>
      </c>
      <c r="B1289" s="4" t="s">
        <v>626</v>
      </c>
      <c r="C1289" s="4" t="s">
        <v>298</v>
      </c>
      <c r="D1289" s="94">
        <v>2275.0</v>
      </c>
    </row>
    <row r="1290">
      <c r="A1290" s="40">
        <f t="array" ref="A1290">IFNA(index(PlayerValues!A:A,match(IFNA(vlookup(B1290,'Special Names'!A:B,2,FALSE),B1290),PlayerValues!E:E,0)),"N/A")</f>
        <v>15759</v>
      </c>
      <c r="B1290" s="4" t="s">
        <v>662</v>
      </c>
      <c r="C1290" s="4" t="s">
        <v>287</v>
      </c>
      <c r="D1290" s="94">
        <v>1878.0</v>
      </c>
    </row>
    <row r="1291">
      <c r="A1291" s="40">
        <f t="array" ref="A1291">IFNA(index(PlayerValues!A:A,match(IFNA(vlookup(B1291,'Special Names'!A:B,2,FALSE),B1291),PlayerValues!E:E,0)),"N/A")</f>
        <v>16215</v>
      </c>
      <c r="B1291" s="4" t="s">
        <v>637</v>
      </c>
      <c r="C1291" s="4" t="s">
        <v>298</v>
      </c>
      <c r="D1291" s="94">
        <v>2260.0</v>
      </c>
    </row>
    <row r="1292">
      <c r="A1292" s="40">
        <f t="array" ref="A1292">IFNA(index(PlayerValues!A:A,match(IFNA(vlookup(B1292,'Special Names'!A:B,2,FALSE),B1292),PlayerValues!E:E,0)),"N/A")</f>
        <v>17036</v>
      </c>
      <c r="B1292" s="4" t="s">
        <v>617</v>
      </c>
      <c r="C1292" s="4" t="s">
        <v>283</v>
      </c>
      <c r="D1292" s="94">
        <v>1872.0</v>
      </c>
    </row>
    <row r="1293">
      <c r="A1293" s="40">
        <f t="array" ref="A1293">IFNA(index(PlayerValues!A:A,match(IFNA(vlookup(B1293,'Special Names'!A:B,2,FALSE),B1293),PlayerValues!E:E,0)),"N/A")</f>
        <v>16201</v>
      </c>
      <c r="B1293" s="4" t="s">
        <v>589</v>
      </c>
      <c r="C1293" s="4" t="s">
        <v>287</v>
      </c>
      <c r="D1293" s="94">
        <v>1857.0</v>
      </c>
    </row>
    <row r="1294">
      <c r="A1294" s="40">
        <f t="array" ref="A1294">IFNA(index(PlayerValues!A:A,match(IFNA(vlookup(B1294,'Special Names'!A:B,2,FALSE),B1294),PlayerValues!E:E,0)),"N/A")</f>
        <v>15254</v>
      </c>
      <c r="B1294" s="4" t="s">
        <v>633</v>
      </c>
      <c r="C1294" s="4" t="s">
        <v>278</v>
      </c>
      <c r="D1294" s="94">
        <v>1848.0</v>
      </c>
    </row>
    <row r="1295">
      <c r="A1295" s="40">
        <f t="array" ref="A1295">IFNA(index(PlayerValues!A:A,match(IFNA(vlookup(B1295,'Special Names'!A:B,2,FALSE),B1295),PlayerValues!E:E,0)),"N/A")</f>
        <v>16635</v>
      </c>
      <c r="B1295" s="4" t="s">
        <v>645</v>
      </c>
      <c r="C1295" s="4" t="s">
        <v>287</v>
      </c>
      <c r="D1295" s="94">
        <v>1848.0</v>
      </c>
    </row>
    <row r="1296">
      <c r="A1296" s="40">
        <f t="array" ref="A1296">IFNA(index(PlayerValues!A:A,match(IFNA(vlookup(B1296,'Special Names'!A:B,2,FALSE),B1296),PlayerValues!E:E,0)),"N/A")</f>
        <v>17061</v>
      </c>
      <c r="B1296" s="4" t="s">
        <v>580</v>
      </c>
      <c r="C1296" s="4" t="s">
        <v>278</v>
      </c>
      <c r="D1296" s="94">
        <v>1845.0</v>
      </c>
    </row>
    <row r="1297">
      <c r="A1297" s="40">
        <f t="array" ref="A1297">IFNA(index(PlayerValues!A:A,match(IFNA(vlookup(B1297,'Special Names'!A:B,2,FALSE),B1297),PlayerValues!E:E,0)),"N/A")</f>
        <v>16595</v>
      </c>
      <c r="B1297" s="4" t="s">
        <v>664</v>
      </c>
      <c r="C1297" s="4" t="s">
        <v>278</v>
      </c>
      <c r="D1297" s="94">
        <v>1838.0</v>
      </c>
    </row>
    <row r="1298">
      <c r="A1298" s="40">
        <f t="array" ref="A1298">IFNA(index(PlayerValues!A:A,match(IFNA(vlookup(B1298,'Special Names'!A:B,2,FALSE),B1298),PlayerValues!E:E,0)),"N/A")</f>
        <v>17520</v>
      </c>
      <c r="B1298" s="4" t="s">
        <v>518</v>
      </c>
      <c r="C1298" s="4" t="s">
        <v>287</v>
      </c>
      <c r="D1298" s="94">
        <v>1830.0</v>
      </c>
    </row>
    <row r="1299">
      <c r="A1299" s="40">
        <f t="array" ref="A1299">IFNA(index(PlayerValues!A:A,match(IFNA(vlookup(B1299,'Special Names'!A:B,2,FALSE),B1299),PlayerValues!E:E,0)),"N/A")</f>
        <v>15337</v>
      </c>
      <c r="B1299" s="4" t="s">
        <v>655</v>
      </c>
      <c r="C1299" s="4" t="s">
        <v>298</v>
      </c>
      <c r="D1299" s="94">
        <v>2187.0</v>
      </c>
    </row>
    <row r="1300">
      <c r="A1300" s="40">
        <f t="array" ref="A1300">IFNA(index(PlayerValues!A:A,match(IFNA(vlookup(B1300,'Special Names'!A:B,2,FALSE),B1300),PlayerValues!E:E,0)),"N/A")</f>
        <v>17035</v>
      </c>
      <c r="B1300" s="4" t="s">
        <v>650</v>
      </c>
      <c r="C1300" s="4" t="s">
        <v>283</v>
      </c>
      <c r="D1300" s="94">
        <v>1804.0</v>
      </c>
    </row>
    <row r="1301">
      <c r="A1301" s="40" t="str">
        <f t="array" ref="A1301">IFNA(index(PlayerValues!A:A,match(IFNA(vlookup(B1301,'Special Names'!A:B,2,FALSE),B1301),PlayerValues!E:E,0)),"N/A")</f>
        <v>N/A</v>
      </c>
      <c r="B1301" s="4" t="s">
        <v>101</v>
      </c>
      <c r="C1301" s="4" t="s">
        <v>325</v>
      </c>
      <c r="D1301" s="94">
        <v>1801.0</v>
      </c>
    </row>
    <row r="1302">
      <c r="A1302" s="40">
        <f t="array" ref="A1302">IFNA(index(PlayerValues!A:A,match(IFNA(vlookup(B1302,'Special Names'!A:B,2,FALSE),B1302),PlayerValues!E:E,0)),"N/A")</f>
        <v>17481</v>
      </c>
      <c r="B1302" s="4" t="s">
        <v>540</v>
      </c>
      <c r="C1302" s="4" t="s">
        <v>278</v>
      </c>
      <c r="D1302" s="94">
        <v>1801.0</v>
      </c>
    </row>
    <row r="1303">
      <c r="A1303" s="40">
        <f t="array" ref="A1303">IFNA(index(PlayerValues!A:A,match(IFNA(vlookup(B1303,'Special Names'!A:B,2,FALSE),B1303),PlayerValues!E:E,0)),"N/A")</f>
        <v>17545</v>
      </c>
      <c r="B1303" s="4" t="s">
        <v>719</v>
      </c>
      <c r="C1303" s="4" t="s">
        <v>298</v>
      </c>
      <c r="D1303" s="94">
        <v>2179.0</v>
      </c>
    </row>
    <row r="1304">
      <c r="A1304" s="40">
        <f t="array" ref="A1304">IFNA(index(PlayerValues!A:A,match(IFNA(vlookup(B1304,'Special Names'!A:B,2,FALSE),B1304),PlayerValues!E:E,0)),"N/A")</f>
        <v>16788</v>
      </c>
      <c r="B1304" s="4" t="s">
        <v>621</v>
      </c>
      <c r="C1304" s="4" t="s">
        <v>287</v>
      </c>
      <c r="D1304" s="94">
        <v>1795.0</v>
      </c>
    </row>
    <row r="1305">
      <c r="A1305" s="40">
        <f t="array" ref="A1305">IFNA(index(PlayerValues!A:A,match(IFNA(vlookup(B1305,'Special Names'!A:B,2,FALSE),B1305),PlayerValues!E:E,0)),"N/A")</f>
        <v>15786</v>
      </c>
      <c r="B1305" s="4" t="s">
        <v>521</v>
      </c>
      <c r="C1305" s="4" t="s">
        <v>287</v>
      </c>
      <c r="D1305" s="94">
        <v>1790.0</v>
      </c>
    </row>
    <row r="1306">
      <c r="A1306" s="40" t="str">
        <f t="array" ref="A1306">IFNA(index(PlayerValues!A:A,match(IFNA(vlookup(B1306,'Special Names'!A:B,2,FALSE),B1306),PlayerValues!E:E,0)),"N/A")</f>
        <v>N/A</v>
      </c>
      <c r="B1306" s="4" t="s">
        <v>89</v>
      </c>
      <c r="C1306" s="4" t="s">
        <v>325</v>
      </c>
      <c r="D1306" s="94">
        <v>1770.0</v>
      </c>
    </row>
    <row r="1307">
      <c r="A1307" s="40">
        <f t="array" ref="A1307">IFNA(index(PlayerValues!A:A,match(IFNA(vlookup(B1307,'Special Names'!A:B,2,FALSE),B1307),PlayerValues!E:E,0)),"N/A")</f>
        <v>17086</v>
      </c>
      <c r="B1307" s="4" t="s">
        <v>612</v>
      </c>
      <c r="C1307" s="4" t="s">
        <v>287</v>
      </c>
      <c r="D1307" s="94">
        <v>1764.0</v>
      </c>
    </row>
    <row r="1308">
      <c r="A1308" s="40">
        <f t="array" ref="A1308">IFNA(index(PlayerValues!A:A,match(IFNA(vlookup(B1308,'Special Names'!A:B,2,FALSE),B1308),PlayerValues!E:E,0)),"N/A")</f>
        <v>16207</v>
      </c>
      <c r="B1308" s="4" t="s">
        <v>636</v>
      </c>
      <c r="C1308" s="4" t="s">
        <v>287</v>
      </c>
      <c r="D1308" s="94">
        <v>1757.0</v>
      </c>
    </row>
    <row r="1309">
      <c r="A1309" s="40">
        <f t="array" ref="A1309">IFNA(index(PlayerValues!A:A,match(IFNA(vlookup(B1309,'Special Names'!A:B,2,FALSE),B1309),PlayerValues!E:E,0)),"N/A")</f>
        <v>11222</v>
      </c>
      <c r="B1309" s="4" t="s">
        <v>622</v>
      </c>
      <c r="C1309" s="4" t="s">
        <v>287</v>
      </c>
      <c r="D1309" s="94">
        <v>1754.0</v>
      </c>
    </row>
    <row r="1310">
      <c r="A1310" s="40">
        <f t="array" ref="A1310">IFNA(index(PlayerValues!A:A,match(IFNA(vlookup(B1310,'Special Names'!A:B,2,FALSE),B1310),PlayerValues!E:E,0)),"N/A")</f>
        <v>16585</v>
      </c>
      <c r="B1310" s="4" t="s">
        <v>623</v>
      </c>
      <c r="C1310" s="4" t="s">
        <v>283</v>
      </c>
      <c r="D1310" s="94">
        <v>1747.0</v>
      </c>
    </row>
    <row r="1311">
      <c r="A1311" s="40">
        <f t="array" ref="A1311">IFNA(index(PlayerValues!A:A,match(IFNA(vlookup(B1311,'Special Names'!A:B,2,FALSE),B1311),PlayerValues!E:E,0)),"N/A")</f>
        <v>17055</v>
      </c>
      <c r="B1311" s="4" t="s">
        <v>565</v>
      </c>
      <c r="C1311" s="4" t="s">
        <v>278</v>
      </c>
      <c r="D1311" s="94">
        <v>1738.0</v>
      </c>
    </row>
    <row r="1312">
      <c r="A1312" s="40">
        <f t="array" ref="A1312">IFNA(index(PlayerValues!A:A,match(IFNA(vlookup(B1312,'Special Names'!A:B,2,FALSE),B1312),PlayerValues!E:E,0)),"N/A")</f>
        <v>14105</v>
      </c>
      <c r="B1312" s="4" t="s">
        <v>675</v>
      </c>
      <c r="C1312" s="4" t="s">
        <v>287</v>
      </c>
      <c r="D1312" s="94">
        <v>1734.0</v>
      </c>
    </row>
    <row r="1313">
      <c r="A1313" s="40">
        <f t="array" ref="A1313">IFNA(index(PlayerValues!A:A,match(IFNA(vlookup(B1313,'Special Names'!A:B,2,FALSE),B1313),PlayerValues!E:E,0)),"N/A")</f>
        <v>17528</v>
      </c>
      <c r="B1313" s="4" t="s">
        <v>579</v>
      </c>
      <c r="C1313" s="4" t="s">
        <v>287</v>
      </c>
      <c r="D1313" s="94">
        <v>1733.0</v>
      </c>
    </row>
    <row r="1314">
      <c r="A1314" s="40">
        <f t="array" ref="A1314">IFNA(index(PlayerValues!A:A,match(IFNA(vlookup(B1314,'Special Names'!A:B,2,FALSE),B1314),PlayerValues!E:E,0)),"N/A")</f>
        <v>16629</v>
      </c>
      <c r="B1314" s="4" t="s">
        <v>605</v>
      </c>
      <c r="C1314" s="4" t="s">
        <v>287</v>
      </c>
      <c r="D1314" s="94">
        <v>1730.0</v>
      </c>
    </row>
    <row r="1315">
      <c r="A1315" s="40">
        <f t="array" ref="A1315">IFNA(index(PlayerValues!A:A,match(IFNA(vlookup(B1315,'Special Names'!A:B,2,FALSE),B1315),PlayerValues!E:E,0)),"N/A")</f>
        <v>17058</v>
      </c>
      <c r="B1315" s="4" t="s">
        <v>641</v>
      </c>
      <c r="C1315" s="4" t="s">
        <v>278</v>
      </c>
      <c r="D1315" s="94">
        <v>1721.0</v>
      </c>
    </row>
    <row r="1316">
      <c r="A1316" s="40">
        <f t="array" ref="A1316">IFNA(index(PlayerValues!A:A,match(IFNA(vlookup(B1316,'Special Names'!A:B,2,FALSE),B1316),PlayerValues!E:E,0)),"N/A")</f>
        <v>7836</v>
      </c>
      <c r="B1316" s="4" t="s">
        <v>590</v>
      </c>
      <c r="C1316" s="4" t="s">
        <v>283</v>
      </c>
      <c r="D1316" s="94">
        <v>1714.0</v>
      </c>
    </row>
    <row r="1317">
      <c r="A1317" s="40">
        <f t="array" ref="A1317">IFNA(index(PlayerValues!A:A,match(IFNA(vlookup(B1317,'Special Names'!A:B,2,FALSE),B1317),PlayerValues!E:E,0)),"N/A")</f>
        <v>16586</v>
      </c>
      <c r="B1317" s="4" t="s">
        <v>658</v>
      </c>
      <c r="C1317" s="4" t="s">
        <v>283</v>
      </c>
      <c r="D1317" s="94">
        <v>1697.0</v>
      </c>
    </row>
    <row r="1318">
      <c r="A1318" s="40">
        <f t="array" ref="A1318">IFNA(index(PlayerValues!A:A,match(IFNA(vlookup(B1318,'Special Names'!A:B,2,FALSE),B1318),PlayerValues!E:E,0)),"N/A")</f>
        <v>16601</v>
      </c>
      <c r="B1318" s="4" t="s">
        <v>648</v>
      </c>
      <c r="C1318" s="4" t="s">
        <v>278</v>
      </c>
      <c r="D1318" s="94">
        <v>1687.0</v>
      </c>
    </row>
    <row r="1319">
      <c r="A1319" s="40">
        <f t="array" ref="A1319">IFNA(index(PlayerValues!A:A,match(IFNA(vlookup(B1319,'Special Names'!A:B,2,FALSE),B1319),PlayerValues!E:E,0)),"N/A")</f>
        <v>17064</v>
      </c>
      <c r="B1319" s="4" t="s">
        <v>631</v>
      </c>
      <c r="C1319" s="4" t="s">
        <v>278</v>
      </c>
      <c r="D1319" s="94">
        <v>1676.0</v>
      </c>
    </row>
    <row r="1320">
      <c r="A1320" s="40" t="str">
        <f t="array" ref="A1320">IFNA(index(PlayerValues!A:A,match(IFNA(vlookup(B1320,'Special Names'!A:B,2,FALSE),B1320),PlayerValues!E:E,0)),"N/A")</f>
        <v>N/A</v>
      </c>
      <c r="B1320" s="4" t="s">
        <v>102</v>
      </c>
      <c r="C1320" s="4" t="s">
        <v>325</v>
      </c>
      <c r="D1320" s="94">
        <v>1670.0</v>
      </c>
    </row>
    <row r="1321">
      <c r="A1321" s="40">
        <f t="array" ref="A1321">IFNA(index(PlayerValues!A:A,match(IFNA(vlookup(B1321,'Special Names'!A:B,2,FALSE),B1321),PlayerValues!E:E,0)),"N/A")</f>
        <v>10700</v>
      </c>
      <c r="B1321" s="4" t="s">
        <v>596</v>
      </c>
      <c r="C1321" s="4" t="s">
        <v>283</v>
      </c>
      <c r="D1321" s="94">
        <v>1669.0</v>
      </c>
    </row>
    <row r="1322">
      <c r="A1322" s="40">
        <f t="array" ref="A1322">IFNA(index(PlayerValues!A:A,match(IFNA(vlookup(B1322,'Special Names'!A:B,2,FALSE),B1322),PlayerValues!E:E,0)),"N/A")</f>
        <v>15777</v>
      </c>
      <c r="B1322" s="4" t="s">
        <v>694</v>
      </c>
      <c r="C1322" s="4" t="s">
        <v>287</v>
      </c>
      <c r="D1322" s="94">
        <v>1667.0</v>
      </c>
    </row>
    <row r="1323">
      <c r="A1323" s="40">
        <f t="array" ref="A1323">IFNA(index(PlayerValues!A:A,match(IFNA(vlookup(B1323,'Special Names'!A:B,2,FALSE),B1323),PlayerValues!E:E,0)),"N/A")</f>
        <v>15787</v>
      </c>
      <c r="B1323" s="4" t="s">
        <v>610</v>
      </c>
      <c r="C1323" s="4" t="s">
        <v>287</v>
      </c>
      <c r="D1323" s="94">
        <v>1665.0</v>
      </c>
    </row>
    <row r="1324">
      <c r="A1324" s="40">
        <f t="array" ref="A1324">IFNA(index(PlayerValues!A:A,match(IFNA(vlookup(B1324,'Special Names'!A:B,2,FALSE),B1324),PlayerValues!E:E,0)),"N/A")</f>
        <v>13629</v>
      </c>
      <c r="B1324" s="4" t="s">
        <v>619</v>
      </c>
      <c r="C1324" s="4" t="s">
        <v>287</v>
      </c>
      <c r="D1324" s="94">
        <v>1664.0</v>
      </c>
    </row>
    <row r="1325">
      <c r="A1325" s="40">
        <f t="array" ref="A1325">IFNA(index(PlayerValues!A:A,match(IFNA(vlookup(B1325,'Special Names'!A:B,2,FALSE),B1325),PlayerValues!E:E,0)),"N/A")</f>
        <v>15727</v>
      </c>
      <c r="B1325" s="4" t="s">
        <v>730</v>
      </c>
      <c r="C1325" s="4" t="s">
        <v>278</v>
      </c>
      <c r="D1325" s="94">
        <v>1663.0</v>
      </c>
    </row>
    <row r="1326">
      <c r="A1326" s="40">
        <f t="array" ref="A1326">IFNA(index(PlayerValues!A:A,match(IFNA(vlookup(B1326,'Special Names'!A:B,2,FALSE),B1326),PlayerValues!E:E,0)),"N/A")</f>
        <v>16604</v>
      </c>
      <c r="B1326" s="4" t="s">
        <v>476</v>
      </c>
      <c r="C1326" s="4" t="s">
        <v>278</v>
      </c>
      <c r="D1326" s="94">
        <v>1652.0</v>
      </c>
    </row>
    <row r="1327">
      <c r="A1327" s="40">
        <f t="array" ref="A1327">IFNA(index(PlayerValues!A:A,match(IFNA(vlookup(B1327,'Special Names'!A:B,2,FALSE),B1327),PlayerValues!E:E,0)),"N/A")</f>
        <v>17205</v>
      </c>
      <c r="B1327" s="4" t="s">
        <v>665</v>
      </c>
      <c r="C1327" s="4" t="s">
        <v>287</v>
      </c>
      <c r="D1327" s="94">
        <v>1640.0</v>
      </c>
    </row>
    <row r="1328">
      <c r="A1328" s="40" t="str">
        <f t="array" ref="A1328">IFNA(index(PlayerValues!A:A,match(IFNA(vlookup(B1328,'Special Names'!A:B,2,FALSE),B1328),PlayerValues!E:E,0)),"N/A")</f>
        <v>N/A</v>
      </c>
      <c r="B1328" s="4" t="s">
        <v>115</v>
      </c>
      <c r="C1328" s="4" t="s">
        <v>325</v>
      </c>
      <c r="D1328" s="94">
        <v>1640.0</v>
      </c>
    </row>
    <row r="1329">
      <c r="A1329" s="40">
        <f t="array" ref="A1329">IFNA(index(PlayerValues!A:A,match(IFNA(vlookup(B1329,'Special Names'!A:B,2,FALSE),B1329),PlayerValues!E:E,0)),"N/A")</f>
        <v>13131</v>
      </c>
      <c r="B1329" s="4" t="s">
        <v>815</v>
      </c>
      <c r="C1329" s="4" t="s">
        <v>278</v>
      </c>
      <c r="D1329" s="94">
        <v>1635.0</v>
      </c>
    </row>
    <row r="1330">
      <c r="A1330" s="40">
        <f t="array" ref="A1330">IFNA(index(PlayerValues!A:A,match(IFNA(vlookup(B1330,'Special Names'!A:B,2,FALSE),B1330),PlayerValues!E:E,0)),"N/A")</f>
        <v>13164</v>
      </c>
      <c r="B1330" s="4" t="s">
        <v>632</v>
      </c>
      <c r="C1330" s="4" t="s">
        <v>287</v>
      </c>
      <c r="D1330" s="94">
        <v>1629.0</v>
      </c>
    </row>
    <row r="1331">
      <c r="A1331" s="40">
        <f t="array" ref="A1331">IFNA(index(PlayerValues!A:A,match(IFNA(vlookup(B1331,'Special Names'!A:B,2,FALSE),B1331),PlayerValues!E:E,0)),"N/A")</f>
        <v>17234</v>
      </c>
      <c r="B1331" s="4" t="s">
        <v>653</v>
      </c>
      <c r="C1331" s="4" t="s">
        <v>287</v>
      </c>
      <c r="D1331" s="94">
        <v>1628.0</v>
      </c>
    </row>
    <row r="1332">
      <c r="A1332" s="40">
        <f t="array" ref="A1332">IFNA(index(PlayerValues!A:A,match(IFNA(vlookup(B1332,'Special Names'!A:B,2,FALSE),B1332),PlayerValues!E:E,0)),"N/A")</f>
        <v>14143</v>
      </c>
      <c r="B1332" s="4" t="s">
        <v>635</v>
      </c>
      <c r="C1332" s="4" t="s">
        <v>298</v>
      </c>
      <c r="D1332" s="94">
        <v>1995.0</v>
      </c>
    </row>
    <row r="1333">
      <c r="A1333" s="40" t="str">
        <f t="array" ref="A1333">IFNA(index(PlayerValues!A:A,match(IFNA(vlookup(B1333,'Special Names'!A:B,2,FALSE),B1333),PlayerValues!E:E,0)),"N/A")</f>
        <v>N/A</v>
      </c>
      <c r="B1333" s="4" t="s">
        <v>90</v>
      </c>
      <c r="C1333" s="4" t="s">
        <v>325</v>
      </c>
      <c r="D1333" s="94">
        <v>1616.0</v>
      </c>
    </row>
    <row r="1334">
      <c r="A1334" s="40">
        <f t="array" ref="A1334">IFNA(index(PlayerValues!A:A,match(IFNA(vlookup(B1334,'Special Names'!A:B,2,FALSE),B1334),PlayerValues!E:E,0)),"N/A")</f>
        <v>12141</v>
      </c>
      <c r="B1334" s="4" t="s">
        <v>744</v>
      </c>
      <c r="C1334" s="4" t="s">
        <v>283</v>
      </c>
      <c r="D1334" s="94">
        <v>1615.0</v>
      </c>
    </row>
    <row r="1335">
      <c r="A1335" s="40">
        <f t="array" ref="A1335">IFNA(index(PlayerValues!A:A,match(IFNA(vlookup(B1335,'Special Names'!A:B,2,FALSE),B1335),PlayerValues!E:E,0)),"N/A")</f>
        <v>16633</v>
      </c>
      <c r="B1335" s="4" t="s">
        <v>656</v>
      </c>
      <c r="C1335" s="4" t="s">
        <v>287</v>
      </c>
      <c r="D1335" s="94">
        <v>1603.0</v>
      </c>
    </row>
    <row r="1336">
      <c r="A1336" s="40">
        <f t="array" ref="A1336">IFNA(index(PlayerValues!A:A,match(IFNA(vlookup(B1336,'Special Names'!A:B,2,FALSE),B1336),PlayerValues!E:E,0)),"N/A")</f>
        <v>17037</v>
      </c>
      <c r="B1336" s="4" t="s">
        <v>727</v>
      </c>
      <c r="C1336" s="4" t="s">
        <v>283</v>
      </c>
      <c r="D1336" s="94">
        <v>1601.0</v>
      </c>
    </row>
    <row r="1337">
      <c r="A1337" s="40">
        <f t="array" ref="A1337">IFNA(index(PlayerValues!A:A,match(IFNA(vlookup(B1337,'Special Names'!A:B,2,FALSE),B1337),PlayerValues!E:E,0)),"N/A")</f>
        <v>17096</v>
      </c>
      <c r="B1337" s="4" t="s">
        <v>638</v>
      </c>
      <c r="C1337" s="4" t="s">
        <v>287</v>
      </c>
      <c r="D1337" s="94">
        <v>1590.0</v>
      </c>
    </row>
    <row r="1338">
      <c r="A1338" s="40">
        <f t="array" ref="A1338">IFNA(index(PlayerValues!A:A,match(IFNA(vlookup(B1338,'Special Names'!A:B,2,FALSE),B1338),PlayerValues!E:E,0)),"N/A")</f>
        <v>13193</v>
      </c>
      <c r="B1338" s="4" t="s">
        <v>773</v>
      </c>
      <c r="C1338" s="4" t="s">
        <v>298</v>
      </c>
      <c r="D1338" s="94">
        <v>1965.0</v>
      </c>
    </row>
    <row r="1339">
      <c r="A1339" s="40">
        <f t="array" ref="A1339">IFNA(index(PlayerValues!A:A,match(IFNA(vlookup(B1339,'Special Names'!A:B,2,FALSE),B1339),PlayerValues!E:E,0)),"N/A")</f>
        <v>14122</v>
      </c>
      <c r="B1339" s="4" t="s">
        <v>663</v>
      </c>
      <c r="C1339" s="4" t="s">
        <v>287</v>
      </c>
      <c r="D1339" s="94">
        <v>1579.0</v>
      </c>
    </row>
    <row r="1340">
      <c r="A1340" s="40">
        <f t="array" ref="A1340">IFNA(index(PlayerValues!A:A,match(IFNA(vlookup(B1340,'Special Names'!A:B,2,FALSE),B1340),PlayerValues!E:E,0)),"N/A")</f>
        <v>16390</v>
      </c>
      <c r="B1340" s="4" t="s">
        <v>689</v>
      </c>
      <c r="C1340" s="4" t="s">
        <v>278</v>
      </c>
      <c r="D1340" s="94">
        <v>1567.0</v>
      </c>
    </row>
    <row r="1341">
      <c r="A1341" s="40">
        <f t="array" ref="A1341">IFNA(index(PlayerValues!A:A,match(IFNA(vlookup(B1341,'Special Names'!A:B,2,FALSE),B1341),PlayerValues!E:E,0)),"N/A")</f>
        <v>12140</v>
      </c>
      <c r="B1341" s="4" t="s">
        <v>702</v>
      </c>
      <c r="C1341" s="4" t="s">
        <v>283</v>
      </c>
      <c r="D1341" s="94">
        <v>1566.0</v>
      </c>
    </row>
    <row r="1342">
      <c r="A1342" s="40" t="str">
        <f t="array" ref="A1342">IFNA(index(PlayerValues!A:A,match(IFNA(vlookup(B1342,'Special Names'!A:B,2,FALSE),B1342),PlayerValues!E:E,0)),"N/A")</f>
        <v>N/A</v>
      </c>
      <c r="B1342" s="4" t="s">
        <v>91</v>
      </c>
      <c r="C1342" s="4" t="s">
        <v>325</v>
      </c>
      <c r="D1342" s="94">
        <v>1558.0</v>
      </c>
    </row>
    <row r="1343">
      <c r="A1343" s="40">
        <f t="array" ref="A1343">IFNA(index(PlayerValues!A:A,match(IFNA(vlookup(B1343,'Special Names'!A:B,2,FALSE),B1343),PlayerValues!E:E,0)),"N/A")</f>
        <v>16688</v>
      </c>
      <c r="B1343" s="4" t="s">
        <v>688</v>
      </c>
      <c r="C1343" s="4" t="s">
        <v>278</v>
      </c>
      <c r="D1343" s="94">
        <v>1542.0</v>
      </c>
    </row>
    <row r="1344">
      <c r="A1344" s="40">
        <f t="array" ref="A1344">IFNA(index(PlayerValues!A:A,match(IFNA(vlookup(B1344,'Special Names'!A:B,2,FALSE),B1344),PlayerValues!E:E,0)),"N/A")</f>
        <v>15252</v>
      </c>
      <c r="B1344" s="4" t="s">
        <v>715</v>
      </c>
      <c r="C1344" s="4" t="s">
        <v>283</v>
      </c>
      <c r="D1344" s="94">
        <v>1541.0</v>
      </c>
    </row>
    <row r="1345">
      <c r="A1345" s="40">
        <f t="array" ref="A1345">IFNA(index(PlayerValues!A:A,match(IFNA(vlookup(B1345,'Special Names'!A:B,2,FALSE),B1345),PlayerValues!E:E,0)),"N/A")</f>
        <v>15258</v>
      </c>
      <c r="B1345" s="4" t="s">
        <v>757</v>
      </c>
      <c r="C1345" s="4" t="s">
        <v>278</v>
      </c>
      <c r="D1345" s="94">
        <v>1541.0</v>
      </c>
    </row>
    <row r="1346">
      <c r="A1346" s="40">
        <f t="array" ref="A1346">IFNA(index(PlayerValues!A:A,match(IFNA(vlookup(B1346,'Special Names'!A:B,2,FALSE),B1346),PlayerValues!E:E,0)),"N/A")</f>
        <v>14080</v>
      </c>
      <c r="B1346" s="4" t="s">
        <v>716</v>
      </c>
      <c r="C1346" s="4" t="s">
        <v>278</v>
      </c>
      <c r="D1346" s="94">
        <v>1539.0</v>
      </c>
    </row>
    <row r="1347">
      <c r="A1347" s="40" t="str">
        <f t="array" ref="A1347">IFNA(index(PlayerValues!A:A,match(IFNA(vlookup(B1347,'Special Names'!A:B,2,FALSE),B1347),PlayerValues!E:E,0)),"N/A")</f>
        <v>N/A</v>
      </c>
      <c r="B1347" s="4" t="s">
        <v>103</v>
      </c>
      <c r="C1347" s="4" t="s">
        <v>325</v>
      </c>
      <c r="D1347" s="94">
        <v>1532.0</v>
      </c>
    </row>
    <row r="1348">
      <c r="A1348" s="40" t="str">
        <f t="array" ref="A1348">IFNA(index(PlayerValues!A:A,match(IFNA(vlookup(B1348,'Special Names'!A:B,2,FALSE),B1348),PlayerValues!E:E,0)),"N/A")</f>
        <v>N/A</v>
      </c>
      <c r="B1348" s="4" t="s">
        <v>116</v>
      </c>
      <c r="C1348" s="4" t="s">
        <v>325</v>
      </c>
      <c r="D1348" s="94">
        <v>1513.0</v>
      </c>
    </row>
    <row r="1349">
      <c r="A1349" s="40">
        <f t="array" ref="A1349">IFNA(index(PlayerValues!A:A,match(IFNA(vlookup(B1349,'Special Names'!A:B,2,FALSE),B1349),PlayerValues!E:E,0)),"N/A")</f>
        <v>17475</v>
      </c>
      <c r="B1349" s="4" t="s">
        <v>615</v>
      </c>
      <c r="C1349" s="4" t="s">
        <v>278</v>
      </c>
      <c r="D1349" s="94">
        <v>1508.0</v>
      </c>
    </row>
    <row r="1350">
      <c r="A1350" s="40">
        <f t="array" ref="A1350">IFNA(index(PlayerValues!A:A,match(IFNA(vlookup(B1350,'Special Names'!A:B,2,FALSE),B1350),PlayerValues!E:E,0)),"N/A")</f>
        <v>17504</v>
      </c>
      <c r="B1350" s="4" t="s">
        <v>693</v>
      </c>
      <c r="C1350" s="4" t="s">
        <v>287</v>
      </c>
      <c r="D1350" s="94">
        <v>1504.0</v>
      </c>
    </row>
    <row r="1351">
      <c r="A1351" s="40">
        <f t="array" ref="A1351">IFNA(index(PlayerValues!A:A,match(IFNA(vlookup(B1351,'Special Names'!A:B,2,FALSE),B1351),PlayerValues!E:E,0)),"N/A")</f>
        <v>15319</v>
      </c>
      <c r="B1351" s="4" t="s">
        <v>644</v>
      </c>
      <c r="C1351" s="4" t="s">
        <v>287</v>
      </c>
      <c r="D1351" s="94">
        <v>1497.0</v>
      </c>
    </row>
    <row r="1352">
      <c r="A1352" s="40">
        <f t="array" ref="A1352">IFNA(index(PlayerValues!A:A,match(IFNA(vlookup(B1352,'Special Names'!A:B,2,FALSE),B1352),PlayerValues!E:E,0)),"N/A")</f>
        <v>17077</v>
      </c>
      <c r="B1352" s="4" t="s">
        <v>714</v>
      </c>
      <c r="C1352" s="4" t="s">
        <v>287</v>
      </c>
      <c r="D1352" s="94">
        <v>1497.0</v>
      </c>
    </row>
    <row r="1353">
      <c r="A1353" s="40">
        <f t="array" ref="A1353">IFNA(index(PlayerValues!A:A,match(IFNA(vlookup(B1353,'Special Names'!A:B,2,FALSE),B1353),PlayerValues!E:E,0)),"N/A")</f>
        <v>15752</v>
      </c>
      <c r="B1353" s="4" t="s">
        <v>647</v>
      </c>
      <c r="C1353" s="4" t="s">
        <v>287</v>
      </c>
      <c r="D1353" s="94">
        <v>1465.0</v>
      </c>
    </row>
    <row r="1354">
      <c r="A1354" s="40">
        <f t="array" ref="A1354">IFNA(index(PlayerValues!A:A,match(IFNA(vlookup(B1354,'Special Names'!A:B,2,FALSE),B1354),PlayerValues!E:E,0)),"N/A")</f>
        <v>11150</v>
      </c>
      <c r="B1354" s="4" t="s">
        <v>559</v>
      </c>
      <c r="C1354" s="4" t="s">
        <v>283</v>
      </c>
      <c r="D1354" s="94">
        <v>1458.0</v>
      </c>
    </row>
    <row r="1355">
      <c r="A1355" s="40">
        <f t="array" ref="A1355">IFNA(index(PlayerValues!A:A,match(IFNA(vlookup(B1355,'Special Names'!A:B,2,FALSE),B1355),PlayerValues!E:E,0)),"N/A")</f>
        <v>17541</v>
      </c>
      <c r="B1355" s="4" t="s">
        <v>616</v>
      </c>
      <c r="C1355" s="4" t="s">
        <v>287</v>
      </c>
      <c r="D1355" s="94">
        <v>1458.0</v>
      </c>
    </row>
    <row r="1356">
      <c r="A1356" s="40">
        <f t="array" ref="A1356">IFNA(index(PlayerValues!A:A,match(IFNA(vlookup(B1356,'Special Names'!A:B,2,FALSE),B1356),PlayerValues!E:E,0)),"N/A")</f>
        <v>15738</v>
      </c>
      <c r="B1356" s="4" t="s">
        <v>634</v>
      </c>
      <c r="C1356" s="4" t="s">
        <v>278</v>
      </c>
      <c r="D1356" s="94">
        <v>1456.0</v>
      </c>
    </row>
    <row r="1357">
      <c r="A1357" s="40">
        <f t="array" ref="A1357">IFNA(index(PlayerValues!A:A,match(IFNA(vlookup(B1357,'Special Names'!A:B,2,FALSE),B1357),PlayerValues!E:E,0)),"N/A")</f>
        <v>13418</v>
      </c>
      <c r="B1357" s="4" t="s">
        <v>706</v>
      </c>
      <c r="C1357" s="4" t="s">
        <v>287</v>
      </c>
      <c r="D1357" s="94">
        <v>1455.0</v>
      </c>
    </row>
    <row r="1358">
      <c r="A1358" s="40">
        <f t="array" ref="A1358">IFNA(index(PlayerValues!A:A,match(IFNA(vlookup(B1358,'Special Names'!A:B,2,FALSE),B1358),PlayerValues!E:E,0)),"N/A")</f>
        <v>17254</v>
      </c>
      <c r="B1358" s="4" t="s">
        <v>679</v>
      </c>
      <c r="C1358" s="4" t="s">
        <v>287</v>
      </c>
      <c r="D1358" s="94">
        <v>1447.0</v>
      </c>
    </row>
    <row r="1359">
      <c r="A1359" s="40">
        <f t="array" ref="A1359">IFNA(index(PlayerValues!A:A,match(IFNA(vlookup(B1359,'Special Names'!A:B,2,FALSE),B1359),PlayerValues!E:E,0)),"N/A")</f>
        <v>15755</v>
      </c>
      <c r="B1359" s="4" t="s">
        <v>628</v>
      </c>
      <c r="C1359" s="4" t="s">
        <v>287</v>
      </c>
      <c r="D1359" s="94">
        <v>1445.0</v>
      </c>
    </row>
    <row r="1360">
      <c r="A1360" s="40">
        <f t="array" ref="A1360">IFNA(index(PlayerValues!A:A,match(IFNA(vlookup(B1360,'Special Names'!A:B,2,FALSE),B1360),PlayerValues!E:E,0)),"N/A")</f>
        <v>14095</v>
      </c>
      <c r="B1360" s="4" t="s">
        <v>680</v>
      </c>
      <c r="C1360" s="4" t="s">
        <v>278</v>
      </c>
      <c r="D1360" s="94">
        <v>1432.0</v>
      </c>
    </row>
    <row r="1361">
      <c r="A1361" s="40">
        <f t="array" ref="A1361">IFNA(index(PlayerValues!A:A,match(IFNA(vlookup(B1361,'Special Names'!A:B,2,FALSE),B1361),PlayerValues!E:E,0)),"N/A")</f>
        <v>17510</v>
      </c>
      <c r="B1361" s="4" t="s">
        <v>661</v>
      </c>
      <c r="C1361" s="4" t="s">
        <v>287</v>
      </c>
      <c r="D1361" s="94">
        <v>1428.0</v>
      </c>
    </row>
    <row r="1362">
      <c r="A1362" s="40">
        <f t="array" ref="A1362">IFNA(index(PlayerValues!A:A,match(IFNA(vlookup(B1362,'Special Names'!A:B,2,FALSE),B1362),PlayerValues!E:E,0)),"N/A")</f>
        <v>13672</v>
      </c>
      <c r="B1362" s="4" t="s">
        <v>667</v>
      </c>
      <c r="C1362" s="4" t="s">
        <v>298</v>
      </c>
      <c r="D1362" s="94">
        <v>1790.0</v>
      </c>
    </row>
    <row r="1363">
      <c r="A1363" s="40">
        <f t="array" ref="A1363">IFNA(index(PlayerValues!A:A,match(IFNA(vlookup(B1363,'Special Names'!A:B,2,FALSE),B1363),PlayerValues!E:E,0)),"N/A")</f>
        <v>15713</v>
      </c>
      <c r="B1363" s="4" t="s">
        <v>732</v>
      </c>
      <c r="C1363" s="4" t="s">
        <v>278</v>
      </c>
      <c r="D1363" s="94">
        <v>1415.0</v>
      </c>
    </row>
    <row r="1364">
      <c r="A1364" s="40">
        <f t="array" ref="A1364">IFNA(index(PlayerValues!A:A,match(IFNA(vlookup(B1364,'Special Names'!A:B,2,FALSE),B1364),PlayerValues!E:E,0)),"N/A")</f>
        <v>13138</v>
      </c>
      <c r="B1364" s="4" t="s">
        <v>817</v>
      </c>
      <c r="C1364" s="4" t="s">
        <v>278</v>
      </c>
      <c r="D1364" s="94">
        <v>1405.0</v>
      </c>
    </row>
    <row r="1365">
      <c r="A1365" s="40">
        <f t="array" ref="A1365">IFNA(index(PlayerValues!A:A,match(IFNA(vlookup(B1365,'Special Names'!A:B,2,FALSE),B1365),PlayerValues!E:E,0)),"N/A")</f>
        <v>17470</v>
      </c>
      <c r="B1365" s="4" t="s">
        <v>841</v>
      </c>
      <c r="C1365" s="4" t="s">
        <v>283</v>
      </c>
      <c r="D1365" s="94">
        <v>1402.0</v>
      </c>
    </row>
    <row r="1366">
      <c r="A1366" s="40">
        <f t="array" ref="A1366">IFNA(index(PlayerValues!A:A,match(IFNA(vlookup(B1366,'Special Names'!A:B,2,FALSE),B1366),PlayerValues!E:E,0)),"N/A")</f>
        <v>15788</v>
      </c>
      <c r="B1366" s="4" t="s">
        <v>627</v>
      </c>
      <c r="C1366" s="4" t="s">
        <v>287</v>
      </c>
      <c r="D1366" s="94">
        <v>1398.0</v>
      </c>
    </row>
    <row r="1367">
      <c r="A1367" s="40">
        <f t="array" ref="A1367">IFNA(index(PlayerValues!A:A,match(IFNA(vlookup(B1367,'Special Names'!A:B,2,FALSE),B1367),PlayerValues!E:E,0)),"N/A")</f>
        <v>17269</v>
      </c>
      <c r="B1367" s="4" t="s">
        <v>718</v>
      </c>
      <c r="C1367" s="4" t="s">
        <v>287</v>
      </c>
      <c r="D1367" s="94">
        <v>1392.0</v>
      </c>
    </row>
    <row r="1368">
      <c r="A1368" s="40">
        <f t="array" ref="A1368">IFNA(index(PlayerValues!A:A,match(IFNA(vlookup(B1368,'Special Names'!A:B,2,FALSE),B1368),PlayerValues!E:E,0)),"N/A")</f>
        <v>17486</v>
      </c>
      <c r="B1368" s="4" t="s">
        <v>695</v>
      </c>
      <c r="C1368" s="4" t="s">
        <v>278</v>
      </c>
      <c r="D1368" s="94">
        <v>1389.0</v>
      </c>
    </row>
    <row r="1369">
      <c r="A1369" s="40">
        <f t="array" ref="A1369">IFNA(index(PlayerValues!A:A,match(IFNA(vlookup(B1369,'Special Names'!A:B,2,FALSE),B1369),PlayerValues!E:E,0)),"N/A")</f>
        <v>17062</v>
      </c>
      <c r="B1369" s="4" t="s">
        <v>701</v>
      </c>
      <c r="C1369" s="4" t="s">
        <v>278</v>
      </c>
      <c r="D1369" s="94">
        <v>1385.0</v>
      </c>
    </row>
    <row r="1370">
      <c r="A1370" s="40">
        <f t="array" ref="A1370">IFNA(index(PlayerValues!A:A,match(IFNA(vlookup(B1370,'Special Names'!A:B,2,FALSE),B1370),PlayerValues!E:E,0)),"N/A")</f>
        <v>17479</v>
      </c>
      <c r="B1370" s="4" t="s">
        <v>756</v>
      </c>
      <c r="C1370" s="4" t="s">
        <v>278</v>
      </c>
      <c r="D1370" s="94">
        <v>1385.0</v>
      </c>
    </row>
    <row r="1371">
      <c r="A1371" s="40">
        <f t="array" ref="A1371">IFNA(index(PlayerValues!A:A,match(IFNA(vlookup(B1371,'Special Names'!A:B,2,FALSE),B1371),PlayerValues!E:E,0)),"N/A")</f>
        <v>16631</v>
      </c>
      <c r="B1371" s="4" t="s">
        <v>800</v>
      </c>
      <c r="C1371" s="4" t="s">
        <v>287</v>
      </c>
      <c r="D1371" s="94">
        <v>1373.0</v>
      </c>
    </row>
    <row r="1372">
      <c r="A1372" s="40">
        <f t="array" ref="A1372">IFNA(index(PlayerValues!A:A,match(IFNA(vlookup(B1372,'Special Names'!A:B,2,FALSE),B1372),PlayerValues!E:E,0)),"N/A")</f>
        <v>17487</v>
      </c>
      <c r="B1372" s="4" t="s">
        <v>692</v>
      </c>
      <c r="C1372" s="4" t="s">
        <v>278</v>
      </c>
      <c r="D1372" s="94">
        <v>1343.0</v>
      </c>
    </row>
    <row r="1373">
      <c r="A1373" s="40">
        <f t="array" ref="A1373">IFNA(index(PlayerValues!A:A,match(IFNA(vlookup(B1373,'Special Names'!A:B,2,FALSE),B1373),PlayerValues!E:E,0)),"N/A")</f>
        <v>15797</v>
      </c>
      <c r="B1373" s="4" t="s">
        <v>556</v>
      </c>
      <c r="C1373" s="4" t="s">
        <v>298</v>
      </c>
      <c r="D1373" s="94">
        <v>1712.0</v>
      </c>
    </row>
    <row r="1374">
      <c r="A1374" s="40">
        <f t="array" ref="A1374">IFNA(index(PlayerValues!A:A,match(IFNA(vlookup(B1374,'Special Names'!A:B,2,FALSE),B1374),PlayerValues!E:E,0)),"N/A")</f>
        <v>15332</v>
      </c>
      <c r="B1374" s="4" t="s">
        <v>698</v>
      </c>
      <c r="C1374" s="4" t="s">
        <v>298</v>
      </c>
      <c r="D1374" s="94">
        <v>1708.0</v>
      </c>
    </row>
    <row r="1375">
      <c r="A1375" s="40">
        <f t="array" ref="A1375">IFNA(index(PlayerValues!A:A,match(IFNA(vlookup(B1375,'Special Names'!A:B,2,FALSE),B1375),PlayerValues!E:E,0)),"N/A")</f>
        <v>14137</v>
      </c>
      <c r="B1375" s="4" t="s">
        <v>676</v>
      </c>
      <c r="C1375" s="4" t="s">
        <v>298</v>
      </c>
      <c r="D1375" s="94">
        <v>1706.0</v>
      </c>
    </row>
    <row r="1376">
      <c r="A1376" s="40">
        <f t="array" ref="A1376">IFNA(index(PlayerValues!A:A,match(IFNA(vlookup(B1376,'Special Names'!A:B,2,FALSE),B1376),PlayerValues!E:E,0)),"N/A")</f>
        <v>15301</v>
      </c>
      <c r="B1376" s="4" t="s">
        <v>657</v>
      </c>
      <c r="C1376" s="4" t="s">
        <v>287</v>
      </c>
      <c r="D1376" s="94">
        <v>1326.0</v>
      </c>
    </row>
    <row r="1377">
      <c r="A1377" s="40">
        <f t="array" ref="A1377">IFNA(index(PlayerValues!A:A,match(IFNA(vlookup(B1377,'Special Names'!A:B,2,FALSE),B1377),PlayerValues!E:E,0)),"N/A")</f>
        <v>15873</v>
      </c>
      <c r="B1377" s="4" t="s">
        <v>681</v>
      </c>
      <c r="C1377" s="4" t="s">
        <v>298</v>
      </c>
      <c r="D1377" s="94">
        <v>1694.0</v>
      </c>
    </row>
    <row r="1378">
      <c r="A1378" s="40">
        <f t="array" ref="A1378">IFNA(index(PlayerValues!A:A,match(IFNA(vlookup(B1378,'Special Names'!A:B,2,FALSE),B1378),PlayerValues!E:E,0)),"N/A")</f>
        <v>16621</v>
      </c>
      <c r="B1378" s="4" t="s">
        <v>672</v>
      </c>
      <c r="C1378" s="4" t="s">
        <v>287</v>
      </c>
      <c r="D1378" s="94">
        <v>1321.0</v>
      </c>
    </row>
    <row r="1379">
      <c r="A1379" s="40">
        <f t="array" ref="A1379">IFNA(index(PlayerValues!A:A,match(IFNA(vlookup(B1379,'Special Names'!A:B,2,FALSE),B1379),PlayerValues!E:E,0)),"N/A")</f>
        <v>16642</v>
      </c>
      <c r="B1379" s="4" t="s">
        <v>691</v>
      </c>
      <c r="C1379" s="4" t="s">
        <v>298</v>
      </c>
      <c r="D1379" s="94">
        <v>1678.0</v>
      </c>
    </row>
    <row r="1380">
      <c r="A1380" s="40">
        <f t="array" ref="A1380">IFNA(index(PlayerValues!A:A,match(IFNA(vlookup(B1380,'Special Names'!A:B,2,FALSE),B1380),PlayerValues!E:E,0)),"N/A")</f>
        <v>16385</v>
      </c>
      <c r="B1380" s="4" t="s">
        <v>690</v>
      </c>
      <c r="C1380" s="4" t="s">
        <v>278</v>
      </c>
      <c r="D1380" s="94">
        <v>1304.0</v>
      </c>
    </row>
    <row r="1381">
      <c r="A1381" s="40" t="str">
        <f t="array" ref="A1381">IFNA(index(PlayerValues!A:A,match(IFNA(vlookup(B1381,'Special Names'!A:B,2,FALSE),B1381),PlayerValues!E:E,0)),"N/A")</f>
        <v>N/A</v>
      </c>
      <c r="B1381" s="4" t="s">
        <v>117</v>
      </c>
      <c r="C1381" s="4" t="s">
        <v>325</v>
      </c>
      <c r="D1381" s="94">
        <v>1289.0</v>
      </c>
    </row>
    <row r="1382">
      <c r="A1382" s="40">
        <f t="array" ref="A1382">IFNA(index(PlayerValues!A:A,match(IFNA(vlookup(B1382,'Special Names'!A:B,2,FALSE),B1382),PlayerValues!E:E,0)),"N/A")</f>
        <v>17526</v>
      </c>
      <c r="B1382" s="4" t="s">
        <v>760</v>
      </c>
      <c r="C1382" s="4" t="s">
        <v>287</v>
      </c>
      <c r="D1382" s="94">
        <v>1287.0</v>
      </c>
    </row>
    <row r="1383">
      <c r="A1383" s="40">
        <f t="array" ref="A1383">IFNA(index(PlayerValues!A:A,match(IFNA(vlookup(B1383,'Special Names'!A:B,2,FALSE),B1383),PlayerValues!E:E,0)),"N/A")</f>
        <v>14592</v>
      </c>
      <c r="B1383" s="4" t="s">
        <v>705</v>
      </c>
      <c r="C1383" s="4" t="s">
        <v>287</v>
      </c>
      <c r="D1383" s="94">
        <v>1276.0</v>
      </c>
    </row>
    <row r="1384">
      <c r="A1384" s="40">
        <f t="array" ref="A1384">IFNA(index(PlayerValues!A:A,match(IFNA(vlookup(B1384,'Special Names'!A:B,2,FALSE),B1384),PlayerValues!E:E,0)),"N/A")</f>
        <v>16175</v>
      </c>
      <c r="B1384" s="4" t="s">
        <v>654</v>
      </c>
      <c r="C1384" s="4" t="s">
        <v>278</v>
      </c>
      <c r="D1384" s="94">
        <v>1263.0</v>
      </c>
    </row>
    <row r="1385">
      <c r="A1385" s="40">
        <f t="array" ref="A1385">IFNA(index(PlayerValues!A:A,match(IFNA(vlookup(B1385,'Special Names'!A:B,2,FALSE),B1385),PlayerValues!E:E,0)),"N/A")</f>
        <v>15292</v>
      </c>
      <c r="B1385" s="4" t="s">
        <v>682</v>
      </c>
      <c r="C1385" s="4" t="s">
        <v>287</v>
      </c>
      <c r="D1385" s="94">
        <v>1262.0</v>
      </c>
    </row>
    <row r="1386">
      <c r="A1386" s="40">
        <f t="array" ref="A1386">IFNA(index(PlayerValues!A:A,match(IFNA(vlookup(B1386,'Special Names'!A:B,2,FALSE),B1386),PlayerValues!E:E,0)),"N/A")</f>
        <v>14086</v>
      </c>
      <c r="B1386" s="4" t="s">
        <v>639</v>
      </c>
      <c r="C1386" s="4" t="s">
        <v>278</v>
      </c>
      <c r="D1386" s="94">
        <v>1253.0</v>
      </c>
    </row>
    <row r="1387">
      <c r="A1387" s="40">
        <f t="array" ref="A1387">IFNA(index(PlayerValues!A:A,match(IFNA(vlookup(B1387,'Special Names'!A:B,2,FALSE),B1387),PlayerValues!E:E,0)),"N/A")</f>
        <v>14108</v>
      </c>
      <c r="B1387" s="4" t="s">
        <v>673</v>
      </c>
      <c r="C1387" s="4" t="s">
        <v>287</v>
      </c>
      <c r="D1387" s="94">
        <v>1249.0</v>
      </c>
    </row>
    <row r="1388">
      <c r="A1388" s="40">
        <f t="array" ref="A1388">IFNA(index(PlayerValues!A:A,match(IFNA(vlookup(B1388,'Special Names'!A:B,2,FALSE),B1388),PlayerValues!E:E,0)),"N/A")</f>
        <v>16451</v>
      </c>
      <c r="B1388" s="4" t="s">
        <v>769</v>
      </c>
      <c r="C1388" s="4" t="s">
        <v>287</v>
      </c>
      <c r="D1388" s="94">
        <v>1243.0</v>
      </c>
    </row>
    <row r="1389">
      <c r="A1389" s="40">
        <f t="array" ref="A1389">IFNA(index(PlayerValues!A:A,match(IFNA(vlookup(B1389,'Special Names'!A:B,2,FALSE),B1389),PlayerValues!E:E,0)),"N/A")</f>
        <v>15981</v>
      </c>
      <c r="B1389" s="4" t="s">
        <v>729</v>
      </c>
      <c r="C1389" s="4" t="s">
        <v>287</v>
      </c>
      <c r="D1389" s="94">
        <v>1230.0</v>
      </c>
    </row>
    <row r="1390">
      <c r="A1390" s="40">
        <f t="array" ref="A1390">IFNA(index(PlayerValues!A:A,match(IFNA(vlookup(B1390,'Special Names'!A:B,2,FALSE),B1390),PlayerValues!E:E,0)),"N/A")</f>
        <v>16183</v>
      </c>
      <c r="B1390" s="4" t="s">
        <v>678</v>
      </c>
      <c r="C1390" s="4" t="s">
        <v>287</v>
      </c>
      <c r="D1390" s="94">
        <v>1223.0</v>
      </c>
    </row>
    <row r="1391">
      <c r="A1391" s="40">
        <f t="array" ref="A1391">IFNA(index(PlayerValues!A:A,match(IFNA(vlookup(B1391,'Special Names'!A:B,2,FALSE),B1391),PlayerValues!E:E,0)),"N/A")</f>
        <v>12263</v>
      </c>
      <c r="B1391" s="4" t="s">
        <v>697</v>
      </c>
      <c r="C1391" s="4" t="s">
        <v>298</v>
      </c>
      <c r="D1391" s="94">
        <v>1588.0</v>
      </c>
    </row>
    <row r="1392">
      <c r="A1392" s="40">
        <f t="array" ref="A1392">IFNA(index(PlayerValues!A:A,match(IFNA(vlookup(B1392,'Special Names'!A:B,2,FALSE),B1392),PlayerValues!E:E,0)),"N/A")</f>
        <v>16792</v>
      </c>
      <c r="B1392" s="4" t="s">
        <v>704</v>
      </c>
      <c r="C1392" s="4" t="s">
        <v>287</v>
      </c>
      <c r="D1392" s="94">
        <v>1202.0</v>
      </c>
    </row>
    <row r="1393">
      <c r="A1393" s="40">
        <f t="array" ref="A1393">IFNA(index(PlayerValues!A:A,match(IFNA(vlookup(B1393,'Special Names'!A:B,2,FALSE),B1393),PlayerValues!E:E,0)),"N/A")</f>
        <v>16149</v>
      </c>
      <c r="B1393" s="4" t="s">
        <v>740</v>
      </c>
      <c r="C1393" s="4" t="s">
        <v>283</v>
      </c>
      <c r="D1393" s="94">
        <v>1198.0</v>
      </c>
    </row>
    <row r="1394">
      <c r="A1394" s="40">
        <f t="array" ref="A1394">IFNA(index(PlayerValues!A:A,match(IFNA(vlookup(B1394,'Special Names'!A:B,2,FALSE),B1394),PlayerValues!E:E,0)),"N/A")</f>
        <v>17063</v>
      </c>
      <c r="B1394" s="4" t="s">
        <v>686</v>
      </c>
      <c r="C1394" s="4" t="s">
        <v>278</v>
      </c>
      <c r="D1394" s="94">
        <v>1188.0</v>
      </c>
    </row>
    <row r="1395">
      <c r="A1395" s="40">
        <f t="array" ref="A1395">IFNA(index(PlayerValues!A:A,match(IFNA(vlookup(B1395,'Special Names'!A:B,2,FALSE),B1395),PlayerValues!E:E,0)),"N/A")</f>
        <v>15240</v>
      </c>
      <c r="B1395" s="4" t="s">
        <v>751</v>
      </c>
      <c r="C1395" s="4" t="s">
        <v>283</v>
      </c>
      <c r="D1395" s="94">
        <v>1186.0</v>
      </c>
    </row>
    <row r="1396">
      <c r="A1396" s="40">
        <f t="array" ref="A1396">IFNA(index(PlayerValues!A:A,match(IFNA(vlookup(B1396,'Special Names'!A:B,2,FALSE),B1396),PlayerValues!E:E,0)),"N/A")</f>
        <v>15702</v>
      </c>
      <c r="B1396" s="4" t="s">
        <v>723</v>
      </c>
      <c r="C1396" s="4" t="s">
        <v>283</v>
      </c>
      <c r="D1396" s="94">
        <v>1175.0</v>
      </c>
    </row>
    <row r="1397">
      <c r="A1397" s="40">
        <f t="array" ref="A1397">IFNA(index(PlayerValues!A:A,match(IFNA(vlookup(B1397,'Special Names'!A:B,2,FALSE),B1397),PlayerValues!E:E,0)),"N/A")</f>
        <v>16636</v>
      </c>
      <c r="B1397" s="4" t="s">
        <v>699</v>
      </c>
      <c r="C1397" s="4" t="s">
        <v>287</v>
      </c>
      <c r="D1397" s="94">
        <v>1172.0</v>
      </c>
    </row>
    <row r="1398">
      <c r="A1398" s="40">
        <f t="array" ref="A1398">IFNA(index(PlayerValues!A:A,match(IFNA(vlookup(B1398,'Special Names'!A:B,2,FALSE),B1398),PlayerValues!E:E,0)),"N/A")</f>
        <v>16746</v>
      </c>
      <c r="B1398" s="4" t="s">
        <v>709</v>
      </c>
      <c r="C1398" s="4" t="s">
        <v>278</v>
      </c>
      <c r="D1398" s="94">
        <v>1167.0</v>
      </c>
    </row>
    <row r="1399">
      <c r="A1399" s="40">
        <f t="array" ref="A1399">IFNA(index(PlayerValues!A:A,match(IFNA(vlookup(B1399,'Special Names'!A:B,2,FALSE),B1399),PlayerValues!E:E,0)),"N/A")</f>
        <v>16199</v>
      </c>
      <c r="B1399" s="4" t="s">
        <v>687</v>
      </c>
      <c r="C1399" s="4" t="s">
        <v>287</v>
      </c>
      <c r="D1399" s="94">
        <v>1160.0</v>
      </c>
    </row>
    <row r="1400">
      <c r="A1400" s="40">
        <f t="array" ref="A1400">IFNA(index(PlayerValues!A:A,match(IFNA(vlookup(B1400,'Special Names'!A:B,2,FALSE),B1400),PlayerValues!E:E,0)),"N/A")</f>
        <v>16645</v>
      </c>
      <c r="B1400" s="4" t="s">
        <v>651</v>
      </c>
      <c r="C1400" s="4" t="s">
        <v>298</v>
      </c>
      <c r="D1400" s="94">
        <v>1526.0</v>
      </c>
    </row>
    <row r="1401">
      <c r="A1401" s="40">
        <f t="array" ref="A1401">IFNA(index(PlayerValues!A:A,match(IFNA(vlookup(B1401,'Special Names'!A:B,2,FALSE),B1401),PlayerValues!E:E,0)),"N/A")</f>
        <v>16883</v>
      </c>
      <c r="B1401" s="4" t="s">
        <v>683</v>
      </c>
      <c r="C1401" s="4" t="s">
        <v>287</v>
      </c>
      <c r="D1401" s="94">
        <v>1160.0</v>
      </c>
    </row>
    <row r="1402">
      <c r="A1402" s="40">
        <f t="array" ref="A1402">IFNA(index(PlayerValues!A:A,match(IFNA(vlookup(B1402,'Special Names'!A:B,2,FALSE),B1402),PlayerValues!E:E,0)),"N/A")</f>
        <v>12678</v>
      </c>
      <c r="B1402" s="4" t="s">
        <v>703</v>
      </c>
      <c r="C1402" s="4" t="s">
        <v>298</v>
      </c>
      <c r="D1402" s="94">
        <v>1524.0</v>
      </c>
    </row>
    <row r="1403">
      <c r="A1403" s="40">
        <f t="array" ref="A1403">IFNA(index(PlayerValues!A:A,match(IFNA(vlookup(B1403,'Special Names'!A:B,2,FALSE),B1403),PlayerValues!E:E,0)),"N/A")</f>
        <v>14789</v>
      </c>
      <c r="B1403" s="4" t="s">
        <v>721</v>
      </c>
      <c r="C1403" s="4" t="s">
        <v>283</v>
      </c>
      <c r="D1403" s="94">
        <v>1153.0</v>
      </c>
    </row>
    <row r="1404">
      <c r="A1404" s="40">
        <f t="array" ref="A1404">IFNA(index(PlayerValues!A:A,match(IFNA(vlookup(B1404,'Special Names'!A:B,2,FALSE),B1404),PlayerValues!E:E,0)),"N/A")</f>
        <v>17097</v>
      </c>
      <c r="B1404" s="4" t="s">
        <v>659</v>
      </c>
      <c r="C1404" s="4" t="s">
        <v>287</v>
      </c>
      <c r="D1404" s="94">
        <v>1148.0</v>
      </c>
    </row>
    <row r="1405">
      <c r="A1405" s="40">
        <f t="array" ref="A1405">IFNA(index(PlayerValues!A:A,match(IFNA(vlookup(B1405,'Special Names'!A:B,2,FALSE),B1405),PlayerValues!E:E,0)),"N/A")</f>
        <v>17054</v>
      </c>
      <c r="B1405" s="4" t="s">
        <v>670</v>
      </c>
      <c r="C1405" s="4" t="s">
        <v>278</v>
      </c>
      <c r="D1405" s="94">
        <v>1136.0</v>
      </c>
    </row>
    <row r="1406">
      <c r="A1406" s="40">
        <f t="array" ref="A1406">IFNA(index(PlayerValues!A:A,match(IFNA(vlookup(B1406,'Special Names'!A:B,2,FALSE),B1406),PlayerValues!E:E,0)),"N/A")</f>
        <v>17050</v>
      </c>
      <c r="B1406" s="4" t="s">
        <v>713</v>
      </c>
      <c r="C1406" s="4" t="s">
        <v>278</v>
      </c>
      <c r="D1406" s="94">
        <v>1135.0</v>
      </c>
    </row>
    <row r="1407">
      <c r="A1407" s="40">
        <f t="array" ref="A1407">IFNA(index(PlayerValues!A:A,match(IFNA(vlookup(B1407,'Special Names'!A:B,2,FALSE),B1407),PlayerValues!E:E,0)),"N/A")</f>
        <v>15692</v>
      </c>
      <c r="B1407" s="4" t="s">
        <v>750</v>
      </c>
      <c r="C1407" s="4" t="s">
        <v>283</v>
      </c>
      <c r="D1407" s="94">
        <v>1134.0</v>
      </c>
    </row>
    <row r="1408">
      <c r="A1408" s="40">
        <f t="array" ref="A1408">IFNA(index(PlayerValues!A:A,match(IFNA(vlookup(B1408,'Special Names'!A:B,2,FALSE),B1408),PlayerValues!E:E,0)),"N/A")</f>
        <v>14845</v>
      </c>
      <c r="B1408" s="4" t="s">
        <v>717</v>
      </c>
      <c r="C1408" s="4" t="s">
        <v>287</v>
      </c>
      <c r="D1408" s="94">
        <v>1133.0</v>
      </c>
    </row>
    <row r="1409">
      <c r="A1409" s="40">
        <f t="array" ref="A1409">IFNA(index(PlayerValues!A:A,match(IFNA(vlookup(B1409,'Special Names'!A:B,2,FALSE),B1409),PlayerValues!E:E,0)),"N/A")</f>
        <v>16221</v>
      </c>
      <c r="B1409" s="4" t="s">
        <v>725</v>
      </c>
      <c r="C1409" s="4" t="s">
        <v>298</v>
      </c>
      <c r="D1409" s="94">
        <v>1500.0</v>
      </c>
    </row>
    <row r="1410">
      <c r="A1410" s="40">
        <f t="array" ref="A1410">IFNA(index(PlayerValues!A:A,match(IFNA(vlookup(B1410,'Special Names'!A:B,2,FALSE),B1410),PlayerValues!E:E,0)),"N/A")</f>
        <v>17109</v>
      </c>
      <c r="B1410" s="4" t="s">
        <v>707</v>
      </c>
      <c r="C1410" s="4" t="s">
        <v>298</v>
      </c>
      <c r="D1410" s="94">
        <v>1490.0</v>
      </c>
    </row>
    <row r="1411">
      <c r="A1411" s="40">
        <f t="array" ref="A1411">IFNA(index(PlayerValues!A:A,match(IFNA(vlookup(B1411,'Special Names'!A:B,2,FALSE),B1411),PlayerValues!E:E,0)),"N/A")</f>
        <v>13289</v>
      </c>
      <c r="B1411" s="4" t="s">
        <v>746</v>
      </c>
      <c r="C1411" s="4" t="s">
        <v>287</v>
      </c>
      <c r="D1411" s="94">
        <v>1117.0</v>
      </c>
    </row>
    <row r="1412">
      <c r="A1412" s="40">
        <f t="array" ref="A1412">IFNA(index(PlayerValues!A:A,match(IFNA(vlookup(B1412,'Special Names'!A:B,2,FALSE),B1412),PlayerValues!E:E,0)),"N/A")</f>
        <v>16333</v>
      </c>
      <c r="B1412" s="4" t="s">
        <v>711</v>
      </c>
      <c r="C1412" s="4" t="s">
        <v>298</v>
      </c>
      <c r="D1412" s="94">
        <v>1481.0</v>
      </c>
    </row>
    <row r="1413">
      <c r="A1413" s="40">
        <f t="array" ref="A1413">IFNA(index(PlayerValues!A:A,match(IFNA(vlookup(B1413,'Special Names'!A:B,2,FALSE),B1413),PlayerValues!E:E,0)),"N/A")</f>
        <v>15239</v>
      </c>
      <c r="B1413" s="4" t="s">
        <v>802</v>
      </c>
      <c r="C1413" s="4" t="s">
        <v>283</v>
      </c>
      <c r="D1413" s="94">
        <v>1113.0</v>
      </c>
    </row>
    <row r="1414">
      <c r="A1414" s="40">
        <f t="array" ref="A1414">IFNA(index(PlayerValues!A:A,match(IFNA(vlookup(B1414,'Special Names'!A:B,2,FALSE),B1414),PlayerValues!E:E,0)),"N/A")</f>
        <v>17192</v>
      </c>
      <c r="B1414" s="4" t="s">
        <v>677</v>
      </c>
      <c r="C1414" s="4" t="s">
        <v>287</v>
      </c>
      <c r="D1414" s="94">
        <v>1104.0</v>
      </c>
    </row>
    <row r="1415">
      <c r="A1415" s="40">
        <f t="array" ref="A1415">IFNA(index(PlayerValues!A:A,match(IFNA(vlookup(B1415,'Special Names'!A:B,2,FALSE),B1415),PlayerValues!E:E,0)),"N/A")</f>
        <v>15288</v>
      </c>
      <c r="B1415" s="4" t="s">
        <v>700</v>
      </c>
      <c r="C1415" s="4" t="s">
        <v>287</v>
      </c>
      <c r="D1415" s="94">
        <v>1102.0</v>
      </c>
    </row>
    <row r="1416">
      <c r="A1416" s="40">
        <f t="array" ref="A1416">IFNA(index(PlayerValues!A:A,match(IFNA(vlookup(B1416,'Special Names'!A:B,2,FALSE),B1416),PlayerValues!E:E,0)),"N/A")</f>
        <v>16384</v>
      </c>
      <c r="B1416" s="4" t="s">
        <v>696</v>
      </c>
      <c r="C1416" s="4" t="s">
        <v>283</v>
      </c>
      <c r="D1416" s="94">
        <v>1098.0</v>
      </c>
    </row>
    <row r="1417">
      <c r="A1417" s="40">
        <f t="array" ref="A1417">IFNA(index(PlayerValues!A:A,match(IFNA(vlookup(B1417,'Special Names'!A:B,2,FALSE),B1417),PlayerValues!E:E,0)),"N/A")</f>
        <v>17175</v>
      </c>
      <c r="B1417" s="4" t="s">
        <v>747</v>
      </c>
      <c r="C1417" s="4" t="s">
        <v>287</v>
      </c>
      <c r="D1417" s="94">
        <v>1091.0</v>
      </c>
    </row>
    <row r="1418">
      <c r="A1418" s="40">
        <f t="array" ref="A1418">IFNA(index(PlayerValues!A:A,match(IFNA(vlookup(B1418,'Special Names'!A:B,2,FALSE),B1418),PlayerValues!E:E,0)),"N/A")</f>
        <v>15717</v>
      </c>
      <c r="B1418" s="4" t="s">
        <v>745</v>
      </c>
      <c r="C1418" s="4" t="s">
        <v>278</v>
      </c>
      <c r="D1418" s="94">
        <v>1083.0</v>
      </c>
    </row>
    <row r="1419">
      <c r="A1419" s="40">
        <f t="array" ref="A1419">IFNA(index(PlayerValues!A:A,match(IFNA(vlookup(B1419,'Special Names'!A:B,2,FALSE),B1419),PlayerValues!E:E,0)),"N/A")</f>
        <v>15718</v>
      </c>
      <c r="B1419" s="4" t="s">
        <v>753</v>
      </c>
      <c r="C1419" s="4" t="s">
        <v>278</v>
      </c>
      <c r="D1419" s="94">
        <v>1079.0</v>
      </c>
    </row>
    <row r="1420">
      <c r="A1420" s="40">
        <f t="array" ref="A1420">IFNA(index(PlayerValues!A:A,match(IFNA(vlookup(B1420,'Special Names'!A:B,2,FALSE),B1420),PlayerValues!E:E,0)),"N/A")</f>
        <v>16197</v>
      </c>
      <c r="B1420" s="4" t="s">
        <v>726</v>
      </c>
      <c r="C1420" s="4" t="s">
        <v>287</v>
      </c>
      <c r="D1420" s="94">
        <v>1073.0</v>
      </c>
    </row>
    <row r="1421">
      <c r="A1421" s="40">
        <f t="array" ref="A1421">IFNA(index(PlayerValues!A:A,match(IFNA(vlookup(B1421,'Special Names'!A:B,2,FALSE),B1421),PlayerValues!E:E,0)),"N/A")</f>
        <v>16219</v>
      </c>
      <c r="B1421" s="4" t="s">
        <v>739</v>
      </c>
      <c r="C1421" s="4" t="s">
        <v>298</v>
      </c>
      <c r="D1421" s="94">
        <v>1439.0</v>
      </c>
    </row>
    <row r="1422">
      <c r="A1422" s="40">
        <f t="array" ref="A1422">IFNA(index(PlayerValues!A:A,match(IFNA(vlookup(B1422,'Special Names'!A:B,2,FALSE),B1422),PlayerValues!E:E,0)),"N/A")</f>
        <v>13610</v>
      </c>
      <c r="B1422" s="4" t="s">
        <v>825</v>
      </c>
      <c r="C1422" s="4" t="s">
        <v>278</v>
      </c>
      <c r="D1422" s="94">
        <v>1069.0</v>
      </c>
    </row>
    <row r="1423">
      <c r="A1423" s="40">
        <f t="array" ref="A1423">IFNA(index(PlayerValues!A:A,match(IFNA(vlookup(B1423,'Special Names'!A:B,2,FALSE),B1423),PlayerValues!E:E,0)),"N/A")</f>
        <v>15730</v>
      </c>
      <c r="B1423" s="4" t="s">
        <v>734</v>
      </c>
      <c r="C1423" s="4" t="s">
        <v>278</v>
      </c>
      <c r="D1423" s="94">
        <v>1069.0</v>
      </c>
    </row>
    <row r="1424">
      <c r="A1424" s="40">
        <f t="array" ref="A1424">IFNA(index(PlayerValues!A:A,match(IFNA(vlookup(B1424,'Special Names'!A:B,2,FALSE),B1424),PlayerValues!E:E,0)),"N/A")</f>
        <v>16387</v>
      </c>
      <c r="B1424" s="4" t="s">
        <v>646</v>
      </c>
      <c r="C1424" s="4" t="s">
        <v>278</v>
      </c>
      <c r="D1424" s="94">
        <v>1056.0</v>
      </c>
    </row>
    <row r="1425">
      <c r="A1425" s="40">
        <f t="array" ref="A1425">IFNA(index(PlayerValues!A:A,match(IFNA(vlookup(B1425,'Special Names'!A:B,2,FALSE),B1425),PlayerValues!E:E,0)),"N/A")</f>
        <v>16640</v>
      </c>
      <c r="B1425" s="4" t="s">
        <v>712</v>
      </c>
      <c r="C1425" s="4" t="s">
        <v>287</v>
      </c>
      <c r="D1425" s="94">
        <v>1055.0</v>
      </c>
    </row>
    <row r="1426">
      <c r="A1426" s="40">
        <f t="array" ref="A1426">IFNA(index(PlayerValues!A:A,match(IFNA(vlookup(B1426,'Special Names'!A:B,2,FALSE),B1426),PlayerValues!E:E,0)),"N/A")</f>
        <v>14849</v>
      </c>
      <c r="B1426" s="4" t="s">
        <v>733</v>
      </c>
      <c r="C1426" s="4" t="s">
        <v>287</v>
      </c>
      <c r="D1426" s="94">
        <v>1042.0</v>
      </c>
    </row>
    <row r="1427">
      <c r="A1427" s="40">
        <f t="array" ref="A1427">IFNA(index(PlayerValues!A:A,match(IFNA(vlookup(B1427,'Special Names'!A:B,2,FALSE),B1427),PlayerValues!E:E,0)),"N/A")</f>
        <v>14118</v>
      </c>
      <c r="B1427" s="4" t="s">
        <v>771</v>
      </c>
      <c r="C1427" s="4" t="s">
        <v>287</v>
      </c>
      <c r="D1427" s="94">
        <v>1038.0</v>
      </c>
    </row>
    <row r="1428">
      <c r="A1428" s="40">
        <f t="array" ref="A1428">IFNA(index(PlayerValues!A:A,match(IFNA(vlookup(B1428,'Special Names'!A:B,2,FALSE),B1428),PlayerValues!E:E,0)),"N/A")</f>
        <v>15720</v>
      </c>
      <c r="B1428" s="4" t="s">
        <v>795</v>
      </c>
      <c r="C1428" s="4" t="s">
        <v>278</v>
      </c>
      <c r="D1428" s="94">
        <v>1033.0</v>
      </c>
    </row>
    <row r="1429">
      <c r="A1429" s="40">
        <f t="array" ref="A1429">IFNA(index(PlayerValues!A:A,match(IFNA(vlookup(B1429,'Special Names'!A:B,2,FALSE),B1429),PlayerValues!E:E,0)),"N/A")</f>
        <v>15693</v>
      </c>
      <c r="B1429" s="4" t="s">
        <v>755</v>
      </c>
      <c r="C1429" s="4" t="s">
        <v>283</v>
      </c>
      <c r="D1429" s="94">
        <v>1029.0</v>
      </c>
    </row>
    <row r="1430">
      <c r="A1430" s="40">
        <f t="array" ref="A1430">IFNA(index(PlayerValues!A:A,match(IFNA(vlookup(B1430,'Special Names'!A:B,2,FALSE),B1430),PlayerValues!E:E,0)),"N/A")</f>
        <v>15785</v>
      </c>
      <c r="B1430" s="4" t="s">
        <v>763</v>
      </c>
      <c r="C1430" s="4" t="s">
        <v>287</v>
      </c>
      <c r="D1430" s="94">
        <v>1027.0</v>
      </c>
    </row>
    <row r="1431">
      <c r="A1431" s="40">
        <f t="array" ref="A1431">IFNA(index(PlayerValues!A:A,match(IFNA(vlookup(B1431,'Special Names'!A:B,2,FALSE),B1431),PlayerValues!E:E,0)),"N/A")</f>
        <v>13143</v>
      </c>
      <c r="B1431" s="4" t="s">
        <v>786</v>
      </c>
      <c r="C1431" s="4" t="s">
        <v>278</v>
      </c>
      <c r="D1431" s="94">
        <v>1024.0</v>
      </c>
    </row>
    <row r="1432">
      <c r="A1432" s="40">
        <f t="array" ref="A1432">IFNA(index(PlayerValues!A:A,match(IFNA(vlookup(B1432,'Special Names'!A:B,2,FALSE),B1432),PlayerValues!E:E,0)),"N/A")</f>
        <v>15626</v>
      </c>
      <c r="B1432" s="4" t="s">
        <v>766</v>
      </c>
      <c r="C1432" s="4" t="s">
        <v>298</v>
      </c>
      <c r="D1432" s="94">
        <v>1389.0</v>
      </c>
    </row>
    <row r="1433">
      <c r="A1433" s="40">
        <f t="array" ref="A1433">IFNA(index(PlayerValues!A:A,match(IFNA(vlookup(B1433,'Special Names'!A:B,2,FALSE),B1433),PlayerValues!E:E,0)),"N/A")</f>
        <v>16637</v>
      </c>
      <c r="B1433" s="4" t="s">
        <v>736</v>
      </c>
      <c r="C1433" s="4" t="s">
        <v>287</v>
      </c>
      <c r="D1433" s="94">
        <v>1014.0</v>
      </c>
    </row>
    <row r="1434">
      <c r="A1434" s="40">
        <f t="array" ref="A1434">IFNA(index(PlayerValues!A:A,match(IFNA(vlookup(B1434,'Special Names'!A:B,2,FALSE),B1434),PlayerValues!E:E,0)),"N/A")</f>
        <v>15283</v>
      </c>
      <c r="B1434" s="4" t="s">
        <v>844</v>
      </c>
      <c r="C1434" s="4" t="s">
        <v>287</v>
      </c>
      <c r="D1434" s="94">
        <v>1006.0</v>
      </c>
    </row>
    <row r="1435">
      <c r="A1435" s="40">
        <f t="array" ref="A1435">IFNA(index(PlayerValues!A:A,match(IFNA(vlookup(B1435,'Special Names'!A:B,2,FALSE),B1435),PlayerValues!E:E,0)),"N/A")</f>
        <v>17057</v>
      </c>
      <c r="B1435" s="4" t="s">
        <v>708</v>
      </c>
      <c r="C1435" s="4" t="s">
        <v>278</v>
      </c>
      <c r="D1435" s="94">
        <v>1005.0</v>
      </c>
    </row>
    <row r="1436">
      <c r="A1436" s="40">
        <f t="array" ref="A1436">IFNA(index(PlayerValues!A:A,match(IFNA(vlookup(B1436,'Special Names'!A:B,2,FALSE),B1436),PlayerValues!E:E,0)),"N/A")</f>
        <v>17467</v>
      </c>
      <c r="B1436" s="4" t="s">
        <v>575</v>
      </c>
      <c r="C1436" s="4" t="s">
        <v>283</v>
      </c>
      <c r="D1436" s="94">
        <v>1003.0</v>
      </c>
    </row>
    <row r="1437">
      <c r="A1437" s="40">
        <f t="array" ref="A1437">IFNA(index(PlayerValues!A:A,match(IFNA(vlookup(B1437,'Special Names'!A:B,2,FALSE),B1437),PlayerValues!E:E,0)),"N/A")</f>
        <v>16168</v>
      </c>
      <c r="B1437" s="4" t="s">
        <v>738</v>
      </c>
      <c r="C1437" s="4" t="s">
        <v>278</v>
      </c>
      <c r="D1437" s="94">
        <v>1000.0</v>
      </c>
    </row>
    <row r="1438">
      <c r="A1438" s="40">
        <f t="array" ref="A1438">IFNA(index(PlayerValues!A:A,match(IFNA(vlookup(B1438,'Special Names'!A:B,2,FALSE),B1438),PlayerValues!E:E,0)),"N/A")</f>
        <v>16393</v>
      </c>
      <c r="B1438" s="4" t="s">
        <v>768</v>
      </c>
      <c r="C1438" s="4" t="s">
        <v>287</v>
      </c>
      <c r="D1438" s="94">
        <v>998.0</v>
      </c>
    </row>
    <row r="1439">
      <c r="A1439" s="40">
        <f t="array" ref="A1439">IFNA(index(PlayerValues!A:A,match(IFNA(vlookup(B1439,'Special Names'!A:B,2,FALSE),B1439),PlayerValues!E:E,0)),"N/A")</f>
        <v>16648</v>
      </c>
      <c r="B1439" s="4" t="s">
        <v>748</v>
      </c>
      <c r="C1439" s="4" t="s">
        <v>298</v>
      </c>
      <c r="D1439" s="94">
        <v>1366.0</v>
      </c>
    </row>
    <row r="1440">
      <c r="A1440" s="40">
        <f t="array" ref="A1440">IFNA(index(PlayerValues!A:A,match(IFNA(vlookup(B1440,'Special Names'!A:B,2,FALSE),B1440),PlayerValues!E:E,0)),"N/A")</f>
        <v>16159</v>
      </c>
      <c r="B1440" s="4" t="s">
        <v>819</v>
      </c>
      <c r="C1440" s="4" t="s">
        <v>283</v>
      </c>
      <c r="D1440" s="94">
        <v>993.0</v>
      </c>
    </row>
    <row r="1441">
      <c r="A1441" s="40">
        <f t="array" ref="A1441">IFNA(index(PlayerValues!A:A,match(IFNA(vlookup(B1441,'Special Names'!A:B,2,FALSE),B1441),PlayerValues!E:E,0)),"N/A")</f>
        <v>16858</v>
      </c>
      <c r="B1441" s="4" t="s">
        <v>754</v>
      </c>
      <c r="C1441" s="4" t="s">
        <v>287</v>
      </c>
      <c r="D1441" s="94">
        <v>990.0</v>
      </c>
    </row>
    <row r="1442">
      <c r="A1442" s="40">
        <f t="array" ref="A1442">IFNA(index(PlayerValues!A:A,match(IFNA(vlookup(B1442,'Special Names'!A:B,2,FALSE),B1442),PlayerValues!E:E,0)),"N/A")</f>
        <v>15330</v>
      </c>
      <c r="B1442" s="4" t="s">
        <v>749</v>
      </c>
      <c r="C1442" s="4" t="s">
        <v>298</v>
      </c>
      <c r="D1442" s="94">
        <v>1354.0</v>
      </c>
    </row>
    <row r="1443">
      <c r="A1443" s="40">
        <f t="array" ref="A1443">IFNA(index(PlayerValues!A:A,match(IFNA(vlookup(B1443,'Special Names'!A:B,2,FALSE),B1443),PlayerValues!E:E,0)),"N/A")</f>
        <v>16957</v>
      </c>
      <c r="B1443" s="4" t="s">
        <v>806</v>
      </c>
      <c r="C1443" s="4" t="s">
        <v>278</v>
      </c>
      <c r="D1443" s="94">
        <v>961.0</v>
      </c>
    </row>
    <row r="1444">
      <c r="A1444" s="40">
        <f t="array" ref="A1444">IFNA(index(PlayerValues!A:A,match(IFNA(vlookup(B1444,'Special Names'!A:B,2,FALSE),B1444),PlayerValues!E:E,0)),"N/A")</f>
        <v>9064</v>
      </c>
      <c r="B1444" s="4" t="s">
        <v>761</v>
      </c>
      <c r="C1444" s="4" t="s">
        <v>283</v>
      </c>
      <c r="D1444" s="94">
        <v>950.0</v>
      </c>
    </row>
    <row r="1445">
      <c r="A1445" s="40">
        <f t="array" ref="A1445">IFNA(index(PlayerValues!A:A,match(IFNA(vlookup(B1445,'Special Names'!A:B,2,FALSE),B1445),PlayerValues!E:E,0)),"N/A")</f>
        <v>14067</v>
      </c>
      <c r="B1445" s="4" t="s">
        <v>735</v>
      </c>
      <c r="C1445" s="4" t="s">
        <v>283</v>
      </c>
      <c r="D1445" s="94">
        <v>947.0</v>
      </c>
    </row>
    <row r="1446">
      <c r="A1446" s="40">
        <f t="array" ref="A1446">IFNA(index(PlayerValues!A:A,match(IFNA(vlookup(B1446,'Special Names'!A:B,2,FALSE),B1446),PlayerValues!E:E,0)),"N/A")</f>
        <v>15766</v>
      </c>
      <c r="B1446" s="4" t="s">
        <v>759</v>
      </c>
      <c r="C1446" s="4" t="s">
        <v>287</v>
      </c>
      <c r="D1446" s="94">
        <v>946.0</v>
      </c>
    </row>
    <row r="1447">
      <c r="A1447" s="40">
        <f t="array" ref="A1447">IFNA(index(PlayerValues!A:A,match(IFNA(vlookup(B1447,'Special Names'!A:B,2,FALSE),B1447),PlayerValues!E:E,0)),"N/A")</f>
        <v>14852</v>
      </c>
      <c r="B1447" s="4" t="s">
        <v>837</v>
      </c>
      <c r="C1447" s="4" t="s">
        <v>278</v>
      </c>
      <c r="D1447" s="94">
        <v>945.0</v>
      </c>
    </row>
    <row r="1448">
      <c r="A1448" s="40">
        <f t="array" ref="A1448">IFNA(index(PlayerValues!A:A,match(IFNA(vlookup(B1448,'Special Names'!A:B,2,FALSE),B1448),PlayerValues!E:E,0)),"N/A")</f>
        <v>16205</v>
      </c>
      <c r="B1448" s="4" t="s">
        <v>742</v>
      </c>
      <c r="C1448" s="4" t="s">
        <v>287</v>
      </c>
      <c r="D1448" s="94">
        <v>945.0</v>
      </c>
    </row>
    <row r="1449">
      <c r="A1449" s="40">
        <f t="array" ref="A1449">IFNA(index(PlayerValues!A:A,match(IFNA(vlookup(B1449,'Special Names'!A:B,2,FALSE),B1449),PlayerValues!E:E,0)),"N/A")</f>
        <v>17337</v>
      </c>
      <c r="B1449" s="4" t="s">
        <v>793</v>
      </c>
      <c r="C1449" s="4" t="s">
        <v>278</v>
      </c>
      <c r="D1449" s="94">
        <v>942.0</v>
      </c>
    </row>
    <row r="1450">
      <c r="A1450" s="40">
        <f t="array" ref="A1450">IFNA(index(PlayerValues!A:A,match(IFNA(vlookup(B1450,'Special Names'!A:B,2,FALSE),B1450),PlayerValues!E:E,0)),"N/A")</f>
        <v>13156</v>
      </c>
      <c r="B1450" s="4" t="s">
        <v>835</v>
      </c>
      <c r="C1450" s="4" t="s">
        <v>287</v>
      </c>
      <c r="D1450" s="94">
        <v>938.0</v>
      </c>
    </row>
    <row r="1451">
      <c r="A1451" s="40">
        <f t="array" ref="A1451">IFNA(index(PlayerValues!A:A,match(IFNA(vlookup(B1451,'Special Names'!A:B,2,FALSE),B1451),PlayerValues!E:E,0)),"N/A")</f>
        <v>13133</v>
      </c>
      <c r="B1451" s="4" t="s">
        <v>764</v>
      </c>
      <c r="C1451" s="4" t="s">
        <v>278</v>
      </c>
      <c r="D1451" s="94">
        <v>937.0</v>
      </c>
    </row>
    <row r="1452">
      <c r="A1452" s="40">
        <f t="array" ref="A1452">IFNA(index(PlayerValues!A:A,match(IFNA(vlookup(B1452,'Special Names'!A:B,2,FALSE),B1452),PlayerValues!E:E,0)),"N/A")</f>
        <v>14864</v>
      </c>
      <c r="B1452" s="4" t="s">
        <v>789</v>
      </c>
      <c r="C1452" s="4" t="s">
        <v>287</v>
      </c>
      <c r="D1452" s="94">
        <v>932.0</v>
      </c>
    </row>
    <row r="1453">
      <c r="A1453" s="40">
        <f t="array" ref="A1453">IFNA(index(PlayerValues!A:A,match(IFNA(vlookup(B1453,'Special Names'!A:B,2,FALSE),B1453),PlayerValues!E:E,0)),"N/A")</f>
        <v>14057</v>
      </c>
      <c r="B1453" s="4" t="s">
        <v>765</v>
      </c>
      <c r="C1453" s="4" t="s">
        <v>283</v>
      </c>
      <c r="D1453" s="94">
        <v>929.0</v>
      </c>
    </row>
    <row r="1454">
      <c r="A1454" s="40">
        <f t="array" ref="A1454">IFNA(index(PlayerValues!A:A,match(IFNA(vlookup(B1454,'Special Names'!A:B,2,FALSE),B1454),PlayerValues!E:E,0)),"N/A")</f>
        <v>13595</v>
      </c>
      <c r="B1454" s="4" t="s">
        <v>818</v>
      </c>
      <c r="C1454" s="4" t="s">
        <v>283</v>
      </c>
      <c r="D1454" s="94">
        <v>929.0</v>
      </c>
    </row>
    <row r="1455">
      <c r="A1455" s="40">
        <f t="array" ref="A1455">IFNA(index(PlayerValues!A:A,match(IFNA(vlookup(B1455,'Special Names'!A:B,2,FALSE),B1455),PlayerValues!E:E,0)),"N/A")</f>
        <v>15109</v>
      </c>
      <c r="B1455" s="4" t="s">
        <v>728</v>
      </c>
      <c r="C1455" s="4" t="s">
        <v>287</v>
      </c>
      <c r="D1455" s="94">
        <v>927.0</v>
      </c>
    </row>
    <row r="1456">
      <c r="A1456" s="40">
        <f t="array" ref="A1456">IFNA(index(PlayerValues!A:A,match(IFNA(vlookup(B1456,'Special Names'!A:B,2,FALSE),B1456),PlayerValues!E:E,0)),"N/A")</f>
        <v>12785</v>
      </c>
      <c r="B1456" s="4" t="s">
        <v>772</v>
      </c>
      <c r="C1456" s="4" t="s">
        <v>287</v>
      </c>
      <c r="D1456" s="94">
        <v>924.0</v>
      </c>
    </row>
    <row r="1457">
      <c r="A1457" s="40">
        <f t="array" ref="A1457">IFNA(index(PlayerValues!A:A,match(IFNA(vlookup(B1457,'Special Names'!A:B,2,FALSE),B1457),PlayerValues!E:E,0)),"N/A")</f>
        <v>16624</v>
      </c>
      <c r="B1457" s="4" t="s">
        <v>796</v>
      </c>
      <c r="C1457" s="4" t="s">
        <v>287</v>
      </c>
      <c r="D1457" s="94">
        <v>922.0</v>
      </c>
    </row>
    <row r="1458">
      <c r="A1458" s="40">
        <f t="array" ref="A1458">IFNA(index(PlayerValues!A:A,match(IFNA(vlookup(B1458,'Special Names'!A:B,2,FALSE),B1458),PlayerValues!E:E,0)),"N/A")</f>
        <v>14079</v>
      </c>
      <c r="B1458" s="4" t="s">
        <v>830</v>
      </c>
      <c r="C1458" s="4" t="s">
        <v>278</v>
      </c>
      <c r="D1458" s="94">
        <v>919.0</v>
      </c>
    </row>
    <row r="1459">
      <c r="A1459" s="40">
        <f t="array" ref="A1459">IFNA(index(PlayerValues!A:A,match(IFNA(vlookup(B1459,'Special Names'!A:B,2,FALSE),B1459),PlayerValues!E:E,0)),"N/A")</f>
        <v>11247</v>
      </c>
      <c r="B1459" s="4" t="s">
        <v>816</v>
      </c>
      <c r="C1459" s="4" t="s">
        <v>298</v>
      </c>
      <c r="D1459" s="94">
        <v>1280.0</v>
      </c>
    </row>
    <row r="1460">
      <c r="A1460" s="40">
        <f t="array" ref="A1460">IFNA(index(PlayerValues!A:A,match(IFNA(vlookup(B1460,'Special Names'!A:B,2,FALSE),B1460),PlayerValues!E:E,0)),"N/A")</f>
        <v>16176</v>
      </c>
      <c r="B1460" s="4" t="s">
        <v>812</v>
      </c>
      <c r="C1460" s="4" t="s">
        <v>278</v>
      </c>
      <c r="D1460" s="94">
        <v>907.0</v>
      </c>
    </row>
    <row r="1461">
      <c r="A1461" s="40">
        <f t="array" ref="A1461">IFNA(index(PlayerValues!A:A,match(IFNA(vlookup(B1461,'Special Names'!A:B,2,FALSE),B1461),PlayerValues!E:E,0)),"N/A")</f>
        <v>17488</v>
      </c>
      <c r="B1461" s="4" t="s">
        <v>845</v>
      </c>
      <c r="C1461" s="4" t="s">
        <v>278</v>
      </c>
      <c r="D1461" s="94">
        <v>907.0</v>
      </c>
    </row>
    <row r="1462">
      <c r="A1462" s="40">
        <f t="array" ref="A1462">IFNA(index(PlayerValues!A:A,match(IFNA(vlookup(B1462,'Special Names'!A:B,2,FALSE),B1462),PlayerValues!E:E,0)),"N/A")</f>
        <v>15723</v>
      </c>
      <c r="B1462" s="4" t="s">
        <v>798</v>
      </c>
      <c r="C1462" s="4" t="s">
        <v>278</v>
      </c>
      <c r="D1462" s="94">
        <v>904.0</v>
      </c>
    </row>
    <row r="1463">
      <c r="A1463" s="40">
        <f t="array" ref="A1463">IFNA(index(PlayerValues!A:A,match(IFNA(vlookup(B1463,'Special Names'!A:B,2,FALSE),B1463),PlayerValues!E:E,0)),"N/A")</f>
        <v>16773</v>
      </c>
      <c r="B1463" s="4" t="s">
        <v>783</v>
      </c>
      <c r="C1463" s="4" t="s">
        <v>278</v>
      </c>
      <c r="D1463" s="94">
        <v>900.0</v>
      </c>
    </row>
    <row r="1464">
      <c r="A1464" s="40">
        <f t="array" ref="A1464">IFNA(index(PlayerValues!A:A,match(IFNA(vlookup(B1464,'Special Names'!A:B,2,FALSE),B1464),PlayerValues!E:E,0)),"N/A")</f>
        <v>13763</v>
      </c>
      <c r="B1464" s="4" t="s">
        <v>831</v>
      </c>
      <c r="C1464" s="4" t="s">
        <v>298</v>
      </c>
      <c r="D1464" s="94">
        <v>1270.0</v>
      </c>
    </row>
    <row r="1465">
      <c r="A1465" s="40">
        <f t="array" ref="A1465">IFNA(index(PlayerValues!A:A,match(IFNA(vlookup(B1465,'Special Names'!A:B,2,FALSE),B1465),PlayerValues!E:E,0)),"N/A")</f>
        <v>16599</v>
      </c>
      <c r="B1465" s="4" t="s">
        <v>737</v>
      </c>
      <c r="C1465" s="4" t="s">
        <v>278</v>
      </c>
      <c r="D1465" s="94">
        <v>894.0</v>
      </c>
    </row>
    <row r="1466">
      <c r="A1466" s="40">
        <f t="array" ref="A1466">IFNA(index(PlayerValues!A:A,match(IFNA(vlookup(B1466,'Special Names'!A:B,2,FALSE),B1466),PlayerValues!E:E,0)),"N/A")</f>
        <v>11232</v>
      </c>
      <c r="B1466" s="4" t="s">
        <v>826</v>
      </c>
      <c r="C1466" s="4" t="s">
        <v>287</v>
      </c>
      <c r="D1466" s="94">
        <v>878.0</v>
      </c>
    </row>
    <row r="1467">
      <c r="A1467" s="40">
        <f t="array" ref="A1467">IFNA(index(PlayerValues!A:A,match(IFNA(vlookup(B1467,'Special Names'!A:B,2,FALSE),B1467),PlayerValues!E:E,0)),"N/A")</f>
        <v>16686</v>
      </c>
      <c r="B1467" s="4" t="s">
        <v>805</v>
      </c>
      <c r="C1467" s="4" t="s">
        <v>287</v>
      </c>
      <c r="D1467" s="94">
        <v>877.0</v>
      </c>
    </row>
    <row r="1468">
      <c r="A1468" s="40">
        <f t="array" ref="A1468">IFNA(index(PlayerValues!A:A,match(IFNA(vlookup(B1468,'Special Names'!A:B,2,FALSE),B1468),PlayerValues!E:E,0)),"N/A")</f>
        <v>14799</v>
      </c>
      <c r="B1468" s="4" t="s">
        <v>829</v>
      </c>
      <c r="C1468" s="4" t="s">
        <v>278</v>
      </c>
      <c r="D1468" s="94">
        <v>870.0</v>
      </c>
    </row>
    <row r="1469">
      <c r="A1469" s="40">
        <f t="array" ref="A1469">IFNA(index(PlayerValues!A:A,match(IFNA(vlookup(B1469,'Special Names'!A:B,2,FALSE),B1469),PlayerValues!E:E,0)),"N/A")</f>
        <v>15796</v>
      </c>
      <c r="B1469" s="4" t="s">
        <v>794</v>
      </c>
      <c r="C1469" s="4" t="s">
        <v>298</v>
      </c>
      <c r="D1469" s="94">
        <v>1242.0</v>
      </c>
    </row>
    <row r="1470">
      <c r="A1470" s="40">
        <f t="array" ref="A1470">IFNA(index(PlayerValues!A:A,match(IFNA(vlookup(B1470,'Special Names'!A:B,2,FALSE),B1470),PlayerValues!E:E,0)),"N/A")</f>
        <v>15263</v>
      </c>
      <c r="B1470" s="4" t="s">
        <v>804</v>
      </c>
      <c r="C1470" s="4" t="s">
        <v>278</v>
      </c>
      <c r="D1470" s="94">
        <v>869.0</v>
      </c>
    </row>
    <row r="1471">
      <c r="A1471" s="40">
        <f t="array" ref="A1471">IFNA(index(PlayerValues!A:A,match(IFNA(vlookup(B1471,'Special Names'!A:B,2,FALSE),B1471),PlayerValues!E:E,0)),"N/A")</f>
        <v>16416</v>
      </c>
      <c r="B1471" s="4" t="s">
        <v>752</v>
      </c>
      <c r="C1471" s="4" t="s">
        <v>287</v>
      </c>
      <c r="D1471" s="94">
        <v>869.0</v>
      </c>
    </row>
    <row r="1472">
      <c r="A1472" s="40">
        <f t="array" ref="A1472">IFNA(index(PlayerValues!A:A,match(IFNA(vlookup(B1472,'Special Names'!A:B,2,FALSE),B1472),PlayerValues!E:E,0)),"N/A")</f>
        <v>13157</v>
      </c>
      <c r="B1472" s="4" t="s">
        <v>836</v>
      </c>
      <c r="C1472" s="4" t="s">
        <v>287</v>
      </c>
      <c r="D1472" s="94">
        <v>868.0</v>
      </c>
    </row>
    <row r="1473">
      <c r="A1473" s="40">
        <f t="array" ref="A1473">IFNA(index(PlayerValues!A:A,match(IFNA(vlookup(B1473,'Special Names'!A:B,2,FALSE),B1473),PlayerValues!E:E,0)),"N/A")</f>
        <v>16608</v>
      </c>
      <c r="B1473" s="4" t="s">
        <v>629</v>
      </c>
      <c r="C1473" s="4" t="s">
        <v>278</v>
      </c>
      <c r="D1473" s="94">
        <v>860.0</v>
      </c>
    </row>
    <row r="1474">
      <c r="A1474" s="40">
        <f t="array" ref="A1474">IFNA(index(PlayerValues!A:A,match(IFNA(vlookup(B1474,'Special Names'!A:B,2,FALSE),B1474),PlayerValues!E:E,0)),"N/A")</f>
        <v>16751</v>
      </c>
      <c r="B1474" s="4" t="s">
        <v>762</v>
      </c>
      <c r="C1474" s="4" t="s">
        <v>287</v>
      </c>
      <c r="D1474" s="94">
        <v>859.0</v>
      </c>
    </row>
    <row r="1475">
      <c r="A1475" s="40">
        <f t="array" ref="A1475">IFNA(index(PlayerValues!A:A,match(IFNA(vlookup(B1475,'Special Names'!A:B,2,FALSE),B1475),PlayerValues!E:E,0)),"N/A")</f>
        <v>15714</v>
      </c>
      <c r="B1475" s="4" t="s">
        <v>775</v>
      </c>
      <c r="C1475" s="4" t="s">
        <v>278</v>
      </c>
      <c r="D1475" s="94">
        <v>855.0</v>
      </c>
    </row>
    <row r="1476">
      <c r="A1476" s="40">
        <f t="array" ref="A1476">IFNA(index(PlayerValues!A:A,match(IFNA(vlookup(B1476,'Special Names'!A:B,2,FALSE),B1476),PlayerValues!E:E,0)),"N/A")</f>
        <v>15804</v>
      </c>
      <c r="B1476" s="4" t="s">
        <v>821</v>
      </c>
      <c r="C1476" s="4" t="s">
        <v>298</v>
      </c>
      <c r="D1476" s="94">
        <v>1226.0</v>
      </c>
    </row>
    <row r="1477">
      <c r="A1477" s="40">
        <f t="array" ref="A1477">IFNA(index(PlayerValues!A:A,match(IFNA(vlookup(B1477,'Special Names'!A:B,2,FALSE),B1477),PlayerValues!E:E,0)),"N/A")</f>
        <v>16623</v>
      </c>
      <c r="B1477" s="4" t="s">
        <v>803</v>
      </c>
      <c r="C1477" s="4" t="s">
        <v>287</v>
      </c>
      <c r="D1477" s="94">
        <v>847.0</v>
      </c>
    </row>
    <row r="1478">
      <c r="A1478" s="40">
        <f t="array" ref="A1478">IFNA(index(PlayerValues!A:A,match(IFNA(vlookup(B1478,'Special Names'!A:B,2,FALSE),B1478),PlayerValues!E:E,0)),"N/A")</f>
        <v>13172</v>
      </c>
      <c r="B1478" s="4" t="s">
        <v>840</v>
      </c>
      <c r="C1478" s="4" t="s">
        <v>287</v>
      </c>
      <c r="D1478" s="94">
        <v>845.0</v>
      </c>
    </row>
    <row r="1479">
      <c r="A1479" s="40">
        <f t="array" ref="A1479">IFNA(index(PlayerValues!A:A,match(IFNA(vlookup(B1479,'Special Names'!A:B,2,FALSE),B1479),PlayerValues!E:E,0)),"N/A")</f>
        <v>15795</v>
      </c>
      <c r="B1479" s="4" t="s">
        <v>669</v>
      </c>
      <c r="C1479" s="4" t="s">
        <v>298</v>
      </c>
      <c r="D1479" s="94">
        <v>1209.0</v>
      </c>
    </row>
    <row r="1480">
      <c r="A1480" s="40">
        <f t="array" ref="A1480">IFNA(index(PlayerValues!A:A,match(IFNA(vlookup(B1480,'Special Names'!A:B,2,FALSE),B1480),PlayerValues!E:E,0)),"N/A")</f>
        <v>16625</v>
      </c>
      <c r="B1480" s="4" t="s">
        <v>778</v>
      </c>
      <c r="C1480" s="4" t="s">
        <v>287</v>
      </c>
      <c r="D1480" s="94">
        <v>830.0</v>
      </c>
    </row>
    <row r="1481">
      <c r="A1481" s="40">
        <f t="array" ref="A1481">IFNA(index(PlayerValues!A:A,match(IFNA(vlookup(B1481,'Special Names'!A:B,2,FALSE),B1481),PlayerValues!E:E,0)),"N/A")</f>
        <v>14209</v>
      </c>
      <c r="B1481" s="4" t="s">
        <v>809</v>
      </c>
      <c r="C1481" s="4" t="s">
        <v>298</v>
      </c>
      <c r="D1481" s="94">
        <v>1198.0</v>
      </c>
    </row>
    <row r="1482">
      <c r="A1482" s="40">
        <f t="array" ref="A1482">IFNA(index(PlayerValues!A:A,match(IFNA(vlookup(B1482,'Special Names'!A:B,2,FALSE),B1482),PlayerValues!E:E,0)),"N/A")</f>
        <v>15271</v>
      </c>
      <c r="B1482" s="4" t="s">
        <v>741</v>
      </c>
      <c r="C1482" s="4" t="s">
        <v>278</v>
      </c>
      <c r="D1482" s="94">
        <v>810.0</v>
      </c>
    </row>
    <row r="1483">
      <c r="A1483" s="40">
        <f t="array" ref="A1483">IFNA(index(PlayerValues!A:A,match(IFNA(vlookup(B1483,'Special Names'!A:B,2,FALSE),B1483),PlayerValues!E:E,0)),"N/A")</f>
        <v>10413</v>
      </c>
      <c r="B1483" s="4" t="s">
        <v>811</v>
      </c>
      <c r="C1483" s="4" t="s">
        <v>283</v>
      </c>
      <c r="D1483" s="94">
        <v>808.0</v>
      </c>
    </row>
    <row r="1484">
      <c r="A1484" s="40">
        <f t="array" ref="A1484">IFNA(index(PlayerValues!A:A,match(IFNA(vlookup(B1484,'Special Names'!A:B,2,FALSE),B1484),PlayerValues!E:E,0)),"N/A")</f>
        <v>12658</v>
      </c>
      <c r="B1484" s="4" t="s">
        <v>823</v>
      </c>
      <c r="C1484" s="4" t="s">
        <v>287</v>
      </c>
      <c r="D1484" s="94">
        <v>807.0</v>
      </c>
    </row>
    <row r="1485">
      <c r="A1485" s="40">
        <f t="array" ref="A1485">IFNA(index(PlayerValues!A:A,match(IFNA(vlookup(B1485,'Special Names'!A:B,2,FALSE),B1485),PlayerValues!E:E,0)),"N/A")</f>
        <v>16606</v>
      </c>
      <c r="B1485" s="4" t="s">
        <v>743</v>
      </c>
      <c r="C1485" s="4" t="s">
        <v>278</v>
      </c>
      <c r="D1485" s="94">
        <v>800.0</v>
      </c>
    </row>
    <row r="1486">
      <c r="A1486" s="40">
        <f t="array" ref="A1486">IFNA(index(PlayerValues!A:A,match(IFNA(vlookup(B1486,'Special Names'!A:B,2,FALSE),B1486),PlayerValues!E:E,0)),"N/A")</f>
        <v>13176</v>
      </c>
      <c r="B1486" s="4" t="s">
        <v>807</v>
      </c>
      <c r="C1486" s="4" t="s">
        <v>287</v>
      </c>
      <c r="D1486" s="94">
        <v>796.0</v>
      </c>
    </row>
    <row r="1487">
      <c r="A1487" s="40">
        <f t="array" ref="A1487">IFNA(index(PlayerValues!A:A,match(IFNA(vlookup(B1487,'Special Names'!A:B,2,FALSE),B1487),PlayerValues!E:E,0)),"N/A")</f>
        <v>14358</v>
      </c>
      <c r="B1487" s="4" t="s">
        <v>813</v>
      </c>
      <c r="C1487" s="4" t="s">
        <v>283</v>
      </c>
      <c r="D1487" s="94">
        <v>784.0</v>
      </c>
    </row>
    <row r="1488">
      <c r="A1488" s="40">
        <f t="array" ref="A1488">IFNA(index(PlayerValues!A:A,match(IFNA(vlookup(B1488,'Special Names'!A:B,2,FALSE),B1488),PlayerValues!E:E,0)),"N/A")</f>
        <v>15285</v>
      </c>
      <c r="B1488" s="4" t="s">
        <v>792</v>
      </c>
      <c r="C1488" s="4" t="s">
        <v>287</v>
      </c>
      <c r="D1488" s="94">
        <v>784.0</v>
      </c>
    </row>
    <row r="1489">
      <c r="A1489" s="40">
        <f t="array" ref="A1489">IFNA(index(PlayerValues!A:A,match(IFNA(vlookup(B1489,'Special Names'!A:B,2,FALSE),B1489),PlayerValues!E:E,0)),"N/A")</f>
        <v>16413</v>
      </c>
      <c r="B1489" s="4" t="s">
        <v>781</v>
      </c>
      <c r="C1489" s="4" t="s">
        <v>287</v>
      </c>
      <c r="D1489" s="94">
        <v>783.0</v>
      </c>
    </row>
    <row r="1490">
      <c r="A1490" s="40">
        <f t="array" ref="A1490">IFNA(index(PlayerValues!A:A,match(IFNA(vlookup(B1490,'Special Names'!A:B,2,FALSE),B1490),PlayerValues!E:E,0)),"N/A")</f>
        <v>17282</v>
      </c>
      <c r="B1490" s="4" t="s">
        <v>833</v>
      </c>
      <c r="C1490" s="4" t="s">
        <v>283</v>
      </c>
      <c r="D1490" s="94">
        <v>778.0</v>
      </c>
    </row>
    <row r="1491">
      <c r="A1491" s="40">
        <f t="array" ref="A1491">IFNA(index(PlayerValues!A:A,match(IFNA(vlookup(B1491,'Special Names'!A:B,2,FALSE),B1491),PlayerValues!E:E,0)),"N/A")</f>
        <v>16632</v>
      </c>
      <c r="B1491" s="4" t="s">
        <v>842</v>
      </c>
      <c r="C1491" s="4" t="s">
        <v>287</v>
      </c>
      <c r="D1491" s="94">
        <v>771.0</v>
      </c>
    </row>
    <row r="1492">
      <c r="A1492" s="40">
        <f t="array" ref="A1492">IFNA(index(PlayerValues!A:A,match(IFNA(vlookup(B1492,'Special Names'!A:B,2,FALSE),B1492),PlayerValues!E:E,0)),"N/A")</f>
        <v>14805</v>
      </c>
      <c r="B1492" s="4" t="s">
        <v>770</v>
      </c>
      <c r="C1492" s="4" t="s">
        <v>278</v>
      </c>
      <c r="D1492" s="94">
        <v>770.0</v>
      </c>
    </row>
    <row r="1493">
      <c r="A1493" s="40">
        <f t="array" ref="A1493">IFNA(index(PlayerValues!A:A,match(IFNA(vlookup(B1493,'Special Names'!A:B,2,FALSE),B1493),PlayerValues!E:E,0)),"N/A")</f>
        <v>15965</v>
      </c>
      <c r="B1493" s="4" t="s">
        <v>791</v>
      </c>
      <c r="C1493" s="4" t="s">
        <v>278</v>
      </c>
      <c r="D1493" s="94">
        <v>770.0</v>
      </c>
    </row>
    <row r="1494">
      <c r="A1494" s="40">
        <f t="array" ref="A1494">IFNA(index(PlayerValues!A:A,match(IFNA(vlookup(B1494,'Special Names'!A:B,2,FALSE),B1494),PlayerValues!E:E,0)),"N/A")</f>
        <v>16678</v>
      </c>
      <c r="B1494" s="4" t="s">
        <v>758</v>
      </c>
      <c r="C1494" s="4" t="s">
        <v>278</v>
      </c>
      <c r="D1494" s="94">
        <v>758.0</v>
      </c>
    </row>
    <row r="1495">
      <c r="A1495" s="40">
        <f t="array" ref="A1495">IFNA(index(PlayerValues!A:A,match(IFNA(vlookup(B1495,'Special Names'!A:B,2,FALSE),B1495),PlayerValues!E:E,0)),"N/A")</f>
        <v>13424</v>
      </c>
      <c r="B1495" s="4" t="s">
        <v>846</v>
      </c>
      <c r="C1495" s="4" t="s">
        <v>298</v>
      </c>
      <c r="D1495" s="94">
        <v>1116.0</v>
      </c>
    </row>
    <row r="1496">
      <c r="A1496" s="40">
        <f t="array" ref="A1496">IFNA(index(PlayerValues!A:A,match(IFNA(vlookup(B1496,'Special Names'!A:B,2,FALSE),B1496),PlayerValues!E:E,0)),"N/A")</f>
        <v>14223</v>
      </c>
      <c r="B1496" s="4" t="s">
        <v>785</v>
      </c>
      <c r="C1496" s="4" t="s">
        <v>278</v>
      </c>
      <c r="D1496" s="94">
        <v>744.0</v>
      </c>
    </row>
    <row r="1497">
      <c r="A1497" s="40">
        <f t="array" ref="A1497">IFNA(index(PlayerValues!A:A,match(IFNA(vlookup(B1497,'Special Names'!A:B,2,FALSE),B1497),PlayerValues!E:E,0)),"N/A")</f>
        <v>13675</v>
      </c>
      <c r="B1497" s="4" t="s">
        <v>839</v>
      </c>
      <c r="C1497" s="4" t="s">
        <v>298</v>
      </c>
      <c r="D1497" s="94">
        <v>1111.0</v>
      </c>
    </row>
    <row r="1498">
      <c r="A1498" s="40">
        <f t="array" ref="A1498">IFNA(index(PlayerValues!A:A,match(IFNA(vlookup(B1498,'Special Names'!A:B,2,FALSE),B1498),PlayerValues!E:E,0)),"N/A")</f>
        <v>17232</v>
      </c>
      <c r="B1498" s="4" t="s">
        <v>784</v>
      </c>
      <c r="C1498" s="4" t="s">
        <v>287</v>
      </c>
      <c r="D1498" s="94">
        <v>735.0</v>
      </c>
    </row>
    <row r="1499">
      <c r="A1499" s="40">
        <f t="array" ref="A1499">IFNA(index(PlayerValues!A:A,match(IFNA(vlookup(B1499,'Special Names'!A:B,2,FALSE),B1499),PlayerValues!E:E,0)),"N/A")</f>
        <v>13377</v>
      </c>
      <c r="B1499" s="4" t="s">
        <v>847</v>
      </c>
      <c r="C1499" s="4" t="s">
        <v>287</v>
      </c>
      <c r="D1499" s="94">
        <v>728.0</v>
      </c>
    </row>
    <row r="1500">
      <c r="A1500" s="40">
        <f t="array" ref="A1500">IFNA(index(PlayerValues!A:A,match(IFNA(vlookup(B1500,'Special Names'!A:B,2,FALSE),B1500),PlayerValues!E:E,0)),"N/A")</f>
        <v>16170</v>
      </c>
      <c r="B1500" s="4" t="s">
        <v>801</v>
      </c>
      <c r="C1500" s="4" t="s">
        <v>278</v>
      </c>
      <c r="D1500" s="94">
        <v>725.0</v>
      </c>
    </row>
    <row r="1501">
      <c r="A1501" s="40">
        <f t="array" ref="A1501">IFNA(index(PlayerValues!A:A,match(IFNA(vlookup(B1501,'Special Names'!A:B,2,FALSE),B1501),PlayerValues!E:E,0)),"N/A")</f>
        <v>13589</v>
      </c>
      <c r="B1501" s="4" t="s">
        <v>282</v>
      </c>
      <c r="C1501" s="4" t="s">
        <v>283</v>
      </c>
      <c r="D1501" s="94">
        <v>9997.0</v>
      </c>
    </row>
    <row r="1502">
      <c r="A1502" s="40">
        <f t="array" ref="A1502">IFNA(index(PlayerValues!A:A,match(IFNA(vlookup(B1502,'Special Names'!A:B,2,FALSE),B1502),PlayerValues!E:E,0)),"N/A")</f>
        <v>16161</v>
      </c>
      <c r="B1502" s="4" t="s">
        <v>277</v>
      </c>
      <c r="C1502" s="4" t="s">
        <v>278</v>
      </c>
      <c r="D1502" s="94">
        <v>9986.0</v>
      </c>
    </row>
    <row r="1503">
      <c r="A1503" s="40">
        <f t="array" ref="A1503">IFNA(index(PlayerValues!A:A,match(IFNA(vlookup(B1503,'Special Names'!A:B,2,FALSE),B1503),PlayerValues!E:E,0)),"N/A")</f>
        <v>16185</v>
      </c>
      <c r="B1503" s="4" t="s">
        <v>290</v>
      </c>
      <c r="C1503" s="4" t="s">
        <v>287</v>
      </c>
      <c r="D1503" s="94">
        <v>9963.0</v>
      </c>
    </row>
    <row r="1504">
      <c r="A1504" s="40">
        <f t="array" ref="A1504">IFNA(index(PlayerValues!A:A,match(IFNA(vlookup(B1504,'Special Names'!A:B,2,FALSE),B1504),PlayerValues!E:E,0)),"N/A")</f>
        <v>15281</v>
      </c>
      <c r="B1504" s="4" t="s">
        <v>286</v>
      </c>
      <c r="C1504" s="4" t="s">
        <v>287</v>
      </c>
      <c r="D1504" s="94">
        <v>9821.0</v>
      </c>
    </row>
    <row r="1505">
      <c r="A1505" s="40">
        <f t="array" ref="A1505">IFNA(index(PlayerValues!A:A,match(IFNA(vlookup(B1505,'Special Names'!A:B,2,FALSE),B1505),PlayerValues!E:E,0)),"N/A")</f>
        <v>16580</v>
      </c>
      <c r="B1505" s="4" t="s">
        <v>291</v>
      </c>
      <c r="C1505" s="4" t="s">
        <v>283</v>
      </c>
      <c r="D1505" s="94">
        <v>9714.0</v>
      </c>
    </row>
    <row r="1506">
      <c r="A1506" s="40">
        <f t="array" ref="A1506">IFNA(index(PlayerValues!A:A,match(IFNA(vlookup(B1506,'Special Names'!A:B,2,FALSE),B1506),PlayerValues!E:E,0)),"N/A")</f>
        <v>16211</v>
      </c>
      <c r="B1506" s="4" t="s">
        <v>294</v>
      </c>
      <c r="C1506" s="4" t="s">
        <v>287</v>
      </c>
      <c r="D1506" s="94">
        <v>9553.0</v>
      </c>
    </row>
    <row r="1507">
      <c r="A1507" s="40">
        <f t="array" ref="A1507">IFNA(index(PlayerValues!A:A,match(IFNA(vlookup(B1507,'Special Names'!A:B,2,FALSE),B1507),PlayerValues!E:E,0)),"N/A")</f>
        <v>16162</v>
      </c>
      <c r="B1507" s="4" t="s">
        <v>281</v>
      </c>
      <c r="C1507" s="4" t="s">
        <v>278</v>
      </c>
      <c r="D1507" s="94">
        <v>9419.0</v>
      </c>
    </row>
    <row r="1508">
      <c r="A1508" s="40">
        <f t="array" ref="A1508">IFNA(index(PlayerValues!A:A,match(IFNA(vlookup(B1508,'Special Names'!A:B,2,FALSE),B1508),PlayerValues!E:E,0)),"N/A")</f>
        <v>16615</v>
      </c>
      <c r="B1508" s="4" t="s">
        <v>309</v>
      </c>
      <c r="C1508" s="4" t="s">
        <v>287</v>
      </c>
      <c r="D1508" s="94">
        <v>7738.0</v>
      </c>
    </row>
    <row r="1509">
      <c r="A1509" s="40">
        <f t="array" ref="A1509">IFNA(index(PlayerValues!A:A,match(IFNA(vlookup(B1509,'Special Names'!A:B,2,FALSE),B1509),PlayerValues!E:E,0)),"N/A")</f>
        <v>15794</v>
      </c>
      <c r="B1509" s="4" t="s">
        <v>313</v>
      </c>
      <c r="C1509" s="4" t="s">
        <v>298</v>
      </c>
      <c r="D1509" s="94">
        <v>8530.0</v>
      </c>
    </row>
    <row r="1510">
      <c r="A1510" s="40">
        <f t="array" ref="A1510">IFNA(index(PlayerValues!A:A,match(IFNA(vlookup(B1510,'Special Names'!A:B,2,FALSE),B1510),PlayerValues!E:E,0)),"N/A")</f>
        <v>15287</v>
      </c>
      <c r="B1510" s="4" t="s">
        <v>299</v>
      </c>
      <c r="C1510" s="4" t="s">
        <v>287</v>
      </c>
      <c r="D1510" s="94">
        <v>7648.0</v>
      </c>
    </row>
    <row r="1511">
      <c r="A1511" s="40">
        <f t="array" ref="A1511">IFNA(index(PlayerValues!A:A,match(IFNA(vlookup(B1511,'Special Names'!A:B,2,FALSE),B1511),PlayerValues!E:E,0)),"N/A")</f>
        <v>16641</v>
      </c>
      <c r="B1511" s="4" t="s">
        <v>297</v>
      </c>
      <c r="C1511" s="4" t="s">
        <v>298</v>
      </c>
      <c r="D1511" s="94">
        <v>8425.0</v>
      </c>
    </row>
    <row r="1512">
      <c r="A1512" s="40">
        <f t="array" ref="A1512">IFNA(index(PlayerValues!A:A,match(IFNA(vlookup(B1512,'Special Names'!A:B,2,FALSE),B1512),PlayerValues!E:E,0)),"N/A")</f>
        <v>16581</v>
      </c>
      <c r="B1512" s="4" t="s">
        <v>315</v>
      </c>
      <c r="C1512" s="4" t="s">
        <v>283</v>
      </c>
      <c r="D1512" s="94">
        <v>7607.0</v>
      </c>
    </row>
    <row r="1513">
      <c r="A1513" s="40">
        <f t="array" ref="A1513">IFNA(index(PlayerValues!A:A,match(IFNA(vlookup(B1513,'Special Names'!A:B,2,FALSE),B1513),PlayerValues!E:E,0)),"N/A")</f>
        <v>16579</v>
      </c>
      <c r="B1513" s="4" t="s">
        <v>302</v>
      </c>
      <c r="C1513" s="4" t="s">
        <v>283</v>
      </c>
      <c r="D1513" s="94">
        <v>7599.0</v>
      </c>
    </row>
    <row r="1514">
      <c r="A1514" s="40">
        <f t="array" ref="A1514">IFNA(index(PlayerValues!A:A,match(IFNA(vlookup(B1514,'Special Names'!A:B,2,FALSE),B1514),PlayerValues!E:E,0)),"N/A")</f>
        <v>13593</v>
      </c>
      <c r="B1514" s="4" t="s">
        <v>305</v>
      </c>
      <c r="C1514" s="4" t="s">
        <v>283</v>
      </c>
      <c r="D1514" s="94">
        <v>7516.0</v>
      </c>
    </row>
    <row r="1515">
      <c r="A1515" s="40">
        <f t="array" ref="A1515">IFNA(index(PlayerValues!A:A,match(IFNA(vlookup(B1515,'Special Names'!A:B,2,FALSE),B1515),PlayerValues!E:E,0)),"N/A")</f>
        <v>14836</v>
      </c>
      <c r="B1515" s="4" t="s">
        <v>306</v>
      </c>
      <c r="C1515" s="4" t="s">
        <v>287</v>
      </c>
      <c r="D1515" s="94">
        <v>7410.0</v>
      </c>
    </row>
    <row r="1516">
      <c r="A1516" s="40">
        <f t="array" ref="A1516">IFNA(index(PlayerValues!A:A,match(IFNA(vlookup(B1516,'Special Names'!A:B,2,FALSE),B1516),PlayerValues!E:E,0)),"N/A")</f>
        <v>14832</v>
      </c>
      <c r="B1516" s="4" t="s">
        <v>319</v>
      </c>
      <c r="C1516" s="4" t="s">
        <v>287</v>
      </c>
      <c r="D1516" s="94">
        <v>7349.0</v>
      </c>
    </row>
    <row r="1517">
      <c r="A1517" s="40">
        <f t="array" ref="A1517">IFNA(index(PlayerValues!A:A,match(IFNA(vlookup(B1517,'Special Names'!A:B,2,FALSE),B1517),PlayerValues!E:E,0)),"N/A")</f>
        <v>14777</v>
      </c>
      <c r="B1517" s="4" t="s">
        <v>318</v>
      </c>
      <c r="C1517" s="4" t="s">
        <v>283</v>
      </c>
      <c r="D1517" s="94">
        <v>7238.0</v>
      </c>
    </row>
    <row r="1518">
      <c r="A1518" s="40">
        <f t="array" ref="A1518">IFNA(index(PlayerValues!A:A,match(IFNA(vlookup(B1518,'Special Names'!A:B,2,FALSE),B1518),PlayerValues!E:E,0)),"N/A")</f>
        <v>17042</v>
      </c>
      <c r="B1518" s="4" t="s">
        <v>314</v>
      </c>
      <c r="C1518" s="4" t="s">
        <v>278</v>
      </c>
      <c r="D1518" s="94">
        <v>7198.0</v>
      </c>
    </row>
    <row r="1519">
      <c r="A1519" s="40">
        <f t="array" ref="A1519">IFNA(index(PlayerValues!A:A,match(IFNA(vlookup(B1519,'Special Names'!A:B,2,FALSE),B1519),PlayerValues!E:E,0)),"N/A")</f>
        <v>16167</v>
      </c>
      <c r="B1519" s="4" t="s">
        <v>323</v>
      </c>
      <c r="C1519" s="4" t="s">
        <v>278</v>
      </c>
      <c r="D1519" s="94">
        <v>7103.0</v>
      </c>
    </row>
    <row r="1520">
      <c r="A1520" s="40">
        <f t="array" ref="A1520">IFNA(index(PlayerValues!A:A,match(IFNA(vlookup(B1520,'Special Names'!A:B,2,FALSE),B1520),PlayerValues!E:E,0)),"N/A")</f>
        <v>15751</v>
      </c>
      <c r="B1520" s="4" t="s">
        <v>328</v>
      </c>
      <c r="C1520" s="4" t="s">
        <v>287</v>
      </c>
      <c r="D1520" s="94">
        <v>7006.0</v>
      </c>
    </row>
    <row r="1521">
      <c r="A1521" s="40">
        <f t="array" ref="A1521">IFNA(index(PlayerValues!A:A,match(IFNA(vlookup(B1521,'Special Names'!A:B,2,FALSE),B1521),PlayerValues!E:E,0)),"N/A")</f>
        <v>14779</v>
      </c>
      <c r="B1521" s="4" t="s">
        <v>327</v>
      </c>
      <c r="C1521" s="4" t="s">
        <v>283</v>
      </c>
      <c r="D1521" s="94">
        <v>6843.0</v>
      </c>
    </row>
    <row r="1522">
      <c r="A1522" s="40">
        <f t="array" ref="A1522">IFNA(index(PlayerValues!A:A,match(IFNA(vlookup(B1522,'Special Names'!A:B,2,FALSE),B1522),PlayerValues!E:E,0)),"N/A")</f>
        <v>17472</v>
      </c>
      <c r="B1522" s="4" t="s">
        <v>310</v>
      </c>
      <c r="C1522" s="4" t="s">
        <v>278</v>
      </c>
      <c r="D1522" s="94">
        <v>6748.0</v>
      </c>
    </row>
    <row r="1523">
      <c r="A1523" s="40" t="str">
        <f t="array" ref="A1523">IFNA(index(PlayerValues!A:A,match(IFNA(vlookup(B1523,'Special Names'!A:B,2,FALSE),B1523),PlayerValues!E:E,0)),"N/A")</f>
        <v>N/A</v>
      </c>
      <c r="B1523" s="4" t="s">
        <v>92</v>
      </c>
      <c r="C1523" s="4" t="s">
        <v>325</v>
      </c>
      <c r="D1523" s="94">
        <v>6634.0</v>
      </c>
    </row>
    <row r="1524">
      <c r="A1524" s="40">
        <f t="array" ref="A1524">IFNA(index(PlayerValues!A:A,match(IFNA(vlookup(B1524,'Special Names'!A:B,2,FALSE),B1524),PlayerValues!E:E,0)),"N/A")</f>
        <v>17044</v>
      </c>
      <c r="B1524" s="4" t="s">
        <v>322</v>
      </c>
      <c r="C1524" s="4" t="s">
        <v>278</v>
      </c>
      <c r="D1524" s="94">
        <v>6621.0</v>
      </c>
    </row>
    <row r="1525">
      <c r="A1525" s="40">
        <f t="array" ref="A1525">IFNA(index(PlayerValues!A:A,match(IFNA(vlookup(B1525,'Special Names'!A:B,2,FALSE),B1525),PlayerValues!E:E,0)),"N/A")</f>
        <v>13116</v>
      </c>
      <c r="B1525" s="4" t="s">
        <v>345</v>
      </c>
      <c r="C1525" s="4" t="s">
        <v>283</v>
      </c>
      <c r="D1525" s="94">
        <v>6608.0</v>
      </c>
    </row>
    <row r="1526">
      <c r="A1526" s="40">
        <f t="array" ref="A1526">IFNA(index(PlayerValues!A:A,match(IFNA(vlookup(B1526,'Special Names'!A:B,2,FALSE),B1526),PlayerValues!E:E,0)),"N/A")</f>
        <v>17032</v>
      </c>
      <c r="B1526" s="4" t="s">
        <v>348</v>
      </c>
      <c r="C1526" s="4" t="s">
        <v>283</v>
      </c>
      <c r="D1526" s="94">
        <v>6600.0</v>
      </c>
    </row>
    <row r="1527">
      <c r="A1527" s="40">
        <f t="array" ref="A1527">IFNA(index(PlayerValues!A:A,match(IFNA(vlookup(B1527,'Special Names'!A:B,2,FALSE),B1527),PlayerValues!E:E,0)),"N/A")</f>
        <v>17071</v>
      </c>
      <c r="B1527" s="4" t="s">
        <v>341</v>
      </c>
      <c r="C1527" s="4" t="s">
        <v>287</v>
      </c>
      <c r="D1527" s="94">
        <v>6571.0</v>
      </c>
    </row>
    <row r="1528">
      <c r="A1528" s="40">
        <f t="array" ref="A1528">IFNA(index(PlayerValues!A:A,match(IFNA(vlookup(B1528,'Special Names'!A:B,2,FALSE),B1528),PlayerValues!E:E,0)),"N/A")</f>
        <v>14783</v>
      </c>
      <c r="B1528" s="4" t="s">
        <v>342</v>
      </c>
      <c r="C1528" s="4" t="s">
        <v>283</v>
      </c>
      <c r="D1528" s="94">
        <v>6396.0</v>
      </c>
    </row>
    <row r="1529">
      <c r="A1529" s="40">
        <f t="array" ref="A1529">IFNA(index(PlayerValues!A:A,match(IFNA(vlookup(B1529,'Special Names'!A:B,2,FALSE),B1529),PlayerValues!E:E,0)),"N/A")</f>
        <v>15237</v>
      </c>
      <c r="B1529" s="4" t="s">
        <v>336</v>
      </c>
      <c r="C1529" s="4" t="s">
        <v>283</v>
      </c>
      <c r="D1529" s="94">
        <v>6315.0</v>
      </c>
    </row>
    <row r="1530">
      <c r="A1530" s="40">
        <f t="array" ref="A1530">IFNA(index(PlayerValues!A:A,match(IFNA(vlookup(B1530,'Special Names'!A:B,2,FALSE),B1530),PlayerValues!E:E,0)),"N/A")</f>
        <v>16582</v>
      </c>
      <c r="B1530" s="4" t="s">
        <v>343</v>
      </c>
      <c r="C1530" s="4" t="s">
        <v>283</v>
      </c>
      <c r="D1530" s="94">
        <v>6197.0</v>
      </c>
    </row>
    <row r="1531">
      <c r="A1531" s="40">
        <f t="array" ref="A1531">IFNA(index(PlayerValues!A:A,match(IFNA(vlookup(B1531,'Special Names'!A:B,2,FALSE),B1531),PlayerValues!E:E,0)),"N/A")</f>
        <v>14802</v>
      </c>
      <c r="B1531" s="4" t="s">
        <v>332</v>
      </c>
      <c r="C1531" s="4" t="s">
        <v>278</v>
      </c>
      <c r="D1531" s="94">
        <v>6188.0</v>
      </c>
    </row>
    <row r="1532">
      <c r="A1532" s="40">
        <f t="array" ref="A1532">IFNA(index(PlayerValues!A:A,match(IFNA(vlookup(B1532,'Special Names'!A:B,2,FALSE),B1532),PlayerValues!E:E,0)),"N/A")</f>
        <v>15715</v>
      </c>
      <c r="B1532" s="4" t="s">
        <v>331</v>
      </c>
      <c r="C1532" s="4" t="s">
        <v>278</v>
      </c>
      <c r="D1532" s="94">
        <v>6165.0</v>
      </c>
    </row>
    <row r="1533">
      <c r="A1533" s="40">
        <f t="array" ref="A1533">IFNA(index(PlayerValues!A:A,match(IFNA(vlookup(B1533,'Special Names'!A:B,2,FALSE),B1533),PlayerValues!E:E,0)),"N/A")</f>
        <v>15762</v>
      </c>
      <c r="B1533" s="4" t="s">
        <v>337</v>
      </c>
      <c r="C1533" s="4" t="s">
        <v>287</v>
      </c>
      <c r="D1533" s="94">
        <v>6154.0</v>
      </c>
    </row>
    <row r="1534">
      <c r="A1534" s="40">
        <f t="array" ref="A1534">IFNA(index(PlayerValues!A:A,match(IFNA(vlookup(B1534,'Special Names'!A:B,2,FALSE),B1534),PlayerValues!E:E,0)),"N/A")</f>
        <v>15698</v>
      </c>
      <c r="B1534" s="4" t="s">
        <v>358</v>
      </c>
      <c r="C1534" s="4" t="s">
        <v>283</v>
      </c>
      <c r="D1534" s="94">
        <v>6098.0</v>
      </c>
    </row>
    <row r="1535">
      <c r="A1535" s="40" t="str">
        <f t="array" ref="A1535">IFNA(index(PlayerValues!A:A,match(IFNA(vlookup(B1535,'Special Names'!A:B,2,FALSE),B1535),PlayerValues!E:E,0)),"N/A")</f>
        <v>N/A</v>
      </c>
      <c r="B1535" s="4" t="s">
        <v>79</v>
      </c>
      <c r="C1535" s="4" t="s">
        <v>325</v>
      </c>
      <c r="D1535" s="94">
        <v>6044.0</v>
      </c>
    </row>
    <row r="1536">
      <c r="A1536" s="40">
        <f t="array" ref="A1536">IFNA(index(PlayerValues!A:A,match(IFNA(vlookup(B1536,'Special Names'!A:B,2,FALSE),B1536),PlayerValues!E:E,0)),"N/A")</f>
        <v>17081</v>
      </c>
      <c r="B1536" s="4" t="s">
        <v>340</v>
      </c>
      <c r="C1536" s="4" t="s">
        <v>287</v>
      </c>
      <c r="D1536" s="94">
        <v>6005.0</v>
      </c>
    </row>
    <row r="1537">
      <c r="A1537" s="40">
        <f t="array" ref="A1537">IFNA(index(PlayerValues!A:A,match(IFNA(vlookup(B1537,'Special Names'!A:B,2,FALSE),B1537),PlayerValues!E:E,0)),"N/A")</f>
        <v>15290</v>
      </c>
      <c r="B1537" s="4" t="s">
        <v>355</v>
      </c>
      <c r="C1537" s="4" t="s">
        <v>287</v>
      </c>
      <c r="D1537" s="94">
        <v>5983.0</v>
      </c>
    </row>
    <row r="1538">
      <c r="A1538" s="40">
        <f t="array" ref="A1538">IFNA(index(PlayerValues!A:A,match(IFNA(vlookup(B1538,'Special Names'!A:B,2,FALSE),B1538),PlayerValues!E:E,0)),"N/A")</f>
        <v>17043</v>
      </c>
      <c r="B1538" s="4" t="s">
        <v>397</v>
      </c>
      <c r="C1538" s="4" t="s">
        <v>278</v>
      </c>
      <c r="D1538" s="94">
        <v>5966.0</v>
      </c>
    </row>
    <row r="1539">
      <c r="A1539" s="40">
        <f t="array" ref="A1539">IFNA(index(PlayerValues!A:A,match(IFNA(vlookup(B1539,'Special Names'!A:B,2,FALSE),B1539),PlayerValues!E:E,0)),"N/A")</f>
        <v>17104</v>
      </c>
      <c r="B1539" s="4" t="s">
        <v>333</v>
      </c>
      <c r="C1539" s="4" t="s">
        <v>298</v>
      </c>
      <c r="D1539" s="94">
        <v>6491.0</v>
      </c>
    </row>
    <row r="1540">
      <c r="A1540" s="40">
        <f t="array" ref="A1540">IFNA(index(PlayerValues!A:A,match(IFNA(vlookup(B1540,'Special Names'!A:B,2,FALSE),B1540),PlayerValues!E:E,0)),"N/A")</f>
        <v>15753</v>
      </c>
      <c r="B1540" s="4" t="s">
        <v>359</v>
      </c>
      <c r="C1540" s="4" t="s">
        <v>287</v>
      </c>
      <c r="D1540" s="94">
        <v>5819.0</v>
      </c>
    </row>
    <row r="1541">
      <c r="A1541" s="40">
        <f t="array" ref="A1541">IFNA(index(PlayerValues!A:A,match(IFNA(vlookup(B1541,'Special Names'!A:B,2,FALSE),B1541),PlayerValues!E:E,0)),"N/A")</f>
        <v>15754</v>
      </c>
      <c r="B1541" s="4" t="s">
        <v>354</v>
      </c>
      <c r="C1541" s="4" t="s">
        <v>287</v>
      </c>
      <c r="D1541" s="94">
        <v>5805.0</v>
      </c>
    </row>
    <row r="1542">
      <c r="A1542" s="40">
        <f t="array" ref="A1542">IFNA(index(PlayerValues!A:A,match(IFNA(vlookup(B1542,'Special Names'!A:B,2,FALSE),B1542),PlayerValues!E:E,0)),"N/A")</f>
        <v>14782</v>
      </c>
      <c r="B1542" s="4" t="s">
        <v>385</v>
      </c>
      <c r="C1542" s="4" t="s">
        <v>283</v>
      </c>
      <c r="D1542" s="94">
        <v>5702.0</v>
      </c>
    </row>
    <row r="1543">
      <c r="A1543" s="40">
        <f t="array" ref="A1543">IFNA(index(PlayerValues!A:A,match(IFNA(vlookup(B1543,'Special Names'!A:B,2,FALSE),B1543),PlayerValues!E:E,0)),"N/A")</f>
        <v>17102</v>
      </c>
      <c r="B1543" s="4" t="s">
        <v>344</v>
      </c>
      <c r="C1543" s="4" t="s">
        <v>298</v>
      </c>
      <c r="D1543" s="94">
        <v>6248.0</v>
      </c>
    </row>
    <row r="1544">
      <c r="A1544" s="40">
        <f t="array" ref="A1544">IFNA(index(PlayerValues!A:A,match(IFNA(vlookup(B1544,'Special Names'!A:B,2,FALSE),B1544),PlayerValues!E:E,0)),"N/A")</f>
        <v>17462</v>
      </c>
      <c r="B1544" s="4" t="s">
        <v>375</v>
      </c>
      <c r="C1544" s="4" t="s">
        <v>283</v>
      </c>
      <c r="D1544" s="94">
        <v>5583.0</v>
      </c>
    </row>
    <row r="1545">
      <c r="A1545" s="40">
        <f t="array" ref="A1545">IFNA(index(PlayerValues!A:A,match(IFNA(vlookup(B1545,'Special Names'!A:B,2,FALSE),B1545),PlayerValues!E:E,0)),"N/A")</f>
        <v>17051</v>
      </c>
      <c r="B1545" s="4" t="s">
        <v>386</v>
      </c>
      <c r="C1545" s="4" t="s">
        <v>278</v>
      </c>
      <c r="D1545" s="94">
        <v>5508.0</v>
      </c>
    </row>
    <row r="1546">
      <c r="A1546" s="40">
        <f t="array" ref="A1546">IFNA(index(PlayerValues!A:A,match(IFNA(vlookup(B1546,'Special Names'!A:B,2,FALSE),B1546),PlayerValues!E:E,0)),"N/A")</f>
        <v>15708</v>
      </c>
      <c r="B1546" s="4" t="s">
        <v>382</v>
      </c>
      <c r="C1546" s="4" t="s">
        <v>278</v>
      </c>
      <c r="D1546" s="94">
        <v>5486.0</v>
      </c>
    </row>
    <row r="1547">
      <c r="A1547" s="40">
        <f t="array" ref="A1547">IFNA(index(PlayerValues!A:A,match(IFNA(vlookup(B1547,'Special Names'!A:B,2,FALSE),B1547),PlayerValues!E:E,0)),"N/A")</f>
        <v>16598</v>
      </c>
      <c r="B1547" s="4" t="s">
        <v>408</v>
      </c>
      <c r="C1547" s="4" t="s">
        <v>278</v>
      </c>
      <c r="D1547" s="94">
        <v>5486.0</v>
      </c>
    </row>
    <row r="1548">
      <c r="A1548" s="40">
        <f t="array" ref="A1548">IFNA(index(PlayerValues!A:A,match(IFNA(vlookup(B1548,'Special Names'!A:B,2,FALSE),B1548),PlayerValues!E:E,0)),"N/A")</f>
        <v>16194</v>
      </c>
      <c r="B1548" s="4" t="s">
        <v>398</v>
      </c>
      <c r="C1548" s="4" t="s">
        <v>287</v>
      </c>
      <c r="D1548" s="94">
        <v>5404.0</v>
      </c>
    </row>
    <row r="1549">
      <c r="A1549" s="40" t="str">
        <f t="array" ref="A1549">IFNA(index(PlayerValues!A:A,match(IFNA(vlookup(B1549,'Special Names'!A:B,2,FALSE),B1549),PlayerValues!E:E,0)),"N/A")</f>
        <v>N/A</v>
      </c>
      <c r="B1549" s="4" t="s">
        <v>93</v>
      </c>
      <c r="C1549" s="4" t="s">
        <v>325</v>
      </c>
      <c r="D1549" s="94">
        <v>5404.0</v>
      </c>
    </row>
    <row r="1550">
      <c r="A1550" s="40">
        <f t="array" ref="A1550">IFNA(index(PlayerValues!A:A,match(IFNA(vlookup(B1550,'Special Names'!A:B,2,FALSE),B1550),PlayerValues!E:E,0)),"N/A")</f>
        <v>17499</v>
      </c>
      <c r="B1550" s="4" t="s">
        <v>402</v>
      </c>
      <c r="C1550" s="4" t="s">
        <v>287</v>
      </c>
      <c r="D1550" s="94">
        <v>5391.0</v>
      </c>
    </row>
    <row r="1551">
      <c r="A1551" s="40">
        <f t="array" ref="A1551">IFNA(index(PlayerValues!A:A,match(IFNA(vlookup(B1551,'Special Names'!A:B,2,FALSE),B1551),PlayerValues!E:E,0)),"N/A")</f>
        <v>16627</v>
      </c>
      <c r="B1551" s="4" t="s">
        <v>351</v>
      </c>
      <c r="C1551" s="4" t="s">
        <v>287</v>
      </c>
      <c r="D1551" s="94">
        <v>5376.0</v>
      </c>
    </row>
    <row r="1552">
      <c r="A1552" s="40">
        <f t="array" ref="A1552">IFNA(index(PlayerValues!A:A,match(IFNA(vlookup(B1552,'Special Names'!A:B,2,FALSE),B1552),PlayerValues!E:E,0)),"N/A")</f>
        <v>16616</v>
      </c>
      <c r="B1552" s="4" t="s">
        <v>389</v>
      </c>
      <c r="C1552" s="4" t="s">
        <v>287</v>
      </c>
      <c r="D1552" s="94">
        <v>5245.0</v>
      </c>
    </row>
    <row r="1553">
      <c r="A1553" s="40">
        <f t="array" ref="A1553">IFNA(index(PlayerValues!A:A,match(IFNA(vlookup(B1553,'Special Names'!A:B,2,FALSE),B1553),PlayerValues!E:E,0)),"N/A")</f>
        <v>13130</v>
      </c>
      <c r="B1553" s="4" t="s">
        <v>374</v>
      </c>
      <c r="C1553" s="4" t="s">
        <v>278</v>
      </c>
      <c r="D1553" s="94">
        <v>5183.0</v>
      </c>
    </row>
    <row r="1554">
      <c r="A1554" s="40">
        <f t="array" ref="A1554">IFNA(index(PlayerValues!A:A,match(IFNA(vlookup(B1554,'Special Names'!A:B,2,FALSE),B1554),PlayerValues!E:E,0)),"N/A")</f>
        <v>17497</v>
      </c>
      <c r="B1554" s="4" t="s">
        <v>365</v>
      </c>
      <c r="C1554" s="4" t="s">
        <v>287</v>
      </c>
      <c r="D1554" s="94">
        <v>5182.0</v>
      </c>
    </row>
    <row r="1555">
      <c r="A1555" s="40">
        <f t="array" ref="A1555">IFNA(index(PlayerValues!A:A,match(IFNA(vlookup(B1555,'Special Names'!A:B,2,FALSE),B1555),PlayerValues!E:E,0)),"N/A")</f>
        <v>16614</v>
      </c>
      <c r="B1555" s="4" t="s">
        <v>403</v>
      </c>
      <c r="C1555" s="4" t="s">
        <v>287</v>
      </c>
      <c r="D1555" s="94">
        <v>5116.0</v>
      </c>
    </row>
    <row r="1556">
      <c r="A1556" s="40">
        <f t="array" ref="A1556">IFNA(index(PlayerValues!A:A,match(IFNA(vlookup(B1556,'Special Names'!A:B,2,FALSE),B1556),PlayerValues!E:E,0)),"N/A")</f>
        <v>17030</v>
      </c>
      <c r="B1556" s="4" t="s">
        <v>406</v>
      </c>
      <c r="C1556" s="4" t="s">
        <v>283</v>
      </c>
      <c r="D1556" s="94">
        <v>5030.0</v>
      </c>
    </row>
    <row r="1557">
      <c r="A1557" s="40">
        <f t="array" ref="A1557">IFNA(index(PlayerValues!A:A,match(IFNA(vlookup(B1557,'Special Names'!A:B,2,FALSE),B1557),PlayerValues!E:E,0)),"N/A")</f>
        <v>12620</v>
      </c>
      <c r="B1557" s="4" t="s">
        <v>394</v>
      </c>
      <c r="C1557" s="4" t="s">
        <v>283</v>
      </c>
      <c r="D1557" s="94">
        <v>4998.0</v>
      </c>
    </row>
    <row r="1558">
      <c r="A1558" s="40">
        <f t="array" ref="A1558">IFNA(index(PlayerValues!A:A,match(IFNA(vlookup(B1558,'Special Names'!A:B,2,FALSE),B1558),PlayerValues!E:E,0)),"N/A")</f>
        <v>17070</v>
      </c>
      <c r="B1558" s="4" t="s">
        <v>370</v>
      </c>
      <c r="C1558" s="4" t="s">
        <v>287</v>
      </c>
      <c r="D1558" s="94">
        <v>4970.0</v>
      </c>
    </row>
    <row r="1559">
      <c r="A1559" s="40">
        <f t="array" ref="A1559">IFNA(index(PlayerValues!A:A,match(IFNA(vlookup(B1559,'Special Names'!A:B,2,FALSE),B1559),PlayerValues!E:E,0)),"N/A")</f>
        <v>15711</v>
      </c>
      <c r="B1559" s="4" t="s">
        <v>349</v>
      </c>
      <c r="C1559" s="4" t="s">
        <v>278</v>
      </c>
      <c r="D1559" s="94">
        <v>4968.0</v>
      </c>
    </row>
    <row r="1560">
      <c r="A1560" s="40">
        <f t="array" ref="A1560">IFNA(index(PlayerValues!A:A,match(IFNA(vlookup(B1560,'Special Names'!A:B,2,FALSE),B1560),PlayerValues!E:E,0)),"N/A")</f>
        <v>16618</v>
      </c>
      <c r="B1560" s="4" t="s">
        <v>411</v>
      </c>
      <c r="C1560" s="4" t="s">
        <v>287</v>
      </c>
      <c r="D1560" s="94">
        <v>4967.0</v>
      </c>
    </row>
    <row r="1561">
      <c r="A1561" s="40">
        <f t="array" ref="A1561">IFNA(index(PlayerValues!A:A,match(IFNA(vlookup(B1561,'Special Names'!A:B,2,FALSE),B1561),PlayerValues!E:E,0)),"N/A")</f>
        <v>16150</v>
      </c>
      <c r="B1561" s="4" t="s">
        <v>414</v>
      </c>
      <c r="C1561" s="4" t="s">
        <v>283</v>
      </c>
      <c r="D1561" s="94">
        <v>4942.0</v>
      </c>
    </row>
    <row r="1562">
      <c r="A1562" s="40">
        <f t="array" ref="A1562">IFNA(index(PlayerValues!A:A,match(IFNA(vlookup(B1562,'Special Names'!A:B,2,FALSE),B1562),PlayerValues!E:E,0)),"N/A")</f>
        <v>14835</v>
      </c>
      <c r="B1562" s="4" t="s">
        <v>392</v>
      </c>
      <c r="C1562" s="4" t="s">
        <v>287</v>
      </c>
      <c r="D1562" s="94">
        <v>4876.0</v>
      </c>
    </row>
    <row r="1563">
      <c r="A1563" s="40">
        <f t="array" ref="A1563">IFNA(index(PlayerValues!A:A,match(IFNA(vlookup(B1563,'Special Names'!A:B,2,FALSE),B1563),PlayerValues!E:E,0)),"N/A")</f>
        <v>17103</v>
      </c>
      <c r="B1563" s="4" t="s">
        <v>405</v>
      </c>
      <c r="C1563" s="4" t="s">
        <v>298</v>
      </c>
      <c r="D1563" s="94">
        <v>5445.0</v>
      </c>
    </row>
    <row r="1564">
      <c r="A1564" s="40">
        <f t="array" ref="A1564">IFNA(index(PlayerValues!A:A,match(IFNA(vlookup(B1564,'Special Names'!A:B,2,FALSE),B1564),PlayerValues!E:E,0)),"N/A")</f>
        <v>16181</v>
      </c>
      <c r="B1564" s="4" t="s">
        <v>350</v>
      </c>
      <c r="C1564" s="4" t="s">
        <v>278</v>
      </c>
      <c r="D1564" s="94">
        <v>4870.0</v>
      </c>
    </row>
    <row r="1565">
      <c r="A1565" s="40">
        <f t="array" ref="A1565">IFNA(index(PlayerValues!A:A,match(IFNA(vlookup(B1565,'Special Names'!A:B,2,FALSE),B1565),PlayerValues!E:E,0)),"N/A")</f>
        <v>16222</v>
      </c>
      <c r="B1565" s="4" t="s">
        <v>393</v>
      </c>
      <c r="C1565" s="4" t="s">
        <v>298</v>
      </c>
      <c r="D1565" s="94">
        <v>5427.0</v>
      </c>
    </row>
    <row r="1566">
      <c r="A1566" s="40">
        <f t="array" ref="A1566">IFNA(index(PlayerValues!A:A,match(IFNA(vlookup(B1566,'Special Names'!A:B,2,FALSE),B1566),PlayerValues!E:E,0)),"N/A")</f>
        <v>17498</v>
      </c>
      <c r="B1566" s="4" t="s">
        <v>396</v>
      </c>
      <c r="C1566" s="4" t="s">
        <v>287</v>
      </c>
      <c r="D1566" s="94">
        <v>4857.0</v>
      </c>
    </row>
    <row r="1567">
      <c r="A1567" s="40">
        <f t="array" ref="A1567">IFNA(index(PlayerValues!A:A,match(IFNA(vlookup(B1567,'Special Names'!A:B,2,FALSE),B1567),PlayerValues!E:E,0)),"N/A")</f>
        <v>17045</v>
      </c>
      <c r="B1567" s="4" t="s">
        <v>407</v>
      </c>
      <c r="C1567" s="4" t="s">
        <v>278</v>
      </c>
      <c r="D1567" s="94">
        <v>4852.0</v>
      </c>
    </row>
    <row r="1568">
      <c r="A1568" s="40">
        <f t="array" ref="A1568">IFNA(index(PlayerValues!A:A,match(IFNA(vlookup(B1568,'Special Names'!A:B,2,FALSE),B1568),PlayerValues!E:E,0)),"N/A")</f>
        <v>15710</v>
      </c>
      <c r="B1568" s="4" t="s">
        <v>395</v>
      </c>
      <c r="C1568" s="4" t="s">
        <v>278</v>
      </c>
      <c r="D1568" s="94">
        <v>4832.0</v>
      </c>
    </row>
    <row r="1569">
      <c r="A1569" s="40" t="str">
        <f t="array" ref="A1569">IFNA(index(PlayerValues!A:A,match(IFNA(vlookup(B1569,'Special Names'!A:B,2,FALSE),B1569),PlayerValues!E:E,0)),"N/A")</f>
        <v>N/A</v>
      </c>
      <c r="B1569" s="4" t="s">
        <v>104</v>
      </c>
      <c r="C1569" s="4" t="s">
        <v>325</v>
      </c>
      <c r="D1569" s="94">
        <v>4813.0</v>
      </c>
    </row>
    <row r="1570">
      <c r="A1570" s="40">
        <f t="array" ref="A1570">IFNA(index(PlayerValues!A:A,match(IFNA(vlookup(B1570,'Special Names'!A:B,2,FALSE),B1570),PlayerValues!E:E,0)),"N/A")</f>
        <v>13604</v>
      </c>
      <c r="B1570" s="4" t="s">
        <v>378</v>
      </c>
      <c r="C1570" s="4" t="s">
        <v>278</v>
      </c>
      <c r="D1570" s="94">
        <v>4796.0</v>
      </c>
    </row>
    <row r="1571">
      <c r="A1571" s="40">
        <f t="array" ref="A1571">IFNA(index(PlayerValues!A:A,match(IFNA(vlookup(B1571,'Special Names'!A:B,2,FALSE),B1571),PlayerValues!E:E,0)),"N/A")</f>
        <v>13592</v>
      </c>
      <c r="B1571" s="4" t="s">
        <v>418</v>
      </c>
      <c r="C1571" s="4" t="s">
        <v>283</v>
      </c>
      <c r="D1571" s="94">
        <v>4790.0</v>
      </c>
    </row>
    <row r="1572">
      <c r="A1572" s="40">
        <f t="array" ref="A1572">IFNA(index(PlayerValues!A:A,match(IFNA(vlookup(B1572,'Special Names'!A:B,2,FALSE),B1572),PlayerValues!E:E,0)),"N/A")</f>
        <v>15756</v>
      </c>
      <c r="B1572" s="4" t="s">
        <v>399</v>
      </c>
      <c r="C1572" s="4" t="s">
        <v>287</v>
      </c>
      <c r="D1572" s="94">
        <v>4789.0</v>
      </c>
    </row>
    <row r="1573">
      <c r="A1573" s="40">
        <f t="array" ref="A1573">IFNA(index(PlayerValues!A:A,match(IFNA(vlookup(B1573,'Special Names'!A:B,2,FALSE),B1573),PlayerValues!E:E,0)),"N/A")</f>
        <v>13590</v>
      </c>
      <c r="B1573" s="4" t="s">
        <v>409</v>
      </c>
      <c r="C1573" s="4" t="s">
        <v>283</v>
      </c>
      <c r="D1573" s="94">
        <v>4769.0</v>
      </c>
    </row>
    <row r="1574">
      <c r="A1574" s="40" t="str">
        <f t="array" ref="A1574">IFNA(index(PlayerValues!A:A,match(IFNA(vlookup(B1574,'Special Names'!A:B,2,FALSE),B1574),PlayerValues!E:E,0)),"N/A")</f>
        <v>N/A</v>
      </c>
      <c r="B1574" s="4" t="s">
        <v>80</v>
      </c>
      <c r="C1574" s="4" t="s">
        <v>325</v>
      </c>
      <c r="D1574" s="94">
        <v>4728.0</v>
      </c>
    </row>
    <row r="1575">
      <c r="A1575" s="40" t="str">
        <f t="array" ref="A1575">IFNA(index(PlayerValues!A:A,match(IFNA(vlookup(B1575,'Special Names'!A:B,2,FALSE),B1575),PlayerValues!E:E,0)),"N/A")</f>
        <v>N/A</v>
      </c>
      <c r="B1575" s="4" t="s">
        <v>94</v>
      </c>
      <c r="C1575" s="4" t="s">
        <v>325</v>
      </c>
      <c r="D1575" s="94">
        <v>4720.0</v>
      </c>
    </row>
    <row r="1576">
      <c r="A1576" s="40">
        <f t="array" ref="A1576">IFNA(index(PlayerValues!A:A,match(IFNA(vlookup(B1576,'Special Names'!A:B,2,FALSE),B1576),PlayerValues!E:E,0)),"N/A")</f>
        <v>15282</v>
      </c>
      <c r="B1576" s="4" t="s">
        <v>364</v>
      </c>
      <c r="C1576" s="4" t="s">
        <v>287</v>
      </c>
      <c r="D1576" s="94">
        <v>4715.0</v>
      </c>
    </row>
    <row r="1577">
      <c r="A1577" s="40">
        <f t="array" ref="A1577">IFNA(index(PlayerValues!A:A,match(IFNA(vlookup(B1577,'Special Names'!A:B,2,FALSE),B1577),PlayerValues!E:E,0)),"N/A")</f>
        <v>14104</v>
      </c>
      <c r="B1577" s="4" t="s">
        <v>379</v>
      </c>
      <c r="C1577" s="4" t="s">
        <v>287</v>
      </c>
      <c r="D1577" s="94">
        <v>4692.0</v>
      </c>
    </row>
    <row r="1578">
      <c r="A1578" s="40">
        <f t="array" ref="A1578">IFNA(index(PlayerValues!A:A,match(IFNA(vlookup(B1578,'Special Names'!A:B,2,FALSE),B1578),PlayerValues!E:E,0)),"N/A")</f>
        <v>16190</v>
      </c>
      <c r="B1578" s="4" t="s">
        <v>371</v>
      </c>
      <c r="C1578" s="4" t="s">
        <v>287</v>
      </c>
      <c r="D1578" s="94">
        <v>4691.0</v>
      </c>
    </row>
    <row r="1579">
      <c r="A1579" s="40">
        <f t="array" ref="A1579">IFNA(index(PlayerValues!A:A,match(IFNA(vlookup(B1579,'Special Names'!A:B,2,FALSE),B1579),PlayerValues!E:E,0)),"N/A")</f>
        <v>12611</v>
      </c>
      <c r="B1579" s="4" t="s">
        <v>410</v>
      </c>
      <c r="C1579" s="4" t="s">
        <v>283</v>
      </c>
      <c r="D1579" s="94">
        <v>4626.0</v>
      </c>
    </row>
    <row r="1580">
      <c r="A1580" s="40">
        <f t="array" ref="A1580">IFNA(index(PlayerValues!A:A,match(IFNA(vlookup(B1580,'Special Names'!A:B,2,FALSE),B1580),PlayerValues!E:E,0)),"N/A")</f>
        <v>16214</v>
      </c>
      <c r="B1580" s="4" t="s">
        <v>413</v>
      </c>
      <c r="C1580" s="4" t="s">
        <v>298</v>
      </c>
      <c r="D1580" s="94">
        <v>5137.0</v>
      </c>
    </row>
    <row r="1581">
      <c r="A1581" s="40">
        <f t="array" ref="A1581">IFNA(index(PlayerValues!A:A,match(IFNA(vlookup(B1581,'Special Names'!A:B,2,FALSE),B1581),PlayerValues!E:E,0)),"N/A")</f>
        <v>17039</v>
      </c>
      <c r="B1581" s="4" t="s">
        <v>400</v>
      </c>
      <c r="C1581" s="4" t="s">
        <v>283</v>
      </c>
      <c r="D1581" s="94">
        <v>4586.0</v>
      </c>
    </row>
    <row r="1582">
      <c r="A1582" s="40">
        <f t="array" ref="A1582">IFNA(index(PlayerValues!A:A,match(IFNA(vlookup(B1582,'Special Names'!A:B,2,FALSE),B1582),PlayerValues!E:E,0)),"N/A")</f>
        <v>15284</v>
      </c>
      <c r="B1582" s="4" t="s">
        <v>390</v>
      </c>
      <c r="C1582" s="4" t="s">
        <v>287</v>
      </c>
      <c r="D1582" s="94">
        <v>4573.0</v>
      </c>
    </row>
    <row r="1583">
      <c r="A1583" s="40">
        <f t="array" ref="A1583">IFNA(index(PlayerValues!A:A,match(IFNA(vlookup(B1583,'Special Names'!A:B,2,FALSE),B1583),PlayerValues!E:E,0)),"N/A")</f>
        <v>17068</v>
      </c>
      <c r="B1583" s="4" t="s">
        <v>450</v>
      </c>
      <c r="C1583" s="4" t="s">
        <v>278</v>
      </c>
      <c r="D1583" s="94">
        <v>4532.0</v>
      </c>
    </row>
    <row r="1584">
      <c r="A1584" s="40">
        <f t="array" ref="A1584">IFNA(index(PlayerValues!A:A,match(IFNA(vlookup(B1584,'Special Names'!A:B,2,FALSE),B1584),PlayerValues!E:E,0)),"N/A")</f>
        <v>16148</v>
      </c>
      <c r="B1584" s="4" t="s">
        <v>426</v>
      </c>
      <c r="C1584" s="4" t="s">
        <v>283</v>
      </c>
      <c r="D1584" s="94">
        <v>4501.0</v>
      </c>
    </row>
    <row r="1585">
      <c r="A1585" s="40">
        <f t="array" ref="A1585">IFNA(index(PlayerValues!A:A,match(IFNA(vlookup(B1585,'Special Names'!A:B,2,FALSE),B1585),PlayerValues!E:E,0)),"N/A")</f>
        <v>15253</v>
      </c>
      <c r="B1585" s="4" t="s">
        <v>415</v>
      </c>
      <c r="C1585" s="4" t="s">
        <v>278</v>
      </c>
      <c r="D1585" s="94">
        <v>4490.0</v>
      </c>
    </row>
    <row r="1586">
      <c r="A1586" s="40">
        <f t="array" ref="A1586">IFNA(index(PlayerValues!A:A,match(IFNA(vlookup(B1586,'Special Names'!A:B,2,FALSE),B1586),PlayerValues!E:E,0)),"N/A")</f>
        <v>15329</v>
      </c>
      <c r="B1586" s="4" t="s">
        <v>416</v>
      </c>
      <c r="C1586" s="4" t="s">
        <v>298</v>
      </c>
      <c r="D1586" s="94">
        <v>5018.0</v>
      </c>
    </row>
    <row r="1587">
      <c r="A1587" s="40">
        <f t="array" ref="A1587">IFNA(index(PlayerValues!A:A,match(IFNA(vlookup(B1587,'Special Names'!A:B,2,FALSE),B1587),PlayerValues!E:E,0)),"N/A")</f>
        <v>14073</v>
      </c>
      <c r="B1587" s="4" t="s">
        <v>464</v>
      </c>
      <c r="C1587" s="4" t="s">
        <v>278</v>
      </c>
      <c r="D1587" s="94">
        <v>4475.0</v>
      </c>
    </row>
    <row r="1588">
      <c r="A1588" s="40" t="str">
        <f t="array" ref="A1588">IFNA(index(PlayerValues!A:A,match(IFNA(vlookup(B1588,'Special Names'!A:B,2,FALSE),B1588),PlayerValues!E:E,0)),"N/A")</f>
        <v>N/A</v>
      </c>
      <c r="B1588" s="4" t="s">
        <v>105</v>
      </c>
      <c r="C1588" s="4" t="s">
        <v>325</v>
      </c>
      <c r="D1588" s="94">
        <v>4438.0</v>
      </c>
    </row>
    <row r="1589">
      <c r="A1589" s="40">
        <f t="array" ref="A1589">IFNA(index(PlayerValues!A:A,match(IFNA(vlookup(B1589,'Special Names'!A:B,2,FALSE),B1589),PlayerValues!E:E,0)),"N/A")</f>
        <v>15256</v>
      </c>
      <c r="B1589" s="4" t="s">
        <v>401</v>
      </c>
      <c r="C1589" s="4" t="s">
        <v>278</v>
      </c>
      <c r="D1589" s="94">
        <v>4384.0</v>
      </c>
    </row>
    <row r="1590">
      <c r="A1590" s="40" t="str">
        <f t="array" ref="A1590">IFNA(index(PlayerValues!A:A,match(IFNA(vlookup(B1590,'Special Names'!A:B,2,FALSE),B1590),PlayerValues!E:E,0)),"N/A")</f>
        <v>N/A</v>
      </c>
      <c r="B1590" s="4" t="s">
        <v>81</v>
      </c>
      <c r="C1590" s="4" t="s">
        <v>325</v>
      </c>
      <c r="D1590" s="94">
        <v>4332.0</v>
      </c>
    </row>
    <row r="1591">
      <c r="A1591" s="40">
        <f t="array" ref="A1591">IFNA(index(PlayerValues!A:A,match(IFNA(vlookup(B1591,'Special Names'!A:B,2,FALSE),B1591),PlayerValues!E:E,0)),"N/A")</f>
        <v>17074</v>
      </c>
      <c r="B1591" s="4" t="s">
        <v>475</v>
      </c>
      <c r="C1591" s="4" t="s">
        <v>287</v>
      </c>
      <c r="D1591" s="94">
        <v>4217.0</v>
      </c>
    </row>
    <row r="1592">
      <c r="A1592" s="40">
        <f t="array" ref="A1592">IFNA(index(PlayerValues!A:A,match(IFNA(vlookup(B1592,'Special Names'!A:B,2,FALSE),B1592),PlayerValues!E:E,0)),"N/A")</f>
        <v>17500</v>
      </c>
      <c r="B1592" s="4" t="s">
        <v>430</v>
      </c>
      <c r="C1592" s="4" t="s">
        <v>287</v>
      </c>
      <c r="D1592" s="94">
        <v>4194.0</v>
      </c>
    </row>
    <row r="1593">
      <c r="A1593" s="40">
        <f t="array" ref="A1593">IFNA(index(PlayerValues!A:A,match(IFNA(vlookup(B1593,'Special Names'!A:B,2,FALSE),B1593),PlayerValues!E:E,0)),"N/A")</f>
        <v>17099</v>
      </c>
      <c r="B1593" s="4" t="s">
        <v>474</v>
      </c>
      <c r="C1593" s="4" t="s">
        <v>298</v>
      </c>
      <c r="D1593" s="94">
        <v>4644.0</v>
      </c>
    </row>
    <row r="1594">
      <c r="A1594" s="40">
        <f t="array" ref="A1594">IFNA(index(PlayerValues!A:A,match(IFNA(vlookup(B1594,'Special Names'!A:B,2,FALSE),B1594),PlayerValues!E:E,0)),"N/A")</f>
        <v>16186</v>
      </c>
      <c r="B1594" s="4" t="s">
        <v>425</v>
      </c>
      <c r="C1594" s="4" t="s">
        <v>287</v>
      </c>
      <c r="D1594" s="94">
        <v>4064.0</v>
      </c>
    </row>
    <row r="1595">
      <c r="A1595" s="40" t="str">
        <f t="array" ref="A1595">IFNA(index(PlayerValues!A:A,match(IFNA(vlookup(B1595,'Special Names'!A:B,2,FALSE),B1595),PlayerValues!E:E,0)),"N/A")</f>
        <v>N/A</v>
      </c>
      <c r="B1595" s="4" t="s">
        <v>107</v>
      </c>
      <c r="C1595" s="4" t="s">
        <v>325</v>
      </c>
      <c r="D1595" s="94">
        <v>4001.0</v>
      </c>
    </row>
    <row r="1596">
      <c r="A1596" s="40">
        <f t="array" ref="A1596">IFNA(index(PlayerValues!A:A,match(IFNA(vlookup(B1596,'Special Names'!A:B,2,FALSE),B1596),PlayerValues!E:E,0)),"N/A")</f>
        <v>14059</v>
      </c>
      <c r="B1596" s="4" t="s">
        <v>435</v>
      </c>
      <c r="C1596" s="4" t="s">
        <v>283</v>
      </c>
      <c r="D1596" s="94">
        <v>3990.0</v>
      </c>
    </row>
    <row r="1597">
      <c r="A1597" s="40">
        <f t="array" ref="A1597">IFNA(index(PlayerValues!A:A,match(IFNA(vlookup(B1597,'Special Names'!A:B,2,FALSE),B1597),PlayerValues!E:E,0)),"N/A")</f>
        <v>17543</v>
      </c>
      <c r="B1597" s="4" t="s">
        <v>436</v>
      </c>
      <c r="C1597" s="4" t="s">
        <v>298</v>
      </c>
      <c r="D1597" s="94">
        <v>4481.0</v>
      </c>
    </row>
    <row r="1598">
      <c r="A1598" s="40">
        <f t="array" ref="A1598">IFNA(index(PlayerValues!A:A,match(IFNA(vlookup(B1598,'Special Names'!A:B,2,FALSE),B1598),PlayerValues!E:E,0)),"N/A")</f>
        <v>17501</v>
      </c>
      <c r="B1598" s="4" t="s">
        <v>404</v>
      </c>
      <c r="C1598" s="4" t="s">
        <v>287</v>
      </c>
      <c r="D1598" s="94">
        <v>3957.0</v>
      </c>
    </row>
    <row r="1599">
      <c r="A1599" s="40">
        <f t="array" ref="A1599">IFNA(index(PlayerValues!A:A,match(IFNA(vlookup(B1599,'Special Names'!A:B,2,FALSE),B1599),PlayerValues!E:E,0)),"N/A")</f>
        <v>17066</v>
      </c>
      <c r="B1599" s="4" t="s">
        <v>446</v>
      </c>
      <c r="C1599" s="4" t="s">
        <v>278</v>
      </c>
      <c r="D1599" s="94">
        <v>3935.0</v>
      </c>
    </row>
    <row r="1600">
      <c r="A1600" s="40">
        <f t="array" ref="A1600">IFNA(index(PlayerValues!A:A,match(IFNA(vlookup(B1600,'Special Names'!A:B,2,FALSE),B1600),PlayerValues!E:E,0)),"N/A")</f>
        <v>12626</v>
      </c>
      <c r="B1600" s="4" t="s">
        <v>419</v>
      </c>
      <c r="C1600" s="4" t="s">
        <v>278</v>
      </c>
      <c r="D1600" s="94">
        <v>3906.0</v>
      </c>
    </row>
    <row r="1601">
      <c r="A1601" s="40">
        <f t="array" ref="A1601">IFNA(index(PlayerValues!A:A,match(IFNA(vlookup(B1601,'Special Names'!A:B,2,FALSE),B1601),PlayerValues!E:E,0)),"N/A")</f>
        <v>16622</v>
      </c>
      <c r="B1601" s="4" t="s">
        <v>517</v>
      </c>
      <c r="C1601" s="4" t="s">
        <v>287</v>
      </c>
      <c r="D1601" s="94">
        <v>3903.0</v>
      </c>
    </row>
    <row r="1602">
      <c r="A1602" s="40">
        <f t="array" ref="A1602">IFNA(index(PlayerValues!A:A,match(IFNA(vlookup(B1602,'Special Names'!A:B,2,FALSE),B1602),PlayerValues!E:E,0)),"N/A")</f>
        <v>16206</v>
      </c>
      <c r="B1602" s="4" t="s">
        <v>431</v>
      </c>
      <c r="C1602" s="4" t="s">
        <v>287</v>
      </c>
      <c r="D1602" s="94">
        <v>3878.0</v>
      </c>
    </row>
    <row r="1603">
      <c r="A1603" s="40">
        <f t="array" ref="A1603">IFNA(index(PlayerValues!A:A,match(IFNA(vlookup(B1603,'Special Names'!A:B,2,FALSE),B1603),PlayerValues!E:E,0)),"N/A")</f>
        <v>15768</v>
      </c>
      <c r="B1603" s="4" t="s">
        <v>432</v>
      </c>
      <c r="C1603" s="4" t="s">
        <v>287</v>
      </c>
      <c r="D1603" s="94">
        <v>3861.0</v>
      </c>
    </row>
    <row r="1604">
      <c r="A1604" s="40">
        <f t="array" ref="A1604">IFNA(index(PlayerValues!A:A,match(IFNA(vlookup(B1604,'Special Names'!A:B,2,FALSE),B1604),PlayerValues!E:E,0)),"N/A")</f>
        <v>14102</v>
      </c>
      <c r="B1604" s="4" t="s">
        <v>444</v>
      </c>
      <c r="C1604" s="4" t="s">
        <v>287</v>
      </c>
      <c r="D1604" s="94">
        <v>3846.0</v>
      </c>
    </row>
    <row r="1605">
      <c r="A1605" s="40" t="str">
        <f t="array" ref="A1605">IFNA(index(PlayerValues!A:A,match(IFNA(vlookup(B1605,'Special Names'!A:B,2,FALSE),B1605),PlayerValues!E:E,0)),"N/A")</f>
        <v>N/A</v>
      </c>
      <c r="B1605" s="4" t="s">
        <v>95</v>
      </c>
      <c r="C1605" s="4" t="s">
        <v>325</v>
      </c>
      <c r="D1605" s="94">
        <v>3826.0</v>
      </c>
    </row>
    <row r="1606">
      <c r="A1606" s="40">
        <f t="array" ref="A1606">IFNA(index(PlayerValues!A:A,match(IFNA(vlookup(B1606,'Special Names'!A:B,2,FALSE),B1606),PlayerValues!E:E,0)),"N/A")</f>
        <v>17083</v>
      </c>
      <c r="B1606" s="4" t="s">
        <v>479</v>
      </c>
      <c r="C1606" s="4" t="s">
        <v>287</v>
      </c>
      <c r="D1606" s="94">
        <v>3822.0</v>
      </c>
    </row>
    <row r="1607">
      <c r="A1607" s="40">
        <f t="array" ref="A1607">IFNA(index(PlayerValues!A:A,match(IFNA(vlookup(B1607,'Special Names'!A:B,2,FALSE),B1607),PlayerValues!E:E,0)),"N/A")</f>
        <v>15789</v>
      </c>
      <c r="B1607" s="4" t="s">
        <v>421</v>
      </c>
      <c r="C1607" s="4" t="s">
        <v>287</v>
      </c>
      <c r="D1607" s="94">
        <v>3737.0</v>
      </c>
    </row>
    <row r="1608">
      <c r="A1608" s="40">
        <f t="array" ref="A1608">IFNA(index(PlayerValues!A:A,match(IFNA(vlookup(B1608,'Special Names'!A:B,2,FALSE),B1608),PlayerValues!E:E,0)),"N/A")</f>
        <v>14797</v>
      </c>
      <c r="B1608" s="4" t="s">
        <v>420</v>
      </c>
      <c r="C1608" s="4" t="s">
        <v>278</v>
      </c>
      <c r="D1608" s="94">
        <v>3731.0</v>
      </c>
    </row>
    <row r="1609">
      <c r="A1609" s="40">
        <f t="array" ref="A1609">IFNA(index(PlayerValues!A:A,match(IFNA(vlookup(B1609,'Special Names'!A:B,2,FALSE),B1609),PlayerValues!E:E,0)),"N/A")</f>
        <v>9431</v>
      </c>
      <c r="B1609" s="4" t="s">
        <v>428</v>
      </c>
      <c r="C1609" s="4" t="s">
        <v>283</v>
      </c>
      <c r="D1609" s="94">
        <v>3717.0</v>
      </c>
    </row>
    <row r="1610">
      <c r="A1610" s="40">
        <f t="array" ref="A1610">IFNA(index(PlayerValues!A:A,match(IFNA(vlookup(B1610,'Special Names'!A:B,2,FALSE),B1610),PlayerValues!E:E,0)),"N/A")</f>
        <v>11675</v>
      </c>
      <c r="B1610" s="4" t="s">
        <v>438</v>
      </c>
      <c r="C1610" s="4" t="s">
        <v>287</v>
      </c>
      <c r="D1610" s="94">
        <v>3658.0</v>
      </c>
    </row>
    <row r="1611">
      <c r="A1611" s="40">
        <f t="array" ref="A1611">IFNA(index(PlayerValues!A:A,match(IFNA(vlookup(B1611,'Special Names'!A:B,2,FALSE),B1611),PlayerValues!E:E,0)),"N/A")</f>
        <v>17477</v>
      </c>
      <c r="B1611" s="4" t="s">
        <v>452</v>
      </c>
      <c r="C1611" s="4" t="s">
        <v>278</v>
      </c>
      <c r="D1611" s="94">
        <v>3634.0</v>
      </c>
    </row>
    <row r="1612">
      <c r="A1612" s="40">
        <f t="array" ref="A1612">IFNA(index(PlayerValues!A:A,match(IFNA(vlookup(B1612,'Special Names'!A:B,2,FALSE),B1612),PlayerValues!E:E,0)),"N/A")</f>
        <v>15757</v>
      </c>
      <c r="B1612" s="4" t="s">
        <v>449</v>
      </c>
      <c r="C1612" s="4" t="s">
        <v>287</v>
      </c>
      <c r="D1612" s="94">
        <v>3624.0</v>
      </c>
    </row>
    <row r="1613">
      <c r="A1613" s="40">
        <f t="array" ref="A1613">IFNA(index(PlayerValues!A:A,match(IFNA(vlookup(B1613,'Special Names'!A:B,2,FALSE),B1613),PlayerValues!E:E,0)),"N/A")</f>
        <v>14056</v>
      </c>
      <c r="B1613" s="4" t="s">
        <v>423</v>
      </c>
      <c r="C1613" s="4" t="s">
        <v>283</v>
      </c>
      <c r="D1613" s="94">
        <v>3604.0</v>
      </c>
    </row>
    <row r="1614">
      <c r="A1614" s="40">
        <f t="array" ref="A1614">IFNA(index(PlayerValues!A:A,match(IFNA(vlookup(B1614,'Special Names'!A:B,2,FALSE),B1614),PlayerValues!E:E,0)),"N/A")</f>
        <v>16583</v>
      </c>
      <c r="B1614" s="4" t="s">
        <v>493</v>
      </c>
      <c r="C1614" s="4" t="s">
        <v>283</v>
      </c>
      <c r="D1614" s="94">
        <v>3599.0</v>
      </c>
    </row>
    <row r="1615">
      <c r="A1615" s="40">
        <f t="array" ref="A1615">IFNA(index(PlayerValues!A:A,match(IFNA(vlookup(B1615,'Special Names'!A:B,2,FALSE),B1615),PlayerValues!E:E,0)),"N/A")</f>
        <v>14842</v>
      </c>
      <c r="B1615" s="4" t="s">
        <v>456</v>
      </c>
      <c r="C1615" s="4" t="s">
        <v>287</v>
      </c>
      <c r="D1615" s="94">
        <v>3584.0</v>
      </c>
    </row>
    <row r="1616">
      <c r="A1616" s="40">
        <f t="array" ref="A1616">IFNA(index(PlayerValues!A:A,match(IFNA(vlookup(B1616,'Special Names'!A:B,2,FALSE),B1616),PlayerValues!E:E,0)),"N/A")</f>
        <v>16169</v>
      </c>
      <c r="B1616" s="4" t="s">
        <v>457</v>
      </c>
      <c r="C1616" s="4" t="s">
        <v>278</v>
      </c>
      <c r="D1616" s="94">
        <v>3576.0</v>
      </c>
    </row>
    <row r="1617">
      <c r="A1617" s="40">
        <f t="array" ref="A1617">IFNA(index(PlayerValues!A:A,match(IFNA(vlookup(B1617,'Special Names'!A:B,2,FALSE),B1617),PlayerValues!E:E,0)),"N/A")</f>
        <v>16192</v>
      </c>
      <c r="B1617" s="4" t="s">
        <v>412</v>
      </c>
      <c r="C1617" s="4" t="s">
        <v>287</v>
      </c>
      <c r="D1617" s="94">
        <v>3572.0</v>
      </c>
    </row>
    <row r="1618">
      <c r="A1618" s="40">
        <f t="array" ref="A1618">IFNA(index(PlayerValues!A:A,match(IFNA(vlookup(B1618,'Special Names'!A:B,2,FALSE),B1618),PlayerValues!E:E,0)),"N/A")</f>
        <v>16213</v>
      </c>
      <c r="B1618" s="4" t="s">
        <v>458</v>
      </c>
      <c r="C1618" s="4" t="s">
        <v>298</v>
      </c>
      <c r="D1618" s="94">
        <v>4026.0</v>
      </c>
    </row>
    <row r="1619">
      <c r="A1619" s="40">
        <f t="array" ref="A1619">IFNA(index(PlayerValues!A:A,match(IFNA(vlookup(B1619,'Special Names'!A:B,2,FALSE),B1619),PlayerValues!E:E,0)),"N/A")</f>
        <v>16584</v>
      </c>
      <c r="B1619" s="4" t="s">
        <v>569</v>
      </c>
      <c r="C1619" s="4" t="s">
        <v>283</v>
      </c>
      <c r="D1619" s="94">
        <v>3535.0</v>
      </c>
    </row>
    <row r="1620">
      <c r="A1620" s="40">
        <f t="array" ref="A1620">IFNA(index(PlayerValues!A:A,match(IFNA(vlookup(B1620,'Special Names'!A:B,2,FALSE),B1620),PlayerValues!E:E,0)),"N/A")</f>
        <v>17075</v>
      </c>
      <c r="B1620" s="4" t="s">
        <v>429</v>
      </c>
      <c r="C1620" s="4" t="s">
        <v>287</v>
      </c>
      <c r="D1620" s="94">
        <v>3534.0</v>
      </c>
    </row>
    <row r="1621">
      <c r="A1621" s="40">
        <f t="array" ref="A1621">IFNA(index(PlayerValues!A:A,match(IFNA(vlookup(B1621,'Special Names'!A:B,2,FALSE),B1621),PlayerValues!E:E,0)),"N/A")</f>
        <v>16620</v>
      </c>
      <c r="B1621" s="4" t="s">
        <v>467</v>
      </c>
      <c r="C1621" s="4" t="s">
        <v>287</v>
      </c>
      <c r="D1621" s="94">
        <v>3528.0</v>
      </c>
    </row>
    <row r="1622">
      <c r="A1622" s="40">
        <f t="array" ref="A1622">IFNA(index(PlayerValues!A:A,match(IFNA(vlookup(B1622,'Special Names'!A:B,2,FALSE),B1622),PlayerValues!E:E,0)),"N/A")</f>
        <v>16188</v>
      </c>
      <c r="B1622" s="4" t="s">
        <v>439</v>
      </c>
      <c r="C1622" s="4" t="s">
        <v>287</v>
      </c>
      <c r="D1622" s="94">
        <v>3512.0</v>
      </c>
    </row>
    <row r="1623">
      <c r="A1623" s="40" t="str">
        <f t="array" ref="A1623">IFNA(index(PlayerValues!A:A,match(IFNA(vlookup(B1623,'Special Names'!A:B,2,FALSE),B1623),PlayerValues!E:E,0)),"N/A")</f>
        <v>N/A</v>
      </c>
      <c r="B1623" s="4" t="s">
        <v>82</v>
      </c>
      <c r="C1623" s="4" t="s">
        <v>325</v>
      </c>
      <c r="D1623" s="94">
        <v>3495.0</v>
      </c>
    </row>
    <row r="1624">
      <c r="A1624" s="40">
        <f t="array" ref="A1624">IFNA(index(PlayerValues!A:A,match(IFNA(vlookup(B1624,'Special Names'!A:B,2,FALSE),B1624),PlayerValues!E:E,0)),"N/A")</f>
        <v>16593</v>
      </c>
      <c r="B1624" s="4" t="s">
        <v>442</v>
      </c>
      <c r="C1624" s="4" t="s">
        <v>278</v>
      </c>
      <c r="D1624" s="94">
        <v>3495.0</v>
      </c>
    </row>
    <row r="1625">
      <c r="A1625" s="40">
        <f t="array" ref="A1625">IFNA(index(PlayerValues!A:A,match(IFNA(vlookup(B1625,'Special Names'!A:B,2,FALSE),B1625),PlayerValues!E:E,0)),"N/A")</f>
        <v>13299</v>
      </c>
      <c r="B1625" s="4" t="s">
        <v>448</v>
      </c>
      <c r="C1625" s="4" t="s">
        <v>298</v>
      </c>
      <c r="D1625" s="94">
        <v>3945.0</v>
      </c>
    </row>
    <row r="1626">
      <c r="A1626" s="40">
        <f t="array" ref="A1626">IFNA(index(PlayerValues!A:A,match(IFNA(vlookup(B1626,'Special Names'!A:B,2,FALSE),B1626),PlayerValues!E:E,0)),"N/A")</f>
        <v>14127</v>
      </c>
      <c r="B1626" s="4" t="s">
        <v>486</v>
      </c>
      <c r="C1626" s="4" t="s">
        <v>287</v>
      </c>
      <c r="D1626" s="94">
        <v>3459.0</v>
      </c>
    </row>
    <row r="1627">
      <c r="A1627" s="40">
        <f t="array" ref="A1627">IFNA(index(PlayerValues!A:A,match(IFNA(vlookup(B1627,'Special Names'!A:B,2,FALSE),B1627),PlayerValues!E:E,0)),"N/A")</f>
        <v>17052</v>
      </c>
      <c r="B1627" s="4" t="s">
        <v>417</v>
      </c>
      <c r="C1627" s="4" t="s">
        <v>278</v>
      </c>
      <c r="D1627" s="94">
        <v>3455.0</v>
      </c>
    </row>
    <row r="1628">
      <c r="A1628" s="40">
        <f t="array" ref="A1628">IFNA(index(PlayerValues!A:A,match(IFNA(vlookup(B1628,'Special Names'!A:B,2,FALSE),B1628),PlayerValues!E:E,0)),"N/A")</f>
        <v>15742</v>
      </c>
      <c r="B1628" s="4" t="s">
        <v>447</v>
      </c>
      <c r="C1628" s="4" t="s">
        <v>278</v>
      </c>
      <c r="D1628" s="94">
        <v>3439.0</v>
      </c>
    </row>
    <row r="1629">
      <c r="A1629" s="40">
        <f t="array" ref="A1629">IFNA(index(PlayerValues!A:A,match(IFNA(vlookup(B1629,'Special Names'!A:B,2,FALSE),B1629),PlayerValues!E:E,0)),"N/A")</f>
        <v>15799</v>
      </c>
      <c r="B1629" s="4" t="s">
        <v>468</v>
      </c>
      <c r="C1629" s="4" t="s">
        <v>298</v>
      </c>
      <c r="D1629" s="94">
        <v>3859.0</v>
      </c>
    </row>
    <row r="1630">
      <c r="A1630" s="40">
        <f t="array" ref="A1630">IFNA(index(PlayerValues!A:A,match(IFNA(vlookup(B1630,'Special Names'!A:B,2,FALSE),B1630),PlayerValues!E:E,0)),"N/A")</f>
        <v>17502</v>
      </c>
      <c r="B1630" s="4" t="s">
        <v>451</v>
      </c>
      <c r="C1630" s="4" t="s">
        <v>287</v>
      </c>
      <c r="D1630" s="94">
        <v>3399.0</v>
      </c>
    </row>
    <row r="1631">
      <c r="A1631" s="40" t="str">
        <f t="array" ref="A1631">IFNA(index(PlayerValues!A:A,match(IFNA(vlookup(B1631,'Special Names'!A:B,2,FALSE),B1631),PlayerValues!E:E,0)),"N/A")</f>
        <v>N/A</v>
      </c>
      <c r="B1631" s="4" t="s">
        <v>96</v>
      </c>
      <c r="C1631" s="4" t="s">
        <v>325</v>
      </c>
      <c r="D1631" s="94">
        <v>3373.0</v>
      </c>
    </row>
    <row r="1632">
      <c r="A1632" s="40">
        <f t="array" ref="A1632">IFNA(index(PlayerValues!A:A,match(IFNA(vlookup(B1632,'Special Names'!A:B,2,FALSE),B1632),PlayerValues!E:E,0)),"N/A")</f>
        <v>14109</v>
      </c>
      <c r="B1632" s="4" t="s">
        <v>437</v>
      </c>
      <c r="C1632" s="4" t="s">
        <v>287</v>
      </c>
      <c r="D1632" s="94">
        <v>3358.0</v>
      </c>
    </row>
    <row r="1633">
      <c r="A1633" s="40">
        <f t="array" ref="A1633">IFNA(index(PlayerValues!A:A,match(IFNA(vlookup(B1633,'Special Names'!A:B,2,FALSE),B1633),PlayerValues!E:E,0)),"N/A")</f>
        <v>16594</v>
      </c>
      <c r="B1633" s="4" t="s">
        <v>607</v>
      </c>
      <c r="C1633" s="4" t="s">
        <v>278</v>
      </c>
      <c r="D1633" s="94">
        <v>3331.0</v>
      </c>
    </row>
    <row r="1634">
      <c r="A1634" s="40">
        <f t="array" ref="A1634">IFNA(index(PlayerValues!A:A,match(IFNA(vlookup(B1634,'Special Names'!A:B,2,FALSE),B1634),PlayerValues!E:E,0)),"N/A")</f>
        <v>17053</v>
      </c>
      <c r="B1634" s="4" t="s">
        <v>484</v>
      </c>
      <c r="C1634" s="4" t="s">
        <v>278</v>
      </c>
      <c r="D1634" s="94">
        <v>3330.0</v>
      </c>
    </row>
    <row r="1635">
      <c r="A1635" s="40">
        <f t="array" ref="A1635">IFNA(index(PlayerValues!A:A,match(IFNA(vlookup(B1635,'Special Names'!A:B,2,FALSE),B1635),PlayerValues!E:E,0)),"N/A")</f>
        <v>17473</v>
      </c>
      <c r="B1635" s="4" t="s">
        <v>391</v>
      </c>
      <c r="C1635" s="4" t="s">
        <v>278</v>
      </c>
      <c r="D1635" s="94">
        <v>3313.0</v>
      </c>
    </row>
    <row r="1636">
      <c r="A1636" s="40">
        <f t="array" ref="A1636">IFNA(index(PlayerValues!A:A,match(IFNA(vlookup(B1636,'Special Names'!A:B,2,FALSE),B1636),PlayerValues!E:E,0)),"N/A")</f>
        <v>13630</v>
      </c>
      <c r="B1636" s="4" t="s">
        <v>465</v>
      </c>
      <c r="C1636" s="4" t="s">
        <v>287</v>
      </c>
      <c r="D1636" s="94">
        <v>3298.0</v>
      </c>
    </row>
    <row r="1637">
      <c r="A1637" s="40">
        <f t="array" ref="A1637">IFNA(index(PlayerValues!A:A,match(IFNA(vlookup(B1637,'Special Names'!A:B,2,FALSE),B1637),PlayerValues!E:E,0)),"N/A")</f>
        <v>13635</v>
      </c>
      <c r="B1637" s="4" t="s">
        <v>424</v>
      </c>
      <c r="C1637" s="4" t="s">
        <v>287</v>
      </c>
      <c r="D1637" s="94">
        <v>3274.0</v>
      </c>
    </row>
    <row r="1638">
      <c r="A1638" s="40">
        <f t="array" ref="A1638">IFNA(index(PlayerValues!A:A,match(IFNA(vlookup(B1638,'Special Names'!A:B,2,FALSE),B1638),PlayerValues!E:E,0)),"N/A")</f>
        <v>16269</v>
      </c>
      <c r="B1638" s="4" t="s">
        <v>481</v>
      </c>
      <c r="C1638" s="4" t="s">
        <v>298</v>
      </c>
      <c r="D1638" s="94">
        <v>3709.0</v>
      </c>
    </row>
    <row r="1639">
      <c r="A1639" s="40">
        <f t="array" ref="A1639">IFNA(index(PlayerValues!A:A,match(IFNA(vlookup(B1639,'Special Names'!A:B,2,FALSE),B1639),PlayerValues!E:E,0)),"N/A")</f>
        <v>16184</v>
      </c>
      <c r="B1639" s="4" t="s">
        <v>445</v>
      </c>
      <c r="C1639" s="4" t="s">
        <v>287</v>
      </c>
      <c r="D1639" s="94">
        <v>3261.0</v>
      </c>
    </row>
    <row r="1640">
      <c r="A1640" s="40">
        <f t="array" ref="A1640">IFNA(index(PlayerValues!A:A,match(IFNA(vlookup(B1640,'Special Names'!A:B,2,FALSE),B1640),PlayerValues!E:E,0)),"N/A")</f>
        <v>15694</v>
      </c>
      <c r="B1640" s="4" t="s">
        <v>434</v>
      </c>
      <c r="C1640" s="4" t="s">
        <v>283</v>
      </c>
      <c r="D1640" s="94">
        <v>3213.0</v>
      </c>
    </row>
    <row r="1641">
      <c r="A1641" s="40">
        <f t="array" ref="A1641">IFNA(index(PlayerValues!A:A,match(IFNA(vlookup(B1641,'Special Names'!A:B,2,FALSE),B1641),PlayerValues!E:E,0)),"N/A")</f>
        <v>15712</v>
      </c>
      <c r="B1641" s="4" t="s">
        <v>488</v>
      </c>
      <c r="C1641" s="4" t="s">
        <v>278</v>
      </c>
      <c r="D1641" s="94">
        <v>3212.0</v>
      </c>
    </row>
    <row r="1642">
      <c r="A1642" s="40">
        <f t="array" ref="A1642">IFNA(index(PlayerValues!A:A,match(IFNA(vlookup(B1642,'Special Names'!A:B,2,FALSE),B1642),PlayerValues!E:E,0)),"N/A")</f>
        <v>17476</v>
      </c>
      <c r="B1642" s="4" t="s">
        <v>494</v>
      </c>
      <c r="C1642" s="4" t="s">
        <v>278</v>
      </c>
      <c r="D1642" s="94">
        <v>3202.0</v>
      </c>
    </row>
    <row r="1643">
      <c r="A1643" s="40">
        <f t="array" ref="A1643">IFNA(index(PlayerValues!A:A,match(IFNA(vlookup(B1643,'Special Names'!A:B,2,FALSE),B1643),PlayerValues!E:E,0)),"N/A")</f>
        <v>16809</v>
      </c>
      <c r="B1643" s="4" t="s">
        <v>455</v>
      </c>
      <c r="C1643" s="4" t="s">
        <v>287</v>
      </c>
      <c r="D1643" s="94">
        <v>3167.0</v>
      </c>
    </row>
    <row r="1644">
      <c r="A1644" s="40">
        <f t="array" ref="A1644">IFNA(index(PlayerValues!A:A,match(IFNA(vlookup(B1644,'Special Names'!A:B,2,FALSE),B1644),PlayerValues!E:E,0)),"N/A")</f>
        <v>16187</v>
      </c>
      <c r="B1644" s="4" t="s">
        <v>441</v>
      </c>
      <c r="C1644" s="4" t="s">
        <v>287</v>
      </c>
      <c r="D1644" s="94">
        <v>3151.0</v>
      </c>
    </row>
    <row r="1645">
      <c r="A1645" s="40">
        <f t="array" ref="A1645">IFNA(index(PlayerValues!A:A,match(IFNA(vlookup(B1645,'Special Names'!A:B,2,FALSE),B1645),PlayerValues!E:E,0)),"N/A")</f>
        <v>14823</v>
      </c>
      <c r="B1645" s="4" t="s">
        <v>459</v>
      </c>
      <c r="C1645" s="4" t="s">
        <v>278</v>
      </c>
      <c r="D1645" s="94">
        <v>3150.0</v>
      </c>
    </row>
    <row r="1646">
      <c r="A1646" s="40">
        <f t="array" ref="A1646">IFNA(index(PlayerValues!A:A,match(IFNA(vlookup(B1646,'Special Names'!A:B,2,FALSE),B1646),PlayerValues!E:E,0)),"N/A")</f>
        <v>15761</v>
      </c>
      <c r="B1646" s="4" t="s">
        <v>491</v>
      </c>
      <c r="C1646" s="4" t="s">
        <v>287</v>
      </c>
      <c r="D1646" s="94">
        <v>3111.0</v>
      </c>
    </row>
    <row r="1647">
      <c r="A1647" s="40" t="str">
        <f t="array" ref="A1647">IFNA(index(PlayerValues!A:A,match(IFNA(vlookup(B1647,'Special Names'!A:B,2,FALSE),B1647),PlayerValues!E:E,0)),"N/A")</f>
        <v>N/A</v>
      </c>
      <c r="B1647" s="4" t="s">
        <v>108</v>
      </c>
      <c r="C1647" s="4" t="s">
        <v>325</v>
      </c>
      <c r="D1647" s="94">
        <v>3078.0</v>
      </c>
    </row>
    <row r="1648">
      <c r="A1648" s="40" t="str">
        <f t="array" ref="A1648">IFNA(index(PlayerValues!A:A,match(IFNA(vlookup(B1648,'Special Names'!A:B,2,FALSE),B1648),PlayerValues!E:E,0)),"N/A")</f>
        <v>N/A</v>
      </c>
      <c r="B1648" s="4" t="s">
        <v>84</v>
      </c>
      <c r="C1648" s="4" t="s">
        <v>325</v>
      </c>
      <c r="D1648" s="94">
        <v>3074.0</v>
      </c>
    </row>
    <row r="1649">
      <c r="A1649" s="40" t="str">
        <f t="array" ref="A1649">IFNA(index(PlayerValues!A:A,match(IFNA(vlookup(B1649,'Special Names'!A:B,2,FALSE),B1649),PlayerValues!E:E,0)),"N/A")</f>
        <v>N/A</v>
      </c>
      <c r="B1649" s="4" t="s">
        <v>97</v>
      </c>
      <c r="C1649" s="4" t="s">
        <v>325</v>
      </c>
      <c r="D1649" s="94">
        <v>3068.0</v>
      </c>
    </row>
    <row r="1650">
      <c r="A1650" s="40">
        <f t="array" ref="A1650">IFNA(index(PlayerValues!A:A,match(IFNA(vlookup(B1650,'Special Names'!A:B,2,FALSE),B1650),PlayerValues!E:E,0)),"N/A")</f>
        <v>15261</v>
      </c>
      <c r="B1650" s="4" t="s">
        <v>466</v>
      </c>
      <c r="C1650" s="4" t="s">
        <v>278</v>
      </c>
      <c r="D1650" s="94">
        <v>3050.0</v>
      </c>
    </row>
    <row r="1651">
      <c r="A1651" s="40">
        <f t="array" ref="A1651">IFNA(index(PlayerValues!A:A,match(IFNA(vlookup(B1651,'Special Names'!A:B,2,FALSE),B1651),PlayerValues!E:E,0)),"N/A")</f>
        <v>16619</v>
      </c>
      <c r="B1651" s="4" t="s">
        <v>538</v>
      </c>
      <c r="C1651" s="4" t="s">
        <v>287</v>
      </c>
      <c r="D1651" s="94">
        <v>3046.0</v>
      </c>
    </row>
    <row r="1652">
      <c r="A1652" s="40">
        <f t="array" ref="A1652">IFNA(index(PlayerValues!A:A,match(IFNA(vlookup(B1652,'Special Names'!A:B,2,FALSE),B1652),PlayerValues!E:E,0)),"N/A")</f>
        <v>15798</v>
      </c>
      <c r="B1652" s="4" t="s">
        <v>443</v>
      </c>
      <c r="C1652" s="4" t="s">
        <v>298</v>
      </c>
      <c r="D1652" s="94">
        <v>3452.0</v>
      </c>
    </row>
    <row r="1653">
      <c r="A1653" s="40">
        <f t="array" ref="A1653">IFNA(index(PlayerValues!A:A,match(IFNA(vlookup(B1653,'Special Names'!A:B,2,FALSE),B1653),PlayerValues!E:E,0)),"N/A")</f>
        <v>17463</v>
      </c>
      <c r="B1653" s="4" t="s">
        <v>433</v>
      </c>
      <c r="C1653" s="4" t="s">
        <v>283</v>
      </c>
      <c r="D1653" s="94">
        <v>2990.0</v>
      </c>
    </row>
    <row r="1654">
      <c r="A1654" s="40">
        <f t="array" ref="A1654">IFNA(index(PlayerValues!A:A,match(IFNA(vlookup(B1654,'Special Names'!A:B,2,FALSE),B1654),PlayerValues!E:E,0)),"N/A")</f>
        <v>17082</v>
      </c>
      <c r="B1654" s="4" t="s">
        <v>498</v>
      </c>
      <c r="C1654" s="4" t="s">
        <v>287</v>
      </c>
      <c r="D1654" s="94">
        <v>2978.0</v>
      </c>
    </row>
    <row r="1655">
      <c r="A1655" s="40">
        <f t="array" ref="A1655">IFNA(index(PlayerValues!A:A,match(IFNA(vlookup(B1655,'Special Names'!A:B,2,FALSE),B1655),PlayerValues!E:E,0)),"N/A")</f>
        <v>15259</v>
      </c>
      <c r="B1655" s="4" t="s">
        <v>453</v>
      </c>
      <c r="C1655" s="4" t="s">
        <v>278</v>
      </c>
      <c r="D1655" s="94">
        <v>2975.0</v>
      </c>
    </row>
    <row r="1656">
      <c r="A1656" s="40">
        <f t="array" ref="A1656">IFNA(index(PlayerValues!A:A,match(IFNA(vlookup(B1656,'Special Names'!A:B,2,FALSE),B1656),PlayerValues!E:E,0)),"N/A")</f>
        <v>16193</v>
      </c>
      <c r="B1656" s="4" t="s">
        <v>487</v>
      </c>
      <c r="C1656" s="4" t="s">
        <v>287</v>
      </c>
      <c r="D1656" s="94">
        <v>2972.0</v>
      </c>
    </row>
    <row r="1657">
      <c r="A1657" s="40">
        <f t="array" ref="A1657">IFNA(index(PlayerValues!A:A,match(IFNA(vlookup(B1657,'Special Names'!A:B,2,FALSE),B1657),PlayerValues!E:E,0)),"N/A")</f>
        <v>15779</v>
      </c>
      <c r="B1657" s="4" t="s">
        <v>461</v>
      </c>
      <c r="C1657" s="4" t="s">
        <v>287</v>
      </c>
      <c r="D1657" s="94">
        <v>2971.0</v>
      </c>
    </row>
    <row r="1658">
      <c r="A1658" s="40">
        <f t="array" ref="A1658">IFNA(index(PlayerValues!A:A,match(IFNA(vlookup(B1658,'Special Names'!A:B,2,FALSE),B1658),PlayerValues!E:E,0)),"N/A")</f>
        <v>17106</v>
      </c>
      <c r="B1658" s="4" t="s">
        <v>550</v>
      </c>
      <c r="C1658" s="4" t="s">
        <v>298</v>
      </c>
      <c r="D1658" s="94">
        <v>3349.0</v>
      </c>
    </row>
    <row r="1659">
      <c r="A1659" s="40">
        <f t="array" ref="A1659">IFNA(index(PlayerValues!A:A,match(IFNA(vlookup(B1659,'Special Names'!A:B,2,FALSE),B1659),PlayerValues!E:E,0)),"N/A")</f>
        <v>17107</v>
      </c>
      <c r="B1659" s="4" t="s">
        <v>478</v>
      </c>
      <c r="C1659" s="4" t="s">
        <v>298</v>
      </c>
      <c r="D1659" s="94">
        <v>3326.0</v>
      </c>
    </row>
    <row r="1660">
      <c r="A1660" s="40">
        <f t="array" ref="A1660">IFNA(index(PlayerValues!A:A,match(IFNA(vlookup(B1660,'Special Names'!A:B,2,FALSE),B1660),PlayerValues!E:E,0)),"N/A")</f>
        <v>17031</v>
      </c>
      <c r="B1660" s="4" t="s">
        <v>535</v>
      </c>
      <c r="C1660" s="4" t="s">
        <v>283</v>
      </c>
      <c r="D1660" s="94">
        <v>2900.0</v>
      </c>
    </row>
    <row r="1661">
      <c r="A1661" s="40">
        <f t="array" ref="A1661">IFNA(index(PlayerValues!A:A,match(IFNA(vlookup(B1661,'Special Names'!A:B,2,FALSE),B1661),PlayerValues!E:E,0)),"N/A")</f>
        <v>17256</v>
      </c>
      <c r="B1661" s="4" t="s">
        <v>462</v>
      </c>
      <c r="C1661" s="4" t="s">
        <v>278</v>
      </c>
      <c r="D1661" s="94">
        <v>2891.0</v>
      </c>
    </row>
    <row r="1662">
      <c r="A1662" s="40">
        <f t="array" ref="A1662">IFNA(index(PlayerValues!A:A,match(IFNA(vlookup(B1662,'Special Names'!A:B,2,FALSE),B1662),PlayerValues!E:E,0)),"N/A")</f>
        <v>16723</v>
      </c>
      <c r="B1662" s="4" t="s">
        <v>502</v>
      </c>
      <c r="C1662" s="4" t="s">
        <v>298</v>
      </c>
      <c r="D1662" s="94">
        <v>3297.0</v>
      </c>
    </row>
    <row r="1663">
      <c r="A1663" s="40">
        <f t="array" ref="A1663">IFNA(index(PlayerValues!A:A,match(IFNA(vlookup(B1663,'Special Names'!A:B,2,FALSE),B1663),PlayerValues!E:E,0)),"N/A")</f>
        <v>11671</v>
      </c>
      <c r="B1663" s="4" t="s">
        <v>463</v>
      </c>
      <c r="C1663" s="4" t="s">
        <v>287</v>
      </c>
      <c r="D1663" s="94">
        <v>2867.0</v>
      </c>
    </row>
    <row r="1664">
      <c r="A1664" s="40">
        <f t="array" ref="A1664">IFNA(index(PlayerValues!A:A,match(IFNA(vlookup(B1664,'Special Names'!A:B,2,FALSE),B1664),PlayerValues!E:E,0)),"N/A")</f>
        <v>16628</v>
      </c>
      <c r="B1664" s="4" t="s">
        <v>490</v>
      </c>
      <c r="C1664" s="4" t="s">
        <v>287</v>
      </c>
      <c r="D1664" s="94">
        <v>2864.0</v>
      </c>
    </row>
    <row r="1665">
      <c r="A1665" s="40">
        <f t="array" ref="A1665">IFNA(index(PlayerValues!A:A,match(IFNA(vlookup(B1665,'Special Names'!A:B,2,FALSE),B1665),PlayerValues!E:E,0)),"N/A")</f>
        <v>17171</v>
      </c>
      <c r="B1665" s="4" t="s">
        <v>561</v>
      </c>
      <c r="C1665" s="4" t="s">
        <v>287</v>
      </c>
      <c r="D1665" s="94">
        <v>2851.0</v>
      </c>
    </row>
    <row r="1666">
      <c r="A1666" s="40">
        <f t="array" ref="A1666">IFNA(index(PlayerValues!A:A,match(IFNA(vlookup(B1666,'Special Names'!A:B,2,FALSE),B1666),PlayerValues!E:E,0)),"N/A")</f>
        <v>16596</v>
      </c>
      <c r="B1666" s="4" t="s">
        <v>501</v>
      </c>
      <c r="C1666" s="4" t="s">
        <v>278</v>
      </c>
      <c r="D1666" s="94">
        <v>2844.0</v>
      </c>
    </row>
    <row r="1667">
      <c r="A1667" s="40">
        <f t="array" ref="A1667">IFNA(index(PlayerValues!A:A,match(IFNA(vlookup(B1667,'Special Names'!A:B,2,FALSE),B1667),PlayerValues!E:E,0)),"N/A")</f>
        <v>17073</v>
      </c>
      <c r="B1667" s="4" t="s">
        <v>547</v>
      </c>
      <c r="C1667" s="4" t="s">
        <v>287</v>
      </c>
      <c r="D1667" s="94">
        <v>2841.0</v>
      </c>
    </row>
    <row r="1668">
      <c r="A1668" s="40">
        <f t="array" ref="A1668">IFNA(index(PlayerValues!A:A,match(IFNA(vlookup(B1668,'Special Names'!A:B,2,FALSE),B1668),PlayerValues!E:E,0)),"N/A")</f>
        <v>14860</v>
      </c>
      <c r="B1668" s="4" t="s">
        <v>554</v>
      </c>
      <c r="C1668" s="4" t="s">
        <v>287</v>
      </c>
      <c r="D1668" s="94">
        <v>2839.0</v>
      </c>
    </row>
    <row r="1669">
      <c r="A1669" s="40">
        <f t="array" ref="A1669">IFNA(index(PlayerValues!A:A,match(IFNA(vlookup(B1669,'Special Names'!A:B,2,FALSE),B1669),PlayerValues!E:E,0)),"N/A")</f>
        <v>17072</v>
      </c>
      <c r="B1669" s="4" t="s">
        <v>508</v>
      </c>
      <c r="C1669" s="4" t="s">
        <v>287</v>
      </c>
      <c r="D1669" s="94">
        <v>2839.0</v>
      </c>
    </row>
    <row r="1670">
      <c r="A1670" s="40">
        <f t="array" ref="A1670">IFNA(index(PlayerValues!A:A,match(IFNA(vlookup(B1670,'Special Names'!A:B,2,FALSE),B1670),PlayerValues!E:E,0)),"N/A")</f>
        <v>17157</v>
      </c>
      <c r="B1670" s="4" t="s">
        <v>524</v>
      </c>
      <c r="C1670" s="4" t="s">
        <v>287</v>
      </c>
      <c r="D1670" s="94">
        <v>2835.0</v>
      </c>
    </row>
    <row r="1671">
      <c r="A1671" s="40">
        <f t="array" ref="A1671">IFNA(index(PlayerValues!A:A,match(IFNA(vlookup(B1671,'Special Names'!A:B,2,FALSE),B1671),PlayerValues!E:E,0)),"N/A")</f>
        <v>16080</v>
      </c>
      <c r="B1671" s="4" t="s">
        <v>499</v>
      </c>
      <c r="C1671" s="4" t="s">
        <v>287</v>
      </c>
      <c r="D1671" s="94">
        <v>2829.0</v>
      </c>
    </row>
    <row r="1672">
      <c r="A1672" s="40">
        <f t="array" ref="A1672">IFNA(index(PlayerValues!A:A,match(IFNA(vlookup(B1672,'Special Names'!A:B,2,FALSE),B1672),PlayerValues!E:E,0)),"N/A")</f>
        <v>17511</v>
      </c>
      <c r="B1672" s="4" t="s">
        <v>485</v>
      </c>
      <c r="C1672" s="4" t="s">
        <v>287</v>
      </c>
      <c r="D1672" s="94">
        <v>2819.0</v>
      </c>
    </row>
    <row r="1673">
      <c r="A1673" s="40">
        <f t="array" ref="A1673">IFNA(index(PlayerValues!A:A,match(IFNA(vlookup(B1673,'Special Names'!A:B,2,FALSE),B1673),PlayerValues!E:E,0)),"N/A")</f>
        <v>16165</v>
      </c>
      <c r="B1673" s="4" t="s">
        <v>520</v>
      </c>
      <c r="C1673" s="4" t="s">
        <v>278</v>
      </c>
      <c r="D1673" s="94">
        <v>2810.0</v>
      </c>
    </row>
    <row r="1674">
      <c r="A1674" s="40">
        <f t="array" ref="A1674">IFNA(index(PlayerValues!A:A,match(IFNA(vlookup(B1674,'Special Names'!A:B,2,FALSE),B1674),PlayerValues!E:E,0)),"N/A")</f>
        <v>15255</v>
      </c>
      <c r="B1674" s="4" t="s">
        <v>477</v>
      </c>
      <c r="C1674" s="4" t="s">
        <v>278</v>
      </c>
      <c r="D1674" s="94">
        <v>2804.0</v>
      </c>
    </row>
    <row r="1675">
      <c r="A1675" s="40" t="str">
        <f t="array" ref="A1675">IFNA(index(PlayerValues!A:A,match(IFNA(vlookup(B1675,'Special Names'!A:B,2,FALSE),B1675),PlayerValues!E:E,0)),"N/A")</f>
        <v>N/A</v>
      </c>
      <c r="B1675" s="4" t="s">
        <v>85</v>
      </c>
      <c r="C1675" s="4" t="s">
        <v>325</v>
      </c>
      <c r="D1675" s="94">
        <v>2804.0</v>
      </c>
    </row>
    <row r="1676">
      <c r="A1676" s="40">
        <f t="array" ref="A1676">IFNA(index(PlayerValues!A:A,match(IFNA(vlookup(B1676,'Special Names'!A:B,2,FALSE),B1676),PlayerValues!E:E,0)),"N/A")</f>
        <v>17134</v>
      </c>
      <c r="B1676" s="4" t="s">
        <v>548</v>
      </c>
      <c r="C1676" s="4" t="s">
        <v>287</v>
      </c>
      <c r="D1676" s="94">
        <v>2803.0</v>
      </c>
    </row>
    <row r="1677">
      <c r="A1677" s="40" t="str">
        <f t="array" ref="A1677">IFNA(index(PlayerValues!A:A,match(IFNA(vlookup(B1677,'Special Names'!A:B,2,FALSE),B1677),PlayerValues!E:E,0)),"N/A")</f>
        <v>N/A</v>
      </c>
      <c r="B1677" s="4" t="s">
        <v>109</v>
      </c>
      <c r="C1677" s="4" t="s">
        <v>325</v>
      </c>
      <c r="D1677" s="94">
        <v>2799.0</v>
      </c>
    </row>
    <row r="1678">
      <c r="A1678" s="40">
        <f t="array" ref="A1678">IFNA(index(PlayerValues!A:A,match(IFNA(vlookup(B1678,'Special Names'!A:B,2,FALSE),B1678),PlayerValues!E:E,0)),"N/A")</f>
        <v>15241</v>
      </c>
      <c r="B1678" s="4" t="s">
        <v>546</v>
      </c>
      <c r="C1678" s="4" t="s">
        <v>283</v>
      </c>
      <c r="D1678" s="94">
        <v>2797.0</v>
      </c>
    </row>
    <row r="1679">
      <c r="A1679" s="40">
        <f t="array" ref="A1679">IFNA(index(PlayerValues!A:A,match(IFNA(vlookup(B1679,'Special Names'!A:B,2,FALSE),B1679),PlayerValues!E:E,0)),"N/A")</f>
        <v>16649</v>
      </c>
      <c r="B1679" s="4" t="s">
        <v>586</v>
      </c>
      <c r="C1679" s="4" t="s">
        <v>298</v>
      </c>
      <c r="D1679" s="94">
        <v>3215.0</v>
      </c>
    </row>
    <row r="1680">
      <c r="A1680" s="40">
        <f t="array" ref="A1680">IFNA(index(PlayerValues!A:A,match(IFNA(vlookup(B1680,'Special Names'!A:B,2,FALSE),B1680),PlayerValues!E:E,0)),"N/A")</f>
        <v>14071</v>
      </c>
      <c r="B1680" s="4" t="s">
        <v>440</v>
      </c>
      <c r="C1680" s="4" t="s">
        <v>278</v>
      </c>
      <c r="D1680" s="94">
        <v>2791.0</v>
      </c>
    </row>
    <row r="1681">
      <c r="A1681" s="40">
        <f t="array" ref="A1681">IFNA(index(PlayerValues!A:A,match(IFNA(vlookup(B1681,'Special Names'!A:B,2,FALSE),B1681),PlayerValues!E:E,0)),"N/A")</f>
        <v>17080</v>
      </c>
      <c r="B1681" s="4" t="s">
        <v>532</v>
      </c>
      <c r="C1681" s="4" t="s">
        <v>287</v>
      </c>
      <c r="D1681" s="94">
        <v>2782.0</v>
      </c>
    </row>
    <row r="1682">
      <c r="A1682" s="40">
        <f t="array" ref="A1682">IFNA(index(PlayerValues!A:A,match(IFNA(vlookup(B1682,'Special Names'!A:B,2,FALSE),B1682),PlayerValues!E:E,0)),"N/A")</f>
        <v>16626</v>
      </c>
      <c r="B1682" s="4" t="s">
        <v>515</v>
      </c>
      <c r="C1682" s="4" t="s">
        <v>287</v>
      </c>
      <c r="D1682" s="94">
        <v>2766.0</v>
      </c>
    </row>
    <row r="1683">
      <c r="A1683" s="40">
        <f t="array" ref="A1683">IFNA(index(PlayerValues!A:A,match(IFNA(vlookup(B1683,'Special Names'!A:B,2,FALSE),B1683),PlayerValues!E:E,0)),"N/A")</f>
        <v>13163</v>
      </c>
      <c r="B1683" s="4" t="s">
        <v>473</v>
      </c>
      <c r="C1683" s="4" t="s">
        <v>287</v>
      </c>
      <c r="D1683" s="94">
        <v>2764.0</v>
      </c>
    </row>
    <row r="1684">
      <c r="A1684" s="40">
        <f t="array" ref="A1684">IFNA(index(PlayerValues!A:A,match(IFNA(vlookup(B1684,'Special Names'!A:B,2,FALSE),B1684),PlayerValues!E:E,0)),"N/A")</f>
        <v>14800</v>
      </c>
      <c r="B1684" s="4" t="s">
        <v>472</v>
      </c>
      <c r="C1684" s="4" t="s">
        <v>278</v>
      </c>
      <c r="D1684" s="94">
        <v>2759.0</v>
      </c>
    </row>
    <row r="1685">
      <c r="A1685" s="40">
        <f t="array" ref="A1685">IFNA(index(PlayerValues!A:A,match(IFNA(vlookup(B1685,'Special Names'!A:B,2,FALSE),B1685),PlayerValues!E:E,0)),"N/A")</f>
        <v>17098</v>
      </c>
      <c r="B1685" s="4" t="s">
        <v>533</v>
      </c>
      <c r="C1685" s="4" t="s">
        <v>287</v>
      </c>
      <c r="D1685" s="94">
        <v>2742.0</v>
      </c>
    </row>
    <row r="1686">
      <c r="A1686" s="40">
        <f t="array" ref="A1686">IFNA(index(PlayerValues!A:A,match(IFNA(vlookup(B1686,'Special Names'!A:B,2,FALSE),B1686),PlayerValues!E:E,0)),"N/A")</f>
        <v>16747</v>
      </c>
      <c r="B1686" s="4" t="s">
        <v>555</v>
      </c>
      <c r="C1686" s="4" t="s">
        <v>278</v>
      </c>
      <c r="D1686" s="94">
        <v>2738.0</v>
      </c>
    </row>
    <row r="1687">
      <c r="A1687" s="40">
        <f t="array" ref="A1687">IFNA(index(PlayerValues!A:A,match(IFNA(vlookup(B1687,'Special Names'!A:B,2,FALSE),B1687),PlayerValues!E:E,0)),"N/A")</f>
        <v>17047</v>
      </c>
      <c r="B1687" s="4" t="s">
        <v>510</v>
      </c>
      <c r="C1687" s="4" t="s">
        <v>278</v>
      </c>
      <c r="D1687" s="94">
        <v>2724.0</v>
      </c>
    </row>
    <row r="1688">
      <c r="A1688" s="40">
        <f t="array" ref="A1688">IFNA(index(PlayerValues!A:A,match(IFNA(vlookup(B1688,'Special Names'!A:B,2,FALSE),B1688),PlayerValues!E:E,0)),"N/A")</f>
        <v>14840</v>
      </c>
      <c r="B1688" s="4" t="s">
        <v>731</v>
      </c>
      <c r="C1688" s="4" t="s">
        <v>287</v>
      </c>
      <c r="D1688" s="94">
        <v>2693.0</v>
      </c>
    </row>
    <row r="1689">
      <c r="A1689" s="40">
        <f t="array" ref="A1689">IFNA(index(PlayerValues!A:A,match(IFNA(vlookup(B1689,'Special Names'!A:B,2,FALSE),B1689),PlayerValues!E:E,0)),"N/A")</f>
        <v>16597</v>
      </c>
      <c r="B1689" s="4" t="s">
        <v>427</v>
      </c>
      <c r="C1689" s="4" t="s">
        <v>278</v>
      </c>
      <c r="D1689" s="94">
        <v>2692.0</v>
      </c>
    </row>
    <row r="1690">
      <c r="A1690" s="40">
        <f t="array" ref="A1690">IFNA(index(PlayerValues!A:A,match(IFNA(vlookup(B1690,'Special Names'!A:B,2,FALSE),B1690),PlayerValues!E:E,0)),"N/A")</f>
        <v>14085</v>
      </c>
      <c r="B1690" s="4" t="s">
        <v>489</v>
      </c>
      <c r="C1690" s="4" t="s">
        <v>278</v>
      </c>
      <c r="D1690" s="94">
        <v>2685.0</v>
      </c>
    </row>
    <row r="1691">
      <c r="A1691" s="40">
        <f t="array" ref="A1691">IFNA(index(PlayerValues!A:A,match(IFNA(vlookup(B1691,'Special Names'!A:B,2,FALSE),B1691),PlayerValues!E:E,0)),"N/A")</f>
        <v>17048</v>
      </c>
      <c r="B1691" s="4" t="s">
        <v>539</v>
      </c>
      <c r="C1691" s="4" t="s">
        <v>278</v>
      </c>
      <c r="D1691" s="94">
        <v>2683.0</v>
      </c>
    </row>
    <row r="1692">
      <c r="A1692" s="40">
        <f t="array" ref="A1692">IFNA(index(PlayerValues!A:A,match(IFNA(vlookup(B1692,'Special Names'!A:B,2,FALSE),B1692),PlayerValues!E:E,0)),"N/A")</f>
        <v>17505</v>
      </c>
      <c r="B1692" s="4" t="s">
        <v>528</v>
      </c>
      <c r="C1692" s="4" t="s">
        <v>287</v>
      </c>
      <c r="D1692" s="94">
        <v>2675.0</v>
      </c>
    </row>
    <row r="1693">
      <c r="A1693" s="40">
        <f t="array" ref="A1693">IFNA(index(PlayerValues!A:A,match(IFNA(vlookup(B1693,'Special Names'!A:B,2,FALSE),B1693),PlayerValues!E:E,0)),"N/A")</f>
        <v>17507</v>
      </c>
      <c r="B1693" s="4" t="s">
        <v>495</v>
      </c>
      <c r="C1693" s="4" t="s">
        <v>287</v>
      </c>
      <c r="D1693" s="94">
        <v>2661.0</v>
      </c>
    </row>
    <row r="1694">
      <c r="A1694" s="40">
        <f t="array" ref="A1694">IFNA(index(PlayerValues!A:A,match(IFNA(vlookup(B1694,'Special Names'!A:B,2,FALSE),B1694),PlayerValues!E:E,0)),"N/A")</f>
        <v>14833</v>
      </c>
      <c r="B1694" s="4" t="s">
        <v>553</v>
      </c>
      <c r="C1694" s="4" t="s">
        <v>287</v>
      </c>
      <c r="D1694" s="94">
        <v>2647.0</v>
      </c>
    </row>
    <row r="1695">
      <c r="A1695" s="40">
        <f t="array" ref="A1695">IFNA(index(PlayerValues!A:A,match(IFNA(vlookup(B1695,'Special Names'!A:B,2,FALSE),B1695),PlayerValues!E:E,0)),"N/A")</f>
        <v>12186</v>
      </c>
      <c r="B1695" s="4" t="s">
        <v>497</v>
      </c>
      <c r="C1695" s="4" t="s">
        <v>287</v>
      </c>
      <c r="D1695" s="94">
        <v>2628.0</v>
      </c>
    </row>
    <row r="1696">
      <c r="A1696" s="40" t="str">
        <f t="array" ref="A1696">IFNA(index(PlayerValues!A:A,match(IFNA(vlookup(B1696,'Special Names'!A:B,2,FALSE),B1696),PlayerValues!E:E,0)),"N/A")</f>
        <v>N/A</v>
      </c>
      <c r="B1696" s="4" t="s">
        <v>110</v>
      </c>
      <c r="C1696" s="4" t="s">
        <v>325</v>
      </c>
      <c r="D1696" s="94">
        <v>2627.0</v>
      </c>
    </row>
    <row r="1697">
      <c r="A1697" s="40">
        <f t="array" ref="A1697">IFNA(index(PlayerValues!A:A,match(IFNA(vlookup(B1697,'Special Names'!A:B,2,FALSE),B1697),PlayerValues!E:E,0)),"N/A")</f>
        <v>14778</v>
      </c>
      <c r="B1697" s="4" t="s">
        <v>564</v>
      </c>
      <c r="C1697" s="4" t="s">
        <v>283</v>
      </c>
      <c r="D1697" s="94">
        <v>2626.0</v>
      </c>
    </row>
    <row r="1698">
      <c r="A1698" s="40">
        <f t="array" ref="A1698">IFNA(index(PlayerValues!A:A,match(IFNA(vlookup(B1698,'Special Names'!A:B,2,FALSE),B1698),PlayerValues!E:E,0)),"N/A")</f>
        <v>17046</v>
      </c>
      <c r="B1698" s="4" t="s">
        <v>602</v>
      </c>
      <c r="C1698" s="4" t="s">
        <v>278</v>
      </c>
      <c r="D1698" s="94">
        <v>2621.0</v>
      </c>
    </row>
    <row r="1699">
      <c r="A1699" s="40">
        <f t="array" ref="A1699">IFNA(index(PlayerValues!A:A,match(IFNA(vlookup(B1699,'Special Names'!A:B,2,FALSE),B1699),PlayerValues!E:E,0)),"N/A")</f>
        <v>16757</v>
      </c>
      <c r="B1699" s="4" t="s">
        <v>558</v>
      </c>
      <c r="C1699" s="4" t="s">
        <v>278</v>
      </c>
      <c r="D1699" s="94">
        <v>2611.0</v>
      </c>
    </row>
    <row r="1700">
      <c r="A1700" s="40">
        <f t="array" ref="A1700">IFNA(index(PlayerValues!A:A,match(IFNA(vlookup(B1700,'Special Names'!A:B,2,FALSE),B1700),PlayerValues!E:E,0)),"N/A")</f>
        <v>14138</v>
      </c>
      <c r="B1700" s="4" t="s">
        <v>531</v>
      </c>
      <c r="C1700" s="4" t="s">
        <v>298</v>
      </c>
      <c r="D1700" s="94">
        <v>3020.0</v>
      </c>
    </row>
    <row r="1701">
      <c r="A1701" s="40">
        <f t="array" ref="A1701">IFNA(index(PlayerValues!A:A,match(IFNA(vlookup(B1701,'Special Names'!A:B,2,FALSE),B1701),PlayerValues!E:E,0)),"N/A")</f>
        <v>13674</v>
      </c>
      <c r="B1701" s="4" t="s">
        <v>511</v>
      </c>
      <c r="C1701" s="4" t="s">
        <v>298</v>
      </c>
      <c r="D1701" s="94">
        <v>3014.0</v>
      </c>
    </row>
    <row r="1702">
      <c r="A1702" s="40">
        <f t="array" ref="A1702">IFNA(index(PlayerValues!A:A,match(IFNA(vlookup(B1702,'Special Names'!A:B,2,FALSE),B1702),PlayerValues!E:E,0)),"N/A")</f>
        <v>15721</v>
      </c>
      <c r="B1702" s="4" t="s">
        <v>504</v>
      </c>
      <c r="C1702" s="4" t="s">
        <v>278</v>
      </c>
      <c r="D1702" s="94">
        <v>2585.0</v>
      </c>
    </row>
    <row r="1703">
      <c r="A1703" s="40" t="str">
        <f t="array" ref="A1703">IFNA(index(PlayerValues!A:A,match(IFNA(vlookup(B1703,'Special Names'!A:B,2,FALSE),B1703),PlayerValues!E:E,0)),"N/A")</f>
        <v>N/A</v>
      </c>
      <c r="B1703" s="4" t="s">
        <v>557</v>
      </c>
      <c r="C1703" s="4" t="s">
        <v>278</v>
      </c>
      <c r="D1703" s="94">
        <v>2579.0</v>
      </c>
    </row>
    <row r="1704">
      <c r="A1704" s="40">
        <f t="array" ref="A1704">IFNA(index(PlayerValues!A:A,match(IFNA(vlookup(B1704,'Special Names'!A:B,2,FALSE),B1704),PlayerValues!E:E,0)),"N/A")</f>
        <v>17108</v>
      </c>
      <c r="B1704" s="4" t="s">
        <v>542</v>
      </c>
      <c r="C1704" s="4" t="s">
        <v>298</v>
      </c>
      <c r="D1704" s="94">
        <v>2988.0</v>
      </c>
    </row>
    <row r="1705">
      <c r="A1705" s="40">
        <f t="array" ref="A1705">IFNA(index(PlayerValues!A:A,match(IFNA(vlookup(B1705,'Special Names'!A:B,2,FALSE),B1705),PlayerValues!E:E,0)),"N/A")</f>
        <v>13192</v>
      </c>
      <c r="B1705" s="4" t="s">
        <v>563</v>
      </c>
      <c r="C1705" s="4" t="s">
        <v>298</v>
      </c>
      <c r="D1705" s="94">
        <v>2964.0</v>
      </c>
    </row>
    <row r="1706">
      <c r="A1706" s="40">
        <f t="array" ref="A1706">IFNA(index(PlayerValues!A:A,match(IFNA(vlookup(B1706,'Special Names'!A:B,2,FALSE),B1706),PlayerValues!E:E,0)),"N/A")</f>
        <v>16287</v>
      </c>
      <c r="B1706" s="4" t="s">
        <v>516</v>
      </c>
      <c r="C1706" s="4" t="s">
        <v>287</v>
      </c>
      <c r="D1706" s="94">
        <v>2541.0</v>
      </c>
    </row>
    <row r="1707">
      <c r="A1707" s="40">
        <f t="array" ref="A1707">IFNA(index(PlayerValues!A:A,match(IFNA(vlookup(B1707,'Special Names'!A:B,2,FALSE),B1707),PlayerValues!E:E,0)),"N/A")</f>
        <v>17464</v>
      </c>
      <c r="B1707" s="4" t="s">
        <v>828</v>
      </c>
      <c r="C1707" s="4" t="s">
        <v>283</v>
      </c>
      <c r="D1707" s="94">
        <v>2540.0</v>
      </c>
    </row>
    <row r="1708">
      <c r="A1708" s="40">
        <f t="array" ref="A1708">IFNA(index(PlayerValues!A:A,match(IFNA(vlookup(B1708,'Special Names'!A:B,2,FALSE),B1708),PlayerValues!E:E,0)),"N/A")</f>
        <v>16166</v>
      </c>
      <c r="B1708" s="4" t="s">
        <v>567</v>
      </c>
      <c r="C1708" s="4" t="s">
        <v>278</v>
      </c>
      <c r="D1708" s="94">
        <v>2537.0</v>
      </c>
    </row>
    <row r="1709">
      <c r="A1709" s="40">
        <f t="array" ref="A1709">IFNA(index(PlayerValues!A:A,match(IFNA(vlookup(B1709,'Special Names'!A:B,2,FALSE),B1709),PlayerValues!E:E,0)),"N/A")</f>
        <v>14136</v>
      </c>
      <c r="B1709" s="4" t="s">
        <v>536</v>
      </c>
      <c r="C1709" s="4" t="s">
        <v>287</v>
      </c>
      <c r="D1709" s="94">
        <v>2532.0</v>
      </c>
    </row>
    <row r="1710">
      <c r="A1710" s="40">
        <f t="array" ref="A1710">IFNA(index(PlayerValues!A:A,match(IFNA(vlookup(B1710,'Special Names'!A:B,2,FALSE),B1710),PlayerValues!E:E,0)),"N/A")</f>
        <v>13671</v>
      </c>
      <c r="B1710" s="4" t="s">
        <v>506</v>
      </c>
      <c r="C1710" s="4" t="s">
        <v>298</v>
      </c>
      <c r="D1710" s="94">
        <v>2939.0</v>
      </c>
    </row>
    <row r="1711">
      <c r="A1711" s="40">
        <f t="array" ref="A1711">IFNA(index(PlayerValues!A:A,match(IFNA(vlookup(B1711,'Special Names'!A:B,2,FALSE),B1711),PlayerValues!E:E,0)),"N/A")</f>
        <v>17078</v>
      </c>
      <c r="B1711" s="4" t="s">
        <v>543</v>
      </c>
      <c r="C1711" s="4" t="s">
        <v>287</v>
      </c>
      <c r="D1711" s="94">
        <v>2489.0</v>
      </c>
    </row>
    <row r="1712">
      <c r="A1712" s="40">
        <f t="array" ref="A1712">IFNA(index(PlayerValues!A:A,match(IFNA(vlookup(B1712,'Special Names'!A:B,2,FALSE),B1712),PlayerValues!E:E,0)),"N/A")</f>
        <v>15972</v>
      </c>
      <c r="B1712" s="4" t="s">
        <v>469</v>
      </c>
      <c r="C1712" s="4" t="s">
        <v>278</v>
      </c>
      <c r="D1712" s="94">
        <v>2485.0</v>
      </c>
    </row>
    <row r="1713">
      <c r="A1713" s="40">
        <f t="array" ref="A1713">IFNA(index(PlayerValues!A:A,match(IFNA(vlookup(B1713,'Special Names'!A:B,2,FALSE),B1713),PlayerValues!E:E,0)),"N/A")</f>
        <v>17509</v>
      </c>
      <c r="B1713" s="4" t="s">
        <v>551</v>
      </c>
      <c r="C1713" s="4" t="s">
        <v>287</v>
      </c>
      <c r="D1713" s="94">
        <v>2482.0</v>
      </c>
    </row>
    <row r="1714">
      <c r="A1714" s="40">
        <f t="array" ref="A1714">IFNA(index(PlayerValues!A:A,match(IFNA(vlookup(B1714,'Special Names'!A:B,2,FALSE),B1714),PlayerValues!E:E,0)),"N/A")</f>
        <v>17474</v>
      </c>
      <c r="B1714" s="4" t="s">
        <v>513</v>
      </c>
      <c r="C1714" s="4" t="s">
        <v>278</v>
      </c>
      <c r="D1714" s="94">
        <v>2474.0</v>
      </c>
    </row>
    <row r="1715">
      <c r="A1715" s="40">
        <f t="array" ref="A1715">IFNA(index(PlayerValues!A:A,match(IFNA(vlookup(B1715,'Special Names'!A:B,2,FALSE),B1715),PlayerValues!E:E,0)),"N/A")</f>
        <v>16164</v>
      </c>
      <c r="B1715" s="4" t="s">
        <v>512</v>
      </c>
      <c r="C1715" s="4" t="s">
        <v>278</v>
      </c>
      <c r="D1715" s="94">
        <v>2474.0</v>
      </c>
    </row>
    <row r="1716">
      <c r="A1716" s="40">
        <f t="array" ref="A1716">IFNA(index(PlayerValues!A:A,match(IFNA(vlookup(B1716,'Special Names'!A:B,2,FALSE),B1716),PlayerValues!E:E,0)),"N/A")</f>
        <v>16617</v>
      </c>
      <c r="B1716" s="4" t="s">
        <v>541</v>
      </c>
      <c r="C1716" s="4" t="s">
        <v>287</v>
      </c>
      <c r="D1716" s="94">
        <v>2470.0</v>
      </c>
    </row>
    <row r="1717">
      <c r="A1717" s="40">
        <f t="array" ref="A1717">IFNA(index(PlayerValues!A:A,match(IFNA(vlookup(B1717,'Special Names'!A:B,2,FALSE),B1717),PlayerValues!E:E,0)),"N/A")</f>
        <v>16189</v>
      </c>
      <c r="B1717" s="4" t="s">
        <v>582</v>
      </c>
      <c r="C1717" s="4" t="s">
        <v>287</v>
      </c>
      <c r="D1717" s="94">
        <v>2468.0</v>
      </c>
    </row>
    <row r="1718">
      <c r="A1718" s="40" t="str">
        <f t="array" ref="A1718">IFNA(index(PlayerValues!A:A,match(IFNA(vlookup(B1718,'Special Names'!A:B,2,FALSE),B1718),PlayerValues!E:E,0)),"N/A")</f>
        <v>N/A</v>
      </c>
      <c r="B1718" s="4" t="s">
        <v>98</v>
      </c>
      <c r="C1718" s="4" t="s">
        <v>325</v>
      </c>
      <c r="D1718" s="94">
        <v>2453.0</v>
      </c>
    </row>
    <row r="1719">
      <c r="A1719" s="40">
        <f t="array" ref="A1719">IFNA(index(PlayerValues!A:A,match(IFNA(vlookup(B1719,'Special Names'!A:B,2,FALSE),B1719),PlayerValues!E:E,0)),"N/A")</f>
        <v>16152</v>
      </c>
      <c r="B1719" s="4" t="s">
        <v>601</v>
      </c>
      <c r="C1719" s="4" t="s">
        <v>283</v>
      </c>
      <c r="D1719" s="94">
        <v>2430.0</v>
      </c>
    </row>
    <row r="1720">
      <c r="A1720" s="40">
        <f t="array" ref="A1720">IFNA(index(PlayerValues!A:A,match(IFNA(vlookup(B1720,'Special Names'!A:B,2,FALSE),B1720),PlayerValues!E:E,0)),"N/A")</f>
        <v>12616</v>
      </c>
      <c r="B1720" s="4" t="s">
        <v>529</v>
      </c>
      <c r="C1720" s="4" t="s">
        <v>283</v>
      </c>
      <c r="D1720" s="94">
        <v>2427.0</v>
      </c>
    </row>
    <row r="1721">
      <c r="A1721" s="40">
        <f t="array" ref="A1721">IFNA(index(PlayerValues!A:A,match(IFNA(vlookup(B1721,'Special Names'!A:B,2,FALSE),B1721),PlayerValues!E:E,0)),"N/A")</f>
        <v>16204</v>
      </c>
      <c r="B1721" s="4" t="s">
        <v>530</v>
      </c>
      <c r="C1721" s="4" t="s">
        <v>287</v>
      </c>
      <c r="D1721" s="94">
        <v>2411.0</v>
      </c>
    </row>
    <row r="1722">
      <c r="A1722" s="40">
        <f t="array" ref="A1722">IFNA(index(PlayerValues!A:A,match(IFNA(vlookup(B1722,'Special Names'!A:B,2,FALSE),B1722),PlayerValues!E:E,0)),"N/A")</f>
        <v>17506</v>
      </c>
      <c r="B1722" s="4" t="s">
        <v>471</v>
      </c>
      <c r="C1722" s="4" t="s">
        <v>287</v>
      </c>
      <c r="D1722" s="94">
        <v>2398.0</v>
      </c>
    </row>
    <row r="1723">
      <c r="A1723" s="40">
        <f t="array" ref="A1723">IFNA(index(PlayerValues!A:A,match(IFNA(vlookup(B1723,'Special Names'!A:B,2,FALSE),B1723),PlayerValues!E:E,0)),"N/A")</f>
        <v>12676</v>
      </c>
      <c r="B1723" s="4" t="s">
        <v>537</v>
      </c>
      <c r="C1723" s="4" t="s">
        <v>298</v>
      </c>
      <c r="D1723" s="94">
        <v>2792.0</v>
      </c>
    </row>
    <row r="1724">
      <c r="A1724" s="40">
        <f t="array" ref="A1724">IFNA(index(PlayerValues!A:A,match(IFNA(vlookup(B1724,'Special Names'!A:B,2,FALSE),B1724),PlayerValues!E:E,0)),"N/A")</f>
        <v>17033</v>
      </c>
      <c r="B1724" s="4" t="s">
        <v>570</v>
      </c>
      <c r="C1724" s="4" t="s">
        <v>283</v>
      </c>
      <c r="D1724" s="94">
        <v>2383.0</v>
      </c>
    </row>
    <row r="1725">
      <c r="A1725" s="40" t="str">
        <f t="array" ref="A1725">IFNA(index(PlayerValues!A:A,match(IFNA(vlookup(B1725,'Special Names'!A:B,2,FALSE),B1725),PlayerValues!E:E,0)),"N/A")</f>
        <v>N/A</v>
      </c>
      <c r="B1725" s="4" t="s">
        <v>86</v>
      </c>
      <c r="C1725" s="4" t="s">
        <v>325</v>
      </c>
      <c r="D1725" s="94">
        <v>2364.0</v>
      </c>
    </row>
    <row r="1726">
      <c r="A1726" s="40">
        <f t="array" ref="A1726">IFNA(index(PlayerValues!A:A,match(IFNA(vlookup(B1726,'Special Names'!A:B,2,FALSE),B1726),PlayerValues!E:E,0)),"N/A")</f>
        <v>16610</v>
      </c>
      <c r="B1726" s="4" t="s">
        <v>562</v>
      </c>
      <c r="C1726" s="4" t="s">
        <v>278</v>
      </c>
      <c r="D1726" s="94">
        <v>2358.0</v>
      </c>
    </row>
    <row r="1727">
      <c r="A1727" s="40">
        <f t="array" ref="A1727">IFNA(index(PlayerValues!A:A,match(IFNA(vlookup(B1727,'Special Names'!A:B,2,FALSE),B1727),PlayerValues!E:E,0)),"N/A")</f>
        <v>15716</v>
      </c>
      <c r="B1727" s="4" t="s">
        <v>545</v>
      </c>
      <c r="C1727" s="4" t="s">
        <v>278</v>
      </c>
      <c r="D1727" s="94">
        <v>2355.0</v>
      </c>
    </row>
    <row r="1728">
      <c r="A1728" s="40">
        <f t="array" ref="A1728">IFNA(index(PlayerValues!A:A,match(IFNA(vlookup(B1728,'Special Names'!A:B,2,FALSE),B1728),PlayerValues!E:E,0)),"N/A")</f>
        <v>14861</v>
      </c>
      <c r="B1728" s="4" t="s">
        <v>523</v>
      </c>
      <c r="C1728" s="4" t="s">
        <v>298</v>
      </c>
      <c r="D1728" s="94">
        <v>2746.0</v>
      </c>
    </row>
    <row r="1729">
      <c r="A1729" s="40">
        <f t="array" ref="A1729">IFNA(index(PlayerValues!A:A,match(IFNA(vlookup(B1729,'Special Names'!A:B,2,FALSE),B1729),PlayerValues!E:E,0)),"N/A")</f>
        <v>13132</v>
      </c>
      <c r="B1729" s="4" t="s">
        <v>598</v>
      </c>
      <c r="C1729" s="4" t="s">
        <v>278</v>
      </c>
      <c r="D1729" s="94">
        <v>2346.0</v>
      </c>
    </row>
    <row r="1730">
      <c r="A1730" s="40">
        <f t="array" ref="A1730">IFNA(index(PlayerValues!A:A,match(IFNA(vlookup(B1730,'Special Names'!A:B,2,FALSE),B1730),PlayerValues!E:E,0)),"N/A")</f>
        <v>13772</v>
      </c>
      <c r="B1730" s="4" t="s">
        <v>544</v>
      </c>
      <c r="C1730" s="4" t="s">
        <v>298</v>
      </c>
      <c r="D1730" s="94">
        <v>2742.0</v>
      </c>
    </row>
    <row r="1731">
      <c r="A1731" s="40">
        <f t="array" ref="A1731">IFNA(index(PlayerValues!A:A,match(IFNA(vlookup(B1731,'Special Names'!A:B,2,FALSE),B1731),PlayerValues!E:E,0)),"N/A")</f>
        <v>16178</v>
      </c>
      <c r="B1731" s="4" t="s">
        <v>507</v>
      </c>
      <c r="C1731" s="4" t="s">
        <v>278</v>
      </c>
      <c r="D1731" s="94">
        <v>2339.0</v>
      </c>
    </row>
    <row r="1732">
      <c r="A1732" s="40">
        <f t="array" ref="A1732">IFNA(index(PlayerValues!A:A,match(IFNA(vlookup(B1732,'Special Names'!A:B,2,FALSE),B1732),PlayerValues!E:E,0)),"N/A")</f>
        <v>17079</v>
      </c>
      <c r="B1732" s="4" t="s">
        <v>572</v>
      </c>
      <c r="C1732" s="4" t="s">
        <v>287</v>
      </c>
      <c r="D1732" s="94">
        <v>2334.0</v>
      </c>
    </row>
    <row r="1733">
      <c r="A1733" s="40">
        <f t="array" ref="A1733">IFNA(index(PlayerValues!A:A,match(IFNA(vlookup(B1733,'Special Names'!A:B,2,FALSE),B1733),PlayerValues!E:E,0)),"N/A")</f>
        <v>17105</v>
      </c>
      <c r="B1733" s="4" t="s">
        <v>525</v>
      </c>
      <c r="C1733" s="4" t="s">
        <v>298</v>
      </c>
      <c r="D1733" s="94">
        <v>2733.0</v>
      </c>
    </row>
    <row r="1734">
      <c r="A1734" s="40" t="str">
        <f t="array" ref="A1734">IFNA(index(PlayerValues!A:A,match(IFNA(vlookup(B1734,'Special Names'!A:B,2,FALSE),B1734),PlayerValues!E:E,0)),"N/A")</f>
        <v>N/A</v>
      </c>
      <c r="B1734" s="4" t="s">
        <v>99</v>
      </c>
      <c r="C1734" s="4" t="s">
        <v>325</v>
      </c>
      <c r="D1734" s="94">
        <v>2325.0</v>
      </c>
    </row>
    <row r="1735">
      <c r="A1735" s="40">
        <f t="array" ref="A1735">IFNA(index(PlayerValues!A:A,match(IFNA(vlookup(B1735,'Special Names'!A:B,2,FALSE),B1735),PlayerValues!E:E,0)),"N/A")</f>
        <v>15802</v>
      </c>
      <c r="B1735" s="4" t="s">
        <v>566</v>
      </c>
      <c r="C1735" s="4" t="s">
        <v>298</v>
      </c>
      <c r="D1735" s="94">
        <v>2722.0</v>
      </c>
    </row>
    <row r="1736">
      <c r="A1736" s="40">
        <f t="array" ref="A1736">IFNA(index(PlayerValues!A:A,match(IFNA(vlookup(B1736,'Special Names'!A:B,2,FALSE),B1736),PlayerValues!E:E,0)),"N/A")</f>
        <v>17049</v>
      </c>
      <c r="B1736" s="4" t="s">
        <v>624</v>
      </c>
      <c r="C1736" s="4" t="s">
        <v>278</v>
      </c>
      <c r="D1736" s="94">
        <v>2307.0</v>
      </c>
    </row>
    <row r="1737">
      <c r="A1737" s="40">
        <f t="array" ref="A1737">IFNA(index(PlayerValues!A:A,match(IFNA(vlookup(B1737,'Special Names'!A:B,2,FALSE),B1737),PlayerValues!E:E,0)),"N/A")</f>
        <v>12801</v>
      </c>
      <c r="B1737" s="4" t="s">
        <v>722</v>
      </c>
      <c r="C1737" s="4" t="s">
        <v>287</v>
      </c>
      <c r="D1737" s="94">
        <v>2303.0</v>
      </c>
    </row>
    <row r="1738">
      <c r="A1738" s="40">
        <f t="array" ref="A1738">IFNA(index(PlayerValues!A:A,match(IFNA(vlookup(B1738,'Special Names'!A:B,2,FALSE),B1738),PlayerValues!E:E,0)),"N/A")</f>
        <v>16212</v>
      </c>
      <c r="B1738" s="4" t="s">
        <v>568</v>
      </c>
      <c r="C1738" s="4" t="s">
        <v>298</v>
      </c>
      <c r="D1738" s="94">
        <v>2686.0</v>
      </c>
    </row>
    <row r="1739">
      <c r="A1739" s="40">
        <f t="array" ref="A1739">IFNA(index(PlayerValues!A:A,match(IFNA(vlookup(B1739,'Special Names'!A:B,2,FALSE),B1739),PlayerValues!E:E,0)),"N/A")</f>
        <v>16171</v>
      </c>
      <c r="B1739" s="4" t="s">
        <v>618</v>
      </c>
      <c r="C1739" s="4" t="s">
        <v>278</v>
      </c>
      <c r="D1739" s="94">
        <v>2282.0</v>
      </c>
    </row>
    <row r="1740">
      <c r="A1740" s="40">
        <f t="array" ref="A1740">IFNA(index(PlayerValues!A:A,match(IFNA(vlookup(B1740,'Special Names'!A:B,2,FALSE),B1740),PlayerValues!E:E,0)),"N/A")</f>
        <v>17076</v>
      </c>
      <c r="B1740" s="4" t="s">
        <v>585</v>
      </c>
      <c r="C1740" s="4" t="s">
        <v>287</v>
      </c>
      <c r="D1740" s="94">
        <v>2250.0</v>
      </c>
    </row>
    <row r="1741">
      <c r="A1741" s="40">
        <f t="array" ref="A1741">IFNA(index(PlayerValues!A:A,match(IFNA(vlookup(B1741,'Special Names'!A:B,2,FALSE),B1741),PlayerValues!E:E,0)),"N/A")</f>
        <v>16195</v>
      </c>
      <c r="B1741" s="4" t="s">
        <v>509</v>
      </c>
      <c r="C1741" s="4" t="s">
        <v>287</v>
      </c>
      <c r="D1741" s="94">
        <v>2232.0</v>
      </c>
    </row>
    <row r="1742">
      <c r="A1742" s="40">
        <f t="array" ref="A1742">IFNA(index(PlayerValues!A:A,match(IFNA(vlookup(B1742,'Special Names'!A:B,2,FALSE),B1742),PlayerValues!E:E,0)),"N/A")</f>
        <v>16342</v>
      </c>
      <c r="B1742" s="4" t="s">
        <v>583</v>
      </c>
      <c r="C1742" s="4" t="s">
        <v>287</v>
      </c>
      <c r="D1742" s="94">
        <v>2225.0</v>
      </c>
    </row>
    <row r="1743">
      <c r="A1743" s="40">
        <f t="array" ref="A1743">IFNA(index(PlayerValues!A:A,match(IFNA(vlookup(B1743,'Special Names'!A:B,2,FALSE),B1743),PlayerValues!E:E,0)),"N/A")</f>
        <v>17478</v>
      </c>
      <c r="B1743" s="4" t="s">
        <v>527</v>
      </c>
      <c r="C1743" s="4" t="s">
        <v>278</v>
      </c>
      <c r="D1743" s="94">
        <v>2215.0</v>
      </c>
    </row>
    <row r="1744">
      <c r="A1744" s="40">
        <f t="array" ref="A1744">IFNA(index(PlayerValues!A:A,match(IFNA(vlookup(B1744,'Special Names'!A:B,2,FALSE),B1744),PlayerValues!E:E,0)),"N/A")</f>
        <v>17544</v>
      </c>
      <c r="B1744" s="4" t="s">
        <v>470</v>
      </c>
      <c r="C1744" s="4" t="s">
        <v>298</v>
      </c>
      <c r="D1744" s="94">
        <v>2605.0</v>
      </c>
    </row>
    <row r="1745">
      <c r="A1745" s="40">
        <f t="array" ref="A1745">IFNA(index(PlayerValues!A:A,match(IFNA(vlookup(B1745,'Special Names'!A:B,2,FALSE),B1745),PlayerValues!E:E,0)),"N/A")</f>
        <v>16639</v>
      </c>
      <c r="B1745" s="4" t="s">
        <v>599</v>
      </c>
      <c r="C1745" s="4" t="s">
        <v>287</v>
      </c>
      <c r="D1745" s="94">
        <v>2207.0</v>
      </c>
    </row>
    <row r="1746">
      <c r="A1746" s="40">
        <f t="array" ref="A1746">IFNA(index(PlayerValues!A:A,match(IFNA(vlookup(B1746,'Special Names'!A:B,2,FALSE),B1746),PlayerValues!E:E,0)),"N/A")</f>
        <v>17034</v>
      </c>
      <c r="B1746" s="4" t="s">
        <v>643</v>
      </c>
      <c r="C1746" s="4" t="s">
        <v>283</v>
      </c>
      <c r="D1746" s="94">
        <v>2197.0</v>
      </c>
    </row>
    <row r="1747">
      <c r="A1747" s="40" t="str">
        <f t="array" ref="A1747">IFNA(index(PlayerValues!A:A,match(IFNA(vlookup(B1747,'Special Names'!A:B,2,FALSE),B1747),PlayerValues!E:E,0)),"N/A")</f>
        <v>N/A</v>
      </c>
      <c r="B1747" s="4" t="s">
        <v>100</v>
      </c>
      <c r="C1747" s="4" t="s">
        <v>325</v>
      </c>
      <c r="D1747" s="94">
        <v>2192.0</v>
      </c>
    </row>
    <row r="1748">
      <c r="A1748" s="40">
        <f t="array" ref="A1748">IFNA(index(PlayerValues!A:A,match(IFNA(vlookup(B1748,'Special Names'!A:B,2,FALSE),B1748),PlayerValues!E:E,0)),"N/A")</f>
        <v>13319</v>
      </c>
      <c r="B1748" s="4" t="s">
        <v>549</v>
      </c>
      <c r="C1748" s="4" t="s">
        <v>278</v>
      </c>
      <c r="D1748" s="94">
        <v>2190.0</v>
      </c>
    </row>
    <row r="1749">
      <c r="A1749" s="40" t="str">
        <f t="array" ref="A1749">IFNA(index(PlayerValues!A:A,match(IFNA(vlookup(B1749,'Special Names'!A:B,2,FALSE),B1749),PlayerValues!E:E,0)),"N/A")</f>
        <v>N/A</v>
      </c>
      <c r="B1749" s="4" t="s">
        <v>87</v>
      </c>
      <c r="C1749" s="4" t="s">
        <v>325</v>
      </c>
      <c r="D1749" s="94">
        <v>2189.0</v>
      </c>
    </row>
    <row r="1750">
      <c r="A1750" s="40">
        <f t="array" ref="A1750">IFNA(index(PlayerValues!A:A,match(IFNA(vlookup(B1750,'Special Names'!A:B,2,FALSE),B1750),PlayerValues!E:E,0)),"N/A")</f>
        <v>16036</v>
      </c>
      <c r="B1750" s="4" t="s">
        <v>592</v>
      </c>
      <c r="C1750" s="4" t="s">
        <v>298</v>
      </c>
      <c r="D1750" s="94">
        <v>2573.0</v>
      </c>
    </row>
    <row r="1751">
      <c r="A1751" s="40">
        <f t="array" ref="A1751">IFNA(index(PlayerValues!A:A,match(IFNA(vlookup(B1751,'Special Names'!A:B,2,FALSE),B1751),PlayerValues!E:E,0)),"N/A")</f>
        <v>17069</v>
      </c>
      <c r="B1751" s="4" t="s">
        <v>604</v>
      </c>
      <c r="C1751" s="4" t="s">
        <v>278</v>
      </c>
      <c r="D1751" s="94">
        <v>2176.0</v>
      </c>
    </row>
    <row r="1752">
      <c r="A1752" s="40">
        <f t="array" ref="A1752">IFNA(index(PlayerValues!A:A,match(IFNA(vlookup(B1752,'Special Names'!A:B,2,FALSE),B1752),PlayerValues!E:E,0)),"N/A")</f>
        <v>15889</v>
      </c>
      <c r="B1752" s="4" t="s">
        <v>503</v>
      </c>
      <c r="C1752" s="4" t="s">
        <v>298</v>
      </c>
      <c r="D1752" s="94">
        <v>2566.0</v>
      </c>
    </row>
    <row r="1753">
      <c r="A1753" s="40">
        <f t="array" ref="A1753">IFNA(index(PlayerValues!A:A,match(IFNA(vlookup(B1753,'Special Names'!A:B,2,FALSE),B1753),PlayerValues!E:E,0)),"N/A")</f>
        <v>16684</v>
      </c>
      <c r="B1753" s="4" t="s">
        <v>500</v>
      </c>
      <c r="C1753" s="4" t="s">
        <v>287</v>
      </c>
      <c r="D1753" s="94">
        <v>2173.0</v>
      </c>
    </row>
    <row r="1754">
      <c r="A1754" s="40">
        <f t="array" ref="A1754">IFNA(index(PlayerValues!A:A,match(IFNA(vlookup(B1754,'Special Names'!A:B,2,FALSE),B1754),PlayerValues!E:E,0)),"N/A")</f>
        <v>17503</v>
      </c>
      <c r="B1754" s="4" t="s">
        <v>480</v>
      </c>
      <c r="C1754" s="4" t="s">
        <v>287</v>
      </c>
      <c r="D1754" s="94">
        <v>2157.0</v>
      </c>
    </row>
    <row r="1755">
      <c r="A1755" s="40">
        <f t="array" ref="A1755">IFNA(index(PlayerValues!A:A,match(IFNA(vlookup(B1755,'Special Names'!A:B,2,FALSE),B1755),PlayerValues!E:E,0)),"N/A")</f>
        <v>15749</v>
      </c>
      <c r="B1755" s="4" t="s">
        <v>574</v>
      </c>
      <c r="C1755" s="4" t="s">
        <v>278</v>
      </c>
      <c r="D1755" s="94">
        <v>2137.0</v>
      </c>
    </row>
    <row r="1756">
      <c r="A1756" s="40">
        <f t="array" ref="A1756">IFNA(index(PlayerValues!A:A,match(IFNA(vlookup(B1756,'Special Names'!A:B,2,FALSE),B1756),PlayerValues!E:E,0)),"N/A")</f>
        <v>16752</v>
      </c>
      <c r="B1756" s="4" t="s">
        <v>597</v>
      </c>
      <c r="C1756" s="4" t="s">
        <v>278</v>
      </c>
      <c r="D1756" s="94">
        <v>2128.0</v>
      </c>
    </row>
    <row r="1757">
      <c r="A1757" s="40">
        <f t="array" ref="A1757">IFNA(index(PlayerValues!A:A,match(IFNA(vlookup(B1757,'Special Names'!A:B,2,FALSE),B1757),PlayerValues!E:E,0)),"N/A")</f>
        <v>14871</v>
      </c>
      <c r="B1757" s="4" t="s">
        <v>584</v>
      </c>
      <c r="C1757" s="4" t="s">
        <v>298</v>
      </c>
      <c r="D1757" s="94">
        <v>2513.0</v>
      </c>
    </row>
    <row r="1758">
      <c r="A1758" s="40" t="str">
        <f t="array" ref="A1758">IFNA(index(PlayerValues!A:A,match(IFNA(vlookup(B1758,'Special Names'!A:B,2,FALSE),B1758),PlayerValues!E:E,0)),"N/A")</f>
        <v>N/A</v>
      </c>
      <c r="B1758" s="4" t="s">
        <v>112</v>
      </c>
      <c r="C1758" s="4" t="s">
        <v>325</v>
      </c>
      <c r="D1758" s="94">
        <v>2121.0</v>
      </c>
    </row>
    <row r="1759">
      <c r="A1759" s="40">
        <f t="array" ref="A1759">IFNA(index(PlayerValues!A:A,match(IFNA(vlookup(B1759,'Special Names'!A:B,2,FALSE),B1759),PlayerValues!E:E,0)),"N/A")</f>
        <v>16191</v>
      </c>
      <c r="B1759" s="4" t="s">
        <v>666</v>
      </c>
      <c r="C1759" s="4" t="s">
        <v>287</v>
      </c>
      <c r="D1759" s="94">
        <v>2111.0</v>
      </c>
    </row>
    <row r="1760">
      <c r="A1760" s="40">
        <f t="array" ref="A1760">IFNA(index(PlayerValues!A:A,match(IFNA(vlookup(B1760,'Special Names'!A:B,2,FALSE),B1760),PlayerValues!E:E,0)),"N/A")</f>
        <v>17087</v>
      </c>
      <c r="B1760" s="4" t="s">
        <v>600</v>
      </c>
      <c r="C1760" s="4" t="s">
        <v>287</v>
      </c>
      <c r="D1760" s="94">
        <v>2110.0</v>
      </c>
    </row>
    <row r="1761">
      <c r="A1761" s="40">
        <f t="array" ref="A1761">IFNA(index(PlayerValues!A:A,match(IFNA(vlookup(B1761,'Special Names'!A:B,2,FALSE),B1761),PlayerValues!E:E,0)),"N/A")</f>
        <v>16644</v>
      </c>
      <c r="B1761" s="4" t="s">
        <v>640</v>
      </c>
      <c r="C1761" s="4" t="s">
        <v>298</v>
      </c>
      <c r="D1761" s="94">
        <v>2500.0</v>
      </c>
    </row>
    <row r="1762">
      <c r="A1762" s="40">
        <f t="array" ref="A1762">IFNA(index(PlayerValues!A:A,match(IFNA(vlookup(B1762,'Special Names'!A:B,2,FALSE),B1762),PlayerValues!E:E,0)),"N/A")</f>
        <v>16432</v>
      </c>
      <c r="B1762" s="4" t="s">
        <v>620</v>
      </c>
      <c r="C1762" s="4" t="s">
        <v>278</v>
      </c>
      <c r="D1762" s="94">
        <v>2101.0</v>
      </c>
    </row>
    <row r="1763">
      <c r="A1763" s="40">
        <f t="array" ref="A1763">IFNA(index(PlayerValues!A:A,match(IFNA(vlookup(B1763,'Special Names'!A:B,2,FALSE),B1763),PlayerValues!E:E,0)),"N/A")</f>
        <v>14867</v>
      </c>
      <c r="B1763" s="4" t="s">
        <v>591</v>
      </c>
      <c r="C1763" s="4" t="s">
        <v>298</v>
      </c>
      <c r="D1763" s="94">
        <v>2480.0</v>
      </c>
    </row>
    <row r="1764">
      <c r="A1764" s="40" t="str">
        <f t="array" ref="A1764">IFNA(index(PlayerValues!A:A,match(IFNA(vlookup(B1764,'Special Names'!A:B,2,FALSE),B1764),PlayerValues!E:E,0)),"N/A")</f>
        <v>N/A</v>
      </c>
      <c r="B1764" s="4" t="s">
        <v>88</v>
      </c>
      <c r="C1764" s="4" t="s">
        <v>325</v>
      </c>
      <c r="D1764" s="94">
        <v>2085.0</v>
      </c>
    </row>
    <row r="1765">
      <c r="A1765" s="40">
        <f t="array" ref="A1765">IFNA(index(PlayerValues!A:A,match(IFNA(vlookup(B1765,'Special Names'!A:B,2,FALSE),B1765),PlayerValues!E:E,0)),"N/A")</f>
        <v>16643</v>
      </c>
      <c r="B1765" s="4" t="s">
        <v>609</v>
      </c>
      <c r="C1765" s="4" t="s">
        <v>298</v>
      </c>
      <c r="D1765" s="94">
        <v>2474.0</v>
      </c>
    </row>
    <row r="1766">
      <c r="A1766" s="40">
        <f t="array" ref="A1766">IFNA(index(PlayerValues!A:A,match(IFNA(vlookup(B1766,'Special Names'!A:B,2,FALSE),B1766),PlayerValues!E:E,0)),"N/A")</f>
        <v>16174</v>
      </c>
      <c r="B1766" s="4" t="s">
        <v>505</v>
      </c>
      <c r="C1766" s="4" t="s">
        <v>278</v>
      </c>
      <c r="D1766" s="94">
        <v>2081.0</v>
      </c>
    </row>
    <row r="1767">
      <c r="A1767" s="40">
        <f t="array" ref="A1767">IFNA(index(PlayerValues!A:A,match(IFNA(vlookup(B1767,'Special Names'!A:B,2,FALSE),B1767),PlayerValues!E:E,0)),"N/A")</f>
        <v>17482</v>
      </c>
      <c r="B1767" s="4" t="s">
        <v>460</v>
      </c>
      <c r="C1767" s="4" t="s">
        <v>278</v>
      </c>
      <c r="D1767" s="94">
        <v>2072.0</v>
      </c>
    </row>
    <row r="1768">
      <c r="A1768" s="40">
        <f t="array" ref="A1768">IFNA(index(PlayerValues!A:A,match(IFNA(vlookup(B1768,'Special Names'!A:B,2,FALSE),B1768),PlayerValues!E:E,0)),"N/A")</f>
        <v>15238</v>
      </c>
      <c r="B1768" s="4" t="s">
        <v>613</v>
      </c>
      <c r="C1768" s="4" t="s">
        <v>283</v>
      </c>
      <c r="D1768" s="94">
        <v>2058.0</v>
      </c>
    </row>
    <row r="1769">
      <c r="A1769" s="40">
        <f t="array" ref="A1769">IFNA(index(PlayerValues!A:A,match(IFNA(vlookup(B1769,'Special Names'!A:B,2,FALSE),B1769),PlayerValues!E:E,0)),"N/A")</f>
        <v>15331</v>
      </c>
      <c r="B1769" s="4" t="s">
        <v>560</v>
      </c>
      <c r="C1769" s="4" t="s">
        <v>298</v>
      </c>
      <c r="D1769" s="94">
        <v>2423.0</v>
      </c>
    </row>
    <row r="1770">
      <c r="A1770" s="40">
        <f t="array" ref="A1770">IFNA(index(PlayerValues!A:A,match(IFNA(vlookup(B1770,'Special Names'!A:B,2,FALSE),B1770),PlayerValues!E:E,0)),"N/A")</f>
        <v>17517</v>
      </c>
      <c r="B1770" s="4" t="s">
        <v>454</v>
      </c>
      <c r="C1770" s="4" t="s">
        <v>287</v>
      </c>
      <c r="D1770" s="94">
        <v>2029.0</v>
      </c>
    </row>
    <row r="1771">
      <c r="A1771" s="40">
        <f t="array" ref="A1771">IFNA(index(PlayerValues!A:A,match(IFNA(vlookup(B1771,'Special Names'!A:B,2,FALSE),B1771),PlayerValues!E:E,0)),"N/A")</f>
        <v>17056</v>
      </c>
      <c r="B1771" s="4" t="s">
        <v>581</v>
      </c>
      <c r="C1771" s="4" t="s">
        <v>278</v>
      </c>
      <c r="D1771" s="94">
        <v>2025.0</v>
      </c>
    </row>
    <row r="1772">
      <c r="A1772" s="40">
        <f t="array" ref="A1772">IFNA(index(PlayerValues!A:A,match(IFNA(vlookup(B1772,'Special Names'!A:B,2,FALSE),B1772),PlayerValues!E:E,0)),"N/A")</f>
        <v>17512</v>
      </c>
      <c r="B1772" s="4" t="s">
        <v>483</v>
      </c>
      <c r="C1772" s="4" t="s">
        <v>287</v>
      </c>
      <c r="D1772" s="94">
        <v>2023.0</v>
      </c>
    </row>
    <row r="1773">
      <c r="A1773" s="40">
        <f t="array" ref="A1773">IFNA(index(PlayerValues!A:A,match(IFNA(vlookup(B1773,'Special Names'!A:B,2,FALSE),B1773),PlayerValues!E:E,0)),"N/A")</f>
        <v>13146</v>
      </c>
      <c r="B1773" s="4" t="s">
        <v>652</v>
      </c>
      <c r="C1773" s="4" t="s">
        <v>278</v>
      </c>
      <c r="D1773" s="94">
        <v>2013.0</v>
      </c>
    </row>
    <row r="1774">
      <c r="A1774" s="40">
        <f t="array" ref="A1774">IFNA(index(PlayerValues!A:A,match(IFNA(vlookup(B1774,'Special Names'!A:B,2,FALSE),B1774),PlayerValues!E:E,0)),"N/A")</f>
        <v>17547</v>
      </c>
      <c r="B1774" s="4" t="s">
        <v>552</v>
      </c>
      <c r="C1774" s="4" t="s">
        <v>298</v>
      </c>
      <c r="D1774" s="94">
        <v>2394.0</v>
      </c>
    </row>
    <row r="1775">
      <c r="A1775" s="40" t="str">
        <f t="array" ref="A1775">IFNA(index(PlayerValues!A:A,match(IFNA(vlookup(B1775,'Special Names'!A:B,2,FALSE),B1775),PlayerValues!E:E,0)),"N/A")</f>
        <v>N/A</v>
      </c>
      <c r="B1775" s="4" t="s">
        <v>113</v>
      </c>
      <c r="C1775" s="4" t="s">
        <v>325</v>
      </c>
      <c r="D1775" s="94">
        <v>2001.0</v>
      </c>
    </row>
    <row r="1776">
      <c r="A1776" s="40">
        <f t="array" ref="A1776">IFNA(index(PlayerValues!A:A,match(IFNA(vlookup(B1776,'Special Names'!A:B,2,FALSE),B1776),PlayerValues!E:E,0)),"N/A")</f>
        <v>17060</v>
      </c>
      <c r="B1776" s="4" t="s">
        <v>603</v>
      </c>
      <c r="C1776" s="4" t="s">
        <v>278</v>
      </c>
      <c r="D1776" s="94">
        <v>2000.0</v>
      </c>
    </row>
    <row r="1777">
      <c r="A1777" s="40">
        <f t="array" ref="A1777">IFNA(index(PlayerValues!A:A,match(IFNA(vlookup(B1777,'Special Names'!A:B,2,FALSE),B1777),PlayerValues!E:E,0)),"N/A")</f>
        <v>16603</v>
      </c>
      <c r="B1777" s="4" t="s">
        <v>587</v>
      </c>
      <c r="C1777" s="4" t="s">
        <v>278</v>
      </c>
      <c r="D1777" s="94">
        <v>1985.0</v>
      </c>
    </row>
    <row r="1778">
      <c r="A1778" s="40">
        <f t="array" ref="A1778">IFNA(index(PlayerValues!A:A,match(IFNA(vlookup(B1778,'Special Names'!A:B,2,FALSE),B1778),PlayerValues!E:E,0)),"N/A")</f>
        <v>14974</v>
      </c>
      <c r="B1778" s="4" t="s">
        <v>611</v>
      </c>
      <c r="C1778" s="4" t="s">
        <v>287</v>
      </c>
      <c r="D1778" s="94">
        <v>1974.0</v>
      </c>
    </row>
    <row r="1779">
      <c r="A1779" s="40">
        <f t="array" ref="A1779">IFNA(index(PlayerValues!A:A,match(IFNA(vlookup(B1779,'Special Names'!A:B,2,FALSE),B1779),PlayerValues!E:E,0)),"N/A")</f>
        <v>17546</v>
      </c>
      <c r="B1779" s="4" t="s">
        <v>671</v>
      </c>
      <c r="C1779" s="4" t="s">
        <v>298</v>
      </c>
      <c r="D1779" s="94">
        <v>2358.0</v>
      </c>
    </row>
    <row r="1780">
      <c r="A1780" s="40">
        <f t="array" ref="A1780">IFNA(index(PlayerValues!A:A,match(IFNA(vlookup(B1780,'Special Names'!A:B,2,FALSE),B1780),PlayerValues!E:E,0)),"N/A")</f>
        <v>13633</v>
      </c>
      <c r="B1780" s="4" t="s">
        <v>625</v>
      </c>
      <c r="C1780" s="4" t="s">
        <v>287</v>
      </c>
      <c r="D1780" s="94">
        <v>1964.0</v>
      </c>
    </row>
    <row r="1781">
      <c r="A1781" s="40">
        <f t="array" ref="A1781">IFNA(index(PlayerValues!A:A,match(IFNA(vlookup(B1781,'Special Names'!A:B,2,FALSE),B1781),PlayerValues!E:E,0)),"N/A")</f>
        <v>17508</v>
      </c>
      <c r="B1781" s="4" t="s">
        <v>534</v>
      </c>
      <c r="C1781" s="4" t="s">
        <v>287</v>
      </c>
      <c r="D1781" s="94">
        <v>1961.0</v>
      </c>
    </row>
    <row r="1782">
      <c r="A1782" s="40">
        <f t="array" ref="A1782">IFNA(index(PlayerValues!A:A,match(IFNA(vlookup(B1782,'Special Names'!A:B,2,FALSE),B1782),PlayerValues!E:E,0)),"N/A")</f>
        <v>15293</v>
      </c>
      <c r="B1782" s="4" t="s">
        <v>578</v>
      </c>
      <c r="C1782" s="4" t="s">
        <v>287</v>
      </c>
      <c r="D1782" s="94">
        <v>1953.0</v>
      </c>
    </row>
    <row r="1783">
      <c r="A1783" s="40">
        <f t="array" ref="A1783">IFNA(index(PlayerValues!A:A,match(IFNA(vlookup(B1783,'Special Names'!A:B,2,FALSE),B1783),PlayerValues!E:E,0)),"N/A")</f>
        <v>17184</v>
      </c>
      <c r="B1783" s="4" t="s">
        <v>588</v>
      </c>
      <c r="C1783" s="4" t="s">
        <v>287</v>
      </c>
      <c r="D1783" s="94">
        <v>1938.0</v>
      </c>
    </row>
    <row r="1784">
      <c r="A1784" s="40">
        <f t="array" ref="A1784">IFNA(index(PlayerValues!A:A,match(IFNA(vlookup(B1784,'Special Names'!A:B,2,FALSE),B1784),PlayerValues!E:E,0)),"N/A")</f>
        <v>11244</v>
      </c>
      <c r="B1784" s="4" t="s">
        <v>519</v>
      </c>
      <c r="C1784" s="4" t="s">
        <v>298</v>
      </c>
      <c r="D1784" s="94">
        <v>2317.0</v>
      </c>
    </row>
    <row r="1785">
      <c r="A1785" s="40">
        <f t="array" ref="A1785">IFNA(index(PlayerValues!A:A,match(IFNA(vlookup(B1785,'Special Names'!A:B,2,FALSE),B1785),PlayerValues!E:E,0)),"N/A")</f>
        <v>16778</v>
      </c>
      <c r="B1785" s="4" t="s">
        <v>577</v>
      </c>
      <c r="C1785" s="4" t="s">
        <v>287</v>
      </c>
      <c r="D1785" s="94">
        <v>1904.0</v>
      </c>
    </row>
    <row r="1786">
      <c r="A1786" s="40">
        <f t="array" ref="A1786">IFNA(index(PlayerValues!A:A,match(IFNA(vlookup(B1786,'Special Names'!A:B,2,FALSE),B1786),PlayerValues!E:E,0)),"N/A")</f>
        <v>16216</v>
      </c>
      <c r="B1786" s="4" t="s">
        <v>595</v>
      </c>
      <c r="C1786" s="4" t="s">
        <v>298</v>
      </c>
      <c r="D1786" s="94">
        <v>2283.0</v>
      </c>
    </row>
    <row r="1787">
      <c r="A1787" s="40">
        <f t="array" ref="A1787">IFNA(index(PlayerValues!A:A,match(IFNA(vlookup(B1787,'Special Names'!A:B,2,FALSE),B1787),PlayerValues!E:E,0)),"N/A")</f>
        <v>17465</v>
      </c>
      <c r="B1787" s="4" t="s">
        <v>649</v>
      </c>
      <c r="C1787" s="4" t="s">
        <v>283</v>
      </c>
      <c r="D1787" s="94">
        <v>1895.0</v>
      </c>
    </row>
    <row r="1788">
      <c r="A1788" s="40" t="str">
        <f t="array" ref="A1788">IFNA(index(PlayerValues!A:A,match(IFNA(vlookup(B1788,'Special Names'!A:B,2,FALSE),B1788),PlayerValues!E:E,0)),"N/A")</f>
        <v>N/A</v>
      </c>
      <c r="B1788" s="4" t="s">
        <v>114</v>
      </c>
      <c r="C1788" s="4" t="s">
        <v>325</v>
      </c>
      <c r="D1788" s="94">
        <v>1894.0</v>
      </c>
    </row>
    <row r="1789">
      <c r="A1789" s="40">
        <f t="array" ref="A1789">IFNA(index(PlayerValues!A:A,match(IFNA(vlookup(B1789,'Special Names'!A:B,2,FALSE),B1789),PlayerValues!E:E,0)),"N/A")</f>
        <v>13189</v>
      </c>
      <c r="B1789" s="4" t="s">
        <v>626</v>
      </c>
      <c r="C1789" s="4" t="s">
        <v>298</v>
      </c>
      <c r="D1789" s="94">
        <v>2275.0</v>
      </c>
    </row>
    <row r="1790">
      <c r="A1790" s="40">
        <f t="array" ref="A1790">IFNA(index(PlayerValues!A:A,match(IFNA(vlookup(B1790,'Special Names'!A:B,2,FALSE),B1790),PlayerValues!E:E,0)),"N/A")</f>
        <v>15759</v>
      </c>
      <c r="B1790" s="4" t="s">
        <v>662</v>
      </c>
      <c r="C1790" s="4" t="s">
        <v>287</v>
      </c>
      <c r="D1790" s="94">
        <v>1878.0</v>
      </c>
    </row>
    <row r="1791">
      <c r="A1791" s="40">
        <f t="array" ref="A1791">IFNA(index(PlayerValues!A:A,match(IFNA(vlookup(B1791,'Special Names'!A:B,2,FALSE),B1791),PlayerValues!E:E,0)),"N/A")</f>
        <v>16215</v>
      </c>
      <c r="B1791" s="4" t="s">
        <v>637</v>
      </c>
      <c r="C1791" s="4" t="s">
        <v>298</v>
      </c>
      <c r="D1791" s="94">
        <v>2260.0</v>
      </c>
    </row>
    <row r="1792">
      <c r="A1792" s="40">
        <f t="array" ref="A1792">IFNA(index(PlayerValues!A:A,match(IFNA(vlookup(B1792,'Special Names'!A:B,2,FALSE),B1792),PlayerValues!E:E,0)),"N/A")</f>
        <v>17036</v>
      </c>
      <c r="B1792" s="4" t="s">
        <v>617</v>
      </c>
      <c r="C1792" s="4" t="s">
        <v>283</v>
      </c>
      <c r="D1792" s="94">
        <v>1872.0</v>
      </c>
    </row>
    <row r="1793">
      <c r="A1793" s="40">
        <f t="array" ref="A1793">IFNA(index(PlayerValues!A:A,match(IFNA(vlookup(B1793,'Special Names'!A:B,2,FALSE),B1793),PlayerValues!E:E,0)),"N/A")</f>
        <v>16201</v>
      </c>
      <c r="B1793" s="4" t="s">
        <v>589</v>
      </c>
      <c r="C1793" s="4" t="s">
        <v>287</v>
      </c>
      <c r="D1793" s="94">
        <v>1857.0</v>
      </c>
    </row>
    <row r="1794">
      <c r="A1794" s="40">
        <f t="array" ref="A1794">IFNA(index(PlayerValues!A:A,match(IFNA(vlookup(B1794,'Special Names'!A:B,2,FALSE),B1794),PlayerValues!E:E,0)),"N/A")</f>
        <v>15254</v>
      </c>
      <c r="B1794" s="4" t="s">
        <v>633</v>
      </c>
      <c r="C1794" s="4" t="s">
        <v>278</v>
      </c>
      <c r="D1794" s="94">
        <v>1848.0</v>
      </c>
    </row>
    <row r="1795">
      <c r="A1795" s="40">
        <f t="array" ref="A1795">IFNA(index(PlayerValues!A:A,match(IFNA(vlookup(B1795,'Special Names'!A:B,2,FALSE),B1795),PlayerValues!E:E,0)),"N/A")</f>
        <v>16635</v>
      </c>
      <c r="B1795" s="4" t="s">
        <v>645</v>
      </c>
      <c r="C1795" s="4" t="s">
        <v>287</v>
      </c>
      <c r="D1795" s="94">
        <v>1848.0</v>
      </c>
    </row>
    <row r="1796">
      <c r="A1796" s="40">
        <f t="array" ref="A1796">IFNA(index(PlayerValues!A:A,match(IFNA(vlookup(B1796,'Special Names'!A:B,2,FALSE),B1796),PlayerValues!E:E,0)),"N/A")</f>
        <v>17061</v>
      </c>
      <c r="B1796" s="4" t="s">
        <v>580</v>
      </c>
      <c r="C1796" s="4" t="s">
        <v>278</v>
      </c>
      <c r="D1796" s="94">
        <v>1845.0</v>
      </c>
    </row>
    <row r="1797">
      <c r="A1797" s="40">
        <f t="array" ref="A1797">IFNA(index(PlayerValues!A:A,match(IFNA(vlookup(B1797,'Special Names'!A:B,2,FALSE),B1797),PlayerValues!E:E,0)),"N/A")</f>
        <v>16595</v>
      </c>
      <c r="B1797" s="4" t="s">
        <v>664</v>
      </c>
      <c r="C1797" s="4" t="s">
        <v>278</v>
      </c>
      <c r="D1797" s="94">
        <v>1838.0</v>
      </c>
    </row>
    <row r="1798">
      <c r="A1798" s="40">
        <f t="array" ref="A1798">IFNA(index(PlayerValues!A:A,match(IFNA(vlookup(B1798,'Special Names'!A:B,2,FALSE),B1798),PlayerValues!E:E,0)),"N/A")</f>
        <v>17520</v>
      </c>
      <c r="B1798" s="4" t="s">
        <v>518</v>
      </c>
      <c r="C1798" s="4" t="s">
        <v>287</v>
      </c>
      <c r="D1798" s="94">
        <v>1830.0</v>
      </c>
    </row>
    <row r="1799">
      <c r="A1799" s="40">
        <f t="array" ref="A1799">IFNA(index(PlayerValues!A:A,match(IFNA(vlookup(B1799,'Special Names'!A:B,2,FALSE),B1799),PlayerValues!E:E,0)),"N/A")</f>
        <v>15337</v>
      </c>
      <c r="B1799" s="4" t="s">
        <v>655</v>
      </c>
      <c r="C1799" s="4" t="s">
        <v>298</v>
      </c>
      <c r="D1799" s="94">
        <v>2187.0</v>
      </c>
    </row>
    <row r="1800">
      <c r="A1800" s="40">
        <f t="array" ref="A1800">IFNA(index(PlayerValues!A:A,match(IFNA(vlookup(B1800,'Special Names'!A:B,2,FALSE),B1800),PlayerValues!E:E,0)),"N/A")</f>
        <v>17035</v>
      </c>
      <c r="B1800" s="4" t="s">
        <v>650</v>
      </c>
      <c r="C1800" s="4" t="s">
        <v>283</v>
      </c>
      <c r="D1800" s="94">
        <v>1804.0</v>
      </c>
    </row>
    <row r="1801">
      <c r="A1801" s="40" t="str">
        <f t="array" ref="A1801">IFNA(index(PlayerValues!A:A,match(IFNA(vlookup(B1801,'Special Names'!A:B,2,FALSE),B1801),PlayerValues!E:E,0)),"N/A")</f>
        <v>N/A</v>
      </c>
      <c r="B1801" s="4" t="s">
        <v>101</v>
      </c>
      <c r="C1801" s="4" t="s">
        <v>325</v>
      </c>
      <c r="D1801" s="94">
        <v>1801.0</v>
      </c>
    </row>
    <row r="1802">
      <c r="A1802" s="40">
        <f t="array" ref="A1802">IFNA(index(PlayerValues!A:A,match(IFNA(vlookup(B1802,'Special Names'!A:B,2,FALSE),B1802),PlayerValues!E:E,0)),"N/A")</f>
        <v>17481</v>
      </c>
      <c r="B1802" s="4" t="s">
        <v>540</v>
      </c>
      <c r="C1802" s="4" t="s">
        <v>278</v>
      </c>
      <c r="D1802" s="94">
        <v>1801.0</v>
      </c>
    </row>
    <row r="1803">
      <c r="A1803" s="40">
        <f t="array" ref="A1803">IFNA(index(PlayerValues!A:A,match(IFNA(vlookup(B1803,'Special Names'!A:B,2,FALSE),B1803),PlayerValues!E:E,0)),"N/A")</f>
        <v>17545</v>
      </c>
      <c r="B1803" s="4" t="s">
        <v>719</v>
      </c>
      <c r="C1803" s="4" t="s">
        <v>298</v>
      </c>
      <c r="D1803" s="94">
        <v>2179.0</v>
      </c>
    </row>
    <row r="1804">
      <c r="A1804" s="40">
        <f t="array" ref="A1804">IFNA(index(PlayerValues!A:A,match(IFNA(vlookup(B1804,'Special Names'!A:B,2,FALSE),B1804),PlayerValues!E:E,0)),"N/A")</f>
        <v>16788</v>
      </c>
      <c r="B1804" s="4" t="s">
        <v>621</v>
      </c>
      <c r="C1804" s="4" t="s">
        <v>287</v>
      </c>
      <c r="D1804" s="94">
        <v>1795.0</v>
      </c>
    </row>
    <row r="1805">
      <c r="A1805" s="40">
        <f t="array" ref="A1805">IFNA(index(PlayerValues!A:A,match(IFNA(vlookup(B1805,'Special Names'!A:B,2,FALSE),B1805),PlayerValues!E:E,0)),"N/A")</f>
        <v>15786</v>
      </c>
      <c r="B1805" s="4" t="s">
        <v>521</v>
      </c>
      <c r="C1805" s="4" t="s">
        <v>287</v>
      </c>
      <c r="D1805" s="94">
        <v>1790.0</v>
      </c>
    </row>
    <row r="1806">
      <c r="A1806" s="40" t="str">
        <f t="array" ref="A1806">IFNA(index(PlayerValues!A:A,match(IFNA(vlookup(B1806,'Special Names'!A:B,2,FALSE),B1806),PlayerValues!E:E,0)),"N/A")</f>
        <v>N/A</v>
      </c>
      <c r="B1806" s="4" t="s">
        <v>89</v>
      </c>
      <c r="C1806" s="4" t="s">
        <v>325</v>
      </c>
      <c r="D1806" s="94">
        <v>1770.0</v>
      </c>
    </row>
    <row r="1807">
      <c r="A1807" s="40">
        <f t="array" ref="A1807">IFNA(index(PlayerValues!A:A,match(IFNA(vlookup(B1807,'Special Names'!A:B,2,FALSE),B1807),PlayerValues!E:E,0)),"N/A")</f>
        <v>17086</v>
      </c>
      <c r="B1807" s="4" t="s">
        <v>612</v>
      </c>
      <c r="C1807" s="4" t="s">
        <v>287</v>
      </c>
      <c r="D1807" s="94">
        <v>1764.0</v>
      </c>
    </row>
    <row r="1808">
      <c r="A1808" s="40">
        <f t="array" ref="A1808">IFNA(index(PlayerValues!A:A,match(IFNA(vlookup(B1808,'Special Names'!A:B,2,FALSE),B1808),PlayerValues!E:E,0)),"N/A")</f>
        <v>16207</v>
      </c>
      <c r="B1808" s="4" t="s">
        <v>636</v>
      </c>
      <c r="C1808" s="4" t="s">
        <v>287</v>
      </c>
      <c r="D1808" s="94">
        <v>1757.0</v>
      </c>
    </row>
    <row r="1809">
      <c r="A1809" s="40">
        <f t="array" ref="A1809">IFNA(index(PlayerValues!A:A,match(IFNA(vlookup(B1809,'Special Names'!A:B,2,FALSE),B1809),PlayerValues!E:E,0)),"N/A")</f>
        <v>11222</v>
      </c>
      <c r="B1809" s="4" t="s">
        <v>622</v>
      </c>
      <c r="C1809" s="4" t="s">
        <v>287</v>
      </c>
      <c r="D1809" s="94">
        <v>1754.0</v>
      </c>
    </row>
    <row r="1810">
      <c r="A1810" s="40">
        <f t="array" ref="A1810">IFNA(index(PlayerValues!A:A,match(IFNA(vlookup(B1810,'Special Names'!A:B,2,FALSE),B1810),PlayerValues!E:E,0)),"N/A")</f>
        <v>16585</v>
      </c>
      <c r="B1810" s="4" t="s">
        <v>623</v>
      </c>
      <c r="C1810" s="4" t="s">
        <v>283</v>
      </c>
      <c r="D1810" s="94">
        <v>1747.0</v>
      </c>
    </row>
    <row r="1811">
      <c r="A1811" s="40">
        <f t="array" ref="A1811">IFNA(index(PlayerValues!A:A,match(IFNA(vlookup(B1811,'Special Names'!A:B,2,FALSE),B1811),PlayerValues!E:E,0)),"N/A")</f>
        <v>17055</v>
      </c>
      <c r="B1811" s="4" t="s">
        <v>565</v>
      </c>
      <c r="C1811" s="4" t="s">
        <v>278</v>
      </c>
      <c r="D1811" s="94">
        <v>1738.0</v>
      </c>
    </row>
    <row r="1812">
      <c r="A1812" s="40">
        <f t="array" ref="A1812">IFNA(index(PlayerValues!A:A,match(IFNA(vlookup(B1812,'Special Names'!A:B,2,FALSE),B1812),PlayerValues!E:E,0)),"N/A")</f>
        <v>14105</v>
      </c>
      <c r="B1812" s="4" t="s">
        <v>675</v>
      </c>
      <c r="C1812" s="4" t="s">
        <v>287</v>
      </c>
      <c r="D1812" s="94">
        <v>1734.0</v>
      </c>
    </row>
    <row r="1813">
      <c r="A1813" s="40">
        <f t="array" ref="A1813">IFNA(index(PlayerValues!A:A,match(IFNA(vlookup(B1813,'Special Names'!A:B,2,FALSE),B1813),PlayerValues!E:E,0)),"N/A")</f>
        <v>17528</v>
      </c>
      <c r="B1813" s="4" t="s">
        <v>579</v>
      </c>
      <c r="C1813" s="4" t="s">
        <v>287</v>
      </c>
      <c r="D1813" s="94">
        <v>1733.0</v>
      </c>
    </row>
    <row r="1814">
      <c r="A1814" s="40">
        <f t="array" ref="A1814">IFNA(index(PlayerValues!A:A,match(IFNA(vlookup(B1814,'Special Names'!A:B,2,FALSE),B1814),PlayerValues!E:E,0)),"N/A")</f>
        <v>16629</v>
      </c>
      <c r="B1814" s="4" t="s">
        <v>605</v>
      </c>
      <c r="C1814" s="4" t="s">
        <v>287</v>
      </c>
      <c r="D1814" s="94">
        <v>1730.0</v>
      </c>
    </row>
    <row r="1815">
      <c r="A1815" s="40">
        <f t="array" ref="A1815">IFNA(index(PlayerValues!A:A,match(IFNA(vlookup(B1815,'Special Names'!A:B,2,FALSE),B1815),PlayerValues!E:E,0)),"N/A")</f>
        <v>17058</v>
      </c>
      <c r="B1815" s="4" t="s">
        <v>641</v>
      </c>
      <c r="C1815" s="4" t="s">
        <v>278</v>
      </c>
      <c r="D1815" s="94">
        <v>1721.0</v>
      </c>
    </row>
    <row r="1816">
      <c r="A1816" s="40">
        <f t="array" ref="A1816">IFNA(index(PlayerValues!A:A,match(IFNA(vlookup(B1816,'Special Names'!A:B,2,FALSE),B1816),PlayerValues!E:E,0)),"N/A")</f>
        <v>7836</v>
      </c>
      <c r="B1816" s="4" t="s">
        <v>590</v>
      </c>
      <c r="C1816" s="4" t="s">
        <v>283</v>
      </c>
      <c r="D1816" s="94">
        <v>1714.0</v>
      </c>
    </row>
    <row r="1817">
      <c r="A1817" s="40">
        <f t="array" ref="A1817">IFNA(index(PlayerValues!A:A,match(IFNA(vlookup(B1817,'Special Names'!A:B,2,FALSE),B1817),PlayerValues!E:E,0)),"N/A")</f>
        <v>16586</v>
      </c>
      <c r="B1817" s="4" t="s">
        <v>658</v>
      </c>
      <c r="C1817" s="4" t="s">
        <v>283</v>
      </c>
      <c r="D1817" s="94">
        <v>1697.0</v>
      </c>
    </row>
    <row r="1818">
      <c r="A1818" s="40">
        <f t="array" ref="A1818">IFNA(index(PlayerValues!A:A,match(IFNA(vlookup(B1818,'Special Names'!A:B,2,FALSE),B1818),PlayerValues!E:E,0)),"N/A")</f>
        <v>16601</v>
      </c>
      <c r="B1818" s="4" t="s">
        <v>648</v>
      </c>
      <c r="C1818" s="4" t="s">
        <v>278</v>
      </c>
      <c r="D1818" s="94">
        <v>1687.0</v>
      </c>
    </row>
    <row r="1819">
      <c r="A1819" s="40">
        <f t="array" ref="A1819">IFNA(index(PlayerValues!A:A,match(IFNA(vlookup(B1819,'Special Names'!A:B,2,FALSE),B1819),PlayerValues!E:E,0)),"N/A")</f>
        <v>17064</v>
      </c>
      <c r="B1819" s="4" t="s">
        <v>631</v>
      </c>
      <c r="C1819" s="4" t="s">
        <v>278</v>
      </c>
      <c r="D1819" s="94">
        <v>1676.0</v>
      </c>
    </row>
    <row r="1820">
      <c r="A1820" s="40" t="str">
        <f t="array" ref="A1820">IFNA(index(PlayerValues!A:A,match(IFNA(vlookup(B1820,'Special Names'!A:B,2,FALSE),B1820),PlayerValues!E:E,0)),"N/A")</f>
        <v>N/A</v>
      </c>
      <c r="B1820" s="4" t="s">
        <v>102</v>
      </c>
      <c r="C1820" s="4" t="s">
        <v>325</v>
      </c>
      <c r="D1820" s="94">
        <v>1670.0</v>
      </c>
    </row>
    <row r="1821">
      <c r="A1821" s="40">
        <f t="array" ref="A1821">IFNA(index(PlayerValues!A:A,match(IFNA(vlookup(B1821,'Special Names'!A:B,2,FALSE),B1821),PlayerValues!E:E,0)),"N/A")</f>
        <v>10700</v>
      </c>
      <c r="B1821" s="4" t="s">
        <v>596</v>
      </c>
      <c r="C1821" s="4" t="s">
        <v>283</v>
      </c>
      <c r="D1821" s="94">
        <v>1669.0</v>
      </c>
    </row>
    <row r="1822">
      <c r="A1822" s="40">
        <f t="array" ref="A1822">IFNA(index(PlayerValues!A:A,match(IFNA(vlookup(B1822,'Special Names'!A:B,2,FALSE),B1822),PlayerValues!E:E,0)),"N/A")</f>
        <v>15777</v>
      </c>
      <c r="B1822" s="4" t="s">
        <v>694</v>
      </c>
      <c r="C1822" s="4" t="s">
        <v>287</v>
      </c>
      <c r="D1822" s="94">
        <v>1667.0</v>
      </c>
    </row>
    <row r="1823">
      <c r="A1823" s="40">
        <f t="array" ref="A1823">IFNA(index(PlayerValues!A:A,match(IFNA(vlookup(B1823,'Special Names'!A:B,2,FALSE),B1823),PlayerValues!E:E,0)),"N/A")</f>
        <v>15787</v>
      </c>
      <c r="B1823" s="4" t="s">
        <v>610</v>
      </c>
      <c r="C1823" s="4" t="s">
        <v>287</v>
      </c>
      <c r="D1823" s="94">
        <v>1665.0</v>
      </c>
    </row>
    <row r="1824">
      <c r="A1824" s="40">
        <f t="array" ref="A1824">IFNA(index(PlayerValues!A:A,match(IFNA(vlookup(B1824,'Special Names'!A:B,2,FALSE),B1824),PlayerValues!E:E,0)),"N/A")</f>
        <v>13629</v>
      </c>
      <c r="B1824" s="4" t="s">
        <v>619</v>
      </c>
      <c r="C1824" s="4" t="s">
        <v>287</v>
      </c>
      <c r="D1824" s="94">
        <v>1664.0</v>
      </c>
    </row>
    <row r="1825">
      <c r="A1825" s="40">
        <f t="array" ref="A1825">IFNA(index(PlayerValues!A:A,match(IFNA(vlookup(B1825,'Special Names'!A:B,2,FALSE),B1825),PlayerValues!E:E,0)),"N/A")</f>
        <v>15727</v>
      </c>
      <c r="B1825" s="4" t="s">
        <v>730</v>
      </c>
      <c r="C1825" s="4" t="s">
        <v>278</v>
      </c>
      <c r="D1825" s="94">
        <v>1663.0</v>
      </c>
    </row>
    <row r="1826">
      <c r="A1826" s="40">
        <f t="array" ref="A1826">IFNA(index(PlayerValues!A:A,match(IFNA(vlookup(B1826,'Special Names'!A:B,2,FALSE),B1826),PlayerValues!E:E,0)),"N/A")</f>
        <v>16604</v>
      </c>
      <c r="B1826" s="4" t="s">
        <v>476</v>
      </c>
      <c r="C1826" s="4" t="s">
        <v>278</v>
      </c>
      <c r="D1826" s="94">
        <v>1652.0</v>
      </c>
    </row>
    <row r="1827">
      <c r="A1827" s="40">
        <f t="array" ref="A1827">IFNA(index(PlayerValues!A:A,match(IFNA(vlookup(B1827,'Special Names'!A:B,2,FALSE),B1827),PlayerValues!E:E,0)),"N/A")</f>
        <v>17205</v>
      </c>
      <c r="B1827" s="4" t="s">
        <v>665</v>
      </c>
      <c r="C1827" s="4" t="s">
        <v>287</v>
      </c>
      <c r="D1827" s="94">
        <v>1640.0</v>
      </c>
    </row>
    <row r="1828">
      <c r="A1828" s="40" t="str">
        <f t="array" ref="A1828">IFNA(index(PlayerValues!A:A,match(IFNA(vlookup(B1828,'Special Names'!A:B,2,FALSE),B1828),PlayerValues!E:E,0)),"N/A")</f>
        <v>N/A</v>
      </c>
      <c r="B1828" s="4" t="s">
        <v>115</v>
      </c>
      <c r="C1828" s="4" t="s">
        <v>325</v>
      </c>
      <c r="D1828" s="94">
        <v>1640.0</v>
      </c>
    </row>
    <row r="1829">
      <c r="A1829" s="40">
        <f t="array" ref="A1829">IFNA(index(PlayerValues!A:A,match(IFNA(vlookup(B1829,'Special Names'!A:B,2,FALSE),B1829),PlayerValues!E:E,0)),"N/A")</f>
        <v>13131</v>
      </c>
      <c r="B1829" s="4" t="s">
        <v>815</v>
      </c>
      <c r="C1829" s="4" t="s">
        <v>278</v>
      </c>
      <c r="D1829" s="94">
        <v>1635.0</v>
      </c>
    </row>
    <row r="1830">
      <c r="A1830" s="40">
        <f t="array" ref="A1830">IFNA(index(PlayerValues!A:A,match(IFNA(vlookup(B1830,'Special Names'!A:B,2,FALSE),B1830),PlayerValues!E:E,0)),"N/A")</f>
        <v>13164</v>
      </c>
      <c r="B1830" s="4" t="s">
        <v>632</v>
      </c>
      <c r="C1830" s="4" t="s">
        <v>287</v>
      </c>
      <c r="D1830" s="94">
        <v>1629.0</v>
      </c>
    </row>
    <row r="1831">
      <c r="A1831" s="40">
        <f t="array" ref="A1831">IFNA(index(PlayerValues!A:A,match(IFNA(vlookup(B1831,'Special Names'!A:B,2,FALSE),B1831),PlayerValues!E:E,0)),"N/A")</f>
        <v>17234</v>
      </c>
      <c r="B1831" s="4" t="s">
        <v>653</v>
      </c>
      <c r="C1831" s="4" t="s">
        <v>287</v>
      </c>
      <c r="D1831" s="94">
        <v>1628.0</v>
      </c>
    </row>
    <row r="1832">
      <c r="A1832" s="40">
        <f t="array" ref="A1832">IFNA(index(PlayerValues!A:A,match(IFNA(vlookup(B1832,'Special Names'!A:B,2,FALSE),B1832),PlayerValues!E:E,0)),"N/A")</f>
        <v>14143</v>
      </c>
      <c r="B1832" s="4" t="s">
        <v>635</v>
      </c>
      <c r="C1832" s="4" t="s">
        <v>298</v>
      </c>
      <c r="D1832" s="94">
        <v>1995.0</v>
      </c>
    </row>
    <row r="1833">
      <c r="A1833" s="40" t="str">
        <f t="array" ref="A1833">IFNA(index(PlayerValues!A:A,match(IFNA(vlookup(B1833,'Special Names'!A:B,2,FALSE),B1833),PlayerValues!E:E,0)),"N/A")</f>
        <v>N/A</v>
      </c>
      <c r="B1833" s="4" t="s">
        <v>90</v>
      </c>
      <c r="C1833" s="4" t="s">
        <v>325</v>
      </c>
      <c r="D1833" s="94">
        <v>1616.0</v>
      </c>
    </row>
    <row r="1834">
      <c r="A1834" s="40">
        <f t="array" ref="A1834">IFNA(index(PlayerValues!A:A,match(IFNA(vlookup(B1834,'Special Names'!A:B,2,FALSE),B1834),PlayerValues!E:E,0)),"N/A")</f>
        <v>12141</v>
      </c>
      <c r="B1834" s="4" t="s">
        <v>744</v>
      </c>
      <c r="C1834" s="4" t="s">
        <v>283</v>
      </c>
      <c r="D1834" s="94">
        <v>1615.0</v>
      </c>
    </row>
    <row r="1835">
      <c r="A1835" s="40">
        <f t="array" ref="A1835">IFNA(index(PlayerValues!A:A,match(IFNA(vlookup(B1835,'Special Names'!A:B,2,FALSE),B1835),PlayerValues!E:E,0)),"N/A")</f>
        <v>16633</v>
      </c>
      <c r="B1835" s="4" t="s">
        <v>656</v>
      </c>
      <c r="C1835" s="4" t="s">
        <v>287</v>
      </c>
      <c r="D1835" s="94">
        <v>1603.0</v>
      </c>
    </row>
    <row r="1836">
      <c r="A1836" s="40">
        <f t="array" ref="A1836">IFNA(index(PlayerValues!A:A,match(IFNA(vlookup(B1836,'Special Names'!A:B,2,FALSE),B1836),PlayerValues!E:E,0)),"N/A")</f>
        <v>17037</v>
      </c>
      <c r="B1836" s="4" t="s">
        <v>727</v>
      </c>
      <c r="C1836" s="4" t="s">
        <v>283</v>
      </c>
      <c r="D1836" s="94">
        <v>1601.0</v>
      </c>
    </row>
    <row r="1837">
      <c r="A1837" s="40">
        <f t="array" ref="A1837">IFNA(index(PlayerValues!A:A,match(IFNA(vlookup(B1837,'Special Names'!A:B,2,FALSE),B1837),PlayerValues!E:E,0)),"N/A")</f>
        <v>17096</v>
      </c>
      <c r="B1837" s="4" t="s">
        <v>638</v>
      </c>
      <c r="C1837" s="4" t="s">
        <v>287</v>
      </c>
      <c r="D1837" s="94">
        <v>1590.0</v>
      </c>
    </row>
    <row r="1838">
      <c r="A1838" s="40">
        <f t="array" ref="A1838">IFNA(index(PlayerValues!A:A,match(IFNA(vlookup(B1838,'Special Names'!A:B,2,FALSE),B1838),PlayerValues!E:E,0)),"N/A")</f>
        <v>13193</v>
      </c>
      <c r="B1838" s="4" t="s">
        <v>773</v>
      </c>
      <c r="C1838" s="4" t="s">
        <v>298</v>
      </c>
      <c r="D1838" s="94">
        <v>1965.0</v>
      </c>
    </row>
    <row r="1839">
      <c r="A1839" s="40">
        <f t="array" ref="A1839">IFNA(index(PlayerValues!A:A,match(IFNA(vlookup(B1839,'Special Names'!A:B,2,FALSE),B1839),PlayerValues!E:E,0)),"N/A")</f>
        <v>14122</v>
      </c>
      <c r="B1839" s="4" t="s">
        <v>663</v>
      </c>
      <c r="C1839" s="4" t="s">
        <v>287</v>
      </c>
      <c r="D1839" s="94">
        <v>1579.0</v>
      </c>
    </row>
    <row r="1840">
      <c r="A1840" s="40">
        <f t="array" ref="A1840">IFNA(index(PlayerValues!A:A,match(IFNA(vlookup(B1840,'Special Names'!A:B,2,FALSE),B1840),PlayerValues!E:E,0)),"N/A")</f>
        <v>16390</v>
      </c>
      <c r="B1840" s="4" t="s">
        <v>689</v>
      </c>
      <c r="C1840" s="4" t="s">
        <v>278</v>
      </c>
      <c r="D1840" s="94">
        <v>1567.0</v>
      </c>
    </row>
    <row r="1841">
      <c r="A1841" s="40">
        <f t="array" ref="A1841">IFNA(index(PlayerValues!A:A,match(IFNA(vlookup(B1841,'Special Names'!A:B,2,FALSE),B1841),PlayerValues!E:E,0)),"N/A")</f>
        <v>12140</v>
      </c>
      <c r="B1841" s="4" t="s">
        <v>702</v>
      </c>
      <c r="C1841" s="4" t="s">
        <v>283</v>
      </c>
      <c r="D1841" s="94">
        <v>1566.0</v>
      </c>
    </row>
    <row r="1842">
      <c r="A1842" s="40" t="str">
        <f t="array" ref="A1842">IFNA(index(PlayerValues!A:A,match(IFNA(vlookup(B1842,'Special Names'!A:B,2,FALSE),B1842),PlayerValues!E:E,0)),"N/A")</f>
        <v>N/A</v>
      </c>
      <c r="B1842" s="4" t="s">
        <v>91</v>
      </c>
      <c r="C1842" s="4" t="s">
        <v>325</v>
      </c>
      <c r="D1842" s="94">
        <v>1558.0</v>
      </c>
    </row>
    <row r="1843">
      <c r="A1843" s="40">
        <f t="array" ref="A1843">IFNA(index(PlayerValues!A:A,match(IFNA(vlookup(B1843,'Special Names'!A:B,2,FALSE),B1843),PlayerValues!E:E,0)),"N/A")</f>
        <v>16688</v>
      </c>
      <c r="B1843" s="4" t="s">
        <v>688</v>
      </c>
      <c r="C1843" s="4" t="s">
        <v>278</v>
      </c>
      <c r="D1843" s="94">
        <v>1542.0</v>
      </c>
    </row>
    <row r="1844">
      <c r="A1844" s="40">
        <f t="array" ref="A1844">IFNA(index(PlayerValues!A:A,match(IFNA(vlookup(B1844,'Special Names'!A:B,2,FALSE),B1844),PlayerValues!E:E,0)),"N/A")</f>
        <v>15252</v>
      </c>
      <c r="B1844" s="4" t="s">
        <v>715</v>
      </c>
      <c r="C1844" s="4" t="s">
        <v>283</v>
      </c>
      <c r="D1844" s="94">
        <v>1541.0</v>
      </c>
    </row>
    <row r="1845">
      <c r="A1845" s="40">
        <f t="array" ref="A1845">IFNA(index(PlayerValues!A:A,match(IFNA(vlookup(B1845,'Special Names'!A:B,2,FALSE),B1845),PlayerValues!E:E,0)),"N/A")</f>
        <v>15258</v>
      </c>
      <c r="B1845" s="4" t="s">
        <v>757</v>
      </c>
      <c r="C1845" s="4" t="s">
        <v>278</v>
      </c>
      <c r="D1845" s="94">
        <v>1541.0</v>
      </c>
    </row>
    <row r="1846">
      <c r="A1846" s="40">
        <f t="array" ref="A1846">IFNA(index(PlayerValues!A:A,match(IFNA(vlookup(B1846,'Special Names'!A:B,2,FALSE),B1846),PlayerValues!E:E,0)),"N/A")</f>
        <v>14080</v>
      </c>
      <c r="B1846" s="4" t="s">
        <v>716</v>
      </c>
      <c r="C1846" s="4" t="s">
        <v>278</v>
      </c>
      <c r="D1846" s="94">
        <v>1539.0</v>
      </c>
    </row>
    <row r="1847">
      <c r="A1847" s="40" t="str">
        <f t="array" ref="A1847">IFNA(index(PlayerValues!A:A,match(IFNA(vlookup(B1847,'Special Names'!A:B,2,FALSE),B1847),PlayerValues!E:E,0)),"N/A")</f>
        <v>N/A</v>
      </c>
      <c r="B1847" s="4" t="s">
        <v>103</v>
      </c>
      <c r="C1847" s="4" t="s">
        <v>325</v>
      </c>
      <c r="D1847" s="94">
        <v>1532.0</v>
      </c>
    </row>
    <row r="1848">
      <c r="A1848" s="40" t="str">
        <f t="array" ref="A1848">IFNA(index(PlayerValues!A:A,match(IFNA(vlookup(B1848,'Special Names'!A:B,2,FALSE),B1848),PlayerValues!E:E,0)),"N/A")</f>
        <v>N/A</v>
      </c>
      <c r="B1848" s="4" t="s">
        <v>116</v>
      </c>
      <c r="C1848" s="4" t="s">
        <v>325</v>
      </c>
      <c r="D1848" s="94">
        <v>1513.0</v>
      </c>
    </row>
    <row r="1849">
      <c r="A1849" s="40">
        <f t="array" ref="A1849">IFNA(index(PlayerValues!A:A,match(IFNA(vlookup(B1849,'Special Names'!A:B,2,FALSE),B1849),PlayerValues!E:E,0)),"N/A")</f>
        <v>17475</v>
      </c>
      <c r="B1849" s="4" t="s">
        <v>615</v>
      </c>
      <c r="C1849" s="4" t="s">
        <v>278</v>
      </c>
      <c r="D1849" s="94">
        <v>1508.0</v>
      </c>
    </row>
    <row r="1850">
      <c r="A1850" s="40">
        <f t="array" ref="A1850">IFNA(index(PlayerValues!A:A,match(IFNA(vlookup(B1850,'Special Names'!A:B,2,FALSE),B1850),PlayerValues!E:E,0)),"N/A")</f>
        <v>17504</v>
      </c>
      <c r="B1850" s="4" t="s">
        <v>693</v>
      </c>
      <c r="C1850" s="4" t="s">
        <v>287</v>
      </c>
      <c r="D1850" s="94">
        <v>1504.0</v>
      </c>
    </row>
    <row r="1851">
      <c r="A1851" s="40">
        <f t="array" ref="A1851">IFNA(index(PlayerValues!A:A,match(IFNA(vlookup(B1851,'Special Names'!A:B,2,FALSE),B1851),PlayerValues!E:E,0)),"N/A")</f>
        <v>15319</v>
      </c>
      <c r="B1851" s="4" t="s">
        <v>644</v>
      </c>
      <c r="C1851" s="4" t="s">
        <v>287</v>
      </c>
      <c r="D1851" s="94">
        <v>1497.0</v>
      </c>
    </row>
    <row r="1852">
      <c r="A1852" s="40">
        <f t="array" ref="A1852">IFNA(index(PlayerValues!A:A,match(IFNA(vlookup(B1852,'Special Names'!A:B,2,FALSE),B1852),PlayerValues!E:E,0)),"N/A")</f>
        <v>17077</v>
      </c>
      <c r="B1852" s="4" t="s">
        <v>714</v>
      </c>
      <c r="C1852" s="4" t="s">
        <v>287</v>
      </c>
      <c r="D1852" s="94">
        <v>1497.0</v>
      </c>
    </row>
    <row r="1853">
      <c r="A1853" s="40">
        <f t="array" ref="A1853">IFNA(index(PlayerValues!A:A,match(IFNA(vlookup(B1853,'Special Names'!A:B,2,FALSE),B1853),PlayerValues!E:E,0)),"N/A")</f>
        <v>15752</v>
      </c>
      <c r="B1853" s="4" t="s">
        <v>647</v>
      </c>
      <c r="C1853" s="4" t="s">
        <v>287</v>
      </c>
      <c r="D1853" s="94">
        <v>1465.0</v>
      </c>
    </row>
    <row r="1854">
      <c r="A1854" s="40">
        <f t="array" ref="A1854">IFNA(index(PlayerValues!A:A,match(IFNA(vlookup(B1854,'Special Names'!A:B,2,FALSE),B1854),PlayerValues!E:E,0)),"N/A")</f>
        <v>11150</v>
      </c>
      <c r="B1854" s="4" t="s">
        <v>559</v>
      </c>
      <c r="C1854" s="4" t="s">
        <v>283</v>
      </c>
      <c r="D1854" s="94">
        <v>1458.0</v>
      </c>
    </row>
    <row r="1855">
      <c r="A1855" s="40">
        <f t="array" ref="A1855">IFNA(index(PlayerValues!A:A,match(IFNA(vlookup(B1855,'Special Names'!A:B,2,FALSE),B1855),PlayerValues!E:E,0)),"N/A")</f>
        <v>17541</v>
      </c>
      <c r="B1855" s="4" t="s">
        <v>616</v>
      </c>
      <c r="C1855" s="4" t="s">
        <v>287</v>
      </c>
      <c r="D1855" s="94">
        <v>1458.0</v>
      </c>
    </row>
    <row r="1856">
      <c r="A1856" s="40">
        <f t="array" ref="A1856">IFNA(index(PlayerValues!A:A,match(IFNA(vlookup(B1856,'Special Names'!A:B,2,FALSE),B1856),PlayerValues!E:E,0)),"N/A")</f>
        <v>15738</v>
      </c>
      <c r="B1856" s="4" t="s">
        <v>634</v>
      </c>
      <c r="C1856" s="4" t="s">
        <v>278</v>
      </c>
      <c r="D1856" s="94">
        <v>1456.0</v>
      </c>
    </row>
    <row r="1857">
      <c r="A1857" s="40">
        <f t="array" ref="A1857">IFNA(index(PlayerValues!A:A,match(IFNA(vlookup(B1857,'Special Names'!A:B,2,FALSE),B1857),PlayerValues!E:E,0)),"N/A")</f>
        <v>13418</v>
      </c>
      <c r="B1857" s="4" t="s">
        <v>706</v>
      </c>
      <c r="C1857" s="4" t="s">
        <v>287</v>
      </c>
      <c r="D1857" s="94">
        <v>1455.0</v>
      </c>
    </row>
    <row r="1858">
      <c r="A1858" s="40">
        <f t="array" ref="A1858">IFNA(index(PlayerValues!A:A,match(IFNA(vlookup(B1858,'Special Names'!A:B,2,FALSE),B1858),PlayerValues!E:E,0)),"N/A")</f>
        <v>17254</v>
      </c>
      <c r="B1858" s="4" t="s">
        <v>679</v>
      </c>
      <c r="C1858" s="4" t="s">
        <v>287</v>
      </c>
      <c r="D1858" s="94">
        <v>1447.0</v>
      </c>
    </row>
    <row r="1859">
      <c r="A1859" s="40">
        <f t="array" ref="A1859">IFNA(index(PlayerValues!A:A,match(IFNA(vlookup(B1859,'Special Names'!A:B,2,FALSE),B1859),PlayerValues!E:E,0)),"N/A")</f>
        <v>15755</v>
      </c>
      <c r="B1859" s="4" t="s">
        <v>628</v>
      </c>
      <c r="C1859" s="4" t="s">
        <v>287</v>
      </c>
      <c r="D1859" s="94">
        <v>1445.0</v>
      </c>
    </row>
    <row r="1860">
      <c r="A1860" s="40">
        <f t="array" ref="A1860">IFNA(index(PlayerValues!A:A,match(IFNA(vlookup(B1860,'Special Names'!A:B,2,FALSE),B1860),PlayerValues!E:E,0)),"N/A")</f>
        <v>14095</v>
      </c>
      <c r="B1860" s="4" t="s">
        <v>680</v>
      </c>
      <c r="C1860" s="4" t="s">
        <v>278</v>
      </c>
      <c r="D1860" s="94">
        <v>1432.0</v>
      </c>
    </row>
    <row r="1861">
      <c r="A1861" s="40">
        <f t="array" ref="A1861">IFNA(index(PlayerValues!A:A,match(IFNA(vlookup(B1861,'Special Names'!A:B,2,FALSE),B1861),PlayerValues!E:E,0)),"N/A")</f>
        <v>17510</v>
      </c>
      <c r="B1861" s="4" t="s">
        <v>661</v>
      </c>
      <c r="C1861" s="4" t="s">
        <v>287</v>
      </c>
      <c r="D1861" s="94">
        <v>1428.0</v>
      </c>
    </row>
    <row r="1862">
      <c r="A1862" s="40">
        <f t="array" ref="A1862">IFNA(index(PlayerValues!A:A,match(IFNA(vlookup(B1862,'Special Names'!A:B,2,FALSE),B1862),PlayerValues!E:E,0)),"N/A")</f>
        <v>13672</v>
      </c>
      <c r="B1862" s="4" t="s">
        <v>667</v>
      </c>
      <c r="C1862" s="4" t="s">
        <v>298</v>
      </c>
      <c r="D1862" s="94">
        <v>1790.0</v>
      </c>
    </row>
    <row r="1863">
      <c r="A1863" s="40">
        <f t="array" ref="A1863">IFNA(index(PlayerValues!A:A,match(IFNA(vlookup(B1863,'Special Names'!A:B,2,FALSE),B1863),PlayerValues!E:E,0)),"N/A")</f>
        <v>15713</v>
      </c>
      <c r="B1863" s="4" t="s">
        <v>732</v>
      </c>
      <c r="C1863" s="4" t="s">
        <v>278</v>
      </c>
      <c r="D1863" s="94">
        <v>1415.0</v>
      </c>
    </row>
    <row r="1864">
      <c r="A1864" s="40">
        <f t="array" ref="A1864">IFNA(index(PlayerValues!A:A,match(IFNA(vlookup(B1864,'Special Names'!A:B,2,FALSE),B1864),PlayerValues!E:E,0)),"N/A")</f>
        <v>13138</v>
      </c>
      <c r="B1864" s="4" t="s">
        <v>817</v>
      </c>
      <c r="C1864" s="4" t="s">
        <v>278</v>
      </c>
      <c r="D1864" s="94">
        <v>1405.0</v>
      </c>
    </row>
    <row r="1865">
      <c r="A1865" s="40">
        <f t="array" ref="A1865">IFNA(index(PlayerValues!A:A,match(IFNA(vlookup(B1865,'Special Names'!A:B,2,FALSE),B1865),PlayerValues!E:E,0)),"N/A")</f>
        <v>17470</v>
      </c>
      <c r="B1865" s="4" t="s">
        <v>841</v>
      </c>
      <c r="C1865" s="4" t="s">
        <v>283</v>
      </c>
      <c r="D1865" s="94">
        <v>1402.0</v>
      </c>
    </row>
    <row r="1866">
      <c r="A1866" s="40">
        <f t="array" ref="A1866">IFNA(index(PlayerValues!A:A,match(IFNA(vlookup(B1866,'Special Names'!A:B,2,FALSE),B1866),PlayerValues!E:E,0)),"N/A")</f>
        <v>15788</v>
      </c>
      <c r="B1866" s="4" t="s">
        <v>627</v>
      </c>
      <c r="C1866" s="4" t="s">
        <v>287</v>
      </c>
      <c r="D1866" s="94">
        <v>1398.0</v>
      </c>
    </row>
    <row r="1867">
      <c r="A1867" s="40">
        <f t="array" ref="A1867">IFNA(index(PlayerValues!A:A,match(IFNA(vlookup(B1867,'Special Names'!A:B,2,FALSE),B1867),PlayerValues!E:E,0)),"N/A")</f>
        <v>17269</v>
      </c>
      <c r="B1867" s="4" t="s">
        <v>718</v>
      </c>
      <c r="C1867" s="4" t="s">
        <v>287</v>
      </c>
      <c r="D1867" s="94">
        <v>1392.0</v>
      </c>
    </row>
    <row r="1868">
      <c r="A1868" s="40">
        <f t="array" ref="A1868">IFNA(index(PlayerValues!A:A,match(IFNA(vlookup(B1868,'Special Names'!A:B,2,FALSE),B1868),PlayerValues!E:E,0)),"N/A")</f>
        <v>17486</v>
      </c>
      <c r="B1868" s="4" t="s">
        <v>695</v>
      </c>
      <c r="C1868" s="4" t="s">
        <v>278</v>
      </c>
      <c r="D1868" s="94">
        <v>1389.0</v>
      </c>
    </row>
    <row r="1869">
      <c r="A1869" s="40">
        <f t="array" ref="A1869">IFNA(index(PlayerValues!A:A,match(IFNA(vlookup(B1869,'Special Names'!A:B,2,FALSE),B1869),PlayerValues!E:E,0)),"N/A")</f>
        <v>17062</v>
      </c>
      <c r="B1869" s="4" t="s">
        <v>701</v>
      </c>
      <c r="C1869" s="4" t="s">
        <v>278</v>
      </c>
      <c r="D1869" s="94">
        <v>1385.0</v>
      </c>
    </row>
    <row r="1870">
      <c r="A1870" s="40">
        <f t="array" ref="A1870">IFNA(index(PlayerValues!A:A,match(IFNA(vlookup(B1870,'Special Names'!A:B,2,FALSE),B1870),PlayerValues!E:E,0)),"N/A")</f>
        <v>17479</v>
      </c>
      <c r="B1870" s="4" t="s">
        <v>756</v>
      </c>
      <c r="C1870" s="4" t="s">
        <v>278</v>
      </c>
      <c r="D1870" s="94">
        <v>1385.0</v>
      </c>
    </row>
    <row r="1871">
      <c r="A1871" s="40">
        <f t="array" ref="A1871">IFNA(index(PlayerValues!A:A,match(IFNA(vlookup(B1871,'Special Names'!A:B,2,FALSE),B1871),PlayerValues!E:E,0)),"N/A")</f>
        <v>16631</v>
      </c>
      <c r="B1871" s="4" t="s">
        <v>800</v>
      </c>
      <c r="C1871" s="4" t="s">
        <v>287</v>
      </c>
      <c r="D1871" s="94">
        <v>1373.0</v>
      </c>
    </row>
    <row r="1872">
      <c r="A1872" s="40">
        <f t="array" ref="A1872">IFNA(index(PlayerValues!A:A,match(IFNA(vlookup(B1872,'Special Names'!A:B,2,FALSE),B1872),PlayerValues!E:E,0)),"N/A")</f>
        <v>17487</v>
      </c>
      <c r="B1872" s="4" t="s">
        <v>692</v>
      </c>
      <c r="C1872" s="4" t="s">
        <v>278</v>
      </c>
      <c r="D1872" s="94">
        <v>1343.0</v>
      </c>
    </row>
    <row r="1873">
      <c r="A1873" s="40">
        <f t="array" ref="A1873">IFNA(index(PlayerValues!A:A,match(IFNA(vlookup(B1873,'Special Names'!A:B,2,FALSE),B1873),PlayerValues!E:E,0)),"N/A")</f>
        <v>15797</v>
      </c>
      <c r="B1873" s="4" t="s">
        <v>556</v>
      </c>
      <c r="C1873" s="4" t="s">
        <v>298</v>
      </c>
      <c r="D1873" s="94">
        <v>1712.0</v>
      </c>
    </row>
    <row r="1874">
      <c r="A1874" s="40">
        <f t="array" ref="A1874">IFNA(index(PlayerValues!A:A,match(IFNA(vlookup(B1874,'Special Names'!A:B,2,FALSE),B1874),PlayerValues!E:E,0)),"N/A")</f>
        <v>15332</v>
      </c>
      <c r="B1874" s="4" t="s">
        <v>698</v>
      </c>
      <c r="C1874" s="4" t="s">
        <v>298</v>
      </c>
      <c r="D1874" s="94">
        <v>1708.0</v>
      </c>
    </row>
    <row r="1875">
      <c r="A1875" s="40">
        <f t="array" ref="A1875">IFNA(index(PlayerValues!A:A,match(IFNA(vlookup(B1875,'Special Names'!A:B,2,FALSE),B1875),PlayerValues!E:E,0)),"N/A")</f>
        <v>14137</v>
      </c>
      <c r="B1875" s="4" t="s">
        <v>676</v>
      </c>
      <c r="C1875" s="4" t="s">
        <v>298</v>
      </c>
      <c r="D1875" s="94">
        <v>1706.0</v>
      </c>
    </row>
    <row r="1876">
      <c r="A1876" s="40">
        <f t="array" ref="A1876">IFNA(index(PlayerValues!A:A,match(IFNA(vlookup(B1876,'Special Names'!A:B,2,FALSE),B1876),PlayerValues!E:E,0)),"N/A")</f>
        <v>15301</v>
      </c>
      <c r="B1876" s="4" t="s">
        <v>657</v>
      </c>
      <c r="C1876" s="4" t="s">
        <v>287</v>
      </c>
      <c r="D1876" s="94">
        <v>1326.0</v>
      </c>
    </row>
    <row r="1877">
      <c r="A1877" s="40">
        <f t="array" ref="A1877">IFNA(index(PlayerValues!A:A,match(IFNA(vlookup(B1877,'Special Names'!A:B,2,FALSE),B1877),PlayerValues!E:E,0)),"N/A")</f>
        <v>15873</v>
      </c>
      <c r="B1877" s="4" t="s">
        <v>681</v>
      </c>
      <c r="C1877" s="4" t="s">
        <v>298</v>
      </c>
      <c r="D1877" s="94">
        <v>1694.0</v>
      </c>
    </row>
    <row r="1878">
      <c r="A1878" s="40">
        <f t="array" ref="A1878">IFNA(index(PlayerValues!A:A,match(IFNA(vlookup(B1878,'Special Names'!A:B,2,FALSE),B1878),PlayerValues!E:E,0)),"N/A")</f>
        <v>16621</v>
      </c>
      <c r="B1878" s="4" t="s">
        <v>672</v>
      </c>
      <c r="C1878" s="4" t="s">
        <v>287</v>
      </c>
      <c r="D1878" s="94">
        <v>1321.0</v>
      </c>
    </row>
    <row r="1879">
      <c r="A1879" s="40">
        <f t="array" ref="A1879">IFNA(index(PlayerValues!A:A,match(IFNA(vlookup(B1879,'Special Names'!A:B,2,FALSE),B1879),PlayerValues!E:E,0)),"N/A")</f>
        <v>16642</v>
      </c>
      <c r="B1879" s="4" t="s">
        <v>691</v>
      </c>
      <c r="C1879" s="4" t="s">
        <v>298</v>
      </c>
      <c r="D1879" s="94">
        <v>1678.0</v>
      </c>
    </row>
    <row r="1880">
      <c r="A1880" s="40">
        <f t="array" ref="A1880">IFNA(index(PlayerValues!A:A,match(IFNA(vlookup(B1880,'Special Names'!A:B,2,FALSE),B1880),PlayerValues!E:E,0)),"N/A")</f>
        <v>16385</v>
      </c>
      <c r="B1880" s="4" t="s">
        <v>690</v>
      </c>
      <c r="C1880" s="4" t="s">
        <v>278</v>
      </c>
      <c r="D1880" s="94">
        <v>1304.0</v>
      </c>
    </row>
    <row r="1881">
      <c r="A1881" s="40" t="str">
        <f t="array" ref="A1881">IFNA(index(PlayerValues!A:A,match(IFNA(vlookup(B1881,'Special Names'!A:B,2,FALSE),B1881),PlayerValues!E:E,0)),"N/A")</f>
        <v>N/A</v>
      </c>
      <c r="B1881" s="4" t="s">
        <v>117</v>
      </c>
      <c r="C1881" s="4" t="s">
        <v>325</v>
      </c>
      <c r="D1881" s="94">
        <v>1289.0</v>
      </c>
    </row>
    <row r="1882">
      <c r="A1882" s="40">
        <f t="array" ref="A1882">IFNA(index(PlayerValues!A:A,match(IFNA(vlookup(B1882,'Special Names'!A:B,2,FALSE),B1882),PlayerValues!E:E,0)),"N/A")</f>
        <v>17526</v>
      </c>
      <c r="B1882" s="4" t="s">
        <v>760</v>
      </c>
      <c r="C1882" s="4" t="s">
        <v>287</v>
      </c>
      <c r="D1882" s="94">
        <v>1287.0</v>
      </c>
    </row>
    <row r="1883">
      <c r="A1883" s="40">
        <f t="array" ref="A1883">IFNA(index(PlayerValues!A:A,match(IFNA(vlookup(B1883,'Special Names'!A:B,2,FALSE),B1883),PlayerValues!E:E,0)),"N/A")</f>
        <v>14592</v>
      </c>
      <c r="B1883" s="4" t="s">
        <v>705</v>
      </c>
      <c r="C1883" s="4" t="s">
        <v>287</v>
      </c>
      <c r="D1883" s="94">
        <v>1276.0</v>
      </c>
    </row>
    <row r="1884">
      <c r="A1884" s="40">
        <f t="array" ref="A1884">IFNA(index(PlayerValues!A:A,match(IFNA(vlookup(B1884,'Special Names'!A:B,2,FALSE),B1884),PlayerValues!E:E,0)),"N/A")</f>
        <v>16175</v>
      </c>
      <c r="B1884" s="4" t="s">
        <v>654</v>
      </c>
      <c r="C1884" s="4" t="s">
        <v>278</v>
      </c>
      <c r="D1884" s="94">
        <v>1263.0</v>
      </c>
    </row>
    <row r="1885">
      <c r="A1885" s="40">
        <f t="array" ref="A1885">IFNA(index(PlayerValues!A:A,match(IFNA(vlookup(B1885,'Special Names'!A:B,2,FALSE),B1885),PlayerValues!E:E,0)),"N/A")</f>
        <v>15292</v>
      </c>
      <c r="B1885" s="4" t="s">
        <v>682</v>
      </c>
      <c r="C1885" s="4" t="s">
        <v>287</v>
      </c>
      <c r="D1885" s="94">
        <v>1262.0</v>
      </c>
    </row>
    <row r="1886">
      <c r="A1886" s="40">
        <f t="array" ref="A1886">IFNA(index(PlayerValues!A:A,match(IFNA(vlookup(B1886,'Special Names'!A:B,2,FALSE),B1886),PlayerValues!E:E,0)),"N/A")</f>
        <v>14086</v>
      </c>
      <c r="B1886" s="4" t="s">
        <v>639</v>
      </c>
      <c r="C1886" s="4" t="s">
        <v>278</v>
      </c>
      <c r="D1886" s="94">
        <v>1253.0</v>
      </c>
    </row>
    <row r="1887">
      <c r="A1887" s="40">
        <f t="array" ref="A1887">IFNA(index(PlayerValues!A:A,match(IFNA(vlookup(B1887,'Special Names'!A:B,2,FALSE),B1887),PlayerValues!E:E,0)),"N/A")</f>
        <v>14108</v>
      </c>
      <c r="B1887" s="4" t="s">
        <v>673</v>
      </c>
      <c r="C1887" s="4" t="s">
        <v>287</v>
      </c>
      <c r="D1887" s="94">
        <v>1249.0</v>
      </c>
    </row>
    <row r="1888">
      <c r="A1888" s="40">
        <f t="array" ref="A1888">IFNA(index(PlayerValues!A:A,match(IFNA(vlookup(B1888,'Special Names'!A:B,2,FALSE),B1888),PlayerValues!E:E,0)),"N/A")</f>
        <v>16451</v>
      </c>
      <c r="B1888" s="4" t="s">
        <v>769</v>
      </c>
      <c r="C1888" s="4" t="s">
        <v>287</v>
      </c>
      <c r="D1888" s="94">
        <v>1243.0</v>
      </c>
    </row>
    <row r="1889">
      <c r="A1889" s="40">
        <f t="array" ref="A1889">IFNA(index(PlayerValues!A:A,match(IFNA(vlookup(B1889,'Special Names'!A:B,2,FALSE),B1889),PlayerValues!E:E,0)),"N/A")</f>
        <v>15981</v>
      </c>
      <c r="B1889" s="4" t="s">
        <v>729</v>
      </c>
      <c r="C1889" s="4" t="s">
        <v>287</v>
      </c>
      <c r="D1889" s="94">
        <v>1230.0</v>
      </c>
    </row>
    <row r="1890">
      <c r="A1890" s="40">
        <f t="array" ref="A1890">IFNA(index(PlayerValues!A:A,match(IFNA(vlookup(B1890,'Special Names'!A:B,2,FALSE),B1890),PlayerValues!E:E,0)),"N/A")</f>
        <v>16183</v>
      </c>
      <c r="B1890" s="4" t="s">
        <v>678</v>
      </c>
      <c r="C1890" s="4" t="s">
        <v>287</v>
      </c>
      <c r="D1890" s="94">
        <v>1223.0</v>
      </c>
    </row>
    <row r="1891">
      <c r="A1891" s="40">
        <f t="array" ref="A1891">IFNA(index(PlayerValues!A:A,match(IFNA(vlookup(B1891,'Special Names'!A:B,2,FALSE),B1891),PlayerValues!E:E,0)),"N/A")</f>
        <v>12263</v>
      </c>
      <c r="B1891" s="4" t="s">
        <v>697</v>
      </c>
      <c r="C1891" s="4" t="s">
        <v>298</v>
      </c>
      <c r="D1891" s="94">
        <v>1588.0</v>
      </c>
    </row>
    <row r="1892">
      <c r="A1892" s="40">
        <f t="array" ref="A1892">IFNA(index(PlayerValues!A:A,match(IFNA(vlookup(B1892,'Special Names'!A:B,2,FALSE),B1892),PlayerValues!E:E,0)),"N/A")</f>
        <v>16792</v>
      </c>
      <c r="B1892" s="4" t="s">
        <v>704</v>
      </c>
      <c r="C1892" s="4" t="s">
        <v>287</v>
      </c>
      <c r="D1892" s="94">
        <v>1202.0</v>
      </c>
    </row>
    <row r="1893">
      <c r="A1893" s="40">
        <f t="array" ref="A1893">IFNA(index(PlayerValues!A:A,match(IFNA(vlookup(B1893,'Special Names'!A:B,2,FALSE),B1893),PlayerValues!E:E,0)),"N/A")</f>
        <v>16149</v>
      </c>
      <c r="B1893" s="4" t="s">
        <v>740</v>
      </c>
      <c r="C1893" s="4" t="s">
        <v>283</v>
      </c>
      <c r="D1893" s="94">
        <v>1198.0</v>
      </c>
    </row>
    <row r="1894">
      <c r="A1894" s="40">
        <f t="array" ref="A1894">IFNA(index(PlayerValues!A:A,match(IFNA(vlookup(B1894,'Special Names'!A:B,2,FALSE),B1894),PlayerValues!E:E,0)),"N/A")</f>
        <v>17063</v>
      </c>
      <c r="B1894" s="4" t="s">
        <v>686</v>
      </c>
      <c r="C1894" s="4" t="s">
        <v>278</v>
      </c>
      <c r="D1894" s="94">
        <v>1188.0</v>
      </c>
    </row>
    <row r="1895">
      <c r="A1895" s="40">
        <f t="array" ref="A1895">IFNA(index(PlayerValues!A:A,match(IFNA(vlookup(B1895,'Special Names'!A:B,2,FALSE),B1895),PlayerValues!E:E,0)),"N/A")</f>
        <v>15240</v>
      </c>
      <c r="B1895" s="4" t="s">
        <v>751</v>
      </c>
      <c r="C1895" s="4" t="s">
        <v>283</v>
      </c>
      <c r="D1895" s="94">
        <v>1186.0</v>
      </c>
    </row>
    <row r="1896">
      <c r="A1896" s="40">
        <f t="array" ref="A1896">IFNA(index(PlayerValues!A:A,match(IFNA(vlookup(B1896,'Special Names'!A:B,2,FALSE),B1896),PlayerValues!E:E,0)),"N/A")</f>
        <v>15702</v>
      </c>
      <c r="B1896" s="4" t="s">
        <v>723</v>
      </c>
      <c r="C1896" s="4" t="s">
        <v>283</v>
      </c>
      <c r="D1896" s="94">
        <v>1175.0</v>
      </c>
    </row>
    <row r="1897">
      <c r="A1897" s="40">
        <f t="array" ref="A1897">IFNA(index(PlayerValues!A:A,match(IFNA(vlookup(B1897,'Special Names'!A:B,2,FALSE),B1897),PlayerValues!E:E,0)),"N/A")</f>
        <v>16636</v>
      </c>
      <c r="B1897" s="4" t="s">
        <v>699</v>
      </c>
      <c r="C1897" s="4" t="s">
        <v>287</v>
      </c>
      <c r="D1897" s="94">
        <v>1172.0</v>
      </c>
    </row>
    <row r="1898">
      <c r="A1898" s="40">
        <f t="array" ref="A1898">IFNA(index(PlayerValues!A:A,match(IFNA(vlookup(B1898,'Special Names'!A:B,2,FALSE),B1898),PlayerValues!E:E,0)),"N/A")</f>
        <v>16746</v>
      </c>
      <c r="B1898" s="4" t="s">
        <v>709</v>
      </c>
      <c r="C1898" s="4" t="s">
        <v>278</v>
      </c>
      <c r="D1898" s="94">
        <v>1167.0</v>
      </c>
    </row>
    <row r="1899">
      <c r="A1899" s="40">
        <f t="array" ref="A1899">IFNA(index(PlayerValues!A:A,match(IFNA(vlookup(B1899,'Special Names'!A:B,2,FALSE),B1899),PlayerValues!E:E,0)),"N/A")</f>
        <v>16199</v>
      </c>
      <c r="B1899" s="4" t="s">
        <v>687</v>
      </c>
      <c r="C1899" s="4" t="s">
        <v>287</v>
      </c>
      <c r="D1899" s="94">
        <v>1160.0</v>
      </c>
    </row>
    <row r="1900">
      <c r="A1900" s="40">
        <f t="array" ref="A1900">IFNA(index(PlayerValues!A:A,match(IFNA(vlookup(B1900,'Special Names'!A:B,2,FALSE),B1900),PlayerValues!E:E,0)),"N/A")</f>
        <v>16645</v>
      </c>
      <c r="B1900" s="4" t="s">
        <v>651</v>
      </c>
      <c r="C1900" s="4" t="s">
        <v>298</v>
      </c>
      <c r="D1900" s="94">
        <v>1526.0</v>
      </c>
    </row>
    <row r="1901">
      <c r="A1901" s="40">
        <f t="array" ref="A1901">IFNA(index(PlayerValues!A:A,match(IFNA(vlookup(B1901,'Special Names'!A:B,2,FALSE),B1901),PlayerValues!E:E,0)),"N/A")</f>
        <v>16883</v>
      </c>
      <c r="B1901" s="4" t="s">
        <v>683</v>
      </c>
      <c r="C1901" s="4" t="s">
        <v>287</v>
      </c>
      <c r="D1901" s="94">
        <v>1160.0</v>
      </c>
    </row>
    <row r="1902">
      <c r="A1902" s="40">
        <f t="array" ref="A1902">IFNA(index(PlayerValues!A:A,match(IFNA(vlookup(B1902,'Special Names'!A:B,2,FALSE),B1902),PlayerValues!E:E,0)),"N/A")</f>
        <v>12678</v>
      </c>
      <c r="B1902" s="4" t="s">
        <v>703</v>
      </c>
      <c r="C1902" s="4" t="s">
        <v>298</v>
      </c>
      <c r="D1902" s="94">
        <v>1524.0</v>
      </c>
    </row>
    <row r="1903">
      <c r="A1903" s="40">
        <f t="array" ref="A1903">IFNA(index(PlayerValues!A:A,match(IFNA(vlookup(B1903,'Special Names'!A:B,2,FALSE),B1903),PlayerValues!E:E,0)),"N/A")</f>
        <v>14789</v>
      </c>
      <c r="B1903" s="4" t="s">
        <v>721</v>
      </c>
      <c r="C1903" s="4" t="s">
        <v>283</v>
      </c>
      <c r="D1903" s="94">
        <v>1153.0</v>
      </c>
    </row>
    <row r="1904">
      <c r="A1904" s="40">
        <f t="array" ref="A1904">IFNA(index(PlayerValues!A:A,match(IFNA(vlookup(B1904,'Special Names'!A:B,2,FALSE),B1904),PlayerValues!E:E,0)),"N/A")</f>
        <v>17097</v>
      </c>
      <c r="B1904" s="4" t="s">
        <v>659</v>
      </c>
      <c r="C1904" s="4" t="s">
        <v>287</v>
      </c>
      <c r="D1904" s="94">
        <v>1148.0</v>
      </c>
    </row>
    <row r="1905">
      <c r="A1905" s="40">
        <f t="array" ref="A1905">IFNA(index(PlayerValues!A:A,match(IFNA(vlookup(B1905,'Special Names'!A:B,2,FALSE),B1905),PlayerValues!E:E,0)),"N/A")</f>
        <v>17054</v>
      </c>
      <c r="B1905" s="4" t="s">
        <v>670</v>
      </c>
      <c r="C1905" s="4" t="s">
        <v>278</v>
      </c>
      <c r="D1905" s="94">
        <v>1136.0</v>
      </c>
    </row>
    <row r="1906">
      <c r="A1906" s="40">
        <f t="array" ref="A1906">IFNA(index(PlayerValues!A:A,match(IFNA(vlookup(B1906,'Special Names'!A:B,2,FALSE),B1906),PlayerValues!E:E,0)),"N/A")</f>
        <v>17050</v>
      </c>
      <c r="B1906" s="4" t="s">
        <v>713</v>
      </c>
      <c r="C1906" s="4" t="s">
        <v>278</v>
      </c>
      <c r="D1906" s="94">
        <v>1135.0</v>
      </c>
    </row>
    <row r="1907">
      <c r="A1907" s="40">
        <f t="array" ref="A1907">IFNA(index(PlayerValues!A:A,match(IFNA(vlookup(B1907,'Special Names'!A:B,2,FALSE),B1907),PlayerValues!E:E,0)),"N/A")</f>
        <v>15692</v>
      </c>
      <c r="B1907" s="4" t="s">
        <v>750</v>
      </c>
      <c r="C1907" s="4" t="s">
        <v>283</v>
      </c>
      <c r="D1907" s="94">
        <v>1134.0</v>
      </c>
    </row>
    <row r="1908">
      <c r="A1908" s="40">
        <f t="array" ref="A1908">IFNA(index(PlayerValues!A:A,match(IFNA(vlookup(B1908,'Special Names'!A:B,2,FALSE),B1908),PlayerValues!E:E,0)),"N/A")</f>
        <v>14845</v>
      </c>
      <c r="B1908" s="4" t="s">
        <v>717</v>
      </c>
      <c r="C1908" s="4" t="s">
        <v>287</v>
      </c>
      <c r="D1908" s="94">
        <v>1133.0</v>
      </c>
    </row>
    <row r="1909">
      <c r="A1909" s="40">
        <f t="array" ref="A1909">IFNA(index(PlayerValues!A:A,match(IFNA(vlookup(B1909,'Special Names'!A:B,2,FALSE),B1909),PlayerValues!E:E,0)),"N/A")</f>
        <v>16221</v>
      </c>
      <c r="B1909" s="4" t="s">
        <v>725</v>
      </c>
      <c r="C1909" s="4" t="s">
        <v>298</v>
      </c>
      <c r="D1909" s="94">
        <v>1500.0</v>
      </c>
    </row>
    <row r="1910">
      <c r="A1910" s="40">
        <f t="array" ref="A1910">IFNA(index(PlayerValues!A:A,match(IFNA(vlookup(B1910,'Special Names'!A:B,2,FALSE),B1910),PlayerValues!E:E,0)),"N/A")</f>
        <v>17109</v>
      </c>
      <c r="B1910" s="4" t="s">
        <v>707</v>
      </c>
      <c r="C1910" s="4" t="s">
        <v>298</v>
      </c>
      <c r="D1910" s="94">
        <v>1490.0</v>
      </c>
    </row>
    <row r="1911">
      <c r="A1911" s="40">
        <f t="array" ref="A1911">IFNA(index(PlayerValues!A:A,match(IFNA(vlookup(B1911,'Special Names'!A:B,2,FALSE),B1911),PlayerValues!E:E,0)),"N/A")</f>
        <v>13289</v>
      </c>
      <c r="B1911" s="4" t="s">
        <v>746</v>
      </c>
      <c r="C1911" s="4" t="s">
        <v>287</v>
      </c>
      <c r="D1911" s="94">
        <v>1117.0</v>
      </c>
    </row>
    <row r="1912">
      <c r="A1912" s="40">
        <f t="array" ref="A1912">IFNA(index(PlayerValues!A:A,match(IFNA(vlookup(B1912,'Special Names'!A:B,2,FALSE),B1912),PlayerValues!E:E,0)),"N/A")</f>
        <v>16333</v>
      </c>
      <c r="B1912" s="4" t="s">
        <v>711</v>
      </c>
      <c r="C1912" s="4" t="s">
        <v>298</v>
      </c>
      <c r="D1912" s="94">
        <v>1481.0</v>
      </c>
    </row>
    <row r="1913">
      <c r="A1913" s="40">
        <f t="array" ref="A1913">IFNA(index(PlayerValues!A:A,match(IFNA(vlookup(B1913,'Special Names'!A:B,2,FALSE),B1913),PlayerValues!E:E,0)),"N/A")</f>
        <v>15239</v>
      </c>
      <c r="B1913" s="4" t="s">
        <v>802</v>
      </c>
      <c r="C1913" s="4" t="s">
        <v>283</v>
      </c>
      <c r="D1913" s="94">
        <v>1113.0</v>
      </c>
    </row>
    <row r="1914">
      <c r="A1914" s="40">
        <f t="array" ref="A1914">IFNA(index(PlayerValues!A:A,match(IFNA(vlookup(B1914,'Special Names'!A:B,2,FALSE),B1914),PlayerValues!E:E,0)),"N/A")</f>
        <v>17192</v>
      </c>
      <c r="B1914" s="4" t="s">
        <v>677</v>
      </c>
      <c r="C1914" s="4" t="s">
        <v>287</v>
      </c>
      <c r="D1914" s="94">
        <v>1104.0</v>
      </c>
    </row>
    <row r="1915">
      <c r="A1915" s="40">
        <f t="array" ref="A1915">IFNA(index(PlayerValues!A:A,match(IFNA(vlookup(B1915,'Special Names'!A:B,2,FALSE),B1915),PlayerValues!E:E,0)),"N/A")</f>
        <v>15288</v>
      </c>
      <c r="B1915" s="4" t="s">
        <v>700</v>
      </c>
      <c r="C1915" s="4" t="s">
        <v>287</v>
      </c>
      <c r="D1915" s="94">
        <v>1102.0</v>
      </c>
    </row>
    <row r="1916">
      <c r="A1916" s="40">
        <f t="array" ref="A1916">IFNA(index(PlayerValues!A:A,match(IFNA(vlookup(B1916,'Special Names'!A:B,2,FALSE),B1916),PlayerValues!E:E,0)),"N/A")</f>
        <v>16384</v>
      </c>
      <c r="B1916" s="4" t="s">
        <v>696</v>
      </c>
      <c r="C1916" s="4" t="s">
        <v>283</v>
      </c>
      <c r="D1916" s="94">
        <v>1098.0</v>
      </c>
    </row>
    <row r="1917">
      <c r="A1917" s="40">
        <f t="array" ref="A1917">IFNA(index(PlayerValues!A:A,match(IFNA(vlookup(B1917,'Special Names'!A:B,2,FALSE),B1917),PlayerValues!E:E,0)),"N/A")</f>
        <v>17175</v>
      </c>
      <c r="B1917" s="4" t="s">
        <v>747</v>
      </c>
      <c r="C1917" s="4" t="s">
        <v>287</v>
      </c>
      <c r="D1917" s="94">
        <v>1091.0</v>
      </c>
    </row>
    <row r="1918">
      <c r="A1918" s="40">
        <f t="array" ref="A1918">IFNA(index(PlayerValues!A:A,match(IFNA(vlookup(B1918,'Special Names'!A:B,2,FALSE),B1918),PlayerValues!E:E,0)),"N/A")</f>
        <v>15717</v>
      </c>
      <c r="B1918" s="4" t="s">
        <v>745</v>
      </c>
      <c r="C1918" s="4" t="s">
        <v>278</v>
      </c>
      <c r="D1918" s="94">
        <v>1083.0</v>
      </c>
    </row>
    <row r="1919">
      <c r="A1919" s="40">
        <f t="array" ref="A1919">IFNA(index(PlayerValues!A:A,match(IFNA(vlookup(B1919,'Special Names'!A:B,2,FALSE),B1919),PlayerValues!E:E,0)),"N/A")</f>
        <v>15718</v>
      </c>
      <c r="B1919" s="4" t="s">
        <v>753</v>
      </c>
      <c r="C1919" s="4" t="s">
        <v>278</v>
      </c>
      <c r="D1919" s="94">
        <v>1079.0</v>
      </c>
    </row>
    <row r="1920">
      <c r="A1920" s="40">
        <f t="array" ref="A1920">IFNA(index(PlayerValues!A:A,match(IFNA(vlookup(B1920,'Special Names'!A:B,2,FALSE),B1920),PlayerValues!E:E,0)),"N/A")</f>
        <v>16197</v>
      </c>
      <c r="B1920" s="4" t="s">
        <v>726</v>
      </c>
      <c r="C1920" s="4" t="s">
        <v>287</v>
      </c>
      <c r="D1920" s="94">
        <v>1073.0</v>
      </c>
    </row>
    <row r="1921">
      <c r="A1921" s="40">
        <f t="array" ref="A1921">IFNA(index(PlayerValues!A:A,match(IFNA(vlookup(B1921,'Special Names'!A:B,2,FALSE),B1921),PlayerValues!E:E,0)),"N/A")</f>
        <v>16219</v>
      </c>
      <c r="B1921" s="4" t="s">
        <v>739</v>
      </c>
      <c r="C1921" s="4" t="s">
        <v>298</v>
      </c>
      <c r="D1921" s="94">
        <v>1439.0</v>
      </c>
    </row>
    <row r="1922">
      <c r="A1922" s="40">
        <f t="array" ref="A1922">IFNA(index(PlayerValues!A:A,match(IFNA(vlookup(B1922,'Special Names'!A:B,2,FALSE),B1922),PlayerValues!E:E,0)),"N/A")</f>
        <v>13610</v>
      </c>
      <c r="B1922" s="4" t="s">
        <v>825</v>
      </c>
      <c r="C1922" s="4" t="s">
        <v>278</v>
      </c>
      <c r="D1922" s="94">
        <v>1069.0</v>
      </c>
    </row>
    <row r="1923">
      <c r="A1923" s="40">
        <f t="array" ref="A1923">IFNA(index(PlayerValues!A:A,match(IFNA(vlookup(B1923,'Special Names'!A:B,2,FALSE),B1923),PlayerValues!E:E,0)),"N/A")</f>
        <v>15730</v>
      </c>
      <c r="B1923" s="4" t="s">
        <v>734</v>
      </c>
      <c r="C1923" s="4" t="s">
        <v>278</v>
      </c>
      <c r="D1923" s="94">
        <v>1069.0</v>
      </c>
    </row>
    <row r="1924">
      <c r="A1924" s="40">
        <f t="array" ref="A1924">IFNA(index(PlayerValues!A:A,match(IFNA(vlookup(B1924,'Special Names'!A:B,2,FALSE),B1924),PlayerValues!E:E,0)),"N/A")</f>
        <v>16387</v>
      </c>
      <c r="B1924" s="4" t="s">
        <v>646</v>
      </c>
      <c r="C1924" s="4" t="s">
        <v>278</v>
      </c>
      <c r="D1924" s="94">
        <v>1056.0</v>
      </c>
    </row>
    <row r="1925">
      <c r="A1925" s="40">
        <f t="array" ref="A1925">IFNA(index(PlayerValues!A:A,match(IFNA(vlookup(B1925,'Special Names'!A:B,2,FALSE),B1925),PlayerValues!E:E,0)),"N/A")</f>
        <v>16640</v>
      </c>
      <c r="B1925" s="4" t="s">
        <v>712</v>
      </c>
      <c r="C1925" s="4" t="s">
        <v>287</v>
      </c>
      <c r="D1925" s="94">
        <v>1055.0</v>
      </c>
    </row>
    <row r="1926">
      <c r="A1926" s="40">
        <f t="array" ref="A1926">IFNA(index(PlayerValues!A:A,match(IFNA(vlookup(B1926,'Special Names'!A:B,2,FALSE),B1926),PlayerValues!E:E,0)),"N/A")</f>
        <v>14849</v>
      </c>
      <c r="B1926" s="4" t="s">
        <v>733</v>
      </c>
      <c r="C1926" s="4" t="s">
        <v>287</v>
      </c>
      <c r="D1926" s="94">
        <v>1042.0</v>
      </c>
    </row>
    <row r="1927">
      <c r="A1927" s="40">
        <f t="array" ref="A1927">IFNA(index(PlayerValues!A:A,match(IFNA(vlookup(B1927,'Special Names'!A:B,2,FALSE),B1927),PlayerValues!E:E,0)),"N/A")</f>
        <v>14118</v>
      </c>
      <c r="B1927" s="4" t="s">
        <v>771</v>
      </c>
      <c r="C1927" s="4" t="s">
        <v>287</v>
      </c>
      <c r="D1927" s="94">
        <v>1038.0</v>
      </c>
    </row>
    <row r="1928">
      <c r="A1928" s="40">
        <f t="array" ref="A1928">IFNA(index(PlayerValues!A:A,match(IFNA(vlookup(B1928,'Special Names'!A:B,2,FALSE),B1928),PlayerValues!E:E,0)),"N/A")</f>
        <v>15720</v>
      </c>
      <c r="B1928" s="4" t="s">
        <v>795</v>
      </c>
      <c r="C1928" s="4" t="s">
        <v>278</v>
      </c>
      <c r="D1928" s="94">
        <v>1033.0</v>
      </c>
    </row>
    <row r="1929">
      <c r="A1929" s="40">
        <f t="array" ref="A1929">IFNA(index(PlayerValues!A:A,match(IFNA(vlookup(B1929,'Special Names'!A:B,2,FALSE),B1929),PlayerValues!E:E,0)),"N/A")</f>
        <v>15693</v>
      </c>
      <c r="B1929" s="4" t="s">
        <v>755</v>
      </c>
      <c r="C1929" s="4" t="s">
        <v>283</v>
      </c>
      <c r="D1929" s="94">
        <v>1029.0</v>
      </c>
    </row>
    <row r="1930">
      <c r="A1930" s="40">
        <f t="array" ref="A1930">IFNA(index(PlayerValues!A:A,match(IFNA(vlookup(B1930,'Special Names'!A:B,2,FALSE),B1930),PlayerValues!E:E,0)),"N/A")</f>
        <v>15785</v>
      </c>
      <c r="B1930" s="4" t="s">
        <v>763</v>
      </c>
      <c r="C1930" s="4" t="s">
        <v>287</v>
      </c>
      <c r="D1930" s="94">
        <v>1027.0</v>
      </c>
    </row>
    <row r="1931">
      <c r="A1931" s="40">
        <f t="array" ref="A1931">IFNA(index(PlayerValues!A:A,match(IFNA(vlookup(B1931,'Special Names'!A:B,2,FALSE),B1931),PlayerValues!E:E,0)),"N/A")</f>
        <v>13143</v>
      </c>
      <c r="B1931" s="4" t="s">
        <v>786</v>
      </c>
      <c r="C1931" s="4" t="s">
        <v>278</v>
      </c>
      <c r="D1931" s="94">
        <v>1024.0</v>
      </c>
    </row>
    <row r="1932">
      <c r="A1932" s="40">
        <f t="array" ref="A1932">IFNA(index(PlayerValues!A:A,match(IFNA(vlookup(B1932,'Special Names'!A:B,2,FALSE),B1932),PlayerValues!E:E,0)),"N/A")</f>
        <v>15626</v>
      </c>
      <c r="B1932" s="4" t="s">
        <v>766</v>
      </c>
      <c r="C1932" s="4" t="s">
        <v>298</v>
      </c>
      <c r="D1932" s="94">
        <v>1389.0</v>
      </c>
    </row>
    <row r="1933">
      <c r="A1933" s="40">
        <f t="array" ref="A1933">IFNA(index(PlayerValues!A:A,match(IFNA(vlookup(B1933,'Special Names'!A:B,2,FALSE),B1933),PlayerValues!E:E,0)),"N/A")</f>
        <v>16637</v>
      </c>
      <c r="B1933" s="4" t="s">
        <v>736</v>
      </c>
      <c r="C1933" s="4" t="s">
        <v>287</v>
      </c>
      <c r="D1933" s="94">
        <v>1014.0</v>
      </c>
    </row>
    <row r="1934">
      <c r="A1934" s="40">
        <f t="array" ref="A1934">IFNA(index(PlayerValues!A:A,match(IFNA(vlookup(B1934,'Special Names'!A:B,2,FALSE),B1934),PlayerValues!E:E,0)),"N/A")</f>
        <v>15283</v>
      </c>
      <c r="B1934" s="4" t="s">
        <v>844</v>
      </c>
      <c r="C1934" s="4" t="s">
        <v>287</v>
      </c>
      <c r="D1934" s="94">
        <v>1006.0</v>
      </c>
    </row>
    <row r="1935">
      <c r="A1935" s="40">
        <f t="array" ref="A1935">IFNA(index(PlayerValues!A:A,match(IFNA(vlookup(B1935,'Special Names'!A:B,2,FALSE),B1935),PlayerValues!E:E,0)),"N/A")</f>
        <v>17057</v>
      </c>
      <c r="B1935" s="4" t="s">
        <v>708</v>
      </c>
      <c r="C1935" s="4" t="s">
        <v>278</v>
      </c>
      <c r="D1935" s="94">
        <v>1005.0</v>
      </c>
    </row>
    <row r="1936">
      <c r="A1936" s="40">
        <f t="array" ref="A1936">IFNA(index(PlayerValues!A:A,match(IFNA(vlookup(B1936,'Special Names'!A:B,2,FALSE),B1936),PlayerValues!E:E,0)),"N/A")</f>
        <v>17467</v>
      </c>
      <c r="B1936" s="4" t="s">
        <v>575</v>
      </c>
      <c r="C1936" s="4" t="s">
        <v>283</v>
      </c>
      <c r="D1936" s="94">
        <v>1003.0</v>
      </c>
    </row>
    <row r="1937">
      <c r="A1937" s="40">
        <f t="array" ref="A1937">IFNA(index(PlayerValues!A:A,match(IFNA(vlookup(B1937,'Special Names'!A:B,2,FALSE),B1937),PlayerValues!E:E,0)),"N/A")</f>
        <v>16168</v>
      </c>
      <c r="B1937" s="4" t="s">
        <v>738</v>
      </c>
      <c r="C1937" s="4" t="s">
        <v>278</v>
      </c>
      <c r="D1937" s="94">
        <v>1000.0</v>
      </c>
    </row>
    <row r="1938">
      <c r="A1938" s="40">
        <f t="array" ref="A1938">IFNA(index(PlayerValues!A:A,match(IFNA(vlookup(B1938,'Special Names'!A:B,2,FALSE),B1938),PlayerValues!E:E,0)),"N/A")</f>
        <v>16393</v>
      </c>
      <c r="B1938" s="4" t="s">
        <v>768</v>
      </c>
      <c r="C1938" s="4" t="s">
        <v>287</v>
      </c>
      <c r="D1938" s="94">
        <v>998.0</v>
      </c>
    </row>
    <row r="1939">
      <c r="A1939" s="40">
        <f t="array" ref="A1939">IFNA(index(PlayerValues!A:A,match(IFNA(vlookup(B1939,'Special Names'!A:B,2,FALSE),B1939),PlayerValues!E:E,0)),"N/A")</f>
        <v>16648</v>
      </c>
      <c r="B1939" s="4" t="s">
        <v>748</v>
      </c>
      <c r="C1939" s="4" t="s">
        <v>298</v>
      </c>
      <c r="D1939" s="94">
        <v>1366.0</v>
      </c>
    </row>
    <row r="1940">
      <c r="A1940" s="40">
        <f t="array" ref="A1940">IFNA(index(PlayerValues!A:A,match(IFNA(vlookup(B1940,'Special Names'!A:B,2,FALSE),B1940),PlayerValues!E:E,0)),"N/A")</f>
        <v>16159</v>
      </c>
      <c r="B1940" s="4" t="s">
        <v>819</v>
      </c>
      <c r="C1940" s="4" t="s">
        <v>283</v>
      </c>
      <c r="D1940" s="94">
        <v>993.0</v>
      </c>
    </row>
    <row r="1941">
      <c r="A1941" s="40">
        <f t="array" ref="A1941">IFNA(index(PlayerValues!A:A,match(IFNA(vlookup(B1941,'Special Names'!A:B,2,FALSE),B1941),PlayerValues!E:E,0)),"N/A")</f>
        <v>16858</v>
      </c>
      <c r="B1941" s="4" t="s">
        <v>754</v>
      </c>
      <c r="C1941" s="4" t="s">
        <v>287</v>
      </c>
      <c r="D1941" s="94">
        <v>990.0</v>
      </c>
    </row>
    <row r="1942">
      <c r="A1942" s="40">
        <f t="array" ref="A1942">IFNA(index(PlayerValues!A:A,match(IFNA(vlookup(B1942,'Special Names'!A:B,2,FALSE),B1942),PlayerValues!E:E,0)),"N/A")</f>
        <v>15330</v>
      </c>
      <c r="B1942" s="4" t="s">
        <v>749</v>
      </c>
      <c r="C1942" s="4" t="s">
        <v>298</v>
      </c>
      <c r="D1942" s="94">
        <v>1354.0</v>
      </c>
    </row>
    <row r="1943">
      <c r="A1943" s="40">
        <f t="array" ref="A1943">IFNA(index(PlayerValues!A:A,match(IFNA(vlookup(B1943,'Special Names'!A:B,2,FALSE),B1943),PlayerValues!E:E,0)),"N/A")</f>
        <v>16957</v>
      </c>
      <c r="B1943" s="4" t="s">
        <v>806</v>
      </c>
      <c r="C1943" s="4" t="s">
        <v>278</v>
      </c>
      <c r="D1943" s="94">
        <v>961.0</v>
      </c>
    </row>
    <row r="1944">
      <c r="A1944" s="40">
        <f t="array" ref="A1944">IFNA(index(PlayerValues!A:A,match(IFNA(vlookup(B1944,'Special Names'!A:B,2,FALSE),B1944),PlayerValues!E:E,0)),"N/A")</f>
        <v>9064</v>
      </c>
      <c r="B1944" s="4" t="s">
        <v>761</v>
      </c>
      <c r="C1944" s="4" t="s">
        <v>283</v>
      </c>
      <c r="D1944" s="94">
        <v>950.0</v>
      </c>
    </row>
    <row r="1945">
      <c r="A1945" s="40">
        <f t="array" ref="A1945">IFNA(index(PlayerValues!A:A,match(IFNA(vlookup(B1945,'Special Names'!A:B,2,FALSE),B1945),PlayerValues!E:E,0)),"N/A")</f>
        <v>14067</v>
      </c>
      <c r="B1945" s="4" t="s">
        <v>735</v>
      </c>
      <c r="C1945" s="4" t="s">
        <v>283</v>
      </c>
      <c r="D1945" s="94">
        <v>947.0</v>
      </c>
    </row>
    <row r="1946">
      <c r="A1946" s="40">
        <f t="array" ref="A1946">IFNA(index(PlayerValues!A:A,match(IFNA(vlookup(B1946,'Special Names'!A:B,2,FALSE),B1946),PlayerValues!E:E,0)),"N/A")</f>
        <v>15766</v>
      </c>
      <c r="B1946" s="4" t="s">
        <v>759</v>
      </c>
      <c r="C1946" s="4" t="s">
        <v>287</v>
      </c>
      <c r="D1946" s="94">
        <v>946.0</v>
      </c>
    </row>
    <row r="1947">
      <c r="A1947" s="40">
        <f t="array" ref="A1947">IFNA(index(PlayerValues!A:A,match(IFNA(vlookup(B1947,'Special Names'!A:B,2,FALSE),B1947),PlayerValues!E:E,0)),"N/A")</f>
        <v>14852</v>
      </c>
      <c r="B1947" s="4" t="s">
        <v>837</v>
      </c>
      <c r="C1947" s="4" t="s">
        <v>278</v>
      </c>
      <c r="D1947" s="94">
        <v>945.0</v>
      </c>
    </row>
    <row r="1948">
      <c r="A1948" s="40">
        <f t="array" ref="A1948">IFNA(index(PlayerValues!A:A,match(IFNA(vlookup(B1948,'Special Names'!A:B,2,FALSE),B1948),PlayerValues!E:E,0)),"N/A")</f>
        <v>16205</v>
      </c>
      <c r="B1948" s="4" t="s">
        <v>742</v>
      </c>
      <c r="C1948" s="4" t="s">
        <v>287</v>
      </c>
      <c r="D1948" s="94">
        <v>945.0</v>
      </c>
    </row>
    <row r="1949">
      <c r="A1949" s="40">
        <f t="array" ref="A1949">IFNA(index(PlayerValues!A:A,match(IFNA(vlookup(B1949,'Special Names'!A:B,2,FALSE),B1949),PlayerValues!E:E,0)),"N/A")</f>
        <v>17337</v>
      </c>
      <c r="B1949" s="4" t="s">
        <v>793</v>
      </c>
      <c r="C1949" s="4" t="s">
        <v>278</v>
      </c>
      <c r="D1949" s="94">
        <v>942.0</v>
      </c>
    </row>
    <row r="1950">
      <c r="A1950" s="40">
        <f t="array" ref="A1950">IFNA(index(PlayerValues!A:A,match(IFNA(vlookup(B1950,'Special Names'!A:B,2,FALSE),B1950),PlayerValues!E:E,0)),"N/A")</f>
        <v>13156</v>
      </c>
      <c r="B1950" s="4" t="s">
        <v>835</v>
      </c>
      <c r="C1950" s="4" t="s">
        <v>287</v>
      </c>
      <c r="D1950" s="94">
        <v>938.0</v>
      </c>
    </row>
    <row r="1951">
      <c r="A1951" s="40">
        <f t="array" ref="A1951">IFNA(index(PlayerValues!A:A,match(IFNA(vlookup(B1951,'Special Names'!A:B,2,FALSE),B1951),PlayerValues!E:E,0)),"N/A")</f>
        <v>13133</v>
      </c>
      <c r="B1951" s="4" t="s">
        <v>764</v>
      </c>
      <c r="C1951" s="4" t="s">
        <v>278</v>
      </c>
      <c r="D1951" s="94">
        <v>937.0</v>
      </c>
    </row>
    <row r="1952">
      <c r="A1952" s="40">
        <f t="array" ref="A1952">IFNA(index(PlayerValues!A:A,match(IFNA(vlookup(B1952,'Special Names'!A:B,2,FALSE),B1952),PlayerValues!E:E,0)),"N/A")</f>
        <v>14864</v>
      </c>
      <c r="B1952" s="4" t="s">
        <v>789</v>
      </c>
      <c r="C1952" s="4" t="s">
        <v>287</v>
      </c>
      <c r="D1952" s="94">
        <v>932.0</v>
      </c>
    </row>
    <row r="1953">
      <c r="A1953" s="40">
        <f t="array" ref="A1953">IFNA(index(PlayerValues!A:A,match(IFNA(vlookup(B1953,'Special Names'!A:B,2,FALSE),B1953),PlayerValues!E:E,0)),"N/A")</f>
        <v>14057</v>
      </c>
      <c r="B1953" s="4" t="s">
        <v>765</v>
      </c>
      <c r="C1953" s="4" t="s">
        <v>283</v>
      </c>
      <c r="D1953" s="94">
        <v>929.0</v>
      </c>
    </row>
    <row r="1954">
      <c r="A1954" s="40">
        <f t="array" ref="A1954">IFNA(index(PlayerValues!A:A,match(IFNA(vlookup(B1954,'Special Names'!A:B,2,FALSE),B1954),PlayerValues!E:E,0)),"N/A")</f>
        <v>13595</v>
      </c>
      <c r="B1954" s="4" t="s">
        <v>818</v>
      </c>
      <c r="C1954" s="4" t="s">
        <v>283</v>
      </c>
      <c r="D1954" s="94">
        <v>929.0</v>
      </c>
    </row>
    <row r="1955">
      <c r="A1955" s="40">
        <f t="array" ref="A1955">IFNA(index(PlayerValues!A:A,match(IFNA(vlookup(B1955,'Special Names'!A:B,2,FALSE),B1955),PlayerValues!E:E,0)),"N/A")</f>
        <v>15109</v>
      </c>
      <c r="B1955" s="4" t="s">
        <v>728</v>
      </c>
      <c r="C1955" s="4" t="s">
        <v>287</v>
      </c>
      <c r="D1955" s="94">
        <v>927.0</v>
      </c>
    </row>
    <row r="1956">
      <c r="A1956" s="40">
        <f t="array" ref="A1956">IFNA(index(PlayerValues!A:A,match(IFNA(vlookup(B1956,'Special Names'!A:B,2,FALSE),B1956),PlayerValues!E:E,0)),"N/A")</f>
        <v>12785</v>
      </c>
      <c r="B1956" s="4" t="s">
        <v>772</v>
      </c>
      <c r="C1956" s="4" t="s">
        <v>287</v>
      </c>
      <c r="D1956" s="94">
        <v>924.0</v>
      </c>
    </row>
    <row r="1957">
      <c r="A1957" s="40">
        <f t="array" ref="A1957">IFNA(index(PlayerValues!A:A,match(IFNA(vlookup(B1957,'Special Names'!A:B,2,FALSE),B1957),PlayerValues!E:E,0)),"N/A")</f>
        <v>16624</v>
      </c>
      <c r="B1957" s="4" t="s">
        <v>796</v>
      </c>
      <c r="C1957" s="4" t="s">
        <v>287</v>
      </c>
      <c r="D1957" s="94">
        <v>922.0</v>
      </c>
    </row>
    <row r="1958">
      <c r="A1958" s="40">
        <f t="array" ref="A1958">IFNA(index(PlayerValues!A:A,match(IFNA(vlookup(B1958,'Special Names'!A:B,2,FALSE),B1958),PlayerValues!E:E,0)),"N/A")</f>
        <v>14079</v>
      </c>
      <c r="B1958" s="4" t="s">
        <v>830</v>
      </c>
      <c r="C1958" s="4" t="s">
        <v>278</v>
      </c>
      <c r="D1958" s="94">
        <v>919.0</v>
      </c>
    </row>
    <row r="1959">
      <c r="A1959" s="40">
        <f t="array" ref="A1959">IFNA(index(PlayerValues!A:A,match(IFNA(vlookup(B1959,'Special Names'!A:B,2,FALSE),B1959),PlayerValues!E:E,0)),"N/A")</f>
        <v>11247</v>
      </c>
      <c r="B1959" s="4" t="s">
        <v>816</v>
      </c>
      <c r="C1959" s="4" t="s">
        <v>298</v>
      </c>
      <c r="D1959" s="94">
        <v>1280.0</v>
      </c>
    </row>
    <row r="1960">
      <c r="A1960" s="40">
        <f t="array" ref="A1960">IFNA(index(PlayerValues!A:A,match(IFNA(vlookup(B1960,'Special Names'!A:B,2,FALSE),B1960),PlayerValues!E:E,0)),"N/A")</f>
        <v>16176</v>
      </c>
      <c r="B1960" s="4" t="s">
        <v>812</v>
      </c>
      <c r="C1960" s="4" t="s">
        <v>278</v>
      </c>
      <c r="D1960" s="94">
        <v>907.0</v>
      </c>
    </row>
    <row r="1961">
      <c r="A1961" s="40">
        <f t="array" ref="A1961">IFNA(index(PlayerValues!A:A,match(IFNA(vlookup(B1961,'Special Names'!A:B,2,FALSE),B1961),PlayerValues!E:E,0)),"N/A")</f>
        <v>17488</v>
      </c>
      <c r="B1961" s="4" t="s">
        <v>845</v>
      </c>
      <c r="C1961" s="4" t="s">
        <v>278</v>
      </c>
      <c r="D1961" s="94">
        <v>907.0</v>
      </c>
    </row>
    <row r="1962">
      <c r="A1962" s="40">
        <f t="array" ref="A1962">IFNA(index(PlayerValues!A:A,match(IFNA(vlookup(B1962,'Special Names'!A:B,2,FALSE),B1962),PlayerValues!E:E,0)),"N/A")</f>
        <v>15723</v>
      </c>
      <c r="B1962" s="4" t="s">
        <v>798</v>
      </c>
      <c r="C1962" s="4" t="s">
        <v>278</v>
      </c>
      <c r="D1962" s="94">
        <v>904.0</v>
      </c>
    </row>
    <row r="1963">
      <c r="A1963" s="40">
        <f t="array" ref="A1963">IFNA(index(PlayerValues!A:A,match(IFNA(vlookup(B1963,'Special Names'!A:B,2,FALSE),B1963),PlayerValues!E:E,0)),"N/A")</f>
        <v>16773</v>
      </c>
      <c r="B1963" s="4" t="s">
        <v>783</v>
      </c>
      <c r="C1963" s="4" t="s">
        <v>278</v>
      </c>
      <c r="D1963" s="94">
        <v>900.0</v>
      </c>
    </row>
    <row r="1964">
      <c r="A1964" s="40">
        <f t="array" ref="A1964">IFNA(index(PlayerValues!A:A,match(IFNA(vlookup(B1964,'Special Names'!A:B,2,FALSE),B1964),PlayerValues!E:E,0)),"N/A")</f>
        <v>13763</v>
      </c>
      <c r="B1964" s="4" t="s">
        <v>831</v>
      </c>
      <c r="C1964" s="4" t="s">
        <v>298</v>
      </c>
      <c r="D1964" s="94">
        <v>1270.0</v>
      </c>
    </row>
    <row r="1965">
      <c r="A1965" s="40">
        <f t="array" ref="A1965">IFNA(index(PlayerValues!A:A,match(IFNA(vlookup(B1965,'Special Names'!A:B,2,FALSE),B1965),PlayerValues!E:E,0)),"N/A")</f>
        <v>16599</v>
      </c>
      <c r="B1965" s="4" t="s">
        <v>737</v>
      </c>
      <c r="C1965" s="4" t="s">
        <v>278</v>
      </c>
      <c r="D1965" s="94">
        <v>894.0</v>
      </c>
    </row>
    <row r="1966">
      <c r="A1966" s="40">
        <f t="array" ref="A1966">IFNA(index(PlayerValues!A:A,match(IFNA(vlookup(B1966,'Special Names'!A:B,2,FALSE),B1966),PlayerValues!E:E,0)),"N/A")</f>
        <v>11232</v>
      </c>
      <c r="B1966" s="4" t="s">
        <v>826</v>
      </c>
      <c r="C1966" s="4" t="s">
        <v>287</v>
      </c>
      <c r="D1966" s="94">
        <v>878.0</v>
      </c>
    </row>
    <row r="1967">
      <c r="A1967" s="40">
        <f t="array" ref="A1967">IFNA(index(PlayerValues!A:A,match(IFNA(vlookup(B1967,'Special Names'!A:B,2,FALSE),B1967),PlayerValues!E:E,0)),"N/A")</f>
        <v>16686</v>
      </c>
      <c r="B1967" s="4" t="s">
        <v>805</v>
      </c>
      <c r="C1967" s="4" t="s">
        <v>287</v>
      </c>
      <c r="D1967" s="94">
        <v>877.0</v>
      </c>
    </row>
    <row r="1968">
      <c r="A1968" s="40">
        <f t="array" ref="A1968">IFNA(index(PlayerValues!A:A,match(IFNA(vlookup(B1968,'Special Names'!A:B,2,FALSE),B1968),PlayerValues!E:E,0)),"N/A")</f>
        <v>14799</v>
      </c>
      <c r="B1968" s="4" t="s">
        <v>829</v>
      </c>
      <c r="C1968" s="4" t="s">
        <v>278</v>
      </c>
      <c r="D1968" s="94">
        <v>870.0</v>
      </c>
    </row>
    <row r="1969">
      <c r="A1969" s="40">
        <f t="array" ref="A1969">IFNA(index(PlayerValues!A:A,match(IFNA(vlookup(B1969,'Special Names'!A:B,2,FALSE),B1969),PlayerValues!E:E,0)),"N/A")</f>
        <v>15796</v>
      </c>
      <c r="B1969" s="4" t="s">
        <v>794</v>
      </c>
      <c r="C1969" s="4" t="s">
        <v>298</v>
      </c>
      <c r="D1969" s="94">
        <v>1242.0</v>
      </c>
    </row>
    <row r="1970">
      <c r="A1970" s="40">
        <f t="array" ref="A1970">IFNA(index(PlayerValues!A:A,match(IFNA(vlookup(B1970,'Special Names'!A:B,2,FALSE),B1970),PlayerValues!E:E,0)),"N/A")</f>
        <v>15263</v>
      </c>
      <c r="B1970" s="4" t="s">
        <v>804</v>
      </c>
      <c r="C1970" s="4" t="s">
        <v>278</v>
      </c>
      <c r="D1970" s="94">
        <v>869.0</v>
      </c>
    </row>
    <row r="1971">
      <c r="A1971" s="40">
        <f t="array" ref="A1971">IFNA(index(PlayerValues!A:A,match(IFNA(vlookup(B1971,'Special Names'!A:B,2,FALSE),B1971),PlayerValues!E:E,0)),"N/A")</f>
        <v>16416</v>
      </c>
      <c r="B1971" s="4" t="s">
        <v>752</v>
      </c>
      <c r="C1971" s="4" t="s">
        <v>287</v>
      </c>
      <c r="D1971" s="94">
        <v>869.0</v>
      </c>
    </row>
    <row r="1972">
      <c r="A1972" s="40">
        <f t="array" ref="A1972">IFNA(index(PlayerValues!A:A,match(IFNA(vlookup(B1972,'Special Names'!A:B,2,FALSE),B1972),PlayerValues!E:E,0)),"N/A")</f>
        <v>13157</v>
      </c>
      <c r="B1972" s="4" t="s">
        <v>836</v>
      </c>
      <c r="C1972" s="4" t="s">
        <v>287</v>
      </c>
      <c r="D1972" s="94">
        <v>868.0</v>
      </c>
    </row>
    <row r="1973">
      <c r="A1973" s="40">
        <f t="array" ref="A1973">IFNA(index(PlayerValues!A:A,match(IFNA(vlookup(B1973,'Special Names'!A:B,2,FALSE),B1973),PlayerValues!E:E,0)),"N/A")</f>
        <v>16608</v>
      </c>
      <c r="B1973" s="4" t="s">
        <v>629</v>
      </c>
      <c r="C1973" s="4" t="s">
        <v>278</v>
      </c>
      <c r="D1973" s="94">
        <v>860.0</v>
      </c>
    </row>
    <row r="1974">
      <c r="A1974" s="40">
        <f t="array" ref="A1974">IFNA(index(PlayerValues!A:A,match(IFNA(vlookup(B1974,'Special Names'!A:B,2,FALSE),B1974),PlayerValues!E:E,0)),"N/A")</f>
        <v>16751</v>
      </c>
      <c r="B1974" s="4" t="s">
        <v>762</v>
      </c>
      <c r="C1974" s="4" t="s">
        <v>287</v>
      </c>
      <c r="D1974" s="94">
        <v>859.0</v>
      </c>
    </row>
    <row r="1975">
      <c r="A1975" s="40">
        <f t="array" ref="A1975">IFNA(index(PlayerValues!A:A,match(IFNA(vlookup(B1975,'Special Names'!A:B,2,FALSE),B1975),PlayerValues!E:E,0)),"N/A")</f>
        <v>15714</v>
      </c>
      <c r="B1975" s="4" t="s">
        <v>775</v>
      </c>
      <c r="C1975" s="4" t="s">
        <v>278</v>
      </c>
      <c r="D1975" s="94">
        <v>855.0</v>
      </c>
    </row>
    <row r="1976">
      <c r="A1976" s="40">
        <f t="array" ref="A1976">IFNA(index(PlayerValues!A:A,match(IFNA(vlookup(B1976,'Special Names'!A:B,2,FALSE),B1976),PlayerValues!E:E,0)),"N/A")</f>
        <v>15804</v>
      </c>
      <c r="B1976" s="4" t="s">
        <v>821</v>
      </c>
      <c r="C1976" s="4" t="s">
        <v>298</v>
      </c>
      <c r="D1976" s="94">
        <v>1226.0</v>
      </c>
    </row>
    <row r="1977">
      <c r="A1977" s="40">
        <f t="array" ref="A1977">IFNA(index(PlayerValues!A:A,match(IFNA(vlookup(B1977,'Special Names'!A:B,2,FALSE),B1977),PlayerValues!E:E,0)),"N/A")</f>
        <v>16623</v>
      </c>
      <c r="B1977" s="4" t="s">
        <v>803</v>
      </c>
      <c r="C1977" s="4" t="s">
        <v>287</v>
      </c>
      <c r="D1977" s="94">
        <v>847.0</v>
      </c>
    </row>
    <row r="1978">
      <c r="A1978" s="40">
        <f t="array" ref="A1978">IFNA(index(PlayerValues!A:A,match(IFNA(vlookup(B1978,'Special Names'!A:B,2,FALSE),B1978),PlayerValues!E:E,0)),"N/A")</f>
        <v>13172</v>
      </c>
      <c r="B1978" s="4" t="s">
        <v>840</v>
      </c>
      <c r="C1978" s="4" t="s">
        <v>287</v>
      </c>
      <c r="D1978" s="94">
        <v>845.0</v>
      </c>
    </row>
    <row r="1979">
      <c r="A1979" s="40">
        <f t="array" ref="A1979">IFNA(index(PlayerValues!A:A,match(IFNA(vlookup(B1979,'Special Names'!A:B,2,FALSE),B1979),PlayerValues!E:E,0)),"N/A")</f>
        <v>15795</v>
      </c>
      <c r="B1979" s="4" t="s">
        <v>669</v>
      </c>
      <c r="C1979" s="4" t="s">
        <v>298</v>
      </c>
      <c r="D1979" s="94">
        <v>1209.0</v>
      </c>
    </row>
    <row r="1980">
      <c r="A1980" s="40">
        <f t="array" ref="A1980">IFNA(index(PlayerValues!A:A,match(IFNA(vlookup(B1980,'Special Names'!A:B,2,FALSE),B1980),PlayerValues!E:E,0)),"N/A")</f>
        <v>16625</v>
      </c>
      <c r="B1980" s="4" t="s">
        <v>778</v>
      </c>
      <c r="C1980" s="4" t="s">
        <v>287</v>
      </c>
      <c r="D1980" s="94">
        <v>830.0</v>
      </c>
    </row>
    <row r="1981">
      <c r="A1981" s="40">
        <f t="array" ref="A1981">IFNA(index(PlayerValues!A:A,match(IFNA(vlookup(B1981,'Special Names'!A:B,2,FALSE),B1981),PlayerValues!E:E,0)),"N/A")</f>
        <v>14209</v>
      </c>
      <c r="B1981" s="4" t="s">
        <v>809</v>
      </c>
      <c r="C1981" s="4" t="s">
        <v>298</v>
      </c>
      <c r="D1981" s="94">
        <v>1198.0</v>
      </c>
    </row>
    <row r="1982">
      <c r="A1982" s="40">
        <f t="array" ref="A1982">IFNA(index(PlayerValues!A:A,match(IFNA(vlookup(B1982,'Special Names'!A:B,2,FALSE),B1982),PlayerValues!E:E,0)),"N/A")</f>
        <v>15271</v>
      </c>
      <c r="B1982" s="4" t="s">
        <v>741</v>
      </c>
      <c r="C1982" s="4" t="s">
        <v>278</v>
      </c>
      <c r="D1982" s="94">
        <v>810.0</v>
      </c>
    </row>
    <row r="1983">
      <c r="A1983" s="40">
        <f t="array" ref="A1983">IFNA(index(PlayerValues!A:A,match(IFNA(vlookup(B1983,'Special Names'!A:B,2,FALSE),B1983),PlayerValues!E:E,0)),"N/A")</f>
        <v>10413</v>
      </c>
      <c r="B1983" s="4" t="s">
        <v>811</v>
      </c>
      <c r="C1983" s="4" t="s">
        <v>283</v>
      </c>
      <c r="D1983" s="94">
        <v>808.0</v>
      </c>
    </row>
    <row r="1984">
      <c r="A1984" s="40">
        <f t="array" ref="A1984">IFNA(index(PlayerValues!A:A,match(IFNA(vlookup(B1984,'Special Names'!A:B,2,FALSE),B1984),PlayerValues!E:E,0)),"N/A")</f>
        <v>12658</v>
      </c>
      <c r="B1984" s="4" t="s">
        <v>823</v>
      </c>
      <c r="C1984" s="4" t="s">
        <v>287</v>
      </c>
      <c r="D1984" s="94">
        <v>807.0</v>
      </c>
    </row>
    <row r="1985">
      <c r="A1985" s="40">
        <f t="array" ref="A1985">IFNA(index(PlayerValues!A:A,match(IFNA(vlookup(B1985,'Special Names'!A:B,2,FALSE),B1985),PlayerValues!E:E,0)),"N/A")</f>
        <v>16606</v>
      </c>
      <c r="B1985" s="4" t="s">
        <v>743</v>
      </c>
      <c r="C1985" s="4" t="s">
        <v>278</v>
      </c>
      <c r="D1985" s="94">
        <v>800.0</v>
      </c>
    </row>
    <row r="1986">
      <c r="A1986" s="40">
        <f t="array" ref="A1986">IFNA(index(PlayerValues!A:A,match(IFNA(vlookup(B1986,'Special Names'!A:B,2,FALSE),B1986),PlayerValues!E:E,0)),"N/A")</f>
        <v>13176</v>
      </c>
      <c r="B1986" s="4" t="s">
        <v>807</v>
      </c>
      <c r="C1986" s="4" t="s">
        <v>287</v>
      </c>
      <c r="D1986" s="94">
        <v>796.0</v>
      </c>
    </row>
    <row r="1987">
      <c r="A1987" s="40">
        <f t="array" ref="A1987">IFNA(index(PlayerValues!A:A,match(IFNA(vlookup(B1987,'Special Names'!A:B,2,FALSE),B1987),PlayerValues!E:E,0)),"N/A")</f>
        <v>14358</v>
      </c>
      <c r="B1987" s="4" t="s">
        <v>813</v>
      </c>
      <c r="C1987" s="4" t="s">
        <v>283</v>
      </c>
      <c r="D1987" s="94">
        <v>784.0</v>
      </c>
    </row>
    <row r="1988">
      <c r="A1988" s="40">
        <f t="array" ref="A1988">IFNA(index(PlayerValues!A:A,match(IFNA(vlookup(B1988,'Special Names'!A:B,2,FALSE),B1988),PlayerValues!E:E,0)),"N/A")</f>
        <v>15285</v>
      </c>
      <c r="B1988" s="4" t="s">
        <v>792</v>
      </c>
      <c r="C1988" s="4" t="s">
        <v>287</v>
      </c>
      <c r="D1988" s="94">
        <v>784.0</v>
      </c>
    </row>
    <row r="1989">
      <c r="A1989" s="40">
        <f t="array" ref="A1989">IFNA(index(PlayerValues!A:A,match(IFNA(vlookup(B1989,'Special Names'!A:B,2,FALSE),B1989),PlayerValues!E:E,0)),"N/A")</f>
        <v>16413</v>
      </c>
      <c r="B1989" s="4" t="s">
        <v>781</v>
      </c>
      <c r="C1989" s="4" t="s">
        <v>287</v>
      </c>
      <c r="D1989" s="94">
        <v>783.0</v>
      </c>
    </row>
    <row r="1990">
      <c r="A1990" s="40">
        <f t="array" ref="A1990">IFNA(index(PlayerValues!A:A,match(IFNA(vlookup(B1990,'Special Names'!A:B,2,FALSE),B1990),PlayerValues!E:E,0)),"N/A")</f>
        <v>17282</v>
      </c>
      <c r="B1990" s="4" t="s">
        <v>833</v>
      </c>
      <c r="C1990" s="4" t="s">
        <v>283</v>
      </c>
      <c r="D1990" s="94">
        <v>778.0</v>
      </c>
    </row>
    <row r="1991">
      <c r="A1991" s="40">
        <f t="array" ref="A1991">IFNA(index(PlayerValues!A:A,match(IFNA(vlookup(B1991,'Special Names'!A:B,2,FALSE),B1991),PlayerValues!E:E,0)),"N/A")</f>
        <v>16632</v>
      </c>
      <c r="B1991" s="4" t="s">
        <v>842</v>
      </c>
      <c r="C1991" s="4" t="s">
        <v>287</v>
      </c>
      <c r="D1991" s="94">
        <v>771.0</v>
      </c>
    </row>
    <row r="1992">
      <c r="A1992" s="40">
        <f t="array" ref="A1992">IFNA(index(PlayerValues!A:A,match(IFNA(vlookup(B1992,'Special Names'!A:B,2,FALSE),B1992),PlayerValues!E:E,0)),"N/A")</f>
        <v>14805</v>
      </c>
      <c r="B1992" s="4" t="s">
        <v>770</v>
      </c>
      <c r="C1992" s="4" t="s">
        <v>278</v>
      </c>
      <c r="D1992" s="94">
        <v>770.0</v>
      </c>
    </row>
    <row r="1993">
      <c r="A1993" s="40">
        <f t="array" ref="A1993">IFNA(index(PlayerValues!A:A,match(IFNA(vlookup(B1993,'Special Names'!A:B,2,FALSE),B1993),PlayerValues!E:E,0)),"N/A")</f>
        <v>15965</v>
      </c>
      <c r="B1993" s="4" t="s">
        <v>791</v>
      </c>
      <c r="C1993" s="4" t="s">
        <v>278</v>
      </c>
      <c r="D1993" s="94">
        <v>770.0</v>
      </c>
    </row>
    <row r="1994">
      <c r="A1994" s="40">
        <f t="array" ref="A1994">IFNA(index(PlayerValues!A:A,match(IFNA(vlookup(B1994,'Special Names'!A:B,2,FALSE),B1994),PlayerValues!E:E,0)),"N/A")</f>
        <v>16678</v>
      </c>
      <c r="B1994" s="4" t="s">
        <v>758</v>
      </c>
      <c r="C1994" s="4" t="s">
        <v>278</v>
      </c>
      <c r="D1994" s="94">
        <v>758.0</v>
      </c>
    </row>
    <row r="1995">
      <c r="A1995" s="40">
        <f t="array" ref="A1995">IFNA(index(PlayerValues!A:A,match(IFNA(vlookup(B1995,'Special Names'!A:B,2,FALSE),B1995),PlayerValues!E:E,0)),"N/A")</f>
        <v>13424</v>
      </c>
      <c r="B1995" s="4" t="s">
        <v>846</v>
      </c>
      <c r="C1995" s="4" t="s">
        <v>298</v>
      </c>
      <c r="D1995" s="94">
        <v>1116.0</v>
      </c>
    </row>
    <row r="1996">
      <c r="A1996" s="40">
        <f t="array" ref="A1996">IFNA(index(PlayerValues!A:A,match(IFNA(vlookup(B1996,'Special Names'!A:B,2,FALSE),B1996),PlayerValues!E:E,0)),"N/A")</f>
        <v>14223</v>
      </c>
      <c r="B1996" s="4" t="s">
        <v>785</v>
      </c>
      <c r="C1996" s="4" t="s">
        <v>278</v>
      </c>
      <c r="D1996" s="94">
        <v>744.0</v>
      </c>
    </row>
    <row r="1997">
      <c r="A1997" s="40">
        <f t="array" ref="A1997">IFNA(index(PlayerValues!A:A,match(IFNA(vlookup(B1997,'Special Names'!A:B,2,FALSE),B1997),PlayerValues!E:E,0)),"N/A")</f>
        <v>13675</v>
      </c>
      <c r="B1997" s="4" t="s">
        <v>839</v>
      </c>
      <c r="C1997" s="4" t="s">
        <v>298</v>
      </c>
      <c r="D1997" s="94">
        <v>1111.0</v>
      </c>
    </row>
    <row r="1998">
      <c r="A1998" s="40">
        <f t="array" ref="A1998">IFNA(index(PlayerValues!A:A,match(IFNA(vlookup(B1998,'Special Names'!A:B,2,FALSE),B1998),PlayerValues!E:E,0)),"N/A")</f>
        <v>17232</v>
      </c>
      <c r="B1998" s="4" t="s">
        <v>784</v>
      </c>
      <c r="C1998" s="4" t="s">
        <v>287</v>
      </c>
      <c r="D1998" s="94">
        <v>735.0</v>
      </c>
    </row>
    <row r="1999">
      <c r="A1999" s="40">
        <f t="array" ref="A1999">IFNA(index(PlayerValues!A:A,match(IFNA(vlookup(B1999,'Special Names'!A:B,2,FALSE),B1999),PlayerValues!E:E,0)),"N/A")</f>
        <v>13377</v>
      </c>
      <c r="B1999" s="4" t="s">
        <v>847</v>
      </c>
      <c r="C1999" s="4" t="s">
        <v>287</v>
      </c>
      <c r="D1999" s="94">
        <v>728.0</v>
      </c>
    </row>
    <row r="2000">
      <c r="A2000" s="40">
        <f t="array" ref="A2000">IFNA(index(PlayerValues!A:A,match(IFNA(vlookup(B2000,'Special Names'!A:B,2,FALSE),B2000),PlayerValues!E:E,0)),"N/A")</f>
        <v>16170</v>
      </c>
      <c r="B2000" s="4" t="s">
        <v>801</v>
      </c>
      <c r="C2000" s="4" t="s">
        <v>278</v>
      </c>
      <c r="D2000" s="94">
        <v>725.0</v>
      </c>
    </row>
    <row r="2001">
      <c r="A2001" s="40">
        <f t="array" ref="A2001">IFNA(index(PlayerValues!A:A,match(IFNA(vlookup(B2001,'Special Names'!A:B,2,FALSE),B2001),PlayerValues!E:E,0)),"N/A")</f>
        <v>13589</v>
      </c>
      <c r="B2001" s="4" t="s">
        <v>282</v>
      </c>
      <c r="C2001" s="4" t="s">
        <v>283</v>
      </c>
      <c r="D2001" s="94">
        <v>9997.0</v>
      </c>
    </row>
    <row r="2002">
      <c r="A2002" s="40">
        <f t="array" ref="A2002">IFNA(index(PlayerValues!A:A,match(IFNA(vlookup(B2002,'Special Names'!A:B,2,FALSE),B2002),PlayerValues!E:E,0)),"N/A")</f>
        <v>16161</v>
      </c>
      <c r="B2002" s="4" t="s">
        <v>277</v>
      </c>
      <c r="C2002" s="4" t="s">
        <v>278</v>
      </c>
      <c r="D2002" s="94">
        <v>9986.0</v>
      </c>
    </row>
    <row r="2003">
      <c r="A2003" s="40">
        <f t="array" ref="A2003">IFNA(index(PlayerValues!A:A,match(IFNA(vlookup(B2003,'Special Names'!A:B,2,FALSE),B2003),PlayerValues!E:E,0)),"N/A")</f>
        <v>16185</v>
      </c>
      <c r="B2003" s="4" t="s">
        <v>290</v>
      </c>
      <c r="C2003" s="4" t="s">
        <v>287</v>
      </c>
      <c r="D2003" s="94">
        <v>9963.0</v>
      </c>
    </row>
    <row r="2004">
      <c r="A2004" s="40">
        <f t="array" ref="A2004">IFNA(index(PlayerValues!A:A,match(IFNA(vlookup(B2004,'Special Names'!A:B,2,FALSE),B2004),PlayerValues!E:E,0)),"N/A")</f>
        <v>15281</v>
      </c>
      <c r="B2004" s="4" t="s">
        <v>286</v>
      </c>
      <c r="C2004" s="4" t="s">
        <v>287</v>
      </c>
      <c r="D2004" s="94">
        <v>9821.0</v>
      </c>
    </row>
    <row r="2005">
      <c r="A2005" s="40">
        <f t="array" ref="A2005">IFNA(index(PlayerValues!A:A,match(IFNA(vlookup(B2005,'Special Names'!A:B,2,FALSE),B2005),PlayerValues!E:E,0)),"N/A")</f>
        <v>16580</v>
      </c>
      <c r="B2005" s="4" t="s">
        <v>291</v>
      </c>
      <c r="C2005" s="4" t="s">
        <v>283</v>
      </c>
      <c r="D2005" s="94">
        <v>9714.0</v>
      </c>
    </row>
    <row r="2006">
      <c r="A2006" s="40">
        <f t="array" ref="A2006">IFNA(index(PlayerValues!A:A,match(IFNA(vlookup(B2006,'Special Names'!A:B,2,FALSE),B2006),PlayerValues!E:E,0)),"N/A")</f>
        <v>16211</v>
      </c>
      <c r="B2006" s="4" t="s">
        <v>294</v>
      </c>
      <c r="C2006" s="4" t="s">
        <v>287</v>
      </c>
      <c r="D2006" s="94">
        <v>9553.0</v>
      </c>
    </row>
    <row r="2007">
      <c r="A2007" s="40">
        <f t="array" ref="A2007">IFNA(index(PlayerValues!A:A,match(IFNA(vlookup(B2007,'Special Names'!A:B,2,FALSE),B2007),PlayerValues!E:E,0)),"N/A")</f>
        <v>16162</v>
      </c>
      <c r="B2007" s="4" t="s">
        <v>281</v>
      </c>
      <c r="C2007" s="4" t="s">
        <v>278</v>
      </c>
      <c r="D2007" s="94">
        <v>9419.0</v>
      </c>
    </row>
    <row r="2008">
      <c r="A2008" s="40">
        <f t="array" ref="A2008">IFNA(index(PlayerValues!A:A,match(IFNA(vlookup(B2008,'Special Names'!A:B,2,FALSE),B2008),PlayerValues!E:E,0)),"N/A")</f>
        <v>16615</v>
      </c>
      <c r="B2008" s="4" t="s">
        <v>309</v>
      </c>
      <c r="C2008" s="4" t="s">
        <v>287</v>
      </c>
      <c r="D2008" s="94">
        <v>7738.0</v>
      </c>
    </row>
    <row r="2009">
      <c r="A2009" s="40">
        <f t="array" ref="A2009">IFNA(index(PlayerValues!A:A,match(IFNA(vlookup(B2009,'Special Names'!A:B,2,FALSE),B2009),PlayerValues!E:E,0)),"N/A")</f>
        <v>15794</v>
      </c>
      <c r="B2009" s="4" t="s">
        <v>313</v>
      </c>
      <c r="C2009" s="4" t="s">
        <v>298</v>
      </c>
      <c r="D2009" s="94">
        <v>8530.0</v>
      </c>
    </row>
    <row r="2010">
      <c r="A2010" s="40">
        <f t="array" ref="A2010">IFNA(index(PlayerValues!A:A,match(IFNA(vlookup(B2010,'Special Names'!A:B,2,FALSE),B2010),PlayerValues!E:E,0)),"N/A")</f>
        <v>15287</v>
      </c>
      <c r="B2010" s="4" t="s">
        <v>299</v>
      </c>
      <c r="C2010" s="4" t="s">
        <v>287</v>
      </c>
      <c r="D2010" s="94">
        <v>7648.0</v>
      </c>
    </row>
    <row r="2011">
      <c r="A2011" s="40">
        <f t="array" ref="A2011">IFNA(index(PlayerValues!A:A,match(IFNA(vlookup(B2011,'Special Names'!A:B,2,FALSE),B2011),PlayerValues!E:E,0)),"N/A")</f>
        <v>16641</v>
      </c>
      <c r="B2011" s="4" t="s">
        <v>297</v>
      </c>
      <c r="C2011" s="4" t="s">
        <v>298</v>
      </c>
      <c r="D2011" s="94">
        <v>8425.0</v>
      </c>
    </row>
    <row r="2012">
      <c r="A2012" s="40">
        <f t="array" ref="A2012">IFNA(index(PlayerValues!A:A,match(IFNA(vlookup(B2012,'Special Names'!A:B,2,FALSE),B2012),PlayerValues!E:E,0)),"N/A")</f>
        <v>16581</v>
      </c>
      <c r="B2012" s="4" t="s">
        <v>315</v>
      </c>
      <c r="C2012" s="4" t="s">
        <v>283</v>
      </c>
      <c r="D2012" s="94">
        <v>7607.0</v>
      </c>
    </row>
    <row r="2013">
      <c r="A2013" s="40">
        <f t="array" ref="A2013">IFNA(index(PlayerValues!A:A,match(IFNA(vlookup(B2013,'Special Names'!A:B,2,FALSE),B2013),PlayerValues!E:E,0)),"N/A")</f>
        <v>16579</v>
      </c>
      <c r="B2013" s="4" t="s">
        <v>302</v>
      </c>
      <c r="C2013" s="4" t="s">
        <v>283</v>
      </c>
      <c r="D2013" s="94">
        <v>7599.0</v>
      </c>
    </row>
    <row r="2014">
      <c r="A2014" s="40">
        <f t="array" ref="A2014">IFNA(index(PlayerValues!A:A,match(IFNA(vlookup(B2014,'Special Names'!A:B,2,FALSE),B2014),PlayerValues!E:E,0)),"N/A")</f>
        <v>13593</v>
      </c>
      <c r="B2014" s="4" t="s">
        <v>305</v>
      </c>
      <c r="C2014" s="4" t="s">
        <v>283</v>
      </c>
      <c r="D2014" s="94">
        <v>7516.0</v>
      </c>
    </row>
    <row r="2015">
      <c r="A2015" s="40">
        <f t="array" ref="A2015">IFNA(index(PlayerValues!A:A,match(IFNA(vlookup(B2015,'Special Names'!A:B,2,FALSE),B2015),PlayerValues!E:E,0)),"N/A")</f>
        <v>14836</v>
      </c>
      <c r="B2015" s="4" t="s">
        <v>306</v>
      </c>
      <c r="C2015" s="4" t="s">
        <v>287</v>
      </c>
      <c r="D2015" s="94">
        <v>7410.0</v>
      </c>
    </row>
    <row r="2016">
      <c r="A2016" s="40">
        <f t="array" ref="A2016">IFNA(index(PlayerValues!A:A,match(IFNA(vlookup(B2016,'Special Names'!A:B,2,FALSE),B2016),PlayerValues!E:E,0)),"N/A")</f>
        <v>14832</v>
      </c>
      <c r="B2016" s="4" t="s">
        <v>319</v>
      </c>
      <c r="C2016" s="4" t="s">
        <v>287</v>
      </c>
      <c r="D2016" s="94">
        <v>7349.0</v>
      </c>
    </row>
    <row r="2017">
      <c r="A2017" s="40">
        <f t="array" ref="A2017">IFNA(index(PlayerValues!A:A,match(IFNA(vlookup(B2017,'Special Names'!A:B,2,FALSE),B2017),PlayerValues!E:E,0)),"N/A")</f>
        <v>14777</v>
      </c>
      <c r="B2017" s="4" t="s">
        <v>318</v>
      </c>
      <c r="C2017" s="4" t="s">
        <v>283</v>
      </c>
      <c r="D2017" s="94">
        <v>7238.0</v>
      </c>
    </row>
    <row r="2018">
      <c r="A2018" s="40">
        <f t="array" ref="A2018">IFNA(index(PlayerValues!A:A,match(IFNA(vlookup(B2018,'Special Names'!A:B,2,FALSE),B2018),PlayerValues!E:E,0)),"N/A")</f>
        <v>17042</v>
      </c>
      <c r="B2018" s="4" t="s">
        <v>314</v>
      </c>
      <c r="C2018" s="4" t="s">
        <v>278</v>
      </c>
      <c r="D2018" s="94">
        <v>7198.0</v>
      </c>
    </row>
    <row r="2019">
      <c r="A2019" s="40">
        <f t="array" ref="A2019">IFNA(index(PlayerValues!A:A,match(IFNA(vlookup(B2019,'Special Names'!A:B,2,FALSE),B2019),PlayerValues!E:E,0)),"N/A")</f>
        <v>16167</v>
      </c>
      <c r="B2019" s="4" t="s">
        <v>323</v>
      </c>
      <c r="C2019" s="4" t="s">
        <v>278</v>
      </c>
      <c r="D2019" s="94">
        <v>7103.0</v>
      </c>
    </row>
    <row r="2020">
      <c r="A2020" s="40">
        <f t="array" ref="A2020">IFNA(index(PlayerValues!A:A,match(IFNA(vlookup(B2020,'Special Names'!A:B,2,FALSE),B2020),PlayerValues!E:E,0)),"N/A")</f>
        <v>15751</v>
      </c>
      <c r="B2020" s="4" t="s">
        <v>328</v>
      </c>
      <c r="C2020" s="4" t="s">
        <v>287</v>
      </c>
      <c r="D2020" s="94">
        <v>7006.0</v>
      </c>
    </row>
    <row r="2021">
      <c r="A2021" s="40">
        <f t="array" ref="A2021">IFNA(index(PlayerValues!A:A,match(IFNA(vlookup(B2021,'Special Names'!A:B,2,FALSE),B2021),PlayerValues!E:E,0)),"N/A")</f>
        <v>14779</v>
      </c>
      <c r="B2021" s="4" t="s">
        <v>327</v>
      </c>
      <c r="C2021" s="4" t="s">
        <v>283</v>
      </c>
      <c r="D2021" s="94">
        <v>6843.0</v>
      </c>
    </row>
    <row r="2022">
      <c r="A2022" s="40">
        <f t="array" ref="A2022">IFNA(index(PlayerValues!A:A,match(IFNA(vlookup(B2022,'Special Names'!A:B,2,FALSE),B2022),PlayerValues!E:E,0)),"N/A")</f>
        <v>17472</v>
      </c>
      <c r="B2022" s="4" t="s">
        <v>310</v>
      </c>
      <c r="C2022" s="4" t="s">
        <v>278</v>
      </c>
      <c r="D2022" s="94">
        <v>6748.0</v>
      </c>
    </row>
    <row r="2023">
      <c r="A2023" s="40" t="str">
        <f t="array" ref="A2023">IFNA(index(PlayerValues!A:A,match(IFNA(vlookup(B2023,'Special Names'!A:B,2,FALSE),B2023),PlayerValues!E:E,0)),"N/A")</f>
        <v>N/A</v>
      </c>
      <c r="B2023" s="4" t="s">
        <v>92</v>
      </c>
      <c r="C2023" s="4" t="s">
        <v>325</v>
      </c>
      <c r="D2023" s="94">
        <v>6634.0</v>
      </c>
    </row>
    <row r="2024">
      <c r="A2024" s="40">
        <f t="array" ref="A2024">IFNA(index(PlayerValues!A:A,match(IFNA(vlookup(B2024,'Special Names'!A:B,2,FALSE),B2024),PlayerValues!E:E,0)),"N/A")</f>
        <v>17044</v>
      </c>
      <c r="B2024" s="4" t="s">
        <v>322</v>
      </c>
      <c r="C2024" s="4" t="s">
        <v>278</v>
      </c>
      <c r="D2024" s="94">
        <v>6621.0</v>
      </c>
    </row>
    <row r="2025">
      <c r="A2025" s="40">
        <f t="array" ref="A2025">IFNA(index(PlayerValues!A:A,match(IFNA(vlookup(B2025,'Special Names'!A:B,2,FALSE),B2025),PlayerValues!E:E,0)),"N/A")</f>
        <v>13116</v>
      </c>
      <c r="B2025" s="4" t="s">
        <v>345</v>
      </c>
      <c r="C2025" s="4" t="s">
        <v>283</v>
      </c>
      <c r="D2025" s="94">
        <v>6608.0</v>
      </c>
    </row>
    <row r="2026">
      <c r="A2026" s="40">
        <f t="array" ref="A2026">IFNA(index(PlayerValues!A:A,match(IFNA(vlookup(B2026,'Special Names'!A:B,2,FALSE),B2026),PlayerValues!E:E,0)),"N/A")</f>
        <v>17032</v>
      </c>
      <c r="B2026" s="4" t="s">
        <v>348</v>
      </c>
      <c r="C2026" s="4" t="s">
        <v>283</v>
      </c>
      <c r="D2026" s="94">
        <v>6600.0</v>
      </c>
    </row>
    <row r="2027">
      <c r="A2027" s="40">
        <f t="array" ref="A2027">IFNA(index(PlayerValues!A:A,match(IFNA(vlookup(B2027,'Special Names'!A:B,2,FALSE),B2027),PlayerValues!E:E,0)),"N/A")</f>
        <v>17071</v>
      </c>
      <c r="B2027" s="4" t="s">
        <v>341</v>
      </c>
      <c r="C2027" s="4" t="s">
        <v>287</v>
      </c>
      <c r="D2027" s="94">
        <v>6571.0</v>
      </c>
    </row>
    <row r="2028">
      <c r="A2028" s="40">
        <f t="array" ref="A2028">IFNA(index(PlayerValues!A:A,match(IFNA(vlookup(B2028,'Special Names'!A:B,2,FALSE),B2028),PlayerValues!E:E,0)),"N/A")</f>
        <v>14783</v>
      </c>
      <c r="B2028" s="4" t="s">
        <v>342</v>
      </c>
      <c r="C2028" s="4" t="s">
        <v>283</v>
      </c>
      <c r="D2028" s="94">
        <v>6396.0</v>
      </c>
    </row>
    <row r="2029">
      <c r="A2029" s="40">
        <f t="array" ref="A2029">IFNA(index(PlayerValues!A:A,match(IFNA(vlookup(B2029,'Special Names'!A:B,2,FALSE),B2029),PlayerValues!E:E,0)),"N/A")</f>
        <v>15237</v>
      </c>
      <c r="B2029" s="4" t="s">
        <v>336</v>
      </c>
      <c r="C2029" s="4" t="s">
        <v>283</v>
      </c>
      <c r="D2029" s="94">
        <v>6315.0</v>
      </c>
    </row>
    <row r="2030">
      <c r="A2030" s="40">
        <f t="array" ref="A2030">IFNA(index(PlayerValues!A:A,match(IFNA(vlookup(B2030,'Special Names'!A:B,2,FALSE),B2030),PlayerValues!E:E,0)),"N/A")</f>
        <v>16582</v>
      </c>
      <c r="B2030" s="4" t="s">
        <v>343</v>
      </c>
      <c r="C2030" s="4" t="s">
        <v>283</v>
      </c>
      <c r="D2030" s="94">
        <v>6197.0</v>
      </c>
    </row>
    <row r="2031">
      <c r="A2031" s="40">
        <f t="array" ref="A2031">IFNA(index(PlayerValues!A:A,match(IFNA(vlookup(B2031,'Special Names'!A:B,2,FALSE),B2031),PlayerValues!E:E,0)),"N/A")</f>
        <v>14802</v>
      </c>
      <c r="B2031" s="4" t="s">
        <v>332</v>
      </c>
      <c r="C2031" s="4" t="s">
        <v>278</v>
      </c>
      <c r="D2031" s="94">
        <v>6188.0</v>
      </c>
    </row>
    <row r="2032">
      <c r="A2032" s="40">
        <f t="array" ref="A2032">IFNA(index(PlayerValues!A:A,match(IFNA(vlookup(B2032,'Special Names'!A:B,2,FALSE),B2032),PlayerValues!E:E,0)),"N/A")</f>
        <v>15715</v>
      </c>
      <c r="B2032" s="4" t="s">
        <v>331</v>
      </c>
      <c r="C2032" s="4" t="s">
        <v>278</v>
      </c>
      <c r="D2032" s="94">
        <v>6165.0</v>
      </c>
    </row>
    <row r="2033">
      <c r="A2033" s="40">
        <f t="array" ref="A2033">IFNA(index(PlayerValues!A:A,match(IFNA(vlookup(B2033,'Special Names'!A:B,2,FALSE),B2033),PlayerValues!E:E,0)),"N/A")</f>
        <v>15762</v>
      </c>
      <c r="B2033" s="4" t="s">
        <v>337</v>
      </c>
      <c r="C2033" s="4" t="s">
        <v>287</v>
      </c>
      <c r="D2033" s="94">
        <v>6154.0</v>
      </c>
    </row>
    <row r="2034">
      <c r="A2034" s="40">
        <f t="array" ref="A2034">IFNA(index(PlayerValues!A:A,match(IFNA(vlookup(B2034,'Special Names'!A:B,2,FALSE),B2034),PlayerValues!E:E,0)),"N/A")</f>
        <v>15698</v>
      </c>
      <c r="B2034" s="4" t="s">
        <v>358</v>
      </c>
      <c r="C2034" s="4" t="s">
        <v>283</v>
      </c>
      <c r="D2034" s="94">
        <v>6098.0</v>
      </c>
    </row>
    <row r="2035">
      <c r="A2035" s="40" t="str">
        <f t="array" ref="A2035">IFNA(index(PlayerValues!A:A,match(IFNA(vlookup(B2035,'Special Names'!A:B,2,FALSE),B2035),PlayerValues!E:E,0)),"N/A")</f>
        <v>N/A</v>
      </c>
      <c r="B2035" s="4" t="s">
        <v>79</v>
      </c>
      <c r="C2035" s="4" t="s">
        <v>325</v>
      </c>
      <c r="D2035" s="94">
        <v>6044.0</v>
      </c>
    </row>
    <row r="2036">
      <c r="A2036" s="40">
        <f t="array" ref="A2036">IFNA(index(PlayerValues!A:A,match(IFNA(vlookup(B2036,'Special Names'!A:B,2,FALSE),B2036),PlayerValues!E:E,0)),"N/A")</f>
        <v>17081</v>
      </c>
      <c r="B2036" s="4" t="s">
        <v>340</v>
      </c>
      <c r="C2036" s="4" t="s">
        <v>287</v>
      </c>
      <c r="D2036" s="94">
        <v>6005.0</v>
      </c>
    </row>
    <row r="2037">
      <c r="A2037" s="40">
        <f t="array" ref="A2037">IFNA(index(PlayerValues!A:A,match(IFNA(vlookup(B2037,'Special Names'!A:B,2,FALSE),B2037),PlayerValues!E:E,0)),"N/A")</f>
        <v>15290</v>
      </c>
      <c r="B2037" s="4" t="s">
        <v>355</v>
      </c>
      <c r="C2037" s="4" t="s">
        <v>287</v>
      </c>
      <c r="D2037" s="94">
        <v>5983.0</v>
      </c>
    </row>
    <row r="2038">
      <c r="A2038" s="40">
        <f t="array" ref="A2038">IFNA(index(PlayerValues!A:A,match(IFNA(vlookup(B2038,'Special Names'!A:B,2,FALSE),B2038),PlayerValues!E:E,0)),"N/A")</f>
        <v>17043</v>
      </c>
      <c r="B2038" s="4" t="s">
        <v>397</v>
      </c>
      <c r="C2038" s="4" t="s">
        <v>278</v>
      </c>
      <c r="D2038" s="94">
        <v>5966.0</v>
      </c>
    </row>
    <row r="2039">
      <c r="A2039" s="40">
        <f t="array" ref="A2039">IFNA(index(PlayerValues!A:A,match(IFNA(vlookup(B2039,'Special Names'!A:B,2,FALSE),B2039),PlayerValues!E:E,0)),"N/A")</f>
        <v>17104</v>
      </c>
      <c r="B2039" s="4" t="s">
        <v>333</v>
      </c>
      <c r="C2039" s="4" t="s">
        <v>298</v>
      </c>
      <c r="D2039" s="94">
        <v>6491.0</v>
      </c>
    </row>
    <row r="2040">
      <c r="A2040" s="40">
        <f t="array" ref="A2040">IFNA(index(PlayerValues!A:A,match(IFNA(vlookup(B2040,'Special Names'!A:B,2,FALSE),B2040),PlayerValues!E:E,0)),"N/A")</f>
        <v>15753</v>
      </c>
      <c r="B2040" s="4" t="s">
        <v>359</v>
      </c>
      <c r="C2040" s="4" t="s">
        <v>287</v>
      </c>
      <c r="D2040" s="94">
        <v>5819.0</v>
      </c>
    </row>
    <row r="2041">
      <c r="A2041" s="40">
        <f t="array" ref="A2041">IFNA(index(PlayerValues!A:A,match(IFNA(vlookup(B2041,'Special Names'!A:B,2,FALSE),B2041),PlayerValues!E:E,0)),"N/A")</f>
        <v>15754</v>
      </c>
      <c r="B2041" s="4" t="s">
        <v>354</v>
      </c>
      <c r="C2041" s="4" t="s">
        <v>287</v>
      </c>
      <c r="D2041" s="94">
        <v>5805.0</v>
      </c>
    </row>
    <row r="2042">
      <c r="A2042" s="40">
        <f t="array" ref="A2042">IFNA(index(PlayerValues!A:A,match(IFNA(vlookup(B2042,'Special Names'!A:B,2,FALSE),B2042),PlayerValues!E:E,0)),"N/A")</f>
        <v>14782</v>
      </c>
      <c r="B2042" s="4" t="s">
        <v>385</v>
      </c>
      <c r="C2042" s="4" t="s">
        <v>283</v>
      </c>
      <c r="D2042" s="94">
        <v>5702.0</v>
      </c>
    </row>
    <row r="2043">
      <c r="A2043" s="40">
        <f t="array" ref="A2043">IFNA(index(PlayerValues!A:A,match(IFNA(vlookup(B2043,'Special Names'!A:B,2,FALSE),B2043),PlayerValues!E:E,0)),"N/A")</f>
        <v>17102</v>
      </c>
      <c r="B2043" s="4" t="s">
        <v>344</v>
      </c>
      <c r="C2043" s="4" t="s">
        <v>298</v>
      </c>
      <c r="D2043" s="94">
        <v>6248.0</v>
      </c>
    </row>
    <row r="2044">
      <c r="A2044" s="40">
        <f t="array" ref="A2044">IFNA(index(PlayerValues!A:A,match(IFNA(vlookup(B2044,'Special Names'!A:B,2,FALSE),B2044),PlayerValues!E:E,0)),"N/A")</f>
        <v>17462</v>
      </c>
      <c r="B2044" s="4" t="s">
        <v>375</v>
      </c>
      <c r="C2044" s="4" t="s">
        <v>283</v>
      </c>
      <c r="D2044" s="94">
        <v>5583.0</v>
      </c>
    </row>
    <row r="2045">
      <c r="A2045" s="40">
        <f t="array" ref="A2045">IFNA(index(PlayerValues!A:A,match(IFNA(vlookup(B2045,'Special Names'!A:B,2,FALSE),B2045),PlayerValues!E:E,0)),"N/A")</f>
        <v>17051</v>
      </c>
      <c r="B2045" s="4" t="s">
        <v>386</v>
      </c>
      <c r="C2045" s="4" t="s">
        <v>278</v>
      </c>
      <c r="D2045" s="94">
        <v>5508.0</v>
      </c>
    </row>
    <row r="2046">
      <c r="A2046" s="40">
        <f t="array" ref="A2046">IFNA(index(PlayerValues!A:A,match(IFNA(vlookup(B2046,'Special Names'!A:B,2,FALSE),B2046),PlayerValues!E:E,0)),"N/A")</f>
        <v>15708</v>
      </c>
      <c r="B2046" s="4" t="s">
        <v>382</v>
      </c>
      <c r="C2046" s="4" t="s">
        <v>278</v>
      </c>
      <c r="D2046" s="94">
        <v>5486.0</v>
      </c>
    </row>
    <row r="2047">
      <c r="A2047" s="40">
        <f t="array" ref="A2047">IFNA(index(PlayerValues!A:A,match(IFNA(vlookup(B2047,'Special Names'!A:B,2,FALSE),B2047),PlayerValues!E:E,0)),"N/A")</f>
        <v>16598</v>
      </c>
      <c r="B2047" s="4" t="s">
        <v>408</v>
      </c>
      <c r="C2047" s="4" t="s">
        <v>278</v>
      </c>
      <c r="D2047" s="94">
        <v>5486.0</v>
      </c>
    </row>
    <row r="2048">
      <c r="A2048" s="40">
        <f t="array" ref="A2048">IFNA(index(PlayerValues!A:A,match(IFNA(vlookup(B2048,'Special Names'!A:B,2,FALSE),B2048),PlayerValues!E:E,0)),"N/A")</f>
        <v>16194</v>
      </c>
      <c r="B2048" s="4" t="s">
        <v>398</v>
      </c>
      <c r="C2048" s="4" t="s">
        <v>287</v>
      </c>
      <c r="D2048" s="94">
        <v>5404.0</v>
      </c>
    </row>
    <row r="2049">
      <c r="A2049" s="40" t="str">
        <f t="array" ref="A2049">IFNA(index(PlayerValues!A:A,match(IFNA(vlookup(B2049,'Special Names'!A:B,2,FALSE),B2049),PlayerValues!E:E,0)),"N/A")</f>
        <v>N/A</v>
      </c>
      <c r="B2049" s="4" t="s">
        <v>93</v>
      </c>
      <c r="C2049" s="4" t="s">
        <v>325</v>
      </c>
      <c r="D2049" s="94">
        <v>5404.0</v>
      </c>
    </row>
    <row r="2050">
      <c r="A2050" s="40">
        <f t="array" ref="A2050">IFNA(index(PlayerValues!A:A,match(IFNA(vlookup(B2050,'Special Names'!A:B,2,FALSE),B2050),PlayerValues!E:E,0)),"N/A")</f>
        <v>17499</v>
      </c>
      <c r="B2050" s="4" t="s">
        <v>402</v>
      </c>
      <c r="C2050" s="4" t="s">
        <v>287</v>
      </c>
      <c r="D2050" s="94">
        <v>5391.0</v>
      </c>
    </row>
    <row r="2051">
      <c r="A2051" s="40">
        <f t="array" ref="A2051">IFNA(index(PlayerValues!A:A,match(IFNA(vlookup(B2051,'Special Names'!A:B,2,FALSE),B2051),PlayerValues!E:E,0)),"N/A")</f>
        <v>16627</v>
      </c>
      <c r="B2051" s="4" t="s">
        <v>351</v>
      </c>
      <c r="C2051" s="4" t="s">
        <v>287</v>
      </c>
      <c r="D2051" s="94">
        <v>5376.0</v>
      </c>
    </row>
    <row r="2052">
      <c r="A2052" s="40">
        <f t="array" ref="A2052">IFNA(index(PlayerValues!A:A,match(IFNA(vlookup(B2052,'Special Names'!A:B,2,FALSE),B2052),PlayerValues!E:E,0)),"N/A")</f>
        <v>16616</v>
      </c>
      <c r="B2052" s="4" t="s">
        <v>389</v>
      </c>
      <c r="C2052" s="4" t="s">
        <v>287</v>
      </c>
      <c r="D2052" s="94">
        <v>5245.0</v>
      </c>
    </row>
    <row r="2053">
      <c r="A2053" s="40">
        <f t="array" ref="A2053">IFNA(index(PlayerValues!A:A,match(IFNA(vlookup(B2053,'Special Names'!A:B,2,FALSE),B2053),PlayerValues!E:E,0)),"N/A")</f>
        <v>13130</v>
      </c>
      <c r="B2053" s="4" t="s">
        <v>374</v>
      </c>
      <c r="C2053" s="4" t="s">
        <v>278</v>
      </c>
      <c r="D2053" s="94">
        <v>5183.0</v>
      </c>
    </row>
    <row r="2054">
      <c r="A2054" s="40">
        <f t="array" ref="A2054">IFNA(index(PlayerValues!A:A,match(IFNA(vlookup(B2054,'Special Names'!A:B,2,FALSE),B2054),PlayerValues!E:E,0)),"N/A")</f>
        <v>17497</v>
      </c>
      <c r="B2054" s="4" t="s">
        <v>365</v>
      </c>
      <c r="C2054" s="4" t="s">
        <v>287</v>
      </c>
      <c r="D2054" s="94">
        <v>5182.0</v>
      </c>
    </row>
    <row r="2055">
      <c r="A2055" s="40">
        <f t="array" ref="A2055">IFNA(index(PlayerValues!A:A,match(IFNA(vlookup(B2055,'Special Names'!A:B,2,FALSE),B2055),PlayerValues!E:E,0)),"N/A")</f>
        <v>16614</v>
      </c>
      <c r="B2055" s="4" t="s">
        <v>403</v>
      </c>
      <c r="C2055" s="4" t="s">
        <v>287</v>
      </c>
      <c r="D2055" s="94">
        <v>5116.0</v>
      </c>
    </row>
    <row r="2056">
      <c r="A2056" s="40">
        <f t="array" ref="A2056">IFNA(index(PlayerValues!A:A,match(IFNA(vlookup(B2056,'Special Names'!A:B,2,FALSE),B2056),PlayerValues!E:E,0)),"N/A")</f>
        <v>17030</v>
      </c>
      <c r="B2056" s="4" t="s">
        <v>406</v>
      </c>
      <c r="C2056" s="4" t="s">
        <v>283</v>
      </c>
      <c r="D2056" s="94">
        <v>5030.0</v>
      </c>
    </row>
    <row r="2057">
      <c r="A2057" s="40">
        <f t="array" ref="A2057">IFNA(index(PlayerValues!A:A,match(IFNA(vlookup(B2057,'Special Names'!A:B,2,FALSE),B2057),PlayerValues!E:E,0)),"N/A")</f>
        <v>12620</v>
      </c>
      <c r="B2057" s="4" t="s">
        <v>394</v>
      </c>
      <c r="C2057" s="4" t="s">
        <v>283</v>
      </c>
      <c r="D2057" s="94">
        <v>4998.0</v>
      </c>
    </row>
    <row r="2058">
      <c r="A2058" s="40">
        <f t="array" ref="A2058">IFNA(index(PlayerValues!A:A,match(IFNA(vlookup(B2058,'Special Names'!A:B,2,FALSE),B2058),PlayerValues!E:E,0)),"N/A")</f>
        <v>17070</v>
      </c>
      <c r="B2058" s="4" t="s">
        <v>370</v>
      </c>
      <c r="C2058" s="4" t="s">
        <v>287</v>
      </c>
      <c r="D2058" s="94">
        <v>4970.0</v>
      </c>
    </row>
    <row r="2059">
      <c r="A2059" s="40">
        <f t="array" ref="A2059">IFNA(index(PlayerValues!A:A,match(IFNA(vlookup(B2059,'Special Names'!A:B,2,FALSE),B2059),PlayerValues!E:E,0)),"N/A")</f>
        <v>15711</v>
      </c>
      <c r="B2059" s="4" t="s">
        <v>349</v>
      </c>
      <c r="C2059" s="4" t="s">
        <v>278</v>
      </c>
      <c r="D2059" s="94">
        <v>4968.0</v>
      </c>
    </row>
    <row r="2060">
      <c r="A2060" s="40">
        <f t="array" ref="A2060">IFNA(index(PlayerValues!A:A,match(IFNA(vlookup(B2060,'Special Names'!A:B,2,FALSE),B2060),PlayerValues!E:E,0)),"N/A")</f>
        <v>16618</v>
      </c>
      <c r="B2060" s="4" t="s">
        <v>411</v>
      </c>
      <c r="C2060" s="4" t="s">
        <v>287</v>
      </c>
      <c r="D2060" s="94">
        <v>4967.0</v>
      </c>
    </row>
    <row r="2061">
      <c r="A2061" s="40">
        <f t="array" ref="A2061">IFNA(index(PlayerValues!A:A,match(IFNA(vlookup(B2061,'Special Names'!A:B,2,FALSE),B2061),PlayerValues!E:E,0)),"N/A")</f>
        <v>16150</v>
      </c>
      <c r="B2061" s="4" t="s">
        <v>414</v>
      </c>
      <c r="C2061" s="4" t="s">
        <v>283</v>
      </c>
      <c r="D2061" s="94">
        <v>4942.0</v>
      </c>
    </row>
    <row r="2062">
      <c r="A2062" s="40">
        <f t="array" ref="A2062">IFNA(index(PlayerValues!A:A,match(IFNA(vlookup(B2062,'Special Names'!A:B,2,FALSE),B2062),PlayerValues!E:E,0)),"N/A")</f>
        <v>14835</v>
      </c>
      <c r="B2062" s="4" t="s">
        <v>392</v>
      </c>
      <c r="C2062" s="4" t="s">
        <v>287</v>
      </c>
      <c r="D2062" s="94">
        <v>4876.0</v>
      </c>
    </row>
    <row r="2063">
      <c r="A2063" s="40">
        <f t="array" ref="A2063">IFNA(index(PlayerValues!A:A,match(IFNA(vlookup(B2063,'Special Names'!A:B,2,FALSE),B2063),PlayerValues!E:E,0)),"N/A")</f>
        <v>17103</v>
      </c>
      <c r="B2063" s="4" t="s">
        <v>405</v>
      </c>
      <c r="C2063" s="4" t="s">
        <v>298</v>
      </c>
      <c r="D2063" s="94">
        <v>5445.0</v>
      </c>
    </row>
    <row r="2064">
      <c r="A2064" s="40">
        <f t="array" ref="A2064">IFNA(index(PlayerValues!A:A,match(IFNA(vlookup(B2064,'Special Names'!A:B,2,FALSE),B2064),PlayerValues!E:E,0)),"N/A")</f>
        <v>16181</v>
      </c>
      <c r="B2064" s="4" t="s">
        <v>350</v>
      </c>
      <c r="C2064" s="4" t="s">
        <v>278</v>
      </c>
      <c r="D2064" s="94">
        <v>4870.0</v>
      </c>
    </row>
    <row r="2065">
      <c r="A2065" s="40">
        <f t="array" ref="A2065">IFNA(index(PlayerValues!A:A,match(IFNA(vlookup(B2065,'Special Names'!A:B,2,FALSE),B2065),PlayerValues!E:E,0)),"N/A")</f>
        <v>16222</v>
      </c>
      <c r="B2065" s="4" t="s">
        <v>393</v>
      </c>
      <c r="C2065" s="4" t="s">
        <v>298</v>
      </c>
      <c r="D2065" s="94">
        <v>5427.0</v>
      </c>
    </row>
    <row r="2066">
      <c r="A2066" s="40">
        <f t="array" ref="A2066">IFNA(index(PlayerValues!A:A,match(IFNA(vlookup(B2066,'Special Names'!A:B,2,FALSE),B2066),PlayerValues!E:E,0)),"N/A")</f>
        <v>17498</v>
      </c>
      <c r="B2066" s="4" t="s">
        <v>396</v>
      </c>
      <c r="C2066" s="4" t="s">
        <v>287</v>
      </c>
      <c r="D2066" s="94">
        <v>4857.0</v>
      </c>
    </row>
    <row r="2067">
      <c r="A2067" s="40">
        <f t="array" ref="A2067">IFNA(index(PlayerValues!A:A,match(IFNA(vlookup(B2067,'Special Names'!A:B,2,FALSE),B2067),PlayerValues!E:E,0)),"N/A")</f>
        <v>17045</v>
      </c>
      <c r="B2067" s="4" t="s">
        <v>407</v>
      </c>
      <c r="C2067" s="4" t="s">
        <v>278</v>
      </c>
      <c r="D2067" s="94">
        <v>4852.0</v>
      </c>
    </row>
    <row r="2068">
      <c r="A2068" s="40">
        <f t="array" ref="A2068">IFNA(index(PlayerValues!A:A,match(IFNA(vlookup(B2068,'Special Names'!A:B,2,FALSE),B2068),PlayerValues!E:E,0)),"N/A")</f>
        <v>15710</v>
      </c>
      <c r="B2068" s="4" t="s">
        <v>395</v>
      </c>
      <c r="C2068" s="4" t="s">
        <v>278</v>
      </c>
      <c r="D2068" s="94">
        <v>4832.0</v>
      </c>
    </row>
    <row r="2069">
      <c r="A2069" s="40" t="str">
        <f t="array" ref="A2069">IFNA(index(PlayerValues!A:A,match(IFNA(vlookup(B2069,'Special Names'!A:B,2,FALSE),B2069),PlayerValues!E:E,0)),"N/A")</f>
        <v>N/A</v>
      </c>
      <c r="B2069" s="4" t="s">
        <v>104</v>
      </c>
      <c r="C2069" s="4" t="s">
        <v>325</v>
      </c>
      <c r="D2069" s="94">
        <v>4813.0</v>
      </c>
    </row>
    <row r="2070">
      <c r="A2070" s="40">
        <f t="array" ref="A2070">IFNA(index(PlayerValues!A:A,match(IFNA(vlookup(B2070,'Special Names'!A:B,2,FALSE),B2070),PlayerValues!E:E,0)),"N/A")</f>
        <v>13604</v>
      </c>
      <c r="B2070" s="4" t="s">
        <v>378</v>
      </c>
      <c r="C2070" s="4" t="s">
        <v>278</v>
      </c>
      <c r="D2070" s="94">
        <v>4796.0</v>
      </c>
    </row>
    <row r="2071">
      <c r="A2071" s="40">
        <f t="array" ref="A2071">IFNA(index(PlayerValues!A:A,match(IFNA(vlookup(B2071,'Special Names'!A:B,2,FALSE),B2071),PlayerValues!E:E,0)),"N/A")</f>
        <v>13592</v>
      </c>
      <c r="B2071" s="4" t="s">
        <v>418</v>
      </c>
      <c r="C2071" s="4" t="s">
        <v>283</v>
      </c>
      <c r="D2071" s="94">
        <v>4790.0</v>
      </c>
    </row>
    <row r="2072">
      <c r="A2072" s="40">
        <f t="array" ref="A2072">IFNA(index(PlayerValues!A:A,match(IFNA(vlookup(B2072,'Special Names'!A:B,2,FALSE),B2072),PlayerValues!E:E,0)),"N/A")</f>
        <v>15756</v>
      </c>
      <c r="B2072" s="4" t="s">
        <v>399</v>
      </c>
      <c r="C2072" s="4" t="s">
        <v>287</v>
      </c>
      <c r="D2072" s="94">
        <v>4789.0</v>
      </c>
    </row>
    <row r="2073">
      <c r="A2073" s="40">
        <f t="array" ref="A2073">IFNA(index(PlayerValues!A:A,match(IFNA(vlookup(B2073,'Special Names'!A:B,2,FALSE),B2073),PlayerValues!E:E,0)),"N/A")</f>
        <v>13590</v>
      </c>
      <c r="B2073" s="4" t="s">
        <v>409</v>
      </c>
      <c r="C2073" s="4" t="s">
        <v>283</v>
      </c>
      <c r="D2073" s="94">
        <v>4769.0</v>
      </c>
    </row>
    <row r="2074">
      <c r="A2074" s="40" t="str">
        <f t="array" ref="A2074">IFNA(index(PlayerValues!A:A,match(IFNA(vlookup(B2074,'Special Names'!A:B,2,FALSE),B2074),PlayerValues!E:E,0)),"N/A")</f>
        <v>N/A</v>
      </c>
      <c r="B2074" s="4" t="s">
        <v>80</v>
      </c>
      <c r="C2074" s="4" t="s">
        <v>325</v>
      </c>
      <c r="D2074" s="94">
        <v>4728.0</v>
      </c>
    </row>
    <row r="2075">
      <c r="A2075" s="40" t="str">
        <f t="array" ref="A2075">IFNA(index(PlayerValues!A:A,match(IFNA(vlookup(B2075,'Special Names'!A:B,2,FALSE),B2075),PlayerValues!E:E,0)),"N/A")</f>
        <v>N/A</v>
      </c>
      <c r="B2075" s="4" t="s">
        <v>94</v>
      </c>
      <c r="C2075" s="4" t="s">
        <v>325</v>
      </c>
      <c r="D2075" s="94">
        <v>4720.0</v>
      </c>
    </row>
    <row r="2076">
      <c r="A2076" s="40">
        <f t="array" ref="A2076">IFNA(index(PlayerValues!A:A,match(IFNA(vlookup(B2076,'Special Names'!A:B,2,FALSE),B2076),PlayerValues!E:E,0)),"N/A")</f>
        <v>15282</v>
      </c>
      <c r="B2076" s="4" t="s">
        <v>364</v>
      </c>
      <c r="C2076" s="4" t="s">
        <v>287</v>
      </c>
      <c r="D2076" s="94">
        <v>4715.0</v>
      </c>
    </row>
    <row r="2077">
      <c r="A2077" s="40">
        <f t="array" ref="A2077">IFNA(index(PlayerValues!A:A,match(IFNA(vlookup(B2077,'Special Names'!A:B,2,FALSE),B2077),PlayerValues!E:E,0)),"N/A")</f>
        <v>14104</v>
      </c>
      <c r="B2077" s="4" t="s">
        <v>379</v>
      </c>
      <c r="C2077" s="4" t="s">
        <v>287</v>
      </c>
      <c r="D2077" s="94">
        <v>4692.0</v>
      </c>
    </row>
    <row r="2078">
      <c r="A2078" s="40">
        <f t="array" ref="A2078">IFNA(index(PlayerValues!A:A,match(IFNA(vlookup(B2078,'Special Names'!A:B,2,FALSE),B2078),PlayerValues!E:E,0)),"N/A")</f>
        <v>16190</v>
      </c>
      <c r="B2078" s="4" t="s">
        <v>371</v>
      </c>
      <c r="C2078" s="4" t="s">
        <v>287</v>
      </c>
      <c r="D2078" s="94">
        <v>4691.0</v>
      </c>
    </row>
    <row r="2079">
      <c r="A2079" s="40">
        <f t="array" ref="A2079">IFNA(index(PlayerValues!A:A,match(IFNA(vlookup(B2079,'Special Names'!A:B,2,FALSE),B2079),PlayerValues!E:E,0)),"N/A")</f>
        <v>12611</v>
      </c>
      <c r="B2079" s="4" t="s">
        <v>410</v>
      </c>
      <c r="C2079" s="4" t="s">
        <v>283</v>
      </c>
      <c r="D2079" s="94">
        <v>4626.0</v>
      </c>
    </row>
    <row r="2080">
      <c r="A2080" s="40">
        <f t="array" ref="A2080">IFNA(index(PlayerValues!A:A,match(IFNA(vlookup(B2080,'Special Names'!A:B,2,FALSE),B2080),PlayerValues!E:E,0)),"N/A")</f>
        <v>16214</v>
      </c>
      <c r="B2080" s="4" t="s">
        <v>413</v>
      </c>
      <c r="C2080" s="4" t="s">
        <v>298</v>
      </c>
      <c r="D2080" s="94">
        <v>5137.0</v>
      </c>
    </row>
    <row r="2081">
      <c r="A2081" s="40">
        <f t="array" ref="A2081">IFNA(index(PlayerValues!A:A,match(IFNA(vlookup(B2081,'Special Names'!A:B,2,FALSE),B2081),PlayerValues!E:E,0)),"N/A")</f>
        <v>17039</v>
      </c>
      <c r="B2081" s="4" t="s">
        <v>400</v>
      </c>
      <c r="C2081" s="4" t="s">
        <v>283</v>
      </c>
      <c r="D2081" s="94">
        <v>4586.0</v>
      </c>
    </row>
    <row r="2082">
      <c r="A2082" s="40">
        <f t="array" ref="A2082">IFNA(index(PlayerValues!A:A,match(IFNA(vlookup(B2082,'Special Names'!A:B,2,FALSE),B2082),PlayerValues!E:E,0)),"N/A")</f>
        <v>15284</v>
      </c>
      <c r="B2082" s="4" t="s">
        <v>390</v>
      </c>
      <c r="C2082" s="4" t="s">
        <v>287</v>
      </c>
      <c r="D2082" s="94">
        <v>4573.0</v>
      </c>
    </row>
    <row r="2083">
      <c r="A2083" s="40">
        <f t="array" ref="A2083">IFNA(index(PlayerValues!A:A,match(IFNA(vlookup(B2083,'Special Names'!A:B,2,FALSE),B2083),PlayerValues!E:E,0)),"N/A")</f>
        <v>17068</v>
      </c>
      <c r="B2083" s="4" t="s">
        <v>450</v>
      </c>
      <c r="C2083" s="4" t="s">
        <v>278</v>
      </c>
      <c r="D2083" s="94">
        <v>4532.0</v>
      </c>
    </row>
    <row r="2084">
      <c r="A2084" s="40">
        <f t="array" ref="A2084">IFNA(index(PlayerValues!A:A,match(IFNA(vlookup(B2084,'Special Names'!A:B,2,FALSE),B2084),PlayerValues!E:E,0)),"N/A")</f>
        <v>16148</v>
      </c>
      <c r="B2084" s="4" t="s">
        <v>426</v>
      </c>
      <c r="C2084" s="4" t="s">
        <v>283</v>
      </c>
      <c r="D2084" s="94">
        <v>4501.0</v>
      </c>
    </row>
    <row r="2085">
      <c r="A2085" s="40">
        <f t="array" ref="A2085">IFNA(index(PlayerValues!A:A,match(IFNA(vlookup(B2085,'Special Names'!A:B,2,FALSE),B2085),PlayerValues!E:E,0)),"N/A")</f>
        <v>15253</v>
      </c>
      <c r="B2085" s="4" t="s">
        <v>415</v>
      </c>
      <c r="C2085" s="4" t="s">
        <v>278</v>
      </c>
      <c r="D2085" s="94">
        <v>4490.0</v>
      </c>
    </row>
    <row r="2086">
      <c r="A2086" s="40">
        <f t="array" ref="A2086">IFNA(index(PlayerValues!A:A,match(IFNA(vlookup(B2086,'Special Names'!A:B,2,FALSE),B2086),PlayerValues!E:E,0)),"N/A")</f>
        <v>15329</v>
      </c>
      <c r="B2086" s="4" t="s">
        <v>416</v>
      </c>
      <c r="C2086" s="4" t="s">
        <v>298</v>
      </c>
      <c r="D2086" s="94">
        <v>5018.0</v>
      </c>
    </row>
    <row r="2087">
      <c r="A2087" s="40">
        <f t="array" ref="A2087">IFNA(index(PlayerValues!A:A,match(IFNA(vlookup(B2087,'Special Names'!A:B,2,FALSE),B2087),PlayerValues!E:E,0)),"N/A")</f>
        <v>14073</v>
      </c>
      <c r="B2087" s="4" t="s">
        <v>464</v>
      </c>
      <c r="C2087" s="4" t="s">
        <v>278</v>
      </c>
      <c r="D2087" s="94">
        <v>4475.0</v>
      </c>
    </row>
    <row r="2088">
      <c r="A2088" s="40" t="str">
        <f t="array" ref="A2088">IFNA(index(PlayerValues!A:A,match(IFNA(vlookup(B2088,'Special Names'!A:B,2,FALSE),B2088),PlayerValues!E:E,0)),"N/A")</f>
        <v>N/A</v>
      </c>
      <c r="B2088" s="4" t="s">
        <v>105</v>
      </c>
      <c r="C2088" s="4" t="s">
        <v>325</v>
      </c>
      <c r="D2088" s="94">
        <v>4438.0</v>
      </c>
    </row>
    <row r="2089">
      <c r="A2089" s="40">
        <f t="array" ref="A2089">IFNA(index(PlayerValues!A:A,match(IFNA(vlookup(B2089,'Special Names'!A:B,2,FALSE),B2089),PlayerValues!E:E,0)),"N/A")</f>
        <v>15256</v>
      </c>
      <c r="B2089" s="4" t="s">
        <v>401</v>
      </c>
      <c r="C2089" s="4" t="s">
        <v>278</v>
      </c>
      <c r="D2089" s="94">
        <v>4384.0</v>
      </c>
    </row>
    <row r="2090">
      <c r="A2090" s="40" t="str">
        <f t="array" ref="A2090">IFNA(index(PlayerValues!A:A,match(IFNA(vlookup(B2090,'Special Names'!A:B,2,FALSE),B2090),PlayerValues!E:E,0)),"N/A")</f>
        <v>N/A</v>
      </c>
      <c r="B2090" s="4" t="s">
        <v>81</v>
      </c>
      <c r="C2090" s="4" t="s">
        <v>325</v>
      </c>
      <c r="D2090" s="94">
        <v>4332.0</v>
      </c>
    </row>
    <row r="2091">
      <c r="A2091" s="40">
        <f t="array" ref="A2091">IFNA(index(PlayerValues!A:A,match(IFNA(vlookup(B2091,'Special Names'!A:B,2,FALSE),B2091),PlayerValues!E:E,0)),"N/A")</f>
        <v>17074</v>
      </c>
      <c r="B2091" s="4" t="s">
        <v>475</v>
      </c>
      <c r="C2091" s="4" t="s">
        <v>287</v>
      </c>
      <c r="D2091" s="94">
        <v>4217.0</v>
      </c>
    </row>
    <row r="2092">
      <c r="A2092" s="40">
        <f t="array" ref="A2092">IFNA(index(PlayerValues!A:A,match(IFNA(vlookup(B2092,'Special Names'!A:B,2,FALSE),B2092),PlayerValues!E:E,0)),"N/A")</f>
        <v>17500</v>
      </c>
      <c r="B2092" s="4" t="s">
        <v>430</v>
      </c>
      <c r="C2092" s="4" t="s">
        <v>287</v>
      </c>
      <c r="D2092" s="94">
        <v>4194.0</v>
      </c>
    </row>
    <row r="2093">
      <c r="A2093" s="40">
        <f t="array" ref="A2093">IFNA(index(PlayerValues!A:A,match(IFNA(vlookup(B2093,'Special Names'!A:B,2,FALSE),B2093),PlayerValues!E:E,0)),"N/A")</f>
        <v>17099</v>
      </c>
      <c r="B2093" s="4" t="s">
        <v>474</v>
      </c>
      <c r="C2093" s="4" t="s">
        <v>298</v>
      </c>
      <c r="D2093" s="94">
        <v>4644.0</v>
      </c>
    </row>
    <row r="2094">
      <c r="A2094" s="40">
        <f t="array" ref="A2094">IFNA(index(PlayerValues!A:A,match(IFNA(vlookup(B2094,'Special Names'!A:B,2,FALSE),B2094),PlayerValues!E:E,0)),"N/A")</f>
        <v>16186</v>
      </c>
      <c r="B2094" s="4" t="s">
        <v>425</v>
      </c>
      <c r="C2094" s="4" t="s">
        <v>287</v>
      </c>
      <c r="D2094" s="94">
        <v>4064.0</v>
      </c>
    </row>
    <row r="2095">
      <c r="A2095" s="40" t="str">
        <f t="array" ref="A2095">IFNA(index(PlayerValues!A:A,match(IFNA(vlookup(B2095,'Special Names'!A:B,2,FALSE),B2095),PlayerValues!E:E,0)),"N/A")</f>
        <v>N/A</v>
      </c>
      <c r="B2095" s="4" t="s">
        <v>107</v>
      </c>
      <c r="C2095" s="4" t="s">
        <v>325</v>
      </c>
      <c r="D2095" s="94">
        <v>4001.0</v>
      </c>
    </row>
    <row r="2096">
      <c r="A2096" s="40">
        <f t="array" ref="A2096">IFNA(index(PlayerValues!A:A,match(IFNA(vlookup(B2096,'Special Names'!A:B,2,FALSE),B2096),PlayerValues!E:E,0)),"N/A")</f>
        <v>14059</v>
      </c>
      <c r="B2096" s="4" t="s">
        <v>435</v>
      </c>
      <c r="C2096" s="4" t="s">
        <v>283</v>
      </c>
      <c r="D2096" s="94">
        <v>3990.0</v>
      </c>
    </row>
    <row r="2097">
      <c r="A2097" s="40">
        <f t="array" ref="A2097">IFNA(index(PlayerValues!A:A,match(IFNA(vlookup(B2097,'Special Names'!A:B,2,FALSE),B2097),PlayerValues!E:E,0)),"N/A")</f>
        <v>17543</v>
      </c>
      <c r="B2097" s="4" t="s">
        <v>436</v>
      </c>
      <c r="C2097" s="4" t="s">
        <v>298</v>
      </c>
      <c r="D2097" s="94">
        <v>4481.0</v>
      </c>
    </row>
    <row r="2098">
      <c r="A2098" s="40">
        <f t="array" ref="A2098">IFNA(index(PlayerValues!A:A,match(IFNA(vlookup(B2098,'Special Names'!A:B,2,FALSE),B2098),PlayerValues!E:E,0)),"N/A")</f>
        <v>17501</v>
      </c>
      <c r="B2098" s="4" t="s">
        <v>404</v>
      </c>
      <c r="C2098" s="4" t="s">
        <v>287</v>
      </c>
      <c r="D2098" s="94">
        <v>3957.0</v>
      </c>
    </row>
    <row r="2099">
      <c r="A2099" s="40">
        <f t="array" ref="A2099">IFNA(index(PlayerValues!A:A,match(IFNA(vlookup(B2099,'Special Names'!A:B,2,FALSE),B2099),PlayerValues!E:E,0)),"N/A")</f>
        <v>17066</v>
      </c>
      <c r="B2099" s="4" t="s">
        <v>446</v>
      </c>
      <c r="C2099" s="4" t="s">
        <v>278</v>
      </c>
      <c r="D2099" s="94">
        <v>3935.0</v>
      </c>
    </row>
    <row r="2100">
      <c r="A2100" s="40">
        <f t="array" ref="A2100">IFNA(index(PlayerValues!A:A,match(IFNA(vlookup(B2100,'Special Names'!A:B,2,FALSE),B2100),PlayerValues!E:E,0)),"N/A")</f>
        <v>12626</v>
      </c>
      <c r="B2100" s="4" t="s">
        <v>419</v>
      </c>
      <c r="C2100" s="4" t="s">
        <v>278</v>
      </c>
      <c r="D2100" s="94">
        <v>3906.0</v>
      </c>
    </row>
    <row r="2101">
      <c r="A2101" s="40">
        <f t="array" ref="A2101">IFNA(index(PlayerValues!A:A,match(IFNA(vlookup(B2101,'Special Names'!A:B,2,FALSE),B2101),PlayerValues!E:E,0)),"N/A")</f>
        <v>16622</v>
      </c>
      <c r="B2101" s="4" t="s">
        <v>517</v>
      </c>
      <c r="C2101" s="4" t="s">
        <v>287</v>
      </c>
      <c r="D2101" s="94">
        <v>3903.0</v>
      </c>
    </row>
    <row r="2102">
      <c r="A2102" s="40">
        <f t="array" ref="A2102">IFNA(index(PlayerValues!A:A,match(IFNA(vlookup(B2102,'Special Names'!A:B,2,FALSE),B2102),PlayerValues!E:E,0)),"N/A")</f>
        <v>16206</v>
      </c>
      <c r="B2102" s="4" t="s">
        <v>431</v>
      </c>
      <c r="C2102" s="4" t="s">
        <v>287</v>
      </c>
      <c r="D2102" s="94">
        <v>3878.0</v>
      </c>
    </row>
    <row r="2103">
      <c r="A2103" s="40">
        <f t="array" ref="A2103">IFNA(index(PlayerValues!A:A,match(IFNA(vlookup(B2103,'Special Names'!A:B,2,FALSE),B2103),PlayerValues!E:E,0)),"N/A")</f>
        <v>15768</v>
      </c>
      <c r="B2103" s="4" t="s">
        <v>432</v>
      </c>
      <c r="C2103" s="4" t="s">
        <v>287</v>
      </c>
      <c r="D2103" s="94">
        <v>3861.0</v>
      </c>
    </row>
    <row r="2104">
      <c r="A2104" s="40">
        <f t="array" ref="A2104">IFNA(index(PlayerValues!A:A,match(IFNA(vlookup(B2104,'Special Names'!A:B,2,FALSE),B2104),PlayerValues!E:E,0)),"N/A")</f>
        <v>14102</v>
      </c>
      <c r="B2104" s="4" t="s">
        <v>444</v>
      </c>
      <c r="C2104" s="4" t="s">
        <v>287</v>
      </c>
      <c r="D2104" s="94">
        <v>3846.0</v>
      </c>
    </row>
    <row r="2105">
      <c r="A2105" s="40" t="str">
        <f t="array" ref="A2105">IFNA(index(PlayerValues!A:A,match(IFNA(vlookup(B2105,'Special Names'!A:B,2,FALSE),B2105),PlayerValues!E:E,0)),"N/A")</f>
        <v>N/A</v>
      </c>
      <c r="B2105" s="4" t="s">
        <v>95</v>
      </c>
      <c r="C2105" s="4" t="s">
        <v>325</v>
      </c>
      <c r="D2105" s="94">
        <v>3826.0</v>
      </c>
    </row>
    <row r="2106">
      <c r="A2106" s="40">
        <f t="array" ref="A2106">IFNA(index(PlayerValues!A:A,match(IFNA(vlookup(B2106,'Special Names'!A:B,2,FALSE),B2106),PlayerValues!E:E,0)),"N/A")</f>
        <v>17083</v>
      </c>
      <c r="B2106" s="4" t="s">
        <v>479</v>
      </c>
      <c r="C2106" s="4" t="s">
        <v>287</v>
      </c>
      <c r="D2106" s="94">
        <v>3822.0</v>
      </c>
    </row>
    <row r="2107">
      <c r="A2107" s="40">
        <f t="array" ref="A2107">IFNA(index(PlayerValues!A:A,match(IFNA(vlookup(B2107,'Special Names'!A:B,2,FALSE),B2107),PlayerValues!E:E,0)),"N/A")</f>
        <v>15789</v>
      </c>
      <c r="B2107" s="4" t="s">
        <v>421</v>
      </c>
      <c r="C2107" s="4" t="s">
        <v>287</v>
      </c>
      <c r="D2107" s="94">
        <v>3737.0</v>
      </c>
    </row>
    <row r="2108">
      <c r="A2108" s="40">
        <f t="array" ref="A2108">IFNA(index(PlayerValues!A:A,match(IFNA(vlookup(B2108,'Special Names'!A:B,2,FALSE),B2108),PlayerValues!E:E,0)),"N/A")</f>
        <v>14797</v>
      </c>
      <c r="B2108" s="4" t="s">
        <v>420</v>
      </c>
      <c r="C2108" s="4" t="s">
        <v>278</v>
      </c>
      <c r="D2108" s="94">
        <v>3731.0</v>
      </c>
    </row>
    <row r="2109">
      <c r="A2109" s="40">
        <f t="array" ref="A2109">IFNA(index(PlayerValues!A:A,match(IFNA(vlookup(B2109,'Special Names'!A:B,2,FALSE),B2109),PlayerValues!E:E,0)),"N/A")</f>
        <v>9431</v>
      </c>
      <c r="B2109" s="4" t="s">
        <v>428</v>
      </c>
      <c r="C2109" s="4" t="s">
        <v>283</v>
      </c>
      <c r="D2109" s="94">
        <v>3717.0</v>
      </c>
    </row>
    <row r="2110">
      <c r="A2110" s="40">
        <f t="array" ref="A2110">IFNA(index(PlayerValues!A:A,match(IFNA(vlookup(B2110,'Special Names'!A:B,2,FALSE),B2110),PlayerValues!E:E,0)),"N/A")</f>
        <v>11675</v>
      </c>
      <c r="B2110" s="4" t="s">
        <v>438</v>
      </c>
      <c r="C2110" s="4" t="s">
        <v>287</v>
      </c>
      <c r="D2110" s="94">
        <v>3658.0</v>
      </c>
    </row>
    <row r="2111">
      <c r="A2111" s="40">
        <f t="array" ref="A2111">IFNA(index(PlayerValues!A:A,match(IFNA(vlookup(B2111,'Special Names'!A:B,2,FALSE),B2111),PlayerValues!E:E,0)),"N/A")</f>
        <v>17477</v>
      </c>
      <c r="B2111" s="4" t="s">
        <v>452</v>
      </c>
      <c r="C2111" s="4" t="s">
        <v>278</v>
      </c>
      <c r="D2111" s="94">
        <v>3634.0</v>
      </c>
    </row>
    <row r="2112">
      <c r="A2112" s="40">
        <f t="array" ref="A2112">IFNA(index(PlayerValues!A:A,match(IFNA(vlookup(B2112,'Special Names'!A:B,2,FALSE),B2112),PlayerValues!E:E,0)),"N/A")</f>
        <v>15757</v>
      </c>
      <c r="B2112" s="4" t="s">
        <v>449</v>
      </c>
      <c r="C2112" s="4" t="s">
        <v>287</v>
      </c>
      <c r="D2112" s="94">
        <v>3624.0</v>
      </c>
    </row>
    <row r="2113">
      <c r="A2113" s="40">
        <f t="array" ref="A2113">IFNA(index(PlayerValues!A:A,match(IFNA(vlookup(B2113,'Special Names'!A:B,2,FALSE),B2113),PlayerValues!E:E,0)),"N/A")</f>
        <v>14056</v>
      </c>
      <c r="B2113" s="4" t="s">
        <v>423</v>
      </c>
      <c r="C2113" s="4" t="s">
        <v>283</v>
      </c>
      <c r="D2113" s="94">
        <v>3604.0</v>
      </c>
    </row>
    <row r="2114">
      <c r="A2114" s="40">
        <f t="array" ref="A2114">IFNA(index(PlayerValues!A:A,match(IFNA(vlookup(B2114,'Special Names'!A:B,2,FALSE),B2114),PlayerValues!E:E,0)),"N/A")</f>
        <v>16583</v>
      </c>
      <c r="B2114" s="4" t="s">
        <v>493</v>
      </c>
      <c r="C2114" s="4" t="s">
        <v>283</v>
      </c>
      <c r="D2114" s="94">
        <v>3599.0</v>
      </c>
    </row>
    <row r="2115">
      <c r="A2115" s="40">
        <f t="array" ref="A2115">IFNA(index(PlayerValues!A:A,match(IFNA(vlookup(B2115,'Special Names'!A:B,2,FALSE),B2115),PlayerValues!E:E,0)),"N/A")</f>
        <v>14842</v>
      </c>
      <c r="B2115" s="4" t="s">
        <v>456</v>
      </c>
      <c r="C2115" s="4" t="s">
        <v>287</v>
      </c>
      <c r="D2115" s="94">
        <v>3584.0</v>
      </c>
    </row>
    <row r="2116">
      <c r="A2116" s="40">
        <f t="array" ref="A2116">IFNA(index(PlayerValues!A:A,match(IFNA(vlookup(B2116,'Special Names'!A:B,2,FALSE),B2116),PlayerValues!E:E,0)),"N/A")</f>
        <v>16169</v>
      </c>
      <c r="B2116" s="4" t="s">
        <v>457</v>
      </c>
      <c r="C2116" s="4" t="s">
        <v>278</v>
      </c>
      <c r="D2116" s="94">
        <v>3576.0</v>
      </c>
    </row>
    <row r="2117">
      <c r="A2117" s="40">
        <f t="array" ref="A2117">IFNA(index(PlayerValues!A:A,match(IFNA(vlookup(B2117,'Special Names'!A:B,2,FALSE),B2117),PlayerValues!E:E,0)),"N/A")</f>
        <v>16192</v>
      </c>
      <c r="B2117" s="4" t="s">
        <v>412</v>
      </c>
      <c r="C2117" s="4" t="s">
        <v>287</v>
      </c>
      <c r="D2117" s="94">
        <v>3572.0</v>
      </c>
    </row>
    <row r="2118">
      <c r="A2118" s="40">
        <f t="array" ref="A2118">IFNA(index(PlayerValues!A:A,match(IFNA(vlookup(B2118,'Special Names'!A:B,2,FALSE),B2118),PlayerValues!E:E,0)),"N/A")</f>
        <v>16213</v>
      </c>
      <c r="B2118" s="4" t="s">
        <v>458</v>
      </c>
      <c r="C2118" s="4" t="s">
        <v>298</v>
      </c>
      <c r="D2118" s="94">
        <v>4026.0</v>
      </c>
    </row>
    <row r="2119">
      <c r="A2119" s="40">
        <f t="array" ref="A2119">IFNA(index(PlayerValues!A:A,match(IFNA(vlookup(B2119,'Special Names'!A:B,2,FALSE),B2119),PlayerValues!E:E,0)),"N/A")</f>
        <v>16584</v>
      </c>
      <c r="B2119" s="4" t="s">
        <v>569</v>
      </c>
      <c r="C2119" s="4" t="s">
        <v>283</v>
      </c>
      <c r="D2119" s="94">
        <v>3535.0</v>
      </c>
    </row>
    <row r="2120">
      <c r="A2120" s="40">
        <f t="array" ref="A2120">IFNA(index(PlayerValues!A:A,match(IFNA(vlookup(B2120,'Special Names'!A:B,2,FALSE),B2120),PlayerValues!E:E,0)),"N/A")</f>
        <v>17075</v>
      </c>
      <c r="B2120" s="4" t="s">
        <v>429</v>
      </c>
      <c r="C2120" s="4" t="s">
        <v>287</v>
      </c>
      <c r="D2120" s="94">
        <v>3534.0</v>
      </c>
    </row>
    <row r="2121">
      <c r="A2121" s="40">
        <f t="array" ref="A2121">IFNA(index(PlayerValues!A:A,match(IFNA(vlookup(B2121,'Special Names'!A:B,2,FALSE),B2121),PlayerValues!E:E,0)),"N/A")</f>
        <v>16620</v>
      </c>
      <c r="B2121" s="4" t="s">
        <v>467</v>
      </c>
      <c r="C2121" s="4" t="s">
        <v>287</v>
      </c>
      <c r="D2121" s="94">
        <v>3528.0</v>
      </c>
    </row>
    <row r="2122">
      <c r="A2122" s="40">
        <f t="array" ref="A2122">IFNA(index(PlayerValues!A:A,match(IFNA(vlookup(B2122,'Special Names'!A:B,2,FALSE),B2122),PlayerValues!E:E,0)),"N/A")</f>
        <v>16188</v>
      </c>
      <c r="B2122" s="4" t="s">
        <v>439</v>
      </c>
      <c r="C2122" s="4" t="s">
        <v>287</v>
      </c>
      <c r="D2122" s="94">
        <v>3512.0</v>
      </c>
    </row>
    <row r="2123">
      <c r="A2123" s="40" t="str">
        <f t="array" ref="A2123">IFNA(index(PlayerValues!A:A,match(IFNA(vlookup(B2123,'Special Names'!A:B,2,FALSE),B2123),PlayerValues!E:E,0)),"N/A")</f>
        <v>N/A</v>
      </c>
      <c r="B2123" s="4" t="s">
        <v>82</v>
      </c>
      <c r="C2123" s="4" t="s">
        <v>325</v>
      </c>
      <c r="D2123" s="94">
        <v>3495.0</v>
      </c>
    </row>
    <row r="2124">
      <c r="A2124" s="40">
        <f t="array" ref="A2124">IFNA(index(PlayerValues!A:A,match(IFNA(vlookup(B2124,'Special Names'!A:B,2,FALSE),B2124),PlayerValues!E:E,0)),"N/A")</f>
        <v>16593</v>
      </c>
      <c r="B2124" s="4" t="s">
        <v>442</v>
      </c>
      <c r="C2124" s="4" t="s">
        <v>278</v>
      </c>
      <c r="D2124" s="94">
        <v>3495.0</v>
      </c>
    </row>
    <row r="2125">
      <c r="A2125" s="40">
        <f t="array" ref="A2125">IFNA(index(PlayerValues!A:A,match(IFNA(vlookup(B2125,'Special Names'!A:B,2,FALSE),B2125),PlayerValues!E:E,0)),"N/A")</f>
        <v>13299</v>
      </c>
      <c r="B2125" s="4" t="s">
        <v>448</v>
      </c>
      <c r="C2125" s="4" t="s">
        <v>298</v>
      </c>
      <c r="D2125" s="94">
        <v>3945.0</v>
      </c>
    </row>
    <row r="2126">
      <c r="A2126" s="40">
        <f t="array" ref="A2126">IFNA(index(PlayerValues!A:A,match(IFNA(vlookup(B2126,'Special Names'!A:B,2,FALSE),B2126),PlayerValues!E:E,0)),"N/A")</f>
        <v>14127</v>
      </c>
      <c r="B2126" s="4" t="s">
        <v>486</v>
      </c>
      <c r="C2126" s="4" t="s">
        <v>287</v>
      </c>
      <c r="D2126" s="94">
        <v>3459.0</v>
      </c>
    </row>
    <row r="2127">
      <c r="A2127" s="40">
        <f t="array" ref="A2127">IFNA(index(PlayerValues!A:A,match(IFNA(vlookup(B2127,'Special Names'!A:B,2,FALSE),B2127),PlayerValues!E:E,0)),"N/A")</f>
        <v>17052</v>
      </c>
      <c r="B2127" s="4" t="s">
        <v>417</v>
      </c>
      <c r="C2127" s="4" t="s">
        <v>278</v>
      </c>
      <c r="D2127" s="94">
        <v>3455.0</v>
      </c>
    </row>
    <row r="2128">
      <c r="A2128" s="40">
        <f t="array" ref="A2128">IFNA(index(PlayerValues!A:A,match(IFNA(vlookup(B2128,'Special Names'!A:B,2,FALSE),B2128),PlayerValues!E:E,0)),"N/A")</f>
        <v>15742</v>
      </c>
      <c r="B2128" s="4" t="s">
        <v>447</v>
      </c>
      <c r="C2128" s="4" t="s">
        <v>278</v>
      </c>
      <c r="D2128" s="94">
        <v>3439.0</v>
      </c>
    </row>
    <row r="2129">
      <c r="A2129" s="40">
        <f t="array" ref="A2129">IFNA(index(PlayerValues!A:A,match(IFNA(vlookup(B2129,'Special Names'!A:B,2,FALSE),B2129),PlayerValues!E:E,0)),"N/A")</f>
        <v>15799</v>
      </c>
      <c r="B2129" s="4" t="s">
        <v>468</v>
      </c>
      <c r="C2129" s="4" t="s">
        <v>298</v>
      </c>
      <c r="D2129" s="94">
        <v>3859.0</v>
      </c>
    </row>
    <row r="2130">
      <c r="A2130" s="40">
        <f t="array" ref="A2130">IFNA(index(PlayerValues!A:A,match(IFNA(vlookup(B2130,'Special Names'!A:B,2,FALSE),B2130),PlayerValues!E:E,0)),"N/A")</f>
        <v>17502</v>
      </c>
      <c r="B2130" s="4" t="s">
        <v>451</v>
      </c>
      <c r="C2130" s="4" t="s">
        <v>287</v>
      </c>
      <c r="D2130" s="94">
        <v>3399.0</v>
      </c>
    </row>
    <row r="2131">
      <c r="A2131" s="40" t="str">
        <f t="array" ref="A2131">IFNA(index(PlayerValues!A:A,match(IFNA(vlookup(B2131,'Special Names'!A:B,2,FALSE),B2131),PlayerValues!E:E,0)),"N/A")</f>
        <v>N/A</v>
      </c>
      <c r="B2131" s="4" t="s">
        <v>96</v>
      </c>
      <c r="C2131" s="4" t="s">
        <v>325</v>
      </c>
      <c r="D2131" s="94">
        <v>3373.0</v>
      </c>
    </row>
    <row r="2132">
      <c r="A2132" s="40">
        <f t="array" ref="A2132">IFNA(index(PlayerValues!A:A,match(IFNA(vlookup(B2132,'Special Names'!A:B,2,FALSE),B2132),PlayerValues!E:E,0)),"N/A")</f>
        <v>14109</v>
      </c>
      <c r="B2132" s="4" t="s">
        <v>437</v>
      </c>
      <c r="C2132" s="4" t="s">
        <v>287</v>
      </c>
      <c r="D2132" s="94">
        <v>3358.0</v>
      </c>
    </row>
    <row r="2133">
      <c r="A2133" s="40">
        <f t="array" ref="A2133">IFNA(index(PlayerValues!A:A,match(IFNA(vlookup(B2133,'Special Names'!A:B,2,FALSE),B2133),PlayerValues!E:E,0)),"N/A")</f>
        <v>16594</v>
      </c>
      <c r="B2133" s="4" t="s">
        <v>607</v>
      </c>
      <c r="C2133" s="4" t="s">
        <v>278</v>
      </c>
      <c r="D2133" s="94">
        <v>3331.0</v>
      </c>
    </row>
    <row r="2134">
      <c r="A2134" s="40">
        <f t="array" ref="A2134">IFNA(index(PlayerValues!A:A,match(IFNA(vlookup(B2134,'Special Names'!A:B,2,FALSE),B2134),PlayerValues!E:E,0)),"N/A")</f>
        <v>17053</v>
      </c>
      <c r="B2134" s="4" t="s">
        <v>484</v>
      </c>
      <c r="C2134" s="4" t="s">
        <v>278</v>
      </c>
      <c r="D2134" s="94">
        <v>3330.0</v>
      </c>
    </row>
    <row r="2135">
      <c r="A2135" s="40">
        <f t="array" ref="A2135">IFNA(index(PlayerValues!A:A,match(IFNA(vlookup(B2135,'Special Names'!A:B,2,FALSE),B2135),PlayerValues!E:E,0)),"N/A")</f>
        <v>17473</v>
      </c>
      <c r="B2135" s="4" t="s">
        <v>391</v>
      </c>
      <c r="C2135" s="4" t="s">
        <v>278</v>
      </c>
      <c r="D2135" s="94">
        <v>3313.0</v>
      </c>
    </row>
    <row r="2136">
      <c r="A2136" s="40">
        <f t="array" ref="A2136">IFNA(index(PlayerValues!A:A,match(IFNA(vlookup(B2136,'Special Names'!A:B,2,FALSE),B2136),PlayerValues!E:E,0)),"N/A")</f>
        <v>13630</v>
      </c>
      <c r="B2136" s="4" t="s">
        <v>465</v>
      </c>
      <c r="C2136" s="4" t="s">
        <v>287</v>
      </c>
      <c r="D2136" s="94">
        <v>3298.0</v>
      </c>
    </row>
    <row r="2137">
      <c r="A2137" s="40">
        <f t="array" ref="A2137">IFNA(index(PlayerValues!A:A,match(IFNA(vlookup(B2137,'Special Names'!A:B,2,FALSE),B2137),PlayerValues!E:E,0)),"N/A")</f>
        <v>13635</v>
      </c>
      <c r="B2137" s="4" t="s">
        <v>424</v>
      </c>
      <c r="C2137" s="4" t="s">
        <v>287</v>
      </c>
      <c r="D2137" s="94">
        <v>3274.0</v>
      </c>
    </row>
    <row r="2138">
      <c r="A2138" s="40">
        <f t="array" ref="A2138">IFNA(index(PlayerValues!A:A,match(IFNA(vlookup(B2138,'Special Names'!A:B,2,FALSE),B2138),PlayerValues!E:E,0)),"N/A")</f>
        <v>16269</v>
      </c>
      <c r="B2138" s="4" t="s">
        <v>481</v>
      </c>
      <c r="C2138" s="4" t="s">
        <v>298</v>
      </c>
      <c r="D2138" s="94">
        <v>3709.0</v>
      </c>
    </row>
    <row r="2139">
      <c r="A2139" s="40">
        <f t="array" ref="A2139">IFNA(index(PlayerValues!A:A,match(IFNA(vlookup(B2139,'Special Names'!A:B,2,FALSE),B2139),PlayerValues!E:E,0)),"N/A")</f>
        <v>16184</v>
      </c>
      <c r="B2139" s="4" t="s">
        <v>445</v>
      </c>
      <c r="C2139" s="4" t="s">
        <v>287</v>
      </c>
      <c r="D2139" s="94">
        <v>3261.0</v>
      </c>
    </row>
    <row r="2140">
      <c r="A2140" s="40">
        <f t="array" ref="A2140">IFNA(index(PlayerValues!A:A,match(IFNA(vlookup(B2140,'Special Names'!A:B,2,FALSE),B2140),PlayerValues!E:E,0)),"N/A")</f>
        <v>15694</v>
      </c>
      <c r="B2140" s="4" t="s">
        <v>434</v>
      </c>
      <c r="C2140" s="4" t="s">
        <v>283</v>
      </c>
      <c r="D2140" s="94">
        <v>3213.0</v>
      </c>
    </row>
    <row r="2141">
      <c r="A2141" s="40">
        <f t="array" ref="A2141">IFNA(index(PlayerValues!A:A,match(IFNA(vlookup(B2141,'Special Names'!A:B,2,FALSE),B2141),PlayerValues!E:E,0)),"N/A")</f>
        <v>15712</v>
      </c>
      <c r="B2141" s="4" t="s">
        <v>488</v>
      </c>
      <c r="C2141" s="4" t="s">
        <v>278</v>
      </c>
      <c r="D2141" s="94">
        <v>3212.0</v>
      </c>
    </row>
    <row r="2142">
      <c r="A2142" s="40">
        <f t="array" ref="A2142">IFNA(index(PlayerValues!A:A,match(IFNA(vlookup(B2142,'Special Names'!A:B,2,FALSE),B2142),PlayerValues!E:E,0)),"N/A")</f>
        <v>17476</v>
      </c>
      <c r="B2142" s="4" t="s">
        <v>494</v>
      </c>
      <c r="C2142" s="4" t="s">
        <v>278</v>
      </c>
      <c r="D2142" s="94">
        <v>3202.0</v>
      </c>
    </row>
    <row r="2143">
      <c r="A2143" s="40">
        <f t="array" ref="A2143">IFNA(index(PlayerValues!A:A,match(IFNA(vlookup(B2143,'Special Names'!A:B,2,FALSE),B2143),PlayerValues!E:E,0)),"N/A")</f>
        <v>16809</v>
      </c>
      <c r="B2143" s="4" t="s">
        <v>455</v>
      </c>
      <c r="C2143" s="4" t="s">
        <v>287</v>
      </c>
      <c r="D2143" s="94">
        <v>3167.0</v>
      </c>
    </row>
    <row r="2144">
      <c r="A2144" s="40">
        <f t="array" ref="A2144">IFNA(index(PlayerValues!A:A,match(IFNA(vlookup(B2144,'Special Names'!A:B,2,FALSE),B2144),PlayerValues!E:E,0)),"N/A")</f>
        <v>16187</v>
      </c>
      <c r="B2144" s="4" t="s">
        <v>441</v>
      </c>
      <c r="C2144" s="4" t="s">
        <v>287</v>
      </c>
      <c r="D2144" s="94">
        <v>3151.0</v>
      </c>
    </row>
    <row r="2145">
      <c r="A2145" s="40">
        <f t="array" ref="A2145">IFNA(index(PlayerValues!A:A,match(IFNA(vlookup(B2145,'Special Names'!A:B,2,FALSE),B2145),PlayerValues!E:E,0)),"N/A")</f>
        <v>14823</v>
      </c>
      <c r="B2145" s="4" t="s">
        <v>459</v>
      </c>
      <c r="C2145" s="4" t="s">
        <v>278</v>
      </c>
      <c r="D2145" s="94">
        <v>3150.0</v>
      </c>
    </row>
    <row r="2146">
      <c r="A2146" s="40">
        <f t="array" ref="A2146">IFNA(index(PlayerValues!A:A,match(IFNA(vlookup(B2146,'Special Names'!A:B,2,FALSE),B2146),PlayerValues!E:E,0)),"N/A")</f>
        <v>15761</v>
      </c>
      <c r="B2146" s="4" t="s">
        <v>491</v>
      </c>
      <c r="C2146" s="4" t="s">
        <v>287</v>
      </c>
      <c r="D2146" s="94">
        <v>3111.0</v>
      </c>
    </row>
    <row r="2147">
      <c r="A2147" s="40" t="str">
        <f t="array" ref="A2147">IFNA(index(PlayerValues!A:A,match(IFNA(vlookup(B2147,'Special Names'!A:B,2,FALSE),B2147),PlayerValues!E:E,0)),"N/A")</f>
        <v>N/A</v>
      </c>
      <c r="B2147" s="4" t="s">
        <v>108</v>
      </c>
      <c r="C2147" s="4" t="s">
        <v>325</v>
      </c>
      <c r="D2147" s="94">
        <v>3078.0</v>
      </c>
    </row>
    <row r="2148">
      <c r="A2148" s="40" t="str">
        <f t="array" ref="A2148">IFNA(index(PlayerValues!A:A,match(IFNA(vlookup(B2148,'Special Names'!A:B,2,FALSE),B2148),PlayerValues!E:E,0)),"N/A")</f>
        <v>N/A</v>
      </c>
      <c r="B2148" s="4" t="s">
        <v>84</v>
      </c>
      <c r="C2148" s="4" t="s">
        <v>325</v>
      </c>
      <c r="D2148" s="94">
        <v>3074.0</v>
      </c>
    </row>
    <row r="2149">
      <c r="A2149" s="40" t="str">
        <f t="array" ref="A2149">IFNA(index(PlayerValues!A:A,match(IFNA(vlookup(B2149,'Special Names'!A:B,2,FALSE),B2149),PlayerValues!E:E,0)),"N/A")</f>
        <v>N/A</v>
      </c>
      <c r="B2149" s="4" t="s">
        <v>97</v>
      </c>
      <c r="C2149" s="4" t="s">
        <v>325</v>
      </c>
      <c r="D2149" s="94">
        <v>3068.0</v>
      </c>
    </row>
    <row r="2150">
      <c r="A2150" s="40">
        <f t="array" ref="A2150">IFNA(index(PlayerValues!A:A,match(IFNA(vlookup(B2150,'Special Names'!A:B,2,FALSE),B2150),PlayerValues!E:E,0)),"N/A")</f>
        <v>15261</v>
      </c>
      <c r="B2150" s="4" t="s">
        <v>466</v>
      </c>
      <c r="C2150" s="4" t="s">
        <v>278</v>
      </c>
      <c r="D2150" s="94">
        <v>3050.0</v>
      </c>
    </row>
    <row r="2151">
      <c r="A2151" s="40">
        <f t="array" ref="A2151">IFNA(index(PlayerValues!A:A,match(IFNA(vlookup(B2151,'Special Names'!A:B,2,FALSE),B2151),PlayerValues!E:E,0)),"N/A")</f>
        <v>16619</v>
      </c>
      <c r="B2151" s="4" t="s">
        <v>538</v>
      </c>
      <c r="C2151" s="4" t="s">
        <v>287</v>
      </c>
      <c r="D2151" s="94">
        <v>3046.0</v>
      </c>
    </row>
    <row r="2152">
      <c r="A2152" s="40">
        <f t="array" ref="A2152">IFNA(index(PlayerValues!A:A,match(IFNA(vlookup(B2152,'Special Names'!A:B,2,FALSE),B2152),PlayerValues!E:E,0)),"N/A")</f>
        <v>15798</v>
      </c>
      <c r="B2152" s="4" t="s">
        <v>443</v>
      </c>
      <c r="C2152" s="4" t="s">
        <v>298</v>
      </c>
      <c r="D2152" s="94">
        <v>3452.0</v>
      </c>
    </row>
    <row r="2153">
      <c r="A2153" s="40">
        <f t="array" ref="A2153">IFNA(index(PlayerValues!A:A,match(IFNA(vlookup(B2153,'Special Names'!A:B,2,FALSE),B2153),PlayerValues!E:E,0)),"N/A")</f>
        <v>17463</v>
      </c>
      <c r="B2153" s="4" t="s">
        <v>433</v>
      </c>
      <c r="C2153" s="4" t="s">
        <v>283</v>
      </c>
      <c r="D2153" s="94">
        <v>2990.0</v>
      </c>
    </row>
    <row r="2154">
      <c r="A2154" s="40">
        <f t="array" ref="A2154">IFNA(index(PlayerValues!A:A,match(IFNA(vlookup(B2154,'Special Names'!A:B,2,FALSE),B2154),PlayerValues!E:E,0)),"N/A")</f>
        <v>17082</v>
      </c>
      <c r="B2154" s="4" t="s">
        <v>498</v>
      </c>
      <c r="C2154" s="4" t="s">
        <v>287</v>
      </c>
      <c r="D2154" s="94">
        <v>2978.0</v>
      </c>
    </row>
    <row r="2155">
      <c r="A2155" s="40">
        <f t="array" ref="A2155">IFNA(index(PlayerValues!A:A,match(IFNA(vlookup(B2155,'Special Names'!A:B,2,FALSE),B2155),PlayerValues!E:E,0)),"N/A")</f>
        <v>15259</v>
      </c>
      <c r="B2155" s="4" t="s">
        <v>453</v>
      </c>
      <c r="C2155" s="4" t="s">
        <v>278</v>
      </c>
      <c r="D2155" s="94">
        <v>2975.0</v>
      </c>
    </row>
    <row r="2156">
      <c r="A2156" s="40">
        <f t="array" ref="A2156">IFNA(index(PlayerValues!A:A,match(IFNA(vlookup(B2156,'Special Names'!A:B,2,FALSE),B2156),PlayerValues!E:E,0)),"N/A")</f>
        <v>16193</v>
      </c>
      <c r="B2156" s="4" t="s">
        <v>487</v>
      </c>
      <c r="C2156" s="4" t="s">
        <v>287</v>
      </c>
      <c r="D2156" s="94">
        <v>2972.0</v>
      </c>
    </row>
    <row r="2157">
      <c r="A2157" s="40">
        <f t="array" ref="A2157">IFNA(index(PlayerValues!A:A,match(IFNA(vlookup(B2157,'Special Names'!A:B,2,FALSE),B2157),PlayerValues!E:E,0)),"N/A")</f>
        <v>15779</v>
      </c>
      <c r="B2157" s="4" t="s">
        <v>461</v>
      </c>
      <c r="C2157" s="4" t="s">
        <v>287</v>
      </c>
      <c r="D2157" s="94">
        <v>2971.0</v>
      </c>
    </row>
    <row r="2158">
      <c r="A2158" s="40">
        <f t="array" ref="A2158">IFNA(index(PlayerValues!A:A,match(IFNA(vlookup(B2158,'Special Names'!A:B,2,FALSE),B2158),PlayerValues!E:E,0)),"N/A")</f>
        <v>17106</v>
      </c>
      <c r="B2158" s="4" t="s">
        <v>550</v>
      </c>
      <c r="C2158" s="4" t="s">
        <v>298</v>
      </c>
      <c r="D2158" s="94">
        <v>3349.0</v>
      </c>
    </row>
    <row r="2159">
      <c r="A2159" s="40">
        <f t="array" ref="A2159">IFNA(index(PlayerValues!A:A,match(IFNA(vlookup(B2159,'Special Names'!A:B,2,FALSE),B2159),PlayerValues!E:E,0)),"N/A")</f>
        <v>17107</v>
      </c>
      <c r="B2159" s="4" t="s">
        <v>478</v>
      </c>
      <c r="C2159" s="4" t="s">
        <v>298</v>
      </c>
      <c r="D2159" s="94">
        <v>3326.0</v>
      </c>
    </row>
    <row r="2160">
      <c r="A2160" s="40">
        <f t="array" ref="A2160">IFNA(index(PlayerValues!A:A,match(IFNA(vlookup(B2160,'Special Names'!A:B,2,FALSE),B2160),PlayerValues!E:E,0)),"N/A")</f>
        <v>17031</v>
      </c>
      <c r="B2160" s="4" t="s">
        <v>535</v>
      </c>
      <c r="C2160" s="4" t="s">
        <v>283</v>
      </c>
      <c r="D2160" s="94">
        <v>2900.0</v>
      </c>
    </row>
    <row r="2161">
      <c r="A2161" s="40">
        <f t="array" ref="A2161">IFNA(index(PlayerValues!A:A,match(IFNA(vlookup(B2161,'Special Names'!A:B,2,FALSE),B2161),PlayerValues!E:E,0)),"N/A")</f>
        <v>17256</v>
      </c>
      <c r="B2161" s="4" t="s">
        <v>462</v>
      </c>
      <c r="C2161" s="4" t="s">
        <v>278</v>
      </c>
      <c r="D2161" s="94">
        <v>2891.0</v>
      </c>
    </row>
    <row r="2162">
      <c r="A2162" s="40">
        <f t="array" ref="A2162">IFNA(index(PlayerValues!A:A,match(IFNA(vlookup(B2162,'Special Names'!A:B,2,FALSE),B2162),PlayerValues!E:E,0)),"N/A")</f>
        <v>16723</v>
      </c>
      <c r="B2162" s="4" t="s">
        <v>502</v>
      </c>
      <c r="C2162" s="4" t="s">
        <v>298</v>
      </c>
      <c r="D2162" s="94">
        <v>3297.0</v>
      </c>
    </row>
    <row r="2163">
      <c r="A2163" s="40">
        <f t="array" ref="A2163">IFNA(index(PlayerValues!A:A,match(IFNA(vlookup(B2163,'Special Names'!A:B,2,FALSE),B2163),PlayerValues!E:E,0)),"N/A")</f>
        <v>11671</v>
      </c>
      <c r="B2163" s="4" t="s">
        <v>463</v>
      </c>
      <c r="C2163" s="4" t="s">
        <v>287</v>
      </c>
      <c r="D2163" s="94">
        <v>2867.0</v>
      </c>
    </row>
    <row r="2164">
      <c r="A2164" s="40">
        <f t="array" ref="A2164">IFNA(index(PlayerValues!A:A,match(IFNA(vlookup(B2164,'Special Names'!A:B,2,FALSE),B2164),PlayerValues!E:E,0)),"N/A")</f>
        <v>16628</v>
      </c>
      <c r="B2164" s="4" t="s">
        <v>490</v>
      </c>
      <c r="C2164" s="4" t="s">
        <v>287</v>
      </c>
      <c r="D2164" s="94">
        <v>2864.0</v>
      </c>
    </row>
    <row r="2165">
      <c r="A2165" s="40">
        <f t="array" ref="A2165">IFNA(index(PlayerValues!A:A,match(IFNA(vlookup(B2165,'Special Names'!A:B,2,FALSE),B2165),PlayerValues!E:E,0)),"N/A")</f>
        <v>17171</v>
      </c>
      <c r="B2165" s="4" t="s">
        <v>561</v>
      </c>
      <c r="C2165" s="4" t="s">
        <v>287</v>
      </c>
      <c r="D2165" s="94">
        <v>2851.0</v>
      </c>
    </row>
    <row r="2166">
      <c r="A2166" s="40">
        <f t="array" ref="A2166">IFNA(index(PlayerValues!A:A,match(IFNA(vlookup(B2166,'Special Names'!A:B,2,FALSE),B2166),PlayerValues!E:E,0)),"N/A")</f>
        <v>16596</v>
      </c>
      <c r="B2166" s="4" t="s">
        <v>501</v>
      </c>
      <c r="C2166" s="4" t="s">
        <v>278</v>
      </c>
      <c r="D2166" s="94">
        <v>2844.0</v>
      </c>
    </row>
    <row r="2167">
      <c r="A2167" s="40">
        <f t="array" ref="A2167">IFNA(index(PlayerValues!A:A,match(IFNA(vlookup(B2167,'Special Names'!A:B,2,FALSE),B2167),PlayerValues!E:E,0)),"N/A")</f>
        <v>17073</v>
      </c>
      <c r="B2167" s="4" t="s">
        <v>547</v>
      </c>
      <c r="C2167" s="4" t="s">
        <v>287</v>
      </c>
      <c r="D2167" s="94">
        <v>2841.0</v>
      </c>
    </row>
    <row r="2168">
      <c r="A2168" s="40">
        <f t="array" ref="A2168">IFNA(index(PlayerValues!A:A,match(IFNA(vlookup(B2168,'Special Names'!A:B,2,FALSE),B2168),PlayerValues!E:E,0)),"N/A")</f>
        <v>14860</v>
      </c>
      <c r="B2168" s="4" t="s">
        <v>554</v>
      </c>
      <c r="C2168" s="4" t="s">
        <v>287</v>
      </c>
      <c r="D2168" s="94">
        <v>2839.0</v>
      </c>
    </row>
    <row r="2169">
      <c r="A2169" s="40">
        <f t="array" ref="A2169">IFNA(index(PlayerValues!A:A,match(IFNA(vlookup(B2169,'Special Names'!A:B,2,FALSE),B2169),PlayerValues!E:E,0)),"N/A")</f>
        <v>17072</v>
      </c>
      <c r="B2169" s="4" t="s">
        <v>508</v>
      </c>
      <c r="C2169" s="4" t="s">
        <v>287</v>
      </c>
      <c r="D2169" s="94">
        <v>2839.0</v>
      </c>
    </row>
    <row r="2170">
      <c r="A2170" s="40">
        <f t="array" ref="A2170">IFNA(index(PlayerValues!A:A,match(IFNA(vlookup(B2170,'Special Names'!A:B,2,FALSE),B2170),PlayerValues!E:E,0)),"N/A")</f>
        <v>17157</v>
      </c>
      <c r="B2170" s="4" t="s">
        <v>524</v>
      </c>
      <c r="C2170" s="4" t="s">
        <v>287</v>
      </c>
      <c r="D2170" s="94">
        <v>2835.0</v>
      </c>
    </row>
    <row r="2171">
      <c r="A2171" s="40">
        <f t="array" ref="A2171">IFNA(index(PlayerValues!A:A,match(IFNA(vlookup(B2171,'Special Names'!A:B,2,FALSE),B2171),PlayerValues!E:E,0)),"N/A")</f>
        <v>16080</v>
      </c>
      <c r="B2171" s="4" t="s">
        <v>499</v>
      </c>
      <c r="C2171" s="4" t="s">
        <v>287</v>
      </c>
      <c r="D2171" s="94">
        <v>2829.0</v>
      </c>
    </row>
    <row r="2172">
      <c r="A2172" s="40">
        <f t="array" ref="A2172">IFNA(index(PlayerValues!A:A,match(IFNA(vlookup(B2172,'Special Names'!A:B,2,FALSE),B2172),PlayerValues!E:E,0)),"N/A")</f>
        <v>17511</v>
      </c>
      <c r="B2172" s="4" t="s">
        <v>485</v>
      </c>
      <c r="C2172" s="4" t="s">
        <v>287</v>
      </c>
      <c r="D2172" s="94">
        <v>2819.0</v>
      </c>
    </row>
    <row r="2173">
      <c r="A2173" s="40">
        <f t="array" ref="A2173">IFNA(index(PlayerValues!A:A,match(IFNA(vlookup(B2173,'Special Names'!A:B,2,FALSE),B2173),PlayerValues!E:E,0)),"N/A")</f>
        <v>16165</v>
      </c>
      <c r="B2173" s="4" t="s">
        <v>520</v>
      </c>
      <c r="C2173" s="4" t="s">
        <v>278</v>
      </c>
      <c r="D2173" s="94">
        <v>2810.0</v>
      </c>
    </row>
    <row r="2174">
      <c r="A2174" s="40">
        <f t="array" ref="A2174">IFNA(index(PlayerValues!A:A,match(IFNA(vlookup(B2174,'Special Names'!A:B,2,FALSE),B2174),PlayerValues!E:E,0)),"N/A")</f>
        <v>15255</v>
      </c>
      <c r="B2174" s="4" t="s">
        <v>477</v>
      </c>
      <c r="C2174" s="4" t="s">
        <v>278</v>
      </c>
      <c r="D2174" s="94">
        <v>2804.0</v>
      </c>
    </row>
    <row r="2175">
      <c r="A2175" s="40" t="str">
        <f t="array" ref="A2175">IFNA(index(PlayerValues!A:A,match(IFNA(vlookup(B2175,'Special Names'!A:B,2,FALSE),B2175),PlayerValues!E:E,0)),"N/A")</f>
        <v>N/A</v>
      </c>
      <c r="B2175" s="4" t="s">
        <v>85</v>
      </c>
      <c r="C2175" s="4" t="s">
        <v>325</v>
      </c>
      <c r="D2175" s="94">
        <v>2804.0</v>
      </c>
    </row>
    <row r="2176">
      <c r="A2176" s="40">
        <f t="array" ref="A2176">IFNA(index(PlayerValues!A:A,match(IFNA(vlookup(B2176,'Special Names'!A:B,2,FALSE),B2176),PlayerValues!E:E,0)),"N/A")</f>
        <v>17134</v>
      </c>
      <c r="B2176" s="4" t="s">
        <v>548</v>
      </c>
      <c r="C2176" s="4" t="s">
        <v>287</v>
      </c>
      <c r="D2176" s="94">
        <v>2803.0</v>
      </c>
    </row>
    <row r="2177">
      <c r="A2177" s="40" t="str">
        <f t="array" ref="A2177">IFNA(index(PlayerValues!A:A,match(IFNA(vlookup(B2177,'Special Names'!A:B,2,FALSE),B2177),PlayerValues!E:E,0)),"N/A")</f>
        <v>N/A</v>
      </c>
      <c r="B2177" s="4" t="s">
        <v>109</v>
      </c>
      <c r="C2177" s="4" t="s">
        <v>325</v>
      </c>
      <c r="D2177" s="94">
        <v>2799.0</v>
      </c>
    </row>
    <row r="2178">
      <c r="A2178" s="40">
        <f t="array" ref="A2178">IFNA(index(PlayerValues!A:A,match(IFNA(vlookup(B2178,'Special Names'!A:B,2,FALSE),B2178),PlayerValues!E:E,0)),"N/A")</f>
        <v>15241</v>
      </c>
      <c r="B2178" s="4" t="s">
        <v>546</v>
      </c>
      <c r="C2178" s="4" t="s">
        <v>283</v>
      </c>
      <c r="D2178" s="94">
        <v>2797.0</v>
      </c>
    </row>
    <row r="2179">
      <c r="A2179" s="40">
        <f t="array" ref="A2179">IFNA(index(PlayerValues!A:A,match(IFNA(vlookup(B2179,'Special Names'!A:B,2,FALSE),B2179),PlayerValues!E:E,0)),"N/A")</f>
        <v>16649</v>
      </c>
      <c r="B2179" s="4" t="s">
        <v>586</v>
      </c>
      <c r="C2179" s="4" t="s">
        <v>298</v>
      </c>
      <c r="D2179" s="94">
        <v>3215.0</v>
      </c>
    </row>
    <row r="2180">
      <c r="A2180" s="40">
        <f t="array" ref="A2180">IFNA(index(PlayerValues!A:A,match(IFNA(vlookup(B2180,'Special Names'!A:B,2,FALSE),B2180),PlayerValues!E:E,0)),"N/A")</f>
        <v>14071</v>
      </c>
      <c r="B2180" s="4" t="s">
        <v>440</v>
      </c>
      <c r="C2180" s="4" t="s">
        <v>278</v>
      </c>
      <c r="D2180" s="94">
        <v>2791.0</v>
      </c>
    </row>
    <row r="2181">
      <c r="A2181" s="40">
        <f t="array" ref="A2181">IFNA(index(PlayerValues!A:A,match(IFNA(vlookup(B2181,'Special Names'!A:B,2,FALSE),B2181),PlayerValues!E:E,0)),"N/A")</f>
        <v>17080</v>
      </c>
      <c r="B2181" s="4" t="s">
        <v>532</v>
      </c>
      <c r="C2181" s="4" t="s">
        <v>287</v>
      </c>
      <c r="D2181" s="94">
        <v>2782.0</v>
      </c>
    </row>
    <row r="2182">
      <c r="A2182" s="40">
        <f t="array" ref="A2182">IFNA(index(PlayerValues!A:A,match(IFNA(vlookup(B2182,'Special Names'!A:B,2,FALSE),B2182),PlayerValues!E:E,0)),"N/A")</f>
        <v>16626</v>
      </c>
      <c r="B2182" s="4" t="s">
        <v>515</v>
      </c>
      <c r="C2182" s="4" t="s">
        <v>287</v>
      </c>
      <c r="D2182" s="94">
        <v>2766.0</v>
      </c>
    </row>
    <row r="2183">
      <c r="A2183" s="40">
        <f t="array" ref="A2183">IFNA(index(PlayerValues!A:A,match(IFNA(vlookup(B2183,'Special Names'!A:B,2,FALSE),B2183),PlayerValues!E:E,0)),"N/A")</f>
        <v>13163</v>
      </c>
      <c r="B2183" s="4" t="s">
        <v>473</v>
      </c>
      <c r="C2183" s="4" t="s">
        <v>287</v>
      </c>
      <c r="D2183" s="94">
        <v>2764.0</v>
      </c>
    </row>
    <row r="2184">
      <c r="A2184" s="40">
        <f t="array" ref="A2184">IFNA(index(PlayerValues!A:A,match(IFNA(vlookup(B2184,'Special Names'!A:B,2,FALSE),B2184),PlayerValues!E:E,0)),"N/A")</f>
        <v>14800</v>
      </c>
      <c r="B2184" s="4" t="s">
        <v>472</v>
      </c>
      <c r="C2184" s="4" t="s">
        <v>278</v>
      </c>
      <c r="D2184" s="94">
        <v>2759.0</v>
      </c>
    </row>
    <row r="2185">
      <c r="A2185" s="40">
        <f t="array" ref="A2185">IFNA(index(PlayerValues!A:A,match(IFNA(vlookup(B2185,'Special Names'!A:B,2,FALSE),B2185),PlayerValues!E:E,0)),"N/A")</f>
        <v>17098</v>
      </c>
      <c r="B2185" s="4" t="s">
        <v>533</v>
      </c>
      <c r="C2185" s="4" t="s">
        <v>287</v>
      </c>
      <c r="D2185" s="94">
        <v>2742.0</v>
      </c>
    </row>
    <row r="2186">
      <c r="A2186" s="40">
        <f t="array" ref="A2186">IFNA(index(PlayerValues!A:A,match(IFNA(vlookup(B2186,'Special Names'!A:B,2,FALSE),B2186),PlayerValues!E:E,0)),"N/A")</f>
        <v>16747</v>
      </c>
      <c r="B2186" s="4" t="s">
        <v>555</v>
      </c>
      <c r="C2186" s="4" t="s">
        <v>278</v>
      </c>
      <c r="D2186" s="94">
        <v>2738.0</v>
      </c>
    </row>
    <row r="2187">
      <c r="A2187" s="40">
        <f t="array" ref="A2187">IFNA(index(PlayerValues!A:A,match(IFNA(vlookup(B2187,'Special Names'!A:B,2,FALSE),B2187),PlayerValues!E:E,0)),"N/A")</f>
        <v>17047</v>
      </c>
      <c r="B2187" s="4" t="s">
        <v>510</v>
      </c>
      <c r="C2187" s="4" t="s">
        <v>278</v>
      </c>
      <c r="D2187" s="94">
        <v>2724.0</v>
      </c>
    </row>
    <row r="2188">
      <c r="A2188" s="40">
        <f t="array" ref="A2188">IFNA(index(PlayerValues!A:A,match(IFNA(vlookup(B2188,'Special Names'!A:B,2,FALSE),B2188),PlayerValues!E:E,0)),"N/A")</f>
        <v>14840</v>
      </c>
      <c r="B2188" s="4" t="s">
        <v>731</v>
      </c>
      <c r="C2188" s="4" t="s">
        <v>287</v>
      </c>
      <c r="D2188" s="94">
        <v>2693.0</v>
      </c>
    </row>
    <row r="2189">
      <c r="A2189" s="40">
        <f t="array" ref="A2189">IFNA(index(PlayerValues!A:A,match(IFNA(vlookup(B2189,'Special Names'!A:B,2,FALSE),B2189),PlayerValues!E:E,0)),"N/A")</f>
        <v>16597</v>
      </c>
      <c r="B2189" s="4" t="s">
        <v>427</v>
      </c>
      <c r="C2189" s="4" t="s">
        <v>278</v>
      </c>
      <c r="D2189" s="94">
        <v>2692.0</v>
      </c>
    </row>
    <row r="2190">
      <c r="A2190" s="40">
        <f t="array" ref="A2190">IFNA(index(PlayerValues!A:A,match(IFNA(vlookup(B2190,'Special Names'!A:B,2,FALSE),B2190),PlayerValues!E:E,0)),"N/A")</f>
        <v>14085</v>
      </c>
      <c r="B2190" s="4" t="s">
        <v>489</v>
      </c>
      <c r="C2190" s="4" t="s">
        <v>278</v>
      </c>
      <c r="D2190" s="94">
        <v>2685.0</v>
      </c>
    </row>
    <row r="2191">
      <c r="A2191" s="40">
        <f t="array" ref="A2191">IFNA(index(PlayerValues!A:A,match(IFNA(vlookup(B2191,'Special Names'!A:B,2,FALSE),B2191),PlayerValues!E:E,0)),"N/A")</f>
        <v>17048</v>
      </c>
      <c r="B2191" s="4" t="s">
        <v>539</v>
      </c>
      <c r="C2191" s="4" t="s">
        <v>278</v>
      </c>
      <c r="D2191" s="94">
        <v>2683.0</v>
      </c>
    </row>
    <row r="2192">
      <c r="A2192" s="40">
        <f t="array" ref="A2192">IFNA(index(PlayerValues!A:A,match(IFNA(vlookup(B2192,'Special Names'!A:B,2,FALSE),B2192),PlayerValues!E:E,0)),"N/A")</f>
        <v>17505</v>
      </c>
      <c r="B2192" s="4" t="s">
        <v>528</v>
      </c>
      <c r="C2192" s="4" t="s">
        <v>287</v>
      </c>
      <c r="D2192" s="94">
        <v>2675.0</v>
      </c>
    </row>
    <row r="2193">
      <c r="A2193" s="40">
        <f t="array" ref="A2193">IFNA(index(PlayerValues!A:A,match(IFNA(vlookup(B2193,'Special Names'!A:B,2,FALSE),B2193),PlayerValues!E:E,0)),"N/A")</f>
        <v>17507</v>
      </c>
      <c r="B2193" s="4" t="s">
        <v>495</v>
      </c>
      <c r="C2193" s="4" t="s">
        <v>287</v>
      </c>
      <c r="D2193" s="94">
        <v>2661.0</v>
      </c>
    </row>
    <row r="2194">
      <c r="A2194" s="40">
        <f t="array" ref="A2194">IFNA(index(PlayerValues!A:A,match(IFNA(vlookup(B2194,'Special Names'!A:B,2,FALSE),B2194),PlayerValues!E:E,0)),"N/A")</f>
        <v>14833</v>
      </c>
      <c r="B2194" s="4" t="s">
        <v>553</v>
      </c>
      <c r="C2194" s="4" t="s">
        <v>287</v>
      </c>
      <c r="D2194" s="94">
        <v>2647.0</v>
      </c>
    </row>
    <row r="2195">
      <c r="A2195" s="40">
        <f t="array" ref="A2195">IFNA(index(PlayerValues!A:A,match(IFNA(vlookup(B2195,'Special Names'!A:B,2,FALSE),B2195),PlayerValues!E:E,0)),"N/A")</f>
        <v>12186</v>
      </c>
      <c r="B2195" s="4" t="s">
        <v>497</v>
      </c>
      <c r="C2195" s="4" t="s">
        <v>287</v>
      </c>
      <c r="D2195" s="94">
        <v>2628.0</v>
      </c>
    </row>
    <row r="2196">
      <c r="A2196" s="40" t="str">
        <f t="array" ref="A2196">IFNA(index(PlayerValues!A:A,match(IFNA(vlookup(B2196,'Special Names'!A:B,2,FALSE),B2196),PlayerValues!E:E,0)),"N/A")</f>
        <v>N/A</v>
      </c>
      <c r="B2196" s="4" t="s">
        <v>110</v>
      </c>
      <c r="C2196" s="4" t="s">
        <v>325</v>
      </c>
      <c r="D2196" s="94">
        <v>2627.0</v>
      </c>
    </row>
    <row r="2197">
      <c r="A2197" s="40">
        <f t="array" ref="A2197">IFNA(index(PlayerValues!A:A,match(IFNA(vlookup(B2197,'Special Names'!A:B,2,FALSE),B2197),PlayerValues!E:E,0)),"N/A")</f>
        <v>14778</v>
      </c>
      <c r="B2197" s="4" t="s">
        <v>564</v>
      </c>
      <c r="C2197" s="4" t="s">
        <v>283</v>
      </c>
      <c r="D2197" s="94">
        <v>2626.0</v>
      </c>
    </row>
    <row r="2198">
      <c r="A2198" s="40">
        <f t="array" ref="A2198">IFNA(index(PlayerValues!A:A,match(IFNA(vlookup(B2198,'Special Names'!A:B,2,FALSE),B2198),PlayerValues!E:E,0)),"N/A")</f>
        <v>17046</v>
      </c>
      <c r="B2198" s="4" t="s">
        <v>602</v>
      </c>
      <c r="C2198" s="4" t="s">
        <v>278</v>
      </c>
      <c r="D2198" s="94">
        <v>2621.0</v>
      </c>
    </row>
    <row r="2199">
      <c r="A2199" s="40">
        <f t="array" ref="A2199">IFNA(index(PlayerValues!A:A,match(IFNA(vlookup(B2199,'Special Names'!A:B,2,FALSE),B2199),PlayerValues!E:E,0)),"N/A")</f>
        <v>16757</v>
      </c>
      <c r="B2199" s="4" t="s">
        <v>558</v>
      </c>
      <c r="C2199" s="4" t="s">
        <v>278</v>
      </c>
      <c r="D2199" s="94">
        <v>2611.0</v>
      </c>
    </row>
    <row r="2200">
      <c r="A2200" s="40">
        <f t="array" ref="A2200">IFNA(index(PlayerValues!A:A,match(IFNA(vlookup(B2200,'Special Names'!A:B,2,FALSE),B2200),PlayerValues!E:E,0)),"N/A")</f>
        <v>14138</v>
      </c>
      <c r="B2200" s="4" t="s">
        <v>531</v>
      </c>
      <c r="C2200" s="4" t="s">
        <v>298</v>
      </c>
      <c r="D2200" s="94">
        <v>3020.0</v>
      </c>
    </row>
    <row r="2201">
      <c r="A2201" s="40">
        <f t="array" ref="A2201">IFNA(index(PlayerValues!A:A,match(IFNA(vlookup(B2201,'Special Names'!A:B,2,FALSE),B2201),PlayerValues!E:E,0)),"N/A")</f>
        <v>13674</v>
      </c>
      <c r="B2201" s="4" t="s">
        <v>511</v>
      </c>
      <c r="C2201" s="4" t="s">
        <v>298</v>
      </c>
      <c r="D2201" s="94">
        <v>3014.0</v>
      </c>
    </row>
    <row r="2202">
      <c r="A2202" s="40">
        <f t="array" ref="A2202">IFNA(index(PlayerValues!A:A,match(IFNA(vlookup(B2202,'Special Names'!A:B,2,FALSE),B2202),PlayerValues!E:E,0)),"N/A")</f>
        <v>15721</v>
      </c>
      <c r="B2202" s="4" t="s">
        <v>504</v>
      </c>
      <c r="C2202" s="4" t="s">
        <v>278</v>
      </c>
      <c r="D2202" s="94">
        <v>2585.0</v>
      </c>
    </row>
    <row r="2203">
      <c r="A2203" s="40" t="str">
        <f t="array" ref="A2203">IFNA(index(PlayerValues!A:A,match(IFNA(vlookup(B2203,'Special Names'!A:B,2,FALSE),B2203),PlayerValues!E:E,0)),"N/A")</f>
        <v>N/A</v>
      </c>
      <c r="B2203" s="4" t="s">
        <v>557</v>
      </c>
      <c r="C2203" s="4" t="s">
        <v>278</v>
      </c>
      <c r="D2203" s="94">
        <v>2579.0</v>
      </c>
    </row>
    <row r="2204">
      <c r="A2204" s="40">
        <f t="array" ref="A2204">IFNA(index(PlayerValues!A:A,match(IFNA(vlookup(B2204,'Special Names'!A:B,2,FALSE),B2204),PlayerValues!E:E,0)),"N/A")</f>
        <v>17108</v>
      </c>
      <c r="B2204" s="4" t="s">
        <v>542</v>
      </c>
      <c r="C2204" s="4" t="s">
        <v>298</v>
      </c>
      <c r="D2204" s="94">
        <v>2988.0</v>
      </c>
    </row>
    <row r="2205">
      <c r="A2205" s="40">
        <f t="array" ref="A2205">IFNA(index(PlayerValues!A:A,match(IFNA(vlookup(B2205,'Special Names'!A:B,2,FALSE),B2205),PlayerValues!E:E,0)),"N/A")</f>
        <v>13192</v>
      </c>
      <c r="B2205" s="4" t="s">
        <v>563</v>
      </c>
      <c r="C2205" s="4" t="s">
        <v>298</v>
      </c>
      <c r="D2205" s="94">
        <v>2964.0</v>
      </c>
    </row>
    <row r="2206">
      <c r="A2206" s="40">
        <f t="array" ref="A2206">IFNA(index(PlayerValues!A:A,match(IFNA(vlookup(B2206,'Special Names'!A:B,2,FALSE),B2206),PlayerValues!E:E,0)),"N/A")</f>
        <v>16287</v>
      </c>
      <c r="B2206" s="4" t="s">
        <v>516</v>
      </c>
      <c r="C2206" s="4" t="s">
        <v>287</v>
      </c>
      <c r="D2206" s="94">
        <v>2541.0</v>
      </c>
    </row>
    <row r="2207">
      <c r="A2207" s="40">
        <f t="array" ref="A2207">IFNA(index(PlayerValues!A:A,match(IFNA(vlookup(B2207,'Special Names'!A:B,2,FALSE),B2207),PlayerValues!E:E,0)),"N/A")</f>
        <v>17464</v>
      </c>
      <c r="B2207" s="4" t="s">
        <v>828</v>
      </c>
      <c r="C2207" s="4" t="s">
        <v>283</v>
      </c>
      <c r="D2207" s="94">
        <v>2540.0</v>
      </c>
    </row>
    <row r="2208">
      <c r="A2208" s="40">
        <f t="array" ref="A2208">IFNA(index(PlayerValues!A:A,match(IFNA(vlookup(B2208,'Special Names'!A:B,2,FALSE),B2208),PlayerValues!E:E,0)),"N/A")</f>
        <v>16166</v>
      </c>
      <c r="B2208" s="4" t="s">
        <v>567</v>
      </c>
      <c r="C2208" s="4" t="s">
        <v>278</v>
      </c>
      <c r="D2208" s="94">
        <v>2537.0</v>
      </c>
    </row>
    <row r="2209">
      <c r="A2209" s="40">
        <f t="array" ref="A2209">IFNA(index(PlayerValues!A:A,match(IFNA(vlookup(B2209,'Special Names'!A:B,2,FALSE),B2209),PlayerValues!E:E,0)),"N/A")</f>
        <v>14136</v>
      </c>
      <c r="B2209" s="4" t="s">
        <v>536</v>
      </c>
      <c r="C2209" s="4" t="s">
        <v>287</v>
      </c>
      <c r="D2209" s="94">
        <v>2532.0</v>
      </c>
    </row>
    <row r="2210">
      <c r="A2210" s="40">
        <f t="array" ref="A2210">IFNA(index(PlayerValues!A:A,match(IFNA(vlookup(B2210,'Special Names'!A:B,2,FALSE),B2210),PlayerValues!E:E,0)),"N/A")</f>
        <v>13671</v>
      </c>
      <c r="B2210" s="4" t="s">
        <v>506</v>
      </c>
      <c r="C2210" s="4" t="s">
        <v>298</v>
      </c>
      <c r="D2210" s="94">
        <v>2939.0</v>
      </c>
    </row>
    <row r="2211">
      <c r="A2211" s="40">
        <f t="array" ref="A2211">IFNA(index(PlayerValues!A:A,match(IFNA(vlookup(B2211,'Special Names'!A:B,2,FALSE),B2211),PlayerValues!E:E,0)),"N/A")</f>
        <v>17078</v>
      </c>
      <c r="B2211" s="4" t="s">
        <v>543</v>
      </c>
      <c r="C2211" s="4" t="s">
        <v>287</v>
      </c>
      <c r="D2211" s="94">
        <v>2489.0</v>
      </c>
    </row>
    <row r="2212">
      <c r="A2212" s="40">
        <f t="array" ref="A2212">IFNA(index(PlayerValues!A:A,match(IFNA(vlookup(B2212,'Special Names'!A:B,2,FALSE),B2212),PlayerValues!E:E,0)),"N/A")</f>
        <v>15972</v>
      </c>
      <c r="B2212" s="4" t="s">
        <v>469</v>
      </c>
      <c r="C2212" s="4" t="s">
        <v>278</v>
      </c>
      <c r="D2212" s="94">
        <v>2485.0</v>
      </c>
    </row>
    <row r="2213">
      <c r="A2213" s="40">
        <f t="array" ref="A2213">IFNA(index(PlayerValues!A:A,match(IFNA(vlookup(B2213,'Special Names'!A:B,2,FALSE),B2213),PlayerValues!E:E,0)),"N/A")</f>
        <v>17509</v>
      </c>
      <c r="B2213" s="4" t="s">
        <v>551</v>
      </c>
      <c r="C2213" s="4" t="s">
        <v>287</v>
      </c>
      <c r="D2213" s="94">
        <v>2482.0</v>
      </c>
    </row>
    <row r="2214">
      <c r="A2214" s="40">
        <f t="array" ref="A2214">IFNA(index(PlayerValues!A:A,match(IFNA(vlookup(B2214,'Special Names'!A:B,2,FALSE),B2214),PlayerValues!E:E,0)),"N/A")</f>
        <v>17474</v>
      </c>
      <c r="B2214" s="4" t="s">
        <v>513</v>
      </c>
      <c r="C2214" s="4" t="s">
        <v>278</v>
      </c>
      <c r="D2214" s="94">
        <v>2474.0</v>
      </c>
    </row>
    <row r="2215">
      <c r="A2215" s="40">
        <f t="array" ref="A2215">IFNA(index(PlayerValues!A:A,match(IFNA(vlookup(B2215,'Special Names'!A:B,2,FALSE),B2215),PlayerValues!E:E,0)),"N/A")</f>
        <v>16164</v>
      </c>
      <c r="B2215" s="4" t="s">
        <v>512</v>
      </c>
      <c r="C2215" s="4" t="s">
        <v>278</v>
      </c>
      <c r="D2215" s="94">
        <v>2474.0</v>
      </c>
    </row>
    <row r="2216">
      <c r="A2216" s="40">
        <f t="array" ref="A2216">IFNA(index(PlayerValues!A:A,match(IFNA(vlookup(B2216,'Special Names'!A:B,2,FALSE),B2216),PlayerValues!E:E,0)),"N/A")</f>
        <v>16617</v>
      </c>
      <c r="B2216" s="4" t="s">
        <v>541</v>
      </c>
      <c r="C2216" s="4" t="s">
        <v>287</v>
      </c>
      <c r="D2216" s="94">
        <v>2470.0</v>
      </c>
    </row>
    <row r="2217">
      <c r="A2217" s="40">
        <f t="array" ref="A2217">IFNA(index(PlayerValues!A:A,match(IFNA(vlookup(B2217,'Special Names'!A:B,2,FALSE),B2217),PlayerValues!E:E,0)),"N/A")</f>
        <v>16189</v>
      </c>
      <c r="B2217" s="4" t="s">
        <v>582</v>
      </c>
      <c r="C2217" s="4" t="s">
        <v>287</v>
      </c>
      <c r="D2217" s="94">
        <v>2468.0</v>
      </c>
    </row>
    <row r="2218">
      <c r="A2218" s="40" t="str">
        <f t="array" ref="A2218">IFNA(index(PlayerValues!A:A,match(IFNA(vlookup(B2218,'Special Names'!A:B,2,FALSE),B2218),PlayerValues!E:E,0)),"N/A")</f>
        <v>N/A</v>
      </c>
      <c r="B2218" s="4" t="s">
        <v>98</v>
      </c>
      <c r="C2218" s="4" t="s">
        <v>325</v>
      </c>
      <c r="D2218" s="94">
        <v>2453.0</v>
      </c>
    </row>
    <row r="2219">
      <c r="A2219" s="40">
        <f t="array" ref="A2219">IFNA(index(PlayerValues!A:A,match(IFNA(vlookup(B2219,'Special Names'!A:B,2,FALSE),B2219),PlayerValues!E:E,0)),"N/A")</f>
        <v>16152</v>
      </c>
      <c r="B2219" s="4" t="s">
        <v>601</v>
      </c>
      <c r="C2219" s="4" t="s">
        <v>283</v>
      </c>
      <c r="D2219" s="94">
        <v>2430.0</v>
      </c>
    </row>
    <row r="2220">
      <c r="A2220" s="40">
        <f t="array" ref="A2220">IFNA(index(PlayerValues!A:A,match(IFNA(vlookup(B2220,'Special Names'!A:B,2,FALSE),B2220),PlayerValues!E:E,0)),"N/A")</f>
        <v>12616</v>
      </c>
      <c r="B2220" s="4" t="s">
        <v>529</v>
      </c>
      <c r="C2220" s="4" t="s">
        <v>283</v>
      </c>
      <c r="D2220" s="94">
        <v>2427.0</v>
      </c>
    </row>
    <row r="2221">
      <c r="A2221" s="40">
        <f t="array" ref="A2221">IFNA(index(PlayerValues!A:A,match(IFNA(vlookup(B2221,'Special Names'!A:B,2,FALSE),B2221),PlayerValues!E:E,0)),"N/A")</f>
        <v>16204</v>
      </c>
      <c r="B2221" s="4" t="s">
        <v>530</v>
      </c>
      <c r="C2221" s="4" t="s">
        <v>287</v>
      </c>
      <c r="D2221" s="94">
        <v>2411.0</v>
      </c>
    </row>
    <row r="2222">
      <c r="A2222" s="40">
        <f t="array" ref="A2222">IFNA(index(PlayerValues!A:A,match(IFNA(vlookup(B2222,'Special Names'!A:B,2,FALSE),B2222),PlayerValues!E:E,0)),"N/A")</f>
        <v>17506</v>
      </c>
      <c r="B2222" s="4" t="s">
        <v>471</v>
      </c>
      <c r="C2222" s="4" t="s">
        <v>287</v>
      </c>
      <c r="D2222" s="94">
        <v>2398.0</v>
      </c>
    </row>
    <row r="2223">
      <c r="A2223" s="40">
        <f t="array" ref="A2223">IFNA(index(PlayerValues!A:A,match(IFNA(vlookup(B2223,'Special Names'!A:B,2,FALSE),B2223),PlayerValues!E:E,0)),"N/A")</f>
        <v>12676</v>
      </c>
      <c r="B2223" s="4" t="s">
        <v>537</v>
      </c>
      <c r="C2223" s="4" t="s">
        <v>298</v>
      </c>
      <c r="D2223" s="94">
        <v>2792.0</v>
      </c>
    </row>
    <row r="2224">
      <c r="A2224" s="40">
        <f t="array" ref="A2224">IFNA(index(PlayerValues!A:A,match(IFNA(vlookup(B2224,'Special Names'!A:B,2,FALSE),B2224),PlayerValues!E:E,0)),"N/A")</f>
        <v>17033</v>
      </c>
      <c r="B2224" s="4" t="s">
        <v>570</v>
      </c>
      <c r="C2224" s="4" t="s">
        <v>283</v>
      </c>
      <c r="D2224" s="94">
        <v>2383.0</v>
      </c>
    </row>
    <row r="2225">
      <c r="A2225" s="40" t="str">
        <f t="array" ref="A2225">IFNA(index(PlayerValues!A:A,match(IFNA(vlookup(B2225,'Special Names'!A:B,2,FALSE),B2225),PlayerValues!E:E,0)),"N/A")</f>
        <v>N/A</v>
      </c>
      <c r="B2225" s="4" t="s">
        <v>86</v>
      </c>
      <c r="C2225" s="4" t="s">
        <v>325</v>
      </c>
      <c r="D2225" s="94">
        <v>2364.0</v>
      </c>
    </row>
    <row r="2226">
      <c r="A2226" s="40">
        <f t="array" ref="A2226">IFNA(index(PlayerValues!A:A,match(IFNA(vlookup(B2226,'Special Names'!A:B,2,FALSE),B2226),PlayerValues!E:E,0)),"N/A")</f>
        <v>16610</v>
      </c>
      <c r="B2226" s="4" t="s">
        <v>562</v>
      </c>
      <c r="C2226" s="4" t="s">
        <v>278</v>
      </c>
      <c r="D2226" s="94">
        <v>2358.0</v>
      </c>
    </row>
    <row r="2227">
      <c r="A2227" s="40">
        <f t="array" ref="A2227">IFNA(index(PlayerValues!A:A,match(IFNA(vlookup(B2227,'Special Names'!A:B,2,FALSE),B2227),PlayerValues!E:E,0)),"N/A")</f>
        <v>15716</v>
      </c>
      <c r="B2227" s="4" t="s">
        <v>545</v>
      </c>
      <c r="C2227" s="4" t="s">
        <v>278</v>
      </c>
      <c r="D2227" s="94">
        <v>2355.0</v>
      </c>
    </row>
    <row r="2228">
      <c r="A2228" s="40">
        <f t="array" ref="A2228">IFNA(index(PlayerValues!A:A,match(IFNA(vlookup(B2228,'Special Names'!A:B,2,FALSE),B2228),PlayerValues!E:E,0)),"N/A")</f>
        <v>14861</v>
      </c>
      <c r="B2228" s="4" t="s">
        <v>523</v>
      </c>
      <c r="C2228" s="4" t="s">
        <v>298</v>
      </c>
      <c r="D2228" s="94">
        <v>2746.0</v>
      </c>
    </row>
    <row r="2229">
      <c r="A2229" s="40">
        <f t="array" ref="A2229">IFNA(index(PlayerValues!A:A,match(IFNA(vlookup(B2229,'Special Names'!A:B,2,FALSE),B2229),PlayerValues!E:E,0)),"N/A")</f>
        <v>13132</v>
      </c>
      <c r="B2229" s="4" t="s">
        <v>598</v>
      </c>
      <c r="C2229" s="4" t="s">
        <v>278</v>
      </c>
      <c r="D2229" s="94">
        <v>2346.0</v>
      </c>
    </row>
    <row r="2230">
      <c r="A2230" s="40">
        <f t="array" ref="A2230">IFNA(index(PlayerValues!A:A,match(IFNA(vlookup(B2230,'Special Names'!A:B,2,FALSE),B2230),PlayerValues!E:E,0)),"N/A")</f>
        <v>13772</v>
      </c>
      <c r="B2230" s="4" t="s">
        <v>544</v>
      </c>
      <c r="C2230" s="4" t="s">
        <v>298</v>
      </c>
      <c r="D2230" s="94">
        <v>2742.0</v>
      </c>
    </row>
    <row r="2231">
      <c r="A2231" s="40">
        <f t="array" ref="A2231">IFNA(index(PlayerValues!A:A,match(IFNA(vlookup(B2231,'Special Names'!A:B,2,FALSE),B2231),PlayerValues!E:E,0)),"N/A")</f>
        <v>16178</v>
      </c>
      <c r="B2231" s="4" t="s">
        <v>507</v>
      </c>
      <c r="C2231" s="4" t="s">
        <v>278</v>
      </c>
      <c r="D2231" s="94">
        <v>2339.0</v>
      </c>
    </row>
    <row r="2232">
      <c r="A2232" s="40">
        <f t="array" ref="A2232">IFNA(index(PlayerValues!A:A,match(IFNA(vlookup(B2232,'Special Names'!A:B,2,FALSE),B2232),PlayerValues!E:E,0)),"N/A")</f>
        <v>17079</v>
      </c>
      <c r="B2232" s="4" t="s">
        <v>572</v>
      </c>
      <c r="C2232" s="4" t="s">
        <v>287</v>
      </c>
      <c r="D2232" s="94">
        <v>2334.0</v>
      </c>
    </row>
    <row r="2233">
      <c r="A2233" s="40">
        <f t="array" ref="A2233">IFNA(index(PlayerValues!A:A,match(IFNA(vlookup(B2233,'Special Names'!A:B,2,FALSE),B2233),PlayerValues!E:E,0)),"N/A")</f>
        <v>17105</v>
      </c>
      <c r="B2233" s="4" t="s">
        <v>525</v>
      </c>
      <c r="C2233" s="4" t="s">
        <v>298</v>
      </c>
      <c r="D2233" s="94">
        <v>2733.0</v>
      </c>
    </row>
    <row r="2234">
      <c r="A2234" s="40" t="str">
        <f t="array" ref="A2234">IFNA(index(PlayerValues!A:A,match(IFNA(vlookup(B2234,'Special Names'!A:B,2,FALSE),B2234),PlayerValues!E:E,0)),"N/A")</f>
        <v>N/A</v>
      </c>
      <c r="B2234" s="4" t="s">
        <v>99</v>
      </c>
      <c r="C2234" s="4" t="s">
        <v>325</v>
      </c>
      <c r="D2234" s="94">
        <v>2325.0</v>
      </c>
    </row>
    <row r="2235">
      <c r="A2235" s="40">
        <f t="array" ref="A2235">IFNA(index(PlayerValues!A:A,match(IFNA(vlookup(B2235,'Special Names'!A:B,2,FALSE),B2235),PlayerValues!E:E,0)),"N/A")</f>
        <v>15802</v>
      </c>
      <c r="B2235" s="4" t="s">
        <v>566</v>
      </c>
      <c r="C2235" s="4" t="s">
        <v>298</v>
      </c>
      <c r="D2235" s="94">
        <v>2722.0</v>
      </c>
    </row>
    <row r="2236">
      <c r="A2236" s="40">
        <f t="array" ref="A2236">IFNA(index(PlayerValues!A:A,match(IFNA(vlookup(B2236,'Special Names'!A:B,2,FALSE),B2236),PlayerValues!E:E,0)),"N/A")</f>
        <v>17049</v>
      </c>
      <c r="B2236" s="4" t="s">
        <v>624</v>
      </c>
      <c r="C2236" s="4" t="s">
        <v>278</v>
      </c>
      <c r="D2236" s="94">
        <v>2307.0</v>
      </c>
    </row>
    <row r="2237">
      <c r="A2237" s="40">
        <f t="array" ref="A2237">IFNA(index(PlayerValues!A:A,match(IFNA(vlookup(B2237,'Special Names'!A:B,2,FALSE),B2237),PlayerValues!E:E,0)),"N/A")</f>
        <v>12801</v>
      </c>
      <c r="B2237" s="4" t="s">
        <v>722</v>
      </c>
      <c r="C2237" s="4" t="s">
        <v>287</v>
      </c>
      <c r="D2237" s="94">
        <v>2303.0</v>
      </c>
    </row>
    <row r="2238">
      <c r="A2238" s="40">
        <f t="array" ref="A2238">IFNA(index(PlayerValues!A:A,match(IFNA(vlookup(B2238,'Special Names'!A:B,2,FALSE),B2238),PlayerValues!E:E,0)),"N/A")</f>
        <v>16212</v>
      </c>
      <c r="B2238" s="4" t="s">
        <v>568</v>
      </c>
      <c r="C2238" s="4" t="s">
        <v>298</v>
      </c>
      <c r="D2238" s="94">
        <v>2686.0</v>
      </c>
    </row>
    <row r="2239">
      <c r="A2239" s="40">
        <f t="array" ref="A2239">IFNA(index(PlayerValues!A:A,match(IFNA(vlookup(B2239,'Special Names'!A:B,2,FALSE),B2239),PlayerValues!E:E,0)),"N/A")</f>
        <v>16171</v>
      </c>
      <c r="B2239" s="4" t="s">
        <v>618</v>
      </c>
      <c r="C2239" s="4" t="s">
        <v>278</v>
      </c>
      <c r="D2239" s="94">
        <v>2282.0</v>
      </c>
    </row>
    <row r="2240">
      <c r="A2240" s="40">
        <f t="array" ref="A2240">IFNA(index(PlayerValues!A:A,match(IFNA(vlookup(B2240,'Special Names'!A:B,2,FALSE),B2240),PlayerValues!E:E,0)),"N/A")</f>
        <v>17076</v>
      </c>
      <c r="B2240" s="4" t="s">
        <v>585</v>
      </c>
      <c r="C2240" s="4" t="s">
        <v>287</v>
      </c>
      <c r="D2240" s="94">
        <v>2250.0</v>
      </c>
    </row>
    <row r="2241">
      <c r="A2241" s="40">
        <f t="array" ref="A2241">IFNA(index(PlayerValues!A:A,match(IFNA(vlookup(B2241,'Special Names'!A:B,2,FALSE),B2241),PlayerValues!E:E,0)),"N/A")</f>
        <v>16195</v>
      </c>
      <c r="B2241" s="4" t="s">
        <v>509</v>
      </c>
      <c r="C2241" s="4" t="s">
        <v>287</v>
      </c>
      <c r="D2241" s="94">
        <v>2232.0</v>
      </c>
    </row>
    <row r="2242">
      <c r="A2242" s="40">
        <f t="array" ref="A2242">IFNA(index(PlayerValues!A:A,match(IFNA(vlookup(B2242,'Special Names'!A:B,2,FALSE),B2242),PlayerValues!E:E,0)),"N/A")</f>
        <v>16342</v>
      </c>
      <c r="B2242" s="4" t="s">
        <v>583</v>
      </c>
      <c r="C2242" s="4" t="s">
        <v>287</v>
      </c>
      <c r="D2242" s="94">
        <v>2225.0</v>
      </c>
    </row>
    <row r="2243">
      <c r="A2243" s="40">
        <f t="array" ref="A2243">IFNA(index(PlayerValues!A:A,match(IFNA(vlookup(B2243,'Special Names'!A:B,2,FALSE),B2243),PlayerValues!E:E,0)),"N/A")</f>
        <v>17478</v>
      </c>
      <c r="B2243" s="4" t="s">
        <v>527</v>
      </c>
      <c r="C2243" s="4" t="s">
        <v>278</v>
      </c>
      <c r="D2243" s="94">
        <v>2215.0</v>
      </c>
    </row>
    <row r="2244">
      <c r="A2244" s="40">
        <f t="array" ref="A2244">IFNA(index(PlayerValues!A:A,match(IFNA(vlookup(B2244,'Special Names'!A:B,2,FALSE),B2244),PlayerValues!E:E,0)),"N/A")</f>
        <v>17544</v>
      </c>
      <c r="B2244" s="4" t="s">
        <v>470</v>
      </c>
      <c r="C2244" s="4" t="s">
        <v>298</v>
      </c>
      <c r="D2244" s="94">
        <v>2605.0</v>
      </c>
    </row>
    <row r="2245">
      <c r="A2245" s="40">
        <f t="array" ref="A2245">IFNA(index(PlayerValues!A:A,match(IFNA(vlookup(B2245,'Special Names'!A:B,2,FALSE),B2245),PlayerValues!E:E,0)),"N/A")</f>
        <v>16639</v>
      </c>
      <c r="B2245" s="4" t="s">
        <v>599</v>
      </c>
      <c r="C2245" s="4" t="s">
        <v>287</v>
      </c>
      <c r="D2245" s="94">
        <v>2207.0</v>
      </c>
    </row>
    <row r="2246">
      <c r="A2246" s="40">
        <f t="array" ref="A2246">IFNA(index(PlayerValues!A:A,match(IFNA(vlookup(B2246,'Special Names'!A:B,2,FALSE),B2246),PlayerValues!E:E,0)),"N/A")</f>
        <v>17034</v>
      </c>
      <c r="B2246" s="4" t="s">
        <v>643</v>
      </c>
      <c r="C2246" s="4" t="s">
        <v>283</v>
      </c>
      <c r="D2246" s="94">
        <v>2197.0</v>
      </c>
    </row>
    <row r="2247">
      <c r="A2247" s="40" t="str">
        <f t="array" ref="A2247">IFNA(index(PlayerValues!A:A,match(IFNA(vlookup(B2247,'Special Names'!A:B,2,FALSE),B2247),PlayerValues!E:E,0)),"N/A")</f>
        <v>N/A</v>
      </c>
      <c r="B2247" s="4" t="s">
        <v>100</v>
      </c>
      <c r="C2247" s="4" t="s">
        <v>325</v>
      </c>
      <c r="D2247" s="94">
        <v>2192.0</v>
      </c>
    </row>
    <row r="2248">
      <c r="A2248" s="40">
        <f t="array" ref="A2248">IFNA(index(PlayerValues!A:A,match(IFNA(vlookup(B2248,'Special Names'!A:B,2,FALSE),B2248),PlayerValues!E:E,0)),"N/A")</f>
        <v>13319</v>
      </c>
      <c r="B2248" s="4" t="s">
        <v>549</v>
      </c>
      <c r="C2248" s="4" t="s">
        <v>278</v>
      </c>
      <c r="D2248" s="94">
        <v>2190.0</v>
      </c>
    </row>
    <row r="2249">
      <c r="A2249" s="40" t="str">
        <f t="array" ref="A2249">IFNA(index(PlayerValues!A:A,match(IFNA(vlookup(B2249,'Special Names'!A:B,2,FALSE),B2249),PlayerValues!E:E,0)),"N/A")</f>
        <v>N/A</v>
      </c>
      <c r="B2249" s="4" t="s">
        <v>87</v>
      </c>
      <c r="C2249" s="4" t="s">
        <v>325</v>
      </c>
      <c r="D2249" s="94">
        <v>2189.0</v>
      </c>
    </row>
    <row r="2250">
      <c r="A2250" s="40">
        <f t="array" ref="A2250">IFNA(index(PlayerValues!A:A,match(IFNA(vlookup(B2250,'Special Names'!A:B,2,FALSE),B2250),PlayerValues!E:E,0)),"N/A")</f>
        <v>16036</v>
      </c>
      <c r="B2250" s="4" t="s">
        <v>592</v>
      </c>
      <c r="C2250" s="4" t="s">
        <v>298</v>
      </c>
      <c r="D2250" s="94">
        <v>2573.0</v>
      </c>
    </row>
    <row r="2251">
      <c r="A2251" s="40">
        <f t="array" ref="A2251">IFNA(index(PlayerValues!A:A,match(IFNA(vlookup(B2251,'Special Names'!A:B,2,FALSE),B2251),PlayerValues!E:E,0)),"N/A")</f>
        <v>17069</v>
      </c>
      <c r="B2251" s="4" t="s">
        <v>604</v>
      </c>
      <c r="C2251" s="4" t="s">
        <v>278</v>
      </c>
      <c r="D2251" s="94">
        <v>2176.0</v>
      </c>
    </row>
    <row r="2252">
      <c r="A2252" s="40">
        <f t="array" ref="A2252">IFNA(index(PlayerValues!A:A,match(IFNA(vlookup(B2252,'Special Names'!A:B,2,FALSE),B2252),PlayerValues!E:E,0)),"N/A")</f>
        <v>15889</v>
      </c>
      <c r="B2252" s="4" t="s">
        <v>503</v>
      </c>
      <c r="C2252" s="4" t="s">
        <v>298</v>
      </c>
      <c r="D2252" s="94">
        <v>2566.0</v>
      </c>
    </row>
    <row r="2253">
      <c r="A2253" s="40">
        <f t="array" ref="A2253">IFNA(index(PlayerValues!A:A,match(IFNA(vlookup(B2253,'Special Names'!A:B,2,FALSE),B2253),PlayerValues!E:E,0)),"N/A")</f>
        <v>16684</v>
      </c>
      <c r="B2253" s="4" t="s">
        <v>500</v>
      </c>
      <c r="C2253" s="4" t="s">
        <v>287</v>
      </c>
      <c r="D2253" s="94">
        <v>2173.0</v>
      </c>
    </row>
    <row r="2254">
      <c r="A2254" s="40">
        <f t="array" ref="A2254">IFNA(index(PlayerValues!A:A,match(IFNA(vlookup(B2254,'Special Names'!A:B,2,FALSE),B2254),PlayerValues!E:E,0)),"N/A")</f>
        <v>17503</v>
      </c>
      <c r="B2254" s="4" t="s">
        <v>480</v>
      </c>
      <c r="C2254" s="4" t="s">
        <v>287</v>
      </c>
      <c r="D2254" s="94">
        <v>2157.0</v>
      </c>
    </row>
    <row r="2255">
      <c r="A2255" s="40">
        <f t="array" ref="A2255">IFNA(index(PlayerValues!A:A,match(IFNA(vlookup(B2255,'Special Names'!A:B,2,FALSE),B2255),PlayerValues!E:E,0)),"N/A")</f>
        <v>15749</v>
      </c>
      <c r="B2255" s="4" t="s">
        <v>574</v>
      </c>
      <c r="C2255" s="4" t="s">
        <v>278</v>
      </c>
      <c r="D2255" s="94">
        <v>2137.0</v>
      </c>
    </row>
    <row r="2256">
      <c r="A2256" s="40">
        <f t="array" ref="A2256">IFNA(index(PlayerValues!A:A,match(IFNA(vlookup(B2256,'Special Names'!A:B,2,FALSE),B2256),PlayerValues!E:E,0)),"N/A")</f>
        <v>16752</v>
      </c>
      <c r="B2256" s="4" t="s">
        <v>597</v>
      </c>
      <c r="C2256" s="4" t="s">
        <v>278</v>
      </c>
      <c r="D2256" s="94">
        <v>2128.0</v>
      </c>
    </row>
    <row r="2257">
      <c r="A2257" s="40">
        <f t="array" ref="A2257">IFNA(index(PlayerValues!A:A,match(IFNA(vlookup(B2257,'Special Names'!A:B,2,FALSE),B2257),PlayerValues!E:E,0)),"N/A")</f>
        <v>14871</v>
      </c>
      <c r="B2257" s="4" t="s">
        <v>584</v>
      </c>
      <c r="C2257" s="4" t="s">
        <v>298</v>
      </c>
      <c r="D2257" s="94">
        <v>2513.0</v>
      </c>
    </row>
    <row r="2258">
      <c r="A2258" s="40" t="str">
        <f t="array" ref="A2258">IFNA(index(PlayerValues!A:A,match(IFNA(vlookup(B2258,'Special Names'!A:B,2,FALSE),B2258),PlayerValues!E:E,0)),"N/A")</f>
        <v>N/A</v>
      </c>
      <c r="B2258" s="4" t="s">
        <v>112</v>
      </c>
      <c r="C2258" s="4" t="s">
        <v>325</v>
      </c>
      <c r="D2258" s="94">
        <v>2121.0</v>
      </c>
    </row>
    <row r="2259">
      <c r="A2259" s="40">
        <f t="array" ref="A2259">IFNA(index(PlayerValues!A:A,match(IFNA(vlookup(B2259,'Special Names'!A:B,2,FALSE),B2259),PlayerValues!E:E,0)),"N/A")</f>
        <v>16191</v>
      </c>
      <c r="B2259" s="4" t="s">
        <v>666</v>
      </c>
      <c r="C2259" s="4" t="s">
        <v>287</v>
      </c>
      <c r="D2259" s="94">
        <v>2111.0</v>
      </c>
    </row>
    <row r="2260">
      <c r="A2260" s="40">
        <f t="array" ref="A2260">IFNA(index(PlayerValues!A:A,match(IFNA(vlookup(B2260,'Special Names'!A:B,2,FALSE),B2260),PlayerValues!E:E,0)),"N/A")</f>
        <v>17087</v>
      </c>
      <c r="B2260" s="4" t="s">
        <v>600</v>
      </c>
      <c r="C2260" s="4" t="s">
        <v>287</v>
      </c>
      <c r="D2260" s="94">
        <v>2110.0</v>
      </c>
    </row>
    <row r="2261">
      <c r="A2261" s="40">
        <f t="array" ref="A2261">IFNA(index(PlayerValues!A:A,match(IFNA(vlookup(B2261,'Special Names'!A:B,2,FALSE),B2261),PlayerValues!E:E,0)),"N/A")</f>
        <v>16644</v>
      </c>
      <c r="B2261" s="4" t="s">
        <v>640</v>
      </c>
      <c r="C2261" s="4" t="s">
        <v>298</v>
      </c>
      <c r="D2261" s="94">
        <v>2500.0</v>
      </c>
    </row>
    <row r="2262">
      <c r="A2262" s="40">
        <f t="array" ref="A2262">IFNA(index(PlayerValues!A:A,match(IFNA(vlookup(B2262,'Special Names'!A:B,2,FALSE),B2262),PlayerValues!E:E,0)),"N/A")</f>
        <v>16432</v>
      </c>
      <c r="B2262" s="4" t="s">
        <v>620</v>
      </c>
      <c r="C2262" s="4" t="s">
        <v>278</v>
      </c>
      <c r="D2262" s="94">
        <v>2101.0</v>
      </c>
    </row>
    <row r="2263">
      <c r="A2263" s="40">
        <f t="array" ref="A2263">IFNA(index(PlayerValues!A:A,match(IFNA(vlookup(B2263,'Special Names'!A:B,2,FALSE),B2263),PlayerValues!E:E,0)),"N/A")</f>
        <v>14867</v>
      </c>
      <c r="B2263" s="4" t="s">
        <v>591</v>
      </c>
      <c r="C2263" s="4" t="s">
        <v>298</v>
      </c>
      <c r="D2263" s="94">
        <v>2480.0</v>
      </c>
    </row>
    <row r="2264">
      <c r="A2264" s="40" t="str">
        <f t="array" ref="A2264">IFNA(index(PlayerValues!A:A,match(IFNA(vlookup(B2264,'Special Names'!A:B,2,FALSE),B2264),PlayerValues!E:E,0)),"N/A")</f>
        <v>N/A</v>
      </c>
      <c r="B2264" s="4" t="s">
        <v>88</v>
      </c>
      <c r="C2264" s="4" t="s">
        <v>325</v>
      </c>
      <c r="D2264" s="94">
        <v>2085.0</v>
      </c>
    </row>
    <row r="2265">
      <c r="A2265" s="40">
        <f t="array" ref="A2265">IFNA(index(PlayerValues!A:A,match(IFNA(vlookup(B2265,'Special Names'!A:B,2,FALSE),B2265),PlayerValues!E:E,0)),"N/A")</f>
        <v>16643</v>
      </c>
      <c r="B2265" s="4" t="s">
        <v>609</v>
      </c>
      <c r="C2265" s="4" t="s">
        <v>298</v>
      </c>
      <c r="D2265" s="94">
        <v>2474.0</v>
      </c>
    </row>
    <row r="2266">
      <c r="A2266" s="40">
        <f t="array" ref="A2266">IFNA(index(PlayerValues!A:A,match(IFNA(vlookup(B2266,'Special Names'!A:B,2,FALSE),B2266),PlayerValues!E:E,0)),"N/A")</f>
        <v>16174</v>
      </c>
      <c r="B2266" s="4" t="s">
        <v>505</v>
      </c>
      <c r="C2266" s="4" t="s">
        <v>278</v>
      </c>
      <c r="D2266" s="94">
        <v>2081.0</v>
      </c>
    </row>
    <row r="2267">
      <c r="A2267" s="40">
        <f t="array" ref="A2267">IFNA(index(PlayerValues!A:A,match(IFNA(vlookup(B2267,'Special Names'!A:B,2,FALSE),B2267),PlayerValues!E:E,0)),"N/A")</f>
        <v>17482</v>
      </c>
      <c r="B2267" s="4" t="s">
        <v>460</v>
      </c>
      <c r="C2267" s="4" t="s">
        <v>278</v>
      </c>
      <c r="D2267" s="94">
        <v>2072.0</v>
      </c>
    </row>
    <row r="2268">
      <c r="A2268" s="40">
        <f t="array" ref="A2268">IFNA(index(PlayerValues!A:A,match(IFNA(vlookup(B2268,'Special Names'!A:B,2,FALSE),B2268),PlayerValues!E:E,0)),"N/A")</f>
        <v>15238</v>
      </c>
      <c r="B2268" s="4" t="s">
        <v>613</v>
      </c>
      <c r="C2268" s="4" t="s">
        <v>283</v>
      </c>
      <c r="D2268" s="94">
        <v>2058.0</v>
      </c>
    </row>
    <row r="2269">
      <c r="A2269" s="40">
        <f t="array" ref="A2269">IFNA(index(PlayerValues!A:A,match(IFNA(vlookup(B2269,'Special Names'!A:B,2,FALSE),B2269),PlayerValues!E:E,0)),"N/A")</f>
        <v>15331</v>
      </c>
      <c r="B2269" s="4" t="s">
        <v>560</v>
      </c>
      <c r="C2269" s="4" t="s">
        <v>298</v>
      </c>
      <c r="D2269" s="94">
        <v>2423.0</v>
      </c>
    </row>
    <row r="2270">
      <c r="A2270" s="40">
        <f t="array" ref="A2270">IFNA(index(PlayerValues!A:A,match(IFNA(vlookup(B2270,'Special Names'!A:B,2,FALSE),B2270),PlayerValues!E:E,0)),"N/A")</f>
        <v>17517</v>
      </c>
      <c r="B2270" s="4" t="s">
        <v>454</v>
      </c>
      <c r="C2270" s="4" t="s">
        <v>287</v>
      </c>
      <c r="D2270" s="94">
        <v>2029.0</v>
      </c>
    </row>
    <row r="2271">
      <c r="A2271" s="40">
        <f t="array" ref="A2271">IFNA(index(PlayerValues!A:A,match(IFNA(vlookup(B2271,'Special Names'!A:B,2,FALSE),B2271),PlayerValues!E:E,0)),"N/A")</f>
        <v>17056</v>
      </c>
      <c r="B2271" s="4" t="s">
        <v>581</v>
      </c>
      <c r="C2271" s="4" t="s">
        <v>278</v>
      </c>
      <c r="D2271" s="94">
        <v>2025.0</v>
      </c>
    </row>
    <row r="2272">
      <c r="A2272" s="40">
        <f t="array" ref="A2272">IFNA(index(PlayerValues!A:A,match(IFNA(vlookup(B2272,'Special Names'!A:B,2,FALSE),B2272),PlayerValues!E:E,0)),"N/A")</f>
        <v>17512</v>
      </c>
      <c r="B2272" s="4" t="s">
        <v>483</v>
      </c>
      <c r="C2272" s="4" t="s">
        <v>287</v>
      </c>
      <c r="D2272" s="94">
        <v>2023.0</v>
      </c>
    </row>
    <row r="2273">
      <c r="A2273" s="40">
        <f t="array" ref="A2273">IFNA(index(PlayerValues!A:A,match(IFNA(vlookup(B2273,'Special Names'!A:B,2,FALSE),B2273),PlayerValues!E:E,0)),"N/A")</f>
        <v>13146</v>
      </c>
      <c r="B2273" s="4" t="s">
        <v>652</v>
      </c>
      <c r="C2273" s="4" t="s">
        <v>278</v>
      </c>
      <c r="D2273" s="94">
        <v>2013.0</v>
      </c>
    </row>
    <row r="2274">
      <c r="A2274" s="40">
        <f t="array" ref="A2274">IFNA(index(PlayerValues!A:A,match(IFNA(vlookup(B2274,'Special Names'!A:B,2,FALSE),B2274),PlayerValues!E:E,0)),"N/A")</f>
        <v>17547</v>
      </c>
      <c r="B2274" s="4" t="s">
        <v>552</v>
      </c>
      <c r="C2274" s="4" t="s">
        <v>298</v>
      </c>
      <c r="D2274" s="94">
        <v>2394.0</v>
      </c>
    </row>
    <row r="2275">
      <c r="A2275" s="40" t="str">
        <f t="array" ref="A2275">IFNA(index(PlayerValues!A:A,match(IFNA(vlookup(B2275,'Special Names'!A:B,2,FALSE),B2275),PlayerValues!E:E,0)),"N/A")</f>
        <v>N/A</v>
      </c>
      <c r="B2275" s="4" t="s">
        <v>113</v>
      </c>
      <c r="C2275" s="4" t="s">
        <v>325</v>
      </c>
      <c r="D2275" s="94">
        <v>2001.0</v>
      </c>
    </row>
    <row r="2276">
      <c r="A2276" s="40">
        <f t="array" ref="A2276">IFNA(index(PlayerValues!A:A,match(IFNA(vlookup(B2276,'Special Names'!A:B,2,FALSE),B2276),PlayerValues!E:E,0)),"N/A")</f>
        <v>17060</v>
      </c>
      <c r="B2276" s="4" t="s">
        <v>603</v>
      </c>
      <c r="C2276" s="4" t="s">
        <v>278</v>
      </c>
      <c r="D2276" s="94">
        <v>2000.0</v>
      </c>
    </row>
    <row r="2277">
      <c r="A2277" s="40">
        <f t="array" ref="A2277">IFNA(index(PlayerValues!A:A,match(IFNA(vlookup(B2277,'Special Names'!A:B,2,FALSE),B2277),PlayerValues!E:E,0)),"N/A")</f>
        <v>16603</v>
      </c>
      <c r="B2277" s="4" t="s">
        <v>587</v>
      </c>
      <c r="C2277" s="4" t="s">
        <v>278</v>
      </c>
      <c r="D2277" s="94">
        <v>1985.0</v>
      </c>
    </row>
    <row r="2278">
      <c r="A2278" s="40">
        <f t="array" ref="A2278">IFNA(index(PlayerValues!A:A,match(IFNA(vlookup(B2278,'Special Names'!A:B,2,FALSE),B2278),PlayerValues!E:E,0)),"N/A")</f>
        <v>14974</v>
      </c>
      <c r="B2278" s="4" t="s">
        <v>611</v>
      </c>
      <c r="C2278" s="4" t="s">
        <v>287</v>
      </c>
      <c r="D2278" s="94">
        <v>1974.0</v>
      </c>
    </row>
    <row r="2279">
      <c r="A2279" s="40">
        <f t="array" ref="A2279">IFNA(index(PlayerValues!A:A,match(IFNA(vlookup(B2279,'Special Names'!A:B,2,FALSE),B2279),PlayerValues!E:E,0)),"N/A")</f>
        <v>17546</v>
      </c>
      <c r="B2279" s="4" t="s">
        <v>671</v>
      </c>
      <c r="C2279" s="4" t="s">
        <v>298</v>
      </c>
      <c r="D2279" s="94">
        <v>2358.0</v>
      </c>
    </row>
    <row r="2280">
      <c r="A2280" s="40">
        <f t="array" ref="A2280">IFNA(index(PlayerValues!A:A,match(IFNA(vlookup(B2280,'Special Names'!A:B,2,FALSE),B2280),PlayerValues!E:E,0)),"N/A")</f>
        <v>13633</v>
      </c>
      <c r="B2280" s="4" t="s">
        <v>625</v>
      </c>
      <c r="C2280" s="4" t="s">
        <v>287</v>
      </c>
      <c r="D2280" s="94">
        <v>1964.0</v>
      </c>
    </row>
    <row r="2281">
      <c r="A2281" s="40">
        <f t="array" ref="A2281">IFNA(index(PlayerValues!A:A,match(IFNA(vlookup(B2281,'Special Names'!A:B,2,FALSE),B2281),PlayerValues!E:E,0)),"N/A")</f>
        <v>17508</v>
      </c>
      <c r="B2281" s="4" t="s">
        <v>534</v>
      </c>
      <c r="C2281" s="4" t="s">
        <v>287</v>
      </c>
      <c r="D2281" s="94">
        <v>1961.0</v>
      </c>
    </row>
    <row r="2282">
      <c r="A2282" s="40">
        <f t="array" ref="A2282">IFNA(index(PlayerValues!A:A,match(IFNA(vlookup(B2282,'Special Names'!A:B,2,FALSE),B2282),PlayerValues!E:E,0)),"N/A")</f>
        <v>15293</v>
      </c>
      <c r="B2282" s="4" t="s">
        <v>578</v>
      </c>
      <c r="C2282" s="4" t="s">
        <v>287</v>
      </c>
      <c r="D2282" s="94">
        <v>1953.0</v>
      </c>
    </row>
    <row r="2283">
      <c r="A2283" s="40">
        <f t="array" ref="A2283">IFNA(index(PlayerValues!A:A,match(IFNA(vlookup(B2283,'Special Names'!A:B,2,FALSE),B2283),PlayerValues!E:E,0)),"N/A")</f>
        <v>17184</v>
      </c>
      <c r="B2283" s="4" t="s">
        <v>588</v>
      </c>
      <c r="C2283" s="4" t="s">
        <v>287</v>
      </c>
      <c r="D2283" s="94">
        <v>1938.0</v>
      </c>
    </row>
    <row r="2284">
      <c r="A2284" s="40">
        <f t="array" ref="A2284">IFNA(index(PlayerValues!A:A,match(IFNA(vlookup(B2284,'Special Names'!A:B,2,FALSE),B2284),PlayerValues!E:E,0)),"N/A")</f>
        <v>11244</v>
      </c>
      <c r="B2284" s="4" t="s">
        <v>519</v>
      </c>
      <c r="C2284" s="4" t="s">
        <v>298</v>
      </c>
      <c r="D2284" s="94">
        <v>2317.0</v>
      </c>
    </row>
    <row r="2285">
      <c r="A2285" s="40">
        <f t="array" ref="A2285">IFNA(index(PlayerValues!A:A,match(IFNA(vlookup(B2285,'Special Names'!A:B,2,FALSE),B2285),PlayerValues!E:E,0)),"N/A")</f>
        <v>16778</v>
      </c>
      <c r="B2285" s="4" t="s">
        <v>577</v>
      </c>
      <c r="C2285" s="4" t="s">
        <v>287</v>
      </c>
      <c r="D2285" s="94">
        <v>1904.0</v>
      </c>
    </row>
    <row r="2286">
      <c r="A2286" s="40">
        <f t="array" ref="A2286">IFNA(index(PlayerValues!A:A,match(IFNA(vlookup(B2286,'Special Names'!A:B,2,FALSE),B2286),PlayerValues!E:E,0)),"N/A")</f>
        <v>16216</v>
      </c>
      <c r="B2286" s="4" t="s">
        <v>595</v>
      </c>
      <c r="C2286" s="4" t="s">
        <v>298</v>
      </c>
      <c r="D2286" s="94">
        <v>2283.0</v>
      </c>
    </row>
    <row r="2287">
      <c r="A2287" s="40">
        <f t="array" ref="A2287">IFNA(index(PlayerValues!A:A,match(IFNA(vlookup(B2287,'Special Names'!A:B,2,FALSE),B2287),PlayerValues!E:E,0)),"N/A")</f>
        <v>17465</v>
      </c>
      <c r="B2287" s="4" t="s">
        <v>649</v>
      </c>
      <c r="C2287" s="4" t="s">
        <v>283</v>
      </c>
      <c r="D2287" s="94">
        <v>1895.0</v>
      </c>
    </row>
    <row r="2288">
      <c r="A2288" s="40" t="str">
        <f t="array" ref="A2288">IFNA(index(PlayerValues!A:A,match(IFNA(vlookup(B2288,'Special Names'!A:B,2,FALSE),B2288),PlayerValues!E:E,0)),"N/A")</f>
        <v>N/A</v>
      </c>
      <c r="B2288" s="4" t="s">
        <v>114</v>
      </c>
      <c r="C2288" s="4" t="s">
        <v>325</v>
      </c>
      <c r="D2288" s="94">
        <v>1894.0</v>
      </c>
    </row>
    <row r="2289">
      <c r="A2289" s="40">
        <f t="array" ref="A2289">IFNA(index(PlayerValues!A:A,match(IFNA(vlookup(B2289,'Special Names'!A:B,2,FALSE),B2289),PlayerValues!E:E,0)),"N/A")</f>
        <v>13189</v>
      </c>
      <c r="B2289" s="4" t="s">
        <v>626</v>
      </c>
      <c r="C2289" s="4" t="s">
        <v>298</v>
      </c>
      <c r="D2289" s="94">
        <v>2275.0</v>
      </c>
    </row>
    <row r="2290">
      <c r="A2290" s="40">
        <f t="array" ref="A2290">IFNA(index(PlayerValues!A:A,match(IFNA(vlookup(B2290,'Special Names'!A:B,2,FALSE),B2290),PlayerValues!E:E,0)),"N/A")</f>
        <v>15759</v>
      </c>
      <c r="B2290" s="4" t="s">
        <v>662</v>
      </c>
      <c r="C2290" s="4" t="s">
        <v>287</v>
      </c>
      <c r="D2290" s="94">
        <v>1878.0</v>
      </c>
    </row>
    <row r="2291">
      <c r="A2291" s="40">
        <f t="array" ref="A2291">IFNA(index(PlayerValues!A:A,match(IFNA(vlookup(B2291,'Special Names'!A:B,2,FALSE),B2291),PlayerValues!E:E,0)),"N/A")</f>
        <v>16215</v>
      </c>
      <c r="B2291" s="4" t="s">
        <v>637</v>
      </c>
      <c r="C2291" s="4" t="s">
        <v>298</v>
      </c>
      <c r="D2291" s="94">
        <v>2260.0</v>
      </c>
    </row>
    <row r="2292">
      <c r="A2292" s="40">
        <f t="array" ref="A2292">IFNA(index(PlayerValues!A:A,match(IFNA(vlookup(B2292,'Special Names'!A:B,2,FALSE),B2292),PlayerValues!E:E,0)),"N/A")</f>
        <v>17036</v>
      </c>
      <c r="B2292" s="4" t="s">
        <v>617</v>
      </c>
      <c r="C2292" s="4" t="s">
        <v>283</v>
      </c>
      <c r="D2292" s="94">
        <v>1872.0</v>
      </c>
    </row>
    <row r="2293">
      <c r="A2293" s="40">
        <f t="array" ref="A2293">IFNA(index(PlayerValues!A:A,match(IFNA(vlookup(B2293,'Special Names'!A:B,2,FALSE),B2293),PlayerValues!E:E,0)),"N/A")</f>
        <v>16201</v>
      </c>
      <c r="B2293" s="4" t="s">
        <v>589</v>
      </c>
      <c r="C2293" s="4" t="s">
        <v>287</v>
      </c>
      <c r="D2293" s="94">
        <v>1857.0</v>
      </c>
    </row>
    <row r="2294">
      <c r="A2294" s="40">
        <f t="array" ref="A2294">IFNA(index(PlayerValues!A:A,match(IFNA(vlookup(B2294,'Special Names'!A:B,2,FALSE),B2294),PlayerValues!E:E,0)),"N/A")</f>
        <v>15254</v>
      </c>
      <c r="B2294" s="4" t="s">
        <v>633</v>
      </c>
      <c r="C2294" s="4" t="s">
        <v>278</v>
      </c>
      <c r="D2294" s="94">
        <v>1848.0</v>
      </c>
    </row>
    <row r="2295">
      <c r="A2295" s="40">
        <f t="array" ref="A2295">IFNA(index(PlayerValues!A:A,match(IFNA(vlookup(B2295,'Special Names'!A:B,2,FALSE),B2295),PlayerValues!E:E,0)),"N/A")</f>
        <v>16635</v>
      </c>
      <c r="B2295" s="4" t="s">
        <v>645</v>
      </c>
      <c r="C2295" s="4" t="s">
        <v>287</v>
      </c>
      <c r="D2295" s="94">
        <v>1848.0</v>
      </c>
    </row>
    <row r="2296">
      <c r="A2296" s="40">
        <f t="array" ref="A2296">IFNA(index(PlayerValues!A:A,match(IFNA(vlookup(B2296,'Special Names'!A:B,2,FALSE),B2296),PlayerValues!E:E,0)),"N/A")</f>
        <v>17061</v>
      </c>
      <c r="B2296" s="4" t="s">
        <v>580</v>
      </c>
      <c r="C2296" s="4" t="s">
        <v>278</v>
      </c>
      <c r="D2296" s="94">
        <v>1845.0</v>
      </c>
    </row>
    <row r="2297">
      <c r="A2297" s="40">
        <f t="array" ref="A2297">IFNA(index(PlayerValues!A:A,match(IFNA(vlookup(B2297,'Special Names'!A:B,2,FALSE),B2297),PlayerValues!E:E,0)),"N/A")</f>
        <v>16595</v>
      </c>
      <c r="B2297" s="4" t="s">
        <v>664</v>
      </c>
      <c r="C2297" s="4" t="s">
        <v>278</v>
      </c>
      <c r="D2297" s="94">
        <v>1838.0</v>
      </c>
    </row>
    <row r="2298">
      <c r="A2298" s="40">
        <f t="array" ref="A2298">IFNA(index(PlayerValues!A:A,match(IFNA(vlookup(B2298,'Special Names'!A:B,2,FALSE),B2298),PlayerValues!E:E,0)),"N/A")</f>
        <v>17520</v>
      </c>
      <c r="B2298" s="4" t="s">
        <v>518</v>
      </c>
      <c r="C2298" s="4" t="s">
        <v>287</v>
      </c>
      <c r="D2298" s="94">
        <v>1830.0</v>
      </c>
    </row>
    <row r="2299">
      <c r="A2299" s="40">
        <f t="array" ref="A2299">IFNA(index(PlayerValues!A:A,match(IFNA(vlookup(B2299,'Special Names'!A:B,2,FALSE),B2299),PlayerValues!E:E,0)),"N/A")</f>
        <v>15337</v>
      </c>
      <c r="B2299" s="4" t="s">
        <v>655</v>
      </c>
      <c r="C2299" s="4" t="s">
        <v>298</v>
      </c>
      <c r="D2299" s="94">
        <v>2187.0</v>
      </c>
    </row>
    <row r="2300">
      <c r="A2300" s="40">
        <f t="array" ref="A2300">IFNA(index(PlayerValues!A:A,match(IFNA(vlookup(B2300,'Special Names'!A:B,2,FALSE),B2300),PlayerValues!E:E,0)),"N/A")</f>
        <v>17035</v>
      </c>
      <c r="B2300" s="4" t="s">
        <v>650</v>
      </c>
      <c r="C2300" s="4" t="s">
        <v>283</v>
      </c>
      <c r="D2300" s="94">
        <v>1804.0</v>
      </c>
    </row>
    <row r="2301">
      <c r="A2301" s="40" t="str">
        <f t="array" ref="A2301">IFNA(index(PlayerValues!A:A,match(IFNA(vlookup(B2301,'Special Names'!A:B,2,FALSE),B2301),PlayerValues!E:E,0)),"N/A")</f>
        <v>N/A</v>
      </c>
      <c r="B2301" s="4" t="s">
        <v>101</v>
      </c>
      <c r="C2301" s="4" t="s">
        <v>325</v>
      </c>
      <c r="D2301" s="94">
        <v>1801.0</v>
      </c>
    </row>
    <row r="2302">
      <c r="A2302" s="40">
        <f t="array" ref="A2302">IFNA(index(PlayerValues!A:A,match(IFNA(vlookup(B2302,'Special Names'!A:B,2,FALSE),B2302),PlayerValues!E:E,0)),"N/A")</f>
        <v>17481</v>
      </c>
      <c r="B2302" s="4" t="s">
        <v>540</v>
      </c>
      <c r="C2302" s="4" t="s">
        <v>278</v>
      </c>
      <c r="D2302" s="94">
        <v>1801.0</v>
      </c>
    </row>
    <row r="2303">
      <c r="A2303" s="40">
        <f t="array" ref="A2303">IFNA(index(PlayerValues!A:A,match(IFNA(vlookup(B2303,'Special Names'!A:B,2,FALSE),B2303),PlayerValues!E:E,0)),"N/A")</f>
        <v>17545</v>
      </c>
      <c r="B2303" s="4" t="s">
        <v>719</v>
      </c>
      <c r="C2303" s="4" t="s">
        <v>298</v>
      </c>
      <c r="D2303" s="94">
        <v>2179.0</v>
      </c>
    </row>
    <row r="2304">
      <c r="A2304" s="40">
        <f t="array" ref="A2304">IFNA(index(PlayerValues!A:A,match(IFNA(vlookup(B2304,'Special Names'!A:B,2,FALSE),B2304),PlayerValues!E:E,0)),"N/A")</f>
        <v>16788</v>
      </c>
      <c r="B2304" s="4" t="s">
        <v>621</v>
      </c>
      <c r="C2304" s="4" t="s">
        <v>287</v>
      </c>
      <c r="D2304" s="94">
        <v>1795.0</v>
      </c>
    </row>
    <row r="2305">
      <c r="A2305" s="40">
        <f t="array" ref="A2305">IFNA(index(PlayerValues!A:A,match(IFNA(vlookup(B2305,'Special Names'!A:B,2,FALSE),B2305),PlayerValues!E:E,0)),"N/A")</f>
        <v>15786</v>
      </c>
      <c r="B2305" s="4" t="s">
        <v>521</v>
      </c>
      <c r="C2305" s="4" t="s">
        <v>287</v>
      </c>
      <c r="D2305" s="94">
        <v>1790.0</v>
      </c>
    </row>
    <row r="2306">
      <c r="A2306" s="40" t="str">
        <f t="array" ref="A2306">IFNA(index(PlayerValues!A:A,match(IFNA(vlookup(B2306,'Special Names'!A:B,2,FALSE),B2306),PlayerValues!E:E,0)),"N/A")</f>
        <v>N/A</v>
      </c>
      <c r="B2306" s="4" t="s">
        <v>89</v>
      </c>
      <c r="C2306" s="4" t="s">
        <v>325</v>
      </c>
      <c r="D2306" s="94">
        <v>1770.0</v>
      </c>
    </row>
    <row r="2307">
      <c r="A2307" s="40">
        <f t="array" ref="A2307">IFNA(index(PlayerValues!A:A,match(IFNA(vlookup(B2307,'Special Names'!A:B,2,FALSE),B2307),PlayerValues!E:E,0)),"N/A")</f>
        <v>17086</v>
      </c>
      <c r="B2307" s="4" t="s">
        <v>612</v>
      </c>
      <c r="C2307" s="4" t="s">
        <v>287</v>
      </c>
      <c r="D2307" s="94">
        <v>1764.0</v>
      </c>
    </row>
    <row r="2308">
      <c r="A2308" s="40">
        <f t="array" ref="A2308">IFNA(index(PlayerValues!A:A,match(IFNA(vlookup(B2308,'Special Names'!A:B,2,FALSE),B2308),PlayerValues!E:E,0)),"N/A")</f>
        <v>16207</v>
      </c>
      <c r="B2308" s="4" t="s">
        <v>636</v>
      </c>
      <c r="C2308" s="4" t="s">
        <v>287</v>
      </c>
      <c r="D2308" s="94">
        <v>1757.0</v>
      </c>
    </row>
    <row r="2309">
      <c r="A2309" s="40">
        <f t="array" ref="A2309">IFNA(index(PlayerValues!A:A,match(IFNA(vlookup(B2309,'Special Names'!A:B,2,FALSE),B2309),PlayerValues!E:E,0)),"N/A")</f>
        <v>11222</v>
      </c>
      <c r="B2309" s="4" t="s">
        <v>622</v>
      </c>
      <c r="C2309" s="4" t="s">
        <v>287</v>
      </c>
      <c r="D2309" s="94">
        <v>1754.0</v>
      </c>
    </row>
    <row r="2310">
      <c r="A2310" s="40">
        <f t="array" ref="A2310">IFNA(index(PlayerValues!A:A,match(IFNA(vlookup(B2310,'Special Names'!A:B,2,FALSE),B2310),PlayerValues!E:E,0)),"N/A")</f>
        <v>16585</v>
      </c>
      <c r="B2310" s="4" t="s">
        <v>623</v>
      </c>
      <c r="C2310" s="4" t="s">
        <v>283</v>
      </c>
      <c r="D2310" s="94">
        <v>1747.0</v>
      </c>
    </row>
    <row r="2311">
      <c r="A2311" s="40">
        <f t="array" ref="A2311">IFNA(index(PlayerValues!A:A,match(IFNA(vlookup(B2311,'Special Names'!A:B,2,FALSE),B2311),PlayerValues!E:E,0)),"N/A")</f>
        <v>17055</v>
      </c>
      <c r="B2311" s="4" t="s">
        <v>565</v>
      </c>
      <c r="C2311" s="4" t="s">
        <v>278</v>
      </c>
      <c r="D2311" s="94">
        <v>1738.0</v>
      </c>
    </row>
    <row r="2312">
      <c r="A2312" s="40">
        <f t="array" ref="A2312">IFNA(index(PlayerValues!A:A,match(IFNA(vlookup(B2312,'Special Names'!A:B,2,FALSE),B2312),PlayerValues!E:E,0)),"N/A")</f>
        <v>14105</v>
      </c>
      <c r="B2312" s="4" t="s">
        <v>675</v>
      </c>
      <c r="C2312" s="4" t="s">
        <v>287</v>
      </c>
      <c r="D2312" s="94">
        <v>1734.0</v>
      </c>
    </row>
    <row r="2313">
      <c r="A2313" s="40">
        <f t="array" ref="A2313">IFNA(index(PlayerValues!A:A,match(IFNA(vlookup(B2313,'Special Names'!A:B,2,FALSE),B2313),PlayerValues!E:E,0)),"N/A")</f>
        <v>17528</v>
      </c>
      <c r="B2313" s="4" t="s">
        <v>579</v>
      </c>
      <c r="C2313" s="4" t="s">
        <v>287</v>
      </c>
      <c r="D2313" s="94">
        <v>1733.0</v>
      </c>
    </row>
    <row r="2314">
      <c r="A2314" s="40">
        <f t="array" ref="A2314">IFNA(index(PlayerValues!A:A,match(IFNA(vlookup(B2314,'Special Names'!A:B,2,FALSE),B2314),PlayerValues!E:E,0)),"N/A")</f>
        <v>16629</v>
      </c>
      <c r="B2314" s="4" t="s">
        <v>605</v>
      </c>
      <c r="C2314" s="4" t="s">
        <v>287</v>
      </c>
      <c r="D2314" s="94">
        <v>1730.0</v>
      </c>
    </row>
    <row r="2315">
      <c r="A2315" s="40">
        <f t="array" ref="A2315">IFNA(index(PlayerValues!A:A,match(IFNA(vlookup(B2315,'Special Names'!A:B,2,FALSE),B2315),PlayerValues!E:E,0)),"N/A")</f>
        <v>17058</v>
      </c>
      <c r="B2315" s="4" t="s">
        <v>641</v>
      </c>
      <c r="C2315" s="4" t="s">
        <v>278</v>
      </c>
      <c r="D2315" s="94">
        <v>1721.0</v>
      </c>
    </row>
    <row r="2316">
      <c r="A2316" s="40">
        <f t="array" ref="A2316">IFNA(index(PlayerValues!A:A,match(IFNA(vlookup(B2316,'Special Names'!A:B,2,FALSE),B2316),PlayerValues!E:E,0)),"N/A")</f>
        <v>7836</v>
      </c>
      <c r="B2316" s="4" t="s">
        <v>590</v>
      </c>
      <c r="C2316" s="4" t="s">
        <v>283</v>
      </c>
      <c r="D2316" s="94">
        <v>1714.0</v>
      </c>
    </row>
    <row r="2317">
      <c r="A2317" s="40">
        <f t="array" ref="A2317">IFNA(index(PlayerValues!A:A,match(IFNA(vlookup(B2317,'Special Names'!A:B,2,FALSE),B2317),PlayerValues!E:E,0)),"N/A")</f>
        <v>16586</v>
      </c>
      <c r="B2317" s="4" t="s">
        <v>658</v>
      </c>
      <c r="C2317" s="4" t="s">
        <v>283</v>
      </c>
      <c r="D2317" s="94">
        <v>1697.0</v>
      </c>
    </row>
    <row r="2318">
      <c r="A2318" s="40">
        <f t="array" ref="A2318">IFNA(index(PlayerValues!A:A,match(IFNA(vlookup(B2318,'Special Names'!A:B,2,FALSE),B2318),PlayerValues!E:E,0)),"N/A")</f>
        <v>16601</v>
      </c>
      <c r="B2318" s="4" t="s">
        <v>648</v>
      </c>
      <c r="C2318" s="4" t="s">
        <v>278</v>
      </c>
      <c r="D2318" s="94">
        <v>1687.0</v>
      </c>
    </row>
    <row r="2319">
      <c r="A2319" s="40">
        <f t="array" ref="A2319">IFNA(index(PlayerValues!A:A,match(IFNA(vlookup(B2319,'Special Names'!A:B,2,FALSE),B2319),PlayerValues!E:E,0)),"N/A")</f>
        <v>17064</v>
      </c>
      <c r="B2319" s="4" t="s">
        <v>631</v>
      </c>
      <c r="C2319" s="4" t="s">
        <v>278</v>
      </c>
      <c r="D2319" s="94">
        <v>1676.0</v>
      </c>
    </row>
    <row r="2320">
      <c r="A2320" s="40" t="str">
        <f t="array" ref="A2320">IFNA(index(PlayerValues!A:A,match(IFNA(vlookup(B2320,'Special Names'!A:B,2,FALSE),B2320),PlayerValues!E:E,0)),"N/A")</f>
        <v>N/A</v>
      </c>
      <c r="B2320" s="4" t="s">
        <v>102</v>
      </c>
      <c r="C2320" s="4" t="s">
        <v>325</v>
      </c>
      <c r="D2320" s="94">
        <v>1670.0</v>
      </c>
    </row>
    <row r="2321">
      <c r="A2321" s="40">
        <f t="array" ref="A2321">IFNA(index(PlayerValues!A:A,match(IFNA(vlookup(B2321,'Special Names'!A:B,2,FALSE),B2321),PlayerValues!E:E,0)),"N/A")</f>
        <v>10700</v>
      </c>
      <c r="B2321" s="4" t="s">
        <v>596</v>
      </c>
      <c r="C2321" s="4" t="s">
        <v>283</v>
      </c>
      <c r="D2321" s="94">
        <v>1669.0</v>
      </c>
    </row>
    <row r="2322">
      <c r="A2322" s="40">
        <f t="array" ref="A2322">IFNA(index(PlayerValues!A:A,match(IFNA(vlookup(B2322,'Special Names'!A:B,2,FALSE),B2322),PlayerValues!E:E,0)),"N/A")</f>
        <v>15777</v>
      </c>
      <c r="B2322" s="4" t="s">
        <v>694</v>
      </c>
      <c r="C2322" s="4" t="s">
        <v>287</v>
      </c>
      <c r="D2322" s="94">
        <v>1667.0</v>
      </c>
    </row>
    <row r="2323">
      <c r="A2323" s="40">
        <f t="array" ref="A2323">IFNA(index(PlayerValues!A:A,match(IFNA(vlookup(B2323,'Special Names'!A:B,2,FALSE),B2323),PlayerValues!E:E,0)),"N/A")</f>
        <v>15787</v>
      </c>
      <c r="B2323" s="4" t="s">
        <v>610</v>
      </c>
      <c r="C2323" s="4" t="s">
        <v>287</v>
      </c>
      <c r="D2323" s="94">
        <v>1665.0</v>
      </c>
    </row>
    <row r="2324">
      <c r="A2324" s="40">
        <f t="array" ref="A2324">IFNA(index(PlayerValues!A:A,match(IFNA(vlookup(B2324,'Special Names'!A:B,2,FALSE),B2324),PlayerValues!E:E,0)),"N/A")</f>
        <v>13629</v>
      </c>
      <c r="B2324" s="4" t="s">
        <v>619</v>
      </c>
      <c r="C2324" s="4" t="s">
        <v>287</v>
      </c>
      <c r="D2324" s="94">
        <v>1664.0</v>
      </c>
    </row>
    <row r="2325">
      <c r="A2325" s="40">
        <f t="array" ref="A2325">IFNA(index(PlayerValues!A:A,match(IFNA(vlookup(B2325,'Special Names'!A:B,2,FALSE),B2325),PlayerValues!E:E,0)),"N/A")</f>
        <v>15727</v>
      </c>
      <c r="B2325" s="4" t="s">
        <v>730</v>
      </c>
      <c r="C2325" s="4" t="s">
        <v>278</v>
      </c>
      <c r="D2325" s="94">
        <v>1663.0</v>
      </c>
    </row>
    <row r="2326">
      <c r="A2326" s="40">
        <f t="array" ref="A2326">IFNA(index(PlayerValues!A:A,match(IFNA(vlookup(B2326,'Special Names'!A:B,2,FALSE),B2326),PlayerValues!E:E,0)),"N/A")</f>
        <v>16604</v>
      </c>
      <c r="B2326" s="4" t="s">
        <v>476</v>
      </c>
      <c r="C2326" s="4" t="s">
        <v>278</v>
      </c>
      <c r="D2326" s="94">
        <v>1652.0</v>
      </c>
    </row>
    <row r="2327">
      <c r="A2327" s="40">
        <f t="array" ref="A2327">IFNA(index(PlayerValues!A:A,match(IFNA(vlookup(B2327,'Special Names'!A:B,2,FALSE),B2327),PlayerValues!E:E,0)),"N/A")</f>
        <v>17205</v>
      </c>
      <c r="B2327" s="4" t="s">
        <v>665</v>
      </c>
      <c r="C2327" s="4" t="s">
        <v>287</v>
      </c>
      <c r="D2327" s="94">
        <v>1640.0</v>
      </c>
    </row>
    <row r="2328">
      <c r="A2328" s="40" t="str">
        <f t="array" ref="A2328">IFNA(index(PlayerValues!A:A,match(IFNA(vlookup(B2328,'Special Names'!A:B,2,FALSE),B2328),PlayerValues!E:E,0)),"N/A")</f>
        <v>N/A</v>
      </c>
      <c r="B2328" s="4" t="s">
        <v>115</v>
      </c>
      <c r="C2328" s="4" t="s">
        <v>325</v>
      </c>
      <c r="D2328" s="94">
        <v>1640.0</v>
      </c>
    </row>
    <row r="2329">
      <c r="A2329" s="40">
        <f t="array" ref="A2329">IFNA(index(PlayerValues!A:A,match(IFNA(vlookup(B2329,'Special Names'!A:B,2,FALSE),B2329),PlayerValues!E:E,0)),"N/A")</f>
        <v>13131</v>
      </c>
      <c r="B2329" s="4" t="s">
        <v>815</v>
      </c>
      <c r="C2329" s="4" t="s">
        <v>278</v>
      </c>
      <c r="D2329" s="94">
        <v>1635.0</v>
      </c>
    </row>
    <row r="2330">
      <c r="A2330" s="40">
        <f t="array" ref="A2330">IFNA(index(PlayerValues!A:A,match(IFNA(vlookup(B2330,'Special Names'!A:B,2,FALSE),B2330),PlayerValues!E:E,0)),"N/A")</f>
        <v>13164</v>
      </c>
      <c r="B2330" s="4" t="s">
        <v>632</v>
      </c>
      <c r="C2330" s="4" t="s">
        <v>287</v>
      </c>
      <c r="D2330" s="94">
        <v>1629.0</v>
      </c>
    </row>
    <row r="2331">
      <c r="A2331" s="40">
        <f t="array" ref="A2331">IFNA(index(PlayerValues!A:A,match(IFNA(vlookup(B2331,'Special Names'!A:B,2,FALSE),B2331),PlayerValues!E:E,0)),"N/A")</f>
        <v>17234</v>
      </c>
      <c r="B2331" s="4" t="s">
        <v>653</v>
      </c>
      <c r="C2331" s="4" t="s">
        <v>287</v>
      </c>
      <c r="D2331" s="94">
        <v>1628.0</v>
      </c>
    </row>
    <row r="2332">
      <c r="A2332" s="40">
        <f t="array" ref="A2332">IFNA(index(PlayerValues!A:A,match(IFNA(vlookup(B2332,'Special Names'!A:B,2,FALSE),B2332),PlayerValues!E:E,0)),"N/A")</f>
        <v>14143</v>
      </c>
      <c r="B2332" s="4" t="s">
        <v>635</v>
      </c>
      <c r="C2332" s="4" t="s">
        <v>298</v>
      </c>
      <c r="D2332" s="94">
        <v>1995.0</v>
      </c>
    </row>
    <row r="2333">
      <c r="A2333" s="40" t="str">
        <f t="array" ref="A2333">IFNA(index(PlayerValues!A:A,match(IFNA(vlookup(B2333,'Special Names'!A:B,2,FALSE),B2333),PlayerValues!E:E,0)),"N/A")</f>
        <v>N/A</v>
      </c>
      <c r="B2333" s="4" t="s">
        <v>90</v>
      </c>
      <c r="C2333" s="4" t="s">
        <v>325</v>
      </c>
      <c r="D2333" s="94">
        <v>1616.0</v>
      </c>
    </row>
    <row r="2334">
      <c r="A2334" s="40">
        <f t="array" ref="A2334">IFNA(index(PlayerValues!A:A,match(IFNA(vlookup(B2334,'Special Names'!A:B,2,FALSE),B2334),PlayerValues!E:E,0)),"N/A")</f>
        <v>12141</v>
      </c>
      <c r="B2334" s="4" t="s">
        <v>744</v>
      </c>
      <c r="C2334" s="4" t="s">
        <v>283</v>
      </c>
      <c r="D2334" s="94">
        <v>1615.0</v>
      </c>
    </row>
    <row r="2335">
      <c r="A2335" s="40">
        <f t="array" ref="A2335">IFNA(index(PlayerValues!A:A,match(IFNA(vlookup(B2335,'Special Names'!A:B,2,FALSE),B2335),PlayerValues!E:E,0)),"N/A")</f>
        <v>16633</v>
      </c>
      <c r="B2335" s="4" t="s">
        <v>656</v>
      </c>
      <c r="C2335" s="4" t="s">
        <v>287</v>
      </c>
      <c r="D2335" s="94">
        <v>1603.0</v>
      </c>
    </row>
    <row r="2336">
      <c r="A2336" s="40">
        <f t="array" ref="A2336">IFNA(index(PlayerValues!A:A,match(IFNA(vlookup(B2336,'Special Names'!A:B,2,FALSE),B2336),PlayerValues!E:E,0)),"N/A")</f>
        <v>17037</v>
      </c>
      <c r="B2336" s="4" t="s">
        <v>727</v>
      </c>
      <c r="C2336" s="4" t="s">
        <v>283</v>
      </c>
      <c r="D2336" s="94">
        <v>1601.0</v>
      </c>
    </row>
    <row r="2337">
      <c r="A2337" s="40">
        <f t="array" ref="A2337">IFNA(index(PlayerValues!A:A,match(IFNA(vlookup(B2337,'Special Names'!A:B,2,FALSE),B2337),PlayerValues!E:E,0)),"N/A")</f>
        <v>17096</v>
      </c>
      <c r="B2337" s="4" t="s">
        <v>638</v>
      </c>
      <c r="C2337" s="4" t="s">
        <v>287</v>
      </c>
      <c r="D2337" s="94">
        <v>1590.0</v>
      </c>
    </row>
    <row r="2338">
      <c r="A2338" s="40">
        <f t="array" ref="A2338">IFNA(index(PlayerValues!A:A,match(IFNA(vlookup(B2338,'Special Names'!A:B,2,FALSE),B2338),PlayerValues!E:E,0)),"N/A")</f>
        <v>13193</v>
      </c>
      <c r="B2338" s="4" t="s">
        <v>773</v>
      </c>
      <c r="C2338" s="4" t="s">
        <v>298</v>
      </c>
      <c r="D2338" s="94">
        <v>1965.0</v>
      </c>
    </row>
    <row r="2339">
      <c r="A2339" s="40">
        <f t="array" ref="A2339">IFNA(index(PlayerValues!A:A,match(IFNA(vlookup(B2339,'Special Names'!A:B,2,FALSE),B2339),PlayerValues!E:E,0)),"N/A")</f>
        <v>14122</v>
      </c>
      <c r="B2339" s="4" t="s">
        <v>663</v>
      </c>
      <c r="C2339" s="4" t="s">
        <v>287</v>
      </c>
      <c r="D2339" s="94">
        <v>1579.0</v>
      </c>
    </row>
    <row r="2340">
      <c r="A2340" s="40">
        <f t="array" ref="A2340">IFNA(index(PlayerValues!A:A,match(IFNA(vlookup(B2340,'Special Names'!A:B,2,FALSE),B2340),PlayerValues!E:E,0)),"N/A")</f>
        <v>16390</v>
      </c>
      <c r="B2340" s="4" t="s">
        <v>689</v>
      </c>
      <c r="C2340" s="4" t="s">
        <v>278</v>
      </c>
      <c r="D2340" s="94">
        <v>1567.0</v>
      </c>
    </row>
    <row r="2341">
      <c r="A2341" s="40">
        <f t="array" ref="A2341">IFNA(index(PlayerValues!A:A,match(IFNA(vlookup(B2341,'Special Names'!A:B,2,FALSE),B2341),PlayerValues!E:E,0)),"N/A")</f>
        <v>12140</v>
      </c>
      <c r="B2341" s="4" t="s">
        <v>702</v>
      </c>
      <c r="C2341" s="4" t="s">
        <v>283</v>
      </c>
      <c r="D2341" s="94">
        <v>1566.0</v>
      </c>
    </row>
    <row r="2342">
      <c r="A2342" s="40" t="str">
        <f t="array" ref="A2342">IFNA(index(PlayerValues!A:A,match(IFNA(vlookup(B2342,'Special Names'!A:B,2,FALSE),B2342),PlayerValues!E:E,0)),"N/A")</f>
        <v>N/A</v>
      </c>
      <c r="B2342" s="4" t="s">
        <v>91</v>
      </c>
      <c r="C2342" s="4" t="s">
        <v>325</v>
      </c>
      <c r="D2342" s="94">
        <v>1558.0</v>
      </c>
    </row>
    <row r="2343">
      <c r="A2343" s="40">
        <f t="array" ref="A2343">IFNA(index(PlayerValues!A:A,match(IFNA(vlookup(B2343,'Special Names'!A:B,2,FALSE),B2343),PlayerValues!E:E,0)),"N/A")</f>
        <v>16688</v>
      </c>
      <c r="B2343" s="4" t="s">
        <v>688</v>
      </c>
      <c r="C2343" s="4" t="s">
        <v>278</v>
      </c>
      <c r="D2343" s="94">
        <v>1542.0</v>
      </c>
    </row>
    <row r="2344">
      <c r="A2344" s="40">
        <f t="array" ref="A2344">IFNA(index(PlayerValues!A:A,match(IFNA(vlookup(B2344,'Special Names'!A:B,2,FALSE),B2344),PlayerValues!E:E,0)),"N/A")</f>
        <v>15252</v>
      </c>
      <c r="B2344" s="4" t="s">
        <v>715</v>
      </c>
      <c r="C2344" s="4" t="s">
        <v>283</v>
      </c>
      <c r="D2344" s="94">
        <v>1541.0</v>
      </c>
    </row>
    <row r="2345">
      <c r="A2345" s="40">
        <f t="array" ref="A2345">IFNA(index(PlayerValues!A:A,match(IFNA(vlookup(B2345,'Special Names'!A:B,2,FALSE),B2345),PlayerValues!E:E,0)),"N/A")</f>
        <v>15258</v>
      </c>
      <c r="B2345" s="4" t="s">
        <v>757</v>
      </c>
      <c r="C2345" s="4" t="s">
        <v>278</v>
      </c>
      <c r="D2345" s="94">
        <v>1541.0</v>
      </c>
    </row>
    <row r="2346">
      <c r="A2346" s="40">
        <f t="array" ref="A2346">IFNA(index(PlayerValues!A:A,match(IFNA(vlookup(B2346,'Special Names'!A:B,2,FALSE),B2346),PlayerValues!E:E,0)),"N/A")</f>
        <v>14080</v>
      </c>
      <c r="B2346" s="4" t="s">
        <v>716</v>
      </c>
      <c r="C2346" s="4" t="s">
        <v>278</v>
      </c>
      <c r="D2346" s="94">
        <v>1539.0</v>
      </c>
    </row>
    <row r="2347">
      <c r="A2347" s="40" t="str">
        <f t="array" ref="A2347">IFNA(index(PlayerValues!A:A,match(IFNA(vlookup(B2347,'Special Names'!A:B,2,FALSE),B2347),PlayerValues!E:E,0)),"N/A")</f>
        <v>N/A</v>
      </c>
      <c r="B2347" s="4" t="s">
        <v>103</v>
      </c>
      <c r="C2347" s="4" t="s">
        <v>325</v>
      </c>
      <c r="D2347" s="94">
        <v>1532.0</v>
      </c>
    </row>
    <row r="2348">
      <c r="A2348" s="40" t="str">
        <f t="array" ref="A2348">IFNA(index(PlayerValues!A:A,match(IFNA(vlookup(B2348,'Special Names'!A:B,2,FALSE),B2348),PlayerValues!E:E,0)),"N/A")</f>
        <v>N/A</v>
      </c>
      <c r="B2348" s="4" t="s">
        <v>116</v>
      </c>
      <c r="C2348" s="4" t="s">
        <v>325</v>
      </c>
      <c r="D2348" s="94">
        <v>1513.0</v>
      </c>
    </row>
    <row r="2349">
      <c r="A2349" s="40">
        <f t="array" ref="A2349">IFNA(index(PlayerValues!A:A,match(IFNA(vlookup(B2349,'Special Names'!A:B,2,FALSE),B2349),PlayerValues!E:E,0)),"N/A")</f>
        <v>17475</v>
      </c>
      <c r="B2349" s="4" t="s">
        <v>615</v>
      </c>
      <c r="C2349" s="4" t="s">
        <v>278</v>
      </c>
      <c r="D2349" s="94">
        <v>1508.0</v>
      </c>
    </row>
    <row r="2350">
      <c r="A2350" s="40">
        <f t="array" ref="A2350">IFNA(index(PlayerValues!A:A,match(IFNA(vlookup(B2350,'Special Names'!A:B,2,FALSE),B2350),PlayerValues!E:E,0)),"N/A")</f>
        <v>17504</v>
      </c>
      <c r="B2350" s="4" t="s">
        <v>693</v>
      </c>
      <c r="C2350" s="4" t="s">
        <v>287</v>
      </c>
      <c r="D2350" s="94">
        <v>1504.0</v>
      </c>
    </row>
    <row r="2351">
      <c r="A2351" s="40">
        <f t="array" ref="A2351">IFNA(index(PlayerValues!A:A,match(IFNA(vlookup(B2351,'Special Names'!A:B,2,FALSE),B2351),PlayerValues!E:E,0)),"N/A")</f>
        <v>15319</v>
      </c>
      <c r="B2351" s="4" t="s">
        <v>644</v>
      </c>
      <c r="C2351" s="4" t="s">
        <v>287</v>
      </c>
      <c r="D2351" s="94">
        <v>1497.0</v>
      </c>
    </row>
    <row r="2352">
      <c r="A2352" s="40">
        <f t="array" ref="A2352">IFNA(index(PlayerValues!A:A,match(IFNA(vlookup(B2352,'Special Names'!A:B,2,FALSE),B2352),PlayerValues!E:E,0)),"N/A")</f>
        <v>17077</v>
      </c>
      <c r="B2352" s="4" t="s">
        <v>714</v>
      </c>
      <c r="C2352" s="4" t="s">
        <v>287</v>
      </c>
      <c r="D2352" s="94">
        <v>1497.0</v>
      </c>
    </row>
    <row r="2353">
      <c r="A2353" s="40">
        <f t="array" ref="A2353">IFNA(index(PlayerValues!A:A,match(IFNA(vlookup(B2353,'Special Names'!A:B,2,FALSE),B2353),PlayerValues!E:E,0)),"N/A")</f>
        <v>15752</v>
      </c>
      <c r="B2353" s="4" t="s">
        <v>647</v>
      </c>
      <c r="C2353" s="4" t="s">
        <v>287</v>
      </c>
      <c r="D2353" s="94">
        <v>1465.0</v>
      </c>
    </row>
    <row r="2354">
      <c r="A2354" s="40">
        <f t="array" ref="A2354">IFNA(index(PlayerValues!A:A,match(IFNA(vlookup(B2354,'Special Names'!A:B,2,FALSE),B2354),PlayerValues!E:E,0)),"N/A")</f>
        <v>11150</v>
      </c>
      <c r="B2354" s="4" t="s">
        <v>559</v>
      </c>
      <c r="C2354" s="4" t="s">
        <v>283</v>
      </c>
      <c r="D2354" s="94">
        <v>1458.0</v>
      </c>
    </row>
    <row r="2355">
      <c r="A2355" s="40">
        <f t="array" ref="A2355">IFNA(index(PlayerValues!A:A,match(IFNA(vlookup(B2355,'Special Names'!A:B,2,FALSE),B2355),PlayerValues!E:E,0)),"N/A")</f>
        <v>17541</v>
      </c>
      <c r="B2355" s="4" t="s">
        <v>616</v>
      </c>
      <c r="C2355" s="4" t="s">
        <v>287</v>
      </c>
      <c r="D2355" s="94">
        <v>1458.0</v>
      </c>
    </row>
    <row r="2356">
      <c r="A2356" s="40">
        <f t="array" ref="A2356">IFNA(index(PlayerValues!A:A,match(IFNA(vlookup(B2356,'Special Names'!A:B,2,FALSE),B2356),PlayerValues!E:E,0)),"N/A")</f>
        <v>15738</v>
      </c>
      <c r="B2356" s="4" t="s">
        <v>634</v>
      </c>
      <c r="C2356" s="4" t="s">
        <v>278</v>
      </c>
      <c r="D2356" s="94">
        <v>1456.0</v>
      </c>
    </row>
    <row r="2357">
      <c r="A2357" s="40">
        <f t="array" ref="A2357">IFNA(index(PlayerValues!A:A,match(IFNA(vlookup(B2357,'Special Names'!A:B,2,FALSE),B2357),PlayerValues!E:E,0)),"N/A")</f>
        <v>13418</v>
      </c>
      <c r="B2357" s="4" t="s">
        <v>706</v>
      </c>
      <c r="C2357" s="4" t="s">
        <v>287</v>
      </c>
      <c r="D2357" s="94">
        <v>1455.0</v>
      </c>
    </row>
    <row r="2358">
      <c r="A2358" s="40">
        <f t="array" ref="A2358">IFNA(index(PlayerValues!A:A,match(IFNA(vlookup(B2358,'Special Names'!A:B,2,FALSE),B2358),PlayerValues!E:E,0)),"N/A")</f>
        <v>17254</v>
      </c>
      <c r="B2358" s="4" t="s">
        <v>679</v>
      </c>
      <c r="C2358" s="4" t="s">
        <v>287</v>
      </c>
      <c r="D2358" s="94">
        <v>1447.0</v>
      </c>
    </row>
    <row r="2359">
      <c r="A2359" s="40">
        <f t="array" ref="A2359">IFNA(index(PlayerValues!A:A,match(IFNA(vlookup(B2359,'Special Names'!A:B,2,FALSE),B2359),PlayerValues!E:E,0)),"N/A")</f>
        <v>15755</v>
      </c>
      <c r="B2359" s="4" t="s">
        <v>628</v>
      </c>
      <c r="C2359" s="4" t="s">
        <v>287</v>
      </c>
      <c r="D2359" s="94">
        <v>1445.0</v>
      </c>
    </row>
    <row r="2360">
      <c r="A2360" s="40">
        <f t="array" ref="A2360">IFNA(index(PlayerValues!A:A,match(IFNA(vlookup(B2360,'Special Names'!A:B,2,FALSE),B2360),PlayerValues!E:E,0)),"N/A")</f>
        <v>14095</v>
      </c>
      <c r="B2360" s="4" t="s">
        <v>680</v>
      </c>
      <c r="C2360" s="4" t="s">
        <v>278</v>
      </c>
      <c r="D2360" s="94">
        <v>1432.0</v>
      </c>
    </row>
    <row r="2361">
      <c r="A2361" s="40">
        <f t="array" ref="A2361">IFNA(index(PlayerValues!A:A,match(IFNA(vlookup(B2361,'Special Names'!A:B,2,FALSE),B2361),PlayerValues!E:E,0)),"N/A")</f>
        <v>17510</v>
      </c>
      <c r="B2361" s="4" t="s">
        <v>661</v>
      </c>
      <c r="C2361" s="4" t="s">
        <v>287</v>
      </c>
      <c r="D2361" s="94">
        <v>1428.0</v>
      </c>
    </row>
    <row r="2362">
      <c r="A2362" s="40">
        <f t="array" ref="A2362">IFNA(index(PlayerValues!A:A,match(IFNA(vlookup(B2362,'Special Names'!A:B,2,FALSE),B2362),PlayerValues!E:E,0)),"N/A")</f>
        <v>13672</v>
      </c>
      <c r="B2362" s="4" t="s">
        <v>667</v>
      </c>
      <c r="C2362" s="4" t="s">
        <v>298</v>
      </c>
      <c r="D2362" s="94">
        <v>1790.0</v>
      </c>
    </row>
    <row r="2363">
      <c r="A2363" s="40">
        <f t="array" ref="A2363">IFNA(index(PlayerValues!A:A,match(IFNA(vlookup(B2363,'Special Names'!A:B,2,FALSE),B2363),PlayerValues!E:E,0)),"N/A")</f>
        <v>15713</v>
      </c>
      <c r="B2363" s="4" t="s">
        <v>732</v>
      </c>
      <c r="C2363" s="4" t="s">
        <v>278</v>
      </c>
      <c r="D2363" s="94">
        <v>1415.0</v>
      </c>
    </row>
    <row r="2364">
      <c r="A2364" s="40">
        <f t="array" ref="A2364">IFNA(index(PlayerValues!A:A,match(IFNA(vlookup(B2364,'Special Names'!A:B,2,FALSE),B2364),PlayerValues!E:E,0)),"N/A")</f>
        <v>13138</v>
      </c>
      <c r="B2364" s="4" t="s">
        <v>817</v>
      </c>
      <c r="C2364" s="4" t="s">
        <v>278</v>
      </c>
      <c r="D2364" s="94">
        <v>1405.0</v>
      </c>
    </row>
    <row r="2365">
      <c r="A2365" s="40">
        <f t="array" ref="A2365">IFNA(index(PlayerValues!A:A,match(IFNA(vlookup(B2365,'Special Names'!A:B,2,FALSE),B2365),PlayerValues!E:E,0)),"N/A")</f>
        <v>17470</v>
      </c>
      <c r="B2365" s="4" t="s">
        <v>841</v>
      </c>
      <c r="C2365" s="4" t="s">
        <v>283</v>
      </c>
      <c r="D2365" s="94">
        <v>1402.0</v>
      </c>
    </row>
    <row r="2366">
      <c r="A2366" s="40">
        <f t="array" ref="A2366">IFNA(index(PlayerValues!A:A,match(IFNA(vlookup(B2366,'Special Names'!A:B,2,FALSE),B2366),PlayerValues!E:E,0)),"N/A")</f>
        <v>15788</v>
      </c>
      <c r="B2366" s="4" t="s">
        <v>627</v>
      </c>
      <c r="C2366" s="4" t="s">
        <v>287</v>
      </c>
      <c r="D2366" s="94">
        <v>1398.0</v>
      </c>
    </row>
    <row r="2367">
      <c r="A2367" s="40">
        <f t="array" ref="A2367">IFNA(index(PlayerValues!A:A,match(IFNA(vlookup(B2367,'Special Names'!A:B,2,FALSE),B2367),PlayerValues!E:E,0)),"N/A")</f>
        <v>17269</v>
      </c>
      <c r="B2367" s="4" t="s">
        <v>718</v>
      </c>
      <c r="C2367" s="4" t="s">
        <v>287</v>
      </c>
      <c r="D2367" s="94">
        <v>1392.0</v>
      </c>
    </row>
    <row r="2368">
      <c r="A2368" s="40">
        <f t="array" ref="A2368">IFNA(index(PlayerValues!A:A,match(IFNA(vlookup(B2368,'Special Names'!A:B,2,FALSE),B2368),PlayerValues!E:E,0)),"N/A")</f>
        <v>17486</v>
      </c>
      <c r="B2368" s="4" t="s">
        <v>695</v>
      </c>
      <c r="C2368" s="4" t="s">
        <v>278</v>
      </c>
      <c r="D2368" s="94">
        <v>1389.0</v>
      </c>
    </row>
    <row r="2369">
      <c r="A2369" s="40">
        <f t="array" ref="A2369">IFNA(index(PlayerValues!A:A,match(IFNA(vlookup(B2369,'Special Names'!A:B,2,FALSE),B2369),PlayerValues!E:E,0)),"N/A")</f>
        <v>17062</v>
      </c>
      <c r="B2369" s="4" t="s">
        <v>701</v>
      </c>
      <c r="C2369" s="4" t="s">
        <v>278</v>
      </c>
      <c r="D2369" s="94">
        <v>1385.0</v>
      </c>
    </row>
    <row r="2370">
      <c r="A2370" s="40">
        <f t="array" ref="A2370">IFNA(index(PlayerValues!A:A,match(IFNA(vlookup(B2370,'Special Names'!A:B,2,FALSE),B2370),PlayerValues!E:E,0)),"N/A")</f>
        <v>17479</v>
      </c>
      <c r="B2370" s="4" t="s">
        <v>756</v>
      </c>
      <c r="C2370" s="4" t="s">
        <v>278</v>
      </c>
      <c r="D2370" s="94">
        <v>1385.0</v>
      </c>
    </row>
    <row r="2371">
      <c r="A2371" s="40">
        <f t="array" ref="A2371">IFNA(index(PlayerValues!A:A,match(IFNA(vlookup(B2371,'Special Names'!A:B,2,FALSE),B2371),PlayerValues!E:E,0)),"N/A")</f>
        <v>16631</v>
      </c>
      <c r="B2371" s="4" t="s">
        <v>800</v>
      </c>
      <c r="C2371" s="4" t="s">
        <v>287</v>
      </c>
      <c r="D2371" s="94">
        <v>1373.0</v>
      </c>
    </row>
    <row r="2372">
      <c r="A2372" s="40">
        <f t="array" ref="A2372">IFNA(index(PlayerValues!A:A,match(IFNA(vlookup(B2372,'Special Names'!A:B,2,FALSE),B2372),PlayerValues!E:E,0)),"N/A")</f>
        <v>17487</v>
      </c>
      <c r="B2372" s="4" t="s">
        <v>692</v>
      </c>
      <c r="C2372" s="4" t="s">
        <v>278</v>
      </c>
      <c r="D2372" s="94">
        <v>1343.0</v>
      </c>
    </row>
    <row r="2373">
      <c r="A2373" s="40">
        <f t="array" ref="A2373">IFNA(index(PlayerValues!A:A,match(IFNA(vlookup(B2373,'Special Names'!A:B,2,FALSE),B2373),PlayerValues!E:E,0)),"N/A")</f>
        <v>15797</v>
      </c>
      <c r="B2373" s="4" t="s">
        <v>556</v>
      </c>
      <c r="C2373" s="4" t="s">
        <v>298</v>
      </c>
      <c r="D2373" s="94">
        <v>1712.0</v>
      </c>
    </row>
    <row r="2374">
      <c r="A2374" s="40">
        <f t="array" ref="A2374">IFNA(index(PlayerValues!A:A,match(IFNA(vlookup(B2374,'Special Names'!A:B,2,FALSE),B2374),PlayerValues!E:E,0)),"N/A")</f>
        <v>15332</v>
      </c>
      <c r="B2374" s="4" t="s">
        <v>698</v>
      </c>
      <c r="C2374" s="4" t="s">
        <v>298</v>
      </c>
      <c r="D2374" s="94">
        <v>1708.0</v>
      </c>
    </row>
    <row r="2375">
      <c r="A2375" s="40">
        <f t="array" ref="A2375">IFNA(index(PlayerValues!A:A,match(IFNA(vlookup(B2375,'Special Names'!A:B,2,FALSE),B2375),PlayerValues!E:E,0)),"N/A")</f>
        <v>14137</v>
      </c>
      <c r="B2375" s="4" t="s">
        <v>676</v>
      </c>
      <c r="C2375" s="4" t="s">
        <v>298</v>
      </c>
      <c r="D2375" s="94">
        <v>1706.0</v>
      </c>
    </row>
    <row r="2376">
      <c r="A2376" s="40">
        <f t="array" ref="A2376">IFNA(index(PlayerValues!A:A,match(IFNA(vlookup(B2376,'Special Names'!A:B,2,FALSE),B2376),PlayerValues!E:E,0)),"N/A")</f>
        <v>15301</v>
      </c>
      <c r="B2376" s="4" t="s">
        <v>657</v>
      </c>
      <c r="C2376" s="4" t="s">
        <v>287</v>
      </c>
      <c r="D2376" s="94">
        <v>1326.0</v>
      </c>
    </row>
    <row r="2377">
      <c r="A2377" s="40">
        <f t="array" ref="A2377">IFNA(index(PlayerValues!A:A,match(IFNA(vlookup(B2377,'Special Names'!A:B,2,FALSE),B2377),PlayerValues!E:E,0)),"N/A")</f>
        <v>15873</v>
      </c>
      <c r="B2377" s="4" t="s">
        <v>681</v>
      </c>
      <c r="C2377" s="4" t="s">
        <v>298</v>
      </c>
      <c r="D2377" s="94">
        <v>1694.0</v>
      </c>
    </row>
    <row r="2378">
      <c r="A2378" s="40">
        <f t="array" ref="A2378">IFNA(index(PlayerValues!A:A,match(IFNA(vlookup(B2378,'Special Names'!A:B,2,FALSE),B2378),PlayerValues!E:E,0)),"N/A")</f>
        <v>16621</v>
      </c>
      <c r="B2378" s="4" t="s">
        <v>672</v>
      </c>
      <c r="C2378" s="4" t="s">
        <v>287</v>
      </c>
      <c r="D2378" s="94">
        <v>1321.0</v>
      </c>
    </row>
    <row r="2379">
      <c r="A2379" s="40">
        <f t="array" ref="A2379">IFNA(index(PlayerValues!A:A,match(IFNA(vlookup(B2379,'Special Names'!A:B,2,FALSE),B2379),PlayerValues!E:E,0)),"N/A")</f>
        <v>16642</v>
      </c>
      <c r="B2379" s="4" t="s">
        <v>691</v>
      </c>
      <c r="C2379" s="4" t="s">
        <v>298</v>
      </c>
      <c r="D2379" s="94">
        <v>1678.0</v>
      </c>
    </row>
    <row r="2380">
      <c r="A2380" s="40">
        <f t="array" ref="A2380">IFNA(index(PlayerValues!A:A,match(IFNA(vlookup(B2380,'Special Names'!A:B,2,FALSE),B2380),PlayerValues!E:E,0)),"N/A")</f>
        <v>16385</v>
      </c>
      <c r="B2380" s="4" t="s">
        <v>690</v>
      </c>
      <c r="C2380" s="4" t="s">
        <v>278</v>
      </c>
      <c r="D2380" s="94">
        <v>1304.0</v>
      </c>
    </row>
    <row r="2381">
      <c r="A2381" s="40" t="str">
        <f t="array" ref="A2381">IFNA(index(PlayerValues!A:A,match(IFNA(vlookup(B2381,'Special Names'!A:B,2,FALSE),B2381),PlayerValues!E:E,0)),"N/A")</f>
        <v>N/A</v>
      </c>
      <c r="B2381" s="4" t="s">
        <v>117</v>
      </c>
      <c r="C2381" s="4" t="s">
        <v>325</v>
      </c>
      <c r="D2381" s="94">
        <v>1289.0</v>
      </c>
    </row>
    <row r="2382">
      <c r="A2382" s="40">
        <f t="array" ref="A2382">IFNA(index(PlayerValues!A:A,match(IFNA(vlookup(B2382,'Special Names'!A:B,2,FALSE),B2382),PlayerValues!E:E,0)),"N/A")</f>
        <v>17526</v>
      </c>
      <c r="B2382" s="4" t="s">
        <v>760</v>
      </c>
      <c r="C2382" s="4" t="s">
        <v>287</v>
      </c>
      <c r="D2382" s="94">
        <v>1287.0</v>
      </c>
    </row>
    <row r="2383">
      <c r="A2383" s="40">
        <f t="array" ref="A2383">IFNA(index(PlayerValues!A:A,match(IFNA(vlookup(B2383,'Special Names'!A:B,2,FALSE),B2383),PlayerValues!E:E,0)),"N/A")</f>
        <v>14592</v>
      </c>
      <c r="B2383" s="4" t="s">
        <v>705</v>
      </c>
      <c r="C2383" s="4" t="s">
        <v>287</v>
      </c>
      <c r="D2383" s="94">
        <v>1276.0</v>
      </c>
    </row>
    <row r="2384">
      <c r="A2384" s="40">
        <f t="array" ref="A2384">IFNA(index(PlayerValues!A:A,match(IFNA(vlookup(B2384,'Special Names'!A:B,2,FALSE),B2384),PlayerValues!E:E,0)),"N/A")</f>
        <v>16175</v>
      </c>
      <c r="B2384" s="4" t="s">
        <v>654</v>
      </c>
      <c r="C2384" s="4" t="s">
        <v>278</v>
      </c>
      <c r="D2384" s="94">
        <v>1263.0</v>
      </c>
    </row>
    <row r="2385">
      <c r="A2385" s="40">
        <f t="array" ref="A2385">IFNA(index(PlayerValues!A:A,match(IFNA(vlookup(B2385,'Special Names'!A:B,2,FALSE),B2385),PlayerValues!E:E,0)),"N/A")</f>
        <v>15292</v>
      </c>
      <c r="B2385" s="4" t="s">
        <v>682</v>
      </c>
      <c r="C2385" s="4" t="s">
        <v>287</v>
      </c>
      <c r="D2385" s="94">
        <v>1262.0</v>
      </c>
    </row>
    <row r="2386">
      <c r="A2386" s="40">
        <f t="array" ref="A2386">IFNA(index(PlayerValues!A:A,match(IFNA(vlookup(B2386,'Special Names'!A:B,2,FALSE),B2386),PlayerValues!E:E,0)),"N/A")</f>
        <v>14086</v>
      </c>
      <c r="B2386" s="4" t="s">
        <v>639</v>
      </c>
      <c r="C2386" s="4" t="s">
        <v>278</v>
      </c>
      <c r="D2386" s="94">
        <v>1253.0</v>
      </c>
    </row>
    <row r="2387">
      <c r="A2387" s="40">
        <f t="array" ref="A2387">IFNA(index(PlayerValues!A:A,match(IFNA(vlookup(B2387,'Special Names'!A:B,2,FALSE),B2387),PlayerValues!E:E,0)),"N/A")</f>
        <v>14108</v>
      </c>
      <c r="B2387" s="4" t="s">
        <v>673</v>
      </c>
      <c r="C2387" s="4" t="s">
        <v>287</v>
      </c>
      <c r="D2387" s="94">
        <v>1249.0</v>
      </c>
    </row>
    <row r="2388">
      <c r="A2388" s="40">
        <f t="array" ref="A2388">IFNA(index(PlayerValues!A:A,match(IFNA(vlookup(B2388,'Special Names'!A:B,2,FALSE),B2388),PlayerValues!E:E,0)),"N/A")</f>
        <v>16451</v>
      </c>
      <c r="B2388" s="4" t="s">
        <v>769</v>
      </c>
      <c r="C2388" s="4" t="s">
        <v>287</v>
      </c>
      <c r="D2388" s="94">
        <v>1243.0</v>
      </c>
    </row>
    <row r="2389">
      <c r="A2389" s="40">
        <f t="array" ref="A2389">IFNA(index(PlayerValues!A:A,match(IFNA(vlookup(B2389,'Special Names'!A:B,2,FALSE),B2389),PlayerValues!E:E,0)),"N/A")</f>
        <v>15981</v>
      </c>
      <c r="B2389" s="4" t="s">
        <v>729</v>
      </c>
      <c r="C2389" s="4" t="s">
        <v>287</v>
      </c>
      <c r="D2389" s="94">
        <v>1230.0</v>
      </c>
    </row>
    <row r="2390">
      <c r="A2390" s="40">
        <f t="array" ref="A2390">IFNA(index(PlayerValues!A:A,match(IFNA(vlookup(B2390,'Special Names'!A:B,2,FALSE),B2390),PlayerValues!E:E,0)),"N/A")</f>
        <v>16183</v>
      </c>
      <c r="B2390" s="4" t="s">
        <v>678</v>
      </c>
      <c r="C2390" s="4" t="s">
        <v>287</v>
      </c>
      <c r="D2390" s="94">
        <v>1223.0</v>
      </c>
    </row>
    <row r="2391">
      <c r="A2391" s="40">
        <f t="array" ref="A2391">IFNA(index(PlayerValues!A:A,match(IFNA(vlookup(B2391,'Special Names'!A:B,2,FALSE),B2391),PlayerValues!E:E,0)),"N/A")</f>
        <v>12263</v>
      </c>
      <c r="B2391" s="4" t="s">
        <v>697</v>
      </c>
      <c r="C2391" s="4" t="s">
        <v>298</v>
      </c>
      <c r="D2391" s="94">
        <v>1588.0</v>
      </c>
    </row>
    <row r="2392">
      <c r="A2392" s="40">
        <f t="array" ref="A2392">IFNA(index(PlayerValues!A:A,match(IFNA(vlookup(B2392,'Special Names'!A:B,2,FALSE),B2392),PlayerValues!E:E,0)),"N/A")</f>
        <v>16792</v>
      </c>
      <c r="B2392" s="4" t="s">
        <v>704</v>
      </c>
      <c r="C2392" s="4" t="s">
        <v>287</v>
      </c>
      <c r="D2392" s="94">
        <v>1202.0</v>
      </c>
    </row>
    <row r="2393">
      <c r="A2393" s="40">
        <f t="array" ref="A2393">IFNA(index(PlayerValues!A:A,match(IFNA(vlookup(B2393,'Special Names'!A:B,2,FALSE),B2393),PlayerValues!E:E,0)),"N/A")</f>
        <v>16149</v>
      </c>
      <c r="B2393" s="4" t="s">
        <v>740</v>
      </c>
      <c r="C2393" s="4" t="s">
        <v>283</v>
      </c>
      <c r="D2393" s="94">
        <v>1198.0</v>
      </c>
    </row>
    <row r="2394">
      <c r="A2394" s="40">
        <f t="array" ref="A2394">IFNA(index(PlayerValues!A:A,match(IFNA(vlookup(B2394,'Special Names'!A:B,2,FALSE),B2394),PlayerValues!E:E,0)),"N/A")</f>
        <v>17063</v>
      </c>
      <c r="B2394" s="4" t="s">
        <v>686</v>
      </c>
      <c r="C2394" s="4" t="s">
        <v>278</v>
      </c>
      <c r="D2394" s="94">
        <v>1188.0</v>
      </c>
    </row>
    <row r="2395">
      <c r="A2395" s="40">
        <f t="array" ref="A2395">IFNA(index(PlayerValues!A:A,match(IFNA(vlookup(B2395,'Special Names'!A:B,2,FALSE),B2395),PlayerValues!E:E,0)),"N/A")</f>
        <v>15240</v>
      </c>
      <c r="B2395" s="4" t="s">
        <v>751</v>
      </c>
      <c r="C2395" s="4" t="s">
        <v>283</v>
      </c>
      <c r="D2395" s="94">
        <v>1186.0</v>
      </c>
    </row>
    <row r="2396">
      <c r="A2396" s="40">
        <f t="array" ref="A2396">IFNA(index(PlayerValues!A:A,match(IFNA(vlookup(B2396,'Special Names'!A:B,2,FALSE),B2396),PlayerValues!E:E,0)),"N/A")</f>
        <v>15702</v>
      </c>
      <c r="B2396" s="4" t="s">
        <v>723</v>
      </c>
      <c r="C2396" s="4" t="s">
        <v>283</v>
      </c>
      <c r="D2396" s="94">
        <v>1175.0</v>
      </c>
    </row>
    <row r="2397">
      <c r="A2397" s="40">
        <f t="array" ref="A2397">IFNA(index(PlayerValues!A:A,match(IFNA(vlookup(B2397,'Special Names'!A:B,2,FALSE),B2397),PlayerValues!E:E,0)),"N/A")</f>
        <v>16636</v>
      </c>
      <c r="B2397" s="4" t="s">
        <v>699</v>
      </c>
      <c r="C2397" s="4" t="s">
        <v>287</v>
      </c>
      <c r="D2397" s="94">
        <v>1172.0</v>
      </c>
    </row>
    <row r="2398">
      <c r="A2398" s="40">
        <f t="array" ref="A2398">IFNA(index(PlayerValues!A:A,match(IFNA(vlookup(B2398,'Special Names'!A:B,2,FALSE),B2398),PlayerValues!E:E,0)),"N/A")</f>
        <v>16746</v>
      </c>
      <c r="B2398" s="4" t="s">
        <v>709</v>
      </c>
      <c r="C2398" s="4" t="s">
        <v>278</v>
      </c>
      <c r="D2398" s="94">
        <v>1167.0</v>
      </c>
    </row>
    <row r="2399">
      <c r="A2399" s="40">
        <f t="array" ref="A2399">IFNA(index(PlayerValues!A:A,match(IFNA(vlookup(B2399,'Special Names'!A:B,2,FALSE),B2399),PlayerValues!E:E,0)),"N/A")</f>
        <v>16199</v>
      </c>
      <c r="B2399" s="4" t="s">
        <v>687</v>
      </c>
      <c r="C2399" s="4" t="s">
        <v>287</v>
      </c>
      <c r="D2399" s="94">
        <v>1160.0</v>
      </c>
    </row>
    <row r="2400">
      <c r="A2400" s="40">
        <f t="array" ref="A2400">IFNA(index(PlayerValues!A:A,match(IFNA(vlookup(B2400,'Special Names'!A:B,2,FALSE),B2400),PlayerValues!E:E,0)),"N/A")</f>
        <v>16645</v>
      </c>
      <c r="B2400" s="4" t="s">
        <v>651</v>
      </c>
      <c r="C2400" s="4" t="s">
        <v>298</v>
      </c>
      <c r="D2400" s="94">
        <v>1526.0</v>
      </c>
    </row>
    <row r="2401">
      <c r="A2401" s="40">
        <f t="array" ref="A2401">IFNA(index(PlayerValues!A:A,match(IFNA(vlookup(B2401,'Special Names'!A:B,2,FALSE),B2401),PlayerValues!E:E,0)),"N/A")</f>
        <v>16883</v>
      </c>
      <c r="B2401" s="4" t="s">
        <v>683</v>
      </c>
      <c r="C2401" s="4" t="s">
        <v>287</v>
      </c>
      <c r="D2401" s="94">
        <v>1160.0</v>
      </c>
    </row>
    <row r="2402">
      <c r="A2402" s="40">
        <f t="array" ref="A2402">IFNA(index(PlayerValues!A:A,match(IFNA(vlookup(B2402,'Special Names'!A:B,2,FALSE),B2402),PlayerValues!E:E,0)),"N/A")</f>
        <v>12678</v>
      </c>
      <c r="B2402" s="4" t="s">
        <v>703</v>
      </c>
      <c r="C2402" s="4" t="s">
        <v>298</v>
      </c>
      <c r="D2402" s="94">
        <v>1524.0</v>
      </c>
    </row>
    <row r="2403">
      <c r="A2403" s="40">
        <f t="array" ref="A2403">IFNA(index(PlayerValues!A:A,match(IFNA(vlookup(B2403,'Special Names'!A:B,2,FALSE),B2403),PlayerValues!E:E,0)),"N/A")</f>
        <v>14789</v>
      </c>
      <c r="B2403" s="4" t="s">
        <v>721</v>
      </c>
      <c r="C2403" s="4" t="s">
        <v>283</v>
      </c>
      <c r="D2403" s="94">
        <v>1153.0</v>
      </c>
    </row>
    <row r="2404">
      <c r="A2404" s="40">
        <f t="array" ref="A2404">IFNA(index(PlayerValues!A:A,match(IFNA(vlookup(B2404,'Special Names'!A:B,2,FALSE),B2404),PlayerValues!E:E,0)),"N/A")</f>
        <v>17097</v>
      </c>
      <c r="B2404" s="4" t="s">
        <v>659</v>
      </c>
      <c r="C2404" s="4" t="s">
        <v>287</v>
      </c>
      <c r="D2404" s="94">
        <v>1148.0</v>
      </c>
    </row>
    <row r="2405">
      <c r="A2405" s="40">
        <f t="array" ref="A2405">IFNA(index(PlayerValues!A:A,match(IFNA(vlookup(B2405,'Special Names'!A:B,2,FALSE),B2405),PlayerValues!E:E,0)),"N/A")</f>
        <v>17054</v>
      </c>
      <c r="B2405" s="4" t="s">
        <v>670</v>
      </c>
      <c r="C2405" s="4" t="s">
        <v>278</v>
      </c>
      <c r="D2405" s="94">
        <v>1136.0</v>
      </c>
    </row>
    <row r="2406">
      <c r="A2406" s="40">
        <f t="array" ref="A2406">IFNA(index(PlayerValues!A:A,match(IFNA(vlookup(B2406,'Special Names'!A:B,2,FALSE),B2406),PlayerValues!E:E,0)),"N/A")</f>
        <v>17050</v>
      </c>
      <c r="B2406" s="4" t="s">
        <v>713</v>
      </c>
      <c r="C2406" s="4" t="s">
        <v>278</v>
      </c>
      <c r="D2406" s="94">
        <v>1135.0</v>
      </c>
    </row>
    <row r="2407">
      <c r="A2407" s="40">
        <f t="array" ref="A2407">IFNA(index(PlayerValues!A:A,match(IFNA(vlookup(B2407,'Special Names'!A:B,2,FALSE),B2407),PlayerValues!E:E,0)),"N/A")</f>
        <v>15692</v>
      </c>
      <c r="B2407" s="4" t="s">
        <v>750</v>
      </c>
      <c r="C2407" s="4" t="s">
        <v>283</v>
      </c>
      <c r="D2407" s="94">
        <v>1134.0</v>
      </c>
    </row>
    <row r="2408">
      <c r="A2408" s="40">
        <f t="array" ref="A2408">IFNA(index(PlayerValues!A:A,match(IFNA(vlookup(B2408,'Special Names'!A:B,2,FALSE),B2408),PlayerValues!E:E,0)),"N/A")</f>
        <v>14845</v>
      </c>
      <c r="B2408" s="4" t="s">
        <v>717</v>
      </c>
      <c r="C2408" s="4" t="s">
        <v>287</v>
      </c>
      <c r="D2408" s="94">
        <v>1133.0</v>
      </c>
    </row>
    <row r="2409">
      <c r="A2409" s="40">
        <f t="array" ref="A2409">IFNA(index(PlayerValues!A:A,match(IFNA(vlookup(B2409,'Special Names'!A:B,2,FALSE),B2409),PlayerValues!E:E,0)),"N/A")</f>
        <v>16221</v>
      </c>
      <c r="B2409" s="4" t="s">
        <v>725</v>
      </c>
      <c r="C2409" s="4" t="s">
        <v>298</v>
      </c>
      <c r="D2409" s="94">
        <v>1500.0</v>
      </c>
    </row>
    <row r="2410">
      <c r="A2410" s="40">
        <f t="array" ref="A2410">IFNA(index(PlayerValues!A:A,match(IFNA(vlookup(B2410,'Special Names'!A:B,2,FALSE),B2410),PlayerValues!E:E,0)),"N/A")</f>
        <v>17109</v>
      </c>
      <c r="B2410" s="4" t="s">
        <v>707</v>
      </c>
      <c r="C2410" s="4" t="s">
        <v>298</v>
      </c>
      <c r="D2410" s="94">
        <v>1490.0</v>
      </c>
    </row>
    <row r="2411">
      <c r="A2411" s="40">
        <f t="array" ref="A2411">IFNA(index(PlayerValues!A:A,match(IFNA(vlookup(B2411,'Special Names'!A:B,2,FALSE),B2411),PlayerValues!E:E,0)),"N/A")</f>
        <v>13289</v>
      </c>
      <c r="B2411" s="4" t="s">
        <v>746</v>
      </c>
      <c r="C2411" s="4" t="s">
        <v>287</v>
      </c>
      <c r="D2411" s="94">
        <v>1117.0</v>
      </c>
    </row>
    <row r="2412">
      <c r="A2412" s="40">
        <f t="array" ref="A2412">IFNA(index(PlayerValues!A:A,match(IFNA(vlookup(B2412,'Special Names'!A:B,2,FALSE),B2412),PlayerValues!E:E,0)),"N/A")</f>
        <v>16333</v>
      </c>
      <c r="B2412" s="4" t="s">
        <v>711</v>
      </c>
      <c r="C2412" s="4" t="s">
        <v>298</v>
      </c>
      <c r="D2412" s="94">
        <v>1481.0</v>
      </c>
    </row>
    <row r="2413">
      <c r="A2413" s="40">
        <f t="array" ref="A2413">IFNA(index(PlayerValues!A:A,match(IFNA(vlookup(B2413,'Special Names'!A:B,2,FALSE),B2413),PlayerValues!E:E,0)),"N/A")</f>
        <v>15239</v>
      </c>
      <c r="B2413" s="4" t="s">
        <v>802</v>
      </c>
      <c r="C2413" s="4" t="s">
        <v>283</v>
      </c>
      <c r="D2413" s="94">
        <v>1113.0</v>
      </c>
    </row>
    <row r="2414">
      <c r="A2414" s="40">
        <f t="array" ref="A2414">IFNA(index(PlayerValues!A:A,match(IFNA(vlookup(B2414,'Special Names'!A:B,2,FALSE),B2414),PlayerValues!E:E,0)),"N/A")</f>
        <v>17192</v>
      </c>
      <c r="B2414" s="4" t="s">
        <v>677</v>
      </c>
      <c r="C2414" s="4" t="s">
        <v>287</v>
      </c>
      <c r="D2414" s="94">
        <v>1104.0</v>
      </c>
    </row>
    <row r="2415">
      <c r="A2415" s="40">
        <f t="array" ref="A2415">IFNA(index(PlayerValues!A:A,match(IFNA(vlookup(B2415,'Special Names'!A:B,2,FALSE),B2415),PlayerValues!E:E,0)),"N/A")</f>
        <v>15288</v>
      </c>
      <c r="B2415" s="4" t="s">
        <v>700</v>
      </c>
      <c r="C2415" s="4" t="s">
        <v>287</v>
      </c>
      <c r="D2415" s="94">
        <v>1102.0</v>
      </c>
    </row>
    <row r="2416">
      <c r="A2416" s="40">
        <f t="array" ref="A2416">IFNA(index(PlayerValues!A:A,match(IFNA(vlookup(B2416,'Special Names'!A:B,2,FALSE),B2416),PlayerValues!E:E,0)),"N/A")</f>
        <v>16384</v>
      </c>
      <c r="B2416" s="4" t="s">
        <v>696</v>
      </c>
      <c r="C2416" s="4" t="s">
        <v>283</v>
      </c>
      <c r="D2416" s="94">
        <v>1098.0</v>
      </c>
    </row>
    <row r="2417">
      <c r="A2417" s="40">
        <f t="array" ref="A2417">IFNA(index(PlayerValues!A:A,match(IFNA(vlookup(B2417,'Special Names'!A:B,2,FALSE),B2417),PlayerValues!E:E,0)),"N/A")</f>
        <v>17175</v>
      </c>
      <c r="B2417" s="4" t="s">
        <v>747</v>
      </c>
      <c r="C2417" s="4" t="s">
        <v>287</v>
      </c>
      <c r="D2417" s="94">
        <v>1091.0</v>
      </c>
    </row>
    <row r="2418">
      <c r="A2418" s="40">
        <f t="array" ref="A2418">IFNA(index(PlayerValues!A:A,match(IFNA(vlookup(B2418,'Special Names'!A:B,2,FALSE),B2418),PlayerValues!E:E,0)),"N/A")</f>
        <v>15717</v>
      </c>
      <c r="B2418" s="4" t="s">
        <v>745</v>
      </c>
      <c r="C2418" s="4" t="s">
        <v>278</v>
      </c>
      <c r="D2418" s="94">
        <v>1083.0</v>
      </c>
    </row>
    <row r="2419">
      <c r="A2419" s="40">
        <f t="array" ref="A2419">IFNA(index(PlayerValues!A:A,match(IFNA(vlookup(B2419,'Special Names'!A:B,2,FALSE),B2419),PlayerValues!E:E,0)),"N/A")</f>
        <v>15718</v>
      </c>
      <c r="B2419" s="4" t="s">
        <v>753</v>
      </c>
      <c r="C2419" s="4" t="s">
        <v>278</v>
      </c>
      <c r="D2419" s="94">
        <v>1079.0</v>
      </c>
    </row>
    <row r="2420">
      <c r="A2420" s="40">
        <f t="array" ref="A2420">IFNA(index(PlayerValues!A:A,match(IFNA(vlookup(B2420,'Special Names'!A:B,2,FALSE),B2420),PlayerValues!E:E,0)),"N/A")</f>
        <v>16197</v>
      </c>
      <c r="B2420" s="4" t="s">
        <v>726</v>
      </c>
      <c r="C2420" s="4" t="s">
        <v>287</v>
      </c>
      <c r="D2420" s="94">
        <v>1073.0</v>
      </c>
    </row>
    <row r="2421">
      <c r="A2421" s="40">
        <f t="array" ref="A2421">IFNA(index(PlayerValues!A:A,match(IFNA(vlookup(B2421,'Special Names'!A:B,2,FALSE),B2421),PlayerValues!E:E,0)),"N/A")</f>
        <v>16219</v>
      </c>
      <c r="B2421" s="4" t="s">
        <v>739</v>
      </c>
      <c r="C2421" s="4" t="s">
        <v>298</v>
      </c>
      <c r="D2421" s="94">
        <v>1439.0</v>
      </c>
    </row>
    <row r="2422">
      <c r="A2422" s="40">
        <f t="array" ref="A2422">IFNA(index(PlayerValues!A:A,match(IFNA(vlookup(B2422,'Special Names'!A:B,2,FALSE),B2422),PlayerValues!E:E,0)),"N/A")</f>
        <v>13610</v>
      </c>
      <c r="B2422" s="4" t="s">
        <v>825</v>
      </c>
      <c r="C2422" s="4" t="s">
        <v>278</v>
      </c>
      <c r="D2422" s="94">
        <v>1069.0</v>
      </c>
    </row>
    <row r="2423">
      <c r="A2423" s="40">
        <f t="array" ref="A2423">IFNA(index(PlayerValues!A:A,match(IFNA(vlookup(B2423,'Special Names'!A:B,2,FALSE),B2423),PlayerValues!E:E,0)),"N/A")</f>
        <v>15730</v>
      </c>
      <c r="B2423" s="4" t="s">
        <v>734</v>
      </c>
      <c r="C2423" s="4" t="s">
        <v>278</v>
      </c>
      <c r="D2423" s="94">
        <v>1069.0</v>
      </c>
    </row>
    <row r="2424">
      <c r="A2424" s="40">
        <f t="array" ref="A2424">IFNA(index(PlayerValues!A:A,match(IFNA(vlookup(B2424,'Special Names'!A:B,2,FALSE),B2424),PlayerValues!E:E,0)),"N/A")</f>
        <v>16387</v>
      </c>
      <c r="B2424" s="4" t="s">
        <v>646</v>
      </c>
      <c r="C2424" s="4" t="s">
        <v>278</v>
      </c>
      <c r="D2424" s="94">
        <v>1056.0</v>
      </c>
    </row>
    <row r="2425">
      <c r="A2425" s="40">
        <f t="array" ref="A2425">IFNA(index(PlayerValues!A:A,match(IFNA(vlookup(B2425,'Special Names'!A:B,2,FALSE),B2425),PlayerValues!E:E,0)),"N/A")</f>
        <v>16640</v>
      </c>
      <c r="B2425" s="4" t="s">
        <v>712</v>
      </c>
      <c r="C2425" s="4" t="s">
        <v>287</v>
      </c>
      <c r="D2425" s="94">
        <v>1055.0</v>
      </c>
    </row>
    <row r="2426">
      <c r="A2426" s="40">
        <f t="array" ref="A2426">IFNA(index(PlayerValues!A:A,match(IFNA(vlookup(B2426,'Special Names'!A:B,2,FALSE),B2426),PlayerValues!E:E,0)),"N/A")</f>
        <v>14849</v>
      </c>
      <c r="B2426" s="4" t="s">
        <v>733</v>
      </c>
      <c r="C2426" s="4" t="s">
        <v>287</v>
      </c>
      <c r="D2426" s="94">
        <v>1042.0</v>
      </c>
    </row>
    <row r="2427">
      <c r="A2427" s="40">
        <f t="array" ref="A2427">IFNA(index(PlayerValues!A:A,match(IFNA(vlookup(B2427,'Special Names'!A:B,2,FALSE),B2427),PlayerValues!E:E,0)),"N/A")</f>
        <v>14118</v>
      </c>
      <c r="B2427" s="4" t="s">
        <v>771</v>
      </c>
      <c r="C2427" s="4" t="s">
        <v>287</v>
      </c>
      <c r="D2427" s="94">
        <v>1038.0</v>
      </c>
    </row>
    <row r="2428">
      <c r="A2428" s="40">
        <f t="array" ref="A2428">IFNA(index(PlayerValues!A:A,match(IFNA(vlookup(B2428,'Special Names'!A:B,2,FALSE),B2428),PlayerValues!E:E,0)),"N/A")</f>
        <v>15720</v>
      </c>
      <c r="B2428" s="4" t="s">
        <v>795</v>
      </c>
      <c r="C2428" s="4" t="s">
        <v>278</v>
      </c>
      <c r="D2428" s="94">
        <v>1033.0</v>
      </c>
    </row>
    <row r="2429">
      <c r="A2429" s="40">
        <f t="array" ref="A2429">IFNA(index(PlayerValues!A:A,match(IFNA(vlookup(B2429,'Special Names'!A:B,2,FALSE),B2429),PlayerValues!E:E,0)),"N/A")</f>
        <v>15693</v>
      </c>
      <c r="B2429" s="4" t="s">
        <v>755</v>
      </c>
      <c r="C2429" s="4" t="s">
        <v>283</v>
      </c>
      <c r="D2429" s="94">
        <v>1029.0</v>
      </c>
    </row>
    <row r="2430">
      <c r="A2430" s="40">
        <f t="array" ref="A2430">IFNA(index(PlayerValues!A:A,match(IFNA(vlookup(B2430,'Special Names'!A:B,2,FALSE),B2430),PlayerValues!E:E,0)),"N/A")</f>
        <v>15785</v>
      </c>
      <c r="B2430" s="4" t="s">
        <v>763</v>
      </c>
      <c r="C2430" s="4" t="s">
        <v>287</v>
      </c>
      <c r="D2430" s="94">
        <v>1027.0</v>
      </c>
    </row>
    <row r="2431">
      <c r="A2431" s="40">
        <f t="array" ref="A2431">IFNA(index(PlayerValues!A:A,match(IFNA(vlookup(B2431,'Special Names'!A:B,2,FALSE),B2431),PlayerValues!E:E,0)),"N/A")</f>
        <v>13143</v>
      </c>
      <c r="B2431" s="4" t="s">
        <v>786</v>
      </c>
      <c r="C2431" s="4" t="s">
        <v>278</v>
      </c>
      <c r="D2431" s="94">
        <v>1024.0</v>
      </c>
    </row>
    <row r="2432">
      <c r="A2432" s="40">
        <f t="array" ref="A2432">IFNA(index(PlayerValues!A:A,match(IFNA(vlookup(B2432,'Special Names'!A:B,2,FALSE),B2432),PlayerValues!E:E,0)),"N/A")</f>
        <v>15626</v>
      </c>
      <c r="B2432" s="4" t="s">
        <v>766</v>
      </c>
      <c r="C2432" s="4" t="s">
        <v>298</v>
      </c>
      <c r="D2432" s="94">
        <v>1389.0</v>
      </c>
    </row>
    <row r="2433">
      <c r="A2433" s="40">
        <f t="array" ref="A2433">IFNA(index(PlayerValues!A:A,match(IFNA(vlookup(B2433,'Special Names'!A:B,2,FALSE),B2433),PlayerValues!E:E,0)),"N/A")</f>
        <v>16637</v>
      </c>
      <c r="B2433" s="4" t="s">
        <v>736</v>
      </c>
      <c r="C2433" s="4" t="s">
        <v>287</v>
      </c>
      <c r="D2433" s="94">
        <v>1014.0</v>
      </c>
    </row>
    <row r="2434">
      <c r="A2434" s="40">
        <f t="array" ref="A2434">IFNA(index(PlayerValues!A:A,match(IFNA(vlookup(B2434,'Special Names'!A:B,2,FALSE),B2434),PlayerValues!E:E,0)),"N/A")</f>
        <v>15283</v>
      </c>
      <c r="B2434" s="4" t="s">
        <v>844</v>
      </c>
      <c r="C2434" s="4" t="s">
        <v>287</v>
      </c>
      <c r="D2434" s="94">
        <v>1006.0</v>
      </c>
    </row>
    <row r="2435">
      <c r="A2435" s="40">
        <f t="array" ref="A2435">IFNA(index(PlayerValues!A:A,match(IFNA(vlookup(B2435,'Special Names'!A:B,2,FALSE),B2435),PlayerValues!E:E,0)),"N/A")</f>
        <v>17057</v>
      </c>
      <c r="B2435" s="4" t="s">
        <v>708</v>
      </c>
      <c r="C2435" s="4" t="s">
        <v>278</v>
      </c>
      <c r="D2435" s="94">
        <v>1005.0</v>
      </c>
    </row>
    <row r="2436">
      <c r="A2436" s="40">
        <f t="array" ref="A2436">IFNA(index(PlayerValues!A:A,match(IFNA(vlookup(B2436,'Special Names'!A:B,2,FALSE),B2436),PlayerValues!E:E,0)),"N/A")</f>
        <v>17467</v>
      </c>
      <c r="B2436" s="4" t="s">
        <v>575</v>
      </c>
      <c r="C2436" s="4" t="s">
        <v>283</v>
      </c>
      <c r="D2436" s="94">
        <v>1003.0</v>
      </c>
    </row>
    <row r="2437">
      <c r="A2437" s="40">
        <f t="array" ref="A2437">IFNA(index(PlayerValues!A:A,match(IFNA(vlookup(B2437,'Special Names'!A:B,2,FALSE),B2437),PlayerValues!E:E,0)),"N/A")</f>
        <v>16168</v>
      </c>
      <c r="B2437" s="4" t="s">
        <v>738</v>
      </c>
      <c r="C2437" s="4" t="s">
        <v>278</v>
      </c>
      <c r="D2437" s="94">
        <v>1000.0</v>
      </c>
    </row>
    <row r="2438">
      <c r="A2438" s="40">
        <f t="array" ref="A2438">IFNA(index(PlayerValues!A:A,match(IFNA(vlookup(B2438,'Special Names'!A:B,2,FALSE),B2438),PlayerValues!E:E,0)),"N/A")</f>
        <v>16393</v>
      </c>
      <c r="B2438" s="4" t="s">
        <v>768</v>
      </c>
      <c r="C2438" s="4" t="s">
        <v>287</v>
      </c>
      <c r="D2438" s="94">
        <v>998.0</v>
      </c>
    </row>
    <row r="2439">
      <c r="A2439" s="40">
        <f t="array" ref="A2439">IFNA(index(PlayerValues!A:A,match(IFNA(vlookup(B2439,'Special Names'!A:B,2,FALSE),B2439),PlayerValues!E:E,0)),"N/A")</f>
        <v>16648</v>
      </c>
      <c r="B2439" s="4" t="s">
        <v>748</v>
      </c>
      <c r="C2439" s="4" t="s">
        <v>298</v>
      </c>
      <c r="D2439" s="94">
        <v>1366.0</v>
      </c>
    </row>
    <row r="2440">
      <c r="A2440" s="40">
        <f t="array" ref="A2440">IFNA(index(PlayerValues!A:A,match(IFNA(vlookup(B2440,'Special Names'!A:B,2,FALSE),B2440),PlayerValues!E:E,0)),"N/A")</f>
        <v>16159</v>
      </c>
      <c r="B2440" s="4" t="s">
        <v>819</v>
      </c>
      <c r="C2440" s="4" t="s">
        <v>283</v>
      </c>
      <c r="D2440" s="94">
        <v>993.0</v>
      </c>
    </row>
    <row r="2441">
      <c r="A2441" s="40">
        <f t="array" ref="A2441">IFNA(index(PlayerValues!A:A,match(IFNA(vlookup(B2441,'Special Names'!A:B,2,FALSE),B2441),PlayerValues!E:E,0)),"N/A")</f>
        <v>16858</v>
      </c>
      <c r="B2441" s="4" t="s">
        <v>754</v>
      </c>
      <c r="C2441" s="4" t="s">
        <v>287</v>
      </c>
      <c r="D2441" s="94">
        <v>990.0</v>
      </c>
    </row>
    <row r="2442">
      <c r="A2442" s="40">
        <f t="array" ref="A2442">IFNA(index(PlayerValues!A:A,match(IFNA(vlookup(B2442,'Special Names'!A:B,2,FALSE),B2442),PlayerValues!E:E,0)),"N/A")</f>
        <v>15330</v>
      </c>
      <c r="B2442" s="4" t="s">
        <v>749</v>
      </c>
      <c r="C2442" s="4" t="s">
        <v>298</v>
      </c>
      <c r="D2442" s="94">
        <v>1354.0</v>
      </c>
    </row>
    <row r="2443">
      <c r="A2443" s="40">
        <f t="array" ref="A2443">IFNA(index(PlayerValues!A:A,match(IFNA(vlookup(B2443,'Special Names'!A:B,2,FALSE),B2443),PlayerValues!E:E,0)),"N/A")</f>
        <v>16957</v>
      </c>
      <c r="B2443" s="4" t="s">
        <v>806</v>
      </c>
      <c r="C2443" s="4" t="s">
        <v>278</v>
      </c>
      <c r="D2443" s="94">
        <v>961.0</v>
      </c>
    </row>
    <row r="2444">
      <c r="A2444" s="40">
        <f t="array" ref="A2444">IFNA(index(PlayerValues!A:A,match(IFNA(vlookup(B2444,'Special Names'!A:B,2,FALSE),B2444),PlayerValues!E:E,0)),"N/A")</f>
        <v>9064</v>
      </c>
      <c r="B2444" s="4" t="s">
        <v>761</v>
      </c>
      <c r="C2444" s="4" t="s">
        <v>283</v>
      </c>
      <c r="D2444" s="94">
        <v>950.0</v>
      </c>
    </row>
    <row r="2445">
      <c r="A2445" s="40">
        <f t="array" ref="A2445">IFNA(index(PlayerValues!A:A,match(IFNA(vlookup(B2445,'Special Names'!A:B,2,FALSE),B2445),PlayerValues!E:E,0)),"N/A")</f>
        <v>14067</v>
      </c>
      <c r="B2445" s="4" t="s">
        <v>735</v>
      </c>
      <c r="C2445" s="4" t="s">
        <v>283</v>
      </c>
      <c r="D2445" s="94">
        <v>947.0</v>
      </c>
    </row>
    <row r="2446">
      <c r="A2446" s="40">
        <f t="array" ref="A2446">IFNA(index(PlayerValues!A:A,match(IFNA(vlookup(B2446,'Special Names'!A:B,2,FALSE),B2446),PlayerValues!E:E,0)),"N/A")</f>
        <v>15766</v>
      </c>
      <c r="B2446" s="4" t="s">
        <v>759</v>
      </c>
      <c r="C2446" s="4" t="s">
        <v>287</v>
      </c>
      <c r="D2446" s="94">
        <v>946.0</v>
      </c>
    </row>
    <row r="2447">
      <c r="A2447" s="40">
        <f t="array" ref="A2447">IFNA(index(PlayerValues!A:A,match(IFNA(vlookup(B2447,'Special Names'!A:B,2,FALSE),B2447),PlayerValues!E:E,0)),"N/A")</f>
        <v>14852</v>
      </c>
      <c r="B2447" s="4" t="s">
        <v>837</v>
      </c>
      <c r="C2447" s="4" t="s">
        <v>278</v>
      </c>
      <c r="D2447" s="94">
        <v>945.0</v>
      </c>
    </row>
    <row r="2448">
      <c r="A2448" s="40">
        <f t="array" ref="A2448">IFNA(index(PlayerValues!A:A,match(IFNA(vlookup(B2448,'Special Names'!A:B,2,FALSE),B2448),PlayerValues!E:E,0)),"N/A")</f>
        <v>16205</v>
      </c>
      <c r="B2448" s="4" t="s">
        <v>742</v>
      </c>
      <c r="C2448" s="4" t="s">
        <v>287</v>
      </c>
      <c r="D2448" s="94">
        <v>945.0</v>
      </c>
    </row>
    <row r="2449">
      <c r="A2449" s="40">
        <f t="array" ref="A2449">IFNA(index(PlayerValues!A:A,match(IFNA(vlookup(B2449,'Special Names'!A:B,2,FALSE),B2449),PlayerValues!E:E,0)),"N/A")</f>
        <v>17337</v>
      </c>
      <c r="B2449" s="4" t="s">
        <v>793</v>
      </c>
      <c r="C2449" s="4" t="s">
        <v>278</v>
      </c>
      <c r="D2449" s="94">
        <v>942.0</v>
      </c>
    </row>
    <row r="2450">
      <c r="A2450" s="40">
        <f t="array" ref="A2450">IFNA(index(PlayerValues!A:A,match(IFNA(vlookup(B2450,'Special Names'!A:B,2,FALSE),B2450),PlayerValues!E:E,0)),"N/A")</f>
        <v>13156</v>
      </c>
      <c r="B2450" s="4" t="s">
        <v>835</v>
      </c>
      <c r="C2450" s="4" t="s">
        <v>287</v>
      </c>
      <c r="D2450" s="94">
        <v>938.0</v>
      </c>
    </row>
    <row r="2451">
      <c r="A2451" s="40">
        <f t="array" ref="A2451">IFNA(index(PlayerValues!A:A,match(IFNA(vlookup(B2451,'Special Names'!A:B,2,FALSE),B2451),PlayerValues!E:E,0)),"N/A")</f>
        <v>13133</v>
      </c>
      <c r="B2451" s="4" t="s">
        <v>764</v>
      </c>
      <c r="C2451" s="4" t="s">
        <v>278</v>
      </c>
      <c r="D2451" s="94">
        <v>937.0</v>
      </c>
    </row>
    <row r="2452">
      <c r="A2452" s="40">
        <f t="array" ref="A2452">IFNA(index(PlayerValues!A:A,match(IFNA(vlookup(B2452,'Special Names'!A:B,2,FALSE),B2452),PlayerValues!E:E,0)),"N/A")</f>
        <v>14864</v>
      </c>
      <c r="B2452" s="4" t="s">
        <v>789</v>
      </c>
      <c r="C2452" s="4" t="s">
        <v>287</v>
      </c>
      <c r="D2452" s="94">
        <v>932.0</v>
      </c>
    </row>
    <row r="2453">
      <c r="A2453" s="40">
        <f t="array" ref="A2453">IFNA(index(PlayerValues!A:A,match(IFNA(vlookup(B2453,'Special Names'!A:B,2,FALSE),B2453),PlayerValues!E:E,0)),"N/A")</f>
        <v>14057</v>
      </c>
      <c r="B2453" s="4" t="s">
        <v>765</v>
      </c>
      <c r="C2453" s="4" t="s">
        <v>283</v>
      </c>
      <c r="D2453" s="94">
        <v>929.0</v>
      </c>
    </row>
    <row r="2454">
      <c r="A2454" s="40">
        <f t="array" ref="A2454">IFNA(index(PlayerValues!A:A,match(IFNA(vlookup(B2454,'Special Names'!A:B,2,FALSE),B2454),PlayerValues!E:E,0)),"N/A")</f>
        <v>13595</v>
      </c>
      <c r="B2454" s="4" t="s">
        <v>818</v>
      </c>
      <c r="C2454" s="4" t="s">
        <v>283</v>
      </c>
      <c r="D2454" s="94">
        <v>929.0</v>
      </c>
    </row>
    <row r="2455">
      <c r="A2455" s="40">
        <f t="array" ref="A2455">IFNA(index(PlayerValues!A:A,match(IFNA(vlookup(B2455,'Special Names'!A:B,2,FALSE),B2455),PlayerValues!E:E,0)),"N/A")</f>
        <v>15109</v>
      </c>
      <c r="B2455" s="4" t="s">
        <v>728</v>
      </c>
      <c r="C2455" s="4" t="s">
        <v>287</v>
      </c>
      <c r="D2455" s="94">
        <v>927.0</v>
      </c>
    </row>
    <row r="2456">
      <c r="A2456" s="40">
        <f t="array" ref="A2456">IFNA(index(PlayerValues!A:A,match(IFNA(vlookup(B2456,'Special Names'!A:B,2,FALSE),B2456),PlayerValues!E:E,0)),"N/A")</f>
        <v>12785</v>
      </c>
      <c r="B2456" s="4" t="s">
        <v>772</v>
      </c>
      <c r="C2456" s="4" t="s">
        <v>287</v>
      </c>
      <c r="D2456" s="94">
        <v>924.0</v>
      </c>
    </row>
    <row r="2457">
      <c r="A2457" s="40">
        <f t="array" ref="A2457">IFNA(index(PlayerValues!A:A,match(IFNA(vlookup(B2457,'Special Names'!A:B,2,FALSE),B2457),PlayerValues!E:E,0)),"N/A")</f>
        <v>16624</v>
      </c>
      <c r="B2457" s="4" t="s">
        <v>796</v>
      </c>
      <c r="C2457" s="4" t="s">
        <v>287</v>
      </c>
      <c r="D2457" s="94">
        <v>922.0</v>
      </c>
    </row>
    <row r="2458">
      <c r="A2458" s="40">
        <f t="array" ref="A2458">IFNA(index(PlayerValues!A:A,match(IFNA(vlookup(B2458,'Special Names'!A:B,2,FALSE),B2458),PlayerValues!E:E,0)),"N/A")</f>
        <v>14079</v>
      </c>
      <c r="B2458" s="4" t="s">
        <v>830</v>
      </c>
      <c r="C2458" s="4" t="s">
        <v>278</v>
      </c>
      <c r="D2458" s="94">
        <v>919.0</v>
      </c>
    </row>
    <row r="2459">
      <c r="A2459" s="40">
        <f t="array" ref="A2459">IFNA(index(PlayerValues!A:A,match(IFNA(vlookup(B2459,'Special Names'!A:B,2,FALSE),B2459),PlayerValues!E:E,0)),"N/A")</f>
        <v>11247</v>
      </c>
      <c r="B2459" s="4" t="s">
        <v>816</v>
      </c>
      <c r="C2459" s="4" t="s">
        <v>298</v>
      </c>
      <c r="D2459" s="94">
        <v>1280.0</v>
      </c>
    </row>
    <row r="2460">
      <c r="A2460" s="40">
        <f t="array" ref="A2460">IFNA(index(PlayerValues!A:A,match(IFNA(vlookup(B2460,'Special Names'!A:B,2,FALSE),B2460),PlayerValues!E:E,0)),"N/A")</f>
        <v>16176</v>
      </c>
      <c r="B2460" s="4" t="s">
        <v>812</v>
      </c>
      <c r="C2460" s="4" t="s">
        <v>278</v>
      </c>
      <c r="D2460" s="94">
        <v>907.0</v>
      </c>
    </row>
    <row r="2461">
      <c r="A2461" s="40">
        <f t="array" ref="A2461">IFNA(index(PlayerValues!A:A,match(IFNA(vlookup(B2461,'Special Names'!A:B,2,FALSE),B2461),PlayerValues!E:E,0)),"N/A")</f>
        <v>17488</v>
      </c>
      <c r="B2461" s="4" t="s">
        <v>845</v>
      </c>
      <c r="C2461" s="4" t="s">
        <v>278</v>
      </c>
      <c r="D2461" s="94">
        <v>907.0</v>
      </c>
    </row>
    <row r="2462">
      <c r="A2462" s="40">
        <f t="array" ref="A2462">IFNA(index(PlayerValues!A:A,match(IFNA(vlookup(B2462,'Special Names'!A:B,2,FALSE),B2462),PlayerValues!E:E,0)),"N/A")</f>
        <v>15723</v>
      </c>
      <c r="B2462" s="4" t="s">
        <v>798</v>
      </c>
      <c r="C2462" s="4" t="s">
        <v>278</v>
      </c>
      <c r="D2462" s="94">
        <v>904.0</v>
      </c>
    </row>
    <row r="2463">
      <c r="A2463" s="40">
        <f t="array" ref="A2463">IFNA(index(PlayerValues!A:A,match(IFNA(vlookup(B2463,'Special Names'!A:B,2,FALSE),B2463),PlayerValues!E:E,0)),"N/A")</f>
        <v>16773</v>
      </c>
      <c r="B2463" s="4" t="s">
        <v>783</v>
      </c>
      <c r="C2463" s="4" t="s">
        <v>278</v>
      </c>
      <c r="D2463" s="94">
        <v>900.0</v>
      </c>
    </row>
    <row r="2464">
      <c r="A2464" s="40">
        <f t="array" ref="A2464">IFNA(index(PlayerValues!A:A,match(IFNA(vlookup(B2464,'Special Names'!A:B,2,FALSE),B2464),PlayerValues!E:E,0)),"N/A")</f>
        <v>13763</v>
      </c>
      <c r="B2464" s="4" t="s">
        <v>831</v>
      </c>
      <c r="C2464" s="4" t="s">
        <v>298</v>
      </c>
      <c r="D2464" s="94">
        <v>1270.0</v>
      </c>
    </row>
    <row r="2465">
      <c r="A2465" s="40">
        <f t="array" ref="A2465">IFNA(index(PlayerValues!A:A,match(IFNA(vlookup(B2465,'Special Names'!A:B,2,FALSE),B2465),PlayerValues!E:E,0)),"N/A")</f>
        <v>16599</v>
      </c>
      <c r="B2465" s="4" t="s">
        <v>737</v>
      </c>
      <c r="C2465" s="4" t="s">
        <v>278</v>
      </c>
      <c r="D2465" s="94">
        <v>894.0</v>
      </c>
    </row>
    <row r="2466">
      <c r="A2466" s="40">
        <f t="array" ref="A2466">IFNA(index(PlayerValues!A:A,match(IFNA(vlookup(B2466,'Special Names'!A:B,2,FALSE),B2466),PlayerValues!E:E,0)),"N/A")</f>
        <v>11232</v>
      </c>
      <c r="B2466" s="4" t="s">
        <v>826</v>
      </c>
      <c r="C2466" s="4" t="s">
        <v>287</v>
      </c>
      <c r="D2466" s="94">
        <v>878.0</v>
      </c>
    </row>
    <row r="2467">
      <c r="A2467" s="40">
        <f t="array" ref="A2467">IFNA(index(PlayerValues!A:A,match(IFNA(vlookup(B2467,'Special Names'!A:B,2,FALSE),B2467),PlayerValues!E:E,0)),"N/A")</f>
        <v>16686</v>
      </c>
      <c r="B2467" s="4" t="s">
        <v>805</v>
      </c>
      <c r="C2467" s="4" t="s">
        <v>287</v>
      </c>
      <c r="D2467" s="94">
        <v>877.0</v>
      </c>
    </row>
    <row r="2468">
      <c r="A2468" s="40">
        <f t="array" ref="A2468">IFNA(index(PlayerValues!A:A,match(IFNA(vlookup(B2468,'Special Names'!A:B,2,FALSE),B2468),PlayerValues!E:E,0)),"N/A")</f>
        <v>14799</v>
      </c>
      <c r="B2468" s="4" t="s">
        <v>829</v>
      </c>
      <c r="C2468" s="4" t="s">
        <v>278</v>
      </c>
      <c r="D2468" s="94">
        <v>870.0</v>
      </c>
    </row>
    <row r="2469">
      <c r="A2469" s="40">
        <f t="array" ref="A2469">IFNA(index(PlayerValues!A:A,match(IFNA(vlookup(B2469,'Special Names'!A:B,2,FALSE),B2469),PlayerValues!E:E,0)),"N/A")</f>
        <v>15796</v>
      </c>
      <c r="B2469" s="4" t="s">
        <v>794</v>
      </c>
      <c r="C2469" s="4" t="s">
        <v>298</v>
      </c>
      <c r="D2469" s="94">
        <v>1242.0</v>
      </c>
    </row>
    <row r="2470">
      <c r="A2470" s="40">
        <f t="array" ref="A2470">IFNA(index(PlayerValues!A:A,match(IFNA(vlookup(B2470,'Special Names'!A:B,2,FALSE),B2470),PlayerValues!E:E,0)),"N/A")</f>
        <v>15263</v>
      </c>
      <c r="B2470" s="4" t="s">
        <v>804</v>
      </c>
      <c r="C2470" s="4" t="s">
        <v>278</v>
      </c>
      <c r="D2470" s="94">
        <v>869.0</v>
      </c>
    </row>
    <row r="2471">
      <c r="A2471" s="40">
        <f t="array" ref="A2471">IFNA(index(PlayerValues!A:A,match(IFNA(vlookup(B2471,'Special Names'!A:B,2,FALSE),B2471),PlayerValues!E:E,0)),"N/A")</f>
        <v>16416</v>
      </c>
      <c r="B2471" s="4" t="s">
        <v>752</v>
      </c>
      <c r="C2471" s="4" t="s">
        <v>287</v>
      </c>
      <c r="D2471" s="94">
        <v>869.0</v>
      </c>
    </row>
    <row r="2472">
      <c r="A2472" s="40">
        <f t="array" ref="A2472">IFNA(index(PlayerValues!A:A,match(IFNA(vlookup(B2472,'Special Names'!A:B,2,FALSE),B2472),PlayerValues!E:E,0)),"N/A")</f>
        <v>13157</v>
      </c>
      <c r="B2472" s="4" t="s">
        <v>836</v>
      </c>
      <c r="C2472" s="4" t="s">
        <v>287</v>
      </c>
      <c r="D2472" s="94">
        <v>868.0</v>
      </c>
    </row>
    <row r="2473">
      <c r="A2473" s="40">
        <f t="array" ref="A2473">IFNA(index(PlayerValues!A:A,match(IFNA(vlookup(B2473,'Special Names'!A:B,2,FALSE),B2473),PlayerValues!E:E,0)),"N/A")</f>
        <v>16608</v>
      </c>
      <c r="B2473" s="4" t="s">
        <v>629</v>
      </c>
      <c r="C2473" s="4" t="s">
        <v>278</v>
      </c>
      <c r="D2473" s="94">
        <v>860.0</v>
      </c>
    </row>
    <row r="2474">
      <c r="A2474" s="40">
        <f t="array" ref="A2474">IFNA(index(PlayerValues!A:A,match(IFNA(vlookup(B2474,'Special Names'!A:B,2,FALSE),B2474),PlayerValues!E:E,0)),"N/A")</f>
        <v>16751</v>
      </c>
      <c r="B2474" s="4" t="s">
        <v>762</v>
      </c>
      <c r="C2474" s="4" t="s">
        <v>287</v>
      </c>
      <c r="D2474" s="94">
        <v>859.0</v>
      </c>
    </row>
    <row r="2475">
      <c r="A2475" s="40">
        <f t="array" ref="A2475">IFNA(index(PlayerValues!A:A,match(IFNA(vlookup(B2475,'Special Names'!A:B,2,FALSE),B2475),PlayerValues!E:E,0)),"N/A")</f>
        <v>15714</v>
      </c>
      <c r="B2475" s="4" t="s">
        <v>775</v>
      </c>
      <c r="C2475" s="4" t="s">
        <v>278</v>
      </c>
      <c r="D2475" s="94">
        <v>855.0</v>
      </c>
    </row>
    <row r="2476">
      <c r="A2476" s="40">
        <f t="array" ref="A2476">IFNA(index(PlayerValues!A:A,match(IFNA(vlookup(B2476,'Special Names'!A:B,2,FALSE),B2476),PlayerValues!E:E,0)),"N/A")</f>
        <v>15804</v>
      </c>
      <c r="B2476" s="4" t="s">
        <v>821</v>
      </c>
      <c r="C2476" s="4" t="s">
        <v>298</v>
      </c>
      <c r="D2476" s="94">
        <v>1226.0</v>
      </c>
    </row>
    <row r="2477">
      <c r="A2477" s="40">
        <f t="array" ref="A2477">IFNA(index(PlayerValues!A:A,match(IFNA(vlookup(B2477,'Special Names'!A:B,2,FALSE),B2477),PlayerValues!E:E,0)),"N/A")</f>
        <v>16623</v>
      </c>
      <c r="B2477" s="4" t="s">
        <v>803</v>
      </c>
      <c r="C2477" s="4" t="s">
        <v>287</v>
      </c>
      <c r="D2477" s="94">
        <v>847.0</v>
      </c>
    </row>
    <row r="2478">
      <c r="A2478" s="40">
        <f t="array" ref="A2478">IFNA(index(PlayerValues!A:A,match(IFNA(vlookup(B2478,'Special Names'!A:B,2,FALSE),B2478),PlayerValues!E:E,0)),"N/A")</f>
        <v>13172</v>
      </c>
      <c r="B2478" s="4" t="s">
        <v>840</v>
      </c>
      <c r="C2478" s="4" t="s">
        <v>287</v>
      </c>
      <c r="D2478" s="94">
        <v>845.0</v>
      </c>
    </row>
    <row r="2479">
      <c r="A2479" s="40">
        <f t="array" ref="A2479">IFNA(index(PlayerValues!A:A,match(IFNA(vlookup(B2479,'Special Names'!A:B,2,FALSE),B2479),PlayerValues!E:E,0)),"N/A")</f>
        <v>15795</v>
      </c>
      <c r="B2479" s="4" t="s">
        <v>669</v>
      </c>
      <c r="C2479" s="4" t="s">
        <v>298</v>
      </c>
      <c r="D2479" s="94">
        <v>1209.0</v>
      </c>
    </row>
    <row r="2480">
      <c r="A2480" s="40">
        <f t="array" ref="A2480">IFNA(index(PlayerValues!A:A,match(IFNA(vlookup(B2480,'Special Names'!A:B,2,FALSE),B2480),PlayerValues!E:E,0)),"N/A")</f>
        <v>16625</v>
      </c>
      <c r="B2480" s="4" t="s">
        <v>778</v>
      </c>
      <c r="C2480" s="4" t="s">
        <v>287</v>
      </c>
      <c r="D2480" s="94">
        <v>830.0</v>
      </c>
    </row>
    <row r="2481">
      <c r="A2481" s="40">
        <f t="array" ref="A2481">IFNA(index(PlayerValues!A:A,match(IFNA(vlookup(B2481,'Special Names'!A:B,2,FALSE),B2481),PlayerValues!E:E,0)),"N/A")</f>
        <v>14209</v>
      </c>
      <c r="B2481" s="4" t="s">
        <v>809</v>
      </c>
      <c r="C2481" s="4" t="s">
        <v>298</v>
      </c>
      <c r="D2481" s="94">
        <v>1198.0</v>
      </c>
    </row>
    <row r="2482">
      <c r="A2482" s="40">
        <f t="array" ref="A2482">IFNA(index(PlayerValues!A:A,match(IFNA(vlookup(B2482,'Special Names'!A:B,2,FALSE),B2482),PlayerValues!E:E,0)),"N/A")</f>
        <v>15271</v>
      </c>
      <c r="B2482" s="4" t="s">
        <v>741</v>
      </c>
      <c r="C2482" s="4" t="s">
        <v>278</v>
      </c>
      <c r="D2482" s="94">
        <v>810.0</v>
      </c>
    </row>
    <row r="2483">
      <c r="A2483" s="40">
        <f t="array" ref="A2483">IFNA(index(PlayerValues!A:A,match(IFNA(vlookup(B2483,'Special Names'!A:B,2,FALSE),B2483),PlayerValues!E:E,0)),"N/A")</f>
        <v>10413</v>
      </c>
      <c r="B2483" s="4" t="s">
        <v>811</v>
      </c>
      <c r="C2483" s="4" t="s">
        <v>283</v>
      </c>
      <c r="D2483" s="94">
        <v>808.0</v>
      </c>
    </row>
    <row r="2484">
      <c r="A2484" s="40">
        <f t="array" ref="A2484">IFNA(index(PlayerValues!A:A,match(IFNA(vlookup(B2484,'Special Names'!A:B,2,FALSE),B2484),PlayerValues!E:E,0)),"N/A")</f>
        <v>12658</v>
      </c>
      <c r="B2484" s="4" t="s">
        <v>823</v>
      </c>
      <c r="C2484" s="4" t="s">
        <v>287</v>
      </c>
      <c r="D2484" s="94">
        <v>807.0</v>
      </c>
    </row>
    <row r="2485">
      <c r="A2485" s="40">
        <f t="array" ref="A2485">IFNA(index(PlayerValues!A:A,match(IFNA(vlookup(B2485,'Special Names'!A:B,2,FALSE),B2485),PlayerValues!E:E,0)),"N/A")</f>
        <v>16606</v>
      </c>
      <c r="B2485" s="4" t="s">
        <v>743</v>
      </c>
      <c r="C2485" s="4" t="s">
        <v>278</v>
      </c>
      <c r="D2485" s="94">
        <v>800.0</v>
      </c>
    </row>
    <row r="2486">
      <c r="A2486" s="40">
        <f t="array" ref="A2486">IFNA(index(PlayerValues!A:A,match(IFNA(vlookup(B2486,'Special Names'!A:B,2,FALSE),B2486),PlayerValues!E:E,0)),"N/A")</f>
        <v>13176</v>
      </c>
      <c r="B2486" s="4" t="s">
        <v>807</v>
      </c>
      <c r="C2486" s="4" t="s">
        <v>287</v>
      </c>
      <c r="D2486" s="94">
        <v>796.0</v>
      </c>
    </row>
    <row r="2487">
      <c r="A2487" s="40">
        <f t="array" ref="A2487">IFNA(index(PlayerValues!A:A,match(IFNA(vlookup(B2487,'Special Names'!A:B,2,FALSE),B2487),PlayerValues!E:E,0)),"N/A")</f>
        <v>14358</v>
      </c>
      <c r="B2487" s="4" t="s">
        <v>813</v>
      </c>
      <c r="C2487" s="4" t="s">
        <v>283</v>
      </c>
      <c r="D2487" s="94">
        <v>784.0</v>
      </c>
    </row>
    <row r="2488">
      <c r="A2488" s="40">
        <f t="array" ref="A2488">IFNA(index(PlayerValues!A:A,match(IFNA(vlookup(B2488,'Special Names'!A:B,2,FALSE),B2488),PlayerValues!E:E,0)),"N/A")</f>
        <v>15285</v>
      </c>
      <c r="B2488" s="4" t="s">
        <v>792</v>
      </c>
      <c r="C2488" s="4" t="s">
        <v>287</v>
      </c>
      <c r="D2488" s="94">
        <v>784.0</v>
      </c>
    </row>
    <row r="2489">
      <c r="A2489" s="40">
        <f t="array" ref="A2489">IFNA(index(PlayerValues!A:A,match(IFNA(vlookup(B2489,'Special Names'!A:B,2,FALSE),B2489),PlayerValues!E:E,0)),"N/A")</f>
        <v>16413</v>
      </c>
      <c r="B2489" s="4" t="s">
        <v>781</v>
      </c>
      <c r="C2489" s="4" t="s">
        <v>287</v>
      </c>
      <c r="D2489" s="94">
        <v>783.0</v>
      </c>
    </row>
    <row r="2490">
      <c r="A2490" s="40">
        <f t="array" ref="A2490">IFNA(index(PlayerValues!A:A,match(IFNA(vlookup(B2490,'Special Names'!A:B,2,FALSE),B2490),PlayerValues!E:E,0)),"N/A")</f>
        <v>17282</v>
      </c>
      <c r="B2490" s="4" t="s">
        <v>833</v>
      </c>
      <c r="C2490" s="4" t="s">
        <v>283</v>
      </c>
      <c r="D2490" s="94">
        <v>778.0</v>
      </c>
    </row>
    <row r="2491">
      <c r="A2491" s="40">
        <f t="array" ref="A2491">IFNA(index(PlayerValues!A:A,match(IFNA(vlookup(B2491,'Special Names'!A:B,2,FALSE),B2491),PlayerValues!E:E,0)),"N/A")</f>
        <v>16632</v>
      </c>
      <c r="B2491" s="4" t="s">
        <v>842</v>
      </c>
      <c r="C2491" s="4" t="s">
        <v>287</v>
      </c>
      <c r="D2491" s="94">
        <v>771.0</v>
      </c>
    </row>
    <row r="2492">
      <c r="A2492" s="40">
        <f t="array" ref="A2492">IFNA(index(PlayerValues!A:A,match(IFNA(vlookup(B2492,'Special Names'!A:B,2,FALSE),B2492),PlayerValues!E:E,0)),"N/A")</f>
        <v>14805</v>
      </c>
      <c r="B2492" s="4" t="s">
        <v>770</v>
      </c>
      <c r="C2492" s="4" t="s">
        <v>278</v>
      </c>
      <c r="D2492" s="94">
        <v>770.0</v>
      </c>
    </row>
    <row r="2493">
      <c r="A2493" s="40">
        <f t="array" ref="A2493">IFNA(index(PlayerValues!A:A,match(IFNA(vlookup(B2493,'Special Names'!A:B,2,FALSE),B2493),PlayerValues!E:E,0)),"N/A")</f>
        <v>15965</v>
      </c>
      <c r="B2493" s="4" t="s">
        <v>791</v>
      </c>
      <c r="C2493" s="4" t="s">
        <v>278</v>
      </c>
      <c r="D2493" s="94">
        <v>770.0</v>
      </c>
    </row>
    <row r="2494">
      <c r="A2494" s="40">
        <f t="array" ref="A2494">IFNA(index(PlayerValues!A:A,match(IFNA(vlookup(B2494,'Special Names'!A:B,2,FALSE),B2494),PlayerValues!E:E,0)),"N/A")</f>
        <v>16678</v>
      </c>
      <c r="B2494" s="4" t="s">
        <v>758</v>
      </c>
      <c r="C2494" s="4" t="s">
        <v>278</v>
      </c>
      <c r="D2494" s="94">
        <v>758.0</v>
      </c>
    </row>
    <row r="2495">
      <c r="A2495" s="40">
        <f t="array" ref="A2495">IFNA(index(PlayerValues!A:A,match(IFNA(vlookup(B2495,'Special Names'!A:B,2,FALSE),B2495),PlayerValues!E:E,0)),"N/A")</f>
        <v>13424</v>
      </c>
      <c r="B2495" s="4" t="s">
        <v>846</v>
      </c>
      <c r="C2495" s="4" t="s">
        <v>298</v>
      </c>
      <c r="D2495" s="94">
        <v>1116.0</v>
      </c>
    </row>
    <row r="2496">
      <c r="A2496" s="40">
        <f t="array" ref="A2496">IFNA(index(PlayerValues!A:A,match(IFNA(vlookup(B2496,'Special Names'!A:B,2,FALSE),B2496),PlayerValues!E:E,0)),"N/A")</f>
        <v>14223</v>
      </c>
      <c r="B2496" s="4" t="s">
        <v>785</v>
      </c>
      <c r="C2496" s="4" t="s">
        <v>278</v>
      </c>
      <c r="D2496" s="94">
        <v>744.0</v>
      </c>
    </row>
    <row r="2497">
      <c r="A2497" s="40">
        <f t="array" ref="A2497">IFNA(index(PlayerValues!A:A,match(IFNA(vlookup(B2497,'Special Names'!A:B,2,FALSE),B2497),PlayerValues!E:E,0)),"N/A")</f>
        <v>13675</v>
      </c>
      <c r="B2497" s="4" t="s">
        <v>839</v>
      </c>
      <c r="C2497" s="4" t="s">
        <v>298</v>
      </c>
      <c r="D2497" s="94">
        <v>1111.0</v>
      </c>
    </row>
    <row r="2498">
      <c r="A2498" s="40">
        <f t="array" ref="A2498">IFNA(index(PlayerValues!A:A,match(IFNA(vlookup(B2498,'Special Names'!A:B,2,FALSE),B2498),PlayerValues!E:E,0)),"N/A")</f>
        <v>17232</v>
      </c>
      <c r="B2498" s="4" t="s">
        <v>784</v>
      </c>
      <c r="C2498" s="4" t="s">
        <v>287</v>
      </c>
      <c r="D2498" s="94">
        <v>735.0</v>
      </c>
    </row>
    <row r="2499">
      <c r="A2499" s="40">
        <f t="array" ref="A2499">IFNA(index(PlayerValues!A:A,match(IFNA(vlookup(B2499,'Special Names'!A:B,2,FALSE),B2499),PlayerValues!E:E,0)),"N/A")</f>
        <v>13377</v>
      </c>
      <c r="B2499" s="4" t="s">
        <v>847</v>
      </c>
      <c r="C2499" s="4" t="s">
        <v>287</v>
      </c>
      <c r="D2499" s="94">
        <v>728.0</v>
      </c>
    </row>
    <row r="2500">
      <c r="A2500" s="40">
        <f t="array" ref="A2500">IFNA(index(PlayerValues!A:A,match(IFNA(vlookup(B2500,'Special Names'!A:B,2,FALSE),B2500),PlayerValues!E:E,0)),"N/A")</f>
        <v>16170</v>
      </c>
      <c r="B2500" s="4" t="s">
        <v>801</v>
      </c>
      <c r="C2500" s="4" t="s">
        <v>278</v>
      </c>
      <c r="D2500" s="94">
        <v>725.0</v>
      </c>
    </row>
    <row r="2501">
      <c r="A2501" s="40">
        <f t="array" ref="A2501">IFNA(index(PlayerValues!A:A,match(IFNA(vlookup(B2501,'Special Names'!A:B,2,FALSE),B2501),PlayerValues!E:E,0)),"N/A")</f>
        <v>13589</v>
      </c>
      <c r="B2501" s="4" t="s">
        <v>282</v>
      </c>
      <c r="C2501" s="4" t="s">
        <v>283</v>
      </c>
      <c r="D2501" s="94">
        <v>9997.0</v>
      </c>
    </row>
    <row r="2502">
      <c r="A2502" s="40">
        <f t="array" ref="A2502">IFNA(index(PlayerValues!A:A,match(IFNA(vlookup(B2502,'Special Names'!A:B,2,FALSE),B2502),PlayerValues!E:E,0)),"N/A")</f>
        <v>16161</v>
      </c>
      <c r="B2502" s="4" t="s">
        <v>277</v>
      </c>
      <c r="C2502" s="4" t="s">
        <v>278</v>
      </c>
      <c r="D2502" s="94">
        <v>9986.0</v>
      </c>
    </row>
    <row r="2503">
      <c r="A2503" s="40">
        <f t="array" ref="A2503">IFNA(index(PlayerValues!A:A,match(IFNA(vlookup(B2503,'Special Names'!A:B,2,FALSE),B2503),PlayerValues!E:E,0)),"N/A")</f>
        <v>16185</v>
      </c>
      <c r="B2503" s="4" t="s">
        <v>290</v>
      </c>
      <c r="C2503" s="4" t="s">
        <v>287</v>
      </c>
      <c r="D2503" s="94">
        <v>9963.0</v>
      </c>
    </row>
    <row r="2504">
      <c r="A2504" s="40">
        <f t="array" ref="A2504">IFNA(index(PlayerValues!A:A,match(IFNA(vlookup(B2504,'Special Names'!A:B,2,FALSE),B2504),PlayerValues!E:E,0)),"N/A")</f>
        <v>15281</v>
      </c>
      <c r="B2504" s="4" t="s">
        <v>286</v>
      </c>
      <c r="C2504" s="4" t="s">
        <v>287</v>
      </c>
      <c r="D2504" s="94">
        <v>9821.0</v>
      </c>
    </row>
    <row r="2505">
      <c r="A2505" s="40">
        <f t="array" ref="A2505">IFNA(index(PlayerValues!A:A,match(IFNA(vlookup(B2505,'Special Names'!A:B,2,FALSE),B2505),PlayerValues!E:E,0)),"N/A")</f>
        <v>16580</v>
      </c>
      <c r="B2505" s="4" t="s">
        <v>291</v>
      </c>
      <c r="C2505" s="4" t="s">
        <v>283</v>
      </c>
      <c r="D2505" s="94">
        <v>9714.0</v>
      </c>
    </row>
    <row r="2506">
      <c r="A2506" s="40">
        <f t="array" ref="A2506">IFNA(index(PlayerValues!A:A,match(IFNA(vlookup(B2506,'Special Names'!A:B,2,FALSE),B2506),PlayerValues!E:E,0)),"N/A")</f>
        <v>16211</v>
      </c>
      <c r="B2506" s="4" t="s">
        <v>294</v>
      </c>
      <c r="C2506" s="4" t="s">
        <v>287</v>
      </c>
      <c r="D2506" s="94">
        <v>9553.0</v>
      </c>
    </row>
    <row r="2507">
      <c r="A2507" s="40">
        <f t="array" ref="A2507">IFNA(index(PlayerValues!A:A,match(IFNA(vlookup(B2507,'Special Names'!A:B,2,FALSE),B2507),PlayerValues!E:E,0)),"N/A")</f>
        <v>16162</v>
      </c>
      <c r="B2507" s="4" t="s">
        <v>281</v>
      </c>
      <c r="C2507" s="4" t="s">
        <v>278</v>
      </c>
      <c r="D2507" s="94">
        <v>9419.0</v>
      </c>
    </row>
    <row r="2508">
      <c r="A2508" s="40">
        <f t="array" ref="A2508">IFNA(index(PlayerValues!A:A,match(IFNA(vlookup(B2508,'Special Names'!A:B,2,FALSE),B2508),PlayerValues!E:E,0)),"N/A")</f>
        <v>16615</v>
      </c>
      <c r="B2508" s="4" t="s">
        <v>309</v>
      </c>
      <c r="C2508" s="4" t="s">
        <v>287</v>
      </c>
      <c r="D2508" s="94">
        <v>7738.0</v>
      </c>
    </row>
    <row r="2509">
      <c r="A2509" s="40">
        <f t="array" ref="A2509">IFNA(index(PlayerValues!A:A,match(IFNA(vlookup(B2509,'Special Names'!A:B,2,FALSE),B2509),PlayerValues!E:E,0)),"N/A")</f>
        <v>15794</v>
      </c>
      <c r="B2509" s="4" t="s">
        <v>313</v>
      </c>
      <c r="C2509" s="4" t="s">
        <v>298</v>
      </c>
      <c r="D2509" s="94">
        <v>8530.0</v>
      </c>
    </row>
    <row r="2510">
      <c r="A2510" s="40">
        <f t="array" ref="A2510">IFNA(index(PlayerValues!A:A,match(IFNA(vlookup(B2510,'Special Names'!A:B,2,FALSE),B2510),PlayerValues!E:E,0)),"N/A")</f>
        <v>15287</v>
      </c>
      <c r="B2510" s="4" t="s">
        <v>299</v>
      </c>
      <c r="C2510" s="4" t="s">
        <v>287</v>
      </c>
      <c r="D2510" s="94">
        <v>7648.0</v>
      </c>
    </row>
    <row r="2511">
      <c r="A2511" s="40">
        <f t="array" ref="A2511">IFNA(index(PlayerValues!A:A,match(IFNA(vlookup(B2511,'Special Names'!A:B,2,FALSE),B2511),PlayerValues!E:E,0)),"N/A")</f>
        <v>16641</v>
      </c>
      <c r="B2511" s="4" t="s">
        <v>297</v>
      </c>
      <c r="C2511" s="4" t="s">
        <v>298</v>
      </c>
      <c r="D2511" s="94">
        <v>8425.0</v>
      </c>
    </row>
    <row r="2512">
      <c r="A2512" s="40">
        <f t="array" ref="A2512">IFNA(index(PlayerValues!A:A,match(IFNA(vlookup(B2512,'Special Names'!A:B,2,FALSE),B2512),PlayerValues!E:E,0)),"N/A")</f>
        <v>16581</v>
      </c>
      <c r="B2512" s="4" t="s">
        <v>315</v>
      </c>
      <c r="C2512" s="4" t="s">
        <v>283</v>
      </c>
      <c r="D2512" s="94">
        <v>7607.0</v>
      </c>
    </row>
    <row r="2513">
      <c r="A2513" s="40">
        <f t="array" ref="A2513">IFNA(index(PlayerValues!A:A,match(IFNA(vlookup(B2513,'Special Names'!A:B,2,FALSE),B2513),PlayerValues!E:E,0)),"N/A")</f>
        <v>16579</v>
      </c>
      <c r="B2513" s="4" t="s">
        <v>302</v>
      </c>
      <c r="C2513" s="4" t="s">
        <v>283</v>
      </c>
      <c r="D2513" s="94">
        <v>7599.0</v>
      </c>
    </row>
    <row r="2514">
      <c r="A2514" s="40">
        <f t="array" ref="A2514">IFNA(index(PlayerValues!A:A,match(IFNA(vlookup(B2514,'Special Names'!A:B,2,FALSE),B2514),PlayerValues!E:E,0)),"N/A")</f>
        <v>13593</v>
      </c>
      <c r="B2514" s="4" t="s">
        <v>305</v>
      </c>
      <c r="C2514" s="4" t="s">
        <v>283</v>
      </c>
      <c r="D2514" s="94">
        <v>7516.0</v>
      </c>
    </row>
    <row r="2515">
      <c r="A2515" s="40">
        <f t="array" ref="A2515">IFNA(index(PlayerValues!A:A,match(IFNA(vlookup(B2515,'Special Names'!A:B,2,FALSE),B2515),PlayerValues!E:E,0)),"N/A")</f>
        <v>14836</v>
      </c>
      <c r="B2515" s="4" t="s">
        <v>306</v>
      </c>
      <c r="C2515" s="4" t="s">
        <v>287</v>
      </c>
      <c r="D2515" s="94">
        <v>7410.0</v>
      </c>
    </row>
    <row r="2516">
      <c r="A2516" s="40">
        <f t="array" ref="A2516">IFNA(index(PlayerValues!A:A,match(IFNA(vlookup(B2516,'Special Names'!A:B,2,FALSE),B2516),PlayerValues!E:E,0)),"N/A")</f>
        <v>14832</v>
      </c>
      <c r="B2516" s="4" t="s">
        <v>319</v>
      </c>
      <c r="C2516" s="4" t="s">
        <v>287</v>
      </c>
      <c r="D2516" s="94">
        <v>7349.0</v>
      </c>
    </row>
    <row r="2517">
      <c r="A2517" s="40">
        <f t="array" ref="A2517">IFNA(index(PlayerValues!A:A,match(IFNA(vlookup(B2517,'Special Names'!A:B,2,FALSE),B2517),PlayerValues!E:E,0)),"N/A")</f>
        <v>14777</v>
      </c>
      <c r="B2517" s="4" t="s">
        <v>318</v>
      </c>
      <c r="C2517" s="4" t="s">
        <v>283</v>
      </c>
      <c r="D2517" s="94">
        <v>7238.0</v>
      </c>
    </row>
    <row r="2518">
      <c r="A2518" s="40">
        <f t="array" ref="A2518">IFNA(index(PlayerValues!A:A,match(IFNA(vlookup(B2518,'Special Names'!A:B,2,FALSE),B2518),PlayerValues!E:E,0)),"N/A")</f>
        <v>17042</v>
      </c>
      <c r="B2518" s="4" t="s">
        <v>314</v>
      </c>
      <c r="C2518" s="4" t="s">
        <v>278</v>
      </c>
      <c r="D2518" s="94">
        <v>7198.0</v>
      </c>
    </row>
    <row r="2519">
      <c r="A2519" s="40">
        <f t="array" ref="A2519">IFNA(index(PlayerValues!A:A,match(IFNA(vlookup(B2519,'Special Names'!A:B,2,FALSE),B2519),PlayerValues!E:E,0)),"N/A")</f>
        <v>16167</v>
      </c>
      <c r="B2519" s="4" t="s">
        <v>323</v>
      </c>
      <c r="C2519" s="4" t="s">
        <v>278</v>
      </c>
      <c r="D2519" s="94">
        <v>7103.0</v>
      </c>
    </row>
    <row r="2520">
      <c r="A2520" s="40">
        <f t="array" ref="A2520">IFNA(index(PlayerValues!A:A,match(IFNA(vlookup(B2520,'Special Names'!A:B,2,FALSE),B2520),PlayerValues!E:E,0)),"N/A")</f>
        <v>15751</v>
      </c>
      <c r="B2520" s="4" t="s">
        <v>328</v>
      </c>
      <c r="C2520" s="4" t="s">
        <v>287</v>
      </c>
      <c r="D2520" s="94">
        <v>7006.0</v>
      </c>
    </row>
    <row r="2521">
      <c r="A2521" s="40">
        <f t="array" ref="A2521">IFNA(index(PlayerValues!A:A,match(IFNA(vlookup(B2521,'Special Names'!A:B,2,FALSE),B2521),PlayerValues!E:E,0)),"N/A")</f>
        <v>14779</v>
      </c>
      <c r="B2521" s="4" t="s">
        <v>327</v>
      </c>
      <c r="C2521" s="4" t="s">
        <v>283</v>
      </c>
      <c r="D2521" s="94">
        <v>6843.0</v>
      </c>
    </row>
    <row r="2522">
      <c r="A2522" s="40">
        <f t="array" ref="A2522">IFNA(index(PlayerValues!A:A,match(IFNA(vlookup(B2522,'Special Names'!A:B,2,FALSE),B2522),PlayerValues!E:E,0)),"N/A")</f>
        <v>17472</v>
      </c>
      <c r="B2522" s="4" t="s">
        <v>310</v>
      </c>
      <c r="C2522" s="4" t="s">
        <v>278</v>
      </c>
      <c r="D2522" s="94">
        <v>6748.0</v>
      </c>
    </row>
    <row r="2523">
      <c r="A2523" s="40" t="str">
        <f t="array" ref="A2523">IFNA(index(PlayerValues!A:A,match(IFNA(vlookup(B2523,'Special Names'!A:B,2,FALSE),B2523),PlayerValues!E:E,0)),"N/A")</f>
        <v>N/A</v>
      </c>
      <c r="B2523" s="4" t="s">
        <v>92</v>
      </c>
      <c r="C2523" s="4" t="s">
        <v>325</v>
      </c>
      <c r="D2523" s="94">
        <v>6634.0</v>
      </c>
    </row>
    <row r="2524">
      <c r="A2524" s="40">
        <f t="array" ref="A2524">IFNA(index(PlayerValues!A:A,match(IFNA(vlookup(B2524,'Special Names'!A:B,2,FALSE),B2524),PlayerValues!E:E,0)),"N/A")</f>
        <v>17044</v>
      </c>
      <c r="B2524" s="4" t="s">
        <v>322</v>
      </c>
      <c r="C2524" s="4" t="s">
        <v>278</v>
      </c>
      <c r="D2524" s="94">
        <v>6621.0</v>
      </c>
    </row>
    <row r="2525">
      <c r="A2525" s="40">
        <f t="array" ref="A2525">IFNA(index(PlayerValues!A:A,match(IFNA(vlookup(B2525,'Special Names'!A:B,2,FALSE),B2525),PlayerValues!E:E,0)),"N/A")</f>
        <v>13116</v>
      </c>
      <c r="B2525" s="4" t="s">
        <v>345</v>
      </c>
      <c r="C2525" s="4" t="s">
        <v>283</v>
      </c>
      <c r="D2525" s="94">
        <v>6608.0</v>
      </c>
    </row>
    <row r="2526">
      <c r="A2526" s="40">
        <f t="array" ref="A2526">IFNA(index(PlayerValues!A:A,match(IFNA(vlookup(B2526,'Special Names'!A:B,2,FALSE),B2526),PlayerValues!E:E,0)),"N/A")</f>
        <v>17032</v>
      </c>
      <c r="B2526" s="4" t="s">
        <v>348</v>
      </c>
      <c r="C2526" s="4" t="s">
        <v>283</v>
      </c>
      <c r="D2526" s="94">
        <v>6600.0</v>
      </c>
    </row>
    <row r="2527">
      <c r="A2527" s="40">
        <f t="array" ref="A2527">IFNA(index(PlayerValues!A:A,match(IFNA(vlookup(B2527,'Special Names'!A:B,2,FALSE),B2527),PlayerValues!E:E,0)),"N/A")</f>
        <v>17071</v>
      </c>
      <c r="B2527" s="4" t="s">
        <v>341</v>
      </c>
      <c r="C2527" s="4" t="s">
        <v>287</v>
      </c>
      <c r="D2527" s="94">
        <v>6571.0</v>
      </c>
    </row>
    <row r="2528">
      <c r="A2528" s="40">
        <f t="array" ref="A2528">IFNA(index(PlayerValues!A:A,match(IFNA(vlookup(B2528,'Special Names'!A:B,2,FALSE),B2528),PlayerValues!E:E,0)),"N/A")</f>
        <v>14783</v>
      </c>
      <c r="B2528" s="4" t="s">
        <v>342</v>
      </c>
      <c r="C2528" s="4" t="s">
        <v>283</v>
      </c>
      <c r="D2528" s="94">
        <v>6396.0</v>
      </c>
    </row>
    <row r="2529">
      <c r="A2529" s="40">
        <f t="array" ref="A2529">IFNA(index(PlayerValues!A:A,match(IFNA(vlookup(B2529,'Special Names'!A:B,2,FALSE),B2529),PlayerValues!E:E,0)),"N/A")</f>
        <v>15237</v>
      </c>
      <c r="B2529" s="4" t="s">
        <v>336</v>
      </c>
      <c r="C2529" s="4" t="s">
        <v>283</v>
      </c>
      <c r="D2529" s="94">
        <v>6315.0</v>
      </c>
    </row>
    <row r="2530">
      <c r="A2530" s="40">
        <f t="array" ref="A2530">IFNA(index(PlayerValues!A:A,match(IFNA(vlookup(B2530,'Special Names'!A:B,2,FALSE),B2530),PlayerValues!E:E,0)),"N/A")</f>
        <v>16582</v>
      </c>
      <c r="B2530" s="4" t="s">
        <v>343</v>
      </c>
      <c r="C2530" s="4" t="s">
        <v>283</v>
      </c>
      <c r="D2530" s="94">
        <v>6197.0</v>
      </c>
    </row>
    <row r="2531">
      <c r="A2531" s="40">
        <f t="array" ref="A2531">IFNA(index(PlayerValues!A:A,match(IFNA(vlookup(B2531,'Special Names'!A:B,2,FALSE),B2531),PlayerValues!E:E,0)),"N/A")</f>
        <v>14802</v>
      </c>
      <c r="B2531" s="4" t="s">
        <v>332</v>
      </c>
      <c r="C2531" s="4" t="s">
        <v>278</v>
      </c>
      <c r="D2531" s="94">
        <v>6188.0</v>
      </c>
    </row>
    <row r="2532">
      <c r="A2532" s="40">
        <f t="array" ref="A2532">IFNA(index(PlayerValues!A:A,match(IFNA(vlookup(B2532,'Special Names'!A:B,2,FALSE),B2532),PlayerValues!E:E,0)),"N/A")</f>
        <v>15715</v>
      </c>
      <c r="B2532" s="4" t="s">
        <v>331</v>
      </c>
      <c r="C2532" s="4" t="s">
        <v>278</v>
      </c>
      <c r="D2532" s="94">
        <v>6165.0</v>
      </c>
    </row>
    <row r="2533">
      <c r="A2533" s="40">
        <f t="array" ref="A2533">IFNA(index(PlayerValues!A:A,match(IFNA(vlookup(B2533,'Special Names'!A:B,2,FALSE),B2533),PlayerValues!E:E,0)),"N/A")</f>
        <v>15762</v>
      </c>
      <c r="B2533" s="4" t="s">
        <v>337</v>
      </c>
      <c r="C2533" s="4" t="s">
        <v>287</v>
      </c>
      <c r="D2533" s="94">
        <v>6154.0</v>
      </c>
    </row>
    <row r="2534">
      <c r="A2534" s="40">
        <f t="array" ref="A2534">IFNA(index(PlayerValues!A:A,match(IFNA(vlookup(B2534,'Special Names'!A:B,2,FALSE),B2534),PlayerValues!E:E,0)),"N/A")</f>
        <v>15698</v>
      </c>
      <c r="B2534" s="4" t="s">
        <v>358</v>
      </c>
      <c r="C2534" s="4" t="s">
        <v>283</v>
      </c>
      <c r="D2534" s="94">
        <v>6098.0</v>
      </c>
    </row>
    <row r="2535">
      <c r="A2535" s="40" t="str">
        <f t="array" ref="A2535">IFNA(index(PlayerValues!A:A,match(IFNA(vlookup(B2535,'Special Names'!A:B,2,FALSE),B2535),PlayerValues!E:E,0)),"N/A")</f>
        <v>N/A</v>
      </c>
      <c r="B2535" s="4" t="s">
        <v>79</v>
      </c>
      <c r="C2535" s="4" t="s">
        <v>325</v>
      </c>
      <c r="D2535" s="94">
        <v>6044.0</v>
      </c>
    </row>
    <row r="2536">
      <c r="A2536" s="40">
        <f t="array" ref="A2536">IFNA(index(PlayerValues!A:A,match(IFNA(vlookup(B2536,'Special Names'!A:B,2,FALSE),B2536),PlayerValues!E:E,0)),"N/A")</f>
        <v>17081</v>
      </c>
      <c r="B2536" s="4" t="s">
        <v>340</v>
      </c>
      <c r="C2536" s="4" t="s">
        <v>287</v>
      </c>
      <c r="D2536" s="94">
        <v>6005.0</v>
      </c>
    </row>
    <row r="2537">
      <c r="A2537" s="40">
        <f t="array" ref="A2537">IFNA(index(PlayerValues!A:A,match(IFNA(vlookup(B2537,'Special Names'!A:B,2,FALSE),B2537),PlayerValues!E:E,0)),"N/A")</f>
        <v>15290</v>
      </c>
      <c r="B2537" s="4" t="s">
        <v>355</v>
      </c>
      <c r="C2537" s="4" t="s">
        <v>287</v>
      </c>
      <c r="D2537" s="94">
        <v>5983.0</v>
      </c>
    </row>
    <row r="2538">
      <c r="A2538" s="40">
        <f t="array" ref="A2538">IFNA(index(PlayerValues!A:A,match(IFNA(vlookup(B2538,'Special Names'!A:B,2,FALSE),B2538),PlayerValues!E:E,0)),"N/A")</f>
        <v>17043</v>
      </c>
      <c r="B2538" s="4" t="s">
        <v>397</v>
      </c>
      <c r="C2538" s="4" t="s">
        <v>278</v>
      </c>
      <c r="D2538" s="94">
        <v>5966.0</v>
      </c>
    </row>
    <row r="2539">
      <c r="A2539" s="40">
        <f t="array" ref="A2539">IFNA(index(PlayerValues!A:A,match(IFNA(vlookup(B2539,'Special Names'!A:B,2,FALSE),B2539),PlayerValues!E:E,0)),"N/A")</f>
        <v>17104</v>
      </c>
      <c r="B2539" s="4" t="s">
        <v>333</v>
      </c>
      <c r="C2539" s="4" t="s">
        <v>298</v>
      </c>
      <c r="D2539" s="94">
        <v>6491.0</v>
      </c>
    </row>
    <row r="2540">
      <c r="A2540" s="40">
        <f t="array" ref="A2540">IFNA(index(PlayerValues!A:A,match(IFNA(vlookup(B2540,'Special Names'!A:B,2,FALSE),B2540),PlayerValues!E:E,0)),"N/A")</f>
        <v>15753</v>
      </c>
      <c r="B2540" s="4" t="s">
        <v>359</v>
      </c>
      <c r="C2540" s="4" t="s">
        <v>287</v>
      </c>
      <c r="D2540" s="94">
        <v>5816.0</v>
      </c>
    </row>
    <row r="2541">
      <c r="A2541" s="40">
        <f t="array" ref="A2541">IFNA(index(PlayerValues!A:A,match(IFNA(vlookup(B2541,'Special Names'!A:B,2,FALSE),B2541),PlayerValues!E:E,0)),"N/A")</f>
        <v>15754</v>
      </c>
      <c r="B2541" s="4" t="s">
        <v>354</v>
      </c>
      <c r="C2541" s="4" t="s">
        <v>287</v>
      </c>
      <c r="D2541" s="94">
        <v>5808.0</v>
      </c>
    </row>
    <row r="2542">
      <c r="A2542" s="40">
        <f t="array" ref="A2542">IFNA(index(PlayerValues!A:A,match(IFNA(vlookup(B2542,'Special Names'!A:B,2,FALSE),B2542),PlayerValues!E:E,0)),"N/A")</f>
        <v>14782</v>
      </c>
      <c r="B2542" s="4" t="s">
        <v>385</v>
      </c>
      <c r="C2542" s="4" t="s">
        <v>283</v>
      </c>
      <c r="D2542" s="94">
        <v>5702.0</v>
      </c>
    </row>
    <row r="2543">
      <c r="A2543" s="40">
        <f t="array" ref="A2543">IFNA(index(PlayerValues!A:A,match(IFNA(vlookup(B2543,'Special Names'!A:B,2,FALSE),B2543),PlayerValues!E:E,0)),"N/A")</f>
        <v>17102</v>
      </c>
      <c r="B2543" s="4" t="s">
        <v>344</v>
      </c>
      <c r="C2543" s="4" t="s">
        <v>298</v>
      </c>
      <c r="D2543" s="94">
        <v>6245.0</v>
      </c>
    </row>
    <row r="2544">
      <c r="A2544" s="40">
        <f t="array" ref="A2544">IFNA(index(PlayerValues!A:A,match(IFNA(vlookup(B2544,'Special Names'!A:B,2,FALSE),B2544),PlayerValues!E:E,0)),"N/A")</f>
        <v>17462</v>
      </c>
      <c r="B2544" s="4" t="s">
        <v>375</v>
      </c>
      <c r="C2544" s="4" t="s">
        <v>283</v>
      </c>
      <c r="D2544" s="94">
        <v>5582.0</v>
      </c>
    </row>
    <row r="2545">
      <c r="A2545" s="40">
        <f t="array" ref="A2545">IFNA(index(PlayerValues!A:A,match(IFNA(vlookup(B2545,'Special Names'!A:B,2,FALSE),B2545),PlayerValues!E:E,0)),"N/A")</f>
        <v>17051</v>
      </c>
      <c r="B2545" s="4" t="s">
        <v>386</v>
      </c>
      <c r="C2545" s="4" t="s">
        <v>278</v>
      </c>
      <c r="D2545" s="94">
        <v>5509.0</v>
      </c>
    </row>
    <row r="2546">
      <c r="A2546" s="40">
        <f t="array" ref="A2546">IFNA(index(PlayerValues!A:A,match(IFNA(vlookup(B2546,'Special Names'!A:B,2,FALSE),B2546),PlayerValues!E:E,0)),"N/A")</f>
        <v>15708</v>
      </c>
      <c r="B2546" s="4" t="s">
        <v>382</v>
      </c>
      <c r="C2546" s="4" t="s">
        <v>278</v>
      </c>
      <c r="D2546" s="94">
        <v>5489.0</v>
      </c>
    </row>
    <row r="2547">
      <c r="A2547" s="40">
        <f t="array" ref="A2547">IFNA(index(PlayerValues!A:A,match(IFNA(vlookup(B2547,'Special Names'!A:B,2,FALSE),B2547),PlayerValues!E:E,0)),"N/A")</f>
        <v>16598</v>
      </c>
      <c r="B2547" s="4" t="s">
        <v>408</v>
      </c>
      <c r="C2547" s="4" t="s">
        <v>278</v>
      </c>
      <c r="D2547" s="94">
        <v>5489.0</v>
      </c>
    </row>
    <row r="2548">
      <c r="A2548" s="40" t="str">
        <f t="array" ref="A2548">IFNA(index(PlayerValues!A:A,match(IFNA(vlookup(B2548,'Special Names'!A:B,2,FALSE),B2548),PlayerValues!E:E,0)),"N/A")</f>
        <v>N/A</v>
      </c>
      <c r="B2548" s="4" t="s">
        <v>93</v>
      </c>
      <c r="C2548" s="4" t="s">
        <v>325</v>
      </c>
      <c r="D2548" s="94">
        <v>5404.0</v>
      </c>
    </row>
    <row r="2549">
      <c r="A2549" s="40">
        <f t="array" ref="A2549">IFNA(index(PlayerValues!A:A,match(IFNA(vlookup(B2549,'Special Names'!A:B,2,FALSE),B2549),PlayerValues!E:E,0)),"N/A")</f>
        <v>16194</v>
      </c>
      <c r="B2549" s="4" t="s">
        <v>398</v>
      </c>
      <c r="C2549" s="4" t="s">
        <v>287</v>
      </c>
      <c r="D2549" s="94">
        <v>5401.0</v>
      </c>
    </row>
    <row r="2550">
      <c r="A2550" s="40">
        <f t="array" ref="A2550">IFNA(index(PlayerValues!A:A,match(IFNA(vlookup(B2550,'Special Names'!A:B,2,FALSE),B2550),PlayerValues!E:E,0)),"N/A")</f>
        <v>17499</v>
      </c>
      <c r="B2550" s="4" t="s">
        <v>402</v>
      </c>
      <c r="C2550" s="4" t="s">
        <v>287</v>
      </c>
      <c r="D2550" s="94">
        <v>5391.0</v>
      </c>
    </row>
    <row r="2551">
      <c r="A2551" s="40">
        <f t="array" ref="A2551">IFNA(index(PlayerValues!A:A,match(IFNA(vlookup(B2551,'Special Names'!A:B,2,FALSE),B2551),PlayerValues!E:E,0)),"N/A")</f>
        <v>16627</v>
      </c>
      <c r="B2551" s="4" t="s">
        <v>351</v>
      </c>
      <c r="C2551" s="4" t="s">
        <v>287</v>
      </c>
      <c r="D2551" s="94">
        <v>5376.0</v>
      </c>
    </row>
    <row r="2552">
      <c r="A2552" s="40">
        <f t="array" ref="A2552">IFNA(index(PlayerValues!A:A,match(IFNA(vlookup(B2552,'Special Names'!A:B,2,FALSE),B2552),PlayerValues!E:E,0)),"N/A")</f>
        <v>16616</v>
      </c>
      <c r="B2552" s="4" t="s">
        <v>389</v>
      </c>
      <c r="C2552" s="4" t="s">
        <v>287</v>
      </c>
      <c r="D2552" s="94">
        <v>5245.0</v>
      </c>
    </row>
    <row r="2553">
      <c r="A2553" s="40">
        <f t="array" ref="A2553">IFNA(index(PlayerValues!A:A,match(IFNA(vlookup(B2553,'Special Names'!A:B,2,FALSE),B2553),PlayerValues!E:E,0)),"N/A")</f>
        <v>13130</v>
      </c>
      <c r="B2553" s="4" t="s">
        <v>374</v>
      </c>
      <c r="C2553" s="4" t="s">
        <v>278</v>
      </c>
      <c r="D2553" s="94">
        <v>5183.0</v>
      </c>
    </row>
    <row r="2554">
      <c r="A2554" s="40">
        <f t="array" ref="A2554">IFNA(index(PlayerValues!A:A,match(IFNA(vlookup(B2554,'Special Names'!A:B,2,FALSE),B2554),PlayerValues!E:E,0)),"N/A")</f>
        <v>17497</v>
      </c>
      <c r="B2554" s="4" t="s">
        <v>365</v>
      </c>
      <c r="C2554" s="4" t="s">
        <v>287</v>
      </c>
      <c r="D2554" s="94">
        <v>5182.0</v>
      </c>
    </row>
    <row r="2555">
      <c r="A2555" s="40">
        <f t="array" ref="A2555">IFNA(index(PlayerValues!A:A,match(IFNA(vlookup(B2555,'Special Names'!A:B,2,FALSE),B2555),PlayerValues!E:E,0)),"N/A")</f>
        <v>16614</v>
      </c>
      <c r="B2555" s="4" t="s">
        <v>403</v>
      </c>
      <c r="C2555" s="4" t="s">
        <v>287</v>
      </c>
      <c r="D2555" s="94">
        <v>5116.0</v>
      </c>
    </row>
    <row r="2556">
      <c r="A2556" s="40">
        <f t="array" ref="A2556">IFNA(index(PlayerValues!A:A,match(IFNA(vlookup(B2556,'Special Names'!A:B,2,FALSE),B2556),PlayerValues!E:E,0)),"N/A")</f>
        <v>17030</v>
      </c>
      <c r="B2556" s="4" t="s">
        <v>406</v>
      </c>
      <c r="C2556" s="4" t="s">
        <v>283</v>
      </c>
      <c r="D2556" s="94">
        <v>5030.0</v>
      </c>
    </row>
    <row r="2557">
      <c r="A2557" s="40">
        <f t="array" ref="A2557">IFNA(index(PlayerValues!A:A,match(IFNA(vlookup(B2557,'Special Names'!A:B,2,FALSE),B2557),PlayerValues!E:E,0)),"N/A")</f>
        <v>12620</v>
      </c>
      <c r="B2557" s="4" t="s">
        <v>394</v>
      </c>
      <c r="C2557" s="4" t="s">
        <v>283</v>
      </c>
      <c r="D2557" s="94">
        <v>4998.0</v>
      </c>
    </row>
    <row r="2558">
      <c r="A2558" s="40">
        <f t="array" ref="A2558">IFNA(index(PlayerValues!A:A,match(IFNA(vlookup(B2558,'Special Names'!A:B,2,FALSE),B2558),PlayerValues!E:E,0)),"N/A")</f>
        <v>17070</v>
      </c>
      <c r="B2558" s="4" t="s">
        <v>370</v>
      </c>
      <c r="C2558" s="4" t="s">
        <v>287</v>
      </c>
      <c r="D2558" s="94">
        <v>4970.0</v>
      </c>
    </row>
    <row r="2559">
      <c r="A2559" s="40">
        <f t="array" ref="A2559">IFNA(index(PlayerValues!A:A,match(IFNA(vlookup(B2559,'Special Names'!A:B,2,FALSE),B2559),PlayerValues!E:E,0)),"N/A")</f>
        <v>15711</v>
      </c>
      <c r="B2559" s="4" t="s">
        <v>349</v>
      </c>
      <c r="C2559" s="4" t="s">
        <v>278</v>
      </c>
      <c r="D2559" s="94">
        <v>4968.0</v>
      </c>
    </row>
    <row r="2560">
      <c r="A2560" s="40">
        <f t="array" ref="A2560">IFNA(index(PlayerValues!A:A,match(IFNA(vlookup(B2560,'Special Names'!A:B,2,FALSE),B2560),PlayerValues!E:E,0)),"N/A")</f>
        <v>16618</v>
      </c>
      <c r="B2560" s="4" t="s">
        <v>411</v>
      </c>
      <c r="C2560" s="4" t="s">
        <v>287</v>
      </c>
      <c r="D2560" s="94">
        <v>4967.0</v>
      </c>
    </row>
    <row r="2561">
      <c r="A2561" s="40">
        <f t="array" ref="A2561">IFNA(index(PlayerValues!A:A,match(IFNA(vlookup(B2561,'Special Names'!A:B,2,FALSE),B2561),PlayerValues!E:E,0)),"N/A")</f>
        <v>16150</v>
      </c>
      <c r="B2561" s="4" t="s">
        <v>414</v>
      </c>
      <c r="C2561" s="4" t="s">
        <v>283</v>
      </c>
      <c r="D2561" s="94">
        <v>4942.0</v>
      </c>
    </row>
    <row r="2562">
      <c r="A2562" s="40">
        <f t="array" ref="A2562">IFNA(index(PlayerValues!A:A,match(IFNA(vlookup(B2562,'Special Names'!A:B,2,FALSE),B2562),PlayerValues!E:E,0)),"N/A")</f>
        <v>14835</v>
      </c>
      <c r="B2562" s="4" t="s">
        <v>392</v>
      </c>
      <c r="C2562" s="4" t="s">
        <v>287</v>
      </c>
      <c r="D2562" s="94">
        <v>4876.0</v>
      </c>
    </row>
    <row r="2563">
      <c r="A2563" s="40">
        <f t="array" ref="A2563">IFNA(index(PlayerValues!A:A,match(IFNA(vlookup(B2563,'Special Names'!A:B,2,FALSE),B2563),PlayerValues!E:E,0)),"N/A")</f>
        <v>17103</v>
      </c>
      <c r="B2563" s="4" t="s">
        <v>405</v>
      </c>
      <c r="C2563" s="4" t="s">
        <v>298</v>
      </c>
      <c r="D2563" s="94">
        <v>5445.0</v>
      </c>
    </row>
    <row r="2564">
      <c r="A2564" s="40">
        <f t="array" ref="A2564">IFNA(index(PlayerValues!A:A,match(IFNA(vlookup(B2564,'Special Names'!A:B,2,FALSE),B2564),PlayerValues!E:E,0)),"N/A")</f>
        <v>16181</v>
      </c>
      <c r="B2564" s="4" t="s">
        <v>350</v>
      </c>
      <c r="C2564" s="4" t="s">
        <v>278</v>
      </c>
      <c r="D2564" s="94">
        <v>4870.0</v>
      </c>
    </row>
    <row r="2565">
      <c r="A2565" s="40">
        <f t="array" ref="A2565">IFNA(index(PlayerValues!A:A,match(IFNA(vlookup(B2565,'Special Names'!A:B,2,FALSE),B2565),PlayerValues!E:E,0)),"N/A")</f>
        <v>16222</v>
      </c>
      <c r="B2565" s="4" t="s">
        <v>393</v>
      </c>
      <c r="C2565" s="4" t="s">
        <v>298</v>
      </c>
      <c r="D2565" s="94">
        <v>5427.0</v>
      </c>
    </row>
    <row r="2566">
      <c r="A2566" s="40">
        <f t="array" ref="A2566">IFNA(index(PlayerValues!A:A,match(IFNA(vlookup(B2566,'Special Names'!A:B,2,FALSE),B2566),PlayerValues!E:E,0)),"N/A")</f>
        <v>17498</v>
      </c>
      <c r="B2566" s="4" t="s">
        <v>396</v>
      </c>
      <c r="C2566" s="4" t="s">
        <v>287</v>
      </c>
      <c r="D2566" s="94">
        <v>4857.0</v>
      </c>
    </row>
    <row r="2567">
      <c r="A2567" s="40">
        <f t="array" ref="A2567">IFNA(index(PlayerValues!A:A,match(IFNA(vlookup(B2567,'Special Names'!A:B,2,FALSE),B2567),PlayerValues!E:E,0)),"N/A")</f>
        <v>17045</v>
      </c>
      <c r="B2567" s="4" t="s">
        <v>407</v>
      </c>
      <c r="C2567" s="4" t="s">
        <v>278</v>
      </c>
      <c r="D2567" s="94">
        <v>4852.0</v>
      </c>
    </row>
    <row r="2568">
      <c r="A2568" s="40">
        <f t="array" ref="A2568">IFNA(index(PlayerValues!A:A,match(IFNA(vlookup(B2568,'Special Names'!A:B,2,FALSE),B2568),PlayerValues!E:E,0)),"N/A")</f>
        <v>15710</v>
      </c>
      <c r="B2568" s="4" t="s">
        <v>395</v>
      </c>
      <c r="C2568" s="4" t="s">
        <v>278</v>
      </c>
      <c r="D2568" s="94">
        <v>4832.0</v>
      </c>
    </row>
    <row r="2569">
      <c r="A2569" s="40" t="str">
        <f t="array" ref="A2569">IFNA(index(PlayerValues!A:A,match(IFNA(vlookup(B2569,'Special Names'!A:B,2,FALSE),B2569),PlayerValues!E:E,0)),"N/A")</f>
        <v>N/A</v>
      </c>
      <c r="B2569" s="4" t="s">
        <v>104</v>
      </c>
      <c r="C2569" s="4" t="s">
        <v>325</v>
      </c>
      <c r="D2569" s="94">
        <v>4813.0</v>
      </c>
    </row>
    <row r="2570">
      <c r="A2570" s="40">
        <f t="array" ref="A2570">IFNA(index(PlayerValues!A:A,match(IFNA(vlookup(B2570,'Special Names'!A:B,2,FALSE),B2570),PlayerValues!E:E,0)),"N/A")</f>
        <v>13604</v>
      </c>
      <c r="B2570" s="4" t="s">
        <v>378</v>
      </c>
      <c r="C2570" s="4" t="s">
        <v>278</v>
      </c>
      <c r="D2570" s="94">
        <v>4796.0</v>
      </c>
    </row>
    <row r="2571">
      <c r="A2571" s="40">
        <f t="array" ref="A2571">IFNA(index(PlayerValues!A:A,match(IFNA(vlookup(B2571,'Special Names'!A:B,2,FALSE),B2571),PlayerValues!E:E,0)),"N/A")</f>
        <v>15756</v>
      </c>
      <c r="B2571" s="4" t="s">
        <v>399</v>
      </c>
      <c r="C2571" s="4" t="s">
        <v>287</v>
      </c>
      <c r="D2571" s="94">
        <v>4789.0</v>
      </c>
    </row>
    <row r="2572">
      <c r="A2572" s="40">
        <f t="array" ref="A2572">IFNA(index(PlayerValues!A:A,match(IFNA(vlookup(B2572,'Special Names'!A:B,2,FALSE),B2572),PlayerValues!E:E,0)),"N/A")</f>
        <v>13592</v>
      </c>
      <c r="B2572" s="4" t="s">
        <v>418</v>
      </c>
      <c r="C2572" s="4" t="s">
        <v>283</v>
      </c>
      <c r="D2572" s="94">
        <v>4787.0</v>
      </c>
    </row>
    <row r="2573">
      <c r="A2573" s="40">
        <f t="array" ref="A2573">IFNA(index(PlayerValues!A:A,match(IFNA(vlookup(B2573,'Special Names'!A:B,2,FALSE),B2573),PlayerValues!E:E,0)),"N/A")</f>
        <v>13590</v>
      </c>
      <c r="B2573" s="4" t="s">
        <v>409</v>
      </c>
      <c r="C2573" s="4" t="s">
        <v>283</v>
      </c>
      <c r="D2573" s="94">
        <v>4769.0</v>
      </c>
    </row>
    <row r="2574">
      <c r="A2574" s="40" t="str">
        <f t="array" ref="A2574">IFNA(index(PlayerValues!A:A,match(IFNA(vlookup(B2574,'Special Names'!A:B,2,FALSE),B2574),PlayerValues!E:E,0)),"N/A")</f>
        <v>N/A</v>
      </c>
      <c r="B2574" s="4" t="s">
        <v>80</v>
      </c>
      <c r="C2574" s="4" t="s">
        <v>325</v>
      </c>
      <c r="D2574" s="94">
        <v>4728.0</v>
      </c>
    </row>
    <row r="2575">
      <c r="A2575" s="40" t="str">
        <f t="array" ref="A2575">IFNA(index(PlayerValues!A:A,match(IFNA(vlookup(B2575,'Special Names'!A:B,2,FALSE),B2575),PlayerValues!E:E,0)),"N/A")</f>
        <v>N/A</v>
      </c>
      <c r="B2575" s="4" t="s">
        <v>94</v>
      </c>
      <c r="C2575" s="4" t="s">
        <v>325</v>
      </c>
      <c r="D2575" s="94">
        <v>4723.0</v>
      </c>
    </row>
    <row r="2576">
      <c r="A2576" s="40">
        <f t="array" ref="A2576">IFNA(index(PlayerValues!A:A,match(IFNA(vlookup(B2576,'Special Names'!A:B,2,FALSE),B2576),PlayerValues!E:E,0)),"N/A")</f>
        <v>15282</v>
      </c>
      <c r="B2576" s="4" t="s">
        <v>364</v>
      </c>
      <c r="C2576" s="4" t="s">
        <v>287</v>
      </c>
      <c r="D2576" s="94">
        <v>4715.0</v>
      </c>
    </row>
    <row r="2577">
      <c r="A2577" s="40">
        <f t="array" ref="A2577">IFNA(index(PlayerValues!A:A,match(IFNA(vlookup(B2577,'Special Names'!A:B,2,FALSE),B2577),PlayerValues!E:E,0)),"N/A")</f>
        <v>14104</v>
      </c>
      <c r="B2577" s="4" t="s">
        <v>379</v>
      </c>
      <c r="C2577" s="4" t="s">
        <v>287</v>
      </c>
      <c r="D2577" s="94">
        <v>4692.0</v>
      </c>
    </row>
    <row r="2578">
      <c r="A2578" s="40">
        <f t="array" ref="A2578">IFNA(index(PlayerValues!A:A,match(IFNA(vlookup(B2578,'Special Names'!A:B,2,FALSE),B2578),PlayerValues!E:E,0)),"N/A")</f>
        <v>16190</v>
      </c>
      <c r="B2578" s="4" t="s">
        <v>371</v>
      </c>
      <c r="C2578" s="4" t="s">
        <v>287</v>
      </c>
      <c r="D2578" s="94">
        <v>4688.0</v>
      </c>
    </row>
    <row r="2579">
      <c r="A2579" s="40">
        <f t="array" ref="A2579">IFNA(index(PlayerValues!A:A,match(IFNA(vlookup(B2579,'Special Names'!A:B,2,FALSE),B2579),PlayerValues!E:E,0)),"N/A")</f>
        <v>12611</v>
      </c>
      <c r="B2579" s="4" t="s">
        <v>410</v>
      </c>
      <c r="C2579" s="4" t="s">
        <v>283</v>
      </c>
      <c r="D2579" s="94">
        <v>4629.0</v>
      </c>
    </row>
    <row r="2580">
      <c r="A2580" s="40">
        <f t="array" ref="A2580">IFNA(index(PlayerValues!A:A,match(IFNA(vlookup(B2580,'Special Names'!A:B,2,FALSE),B2580),PlayerValues!E:E,0)),"N/A")</f>
        <v>16214</v>
      </c>
      <c r="B2580" s="4" t="s">
        <v>413</v>
      </c>
      <c r="C2580" s="4" t="s">
        <v>298</v>
      </c>
      <c r="D2580" s="94">
        <v>5137.0</v>
      </c>
    </row>
    <row r="2581">
      <c r="A2581" s="40">
        <f t="array" ref="A2581">IFNA(index(PlayerValues!A:A,match(IFNA(vlookup(B2581,'Special Names'!A:B,2,FALSE),B2581),PlayerValues!E:E,0)),"N/A")</f>
        <v>17039</v>
      </c>
      <c r="B2581" s="4" t="s">
        <v>400</v>
      </c>
      <c r="C2581" s="4" t="s">
        <v>283</v>
      </c>
      <c r="D2581" s="94">
        <v>4586.0</v>
      </c>
    </row>
    <row r="2582">
      <c r="A2582" s="40">
        <f t="array" ref="A2582">IFNA(index(PlayerValues!A:A,match(IFNA(vlookup(B2582,'Special Names'!A:B,2,FALSE),B2582),PlayerValues!E:E,0)),"N/A")</f>
        <v>15284</v>
      </c>
      <c r="B2582" s="4" t="s">
        <v>390</v>
      </c>
      <c r="C2582" s="4" t="s">
        <v>287</v>
      </c>
      <c r="D2582" s="94">
        <v>4573.0</v>
      </c>
    </row>
    <row r="2583">
      <c r="A2583" s="40">
        <f t="array" ref="A2583">IFNA(index(PlayerValues!A:A,match(IFNA(vlookup(B2583,'Special Names'!A:B,2,FALSE),B2583),PlayerValues!E:E,0)),"N/A")</f>
        <v>17068</v>
      </c>
      <c r="B2583" s="4" t="s">
        <v>450</v>
      </c>
      <c r="C2583" s="4" t="s">
        <v>278</v>
      </c>
      <c r="D2583" s="94">
        <v>4532.0</v>
      </c>
    </row>
    <row r="2584">
      <c r="A2584" s="40">
        <f t="array" ref="A2584">IFNA(index(PlayerValues!A:A,match(IFNA(vlookup(B2584,'Special Names'!A:B,2,FALSE),B2584),PlayerValues!E:E,0)),"N/A")</f>
        <v>16148</v>
      </c>
      <c r="B2584" s="4" t="s">
        <v>426</v>
      </c>
      <c r="C2584" s="4" t="s">
        <v>283</v>
      </c>
      <c r="D2584" s="94">
        <v>4501.0</v>
      </c>
    </row>
    <row r="2585">
      <c r="A2585" s="40">
        <f t="array" ref="A2585">IFNA(index(PlayerValues!A:A,match(IFNA(vlookup(B2585,'Special Names'!A:B,2,FALSE),B2585),PlayerValues!E:E,0)),"N/A")</f>
        <v>15253</v>
      </c>
      <c r="B2585" s="4" t="s">
        <v>415</v>
      </c>
      <c r="C2585" s="4" t="s">
        <v>278</v>
      </c>
      <c r="D2585" s="94">
        <v>4490.0</v>
      </c>
    </row>
    <row r="2586">
      <c r="A2586" s="40">
        <f t="array" ref="A2586">IFNA(index(PlayerValues!A:A,match(IFNA(vlookup(B2586,'Special Names'!A:B,2,FALSE),B2586),PlayerValues!E:E,0)),"N/A")</f>
        <v>15329</v>
      </c>
      <c r="B2586" s="4" t="s">
        <v>416</v>
      </c>
      <c r="C2586" s="4" t="s">
        <v>298</v>
      </c>
      <c r="D2586" s="94">
        <v>5018.0</v>
      </c>
    </row>
    <row r="2587">
      <c r="A2587" s="40">
        <f t="array" ref="A2587">IFNA(index(PlayerValues!A:A,match(IFNA(vlookup(B2587,'Special Names'!A:B,2,FALSE),B2587),PlayerValues!E:E,0)),"N/A")</f>
        <v>14073</v>
      </c>
      <c r="B2587" s="4" t="s">
        <v>464</v>
      </c>
      <c r="C2587" s="4" t="s">
        <v>278</v>
      </c>
      <c r="D2587" s="94">
        <v>4475.0</v>
      </c>
    </row>
    <row r="2588">
      <c r="A2588" s="40" t="str">
        <f t="array" ref="A2588">IFNA(index(PlayerValues!A:A,match(IFNA(vlookup(B2588,'Special Names'!A:B,2,FALSE),B2588),PlayerValues!E:E,0)),"N/A")</f>
        <v>N/A</v>
      </c>
      <c r="B2588" s="4" t="s">
        <v>105</v>
      </c>
      <c r="C2588" s="4" t="s">
        <v>325</v>
      </c>
      <c r="D2588" s="94">
        <v>4438.0</v>
      </c>
    </row>
    <row r="2589">
      <c r="A2589" s="40">
        <f t="array" ref="A2589">IFNA(index(PlayerValues!A:A,match(IFNA(vlookup(B2589,'Special Names'!A:B,2,FALSE),B2589),PlayerValues!E:E,0)),"N/A")</f>
        <v>15256</v>
      </c>
      <c r="B2589" s="4" t="s">
        <v>401</v>
      </c>
      <c r="C2589" s="4" t="s">
        <v>278</v>
      </c>
      <c r="D2589" s="94">
        <v>4387.0</v>
      </c>
    </row>
    <row r="2590">
      <c r="A2590" s="40" t="str">
        <f t="array" ref="A2590">IFNA(index(PlayerValues!A:A,match(IFNA(vlookup(B2590,'Special Names'!A:B,2,FALSE),B2590),PlayerValues!E:E,0)),"N/A")</f>
        <v>N/A</v>
      </c>
      <c r="B2590" s="4" t="s">
        <v>81</v>
      </c>
      <c r="C2590" s="4" t="s">
        <v>325</v>
      </c>
      <c r="D2590" s="94">
        <v>4332.0</v>
      </c>
    </row>
    <row r="2591">
      <c r="A2591" s="40">
        <f t="array" ref="A2591">IFNA(index(PlayerValues!A:A,match(IFNA(vlookup(B2591,'Special Names'!A:B,2,FALSE),B2591),PlayerValues!E:E,0)),"N/A")</f>
        <v>17074</v>
      </c>
      <c r="B2591" s="4" t="s">
        <v>475</v>
      </c>
      <c r="C2591" s="4" t="s">
        <v>287</v>
      </c>
      <c r="D2591" s="94">
        <v>4217.0</v>
      </c>
    </row>
    <row r="2592">
      <c r="A2592" s="40">
        <f t="array" ref="A2592">IFNA(index(PlayerValues!A:A,match(IFNA(vlookup(B2592,'Special Names'!A:B,2,FALSE),B2592),PlayerValues!E:E,0)),"N/A")</f>
        <v>17500</v>
      </c>
      <c r="B2592" s="4" t="s">
        <v>430</v>
      </c>
      <c r="C2592" s="4" t="s">
        <v>287</v>
      </c>
      <c r="D2592" s="94">
        <v>4194.0</v>
      </c>
    </row>
    <row r="2593">
      <c r="A2593" s="40">
        <f t="array" ref="A2593">IFNA(index(PlayerValues!A:A,match(IFNA(vlookup(B2593,'Special Names'!A:B,2,FALSE),B2593),PlayerValues!E:E,0)),"N/A")</f>
        <v>17099</v>
      </c>
      <c r="B2593" s="4" t="s">
        <v>474</v>
      </c>
      <c r="C2593" s="4" t="s">
        <v>298</v>
      </c>
      <c r="D2593" s="94">
        <v>4644.0</v>
      </c>
    </row>
    <row r="2594">
      <c r="A2594" s="40">
        <f t="array" ref="A2594">IFNA(index(PlayerValues!A:A,match(IFNA(vlookup(B2594,'Special Names'!A:B,2,FALSE),B2594),PlayerValues!E:E,0)),"N/A")</f>
        <v>16186</v>
      </c>
      <c r="B2594" s="4" t="s">
        <v>425</v>
      </c>
      <c r="C2594" s="4" t="s">
        <v>287</v>
      </c>
      <c r="D2594" s="94">
        <v>4064.0</v>
      </c>
    </row>
    <row r="2595">
      <c r="A2595" s="40" t="str">
        <f t="array" ref="A2595">IFNA(index(PlayerValues!A:A,match(IFNA(vlookup(B2595,'Special Names'!A:B,2,FALSE),B2595),PlayerValues!E:E,0)),"N/A")</f>
        <v>N/A</v>
      </c>
      <c r="B2595" s="4" t="s">
        <v>107</v>
      </c>
      <c r="C2595" s="4" t="s">
        <v>325</v>
      </c>
      <c r="D2595" s="94">
        <v>3998.0</v>
      </c>
    </row>
    <row r="2596">
      <c r="A2596" s="40">
        <f t="array" ref="A2596">IFNA(index(PlayerValues!A:A,match(IFNA(vlookup(B2596,'Special Names'!A:B,2,FALSE),B2596),PlayerValues!E:E,0)),"N/A")</f>
        <v>14059</v>
      </c>
      <c r="B2596" s="4" t="s">
        <v>435</v>
      </c>
      <c r="C2596" s="4" t="s">
        <v>283</v>
      </c>
      <c r="D2596" s="94">
        <v>3987.0</v>
      </c>
    </row>
    <row r="2597">
      <c r="A2597" s="40">
        <f t="array" ref="A2597">IFNA(index(PlayerValues!A:A,match(IFNA(vlookup(B2597,'Special Names'!A:B,2,FALSE),B2597),PlayerValues!E:E,0)),"N/A")</f>
        <v>17543</v>
      </c>
      <c r="B2597" s="4" t="s">
        <v>436</v>
      </c>
      <c r="C2597" s="4" t="s">
        <v>298</v>
      </c>
      <c r="D2597" s="94">
        <v>4481.0</v>
      </c>
    </row>
    <row r="2598">
      <c r="A2598" s="40">
        <f t="array" ref="A2598">IFNA(index(PlayerValues!A:A,match(IFNA(vlookup(B2598,'Special Names'!A:B,2,FALSE),B2598),PlayerValues!E:E,0)),"N/A")</f>
        <v>17501</v>
      </c>
      <c r="B2598" s="4" t="s">
        <v>404</v>
      </c>
      <c r="C2598" s="4" t="s">
        <v>287</v>
      </c>
      <c r="D2598" s="94">
        <v>3957.0</v>
      </c>
    </row>
    <row r="2599">
      <c r="A2599" s="40">
        <f t="array" ref="A2599">IFNA(index(PlayerValues!A:A,match(IFNA(vlookup(B2599,'Special Names'!A:B,2,FALSE),B2599),PlayerValues!E:E,0)),"N/A")</f>
        <v>17066</v>
      </c>
      <c r="B2599" s="4" t="s">
        <v>446</v>
      </c>
      <c r="C2599" s="4" t="s">
        <v>278</v>
      </c>
      <c r="D2599" s="94">
        <v>3935.0</v>
      </c>
    </row>
    <row r="2600">
      <c r="A2600" s="40">
        <f t="array" ref="A2600">IFNA(index(PlayerValues!A:A,match(IFNA(vlookup(B2600,'Special Names'!A:B,2,FALSE),B2600),PlayerValues!E:E,0)),"N/A")</f>
        <v>12626</v>
      </c>
      <c r="B2600" s="4" t="s">
        <v>419</v>
      </c>
      <c r="C2600" s="4" t="s">
        <v>278</v>
      </c>
      <c r="D2600" s="94">
        <v>3909.0</v>
      </c>
    </row>
    <row r="2601">
      <c r="A2601" s="40">
        <f t="array" ref="A2601">IFNA(index(PlayerValues!A:A,match(IFNA(vlookup(B2601,'Special Names'!A:B,2,FALSE),B2601),PlayerValues!E:E,0)),"N/A")</f>
        <v>16622</v>
      </c>
      <c r="B2601" s="4" t="s">
        <v>517</v>
      </c>
      <c r="C2601" s="4" t="s">
        <v>287</v>
      </c>
      <c r="D2601" s="94">
        <v>3903.0</v>
      </c>
    </row>
    <row r="2602">
      <c r="A2602" s="40">
        <f t="array" ref="A2602">IFNA(index(PlayerValues!A:A,match(IFNA(vlookup(B2602,'Special Names'!A:B,2,FALSE),B2602),PlayerValues!E:E,0)),"N/A")</f>
        <v>16206</v>
      </c>
      <c r="B2602" s="4" t="s">
        <v>431</v>
      </c>
      <c r="C2602" s="4" t="s">
        <v>287</v>
      </c>
      <c r="D2602" s="94">
        <v>3878.0</v>
      </c>
    </row>
    <row r="2603">
      <c r="A2603" s="40">
        <f t="array" ref="A2603">IFNA(index(PlayerValues!A:A,match(IFNA(vlookup(B2603,'Special Names'!A:B,2,FALSE),B2603),PlayerValues!E:E,0)),"N/A")</f>
        <v>15768</v>
      </c>
      <c r="B2603" s="4" t="s">
        <v>432</v>
      </c>
      <c r="C2603" s="4" t="s">
        <v>287</v>
      </c>
      <c r="D2603" s="94">
        <v>3861.0</v>
      </c>
    </row>
    <row r="2604">
      <c r="A2604" s="40">
        <f t="array" ref="A2604">IFNA(index(PlayerValues!A:A,match(IFNA(vlookup(B2604,'Special Names'!A:B,2,FALSE),B2604),PlayerValues!E:E,0)),"N/A")</f>
        <v>14102</v>
      </c>
      <c r="B2604" s="4" t="s">
        <v>444</v>
      </c>
      <c r="C2604" s="4" t="s">
        <v>287</v>
      </c>
      <c r="D2604" s="94">
        <v>3846.0</v>
      </c>
    </row>
    <row r="2605">
      <c r="A2605" s="40" t="str">
        <f t="array" ref="A2605">IFNA(index(PlayerValues!A:A,match(IFNA(vlookup(B2605,'Special Names'!A:B,2,FALSE),B2605),PlayerValues!E:E,0)),"N/A")</f>
        <v>N/A</v>
      </c>
      <c r="B2605" s="4" t="s">
        <v>95</v>
      </c>
      <c r="C2605" s="4" t="s">
        <v>325</v>
      </c>
      <c r="D2605" s="94">
        <v>3826.0</v>
      </c>
    </row>
    <row r="2606">
      <c r="A2606" s="40">
        <f t="array" ref="A2606">IFNA(index(PlayerValues!A:A,match(IFNA(vlookup(B2606,'Special Names'!A:B,2,FALSE),B2606),PlayerValues!E:E,0)),"N/A")</f>
        <v>17083</v>
      </c>
      <c r="B2606" s="4" t="s">
        <v>479</v>
      </c>
      <c r="C2606" s="4" t="s">
        <v>287</v>
      </c>
      <c r="D2606" s="94">
        <v>3822.0</v>
      </c>
    </row>
    <row r="2607">
      <c r="A2607" s="40">
        <f t="array" ref="A2607">IFNA(index(PlayerValues!A:A,match(IFNA(vlookup(B2607,'Special Names'!A:B,2,FALSE),B2607),PlayerValues!E:E,0)),"N/A")</f>
        <v>15789</v>
      </c>
      <c r="B2607" s="4" t="s">
        <v>421</v>
      </c>
      <c r="C2607" s="4" t="s">
        <v>287</v>
      </c>
      <c r="D2607" s="94">
        <v>3737.0</v>
      </c>
    </row>
    <row r="2608">
      <c r="A2608" s="40">
        <f t="array" ref="A2608">IFNA(index(PlayerValues!A:A,match(IFNA(vlookup(B2608,'Special Names'!A:B,2,FALSE),B2608),PlayerValues!E:E,0)),"N/A")</f>
        <v>14797</v>
      </c>
      <c r="B2608" s="4" t="s">
        <v>420</v>
      </c>
      <c r="C2608" s="4" t="s">
        <v>278</v>
      </c>
      <c r="D2608" s="94">
        <v>3731.0</v>
      </c>
    </row>
    <row r="2609">
      <c r="A2609" s="40">
        <f t="array" ref="A2609">IFNA(index(PlayerValues!A:A,match(IFNA(vlookup(B2609,'Special Names'!A:B,2,FALSE),B2609),PlayerValues!E:E,0)),"N/A")</f>
        <v>9431</v>
      </c>
      <c r="B2609" s="4" t="s">
        <v>428</v>
      </c>
      <c r="C2609" s="4" t="s">
        <v>283</v>
      </c>
      <c r="D2609" s="94">
        <v>3717.0</v>
      </c>
    </row>
    <row r="2610">
      <c r="A2610" s="40">
        <f t="array" ref="A2610">IFNA(index(PlayerValues!A:A,match(IFNA(vlookup(B2610,'Special Names'!A:B,2,FALSE),B2610),PlayerValues!E:E,0)),"N/A")</f>
        <v>11675</v>
      </c>
      <c r="B2610" s="4" t="s">
        <v>438</v>
      </c>
      <c r="C2610" s="4" t="s">
        <v>287</v>
      </c>
      <c r="D2610" s="94">
        <v>3658.0</v>
      </c>
    </row>
    <row r="2611">
      <c r="A2611" s="40">
        <f t="array" ref="A2611">IFNA(index(PlayerValues!A:A,match(IFNA(vlookup(B2611,'Special Names'!A:B,2,FALSE),B2611),PlayerValues!E:E,0)),"N/A")</f>
        <v>17477</v>
      </c>
      <c r="B2611" s="4" t="s">
        <v>452</v>
      </c>
      <c r="C2611" s="4" t="s">
        <v>278</v>
      </c>
      <c r="D2611" s="94">
        <v>3634.0</v>
      </c>
    </row>
    <row r="2612">
      <c r="A2612" s="40">
        <f t="array" ref="A2612">IFNA(index(PlayerValues!A:A,match(IFNA(vlookup(B2612,'Special Names'!A:B,2,FALSE),B2612),PlayerValues!E:E,0)),"N/A")</f>
        <v>15757</v>
      </c>
      <c r="B2612" s="4" t="s">
        <v>449</v>
      </c>
      <c r="C2612" s="4" t="s">
        <v>287</v>
      </c>
      <c r="D2612" s="94">
        <v>3624.0</v>
      </c>
    </row>
    <row r="2613">
      <c r="A2613" s="40">
        <f t="array" ref="A2613">IFNA(index(PlayerValues!A:A,match(IFNA(vlookup(B2613,'Special Names'!A:B,2,FALSE),B2613),PlayerValues!E:E,0)),"N/A")</f>
        <v>14056</v>
      </c>
      <c r="B2613" s="4" t="s">
        <v>423</v>
      </c>
      <c r="C2613" s="4" t="s">
        <v>283</v>
      </c>
      <c r="D2613" s="94">
        <v>3604.0</v>
      </c>
    </row>
    <row r="2614">
      <c r="A2614" s="40">
        <f t="array" ref="A2614">IFNA(index(PlayerValues!A:A,match(IFNA(vlookup(B2614,'Special Names'!A:B,2,FALSE),B2614),PlayerValues!E:E,0)),"N/A")</f>
        <v>16583</v>
      </c>
      <c r="B2614" s="4" t="s">
        <v>493</v>
      </c>
      <c r="C2614" s="4" t="s">
        <v>283</v>
      </c>
      <c r="D2614" s="94">
        <v>3599.0</v>
      </c>
    </row>
    <row r="2615">
      <c r="A2615" s="40">
        <f t="array" ref="A2615">IFNA(index(PlayerValues!A:A,match(IFNA(vlookup(B2615,'Special Names'!A:B,2,FALSE),B2615),PlayerValues!E:E,0)),"N/A")</f>
        <v>14842</v>
      </c>
      <c r="B2615" s="4" t="s">
        <v>456</v>
      </c>
      <c r="C2615" s="4" t="s">
        <v>287</v>
      </c>
      <c r="D2615" s="94">
        <v>3584.0</v>
      </c>
    </row>
    <row r="2616">
      <c r="A2616" s="40">
        <f t="array" ref="A2616">IFNA(index(PlayerValues!A:A,match(IFNA(vlookup(B2616,'Special Names'!A:B,2,FALSE),B2616),PlayerValues!E:E,0)),"N/A")</f>
        <v>16169</v>
      </c>
      <c r="B2616" s="4" t="s">
        <v>457</v>
      </c>
      <c r="C2616" s="4" t="s">
        <v>278</v>
      </c>
      <c r="D2616" s="94">
        <v>3576.0</v>
      </c>
    </row>
    <row r="2617">
      <c r="A2617" s="40">
        <f t="array" ref="A2617">IFNA(index(PlayerValues!A:A,match(IFNA(vlookup(B2617,'Special Names'!A:B,2,FALSE),B2617),PlayerValues!E:E,0)),"N/A")</f>
        <v>16192</v>
      </c>
      <c r="B2617" s="4" t="s">
        <v>412</v>
      </c>
      <c r="C2617" s="4" t="s">
        <v>287</v>
      </c>
      <c r="D2617" s="94">
        <v>3572.0</v>
      </c>
    </row>
    <row r="2618">
      <c r="A2618" s="40">
        <f t="array" ref="A2618">IFNA(index(PlayerValues!A:A,match(IFNA(vlookup(B2618,'Special Names'!A:B,2,FALSE),B2618),PlayerValues!E:E,0)),"N/A")</f>
        <v>16213</v>
      </c>
      <c r="B2618" s="4" t="s">
        <v>458</v>
      </c>
      <c r="C2618" s="4" t="s">
        <v>298</v>
      </c>
      <c r="D2618" s="94">
        <v>4026.0</v>
      </c>
    </row>
    <row r="2619">
      <c r="A2619" s="40">
        <f t="array" ref="A2619">IFNA(index(PlayerValues!A:A,match(IFNA(vlookup(B2619,'Special Names'!A:B,2,FALSE),B2619),PlayerValues!E:E,0)),"N/A")</f>
        <v>16584</v>
      </c>
      <c r="B2619" s="4" t="s">
        <v>569</v>
      </c>
      <c r="C2619" s="4" t="s">
        <v>283</v>
      </c>
      <c r="D2619" s="94">
        <v>3535.0</v>
      </c>
    </row>
    <row r="2620">
      <c r="A2620" s="40">
        <f t="array" ref="A2620">IFNA(index(PlayerValues!A:A,match(IFNA(vlookup(B2620,'Special Names'!A:B,2,FALSE),B2620),PlayerValues!E:E,0)),"N/A")</f>
        <v>17075</v>
      </c>
      <c r="B2620" s="4" t="s">
        <v>429</v>
      </c>
      <c r="C2620" s="4" t="s">
        <v>287</v>
      </c>
      <c r="D2620" s="94">
        <v>3534.0</v>
      </c>
    </row>
    <row r="2621">
      <c r="A2621" s="40">
        <f t="array" ref="A2621">IFNA(index(PlayerValues!A:A,match(IFNA(vlookup(B2621,'Special Names'!A:B,2,FALSE),B2621),PlayerValues!E:E,0)),"N/A")</f>
        <v>16620</v>
      </c>
      <c r="B2621" s="4" t="s">
        <v>467</v>
      </c>
      <c r="C2621" s="4" t="s">
        <v>287</v>
      </c>
      <c r="D2621" s="94">
        <v>3528.0</v>
      </c>
    </row>
    <row r="2622">
      <c r="A2622" s="40">
        <f t="array" ref="A2622">IFNA(index(PlayerValues!A:A,match(IFNA(vlookup(B2622,'Special Names'!A:B,2,FALSE),B2622),PlayerValues!E:E,0)),"N/A")</f>
        <v>16188</v>
      </c>
      <c r="B2622" s="4" t="s">
        <v>439</v>
      </c>
      <c r="C2622" s="4" t="s">
        <v>287</v>
      </c>
      <c r="D2622" s="94">
        <v>3512.0</v>
      </c>
    </row>
    <row r="2623">
      <c r="A2623" s="40" t="str">
        <f t="array" ref="A2623">IFNA(index(PlayerValues!A:A,match(IFNA(vlookup(B2623,'Special Names'!A:B,2,FALSE),B2623),PlayerValues!E:E,0)),"N/A")</f>
        <v>N/A</v>
      </c>
      <c r="B2623" s="4" t="s">
        <v>82</v>
      </c>
      <c r="C2623" s="4" t="s">
        <v>325</v>
      </c>
      <c r="D2623" s="94">
        <v>3498.0</v>
      </c>
    </row>
    <row r="2624">
      <c r="A2624" s="40">
        <f t="array" ref="A2624">IFNA(index(PlayerValues!A:A,match(IFNA(vlookup(B2624,'Special Names'!A:B,2,FALSE),B2624),PlayerValues!E:E,0)),"N/A")</f>
        <v>16593</v>
      </c>
      <c r="B2624" s="4" t="s">
        <v>442</v>
      </c>
      <c r="C2624" s="4" t="s">
        <v>278</v>
      </c>
      <c r="D2624" s="94">
        <v>3495.0</v>
      </c>
    </row>
    <row r="2625">
      <c r="A2625" s="40">
        <f t="array" ref="A2625">IFNA(index(PlayerValues!A:A,match(IFNA(vlookup(B2625,'Special Names'!A:B,2,FALSE),B2625),PlayerValues!E:E,0)),"N/A")</f>
        <v>13299</v>
      </c>
      <c r="B2625" s="4" t="s">
        <v>448</v>
      </c>
      <c r="C2625" s="4" t="s">
        <v>298</v>
      </c>
      <c r="D2625" s="94">
        <v>3945.0</v>
      </c>
    </row>
    <row r="2626">
      <c r="A2626" s="40">
        <f t="array" ref="A2626">IFNA(index(PlayerValues!A:A,match(IFNA(vlookup(B2626,'Special Names'!A:B,2,FALSE),B2626),PlayerValues!E:E,0)),"N/A")</f>
        <v>14127</v>
      </c>
      <c r="B2626" s="4" t="s">
        <v>486</v>
      </c>
      <c r="C2626" s="4" t="s">
        <v>287</v>
      </c>
      <c r="D2626" s="94">
        <v>3459.0</v>
      </c>
    </row>
    <row r="2627">
      <c r="A2627" s="40">
        <f t="array" ref="A2627">IFNA(index(PlayerValues!A:A,match(IFNA(vlookup(B2627,'Special Names'!A:B,2,FALSE),B2627),PlayerValues!E:E,0)),"N/A")</f>
        <v>17052</v>
      </c>
      <c r="B2627" s="4" t="s">
        <v>417</v>
      </c>
      <c r="C2627" s="4" t="s">
        <v>278</v>
      </c>
      <c r="D2627" s="94">
        <v>3452.0</v>
      </c>
    </row>
    <row r="2628">
      <c r="A2628" s="40">
        <f t="array" ref="A2628">IFNA(index(PlayerValues!A:A,match(IFNA(vlookup(B2628,'Special Names'!A:B,2,FALSE),B2628),PlayerValues!E:E,0)),"N/A")</f>
        <v>15742</v>
      </c>
      <c r="B2628" s="4" t="s">
        <v>447</v>
      </c>
      <c r="C2628" s="4" t="s">
        <v>278</v>
      </c>
      <c r="D2628" s="94">
        <v>3439.0</v>
      </c>
    </row>
    <row r="2629">
      <c r="A2629" s="40">
        <f t="array" ref="A2629">IFNA(index(PlayerValues!A:A,match(IFNA(vlookup(B2629,'Special Names'!A:B,2,FALSE),B2629),PlayerValues!E:E,0)),"N/A")</f>
        <v>15799</v>
      </c>
      <c r="B2629" s="4" t="s">
        <v>468</v>
      </c>
      <c r="C2629" s="4" t="s">
        <v>298</v>
      </c>
      <c r="D2629" s="94">
        <v>3859.0</v>
      </c>
    </row>
    <row r="2630">
      <c r="A2630" s="40">
        <f t="array" ref="A2630">IFNA(index(PlayerValues!A:A,match(IFNA(vlookup(B2630,'Special Names'!A:B,2,FALSE),B2630),PlayerValues!E:E,0)),"N/A")</f>
        <v>17502</v>
      </c>
      <c r="B2630" s="4" t="s">
        <v>451</v>
      </c>
      <c r="C2630" s="4" t="s">
        <v>287</v>
      </c>
      <c r="D2630" s="94">
        <v>3399.0</v>
      </c>
    </row>
    <row r="2631">
      <c r="A2631" s="40" t="str">
        <f t="array" ref="A2631">IFNA(index(PlayerValues!A:A,match(IFNA(vlookup(B2631,'Special Names'!A:B,2,FALSE),B2631),PlayerValues!E:E,0)),"N/A")</f>
        <v>N/A</v>
      </c>
      <c r="B2631" s="4" t="s">
        <v>96</v>
      </c>
      <c r="C2631" s="4" t="s">
        <v>325</v>
      </c>
      <c r="D2631" s="94">
        <v>3373.0</v>
      </c>
    </row>
    <row r="2632">
      <c r="A2632" s="40">
        <f t="array" ref="A2632">IFNA(index(PlayerValues!A:A,match(IFNA(vlookup(B2632,'Special Names'!A:B,2,FALSE),B2632),PlayerValues!E:E,0)),"N/A")</f>
        <v>14109</v>
      </c>
      <c r="B2632" s="4" t="s">
        <v>437</v>
      </c>
      <c r="C2632" s="4" t="s">
        <v>287</v>
      </c>
      <c r="D2632" s="94">
        <v>3358.0</v>
      </c>
    </row>
    <row r="2633">
      <c r="A2633" s="40">
        <f t="array" ref="A2633">IFNA(index(PlayerValues!A:A,match(IFNA(vlookup(B2633,'Special Names'!A:B,2,FALSE),B2633),PlayerValues!E:E,0)),"N/A")</f>
        <v>16594</v>
      </c>
      <c r="B2633" s="4" t="s">
        <v>607</v>
      </c>
      <c r="C2633" s="4" t="s">
        <v>278</v>
      </c>
      <c r="D2633" s="94">
        <v>3331.0</v>
      </c>
    </row>
    <row r="2634">
      <c r="A2634" s="40">
        <f t="array" ref="A2634">IFNA(index(PlayerValues!A:A,match(IFNA(vlookup(B2634,'Special Names'!A:B,2,FALSE),B2634),PlayerValues!E:E,0)),"N/A")</f>
        <v>17053</v>
      </c>
      <c r="B2634" s="4" t="s">
        <v>484</v>
      </c>
      <c r="C2634" s="4" t="s">
        <v>278</v>
      </c>
      <c r="D2634" s="94">
        <v>3330.0</v>
      </c>
    </row>
    <row r="2635">
      <c r="A2635" s="40">
        <f t="array" ref="A2635">IFNA(index(PlayerValues!A:A,match(IFNA(vlookup(B2635,'Special Names'!A:B,2,FALSE),B2635),PlayerValues!E:E,0)),"N/A")</f>
        <v>17473</v>
      </c>
      <c r="B2635" s="4" t="s">
        <v>391</v>
      </c>
      <c r="C2635" s="4" t="s">
        <v>278</v>
      </c>
      <c r="D2635" s="94">
        <v>3313.0</v>
      </c>
    </row>
    <row r="2636">
      <c r="A2636" s="40">
        <f t="array" ref="A2636">IFNA(index(PlayerValues!A:A,match(IFNA(vlookup(B2636,'Special Names'!A:B,2,FALSE),B2636),PlayerValues!E:E,0)),"N/A")</f>
        <v>13630</v>
      </c>
      <c r="B2636" s="4" t="s">
        <v>465</v>
      </c>
      <c r="C2636" s="4" t="s">
        <v>287</v>
      </c>
      <c r="D2636" s="94">
        <v>3297.0</v>
      </c>
    </row>
    <row r="2637">
      <c r="A2637" s="40">
        <f t="array" ref="A2637">IFNA(index(PlayerValues!A:A,match(IFNA(vlookup(B2637,'Special Names'!A:B,2,FALSE),B2637),PlayerValues!E:E,0)),"N/A")</f>
        <v>13635</v>
      </c>
      <c r="B2637" s="4" t="s">
        <v>424</v>
      </c>
      <c r="C2637" s="4" t="s">
        <v>287</v>
      </c>
      <c r="D2637" s="94">
        <v>3274.0</v>
      </c>
    </row>
    <row r="2638">
      <c r="A2638" s="40">
        <f t="array" ref="A2638">IFNA(index(PlayerValues!A:A,match(IFNA(vlookup(B2638,'Special Names'!A:B,2,FALSE),B2638),PlayerValues!E:E,0)),"N/A")</f>
        <v>16269</v>
      </c>
      <c r="B2638" s="4" t="s">
        <v>481</v>
      </c>
      <c r="C2638" s="4" t="s">
        <v>298</v>
      </c>
      <c r="D2638" s="94">
        <v>3713.0</v>
      </c>
    </row>
    <row r="2639">
      <c r="A2639" s="40">
        <f t="array" ref="A2639">IFNA(index(PlayerValues!A:A,match(IFNA(vlookup(B2639,'Special Names'!A:B,2,FALSE),B2639),PlayerValues!E:E,0)),"N/A")</f>
        <v>16184</v>
      </c>
      <c r="B2639" s="4" t="s">
        <v>445</v>
      </c>
      <c r="C2639" s="4" t="s">
        <v>287</v>
      </c>
      <c r="D2639" s="94">
        <v>3261.0</v>
      </c>
    </row>
    <row r="2640">
      <c r="A2640" s="40">
        <f t="array" ref="A2640">IFNA(index(PlayerValues!A:A,match(IFNA(vlookup(B2640,'Special Names'!A:B,2,FALSE),B2640),PlayerValues!E:E,0)),"N/A")</f>
        <v>15694</v>
      </c>
      <c r="B2640" s="4" t="s">
        <v>434</v>
      </c>
      <c r="C2640" s="4" t="s">
        <v>283</v>
      </c>
      <c r="D2640" s="94">
        <v>3213.0</v>
      </c>
    </row>
    <row r="2641">
      <c r="A2641" s="40">
        <f t="array" ref="A2641">IFNA(index(PlayerValues!A:A,match(IFNA(vlookup(B2641,'Special Names'!A:B,2,FALSE),B2641),PlayerValues!E:E,0)),"N/A")</f>
        <v>15712</v>
      </c>
      <c r="B2641" s="4" t="s">
        <v>488</v>
      </c>
      <c r="C2641" s="4" t="s">
        <v>278</v>
      </c>
      <c r="D2641" s="94">
        <v>3209.0</v>
      </c>
    </row>
    <row r="2642">
      <c r="A2642" s="40">
        <f t="array" ref="A2642">IFNA(index(PlayerValues!A:A,match(IFNA(vlookup(B2642,'Special Names'!A:B,2,FALSE),B2642),PlayerValues!E:E,0)),"N/A")</f>
        <v>17476</v>
      </c>
      <c r="B2642" s="4" t="s">
        <v>494</v>
      </c>
      <c r="C2642" s="4" t="s">
        <v>278</v>
      </c>
      <c r="D2642" s="94">
        <v>3202.0</v>
      </c>
    </row>
    <row r="2643">
      <c r="A2643" s="40">
        <f t="array" ref="A2643">IFNA(index(PlayerValues!A:A,match(IFNA(vlookup(B2643,'Special Names'!A:B,2,FALSE),B2643),PlayerValues!E:E,0)),"N/A")</f>
        <v>16809</v>
      </c>
      <c r="B2643" s="4" t="s">
        <v>455</v>
      </c>
      <c r="C2643" s="4" t="s">
        <v>287</v>
      </c>
      <c r="D2643" s="94">
        <v>3167.0</v>
      </c>
    </row>
    <row r="2644">
      <c r="A2644" s="40">
        <f t="array" ref="A2644">IFNA(index(PlayerValues!A:A,match(IFNA(vlookup(B2644,'Special Names'!A:B,2,FALSE),B2644),PlayerValues!E:E,0)),"N/A")</f>
        <v>16187</v>
      </c>
      <c r="B2644" s="4" t="s">
        <v>441</v>
      </c>
      <c r="C2644" s="4" t="s">
        <v>287</v>
      </c>
      <c r="D2644" s="94">
        <v>3151.0</v>
      </c>
    </row>
    <row r="2645">
      <c r="A2645" s="40">
        <f t="array" ref="A2645">IFNA(index(PlayerValues!A:A,match(IFNA(vlookup(B2645,'Special Names'!A:B,2,FALSE),B2645),PlayerValues!E:E,0)),"N/A")</f>
        <v>14823</v>
      </c>
      <c r="B2645" s="4" t="s">
        <v>459</v>
      </c>
      <c r="C2645" s="4" t="s">
        <v>278</v>
      </c>
      <c r="D2645" s="94">
        <v>3150.0</v>
      </c>
    </row>
    <row r="2646">
      <c r="A2646" s="40">
        <f t="array" ref="A2646">IFNA(index(PlayerValues!A:A,match(IFNA(vlookup(B2646,'Special Names'!A:B,2,FALSE),B2646),PlayerValues!E:E,0)),"N/A")</f>
        <v>15761</v>
      </c>
      <c r="B2646" s="4" t="s">
        <v>491</v>
      </c>
      <c r="C2646" s="4" t="s">
        <v>287</v>
      </c>
      <c r="D2646" s="94">
        <v>3111.0</v>
      </c>
    </row>
    <row r="2647">
      <c r="A2647" s="40" t="str">
        <f t="array" ref="A2647">IFNA(index(PlayerValues!A:A,match(IFNA(vlookup(B2647,'Special Names'!A:B,2,FALSE),B2647),PlayerValues!E:E,0)),"N/A")</f>
        <v>N/A</v>
      </c>
      <c r="B2647" s="4" t="s">
        <v>108</v>
      </c>
      <c r="C2647" s="4" t="s">
        <v>325</v>
      </c>
      <c r="D2647" s="94">
        <v>3078.0</v>
      </c>
    </row>
    <row r="2648">
      <c r="A2648" s="40" t="str">
        <f t="array" ref="A2648">IFNA(index(PlayerValues!A:A,match(IFNA(vlookup(B2648,'Special Names'!A:B,2,FALSE),B2648),PlayerValues!E:E,0)),"N/A")</f>
        <v>N/A</v>
      </c>
      <c r="B2648" s="4" t="s">
        <v>84</v>
      </c>
      <c r="C2648" s="4" t="s">
        <v>325</v>
      </c>
      <c r="D2648" s="94">
        <v>3074.0</v>
      </c>
    </row>
    <row r="2649">
      <c r="A2649" s="40" t="str">
        <f t="array" ref="A2649">IFNA(index(PlayerValues!A:A,match(IFNA(vlookup(B2649,'Special Names'!A:B,2,FALSE),B2649),PlayerValues!E:E,0)),"N/A")</f>
        <v>N/A</v>
      </c>
      <c r="B2649" s="4" t="s">
        <v>97</v>
      </c>
      <c r="C2649" s="4" t="s">
        <v>325</v>
      </c>
      <c r="D2649" s="94">
        <v>3068.0</v>
      </c>
    </row>
    <row r="2650">
      <c r="A2650" s="40">
        <f t="array" ref="A2650">IFNA(index(PlayerValues!A:A,match(IFNA(vlookup(B2650,'Special Names'!A:B,2,FALSE),B2650),PlayerValues!E:E,0)),"N/A")</f>
        <v>15261</v>
      </c>
      <c r="B2650" s="4" t="s">
        <v>466</v>
      </c>
      <c r="C2650" s="4" t="s">
        <v>278</v>
      </c>
      <c r="D2650" s="94">
        <v>3050.0</v>
      </c>
    </row>
    <row r="2651">
      <c r="A2651" s="40">
        <f t="array" ref="A2651">IFNA(index(PlayerValues!A:A,match(IFNA(vlookup(B2651,'Special Names'!A:B,2,FALSE),B2651),PlayerValues!E:E,0)),"N/A")</f>
        <v>16619</v>
      </c>
      <c r="B2651" s="4" t="s">
        <v>538</v>
      </c>
      <c r="C2651" s="4" t="s">
        <v>287</v>
      </c>
      <c r="D2651" s="94">
        <v>3046.0</v>
      </c>
    </row>
    <row r="2652">
      <c r="A2652" s="40">
        <f t="array" ref="A2652">IFNA(index(PlayerValues!A:A,match(IFNA(vlookup(B2652,'Special Names'!A:B,2,FALSE),B2652),PlayerValues!E:E,0)),"N/A")</f>
        <v>15798</v>
      </c>
      <c r="B2652" s="4" t="s">
        <v>443</v>
      </c>
      <c r="C2652" s="4" t="s">
        <v>298</v>
      </c>
      <c r="D2652" s="94">
        <v>3452.0</v>
      </c>
    </row>
    <row r="2653">
      <c r="A2653" s="40">
        <f t="array" ref="A2653">IFNA(index(PlayerValues!A:A,match(IFNA(vlookup(B2653,'Special Names'!A:B,2,FALSE),B2653),PlayerValues!E:E,0)),"N/A")</f>
        <v>17463</v>
      </c>
      <c r="B2653" s="4" t="s">
        <v>433</v>
      </c>
      <c r="C2653" s="4" t="s">
        <v>283</v>
      </c>
      <c r="D2653" s="94">
        <v>2990.0</v>
      </c>
    </row>
    <row r="2654">
      <c r="A2654" s="40">
        <f t="array" ref="A2654">IFNA(index(PlayerValues!A:A,match(IFNA(vlookup(B2654,'Special Names'!A:B,2,FALSE),B2654),PlayerValues!E:E,0)),"N/A")</f>
        <v>17082</v>
      </c>
      <c r="B2654" s="4" t="s">
        <v>498</v>
      </c>
      <c r="C2654" s="4" t="s">
        <v>287</v>
      </c>
      <c r="D2654" s="94">
        <v>2978.0</v>
      </c>
    </row>
    <row r="2655">
      <c r="A2655" s="40">
        <f t="array" ref="A2655">IFNA(index(PlayerValues!A:A,match(IFNA(vlookup(B2655,'Special Names'!A:B,2,FALSE),B2655),PlayerValues!E:E,0)),"N/A")</f>
        <v>15259</v>
      </c>
      <c r="B2655" s="4" t="s">
        <v>453</v>
      </c>
      <c r="C2655" s="4" t="s">
        <v>278</v>
      </c>
      <c r="D2655" s="94">
        <v>2975.0</v>
      </c>
    </row>
    <row r="2656">
      <c r="A2656" s="40">
        <f t="array" ref="A2656">IFNA(index(PlayerValues!A:A,match(IFNA(vlookup(B2656,'Special Names'!A:B,2,FALSE),B2656),PlayerValues!E:E,0)),"N/A")</f>
        <v>16193</v>
      </c>
      <c r="B2656" s="4" t="s">
        <v>487</v>
      </c>
      <c r="C2656" s="4" t="s">
        <v>287</v>
      </c>
      <c r="D2656" s="94">
        <v>2972.0</v>
      </c>
    </row>
    <row r="2657">
      <c r="A2657" s="40">
        <f t="array" ref="A2657">IFNA(index(PlayerValues!A:A,match(IFNA(vlookup(B2657,'Special Names'!A:B,2,FALSE),B2657),PlayerValues!E:E,0)),"N/A")</f>
        <v>15779</v>
      </c>
      <c r="B2657" s="4" t="s">
        <v>461</v>
      </c>
      <c r="C2657" s="4" t="s">
        <v>287</v>
      </c>
      <c r="D2657" s="94">
        <v>2971.0</v>
      </c>
    </row>
    <row r="2658">
      <c r="A2658" s="40">
        <f t="array" ref="A2658">IFNA(index(PlayerValues!A:A,match(IFNA(vlookup(B2658,'Special Names'!A:B,2,FALSE),B2658),PlayerValues!E:E,0)),"N/A")</f>
        <v>17106</v>
      </c>
      <c r="B2658" s="4" t="s">
        <v>550</v>
      </c>
      <c r="C2658" s="4" t="s">
        <v>298</v>
      </c>
      <c r="D2658" s="94">
        <v>3349.0</v>
      </c>
    </row>
    <row r="2659">
      <c r="A2659" s="40">
        <f t="array" ref="A2659">IFNA(index(PlayerValues!A:A,match(IFNA(vlookup(B2659,'Special Names'!A:B,2,FALSE),B2659),PlayerValues!E:E,0)),"N/A")</f>
        <v>17107</v>
      </c>
      <c r="B2659" s="4" t="s">
        <v>478</v>
      </c>
      <c r="C2659" s="4" t="s">
        <v>298</v>
      </c>
      <c r="D2659" s="94">
        <v>3326.0</v>
      </c>
    </row>
    <row r="2660">
      <c r="A2660" s="40">
        <f t="array" ref="A2660">IFNA(index(PlayerValues!A:A,match(IFNA(vlookup(B2660,'Special Names'!A:B,2,FALSE),B2660),PlayerValues!E:E,0)),"N/A")</f>
        <v>17031</v>
      </c>
      <c r="B2660" s="4" t="s">
        <v>535</v>
      </c>
      <c r="C2660" s="4" t="s">
        <v>283</v>
      </c>
      <c r="D2660" s="94">
        <v>2900.0</v>
      </c>
    </row>
    <row r="2661">
      <c r="A2661" s="40">
        <f t="array" ref="A2661">IFNA(index(PlayerValues!A:A,match(IFNA(vlookup(B2661,'Special Names'!A:B,2,FALSE),B2661),PlayerValues!E:E,0)),"N/A")</f>
        <v>17256</v>
      </c>
      <c r="B2661" s="4" t="s">
        <v>462</v>
      </c>
      <c r="C2661" s="4" t="s">
        <v>278</v>
      </c>
      <c r="D2661" s="94">
        <v>2891.0</v>
      </c>
    </row>
    <row r="2662">
      <c r="A2662" s="40">
        <f t="array" ref="A2662">IFNA(index(PlayerValues!A:A,match(IFNA(vlookup(B2662,'Special Names'!A:B,2,FALSE),B2662),PlayerValues!E:E,0)),"N/A")</f>
        <v>16723</v>
      </c>
      <c r="B2662" s="4" t="s">
        <v>502</v>
      </c>
      <c r="C2662" s="4" t="s">
        <v>298</v>
      </c>
      <c r="D2662" s="94">
        <v>3297.0</v>
      </c>
    </row>
    <row r="2663">
      <c r="A2663" s="40">
        <f t="array" ref="A2663">IFNA(index(PlayerValues!A:A,match(IFNA(vlookup(B2663,'Special Names'!A:B,2,FALSE),B2663),PlayerValues!E:E,0)),"N/A")</f>
        <v>11671</v>
      </c>
      <c r="B2663" s="4" t="s">
        <v>463</v>
      </c>
      <c r="C2663" s="4" t="s">
        <v>287</v>
      </c>
      <c r="D2663" s="94">
        <v>2867.0</v>
      </c>
    </row>
    <row r="2664">
      <c r="A2664" s="40">
        <f t="array" ref="A2664">IFNA(index(PlayerValues!A:A,match(IFNA(vlookup(B2664,'Special Names'!A:B,2,FALSE),B2664),PlayerValues!E:E,0)),"N/A")</f>
        <v>16628</v>
      </c>
      <c r="B2664" s="4" t="s">
        <v>490</v>
      </c>
      <c r="C2664" s="4" t="s">
        <v>287</v>
      </c>
      <c r="D2664" s="94">
        <v>2864.0</v>
      </c>
    </row>
    <row r="2665">
      <c r="A2665" s="40">
        <f t="array" ref="A2665">IFNA(index(PlayerValues!A:A,match(IFNA(vlookup(B2665,'Special Names'!A:B,2,FALSE),B2665),PlayerValues!E:E,0)),"N/A")</f>
        <v>17171</v>
      </c>
      <c r="B2665" s="4" t="s">
        <v>561</v>
      </c>
      <c r="C2665" s="4" t="s">
        <v>287</v>
      </c>
      <c r="D2665" s="94">
        <v>2851.0</v>
      </c>
    </row>
    <row r="2666">
      <c r="A2666" s="40">
        <f t="array" ref="A2666">IFNA(index(PlayerValues!A:A,match(IFNA(vlookup(B2666,'Special Names'!A:B,2,FALSE),B2666),PlayerValues!E:E,0)),"N/A")</f>
        <v>16596</v>
      </c>
      <c r="B2666" s="4" t="s">
        <v>501</v>
      </c>
      <c r="C2666" s="4" t="s">
        <v>278</v>
      </c>
      <c r="D2666" s="94">
        <v>2844.0</v>
      </c>
    </row>
    <row r="2667">
      <c r="A2667" s="40">
        <f t="array" ref="A2667">IFNA(index(PlayerValues!A:A,match(IFNA(vlookup(B2667,'Special Names'!A:B,2,FALSE),B2667),PlayerValues!E:E,0)),"N/A")</f>
        <v>17073</v>
      </c>
      <c r="B2667" s="4" t="s">
        <v>547</v>
      </c>
      <c r="C2667" s="4" t="s">
        <v>287</v>
      </c>
      <c r="D2667" s="94">
        <v>2841.0</v>
      </c>
    </row>
    <row r="2668">
      <c r="A2668" s="40">
        <f t="array" ref="A2668">IFNA(index(PlayerValues!A:A,match(IFNA(vlookup(B2668,'Special Names'!A:B,2,FALSE),B2668),PlayerValues!E:E,0)),"N/A")</f>
        <v>14860</v>
      </c>
      <c r="B2668" s="4" t="s">
        <v>554</v>
      </c>
      <c r="C2668" s="4" t="s">
        <v>287</v>
      </c>
      <c r="D2668" s="94">
        <v>2839.0</v>
      </c>
    </row>
    <row r="2669">
      <c r="A2669" s="40">
        <f t="array" ref="A2669">IFNA(index(PlayerValues!A:A,match(IFNA(vlookup(B2669,'Special Names'!A:B,2,FALSE),B2669),PlayerValues!E:E,0)),"N/A")</f>
        <v>17072</v>
      </c>
      <c r="B2669" s="4" t="s">
        <v>508</v>
      </c>
      <c r="C2669" s="4" t="s">
        <v>287</v>
      </c>
      <c r="D2669" s="94">
        <v>2839.0</v>
      </c>
    </row>
    <row r="2670">
      <c r="A2670" s="40">
        <f t="array" ref="A2670">IFNA(index(PlayerValues!A:A,match(IFNA(vlookup(B2670,'Special Names'!A:B,2,FALSE),B2670),PlayerValues!E:E,0)),"N/A")</f>
        <v>17157</v>
      </c>
      <c r="B2670" s="4" t="s">
        <v>524</v>
      </c>
      <c r="C2670" s="4" t="s">
        <v>287</v>
      </c>
      <c r="D2670" s="94">
        <v>2835.0</v>
      </c>
    </row>
    <row r="2671">
      <c r="A2671" s="40">
        <f t="array" ref="A2671">IFNA(index(PlayerValues!A:A,match(IFNA(vlookup(B2671,'Special Names'!A:B,2,FALSE),B2671),PlayerValues!E:E,0)),"N/A")</f>
        <v>16080</v>
      </c>
      <c r="B2671" s="4" t="s">
        <v>499</v>
      </c>
      <c r="C2671" s="4" t="s">
        <v>287</v>
      </c>
      <c r="D2671" s="94">
        <v>2829.0</v>
      </c>
    </row>
    <row r="2672">
      <c r="A2672" s="40">
        <f t="array" ref="A2672">IFNA(index(PlayerValues!A:A,match(IFNA(vlookup(B2672,'Special Names'!A:B,2,FALSE),B2672),PlayerValues!E:E,0)),"N/A")</f>
        <v>17511</v>
      </c>
      <c r="B2672" s="4" t="s">
        <v>485</v>
      </c>
      <c r="C2672" s="4" t="s">
        <v>287</v>
      </c>
      <c r="D2672" s="94">
        <v>2819.0</v>
      </c>
    </row>
    <row r="2673">
      <c r="A2673" s="40">
        <f t="array" ref="A2673">IFNA(index(PlayerValues!A:A,match(IFNA(vlookup(B2673,'Special Names'!A:B,2,FALSE),B2673),PlayerValues!E:E,0)),"N/A")</f>
        <v>16165</v>
      </c>
      <c r="B2673" s="4" t="s">
        <v>520</v>
      </c>
      <c r="C2673" s="4" t="s">
        <v>278</v>
      </c>
      <c r="D2673" s="94">
        <v>2810.0</v>
      </c>
    </row>
    <row r="2674">
      <c r="A2674" s="40">
        <f t="array" ref="A2674">IFNA(index(PlayerValues!A:A,match(IFNA(vlookup(B2674,'Special Names'!A:B,2,FALSE),B2674),PlayerValues!E:E,0)),"N/A")</f>
        <v>15255</v>
      </c>
      <c r="B2674" s="4" t="s">
        <v>477</v>
      </c>
      <c r="C2674" s="4" t="s">
        <v>278</v>
      </c>
      <c r="D2674" s="94">
        <v>2804.0</v>
      </c>
    </row>
    <row r="2675">
      <c r="A2675" s="40" t="str">
        <f t="array" ref="A2675">IFNA(index(PlayerValues!A:A,match(IFNA(vlookup(B2675,'Special Names'!A:B,2,FALSE),B2675),PlayerValues!E:E,0)),"N/A")</f>
        <v>N/A</v>
      </c>
      <c r="B2675" s="4" t="s">
        <v>85</v>
      </c>
      <c r="C2675" s="4" t="s">
        <v>325</v>
      </c>
      <c r="D2675" s="94">
        <v>2804.0</v>
      </c>
    </row>
    <row r="2676">
      <c r="A2676" s="40">
        <f t="array" ref="A2676">IFNA(index(PlayerValues!A:A,match(IFNA(vlookup(B2676,'Special Names'!A:B,2,FALSE),B2676),PlayerValues!E:E,0)),"N/A")</f>
        <v>17134</v>
      </c>
      <c r="B2676" s="4" t="s">
        <v>548</v>
      </c>
      <c r="C2676" s="4" t="s">
        <v>287</v>
      </c>
      <c r="D2676" s="94">
        <v>2803.0</v>
      </c>
    </row>
    <row r="2677">
      <c r="A2677" s="40" t="str">
        <f t="array" ref="A2677">IFNA(index(PlayerValues!A:A,match(IFNA(vlookup(B2677,'Special Names'!A:B,2,FALSE),B2677),PlayerValues!E:E,0)),"N/A")</f>
        <v>N/A</v>
      </c>
      <c r="B2677" s="4" t="s">
        <v>109</v>
      </c>
      <c r="C2677" s="4" t="s">
        <v>325</v>
      </c>
      <c r="D2677" s="94">
        <v>2799.0</v>
      </c>
    </row>
    <row r="2678">
      <c r="A2678" s="40">
        <f t="array" ref="A2678">IFNA(index(PlayerValues!A:A,match(IFNA(vlookup(B2678,'Special Names'!A:B,2,FALSE),B2678),PlayerValues!E:E,0)),"N/A")</f>
        <v>15241</v>
      </c>
      <c r="B2678" s="4" t="s">
        <v>546</v>
      </c>
      <c r="C2678" s="4" t="s">
        <v>283</v>
      </c>
      <c r="D2678" s="94">
        <v>2797.0</v>
      </c>
    </row>
    <row r="2679">
      <c r="A2679" s="40">
        <f t="array" ref="A2679">IFNA(index(PlayerValues!A:A,match(IFNA(vlookup(B2679,'Special Names'!A:B,2,FALSE),B2679),PlayerValues!E:E,0)),"N/A")</f>
        <v>16649</v>
      </c>
      <c r="B2679" s="4" t="s">
        <v>586</v>
      </c>
      <c r="C2679" s="4" t="s">
        <v>298</v>
      </c>
      <c r="D2679" s="94">
        <v>3215.0</v>
      </c>
    </row>
    <row r="2680">
      <c r="A2680" s="40">
        <f t="array" ref="A2680">IFNA(index(PlayerValues!A:A,match(IFNA(vlookup(B2680,'Special Names'!A:B,2,FALSE),B2680),PlayerValues!E:E,0)),"N/A")</f>
        <v>14071</v>
      </c>
      <c r="B2680" s="4" t="s">
        <v>440</v>
      </c>
      <c r="C2680" s="4" t="s">
        <v>278</v>
      </c>
      <c r="D2680" s="94">
        <v>2791.0</v>
      </c>
    </row>
    <row r="2681">
      <c r="A2681" s="40">
        <f t="array" ref="A2681">IFNA(index(PlayerValues!A:A,match(IFNA(vlookup(B2681,'Special Names'!A:B,2,FALSE),B2681),PlayerValues!E:E,0)),"N/A")</f>
        <v>17080</v>
      </c>
      <c r="B2681" s="4" t="s">
        <v>532</v>
      </c>
      <c r="C2681" s="4" t="s">
        <v>287</v>
      </c>
      <c r="D2681" s="94">
        <v>2782.0</v>
      </c>
    </row>
    <row r="2682">
      <c r="A2682" s="40">
        <f t="array" ref="A2682">IFNA(index(PlayerValues!A:A,match(IFNA(vlookup(B2682,'Special Names'!A:B,2,FALSE),B2682),PlayerValues!E:E,0)),"N/A")</f>
        <v>16626</v>
      </c>
      <c r="B2682" s="4" t="s">
        <v>515</v>
      </c>
      <c r="C2682" s="4" t="s">
        <v>287</v>
      </c>
      <c r="D2682" s="94">
        <v>2766.0</v>
      </c>
    </row>
    <row r="2683">
      <c r="A2683" s="40">
        <f t="array" ref="A2683">IFNA(index(PlayerValues!A:A,match(IFNA(vlookup(B2683,'Special Names'!A:B,2,FALSE),B2683),PlayerValues!E:E,0)),"N/A")</f>
        <v>13163</v>
      </c>
      <c r="B2683" s="4" t="s">
        <v>473</v>
      </c>
      <c r="C2683" s="4" t="s">
        <v>287</v>
      </c>
      <c r="D2683" s="94">
        <v>2764.0</v>
      </c>
    </row>
    <row r="2684">
      <c r="A2684" s="40">
        <f t="array" ref="A2684">IFNA(index(PlayerValues!A:A,match(IFNA(vlookup(B2684,'Special Names'!A:B,2,FALSE),B2684),PlayerValues!E:E,0)),"N/A")</f>
        <v>14800</v>
      </c>
      <c r="B2684" s="4" t="s">
        <v>472</v>
      </c>
      <c r="C2684" s="4" t="s">
        <v>278</v>
      </c>
      <c r="D2684" s="94">
        <v>2759.0</v>
      </c>
    </row>
    <row r="2685">
      <c r="A2685" s="40">
        <f t="array" ref="A2685">IFNA(index(PlayerValues!A:A,match(IFNA(vlookup(B2685,'Special Names'!A:B,2,FALSE),B2685),PlayerValues!E:E,0)),"N/A")</f>
        <v>17098</v>
      </c>
      <c r="B2685" s="4" t="s">
        <v>533</v>
      </c>
      <c r="C2685" s="4" t="s">
        <v>287</v>
      </c>
      <c r="D2685" s="94">
        <v>2742.0</v>
      </c>
    </row>
    <row r="2686">
      <c r="A2686" s="40">
        <f t="array" ref="A2686">IFNA(index(PlayerValues!A:A,match(IFNA(vlookup(B2686,'Special Names'!A:B,2,FALSE),B2686),PlayerValues!E:E,0)),"N/A")</f>
        <v>16747</v>
      </c>
      <c r="B2686" s="4" t="s">
        <v>555</v>
      </c>
      <c r="C2686" s="4" t="s">
        <v>278</v>
      </c>
      <c r="D2686" s="94">
        <v>2738.0</v>
      </c>
    </row>
    <row r="2687">
      <c r="A2687" s="40">
        <f t="array" ref="A2687">IFNA(index(PlayerValues!A:A,match(IFNA(vlookup(B2687,'Special Names'!A:B,2,FALSE),B2687),PlayerValues!E:E,0)),"N/A")</f>
        <v>17047</v>
      </c>
      <c r="B2687" s="4" t="s">
        <v>510</v>
      </c>
      <c r="C2687" s="4" t="s">
        <v>278</v>
      </c>
      <c r="D2687" s="94">
        <v>2724.0</v>
      </c>
    </row>
    <row r="2688">
      <c r="A2688" s="40">
        <f t="array" ref="A2688">IFNA(index(PlayerValues!A:A,match(IFNA(vlookup(B2688,'Special Names'!A:B,2,FALSE),B2688),PlayerValues!E:E,0)),"N/A")</f>
        <v>14840</v>
      </c>
      <c r="B2688" s="4" t="s">
        <v>731</v>
      </c>
      <c r="C2688" s="4" t="s">
        <v>287</v>
      </c>
      <c r="D2688" s="94">
        <v>2693.0</v>
      </c>
    </row>
    <row r="2689">
      <c r="A2689" s="40">
        <f t="array" ref="A2689">IFNA(index(PlayerValues!A:A,match(IFNA(vlookup(B2689,'Special Names'!A:B,2,FALSE),B2689),PlayerValues!E:E,0)),"N/A")</f>
        <v>16597</v>
      </c>
      <c r="B2689" s="4" t="s">
        <v>427</v>
      </c>
      <c r="C2689" s="4" t="s">
        <v>278</v>
      </c>
      <c r="D2689" s="94">
        <v>2692.0</v>
      </c>
    </row>
    <row r="2690">
      <c r="A2690" s="40">
        <f t="array" ref="A2690">IFNA(index(PlayerValues!A:A,match(IFNA(vlookup(B2690,'Special Names'!A:B,2,FALSE),B2690),PlayerValues!E:E,0)),"N/A")</f>
        <v>14085</v>
      </c>
      <c r="B2690" s="4" t="s">
        <v>489</v>
      </c>
      <c r="C2690" s="4" t="s">
        <v>278</v>
      </c>
      <c r="D2690" s="94">
        <v>2685.0</v>
      </c>
    </row>
    <row r="2691">
      <c r="A2691" s="40">
        <f t="array" ref="A2691">IFNA(index(PlayerValues!A:A,match(IFNA(vlookup(B2691,'Special Names'!A:B,2,FALSE),B2691),PlayerValues!E:E,0)),"N/A")</f>
        <v>17048</v>
      </c>
      <c r="B2691" s="4" t="s">
        <v>539</v>
      </c>
      <c r="C2691" s="4" t="s">
        <v>278</v>
      </c>
      <c r="D2691" s="94">
        <v>2683.0</v>
      </c>
    </row>
    <row r="2692">
      <c r="A2692" s="40">
        <f t="array" ref="A2692">IFNA(index(PlayerValues!A:A,match(IFNA(vlookup(B2692,'Special Names'!A:B,2,FALSE),B2692),PlayerValues!E:E,0)),"N/A")</f>
        <v>17505</v>
      </c>
      <c r="B2692" s="4" t="s">
        <v>528</v>
      </c>
      <c r="C2692" s="4" t="s">
        <v>287</v>
      </c>
      <c r="D2692" s="94">
        <v>2675.0</v>
      </c>
    </row>
    <row r="2693">
      <c r="A2693" s="40">
        <f t="array" ref="A2693">IFNA(index(PlayerValues!A:A,match(IFNA(vlookup(B2693,'Special Names'!A:B,2,FALSE),B2693),PlayerValues!E:E,0)),"N/A")</f>
        <v>17507</v>
      </c>
      <c r="B2693" s="4" t="s">
        <v>495</v>
      </c>
      <c r="C2693" s="4" t="s">
        <v>287</v>
      </c>
      <c r="D2693" s="94">
        <v>2661.0</v>
      </c>
    </row>
    <row r="2694">
      <c r="A2694" s="40">
        <f t="array" ref="A2694">IFNA(index(PlayerValues!A:A,match(IFNA(vlookup(B2694,'Special Names'!A:B,2,FALSE),B2694),PlayerValues!E:E,0)),"N/A")</f>
        <v>14833</v>
      </c>
      <c r="B2694" s="4" t="s">
        <v>553</v>
      </c>
      <c r="C2694" s="4" t="s">
        <v>287</v>
      </c>
      <c r="D2694" s="94">
        <v>2647.0</v>
      </c>
    </row>
    <row r="2695">
      <c r="A2695" s="40">
        <f t="array" ref="A2695">IFNA(index(PlayerValues!A:A,match(IFNA(vlookup(B2695,'Special Names'!A:B,2,FALSE),B2695),PlayerValues!E:E,0)),"N/A")</f>
        <v>12186</v>
      </c>
      <c r="B2695" s="4" t="s">
        <v>497</v>
      </c>
      <c r="C2695" s="4" t="s">
        <v>287</v>
      </c>
      <c r="D2695" s="94">
        <v>2628.0</v>
      </c>
    </row>
    <row r="2696">
      <c r="A2696" s="40" t="str">
        <f t="array" ref="A2696">IFNA(index(PlayerValues!A:A,match(IFNA(vlookup(B2696,'Special Names'!A:B,2,FALSE),B2696),PlayerValues!E:E,0)),"N/A")</f>
        <v>N/A</v>
      </c>
      <c r="B2696" s="4" t="s">
        <v>110</v>
      </c>
      <c r="C2696" s="4" t="s">
        <v>325</v>
      </c>
      <c r="D2696" s="94">
        <v>2627.0</v>
      </c>
    </row>
    <row r="2697">
      <c r="A2697" s="40">
        <f t="array" ref="A2697">IFNA(index(PlayerValues!A:A,match(IFNA(vlookup(B2697,'Special Names'!A:B,2,FALSE),B2697),PlayerValues!E:E,0)),"N/A")</f>
        <v>14778</v>
      </c>
      <c r="B2697" s="4" t="s">
        <v>564</v>
      </c>
      <c r="C2697" s="4" t="s">
        <v>283</v>
      </c>
      <c r="D2697" s="94">
        <v>2626.0</v>
      </c>
    </row>
    <row r="2698">
      <c r="A2698" s="40">
        <f t="array" ref="A2698">IFNA(index(PlayerValues!A:A,match(IFNA(vlookup(B2698,'Special Names'!A:B,2,FALSE),B2698),PlayerValues!E:E,0)),"N/A")</f>
        <v>17046</v>
      </c>
      <c r="B2698" s="4" t="s">
        <v>602</v>
      </c>
      <c r="C2698" s="4" t="s">
        <v>278</v>
      </c>
      <c r="D2698" s="94">
        <v>2621.0</v>
      </c>
    </row>
    <row r="2699">
      <c r="A2699" s="40">
        <f t="array" ref="A2699">IFNA(index(PlayerValues!A:A,match(IFNA(vlookup(B2699,'Special Names'!A:B,2,FALSE),B2699),PlayerValues!E:E,0)),"N/A")</f>
        <v>16757</v>
      </c>
      <c r="B2699" s="4" t="s">
        <v>558</v>
      </c>
      <c r="C2699" s="4" t="s">
        <v>278</v>
      </c>
      <c r="D2699" s="94">
        <v>2611.0</v>
      </c>
    </row>
    <row r="2700">
      <c r="A2700" s="40">
        <f t="array" ref="A2700">IFNA(index(PlayerValues!A:A,match(IFNA(vlookup(B2700,'Special Names'!A:B,2,FALSE),B2700),PlayerValues!E:E,0)),"N/A")</f>
        <v>14138</v>
      </c>
      <c r="B2700" s="4" t="s">
        <v>531</v>
      </c>
      <c r="C2700" s="4" t="s">
        <v>298</v>
      </c>
      <c r="D2700" s="94">
        <v>3020.0</v>
      </c>
    </row>
    <row r="2701">
      <c r="A2701" s="40">
        <f t="array" ref="A2701">IFNA(index(PlayerValues!A:A,match(IFNA(vlookup(B2701,'Special Names'!A:B,2,FALSE),B2701),PlayerValues!E:E,0)),"N/A")</f>
        <v>13674</v>
      </c>
      <c r="B2701" s="4" t="s">
        <v>511</v>
      </c>
      <c r="C2701" s="4" t="s">
        <v>298</v>
      </c>
      <c r="D2701" s="94">
        <v>3014.0</v>
      </c>
    </row>
    <row r="2702">
      <c r="A2702" s="40">
        <f t="array" ref="A2702">IFNA(index(PlayerValues!A:A,match(IFNA(vlookup(B2702,'Special Names'!A:B,2,FALSE),B2702),PlayerValues!E:E,0)),"N/A")</f>
        <v>15721</v>
      </c>
      <c r="B2702" s="4" t="s">
        <v>504</v>
      </c>
      <c r="C2702" s="4" t="s">
        <v>278</v>
      </c>
      <c r="D2702" s="94">
        <v>2585.0</v>
      </c>
    </row>
    <row r="2703">
      <c r="A2703" s="40" t="str">
        <f t="array" ref="A2703">IFNA(index(PlayerValues!A:A,match(IFNA(vlookup(B2703,'Special Names'!A:B,2,FALSE),B2703),PlayerValues!E:E,0)),"N/A")</f>
        <v>N/A</v>
      </c>
      <c r="B2703" s="4" t="s">
        <v>557</v>
      </c>
      <c r="C2703" s="4" t="s">
        <v>278</v>
      </c>
      <c r="D2703" s="94">
        <v>2579.0</v>
      </c>
    </row>
    <row r="2704">
      <c r="A2704" s="40">
        <f t="array" ref="A2704">IFNA(index(PlayerValues!A:A,match(IFNA(vlookup(B2704,'Special Names'!A:B,2,FALSE),B2704),PlayerValues!E:E,0)),"N/A")</f>
        <v>17108</v>
      </c>
      <c r="B2704" s="4" t="s">
        <v>542</v>
      </c>
      <c r="C2704" s="4" t="s">
        <v>298</v>
      </c>
      <c r="D2704" s="94">
        <v>2988.0</v>
      </c>
    </row>
    <row r="2705">
      <c r="A2705" s="40">
        <f t="array" ref="A2705">IFNA(index(PlayerValues!A:A,match(IFNA(vlookup(B2705,'Special Names'!A:B,2,FALSE),B2705),PlayerValues!E:E,0)),"N/A")</f>
        <v>13192</v>
      </c>
      <c r="B2705" s="4" t="s">
        <v>563</v>
      </c>
      <c r="C2705" s="4" t="s">
        <v>298</v>
      </c>
      <c r="D2705" s="94">
        <v>2964.0</v>
      </c>
    </row>
    <row r="2706">
      <c r="A2706" s="40">
        <f t="array" ref="A2706">IFNA(index(PlayerValues!A:A,match(IFNA(vlookup(B2706,'Special Names'!A:B,2,FALSE),B2706),PlayerValues!E:E,0)),"N/A")</f>
        <v>16287</v>
      </c>
      <c r="B2706" s="4" t="s">
        <v>516</v>
      </c>
      <c r="C2706" s="4" t="s">
        <v>287</v>
      </c>
      <c r="D2706" s="94">
        <v>2541.0</v>
      </c>
    </row>
    <row r="2707">
      <c r="A2707" s="40">
        <f t="array" ref="A2707">IFNA(index(PlayerValues!A:A,match(IFNA(vlookup(B2707,'Special Names'!A:B,2,FALSE),B2707),PlayerValues!E:E,0)),"N/A")</f>
        <v>17464</v>
      </c>
      <c r="B2707" s="4" t="s">
        <v>828</v>
      </c>
      <c r="C2707" s="4" t="s">
        <v>283</v>
      </c>
      <c r="D2707" s="94">
        <v>2540.0</v>
      </c>
    </row>
    <row r="2708">
      <c r="A2708" s="40">
        <f t="array" ref="A2708">IFNA(index(PlayerValues!A:A,match(IFNA(vlookup(B2708,'Special Names'!A:B,2,FALSE),B2708),PlayerValues!E:E,0)),"N/A")</f>
        <v>16166</v>
      </c>
      <c r="B2708" s="4" t="s">
        <v>567</v>
      </c>
      <c r="C2708" s="4" t="s">
        <v>278</v>
      </c>
      <c r="D2708" s="94">
        <v>2537.0</v>
      </c>
    </row>
    <row r="2709">
      <c r="A2709" s="40">
        <f t="array" ref="A2709">IFNA(index(PlayerValues!A:A,match(IFNA(vlookup(B2709,'Special Names'!A:B,2,FALSE),B2709),PlayerValues!E:E,0)),"N/A")</f>
        <v>14136</v>
      </c>
      <c r="B2709" s="4" t="s">
        <v>536</v>
      </c>
      <c r="C2709" s="4" t="s">
        <v>287</v>
      </c>
      <c r="D2709" s="94">
        <v>2532.0</v>
      </c>
    </row>
    <row r="2710">
      <c r="A2710" s="40">
        <f t="array" ref="A2710">IFNA(index(PlayerValues!A:A,match(IFNA(vlookup(B2710,'Special Names'!A:B,2,FALSE),B2710),PlayerValues!E:E,0)),"N/A")</f>
        <v>13671</v>
      </c>
      <c r="B2710" s="4" t="s">
        <v>506</v>
      </c>
      <c r="C2710" s="4" t="s">
        <v>298</v>
      </c>
      <c r="D2710" s="94">
        <v>2939.0</v>
      </c>
    </row>
    <row r="2711">
      <c r="A2711" s="40">
        <f t="array" ref="A2711">IFNA(index(PlayerValues!A:A,match(IFNA(vlookup(B2711,'Special Names'!A:B,2,FALSE),B2711),PlayerValues!E:E,0)),"N/A")</f>
        <v>17078</v>
      </c>
      <c r="B2711" s="4" t="s">
        <v>543</v>
      </c>
      <c r="C2711" s="4" t="s">
        <v>287</v>
      </c>
      <c r="D2711" s="94">
        <v>2489.0</v>
      </c>
    </row>
    <row r="2712">
      <c r="A2712" s="40">
        <f t="array" ref="A2712">IFNA(index(PlayerValues!A:A,match(IFNA(vlookup(B2712,'Special Names'!A:B,2,FALSE),B2712),PlayerValues!E:E,0)),"N/A")</f>
        <v>15972</v>
      </c>
      <c r="B2712" s="4" t="s">
        <v>469</v>
      </c>
      <c r="C2712" s="4" t="s">
        <v>278</v>
      </c>
      <c r="D2712" s="94">
        <v>2485.0</v>
      </c>
    </row>
    <row r="2713">
      <c r="A2713" s="40">
        <f t="array" ref="A2713">IFNA(index(PlayerValues!A:A,match(IFNA(vlookup(B2713,'Special Names'!A:B,2,FALSE),B2713),PlayerValues!E:E,0)),"N/A")</f>
        <v>17509</v>
      </c>
      <c r="B2713" s="4" t="s">
        <v>551</v>
      </c>
      <c r="C2713" s="4" t="s">
        <v>287</v>
      </c>
      <c r="D2713" s="94">
        <v>2482.0</v>
      </c>
    </row>
    <row r="2714">
      <c r="A2714" s="40">
        <f t="array" ref="A2714">IFNA(index(PlayerValues!A:A,match(IFNA(vlookup(B2714,'Special Names'!A:B,2,FALSE),B2714),PlayerValues!E:E,0)),"N/A")</f>
        <v>17474</v>
      </c>
      <c r="B2714" s="4" t="s">
        <v>513</v>
      </c>
      <c r="C2714" s="4" t="s">
        <v>278</v>
      </c>
      <c r="D2714" s="94">
        <v>2474.0</v>
      </c>
    </row>
    <row r="2715">
      <c r="A2715" s="40">
        <f t="array" ref="A2715">IFNA(index(PlayerValues!A:A,match(IFNA(vlookup(B2715,'Special Names'!A:B,2,FALSE),B2715),PlayerValues!E:E,0)),"N/A")</f>
        <v>16164</v>
      </c>
      <c r="B2715" s="4" t="s">
        <v>512</v>
      </c>
      <c r="C2715" s="4" t="s">
        <v>278</v>
      </c>
      <c r="D2715" s="94">
        <v>2474.0</v>
      </c>
    </row>
    <row r="2716">
      <c r="A2716" s="40">
        <f t="array" ref="A2716">IFNA(index(PlayerValues!A:A,match(IFNA(vlookup(B2716,'Special Names'!A:B,2,FALSE),B2716),PlayerValues!E:E,0)),"N/A")</f>
        <v>16617</v>
      </c>
      <c r="B2716" s="4" t="s">
        <v>541</v>
      </c>
      <c r="C2716" s="4" t="s">
        <v>287</v>
      </c>
      <c r="D2716" s="94">
        <v>2470.0</v>
      </c>
    </row>
    <row r="2717">
      <c r="A2717" s="40">
        <f t="array" ref="A2717">IFNA(index(PlayerValues!A:A,match(IFNA(vlookup(B2717,'Special Names'!A:B,2,FALSE),B2717),PlayerValues!E:E,0)),"N/A")</f>
        <v>16189</v>
      </c>
      <c r="B2717" s="4" t="s">
        <v>582</v>
      </c>
      <c r="C2717" s="4" t="s">
        <v>287</v>
      </c>
      <c r="D2717" s="94">
        <v>2468.0</v>
      </c>
    </row>
    <row r="2718">
      <c r="A2718" s="40" t="str">
        <f t="array" ref="A2718">IFNA(index(PlayerValues!A:A,match(IFNA(vlookup(B2718,'Special Names'!A:B,2,FALSE),B2718),PlayerValues!E:E,0)),"N/A")</f>
        <v>N/A</v>
      </c>
      <c r="B2718" s="4" t="s">
        <v>98</v>
      </c>
      <c r="C2718" s="4" t="s">
        <v>325</v>
      </c>
      <c r="D2718" s="94">
        <v>2453.0</v>
      </c>
    </row>
    <row r="2719">
      <c r="A2719" s="40">
        <f t="array" ref="A2719">IFNA(index(PlayerValues!A:A,match(IFNA(vlookup(B2719,'Special Names'!A:B,2,FALSE),B2719),PlayerValues!E:E,0)),"N/A")</f>
        <v>16152</v>
      </c>
      <c r="B2719" s="4" t="s">
        <v>601</v>
      </c>
      <c r="C2719" s="4" t="s">
        <v>283</v>
      </c>
      <c r="D2719" s="94">
        <v>2430.0</v>
      </c>
    </row>
    <row r="2720">
      <c r="A2720" s="40">
        <f t="array" ref="A2720">IFNA(index(PlayerValues!A:A,match(IFNA(vlookup(B2720,'Special Names'!A:B,2,FALSE),B2720),PlayerValues!E:E,0)),"N/A")</f>
        <v>12616</v>
      </c>
      <c r="B2720" s="4" t="s">
        <v>529</v>
      </c>
      <c r="C2720" s="4" t="s">
        <v>283</v>
      </c>
      <c r="D2720" s="94">
        <v>2427.0</v>
      </c>
    </row>
    <row r="2721">
      <c r="A2721" s="40">
        <f t="array" ref="A2721">IFNA(index(PlayerValues!A:A,match(IFNA(vlookup(B2721,'Special Names'!A:B,2,FALSE),B2721),PlayerValues!E:E,0)),"N/A")</f>
        <v>16204</v>
      </c>
      <c r="B2721" s="4" t="s">
        <v>530</v>
      </c>
      <c r="C2721" s="4" t="s">
        <v>287</v>
      </c>
      <c r="D2721" s="94">
        <v>2411.0</v>
      </c>
    </row>
    <row r="2722">
      <c r="A2722" s="40">
        <f t="array" ref="A2722">IFNA(index(PlayerValues!A:A,match(IFNA(vlookup(B2722,'Special Names'!A:B,2,FALSE),B2722),PlayerValues!E:E,0)),"N/A")</f>
        <v>17506</v>
      </c>
      <c r="B2722" s="4" t="s">
        <v>471</v>
      </c>
      <c r="C2722" s="4" t="s">
        <v>287</v>
      </c>
      <c r="D2722" s="94">
        <v>2398.0</v>
      </c>
    </row>
    <row r="2723">
      <c r="A2723" s="40">
        <f t="array" ref="A2723">IFNA(index(PlayerValues!A:A,match(IFNA(vlookup(B2723,'Special Names'!A:B,2,FALSE),B2723),PlayerValues!E:E,0)),"N/A")</f>
        <v>12676</v>
      </c>
      <c r="B2723" s="4" t="s">
        <v>537</v>
      </c>
      <c r="C2723" s="4" t="s">
        <v>298</v>
      </c>
      <c r="D2723" s="94">
        <v>2792.0</v>
      </c>
    </row>
    <row r="2724">
      <c r="A2724" s="40">
        <f t="array" ref="A2724">IFNA(index(PlayerValues!A:A,match(IFNA(vlookup(B2724,'Special Names'!A:B,2,FALSE),B2724),PlayerValues!E:E,0)),"N/A")</f>
        <v>17033</v>
      </c>
      <c r="B2724" s="4" t="s">
        <v>570</v>
      </c>
      <c r="C2724" s="4" t="s">
        <v>283</v>
      </c>
      <c r="D2724" s="94">
        <v>2383.0</v>
      </c>
    </row>
    <row r="2725">
      <c r="A2725" s="40" t="str">
        <f t="array" ref="A2725">IFNA(index(PlayerValues!A:A,match(IFNA(vlookup(B2725,'Special Names'!A:B,2,FALSE),B2725),PlayerValues!E:E,0)),"N/A")</f>
        <v>N/A</v>
      </c>
      <c r="B2725" s="4" t="s">
        <v>86</v>
      </c>
      <c r="C2725" s="4" t="s">
        <v>325</v>
      </c>
      <c r="D2725" s="94">
        <v>2364.0</v>
      </c>
    </row>
    <row r="2726">
      <c r="A2726" s="40">
        <f t="array" ref="A2726">IFNA(index(PlayerValues!A:A,match(IFNA(vlookup(B2726,'Special Names'!A:B,2,FALSE),B2726),PlayerValues!E:E,0)),"N/A")</f>
        <v>16610</v>
      </c>
      <c r="B2726" s="4" t="s">
        <v>562</v>
      </c>
      <c r="C2726" s="4" t="s">
        <v>278</v>
      </c>
      <c r="D2726" s="94">
        <v>2358.0</v>
      </c>
    </row>
    <row r="2727">
      <c r="A2727" s="40">
        <f t="array" ref="A2727">IFNA(index(PlayerValues!A:A,match(IFNA(vlookup(B2727,'Special Names'!A:B,2,FALSE),B2727),PlayerValues!E:E,0)),"N/A")</f>
        <v>15716</v>
      </c>
      <c r="B2727" s="4" t="s">
        <v>545</v>
      </c>
      <c r="C2727" s="4" t="s">
        <v>278</v>
      </c>
      <c r="D2727" s="94">
        <v>2355.0</v>
      </c>
    </row>
    <row r="2728">
      <c r="A2728" s="40">
        <f t="array" ref="A2728">IFNA(index(PlayerValues!A:A,match(IFNA(vlookup(B2728,'Special Names'!A:B,2,FALSE),B2728),PlayerValues!E:E,0)),"N/A")</f>
        <v>14861</v>
      </c>
      <c r="B2728" s="4" t="s">
        <v>523</v>
      </c>
      <c r="C2728" s="4" t="s">
        <v>298</v>
      </c>
      <c r="D2728" s="94">
        <v>2746.0</v>
      </c>
    </row>
    <row r="2729">
      <c r="A2729" s="40">
        <f t="array" ref="A2729">IFNA(index(PlayerValues!A:A,match(IFNA(vlookup(B2729,'Special Names'!A:B,2,FALSE),B2729),PlayerValues!E:E,0)),"N/A")</f>
        <v>13132</v>
      </c>
      <c r="B2729" s="4" t="s">
        <v>598</v>
      </c>
      <c r="C2729" s="4" t="s">
        <v>278</v>
      </c>
      <c r="D2729" s="94">
        <v>2346.0</v>
      </c>
    </row>
    <row r="2730">
      <c r="A2730" s="40">
        <f t="array" ref="A2730">IFNA(index(PlayerValues!A:A,match(IFNA(vlookup(B2730,'Special Names'!A:B,2,FALSE),B2730),PlayerValues!E:E,0)),"N/A")</f>
        <v>13772</v>
      </c>
      <c r="B2730" s="4" t="s">
        <v>544</v>
      </c>
      <c r="C2730" s="4" t="s">
        <v>298</v>
      </c>
      <c r="D2730" s="94">
        <v>2742.0</v>
      </c>
    </row>
    <row r="2731">
      <c r="A2731" s="40">
        <f t="array" ref="A2731">IFNA(index(PlayerValues!A:A,match(IFNA(vlookup(B2731,'Special Names'!A:B,2,FALSE),B2731),PlayerValues!E:E,0)),"N/A")</f>
        <v>16178</v>
      </c>
      <c r="B2731" s="4" t="s">
        <v>507</v>
      </c>
      <c r="C2731" s="4" t="s">
        <v>278</v>
      </c>
      <c r="D2731" s="94">
        <v>2339.0</v>
      </c>
    </row>
    <row r="2732">
      <c r="A2732" s="40">
        <f t="array" ref="A2732">IFNA(index(PlayerValues!A:A,match(IFNA(vlookup(B2732,'Special Names'!A:B,2,FALSE),B2732),PlayerValues!E:E,0)),"N/A")</f>
        <v>17079</v>
      </c>
      <c r="B2732" s="4" t="s">
        <v>572</v>
      </c>
      <c r="C2732" s="4" t="s">
        <v>287</v>
      </c>
      <c r="D2732" s="94">
        <v>2334.0</v>
      </c>
    </row>
    <row r="2733">
      <c r="A2733" s="40">
        <f t="array" ref="A2733">IFNA(index(PlayerValues!A:A,match(IFNA(vlookup(B2733,'Special Names'!A:B,2,FALSE),B2733),PlayerValues!E:E,0)),"N/A")</f>
        <v>17105</v>
      </c>
      <c r="B2733" s="4" t="s">
        <v>525</v>
      </c>
      <c r="C2733" s="4" t="s">
        <v>298</v>
      </c>
      <c r="D2733" s="94">
        <v>2733.0</v>
      </c>
    </row>
    <row r="2734">
      <c r="A2734" s="40" t="str">
        <f t="array" ref="A2734">IFNA(index(PlayerValues!A:A,match(IFNA(vlookup(B2734,'Special Names'!A:B,2,FALSE),B2734),PlayerValues!E:E,0)),"N/A")</f>
        <v>N/A</v>
      </c>
      <c r="B2734" s="4" t="s">
        <v>99</v>
      </c>
      <c r="C2734" s="4" t="s">
        <v>325</v>
      </c>
      <c r="D2734" s="94">
        <v>2325.0</v>
      </c>
    </row>
    <row r="2735">
      <c r="A2735" s="40">
        <f t="array" ref="A2735">IFNA(index(PlayerValues!A:A,match(IFNA(vlookup(B2735,'Special Names'!A:B,2,FALSE),B2735),PlayerValues!E:E,0)),"N/A")</f>
        <v>15802</v>
      </c>
      <c r="B2735" s="4" t="s">
        <v>566</v>
      </c>
      <c r="C2735" s="4" t="s">
        <v>298</v>
      </c>
      <c r="D2735" s="94">
        <v>2722.0</v>
      </c>
    </row>
    <row r="2736">
      <c r="A2736" s="40">
        <f t="array" ref="A2736">IFNA(index(PlayerValues!A:A,match(IFNA(vlookup(B2736,'Special Names'!A:B,2,FALSE),B2736),PlayerValues!E:E,0)),"N/A")</f>
        <v>17049</v>
      </c>
      <c r="B2736" s="4" t="s">
        <v>624</v>
      </c>
      <c r="C2736" s="4" t="s">
        <v>278</v>
      </c>
      <c r="D2736" s="94">
        <v>2307.0</v>
      </c>
    </row>
    <row r="2737">
      <c r="A2737" s="40">
        <f t="array" ref="A2737">IFNA(index(PlayerValues!A:A,match(IFNA(vlookup(B2737,'Special Names'!A:B,2,FALSE),B2737),PlayerValues!E:E,0)),"N/A")</f>
        <v>12801</v>
      </c>
      <c r="B2737" s="4" t="s">
        <v>722</v>
      </c>
      <c r="C2737" s="4" t="s">
        <v>287</v>
      </c>
      <c r="D2737" s="94">
        <v>2303.0</v>
      </c>
    </row>
    <row r="2738">
      <c r="A2738" s="40">
        <f t="array" ref="A2738">IFNA(index(PlayerValues!A:A,match(IFNA(vlookup(B2738,'Special Names'!A:B,2,FALSE),B2738),PlayerValues!E:E,0)),"N/A")</f>
        <v>16212</v>
      </c>
      <c r="B2738" s="4" t="s">
        <v>568</v>
      </c>
      <c r="C2738" s="4" t="s">
        <v>298</v>
      </c>
      <c r="D2738" s="94">
        <v>2686.0</v>
      </c>
    </row>
    <row r="2739">
      <c r="A2739" s="40">
        <f t="array" ref="A2739">IFNA(index(PlayerValues!A:A,match(IFNA(vlookup(B2739,'Special Names'!A:B,2,FALSE),B2739),PlayerValues!E:E,0)),"N/A")</f>
        <v>16171</v>
      </c>
      <c r="B2739" s="4" t="s">
        <v>618</v>
      </c>
      <c r="C2739" s="4" t="s">
        <v>278</v>
      </c>
      <c r="D2739" s="94">
        <v>2282.0</v>
      </c>
    </row>
    <row r="2740">
      <c r="A2740" s="40">
        <f t="array" ref="A2740">IFNA(index(PlayerValues!A:A,match(IFNA(vlookup(B2740,'Special Names'!A:B,2,FALSE),B2740),PlayerValues!E:E,0)),"N/A")</f>
        <v>17076</v>
      </c>
      <c r="B2740" s="4" t="s">
        <v>585</v>
      </c>
      <c r="C2740" s="4" t="s">
        <v>287</v>
      </c>
      <c r="D2740" s="94">
        <v>2250.0</v>
      </c>
    </row>
    <row r="2741">
      <c r="A2741" s="40">
        <f t="array" ref="A2741">IFNA(index(PlayerValues!A:A,match(IFNA(vlookup(B2741,'Special Names'!A:B,2,FALSE),B2741),PlayerValues!E:E,0)),"N/A")</f>
        <v>16195</v>
      </c>
      <c r="B2741" s="4" t="s">
        <v>509</v>
      </c>
      <c r="C2741" s="4" t="s">
        <v>287</v>
      </c>
      <c r="D2741" s="94">
        <v>2232.0</v>
      </c>
    </row>
    <row r="2742">
      <c r="A2742" s="40">
        <f t="array" ref="A2742">IFNA(index(PlayerValues!A:A,match(IFNA(vlookup(B2742,'Special Names'!A:B,2,FALSE),B2742),PlayerValues!E:E,0)),"N/A")</f>
        <v>16342</v>
      </c>
      <c r="B2742" s="4" t="s">
        <v>583</v>
      </c>
      <c r="C2742" s="4" t="s">
        <v>287</v>
      </c>
      <c r="D2742" s="94">
        <v>2225.0</v>
      </c>
    </row>
    <row r="2743">
      <c r="A2743" s="40">
        <f t="array" ref="A2743">IFNA(index(PlayerValues!A:A,match(IFNA(vlookup(B2743,'Special Names'!A:B,2,FALSE),B2743),PlayerValues!E:E,0)),"N/A")</f>
        <v>17478</v>
      </c>
      <c r="B2743" s="4" t="s">
        <v>527</v>
      </c>
      <c r="C2743" s="4" t="s">
        <v>278</v>
      </c>
      <c r="D2743" s="94">
        <v>2215.0</v>
      </c>
    </row>
    <row r="2744">
      <c r="A2744" s="40">
        <f t="array" ref="A2744">IFNA(index(PlayerValues!A:A,match(IFNA(vlookup(B2744,'Special Names'!A:B,2,FALSE),B2744),PlayerValues!E:E,0)),"N/A")</f>
        <v>17544</v>
      </c>
      <c r="B2744" s="4" t="s">
        <v>470</v>
      </c>
      <c r="C2744" s="4" t="s">
        <v>298</v>
      </c>
      <c r="D2744" s="94">
        <v>2605.0</v>
      </c>
    </row>
    <row r="2745">
      <c r="A2745" s="40">
        <f t="array" ref="A2745">IFNA(index(PlayerValues!A:A,match(IFNA(vlookup(B2745,'Special Names'!A:B,2,FALSE),B2745),PlayerValues!E:E,0)),"N/A")</f>
        <v>16639</v>
      </c>
      <c r="B2745" s="4" t="s">
        <v>599</v>
      </c>
      <c r="C2745" s="4" t="s">
        <v>287</v>
      </c>
      <c r="D2745" s="94">
        <v>2207.0</v>
      </c>
    </row>
    <row r="2746">
      <c r="A2746" s="40">
        <f t="array" ref="A2746">IFNA(index(PlayerValues!A:A,match(IFNA(vlookup(B2746,'Special Names'!A:B,2,FALSE),B2746),PlayerValues!E:E,0)),"N/A")</f>
        <v>17034</v>
      </c>
      <c r="B2746" s="4" t="s">
        <v>643</v>
      </c>
      <c r="C2746" s="4" t="s">
        <v>283</v>
      </c>
      <c r="D2746" s="94">
        <v>2197.0</v>
      </c>
    </row>
    <row r="2747">
      <c r="A2747" s="40" t="str">
        <f t="array" ref="A2747">IFNA(index(PlayerValues!A:A,match(IFNA(vlookup(B2747,'Special Names'!A:B,2,FALSE),B2747),PlayerValues!E:E,0)),"N/A")</f>
        <v>N/A</v>
      </c>
      <c r="B2747" s="4" t="s">
        <v>100</v>
      </c>
      <c r="C2747" s="4" t="s">
        <v>325</v>
      </c>
      <c r="D2747" s="94">
        <v>2192.0</v>
      </c>
    </row>
    <row r="2748">
      <c r="A2748" s="40">
        <f t="array" ref="A2748">IFNA(index(PlayerValues!A:A,match(IFNA(vlookup(B2748,'Special Names'!A:B,2,FALSE),B2748),PlayerValues!E:E,0)),"N/A")</f>
        <v>13319</v>
      </c>
      <c r="B2748" s="4" t="s">
        <v>549</v>
      </c>
      <c r="C2748" s="4" t="s">
        <v>278</v>
      </c>
      <c r="D2748" s="94">
        <v>2190.0</v>
      </c>
    </row>
    <row r="2749">
      <c r="A2749" s="40" t="str">
        <f t="array" ref="A2749">IFNA(index(PlayerValues!A:A,match(IFNA(vlookup(B2749,'Special Names'!A:B,2,FALSE),B2749),PlayerValues!E:E,0)),"N/A")</f>
        <v>N/A</v>
      </c>
      <c r="B2749" s="4" t="s">
        <v>87</v>
      </c>
      <c r="C2749" s="4" t="s">
        <v>325</v>
      </c>
      <c r="D2749" s="94">
        <v>2189.0</v>
      </c>
    </row>
    <row r="2750">
      <c r="A2750" s="40">
        <f t="array" ref="A2750">IFNA(index(PlayerValues!A:A,match(IFNA(vlookup(B2750,'Special Names'!A:B,2,FALSE),B2750),PlayerValues!E:E,0)),"N/A")</f>
        <v>16036</v>
      </c>
      <c r="B2750" s="4" t="s">
        <v>592</v>
      </c>
      <c r="C2750" s="4" t="s">
        <v>298</v>
      </c>
      <c r="D2750" s="94">
        <v>2573.0</v>
      </c>
    </row>
    <row r="2751">
      <c r="A2751" s="40">
        <f t="array" ref="A2751">IFNA(index(PlayerValues!A:A,match(IFNA(vlookup(B2751,'Special Names'!A:B,2,FALSE),B2751),PlayerValues!E:E,0)),"N/A")</f>
        <v>17069</v>
      </c>
      <c r="B2751" s="4" t="s">
        <v>604</v>
      </c>
      <c r="C2751" s="4" t="s">
        <v>278</v>
      </c>
      <c r="D2751" s="94">
        <v>2176.0</v>
      </c>
    </row>
    <row r="2752">
      <c r="A2752" s="40">
        <f t="array" ref="A2752">IFNA(index(PlayerValues!A:A,match(IFNA(vlookup(B2752,'Special Names'!A:B,2,FALSE),B2752),PlayerValues!E:E,0)),"N/A")</f>
        <v>15889</v>
      </c>
      <c r="B2752" s="4" t="s">
        <v>503</v>
      </c>
      <c r="C2752" s="4" t="s">
        <v>298</v>
      </c>
      <c r="D2752" s="94">
        <v>2566.0</v>
      </c>
    </row>
    <row r="2753">
      <c r="A2753" s="40">
        <f t="array" ref="A2753">IFNA(index(PlayerValues!A:A,match(IFNA(vlookup(B2753,'Special Names'!A:B,2,FALSE),B2753),PlayerValues!E:E,0)),"N/A")</f>
        <v>16684</v>
      </c>
      <c r="B2753" s="4" t="s">
        <v>500</v>
      </c>
      <c r="C2753" s="4" t="s">
        <v>287</v>
      </c>
      <c r="D2753" s="94">
        <v>2173.0</v>
      </c>
    </row>
    <row r="2754">
      <c r="A2754" s="40">
        <f t="array" ref="A2754">IFNA(index(PlayerValues!A:A,match(IFNA(vlookup(B2754,'Special Names'!A:B,2,FALSE),B2754),PlayerValues!E:E,0)),"N/A")</f>
        <v>17503</v>
      </c>
      <c r="B2754" s="4" t="s">
        <v>480</v>
      </c>
      <c r="C2754" s="4" t="s">
        <v>287</v>
      </c>
      <c r="D2754" s="94">
        <v>2157.0</v>
      </c>
    </row>
    <row r="2755">
      <c r="A2755" s="40">
        <f t="array" ref="A2755">IFNA(index(PlayerValues!A:A,match(IFNA(vlookup(B2755,'Special Names'!A:B,2,FALSE),B2755),PlayerValues!E:E,0)),"N/A")</f>
        <v>15749</v>
      </c>
      <c r="B2755" s="4" t="s">
        <v>574</v>
      </c>
      <c r="C2755" s="4" t="s">
        <v>278</v>
      </c>
      <c r="D2755" s="94">
        <v>2137.0</v>
      </c>
    </row>
    <row r="2756">
      <c r="A2756" s="40">
        <f t="array" ref="A2756">IFNA(index(PlayerValues!A:A,match(IFNA(vlookup(B2756,'Special Names'!A:B,2,FALSE),B2756),PlayerValues!E:E,0)),"N/A")</f>
        <v>16752</v>
      </c>
      <c r="B2756" s="4" t="s">
        <v>597</v>
      </c>
      <c r="C2756" s="4" t="s">
        <v>278</v>
      </c>
      <c r="D2756" s="94">
        <v>2128.0</v>
      </c>
    </row>
    <row r="2757">
      <c r="A2757" s="40">
        <f t="array" ref="A2757">IFNA(index(PlayerValues!A:A,match(IFNA(vlookup(B2757,'Special Names'!A:B,2,FALSE),B2757),PlayerValues!E:E,0)),"N/A")</f>
        <v>14871</v>
      </c>
      <c r="B2757" s="4" t="s">
        <v>584</v>
      </c>
      <c r="C2757" s="4" t="s">
        <v>298</v>
      </c>
      <c r="D2757" s="94">
        <v>2513.0</v>
      </c>
    </row>
    <row r="2758">
      <c r="A2758" s="40" t="str">
        <f t="array" ref="A2758">IFNA(index(PlayerValues!A:A,match(IFNA(vlookup(B2758,'Special Names'!A:B,2,FALSE),B2758),PlayerValues!E:E,0)),"N/A")</f>
        <v>N/A</v>
      </c>
      <c r="B2758" s="4" t="s">
        <v>112</v>
      </c>
      <c r="C2758" s="4" t="s">
        <v>325</v>
      </c>
      <c r="D2758" s="94">
        <v>2121.0</v>
      </c>
    </row>
    <row r="2759">
      <c r="A2759" s="40">
        <f t="array" ref="A2759">IFNA(index(PlayerValues!A:A,match(IFNA(vlookup(B2759,'Special Names'!A:B,2,FALSE),B2759),PlayerValues!E:E,0)),"N/A")</f>
        <v>16191</v>
      </c>
      <c r="B2759" s="4" t="s">
        <v>666</v>
      </c>
      <c r="C2759" s="4" t="s">
        <v>287</v>
      </c>
      <c r="D2759" s="94">
        <v>2111.0</v>
      </c>
    </row>
    <row r="2760">
      <c r="A2760" s="40">
        <f t="array" ref="A2760">IFNA(index(PlayerValues!A:A,match(IFNA(vlookup(B2760,'Special Names'!A:B,2,FALSE),B2760),PlayerValues!E:E,0)),"N/A")</f>
        <v>17087</v>
      </c>
      <c r="B2760" s="4" t="s">
        <v>600</v>
      </c>
      <c r="C2760" s="4" t="s">
        <v>287</v>
      </c>
      <c r="D2760" s="94">
        <v>2110.0</v>
      </c>
    </row>
    <row r="2761">
      <c r="A2761" s="40">
        <f t="array" ref="A2761">IFNA(index(PlayerValues!A:A,match(IFNA(vlookup(B2761,'Special Names'!A:B,2,FALSE),B2761),PlayerValues!E:E,0)),"N/A")</f>
        <v>16644</v>
      </c>
      <c r="B2761" s="4" t="s">
        <v>640</v>
      </c>
      <c r="C2761" s="4" t="s">
        <v>298</v>
      </c>
      <c r="D2761" s="94">
        <v>2500.0</v>
      </c>
    </row>
    <row r="2762">
      <c r="A2762" s="40">
        <f t="array" ref="A2762">IFNA(index(PlayerValues!A:A,match(IFNA(vlookup(B2762,'Special Names'!A:B,2,FALSE),B2762),PlayerValues!E:E,0)),"N/A")</f>
        <v>16432</v>
      </c>
      <c r="B2762" s="4" t="s">
        <v>620</v>
      </c>
      <c r="C2762" s="4" t="s">
        <v>278</v>
      </c>
      <c r="D2762" s="94">
        <v>2101.0</v>
      </c>
    </row>
    <row r="2763">
      <c r="A2763" s="40">
        <f t="array" ref="A2763">IFNA(index(PlayerValues!A:A,match(IFNA(vlookup(B2763,'Special Names'!A:B,2,FALSE),B2763),PlayerValues!E:E,0)),"N/A")</f>
        <v>14867</v>
      </c>
      <c r="B2763" s="4" t="s">
        <v>591</v>
      </c>
      <c r="C2763" s="4" t="s">
        <v>298</v>
      </c>
      <c r="D2763" s="94">
        <v>2480.0</v>
      </c>
    </row>
    <row r="2764">
      <c r="A2764" s="40" t="str">
        <f t="array" ref="A2764">IFNA(index(PlayerValues!A:A,match(IFNA(vlookup(B2764,'Special Names'!A:B,2,FALSE),B2764),PlayerValues!E:E,0)),"N/A")</f>
        <v>N/A</v>
      </c>
      <c r="B2764" s="4" t="s">
        <v>88</v>
      </c>
      <c r="C2764" s="4" t="s">
        <v>325</v>
      </c>
      <c r="D2764" s="94">
        <v>2085.0</v>
      </c>
    </row>
    <row r="2765">
      <c r="A2765" s="40">
        <f t="array" ref="A2765">IFNA(index(PlayerValues!A:A,match(IFNA(vlookup(B2765,'Special Names'!A:B,2,FALSE),B2765),PlayerValues!E:E,0)),"N/A")</f>
        <v>16643</v>
      </c>
      <c r="B2765" s="4" t="s">
        <v>609</v>
      </c>
      <c r="C2765" s="4" t="s">
        <v>298</v>
      </c>
      <c r="D2765" s="94">
        <v>2474.0</v>
      </c>
    </row>
    <row r="2766">
      <c r="A2766" s="40">
        <f t="array" ref="A2766">IFNA(index(PlayerValues!A:A,match(IFNA(vlookup(B2766,'Special Names'!A:B,2,FALSE),B2766),PlayerValues!E:E,0)),"N/A")</f>
        <v>16174</v>
      </c>
      <c r="B2766" s="4" t="s">
        <v>505</v>
      </c>
      <c r="C2766" s="4" t="s">
        <v>278</v>
      </c>
      <c r="D2766" s="94">
        <v>2081.0</v>
      </c>
    </row>
    <row r="2767">
      <c r="A2767" s="40">
        <f t="array" ref="A2767">IFNA(index(PlayerValues!A:A,match(IFNA(vlookup(B2767,'Special Names'!A:B,2,FALSE),B2767),PlayerValues!E:E,0)),"N/A")</f>
        <v>17482</v>
      </c>
      <c r="B2767" s="4" t="s">
        <v>460</v>
      </c>
      <c r="C2767" s="4" t="s">
        <v>278</v>
      </c>
      <c r="D2767" s="94">
        <v>2072.0</v>
      </c>
    </row>
    <row r="2768">
      <c r="A2768" s="40">
        <f t="array" ref="A2768">IFNA(index(PlayerValues!A:A,match(IFNA(vlookup(B2768,'Special Names'!A:B,2,FALSE),B2768),PlayerValues!E:E,0)),"N/A")</f>
        <v>15238</v>
      </c>
      <c r="B2768" s="4" t="s">
        <v>613</v>
      </c>
      <c r="C2768" s="4" t="s">
        <v>283</v>
      </c>
      <c r="D2768" s="94">
        <v>2058.0</v>
      </c>
    </row>
    <row r="2769">
      <c r="A2769" s="40">
        <f t="array" ref="A2769">IFNA(index(PlayerValues!A:A,match(IFNA(vlookup(B2769,'Special Names'!A:B,2,FALSE),B2769),PlayerValues!E:E,0)),"N/A")</f>
        <v>15331</v>
      </c>
      <c r="B2769" s="4" t="s">
        <v>560</v>
      </c>
      <c r="C2769" s="4" t="s">
        <v>298</v>
      </c>
      <c r="D2769" s="94">
        <v>2423.0</v>
      </c>
    </row>
    <row r="2770">
      <c r="A2770" s="40">
        <f t="array" ref="A2770">IFNA(index(PlayerValues!A:A,match(IFNA(vlookup(B2770,'Special Names'!A:B,2,FALSE),B2770),PlayerValues!E:E,0)),"N/A")</f>
        <v>17517</v>
      </c>
      <c r="B2770" s="4" t="s">
        <v>454</v>
      </c>
      <c r="C2770" s="4" t="s">
        <v>287</v>
      </c>
      <c r="D2770" s="94">
        <v>2029.0</v>
      </c>
    </row>
    <row r="2771">
      <c r="A2771" s="40">
        <f t="array" ref="A2771">IFNA(index(PlayerValues!A:A,match(IFNA(vlookup(B2771,'Special Names'!A:B,2,FALSE),B2771),PlayerValues!E:E,0)),"N/A")</f>
        <v>17056</v>
      </c>
      <c r="B2771" s="4" t="s">
        <v>581</v>
      </c>
      <c r="C2771" s="4" t="s">
        <v>278</v>
      </c>
      <c r="D2771" s="94">
        <v>2025.0</v>
      </c>
    </row>
    <row r="2772">
      <c r="A2772" s="40">
        <f t="array" ref="A2772">IFNA(index(PlayerValues!A:A,match(IFNA(vlookup(B2772,'Special Names'!A:B,2,FALSE),B2772),PlayerValues!E:E,0)),"N/A")</f>
        <v>17512</v>
      </c>
      <c r="B2772" s="4" t="s">
        <v>483</v>
      </c>
      <c r="C2772" s="4" t="s">
        <v>287</v>
      </c>
      <c r="D2772" s="94">
        <v>2023.0</v>
      </c>
    </row>
    <row r="2773">
      <c r="A2773" s="40">
        <f t="array" ref="A2773">IFNA(index(PlayerValues!A:A,match(IFNA(vlookup(B2773,'Special Names'!A:B,2,FALSE),B2773),PlayerValues!E:E,0)),"N/A")</f>
        <v>13146</v>
      </c>
      <c r="B2773" s="4" t="s">
        <v>652</v>
      </c>
      <c r="C2773" s="4" t="s">
        <v>278</v>
      </c>
      <c r="D2773" s="94">
        <v>2013.0</v>
      </c>
    </row>
    <row r="2774">
      <c r="A2774" s="40">
        <f t="array" ref="A2774">IFNA(index(PlayerValues!A:A,match(IFNA(vlookup(B2774,'Special Names'!A:B,2,FALSE),B2774),PlayerValues!E:E,0)),"N/A")</f>
        <v>17547</v>
      </c>
      <c r="B2774" s="4" t="s">
        <v>552</v>
      </c>
      <c r="C2774" s="4" t="s">
        <v>298</v>
      </c>
      <c r="D2774" s="94">
        <v>2394.0</v>
      </c>
    </row>
    <row r="2775">
      <c r="A2775" s="40" t="str">
        <f t="array" ref="A2775">IFNA(index(PlayerValues!A:A,match(IFNA(vlookup(B2775,'Special Names'!A:B,2,FALSE),B2775),PlayerValues!E:E,0)),"N/A")</f>
        <v>N/A</v>
      </c>
      <c r="B2775" s="4" t="s">
        <v>113</v>
      </c>
      <c r="C2775" s="4" t="s">
        <v>325</v>
      </c>
      <c r="D2775" s="94">
        <v>2001.0</v>
      </c>
    </row>
    <row r="2776">
      <c r="A2776" s="40">
        <f t="array" ref="A2776">IFNA(index(PlayerValues!A:A,match(IFNA(vlookup(B2776,'Special Names'!A:B,2,FALSE),B2776),PlayerValues!E:E,0)),"N/A")</f>
        <v>17060</v>
      </c>
      <c r="B2776" s="4" t="s">
        <v>603</v>
      </c>
      <c r="C2776" s="4" t="s">
        <v>278</v>
      </c>
      <c r="D2776" s="94">
        <v>2000.0</v>
      </c>
    </row>
    <row r="2777">
      <c r="A2777" s="40">
        <f t="array" ref="A2777">IFNA(index(PlayerValues!A:A,match(IFNA(vlookup(B2777,'Special Names'!A:B,2,FALSE),B2777),PlayerValues!E:E,0)),"N/A")</f>
        <v>16603</v>
      </c>
      <c r="B2777" s="4" t="s">
        <v>587</v>
      </c>
      <c r="C2777" s="4" t="s">
        <v>278</v>
      </c>
      <c r="D2777" s="94">
        <v>1985.0</v>
      </c>
    </row>
    <row r="2778">
      <c r="A2778" s="40">
        <f t="array" ref="A2778">IFNA(index(PlayerValues!A:A,match(IFNA(vlookup(B2778,'Special Names'!A:B,2,FALSE),B2778),PlayerValues!E:E,0)),"N/A")</f>
        <v>14974</v>
      </c>
      <c r="B2778" s="4" t="s">
        <v>611</v>
      </c>
      <c r="C2778" s="4" t="s">
        <v>287</v>
      </c>
      <c r="D2778" s="94">
        <v>1974.0</v>
      </c>
    </row>
    <row r="2779">
      <c r="A2779" s="40">
        <f t="array" ref="A2779">IFNA(index(PlayerValues!A:A,match(IFNA(vlookup(B2779,'Special Names'!A:B,2,FALSE),B2779),PlayerValues!E:E,0)),"N/A")</f>
        <v>17546</v>
      </c>
      <c r="B2779" s="4" t="s">
        <v>671</v>
      </c>
      <c r="C2779" s="4" t="s">
        <v>298</v>
      </c>
      <c r="D2779" s="94">
        <v>2358.0</v>
      </c>
    </row>
    <row r="2780">
      <c r="A2780" s="40">
        <f t="array" ref="A2780">IFNA(index(PlayerValues!A:A,match(IFNA(vlookup(B2780,'Special Names'!A:B,2,FALSE),B2780),PlayerValues!E:E,0)),"N/A")</f>
        <v>13633</v>
      </c>
      <c r="B2780" s="4" t="s">
        <v>625</v>
      </c>
      <c r="C2780" s="4" t="s">
        <v>287</v>
      </c>
      <c r="D2780" s="94">
        <v>1964.0</v>
      </c>
    </row>
    <row r="2781">
      <c r="A2781" s="40">
        <f t="array" ref="A2781">IFNA(index(PlayerValues!A:A,match(IFNA(vlookup(B2781,'Special Names'!A:B,2,FALSE),B2781),PlayerValues!E:E,0)),"N/A")</f>
        <v>17508</v>
      </c>
      <c r="B2781" s="4" t="s">
        <v>534</v>
      </c>
      <c r="C2781" s="4" t="s">
        <v>287</v>
      </c>
      <c r="D2781" s="94">
        <v>1961.0</v>
      </c>
    </row>
    <row r="2782">
      <c r="A2782" s="40">
        <f t="array" ref="A2782">IFNA(index(PlayerValues!A:A,match(IFNA(vlookup(B2782,'Special Names'!A:B,2,FALSE),B2782),PlayerValues!E:E,0)),"N/A")</f>
        <v>15293</v>
      </c>
      <c r="B2782" s="4" t="s">
        <v>578</v>
      </c>
      <c r="C2782" s="4" t="s">
        <v>287</v>
      </c>
      <c r="D2782" s="94">
        <v>1953.0</v>
      </c>
    </row>
    <row r="2783">
      <c r="A2783" s="40">
        <f t="array" ref="A2783">IFNA(index(PlayerValues!A:A,match(IFNA(vlookup(B2783,'Special Names'!A:B,2,FALSE),B2783),PlayerValues!E:E,0)),"N/A")</f>
        <v>17184</v>
      </c>
      <c r="B2783" s="4" t="s">
        <v>588</v>
      </c>
      <c r="C2783" s="4" t="s">
        <v>287</v>
      </c>
      <c r="D2783" s="94">
        <v>1938.0</v>
      </c>
    </row>
    <row r="2784">
      <c r="A2784" s="40">
        <f t="array" ref="A2784">IFNA(index(PlayerValues!A:A,match(IFNA(vlookup(B2784,'Special Names'!A:B,2,FALSE),B2784),PlayerValues!E:E,0)),"N/A")</f>
        <v>11244</v>
      </c>
      <c r="B2784" s="4" t="s">
        <v>519</v>
      </c>
      <c r="C2784" s="4" t="s">
        <v>298</v>
      </c>
      <c r="D2784" s="94">
        <v>2317.0</v>
      </c>
    </row>
    <row r="2785">
      <c r="A2785" s="40">
        <f t="array" ref="A2785">IFNA(index(PlayerValues!A:A,match(IFNA(vlookup(B2785,'Special Names'!A:B,2,FALSE),B2785),PlayerValues!E:E,0)),"N/A")</f>
        <v>16778</v>
      </c>
      <c r="B2785" s="4" t="s">
        <v>577</v>
      </c>
      <c r="C2785" s="4" t="s">
        <v>287</v>
      </c>
      <c r="D2785" s="94">
        <v>1904.0</v>
      </c>
    </row>
    <row r="2786">
      <c r="A2786" s="40">
        <f t="array" ref="A2786">IFNA(index(PlayerValues!A:A,match(IFNA(vlookup(B2786,'Special Names'!A:B,2,FALSE),B2786),PlayerValues!E:E,0)),"N/A")</f>
        <v>16216</v>
      </c>
      <c r="B2786" s="4" t="s">
        <v>595</v>
      </c>
      <c r="C2786" s="4" t="s">
        <v>298</v>
      </c>
      <c r="D2786" s="94">
        <v>2283.0</v>
      </c>
    </row>
    <row r="2787">
      <c r="A2787" s="40">
        <f t="array" ref="A2787">IFNA(index(PlayerValues!A:A,match(IFNA(vlookup(B2787,'Special Names'!A:B,2,FALSE),B2787),PlayerValues!E:E,0)),"N/A")</f>
        <v>17465</v>
      </c>
      <c r="B2787" s="4" t="s">
        <v>649</v>
      </c>
      <c r="C2787" s="4" t="s">
        <v>283</v>
      </c>
      <c r="D2787" s="94">
        <v>1895.0</v>
      </c>
    </row>
    <row r="2788">
      <c r="A2788" s="40" t="str">
        <f t="array" ref="A2788">IFNA(index(PlayerValues!A:A,match(IFNA(vlookup(B2788,'Special Names'!A:B,2,FALSE),B2788),PlayerValues!E:E,0)),"N/A")</f>
        <v>N/A</v>
      </c>
      <c r="B2788" s="4" t="s">
        <v>114</v>
      </c>
      <c r="C2788" s="4" t="s">
        <v>325</v>
      </c>
      <c r="D2788" s="94">
        <v>1894.0</v>
      </c>
    </row>
    <row r="2789">
      <c r="A2789" s="40">
        <f t="array" ref="A2789">IFNA(index(PlayerValues!A:A,match(IFNA(vlookup(B2789,'Special Names'!A:B,2,FALSE),B2789),PlayerValues!E:E,0)),"N/A")</f>
        <v>13189</v>
      </c>
      <c r="B2789" s="4" t="s">
        <v>626</v>
      </c>
      <c r="C2789" s="4" t="s">
        <v>298</v>
      </c>
      <c r="D2789" s="94">
        <v>2275.0</v>
      </c>
    </row>
    <row r="2790">
      <c r="A2790" s="40">
        <f t="array" ref="A2790">IFNA(index(PlayerValues!A:A,match(IFNA(vlookup(B2790,'Special Names'!A:B,2,FALSE),B2790),PlayerValues!E:E,0)),"N/A")</f>
        <v>15759</v>
      </c>
      <c r="B2790" s="4" t="s">
        <v>662</v>
      </c>
      <c r="C2790" s="4" t="s">
        <v>287</v>
      </c>
      <c r="D2790" s="94">
        <v>1878.0</v>
      </c>
    </row>
    <row r="2791">
      <c r="A2791" s="40">
        <f t="array" ref="A2791">IFNA(index(PlayerValues!A:A,match(IFNA(vlookup(B2791,'Special Names'!A:B,2,FALSE),B2791),PlayerValues!E:E,0)),"N/A")</f>
        <v>16215</v>
      </c>
      <c r="B2791" s="4" t="s">
        <v>637</v>
      </c>
      <c r="C2791" s="4" t="s">
        <v>298</v>
      </c>
      <c r="D2791" s="94">
        <v>2260.0</v>
      </c>
    </row>
    <row r="2792">
      <c r="A2792" s="40">
        <f t="array" ref="A2792">IFNA(index(PlayerValues!A:A,match(IFNA(vlookup(B2792,'Special Names'!A:B,2,FALSE),B2792),PlayerValues!E:E,0)),"N/A")</f>
        <v>17036</v>
      </c>
      <c r="B2792" s="4" t="s">
        <v>617</v>
      </c>
      <c r="C2792" s="4" t="s">
        <v>283</v>
      </c>
      <c r="D2792" s="94">
        <v>1872.0</v>
      </c>
    </row>
    <row r="2793">
      <c r="A2793" s="40">
        <f t="array" ref="A2793">IFNA(index(PlayerValues!A:A,match(IFNA(vlookup(B2793,'Special Names'!A:B,2,FALSE),B2793),PlayerValues!E:E,0)),"N/A")</f>
        <v>16201</v>
      </c>
      <c r="B2793" s="4" t="s">
        <v>589</v>
      </c>
      <c r="C2793" s="4" t="s">
        <v>287</v>
      </c>
      <c r="D2793" s="94">
        <v>1857.0</v>
      </c>
    </row>
    <row r="2794">
      <c r="A2794" s="40">
        <f t="array" ref="A2794">IFNA(index(PlayerValues!A:A,match(IFNA(vlookup(B2794,'Special Names'!A:B,2,FALSE),B2794),PlayerValues!E:E,0)),"N/A")</f>
        <v>15254</v>
      </c>
      <c r="B2794" s="4" t="s">
        <v>633</v>
      </c>
      <c r="C2794" s="4" t="s">
        <v>278</v>
      </c>
      <c r="D2794" s="94">
        <v>1848.0</v>
      </c>
    </row>
    <row r="2795">
      <c r="A2795" s="40">
        <f t="array" ref="A2795">IFNA(index(PlayerValues!A:A,match(IFNA(vlookup(B2795,'Special Names'!A:B,2,FALSE),B2795),PlayerValues!E:E,0)),"N/A")</f>
        <v>16635</v>
      </c>
      <c r="B2795" s="4" t="s">
        <v>645</v>
      </c>
      <c r="C2795" s="4" t="s">
        <v>287</v>
      </c>
      <c r="D2795" s="94">
        <v>1848.0</v>
      </c>
    </row>
    <row r="2796">
      <c r="A2796" s="40">
        <f t="array" ref="A2796">IFNA(index(PlayerValues!A:A,match(IFNA(vlookup(B2796,'Special Names'!A:B,2,FALSE),B2796),PlayerValues!E:E,0)),"N/A")</f>
        <v>17061</v>
      </c>
      <c r="B2796" s="4" t="s">
        <v>580</v>
      </c>
      <c r="C2796" s="4" t="s">
        <v>278</v>
      </c>
      <c r="D2796" s="94">
        <v>1845.0</v>
      </c>
    </row>
    <row r="2797">
      <c r="A2797" s="40">
        <f t="array" ref="A2797">IFNA(index(PlayerValues!A:A,match(IFNA(vlookup(B2797,'Special Names'!A:B,2,FALSE),B2797),PlayerValues!E:E,0)),"N/A")</f>
        <v>16595</v>
      </c>
      <c r="B2797" s="4" t="s">
        <v>664</v>
      </c>
      <c r="C2797" s="4" t="s">
        <v>278</v>
      </c>
      <c r="D2797" s="94">
        <v>1838.0</v>
      </c>
    </row>
    <row r="2798">
      <c r="A2798" s="40">
        <f t="array" ref="A2798">IFNA(index(PlayerValues!A:A,match(IFNA(vlookup(B2798,'Special Names'!A:B,2,FALSE),B2798),PlayerValues!E:E,0)),"N/A")</f>
        <v>17520</v>
      </c>
      <c r="B2798" s="4" t="s">
        <v>518</v>
      </c>
      <c r="C2798" s="4" t="s">
        <v>287</v>
      </c>
      <c r="D2798" s="94">
        <v>1830.0</v>
      </c>
    </row>
    <row r="2799">
      <c r="A2799" s="40">
        <f t="array" ref="A2799">IFNA(index(PlayerValues!A:A,match(IFNA(vlookup(B2799,'Special Names'!A:B,2,FALSE),B2799),PlayerValues!E:E,0)),"N/A")</f>
        <v>15337</v>
      </c>
      <c r="B2799" s="4" t="s">
        <v>655</v>
      </c>
      <c r="C2799" s="4" t="s">
        <v>298</v>
      </c>
      <c r="D2799" s="94">
        <v>2187.0</v>
      </c>
    </row>
    <row r="2800">
      <c r="A2800" s="40">
        <f t="array" ref="A2800">IFNA(index(PlayerValues!A:A,match(IFNA(vlookup(B2800,'Special Names'!A:B,2,FALSE),B2800),PlayerValues!E:E,0)),"N/A")</f>
        <v>17035</v>
      </c>
      <c r="B2800" s="4" t="s">
        <v>650</v>
      </c>
      <c r="C2800" s="4" t="s">
        <v>283</v>
      </c>
      <c r="D2800" s="94">
        <v>1804.0</v>
      </c>
    </row>
    <row r="2801">
      <c r="A2801" s="40" t="str">
        <f t="array" ref="A2801">IFNA(index(PlayerValues!A:A,match(IFNA(vlookup(B2801,'Special Names'!A:B,2,FALSE),B2801),PlayerValues!E:E,0)),"N/A")</f>
        <v>N/A</v>
      </c>
      <c r="B2801" s="4" t="s">
        <v>101</v>
      </c>
      <c r="C2801" s="4" t="s">
        <v>325</v>
      </c>
      <c r="D2801" s="94">
        <v>1801.0</v>
      </c>
    </row>
    <row r="2802">
      <c r="A2802" s="40">
        <f t="array" ref="A2802">IFNA(index(PlayerValues!A:A,match(IFNA(vlookup(B2802,'Special Names'!A:B,2,FALSE),B2802),PlayerValues!E:E,0)),"N/A")</f>
        <v>17481</v>
      </c>
      <c r="B2802" s="4" t="s">
        <v>540</v>
      </c>
      <c r="C2802" s="4" t="s">
        <v>278</v>
      </c>
      <c r="D2802" s="94">
        <v>1801.0</v>
      </c>
    </row>
    <row r="2803">
      <c r="A2803" s="40">
        <f t="array" ref="A2803">IFNA(index(PlayerValues!A:A,match(IFNA(vlookup(B2803,'Special Names'!A:B,2,FALSE),B2803),PlayerValues!E:E,0)),"N/A")</f>
        <v>17545</v>
      </c>
      <c r="B2803" s="4" t="s">
        <v>719</v>
      </c>
      <c r="C2803" s="4" t="s">
        <v>298</v>
      </c>
      <c r="D2803" s="94">
        <v>2179.0</v>
      </c>
    </row>
    <row r="2804">
      <c r="A2804" s="40">
        <f t="array" ref="A2804">IFNA(index(PlayerValues!A:A,match(IFNA(vlookup(B2804,'Special Names'!A:B,2,FALSE),B2804),PlayerValues!E:E,0)),"N/A")</f>
        <v>16788</v>
      </c>
      <c r="B2804" s="4" t="s">
        <v>621</v>
      </c>
      <c r="C2804" s="4" t="s">
        <v>287</v>
      </c>
      <c r="D2804" s="94">
        <v>1795.0</v>
      </c>
    </row>
    <row r="2805">
      <c r="A2805" s="40">
        <f t="array" ref="A2805">IFNA(index(PlayerValues!A:A,match(IFNA(vlookup(B2805,'Special Names'!A:B,2,FALSE),B2805),PlayerValues!E:E,0)),"N/A")</f>
        <v>15786</v>
      </c>
      <c r="B2805" s="4" t="s">
        <v>521</v>
      </c>
      <c r="C2805" s="4" t="s">
        <v>287</v>
      </c>
      <c r="D2805" s="94">
        <v>1790.0</v>
      </c>
    </row>
    <row r="2806">
      <c r="A2806" s="40" t="str">
        <f t="array" ref="A2806">IFNA(index(PlayerValues!A:A,match(IFNA(vlookup(B2806,'Special Names'!A:B,2,FALSE),B2806),PlayerValues!E:E,0)),"N/A")</f>
        <v>N/A</v>
      </c>
      <c r="B2806" s="4" t="s">
        <v>89</v>
      </c>
      <c r="C2806" s="4" t="s">
        <v>325</v>
      </c>
      <c r="D2806" s="94">
        <v>1770.0</v>
      </c>
    </row>
    <row r="2807">
      <c r="A2807" s="40">
        <f t="array" ref="A2807">IFNA(index(PlayerValues!A:A,match(IFNA(vlookup(B2807,'Special Names'!A:B,2,FALSE),B2807),PlayerValues!E:E,0)),"N/A")</f>
        <v>17086</v>
      </c>
      <c r="B2807" s="4" t="s">
        <v>612</v>
      </c>
      <c r="C2807" s="4" t="s">
        <v>287</v>
      </c>
      <c r="D2807" s="94">
        <v>1764.0</v>
      </c>
    </row>
    <row r="2808">
      <c r="A2808" s="40">
        <f t="array" ref="A2808">IFNA(index(PlayerValues!A:A,match(IFNA(vlookup(B2808,'Special Names'!A:B,2,FALSE),B2808),PlayerValues!E:E,0)),"N/A")</f>
        <v>16207</v>
      </c>
      <c r="B2808" s="4" t="s">
        <v>636</v>
      </c>
      <c r="C2808" s="4" t="s">
        <v>287</v>
      </c>
      <c r="D2808" s="94">
        <v>1757.0</v>
      </c>
    </row>
    <row r="2809">
      <c r="A2809" s="40">
        <f t="array" ref="A2809">IFNA(index(PlayerValues!A:A,match(IFNA(vlookup(B2809,'Special Names'!A:B,2,FALSE),B2809),PlayerValues!E:E,0)),"N/A")</f>
        <v>11222</v>
      </c>
      <c r="B2809" s="4" t="s">
        <v>622</v>
      </c>
      <c r="C2809" s="4" t="s">
        <v>287</v>
      </c>
      <c r="D2809" s="94">
        <v>1754.0</v>
      </c>
    </row>
    <row r="2810">
      <c r="A2810" s="40">
        <f t="array" ref="A2810">IFNA(index(PlayerValues!A:A,match(IFNA(vlookup(B2810,'Special Names'!A:B,2,FALSE),B2810),PlayerValues!E:E,0)),"N/A")</f>
        <v>16585</v>
      </c>
      <c r="B2810" s="4" t="s">
        <v>623</v>
      </c>
      <c r="C2810" s="4" t="s">
        <v>283</v>
      </c>
      <c r="D2810" s="94">
        <v>1747.0</v>
      </c>
    </row>
    <row r="2811">
      <c r="A2811" s="40">
        <f t="array" ref="A2811">IFNA(index(PlayerValues!A:A,match(IFNA(vlookup(B2811,'Special Names'!A:B,2,FALSE),B2811),PlayerValues!E:E,0)),"N/A")</f>
        <v>17055</v>
      </c>
      <c r="B2811" s="4" t="s">
        <v>565</v>
      </c>
      <c r="C2811" s="4" t="s">
        <v>278</v>
      </c>
      <c r="D2811" s="94">
        <v>1738.0</v>
      </c>
    </row>
    <row r="2812">
      <c r="A2812" s="40">
        <f t="array" ref="A2812">IFNA(index(PlayerValues!A:A,match(IFNA(vlookup(B2812,'Special Names'!A:B,2,FALSE),B2812),PlayerValues!E:E,0)),"N/A")</f>
        <v>14105</v>
      </c>
      <c r="B2812" s="4" t="s">
        <v>675</v>
      </c>
      <c r="C2812" s="4" t="s">
        <v>287</v>
      </c>
      <c r="D2812" s="94">
        <v>1734.0</v>
      </c>
    </row>
    <row r="2813">
      <c r="A2813" s="40">
        <f t="array" ref="A2813">IFNA(index(PlayerValues!A:A,match(IFNA(vlookup(B2813,'Special Names'!A:B,2,FALSE),B2813),PlayerValues!E:E,0)),"N/A")</f>
        <v>17528</v>
      </c>
      <c r="B2813" s="4" t="s">
        <v>579</v>
      </c>
      <c r="C2813" s="4" t="s">
        <v>287</v>
      </c>
      <c r="D2813" s="94">
        <v>1733.0</v>
      </c>
    </row>
    <row r="2814">
      <c r="A2814" s="40">
        <f t="array" ref="A2814">IFNA(index(PlayerValues!A:A,match(IFNA(vlookup(B2814,'Special Names'!A:B,2,FALSE),B2814),PlayerValues!E:E,0)),"N/A")</f>
        <v>16629</v>
      </c>
      <c r="B2814" s="4" t="s">
        <v>605</v>
      </c>
      <c r="C2814" s="4" t="s">
        <v>287</v>
      </c>
      <c r="D2814" s="94">
        <v>1730.0</v>
      </c>
    </row>
    <row r="2815">
      <c r="A2815" s="40">
        <f t="array" ref="A2815">IFNA(index(PlayerValues!A:A,match(IFNA(vlookup(B2815,'Special Names'!A:B,2,FALSE),B2815),PlayerValues!E:E,0)),"N/A")</f>
        <v>17058</v>
      </c>
      <c r="B2815" s="4" t="s">
        <v>641</v>
      </c>
      <c r="C2815" s="4" t="s">
        <v>278</v>
      </c>
      <c r="D2815" s="94">
        <v>1721.0</v>
      </c>
    </row>
    <row r="2816">
      <c r="A2816" s="40">
        <f t="array" ref="A2816">IFNA(index(PlayerValues!A:A,match(IFNA(vlookup(B2816,'Special Names'!A:B,2,FALSE),B2816),PlayerValues!E:E,0)),"N/A")</f>
        <v>7836</v>
      </c>
      <c r="B2816" s="4" t="s">
        <v>590</v>
      </c>
      <c r="C2816" s="4" t="s">
        <v>283</v>
      </c>
      <c r="D2816" s="94">
        <v>1714.0</v>
      </c>
    </row>
    <row r="2817">
      <c r="A2817" s="40">
        <f t="array" ref="A2817">IFNA(index(PlayerValues!A:A,match(IFNA(vlookup(B2817,'Special Names'!A:B,2,FALSE),B2817),PlayerValues!E:E,0)),"N/A")</f>
        <v>16586</v>
      </c>
      <c r="B2817" s="4" t="s">
        <v>658</v>
      </c>
      <c r="C2817" s="4" t="s">
        <v>283</v>
      </c>
      <c r="D2817" s="94">
        <v>1697.0</v>
      </c>
    </row>
    <row r="2818">
      <c r="A2818" s="40">
        <f t="array" ref="A2818">IFNA(index(PlayerValues!A:A,match(IFNA(vlookup(B2818,'Special Names'!A:B,2,FALSE),B2818),PlayerValues!E:E,0)),"N/A")</f>
        <v>16601</v>
      </c>
      <c r="B2818" s="4" t="s">
        <v>648</v>
      </c>
      <c r="C2818" s="4" t="s">
        <v>278</v>
      </c>
      <c r="D2818" s="94">
        <v>1687.0</v>
      </c>
    </row>
    <row r="2819">
      <c r="A2819" s="40">
        <f t="array" ref="A2819">IFNA(index(PlayerValues!A:A,match(IFNA(vlookup(B2819,'Special Names'!A:B,2,FALSE),B2819),PlayerValues!E:E,0)),"N/A")</f>
        <v>17064</v>
      </c>
      <c r="B2819" s="4" t="s">
        <v>631</v>
      </c>
      <c r="C2819" s="4" t="s">
        <v>278</v>
      </c>
      <c r="D2819" s="94">
        <v>1676.0</v>
      </c>
    </row>
    <row r="2820">
      <c r="A2820" s="40" t="str">
        <f t="array" ref="A2820">IFNA(index(PlayerValues!A:A,match(IFNA(vlookup(B2820,'Special Names'!A:B,2,FALSE),B2820),PlayerValues!E:E,0)),"N/A")</f>
        <v>N/A</v>
      </c>
      <c r="B2820" s="4" t="s">
        <v>102</v>
      </c>
      <c r="C2820" s="4" t="s">
        <v>325</v>
      </c>
      <c r="D2820" s="94">
        <v>1670.0</v>
      </c>
    </row>
    <row r="2821">
      <c r="A2821" s="40">
        <f t="array" ref="A2821">IFNA(index(PlayerValues!A:A,match(IFNA(vlookup(B2821,'Special Names'!A:B,2,FALSE),B2821),PlayerValues!E:E,0)),"N/A")</f>
        <v>10700</v>
      </c>
      <c r="B2821" s="4" t="s">
        <v>596</v>
      </c>
      <c r="C2821" s="4" t="s">
        <v>283</v>
      </c>
      <c r="D2821" s="94">
        <v>1669.0</v>
      </c>
    </row>
    <row r="2822">
      <c r="A2822" s="40">
        <f t="array" ref="A2822">IFNA(index(PlayerValues!A:A,match(IFNA(vlookup(B2822,'Special Names'!A:B,2,FALSE),B2822),PlayerValues!E:E,0)),"N/A")</f>
        <v>15777</v>
      </c>
      <c r="B2822" s="4" t="s">
        <v>694</v>
      </c>
      <c r="C2822" s="4" t="s">
        <v>287</v>
      </c>
      <c r="D2822" s="94">
        <v>1667.0</v>
      </c>
    </row>
    <row r="2823">
      <c r="A2823" s="40">
        <f t="array" ref="A2823">IFNA(index(PlayerValues!A:A,match(IFNA(vlookup(B2823,'Special Names'!A:B,2,FALSE),B2823),PlayerValues!E:E,0)),"N/A")</f>
        <v>15787</v>
      </c>
      <c r="B2823" s="4" t="s">
        <v>610</v>
      </c>
      <c r="C2823" s="4" t="s">
        <v>287</v>
      </c>
      <c r="D2823" s="94">
        <v>1665.0</v>
      </c>
    </row>
    <row r="2824">
      <c r="A2824" s="40">
        <f t="array" ref="A2824">IFNA(index(PlayerValues!A:A,match(IFNA(vlookup(B2824,'Special Names'!A:B,2,FALSE),B2824),PlayerValues!E:E,0)),"N/A")</f>
        <v>13629</v>
      </c>
      <c r="B2824" s="4" t="s">
        <v>619</v>
      </c>
      <c r="C2824" s="4" t="s">
        <v>287</v>
      </c>
      <c r="D2824" s="94">
        <v>1664.0</v>
      </c>
    </row>
    <row r="2825">
      <c r="A2825" s="40">
        <f t="array" ref="A2825">IFNA(index(PlayerValues!A:A,match(IFNA(vlookup(B2825,'Special Names'!A:B,2,FALSE),B2825),PlayerValues!E:E,0)),"N/A")</f>
        <v>15727</v>
      </c>
      <c r="B2825" s="4" t="s">
        <v>730</v>
      </c>
      <c r="C2825" s="4" t="s">
        <v>278</v>
      </c>
      <c r="D2825" s="94">
        <v>1663.0</v>
      </c>
    </row>
    <row r="2826">
      <c r="A2826" s="40">
        <f t="array" ref="A2826">IFNA(index(PlayerValues!A:A,match(IFNA(vlookup(B2826,'Special Names'!A:B,2,FALSE),B2826),PlayerValues!E:E,0)),"N/A")</f>
        <v>16604</v>
      </c>
      <c r="B2826" s="4" t="s">
        <v>476</v>
      </c>
      <c r="C2826" s="4" t="s">
        <v>278</v>
      </c>
      <c r="D2826" s="94">
        <v>1652.0</v>
      </c>
    </row>
    <row r="2827">
      <c r="A2827" s="40">
        <f t="array" ref="A2827">IFNA(index(PlayerValues!A:A,match(IFNA(vlookup(B2827,'Special Names'!A:B,2,FALSE),B2827),PlayerValues!E:E,0)),"N/A")</f>
        <v>17205</v>
      </c>
      <c r="B2827" s="4" t="s">
        <v>665</v>
      </c>
      <c r="C2827" s="4" t="s">
        <v>287</v>
      </c>
      <c r="D2827" s="94">
        <v>1640.0</v>
      </c>
    </row>
    <row r="2828">
      <c r="A2828" s="40" t="str">
        <f t="array" ref="A2828">IFNA(index(PlayerValues!A:A,match(IFNA(vlookup(B2828,'Special Names'!A:B,2,FALSE),B2828),PlayerValues!E:E,0)),"N/A")</f>
        <v>N/A</v>
      </c>
      <c r="B2828" s="4" t="s">
        <v>115</v>
      </c>
      <c r="C2828" s="4" t="s">
        <v>325</v>
      </c>
      <c r="D2828" s="94">
        <v>1640.0</v>
      </c>
    </row>
    <row r="2829">
      <c r="A2829" s="40">
        <f t="array" ref="A2829">IFNA(index(PlayerValues!A:A,match(IFNA(vlookup(B2829,'Special Names'!A:B,2,FALSE),B2829),PlayerValues!E:E,0)),"N/A")</f>
        <v>13131</v>
      </c>
      <c r="B2829" s="4" t="s">
        <v>815</v>
      </c>
      <c r="C2829" s="4" t="s">
        <v>278</v>
      </c>
      <c r="D2829" s="94">
        <v>1635.0</v>
      </c>
    </row>
    <row r="2830">
      <c r="A2830" s="40">
        <f t="array" ref="A2830">IFNA(index(PlayerValues!A:A,match(IFNA(vlookup(B2830,'Special Names'!A:B,2,FALSE),B2830),PlayerValues!E:E,0)),"N/A")</f>
        <v>13164</v>
      </c>
      <c r="B2830" s="4" t="s">
        <v>632</v>
      </c>
      <c r="C2830" s="4" t="s">
        <v>287</v>
      </c>
      <c r="D2830" s="94">
        <v>1629.0</v>
      </c>
    </row>
    <row r="2831">
      <c r="A2831" s="40">
        <f t="array" ref="A2831">IFNA(index(PlayerValues!A:A,match(IFNA(vlookup(B2831,'Special Names'!A:B,2,FALSE),B2831),PlayerValues!E:E,0)),"N/A")</f>
        <v>17234</v>
      </c>
      <c r="B2831" s="4" t="s">
        <v>653</v>
      </c>
      <c r="C2831" s="4" t="s">
        <v>287</v>
      </c>
      <c r="D2831" s="94">
        <v>1628.0</v>
      </c>
    </row>
    <row r="2832">
      <c r="A2832" s="40">
        <f t="array" ref="A2832">IFNA(index(PlayerValues!A:A,match(IFNA(vlookup(B2832,'Special Names'!A:B,2,FALSE),B2832),PlayerValues!E:E,0)),"N/A")</f>
        <v>14143</v>
      </c>
      <c r="B2832" s="4" t="s">
        <v>635</v>
      </c>
      <c r="C2832" s="4" t="s">
        <v>298</v>
      </c>
      <c r="D2832" s="94">
        <v>1995.0</v>
      </c>
    </row>
    <row r="2833">
      <c r="A2833" s="40" t="str">
        <f t="array" ref="A2833">IFNA(index(PlayerValues!A:A,match(IFNA(vlookup(B2833,'Special Names'!A:B,2,FALSE),B2833),PlayerValues!E:E,0)),"N/A")</f>
        <v>N/A</v>
      </c>
      <c r="B2833" s="4" t="s">
        <v>90</v>
      </c>
      <c r="C2833" s="4" t="s">
        <v>325</v>
      </c>
      <c r="D2833" s="94">
        <v>1616.0</v>
      </c>
    </row>
    <row r="2834">
      <c r="A2834" s="40">
        <f t="array" ref="A2834">IFNA(index(PlayerValues!A:A,match(IFNA(vlookup(B2834,'Special Names'!A:B,2,FALSE),B2834),PlayerValues!E:E,0)),"N/A")</f>
        <v>12141</v>
      </c>
      <c r="B2834" s="4" t="s">
        <v>744</v>
      </c>
      <c r="C2834" s="4" t="s">
        <v>283</v>
      </c>
      <c r="D2834" s="94">
        <v>1615.0</v>
      </c>
    </row>
    <row r="2835">
      <c r="A2835" s="40">
        <f t="array" ref="A2835">IFNA(index(PlayerValues!A:A,match(IFNA(vlookup(B2835,'Special Names'!A:B,2,FALSE),B2835),PlayerValues!E:E,0)),"N/A")</f>
        <v>16633</v>
      </c>
      <c r="B2835" s="4" t="s">
        <v>656</v>
      </c>
      <c r="C2835" s="4" t="s">
        <v>287</v>
      </c>
      <c r="D2835" s="94">
        <v>1603.0</v>
      </c>
    </row>
    <row r="2836">
      <c r="A2836" s="40">
        <f t="array" ref="A2836">IFNA(index(PlayerValues!A:A,match(IFNA(vlookup(B2836,'Special Names'!A:B,2,FALSE),B2836),PlayerValues!E:E,0)),"N/A")</f>
        <v>17037</v>
      </c>
      <c r="B2836" s="4" t="s">
        <v>727</v>
      </c>
      <c r="C2836" s="4" t="s">
        <v>283</v>
      </c>
      <c r="D2836" s="94">
        <v>1601.0</v>
      </c>
    </row>
    <row r="2837">
      <c r="A2837" s="40">
        <f t="array" ref="A2837">IFNA(index(PlayerValues!A:A,match(IFNA(vlookup(B2837,'Special Names'!A:B,2,FALSE),B2837),PlayerValues!E:E,0)),"N/A")</f>
        <v>17096</v>
      </c>
      <c r="B2837" s="4" t="s">
        <v>638</v>
      </c>
      <c r="C2837" s="4" t="s">
        <v>287</v>
      </c>
      <c r="D2837" s="94">
        <v>1590.0</v>
      </c>
    </row>
    <row r="2838">
      <c r="A2838" s="40">
        <f t="array" ref="A2838">IFNA(index(PlayerValues!A:A,match(IFNA(vlookup(B2838,'Special Names'!A:B,2,FALSE),B2838),PlayerValues!E:E,0)),"N/A")</f>
        <v>13193</v>
      </c>
      <c r="B2838" s="4" t="s">
        <v>773</v>
      </c>
      <c r="C2838" s="4" t="s">
        <v>298</v>
      </c>
      <c r="D2838" s="94">
        <v>1965.0</v>
      </c>
    </row>
    <row r="2839">
      <c r="A2839" s="40">
        <f t="array" ref="A2839">IFNA(index(PlayerValues!A:A,match(IFNA(vlookup(B2839,'Special Names'!A:B,2,FALSE),B2839),PlayerValues!E:E,0)),"N/A")</f>
        <v>14122</v>
      </c>
      <c r="B2839" s="4" t="s">
        <v>663</v>
      </c>
      <c r="C2839" s="4" t="s">
        <v>287</v>
      </c>
      <c r="D2839" s="94">
        <v>1579.0</v>
      </c>
    </row>
    <row r="2840">
      <c r="A2840" s="40">
        <f t="array" ref="A2840">IFNA(index(PlayerValues!A:A,match(IFNA(vlookup(B2840,'Special Names'!A:B,2,FALSE),B2840),PlayerValues!E:E,0)),"N/A")</f>
        <v>16390</v>
      </c>
      <c r="B2840" s="4" t="s">
        <v>689</v>
      </c>
      <c r="C2840" s="4" t="s">
        <v>278</v>
      </c>
      <c r="D2840" s="94">
        <v>1567.0</v>
      </c>
    </row>
    <row r="2841">
      <c r="A2841" s="40">
        <f t="array" ref="A2841">IFNA(index(PlayerValues!A:A,match(IFNA(vlookup(B2841,'Special Names'!A:B,2,FALSE),B2841),PlayerValues!E:E,0)),"N/A")</f>
        <v>12140</v>
      </c>
      <c r="B2841" s="4" t="s">
        <v>702</v>
      </c>
      <c r="C2841" s="4" t="s">
        <v>283</v>
      </c>
      <c r="D2841" s="94">
        <v>1566.0</v>
      </c>
    </row>
    <row r="2842">
      <c r="A2842" s="40" t="str">
        <f t="array" ref="A2842">IFNA(index(PlayerValues!A:A,match(IFNA(vlookup(B2842,'Special Names'!A:B,2,FALSE),B2842),PlayerValues!E:E,0)),"N/A")</f>
        <v>N/A</v>
      </c>
      <c r="B2842" s="4" t="s">
        <v>91</v>
      </c>
      <c r="C2842" s="4" t="s">
        <v>325</v>
      </c>
      <c r="D2842" s="94">
        <v>1558.0</v>
      </c>
    </row>
    <row r="2843">
      <c r="A2843" s="40">
        <f t="array" ref="A2843">IFNA(index(PlayerValues!A:A,match(IFNA(vlookup(B2843,'Special Names'!A:B,2,FALSE),B2843),PlayerValues!E:E,0)),"N/A")</f>
        <v>16688</v>
      </c>
      <c r="B2843" s="4" t="s">
        <v>688</v>
      </c>
      <c r="C2843" s="4" t="s">
        <v>278</v>
      </c>
      <c r="D2843" s="94">
        <v>1542.0</v>
      </c>
    </row>
    <row r="2844">
      <c r="A2844" s="40">
        <f t="array" ref="A2844">IFNA(index(PlayerValues!A:A,match(IFNA(vlookup(B2844,'Special Names'!A:B,2,FALSE),B2844),PlayerValues!E:E,0)),"N/A")</f>
        <v>15252</v>
      </c>
      <c r="B2844" s="4" t="s">
        <v>715</v>
      </c>
      <c r="C2844" s="4" t="s">
        <v>283</v>
      </c>
      <c r="D2844" s="94">
        <v>1541.0</v>
      </c>
    </row>
    <row r="2845">
      <c r="A2845" s="40">
        <f t="array" ref="A2845">IFNA(index(PlayerValues!A:A,match(IFNA(vlookup(B2845,'Special Names'!A:B,2,FALSE),B2845),PlayerValues!E:E,0)),"N/A")</f>
        <v>15258</v>
      </c>
      <c r="B2845" s="4" t="s">
        <v>757</v>
      </c>
      <c r="C2845" s="4" t="s">
        <v>278</v>
      </c>
      <c r="D2845" s="94">
        <v>1541.0</v>
      </c>
    </row>
    <row r="2846">
      <c r="A2846" s="40">
        <f t="array" ref="A2846">IFNA(index(PlayerValues!A:A,match(IFNA(vlookup(B2846,'Special Names'!A:B,2,FALSE),B2846),PlayerValues!E:E,0)),"N/A")</f>
        <v>14080</v>
      </c>
      <c r="B2846" s="4" t="s">
        <v>716</v>
      </c>
      <c r="C2846" s="4" t="s">
        <v>278</v>
      </c>
      <c r="D2846" s="94">
        <v>1539.0</v>
      </c>
    </row>
    <row r="2847">
      <c r="A2847" s="40" t="str">
        <f t="array" ref="A2847">IFNA(index(PlayerValues!A:A,match(IFNA(vlookup(B2847,'Special Names'!A:B,2,FALSE),B2847),PlayerValues!E:E,0)),"N/A")</f>
        <v>N/A</v>
      </c>
      <c r="B2847" s="4" t="s">
        <v>103</v>
      </c>
      <c r="C2847" s="4" t="s">
        <v>325</v>
      </c>
      <c r="D2847" s="94">
        <v>1532.0</v>
      </c>
    </row>
    <row r="2848">
      <c r="A2848" s="40" t="str">
        <f t="array" ref="A2848">IFNA(index(PlayerValues!A:A,match(IFNA(vlookup(B2848,'Special Names'!A:B,2,FALSE),B2848),PlayerValues!E:E,0)),"N/A")</f>
        <v>N/A</v>
      </c>
      <c r="B2848" s="4" t="s">
        <v>116</v>
      </c>
      <c r="C2848" s="4" t="s">
        <v>325</v>
      </c>
      <c r="D2848" s="94">
        <v>1513.0</v>
      </c>
    </row>
    <row r="2849">
      <c r="A2849" s="40">
        <f t="array" ref="A2849">IFNA(index(PlayerValues!A:A,match(IFNA(vlookup(B2849,'Special Names'!A:B,2,FALSE),B2849),PlayerValues!E:E,0)),"N/A")</f>
        <v>17475</v>
      </c>
      <c r="B2849" s="4" t="s">
        <v>615</v>
      </c>
      <c r="C2849" s="4" t="s">
        <v>278</v>
      </c>
      <c r="D2849" s="94">
        <v>1508.0</v>
      </c>
    </row>
    <row r="2850">
      <c r="A2850" s="40">
        <f t="array" ref="A2850">IFNA(index(PlayerValues!A:A,match(IFNA(vlookup(B2850,'Special Names'!A:B,2,FALSE),B2850),PlayerValues!E:E,0)),"N/A")</f>
        <v>17504</v>
      </c>
      <c r="B2850" s="4" t="s">
        <v>693</v>
      </c>
      <c r="C2850" s="4" t="s">
        <v>287</v>
      </c>
      <c r="D2850" s="94">
        <v>1504.0</v>
      </c>
    </row>
    <row r="2851">
      <c r="A2851" s="40">
        <f t="array" ref="A2851">IFNA(index(PlayerValues!A:A,match(IFNA(vlookup(B2851,'Special Names'!A:B,2,FALSE),B2851),PlayerValues!E:E,0)),"N/A")</f>
        <v>15319</v>
      </c>
      <c r="B2851" s="4" t="s">
        <v>644</v>
      </c>
      <c r="C2851" s="4" t="s">
        <v>287</v>
      </c>
      <c r="D2851" s="94">
        <v>1497.0</v>
      </c>
    </row>
    <row r="2852">
      <c r="A2852" s="40">
        <f t="array" ref="A2852">IFNA(index(PlayerValues!A:A,match(IFNA(vlookup(B2852,'Special Names'!A:B,2,FALSE),B2852),PlayerValues!E:E,0)),"N/A")</f>
        <v>17077</v>
      </c>
      <c r="B2852" s="4" t="s">
        <v>714</v>
      </c>
      <c r="C2852" s="4" t="s">
        <v>287</v>
      </c>
      <c r="D2852" s="94">
        <v>1497.0</v>
      </c>
    </row>
    <row r="2853">
      <c r="A2853" s="40">
        <f t="array" ref="A2853">IFNA(index(PlayerValues!A:A,match(IFNA(vlookup(B2853,'Special Names'!A:B,2,FALSE),B2853),PlayerValues!E:E,0)),"N/A")</f>
        <v>15752</v>
      </c>
      <c r="B2853" s="4" t="s">
        <v>647</v>
      </c>
      <c r="C2853" s="4" t="s">
        <v>287</v>
      </c>
      <c r="D2853" s="94">
        <v>1465.0</v>
      </c>
    </row>
    <row r="2854">
      <c r="A2854" s="40">
        <f t="array" ref="A2854">IFNA(index(PlayerValues!A:A,match(IFNA(vlookup(B2854,'Special Names'!A:B,2,FALSE),B2854),PlayerValues!E:E,0)),"N/A")</f>
        <v>11150</v>
      </c>
      <c r="B2854" s="4" t="s">
        <v>559</v>
      </c>
      <c r="C2854" s="4" t="s">
        <v>283</v>
      </c>
      <c r="D2854" s="94">
        <v>1458.0</v>
      </c>
    </row>
    <row r="2855">
      <c r="A2855" s="40">
        <f t="array" ref="A2855">IFNA(index(PlayerValues!A:A,match(IFNA(vlookup(B2855,'Special Names'!A:B,2,FALSE),B2855),PlayerValues!E:E,0)),"N/A")</f>
        <v>17541</v>
      </c>
      <c r="B2855" s="4" t="s">
        <v>616</v>
      </c>
      <c r="C2855" s="4" t="s">
        <v>287</v>
      </c>
      <c r="D2855" s="94">
        <v>1458.0</v>
      </c>
    </row>
    <row r="2856">
      <c r="A2856" s="40">
        <f t="array" ref="A2856">IFNA(index(PlayerValues!A:A,match(IFNA(vlookup(B2856,'Special Names'!A:B,2,FALSE),B2856),PlayerValues!E:E,0)),"N/A")</f>
        <v>15738</v>
      </c>
      <c r="B2856" s="4" t="s">
        <v>634</v>
      </c>
      <c r="C2856" s="4" t="s">
        <v>278</v>
      </c>
      <c r="D2856" s="94">
        <v>1456.0</v>
      </c>
    </row>
    <row r="2857">
      <c r="A2857" s="40">
        <f t="array" ref="A2857">IFNA(index(PlayerValues!A:A,match(IFNA(vlookup(B2857,'Special Names'!A:B,2,FALSE),B2857),PlayerValues!E:E,0)),"N/A")</f>
        <v>13418</v>
      </c>
      <c r="B2857" s="4" t="s">
        <v>706</v>
      </c>
      <c r="C2857" s="4" t="s">
        <v>287</v>
      </c>
      <c r="D2857" s="94">
        <v>1455.0</v>
      </c>
    </row>
    <row r="2858">
      <c r="A2858" s="40">
        <f t="array" ref="A2858">IFNA(index(PlayerValues!A:A,match(IFNA(vlookup(B2858,'Special Names'!A:B,2,FALSE),B2858),PlayerValues!E:E,0)),"N/A")</f>
        <v>17254</v>
      </c>
      <c r="B2858" s="4" t="s">
        <v>679</v>
      </c>
      <c r="C2858" s="4" t="s">
        <v>287</v>
      </c>
      <c r="D2858" s="94">
        <v>1447.0</v>
      </c>
    </row>
    <row r="2859">
      <c r="A2859" s="40">
        <f t="array" ref="A2859">IFNA(index(PlayerValues!A:A,match(IFNA(vlookup(B2859,'Special Names'!A:B,2,FALSE),B2859),PlayerValues!E:E,0)),"N/A")</f>
        <v>15755</v>
      </c>
      <c r="B2859" s="4" t="s">
        <v>628</v>
      </c>
      <c r="C2859" s="4" t="s">
        <v>287</v>
      </c>
      <c r="D2859" s="94">
        <v>1445.0</v>
      </c>
    </row>
    <row r="2860">
      <c r="A2860" s="40">
        <f t="array" ref="A2860">IFNA(index(PlayerValues!A:A,match(IFNA(vlookup(B2860,'Special Names'!A:B,2,FALSE),B2860),PlayerValues!E:E,0)),"N/A")</f>
        <v>14095</v>
      </c>
      <c r="B2860" s="4" t="s">
        <v>680</v>
      </c>
      <c r="C2860" s="4" t="s">
        <v>278</v>
      </c>
      <c r="D2860" s="94">
        <v>1432.0</v>
      </c>
    </row>
    <row r="2861">
      <c r="A2861" s="40">
        <f t="array" ref="A2861">IFNA(index(PlayerValues!A:A,match(IFNA(vlookup(B2861,'Special Names'!A:B,2,FALSE),B2861),PlayerValues!E:E,0)),"N/A")</f>
        <v>17510</v>
      </c>
      <c r="B2861" s="4" t="s">
        <v>661</v>
      </c>
      <c r="C2861" s="4" t="s">
        <v>287</v>
      </c>
      <c r="D2861" s="94">
        <v>1428.0</v>
      </c>
    </row>
    <row r="2862">
      <c r="A2862" s="40">
        <f t="array" ref="A2862">IFNA(index(PlayerValues!A:A,match(IFNA(vlookup(B2862,'Special Names'!A:B,2,FALSE),B2862),PlayerValues!E:E,0)),"N/A")</f>
        <v>13672</v>
      </c>
      <c r="B2862" s="4" t="s">
        <v>667</v>
      </c>
      <c r="C2862" s="4" t="s">
        <v>298</v>
      </c>
      <c r="D2862" s="94">
        <v>1790.0</v>
      </c>
    </row>
    <row r="2863">
      <c r="A2863" s="40">
        <f t="array" ref="A2863">IFNA(index(PlayerValues!A:A,match(IFNA(vlookup(B2863,'Special Names'!A:B,2,FALSE),B2863),PlayerValues!E:E,0)),"N/A")</f>
        <v>15713</v>
      </c>
      <c r="B2863" s="4" t="s">
        <v>732</v>
      </c>
      <c r="C2863" s="4" t="s">
        <v>278</v>
      </c>
      <c r="D2863" s="94">
        <v>1415.0</v>
      </c>
    </row>
    <row r="2864">
      <c r="A2864" s="40">
        <f t="array" ref="A2864">IFNA(index(PlayerValues!A:A,match(IFNA(vlookup(B2864,'Special Names'!A:B,2,FALSE),B2864),PlayerValues!E:E,0)),"N/A")</f>
        <v>13138</v>
      </c>
      <c r="B2864" s="4" t="s">
        <v>817</v>
      </c>
      <c r="C2864" s="4" t="s">
        <v>278</v>
      </c>
      <c r="D2864" s="94">
        <v>1405.0</v>
      </c>
    </row>
    <row r="2865">
      <c r="A2865" s="40">
        <f t="array" ref="A2865">IFNA(index(PlayerValues!A:A,match(IFNA(vlookup(B2865,'Special Names'!A:B,2,FALSE),B2865),PlayerValues!E:E,0)),"N/A")</f>
        <v>17470</v>
      </c>
      <c r="B2865" s="4" t="s">
        <v>841</v>
      </c>
      <c r="C2865" s="4" t="s">
        <v>283</v>
      </c>
      <c r="D2865" s="94">
        <v>1402.0</v>
      </c>
    </row>
    <row r="2866">
      <c r="A2866" s="40">
        <f t="array" ref="A2866">IFNA(index(PlayerValues!A:A,match(IFNA(vlookup(B2866,'Special Names'!A:B,2,FALSE),B2866),PlayerValues!E:E,0)),"N/A")</f>
        <v>15788</v>
      </c>
      <c r="B2866" s="4" t="s">
        <v>627</v>
      </c>
      <c r="C2866" s="4" t="s">
        <v>287</v>
      </c>
      <c r="D2866" s="94">
        <v>1398.0</v>
      </c>
    </row>
    <row r="2867">
      <c r="A2867" s="40">
        <f t="array" ref="A2867">IFNA(index(PlayerValues!A:A,match(IFNA(vlookup(B2867,'Special Names'!A:B,2,FALSE),B2867),PlayerValues!E:E,0)),"N/A")</f>
        <v>17269</v>
      </c>
      <c r="B2867" s="4" t="s">
        <v>718</v>
      </c>
      <c r="C2867" s="4" t="s">
        <v>287</v>
      </c>
      <c r="D2867" s="94">
        <v>1392.0</v>
      </c>
    </row>
    <row r="2868">
      <c r="A2868" s="40">
        <f t="array" ref="A2868">IFNA(index(PlayerValues!A:A,match(IFNA(vlookup(B2868,'Special Names'!A:B,2,FALSE),B2868),PlayerValues!E:E,0)),"N/A")</f>
        <v>17486</v>
      </c>
      <c r="B2868" s="4" t="s">
        <v>695</v>
      </c>
      <c r="C2868" s="4" t="s">
        <v>278</v>
      </c>
      <c r="D2868" s="94">
        <v>1389.0</v>
      </c>
    </row>
    <row r="2869">
      <c r="A2869" s="40">
        <f t="array" ref="A2869">IFNA(index(PlayerValues!A:A,match(IFNA(vlookup(B2869,'Special Names'!A:B,2,FALSE),B2869),PlayerValues!E:E,0)),"N/A")</f>
        <v>17062</v>
      </c>
      <c r="B2869" s="4" t="s">
        <v>701</v>
      </c>
      <c r="C2869" s="4" t="s">
        <v>278</v>
      </c>
      <c r="D2869" s="94">
        <v>1385.0</v>
      </c>
    </row>
    <row r="2870">
      <c r="A2870" s="40">
        <f t="array" ref="A2870">IFNA(index(PlayerValues!A:A,match(IFNA(vlookup(B2870,'Special Names'!A:B,2,FALSE),B2870),PlayerValues!E:E,0)),"N/A")</f>
        <v>17479</v>
      </c>
      <c r="B2870" s="4" t="s">
        <v>756</v>
      </c>
      <c r="C2870" s="4" t="s">
        <v>278</v>
      </c>
      <c r="D2870" s="94">
        <v>1385.0</v>
      </c>
    </row>
    <row r="2871">
      <c r="A2871" s="40">
        <f t="array" ref="A2871">IFNA(index(PlayerValues!A:A,match(IFNA(vlookup(B2871,'Special Names'!A:B,2,FALSE),B2871),PlayerValues!E:E,0)),"N/A")</f>
        <v>16631</v>
      </c>
      <c r="B2871" s="4" t="s">
        <v>800</v>
      </c>
      <c r="C2871" s="4" t="s">
        <v>287</v>
      </c>
      <c r="D2871" s="94">
        <v>1373.0</v>
      </c>
    </row>
    <row r="2872">
      <c r="A2872" s="40">
        <f t="array" ref="A2872">IFNA(index(PlayerValues!A:A,match(IFNA(vlookup(B2872,'Special Names'!A:B,2,FALSE),B2872),PlayerValues!E:E,0)),"N/A")</f>
        <v>17487</v>
      </c>
      <c r="B2872" s="4" t="s">
        <v>692</v>
      </c>
      <c r="C2872" s="4" t="s">
        <v>278</v>
      </c>
      <c r="D2872" s="94">
        <v>1343.0</v>
      </c>
    </row>
    <row r="2873">
      <c r="A2873" s="40">
        <f t="array" ref="A2873">IFNA(index(PlayerValues!A:A,match(IFNA(vlookup(B2873,'Special Names'!A:B,2,FALSE),B2873),PlayerValues!E:E,0)),"N/A")</f>
        <v>15797</v>
      </c>
      <c r="B2873" s="4" t="s">
        <v>556</v>
      </c>
      <c r="C2873" s="4" t="s">
        <v>298</v>
      </c>
      <c r="D2873" s="94">
        <v>1712.0</v>
      </c>
    </row>
    <row r="2874">
      <c r="A2874" s="40">
        <f t="array" ref="A2874">IFNA(index(PlayerValues!A:A,match(IFNA(vlookup(B2874,'Special Names'!A:B,2,FALSE),B2874),PlayerValues!E:E,0)),"N/A")</f>
        <v>15332</v>
      </c>
      <c r="B2874" s="4" t="s">
        <v>698</v>
      </c>
      <c r="C2874" s="4" t="s">
        <v>298</v>
      </c>
      <c r="D2874" s="94">
        <v>1708.0</v>
      </c>
    </row>
    <row r="2875">
      <c r="A2875" s="40">
        <f t="array" ref="A2875">IFNA(index(PlayerValues!A:A,match(IFNA(vlookup(B2875,'Special Names'!A:B,2,FALSE),B2875),PlayerValues!E:E,0)),"N/A")</f>
        <v>14137</v>
      </c>
      <c r="B2875" s="4" t="s">
        <v>676</v>
      </c>
      <c r="C2875" s="4" t="s">
        <v>298</v>
      </c>
      <c r="D2875" s="94">
        <v>1706.0</v>
      </c>
    </row>
    <row r="2876">
      <c r="A2876" s="40">
        <f t="array" ref="A2876">IFNA(index(PlayerValues!A:A,match(IFNA(vlookup(B2876,'Special Names'!A:B,2,FALSE),B2876),PlayerValues!E:E,0)),"N/A")</f>
        <v>15301</v>
      </c>
      <c r="B2876" s="4" t="s">
        <v>657</v>
      </c>
      <c r="C2876" s="4" t="s">
        <v>287</v>
      </c>
      <c r="D2876" s="94">
        <v>1326.0</v>
      </c>
    </row>
    <row r="2877">
      <c r="A2877" s="40">
        <f t="array" ref="A2877">IFNA(index(PlayerValues!A:A,match(IFNA(vlookup(B2877,'Special Names'!A:B,2,FALSE),B2877),PlayerValues!E:E,0)),"N/A")</f>
        <v>15873</v>
      </c>
      <c r="B2877" s="4" t="s">
        <v>681</v>
      </c>
      <c r="C2877" s="4" t="s">
        <v>298</v>
      </c>
      <c r="D2877" s="94">
        <v>1694.0</v>
      </c>
    </row>
    <row r="2878">
      <c r="A2878" s="40">
        <f t="array" ref="A2878">IFNA(index(PlayerValues!A:A,match(IFNA(vlookup(B2878,'Special Names'!A:B,2,FALSE),B2878),PlayerValues!E:E,0)),"N/A")</f>
        <v>16621</v>
      </c>
      <c r="B2878" s="4" t="s">
        <v>672</v>
      </c>
      <c r="C2878" s="4" t="s">
        <v>287</v>
      </c>
      <c r="D2878" s="94">
        <v>1321.0</v>
      </c>
    </row>
    <row r="2879">
      <c r="A2879" s="40">
        <f t="array" ref="A2879">IFNA(index(PlayerValues!A:A,match(IFNA(vlookup(B2879,'Special Names'!A:B,2,FALSE),B2879),PlayerValues!E:E,0)),"N/A")</f>
        <v>16642</v>
      </c>
      <c r="B2879" s="4" t="s">
        <v>691</v>
      </c>
      <c r="C2879" s="4" t="s">
        <v>298</v>
      </c>
      <c r="D2879" s="94">
        <v>1678.0</v>
      </c>
    </row>
    <row r="2880">
      <c r="A2880" s="40">
        <f t="array" ref="A2880">IFNA(index(PlayerValues!A:A,match(IFNA(vlookup(B2880,'Special Names'!A:B,2,FALSE),B2880),PlayerValues!E:E,0)),"N/A")</f>
        <v>16385</v>
      </c>
      <c r="B2880" s="4" t="s">
        <v>690</v>
      </c>
      <c r="C2880" s="4" t="s">
        <v>278</v>
      </c>
      <c r="D2880" s="94">
        <v>1304.0</v>
      </c>
    </row>
    <row r="2881">
      <c r="A2881" s="40" t="str">
        <f t="array" ref="A2881">IFNA(index(PlayerValues!A:A,match(IFNA(vlookup(B2881,'Special Names'!A:B,2,FALSE),B2881),PlayerValues!E:E,0)),"N/A")</f>
        <v>N/A</v>
      </c>
      <c r="B2881" s="4" t="s">
        <v>117</v>
      </c>
      <c r="C2881" s="4" t="s">
        <v>325</v>
      </c>
      <c r="D2881" s="94">
        <v>1289.0</v>
      </c>
    </row>
    <row r="2882">
      <c r="A2882" s="40">
        <f t="array" ref="A2882">IFNA(index(PlayerValues!A:A,match(IFNA(vlookup(B2882,'Special Names'!A:B,2,FALSE),B2882),PlayerValues!E:E,0)),"N/A")</f>
        <v>17526</v>
      </c>
      <c r="B2882" s="4" t="s">
        <v>760</v>
      </c>
      <c r="C2882" s="4" t="s">
        <v>287</v>
      </c>
      <c r="D2882" s="94">
        <v>1287.0</v>
      </c>
    </row>
    <row r="2883">
      <c r="A2883" s="40">
        <f t="array" ref="A2883">IFNA(index(PlayerValues!A:A,match(IFNA(vlookup(B2883,'Special Names'!A:B,2,FALSE),B2883),PlayerValues!E:E,0)),"N/A")</f>
        <v>14592</v>
      </c>
      <c r="B2883" s="4" t="s">
        <v>705</v>
      </c>
      <c r="C2883" s="4" t="s">
        <v>287</v>
      </c>
      <c r="D2883" s="94">
        <v>1276.0</v>
      </c>
    </row>
    <row r="2884">
      <c r="A2884" s="40">
        <f t="array" ref="A2884">IFNA(index(PlayerValues!A:A,match(IFNA(vlookup(B2884,'Special Names'!A:B,2,FALSE),B2884),PlayerValues!E:E,0)),"N/A")</f>
        <v>16175</v>
      </c>
      <c r="B2884" s="4" t="s">
        <v>654</v>
      </c>
      <c r="C2884" s="4" t="s">
        <v>278</v>
      </c>
      <c r="D2884" s="94">
        <v>1263.0</v>
      </c>
    </row>
    <row r="2885">
      <c r="A2885" s="40">
        <f t="array" ref="A2885">IFNA(index(PlayerValues!A:A,match(IFNA(vlookup(B2885,'Special Names'!A:B,2,FALSE),B2885),PlayerValues!E:E,0)),"N/A")</f>
        <v>15292</v>
      </c>
      <c r="B2885" s="4" t="s">
        <v>682</v>
      </c>
      <c r="C2885" s="4" t="s">
        <v>287</v>
      </c>
      <c r="D2885" s="94">
        <v>1262.0</v>
      </c>
    </row>
    <row r="2886">
      <c r="A2886" s="40">
        <f t="array" ref="A2886">IFNA(index(PlayerValues!A:A,match(IFNA(vlookup(B2886,'Special Names'!A:B,2,FALSE),B2886),PlayerValues!E:E,0)),"N/A")</f>
        <v>14086</v>
      </c>
      <c r="B2886" s="4" t="s">
        <v>639</v>
      </c>
      <c r="C2886" s="4" t="s">
        <v>278</v>
      </c>
      <c r="D2886" s="94">
        <v>1253.0</v>
      </c>
    </row>
    <row r="2887">
      <c r="A2887" s="40">
        <f t="array" ref="A2887">IFNA(index(PlayerValues!A:A,match(IFNA(vlookup(B2887,'Special Names'!A:B,2,FALSE),B2887),PlayerValues!E:E,0)),"N/A")</f>
        <v>14108</v>
      </c>
      <c r="B2887" s="4" t="s">
        <v>673</v>
      </c>
      <c r="C2887" s="4" t="s">
        <v>287</v>
      </c>
      <c r="D2887" s="94">
        <v>1249.0</v>
      </c>
    </row>
    <row r="2888">
      <c r="A2888" s="40">
        <f t="array" ref="A2888">IFNA(index(PlayerValues!A:A,match(IFNA(vlookup(B2888,'Special Names'!A:B,2,FALSE),B2888),PlayerValues!E:E,0)),"N/A")</f>
        <v>16451</v>
      </c>
      <c r="B2888" s="4" t="s">
        <v>769</v>
      </c>
      <c r="C2888" s="4" t="s">
        <v>287</v>
      </c>
      <c r="D2888" s="94">
        <v>1243.0</v>
      </c>
    </row>
    <row r="2889">
      <c r="A2889" s="40">
        <f t="array" ref="A2889">IFNA(index(PlayerValues!A:A,match(IFNA(vlookup(B2889,'Special Names'!A:B,2,FALSE),B2889),PlayerValues!E:E,0)),"N/A")</f>
        <v>15981</v>
      </c>
      <c r="B2889" s="4" t="s">
        <v>729</v>
      </c>
      <c r="C2889" s="4" t="s">
        <v>287</v>
      </c>
      <c r="D2889" s="94">
        <v>1230.0</v>
      </c>
    </row>
    <row r="2890">
      <c r="A2890" s="40">
        <f t="array" ref="A2890">IFNA(index(PlayerValues!A:A,match(IFNA(vlookup(B2890,'Special Names'!A:B,2,FALSE),B2890),PlayerValues!E:E,0)),"N/A")</f>
        <v>16183</v>
      </c>
      <c r="B2890" s="4" t="s">
        <v>678</v>
      </c>
      <c r="C2890" s="4" t="s">
        <v>287</v>
      </c>
      <c r="D2890" s="94">
        <v>1223.0</v>
      </c>
    </row>
    <row r="2891">
      <c r="A2891" s="40">
        <f t="array" ref="A2891">IFNA(index(PlayerValues!A:A,match(IFNA(vlookup(B2891,'Special Names'!A:B,2,FALSE),B2891),PlayerValues!E:E,0)),"N/A")</f>
        <v>12263</v>
      </c>
      <c r="B2891" s="4" t="s">
        <v>697</v>
      </c>
      <c r="C2891" s="4" t="s">
        <v>298</v>
      </c>
      <c r="D2891" s="94">
        <v>1588.0</v>
      </c>
    </row>
    <row r="2892">
      <c r="A2892" s="40">
        <f t="array" ref="A2892">IFNA(index(PlayerValues!A:A,match(IFNA(vlookup(B2892,'Special Names'!A:B,2,FALSE),B2892),PlayerValues!E:E,0)),"N/A")</f>
        <v>16792</v>
      </c>
      <c r="B2892" s="4" t="s">
        <v>704</v>
      </c>
      <c r="C2892" s="4" t="s">
        <v>287</v>
      </c>
      <c r="D2892" s="94">
        <v>1202.0</v>
      </c>
    </row>
    <row r="2893">
      <c r="A2893" s="40">
        <f t="array" ref="A2893">IFNA(index(PlayerValues!A:A,match(IFNA(vlookup(B2893,'Special Names'!A:B,2,FALSE),B2893),PlayerValues!E:E,0)),"N/A")</f>
        <v>16149</v>
      </c>
      <c r="B2893" s="4" t="s">
        <v>740</v>
      </c>
      <c r="C2893" s="4" t="s">
        <v>283</v>
      </c>
      <c r="D2893" s="94">
        <v>1198.0</v>
      </c>
    </row>
    <row r="2894">
      <c r="A2894" s="40">
        <f t="array" ref="A2894">IFNA(index(PlayerValues!A:A,match(IFNA(vlookup(B2894,'Special Names'!A:B,2,FALSE),B2894),PlayerValues!E:E,0)),"N/A")</f>
        <v>17063</v>
      </c>
      <c r="B2894" s="4" t="s">
        <v>686</v>
      </c>
      <c r="C2894" s="4" t="s">
        <v>278</v>
      </c>
      <c r="D2894" s="94">
        <v>1188.0</v>
      </c>
    </row>
    <row r="2895">
      <c r="A2895" s="40">
        <f t="array" ref="A2895">IFNA(index(PlayerValues!A:A,match(IFNA(vlookup(B2895,'Special Names'!A:B,2,FALSE),B2895),PlayerValues!E:E,0)),"N/A")</f>
        <v>15240</v>
      </c>
      <c r="B2895" s="4" t="s">
        <v>751</v>
      </c>
      <c r="C2895" s="4" t="s">
        <v>283</v>
      </c>
      <c r="D2895" s="94">
        <v>1186.0</v>
      </c>
    </row>
    <row r="2896">
      <c r="A2896" s="40">
        <f t="array" ref="A2896">IFNA(index(PlayerValues!A:A,match(IFNA(vlookup(B2896,'Special Names'!A:B,2,FALSE),B2896),PlayerValues!E:E,0)),"N/A")</f>
        <v>15702</v>
      </c>
      <c r="B2896" s="4" t="s">
        <v>723</v>
      </c>
      <c r="C2896" s="4" t="s">
        <v>283</v>
      </c>
      <c r="D2896" s="94">
        <v>1175.0</v>
      </c>
    </row>
    <row r="2897">
      <c r="A2897" s="40">
        <f t="array" ref="A2897">IFNA(index(PlayerValues!A:A,match(IFNA(vlookup(B2897,'Special Names'!A:B,2,FALSE),B2897),PlayerValues!E:E,0)),"N/A")</f>
        <v>16636</v>
      </c>
      <c r="B2897" s="4" t="s">
        <v>699</v>
      </c>
      <c r="C2897" s="4" t="s">
        <v>287</v>
      </c>
      <c r="D2897" s="94">
        <v>1172.0</v>
      </c>
    </row>
    <row r="2898">
      <c r="A2898" s="40">
        <f t="array" ref="A2898">IFNA(index(PlayerValues!A:A,match(IFNA(vlookup(B2898,'Special Names'!A:B,2,FALSE),B2898),PlayerValues!E:E,0)),"N/A")</f>
        <v>16746</v>
      </c>
      <c r="B2898" s="4" t="s">
        <v>709</v>
      </c>
      <c r="C2898" s="4" t="s">
        <v>278</v>
      </c>
      <c r="D2898" s="94">
        <v>1167.0</v>
      </c>
    </row>
    <row r="2899">
      <c r="A2899" s="40">
        <f t="array" ref="A2899">IFNA(index(PlayerValues!A:A,match(IFNA(vlookup(B2899,'Special Names'!A:B,2,FALSE),B2899),PlayerValues!E:E,0)),"N/A")</f>
        <v>16199</v>
      </c>
      <c r="B2899" s="4" t="s">
        <v>687</v>
      </c>
      <c r="C2899" s="4" t="s">
        <v>287</v>
      </c>
      <c r="D2899" s="94">
        <v>1160.0</v>
      </c>
    </row>
    <row r="2900">
      <c r="A2900" s="40">
        <f t="array" ref="A2900">IFNA(index(PlayerValues!A:A,match(IFNA(vlookup(B2900,'Special Names'!A:B,2,FALSE),B2900),PlayerValues!E:E,0)),"N/A")</f>
        <v>16645</v>
      </c>
      <c r="B2900" s="4" t="s">
        <v>651</v>
      </c>
      <c r="C2900" s="4" t="s">
        <v>298</v>
      </c>
      <c r="D2900" s="94">
        <v>1526.0</v>
      </c>
    </row>
    <row r="2901">
      <c r="A2901" s="40">
        <f t="array" ref="A2901">IFNA(index(PlayerValues!A:A,match(IFNA(vlookup(B2901,'Special Names'!A:B,2,FALSE),B2901),PlayerValues!E:E,0)),"N/A")</f>
        <v>16883</v>
      </c>
      <c r="B2901" s="4" t="s">
        <v>683</v>
      </c>
      <c r="C2901" s="4" t="s">
        <v>287</v>
      </c>
      <c r="D2901" s="94">
        <v>1160.0</v>
      </c>
    </row>
    <row r="2902">
      <c r="A2902" s="40">
        <f t="array" ref="A2902">IFNA(index(PlayerValues!A:A,match(IFNA(vlookup(B2902,'Special Names'!A:B,2,FALSE),B2902),PlayerValues!E:E,0)),"N/A")</f>
        <v>12678</v>
      </c>
      <c r="B2902" s="4" t="s">
        <v>703</v>
      </c>
      <c r="C2902" s="4" t="s">
        <v>298</v>
      </c>
      <c r="D2902" s="94">
        <v>1524.0</v>
      </c>
    </row>
    <row r="2903">
      <c r="A2903" s="40">
        <f t="array" ref="A2903">IFNA(index(PlayerValues!A:A,match(IFNA(vlookup(B2903,'Special Names'!A:B,2,FALSE),B2903),PlayerValues!E:E,0)),"N/A")</f>
        <v>14789</v>
      </c>
      <c r="B2903" s="4" t="s">
        <v>721</v>
      </c>
      <c r="C2903" s="4" t="s">
        <v>283</v>
      </c>
      <c r="D2903" s="94">
        <v>1153.0</v>
      </c>
    </row>
    <row r="2904">
      <c r="A2904" s="40">
        <f t="array" ref="A2904">IFNA(index(PlayerValues!A:A,match(IFNA(vlookup(B2904,'Special Names'!A:B,2,FALSE),B2904),PlayerValues!E:E,0)),"N/A")</f>
        <v>17097</v>
      </c>
      <c r="B2904" s="4" t="s">
        <v>659</v>
      </c>
      <c r="C2904" s="4" t="s">
        <v>287</v>
      </c>
      <c r="D2904" s="94">
        <v>1148.0</v>
      </c>
    </row>
    <row r="2905">
      <c r="A2905" s="40">
        <f t="array" ref="A2905">IFNA(index(PlayerValues!A:A,match(IFNA(vlookup(B2905,'Special Names'!A:B,2,FALSE),B2905),PlayerValues!E:E,0)),"N/A")</f>
        <v>17054</v>
      </c>
      <c r="B2905" s="4" t="s">
        <v>670</v>
      </c>
      <c r="C2905" s="4" t="s">
        <v>278</v>
      </c>
      <c r="D2905" s="94">
        <v>1136.0</v>
      </c>
    </row>
    <row r="2906">
      <c r="A2906" s="40">
        <f t="array" ref="A2906">IFNA(index(PlayerValues!A:A,match(IFNA(vlookup(B2906,'Special Names'!A:B,2,FALSE),B2906),PlayerValues!E:E,0)),"N/A")</f>
        <v>17050</v>
      </c>
      <c r="B2906" s="4" t="s">
        <v>713</v>
      </c>
      <c r="C2906" s="4" t="s">
        <v>278</v>
      </c>
      <c r="D2906" s="94">
        <v>1135.0</v>
      </c>
    </row>
    <row r="2907">
      <c r="A2907" s="40">
        <f t="array" ref="A2907">IFNA(index(PlayerValues!A:A,match(IFNA(vlookup(B2907,'Special Names'!A:B,2,FALSE),B2907),PlayerValues!E:E,0)),"N/A")</f>
        <v>15692</v>
      </c>
      <c r="B2907" s="4" t="s">
        <v>750</v>
      </c>
      <c r="C2907" s="4" t="s">
        <v>283</v>
      </c>
      <c r="D2907" s="94">
        <v>1134.0</v>
      </c>
    </row>
    <row r="2908">
      <c r="A2908" s="40">
        <f t="array" ref="A2908">IFNA(index(PlayerValues!A:A,match(IFNA(vlookup(B2908,'Special Names'!A:B,2,FALSE),B2908),PlayerValues!E:E,0)),"N/A")</f>
        <v>14845</v>
      </c>
      <c r="B2908" s="4" t="s">
        <v>717</v>
      </c>
      <c r="C2908" s="4" t="s">
        <v>287</v>
      </c>
      <c r="D2908" s="94">
        <v>1133.0</v>
      </c>
    </row>
    <row r="2909">
      <c r="A2909" s="40">
        <f t="array" ref="A2909">IFNA(index(PlayerValues!A:A,match(IFNA(vlookup(B2909,'Special Names'!A:B,2,FALSE),B2909),PlayerValues!E:E,0)),"N/A")</f>
        <v>16221</v>
      </c>
      <c r="B2909" s="4" t="s">
        <v>725</v>
      </c>
      <c r="C2909" s="4" t="s">
        <v>298</v>
      </c>
      <c r="D2909" s="94">
        <v>1500.0</v>
      </c>
    </row>
    <row r="2910">
      <c r="A2910" s="40">
        <f t="array" ref="A2910">IFNA(index(PlayerValues!A:A,match(IFNA(vlookup(B2910,'Special Names'!A:B,2,FALSE),B2910),PlayerValues!E:E,0)),"N/A")</f>
        <v>17109</v>
      </c>
      <c r="B2910" s="4" t="s">
        <v>707</v>
      </c>
      <c r="C2910" s="4" t="s">
        <v>298</v>
      </c>
      <c r="D2910" s="94">
        <v>1490.0</v>
      </c>
    </row>
    <row r="2911">
      <c r="A2911" s="40">
        <f t="array" ref="A2911">IFNA(index(PlayerValues!A:A,match(IFNA(vlookup(B2911,'Special Names'!A:B,2,FALSE),B2911),PlayerValues!E:E,0)),"N/A")</f>
        <v>13289</v>
      </c>
      <c r="B2911" s="4" t="s">
        <v>746</v>
      </c>
      <c r="C2911" s="4" t="s">
        <v>287</v>
      </c>
      <c r="D2911" s="94">
        <v>1117.0</v>
      </c>
    </row>
    <row r="2912">
      <c r="A2912" s="40">
        <f t="array" ref="A2912">IFNA(index(PlayerValues!A:A,match(IFNA(vlookup(B2912,'Special Names'!A:B,2,FALSE),B2912),PlayerValues!E:E,0)),"N/A")</f>
        <v>16333</v>
      </c>
      <c r="B2912" s="4" t="s">
        <v>711</v>
      </c>
      <c r="C2912" s="4" t="s">
        <v>298</v>
      </c>
      <c r="D2912" s="94">
        <v>1481.0</v>
      </c>
    </row>
    <row r="2913">
      <c r="A2913" s="40">
        <f t="array" ref="A2913">IFNA(index(PlayerValues!A:A,match(IFNA(vlookup(B2913,'Special Names'!A:B,2,FALSE),B2913),PlayerValues!E:E,0)),"N/A")</f>
        <v>15239</v>
      </c>
      <c r="B2913" s="4" t="s">
        <v>802</v>
      </c>
      <c r="C2913" s="4" t="s">
        <v>283</v>
      </c>
      <c r="D2913" s="94">
        <v>1113.0</v>
      </c>
    </row>
    <row r="2914">
      <c r="A2914" s="40">
        <f t="array" ref="A2914">IFNA(index(PlayerValues!A:A,match(IFNA(vlookup(B2914,'Special Names'!A:B,2,FALSE),B2914),PlayerValues!E:E,0)),"N/A")</f>
        <v>17192</v>
      </c>
      <c r="B2914" s="4" t="s">
        <v>677</v>
      </c>
      <c r="C2914" s="4" t="s">
        <v>287</v>
      </c>
      <c r="D2914" s="94">
        <v>1104.0</v>
      </c>
    </row>
    <row r="2915">
      <c r="A2915" s="40">
        <f t="array" ref="A2915">IFNA(index(PlayerValues!A:A,match(IFNA(vlookup(B2915,'Special Names'!A:B,2,FALSE),B2915),PlayerValues!E:E,0)),"N/A")</f>
        <v>15288</v>
      </c>
      <c r="B2915" s="4" t="s">
        <v>700</v>
      </c>
      <c r="C2915" s="4" t="s">
        <v>287</v>
      </c>
      <c r="D2915" s="94">
        <v>1102.0</v>
      </c>
    </row>
    <row r="2916">
      <c r="A2916" s="40">
        <f t="array" ref="A2916">IFNA(index(PlayerValues!A:A,match(IFNA(vlookup(B2916,'Special Names'!A:B,2,FALSE),B2916),PlayerValues!E:E,0)),"N/A")</f>
        <v>16384</v>
      </c>
      <c r="B2916" s="4" t="s">
        <v>696</v>
      </c>
      <c r="C2916" s="4" t="s">
        <v>283</v>
      </c>
      <c r="D2916" s="94">
        <v>1098.0</v>
      </c>
    </row>
    <row r="2917">
      <c r="A2917" s="40">
        <f t="array" ref="A2917">IFNA(index(PlayerValues!A:A,match(IFNA(vlookup(B2917,'Special Names'!A:B,2,FALSE),B2917),PlayerValues!E:E,0)),"N/A")</f>
        <v>17175</v>
      </c>
      <c r="B2917" s="4" t="s">
        <v>747</v>
      </c>
      <c r="C2917" s="4" t="s">
        <v>287</v>
      </c>
      <c r="D2917" s="94">
        <v>1091.0</v>
      </c>
    </row>
    <row r="2918">
      <c r="A2918" s="40">
        <f t="array" ref="A2918">IFNA(index(PlayerValues!A:A,match(IFNA(vlookup(B2918,'Special Names'!A:B,2,FALSE),B2918),PlayerValues!E:E,0)),"N/A")</f>
        <v>15717</v>
      </c>
      <c r="B2918" s="4" t="s">
        <v>745</v>
      </c>
      <c r="C2918" s="4" t="s">
        <v>278</v>
      </c>
      <c r="D2918" s="94">
        <v>1083.0</v>
      </c>
    </row>
    <row r="2919">
      <c r="A2919" s="40">
        <f t="array" ref="A2919">IFNA(index(PlayerValues!A:A,match(IFNA(vlookup(B2919,'Special Names'!A:B,2,FALSE),B2919),PlayerValues!E:E,0)),"N/A")</f>
        <v>15718</v>
      </c>
      <c r="B2919" s="4" t="s">
        <v>753</v>
      </c>
      <c r="C2919" s="4" t="s">
        <v>278</v>
      </c>
      <c r="D2919" s="94">
        <v>1079.0</v>
      </c>
    </row>
    <row r="2920">
      <c r="A2920" s="40">
        <f t="array" ref="A2920">IFNA(index(PlayerValues!A:A,match(IFNA(vlookup(B2920,'Special Names'!A:B,2,FALSE),B2920),PlayerValues!E:E,0)),"N/A")</f>
        <v>16197</v>
      </c>
      <c r="B2920" s="4" t="s">
        <v>726</v>
      </c>
      <c r="C2920" s="4" t="s">
        <v>287</v>
      </c>
      <c r="D2920" s="94">
        <v>1073.0</v>
      </c>
    </row>
    <row r="2921">
      <c r="A2921" s="40">
        <f t="array" ref="A2921">IFNA(index(PlayerValues!A:A,match(IFNA(vlookup(B2921,'Special Names'!A:B,2,FALSE),B2921),PlayerValues!E:E,0)),"N/A")</f>
        <v>16219</v>
      </c>
      <c r="B2921" s="4" t="s">
        <v>739</v>
      </c>
      <c r="C2921" s="4" t="s">
        <v>298</v>
      </c>
      <c r="D2921" s="94">
        <v>1439.0</v>
      </c>
    </row>
    <row r="2922">
      <c r="A2922" s="40">
        <f t="array" ref="A2922">IFNA(index(PlayerValues!A:A,match(IFNA(vlookup(B2922,'Special Names'!A:B,2,FALSE),B2922),PlayerValues!E:E,0)),"N/A")</f>
        <v>13610</v>
      </c>
      <c r="B2922" s="4" t="s">
        <v>825</v>
      </c>
      <c r="C2922" s="4" t="s">
        <v>278</v>
      </c>
      <c r="D2922" s="94">
        <v>1069.0</v>
      </c>
    </row>
    <row r="2923">
      <c r="A2923" s="40">
        <f t="array" ref="A2923">IFNA(index(PlayerValues!A:A,match(IFNA(vlookup(B2923,'Special Names'!A:B,2,FALSE),B2923),PlayerValues!E:E,0)),"N/A")</f>
        <v>15730</v>
      </c>
      <c r="B2923" s="4" t="s">
        <v>734</v>
      </c>
      <c r="C2923" s="4" t="s">
        <v>278</v>
      </c>
      <c r="D2923" s="94">
        <v>1069.0</v>
      </c>
    </row>
    <row r="2924">
      <c r="A2924" s="40">
        <f t="array" ref="A2924">IFNA(index(PlayerValues!A:A,match(IFNA(vlookup(B2924,'Special Names'!A:B,2,FALSE),B2924),PlayerValues!E:E,0)),"N/A")</f>
        <v>16387</v>
      </c>
      <c r="B2924" s="4" t="s">
        <v>646</v>
      </c>
      <c r="C2924" s="4" t="s">
        <v>278</v>
      </c>
      <c r="D2924" s="94">
        <v>1056.0</v>
      </c>
    </row>
    <row r="2925">
      <c r="A2925" s="40">
        <f t="array" ref="A2925">IFNA(index(PlayerValues!A:A,match(IFNA(vlookup(B2925,'Special Names'!A:B,2,FALSE),B2925),PlayerValues!E:E,0)),"N/A")</f>
        <v>16640</v>
      </c>
      <c r="B2925" s="4" t="s">
        <v>712</v>
      </c>
      <c r="C2925" s="4" t="s">
        <v>287</v>
      </c>
      <c r="D2925" s="94">
        <v>1055.0</v>
      </c>
    </row>
    <row r="2926">
      <c r="A2926" s="40">
        <f t="array" ref="A2926">IFNA(index(PlayerValues!A:A,match(IFNA(vlookup(B2926,'Special Names'!A:B,2,FALSE),B2926),PlayerValues!E:E,0)),"N/A")</f>
        <v>14849</v>
      </c>
      <c r="B2926" s="4" t="s">
        <v>733</v>
      </c>
      <c r="C2926" s="4" t="s">
        <v>287</v>
      </c>
      <c r="D2926" s="94">
        <v>1042.0</v>
      </c>
    </row>
    <row r="2927">
      <c r="A2927" s="40">
        <f t="array" ref="A2927">IFNA(index(PlayerValues!A:A,match(IFNA(vlookup(B2927,'Special Names'!A:B,2,FALSE),B2927),PlayerValues!E:E,0)),"N/A")</f>
        <v>14118</v>
      </c>
      <c r="B2927" s="4" t="s">
        <v>771</v>
      </c>
      <c r="C2927" s="4" t="s">
        <v>287</v>
      </c>
      <c r="D2927" s="94">
        <v>1038.0</v>
      </c>
    </row>
    <row r="2928">
      <c r="A2928" s="40">
        <f t="array" ref="A2928">IFNA(index(PlayerValues!A:A,match(IFNA(vlookup(B2928,'Special Names'!A:B,2,FALSE),B2928),PlayerValues!E:E,0)),"N/A")</f>
        <v>15720</v>
      </c>
      <c r="B2928" s="4" t="s">
        <v>795</v>
      </c>
      <c r="C2928" s="4" t="s">
        <v>278</v>
      </c>
      <c r="D2928" s="94">
        <v>1033.0</v>
      </c>
    </row>
    <row r="2929">
      <c r="A2929" s="40">
        <f t="array" ref="A2929">IFNA(index(PlayerValues!A:A,match(IFNA(vlookup(B2929,'Special Names'!A:B,2,FALSE),B2929),PlayerValues!E:E,0)),"N/A")</f>
        <v>15693</v>
      </c>
      <c r="B2929" s="4" t="s">
        <v>755</v>
      </c>
      <c r="C2929" s="4" t="s">
        <v>283</v>
      </c>
      <c r="D2929" s="94">
        <v>1029.0</v>
      </c>
    </row>
    <row r="2930">
      <c r="A2930" s="40">
        <f t="array" ref="A2930">IFNA(index(PlayerValues!A:A,match(IFNA(vlookup(B2930,'Special Names'!A:B,2,FALSE),B2930),PlayerValues!E:E,0)),"N/A")</f>
        <v>15785</v>
      </c>
      <c r="B2930" s="4" t="s">
        <v>763</v>
      </c>
      <c r="C2930" s="4" t="s">
        <v>287</v>
      </c>
      <c r="D2930" s="94">
        <v>1027.0</v>
      </c>
    </row>
    <row r="2931">
      <c r="A2931" s="40">
        <f t="array" ref="A2931">IFNA(index(PlayerValues!A:A,match(IFNA(vlookup(B2931,'Special Names'!A:B,2,FALSE),B2931),PlayerValues!E:E,0)),"N/A")</f>
        <v>13143</v>
      </c>
      <c r="B2931" s="4" t="s">
        <v>786</v>
      </c>
      <c r="C2931" s="4" t="s">
        <v>278</v>
      </c>
      <c r="D2931" s="94">
        <v>1024.0</v>
      </c>
    </row>
    <row r="2932">
      <c r="A2932" s="40">
        <f t="array" ref="A2932">IFNA(index(PlayerValues!A:A,match(IFNA(vlookup(B2932,'Special Names'!A:B,2,FALSE),B2932),PlayerValues!E:E,0)),"N/A")</f>
        <v>15626</v>
      </c>
      <c r="B2932" s="4" t="s">
        <v>766</v>
      </c>
      <c r="C2932" s="4" t="s">
        <v>298</v>
      </c>
      <c r="D2932" s="94">
        <v>1389.0</v>
      </c>
    </row>
    <row r="2933">
      <c r="A2933" s="40">
        <f t="array" ref="A2933">IFNA(index(PlayerValues!A:A,match(IFNA(vlookup(B2933,'Special Names'!A:B,2,FALSE),B2933),PlayerValues!E:E,0)),"N/A")</f>
        <v>16637</v>
      </c>
      <c r="B2933" s="4" t="s">
        <v>736</v>
      </c>
      <c r="C2933" s="4" t="s">
        <v>287</v>
      </c>
      <c r="D2933" s="94">
        <v>1014.0</v>
      </c>
    </row>
    <row r="2934">
      <c r="A2934" s="40">
        <f t="array" ref="A2934">IFNA(index(PlayerValues!A:A,match(IFNA(vlookup(B2934,'Special Names'!A:B,2,FALSE),B2934),PlayerValues!E:E,0)),"N/A")</f>
        <v>15283</v>
      </c>
      <c r="B2934" s="4" t="s">
        <v>844</v>
      </c>
      <c r="C2934" s="4" t="s">
        <v>287</v>
      </c>
      <c r="D2934" s="94">
        <v>1006.0</v>
      </c>
    </row>
    <row r="2935">
      <c r="A2935" s="40">
        <f t="array" ref="A2935">IFNA(index(PlayerValues!A:A,match(IFNA(vlookup(B2935,'Special Names'!A:B,2,FALSE),B2935),PlayerValues!E:E,0)),"N/A")</f>
        <v>17057</v>
      </c>
      <c r="B2935" s="4" t="s">
        <v>708</v>
      </c>
      <c r="C2935" s="4" t="s">
        <v>278</v>
      </c>
      <c r="D2935" s="94">
        <v>1005.0</v>
      </c>
    </row>
    <row r="2936">
      <c r="A2936" s="40">
        <f t="array" ref="A2936">IFNA(index(PlayerValues!A:A,match(IFNA(vlookup(B2936,'Special Names'!A:B,2,FALSE),B2936),PlayerValues!E:E,0)),"N/A")</f>
        <v>17467</v>
      </c>
      <c r="B2936" s="4" t="s">
        <v>575</v>
      </c>
      <c r="C2936" s="4" t="s">
        <v>283</v>
      </c>
      <c r="D2936" s="94">
        <v>1003.0</v>
      </c>
    </row>
    <row r="2937">
      <c r="A2937" s="40">
        <f t="array" ref="A2937">IFNA(index(PlayerValues!A:A,match(IFNA(vlookup(B2937,'Special Names'!A:B,2,FALSE),B2937),PlayerValues!E:E,0)),"N/A")</f>
        <v>16168</v>
      </c>
      <c r="B2937" s="4" t="s">
        <v>738</v>
      </c>
      <c r="C2937" s="4" t="s">
        <v>278</v>
      </c>
      <c r="D2937" s="94">
        <v>1000.0</v>
      </c>
    </row>
    <row r="2938">
      <c r="A2938" s="40">
        <f t="array" ref="A2938">IFNA(index(PlayerValues!A:A,match(IFNA(vlookup(B2938,'Special Names'!A:B,2,FALSE),B2938),PlayerValues!E:E,0)),"N/A")</f>
        <v>16648</v>
      </c>
      <c r="B2938" s="4" t="s">
        <v>748</v>
      </c>
      <c r="C2938" s="4" t="s">
        <v>298</v>
      </c>
      <c r="D2938" s="94">
        <v>1366.0</v>
      </c>
    </row>
    <row r="2939">
      <c r="A2939" s="40">
        <f t="array" ref="A2939">IFNA(index(PlayerValues!A:A,match(IFNA(vlookup(B2939,'Special Names'!A:B,2,FALSE),B2939),PlayerValues!E:E,0)),"N/A")</f>
        <v>16393</v>
      </c>
      <c r="B2939" s="4" t="s">
        <v>768</v>
      </c>
      <c r="C2939" s="4" t="s">
        <v>287</v>
      </c>
      <c r="D2939" s="94">
        <v>995.0</v>
      </c>
    </row>
    <row r="2940">
      <c r="A2940" s="40">
        <f t="array" ref="A2940">IFNA(index(PlayerValues!A:A,match(IFNA(vlookup(B2940,'Special Names'!A:B,2,FALSE),B2940),PlayerValues!E:E,0)),"N/A")</f>
        <v>16159</v>
      </c>
      <c r="B2940" s="4" t="s">
        <v>819</v>
      </c>
      <c r="C2940" s="4" t="s">
        <v>283</v>
      </c>
      <c r="D2940" s="94">
        <v>993.0</v>
      </c>
    </row>
    <row r="2941">
      <c r="A2941" s="40">
        <f t="array" ref="A2941">IFNA(index(PlayerValues!A:A,match(IFNA(vlookup(B2941,'Special Names'!A:B,2,FALSE),B2941),PlayerValues!E:E,0)),"N/A")</f>
        <v>16858</v>
      </c>
      <c r="B2941" s="4" t="s">
        <v>754</v>
      </c>
      <c r="C2941" s="4" t="s">
        <v>287</v>
      </c>
      <c r="D2941" s="94">
        <v>990.0</v>
      </c>
    </row>
    <row r="2942">
      <c r="A2942" s="40">
        <f t="array" ref="A2942">IFNA(index(PlayerValues!A:A,match(IFNA(vlookup(B2942,'Special Names'!A:B,2,FALSE),B2942),PlayerValues!E:E,0)),"N/A")</f>
        <v>15330</v>
      </c>
      <c r="B2942" s="4" t="s">
        <v>749</v>
      </c>
      <c r="C2942" s="4" t="s">
        <v>298</v>
      </c>
      <c r="D2942" s="94">
        <v>1354.0</v>
      </c>
    </row>
    <row r="2943">
      <c r="A2943" s="40">
        <f t="array" ref="A2943">IFNA(index(PlayerValues!A:A,match(IFNA(vlookup(B2943,'Special Names'!A:B,2,FALSE),B2943),PlayerValues!E:E,0)),"N/A")</f>
        <v>16957</v>
      </c>
      <c r="B2943" s="4" t="s">
        <v>806</v>
      </c>
      <c r="C2943" s="4" t="s">
        <v>278</v>
      </c>
      <c r="D2943" s="94">
        <v>964.0</v>
      </c>
    </row>
    <row r="2944">
      <c r="A2944" s="40">
        <f t="array" ref="A2944">IFNA(index(PlayerValues!A:A,match(IFNA(vlookup(B2944,'Special Names'!A:B,2,FALSE),B2944),PlayerValues!E:E,0)),"N/A")</f>
        <v>9064</v>
      </c>
      <c r="B2944" s="4" t="s">
        <v>761</v>
      </c>
      <c r="C2944" s="4" t="s">
        <v>283</v>
      </c>
      <c r="D2944" s="94">
        <v>950.0</v>
      </c>
    </row>
    <row r="2945">
      <c r="A2945" s="40">
        <f t="array" ref="A2945">IFNA(index(PlayerValues!A:A,match(IFNA(vlookup(B2945,'Special Names'!A:B,2,FALSE),B2945),PlayerValues!E:E,0)),"N/A")</f>
        <v>14067</v>
      </c>
      <c r="B2945" s="4" t="s">
        <v>735</v>
      </c>
      <c r="C2945" s="4" t="s">
        <v>283</v>
      </c>
      <c r="D2945" s="94">
        <v>947.0</v>
      </c>
    </row>
    <row r="2946">
      <c r="A2946" s="40">
        <f t="array" ref="A2946">IFNA(index(PlayerValues!A:A,match(IFNA(vlookup(B2946,'Special Names'!A:B,2,FALSE),B2946),PlayerValues!E:E,0)),"N/A")</f>
        <v>15766</v>
      </c>
      <c r="B2946" s="4" t="s">
        <v>759</v>
      </c>
      <c r="C2946" s="4" t="s">
        <v>287</v>
      </c>
      <c r="D2946" s="94">
        <v>946.0</v>
      </c>
    </row>
    <row r="2947">
      <c r="A2947" s="40">
        <f t="array" ref="A2947">IFNA(index(PlayerValues!A:A,match(IFNA(vlookup(B2947,'Special Names'!A:B,2,FALSE),B2947),PlayerValues!E:E,0)),"N/A")</f>
        <v>14852</v>
      </c>
      <c r="B2947" s="4" t="s">
        <v>837</v>
      </c>
      <c r="C2947" s="4" t="s">
        <v>278</v>
      </c>
      <c r="D2947" s="94">
        <v>945.0</v>
      </c>
    </row>
    <row r="2948">
      <c r="A2948" s="40">
        <f t="array" ref="A2948">IFNA(index(PlayerValues!A:A,match(IFNA(vlookup(B2948,'Special Names'!A:B,2,FALSE),B2948),PlayerValues!E:E,0)),"N/A")</f>
        <v>16205</v>
      </c>
      <c r="B2948" s="4" t="s">
        <v>742</v>
      </c>
      <c r="C2948" s="4" t="s">
        <v>287</v>
      </c>
      <c r="D2948" s="94">
        <v>945.0</v>
      </c>
    </row>
    <row r="2949">
      <c r="A2949" s="40">
        <f t="array" ref="A2949">IFNA(index(PlayerValues!A:A,match(IFNA(vlookup(B2949,'Special Names'!A:B,2,FALSE),B2949),PlayerValues!E:E,0)),"N/A")</f>
        <v>17337</v>
      </c>
      <c r="B2949" s="4" t="s">
        <v>793</v>
      </c>
      <c r="C2949" s="4" t="s">
        <v>278</v>
      </c>
      <c r="D2949" s="94">
        <v>942.0</v>
      </c>
    </row>
    <row r="2950">
      <c r="A2950" s="40">
        <f t="array" ref="A2950">IFNA(index(PlayerValues!A:A,match(IFNA(vlookup(B2950,'Special Names'!A:B,2,FALSE),B2950),PlayerValues!E:E,0)),"N/A")</f>
        <v>13156</v>
      </c>
      <c r="B2950" s="4" t="s">
        <v>835</v>
      </c>
      <c r="C2950" s="4" t="s">
        <v>287</v>
      </c>
      <c r="D2950" s="94">
        <v>938.0</v>
      </c>
    </row>
    <row r="2951">
      <c r="A2951" s="40">
        <f t="array" ref="A2951">IFNA(index(PlayerValues!A:A,match(IFNA(vlookup(B2951,'Special Names'!A:B,2,FALSE),B2951),PlayerValues!E:E,0)),"N/A")</f>
        <v>13133</v>
      </c>
      <c r="B2951" s="4" t="s">
        <v>764</v>
      </c>
      <c r="C2951" s="4" t="s">
        <v>278</v>
      </c>
      <c r="D2951" s="94">
        <v>937.0</v>
      </c>
    </row>
    <row r="2952">
      <c r="A2952" s="40">
        <f t="array" ref="A2952">IFNA(index(PlayerValues!A:A,match(IFNA(vlookup(B2952,'Special Names'!A:B,2,FALSE),B2952),PlayerValues!E:E,0)),"N/A")</f>
        <v>14864</v>
      </c>
      <c r="B2952" s="4" t="s">
        <v>789</v>
      </c>
      <c r="C2952" s="4" t="s">
        <v>287</v>
      </c>
      <c r="D2952" s="94">
        <v>932.0</v>
      </c>
    </row>
    <row r="2953">
      <c r="A2953" s="40">
        <f t="array" ref="A2953">IFNA(index(PlayerValues!A:A,match(IFNA(vlookup(B2953,'Special Names'!A:B,2,FALSE),B2953),PlayerValues!E:E,0)),"N/A")</f>
        <v>14057</v>
      </c>
      <c r="B2953" s="4" t="s">
        <v>765</v>
      </c>
      <c r="C2953" s="4" t="s">
        <v>283</v>
      </c>
      <c r="D2953" s="94">
        <v>929.0</v>
      </c>
    </row>
    <row r="2954">
      <c r="A2954" s="40">
        <f t="array" ref="A2954">IFNA(index(PlayerValues!A:A,match(IFNA(vlookup(B2954,'Special Names'!A:B,2,FALSE),B2954),PlayerValues!E:E,0)),"N/A")</f>
        <v>13595</v>
      </c>
      <c r="B2954" s="4" t="s">
        <v>818</v>
      </c>
      <c r="C2954" s="4" t="s">
        <v>283</v>
      </c>
      <c r="D2954" s="94">
        <v>929.0</v>
      </c>
    </row>
    <row r="2955">
      <c r="A2955" s="40">
        <f t="array" ref="A2955">IFNA(index(PlayerValues!A:A,match(IFNA(vlookup(B2955,'Special Names'!A:B,2,FALSE),B2955),PlayerValues!E:E,0)),"N/A")</f>
        <v>15109</v>
      </c>
      <c r="B2955" s="4" t="s">
        <v>728</v>
      </c>
      <c r="C2955" s="4" t="s">
        <v>287</v>
      </c>
      <c r="D2955" s="94">
        <v>927.0</v>
      </c>
    </row>
    <row r="2956">
      <c r="A2956" s="40">
        <f t="array" ref="A2956">IFNA(index(PlayerValues!A:A,match(IFNA(vlookup(B2956,'Special Names'!A:B,2,FALSE),B2956),PlayerValues!E:E,0)),"N/A")</f>
        <v>12785</v>
      </c>
      <c r="B2956" s="4" t="s">
        <v>772</v>
      </c>
      <c r="C2956" s="4" t="s">
        <v>287</v>
      </c>
      <c r="D2956" s="94">
        <v>924.0</v>
      </c>
    </row>
    <row r="2957">
      <c r="A2957" s="40">
        <f t="array" ref="A2957">IFNA(index(PlayerValues!A:A,match(IFNA(vlookup(B2957,'Special Names'!A:B,2,FALSE),B2957),PlayerValues!E:E,0)),"N/A")</f>
        <v>16624</v>
      </c>
      <c r="B2957" s="4" t="s">
        <v>796</v>
      </c>
      <c r="C2957" s="4" t="s">
        <v>287</v>
      </c>
      <c r="D2957" s="94">
        <v>922.0</v>
      </c>
    </row>
    <row r="2958">
      <c r="A2958" s="40">
        <f t="array" ref="A2958">IFNA(index(PlayerValues!A:A,match(IFNA(vlookup(B2958,'Special Names'!A:B,2,FALSE),B2958),PlayerValues!E:E,0)),"N/A")</f>
        <v>14079</v>
      </c>
      <c r="B2958" s="4" t="s">
        <v>830</v>
      </c>
      <c r="C2958" s="4" t="s">
        <v>278</v>
      </c>
      <c r="D2958" s="94">
        <v>919.0</v>
      </c>
    </row>
    <row r="2959">
      <c r="A2959" s="40">
        <f t="array" ref="A2959">IFNA(index(PlayerValues!A:A,match(IFNA(vlookup(B2959,'Special Names'!A:B,2,FALSE),B2959),PlayerValues!E:E,0)),"N/A")</f>
        <v>11247</v>
      </c>
      <c r="B2959" s="4" t="s">
        <v>816</v>
      </c>
      <c r="C2959" s="4" t="s">
        <v>298</v>
      </c>
      <c r="D2959" s="94">
        <v>1280.0</v>
      </c>
    </row>
    <row r="2960">
      <c r="A2960" s="40">
        <f t="array" ref="A2960">IFNA(index(PlayerValues!A:A,match(IFNA(vlookup(B2960,'Special Names'!A:B,2,FALSE),B2960),PlayerValues!E:E,0)),"N/A")</f>
        <v>16176</v>
      </c>
      <c r="B2960" s="4" t="s">
        <v>812</v>
      </c>
      <c r="C2960" s="4" t="s">
        <v>278</v>
      </c>
      <c r="D2960" s="94">
        <v>907.0</v>
      </c>
    </row>
    <row r="2961">
      <c r="A2961" s="40">
        <f t="array" ref="A2961">IFNA(index(PlayerValues!A:A,match(IFNA(vlookup(B2961,'Special Names'!A:B,2,FALSE),B2961),PlayerValues!E:E,0)),"N/A")</f>
        <v>17488</v>
      </c>
      <c r="B2961" s="4" t="s">
        <v>845</v>
      </c>
      <c r="C2961" s="4" t="s">
        <v>278</v>
      </c>
      <c r="D2961" s="94">
        <v>907.0</v>
      </c>
    </row>
    <row r="2962">
      <c r="A2962" s="40">
        <f t="array" ref="A2962">IFNA(index(PlayerValues!A:A,match(IFNA(vlookup(B2962,'Special Names'!A:B,2,FALSE),B2962),PlayerValues!E:E,0)),"N/A")</f>
        <v>15723</v>
      </c>
      <c r="B2962" s="4" t="s">
        <v>798</v>
      </c>
      <c r="C2962" s="4" t="s">
        <v>278</v>
      </c>
      <c r="D2962" s="94">
        <v>904.0</v>
      </c>
    </row>
    <row r="2963">
      <c r="A2963" s="40">
        <f t="array" ref="A2963">IFNA(index(PlayerValues!A:A,match(IFNA(vlookup(B2963,'Special Names'!A:B,2,FALSE),B2963),PlayerValues!E:E,0)),"N/A")</f>
        <v>16773</v>
      </c>
      <c r="B2963" s="4" t="s">
        <v>783</v>
      </c>
      <c r="C2963" s="4" t="s">
        <v>278</v>
      </c>
      <c r="D2963" s="94">
        <v>900.0</v>
      </c>
    </row>
    <row r="2964">
      <c r="A2964" s="40">
        <f t="array" ref="A2964">IFNA(index(PlayerValues!A:A,match(IFNA(vlookup(B2964,'Special Names'!A:B,2,FALSE),B2964),PlayerValues!E:E,0)),"N/A")</f>
        <v>13763</v>
      </c>
      <c r="B2964" s="4" t="s">
        <v>831</v>
      </c>
      <c r="C2964" s="4" t="s">
        <v>298</v>
      </c>
      <c r="D2964" s="94">
        <v>1270.0</v>
      </c>
    </row>
    <row r="2965">
      <c r="A2965" s="40">
        <f t="array" ref="A2965">IFNA(index(PlayerValues!A:A,match(IFNA(vlookup(B2965,'Special Names'!A:B,2,FALSE),B2965),PlayerValues!E:E,0)),"N/A")</f>
        <v>16599</v>
      </c>
      <c r="B2965" s="4" t="s">
        <v>737</v>
      </c>
      <c r="C2965" s="4" t="s">
        <v>278</v>
      </c>
      <c r="D2965" s="94">
        <v>894.0</v>
      </c>
    </row>
    <row r="2966">
      <c r="A2966" s="40">
        <f t="array" ref="A2966">IFNA(index(PlayerValues!A:A,match(IFNA(vlookup(B2966,'Special Names'!A:B,2,FALSE),B2966),PlayerValues!E:E,0)),"N/A")</f>
        <v>11232</v>
      </c>
      <c r="B2966" s="4" t="s">
        <v>826</v>
      </c>
      <c r="C2966" s="4" t="s">
        <v>287</v>
      </c>
      <c r="D2966" s="94">
        <v>878.0</v>
      </c>
    </row>
    <row r="2967">
      <c r="A2967" s="40">
        <f t="array" ref="A2967">IFNA(index(PlayerValues!A:A,match(IFNA(vlookup(B2967,'Special Names'!A:B,2,FALSE),B2967),PlayerValues!E:E,0)),"N/A")</f>
        <v>16686</v>
      </c>
      <c r="B2967" s="4" t="s">
        <v>805</v>
      </c>
      <c r="C2967" s="4" t="s">
        <v>287</v>
      </c>
      <c r="D2967" s="94">
        <v>877.0</v>
      </c>
    </row>
    <row r="2968">
      <c r="A2968" s="40">
        <f t="array" ref="A2968">IFNA(index(PlayerValues!A:A,match(IFNA(vlookup(B2968,'Special Names'!A:B,2,FALSE),B2968),PlayerValues!E:E,0)),"N/A")</f>
        <v>14799</v>
      </c>
      <c r="B2968" s="4" t="s">
        <v>829</v>
      </c>
      <c r="C2968" s="4" t="s">
        <v>278</v>
      </c>
      <c r="D2968" s="94">
        <v>870.0</v>
      </c>
    </row>
    <row r="2969">
      <c r="A2969" s="40">
        <f t="array" ref="A2969">IFNA(index(PlayerValues!A:A,match(IFNA(vlookup(B2969,'Special Names'!A:B,2,FALSE),B2969),PlayerValues!E:E,0)),"N/A")</f>
        <v>15796</v>
      </c>
      <c r="B2969" s="4" t="s">
        <v>794</v>
      </c>
      <c r="C2969" s="4" t="s">
        <v>298</v>
      </c>
      <c r="D2969" s="94">
        <v>1242.0</v>
      </c>
    </row>
    <row r="2970">
      <c r="A2970" s="40">
        <f t="array" ref="A2970">IFNA(index(PlayerValues!A:A,match(IFNA(vlookup(B2970,'Special Names'!A:B,2,FALSE),B2970),PlayerValues!E:E,0)),"N/A")</f>
        <v>15263</v>
      </c>
      <c r="B2970" s="4" t="s">
        <v>804</v>
      </c>
      <c r="C2970" s="4" t="s">
        <v>278</v>
      </c>
      <c r="D2970" s="94">
        <v>869.0</v>
      </c>
    </row>
    <row r="2971">
      <c r="A2971" s="40">
        <f t="array" ref="A2971">IFNA(index(PlayerValues!A:A,match(IFNA(vlookup(B2971,'Special Names'!A:B,2,FALSE),B2971),PlayerValues!E:E,0)),"N/A")</f>
        <v>16416</v>
      </c>
      <c r="B2971" s="4" t="s">
        <v>752</v>
      </c>
      <c r="C2971" s="4" t="s">
        <v>287</v>
      </c>
      <c r="D2971" s="94">
        <v>869.0</v>
      </c>
    </row>
    <row r="2972">
      <c r="A2972" s="40">
        <f t="array" ref="A2972">IFNA(index(PlayerValues!A:A,match(IFNA(vlookup(B2972,'Special Names'!A:B,2,FALSE),B2972),PlayerValues!E:E,0)),"N/A")</f>
        <v>13157</v>
      </c>
      <c r="B2972" s="4" t="s">
        <v>836</v>
      </c>
      <c r="C2972" s="4" t="s">
        <v>287</v>
      </c>
      <c r="D2972" s="94">
        <v>868.0</v>
      </c>
    </row>
    <row r="2973">
      <c r="A2973" s="40">
        <f t="array" ref="A2973">IFNA(index(PlayerValues!A:A,match(IFNA(vlookup(B2973,'Special Names'!A:B,2,FALSE),B2973),PlayerValues!E:E,0)),"N/A")</f>
        <v>16608</v>
      </c>
      <c r="B2973" s="4" t="s">
        <v>629</v>
      </c>
      <c r="C2973" s="4" t="s">
        <v>278</v>
      </c>
      <c r="D2973" s="94">
        <v>860.0</v>
      </c>
    </row>
    <row r="2974">
      <c r="A2974" s="40">
        <f t="array" ref="A2974">IFNA(index(PlayerValues!A:A,match(IFNA(vlookup(B2974,'Special Names'!A:B,2,FALSE),B2974),PlayerValues!E:E,0)),"N/A")</f>
        <v>16751</v>
      </c>
      <c r="B2974" s="4" t="s">
        <v>762</v>
      </c>
      <c r="C2974" s="4" t="s">
        <v>287</v>
      </c>
      <c r="D2974" s="94">
        <v>859.0</v>
      </c>
    </row>
    <row r="2975">
      <c r="A2975" s="40">
        <f t="array" ref="A2975">IFNA(index(PlayerValues!A:A,match(IFNA(vlookup(B2975,'Special Names'!A:B,2,FALSE),B2975),PlayerValues!E:E,0)),"N/A")</f>
        <v>15714</v>
      </c>
      <c r="B2975" s="4" t="s">
        <v>775</v>
      </c>
      <c r="C2975" s="4" t="s">
        <v>278</v>
      </c>
      <c r="D2975" s="94">
        <v>855.0</v>
      </c>
    </row>
    <row r="2976">
      <c r="A2976" s="40">
        <f t="array" ref="A2976">IFNA(index(PlayerValues!A:A,match(IFNA(vlookup(B2976,'Special Names'!A:B,2,FALSE),B2976),PlayerValues!E:E,0)),"N/A")</f>
        <v>15804</v>
      </c>
      <c r="B2976" s="4" t="s">
        <v>821</v>
      </c>
      <c r="C2976" s="4" t="s">
        <v>298</v>
      </c>
      <c r="D2976" s="94">
        <v>1226.0</v>
      </c>
    </row>
    <row r="2977">
      <c r="A2977" s="40">
        <f t="array" ref="A2977">IFNA(index(PlayerValues!A:A,match(IFNA(vlookup(B2977,'Special Names'!A:B,2,FALSE),B2977),PlayerValues!E:E,0)),"N/A")</f>
        <v>16623</v>
      </c>
      <c r="B2977" s="4" t="s">
        <v>803</v>
      </c>
      <c r="C2977" s="4" t="s">
        <v>287</v>
      </c>
      <c r="D2977" s="94">
        <v>847.0</v>
      </c>
    </row>
    <row r="2978">
      <c r="A2978" s="40">
        <f t="array" ref="A2978">IFNA(index(PlayerValues!A:A,match(IFNA(vlookup(B2978,'Special Names'!A:B,2,FALSE),B2978),PlayerValues!E:E,0)),"N/A")</f>
        <v>13172</v>
      </c>
      <c r="B2978" s="4" t="s">
        <v>840</v>
      </c>
      <c r="C2978" s="4" t="s">
        <v>287</v>
      </c>
      <c r="D2978" s="94">
        <v>845.0</v>
      </c>
    </row>
    <row r="2979">
      <c r="A2979" s="40">
        <f t="array" ref="A2979">IFNA(index(PlayerValues!A:A,match(IFNA(vlookup(B2979,'Special Names'!A:B,2,FALSE),B2979),PlayerValues!E:E,0)),"N/A")</f>
        <v>15795</v>
      </c>
      <c r="B2979" s="4" t="s">
        <v>669</v>
      </c>
      <c r="C2979" s="4" t="s">
        <v>298</v>
      </c>
      <c r="D2979" s="94">
        <v>1209.0</v>
      </c>
    </row>
    <row r="2980">
      <c r="A2980" s="40">
        <f t="array" ref="A2980">IFNA(index(PlayerValues!A:A,match(IFNA(vlookup(B2980,'Special Names'!A:B,2,FALSE),B2980),PlayerValues!E:E,0)),"N/A")</f>
        <v>16625</v>
      </c>
      <c r="B2980" s="4" t="s">
        <v>778</v>
      </c>
      <c r="C2980" s="4" t="s">
        <v>287</v>
      </c>
      <c r="D2980" s="94">
        <v>830.0</v>
      </c>
    </row>
    <row r="2981">
      <c r="A2981" s="40">
        <f t="array" ref="A2981">IFNA(index(PlayerValues!A:A,match(IFNA(vlookup(B2981,'Special Names'!A:B,2,FALSE),B2981),PlayerValues!E:E,0)),"N/A")</f>
        <v>14209</v>
      </c>
      <c r="B2981" s="4" t="s">
        <v>809</v>
      </c>
      <c r="C2981" s="4" t="s">
        <v>298</v>
      </c>
      <c r="D2981" s="94">
        <v>1198.0</v>
      </c>
    </row>
    <row r="2982">
      <c r="A2982" s="40">
        <f t="array" ref="A2982">IFNA(index(PlayerValues!A:A,match(IFNA(vlookup(B2982,'Special Names'!A:B,2,FALSE),B2982),PlayerValues!E:E,0)),"N/A")</f>
        <v>15271</v>
      </c>
      <c r="B2982" s="4" t="s">
        <v>741</v>
      </c>
      <c r="C2982" s="4" t="s">
        <v>278</v>
      </c>
      <c r="D2982" s="94">
        <v>810.0</v>
      </c>
    </row>
    <row r="2983">
      <c r="A2983" s="40">
        <f t="array" ref="A2983">IFNA(index(PlayerValues!A:A,match(IFNA(vlookup(B2983,'Special Names'!A:B,2,FALSE),B2983),PlayerValues!E:E,0)),"N/A")</f>
        <v>10413</v>
      </c>
      <c r="B2983" s="4" t="s">
        <v>811</v>
      </c>
      <c r="C2983" s="4" t="s">
        <v>283</v>
      </c>
      <c r="D2983" s="94">
        <v>808.0</v>
      </c>
    </row>
    <row r="2984">
      <c r="A2984" s="40">
        <f t="array" ref="A2984">IFNA(index(PlayerValues!A:A,match(IFNA(vlookup(B2984,'Special Names'!A:B,2,FALSE),B2984),PlayerValues!E:E,0)),"N/A")</f>
        <v>12658</v>
      </c>
      <c r="B2984" s="4" t="s">
        <v>823</v>
      </c>
      <c r="C2984" s="4" t="s">
        <v>287</v>
      </c>
      <c r="D2984" s="94">
        <v>807.0</v>
      </c>
    </row>
    <row r="2985">
      <c r="A2985" s="40">
        <f t="array" ref="A2985">IFNA(index(PlayerValues!A:A,match(IFNA(vlookup(B2985,'Special Names'!A:B,2,FALSE),B2985),PlayerValues!E:E,0)),"N/A")</f>
        <v>16606</v>
      </c>
      <c r="B2985" s="4" t="s">
        <v>743</v>
      </c>
      <c r="C2985" s="4" t="s">
        <v>278</v>
      </c>
      <c r="D2985" s="94">
        <v>800.0</v>
      </c>
    </row>
    <row r="2986">
      <c r="A2986" s="40">
        <f t="array" ref="A2986">IFNA(index(PlayerValues!A:A,match(IFNA(vlookup(B2986,'Special Names'!A:B,2,FALSE),B2986),PlayerValues!E:E,0)),"N/A")</f>
        <v>13176</v>
      </c>
      <c r="B2986" s="4" t="s">
        <v>807</v>
      </c>
      <c r="C2986" s="4" t="s">
        <v>287</v>
      </c>
      <c r="D2986" s="94">
        <v>796.0</v>
      </c>
    </row>
    <row r="2987">
      <c r="A2987" s="40">
        <f t="array" ref="A2987">IFNA(index(PlayerValues!A:A,match(IFNA(vlookup(B2987,'Special Names'!A:B,2,FALSE),B2987),PlayerValues!E:E,0)),"N/A")</f>
        <v>14358</v>
      </c>
      <c r="B2987" s="4" t="s">
        <v>813</v>
      </c>
      <c r="C2987" s="4" t="s">
        <v>283</v>
      </c>
      <c r="D2987" s="94">
        <v>784.0</v>
      </c>
    </row>
    <row r="2988">
      <c r="A2988" s="40">
        <f t="array" ref="A2988">IFNA(index(PlayerValues!A:A,match(IFNA(vlookup(B2988,'Special Names'!A:B,2,FALSE),B2988),PlayerValues!E:E,0)),"N/A")</f>
        <v>15285</v>
      </c>
      <c r="B2988" s="4" t="s">
        <v>792</v>
      </c>
      <c r="C2988" s="4" t="s">
        <v>287</v>
      </c>
      <c r="D2988" s="94">
        <v>784.0</v>
      </c>
    </row>
    <row r="2989">
      <c r="A2989" s="40">
        <f t="array" ref="A2989">IFNA(index(PlayerValues!A:A,match(IFNA(vlookup(B2989,'Special Names'!A:B,2,FALSE),B2989),PlayerValues!E:E,0)),"N/A")</f>
        <v>16413</v>
      </c>
      <c r="B2989" s="4" t="s">
        <v>781</v>
      </c>
      <c r="C2989" s="4" t="s">
        <v>287</v>
      </c>
      <c r="D2989" s="94">
        <v>783.0</v>
      </c>
    </row>
    <row r="2990">
      <c r="A2990" s="40">
        <f t="array" ref="A2990">IFNA(index(PlayerValues!A:A,match(IFNA(vlookup(B2990,'Special Names'!A:B,2,FALSE),B2990),PlayerValues!E:E,0)),"N/A")</f>
        <v>17282</v>
      </c>
      <c r="B2990" s="4" t="s">
        <v>833</v>
      </c>
      <c r="C2990" s="4" t="s">
        <v>283</v>
      </c>
      <c r="D2990" s="94">
        <v>778.0</v>
      </c>
    </row>
    <row r="2991">
      <c r="A2991" s="40">
        <f t="array" ref="A2991">IFNA(index(PlayerValues!A:A,match(IFNA(vlookup(B2991,'Special Names'!A:B,2,FALSE),B2991),PlayerValues!E:E,0)),"N/A")</f>
        <v>16632</v>
      </c>
      <c r="B2991" s="4" t="s">
        <v>842</v>
      </c>
      <c r="C2991" s="4" t="s">
        <v>287</v>
      </c>
      <c r="D2991" s="94">
        <v>771.0</v>
      </c>
    </row>
    <row r="2992">
      <c r="A2992" s="40">
        <f t="array" ref="A2992">IFNA(index(PlayerValues!A:A,match(IFNA(vlookup(B2992,'Special Names'!A:B,2,FALSE),B2992),PlayerValues!E:E,0)),"N/A")</f>
        <v>14805</v>
      </c>
      <c r="B2992" s="4" t="s">
        <v>770</v>
      </c>
      <c r="C2992" s="4" t="s">
        <v>278</v>
      </c>
      <c r="D2992" s="94">
        <v>770.0</v>
      </c>
    </row>
    <row r="2993">
      <c r="A2993" s="40">
        <f t="array" ref="A2993">IFNA(index(PlayerValues!A:A,match(IFNA(vlookup(B2993,'Special Names'!A:B,2,FALSE),B2993),PlayerValues!E:E,0)),"N/A")</f>
        <v>15965</v>
      </c>
      <c r="B2993" s="4" t="s">
        <v>791</v>
      </c>
      <c r="C2993" s="4" t="s">
        <v>278</v>
      </c>
      <c r="D2993" s="94">
        <v>770.0</v>
      </c>
    </row>
    <row r="2994">
      <c r="A2994" s="40">
        <f t="array" ref="A2994">IFNA(index(PlayerValues!A:A,match(IFNA(vlookup(B2994,'Special Names'!A:B,2,FALSE),B2994),PlayerValues!E:E,0)),"N/A")</f>
        <v>16678</v>
      </c>
      <c r="B2994" s="4" t="s">
        <v>758</v>
      </c>
      <c r="C2994" s="4" t="s">
        <v>278</v>
      </c>
      <c r="D2994" s="94">
        <v>758.0</v>
      </c>
    </row>
    <row r="2995">
      <c r="A2995" s="40">
        <f t="array" ref="A2995">IFNA(index(PlayerValues!A:A,match(IFNA(vlookup(B2995,'Special Names'!A:B,2,FALSE),B2995),PlayerValues!E:E,0)),"N/A")</f>
        <v>13424</v>
      </c>
      <c r="B2995" s="4" t="s">
        <v>846</v>
      </c>
      <c r="C2995" s="4" t="s">
        <v>298</v>
      </c>
      <c r="D2995" s="94">
        <v>1116.0</v>
      </c>
    </row>
    <row r="2996">
      <c r="A2996" s="40">
        <f t="array" ref="A2996">IFNA(index(PlayerValues!A:A,match(IFNA(vlookup(B2996,'Special Names'!A:B,2,FALSE),B2996),PlayerValues!E:E,0)),"N/A")</f>
        <v>14223</v>
      </c>
      <c r="B2996" s="4" t="s">
        <v>785</v>
      </c>
      <c r="C2996" s="4" t="s">
        <v>278</v>
      </c>
      <c r="D2996" s="94">
        <v>744.0</v>
      </c>
    </row>
    <row r="2997">
      <c r="A2997" s="40">
        <f t="array" ref="A2997">IFNA(index(PlayerValues!A:A,match(IFNA(vlookup(B2997,'Special Names'!A:B,2,FALSE),B2997),PlayerValues!E:E,0)),"N/A")</f>
        <v>13675</v>
      </c>
      <c r="B2997" s="4" t="s">
        <v>839</v>
      </c>
      <c r="C2997" s="4" t="s">
        <v>298</v>
      </c>
      <c r="D2997" s="94">
        <v>1111.0</v>
      </c>
    </row>
    <row r="2998">
      <c r="A2998" s="40">
        <f t="array" ref="A2998">IFNA(index(PlayerValues!A:A,match(IFNA(vlookup(B2998,'Special Names'!A:B,2,FALSE),B2998),PlayerValues!E:E,0)),"N/A")</f>
        <v>17232</v>
      </c>
      <c r="B2998" s="4" t="s">
        <v>784</v>
      </c>
      <c r="C2998" s="4" t="s">
        <v>287</v>
      </c>
      <c r="D2998" s="94">
        <v>735.0</v>
      </c>
    </row>
    <row r="2999">
      <c r="A2999" s="40">
        <f t="array" ref="A2999">IFNA(index(PlayerValues!A:A,match(IFNA(vlookup(B2999,'Special Names'!A:B,2,FALSE),B2999),PlayerValues!E:E,0)),"N/A")</f>
        <v>13377</v>
      </c>
      <c r="B2999" s="4" t="s">
        <v>847</v>
      </c>
      <c r="C2999" s="4" t="s">
        <v>287</v>
      </c>
      <c r="D2999" s="94">
        <v>728.0</v>
      </c>
    </row>
    <row r="3000">
      <c r="A3000" s="40">
        <f t="array" ref="A3000">IFNA(index(PlayerValues!A:A,match(IFNA(vlookup(B3000,'Special Names'!A:B,2,FALSE),B3000),PlayerValues!E:E,0)),"N/A")</f>
        <v>16170</v>
      </c>
      <c r="B3000" s="4" t="s">
        <v>801</v>
      </c>
      <c r="C3000" s="4" t="s">
        <v>278</v>
      </c>
      <c r="D3000" s="94">
        <v>725.0</v>
      </c>
    </row>
    <row r="3001">
      <c r="A3001" s="40">
        <f t="array" ref="A3001">IFNA(index(PlayerValues!A:A,match(IFNA(vlookup(B3001,'Special Names'!A:B,2,FALSE),B3001),PlayerValues!E:E,0)),"N/A")</f>
        <v>13589</v>
      </c>
      <c r="B3001" s="4" t="s">
        <v>282</v>
      </c>
      <c r="C3001" s="4" t="s">
        <v>283</v>
      </c>
      <c r="D3001" s="94">
        <v>9997.0</v>
      </c>
    </row>
    <row r="3002">
      <c r="A3002" s="40">
        <f t="array" ref="A3002">IFNA(index(PlayerValues!A:A,match(IFNA(vlookup(B3002,'Special Names'!A:B,2,FALSE),B3002),PlayerValues!E:E,0)),"N/A")</f>
        <v>16161</v>
      </c>
      <c r="B3002" s="4" t="s">
        <v>277</v>
      </c>
      <c r="C3002" s="4" t="s">
        <v>278</v>
      </c>
      <c r="D3002" s="94">
        <v>9986.0</v>
      </c>
    </row>
    <row r="3003">
      <c r="A3003" s="40">
        <f t="array" ref="A3003">IFNA(index(PlayerValues!A:A,match(IFNA(vlookup(B3003,'Special Names'!A:B,2,FALSE),B3003),PlayerValues!E:E,0)),"N/A")</f>
        <v>16185</v>
      </c>
      <c r="B3003" s="4" t="s">
        <v>290</v>
      </c>
      <c r="C3003" s="4" t="s">
        <v>287</v>
      </c>
      <c r="D3003" s="94">
        <v>9963.0</v>
      </c>
    </row>
    <row r="3004">
      <c r="A3004" s="40">
        <f t="array" ref="A3004">IFNA(index(PlayerValues!A:A,match(IFNA(vlookup(B3004,'Special Names'!A:B,2,FALSE),B3004),PlayerValues!E:E,0)),"N/A")</f>
        <v>15281</v>
      </c>
      <c r="B3004" s="4" t="s">
        <v>286</v>
      </c>
      <c r="C3004" s="4" t="s">
        <v>287</v>
      </c>
      <c r="D3004" s="94">
        <v>9821.0</v>
      </c>
    </row>
    <row r="3005">
      <c r="A3005" s="40">
        <f t="array" ref="A3005">IFNA(index(PlayerValues!A:A,match(IFNA(vlookup(B3005,'Special Names'!A:B,2,FALSE),B3005),PlayerValues!E:E,0)),"N/A")</f>
        <v>16580</v>
      </c>
      <c r="B3005" s="4" t="s">
        <v>291</v>
      </c>
      <c r="C3005" s="4" t="s">
        <v>283</v>
      </c>
      <c r="D3005" s="94">
        <v>9714.0</v>
      </c>
    </row>
    <row r="3006">
      <c r="A3006" s="40">
        <f t="array" ref="A3006">IFNA(index(PlayerValues!A:A,match(IFNA(vlookup(B3006,'Special Names'!A:B,2,FALSE),B3006),PlayerValues!E:E,0)),"N/A")</f>
        <v>16211</v>
      </c>
      <c r="B3006" s="4" t="s">
        <v>294</v>
      </c>
      <c r="C3006" s="4" t="s">
        <v>287</v>
      </c>
      <c r="D3006" s="94">
        <v>9553.0</v>
      </c>
    </row>
    <row r="3007">
      <c r="A3007" s="40">
        <f t="array" ref="A3007">IFNA(index(PlayerValues!A:A,match(IFNA(vlookup(B3007,'Special Names'!A:B,2,FALSE),B3007),PlayerValues!E:E,0)),"N/A")</f>
        <v>16162</v>
      </c>
      <c r="B3007" s="4" t="s">
        <v>281</v>
      </c>
      <c r="C3007" s="4" t="s">
        <v>278</v>
      </c>
      <c r="D3007" s="94">
        <v>9419.0</v>
      </c>
    </row>
    <row r="3008">
      <c r="A3008" s="40">
        <f t="array" ref="A3008">IFNA(index(PlayerValues!A:A,match(IFNA(vlookup(B3008,'Special Names'!A:B,2,FALSE),B3008),PlayerValues!E:E,0)),"N/A")</f>
        <v>16615</v>
      </c>
      <c r="B3008" s="4" t="s">
        <v>309</v>
      </c>
      <c r="C3008" s="4" t="s">
        <v>287</v>
      </c>
      <c r="D3008" s="94">
        <v>7738.0</v>
      </c>
    </row>
    <row r="3009">
      <c r="A3009" s="40">
        <f t="array" ref="A3009">IFNA(index(PlayerValues!A:A,match(IFNA(vlookup(B3009,'Special Names'!A:B,2,FALSE),B3009),PlayerValues!E:E,0)),"N/A")</f>
        <v>15794</v>
      </c>
      <c r="B3009" s="4" t="s">
        <v>313</v>
      </c>
      <c r="C3009" s="4" t="s">
        <v>298</v>
      </c>
      <c r="D3009" s="94">
        <v>8530.0</v>
      </c>
    </row>
    <row r="3010">
      <c r="A3010" s="40">
        <f t="array" ref="A3010">IFNA(index(PlayerValues!A:A,match(IFNA(vlookup(B3010,'Special Names'!A:B,2,FALSE),B3010),PlayerValues!E:E,0)),"N/A")</f>
        <v>15287</v>
      </c>
      <c r="B3010" s="4" t="s">
        <v>299</v>
      </c>
      <c r="C3010" s="4" t="s">
        <v>287</v>
      </c>
      <c r="D3010" s="94">
        <v>7648.0</v>
      </c>
    </row>
    <row r="3011">
      <c r="A3011" s="40">
        <f t="array" ref="A3011">IFNA(index(PlayerValues!A:A,match(IFNA(vlookup(B3011,'Special Names'!A:B,2,FALSE),B3011),PlayerValues!E:E,0)),"N/A")</f>
        <v>16641</v>
      </c>
      <c r="B3011" s="4" t="s">
        <v>297</v>
      </c>
      <c r="C3011" s="4" t="s">
        <v>298</v>
      </c>
      <c r="D3011" s="94">
        <v>8425.0</v>
      </c>
    </row>
    <row r="3012">
      <c r="A3012" s="40">
        <f t="array" ref="A3012">IFNA(index(PlayerValues!A:A,match(IFNA(vlookup(B3012,'Special Names'!A:B,2,FALSE),B3012),PlayerValues!E:E,0)),"N/A")</f>
        <v>16581</v>
      </c>
      <c r="B3012" s="4" t="s">
        <v>315</v>
      </c>
      <c r="C3012" s="4" t="s">
        <v>283</v>
      </c>
      <c r="D3012" s="94">
        <v>7607.0</v>
      </c>
    </row>
    <row r="3013">
      <c r="A3013" s="40">
        <f t="array" ref="A3013">IFNA(index(PlayerValues!A:A,match(IFNA(vlookup(B3013,'Special Names'!A:B,2,FALSE),B3013),PlayerValues!E:E,0)),"N/A")</f>
        <v>16579</v>
      </c>
      <c r="B3013" s="4" t="s">
        <v>302</v>
      </c>
      <c r="C3013" s="4" t="s">
        <v>283</v>
      </c>
      <c r="D3013" s="94">
        <v>7599.0</v>
      </c>
    </row>
    <row r="3014">
      <c r="A3014" s="40">
        <f t="array" ref="A3014">IFNA(index(PlayerValues!A:A,match(IFNA(vlookup(B3014,'Special Names'!A:B,2,FALSE),B3014),PlayerValues!E:E,0)),"N/A")</f>
        <v>13593</v>
      </c>
      <c r="B3014" s="4" t="s">
        <v>305</v>
      </c>
      <c r="C3014" s="4" t="s">
        <v>283</v>
      </c>
      <c r="D3014" s="94">
        <v>7516.0</v>
      </c>
    </row>
    <row r="3015">
      <c r="A3015" s="40">
        <f t="array" ref="A3015">IFNA(index(PlayerValues!A:A,match(IFNA(vlookup(B3015,'Special Names'!A:B,2,FALSE),B3015),PlayerValues!E:E,0)),"N/A")</f>
        <v>14836</v>
      </c>
      <c r="B3015" s="4" t="s">
        <v>306</v>
      </c>
      <c r="C3015" s="4" t="s">
        <v>287</v>
      </c>
      <c r="D3015" s="94">
        <v>7410.0</v>
      </c>
    </row>
    <row r="3016">
      <c r="A3016" s="40">
        <f t="array" ref="A3016">IFNA(index(PlayerValues!A:A,match(IFNA(vlookup(B3016,'Special Names'!A:B,2,FALSE),B3016),PlayerValues!E:E,0)),"N/A")</f>
        <v>14832</v>
      </c>
      <c r="B3016" s="4" t="s">
        <v>319</v>
      </c>
      <c r="C3016" s="4" t="s">
        <v>287</v>
      </c>
      <c r="D3016" s="94">
        <v>7349.0</v>
      </c>
    </row>
    <row r="3017">
      <c r="A3017" s="40">
        <f t="array" ref="A3017">IFNA(index(PlayerValues!A:A,match(IFNA(vlookup(B3017,'Special Names'!A:B,2,FALSE),B3017),PlayerValues!E:E,0)),"N/A")</f>
        <v>14777</v>
      </c>
      <c r="B3017" s="4" t="s">
        <v>318</v>
      </c>
      <c r="C3017" s="4" t="s">
        <v>283</v>
      </c>
      <c r="D3017" s="94">
        <v>7238.0</v>
      </c>
    </row>
    <row r="3018">
      <c r="A3018" s="40">
        <f t="array" ref="A3018">IFNA(index(PlayerValues!A:A,match(IFNA(vlookup(B3018,'Special Names'!A:B,2,FALSE),B3018),PlayerValues!E:E,0)),"N/A")</f>
        <v>17042</v>
      </c>
      <c r="B3018" s="4" t="s">
        <v>314</v>
      </c>
      <c r="C3018" s="4" t="s">
        <v>278</v>
      </c>
      <c r="D3018" s="94">
        <v>7198.0</v>
      </c>
    </row>
    <row r="3019">
      <c r="A3019" s="40">
        <f t="array" ref="A3019">IFNA(index(PlayerValues!A:A,match(IFNA(vlookup(B3019,'Special Names'!A:B,2,FALSE),B3019),PlayerValues!E:E,0)),"N/A")</f>
        <v>16167</v>
      </c>
      <c r="B3019" s="4" t="s">
        <v>323</v>
      </c>
      <c r="C3019" s="4" t="s">
        <v>278</v>
      </c>
      <c r="D3019" s="94">
        <v>7103.0</v>
      </c>
    </row>
    <row r="3020">
      <c r="A3020" s="40">
        <f t="array" ref="A3020">IFNA(index(PlayerValues!A:A,match(IFNA(vlookup(B3020,'Special Names'!A:B,2,FALSE),B3020),PlayerValues!E:E,0)),"N/A")</f>
        <v>15751</v>
      </c>
      <c r="B3020" s="4" t="s">
        <v>328</v>
      </c>
      <c r="C3020" s="4" t="s">
        <v>287</v>
      </c>
      <c r="D3020" s="94">
        <v>7006.0</v>
      </c>
    </row>
    <row r="3021">
      <c r="A3021" s="40">
        <f t="array" ref="A3021">IFNA(index(PlayerValues!A:A,match(IFNA(vlookup(B3021,'Special Names'!A:B,2,FALSE),B3021),PlayerValues!E:E,0)),"N/A")</f>
        <v>14779</v>
      </c>
      <c r="B3021" s="4" t="s">
        <v>327</v>
      </c>
      <c r="C3021" s="4" t="s">
        <v>283</v>
      </c>
      <c r="D3021" s="94">
        <v>6843.0</v>
      </c>
    </row>
    <row r="3022">
      <c r="A3022" s="40">
        <f t="array" ref="A3022">IFNA(index(PlayerValues!A:A,match(IFNA(vlookup(B3022,'Special Names'!A:B,2,FALSE),B3022),PlayerValues!E:E,0)),"N/A")</f>
        <v>17472</v>
      </c>
      <c r="B3022" s="4" t="s">
        <v>310</v>
      </c>
      <c r="C3022" s="4" t="s">
        <v>278</v>
      </c>
      <c r="D3022" s="94">
        <v>6748.0</v>
      </c>
    </row>
    <row r="3023">
      <c r="A3023" s="40" t="str">
        <f t="array" ref="A3023">IFNA(index(PlayerValues!A:A,match(IFNA(vlookup(B3023,'Special Names'!A:B,2,FALSE),B3023),PlayerValues!E:E,0)),"N/A")</f>
        <v>N/A</v>
      </c>
      <c r="B3023" s="4" t="s">
        <v>92</v>
      </c>
      <c r="C3023" s="4" t="s">
        <v>325</v>
      </c>
      <c r="D3023" s="94">
        <v>6634.0</v>
      </c>
    </row>
    <row r="3024">
      <c r="A3024" s="40">
        <f t="array" ref="A3024">IFNA(index(PlayerValues!A:A,match(IFNA(vlookup(B3024,'Special Names'!A:B,2,FALSE),B3024),PlayerValues!E:E,0)),"N/A")</f>
        <v>17044</v>
      </c>
      <c r="B3024" s="4" t="s">
        <v>322</v>
      </c>
      <c r="C3024" s="4" t="s">
        <v>278</v>
      </c>
      <c r="D3024" s="94">
        <v>6621.0</v>
      </c>
    </row>
    <row r="3025">
      <c r="A3025" s="40">
        <f t="array" ref="A3025">IFNA(index(PlayerValues!A:A,match(IFNA(vlookup(B3025,'Special Names'!A:B,2,FALSE),B3025),PlayerValues!E:E,0)),"N/A")</f>
        <v>13116</v>
      </c>
      <c r="B3025" s="4" t="s">
        <v>345</v>
      </c>
      <c r="C3025" s="4" t="s">
        <v>283</v>
      </c>
      <c r="D3025" s="94">
        <v>6608.0</v>
      </c>
    </row>
    <row r="3026">
      <c r="A3026" s="40">
        <f t="array" ref="A3026">IFNA(index(PlayerValues!A:A,match(IFNA(vlookup(B3026,'Special Names'!A:B,2,FALSE),B3026),PlayerValues!E:E,0)),"N/A")</f>
        <v>17032</v>
      </c>
      <c r="B3026" s="4" t="s">
        <v>348</v>
      </c>
      <c r="C3026" s="4" t="s">
        <v>283</v>
      </c>
      <c r="D3026" s="94">
        <v>6600.0</v>
      </c>
    </row>
    <row r="3027">
      <c r="A3027" s="40">
        <f t="array" ref="A3027">IFNA(index(PlayerValues!A:A,match(IFNA(vlookup(B3027,'Special Names'!A:B,2,FALSE),B3027),PlayerValues!E:E,0)),"N/A")</f>
        <v>17071</v>
      </c>
      <c r="B3027" s="4" t="s">
        <v>341</v>
      </c>
      <c r="C3027" s="4" t="s">
        <v>287</v>
      </c>
      <c r="D3027" s="94">
        <v>6571.0</v>
      </c>
    </row>
    <row r="3028">
      <c r="A3028" s="40">
        <f t="array" ref="A3028">IFNA(index(PlayerValues!A:A,match(IFNA(vlookup(B3028,'Special Names'!A:B,2,FALSE),B3028),PlayerValues!E:E,0)),"N/A")</f>
        <v>14783</v>
      </c>
      <c r="B3028" s="4" t="s">
        <v>342</v>
      </c>
      <c r="C3028" s="4" t="s">
        <v>283</v>
      </c>
      <c r="D3028" s="94">
        <v>6396.0</v>
      </c>
    </row>
    <row r="3029">
      <c r="A3029" s="40">
        <f t="array" ref="A3029">IFNA(index(PlayerValues!A:A,match(IFNA(vlookup(B3029,'Special Names'!A:B,2,FALSE),B3029),PlayerValues!E:E,0)),"N/A")</f>
        <v>15237</v>
      </c>
      <c r="B3029" s="4" t="s">
        <v>336</v>
      </c>
      <c r="C3029" s="4" t="s">
        <v>283</v>
      </c>
      <c r="D3029" s="94">
        <v>6315.0</v>
      </c>
    </row>
    <row r="3030">
      <c r="A3030" s="40">
        <f t="array" ref="A3030">IFNA(index(PlayerValues!A:A,match(IFNA(vlookup(B3030,'Special Names'!A:B,2,FALSE),B3030),PlayerValues!E:E,0)),"N/A")</f>
        <v>16582</v>
      </c>
      <c r="B3030" s="4" t="s">
        <v>343</v>
      </c>
      <c r="C3030" s="4" t="s">
        <v>283</v>
      </c>
      <c r="D3030" s="94">
        <v>6197.0</v>
      </c>
    </row>
    <row r="3031">
      <c r="A3031" s="40">
        <f t="array" ref="A3031">IFNA(index(PlayerValues!A:A,match(IFNA(vlookup(B3031,'Special Names'!A:B,2,FALSE),B3031),PlayerValues!E:E,0)),"N/A")</f>
        <v>14802</v>
      </c>
      <c r="B3031" s="4" t="s">
        <v>332</v>
      </c>
      <c r="C3031" s="4" t="s">
        <v>278</v>
      </c>
      <c r="D3031" s="94">
        <v>6188.0</v>
      </c>
    </row>
    <row r="3032">
      <c r="A3032" s="40">
        <f t="array" ref="A3032">IFNA(index(PlayerValues!A:A,match(IFNA(vlookup(B3032,'Special Names'!A:B,2,FALSE),B3032),PlayerValues!E:E,0)),"N/A")</f>
        <v>15715</v>
      </c>
      <c r="B3032" s="4" t="s">
        <v>331</v>
      </c>
      <c r="C3032" s="4" t="s">
        <v>278</v>
      </c>
      <c r="D3032" s="94">
        <v>6165.0</v>
      </c>
    </row>
    <row r="3033">
      <c r="A3033" s="40">
        <f t="array" ref="A3033">IFNA(index(PlayerValues!A:A,match(IFNA(vlookup(B3033,'Special Names'!A:B,2,FALSE),B3033),PlayerValues!E:E,0)),"N/A")</f>
        <v>15762</v>
      </c>
      <c r="B3033" s="4" t="s">
        <v>337</v>
      </c>
      <c r="C3033" s="4" t="s">
        <v>287</v>
      </c>
      <c r="D3033" s="94">
        <v>6154.0</v>
      </c>
    </row>
    <row r="3034">
      <c r="A3034" s="40">
        <f t="array" ref="A3034">IFNA(index(PlayerValues!A:A,match(IFNA(vlookup(B3034,'Special Names'!A:B,2,FALSE),B3034),PlayerValues!E:E,0)),"N/A")</f>
        <v>15698</v>
      </c>
      <c r="B3034" s="4" t="s">
        <v>358</v>
      </c>
      <c r="C3034" s="4" t="s">
        <v>283</v>
      </c>
      <c r="D3034" s="94">
        <v>6098.0</v>
      </c>
    </row>
    <row r="3035">
      <c r="A3035" s="40" t="str">
        <f t="array" ref="A3035">IFNA(index(PlayerValues!A:A,match(IFNA(vlookup(B3035,'Special Names'!A:B,2,FALSE),B3035),PlayerValues!E:E,0)),"N/A")</f>
        <v>N/A</v>
      </c>
      <c r="B3035" s="4" t="s">
        <v>79</v>
      </c>
      <c r="C3035" s="4" t="s">
        <v>325</v>
      </c>
      <c r="D3035" s="94">
        <v>6044.0</v>
      </c>
    </row>
    <row r="3036">
      <c r="A3036" s="40">
        <f t="array" ref="A3036">IFNA(index(PlayerValues!A:A,match(IFNA(vlookup(B3036,'Special Names'!A:B,2,FALSE),B3036),PlayerValues!E:E,0)),"N/A")</f>
        <v>17081</v>
      </c>
      <c r="B3036" s="4" t="s">
        <v>340</v>
      </c>
      <c r="C3036" s="4" t="s">
        <v>287</v>
      </c>
      <c r="D3036" s="94">
        <v>6005.0</v>
      </c>
    </row>
    <row r="3037">
      <c r="A3037" s="40">
        <f t="array" ref="A3037">IFNA(index(PlayerValues!A:A,match(IFNA(vlookup(B3037,'Special Names'!A:B,2,FALSE),B3037),PlayerValues!E:E,0)),"N/A")</f>
        <v>15290</v>
      </c>
      <c r="B3037" s="4" t="s">
        <v>355</v>
      </c>
      <c r="C3037" s="4" t="s">
        <v>287</v>
      </c>
      <c r="D3037" s="94">
        <v>5983.0</v>
      </c>
    </row>
    <row r="3038">
      <c r="A3038" s="40">
        <f t="array" ref="A3038">IFNA(index(PlayerValues!A:A,match(IFNA(vlookup(B3038,'Special Names'!A:B,2,FALSE),B3038),PlayerValues!E:E,0)),"N/A")</f>
        <v>17043</v>
      </c>
      <c r="B3038" s="4" t="s">
        <v>397</v>
      </c>
      <c r="C3038" s="4" t="s">
        <v>278</v>
      </c>
      <c r="D3038" s="94">
        <v>5966.0</v>
      </c>
    </row>
    <row r="3039">
      <c r="A3039" s="40">
        <f t="array" ref="A3039">IFNA(index(PlayerValues!A:A,match(IFNA(vlookup(B3039,'Special Names'!A:B,2,FALSE),B3039),PlayerValues!E:E,0)),"N/A")</f>
        <v>17104</v>
      </c>
      <c r="B3039" s="4" t="s">
        <v>333</v>
      </c>
      <c r="C3039" s="4" t="s">
        <v>298</v>
      </c>
      <c r="D3039" s="94">
        <v>6491.0</v>
      </c>
    </row>
    <row r="3040">
      <c r="A3040" s="40">
        <f t="array" ref="A3040">IFNA(index(PlayerValues!A:A,match(IFNA(vlookup(B3040,'Special Names'!A:B,2,FALSE),B3040),PlayerValues!E:E,0)),"N/A")</f>
        <v>15753</v>
      </c>
      <c r="B3040" s="4" t="s">
        <v>359</v>
      </c>
      <c r="C3040" s="4" t="s">
        <v>287</v>
      </c>
      <c r="D3040" s="94">
        <v>5819.0</v>
      </c>
    </row>
    <row r="3041">
      <c r="A3041" s="40">
        <f t="array" ref="A3041">IFNA(index(PlayerValues!A:A,match(IFNA(vlookup(B3041,'Special Names'!A:B,2,FALSE),B3041),PlayerValues!E:E,0)),"N/A")</f>
        <v>15754</v>
      </c>
      <c r="B3041" s="4" t="s">
        <v>354</v>
      </c>
      <c r="C3041" s="4" t="s">
        <v>287</v>
      </c>
      <c r="D3041" s="94">
        <v>5805.0</v>
      </c>
    </row>
    <row r="3042">
      <c r="A3042" s="40">
        <f t="array" ref="A3042">IFNA(index(PlayerValues!A:A,match(IFNA(vlookup(B3042,'Special Names'!A:B,2,FALSE),B3042),PlayerValues!E:E,0)),"N/A")</f>
        <v>14782</v>
      </c>
      <c r="B3042" s="4" t="s">
        <v>385</v>
      </c>
      <c r="C3042" s="4" t="s">
        <v>283</v>
      </c>
      <c r="D3042" s="94">
        <v>5702.0</v>
      </c>
    </row>
    <row r="3043">
      <c r="A3043" s="40">
        <f t="array" ref="A3043">IFNA(index(PlayerValues!A:A,match(IFNA(vlookup(B3043,'Special Names'!A:B,2,FALSE),B3043),PlayerValues!E:E,0)),"N/A")</f>
        <v>17102</v>
      </c>
      <c r="B3043" s="4" t="s">
        <v>344</v>
      </c>
      <c r="C3043" s="4" t="s">
        <v>298</v>
      </c>
      <c r="D3043" s="94">
        <v>6248.0</v>
      </c>
    </row>
    <row r="3044">
      <c r="A3044" s="40">
        <f t="array" ref="A3044">IFNA(index(PlayerValues!A:A,match(IFNA(vlookup(B3044,'Special Names'!A:B,2,FALSE),B3044),PlayerValues!E:E,0)),"N/A")</f>
        <v>17462</v>
      </c>
      <c r="B3044" s="4" t="s">
        <v>375</v>
      </c>
      <c r="C3044" s="4" t="s">
        <v>283</v>
      </c>
      <c r="D3044" s="94">
        <v>5583.0</v>
      </c>
    </row>
    <row r="3045">
      <c r="A3045" s="40">
        <f t="array" ref="A3045">IFNA(index(PlayerValues!A:A,match(IFNA(vlookup(B3045,'Special Names'!A:B,2,FALSE),B3045),PlayerValues!E:E,0)),"N/A")</f>
        <v>17051</v>
      </c>
      <c r="B3045" s="4" t="s">
        <v>386</v>
      </c>
      <c r="C3045" s="4" t="s">
        <v>278</v>
      </c>
      <c r="D3045" s="94">
        <v>5508.0</v>
      </c>
    </row>
    <row r="3046">
      <c r="A3046" s="40">
        <f t="array" ref="A3046">IFNA(index(PlayerValues!A:A,match(IFNA(vlookup(B3046,'Special Names'!A:B,2,FALSE),B3046),PlayerValues!E:E,0)),"N/A")</f>
        <v>15708</v>
      </c>
      <c r="B3046" s="4" t="s">
        <v>382</v>
      </c>
      <c r="C3046" s="4" t="s">
        <v>278</v>
      </c>
      <c r="D3046" s="94">
        <v>5486.0</v>
      </c>
    </row>
    <row r="3047">
      <c r="A3047" s="40">
        <f t="array" ref="A3047">IFNA(index(PlayerValues!A:A,match(IFNA(vlookup(B3047,'Special Names'!A:B,2,FALSE),B3047),PlayerValues!E:E,0)),"N/A")</f>
        <v>16598</v>
      </c>
      <c r="B3047" s="4" t="s">
        <v>408</v>
      </c>
      <c r="C3047" s="4" t="s">
        <v>278</v>
      </c>
      <c r="D3047" s="94">
        <v>5486.0</v>
      </c>
    </row>
    <row r="3048">
      <c r="A3048" s="40">
        <f t="array" ref="A3048">IFNA(index(PlayerValues!A:A,match(IFNA(vlookup(B3048,'Special Names'!A:B,2,FALSE),B3048),PlayerValues!E:E,0)),"N/A")</f>
        <v>16194</v>
      </c>
      <c r="B3048" s="4" t="s">
        <v>398</v>
      </c>
      <c r="C3048" s="4" t="s">
        <v>287</v>
      </c>
      <c r="D3048" s="94">
        <v>5404.0</v>
      </c>
    </row>
    <row r="3049">
      <c r="A3049" s="40" t="str">
        <f t="array" ref="A3049">IFNA(index(PlayerValues!A:A,match(IFNA(vlookup(B3049,'Special Names'!A:B,2,FALSE),B3049),PlayerValues!E:E,0)),"N/A")</f>
        <v>N/A</v>
      </c>
      <c r="B3049" s="4" t="s">
        <v>93</v>
      </c>
      <c r="C3049" s="4" t="s">
        <v>325</v>
      </c>
      <c r="D3049" s="94">
        <v>5404.0</v>
      </c>
    </row>
    <row r="3050">
      <c r="A3050" s="40">
        <f t="array" ref="A3050">IFNA(index(PlayerValues!A:A,match(IFNA(vlookup(B3050,'Special Names'!A:B,2,FALSE),B3050),PlayerValues!E:E,0)),"N/A")</f>
        <v>17499</v>
      </c>
      <c r="B3050" s="4" t="s">
        <v>402</v>
      </c>
      <c r="C3050" s="4" t="s">
        <v>287</v>
      </c>
      <c r="D3050" s="94">
        <v>5391.0</v>
      </c>
    </row>
    <row r="3051">
      <c r="A3051" s="40">
        <f t="array" ref="A3051">IFNA(index(PlayerValues!A:A,match(IFNA(vlookup(B3051,'Special Names'!A:B,2,FALSE),B3051),PlayerValues!E:E,0)),"N/A")</f>
        <v>16627</v>
      </c>
      <c r="B3051" s="4" t="s">
        <v>351</v>
      </c>
      <c r="C3051" s="4" t="s">
        <v>287</v>
      </c>
      <c r="D3051" s="94">
        <v>5376.0</v>
      </c>
    </row>
    <row r="3052">
      <c r="A3052" s="40">
        <f t="array" ref="A3052">IFNA(index(PlayerValues!A:A,match(IFNA(vlookup(B3052,'Special Names'!A:B,2,FALSE),B3052),PlayerValues!E:E,0)),"N/A")</f>
        <v>16616</v>
      </c>
      <c r="B3052" s="4" t="s">
        <v>389</v>
      </c>
      <c r="C3052" s="4" t="s">
        <v>287</v>
      </c>
      <c r="D3052" s="94">
        <v>5245.0</v>
      </c>
    </row>
    <row r="3053">
      <c r="A3053" s="40">
        <f t="array" ref="A3053">IFNA(index(PlayerValues!A:A,match(IFNA(vlookup(B3053,'Special Names'!A:B,2,FALSE),B3053),PlayerValues!E:E,0)),"N/A")</f>
        <v>13130</v>
      </c>
      <c r="B3053" s="4" t="s">
        <v>374</v>
      </c>
      <c r="C3053" s="4" t="s">
        <v>278</v>
      </c>
      <c r="D3053" s="94">
        <v>5183.0</v>
      </c>
    </row>
    <row r="3054">
      <c r="A3054" s="40">
        <f t="array" ref="A3054">IFNA(index(PlayerValues!A:A,match(IFNA(vlookup(B3054,'Special Names'!A:B,2,FALSE),B3054),PlayerValues!E:E,0)),"N/A")</f>
        <v>17497</v>
      </c>
      <c r="B3054" s="4" t="s">
        <v>365</v>
      </c>
      <c r="C3054" s="4" t="s">
        <v>287</v>
      </c>
      <c r="D3054" s="94">
        <v>5182.0</v>
      </c>
    </row>
    <row r="3055">
      <c r="A3055" s="40">
        <f t="array" ref="A3055">IFNA(index(PlayerValues!A:A,match(IFNA(vlookup(B3055,'Special Names'!A:B,2,FALSE),B3055),PlayerValues!E:E,0)),"N/A")</f>
        <v>16614</v>
      </c>
      <c r="B3055" s="4" t="s">
        <v>403</v>
      </c>
      <c r="C3055" s="4" t="s">
        <v>287</v>
      </c>
      <c r="D3055" s="94">
        <v>5116.0</v>
      </c>
    </row>
    <row r="3056">
      <c r="A3056" s="40">
        <f t="array" ref="A3056">IFNA(index(PlayerValues!A:A,match(IFNA(vlookup(B3056,'Special Names'!A:B,2,FALSE),B3056),PlayerValues!E:E,0)),"N/A")</f>
        <v>17030</v>
      </c>
      <c r="B3056" s="4" t="s">
        <v>406</v>
      </c>
      <c r="C3056" s="4" t="s">
        <v>283</v>
      </c>
      <c r="D3056" s="94">
        <v>5030.0</v>
      </c>
    </row>
    <row r="3057">
      <c r="A3057" s="40">
        <f t="array" ref="A3057">IFNA(index(PlayerValues!A:A,match(IFNA(vlookup(B3057,'Special Names'!A:B,2,FALSE),B3057),PlayerValues!E:E,0)),"N/A")</f>
        <v>12620</v>
      </c>
      <c r="B3057" s="4" t="s">
        <v>394</v>
      </c>
      <c r="C3057" s="4" t="s">
        <v>283</v>
      </c>
      <c r="D3057" s="94">
        <v>4998.0</v>
      </c>
    </row>
    <row r="3058">
      <c r="A3058" s="40">
        <f t="array" ref="A3058">IFNA(index(PlayerValues!A:A,match(IFNA(vlookup(B3058,'Special Names'!A:B,2,FALSE),B3058),PlayerValues!E:E,0)),"N/A")</f>
        <v>17070</v>
      </c>
      <c r="B3058" s="4" t="s">
        <v>370</v>
      </c>
      <c r="C3058" s="4" t="s">
        <v>287</v>
      </c>
      <c r="D3058" s="94">
        <v>4970.0</v>
      </c>
    </row>
    <row r="3059">
      <c r="A3059" s="40">
        <f t="array" ref="A3059">IFNA(index(PlayerValues!A:A,match(IFNA(vlookup(B3059,'Special Names'!A:B,2,FALSE),B3059),PlayerValues!E:E,0)),"N/A")</f>
        <v>15711</v>
      </c>
      <c r="B3059" s="4" t="s">
        <v>349</v>
      </c>
      <c r="C3059" s="4" t="s">
        <v>278</v>
      </c>
      <c r="D3059" s="94">
        <v>4968.0</v>
      </c>
    </row>
    <row r="3060">
      <c r="A3060" s="40">
        <f t="array" ref="A3060">IFNA(index(PlayerValues!A:A,match(IFNA(vlookup(B3060,'Special Names'!A:B,2,FALSE),B3060),PlayerValues!E:E,0)),"N/A")</f>
        <v>16618</v>
      </c>
      <c r="B3060" s="4" t="s">
        <v>411</v>
      </c>
      <c r="C3060" s="4" t="s">
        <v>287</v>
      </c>
      <c r="D3060" s="94">
        <v>4967.0</v>
      </c>
    </row>
    <row r="3061">
      <c r="A3061" s="40">
        <f t="array" ref="A3061">IFNA(index(PlayerValues!A:A,match(IFNA(vlookup(B3061,'Special Names'!A:B,2,FALSE),B3061),PlayerValues!E:E,0)),"N/A")</f>
        <v>16150</v>
      </c>
      <c r="B3061" s="4" t="s">
        <v>414</v>
      </c>
      <c r="C3061" s="4" t="s">
        <v>283</v>
      </c>
      <c r="D3061" s="94">
        <v>4942.0</v>
      </c>
    </row>
    <row r="3062">
      <c r="A3062" s="40">
        <f t="array" ref="A3062">IFNA(index(PlayerValues!A:A,match(IFNA(vlookup(B3062,'Special Names'!A:B,2,FALSE),B3062),PlayerValues!E:E,0)),"N/A")</f>
        <v>14835</v>
      </c>
      <c r="B3062" s="4" t="s">
        <v>392</v>
      </c>
      <c r="C3062" s="4" t="s">
        <v>287</v>
      </c>
      <c r="D3062" s="94">
        <v>4876.0</v>
      </c>
    </row>
    <row r="3063">
      <c r="A3063" s="40">
        <f t="array" ref="A3063">IFNA(index(PlayerValues!A:A,match(IFNA(vlookup(B3063,'Special Names'!A:B,2,FALSE),B3063),PlayerValues!E:E,0)),"N/A")</f>
        <v>17103</v>
      </c>
      <c r="B3063" s="4" t="s">
        <v>405</v>
      </c>
      <c r="C3063" s="4" t="s">
        <v>298</v>
      </c>
      <c r="D3063" s="94">
        <v>5445.0</v>
      </c>
    </row>
    <row r="3064">
      <c r="A3064" s="40">
        <f t="array" ref="A3064">IFNA(index(PlayerValues!A:A,match(IFNA(vlookup(B3064,'Special Names'!A:B,2,FALSE),B3064),PlayerValues!E:E,0)),"N/A")</f>
        <v>16181</v>
      </c>
      <c r="B3064" s="4" t="s">
        <v>350</v>
      </c>
      <c r="C3064" s="4" t="s">
        <v>278</v>
      </c>
      <c r="D3064" s="94">
        <v>4870.0</v>
      </c>
    </row>
    <row r="3065">
      <c r="A3065" s="40">
        <f t="array" ref="A3065">IFNA(index(PlayerValues!A:A,match(IFNA(vlookup(B3065,'Special Names'!A:B,2,FALSE),B3065),PlayerValues!E:E,0)),"N/A")</f>
        <v>16222</v>
      </c>
      <c r="B3065" s="4" t="s">
        <v>393</v>
      </c>
      <c r="C3065" s="4" t="s">
        <v>298</v>
      </c>
      <c r="D3065" s="94">
        <v>5427.0</v>
      </c>
    </row>
    <row r="3066">
      <c r="A3066" s="40">
        <f t="array" ref="A3066">IFNA(index(PlayerValues!A:A,match(IFNA(vlookup(B3066,'Special Names'!A:B,2,FALSE),B3066),PlayerValues!E:E,0)),"N/A")</f>
        <v>17498</v>
      </c>
      <c r="B3066" s="4" t="s">
        <v>396</v>
      </c>
      <c r="C3066" s="4" t="s">
        <v>287</v>
      </c>
      <c r="D3066" s="94">
        <v>4857.0</v>
      </c>
    </row>
    <row r="3067">
      <c r="A3067" s="40">
        <f t="array" ref="A3067">IFNA(index(PlayerValues!A:A,match(IFNA(vlookup(B3067,'Special Names'!A:B,2,FALSE),B3067),PlayerValues!E:E,0)),"N/A")</f>
        <v>17045</v>
      </c>
      <c r="B3067" s="4" t="s">
        <v>407</v>
      </c>
      <c r="C3067" s="4" t="s">
        <v>278</v>
      </c>
      <c r="D3067" s="94">
        <v>4852.0</v>
      </c>
    </row>
    <row r="3068">
      <c r="A3068" s="40">
        <f t="array" ref="A3068">IFNA(index(PlayerValues!A:A,match(IFNA(vlookup(B3068,'Special Names'!A:B,2,FALSE),B3068),PlayerValues!E:E,0)),"N/A")</f>
        <v>15710</v>
      </c>
      <c r="B3068" s="4" t="s">
        <v>395</v>
      </c>
      <c r="C3068" s="4" t="s">
        <v>278</v>
      </c>
      <c r="D3068" s="94">
        <v>4832.0</v>
      </c>
    </row>
    <row r="3069">
      <c r="A3069" s="40" t="str">
        <f t="array" ref="A3069">IFNA(index(PlayerValues!A:A,match(IFNA(vlookup(B3069,'Special Names'!A:B,2,FALSE),B3069),PlayerValues!E:E,0)),"N/A")</f>
        <v>N/A</v>
      </c>
      <c r="B3069" s="4" t="s">
        <v>104</v>
      </c>
      <c r="C3069" s="4" t="s">
        <v>325</v>
      </c>
      <c r="D3069" s="94">
        <v>4813.0</v>
      </c>
    </row>
    <row r="3070">
      <c r="A3070" s="40">
        <f t="array" ref="A3070">IFNA(index(PlayerValues!A:A,match(IFNA(vlookup(B3070,'Special Names'!A:B,2,FALSE),B3070),PlayerValues!E:E,0)),"N/A")</f>
        <v>13604</v>
      </c>
      <c r="B3070" s="4" t="s">
        <v>378</v>
      </c>
      <c r="C3070" s="4" t="s">
        <v>278</v>
      </c>
      <c r="D3070" s="94">
        <v>4796.0</v>
      </c>
    </row>
    <row r="3071">
      <c r="A3071" s="40">
        <f t="array" ref="A3071">IFNA(index(PlayerValues!A:A,match(IFNA(vlookup(B3071,'Special Names'!A:B,2,FALSE),B3071),PlayerValues!E:E,0)),"N/A")</f>
        <v>13592</v>
      </c>
      <c r="B3071" s="4" t="s">
        <v>418</v>
      </c>
      <c r="C3071" s="4" t="s">
        <v>283</v>
      </c>
      <c r="D3071" s="94">
        <v>4790.0</v>
      </c>
    </row>
    <row r="3072">
      <c r="A3072" s="40">
        <f t="array" ref="A3072">IFNA(index(PlayerValues!A:A,match(IFNA(vlookup(B3072,'Special Names'!A:B,2,FALSE),B3072),PlayerValues!E:E,0)),"N/A")</f>
        <v>15756</v>
      </c>
      <c r="B3072" s="4" t="s">
        <v>399</v>
      </c>
      <c r="C3072" s="4" t="s">
        <v>287</v>
      </c>
      <c r="D3072" s="94">
        <v>4789.0</v>
      </c>
    </row>
    <row r="3073">
      <c r="A3073" s="40">
        <f t="array" ref="A3073">IFNA(index(PlayerValues!A:A,match(IFNA(vlookup(B3073,'Special Names'!A:B,2,FALSE),B3073),PlayerValues!E:E,0)),"N/A")</f>
        <v>13590</v>
      </c>
      <c r="B3073" s="4" t="s">
        <v>409</v>
      </c>
      <c r="C3073" s="4" t="s">
        <v>283</v>
      </c>
      <c r="D3073" s="94">
        <v>4769.0</v>
      </c>
    </row>
    <row r="3074">
      <c r="A3074" s="40" t="str">
        <f t="array" ref="A3074">IFNA(index(PlayerValues!A:A,match(IFNA(vlookup(B3074,'Special Names'!A:B,2,FALSE),B3074),PlayerValues!E:E,0)),"N/A")</f>
        <v>N/A</v>
      </c>
      <c r="B3074" s="4" t="s">
        <v>80</v>
      </c>
      <c r="C3074" s="4" t="s">
        <v>325</v>
      </c>
      <c r="D3074" s="94">
        <v>4728.0</v>
      </c>
    </row>
    <row r="3075">
      <c r="A3075" s="40" t="str">
        <f t="array" ref="A3075">IFNA(index(PlayerValues!A:A,match(IFNA(vlookup(B3075,'Special Names'!A:B,2,FALSE),B3075),PlayerValues!E:E,0)),"N/A")</f>
        <v>N/A</v>
      </c>
      <c r="B3075" s="4" t="s">
        <v>94</v>
      </c>
      <c r="C3075" s="4" t="s">
        <v>325</v>
      </c>
      <c r="D3075" s="94">
        <v>4720.0</v>
      </c>
    </row>
    <row r="3076">
      <c r="A3076" s="40">
        <f t="array" ref="A3076">IFNA(index(PlayerValues!A:A,match(IFNA(vlookup(B3076,'Special Names'!A:B,2,FALSE),B3076),PlayerValues!E:E,0)),"N/A")</f>
        <v>15282</v>
      </c>
      <c r="B3076" s="4" t="s">
        <v>364</v>
      </c>
      <c r="C3076" s="4" t="s">
        <v>287</v>
      </c>
      <c r="D3076" s="94">
        <v>4715.0</v>
      </c>
    </row>
    <row r="3077">
      <c r="A3077" s="40">
        <f t="array" ref="A3077">IFNA(index(PlayerValues!A:A,match(IFNA(vlookup(B3077,'Special Names'!A:B,2,FALSE),B3077),PlayerValues!E:E,0)),"N/A")</f>
        <v>14104</v>
      </c>
      <c r="B3077" s="4" t="s">
        <v>379</v>
      </c>
      <c r="C3077" s="4" t="s">
        <v>287</v>
      </c>
      <c r="D3077" s="94">
        <v>4692.0</v>
      </c>
    </row>
    <row r="3078">
      <c r="A3078" s="40">
        <f t="array" ref="A3078">IFNA(index(PlayerValues!A:A,match(IFNA(vlookup(B3078,'Special Names'!A:B,2,FALSE),B3078),PlayerValues!E:E,0)),"N/A")</f>
        <v>16190</v>
      </c>
      <c r="B3078" s="4" t="s">
        <v>371</v>
      </c>
      <c r="C3078" s="4" t="s">
        <v>287</v>
      </c>
      <c r="D3078" s="94">
        <v>4691.0</v>
      </c>
    </row>
    <row r="3079">
      <c r="A3079" s="40">
        <f t="array" ref="A3079">IFNA(index(PlayerValues!A:A,match(IFNA(vlookup(B3079,'Special Names'!A:B,2,FALSE),B3079),PlayerValues!E:E,0)),"N/A")</f>
        <v>12611</v>
      </c>
      <c r="B3079" s="4" t="s">
        <v>410</v>
      </c>
      <c r="C3079" s="4" t="s">
        <v>283</v>
      </c>
      <c r="D3079" s="94">
        <v>4626.0</v>
      </c>
    </row>
    <row r="3080">
      <c r="A3080" s="40">
        <f t="array" ref="A3080">IFNA(index(PlayerValues!A:A,match(IFNA(vlookup(B3080,'Special Names'!A:B,2,FALSE),B3080),PlayerValues!E:E,0)),"N/A")</f>
        <v>16214</v>
      </c>
      <c r="B3080" s="4" t="s">
        <v>413</v>
      </c>
      <c r="C3080" s="4" t="s">
        <v>298</v>
      </c>
      <c r="D3080" s="94">
        <v>5137.0</v>
      </c>
    </row>
    <row r="3081">
      <c r="A3081" s="40">
        <f t="array" ref="A3081">IFNA(index(PlayerValues!A:A,match(IFNA(vlookup(B3081,'Special Names'!A:B,2,FALSE),B3081),PlayerValues!E:E,0)),"N/A")</f>
        <v>17039</v>
      </c>
      <c r="B3081" s="4" t="s">
        <v>400</v>
      </c>
      <c r="C3081" s="4" t="s">
        <v>283</v>
      </c>
      <c r="D3081" s="94">
        <v>4586.0</v>
      </c>
    </row>
    <row r="3082">
      <c r="A3082" s="40">
        <f t="array" ref="A3082">IFNA(index(PlayerValues!A:A,match(IFNA(vlookup(B3082,'Special Names'!A:B,2,FALSE),B3082),PlayerValues!E:E,0)),"N/A")</f>
        <v>15284</v>
      </c>
      <c r="B3082" s="4" t="s">
        <v>390</v>
      </c>
      <c r="C3082" s="4" t="s">
        <v>287</v>
      </c>
      <c r="D3082" s="94">
        <v>4573.0</v>
      </c>
    </row>
    <row r="3083">
      <c r="A3083" s="40">
        <f t="array" ref="A3083">IFNA(index(PlayerValues!A:A,match(IFNA(vlookup(B3083,'Special Names'!A:B,2,FALSE),B3083),PlayerValues!E:E,0)),"N/A")</f>
        <v>17068</v>
      </c>
      <c r="B3083" s="4" t="s">
        <v>450</v>
      </c>
      <c r="C3083" s="4" t="s">
        <v>278</v>
      </c>
      <c r="D3083" s="94">
        <v>4532.0</v>
      </c>
    </row>
    <row r="3084">
      <c r="A3084" s="40">
        <f t="array" ref="A3084">IFNA(index(PlayerValues!A:A,match(IFNA(vlookup(B3084,'Special Names'!A:B,2,FALSE),B3084),PlayerValues!E:E,0)),"N/A")</f>
        <v>16148</v>
      </c>
      <c r="B3084" s="4" t="s">
        <v>426</v>
      </c>
      <c r="C3084" s="4" t="s">
        <v>283</v>
      </c>
      <c r="D3084" s="94">
        <v>4501.0</v>
      </c>
    </row>
    <row r="3085">
      <c r="A3085" s="40">
        <f t="array" ref="A3085">IFNA(index(PlayerValues!A:A,match(IFNA(vlookup(B3085,'Special Names'!A:B,2,FALSE),B3085),PlayerValues!E:E,0)),"N/A")</f>
        <v>15253</v>
      </c>
      <c r="B3085" s="4" t="s">
        <v>415</v>
      </c>
      <c r="C3085" s="4" t="s">
        <v>278</v>
      </c>
      <c r="D3085" s="94">
        <v>4490.0</v>
      </c>
    </row>
    <row r="3086">
      <c r="A3086" s="40">
        <f t="array" ref="A3086">IFNA(index(PlayerValues!A:A,match(IFNA(vlookup(B3086,'Special Names'!A:B,2,FALSE),B3086),PlayerValues!E:E,0)),"N/A")</f>
        <v>15329</v>
      </c>
      <c r="B3086" s="4" t="s">
        <v>416</v>
      </c>
      <c r="C3086" s="4" t="s">
        <v>298</v>
      </c>
      <c r="D3086" s="94">
        <v>5018.0</v>
      </c>
    </row>
    <row r="3087">
      <c r="A3087" s="40">
        <f t="array" ref="A3087">IFNA(index(PlayerValues!A:A,match(IFNA(vlookup(B3087,'Special Names'!A:B,2,FALSE),B3087),PlayerValues!E:E,0)),"N/A")</f>
        <v>14073</v>
      </c>
      <c r="B3087" s="4" t="s">
        <v>464</v>
      </c>
      <c r="C3087" s="4" t="s">
        <v>278</v>
      </c>
      <c r="D3087" s="94">
        <v>4475.0</v>
      </c>
    </row>
    <row r="3088">
      <c r="A3088" s="40" t="str">
        <f t="array" ref="A3088">IFNA(index(PlayerValues!A:A,match(IFNA(vlookup(B3088,'Special Names'!A:B,2,FALSE),B3088),PlayerValues!E:E,0)),"N/A")</f>
        <v>N/A</v>
      </c>
      <c r="B3088" s="4" t="s">
        <v>105</v>
      </c>
      <c r="C3088" s="4" t="s">
        <v>325</v>
      </c>
      <c r="D3088" s="94">
        <v>4438.0</v>
      </c>
    </row>
    <row r="3089">
      <c r="A3089" s="40">
        <f t="array" ref="A3089">IFNA(index(PlayerValues!A:A,match(IFNA(vlookup(B3089,'Special Names'!A:B,2,FALSE),B3089),PlayerValues!E:E,0)),"N/A")</f>
        <v>15256</v>
      </c>
      <c r="B3089" s="4" t="s">
        <v>401</v>
      </c>
      <c r="C3089" s="4" t="s">
        <v>278</v>
      </c>
      <c r="D3089" s="94">
        <v>4384.0</v>
      </c>
    </row>
    <row r="3090">
      <c r="A3090" s="40" t="str">
        <f t="array" ref="A3090">IFNA(index(PlayerValues!A:A,match(IFNA(vlookup(B3090,'Special Names'!A:B,2,FALSE),B3090),PlayerValues!E:E,0)),"N/A")</f>
        <v>N/A</v>
      </c>
      <c r="B3090" s="4" t="s">
        <v>81</v>
      </c>
      <c r="C3090" s="4" t="s">
        <v>325</v>
      </c>
      <c r="D3090" s="94">
        <v>4332.0</v>
      </c>
    </row>
    <row r="3091">
      <c r="A3091" s="40">
        <f t="array" ref="A3091">IFNA(index(PlayerValues!A:A,match(IFNA(vlookup(B3091,'Special Names'!A:B,2,FALSE),B3091),PlayerValues!E:E,0)),"N/A")</f>
        <v>17074</v>
      </c>
      <c r="B3091" s="4" t="s">
        <v>475</v>
      </c>
      <c r="C3091" s="4" t="s">
        <v>287</v>
      </c>
      <c r="D3091" s="94">
        <v>4217.0</v>
      </c>
    </row>
    <row r="3092">
      <c r="A3092" s="40">
        <f t="array" ref="A3092">IFNA(index(PlayerValues!A:A,match(IFNA(vlookup(B3092,'Special Names'!A:B,2,FALSE),B3092),PlayerValues!E:E,0)),"N/A")</f>
        <v>17500</v>
      </c>
      <c r="B3092" s="4" t="s">
        <v>430</v>
      </c>
      <c r="C3092" s="4" t="s">
        <v>287</v>
      </c>
      <c r="D3092" s="94">
        <v>4194.0</v>
      </c>
    </row>
    <row r="3093">
      <c r="A3093" s="40">
        <f t="array" ref="A3093">IFNA(index(PlayerValues!A:A,match(IFNA(vlookup(B3093,'Special Names'!A:B,2,FALSE),B3093),PlayerValues!E:E,0)),"N/A")</f>
        <v>17099</v>
      </c>
      <c r="B3093" s="4" t="s">
        <v>474</v>
      </c>
      <c r="C3093" s="4" t="s">
        <v>298</v>
      </c>
      <c r="D3093" s="94">
        <v>4644.0</v>
      </c>
    </row>
    <row r="3094">
      <c r="A3094" s="40">
        <f t="array" ref="A3094">IFNA(index(PlayerValues!A:A,match(IFNA(vlookup(B3094,'Special Names'!A:B,2,FALSE),B3094),PlayerValues!E:E,0)),"N/A")</f>
        <v>16186</v>
      </c>
      <c r="B3094" s="4" t="s">
        <v>425</v>
      </c>
      <c r="C3094" s="4" t="s">
        <v>287</v>
      </c>
      <c r="D3094" s="94">
        <v>4064.0</v>
      </c>
    </row>
    <row r="3095">
      <c r="A3095" s="40" t="str">
        <f t="array" ref="A3095">IFNA(index(PlayerValues!A:A,match(IFNA(vlookup(B3095,'Special Names'!A:B,2,FALSE),B3095),PlayerValues!E:E,0)),"N/A")</f>
        <v>N/A</v>
      </c>
      <c r="B3095" s="4" t="s">
        <v>107</v>
      </c>
      <c r="C3095" s="4" t="s">
        <v>325</v>
      </c>
      <c r="D3095" s="94">
        <v>4001.0</v>
      </c>
    </row>
    <row r="3096">
      <c r="A3096" s="40">
        <f t="array" ref="A3096">IFNA(index(PlayerValues!A:A,match(IFNA(vlookup(B3096,'Special Names'!A:B,2,FALSE),B3096),PlayerValues!E:E,0)),"N/A")</f>
        <v>14059</v>
      </c>
      <c r="B3096" s="4" t="s">
        <v>435</v>
      </c>
      <c r="C3096" s="4" t="s">
        <v>283</v>
      </c>
      <c r="D3096" s="94">
        <v>3990.0</v>
      </c>
    </row>
    <row r="3097">
      <c r="A3097" s="40">
        <f t="array" ref="A3097">IFNA(index(PlayerValues!A:A,match(IFNA(vlookup(B3097,'Special Names'!A:B,2,FALSE),B3097),PlayerValues!E:E,0)),"N/A")</f>
        <v>17543</v>
      </c>
      <c r="B3097" s="4" t="s">
        <v>436</v>
      </c>
      <c r="C3097" s="4" t="s">
        <v>298</v>
      </c>
      <c r="D3097" s="94">
        <v>4481.0</v>
      </c>
    </row>
    <row r="3098">
      <c r="A3098" s="40">
        <f t="array" ref="A3098">IFNA(index(PlayerValues!A:A,match(IFNA(vlookup(B3098,'Special Names'!A:B,2,FALSE),B3098),PlayerValues!E:E,0)),"N/A")</f>
        <v>17501</v>
      </c>
      <c r="B3098" s="4" t="s">
        <v>404</v>
      </c>
      <c r="C3098" s="4" t="s">
        <v>287</v>
      </c>
      <c r="D3098" s="94">
        <v>3957.0</v>
      </c>
    </row>
    <row r="3099">
      <c r="A3099" s="40">
        <f t="array" ref="A3099">IFNA(index(PlayerValues!A:A,match(IFNA(vlookup(B3099,'Special Names'!A:B,2,FALSE),B3099),PlayerValues!E:E,0)),"N/A")</f>
        <v>17066</v>
      </c>
      <c r="B3099" s="4" t="s">
        <v>446</v>
      </c>
      <c r="C3099" s="4" t="s">
        <v>278</v>
      </c>
      <c r="D3099" s="94">
        <v>3935.0</v>
      </c>
    </row>
    <row r="3100">
      <c r="A3100" s="40">
        <f t="array" ref="A3100">IFNA(index(PlayerValues!A:A,match(IFNA(vlookup(B3100,'Special Names'!A:B,2,FALSE),B3100),PlayerValues!E:E,0)),"N/A")</f>
        <v>12626</v>
      </c>
      <c r="B3100" s="4" t="s">
        <v>419</v>
      </c>
      <c r="C3100" s="4" t="s">
        <v>278</v>
      </c>
      <c r="D3100" s="94">
        <v>3906.0</v>
      </c>
    </row>
    <row r="3101">
      <c r="A3101" s="40">
        <f t="array" ref="A3101">IFNA(index(PlayerValues!A:A,match(IFNA(vlookup(B3101,'Special Names'!A:B,2,FALSE),B3101),PlayerValues!E:E,0)),"N/A")</f>
        <v>16622</v>
      </c>
      <c r="B3101" s="4" t="s">
        <v>517</v>
      </c>
      <c r="C3101" s="4" t="s">
        <v>287</v>
      </c>
      <c r="D3101" s="94">
        <v>3903.0</v>
      </c>
    </row>
    <row r="3102">
      <c r="A3102" s="40">
        <f t="array" ref="A3102">IFNA(index(PlayerValues!A:A,match(IFNA(vlookup(B3102,'Special Names'!A:B,2,FALSE),B3102),PlayerValues!E:E,0)),"N/A")</f>
        <v>16206</v>
      </c>
      <c r="B3102" s="4" t="s">
        <v>431</v>
      </c>
      <c r="C3102" s="4" t="s">
        <v>287</v>
      </c>
      <c r="D3102" s="94">
        <v>3878.0</v>
      </c>
    </row>
    <row r="3103">
      <c r="A3103" s="40">
        <f t="array" ref="A3103">IFNA(index(PlayerValues!A:A,match(IFNA(vlookup(B3103,'Special Names'!A:B,2,FALSE),B3103),PlayerValues!E:E,0)),"N/A")</f>
        <v>15768</v>
      </c>
      <c r="B3103" s="4" t="s">
        <v>432</v>
      </c>
      <c r="C3103" s="4" t="s">
        <v>287</v>
      </c>
      <c r="D3103" s="94">
        <v>3861.0</v>
      </c>
    </row>
    <row r="3104">
      <c r="A3104" s="40">
        <f t="array" ref="A3104">IFNA(index(PlayerValues!A:A,match(IFNA(vlookup(B3104,'Special Names'!A:B,2,FALSE),B3104),PlayerValues!E:E,0)),"N/A")</f>
        <v>14102</v>
      </c>
      <c r="B3104" s="4" t="s">
        <v>444</v>
      </c>
      <c r="C3104" s="4" t="s">
        <v>287</v>
      </c>
      <c r="D3104" s="94">
        <v>3846.0</v>
      </c>
    </row>
    <row r="3105">
      <c r="A3105" s="40" t="str">
        <f t="array" ref="A3105">IFNA(index(PlayerValues!A:A,match(IFNA(vlookup(B3105,'Special Names'!A:B,2,FALSE),B3105),PlayerValues!E:E,0)),"N/A")</f>
        <v>N/A</v>
      </c>
      <c r="B3105" s="4" t="s">
        <v>95</v>
      </c>
      <c r="C3105" s="4" t="s">
        <v>325</v>
      </c>
      <c r="D3105" s="94">
        <v>3826.0</v>
      </c>
    </row>
    <row r="3106">
      <c r="A3106" s="40">
        <f t="array" ref="A3106">IFNA(index(PlayerValues!A:A,match(IFNA(vlookup(B3106,'Special Names'!A:B,2,FALSE),B3106),PlayerValues!E:E,0)),"N/A")</f>
        <v>17083</v>
      </c>
      <c r="B3106" s="4" t="s">
        <v>479</v>
      </c>
      <c r="C3106" s="4" t="s">
        <v>287</v>
      </c>
      <c r="D3106" s="94">
        <v>3822.0</v>
      </c>
    </row>
    <row r="3107">
      <c r="A3107" s="40">
        <f t="array" ref="A3107">IFNA(index(PlayerValues!A:A,match(IFNA(vlookup(B3107,'Special Names'!A:B,2,FALSE),B3107),PlayerValues!E:E,0)),"N/A")</f>
        <v>15789</v>
      </c>
      <c r="B3107" s="4" t="s">
        <v>421</v>
      </c>
      <c r="C3107" s="4" t="s">
        <v>287</v>
      </c>
      <c r="D3107" s="94">
        <v>3737.0</v>
      </c>
    </row>
    <row r="3108">
      <c r="A3108" s="40">
        <f t="array" ref="A3108">IFNA(index(PlayerValues!A:A,match(IFNA(vlookup(B3108,'Special Names'!A:B,2,FALSE),B3108),PlayerValues!E:E,0)),"N/A")</f>
        <v>14797</v>
      </c>
      <c r="B3108" s="4" t="s">
        <v>420</v>
      </c>
      <c r="C3108" s="4" t="s">
        <v>278</v>
      </c>
      <c r="D3108" s="94">
        <v>3731.0</v>
      </c>
    </row>
    <row r="3109">
      <c r="A3109" s="40">
        <f t="array" ref="A3109">IFNA(index(PlayerValues!A:A,match(IFNA(vlookup(B3109,'Special Names'!A:B,2,FALSE),B3109),PlayerValues!E:E,0)),"N/A")</f>
        <v>9431</v>
      </c>
      <c r="B3109" s="4" t="s">
        <v>428</v>
      </c>
      <c r="C3109" s="4" t="s">
        <v>283</v>
      </c>
      <c r="D3109" s="94">
        <v>3717.0</v>
      </c>
    </row>
    <row r="3110">
      <c r="A3110" s="40">
        <f t="array" ref="A3110">IFNA(index(PlayerValues!A:A,match(IFNA(vlookup(B3110,'Special Names'!A:B,2,FALSE),B3110),PlayerValues!E:E,0)),"N/A")</f>
        <v>11675</v>
      </c>
      <c r="B3110" s="4" t="s">
        <v>438</v>
      </c>
      <c r="C3110" s="4" t="s">
        <v>287</v>
      </c>
      <c r="D3110" s="94">
        <v>3658.0</v>
      </c>
    </row>
    <row r="3111">
      <c r="A3111" s="40">
        <f t="array" ref="A3111">IFNA(index(PlayerValues!A:A,match(IFNA(vlookup(B3111,'Special Names'!A:B,2,FALSE),B3111),PlayerValues!E:E,0)),"N/A")</f>
        <v>17477</v>
      </c>
      <c r="B3111" s="4" t="s">
        <v>452</v>
      </c>
      <c r="C3111" s="4" t="s">
        <v>278</v>
      </c>
      <c r="D3111" s="94">
        <v>3634.0</v>
      </c>
    </row>
    <row r="3112">
      <c r="A3112" s="40">
        <f t="array" ref="A3112">IFNA(index(PlayerValues!A:A,match(IFNA(vlookup(B3112,'Special Names'!A:B,2,FALSE),B3112),PlayerValues!E:E,0)),"N/A")</f>
        <v>15757</v>
      </c>
      <c r="B3112" s="4" t="s">
        <v>449</v>
      </c>
      <c r="C3112" s="4" t="s">
        <v>287</v>
      </c>
      <c r="D3112" s="94">
        <v>3624.0</v>
      </c>
    </row>
    <row r="3113">
      <c r="A3113" s="40">
        <f t="array" ref="A3113">IFNA(index(PlayerValues!A:A,match(IFNA(vlookup(B3113,'Special Names'!A:B,2,FALSE),B3113),PlayerValues!E:E,0)),"N/A")</f>
        <v>14056</v>
      </c>
      <c r="B3113" s="4" t="s">
        <v>423</v>
      </c>
      <c r="C3113" s="4" t="s">
        <v>283</v>
      </c>
      <c r="D3113" s="94">
        <v>3604.0</v>
      </c>
    </row>
    <row r="3114">
      <c r="A3114" s="40">
        <f t="array" ref="A3114">IFNA(index(PlayerValues!A:A,match(IFNA(vlookup(B3114,'Special Names'!A:B,2,FALSE),B3114),PlayerValues!E:E,0)),"N/A")</f>
        <v>16583</v>
      </c>
      <c r="B3114" s="4" t="s">
        <v>493</v>
      </c>
      <c r="C3114" s="4" t="s">
        <v>283</v>
      </c>
      <c r="D3114" s="94">
        <v>3599.0</v>
      </c>
    </row>
    <row r="3115">
      <c r="A3115" s="40">
        <f t="array" ref="A3115">IFNA(index(PlayerValues!A:A,match(IFNA(vlookup(B3115,'Special Names'!A:B,2,FALSE),B3115),PlayerValues!E:E,0)),"N/A")</f>
        <v>14842</v>
      </c>
      <c r="B3115" s="4" t="s">
        <v>456</v>
      </c>
      <c r="C3115" s="4" t="s">
        <v>287</v>
      </c>
      <c r="D3115" s="94">
        <v>3584.0</v>
      </c>
    </row>
    <row r="3116">
      <c r="A3116" s="40">
        <f t="array" ref="A3116">IFNA(index(PlayerValues!A:A,match(IFNA(vlookup(B3116,'Special Names'!A:B,2,FALSE),B3116),PlayerValues!E:E,0)),"N/A")</f>
        <v>16169</v>
      </c>
      <c r="B3116" s="4" t="s">
        <v>457</v>
      </c>
      <c r="C3116" s="4" t="s">
        <v>278</v>
      </c>
      <c r="D3116" s="94">
        <v>3576.0</v>
      </c>
    </row>
    <row r="3117">
      <c r="A3117" s="40">
        <f t="array" ref="A3117">IFNA(index(PlayerValues!A:A,match(IFNA(vlookup(B3117,'Special Names'!A:B,2,FALSE),B3117),PlayerValues!E:E,0)),"N/A")</f>
        <v>16192</v>
      </c>
      <c r="B3117" s="4" t="s">
        <v>412</v>
      </c>
      <c r="C3117" s="4" t="s">
        <v>287</v>
      </c>
      <c r="D3117" s="94">
        <v>3572.0</v>
      </c>
    </row>
    <row r="3118">
      <c r="A3118" s="40">
        <f t="array" ref="A3118">IFNA(index(PlayerValues!A:A,match(IFNA(vlookup(B3118,'Special Names'!A:B,2,FALSE),B3118),PlayerValues!E:E,0)),"N/A")</f>
        <v>16213</v>
      </c>
      <c r="B3118" s="4" t="s">
        <v>458</v>
      </c>
      <c r="C3118" s="4" t="s">
        <v>298</v>
      </c>
      <c r="D3118" s="94">
        <v>4026.0</v>
      </c>
    </row>
    <row r="3119">
      <c r="A3119" s="40">
        <f t="array" ref="A3119">IFNA(index(PlayerValues!A:A,match(IFNA(vlookup(B3119,'Special Names'!A:B,2,FALSE),B3119),PlayerValues!E:E,0)),"N/A")</f>
        <v>16584</v>
      </c>
      <c r="B3119" s="4" t="s">
        <v>569</v>
      </c>
      <c r="C3119" s="4" t="s">
        <v>283</v>
      </c>
      <c r="D3119" s="94">
        <v>3535.0</v>
      </c>
    </row>
    <row r="3120">
      <c r="A3120" s="40">
        <f t="array" ref="A3120">IFNA(index(PlayerValues!A:A,match(IFNA(vlookup(B3120,'Special Names'!A:B,2,FALSE),B3120),PlayerValues!E:E,0)),"N/A")</f>
        <v>17075</v>
      </c>
      <c r="B3120" s="4" t="s">
        <v>429</v>
      </c>
      <c r="C3120" s="4" t="s">
        <v>287</v>
      </c>
      <c r="D3120" s="94">
        <v>3534.0</v>
      </c>
    </row>
    <row r="3121">
      <c r="A3121" s="40">
        <f t="array" ref="A3121">IFNA(index(PlayerValues!A:A,match(IFNA(vlookup(B3121,'Special Names'!A:B,2,FALSE),B3121),PlayerValues!E:E,0)),"N/A")</f>
        <v>16620</v>
      </c>
      <c r="B3121" s="4" t="s">
        <v>467</v>
      </c>
      <c r="C3121" s="4" t="s">
        <v>287</v>
      </c>
      <c r="D3121" s="94">
        <v>3528.0</v>
      </c>
    </row>
    <row r="3122">
      <c r="A3122" s="40">
        <f t="array" ref="A3122">IFNA(index(PlayerValues!A:A,match(IFNA(vlookup(B3122,'Special Names'!A:B,2,FALSE),B3122),PlayerValues!E:E,0)),"N/A")</f>
        <v>16188</v>
      </c>
      <c r="B3122" s="4" t="s">
        <v>439</v>
      </c>
      <c r="C3122" s="4" t="s">
        <v>287</v>
      </c>
      <c r="D3122" s="94">
        <v>3512.0</v>
      </c>
    </row>
    <row r="3123">
      <c r="A3123" s="40" t="str">
        <f t="array" ref="A3123">IFNA(index(PlayerValues!A:A,match(IFNA(vlookup(B3123,'Special Names'!A:B,2,FALSE),B3123),PlayerValues!E:E,0)),"N/A")</f>
        <v>N/A</v>
      </c>
      <c r="B3123" s="4" t="s">
        <v>82</v>
      </c>
      <c r="C3123" s="4" t="s">
        <v>325</v>
      </c>
      <c r="D3123" s="94">
        <v>3495.0</v>
      </c>
    </row>
    <row r="3124">
      <c r="A3124" s="40">
        <f t="array" ref="A3124">IFNA(index(PlayerValues!A:A,match(IFNA(vlookup(B3124,'Special Names'!A:B,2,FALSE),B3124),PlayerValues!E:E,0)),"N/A")</f>
        <v>16593</v>
      </c>
      <c r="B3124" s="4" t="s">
        <v>442</v>
      </c>
      <c r="C3124" s="4" t="s">
        <v>278</v>
      </c>
      <c r="D3124" s="94">
        <v>3495.0</v>
      </c>
    </row>
    <row r="3125">
      <c r="A3125" s="40">
        <f t="array" ref="A3125">IFNA(index(PlayerValues!A:A,match(IFNA(vlookup(B3125,'Special Names'!A:B,2,FALSE),B3125),PlayerValues!E:E,0)),"N/A")</f>
        <v>13299</v>
      </c>
      <c r="B3125" s="4" t="s">
        <v>448</v>
      </c>
      <c r="C3125" s="4" t="s">
        <v>298</v>
      </c>
      <c r="D3125" s="94">
        <v>3945.0</v>
      </c>
    </row>
    <row r="3126">
      <c r="A3126" s="40">
        <f t="array" ref="A3126">IFNA(index(PlayerValues!A:A,match(IFNA(vlookup(B3126,'Special Names'!A:B,2,FALSE),B3126),PlayerValues!E:E,0)),"N/A")</f>
        <v>14127</v>
      </c>
      <c r="B3126" s="4" t="s">
        <v>486</v>
      </c>
      <c r="C3126" s="4" t="s">
        <v>287</v>
      </c>
      <c r="D3126" s="94">
        <v>3459.0</v>
      </c>
    </row>
    <row r="3127">
      <c r="A3127" s="40">
        <f t="array" ref="A3127">IFNA(index(PlayerValues!A:A,match(IFNA(vlookup(B3127,'Special Names'!A:B,2,FALSE),B3127),PlayerValues!E:E,0)),"N/A")</f>
        <v>17052</v>
      </c>
      <c r="B3127" s="4" t="s">
        <v>417</v>
      </c>
      <c r="C3127" s="4" t="s">
        <v>278</v>
      </c>
      <c r="D3127" s="94">
        <v>3455.0</v>
      </c>
    </row>
    <row r="3128">
      <c r="A3128" s="40">
        <f t="array" ref="A3128">IFNA(index(PlayerValues!A:A,match(IFNA(vlookup(B3128,'Special Names'!A:B,2,FALSE),B3128),PlayerValues!E:E,0)),"N/A")</f>
        <v>15742</v>
      </c>
      <c r="B3128" s="4" t="s">
        <v>447</v>
      </c>
      <c r="C3128" s="4" t="s">
        <v>278</v>
      </c>
      <c r="D3128" s="94">
        <v>3439.0</v>
      </c>
    </row>
    <row r="3129">
      <c r="A3129" s="40">
        <f t="array" ref="A3129">IFNA(index(PlayerValues!A:A,match(IFNA(vlookup(B3129,'Special Names'!A:B,2,FALSE),B3129),PlayerValues!E:E,0)),"N/A")</f>
        <v>15799</v>
      </c>
      <c r="B3129" s="4" t="s">
        <v>468</v>
      </c>
      <c r="C3129" s="4" t="s">
        <v>298</v>
      </c>
      <c r="D3129" s="94">
        <v>3859.0</v>
      </c>
    </row>
    <row r="3130">
      <c r="A3130" s="40">
        <f t="array" ref="A3130">IFNA(index(PlayerValues!A:A,match(IFNA(vlookup(B3130,'Special Names'!A:B,2,FALSE),B3130),PlayerValues!E:E,0)),"N/A")</f>
        <v>17502</v>
      </c>
      <c r="B3130" s="4" t="s">
        <v>451</v>
      </c>
      <c r="C3130" s="4" t="s">
        <v>287</v>
      </c>
      <c r="D3130" s="94">
        <v>3399.0</v>
      </c>
    </row>
    <row r="3131">
      <c r="A3131" s="40" t="str">
        <f t="array" ref="A3131">IFNA(index(PlayerValues!A:A,match(IFNA(vlookup(B3131,'Special Names'!A:B,2,FALSE),B3131),PlayerValues!E:E,0)),"N/A")</f>
        <v>N/A</v>
      </c>
      <c r="B3131" s="4" t="s">
        <v>96</v>
      </c>
      <c r="C3131" s="4" t="s">
        <v>325</v>
      </c>
      <c r="D3131" s="94">
        <v>3373.0</v>
      </c>
    </row>
    <row r="3132">
      <c r="A3132" s="40">
        <f t="array" ref="A3132">IFNA(index(PlayerValues!A:A,match(IFNA(vlookup(B3132,'Special Names'!A:B,2,FALSE),B3132),PlayerValues!E:E,0)),"N/A")</f>
        <v>14109</v>
      </c>
      <c r="B3132" s="4" t="s">
        <v>437</v>
      </c>
      <c r="C3132" s="4" t="s">
        <v>287</v>
      </c>
      <c r="D3132" s="94">
        <v>3358.0</v>
      </c>
    </row>
    <row r="3133">
      <c r="A3133" s="40">
        <f t="array" ref="A3133">IFNA(index(PlayerValues!A:A,match(IFNA(vlookup(B3133,'Special Names'!A:B,2,FALSE),B3133),PlayerValues!E:E,0)),"N/A")</f>
        <v>16594</v>
      </c>
      <c r="B3133" s="4" t="s">
        <v>607</v>
      </c>
      <c r="C3133" s="4" t="s">
        <v>278</v>
      </c>
      <c r="D3133" s="94">
        <v>3331.0</v>
      </c>
    </row>
    <row r="3134">
      <c r="A3134" s="40">
        <f t="array" ref="A3134">IFNA(index(PlayerValues!A:A,match(IFNA(vlookup(B3134,'Special Names'!A:B,2,FALSE),B3134),PlayerValues!E:E,0)),"N/A")</f>
        <v>17053</v>
      </c>
      <c r="B3134" s="4" t="s">
        <v>484</v>
      </c>
      <c r="C3134" s="4" t="s">
        <v>278</v>
      </c>
      <c r="D3134" s="94">
        <v>3330.0</v>
      </c>
    </row>
    <row r="3135">
      <c r="A3135" s="40">
        <f t="array" ref="A3135">IFNA(index(PlayerValues!A:A,match(IFNA(vlookup(B3135,'Special Names'!A:B,2,FALSE),B3135),PlayerValues!E:E,0)),"N/A")</f>
        <v>17473</v>
      </c>
      <c r="B3135" s="4" t="s">
        <v>391</v>
      </c>
      <c r="C3135" s="4" t="s">
        <v>278</v>
      </c>
      <c r="D3135" s="94">
        <v>3313.0</v>
      </c>
    </row>
    <row r="3136">
      <c r="A3136" s="40">
        <f t="array" ref="A3136">IFNA(index(PlayerValues!A:A,match(IFNA(vlookup(B3136,'Special Names'!A:B,2,FALSE),B3136),PlayerValues!E:E,0)),"N/A")</f>
        <v>13630</v>
      </c>
      <c r="B3136" s="4" t="s">
        <v>465</v>
      </c>
      <c r="C3136" s="4" t="s">
        <v>287</v>
      </c>
      <c r="D3136" s="94">
        <v>3298.0</v>
      </c>
    </row>
    <row r="3137">
      <c r="A3137" s="40">
        <f t="array" ref="A3137">IFNA(index(PlayerValues!A:A,match(IFNA(vlookup(B3137,'Special Names'!A:B,2,FALSE),B3137),PlayerValues!E:E,0)),"N/A")</f>
        <v>13635</v>
      </c>
      <c r="B3137" s="4" t="s">
        <v>424</v>
      </c>
      <c r="C3137" s="4" t="s">
        <v>287</v>
      </c>
      <c r="D3137" s="94">
        <v>3274.0</v>
      </c>
    </row>
    <row r="3138">
      <c r="A3138" s="40">
        <f t="array" ref="A3138">IFNA(index(PlayerValues!A:A,match(IFNA(vlookup(B3138,'Special Names'!A:B,2,FALSE),B3138),PlayerValues!E:E,0)),"N/A")</f>
        <v>16269</v>
      </c>
      <c r="B3138" s="4" t="s">
        <v>481</v>
      </c>
      <c r="C3138" s="4" t="s">
        <v>298</v>
      </c>
      <c r="D3138" s="94">
        <v>3709.0</v>
      </c>
    </row>
    <row r="3139">
      <c r="A3139" s="40">
        <f t="array" ref="A3139">IFNA(index(PlayerValues!A:A,match(IFNA(vlookup(B3139,'Special Names'!A:B,2,FALSE),B3139),PlayerValues!E:E,0)),"N/A")</f>
        <v>16184</v>
      </c>
      <c r="B3139" s="4" t="s">
        <v>445</v>
      </c>
      <c r="C3139" s="4" t="s">
        <v>287</v>
      </c>
      <c r="D3139" s="94">
        <v>3261.0</v>
      </c>
    </row>
    <row r="3140">
      <c r="A3140" s="40">
        <f t="array" ref="A3140">IFNA(index(PlayerValues!A:A,match(IFNA(vlookup(B3140,'Special Names'!A:B,2,FALSE),B3140),PlayerValues!E:E,0)),"N/A")</f>
        <v>15694</v>
      </c>
      <c r="B3140" s="4" t="s">
        <v>434</v>
      </c>
      <c r="C3140" s="4" t="s">
        <v>283</v>
      </c>
      <c r="D3140" s="94">
        <v>3213.0</v>
      </c>
    </row>
    <row r="3141">
      <c r="A3141" s="40">
        <f t="array" ref="A3141">IFNA(index(PlayerValues!A:A,match(IFNA(vlookup(B3141,'Special Names'!A:B,2,FALSE),B3141),PlayerValues!E:E,0)),"N/A")</f>
        <v>15712</v>
      </c>
      <c r="B3141" s="4" t="s">
        <v>488</v>
      </c>
      <c r="C3141" s="4" t="s">
        <v>278</v>
      </c>
      <c r="D3141" s="94">
        <v>3212.0</v>
      </c>
    </row>
    <row r="3142">
      <c r="A3142" s="40">
        <f t="array" ref="A3142">IFNA(index(PlayerValues!A:A,match(IFNA(vlookup(B3142,'Special Names'!A:B,2,FALSE),B3142),PlayerValues!E:E,0)),"N/A")</f>
        <v>17476</v>
      </c>
      <c r="B3142" s="4" t="s">
        <v>494</v>
      </c>
      <c r="C3142" s="4" t="s">
        <v>278</v>
      </c>
      <c r="D3142" s="94">
        <v>3202.0</v>
      </c>
    </row>
    <row r="3143">
      <c r="A3143" s="40">
        <f t="array" ref="A3143">IFNA(index(PlayerValues!A:A,match(IFNA(vlookup(B3143,'Special Names'!A:B,2,FALSE),B3143),PlayerValues!E:E,0)),"N/A")</f>
        <v>16809</v>
      </c>
      <c r="B3143" s="4" t="s">
        <v>455</v>
      </c>
      <c r="C3143" s="4" t="s">
        <v>287</v>
      </c>
      <c r="D3143" s="94">
        <v>3167.0</v>
      </c>
    </row>
    <row r="3144">
      <c r="A3144" s="40">
        <f t="array" ref="A3144">IFNA(index(PlayerValues!A:A,match(IFNA(vlookup(B3144,'Special Names'!A:B,2,FALSE),B3144),PlayerValues!E:E,0)),"N/A")</f>
        <v>16187</v>
      </c>
      <c r="B3144" s="4" t="s">
        <v>441</v>
      </c>
      <c r="C3144" s="4" t="s">
        <v>287</v>
      </c>
      <c r="D3144" s="94">
        <v>3151.0</v>
      </c>
    </row>
    <row r="3145">
      <c r="A3145" s="40">
        <f t="array" ref="A3145">IFNA(index(PlayerValues!A:A,match(IFNA(vlookup(B3145,'Special Names'!A:B,2,FALSE),B3145),PlayerValues!E:E,0)),"N/A")</f>
        <v>14823</v>
      </c>
      <c r="B3145" s="4" t="s">
        <v>459</v>
      </c>
      <c r="C3145" s="4" t="s">
        <v>278</v>
      </c>
      <c r="D3145" s="94">
        <v>3150.0</v>
      </c>
    </row>
    <row r="3146">
      <c r="A3146" s="40">
        <f t="array" ref="A3146">IFNA(index(PlayerValues!A:A,match(IFNA(vlookup(B3146,'Special Names'!A:B,2,FALSE),B3146),PlayerValues!E:E,0)),"N/A")</f>
        <v>15761</v>
      </c>
      <c r="B3146" s="4" t="s">
        <v>491</v>
      </c>
      <c r="C3146" s="4" t="s">
        <v>287</v>
      </c>
      <c r="D3146" s="94">
        <v>3111.0</v>
      </c>
    </row>
    <row r="3147">
      <c r="A3147" s="40" t="str">
        <f t="array" ref="A3147">IFNA(index(PlayerValues!A:A,match(IFNA(vlookup(B3147,'Special Names'!A:B,2,FALSE),B3147),PlayerValues!E:E,0)),"N/A")</f>
        <v>N/A</v>
      </c>
      <c r="B3147" s="4" t="s">
        <v>108</v>
      </c>
      <c r="C3147" s="4" t="s">
        <v>325</v>
      </c>
      <c r="D3147" s="94">
        <v>3078.0</v>
      </c>
    </row>
    <row r="3148">
      <c r="A3148" s="40" t="str">
        <f t="array" ref="A3148">IFNA(index(PlayerValues!A:A,match(IFNA(vlookup(B3148,'Special Names'!A:B,2,FALSE),B3148),PlayerValues!E:E,0)),"N/A")</f>
        <v>N/A</v>
      </c>
      <c r="B3148" s="4" t="s">
        <v>84</v>
      </c>
      <c r="C3148" s="4" t="s">
        <v>325</v>
      </c>
      <c r="D3148" s="94">
        <v>3074.0</v>
      </c>
    </row>
    <row r="3149">
      <c r="A3149" s="40" t="str">
        <f t="array" ref="A3149">IFNA(index(PlayerValues!A:A,match(IFNA(vlookup(B3149,'Special Names'!A:B,2,FALSE),B3149),PlayerValues!E:E,0)),"N/A")</f>
        <v>N/A</v>
      </c>
      <c r="B3149" s="4" t="s">
        <v>97</v>
      </c>
      <c r="C3149" s="4" t="s">
        <v>325</v>
      </c>
      <c r="D3149" s="94">
        <v>3068.0</v>
      </c>
    </row>
    <row r="3150">
      <c r="A3150" s="40">
        <f t="array" ref="A3150">IFNA(index(PlayerValues!A:A,match(IFNA(vlookup(B3150,'Special Names'!A:B,2,FALSE),B3150),PlayerValues!E:E,0)),"N/A")</f>
        <v>15261</v>
      </c>
      <c r="B3150" s="4" t="s">
        <v>466</v>
      </c>
      <c r="C3150" s="4" t="s">
        <v>278</v>
      </c>
      <c r="D3150" s="94">
        <v>3050.0</v>
      </c>
    </row>
    <row r="3151">
      <c r="A3151" s="40">
        <f t="array" ref="A3151">IFNA(index(PlayerValues!A:A,match(IFNA(vlookup(B3151,'Special Names'!A:B,2,FALSE),B3151),PlayerValues!E:E,0)),"N/A")</f>
        <v>16619</v>
      </c>
      <c r="B3151" s="4" t="s">
        <v>538</v>
      </c>
      <c r="C3151" s="4" t="s">
        <v>287</v>
      </c>
      <c r="D3151" s="94">
        <v>3046.0</v>
      </c>
    </row>
    <row r="3152">
      <c r="A3152" s="40">
        <f t="array" ref="A3152">IFNA(index(PlayerValues!A:A,match(IFNA(vlookup(B3152,'Special Names'!A:B,2,FALSE),B3152),PlayerValues!E:E,0)),"N/A")</f>
        <v>15798</v>
      </c>
      <c r="B3152" s="4" t="s">
        <v>443</v>
      </c>
      <c r="C3152" s="4" t="s">
        <v>298</v>
      </c>
      <c r="D3152" s="94">
        <v>3452.0</v>
      </c>
    </row>
    <row r="3153">
      <c r="A3153" s="40">
        <f t="array" ref="A3153">IFNA(index(PlayerValues!A:A,match(IFNA(vlookup(B3153,'Special Names'!A:B,2,FALSE),B3153),PlayerValues!E:E,0)),"N/A")</f>
        <v>17463</v>
      </c>
      <c r="B3153" s="4" t="s">
        <v>433</v>
      </c>
      <c r="C3153" s="4" t="s">
        <v>283</v>
      </c>
      <c r="D3153" s="94">
        <v>2990.0</v>
      </c>
    </row>
    <row r="3154">
      <c r="A3154" s="40">
        <f t="array" ref="A3154">IFNA(index(PlayerValues!A:A,match(IFNA(vlookup(B3154,'Special Names'!A:B,2,FALSE),B3154),PlayerValues!E:E,0)),"N/A")</f>
        <v>17082</v>
      </c>
      <c r="B3154" s="4" t="s">
        <v>498</v>
      </c>
      <c r="C3154" s="4" t="s">
        <v>287</v>
      </c>
      <c r="D3154" s="94">
        <v>2978.0</v>
      </c>
    </row>
    <row r="3155">
      <c r="A3155" s="40">
        <f t="array" ref="A3155">IFNA(index(PlayerValues!A:A,match(IFNA(vlookup(B3155,'Special Names'!A:B,2,FALSE),B3155),PlayerValues!E:E,0)),"N/A")</f>
        <v>15259</v>
      </c>
      <c r="B3155" s="4" t="s">
        <v>453</v>
      </c>
      <c r="C3155" s="4" t="s">
        <v>278</v>
      </c>
      <c r="D3155" s="94">
        <v>2975.0</v>
      </c>
    </row>
    <row r="3156">
      <c r="A3156" s="40">
        <f t="array" ref="A3156">IFNA(index(PlayerValues!A:A,match(IFNA(vlookup(B3156,'Special Names'!A:B,2,FALSE),B3156),PlayerValues!E:E,0)),"N/A")</f>
        <v>16193</v>
      </c>
      <c r="B3156" s="4" t="s">
        <v>487</v>
      </c>
      <c r="C3156" s="4" t="s">
        <v>287</v>
      </c>
      <c r="D3156" s="94">
        <v>2972.0</v>
      </c>
    </row>
    <row r="3157">
      <c r="A3157" s="40">
        <f t="array" ref="A3157">IFNA(index(PlayerValues!A:A,match(IFNA(vlookup(B3157,'Special Names'!A:B,2,FALSE),B3157),PlayerValues!E:E,0)),"N/A")</f>
        <v>15779</v>
      </c>
      <c r="B3157" s="4" t="s">
        <v>461</v>
      </c>
      <c r="C3157" s="4" t="s">
        <v>287</v>
      </c>
      <c r="D3157" s="94">
        <v>2971.0</v>
      </c>
    </row>
    <row r="3158">
      <c r="A3158" s="40">
        <f t="array" ref="A3158">IFNA(index(PlayerValues!A:A,match(IFNA(vlookup(B3158,'Special Names'!A:B,2,FALSE),B3158),PlayerValues!E:E,0)),"N/A")</f>
        <v>17106</v>
      </c>
      <c r="B3158" s="4" t="s">
        <v>550</v>
      </c>
      <c r="C3158" s="4" t="s">
        <v>298</v>
      </c>
      <c r="D3158" s="94">
        <v>3349.0</v>
      </c>
    </row>
    <row r="3159">
      <c r="A3159" s="40">
        <f t="array" ref="A3159">IFNA(index(PlayerValues!A:A,match(IFNA(vlookup(B3159,'Special Names'!A:B,2,FALSE),B3159),PlayerValues!E:E,0)),"N/A")</f>
        <v>17107</v>
      </c>
      <c r="B3159" s="4" t="s">
        <v>478</v>
      </c>
      <c r="C3159" s="4" t="s">
        <v>298</v>
      </c>
      <c r="D3159" s="94">
        <v>3326.0</v>
      </c>
    </row>
    <row r="3160">
      <c r="A3160" s="40">
        <f t="array" ref="A3160">IFNA(index(PlayerValues!A:A,match(IFNA(vlookup(B3160,'Special Names'!A:B,2,FALSE),B3160),PlayerValues!E:E,0)),"N/A")</f>
        <v>17031</v>
      </c>
      <c r="B3160" s="4" t="s">
        <v>535</v>
      </c>
      <c r="C3160" s="4" t="s">
        <v>283</v>
      </c>
      <c r="D3160" s="94">
        <v>2900.0</v>
      </c>
    </row>
    <row r="3161">
      <c r="A3161" s="40">
        <f t="array" ref="A3161">IFNA(index(PlayerValues!A:A,match(IFNA(vlookup(B3161,'Special Names'!A:B,2,FALSE),B3161),PlayerValues!E:E,0)),"N/A")</f>
        <v>17256</v>
      </c>
      <c r="B3161" s="4" t="s">
        <v>462</v>
      </c>
      <c r="C3161" s="4" t="s">
        <v>278</v>
      </c>
      <c r="D3161" s="94">
        <v>2891.0</v>
      </c>
    </row>
    <row r="3162">
      <c r="A3162" s="40">
        <f t="array" ref="A3162">IFNA(index(PlayerValues!A:A,match(IFNA(vlookup(B3162,'Special Names'!A:B,2,FALSE),B3162),PlayerValues!E:E,0)),"N/A")</f>
        <v>16723</v>
      </c>
      <c r="B3162" s="4" t="s">
        <v>502</v>
      </c>
      <c r="C3162" s="4" t="s">
        <v>298</v>
      </c>
      <c r="D3162" s="94">
        <v>3297.0</v>
      </c>
    </row>
    <row r="3163">
      <c r="A3163" s="40">
        <f t="array" ref="A3163">IFNA(index(PlayerValues!A:A,match(IFNA(vlookup(B3163,'Special Names'!A:B,2,FALSE),B3163),PlayerValues!E:E,0)),"N/A")</f>
        <v>11671</v>
      </c>
      <c r="B3163" s="4" t="s">
        <v>463</v>
      </c>
      <c r="C3163" s="4" t="s">
        <v>287</v>
      </c>
      <c r="D3163" s="94">
        <v>2867.0</v>
      </c>
    </row>
    <row r="3164">
      <c r="A3164" s="40">
        <f t="array" ref="A3164">IFNA(index(PlayerValues!A:A,match(IFNA(vlookup(B3164,'Special Names'!A:B,2,FALSE),B3164),PlayerValues!E:E,0)),"N/A")</f>
        <v>16628</v>
      </c>
      <c r="B3164" s="4" t="s">
        <v>490</v>
      </c>
      <c r="C3164" s="4" t="s">
        <v>287</v>
      </c>
      <c r="D3164" s="94">
        <v>2864.0</v>
      </c>
    </row>
    <row r="3165">
      <c r="A3165" s="40">
        <f t="array" ref="A3165">IFNA(index(PlayerValues!A:A,match(IFNA(vlookup(B3165,'Special Names'!A:B,2,FALSE),B3165),PlayerValues!E:E,0)),"N/A")</f>
        <v>17171</v>
      </c>
      <c r="B3165" s="4" t="s">
        <v>561</v>
      </c>
      <c r="C3165" s="4" t="s">
        <v>287</v>
      </c>
      <c r="D3165" s="94">
        <v>2851.0</v>
      </c>
    </row>
    <row r="3166">
      <c r="A3166" s="40">
        <f t="array" ref="A3166">IFNA(index(PlayerValues!A:A,match(IFNA(vlookup(B3166,'Special Names'!A:B,2,FALSE),B3166),PlayerValues!E:E,0)),"N/A")</f>
        <v>16596</v>
      </c>
      <c r="B3166" s="4" t="s">
        <v>501</v>
      </c>
      <c r="C3166" s="4" t="s">
        <v>278</v>
      </c>
      <c r="D3166" s="94">
        <v>2844.0</v>
      </c>
    </row>
    <row r="3167">
      <c r="A3167" s="40">
        <f t="array" ref="A3167">IFNA(index(PlayerValues!A:A,match(IFNA(vlookup(B3167,'Special Names'!A:B,2,FALSE),B3167),PlayerValues!E:E,0)),"N/A")</f>
        <v>17073</v>
      </c>
      <c r="B3167" s="4" t="s">
        <v>547</v>
      </c>
      <c r="C3167" s="4" t="s">
        <v>287</v>
      </c>
      <c r="D3167" s="94">
        <v>2841.0</v>
      </c>
    </row>
    <row r="3168">
      <c r="A3168" s="40">
        <f t="array" ref="A3168">IFNA(index(PlayerValues!A:A,match(IFNA(vlookup(B3168,'Special Names'!A:B,2,FALSE),B3168),PlayerValues!E:E,0)),"N/A")</f>
        <v>14860</v>
      </c>
      <c r="B3168" s="4" t="s">
        <v>554</v>
      </c>
      <c r="C3168" s="4" t="s">
        <v>287</v>
      </c>
      <c r="D3168" s="94">
        <v>2839.0</v>
      </c>
    </row>
    <row r="3169">
      <c r="A3169" s="40">
        <f t="array" ref="A3169">IFNA(index(PlayerValues!A:A,match(IFNA(vlookup(B3169,'Special Names'!A:B,2,FALSE),B3169),PlayerValues!E:E,0)),"N/A")</f>
        <v>17072</v>
      </c>
      <c r="B3169" s="4" t="s">
        <v>508</v>
      </c>
      <c r="C3169" s="4" t="s">
        <v>287</v>
      </c>
      <c r="D3169" s="94">
        <v>2839.0</v>
      </c>
    </row>
    <row r="3170">
      <c r="A3170" s="40">
        <f t="array" ref="A3170">IFNA(index(PlayerValues!A:A,match(IFNA(vlookup(B3170,'Special Names'!A:B,2,FALSE),B3170),PlayerValues!E:E,0)),"N/A")</f>
        <v>17157</v>
      </c>
      <c r="B3170" s="4" t="s">
        <v>524</v>
      </c>
      <c r="C3170" s="4" t="s">
        <v>287</v>
      </c>
      <c r="D3170" s="94">
        <v>2835.0</v>
      </c>
    </row>
    <row r="3171">
      <c r="A3171" s="40">
        <f t="array" ref="A3171">IFNA(index(PlayerValues!A:A,match(IFNA(vlookup(B3171,'Special Names'!A:B,2,FALSE),B3171),PlayerValues!E:E,0)),"N/A")</f>
        <v>16080</v>
      </c>
      <c r="B3171" s="4" t="s">
        <v>499</v>
      </c>
      <c r="C3171" s="4" t="s">
        <v>287</v>
      </c>
      <c r="D3171" s="94">
        <v>2829.0</v>
      </c>
    </row>
    <row r="3172">
      <c r="A3172" s="40">
        <f t="array" ref="A3172">IFNA(index(PlayerValues!A:A,match(IFNA(vlookup(B3172,'Special Names'!A:B,2,FALSE),B3172),PlayerValues!E:E,0)),"N/A")</f>
        <v>17511</v>
      </c>
      <c r="B3172" s="4" t="s">
        <v>485</v>
      </c>
      <c r="C3172" s="4" t="s">
        <v>287</v>
      </c>
      <c r="D3172" s="94">
        <v>2819.0</v>
      </c>
    </row>
    <row r="3173">
      <c r="A3173" s="40">
        <f t="array" ref="A3173">IFNA(index(PlayerValues!A:A,match(IFNA(vlookup(B3173,'Special Names'!A:B,2,FALSE),B3173),PlayerValues!E:E,0)),"N/A")</f>
        <v>16165</v>
      </c>
      <c r="B3173" s="4" t="s">
        <v>520</v>
      </c>
      <c r="C3173" s="4" t="s">
        <v>278</v>
      </c>
      <c r="D3173" s="94">
        <v>2810.0</v>
      </c>
    </row>
    <row r="3174">
      <c r="A3174" s="40">
        <f t="array" ref="A3174">IFNA(index(PlayerValues!A:A,match(IFNA(vlookup(B3174,'Special Names'!A:B,2,FALSE),B3174),PlayerValues!E:E,0)),"N/A")</f>
        <v>15255</v>
      </c>
      <c r="B3174" s="4" t="s">
        <v>477</v>
      </c>
      <c r="C3174" s="4" t="s">
        <v>278</v>
      </c>
      <c r="D3174" s="94">
        <v>2804.0</v>
      </c>
    </row>
    <row r="3175">
      <c r="A3175" s="40" t="str">
        <f t="array" ref="A3175">IFNA(index(PlayerValues!A:A,match(IFNA(vlookup(B3175,'Special Names'!A:B,2,FALSE),B3175),PlayerValues!E:E,0)),"N/A")</f>
        <v>N/A</v>
      </c>
      <c r="B3175" s="4" t="s">
        <v>85</v>
      </c>
      <c r="C3175" s="4" t="s">
        <v>325</v>
      </c>
      <c r="D3175" s="94">
        <v>2804.0</v>
      </c>
    </row>
    <row r="3176">
      <c r="A3176" s="40">
        <f t="array" ref="A3176">IFNA(index(PlayerValues!A:A,match(IFNA(vlookup(B3176,'Special Names'!A:B,2,FALSE),B3176),PlayerValues!E:E,0)),"N/A")</f>
        <v>17134</v>
      </c>
      <c r="B3176" s="4" t="s">
        <v>548</v>
      </c>
      <c r="C3176" s="4" t="s">
        <v>287</v>
      </c>
      <c r="D3176" s="94">
        <v>2803.0</v>
      </c>
    </row>
    <row r="3177">
      <c r="A3177" s="40" t="str">
        <f t="array" ref="A3177">IFNA(index(PlayerValues!A:A,match(IFNA(vlookup(B3177,'Special Names'!A:B,2,FALSE),B3177),PlayerValues!E:E,0)),"N/A")</f>
        <v>N/A</v>
      </c>
      <c r="B3177" s="4" t="s">
        <v>109</v>
      </c>
      <c r="C3177" s="4" t="s">
        <v>325</v>
      </c>
      <c r="D3177" s="94">
        <v>2799.0</v>
      </c>
    </row>
    <row r="3178">
      <c r="A3178" s="40">
        <f t="array" ref="A3178">IFNA(index(PlayerValues!A:A,match(IFNA(vlookup(B3178,'Special Names'!A:B,2,FALSE),B3178),PlayerValues!E:E,0)),"N/A")</f>
        <v>15241</v>
      </c>
      <c r="B3178" s="4" t="s">
        <v>546</v>
      </c>
      <c r="C3178" s="4" t="s">
        <v>283</v>
      </c>
      <c r="D3178" s="94">
        <v>2797.0</v>
      </c>
    </row>
    <row r="3179">
      <c r="A3179" s="40">
        <f t="array" ref="A3179">IFNA(index(PlayerValues!A:A,match(IFNA(vlookup(B3179,'Special Names'!A:B,2,FALSE),B3179),PlayerValues!E:E,0)),"N/A")</f>
        <v>16649</v>
      </c>
      <c r="B3179" s="4" t="s">
        <v>586</v>
      </c>
      <c r="C3179" s="4" t="s">
        <v>298</v>
      </c>
      <c r="D3179" s="94">
        <v>3215.0</v>
      </c>
    </row>
    <row r="3180">
      <c r="A3180" s="40">
        <f t="array" ref="A3180">IFNA(index(PlayerValues!A:A,match(IFNA(vlookup(B3180,'Special Names'!A:B,2,FALSE),B3180),PlayerValues!E:E,0)),"N/A")</f>
        <v>14071</v>
      </c>
      <c r="B3180" s="4" t="s">
        <v>440</v>
      </c>
      <c r="C3180" s="4" t="s">
        <v>278</v>
      </c>
      <c r="D3180" s="94">
        <v>2791.0</v>
      </c>
    </row>
    <row r="3181">
      <c r="A3181" s="40">
        <f t="array" ref="A3181">IFNA(index(PlayerValues!A:A,match(IFNA(vlookup(B3181,'Special Names'!A:B,2,FALSE),B3181),PlayerValues!E:E,0)),"N/A")</f>
        <v>17080</v>
      </c>
      <c r="B3181" s="4" t="s">
        <v>532</v>
      </c>
      <c r="C3181" s="4" t="s">
        <v>287</v>
      </c>
      <c r="D3181" s="94">
        <v>2782.0</v>
      </c>
    </row>
    <row r="3182">
      <c r="A3182" s="40">
        <f t="array" ref="A3182">IFNA(index(PlayerValues!A:A,match(IFNA(vlookup(B3182,'Special Names'!A:B,2,FALSE),B3182),PlayerValues!E:E,0)),"N/A")</f>
        <v>16626</v>
      </c>
      <c r="B3182" s="4" t="s">
        <v>515</v>
      </c>
      <c r="C3182" s="4" t="s">
        <v>287</v>
      </c>
      <c r="D3182" s="94">
        <v>2766.0</v>
      </c>
    </row>
    <row r="3183">
      <c r="A3183" s="40">
        <f t="array" ref="A3183">IFNA(index(PlayerValues!A:A,match(IFNA(vlookup(B3183,'Special Names'!A:B,2,FALSE),B3183),PlayerValues!E:E,0)),"N/A")</f>
        <v>13163</v>
      </c>
      <c r="B3183" s="4" t="s">
        <v>473</v>
      </c>
      <c r="C3183" s="4" t="s">
        <v>287</v>
      </c>
      <c r="D3183" s="94">
        <v>2764.0</v>
      </c>
    </row>
    <row r="3184">
      <c r="A3184" s="40">
        <f t="array" ref="A3184">IFNA(index(PlayerValues!A:A,match(IFNA(vlookup(B3184,'Special Names'!A:B,2,FALSE),B3184),PlayerValues!E:E,0)),"N/A")</f>
        <v>14800</v>
      </c>
      <c r="B3184" s="4" t="s">
        <v>472</v>
      </c>
      <c r="C3184" s="4" t="s">
        <v>278</v>
      </c>
      <c r="D3184" s="94">
        <v>2759.0</v>
      </c>
    </row>
    <row r="3185">
      <c r="A3185" s="40">
        <f t="array" ref="A3185">IFNA(index(PlayerValues!A:A,match(IFNA(vlookup(B3185,'Special Names'!A:B,2,FALSE),B3185),PlayerValues!E:E,0)),"N/A")</f>
        <v>17098</v>
      </c>
      <c r="B3185" s="4" t="s">
        <v>533</v>
      </c>
      <c r="C3185" s="4" t="s">
        <v>287</v>
      </c>
      <c r="D3185" s="94">
        <v>2742.0</v>
      </c>
    </row>
    <row r="3186">
      <c r="A3186" s="40">
        <f t="array" ref="A3186">IFNA(index(PlayerValues!A:A,match(IFNA(vlookup(B3186,'Special Names'!A:B,2,FALSE),B3186),PlayerValues!E:E,0)),"N/A")</f>
        <v>16747</v>
      </c>
      <c r="B3186" s="4" t="s">
        <v>555</v>
      </c>
      <c r="C3186" s="4" t="s">
        <v>278</v>
      </c>
      <c r="D3186" s="94">
        <v>2738.0</v>
      </c>
    </row>
    <row r="3187">
      <c r="A3187" s="40">
        <f t="array" ref="A3187">IFNA(index(PlayerValues!A:A,match(IFNA(vlookup(B3187,'Special Names'!A:B,2,FALSE),B3187),PlayerValues!E:E,0)),"N/A")</f>
        <v>17047</v>
      </c>
      <c r="B3187" s="4" t="s">
        <v>510</v>
      </c>
      <c r="C3187" s="4" t="s">
        <v>278</v>
      </c>
      <c r="D3187" s="94">
        <v>2724.0</v>
      </c>
    </row>
    <row r="3188">
      <c r="A3188" s="40">
        <f t="array" ref="A3188">IFNA(index(PlayerValues!A:A,match(IFNA(vlookup(B3188,'Special Names'!A:B,2,FALSE),B3188),PlayerValues!E:E,0)),"N/A")</f>
        <v>14840</v>
      </c>
      <c r="B3188" s="4" t="s">
        <v>731</v>
      </c>
      <c r="C3188" s="4" t="s">
        <v>287</v>
      </c>
      <c r="D3188" s="94">
        <v>2693.0</v>
      </c>
    </row>
    <row r="3189">
      <c r="A3189" s="40">
        <f t="array" ref="A3189">IFNA(index(PlayerValues!A:A,match(IFNA(vlookup(B3189,'Special Names'!A:B,2,FALSE),B3189),PlayerValues!E:E,0)),"N/A")</f>
        <v>16597</v>
      </c>
      <c r="B3189" s="4" t="s">
        <v>427</v>
      </c>
      <c r="C3189" s="4" t="s">
        <v>278</v>
      </c>
      <c r="D3189" s="94">
        <v>2692.0</v>
      </c>
    </row>
    <row r="3190">
      <c r="A3190" s="40">
        <f t="array" ref="A3190">IFNA(index(PlayerValues!A:A,match(IFNA(vlookup(B3190,'Special Names'!A:B,2,FALSE),B3190),PlayerValues!E:E,0)),"N/A")</f>
        <v>14085</v>
      </c>
      <c r="B3190" s="4" t="s">
        <v>489</v>
      </c>
      <c r="C3190" s="4" t="s">
        <v>278</v>
      </c>
      <c r="D3190" s="94">
        <v>2685.0</v>
      </c>
    </row>
    <row r="3191">
      <c r="A3191" s="40">
        <f t="array" ref="A3191">IFNA(index(PlayerValues!A:A,match(IFNA(vlookup(B3191,'Special Names'!A:B,2,FALSE),B3191),PlayerValues!E:E,0)),"N/A")</f>
        <v>17048</v>
      </c>
      <c r="B3191" s="4" t="s">
        <v>539</v>
      </c>
      <c r="C3191" s="4" t="s">
        <v>278</v>
      </c>
      <c r="D3191" s="94">
        <v>2683.0</v>
      </c>
    </row>
    <row r="3192">
      <c r="A3192" s="40">
        <f t="array" ref="A3192">IFNA(index(PlayerValues!A:A,match(IFNA(vlookup(B3192,'Special Names'!A:B,2,FALSE),B3192),PlayerValues!E:E,0)),"N/A")</f>
        <v>17505</v>
      </c>
      <c r="B3192" s="4" t="s">
        <v>528</v>
      </c>
      <c r="C3192" s="4" t="s">
        <v>287</v>
      </c>
      <c r="D3192" s="94">
        <v>2675.0</v>
      </c>
    </row>
    <row r="3193">
      <c r="A3193" s="40">
        <f t="array" ref="A3193">IFNA(index(PlayerValues!A:A,match(IFNA(vlookup(B3193,'Special Names'!A:B,2,FALSE),B3193),PlayerValues!E:E,0)),"N/A")</f>
        <v>17507</v>
      </c>
      <c r="B3193" s="4" t="s">
        <v>495</v>
      </c>
      <c r="C3193" s="4" t="s">
        <v>287</v>
      </c>
      <c r="D3193" s="94">
        <v>2661.0</v>
      </c>
    </row>
    <row r="3194">
      <c r="A3194" s="40">
        <f t="array" ref="A3194">IFNA(index(PlayerValues!A:A,match(IFNA(vlookup(B3194,'Special Names'!A:B,2,FALSE),B3194),PlayerValues!E:E,0)),"N/A")</f>
        <v>14833</v>
      </c>
      <c r="B3194" s="4" t="s">
        <v>553</v>
      </c>
      <c r="C3194" s="4" t="s">
        <v>287</v>
      </c>
      <c r="D3194" s="94">
        <v>2647.0</v>
      </c>
    </row>
    <row r="3195">
      <c r="A3195" s="40">
        <f t="array" ref="A3195">IFNA(index(PlayerValues!A:A,match(IFNA(vlookup(B3195,'Special Names'!A:B,2,FALSE),B3195),PlayerValues!E:E,0)),"N/A")</f>
        <v>12186</v>
      </c>
      <c r="B3195" s="4" t="s">
        <v>497</v>
      </c>
      <c r="C3195" s="4" t="s">
        <v>287</v>
      </c>
      <c r="D3195" s="94">
        <v>2628.0</v>
      </c>
    </row>
    <row r="3196">
      <c r="A3196" s="40" t="str">
        <f t="array" ref="A3196">IFNA(index(PlayerValues!A:A,match(IFNA(vlookup(B3196,'Special Names'!A:B,2,FALSE),B3196),PlayerValues!E:E,0)),"N/A")</f>
        <v>N/A</v>
      </c>
      <c r="B3196" s="4" t="s">
        <v>110</v>
      </c>
      <c r="C3196" s="4" t="s">
        <v>325</v>
      </c>
      <c r="D3196" s="94">
        <v>2627.0</v>
      </c>
    </row>
    <row r="3197">
      <c r="A3197" s="40">
        <f t="array" ref="A3197">IFNA(index(PlayerValues!A:A,match(IFNA(vlookup(B3197,'Special Names'!A:B,2,FALSE),B3197),PlayerValues!E:E,0)),"N/A")</f>
        <v>14778</v>
      </c>
      <c r="B3197" s="4" t="s">
        <v>564</v>
      </c>
      <c r="C3197" s="4" t="s">
        <v>283</v>
      </c>
      <c r="D3197" s="94">
        <v>2626.0</v>
      </c>
    </row>
    <row r="3198">
      <c r="A3198" s="40">
        <f t="array" ref="A3198">IFNA(index(PlayerValues!A:A,match(IFNA(vlookup(B3198,'Special Names'!A:B,2,FALSE),B3198),PlayerValues!E:E,0)),"N/A")</f>
        <v>17046</v>
      </c>
      <c r="B3198" s="4" t="s">
        <v>602</v>
      </c>
      <c r="C3198" s="4" t="s">
        <v>278</v>
      </c>
      <c r="D3198" s="94">
        <v>2621.0</v>
      </c>
    </row>
    <row r="3199">
      <c r="A3199" s="40">
        <f t="array" ref="A3199">IFNA(index(PlayerValues!A:A,match(IFNA(vlookup(B3199,'Special Names'!A:B,2,FALSE),B3199),PlayerValues!E:E,0)),"N/A")</f>
        <v>16757</v>
      </c>
      <c r="B3199" s="4" t="s">
        <v>558</v>
      </c>
      <c r="C3199" s="4" t="s">
        <v>278</v>
      </c>
      <c r="D3199" s="94">
        <v>2611.0</v>
      </c>
    </row>
    <row r="3200">
      <c r="A3200" s="40">
        <f t="array" ref="A3200">IFNA(index(PlayerValues!A:A,match(IFNA(vlookup(B3200,'Special Names'!A:B,2,FALSE),B3200),PlayerValues!E:E,0)),"N/A")</f>
        <v>14138</v>
      </c>
      <c r="B3200" s="4" t="s">
        <v>531</v>
      </c>
      <c r="C3200" s="4" t="s">
        <v>298</v>
      </c>
      <c r="D3200" s="94">
        <v>3020.0</v>
      </c>
    </row>
    <row r="3201">
      <c r="A3201" s="40">
        <f t="array" ref="A3201">IFNA(index(PlayerValues!A:A,match(IFNA(vlookup(B3201,'Special Names'!A:B,2,FALSE),B3201),PlayerValues!E:E,0)),"N/A")</f>
        <v>13674</v>
      </c>
      <c r="B3201" s="4" t="s">
        <v>511</v>
      </c>
      <c r="C3201" s="4" t="s">
        <v>298</v>
      </c>
      <c r="D3201" s="94">
        <v>3014.0</v>
      </c>
    </row>
    <row r="3202">
      <c r="A3202" s="40">
        <f t="array" ref="A3202">IFNA(index(PlayerValues!A:A,match(IFNA(vlookup(B3202,'Special Names'!A:B,2,FALSE),B3202),PlayerValues!E:E,0)),"N/A")</f>
        <v>15721</v>
      </c>
      <c r="B3202" s="4" t="s">
        <v>504</v>
      </c>
      <c r="C3202" s="4" t="s">
        <v>278</v>
      </c>
      <c r="D3202" s="94">
        <v>2585.0</v>
      </c>
    </row>
    <row r="3203">
      <c r="A3203" s="40" t="str">
        <f t="array" ref="A3203">IFNA(index(PlayerValues!A:A,match(IFNA(vlookup(B3203,'Special Names'!A:B,2,FALSE),B3203),PlayerValues!E:E,0)),"N/A")</f>
        <v>N/A</v>
      </c>
      <c r="B3203" s="4" t="s">
        <v>557</v>
      </c>
      <c r="C3203" s="4" t="s">
        <v>278</v>
      </c>
      <c r="D3203" s="94">
        <v>2579.0</v>
      </c>
    </row>
    <row r="3204">
      <c r="A3204" s="40">
        <f t="array" ref="A3204">IFNA(index(PlayerValues!A:A,match(IFNA(vlookup(B3204,'Special Names'!A:B,2,FALSE),B3204),PlayerValues!E:E,0)),"N/A")</f>
        <v>17108</v>
      </c>
      <c r="B3204" s="4" t="s">
        <v>542</v>
      </c>
      <c r="C3204" s="4" t="s">
        <v>298</v>
      </c>
      <c r="D3204" s="94">
        <v>2988.0</v>
      </c>
    </row>
    <row r="3205">
      <c r="A3205" s="40">
        <f t="array" ref="A3205">IFNA(index(PlayerValues!A:A,match(IFNA(vlookup(B3205,'Special Names'!A:B,2,FALSE),B3205),PlayerValues!E:E,0)),"N/A")</f>
        <v>13192</v>
      </c>
      <c r="B3205" s="4" t="s">
        <v>563</v>
      </c>
      <c r="C3205" s="4" t="s">
        <v>298</v>
      </c>
      <c r="D3205" s="94">
        <v>2964.0</v>
      </c>
    </row>
    <row r="3206">
      <c r="A3206" s="40">
        <f t="array" ref="A3206">IFNA(index(PlayerValues!A:A,match(IFNA(vlookup(B3206,'Special Names'!A:B,2,FALSE),B3206),PlayerValues!E:E,0)),"N/A")</f>
        <v>16287</v>
      </c>
      <c r="B3206" s="4" t="s">
        <v>516</v>
      </c>
      <c r="C3206" s="4" t="s">
        <v>287</v>
      </c>
      <c r="D3206" s="94">
        <v>2541.0</v>
      </c>
    </row>
    <row r="3207">
      <c r="A3207" s="40">
        <f t="array" ref="A3207">IFNA(index(PlayerValues!A:A,match(IFNA(vlookup(B3207,'Special Names'!A:B,2,FALSE),B3207),PlayerValues!E:E,0)),"N/A")</f>
        <v>17464</v>
      </c>
      <c r="B3207" s="4" t="s">
        <v>828</v>
      </c>
      <c r="C3207" s="4" t="s">
        <v>283</v>
      </c>
      <c r="D3207" s="94">
        <v>2540.0</v>
      </c>
    </row>
    <row r="3208">
      <c r="A3208" s="40">
        <f t="array" ref="A3208">IFNA(index(PlayerValues!A:A,match(IFNA(vlookup(B3208,'Special Names'!A:B,2,FALSE),B3208),PlayerValues!E:E,0)),"N/A")</f>
        <v>16166</v>
      </c>
      <c r="B3208" s="4" t="s">
        <v>567</v>
      </c>
      <c r="C3208" s="4" t="s">
        <v>278</v>
      </c>
      <c r="D3208" s="94">
        <v>2537.0</v>
      </c>
    </row>
    <row r="3209">
      <c r="A3209" s="40">
        <f t="array" ref="A3209">IFNA(index(PlayerValues!A:A,match(IFNA(vlookup(B3209,'Special Names'!A:B,2,FALSE),B3209),PlayerValues!E:E,0)),"N/A")</f>
        <v>14136</v>
      </c>
      <c r="B3209" s="4" t="s">
        <v>536</v>
      </c>
      <c r="C3209" s="4" t="s">
        <v>287</v>
      </c>
      <c r="D3209" s="94">
        <v>2532.0</v>
      </c>
    </row>
    <row r="3210">
      <c r="A3210" s="40">
        <f t="array" ref="A3210">IFNA(index(PlayerValues!A:A,match(IFNA(vlookup(B3210,'Special Names'!A:B,2,FALSE),B3210),PlayerValues!E:E,0)),"N/A")</f>
        <v>13671</v>
      </c>
      <c r="B3210" s="4" t="s">
        <v>506</v>
      </c>
      <c r="C3210" s="4" t="s">
        <v>298</v>
      </c>
      <c r="D3210" s="94">
        <v>2939.0</v>
      </c>
    </row>
    <row r="3211">
      <c r="A3211" s="40">
        <f t="array" ref="A3211">IFNA(index(PlayerValues!A:A,match(IFNA(vlookup(B3211,'Special Names'!A:B,2,FALSE),B3211),PlayerValues!E:E,0)),"N/A")</f>
        <v>17078</v>
      </c>
      <c r="B3211" s="4" t="s">
        <v>543</v>
      </c>
      <c r="C3211" s="4" t="s">
        <v>287</v>
      </c>
      <c r="D3211" s="94">
        <v>2489.0</v>
      </c>
    </row>
    <row r="3212">
      <c r="A3212" s="40">
        <f t="array" ref="A3212">IFNA(index(PlayerValues!A:A,match(IFNA(vlookup(B3212,'Special Names'!A:B,2,FALSE),B3212),PlayerValues!E:E,0)),"N/A")</f>
        <v>15972</v>
      </c>
      <c r="B3212" s="4" t="s">
        <v>469</v>
      </c>
      <c r="C3212" s="4" t="s">
        <v>278</v>
      </c>
      <c r="D3212" s="94">
        <v>2485.0</v>
      </c>
    </row>
    <row r="3213">
      <c r="A3213" s="40">
        <f t="array" ref="A3213">IFNA(index(PlayerValues!A:A,match(IFNA(vlookup(B3213,'Special Names'!A:B,2,FALSE),B3213),PlayerValues!E:E,0)),"N/A")</f>
        <v>17509</v>
      </c>
      <c r="B3213" s="4" t="s">
        <v>551</v>
      </c>
      <c r="C3213" s="4" t="s">
        <v>287</v>
      </c>
      <c r="D3213" s="94">
        <v>2482.0</v>
      </c>
    </row>
    <row r="3214">
      <c r="A3214" s="40">
        <f t="array" ref="A3214">IFNA(index(PlayerValues!A:A,match(IFNA(vlookup(B3214,'Special Names'!A:B,2,FALSE),B3214),PlayerValues!E:E,0)),"N/A")</f>
        <v>17474</v>
      </c>
      <c r="B3214" s="4" t="s">
        <v>513</v>
      </c>
      <c r="C3214" s="4" t="s">
        <v>278</v>
      </c>
      <c r="D3214" s="94">
        <v>2474.0</v>
      </c>
    </row>
    <row r="3215">
      <c r="A3215" s="40">
        <f t="array" ref="A3215">IFNA(index(PlayerValues!A:A,match(IFNA(vlookup(B3215,'Special Names'!A:B,2,FALSE),B3215),PlayerValues!E:E,0)),"N/A")</f>
        <v>16164</v>
      </c>
      <c r="B3215" s="4" t="s">
        <v>512</v>
      </c>
      <c r="C3215" s="4" t="s">
        <v>278</v>
      </c>
      <c r="D3215" s="94">
        <v>2474.0</v>
      </c>
    </row>
    <row r="3216">
      <c r="A3216" s="40">
        <f t="array" ref="A3216">IFNA(index(PlayerValues!A:A,match(IFNA(vlookup(B3216,'Special Names'!A:B,2,FALSE),B3216),PlayerValues!E:E,0)),"N/A")</f>
        <v>16617</v>
      </c>
      <c r="B3216" s="4" t="s">
        <v>541</v>
      </c>
      <c r="C3216" s="4" t="s">
        <v>287</v>
      </c>
      <c r="D3216" s="94">
        <v>2470.0</v>
      </c>
    </row>
    <row r="3217">
      <c r="A3217" s="40">
        <f t="array" ref="A3217">IFNA(index(PlayerValues!A:A,match(IFNA(vlookup(B3217,'Special Names'!A:B,2,FALSE),B3217),PlayerValues!E:E,0)),"N/A")</f>
        <v>16189</v>
      </c>
      <c r="B3217" s="4" t="s">
        <v>582</v>
      </c>
      <c r="C3217" s="4" t="s">
        <v>287</v>
      </c>
      <c r="D3217" s="94">
        <v>2468.0</v>
      </c>
    </row>
    <row r="3218">
      <c r="A3218" s="40" t="str">
        <f t="array" ref="A3218">IFNA(index(PlayerValues!A:A,match(IFNA(vlookup(B3218,'Special Names'!A:B,2,FALSE),B3218),PlayerValues!E:E,0)),"N/A")</f>
        <v>N/A</v>
      </c>
      <c r="B3218" s="4" t="s">
        <v>98</v>
      </c>
      <c r="C3218" s="4" t="s">
        <v>325</v>
      </c>
      <c r="D3218" s="94">
        <v>2453.0</v>
      </c>
    </row>
    <row r="3219">
      <c r="A3219" s="40">
        <f t="array" ref="A3219">IFNA(index(PlayerValues!A:A,match(IFNA(vlookup(B3219,'Special Names'!A:B,2,FALSE),B3219),PlayerValues!E:E,0)),"N/A")</f>
        <v>16152</v>
      </c>
      <c r="B3219" s="4" t="s">
        <v>601</v>
      </c>
      <c r="C3219" s="4" t="s">
        <v>283</v>
      </c>
      <c r="D3219" s="94">
        <v>2430.0</v>
      </c>
    </row>
    <row r="3220">
      <c r="A3220" s="40">
        <f t="array" ref="A3220">IFNA(index(PlayerValues!A:A,match(IFNA(vlookup(B3220,'Special Names'!A:B,2,FALSE),B3220),PlayerValues!E:E,0)),"N/A")</f>
        <v>12616</v>
      </c>
      <c r="B3220" s="4" t="s">
        <v>529</v>
      </c>
      <c r="C3220" s="4" t="s">
        <v>283</v>
      </c>
      <c r="D3220" s="94">
        <v>2427.0</v>
      </c>
    </row>
    <row r="3221">
      <c r="A3221" s="40">
        <f t="array" ref="A3221">IFNA(index(PlayerValues!A:A,match(IFNA(vlookup(B3221,'Special Names'!A:B,2,FALSE),B3221),PlayerValues!E:E,0)),"N/A")</f>
        <v>16204</v>
      </c>
      <c r="B3221" s="4" t="s">
        <v>530</v>
      </c>
      <c r="C3221" s="4" t="s">
        <v>287</v>
      </c>
      <c r="D3221" s="94">
        <v>2411.0</v>
      </c>
    </row>
    <row r="3222">
      <c r="A3222" s="40">
        <f t="array" ref="A3222">IFNA(index(PlayerValues!A:A,match(IFNA(vlookup(B3222,'Special Names'!A:B,2,FALSE),B3222),PlayerValues!E:E,0)),"N/A")</f>
        <v>17506</v>
      </c>
      <c r="B3222" s="4" t="s">
        <v>471</v>
      </c>
      <c r="C3222" s="4" t="s">
        <v>287</v>
      </c>
      <c r="D3222" s="94">
        <v>2398.0</v>
      </c>
    </row>
    <row r="3223">
      <c r="A3223" s="40">
        <f t="array" ref="A3223">IFNA(index(PlayerValues!A:A,match(IFNA(vlookup(B3223,'Special Names'!A:B,2,FALSE),B3223),PlayerValues!E:E,0)),"N/A")</f>
        <v>12676</v>
      </c>
      <c r="B3223" s="4" t="s">
        <v>537</v>
      </c>
      <c r="C3223" s="4" t="s">
        <v>298</v>
      </c>
      <c r="D3223" s="94">
        <v>2792.0</v>
      </c>
    </row>
    <row r="3224">
      <c r="A3224" s="40">
        <f t="array" ref="A3224">IFNA(index(PlayerValues!A:A,match(IFNA(vlookup(B3224,'Special Names'!A:B,2,FALSE),B3224),PlayerValues!E:E,0)),"N/A")</f>
        <v>17033</v>
      </c>
      <c r="B3224" s="4" t="s">
        <v>570</v>
      </c>
      <c r="C3224" s="4" t="s">
        <v>283</v>
      </c>
      <c r="D3224" s="94">
        <v>2383.0</v>
      </c>
    </row>
    <row r="3225">
      <c r="A3225" s="40" t="str">
        <f t="array" ref="A3225">IFNA(index(PlayerValues!A:A,match(IFNA(vlookup(B3225,'Special Names'!A:B,2,FALSE),B3225),PlayerValues!E:E,0)),"N/A")</f>
        <v>N/A</v>
      </c>
      <c r="B3225" s="4" t="s">
        <v>86</v>
      </c>
      <c r="C3225" s="4" t="s">
        <v>325</v>
      </c>
      <c r="D3225" s="94">
        <v>2364.0</v>
      </c>
    </row>
    <row r="3226">
      <c r="A3226" s="40">
        <f t="array" ref="A3226">IFNA(index(PlayerValues!A:A,match(IFNA(vlookup(B3226,'Special Names'!A:B,2,FALSE),B3226),PlayerValues!E:E,0)),"N/A")</f>
        <v>16610</v>
      </c>
      <c r="B3226" s="4" t="s">
        <v>562</v>
      </c>
      <c r="C3226" s="4" t="s">
        <v>278</v>
      </c>
      <c r="D3226" s="94">
        <v>2358.0</v>
      </c>
    </row>
    <row r="3227">
      <c r="A3227" s="40">
        <f t="array" ref="A3227">IFNA(index(PlayerValues!A:A,match(IFNA(vlookup(B3227,'Special Names'!A:B,2,FALSE),B3227),PlayerValues!E:E,0)),"N/A")</f>
        <v>15716</v>
      </c>
      <c r="B3227" s="4" t="s">
        <v>545</v>
      </c>
      <c r="C3227" s="4" t="s">
        <v>278</v>
      </c>
      <c r="D3227" s="94">
        <v>2355.0</v>
      </c>
    </row>
    <row r="3228">
      <c r="A3228" s="40">
        <f t="array" ref="A3228">IFNA(index(PlayerValues!A:A,match(IFNA(vlookup(B3228,'Special Names'!A:B,2,FALSE),B3228),PlayerValues!E:E,0)),"N/A")</f>
        <v>14861</v>
      </c>
      <c r="B3228" s="4" t="s">
        <v>523</v>
      </c>
      <c r="C3228" s="4" t="s">
        <v>298</v>
      </c>
      <c r="D3228" s="94">
        <v>2746.0</v>
      </c>
    </row>
    <row r="3229">
      <c r="A3229" s="40">
        <f t="array" ref="A3229">IFNA(index(PlayerValues!A:A,match(IFNA(vlookup(B3229,'Special Names'!A:B,2,FALSE),B3229),PlayerValues!E:E,0)),"N/A")</f>
        <v>13132</v>
      </c>
      <c r="B3229" s="4" t="s">
        <v>598</v>
      </c>
      <c r="C3229" s="4" t="s">
        <v>278</v>
      </c>
      <c r="D3229" s="94">
        <v>2346.0</v>
      </c>
    </row>
    <row r="3230">
      <c r="A3230" s="40">
        <f t="array" ref="A3230">IFNA(index(PlayerValues!A:A,match(IFNA(vlookup(B3230,'Special Names'!A:B,2,FALSE),B3230),PlayerValues!E:E,0)),"N/A")</f>
        <v>13772</v>
      </c>
      <c r="B3230" s="4" t="s">
        <v>544</v>
      </c>
      <c r="C3230" s="4" t="s">
        <v>298</v>
      </c>
      <c r="D3230" s="94">
        <v>2742.0</v>
      </c>
    </row>
    <row r="3231">
      <c r="A3231" s="40">
        <f t="array" ref="A3231">IFNA(index(PlayerValues!A:A,match(IFNA(vlookup(B3231,'Special Names'!A:B,2,FALSE),B3231),PlayerValues!E:E,0)),"N/A")</f>
        <v>16178</v>
      </c>
      <c r="B3231" s="4" t="s">
        <v>507</v>
      </c>
      <c r="C3231" s="4" t="s">
        <v>278</v>
      </c>
      <c r="D3231" s="94">
        <v>2339.0</v>
      </c>
    </row>
    <row r="3232">
      <c r="A3232" s="40">
        <f t="array" ref="A3232">IFNA(index(PlayerValues!A:A,match(IFNA(vlookup(B3232,'Special Names'!A:B,2,FALSE),B3232),PlayerValues!E:E,0)),"N/A")</f>
        <v>17079</v>
      </c>
      <c r="B3232" s="4" t="s">
        <v>572</v>
      </c>
      <c r="C3232" s="4" t="s">
        <v>287</v>
      </c>
      <c r="D3232" s="94">
        <v>2334.0</v>
      </c>
    </row>
    <row r="3233">
      <c r="A3233" s="40">
        <f t="array" ref="A3233">IFNA(index(PlayerValues!A:A,match(IFNA(vlookup(B3233,'Special Names'!A:B,2,FALSE),B3233),PlayerValues!E:E,0)),"N/A")</f>
        <v>17105</v>
      </c>
      <c r="B3233" s="4" t="s">
        <v>525</v>
      </c>
      <c r="C3233" s="4" t="s">
        <v>298</v>
      </c>
      <c r="D3233" s="94">
        <v>2733.0</v>
      </c>
    </row>
    <row r="3234">
      <c r="A3234" s="40" t="str">
        <f t="array" ref="A3234">IFNA(index(PlayerValues!A:A,match(IFNA(vlookup(B3234,'Special Names'!A:B,2,FALSE),B3234),PlayerValues!E:E,0)),"N/A")</f>
        <v>N/A</v>
      </c>
      <c r="B3234" s="4" t="s">
        <v>99</v>
      </c>
      <c r="C3234" s="4" t="s">
        <v>325</v>
      </c>
      <c r="D3234" s="94">
        <v>2325.0</v>
      </c>
    </row>
    <row r="3235">
      <c r="A3235" s="40">
        <f t="array" ref="A3235">IFNA(index(PlayerValues!A:A,match(IFNA(vlookup(B3235,'Special Names'!A:B,2,FALSE),B3235),PlayerValues!E:E,0)),"N/A")</f>
        <v>15802</v>
      </c>
      <c r="B3235" s="4" t="s">
        <v>566</v>
      </c>
      <c r="C3235" s="4" t="s">
        <v>298</v>
      </c>
      <c r="D3235" s="94">
        <v>2722.0</v>
      </c>
    </row>
    <row r="3236">
      <c r="A3236" s="40">
        <f t="array" ref="A3236">IFNA(index(PlayerValues!A:A,match(IFNA(vlookup(B3236,'Special Names'!A:B,2,FALSE),B3236),PlayerValues!E:E,0)),"N/A")</f>
        <v>17049</v>
      </c>
      <c r="B3236" s="4" t="s">
        <v>624</v>
      </c>
      <c r="C3236" s="4" t="s">
        <v>278</v>
      </c>
      <c r="D3236" s="94">
        <v>2307.0</v>
      </c>
    </row>
    <row r="3237">
      <c r="A3237" s="40">
        <f t="array" ref="A3237">IFNA(index(PlayerValues!A:A,match(IFNA(vlookup(B3237,'Special Names'!A:B,2,FALSE),B3237),PlayerValues!E:E,0)),"N/A")</f>
        <v>12801</v>
      </c>
      <c r="B3237" s="4" t="s">
        <v>722</v>
      </c>
      <c r="C3237" s="4" t="s">
        <v>287</v>
      </c>
      <c r="D3237" s="94">
        <v>2303.0</v>
      </c>
    </row>
    <row r="3238">
      <c r="A3238" s="40">
        <f t="array" ref="A3238">IFNA(index(PlayerValues!A:A,match(IFNA(vlookup(B3238,'Special Names'!A:B,2,FALSE),B3238),PlayerValues!E:E,0)),"N/A")</f>
        <v>16212</v>
      </c>
      <c r="B3238" s="4" t="s">
        <v>568</v>
      </c>
      <c r="C3238" s="4" t="s">
        <v>298</v>
      </c>
      <c r="D3238" s="94">
        <v>2686.0</v>
      </c>
    </row>
    <row r="3239">
      <c r="A3239" s="40">
        <f t="array" ref="A3239">IFNA(index(PlayerValues!A:A,match(IFNA(vlookup(B3239,'Special Names'!A:B,2,FALSE),B3239),PlayerValues!E:E,0)),"N/A")</f>
        <v>16171</v>
      </c>
      <c r="B3239" s="4" t="s">
        <v>618</v>
      </c>
      <c r="C3239" s="4" t="s">
        <v>278</v>
      </c>
      <c r="D3239" s="94">
        <v>2282.0</v>
      </c>
    </row>
    <row r="3240">
      <c r="A3240" s="40">
        <f t="array" ref="A3240">IFNA(index(PlayerValues!A:A,match(IFNA(vlookup(B3240,'Special Names'!A:B,2,FALSE),B3240),PlayerValues!E:E,0)),"N/A")</f>
        <v>17076</v>
      </c>
      <c r="B3240" s="4" t="s">
        <v>585</v>
      </c>
      <c r="C3240" s="4" t="s">
        <v>287</v>
      </c>
      <c r="D3240" s="94">
        <v>2250.0</v>
      </c>
    </row>
    <row r="3241">
      <c r="A3241" s="40">
        <f t="array" ref="A3241">IFNA(index(PlayerValues!A:A,match(IFNA(vlookup(B3241,'Special Names'!A:B,2,FALSE),B3241),PlayerValues!E:E,0)),"N/A")</f>
        <v>16195</v>
      </c>
      <c r="B3241" s="4" t="s">
        <v>509</v>
      </c>
      <c r="C3241" s="4" t="s">
        <v>287</v>
      </c>
      <c r="D3241" s="94">
        <v>2232.0</v>
      </c>
    </row>
    <row r="3242">
      <c r="A3242" s="40">
        <f t="array" ref="A3242">IFNA(index(PlayerValues!A:A,match(IFNA(vlookup(B3242,'Special Names'!A:B,2,FALSE),B3242),PlayerValues!E:E,0)),"N/A")</f>
        <v>16342</v>
      </c>
      <c r="B3242" s="4" t="s">
        <v>583</v>
      </c>
      <c r="C3242" s="4" t="s">
        <v>287</v>
      </c>
      <c r="D3242" s="94">
        <v>2225.0</v>
      </c>
    </row>
    <row r="3243">
      <c r="A3243" s="40">
        <f t="array" ref="A3243">IFNA(index(PlayerValues!A:A,match(IFNA(vlookup(B3243,'Special Names'!A:B,2,FALSE),B3243),PlayerValues!E:E,0)),"N/A")</f>
        <v>17478</v>
      </c>
      <c r="B3243" s="4" t="s">
        <v>527</v>
      </c>
      <c r="C3243" s="4" t="s">
        <v>278</v>
      </c>
      <c r="D3243" s="94">
        <v>2215.0</v>
      </c>
    </row>
    <row r="3244">
      <c r="A3244" s="40">
        <f t="array" ref="A3244">IFNA(index(PlayerValues!A:A,match(IFNA(vlookup(B3244,'Special Names'!A:B,2,FALSE),B3244),PlayerValues!E:E,0)),"N/A")</f>
        <v>17544</v>
      </c>
      <c r="B3244" s="4" t="s">
        <v>470</v>
      </c>
      <c r="C3244" s="4" t="s">
        <v>298</v>
      </c>
      <c r="D3244" s="94">
        <v>2605.0</v>
      </c>
    </row>
    <row r="3245">
      <c r="A3245" s="40">
        <f t="array" ref="A3245">IFNA(index(PlayerValues!A:A,match(IFNA(vlookup(B3245,'Special Names'!A:B,2,FALSE),B3245),PlayerValues!E:E,0)),"N/A")</f>
        <v>16639</v>
      </c>
      <c r="B3245" s="4" t="s">
        <v>599</v>
      </c>
      <c r="C3245" s="4" t="s">
        <v>287</v>
      </c>
      <c r="D3245" s="94">
        <v>2207.0</v>
      </c>
    </row>
    <row r="3246">
      <c r="A3246" s="40">
        <f t="array" ref="A3246">IFNA(index(PlayerValues!A:A,match(IFNA(vlookup(B3246,'Special Names'!A:B,2,FALSE),B3246),PlayerValues!E:E,0)),"N/A")</f>
        <v>17034</v>
      </c>
      <c r="B3246" s="4" t="s">
        <v>643</v>
      </c>
      <c r="C3246" s="4" t="s">
        <v>283</v>
      </c>
      <c r="D3246" s="94">
        <v>2197.0</v>
      </c>
    </row>
    <row r="3247">
      <c r="A3247" s="40" t="str">
        <f t="array" ref="A3247">IFNA(index(PlayerValues!A:A,match(IFNA(vlookup(B3247,'Special Names'!A:B,2,FALSE),B3247),PlayerValues!E:E,0)),"N/A")</f>
        <v>N/A</v>
      </c>
      <c r="B3247" s="4" t="s">
        <v>100</v>
      </c>
      <c r="C3247" s="4" t="s">
        <v>325</v>
      </c>
      <c r="D3247" s="94">
        <v>2192.0</v>
      </c>
    </row>
    <row r="3248">
      <c r="A3248" s="40">
        <f t="array" ref="A3248">IFNA(index(PlayerValues!A:A,match(IFNA(vlookup(B3248,'Special Names'!A:B,2,FALSE),B3248),PlayerValues!E:E,0)),"N/A")</f>
        <v>13319</v>
      </c>
      <c r="B3248" s="4" t="s">
        <v>549</v>
      </c>
      <c r="C3248" s="4" t="s">
        <v>278</v>
      </c>
      <c r="D3248" s="94">
        <v>2190.0</v>
      </c>
    </row>
    <row r="3249">
      <c r="A3249" s="40" t="str">
        <f t="array" ref="A3249">IFNA(index(PlayerValues!A:A,match(IFNA(vlookup(B3249,'Special Names'!A:B,2,FALSE),B3249),PlayerValues!E:E,0)),"N/A")</f>
        <v>N/A</v>
      </c>
      <c r="B3249" s="4" t="s">
        <v>87</v>
      </c>
      <c r="C3249" s="4" t="s">
        <v>325</v>
      </c>
      <c r="D3249" s="94">
        <v>2189.0</v>
      </c>
    </row>
    <row r="3250">
      <c r="A3250" s="40">
        <f t="array" ref="A3250">IFNA(index(PlayerValues!A:A,match(IFNA(vlookup(B3250,'Special Names'!A:B,2,FALSE),B3250),PlayerValues!E:E,0)),"N/A")</f>
        <v>16036</v>
      </c>
      <c r="B3250" s="4" t="s">
        <v>592</v>
      </c>
      <c r="C3250" s="4" t="s">
        <v>298</v>
      </c>
      <c r="D3250" s="94">
        <v>2573.0</v>
      </c>
    </row>
    <row r="3251">
      <c r="A3251" s="40">
        <f t="array" ref="A3251">IFNA(index(PlayerValues!A:A,match(IFNA(vlookup(B3251,'Special Names'!A:B,2,FALSE),B3251),PlayerValues!E:E,0)),"N/A")</f>
        <v>17069</v>
      </c>
      <c r="B3251" s="4" t="s">
        <v>604</v>
      </c>
      <c r="C3251" s="4" t="s">
        <v>278</v>
      </c>
      <c r="D3251" s="94">
        <v>2176.0</v>
      </c>
    </row>
    <row r="3252">
      <c r="A3252" s="40">
        <f t="array" ref="A3252">IFNA(index(PlayerValues!A:A,match(IFNA(vlookup(B3252,'Special Names'!A:B,2,FALSE),B3252),PlayerValues!E:E,0)),"N/A")</f>
        <v>15889</v>
      </c>
      <c r="B3252" s="4" t="s">
        <v>503</v>
      </c>
      <c r="C3252" s="4" t="s">
        <v>298</v>
      </c>
      <c r="D3252" s="94">
        <v>2566.0</v>
      </c>
    </row>
    <row r="3253">
      <c r="A3253" s="40">
        <f t="array" ref="A3253">IFNA(index(PlayerValues!A:A,match(IFNA(vlookup(B3253,'Special Names'!A:B,2,FALSE),B3253),PlayerValues!E:E,0)),"N/A")</f>
        <v>16684</v>
      </c>
      <c r="B3253" s="4" t="s">
        <v>500</v>
      </c>
      <c r="C3253" s="4" t="s">
        <v>287</v>
      </c>
      <c r="D3253" s="94">
        <v>2173.0</v>
      </c>
    </row>
    <row r="3254">
      <c r="A3254" s="40">
        <f t="array" ref="A3254">IFNA(index(PlayerValues!A:A,match(IFNA(vlookup(B3254,'Special Names'!A:B,2,FALSE),B3254),PlayerValues!E:E,0)),"N/A")</f>
        <v>17503</v>
      </c>
      <c r="B3254" s="4" t="s">
        <v>480</v>
      </c>
      <c r="C3254" s="4" t="s">
        <v>287</v>
      </c>
      <c r="D3254" s="94">
        <v>2157.0</v>
      </c>
    </row>
    <row r="3255">
      <c r="A3255" s="40">
        <f t="array" ref="A3255">IFNA(index(PlayerValues!A:A,match(IFNA(vlookup(B3255,'Special Names'!A:B,2,FALSE),B3255),PlayerValues!E:E,0)),"N/A")</f>
        <v>15749</v>
      </c>
      <c r="B3255" s="4" t="s">
        <v>574</v>
      </c>
      <c r="C3255" s="4" t="s">
        <v>278</v>
      </c>
      <c r="D3255" s="94">
        <v>2137.0</v>
      </c>
    </row>
    <row r="3256">
      <c r="A3256" s="40">
        <f t="array" ref="A3256">IFNA(index(PlayerValues!A:A,match(IFNA(vlookup(B3256,'Special Names'!A:B,2,FALSE),B3256),PlayerValues!E:E,0)),"N/A")</f>
        <v>16752</v>
      </c>
      <c r="B3256" s="4" t="s">
        <v>597</v>
      </c>
      <c r="C3256" s="4" t="s">
        <v>278</v>
      </c>
      <c r="D3256" s="94">
        <v>2128.0</v>
      </c>
    </row>
    <row r="3257">
      <c r="A3257" s="40">
        <f t="array" ref="A3257">IFNA(index(PlayerValues!A:A,match(IFNA(vlookup(B3257,'Special Names'!A:B,2,FALSE),B3257),PlayerValues!E:E,0)),"N/A")</f>
        <v>14871</v>
      </c>
      <c r="B3257" s="4" t="s">
        <v>584</v>
      </c>
      <c r="C3257" s="4" t="s">
        <v>298</v>
      </c>
      <c r="D3257" s="94">
        <v>2513.0</v>
      </c>
    </row>
    <row r="3258">
      <c r="A3258" s="40" t="str">
        <f t="array" ref="A3258">IFNA(index(PlayerValues!A:A,match(IFNA(vlookup(B3258,'Special Names'!A:B,2,FALSE),B3258),PlayerValues!E:E,0)),"N/A")</f>
        <v>N/A</v>
      </c>
      <c r="B3258" s="4" t="s">
        <v>112</v>
      </c>
      <c r="C3258" s="4" t="s">
        <v>325</v>
      </c>
      <c r="D3258" s="94">
        <v>2121.0</v>
      </c>
    </row>
    <row r="3259">
      <c r="A3259" s="40">
        <f t="array" ref="A3259">IFNA(index(PlayerValues!A:A,match(IFNA(vlookup(B3259,'Special Names'!A:B,2,FALSE),B3259),PlayerValues!E:E,0)),"N/A")</f>
        <v>16191</v>
      </c>
      <c r="B3259" s="4" t="s">
        <v>666</v>
      </c>
      <c r="C3259" s="4" t="s">
        <v>287</v>
      </c>
      <c r="D3259" s="94">
        <v>2111.0</v>
      </c>
    </row>
    <row r="3260">
      <c r="A3260" s="40">
        <f t="array" ref="A3260">IFNA(index(PlayerValues!A:A,match(IFNA(vlookup(B3260,'Special Names'!A:B,2,FALSE),B3260),PlayerValues!E:E,0)),"N/A")</f>
        <v>17087</v>
      </c>
      <c r="B3260" s="4" t="s">
        <v>600</v>
      </c>
      <c r="C3260" s="4" t="s">
        <v>287</v>
      </c>
      <c r="D3260" s="94">
        <v>2110.0</v>
      </c>
    </row>
    <row r="3261">
      <c r="A3261" s="40">
        <f t="array" ref="A3261">IFNA(index(PlayerValues!A:A,match(IFNA(vlookup(B3261,'Special Names'!A:B,2,FALSE),B3261),PlayerValues!E:E,0)),"N/A")</f>
        <v>16644</v>
      </c>
      <c r="B3261" s="4" t="s">
        <v>640</v>
      </c>
      <c r="C3261" s="4" t="s">
        <v>298</v>
      </c>
      <c r="D3261" s="94">
        <v>2500.0</v>
      </c>
    </row>
    <row r="3262">
      <c r="A3262" s="40">
        <f t="array" ref="A3262">IFNA(index(PlayerValues!A:A,match(IFNA(vlookup(B3262,'Special Names'!A:B,2,FALSE),B3262),PlayerValues!E:E,0)),"N/A")</f>
        <v>16432</v>
      </c>
      <c r="B3262" s="4" t="s">
        <v>620</v>
      </c>
      <c r="C3262" s="4" t="s">
        <v>278</v>
      </c>
      <c r="D3262" s="94">
        <v>2101.0</v>
      </c>
    </row>
    <row r="3263">
      <c r="A3263" s="40">
        <f t="array" ref="A3263">IFNA(index(PlayerValues!A:A,match(IFNA(vlookup(B3263,'Special Names'!A:B,2,FALSE),B3263),PlayerValues!E:E,0)),"N/A")</f>
        <v>14867</v>
      </c>
      <c r="B3263" s="4" t="s">
        <v>591</v>
      </c>
      <c r="C3263" s="4" t="s">
        <v>298</v>
      </c>
      <c r="D3263" s="94">
        <v>2480.0</v>
      </c>
    </row>
    <row r="3264">
      <c r="A3264" s="40" t="str">
        <f t="array" ref="A3264">IFNA(index(PlayerValues!A:A,match(IFNA(vlookup(B3264,'Special Names'!A:B,2,FALSE),B3264),PlayerValues!E:E,0)),"N/A")</f>
        <v>N/A</v>
      </c>
      <c r="B3264" s="4" t="s">
        <v>88</v>
      </c>
      <c r="C3264" s="4" t="s">
        <v>325</v>
      </c>
      <c r="D3264" s="94">
        <v>2085.0</v>
      </c>
    </row>
    <row r="3265">
      <c r="A3265" s="40">
        <f t="array" ref="A3265">IFNA(index(PlayerValues!A:A,match(IFNA(vlookup(B3265,'Special Names'!A:B,2,FALSE),B3265),PlayerValues!E:E,0)),"N/A")</f>
        <v>16643</v>
      </c>
      <c r="B3265" s="4" t="s">
        <v>609</v>
      </c>
      <c r="C3265" s="4" t="s">
        <v>298</v>
      </c>
      <c r="D3265" s="94">
        <v>2474.0</v>
      </c>
    </row>
    <row r="3266">
      <c r="A3266" s="40">
        <f t="array" ref="A3266">IFNA(index(PlayerValues!A:A,match(IFNA(vlookup(B3266,'Special Names'!A:B,2,FALSE),B3266),PlayerValues!E:E,0)),"N/A")</f>
        <v>16174</v>
      </c>
      <c r="B3266" s="4" t="s">
        <v>505</v>
      </c>
      <c r="C3266" s="4" t="s">
        <v>278</v>
      </c>
      <c r="D3266" s="94">
        <v>2081.0</v>
      </c>
    </row>
    <row r="3267">
      <c r="A3267" s="40">
        <f t="array" ref="A3267">IFNA(index(PlayerValues!A:A,match(IFNA(vlookup(B3267,'Special Names'!A:B,2,FALSE),B3267),PlayerValues!E:E,0)),"N/A")</f>
        <v>17482</v>
      </c>
      <c r="B3267" s="4" t="s">
        <v>460</v>
      </c>
      <c r="C3267" s="4" t="s">
        <v>278</v>
      </c>
      <c r="D3267" s="94">
        <v>2072.0</v>
      </c>
    </row>
    <row r="3268">
      <c r="A3268" s="40">
        <f t="array" ref="A3268">IFNA(index(PlayerValues!A:A,match(IFNA(vlookup(B3268,'Special Names'!A:B,2,FALSE),B3268),PlayerValues!E:E,0)),"N/A")</f>
        <v>15238</v>
      </c>
      <c r="B3268" s="4" t="s">
        <v>613</v>
      </c>
      <c r="C3268" s="4" t="s">
        <v>283</v>
      </c>
      <c r="D3268" s="94">
        <v>2058.0</v>
      </c>
    </row>
    <row r="3269">
      <c r="A3269" s="40">
        <f t="array" ref="A3269">IFNA(index(PlayerValues!A:A,match(IFNA(vlookup(B3269,'Special Names'!A:B,2,FALSE),B3269),PlayerValues!E:E,0)),"N/A")</f>
        <v>15331</v>
      </c>
      <c r="B3269" s="4" t="s">
        <v>560</v>
      </c>
      <c r="C3269" s="4" t="s">
        <v>298</v>
      </c>
      <c r="D3269" s="94">
        <v>2423.0</v>
      </c>
    </row>
    <row r="3270">
      <c r="A3270" s="40">
        <f t="array" ref="A3270">IFNA(index(PlayerValues!A:A,match(IFNA(vlookup(B3270,'Special Names'!A:B,2,FALSE),B3270),PlayerValues!E:E,0)),"N/A")</f>
        <v>17517</v>
      </c>
      <c r="B3270" s="4" t="s">
        <v>454</v>
      </c>
      <c r="C3270" s="4" t="s">
        <v>287</v>
      </c>
      <c r="D3270" s="94">
        <v>2029.0</v>
      </c>
    </row>
    <row r="3271">
      <c r="A3271" s="40">
        <f t="array" ref="A3271">IFNA(index(PlayerValues!A:A,match(IFNA(vlookup(B3271,'Special Names'!A:B,2,FALSE),B3271),PlayerValues!E:E,0)),"N/A")</f>
        <v>17056</v>
      </c>
      <c r="B3271" s="4" t="s">
        <v>581</v>
      </c>
      <c r="C3271" s="4" t="s">
        <v>278</v>
      </c>
      <c r="D3271" s="94">
        <v>2025.0</v>
      </c>
    </row>
    <row r="3272">
      <c r="A3272" s="40">
        <f t="array" ref="A3272">IFNA(index(PlayerValues!A:A,match(IFNA(vlookup(B3272,'Special Names'!A:B,2,FALSE),B3272),PlayerValues!E:E,0)),"N/A")</f>
        <v>17512</v>
      </c>
      <c r="B3272" s="4" t="s">
        <v>483</v>
      </c>
      <c r="C3272" s="4" t="s">
        <v>287</v>
      </c>
      <c r="D3272" s="94">
        <v>2023.0</v>
      </c>
    </row>
    <row r="3273">
      <c r="A3273" s="40">
        <f t="array" ref="A3273">IFNA(index(PlayerValues!A:A,match(IFNA(vlookup(B3273,'Special Names'!A:B,2,FALSE),B3273),PlayerValues!E:E,0)),"N/A")</f>
        <v>13146</v>
      </c>
      <c r="B3273" s="4" t="s">
        <v>652</v>
      </c>
      <c r="C3273" s="4" t="s">
        <v>278</v>
      </c>
      <c r="D3273" s="94">
        <v>2013.0</v>
      </c>
    </row>
    <row r="3274">
      <c r="A3274" s="40">
        <f t="array" ref="A3274">IFNA(index(PlayerValues!A:A,match(IFNA(vlookup(B3274,'Special Names'!A:B,2,FALSE),B3274),PlayerValues!E:E,0)),"N/A")</f>
        <v>17547</v>
      </c>
      <c r="B3274" s="4" t="s">
        <v>552</v>
      </c>
      <c r="C3274" s="4" t="s">
        <v>298</v>
      </c>
      <c r="D3274" s="94">
        <v>2394.0</v>
      </c>
    </row>
    <row r="3275">
      <c r="A3275" s="40" t="str">
        <f t="array" ref="A3275">IFNA(index(PlayerValues!A:A,match(IFNA(vlookup(B3275,'Special Names'!A:B,2,FALSE),B3275),PlayerValues!E:E,0)),"N/A")</f>
        <v>N/A</v>
      </c>
      <c r="B3275" s="4" t="s">
        <v>113</v>
      </c>
      <c r="C3275" s="4" t="s">
        <v>325</v>
      </c>
      <c r="D3275" s="94">
        <v>2001.0</v>
      </c>
    </row>
    <row r="3276">
      <c r="A3276" s="40">
        <f t="array" ref="A3276">IFNA(index(PlayerValues!A:A,match(IFNA(vlookup(B3276,'Special Names'!A:B,2,FALSE),B3276),PlayerValues!E:E,0)),"N/A")</f>
        <v>17060</v>
      </c>
      <c r="B3276" s="4" t="s">
        <v>603</v>
      </c>
      <c r="C3276" s="4" t="s">
        <v>278</v>
      </c>
      <c r="D3276" s="94">
        <v>2000.0</v>
      </c>
    </row>
    <row r="3277">
      <c r="A3277" s="40">
        <f t="array" ref="A3277">IFNA(index(PlayerValues!A:A,match(IFNA(vlookup(B3277,'Special Names'!A:B,2,FALSE),B3277),PlayerValues!E:E,0)),"N/A")</f>
        <v>16603</v>
      </c>
      <c r="B3277" s="4" t="s">
        <v>587</v>
      </c>
      <c r="C3277" s="4" t="s">
        <v>278</v>
      </c>
      <c r="D3277" s="94">
        <v>1985.0</v>
      </c>
    </row>
    <row r="3278">
      <c r="A3278" s="40">
        <f t="array" ref="A3278">IFNA(index(PlayerValues!A:A,match(IFNA(vlookup(B3278,'Special Names'!A:B,2,FALSE),B3278),PlayerValues!E:E,0)),"N/A")</f>
        <v>14974</v>
      </c>
      <c r="B3278" s="4" t="s">
        <v>611</v>
      </c>
      <c r="C3278" s="4" t="s">
        <v>287</v>
      </c>
      <c r="D3278" s="94">
        <v>1974.0</v>
      </c>
    </row>
    <row r="3279">
      <c r="A3279" s="40">
        <f t="array" ref="A3279">IFNA(index(PlayerValues!A:A,match(IFNA(vlookup(B3279,'Special Names'!A:B,2,FALSE),B3279),PlayerValues!E:E,0)),"N/A")</f>
        <v>17546</v>
      </c>
      <c r="B3279" s="4" t="s">
        <v>671</v>
      </c>
      <c r="C3279" s="4" t="s">
        <v>298</v>
      </c>
      <c r="D3279" s="94">
        <v>2358.0</v>
      </c>
    </row>
    <row r="3280">
      <c r="A3280" s="40">
        <f t="array" ref="A3280">IFNA(index(PlayerValues!A:A,match(IFNA(vlookup(B3280,'Special Names'!A:B,2,FALSE),B3280),PlayerValues!E:E,0)),"N/A")</f>
        <v>13633</v>
      </c>
      <c r="B3280" s="4" t="s">
        <v>625</v>
      </c>
      <c r="C3280" s="4" t="s">
        <v>287</v>
      </c>
      <c r="D3280" s="94">
        <v>1964.0</v>
      </c>
    </row>
    <row r="3281">
      <c r="A3281" s="40">
        <f t="array" ref="A3281">IFNA(index(PlayerValues!A:A,match(IFNA(vlookup(B3281,'Special Names'!A:B,2,FALSE),B3281),PlayerValues!E:E,0)),"N/A")</f>
        <v>17508</v>
      </c>
      <c r="B3281" s="4" t="s">
        <v>534</v>
      </c>
      <c r="C3281" s="4" t="s">
        <v>287</v>
      </c>
      <c r="D3281" s="94">
        <v>1961.0</v>
      </c>
    </row>
    <row r="3282">
      <c r="A3282" s="40">
        <f t="array" ref="A3282">IFNA(index(PlayerValues!A:A,match(IFNA(vlookup(B3282,'Special Names'!A:B,2,FALSE),B3282),PlayerValues!E:E,0)),"N/A")</f>
        <v>15293</v>
      </c>
      <c r="B3282" s="4" t="s">
        <v>578</v>
      </c>
      <c r="C3282" s="4" t="s">
        <v>287</v>
      </c>
      <c r="D3282" s="94">
        <v>1953.0</v>
      </c>
    </row>
    <row r="3283">
      <c r="A3283" s="40">
        <f t="array" ref="A3283">IFNA(index(PlayerValues!A:A,match(IFNA(vlookup(B3283,'Special Names'!A:B,2,FALSE),B3283),PlayerValues!E:E,0)),"N/A")</f>
        <v>17184</v>
      </c>
      <c r="B3283" s="4" t="s">
        <v>588</v>
      </c>
      <c r="C3283" s="4" t="s">
        <v>287</v>
      </c>
      <c r="D3283" s="94">
        <v>1938.0</v>
      </c>
    </row>
    <row r="3284">
      <c r="A3284" s="40">
        <f t="array" ref="A3284">IFNA(index(PlayerValues!A:A,match(IFNA(vlookup(B3284,'Special Names'!A:B,2,FALSE),B3284),PlayerValues!E:E,0)),"N/A")</f>
        <v>11244</v>
      </c>
      <c r="B3284" s="4" t="s">
        <v>519</v>
      </c>
      <c r="C3284" s="4" t="s">
        <v>298</v>
      </c>
      <c r="D3284" s="94">
        <v>2317.0</v>
      </c>
    </row>
    <row r="3285">
      <c r="A3285" s="40">
        <f t="array" ref="A3285">IFNA(index(PlayerValues!A:A,match(IFNA(vlookup(B3285,'Special Names'!A:B,2,FALSE),B3285),PlayerValues!E:E,0)),"N/A")</f>
        <v>16778</v>
      </c>
      <c r="B3285" s="4" t="s">
        <v>577</v>
      </c>
      <c r="C3285" s="4" t="s">
        <v>287</v>
      </c>
      <c r="D3285" s="94">
        <v>1904.0</v>
      </c>
    </row>
    <row r="3286">
      <c r="A3286" s="40">
        <f t="array" ref="A3286">IFNA(index(PlayerValues!A:A,match(IFNA(vlookup(B3286,'Special Names'!A:B,2,FALSE),B3286),PlayerValues!E:E,0)),"N/A")</f>
        <v>16216</v>
      </c>
      <c r="B3286" s="4" t="s">
        <v>595</v>
      </c>
      <c r="C3286" s="4" t="s">
        <v>298</v>
      </c>
      <c r="D3286" s="94">
        <v>2283.0</v>
      </c>
    </row>
    <row r="3287">
      <c r="A3287" s="40">
        <f t="array" ref="A3287">IFNA(index(PlayerValues!A:A,match(IFNA(vlookup(B3287,'Special Names'!A:B,2,FALSE),B3287),PlayerValues!E:E,0)),"N/A")</f>
        <v>17465</v>
      </c>
      <c r="B3287" s="4" t="s">
        <v>649</v>
      </c>
      <c r="C3287" s="4" t="s">
        <v>283</v>
      </c>
      <c r="D3287" s="94">
        <v>1895.0</v>
      </c>
    </row>
    <row r="3288">
      <c r="A3288" s="40" t="str">
        <f t="array" ref="A3288">IFNA(index(PlayerValues!A:A,match(IFNA(vlookup(B3288,'Special Names'!A:B,2,FALSE),B3288),PlayerValues!E:E,0)),"N/A")</f>
        <v>N/A</v>
      </c>
      <c r="B3288" s="4" t="s">
        <v>114</v>
      </c>
      <c r="C3288" s="4" t="s">
        <v>325</v>
      </c>
      <c r="D3288" s="94">
        <v>1894.0</v>
      </c>
    </row>
    <row r="3289">
      <c r="A3289" s="40">
        <f t="array" ref="A3289">IFNA(index(PlayerValues!A:A,match(IFNA(vlookup(B3289,'Special Names'!A:B,2,FALSE),B3289),PlayerValues!E:E,0)),"N/A")</f>
        <v>13189</v>
      </c>
      <c r="B3289" s="4" t="s">
        <v>626</v>
      </c>
      <c r="C3289" s="4" t="s">
        <v>298</v>
      </c>
      <c r="D3289" s="94">
        <v>2275.0</v>
      </c>
    </row>
    <row r="3290">
      <c r="A3290" s="40">
        <f t="array" ref="A3290">IFNA(index(PlayerValues!A:A,match(IFNA(vlookup(B3290,'Special Names'!A:B,2,FALSE),B3290),PlayerValues!E:E,0)),"N/A")</f>
        <v>15759</v>
      </c>
      <c r="B3290" s="4" t="s">
        <v>662</v>
      </c>
      <c r="C3290" s="4" t="s">
        <v>287</v>
      </c>
      <c r="D3290" s="94">
        <v>1878.0</v>
      </c>
    </row>
    <row r="3291">
      <c r="A3291" s="40">
        <f t="array" ref="A3291">IFNA(index(PlayerValues!A:A,match(IFNA(vlookup(B3291,'Special Names'!A:B,2,FALSE),B3291),PlayerValues!E:E,0)),"N/A")</f>
        <v>16215</v>
      </c>
      <c r="B3291" s="4" t="s">
        <v>637</v>
      </c>
      <c r="C3291" s="4" t="s">
        <v>298</v>
      </c>
      <c r="D3291" s="94">
        <v>2260.0</v>
      </c>
    </row>
    <row r="3292">
      <c r="A3292" s="40">
        <f t="array" ref="A3292">IFNA(index(PlayerValues!A:A,match(IFNA(vlookup(B3292,'Special Names'!A:B,2,FALSE),B3292),PlayerValues!E:E,0)),"N/A")</f>
        <v>17036</v>
      </c>
      <c r="B3292" s="4" t="s">
        <v>617</v>
      </c>
      <c r="C3292" s="4" t="s">
        <v>283</v>
      </c>
      <c r="D3292" s="94">
        <v>1872.0</v>
      </c>
    </row>
    <row r="3293">
      <c r="A3293" s="40">
        <f t="array" ref="A3293">IFNA(index(PlayerValues!A:A,match(IFNA(vlookup(B3293,'Special Names'!A:B,2,FALSE),B3293),PlayerValues!E:E,0)),"N/A")</f>
        <v>16201</v>
      </c>
      <c r="B3293" s="4" t="s">
        <v>589</v>
      </c>
      <c r="C3293" s="4" t="s">
        <v>287</v>
      </c>
      <c r="D3293" s="94">
        <v>1857.0</v>
      </c>
    </row>
    <row r="3294">
      <c r="A3294" s="40">
        <f t="array" ref="A3294">IFNA(index(PlayerValues!A:A,match(IFNA(vlookup(B3294,'Special Names'!A:B,2,FALSE),B3294),PlayerValues!E:E,0)),"N/A")</f>
        <v>15254</v>
      </c>
      <c r="B3294" s="4" t="s">
        <v>633</v>
      </c>
      <c r="C3294" s="4" t="s">
        <v>278</v>
      </c>
      <c r="D3294" s="94">
        <v>1848.0</v>
      </c>
    </row>
    <row r="3295">
      <c r="A3295" s="40">
        <f t="array" ref="A3295">IFNA(index(PlayerValues!A:A,match(IFNA(vlookup(B3295,'Special Names'!A:B,2,FALSE),B3295),PlayerValues!E:E,0)),"N/A")</f>
        <v>16635</v>
      </c>
      <c r="B3295" s="4" t="s">
        <v>645</v>
      </c>
      <c r="C3295" s="4" t="s">
        <v>287</v>
      </c>
      <c r="D3295" s="94">
        <v>1848.0</v>
      </c>
    </row>
    <row r="3296">
      <c r="A3296" s="40">
        <f t="array" ref="A3296">IFNA(index(PlayerValues!A:A,match(IFNA(vlookup(B3296,'Special Names'!A:B,2,FALSE),B3296),PlayerValues!E:E,0)),"N/A")</f>
        <v>17061</v>
      </c>
      <c r="B3296" s="4" t="s">
        <v>580</v>
      </c>
      <c r="C3296" s="4" t="s">
        <v>278</v>
      </c>
      <c r="D3296" s="94">
        <v>1845.0</v>
      </c>
    </row>
    <row r="3297">
      <c r="A3297" s="40">
        <f t="array" ref="A3297">IFNA(index(PlayerValues!A:A,match(IFNA(vlookup(B3297,'Special Names'!A:B,2,FALSE),B3297),PlayerValues!E:E,0)),"N/A")</f>
        <v>16595</v>
      </c>
      <c r="B3297" s="4" t="s">
        <v>664</v>
      </c>
      <c r="C3297" s="4" t="s">
        <v>278</v>
      </c>
      <c r="D3297" s="94">
        <v>1838.0</v>
      </c>
    </row>
    <row r="3298">
      <c r="A3298" s="40">
        <f t="array" ref="A3298">IFNA(index(PlayerValues!A:A,match(IFNA(vlookup(B3298,'Special Names'!A:B,2,FALSE),B3298),PlayerValues!E:E,0)),"N/A")</f>
        <v>17520</v>
      </c>
      <c r="B3298" s="4" t="s">
        <v>518</v>
      </c>
      <c r="C3298" s="4" t="s">
        <v>287</v>
      </c>
      <c r="D3298" s="94">
        <v>1830.0</v>
      </c>
    </row>
    <row r="3299">
      <c r="A3299" s="40">
        <f t="array" ref="A3299">IFNA(index(PlayerValues!A:A,match(IFNA(vlookup(B3299,'Special Names'!A:B,2,FALSE),B3299),PlayerValues!E:E,0)),"N/A")</f>
        <v>15337</v>
      </c>
      <c r="B3299" s="4" t="s">
        <v>655</v>
      </c>
      <c r="C3299" s="4" t="s">
        <v>298</v>
      </c>
      <c r="D3299" s="94">
        <v>2187.0</v>
      </c>
    </row>
    <row r="3300">
      <c r="A3300" s="40">
        <f t="array" ref="A3300">IFNA(index(PlayerValues!A:A,match(IFNA(vlookup(B3300,'Special Names'!A:B,2,FALSE),B3300),PlayerValues!E:E,0)),"N/A")</f>
        <v>17035</v>
      </c>
      <c r="B3300" s="4" t="s">
        <v>650</v>
      </c>
      <c r="C3300" s="4" t="s">
        <v>283</v>
      </c>
      <c r="D3300" s="94">
        <v>1804.0</v>
      </c>
    </row>
    <row r="3301">
      <c r="A3301" s="40" t="str">
        <f t="array" ref="A3301">IFNA(index(PlayerValues!A:A,match(IFNA(vlookup(B3301,'Special Names'!A:B,2,FALSE),B3301),PlayerValues!E:E,0)),"N/A")</f>
        <v>N/A</v>
      </c>
      <c r="B3301" s="4" t="s">
        <v>101</v>
      </c>
      <c r="C3301" s="4" t="s">
        <v>325</v>
      </c>
      <c r="D3301" s="94">
        <v>1801.0</v>
      </c>
    </row>
    <row r="3302">
      <c r="A3302" s="40">
        <f t="array" ref="A3302">IFNA(index(PlayerValues!A:A,match(IFNA(vlookup(B3302,'Special Names'!A:B,2,FALSE),B3302),PlayerValues!E:E,0)),"N/A")</f>
        <v>17481</v>
      </c>
      <c r="B3302" s="4" t="s">
        <v>540</v>
      </c>
      <c r="C3302" s="4" t="s">
        <v>278</v>
      </c>
      <c r="D3302" s="94">
        <v>1801.0</v>
      </c>
    </row>
    <row r="3303">
      <c r="A3303" s="40">
        <f t="array" ref="A3303">IFNA(index(PlayerValues!A:A,match(IFNA(vlookup(B3303,'Special Names'!A:B,2,FALSE),B3303),PlayerValues!E:E,0)),"N/A")</f>
        <v>17545</v>
      </c>
      <c r="B3303" s="4" t="s">
        <v>719</v>
      </c>
      <c r="C3303" s="4" t="s">
        <v>298</v>
      </c>
      <c r="D3303" s="94">
        <v>2179.0</v>
      </c>
    </row>
    <row r="3304">
      <c r="A3304" s="40">
        <f t="array" ref="A3304">IFNA(index(PlayerValues!A:A,match(IFNA(vlookup(B3304,'Special Names'!A:B,2,FALSE),B3304),PlayerValues!E:E,0)),"N/A")</f>
        <v>16788</v>
      </c>
      <c r="B3304" s="4" t="s">
        <v>621</v>
      </c>
      <c r="C3304" s="4" t="s">
        <v>287</v>
      </c>
      <c r="D3304" s="94">
        <v>1795.0</v>
      </c>
    </row>
    <row r="3305">
      <c r="A3305" s="40">
        <f t="array" ref="A3305">IFNA(index(PlayerValues!A:A,match(IFNA(vlookup(B3305,'Special Names'!A:B,2,FALSE),B3305),PlayerValues!E:E,0)),"N/A")</f>
        <v>15786</v>
      </c>
      <c r="B3305" s="4" t="s">
        <v>521</v>
      </c>
      <c r="C3305" s="4" t="s">
        <v>287</v>
      </c>
      <c r="D3305" s="94">
        <v>1790.0</v>
      </c>
    </row>
    <row r="3306">
      <c r="A3306" s="40" t="str">
        <f t="array" ref="A3306">IFNA(index(PlayerValues!A:A,match(IFNA(vlookup(B3306,'Special Names'!A:B,2,FALSE),B3306),PlayerValues!E:E,0)),"N/A")</f>
        <v>N/A</v>
      </c>
      <c r="B3306" s="4" t="s">
        <v>89</v>
      </c>
      <c r="C3306" s="4" t="s">
        <v>325</v>
      </c>
      <c r="D3306" s="94">
        <v>1770.0</v>
      </c>
    </row>
    <row r="3307">
      <c r="A3307" s="40">
        <f t="array" ref="A3307">IFNA(index(PlayerValues!A:A,match(IFNA(vlookup(B3307,'Special Names'!A:B,2,FALSE),B3307),PlayerValues!E:E,0)),"N/A")</f>
        <v>17086</v>
      </c>
      <c r="B3307" s="4" t="s">
        <v>612</v>
      </c>
      <c r="C3307" s="4" t="s">
        <v>287</v>
      </c>
      <c r="D3307" s="94">
        <v>1764.0</v>
      </c>
    </row>
    <row r="3308">
      <c r="A3308" s="40">
        <f t="array" ref="A3308">IFNA(index(PlayerValues!A:A,match(IFNA(vlookup(B3308,'Special Names'!A:B,2,FALSE),B3308),PlayerValues!E:E,0)),"N/A")</f>
        <v>16207</v>
      </c>
      <c r="B3308" s="4" t="s">
        <v>636</v>
      </c>
      <c r="C3308" s="4" t="s">
        <v>287</v>
      </c>
      <c r="D3308" s="94">
        <v>1757.0</v>
      </c>
    </row>
    <row r="3309">
      <c r="A3309" s="40">
        <f t="array" ref="A3309">IFNA(index(PlayerValues!A:A,match(IFNA(vlookup(B3309,'Special Names'!A:B,2,FALSE),B3309),PlayerValues!E:E,0)),"N/A")</f>
        <v>11222</v>
      </c>
      <c r="B3309" s="4" t="s">
        <v>622</v>
      </c>
      <c r="C3309" s="4" t="s">
        <v>287</v>
      </c>
      <c r="D3309" s="94">
        <v>1754.0</v>
      </c>
    </row>
    <row r="3310">
      <c r="A3310" s="40">
        <f t="array" ref="A3310">IFNA(index(PlayerValues!A:A,match(IFNA(vlookup(B3310,'Special Names'!A:B,2,FALSE),B3310),PlayerValues!E:E,0)),"N/A")</f>
        <v>16585</v>
      </c>
      <c r="B3310" s="4" t="s">
        <v>623</v>
      </c>
      <c r="C3310" s="4" t="s">
        <v>283</v>
      </c>
      <c r="D3310" s="94">
        <v>1747.0</v>
      </c>
    </row>
    <row r="3311">
      <c r="A3311" s="40">
        <f t="array" ref="A3311">IFNA(index(PlayerValues!A:A,match(IFNA(vlookup(B3311,'Special Names'!A:B,2,FALSE),B3311),PlayerValues!E:E,0)),"N/A")</f>
        <v>17055</v>
      </c>
      <c r="B3311" s="4" t="s">
        <v>565</v>
      </c>
      <c r="C3311" s="4" t="s">
        <v>278</v>
      </c>
      <c r="D3311" s="94">
        <v>1738.0</v>
      </c>
    </row>
    <row r="3312">
      <c r="A3312" s="40">
        <f t="array" ref="A3312">IFNA(index(PlayerValues!A:A,match(IFNA(vlookup(B3312,'Special Names'!A:B,2,FALSE),B3312),PlayerValues!E:E,0)),"N/A")</f>
        <v>14105</v>
      </c>
      <c r="B3312" s="4" t="s">
        <v>675</v>
      </c>
      <c r="C3312" s="4" t="s">
        <v>287</v>
      </c>
      <c r="D3312" s="94">
        <v>1734.0</v>
      </c>
    </row>
    <row r="3313">
      <c r="A3313" s="40">
        <f t="array" ref="A3313">IFNA(index(PlayerValues!A:A,match(IFNA(vlookup(B3313,'Special Names'!A:B,2,FALSE),B3313),PlayerValues!E:E,0)),"N/A")</f>
        <v>17528</v>
      </c>
      <c r="B3313" s="4" t="s">
        <v>579</v>
      </c>
      <c r="C3313" s="4" t="s">
        <v>287</v>
      </c>
      <c r="D3313" s="94">
        <v>1733.0</v>
      </c>
    </row>
    <row r="3314">
      <c r="A3314" s="40">
        <f t="array" ref="A3314">IFNA(index(PlayerValues!A:A,match(IFNA(vlookup(B3314,'Special Names'!A:B,2,FALSE),B3314),PlayerValues!E:E,0)),"N/A")</f>
        <v>16629</v>
      </c>
      <c r="B3314" s="4" t="s">
        <v>605</v>
      </c>
      <c r="C3314" s="4" t="s">
        <v>287</v>
      </c>
      <c r="D3314" s="94">
        <v>1730.0</v>
      </c>
    </row>
    <row r="3315">
      <c r="A3315" s="40">
        <f t="array" ref="A3315">IFNA(index(PlayerValues!A:A,match(IFNA(vlookup(B3315,'Special Names'!A:B,2,FALSE),B3315),PlayerValues!E:E,0)),"N/A")</f>
        <v>17058</v>
      </c>
      <c r="B3315" s="4" t="s">
        <v>641</v>
      </c>
      <c r="C3315" s="4" t="s">
        <v>278</v>
      </c>
      <c r="D3315" s="94">
        <v>1721.0</v>
      </c>
    </row>
    <row r="3316">
      <c r="A3316" s="40">
        <f t="array" ref="A3316">IFNA(index(PlayerValues!A:A,match(IFNA(vlookup(B3316,'Special Names'!A:B,2,FALSE),B3316),PlayerValues!E:E,0)),"N/A")</f>
        <v>7836</v>
      </c>
      <c r="B3316" s="4" t="s">
        <v>590</v>
      </c>
      <c r="C3316" s="4" t="s">
        <v>283</v>
      </c>
      <c r="D3316" s="94">
        <v>1714.0</v>
      </c>
    </row>
    <row r="3317">
      <c r="A3317" s="40">
        <f t="array" ref="A3317">IFNA(index(PlayerValues!A:A,match(IFNA(vlookup(B3317,'Special Names'!A:B,2,FALSE),B3317),PlayerValues!E:E,0)),"N/A")</f>
        <v>16586</v>
      </c>
      <c r="B3317" s="4" t="s">
        <v>658</v>
      </c>
      <c r="C3317" s="4" t="s">
        <v>283</v>
      </c>
      <c r="D3317" s="94">
        <v>1697.0</v>
      </c>
    </row>
    <row r="3318">
      <c r="A3318" s="40">
        <f t="array" ref="A3318">IFNA(index(PlayerValues!A:A,match(IFNA(vlookup(B3318,'Special Names'!A:B,2,FALSE),B3318),PlayerValues!E:E,0)),"N/A")</f>
        <v>16601</v>
      </c>
      <c r="B3318" s="4" t="s">
        <v>648</v>
      </c>
      <c r="C3318" s="4" t="s">
        <v>278</v>
      </c>
      <c r="D3318" s="94">
        <v>1687.0</v>
      </c>
    </row>
    <row r="3319">
      <c r="A3319" s="40">
        <f t="array" ref="A3319">IFNA(index(PlayerValues!A:A,match(IFNA(vlookup(B3319,'Special Names'!A:B,2,FALSE),B3319),PlayerValues!E:E,0)),"N/A")</f>
        <v>17064</v>
      </c>
      <c r="B3319" s="4" t="s">
        <v>631</v>
      </c>
      <c r="C3319" s="4" t="s">
        <v>278</v>
      </c>
      <c r="D3319" s="94">
        <v>1676.0</v>
      </c>
    </row>
    <row r="3320">
      <c r="A3320" s="40" t="str">
        <f t="array" ref="A3320">IFNA(index(PlayerValues!A:A,match(IFNA(vlookup(B3320,'Special Names'!A:B,2,FALSE),B3320),PlayerValues!E:E,0)),"N/A")</f>
        <v>N/A</v>
      </c>
      <c r="B3320" s="4" t="s">
        <v>102</v>
      </c>
      <c r="C3320" s="4" t="s">
        <v>325</v>
      </c>
      <c r="D3320" s="94">
        <v>1670.0</v>
      </c>
    </row>
    <row r="3321">
      <c r="A3321" s="40">
        <f t="array" ref="A3321">IFNA(index(PlayerValues!A:A,match(IFNA(vlookup(B3321,'Special Names'!A:B,2,FALSE),B3321),PlayerValues!E:E,0)),"N/A")</f>
        <v>10700</v>
      </c>
      <c r="B3321" s="4" t="s">
        <v>596</v>
      </c>
      <c r="C3321" s="4" t="s">
        <v>283</v>
      </c>
      <c r="D3321" s="94">
        <v>1669.0</v>
      </c>
    </row>
    <row r="3322">
      <c r="A3322" s="40">
        <f t="array" ref="A3322">IFNA(index(PlayerValues!A:A,match(IFNA(vlookup(B3322,'Special Names'!A:B,2,FALSE),B3322),PlayerValues!E:E,0)),"N/A")</f>
        <v>15777</v>
      </c>
      <c r="B3322" s="4" t="s">
        <v>694</v>
      </c>
      <c r="C3322" s="4" t="s">
        <v>287</v>
      </c>
      <c r="D3322" s="94">
        <v>1667.0</v>
      </c>
    </row>
    <row r="3323">
      <c r="A3323" s="40">
        <f t="array" ref="A3323">IFNA(index(PlayerValues!A:A,match(IFNA(vlookup(B3323,'Special Names'!A:B,2,FALSE),B3323),PlayerValues!E:E,0)),"N/A")</f>
        <v>15787</v>
      </c>
      <c r="B3323" s="4" t="s">
        <v>610</v>
      </c>
      <c r="C3323" s="4" t="s">
        <v>287</v>
      </c>
      <c r="D3323" s="94">
        <v>1665.0</v>
      </c>
    </row>
    <row r="3324">
      <c r="A3324" s="40">
        <f t="array" ref="A3324">IFNA(index(PlayerValues!A:A,match(IFNA(vlookup(B3324,'Special Names'!A:B,2,FALSE),B3324),PlayerValues!E:E,0)),"N/A")</f>
        <v>13629</v>
      </c>
      <c r="B3324" s="4" t="s">
        <v>619</v>
      </c>
      <c r="C3324" s="4" t="s">
        <v>287</v>
      </c>
      <c r="D3324" s="94">
        <v>1664.0</v>
      </c>
    </row>
    <row r="3325">
      <c r="A3325" s="40">
        <f t="array" ref="A3325">IFNA(index(PlayerValues!A:A,match(IFNA(vlookup(B3325,'Special Names'!A:B,2,FALSE),B3325),PlayerValues!E:E,0)),"N/A")</f>
        <v>15727</v>
      </c>
      <c r="B3325" s="4" t="s">
        <v>730</v>
      </c>
      <c r="C3325" s="4" t="s">
        <v>278</v>
      </c>
      <c r="D3325" s="94">
        <v>1663.0</v>
      </c>
    </row>
    <row r="3326">
      <c r="A3326" s="40">
        <f t="array" ref="A3326">IFNA(index(PlayerValues!A:A,match(IFNA(vlookup(B3326,'Special Names'!A:B,2,FALSE),B3326),PlayerValues!E:E,0)),"N/A")</f>
        <v>16604</v>
      </c>
      <c r="B3326" s="4" t="s">
        <v>476</v>
      </c>
      <c r="C3326" s="4" t="s">
        <v>278</v>
      </c>
      <c r="D3326" s="94">
        <v>1652.0</v>
      </c>
    </row>
    <row r="3327">
      <c r="A3327" s="40">
        <f t="array" ref="A3327">IFNA(index(PlayerValues!A:A,match(IFNA(vlookup(B3327,'Special Names'!A:B,2,FALSE),B3327),PlayerValues!E:E,0)),"N/A")</f>
        <v>17205</v>
      </c>
      <c r="B3327" s="4" t="s">
        <v>665</v>
      </c>
      <c r="C3327" s="4" t="s">
        <v>287</v>
      </c>
      <c r="D3327" s="94">
        <v>1640.0</v>
      </c>
    </row>
    <row r="3328">
      <c r="A3328" s="40" t="str">
        <f t="array" ref="A3328">IFNA(index(PlayerValues!A:A,match(IFNA(vlookup(B3328,'Special Names'!A:B,2,FALSE),B3328),PlayerValues!E:E,0)),"N/A")</f>
        <v>N/A</v>
      </c>
      <c r="B3328" s="4" t="s">
        <v>115</v>
      </c>
      <c r="C3328" s="4" t="s">
        <v>325</v>
      </c>
      <c r="D3328" s="94">
        <v>1640.0</v>
      </c>
    </row>
    <row r="3329">
      <c r="A3329" s="40">
        <f t="array" ref="A3329">IFNA(index(PlayerValues!A:A,match(IFNA(vlookup(B3329,'Special Names'!A:B,2,FALSE),B3329),PlayerValues!E:E,0)),"N/A")</f>
        <v>13131</v>
      </c>
      <c r="B3329" s="4" t="s">
        <v>815</v>
      </c>
      <c r="C3329" s="4" t="s">
        <v>278</v>
      </c>
      <c r="D3329" s="94">
        <v>1635.0</v>
      </c>
    </row>
    <row r="3330">
      <c r="A3330" s="40">
        <f t="array" ref="A3330">IFNA(index(PlayerValues!A:A,match(IFNA(vlookup(B3330,'Special Names'!A:B,2,FALSE),B3330),PlayerValues!E:E,0)),"N/A")</f>
        <v>13164</v>
      </c>
      <c r="B3330" s="4" t="s">
        <v>632</v>
      </c>
      <c r="C3330" s="4" t="s">
        <v>287</v>
      </c>
      <c r="D3330" s="94">
        <v>1629.0</v>
      </c>
    </row>
    <row r="3331">
      <c r="A3331" s="40">
        <f t="array" ref="A3331">IFNA(index(PlayerValues!A:A,match(IFNA(vlookup(B3331,'Special Names'!A:B,2,FALSE),B3331),PlayerValues!E:E,0)),"N/A")</f>
        <v>17234</v>
      </c>
      <c r="B3331" s="4" t="s">
        <v>653</v>
      </c>
      <c r="C3331" s="4" t="s">
        <v>287</v>
      </c>
      <c r="D3331" s="94">
        <v>1628.0</v>
      </c>
    </row>
    <row r="3332">
      <c r="A3332" s="40">
        <f t="array" ref="A3332">IFNA(index(PlayerValues!A:A,match(IFNA(vlookup(B3332,'Special Names'!A:B,2,FALSE),B3332),PlayerValues!E:E,0)),"N/A")</f>
        <v>14143</v>
      </c>
      <c r="B3332" s="4" t="s">
        <v>635</v>
      </c>
      <c r="C3332" s="4" t="s">
        <v>298</v>
      </c>
      <c r="D3332" s="94">
        <v>1995.0</v>
      </c>
    </row>
    <row r="3333">
      <c r="A3333" s="40" t="str">
        <f t="array" ref="A3333">IFNA(index(PlayerValues!A:A,match(IFNA(vlookup(B3333,'Special Names'!A:B,2,FALSE),B3333),PlayerValues!E:E,0)),"N/A")</f>
        <v>N/A</v>
      </c>
      <c r="B3333" s="4" t="s">
        <v>90</v>
      </c>
      <c r="C3333" s="4" t="s">
        <v>325</v>
      </c>
      <c r="D3333" s="94">
        <v>1616.0</v>
      </c>
    </row>
    <row r="3334">
      <c r="A3334" s="40">
        <f t="array" ref="A3334">IFNA(index(PlayerValues!A:A,match(IFNA(vlookup(B3334,'Special Names'!A:B,2,FALSE),B3334),PlayerValues!E:E,0)),"N/A")</f>
        <v>12141</v>
      </c>
      <c r="B3334" s="4" t="s">
        <v>744</v>
      </c>
      <c r="C3334" s="4" t="s">
        <v>283</v>
      </c>
      <c r="D3334" s="94">
        <v>1615.0</v>
      </c>
    </row>
    <row r="3335">
      <c r="A3335" s="40">
        <f t="array" ref="A3335">IFNA(index(PlayerValues!A:A,match(IFNA(vlookup(B3335,'Special Names'!A:B,2,FALSE),B3335),PlayerValues!E:E,0)),"N/A")</f>
        <v>16633</v>
      </c>
      <c r="B3335" s="4" t="s">
        <v>656</v>
      </c>
      <c r="C3335" s="4" t="s">
        <v>287</v>
      </c>
      <c r="D3335" s="94">
        <v>1603.0</v>
      </c>
    </row>
    <row r="3336">
      <c r="A3336" s="40">
        <f t="array" ref="A3336">IFNA(index(PlayerValues!A:A,match(IFNA(vlookup(B3336,'Special Names'!A:B,2,FALSE),B3336),PlayerValues!E:E,0)),"N/A")</f>
        <v>17037</v>
      </c>
      <c r="B3336" s="4" t="s">
        <v>727</v>
      </c>
      <c r="C3336" s="4" t="s">
        <v>283</v>
      </c>
      <c r="D3336" s="94">
        <v>1601.0</v>
      </c>
    </row>
    <row r="3337">
      <c r="A3337" s="40">
        <f t="array" ref="A3337">IFNA(index(PlayerValues!A:A,match(IFNA(vlookup(B3337,'Special Names'!A:B,2,FALSE),B3337),PlayerValues!E:E,0)),"N/A")</f>
        <v>17096</v>
      </c>
      <c r="B3337" s="4" t="s">
        <v>638</v>
      </c>
      <c r="C3337" s="4" t="s">
        <v>287</v>
      </c>
      <c r="D3337" s="94">
        <v>1590.0</v>
      </c>
    </row>
    <row r="3338">
      <c r="A3338" s="40">
        <f t="array" ref="A3338">IFNA(index(PlayerValues!A:A,match(IFNA(vlookup(B3338,'Special Names'!A:B,2,FALSE),B3338),PlayerValues!E:E,0)),"N/A")</f>
        <v>13193</v>
      </c>
      <c r="B3338" s="4" t="s">
        <v>773</v>
      </c>
      <c r="C3338" s="4" t="s">
        <v>298</v>
      </c>
      <c r="D3338" s="94">
        <v>1965.0</v>
      </c>
    </row>
    <row r="3339">
      <c r="A3339" s="40">
        <f t="array" ref="A3339">IFNA(index(PlayerValues!A:A,match(IFNA(vlookup(B3339,'Special Names'!A:B,2,FALSE),B3339),PlayerValues!E:E,0)),"N/A")</f>
        <v>14122</v>
      </c>
      <c r="B3339" s="4" t="s">
        <v>663</v>
      </c>
      <c r="C3339" s="4" t="s">
        <v>287</v>
      </c>
      <c r="D3339" s="94">
        <v>1579.0</v>
      </c>
    </row>
    <row r="3340">
      <c r="A3340" s="40">
        <f t="array" ref="A3340">IFNA(index(PlayerValues!A:A,match(IFNA(vlookup(B3340,'Special Names'!A:B,2,FALSE),B3340),PlayerValues!E:E,0)),"N/A")</f>
        <v>16390</v>
      </c>
      <c r="B3340" s="4" t="s">
        <v>689</v>
      </c>
      <c r="C3340" s="4" t="s">
        <v>278</v>
      </c>
      <c r="D3340" s="94">
        <v>1567.0</v>
      </c>
    </row>
    <row r="3341">
      <c r="A3341" s="40">
        <f t="array" ref="A3341">IFNA(index(PlayerValues!A:A,match(IFNA(vlookup(B3341,'Special Names'!A:B,2,FALSE),B3341),PlayerValues!E:E,0)),"N/A")</f>
        <v>12140</v>
      </c>
      <c r="B3341" s="4" t="s">
        <v>702</v>
      </c>
      <c r="C3341" s="4" t="s">
        <v>283</v>
      </c>
      <c r="D3341" s="94">
        <v>1566.0</v>
      </c>
    </row>
    <row r="3342">
      <c r="A3342" s="40" t="str">
        <f t="array" ref="A3342">IFNA(index(PlayerValues!A:A,match(IFNA(vlookup(B3342,'Special Names'!A:B,2,FALSE),B3342),PlayerValues!E:E,0)),"N/A")</f>
        <v>N/A</v>
      </c>
      <c r="B3342" s="4" t="s">
        <v>91</v>
      </c>
      <c r="C3342" s="4" t="s">
        <v>325</v>
      </c>
      <c r="D3342" s="94">
        <v>1558.0</v>
      </c>
    </row>
    <row r="3343">
      <c r="A3343" s="40">
        <f t="array" ref="A3343">IFNA(index(PlayerValues!A:A,match(IFNA(vlookup(B3343,'Special Names'!A:B,2,FALSE),B3343),PlayerValues!E:E,0)),"N/A")</f>
        <v>16688</v>
      </c>
      <c r="B3343" s="4" t="s">
        <v>688</v>
      </c>
      <c r="C3343" s="4" t="s">
        <v>278</v>
      </c>
      <c r="D3343" s="94">
        <v>1542.0</v>
      </c>
    </row>
    <row r="3344">
      <c r="A3344" s="40">
        <f t="array" ref="A3344">IFNA(index(PlayerValues!A:A,match(IFNA(vlookup(B3344,'Special Names'!A:B,2,FALSE),B3344),PlayerValues!E:E,0)),"N/A")</f>
        <v>15252</v>
      </c>
      <c r="B3344" s="4" t="s">
        <v>715</v>
      </c>
      <c r="C3344" s="4" t="s">
        <v>283</v>
      </c>
      <c r="D3344" s="94">
        <v>1541.0</v>
      </c>
    </row>
    <row r="3345">
      <c r="A3345" s="40">
        <f t="array" ref="A3345">IFNA(index(PlayerValues!A:A,match(IFNA(vlookup(B3345,'Special Names'!A:B,2,FALSE),B3345),PlayerValues!E:E,0)),"N/A")</f>
        <v>15258</v>
      </c>
      <c r="B3345" s="4" t="s">
        <v>757</v>
      </c>
      <c r="C3345" s="4" t="s">
        <v>278</v>
      </c>
      <c r="D3345" s="94">
        <v>1541.0</v>
      </c>
    </row>
    <row r="3346">
      <c r="A3346" s="40">
        <f t="array" ref="A3346">IFNA(index(PlayerValues!A:A,match(IFNA(vlookup(B3346,'Special Names'!A:B,2,FALSE),B3346),PlayerValues!E:E,0)),"N/A")</f>
        <v>14080</v>
      </c>
      <c r="B3346" s="4" t="s">
        <v>716</v>
      </c>
      <c r="C3346" s="4" t="s">
        <v>278</v>
      </c>
      <c r="D3346" s="94">
        <v>1539.0</v>
      </c>
    </row>
    <row r="3347">
      <c r="A3347" s="40" t="str">
        <f t="array" ref="A3347">IFNA(index(PlayerValues!A:A,match(IFNA(vlookup(B3347,'Special Names'!A:B,2,FALSE),B3347),PlayerValues!E:E,0)),"N/A")</f>
        <v>N/A</v>
      </c>
      <c r="B3347" s="4" t="s">
        <v>103</v>
      </c>
      <c r="C3347" s="4" t="s">
        <v>325</v>
      </c>
      <c r="D3347" s="94">
        <v>1532.0</v>
      </c>
    </row>
    <row r="3348">
      <c r="A3348" s="40" t="str">
        <f t="array" ref="A3348">IFNA(index(PlayerValues!A:A,match(IFNA(vlookup(B3348,'Special Names'!A:B,2,FALSE),B3348),PlayerValues!E:E,0)),"N/A")</f>
        <v>N/A</v>
      </c>
      <c r="B3348" s="4" t="s">
        <v>116</v>
      </c>
      <c r="C3348" s="4" t="s">
        <v>325</v>
      </c>
      <c r="D3348" s="94">
        <v>1513.0</v>
      </c>
    </row>
    <row r="3349">
      <c r="A3349" s="40">
        <f t="array" ref="A3349">IFNA(index(PlayerValues!A:A,match(IFNA(vlookup(B3349,'Special Names'!A:B,2,FALSE),B3349),PlayerValues!E:E,0)),"N/A")</f>
        <v>17475</v>
      </c>
      <c r="B3349" s="4" t="s">
        <v>615</v>
      </c>
      <c r="C3349" s="4" t="s">
        <v>278</v>
      </c>
      <c r="D3349" s="94">
        <v>1508.0</v>
      </c>
    </row>
    <row r="3350">
      <c r="A3350" s="40">
        <f t="array" ref="A3350">IFNA(index(PlayerValues!A:A,match(IFNA(vlookup(B3350,'Special Names'!A:B,2,FALSE),B3350),PlayerValues!E:E,0)),"N/A")</f>
        <v>17504</v>
      </c>
      <c r="B3350" s="4" t="s">
        <v>693</v>
      </c>
      <c r="C3350" s="4" t="s">
        <v>287</v>
      </c>
      <c r="D3350" s="94">
        <v>1504.0</v>
      </c>
    </row>
    <row r="3351">
      <c r="A3351" s="40">
        <f t="array" ref="A3351">IFNA(index(PlayerValues!A:A,match(IFNA(vlookup(B3351,'Special Names'!A:B,2,FALSE),B3351),PlayerValues!E:E,0)),"N/A")</f>
        <v>15319</v>
      </c>
      <c r="B3351" s="4" t="s">
        <v>644</v>
      </c>
      <c r="C3351" s="4" t="s">
        <v>287</v>
      </c>
      <c r="D3351" s="94">
        <v>1497.0</v>
      </c>
    </row>
    <row r="3352">
      <c r="A3352" s="40">
        <f t="array" ref="A3352">IFNA(index(PlayerValues!A:A,match(IFNA(vlookup(B3352,'Special Names'!A:B,2,FALSE),B3352),PlayerValues!E:E,0)),"N/A")</f>
        <v>17077</v>
      </c>
      <c r="B3352" s="4" t="s">
        <v>714</v>
      </c>
      <c r="C3352" s="4" t="s">
        <v>287</v>
      </c>
      <c r="D3352" s="94">
        <v>1497.0</v>
      </c>
    </row>
    <row r="3353">
      <c r="A3353" s="40">
        <f t="array" ref="A3353">IFNA(index(PlayerValues!A:A,match(IFNA(vlookup(B3353,'Special Names'!A:B,2,FALSE),B3353),PlayerValues!E:E,0)),"N/A")</f>
        <v>15752</v>
      </c>
      <c r="B3353" s="4" t="s">
        <v>647</v>
      </c>
      <c r="C3353" s="4" t="s">
        <v>287</v>
      </c>
      <c r="D3353" s="94">
        <v>1465.0</v>
      </c>
    </row>
    <row r="3354">
      <c r="A3354" s="40">
        <f t="array" ref="A3354">IFNA(index(PlayerValues!A:A,match(IFNA(vlookup(B3354,'Special Names'!A:B,2,FALSE),B3354),PlayerValues!E:E,0)),"N/A")</f>
        <v>11150</v>
      </c>
      <c r="B3354" s="4" t="s">
        <v>559</v>
      </c>
      <c r="C3354" s="4" t="s">
        <v>283</v>
      </c>
      <c r="D3354" s="94">
        <v>1458.0</v>
      </c>
    </row>
    <row r="3355">
      <c r="A3355" s="40">
        <f t="array" ref="A3355">IFNA(index(PlayerValues!A:A,match(IFNA(vlookup(B3355,'Special Names'!A:B,2,FALSE),B3355),PlayerValues!E:E,0)),"N/A")</f>
        <v>17541</v>
      </c>
      <c r="B3355" s="4" t="s">
        <v>616</v>
      </c>
      <c r="C3355" s="4" t="s">
        <v>287</v>
      </c>
      <c r="D3355" s="94">
        <v>1458.0</v>
      </c>
    </row>
    <row r="3356">
      <c r="A3356" s="40">
        <f t="array" ref="A3356">IFNA(index(PlayerValues!A:A,match(IFNA(vlookup(B3356,'Special Names'!A:B,2,FALSE),B3356),PlayerValues!E:E,0)),"N/A")</f>
        <v>15738</v>
      </c>
      <c r="B3356" s="4" t="s">
        <v>634</v>
      </c>
      <c r="C3356" s="4" t="s">
        <v>278</v>
      </c>
      <c r="D3356" s="94">
        <v>1456.0</v>
      </c>
    </row>
    <row r="3357">
      <c r="A3357" s="40">
        <f t="array" ref="A3357">IFNA(index(PlayerValues!A:A,match(IFNA(vlookup(B3357,'Special Names'!A:B,2,FALSE),B3357),PlayerValues!E:E,0)),"N/A")</f>
        <v>13418</v>
      </c>
      <c r="B3357" s="4" t="s">
        <v>706</v>
      </c>
      <c r="C3357" s="4" t="s">
        <v>287</v>
      </c>
      <c r="D3357" s="94">
        <v>1455.0</v>
      </c>
    </row>
    <row r="3358">
      <c r="A3358" s="40">
        <f t="array" ref="A3358">IFNA(index(PlayerValues!A:A,match(IFNA(vlookup(B3358,'Special Names'!A:B,2,FALSE),B3358),PlayerValues!E:E,0)),"N/A")</f>
        <v>17254</v>
      </c>
      <c r="B3358" s="4" t="s">
        <v>679</v>
      </c>
      <c r="C3358" s="4" t="s">
        <v>287</v>
      </c>
      <c r="D3358" s="94">
        <v>1447.0</v>
      </c>
    </row>
    <row r="3359">
      <c r="A3359" s="40">
        <f t="array" ref="A3359">IFNA(index(PlayerValues!A:A,match(IFNA(vlookup(B3359,'Special Names'!A:B,2,FALSE),B3359),PlayerValues!E:E,0)),"N/A")</f>
        <v>15755</v>
      </c>
      <c r="B3359" s="4" t="s">
        <v>628</v>
      </c>
      <c r="C3359" s="4" t="s">
        <v>287</v>
      </c>
      <c r="D3359" s="94">
        <v>1445.0</v>
      </c>
    </row>
    <row r="3360">
      <c r="A3360" s="40">
        <f t="array" ref="A3360">IFNA(index(PlayerValues!A:A,match(IFNA(vlookup(B3360,'Special Names'!A:B,2,FALSE),B3360),PlayerValues!E:E,0)),"N/A")</f>
        <v>14095</v>
      </c>
      <c r="B3360" s="4" t="s">
        <v>680</v>
      </c>
      <c r="C3360" s="4" t="s">
        <v>278</v>
      </c>
      <c r="D3360" s="94">
        <v>1432.0</v>
      </c>
    </row>
    <row r="3361">
      <c r="A3361" s="40">
        <f t="array" ref="A3361">IFNA(index(PlayerValues!A:A,match(IFNA(vlookup(B3361,'Special Names'!A:B,2,FALSE),B3361),PlayerValues!E:E,0)),"N/A")</f>
        <v>17510</v>
      </c>
      <c r="B3361" s="4" t="s">
        <v>661</v>
      </c>
      <c r="C3361" s="4" t="s">
        <v>287</v>
      </c>
      <c r="D3361" s="94">
        <v>1428.0</v>
      </c>
    </row>
    <row r="3362">
      <c r="A3362" s="40">
        <f t="array" ref="A3362">IFNA(index(PlayerValues!A:A,match(IFNA(vlookup(B3362,'Special Names'!A:B,2,FALSE),B3362),PlayerValues!E:E,0)),"N/A")</f>
        <v>13672</v>
      </c>
      <c r="B3362" s="4" t="s">
        <v>667</v>
      </c>
      <c r="C3362" s="4" t="s">
        <v>298</v>
      </c>
      <c r="D3362" s="94">
        <v>1790.0</v>
      </c>
    </row>
    <row r="3363">
      <c r="A3363" s="40">
        <f t="array" ref="A3363">IFNA(index(PlayerValues!A:A,match(IFNA(vlookup(B3363,'Special Names'!A:B,2,FALSE),B3363),PlayerValues!E:E,0)),"N/A")</f>
        <v>15713</v>
      </c>
      <c r="B3363" s="4" t="s">
        <v>732</v>
      </c>
      <c r="C3363" s="4" t="s">
        <v>278</v>
      </c>
      <c r="D3363" s="94">
        <v>1415.0</v>
      </c>
    </row>
    <row r="3364">
      <c r="A3364" s="40">
        <f t="array" ref="A3364">IFNA(index(PlayerValues!A:A,match(IFNA(vlookup(B3364,'Special Names'!A:B,2,FALSE),B3364),PlayerValues!E:E,0)),"N/A")</f>
        <v>13138</v>
      </c>
      <c r="B3364" s="4" t="s">
        <v>817</v>
      </c>
      <c r="C3364" s="4" t="s">
        <v>278</v>
      </c>
      <c r="D3364" s="94">
        <v>1405.0</v>
      </c>
    </row>
    <row r="3365">
      <c r="A3365" s="40">
        <f t="array" ref="A3365">IFNA(index(PlayerValues!A:A,match(IFNA(vlookup(B3365,'Special Names'!A:B,2,FALSE),B3365),PlayerValues!E:E,0)),"N/A")</f>
        <v>17470</v>
      </c>
      <c r="B3365" s="4" t="s">
        <v>841</v>
      </c>
      <c r="C3365" s="4" t="s">
        <v>283</v>
      </c>
      <c r="D3365" s="94">
        <v>1402.0</v>
      </c>
    </row>
    <row r="3366">
      <c r="A3366" s="40">
        <f t="array" ref="A3366">IFNA(index(PlayerValues!A:A,match(IFNA(vlookup(B3366,'Special Names'!A:B,2,FALSE),B3366),PlayerValues!E:E,0)),"N/A")</f>
        <v>15788</v>
      </c>
      <c r="B3366" s="4" t="s">
        <v>627</v>
      </c>
      <c r="C3366" s="4" t="s">
        <v>287</v>
      </c>
      <c r="D3366" s="94">
        <v>1398.0</v>
      </c>
    </row>
    <row r="3367">
      <c r="A3367" s="40">
        <f t="array" ref="A3367">IFNA(index(PlayerValues!A:A,match(IFNA(vlookup(B3367,'Special Names'!A:B,2,FALSE),B3367),PlayerValues!E:E,0)),"N/A")</f>
        <v>17269</v>
      </c>
      <c r="B3367" s="4" t="s">
        <v>718</v>
      </c>
      <c r="C3367" s="4" t="s">
        <v>287</v>
      </c>
      <c r="D3367" s="94">
        <v>1392.0</v>
      </c>
    </row>
    <row r="3368">
      <c r="A3368" s="40">
        <f t="array" ref="A3368">IFNA(index(PlayerValues!A:A,match(IFNA(vlookup(B3368,'Special Names'!A:B,2,FALSE),B3368),PlayerValues!E:E,0)),"N/A")</f>
        <v>17486</v>
      </c>
      <c r="B3368" s="4" t="s">
        <v>695</v>
      </c>
      <c r="C3368" s="4" t="s">
        <v>278</v>
      </c>
      <c r="D3368" s="94">
        <v>1389.0</v>
      </c>
    </row>
    <row r="3369">
      <c r="A3369" s="40">
        <f t="array" ref="A3369">IFNA(index(PlayerValues!A:A,match(IFNA(vlookup(B3369,'Special Names'!A:B,2,FALSE),B3369),PlayerValues!E:E,0)),"N/A")</f>
        <v>17062</v>
      </c>
      <c r="B3369" s="4" t="s">
        <v>701</v>
      </c>
      <c r="C3369" s="4" t="s">
        <v>278</v>
      </c>
      <c r="D3369" s="94">
        <v>1385.0</v>
      </c>
    </row>
    <row r="3370">
      <c r="A3370" s="40">
        <f t="array" ref="A3370">IFNA(index(PlayerValues!A:A,match(IFNA(vlookup(B3370,'Special Names'!A:B,2,FALSE),B3370),PlayerValues!E:E,0)),"N/A")</f>
        <v>17479</v>
      </c>
      <c r="B3370" s="4" t="s">
        <v>756</v>
      </c>
      <c r="C3370" s="4" t="s">
        <v>278</v>
      </c>
      <c r="D3370" s="94">
        <v>1385.0</v>
      </c>
    </row>
    <row r="3371">
      <c r="A3371" s="40">
        <f t="array" ref="A3371">IFNA(index(PlayerValues!A:A,match(IFNA(vlookup(B3371,'Special Names'!A:B,2,FALSE),B3371),PlayerValues!E:E,0)),"N/A")</f>
        <v>16631</v>
      </c>
      <c r="B3371" s="4" t="s">
        <v>800</v>
      </c>
      <c r="C3371" s="4" t="s">
        <v>287</v>
      </c>
      <c r="D3371" s="94">
        <v>1373.0</v>
      </c>
    </row>
    <row r="3372">
      <c r="A3372" s="40">
        <f t="array" ref="A3372">IFNA(index(PlayerValues!A:A,match(IFNA(vlookup(B3372,'Special Names'!A:B,2,FALSE),B3372),PlayerValues!E:E,0)),"N/A")</f>
        <v>17487</v>
      </c>
      <c r="B3372" s="4" t="s">
        <v>692</v>
      </c>
      <c r="C3372" s="4" t="s">
        <v>278</v>
      </c>
      <c r="D3372" s="94">
        <v>1343.0</v>
      </c>
    </row>
    <row r="3373">
      <c r="A3373" s="40">
        <f t="array" ref="A3373">IFNA(index(PlayerValues!A:A,match(IFNA(vlookup(B3373,'Special Names'!A:B,2,FALSE),B3373),PlayerValues!E:E,0)),"N/A")</f>
        <v>15797</v>
      </c>
      <c r="B3373" s="4" t="s">
        <v>556</v>
      </c>
      <c r="C3373" s="4" t="s">
        <v>298</v>
      </c>
      <c r="D3373" s="94">
        <v>1712.0</v>
      </c>
    </row>
    <row r="3374">
      <c r="A3374" s="40">
        <f t="array" ref="A3374">IFNA(index(PlayerValues!A:A,match(IFNA(vlookup(B3374,'Special Names'!A:B,2,FALSE),B3374),PlayerValues!E:E,0)),"N/A")</f>
        <v>15332</v>
      </c>
      <c r="B3374" s="4" t="s">
        <v>698</v>
      </c>
      <c r="C3374" s="4" t="s">
        <v>298</v>
      </c>
      <c r="D3374" s="94">
        <v>1708.0</v>
      </c>
    </row>
    <row r="3375">
      <c r="A3375" s="40">
        <f t="array" ref="A3375">IFNA(index(PlayerValues!A:A,match(IFNA(vlookup(B3375,'Special Names'!A:B,2,FALSE),B3375),PlayerValues!E:E,0)),"N/A")</f>
        <v>14137</v>
      </c>
      <c r="B3375" s="4" t="s">
        <v>676</v>
      </c>
      <c r="C3375" s="4" t="s">
        <v>298</v>
      </c>
      <c r="D3375" s="94">
        <v>1706.0</v>
      </c>
    </row>
    <row r="3376">
      <c r="A3376" s="40">
        <f t="array" ref="A3376">IFNA(index(PlayerValues!A:A,match(IFNA(vlookup(B3376,'Special Names'!A:B,2,FALSE),B3376),PlayerValues!E:E,0)),"N/A")</f>
        <v>15301</v>
      </c>
      <c r="B3376" s="4" t="s">
        <v>657</v>
      </c>
      <c r="C3376" s="4" t="s">
        <v>287</v>
      </c>
      <c r="D3376" s="94">
        <v>1326.0</v>
      </c>
    </row>
    <row r="3377">
      <c r="A3377" s="40">
        <f t="array" ref="A3377">IFNA(index(PlayerValues!A:A,match(IFNA(vlookup(B3377,'Special Names'!A:B,2,FALSE),B3377),PlayerValues!E:E,0)),"N/A")</f>
        <v>15873</v>
      </c>
      <c r="B3377" s="4" t="s">
        <v>681</v>
      </c>
      <c r="C3377" s="4" t="s">
        <v>298</v>
      </c>
      <c r="D3377" s="94">
        <v>1694.0</v>
      </c>
    </row>
    <row r="3378">
      <c r="A3378" s="40">
        <f t="array" ref="A3378">IFNA(index(PlayerValues!A:A,match(IFNA(vlookup(B3378,'Special Names'!A:B,2,FALSE),B3378),PlayerValues!E:E,0)),"N/A")</f>
        <v>16621</v>
      </c>
      <c r="B3378" s="4" t="s">
        <v>672</v>
      </c>
      <c r="C3378" s="4" t="s">
        <v>287</v>
      </c>
      <c r="D3378" s="94">
        <v>1321.0</v>
      </c>
    </row>
    <row r="3379">
      <c r="A3379" s="40">
        <f t="array" ref="A3379">IFNA(index(PlayerValues!A:A,match(IFNA(vlookup(B3379,'Special Names'!A:B,2,FALSE),B3379),PlayerValues!E:E,0)),"N/A")</f>
        <v>16642</v>
      </c>
      <c r="B3379" s="4" t="s">
        <v>691</v>
      </c>
      <c r="C3379" s="4" t="s">
        <v>298</v>
      </c>
      <c r="D3379" s="94">
        <v>1678.0</v>
      </c>
    </row>
    <row r="3380">
      <c r="A3380" s="40">
        <f t="array" ref="A3380">IFNA(index(PlayerValues!A:A,match(IFNA(vlookup(B3380,'Special Names'!A:B,2,FALSE),B3380),PlayerValues!E:E,0)),"N/A")</f>
        <v>16385</v>
      </c>
      <c r="B3380" s="4" t="s">
        <v>690</v>
      </c>
      <c r="C3380" s="4" t="s">
        <v>278</v>
      </c>
      <c r="D3380" s="94">
        <v>1304.0</v>
      </c>
    </row>
    <row r="3381">
      <c r="A3381" s="40" t="str">
        <f t="array" ref="A3381">IFNA(index(PlayerValues!A:A,match(IFNA(vlookup(B3381,'Special Names'!A:B,2,FALSE),B3381),PlayerValues!E:E,0)),"N/A")</f>
        <v>N/A</v>
      </c>
      <c r="B3381" s="4" t="s">
        <v>117</v>
      </c>
      <c r="C3381" s="4" t="s">
        <v>325</v>
      </c>
      <c r="D3381" s="94">
        <v>1289.0</v>
      </c>
    </row>
    <row r="3382">
      <c r="A3382" s="40">
        <f t="array" ref="A3382">IFNA(index(PlayerValues!A:A,match(IFNA(vlookup(B3382,'Special Names'!A:B,2,FALSE),B3382),PlayerValues!E:E,0)),"N/A")</f>
        <v>17526</v>
      </c>
      <c r="B3382" s="4" t="s">
        <v>760</v>
      </c>
      <c r="C3382" s="4" t="s">
        <v>287</v>
      </c>
      <c r="D3382" s="94">
        <v>1287.0</v>
      </c>
    </row>
    <row r="3383">
      <c r="A3383" s="40">
        <f t="array" ref="A3383">IFNA(index(PlayerValues!A:A,match(IFNA(vlookup(B3383,'Special Names'!A:B,2,FALSE),B3383),PlayerValues!E:E,0)),"N/A")</f>
        <v>14592</v>
      </c>
      <c r="B3383" s="4" t="s">
        <v>705</v>
      </c>
      <c r="C3383" s="4" t="s">
        <v>287</v>
      </c>
      <c r="D3383" s="94">
        <v>1276.0</v>
      </c>
    </row>
    <row r="3384">
      <c r="A3384" s="40">
        <f t="array" ref="A3384">IFNA(index(PlayerValues!A:A,match(IFNA(vlookup(B3384,'Special Names'!A:B,2,FALSE),B3384),PlayerValues!E:E,0)),"N/A")</f>
        <v>16175</v>
      </c>
      <c r="B3384" s="4" t="s">
        <v>654</v>
      </c>
      <c r="C3384" s="4" t="s">
        <v>278</v>
      </c>
      <c r="D3384" s="94">
        <v>1263.0</v>
      </c>
    </row>
    <row r="3385">
      <c r="A3385" s="40">
        <f t="array" ref="A3385">IFNA(index(PlayerValues!A:A,match(IFNA(vlookup(B3385,'Special Names'!A:B,2,FALSE),B3385),PlayerValues!E:E,0)),"N/A")</f>
        <v>15292</v>
      </c>
      <c r="B3385" s="4" t="s">
        <v>682</v>
      </c>
      <c r="C3385" s="4" t="s">
        <v>287</v>
      </c>
      <c r="D3385" s="94">
        <v>1262.0</v>
      </c>
    </row>
    <row r="3386">
      <c r="A3386" s="40">
        <f t="array" ref="A3386">IFNA(index(PlayerValues!A:A,match(IFNA(vlookup(B3386,'Special Names'!A:B,2,FALSE),B3386),PlayerValues!E:E,0)),"N/A")</f>
        <v>14086</v>
      </c>
      <c r="B3386" s="4" t="s">
        <v>639</v>
      </c>
      <c r="C3386" s="4" t="s">
        <v>278</v>
      </c>
      <c r="D3386" s="94">
        <v>1253.0</v>
      </c>
    </row>
    <row r="3387">
      <c r="A3387" s="40">
        <f t="array" ref="A3387">IFNA(index(PlayerValues!A:A,match(IFNA(vlookup(B3387,'Special Names'!A:B,2,FALSE),B3387),PlayerValues!E:E,0)),"N/A")</f>
        <v>14108</v>
      </c>
      <c r="B3387" s="4" t="s">
        <v>673</v>
      </c>
      <c r="C3387" s="4" t="s">
        <v>287</v>
      </c>
      <c r="D3387" s="94">
        <v>1249.0</v>
      </c>
    </row>
    <row r="3388">
      <c r="A3388" s="40">
        <f t="array" ref="A3388">IFNA(index(PlayerValues!A:A,match(IFNA(vlookup(B3388,'Special Names'!A:B,2,FALSE),B3388),PlayerValues!E:E,0)),"N/A")</f>
        <v>16451</v>
      </c>
      <c r="B3388" s="4" t="s">
        <v>769</v>
      </c>
      <c r="C3388" s="4" t="s">
        <v>287</v>
      </c>
      <c r="D3388" s="94">
        <v>1243.0</v>
      </c>
    </row>
    <row r="3389">
      <c r="A3389" s="40">
        <f t="array" ref="A3389">IFNA(index(PlayerValues!A:A,match(IFNA(vlookup(B3389,'Special Names'!A:B,2,FALSE),B3389),PlayerValues!E:E,0)),"N/A")</f>
        <v>15981</v>
      </c>
      <c r="B3389" s="4" t="s">
        <v>729</v>
      </c>
      <c r="C3389" s="4" t="s">
        <v>287</v>
      </c>
      <c r="D3389" s="94">
        <v>1230.0</v>
      </c>
    </row>
    <row r="3390">
      <c r="A3390" s="40">
        <f t="array" ref="A3390">IFNA(index(PlayerValues!A:A,match(IFNA(vlookup(B3390,'Special Names'!A:B,2,FALSE),B3390),PlayerValues!E:E,0)),"N/A")</f>
        <v>16183</v>
      </c>
      <c r="B3390" s="4" t="s">
        <v>678</v>
      </c>
      <c r="C3390" s="4" t="s">
        <v>287</v>
      </c>
      <c r="D3390" s="94">
        <v>1223.0</v>
      </c>
    </row>
    <row r="3391">
      <c r="A3391" s="40">
        <f t="array" ref="A3391">IFNA(index(PlayerValues!A:A,match(IFNA(vlookup(B3391,'Special Names'!A:B,2,FALSE),B3391),PlayerValues!E:E,0)),"N/A")</f>
        <v>12263</v>
      </c>
      <c r="B3391" s="4" t="s">
        <v>697</v>
      </c>
      <c r="C3391" s="4" t="s">
        <v>298</v>
      </c>
      <c r="D3391" s="94">
        <v>1588.0</v>
      </c>
    </row>
    <row r="3392">
      <c r="A3392" s="40">
        <f t="array" ref="A3392">IFNA(index(PlayerValues!A:A,match(IFNA(vlookup(B3392,'Special Names'!A:B,2,FALSE),B3392),PlayerValues!E:E,0)),"N/A")</f>
        <v>16792</v>
      </c>
      <c r="B3392" s="4" t="s">
        <v>704</v>
      </c>
      <c r="C3392" s="4" t="s">
        <v>287</v>
      </c>
      <c r="D3392" s="94">
        <v>1202.0</v>
      </c>
    </row>
    <row r="3393">
      <c r="A3393" s="40">
        <f t="array" ref="A3393">IFNA(index(PlayerValues!A:A,match(IFNA(vlookup(B3393,'Special Names'!A:B,2,FALSE),B3393),PlayerValues!E:E,0)),"N/A")</f>
        <v>16149</v>
      </c>
      <c r="B3393" s="4" t="s">
        <v>740</v>
      </c>
      <c r="C3393" s="4" t="s">
        <v>283</v>
      </c>
      <c r="D3393" s="94">
        <v>1198.0</v>
      </c>
    </row>
    <row r="3394">
      <c r="A3394" s="40">
        <f t="array" ref="A3394">IFNA(index(PlayerValues!A:A,match(IFNA(vlookup(B3394,'Special Names'!A:B,2,FALSE),B3394),PlayerValues!E:E,0)),"N/A")</f>
        <v>17063</v>
      </c>
      <c r="B3394" s="4" t="s">
        <v>686</v>
      </c>
      <c r="C3394" s="4" t="s">
        <v>278</v>
      </c>
      <c r="D3394" s="94">
        <v>1188.0</v>
      </c>
    </row>
    <row r="3395">
      <c r="A3395" s="40">
        <f t="array" ref="A3395">IFNA(index(PlayerValues!A:A,match(IFNA(vlookup(B3395,'Special Names'!A:B,2,FALSE),B3395),PlayerValues!E:E,0)),"N/A")</f>
        <v>15240</v>
      </c>
      <c r="B3395" s="4" t="s">
        <v>751</v>
      </c>
      <c r="C3395" s="4" t="s">
        <v>283</v>
      </c>
      <c r="D3395" s="94">
        <v>1186.0</v>
      </c>
    </row>
    <row r="3396">
      <c r="A3396" s="40">
        <f t="array" ref="A3396">IFNA(index(PlayerValues!A:A,match(IFNA(vlookup(B3396,'Special Names'!A:B,2,FALSE),B3396),PlayerValues!E:E,0)),"N/A")</f>
        <v>15702</v>
      </c>
      <c r="B3396" s="4" t="s">
        <v>723</v>
      </c>
      <c r="C3396" s="4" t="s">
        <v>283</v>
      </c>
      <c r="D3396" s="94">
        <v>1175.0</v>
      </c>
    </row>
    <row r="3397">
      <c r="A3397" s="40">
        <f t="array" ref="A3397">IFNA(index(PlayerValues!A:A,match(IFNA(vlookup(B3397,'Special Names'!A:B,2,FALSE),B3397),PlayerValues!E:E,0)),"N/A")</f>
        <v>16636</v>
      </c>
      <c r="B3397" s="4" t="s">
        <v>699</v>
      </c>
      <c r="C3397" s="4" t="s">
        <v>287</v>
      </c>
      <c r="D3397" s="94">
        <v>1172.0</v>
      </c>
    </row>
    <row r="3398">
      <c r="A3398" s="40">
        <f t="array" ref="A3398">IFNA(index(PlayerValues!A:A,match(IFNA(vlookup(B3398,'Special Names'!A:B,2,FALSE),B3398),PlayerValues!E:E,0)),"N/A")</f>
        <v>16746</v>
      </c>
      <c r="B3398" s="4" t="s">
        <v>709</v>
      </c>
      <c r="C3398" s="4" t="s">
        <v>278</v>
      </c>
      <c r="D3398" s="94">
        <v>1167.0</v>
      </c>
    </row>
    <row r="3399">
      <c r="A3399" s="40">
        <f t="array" ref="A3399">IFNA(index(PlayerValues!A:A,match(IFNA(vlookup(B3399,'Special Names'!A:B,2,FALSE),B3399),PlayerValues!E:E,0)),"N/A")</f>
        <v>16199</v>
      </c>
      <c r="B3399" s="4" t="s">
        <v>687</v>
      </c>
      <c r="C3399" s="4" t="s">
        <v>287</v>
      </c>
      <c r="D3399" s="94">
        <v>1160.0</v>
      </c>
    </row>
    <row r="3400">
      <c r="A3400" s="40">
        <f t="array" ref="A3400">IFNA(index(PlayerValues!A:A,match(IFNA(vlookup(B3400,'Special Names'!A:B,2,FALSE),B3400),PlayerValues!E:E,0)),"N/A")</f>
        <v>16645</v>
      </c>
      <c r="B3400" s="4" t="s">
        <v>651</v>
      </c>
      <c r="C3400" s="4" t="s">
        <v>298</v>
      </c>
      <c r="D3400" s="94">
        <v>1526.0</v>
      </c>
    </row>
    <row r="3401">
      <c r="A3401" s="40">
        <f t="array" ref="A3401">IFNA(index(PlayerValues!A:A,match(IFNA(vlookup(B3401,'Special Names'!A:B,2,FALSE),B3401),PlayerValues!E:E,0)),"N/A")</f>
        <v>16883</v>
      </c>
      <c r="B3401" s="4" t="s">
        <v>683</v>
      </c>
      <c r="C3401" s="4" t="s">
        <v>287</v>
      </c>
      <c r="D3401" s="94">
        <v>1160.0</v>
      </c>
    </row>
    <row r="3402">
      <c r="A3402" s="40">
        <f t="array" ref="A3402">IFNA(index(PlayerValues!A:A,match(IFNA(vlookup(B3402,'Special Names'!A:B,2,FALSE),B3402),PlayerValues!E:E,0)),"N/A")</f>
        <v>12678</v>
      </c>
      <c r="B3402" s="4" t="s">
        <v>703</v>
      </c>
      <c r="C3402" s="4" t="s">
        <v>298</v>
      </c>
      <c r="D3402" s="94">
        <v>1524.0</v>
      </c>
    </row>
    <row r="3403">
      <c r="A3403" s="40">
        <f t="array" ref="A3403">IFNA(index(PlayerValues!A:A,match(IFNA(vlookup(B3403,'Special Names'!A:B,2,FALSE),B3403),PlayerValues!E:E,0)),"N/A")</f>
        <v>14789</v>
      </c>
      <c r="B3403" s="4" t="s">
        <v>721</v>
      </c>
      <c r="C3403" s="4" t="s">
        <v>283</v>
      </c>
      <c r="D3403" s="94">
        <v>1153.0</v>
      </c>
    </row>
    <row r="3404">
      <c r="A3404" s="40">
        <f t="array" ref="A3404">IFNA(index(PlayerValues!A:A,match(IFNA(vlookup(B3404,'Special Names'!A:B,2,FALSE),B3404),PlayerValues!E:E,0)),"N/A")</f>
        <v>17097</v>
      </c>
      <c r="B3404" s="4" t="s">
        <v>659</v>
      </c>
      <c r="C3404" s="4" t="s">
        <v>287</v>
      </c>
      <c r="D3404" s="94">
        <v>1148.0</v>
      </c>
    </row>
    <row r="3405">
      <c r="A3405" s="40">
        <f t="array" ref="A3405">IFNA(index(PlayerValues!A:A,match(IFNA(vlookup(B3405,'Special Names'!A:B,2,FALSE),B3405),PlayerValues!E:E,0)),"N/A")</f>
        <v>17054</v>
      </c>
      <c r="B3405" s="4" t="s">
        <v>670</v>
      </c>
      <c r="C3405" s="4" t="s">
        <v>278</v>
      </c>
      <c r="D3405" s="94">
        <v>1136.0</v>
      </c>
    </row>
    <row r="3406">
      <c r="A3406" s="40">
        <f t="array" ref="A3406">IFNA(index(PlayerValues!A:A,match(IFNA(vlookup(B3406,'Special Names'!A:B,2,FALSE),B3406),PlayerValues!E:E,0)),"N/A")</f>
        <v>17050</v>
      </c>
      <c r="B3406" s="4" t="s">
        <v>713</v>
      </c>
      <c r="C3406" s="4" t="s">
        <v>278</v>
      </c>
      <c r="D3406" s="94">
        <v>1135.0</v>
      </c>
    </row>
    <row r="3407">
      <c r="A3407" s="40">
        <f t="array" ref="A3407">IFNA(index(PlayerValues!A:A,match(IFNA(vlookup(B3407,'Special Names'!A:B,2,FALSE),B3407),PlayerValues!E:E,0)),"N/A")</f>
        <v>15692</v>
      </c>
      <c r="B3407" s="4" t="s">
        <v>750</v>
      </c>
      <c r="C3407" s="4" t="s">
        <v>283</v>
      </c>
      <c r="D3407" s="94">
        <v>1134.0</v>
      </c>
    </row>
    <row r="3408">
      <c r="A3408" s="40">
        <f t="array" ref="A3408">IFNA(index(PlayerValues!A:A,match(IFNA(vlookup(B3408,'Special Names'!A:B,2,FALSE),B3408),PlayerValues!E:E,0)),"N/A")</f>
        <v>14845</v>
      </c>
      <c r="B3408" s="4" t="s">
        <v>717</v>
      </c>
      <c r="C3408" s="4" t="s">
        <v>287</v>
      </c>
      <c r="D3408" s="94">
        <v>1133.0</v>
      </c>
    </row>
    <row r="3409">
      <c r="A3409" s="40">
        <f t="array" ref="A3409">IFNA(index(PlayerValues!A:A,match(IFNA(vlookup(B3409,'Special Names'!A:B,2,FALSE),B3409),PlayerValues!E:E,0)),"N/A")</f>
        <v>16221</v>
      </c>
      <c r="B3409" s="4" t="s">
        <v>725</v>
      </c>
      <c r="C3409" s="4" t="s">
        <v>298</v>
      </c>
      <c r="D3409" s="94">
        <v>1500.0</v>
      </c>
    </row>
    <row r="3410">
      <c r="A3410" s="40">
        <f t="array" ref="A3410">IFNA(index(PlayerValues!A:A,match(IFNA(vlookup(B3410,'Special Names'!A:B,2,FALSE),B3410),PlayerValues!E:E,0)),"N/A")</f>
        <v>17109</v>
      </c>
      <c r="B3410" s="4" t="s">
        <v>707</v>
      </c>
      <c r="C3410" s="4" t="s">
        <v>298</v>
      </c>
      <c r="D3410" s="94">
        <v>1490.0</v>
      </c>
    </row>
    <row r="3411">
      <c r="A3411" s="40">
        <f t="array" ref="A3411">IFNA(index(PlayerValues!A:A,match(IFNA(vlookup(B3411,'Special Names'!A:B,2,FALSE),B3411),PlayerValues!E:E,0)),"N/A")</f>
        <v>13289</v>
      </c>
      <c r="B3411" s="4" t="s">
        <v>746</v>
      </c>
      <c r="C3411" s="4" t="s">
        <v>287</v>
      </c>
      <c r="D3411" s="94">
        <v>1117.0</v>
      </c>
    </row>
    <row r="3412">
      <c r="A3412" s="40">
        <f t="array" ref="A3412">IFNA(index(PlayerValues!A:A,match(IFNA(vlookup(B3412,'Special Names'!A:B,2,FALSE),B3412),PlayerValues!E:E,0)),"N/A")</f>
        <v>16333</v>
      </c>
      <c r="B3412" s="4" t="s">
        <v>711</v>
      </c>
      <c r="C3412" s="4" t="s">
        <v>298</v>
      </c>
      <c r="D3412" s="94">
        <v>1481.0</v>
      </c>
    </row>
    <row r="3413">
      <c r="A3413" s="40">
        <f t="array" ref="A3413">IFNA(index(PlayerValues!A:A,match(IFNA(vlookup(B3413,'Special Names'!A:B,2,FALSE),B3413),PlayerValues!E:E,0)),"N/A")</f>
        <v>15239</v>
      </c>
      <c r="B3413" s="4" t="s">
        <v>802</v>
      </c>
      <c r="C3413" s="4" t="s">
        <v>283</v>
      </c>
      <c r="D3413" s="94">
        <v>1113.0</v>
      </c>
    </row>
    <row r="3414">
      <c r="A3414" s="40">
        <f t="array" ref="A3414">IFNA(index(PlayerValues!A:A,match(IFNA(vlookup(B3414,'Special Names'!A:B,2,FALSE),B3414),PlayerValues!E:E,0)),"N/A")</f>
        <v>17192</v>
      </c>
      <c r="B3414" s="4" t="s">
        <v>677</v>
      </c>
      <c r="C3414" s="4" t="s">
        <v>287</v>
      </c>
      <c r="D3414" s="94">
        <v>1104.0</v>
      </c>
    </row>
    <row r="3415">
      <c r="A3415" s="40">
        <f t="array" ref="A3415">IFNA(index(PlayerValues!A:A,match(IFNA(vlookup(B3415,'Special Names'!A:B,2,FALSE),B3415),PlayerValues!E:E,0)),"N/A")</f>
        <v>15288</v>
      </c>
      <c r="B3415" s="4" t="s">
        <v>700</v>
      </c>
      <c r="C3415" s="4" t="s">
        <v>287</v>
      </c>
      <c r="D3415" s="94">
        <v>1102.0</v>
      </c>
    </row>
    <row r="3416">
      <c r="A3416" s="40">
        <f t="array" ref="A3416">IFNA(index(PlayerValues!A:A,match(IFNA(vlookup(B3416,'Special Names'!A:B,2,FALSE),B3416),PlayerValues!E:E,0)),"N/A")</f>
        <v>16384</v>
      </c>
      <c r="B3416" s="4" t="s">
        <v>696</v>
      </c>
      <c r="C3416" s="4" t="s">
        <v>283</v>
      </c>
      <c r="D3416" s="94">
        <v>1098.0</v>
      </c>
    </row>
    <row r="3417">
      <c r="A3417" s="40">
        <f t="array" ref="A3417">IFNA(index(PlayerValues!A:A,match(IFNA(vlookup(B3417,'Special Names'!A:B,2,FALSE),B3417),PlayerValues!E:E,0)),"N/A")</f>
        <v>17175</v>
      </c>
      <c r="B3417" s="4" t="s">
        <v>747</v>
      </c>
      <c r="C3417" s="4" t="s">
        <v>287</v>
      </c>
      <c r="D3417" s="94">
        <v>1091.0</v>
      </c>
    </row>
    <row r="3418">
      <c r="A3418" s="40">
        <f t="array" ref="A3418">IFNA(index(PlayerValues!A:A,match(IFNA(vlookup(B3418,'Special Names'!A:B,2,FALSE),B3418),PlayerValues!E:E,0)),"N/A")</f>
        <v>15717</v>
      </c>
      <c r="B3418" s="4" t="s">
        <v>745</v>
      </c>
      <c r="C3418" s="4" t="s">
        <v>278</v>
      </c>
      <c r="D3418" s="94">
        <v>1083.0</v>
      </c>
    </row>
    <row r="3419">
      <c r="A3419" s="40">
        <f t="array" ref="A3419">IFNA(index(PlayerValues!A:A,match(IFNA(vlookup(B3419,'Special Names'!A:B,2,FALSE),B3419),PlayerValues!E:E,0)),"N/A")</f>
        <v>15718</v>
      </c>
      <c r="B3419" s="4" t="s">
        <v>753</v>
      </c>
      <c r="C3419" s="4" t="s">
        <v>278</v>
      </c>
      <c r="D3419" s="94">
        <v>1079.0</v>
      </c>
    </row>
    <row r="3420">
      <c r="A3420" s="40">
        <f t="array" ref="A3420">IFNA(index(PlayerValues!A:A,match(IFNA(vlookup(B3420,'Special Names'!A:B,2,FALSE),B3420),PlayerValues!E:E,0)),"N/A")</f>
        <v>16197</v>
      </c>
      <c r="B3420" s="4" t="s">
        <v>726</v>
      </c>
      <c r="C3420" s="4" t="s">
        <v>287</v>
      </c>
      <c r="D3420" s="94">
        <v>1073.0</v>
      </c>
    </row>
    <row r="3421">
      <c r="A3421" s="40">
        <f t="array" ref="A3421">IFNA(index(PlayerValues!A:A,match(IFNA(vlookup(B3421,'Special Names'!A:B,2,FALSE),B3421),PlayerValues!E:E,0)),"N/A")</f>
        <v>16219</v>
      </c>
      <c r="B3421" s="4" t="s">
        <v>739</v>
      </c>
      <c r="C3421" s="4" t="s">
        <v>298</v>
      </c>
      <c r="D3421" s="94">
        <v>1439.0</v>
      </c>
    </row>
    <row r="3422">
      <c r="A3422" s="40">
        <f t="array" ref="A3422">IFNA(index(PlayerValues!A:A,match(IFNA(vlookup(B3422,'Special Names'!A:B,2,FALSE),B3422),PlayerValues!E:E,0)),"N/A")</f>
        <v>13610</v>
      </c>
      <c r="B3422" s="4" t="s">
        <v>825</v>
      </c>
      <c r="C3422" s="4" t="s">
        <v>278</v>
      </c>
      <c r="D3422" s="94">
        <v>1069.0</v>
      </c>
    </row>
    <row r="3423">
      <c r="A3423" s="40">
        <f t="array" ref="A3423">IFNA(index(PlayerValues!A:A,match(IFNA(vlookup(B3423,'Special Names'!A:B,2,FALSE),B3423),PlayerValues!E:E,0)),"N/A")</f>
        <v>15730</v>
      </c>
      <c r="B3423" s="4" t="s">
        <v>734</v>
      </c>
      <c r="C3423" s="4" t="s">
        <v>278</v>
      </c>
      <c r="D3423" s="94">
        <v>1069.0</v>
      </c>
    </row>
    <row r="3424">
      <c r="A3424" s="40">
        <f t="array" ref="A3424">IFNA(index(PlayerValues!A:A,match(IFNA(vlookup(B3424,'Special Names'!A:B,2,FALSE),B3424),PlayerValues!E:E,0)),"N/A")</f>
        <v>16387</v>
      </c>
      <c r="B3424" s="4" t="s">
        <v>646</v>
      </c>
      <c r="C3424" s="4" t="s">
        <v>278</v>
      </c>
      <c r="D3424" s="94">
        <v>1056.0</v>
      </c>
    </row>
    <row r="3425">
      <c r="A3425" s="40">
        <f t="array" ref="A3425">IFNA(index(PlayerValues!A:A,match(IFNA(vlookup(B3425,'Special Names'!A:B,2,FALSE),B3425),PlayerValues!E:E,0)),"N/A")</f>
        <v>16640</v>
      </c>
      <c r="B3425" s="4" t="s">
        <v>712</v>
      </c>
      <c r="C3425" s="4" t="s">
        <v>287</v>
      </c>
      <c r="D3425" s="94">
        <v>1055.0</v>
      </c>
    </row>
    <row r="3426">
      <c r="A3426" s="40">
        <f t="array" ref="A3426">IFNA(index(PlayerValues!A:A,match(IFNA(vlookup(B3426,'Special Names'!A:B,2,FALSE),B3426),PlayerValues!E:E,0)),"N/A")</f>
        <v>14849</v>
      </c>
      <c r="B3426" s="4" t="s">
        <v>733</v>
      </c>
      <c r="C3426" s="4" t="s">
        <v>287</v>
      </c>
      <c r="D3426" s="94">
        <v>1042.0</v>
      </c>
    </row>
    <row r="3427">
      <c r="A3427" s="40">
        <f t="array" ref="A3427">IFNA(index(PlayerValues!A:A,match(IFNA(vlookup(B3427,'Special Names'!A:B,2,FALSE),B3427),PlayerValues!E:E,0)),"N/A")</f>
        <v>14118</v>
      </c>
      <c r="B3427" s="4" t="s">
        <v>771</v>
      </c>
      <c r="C3427" s="4" t="s">
        <v>287</v>
      </c>
      <c r="D3427" s="94">
        <v>1038.0</v>
      </c>
    </row>
    <row r="3428">
      <c r="A3428" s="40">
        <f t="array" ref="A3428">IFNA(index(PlayerValues!A:A,match(IFNA(vlookup(B3428,'Special Names'!A:B,2,FALSE),B3428),PlayerValues!E:E,0)),"N/A")</f>
        <v>15720</v>
      </c>
      <c r="B3428" s="4" t="s">
        <v>795</v>
      </c>
      <c r="C3428" s="4" t="s">
        <v>278</v>
      </c>
      <c r="D3428" s="94">
        <v>1033.0</v>
      </c>
    </row>
    <row r="3429">
      <c r="A3429" s="40">
        <f t="array" ref="A3429">IFNA(index(PlayerValues!A:A,match(IFNA(vlookup(B3429,'Special Names'!A:B,2,FALSE),B3429),PlayerValues!E:E,0)),"N/A")</f>
        <v>15693</v>
      </c>
      <c r="B3429" s="4" t="s">
        <v>755</v>
      </c>
      <c r="C3429" s="4" t="s">
        <v>283</v>
      </c>
      <c r="D3429" s="94">
        <v>1029.0</v>
      </c>
    </row>
    <row r="3430">
      <c r="A3430" s="40">
        <f t="array" ref="A3430">IFNA(index(PlayerValues!A:A,match(IFNA(vlookup(B3430,'Special Names'!A:B,2,FALSE),B3430),PlayerValues!E:E,0)),"N/A")</f>
        <v>15785</v>
      </c>
      <c r="B3430" s="4" t="s">
        <v>763</v>
      </c>
      <c r="C3430" s="4" t="s">
        <v>287</v>
      </c>
      <c r="D3430" s="94">
        <v>1027.0</v>
      </c>
    </row>
    <row r="3431">
      <c r="A3431" s="40">
        <f t="array" ref="A3431">IFNA(index(PlayerValues!A:A,match(IFNA(vlookup(B3431,'Special Names'!A:B,2,FALSE),B3431),PlayerValues!E:E,0)),"N/A")</f>
        <v>13143</v>
      </c>
      <c r="B3431" s="4" t="s">
        <v>786</v>
      </c>
      <c r="C3431" s="4" t="s">
        <v>278</v>
      </c>
      <c r="D3431" s="94">
        <v>1024.0</v>
      </c>
    </row>
    <row r="3432">
      <c r="A3432" s="40">
        <f t="array" ref="A3432">IFNA(index(PlayerValues!A:A,match(IFNA(vlookup(B3432,'Special Names'!A:B,2,FALSE),B3432),PlayerValues!E:E,0)),"N/A")</f>
        <v>15626</v>
      </c>
      <c r="B3432" s="4" t="s">
        <v>766</v>
      </c>
      <c r="C3432" s="4" t="s">
        <v>298</v>
      </c>
      <c r="D3432" s="94">
        <v>1389.0</v>
      </c>
    </row>
    <row r="3433">
      <c r="A3433" s="40">
        <f t="array" ref="A3433">IFNA(index(PlayerValues!A:A,match(IFNA(vlookup(B3433,'Special Names'!A:B,2,FALSE),B3433),PlayerValues!E:E,0)),"N/A")</f>
        <v>16637</v>
      </c>
      <c r="B3433" s="4" t="s">
        <v>736</v>
      </c>
      <c r="C3433" s="4" t="s">
        <v>287</v>
      </c>
      <c r="D3433" s="94">
        <v>1014.0</v>
      </c>
    </row>
    <row r="3434">
      <c r="A3434" s="40">
        <f t="array" ref="A3434">IFNA(index(PlayerValues!A:A,match(IFNA(vlookup(B3434,'Special Names'!A:B,2,FALSE),B3434),PlayerValues!E:E,0)),"N/A")</f>
        <v>15283</v>
      </c>
      <c r="B3434" s="4" t="s">
        <v>844</v>
      </c>
      <c r="C3434" s="4" t="s">
        <v>287</v>
      </c>
      <c r="D3434" s="94">
        <v>1006.0</v>
      </c>
    </row>
    <row r="3435">
      <c r="A3435" s="40">
        <f t="array" ref="A3435">IFNA(index(PlayerValues!A:A,match(IFNA(vlookup(B3435,'Special Names'!A:B,2,FALSE),B3435),PlayerValues!E:E,0)),"N/A")</f>
        <v>17057</v>
      </c>
      <c r="B3435" s="4" t="s">
        <v>708</v>
      </c>
      <c r="C3435" s="4" t="s">
        <v>278</v>
      </c>
      <c r="D3435" s="94">
        <v>1005.0</v>
      </c>
    </row>
    <row r="3436">
      <c r="A3436" s="40">
        <f t="array" ref="A3436">IFNA(index(PlayerValues!A:A,match(IFNA(vlookup(B3436,'Special Names'!A:B,2,FALSE),B3436),PlayerValues!E:E,0)),"N/A")</f>
        <v>17467</v>
      </c>
      <c r="B3436" s="4" t="s">
        <v>575</v>
      </c>
      <c r="C3436" s="4" t="s">
        <v>283</v>
      </c>
      <c r="D3436" s="94">
        <v>1003.0</v>
      </c>
    </row>
    <row r="3437">
      <c r="A3437" s="40">
        <f t="array" ref="A3437">IFNA(index(PlayerValues!A:A,match(IFNA(vlookup(B3437,'Special Names'!A:B,2,FALSE),B3437),PlayerValues!E:E,0)),"N/A")</f>
        <v>16168</v>
      </c>
      <c r="B3437" s="4" t="s">
        <v>738</v>
      </c>
      <c r="C3437" s="4" t="s">
        <v>278</v>
      </c>
      <c r="D3437" s="94">
        <v>1000.0</v>
      </c>
    </row>
    <row r="3438">
      <c r="A3438" s="40">
        <f t="array" ref="A3438">IFNA(index(PlayerValues!A:A,match(IFNA(vlookup(B3438,'Special Names'!A:B,2,FALSE),B3438),PlayerValues!E:E,0)),"N/A")</f>
        <v>16393</v>
      </c>
      <c r="B3438" s="4" t="s">
        <v>768</v>
      </c>
      <c r="C3438" s="4" t="s">
        <v>287</v>
      </c>
      <c r="D3438" s="94">
        <v>998.0</v>
      </c>
    </row>
    <row r="3439">
      <c r="A3439" s="40">
        <f t="array" ref="A3439">IFNA(index(PlayerValues!A:A,match(IFNA(vlookup(B3439,'Special Names'!A:B,2,FALSE),B3439),PlayerValues!E:E,0)),"N/A")</f>
        <v>16648</v>
      </c>
      <c r="B3439" s="4" t="s">
        <v>748</v>
      </c>
      <c r="C3439" s="4" t="s">
        <v>298</v>
      </c>
      <c r="D3439" s="94">
        <v>1366.0</v>
      </c>
    </row>
    <row r="3440">
      <c r="A3440" s="40">
        <f t="array" ref="A3440">IFNA(index(PlayerValues!A:A,match(IFNA(vlookup(B3440,'Special Names'!A:B,2,FALSE),B3440),PlayerValues!E:E,0)),"N/A")</f>
        <v>16159</v>
      </c>
      <c r="B3440" s="4" t="s">
        <v>819</v>
      </c>
      <c r="C3440" s="4" t="s">
        <v>283</v>
      </c>
      <c r="D3440" s="94">
        <v>993.0</v>
      </c>
    </row>
    <row r="3441">
      <c r="A3441" s="40">
        <f t="array" ref="A3441">IFNA(index(PlayerValues!A:A,match(IFNA(vlookup(B3441,'Special Names'!A:B,2,FALSE),B3441),PlayerValues!E:E,0)),"N/A")</f>
        <v>16858</v>
      </c>
      <c r="B3441" s="4" t="s">
        <v>754</v>
      </c>
      <c r="C3441" s="4" t="s">
        <v>287</v>
      </c>
      <c r="D3441" s="94">
        <v>990.0</v>
      </c>
    </row>
    <row r="3442">
      <c r="A3442" s="40">
        <f t="array" ref="A3442">IFNA(index(PlayerValues!A:A,match(IFNA(vlookup(B3442,'Special Names'!A:B,2,FALSE),B3442),PlayerValues!E:E,0)),"N/A")</f>
        <v>15330</v>
      </c>
      <c r="B3442" s="4" t="s">
        <v>749</v>
      </c>
      <c r="C3442" s="4" t="s">
        <v>298</v>
      </c>
      <c r="D3442" s="94">
        <v>1354.0</v>
      </c>
    </row>
    <row r="3443">
      <c r="A3443" s="40">
        <f t="array" ref="A3443">IFNA(index(PlayerValues!A:A,match(IFNA(vlookup(B3443,'Special Names'!A:B,2,FALSE),B3443),PlayerValues!E:E,0)),"N/A")</f>
        <v>16957</v>
      </c>
      <c r="B3443" s="4" t="s">
        <v>806</v>
      </c>
      <c r="C3443" s="4" t="s">
        <v>278</v>
      </c>
      <c r="D3443" s="94">
        <v>961.0</v>
      </c>
    </row>
    <row r="3444">
      <c r="A3444" s="40">
        <f t="array" ref="A3444">IFNA(index(PlayerValues!A:A,match(IFNA(vlookup(B3444,'Special Names'!A:B,2,FALSE),B3444),PlayerValues!E:E,0)),"N/A")</f>
        <v>9064</v>
      </c>
      <c r="B3444" s="4" t="s">
        <v>761</v>
      </c>
      <c r="C3444" s="4" t="s">
        <v>283</v>
      </c>
      <c r="D3444" s="94">
        <v>950.0</v>
      </c>
    </row>
    <row r="3445">
      <c r="A3445" s="40">
        <f t="array" ref="A3445">IFNA(index(PlayerValues!A:A,match(IFNA(vlookup(B3445,'Special Names'!A:B,2,FALSE),B3445),PlayerValues!E:E,0)),"N/A")</f>
        <v>14067</v>
      </c>
      <c r="B3445" s="4" t="s">
        <v>735</v>
      </c>
      <c r="C3445" s="4" t="s">
        <v>283</v>
      </c>
      <c r="D3445" s="94">
        <v>947.0</v>
      </c>
    </row>
    <row r="3446">
      <c r="A3446" s="40">
        <f t="array" ref="A3446">IFNA(index(PlayerValues!A:A,match(IFNA(vlookup(B3446,'Special Names'!A:B,2,FALSE),B3446),PlayerValues!E:E,0)),"N/A")</f>
        <v>15766</v>
      </c>
      <c r="B3446" s="4" t="s">
        <v>759</v>
      </c>
      <c r="C3446" s="4" t="s">
        <v>287</v>
      </c>
      <c r="D3446" s="94">
        <v>946.0</v>
      </c>
    </row>
    <row r="3447">
      <c r="A3447" s="40">
        <f t="array" ref="A3447">IFNA(index(PlayerValues!A:A,match(IFNA(vlookup(B3447,'Special Names'!A:B,2,FALSE),B3447),PlayerValues!E:E,0)),"N/A")</f>
        <v>14852</v>
      </c>
      <c r="B3447" s="4" t="s">
        <v>837</v>
      </c>
      <c r="C3447" s="4" t="s">
        <v>278</v>
      </c>
      <c r="D3447" s="94">
        <v>945.0</v>
      </c>
    </row>
    <row r="3448">
      <c r="A3448" s="40">
        <f t="array" ref="A3448">IFNA(index(PlayerValues!A:A,match(IFNA(vlookup(B3448,'Special Names'!A:B,2,FALSE),B3448),PlayerValues!E:E,0)),"N/A")</f>
        <v>16205</v>
      </c>
      <c r="B3448" s="4" t="s">
        <v>742</v>
      </c>
      <c r="C3448" s="4" t="s">
        <v>287</v>
      </c>
      <c r="D3448" s="94">
        <v>945.0</v>
      </c>
    </row>
    <row r="3449">
      <c r="A3449" s="40">
        <f t="array" ref="A3449">IFNA(index(PlayerValues!A:A,match(IFNA(vlookup(B3449,'Special Names'!A:B,2,FALSE),B3449),PlayerValues!E:E,0)),"N/A")</f>
        <v>17337</v>
      </c>
      <c r="B3449" s="4" t="s">
        <v>793</v>
      </c>
      <c r="C3449" s="4" t="s">
        <v>278</v>
      </c>
      <c r="D3449" s="94">
        <v>942.0</v>
      </c>
    </row>
    <row r="3450">
      <c r="A3450" s="40">
        <f t="array" ref="A3450">IFNA(index(PlayerValues!A:A,match(IFNA(vlookup(B3450,'Special Names'!A:B,2,FALSE),B3450),PlayerValues!E:E,0)),"N/A")</f>
        <v>13156</v>
      </c>
      <c r="B3450" s="4" t="s">
        <v>835</v>
      </c>
      <c r="C3450" s="4" t="s">
        <v>287</v>
      </c>
      <c r="D3450" s="94">
        <v>938.0</v>
      </c>
    </row>
    <row r="3451">
      <c r="A3451" s="40">
        <f t="array" ref="A3451">IFNA(index(PlayerValues!A:A,match(IFNA(vlookup(B3451,'Special Names'!A:B,2,FALSE),B3451),PlayerValues!E:E,0)),"N/A")</f>
        <v>13133</v>
      </c>
      <c r="B3451" s="4" t="s">
        <v>764</v>
      </c>
      <c r="C3451" s="4" t="s">
        <v>278</v>
      </c>
      <c r="D3451" s="94">
        <v>937.0</v>
      </c>
    </row>
    <row r="3452">
      <c r="A3452" s="40">
        <f t="array" ref="A3452">IFNA(index(PlayerValues!A:A,match(IFNA(vlookup(B3452,'Special Names'!A:B,2,FALSE),B3452),PlayerValues!E:E,0)),"N/A")</f>
        <v>14864</v>
      </c>
      <c r="B3452" s="4" t="s">
        <v>789</v>
      </c>
      <c r="C3452" s="4" t="s">
        <v>287</v>
      </c>
      <c r="D3452" s="94">
        <v>932.0</v>
      </c>
    </row>
    <row r="3453">
      <c r="A3453" s="40">
        <f t="array" ref="A3453">IFNA(index(PlayerValues!A:A,match(IFNA(vlookup(B3453,'Special Names'!A:B,2,FALSE),B3453),PlayerValues!E:E,0)),"N/A")</f>
        <v>14057</v>
      </c>
      <c r="B3453" s="4" t="s">
        <v>765</v>
      </c>
      <c r="C3453" s="4" t="s">
        <v>283</v>
      </c>
      <c r="D3453" s="94">
        <v>929.0</v>
      </c>
    </row>
    <row r="3454">
      <c r="A3454" s="40">
        <f t="array" ref="A3454">IFNA(index(PlayerValues!A:A,match(IFNA(vlookup(B3454,'Special Names'!A:B,2,FALSE),B3454),PlayerValues!E:E,0)),"N/A")</f>
        <v>13595</v>
      </c>
      <c r="B3454" s="4" t="s">
        <v>818</v>
      </c>
      <c r="C3454" s="4" t="s">
        <v>283</v>
      </c>
      <c r="D3454" s="94">
        <v>929.0</v>
      </c>
    </row>
    <row r="3455">
      <c r="A3455" s="40">
        <f t="array" ref="A3455">IFNA(index(PlayerValues!A:A,match(IFNA(vlookup(B3455,'Special Names'!A:B,2,FALSE),B3455),PlayerValues!E:E,0)),"N/A")</f>
        <v>15109</v>
      </c>
      <c r="B3455" s="4" t="s">
        <v>728</v>
      </c>
      <c r="C3455" s="4" t="s">
        <v>287</v>
      </c>
      <c r="D3455" s="94">
        <v>927.0</v>
      </c>
    </row>
    <row r="3456">
      <c r="A3456" s="40">
        <f t="array" ref="A3456">IFNA(index(PlayerValues!A:A,match(IFNA(vlookup(B3456,'Special Names'!A:B,2,FALSE),B3456),PlayerValues!E:E,0)),"N/A")</f>
        <v>12785</v>
      </c>
      <c r="B3456" s="4" t="s">
        <v>772</v>
      </c>
      <c r="C3456" s="4" t="s">
        <v>287</v>
      </c>
      <c r="D3456" s="94">
        <v>924.0</v>
      </c>
    </row>
    <row r="3457">
      <c r="A3457" s="40">
        <f t="array" ref="A3457">IFNA(index(PlayerValues!A:A,match(IFNA(vlookup(B3457,'Special Names'!A:B,2,FALSE),B3457),PlayerValues!E:E,0)),"N/A")</f>
        <v>16624</v>
      </c>
      <c r="B3457" s="4" t="s">
        <v>796</v>
      </c>
      <c r="C3457" s="4" t="s">
        <v>287</v>
      </c>
      <c r="D3457" s="94">
        <v>922.0</v>
      </c>
    </row>
    <row r="3458">
      <c r="A3458" s="40">
        <f t="array" ref="A3458">IFNA(index(PlayerValues!A:A,match(IFNA(vlookup(B3458,'Special Names'!A:B,2,FALSE),B3458),PlayerValues!E:E,0)),"N/A")</f>
        <v>14079</v>
      </c>
      <c r="B3458" s="4" t="s">
        <v>830</v>
      </c>
      <c r="C3458" s="4" t="s">
        <v>278</v>
      </c>
      <c r="D3458" s="94">
        <v>919.0</v>
      </c>
    </row>
    <row r="3459">
      <c r="A3459" s="40">
        <f t="array" ref="A3459">IFNA(index(PlayerValues!A:A,match(IFNA(vlookup(B3459,'Special Names'!A:B,2,FALSE),B3459),PlayerValues!E:E,0)),"N/A")</f>
        <v>11247</v>
      </c>
      <c r="B3459" s="4" t="s">
        <v>816</v>
      </c>
      <c r="C3459" s="4" t="s">
        <v>298</v>
      </c>
      <c r="D3459" s="94">
        <v>1280.0</v>
      </c>
    </row>
    <row r="3460">
      <c r="A3460" s="40">
        <f t="array" ref="A3460">IFNA(index(PlayerValues!A:A,match(IFNA(vlookup(B3460,'Special Names'!A:B,2,FALSE),B3460),PlayerValues!E:E,0)),"N/A")</f>
        <v>16176</v>
      </c>
      <c r="B3460" s="4" t="s">
        <v>812</v>
      </c>
      <c r="C3460" s="4" t="s">
        <v>278</v>
      </c>
      <c r="D3460" s="94">
        <v>907.0</v>
      </c>
    </row>
    <row r="3461">
      <c r="A3461" s="40">
        <f t="array" ref="A3461">IFNA(index(PlayerValues!A:A,match(IFNA(vlookup(B3461,'Special Names'!A:B,2,FALSE),B3461),PlayerValues!E:E,0)),"N/A")</f>
        <v>17488</v>
      </c>
      <c r="B3461" s="4" t="s">
        <v>845</v>
      </c>
      <c r="C3461" s="4" t="s">
        <v>278</v>
      </c>
      <c r="D3461" s="94">
        <v>907.0</v>
      </c>
    </row>
    <row r="3462">
      <c r="A3462" s="40">
        <f t="array" ref="A3462">IFNA(index(PlayerValues!A:A,match(IFNA(vlookup(B3462,'Special Names'!A:B,2,FALSE),B3462),PlayerValues!E:E,0)),"N/A")</f>
        <v>15723</v>
      </c>
      <c r="B3462" s="4" t="s">
        <v>798</v>
      </c>
      <c r="C3462" s="4" t="s">
        <v>278</v>
      </c>
      <c r="D3462" s="94">
        <v>904.0</v>
      </c>
    </row>
    <row r="3463">
      <c r="A3463" s="40">
        <f t="array" ref="A3463">IFNA(index(PlayerValues!A:A,match(IFNA(vlookup(B3463,'Special Names'!A:B,2,FALSE),B3463),PlayerValues!E:E,0)),"N/A")</f>
        <v>16773</v>
      </c>
      <c r="B3463" s="4" t="s">
        <v>783</v>
      </c>
      <c r="C3463" s="4" t="s">
        <v>278</v>
      </c>
      <c r="D3463" s="94">
        <v>900.0</v>
      </c>
    </row>
    <row r="3464">
      <c r="A3464" s="40">
        <f t="array" ref="A3464">IFNA(index(PlayerValues!A:A,match(IFNA(vlookup(B3464,'Special Names'!A:B,2,FALSE),B3464),PlayerValues!E:E,0)),"N/A")</f>
        <v>13763</v>
      </c>
      <c r="B3464" s="4" t="s">
        <v>831</v>
      </c>
      <c r="C3464" s="4" t="s">
        <v>298</v>
      </c>
      <c r="D3464" s="94">
        <v>1270.0</v>
      </c>
    </row>
    <row r="3465">
      <c r="A3465" s="40">
        <f t="array" ref="A3465">IFNA(index(PlayerValues!A:A,match(IFNA(vlookup(B3465,'Special Names'!A:B,2,FALSE),B3465),PlayerValues!E:E,0)),"N/A")</f>
        <v>16599</v>
      </c>
      <c r="B3465" s="4" t="s">
        <v>737</v>
      </c>
      <c r="C3465" s="4" t="s">
        <v>278</v>
      </c>
      <c r="D3465" s="94">
        <v>894.0</v>
      </c>
    </row>
    <row r="3466">
      <c r="A3466" s="40">
        <f t="array" ref="A3466">IFNA(index(PlayerValues!A:A,match(IFNA(vlookup(B3466,'Special Names'!A:B,2,FALSE),B3466),PlayerValues!E:E,0)),"N/A")</f>
        <v>11232</v>
      </c>
      <c r="B3466" s="4" t="s">
        <v>826</v>
      </c>
      <c r="C3466" s="4" t="s">
        <v>287</v>
      </c>
      <c r="D3466" s="94">
        <v>878.0</v>
      </c>
    </row>
    <row r="3467">
      <c r="A3467" s="40">
        <f t="array" ref="A3467">IFNA(index(PlayerValues!A:A,match(IFNA(vlookup(B3467,'Special Names'!A:B,2,FALSE),B3467),PlayerValues!E:E,0)),"N/A")</f>
        <v>16686</v>
      </c>
      <c r="B3467" s="4" t="s">
        <v>805</v>
      </c>
      <c r="C3467" s="4" t="s">
        <v>287</v>
      </c>
      <c r="D3467" s="94">
        <v>877.0</v>
      </c>
    </row>
    <row r="3468">
      <c r="A3468" s="40">
        <f t="array" ref="A3468">IFNA(index(PlayerValues!A:A,match(IFNA(vlookup(B3468,'Special Names'!A:B,2,FALSE),B3468),PlayerValues!E:E,0)),"N/A")</f>
        <v>14799</v>
      </c>
      <c r="B3468" s="4" t="s">
        <v>829</v>
      </c>
      <c r="C3468" s="4" t="s">
        <v>278</v>
      </c>
      <c r="D3468" s="94">
        <v>870.0</v>
      </c>
    </row>
    <row r="3469">
      <c r="A3469" s="40">
        <f t="array" ref="A3469">IFNA(index(PlayerValues!A:A,match(IFNA(vlookup(B3469,'Special Names'!A:B,2,FALSE),B3469),PlayerValues!E:E,0)),"N/A")</f>
        <v>15796</v>
      </c>
      <c r="B3469" s="4" t="s">
        <v>794</v>
      </c>
      <c r="C3469" s="4" t="s">
        <v>298</v>
      </c>
      <c r="D3469" s="94">
        <v>1242.0</v>
      </c>
    </row>
    <row r="3470">
      <c r="A3470" s="40">
        <f t="array" ref="A3470">IFNA(index(PlayerValues!A:A,match(IFNA(vlookup(B3470,'Special Names'!A:B,2,FALSE),B3470),PlayerValues!E:E,0)),"N/A")</f>
        <v>15263</v>
      </c>
      <c r="B3470" s="4" t="s">
        <v>804</v>
      </c>
      <c r="C3470" s="4" t="s">
        <v>278</v>
      </c>
      <c r="D3470" s="94">
        <v>869.0</v>
      </c>
    </row>
    <row r="3471">
      <c r="A3471" s="40">
        <f t="array" ref="A3471">IFNA(index(PlayerValues!A:A,match(IFNA(vlookup(B3471,'Special Names'!A:B,2,FALSE),B3471),PlayerValues!E:E,0)),"N/A")</f>
        <v>16416</v>
      </c>
      <c r="B3471" s="4" t="s">
        <v>752</v>
      </c>
      <c r="C3471" s="4" t="s">
        <v>287</v>
      </c>
      <c r="D3471" s="94">
        <v>869.0</v>
      </c>
    </row>
    <row r="3472">
      <c r="A3472" s="40">
        <f t="array" ref="A3472">IFNA(index(PlayerValues!A:A,match(IFNA(vlookup(B3472,'Special Names'!A:B,2,FALSE),B3472),PlayerValues!E:E,0)),"N/A")</f>
        <v>13157</v>
      </c>
      <c r="B3472" s="4" t="s">
        <v>836</v>
      </c>
      <c r="C3472" s="4" t="s">
        <v>287</v>
      </c>
      <c r="D3472" s="94">
        <v>868.0</v>
      </c>
    </row>
    <row r="3473">
      <c r="A3473" s="40">
        <f t="array" ref="A3473">IFNA(index(PlayerValues!A:A,match(IFNA(vlookup(B3473,'Special Names'!A:B,2,FALSE),B3473),PlayerValues!E:E,0)),"N/A")</f>
        <v>16608</v>
      </c>
      <c r="B3473" s="4" t="s">
        <v>629</v>
      </c>
      <c r="C3473" s="4" t="s">
        <v>278</v>
      </c>
      <c r="D3473" s="94">
        <v>860.0</v>
      </c>
    </row>
    <row r="3474">
      <c r="A3474" s="40">
        <f t="array" ref="A3474">IFNA(index(PlayerValues!A:A,match(IFNA(vlookup(B3474,'Special Names'!A:B,2,FALSE),B3474),PlayerValues!E:E,0)),"N/A")</f>
        <v>16751</v>
      </c>
      <c r="B3474" s="4" t="s">
        <v>762</v>
      </c>
      <c r="C3474" s="4" t="s">
        <v>287</v>
      </c>
      <c r="D3474" s="94">
        <v>859.0</v>
      </c>
    </row>
    <row r="3475">
      <c r="A3475" s="40">
        <f t="array" ref="A3475">IFNA(index(PlayerValues!A:A,match(IFNA(vlookup(B3475,'Special Names'!A:B,2,FALSE),B3475),PlayerValues!E:E,0)),"N/A")</f>
        <v>15714</v>
      </c>
      <c r="B3475" s="4" t="s">
        <v>775</v>
      </c>
      <c r="C3475" s="4" t="s">
        <v>278</v>
      </c>
      <c r="D3475" s="94">
        <v>855.0</v>
      </c>
    </row>
    <row r="3476">
      <c r="A3476" s="40">
        <f t="array" ref="A3476">IFNA(index(PlayerValues!A:A,match(IFNA(vlookup(B3476,'Special Names'!A:B,2,FALSE),B3476),PlayerValues!E:E,0)),"N/A")</f>
        <v>15804</v>
      </c>
      <c r="B3476" s="4" t="s">
        <v>821</v>
      </c>
      <c r="C3476" s="4" t="s">
        <v>298</v>
      </c>
      <c r="D3476" s="94">
        <v>1226.0</v>
      </c>
    </row>
    <row r="3477">
      <c r="A3477" s="40">
        <f t="array" ref="A3477">IFNA(index(PlayerValues!A:A,match(IFNA(vlookup(B3477,'Special Names'!A:B,2,FALSE),B3477),PlayerValues!E:E,0)),"N/A")</f>
        <v>16623</v>
      </c>
      <c r="B3477" s="4" t="s">
        <v>803</v>
      </c>
      <c r="C3477" s="4" t="s">
        <v>287</v>
      </c>
      <c r="D3477" s="94">
        <v>847.0</v>
      </c>
    </row>
    <row r="3478">
      <c r="A3478" s="40">
        <f t="array" ref="A3478">IFNA(index(PlayerValues!A:A,match(IFNA(vlookup(B3478,'Special Names'!A:B,2,FALSE),B3478),PlayerValues!E:E,0)),"N/A")</f>
        <v>13172</v>
      </c>
      <c r="B3478" s="4" t="s">
        <v>840</v>
      </c>
      <c r="C3478" s="4" t="s">
        <v>287</v>
      </c>
      <c r="D3478" s="94">
        <v>845.0</v>
      </c>
    </row>
    <row r="3479">
      <c r="A3479" s="40">
        <f t="array" ref="A3479">IFNA(index(PlayerValues!A:A,match(IFNA(vlookup(B3479,'Special Names'!A:B,2,FALSE),B3479),PlayerValues!E:E,0)),"N/A")</f>
        <v>15795</v>
      </c>
      <c r="B3479" s="4" t="s">
        <v>669</v>
      </c>
      <c r="C3479" s="4" t="s">
        <v>298</v>
      </c>
      <c r="D3479" s="94">
        <v>1209.0</v>
      </c>
    </row>
    <row r="3480">
      <c r="A3480" s="40">
        <f t="array" ref="A3480">IFNA(index(PlayerValues!A:A,match(IFNA(vlookup(B3480,'Special Names'!A:B,2,FALSE),B3480),PlayerValues!E:E,0)),"N/A")</f>
        <v>16625</v>
      </c>
      <c r="B3480" s="4" t="s">
        <v>778</v>
      </c>
      <c r="C3480" s="4" t="s">
        <v>287</v>
      </c>
      <c r="D3480" s="94">
        <v>830.0</v>
      </c>
    </row>
    <row r="3481">
      <c r="A3481" s="40">
        <f t="array" ref="A3481">IFNA(index(PlayerValues!A:A,match(IFNA(vlookup(B3481,'Special Names'!A:B,2,FALSE),B3481),PlayerValues!E:E,0)),"N/A")</f>
        <v>14209</v>
      </c>
      <c r="B3481" s="4" t="s">
        <v>809</v>
      </c>
      <c r="C3481" s="4" t="s">
        <v>298</v>
      </c>
      <c r="D3481" s="94">
        <v>1198.0</v>
      </c>
    </row>
    <row r="3482">
      <c r="A3482" s="40">
        <f t="array" ref="A3482">IFNA(index(PlayerValues!A:A,match(IFNA(vlookup(B3482,'Special Names'!A:B,2,FALSE),B3482),PlayerValues!E:E,0)),"N/A")</f>
        <v>15271</v>
      </c>
      <c r="B3482" s="4" t="s">
        <v>741</v>
      </c>
      <c r="C3482" s="4" t="s">
        <v>278</v>
      </c>
      <c r="D3482" s="94">
        <v>810.0</v>
      </c>
    </row>
    <row r="3483">
      <c r="A3483" s="40">
        <f t="array" ref="A3483">IFNA(index(PlayerValues!A:A,match(IFNA(vlookup(B3483,'Special Names'!A:B,2,FALSE),B3483),PlayerValues!E:E,0)),"N/A")</f>
        <v>10413</v>
      </c>
      <c r="B3483" s="4" t="s">
        <v>811</v>
      </c>
      <c r="C3483" s="4" t="s">
        <v>283</v>
      </c>
      <c r="D3483" s="94">
        <v>808.0</v>
      </c>
    </row>
    <row r="3484">
      <c r="A3484" s="40">
        <f t="array" ref="A3484">IFNA(index(PlayerValues!A:A,match(IFNA(vlookup(B3484,'Special Names'!A:B,2,FALSE),B3484),PlayerValues!E:E,0)),"N/A")</f>
        <v>12658</v>
      </c>
      <c r="B3484" s="4" t="s">
        <v>823</v>
      </c>
      <c r="C3484" s="4" t="s">
        <v>287</v>
      </c>
      <c r="D3484" s="94">
        <v>807.0</v>
      </c>
    </row>
    <row r="3485">
      <c r="A3485" s="40">
        <f t="array" ref="A3485">IFNA(index(PlayerValues!A:A,match(IFNA(vlookup(B3485,'Special Names'!A:B,2,FALSE),B3485),PlayerValues!E:E,0)),"N/A")</f>
        <v>16606</v>
      </c>
      <c r="B3485" s="4" t="s">
        <v>743</v>
      </c>
      <c r="C3485" s="4" t="s">
        <v>278</v>
      </c>
      <c r="D3485" s="94">
        <v>800.0</v>
      </c>
    </row>
    <row r="3486">
      <c r="A3486" s="40">
        <f t="array" ref="A3486">IFNA(index(PlayerValues!A:A,match(IFNA(vlookup(B3486,'Special Names'!A:B,2,FALSE),B3486),PlayerValues!E:E,0)),"N/A")</f>
        <v>13176</v>
      </c>
      <c r="B3486" s="4" t="s">
        <v>807</v>
      </c>
      <c r="C3486" s="4" t="s">
        <v>287</v>
      </c>
      <c r="D3486" s="94">
        <v>796.0</v>
      </c>
    </row>
    <row r="3487">
      <c r="A3487" s="40">
        <f t="array" ref="A3487">IFNA(index(PlayerValues!A:A,match(IFNA(vlookup(B3487,'Special Names'!A:B,2,FALSE),B3487),PlayerValues!E:E,0)),"N/A")</f>
        <v>14358</v>
      </c>
      <c r="B3487" s="4" t="s">
        <v>813</v>
      </c>
      <c r="C3487" s="4" t="s">
        <v>283</v>
      </c>
      <c r="D3487" s="94">
        <v>784.0</v>
      </c>
    </row>
    <row r="3488">
      <c r="A3488" s="40">
        <f t="array" ref="A3488">IFNA(index(PlayerValues!A:A,match(IFNA(vlookup(B3488,'Special Names'!A:B,2,FALSE),B3488),PlayerValues!E:E,0)),"N/A")</f>
        <v>15285</v>
      </c>
      <c r="B3488" s="4" t="s">
        <v>792</v>
      </c>
      <c r="C3488" s="4" t="s">
        <v>287</v>
      </c>
      <c r="D3488" s="94">
        <v>784.0</v>
      </c>
    </row>
    <row r="3489">
      <c r="A3489" s="40">
        <f t="array" ref="A3489">IFNA(index(PlayerValues!A:A,match(IFNA(vlookup(B3489,'Special Names'!A:B,2,FALSE),B3489),PlayerValues!E:E,0)),"N/A")</f>
        <v>16413</v>
      </c>
      <c r="B3489" s="4" t="s">
        <v>781</v>
      </c>
      <c r="C3489" s="4" t="s">
        <v>287</v>
      </c>
      <c r="D3489" s="94">
        <v>783.0</v>
      </c>
    </row>
    <row r="3490">
      <c r="A3490" s="40">
        <f t="array" ref="A3490">IFNA(index(PlayerValues!A:A,match(IFNA(vlookup(B3490,'Special Names'!A:B,2,FALSE),B3490),PlayerValues!E:E,0)),"N/A")</f>
        <v>17282</v>
      </c>
      <c r="B3490" s="4" t="s">
        <v>833</v>
      </c>
      <c r="C3490" s="4" t="s">
        <v>283</v>
      </c>
      <c r="D3490" s="94">
        <v>778.0</v>
      </c>
    </row>
    <row r="3491">
      <c r="A3491" s="40">
        <f t="array" ref="A3491">IFNA(index(PlayerValues!A:A,match(IFNA(vlookup(B3491,'Special Names'!A:B,2,FALSE),B3491),PlayerValues!E:E,0)),"N/A")</f>
        <v>16632</v>
      </c>
      <c r="B3491" s="4" t="s">
        <v>842</v>
      </c>
      <c r="C3491" s="4" t="s">
        <v>287</v>
      </c>
      <c r="D3491" s="94">
        <v>771.0</v>
      </c>
    </row>
    <row r="3492">
      <c r="A3492" s="40">
        <f t="array" ref="A3492">IFNA(index(PlayerValues!A:A,match(IFNA(vlookup(B3492,'Special Names'!A:B,2,FALSE),B3492),PlayerValues!E:E,0)),"N/A")</f>
        <v>14805</v>
      </c>
      <c r="B3492" s="4" t="s">
        <v>770</v>
      </c>
      <c r="C3492" s="4" t="s">
        <v>278</v>
      </c>
      <c r="D3492" s="94">
        <v>770.0</v>
      </c>
    </row>
    <row r="3493">
      <c r="A3493" s="40">
        <f t="array" ref="A3493">IFNA(index(PlayerValues!A:A,match(IFNA(vlookup(B3493,'Special Names'!A:B,2,FALSE),B3493),PlayerValues!E:E,0)),"N/A")</f>
        <v>15965</v>
      </c>
      <c r="B3493" s="4" t="s">
        <v>791</v>
      </c>
      <c r="C3493" s="4" t="s">
        <v>278</v>
      </c>
      <c r="D3493" s="94">
        <v>770.0</v>
      </c>
    </row>
    <row r="3494">
      <c r="A3494" s="40">
        <f t="array" ref="A3494">IFNA(index(PlayerValues!A:A,match(IFNA(vlookup(B3494,'Special Names'!A:B,2,FALSE),B3494),PlayerValues!E:E,0)),"N/A")</f>
        <v>16678</v>
      </c>
      <c r="B3494" s="4" t="s">
        <v>758</v>
      </c>
      <c r="C3494" s="4" t="s">
        <v>278</v>
      </c>
      <c r="D3494" s="94">
        <v>758.0</v>
      </c>
    </row>
    <row r="3495">
      <c r="A3495" s="40">
        <f t="array" ref="A3495">IFNA(index(PlayerValues!A:A,match(IFNA(vlookup(B3495,'Special Names'!A:B,2,FALSE),B3495),PlayerValues!E:E,0)),"N/A")</f>
        <v>13424</v>
      </c>
      <c r="B3495" s="4" t="s">
        <v>846</v>
      </c>
      <c r="C3495" s="4" t="s">
        <v>298</v>
      </c>
      <c r="D3495" s="94">
        <v>1116.0</v>
      </c>
    </row>
    <row r="3496">
      <c r="A3496" s="40">
        <f t="array" ref="A3496">IFNA(index(PlayerValues!A:A,match(IFNA(vlookup(B3496,'Special Names'!A:B,2,FALSE),B3496),PlayerValues!E:E,0)),"N/A")</f>
        <v>14223</v>
      </c>
      <c r="B3496" s="4" t="s">
        <v>785</v>
      </c>
      <c r="C3496" s="4" t="s">
        <v>278</v>
      </c>
      <c r="D3496" s="94">
        <v>744.0</v>
      </c>
    </row>
    <row r="3497">
      <c r="A3497" s="40">
        <f t="array" ref="A3497">IFNA(index(PlayerValues!A:A,match(IFNA(vlookup(B3497,'Special Names'!A:B,2,FALSE),B3497),PlayerValues!E:E,0)),"N/A")</f>
        <v>13675</v>
      </c>
      <c r="B3497" s="4" t="s">
        <v>839</v>
      </c>
      <c r="C3497" s="4" t="s">
        <v>298</v>
      </c>
      <c r="D3497" s="94">
        <v>1111.0</v>
      </c>
    </row>
    <row r="3498">
      <c r="A3498" s="40">
        <f t="array" ref="A3498">IFNA(index(PlayerValues!A:A,match(IFNA(vlookup(B3498,'Special Names'!A:B,2,FALSE),B3498),PlayerValues!E:E,0)),"N/A")</f>
        <v>17232</v>
      </c>
      <c r="B3498" s="4" t="s">
        <v>784</v>
      </c>
      <c r="C3498" s="4" t="s">
        <v>287</v>
      </c>
      <c r="D3498" s="94">
        <v>735.0</v>
      </c>
    </row>
    <row r="3499">
      <c r="A3499" s="40">
        <f t="array" ref="A3499">IFNA(index(PlayerValues!A:A,match(IFNA(vlookup(B3499,'Special Names'!A:B,2,FALSE),B3499),PlayerValues!E:E,0)),"N/A")</f>
        <v>13377</v>
      </c>
      <c r="B3499" s="4" t="s">
        <v>847</v>
      </c>
      <c r="C3499" s="4" t="s">
        <v>287</v>
      </c>
      <c r="D3499" s="94">
        <v>728.0</v>
      </c>
    </row>
    <row r="3500">
      <c r="A3500" s="40">
        <f t="array" ref="A3500">IFNA(index(PlayerValues!A:A,match(IFNA(vlookup(B3500,'Special Names'!A:B,2,FALSE),B3500),PlayerValues!E:E,0)),"N/A")</f>
        <v>16170</v>
      </c>
      <c r="B3500" s="4" t="s">
        <v>801</v>
      </c>
      <c r="C3500" s="4" t="s">
        <v>278</v>
      </c>
      <c r="D3500" s="94">
        <v>725.0</v>
      </c>
    </row>
    <row r="3501">
      <c r="A3501" s="40">
        <f t="array" ref="A3501">IFNA(index(PlayerValues!A:A,match(IFNA(vlookup(B3501,'Special Names'!A:B,2,FALSE),B3501),PlayerValues!E:E,0)),"N/A")</f>
        <v>13589</v>
      </c>
      <c r="B3501" s="4" t="s">
        <v>282</v>
      </c>
      <c r="C3501" s="4" t="s">
        <v>283</v>
      </c>
      <c r="D3501" s="94">
        <v>9997.0</v>
      </c>
    </row>
    <row r="3502">
      <c r="A3502" s="40">
        <f t="array" ref="A3502">IFNA(index(PlayerValues!A:A,match(IFNA(vlookup(B3502,'Special Names'!A:B,2,FALSE),B3502),PlayerValues!E:E,0)),"N/A")</f>
        <v>16161</v>
      </c>
      <c r="B3502" s="4" t="s">
        <v>277</v>
      </c>
      <c r="C3502" s="4" t="s">
        <v>278</v>
      </c>
      <c r="D3502" s="94">
        <v>9986.0</v>
      </c>
    </row>
    <row r="3503">
      <c r="A3503" s="40">
        <f t="array" ref="A3503">IFNA(index(PlayerValues!A:A,match(IFNA(vlookup(B3503,'Special Names'!A:B,2,FALSE),B3503),PlayerValues!E:E,0)),"N/A")</f>
        <v>16185</v>
      </c>
      <c r="B3503" s="4" t="s">
        <v>290</v>
      </c>
      <c r="C3503" s="4" t="s">
        <v>287</v>
      </c>
      <c r="D3503" s="94">
        <v>9963.0</v>
      </c>
    </row>
    <row r="3504">
      <c r="A3504" s="40">
        <f t="array" ref="A3504">IFNA(index(PlayerValues!A:A,match(IFNA(vlookup(B3504,'Special Names'!A:B,2,FALSE),B3504),PlayerValues!E:E,0)),"N/A")</f>
        <v>15281</v>
      </c>
      <c r="B3504" s="4" t="s">
        <v>286</v>
      </c>
      <c r="C3504" s="4" t="s">
        <v>287</v>
      </c>
      <c r="D3504" s="94">
        <v>9821.0</v>
      </c>
    </row>
    <row r="3505">
      <c r="A3505" s="40">
        <f t="array" ref="A3505">IFNA(index(PlayerValues!A:A,match(IFNA(vlookup(B3505,'Special Names'!A:B,2,FALSE),B3505),PlayerValues!E:E,0)),"N/A")</f>
        <v>16580</v>
      </c>
      <c r="B3505" s="4" t="s">
        <v>291</v>
      </c>
      <c r="C3505" s="4" t="s">
        <v>283</v>
      </c>
      <c r="D3505" s="94">
        <v>9714.0</v>
      </c>
    </row>
    <row r="3506">
      <c r="A3506" s="40">
        <f t="array" ref="A3506">IFNA(index(PlayerValues!A:A,match(IFNA(vlookup(B3506,'Special Names'!A:B,2,FALSE),B3506),PlayerValues!E:E,0)),"N/A")</f>
        <v>16211</v>
      </c>
      <c r="B3506" s="4" t="s">
        <v>294</v>
      </c>
      <c r="C3506" s="4" t="s">
        <v>287</v>
      </c>
      <c r="D3506" s="94">
        <v>9553.0</v>
      </c>
    </row>
    <row r="3507">
      <c r="A3507" s="40">
        <f t="array" ref="A3507">IFNA(index(PlayerValues!A:A,match(IFNA(vlookup(B3507,'Special Names'!A:B,2,FALSE),B3507),PlayerValues!E:E,0)),"N/A")</f>
        <v>16162</v>
      </c>
      <c r="B3507" s="4" t="s">
        <v>281</v>
      </c>
      <c r="C3507" s="4" t="s">
        <v>278</v>
      </c>
      <c r="D3507" s="94">
        <v>9419.0</v>
      </c>
    </row>
    <row r="3508">
      <c r="A3508" s="40">
        <f t="array" ref="A3508">IFNA(index(PlayerValues!A:A,match(IFNA(vlookup(B3508,'Special Names'!A:B,2,FALSE),B3508),PlayerValues!E:E,0)),"N/A")</f>
        <v>16615</v>
      </c>
      <c r="B3508" s="4" t="s">
        <v>309</v>
      </c>
      <c r="C3508" s="4" t="s">
        <v>287</v>
      </c>
      <c r="D3508" s="94">
        <v>7738.0</v>
      </c>
    </row>
    <row r="3509">
      <c r="A3509" s="40">
        <f t="array" ref="A3509">IFNA(index(PlayerValues!A:A,match(IFNA(vlookup(B3509,'Special Names'!A:B,2,FALSE),B3509),PlayerValues!E:E,0)),"N/A")</f>
        <v>15794</v>
      </c>
      <c r="B3509" s="4" t="s">
        <v>313</v>
      </c>
      <c r="C3509" s="4" t="s">
        <v>298</v>
      </c>
      <c r="D3509" s="94">
        <v>8530.0</v>
      </c>
    </row>
    <row r="3510">
      <c r="A3510" s="40">
        <f t="array" ref="A3510">IFNA(index(PlayerValues!A:A,match(IFNA(vlookup(B3510,'Special Names'!A:B,2,FALSE),B3510),PlayerValues!E:E,0)),"N/A")</f>
        <v>15287</v>
      </c>
      <c r="B3510" s="4" t="s">
        <v>299</v>
      </c>
      <c r="C3510" s="4" t="s">
        <v>287</v>
      </c>
      <c r="D3510" s="94">
        <v>7648.0</v>
      </c>
    </row>
    <row r="3511">
      <c r="A3511" s="40">
        <f t="array" ref="A3511">IFNA(index(PlayerValues!A:A,match(IFNA(vlookup(B3511,'Special Names'!A:B,2,FALSE),B3511),PlayerValues!E:E,0)),"N/A")</f>
        <v>16641</v>
      </c>
      <c r="B3511" s="4" t="s">
        <v>297</v>
      </c>
      <c r="C3511" s="4" t="s">
        <v>298</v>
      </c>
      <c r="D3511" s="94">
        <v>8425.0</v>
      </c>
    </row>
    <row r="3512">
      <c r="A3512" s="40">
        <f t="array" ref="A3512">IFNA(index(PlayerValues!A:A,match(IFNA(vlookup(B3512,'Special Names'!A:B,2,FALSE),B3512),PlayerValues!E:E,0)),"N/A")</f>
        <v>16581</v>
      </c>
      <c r="B3512" s="4" t="s">
        <v>315</v>
      </c>
      <c r="C3512" s="4" t="s">
        <v>283</v>
      </c>
      <c r="D3512" s="94">
        <v>7607.0</v>
      </c>
    </row>
    <row r="3513">
      <c r="A3513" s="40">
        <f t="array" ref="A3513">IFNA(index(PlayerValues!A:A,match(IFNA(vlookup(B3513,'Special Names'!A:B,2,FALSE),B3513),PlayerValues!E:E,0)),"N/A")</f>
        <v>16579</v>
      </c>
      <c r="B3513" s="4" t="s">
        <v>302</v>
      </c>
      <c r="C3513" s="4" t="s">
        <v>283</v>
      </c>
      <c r="D3513" s="94">
        <v>7599.0</v>
      </c>
    </row>
    <row r="3514">
      <c r="A3514" s="40">
        <f t="array" ref="A3514">IFNA(index(PlayerValues!A:A,match(IFNA(vlookup(B3514,'Special Names'!A:B,2,FALSE),B3514),PlayerValues!E:E,0)),"N/A")</f>
        <v>13593</v>
      </c>
      <c r="B3514" s="4" t="s">
        <v>305</v>
      </c>
      <c r="C3514" s="4" t="s">
        <v>283</v>
      </c>
      <c r="D3514" s="94">
        <v>7516.0</v>
      </c>
    </row>
    <row r="3515">
      <c r="A3515" s="40">
        <f t="array" ref="A3515">IFNA(index(PlayerValues!A:A,match(IFNA(vlookup(B3515,'Special Names'!A:B,2,FALSE),B3515),PlayerValues!E:E,0)),"N/A")</f>
        <v>14836</v>
      </c>
      <c r="B3515" s="4" t="s">
        <v>306</v>
      </c>
      <c r="C3515" s="4" t="s">
        <v>287</v>
      </c>
      <c r="D3515" s="94">
        <v>7410.0</v>
      </c>
    </row>
    <row r="3516">
      <c r="A3516" s="40">
        <f t="array" ref="A3516">IFNA(index(PlayerValues!A:A,match(IFNA(vlookup(B3516,'Special Names'!A:B,2,FALSE),B3516),PlayerValues!E:E,0)),"N/A")</f>
        <v>14832</v>
      </c>
      <c r="B3516" s="4" t="s">
        <v>319</v>
      </c>
      <c r="C3516" s="4" t="s">
        <v>287</v>
      </c>
      <c r="D3516" s="94">
        <v>7349.0</v>
      </c>
    </row>
    <row r="3517">
      <c r="A3517" s="40">
        <f t="array" ref="A3517">IFNA(index(PlayerValues!A:A,match(IFNA(vlookup(B3517,'Special Names'!A:B,2,FALSE),B3517),PlayerValues!E:E,0)),"N/A")</f>
        <v>14777</v>
      </c>
      <c r="B3517" s="4" t="s">
        <v>318</v>
      </c>
      <c r="C3517" s="4" t="s">
        <v>283</v>
      </c>
      <c r="D3517" s="94">
        <v>7238.0</v>
      </c>
    </row>
    <row r="3518">
      <c r="A3518" s="40">
        <f t="array" ref="A3518">IFNA(index(PlayerValues!A:A,match(IFNA(vlookup(B3518,'Special Names'!A:B,2,FALSE),B3518),PlayerValues!E:E,0)),"N/A")</f>
        <v>17042</v>
      </c>
      <c r="B3518" s="4" t="s">
        <v>314</v>
      </c>
      <c r="C3518" s="4" t="s">
        <v>278</v>
      </c>
      <c r="D3518" s="94">
        <v>7198.0</v>
      </c>
    </row>
    <row r="3519">
      <c r="A3519" s="40">
        <f t="array" ref="A3519">IFNA(index(PlayerValues!A:A,match(IFNA(vlookup(B3519,'Special Names'!A:B,2,FALSE),B3519),PlayerValues!E:E,0)),"N/A")</f>
        <v>16167</v>
      </c>
      <c r="B3519" s="4" t="s">
        <v>323</v>
      </c>
      <c r="C3519" s="4" t="s">
        <v>278</v>
      </c>
      <c r="D3519" s="94">
        <v>7103.0</v>
      </c>
    </row>
    <row r="3520">
      <c r="A3520" s="40">
        <f t="array" ref="A3520">IFNA(index(PlayerValues!A:A,match(IFNA(vlookup(B3520,'Special Names'!A:B,2,FALSE),B3520),PlayerValues!E:E,0)),"N/A")</f>
        <v>15751</v>
      </c>
      <c r="B3520" s="4" t="s">
        <v>328</v>
      </c>
      <c r="C3520" s="4" t="s">
        <v>287</v>
      </c>
      <c r="D3520" s="94">
        <v>7006.0</v>
      </c>
    </row>
    <row r="3521">
      <c r="A3521" s="40">
        <f t="array" ref="A3521">IFNA(index(PlayerValues!A:A,match(IFNA(vlookup(B3521,'Special Names'!A:B,2,FALSE),B3521),PlayerValues!E:E,0)),"N/A")</f>
        <v>14779</v>
      </c>
      <c r="B3521" s="4" t="s">
        <v>327</v>
      </c>
      <c r="C3521" s="4" t="s">
        <v>283</v>
      </c>
      <c r="D3521" s="94">
        <v>6843.0</v>
      </c>
    </row>
    <row r="3522">
      <c r="A3522" s="40">
        <f t="array" ref="A3522">IFNA(index(PlayerValues!A:A,match(IFNA(vlookup(B3522,'Special Names'!A:B,2,FALSE),B3522),PlayerValues!E:E,0)),"N/A")</f>
        <v>17472</v>
      </c>
      <c r="B3522" s="4" t="s">
        <v>310</v>
      </c>
      <c r="C3522" s="4" t="s">
        <v>278</v>
      </c>
      <c r="D3522" s="94">
        <v>6748.0</v>
      </c>
    </row>
    <row r="3523">
      <c r="A3523" s="40" t="str">
        <f t="array" ref="A3523">IFNA(index(PlayerValues!A:A,match(IFNA(vlookup(B3523,'Special Names'!A:B,2,FALSE),B3523),PlayerValues!E:E,0)),"N/A")</f>
        <v>N/A</v>
      </c>
      <c r="B3523" s="4" t="s">
        <v>92</v>
      </c>
      <c r="C3523" s="4" t="s">
        <v>325</v>
      </c>
      <c r="D3523" s="94">
        <v>6634.0</v>
      </c>
    </row>
    <row r="3524">
      <c r="A3524" s="40">
        <f t="array" ref="A3524">IFNA(index(PlayerValues!A:A,match(IFNA(vlookup(B3524,'Special Names'!A:B,2,FALSE),B3524),PlayerValues!E:E,0)),"N/A")</f>
        <v>17044</v>
      </c>
      <c r="B3524" s="4" t="s">
        <v>322</v>
      </c>
      <c r="C3524" s="4" t="s">
        <v>278</v>
      </c>
      <c r="D3524" s="94">
        <v>6621.0</v>
      </c>
    </row>
    <row r="3525">
      <c r="A3525" s="40">
        <f t="array" ref="A3525">IFNA(index(PlayerValues!A:A,match(IFNA(vlookup(B3525,'Special Names'!A:B,2,FALSE),B3525),PlayerValues!E:E,0)),"N/A")</f>
        <v>13116</v>
      </c>
      <c r="B3525" s="4" t="s">
        <v>345</v>
      </c>
      <c r="C3525" s="4" t="s">
        <v>283</v>
      </c>
      <c r="D3525" s="94">
        <v>6608.0</v>
      </c>
    </row>
    <row r="3526">
      <c r="A3526" s="40">
        <f t="array" ref="A3526">IFNA(index(PlayerValues!A:A,match(IFNA(vlookup(B3526,'Special Names'!A:B,2,FALSE),B3526),PlayerValues!E:E,0)),"N/A")</f>
        <v>17032</v>
      </c>
      <c r="B3526" s="4" t="s">
        <v>348</v>
      </c>
      <c r="C3526" s="4" t="s">
        <v>283</v>
      </c>
      <c r="D3526" s="94">
        <v>6600.0</v>
      </c>
    </row>
    <row r="3527">
      <c r="A3527" s="40">
        <f t="array" ref="A3527">IFNA(index(PlayerValues!A:A,match(IFNA(vlookup(B3527,'Special Names'!A:B,2,FALSE),B3527),PlayerValues!E:E,0)),"N/A")</f>
        <v>17071</v>
      </c>
      <c r="B3527" s="4" t="s">
        <v>341</v>
      </c>
      <c r="C3527" s="4" t="s">
        <v>287</v>
      </c>
      <c r="D3527" s="94">
        <v>6571.0</v>
      </c>
    </row>
    <row r="3528">
      <c r="A3528" s="40">
        <f t="array" ref="A3528">IFNA(index(PlayerValues!A:A,match(IFNA(vlookup(B3528,'Special Names'!A:B,2,FALSE),B3528),PlayerValues!E:E,0)),"N/A")</f>
        <v>14783</v>
      </c>
      <c r="B3528" s="4" t="s">
        <v>342</v>
      </c>
      <c r="C3528" s="4" t="s">
        <v>283</v>
      </c>
      <c r="D3528" s="94">
        <v>6396.0</v>
      </c>
    </row>
    <row r="3529">
      <c r="A3529" s="40">
        <f t="array" ref="A3529">IFNA(index(PlayerValues!A:A,match(IFNA(vlookup(B3529,'Special Names'!A:B,2,FALSE),B3529),PlayerValues!E:E,0)),"N/A")</f>
        <v>15237</v>
      </c>
      <c r="B3529" s="4" t="s">
        <v>336</v>
      </c>
      <c r="C3529" s="4" t="s">
        <v>283</v>
      </c>
      <c r="D3529" s="94">
        <v>6315.0</v>
      </c>
    </row>
    <row r="3530">
      <c r="A3530" s="40">
        <f t="array" ref="A3530">IFNA(index(PlayerValues!A:A,match(IFNA(vlookup(B3530,'Special Names'!A:B,2,FALSE),B3530),PlayerValues!E:E,0)),"N/A")</f>
        <v>16582</v>
      </c>
      <c r="B3530" s="4" t="s">
        <v>343</v>
      </c>
      <c r="C3530" s="4" t="s">
        <v>283</v>
      </c>
      <c r="D3530" s="94">
        <v>6197.0</v>
      </c>
    </row>
    <row r="3531">
      <c r="A3531" s="40">
        <f t="array" ref="A3531">IFNA(index(PlayerValues!A:A,match(IFNA(vlookup(B3531,'Special Names'!A:B,2,FALSE),B3531),PlayerValues!E:E,0)),"N/A")</f>
        <v>14802</v>
      </c>
      <c r="B3531" s="4" t="s">
        <v>332</v>
      </c>
      <c r="C3531" s="4" t="s">
        <v>278</v>
      </c>
      <c r="D3531" s="94">
        <v>6188.0</v>
      </c>
    </row>
    <row r="3532">
      <c r="A3532" s="40">
        <f t="array" ref="A3532">IFNA(index(PlayerValues!A:A,match(IFNA(vlookup(B3532,'Special Names'!A:B,2,FALSE),B3532),PlayerValues!E:E,0)),"N/A")</f>
        <v>15715</v>
      </c>
      <c r="B3532" s="4" t="s">
        <v>331</v>
      </c>
      <c r="C3532" s="4" t="s">
        <v>278</v>
      </c>
      <c r="D3532" s="94">
        <v>6165.0</v>
      </c>
    </row>
    <row r="3533">
      <c r="A3533" s="40">
        <f t="array" ref="A3533">IFNA(index(PlayerValues!A:A,match(IFNA(vlookup(B3533,'Special Names'!A:B,2,FALSE),B3533),PlayerValues!E:E,0)),"N/A")</f>
        <v>15762</v>
      </c>
      <c r="B3533" s="4" t="s">
        <v>337</v>
      </c>
      <c r="C3533" s="4" t="s">
        <v>287</v>
      </c>
      <c r="D3533" s="94">
        <v>6154.0</v>
      </c>
    </row>
    <row r="3534">
      <c r="A3534" s="40">
        <f t="array" ref="A3534">IFNA(index(PlayerValues!A:A,match(IFNA(vlookup(B3534,'Special Names'!A:B,2,FALSE),B3534),PlayerValues!E:E,0)),"N/A")</f>
        <v>15698</v>
      </c>
      <c r="B3534" s="4" t="s">
        <v>358</v>
      </c>
      <c r="C3534" s="4" t="s">
        <v>283</v>
      </c>
      <c r="D3534" s="94">
        <v>6098.0</v>
      </c>
    </row>
    <row r="3535">
      <c r="A3535" s="40" t="str">
        <f t="array" ref="A3535">IFNA(index(PlayerValues!A:A,match(IFNA(vlookup(B3535,'Special Names'!A:B,2,FALSE),B3535),PlayerValues!E:E,0)),"N/A")</f>
        <v>N/A</v>
      </c>
      <c r="B3535" s="4" t="s">
        <v>79</v>
      </c>
      <c r="C3535" s="4" t="s">
        <v>325</v>
      </c>
      <c r="D3535" s="94">
        <v>6044.0</v>
      </c>
    </row>
    <row r="3536">
      <c r="A3536" s="40">
        <f t="array" ref="A3536">IFNA(index(PlayerValues!A:A,match(IFNA(vlookup(B3536,'Special Names'!A:B,2,FALSE),B3536),PlayerValues!E:E,0)),"N/A")</f>
        <v>17081</v>
      </c>
      <c r="B3536" s="4" t="s">
        <v>340</v>
      </c>
      <c r="C3536" s="4" t="s">
        <v>287</v>
      </c>
      <c r="D3536" s="94">
        <v>6005.0</v>
      </c>
    </row>
    <row r="3537">
      <c r="A3537" s="40">
        <f t="array" ref="A3537">IFNA(index(PlayerValues!A:A,match(IFNA(vlookup(B3537,'Special Names'!A:B,2,FALSE),B3537),PlayerValues!E:E,0)),"N/A")</f>
        <v>15290</v>
      </c>
      <c r="B3537" s="4" t="s">
        <v>355</v>
      </c>
      <c r="C3537" s="4" t="s">
        <v>287</v>
      </c>
      <c r="D3537" s="94">
        <v>5983.0</v>
      </c>
    </row>
    <row r="3538">
      <c r="A3538" s="40">
        <f t="array" ref="A3538">IFNA(index(PlayerValues!A:A,match(IFNA(vlookup(B3538,'Special Names'!A:B,2,FALSE),B3538),PlayerValues!E:E,0)),"N/A")</f>
        <v>17043</v>
      </c>
      <c r="B3538" s="4" t="s">
        <v>397</v>
      </c>
      <c r="C3538" s="4" t="s">
        <v>278</v>
      </c>
      <c r="D3538" s="94">
        <v>5966.0</v>
      </c>
    </row>
    <row r="3539">
      <c r="A3539" s="40">
        <f t="array" ref="A3539">IFNA(index(PlayerValues!A:A,match(IFNA(vlookup(B3539,'Special Names'!A:B,2,FALSE),B3539),PlayerValues!E:E,0)),"N/A")</f>
        <v>17104</v>
      </c>
      <c r="B3539" s="4" t="s">
        <v>333</v>
      </c>
      <c r="C3539" s="4" t="s">
        <v>298</v>
      </c>
      <c r="D3539" s="94">
        <v>6491.0</v>
      </c>
    </row>
    <row r="3540">
      <c r="A3540" s="40">
        <f t="array" ref="A3540">IFNA(index(PlayerValues!A:A,match(IFNA(vlookup(B3540,'Special Names'!A:B,2,FALSE),B3540),PlayerValues!E:E,0)),"N/A")</f>
        <v>15753</v>
      </c>
      <c r="B3540" s="4" t="s">
        <v>359</v>
      </c>
      <c r="C3540" s="4" t="s">
        <v>287</v>
      </c>
      <c r="D3540" s="94">
        <v>5816.0</v>
      </c>
    </row>
    <row r="3541">
      <c r="A3541" s="40">
        <f t="array" ref="A3541">IFNA(index(PlayerValues!A:A,match(IFNA(vlookup(B3541,'Special Names'!A:B,2,FALSE),B3541),PlayerValues!E:E,0)),"N/A")</f>
        <v>15754</v>
      </c>
      <c r="B3541" s="4" t="s">
        <v>354</v>
      </c>
      <c r="C3541" s="4" t="s">
        <v>287</v>
      </c>
      <c r="D3541" s="94">
        <v>5808.0</v>
      </c>
    </row>
    <row r="3542">
      <c r="A3542" s="40">
        <f t="array" ref="A3542">IFNA(index(PlayerValues!A:A,match(IFNA(vlookup(B3542,'Special Names'!A:B,2,FALSE),B3542),PlayerValues!E:E,0)),"N/A")</f>
        <v>14782</v>
      </c>
      <c r="B3542" s="4" t="s">
        <v>385</v>
      </c>
      <c r="C3542" s="4" t="s">
        <v>283</v>
      </c>
      <c r="D3542" s="94">
        <v>5702.0</v>
      </c>
    </row>
    <row r="3543">
      <c r="A3543" s="40">
        <f t="array" ref="A3543">IFNA(index(PlayerValues!A:A,match(IFNA(vlookup(B3543,'Special Names'!A:B,2,FALSE),B3543),PlayerValues!E:E,0)),"N/A")</f>
        <v>17102</v>
      </c>
      <c r="B3543" s="4" t="s">
        <v>344</v>
      </c>
      <c r="C3543" s="4" t="s">
        <v>298</v>
      </c>
      <c r="D3543" s="94">
        <v>6245.0</v>
      </c>
    </row>
    <row r="3544">
      <c r="A3544" s="40">
        <f t="array" ref="A3544">IFNA(index(PlayerValues!A:A,match(IFNA(vlookup(B3544,'Special Names'!A:B,2,FALSE),B3544),PlayerValues!E:E,0)),"N/A")</f>
        <v>17462</v>
      </c>
      <c r="B3544" s="4" t="s">
        <v>375</v>
      </c>
      <c r="C3544" s="4" t="s">
        <v>283</v>
      </c>
      <c r="D3544" s="94">
        <v>5582.0</v>
      </c>
    </row>
    <row r="3545">
      <c r="A3545" s="40">
        <f t="array" ref="A3545">IFNA(index(PlayerValues!A:A,match(IFNA(vlookup(B3545,'Special Names'!A:B,2,FALSE),B3545),PlayerValues!E:E,0)),"N/A")</f>
        <v>17051</v>
      </c>
      <c r="B3545" s="4" t="s">
        <v>386</v>
      </c>
      <c r="C3545" s="4" t="s">
        <v>278</v>
      </c>
      <c r="D3545" s="94">
        <v>5509.0</v>
      </c>
    </row>
    <row r="3546">
      <c r="A3546" s="40">
        <f t="array" ref="A3546">IFNA(index(PlayerValues!A:A,match(IFNA(vlookup(B3546,'Special Names'!A:B,2,FALSE),B3546),PlayerValues!E:E,0)),"N/A")</f>
        <v>15708</v>
      </c>
      <c r="B3546" s="4" t="s">
        <v>382</v>
      </c>
      <c r="C3546" s="4" t="s">
        <v>278</v>
      </c>
      <c r="D3546" s="94">
        <v>5489.0</v>
      </c>
    </row>
    <row r="3547">
      <c r="A3547" s="40">
        <f t="array" ref="A3547">IFNA(index(PlayerValues!A:A,match(IFNA(vlookup(B3547,'Special Names'!A:B,2,FALSE),B3547),PlayerValues!E:E,0)),"N/A")</f>
        <v>16598</v>
      </c>
      <c r="B3547" s="4" t="s">
        <v>408</v>
      </c>
      <c r="C3547" s="4" t="s">
        <v>278</v>
      </c>
      <c r="D3547" s="94">
        <v>5489.0</v>
      </c>
    </row>
    <row r="3548">
      <c r="A3548" s="40" t="str">
        <f t="array" ref="A3548">IFNA(index(PlayerValues!A:A,match(IFNA(vlookup(B3548,'Special Names'!A:B,2,FALSE),B3548),PlayerValues!E:E,0)),"N/A")</f>
        <v>N/A</v>
      </c>
      <c r="B3548" s="4" t="s">
        <v>93</v>
      </c>
      <c r="C3548" s="4" t="s">
        <v>325</v>
      </c>
      <c r="D3548" s="94">
        <v>5404.0</v>
      </c>
    </row>
    <row r="3549">
      <c r="A3549" s="40">
        <f t="array" ref="A3549">IFNA(index(PlayerValues!A:A,match(IFNA(vlookup(B3549,'Special Names'!A:B,2,FALSE),B3549),PlayerValues!E:E,0)),"N/A")</f>
        <v>16194</v>
      </c>
      <c r="B3549" s="4" t="s">
        <v>398</v>
      </c>
      <c r="C3549" s="4" t="s">
        <v>287</v>
      </c>
      <c r="D3549" s="94">
        <v>5401.0</v>
      </c>
    </row>
    <row r="3550">
      <c r="A3550" s="40">
        <f t="array" ref="A3550">IFNA(index(PlayerValues!A:A,match(IFNA(vlookup(B3550,'Special Names'!A:B,2,FALSE),B3550),PlayerValues!E:E,0)),"N/A")</f>
        <v>17499</v>
      </c>
      <c r="B3550" s="4" t="s">
        <v>402</v>
      </c>
      <c r="C3550" s="4" t="s">
        <v>287</v>
      </c>
      <c r="D3550" s="94">
        <v>5391.0</v>
      </c>
    </row>
    <row r="3551">
      <c r="A3551" s="40">
        <f t="array" ref="A3551">IFNA(index(PlayerValues!A:A,match(IFNA(vlookup(B3551,'Special Names'!A:B,2,FALSE),B3551),PlayerValues!E:E,0)),"N/A")</f>
        <v>16627</v>
      </c>
      <c r="B3551" s="4" t="s">
        <v>351</v>
      </c>
      <c r="C3551" s="4" t="s">
        <v>287</v>
      </c>
      <c r="D3551" s="94">
        <v>5376.0</v>
      </c>
    </row>
    <row r="3552">
      <c r="A3552" s="40">
        <f t="array" ref="A3552">IFNA(index(PlayerValues!A:A,match(IFNA(vlookup(B3552,'Special Names'!A:B,2,FALSE),B3552),PlayerValues!E:E,0)),"N/A")</f>
        <v>16616</v>
      </c>
      <c r="B3552" s="4" t="s">
        <v>389</v>
      </c>
      <c r="C3552" s="4" t="s">
        <v>287</v>
      </c>
      <c r="D3552" s="94">
        <v>5245.0</v>
      </c>
    </row>
    <row r="3553">
      <c r="A3553" s="40">
        <f t="array" ref="A3553">IFNA(index(PlayerValues!A:A,match(IFNA(vlookup(B3553,'Special Names'!A:B,2,FALSE),B3553),PlayerValues!E:E,0)),"N/A")</f>
        <v>13130</v>
      </c>
      <c r="B3553" s="4" t="s">
        <v>374</v>
      </c>
      <c r="C3553" s="4" t="s">
        <v>278</v>
      </c>
      <c r="D3553" s="94">
        <v>5183.0</v>
      </c>
    </row>
    <row r="3554">
      <c r="A3554" s="40">
        <f t="array" ref="A3554">IFNA(index(PlayerValues!A:A,match(IFNA(vlookup(B3554,'Special Names'!A:B,2,FALSE),B3554),PlayerValues!E:E,0)),"N/A")</f>
        <v>17497</v>
      </c>
      <c r="B3554" s="4" t="s">
        <v>365</v>
      </c>
      <c r="C3554" s="4" t="s">
        <v>287</v>
      </c>
      <c r="D3554" s="94">
        <v>5182.0</v>
      </c>
    </row>
    <row r="3555">
      <c r="A3555" s="40">
        <f t="array" ref="A3555">IFNA(index(PlayerValues!A:A,match(IFNA(vlookup(B3555,'Special Names'!A:B,2,FALSE),B3555),PlayerValues!E:E,0)),"N/A")</f>
        <v>16614</v>
      </c>
      <c r="B3555" s="4" t="s">
        <v>403</v>
      </c>
      <c r="C3555" s="4" t="s">
        <v>287</v>
      </c>
      <c r="D3555" s="94">
        <v>5116.0</v>
      </c>
    </row>
    <row r="3556">
      <c r="A3556" s="40">
        <f t="array" ref="A3556">IFNA(index(PlayerValues!A:A,match(IFNA(vlookup(B3556,'Special Names'!A:B,2,FALSE),B3556),PlayerValues!E:E,0)),"N/A")</f>
        <v>17030</v>
      </c>
      <c r="B3556" s="4" t="s">
        <v>406</v>
      </c>
      <c r="C3556" s="4" t="s">
        <v>283</v>
      </c>
      <c r="D3556" s="94">
        <v>5030.0</v>
      </c>
    </row>
    <row r="3557">
      <c r="A3557" s="40">
        <f t="array" ref="A3557">IFNA(index(PlayerValues!A:A,match(IFNA(vlookup(B3557,'Special Names'!A:B,2,FALSE),B3557),PlayerValues!E:E,0)),"N/A")</f>
        <v>12620</v>
      </c>
      <c r="B3557" s="4" t="s">
        <v>394</v>
      </c>
      <c r="C3557" s="4" t="s">
        <v>283</v>
      </c>
      <c r="D3557" s="94">
        <v>4998.0</v>
      </c>
    </row>
    <row r="3558">
      <c r="A3558" s="40">
        <f t="array" ref="A3558">IFNA(index(PlayerValues!A:A,match(IFNA(vlookup(B3558,'Special Names'!A:B,2,FALSE),B3558),PlayerValues!E:E,0)),"N/A")</f>
        <v>17070</v>
      </c>
      <c r="B3558" s="4" t="s">
        <v>370</v>
      </c>
      <c r="C3558" s="4" t="s">
        <v>287</v>
      </c>
      <c r="D3558" s="94">
        <v>4970.0</v>
      </c>
    </row>
    <row r="3559">
      <c r="A3559" s="40">
        <f t="array" ref="A3559">IFNA(index(PlayerValues!A:A,match(IFNA(vlookup(B3559,'Special Names'!A:B,2,FALSE),B3559),PlayerValues!E:E,0)),"N/A")</f>
        <v>15711</v>
      </c>
      <c r="B3559" s="4" t="s">
        <v>349</v>
      </c>
      <c r="C3559" s="4" t="s">
        <v>278</v>
      </c>
      <c r="D3559" s="94">
        <v>4968.0</v>
      </c>
    </row>
    <row r="3560">
      <c r="A3560" s="40">
        <f t="array" ref="A3560">IFNA(index(PlayerValues!A:A,match(IFNA(vlookup(B3560,'Special Names'!A:B,2,FALSE),B3560),PlayerValues!E:E,0)),"N/A")</f>
        <v>16618</v>
      </c>
      <c r="B3560" s="4" t="s">
        <v>411</v>
      </c>
      <c r="C3560" s="4" t="s">
        <v>287</v>
      </c>
      <c r="D3560" s="94">
        <v>4967.0</v>
      </c>
    </row>
    <row r="3561">
      <c r="A3561" s="40">
        <f t="array" ref="A3561">IFNA(index(PlayerValues!A:A,match(IFNA(vlookup(B3561,'Special Names'!A:B,2,FALSE),B3561),PlayerValues!E:E,0)),"N/A")</f>
        <v>16150</v>
      </c>
      <c r="B3561" s="4" t="s">
        <v>414</v>
      </c>
      <c r="C3561" s="4" t="s">
        <v>283</v>
      </c>
      <c r="D3561" s="94">
        <v>4942.0</v>
      </c>
    </row>
    <row r="3562">
      <c r="A3562" s="40">
        <f t="array" ref="A3562">IFNA(index(PlayerValues!A:A,match(IFNA(vlookup(B3562,'Special Names'!A:B,2,FALSE),B3562),PlayerValues!E:E,0)),"N/A")</f>
        <v>14835</v>
      </c>
      <c r="B3562" s="4" t="s">
        <v>392</v>
      </c>
      <c r="C3562" s="4" t="s">
        <v>287</v>
      </c>
      <c r="D3562" s="94">
        <v>4876.0</v>
      </c>
    </row>
    <row r="3563">
      <c r="A3563" s="40">
        <f t="array" ref="A3563">IFNA(index(PlayerValues!A:A,match(IFNA(vlookup(B3563,'Special Names'!A:B,2,FALSE),B3563),PlayerValues!E:E,0)),"N/A")</f>
        <v>17103</v>
      </c>
      <c r="B3563" s="4" t="s">
        <v>405</v>
      </c>
      <c r="C3563" s="4" t="s">
        <v>298</v>
      </c>
      <c r="D3563" s="94">
        <v>5445.0</v>
      </c>
    </row>
    <row r="3564">
      <c r="A3564" s="40">
        <f t="array" ref="A3564">IFNA(index(PlayerValues!A:A,match(IFNA(vlookup(B3564,'Special Names'!A:B,2,FALSE),B3564),PlayerValues!E:E,0)),"N/A")</f>
        <v>16181</v>
      </c>
      <c r="B3564" s="4" t="s">
        <v>350</v>
      </c>
      <c r="C3564" s="4" t="s">
        <v>278</v>
      </c>
      <c r="D3564" s="94">
        <v>4870.0</v>
      </c>
    </row>
    <row r="3565">
      <c r="A3565" s="40">
        <f t="array" ref="A3565">IFNA(index(PlayerValues!A:A,match(IFNA(vlookup(B3565,'Special Names'!A:B,2,FALSE),B3565),PlayerValues!E:E,0)),"N/A")</f>
        <v>16222</v>
      </c>
      <c r="B3565" s="4" t="s">
        <v>393</v>
      </c>
      <c r="C3565" s="4" t="s">
        <v>298</v>
      </c>
      <c r="D3565" s="94">
        <v>5427.0</v>
      </c>
    </row>
    <row r="3566">
      <c r="A3566" s="40">
        <f t="array" ref="A3566">IFNA(index(PlayerValues!A:A,match(IFNA(vlookup(B3566,'Special Names'!A:B,2,FALSE),B3566),PlayerValues!E:E,0)),"N/A")</f>
        <v>17498</v>
      </c>
      <c r="B3566" s="4" t="s">
        <v>396</v>
      </c>
      <c r="C3566" s="4" t="s">
        <v>287</v>
      </c>
      <c r="D3566" s="94">
        <v>4857.0</v>
      </c>
    </row>
    <row r="3567">
      <c r="A3567" s="40">
        <f t="array" ref="A3567">IFNA(index(PlayerValues!A:A,match(IFNA(vlookup(B3567,'Special Names'!A:B,2,FALSE),B3567),PlayerValues!E:E,0)),"N/A")</f>
        <v>17045</v>
      </c>
      <c r="B3567" s="4" t="s">
        <v>407</v>
      </c>
      <c r="C3567" s="4" t="s">
        <v>278</v>
      </c>
      <c r="D3567" s="94">
        <v>4852.0</v>
      </c>
    </row>
    <row r="3568">
      <c r="A3568" s="40">
        <f t="array" ref="A3568">IFNA(index(PlayerValues!A:A,match(IFNA(vlookup(B3568,'Special Names'!A:B,2,FALSE),B3568),PlayerValues!E:E,0)),"N/A")</f>
        <v>15710</v>
      </c>
      <c r="B3568" s="4" t="s">
        <v>395</v>
      </c>
      <c r="C3568" s="4" t="s">
        <v>278</v>
      </c>
      <c r="D3568" s="94">
        <v>4832.0</v>
      </c>
    </row>
    <row r="3569">
      <c r="A3569" s="40" t="str">
        <f t="array" ref="A3569">IFNA(index(PlayerValues!A:A,match(IFNA(vlookup(B3569,'Special Names'!A:B,2,FALSE),B3569),PlayerValues!E:E,0)),"N/A")</f>
        <v>N/A</v>
      </c>
      <c r="B3569" s="4" t="s">
        <v>104</v>
      </c>
      <c r="C3569" s="4" t="s">
        <v>325</v>
      </c>
      <c r="D3569" s="94">
        <v>4813.0</v>
      </c>
    </row>
    <row r="3570">
      <c r="A3570" s="40">
        <f t="array" ref="A3570">IFNA(index(PlayerValues!A:A,match(IFNA(vlookup(B3570,'Special Names'!A:B,2,FALSE),B3570),PlayerValues!E:E,0)),"N/A")</f>
        <v>13604</v>
      </c>
      <c r="B3570" s="4" t="s">
        <v>378</v>
      </c>
      <c r="C3570" s="4" t="s">
        <v>278</v>
      </c>
      <c r="D3570" s="94">
        <v>4796.0</v>
      </c>
    </row>
    <row r="3571">
      <c r="A3571" s="40">
        <f t="array" ref="A3571">IFNA(index(PlayerValues!A:A,match(IFNA(vlookup(B3571,'Special Names'!A:B,2,FALSE),B3571),PlayerValues!E:E,0)),"N/A")</f>
        <v>15756</v>
      </c>
      <c r="B3571" s="4" t="s">
        <v>399</v>
      </c>
      <c r="C3571" s="4" t="s">
        <v>287</v>
      </c>
      <c r="D3571" s="94">
        <v>4789.0</v>
      </c>
    </row>
    <row r="3572">
      <c r="A3572" s="40">
        <f t="array" ref="A3572">IFNA(index(PlayerValues!A:A,match(IFNA(vlookup(B3572,'Special Names'!A:B,2,FALSE),B3572),PlayerValues!E:E,0)),"N/A")</f>
        <v>13592</v>
      </c>
      <c r="B3572" s="4" t="s">
        <v>418</v>
      </c>
      <c r="C3572" s="4" t="s">
        <v>283</v>
      </c>
      <c r="D3572" s="94">
        <v>4787.0</v>
      </c>
    </row>
    <row r="3573">
      <c r="A3573" s="40">
        <f t="array" ref="A3573">IFNA(index(PlayerValues!A:A,match(IFNA(vlookup(B3573,'Special Names'!A:B,2,FALSE),B3573),PlayerValues!E:E,0)),"N/A")</f>
        <v>13590</v>
      </c>
      <c r="B3573" s="4" t="s">
        <v>409</v>
      </c>
      <c r="C3573" s="4" t="s">
        <v>283</v>
      </c>
      <c r="D3573" s="94">
        <v>4769.0</v>
      </c>
    </row>
    <row r="3574">
      <c r="A3574" s="40" t="str">
        <f t="array" ref="A3574">IFNA(index(PlayerValues!A:A,match(IFNA(vlookup(B3574,'Special Names'!A:B,2,FALSE),B3574),PlayerValues!E:E,0)),"N/A")</f>
        <v>N/A</v>
      </c>
      <c r="B3574" s="4" t="s">
        <v>80</v>
      </c>
      <c r="C3574" s="4" t="s">
        <v>325</v>
      </c>
      <c r="D3574" s="94">
        <v>4728.0</v>
      </c>
    </row>
    <row r="3575">
      <c r="A3575" s="40" t="str">
        <f t="array" ref="A3575">IFNA(index(PlayerValues!A:A,match(IFNA(vlookup(B3575,'Special Names'!A:B,2,FALSE),B3575),PlayerValues!E:E,0)),"N/A")</f>
        <v>N/A</v>
      </c>
      <c r="B3575" s="4" t="s">
        <v>94</v>
      </c>
      <c r="C3575" s="4" t="s">
        <v>325</v>
      </c>
      <c r="D3575" s="94">
        <v>4723.0</v>
      </c>
    </row>
    <row r="3576">
      <c r="A3576" s="40">
        <f t="array" ref="A3576">IFNA(index(PlayerValues!A:A,match(IFNA(vlookup(B3576,'Special Names'!A:B,2,FALSE),B3576),PlayerValues!E:E,0)),"N/A")</f>
        <v>15282</v>
      </c>
      <c r="B3576" s="4" t="s">
        <v>364</v>
      </c>
      <c r="C3576" s="4" t="s">
        <v>287</v>
      </c>
      <c r="D3576" s="94">
        <v>4715.0</v>
      </c>
    </row>
    <row r="3577">
      <c r="A3577" s="40">
        <f t="array" ref="A3577">IFNA(index(PlayerValues!A:A,match(IFNA(vlookup(B3577,'Special Names'!A:B,2,FALSE),B3577),PlayerValues!E:E,0)),"N/A")</f>
        <v>14104</v>
      </c>
      <c r="B3577" s="4" t="s">
        <v>379</v>
      </c>
      <c r="C3577" s="4" t="s">
        <v>287</v>
      </c>
      <c r="D3577" s="94">
        <v>4692.0</v>
      </c>
    </row>
    <row r="3578">
      <c r="A3578" s="40">
        <f t="array" ref="A3578">IFNA(index(PlayerValues!A:A,match(IFNA(vlookup(B3578,'Special Names'!A:B,2,FALSE),B3578),PlayerValues!E:E,0)),"N/A")</f>
        <v>16190</v>
      </c>
      <c r="B3578" s="4" t="s">
        <v>371</v>
      </c>
      <c r="C3578" s="4" t="s">
        <v>287</v>
      </c>
      <c r="D3578" s="94">
        <v>4688.0</v>
      </c>
    </row>
    <row r="3579">
      <c r="A3579" s="40">
        <f t="array" ref="A3579">IFNA(index(PlayerValues!A:A,match(IFNA(vlookup(B3579,'Special Names'!A:B,2,FALSE),B3579),PlayerValues!E:E,0)),"N/A")</f>
        <v>12611</v>
      </c>
      <c r="B3579" s="4" t="s">
        <v>410</v>
      </c>
      <c r="C3579" s="4" t="s">
        <v>283</v>
      </c>
      <c r="D3579" s="94">
        <v>4629.0</v>
      </c>
    </row>
    <row r="3580">
      <c r="A3580" s="40">
        <f t="array" ref="A3580">IFNA(index(PlayerValues!A:A,match(IFNA(vlookup(B3580,'Special Names'!A:B,2,FALSE),B3580),PlayerValues!E:E,0)),"N/A")</f>
        <v>16214</v>
      </c>
      <c r="B3580" s="4" t="s">
        <v>413</v>
      </c>
      <c r="C3580" s="4" t="s">
        <v>298</v>
      </c>
      <c r="D3580" s="94">
        <v>5137.0</v>
      </c>
    </row>
    <row r="3581">
      <c r="A3581" s="40">
        <f t="array" ref="A3581">IFNA(index(PlayerValues!A:A,match(IFNA(vlookup(B3581,'Special Names'!A:B,2,FALSE),B3581),PlayerValues!E:E,0)),"N/A")</f>
        <v>17039</v>
      </c>
      <c r="B3581" s="4" t="s">
        <v>400</v>
      </c>
      <c r="C3581" s="4" t="s">
        <v>283</v>
      </c>
      <c r="D3581" s="94">
        <v>4586.0</v>
      </c>
    </row>
    <row r="3582">
      <c r="A3582" s="40">
        <f t="array" ref="A3582">IFNA(index(PlayerValues!A:A,match(IFNA(vlookup(B3582,'Special Names'!A:B,2,FALSE),B3582),PlayerValues!E:E,0)),"N/A")</f>
        <v>15284</v>
      </c>
      <c r="B3582" s="4" t="s">
        <v>390</v>
      </c>
      <c r="C3582" s="4" t="s">
        <v>287</v>
      </c>
      <c r="D3582" s="94">
        <v>4573.0</v>
      </c>
    </row>
    <row r="3583">
      <c r="A3583" s="40">
        <f t="array" ref="A3583">IFNA(index(PlayerValues!A:A,match(IFNA(vlookup(B3583,'Special Names'!A:B,2,FALSE),B3583),PlayerValues!E:E,0)),"N/A")</f>
        <v>17068</v>
      </c>
      <c r="B3583" s="4" t="s">
        <v>450</v>
      </c>
      <c r="C3583" s="4" t="s">
        <v>278</v>
      </c>
      <c r="D3583" s="94">
        <v>4532.0</v>
      </c>
    </row>
    <row r="3584">
      <c r="A3584" s="40">
        <f t="array" ref="A3584">IFNA(index(PlayerValues!A:A,match(IFNA(vlookup(B3584,'Special Names'!A:B,2,FALSE),B3584),PlayerValues!E:E,0)),"N/A")</f>
        <v>16148</v>
      </c>
      <c r="B3584" s="4" t="s">
        <v>426</v>
      </c>
      <c r="C3584" s="4" t="s">
        <v>283</v>
      </c>
      <c r="D3584" s="94">
        <v>4501.0</v>
      </c>
    </row>
    <row r="3585">
      <c r="A3585" s="40">
        <f t="array" ref="A3585">IFNA(index(PlayerValues!A:A,match(IFNA(vlookup(B3585,'Special Names'!A:B,2,FALSE),B3585),PlayerValues!E:E,0)),"N/A")</f>
        <v>15253</v>
      </c>
      <c r="B3585" s="4" t="s">
        <v>415</v>
      </c>
      <c r="C3585" s="4" t="s">
        <v>278</v>
      </c>
      <c r="D3585" s="94">
        <v>4490.0</v>
      </c>
    </row>
    <row r="3586">
      <c r="A3586" s="40">
        <f t="array" ref="A3586">IFNA(index(PlayerValues!A:A,match(IFNA(vlookup(B3586,'Special Names'!A:B,2,FALSE),B3586),PlayerValues!E:E,0)),"N/A")</f>
        <v>15329</v>
      </c>
      <c r="B3586" s="4" t="s">
        <v>416</v>
      </c>
      <c r="C3586" s="4" t="s">
        <v>298</v>
      </c>
      <c r="D3586" s="94">
        <v>5018.0</v>
      </c>
    </row>
    <row r="3587">
      <c r="A3587" s="40">
        <f t="array" ref="A3587">IFNA(index(PlayerValues!A:A,match(IFNA(vlookup(B3587,'Special Names'!A:B,2,FALSE),B3587),PlayerValues!E:E,0)),"N/A")</f>
        <v>14073</v>
      </c>
      <c r="B3587" s="4" t="s">
        <v>464</v>
      </c>
      <c r="C3587" s="4" t="s">
        <v>278</v>
      </c>
      <c r="D3587" s="94">
        <v>4475.0</v>
      </c>
    </row>
    <row r="3588">
      <c r="A3588" s="40" t="str">
        <f t="array" ref="A3588">IFNA(index(PlayerValues!A:A,match(IFNA(vlookup(B3588,'Special Names'!A:B,2,FALSE),B3588),PlayerValues!E:E,0)),"N/A")</f>
        <v>N/A</v>
      </c>
      <c r="B3588" s="4" t="s">
        <v>105</v>
      </c>
      <c r="C3588" s="4" t="s">
        <v>325</v>
      </c>
      <c r="D3588" s="94">
        <v>4438.0</v>
      </c>
    </row>
    <row r="3589">
      <c r="A3589" s="40">
        <f t="array" ref="A3589">IFNA(index(PlayerValues!A:A,match(IFNA(vlookup(B3589,'Special Names'!A:B,2,FALSE),B3589),PlayerValues!E:E,0)),"N/A")</f>
        <v>15256</v>
      </c>
      <c r="B3589" s="4" t="s">
        <v>401</v>
      </c>
      <c r="C3589" s="4" t="s">
        <v>278</v>
      </c>
      <c r="D3589" s="94">
        <v>4387.0</v>
      </c>
    </row>
    <row r="3590">
      <c r="A3590" s="40" t="str">
        <f t="array" ref="A3590">IFNA(index(PlayerValues!A:A,match(IFNA(vlookup(B3590,'Special Names'!A:B,2,FALSE),B3590),PlayerValues!E:E,0)),"N/A")</f>
        <v>N/A</v>
      </c>
      <c r="B3590" s="4" t="s">
        <v>81</v>
      </c>
      <c r="C3590" s="4" t="s">
        <v>325</v>
      </c>
      <c r="D3590" s="94">
        <v>4332.0</v>
      </c>
    </row>
    <row r="3591">
      <c r="A3591" s="40">
        <f t="array" ref="A3591">IFNA(index(PlayerValues!A:A,match(IFNA(vlookup(B3591,'Special Names'!A:B,2,FALSE),B3591),PlayerValues!E:E,0)),"N/A")</f>
        <v>17074</v>
      </c>
      <c r="B3591" s="4" t="s">
        <v>475</v>
      </c>
      <c r="C3591" s="4" t="s">
        <v>287</v>
      </c>
      <c r="D3591" s="94">
        <v>4217.0</v>
      </c>
    </row>
    <row r="3592">
      <c r="A3592" s="40">
        <f t="array" ref="A3592">IFNA(index(PlayerValues!A:A,match(IFNA(vlookup(B3592,'Special Names'!A:B,2,FALSE),B3592),PlayerValues!E:E,0)),"N/A")</f>
        <v>17500</v>
      </c>
      <c r="B3592" s="4" t="s">
        <v>430</v>
      </c>
      <c r="C3592" s="4" t="s">
        <v>287</v>
      </c>
      <c r="D3592" s="94">
        <v>4194.0</v>
      </c>
    </row>
    <row r="3593">
      <c r="A3593" s="40">
        <f t="array" ref="A3593">IFNA(index(PlayerValues!A:A,match(IFNA(vlookup(B3593,'Special Names'!A:B,2,FALSE),B3593),PlayerValues!E:E,0)),"N/A")</f>
        <v>17099</v>
      </c>
      <c r="B3593" s="4" t="s">
        <v>474</v>
      </c>
      <c r="C3593" s="4" t="s">
        <v>298</v>
      </c>
      <c r="D3593" s="94">
        <v>4644.0</v>
      </c>
    </row>
    <row r="3594">
      <c r="A3594" s="40">
        <f t="array" ref="A3594">IFNA(index(PlayerValues!A:A,match(IFNA(vlookup(B3594,'Special Names'!A:B,2,FALSE),B3594),PlayerValues!E:E,0)),"N/A")</f>
        <v>16186</v>
      </c>
      <c r="B3594" s="4" t="s">
        <v>425</v>
      </c>
      <c r="C3594" s="4" t="s">
        <v>287</v>
      </c>
      <c r="D3594" s="94">
        <v>4064.0</v>
      </c>
    </row>
    <row r="3595">
      <c r="A3595" s="40" t="str">
        <f t="array" ref="A3595">IFNA(index(PlayerValues!A:A,match(IFNA(vlookup(B3595,'Special Names'!A:B,2,FALSE),B3595),PlayerValues!E:E,0)),"N/A")</f>
        <v>N/A</v>
      </c>
      <c r="B3595" s="4" t="s">
        <v>107</v>
      </c>
      <c r="C3595" s="4" t="s">
        <v>325</v>
      </c>
      <c r="D3595" s="94">
        <v>3998.0</v>
      </c>
    </row>
    <row r="3596">
      <c r="A3596" s="40">
        <f t="array" ref="A3596">IFNA(index(PlayerValues!A:A,match(IFNA(vlookup(B3596,'Special Names'!A:B,2,FALSE),B3596),PlayerValues!E:E,0)),"N/A")</f>
        <v>14059</v>
      </c>
      <c r="B3596" s="4" t="s">
        <v>435</v>
      </c>
      <c r="C3596" s="4" t="s">
        <v>283</v>
      </c>
      <c r="D3596" s="94">
        <v>3987.0</v>
      </c>
    </row>
    <row r="3597">
      <c r="A3597" s="40">
        <f t="array" ref="A3597">IFNA(index(PlayerValues!A:A,match(IFNA(vlookup(B3597,'Special Names'!A:B,2,FALSE),B3597),PlayerValues!E:E,0)),"N/A")</f>
        <v>17543</v>
      </c>
      <c r="B3597" s="4" t="s">
        <v>436</v>
      </c>
      <c r="C3597" s="4" t="s">
        <v>298</v>
      </c>
      <c r="D3597" s="94">
        <v>4481.0</v>
      </c>
    </row>
    <row r="3598">
      <c r="A3598" s="40">
        <f t="array" ref="A3598">IFNA(index(PlayerValues!A:A,match(IFNA(vlookup(B3598,'Special Names'!A:B,2,FALSE),B3598),PlayerValues!E:E,0)),"N/A")</f>
        <v>17501</v>
      </c>
      <c r="B3598" s="4" t="s">
        <v>404</v>
      </c>
      <c r="C3598" s="4" t="s">
        <v>287</v>
      </c>
      <c r="D3598" s="94">
        <v>3957.0</v>
      </c>
    </row>
    <row r="3599">
      <c r="A3599" s="40">
        <f t="array" ref="A3599">IFNA(index(PlayerValues!A:A,match(IFNA(vlookup(B3599,'Special Names'!A:B,2,FALSE),B3599),PlayerValues!E:E,0)),"N/A")</f>
        <v>17066</v>
      </c>
      <c r="B3599" s="4" t="s">
        <v>446</v>
      </c>
      <c r="C3599" s="4" t="s">
        <v>278</v>
      </c>
      <c r="D3599" s="94">
        <v>3935.0</v>
      </c>
    </row>
    <row r="3600">
      <c r="A3600" s="40">
        <f t="array" ref="A3600">IFNA(index(PlayerValues!A:A,match(IFNA(vlookup(B3600,'Special Names'!A:B,2,FALSE),B3600),PlayerValues!E:E,0)),"N/A")</f>
        <v>12626</v>
      </c>
      <c r="B3600" s="4" t="s">
        <v>419</v>
      </c>
      <c r="C3600" s="4" t="s">
        <v>278</v>
      </c>
      <c r="D3600" s="94">
        <v>3909.0</v>
      </c>
    </row>
    <row r="3601">
      <c r="A3601" s="40">
        <f t="array" ref="A3601">IFNA(index(PlayerValues!A:A,match(IFNA(vlookup(B3601,'Special Names'!A:B,2,FALSE),B3601),PlayerValues!E:E,0)),"N/A")</f>
        <v>16622</v>
      </c>
      <c r="B3601" s="4" t="s">
        <v>517</v>
      </c>
      <c r="C3601" s="4" t="s">
        <v>287</v>
      </c>
      <c r="D3601" s="94">
        <v>3903.0</v>
      </c>
    </row>
    <row r="3602">
      <c r="A3602" s="40">
        <f t="array" ref="A3602">IFNA(index(PlayerValues!A:A,match(IFNA(vlookup(B3602,'Special Names'!A:B,2,FALSE),B3602),PlayerValues!E:E,0)),"N/A")</f>
        <v>16206</v>
      </c>
      <c r="B3602" s="4" t="s">
        <v>431</v>
      </c>
      <c r="C3602" s="4" t="s">
        <v>287</v>
      </c>
      <c r="D3602" s="94">
        <v>3878.0</v>
      </c>
    </row>
    <row r="3603">
      <c r="A3603" s="40">
        <f t="array" ref="A3603">IFNA(index(PlayerValues!A:A,match(IFNA(vlookup(B3603,'Special Names'!A:B,2,FALSE),B3603),PlayerValues!E:E,0)),"N/A")</f>
        <v>15768</v>
      </c>
      <c r="B3603" s="4" t="s">
        <v>432</v>
      </c>
      <c r="C3603" s="4" t="s">
        <v>287</v>
      </c>
      <c r="D3603" s="94">
        <v>3861.0</v>
      </c>
    </row>
    <row r="3604">
      <c r="A3604" s="40">
        <f t="array" ref="A3604">IFNA(index(PlayerValues!A:A,match(IFNA(vlookup(B3604,'Special Names'!A:B,2,FALSE),B3604),PlayerValues!E:E,0)),"N/A")</f>
        <v>14102</v>
      </c>
      <c r="B3604" s="4" t="s">
        <v>444</v>
      </c>
      <c r="C3604" s="4" t="s">
        <v>287</v>
      </c>
      <c r="D3604" s="94">
        <v>3846.0</v>
      </c>
    </row>
    <row r="3605">
      <c r="A3605" s="40" t="str">
        <f t="array" ref="A3605">IFNA(index(PlayerValues!A:A,match(IFNA(vlookup(B3605,'Special Names'!A:B,2,FALSE),B3605),PlayerValues!E:E,0)),"N/A")</f>
        <v>N/A</v>
      </c>
      <c r="B3605" s="4" t="s">
        <v>95</v>
      </c>
      <c r="C3605" s="4" t="s">
        <v>325</v>
      </c>
      <c r="D3605" s="94">
        <v>3826.0</v>
      </c>
    </row>
    <row r="3606">
      <c r="A3606" s="40">
        <f t="array" ref="A3606">IFNA(index(PlayerValues!A:A,match(IFNA(vlookup(B3606,'Special Names'!A:B,2,FALSE),B3606),PlayerValues!E:E,0)),"N/A")</f>
        <v>17083</v>
      </c>
      <c r="B3606" s="4" t="s">
        <v>479</v>
      </c>
      <c r="C3606" s="4" t="s">
        <v>287</v>
      </c>
      <c r="D3606" s="94">
        <v>3822.0</v>
      </c>
    </row>
    <row r="3607">
      <c r="A3607" s="40">
        <f t="array" ref="A3607">IFNA(index(PlayerValues!A:A,match(IFNA(vlookup(B3607,'Special Names'!A:B,2,FALSE),B3607),PlayerValues!E:E,0)),"N/A")</f>
        <v>15789</v>
      </c>
      <c r="B3607" s="4" t="s">
        <v>421</v>
      </c>
      <c r="C3607" s="4" t="s">
        <v>287</v>
      </c>
      <c r="D3607" s="94">
        <v>3737.0</v>
      </c>
    </row>
    <row r="3608">
      <c r="A3608" s="40">
        <f t="array" ref="A3608">IFNA(index(PlayerValues!A:A,match(IFNA(vlookup(B3608,'Special Names'!A:B,2,FALSE),B3608),PlayerValues!E:E,0)),"N/A")</f>
        <v>14797</v>
      </c>
      <c r="B3608" s="4" t="s">
        <v>420</v>
      </c>
      <c r="C3608" s="4" t="s">
        <v>278</v>
      </c>
      <c r="D3608" s="94">
        <v>3731.0</v>
      </c>
    </row>
    <row r="3609">
      <c r="A3609" s="40">
        <f t="array" ref="A3609">IFNA(index(PlayerValues!A:A,match(IFNA(vlookup(B3609,'Special Names'!A:B,2,FALSE),B3609),PlayerValues!E:E,0)),"N/A")</f>
        <v>9431</v>
      </c>
      <c r="B3609" s="4" t="s">
        <v>428</v>
      </c>
      <c r="C3609" s="4" t="s">
        <v>283</v>
      </c>
      <c r="D3609" s="94">
        <v>3717.0</v>
      </c>
    </row>
    <row r="3610">
      <c r="A3610" s="40">
        <f t="array" ref="A3610">IFNA(index(PlayerValues!A:A,match(IFNA(vlookup(B3610,'Special Names'!A:B,2,FALSE),B3610),PlayerValues!E:E,0)),"N/A")</f>
        <v>11675</v>
      </c>
      <c r="B3610" s="4" t="s">
        <v>438</v>
      </c>
      <c r="C3610" s="4" t="s">
        <v>287</v>
      </c>
      <c r="D3610" s="94">
        <v>3658.0</v>
      </c>
    </row>
    <row r="3611">
      <c r="A3611" s="40">
        <f t="array" ref="A3611">IFNA(index(PlayerValues!A:A,match(IFNA(vlookup(B3611,'Special Names'!A:B,2,FALSE),B3611),PlayerValues!E:E,0)),"N/A")</f>
        <v>17477</v>
      </c>
      <c r="B3611" s="4" t="s">
        <v>452</v>
      </c>
      <c r="C3611" s="4" t="s">
        <v>278</v>
      </c>
      <c r="D3611" s="94">
        <v>3634.0</v>
      </c>
    </row>
    <row r="3612">
      <c r="A3612" s="40">
        <f t="array" ref="A3612">IFNA(index(PlayerValues!A:A,match(IFNA(vlookup(B3612,'Special Names'!A:B,2,FALSE),B3612),PlayerValues!E:E,0)),"N/A")</f>
        <v>15757</v>
      </c>
      <c r="B3612" s="4" t="s">
        <v>449</v>
      </c>
      <c r="C3612" s="4" t="s">
        <v>287</v>
      </c>
      <c r="D3612" s="94">
        <v>3624.0</v>
      </c>
    </row>
    <row r="3613">
      <c r="A3613" s="40">
        <f t="array" ref="A3613">IFNA(index(PlayerValues!A:A,match(IFNA(vlookup(B3613,'Special Names'!A:B,2,FALSE),B3613),PlayerValues!E:E,0)),"N/A")</f>
        <v>14056</v>
      </c>
      <c r="B3613" s="4" t="s">
        <v>423</v>
      </c>
      <c r="C3613" s="4" t="s">
        <v>283</v>
      </c>
      <c r="D3613" s="94">
        <v>3604.0</v>
      </c>
    </row>
    <row r="3614">
      <c r="A3614" s="40">
        <f t="array" ref="A3614">IFNA(index(PlayerValues!A:A,match(IFNA(vlookup(B3614,'Special Names'!A:B,2,FALSE),B3614),PlayerValues!E:E,0)),"N/A")</f>
        <v>16583</v>
      </c>
      <c r="B3614" s="4" t="s">
        <v>493</v>
      </c>
      <c r="C3614" s="4" t="s">
        <v>283</v>
      </c>
      <c r="D3614" s="94">
        <v>3599.0</v>
      </c>
    </row>
    <row r="3615">
      <c r="A3615" s="40">
        <f t="array" ref="A3615">IFNA(index(PlayerValues!A:A,match(IFNA(vlookup(B3615,'Special Names'!A:B,2,FALSE),B3615),PlayerValues!E:E,0)),"N/A")</f>
        <v>14842</v>
      </c>
      <c r="B3615" s="4" t="s">
        <v>456</v>
      </c>
      <c r="C3615" s="4" t="s">
        <v>287</v>
      </c>
      <c r="D3615" s="94">
        <v>3584.0</v>
      </c>
    </row>
    <row r="3616">
      <c r="A3616" s="40">
        <f t="array" ref="A3616">IFNA(index(PlayerValues!A:A,match(IFNA(vlookup(B3616,'Special Names'!A:B,2,FALSE),B3616),PlayerValues!E:E,0)),"N/A")</f>
        <v>16169</v>
      </c>
      <c r="B3616" s="4" t="s">
        <v>457</v>
      </c>
      <c r="C3616" s="4" t="s">
        <v>278</v>
      </c>
      <c r="D3616" s="94">
        <v>3576.0</v>
      </c>
    </row>
    <row r="3617">
      <c r="A3617" s="40">
        <f t="array" ref="A3617">IFNA(index(PlayerValues!A:A,match(IFNA(vlookup(B3617,'Special Names'!A:B,2,FALSE),B3617),PlayerValues!E:E,0)),"N/A")</f>
        <v>16192</v>
      </c>
      <c r="B3617" s="4" t="s">
        <v>412</v>
      </c>
      <c r="C3617" s="4" t="s">
        <v>287</v>
      </c>
      <c r="D3617" s="94">
        <v>3572.0</v>
      </c>
    </row>
    <row r="3618">
      <c r="A3618" s="40">
        <f t="array" ref="A3618">IFNA(index(PlayerValues!A:A,match(IFNA(vlookup(B3618,'Special Names'!A:B,2,FALSE),B3618),PlayerValues!E:E,0)),"N/A")</f>
        <v>16213</v>
      </c>
      <c r="B3618" s="4" t="s">
        <v>458</v>
      </c>
      <c r="C3618" s="4" t="s">
        <v>298</v>
      </c>
      <c r="D3618" s="94">
        <v>4026.0</v>
      </c>
    </row>
    <row r="3619">
      <c r="A3619" s="40">
        <f t="array" ref="A3619">IFNA(index(PlayerValues!A:A,match(IFNA(vlookup(B3619,'Special Names'!A:B,2,FALSE),B3619),PlayerValues!E:E,0)),"N/A")</f>
        <v>16584</v>
      </c>
      <c r="B3619" s="4" t="s">
        <v>569</v>
      </c>
      <c r="C3619" s="4" t="s">
        <v>283</v>
      </c>
      <c r="D3619" s="94">
        <v>3535.0</v>
      </c>
    </row>
    <row r="3620">
      <c r="A3620" s="40">
        <f t="array" ref="A3620">IFNA(index(PlayerValues!A:A,match(IFNA(vlookup(B3620,'Special Names'!A:B,2,FALSE),B3620),PlayerValues!E:E,0)),"N/A")</f>
        <v>17075</v>
      </c>
      <c r="B3620" s="4" t="s">
        <v>429</v>
      </c>
      <c r="C3620" s="4" t="s">
        <v>287</v>
      </c>
      <c r="D3620" s="94">
        <v>3534.0</v>
      </c>
    </row>
    <row r="3621">
      <c r="A3621" s="40">
        <f t="array" ref="A3621">IFNA(index(PlayerValues!A:A,match(IFNA(vlookup(B3621,'Special Names'!A:B,2,FALSE),B3621),PlayerValues!E:E,0)),"N/A")</f>
        <v>16620</v>
      </c>
      <c r="B3621" s="4" t="s">
        <v>467</v>
      </c>
      <c r="C3621" s="4" t="s">
        <v>287</v>
      </c>
      <c r="D3621" s="94">
        <v>3528.0</v>
      </c>
    </row>
    <row r="3622">
      <c r="A3622" s="40">
        <f t="array" ref="A3622">IFNA(index(PlayerValues!A:A,match(IFNA(vlookup(B3622,'Special Names'!A:B,2,FALSE),B3622),PlayerValues!E:E,0)),"N/A")</f>
        <v>16188</v>
      </c>
      <c r="B3622" s="4" t="s">
        <v>439</v>
      </c>
      <c r="C3622" s="4" t="s">
        <v>287</v>
      </c>
      <c r="D3622" s="94">
        <v>3512.0</v>
      </c>
    </row>
    <row r="3623">
      <c r="A3623" s="40" t="str">
        <f t="array" ref="A3623">IFNA(index(PlayerValues!A:A,match(IFNA(vlookup(B3623,'Special Names'!A:B,2,FALSE),B3623),PlayerValues!E:E,0)),"N/A")</f>
        <v>N/A</v>
      </c>
      <c r="B3623" s="4" t="s">
        <v>82</v>
      </c>
      <c r="C3623" s="4" t="s">
        <v>325</v>
      </c>
      <c r="D3623" s="94">
        <v>3498.0</v>
      </c>
    </row>
    <row r="3624">
      <c r="A3624" s="40">
        <f t="array" ref="A3624">IFNA(index(PlayerValues!A:A,match(IFNA(vlookup(B3624,'Special Names'!A:B,2,FALSE),B3624),PlayerValues!E:E,0)),"N/A")</f>
        <v>16593</v>
      </c>
      <c r="B3624" s="4" t="s">
        <v>442</v>
      </c>
      <c r="C3624" s="4" t="s">
        <v>278</v>
      </c>
      <c r="D3624" s="94">
        <v>3495.0</v>
      </c>
    </row>
    <row r="3625">
      <c r="A3625" s="40">
        <f t="array" ref="A3625">IFNA(index(PlayerValues!A:A,match(IFNA(vlookup(B3625,'Special Names'!A:B,2,FALSE),B3625),PlayerValues!E:E,0)),"N/A")</f>
        <v>13299</v>
      </c>
      <c r="B3625" s="4" t="s">
        <v>448</v>
      </c>
      <c r="C3625" s="4" t="s">
        <v>298</v>
      </c>
      <c r="D3625" s="94">
        <v>3945.0</v>
      </c>
    </row>
    <row r="3626">
      <c r="A3626" s="40">
        <f t="array" ref="A3626">IFNA(index(PlayerValues!A:A,match(IFNA(vlookup(B3626,'Special Names'!A:B,2,FALSE),B3626),PlayerValues!E:E,0)),"N/A")</f>
        <v>14127</v>
      </c>
      <c r="B3626" s="4" t="s">
        <v>486</v>
      </c>
      <c r="C3626" s="4" t="s">
        <v>287</v>
      </c>
      <c r="D3626" s="94">
        <v>3459.0</v>
      </c>
    </row>
    <row r="3627">
      <c r="A3627" s="40">
        <f t="array" ref="A3627">IFNA(index(PlayerValues!A:A,match(IFNA(vlookup(B3627,'Special Names'!A:B,2,FALSE),B3627),PlayerValues!E:E,0)),"N/A")</f>
        <v>17052</v>
      </c>
      <c r="B3627" s="4" t="s">
        <v>417</v>
      </c>
      <c r="C3627" s="4" t="s">
        <v>278</v>
      </c>
      <c r="D3627" s="94">
        <v>3452.0</v>
      </c>
    </row>
    <row r="3628">
      <c r="A3628" s="40">
        <f t="array" ref="A3628">IFNA(index(PlayerValues!A:A,match(IFNA(vlookup(B3628,'Special Names'!A:B,2,FALSE),B3628),PlayerValues!E:E,0)),"N/A")</f>
        <v>15742</v>
      </c>
      <c r="B3628" s="4" t="s">
        <v>447</v>
      </c>
      <c r="C3628" s="4" t="s">
        <v>278</v>
      </c>
      <c r="D3628" s="94">
        <v>3439.0</v>
      </c>
    </row>
    <row r="3629">
      <c r="A3629" s="40">
        <f t="array" ref="A3629">IFNA(index(PlayerValues!A:A,match(IFNA(vlookup(B3629,'Special Names'!A:B,2,FALSE),B3629),PlayerValues!E:E,0)),"N/A")</f>
        <v>15799</v>
      </c>
      <c r="B3629" s="4" t="s">
        <v>468</v>
      </c>
      <c r="C3629" s="4" t="s">
        <v>298</v>
      </c>
      <c r="D3629" s="94">
        <v>3859.0</v>
      </c>
    </row>
    <row r="3630">
      <c r="A3630" s="40">
        <f t="array" ref="A3630">IFNA(index(PlayerValues!A:A,match(IFNA(vlookup(B3630,'Special Names'!A:B,2,FALSE),B3630),PlayerValues!E:E,0)),"N/A")</f>
        <v>17502</v>
      </c>
      <c r="B3630" s="4" t="s">
        <v>451</v>
      </c>
      <c r="C3630" s="4" t="s">
        <v>287</v>
      </c>
      <c r="D3630" s="94">
        <v>3399.0</v>
      </c>
    </row>
    <row r="3631">
      <c r="A3631" s="40" t="str">
        <f t="array" ref="A3631">IFNA(index(PlayerValues!A:A,match(IFNA(vlookup(B3631,'Special Names'!A:B,2,FALSE),B3631),PlayerValues!E:E,0)),"N/A")</f>
        <v>N/A</v>
      </c>
      <c r="B3631" s="4" t="s">
        <v>96</v>
      </c>
      <c r="C3631" s="4" t="s">
        <v>325</v>
      </c>
      <c r="D3631" s="94">
        <v>3373.0</v>
      </c>
    </row>
    <row r="3632">
      <c r="A3632" s="40">
        <f t="array" ref="A3632">IFNA(index(PlayerValues!A:A,match(IFNA(vlookup(B3632,'Special Names'!A:B,2,FALSE),B3632),PlayerValues!E:E,0)),"N/A")</f>
        <v>14109</v>
      </c>
      <c r="B3632" s="4" t="s">
        <v>437</v>
      </c>
      <c r="C3632" s="4" t="s">
        <v>287</v>
      </c>
      <c r="D3632" s="94">
        <v>3358.0</v>
      </c>
    </row>
    <row r="3633">
      <c r="A3633" s="40">
        <f t="array" ref="A3633">IFNA(index(PlayerValues!A:A,match(IFNA(vlookup(B3633,'Special Names'!A:B,2,FALSE),B3633),PlayerValues!E:E,0)),"N/A")</f>
        <v>16594</v>
      </c>
      <c r="B3633" s="4" t="s">
        <v>607</v>
      </c>
      <c r="C3633" s="4" t="s">
        <v>278</v>
      </c>
      <c r="D3633" s="94">
        <v>3331.0</v>
      </c>
    </row>
    <row r="3634">
      <c r="A3634" s="40">
        <f t="array" ref="A3634">IFNA(index(PlayerValues!A:A,match(IFNA(vlookup(B3634,'Special Names'!A:B,2,FALSE),B3634),PlayerValues!E:E,0)),"N/A")</f>
        <v>17053</v>
      </c>
      <c r="B3634" s="4" t="s">
        <v>484</v>
      </c>
      <c r="C3634" s="4" t="s">
        <v>278</v>
      </c>
      <c r="D3634" s="94">
        <v>3330.0</v>
      </c>
    </row>
    <row r="3635">
      <c r="A3635" s="40">
        <f t="array" ref="A3635">IFNA(index(PlayerValues!A:A,match(IFNA(vlookup(B3635,'Special Names'!A:B,2,FALSE),B3635),PlayerValues!E:E,0)),"N/A")</f>
        <v>17473</v>
      </c>
      <c r="B3635" s="4" t="s">
        <v>391</v>
      </c>
      <c r="C3635" s="4" t="s">
        <v>278</v>
      </c>
      <c r="D3635" s="94">
        <v>3313.0</v>
      </c>
    </row>
    <row r="3636">
      <c r="A3636" s="40">
        <f t="array" ref="A3636">IFNA(index(PlayerValues!A:A,match(IFNA(vlookup(B3636,'Special Names'!A:B,2,FALSE),B3636),PlayerValues!E:E,0)),"N/A")</f>
        <v>13630</v>
      </c>
      <c r="B3636" s="4" t="s">
        <v>465</v>
      </c>
      <c r="C3636" s="4" t="s">
        <v>287</v>
      </c>
      <c r="D3636" s="94">
        <v>3297.0</v>
      </c>
    </row>
    <row r="3637">
      <c r="A3637" s="40">
        <f t="array" ref="A3637">IFNA(index(PlayerValues!A:A,match(IFNA(vlookup(B3637,'Special Names'!A:B,2,FALSE),B3637),PlayerValues!E:E,0)),"N/A")</f>
        <v>13635</v>
      </c>
      <c r="B3637" s="4" t="s">
        <v>424</v>
      </c>
      <c r="C3637" s="4" t="s">
        <v>287</v>
      </c>
      <c r="D3637" s="94">
        <v>3274.0</v>
      </c>
    </row>
    <row r="3638">
      <c r="A3638" s="40">
        <f t="array" ref="A3638">IFNA(index(PlayerValues!A:A,match(IFNA(vlookup(B3638,'Special Names'!A:B,2,FALSE),B3638),PlayerValues!E:E,0)),"N/A")</f>
        <v>16269</v>
      </c>
      <c r="B3638" s="4" t="s">
        <v>481</v>
      </c>
      <c r="C3638" s="4" t="s">
        <v>298</v>
      </c>
      <c r="D3638" s="94">
        <v>3713.0</v>
      </c>
    </row>
    <row r="3639">
      <c r="A3639" s="40">
        <f t="array" ref="A3639">IFNA(index(PlayerValues!A:A,match(IFNA(vlookup(B3639,'Special Names'!A:B,2,FALSE),B3639),PlayerValues!E:E,0)),"N/A")</f>
        <v>16184</v>
      </c>
      <c r="B3639" s="4" t="s">
        <v>445</v>
      </c>
      <c r="C3639" s="4" t="s">
        <v>287</v>
      </c>
      <c r="D3639" s="94">
        <v>3261.0</v>
      </c>
    </row>
    <row r="3640">
      <c r="A3640" s="40">
        <f t="array" ref="A3640">IFNA(index(PlayerValues!A:A,match(IFNA(vlookup(B3640,'Special Names'!A:B,2,FALSE),B3640),PlayerValues!E:E,0)),"N/A")</f>
        <v>15694</v>
      </c>
      <c r="B3640" s="4" t="s">
        <v>434</v>
      </c>
      <c r="C3640" s="4" t="s">
        <v>283</v>
      </c>
      <c r="D3640" s="94">
        <v>3213.0</v>
      </c>
    </row>
    <row r="3641">
      <c r="A3641" s="40">
        <f t="array" ref="A3641">IFNA(index(PlayerValues!A:A,match(IFNA(vlookup(B3641,'Special Names'!A:B,2,FALSE),B3641),PlayerValues!E:E,0)),"N/A")</f>
        <v>15712</v>
      </c>
      <c r="B3641" s="4" t="s">
        <v>488</v>
      </c>
      <c r="C3641" s="4" t="s">
        <v>278</v>
      </c>
      <c r="D3641" s="94">
        <v>3209.0</v>
      </c>
    </row>
    <row r="3642">
      <c r="A3642" s="40">
        <f t="array" ref="A3642">IFNA(index(PlayerValues!A:A,match(IFNA(vlookup(B3642,'Special Names'!A:B,2,FALSE),B3642),PlayerValues!E:E,0)),"N/A")</f>
        <v>17476</v>
      </c>
      <c r="B3642" s="4" t="s">
        <v>494</v>
      </c>
      <c r="C3642" s="4" t="s">
        <v>278</v>
      </c>
      <c r="D3642" s="94">
        <v>3202.0</v>
      </c>
    </row>
    <row r="3643">
      <c r="A3643" s="40">
        <f t="array" ref="A3643">IFNA(index(PlayerValues!A:A,match(IFNA(vlookup(B3643,'Special Names'!A:B,2,FALSE),B3643),PlayerValues!E:E,0)),"N/A")</f>
        <v>16809</v>
      </c>
      <c r="B3643" s="4" t="s">
        <v>455</v>
      </c>
      <c r="C3643" s="4" t="s">
        <v>287</v>
      </c>
      <c r="D3643" s="94">
        <v>3167.0</v>
      </c>
    </row>
    <row r="3644">
      <c r="A3644" s="40">
        <f t="array" ref="A3644">IFNA(index(PlayerValues!A:A,match(IFNA(vlookup(B3644,'Special Names'!A:B,2,FALSE),B3644),PlayerValues!E:E,0)),"N/A")</f>
        <v>16187</v>
      </c>
      <c r="B3644" s="4" t="s">
        <v>441</v>
      </c>
      <c r="C3644" s="4" t="s">
        <v>287</v>
      </c>
      <c r="D3644" s="94">
        <v>3151.0</v>
      </c>
    </row>
    <row r="3645">
      <c r="A3645" s="40">
        <f t="array" ref="A3645">IFNA(index(PlayerValues!A:A,match(IFNA(vlookup(B3645,'Special Names'!A:B,2,FALSE),B3645),PlayerValues!E:E,0)),"N/A")</f>
        <v>14823</v>
      </c>
      <c r="B3645" s="4" t="s">
        <v>459</v>
      </c>
      <c r="C3645" s="4" t="s">
        <v>278</v>
      </c>
      <c r="D3645" s="94">
        <v>3150.0</v>
      </c>
    </row>
    <row r="3646">
      <c r="A3646" s="40">
        <f t="array" ref="A3646">IFNA(index(PlayerValues!A:A,match(IFNA(vlookup(B3646,'Special Names'!A:B,2,FALSE),B3646),PlayerValues!E:E,0)),"N/A")</f>
        <v>15761</v>
      </c>
      <c r="B3646" s="4" t="s">
        <v>491</v>
      </c>
      <c r="C3646" s="4" t="s">
        <v>287</v>
      </c>
      <c r="D3646" s="94">
        <v>3111.0</v>
      </c>
    </row>
    <row r="3647">
      <c r="A3647" s="40" t="str">
        <f t="array" ref="A3647">IFNA(index(PlayerValues!A:A,match(IFNA(vlookup(B3647,'Special Names'!A:B,2,FALSE),B3647),PlayerValues!E:E,0)),"N/A")</f>
        <v>N/A</v>
      </c>
      <c r="B3647" s="4" t="s">
        <v>108</v>
      </c>
      <c r="C3647" s="4" t="s">
        <v>325</v>
      </c>
      <c r="D3647" s="94">
        <v>3078.0</v>
      </c>
    </row>
    <row r="3648">
      <c r="A3648" s="40" t="str">
        <f t="array" ref="A3648">IFNA(index(PlayerValues!A:A,match(IFNA(vlookup(B3648,'Special Names'!A:B,2,FALSE),B3648),PlayerValues!E:E,0)),"N/A")</f>
        <v>N/A</v>
      </c>
      <c r="B3648" s="4" t="s">
        <v>84</v>
      </c>
      <c r="C3648" s="4" t="s">
        <v>325</v>
      </c>
      <c r="D3648" s="94">
        <v>3074.0</v>
      </c>
    </row>
    <row r="3649">
      <c r="A3649" s="40" t="str">
        <f t="array" ref="A3649">IFNA(index(PlayerValues!A:A,match(IFNA(vlookup(B3649,'Special Names'!A:B,2,FALSE),B3649),PlayerValues!E:E,0)),"N/A")</f>
        <v>N/A</v>
      </c>
      <c r="B3649" s="4" t="s">
        <v>97</v>
      </c>
      <c r="C3649" s="4" t="s">
        <v>325</v>
      </c>
      <c r="D3649" s="94">
        <v>3068.0</v>
      </c>
    </row>
    <row r="3650">
      <c r="A3650" s="40">
        <f t="array" ref="A3650">IFNA(index(PlayerValues!A:A,match(IFNA(vlookup(B3650,'Special Names'!A:B,2,FALSE),B3650),PlayerValues!E:E,0)),"N/A")</f>
        <v>15261</v>
      </c>
      <c r="B3650" s="4" t="s">
        <v>466</v>
      </c>
      <c r="C3650" s="4" t="s">
        <v>278</v>
      </c>
      <c r="D3650" s="94">
        <v>3050.0</v>
      </c>
    </row>
    <row r="3651">
      <c r="A3651" s="40">
        <f t="array" ref="A3651">IFNA(index(PlayerValues!A:A,match(IFNA(vlookup(B3651,'Special Names'!A:B,2,FALSE),B3651),PlayerValues!E:E,0)),"N/A")</f>
        <v>16619</v>
      </c>
      <c r="B3651" s="4" t="s">
        <v>538</v>
      </c>
      <c r="C3651" s="4" t="s">
        <v>287</v>
      </c>
      <c r="D3651" s="94">
        <v>3046.0</v>
      </c>
    </row>
    <row r="3652">
      <c r="A3652" s="40">
        <f t="array" ref="A3652">IFNA(index(PlayerValues!A:A,match(IFNA(vlookup(B3652,'Special Names'!A:B,2,FALSE),B3652),PlayerValues!E:E,0)),"N/A")</f>
        <v>15798</v>
      </c>
      <c r="B3652" s="4" t="s">
        <v>443</v>
      </c>
      <c r="C3652" s="4" t="s">
        <v>298</v>
      </c>
      <c r="D3652" s="94">
        <v>3452.0</v>
      </c>
    </row>
    <row r="3653">
      <c r="A3653" s="40">
        <f t="array" ref="A3653">IFNA(index(PlayerValues!A:A,match(IFNA(vlookup(B3653,'Special Names'!A:B,2,FALSE),B3653),PlayerValues!E:E,0)),"N/A")</f>
        <v>17463</v>
      </c>
      <c r="B3653" s="4" t="s">
        <v>433</v>
      </c>
      <c r="C3653" s="4" t="s">
        <v>283</v>
      </c>
      <c r="D3653" s="94">
        <v>2990.0</v>
      </c>
    </row>
    <row r="3654">
      <c r="A3654" s="40">
        <f t="array" ref="A3654">IFNA(index(PlayerValues!A:A,match(IFNA(vlookup(B3654,'Special Names'!A:B,2,FALSE),B3654),PlayerValues!E:E,0)),"N/A")</f>
        <v>17082</v>
      </c>
      <c r="B3654" s="4" t="s">
        <v>498</v>
      </c>
      <c r="C3654" s="4" t="s">
        <v>287</v>
      </c>
      <c r="D3654" s="94">
        <v>2978.0</v>
      </c>
    </row>
    <row r="3655">
      <c r="A3655" s="40">
        <f t="array" ref="A3655">IFNA(index(PlayerValues!A:A,match(IFNA(vlookup(B3655,'Special Names'!A:B,2,FALSE),B3655),PlayerValues!E:E,0)),"N/A")</f>
        <v>15259</v>
      </c>
      <c r="B3655" s="4" t="s">
        <v>453</v>
      </c>
      <c r="C3655" s="4" t="s">
        <v>278</v>
      </c>
      <c r="D3655" s="94">
        <v>2975.0</v>
      </c>
    </row>
    <row r="3656">
      <c r="A3656" s="40">
        <f t="array" ref="A3656">IFNA(index(PlayerValues!A:A,match(IFNA(vlookup(B3656,'Special Names'!A:B,2,FALSE),B3656),PlayerValues!E:E,0)),"N/A")</f>
        <v>16193</v>
      </c>
      <c r="B3656" s="4" t="s">
        <v>487</v>
      </c>
      <c r="C3656" s="4" t="s">
        <v>287</v>
      </c>
      <c r="D3656" s="94">
        <v>2972.0</v>
      </c>
    </row>
    <row r="3657">
      <c r="A3657" s="40">
        <f t="array" ref="A3657">IFNA(index(PlayerValues!A:A,match(IFNA(vlookup(B3657,'Special Names'!A:B,2,FALSE),B3657),PlayerValues!E:E,0)),"N/A")</f>
        <v>15779</v>
      </c>
      <c r="B3657" s="4" t="s">
        <v>461</v>
      </c>
      <c r="C3657" s="4" t="s">
        <v>287</v>
      </c>
      <c r="D3657" s="94">
        <v>2971.0</v>
      </c>
    </row>
    <row r="3658">
      <c r="A3658" s="40">
        <f t="array" ref="A3658">IFNA(index(PlayerValues!A:A,match(IFNA(vlookup(B3658,'Special Names'!A:B,2,FALSE),B3658),PlayerValues!E:E,0)),"N/A")</f>
        <v>17106</v>
      </c>
      <c r="B3658" s="4" t="s">
        <v>550</v>
      </c>
      <c r="C3658" s="4" t="s">
        <v>298</v>
      </c>
      <c r="D3658" s="94">
        <v>3349.0</v>
      </c>
    </row>
    <row r="3659">
      <c r="A3659" s="40">
        <f t="array" ref="A3659">IFNA(index(PlayerValues!A:A,match(IFNA(vlookup(B3659,'Special Names'!A:B,2,FALSE),B3659),PlayerValues!E:E,0)),"N/A")</f>
        <v>17107</v>
      </c>
      <c r="B3659" s="4" t="s">
        <v>478</v>
      </c>
      <c r="C3659" s="4" t="s">
        <v>298</v>
      </c>
      <c r="D3659" s="94">
        <v>3326.0</v>
      </c>
    </row>
    <row r="3660">
      <c r="A3660" s="40">
        <f t="array" ref="A3660">IFNA(index(PlayerValues!A:A,match(IFNA(vlookup(B3660,'Special Names'!A:B,2,FALSE),B3660),PlayerValues!E:E,0)),"N/A")</f>
        <v>17031</v>
      </c>
      <c r="B3660" s="4" t="s">
        <v>535</v>
      </c>
      <c r="C3660" s="4" t="s">
        <v>283</v>
      </c>
      <c r="D3660" s="94">
        <v>2900.0</v>
      </c>
    </row>
    <row r="3661">
      <c r="A3661" s="40">
        <f t="array" ref="A3661">IFNA(index(PlayerValues!A:A,match(IFNA(vlookup(B3661,'Special Names'!A:B,2,FALSE),B3661),PlayerValues!E:E,0)),"N/A")</f>
        <v>17256</v>
      </c>
      <c r="B3661" s="4" t="s">
        <v>462</v>
      </c>
      <c r="C3661" s="4" t="s">
        <v>278</v>
      </c>
      <c r="D3661" s="94">
        <v>2891.0</v>
      </c>
    </row>
    <row r="3662">
      <c r="A3662" s="40">
        <f t="array" ref="A3662">IFNA(index(PlayerValues!A:A,match(IFNA(vlookup(B3662,'Special Names'!A:B,2,FALSE),B3662),PlayerValues!E:E,0)),"N/A")</f>
        <v>16723</v>
      </c>
      <c r="B3662" s="4" t="s">
        <v>502</v>
      </c>
      <c r="C3662" s="4" t="s">
        <v>298</v>
      </c>
      <c r="D3662" s="94">
        <v>3297.0</v>
      </c>
    </row>
    <row r="3663">
      <c r="A3663" s="40">
        <f t="array" ref="A3663">IFNA(index(PlayerValues!A:A,match(IFNA(vlookup(B3663,'Special Names'!A:B,2,FALSE),B3663),PlayerValues!E:E,0)),"N/A")</f>
        <v>11671</v>
      </c>
      <c r="B3663" s="4" t="s">
        <v>463</v>
      </c>
      <c r="C3663" s="4" t="s">
        <v>287</v>
      </c>
      <c r="D3663" s="94">
        <v>2867.0</v>
      </c>
    </row>
    <row r="3664">
      <c r="A3664" s="40">
        <f t="array" ref="A3664">IFNA(index(PlayerValues!A:A,match(IFNA(vlookup(B3664,'Special Names'!A:B,2,FALSE),B3664),PlayerValues!E:E,0)),"N/A")</f>
        <v>16628</v>
      </c>
      <c r="B3664" s="4" t="s">
        <v>490</v>
      </c>
      <c r="C3664" s="4" t="s">
        <v>287</v>
      </c>
      <c r="D3664" s="94">
        <v>2864.0</v>
      </c>
    </row>
    <row r="3665">
      <c r="A3665" s="40">
        <f t="array" ref="A3665">IFNA(index(PlayerValues!A:A,match(IFNA(vlookup(B3665,'Special Names'!A:B,2,FALSE),B3665),PlayerValues!E:E,0)),"N/A")</f>
        <v>17171</v>
      </c>
      <c r="B3665" s="4" t="s">
        <v>561</v>
      </c>
      <c r="C3665" s="4" t="s">
        <v>287</v>
      </c>
      <c r="D3665" s="94">
        <v>2851.0</v>
      </c>
    </row>
    <row r="3666">
      <c r="A3666" s="40">
        <f t="array" ref="A3666">IFNA(index(PlayerValues!A:A,match(IFNA(vlookup(B3666,'Special Names'!A:B,2,FALSE),B3666),PlayerValues!E:E,0)),"N/A")</f>
        <v>16596</v>
      </c>
      <c r="B3666" s="4" t="s">
        <v>501</v>
      </c>
      <c r="C3666" s="4" t="s">
        <v>278</v>
      </c>
      <c r="D3666" s="94">
        <v>2844.0</v>
      </c>
    </row>
    <row r="3667">
      <c r="A3667" s="40">
        <f t="array" ref="A3667">IFNA(index(PlayerValues!A:A,match(IFNA(vlookup(B3667,'Special Names'!A:B,2,FALSE),B3667),PlayerValues!E:E,0)),"N/A")</f>
        <v>17073</v>
      </c>
      <c r="B3667" s="4" t="s">
        <v>547</v>
      </c>
      <c r="C3667" s="4" t="s">
        <v>287</v>
      </c>
      <c r="D3667" s="94">
        <v>2841.0</v>
      </c>
    </row>
    <row r="3668">
      <c r="A3668" s="40">
        <f t="array" ref="A3668">IFNA(index(PlayerValues!A:A,match(IFNA(vlookup(B3668,'Special Names'!A:B,2,FALSE),B3668),PlayerValues!E:E,0)),"N/A")</f>
        <v>14860</v>
      </c>
      <c r="B3668" s="4" t="s">
        <v>554</v>
      </c>
      <c r="C3668" s="4" t="s">
        <v>287</v>
      </c>
      <c r="D3668" s="94">
        <v>2839.0</v>
      </c>
    </row>
    <row r="3669">
      <c r="A3669" s="40">
        <f t="array" ref="A3669">IFNA(index(PlayerValues!A:A,match(IFNA(vlookup(B3669,'Special Names'!A:B,2,FALSE),B3669),PlayerValues!E:E,0)),"N/A")</f>
        <v>17072</v>
      </c>
      <c r="B3669" s="4" t="s">
        <v>508</v>
      </c>
      <c r="C3669" s="4" t="s">
        <v>287</v>
      </c>
      <c r="D3669" s="94">
        <v>2839.0</v>
      </c>
    </row>
    <row r="3670">
      <c r="A3670" s="40">
        <f t="array" ref="A3670">IFNA(index(PlayerValues!A:A,match(IFNA(vlookup(B3670,'Special Names'!A:B,2,FALSE),B3670),PlayerValues!E:E,0)),"N/A")</f>
        <v>17157</v>
      </c>
      <c r="B3670" s="4" t="s">
        <v>524</v>
      </c>
      <c r="C3670" s="4" t="s">
        <v>287</v>
      </c>
      <c r="D3670" s="94">
        <v>2835.0</v>
      </c>
    </row>
    <row r="3671">
      <c r="A3671" s="40">
        <f t="array" ref="A3671">IFNA(index(PlayerValues!A:A,match(IFNA(vlookup(B3671,'Special Names'!A:B,2,FALSE),B3671),PlayerValues!E:E,0)),"N/A")</f>
        <v>16080</v>
      </c>
      <c r="B3671" s="4" t="s">
        <v>499</v>
      </c>
      <c r="C3671" s="4" t="s">
        <v>287</v>
      </c>
      <c r="D3671" s="94">
        <v>2829.0</v>
      </c>
    </row>
    <row r="3672">
      <c r="A3672" s="40">
        <f t="array" ref="A3672">IFNA(index(PlayerValues!A:A,match(IFNA(vlookup(B3672,'Special Names'!A:B,2,FALSE),B3672),PlayerValues!E:E,0)),"N/A")</f>
        <v>17511</v>
      </c>
      <c r="B3672" s="4" t="s">
        <v>485</v>
      </c>
      <c r="C3672" s="4" t="s">
        <v>287</v>
      </c>
      <c r="D3672" s="94">
        <v>2819.0</v>
      </c>
    </row>
    <row r="3673">
      <c r="A3673" s="40">
        <f t="array" ref="A3673">IFNA(index(PlayerValues!A:A,match(IFNA(vlookup(B3673,'Special Names'!A:B,2,FALSE),B3673),PlayerValues!E:E,0)),"N/A")</f>
        <v>16165</v>
      </c>
      <c r="B3673" s="4" t="s">
        <v>520</v>
      </c>
      <c r="C3673" s="4" t="s">
        <v>278</v>
      </c>
      <c r="D3673" s="94">
        <v>2810.0</v>
      </c>
    </row>
    <row r="3674">
      <c r="A3674" s="40">
        <f t="array" ref="A3674">IFNA(index(PlayerValues!A:A,match(IFNA(vlookup(B3674,'Special Names'!A:B,2,FALSE),B3674),PlayerValues!E:E,0)),"N/A")</f>
        <v>15255</v>
      </c>
      <c r="B3674" s="4" t="s">
        <v>477</v>
      </c>
      <c r="C3674" s="4" t="s">
        <v>278</v>
      </c>
      <c r="D3674" s="94">
        <v>2804.0</v>
      </c>
    </row>
    <row r="3675">
      <c r="A3675" s="40" t="str">
        <f t="array" ref="A3675">IFNA(index(PlayerValues!A:A,match(IFNA(vlookup(B3675,'Special Names'!A:B,2,FALSE),B3675),PlayerValues!E:E,0)),"N/A")</f>
        <v>N/A</v>
      </c>
      <c r="B3675" s="4" t="s">
        <v>85</v>
      </c>
      <c r="C3675" s="4" t="s">
        <v>325</v>
      </c>
      <c r="D3675" s="94">
        <v>2804.0</v>
      </c>
    </row>
    <row r="3676">
      <c r="A3676" s="40">
        <f t="array" ref="A3676">IFNA(index(PlayerValues!A:A,match(IFNA(vlookup(B3676,'Special Names'!A:B,2,FALSE),B3676),PlayerValues!E:E,0)),"N/A")</f>
        <v>17134</v>
      </c>
      <c r="B3676" s="4" t="s">
        <v>548</v>
      </c>
      <c r="C3676" s="4" t="s">
        <v>287</v>
      </c>
      <c r="D3676" s="94">
        <v>2803.0</v>
      </c>
    </row>
    <row r="3677">
      <c r="A3677" s="40" t="str">
        <f t="array" ref="A3677">IFNA(index(PlayerValues!A:A,match(IFNA(vlookup(B3677,'Special Names'!A:B,2,FALSE),B3677),PlayerValues!E:E,0)),"N/A")</f>
        <v>N/A</v>
      </c>
      <c r="B3677" s="4" t="s">
        <v>109</v>
      </c>
      <c r="C3677" s="4" t="s">
        <v>325</v>
      </c>
      <c r="D3677" s="94">
        <v>2799.0</v>
      </c>
    </row>
    <row r="3678">
      <c r="A3678" s="40">
        <f t="array" ref="A3678">IFNA(index(PlayerValues!A:A,match(IFNA(vlookup(B3678,'Special Names'!A:B,2,FALSE),B3678),PlayerValues!E:E,0)),"N/A")</f>
        <v>15241</v>
      </c>
      <c r="B3678" s="4" t="s">
        <v>546</v>
      </c>
      <c r="C3678" s="4" t="s">
        <v>283</v>
      </c>
      <c r="D3678" s="94">
        <v>2797.0</v>
      </c>
    </row>
    <row r="3679">
      <c r="A3679" s="40">
        <f t="array" ref="A3679">IFNA(index(PlayerValues!A:A,match(IFNA(vlookup(B3679,'Special Names'!A:B,2,FALSE),B3679),PlayerValues!E:E,0)),"N/A")</f>
        <v>16649</v>
      </c>
      <c r="B3679" s="4" t="s">
        <v>586</v>
      </c>
      <c r="C3679" s="4" t="s">
        <v>298</v>
      </c>
      <c r="D3679" s="94">
        <v>3215.0</v>
      </c>
    </row>
    <row r="3680">
      <c r="A3680" s="40">
        <f t="array" ref="A3680">IFNA(index(PlayerValues!A:A,match(IFNA(vlookup(B3680,'Special Names'!A:B,2,FALSE),B3680),PlayerValues!E:E,0)),"N/A")</f>
        <v>14071</v>
      </c>
      <c r="B3680" s="4" t="s">
        <v>440</v>
      </c>
      <c r="C3680" s="4" t="s">
        <v>278</v>
      </c>
      <c r="D3680" s="94">
        <v>2791.0</v>
      </c>
    </row>
    <row r="3681">
      <c r="A3681" s="40">
        <f t="array" ref="A3681">IFNA(index(PlayerValues!A:A,match(IFNA(vlookup(B3681,'Special Names'!A:B,2,FALSE),B3681),PlayerValues!E:E,0)),"N/A")</f>
        <v>17080</v>
      </c>
      <c r="B3681" s="4" t="s">
        <v>532</v>
      </c>
      <c r="C3681" s="4" t="s">
        <v>287</v>
      </c>
      <c r="D3681" s="94">
        <v>2782.0</v>
      </c>
    </row>
    <row r="3682">
      <c r="A3682" s="40">
        <f t="array" ref="A3682">IFNA(index(PlayerValues!A:A,match(IFNA(vlookup(B3682,'Special Names'!A:B,2,FALSE),B3682),PlayerValues!E:E,0)),"N/A")</f>
        <v>16626</v>
      </c>
      <c r="B3682" s="4" t="s">
        <v>515</v>
      </c>
      <c r="C3682" s="4" t="s">
        <v>287</v>
      </c>
      <c r="D3682" s="94">
        <v>2766.0</v>
      </c>
    </row>
    <row r="3683">
      <c r="A3683" s="40">
        <f t="array" ref="A3683">IFNA(index(PlayerValues!A:A,match(IFNA(vlookup(B3683,'Special Names'!A:B,2,FALSE),B3683),PlayerValues!E:E,0)),"N/A")</f>
        <v>13163</v>
      </c>
      <c r="B3683" s="4" t="s">
        <v>473</v>
      </c>
      <c r="C3683" s="4" t="s">
        <v>287</v>
      </c>
      <c r="D3683" s="94">
        <v>2764.0</v>
      </c>
    </row>
    <row r="3684">
      <c r="A3684" s="40">
        <f t="array" ref="A3684">IFNA(index(PlayerValues!A:A,match(IFNA(vlookup(B3684,'Special Names'!A:B,2,FALSE),B3684),PlayerValues!E:E,0)),"N/A")</f>
        <v>14800</v>
      </c>
      <c r="B3684" s="4" t="s">
        <v>472</v>
      </c>
      <c r="C3684" s="4" t="s">
        <v>278</v>
      </c>
      <c r="D3684" s="94">
        <v>2759.0</v>
      </c>
    </row>
    <row r="3685">
      <c r="A3685" s="40">
        <f t="array" ref="A3685">IFNA(index(PlayerValues!A:A,match(IFNA(vlookup(B3685,'Special Names'!A:B,2,FALSE),B3685),PlayerValues!E:E,0)),"N/A")</f>
        <v>17098</v>
      </c>
      <c r="B3685" s="4" t="s">
        <v>533</v>
      </c>
      <c r="C3685" s="4" t="s">
        <v>287</v>
      </c>
      <c r="D3685" s="94">
        <v>2742.0</v>
      </c>
    </row>
    <row r="3686">
      <c r="A3686" s="40">
        <f t="array" ref="A3686">IFNA(index(PlayerValues!A:A,match(IFNA(vlookup(B3686,'Special Names'!A:B,2,FALSE),B3686),PlayerValues!E:E,0)),"N/A")</f>
        <v>16747</v>
      </c>
      <c r="B3686" s="4" t="s">
        <v>555</v>
      </c>
      <c r="C3686" s="4" t="s">
        <v>278</v>
      </c>
      <c r="D3686" s="94">
        <v>2738.0</v>
      </c>
    </row>
    <row r="3687">
      <c r="A3687" s="40">
        <f t="array" ref="A3687">IFNA(index(PlayerValues!A:A,match(IFNA(vlookup(B3687,'Special Names'!A:B,2,FALSE),B3687),PlayerValues!E:E,0)),"N/A")</f>
        <v>17047</v>
      </c>
      <c r="B3687" s="4" t="s">
        <v>510</v>
      </c>
      <c r="C3687" s="4" t="s">
        <v>278</v>
      </c>
      <c r="D3687" s="94">
        <v>2724.0</v>
      </c>
    </row>
    <row r="3688">
      <c r="A3688" s="40">
        <f t="array" ref="A3688">IFNA(index(PlayerValues!A:A,match(IFNA(vlookup(B3688,'Special Names'!A:B,2,FALSE),B3688),PlayerValues!E:E,0)),"N/A")</f>
        <v>14840</v>
      </c>
      <c r="B3688" s="4" t="s">
        <v>731</v>
      </c>
      <c r="C3688" s="4" t="s">
        <v>287</v>
      </c>
      <c r="D3688" s="94">
        <v>2693.0</v>
      </c>
    </row>
    <row r="3689">
      <c r="A3689" s="40">
        <f t="array" ref="A3689">IFNA(index(PlayerValues!A:A,match(IFNA(vlookup(B3689,'Special Names'!A:B,2,FALSE),B3689),PlayerValues!E:E,0)),"N/A")</f>
        <v>16597</v>
      </c>
      <c r="B3689" s="4" t="s">
        <v>427</v>
      </c>
      <c r="C3689" s="4" t="s">
        <v>278</v>
      </c>
      <c r="D3689" s="94">
        <v>2692.0</v>
      </c>
    </row>
    <row r="3690">
      <c r="A3690" s="40">
        <f t="array" ref="A3690">IFNA(index(PlayerValues!A:A,match(IFNA(vlookup(B3690,'Special Names'!A:B,2,FALSE),B3690),PlayerValues!E:E,0)),"N/A")</f>
        <v>14085</v>
      </c>
      <c r="B3690" s="4" t="s">
        <v>489</v>
      </c>
      <c r="C3690" s="4" t="s">
        <v>278</v>
      </c>
      <c r="D3690" s="94">
        <v>2685.0</v>
      </c>
    </row>
    <row r="3691">
      <c r="A3691" s="40">
        <f t="array" ref="A3691">IFNA(index(PlayerValues!A:A,match(IFNA(vlookup(B3691,'Special Names'!A:B,2,FALSE),B3691),PlayerValues!E:E,0)),"N/A")</f>
        <v>17048</v>
      </c>
      <c r="B3691" s="4" t="s">
        <v>539</v>
      </c>
      <c r="C3691" s="4" t="s">
        <v>278</v>
      </c>
      <c r="D3691" s="94">
        <v>2683.0</v>
      </c>
    </row>
    <row r="3692">
      <c r="A3692" s="40">
        <f t="array" ref="A3692">IFNA(index(PlayerValues!A:A,match(IFNA(vlookup(B3692,'Special Names'!A:B,2,FALSE),B3692),PlayerValues!E:E,0)),"N/A")</f>
        <v>17505</v>
      </c>
      <c r="B3692" s="4" t="s">
        <v>528</v>
      </c>
      <c r="C3692" s="4" t="s">
        <v>287</v>
      </c>
      <c r="D3692" s="94">
        <v>2675.0</v>
      </c>
    </row>
    <row r="3693">
      <c r="A3693" s="40">
        <f t="array" ref="A3693">IFNA(index(PlayerValues!A:A,match(IFNA(vlookup(B3693,'Special Names'!A:B,2,FALSE),B3693),PlayerValues!E:E,0)),"N/A")</f>
        <v>17507</v>
      </c>
      <c r="B3693" s="4" t="s">
        <v>495</v>
      </c>
      <c r="C3693" s="4" t="s">
        <v>287</v>
      </c>
      <c r="D3693" s="94">
        <v>2661.0</v>
      </c>
    </row>
    <row r="3694">
      <c r="A3694" s="40">
        <f t="array" ref="A3694">IFNA(index(PlayerValues!A:A,match(IFNA(vlookup(B3694,'Special Names'!A:B,2,FALSE),B3694),PlayerValues!E:E,0)),"N/A")</f>
        <v>14833</v>
      </c>
      <c r="B3694" s="4" t="s">
        <v>553</v>
      </c>
      <c r="C3694" s="4" t="s">
        <v>287</v>
      </c>
      <c r="D3694" s="94">
        <v>2647.0</v>
      </c>
    </row>
    <row r="3695">
      <c r="A3695" s="40">
        <f t="array" ref="A3695">IFNA(index(PlayerValues!A:A,match(IFNA(vlookup(B3695,'Special Names'!A:B,2,FALSE),B3695),PlayerValues!E:E,0)),"N/A")</f>
        <v>12186</v>
      </c>
      <c r="B3695" s="4" t="s">
        <v>497</v>
      </c>
      <c r="C3695" s="4" t="s">
        <v>287</v>
      </c>
      <c r="D3695" s="94">
        <v>2628.0</v>
      </c>
    </row>
    <row r="3696">
      <c r="A3696" s="40" t="str">
        <f t="array" ref="A3696">IFNA(index(PlayerValues!A:A,match(IFNA(vlookup(B3696,'Special Names'!A:B,2,FALSE),B3696),PlayerValues!E:E,0)),"N/A")</f>
        <v>N/A</v>
      </c>
      <c r="B3696" s="4" t="s">
        <v>110</v>
      </c>
      <c r="C3696" s="4" t="s">
        <v>325</v>
      </c>
      <c r="D3696" s="94">
        <v>2627.0</v>
      </c>
    </row>
    <row r="3697">
      <c r="A3697" s="40">
        <f t="array" ref="A3697">IFNA(index(PlayerValues!A:A,match(IFNA(vlookup(B3697,'Special Names'!A:B,2,FALSE),B3697),PlayerValues!E:E,0)),"N/A")</f>
        <v>14778</v>
      </c>
      <c r="B3697" s="4" t="s">
        <v>564</v>
      </c>
      <c r="C3697" s="4" t="s">
        <v>283</v>
      </c>
      <c r="D3697" s="94">
        <v>2626.0</v>
      </c>
    </row>
    <row r="3698">
      <c r="A3698" s="40">
        <f t="array" ref="A3698">IFNA(index(PlayerValues!A:A,match(IFNA(vlookup(B3698,'Special Names'!A:B,2,FALSE),B3698),PlayerValues!E:E,0)),"N/A")</f>
        <v>17046</v>
      </c>
      <c r="B3698" s="4" t="s">
        <v>602</v>
      </c>
      <c r="C3698" s="4" t="s">
        <v>278</v>
      </c>
      <c r="D3698" s="94">
        <v>2621.0</v>
      </c>
    </row>
    <row r="3699">
      <c r="A3699" s="40">
        <f t="array" ref="A3699">IFNA(index(PlayerValues!A:A,match(IFNA(vlookup(B3699,'Special Names'!A:B,2,FALSE),B3699),PlayerValues!E:E,0)),"N/A")</f>
        <v>16757</v>
      </c>
      <c r="B3699" s="4" t="s">
        <v>558</v>
      </c>
      <c r="C3699" s="4" t="s">
        <v>278</v>
      </c>
      <c r="D3699" s="94">
        <v>2611.0</v>
      </c>
    </row>
    <row r="3700">
      <c r="A3700" s="40">
        <f t="array" ref="A3700">IFNA(index(PlayerValues!A:A,match(IFNA(vlookup(B3700,'Special Names'!A:B,2,FALSE),B3700),PlayerValues!E:E,0)),"N/A")</f>
        <v>14138</v>
      </c>
      <c r="B3700" s="4" t="s">
        <v>531</v>
      </c>
      <c r="C3700" s="4" t="s">
        <v>298</v>
      </c>
      <c r="D3700" s="94">
        <v>3020.0</v>
      </c>
    </row>
    <row r="3701">
      <c r="A3701" s="40">
        <f t="array" ref="A3701">IFNA(index(PlayerValues!A:A,match(IFNA(vlookup(B3701,'Special Names'!A:B,2,FALSE),B3701),PlayerValues!E:E,0)),"N/A")</f>
        <v>13674</v>
      </c>
      <c r="B3701" s="4" t="s">
        <v>511</v>
      </c>
      <c r="C3701" s="4" t="s">
        <v>298</v>
      </c>
      <c r="D3701" s="94">
        <v>3014.0</v>
      </c>
    </row>
    <row r="3702">
      <c r="A3702" s="40">
        <f t="array" ref="A3702">IFNA(index(PlayerValues!A:A,match(IFNA(vlookup(B3702,'Special Names'!A:B,2,FALSE),B3702),PlayerValues!E:E,0)),"N/A")</f>
        <v>15721</v>
      </c>
      <c r="B3702" s="4" t="s">
        <v>504</v>
      </c>
      <c r="C3702" s="4" t="s">
        <v>278</v>
      </c>
      <c r="D3702" s="94">
        <v>2585.0</v>
      </c>
    </row>
    <row r="3703">
      <c r="A3703" s="40" t="str">
        <f t="array" ref="A3703">IFNA(index(PlayerValues!A:A,match(IFNA(vlookup(B3703,'Special Names'!A:B,2,FALSE),B3703),PlayerValues!E:E,0)),"N/A")</f>
        <v>N/A</v>
      </c>
      <c r="B3703" s="4" t="s">
        <v>557</v>
      </c>
      <c r="C3703" s="4" t="s">
        <v>278</v>
      </c>
      <c r="D3703" s="94">
        <v>2579.0</v>
      </c>
    </row>
    <row r="3704">
      <c r="A3704" s="40">
        <f t="array" ref="A3704">IFNA(index(PlayerValues!A:A,match(IFNA(vlookup(B3704,'Special Names'!A:B,2,FALSE),B3704),PlayerValues!E:E,0)),"N/A")</f>
        <v>17108</v>
      </c>
      <c r="B3704" s="4" t="s">
        <v>542</v>
      </c>
      <c r="C3704" s="4" t="s">
        <v>298</v>
      </c>
      <c r="D3704" s="94">
        <v>2988.0</v>
      </c>
    </row>
    <row r="3705">
      <c r="A3705" s="40">
        <f t="array" ref="A3705">IFNA(index(PlayerValues!A:A,match(IFNA(vlookup(B3705,'Special Names'!A:B,2,FALSE),B3705),PlayerValues!E:E,0)),"N/A")</f>
        <v>13192</v>
      </c>
      <c r="B3705" s="4" t="s">
        <v>563</v>
      </c>
      <c r="C3705" s="4" t="s">
        <v>298</v>
      </c>
      <c r="D3705" s="94">
        <v>2964.0</v>
      </c>
    </row>
    <row r="3706">
      <c r="A3706" s="40">
        <f t="array" ref="A3706">IFNA(index(PlayerValues!A:A,match(IFNA(vlookup(B3706,'Special Names'!A:B,2,FALSE),B3706),PlayerValues!E:E,0)),"N/A")</f>
        <v>16287</v>
      </c>
      <c r="B3706" s="4" t="s">
        <v>516</v>
      </c>
      <c r="C3706" s="4" t="s">
        <v>287</v>
      </c>
      <c r="D3706" s="94">
        <v>2541.0</v>
      </c>
    </row>
    <row r="3707">
      <c r="A3707" s="40">
        <f t="array" ref="A3707">IFNA(index(PlayerValues!A:A,match(IFNA(vlookup(B3707,'Special Names'!A:B,2,FALSE),B3707),PlayerValues!E:E,0)),"N/A")</f>
        <v>17464</v>
      </c>
      <c r="B3707" s="4" t="s">
        <v>828</v>
      </c>
      <c r="C3707" s="4" t="s">
        <v>283</v>
      </c>
      <c r="D3707" s="94">
        <v>2540.0</v>
      </c>
    </row>
    <row r="3708">
      <c r="A3708" s="40">
        <f t="array" ref="A3708">IFNA(index(PlayerValues!A:A,match(IFNA(vlookup(B3708,'Special Names'!A:B,2,FALSE),B3708),PlayerValues!E:E,0)),"N/A")</f>
        <v>16166</v>
      </c>
      <c r="B3708" s="4" t="s">
        <v>567</v>
      </c>
      <c r="C3708" s="4" t="s">
        <v>278</v>
      </c>
      <c r="D3708" s="94">
        <v>2537.0</v>
      </c>
    </row>
    <row r="3709">
      <c r="A3709" s="40">
        <f t="array" ref="A3709">IFNA(index(PlayerValues!A:A,match(IFNA(vlookup(B3709,'Special Names'!A:B,2,FALSE),B3709),PlayerValues!E:E,0)),"N/A")</f>
        <v>14136</v>
      </c>
      <c r="B3709" s="4" t="s">
        <v>536</v>
      </c>
      <c r="C3709" s="4" t="s">
        <v>287</v>
      </c>
      <c r="D3709" s="94">
        <v>2532.0</v>
      </c>
    </row>
    <row r="3710">
      <c r="A3710" s="40">
        <f t="array" ref="A3710">IFNA(index(PlayerValues!A:A,match(IFNA(vlookup(B3710,'Special Names'!A:B,2,FALSE),B3710),PlayerValues!E:E,0)),"N/A")</f>
        <v>13671</v>
      </c>
      <c r="B3710" s="4" t="s">
        <v>506</v>
      </c>
      <c r="C3710" s="4" t="s">
        <v>298</v>
      </c>
      <c r="D3710" s="94">
        <v>2939.0</v>
      </c>
    </row>
    <row r="3711">
      <c r="A3711" s="40">
        <f t="array" ref="A3711">IFNA(index(PlayerValues!A:A,match(IFNA(vlookup(B3711,'Special Names'!A:B,2,FALSE),B3711),PlayerValues!E:E,0)),"N/A")</f>
        <v>17078</v>
      </c>
      <c r="B3711" s="4" t="s">
        <v>543</v>
      </c>
      <c r="C3711" s="4" t="s">
        <v>287</v>
      </c>
      <c r="D3711" s="94">
        <v>2489.0</v>
      </c>
    </row>
    <row r="3712">
      <c r="A3712" s="40">
        <f t="array" ref="A3712">IFNA(index(PlayerValues!A:A,match(IFNA(vlookup(B3712,'Special Names'!A:B,2,FALSE),B3712),PlayerValues!E:E,0)),"N/A")</f>
        <v>15972</v>
      </c>
      <c r="B3712" s="4" t="s">
        <v>469</v>
      </c>
      <c r="C3712" s="4" t="s">
        <v>278</v>
      </c>
      <c r="D3712" s="94">
        <v>2485.0</v>
      </c>
    </row>
    <row r="3713">
      <c r="A3713" s="40">
        <f t="array" ref="A3713">IFNA(index(PlayerValues!A:A,match(IFNA(vlookup(B3713,'Special Names'!A:B,2,FALSE),B3713),PlayerValues!E:E,0)),"N/A")</f>
        <v>17509</v>
      </c>
      <c r="B3713" s="4" t="s">
        <v>551</v>
      </c>
      <c r="C3713" s="4" t="s">
        <v>287</v>
      </c>
      <c r="D3713" s="94">
        <v>2482.0</v>
      </c>
    </row>
    <row r="3714">
      <c r="A3714" s="40">
        <f t="array" ref="A3714">IFNA(index(PlayerValues!A:A,match(IFNA(vlookup(B3714,'Special Names'!A:B,2,FALSE),B3714),PlayerValues!E:E,0)),"N/A")</f>
        <v>17474</v>
      </c>
      <c r="B3714" s="4" t="s">
        <v>513</v>
      </c>
      <c r="C3714" s="4" t="s">
        <v>278</v>
      </c>
      <c r="D3714" s="94">
        <v>2474.0</v>
      </c>
    </row>
    <row r="3715">
      <c r="A3715" s="40">
        <f t="array" ref="A3715">IFNA(index(PlayerValues!A:A,match(IFNA(vlookup(B3715,'Special Names'!A:B,2,FALSE),B3715),PlayerValues!E:E,0)),"N/A")</f>
        <v>16164</v>
      </c>
      <c r="B3715" s="4" t="s">
        <v>512</v>
      </c>
      <c r="C3715" s="4" t="s">
        <v>278</v>
      </c>
      <c r="D3715" s="94">
        <v>2474.0</v>
      </c>
    </row>
    <row r="3716">
      <c r="A3716" s="40">
        <f t="array" ref="A3716">IFNA(index(PlayerValues!A:A,match(IFNA(vlookup(B3716,'Special Names'!A:B,2,FALSE),B3716),PlayerValues!E:E,0)),"N/A")</f>
        <v>16617</v>
      </c>
      <c r="B3716" s="4" t="s">
        <v>541</v>
      </c>
      <c r="C3716" s="4" t="s">
        <v>287</v>
      </c>
      <c r="D3716" s="94">
        <v>2470.0</v>
      </c>
    </row>
    <row r="3717">
      <c r="A3717" s="40">
        <f t="array" ref="A3717">IFNA(index(PlayerValues!A:A,match(IFNA(vlookup(B3717,'Special Names'!A:B,2,FALSE),B3717),PlayerValues!E:E,0)),"N/A")</f>
        <v>16189</v>
      </c>
      <c r="B3717" s="4" t="s">
        <v>582</v>
      </c>
      <c r="C3717" s="4" t="s">
        <v>287</v>
      </c>
      <c r="D3717" s="94">
        <v>2468.0</v>
      </c>
    </row>
    <row r="3718">
      <c r="A3718" s="40" t="str">
        <f t="array" ref="A3718">IFNA(index(PlayerValues!A:A,match(IFNA(vlookup(B3718,'Special Names'!A:B,2,FALSE),B3718),PlayerValues!E:E,0)),"N/A")</f>
        <v>N/A</v>
      </c>
      <c r="B3718" s="4" t="s">
        <v>98</v>
      </c>
      <c r="C3718" s="4" t="s">
        <v>325</v>
      </c>
      <c r="D3718" s="94">
        <v>2453.0</v>
      </c>
    </row>
    <row r="3719">
      <c r="A3719" s="40">
        <f t="array" ref="A3719">IFNA(index(PlayerValues!A:A,match(IFNA(vlookup(B3719,'Special Names'!A:B,2,FALSE),B3719),PlayerValues!E:E,0)),"N/A")</f>
        <v>16152</v>
      </c>
      <c r="B3719" s="4" t="s">
        <v>601</v>
      </c>
      <c r="C3719" s="4" t="s">
        <v>283</v>
      </c>
      <c r="D3719" s="94">
        <v>2430.0</v>
      </c>
    </row>
    <row r="3720">
      <c r="A3720" s="40">
        <f t="array" ref="A3720">IFNA(index(PlayerValues!A:A,match(IFNA(vlookup(B3720,'Special Names'!A:B,2,FALSE),B3720),PlayerValues!E:E,0)),"N/A")</f>
        <v>12616</v>
      </c>
      <c r="B3720" s="4" t="s">
        <v>529</v>
      </c>
      <c r="C3720" s="4" t="s">
        <v>283</v>
      </c>
      <c r="D3720" s="94">
        <v>2427.0</v>
      </c>
    </row>
    <row r="3721">
      <c r="A3721" s="40">
        <f t="array" ref="A3721">IFNA(index(PlayerValues!A:A,match(IFNA(vlookup(B3721,'Special Names'!A:B,2,FALSE),B3721),PlayerValues!E:E,0)),"N/A")</f>
        <v>16204</v>
      </c>
      <c r="B3721" s="4" t="s">
        <v>530</v>
      </c>
      <c r="C3721" s="4" t="s">
        <v>287</v>
      </c>
      <c r="D3721" s="94">
        <v>2411.0</v>
      </c>
    </row>
    <row r="3722">
      <c r="A3722" s="40">
        <f t="array" ref="A3722">IFNA(index(PlayerValues!A:A,match(IFNA(vlookup(B3722,'Special Names'!A:B,2,FALSE),B3722),PlayerValues!E:E,0)),"N/A")</f>
        <v>17506</v>
      </c>
      <c r="B3722" s="4" t="s">
        <v>471</v>
      </c>
      <c r="C3722" s="4" t="s">
        <v>287</v>
      </c>
      <c r="D3722" s="94">
        <v>2398.0</v>
      </c>
    </row>
    <row r="3723">
      <c r="A3723" s="40">
        <f t="array" ref="A3723">IFNA(index(PlayerValues!A:A,match(IFNA(vlookup(B3723,'Special Names'!A:B,2,FALSE),B3723),PlayerValues!E:E,0)),"N/A")</f>
        <v>12676</v>
      </c>
      <c r="B3723" s="4" t="s">
        <v>537</v>
      </c>
      <c r="C3723" s="4" t="s">
        <v>298</v>
      </c>
      <c r="D3723" s="94">
        <v>2792.0</v>
      </c>
    </row>
    <row r="3724">
      <c r="A3724" s="40">
        <f t="array" ref="A3724">IFNA(index(PlayerValues!A:A,match(IFNA(vlookup(B3724,'Special Names'!A:B,2,FALSE),B3724),PlayerValues!E:E,0)),"N/A")</f>
        <v>17033</v>
      </c>
      <c r="B3724" s="4" t="s">
        <v>570</v>
      </c>
      <c r="C3724" s="4" t="s">
        <v>283</v>
      </c>
      <c r="D3724" s="94">
        <v>2383.0</v>
      </c>
    </row>
    <row r="3725">
      <c r="A3725" s="40" t="str">
        <f t="array" ref="A3725">IFNA(index(PlayerValues!A:A,match(IFNA(vlookup(B3725,'Special Names'!A:B,2,FALSE),B3725),PlayerValues!E:E,0)),"N/A")</f>
        <v>N/A</v>
      </c>
      <c r="B3725" s="4" t="s">
        <v>86</v>
      </c>
      <c r="C3725" s="4" t="s">
        <v>325</v>
      </c>
      <c r="D3725" s="94">
        <v>2364.0</v>
      </c>
    </row>
    <row r="3726">
      <c r="A3726" s="40">
        <f t="array" ref="A3726">IFNA(index(PlayerValues!A:A,match(IFNA(vlookup(B3726,'Special Names'!A:B,2,FALSE),B3726),PlayerValues!E:E,0)),"N/A")</f>
        <v>16610</v>
      </c>
      <c r="B3726" s="4" t="s">
        <v>562</v>
      </c>
      <c r="C3726" s="4" t="s">
        <v>278</v>
      </c>
      <c r="D3726" s="94">
        <v>2358.0</v>
      </c>
    </row>
    <row r="3727">
      <c r="A3727" s="40">
        <f t="array" ref="A3727">IFNA(index(PlayerValues!A:A,match(IFNA(vlookup(B3727,'Special Names'!A:B,2,FALSE),B3727),PlayerValues!E:E,0)),"N/A")</f>
        <v>15716</v>
      </c>
      <c r="B3727" s="4" t="s">
        <v>545</v>
      </c>
      <c r="C3727" s="4" t="s">
        <v>278</v>
      </c>
      <c r="D3727" s="94">
        <v>2355.0</v>
      </c>
    </row>
    <row r="3728">
      <c r="A3728" s="40">
        <f t="array" ref="A3728">IFNA(index(PlayerValues!A:A,match(IFNA(vlookup(B3728,'Special Names'!A:B,2,FALSE),B3728),PlayerValues!E:E,0)),"N/A")</f>
        <v>14861</v>
      </c>
      <c r="B3728" s="4" t="s">
        <v>523</v>
      </c>
      <c r="C3728" s="4" t="s">
        <v>298</v>
      </c>
      <c r="D3728" s="94">
        <v>2746.0</v>
      </c>
    </row>
    <row r="3729">
      <c r="A3729" s="40">
        <f t="array" ref="A3729">IFNA(index(PlayerValues!A:A,match(IFNA(vlookup(B3729,'Special Names'!A:B,2,FALSE),B3729),PlayerValues!E:E,0)),"N/A")</f>
        <v>13132</v>
      </c>
      <c r="B3729" s="4" t="s">
        <v>598</v>
      </c>
      <c r="C3729" s="4" t="s">
        <v>278</v>
      </c>
      <c r="D3729" s="94">
        <v>2346.0</v>
      </c>
    </row>
    <row r="3730">
      <c r="A3730" s="40">
        <f t="array" ref="A3730">IFNA(index(PlayerValues!A:A,match(IFNA(vlookup(B3730,'Special Names'!A:B,2,FALSE),B3730),PlayerValues!E:E,0)),"N/A")</f>
        <v>13772</v>
      </c>
      <c r="B3730" s="4" t="s">
        <v>544</v>
      </c>
      <c r="C3730" s="4" t="s">
        <v>298</v>
      </c>
      <c r="D3730" s="94">
        <v>2742.0</v>
      </c>
    </row>
    <row r="3731">
      <c r="A3731" s="40">
        <f t="array" ref="A3731">IFNA(index(PlayerValues!A:A,match(IFNA(vlookup(B3731,'Special Names'!A:B,2,FALSE),B3731),PlayerValues!E:E,0)),"N/A")</f>
        <v>16178</v>
      </c>
      <c r="B3731" s="4" t="s">
        <v>507</v>
      </c>
      <c r="C3731" s="4" t="s">
        <v>278</v>
      </c>
      <c r="D3731" s="94">
        <v>2339.0</v>
      </c>
    </row>
    <row r="3732">
      <c r="A3732" s="40">
        <f t="array" ref="A3732">IFNA(index(PlayerValues!A:A,match(IFNA(vlookup(B3732,'Special Names'!A:B,2,FALSE),B3732),PlayerValues!E:E,0)),"N/A")</f>
        <v>17079</v>
      </c>
      <c r="B3732" s="4" t="s">
        <v>572</v>
      </c>
      <c r="C3732" s="4" t="s">
        <v>287</v>
      </c>
      <c r="D3732" s="94">
        <v>2334.0</v>
      </c>
    </row>
    <row r="3733">
      <c r="A3733" s="40">
        <f t="array" ref="A3733">IFNA(index(PlayerValues!A:A,match(IFNA(vlookup(B3733,'Special Names'!A:B,2,FALSE),B3733),PlayerValues!E:E,0)),"N/A")</f>
        <v>17105</v>
      </c>
      <c r="B3733" s="4" t="s">
        <v>525</v>
      </c>
      <c r="C3733" s="4" t="s">
        <v>298</v>
      </c>
      <c r="D3733" s="94">
        <v>2733.0</v>
      </c>
    </row>
    <row r="3734">
      <c r="A3734" s="40" t="str">
        <f t="array" ref="A3734">IFNA(index(PlayerValues!A:A,match(IFNA(vlookup(B3734,'Special Names'!A:B,2,FALSE),B3734),PlayerValues!E:E,0)),"N/A")</f>
        <v>N/A</v>
      </c>
      <c r="B3734" s="4" t="s">
        <v>99</v>
      </c>
      <c r="C3734" s="4" t="s">
        <v>325</v>
      </c>
      <c r="D3734" s="94">
        <v>2325.0</v>
      </c>
    </row>
    <row r="3735">
      <c r="A3735" s="40">
        <f t="array" ref="A3735">IFNA(index(PlayerValues!A:A,match(IFNA(vlookup(B3735,'Special Names'!A:B,2,FALSE),B3735),PlayerValues!E:E,0)),"N/A")</f>
        <v>15802</v>
      </c>
      <c r="B3735" s="4" t="s">
        <v>566</v>
      </c>
      <c r="C3735" s="4" t="s">
        <v>298</v>
      </c>
      <c r="D3735" s="94">
        <v>2722.0</v>
      </c>
    </row>
    <row r="3736">
      <c r="A3736" s="40">
        <f t="array" ref="A3736">IFNA(index(PlayerValues!A:A,match(IFNA(vlookup(B3736,'Special Names'!A:B,2,FALSE),B3736),PlayerValues!E:E,0)),"N/A")</f>
        <v>17049</v>
      </c>
      <c r="B3736" s="4" t="s">
        <v>624</v>
      </c>
      <c r="C3736" s="4" t="s">
        <v>278</v>
      </c>
      <c r="D3736" s="94">
        <v>2307.0</v>
      </c>
    </row>
    <row r="3737">
      <c r="A3737" s="40">
        <f t="array" ref="A3737">IFNA(index(PlayerValues!A:A,match(IFNA(vlookup(B3737,'Special Names'!A:B,2,FALSE),B3737),PlayerValues!E:E,0)),"N/A")</f>
        <v>12801</v>
      </c>
      <c r="B3737" s="4" t="s">
        <v>722</v>
      </c>
      <c r="C3737" s="4" t="s">
        <v>287</v>
      </c>
      <c r="D3737" s="94">
        <v>2303.0</v>
      </c>
    </row>
    <row r="3738">
      <c r="A3738" s="40">
        <f t="array" ref="A3738">IFNA(index(PlayerValues!A:A,match(IFNA(vlookup(B3738,'Special Names'!A:B,2,FALSE),B3738),PlayerValues!E:E,0)),"N/A")</f>
        <v>16212</v>
      </c>
      <c r="B3738" s="4" t="s">
        <v>568</v>
      </c>
      <c r="C3738" s="4" t="s">
        <v>298</v>
      </c>
      <c r="D3738" s="94">
        <v>2686.0</v>
      </c>
    </row>
    <row r="3739">
      <c r="A3739" s="40">
        <f t="array" ref="A3739">IFNA(index(PlayerValues!A:A,match(IFNA(vlookup(B3739,'Special Names'!A:B,2,FALSE),B3739),PlayerValues!E:E,0)),"N/A")</f>
        <v>16171</v>
      </c>
      <c r="B3739" s="4" t="s">
        <v>618</v>
      </c>
      <c r="C3739" s="4" t="s">
        <v>278</v>
      </c>
      <c r="D3739" s="94">
        <v>2282.0</v>
      </c>
    </row>
    <row r="3740">
      <c r="A3740" s="40">
        <f t="array" ref="A3740">IFNA(index(PlayerValues!A:A,match(IFNA(vlookup(B3740,'Special Names'!A:B,2,FALSE),B3740),PlayerValues!E:E,0)),"N/A")</f>
        <v>17076</v>
      </c>
      <c r="B3740" s="4" t="s">
        <v>585</v>
      </c>
      <c r="C3740" s="4" t="s">
        <v>287</v>
      </c>
      <c r="D3740" s="94">
        <v>2250.0</v>
      </c>
    </row>
    <row r="3741">
      <c r="A3741" s="40">
        <f t="array" ref="A3741">IFNA(index(PlayerValues!A:A,match(IFNA(vlookup(B3741,'Special Names'!A:B,2,FALSE),B3741),PlayerValues!E:E,0)),"N/A")</f>
        <v>16195</v>
      </c>
      <c r="B3741" s="4" t="s">
        <v>509</v>
      </c>
      <c r="C3741" s="4" t="s">
        <v>287</v>
      </c>
      <c r="D3741" s="94">
        <v>2232.0</v>
      </c>
    </row>
    <row r="3742">
      <c r="A3742" s="40">
        <f t="array" ref="A3742">IFNA(index(PlayerValues!A:A,match(IFNA(vlookup(B3742,'Special Names'!A:B,2,FALSE),B3742),PlayerValues!E:E,0)),"N/A")</f>
        <v>16342</v>
      </c>
      <c r="B3742" s="4" t="s">
        <v>583</v>
      </c>
      <c r="C3742" s="4" t="s">
        <v>287</v>
      </c>
      <c r="D3742" s="94">
        <v>2225.0</v>
      </c>
    </row>
    <row r="3743">
      <c r="A3743" s="40">
        <f t="array" ref="A3743">IFNA(index(PlayerValues!A:A,match(IFNA(vlookup(B3743,'Special Names'!A:B,2,FALSE),B3743),PlayerValues!E:E,0)),"N/A")</f>
        <v>17478</v>
      </c>
      <c r="B3743" s="4" t="s">
        <v>527</v>
      </c>
      <c r="C3743" s="4" t="s">
        <v>278</v>
      </c>
      <c r="D3743" s="94">
        <v>2215.0</v>
      </c>
    </row>
    <row r="3744">
      <c r="A3744" s="40">
        <f t="array" ref="A3744">IFNA(index(PlayerValues!A:A,match(IFNA(vlookup(B3744,'Special Names'!A:B,2,FALSE),B3744),PlayerValues!E:E,0)),"N/A")</f>
        <v>17544</v>
      </c>
      <c r="B3744" s="4" t="s">
        <v>470</v>
      </c>
      <c r="C3744" s="4" t="s">
        <v>298</v>
      </c>
      <c r="D3744" s="94">
        <v>2605.0</v>
      </c>
    </row>
    <row r="3745">
      <c r="A3745" s="40">
        <f t="array" ref="A3745">IFNA(index(PlayerValues!A:A,match(IFNA(vlookup(B3745,'Special Names'!A:B,2,FALSE),B3745),PlayerValues!E:E,0)),"N/A")</f>
        <v>16639</v>
      </c>
      <c r="B3745" s="4" t="s">
        <v>599</v>
      </c>
      <c r="C3745" s="4" t="s">
        <v>287</v>
      </c>
      <c r="D3745" s="94">
        <v>2207.0</v>
      </c>
    </row>
    <row r="3746">
      <c r="A3746" s="40">
        <f t="array" ref="A3746">IFNA(index(PlayerValues!A:A,match(IFNA(vlookup(B3746,'Special Names'!A:B,2,FALSE),B3746),PlayerValues!E:E,0)),"N/A")</f>
        <v>17034</v>
      </c>
      <c r="B3746" s="4" t="s">
        <v>643</v>
      </c>
      <c r="C3746" s="4" t="s">
        <v>283</v>
      </c>
      <c r="D3746" s="94">
        <v>2197.0</v>
      </c>
    </row>
    <row r="3747">
      <c r="A3747" s="40" t="str">
        <f t="array" ref="A3747">IFNA(index(PlayerValues!A:A,match(IFNA(vlookup(B3747,'Special Names'!A:B,2,FALSE),B3747),PlayerValues!E:E,0)),"N/A")</f>
        <v>N/A</v>
      </c>
      <c r="B3747" s="4" t="s">
        <v>100</v>
      </c>
      <c r="C3747" s="4" t="s">
        <v>325</v>
      </c>
      <c r="D3747" s="94">
        <v>2192.0</v>
      </c>
    </row>
    <row r="3748">
      <c r="A3748" s="40">
        <f t="array" ref="A3748">IFNA(index(PlayerValues!A:A,match(IFNA(vlookup(B3748,'Special Names'!A:B,2,FALSE),B3748),PlayerValues!E:E,0)),"N/A")</f>
        <v>13319</v>
      </c>
      <c r="B3748" s="4" t="s">
        <v>549</v>
      </c>
      <c r="C3748" s="4" t="s">
        <v>278</v>
      </c>
      <c r="D3748" s="94">
        <v>2190.0</v>
      </c>
    </row>
    <row r="3749">
      <c r="A3749" s="40" t="str">
        <f t="array" ref="A3749">IFNA(index(PlayerValues!A:A,match(IFNA(vlookup(B3749,'Special Names'!A:B,2,FALSE),B3749),PlayerValues!E:E,0)),"N/A")</f>
        <v>N/A</v>
      </c>
      <c r="B3749" s="4" t="s">
        <v>87</v>
      </c>
      <c r="C3749" s="4" t="s">
        <v>325</v>
      </c>
      <c r="D3749" s="94">
        <v>2189.0</v>
      </c>
    </row>
    <row r="3750">
      <c r="A3750" s="40">
        <f t="array" ref="A3750">IFNA(index(PlayerValues!A:A,match(IFNA(vlookup(B3750,'Special Names'!A:B,2,FALSE),B3750),PlayerValues!E:E,0)),"N/A")</f>
        <v>16036</v>
      </c>
      <c r="B3750" s="4" t="s">
        <v>592</v>
      </c>
      <c r="C3750" s="4" t="s">
        <v>298</v>
      </c>
      <c r="D3750" s="94">
        <v>2573.0</v>
      </c>
    </row>
    <row r="3751">
      <c r="A3751" s="40">
        <f t="array" ref="A3751">IFNA(index(PlayerValues!A:A,match(IFNA(vlookup(B3751,'Special Names'!A:B,2,FALSE),B3751),PlayerValues!E:E,0)),"N/A")</f>
        <v>17069</v>
      </c>
      <c r="B3751" s="4" t="s">
        <v>604</v>
      </c>
      <c r="C3751" s="4" t="s">
        <v>278</v>
      </c>
      <c r="D3751" s="94">
        <v>2176.0</v>
      </c>
    </row>
    <row r="3752">
      <c r="A3752" s="40">
        <f t="array" ref="A3752">IFNA(index(PlayerValues!A:A,match(IFNA(vlookup(B3752,'Special Names'!A:B,2,FALSE),B3752),PlayerValues!E:E,0)),"N/A")</f>
        <v>15889</v>
      </c>
      <c r="B3752" s="4" t="s">
        <v>503</v>
      </c>
      <c r="C3752" s="4" t="s">
        <v>298</v>
      </c>
      <c r="D3752" s="94">
        <v>2566.0</v>
      </c>
    </row>
    <row r="3753">
      <c r="A3753" s="40">
        <f t="array" ref="A3753">IFNA(index(PlayerValues!A:A,match(IFNA(vlookup(B3753,'Special Names'!A:B,2,FALSE),B3753),PlayerValues!E:E,0)),"N/A")</f>
        <v>16684</v>
      </c>
      <c r="B3753" s="4" t="s">
        <v>500</v>
      </c>
      <c r="C3753" s="4" t="s">
        <v>287</v>
      </c>
      <c r="D3753" s="94">
        <v>2173.0</v>
      </c>
    </row>
    <row r="3754">
      <c r="A3754" s="40">
        <f t="array" ref="A3754">IFNA(index(PlayerValues!A:A,match(IFNA(vlookup(B3754,'Special Names'!A:B,2,FALSE),B3754),PlayerValues!E:E,0)),"N/A")</f>
        <v>17503</v>
      </c>
      <c r="B3754" s="4" t="s">
        <v>480</v>
      </c>
      <c r="C3754" s="4" t="s">
        <v>287</v>
      </c>
      <c r="D3754" s="94">
        <v>2157.0</v>
      </c>
    </row>
    <row r="3755">
      <c r="A3755" s="40">
        <f t="array" ref="A3755">IFNA(index(PlayerValues!A:A,match(IFNA(vlookup(B3755,'Special Names'!A:B,2,FALSE),B3755),PlayerValues!E:E,0)),"N/A")</f>
        <v>15749</v>
      </c>
      <c r="B3755" s="4" t="s">
        <v>574</v>
      </c>
      <c r="C3755" s="4" t="s">
        <v>278</v>
      </c>
      <c r="D3755" s="94">
        <v>2137.0</v>
      </c>
    </row>
    <row r="3756">
      <c r="A3756" s="40">
        <f t="array" ref="A3756">IFNA(index(PlayerValues!A:A,match(IFNA(vlookup(B3756,'Special Names'!A:B,2,FALSE),B3756),PlayerValues!E:E,0)),"N/A")</f>
        <v>16752</v>
      </c>
      <c r="B3756" s="4" t="s">
        <v>597</v>
      </c>
      <c r="C3756" s="4" t="s">
        <v>278</v>
      </c>
      <c r="D3756" s="94">
        <v>2128.0</v>
      </c>
    </row>
    <row r="3757">
      <c r="A3757" s="40">
        <f t="array" ref="A3757">IFNA(index(PlayerValues!A:A,match(IFNA(vlookup(B3757,'Special Names'!A:B,2,FALSE),B3757),PlayerValues!E:E,0)),"N/A")</f>
        <v>14871</v>
      </c>
      <c r="B3757" s="4" t="s">
        <v>584</v>
      </c>
      <c r="C3757" s="4" t="s">
        <v>298</v>
      </c>
      <c r="D3757" s="94">
        <v>2513.0</v>
      </c>
    </row>
    <row r="3758">
      <c r="A3758" s="40" t="str">
        <f t="array" ref="A3758">IFNA(index(PlayerValues!A:A,match(IFNA(vlookup(B3758,'Special Names'!A:B,2,FALSE),B3758),PlayerValues!E:E,0)),"N/A")</f>
        <v>N/A</v>
      </c>
      <c r="B3758" s="4" t="s">
        <v>112</v>
      </c>
      <c r="C3758" s="4" t="s">
        <v>325</v>
      </c>
      <c r="D3758" s="94">
        <v>2121.0</v>
      </c>
    </row>
    <row r="3759">
      <c r="A3759" s="40">
        <f t="array" ref="A3759">IFNA(index(PlayerValues!A:A,match(IFNA(vlookup(B3759,'Special Names'!A:B,2,FALSE),B3759),PlayerValues!E:E,0)),"N/A")</f>
        <v>16191</v>
      </c>
      <c r="B3759" s="4" t="s">
        <v>666</v>
      </c>
      <c r="C3759" s="4" t="s">
        <v>287</v>
      </c>
      <c r="D3759" s="94">
        <v>2111.0</v>
      </c>
    </row>
    <row r="3760">
      <c r="A3760" s="40">
        <f t="array" ref="A3760">IFNA(index(PlayerValues!A:A,match(IFNA(vlookup(B3760,'Special Names'!A:B,2,FALSE),B3760),PlayerValues!E:E,0)),"N/A")</f>
        <v>17087</v>
      </c>
      <c r="B3760" s="4" t="s">
        <v>600</v>
      </c>
      <c r="C3760" s="4" t="s">
        <v>287</v>
      </c>
      <c r="D3760" s="94">
        <v>2110.0</v>
      </c>
    </row>
    <row r="3761">
      <c r="A3761" s="40">
        <f t="array" ref="A3761">IFNA(index(PlayerValues!A:A,match(IFNA(vlookup(B3761,'Special Names'!A:B,2,FALSE),B3761),PlayerValues!E:E,0)),"N/A")</f>
        <v>16644</v>
      </c>
      <c r="B3761" s="4" t="s">
        <v>640</v>
      </c>
      <c r="C3761" s="4" t="s">
        <v>298</v>
      </c>
      <c r="D3761" s="94">
        <v>2500.0</v>
      </c>
    </row>
    <row r="3762">
      <c r="A3762" s="40">
        <f t="array" ref="A3762">IFNA(index(PlayerValues!A:A,match(IFNA(vlookup(B3762,'Special Names'!A:B,2,FALSE),B3762),PlayerValues!E:E,0)),"N/A")</f>
        <v>16432</v>
      </c>
      <c r="B3762" s="4" t="s">
        <v>620</v>
      </c>
      <c r="C3762" s="4" t="s">
        <v>278</v>
      </c>
      <c r="D3762" s="94">
        <v>2101.0</v>
      </c>
    </row>
    <row r="3763">
      <c r="A3763" s="40">
        <f t="array" ref="A3763">IFNA(index(PlayerValues!A:A,match(IFNA(vlookup(B3763,'Special Names'!A:B,2,FALSE),B3763),PlayerValues!E:E,0)),"N/A")</f>
        <v>14867</v>
      </c>
      <c r="B3763" s="4" t="s">
        <v>591</v>
      </c>
      <c r="C3763" s="4" t="s">
        <v>298</v>
      </c>
      <c r="D3763" s="94">
        <v>2480.0</v>
      </c>
    </row>
    <row r="3764">
      <c r="A3764" s="40" t="str">
        <f t="array" ref="A3764">IFNA(index(PlayerValues!A:A,match(IFNA(vlookup(B3764,'Special Names'!A:B,2,FALSE),B3764),PlayerValues!E:E,0)),"N/A")</f>
        <v>N/A</v>
      </c>
      <c r="B3764" s="4" t="s">
        <v>88</v>
      </c>
      <c r="C3764" s="4" t="s">
        <v>325</v>
      </c>
      <c r="D3764" s="94">
        <v>2085.0</v>
      </c>
    </row>
    <row r="3765">
      <c r="A3765" s="40">
        <f t="array" ref="A3765">IFNA(index(PlayerValues!A:A,match(IFNA(vlookup(B3765,'Special Names'!A:B,2,FALSE),B3765),PlayerValues!E:E,0)),"N/A")</f>
        <v>16643</v>
      </c>
      <c r="B3765" s="4" t="s">
        <v>609</v>
      </c>
      <c r="C3765" s="4" t="s">
        <v>298</v>
      </c>
      <c r="D3765" s="94">
        <v>2474.0</v>
      </c>
    </row>
    <row r="3766">
      <c r="A3766" s="40">
        <f t="array" ref="A3766">IFNA(index(PlayerValues!A:A,match(IFNA(vlookup(B3766,'Special Names'!A:B,2,FALSE),B3766),PlayerValues!E:E,0)),"N/A")</f>
        <v>16174</v>
      </c>
      <c r="B3766" s="4" t="s">
        <v>505</v>
      </c>
      <c r="C3766" s="4" t="s">
        <v>278</v>
      </c>
      <c r="D3766" s="94">
        <v>2081.0</v>
      </c>
    </row>
    <row r="3767">
      <c r="A3767" s="40">
        <f t="array" ref="A3767">IFNA(index(PlayerValues!A:A,match(IFNA(vlookup(B3767,'Special Names'!A:B,2,FALSE),B3767),PlayerValues!E:E,0)),"N/A")</f>
        <v>17482</v>
      </c>
      <c r="B3767" s="4" t="s">
        <v>460</v>
      </c>
      <c r="C3767" s="4" t="s">
        <v>278</v>
      </c>
      <c r="D3767" s="94">
        <v>2072.0</v>
      </c>
    </row>
    <row r="3768">
      <c r="A3768" s="40">
        <f t="array" ref="A3768">IFNA(index(PlayerValues!A:A,match(IFNA(vlookup(B3768,'Special Names'!A:B,2,FALSE),B3768),PlayerValues!E:E,0)),"N/A")</f>
        <v>15238</v>
      </c>
      <c r="B3768" s="4" t="s">
        <v>613</v>
      </c>
      <c r="C3768" s="4" t="s">
        <v>283</v>
      </c>
      <c r="D3768" s="94">
        <v>2058.0</v>
      </c>
    </row>
    <row r="3769">
      <c r="A3769" s="40">
        <f t="array" ref="A3769">IFNA(index(PlayerValues!A:A,match(IFNA(vlookup(B3769,'Special Names'!A:B,2,FALSE),B3769),PlayerValues!E:E,0)),"N/A")</f>
        <v>15331</v>
      </c>
      <c r="B3769" s="4" t="s">
        <v>560</v>
      </c>
      <c r="C3769" s="4" t="s">
        <v>298</v>
      </c>
      <c r="D3769" s="94">
        <v>2423.0</v>
      </c>
    </row>
    <row r="3770">
      <c r="A3770" s="40">
        <f t="array" ref="A3770">IFNA(index(PlayerValues!A:A,match(IFNA(vlookup(B3770,'Special Names'!A:B,2,FALSE),B3770),PlayerValues!E:E,0)),"N/A")</f>
        <v>17517</v>
      </c>
      <c r="B3770" s="4" t="s">
        <v>454</v>
      </c>
      <c r="C3770" s="4" t="s">
        <v>287</v>
      </c>
      <c r="D3770" s="94">
        <v>2029.0</v>
      </c>
    </row>
    <row r="3771">
      <c r="A3771" s="40">
        <f t="array" ref="A3771">IFNA(index(PlayerValues!A:A,match(IFNA(vlookup(B3771,'Special Names'!A:B,2,FALSE),B3771),PlayerValues!E:E,0)),"N/A")</f>
        <v>17056</v>
      </c>
      <c r="B3771" s="4" t="s">
        <v>581</v>
      </c>
      <c r="C3771" s="4" t="s">
        <v>278</v>
      </c>
      <c r="D3771" s="94">
        <v>2025.0</v>
      </c>
    </row>
    <row r="3772">
      <c r="A3772" s="40">
        <f t="array" ref="A3772">IFNA(index(PlayerValues!A:A,match(IFNA(vlookup(B3772,'Special Names'!A:B,2,FALSE),B3772),PlayerValues!E:E,0)),"N/A")</f>
        <v>17512</v>
      </c>
      <c r="B3772" s="4" t="s">
        <v>483</v>
      </c>
      <c r="C3772" s="4" t="s">
        <v>287</v>
      </c>
      <c r="D3772" s="94">
        <v>2023.0</v>
      </c>
    </row>
    <row r="3773">
      <c r="A3773" s="40">
        <f t="array" ref="A3773">IFNA(index(PlayerValues!A:A,match(IFNA(vlookup(B3773,'Special Names'!A:B,2,FALSE),B3773),PlayerValues!E:E,0)),"N/A")</f>
        <v>13146</v>
      </c>
      <c r="B3773" s="4" t="s">
        <v>652</v>
      </c>
      <c r="C3773" s="4" t="s">
        <v>278</v>
      </c>
      <c r="D3773" s="94">
        <v>2013.0</v>
      </c>
    </row>
    <row r="3774">
      <c r="A3774" s="40">
        <f t="array" ref="A3774">IFNA(index(PlayerValues!A:A,match(IFNA(vlookup(B3774,'Special Names'!A:B,2,FALSE),B3774),PlayerValues!E:E,0)),"N/A")</f>
        <v>17547</v>
      </c>
      <c r="B3774" s="4" t="s">
        <v>552</v>
      </c>
      <c r="C3774" s="4" t="s">
        <v>298</v>
      </c>
      <c r="D3774" s="94">
        <v>2394.0</v>
      </c>
    </row>
    <row r="3775">
      <c r="A3775" s="40" t="str">
        <f t="array" ref="A3775">IFNA(index(PlayerValues!A:A,match(IFNA(vlookup(B3775,'Special Names'!A:B,2,FALSE),B3775),PlayerValues!E:E,0)),"N/A")</f>
        <v>N/A</v>
      </c>
      <c r="B3775" s="4" t="s">
        <v>113</v>
      </c>
      <c r="C3775" s="4" t="s">
        <v>325</v>
      </c>
      <c r="D3775" s="94">
        <v>2001.0</v>
      </c>
    </row>
    <row r="3776">
      <c r="A3776" s="40">
        <f t="array" ref="A3776">IFNA(index(PlayerValues!A:A,match(IFNA(vlookup(B3776,'Special Names'!A:B,2,FALSE),B3776),PlayerValues!E:E,0)),"N/A")</f>
        <v>17060</v>
      </c>
      <c r="B3776" s="4" t="s">
        <v>603</v>
      </c>
      <c r="C3776" s="4" t="s">
        <v>278</v>
      </c>
      <c r="D3776" s="94">
        <v>2000.0</v>
      </c>
    </row>
    <row r="3777">
      <c r="A3777" s="40">
        <f t="array" ref="A3777">IFNA(index(PlayerValues!A:A,match(IFNA(vlookup(B3777,'Special Names'!A:B,2,FALSE),B3777),PlayerValues!E:E,0)),"N/A")</f>
        <v>16603</v>
      </c>
      <c r="B3777" s="4" t="s">
        <v>587</v>
      </c>
      <c r="C3777" s="4" t="s">
        <v>278</v>
      </c>
      <c r="D3777" s="94">
        <v>1985.0</v>
      </c>
    </row>
    <row r="3778">
      <c r="A3778" s="40">
        <f t="array" ref="A3778">IFNA(index(PlayerValues!A:A,match(IFNA(vlookup(B3778,'Special Names'!A:B,2,FALSE),B3778),PlayerValues!E:E,0)),"N/A")</f>
        <v>14974</v>
      </c>
      <c r="B3778" s="4" t="s">
        <v>611</v>
      </c>
      <c r="C3778" s="4" t="s">
        <v>287</v>
      </c>
      <c r="D3778" s="94">
        <v>1974.0</v>
      </c>
    </row>
    <row r="3779">
      <c r="A3779" s="40">
        <f t="array" ref="A3779">IFNA(index(PlayerValues!A:A,match(IFNA(vlookup(B3779,'Special Names'!A:B,2,FALSE),B3779),PlayerValues!E:E,0)),"N/A")</f>
        <v>17546</v>
      </c>
      <c r="B3779" s="4" t="s">
        <v>671</v>
      </c>
      <c r="C3779" s="4" t="s">
        <v>298</v>
      </c>
      <c r="D3779" s="94">
        <v>2358.0</v>
      </c>
    </row>
    <row r="3780">
      <c r="A3780" s="40">
        <f t="array" ref="A3780">IFNA(index(PlayerValues!A:A,match(IFNA(vlookup(B3780,'Special Names'!A:B,2,FALSE),B3780),PlayerValues!E:E,0)),"N/A")</f>
        <v>13633</v>
      </c>
      <c r="B3780" s="4" t="s">
        <v>625</v>
      </c>
      <c r="C3780" s="4" t="s">
        <v>287</v>
      </c>
      <c r="D3780" s="94">
        <v>1964.0</v>
      </c>
    </row>
    <row r="3781">
      <c r="A3781" s="40">
        <f t="array" ref="A3781">IFNA(index(PlayerValues!A:A,match(IFNA(vlookup(B3781,'Special Names'!A:B,2,FALSE),B3781),PlayerValues!E:E,0)),"N/A")</f>
        <v>17508</v>
      </c>
      <c r="B3781" s="4" t="s">
        <v>534</v>
      </c>
      <c r="C3781" s="4" t="s">
        <v>287</v>
      </c>
      <c r="D3781" s="94">
        <v>1961.0</v>
      </c>
    </row>
    <row r="3782">
      <c r="A3782" s="40">
        <f t="array" ref="A3782">IFNA(index(PlayerValues!A:A,match(IFNA(vlookup(B3782,'Special Names'!A:B,2,FALSE),B3782),PlayerValues!E:E,0)),"N/A")</f>
        <v>15293</v>
      </c>
      <c r="B3782" s="4" t="s">
        <v>578</v>
      </c>
      <c r="C3782" s="4" t="s">
        <v>287</v>
      </c>
      <c r="D3782" s="94">
        <v>1953.0</v>
      </c>
    </row>
    <row r="3783">
      <c r="A3783" s="40">
        <f t="array" ref="A3783">IFNA(index(PlayerValues!A:A,match(IFNA(vlookup(B3783,'Special Names'!A:B,2,FALSE),B3783),PlayerValues!E:E,0)),"N/A")</f>
        <v>17184</v>
      </c>
      <c r="B3783" s="4" t="s">
        <v>588</v>
      </c>
      <c r="C3783" s="4" t="s">
        <v>287</v>
      </c>
      <c r="D3783" s="94">
        <v>1938.0</v>
      </c>
    </row>
    <row r="3784">
      <c r="A3784" s="40">
        <f t="array" ref="A3784">IFNA(index(PlayerValues!A:A,match(IFNA(vlookup(B3784,'Special Names'!A:B,2,FALSE),B3784),PlayerValues!E:E,0)),"N/A")</f>
        <v>11244</v>
      </c>
      <c r="B3784" s="4" t="s">
        <v>519</v>
      </c>
      <c r="C3784" s="4" t="s">
        <v>298</v>
      </c>
      <c r="D3784" s="94">
        <v>2317.0</v>
      </c>
    </row>
    <row r="3785">
      <c r="A3785" s="40">
        <f t="array" ref="A3785">IFNA(index(PlayerValues!A:A,match(IFNA(vlookup(B3785,'Special Names'!A:B,2,FALSE),B3785),PlayerValues!E:E,0)),"N/A")</f>
        <v>16778</v>
      </c>
      <c r="B3785" s="4" t="s">
        <v>577</v>
      </c>
      <c r="C3785" s="4" t="s">
        <v>287</v>
      </c>
      <c r="D3785" s="94">
        <v>1904.0</v>
      </c>
    </row>
    <row r="3786">
      <c r="A3786" s="40">
        <f t="array" ref="A3786">IFNA(index(PlayerValues!A:A,match(IFNA(vlookup(B3786,'Special Names'!A:B,2,FALSE),B3786),PlayerValues!E:E,0)),"N/A")</f>
        <v>16216</v>
      </c>
      <c r="B3786" s="4" t="s">
        <v>595</v>
      </c>
      <c r="C3786" s="4" t="s">
        <v>298</v>
      </c>
      <c r="D3786" s="94">
        <v>2283.0</v>
      </c>
    </row>
    <row r="3787">
      <c r="A3787" s="40">
        <f t="array" ref="A3787">IFNA(index(PlayerValues!A:A,match(IFNA(vlookup(B3787,'Special Names'!A:B,2,FALSE),B3787),PlayerValues!E:E,0)),"N/A")</f>
        <v>17465</v>
      </c>
      <c r="B3787" s="4" t="s">
        <v>649</v>
      </c>
      <c r="C3787" s="4" t="s">
        <v>283</v>
      </c>
      <c r="D3787" s="94">
        <v>1895.0</v>
      </c>
    </row>
    <row r="3788">
      <c r="A3788" s="40" t="str">
        <f t="array" ref="A3788">IFNA(index(PlayerValues!A:A,match(IFNA(vlookup(B3788,'Special Names'!A:B,2,FALSE),B3788),PlayerValues!E:E,0)),"N/A")</f>
        <v>N/A</v>
      </c>
      <c r="B3788" s="4" t="s">
        <v>114</v>
      </c>
      <c r="C3788" s="4" t="s">
        <v>325</v>
      </c>
      <c r="D3788" s="94">
        <v>1894.0</v>
      </c>
    </row>
    <row r="3789">
      <c r="A3789" s="40">
        <f t="array" ref="A3789">IFNA(index(PlayerValues!A:A,match(IFNA(vlookup(B3789,'Special Names'!A:B,2,FALSE),B3789),PlayerValues!E:E,0)),"N/A")</f>
        <v>13189</v>
      </c>
      <c r="B3789" s="4" t="s">
        <v>626</v>
      </c>
      <c r="C3789" s="4" t="s">
        <v>298</v>
      </c>
      <c r="D3789" s="94">
        <v>2275.0</v>
      </c>
    </row>
    <row r="3790">
      <c r="A3790" s="40">
        <f t="array" ref="A3790">IFNA(index(PlayerValues!A:A,match(IFNA(vlookup(B3790,'Special Names'!A:B,2,FALSE),B3790),PlayerValues!E:E,0)),"N/A")</f>
        <v>15759</v>
      </c>
      <c r="B3790" s="4" t="s">
        <v>662</v>
      </c>
      <c r="C3790" s="4" t="s">
        <v>287</v>
      </c>
      <c r="D3790" s="94">
        <v>1878.0</v>
      </c>
    </row>
    <row r="3791">
      <c r="A3791" s="40">
        <f t="array" ref="A3791">IFNA(index(PlayerValues!A:A,match(IFNA(vlookup(B3791,'Special Names'!A:B,2,FALSE),B3791),PlayerValues!E:E,0)),"N/A")</f>
        <v>16215</v>
      </c>
      <c r="B3791" s="4" t="s">
        <v>637</v>
      </c>
      <c r="C3791" s="4" t="s">
        <v>298</v>
      </c>
      <c r="D3791" s="94">
        <v>2260.0</v>
      </c>
    </row>
    <row r="3792">
      <c r="A3792" s="40">
        <f t="array" ref="A3792">IFNA(index(PlayerValues!A:A,match(IFNA(vlookup(B3792,'Special Names'!A:B,2,FALSE),B3792),PlayerValues!E:E,0)),"N/A")</f>
        <v>17036</v>
      </c>
      <c r="B3792" s="4" t="s">
        <v>617</v>
      </c>
      <c r="C3792" s="4" t="s">
        <v>283</v>
      </c>
      <c r="D3792" s="94">
        <v>1872.0</v>
      </c>
    </row>
    <row r="3793">
      <c r="A3793" s="40">
        <f t="array" ref="A3793">IFNA(index(PlayerValues!A:A,match(IFNA(vlookup(B3793,'Special Names'!A:B,2,FALSE),B3793),PlayerValues!E:E,0)),"N/A")</f>
        <v>16201</v>
      </c>
      <c r="B3793" s="4" t="s">
        <v>589</v>
      </c>
      <c r="C3793" s="4" t="s">
        <v>287</v>
      </c>
      <c r="D3793" s="94">
        <v>1857.0</v>
      </c>
    </row>
    <row r="3794">
      <c r="A3794" s="40">
        <f t="array" ref="A3794">IFNA(index(PlayerValues!A:A,match(IFNA(vlookup(B3794,'Special Names'!A:B,2,FALSE),B3794),PlayerValues!E:E,0)),"N/A")</f>
        <v>15254</v>
      </c>
      <c r="B3794" s="4" t="s">
        <v>633</v>
      </c>
      <c r="C3794" s="4" t="s">
        <v>278</v>
      </c>
      <c r="D3794" s="94">
        <v>1848.0</v>
      </c>
    </row>
    <row r="3795">
      <c r="A3795" s="40">
        <f t="array" ref="A3795">IFNA(index(PlayerValues!A:A,match(IFNA(vlookup(B3795,'Special Names'!A:B,2,FALSE),B3795),PlayerValues!E:E,0)),"N/A")</f>
        <v>16635</v>
      </c>
      <c r="B3795" s="4" t="s">
        <v>645</v>
      </c>
      <c r="C3795" s="4" t="s">
        <v>287</v>
      </c>
      <c r="D3795" s="94">
        <v>1848.0</v>
      </c>
    </row>
    <row r="3796">
      <c r="A3796" s="40">
        <f t="array" ref="A3796">IFNA(index(PlayerValues!A:A,match(IFNA(vlookup(B3796,'Special Names'!A:B,2,FALSE),B3796),PlayerValues!E:E,0)),"N/A")</f>
        <v>17061</v>
      </c>
      <c r="B3796" s="4" t="s">
        <v>580</v>
      </c>
      <c r="C3796" s="4" t="s">
        <v>278</v>
      </c>
      <c r="D3796" s="94">
        <v>1845.0</v>
      </c>
    </row>
    <row r="3797">
      <c r="A3797" s="40">
        <f t="array" ref="A3797">IFNA(index(PlayerValues!A:A,match(IFNA(vlookup(B3797,'Special Names'!A:B,2,FALSE),B3797),PlayerValues!E:E,0)),"N/A")</f>
        <v>16595</v>
      </c>
      <c r="B3797" s="4" t="s">
        <v>664</v>
      </c>
      <c r="C3797" s="4" t="s">
        <v>278</v>
      </c>
      <c r="D3797" s="94">
        <v>1838.0</v>
      </c>
    </row>
    <row r="3798">
      <c r="A3798" s="40">
        <f t="array" ref="A3798">IFNA(index(PlayerValues!A:A,match(IFNA(vlookup(B3798,'Special Names'!A:B,2,FALSE),B3798),PlayerValues!E:E,0)),"N/A")</f>
        <v>17520</v>
      </c>
      <c r="B3798" s="4" t="s">
        <v>518</v>
      </c>
      <c r="C3798" s="4" t="s">
        <v>287</v>
      </c>
      <c r="D3798" s="94">
        <v>1830.0</v>
      </c>
    </row>
    <row r="3799">
      <c r="A3799" s="40">
        <f t="array" ref="A3799">IFNA(index(PlayerValues!A:A,match(IFNA(vlookup(B3799,'Special Names'!A:B,2,FALSE),B3799),PlayerValues!E:E,0)),"N/A")</f>
        <v>15337</v>
      </c>
      <c r="B3799" s="4" t="s">
        <v>655</v>
      </c>
      <c r="C3799" s="4" t="s">
        <v>298</v>
      </c>
      <c r="D3799" s="94">
        <v>2187.0</v>
      </c>
    </row>
    <row r="3800">
      <c r="A3800" s="40">
        <f t="array" ref="A3800">IFNA(index(PlayerValues!A:A,match(IFNA(vlookup(B3800,'Special Names'!A:B,2,FALSE),B3800),PlayerValues!E:E,0)),"N/A")</f>
        <v>17035</v>
      </c>
      <c r="B3800" s="4" t="s">
        <v>650</v>
      </c>
      <c r="C3800" s="4" t="s">
        <v>283</v>
      </c>
      <c r="D3800" s="94">
        <v>1804.0</v>
      </c>
    </row>
    <row r="3801">
      <c r="A3801" s="40" t="str">
        <f t="array" ref="A3801">IFNA(index(PlayerValues!A:A,match(IFNA(vlookup(B3801,'Special Names'!A:B,2,FALSE),B3801),PlayerValues!E:E,0)),"N/A")</f>
        <v>N/A</v>
      </c>
      <c r="B3801" s="4" t="s">
        <v>101</v>
      </c>
      <c r="C3801" s="4" t="s">
        <v>325</v>
      </c>
      <c r="D3801" s="94">
        <v>1801.0</v>
      </c>
    </row>
    <row r="3802">
      <c r="A3802" s="40">
        <f t="array" ref="A3802">IFNA(index(PlayerValues!A:A,match(IFNA(vlookup(B3802,'Special Names'!A:B,2,FALSE),B3802),PlayerValues!E:E,0)),"N/A")</f>
        <v>17481</v>
      </c>
      <c r="B3802" s="4" t="s">
        <v>540</v>
      </c>
      <c r="C3802" s="4" t="s">
        <v>278</v>
      </c>
      <c r="D3802" s="94">
        <v>1801.0</v>
      </c>
    </row>
    <row r="3803">
      <c r="A3803" s="40">
        <f t="array" ref="A3803">IFNA(index(PlayerValues!A:A,match(IFNA(vlookup(B3803,'Special Names'!A:B,2,FALSE),B3803),PlayerValues!E:E,0)),"N/A")</f>
        <v>17545</v>
      </c>
      <c r="B3803" s="4" t="s">
        <v>719</v>
      </c>
      <c r="C3803" s="4" t="s">
        <v>298</v>
      </c>
      <c r="D3803" s="94">
        <v>2179.0</v>
      </c>
    </row>
    <row r="3804">
      <c r="A3804" s="40">
        <f t="array" ref="A3804">IFNA(index(PlayerValues!A:A,match(IFNA(vlookup(B3804,'Special Names'!A:B,2,FALSE),B3804),PlayerValues!E:E,0)),"N/A")</f>
        <v>16788</v>
      </c>
      <c r="B3804" s="4" t="s">
        <v>621</v>
      </c>
      <c r="C3804" s="4" t="s">
        <v>287</v>
      </c>
      <c r="D3804" s="94">
        <v>1795.0</v>
      </c>
    </row>
    <row r="3805">
      <c r="A3805" s="40">
        <f t="array" ref="A3805">IFNA(index(PlayerValues!A:A,match(IFNA(vlookup(B3805,'Special Names'!A:B,2,FALSE),B3805),PlayerValues!E:E,0)),"N/A")</f>
        <v>15786</v>
      </c>
      <c r="B3805" s="4" t="s">
        <v>521</v>
      </c>
      <c r="C3805" s="4" t="s">
        <v>287</v>
      </c>
      <c r="D3805" s="94">
        <v>1790.0</v>
      </c>
    </row>
    <row r="3806">
      <c r="A3806" s="40" t="str">
        <f t="array" ref="A3806">IFNA(index(PlayerValues!A:A,match(IFNA(vlookup(B3806,'Special Names'!A:B,2,FALSE),B3806),PlayerValues!E:E,0)),"N/A")</f>
        <v>N/A</v>
      </c>
      <c r="B3806" s="4" t="s">
        <v>89</v>
      </c>
      <c r="C3806" s="4" t="s">
        <v>325</v>
      </c>
      <c r="D3806" s="94">
        <v>1770.0</v>
      </c>
    </row>
    <row r="3807">
      <c r="A3807" s="40">
        <f t="array" ref="A3807">IFNA(index(PlayerValues!A:A,match(IFNA(vlookup(B3807,'Special Names'!A:B,2,FALSE),B3807),PlayerValues!E:E,0)),"N/A")</f>
        <v>17086</v>
      </c>
      <c r="B3807" s="4" t="s">
        <v>612</v>
      </c>
      <c r="C3807" s="4" t="s">
        <v>287</v>
      </c>
      <c r="D3807" s="94">
        <v>1764.0</v>
      </c>
    </row>
    <row r="3808">
      <c r="A3808" s="40">
        <f t="array" ref="A3808">IFNA(index(PlayerValues!A:A,match(IFNA(vlookup(B3808,'Special Names'!A:B,2,FALSE),B3808),PlayerValues!E:E,0)),"N/A")</f>
        <v>16207</v>
      </c>
      <c r="B3808" s="4" t="s">
        <v>636</v>
      </c>
      <c r="C3808" s="4" t="s">
        <v>287</v>
      </c>
      <c r="D3808" s="94">
        <v>1757.0</v>
      </c>
    </row>
    <row r="3809">
      <c r="A3809" s="40">
        <f t="array" ref="A3809">IFNA(index(PlayerValues!A:A,match(IFNA(vlookup(B3809,'Special Names'!A:B,2,FALSE),B3809),PlayerValues!E:E,0)),"N/A")</f>
        <v>11222</v>
      </c>
      <c r="B3809" s="4" t="s">
        <v>622</v>
      </c>
      <c r="C3809" s="4" t="s">
        <v>287</v>
      </c>
      <c r="D3809" s="94">
        <v>1754.0</v>
      </c>
    </row>
    <row r="3810">
      <c r="A3810" s="40">
        <f t="array" ref="A3810">IFNA(index(PlayerValues!A:A,match(IFNA(vlookup(B3810,'Special Names'!A:B,2,FALSE),B3810),PlayerValues!E:E,0)),"N/A")</f>
        <v>16585</v>
      </c>
      <c r="B3810" s="4" t="s">
        <v>623</v>
      </c>
      <c r="C3810" s="4" t="s">
        <v>283</v>
      </c>
      <c r="D3810" s="94">
        <v>1747.0</v>
      </c>
    </row>
    <row r="3811">
      <c r="A3811" s="40">
        <f t="array" ref="A3811">IFNA(index(PlayerValues!A:A,match(IFNA(vlookup(B3811,'Special Names'!A:B,2,FALSE),B3811),PlayerValues!E:E,0)),"N/A")</f>
        <v>17055</v>
      </c>
      <c r="B3811" s="4" t="s">
        <v>565</v>
      </c>
      <c r="C3811" s="4" t="s">
        <v>278</v>
      </c>
      <c r="D3811" s="94">
        <v>1738.0</v>
      </c>
    </row>
    <row r="3812">
      <c r="A3812" s="40">
        <f t="array" ref="A3812">IFNA(index(PlayerValues!A:A,match(IFNA(vlookup(B3812,'Special Names'!A:B,2,FALSE),B3812),PlayerValues!E:E,0)),"N/A")</f>
        <v>14105</v>
      </c>
      <c r="B3812" s="4" t="s">
        <v>675</v>
      </c>
      <c r="C3812" s="4" t="s">
        <v>287</v>
      </c>
      <c r="D3812" s="94">
        <v>1734.0</v>
      </c>
    </row>
    <row r="3813">
      <c r="A3813" s="40">
        <f t="array" ref="A3813">IFNA(index(PlayerValues!A:A,match(IFNA(vlookup(B3813,'Special Names'!A:B,2,FALSE),B3813),PlayerValues!E:E,0)),"N/A")</f>
        <v>17528</v>
      </c>
      <c r="B3813" s="4" t="s">
        <v>579</v>
      </c>
      <c r="C3813" s="4" t="s">
        <v>287</v>
      </c>
      <c r="D3813" s="94">
        <v>1733.0</v>
      </c>
    </row>
    <row r="3814">
      <c r="A3814" s="40">
        <f t="array" ref="A3814">IFNA(index(PlayerValues!A:A,match(IFNA(vlookup(B3814,'Special Names'!A:B,2,FALSE),B3814),PlayerValues!E:E,0)),"N/A")</f>
        <v>16629</v>
      </c>
      <c r="B3814" s="4" t="s">
        <v>605</v>
      </c>
      <c r="C3814" s="4" t="s">
        <v>287</v>
      </c>
      <c r="D3814" s="94">
        <v>1730.0</v>
      </c>
    </row>
    <row r="3815">
      <c r="A3815" s="40">
        <f t="array" ref="A3815">IFNA(index(PlayerValues!A:A,match(IFNA(vlookup(B3815,'Special Names'!A:B,2,FALSE),B3815),PlayerValues!E:E,0)),"N/A")</f>
        <v>17058</v>
      </c>
      <c r="B3815" s="4" t="s">
        <v>641</v>
      </c>
      <c r="C3815" s="4" t="s">
        <v>278</v>
      </c>
      <c r="D3815" s="94">
        <v>1721.0</v>
      </c>
    </row>
    <row r="3816">
      <c r="A3816" s="40">
        <f t="array" ref="A3816">IFNA(index(PlayerValues!A:A,match(IFNA(vlookup(B3816,'Special Names'!A:B,2,FALSE),B3816),PlayerValues!E:E,0)),"N/A")</f>
        <v>7836</v>
      </c>
      <c r="B3816" s="4" t="s">
        <v>590</v>
      </c>
      <c r="C3816" s="4" t="s">
        <v>283</v>
      </c>
      <c r="D3816" s="94">
        <v>1714.0</v>
      </c>
    </row>
    <row r="3817">
      <c r="A3817" s="40">
        <f t="array" ref="A3817">IFNA(index(PlayerValues!A:A,match(IFNA(vlookup(B3817,'Special Names'!A:B,2,FALSE),B3817),PlayerValues!E:E,0)),"N/A")</f>
        <v>16586</v>
      </c>
      <c r="B3817" s="4" t="s">
        <v>658</v>
      </c>
      <c r="C3817" s="4" t="s">
        <v>283</v>
      </c>
      <c r="D3817" s="94">
        <v>1697.0</v>
      </c>
    </row>
    <row r="3818">
      <c r="A3818" s="40">
        <f t="array" ref="A3818">IFNA(index(PlayerValues!A:A,match(IFNA(vlookup(B3818,'Special Names'!A:B,2,FALSE),B3818),PlayerValues!E:E,0)),"N/A")</f>
        <v>16601</v>
      </c>
      <c r="B3818" s="4" t="s">
        <v>648</v>
      </c>
      <c r="C3818" s="4" t="s">
        <v>278</v>
      </c>
      <c r="D3818" s="94">
        <v>1687.0</v>
      </c>
    </row>
    <row r="3819">
      <c r="A3819" s="40">
        <f t="array" ref="A3819">IFNA(index(PlayerValues!A:A,match(IFNA(vlookup(B3819,'Special Names'!A:B,2,FALSE),B3819),PlayerValues!E:E,0)),"N/A")</f>
        <v>17064</v>
      </c>
      <c r="B3819" s="4" t="s">
        <v>631</v>
      </c>
      <c r="C3819" s="4" t="s">
        <v>278</v>
      </c>
      <c r="D3819" s="94">
        <v>1676.0</v>
      </c>
    </row>
    <row r="3820">
      <c r="A3820" s="40" t="str">
        <f t="array" ref="A3820">IFNA(index(PlayerValues!A:A,match(IFNA(vlookup(B3820,'Special Names'!A:B,2,FALSE),B3820),PlayerValues!E:E,0)),"N/A")</f>
        <v>N/A</v>
      </c>
      <c r="B3820" s="4" t="s">
        <v>102</v>
      </c>
      <c r="C3820" s="4" t="s">
        <v>325</v>
      </c>
      <c r="D3820" s="94">
        <v>1670.0</v>
      </c>
    </row>
    <row r="3821">
      <c r="A3821" s="40">
        <f t="array" ref="A3821">IFNA(index(PlayerValues!A:A,match(IFNA(vlookup(B3821,'Special Names'!A:B,2,FALSE),B3821),PlayerValues!E:E,0)),"N/A")</f>
        <v>10700</v>
      </c>
      <c r="B3821" s="4" t="s">
        <v>596</v>
      </c>
      <c r="C3821" s="4" t="s">
        <v>283</v>
      </c>
      <c r="D3821" s="94">
        <v>1669.0</v>
      </c>
    </row>
    <row r="3822">
      <c r="A3822" s="40">
        <f t="array" ref="A3822">IFNA(index(PlayerValues!A:A,match(IFNA(vlookup(B3822,'Special Names'!A:B,2,FALSE),B3822),PlayerValues!E:E,0)),"N/A")</f>
        <v>15777</v>
      </c>
      <c r="B3822" s="4" t="s">
        <v>694</v>
      </c>
      <c r="C3822" s="4" t="s">
        <v>287</v>
      </c>
      <c r="D3822" s="94">
        <v>1667.0</v>
      </c>
    </row>
    <row r="3823">
      <c r="A3823" s="40">
        <f t="array" ref="A3823">IFNA(index(PlayerValues!A:A,match(IFNA(vlookup(B3823,'Special Names'!A:B,2,FALSE),B3823),PlayerValues!E:E,0)),"N/A")</f>
        <v>15787</v>
      </c>
      <c r="B3823" s="4" t="s">
        <v>610</v>
      </c>
      <c r="C3823" s="4" t="s">
        <v>287</v>
      </c>
      <c r="D3823" s="94">
        <v>1665.0</v>
      </c>
    </row>
    <row r="3824">
      <c r="A3824" s="40">
        <f t="array" ref="A3824">IFNA(index(PlayerValues!A:A,match(IFNA(vlookup(B3824,'Special Names'!A:B,2,FALSE),B3824),PlayerValues!E:E,0)),"N/A")</f>
        <v>13629</v>
      </c>
      <c r="B3824" s="4" t="s">
        <v>619</v>
      </c>
      <c r="C3824" s="4" t="s">
        <v>287</v>
      </c>
      <c r="D3824" s="94">
        <v>1664.0</v>
      </c>
    </row>
    <row r="3825">
      <c r="A3825" s="40">
        <f t="array" ref="A3825">IFNA(index(PlayerValues!A:A,match(IFNA(vlookup(B3825,'Special Names'!A:B,2,FALSE),B3825),PlayerValues!E:E,0)),"N/A")</f>
        <v>15727</v>
      </c>
      <c r="B3825" s="4" t="s">
        <v>730</v>
      </c>
      <c r="C3825" s="4" t="s">
        <v>278</v>
      </c>
      <c r="D3825" s="94">
        <v>1663.0</v>
      </c>
    </row>
    <row r="3826">
      <c r="A3826" s="40">
        <f t="array" ref="A3826">IFNA(index(PlayerValues!A:A,match(IFNA(vlookup(B3826,'Special Names'!A:B,2,FALSE),B3826),PlayerValues!E:E,0)),"N/A")</f>
        <v>16604</v>
      </c>
      <c r="B3826" s="4" t="s">
        <v>476</v>
      </c>
      <c r="C3826" s="4" t="s">
        <v>278</v>
      </c>
      <c r="D3826" s="94">
        <v>1652.0</v>
      </c>
    </row>
    <row r="3827">
      <c r="A3827" s="40">
        <f t="array" ref="A3827">IFNA(index(PlayerValues!A:A,match(IFNA(vlookup(B3827,'Special Names'!A:B,2,FALSE),B3827),PlayerValues!E:E,0)),"N/A")</f>
        <v>17205</v>
      </c>
      <c r="B3827" s="4" t="s">
        <v>665</v>
      </c>
      <c r="C3827" s="4" t="s">
        <v>287</v>
      </c>
      <c r="D3827" s="94">
        <v>1640.0</v>
      </c>
    </row>
    <row r="3828">
      <c r="A3828" s="40" t="str">
        <f t="array" ref="A3828">IFNA(index(PlayerValues!A:A,match(IFNA(vlookup(B3828,'Special Names'!A:B,2,FALSE),B3828),PlayerValues!E:E,0)),"N/A")</f>
        <v>N/A</v>
      </c>
      <c r="B3828" s="4" t="s">
        <v>115</v>
      </c>
      <c r="C3828" s="4" t="s">
        <v>325</v>
      </c>
      <c r="D3828" s="94">
        <v>1640.0</v>
      </c>
    </row>
    <row r="3829">
      <c r="A3829" s="40">
        <f t="array" ref="A3829">IFNA(index(PlayerValues!A:A,match(IFNA(vlookup(B3829,'Special Names'!A:B,2,FALSE),B3829),PlayerValues!E:E,0)),"N/A")</f>
        <v>13131</v>
      </c>
      <c r="B3829" s="4" t="s">
        <v>815</v>
      </c>
      <c r="C3829" s="4" t="s">
        <v>278</v>
      </c>
      <c r="D3829" s="94">
        <v>1635.0</v>
      </c>
    </row>
    <row r="3830">
      <c r="A3830" s="40">
        <f t="array" ref="A3830">IFNA(index(PlayerValues!A:A,match(IFNA(vlookup(B3830,'Special Names'!A:B,2,FALSE),B3830),PlayerValues!E:E,0)),"N/A")</f>
        <v>13164</v>
      </c>
      <c r="B3830" s="4" t="s">
        <v>632</v>
      </c>
      <c r="C3830" s="4" t="s">
        <v>287</v>
      </c>
      <c r="D3830" s="94">
        <v>1629.0</v>
      </c>
    </row>
    <row r="3831">
      <c r="A3831" s="40">
        <f t="array" ref="A3831">IFNA(index(PlayerValues!A:A,match(IFNA(vlookup(B3831,'Special Names'!A:B,2,FALSE),B3831),PlayerValues!E:E,0)),"N/A")</f>
        <v>17234</v>
      </c>
      <c r="B3831" s="4" t="s">
        <v>653</v>
      </c>
      <c r="C3831" s="4" t="s">
        <v>287</v>
      </c>
      <c r="D3831" s="94">
        <v>1628.0</v>
      </c>
    </row>
    <row r="3832">
      <c r="A3832" s="40">
        <f t="array" ref="A3832">IFNA(index(PlayerValues!A:A,match(IFNA(vlookup(B3832,'Special Names'!A:B,2,FALSE),B3832),PlayerValues!E:E,0)),"N/A")</f>
        <v>14143</v>
      </c>
      <c r="B3832" s="4" t="s">
        <v>635</v>
      </c>
      <c r="C3832" s="4" t="s">
        <v>298</v>
      </c>
      <c r="D3832" s="94">
        <v>1995.0</v>
      </c>
    </row>
    <row r="3833">
      <c r="A3833" s="40" t="str">
        <f t="array" ref="A3833">IFNA(index(PlayerValues!A:A,match(IFNA(vlookup(B3833,'Special Names'!A:B,2,FALSE),B3833),PlayerValues!E:E,0)),"N/A")</f>
        <v>N/A</v>
      </c>
      <c r="B3833" s="4" t="s">
        <v>90</v>
      </c>
      <c r="C3833" s="4" t="s">
        <v>325</v>
      </c>
      <c r="D3833" s="94">
        <v>1616.0</v>
      </c>
    </row>
    <row r="3834">
      <c r="A3834" s="40">
        <f t="array" ref="A3834">IFNA(index(PlayerValues!A:A,match(IFNA(vlookup(B3834,'Special Names'!A:B,2,FALSE),B3834),PlayerValues!E:E,0)),"N/A")</f>
        <v>12141</v>
      </c>
      <c r="B3834" s="4" t="s">
        <v>744</v>
      </c>
      <c r="C3834" s="4" t="s">
        <v>283</v>
      </c>
      <c r="D3834" s="94">
        <v>1615.0</v>
      </c>
    </row>
    <row r="3835">
      <c r="A3835" s="40">
        <f t="array" ref="A3835">IFNA(index(PlayerValues!A:A,match(IFNA(vlookup(B3835,'Special Names'!A:B,2,FALSE),B3835),PlayerValues!E:E,0)),"N/A")</f>
        <v>16633</v>
      </c>
      <c r="B3835" s="4" t="s">
        <v>656</v>
      </c>
      <c r="C3835" s="4" t="s">
        <v>287</v>
      </c>
      <c r="D3835" s="94">
        <v>1603.0</v>
      </c>
    </row>
    <row r="3836">
      <c r="A3836" s="40">
        <f t="array" ref="A3836">IFNA(index(PlayerValues!A:A,match(IFNA(vlookup(B3836,'Special Names'!A:B,2,FALSE),B3836),PlayerValues!E:E,0)),"N/A")</f>
        <v>17037</v>
      </c>
      <c r="B3836" s="4" t="s">
        <v>727</v>
      </c>
      <c r="C3836" s="4" t="s">
        <v>283</v>
      </c>
      <c r="D3836" s="94">
        <v>1601.0</v>
      </c>
    </row>
    <row r="3837">
      <c r="A3837" s="40">
        <f t="array" ref="A3837">IFNA(index(PlayerValues!A:A,match(IFNA(vlookup(B3837,'Special Names'!A:B,2,FALSE),B3837),PlayerValues!E:E,0)),"N/A")</f>
        <v>17096</v>
      </c>
      <c r="B3837" s="4" t="s">
        <v>638</v>
      </c>
      <c r="C3837" s="4" t="s">
        <v>287</v>
      </c>
      <c r="D3837" s="94">
        <v>1590.0</v>
      </c>
    </row>
    <row r="3838">
      <c r="A3838" s="40">
        <f t="array" ref="A3838">IFNA(index(PlayerValues!A:A,match(IFNA(vlookup(B3838,'Special Names'!A:B,2,FALSE),B3838),PlayerValues!E:E,0)),"N/A")</f>
        <v>13193</v>
      </c>
      <c r="B3838" s="4" t="s">
        <v>773</v>
      </c>
      <c r="C3838" s="4" t="s">
        <v>298</v>
      </c>
      <c r="D3838" s="94">
        <v>1965.0</v>
      </c>
    </row>
    <row r="3839">
      <c r="A3839" s="40">
        <f t="array" ref="A3839">IFNA(index(PlayerValues!A:A,match(IFNA(vlookup(B3839,'Special Names'!A:B,2,FALSE),B3839),PlayerValues!E:E,0)),"N/A")</f>
        <v>14122</v>
      </c>
      <c r="B3839" s="4" t="s">
        <v>663</v>
      </c>
      <c r="C3839" s="4" t="s">
        <v>287</v>
      </c>
      <c r="D3839" s="94">
        <v>1579.0</v>
      </c>
    </row>
    <row r="3840">
      <c r="A3840" s="40">
        <f t="array" ref="A3840">IFNA(index(PlayerValues!A:A,match(IFNA(vlookup(B3840,'Special Names'!A:B,2,FALSE),B3840),PlayerValues!E:E,0)),"N/A")</f>
        <v>16390</v>
      </c>
      <c r="B3840" s="4" t="s">
        <v>689</v>
      </c>
      <c r="C3840" s="4" t="s">
        <v>278</v>
      </c>
      <c r="D3840" s="94">
        <v>1567.0</v>
      </c>
    </row>
    <row r="3841">
      <c r="A3841" s="40">
        <f t="array" ref="A3841">IFNA(index(PlayerValues!A:A,match(IFNA(vlookup(B3841,'Special Names'!A:B,2,FALSE),B3841),PlayerValues!E:E,0)),"N/A")</f>
        <v>12140</v>
      </c>
      <c r="B3841" s="4" t="s">
        <v>702</v>
      </c>
      <c r="C3841" s="4" t="s">
        <v>283</v>
      </c>
      <c r="D3841" s="94">
        <v>1566.0</v>
      </c>
    </row>
    <row r="3842">
      <c r="A3842" s="40" t="str">
        <f t="array" ref="A3842">IFNA(index(PlayerValues!A:A,match(IFNA(vlookup(B3842,'Special Names'!A:B,2,FALSE),B3842),PlayerValues!E:E,0)),"N/A")</f>
        <v>N/A</v>
      </c>
      <c r="B3842" s="4" t="s">
        <v>91</v>
      </c>
      <c r="C3842" s="4" t="s">
        <v>325</v>
      </c>
      <c r="D3842" s="94">
        <v>1558.0</v>
      </c>
    </row>
    <row r="3843">
      <c r="A3843" s="40">
        <f t="array" ref="A3843">IFNA(index(PlayerValues!A:A,match(IFNA(vlookup(B3843,'Special Names'!A:B,2,FALSE),B3843),PlayerValues!E:E,0)),"N/A")</f>
        <v>16688</v>
      </c>
      <c r="B3843" s="4" t="s">
        <v>688</v>
      </c>
      <c r="C3843" s="4" t="s">
        <v>278</v>
      </c>
      <c r="D3843" s="94">
        <v>1542.0</v>
      </c>
    </row>
    <row r="3844">
      <c r="A3844" s="40">
        <f t="array" ref="A3844">IFNA(index(PlayerValues!A:A,match(IFNA(vlookup(B3844,'Special Names'!A:B,2,FALSE),B3844),PlayerValues!E:E,0)),"N/A")</f>
        <v>15252</v>
      </c>
      <c r="B3844" s="4" t="s">
        <v>715</v>
      </c>
      <c r="C3844" s="4" t="s">
        <v>283</v>
      </c>
      <c r="D3844" s="94">
        <v>1541.0</v>
      </c>
    </row>
    <row r="3845">
      <c r="A3845" s="40">
        <f t="array" ref="A3845">IFNA(index(PlayerValues!A:A,match(IFNA(vlookup(B3845,'Special Names'!A:B,2,FALSE),B3845),PlayerValues!E:E,0)),"N/A")</f>
        <v>15258</v>
      </c>
      <c r="B3845" s="4" t="s">
        <v>757</v>
      </c>
      <c r="C3845" s="4" t="s">
        <v>278</v>
      </c>
      <c r="D3845" s="94">
        <v>1541.0</v>
      </c>
    </row>
    <row r="3846">
      <c r="A3846" s="40">
        <f t="array" ref="A3846">IFNA(index(PlayerValues!A:A,match(IFNA(vlookup(B3846,'Special Names'!A:B,2,FALSE),B3846),PlayerValues!E:E,0)),"N/A")</f>
        <v>14080</v>
      </c>
      <c r="B3846" s="4" t="s">
        <v>716</v>
      </c>
      <c r="C3846" s="4" t="s">
        <v>278</v>
      </c>
      <c r="D3846" s="94">
        <v>1539.0</v>
      </c>
    </row>
    <row r="3847">
      <c r="A3847" s="40" t="str">
        <f t="array" ref="A3847">IFNA(index(PlayerValues!A:A,match(IFNA(vlookup(B3847,'Special Names'!A:B,2,FALSE),B3847),PlayerValues!E:E,0)),"N/A")</f>
        <v>N/A</v>
      </c>
      <c r="B3847" s="4" t="s">
        <v>103</v>
      </c>
      <c r="C3847" s="4" t="s">
        <v>325</v>
      </c>
      <c r="D3847" s="94">
        <v>1532.0</v>
      </c>
    </row>
    <row r="3848">
      <c r="A3848" s="40" t="str">
        <f t="array" ref="A3848">IFNA(index(PlayerValues!A:A,match(IFNA(vlookup(B3848,'Special Names'!A:B,2,FALSE),B3848),PlayerValues!E:E,0)),"N/A")</f>
        <v>N/A</v>
      </c>
      <c r="B3848" s="4" t="s">
        <v>116</v>
      </c>
      <c r="C3848" s="4" t="s">
        <v>325</v>
      </c>
      <c r="D3848" s="94">
        <v>1513.0</v>
      </c>
    </row>
    <row r="3849">
      <c r="A3849" s="40">
        <f t="array" ref="A3849">IFNA(index(PlayerValues!A:A,match(IFNA(vlookup(B3849,'Special Names'!A:B,2,FALSE),B3849),PlayerValues!E:E,0)),"N/A")</f>
        <v>17475</v>
      </c>
      <c r="B3849" s="4" t="s">
        <v>615</v>
      </c>
      <c r="C3849" s="4" t="s">
        <v>278</v>
      </c>
      <c r="D3849" s="94">
        <v>1508.0</v>
      </c>
    </row>
    <row r="3850">
      <c r="A3850" s="40">
        <f t="array" ref="A3850">IFNA(index(PlayerValues!A:A,match(IFNA(vlookup(B3850,'Special Names'!A:B,2,FALSE),B3850),PlayerValues!E:E,0)),"N/A")</f>
        <v>17504</v>
      </c>
      <c r="B3850" s="4" t="s">
        <v>693</v>
      </c>
      <c r="C3850" s="4" t="s">
        <v>287</v>
      </c>
      <c r="D3850" s="94">
        <v>1504.0</v>
      </c>
    </row>
    <row r="3851">
      <c r="A3851" s="40">
        <f t="array" ref="A3851">IFNA(index(PlayerValues!A:A,match(IFNA(vlookup(B3851,'Special Names'!A:B,2,FALSE),B3851),PlayerValues!E:E,0)),"N/A")</f>
        <v>15319</v>
      </c>
      <c r="B3851" s="4" t="s">
        <v>644</v>
      </c>
      <c r="C3851" s="4" t="s">
        <v>287</v>
      </c>
      <c r="D3851" s="94">
        <v>1497.0</v>
      </c>
    </row>
    <row r="3852">
      <c r="A3852" s="40">
        <f t="array" ref="A3852">IFNA(index(PlayerValues!A:A,match(IFNA(vlookup(B3852,'Special Names'!A:B,2,FALSE),B3852),PlayerValues!E:E,0)),"N/A")</f>
        <v>17077</v>
      </c>
      <c r="B3852" s="4" t="s">
        <v>714</v>
      </c>
      <c r="C3852" s="4" t="s">
        <v>287</v>
      </c>
      <c r="D3852" s="94">
        <v>1497.0</v>
      </c>
    </row>
    <row r="3853">
      <c r="A3853" s="40">
        <f t="array" ref="A3853">IFNA(index(PlayerValues!A:A,match(IFNA(vlookup(B3853,'Special Names'!A:B,2,FALSE),B3853),PlayerValues!E:E,0)),"N/A")</f>
        <v>15752</v>
      </c>
      <c r="B3853" s="4" t="s">
        <v>647</v>
      </c>
      <c r="C3853" s="4" t="s">
        <v>287</v>
      </c>
      <c r="D3853" s="94">
        <v>1465.0</v>
      </c>
    </row>
    <row r="3854">
      <c r="A3854" s="40">
        <f t="array" ref="A3854">IFNA(index(PlayerValues!A:A,match(IFNA(vlookup(B3854,'Special Names'!A:B,2,FALSE),B3854),PlayerValues!E:E,0)),"N/A")</f>
        <v>11150</v>
      </c>
      <c r="B3854" s="4" t="s">
        <v>559</v>
      </c>
      <c r="C3854" s="4" t="s">
        <v>283</v>
      </c>
      <c r="D3854" s="94">
        <v>1458.0</v>
      </c>
    </row>
    <row r="3855">
      <c r="A3855" s="40">
        <f t="array" ref="A3855">IFNA(index(PlayerValues!A:A,match(IFNA(vlookup(B3855,'Special Names'!A:B,2,FALSE),B3855),PlayerValues!E:E,0)),"N/A")</f>
        <v>17541</v>
      </c>
      <c r="B3855" s="4" t="s">
        <v>616</v>
      </c>
      <c r="C3855" s="4" t="s">
        <v>287</v>
      </c>
      <c r="D3855" s="94">
        <v>1458.0</v>
      </c>
    </row>
    <row r="3856">
      <c r="A3856" s="40">
        <f t="array" ref="A3856">IFNA(index(PlayerValues!A:A,match(IFNA(vlookup(B3856,'Special Names'!A:B,2,FALSE),B3856),PlayerValues!E:E,0)),"N/A")</f>
        <v>15738</v>
      </c>
      <c r="B3856" s="4" t="s">
        <v>634</v>
      </c>
      <c r="C3856" s="4" t="s">
        <v>278</v>
      </c>
      <c r="D3856" s="94">
        <v>1456.0</v>
      </c>
    </row>
    <row r="3857">
      <c r="A3857" s="40">
        <f t="array" ref="A3857">IFNA(index(PlayerValues!A:A,match(IFNA(vlookup(B3857,'Special Names'!A:B,2,FALSE),B3857),PlayerValues!E:E,0)),"N/A")</f>
        <v>13418</v>
      </c>
      <c r="B3857" s="4" t="s">
        <v>706</v>
      </c>
      <c r="C3857" s="4" t="s">
        <v>287</v>
      </c>
      <c r="D3857" s="94">
        <v>1455.0</v>
      </c>
    </row>
    <row r="3858">
      <c r="A3858" s="40">
        <f t="array" ref="A3858">IFNA(index(PlayerValues!A:A,match(IFNA(vlookup(B3858,'Special Names'!A:B,2,FALSE),B3858),PlayerValues!E:E,0)),"N/A")</f>
        <v>17254</v>
      </c>
      <c r="B3858" s="4" t="s">
        <v>679</v>
      </c>
      <c r="C3858" s="4" t="s">
        <v>287</v>
      </c>
      <c r="D3858" s="94">
        <v>1447.0</v>
      </c>
    </row>
    <row r="3859">
      <c r="A3859" s="40">
        <f t="array" ref="A3859">IFNA(index(PlayerValues!A:A,match(IFNA(vlookup(B3859,'Special Names'!A:B,2,FALSE),B3859),PlayerValues!E:E,0)),"N/A")</f>
        <v>15755</v>
      </c>
      <c r="B3859" s="4" t="s">
        <v>628</v>
      </c>
      <c r="C3859" s="4" t="s">
        <v>287</v>
      </c>
      <c r="D3859" s="94">
        <v>1445.0</v>
      </c>
    </row>
    <row r="3860">
      <c r="A3860" s="40">
        <f t="array" ref="A3860">IFNA(index(PlayerValues!A:A,match(IFNA(vlookup(B3860,'Special Names'!A:B,2,FALSE),B3860),PlayerValues!E:E,0)),"N/A")</f>
        <v>14095</v>
      </c>
      <c r="B3860" s="4" t="s">
        <v>680</v>
      </c>
      <c r="C3860" s="4" t="s">
        <v>278</v>
      </c>
      <c r="D3860" s="94">
        <v>1432.0</v>
      </c>
    </row>
    <row r="3861">
      <c r="A3861" s="40">
        <f t="array" ref="A3861">IFNA(index(PlayerValues!A:A,match(IFNA(vlookup(B3861,'Special Names'!A:B,2,FALSE),B3861),PlayerValues!E:E,0)),"N/A")</f>
        <v>17510</v>
      </c>
      <c r="B3861" s="4" t="s">
        <v>661</v>
      </c>
      <c r="C3861" s="4" t="s">
        <v>287</v>
      </c>
      <c r="D3861" s="94">
        <v>1428.0</v>
      </c>
    </row>
    <row r="3862">
      <c r="A3862" s="40">
        <f t="array" ref="A3862">IFNA(index(PlayerValues!A:A,match(IFNA(vlookup(B3862,'Special Names'!A:B,2,FALSE),B3862),PlayerValues!E:E,0)),"N/A")</f>
        <v>13672</v>
      </c>
      <c r="B3862" s="4" t="s">
        <v>667</v>
      </c>
      <c r="C3862" s="4" t="s">
        <v>298</v>
      </c>
      <c r="D3862" s="94">
        <v>1790.0</v>
      </c>
    </row>
    <row r="3863">
      <c r="A3863" s="40">
        <f t="array" ref="A3863">IFNA(index(PlayerValues!A:A,match(IFNA(vlookup(B3863,'Special Names'!A:B,2,FALSE),B3863),PlayerValues!E:E,0)),"N/A")</f>
        <v>15713</v>
      </c>
      <c r="B3863" s="4" t="s">
        <v>732</v>
      </c>
      <c r="C3863" s="4" t="s">
        <v>278</v>
      </c>
      <c r="D3863" s="94">
        <v>1415.0</v>
      </c>
    </row>
    <row r="3864">
      <c r="A3864" s="40">
        <f t="array" ref="A3864">IFNA(index(PlayerValues!A:A,match(IFNA(vlookup(B3864,'Special Names'!A:B,2,FALSE),B3864),PlayerValues!E:E,0)),"N/A")</f>
        <v>13138</v>
      </c>
      <c r="B3864" s="4" t="s">
        <v>817</v>
      </c>
      <c r="C3864" s="4" t="s">
        <v>278</v>
      </c>
      <c r="D3864" s="94">
        <v>1405.0</v>
      </c>
    </row>
    <row r="3865">
      <c r="A3865" s="40">
        <f t="array" ref="A3865">IFNA(index(PlayerValues!A:A,match(IFNA(vlookup(B3865,'Special Names'!A:B,2,FALSE),B3865),PlayerValues!E:E,0)),"N/A")</f>
        <v>17470</v>
      </c>
      <c r="B3865" s="4" t="s">
        <v>841</v>
      </c>
      <c r="C3865" s="4" t="s">
        <v>283</v>
      </c>
      <c r="D3865" s="94">
        <v>1402.0</v>
      </c>
    </row>
    <row r="3866">
      <c r="A3866" s="40">
        <f t="array" ref="A3866">IFNA(index(PlayerValues!A:A,match(IFNA(vlookup(B3866,'Special Names'!A:B,2,FALSE),B3866),PlayerValues!E:E,0)),"N/A")</f>
        <v>15788</v>
      </c>
      <c r="B3866" s="4" t="s">
        <v>627</v>
      </c>
      <c r="C3866" s="4" t="s">
        <v>287</v>
      </c>
      <c r="D3866" s="94">
        <v>1398.0</v>
      </c>
    </row>
    <row r="3867">
      <c r="A3867" s="40">
        <f t="array" ref="A3867">IFNA(index(PlayerValues!A:A,match(IFNA(vlookup(B3867,'Special Names'!A:B,2,FALSE),B3867),PlayerValues!E:E,0)),"N/A")</f>
        <v>17269</v>
      </c>
      <c r="B3867" s="4" t="s">
        <v>718</v>
      </c>
      <c r="C3867" s="4" t="s">
        <v>287</v>
      </c>
      <c r="D3867" s="94">
        <v>1392.0</v>
      </c>
    </row>
    <row r="3868">
      <c r="A3868" s="40">
        <f t="array" ref="A3868">IFNA(index(PlayerValues!A:A,match(IFNA(vlookup(B3868,'Special Names'!A:B,2,FALSE),B3868),PlayerValues!E:E,0)),"N/A")</f>
        <v>17486</v>
      </c>
      <c r="B3868" s="4" t="s">
        <v>695</v>
      </c>
      <c r="C3868" s="4" t="s">
        <v>278</v>
      </c>
      <c r="D3868" s="94">
        <v>1389.0</v>
      </c>
    </row>
    <row r="3869">
      <c r="A3869" s="40">
        <f t="array" ref="A3869">IFNA(index(PlayerValues!A:A,match(IFNA(vlookup(B3869,'Special Names'!A:B,2,FALSE),B3869),PlayerValues!E:E,0)),"N/A")</f>
        <v>17062</v>
      </c>
      <c r="B3869" s="4" t="s">
        <v>701</v>
      </c>
      <c r="C3869" s="4" t="s">
        <v>278</v>
      </c>
      <c r="D3869" s="94">
        <v>1385.0</v>
      </c>
    </row>
    <row r="3870">
      <c r="A3870" s="40">
        <f t="array" ref="A3870">IFNA(index(PlayerValues!A:A,match(IFNA(vlookup(B3870,'Special Names'!A:B,2,FALSE),B3870),PlayerValues!E:E,0)),"N/A")</f>
        <v>17479</v>
      </c>
      <c r="B3870" s="4" t="s">
        <v>756</v>
      </c>
      <c r="C3870" s="4" t="s">
        <v>278</v>
      </c>
      <c r="D3870" s="94">
        <v>1385.0</v>
      </c>
    </row>
    <row r="3871">
      <c r="A3871" s="40">
        <f t="array" ref="A3871">IFNA(index(PlayerValues!A:A,match(IFNA(vlookup(B3871,'Special Names'!A:B,2,FALSE),B3871),PlayerValues!E:E,0)),"N/A")</f>
        <v>16631</v>
      </c>
      <c r="B3871" s="4" t="s">
        <v>800</v>
      </c>
      <c r="C3871" s="4" t="s">
        <v>287</v>
      </c>
      <c r="D3871" s="94">
        <v>1373.0</v>
      </c>
    </row>
    <row r="3872">
      <c r="A3872" s="40">
        <f t="array" ref="A3872">IFNA(index(PlayerValues!A:A,match(IFNA(vlookup(B3872,'Special Names'!A:B,2,FALSE),B3872),PlayerValues!E:E,0)),"N/A")</f>
        <v>17487</v>
      </c>
      <c r="B3872" s="4" t="s">
        <v>692</v>
      </c>
      <c r="C3872" s="4" t="s">
        <v>278</v>
      </c>
      <c r="D3872" s="94">
        <v>1343.0</v>
      </c>
    </row>
    <row r="3873">
      <c r="A3873" s="40">
        <f t="array" ref="A3873">IFNA(index(PlayerValues!A:A,match(IFNA(vlookup(B3873,'Special Names'!A:B,2,FALSE),B3873),PlayerValues!E:E,0)),"N/A")</f>
        <v>15797</v>
      </c>
      <c r="B3873" s="4" t="s">
        <v>556</v>
      </c>
      <c r="C3873" s="4" t="s">
        <v>298</v>
      </c>
      <c r="D3873" s="94">
        <v>1712.0</v>
      </c>
    </row>
    <row r="3874">
      <c r="A3874" s="40">
        <f t="array" ref="A3874">IFNA(index(PlayerValues!A:A,match(IFNA(vlookup(B3874,'Special Names'!A:B,2,FALSE),B3874),PlayerValues!E:E,0)),"N/A")</f>
        <v>15332</v>
      </c>
      <c r="B3874" s="4" t="s">
        <v>698</v>
      </c>
      <c r="C3874" s="4" t="s">
        <v>298</v>
      </c>
      <c r="D3874" s="94">
        <v>1708.0</v>
      </c>
    </row>
    <row r="3875">
      <c r="A3875" s="40">
        <f t="array" ref="A3875">IFNA(index(PlayerValues!A:A,match(IFNA(vlookup(B3875,'Special Names'!A:B,2,FALSE),B3875),PlayerValues!E:E,0)),"N/A")</f>
        <v>14137</v>
      </c>
      <c r="B3875" s="4" t="s">
        <v>676</v>
      </c>
      <c r="C3875" s="4" t="s">
        <v>298</v>
      </c>
      <c r="D3875" s="94">
        <v>1706.0</v>
      </c>
    </row>
    <row r="3876">
      <c r="A3876" s="40">
        <f t="array" ref="A3876">IFNA(index(PlayerValues!A:A,match(IFNA(vlookup(B3876,'Special Names'!A:B,2,FALSE),B3876),PlayerValues!E:E,0)),"N/A")</f>
        <v>15301</v>
      </c>
      <c r="B3876" s="4" t="s">
        <v>657</v>
      </c>
      <c r="C3876" s="4" t="s">
        <v>287</v>
      </c>
      <c r="D3876" s="94">
        <v>1326.0</v>
      </c>
    </row>
    <row r="3877">
      <c r="A3877" s="40">
        <f t="array" ref="A3877">IFNA(index(PlayerValues!A:A,match(IFNA(vlookup(B3877,'Special Names'!A:B,2,FALSE),B3877),PlayerValues!E:E,0)),"N/A")</f>
        <v>15873</v>
      </c>
      <c r="B3877" s="4" t="s">
        <v>681</v>
      </c>
      <c r="C3877" s="4" t="s">
        <v>298</v>
      </c>
      <c r="D3877" s="94">
        <v>1694.0</v>
      </c>
    </row>
    <row r="3878">
      <c r="A3878" s="40">
        <f t="array" ref="A3878">IFNA(index(PlayerValues!A:A,match(IFNA(vlookup(B3878,'Special Names'!A:B,2,FALSE),B3878),PlayerValues!E:E,0)),"N/A")</f>
        <v>16621</v>
      </c>
      <c r="B3878" s="4" t="s">
        <v>672</v>
      </c>
      <c r="C3878" s="4" t="s">
        <v>287</v>
      </c>
      <c r="D3878" s="94">
        <v>1321.0</v>
      </c>
    </row>
    <row r="3879">
      <c r="A3879" s="40">
        <f t="array" ref="A3879">IFNA(index(PlayerValues!A:A,match(IFNA(vlookup(B3879,'Special Names'!A:B,2,FALSE),B3879),PlayerValues!E:E,0)),"N/A")</f>
        <v>16642</v>
      </c>
      <c r="B3879" s="4" t="s">
        <v>691</v>
      </c>
      <c r="C3879" s="4" t="s">
        <v>298</v>
      </c>
      <c r="D3879" s="94">
        <v>1678.0</v>
      </c>
    </row>
    <row r="3880">
      <c r="A3880" s="40">
        <f t="array" ref="A3880">IFNA(index(PlayerValues!A:A,match(IFNA(vlookup(B3880,'Special Names'!A:B,2,FALSE),B3880),PlayerValues!E:E,0)),"N/A")</f>
        <v>16385</v>
      </c>
      <c r="B3880" s="4" t="s">
        <v>690</v>
      </c>
      <c r="C3880" s="4" t="s">
        <v>278</v>
      </c>
      <c r="D3880" s="94">
        <v>1304.0</v>
      </c>
    </row>
    <row r="3881">
      <c r="A3881" s="40" t="str">
        <f t="array" ref="A3881">IFNA(index(PlayerValues!A:A,match(IFNA(vlookup(B3881,'Special Names'!A:B,2,FALSE),B3881),PlayerValues!E:E,0)),"N/A")</f>
        <v>N/A</v>
      </c>
      <c r="B3881" s="4" t="s">
        <v>117</v>
      </c>
      <c r="C3881" s="4" t="s">
        <v>325</v>
      </c>
      <c r="D3881" s="94">
        <v>1289.0</v>
      </c>
    </row>
    <row r="3882">
      <c r="A3882" s="40">
        <f t="array" ref="A3882">IFNA(index(PlayerValues!A:A,match(IFNA(vlookup(B3882,'Special Names'!A:B,2,FALSE),B3882),PlayerValues!E:E,0)),"N/A")</f>
        <v>17526</v>
      </c>
      <c r="B3882" s="4" t="s">
        <v>760</v>
      </c>
      <c r="C3882" s="4" t="s">
        <v>287</v>
      </c>
      <c r="D3882" s="94">
        <v>1287.0</v>
      </c>
    </row>
    <row r="3883">
      <c r="A3883" s="40">
        <f t="array" ref="A3883">IFNA(index(PlayerValues!A:A,match(IFNA(vlookup(B3883,'Special Names'!A:B,2,FALSE),B3883),PlayerValues!E:E,0)),"N/A")</f>
        <v>14592</v>
      </c>
      <c r="B3883" s="4" t="s">
        <v>705</v>
      </c>
      <c r="C3883" s="4" t="s">
        <v>287</v>
      </c>
      <c r="D3883" s="94">
        <v>1276.0</v>
      </c>
    </row>
    <row r="3884">
      <c r="A3884" s="40">
        <f t="array" ref="A3884">IFNA(index(PlayerValues!A:A,match(IFNA(vlookup(B3884,'Special Names'!A:B,2,FALSE),B3884),PlayerValues!E:E,0)),"N/A")</f>
        <v>16175</v>
      </c>
      <c r="B3884" s="4" t="s">
        <v>654</v>
      </c>
      <c r="C3884" s="4" t="s">
        <v>278</v>
      </c>
      <c r="D3884" s="94">
        <v>1263.0</v>
      </c>
    </row>
    <row r="3885">
      <c r="A3885" s="40">
        <f t="array" ref="A3885">IFNA(index(PlayerValues!A:A,match(IFNA(vlookup(B3885,'Special Names'!A:B,2,FALSE),B3885),PlayerValues!E:E,0)),"N/A")</f>
        <v>15292</v>
      </c>
      <c r="B3885" s="4" t="s">
        <v>682</v>
      </c>
      <c r="C3885" s="4" t="s">
        <v>287</v>
      </c>
      <c r="D3885" s="94">
        <v>1262.0</v>
      </c>
    </row>
    <row r="3886">
      <c r="A3886" s="40">
        <f t="array" ref="A3886">IFNA(index(PlayerValues!A:A,match(IFNA(vlookup(B3886,'Special Names'!A:B,2,FALSE),B3886),PlayerValues!E:E,0)),"N/A")</f>
        <v>14086</v>
      </c>
      <c r="B3886" s="4" t="s">
        <v>639</v>
      </c>
      <c r="C3886" s="4" t="s">
        <v>278</v>
      </c>
      <c r="D3886" s="94">
        <v>1253.0</v>
      </c>
    </row>
    <row r="3887">
      <c r="A3887" s="40">
        <f t="array" ref="A3887">IFNA(index(PlayerValues!A:A,match(IFNA(vlookup(B3887,'Special Names'!A:B,2,FALSE),B3887),PlayerValues!E:E,0)),"N/A")</f>
        <v>14108</v>
      </c>
      <c r="B3887" s="4" t="s">
        <v>673</v>
      </c>
      <c r="C3887" s="4" t="s">
        <v>287</v>
      </c>
      <c r="D3887" s="94">
        <v>1249.0</v>
      </c>
    </row>
    <row r="3888">
      <c r="A3888" s="40">
        <f t="array" ref="A3888">IFNA(index(PlayerValues!A:A,match(IFNA(vlookup(B3888,'Special Names'!A:B,2,FALSE),B3888),PlayerValues!E:E,0)),"N/A")</f>
        <v>16451</v>
      </c>
      <c r="B3888" s="4" t="s">
        <v>769</v>
      </c>
      <c r="C3888" s="4" t="s">
        <v>287</v>
      </c>
      <c r="D3888" s="94">
        <v>1243.0</v>
      </c>
    </row>
    <row r="3889">
      <c r="A3889" s="40">
        <f t="array" ref="A3889">IFNA(index(PlayerValues!A:A,match(IFNA(vlookup(B3889,'Special Names'!A:B,2,FALSE),B3889),PlayerValues!E:E,0)),"N/A")</f>
        <v>15981</v>
      </c>
      <c r="B3889" s="4" t="s">
        <v>729</v>
      </c>
      <c r="C3889" s="4" t="s">
        <v>287</v>
      </c>
      <c r="D3889" s="94">
        <v>1230.0</v>
      </c>
    </row>
    <row r="3890">
      <c r="A3890" s="40">
        <f t="array" ref="A3890">IFNA(index(PlayerValues!A:A,match(IFNA(vlookup(B3890,'Special Names'!A:B,2,FALSE),B3890),PlayerValues!E:E,0)),"N/A")</f>
        <v>16183</v>
      </c>
      <c r="B3890" s="4" t="s">
        <v>678</v>
      </c>
      <c r="C3890" s="4" t="s">
        <v>287</v>
      </c>
      <c r="D3890" s="94">
        <v>1223.0</v>
      </c>
    </row>
    <row r="3891">
      <c r="A3891" s="40">
        <f t="array" ref="A3891">IFNA(index(PlayerValues!A:A,match(IFNA(vlookup(B3891,'Special Names'!A:B,2,FALSE),B3891),PlayerValues!E:E,0)),"N/A")</f>
        <v>12263</v>
      </c>
      <c r="B3891" s="4" t="s">
        <v>697</v>
      </c>
      <c r="C3891" s="4" t="s">
        <v>298</v>
      </c>
      <c r="D3891" s="94">
        <v>1588.0</v>
      </c>
    </row>
    <row r="3892">
      <c r="A3892" s="40">
        <f t="array" ref="A3892">IFNA(index(PlayerValues!A:A,match(IFNA(vlookup(B3892,'Special Names'!A:B,2,FALSE),B3892),PlayerValues!E:E,0)),"N/A")</f>
        <v>16792</v>
      </c>
      <c r="B3892" s="4" t="s">
        <v>704</v>
      </c>
      <c r="C3892" s="4" t="s">
        <v>287</v>
      </c>
      <c r="D3892" s="94">
        <v>1202.0</v>
      </c>
    </row>
    <row r="3893">
      <c r="A3893" s="40">
        <f t="array" ref="A3893">IFNA(index(PlayerValues!A:A,match(IFNA(vlookup(B3893,'Special Names'!A:B,2,FALSE),B3893),PlayerValues!E:E,0)),"N/A")</f>
        <v>16149</v>
      </c>
      <c r="B3893" s="4" t="s">
        <v>740</v>
      </c>
      <c r="C3893" s="4" t="s">
        <v>283</v>
      </c>
      <c r="D3893" s="94">
        <v>1198.0</v>
      </c>
    </row>
    <row r="3894">
      <c r="A3894" s="40">
        <f t="array" ref="A3894">IFNA(index(PlayerValues!A:A,match(IFNA(vlookup(B3894,'Special Names'!A:B,2,FALSE),B3894),PlayerValues!E:E,0)),"N/A")</f>
        <v>17063</v>
      </c>
      <c r="B3894" s="4" t="s">
        <v>686</v>
      </c>
      <c r="C3894" s="4" t="s">
        <v>278</v>
      </c>
      <c r="D3894" s="94">
        <v>1188.0</v>
      </c>
    </row>
    <row r="3895">
      <c r="A3895" s="40">
        <f t="array" ref="A3895">IFNA(index(PlayerValues!A:A,match(IFNA(vlookup(B3895,'Special Names'!A:B,2,FALSE),B3895),PlayerValues!E:E,0)),"N/A")</f>
        <v>15240</v>
      </c>
      <c r="B3895" s="4" t="s">
        <v>751</v>
      </c>
      <c r="C3895" s="4" t="s">
        <v>283</v>
      </c>
      <c r="D3895" s="94">
        <v>1186.0</v>
      </c>
    </row>
    <row r="3896">
      <c r="A3896" s="40">
        <f t="array" ref="A3896">IFNA(index(PlayerValues!A:A,match(IFNA(vlookup(B3896,'Special Names'!A:B,2,FALSE),B3896),PlayerValues!E:E,0)),"N/A")</f>
        <v>15702</v>
      </c>
      <c r="B3896" s="4" t="s">
        <v>723</v>
      </c>
      <c r="C3896" s="4" t="s">
        <v>283</v>
      </c>
      <c r="D3896" s="94">
        <v>1175.0</v>
      </c>
    </row>
    <row r="3897">
      <c r="A3897" s="40">
        <f t="array" ref="A3897">IFNA(index(PlayerValues!A:A,match(IFNA(vlookup(B3897,'Special Names'!A:B,2,FALSE),B3897),PlayerValues!E:E,0)),"N/A")</f>
        <v>16636</v>
      </c>
      <c r="B3897" s="4" t="s">
        <v>699</v>
      </c>
      <c r="C3897" s="4" t="s">
        <v>287</v>
      </c>
      <c r="D3897" s="94">
        <v>1172.0</v>
      </c>
    </row>
    <row r="3898">
      <c r="A3898" s="40">
        <f t="array" ref="A3898">IFNA(index(PlayerValues!A:A,match(IFNA(vlookup(B3898,'Special Names'!A:B,2,FALSE),B3898),PlayerValues!E:E,0)),"N/A")</f>
        <v>16746</v>
      </c>
      <c r="B3898" s="4" t="s">
        <v>709</v>
      </c>
      <c r="C3898" s="4" t="s">
        <v>278</v>
      </c>
      <c r="D3898" s="94">
        <v>1167.0</v>
      </c>
    </row>
    <row r="3899">
      <c r="A3899" s="40">
        <f t="array" ref="A3899">IFNA(index(PlayerValues!A:A,match(IFNA(vlookup(B3899,'Special Names'!A:B,2,FALSE),B3899),PlayerValues!E:E,0)),"N/A")</f>
        <v>16199</v>
      </c>
      <c r="B3899" s="4" t="s">
        <v>687</v>
      </c>
      <c r="C3899" s="4" t="s">
        <v>287</v>
      </c>
      <c r="D3899" s="94">
        <v>1160.0</v>
      </c>
    </row>
    <row r="3900">
      <c r="A3900" s="40">
        <f t="array" ref="A3900">IFNA(index(PlayerValues!A:A,match(IFNA(vlookup(B3900,'Special Names'!A:B,2,FALSE),B3900),PlayerValues!E:E,0)),"N/A")</f>
        <v>16645</v>
      </c>
      <c r="B3900" s="4" t="s">
        <v>651</v>
      </c>
      <c r="C3900" s="4" t="s">
        <v>298</v>
      </c>
      <c r="D3900" s="94">
        <v>1526.0</v>
      </c>
    </row>
    <row r="3901">
      <c r="A3901" s="40">
        <f t="array" ref="A3901">IFNA(index(PlayerValues!A:A,match(IFNA(vlookup(B3901,'Special Names'!A:B,2,FALSE),B3901),PlayerValues!E:E,0)),"N/A")</f>
        <v>16883</v>
      </c>
      <c r="B3901" s="4" t="s">
        <v>683</v>
      </c>
      <c r="C3901" s="4" t="s">
        <v>287</v>
      </c>
      <c r="D3901" s="94">
        <v>1160.0</v>
      </c>
    </row>
    <row r="3902">
      <c r="A3902" s="40">
        <f t="array" ref="A3902">IFNA(index(PlayerValues!A:A,match(IFNA(vlookup(B3902,'Special Names'!A:B,2,FALSE),B3902),PlayerValues!E:E,0)),"N/A")</f>
        <v>12678</v>
      </c>
      <c r="B3902" s="4" t="s">
        <v>703</v>
      </c>
      <c r="C3902" s="4" t="s">
        <v>298</v>
      </c>
      <c r="D3902" s="94">
        <v>1524.0</v>
      </c>
    </row>
    <row r="3903">
      <c r="A3903" s="40">
        <f t="array" ref="A3903">IFNA(index(PlayerValues!A:A,match(IFNA(vlookup(B3903,'Special Names'!A:B,2,FALSE),B3903),PlayerValues!E:E,0)),"N/A")</f>
        <v>14789</v>
      </c>
      <c r="B3903" s="4" t="s">
        <v>721</v>
      </c>
      <c r="C3903" s="4" t="s">
        <v>283</v>
      </c>
      <c r="D3903" s="94">
        <v>1153.0</v>
      </c>
    </row>
    <row r="3904">
      <c r="A3904" s="40">
        <f t="array" ref="A3904">IFNA(index(PlayerValues!A:A,match(IFNA(vlookup(B3904,'Special Names'!A:B,2,FALSE),B3904),PlayerValues!E:E,0)),"N/A")</f>
        <v>17097</v>
      </c>
      <c r="B3904" s="4" t="s">
        <v>659</v>
      </c>
      <c r="C3904" s="4" t="s">
        <v>287</v>
      </c>
      <c r="D3904" s="94">
        <v>1148.0</v>
      </c>
    </row>
    <row r="3905">
      <c r="A3905" s="40">
        <f t="array" ref="A3905">IFNA(index(PlayerValues!A:A,match(IFNA(vlookup(B3905,'Special Names'!A:B,2,FALSE),B3905),PlayerValues!E:E,0)),"N/A")</f>
        <v>17054</v>
      </c>
      <c r="B3905" s="4" t="s">
        <v>670</v>
      </c>
      <c r="C3905" s="4" t="s">
        <v>278</v>
      </c>
      <c r="D3905" s="94">
        <v>1136.0</v>
      </c>
    </row>
    <row r="3906">
      <c r="A3906" s="40">
        <f t="array" ref="A3906">IFNA(index(PlayerValues!A:A,match(IFNA(vlookup(B3906,'Special Names'!A:B,2,FALSE),B3906),PlayerValues!E:E,0)),"N/A")</f>
        <v>17050</v>
      </c>
      <c r="B3906" s="4" t="s">
        <v>713</v>
      </c>
      <c r="C3906" s="4" t="s">
        <v>278</v>
      </c>
      <c r="D3906" s="94">
        <v>1135.0</v>
      </c>
    </row>
    <row r="3907">
      <c r="A3907" s="40">
        <f t="array" ref="A3907">IFNA(index(PlayerValues!A:A,match(IFNA(vlookup(B3907,'Special Names'!A:B,2,FALSE),B3907),PlayerValues!E:E,0)),"N/A")</f>
        <v>15692</v>
      </c>
      <c r="B3907" s="4" t="s">
        <v>750</v>
      </c>
      <c r="C3907" s="4" t="s">
        <v>283</v>
      </c>
      <c r="D3907" s="94">
        <v>1134.0</v>
      </c>
    </row>
    <row r="3908">
      <c r="A3908" s="40">
        <f t="array" ref="A3908">IFNA(index(PlayerValues!A:A,match(IFNA(vlookup(B3908,'Special Names'!A:B,2,FALSE),B3908),PlayerValues!E:E,0)),"N/A")</f>
        <v>14845</v>
      </c>
      <c r="B3908" s="4" t="s">
        <v>717</v>
      </c>
      <c r="C3908" s="4" t="s">
        <v>287</v>
      </c>
      <c r="D3908" s="94">
        <v>1133.0</v>
      </c>
    </row>
    <row r="3909">
      <c r="A3909" s="40">
        <f t="array" ref="A3909">IFNA(index(PlayerValues!A:A,match(IFNA(vlookup(B3909,'Special Names'!A:B,2,FALSE),B3909),PlayerValues!E:E,0)),"N/A")</f>
        <v>16221</v>
      </c>
      <c r="B3909" s="4" t="s">
        <v>725</v>
      </c>
      <c r="C3909" s="4" t="s">
        <v>298</v>
      </c>
      <c r="D3909" s="94">
        <v>1500.0</v>
      </c>
    </row>
    <row r="3910">
      <c r="A3910" s="40">
        <f t="array" ref="A3910">IFNA(index(PlayerValues!A:A,match(IFNA(vlookup(B3910,'Special Names'!A:B,2,FALSE),B3910),PlayerValues!E:E,0)),"N/A")</f>
        <v>17109</v>
      </c>
      <c r="B3910" s="4" t="s">
        <v>707</v>
      </c>
      <c r="C3910" s="4" t="s">
        <v>298</v>
      </c>
      <c r="D3910" s="94">
        <v>1490.0</v>
      </c>
    </row>
    <row r="3911">
      <c r="A3911" s="40">
        <f t="array" ref="A3911">IFNA(index(PlayerValues!A:A,match(IFNA(vlookup(B3911,'Special Names'!A:B,2,FALSE),B3911),PlayerValues!E:E,0)),"N/A")</f>
        <v>13289</v>
      </c>
      <c r="B3911" s="4" t="s">
        <v>746</v>
      </c>
      <c r="C3911" s="4" t="s">
        <v>287</v>
      </c>
      <c r="D3911" s="94">
        <v>1117.0</v>
      </c>
    </row>
    <row r="3912">
      <c r="A3912" s="40">
        <f t="array" ref="A3912">IFNA(index(PlayerValues!A:A,match(IFNA(vlookup(B3912,'Special Names'!A:B,2,FALSE),B3912),PlayerValues!E:E,0)),"N/A")</f>
        <v>16333</v>
      </c>
      <c r="B3912" s="4" t="s">
        <v>711</v>
      </c>
      <c r="C3912" s="4" t="s">
        <v>298</v>
      </c>
      <c r="D3912" s="94">
        <v>1481.0</v>
      </c>
    </row>
    <row r="3913">
      <c r="A3913" s="40">
        <f t="array" ref="A3913">IFNA(index(PlayerValues!A:A,match(IFNA(vlookup(B3913,'Special Names'!A:B,2,FALSE),B3913),PlayerValues!E:E,0)),"N/A")</f>
        <v>15239</v>
      </c>
      <c r="B3913" s="4" t="s">
        <v>802</v>
      </c>
      <c r="C3913" s="4" t="s">
        <v>283</v>
      </c>
      <c r="D3913" s="94">
        <v>1113.0</v>
      </c>
    </row>
    <row r="3914">
      <c r="A3914" s="40">
        <f t="array" ref="A3914">IFNA(index(PlayerValues!A:A,match(IFNA(vlookup(B3914,'Special Names'!A:B,2,FALSE),B3914),PlayerValues!E:E,0)),"N/A")</f>
        <v>17192</v>
      </c>
      <c r="B3914" s="4" t="s">
        <v>677</v>
      </c>
      <c r="C3914" s="4" t="s">
        <v>287</v>
      </c>
      <c r="D3914" s="94">
        <v>1104.0</v>
      </c>
    </row>
    <row r="3915">
      <c r="A3915" s="40">
        <f t="array" ref="A3915">IFNA(index(PlayerValues!A:A,match(IFNA(vlookup(B3915,'Special Names'!A:B,2,FALSE),B3915),PlayerValues!E:E,0)),"N/A")</f>
        <v>15288</v>
      </c>
      <c r="B3915" s="4" t="s">
        <v>700</v>
      </c>
      <c r="C3915" s="4" t="s">
        <v>287</v>
      </c>
      <c r="D3915" s="94">
        <v>1102.0</v>
      </c>
    </row>
    <row r="3916">
      <c r="A3916" s="40">
        <f t="array" ref="A3916">IFNA(index(PlayerValues!A:A,match(IFNA(vlookup(B3916,'Special Names'!A:B,2,FALSE),B3916),PlayerValues!E:E,0)),"N/A")</f>
        <v>16384</v>
      </c>
      <c r="B3916" s="4" t="s">
        <v>696</v>
      </c>
      <c r="C3916" s="4" t="s">
        <v>283</v>
      </c>
      <c r="D3916" s="94">
        <v>1098.0</v>
      </c>
    </row>
    <row r="3917">
      <c r="A3917" s="40">
        <f t="array" ref="A3917">IFNA(index(PlayerValues!A:A,match(IFNA(vlookup(B3917,'Special Names'!A:B,2,FALSE),B3917),PlayerValues!E:E,0)),"N/A")</f>
        <v>17175</v>
      </c>
      <c r="B3917" s="4" t="s">
        <v>747</v>
      </c>
      <c r="C3917" s="4" t="s">
        <v>287</v>
      </c>
      <c r="D3917" s="94">
        <v>1091.0</v>
      </c>
    </row>
    <row r="3918">
      <c r="A3918" s="40">
        <f t="array" ref="A3918">IFNA(index(PlayerValues!A:A,match(IFNA(vlookup(B3918,'Special Names'!A:B,2,FALSE),B3918),PlayerValues!E:E,0)),"N/A")</f>
        <v>15717</v>
      </c>
      <c r="B3918" s="4" t="s">
        <v>745</v>
      </c>
      <c r="C3918" s="4" t="s">
        <v>278</v>
      </c>
      <c r="D3918" s="94">
        <v>1083.0</v>
      </c>
    </row>
    <row r="3919">
      <c r="A3919" s="40">
        <f t="array" ref="A3919">IFNA(index(PlayerValues!A:A,match(IFNA(vlookup(B3919,'Special Names'!A:B,2,FALSE),B3919),PlayerValues!E:E,0)),"N/A")</f>
        <v>15718</v>
      </c>
      <c r="B3919" s="4" t="s">
        <v>753</v>
      </c>
      <c r="C3919" s="4" t="s">
        <v>278</v>
      </c>
      <c r="D3919" s="94">
        <v>1079.0</v>
      </c>
    </row>
    <row r="3920">
      <c r="A3920" s="40">
        <f t="array" ref="A3920">IFNA(index(PlayerValues!A:A,match(IFNA(vlookup(B3920,'Special Names'!A:B,2,FALSE),B3920),PlayerValues!E:E,0)),"N/A")</f>
        <v>16197</v>
      </c>
      <c r="B3920" s="4" t="s">
        <v>726</v>
      </c>
      <c r="C3920" s="4" t="s">
        <v>287</v>
      </c>
      <c r="D3920" s="94">
        <v>1073.0</v>
      </c>
    </row>
    <row r="3921">
      <c r="A3921" s="40">
        <f t="array" ref="A3921">IFNA(index(PlayerValues!A:A,match(IFNA(vlookup(B3921,'Special Names'!A:B,2,FALSE),B3921),PlayerValues!E:E,0)),"N/A")</f>
        <v>16219</v>
      </c>
      <c r="B3921" s="4" t="s">
        <v>739</v>
      </c>
      <c r="C3921" s="4" t="s">
        <v>298</v>
      </c>
      <c r="D3921" s="94">
        <v>1439.0</v>
      </c>
    </row>
    <row r="3922">
      <c r="A3922" s="40">
        <f t="array" ref="A3922">IFNA(index(PlayerValues!A:A,match(IFNA(vlookup(B3922,'Special Names'!A:B,2,FALSE),B3922),PlayerValues!E:E,0)),"N/A")</f>
        <v>13610</v>
      </c>
      <c r="B3922" s="4" t="s">
        <v>825</v>
      </c>
      <c r="C3922" s="4" t="s">
        <v>278</v>
      </c>
      <c r="D3922" s="94">
        <v>1069.0</v>
      </c>
    </row>
    <row r="3923">
      <c r="A3923" s="40">
        <f t="array" ref="A3923">IFNA(index(PlayerValues!A:A,match(IFNA(vlookup(B3923,'Special Names'!A:B,2,FALSE),B3923),PlayerValues!E:E,0)),"N/A")</f>
        <v>15730</v>
      </c>
      <c r="B3923" s="4" t="s">
        <v>734</v>
      </c>
      <c r="C3923" s="4" t="s">
        <v>278</v>
      </c>
      <c r="D3923" s="94">
        <v>1069.0</v>
      </c>
    </row>
    <row r="3924">
      <c r="A3924" s="40">
        <f t="array" ref="A3924">IFNA(index(PlayerValues!A:A,match(IFNA(vlookup(B3924,'Special Names'!A:B,2,FALSE),B3924),PlayerValues!E:E,0)),"N/A")</f>
        <v>16387</v>
      </c>
      <c r="B3924" s="4" t="s">
        <v>646</v>
      </c>
      <c r="C3924" s="4" t="s">
        <v>278</v>
      </c>
      <c r="D3924" s="94">
        <v>1056.0</v>
      </c>
    </row>
    <row r="3925">
      <c r="A3925" s="40">
        <f t="array" ref="A3925">IFNA(index(PlayerValues!A:A,match(IFNA(vlookup(B3925,'Special Names'!A:B,2,FALSE),B3925),PlayerValues!E:E,0)),"N/A")</f>
        <v>16640</v>
      </c>
      <c r="B3925" s="4" t="s">
        <v>712</v>
      </c>
      <c r="C3925" s="4" t="s">
        <v>287</v>
      </c>
      <c r="D3925" s="94">
        <v>1055.0</v>
      </c>
    </row>
    <row r="3926">
      <c r="A3926" s="40">
        <f t="array" ref="A3926">IFNA(index(PlayerValues!A:A,match(IFNA(vlookup(B3926,'Special Names'!A:B,2,FALSE),B3926),PlayerValues!E:E,0)),"N/A")</f>
        <v>14849</v>
      </c>
      <c r="B3926" s="4" t="s">
        <v>733</v>
      </c>
      <c r="C3926" s="4" t="s">
        <v>287</v>
      </c>
      <c r="D3926" s="94">
        <v>1042.0</v>
      </c>
    </row>
    <row r="3927">
      <c r="A3927" s="40">
        <f t="array" ref="A3927">IFNA(index(PlayerValues!A:A,match(IFNA(vlookup(B3927,'Special Names'!A:B,2,FALSE),B3927),PlayerValues!E:E,0)),"N/A")</f>
        <v>14118</v>
      </c>
      <c r="B3927" s="4" t="s">
        <v>771</v>
      </c>
      <c r="C3927" s="4" t="s">
        <v>287</v>
      </c>
      <c r="D3927" s="94">
        <v>1038.0</v>
      </c>
    </row>
    <row r="3928">
      <c r="A3928" s="40">
        <f t="array" ref="A3928">IFNA(index(PlayerValues!A:A,match(IFNA(vlookup(B3928,'Special Names'!A:B,2,FALSE),B3928),PlayerValues!E:E,0)),"N/A")</f>
        <v>15720</v>
      </c>
      <c r="B3928" s="4" t="s">
        <v>795</v>
      </c>
      <c r="C3928" s="4" t="s">
        <v>278</v>
      </c>
      <c r="D3928" s="94">
        <v>1033.0</v>
      </c>
    </row>
    <row r="3929">
      <c r="A3929" s="40">
        <f t="array" ref="A3929">IFNA(index(PlayerValues!A:A,match(IFNA(vlookup(B3929,'Special Names'!A:B,2,FALSE),B3929),PlayerValues!E:E,0)),"N/A")</f>
        <v>15693</v>
      </c>
      <c r="B3929" s="4" t="s">
        <v>755</v>
      </c>
      <c r="C3929" s="4" t="s">
        <v>283</v>
      </c>
      <c r="D3929" s="94">
        <v>1029.0</v>
      </c>
    </row>
    <row r="3930">
      <c r="A3930" s="40">
        <f t="array" ref="A3930">IFNA(index(PlayerValues!A:A,match(IFNA(vlookup(B3930,'Special Names'!A:B,2,FALSE),B3930),PlayerValues!E:E,0)),"N/A")</f>
        <v>15785</v>
      </c>
      <c r="B3930" s="4" t="s">
        <v>763</v>
      </c>
      <c r="C3930" s="4" t="s">
        <v>287</v>
      </c>
      <c r="D3930" s="94">
        <v>1027.0</v>
      </c>
    </row>
    <row r="3931">
      <c r="A3931" s="40">
        <f t="array" ref="A3931">IFNA(index(PlayerValues!A:A,match(IFNA(vlookup(B3931,'Special Names'!A:B,2,FALSE),B3931),PlayerValues!E:E,0)),"N/A")</f>
        <v>13143</v>
      </c>
      <c r="B3931" s="4" t="s">
        <v>786</v>
      </c>
      <c r="C3931" s="4" t="s">
        <v>278</v>
      </c>
      <c r="D3931" s="94">
        <v>1024.0</v>
      </c>
    </row>
    <row r="3932">
      <c r="A3932" s="40">
        <f t="array" ref="A3932">IFNA(index(PlayerValues!A:A,match(IFNA(vlookup(B3932,'Special Names'!A:B,2,FALSE),B3932),PlayerValues!E:E,0)),"N/A")</f>
        <v>15626</v>
      </c>
      <c r="B3932" s="4" t="s">
        <v>766</v>
      </c>
      <c r="C3932" s="4" t="s">
        <v>298</v>
      </c>
      <c r="D3932" s="94">
        <v>1389.0</v>
      </c>
    </row>
    <row r="3933">
      <c r="A3933" s="40">
        <f t="array" ref="A3933">IFNA(index(PlayerValues!A:A,match(IFNA(vlookup(B3933,'Special Names'!A:B,2,FALSE),B3933),PlayerValues!E:E,0)),"N/A")</f>
        <v>16637</v>
      </c>
      <c r="B3933" s="4" t="s">
        <v>736</v>
      </c>
      <c r="C3933" s="4" t="s">
        <v>287</v>
      </c>
      <c r="D3933" s="94">
        <v>1014.0</v>
      </c>
    </row>
    <row r="3934">
      <c r="A3934" s="40">
        <f t="array" ref="A3934">IFNA(index(PlayerValues!A:A,match(IFNA(vlookup(B3934,'Special Names'!A:B,2,FALSE),B3934),PlayerValues!E:E,0)),"N/A")</f>
        <v>15283</v>
      </c>
      <c r="B3934" s="4" t="s">
        <v>844</v>
      </c>
      <c r="C3934" s="4" t="s">
        <v>287</v>
      </c>
      <c r="D3934" s="94">
        <v>1006.0</v>
      </c>
    </row>
    <row r="3935">
      <c r="A3935" s="40">
        <f t="array" ref="A3935">IFNA(index(PlayerValues!A:A,match(IFNA(vlookup(B3935,'Special Names'!A:B,2,FALSE),B3935),PlayerValues!E:E,0)),"N/A")</f>
        <v>17057</v>
      </c>
      <c r="B3935" s="4" t="s">
        <v>708</v>
      </c>
      <c r="C3935" s="4" t="s">
        <v>278</v>
      </c>
      <c r="D3935" s="94">
        <v>1005.0</v>
      </c>
    </row>
    <row r="3936">
      <c r="A3936" s="40">
        <f t="array" ref="A3936">IFNA(index(PlayerValues!A:A,match(IFNA(vlookup(B3936,'Special Names'!A:B,2,FALSE),B3936),PlayerValues!E:E,0)),"N/A")</f>
        <v>17467</v>
      </c>
      <c r="B3936" s="4" t="s">
        <v>575</v>
      </c>
      <c r="C3936" s="4" t="s">
        <v>283</v>
      </c>
      <c r="D3936" s="94">
        <v>1003.0</v>
      </c>
    </row>
    <row r="3937">
      <c r="A3937" s="40">
        <f t="array" ref="A3937">IFNA(index(PlayerValues!A:A,match(IFNA(vlookup(B3937,'Special Names'!A:B,2,FALSE),B3937),PlayerValues!E:E,0)),"N/A")</f>
        <v>16168</v>
      </c>
      <c r="B3937" s="4" t="s">
        <v>738</v>
      </c>
      <c r="C3937" s="4" t="s">
        <v>278</v>
      </c>
      <c r="D3937" s="94">
        <v>1000.0</v>
      </c>
    </row>
    <row r="3938">
      <c r="A3938" s="40">
        <f t="array" ref="A3938">IFNA(index(PlayerValues!A:A,match(IFNA(vlookup(B3938,'Special Names'!A:B,2,FALSE),B3938),PlayerValues!E:E,0)),"N/A")</f>
        <v>16648</v>
      </c>
      <c r="B3938" s="4" t="s">
        <v>748</v>
      </c>
      <c r="C3938" s="4" t="s">
        <v>298</v>
      </c>
      <c r="D3938" s="94">
        <v>1366.0</v>
      </c>
    </row>
    <row r="3939">
      <c r="A3939" s="40">
        <f t="array" ref="A3939">IFNA(index(PlayerValues!A:A,match(IFNA(vlookup(B3939,'Special Names'!A:B,2,FALSE),B3939),PlayerValues!E:E,0)),"N/A")</f>
        <v>16393</v>
      </c>
      <c r="B3939" s="4" t="s">
        <v>768</v>
      </c>
      <c r="C3939" s="4" t="s">
        <v>287</v>
      </c>
      <c r="D3939" s="94">
        <v>995.0</v>
      </c>
    </row>
    <row r="3940">
      <c r="A3940" s="40">
        <f t="array" ref="A3940">IFNA(index(PlayerValues!A:A,match(IFNA(vlookup(B3940,'Special Names'!A:B,2,FALSE),B3940),PlayerValues!E:E,0)),"N/A")</f>
        <v>16159</v>
      </c>
      <c r="B3940" s="4" t="s">
        <v>819</v>
      </c>
      <c r="C3940" s="4" t="s">
        <v>283</v>
      </c>
      <c r="D3940" s="94">
        <v>993.0</v>
      </c>
    </row>
    <row r="3941">
      <c r="A3941" s="40">
        <f t="array" ref="A3941">IFNA(index(PlayerValues!A:A,match(IFNA(vlookup(B3941,'Special Names'!A:B,2,FALSE),B3941),PlayerValues!E:E,0)),"N/A")</f>
        <v>16858</v>
      </c>
      <c r="B3941" s="4" t="s">
        <v>754</v>
      </c>
      <c r="C3941" s="4" t="s">
        <v>287</v>
      </c>
      <c r="D3941" s="94">
        <v>990.0</v>
      </c>
    </row>
    <row r="3942">
      <c r="A3942" s="40">
        <f t="array" ref="A3942">IFNA(index(PlayerValues!A:A,match(IFNA(vlookup(B3942,'Special Names'!A:B,2,FALSE),B3942),PlayerValues!E:E,0)),"N/A")</f>
        <v>15330</v>
      </c>
      <c r="B3942" s="4" t="s">
        <v>749</v>
      </c>
      <c r="C3942" s="4" t="s">
        <v>298</v>
      </c>
      <c r="D3942" s="94">
        <v>1354.0</v>
      </c>
    </row>
    <row r="3943">
      <c r="A3943" s="40">
        <f t="array" ref="A3943">IFNA(index(PlayerValues!A:A,match(IFNA(vlookup(B3943,'Special Names'!A:B,2,FALSE),B3943),PlayerValues!E:E,0)),"N/A")</f>
        <v>16957</v>
      </c>
      <c r="B3943" s="4" t="s">
        <v>806</v>
      </c>
      <c r="C3943" s="4" t="s">
        <v>278</v>
      </c>
      <c r="D3943" s="94">
        <v>964.0</v>
      </c>
    </row>
    <row r="3944">
      <c r="A3944" s="40">
        <f t="array" ref="A3944">IFNA(index(PlayerValues!A:A,match(IFNA(vlookup(B3944,'Special Names'!A:B,2,FALSE),B3944),PlayerValues!E:E,0)),"N/A")</f>
        <v>9064</v>
      </c>
      <c r="B3944" s="4" t="s">
        <v>761</v>
      </c>
      <c r="C3944" s="4" t="s">
        <v>283</v>
      </c>
      <c r="D3944" s="94">
        <v>950.0</v>
      </c>
    </row>
    <row r="3945">
      <c r="A3945" s="40">
        <f t="array" ref="A3945">IFNA(index(PlayerValues!A:A,match(IFNA(vlookup(B3945,'Special Names'!A:B,2,FALSE),B3945),PlayerValues!E:E,0)),"N/A")</f>
        <v>14067</v>
      </c>
      <c r="B3945" s="4" t="s">
        <v>735</v>
      </c>
      <c r="C3945" s="4" t="s">
        <v>283</v>
      </c>
      <c r="D3945" s="94">
        <v>947.0</v>
      </c>
    </row>
    <row r="3946">
      <c r="A3946" s="40">
        <f t="array" ref="A3946">IFNA(index(PlayerValues!A:A,match(IFNA(vlookup(B3946,'Special Names'!A:B,2,FALSE),B3946),PlayerValues!E:E,0)),"N/A")</f>
        <v>15766</v>
      </c>
      <c r="B3946" s="4" t="s">
        <v>759</v>
      </c>
      <c r="C3946" s="4" t="s">
        <v>287</v>
      </c>
      <c r="D3946" s="94">
        <v>946.0</v>
      </c>
    </row>
    <row r="3947">
      <c r="A3947" s="40">
        <f t="array" ref="A3947">IFNA(index(PlayerValues!A:A,match(IFNA(vlookup(B3947,'Special Names'!A:B,2,FALSE),B3947),PlayerValues!E:E,0)),"N/A")</f>
        <v>14852</v>
      </c>
      <c r="B3947" s="4" t="s">
        <v>837</v>
      </c>
      <c r="C3947" s="4" t="s">
        <v>278</v>
      </c>
      <c r="D3947" s="94">
        <v>945.0</v>
      </c>
    </row>
    <row r="3948">
      <c r="A3948" s="40">
        <f t="array" ref="A3948">IFNA(index(PlayerValues!A:A,match(IFNA(vlookup(B3948,'Special Names'!A:B,2,FALSE),B3948),PlayerValues!E:E,0)),"N/A")</f>
        <v>16205</v>
      </c>
      <c r="B3948" s="4" t="s">
        <v>742</v>
      </c>
      <c r="C3948" s="4" t="s">
        <v>287</v>
      </c>
      <c r="D3948" s="94">
        <v>945.0</v>
      </c>
    </row>
    <row r="3949">
      <c r="A3949" s="40">
        <f t="array" ref="A3949">IFNA(index(PlayerValues!A:A,match(IFNA(vlookup(B3949,'Special Names'!A:B,2,FALSE),B3949),PlayerValues!E:E,0)),"N/A")</f>
        <v>17337</v>
      </c>
      <c r="B3949" s="4" t="s">
        <v>793</v>
      </c>
      <c r="C3949" s="4" t="s">
        <v>278</v>
      </c>
      <c r="D3949" s="94">
        <v>942.0</v>
      </c>
    </row>
    <row r="3950">
      <c r="A3950" s="40">
        <f t="array" ref="A3950">IFNA(index(PlayerValues!A:A,match(IFNA(vlookup(B3950,'Special Names'!A:B,2,FALSE),B3950),PlayerValues!E:E,0)),"N/A")</f>
        <v>13156</v>
      </c>
      <c r="B3950" s="4" t="s">
        <v>835</v>
      </c>
      <c r="C3950" s="4" t="s">
        <v>287</v>
      </c>
      <c r="D3950" s="94">
        <v>938.0</v>
      </c>
    </row>
    <row r="3951">
      <c r="A3951" s="40">
        <f t="array" ref="A3951">IFNA(index(PlayerValues!A:A,match(IFNA(vlookup(B3951,'Special Names'!A:B,2,FALSE),B3951),PlayerValues!E:E,0)),"N/A")</f>
        <v>13133</v>
      </c>
      <c r="B3951" s="4" t="s">
        <v>764</v>
      </c>
      <c r="C3951" s="4" t="s">
        <v>278</v>
      </c>
      <c r="D3951" s="94">
        <v>937.0</v>
      </c>
    </row>
    <row r="3952">
      <c r="A3952" s="40">
        <f t="array" ref="A3952">IFNA(index(PlayerValues!A:A,match(IFNA(vlookup(B3952,'Special Names'!A:B,2,FALSE),B3952),PlayerValues!E:E,0)),"N/A")</f>
        <v>14864</v>
      </c>
      <c r="B3952" s="4" t="s">
        <v>789</v>
      </c>
      <c r="C3952" s="4" t="s">
        <v>287</v>
      </c>
      <c r="D3952" s="94">
        <v>932.0</v>
      </c>
    </row>
    <row r="3953">
      <c r="A3953" s="40">
        <f t="array" ref="A3953">IFNA(index(PlayerValues!A:A,match(IFNA(vlookup(B3953,'Special Names'!A:B,2,FALSE),B3953),PlayerValues!E:E,0)),"N/A")</f>
        <v>14057</v>
      </c>
      <c r="B3953" s="4" t="s">
        <v>765</v>
      </c>
      <c r="C3953" s="4" t="s">
        <v>283</v>
      </c>
      <c r="D3953" s="94">
        <v>929.0</v>
      </c>
    </row>
    <row r="3954">
      <c r="A3954" s="40">
        <f t="array" ref="A3954">IFNA(index(PlayerValues!A:A,match(IFNA(vlookup(B3954,'Special Names'!A:B,2,FALSE),B3954),PlayerValues!E:E,0)),"N/A")</f>
        <v>13595</v>
      </c>
      <c r="B3954" s="4" t="s">
        <v>818</v>
      </c>
      <c r="C3954" s="4" t="s">
        <v>283</v>
      </c>
      <c r="D3954" s="94">
        <v>929.0</v>
      </c>
    </row>
    <row r="3955">
      <c r="A3955" s="40">
        <f t="array" ref="A3955">IFNA(index(PlayerValues!A:A,match(IFNA(vlookup(B3955,'Special Names'!A:B,2,FALSE),B3955),PlayerValues!E:E,0)),"N/A")</f>
        <v>15109</v>
      </c>
      <c r="B3955" s="4" t="s">
        <v>728</v>
      </c>
      <c r="C3955" s="4" t="s">
        <v>287</v>
      </c>
      <c r="D3955" s="94">
        <v>927.0</v>
      </c>
    </row>
    <row r="3956">
      <c r="A3956" s="40">
        <f t="array" ref="A3956">IFNA(index(PlayerValues!A:A,match(IFNA(vlookup(B3956,'Special Names'!A:B,2,FALSE),B3956),PlayerValues!E:E,0)),"N/A")</f>
        <v>12785</v>
      </c>
      <c r="B3956" s="4" t="s">
        <v>772</v>
      </c>
      <c r="C3956" s="4" t="s">
        <v>287</v>
      </c>
      <c r="D3956" s="94">
        <v>924.0</v>
      </c>
    </row>
    <row r="3957">
      <c r="A3957" s="40">
        <f t="array" ref="A3957">IFNA(index(PlayerValues!A:A,match(IFNA(vlookup(B3957,'Special Names'!A:B,2,FALSE),B3957),PlayerValues!E:E,0)),"N/A")</f>
        <v>16624</v>
      </c>
      <c r="B3957" s="4" t="s">
        <v>796</v>
      </c>
      <c r="C3957" s="4" t="s">
        <v>287</v>
      </c>
      <c r="D3957" s="94">
        <v>922.0</v>
      </c>
    </row>
    <row r="3958">
      <c r="A3958" s="40">
        <f t="array" ref="A3958">IFNA(index(PlayerValues!A:A,match(IFNA(vlookup(B3958,'Special Names'!A:B,2,FALSE),B3958),PlayerValues!E:E,0)),"N/A")</f>
        <v>14079</v>
      </c>
      <c r="B3958" s="4" t="s">
        <v>830</v>
      </c>
      <c r="C3958" s="4" t="s">
        <v>278</v>
      </c>
      <c r="D3958" s="94">
        <v>919.0</v>
      </c>
    </row>
    <row r="3959">
      <c r="A3959" s="40">
        <f t="array" ref="A3959">IFNA(index(PlayerValues!A:A,match(IFNA(vlookup(B3959,'Special Names'!A:B,2,FALSE),B3959),PlayerValues!E:E,0)),"N/A")</f>
        <v>11247</v>
      </c>
      <c r="B3959" s="4" t="s">
        <v>816</v>
      </c>
      <c r="C3959" s="4" t="s">
        <v>298</v>
      </c>
      <c r="D3959" s="94">
        <v>1280.0</v>
      </c>
    </row>
    <row r="3960">
      <c r="A3960" s="40">
        <f t="array" ref="A3960">IFNA(index(PlayerValues!A:A,match(IFNA(vlookup(B3960,'Special Names'!A:B,2,FALSE),B3960),PlayerValues!E:E,0)),"N/A")</f>
        <v>16176</v>
      </c>
      <c r="B3960" s="4" t="s">
        <v>812</v>
      </c>
      <c r="C3960" s="4" t="s">
        <v>278</v>
      </c>
      <c r="D3960" s="94">
        <v>907.0</v>
      </c>
    </row>
    <row r="3961">
      <c r="A3961" s="40">
        <f t="array" ref="A3961">IFNA(index(PlayerValues!A:A,match(IFNA(vlookup(B3961,'Special Names'!A:B,2,FALSE),B3961),PlayerValues!E:E,0)),"N/A")</f>
        <v>17488</v>
      </c>
      <c r="B3961" s="4" t="s">
        <v>845</v>
      </c>
      <c r="C3961" s="4" t="s">
        <v>278</v>
      </c>
      <c r="D3961" s="94">
        <v>907.0</v>
      </c>
    </row>
    <row r="3962">
      <c r="A3962" s="40">
        <f t="array" ref="A3962">IFNA(index(PlayerValues!A:A,match(IFNA(vlookup(B3962,'Special Names'!A:B,2,FALSE),B3962),PlayerValues!E:E,0)),"N/A")</f>
        <v>15723</v>
      </c>
      <c r="B3962" s="4" t="s">
        <v>798</v>
      </c>
      <c r="C3962" s="4" t="s">
        <v>278</v>
      </c>
      <c r="D3962" s="94">
        <v>904.0</v>
      </c>
    </row>
    <row r="3963">
      <c r="A3963" s="40">
        <f t="array" ref="A3963">IFNA(index(PlayerValues!A:A,match(IFNA(vlookup(B3963,'Special Names'!A:B,2,FALSE),B3963),PlayerValues!E:E,0)),"N/A")</f>
        <v>16773</v>
      </c>
      <c r="B3963" s="4" t="s">
        <v>783</v>
      </c>
      <c r="C3963" s="4" t="s">
        <v>278</v>
      </c>
      <c r="D3963" s="94">
        <v>900.0</v>
      </c>
    </row>
    <row r="3964">
      <c r="A3964" s="40">
        <f t="array" ref="A3964">IFNA(index(PlayerValues!A:A,match(IFNA(vlookup(B3964,'Special Names'!A:B,2,FALSE),B3964),PlayerValues!E:E,0)),"N/A")</f>
        <v>13763</v>
      </c>
      <c r="B3964" s="4" t="s">
        <v>831</v>
      </c>
      <c r="C3964" s="4" t="s">
        <v>298</v>
      </c>
      <c r="D3964" s="94">
        <v>1270.0</v>
      </c>
    </row>
    <row r="3965">
      <c r="A3965" s="40">
        <f t="array" ref="A3965">IFNA(index(PlayerValues!A:A,match(IFNA(vlookup(B3965,'Special Names'!A:B,2,FALSE),B3965),PlayerValues!E:E,0)),"N/A")</f>
        <v>16599</v>
      </c>
      <c r="B3965" s="4" t="s">
        <v>737</v>
      </c>
      <c r="C3965" s="4" t="s">
        <v>278</v>
      </c>
      <c r="D3965" s="94">
        <v>894.0</v>
      </c>
    </row>
    <row r="3966">
      <c r="A3966" s="40">
        <f t="array" ref="A3966">IFNA(index(PlayerValues!A:A,match(IFNA(vlookup(B3966,'Special Names'!A:B,2,FALSE),B3966),PlayerValues!E:E,0)),"N/A")</f>
        <v>11232</v>
      </c>
      <c r="B3966" s="4" t="s">
        <v>826</v>
      </c>
      <c r="C3966" s="4" t="s">
        <v>287</v>
      </c>
      <c r="D3966" s="94">
        <v>878.0</v>
      </c>
    </row>
    <row r="3967">
      <c r="A3967" s="40">
        <f t="array" ref="A3967">IFNA(index(PlayerValues!A:A,match(IFNA(vlookup(B3967,'Special Names'!A:B,2,FALSE),B3967),PlayerValues!E:E,0)),"N/A")</f>
        <v>16686</v>
      </c>
      <c r="B3967" s="4" t="s">
        <v>805</v>
      </c>
      <c r="C3967" s="4" t="s">
        <v>287</v>
      </c>
      <c r="D3967" s="94">
        <v>877.0</v>
      </c>
    </row>
    <row r="3968">
      <c r="A3968" s="40">
        <f t="array" ref="A3968">IFNA(index(PlayerValues!A:A,match(IFNA(vlookup(B3968,'Special Names'!A:B,2,FALSE),B3968),PlayerValues!E:E,0)),"N/A")</f>
        <v>14799</v>
      </c>
      <c r="B3968" s="4" t="s">
        <v>829</v>
      </c>
      <c r="C3968" s="4" t="s">
        <v>278</v>
      </c>
      <c r="D3968" s="94">
        <v>870.0</v>
      </c>
    </row>
    <row r="3969">
      <c r="A3969" s="40">
        <f t="array" ref="A3969">IFNA(index(PlayerValues!A:A,match(IFNA(vlookup(B3969,'Special Names'!A:B,2,FALSE),B3969),PlayerValues!E:E,0)),"N/A")</f>
        <v>15796</v>
      </c>
      <c r="B3969" s="4" t="s">
        <v>794</v>
      </c>
      <c r="C3969" s="4" t="s">
        <v>298</v>
      </c>
      <c r="D3969" s="94">
        <v>1242.0</v>
      </c>
    </row>
    <row r="3970">
      <c r="A3970" s="40">
        <f t="array" ref="A3970">IFNA(index(PlayerValues!A:A,match(IFNA(vlookup(B3970,'Special Names'!A:B,2,FALSE),B3970),PlayerValues!E:E,0)),"N/A")</f>
        <v>15263</v>
      </c>
      <c r="B3970" s="4" t="s">
        <v>804</v>
      </c>
      <c r="C3970" s="4" t="s">
        <v>278</v>
      </c>
      <c r="D3970" s="94">
        <v>869.0</v>
      </c>
    </row>
    <row r="3971">
      <c r="A3971" s="40">
        <f t="array" ref="A3971">IFNA(index(PlayerValues!A:A,match(IFNA(vlookup(B3971,'Special Names'!A:B,2,FALSE),B3971),PlayerValues!E:E,0)),"N/A")</f>
        <v>16416</v>
      </c>
      <c r="B3971" s="4" t="s">
        <v>752</v>
      </c>
      <c r="C3971" s="4" t="s">
        <v>287</v>
      </c>
      <c r="D3971" s="94">
        <v>869.0</v>
      </c>
    </row>
    <row r="3972">
      <c r="A3972" s="40">
        <f t="array" ref="A3972">IFNA(index(PlayerValues!A:A,match(IFNA(vlookup(B3972,'Special Names'!A:B,2,FALSE),B3972),PlayerValues!E:E,0)),"N/A")</f>
        <v>13157</v>
      </c>
      <c r="B3972" s="4" t="s">
        <v>836</v>
      </c>
      <c r="C3972" s="4" t="s">
        <v>287</v>
      </c>
      <c r="D3972" s="94">
        <v>868.0</v>
      </c>
    </row>
    <row r="3973">
      <c r="A3973" s="40">
        <f t="array" ref="A3973">IFNA(index(PlayerValues!A:A,match(IFNA(vlookup(B3973,'Special Names'!A:B,2,FALSE),B3973),PlayerValues!E:E,0)),"N/A")</f>
        <v>16608</v>
      </c>
      <c r="B3973" s="4" t="s">
        <v>629</v>
      </c>
      <c r="C3973" s="4" t="s">
        <v>278</v>
      </c>
      <c r="D3973" s="94">
        <v>860.0</v>
      </c>
    </row>
    <row r="3974">
      <c r="A3974" s="40">
        <f t="array" ref="A3974">IFNA(index(PlayerValues!A:A,match(IFNA(vlookup(B3974,'Special Names'!A:B,2,FALSE),B3974),PlayerValues!E:E,0)),"N/A")</f>
        <v>16751</v>
      </c>
      <c r="B3974" s="4" t="s">
        <v>762</v>
      </c>
      <c r="C3974" s="4" t="s">
        <v>287</v>
      </c>
      <c r="D3974" s="94">
        <v>859.0</v>
      </c>
    </row>
    <row r="3975">
      <c r="A3975" s="40">
        <f t="array" ref="A3975">IFNA(index(PlayerValues!A:A,match(IFNA(vlookup(B3975,'Special Names'!A:B,2,FALSE),B3975),PlayerValues!E:E,0)),"N/A")</f>
        <v>15714</v>
      </c>
      <c r="B3975" s="4" t="s">
        <v>775</v>
      </c>
      <c r="C3975" s="4" t="s">
        <v>278</v>
      </c>
      <c r="D3975" s="94">
        <v>855.0</v>
      </c>
    </row>
    <row r="3976">
      <c r="A3976" s="40">
        <f t="array" ref="A3976">IFNA(index(PlayerValues!A:A,match(IFNA(vlookup(B3976,'Special Names'!A:B,2,FALSE),B3976),PlayerValues!E:E,0)),"N/A")</f>
        <v>15804</v>
      </c>
      <c r="B3976" s="4" t="s">
        <v>821</v>
      </c>
      <c r="C3976" s="4" t="s">
        <v>298</v>
      </c>
      <c r="D3976" s="94">
        <v>1226.0</v>
      </c>
    </row>
    <row r="3977">
      <c r="A3977" s="40">
        <f t="array" ref="A3977">IFNA(index(PlayerValues!A:A,match(IFNA(vlookup(B3977,'Special Names'!A:B,2,FALSE),B3977),PlayerValues!E:E,0)),"N/A")</f>
        <v>16623</v>
      </c>
      <c r="B3977" s="4" t="s">
        <v>803</v>
      </c>
      <c r="C3977" s="4" t="s">
        <v>287</v>
      </c>
      <c r="D3977" s="94">
        <v>847.0</v>
      </c>
    </row>
    <row r="3978">
      <c r="A3978" s="40">
        <f t="array" ref="A3978">IFNA(index(PlayerValues!A:A,match(IFNA(vlookup(B3978,'Special Names'!A:B,2,FALSE),B3978),PlayerValues!E:E,0)),"N/A")</f>
        <v>13172</v>
      </c>
      <c r="B3978" s="4" t="s">
        <v>840</v>
      </c>
      <c r="C3978" s="4" t="s">
        <v>287</v>
      </c>
      <c r="D3978" s="94">
        <v>845.0</v>
      </c>
    </row>
    <row r="3979">
      <c r="A3979" s="40">
        <f t="array" ref="A3979">IFNA(index(PlayerValues!A:A,match(IFNA(vlookup(B3979,'Special Names'!A:B,2,FALSE),B3979),PlayerValues!E:E,0)),"N/A")</f>
        <v>15795</v>
      </c>
      <c r="B3979" s="4" t="s">
        <v>669</v>
      </c>
      <c r="C3979" s="4" t="s">
        <v>298</v>
      </c>
      <c r="D3979" s="94">
        <v>1209.0</v>
      </c>
    </row>
    <row r="3980">
      <c r="A3980" s="40">
        <f t="array" ref="A3980">IFNA(index(PlayerValues!A:A,match(IFNA(vlookup(B3980,'Special Names'!A:B,2,FALSE),B3980),PlayerValues!E:E,0)),"N/A")</f>
        <v>16625</v>
      </c>
      <c r="B3980" s="4" t="s">
        <v>778</v>
      </c>
      <c r="C3980" s="4" t="s">
        <v>287</v>
      </c>
      <c r="D3980" s="94">
        <v>830.0</v>
      </c>
    </row>
    <row r="3981">
      <c r="A3981" s="40">
        <f t="array" ref="A3981">IFNA(index(PlayerValues!A:A,match(IFNA(vlookup(B3981,'Special Names'!A:B,2,FALSE),B3981),PlayerValues!E:E,0)),"N/A")</f>
        <v>14209</v>
      </c>
      <c r="B3981" s="4" t="s">
        <v>809</v>
      </c>
      <c r="C3981" s="4" t="s">
        <v>298</v>
      </c>
      <c r="D3981" s="94">
        <v>1198.0</v>
      </c>
    </row>
    <row r="3982">
      <c r="A3982" s="40">
        <f t="array" ref="A3982">IFNA(index(PlayerValues!A:A,match(IFNA(vlookup(B3982,'Special Names'!A:B,2,FALSE),B3982),PlayerValues!E:E,0)),"N/A")</f>
        <v>15271</v>
      </c>
      <c r="B3982" s="4" t="s">
        <v>741</v>
      </c>
      <c r="C3982" s="4" t="s">
        <v>278</v>
      </c>
      <c r="D3982" s="94">
        <v>810.0</v>
      </c>
    </row>
    <row r="3983">
      <c r="A3983" s="40">
        <f t="array" ref="A3983">IFNA(index(PlayerValues!A:A,match(IFNA(vlookup(B3983,'Special Names'!A:B,2,FALSE),B3983),PlayerValues!E:E,0)),"N/A")</f>
        <v>10413</v>
      </c>
      <c r="B3983" s="4" t="s">
        <v>811</v>
      </c>
      <c r="C3983" s="4" t="s">
        <v>283</v>
      </c>
      <c r="D3983" s="94">
        <v>808.0</v>
      </c>
    </row>
    <row r="3984">
      <c r="A3984" s="40">
        <f t="array" ref="A3984">IFNA(index(PlayerValues!A:A,match(IFNA(vlookup(B3984,'Special Names'!A:B,2,FALSE),B3984),PlayerValues!E:E,0)),"N/A")</f>
        <v>12658</v>
      </c>
      <c r="B3984" s="4" t="s">
        <v>823</v>
      </c>
      <c r="C3984" s="4" t="s">
        <v>287</v>
      </c>
      <c r="D3984" s="94">
        <v>807.0</v>
      </c>
    </row>
    <row r="3985">
      <c r="A3985" s="40">
        <f t="array" ref="A3985">IFNA(index(PlayerValues!A:A,match(IFNA(vlookup(B3985,'Special Names'!A:B,2,FALSE),B3985),PlayerValues!E:E,0)),"N/A")</f>
        <v>16606</v>
      </c>
      <c r="B3985" s="4" t="s">
        <v>743</v>
      </c>
      <c r="C3985" s="4" t="s">
        <v>278</v>
      </c>
      <c r="D3985" s="94">
        <v>800.0</v>
      </c>
    </row>
    <row r="3986">
      <c r="A3986" s="40">
        <f t="array" ref="A3986">IFNA(index(PlayerValues!A:A,match(IFNA(vlookup(B3986,'Special Names'!A:B,2,FALSE),B3986),PlayerValues!E:E,0)),"N/A")</f>
        <v>13176</v>
      </c>
      <c r="B3986" s="4" t="s">
        <v>807</v>
      </c>
      <c r="C3986" s="4" t="s">
        <v>287</v>
      </c>
      <c r="D3986" s="94">
        <v>796.0</v>
      </c>
    </row>
    <row r="3987">
      <c r="A3987" s="40">
        <f t="array" ref="A3987">IFNA(index(PlayerValues!A:A,match(IFNA(vlookup(B3987,'Special Names'!A:B,2,FALSE),B3987),PlayerValues!E:E,0)),"N/A")</f>
        <v>14358</v>
      </c>
      <c r="B3987" s="4" t="s">
        <v>813</v>
      </c>
      <c r="C3987" s="4" t="s">
        <v>283</v>
      </c>
      <c r="D3987" s="94">
        <v>784.0</v>
      </c>
    </row>
    <row r="3988">
      <c r="A3988" s="40">
        <f t="array" ref="A3988">IFNA(index(PlayerValues!A:A,match(IFNA(vlookup(B3988,'Special Names'!A:B,2,FALSE),B3988),PlayerValues!E:E,0)),"N/A")</f>
        <v>15285</v>
      </c>
      <c r="B3988" s="4" t="s">
        <v>792</v>
      </c>
      <c r="C3988" s="4" t="s">
        <v>287</v>
      </c>
      <c r="D3988" s="94">
        <v>784.0</v>
      </c>
    </row>
    <row r="3989">
      <c r="A3989" s="40">
        <f t="array" ref="A3989">IFNA(index(PlayerValues!A:A,match(IFNA(vlookup(B3989,'Special Names'!A:B,2,FALSE),B3989),PlayerValues!E:E,0)),"N/A")</f>
        <v>16413</v>
      </c>
      <c r="B3989" s="4" t="s">
        <v>781</v>
      </c>
      <c r="C3989" s="4" t="s">
        <v>287</v>
      </c>
      <c r="D3989" s="94">
        <v>783.0</v>
      </c>
    </row>
    <row r="3990">
      <c r="A3990" s="40">
        <f t="array" ref="A3990">IFNA(index(PlayerValues!A:A,match(IFNA(vlookup(B3990,'Special Names'!A:B,2,FALSE),B3990),PlayerValues!E:E,0)),"N/A")</f>
        <v>17282</v>
      </c>
      <c r="B3990" s="4" t="s">
        <v>833</v>
      </c>
      <c r="C3990" s="4" t="s">
        <v>283</v>
      </c>
      <c r="D3990" s="94">
        <v>778.0</v>
      </c>
    </row>
    <row r="3991">
      <c r="A3991" s="40">
        <f t="array" ref="A3991">IFNA(index(PlayerValues!A:A,match(IFNA(vlookup(B3991,'Special Names'!A:B,2,FALSE),B3991),PlayerValues!E:E,0)),"N/A")</f>
        <v>16632</v>
      </c>
      <c r="B3991" s="4" t="s">
        <v>842</v>
      </c>
      <c r="C3991" s="4" t="s">
        <v>287</v>
      </c>
      <c r="D3991" s="94">
        <v>771.0</v>
      </c>
    </row>
    <row r="3992">
      <c r="A3992" s="40">
        <f t="array" ref="A3992">IFNA(index(PlayerValues!A:A,match(IFNA(vlookup(B3992,'Special Names'!A:B,2,FALSE),B3992),PlayerValues!E:E,0)),"N/A")</f>
        <v>14805</v>
      </c>
      <c r="B3992" s="4" t="s">
        <v>770</v>
      </c>
      <c r="C3992" s="4" t="s">
        <v>278</v>
      </c>
      <c r="D3992" s="94">
        <v>770.0</v>
      </c>
    </row>
    <row r="3993">
      <c r="A3993" s="40">
        <f t="array" ref="A3993">IFNA(index(PlayerValues!A:A,match(IFNA(vlookup(B3993,'Special Names'!A:B,2,FALSE),B3993),PlayerValues!E:E,0)),"N/A")</f>
        <v>15965</v>
      </c>
      <c r="B3993" s="4" t="s">
        <v>791</v>
      </c>
      <c r="C3993" s="4" t="s">
        <v>278</v>
      </c>
      <c r="D3993" s="94">
        <v>770.0</v>
      </c>
    </row>
    <row r="3994">
      <c r="A3994" s="40">
        <f t="array" ref="A3994">IFNA(index(PlayerValues!A:A,match(IFNA(vlookup(B3994,'Special Names'!A:B,2,FALSE),B3994),PlayerValues!E:E,0)),"N/A")</f>
        <v>16678</v>
      </c>
      <c r="B3994" s="4" t="s">
        <v>758</v>
      </c>
      <c r="C3994" s="4" t="s">
        <v>278</v>
      </c>
      <c r="D3994" s="94">
        <v>758.0</v>
      </c>
    </row>
    <row r="3995">
      <c r="A3995" s="40">
        <f t="array" ref="A3995">IFNA(index(PlayerValues!A:A,match(IFNA(vlookup(B3995,'Special Names'!A:B,2,FALSE),B3995),PlayerValues!E:E,0)),"N/A")</f>
        <v>13424</v>
      </c>
      <c r="B3995" s="4" t="s">
        <v>846</v>
      </c>
      <c r="C3995" s="4" t="s">
        <v>298</v>
      </c>
      <c r="D3995" s="94">
        <v>1116.0</v>
      </c>
    </row>
    <row r="3996">
      <c r="A3996" s="40">
        <f t="array" ref="A3996">IFNA(index(PlayerValues!A:A,match(IFNA(vlookup(B3996,'Special Names'!A:B,2,FALSE),B3996),PlayerValues!E:E,0)),"N/A")</f>
        <v>14223</v>
      </c>
      <c r="B3996" s="4" t="s">
        <v>785</v>
      </c>
      <c r="C3996" s="4" t="s">
        <v>278</v>
      </c>
      <c r="D3996" s="94">
        <v>744.0</v>
      </c>
    </row>
    <row r="3997">
      <c r="A3997" s="40">
        <f t="array" ref="A3997">IFNA(index(PlayerValues!A:A,match(IFNA(vlookup(B3997,'Special Names'!A:B,2,FALSE),B3997),PlayerValues!E:E,0)),"N/A")</f>
        <v>13675</v>
      </c>
      <c r="B3997" s="4" t="s">
        <v>839</v>
      </c>
      <c r="C3997" s="4" t="s">
        <v>298</v>
      </c>
      <c r="D3997" s="94">
        <v>1111.0</v>
      </c>
    </row>
    <row r="3998">
      <c r="A3998" s="40">
        <f t="array" ref="A3998">IFNA(index(PlayerValues!A:A,match(IFNA(vlookup(B3998,'Special Names'!A:B,2,FALSE),B3998),PlayerValues!E:E,0)),"N/A")</f>
        <v>17232</v>
      </c>
      <c r="B3998" s="4" t="s">
        <v>784</v>
      </c>
      <c r="C3998" s="4" t="s">
        <v>287</v>
      </c>
      <c r="D3998" s="94">
        <v>735.0</v>
      </c>
    </row>
    <row r="3999">
      <c r="A3999" s="40">
        <f t="array" ref="A3999">IFNA(index(PlayerValues!A:A,match(IFNA(vlookup(B3999,'Special Names'!A:B,2,FALSE),B3999),PlayerValues!E:E,0)),"N/A")</f>
        <v>13377</v>
      </c>
      <c r="B3999" s="4" t="s">
        <v>847</v>
      </c>
      <c r="C3999" s="4" t="s">
        <v>287</v>
      </c>
      <c r="D3999" s="94">
        <v>728.0</v>
      </c>
    </row>
    <row r="4000">
      <c r="A4000" s="40">
        <f t="array" ref="A4000">IFNA(index(PlayerValues!A:A,match(IFNA(vlookup(B4000,'Special Names'!A:B,2,FALSE),B4000),PlayerValues!E:E,0)),"N/A")</f>
        <v>16170</v>
      </c>
      <c r="B4000" s="4" t="s">
        <v>801</v>
      </c>
      <c r="C4000" s="4" t="s">
        <v>278</v>
      </c>
      <c r="D4000" s="94">
        <v>725.0</v>
      </c>
    </row>
    <row r="4001">
      <c r="A4001" s="40">
        <f t="array" ref="A4001">IFNA(index(PlayerValues!A:A,match(IFNA(vlookup(B4001,'Special Names'!A:B,2,FALSE),B4001),PlayerValues!E:E,0)),"N/A")</f>
        <v>13589</v>
      </c>
      <c r="B4001" s="4" t="s">
        <v>282</v>
      </c>
      <c r="C4001" s="4" t="s">
        <v>283</v>
      </c>
      <c r="D4001" s="94">
        <v>9997.0</v>
      </c>
    </row>
    <row r="4002">
      <c r="A4002" s="40">
        <f t="array" ref="A4002">IFNA(index(PlayerValues!A:A,match(IFNA(vlookup(B4002,'Special Names'!A:B,2,FALSE),B4002),PlayerValues!E:E,0)),"N/A")</f>
        <v>16161</v>
      </c>
      <c r="B4002" s="4" t="s">
        <v>277</v>
      </c>
      <c r="C4002" s="4" t="s">
        <v>278</v>
      </c>
      <c r="D4002" s="94">
        <v>9986.0</v>
      </c>
    </row>
    <row r="4003">
      <c r="A4003" s="40">
        <f t="array" ref="A4003">IFNA(index(PlayerValues!A:A,match(IFNA(vlookup(B4003,'Special Names'!A:B,2,FALSE),B4003),PlayerValues!E:E,0)),"N/A")</f>
        <v>16185</v>
      </c>
      <c r="B4003" s="4" t="s">
        <v>290</v>
      </c>
      <c r="C4003" s="4" t="s">
        <v>287</v>
      </c>
      <c r="D4003" s="94">
        <v>9963.0</v>
      </c>
    </row>
    <row r="4004">
      <c r="A4004" s="40">
        <f t="array" ref="A4004">IFNA(index(PlayerValues!A:A,match(IFNA(vlookup(B4004,'Special Names'!A:B,2,FALSE),B4004),PlayerValues!E:E,0)),"N/A")</f>
        <v>15281</v>
      </c>
      <c r="B4004" s="4" t="s">
        <v>286</v>
      </c>
      <c r="C4004" s="4" t="s">
        <v>287</v>
      </c>
      <c r="D4004" s="94">
        <v>9821.0</v>
      </c>
    </row>
    <row r="4005">
      <c r="A4005" s="40">
        <f t="array" ref="A4005">IFNA(index(PlayerValues!A:A,match(IFNA(vlookup(B4005,'Special Names'!A:B,2,FALSE),B4005),PlayerValues!E:E,0)),"N/A")</f>
        <v>16580</v>
      </c>
      <c r="B4005" s="4" t="s">
        <v>291</v>
      </c>
      <c r="C4005" s="4" t="s">
        <v>283</v>
      </c>
      <c r="D4005" s="94">
        <v>9714.0</v>
      </c>
    </row>
    <row r="4006">
      <c r="A4006" s="40">
        <f t="array" ref="A4006">IFNA(index(PlayerValues!A:A,match(IFNA(vlookup(B4006,'Special Names'!A:B,2,FALSE),B4006),PlayerValues!E:E,0)),"N/A")</f>
        <v>16211</v>
      </c>
      <c r="B4006" s="4" t="s">
        <v>294</v>
      </c>
      <c r="C4006" s="4" t="s">
        <v>287</v>
      </c>
      <c r="D4006" s="94">
        <v>9553.0</v>
      </c>
    </row>
    <row r="4007">
      <c r="A4007" s="40">
        <f t="array" ref="A4007">IFNA(index(PlayerValues!A:A,match(IFNA(vlookup(B4007,'Special Names'!A:B,2,FALSE),B4007),PlayerValues!E:E,0)),"N/A")</f>
        <v>16162</v>
      </c>
      <c r="B4007" s="4" t="s">
        <v>281</v>
      </c>
      <c r="C4007" s="4" t="s">
        <v>278</v>
      </c>
      <c r="D4007" s="94">
        <v>9419.0</v>
      </c>
    </row>
    <row r="4008">
      <c r="A4008" s="40">
        <f t="array" ref="A4008">IFNA(index(PlayerValues!A:A,match(IFNA(vlookup(B4008,'Special Names'!A:B,2,FALSE),B4008),PlayerValues!E:E,0)),"N/A")</f>
        <v>16615</v>
      </c>
      <c r="B4008" s="4" t="s">
        <v>309</v>
      </c>
      <c r="C4008" s="4" t="s">
        <v>287</v>
      </c>
      <c r="D4008" s="94">
        <v>7738.0</v>
      </c>
    </row>
    <row r="4009">
      <c r="A4009" s="40">
        <f t="array" ref="A4009">IFNA(index(PlayerValues!A:A,match(IFNA(vlookup(B4009,'Special Names'!A:B,2,FALSE),B4009),PlayerValues!E:E,0)),"N/A")</f>
        <v>15794</v>
      </c>
      <c r="B4009" s="4" t="s">
        <v>313</v>
      </c>
      <c r="C4009" s="4" t="s">
        <v>298</v>
      </c>
      <c r="D4009" s="94">
        <v>8530.0</v>
      </c>
    </row>
    <row r="4010">
      <c r="A4010" s="40">
        <f t="array" ref="A4010">IFNA(index(PlayerValues!A:A,match(IFNA(vlookup(B4010,'Special Names'!A:B,2,FALSE),B4010),PlayerValues!E:E,0)),"N/A")</f>
        <v>15287</v>
      </c>
      <c r="B4010" s="4" t="s">
        <v>299</v>
      </c>
      <c r="C4010" s="4" t="s">
        <v>287</v>
      </c>
      <c r="D4010" s="94">
        <v>7648.0</v>
      </c>
    </row>
    <row r="4011">
      <c r="A4011" s="40">
        <f t="array" ref="A4011">IFNA(index(PlayerValues!A:A,match(IFNA(vlookup(B4011,'Special Names'!A:B,2,FALSE),B4011),PlayerValues!E:E,0)),"N/A")</f>
        <v>16641</v>
      </c>
      <c r="B4011" s="4" t="s">
        <v>297</v>
      </c>
      <c r="C4011" s="4" t="s">
        <v>298</v>
      </c>
      <c r="D4011" s="94">
        <v>8425.0</v>
      </c>
    </row>
    <row r="4012">
      <c r="A4012" s="40">
        <f t="array" ref="A4012">IFNA(index(PlayerValues!A:A,match(IFNA(vlookup(B4012,'Special Names'!A:B,2,FALSE),B4012),PlayerValues!E:E,0)),"N/A")</f>
        <v>16581</v>
      </c>
      <c r="B4012" s="4" t="s">
        <v>315</v>
      </c>
      <c r="C4012" s="4" t="s">
        <v>283</v>
      </c>
      <c r="D4012" s="94">
        <v>7607.0</v>
      </c>
    </row>
    <row r="4013">
      <c r="A4013" s="40">
        <f t="array" ref="A4013">IFNA(index(PlayerValues!A:A,match(IFNA(vlookup(B4013,'Special Names'!A:B,2,FALSE),B4013),PlayerValues!E:E,0)),"N/A")</f>
        <v>16579</v>
      </c>
      <c r="B4013" s="4" t="s">
        <v>302</v>
      </c>
      <c r="C4013" s="4" t="s">
        <v>283</v>
      </c>
      <c r="D4013" s="94">
        <v>7599.0</v>
      </c>
    </row>
    <row r="4014">
      <c r="A4014" s="40">
        <f t="array" ref="A4014">IFNA(index(PlayerValues!A:A,match(IFNA(vlookup(B4014,'Special Names'!A:B,2,FALSE),B4014),PlayerValues!E:E,0)),"N/A")</f>
        <v>13593</v>
      </c>
      <c r="B4014" s="4" t="s">
        <v>305</v>
      </c>
      <c r="C4014" s="4" t="s">
        <v>283</v>
      </c>
      <c r="D4014" s="94">
        <v>7516.0</v>
      </c>
    </row>
    <row r="4015">
      <c r="A4015" s="40">
        <f t="array" ref="A4015">IFNA(index(PlayerValues!A:A,match(IFNA(vlookup(B4015,'Special Names'!A:B,2,FALSE),B4015),PlayerValues!E:E,0)),"N/A")</f>
        <v>14836</v>
      </c>
      <c r="B4015" s="4" t="s">
        <v>306</v>
      </c>
      <c r="C4015" s="4" t="s">
        <v>287</v>
      </c>
      <c r="D4015" s="94">
        <v>7410.0</v>
      </c>
    </row>
    <row r="4016">
      <c r="A4016" s="40">
        <f t="array" ref="A4016">IFNA(index(PlayerValues!A:A,match(IFNA(vlookup(B4016,'Special Names'!A:B,2,FALSE),B4016),PlayerValues!E:E,0)),"N/A")</f>
        <v>14832</v>
      </c>
      <c r="B4016" s="4" t="s">
        <v>319</v>
      </c>
      <c r="C4016" s="4" t="s">
        <v>287</v>
      </c>
      <c r="D4016" s="94">
        <v>7349.0</v>
      </c>
    </row>
    <row r="4017">
      <c r="A4017" s="40">
        <f t="array" ref="A4017">IFNA(index(PlayerValues!A:A,match(IFNA(vlookup(B4017,'Special Names'!A:B,2,FALSE),B4017),PlayerValues!E:E,0)),"N/A")</f>
        <v>14777</v>
      </c>
      <c r="B4017" s="4" t="s">
        <v>318</v>
      </c>
      <c r="C4017" s="4" t="s">
        <v>283</v>
      </c>
      <c r="D4017" s="94">
        <v>7238.0</v>
      </c>
    </row>
    <row r="4018">
      <c r="A4018" s="40">
        <f t="array" ref="A4018">IFNA(index(PlayerValues!A:A,match(IFNA(vlookup(B4018,'Special Names'!A:B,2,FALSE),B4018),PlayerValues!E:E,0)),"N/A")</f>
        <v>17042</v>
      </c>
      <c r="B4018" s="4" t="s">
        <v>314</v>
      </c>
      <c r="C4018" s="4" t="s">
        <v>278</v>
      </c>
      <c r="D4018" s="94">
        <v>7198.0</v>
      </c>
    </row>
    <row r="4019">
      <c r="A4019" s="40">
        <f t="array" ref="A4019">IFNA(index(PlayerValues!A:A,match(IFNA(vlookup(B4019,'Special Names'!A:B,2,FALSE),B4019),PlayerValues!E:E,0)),"N/A")</f>
        <v>16167</v>
      </c>
      <c r="B4019" s="4" t="s">
        <v>323</v>
      </c>
      <c r="C4019" s="4" t="s">
        <v>278</v>
      </c>
      <c r="D4019" s="94">
        <v>7103.0</v>
      </c>
    </row>
    <row r="4020">
      <c r="A4020" s="40">
        <f t="array" ref="A4020">IFNA(index(PlayerValues!A:A,match(IFNA(vlookup(B4020,'Special Names'!A:B,2,FALSE),B4020),PlayerValues!E:E,0)),"N/A")</f>
        <v>15751</v>
      </c>
      <c r="B4020" s="4" t="s">
        <v>328</v>
      </c>
      <c r="C4020" s="4" t="s">
        <v>287</v>
      </c>
      <c r="D4020" s="94">
        <v>7006.0</v>
      </c>
    </row>
    <row r="4021">
      <c r="A4021" s="40">
        <f t="array" ref="A4021">IFNA(index(PlayerValues!A:A,match(IFNA(vlookup(B4021,'Special Names'!A:B,2,FALSE),B4021),PlayerValues!E:E,0)),"N/A")</f>
        <v>14779</v>
      </c>
      <c r="B4021" s="4" t="s">
        <v>327</v>
      </c>
      <c r="C4021" s="4" t="s">
        <v>283</v>
      </c>
      <c r="D4021" s="94">
        <v>6843.0</v>
      </c>
    </row>
    <row r="4022">
      <c r="A4022" s="40">
        <f t="array" ref="A4022">IFNA(index(PlayerValues!A:A,match(IFNA(vlookup(B4022,'Special Names'!A:B,2,FALSE),B4022),PlayerValues!E:E,0)),"N/A")</f>
        <v>17472</v>
      </c>
      <c r="B4022" s="4" t="s">
        <v>310</v>
      </c>
      <c r="C4022" s="4" t="s">
        <v>278</v>
      </c>
      <c r="D4022" s="94">
        <v>6748.0</v>
      </c>
    </row>
    <row r="4023">
      <c r="A4023" s="40" t="str">
        <f t="array" ref="A4023">IFNA(index(PlayerValues!A:A,match(IFNA(vlookup(B4023,'Special Names'!A:B,2,FALSE),B4023),PlayerValues!E:E,0)),"N/A")</f>
        <v>N/A</v>
      </c>
      <c r="B4023" s="4" t="s">
        <v>92</v>
      </c>
      <c r="C4023" s="4" t="s">
        <v>325</v>
      </c>
      <c r="D4023" s="94">
        <v>6634.0</v>
      </c>
    </row>
    <row r="4024">
      <c r="A4024" s="40">
        <f t="array" ref="A4024">IFNA(index(PlayerValues!A:A,match(IFNA(vlookup(B4024,'Special Names'!A:B,2,FALSE),B4024),PlayerValues!E:E,0)),"N/A")</f>
        <v>17044</v>
      </c>
      <c r="B4024" s="4" t="s">
        <v>322</v>
      </c>
      <c r="C4024" s="4" t="s">
        <v>278</v>
      </c>
      <c r="D4024" s="94">
        <v>6621.0</v>
      </c>
    </row>
    <row r="4025">
      <c r="A4025" s="40">
        <f t="array" ref="A4025">IFNA(index(PlayerValues!A:A,match(IFNA(vlookup(B4025,'Special Names'!A:B,2,FALSE),B4025),PlayerValues!E:E,0)),"N/A")</f>
        <v>13116</v>
      </c>
      <c r="B4025" s="4" t="s">
        <v>345</v>
      </c>
      <c r="C4025" s="4" t="s">
        <v>283</v>
      </c>
      <c r="D4025" s="94">
        <v>6608.0</v>
      </c>
    </row>
    <row r="4026">
      <c r="A4026" s="40">
        <f t="array" ref="A4026">IFNA(index(PlayerValues!A:A,match(IFNA(vlookup(B4026,'Special Names'!A:B,2,FALSE),B4026),PlayerValues!E:E,0)),"N/A")</f>
        <v>17032</v>
      </c>
      <c r="B4026" s="4" t="s">
        <v>348</v>
      </c>
      <c r="C4026" s="4" t="s">
        <v>283</v>
      </c>
      <c r="D4026" s="94">
        <v>6600.0</v>
      </c>
    </row>
    <row r="4027">
      <c r="A4027" s="40">
        <f t="array" ref="A4027">IFNA(index(PlayerValues!A:A,match(IFNA(vlookup(B4027,'Special Names'!A:B,2,FALSE),B4027),PlayerValues!E:E,0)),"N/A")</f>
        <v>17071</v>
      </c>
      <c r="B4027" s="4" t="s">
        <v>341</v>
      </c>
      <c r="C4027" s="4" t="s">
        <v>287</v>
      </c>
      <c r="D4027" s="94">
        <v>6571.0</v>
      </c>
    </row>
    <row r="4028">
      <c r="A4028" s="40">
        <f t="array" ref="A4028">IFNA(index(PlayerValues!A:A,match(IFNA(vlookup(B4028,'Special Names'!A:B,2,FALSE),B4028),PlayerValues!E:E,0)),"N/A")</f>
        <v>14783</v>
      </c>
      <c r="B4028" s="4" t="s">
        <v>342</v>
      </c>
      <c r="C4028" s="4" t="s">
        <v>283</v>
      </c>
      <c r="D4028" s="94">
        <v>6396.0</v>
      </c>
    </row>
    <row r="4029">
      <c r="A4029" s="40">
        <f t="array" ref="A4029">IFNA(index(PlayerValues!A:A,match(IFNA(vlookup(B4029,'Special Names'!A:B,2,FALSE),B4029),PlayerValues!E:E,0)),"N/A")</f>
        <v>15237</v>
      </c>
      <c r="B4029" s="4" t="s">
        <v>336</v>
      </c>
      <c r="C4029" s="4" t="s">
        <v>283</v>
      </c>
      <c r="D4029" s="94">
        <v>6315.0</v>
      </c>
    </row>
    <row r="4030">
      <c r="A4030" s="40">
        <f t="array" ref="A4030">IFNA(index(PlayerValues!A:A,match(IFNA(vlookup(B4030,'Special Names'!A:B,2,FALSE),B4030),PlayerValues!E:E,0)),"N/A")</f>
        <v>16582</v>
      </c>
      <c r="B4030" s="4" t="s">
        <v>343</v>
      </c>
      <c r="C4030" s="4" t="s">
        <v>283</v>
      </c>
      <c r="D4030" s="94">
        <v>6197.0</v>
      </c>
    </row>
    <row r="4031">
      <c r="A4031" s="40">
        <f t="array" ref="A4031">IFNA(index(PlayerValues!A:A,match(IFNA(vlookup(B4031,'Special Names'!A:B,2,FALSE),B4031),PlayerValues!E:E,0)),"N/A")</f>
        <v>14802</v>
      </c>
      <c r="B4031" s="4" t="s">
        <v>332</v>
      </c>
      <c r="C4031" s="4" t="s">
        <v>278</v>
      </c>
      <c r="D4031" s="94">
        <v>6188.0</v>
      </c>
    </row>
    <row r="4032">
      <c r="A4032" s="40">
        <f t="array" ref="A4032">IFNA(index(PlayerValues!A:A,match(IFNA(vlookup(B4032,'Special Names'!A:B,2,FALSE),B4032),PlayerValues!E:E,0)),"N/A")</f>
        <v>15715</v>
      </c>
      <c r="B4032" s="4" t="s">
        <v>331</v>
      </c>
      <c r="C4032" s="4" t="s">
        <v>278</v>
      </c>
      <c r="D4032" s="94">
        <v>6165.0</v>
      </c>
    </row>
    <row r="4033">
      <c r="A4033" s="40">
        <f t="array" ref="A4033">IFNA(index(PlayerValues!A:A,match(IFNA(vlookup(B4033,'Special Names'!A:B,2,FALSE),B4033),PlayerValues!E:E,0)),"N/A")</f>
        <v>15762</v>
      </c>
      <c r="B4033" s="4" t="s">
        <v>337</v>
      </c>
      <c r="C4033" s="4" t="s">
        <v>287</v>
      </c>
      <c r="D4033" s="94">
        <v>6154.0</v>
      </c>
    </row>
    <row r="4034">
      <c r="A4034" s="40">
        <f t="array" ref="A4034">IFNA(index(PlayerValues!A:A,match(IFNA(vlookup(B4034,'Special Names'!A:B,2,FALSE),B4034),PlayerValues!E:E,0)),"N/A")</f>
        <v>15698</v>
      </c>
      <c r="B4034" s="4" t="s">
        <v>358</v>
      </c>
      <c r="C4034" s="4" t="s">
        <v>283</v>
      </c>
      <c r="D4034" s="94">
        <v>6098.0</v>
      </c>
    </row>
    <row r="4035">
      <c r="A4035" s="40" t="str">
        <f t="array" ref="A4035">IFNA(index(PlayerValues!A:A,match(IFNA(vlookup(B4035,'Special Names'!A:B,2,FALSE),B4035),PlayerValues!E:E,0)),"N/A")</f>
        <v>N/A</v>
      </c>
      <c r="B4035" s="4" t="s">
        <v>79</v>
      </c>
      <c r="C4035" s="4" t="s">
        <v>325</v>
      </c>
      <c r="D4035" s="94">
        <v>6044.0</v>
      </c>
    </row>
    <row r="4036">
      <c r="A4036" s="40">
        <f t="array" ref="A4036">IFNA(index(PlayerValues!A:A,match(IFNA(vlookup(B4036,'Special Names'!A:B,2,FALSE),B4036),PlayerValues!E:E,0)),"N/A")</f>
        <v>17081</v>
      </c>
      <c r="B4036" s="4" t="s">
        <v>340</v>
      </c>
      <c r="C4036" s="4" t="s">
        <v>287</v>
      </c>
      <c r="D4036" s="94">
        <v>6005.0</v>
      </c>
    </row>
    <row r="4037">
      <c r="A4037" s="40">
        <f t="array" ref="A4037">IFNA(index(PlayerValues!A:A,match(IFNA(vlookup(B4037,'Special Names'!A:B,2,FALSE),B4037),PlayerValues!E:E,0)),"N/A")</f>
        <v>15290</v>
      </c>
      <c r="B4037" s="4" t="s">
        <v>355</v>
      </c>
      <c r="C4037" s="4" t="s">
        <v>287</v>
      </c>
      <c r="D4037" s="94">
        <v>5983.0</v>
      </c>
    </row>
    <row r="4038">
      <c r="A4038" s="40">
        <f t="array" ref="A4038">IFNA(index(PlayerValues!A:A,match(IFNA(vlookup(B4038,'Special Names'!A:B,2,FALSE),B4038),PlayerValues!E:E,0)),"N/A")</f>
        <v>17043</v>
      </c>
      <c r="B4038" s="4" t="s">
        <v>397</v>
      </c>
      <c r="C4038" s="4" t="s">
        <v>278</v>
      </c>
      <c r="D4038" s="94">
        <v>5966.0</v>
      </c>
    </row>
    <row r="4039">
      <c r="A4039" s="40">
        <f t="array" ref="A4039">IFNA(index(PlayerValues!A:A,match(IFNA(vlookup(B4039,'Special Names'!A:B,2,FALSE),B4039),PlayerValues!E:E,0)),"N/A")</f>
        <v>17104</v>
      </c>
      <c r="B4039" s="4" t="s">
        <v>333</v>
      </c>
      <c r="C4039" s="4" t="s">
        <v>298</v>
      </c>
      <c r="D4039" s="94">
        <v>6491.0</v>
      </c>
    </row>
    <row r="4040">
      <c r="A4040" s="40">
        <f t="array" ref="A4040">IFNA(index(PlayerValues!A:A,match(IFNA(vlookup(B4040,'Special Names'!A:B,2,FALSE),B4040),PlayerValues!E:E,0)),"N/A")</f>
        <v>15753</v>
      </c>
      <c r="B4040" s="4" t="s">
        <v>359</v>
      </c>
      <c r="C4040" s="4" t="s">
        <v>287</v>
      </c>
      <c r="D4040" s="94">
        <v>5816.0</v>
      </c>
    </row>
    <row r="4041">
      <c r="A4041" s="40">
        <f t="array" ref="A4041">IFNA(index(PlayerValues!A:A,match(IFNA(vlookup(B4041,'Special Names'!A:B,2,FALSE),B4041),PlayerValues!E:E,0)),"N/A")</f>
        <v>15754</v>
      </c>
      <c r="B4041" s="4" t="s">
        <v>354</v>
      </c>
      <c r="C4041" s="4" t="s">
        <v>287</v>
      </c>
      <c r="D4041" s="94">
        <v>5808.0</v>
      </c>
    </row>
    <row r="4042">
      <c r="A4042" s="40">
        <f t="array" ref="A4042">IFNA(index(PlayerValues!A:A,match(IFNA(vlookup(B4042,'Special Names'!A:B,2,FALSE),B4042),PlayerValues!E:E,0)),"N/A")</f>
        <v>14782</v>
      </c>
      <c r="B4042" s="4" t="s">
        <v>385</v>
      </c>
      <c r="C4042" s="4" t="s">
        <v>283</v>
      </c>
      <c r="D4042" s="94">
        <v>5702.0</v>
      </c>
    </row>
    <row r="4043">
      <c r="A4043" s="40">
        <f t="array" ref="A4043">IFNA(index(PlayerValues!A:A,match(IFNA(vlookup(B4043,'Special Names'!A:B,2,FALSE),B4043),PlayerValues!E:E,0)),"N/A")</f>
        <v>17102</v>
      </c>
      <c r="B4043" s="4" t="s">
        <v>344</v>
      </c>
      <c r="C4043" s="4" t="s">
        <v>298</v>
      </c>
      <c r="D4043" s="94">
        <v>6245.0</v>
      </c>
    </row>
    <row r="4044">
      <c r="A4044" s="40">
        <f t="array" ref="A4044">IFNA(index(PlayerValues!A:A,match(IFNA(vlookup(B4044,'Special Names'!A:B,2,FALSE),B4044),PlayerValues!E:E,0)),"N/A")</f>
        <v>17462</v>
      </c>
      <c r="B4044" s="4" t="s">
        <v>375</v>
      </c>
      <c r="C4044" s="4" t="s">
        <v>283</v>
      </c>
      <c r="D4044" s="94">
        <v>5582.0</v>
      </c>
    </row>
    <row r="4045">
      <c r="A4045" s="40">
        <f t="array" ref="A4045">IFNA(index(PlayerValues!A:A,match(IFNA(vlookup(B4045,'Special Names'!A:B,2,FALSE),B4045),PlayerValues!E:E,0)),"N/A")</f>
        <v>17051</v>
      </c>
      <c r="B4045" s="4" t="s">
        <v>386</v>
      </c>
      <c r="C4045" s="4" t="s">
        <v>278</v>
      </c>
      <c r="D4045" s="94">
        <v>5509.0</v>
      </c>
    </row>
    <row r="4046">
      <c r="A4046" s="40">
        <f t="array" ref="A4046">IFNA(index(PlayerValues!A:A,match(IFNA(vlookup(B4046,'Special Names'!A:B,2,FALSE),B4046),PlayerValues!E:E,0)),"N/A")</f>
        <v>15708</v>
      </c>
      <c r="B4046" s="4" t="s">
        <v>382</v>
      </c>
      <c r="C4046" s="4" t="s">
        <v>278</v>
      </c>
      <c r="D4046" s="94">
        <v>5489.0</v>
      </c>
    </row>
    <row r="4047">
      <c r="A4047" s="40">
        <f t="array" ref="A4047">IFNA(index(PlayerValues!A:A,match(IFNA(vlookup(B4047,'Special Names'!A:B,2,FALSE),B4047),PlayerValues!E:E,0)),"N/A")</f>
        <v>16598</v>
      </c>
      <c r="B4047" s="4" t="s">
        <v>408</v>
      </c>
      <c r="C4047" s="4" t="s">
        <v>278</v>
      </c>
      <c r="D4047" s="94">
        <v>5489.0</v>
      </c>
    </row>
    <row r="4048">
      <c r="A4048" s="40" t="str">
        <f t="array" ref="A4048">IFNA(index(PlayerValues!A:A,match(IFNA(vlookup(B4048,'Special Names'!A:B,2,FALSE),B4048),PlayerValues!E:E,0)),"N/A")</f>
        <v>N/A</v>
      </c>
      <c r="B4048" s="4" t="s">
        <v>93</v>
      </c>
      <c r="C4048" s="4" t="s">
        <v>325</v>
      </c>
      <c r="D4048" s="94">
        <v>5404.0</v>
      </c>
    </row>
    <row r="4049">
      <c r="A4049" s="40">
        <f t="array" ref="A4049">IFNA(index(PlayerValues!A:A,match(IFNA(vlookup(B4049,'Special Names'!A:B,2,FALSE),B4049),PlayerValues!E:E,0)),"N/A")</f>
        <v>16194</v>
      </c>
      <c r="B4049" s="4" t="s">
        <v>398</v>
      </c>
      <c r="C4049" s="4" t="s">
        <v>287</v>
      </c>
      <c r="D4049" s="94">
        <v>5401.0</v>
      </c>
    </row>
    <row r="4050">
      <c r="A4050" s="40">
        <f t="array" ref="A4050">IFNA(index(PlayerValues!A:A,match(IFNA(vlookup(B4050,'Special Names'!A:B,2,FALSE),B4050),PlayerValues!E:E,0)),"N/A")</f>
        <v>17499</v>
      </c>
      <c r="B4050" s="4" t="s">
        <v>402</v>
      </c>
      <c r="C4050" s="4" t="s">
        <v>287</v>
      </c>
      <c r="D4050" s="94">
        <v>5391.0</v>
      </c>
    </row>
    <row r="4051">
      <c r="A4051" s="40">
        <f t="array" ref="A4051">IFNA(index(PlayerValues!A:A,match(IFNA(vlookup(B4051,'Special Names'!A:B,2,FALSE),B4051),PlayerValues!E:E,0)),"N/A")</f>
        <v>16627</v>
      </c>
      <c r="B4051" s="4" t="s">
        <v>351</v>
      </c>
      <c r="C4051" s="4" t="s">
        <v>287</v>
      </c>
      <c r="D4051" s="94">
        <v>5376.0</v>
      </c>
    </row>
    <row r="4052">
      <c r="A4052" s="40">
        <f t="array" ref="A4052">IFNA(index(PlayerValues!A:A,match(IFNA(vlookup(B4052,'Special Names'!A:B,2,FALSE),B4052),PlayerValues!E:E,0)),"N/A")</f>
        <v>16616</v>
      </c>
      <c r="B4052" s="4" t="s">
        <v>389</v>
      </c>
      <c r="C4052" s="4" t="s">
        <v>287</v>
      </c>
      <c r="D4052" s="94">
        <v>5245.0</v>
      </c>
    </row>
    <row r="4053">
      <c r="A4053" s="40">
        <f t="array" ref="A4053">IFNA(index(PlayerValues!A:A,match(IFNA(vlookup(B4053,'Special Names'!A:B,2,FALSE),B4053),PlayerValues!E:E,0)),"N/A")</f>
        <v>13130</v>
      </c>
      <c r="B4053" s="4" t="s">
        <v>374</v>
      </c>
      <c r="C4053" s="4" t="s">
        <v>278</v>
      </c>
      <c r="D4053" s="94">
        <v>5183.0</v>
      </c>
    </row>
    <row r="4054">
      <c r="A4054" s="40">
        <f t="array" ref="A4054">IFNA(index(PlayerValues!A:A,match(IFNA(vlookup(B4054,'Special Names'!A:B,2,FALSE),B4054),PlayerValues!E:E,0)),"N/A")</f>
        <v>17497</v>
      </c>
      <c r="B4054" s="4" t="s">
        <v>365</v>
      </c>
      <c r="C4054" s="4" t="s">
        <v>287</v>
      </c>
      <c r="D4054" s="94">
        <v>5182.0</v>
      </c>
    </row>
    <row r="4055">
      <c r="A4055" s="40">
        <f t="array" ref="A4055">IFNA(index(PlayerValues!A:A,match(IFNA(vlookup(B4055,'Special Names'!A:B,2,FALSE),B4055),PlayerValues!E:E,0)),"N/A")</f>
        <v>16614</v>
      </c>
      <c r="B4055" s="4" t="s">
        <v>403</v>
      </c>
      <c r="C4055" s="4" t="s">
        <v>287</v>
      </c>
      <c r="D4055" s="94">
        <v>5116.0</v>
      </c>
    </row>
    <row r="4056">
      <c r="A4056" s="40">
        <f t="array" ref="A4056">IFNA(index(PlayerValues!A:A,match(IFNA(vlookup(B4056,'Special Names'!A:B,2,FALSE),B4056),PlayerValues!E:E,0)),"N/A")</f>
        <v>17030</v>
      </c>
      <c r="B4056" s="4" t="s">
        <v>406</v>
      </c>
      <c r="C4056" s="4" t="s">
        <v>283</v>
      </c>
      <c r="D4056" s="94">
        <v>5030.0</v>
      </c>
    </row>
    <row r="4057">
      <c r="A4057" s="40">
        <f t="array" ref="A4057">IFNA(index(PlayerValues!A:A,match(IFNA(vlookup(B4057,'Special Names'!A:B,2,FALSE),B4057),PlayerValues!E:E,0)),"N/A")</f>
        <v>12620</v>
      </c>
      <c r="B4057" s="4" t="s">
        <v>394</v>
      </c>
      <c r="C4057" s="4" t="s">
        <v>283</v>
      </c>
      <c r="D4057" s="94">
        <v>4998.0</v>
      </c>
    </row>
    <row r="4058">
      <c r="A4058" s="40">
        <f t="array" ref="A4058">IFNA(index(PlayerValues!A:A,match(IFNA(vlookup(B4058,'Special Names'!A:B,2,FALSE),B4058),PlayerValues!E:E,0)),"N/A")</f>
        <v>17070</v>
      </c>
      <c r="B4058" s="4" t="s">
        <v>370</v>
      </c>
      <c r="C4058" s="4" t="s">
        <v>287</v>
      </c>
      <c r="D4058" s="94">
        <v>4970.0</v>
      </c>
    </row>
    <row r="4059">
      <c r="A4059" s="40">
        <f t="array" ref="A4059">IFNA(index(PlayerValues!A:A,match(IFNA(vlookup(B4059,'Special Names'!A:B,2,FALSE),B4059),PlayerValues!E:E,0)),"N/A")</f>
        <v>15711</v>
      </c>
      <c r="B4059" s="4" t="s">
        <v>349</v>
      </c>
      <c r="C4059" s="4" t="s">
        <v>278</v>
      </c>
      <c r="D4059" s="94">
        <v>4968.0</v>
      </c>
    </row>
    <row r="4060">
      <c r="A4060" s="40">
        <f t="array" ref="A4060">IFNA(index(PlayerValues!A:A,match(IFNA(vlookup(B4060,'Special Names'!A:B,2,FALSE),B4060),PlayerValues!E:E,0)),"N/A")</f>
        <v>16618</v>
      </c>
      <c r="B4060" s="4" t="s">
        <v>411</v>
      </c>
      <c r="C4060" s="4" t="s">
        <v>287</v>
      </c>
      <c r="D4060" s="94">
        <v>4967.0</v>
      </c>
    </row>
    <row r="4061">
      <c r="A4061" s="40">
        <f t="array" ref="A4061">IFNA(index(PlayerValues!A:A,match(IFNA(vlookup(B4061,'Special Names'!A:B,2,FALSE),B4061),PlayerValues!E:E,0)),"N/A")</f>
        <v>16150</v>
      </c>
      <c r="B4061" s="4" t="s">
        <v>414</v>
      </c>
      <c r="C4061" s="4" t="s">
        <v>283</v>
      </c>
      <c r="D4061" s="94">
        <v>4942.0</v>
      </c>
    </row>
    <row r="4062">
      <c r="A4062" s="40">
        <f t="array" ref="A4062">IFNA(index(PlayerValues!A:A,match(IFNA(vlookup(B4062,'Special Names'!A:B,2,FALSE),B4062),PlayerValues!E:E,0)),"N/A")</f>
        <v>14835</v>
      </c>
      <c r="B4062" s="4" t="s">
        <v>392</v>
      </c>
      <c r="C4062" s="4" t="s">
        <v>287</v>
      </c>
      <c r="D4062" s="94">
        <v>4876.0</v>
      </c>
    </row>
    <row r="4063">
      <c r="A4063" s="40">
        <f t="array" ref="A4063">IFNA(index(PlayerValues!A:A,match(IFNA(vlookup(B4063,'Special Names'!A:B,2,FALSE),B4063),PlayerValues!E:E,0)),"N/A")</f>
        <v>17103</v>
      </c>
      <c r="B4063" s="4" t="s">
        <v>405</v>
      </c>
      <c r="C4063" s="4" t="s">
        <v>298</v>
      </c>
      <c r="D4063" s="94">
        <v>5445.0</v>
      </c>
    </row>
    <row r="4064">
      <c r="A4064" s="40">
        <f t="array" ref="A4064">IFNA(index(PlayerValues!A:A,match(IFNA(vlookup(B4064,'Special Names'!A:B,2,FALSE),B4064),PlayerValues!E:E,0)),"N/A")</f>
        <v>16181</v>
      </c>
      <c r="B4064" s="4" t="s">
        <v>350</v>
      </c>
      <c r="C4064" s="4" t="s">
        <v>278</v>
      </c>
      <c r="D4064" s="94">
        <v>4870.0</v>
      </c>
    </row>
    <row r="4065">
      <c r="A4065" s="40">
        <f t="array" ref="A4065">IFNA(index(PlayerValues!A:A,match(IFNA(vlookup(B4065,'Special Names'!A:B,2,FALSE),B4065),PlayerValues!E:E,0)),"N/A")</f>
        <v>16222</v>
      </c>
      <c r="B4065" s="4" t="s">
        <v>393</v>
      </c>
      <c r="C4065" s="4" t="s">
        <v>298</v>
      </c>
      <c r="D4065" s="94">
        <v>5427.0</v>
      </c>
    </row>
    <row r="4066">
      <c r="A4066" s="40">
        <f t="array" ref="A4066">IFNA(index(PlayerValues!A:A,match(IFNA(vlookup(B4066,'Special Names'!A:B,2,FALSE),B4066),PlayerValues!E:E,0)),"N/A")</f>
        <v>17498</v>
      </c>
      <c r="B4066" s="4" t="s">
        <v>396</v>
      </c>
      <c r="C4066" s="4" t="s">
        <v>287</v>
      </c>
      <c r="D4066" s="94">
        <v>4857.0</v>
      </c>
    </row>
    <row r="4067">
      <c r="A4067" s="40">
        <f t="array" ref="A4067">IFNA(index(PlayerValues!A:A,match(IFNA(vlookup(B4067,'Special Names'!A:B,2,FALSE),B4067),PlayerValues!E:E,0)),"N/A")</f>
        <v>17045</v>
      </c>
      <c r="B4067" s="4" t="s">
        <v>407</v>
      </c>
      <c r="C4067" s="4" t="s">
        <v>278</v>
      </c>
      <c r="D4067" s="94">
        <v>4852.0</v>
      </c>
    </row>
    <row r="4068">
      <c r="A4068" s="40">
        <f t="array" ref="A4068">IFNA(index(PlayerValues!A:A,match(IFNA(vlookup(B4068,'Special Names'!A:B,2,FALSE),B4068),PlayerValues!E:E,0)),"N/A")</f>
        <v>15710</v>
      </c>
      <c r="B4068" s="4" t="s">
        <v>395</v>
      </c>
      <c r="C4068" s="4" t="s">
        <v>278</v>
      </c>
      <c r="D4068" s="94">
        <v>4832.0</v>
      </c>
    </row>
    <row r="4069">
      <c r="A4069" s="40" t="str">
        <f t="array" ref="A4069">IFNA(index(PlayerValues!A:A,match(IFNA(vlookup(B4069,'Special Names'!A:B,2,FALSE),B4069),PlayerValues!E:E,0)),"N/A")</f>
        <v>N/A</v>
      </c>
      <c r="B4069" s="4" t="s">
        <v>104</v>
      </c>
      <c r="C4069" s="4" t="s">
        <v>325</v>
      </c>
      <c r="D4069" s="94">
        <v>4813.0</v>
      </c>
    </row>
    <row r="4070">
      <c r="A4070" s="40">
        <f t="array" ref="A4070">IFNA(index(PlayerValues!A:A,match(IFNA(vlookup(B4070,'Special Names'!A:B,2,FALSE),B4070),PlayerValues!E:E,0)),"N/A")</f>
        <v>13604</v>
      </c>
      <c r="B4070" s="4" t="s">
        <v>378</v>
      </c>
      <c r="C4070" s="4" t="s">
        <v>278</v>
      </c>
      <c r="D4070" s="94">
        <v>4796.0</v>
      </c>
    </row>
    <row r="4071">
      <c r="A4071" s="40">
        <f t="array" ref="A4071">IFNA(index(PlayerValues!A:A,match(IFNA(vlookup(B4071,'Special Names'!A:B,2,FALSE),B4071),PlayerValues!E:E,0)),"N/A")</f>
        <v>15756</v>
      </c>
      <c r="B4071" s="4" t="s">
        <v>399</v>
      </c>
      <c r="C4071" s="4" t="s">
        <v>287</v>
      </c>
      <c r="D4071" s="94">
        <v>4789.0</v>
      </c>
    </row>
    <row r="4072">
      <c r="A4072" s="40">
        <f t="array" ref="A4072">IFNA(index(PlayerValues!A:A,match(IFNA(vlookup(B4072,'Special Names'!A:B,2,FALSE),B4072),PlayerValues!E:E,0)),"N/A")</f>
        <v>13592</v>
      </c>
      <c r="B4072" s="4" t="s">
        <v>418</v>
      </c>
      <c r="C4072" s="4" t="s">
        <v>283</v>
      </c>
      <c r="D4072" s="94">
        <v>4787.0</v>
      </c>
    </row>
    <row r="4073">
      <c r="A4073" s="40">
        <f t="array" ref="A4073">IFNA(index(PlayerValues!A:A,match(IFNA(vlookup(B4073,'Special Names'!A:B,2,FALSE),B4073),PlayerValues!E:E,0)),"N/A")</f>
        <v>13590</v>
      </c>
      <c r="B4073" s="4" t="s">
        <v>409</v>
      </c>
      <c r="C4073" s="4" t="s">
        <v>283</v>
      </c>
      <c r="D4073" s="94">
        <v>4769.0</v>
      </c>
    </row>
    <row r="4074">
      <c r="A4074" s="40" t="str">
        <f t="array" ref="A4074">IFNA(index(PlayerValues!A:A,match(IFNA(vlookup(B4074,'Special Names'!A:B,2,FALSE),B4074),PlayerValues!E:E,0)),"N/A")</f>
        <v>N/A</v>
      </c>
      <c r="B4074" s="4" t="s">
        <v>80</v>
      </c>
      <c r="C4074" s="4" t="s">
        <v>325</v>
      </c>
      <c r="D4074" s="94">
        <v>4728.0</v>
      </c>
    </row>
    <row r="4075">
      <c r="A4075" s="40" t="str">
        <f t="array" ref="A4075">IFNA(index(PlayerValues!A:A,match(IFNA(vlookup(B4075,'Special Names'!A:B,2,FALSE),B4075),PlayerValues!E:E,0)),"N/A")</f>
        <v>N/A</v>
      </c>
      <c r="B4075" s="4" t="s">
        <v>94</v>
      </c>
      <c r="C4075" s="4" t="s">
        <v>325</v>
      </c>
      <c r="D4075" s="94">
        <v>4723.0</v>
      </c>
    </row>
    <row r="4076">
      <c r="A4076" s="40">
        <f t="array" ref="A4076">IFNA(index(PlayerValues!A:A,match(IFNA(vlookup(B4076,'Special Names'!A:B,2,FALSE),B4076),PlayerValues!E:E,0)),"N/A")</f>
        <v>15282</v>
      </c>
      <c r="B4076" s="4" t="s">
        <v>364</v>
      </c>
      <c r="C4076" s="4" t="s">
        <v>287</v>
      </c>
      <c r="D4076" s="94">
        <v>4715.0</v>
      </c>
    </row>
    <row r="4077">
      <c r="A4077" s="40">
        <f t="array" ref="A4077">IFNA(index(PlayerValues!A:A,match(IFNA(vlookup(B4077,'Special Names'!A:B,2,FALSE),B4077),PlayerValues!E:E,0)),"N/A")</f>
        <v>14104</v>
      </c>
      <c r="B4077" s="4" t="s">
        <v>379</v>
      </c>
      <c r="C4077" s="4" t="s">
        <v>287</v>
      </c>
      <c r="D4077" s="94">
        <v>4692.0</v>
      </c>
    </row>
    <row r="4078">
      <c r="A4078" s="40">
        <f t="array" ref="A4078">IFNA(index(PlayerValues!A:A,match(IFNA(vlookup(B4078,'Special Names'!A:B,2,FALSE),B4078),PlayerValues!E:E,0)),"N/A")</f>
        <v>16190</v>
      </c>
      <c r="B4078" s="4" t="s">
        <v>371</v>
      </c>
      <c r="C4078" s="4" t="s">
        <v>287</v>
      </c>
      <c r="D4078" s="94">
        <v>4688.0</v>
      </c>
    </row>
    <row r="4079">
      <c r="A4079" s="40">
        <f t="array" ref="A4079">IFNA(index(PlayerValues!A:A,match(IFNA(vlookup(B4079,'Special Names'!A:B,2,FALSE),B4079),PlayerValues!E:E,0)),"N/A")</f>
        <v>12611</v>
      </c>
      <c r="B4079" s="4" t="s">
        <v>410</v>
      </c>
      <c r="C4079" s="4" t="s">
        <v>283</v>
      </c>
      <c r="D4079" s="94">
        <v>4629.0</v>
      </c>
    </row>
    <row r="4080">
      <c r="A4080" s="40">
        <f t="array" ref="A4080">IFNA(index(PlayerValues!A:A,match(IFNA(vlookup(B4080,'Special Names'!A:B,2,FALSE),B4080),PlayerValues!E:E,0)),"N/A")</f>
        <v>16214</v>
      </c>
      <c r="B4080" s="4" t="s">
        <v>413</v>
      </c>
      <c r="C4080" s="4" t="s">
        <v>298</v>
      </c>
      <c r="D4080" s="94">
        <v>5137.0</v>
      </c>
    </row>
    <row r="4081">
      <c r="A4081" s="40">
        <f t="array" ref="A4081">IFNA(index(PlayerValues!A:A,match(IFNA(vlookup(B4081,'Special Names'!A:B,2,FALSE),B4081),PlayerValues!E:E,0)),"N/A")</f>
        <v>17039</v>
      </c>
      <c r="B4081" s="4" t="s">
        <v>400</v>
      </c>
      <c r="C4081" s="4" t="s">
        <v>283</v>
      </c>
      <c r="D4081" s="94">
        <v>4586.0</v>
      </c>
    </row>
    <row r="4082">
      <c r="A4082" s="40">
        <f t="array" ref="A4082">IFNA(index(PlayerValues!A:A,match(IFNA(vlookup(B4082,'Special Names'!A:B,2,FALSE),B4082),PlayerValues!E:E,0)),"N/A")</f>
        <v>15284</v>
      </c>
      <c r="B4082" s="4" t="s">
        <v>390</v>
      </c>
      <c r="C4082" s="4" t="s">
        <v>287</v>
      </c>
      <c r="D4082" s="94">
        <v>4573.0</v>
      </c>
    </row>
    <row r="4083">
      <c r="A4083" s="40">
        <f t="array" ref="A4083">IFNA(index(PlayerValues!A:A,match(IFNA(vlookup(B4083,'Special Names'!A:B,2,FALSE),B4083),PlayerValues!E:E,0)),"N/A")</f>
        <v>17068</v>
      </c>
      <c r="B4083" s="4" t="s">
        <v>450</v>
      </c>
      <c r="C4083" s="4" t="s">
        <v>278</v>
      </c>
      <c r="D4083" s="94">
        <v>4532.0</v>
      </c>
    </row>
    <row r="4084">
      <c r="A4084" s="40">
        <f t="array" ref="A4084">IFNA(index(PlayerValues!A:A,match(IFNA(vlookup(B4084,'Special Names'!A:B,2,FALSE),B4084),PlayerValues!E:E,0)),"N/A")</f>
        <v>16148</v>
      </c>
      <c r="B4084" s="4" t="s">
        <v>426</v>
      </c>
      <c r="C4084" s="4" t="s">
        <v>283</v>
      </c>
      <c r="D4084" s="94">
        <v>4501.0</v>
      </c>
    </row>
    <row r="4085">
      <c r="A4085" s="40">
        <f t="array" ref="A4085">IFNA(index(PlayerValues!A:A,match(IFNA(vlookup(B4085,'Special Names'!A:B,2,FALSE),B4085),PlayerValues!E:E,0)),"N/A")</f>
        <v>15253</v>
      </c>
      <c r="B4085" s="4" t="s">
        <v>415</v>
      </c>
      <c r="C4085" s="4" t="s">
        <v>278</v>
      </c>
      <c r="D4085" s="94">
        <v>4490.0</v>
      </c>
    </row>
    <row r="4086">
      <c r="A4086" s="40">
        <f t="array" ref="A4086">IFNA(index(PlayerValues!A:A,match(IFNA(vlookup(B4086,'Special Names'!A:B,2,FALSE),B4086),PlayerValues!E:E,0)),"N/A")</f>
        <v>15329</v>
      </c>
      <c r="B4086" s="4" t="s">
        <v>416</v>
      </c>
      <c r="C4086" s="4" t="s">
        <v>298</v>
      </c>
      <c r="D4086" s="94">
        <v>5018.0</v>
      </c>
    </row>
    <row r="4087">
      <c r="A4087" s="40">
        <f t="array" ref="A4087">IFNA(index(PlayerValues!A:A,match(IFNA(vlookup(B4087,'Special Names'!A:B,2,FALSE),B4087),PlayerValues!E:E,0)),"N/A")</f>
        <v>14073</v>
      </c>
      <c r="B4087" s="4" t="s">
        <v>464</v>
      </c>
      <c r="C4087" s="4" t="s">
        <v>278</v>
      </c>
      <c r="D4087" s="94">
        <v>4475.0</v>
      </c>
    </row>
    <row r="4088">
      <c r="A4088" s="40" t="str">
        <f t="array" ref="A4088">IFNA(index(PlayerValues!A:A,match(IFNA(vlookup(B4088,'Special Names'!A:B,2,FALSE),B4088),PlayerValues!E:E,0)),"N/A")</f>
        <v>N/A</v>
      </c>
      <c r="B4088" s="4" t="s">
        <v>105</v>
      </c>
      <c r="C4088" s="4" t="s">
        <v>325</v>
      </c>
      <c r="D4088" s="94">
        <v>4438.0</v>
      </c>
    </row>
    <row r="4089">
      <c r="A4089" s="40">
        <f t="array" ref="A4089">IFNA(index(PlayerValues!A:A,match(IFNA(vlookup(B4089,'Special Names'!A:B,2,FALSE),B4089),PlayerValues!E:E,0)),"N/A")</f>
        <v>15256</v>
      </c>
      <c r="B4089" s="4" t="s">
        <v>401</v>
      </c>
      <c r="C4089" s="4" t="s">
        <v>278</v>
      </c>
      <c r="D4089" s="94">
        <v>4387.0</v>
      </c>
    </row>
    <row r="4090">
      <c r="A4090" s="40" t="str">
        <f t="array" ref="A4090">IFNA(index(PlayerValues!A:A,match(IFNA(vlookup(B4090,'Special Names'!A:B,2,FALSE),B4090),PlayerValues!E:E,0)),"N/A")</f>
        <v>N/A</v>
      </c>
      <c r="B4090" s="4" t="s">
        <v>81</v>
      </c>
      <c r="C4090" s="4" t="s">
        <v>325</v>
      </c>
      <c r="D4090" s="94">
        <v>4332.0</v>
      </c>
    </row>
    <row r="4091">
      <c r="A4091" s="40">
        <f t="array" ref="A4091">IFNA(index(PlayerValues!A:A,match(IFNA(vlookup(B4091,'Special Names'!A:B,2,FALSE),B4091),PlayerValues!E:E,0)),"N/A")</f>
        <v>17074</v>
      </c>
      <c r="B4091" s="4" t="s">
        <v>475</v>
      </c>
      <c r="C4091" s="4" t="s">
        <v>287</v>
      </c>
      <c r="D4091" s="94">
        <v>4217.0</v>
      </c>
    </row>
    <row r="4092">
      <c r="A4092" s="40">
        <f t="array" ref="A4092">IFNA(index(PlayerValues!A:A,match(IFNA(vlookup(B4092,'Special Names'!A:B,2,FALSE),B4092),PlayerValues!E:E,0)),"N/A")</f>
        <v>17500</v>
      </c>
      <c r="B4092" s="4" t="s">
        <v>430</v>
      </c>
      <c r="C4092" s="4" t="s">
        <v>287</v>
      </c>
      <c r="D4092" s="94">
        <v>4194.0</v>
      </c>
    </row>
    <row r="4093">
      <c r="A4093" s="40">
        <f t="array" ref="A4093">IFNA(index(PlayerValues!A:A,match(IFNA(vlookup(B4093,'Special Names'!A:B,2,FALSE),B4093),PlayerValues!E:E,0)),"N/A")</f>
        <v>17099</v>
      </c>
      <c r="B4093" s="4" t="s">
        <v>474</v>
      </c>
      <c r="C4093" s="4" t="s">
        <v>298</v>
      </c>
      <c r="D4093" s="94">
        <v>4644.0</v>
      </c>
    </row>
    <row r="4094">
      <c r="A4094" s="40">
        <f t="array" ref="A4094">IFNA(index(PlayerValues!A:A,match(IFNA(vlookup(B4094,'Special Names'!A:B,2,FALSE),B4094),PlayerValues!E:E,0)),"N/A")</f>
        <v>16186</v>
      </c>
      <c r="B4094" s="4" t="s">
        <v>425</v>
      </c>
      <c r="C4094" s="4" t="s">
        <v>287</v>
      </c>
      <c r="D4094" s="94">
        <v>4064.0</v>
      </c>
    </row>
    <row r="4095">
      <c r="A4095" s="40" t="str">
        <f t="array" ref="A4095">IFNA(index(PlayerValues!A:A,match(IFNA(vlookup(B4095,'Special Names'!A:B,2,FALSE),B4095),PlayerValues!E:E,0)),"N/A")</f>
        <v>N/A</v>
      </c>
      <c r="B4095" s="4" t="s">
        <v>107</v>
      </c>
      <c r="C4095" s="4" t="s">
        <v>325</v>
      </c>
      <c r="D4095" s="94">
        <v>3998.0</v>
      </c>
    </row>
    <row r="4096">
      <c r="A4096" s="40">
        <f t="array" ref="A4096">IFNA(index(PlayerValues!A:A,match(IFNA(vlookup(B4096,'Special Names'!A:B,2,FALSE),B4096),PlayerValues!E:E,0)),"N/A")</f>
        <v>14059</v>
      </c>
      <c r="B4096" s="4" t="s">
        <v>435</v>
      </c>
      <c r="C4096" s="4" t="s">
        <v>283</v>
      </c>
      <c r="D4096" s="94">
        <v>3987.0</v>
      </c>
    </row>
    <row r="4097">
      <c r="A4097" s="40">
        <f t="array" ref="A4097">IFNA(index(PlayerValues!A:A,match(IFNA(vlookup(B4097,'Special Names'!A:B,2,FALSE),B4097),PlayerValues!E:E,0)),"N/A")</f>
        <v>17543</v>
      </c>
      <c r="B4097" s="4" t="s">
        <v>436</v>
      </c>
      <c r="C4097" s="4" t="s">
        <v>298</v>
      </c>
      <c r="D4097" s="94">
        <v>4481.0</v>
      </c>
    </row>
    <row r="4098">
      <c r="A4098" s="40">
        <f t="array" ref="A4098">IFNA(index(PlayerValues!A:A,match(IFNA(vlookup(B4098,'Special Names'!A:B,2,FALSE),B4098),PlayerValues!E:E,0)),"N/A")</f>
        <v>17501</v>
      </c>
      <c r="B4098" s="4" t="s">
        <v>404</v>
      </c>
      <c r="C4098" s="4" t="s">
        <v>287</v>
      </c>
      <c r="D4098" s="94">
        <v>3957.0</v>
      </c>
    </row>
    <row r="4099">
      <c r="A4099" s="40">
        <f t="array" ref="A4099">IFNA(index(PlayerValues!A:A,match(IFNA(vlookup(B4099,'Special Names'!A:B,2,FALSE),B4099),PlayerValues!E:E,0)),"N/A")</f>
        <v>17066</v>
      </c>
      <c r="B4099" s="4" t="s">
        <v>446</v>
      </c>
      <c r="C4099" s="4" t="s">
        <v>278</v>
      </c>
      <c r="D4099" s="94">
        <v>3935.0</v>
      </c>
    </row>
    <row r="4100">
      <c r="A4100" s="40">
        <f t="array" ref="A4100">IFNA(index(PlayerValues!A:A,match(IFNA(vlookup(B4100,'Special Names'!A:B,2,FALSE),B4100),PlayerValues!E:E,0)),"N/A")</f>
        <v>12626</v>
      </c>
      <c r="B4100" s="4" t="s">
        <v>419</v>
      </c>
      <c r="C4100" s="4" t="s">
        <v>278</v>
      </c>
      <c r="D4100" s="94">
        <v>3909.0</v>
      </c>
    </row>
    <row r="4101">
      <c r="A4101" s="40">
        <f t="array" ref="A4101">IFNA(index(PlayerValues!A:A,match(IFNA(vlookup(B4101,'Special Names'!A:B,2,FALSE),B4101),PlayerValues!E:E,0)),"N/A")</f>
        <v>16622</v>
      </c>
      <c r="B4101" s="4" t="s">
        <v>517</v>
      </c>
      <c r="C4101" s="4" t="s">
        <v>287</v>
      </c>
      <c r="D4101" s="94">
        <v>3903.0</v>
      </c>
    </row>
    <row r="4102">
      <c r="A4102" s="40">
        <f t="array" ref="A4102">IFNA(index(PlayerValues!A:A,match(IFNA(vlookup(B4102,'Special Names'!A:B,2,FALSE),B4102),PlayerValues!E:E,0)),"N/A")</f>
        <v>16206</v>
      </c>
      <c r="B4102" s="4" t="s">
        <v>431</v>
      </c>
      <c r="C4102" s="4" t="s">
        <v>287</v>
      </c>
      <c r="D4102" s="94">
        <v>3878.0</v>
      </c>
    </row>
    <row r="4103">
      <c r="A4103" s="40">
        <f t="array" ref="A4103">IFNA(index(PlayerValues!A:A,match(IFNA(vlookup(B4103,'Special Names'!A:B,2,FALSE),B4103),PlayerValues!E:E,0)),"N/A")</f>
        <v>15768</v>
      </c>
      <c r="B4103" s="4" t="s">
        <v>432</v>
      </c>
      <c r="C4103" s="4" t="s">
        <v>287</v>
      </c>
      <c r="D4103" s="94">
        <v>3861.0</v>
      </c>
    </row>
    <row r="4104">
      <c r="A4104" s="40">
        <f t="array" ref="A4104">IFNA(index(PlayerValues!A:A,match(IFNA(vlookup(B4104,'Special Names'!A:B,2,FALSE),B4104),PlayerValues!E:E,0)),"N/A")</f>
        <v>14102</v>
      </c>
      <c r="B4104" s="4" t="s">
        <v>444</v>
      </c>
      <c r="C4104" s="4" t="s">
        <v>287</v>
      </c>
      <c r="D4104" s="94">
        <v>3846.0</v>
      </c>
    </row>
    <row r="4105">
      <c r="A4105" s="40" t="str">
        <f t="array" ref="A4105">IFNA(index(PlayerValues!A:A,match(IFNA(vlookup(B4105,'Special Names'!A:B,2,FALSE),B4105),PlayerValues!E:E,0)),"N/A")</f>
        <v>N/A</v>
      </c>
      <c r="B4105" s="4" t="s">
        <v>95</v>
      </c>
      <c r="C4105" s="4" t="s">
        <v>325</v>
      </c>
      <c r="D4105" s="94">
        <v>3826.0</v>
      </c>
    </row>
    <row r="4106">
      <c r="A4106" s="40">
        <f t="array" ref="A4106">IFNA(index(PlayerValues!A:A,match(IFNA(vlookup(B4106,'Special Names'!A:B,2,FALSE),B4106),PlayerValues!E:E,0)),"N/A")</f>
        <v>17083</v>
      </c>
      <c r="B4106" s="4" t="s">
        <v>479</v>
      </c>
      <c r="C4106" s="4" t="s">
        <v>287</v>
      </c>
      <c r="D4106" s="94">
        <v>3822.0</v>
      </c>
    </row>
    <row r="4107">
      <c r="A4107" s="40">
        <f t="array" ref="A4107">IFNA(index(PlayerValues!A:A,match(IFNA(vlookup(B4107,'Special Names'!A:B,2,FALSE),B4107),PlayerValues!E:E,0)),"N/A")</f>
        <v>15789</v>
      </c>
      <c r="B4107" s="4" t="s">
        <v>421</v>
      </c>
      <c r="C4107" s="4" t="s">
        <v>287</v>
      </c>
      <c r="D4107" s="94">
        <v>3737.0</v>
      </c>
    </row>
    <row r="4108">
      <c r="A4108" s="40">
        <f t="array" ref="A4108">IFNA(index(PlayerValues!A:A,match(IFNA(vlookup(B4108,'Special Names'!A:B,2,FALSE),B4108),PlayerValues!E:E,0)),"N/A")</f>
        <v>14797</v>
      </c>
      <c r="B4108" s="4" t="s">
        <v>420</v>
      </c>
      <c r="C4108" s="4" t="s">
        <v>278</v>
      </c>
      <c r="D4108" s="94">
        <v>3731.0</v>
      </c>
    </row>
    <row r="4109">
      <c r="A4109" s="40">
        <f t="array" ref="A4109">IFNA(index(PlayerValues!A:A,match(IFNA(vlookup(B4109,'Special Names'!A:B,2,FALSE),B4109),PlayerValues!E:E,0)),"N/A")</f>
        <v>9431</v>
      </c>
      <c r="B4109" s="4" t="s">
        <v>428</v>
      </c>
      <c r="C4109" s="4" t="s">
        <v>283</v>
      </c>
      <c r="D4109" s="94">
        <v>3717.0</v>
      </c>
    </row>
    <row r="4110">
      <c r="A4110" s="40">
        <f t="array" ref="A4110">IFNA(index(PlayerValues!A:A,match(IFNA(vlookup(B4110,'Special Names'!A:B,2,FALSE),B4110),PlayerValues!E:E,0)),"N/A")</f>
        <v>11675</v>
      </c>
      <c r="B4110" s="4" t="s">
        <v>438</v>
      </c>
      <c r="C4110" s="4" t="s">
        <v>287</v>
      </c>
      <c r="D4110" s="94">
        <v>3658.0</v>
      </c>
    </row>
    <row r="4111">
      <c r="A4111" s="40">
        <f t="array" ref="A4111">IFNA(index(PlayerValues!A:A,match(IFNA(vlookup(B4111,'Special Names'!A:B,2,FALSE),B4111),PlayerValues!E:E,0)),"N/A")</f>
        <v>17477</v>
      </c>
      <c r="B4111" s="4" t="s">
        <v>452</v>
      </c>
      <c r="C4111" s="4" t="s">
        <v>278</v>
      </c>
      <c r="D4111" s="94">
        <v>3634.0</v>
      </c>
    </row>
    <row r="4112">
      <c r="A4112" s="40">
        <f t="array" ref="A4112">IFNA(index(PlayerValues!A:A,match(IFNA(vlookup(B4112,'Special Names'!A:B,2,FALSE),B4112),PlayerValues!E:E,0)),"N/A")</f>
        <v>15757</v>
      </c>
      <c r="B4112" s="4" t="s">
        <v>449</v>
      </c>
      <c r="C4112" s="4" t="s">
        <v>287</v>
      </c>
      <c r="D4112" s="94">
        <v>3624.0</v>
      </c>
    </row>
    <row r="4113">
      <c r="A4113" s="40">
        <f t="array" ref="A4113">IFNA(index(PlayerValues!A:A,match(IFNA(vlookup(B4113,'Special Names'!A:B,2,FALSE),B4113),PlayerValues!E:E,0)),"N/A")</f>
        <v>14056</v>
      </c>
      <c r="B4113" s="4" t="s">
        <v>423</v>
      </c>
      <c r="C4113" s="4" t="s">
        <v>283</v>
      </c>
      <c r="D4113" s="94">
        <v>3604.0</v>
      </c>
    </row>
    <row r="4114">
      <c r="A4114" s="40">
        <f t="array" ref="A4114">IFNA(index(PlayerValues!A:A,match(IFNA(vlookup(B4114,'Special Names'!A:B,2,FALSE),B4114),PlayerValues!E:E,0)),"N/A")</f>
        <v>16583</v>
      </c>
      <c r="B4114" s="4" t="s">
        <v>493</v>
      </c>
      <c r="C4114" s="4" t="s">
        <v>283</v>
      </c>
      <c r="D4114" s="94">
        <v>3599.0</v>
      </c>
    </row>
    <row r="4115">
      <c r="A4115" s="40">
        <f t="array" ref="A4115">IFNA(index(PlayerValues!A:A,match(IFNA(vlookup(B4115,'Special Names'!A:B,2,FALSE),B4115),PlayerValues!E:E,0)),"N/A")</f>
        <v>14842</v>
      </c>
      <c r="B4115" s="4" t="s">
        <v>456</v>
      </c>
      <c r="C4115" s="4" t="s">
        <v>287</v>
      </c>
      <c r="D4115" s="94">
        <v>3584.0</v>
      </c>
    </row>
    <row r="4116">
      <c r="A4116" s="40">
        <f t="array" ref="A4116">IFNA(index(PlayerValues!A:A,match(IFNA(vlookup(B4116,'Special Names'!A:B,2,FALSE),B4116),PlayerValues!E:E,0)),"N/A")</f>
        <v>16169</v>
      </c>
      <c r="B4116" s="4" t="s">
        <v>457</v>
      </c>
      <c r="C4116" s="4" t="s">
        <v>278</v>
      </c>
      <c r="D4116" s="94">
        <v>3576.0</v>
      </c>
    </row>
    <row r="4117">
      <c r="A4117" s="40">
        <f t="array" ref="A4117">IFNA(index(PlayerValues!A:A,match(IFNA(vlookup(B4117,'Special Names'!A:B,2,FALSE),B4117),PlayerValues!E:E,0)),"N/A")</f>
        <v>16192</v>
      </c>
      <c r="B4117" s="4" t="s">
        <v>412</v>
      </c>
      <c r="C4117" s="4" t="s">
        <v>287</v>
      </c>
      <c r="D4117" s="94">
        <v>3572.0</v>
      </c>
    </row>
    <row r="4118">
      <c r="A4118" s="40">
        <f t="array" ref="A4118">IFNA(index(PlayerValues!A:A,match(IFNA(vlookup(B4118,'Special Names'!A:B,2,FALSE),B4118),PlayerValues!E:E,0)),"N/A")</f>
        <v>16213</v>
      </c>
      <c r="B4118" s="4" t="s">
        <v>458</v>
      </c>
      <c r="C4118" s="4" t="s">
        <v>298</v>
      </c>
      <c r="D4118" s="94">
        <v>4026.0</v>
      </c>
    </row>
    <row r="4119">
      <c r="A4119" s="40">
        <f t="array" ref="A4119">IFNA(index(PlayerValues!A:A,match(IFNA(vlookup(B4119,'Special Names'!A:B,2,FALSE),B4119),PlayerValues!E:E,0)),"N/A")</f>
        <v>16584</v>
      </c>
      <c r="B4119" s="4" t="s">
        <v>569</v>
      </c>
      <c r="C4119" s="4" t="s">
        <v>283</v>
      </c>
      <c r="D4119" s="94">
        <v>3535.0</v>
      </c>
    </row>
    <row r="4120">
      <c r="A4120" s="40">
        <f t="array" ref="A4120">IFNA(index(PlayerValues!A:A,match(IFNA(vlookup(B4120,'Special Names'!A:B,2,FALSE),B4120),PlayerValues!E:E,0)),"N/A")</f>
        <v>17075</v>
      </c>
      <c r="B4120" s="4" t="s">
        <v>429</v>
      </c>
      <c r="C4120" s="4" t="s">
        <v>287</v>
      </c>
      <c r="D4120" s="94">
        <v>3534.0</v>
      </c>
    </row>
    <row r="4121">
      <c r="A4121" s="40">
        <f t="array" ref="A4121">IFNA(index(PlayerValues!A:A,match(IFNA(vlookup(B4121,'Special Names'!A:B,2,FALSE),B4121),PlayerValues!E:E,0)),"N/A")</f>
        <v>16620</v>
      </c>
      <c r="B4121" s="4" t="s">
        <v>467</v>
      </c>
      <c r="C4121" s="4" t="s">
        <v>287</v>
      </c>
      <c r="D4121" s="94">
        <v>3528.0</v>
      </c>
    </row>
    <row r="4122">
      <c r="A4122" s="40">
        <f t="array" ref="A4122">IFNA(index(PlayerValues!A:A,match(IFNA(vlookup(B4122,'Special Names'!A:B,2,FALSE),B4122),PlayerValues!E:E,0)),"N/A")</f>
        <v>16188</v>
      </c>
      <c r="B4122" s="4" t="s">
        <v>439</v>
      </c>
      <c r="C4122" s="4" t="s">
        <v>287</v>
      </c>
      <c r="D4122" s="94">
        <v>3512.0</v>
      </c>
    </row>
    <row r="4123">
      <c r="A4123" s="40" t="str">
        <f t="array" ref="A4123">IFNA(index(PlayerValues!A:A,match(IFNA(vlookup(B4123,'Special Names'!A:B,2,FALSE),B4123),PlayerValues!E:E,0)),"N/A")</f>
        <v>N/A</v>
      </c>
      <c r="B4123" s="4" t="s">
        <v>82</v>
      </c>
      <c r="C4123" s="4" t="s">
        <v>325</v>
      </c>
      <c r="D4123" s="94">
        <v>3498.0</v>
      </c>
    </row>
    <row r="4124">
      <c r="A4124" s="40">
        <f t="array" ref="A4124">IFNA(index(PlayerValues!A:A,match(IFNA(vlookup(B4124,'Special Names'!A:B,2,FALSE),B4124),PlayerValues!E:E,0)),"N/A")</f>
        <v>16593</v>
      </c>
      <c r="B4124" s="4" t="s">
        <v>442</v>
      </c>
      <c r="C4124" s="4" t="s">
        <v>278</v>
      </c>
      <c r="D4124" s="94">
        <v>3495.0</v>
      </c>
    </row>
    <row r="4125">
      <c r="A4125" s="40">
        <f t="array" ref="A4125">IFNA(index(PlayerValues!A:A,match(IFNA(vlookup(B4125,'Special Names'!A:B,2,FALSE),B4125),PlayerValues!E:E,0)),"N/A")</f>
        <v>13299</v>
      </c>
      <c r="B4125" s="4" t="s">
        <v>448</v>
      </c>
      <c r="C4125" s="4" t="s">
        <v>298</v>
      </c>
      <c r="D4125" s="94">
        <v>3945.0</v>
      </c>
    </row>
    <row r="4126">
      <c r="A4126" s="40">
        <f t="array" ref="A4126">IFNA(index(PlayerValues!A:A,match(IFNA(vlookup(B4126,'Special Names'!A:B,2,FALSE),B4126),PlayerValues!E:E,0)),"N/A")</f>
        <v>14127</v>
      </c>
      <c r="B4126" s="4" t="s">
        <v>486</v>
      </c>
      <c r="C4126" s="4" t="s">
        <v>287</v>
      </c>
      <c r="D4126" s="94">
        <v>3459.0</v>
      </c>
    </row>
    <row r="4127">
      <c r="A4127" s="40">
        <f t="array" ref="A4127">IFNA(index(PlayerValues!A:A,match(IFNA(vlookup(B4127,'Special Names'!A:B,2,FALSE),B4127),PlayerValues!E:E,0)),"N/A")</f>
        <v>17052</v>
      </c>
      <c r="B4127" s="4" t="s">
        <v>417</v>
      </c>
      <c r="C4127" s="4" t="s">
        <v>278</v>
      </c>
      <c r="D4127" s="94">
        <v>3452.0</v>
      </c>
    </row>
    <row r="4128">
      <c r="A4128" s="40">
        <f t="array" ref="A4128">IFNA(index(PlayerValues!A:A,match(IFNA(vlookup(B4128,'Special Names'!A:B,2,FALSE),B4128),PlayerValues!E:E,0)),"N/A")</f>
        <v>15742</v>
      </c>
      <c r="B4128" s="4" t="s">
        <v>447</v>
      </c>
      <c r="C4128" s="4" t="s">
        <v>278</v>
      </c>
      <c r="D4128" s="94">
        <v>3439.0</v>
      </c>
    </row>
    <row r="4129">
      <c r="A4129" s="40">
        <f t="array" ref="A4129">IFNA(index(PlayerValues!A:A,match(IFNA(vlookup(B4129,'Special Names'!A:B,2,FALSE),B4129),PlayerValues!E:E,0)),"N/A")</f>
        <v>15799</v>
      </c>
      <c r="B4129" s="4" t="s">
        <v>468</v>
      </c>
      <c r="C4129" s="4" t="s">
        <v>298</v>
      </c>
      <c r="D4129" s="94">
        <v>3859.0</v>
      </c>
    </row>
    <row r="4130">
      <c r="A4130" s="40">
        <f t="array" ref="A4130">IFNA(index(PlayerValues!A:A,match(IFNA(vlookup(B4130,'Special Names'!A:B,2,FALSE),B4130),PlayerValues!E:E,0)),"N/A")</f>
        <v>17502</v>
      </c>
      <c r="B4130" s="4" t="s">
        <v>451</v>
      </c>
      <c r="C4130" s="4" t="s">
        <v>287</v>
      </c>
      <c r="D4130" s="94">
        <v>3399.0</v>
      </c>
    </row>
    <row r="4131">
      <c r="A4131" s="40" t="str">
        <f t="array" ref="A4131">IFNA(index(PlayerValues!A:A,match(IFNA(vlookup(B4131,'Special Names'!A:B,2,FALSE),B4131),PlayerValues!E:E,0)),"N/A")</f>
        <v>N/A</v>
      </c>
      <c r="B4131" s="4" t="s">
        <v>96</v>
      </c>
      <c r="C4131" s="4" t="s">
        <v>325</v>
      </c>
      <c r="D4131" s="94">
        <v>3373.0</v>
      </c>
    </row>
    <row r="4132">
      <c r="A4132" s="40">
        <f t="array" ref="A4132">IFNA(index(PlayerValues!A:A,match(IFNA(vlookup(B4132,'Special Names'!A:B,2,FALSE),B4132),PlayerValues!E:E,0)),"N/A")</f>
        <v>14109</v>
      </c>
      <c r="B4132" s="4" t="s">
        <v>437</v>
      </c>
      <c r="C4132" s="4" t="s">
        <v>287</v>
      </c>
      <c r="D4132" s="94">
        <v>3358.0</v>
      </c>
    </row>
    <row r="4133">
      <c r="A4133" s="40">
        <f t="array" ref="A4133">IFNA(index(PlayerValues!A:A,match(IFNA(vlookup(B4133,'Special Names'!A:B,2,FALSE),B4133),PlayerValues!E:E,0)),"N/A")</f>
        <v>16594</v>
      </c>
      <c r="B4133" s="4" t="s">
        <v>607</v>
      </c>
      <c r="C4133" s="4" t="s">
        <v>278</v>
      </c>
      <c r="D4133" s="94">
        <v>3331.0</v>
      </c>
    </row>
    <row r="4134">
      <c r="A4134" s="40">
        <f t="array" ref="A4134">IFNA(index(PlayerValues!A:A,match(IFNA(vlookup(B4134,'Special Names'!A:B,2,FALSE),B4134),PlayerValues!E:E,0)),"N/A")</f>
        <v>17053</v>
      </c>
      <c r="B4134" s="4" t="s">
        <v>484</v>
      </c>
      <c r="C4134" s="4" t="s">
        <v>278</v>
      </c>
      <c r="D4134" s="94">
        <v>3330.0</v>
      </c>
    </row>
    <row r="4135">
      <c r="A4135" s="40">
        <f t="array" ref="A4135">IFNA(index(PlayerValues!A:A,match(IFNA(vlookup(B4135,'Special Names'!A:B,2,FALSE),B4135),PlayerValues!E:E,0)),"N/A")</f>
        <v>17473</v>
      </c>
      <c r="B4135" s="4" t="s">
        <v>391</v>
      </c>
      <c r="C4135" s="4" t="s">
        <v>278</v>
      </c>
      <c r="D4135" s="94">
        <v>3313.0</v>
      </c>
    </row>
    <row r="4136">
      <c r="A4136" s="40">
        <f t="array" ref="A4136">IFNA(index(PlayerValues!A:A,match(IFNA(vlookup(B4136,'Special Names'!A:B,2,FALSE),B4136),PlayerValues!E:E,0)),"N/A")</f>
        <v>13630</v>
      </c>
      <c r="B4136" s="4" t="s">
        <v>465</v>
      </c>
      <c r="C4136" s="4" t="s">
        <v>287</v>
      </c>
      <c r="D4136" s="94">
        <v>3297.0</v>
      </c>
    </row>
    <row r="4137">
      <c r="A4137" s="40">
        <f t="array" ref="A4137">IFNA(index(PlayerValues!A:A,match(IFNA(vlookup(B4137,'Special Names'!A:B,2,FALSE),B4137),PlayerValues!E:E,0)),"N/A")</f>
        <v>13635</v>
      </c>
      <c r="B4137" s="4" t="s">
        <v>424</v>
      </c>
      <c r="C4137" s="4" t="s">
        <v>287</v>
      </c>
      <c r="D4137" s="94">
        <v>3274.0</v>
      </c>
    </row>
    <row r="4138">
      <c r="A4138" s="40">
        <f t="array" ref="A4138">IFNA(index(PlayerValues!A:A,match(IFNA(vlookup(B4138,'Special Names'!A:B,2,FALSE),B4138),PlayerValues!E:E,0)),"N/A")</f>
        <v>16269</v>
      </c>
      <c r="B4138" s="4" t="s">
        <v>481</v>
      </c>
      <c r="C4138" s="4" t="s">
        <v>298</v>
      </c>
      <c r="D4138" s="94">
        <v>3713.0</v>
      </c>
    </row>
    <row r="4139">
      <c r="A4139" s="40">
        <f t="array" ref="A4139">IFNA(index(PlayerValues!A:A,match(IFNA(vlookup(B4139,'Special Names'!A:B,2,FALSE),B4139),PlayerValues!E:E,0)),"N/A")</f>
        <v>16184</v>
      </c>
      <c r="B4139" s="4" t="s">
        <v>445</v>
      </c>
      <c r="C4139" s="4" t="s">
        <v>287</v>
      </c>
      <c r="D4139" s="94">
        <v>3261.0</v>
      </c>
    </row>
    <row r="4140">
      <c r="A4140" s="40">
        <f t="array" ref="A4140">IFNA(index(PlayerValues!A:A,match(IFNA(vlookup(B4140,'Special Names'!A:B,2,FALSE),B4140),PlayerValues!E:E,0)),"N/A")</f>
        <v>15694</v>
      </c>
      <c r="B4140" s="4" t="s">
        <v>434</v>
      </c>
      <c r="C4140" s="4" t="s">
        <v>283</v>
      </c>
      <c r="D4140" s="94">
        <v>3213.0</v>
      </c>
    </row>
    <row r="4141">
      <c r="A4141" s="40">
        <f t="array" ref="A4141">IFNA(index(PlayerValues!A:A,match(IFNA(vlookup(B4141,'Special Names'!A:B,2,FALSE),B4141),PlayerValues!E:E,0)),"N/A")</f>
        <v>15712</v>
      </c>
      <c r="B4141" s="4" t="s">
        <v>488</v>
      </c>
      <c r="C4141" s="4" t="s">
        <v>278</v>
      </c>
      <c r="D4141" s="94">
        <v>3209.0</v>
      </c>
    </row>
    <row r="4142">
      <c r="A4142" s="40">
        <f t="array" ref="A4142">IFNA(index(PlayerValues!A:A,match(IFNA(vlookup(B4142,'Special Names'!A:B,2,FALSE),B4142),PlayerValues!E:E,0)),"N/A")</f>
        <v>17476</v>
      </c>
      <c r="B4142" s="4" t="s">
        <v>494</v>
      </c>
      <c r="C4142" s="4" t="s">
        <v>278</v>
      </c>
      <c r="D4142" s="94">
        <v>3202.0</v>
      </c>
    </row>
    <row r="4143">
      <c r="A4143" s="40">
        <f t="array" ref="A4143">IFNA(index(PlayerValues!A:A,match(IFNA(vlookup(B4143,'Special Names'!A:B,2,FALSE),B4143),PlayerValues!E:E,0)),"N/A")</f>
        <v>16809</v>
      </c>
      <c r="B4143" s="4" t="s">
        <v>455</v>
      </c>
      <c r="C4143" s="4" t="s">
        <v>287</v>
      </c>
      <c r="D4143" s="94">
        <v>3167.0</v>
      </c>
    </row>
    <row r="4144">
      <c r="A4144" s="40">
        <f t="array" ref="A4144">IFNA(index(PlayerValues!A:A,match(IFNA(vlookup(B4144,'Special Names'!A:B,2,FALSE),B4144),PlayerValues!E:E,0)),"N/A")</f>
        <v>16187</v>
      </c>
      <c r="B4144" s="4" t="s">
        <v>441</v>
      </c>
      <c r="C4144" s="4" t="s">
        <v>287</v>
      </c>
      <c r="D4144" s="94">
        <v>3151.0</v>
      </c>
    </row>
    <row r="4145">
      <c r="A4145" s="40">
        <f t="array" ref="A4145">IFNA(index(PlayerValues!A:A,match(IFNA(vlookup(B4145,'Special Names'!A:B,2,FALSE),B4145),PlayerValues!E:E,0)),"N/A")</f>
        <v>14823</v>
      </c>
      <c r="B4145" s="4" t="s">
        <v>459</v>
      </c>
      <c r="C4145" s="4" t="s">
        <v>278</v>
      </c>
      <c r="D4145" s="94">
        <v>3150.0</v>
      </c>
    </row>
    <row r="4146">
      <c r="A4146" s="40">
        <f t="array" ref="A4146">IFNA(index(PlayerValues!A:A,match(IFNA(vlookup(B4146,'Special Names'!A:B,2,FALSE),B4146),PlayerValues!E:E,0)),"N/A")</f>
        <v>15761</v>
      </c>
      <c r="B4146" s="4" t="s">
        <v>491</v>
      </c>
      <c r="C4146" s="4" t="s">
        <v>287</v>
      </c>
      <c r="D4146" s="94">
        <v>3111.0</v>
      </c>
    </row>
    <row r="4147">
      <c r="A4147" s="40" t="str">
        <f t="array" ref="A4147">IFNA(index(PlayerValues!A:A,match(IFNA(vlookup(B4147,'Special Names'!A:B,2,FALSE),B4147),PlayerValues!E:E,0)),"N/A")</f>
        <v>N/A</v>
      </c>
      <c r="B4147" s="4" t="s">
        <v>108</v>
      </c>
      <c r="C4147" s="4" t="s">
        <v>325</v>
      </c>
      <c r="D4147" s="94">
        <v>3078.0</v>
      </c>
    </row>
    <row r="4148">
      <c r="A4148" s="40" t="str">
        <f t="array" ref="A4148">IFNA(index(PlayerValues!A:A,match(IFNA(vlookup(B4148,'Special Names'!A:B,2,FALSE),B4148),PlayerValues!E:E,0)),"N/A")</f>
        <v>N/A</v>
      </c>
      <c r="B4148" s="4" t="s">
        <v>84</v>
      </c>
      <c r="C4148" s="4" t="s">
        <v>325</v>
      </c>
      <c r="D4148" s="94">
        <v>3074.0</v>
      </c>
    </row>
    <row r="4149">
      <c r="A4149" s="40" t="str">
        <f t="array" ref="A4149">IFNA(index(PlayerValues!A:A,match(IFNA(vlookup(B4149,'Special Names'!A:B,2,FALSE),B4149),PlayerValues!E:E,0)),"N/A")</f>
        <v>N/A</v>
      </c>
      <c r="B4149" s="4" t="s">
        <v>97</v>
      </c>
      <c r="C4149" s="4" t="s">
        <v>325</v>
      </c>
      <c r="D4149" s="94">
        <v>3068.0</v>
      </c>
    </row>
    <row r="4150">
      <c r="A4150" s="40">
        <f t="array" ref="A4150">IFNA(index(PlayerValues!A:A,match(IFNA(vlookup(B4150,'Special Names'!A:B,2,FALSE),B4150),PlayerValues!E:E,0)),"N/A")</f>
        <v>15261</v>
      </c>
      <c r="B4150" s="4" t="s">
        <v>466</v>
      </c>
      <c r="C4150" s="4" t="s">
        <v>278</v>
      </c>
      <c r="D4150" s="94">
        <v>3050.0</v>
      </c>
    </row>
    <row r="4151">
      <c r="A4151" s="40">
        <f t="array" ref="A4151">IFNA(index(PlayerValues!A:A,match(IFNA(vlookup(B4151,'Special Names'!A:B,2,FALSE),B4151),PlayerValues!E:E,0)),"N/A")</f>
        <v>16619</v>
      </c>
      <c r="B4151" s="4" t="s">
        <v>538</v>
      </c>
      <c r="C4151" s="4" t="s">
        <v>287</v>
      </c>
      <c r="D4151" s="94">
        <v>3046.0</v>
      </c>
    </row>
    <row r="4152">
      <c r="A4152" s="40">
        <f t="array" ref="A4152">IFNA(index(PlayerValues!A:A,match(IFNA(vlookup(B4152,'Special Names'!A:B,2,FALSE),B4152),PlayerValues!E:E,0)),"N/A")</f>
        <v>15798</v>
      </c>
      <c r="B4152" s="4" t="s">
        <v>443</v>
      </c>
      <c r="C4152" s="4" t="s">
        <v>298</v>
      </c>
      <c r="D4152" s="94">
        <v>3452.0</v>
      </c>
    </row>
    <row r="4153">
      <c r="A4153" s="40">
        <f t="array" ref="A4153">IFNA(index(PlayerValues!A:A,match(IFNA(vlookup(B4153,'Special Names'!A:B,2,FALSE),B4153),PlayerValues!E:E,0)),"N/A")</f>
        <v>17463</v>
      </c>
      <c r="B4153" s="4" t="s">
        <v>433</v>
      </c>
      <c r="C4153" s="4" t="s">
        <v>283</v>
      </c>
      <c r="D4153" s="94">
        <v>2990.0</v>
      </c>
    </row>
    <row r="4154">
      <c r="A4154" s="40">
        <f t="array" ref="A4154">IFNA(index(PlayerValues!A:A,match(IFNA(vlookup(B4154,'Special Names'!A:B,2,FALSE),B4154),PlayerValues!E:E,0)),"N/A")</f>
        <v>17082</v>
      </c>
      <c r="B4154" s="4" t="s">
        <v>498</v>
      </c>
      <c r="C4154" s="4" t="s">
        <v>287</v>
      </c>
      <c r="D4154" s="94">
        <v>2978.0</v>
      </c>
    </row>
    <row r="4155">
      <c r="A4155" s="40">
        <f t="array" ref="A4155">IFNA(index(PlayerValues!A:A,match(IFNA(vlookup(B4155,'Special Names'!A:B,2,FALSE),B4155),PlayerValues!E:E,0)),"N/A")</f>
        <v>15259</v>
      </c>
      <c r="B4155" s="4" t="s">
        <v>453</v>
      </c>
      <c r="C4155" s="4" t="s">
        <v>278</v>
      </c>
      <c r="D4155" s="94">
        <v>2975.0</v>
      </c>
    </row>
    <row r="4156">
      <c r="A4156" s="40">
        <f t="array" ref="A4156">IFNA(index(PlayerValues!A:A,match(IFNA(vlookup(B4156,'Special Names'!A:B,2,FALSE),B4156),PlayerValues!E:E,0)),"N/A")</f>
        <v>16193</v>
      </c>
      <c r="B4156" s="4" t="s">
        <v>487</v>
      </c>
      <c r="C4156" s="4" t="s">
        <v>287</v>
      </c>
      <c r="D4156" s="94">
        <v>2972.0</v>
      </c>
    </row>
    <row r="4157">
      <c r="A4157" s="40">
        <f t="array" ref="A4157">IFNA(index(PlayerValues!A:A,match(IFNA(vlookup(B4157,'Special Names'!A:B,2,FALSE),B4157),PlayerValues!E:E,0)),"N/A")</f>
        <v>15779</v>
      </c>
      <c r="B4157" s="4" t="s">
        <v>461</v>
      </c>
      <c r="C4157" s="4" t="s">
        <v>287</v>
      </c>
      <c r="D4157" s="94">
        <v>2971.0</v>
      </c>
    </row>
    <row r="4158">
      <c r="A4158" s="40">
        <f t="array" ref="A4158">IFNA(index(PlayerValues!A:A,match(IFNA(vlookup(B4158,'Special Names'!A:B,2,FALSE),B4158),PlayerValues!E:E,0)),"N/A")</f>
        <v>17106</v>
      </c>
      <c r="B4158" s="4" t="s">
        <v>550</v>
      </c>
      <c r="C4158" s="4" t="s">
        <v>298</v>
      </c>
      <c r="D4158" s="94">
        <v>3349.0</v>
      </c>
    </row>
    <row r="4159">
      <c r="A4159" s="40">
        <f t="array" ref="A4159">IFNA(index(PlayerValues!A:A,match(IFNA(vlookup(B4159,'Special Names'!A:B,2,FALSE),B4159),PlayerValues!E:E,0)),"N/A")</f>
        <v>17107</v>
      </c>
      <c r="B4159" s="4" t="s">
        <v>478</v>
      </c>
      <c r="C4159" s="4" t="s">
        <v>298</v>
      </c>
      <c r="D4159" s="94">
        <v>3326.0</v>
      </c>
    </row>
    <row r="4160">
      <c r="A4160" s="40">
        <f t="array" ref="A4160">IFNA(index(PlayerValues!A:A,match(IFNA(vlookup(B4160,'Special Names'!A:B,2,FALSE),B4160),PlayerValues!E:E,0)),"N/A")</f>
        <v>17031</v>
      </c>
      <c r="B4160" s="4" t="s">
        <v>535</v>
      </c>
      <c r="C4160" s="4" t="s">
        <v>283</v>
      </c>
      <c r="D4160" s="94">
        <v>2900.0</v>
      </c>
    </row>
    <row r="4161">
      <c r="A4161" s="40">
        <f t="array" ref="A4161">IFNA(index(PlayerValues!A:A,match(IFNA(vlookup(B4161,'Special Names'!A:B,2,FALSE),B4161),PlayerValues!E:E,0)),"N/A")</f>
        <v>17256</v>
      </c>
      <c r="B4161" s="4" t="s">
        <v>462</v>
      </c>
      <c r="C4161" s="4" t="s">
        <v>278</v>
      </c>
      <c r="D4161" s="94">
        <v>2891.0</v>
      </c>
    </row>
    <row r="4162">
      <c r="A4162" s="40">
        <f t="array" ref="A4162">IFNA(index(PlayerValues!A:A,match(IFNA(vlookup(B4162,'Special Names'!A:B,2,FALSE),B4162),PlayerValues!E:E,0)),"N/A")</f>
        <v>16723</v>
      </c>
      <c r="B4162" s="4" t="s">
        <v>502</v>
      </c>
      <c r="C4162" s="4" t="s">
        <v>298</v>
      </c>
      <c r="D4162" s="94">
        <v>3297.0</v>
      </c>
    </row>
    <row r="4163">
      <c r="A4163" s="40">
        <f t="array" ref="A4163">IFNA(index(PlayerValues!A:A,match(IFNA(vlookup(B4163,'Special Names'!A:B,2,FALSE),B4163),PlayerValues!E:E,0)),"N/A")</f>
        <v>11671</v>
      </c>
      <c r="B4163" s="4" t="s">
        <v>463</v>
      </c>
      <c r="C4163" s="4" t="s">
        <v>287</v>
      </c>
      <c r="D4163" s="94">
        <v>2867.0</v>
      </c>
    </row>
    <row r="4164">
      <c r="A4164" s="40">
        <f t="array" ref="A4164">IFNA(index(PlayerValues!A:A,match(IFNA(vlookup(B4164,'Special Names'!A:B,2,FALSE),B4164),PlayerValues!E:E,0)),"N/A")</f>
        <v>16628</v>
      </c>
      <c r="B4164" s="4" t="s">
        <v>490</v>
      </c>
      <c r="C4164" s="4" t="s">
        <v>287</v>
      </c>
      <c r="D4164" s="94">
        <v>2864.0</v>
      </c>
    </row>
    <row r="4165">
      <c r="A4165" s="40">
        <f t="array" ref="A4165">IFNA(index(PlayerValues!A:A,match(IFNA(vlookup(B4165,'Special Names'!A:B,2,FALSE),B4165),PlayerValues!E:E,0)),"N/A")</f>
        <v>17171</v>
      </c>
      <c r="B4165" s="4" t="s">
        <v>561</v>
      </c>
      <c r="C4165" s="4" t="s">
        <v>287</v>
      </c>
      <c r="D4165" s="94">
        <v>2851.0</v>
      </c>
    </row>
    <row r="4166">
      <c r="A4166" s="40">
        <f t="array" ref="A4166">IFNA(index(PlayerValues!A:A,match(IFNA(vlookup(B4166,'Special Names'!A:B,2,FALSE),B4166),PlayerValues!E:E,0)),"N/A")</f>
        <v>16596</v>
      </c>
      <c r="B4166" s="4" t="s">
        <v>501</v>
      </c>
      <c r="C4166" s="4" t="s">
        <v>278</v>
      </c>
      <c r="D4166" s="94">
        <v>2844.0</v>
      </c>
    </row>
    <row r="4167">
      <c r="A4167" s="40">
        <f t="array" ref="A4167">IFNA(index(PlayerValues!A:A,match(IFNA(vlookup(B4167,'Special Names'!A:B,2,FALSE),B4167),PlayerValues!E:E,0)),"N/A")</f>
        <v>17073</v>
      </c>
      <c r="B4167" s="4" t="s">
        <v>547</v>
      </c>
      <c r="C4167" s="4" t="s">
        <v>287</v>
      </c>
      <c r="D4167" s="94">
        <v>2841.0</v>
      </c>
    </row>
    <row r="4168">
      <c r="A4168" s="40">
        <f t="array" ref="A4168">IFNA(index(PlayerValues!A:A,match(IFNA(vlookup(B4168,'Special Names'!A:B,2,FALSE),B4168),PlayerValues!E:E,0)),"N/A")</f>
        <v>14860</v>
      </c>
      <c r="B4168" s="4" t="s">
        <v>554</v>
      </c>
      <c r="C4168" s="4" t="s">
        <v>287</v>
      </c>
      <c r="D4168" s="94">
        <v>2839.0</v>
      </c>
    </row>
    <row r="4169">
      <c r="A4169" s="40">
        <f t="array" ref="A4169">IFNA(index(PlayerValues!A:A,match(IFNA(vlookup(B4169,'Special Names'!A:B,2,FALSE),B4169),PlayerValues!E:E,0)),"N/A")</f>
        <v>17072</v>
      </c>
      <c r="B4169" s="4" t="s">
        <v>508</v>
      </c>
      <c r="C4169" s="4" t="s">
        <v>287</v>
      </c>
      <c r="D4169" s="94">
        <v>2839.0</v>
      </c>
    </row>
    <row r="4170">
      <c r="A4170" s="40">
        <f t="array" ref="A4170">IFNA(index(PlayerValues!A:A,match(IFNA(vlookup(B4170,'Special Names'!A:B,2,FALSE),B4170),PlayerValues!E:E,0)),"N/A")</f>
        <v>17157</v>
      </c>
      <c r="B4170" s="4" t="s">
        <v>524</v>
      </c>
      <c r="C4170" s="4" t="s">
        <v>287</v>
      </c>
      <c r="D4170" s="94">
        <v>2835.0</v>
      </c>
    </row>
    <row r="4171">
      <c r="A4171" s="40">
        <f t="array" ref="A4171">IFNA(index(PlayerValues!A:A,match(IFNA(vlookup(B4171,'Special Names'!A:B,2,FALSE),B4171),PlayerValues!E:E,0)),"N/A")</f>
        <v>16080</v>
      </c>
      <c r="B4171" s="4" t="s">
        <v>499</v>
      </c>
      <c r="C4171" s="4" t="s">
        <v>287</v>
      </c>
      <c r="D4171" s="94">
        <v>2829.0</v>
      </c>
    </row>
    <row r="4172">
      <c r="A4172" s="40">
        <f t="array" ref="A4172">IFNA(index(PlayerValues!A:A,match(IFNA(vlookup(B4172,'Special Names'!A:B,2,FALSE),B4172),PlayerValues!E:E,0)),"N/A")</f>
        <v>17511</v>
      </c>
      <c r="B4172" s="4" t="s">
        <v>485</v>
      </c>
      <c r="C4172" s="4" t="s">
        <v>287</v>
      </c>
      <c r="D4172" s="94">
        <v>2819.0</v>
      </c>
    </row>
    <row r="4173">
      <c r="A4173" s="40">
        <f t="array" ref="A4173">IFNA(index(PlayerValues!A:A,match(IFNA(vlookup(B4173,'Special Names'!A:B,2,FALSE),B4173),PlayerValues!E:E,0)),"N/A")</f>
        <v>16165</v>
      </c>
      <c r="B4173" s="4" t="s">
        <v>520</v>
      </c>
      <c r="C4173" s="4" t="s">
        <v>278</v>
      </c>
      <c r="D4173" s="94">
        <v>2810.0</v>
      </c>
    </row>
    <row r="4174">
      <c r="A4174" s="40">
        <f t="array" ref="A4174">IFNA(index(PlayerValues!A:A,match(IFNA(vlookup(B4174,'Special Names'!A:B,2,FALSE),B4174),PlayerValues!E:E,0)),"N/A")</f>
        <v>15255</v>
      </c>
      <c r="B4174" s="4" t="s">
        <v>477</v>
      </c>
      <c r="C4174" s="4" t="s">
        <v>278</v>
      </c>
      <c r="D4174" s="94">
        <v>2804.0</v>
      </c>
    </row>
    <row r="4175">
      <c r="A4175" s="40" t="str">
        <f t="array" ref="A4175">IFNA(index(PlayerValues!A:A,match(IFNA(vlookup(B4175,'Special Names'!A:B,2,FALSE),B4175),PlayerValues!E:E,0)),"N/A")</f>
        <v>N/A</v>
      </c>
      <c r="B4175" s="4" t="s">
        <v>85</v>
      </c>
      <c r="C4175" s="4" t="s">
        <v>325</v>
      </c>
      <c r="D4175" s="94">
        <v>2804.0</v>
      </c>
    </row>
    <row r="4176">
      <c r="A4176" s="40">
        <f t="array" ref="A4176">IFNA(index(PlayerValues!A:A,match(IFNA(vlookup(B4176,'Special Names'!A:B,2,FALSE),B4176),PlayerValues!E:E,0)),"N/A")</f>
        <v>17134</v>
      </c>
      <c r="B4176" s="4" t="s">
        <v>548</v>
      </c>
      <c r="C4176" s="4" t="s">
        <v>287</v>
      </c>
      <c r="D4176" s="94">
        <v>2803.0</v>
      </c>
    </row>
    <row r="4177">
      <c r="A4177" s="40" t="str">
        <f t="array" ref="A4177">IFNA(index(PlayerValues!A:A,match(IFNA(vlookup(B4177,'Special Names'!A:B,2,FALSE),B4177),PlayerValues!E:E,0)),"N/A")</f>
        <v>N/A</v>
      </c>
      <c r="B4177" s="4" t="s">
        <v>109</v>
      </c>
      <c r="C4177" s="4" t="s">
        <v>325</v>
      </c>
      <c r="D4177" s="94">
        <v>2799.0</v>
      </c>
    </row>
    <row r="4178">
      <c r="A4178" s="40">
        <f t="array" ref="A4178">IFNA(index(PlayerValues!A:A,match(IFNA(vlookup(B4178,'Special Names'!A:B,2,FALSE),B4178),PlayerValues!E:E,0)),"N/A")</f>
        <v>15241</v>
      </c>
      <c r="B4178" s="4" t="s">
        <v>546</v>
      </c>
      <c r="C4178" s="4" t="s">
        <v>283</v>
      </c>
      <c r="D4178" s="94">
        <v>2797.0</v>
      </c>
    </row>
    <row r="4179">
      <c r="A4179" s="40">
        <f t="array" ref="A4179">IFNA(index(PlayerValues!A:A,match(IFNA(vlookup(B4179,'Special Names'!A:B,2,FALSE),B4179),PlayerValues!E:E,0)),"N/A")</f>
        <v>16649</v>
      </c>
      <c r="B4179" s="4" t="s">
        <v>586</v>
      </c>
      <c r="C4179" s="4" t="s">
        <v>298</v>
      </c>
      <c r="D4179" s="94">
        <v>3215.0</v>
      </c>
    </row>
    <row r="4180">
      <c r="A4180" s="40">
        <f t="array" ref="A4180">IFNA(index(PlayerValues!A:A,match(IFNA(vlookup(B4180,'Special Names'!A:B,2,FALSE),B4180),PlayerValues!E:E,0)),"N/A")</f>
        <v>14071</v>
      </c>
      <c r="B4180" s="4" t="s">
        <v>440</v>
      </c>
      <c r="C4180" s="4" t="s">
        <v>278</v>
      </c>
      <c r="D4180" s="94">
        <v>2791.0</v>
      </c>
    </row>
    <row r="4181">
      <c r="A4181" s="40">
        <f t="array" ref="A4181">IFNA(index(PlayerValues!A:A,match(IFNA(vlookup(B4181,'Special Names'!A:B,2,FALSE),B4181),PlayerValues!E:E,0)),"N/A")</f>
        <v>17080</v>
      </c>
      <c r="B4181" s="4" t="s">
        <v>532</v>
      </c>
      <c r="C4181" s="4" t="s">
        <v>287</v>
      </c>
      <c r="D4181" s="94">
        <v>2782.0</v>
      </c>
    </row>
    <row r="4182">
      <c r="A4182" s="40">
        <f t="array" ref="A4182">IFNA(index(PlayerValues!A:A,match(IFNA(vlookup(B4182,'Special Names'!A:B,2,FALSE),B4182),PlayerValues!E:E,0)),"N/A")</f>
        <v>16626</v>
      </c>
      <c r="B4182" s="4" t="s">
        <v>515</v>
      </c>
      <c r="C4182" s="4" t="s">
        <v>287</v>
      </c>
      <c r="D4182" s="94">
        <v>2766.0</v>
      </c>
    </row>
    <row r="4183">
      <c r="A4183" s="40">
        <f t="array" ref="A4183">IFNA(index(PlayerValues!A:A,match(IFNA(vlookup(B4183,'Special Names'!A:B,2,FALSE),B4183),PlayerValues!E:E,0)),"N/A")</f>
        <v>13163</v>
      </c>
      <c r="B4183" s="4" t="s">
        <v>473</v>
      </c>
      <c r="C4183" s="4" t="s">
        <v>287</v>
      </c>
      <c r="D4183" s="94">
        <v>2764.0</v>
      </c>
    </row>
    <row r="4184">
      <c r="A4184" s="40">
        <f t="array" ref="A4184">IFNA(index(PlayerValues!A:A,match(IFNA(vlookup(B4184,'Special Names'!A:B,2,FALSE),B4184),PlayerValues!E:E,0)),"N/A")</f>
        <v>14800</v>
      </c>
      <c r="B4184" s="4" t="s">
        <v>472</v>
      </c>
      <c r="C4184" s="4" t="s">
        <v>278</v>
      </c>
      <c r="D4184" s="94">
        <v>2759.0</v>
      </c>
    </row>
    <row r="4185">
      <c r="A4185" s="40">
        <f t="array" ref="A4185">IFNA(index(PlayerValues!A:A,match(IFNA(vlookup(B4185,'Special Names'!A:B,2,FALSE),B4185),PlayerValues!E:E,0)),"N/A")</f>
        <v>17098</v>
      </c>
      <c r="B4185" s="4" t="s">
        <v>533</v>
      </c>
      <c r="C4185" s="4" t="s">
        <v>287</v>
      </c>
      <c r="D4185" s="94">
        <v>2742.0</v>
      </c>
    </row>
    <row r="4186">
      <c r="A4186" s="40">
        <f t="array" ref="A4186">IFNA(index(PlayerValues!A:A,match(IFNA(vlookup(B4186,'Special Names'!A:B,2,FALSE),B4186),PlayerValues!E:E,0)),"N/A")</f>
        <v>16747</v>
      </c>
      <c r="B4186" s="4" t="s">
        <v>555</v>
      </c>
      <c r="C4186" s="4" t="s">
        <v>278</v>
      </c>
      <c r="D4186" s="94">
        <v>2738.0</v>
      </c>
    </row>
    <row r="4187">
      <c r="A4187" s="40">
        <f t="array" ref="A4187">IFNA(index(PlayerValues!A:A,match(IFNA(vlookup(B4187,'Special Names'!A:B,2,FALSE),B4187),PlayerValues!E:E,0)),"N/A")</f>
        <v>17047</v>
      </c>
      <c r="B4187" s="4" t="s">
        <v>510</v>
      </c>
      <c r="C4187" s="4" t="s">
        <v>278</v>
      </c>
      <c r="D4187" s="94">
        <v>2724.0</v>
      </c>
    </row>
    <row r="4188">
      <c r="A4188" s="40">
        <f t="array" ref="A4188">IFNA(index(PlayerValues!A:A,match(IFNA(vlookup(B4188,'Special Names'!A:B,2,FALSE),B4188),PlayerValues!E:E,0)),"N/A")</f>
        <v>14840</v>
      </c>
      <c r="B4188" s="4" t="s">
        <v>731</v>
      </c>
      <c r="C4188" s="4" t="s">
        <v>287</v>
      </c>
      <c r="D4188" s="94">
        <v>2693.0</v>
      </c>
    </row>
    <row r="4189">
      <c r="A4189" s="40">
        <f t="array" ref="A4189">IFNA(index(PlayerValues!A:A,match(IFNA(vlookup(B4189,'Special Names'!A:B,2,FALSE),B4189),PlayerValues!E:E,0)),"N/A")</f>
        <v>16597</v>
      </c>
      <c r="B4189" s="4" t="s">
        <v>427</v>
      </c>
      <c r="C4189" s="4" t="s">
        <v>278</v>
      </c>
      <c r="D4189" s="94">
        <v>2692.0</v>
      </c>
    </row>
    <row r="4190">
      <c r="A4190" s="40">
        <f t="array" ref="A4190">IFNA(index(PlayerValues!A:A,match(IFNA(vlookup(B4190,'Special Names'!A:B,2,FALSE),B4190),PlayerValues!E:E,0)),"N/A")</f>
        <v>14085</v>
      </c>
      <c r="B4190" s="4" t="s">
        <v>489</v>
      </c>
      <c r="C4190" s="4" t="s">
        <v>278</v>
      </c>
      <c r="D4190" s="94">
        <v>2685.0</v>
      </c>
    </row>
    <row r="4191">
      <c r="A4191" s="40">
        <f t="array" ref="A4191">IFNA(index(PlayerValues!A:A,match(IFNA(vlookup(B4191,'Special Names'!A:B,2,FALSE),B4191),PlayerValues!E:E,0)),"N/A")</f>
        <v>17048</v>
      </c>
      <c r="B4191" s="4" t="s">
        <v>539</v>
      </c>
      <c r="C4191" s="4" t="s">
        <v>278</v>
      </c>
      <c r="D4191" s="94">
        <v>2683.0</v>
      </c>
    </row>
    <row r="4192">
      <c r="A4192" s="40">
        <f t="array" ref="A4192">IFNA(index(PlayerValues!A:A,match(IFNA(vlookup(B4192,'Special Names'!A:B,2,FALSE),B4192),PlayerValues!E:E,0)),"N/A")</f>
        <v>17505</v>
      </c>
      <c r="B4192" s="4" t="s">
        <v>528</v>
      </c>
      <c r="C4192" s="4" t="s">
        <v>287</v>
      </c>
      <c r="D4192" s="94">
        <v>2675.0</v>
      </c>
    </row>
    <row r="4193">
      <c r="A4193" s="40">
        <f t="array" ref="A4193">IFNA(index(PlayerValues!A:A,match(IFNA(vlookup(B4193,'Special Names'!A:B,2,FALSE),B4193),PlayerValues!E:E,0)),"N/A")</f>
        <v>17507</v>
      </c>
      <c r="B4193" s="4" t="s">
        <v>495</v>
      </c>
      <c r="C4193" s="4" t="s">
        <v>287</v>
      </c>
      <c r="D4193" s="94">
        <v>2661.0</v>
      </c>
    </row>
    <row r="4194">
      <c r="A4194" s="40">
        <f t="array" ref="A4194">IFNA(index(PlayerValues!A:A,match(IFNA(vlookup(B4194,'Special Names'!A:B,2,FALSE),B4194),PlayerValues!E:E,0)),"N/A")</f>
        <v>14833</v>
      </c>
      <c r="B4194" s="4" t="s">
        <v>553</v>
      </c>
      <c r="C4194" s="4" t="s">
        <v>287</v>
      </c>
      <c r="D4194" s="94">
        <v>2647.0</v>
      </c>
    </row>
    <row r="4195">
      <c r="A4195" s="40">
        <f t="array" ref="A4195">IFNA(index(PlayerValues!A:A,match(IFNA(vlookup(B4195,'Special Names'!A:B,2,FALSE),B4195),PlayerValues!E:E,0)),"N/A")</f>
        <v>12186</v>
      </c>
      <c r="B4195" s="4" t="s">
        <v>497</v>
      </c>
      <c r="C4195" s="4" t="s">
        <v>287</v>
      </c>
      <c r="D4195" s="94">
        <v>2628.0</v>
      </c>
    </row>
    <row r="4196">
      <c r="A4196" s="40" t="str">
        <f t="array" ref="A4196">IFNA(index(PlayerValues!A:A,match(IFNA(vlookup(B4196,'Special Names'!A:B,2,FALSE),B4196),PlayerValues!E:E,0)),"N/A")</f>
        <v>N/A</v>
      </c>
      <c r="B4196" s="4" t="s">
        <v>110</v>
      </c>
      <c r="C4196" s="4" t="s">
        <v>325</v>
      </c>
      <c r="D4196" s="94">
        <v>2627.0</v>
      </c>
    </row>
    <row r="4197">
      <c r="A4197" s="40">
        <f t="array" ref="A4197">IFNA(index(PlayerValues!A:A,match(IFNA(vlookup(B4197,'Special Names'!A:B,2,FALSE),B4197),PlayerValues!E:E,0)),"N/A")</f>
        <v>14778</v>
      </c>
      <c r="B4197" s="4" t="s">
        <v>564</v>
      </c>
      <c r="C4197" s="4" t="s">
        <v>283</v>
      </c>
      <c r="D4197" s="94">
        <v>2626.0</v>
      </c>
    </row>
    <row r="4198">
      <c r="A4198" s="40">
        <f t="array" ref="A4198">IFNA(index(PlayerValues!A:A,match(IFNA(vlookup(B4198,'Special Names'!A:B,2,FALSE),B4198),PlayerValues!E:E,0)),"N/A")</f>
        <v>17046</v>
      </c>
      <c r="B4198" s="4" t="s">
        <v>602</v>
      </c>
      <c r="C4198" s="4" t="s">
        <v>278</v>
      </c>
      <c r="D4198" s="94">
        <v>2621.0</v>
      </c>
    </row>
    <row r="4199">
      <c r="A4199" s="40">
        <f t="array" ref="A4199">IFNA(index(PlayerValues!A:A,match(IFNA(vlookup(B4199,'Special Names'!A:B,2,FALSE),B4199),PlayerValues!E:E,0)),"N/A")</f>
        <v>16757</v>
      </c>
      <c r="B4199" s="4" t="s">
        <v>558</v>
      </c>
      <c r="C4199" s="4" t="s">
        <v>278</v>
      </c>
      <c r="D4199" s="94">
        <v>2611.0</v>
      </c>
    </row>
    <row r="4200">
      <c r="A4200" s="40">
        <f t="array" ref="A4200">IFNA(index(PlayerValues!A:A,match(IFNA(vlookup(B4200,'Special Names'!A:B,2,FALSE),B4200),PlayerValues!E:E,0)),"N/A")</f>
        <v>14138</v>
      </c>
      <c r="B4200" s="4" t="s">
        <v>531</v>
      </c>
      <c r="C4200" s="4" t="s">
        <v>298</v>
      </c>
      <c r="D4200" s="94">
        <v>3020.0</v>
      </c>
    </row>
    <row r="4201">
      <c r="A4201" s="40">
        <f t="array" ref="A4201">IFNA(index(PlayerValues!A:A,match(IFNA(vlookup(B4201,'Special Names'!A:B,2,FALSE),B4201),PlayerValues!E:E,0)),"N/A")</f>
        <v>13674</v>
      </c>
      <c r="B4201" s="4" t="s">
        <v>511</v>
      </c>
      <c r="C4201" s="4" t="s">
        <v>298</v>
      </c>
      <c r="D4201" s="94">
        <v>3014.0</v>
      </c>
    </row>
    <row r="4202">
      <c r="A4202" s="40">
        <f t="array" ref="A4202">IFNA(index(PlayerValues!A:A,match(IFNA(vlookup(B4202,'Special Names'!A:B,2,FALSE),B4202),PlayerValues!E:E,0)),"N/A")</f>
        <v>15721</v>
      </c>
      <c r="B4202" s="4" t="s">
        <v>504</v>
      </c>
      <c r="C4202" s="4" t="s">
        <v>278</v>
      </c>
      <c r="D4202" s="94">
        <v>2585.0</v>
      </c>
    </row>
    <row r="4203">
      <c r="A4203" s="40" t="str">
        <f t="array" ref="A4203">IFNA(index(PlayerValues!A:A,match(IFNA(vlookup(B4203,'Special Names'!A:B,2,FALSE),B4203),PlayerValues!E:E,0)),"N/A")</f>
        <v>N/A</v>
      </c>
      <c r="B4203" s="4" t="s">
        <v>557</v>
      </c>
      <c r="C4203" s="4" t="s">
        <v>278</v>
      </c>
      <c r="D4203" s="94">
        <v>2579.0</v>
      </c>
    </row>
    <row r="4204">
      <c r="A4204" s="40">
        <f t="array" ref="A4204">IFNA(index(PlayerValues!A:A,match(IFNA(vlookup(B4204,'Special Names'!A:B,2,FALSE),B4204),PlayerValues!E:E,0)),"N/A")</f>
        <v>17108</v>
      </c>
      <c r="B4204" s="4" t="s">
        <v>542</v>
      </c>
      <c r="C4204" s="4" t="s">
        <v>298</v>
      </c>
      <c r="D4204" s="94">
        <v>2988.0</v>
      </c>
    </row>
    <row r="4205">
      <c r="A4205" s="40">
        <f t="array" ref="A4205">IFNA(index(PlayerValues!A:A,match(IFNA(vlookup(B4205,'Special Names'!A:B,2,FALSE),B4205),PlayerValues!E:E,0)),"N/A")</f>
        <v>13192</v>
      </c>
      <c r="B4205" s="4" t="s">
        <v>563</v>
      </c>
      <c r="C4205" s="4" t="s">
        <v>298</v>
      </c>
      <c r="D4205" s="94">
        <v>2964.0</v>
      </c>
    </row>
    <row r="4206">
      <c r="A4206" s="40">
        <f t="array" ref="A4206">IFNA(index(PlayerValues!A:A,match(IFNA(vlookup(B4206,'Special Names'!A:B,2,FALSE),B4206),PlayerValues!E:E,0)),"N/A")</f>
        <v>16287</v>
      </c>
      <c r="B4206" s="4" t="s">
        <v>516</v>
      </c>
      <c r="C4206" s="4" t="s">
        <v>287</v>
      </c>
      <c r="D4206" s="94">
        <v>2541.0</v>
      </c>
    </row>
    <row r="4207">
      <c r="A4207" s="40">
        <f t="array" ref="A4207">IFNA(index(PlayerValues!A:A,match(IFNA(vlookup(B4207,'Special Names'!A:B,2,FALSE),B4207),PlayerValues!E:E,0)),"N/A")</f>
        <v>17464</v>
      </c>
      <c r="B4207" s="4" t="s">
        <v>828</v>
      </c>
      <c r="C4207" s="4" t="s">
        <v>283</v>
      </c>
      <c r="D4207" s="94">
        <v>2540.0</v>
      </c>
    </row>
    <row r="4208">
      <c r="A4208" s="40">
        <f t="array" ref="A4208">IFNA(index(PlayerValues!A:A,match(IFNA(vlookup(B4208,'Special Names'!A:B,2,FALSE),B4208),PlayerValues!E:E,0)),"N/A")</f>
        <v>16166</v>
      </c>
      <c r="B4208" s="4" t="s">
        <v>567</v>
      </c>
      <c r="C4208" s="4" t="s">
        <v>278</v>
      </c>
      <c r="D4208" s="94">
        <v>2537.0</v>
      </c>
    </row>
    <row r="4209">
      <c r="A4209" s="40">
        <f t="array" ref="A4209">IFNA(index(PlayerValues!A:A,match(IFNA(vlookup(B4209,'Special Names'!A:B,2,FALSE),B4209),PlayerValues!E:E,0)),"N/A")</f>
        <v>14136</v>
      </c>
      <c r="B4209" s="4" t="s">
        <v>536</v>
      </c>
      <c r="C4209" s="4" t="s">
        <v>287</v>
      </c>
      <c r="D4209" s="94">
        <v>2532.0</v>
      </c>
    </row>
    <row r="4210">
      <c r="A4210" s="40">
        <f t="array" ref="A4210">IFNA(index(PlayerValues!A:A,match(IFNA(vlookup(B4210,'Special Names'!A:B,2,FALSE),B4210),PlayerValues!E:E,0)),"N/A")</f>
        <v>13671</v>
      </c>
      <c r="B4210" s="4" t="s">
        <v>506</v>
      </c>
      <c r="C4210" s="4" t="s">
        <v>298</v>
      </c>
      <c r="D4210" s="94">
        <v>2939.0</v>
      </c>
    </row>
    <row r="4211">
      <c r="A4211" s="40">
        <f t="array" ref="A4211">IFNA(index(PlayerValues!A:A,match(IFNA(vlookup(B4211,'Special Names'!A:B,2,FALSE),B4211),PlayerValues!E:E,0)),"N/A")</f>
        <v>17078</v>
      </c>
      <c r="B4211" s="4" t="s">
        <v>543</v>
      </c>
      <c r="C4211" s="4" t="s">
        <v>287</v>
      </c>
      <c r="D4211" s="94">
        <v>2489.0</v>
      </c>
    </row>
    <row r="4212">
      <c r="A4212" s="40">
        <f t="array" ref="A4212">IFNA(index(PlayerValues!A:A,match(IFNA(vlookup(B4212,'Special Names'!A:B,2,FALSE),B4212),PlayerValues!E:E,0)),"N/A")</f>
        <v>15972</v>
      </c>
      <c r="B4212" s="4" t="s">
        <v>469</v>
      </c>
      <c r="C4212" s="4" t="s">
        <v>278</v>
      </c>
      <c r="D4212" s="94">
        <v>2485.0</v>
      </c>
    </row>
    <row r="4213">
      <c r="A4213" s="40">
        <f t="array" ref="A4213">IFNA(index(PlayerValues!A:A,match(IFNA(vlookup(B4213,'Special Names'!A:B,2,FALSE),B4213),PlayerValues!E:E,0)),"N/A")</f>
        <v>17509</v>
      </c>
      <c r="B4213" s="4" t="s">
        <v>551</v>
      </c>
      <c r="C4213" s="4" t="s">
        <v>287</v>
      </c>
      <c r="D4213" s="94">
        <v>2482.0</v>
      </c>
    </row>
    <row r="4214">
      <c r="A4214" s="40">
        <f t="array" ref="A4214">IFNA(index(PlayerValues!A:A,match(IFNA(vlookup(B4214,'Special Names'!A:B,2,FALSE),B4214),PlayerValues!E:E,0)),"N/A")</f>
        <v>17474</v>
      </c>
      <c r="B4214" s="4" t="s">
        <v>513</v>
      </c>
      <c r="C4214" s="4" t="s">
        <v>278</v>
      </c>
      <c r="D4214" s="94">
        <v>2474.0</v>
      </c>
    </row>
    <row r="4215">
      <c r="A4215" s="40">
        <f t="array" ref="A4215">IFNA(index(PlayerValues!A:A,match(IFNA(vlookup(B4215,'Special Names'!A:B,2,FALSE),B4215),PlayerValues!E:E,0)),"N/A")</f>
        <v>16164</v>
      </c>
      <c r="B4215" s="4" t="s">
        <v>512</v>
      </c>
      <c r="C4215" s="4" t="s">
        <v>278</v>
      </c>
      <c r="D4215" s="94">
        <v>2474.0</v>
      </c>
    </row>
    <row r="4216">
      <c r="A4216" s="40">
        <f t="array" ref="A4216">IFNA(index(PlayerValues!A:A,match(IFNA(vlookup(B4216,'Special Names'!A:B,2,FALSE),B4216),PlayerValues!E:E,0)),"N/A")</f>
        <v>16617</v>
      </c>
      <c r="B4216" s="4" t="s">
        <v>541</v>
      </c>
      <c r="C4216" s="4" t="s">
        <v>287</v>
      </c>
      <c r="D4216" s="94">
        <v>2470.0</v>
      </c>
    </row>
    <row r="4217">
      <c r="A4217" s="40">
        <f t="array" ref="A4217">IFNA(index(PlayerValues!A:A,match(IFNA(vlookup(B4217,'Special Names'!A:B,2,FALSE),B4217),PlayerValues!E:E,0)),"N/A")</f>
        <v>16189</v>
      </c>
      <c r="B4217" s="4" t="s">
        <v>582</v>
      </c>
      <c r="C4217" s="4" t="s">
        <v>287</v>
      </c>
      <c r="D4217" s="94">
        <v>2468.0</v>
      </c>
    </row>
    <row r="4218">
      <c r="A4218" s="40" t="str">
        <f t="array" ref="A4218">IFNA(index(PlayerValues!A:A,match(IFNA(vlookup(B4218,'Special Names'!A:B,2,FALSE),B4218),PlayerValues!E:E,0)),"N/A")</f>
        <v>N/A</v>
      </c>
      <c r="B4218" s="4" t="s">
        <v>98</v>
      </c>
      <c r="C4218" s="4" t="s">
        <v>325</v>
      </c>
      <c r="D4218" s="94">
        <v>2453.0</v>
      </c>
    </row>
    <row r="4219">
      <c r="A4219" s="40">
        <f t="array" ref="A4219">IFNA(index(PlayerValues!A:A,match(IFNA(vlookup(B4219,'Special Names'!A:B,2,FALSE),B4219),PlayerValues!E:E,0)),"N/A")</f>
        <v>16152</v>
      </c>
      <c r="B4219" s="4" t="s">
        <v>601</v>
      </c>
      <c r="C4219" s="4" t="s">
        <v>283</v>
      </c>
      <c r="D4219" s="94">
        <v>2430.0</v>
      </c>
    </row>
    <row r="4220">
      <c r="A4220" s="40">
        <f t="array" ref="A4220">IFNA(index(PlayerValues!A:A,match(IFNA(vlookup(B4220,'Special Names'!A:B,2,FALSE),B4220),PlayerValues!E:E,0)),"N/A")</f>
        <v>12616</v>
      </c>
      <c r="B4220" s="4" t="s">
        <v>529</v>
      </c>
      <c r="C4220" s="4" t="s">
        <v>283</v>
      </c>
      <c r="D4220" s="94">
        <v>2427.0</v>
      </c>
    </row>
    <row r="4221">
      <c r="A4221" s="40">
        <f t="array" ref="A4221">IFNA(index(PlayerValues!A:A,match(IFNA(vlookup(B4221,'Special Names'!A:B,2,FALSE),B4221),PlayerValues!E:E,0)),"N/A")</f>
        <v>16204</v>
      </c>
      <c r="B4221" s="4" t="s">
        <v>530</v>
      </c>
      <c r="C4221" s="4" t="s">
        <v>287</v>
      </c>
      <c r="D4221" s="94">
        <v>2411.0</v>
      </c>
    </row>
    <row r="4222">
      <c r="A4222" s="40">
        <f t="array" ref="A4222">IFNA(index(PlayerValues!A:A,match(IFNA(vlookup(B4222,'Special Names'!A:B,2,FALSE),B4222),PlayerValues!E:E,0)),"N/A")</f>
        <v>17506</v>
      </c>
      <c r="B4222" s="4" t="s">
        <v>471</v>
      </c>
      <c r="C4222" s="4" t="s">
        <v>287</v>
      </c>
      <c r="D4222" s="94">
        <v>2398.0</v>
      </c>
    </row>
    <row r="4223">
      <c r="A4223" s="40">
        <f t="array" ref="A4223">IFNA(index(PlayerValues!A:A,match(IFNA(vlookup(B4223,'Special Names'!A:B,2,FALSE),B4223),PlayerValues!E:E,0)),"N/A")</f>
        <v>12676</v>
      </c>
      <c r="B4223" s="4" t="s">
        <v>537</v>
      </c>
      <c r="C4223" s="4" t="s">
        <v>298</v>
      </c>
      <c r="D4223" s="94">
        <v>2792.0</v>
      </c>
    </row>
    <row r="4224">
      <c r="A4224" s="40">
        <f t="array" ref="A4224">IFNA(index(PlayerValues!A:A,match(IFNA(vlookup(B4224,'Special Names'!A:B,2,FALSE),B4224),PlayerValues!E:E,0)),"N/A")</f>
        <v>17033</v>
      </c>
      <c r="B4224" s="4" t="s">
        <v>570</v>
      </c>
      <c r="C4224" s="4" t="s">
        <v>283</v>
      </c>
      <c r="D4224" s="94">
        <v>2383.0</v>
      </c>
    </row>
    <row r="4225">
      <c r="A4225" s="40" t="str">
        <f t="array" ref="A4225">IFNA(index(PlayerValues!A:A,match(IFNA(vlookup(B4225,'Special Names'!A:B,2,FALSE),B4225),PlayerValues!E:E,0)),"N/A")</f>
        <v>N/A</v>
      </c>
      <c r="B4225" s="4" t="s">
        <v>86</v>
      </c>
      <c r="C4225" s="4" t="s">
        <v>325</v>
      </c>
      <c r="D4225" s="94">
        <v>2364.0</v>
      </c>
    </row>
    <row r="4226">
      <c r="A4226" s="40">
        <f t="array" ref="A4226">IFNA(index(PlayerValues!A:A,match(IFNA(vlookup(B4226,'Special Names'!A:B,2,FALSE),B4226),PlayerValues!E:E,0)),"N/A")</f>
        <v>16610</v>
      </c>
      <c r="B4226" s="4" t="s">
        <v>562</v>
      </c>
      <c r="C4226" s="4" t="s">
        <v>278</v>
      </c>
      <c r="D4226" s="94">
        <v>2358.0</v>
      </c>
    </row>
    <row r="4227">
      <c r="A4227" s="40">
        <f t="array" ref="A4227">IFNA(index(PlayerValues!A:A,match(IFNA(vlookup(B4227,'Special Names'!A:B,2,FALSE),B4227),PlayerValues!E:E,0)),"N/A")</f>
        <v>15716</v>
      </c>
      <c r="B4227" s="4" t="s">
        <v>545</v>
      </c>
      <c r="C4227" s="4" t="s">
        <v>278</v>
      </c>
      <c r="D4227" s="94">
        <v>2355.0</v>
      </c>
    </row>
    <row r="4228">
      <c r="A4228" s="40">
        <f t="array" ref="A4228">IFNA(index(PlayerValues!A:A,match(IFNA(vlookup(B4228,'Special Names'!A:B,2,FALSE),B4228),PlayerValues!E:E,0)),"N/A")</f>
        <v>14861</v>
      </c>
      <c r="B4228" s="4" t="s">
        <v>523</v>
      </c>
      <c r="C4228" s="4" t="s">
        <v>298</v>
      </c>
      <c r="D4228" s="94">
        <v>2746.0</v>
      </c>
    </row>
    <row r="4229">
      <c r="A4229" s="40">
        <f t="array" ref="A4229">IFNA(index(PlayerValues!A:A,match(IFNA(vlookup(B4229,'Special Names'!A:B,2,FALSE),B4229),PlayerValues!E:E,0)),"N/A")</f>
        <v>13132</v>
      </c>
      <c r="B4229" s="4" t="s">
        <v>598</v>
      </c>
      <c r="C4229" s="4" t="s">
        <v>278</v>
      </c>
      <c r="D4229" s="94">
        <v>2346.0</v>
      </c>
    </row>
    <row r="4230">
      <c r="A4230" s="40">
        <f t="array" ref="A4230">IFNA(index(PlayerValues!A:A,match(IFNA(vlookup(B4230,'Special Names'!A:B,2,FALSE),B4230),PlayerValues!E:E,0)),"N/A")</f>
        <v>13772</v>
      </c>
      <c r="B4230" s="4" t="s">
        <v>544</v>
      </c>
      <c r="C4230" s="4" t="s">
        <v>298</v>
      </c>
      <c r="D4230" s="94">
        <v>2742.0</v>
      </c>
    </row>
    <row r="4231">
      <c r="A4231" s="40">
        <f t="array" ref="A4231">IFNA(index(PlayerValues!A:A,match(IFNA(vlookup(B4231,'Special Names'!A:B,2,FALSE),B4231),PlayerValues!E:E,0)),"N/A")</f>
        <v>16178</v>
      </c>
      <c r="B4231" s="4" t="s">
        <v>507</v>
      </c>
      <c r="C4231" s="4" t="s">
        <v>278</v>
      </c>
      <c r="D4231" s="94">
        <v>2339.0</v>
      </c>
    </row>
    <row r="4232">
      <c r="A4232" s="40">
        <f t="array" ref="A4232">IFNA(index(PlayerValues!A:A,match(IFNA(vlookup(B4232,'Special Names'!A:B,2,FALSE),B4232),PlayerValues!E:E,0)),"N/A")</f>
        <v>17079</v>
      </c>
      <c r="B4232" s="4" t="s">
        <v>572</v>
      </c>
      <c r="C4232" s="4" t="s">
        <v>287</v>
      </c>
      <c r="D4232" s="94">
        <v>2334.0</v>
      </c>
    </row>
    <row r="4233">
      <c r="A4233" s="40">
        <f t="array" ref="A4233">IFNA(index(PlayerValues!A:A,match(IFNA(vlookup(B4233,'Special Names'!A:B,2,FALSE),B4233),PlayerValues!E:E,0)),"N/A")</f>
        <v>17105</v>
      </c>
      <c r="B4233" s="4" t="s">
        <v>525</v>
      </c>
      <c r="C4233" s="4" t="s">
        <v>298</v>
      </c>
      <c r="D4233" s="94">
        <v>2733.0</v>
      </c>
    </row>
    <row r="4234">
      <c r="A4234" s="40" t="str">
        <f t="array" ref="A4234">IFNA(index(PlayerValues!A:A,match(IFNA(vlookup(B4234,'Special Names'!A:B,2,FALSE),B4234),PlayerValues!E:E,0)),"N/A")</f>
        <v>N/A</v>
      </c>
      <c r="B4234" s="4" t="s">
        <v>99</v>
      </c>
      <c r="C4234" s="4" t="s">
        <v>325</v>
      </c>
      <c r="D4234" s="94">
        <v>2325.0</v>
      </c>
    </row>
    <row r="4235">
      <c r="A4235" s="40">
        <f t="array" ref="A4235">IFNA(index(PlayerValues!A:A,match(IFNA(vlookup(B4235,'Special Names'!A:B,2,FALSE),B4235),PlayerValues!E:E,0)),"N/A")</f>
        <v>15802</v>
      </c>
      <c r="B4235" s="4" t="s">
        <v>566</v>
      </c>
      <c r="C4235" s="4" t="s">
        <v>298</v>
      </c>
      <c r="D4235" s="94">
        <v>2722.0</v>
      </c>
    </row>
    <row r="4236">
      <c r="A4236" s="40">
        <f t="array" ref="A4236">IFNA(index(PlayerValues!A:A,match(IFNA(vlookup(B4236,'Special Names'!A:B,2,FALSE),B4236),PlayerValues!E:E,0)),"N/A")</f>
        <v>17049</v>
      </c>
      <c r="B4236" s="4" t="s">
        <v>624</v>
      </c>
      <c r="C4236" s="4" t="s">
        <v>278</v>
      </c>
      <c r="D4236" s="94">
        <v>2307.0</v>
      </c>
    </row>
    <row r="4237">
      <c r="A4237" s="40">
        <f t="array" ref="A4237">IFNA(index(PlayerValues!A:A,match(IFNA(vlookup(B4237,'Special Names'!A:B,2,FALSE),B4237),PlayerValues!E:E,0)),"N/A")</f>
        <v>12801</v>
      </c>
      <c r="B4237" s="4" t="s">
        <v>722</v>
      </c>
      <c r="C4237" s="4" t="s">
        <v>287</v>
      </c>
      <c r="D4237" s="94">
        <v>2303.0</v>
      </c>
    </row>
    <row r="4238">
      <c r="A4238" s="40">
        <f t="array" ref="A4238">IFNA(index(PlayerValues!A:A,match(IFNA(vlookup(B4238,'Special Names'!A:B,2,FALSE),B4238),PlayerValues!E:E,0)),"N/A")</f>
        <v>16212</v>
      </c>
      <c r="B4238" s="4" t="s">
        <v>568</v>
      </c>
      <c r="C4238" s="4" t="s">
        <v>298</v>
      </c>
      <c r="D4238" s="94">
        <v>2686.0</v>
      </c>
    </row>
    <row r="4239">
      <c r="A4239" s="40">
        <f t="array" ref="A4239">IFNA(index(PlayerValues!A:A,match(IFNA(vlookup(B4239,'Special Names'!A:B,2,FALSE),B4239),PlayerValues!E:E,0)),"N/A")</f>
        <v>16171</v>
      </c>
      <c r="B4239" s="4" t="s">
        <v>618</v>
      </c>
      <c r="C4239" s="4" t="s">
        <v>278</v>
      </c>
      <c r="D4239" s="94">
        <v>2282.0</v>
      </c>
    </row>
    <row r="4240">
      <c r="A4240" s="40">
        <f t="array" ref="A4240">IFNA(index(PlayerValues!A:A,match(IFNA(vlookup(B4240,'Special Names'!A:B,2,FALSE),B4240),PlayerValues!E:E,0)),"N/A")</f>
        <v>17076</v>
      </c>
      <c r="B4240" s="4" t="s">
        <v>585</v>
      </c>
      <c r="C4240" s="4" t="s">
        <v>287</v>
      </c>
      <c r="D4240" s="94">
        <v>2250.0</v>
      </c>
    </row>
    <row r="4241">
      <c r="A4241" s="40">
        <f t="array" ref="A4241">IFNA(index(PlayerValues!A:A,match(IFNA(vlookup(B4241,'Special Names'!A:B,2,FALSE),B4241),PlayerValues!E:E,0)),"N/A")</f>
        <v>16195</v>
      </c>
      <c r="B4241" s="4" t="s">
        <v>509</v>
      </c>
      <c r="C4241" s="4" t="s">
        <v>287</v>
      </c>
      <c r="D4241" s="94">
        <v>2232.0</v>
      </c>
    </row>
    <row r="4242">
      <c r="A4242" s="40">
        <f t="array" ref="A4242">IFNA(index(PlayerValues!A:A,match(IFNA(vlookup(B4242,'Special Names'!A:B,2,FALSE),B4242),PlayerValues!E:E,0)),"N/A")</f>
        <v>16342</v>
      </c>
      <c r="B4242" s="4" t="s">
        <v>583</v>
      </c>
      <c r="C4242" s="4" t="s">
        <v>287</v>
      </c>
      <c r="D4242" s="94">
        <v>2225.0</v>
      </c>
    </row>
    <row r="4243">
      <c r="A4243" s="40">
        <f t="array" ref="A4243">IFNA(index(PlayerValues!A:A,match(IFNA(vlookup(B4243,'Special Names'!A:B,2,FALSE),B4243),PlayerValues!E:E,0)),"N/A")</f>
        <v>17478</v>
      </c>
      <c r="B4243" s="4" t="s">
        <v>527</v>
      </c>
      <c r="C4243" s="4" t="s">
        <v>278</v>
      </c>
      <c r="D4243" s="94">
        <v>2215.0</v>
      </c>
    </row>
    <row r="4244">
      <c r="A4244" s="40">
        <f t="array" ref="A4244">IFNA(index(PlayerValues!A:A,match(IFNA(vlookup(B4244,'Special Names'!A:B,2,FALSE),B4244),PlayerValues!E:E,0)),"N/A")</f>
        <v>17544</v>
      </c>
      <c r="B4244" s="4" t="s">
        <v>470</v>
      </c>
      <c r="C4244" s="4" t="s">
        <v>298</v>
      </c>
      <c r="D4244" s="94">
        <v>2605.0</v>
      </c>
    </row>
    <row r="4245">
      <c r="A4245" s="40">
        <f t="array" ref="A4245">IFNA(index(PlayerValues!A:A,match(IFNA(vlookup(B4245,'Special Names'!A:B,2,FALSE),B4245),PlayerValues!E:E,0)),"N/A")</f>
        <v>16639</v>
      </c>
      <c r="B4245" s="4" t="s">
        <v>599</v>
      </c>
      <c r="C4245" s="4" t="s">
        <v>287</v>
      </c>
      <c r="D4245" s="94">
        <v>2207.0</v>
      </c>
    </row>
    <row r="4246">
      <c r="A4246" s="40">
        <f t="array" ref="A4246">IFNA(index(PlayerValues!A:A,match(IFNA(vlookup(B4246,'Special Names'!A:B,2,FALSE),B4246),PlayerValues!E:E,0)),"N/A")</f>
        <v>17034</v>
      </c>
      <c r="B4246" s="4" t="s">
        <v>643</v>
      </c>
      <c r="C4246" s="4" t="s">
        <v>283</v>
      </c>
      <c r="D4246" s="94">
        <v>2197.0</v>
      </c>
    </row>
    <row r="4247">
      <c r="A4247" s="40" t="str">
        <f t="array" ref="A4247">IFNA(index(PlayerValues!A:A,match(IFNA(vlookup(B4247,'Special Names'!A:B,2,FALSE),B4247),PlayerValues!E:E,0)),"N/A")</f>
        <v>N/A</v>
      </c>
      <c r="B4247" s="4" t="s">
        <v>100</v>
      </c>
      <c r="C4247" s="4" t="s">
        <v>325</v>
      </c>
      <c r="D4247" s="94">
        <v>2192.0</v>
      </c>
    </row>
    <row r="4248">
      <c r="A4248" s="40">
        <f t="array" ref="A4248">IFNA(index(PlayerValues!A:A,match(IFNA(vlookup(B4248,'Special Names'!A:B,2,FALSE),B4248),PlayerValues!E:E,0)),"N/A")</f>
        <v>13319</v>
      </c>
      <c r="B4248" s="4" t="s">
        <v>549</v>
      </c>
      <c r="C4248" s="4" t="s">
        <v>278</v>
      </c>
      <c r="D4248" s="94">
        <v>2190.0</v>
      </c>
    </row>
    <row r="4249">
      <c r="A4249" s="40" t="str">
        <f t="array" ref="A4249">IFNA(index(PlayerValues!A:A,match(IFNA(vlookup(B4249,'Special Names'!A:B,2,FALSE),B4249),PlayerValues!E:E,0)),"N/A")</f>
        <v>N/A</v>
      </c>
      <c r="B4249" s="4" t="s">
        <v>87</v>
      </c>
      <c r="C4249" s="4" t="s">
        <v>325</v>
      </c>
      <c r="D4249" s="94">
        <v>2189.0</v>
      </c>
    </row>
    <row r="4250">
      <c r="A4250" s="40">
        <f t="array" ref="A4250">IFNA(index(PlayerValues!A:A,match(IFNA(vlookup(B4250,'Special Names'!A:B,2,FALSE),B4250),PlayerValues!E:E,0)),"N/A")</f>
        <v>16036</v>
      </c>
      <c r="B4250" s="4" t="s">
        <v>592</v>
      </c>
      <c r="C4250" s="4" t="s">
        <v>298</v>
      </c>
      <c r="D4250" s="94">
        <v>2573.0</v>
      </c>
    </row>
    <row r="4251">
      <c r="A4251" s="40">
        <f t="array" ref="A4251">IFNA(index(PlayerValues!A:A,match(IFNA(vlookup(B4251,'Special Names'!A:B,2,FALSE),B4251),PlayerValues!E:E,0)),"N/A")</f>
        <v>17069</v>
      </c>
      <c r="B4251" s="4" t="s">
        <v>604</v>
      </c>
      <c r="C4251" s="4" t="s">
        <v>278</v>
      </c>
      <c r="D4251" s="94">
        <v>2176.0</v>
      </c>
    </row>
    <row r="4252">
      <c r="A4252" s="40">
        <f t="array" ref="A4252">IFNA(index(PlayerValues!A:A,match(IFNA(vlookup(B4252,'Special Names'!A:B,2,FALSE),B4252),PlayerValues!E:E,0)),"N/A")</f>
        <v>15889</v>
      </c>
      <c r="B4252" s="4" t="s">
        <v>503</v>
      </c>
      <c r="C4252" s="4" t="s">
        <v>298</v>
      </c>
      <c r="D4252" s="94">
        <v>2566.0</v>
      </c>
    </row>
    <row r="4253">
      <c r="A4253" s="40">
        <f t="array" ref="A4253">IFNA(index(PlayerValues!A:A,match(IFNA(vlookup(B4253,'Special Names'!A:B,2,FALSE),B4253),PlayerValues!E:E,0)),"N/A")</f>
        <v>16684</v>
      </c>
      <c r="B4253" s="4" t="s">
        <v>500</v>
      </c>
      <c r="C4253" s="4" t="s">
        <v>287</v>
      </c>
      <c r="D4253" s="94">
        <v>2173.0</v>
      </c>
    </row>
    <row r="4254">
      <c r="A4254" s="40">
        <f t="array" ref="A4254">IFNA(index(PlayerValues!A:A,match(IFNA(vlookup(B4254,'Special Names'!A:B,2,FALSE),B4254),PlayerValues!E:E,0)),"N/A")</f>
        <v>17503</v>
      </c>
      <c r="B4254" s="4" t="s">
        <v>480</v>
      </c>
      <c r="C4254" s="4" t="s">
        <v>287</v>
      </c>
      <c r="D4254" s="94">
        <v>2157.0</v>
      </c>
    </row>
    <row r="4255">
      <c r="A4255" s="40">
        <f t="array" ref="A4255">IFNA(index(PlayerValues!A:A,match(IFNA(vlookup(B4255,'Special Names'!A:B,2,FALSE),B4255),PlayerValues!E:E,0)),"N/A")</f>
        <v>15749</v>
      </c>
      <c r="B4255" s="4" t="s">
        <v>574</v>
      </c>
      <c r="C4255" s="4" t="s">
        <v>278</v>
      </c>
      <c r="D4255" s="94">
        <v>2137.0</v>
      </c>
    </row>
    <row r="4256">
      <c r="A4256" s="40">
        <f t="array" ref="A4256">IFNA(index(PlayerValues!A:A,match(IFNA(vlookup(B4256,'Special Names'!A:B,2,FALSE),B4256),PlayerValues!E:E,0)),"N/A")</f>
        <v>16752</v>
      </c>
      <c r="B4256" s="4" t="s">
        <v>597</v>
      </c>
      <c r="C4256" s="4" t="s">
        <v>278</v>
      </c>
      <c r="D4256" s="94">
        <v>2128.0</v>
      </c>
    </row>
    <row r="4257">
      <c r="A4257" s="40">
        <f t="array" ref="A4257">IFNA(index(PlayerValues!A:A,match(IFNA(vlookup(B4257,'Special Names'!A:B,2,FALSE),B4257),PlayerValues!E:E,0)),"N/A")</f>
        <v>14871</v>
      </c>
      <c r="B4257" s="4" t="s">
        <v>584</v>
      </c>
      <c r="C4257" s="4" t="s">
        <v>298</v>
      </c>
      <c r="D4257" s="94">
        <v>2513.0</v>
      </c>
    </row>
    <row r="4258">
      <c r="A4258" s="40" t="str">
        <f t="array" ref="A4258">IFNA(index(PlayerValues!A:A,match(IFNA(vlookup(B4258,'Special Names'!A:B,2,FALSE),B4258),PlayerValues!E:E,0)),"N/A")</f>
        <v>N/A</v>
      </c>
      <c r="B4258" s="4" t="s">
        <v>112</v>
      </c>
      <c r="C4258" s="4" t="s">
        <v>325</v>
      </c>
      <c r="D4258" s="94">
        <v>2121.0</v>
      </c>
    </row>
    <row r="4259">
      <c r="A4259" s="40">
        <f t="array" ref="A4259">IFNA(index(PlayerValues!A:A,match(IFNA(vlookup(B4259,'Special Names'!A:B,2,FALSE),B4259),PlayerValues!E:E,0)),"N/A")</f>
        <v>16191</v>
      </c>
      <c r="B4259" s="4" t="s">
        <v>666</v>
      </c>
      <c r="C4259" s="4" t="s">
        <v>287</v>
      </c>
      <c r="D4259" s="94">
        <v>2111.0</v>
      </c>
    </row>
    <row r="4260">
      <c r="A4260" s="40">
        <f t="array" ref="A4260">IFNA(index(PlayerValues!A:A,match(IFNA(vlookup(B4260,'Special Names'!A:B,2,FALSE),B4260),PlayerValues!E:E,0)),"N/A")</f>
        <v>17087</v>
      </c>
      <c r="B4260" s="4" t="s">
        <v>600</v>
      </c>
      <c r="C4260" s="4" t="s">
        <v>287</v>
      </c>
      <c r="D4260" s="94">
        <v>2110.0</v>
      </c>
    </row>
    <row r="4261">
      <c r="A4261" s="40">
        <f t="array" ref="A4261">IFNA(index(PlayerValues!A:A,match(IFNA(vlookup(B4261,'Special Names'!A:B,2,FALSE),B4261),PlayerValues!E:E,0)),"N/A")</f>
        <v>16644</v>
      </c>
      <c r="B4261" s="4" t="s">
        <v>640</v>
      </c>
      <c r="C4261" s="4" t="s">
        <v>298</v>
      </c>
      <c r="D4261" s="94">
        <v>2500.0</v>
      </c>
    </row>
    <row r="4262">
      <c r="A4262" s="40">
        <f t="array" ref="A4262">IFNA(index(PlayerValues!A:A,match(IFNA(vlookup(B4262,'Special Names'!A:B,2,FALSE),B4262),PlayerValues!E:E,0)),"N/A")</f>
        <v>16432</v>
      </c>
      <c r="B4262" s="4" t="s">
        <v>620</v>
      </c>
      <c r="C4262" s="4" t="s">
        <v>278</v>
      </c>
      <c r="D4262" s="94">
        <v>2101.0</v>
      </c>
    </row>
    <row r="4263">
      <c r="A4263" s="40">
        <f t="array" ref="A4263">IFNA(index(PlayerValues!A:A,match(IFNA(vlookup(B4263,'Special Names'!A:B,2,FALSE),B4263),PlayerValues!E:E,0)),"N/A")</f>
        <v>14867</v>
      </c>
      <c r="B4263" s="4" t="s">
        <v>591</v>
      </c>
      <c r="C4263" s="4" t="s">
        <v>298</v>
      </c>
      <c r="D4263" s="94">
        <v>2480.0</v>
      </c>
    </row>
    <row r="4264">
      <c r="A4264" s="40" t="str">
        <f t="array" ref="A4264">IFNA(index(PlayerValues!A:A,match(IFNA(vlookup(B4264,'Special Names'!A:B,2,FALSE),B4264),PlayerValues!E:E,0)),"N/A")</f>
        <v>N/A</v>
      </c>
      <c r="B4264" s="4" t="s">
        <v>88</v>
      </c>
      <c r="C4264" s="4" t="s">
        <v>325</v>
      </c>
      <c r="D4264" s="94">
        <v>2085.0</v>
      </c>
    </row>
    <row r="4265">
      <c r="A4265" s="40">
        <f t="array" ref="A4265">IFNA(index(PlayerValues!A:A,match(IFNA(vlookup(B4265,'Special Names'!A:B,2,FALSE),B4265),PlayerValues!E:E,0)),"N/A")</f>
        <v>16643</v>
      </c>
      <c r="B4265" s="4" t="s">
        <v>609</v>
      </c>
      <c r="C4265" s="4" t="s">
        <v>298</v>
      </c>
      <c r="D4265" s="94">
        <v>2474.0</v>
      </c>
    </row>
    <row r="4266">
      <c r="A4266" s="40">
        <f t="array" ref="A4266">IFNA(index(PlayerValues!A:A,match(IFNA(vlookup(B4266,'Special Names'!A:B,2,FALSE),B4266),PlayerValues!E:E,0)),"N/A")</f>
        <v>16174</v>
      </c>
      <c r="B4266" s="4" t="s">
        <v>505</v>
      </c>
      <c r="C4266" s="4" t="s">
        <v>278</v>
      </c>
      <c r="D4266" s="94">
        <v>2081.0</v>
      </c>
    </row>
    <row r="4267">
      <c r="A4267" s="40">
        <f t="array" ref="A4267">IFNA(index(PlayerValues!A:A,match(IFNA(vlookup(B4267,'Special Names'!A:B,2,FALSE),B4267),PlayerValues!E:E,0)),"N/A")</f>
        <v>17482</v>
      </c>
      <c r="B4267" s="4" t="s">
        <v>460</v>
      </c>
      <c r="C4267" s="4" t="s">
        <v>278</v>
      </c>
      <c r="D4267" s="94">
        <v>2072.0</v>
      </c>
    </row>
    <row r="4268">
      <c r="A4268" s="40">
        <f t="array" ref="A4268">IFNA(index(PlayerValues!A:A,match(IFNA(vlookup(B4268,'Special Names'!A:B,2,FALSE),B4268),PlayerValues!E:E,0)),"N/A")</f>
        <v>15238</v>
      </c>
      <c r="B4268" s="4" t="s">
        <v>613</v>
      </c>
      <c r="C4268" s="4" t="s">
        <v>283</v>
      </c>
      <c r="D4268" s="94">
        <v>2058.0</v>
      </c>
    </row>
    <row r="4269">
      <c r="A4269" s="40">
        <f t="array" ref="A4269">IFNA(index(PlayerValues!A:A,match(IFNA(vlookup(B4269,'Special Names'!A:B,2,FALSE),B4269),PlayerValues!E:E,0)),"N/A")</f>
        <v>15331</v>
      </c>
      <c r="B4269" s="4" t="s">
        <v>560</v>
      </c>
      <c r="C4269" s="4" t="s">
        <v>298</v>
      </c>
      <c r="D4269" s="94">
        <v>2423.0</v>
      </c>
    </row>
    <row r="4270">
      <c r="A4270" s="40">
        <f t="array" ref="A4270">IFNA(index(PlayerValues!A:A,match(IFNA(vlookup(B4270,'Special Names'!A:B,2,FALSE),B4270),PlayerValues!E:E,0)),"N/A")</f>
        <v>17517</v>
      </c>
      <c r="B4270" s="4" t="s">
        <v>454</v>
      </c>
      <c r="C4270" s="4" t="s">
        <v>287</v>
      </c>
      <c r="D4270" s="94">
        <v>2029.0</v>
      </c>
    </row>
    <row r="4271">
      <c r="A4271" s="40">
        <f t="array" ref="A4271">IFNA(index(PlayerValues!A:A,match(IFNA(vlookup(B4271,'Special Names'!A:B,2,FALSE),B4271),PlayerValues!E:E,0)),"N/A")</f>
        <v>17056</v>
      </c>
      <c r="B4271" s="4" t="s">
        <v>581</v>
      </c>
      <c r="C4271" s="4" t="s">
        <v>278</v>
      </c>
      <c r="D4271" s="94">
        <v>2025.0</v>
      </c>
    </row>
    <row r="4272">
      <c r="A4272" s="40">
        <f t="array" ref="A4272">IFNA(index(PlayerValues!A:A,match(IFNA(vlookup(B4272,'Special Names'!A:B,2,FALSE),B4272),PlayerValues!E:E,0)),"N/A")</f>
        <v>17512</v>
      </c>
      <c r="B4272" s="4" t="s">
        <v>483</v>
      </c>
      <c r="C4272" s="4" t="s">
        <v>287</v>
      </c>
      <c r="D4272" s="94">
        <v>2023.0</v>
      </c>
    </row>
    <row r="4273">
      <c r="A4273" s="40">
        <f t="array" ref="A4273">IFNA(index(PlayerValues!A:A,match(IFNA(vlookup(B4273,'Special Names'!A:B,2,FALSE),B4273),PlayerValues!E:E,0)),"N/A")</f>
        <v>13146</v>
      </c>
      <c r="B4273" s="4" t="s">
        <v>652</v>
      </c>
      <c r="C4273" s="4" t="s">
        <v>278</v>
      </c>
      <c r="D4273" s="94">
        <v>2013.0</v>
      </c>
    </row>
    <row r="4274">
      <c r="A4274" s="40">
        <f t="array" ref="A4274">IFNA(index(PlayerValues!A:A,match(IFNA(vlookup(B4274,'Special Names'!A:B,2,FALSE),B4274),PlayerValues!E:E,0)),"N/A")</f>
        <v>17547</v>
      </c>
      <c r="B4274" s="4" t="s">
        <v>552</v>
      </c>
      <c r="C4274" s="4" t="s">
        <v>298</v>
      </c>
      <c r="D4274" s="94">
        <v>2394.0</v>
      </c>
    </row>
    <row r="4275">
      <c r="A4275" s="40" t="str">
        <f t="array" ref="A4275">IFNA(index(PlayerValues!A:A,match(IFNA(vlookup(B4275,'Special Names'!A:B,2,FALSE),B4275),PlayerValues!E:E,0)),"N/A")</f>
        <v>N/A</v>
      </c>
      <c r="B4275" s="4" t="s">
        <v>113</v>
      </c>
      <c r="C4275" s="4" t="s">
        <v>325</v>
      </c>
      <c r="D4275" s="94">
        <v>2001.0</v>
      </c>
    </row>
    <row r="4276">
      <c r="A4276" s="40">
        <f t="array" ref="A4276">IFNA(index(PlayerValues!A:A,match(IFNA(vlookup(B4276,'Special Names'!A:B,2,FALSE),B4276),PlayerValues!E:E,0)),"N/A")</f>
        <v>17060</v>
      </c>
      <c r="B4276" s="4" t="s">
        <v>603</v>
      </c>
      <c r="C4276" s="4" t="s">
        <v>278</v>
      </c>
      <c r="D4276" s="94">
        <v>2000.0</v>
      </c>
    </row>
    <row r="4277">
      <c r="A4277" s="40">
        <f t="array" ref="A4277">IFNA(index(PlayerValues!A:A,match(IFNA(vlookup(B4277,'Special Names'!A:B,2,FALSE),B4277),PlayerValues!E:E,0)),"N/A")</f>
        <v>16603</v>
      </c>
      <c r="B4277" s="4" t="s">
        <v>587</v>
      </c>
      <c r="C4277" s="4" t="s">
        <v>278</v>
      </c>
      <c r="D4277" s="94">
        <v>1985.0</v>
      </c>
    </row>
    <row r="4278">
      <c r="A4278" s="40">
        <f t="array" ref="A4278">IFNA(index(PlayerValues!A:A,match(IFNA(vlookup(B4278,'Special Names'!A:B,2,FALSE),B4278),PlayerValues!E:E,0)),"N/A")</f>
        <v>14974</v>
      </c>
      <c r="B4278" s="4" t="s">
        <v>611</v>
      </c>
      <c r="C4278" s="4" t="s">
        <v>287</v>
      </c>
      <c r="D4278" s="94">
        <v>1974.0</v>
      </c>
    </row>
    <row r="4279">
      <c r="A4279" s="40">
        <f t="array" ref="A4279">IFNA(index(PlayerValues!A:A,match(IFNA(vlookup(B4279,'Special Names'!A:B,2,FALSE),B4279),PlayerValues!E:E,0)),"N/A")</f>
        <v>17546</v>
      </c>
      <c r="B4279" s="4" t="s">
        <v>671</v>
      </c>
      <c r="C4279" s="4" t="s">
        <v>298</v>
      </c>
      <c r="D4279" s="94">
        <v>2358.0</v>
      </c>
    </row>
    <row r="4280">
      <c r="A4280" s="40">
        <f t="array" ref="A4280">IFNA(index(PlayerValues!A:A,match(IFNA(vlookup(B4280,'Special Names'!A:B,2,FALSE),B4280),PlayerValues!E:E,0)),"N/A")</f>
        <v>13633</v>
      </c>
      <c r="B4280" s="4" t="s">
        <v>625</v>
      </c>
      <c r="C4280" s="4" t="s">
        <v>287</v>
      </c>
      <c r="D4280" s="94">
        <v>1964.0</v>
      </c>
    </row>
    <row r="4281">
      <c r="A4281" s="40">
        <f t="array" ref="A4281">IFNA(index(PlayerValues!A:A,match(IFNA(vlookup(B4281,'Special Names'!A:B,2,FALSE),B4281),PlayerValues!E:E,0)),"N/A")</f>
        <v>17508</v>
      </c>
      <c r="B4281" s="4" t="s">
        <v>534</v>
      </c>
      <c r="C4281" s="4" t="s">
        <v>287</v>
      </c>
      <c r="D4281" s="94">
        <v>1961.0</v>
      </c>
    </row>
    <row r="4282">
      <c r="A4282" s="40">
        <f t="array" ref="A4282">IFNA(index(PlayerValues!A:A,match(IFNA(vlookup(B4282,'Special Names'!A:B,2,FALSE),B4282),PlayerValues!E:E,0)),"N/A")</f>
        <v>15293</v>
      </c>
      <c r="B4282" s="4" t="s">
        <v>578</v>
      </c>
      <c r="C4282" s="4" t="s">
        <v>287</v>
      </c>
      <c r="D4282" s="94">
        <v>1953.0</v>
      </c>
    </row>
    <row r="4283">
      <c r="A4283" s="40">
        <f t="array" ref="A4283">IFNA(index(PlayerValues!A:A,match(IFNA(vlookup(B4283,'Special Names'!A:B,2,FALSE),B4283),PlayerValues!E:E,0)),"N/A")</f>
        <v>17184</v>
      </c>
      <c r="B4283" s="4" t="s">
        <v>588</v>
      </c>
      <c r="C4283" s="4" t="s">
        <v>287</v>
      </c>
      <c r="D4283" s="94">
        <v>1938.0</v>
      </c>
    </row>
    <row r="4284">
      <c r="A4284" s="40">
        <f t="array" ref="A4284">IFNA(index(PlayerValues!A:A,match(IFNA(vlookup(B4284,'Special Names'!A:B,2,FALSE),B4284),PlayerValues!E:E,0)),"N/A")</f>
        <v>11244</v>
      </c>
      <c r="B4284" s="4" t="s">
        <v>519</v>
      </c>
      <c r="C4284" s="4" t="s">
        <v>298</v>
      </c>
      <c r="D4284" s="94">
        <v>2317.0</v>
      </c>
    </row>
    <row r="4285">
      <c r="A4285" s="40">
        <f t="array" ref="A4285">IFNA(index(PlayerValues!A:A,match(IFNA(vlookup(B4285,'Special Names'!A:B,2,FALSE),B4285),PlayerValues!E:E,0)),"N/A")</f>
        <v>16778</v>
      </c>
      <c r="B4285" s="4" t="s">
        <v>577</v>
      </c>
      <c r="C4285" s="4" t="s">
        <v>287</v>
      </c>
      <c r="D4285" s="94">
        <v>1904.0</v>
      </c>
    </row>
    <row r="4286">
      <c r="A4286" s="40">
        <f t="array" ref="A4286">IFNA(index(PlayerValues!A:A,match(IFNA(vlookup(B4286,'Special Names'!A:B,2,FALSE),B4286),PlayerValues!E:E,0)),"N/A")</f>
        <v>16216</v>
      </c>
      <c r="B4286" s="4" t="s">
        <v>595</v>
      </c>
      <c r="C4286" s="4" t="s">
        <v>298</v>
      </c>
      <c r="D4286" s="94">
        <v>2283.0</v>
      </c>
    </row>
    <row r="4287">
      <c r="A4287" s="40">
        <f t="array" ref="A4287">IFNA(index(PlayerValues!A:A,match(IFNA(vlookup(B4287,'Special Names'!A:B,2,FALSE),B4287),PlayerValues!E:E,0)),"N/A")</f>
        <v>17465</v>
      </c>
      <c r="B4287" s="4" t="s">
        <v>649</v>
      </c>
      <c r="C4287" s="4" t="s">
        <v>283</v>
      </c>
      <c r="D4287" s="94">
        <v>1895.0</v>
      </c>
    </row>
    <row r="4288">
      <c r="A4288" s="40" t="str">
        <f t="array" ref="A4288">IFNA(index(PlayerValues!A:A,match(IFNA(vlookup(B4288,'Special Names'!A:B,2,FALSE),B4288),PlayerValues!E:E,0)),"N/A")</f>
        <v>N/A</v>
      </c>
      <c r="B4288" s="4" t="s">
        <v>114</v>
      </c>
      <c r="C4288" s="4" t="s">
        <v>325</v>
      </c>
      <c r="D4288" s="94">
        <v>1894.0</v>
      </c>
    </row>
    <row r="4289">
      <c r="A4289" s="40">
        <f t="array" ref="A4289">IFNA(index(PlayerValues!A:A,match(IFNA(vlookup(B4289,'Special Names'!A:B,2,FALSE),B4289),PlayerValues!E:E,0)),"N/A")</f>
        <v>13189</v>
      </c>
      <c r="B4289" s="4" t="s">
        <v>626</v>
      </c>
      <c r="C4289" s="4" t="s">
        <v>298</v>
      </c>
      <c r="D4289" s="94">
        <v>2275.0</v>
      </c>
    </row>
    <row r="4290">
      <c r="A4290" s="40">
        <f t="array" ref="A4290">IFNA(index(PlayerValues!A:A,match(IFNA(vlookup(B4290,'Special Names'!A:B,2,FALSE),B4290),PlayerValues!E:E,0)),"N/A")</f>
        <v>15759</v>
      </c>
      <c r="B4290" s="4" t="s">
        <v>662</v>
      </c>
      <c r="C4290" s="4" t="s">
        <v>287</v>
      </c>
      <c r="D4290" s="94">
        <v>1878.0</v>
      </c>
    </row>
    <row r="4291">
      <c r="A4291" s="40">
        <f t="array" ref="A4291">IFNA(index(PlayerValues!A:A,match(IFNA(vlookup(B4291,'Special Names'!A:B,2,FALSE),B4291),PlayerValues!E:E,0)),"N/A")</f>
        <v>16215</v>
      </c>
      <c r="B4291" s="4" t="s">
        <v>637</v>
      </c>
      <c r="C4291" s="4" t="s">
        <v>298</v>
      </c>
      <c r="D4291" s="94">
        <v>2260.0</v>
      </c>
    </row>
    <row r="4292">
      <c r="A4292" s="40">
        <f t="array" ref="A4292">IFNA(index(PlayerValues!A:A,match(IFNA(vlookup(B4292,'Special Names'!A:B,2,FALSE),B4292),PlayerValues!E:E,0)),"N/A")</f>
        <v>17036</v>
      </c>
      <c r="B4292" s="4" t="s">
        <v>617</v>
      </c>
      <c r="C4292" s="4" t="s">
        <v>283</v>
      </c>
      <c r="D4292" s="94">
        <v>1872.0</v>
      </c>
    </row>
    <row r="4293">
      <c r="A4293" s="40">
        <f t="array" ref="A4293">IFNA(index(PlayerValues!A:A,match(IFNA(vlookup(B4293,'Special Names'!A:B,2,FALSE),B4293),PlayerValues!E:E,0)),"N/A")</f>
        <v>16201</v>
      </c>
      <c r="B4293" s="4" t="s">
        <v>589</v>
      </c>
      <c r="C4293" s="4" t="s">
        <v>287</v>
      </c>
      <c r="D4293" s="94">
        <v>1857.0</v>
      </c>
    </row>
    <row r="4294">
      <c r="A4294" s="40">
        <f t="array" ref="A4294">IFNA(index(PlayerValues!A:A,match(IFNA(vlookup(B4294,'Special Names'!A:B,2,FALSE),B4294),PlayerValues!E:E,0)),"N/A")</f>
        <v>15254</v>
      </c>
      <c r="B4294" s="4" t="s">
        <v>633</v>
      </c>
      <c r="C4294" s="4" t="s">
        <v>278</v>
      </c>
      <c r="D4294" s="94">
        <v>1848.0</v>
      </c>
    </row>
    <row r="4295">
      <c r="A4295" s="40">
        <f t="array" ref="A4295">IFNA(index(PlayerValues!A:A,match(IFNA(vlookup(B4295,'Special Names'!A:B,2,FALSE),B4295),PlayerValues!E:E,0)),"N/A")</f>
        <v>16635</v>
      </c>
      <c r="B4295" s="4" t="s">
        <v>645</v>
      </c>
      <c r="C4295" s="4" t="s">
        <v>287</v>
      </c>
      <c r="D4295" s="94">
        <v>1848.0</v>
      </c>
    </row>
    <row r="4296">
      <c r="A4296" s="40">
        <f t="array" ref="A4296">IFNA(index(PlayerValues!A:A,match(IFNA(vlookup(B4296,'Special Names'!A:B,2,FALSE),B4296),PlayerValues!E:E,0)),"N/A")</f>
        <v>17061</v>
      </c>
      <c r="B4296" s="4" t="s">
        <v>580</v>
      </c>
      <c r="C4296" s="4" t="s">
        <v>278</v>
      </c>
      <c r="D4296" s="94">
        <v>1845.0</v>
      </c>
    </row>
    <row r="4297">
      <c r="A4297" s="40">
        <f t="array" ref="A4297">IFNA(index(PlayerValues!A:A,match(IFNA(vlookup(B4297,'Special Names'!A:B,2,FALSE),B4297),PlayerValues!E:E,0)),"N/A")</f>
        <v>16595</v>
      </c>
      <c r="B4297" s="4" t="s">
        <v>664</v>
      </c>
      <c r="C4297" s="4" t="s">
        <v>278</v>
      </c>
      <c r="D4297" s="94">
        <v>1838.0</v>
      </c>
    </row>
    <row r="4298">
      <c r="A4298" s="40">
        <f t="array" ref="A4298">IFNA(index(PlayerValues!A:A,match(IFNA(vlookup(B4298,'Special Names'!A:B,2,FALSE),B4298),PlayerValues!E:E,0)),"N/A")</f>
        <v>17520</v>
      </c>
      <c r="B4298" s="4" t="s">
        <v>518</v>
      </c>
      <c r="C4298" s="4" t="s">
        <v>287</v>
      </c>
      <c r="D4298" s="94">
        <v>1830.0</v>
      </c>
    </row>
    <row r="4299">
      <c r="A4299" s="40">
        <f t="array" ref="A4299">IFNA(index(PlayerValues!A:A,match(IFNA(vlookup(B4299,'Special Names'!A:B,2,FALSE),B4299),PlayerValues!E:E,0)),"N/A")</f>
        <v>15337</v>
      </c>
      <c r="B4299" s="4" t="s">
        <v>655</v>
      </c>
      <c r="C4299" s="4" t="s">
        <v>298</v>
      </c>
      <c r="D4299" s="94">
        <v>2187.0</v>
      </c>
    </row>
    <row r="4300">
      <c r="A4300" s="40">
        <f t="array" ref="A4300">IFNA(index(PlayerValues!A:A,match(IFNA(vlookup(B4300,'Special Names'!A:B,2,FALSE),B4300),PlayerValues!E:E,0)),"N/A")</f>
        <v>17035</v>
      </c>
      <c r="B4300" s="4" t="s">
        <v>650</v>
      </c>
      <c r="C4300" s="4" t="s">
        <v>283</v>
      </c>
      <c r="D4300" s="94">
        <v>1804.0</v>
      </c>
    </row>
    <row r="4301">
      <c r="A4301" s="40" t="str">
        <f t="array" ref="A4301">IFNA(index(PlayerValues!A:A,match(IFNA(vlookup(B4301,'Special Names'!A:B,2,FALSE),B4301),PlayerValues!E:E,0)),"N/A")</f>
        <v>N/A</v>
      </c>
      <c r="B4301" s="4" t="s">
        <v>101</v>
      </c>
      <c r="C4301" s="4" t="s">
        <v>325</v>
      </c>
      <c r="D4301" s="94">
        <v>1801.0</v>
      </c>
    </row>
    <row r="4302">
      <c r="A4302" s="40">
        <f t="array" ref="A4302">IFNA(index(PlayerValues!A:A,match(IFNA(vlookup(B4302,'Special Names'!A:B,2,FALSE),B4302),PlayerValues!E:E,0)),"N/A")</f>
        <v>17481</v>
      </c>
      <c r="B4302" s="4" t="s">
        <v>540</v>
      </c>
      <c r="C4302" s="4" t="s">
        <v>278</v>
      </c>
      <c r="D4302" s="94">
        <v>1801.0</v>
      </c>
    </row>
    <row r="4303">
      <c r="A4303" s="40">
        <f t="array" ref="A4303">IFNA(index(PlayerValues!A:A,match(IFNA(vlookup(B4303,'Special Names'!A:B,2,FALSE),B4303),PlayerValues!E:E,0)),"N/A")</f>
        <v>17545</v>
      </c>
      <c r="B4303" s="4" t="s">
        <v>719</v>
      </c>
      <c r="C4303" s="4" t="s">
        <v>298</v>
      </c>
      <c r="D4303" s="94">
        <v>2179.0</v>
      </c>
    </row>
    <row r="4304">
      <c r="A4304" s="40">
        <f t="array" ref="A4304">IFNA(index(PlayerValues!A:A,match(IFNA(vlookup(B4304,'Special Names'!A:B,2,FALSE),B4304),PlayerValues!E:E,0)),"N/A")</f>
        <v>16788</v>
      </c>
      <c r="B4304" s="4" t="s">
        <v>621</v>
      </c>
      <c r="C4304" s="4" t="s">
        <v>287</v>
      </c>
      <c r="D4304" s="94">
        <v>1795.0</v>
      </c>
    </row>
    <row r="4305">
      <c r="A4305" s="40">
        <f t="array" ref="A4305">IFNA(index(PlayerValues!A:A,match(IFNA(vlookup(B4305,'Special Names'!A:B,2,FALSE),B4305),PlayerValues!E:E,0)),"N/A")</f>
        <v>15786</v>
      </c>
      <c r="B4305" s="4" t="s">
        <v>521</v>
      </c>
      <c r="C4305" s="4" t="s">
        <v>287</v>
      </c>
      <c r="D4305" s="94">
        <v>1790.0</v>
      </c>
    </row>
    <row r="4306">
      <c r="A4306" s="40" t="str">
        <f t="array" ref="A4306">IFNA(index(PlayerValues!A:A,match(IFNA(vlookup(B4306,'Special Names'!A:B,2,FALSE),B4306),PlayerValues!E:E,0)),"N/A")</f>
        <v>N/A</v>
      </c>
      <c r="B4306" s="4" t="s">
        <v>89</v>
      </c>
      <c r="C4306" s="4" t="s">
        <v>325</v>
      </c>
      <c r="D4306" s="94">
        <v>1770.0</v>
      </c>
    </row>
    <row r="4307">
      <c r="A4307" s="40">
        <f t="array" ref="A4307">IFNA(index(PlayerValues!A:A,match(IFNA(vlookup(B4307,'Special Names'!A:B,2,FALSE),B4307),PlayerValues!E:E,0)),"N/A")</f>
        <v>17086</v>
      </c>
      <c r="B4307" s="4" t="s">
        <v>612</v>
      </c>
      <c r="C4307" s="4" t="s">
        <v>287</v>
      </c>
      <c r="D4307" s="94">
        <v>1764.0</v>
      </c>
    </row>
    <row r="4308">
      <c r="A4308" s="40">
        <f t="array" ref="A4308">IFNA(index(PlayerValues!A:A,match(IFNA(vlookup(B4308,'Special Names'!A:B,2,FALSE),B4308),PlayerValues!E:E,0)),"N/A")</f>
        <v>16207</v>
      </c>
      <c r="B4308" s="4" t="s">
        <v>636</v>
      </c>
      <c r="C4308" s="4" t="s">
        <v>287</v>
      </c>
      <c r="D4308" s="94">
        <v>1757.0</v>
      </c>
    </row>
    <row r="4309">
      <c r="A4309" s="40">
        <f t="array" ref="A4309">IFNA(index(PlayerValues!A:A,match(IFNA(vlookup(B4309,'Special Names'!A:B,2,FALSE),B4309),PlayerValues!E:E,0)),"N/A")</f>
        <v>11222</v>
      </c>
      <c r="B4309" s="4" t="s">
        <v>622</v>
      </c>
      <c r="C4309" s="4" t="s">
        <v>287</v>
      </c>
      <c r="D4309" s="94">
        <v>1754.0</v>
      </c>
    </row>
    <row r="4310">
      <c r="A4310" s="40">
        <f t="array" ref="A4310">IFNA(index(PlayerValues!A:A,match(IFNA(vlookup(B4310,'Special Names'!A:B,2,FALSE),B4310),PlayerValues!E:E,0)),"N/A")</f>
        <v>16585</v>
      </c>
      <c r="B4310" s="4" t="s">
        <v>623</v>
      </c>
      <c r="C4310" s="4" t="s">
        <v>283</v>
      </c>
      <c r="D4310" s="94">
        <v>1747.0</v>
      </c>
    </row>
    <row r="4311">
      <c r="A4311" s="40">
        <f t="array" ref="A4311">IFNA(index(PlayerValues!A:A,match(IFNA(vlookup(B4311,'Special Names'!A:B,2,FALSE),B4311),PlayerValues!E:E,0)),"N/A")</f>
        <v>17055</v>
      </c>
      <c r="B4311" s="4" t="s">
        <v>565</v>
      </c>
      <c r="C4311" s="4" t="s">
        <v>278</v>
      </c>
      <c r="D4311" s="94">
        <v>1738.0</v>
      </c>
    </row>
    <row r="4312">
      <c r="A4312" s="40">
        <f t="array" ref="A4312">IFNA(index(PlayerValues!A:A,match(IFNA(vlookup(B4312,'Special Names'!A:B,2,FALSE),B4312),PlayerValues!E:E,0)),"N/A")</f>
        <v>14105</v>
      </c>
      <c r="B4312" s="4" t="s">
        <v>675</v>
      </c>
      <c r="C4312" s="4" t="s">
        <v>287</v>
      </c>
      <c r="D4312" s="94">
        <v>1734.0</v>
      </c>
    </row>
    <row r="4313">
      <c r="A4313" s="40">
        <f t="array" ref="A4313">IFNA(index(PlayerValues!A:A,match(IFNA(vlookup(B4313,'Special Names'!A:B,2,FALSE),B4313),PlayerValues!E:E,0)),"N/A")</f>
        <v>17528</v>
      </c>
      <c r="B4313" s="4" t="s">
        <v>579</v>
      </c>
      <c r="C4313" s="4" t="s">
        <v>287</v>
      </c>
      <c r="D4313" s="94">
        <v>1733.0</v>
      </c>
    </row>
    <row r="4314">
      <c r="A4314" s="40">
        <f t="array" ref="A4314">IFNA(index(PlayerValues!A:A,match(IFNA(vlookup(B4314,'Special Names'!A:B,2,FALSE),B4314),PlayerValues!E:E,0)),"N/A")</f>
        <v>16629</v>
      </c>
      <c r="B4314" s="4" t="s">
        <v>605</v>
      </c>
      <c r="C4314" s="4" t="s">
        <v>287</v>
      </c>
      <c r="D4314" s="94">
        <v>1730.0</v>
      </c>
    </row>
    <row r="4315">
      <c r="A4315" s="40">
        <f t="array" ref="A4315">IFNA(index(PlayerValues!A:A,match(IFNA(vlookup(B4315,'Special Names'!A:B,2,FALSE),B4315),PlayerValues!E:E,0)),"N/A")</f>
        <v>17058</v>
      </c>
      <c r="B4315" s="4" t="s">
        <v>641</v>
      </c>
      <c r="C4315" s="4" t="s">
        <v>278</v>
      </c>
      <c r="D4315" s="94">
        <v>1721.0</v>
      </c>
    </row>
    <row r="4316">
      <c r="A4316" s="40">
        <f t="array" ref="A4316">IFNA(index(PlayerValues!A:A,match(IFNA(vlookup(B4316,'Special Names'!A:B,2,FALSE),B4316),PlayerValues!E:E,0)),"N/A")</f>
        <v>7836</v>
      </c>
      <c r="B4316" s="4" t="s">
        <v>590</v>
      </c>
      <c r="C4316" s="4" t="s">
        <v>283</v>
      </c>
      <c r="D4316" s="94">
        <v>1714.0</v>
      </c>
    </row>
    <row r="4317">
      <c r="A4317" s="40">
        <f t="array" ref="A4317">IFNA(index(PlayerValues!A:A,match(IFNA(vlookup(B4317,'Special Names'!A:B,2,FALSE),B4317),PlayerValues!E:E,0)),"N/A")</f>
        <v>16586</v>
      </c>
      <c r="B4317" s="4" t="s">
        <v>658</v>
      </c>
      <c r="C4317" s="4" t="s">
        <v>283</v>
      </c>
      <c r="D4317" s="94">
        <v>1697.0</v>
      </c>
    </row>
    <row r="4318">
      <c r="A4318" s="40">
        <f t="array" ref="A4318">IFNA(index(PlayerValues!A:A,match(IFNA(vlookup(B4318,'Special Names'!A:B,2,FALSE),B4318),PlayerValues!E:E,0)),"N/A")</f>
        <v>16601</v>
      </c>
      <c r="B4318" s="4" t="s">
        <v>648</v>
      </c>
      <c r="C4318" s="4" t="s">
        <v>278</v>
      </c>
      <c r="D4318" s="94">
        <v>1687.0</v>
      </c>
    </row>
    <row r="4319">
      <c r="A4319" s="40">
        <f t="array" ref="A4319">IFNA(index(PlayerValues!A:A,match(IFNA(vlookup(B4319,'Special Names'!A:B,2,FALSE),B4319),PlayerValues!E:E,0)),"N/A")</f>
        <v>17064</v>
      </c>
      <c r="B4319" s="4" t="s">
        <v>631</v>
      </c>
      <c r="C4319" s="4" t="s">
        <v>278</v>
      </c>
      <c r="D4319" s="94">
        <v>1676.0</v>
      </c>
    </row>
    <row r="4320">
      <c r="A4320" s="40" t="str">
        <f t="array" ref="A4320">IFNA(index(PlayerValues!A:A,match(IFNA(vlookup(B4320,'Special Names'!A:B,2,FALSE),B4320),PlayerValues!E:E,0)),"N/A")</f>
        <v>N/A</v>
      </c>
      <c r="B4320" s="4" t="s">
        <v>102</v>
      </c>
      <c r="C4320" s="4" t="s">
        <v>325</v>
      </c>
      <c r="D4320" s="94">
        <v>1670.0</v>
      </c>
    </row>
    <row r="4321">
      <c r="A4321" s="40">
        <f t="array" ref="A4321">IFNA(index(PlayerValues!A:A,match(IFNA(vlookup(B4321,'Special Names'!A:B,2,FALSE),B4321),PlayerValues!E:E,0)),"N/A")</f>
        <v>10700</v>
      </c>
      <c r="B4321" s="4" t="s">
        <v>596</v>
      </c>
      <c r="C4321" s="4" t="s">
        <v>283</v>
      </c>
      <c r="D4321" s="94">
        <v>1669.0</v>
      </c>
    </row>
    <row r="4322">
      <c r="A4322" s="40">
        <f t="array" ref="A4322">IFNA(index(PlayerValues!A:A,match(IFNA(vlookup(B4322,'Special Names'!A:B,2,FALSE),B4322),PlayerValues!E:E,0)),"N/A")</f>
        <v>15777</v>
      </c>
      <c r="B4322" s="4" t="s">
        <v>694</v>
      </c>
      <c r="C4322" s="4" t="s">
        <v>287</v>
      </c>
      <c r="D4322" s="94">
        <v>1667.0</v>
      </c>
    </row>
    <row r="4323">
      <c r="A4323" s="40">
        <f t="array" ref="A4323">IFNA(index(PlayerValues!A:A,match(IFNA(vlookup(B4323,'Special Names'!A:B,2,FALSE),B4323),PlayerValues!E:E,0)),"N/A")</f>
        <v>15787</v>
      </c>
      <c r="B4323" s="4" t="s">
        <v>610</v>
      </c>
      <c r="C4323" s="4" t="s">
        <v>287</v>
      </c>
      <c r="D4323" s="94">
        <v>1665.0</v>
      </c>
    </row>
    <row r="4324">
      <c r="A4324" s="40">
        <f t="array" ref="A4324">IFNA(index(PlayerValues!A:A,match(IFNA(vlookup(B4324,'Special Names'!A:B,2,FALSE),B4324),PlayerValues!E:E,0)),"N/A")</f>
        <v>13629</v>
      </c>
      <c r="B4324" s="4" t="s">
        <v>619</v>
      </c>
      <c r="C4324" s="4" t="s">
        <v>287</v>
      </c>
      <c r="D4324" s="94">
        <v>1664.0</v>
      </c>
    </row>
    <row r="4325">
      <c r="A4325" s="40">
        <f t="array" ref="A4325">IFNA(index(PlayerValues!A:A,match(IFNA(vlookup(B4325,'Special Names'!A:B,2,FALSE),B4325),PlayerValues!E:E,0)),"N/A")</f>
        <v>15727</v>
      </c>
      <c r="B4325" s="4" t="s">
        <v>730</v>
      </c>
      <c r="C4325" s="4" t="s">
        <v>278</v>
      </c>
      <c r="D4325" s="94">
        <v>1663.0</v>
      </c>
    </row>
    <row r="4326">
      <c r="A4326" s="40">
        <f t="array" ref="A4326">IFNA(index(PlayerValues!A:A,match(IFNA(vlookup(B4326,'Special Names'!A:B,2,FALSE),B4326),PlayerValues!E:E,0)),"N/A")</f>
        <v>16604</v>
      </c>
      <c r="B4326" s="4" t="s">
        <v>476</v>
      </c>
      <c r="C4326" s="4" t="s">
        <v>278</v>
      </c>
      <c r="D4326" s="94">
        <v>1652.0</v>
      </c>
    </row>
    <row r="4327">
      <c r="A4327" s="40">
        <f t="array" ref="A4327">IFNA(index(PlayerValues!A:A,match(IFNA(vlookup(B4327,'Special Names'!A:B,2,FALSE),B4327),PlayerValues!E:E,0)),"N/A")</f>
        <v>17205</v>
      </c>
      <c r="B4327" s="4" t="s">
        <v>665</v>
      </c>
      <c r="C4327" s="4" t="s">
        <v>287</v>
      </c>
      <c r="D4327" s="94">
        <v>1640.0</v>
      </c>
    </row>
    <row r="4328">
      <c r="A4328" s="40" t="str">
        <f t="array" ref="A4328">IFNA(index(PlayerValues!A:A,match(IFNA(vlookup(B4328,'Special Names'!A:B,2,FALSE),B4328),PlayerValues!E:E,0)),"N/A")</f>
        <v>N/A</v>
      </c>
      <c r="B4328" s="4" t="s">
        <v>115</v>
      </c>
      <c r="C4328" s="4" t="s">
        <v>325</v>
      </c>
      <c r="D4328" s="94">
        <v>1640.0</v>
      </c>
    </row>
    <row r="4329">
      <c r="A4329" s="40">
        <f t="array" ref="A4329">IFNA(index(PlayerValues!A:A,match(IFNA(vlookup(B4329,'Special Names'!A:B,2,FALSE),B4329),PlayerValues!E:E,0)),"N/A")</f>
        <v>13131</v>
      </c>
      <c r="B4329" s="4" t="s">
        <v>815</v>
      </c>
      <c r="C4329" s="4" t="s">
        <v>278</v>
      </c>
      <c r="D4329" s="94">
        <v>1635.0</v>
      </c>
    </row>
    <row r="4330">
      <c r="A4330" s="40">
        <f t="array" ref="A4330">IFNA(index(PlayerValues!A:A,match(IFNA(vlookup(B4330,'Special Names'!A:B,2,FALSE),B4330),PlayerValues!E:E,0)),"N/A")</f>
        <v>13164</v>
      </c>
      <c r="B4330" s="4" t="s">
        <v>632</v>
      </c>
      <c r="C4330" s="4" t="s">
        <v>287</v>
      </c>
      <c r="D4330" s="94">
        <v>1629.0</v>
      </c>
    </row>
    <row r="4331">
      <c r="A4331" s="40">
        <f t="array" ref="A4331">IFNA(index(PlayerValues!A:A,match(IFNA(vlookup(B4331,'Special Names'!A:B,2,FALSE),B4331),PlayerValues!E:E,0)),"N/A")</f>
        <v>17234</v>
      </c>
      <c r="B4331" s="4" t="s">
        <v>653</v>
      </c>
      <c r="C4331" s="4" t="s">
        <v>287</v>
      </c>
      <c r="D4331" s="94">
        <v>1628.0</v>
      </c>
    </row>
    <row r="4332">
      <c r="A4332" s="40">
        <f t="array" ref="A4332">IFNA(index(PlayerValues!A:A,match(IFNA(vlookup(B4332,'Special Names'!A:B,2,FALSE),B4332),PlayerValues!E:E,0)),"N/A")</f>
        <v>14143</v>
      </c>
      <c r="B4332" s="4" t="s">
        <v>635</v>
      </c>
      <c r="C4332" s="4" t="s">
        <v>298</v>
      </c>
      <c r="D4332" s="94">
        <v>1995.0</v>
      </c>
    </row>
    <row r="4333">
      <c r="A4333" s="40" t="str">
        <f t="array" ref="A4333">IFNA(index(PlayerValues!A:A,match(IFNA(vlookup(B4333,'Special Names'!A:B,2,FALSE),B4333),PlayerValues!E:E,0)),"N/A")</f>
        <v>N/A</v>
      </c>
      <c r="B4333" s="4" t="s">
        <v>90</v>
      </c>
      <c r="C4333" s="4" t="s">
        <v>325</v>
      </c>
      <c r="D4333" s="94">
        <v>1616.0</v>
      </c>
    </row>
    <row r="4334">
      <c r="A4334" s="40">
        <f t="array" ref="A4334">IFNA(index(PlayerValues!A:A,match(IFNA(vlookup(B4334,'Special Names'!A:B,2,FALSE),B4334),PlayerValues!E:E,0)),"N/A")</f>
        <v>12141</v>
      </c>
      <c r="B4334" s="4" t="s">
        <v>744</v>
      </c>
      <c r="C4334" s="4" t="s">
        <v>283</v>
      </c>
      <c r="D4334" s="94">
        <v>1615.0</v>
      </c>
    </row>
    <row r="4335">
      <c r="A4335" s="40">
        <f t="array" ref="A4335">IFNA(index(PlayerValues!A:A,match(IFNA(vlookup(B4335,'Special Names'!A:B,2,FALSE),B4335),PlayerValues!E:E,0)),"N/A")</f>
        <v>16633</v>
      </c>
      <c r="B4335" s="4" t="s">
        <v>656</v>
      </c>
      <c r="C4335" s="4" t="s">
        <v>287</v>
      </c>
      <c r="D4335" s="94">
        <v>1603.0</v>
      </c>
    </row>
    <row r="4336">
      <c r="A4336" s="40">
        <f t="array" ref="A4336">IFNA(index(PlayerValues!A:A,match(IFNA(vlookup(B4336,'Special Names'!A:B,2,FALSE),B4336),PlayerValues!E:E,0)),"N/A")</f>
        <v>17037</v>
      </c>
      <c r="B4336" s="4" t="s">
        <v>727</v>
      </c>
      <c r="C4336" s="4" t="s">
        <v>283</v>
      </c>
      <c r="D4336" s="94">
        <v>1601.0</v>
      </c>
    </row>
    <row r="4337">
      <c r="A4337" s="40">
        <f t="array" ref="A4337">IFNA(index(PlayerValues!A:A,match(IFNA(vlookup(B4337,'Special Names'!A:B,2,FALSE),B4337),PlayerValues!E:E,0)),"N/A")</f>
        <v>17096</v>
      </c>
      <c r="B4337" s="4" t="s">
        <v>638</v>
      </c>
      <c r="C4337" s="4" t="s">
        <v>287</v>
      </c>
      <c r="D4337" s="94">
        <v>1590.0</v>
      </c>
    </row>
    <row r="4338">
      <c r="A4338" s="40">
        <f t="array" ref="A4338">IFNA(index(PlayerValues!A:A,match(IFNA(vlookup(B4338,'Special Names'!A:B,2,FALSE),B4338),PlayerValues!E:E,0)),"N/A")</f>
        <v>13193</v>
      </c>
      <c r="B4338" s="4" t="s">
        <v>773</v>
      </c>
      <c r="C4338" s="4" t="s">
        <v>298</v>
      </c>
      <c r="D4338" s="94">
        <v>1965.0</v>
      </c>
    </row>
    <row r="4339">
      <c r="A4339" s="40">
        <f t="array" ref="A4339">IFNA(index(PlayerValues!A:A,match(IFNA(vlookup(B4339,'Special Names'!A:B,2,FALSE),B4339),PlayerValues!E:E,0)),"N/A")</f>
        <v>14122</v>
      </c>
      <c r="B4339" s="4" t="s">
        <v>663</v>
      </c>
      <c r="C4339" s="4" t="s">
        <v>287</v>
      </c>
      <c r="D4339" s="94">
        <v>1579.0</v>
      </c>
    </row>
    <row r="4340">
      <c r="A4340" s="40">
        <f t="array" ref="A4340">IFNA(index(PlayerValues!A:A,match(IFNA(vlookup(B4340,'Special Names'!A:B,2,FALSE),B4340),PlayerValues!E:E,0)),"N/A")</f>
        <v>16390</v>
      </c>
      <c r="B4340" s="4" t="s">
        <v>689</v>
      </c>
      <c r="C4340" s="4" t="s">
        <v>278</v>
      </c>
      <c r="D4340" s="94">
        <v>1567.0</v>
      </c>
    </row>
    <row r="4341">
      <c r="A4341" s="40">
        <f t="array" ref="A4341">IFNA(index(PlayerValues!A:A,match(IFNA(vlookup(B4341,'Special Names'!A:B,2,FALSE),B4341),PlayerValues!E:E,0)),"N/A")</f>
        <v>12140</v>
      </c>
      <c r="B4341" s="4" t="s">
        <v>702</v>
      </c>
      <c r="C4341" s="4" t="s">
        <v>283</v>
      </c>
      <c r="D4341" s="94">
        <v>1566.0</v>
      </c>
    </row>
    <row r="4342">
      <c r="A4342" s="40" t="str">
        <f t="array" ref="A4342">IFNA(index(PlayerValues!A:A,match(IFNA(vlookup(B4342,'Special Names'!A:B,2,FALSE),B4342),PlayerValues!E:E,0)),"N/A")</f>
        <v>N/A</v>
      </c>
      <c r="B4342" s="4" t="s">
        <v>91</v>
      </c>
      <c r="C4342" s="4" t="s">
        <v>325</v>
      </c>
      <c r="D4342" s="94">
        <v>1558.0</v>
      </c>
    </row>
    <row r="4343">
      <c r="A4343" s="40">
        <f t="array" ref="A4343">IFNA(index(PlayerValues!A:A,match(IFNA(vlookup(B4343,'Special Names'!A:B,2,FALSE),B4343),PlayerValues!E:E,0)),"N/A")</f>
        <v>16688</v>
      </c>
      <c r="B4343" s="4" t="s">
        <v>688</v>
      </c>
      <c r="C4343" s="4" t="s">
        <v>278</v>
      </c>
      <c r="D4343" s="94">
        <v>1542.0</v>
      </c>
    </row>
    <row r="4344">
      <c r="A4344" s="40">
        <f t="array" ref="A4344">IFNA(index(PlayerValues!A:A,match(IFNA(vlookup(B4344,'Special Names'!A:B,2,FALSE),B4344),PlayerValues!E:E,0)),"N/A")</f>
        <v>15252</v>
      </c>
      <c r="B4344" s="4" t="s">
        <v>715</v>
      </c>
      <c r="C4344" s="4" t="s">
        <v>283</v>
      </c>
      <c r="D4344" s="94">
        <v>1541.0</v>
      </c>
    </row>
    <row r="4345">
      <c r="A4345" s="40">
        <f t="array" ref="A4345">IFNA(index(PlayerValues!A:A,match(IFNA(vlookup(B4345,'Special Names'!A:B,2,FALSE),B4345),PlayerValues!E:E,0)),"N/A")</f>
        <v>15258</v>
      </c>
      <c r="B4345" s="4" t="s">
        <v>757</v>
      </c>
      <c r="C4345" s="4" t="s">
        <v>278</v>
      </c>
      <c r="D4345" s="94">
        <v>1541.0</v>
      </c>
    </row>
    <row r="4346">
      <c r="A4346" s="40">
        <f t="array" ref="A4346">IFNA(index(PlayerValues!A:A,match(IFNA(vlookup(B4346,'Special Names'!A:B,2,FALSE),B4346),PlayerValues!E:E,0)),"N/A")</f>
        <v>14080</v>
      </c>
      <c r="B4346" s="4" t="s">
        <v>716</v>
      </c>
      <c r="C4346" s="4" t="s">
        <v>278</v>
      </c>
      <c r="D4346" s="94">
        <v>1539.0</v>
      </c>
    </row>
    <row r="4347">
      <c r="A4347" s="40" t="str">
        <f t="array" ref="A4347">IFNA(index(PlayerValues!A:A,match(IFNA(vlookup(B4347,'Special Names'!A:B,2,FALSE),B4347),PlayerValues!E:E,0)),"N/A")</f>
        <v>N/A</v>
      </c>
      <c r="B4347" s="4" t="s">
        <v>103</v>
      </c>
      <c r="C4347" s="4" t="s">
        <v>325</v>
      </c>
      <c r="D4347" s="94">
        <v>1532.0</v>
      </c>
    </row>
    <row r="4348">
      <c r="A4348" s="40" t="str">
        <f t="array" ref="A4348">IFNA(index(PlayerValues!A:A,match(IFNA(vlookup(B4348,'Special Names'!A:B,2,FALSE),B4348),PlayerValues!E:E,0)),"N/A")</f>
        <v>N/A</v>
      </c>
      <c r="B4348" s="4" t="s">
        <v>116</v>
      </c>
      <c r="C4348" s="4" t="s">
        <v>325</v>
      </c>
      <c r="D4348" s="94">
        <v>1513.0</v>
      </c>
    </row>
    <row r="4349">
      <c r="A4349" s="40">
        <f t="array" ref="A4349">IFNA(index(PlayerValues!A:A,match(IFNA(vlookup(B4349,'Special Names'!A:B,2,FALSE),B4349),PlayerValues!E:E,0)),"N/A")</f>
        <v>17475</v>
      </c>
      <c r="B4349" s="4" t="s">
        <v>615</v>
      </c>
      <c r="C4349" s="4" t="s">
        <v>278</v>
      </c>
      <c r="D4349" s="94">
        <v>1508.0</v>
      </c>
    </row>
    <row r="4350">
      <c r="A4350" s="40">
        <f t="array" ref="A4350">IFNA(index(PlayerValues!A:A,match(IFNA(vlookup(B4350,'Special Names'!A:B,2,FALSE),B4350),PlayerValues!E:E,0)),"N/A")</f>
        <v>17504</v>
      </c>
      <c r="B4350" s="4" t="s">
        <v>693</v>
      </c>
      <c r="C4350" s="4" t="s">
        <v>287</v>
      </c>
      <c r="D4350" s="94">
        <v>1504.0</v>
      </c>
    </row>
    <row r="4351">
      <c r="A4351" s="40">
        <f t="array" ref="A4351">IFNA(index(PlayerValues!A:A,match(IFNA(vlookup(B4351,'Special Names'!A:B,2,FALSE),B4351),PlayerValues!E:E,0)),"N/A")</f>
        <v>15319</v>
      </c>
      <c r="B4351" s="4" t="s">
        <v>644</v>
      </c>
      <c r="C4351" s="4" t="s">
        <v>287</v>
      </c>
      <c r="D4351" s="94">
        <v>1497.0</v>
      </c>
    </row>
    <row r="4352">
      <c r="A4352" s="40">
        <f t="array" ref="A4352">IFNA(index(PlayerValues!A:A,match(IFNA(vlookup(B4352,'Special Names'!A:B,2,FALSE),B4352),PlayerValues!E:E,0)),"N/A")</f>
        <v>17077</v>
      </c>
      <c r="B4352" s="4" t="s">
        <v>714</v>
      </c>
      <c r="C4352" s="4" t="s">
        <v>287</v>
      </c>
      <c r="D4352" s="94">
        <v>1497.0</v>
      </c>
    </row>
    <row r="4353">
      <c r="A4353" s="40">
        <f t="array" ref="A4353">IFNA(index(PlayerValues!A:A,match(IFNA(vlookup(B4353,'Special Names'!A:B,2,FALSE),B4353),PlayerValues!E:E,0)),"N/A")</f>
        <v>15752</v>
      </c>
      <c r="B4353" s="4" t="s">
        <v>647</v>
      </c>
      <c r="C4353" s="4" t="s">
        <v>287</v>
      </c>
      <c r="D4353" s="94">
        <v>1465.0</v>
      </c>
    </row>
    <row r="4354">
      <c r="A4354" s="40">
        <f t="array" ref="A4354">IFNA(index(PlayerValues!A:A,match(IFNA(vlookup(B4354,'Special Names'!A:B,2,FALSE),B4354),PlayerValues!E:E,0)),"N/A")</f>
        <v>11150</v>
      </c>
      <c r="B4354" s="4" t="s">
        <v>559</v>
      </c>
      <c r="C4354" s="4" t="s">
        <v>283</v>
      </c>
      <c r="D4354" s="94">
        <v>1458.0</v>
      </c>
    </row>
    <row r="4355">
      <c r="A4355" s="40">
        <f t="array" ref="A4355">IFNA(index(PlayerValues!A:A,match(IFNA(vlookup(B4355,'Special Names'!A:B,2,FALSE),B4355),PlayerValues!E:E,0)),"N/A")</f>
        <v>17541</v>
      </c>
      <c r="B4355" s="4" t="s">
        <v>616</v>
      </c>
      <c r="C4355" s="4" t="s">
        <v>287</v>
      </c>
      <c r="D4355" s="94">
        <v>1458.0</v>
      </c>
    </row>
    <row r="4356">
      <c r="A4356" s="40">
        <f t="array" ref="A4356">IFNA(index(PlayerValues!A:A,match(IFNA(vlookup(B4356,'Special Names'!A:B,2,FALSE),B4356),PlayerValues!E:E,0)),"N/A")</f>
        <v>15738</v>
      </c>
      <c r="B4356" s="4" t="s">
        <v>634</v>
      </c>
      <c r="C4356" s="4" t="s">
        <v>278</v>
      </c>
      <c r="D4356" s="94">
        <v>1456.0</v>
      </c>
    </row>
    <row r="4357">
      <c r="A4357" s="40">
        <f t="array" ref="A4357">IFNA(index(PlayerValues!A:A,match(IFNA(vlookup(B4357,'Special Names'!A:B,2,FALSE),B4357),PlayerValues!E:E,0)),"N/A")</f>
        <v>13418</v>
      </c>
      <c r="B4357" s="4" t="s">
        <v>706</v>
      </c>
      <c r="C4357" s="4" t="s">
        <v>287</v>
      </c>
      <c r="D4357" s="94">
        <v>1455.0</v>
      </c>
    </row>
    <row r="4358">
      <c r="A4358" s="40">
        <f t="array" ref="A4358">IFNA(index(PlayerValues!A:A,match(IFNA(vlookup(B4358,'Special Names'!A:B,2,FALSE),B4358),PlayerValues!E:E,0)),"N/A")</f>
        <v>17254</v>
      </c>
      <c r="B4358" s="4" t="s">
        <v>679</v>
      </c>
      <c r="C4358" s="4" t="s">
        <v>287</v>
      </c>
      <c r="D4358" s="94">
        <v>1447.0</v>
      </c>
    </row>
    <row r="4359">
      <c r="A4359" s="40">
        <f t="array" ref="A4359">IFNA(index(PlayerValues!A:A,match(IFNA(vlookup(B4359,'Special Names'!A:B,2,FALSE),B4359),PlayerValues!E:E,0)),"N/A")</f>
        <v>15755</v>
      </c>
      <c r="B4359" s="4" t="s">
        <v>628</v>
      </c>
      <c r="C4359" s="4" t="s">
        <v>287</v>
      </c>
      <c r="D4359" s="94">
        <v>1445.0</v>
      </c>
    </row>
    <row r="4360">
      <c r="A4360" s="40">
        <f t="array" ref="A4360">IFNA(index(PlayerValues!A:A,match(IFNA(vlookup(B4360,'Special Names'!A:B,2,FALSE),B4360),PlayerValues!E:E,0)),"N/A")</f>
        <v>14095</v>
      </c>
      <c r="B4360" s="4" t="s">
        <v>680</v>
      </c>
      <c r="C4360" s="4" t="s">
        <v>278</v>
      </c>
      <c r="D4360" s="94">
        <v>1432.0</v>
      </c>
    </row>
    <row r="4361">
      <c r="A4361" s="40">
        <f t="array" ref="A4361">IFNA(index(PlayerValues!A:A,match(IFNA(vlookup(B4361,'Special Names'!A:B,2,FALSE),B4361),PlayerValues!E:E,0)),"N/A")</f>
        <v>17510</v>
      </c>
      <c r="B4361" s="4" t="s">
        <v>661</v>
      </c>
      <c r="C4361" s="4" t="s">
        <v>287</v>
      </c>
      <c r="D4361" s="94">
        <v>1428.0</v>
      </c>
    </row>
    <row r="4362">
      <c r="A4362" s="40">
        <f t="array" ref="A4362">IFNA(index(PlayerValues!A:A,match(IFNA(vlookup(B4362,'Special Names'!A:B,2,FALSE),B4362),PlayerValues!E:E,0)),"N/A")</f>
        <v>13672</v>
      </c>
      <c r="B4362" s="4" t="s">
        <v>667</v>
      </c>
      <c r="C4362" s="4" t="s">
        <v>298</v>
      </c>
      <c r="D4362" s="94">
        <v>1790.0</v>
      </c>
    </row>
    <row r="4363">
      <c r="A4363" s="40">
        <f t="array" ref="A4363">IFNA(index(PlayerValues!A:A,match(IFNA(vlookup(B4363,'Special Names'!A:B,2,FALSE),B4363),PlayerValues!E:E,0)),"N/A")</f>
        <v>15713</v>
      </c>
      <c r="B4363" s="4" t="s">
        <v>732</v>
      </c>
      <c r="C4363" s="4" t="s">
        <v>278</v>
      </c>
      <c r="D4363" s="94">
        <v>1415.0</v>
      </c>
    </row>
    <row r="4364">
      <c r="A4364" s="40">
        <f t="array" ref="A4364">IFNA(index(PlayerValues!A:A,match(IFNA(vlookup(B4364,'Special Names'!A:B,2,FALSE),B4364),PlayerValues!E:E,0)),"N/A")</f>
        <v>13138</v>
      </c>
      <c r="B4364" s="4" t="s">
        <v>817</v>
      </c>
      <c r="C4364" s="4" t="s">
        <v>278</v>
      </c>
      <c r="D4364" s="94">
        <v>1405.0</v>
      </c>
    </row>
    <row r="4365">
      <c r="A4365" s="40">
        <f t="array" ref="A4365">IFNA(index(PlayerValues!A:A,match(IFNA(vlookup(B4365,'Special Names'!A:B,2,FALSE),B4365),PlayerValues!E:E,0)),"N/A")</f>
        <v>17470</v>
      </c>
      <c r="B4365" s="4" t="s">
        <v>841</v>
      </c>
      <c r="C4365" s="4" t="s">
        <v>283</v>
      </c>
      <c r="D4365" s="94">
        <v>1402.0</v>
      </c>
    </row>
    <row r="4366">
      <c r="A4366" s="40">
        <f t="array" ref="A4366">IFNA(index(PlayerValues!A:A,match(IFNA(vlookup(B4366,'Special Names'!A:B,2,FALSE),B4366),PlayerValues!E:E,0)),"N/A")</f>
        <v>15788</v>
      </c>
      <c r="B4366" s="4" t="s">
        <v>627</v>
      </c>
      <c r="C4366" s="4" t="s">
        <v>287</v>
      </c>
      <c r="D4366" s="94">
        <v>1398.0</v>
      </c>
    </row>
    <row r="4367">
      <c r="A4367" s="40">
        <f t="array" ref="A4367">IFNA(index(PlayerValues!A:A,match(IFNA(vlookup(B4367,'Special Names'!A:B,2,FALSE),B4367),PlayerValues!E:E,0)),"N/A")</f>
        <v>17269</v>
      </c>
      <c r="B4367" s="4" t="s">
        <v>718</v>
      </c>
      <c r="C4367" s="4" t="s">
        <v>287</v>
      </c>
      <c r="D4367" s="94">
        <v>1392.0</v>
      </c>
    </row>
    <row r="4368">
      <c r="A4368" s="40">
        <f t="array" ref="A4368">IFNA(index(PlayerValues!A:A,match(IFNA(vlookup(B4368,'Special Names'!A:B,2,FALSE),B4368),PlayerValues!E:E,0)),"N/A")</f>
        <v>17486</v>
      </c>
      <c r="B4368" s="4" t="s">
        <v>695</v>
      </c>
      <c r="C4368" s="4" t="s">
        <v>278</v>
      </c>
      <c r="D4368" s="94">
        <v>1389.0</v>
      </c>
    </row>
    <row r="4369">
      <c r="A4369" s="40">
        <f t="array" ref="A4369">IFNA(index(PlayerValues!A:A,match(IFNA(vlookup(B4369,'Special Names'!A:B,2,FALSE),B4369),PlayerValues!E:E,0)),"N/A")</f>
        <v>17062</v>
      </c>
      <c r="B4369" s="4" t="s">
        <v>701</v>
      </c>
      <c r="C4369" s="4" t="s">
        <v>278</v>
      </c>
      <c r="D4369" s="94">
        <v>1385.0</v>
      </c>
    </row>
    <row r="4370">
      <c r="A4370" s="40">
        <f t="array" ref="A4370">IFNA(index(PlayerValues!A:A,match(IFNA(vlookup(B4370,'Special Names'!A:B,2,FALSE),B4370),PlayerValues!E:E,0)),"N/A")</f>
        <v>17479</v>
      </c>
      <c r="B4370" s="4" t="s">
        <v>756</v>
      </c>
      <c r="C4370" s="4" t="s">
        <v>278</v>
      </c>
      <c r="D4370" s="94">
        <v>1385.0</v>
      </c>
    </row>
    <row r="4371">
      <c r="A4371" s="40">
        <f t="array" ref="A4371">IFNA(index(PlayerValues!A:A,match(IFNA(vlookup(B4371,'Special Names'!A:B,2,FALSE),B4371),PlayerValues!E:E,0)),"N/A")</f>
        <v>16631</v>
      </c>
      <c r="B4371" s="4" t="s">
        <v>800</v>
      </c>
      <c r="C4371" s="4" t="s">
        <v>287</v>
      </c>
      <c r="D4371" s="94">
        <v>1373.0</v>
      </c>
    </row>
    <row r="4372">
      <c r="A4372" s="40">
        <f t="array" ref="A4372">IFNA(index(PlayerValues!A:A,match(IFNA(vlookup(B4372,'Special Names'!A:B,2,FALSE),B4372),PlayerValues!E:E,0)),"N/A")</f>
        <v>17487</v>
      </c>
      <c r="B4372" s="4" t="s">
        <v>692</v>
      </c>
      <c r="C4372" s="4" t="s">
        <v>278</v>
      </c>
      <c r="D4372" s="94">
        <v>1343.0</v>
      </c>
    </row>
    <row r="4373">
      <c r="A4373" s="40">
        <f t="array" ref="A4373">IFNA(index(PlayerValues!A:A,match(IFNA(vlookup(B4373,'Special Names'!A:B,2,FALSE),B4373),PlayerValues!E:E,0)),"N/A")</f>
        <v>15797</v>
      </c>
      <c r="B4373" s="4" t="s">
        <v>556</v>
      </c>
      <c r="C4373" s="4" t="s">
        <v>298</v>
      </c>
      <c r="D4373" s="94">
        <v>1712.0</v>
      </c>
    </row>
    <row r="4374">
      <c r="A4374" s="40">
        <f t="array" ref="A4374">IFNA(index(PlayerValues!A:A,match(IFNA(vlookup(B4374,'Special Names'!A:B,2,FALSE),B4374),PlayerValues!E:E,0)),"N/A")</f>
        <v>15332</v>
      </c>
      <c r="B4374" s="4" t="s">
        <v>698</v>
      </c>
      <c r="C4374" s="4" t="s">
        <v>298</v>
      </c>
      <c r="D4374" s="94">
        <v>1708.0</v>
      </c>
    </row>
    <row r="4375">
      <c r="A4375" s="40">
        <f t="array" ref="A4375">IFNA(index(PlayerValues!A:A,match(IFNA(vlookup(B4375,'Special Names'!A:B,2,FALSE),B4375),PlayerValues!E:E,0)),"N/A")</f>
        <v>14137</v>
      </c>
      <c r="B4375" s="4" t="s">
        <v>676</v>
      </c>
      <c r="C4375" s="4" t="s">
        <v>298</v>
      </c>
      <c r="D4375" s="94">
        <v>1706.0</v>
      </c>
    </row>
    <row r="4376">
      <c r="A4376" s="40">
        <f t="array" ref="A4376">IFNA(index(PlayerValues!A:A,match(IFNA(vlookup(B4376,'Special Names'!A:B,2,FALSE),B4376),PlayerValues!E:E,0)),"N/A")</f>
        <v>15301</v>
      </c>
      <c r="B4376" s="4" t="s">
        <v>657</v>
      </c>
      <c r="C4376" s="4" t="s">
        <v>287</v>
      </c>
      <c r="D4376" s="94">
        <v>1326.0</v>
      </c>
    </row>
    <row r="4377">
      <c r="A4377" s="40">
        <f t="array" ref="A4377">IFNA(index(PlayerValues!A:A,match(IFNA(vlookup(B4377,'Special Names'!A:B,2,FALSE),B4377),PlayerValues!E:E,0)),"N/A")</f>
        <v>15873</v>
      </c>
      <c r="B4377" s="4" t="s">
        <v>681</v>
      </c>
      <c r="C4377" s="4" t="s">
        <v>298</v>
      </c>
      <c r="D4377" s="94">
        <v>1694.0</v>
      </c>
    </row>
    <row r="4378">
      <c r="A4378" s="40">
        <f t="array" ref="A4378">IFNA(index(PlayerValues!A:A,match(IFNA(vlookup(B4378,'Special Names'!A:B,2,FALSE),B4378),PlayerValues!E:E,0)),"N/A")</f>
        <v>16621</v>
      </c>
      <c r="B4378" s="4" t="s">
        <v>672</v>
      </c>
      <c r="C4378" s="4" t="s">
        <v>287</v>
      </c>
      <c r="D4378" s="94">
        <v>1321.0</v>
      </c>
    </row>
    <row r="4379">
      <c r="A4379" s="40">
        <f t="array" ref="A4379">IFNA(index(PlayerValues!A:A,match(IFNA(vlookup(B4379,'Special Names'!A:B,2,FALSE),B4379),PlayerValues!E:E,0)),"N/A")</f>
        <v>16642</v>
      </c>
      <c r="B4379" s="4" t="s">
        <v>691</v>
      </c>
      <c r="C4379" s="4" t="s">
        <v>298</v>
      </c>
      <c r="D4379" s="94">
        <v>1678.0</v>
      </c>
    </row>
    <row r="4380">
      <c r="A4380" s="40">
        <f t="array" ref="A4380">IFNA(index(PlayerValues!A:A,match(IFNA(vlookup(B4380,'Special Names'!A:B,2,FALSE),B4380),PlayerValues!E:E,0)),"N/A")</f>
        <v>16385</v>
      </c>
      <c r="B4380" s="4" t="s">
        <v>690</v>
      </c>
      <c r="C4380" s="4" t="s">
        <v>278</v>
      </c>
      <c r="D4380" s="94">
        <v>1304.0</v>
      </c>
    </row>
    <row r="4381">
      <c r="A4381" s="40" t="str">
        <f t="array" ref="A4381">IFNA(index(PlayerValues!A:A,match(IFNA(vlookup(B4381,'Special Names'!A:B,2,FALSE),B4381),PlayerValues!E:E,0)),"N/A")</f>
        <v>N/A</v>
      </c>
      <c r="B4381" s="4" t="s">
        <v>117</v>
      </c>
      <c r="C4381" s="4" t="s">
        <v>325</v>
      </c>
      <c r="D4381" s="94">
        <v>1289.0</v>
      </c>
    </row>
    <row r="4382">
      <c r="A4382" s="40">
        <f t="array" ref="A4382">IFNA(index(PlayerValues!A:A,match(IFNA(vlookup(B4382,'Special Names'!A:B,2,FALSE),B4382),PlayerValues!E:E,0)),"N/A")</f>
        <v>17526</v>
      </c>
      <c r="B4382" s="4" t="s">
        <v>760</v>
      </c>
      <c r="C4382" s="4" t="s">
        <v>287</v>
      </c>
      <c r="D4382" s="94">
        <v>1287.0</v>
      </c>
    </row>
    <row r="4383">
      <c r="A4383" s="40">
        <f t="array" ref="A4383">IFNA(index(PlayerValues!A:A,match(IFNA(vlookup(B4383,'Special Names'!A:B,2,FALSE),B4383),PlayerValues!E:E,0)),"N/A")</f>
        <v>14592</v>
      </c>
      <c r="B4383" s="4" t="s">
        <v>705</v>
      </c>
      <c r="C4383" s="4" t="s">
        <v>287</v>
      </c>
      <c r="D4383" s="94">
        <v>1276.0</v>
      </c>
    </row>
    <row r="4384">
      <c r="A4384" s="40">
        <f t="array" ref="A4384">IFNA(index(PlayerValues!A:A,match(IFNA(vlookup(B4384,'Special Names'!A:B,2,FALSE),B4384),PlayerValues!E:E,0)),"N/A")</f>
        <v>16175</v>
      </c>
      <c r="B4384" s="4" t="s">
        <v>654</v>
      </c>
      <c r="C4384" s="4" t="s">
        <v>278</v>
      </c>
      <c r="D4384" s="94">
        <v>1263.0</v>
      </c>
    </row>
    <row r="4385">
      <c r="A4385" s="40">
        <f t="array" ref="A4385">IFNA(index(PlayerValues!A:A,match(IFNA(vlookup(B4385,'Special Names'!A:B,2,FALSE),B4385),PlayerValues!E:E,0)),"N/A")</f>
        <v>15292</v>
      </c>
      <c r="B4385" s="4" t="s">
        <v>682</v>
      </c>
      <c r="C4385" s="4" t="s">
        <v>287</v>
      </c>
      <c r="D4385" s="94">
        <v>1262.0</v>
      </c>
    </row>
    <row r="4386">
      <c r="A4386" s="40">
        <f t="array" ref="A4386">IFNA(index(PlayerValues!A:A,match(IFNA(vlookup(B4386,'Special Names'!A:B,2,FALSE),B4386),PlayerValues!E:E,0)),"N/A")</f>
        <v>14086</v>
      </c>
      <c r="B4386" s="4" t="s">
        <v>639</v>
      </c>
      <c r="C4386" s="4" t="s">
        <v>278</v>
      </c>
      <c r="D4386" s="94">
        <v>1253.0</v>
      </c>
    </row>
    <row r="4387">
      <c r="A4387" s="40">
        <f t="array" ref="A4387">IFNA(index(PlayerValues!A:A,match(IFNA(vlookup(B4387,'Special Names'!A:B,2,FALSE),B4387),PlayerValues!E:E,0)),"N/A")</f>
        <v>14108</v>
      </c>
      <c r="B4387" s="4" t="s">
        <v>673</v>
      </c>
      <c r="C4387" s="4" t="s">
        <v>287</v>
      </c>
      <c r="D4387" s="94">
        <v>1249.0</v>
      </c>
    </row>
    <row r="4388">
      <c r="A4388" s="40">
        <f t="array" ref="A4388">IFNA(index(PlayerValues!A:A,match(IFNA(vlookup(B4388,'Special Names'!A:B,2,FALSE),B4388),PlayerValues!E:E,0)),"N/A")</f>
        <v>16451</v>
      </c>
      <c r="B4388" s="4" t="s">
        <v>769</v>
      </c>
      <c r="C4388" s="4" t="s">
        <v>287</v>
      </c>
      <c r="D4388" s="94">
        <v>1243.0</v>
      </c>
    </row>
    <row r="4389">
      <c r="A4389" s="40">
        <f t="array" ref="A4389">IFNA(index(PlayerValues!A:A,match(IFNA(vlookup(B4389,'Special Names'!A:B,2,FALSE),B4389),PlayerValues!E:E,0)),"N/A")</f>
        <v>15981</v>
      </c>
      <c r="B4389" s="4" t="s">
        <v>729</v>
      </c>
      <c r="C4389" s="4" t="s">
        <v>287</v>
      </c>
      <c r="D4389" s="94">
        <v>1230.0</v>
      </c>
    </row>
    <row r="4390">
      <c r="A4390" s="40">
        <f t="array" ref="A4390">IFNA(index(PlayerValues!A:A,match(IFNA(vlookup(B4390,'Special Names'!A:B,2,FALSE),B4390),PlayerValues!E:E,0)),"N/A")</f>
        <v>16183</v>
      </c>
      <c r="B4390" s="4" t="s">
        <v>678</v>
      </c>
      <c r="C4390" s="4" t="s">
        <v>287</v>
      </c>
      <c r="D4390" s="94">
        <v>1223.0</v>
      </c>
    </row>
    <row r="4391">
      <c r="A4391" s="40">
        <f t="array" ref="A4391">IFNA(index(PlayerValues!A:A,match(IFNA(vlookup(B4391,'Special Names'!A:B,2,FALSE),B4391),PlayerValues!E:E,0)),"N/A")</f>
        <v>12263</v>
      </c>
      <c r="B4391" s="4" t="s">
        <v>697</v>
      </c>
      <c r="C4391" s="4" t="s">
        <v>298</v>
      </c>
      <c r="D4391" s="94">
        <v>1588.0</v>
      </c>
    </row>
    <row r="4392">
      <c r="A4392" s="40">
        <f t="array" ref="A4392">IFNA(index(PlayerValues!A:A,match(IFNA(vlookup(B4392,'Special Names'!A:B,2,FALSE),B4392),PlayerValues!E:E,0)),"N/A")</f>
        <v>16792</v>
      </c>
      <c r="B4392" s="4" t="s">
        <v>704</v>
      </c>
      <c r="C4392" s="4" t="s">
        <v>287</v>
      </c>
      <c r="D4392" s="94">
        <v>1202.0</v>
      </c>
    </row>
    <row r="4393">
      <c r="A4393" s="40">
        <f t="array" ref="A4393">IFNA(index(PlayerValues!A:A,match(IFNA(vlookup(B4393,'Special Names'!A:B,2,FALSE),B4393),PlayerValues!E:E,0)),"N/A")</f>
        <v>16149</v>
      </c>
      <c r="B4393" s="4" t="s">
        <v>740</v>
      </c>
      <c r="C4393" s="4" t="s">
        <v>283</v>
      </c>
      <c r="D4393" s="94">
        <v>1198.0</v>
      </c>
    </row>
    <row r="4394">
      <c r="A4394" s="40">
        <f t="array" ref="A4394">IFNA(index(PlayerValues!A:A,match(IFNA(vlookup(B4394,'Special Names'!A:B,2,FALSE),B4394),PlayerValues!E:E,0)),"N/A")</f>
        <v>17063</v>
      </c>
      <c r="B4394" s="4" t="s">
        <v>686</v>
      </c>
      <c r="C4394" s="4" t="s">
        <v>278</v>
      </c>
      <c r="D4394" s="94">
        <v>1188.0</v>
      </c>
    </row>
    <row r="4395">
      <c r="A4395" s="40">
        <f t="array" ref="A4395">IFNA(index(PlayerValues!A:A,match(IFNA(vlookup(B4395,'Special Names'!A:B,2,FALSE),B4395),PlayerValues!E:E,0)),"N/A")</f>
        <v>15240</v>
      </c>
      <c r="B4395" s="4" t="s">
        <v>751</v>
      </c>
      <c r="C4395" s="4" t="s">
        <v>283</v>
      </c>
      <c r="D4395" s="94">
        <v>1186.0</v>
      </c>
    </row>
    <row r="4396">
      <c r="A4396" s="40">
        <f t="array" ref="A4396">IFNA(index(PlayerValues!A:A,match(IFNA(vlookup(B4396,'Special Names'!A:B,2,FALSE),B4396),PlayerValues!E:E,0)),"N/A")</f>
        <v>15702</v>
      </c>
      <c r="B4396" s="4" t="s">
        <v>723</v>
      </c>
      <c r="C4396" s="4" t="s">
        <v>283</v>
      </c>
      <c r="D4396" s="94">
        <v>1175.0</v>
      </c>
    </row>
    <row r="4397">
      <c r="A4397" s="40">
        <f t="array" ref="A4397">IFNA(index(PlayerValues!A:A,match(IFNA(vlookup(B4397,'Special Names'!A:B,2,FALSE),B4397),PlayerValues!E:E,0)),"N/A")</f>
        <v>16636</v>
      </c>
      <c r="B4397" s="4" t="s">
        <v>699</v>
      </c>
      <c r="C4397" s="4" t="s">
        <v>287</v>
      </c>
      <c r="D4397" s="94">
        <v>1172.0</v>
      </c>
    </row>
    <row r="4398">
      <c r="A4398" s="40">
        <f t="array" ref="A4398">IFNA(index(PlayerValues!A:A,match(IFNA(vlookup(B4398,'Special Names'!A:B,2,FALSE),B4398),PlayerValues!E:E,0)),"N/A")</f>
        <v>16746</v>
      </c>
      <c r="B4398" s="4" t="s">
        <v>709</v>
      </c>
      <c r="C4398" s="4" t="s">
        <v>278</v>
      </c>
      <c r="D4398" s="94">
        <v>1167.0</v>
      </c>
    </row>
    <row r="4399">
      <c r="A4399" s="40">
        <f t="array" ref="A4399">IFNA(index(PlayerValues!A:A,match(IFNA(vlookup(B4399,'Special Names'!A:B,2,FALSE),B4399),PlayerValues!E:E,0)),"N/A")</f>
        <v>16199</v>
      </c>
      <c r="B4399" s="4" t="s">
        <v>687</v>
      </c>
      <c r="C4399" s="4" t="s">
        <v>287</v>
      </c>
      <c r="D4399" s="94">
        <v>1160.0</v>
      </c>
    </row>
    <row r="4400">
      <c r="A4400" s="40">
        <f t="array" ref="A4400">IFNA(index(PlayerValues!A:A,match(IFNA(vlookup(B4400,'Special Names'!A:B,2,FALSE),B4400),PlayerValues!E:E,0)),"N/A")</f>
        <v>16645</v>
      </c>
      <c r="B4400" s="4" t="s">
        <v>651</v>
      </c>
      <c r="C4400" s="4" t="s">
        <v>298</v>
      </c>
      <c r="D4400" s="94">
        <v>1526.0</v>
      </c>
    </row>
    <row r="4401">
      <c r="A4401" s="40">
        <f t="array" ref="A4401">IFNA(index(PlayerValues!A:A,match(IFNA(vlookup(B4401,'Special Names'!A:B,2,FALSE),B4401),PlayerValues!E:E,0)),"N/A")</f>
        <v>16883</v>
      </c>
      <c r="B4401" s="4" t="s">
        <v>683</v>
      </c>
      <c r="C4401" s="4" t="s">
        <v>287</v>
      </c>
      <c r="D4401" s="94">
        <v>1160.0</v>
      </c>
    </row>
    <row r="4402">
      <c r="A4402" s="40">
        <f t="array" ref="A4402">IFNA(index(PlayerValues!A:A,match(IFNA(vlookup(B4402,'Special Names'!A:B,2,FALSE),B4402),PlayerValues!E:E,0)),"N/A")</f>
        <v>12678</v>
      </c>
      <c r="B4402" s="4" t="s">
        <v>703</v>
      </c>
      <c r="C4402" s="4" t="s">
        <v>298</v>
      </c>
      <c r="D4402" s="94">
        <v>1524.0</v>
      </c>
    </row>
    <row r="4403">
      <c r="A4403" s="40">
        <f t="array" ref="A4403">IFNA(index(PlayerValues!A:A,match(IFNA(vlookup(B4403,'Special Names'!A:B,2,FALSE),B4403),PlayerValues!E:E,0)),"N/A")</f>
        <v>14789</v>
      </c>
      <c r="B4403" s="4" t="s">
        <v>721</v>
      </c>
      <c r="C4403" s="4" t="s">
        <v>283</v>
      </c>
      <c r="D4403" s="94">
        <v>1153.0</v>
      </c>
    </row>
    <row r="4404">
      <c r="A4404" s="40">
        <f t="array" ref="A4404">IFNA(index(PlayerValues!A:A,match(IFNA(vlookup(B4404,'Special Names'!A:B,2,FALSE),B4404),PlayerValues!E:E,0)),"N/A")</f>
        <v>17097</v>
      </c>
      <c r="B4404" s="4" t="s">
        <v>659</v>
      </c>
      <c r="C4404" s="4" t="s">
        <v>287</v>
      </c>
      <c r="D4404" s="94">
        <v>1148.0</v>
      </c>
    </row>
    <row r="4405">
      <c r="A4405" s="40">
        <f t="array" ref="A4405">IFNA(index(PlayerValues!A:A,match(IFNA(vlookup(B4405,'Special Names'!A:B,2,FALSE),B4405),PlayerValues!E:E,0)),"N/A")</f>
        <v>17054</v>
      </c>
      <c r="B4405" s="4" t="s">
        <v>670</v>
      </c>
      <c r="C4405" s="4" t="s">
        <v>278</v>
      </c>
      <c r="D4405" s="94">
        <v>1136.0</v>
      </c>
    </row>
    <row r="4406">
      <c r="A4406" s="40">
        <f t="array" ref="A4406">IFNA(index(PlayerValues!A:A,match(IFNA(vlookup(B4406,'Special Names'!A:B,2,FALSE),B4406),PlayerValues!E:E,0)),"N/A")</f>
        <v>17050</v>
      </c>
      <c r="B4406" s="4" t="s">
        <v>713</v>
      </c>
      <c r="C4406" s="4" t="s">
        <v>278</v>
      </c>
      <c r="D4406" s="94">
        <v>1135.0</v>
      </c>
    </row>
    <row r="4407">
      <c r="A4407" s="40">
        <f t="array" ref="A4407">IFNA(index(PlayerValues!A:A,match(IFNA(vlookup(B4407,'Special Names'!A:B,2,FALSE),B4407),PlayerValues!E:E,0)),"N/A")</f>
        <v>15692</v>
      </c>
      <c r="B4407" s="4" t="s">
        <v>750</v>
      </c>
      <c r="C4407" s="4" t="s">
        <v>283</v>
      </c>
      <c r="D4407" s="94">
        <v>1134.0</v>
      </c>
    </row>
    <row r="4408">
      <c r="A4408" s="40">
        <f t="array" ref="A4408">IFNA(index(PlayerValues!A:A,match(IFNA(vlookup(B4408,'Special Names'!A:B,2,FALSE),B4408),PlayerValues!E:E,0)),"N/A")</f>
        <v>14845</v>
      </c>
      <c r="B4408" s="4" t="s">
        <v>717</v>
      </c>
      <c r="C4408" s="4" t="s">
        <v>287</v>
      </c>
      <c r="D4408" s="94">
        <v>1133.0</v>
      </c>
    </row>
    <row r="4409">
      <c r="A4409" s="40">
        <f t="array" ref="A4409">IFNA(index(PlayerValues!A:A,match(IFNA(vlookup(B4409,'Special Names'!A:B,2,FALSE),B4409),PlayerValues!E:E,0)),"N/A")</f>
        <v>16221</v>
      </c>
      <c r="B4409" s="4" t="s">
        <v>725</v>
      </c>
      <c r="C4409" s="4" t="s">
        <v>298</v>
      </c>
      <c r="D4409" s="94">
        <v>1500.0</v>
      </c>
    </row>
    <row r="4410">
      <c r="A4410" s="40">
        <f t="array" ref="A4410">IFNA(index(PlayerValues!A:A,match(IFNA(vlookup(B4410,'Special Names'!A:B,2,FALSE),B4410),PlayerValues!E:E,0)),"N/A")</f>
        <v>17109</v>
      </c>
      <c r="B4410" s="4" t="s">
        <v>707</v>
      </c>
      <c r="C4410" s="4" t="s">
        <v>298</v>
      </c>
      <c r="D4410" s="94">
        <v>1490.0</v>
      </c>
    </row>
    <row r="4411">
      <c r="A4411" s="40">
        <f t="array" ref="A4411">IFNA(index(PlayerValues!A:A,match(IFNA(vlookup(B4411,'Special Names'!A:B,2,FALSE),B4411),PlayerValues!E:E,0)),"N/A")</f>
        <v>13289</v>
      </c>
      <c r="B4411" s="4" t="s">
        <v>746</v>
      </c>
      <c r="C4411" s="4" t="s">
        <v>287</v>
      </c>
      <c r="D4411" s="94">
        <v>1117.0</v>
      </c>
    </row>
    <row r="4412">
      <c r="A4412" s="40">
        <f t="array" ref="A4412">IFNA(index(PlayerValues!A:A,match(IFNA(vlookup(B4412,'Special Names'!A:B,2,FALSE),B4412),PlayerValues!E:E,0)),"N/A")</f>
        <v>16333</v>
      </c>
      <c r="B4412" s="4" t="s">
        <v>711</v>
      </c>
      <c r="C4412" s="4" t="s">
        <v>298</v>
      </c>
      <c r="D4412" s="94">
        <v>1481.0</v>
      </c>
    </row>
    <row r="4413">
      <c r="A4413" s="40">
        <f t="array" ref="A4413">IFNA(index(PlayerValues!A:A,match(IFNA(vlookup(B4413,'Special Names'!A:B,2,FALSE),B4413),PlayerValues!E:E,0)),"N/A")</f>
        <v>15239</v>
      </c>
      <c r="B4413" s="4" t="s">
        <v>802</v>
      </c>
      <c r="C4413" s="4" t="s">
        <v>283</v>
      </c>
      <c r="D4413" s="94">
        <v>1113.0</v>
      </c>
    </row>
    <row r="4414">
      <c r="A4414" s="40">
        <f t="array" ref="A4414">IFNA(index(PlayerValues!A:A,match(IFNA(vlookup(B4414,'Special Names'!A:B,2,FALSE),B4414),PlayerValues!E:E,0)),"N/A")</f>
        <v>17192</v>
      </c>
      <c r="B4414" s="4" t="s">
        <v>677</v>
      </c>
      <c r="C4414" s="4" t="s">
        <v>287</v>
      </c>
      <c r="D4414" s="94">
        <v>1104.0</v>
      </c>
    </row>
    <row r="4415">
      <c r="A4415" s="40">
        <f t="array" ref="A4415">IFNA(index(PlayerValues!A:A,match(IFNA(vlookup(B4415,'Special Names'!A:B,2,FALSE),B4415),PlayerValues!E:E,0)),"N/A")</f>
        <v>15288</v>
      </c>
      <c r="B4415" s="4" t="s">
        <v>700</v>
      </c>
      <c r="C4415" s="4" t="s">
        <v>287</v>
      </c>
      <c r="D4415" s="94">
        <v>1102.0</v>
      </c>
    </row>
    <row r="4416">
      <c r="A4416" s="40">
        <f t="array" ref="A4416">IFNA(index(PlayerValues!A:A,match(IFNA(vlookup(B4416,'Special Names'!A:B,2,FALSE),B4416),PlayerValues!E:E,0)),"N/A")</f>
        <v>16384</v>
      </c>
      <c r="B4416" s="4" t="s">
        <v>696</v>
      </c>
      <c r="C4416" s="4" t="s">
        <v>283</v>
      </c>
      <c r="D4416" s="94">
        <v>1098.0</v>
      </c>
    </row>
    <row r="4417">
      <c r="A4417" s="40">
        <f t="array" ref="A4417">IFNA(index(PlayerValues!A:A,match(IFNA(vlookup(B4417,'Special Names'!A:B,2,FALSE),B4417),PlayerValues!E:E,0)),"N/A")</f>
        <v>17175</v>
      </c>
      <c r="B4417" s="4" t="s">
        <v>747</v>
      </c>
      <c r="C4417" s="4" t="s">
        <v>287</v>
      </c>
      <c r="D4417" s="94">
        <v>1091.0</v>
      </c>
    </row>
    <row r="4418">
      <c r="A4418" s="40">
        <f t="array" ref="A4418">IFNA(index(PlayerValues!A:A,match(IFNA(vlookup(B4418,'Special Names'!A:B,2,FALSE),B4418),PlayerValues!E:E,0)),"N/A")</f>
        <v>15717</v>
      </c>
      <c r="B4418" s="4" t="s">
        <v>745</v>
      </c>
      <c r="C4418" s="4" t="s">
        <v>278</v>
      </c>
      <c r="D4418" s="94">
        <v>1083.0</v>
      </c>
    </row>
    <row r="4419">
      <c r="A4419" s="40">
        <f t="array" ref="A4419">IFNA(index(PlayerValues!A:A,match(IFNA(vlookup(B4419,'Special Names'!A:B,2,FALSE),B4419),PlayerValues!E:E,0)),"N/A")</f>
        <v>15718</v>
      </c>
      <c r="B4419" s="4" t="s">
        <v>753</v>
      </c>
      <c r="C4419" s="4" t="s">
        <v>278</v>
      </c>
      <c r="D4419" s="94">
        <v>1079.0</v>
      </c>
    </row>
    <row r="4420">
      <c r="A4420" s="40">
        <f t="array" ref="A4420">IFNA(index(PlayerValues!A:A,match(IFNA(vlookup(B4420,'Special Names'!A:B,2,FALSE),B4420),PlayerValues!E:E,0)),"N/A")</f>
        <v>16197</v>
      </c>
      <c r="B4420" s="4" t="s">
        <v>726</v>
      </c>
      <c r="C4420" s="4" t="s">
        <v>287</v>
      </c>
      <c r="D4420" s="94">
        <v>1073.0</v>
      </c>
    </row>
    <row r="4421">
      <c r="A4421" s="40">
        <f t="array" ref="A4421">IFNA(index(PlayerValues!A:A,match(IFNA(vlookup(B4421,'Special Names'!A:B,2,FALSE),B4421),PlayerValues!E:E,0)),"N/A")</f>
        <v>16219</v>
      </c>
      <c r="B4421" s="4" t="s">
        <v>739</v>
      </c>
      <c r="C4421" s="4" t="s">
        <v>298</v>
      </c>
      <c r="D4421" s="94">
        <v>1439.0</v>
      </c>
    </row>
    <row r="4422">
      <c r="A4422" s="40">
        <f t="array" ref="A4422">IFNA(index(PlayerValues!A:A,match(IFNA(vlookup(B4422,'Special Names'!A:B,2,FALSE),B4422),PlayerValues!E:E,0)),"N/A")</f>
        <v>13610</v>
      </c>
      <c r="B4422" s="4" t="s">
        <v>825</v>
      </c>
      <c r="C4422" s="4" t="s">
        <v>278</v>
      </c>
      <c r="D4422" s="94">
        <v>1069.0</v>
      </c>
    </row>
    <row r="4423">
      <c r="A4423" s="40">
        <f t="array" ref="A4423">IFNA(index(PlayerValues!A:A,match(IFNA(vlookup(B4423,'Special Names'!A:B,2,FALSE),B4423),PlayerValues!E:E,0)),"N/A")</f>
        <v>15730</v>
      </c>
      <c r="B4423" s="4" t="s">
        <v>734</v>
      </c>
      <c r="C4423" s="4" t="s">
        <v>278</v>
      </c>
      <c r="D4423" s="94">
        <v>1069.0</v>
      </c>
    </row>
    <row r="4424">
      <c r="A4424" s="40">
        <f t="array" ref="A4424">IFNA(index(PlayerValues!A:A,match(IFNA(vlookup(B4424,'Special Names'!A:B,2,FALSE),B4424),PlayerValues!E:E,0)),"N/A")</f>
        <v>16387</v>
      </c>
      <c r="B4424" s="4" t="s">
        <v>646</v>
      </c>
      <c r="C4424" s="4" t="s">
        <v>278</v>
      </c>
      <c r="D4424" s="94">
        <v>1056.0</v>
      </c>
    </row>
    <row r="4425">
      <c r="A4425" s="40">
        <f t="array" ref="A4425">IFNA(index(PlayerValues!A:A,match(IFNA(vlookup(B4425,'Special Names'!A:B,2,FALSE),B4425),PlayerValues!E:E,0)),"N/A")</f>
        <v>16640</v>
      </c>
      <c r="B4425" s="4" t="s">
        <v>712</v>
      </c>
      <c r="C4425" s="4" t="s">
        <v>287</v>
      </c>
      <c r="D4425" s="94">
        <v>1055.0</v>
      </c>
    </row>
    <row r="4426">
      <c r="A4426" s="40">
        <f t="array" ref="A4426">IFNA(index(PlayerValues!A:A,match(IFNA(vlookup(B4426,'Special Names'!A:B,2,FALSE),B4426),PlayerValues!E:E,0)),"N/A")</f>
        <v>14849</v>
      </c>
      <c r="B4426" s="4" t="s">
        <v>733</v>
      </c>
      <c r="C4426" s="4" t="s">
        <v>287</v>
      </c>
      <c r="D4426" s="94">
        <v>1042.0</v>
      </c>
    </row>
    <row r="4427">
      <c r="A4427" s="40">
        <f t="array" ref="A4427">IFNA(index(PlayerValues!A:A,match(IFNA(vlookup(B4427,'Special Names'!A:B,2,FALSE),B4427),PlayerValues!E:E,0)),"N/A")</f>
        <v>14118</v>
      </c>
      <c r="B4427" s="4" t="s">
        <v>771</v>
      </c>
      <c r="C4427" s="4" t="s">
        <v>287</v>
      </c>
      <c r="D4427" s="94">
        <v>1038.0</v>
      </c>
    </row>
    <row r="4428">
      <c r="A4428" s="40">
        <f t="array" ref="A4428">IFNA(index(PlayerValues!A:A,match(IFNA(vlookup(B4428,'Special Names'!A:B,2,FALSE),B4428),PlayerValues!E:E,0)),"N/A")</f>
        <v>15720</v>
      </c>
      <c r="B4428" s="4" t="s">
        <v>795</v>
      </c>
      <c r="C4428" s="4" t="s">
        <v>278</v>
      </c>
      <c r="D4428" s="94">
        <v>1033.0</v>
      </c>
    </row>
    <row r="4429">
      <c r="A4429" s="40">
        <f t="array" ref="A4429">IFNA(index(PlayerValues!A:A,match(IFNA(vlookup(B4429,'Special Names'!A:B,2,FALSE),B4429),PlayerValues!E:E,0)),"N/A")</f>
        <v>15693</v>
      </c>
      <c r="B4429" s="4" t="s">
        <v>755</v>
      </c>
      <c r="C4429" s="4" t="s">
        <v>283</v>
      </c>
      <c r="D4429" s="94">
        <v>1029.0</v>
      </c>
    </row>
    <row r="4430">
      <c r="A4430" s="40">
        <f t="array" ref="A4430">IFNA(index(PlayerValues!A:A,match(IFNA(vlookup(B4430,'Special Names'!A:B,2,FALSE),B4430),PlayerValues!E:E,0)),"N/A")</f>
        <v>15785</v>
      </c>
      <c r="B4430" s="4" t="s">
        <v>763</v>
      </c>
      <c r="C4430" s="4" t="s">
        <v>287</v>
      </c>
      <c r="D4430" s="94">
        <v>1027.0</v>
      </c>
    </row>
    <row r="4431">
      <c r="A4431" s="40">
        <f t="array" ref="A4431">IFNA(index(PlayerValues!A:A,match(IFNA(vlookup(B4431,'Special Names'!A:B,2,FALSE),B4431),PlayerValues!E:E,0)),"N/A")</f>
        <v>13143</v>
      </c>
      <c r="B4431" s="4" t="s">
        <v>786</v>
      </c>
      <c r="C4431" s="4" t="s">
        <v>278</v>
      </c>
      <c r="D4431" s="94">
        <v>1024.0</v>
      </c>
    </row>
    <row r="4432">
      <c r="A4432" s="40">
        <f t="array" ref="A4432">IFNA(index(PlayerValues!A:A,match(IFNA(vlookup(B4432,'Special Names'!A:B,2,FALSE),B4432),PlayerValues!E:E,0)),"N/A")</f>
        <v>15626</v>
      </c>
      <c r="B4432" s="4" t="s">
        <v>766</v>
      </c>
      <c r="C4432" s="4" t="s">
        <v>298</v>
      </c>
      <c r="D4432" s="94">
        <v>1389.0</v>
      </c>
    </row>
    <row r="4433">
      <c r="A4433" s="40">
        <f t="array" ref="A4433">IFNA(index(PlayerValues!A:A,match(IFNA(vlookup(B4433,'Special Names'!A:B,2,FALSE),B4433),PlayerValues!E:E,0)),"N/A")</f>
        <v>16637</v>
      </c>
      <c r="B4433" s="4" t="s">
        <v>736</v>
      </c>
      <c r="C4433" s="4" t="s">
        <v>287</v>
      </c>
      <c r="D4433" s="94">
        <v>1014.0</v>
      </c>
    </row>
    <row r="4434">
      <c r="A4434" s="40">
        <f t="array" ref="A4434">IFNA(index(PlayerValues!A:A,match(IFNA(vlookup(B4434,'Special Names'!A:B,2,FALSE),B4434),PlayerValues!E:E,0)),"N/A")</f>
        <v>15283</v>
      </c>
      <c r="B4434" s="4" t="s">
        <v>844</v>
      </c>
      <c r="C4434" s="4" t="s">
        <v>287</v>
      </c>
      <c r="D4434" s="94">
        <v>1006.0</v>
      </c>
    </row>
    <row r="4435">
      <c r="A4435" s="40">
        <f t="array" ref="A4435">IFNA(index(PlayerValues!A:A,match(IFNA(vlookup(B4435,'Special Names'!A:B,2,FALSE),B4435),PlayerValues!E:E,0)),"N/A")</f>
        <v>17057</v>
      </c>
      <c r="B4435" s="4" t="s">
        <v>708</v>
      </c>
      <c r="C4435" s="4" t="s">
        <v>278</v>
      </c>
      <c r="D4435" s="94">
        <v>1005.0</v>
      </c>
    </row>
    <row r="4436">
      <c r="A4436" s="40">
        <f t="array" ref="A4436">IFNA(index(PlayerValues!A:A,match(IFNA(vlookup(B4436,'Special Names'!A:B,2,FALSE),B4436),PlayerValues!E:E,0)),"N/A")</f>
        <v>17467</v>
      </c>
      <c r="B4436" s="4" t="s">
        <v>575</v>
      </c>
      <c r="C4436" s="4" t="s">
        <v>283</v>
      </c>
      <c r="D4436" s="94">
        <v>1003.0</v>
      </c>
    </row>
    <row r="4437">
      <c r="A4437" s="40">
        <f t="array" ref="A4437">IFNA(index(PlayerValues!A:A,match(IFNA(vlookup(B4437,'Special Names'!A:B,2,FALSE),B4437),PlayerValues!E:E,0)),"N/A")</f>
        <v>16168</v>
      </c>
      <c r="B4437" s="4" t="s">
        <v>738</v>
      </c>
      <c r="C4437" s="4" t="s">
        <v>278</v>
      </c>
      <c r="D4437" s="94">
        <v>1000.0</v>
      </c>
    </row>
    <row r="4438">
      <c r="A4438" s="40">
        <f t="array" ref="A4438">IFNA(index(PlayerValues!A:A,match(IFNA(vlookup(B4438,'Special Names'!A:B,2,FALSE),B4438),PlayerValues!E:E,0)),"N/A")</f>
        <v>16648</v>
      </c>
      <c r="B4438" s="4" t="s">
        <v>748</v>
      </c>
      <c r="C4438" s="4" t="s">
        <v>298</v>
      </c>
      <c r="D4438" s="94">
        <v>1366.0</v>
      </c>
    </row>
    <row r="4439">
      <c r="A4439" s="40">
        <f t="array" ref="A4439">IFNA(index(PlayerValues!A:A,match(IFNA(vlookup(B4439,'Special Names'!A:B,2,FALSE),B4439),PlayerValues!E:E,0)),"N/A")</f>
        <v>16393</v>
      </c>
      <c r="B4439" s="4" t="s">
        <v>768</v>
      </c>
      <c r="C4439" s="4" t="s">
        <v>287</v>
      </c>
      <c r="D4439" s="94">
        <v>995.0</v>
      </c>
    </row>
    <row r="4440">
      <c r="A4440" s="40">
        <f t="array" ref="A4440">IFNA(index(PlayerValues!A:A,match(IFNA(vlookup(B4440,'Special Names'!A:B,2,FALSE),B4440),PlayerValues!E:E,0)),"N/A")</f>
        <v>16159</v>
      </c>
      <c r="B4440" s="4" t="s">
        <v>819</v>
      </c>
      <c r="C4440" s="4" t="s">
        <v>283</v>
      </c>
      <c r="D4440" s="94">
        <v>993.0</v>
      </c>
    </row>
    <row r="4441">
      <c r="A4441" s="40">
        <f t="array" ref="A4441">IFNA(index(PlayerValues!A:A,match(IFNA(vlookup(B4441,'Special Names'!A:B,2,FALSE),B4441),PlayerValues!E:E,0)),"N/A")</f>
        <v>16858</v>
      </c>
      <c r="B4441" s="4" t="s">
        <v>754</v>
      </c>
      <c r="C4441" s="4" t="s">
        <v>287</v>
      </c>
      <c r="D4441" s="94">
        <v>990.0</v>
      </c>
    </row>
    <row r="4442">
      <c r="A4442" s="40">
        <f t="array" ref="A4442">IFNA(index(PlayerValues!A:A,match(IFNA(vlookup(B4442,'Special Names'!A:B,2,FALSE),B4442),PlayerValues!E:E,0)),"N/A")</f>
        <v>15330</v>
      </c>
      <c r="B4442" s="4" t="s">
        <v>749</v>
      </c>
      <c r="C4442" s="4" t="s">
        <v>298</v>
      </c>
      <c r="D4442" s="94">
        <v>1354.0</v>
      </c>
    </row>
    <row r="4443">
      <c r="A4443" s="40">
        <f t="array" ref="A4443">IFNA(index(PlayerValues!A:A,match(IFNA(vlookup(B4443,'Special Names'!A:B,2,FALSE),B4443),PlayerValues!E:E,0)),"N/A")</f>
        <v>16957</v>
      </c>
      <c r="B4443" s="4" t="s">
        <v>806</v>
      </c>
      <c r="C4443" s="4" t="s">
        <v>278</v>
      </c>
      <c r="D4443" s="94">
        <v>964.0</v>
      </c>
    </row>
    <row r="4444">
      <c r="A4444" s="40">
        <f t="array" ref="A4444">IFNA(index(PlayerValues!A:A,match(IFNA(vlookup(B4444,'Special Names'!A:B,2,FALSE),B4444),PlayerValues!E:E,0)),"N/A")</f>
        <v>9064</v>
      </c>
      <c r="B4444" s="4" t="s">
        <v>761</v>
      </c>
      <c r="C4444" s="4" t="s">
        <v>283</v>
      </c>
      <c r="D4444" s="94">
        <v>950.0</v>
      </c>
    </row>
    <row r="4445">
      <c r="A4445" s="40">
        <f t="array" ref="A4445">IFNA(index(PlayerValues!A:A,match(IFNA(vlookup(B4445,'Special Names'!A:B,2,FALSE),B4445),PlayerValues!E:E,0)),"N/A")</f>
        <v>14067</v>
      </c>
      <c r="B4445" s="4" t="s">
        <v>735</v>
      </c>
      <c r="C4445" s="4" t="s">
        <v>283</v>
      </c>
      <c r="D4445" s="94">
        <v>947.0</v>
      </c>
    </row>
    <row r="4446">
      <c r="A4446" s="40">
        <f t="array" ref="A4446">IFNA(index(PlayerValues!A:A,match(IFNA(vlookup(B4446,'Special Names'!A:B,2,FALSE),B4446),PlayerValues!E:E,0)),"N/A")</f>
        <v>15766</v>
      </c>
      <c r="B4446" s="4" t="s">
        <v>759</v>
      </c>
      <c r="C4446" s="4" t="s">
        <v>287</v>
      </c>
      <c r="D4446" s="94">
        <v>946.0</v>
      </c>
    </row>
    <row r="4447">
      <c r="A4447" s="40">
        <f t="array" ref="A4447">IFNA(index(PlayerValues!A:A,match(IFNA(vlookup(B4447,'Special Names'!A:B,2,FALSE),B4447),PlayerValues!E:E,0)),"N/A")</f>
        <v>14852</v>
      </c>
      <c r="B4447" s="4" t="s">
        <v>837</v>
      </c>
      <c r="C4447" s="4" t="s">
        <v>278</v>
      </c>
      <c r="D4447" s="94">
        <v>945.0</v>
      </c>
    </row>
    <row r="4448">
      <c r="A4448" s="40">
        <f t="array" ref="A4448">IFNA(index(PlayerValues!A:A,match(IFNA(vlookup(B4448,'Special Names'!A:B,2,FALSE),B4448),PlayerValues!E:E,0)),"N/A")</f>
        <v>16205</v>
      </c>
      <c r="B4448" s="4" t="s">
        <v>742</v>
      </c>
      <c r="C4448" s="4" t="s">
        <v>287</v>
      </c>
      <c r="D4448" s="94">
        <v>945.0</v>
      </c>
    </row>
    <row r="4449">
      <c r="A4449" s="40">
        <f t="array" ref="A4449">IFNA(index(PlayerValues!A:A,match(IFNA(vlookup(B4449,'Special Names'!A:B,2,FALSE),B4449),PlayerValues!E:E,0)),"N/A")</f>
        <v>17337</v>
      </c>
      <c r="B4449" s="4" t="s">
        <v>793</v>
      </c>
      <c r="C4449" s="4" t="s">
        <v>278</v>
      </c>
      <c r="D4449" s="94">
        <v>942.0</v>
      </c>
    </row>
    <row r="4450">
      <c r="A4450" s="40">
        <f t="array" ref="A4450">IFNA(index(PlayerValues!A:A,match(IFNA(vlookup(B4450,'Special Names'!A:B,2,FALSE),B4450),PlayerValues!E:E,0)),"N/A")</f>
        <v>13156</v>
      </c>
      <c r="B4450" s="4" t="s">
        <v>835</v>
      </c>
      <c r="C4450" s="4" t="s">
        <v>287</v>
      </c>
      <c r="D4450" s="94">
        <v>938.0</v>
      </c>
    </row>
    <row r="4451">
      <c r="A4451" s="40">
        <f t="array" ref="A4451">IFNA(index(PlayerValues!A:A,match(IFNA(vlookup(B4451,'Special Names'!A:B,2,FALSE),B4451),PlayerValues!E:E,0)),"N/A")</f>
        <v>13133</v>
      </c>
      <c r="B4451" s="4" t="s">
        <v>764</v>
      </c>
      <c r="C4451" s="4" t="s">
        <v>278</v>
      </c>
      <c r="D4451" s="94">
        <v>937.0</v>
      </c>
    </row>
    <row r="4452">
      <c r="A4452" s="40">
        <f t="array" ref="A4452">IFNA(index(PlayerValues!A:A,match(IFNA(vlookup(B4452,'Special Names'!A:B,2,FALSE),B4452),PlayerValues!E:E,0)),"N/A")</f>
        <v>14864</v>
      </c>
      <c r="B4452" s="4" t="s">
        <v>789</v>
      </c>
      <c r="C4452" s="4" t="s">
        <v>287</v>
      </c>
      <c r="D4452" s="94">
        <v>932.0</v>
      </c>
    </row>
    <row r="4453">
      <c r="A4453" s="40">
        <f t="array" ref="A4453">IFNA(index(PlayerValues!A:A,match(IFNA(vlookup(B4453,'Special Names'!A:B,2,FALSE),B4453),PlayerValues!E:E,0)),"N/A")</f>
        <v>14057</v>
      </c>
      <c r="B4453" s="4" t="s">
        <v>765</v>
      </c>
      <c r="C4453" s="4" t="s">
        <v>283</v>
      </c>
      <c r="D4453" s="94">
        <v>929.0</v>
      </c>
    </row>
    <row r="4454">
      <c r="A4454" s="40">
        <f t="array" ref="A4454">IFNA(index(PlayerValues!A:A,match(IFNA(vlookup(B4454,'Special Names'!A:B,2,FALSE),B4454),PlayerValues!E:E,0)),"N/A")</f>
        <v>13595</v>
      </c>
      <c r="B4454" s="4" t="s">
        <v>818</v>
      </c>
      <c r="C4454" s="4" t="s">
        <v>283</v>
      </c>
      <c r="D4454" s="94">
        <v>929.0</v>
      </c>
    </row>
    <row r="4455">
      <c r="A4455" s="40">
        <f t="array" ref="A4455">IFNA(index(PlayerValues!A:A,match(IFNA(vlookup(B4455,'Special Names'!A:B,2,FALSE),B4455),PlayerValues!E:E,0)),"N/A")</f>
        <v>15109</v>
      </c>
      <c r="B4455" s="4" t="s">
        <v>728</v>
      </c>
      <c r="C4455" s="4" t="s">
        <v>287</v>
      </c>
      <c r="D4455" s="94">
        <v>927.0</v>
      </c>
    </row>
    <row r="4456">
      <c r="A4456" s="40">
        <f t="array" ref="A4456">IFNA(index(PlayerValues!A:A,match(IFNA(vlookup(B4456,'Special Names'!A:B,2,FALSE),B4456),PlayerValues!E:E,0)),"N/A")</f>
        <v>12785</v>
      </c>
      <c r="B4456" s="4" t="s">
        <v>772</v>
      </c>
      <c r="C4456" s="4" t="s">
        <v>287</v>
      </c>
      <c r="D4456" s="94">
        <v>924.0</v>
      </c>
    </row>
    <row r="4457">
      <c r="A4457" s="40">
        <f t="array" ref="A4457">IFNA(index(PlayerValues!A:A,match(IFNA(vlookup(B4457,'Special Names'!A:B,2,FALSE),B4457),PlayerValues!E:E,0)),"N/A")</f>
        <v>16624</v>
      </c>
      <c r="B4457" s="4" t="s">
        <v>796</v>
      </c>
      <c r="C4457" s="4" t="s">
        <v>287</v>
      </c>
      <c r="D4457" s="94">
        <v>922.0</v>
      </c>
    </row>
    <row r="4458">
      <c r="A4458" s="40">
        <f t="array" ref="A4458">IFNA(index(PlayerValues!A:A,match(IFNA(vlookup(B4458,'Special Names'!A:B,2,FALSE),B4458),PlayerValues!E:E,0)),"N/A")</f>
        <v>14079</v>
      </c>
      <c r="B4458" s="4" t="s">
        <v>830</v>
      </c>
      <c r="C4458" s="4" t="s">
        <v>278</v>
      </c>
      <c r="D4458" s="94">
        <v>919.0</v>
      </c>
    </row>
    <row r="4459">
      <c r="A4459" s="40">
        <f t="array" ref="A4459">IFNA(index(PlayerValues!A:A,match(IFNA(vlookup(B4459,'Special Names'!A:B,2,FALSE),B4459),PlayerValues!E:E,0)),"N/A")</f>
        <v>11247</v>
      </c>
      <c r="B4459" s="4" t="s">
        <v>816</v>
      </c>
      <c r="C4459" s="4" t="s">
        <v>298</v>
      </c>
      <c r="D4459" s="94">
        <v>1280.0</v>
      </c>
    </row>
    <row r="4460">
      <c r="A4460" s="40">
        <f t="array" ref="A4460">IFNA(index(PlayerValues!A:A,match(IFNA(vlookup(B4460,'Special Names'!A:B,2,FALSE),B4460),PlayerValues!E:E,0)),"N/A")</f>
        <v>16176</v>
      </c>
      <c r="B4460" s="4" t="s">
        <v>812</v>
      </c>
      <c r="C4460" s="4" t="s">
        <v>278</v>
      </c>
      <c r="D4460" s="94">
        <v>907.0</v>
      </c>
    </row>
    <row r="4461">
      <c r="A4461" s="40">
        <f t="array" ref="A4461">IFNA(index(PlayerValues!A:A,match(IFNA(vlookup(B4461,'Special Names'!A:B,2,FALSE),B4461),PlayerValues!E:E,0)),"N/A")</f>
        <v>17488</v>
      </c>
      <c r="B4461" s="4" t="s">
        <v>845</v>
      </c>
      <c r="C4461" s="4" t="s">
        <v>278</v>
      </c>
      <c r="D4461" s="94">
        <v>907.0</v>
      </c>
    </row>
    <row r="4462">
      <c r="A4462" s="40">
        <f t="array" ref="A4462">IFNA(index(PlayerValues!A:A,match(IFNA(vlookup(B4462,'Special Names'!A:B,2,FALSE),B4462),PlayerValues!E:E,0)),"N/A")</f>
        <v>15723</v>
      </c>
      <c r="B4462" s="4" t="s">
        <v>798</v>
      </c>
      <c r="C4462" s="4" t="s">
        <v>278</v>
      </c>
      <c r="D4462" s="94">
        <v>904.0</v>
      </c>
    </row>
    <row r="4463">
      <c r="A4463" s="40">
        <f t="array" ref="A4463">IFNA(index(PlayerValues!A:A,match(IFNA(vlookup(B4463,'Special Names'!A:B,2,FALSE),B4463),PlayerValues!E:E,0)),"N/A")</f>
        <v>16773</v>
      </c>
      <c r="B4463" s="4" t="s">
        <v>783</v>
      </c>
      <c r="C4463" s="4" t="s">
        <v>278</v>
      </c>
      <c r="D4463" s="94">
        <v>900.0</v>
      </c>
    </row>
    <row r="4464">
      <c r="A4464" s="40">
        <f t="array" ref="A4464">IFNA(index(PlayerValues!A:A,match(IFNA(vlookup(B4464,'Special Names'!A:B,2,FALSE),B4464),PlayerValues!E:E,0)),"N/A")</f>
        <v>13763</v>
      </c>
      <c r="B4464" s="4" t="s">
        <v>831</v>
      </c>
      <c r="C4464" s="4" t="s">
        <v>298</v>
      </c>
      <c r="D4464" s="94">
        <v>1270.0</v>
      </c>
    </row>
    <row r="4465">
      <c r="A4465" s="40">
        <f t="array" ref="A4465">IFNA(index(PlayerValues!A:A,match(IFNA(vlookup(B4465,'Special Names'!A:B,2,FALSE),B4465),PlayerValues!E:E,0)),"N/A")</f>
        <v>16599</v>
      </c>
      <c r="B4465" s="4" t="s">
        <v>737</v>
      </c>
      <c r="C4465" s="4" t="s">
        <v>278</v>
      </c>
      <c r="D4465" s="94">
        <v>894.0</v>
      </c>
    </row>
    <row r="4466">
      <c r="A4466" s="40">
        <f t="array" ref="A4466">IFNA(index(PlayerValues!A:A,match(IFNA(vlookup(B4466,'Special Names'!A:B,2,FALSE),B4466),PlayerValues!E:E,0)),"N/A")</f>
        <v>11232</v>
      </c>
      <c r="B4466" s="4" t="s">
        <v>826</v>
      </c>
      <c r="C4466" s="4" t="s">
        <v>287</v>
      </c>
      <c r="D4466" s="94">
        <v>878.0</v>
      </c>
    </row>
    <row r="4467">
      <c r="A4467" s="40">
        <f t="array" ref="A4467">IFNA(index(PlayerValues!A:A,match(IFNA(vlookup(B4467,'Special Names'!A:B,2,FALSE),B4467),PlayerValues!E:E,0)),"N/A")</f>
        <v>16686</v>
      </c>
      <c r="B4467" s="4" t="s">
        <v>805</v>
      </c>
      <c r="C4467" s="4" t="s">
        <v>287</v>
      </c>
      <c r="D4467" s="94">
        <v>877.0</v>
      </c>
    </row>
    <row r="4468">
      <c r="A4468" s="40">
        <f t="array" ref="A4468">IFNA(index(PlayerValues!A:A,match(IFNA(vlookup(B4468,'Special Names'!A:B,2,FALSE),B4468),PlayerValues!E:E,0)),"N/A")</f>
        <v>14799</v>
      </c>
      <c r="B4468" s="4" t="s">
        <v>829</v>
      </c>
      <c r="C4468" s="4" t="s">
        <v>278</v>
      </c>
      <c r="D4468" s="94">
        <v>870.0</v>
      </c>
    </row>
    <row r="4469">
      <c r="A4469" s="40">
        <f t="array" ref="A4469">IFNA(index(PlayerValues!A:A,match(IFNA(vlookup(B4469,'Special Names'!A:B,2,FALSE),B4469),PlayerValues!E:E,0)),"N/A")</f>
        <v>15796</v>
      </c>
      <c r="B4469" s="4" t="s">
        <v>794</v>
      </c>
      <c r="C4469" s="4" t="s">
        <v>298</v>
      </c>
      <c r="D4469" s="94">
        <v>1242.0</v>
      </c>
    </row>
    <row r="4470">
      <c r="A4470" s="40">
        <f t="array" ref="A4470">IFNA(index(PlayerValues!A:A,match(IFNA(vlookup(B4470,'Special Names'!A:B,2,FALSE),B4470),PlayerValues!E:E,0)),"N/A")</f>
        <v>15263</v>
      </c>
      <c r="B4470" s="4" t="s">
        <v>804</v>
      </c>
      <c r="C4470" s="4" t="s">
        <v>278</v>
      </c>
      <c r="D4470" s="94">
        <v>869.0</v>
      </c>
    </row>
    <row r="4471">
      <c r="A4471" s="40">
        <f t="array" ref="A4471">IFNA(index(PlayerValues!A:A,match(IFNA(vlookup(B4471,'Special Names'!A:B,2,FALSE),B4471),PlayerValues!E:E,0)),"N/A")</f>
        <v>16416</v>
      </c>
      <c r="B4471" s="4" t="s">
        <v>752</v>
      </c>
      <c r="C4471" s="4" t="s">
        <v>287</v>
      </c>
      <c r="D4471" s="94">
        <v>869.0</v>
      </c>
    </row>
    <row r="4472">
      <c r="A4472" s="40">
        <f t="array" ref="A4472">IFNA(index(PlayerValues!A:A,match(IFNA(vlookup(B4472,'Special Names'!A:B,2,FALSE),B4472),PlayerValues!E:E,0)),"N/A")</f>
        <v>13157</v>
      </c>
      <c r="B4472" s="4" t="s">
        <v>836</v>
      </c>
      <c r="C4472" s="4" t="s">
        <v>287</v>
      </c>
      <c r="D4472" s="94">
        <v>868.0</v>
      </c>
    </row>
    <row r="4473">
      <c r="A4473" s="40">
        <f t="array" ref="A4473">IFNA(index(PlayerValues!A:A,match(IFNA(vlookup(B4473,'Special Names'!A:B,2,FALSE),B4473),PlayerValues!E:E,0)),"N/A")</f>
        <v>16608</v>
      </c>
      <c r="B4473" s="4" t="s">
        <v>629</v>
      </c>
      <c r="C4473" s="4" t="s">
        <v>278</v>
      </c>
      <c r="D4473" s="94">
        <v>860.0</v>
      </c>
    </row>
    <row r="4474">
      <c r="A4474" s="40">
        <f t="array" ref="A4474">IFNA(index(PlayerValues!A:A,match(IFNA(vlookup(B4474,'Special Names'!A:B,2,FALSE),B4474),PlayerValues!E:E,0)),"N/A")</f>
        <v>16751</v>
      </c>
      <c r="B4474" s="4" t="s">
        <v>762</v>
      </c>
      <c r="C4474" s="4" t="s">
        <v>287</v>
      </c>
      <c r="D4474" s="94">
        <v>859.0</v>
      </c>
    </row>
    <row r="4475">
      <c r="A4475" s="40">
        <f t="array" ref="A4475">IFNA(index(PlayerValues!A:A,match(IFNA(vlookup(B4475,'Special Names'!A:B,2,FALSE),B4475),PlayerValues!E:E,0)),"N/A")</f>
        <v>15714</v>
      </c>
      <c r="B4475" s="4" t="s">
        <v>775</v>
      </c>
      <c r="C4475" s="4" t="s">
        <v>278</v>
      </c>
      <c r="D4475" s="94">
        <v>855.0</v>
      </c>
    </row>
    <row r="4476">
      <c r="A4476" s="40">
        <f t="array" ref="A4476">IFNA(index(PlayerValues!A:A,match(IFNA(vlookup(B4476,'Special Names'!A:B,2,FALSE),B4476),PlayerValues!E:E,0)),"N/A")</f>
        <v>15804</v>
      </c>
      <c r="B4476" s="4" t="s">
        <v>821</v>
      </c>
      <c r="C4476" s="4" t="s">
        <v>298</v>
      </c>
      <c r="D4476" s="94">
        <v>1226.0</v>
      </c>
    </row>
    <row r="4477">
      <c r="A4477" s="40">
        <f t="array" ref="A4477">IFNA(index(PlayerValues!A:A,match(IFNA(vlookup(B4477,'Special Names'!A:B,2,FALSE),B4477),PlayerValues!E:E,0)),"N/A")</f>
        <v>16623</v>
      </c>
      <c r="B4477" s="4" t="s">
        <v>803</v>
      </c>
      <c r="C4477" s="4" t="s">
        <v>287</v>
      </c>
      <c r="D4477" s="94">
        <v>847.0</v>
      </c>
    </row>
    <row r="4478">
      <c r="A4478" s="40">
        <f t="array" ref="A4478">IFNA(index(PlayerValues!A:A,match(IFNA(vlookup(B4478,'Special Names'!A:B,2,FALSE),B4478),PlayerValues!E:E,0)),"N/A")</f>
        <v>13172</v>
      </c>
      <c r="B4478" s="4" t="s">
        <v>840</v>
      </c>
      <c r="C4478" s="4" t="s">
        <v>287</v>
      </c>
      <c r="D4478" s="94">
        <v>845.0</v>
      </c>
    </row>
    <row r="4479">
      <c r="A4479" s="40">
        <f t="array" ref="A4479">IFNA(index(PlayerValues!A:A,match(IFNA(vlookup(B4479,'Special Names'!A:B,2,FALSE),B4479),PlayerValues!E:E,0)),"N/A")</f>
        <v>15795</v>
      </c>
      <c r="B4479" s="4" t="s">
        <v>669</v>
      </c>
      <c r="C4479" s="4" t="s">
        <v>298</v>
      </c>
      <c r="D4479" s="94">
        <v>1209.0</v>
      </c>
    </row>
    <row r="4480">
      <c r="A4480" s="40">
        <f t="array" ref="A4480">IFNA(index(PlayerValues!A:A,match(IFNA(vlookup(B4480,'Special Names'!A:B,2,FALSE),B4480),PlayerValues!E:E,0)),"N/A")</f>
        <v>16625</v>
      </c>
      <c r="B4480" s="4" t="s">
        <v>778</v>
      </c>
      <c r="C4480" s="4" t="s">
        <v>287</v>
      </c>
      <c r="D4480" s="94">
        <v>830.0</v>
      </c>
    </row>
    <row r="4481">
      <c r="A4481" s="40">
        <f t="array" ref="A4481">IFNA(index(PlayerValues!A:A,match(IFNA(vlookup(B4481,'Special Names'!A:B,2,FALSE),B4481),PlayerValues!E:E,0)),"N/A")</f>
        <v>14209</v>
      </c>
      <c r="B4481" s="4" t="s">
        <v>809</v>
      </c>
      <c r="C4481" s="4" t="s">
        <v>298</v>
      </c>
      <c r="D4481" s="94">
        <v>1198.0</v>
      </c>
    </row>
    <row r="4482">
      <c r="A4482" s="40">
        <f t="array" ref="A4482">IFNA(index(PlayerValues!A:A,match(IFNA(vlookup(B4482,'Special Names'!A:B,2,FALSE),B4482),PlayerValues!E:E,0)),"N/A")</f>
        <v>15271</v>
      </c>
      <c r="B4482" s="4" t="s">
        <v>741</v>
      </c>
      <c r="C4482" s="4" t="s">
        <v>278</v>
      </c>
      <c r="D4482" s="94">
        <v>810.0</v>
      </c>
    </row>
    <row r="4483">
      <c r="A4483" s="40">
        <f t="array" ref="A4483">IFNA(index(PlayerValues!A:A,match(IFNA(vlookup(B4483,'Special Names'!A:B,2,FALSE),B4483),PlayerValues!E:E,0)),"N/A")</f>
        <v>10413</v>
      </c>
      <c r="B4483" s="4" t="s">
        <v>811</v>
      </c>
      <c r="C4483" s="4" t="s">
        <v>283</v>
      </c>
      <c r="D4483" s="94">
        <v>808.0</v>
      </c>
    </row>
    <row r="4484">
      <c r="A4484" s="40">
        <f t="array" ref="A4484">IFNA(index(PlayerValues!A:A,match(IFNA(vlookup(B4484,'Special Names'!A:B,2,FALSE),B4484),PlayerValues!E:E,0)),"N/A")</f>
        <v>12658</v>
      </c>
      <c r="B4484" s="4" t="s">
        <v>823</v>
      </c>
      <c r="C4484" s="4" t="s">
        <v>287</v>
      </c>
      <c r="D4484" s="94">
        <v>807.0</v>
      </c>
    </row>
    <row r="4485">
      <c r="A4485" s="40">
        <f t="array" ref="A4485">IFNA(index(PlayerValues!A:A,match(IFNA(vlookup(B4485,'Special Names'!A:B,2,FALSE),B4485),PlayerValues!E:E,0)),"N/A")</f>
        <v>16606</v>
      </c>
      <c r="B4485" s="4" t="s">
        <v>743</v>
      </c>
      <c r="C4485" s="4" t="s">
        <v>278</v>
      </c>
      <c r="D4485" s="94">
        <v>800.0</v>
      </c>
    </row>
    <row r="4486">
      <c r="A4486" s="40">
        <f t="array" ref="A4486">IFNA(index(PlayerValues!A:A,match(IFNA(vlookup(B4486,'Special Names'!A:B,2,FALSE),B4486),PlayerValues!E:E,0)),"N/A")</f>
        <v>13176</v>
      </c>
      <c r="B4486" s="4" t="s">
        <v>807</v>
      </c>
      <c r="C4486" s="4" t="s">
        <v>287</v>
      </c>
      <c r="D4486" s="94">
        <v>796.0</v>
      </c>
    </row>
    <row r="4487">
      <c r="A4487" s="40">
        <f t="array" ref="A4487">IFNA(index(PlayerValues!A:A,match(IFNA(vlookup(B4487,'Special Names'!A:B,2,FALSE),B4487),PlayerValues!E:E,0)),"N/A")</f>
        <v>14358</v>
      </c>
      <c r="B4487" s="4" t="s">
        <v>813</v>
      </c>
      <c r="C4487" s="4" t="s">
        <v>283</v>
      </c>
      <c r="D4487" s="94">
        <v>784.0</v>
      </c>
    </row>
    <row r="4488">
      <c r="A4488" s="40">
        <f t="array" ref="A4488">IFNA(index(PlayerValues!A:A,match(IFNA(vlookup(B4488,'Special Names'!A:B,2,FALSE),B4488),PlayerValues!E:E,0)),"N/A")</f>
        <v>15285</v>
      </c>
      <c r="B4488" s="4" t="s">
        <v>792</v>
      </c>
      <c r="C4488" s="4" t="s">
        <v>287</v>
      </c>
      <c r="D4488" s="94">
        <v>784.0</v>
      </c>
    </row>
    <row r="4489">
      <c r="A4489" s="40">
        <f t="array" ref="A4489">IFNA(index(PlayerValues!A:A,match(IFNA(vlookup(B4489,'Special Names'!A:B,2,FALSE),B4489),PlayerValues!E:E,0)),"N/A")</f>
        <v>16413</v>
      </c>
      <c r="B4489" s="4" t="s">
        <v>781</v>
      </c>
      <c r="C4489" s="4" t="s">
        <v>287</v>
      </c>
      <c r="D4489" s="94">
        <v>783.0</v>
      </c>
    </row>
    <row r="4490">
      <c r="A4490" s="40">
        <f t="array" ref="A4490">IFNA(index(PlayerValues!A:A,match(IFNA(vlookup(B4490,'Special Names'!A:B,2,FALSE),B4490),PlayerValues!E:E,0)),"N/A")</f>
        <v>17282</v>
      </c>
      <c r="B4490" s="4" t="s">
        <v>833</v>
      </c>
      <c r="C4490" s="4" t="s">
        <v>283</v>
      </c>
      <c r="D4490" s="94">
        <v>778.0</v>
      </c>
    </row>
    <row r="4491">
      <c r="A4491" s="40">
        <f t="array" ref="A4491">IFNA(index(PlayerValues!A:A,match(IFNA(vlookup(B4491,'Special Names'!A:B,2,FALSE),B4491),PlayerValues!E:E,0)),"N/A")</f>
        <v>16632</v>
      </c>
      <c r="B4491" s="4" t="s">
        <v>842</v>
      </c>
      <c r="C4491" s="4" t="s">
        <v>287</v>
      </c>
      <c r="D4491" s="94">
        <v>771.0</v>
      </c>
    </row>
    <row r="4492">
      <c r="A4492" s="40">
        <f t="array" ref="A4492">IFNA(index(PlayerValues!A:A,match(IFNA(vlookup(B4492,'Special Names'!A:B,2,FALSE),B4492),PlayerValues!E:E,0)),"N/A")</f>
        <v>14805</v>
      </c>
      <c r="B4492" s="4" t="s">
        <v>770</v>
      </c>
      <c r="C4492" s="4" t="s">
        <v>278</v>
      </c>
      <c r="D4492" s="94">
        <v>770.0</v>
      </c>
    </row>
    <row r="4493">
      <c r="A4493" s="40">
        <f t="array" ref="A4493">IFNA(index(PlayerValues!A:A,match(IFNA(vlookup(B4493,'Special Names'!A:B,2,FALSE),B4493),PlayerValues!E:E,0)),"N/A")</f>
        <v>15965</v>
      </c>
      <c r="B4493" s="4" t="s">
        <v>791</v>
      </c>
      <c r="C4493" s="4" t="s">
        <v>278</v>
      </c>
      <c r="D4493" s="94">
        <v>770.0</v>
      </c>
    </row>
    <row r="4494">
      <c r="A4494" s="40">
        <f t="array" ref="A4494">IFNA(index(PlayerValues!A:A,match(IFNA(vlookup(B4494,'Special Names'!A:B,2,FALSE),B4494),PlayerValues!E:E,0)),"N/A")</f>
        <v>16678</v>
      </c>
      <c r="B4494" s="4" t="s">
        <v>758</v>
      </c>
      <c r="C4494" s="4" t="s">
        <v>278</v>
      </c>
      <c r="D4494" s="94">
        <v>758.0</v>
      </c>
    </row>
    <row r="4495">
      <c r="A4495" s="40">
        <f t="array" ref="A4495">IFNA(index(PlayerValues!A:A,match(IFNA(vlookup(B4495,'Special Names'!A:B,2,FALSE),B4495),PlayerValues!E:E,0)),"N/A")</f>
        <v>13424</v>
      </c>
      <c r="B4495" s="4" t="s">
        <v>846</v>
      </c>
      <c r="C4495" s="4" t="s">
        <v>298</v>
      </c>
      <c r="D4495" s="94">
        <v>1116.0</v>
      </c>
    </row>
    <row r="4496">
      <c r="A4496" s="40">
        <f t="array" ref="A4496">IFNA(index(PlayerValues!A:A,match(IFNA(vlookup(B4496,'Special Names'!A:B,2,FALSE),B4496),PlayerValues!E:E,0)),"N/A")</f>
        <v>14223</v>
      </c>
      <c r="B4496" s="4" t="s">
        <v>785</v>
      </c>
      <c r="C4496" s="4" t="s">
        <v>278</v>
      </c>
      <c r="D4496" s="94">
        <v>744.0</v>
      </c>
    </row>
    <row r="4497">
      <c r="A4497" s="40">
        <f t="array" ref="A4497">IFNA(index(PlayerValues!A:A,match(IFNA(vlookup(B4497,'Special Names'!A:B,2,FALSE),B4497),PlayerValues!E:E,0)),"N/A")</f>
        <v>13675</v>
      </c>
      <c r="B4497" s="4" t="s">
        <v>839</v>
      </c>
      <c r="C4497" s="4" t="s">
        <v>298</v>
      </c>
      <c r="D4497" s="94">
        <v>1111.0</v>
      </c>
    </row>
    <row r="4498">
      <c r="A4498" s="40">
        <f t="array" ref="A4498">IFNA(index(PlayerValues!A:A,match(IFNA(vlookup(B4498,'Special Names'!A:B,2,FALSE),B4498),PlayerValues!E:E,0)),"N/A")</f>
        <v>17232</v>
      </c>
      <c r="B4498" s="4" t="s">
        <v>784</v>
      </c>
      <c r="C4498" s="4" t="s">
        <v>287</v>
      </c>
      <c r="D4498" s="94">
        <v>735.0</v>
      </c>
    </row>
    <row r="4499">
      <c r="A4499" s="40">
        <f t="array" ref="A4499">IFNA(index(PlayerValues!A:A,match(IFNA(vlookup(B4499,'Special Names'!A:B,2,FALSE),B4499),PlayerValues!E:E,0)),"N/A")</f>
        <v>13377</v>
      </c>
      <c r="B4499" s="4" t="s">
        <v>847</v>
      </c>
      <c r="C4499" s="4" t="s">
        <v>287</v>
      </c>
      <c r="D4499" s="94">
        <v>728.0</v>
      </c>
    </row>
    <row r="4500">
      <c r="A4500" s="40">
        <f t="array" ref="A4500">IFNA(index(PlayerValues!A:A,match(IFNA(vlookup(B4500,'Special Names'!A:B,2,FALSE),B4500),PlayerValues!E:E,0)),"N/A")</f>
        <v>16170</v>
      </c>
      <c r="B4500" s="4" t="s">
        <v>801</v>
      </c>
      <c r="C4500" s="4" t="s">
        <v>278</v>
      </c>
      <c r="D4500" s="94">
        <v>725.0</v>
      </c>
    </row>
    <row r="4501">
      <c r="A4501" s="40">
        <f t="array" ref="A4501">IFNA(index(PlayerValues!A:A,match(IFNA(vlookup(B4501,'Special Names'!A:B,2,FALSE),B4501),PlayerValues!E:E,0)),"N/A")</f>
        <v>13589</v>
      </c>
      <c r="B4501" s="4" t="s">
        <v>282</v>
      </c>
      <c r="C4501" s="4" t="s">
        <v>283</v>
      </c>
      <c r="D4501" s="94">
        <v>9997.0</v>
      </c>
    </row>
    <row r="4502">
      <c r="A4502" s="40">
        <f t="array" ref="A4502">IFNA(index(PlayerValues!A:A,match(IFNA(vlookup(B4502,'Special Names'!A:B,2,FALSE),B4502),PlayerValues!E:E,0)),"N/A")</f>
        <v>16161</v>
      </c>
      <c r="B4502" s="4" t="s">
        <v>277</v>
      </c>
      <c r="C4502" s="4" t="s">
        <v>278</v>
      </c>
      <c r="D4502" s="94">
        <v>9986.0</v>
      </c>
    </row>
    <row r="4503">
      <c r="A4503" s="40">
        <f t="array" ref="A4503">IFNA(index(PlayerValues!A:A,match(IFNA(vlookup(B4503,'Special Names'!A:B,2,FALSE),B4503),PlayerValues!E:E,0)),"N/A")</f>
        <v>16185</v>
      </c>
      <c r="B4503" s="4" t="s">
        <v>290</v>
      </c>
      <c r="C4503" s="4" t="s">
        <v>287</v>
      </c>
      <c r="D4503" s="94">
        <v>9963.0</v>
      </c>
    </row>
    <row r="4504">
      <c r="A4504" s="40">
        <f t="array" ref="A4504">IFNA(index(PlayerValues!A:A,match(IFNA(vlookup(B4504,'Special Names'!A:B,2,FALSE),B4504),PlayerValues!E:E,0)),"N/A")</f>
        <v>15281</v>
      </c>
      <c r="B4504" s="4" t="s">
        <v>286</v>
      </c>
      <c r="C4504" s="4" t="s">
        <v>287</v>
      </c>
      <c r="D4504" s="94">
        <v>9821.0</v>
      </c>
    </row>
    <row r="4505">
      <c r="A4505" s="40">
        <f t="array" ref="A4505">IFNA(index(PlayerValues!A:A,match(IFNA(vlookup(B4505,'Special Names'!A:B,2,FALSE),B4505),PlayerValues!E:E,0)),"N/A")</f>
        <v>16580</v>
      </c>
      <c r="B4505" s="4" t="s">
        <v>291</v>
      </c>
      <c r="C4505" s="4" t="s">
        <v>283</v>
      </c>
      <c r="D4505" s="94">
        <v>9714.0</v>
      </c>
    </row>
    <row r="4506">
      <c r="A4506" s="40">
        <f t="array" ref="A4506">IFNA(index(PlayerValues!A:A,match(IFNA(vlookup(B4506,'Special Names'!A:B,2,FALSE),B4506),PlayerValues!E:E,0)),"N/A")</f>
        <v>16211</v>
      </c>
      <c r="B4506" s="4" t="s">
        <v>294</v>
      </c>
      <c r="C4506" s="4" t="s">
        <v>287</v>
      </c>
      <c r="D4506" s="94">
        <v>9553.0</v>
      </c>
    </row>
    <row r="4507">
      <c r="A4507" s="40">
        <f t="array" ref="A4507">IFNA(index(PlayerValues!A:A,match(IFNA(vlookup(B4507,'Special Names'!A:B,2,FALSE),B4507),PlayerValues!E:E,0)),"N/A")</f>
        <v>16162</v>
      </c>
      <c r="B4507" s="4" t="s">
        <v>281</v>
      </c>
      <c r="C4507" s="4" t="s">
        <v>278</v>
      </c>
      <c r="D4507" s="94">
        <v>9419.0</v>
      </c>
    </row>
    <row r="4508">
      <c r="A4508" s="40">
        <f t="array" ref="A4508">IFNA(index(PlayerValues!A:A,match(IFNA(vlookup(B4508,'Special Names'!A:B,2,FALSE),B4508),PlayerValues!E:E,0)),"N/A")</f>
        <v>16615</v>
      </c>
      <c r="B4508" s="4" t="s">
        <v>309</v>
      </c>
      <c r="C4508" s="4" t="s">
        <v>287</v>
      </c>
      <c r="D4508" s="94">
        <v>7738.0</v>
      </c>
    </row>
    <row r="4509">
      <c r="A4509" s="40">
        <f t="array" ref="A4509">IFNA(index(PlayerValues!A:A,match(IFNA(vlookup(B4509,'Special Names'!A:B,2,FALSE),B4509),PlayerValues!E:E,0)),"N/A")</f>
        <v>15794</v>
      </c>
      <c r="B4509" s="4" t="s">
        <v>313</v>
      </c>
      <c r="C4509" s="4" t="s">
        <v>298</v>
      </c>
      <c r="D4509" s="94">
        <v>8530.0</v>
      </c>
    </row>
    <row r="4510">
      <c r="A4510" s="40">
        <f t="array" ref="A4510">IFNA(index(PlayerValues!A:A,match(IFNA(vlookup(B4510,'Special Names'!A:B,2,FALSE),B4510),PlayerValues!E:E,0)),"N/A")</f>
        <v>15287</v>
      </c>
      <c r="B4510" s="4" t="s">
        <v>299</v>
      </c>
      <c r="C4510" s="4" t="s">
        <v>287</v>
      </c>
      <c r="D4510" s="94">
        <v>7648.0</v>
      </c>
    </row>
    <row r="4511">
      <c r="A4511" s="40">
        <f t="array" ref="A4511">IFNA(index(PlayerValues!A:A,match(IFNA(vlookup(B4511,'Special Names'!A:B,2,FALSE),B4511),PlayerValues!E:E,0)),"N/A")</f>
        <v>16641</v>
      </c>
      <c r="B4511" s="4" t="s">
        <v>297</v>
      </c>
      <c r="C4511" s="4" t="s">
        <v>298</v>
      </c>
      <c r="D4511" s="94">
        <v>8425.0</v>
      </c>
    </row>
    <row r="4512">
      <c r="A4512" s="40">
        <f t="array" ref="A4512">IFNA(index(PlayerValues!A:A,match(IFNA(vlookup(B4512,'Special Names'!A:B,2,FALSE),B4512),PlayerValues!E:E,0)),"N/A")</f>
        <v>16581</v>
      </c>
      <c r="B4512" s="4" t="s">
        <v>315</v>
      </c>
      <c r="C4512" s="4" t="s">
        <v>283</v>
      </c>
      <c r="D4512" s="94">
        <v>7607.0</v>
      </c>
    </row>
    <row r="4513">
      <c r="A4513" s="40">
        <f t="array" ref="A4513">IFNA(index(PlayerValues!A:A,match(IFNA(vlookup(B4513,'Special Names'!A:B,2,FALSE),B4513),PlayerValues!E:E,0)),"N/A")</f>
        <v>16579</v>
      </c>
      <c r="B4513" s="4" t="s">
        <v>302</v>
      </c>
      <c r="C4513" s="4" t="s">
        <v>283</v>
      </c>
      <c r="D4513" s="94">
        <v>7599.0</v>
      </c>
    </row>
    <row r="4514">
      <c r="A4514" s="40">
        <f t="array" ref="A4514">IFNA(index(PlayerValues!A:A,match(IFNA(vlookup(B4514,'Special Names'!A:B,2,FALSE),B4514),PlayerValues!E:E,0)),"N/A")</f>
        <v>13593</v>
      </c>
      <c r="B4514" s="4" t="s">
        <v>305</v>
      </c>
      <c r="C4514" s="4" t="s">
        <v>283</v>
      </c>
      <c r="D4514" s="94">
        <v>7516.0</v>
      </c>
    </row>
    <row r="4515">
      <c r="A4515" s="40">
        <f t="array" ref="A4515">IFNA(index(PlayerValues!A:A,match(IFNA(vlookup(B4515,'Special Names'!A:B,2,FALSE),B4515),PlayerValues!E:E,0)),"N/A")</f>
        <v>14836</v>
      </c>
      <c r="B4515" s="4" t="s">
        <v>306</v>
      </c>
      <c r="C4515" s="4" t="s">
        <v>287</v>
      </c>
      <c r="D4515" s="94">
        <v>7410.0</v>
      </c>
    </row>
    <row r="4516">
      <c r="A4516" s="40">
        <f t="array" ref="A4516">IFNA(index(PlayerValues!A:A,match(IFNA(vlookup(B4516,'Special Names'!A:B,2,FALSE),B4516),PlayerValues!E:E,0)),"N/A")</f>
        <v>14832</v>
      </c>
      <c r="B4516" s="4" t="s">
        <v>319</v>
      </c>
      <c r="C4516" s="4" t="s">
        <v>287</v>
      </c>
      <c r="D4516" s="94">
        <v>7349.0</v>
      </c>
    </row>
    <row r="4517">
      <c r="A4517" s="40">
        <f t="array" ref="A4517">IFNA(index(PlayerValues!A:A,match(IFNA(vlookup(B4517,'Special Names'!A:B,2,FALSE),B4517),PlayerValues!E:E,0)),"N/A")</f>
        <v>14777</v>
      </c>
      <c r="B4517" s="4" t="s">
        <v>318</v>
      </c>
      <c r="C4517" s="4" t="s">
        <v>283</v>
      </c>
      <c r="D4517" s="94">
        <v>7238.0</v>
      </c>
    </row>
    <row r="4518">
      <c r="A4518" s="40">
        <f t="array" ref="A4518">IFNA(index(PlayerValues!A:A,match(IFNA(vlookup(B4518,'Special Names'!A:B,2,FALSE),B4518),PlayerValues!E:E,0)),"N/A")</f>
        <v>17042</v>
      </c>
      <c r="B4518" s="4" t="s">
        <v>314</v>
      </c>
      <c r="C4518" s="4" t="s">
        <v>278</v>
      </c>
      <c r="D4518" s="94">
        <v>7198.0</v>
      </c>
    </row>
    <row r="4519">
      <c r="A4519" s="40">
        <f t="array" ref="A4519">IFNA(index(PlayerValues!A:A,match(IFNA(vlookup(B4519,'Special Names'!A:B,2,FALSE),B4519),PlayerValues!E:E,0)),"N/A")</f>
        <v>16167</v>
      </c>
      <c r="B4519" s="4" t="s">
        <v>323</v>
      </c>
      <c r="C4519" s="4" t="s">
        <v>278</v>
      </c>
      <c r="D4519" s="94">
        <v>7103.0</v>
      </c>
    </row>
    <row r="4520">
      <c r="A4520" s="40">
        <f t="array" ref="A4520">IFNA(index(PlayerValues!A:A,match(IFNA(vlookup(B4520,'Special Names'!A:B,2,FALSE),B4520),PlayerValues!E:E,0)),"N/A")</f>
        <v>15751</v>
      </c>
      <c r="B4520" s="4" t="s">
        <v>328</v>
      </c>
      <c r="C4520" s="4" t="s">
        <v>287</v>
      </c>
      <c r="D4520" s="94">
        <v>7006.0</v>
      </c>
    </row>
    <row r="4521">
      <c r="A4521" s="40">
        <f t="array" ref="A4521">IFNA(index(PlayerValues!A:A,match(IFNA(vlookup(B4521,'Special Names'!A:B,2,FALSE),B4521),PlayerValues!E:E,0)),"N/A")</f>
        <v>14779</v>
      </c>
      <c r="B4521" s="4" t="s">
        <v>327</v>
      </c>
      <c r="C4521" s="4" t="s">
        <v>283</v>
      </c>
      <c r="D4521" s="94">
        <v>6843.0</v>
      </c>
    </row>
    <row r="4522">
      <c r="A4522" s="40">
        <f t="array" ref="A4522">IFNA(index(PlayerValues!A:A,match(IFNA(vlookup(B4522,'Special Names'!A:B,2,FALSE),B4522),PlayerValues!E:E,0)),"N/A")</f>
        <v>17472</v>
      </c>
      <c r="B4522" s="4" t="s">
        <v>310</v>
      </c>
      <c r="C4522" s="4" t="s">
        <v>278</v>
      </c>
      <c r="D4522" s="94">
        <v>6748.0</v>
      </c>
    </row>
    <row r="4523">
      <c r="A4523" s="40" t="str">
        <f t="array" ref="A4523">IFNA(index(PlayerValues!A:A,match(IFNA(vlookup(B4523,'Special Names'!A:B,2,FALSE),B4523),PlayerValues!E:E,0)),"N/A")</f>
        <v>N/A</v>
      </c>
      <c r="B4523" s="4" t="s">
        <v>92</v>
      </c>
      <c r="C4523" s="4" t="s">
        <v>325</v>
      </c>
      <c r="D4523" s="94">
        <v>6634.0</v>
      </c>
    </row>
    <row r="4524">
      <c r="A4524" s="40">
        <f t="array" ref="A4524">IFNA(index(PlayerValues!A:A,match(IFNA(vlookup(B4524,'Special Names'!A:B,2,FALSE),B4524),PlayerValues!E:E,0)),"N/A")</f>
        <v>17044</v>
      </c>
      <c r="B4524" s="4" t="s">
        <v>322</v>
      </c>
      <c r="C4524" s="4" t="s">
        <v>278</v>
      </c>
      <c r="D4524" s="94">
        <v>6621.0</v>
      </c>
    </row>
    <row r="4525">
      <c r="A4525" s="40">
        <f t="array" ref="A4525">IFNA(index(PlayerValues!A:A,match(IFNA(vlookup(B4525,'Special Names'!A:B,2,FALSE),B4525),PlayerValues!E:E,0)),"N/A")</f>
        <v>13116</v>
      </c>
      <c r="B4525" s="4" t="s">
        <v>345</v>
      </c>
      <c r="C4525" s="4" t="s">
        <v>283</v>
      </c>
      <c r="D4525" s="94">
        <v>6608.0</v>
      </c>
    </row>
    <row r="4526">
      <c r="A4526" s="40">
        <f t="array" ref="A4526">IFNA(index(PlayerValues!A:A,match(IFNA(vlookup(B4526,'Special Names'!A:B,2,FALSE),B4526),PlayerValues!E:E,0)),"N/A")</f>
        <v>17032</v>
      </c>
      <c r="B4526" s="4" t="s">
        <v>348</v>
      </c>
      <c r="C4526" s="4" t="s">
        <v>283</v>
      </c>
      <c r="D4526" s="94">
        <v>6600.0</v>
      </c>
    </row>
    <row r="4527">
      <c r="A4527" s="40">
        <f t="array" ref="A4527">IFNA(index(PlayerValues!A:A,match(IFNA(vlookup(B4527,'Special Names'!A:B,2,FALSE),B4527),PlayerValues!E:E,0)),"N/A")</f>
        <v>17071</v>
      </c>
      <c r="B4527" s="4" t="s">
        <v>341</v>
      </c>
      <c r="C4527" s="4" t="s">
        <v>287</v>
      </c>
      <c r="D4527" s="94">
        <v>6571.0</v>
      </c>
    </row>
    <row r="4528">
      <c r="A4528" s="40">
        <f t="array" ref="A4528">IFNA(index(PlayerValues!A:A,match(IFNA(vlookup(B4528,'Special Names'!A:B,2,FALSE),B4528),PlayerValues!E:E,0)),"N/A")</f>
        <v>14783</v>
      </c>
      <c r="B4528" s="4" t="s">
        <v>342</v>
      </c>
      <c r="C4528" s="4" t="s">
        <v>283</v>
      </c>
      <c r="D4528" s="94">
        <v>6396.0</v>
      </c>
    </row>
    <row r="4529">
      <c r="A4529" s="40">
        <f t="array" ref="A4529">IFNA(index(PlayerValues!A:A,match(IFNA(vlookup(B4529,'Special Names'!A:B,2,FALSE),B4529),PlayerValues!E:E,0)),"N/A")</f>
        <v>15237</v>
      </c>
      <c r="B4529" s="4" t="s">
        <v>336</v>
      </c>
      <c r="C4529" s="4" t="s">
        <v>283</v>
      </c>
      <c r="D4529" s="94">
        <v>6315.0</v>
      </c>
    </row>
    <row r="4530">
      <c r="A4530" s="40">
        <f t="array" ref="A4530">IFNA(index(PlayerValues!A:A,match(IFNA(vlookup(B4530,'Special Names'!A:B,2,FALSE),B4530),PlayerValues!E:E,0)),"N/A")</f>
        <v>16582</v>
      </c>
      <c r="B4530" s="4" t="s">
        <v>343</v>
      </c>
      <c r="C4530" s="4" t="s">
        <v>283</v>
      </c>
      <c r="D4530" s="94">
        <v>6197.0</v>
      </c>
    </row>
    <row r="4531">
      <c r="A4531" s="40">
        <f t="array" ref="A4531">IFNA(index(PlayerValues!A:A,match(IFNA(vlookup(B4531,'Special Names'!A:B,2,FALSE),B4531),PlayerValues!E:E,0)),"N/A")</f>
        <v>14802</v>
      </c>
      <c r="B4531" s="4" t="s">
        <v>332</v>
      </c>
      <c r="C4531" s="4" t="s">
        <v>278</v>
      </c>
      <c r="D4531" s="94">
        <v>6188.0</v>
      </c>
    </row>
    <row r="4532">
      <c r="A4532" s="40">
        <f t="array" ref="A4532">IFNA(index(PlayerValues!A:A,match(IFNA(vlookup(B4532,'Special Names'!A:B,2,FALSE),B4532),PlayerValues!E:E,0)),"N/A")</f>
        <v>15715</v>
      </c>
      <c r="B4532" s="4" t="s">
        <v>331</v>
      </c>
      <c r="C4532" s="4" t="s">
        <v>278</v>
      </c>
      <c r="D4532" s="94">
        <v>6165.0</v>
      </c>
    </row>
    <row r="4533">
      <c r="A4533" s="40">
        <f t="array" ref="A4533">IFNA(index(PlayerValues!A:A,match(IFNA(vlookup(B4533,'Special Names'!A:B,2,FALSE),B4533),PlayerValues!E:E,0)),"N/A")</f>
        <v>15762</v>
      </c>
      <c r="B4533" s="4" t="s">
        <v>337</v>
      </c>
      <c r="C4533" s="4" t="s">
        <v>287</v>
      </c>
      <c r="D4533" s="94">
        <v>6154.0</v>
      </c>
    </row>
    <row r="4534">
      <c r="A4534" s="40">
        <f t="array" ref="A4534">IFNA(index(PlayerValues!A:A,match(IFNA(vlookup(B4534,'Special Names'!A:B,2,FALSE),B4534),PlayerValues!E:E,0)),"N/A")</f>
        <v>15698</v>
      </c>
      <c r="B4534" s="4" t="s">
        <v>358</v>
      </c>
      <c r="C4534" s="4" t="s">
        <v>283</v>
      </c>
      <c r="D4534" s="94">
        <v>6098.0</v>
      </c>
    </row>
    <row r="4535">
      <c r="A4535" s="40" t="str">
        <f t="array" ref="A4535">IFNA(index(PlayerValues!A:A,match(IFNA(vlookup(B4535,'Special Names'!A:B,2,FALSE),B4535),PlayerValues!E:E,0)),"N/A")</f>
        <v>N/A</v>
      </c>
      <c r="B4535" s="4" t="s">
        <v>79</v>
      </c>
      <c r="C4535" s="4" t="s">
        <v>325</v>
      </c>
      <c r="D4535" s="94">
        <v>6044.0</v>
      </c>
    </row>
    <row r="4536">
      <c r="A4536" s="40">
        <f t="array" ref="A4536">IFNA(index(PlayerValues!A:A,match(IFNA(vlookup(B4536,'Special Names'!A:B,2,FALSE),B4536),PlayerValues!E:E,0)),"N/A")</f>
        <v>17081</v>
      </c>
      <c r="B4536" s="4" t="s">
        <v>340</v>
      </c>
      <c r="C4536" s="4" t="s">
        <v>287</v>
      </c>
      <c r="D4536" s="94">
        <v>6005.0</v>
      </c>
    </row>
    <row r="4537">
      <c r="A4537" s="40">
        <f t="array" ref="A4537">IFNA(index(PlayerValues!A:A,match(IFNA(vlookup(B4537,'Special Names'!A:B,2,FALSE),B4537),PlayerValues!E:E,0)),"N/A")</f>
        <v>15290</v>
      </c>
      <c r="B4537" s="4" t="s">
        <v>355</v>
      </c>
      <c r="C4537" s="4" t="s">
        <v>287</v>
      </c>
      <c r="D4537" s="94">
        <v>5983.0</v>
      </c>
    </row>
    <row r="4538">
      <c r="A4538" s="40">
        <f t="array" ref="A4538">IFNA(index(PlayerValues!A:A,match(IFNA(vlookup(B4538,'Special Names'!A:B,2,FALSE),B4538),PlayerValues!E:E,0)),"N/A")</f>
        <v>17043</v>
      </c>
      <c r="B4538" s="4" t="s">
        <v>397</v>
      </c>
      <c r="C4538" s="4" t="s">
        <v>278</v>
      </c>
      <c r="D4538" s="94">
        <v>5966.0</v>
      </c>
    </row>
    <row r="4539">
      <c r="A4539" s="40">
        <f t="array" ref="A4539">IFNA(index(PlayerValues!A:A,match(IFNA(vlookup(B4539,'Special Names'!A:B,2,FALSE),B4539),PlayerValues!E:E,0)),"N/A")</f>
        <v>17104</v>
      </c>
      <c r="B4539" s="4" t="s">
        <v>333</v>
      </c>
      <c r="C4539" s="4" t="s">
        <v>298</v>
      </c>
      <c r="D4539" s="94">
        <v>6491.0</v>
      </c>
    </row>
    <row r="4540">
      <c r="A4540" s="40">
        <f t="array" ref="A4540">IFNA(index(PlayerValues!A:A,match(IFNA(vlookup(B4540,'Special Names'!A:B,2,FALSE),B4540),PlayerValues!E:E,0)),"N/A")</f>
        <v>15753</v>
      </c>
      <c r="B4540" s="4" t="s">
        <v>359</v>
      </c>
      <c r="C4540" s="4" t="s">
        <v>287</v>
      </c>
      <c r="D4540" s="94">
        <v>5819.0</v>
      </c>
    </row>
    <row r="4541">
      <c r="A4541" s="40">
        <f t="array" ref="A4541">IFNA(index(PlayerValues!A:A,match(IFNA(vlookup(B4541,'Special Names'!A:B,2,FALSE),B4541),PlayerValues!E:E,0)),"N/A")</f>
        <v>15754</v>
      </c>
      <c r="B4541" s="4" t="s">
        <v>354</v>
      </c>
      <c r="C4541" s="4" t="s">
        <v>287</v>
      </c>
      <c r="D4541" s="94">
        <v>5805.0</v>
      </c>
    </row>
    <row r="4542">
      <c r="A4542" s="40">
        <f t="array" ref="A4542">IFNA(index(PlayerValues!A:A,match(IFNA(vlookup(B4542,'Special Names'!A:B,2,FALSE),B4542),PlayerValues!E:E,0)),"N/A")</f>
        <v>14782</v>
      </c>
      <c r="B4542" s="4" t="s">
        <v>385</v>
      </c>
      <c r="C4542" s="4" t="s">
        <v>283</v>
      </c>
      <c r="D4542" s="94">
        <v>5702.0</v>
      </c>
    </row>
    <row r="4543">
      <c r="A4543" s="40">
        <f t="array" ref="A4543">IFNA(index(PlayerValues!A:A,match(IFNA(vlookup(B4543,'Special Names'!A:B,2,FALSE),B4543),PlayerValues!E:E,0)),"N/A")</f>
        <v>17102</v>
      </c>
      <c r="B4543" s="4" t="s">
        <v>344</v>
      </c>
      <c r="C4543" s="4" t="s">
        <v>298</v>
      </c>
      <c r="D4543" s="94">
        <v>6248.0</v>
      </c>
    </row>
    <row r="4544">
      <c r="A4544" s="40">
        <f t="array" ref="A4544">IFNA(index(PlayerValues!A:A,match(IFNA(vlookup(B4544,'Special Names'!A:B,2,FALSE),B4544),PlayerValues!E:E,0)),"N/A")</f>
        <v>17462</v>
      </c>
      <c r="B4544" s="4" t="s">
        <v>375</v>
      </c>
      <c r="C4544" s="4" t="s">
        <v>283</v>
      </c>
      <c r="D4544" s="94">
        <v>5583.0</v>
      </c>
    </row>
    <row r="4545">
      <c r="A4545" s="40">
        <f t="array" ref="A4545">IFNA(index(PlayerValues!A:A,match(IFNA(vlookup(B4545,'Special Names'!A:B,2,FALSE),B4545),PlayerValues!E:E,0)),"N/A")</f>
        <v>17051</v>
      </c>
      <c r="B4545" s="4" t="s">
        <v>386</v>
      </c>
      <c r="C4545" s="4" t="s">
        <v>278</v>
      </c>
      <c r="D4545" s="94">
        <v>5508.0</v>
      </c>
    </row>
    <row r="4546">
      <c r="A4546" s="40">
        <f t="array" ref="A4546">IFNA(index(PlayerValues!A:A,match(IFNA(vlookup(B4546,'Special Names'!A:B,2,FALSE),B4546),PlayerValues!E:E,0)),"N/A")</f>
        <v>15708</v>
      </c>
      <c r="B4546" s="4" t="s">
        <v>382</v>
      </c>
      <c r="C4546" s="4" t="s">
        <v>278</v>
      </c>
      <c r="D4546" s="94">
        <v>5486.0</v>
      </c>
    </row>
    <row r="4547">
      <c r="A4547" s="40">
        <f t="array" ref="A4547">IFNA(index(PlayerValues!A:A,match(IFNA(vlookup(B4547,'Special Names'!A:B,2,FALSE),B4547),PlayerValues!E:E,0)),"N/A")</f>
        <v>16598</v>
      </c>
      <c r="B4547" s="4" t="s">
        <v>408</v>
      </c>
      <c r="C4547" s="4" t="s">
        <v>278</v>
      </c>
      <c r="D4547" s="94">
        <v>5486.0</v>
      </c>
    </row>
    <row r="4548">
      <c r="A4548" s="40">
        <f t="array" ref="A4548">IFNA(index(PlayerValues!A:A,match(IFNA(vlookup(B4548,'Special Names'!A:B,2,FALSE),B4548),PlayerValues!E:E,0)),"N/A")</f>
        <v>16194</v>
      </c>
      <c r="B4548" s="4" t="s">
        <v>398</v>
      </c>
      <c r="C4548" s="4" t="s">
        <v>287</v>
      </c>
      <c r="D4548" s="94">
        <v>5404.0</v>
      </c>
    </row>
    <row r="4549">
      <c r="A4549" s="40" t="str">
        <f t="array" ref="A4549">IFNA(index(PlayerValues!A:A,match(IFNA(vlookup(B4549,'Special Names'!A:B,2,FALSE),B4549),PlayerValues!E:E,0)),"N/A")</f>
        <v>N/A</v>
      </c>
      <c r="B4549" s="4" t="s">
        <v>93</v>
      </c>
      <c r="C4549" s="4" t="s">
        <v>325</v>
      </c>
      <c r="D4549" s="94">
        <v>5404.0</v>
      </c>
    </row>
    <row r="4550">
      <c r="A4550" s="40">
        <f t="array" ref="A4550">IFNA(index(PlayerValues!A:A,match(IFNA(vlookup(B4550,'Special Names'!A:B,2,FALSE),B4550),PlayerValues!E:E,0)),"N/A")</f>
        <v>17499</v>
      </c>
      <c r="B4550" s="4" t="s">
        <v>402</v>
      </c>
      <c r="C4550" s="4" t="s">
        <v>287</v>
      </c>
      <c r="D4550" s="94">
        <v>5391.0</v>
      </c>
    </row>
    <row r="4551">
      <c r="A4551" s="40">
        <f t="array" ref="A4551">IFNA(index(PlayerValues!A:A,match(IFNA(vlookup(B4551,'Special Names'!A:B,2,FALSE),B4551),PlayerValues!E:E,0)),"N/A")</f>
        <v>16627</v>
      </c>
      <c r="B4551" s="4" t="s">
        <v>351</v>
      </c>
      <c r="C4551" s="4" t="s">
        <v>287</v>
      </c>
      <c r="D4551" s="94">
        <v>5376.0</v>
      </c>
    </row>
    <row r="4552">
      <c r="A4552" s="40">
        <f t="array" ref="A4552">IFNA(index(PlayerValues!A:A,match(IFNA(vlookup(B4552,'Special Names'!A:B,2,FALSE),B4552),PlayerValues!E:E,0)),"N/A")</f>
        <v>16616</v>
      </c>
      <c r="B4552" s="4" t="s">
        <v>389</v>
      </c>
      <c r="C4552" s="4" t="s">
        <v>287</v>
      </c>
      <c r="D4552" s="94">
        <v>5245.0</v>
      </c>
    </row>
    <row r="4553">
      <c r="A4553" s="40">
        <f t="array" ref="A4553">IFNA(index(PlayerValues!A:A,match(IFNA(vlookup(B4553,'Special Names'!A:B,2,FALSE),B4553),PlayerValues!E:E,0)),"N/A")</f>
        <v>13130</v>
      </c>
      <c r="B4553" s="4" t="s">
        <v>374</v>
      </c>
      <c r="C4553" s="4" t="s">
        <v>278</v>
      </c>
      <c r="D4553" s="94">
        <v>5183.0</v>
      </c>
    </row>
    <row r="4554">
      <c r="A4554" s="40">
        <f t="array" ref="A4554">IFNA(index(PlayerValues!A:A,match(IFNA(vlookup(B4554,'Special Names'!A:B,2,FALSE),B4554),PlayerValues!E:E,0)),"N/A")</f>
        <v>17497</v>
      </c>
      <c r="B4554" s="4" t="s">
        <v>365</v>
      </c>
      <c r="C4554" s="4" t="s">
        <v>287</v>
      </c>
      <c r="D4554" s="94">
        <v>5182.0</v>
      </c>
    </row>
    <row r="4555">
      <c r="A4555" s="40">
        <f t="array" ref="A4555">IFNA(index(PlayerValues!A:A,match(IFNA(vlookup(B4555,'Special Names'!A:B,2,FALSE),B4555),PlayerValues!E:E,0)),"N/A")</f>
        <v>16614</v>
      </c>
      <c r="B4555" s="4" t="s">
        <v>403</v>
      </c>
      <c r="C4555" s="4" t="s">
        <v>287</v>
      </c>
      <c r="D4555" s="94">
        <v>5116.0</v>
      </c>
    </row>
    <row r="4556">
      <c r="A4556" s="40">
        <f t="array" ref="A4556">IFNA(index(PlayerValues!A:A,match(IFNA(vlookup(B4556,'Special Names'!A:B,2,FALSE),B4556),PlayerValues!E:E,0)),"N/A")</f>
        <v>17030</v>
      </c>
      <c r="B4556" s="4" t="s">
        <v>406</v>
      </c>
      <c r="C4556" s="4" t="s">
        <v>283</v>
      </c>
      <c r="D4556" s="94">
        <v>5030.0</v>
      </c>
    </row>
    <row r="4557">
      <c r="A4557" s="40">
        <f t="array" ref="A4557">IFNA(index(PlayerValues!A:A,match(IFNA(vlookup(B4557,'Special Names'!A:B,2,FALSE),B4557),PlayerValues!E:E,0)),"N/A")</f>
        <v>12620</v>
      </c>
      <c r="B4557" s="4" t="s">
        <v>394</v>
      </c>
      <c r="C4557" s="4" t="s">
        <v>283</v>
      </c>
      <c r="D4557" s="94">
        <v>4998.0</v>
      </c>
    </row>
    <row r="4558">
      <c r="A4558" s="40">
        <f t="array" ref="A4558">IFNA(index(PlayerValues!A:A,match(IFNA(vlookup(B4558,'Special Names'!A:B,2,FALSE),B4558),PlayerValues!E:E,0)),"N/A")</f>
        <v>17070</v>
      </c>
      <c r="B4558" s="4" t="s">
        <v>370</v>
      </c>
      <c r="C4558" s="4" t="s">
        <v>287</v>
      </c>
      <c r="D4558" s="94">
        <v>4970.0</v>
      </c>
    </row>
    <row r="4559">
      <c r="A4559" s="40">
        <f t="array" ref="A4559">IFNA(index(PlayerValues!A:A,match(IFNA(vlookup(B4559,'Special Names'!A:B,2,FALSE),B4559),PlayerValues!E:E,0)),"N/A")</f>
        <v>15711</v>
      </c>
      <c r="B4559" s="4" t="s">
        <v>349</v>
      </c>
      <c r="C4559" s="4" t="s">
        <v>278</v>
      </c>
      <c r="D4559" s="94">
        <v>4968.0</v>
      </c>
    </row>
    <row r="4560">
      <c r="A4560" s="40">
        <f t="array" ref="A4560">IFNA(index(PlayerValues!A:A,match(IFNA(vlookup(B4560,'Special Names'!A:B,2,FALSE),B4560),PlayerValues!E:E,0)),"N/A")</f>
        <v>16618</v>
      </c>
      <c r="B4560" s="4" t="s">
        <v>411</v>
      </c>
      <c r="C4560" s="4" t="s">
        <v>287</v>
      </c>
      <c r="D4560" s="94">
        <v>4967.0</v>
      </c>
    </row>
    <row r="4561">
      <c r="A4561" s="40">
        <f t="array" ref="A4561">IFNA(index(PlayerValues!A:A,match(IFNA(vlookup(B4561,'Special Names'!A:B,2,FALSE),B4561),PlayerValues!E:E,0)),"N/A")</f>
        <v>16150</v>
      </c>
      <c r="B4561" s="4" t="s">
        <v>414</v>
      </c>
      <c r="C4561" s="4" t="s">
        <v>283</v>
      </c>
      <c r="D4561" s="94">
        <v>4942.0</v>
      </c>
    </row>
    <row r="4562">
      <c r="A4562" s="40">
        <f t="array" ref="A4562">IFNA(index(PlayerValues!A:A,match(IFNA(vlookup(B4562,'Special Names'!A:B,2,FALSE),B4562),PlayerValues!E:E,0)),"N/A")</f>
        <v>14835</v>
      </c>
      <c r="B4562" s="4" t="s">
        <v>392</v>
      </c>
      <c r="C4562" s="4" t="s">
        <v>287</v>
      </c>
      <c r="D4562" s="94">
        <v>4876.0</v>
      </c>
    </row>
    <row r="4563">
      <c r="A4563" s="40">
        <f t="array" ref="A4563">IFNA(index(PlayerValues!A:A,match(IFNA(vlookup(B4563,'Special Names'!A:B,2,FALSE),B4563),PlayerValues!E:E,0)),"N/A")</f>
        <v>17103</v>
      </c>
      <c r="B4563" s="4" t="s">
        <v>405</v>
      </c>
      <c r="C4563" s="4" t="s">
        <v>298</v>
      </c>
      <c r="D4563" s="94">
        <v>5445.0</v>
      </c>
    </row>
    <row r="4564">
      <c r="A4564" s="40">
        <f t="array" ref="A4564">IFNA(index(PlayerValues!A:A,match(IFNA(vlookup(B4564,'Special Names'!A:B,2,FALSE),B4564),PlayerValues!E:E,0)),"N/A")</f>
        <v>16181</v>
      </c>
      <c r="B4564" s="4" t="s">
        <v>350</v>
      </c>
      <c r="C4564" s="4" t="s">
        <v>278</v>
      </c>
      <c r="D4564" s="94">
        <v>4870.0</v>
      </c>
    </row>
    <row r="4565">
      <c r="A4565" s="40">
        <f t="array" ref="A4565">IFNA(index(PlayerValues!A:A,match(IFNA(vlookup(B4565,'Special Names'!A:B,2,FALSE),B4565),PlayerValues!E:E,0)),"N/A")</f>
        <v>16222</v>
      </c>
      <c r="B4565" s="4" t="s">
        <v>393</v>
      </c>
      <c r="C4565" s="4" t="s">
        <v>298</v>
      </c>
      <c r="D4565" s="94">
        <v>5427.0</v>
      </c>
    </row>
    <row r="4566">
      <c r="A4566" s="40">
        <f t="array" ref="A4566">IFNA(index(PlayerValues!A:A,match(IFNA(vlookup(B4566,'Special Names'!A:B,2,FALSE),B4566),PlayerValues!E:E,0)),"N/A")</f>
        <v>17498</v>
      </c>
      <c r="B4566" s="4" t="s">
        <v>396</v>
      </c>
      <c r="C4566" s="4" t="s">
        <v>287</v>
      </c>
      <c r="D4566" s="94">
        <v>4857.0</v>
      </c>
    </row>
    <row r="4567">
      <c r="A4567" s="40">
        <f t="array" ref="A4567">IFNA(index(PlayerValues!A:A,match(IFNA(vlookup(B4567,'Special Names'!A:B,2,FALSE),B4567),PlayerValues!E:E,0)),"N/A")</f>
        <v>17045</v>
      </c>
      <c r="B4567" s="4" t="s">
        <v>407</v>
      </c>
      <c r="C4567" s="4" t="s">
        <v>278</v>
      </c>
      <c r="D4567" s="94">
        <v>4852.0</v>
      </c>
    </row>
    <row r="4568">
      <c r="A4568" s="40">
        <f t="array" ref="A4568">IFNA(index(PlayerValues!A:A,match(IFNA(vlookup(B4568,'Special Names'!A:B,2,FALSE),B4568),PlayerValues!E:E,0)),"N/A")</f>
        <v>15710</v>
      </c>
      <c r="B4568" s="4" t="s">
        <v>395</v>
      </c>
      <c r="C4568" s="4" t="s">
        <v>278</v>
      </c>
      <c r="D4568" s="94">
        <v>4832.0</v>
      </c>
    </row>
    <row r="4569">
      <c r="A4569" s="40" t="str">
        <f t="array" ref="A4569">IFNA(index(PlayerValues!A:A,match(IFNA(vlookup(B4569,'Special Names'!A:B,2,FALSE),B4569),PlayerValues!E:E,0)),"N/A")</f>
        <v>N/A</v>
      </c>
      <c r="B4569" s="4" t="s">
        <v>104</v>
      </c>
      <c r="C4569" s="4" t="s">
        <v>325</v>
      </c>
      <c r="D4569" s="94">
        <v>4813.0</v>
      </c>
    </row>
    <row r="4570">
      <c r="A4570" s="40">
        <f t="array" ref="A4570">IFNA(index(PlayerValues!A:A,match(IFNA(vlookup(B4570,'Special Names'!A:B,2,FALSE),B4570),PlayerValues!E:E,0)),"N/A")</f>
        <v>13604</v>
      </c>
      <c r="B4570" s="4" t="s">
        <v>378</v>
      </c>
      <c r="C4570" s="4" t="s">
        <v>278</v>
      </c>
      <c r="D4570" s="94">
        <v>4796.0</v>
      </c>
    </row>
    <row r="4571">
      <c r="A4571" s="40">
        <f t="array" ref="A4571">IFNA(index(PlayerValues!A:A,match(IFNA(vlookup(B4571,'Special Names'!A:B,2,FALSE),B4571),PlayerValues!E:E,0)),"N/A")</f>
        <v>13592</v>
      </c>
      <c r="B4571" s="4" t="s">
        <v>418</v>
      </c>
      <c r="C4571" s="4" t="s">
        <v>283</v>
      </c>
      <c r="D4571" s="94">
        <v>4790.0</v>
      </c>
    </row>
    <row r="4572">
      <c r="A4572" s="40">
        <f t="array" ref="A4572">IFNA(index(PlayerValues!A:A,match(IFNA(vlookup(B4572,'Special Names'!A:B,2,FALSE),B4572),PlayerValues!E:E,0)),"N/A")</f>
        <v>15756</v>
      </c>
      <c r="B4572" s="4" t="s">
        <v>399</v>
      </c>
      <c r="C4572" s="4" t="s">
        <v>287</v>
      </c>
      <c r="D4572" s="94">
        <v>4789.0</v>
      </c>
    </row>
    <row r="4573">
      <c r="A4573" s="40">
        <f t="array" ref="A4573">IFNA(index(PlayerValues!A:A,match(IFNA(vlookup(B4573,'Special Names'!A:B,2,FALSE),B4573),PlayerValues!E:E,0)),"N/A")</f>
        <v>13590</v>
      </c>
      <c r="B4573" s="4" t="s">
        <v>409</v>
      </c>
      <c r="C4573" s="4" t="s">
        <v>283</v>
      </c>
      <c r="D4573" s="94">
        <v>4769.0</v>
      </c>
    </row>
    <row r="4574">
      <c r="A4574" s="40" t="str">
        <f t="array" ref="A4574">IFNA(index(PlayerValues!A:A,match(IFNA(vlookup(B4574,'Special Names'!A:B,2,FALSE),B4574),PlayerValues!E:E,0)),"N/A")</f>
        <v>N/A</v>
      </c>
      <c r="B4574" s="4" t="s">
        <v>80</v>
      </c>
      <c r="C4574" s="4" t="s">
        <v>325</v>
      </c>
      <c r="D4574" s="94">
        <v>4728.0</v>
      </c>
    </row>
    <row r="4575">
      <c r="A4575" s="40" t="str">
        <f t="array" ref="A4575">IFNA(index(PlayerValues!A:A,match(IFNA(vlookup(B4575,'Special Names'!A:B,2,FALSE),B4575),PlayerValues!E:E,0)),"N/A")</f>
        <v>N/A</v>
      </c>
      <c r="B4575" s="4" t="s">
        <v>94</v>
      </c>
      <c r="C4575" s="4" t="s">
        <v>325</v>
      </c>
      <c r="D4575" s="94">
        <v>4720.0</v>
      </c>
    </row>
    <row r="4576">
      <c r="A4576" s="40">
        <f t="array" ref="A4576">IFNA(index(PlayerValues!A:A,match(IFNA(vlookup(B4576,'Special Names'!A:B,2,FALSE),B4576),PlayerValues!E:E,0)),"N/A")</f>
        <v>15282</v>
      </c>
      <c r="B4576" s="4" t="s">
        <v>364</v>
      </c>
      <c r="C4576" s="4" t="s">
        <v>287</v>
      </c>
      <c r="D4576" s="94">
        <v>4715.0</v>
      </c>
    </row>
    <row r="4577">
      <c r="A4577" s="40">
        <f t="array" ref="A4577">IFNA(index(PlayerValues!A:A,match(IFNA(vlookup(B4577,'Special Names'!A:B,2,FALSE),B4577),PlayerValues!E:E,0)),"N/A")</f>
        <v>14104</v>
      </c>
      <c r="B4577" s="4" t="s">
        <v>379</v>
      </c>
      <c r="C4577" s="4" t="s">
        <v>287</v>
      </c>
      <c r="D4577" s="94">
        <v>4692.0</v>
      </c>
    </row>
    <row r="4578">
      <c r="A4578" s="40">
        <f t="array" ref="A4578">IFNA(index(PlayerValues!A:A,match(IFNA(vlookup(B4578,'Special Names'!A:B,2,FALSE),B4578),PlayerValues!E:E,0)),"N/A")</f>
        <v>16190</v>
      </c>
      <c r="B4578" s="4" t="s">
        <v>371</v>
      </c>
      <c r="C4578" s="4" t="s">
        <v>287</v>
      </c>
      <c r="D4578" s="94">
        <v>4691.0</v>
      </c>
    </row>
    <row r="4579">
      <c r="A4579" s="40">
        <f t="array" ref="A4579">IFNA(index(PlayerValues!A:A,match(IFNA(vlookup(B4579,'Special Names'!A:B,2,FALSE),B4579),PlayerValues!E:E,0)),"N/A")</f>
        <v>12611</v>
      </c>
      <c r="B4579" s="4" t="s">
        <v>410</v>
      </c>
      <c r="C4579" s="4" t="s">
        <v>283</v>
      </c>
      <c r="D4579" s="94">
        <v>4626.0</v>
      </c>
    </row>
    <row r="4580">
      <c r="A4580" s="40">
        <f t="array" ref="A4580">IFNA(index(PlayerValues!A:A,match(IFNA(vlookup(B4580,'Special Names'!A:B,2,FALSE),B4580),PlayerValues!E:E,0)),"N/A")</f>
        <v>16214</v>
      </c>
      <c r="B4580" s="4" t="s">
        <v>413</v>
      </c>
      <c r="C4580" s="4" t="s">
        <v>298</v>
      </c>
      <c r="D4580" s="94">
        <v>5137.0</v>
      </c>
    </row>
    <row r="4581">
      <c r="A4581" s="40">
        <f t="array" ref="A4581">IFNA(index(PlayerValues!A:A,match(IFNA(vlookup(B4581,'Special Names'!A:B,2,FALSE),B4581),PlayerValues!E:E,0)),"N/A")</f>
        <v>17039</v>
      </c>
      <c r="B4581" s="4" t="s">
        <v>400</v>
      </c>
      <c r="C4581" s="4" t="s">
        <v>283</v>
      </c>
      <c r="D4581" s="94">
        <v>4586.0</v>
      </c>
    </row>
    <row r="4582">
      <c r="A4582" s="40">
        <f t="array" ref="A4582">IFNA(index(PlayerValues!A:A,match(IFNA(vlookup(B4582,'Special Names'!A:B,2,FALSE),B4582),PlayerValues!E:E,0)),"N/A")</f>
        <v>15284</v>
      </c>
      <c r="B4582" s="4" t="s">
        <v>390</v>
      </c>
      <c r="C4582" s="4" t="s">
        <v>287</v>
      </c>
      <c r="D4582" s="94">
        <v>4573.0</v>
      </c>
    </row>
    <row r="4583">
      <c r="A4583" s="40">
        <f t="array" ref="A4583">IFNA(index(PlayerValues!A:A,match(IFNA(vlookup(B4583,'Special Names'!A:B,2,FALSE),B4583),PlayerValues!E:E,0)),"N/A")</f>
        <v>17068</v>
      </c>
      <c r="B4583" s="4" t="s">
        <v>450</v>
      </c>
      <c r="C4583" s="4" t="s">
        <v>278</v>
      </c>
      <c r="D4583" s="94">
        <v>4532.0</v>
      </c>
    </row>
    <row r="4584">
      <c r="A4584" s="40">
        <f t="array" ref="A4584">IFNA(index(PlayerValues!A:A,match(IFNA(vlookup(B4584,'Special Names'!A:B,2,FALSE),B4584),PlayerValues!E:E,0)),"N/A")</f>
        <v>16148</v>
      </c>
      <c r="B4584" s="4" t="s">
        <v>426</v>
      </c>
      <c r="C4584" s="4" t="s">
        <v>283</v>
      </c>
      <c r="D4584" s="94">
        <v>4501.0</v>
      </c>
    </row>
    <row r="4585">
      <c r="A4585" s="40">
        <f t="array" ref="A4585">IFNA(index(PlayerValues!A:A,match(IFNA(vlookup(B4585,'Special Names'!A:B,2,FALSE),B4585),PlayerValues!E:E,0)),"N/A")</f>
        <v>15253</v>
      </c>
      <c r="B4585" s="4" t="s">
        <v>415</v>
      </c>
      <c r="C4585" s="4" t="s">
        <v>278</v>
      </c>
      <c r="D4585" s="94">
        <v>4490.0</v>
      </c>
    </row>
    <row r="4586">
      <c r="A4586" s="40">
        <f t="array" ref="A4586">IFNA(index(PlayerValues!A:A,match(IFNA(vlookup(B4586,'Special Names'!A:B,2,FALSE),B4586),PlayerValues!E:E,0)),"N/A")</f>
        <v>15329</v>
      </c>
      <c r="B4586" s="4" t="s">
        <v>416</v>
      </c>
      <c r="C4586" s="4" t="s">
        <v>298</v>
      </c>
      <c r="D4586" s="94">
        <v>5018.0</v>
      </c>
    </row>
    <row r="4587">
      <c r="A4587" s="40">
        <f t="array" ref="A4587">IFNA(index(PlayerValues!A:A,match(IFNA(vlookup(B4587,'Special Names'!A:B,2,FALSE),B4587),PlayerValues!E:E,0)),"N/A")</f>
        <v>14073</v>
      </c>
      <c r="B4587" s="4" t="s">
        <v>464</v>
      </c>
      <c r="C4587" s="4" t="s">
        <v>278</v>
      </c>
      <c r="D4587" s="94">
        <v>4475.0</v>
      </c>
    </row>
    <row r="4588">
      <c r="A4588" s="40" t="str">
        <f t="array" ref="A4588">IFNA(index(PlayerValues!A:A,match(IFNA(vlookup(B4588,'Special Names'!A:B,2,FALSE),B4588),PlayerValues!E:E,0)),"N/A")</f>
        <v>N/A</v>
      </c>
      <c r="B4588" s="4" t="s">
        <v>105</v>
      </c>
      <c r="C4588" s="4" t="s">
        <v>325</v>
      </c>
      <c r="D4588" s="94">
        <v>4438.0</v>
      </c>
    </row>
    <row r="4589">
      <c r="A4589" s="40">
        <f t="array" ref="A4589">IFNA(index(PlayerValues!A:A,match(IFNA(vlookup(B4589,'Special Names'!A:B,2,FALSE),B4589),PlayerValues!E:E,0)),"N/A")</f>
        <v>15256</v>
      </c>
      <c r="B4589" s="4" t="s">
        <v>401</v>
      </c>
      <c r="C4589" s="4" t="s">
        <v>278</v>
      </c>
      <c r="D4589" s="94">
        <v>4384.0</v>
      </c>
    </row>
    <row r="4590">
      <c r="A4590" s="40" t="str">
        <f t="array" ref="A4590">IFNA(index(PlayerValues!A:A,match(IFNA(vlookup(B4590,'Special Names'!A:B,2,FALSE),B4590),PlayerValues!E:E,0)),"N/A")</f>
        <v>N/A</v>
      </c>
      <c r="B4590" s="4" t="s">
        <v>81</v>
      </c>
      <c r="C4590" s="4" t="s">
        <v>325</v>
      </c>
      <c r="D4590" s="94">
        <v>4332.0</v>
      </c>
    </row>
    <row r="4591">
      <c r="A4591" s="40">
        <f t="array" ref="A4591">IFNA(index(PlayerValues!A:A,match(IFNA(vlookup(B4591,'Special Names'!A:B,2,FALSE),B4591),PlayerValues!E:E,0)),"N/A")</f>
        <v>17074</v>
      </c>
      <c r="B4591" s="4" t="s">
        <v>475</v>
      </c>
      <c r="C4591" s="4" t="s">
        <v>287</v>
      </c>
      <c r="D4591" s="94">
        <v>4217.0</v>
      </c>
    </row>
    <row r="4592">
      <c r="A4592" s="40">
        <f t="array" ref="A4592">IFNA(index(PlayerValues!A:A,match(IFNA(vlookup(B4592,'Special Names'!A:B,2,FALSE),B4592),PlayerValues!E:E,0)),"N/A")</f>
        <v>17500</v>
      </c>
      <c r="B4592" s="4" t="s">
        <v>430</v>
      </c>
      <c r="C4592" s="4" t="s">
        <v>287</v>
      </c>
      <c r="D4592" s="94">
        <v>4194.0</v>
      </c>
    </row>
    <row r="4593">
      <c r="A4593" s="40">
        <f t="array" ref="A4593">IFNA(index(PlayerValues!A:A,match(IFNA(vlookup(B4593,'Special Names'!A:B,2,FALSE),B4593),PlayerValues!E:E,0)),"N/A")</f>
        <v>17099</v>
      </c>
      <c r="B4593" s="4" t="s">
        <v>474</v>
      </c>
      <c r="C4593" s="4" t="s">
        <v>298</v>
      </c>
      <c r="D4593" s="94">
        <v>4644.0</v>
      </c>
    </row>
    <row r="4594">
      <c r="A4594" s="40">
        <f t="array" ref="A4594">IFNA(index(PlayerValues!A:A,match(IFNA(vlookup(B4594,'Special Names'!A:B,2,FALSE),B4594),PlayerValues!E:E,0)),"N/A")</f>
        <v>16186</v>
      </c>
      <c r="B4594" s="4" t="s">
        <v>425</v>
      </c>
      <c r="C4594" s="4" t="s">
        <v>287</v>
      </c>
      <c r="D4594" s="94">
        <v>4064.0</v>
      </c>
    </row>
    <row r="4595">
      <c r="A4595" s="40" t="str">
        <f t="array" ref="A4595">IFNA(index(PlayerValues!A:A,match(IFNA(vlookup(B4595,'Special Names'!A:B,2,FALSE),B4595),PlayerValues!E:E,0)),"N/A")</f>
        <v>N/A</v>
      </c>
      <c r="B4595" s="4" t="s">
        <v>107</v>
      </c>
      <c r="C4595" s="4" t="s">
        <v>325</v>
      </c>
      <c r="D4595" s="94">
        <v>4001.0</v>
      </c>
    </row>
    <row r="4596">
      <c r="A4596" s="40">
        <f t="array" ref="A4596">IFNA(index(PlayerValues!A:A,match(IFNA(vlookup(B4596,'Special Names'!A:B,2,FALSE),B4596),PlayerValues!E:E,0)),"N/A")</f>
        <v>14059</v>
      </c>
      <c r="B4596" s="4" t="s">
        <v>435</v>
      </c>
      <c r="C4596" s="4" t="s">
        <v>283</v>
      </c>
      <c r="D4596" s="94">
        <v>3990.0</v>
      </c>
    </row>
    <row r="4597">
      <c r="A4597" s="40">
        <f t="array" ref="A4597">IFNA(index(PlayerValues!A:A,match(IFNA(vlookup(B4597,'Special Names'!A:B,2,FALSE),B4597),PlayerValues!E:E,0)),"N/A")</f>
        <v>17543</v>
      </c>
      <c r="B4597" s="4" t="s">
        <v>436</v>
      </c>
      <c r="C4597" s="4" t="s">
        <v>298</v>
      </c>
      <c r="D4597" s="94">
        <v>4481.0</v>
      </c>
    </row>
    <row r="4598">
      <c r="A4598" s="40">
        <f t="array" ref="A4598">IFNA(index(PlayerValues!A:A,match(IFNA(vlookup(B4598,'Special Names'!A:B,2,FALSE),B4598),PlayerValues!E:E,0)),"N/A")</f>
        <v>17501</v>
      </c>
      <c r="B4598" s="4" t="s">
        <v>404</v>
      </c>
      <c r="C4598" s="4" t="s">
        <v>287</v>
      </c>
      <c r="D4598" s="94">
        <v>3957.0</v>
      </c>
    </row>
    <row r="4599">
      <c r="A4599" s="40">
        <f t="array" ref="A4599">IFNA(index(PlayerValues!A:A,match(IFNA(vlookup(B4599,'Special Names'!A:B,2,FALSE),B4599),PlayerValues!E:E,0)),"N/A")</f>
        <v>17066</v>
      </c>
      <c r="B4599" s="4" t="s">
        <v>446</v>
      </c>
      <c r="C4599" s="4" t="s">
        <v>278</v>
      </c>
      <c r="D4599" s="94">
        <v>3935.0</v>
      </c>
    </row>
    <row r="4600">
      <c r="A4600" s="40">
        <f t="array" ref="A4600">IFNA(index(PlayerValues!A:A,match(IFNA(vlookup(B4600,'Special Names'!A:B,2,FALSE),B4600),PlayerValues!E:E,0)),"N/A")</f>
        <v>12626</v>
      </c>
      <c r="B4600" s="4" t="s">
        <v>419</v>
      </c>
      <c r="C4600" s="4" t="s">
        <v>278</v>
      </c>
      <c r="D4600" s="94">
        <v>3906.0</v>
      </c>
    </row>
    <row r="4601">
      <c r="A4601" s="40">
        <f t="array" ref="A4601">IFNA(index(PlayerValues!A:A,match(IFNA(vlookup(B4601,'Special Names'!A:B,2,FALSE),B4601),PlayerValues!E:E,0)),"N/A")</f>
        <v>16622</v>
      </c>
      <c r="B4601" s="4" t="s">
        <v>517</v>
      </c>
      <c r="C4601" s="4" t="s">
        <v>287</v>
      </c>
      <c r="D4601" s="94">
        <v>3903.0</v>
      </c>
    </row>
    <row r="4602">
      <c r="A4602" s="40">
        <f t="array" ref="A4602">IFNA(index(PlayerValues!A:A,match(IFNA(vlookup(B4602,'Special Names'!A:B,2,FALSE),B4602),PlayerValues!E:E,0)),"N/A")</f>
        <v>16206</v>
      </c>
      <c r="B4602" s="4" t="s">
        <v>431</v>
      </c>
      <c r="C4602" s="4" t="s">
        <v>287</v>
      </c>
      <c r="D4602" s="94">
        <v>3878.0</v>
      </c>
    </row>
    <row r="4603">
      <c r="A4603" s="40">
        <f t="array" ref="A4603">IFNA(index(PlayerValues!A:A,match(IFNA(vlookup(B4603,'Special Names'!A:B,2,FALSE),B4603),PlayerValues!E:E,0)),"N/A")</f>
        <v>15768</v>
      </c>
      <c r="B4603" s="4" t="s">
        <v>432</v>
      </c>
      <c r="C4603" s="4" t="s">
        <v>287</v>
      </c>
      <c r="D4603" s="94">
        <v>3861.0</v>
      </c>
    </row>
    <row r="4604">
      <c r="A4604" s="40">
        <f t="array" ref="A4604">IFNA(index(PlayerValues!A:A,match(IFNA(vlookup(B4604,'Special Names'!A:B,2,FALSE),B4604),PlayerValues!E:E,0)),"N/A")</f>
        <v>14102</v>
      </c>
      <c r="B4604" s="4" t="s">
        <v>444</v>
      </c>
      <c r="C4604" s="4" t="s">
        <v>287</v>
      </c>
      <c r="D4604" s="94">
        <v>3846.0</v>
      </c>
    </row>
    <row r="4605">
      <c r="A4605" s="40" t="str">
        <f t="array" ref="A4605">IFNA(index(PlayerValues!A:A,match(IFNA(vlookup(B4605,'Special Names'!A:B,2,FALSE),B4605),PlayerValues!E:E,0)),"N/A")</f>
        <v>N/A</v>
      </c>
      <c r="B4605" s="4" t="s">
        <v>95</v>
      </c>
      <c r="C4605" s="4" t="s">
        <v>325</v>
      </c>
      <c r="D4605" s="94">
        <v>3826.0</v>
      </c>
    </row>
    <row r="4606">
      <c r="A4606" s="40">
        <f t="array" ref="A4606">IFNA(index(PlayerValues!A:A,match(IFNA(vlookup(B4606,'Special Names'!A:B,2,FALSE),B4606),PlayerValues!E:E,0)),"N/A")</f>
        <v>17083</v>
      </c>
      <c r="B4606" s="4" t="s">
        <v>479</v>
      </c>
      <c r="C4606" s="4" t="s">
        <v>287</v>
      </c>
      <c r="D4606" s="94">
        <v>3822.0</v>
      </c>
    </row>
    <row r="4607">
      <c r="A4607" s="40">
        <f t="array" ref="A4607">IFNA(index(PlayerValues!A:A,match(IFNA(vlookup(B4607,'Special Names'!A:B,2,FALSE),B4607),PlayerValues!E:E,0)),"N/A")</f>
        <v>15789</v>
      </c>
      <c r="B4607" s="4" t="s">
        <v>421</v>
      </c>
      <c r="C4607" s="4" t="s">
        <v>287</v>
      </c>
      <c r="D4607" s="94">
        <v>3737.0</v>
      </c>
    </row>
    <row r="4608">
      <c r="A4608" s="40">
        <f t="array" ref="A4608">IFNA(index(PlayerValues!A:A,match(IFNA(vlookup(B4608,'Special Names'!A:B,2,FALSE),B4608),PlayerValues!E:E,0)),"N/A")</f>
        <v>14797</v>
      </c>
      <c r="B4608" s="4" t="s">
        <v>420</v>
      </c>
      <c r="C4608" s="4" t="s">
        <v>278</v>
      </c>
      <c r="D4608" s="94">
        <v>3731.0</v>
      </c>
    </row>
    <row r="4609">
      <c r="A4609" s="40">
        <f t="array" ref="A4609">IFNA(index(PlayerValues!A:A,match(IFNA(vlookup(B4609,'Special Names'!A:B,2,FALSE),B4609),PlayerValues!E:E,0)),"N/A")</f>
        <v>9431</v>
      </c>
      <c r="B4609" s="4" t="s">
        <v>428</v>
      </c>
      <c r="C4609" s="4" t="s">
        <v>283</v>
      </c>
      <c r="D4609" s="94">
        <v>3717.0</v>
      </c>
    </row>
    <row r="4610">
      <c r="A4610" s="40">
        <f t="array" ref="A4610">IFNA(index(PlayerValues!A:A,match(IFNA(vlookup(B4610,'Special Names'!A:B,2,FALSE),B4610),PlayerValues!E:E,0)),"N/A")</f>
        <v>11675</v>
      </c>
      <c r="B4610" s="4" t="s">
        <v>438</v>
      </c>
      <c r="C4610" s="4" t="s">
        <v>287</v>
      </c>
      <c r="D4610" s="94">
        <v>3658.0</v>
      </c>
    </row>
    <row r="4611">
      <c r="A4611" s="40">
        <f t="array" ref="A4611">IFNA(index(PlayerValues!A:A,match(IFNA(vlookup(B4611,'Special Names'!A:B,2,FALSE),B4611),PlayerValues!E:E,0)),"N/A")</f>
        <v>17477</v>
      </c>
      <c r="B4611" s="4" t="s">
        <v>452</v>
      </c>
      <c r="C4611" s="4" t="s">
        <v>278</v>
      </c>
      <c r="D4611" s="94">
        <v>3634.0</v>
      </c>
    </row>
    <row r="4612">
      <c r="A4612" s="40">
        <f t="array" ref="A4612">IFNA(index(PlayerValues!A:A,match(IFNA(vlookup(B4612,'Special Names'!A:B,2,FALSE),B4612),PlayerValues!E:E,0)),"N/A")</f>
        <v>15757</v>
      </c>
      <c r="B4612" s="4" t="s">
        <v>449</v>
      </c>
      <c r="C4612" s="4" t="s">
        <v>287</v>
      </c>
      <c r="D4612" s="94">
        <v>3624.0</v>
      </c>
    </row>
    <row r="4613">
      <c r="A4613" s="40">
        <f t="array" ref="A4613">IFNA(index(PlayerValues!A:A,match(IFNA(vlookup(B4613,'Special Names'!A:B,2,FALSE),B4613),PlayerValues!E:E,0)),"N/A")</f>
        <v>14056</v>
      </c>
      <c r="B4613" s="4" t="s">
        <v>423</v>
      </c>
      <c r="C4613" s="4" t="s">
        <v>283</v>
      </c>
      <c r="D4613" s="94">
        <v>3604.0</v>
      </c>
    </row>
    <row r="4614">
      <c r="A4614" s="40">
        <f t="array" ref="A4614">IFNA(index(PlayerValues!A:A,match(IFNA(vlookup(B4614,'Special Names'!A:B,2,FALSE),B4614),PlayerValues!E:E,0)),"N/A")</f>
        <v>16583</v>
      </c>
      <c r="B4614" s="4" t="s">
        <v>493</v>
      </c>
      <c r="C4614" s="4" t="s">
        <v>283</v>
      </c>
      <c r="D4614" s="94">
        <v>3599.0</v>
      </c>
    </row>
    <row r="4615">
      <c r="A4615" s="40">
        <f t="array" ref="A4615">IFNA(index(PlayerValues!A:A,match(IFNA(vlookup(B4615,'Special Names'!A:B,2,FALSE),B4615),PlayerValues!E:E,0)),"N/A")</f>
        <v>14842</v>
      </c>
      <c r="B4615" s="4" t="s">
        <v>456</v>
      </c>
      <c r="C4615" s="4" t="s">
        <v>287</v>
      </c>
      <c r="D4615" s="94">
        <v>3584.0</v>
      </c>
    </row>
    <row r="4616">
      <c r="A4616" s="40">
        <f t="array" ref="A4616">IFNA(index(PlayerValues!A:A,match(IFNA(vlookup(B4616,'Special Names'!A:B,2,FALSE),B4616),PlayerValues!E:E,0)),"N/A")</f>
        <v>16169</v>
      </c>
      <c r="B4616" s="4" t="s">
        <v>457</v>
      </c>
      <c r="C4616" s="4" t="s">
        <v>278</v>
      </c>
      <c r="D4616" s="94">
        <v>3576.0</v>
      </c>
    </row>
    <row r="4617">
      <c r="A4617" s="40">
        <f t="array" ref="A4617">IFNA(index(PlayerValues!A:A,match(IFNA(vlookup(B4617,'Special Names'!A:B,2,FALSE),B4617),PlayerValues!E:E,0)),"N/A")</f>
        <v>16192</v>
      </c>
      <c r="B4617" s="4" t="s">
        <v>412</v>
      </c>
      <c r="C4617" s="4" t="s">
        <v>287</v>
      </c>
      <c r="D4617" s="94">
        <v>3572.0</v>
      </c>
    </row>
    <row r="4618">
      <c r="A4618" s="40">
        <f t="array" ref="A4618">IFNA(index(PlayerValues!A:A,match(IFNA(vlookup(B4618,'Special Names'!A:B,2,FALSE),B4618),PlayerValues!E:E,0)),"N/A")</f>
        <v>16213</v>
      </c>
      <c r="B4618" s="4" t="s">
        <v>458</v>
      </c>
      <c r="C4618" s="4" t="s">
        <v>298</v>
      </c>
      <c r="D4618" s="94">
        <v>4026.0</v>
      </c>
    </row>
    <row r="4619">
      <c r="A4619" s="40">
        <f t="array" ref="A4619">IFNA(index(PlayerValues!A:A,match(IFNA(vlookup(B4619,'Special Names'!A:B,2,FALSE),B4619),PlayerValues!E:E,0)),"N/A")</f>
        <v>16584</v>
      </c>
      <c r="B4619" s="4" t="s">
        <v>569</v>
      </c>
      <c r="C4619" s="4" t="s">
        <v>283</v>
      </c>
      <c r="D4619" s="94">
        <v>3535.0</v>
      </c>
    </row>
    <row r="4620">
      <c r="A4620" s="40">
        <f t="array" ref="A4620">IFNA(index(PlayerValues!A:A,match(IFNA(vlookup(B4620,'Special Names'!A:B,2,FALSE),B4620),PlayerValues!E:E,0)),"N/A")</f>
        <v>17075</v>
      </c>
      <c r="B4620" s="4" t="s">
        <v>429</v>
      </c>
      <c r="C4620" s="4" t="s">
        <v>287</v>
      </c>
      <c r="D4620" s="94">
        <v>3534.0</v>
      </c>
    </row>
    <row r="4621">
      <c r="A4621" s="40">
        <f t="array" ref="A4621">IFNA(index(PlayerValues!A:A,match(IFNA(vlookup(B4621,'Special Names'!A:B,2,FALSE),B4621),PlayerValues!E:E,0)),"N/A")</f>
        <v>16620</v>
      </c>
      <c r="B4621" s="4" t="s">
        <v>467</v>
      </c>
      <c r="C4621" s="4" t="s">
        <v>287</v>
      </c>
      <c r="D4621" s="94">
        <v>3528.0</v>
      </c>
    </row>
    <row r="4622">
      <c r="A4622" s="40">
        <f t="array" ref="A4622">IFNA(index(PlayerValues!A:A,match(IFNA(vlookup(B4622,'Special Names'!A:B,2,FALSE),B4622),PlayerValues!E:E,0)),"N/A")</f>
        <v>16188</v>
      </c>
      <c r="B4622" s="4" t="s">
        <v>439</v>
      </c>
      <c r="C4622" s="4" t="s">
        <v>287</v>
      </c>
      <c r="D4622" s="94">
        <v>3512.0</v>
      </c>
    </row>
    <row r="4623">
      <c r="A4623" s="40" t="str">
        <f t="array" ref="A4623">IFNA(index(PlayerValues!A:A,match(IFNA(vlookup(B4623,'Special Names'!A:B,2,FALSE),B4623),PlayerValues!E:E,0)),"N/A")</f>
        <v>N/A</v>
      </c>
      <c r="B4623" s="4" t="s">
        <v>82</v>
      </c>
      <c r="C4623" s="4" t="s">
        <v>325</v>
      </c>
      <c r="D4623" s="94">
        <v>3495.0</v>
      </c>
    </row>
    <row r="4624">
      <c r="A4624" s="40">
        <f t="array" ref="A4624">IFNA(index(PlayerValues!A:A,match(IFNA(vlookup(B4624,'Special Names'!A:B,2,FALSE),B4624),PlayerValues!E:E,0)),"N/A")</f>
        <v>16593</v>
      </c>
      <c r="B4624" s="4" t="s">
        <v>442</v>
      </c>
      <c r="C4624" s="4" t="s">
        <v>278</v>
      </c>
      <c r="D4624" s="94">
        <v>3495.0</v>
      </c>
    </row>
    <row r="4625">
      <c r="A4625" s="40">
        <f t="array" ref="A4625">IFNA(index(PlayerValues!A:A,match(IFNA(vlookup(B4625,'Special Names'!A:B,2,FALSE),B4625),PlayerValues!E:E,0)),"N/A")</f>
        <v>13299</v>
      </c>
      <c r="B4625" s="4" t="s">
        <v>448</v>
      </c>
      <c r="C4625" s="4" t="s">
        <v>298</v>
      </c>
      <c r="D4625" s="94">
        <v>3945.0</v>
      </c>
    </row>
    <row r="4626">
      <c r="A4626" s="40">
        <f t="array" ref="A4626">IFNA(index(PlayerValues!A:A,match(IFNA(vlookup(B4626,'Special Names'!A:B,2,FALSE),B4626),PlayerValues!E:E,0)),"N/A")</f>
        <v>14127</v>
      </c>
      <c r="B4626" s="4" t="s">
        <v>486</v>
      </c>
      <c r="C4626" s="4" t="s">
        <v>287</v>
      </c>
      <c r="D4626" s="94">
        <v>3459.0</v>
      </c>
    </row>
    <row r="4627">
      <c r="A4627" s="40">
        <f t="array" ref="A4627">IFNA(index(PlayerValues!A:A,match(IFNA(vlookup(B4627,'Special Names'!A:B,2,FALSE),B4627),PlayerValues!E:E,0)),"N/A")</f>
        <v>17052</v>
      </c>
      <c r="B4627" s="4" t="s">
        <v>417</v>
      </c>
      <c r="C4627" s="4" t="s">
        <v>278</v>
      </c>
      <c r="D4627" s="94">
        <v>3455.0</v>
      </c>
    </row>
    <row r="4628">
      <c r="A4628" s="40">
        <f t="array" ref="A4628">IFNA(index(PlayerValues!A:A,match(IFNA(vlookup(B4628,'Special Names'!A:B,2,FALSE),B4628),PlayerValues!E:E,0)),"N/A")</f>
        <v>15742</v>
      </c>
      <c r="B4628" s="4" t="s">
        <v>447</v>
      </c>
      <c r="C4628" s="4" t="s">
        <v>278</v>
      </c>
      <c r="D4628" s="94">
        <v>3439.0</v>
      </c>
    </row>
    <row r="4629">
      <c r="A4629" s="40">
        <f t="array" ref="A4629">IFNA(index(PlayerValues!A:A,match(IFNA(vlookup(B4629,'Special Names'!A:B,2,FALSE),B4629),PlayerValues!E:E,0)),"N/A")</f>
        <v>15799</v>
      </c>
      <c r="B4629" s="4" t="s">
        <v>468</v>
      </c>
      <c r="C4629" s="4" t="s">
        <v>298</v>
      </c>
      <c r="D4629" s="94">
        <v>3859.0</v>
      </c>
    </row>
    <row r="4630">
      <c r="A4630" s="40">
        <f t="array" ref="A4630">IFNA(index(PlayerValues!A:A,match(IFNA(vlookup(B4630,'Special Names'!A:B,2,FALSE),B4630),PlayerValues!E:E,0)),"N/A")</f>
        <v>17502</v>
      </c>
      <c r="B4630" s="4" t="s">
        <v>451</v>
      </c>
      <c r="C4630" s="4" t="s">
        <v>287</v>
      </c>
      <c r="D4630" s="94">
        <v>3399.0</v>
      </c>
    </row>
    <row r="4631">
      <c r="A4631" s="40" t="str">
        <f t="array" ref="A4631">IFNA(index(PlayerValues!A:A,match(IFNA(vlookup(B4631,'Special Names'!A:B,2,FALSE),B4631),PlayerValues!E:E,0)),"N/A")</f>
        <v>N/A</v>
      </c>
      <c r="B4631" s="4" t="s">
        <v>96</v>
      </c>
      <c r="C4631" s="4" t="s">
        <v>325</v>
      </c>
      <c r="D4631" s="94">
        <v>3373.0</v>
      </c>
    </row>
    <row r="4632">
      <c r="A4632" s="40">
        <f t="array" ref="A4632">IFNA(index(PlayerValues!A:A,match(IFNA(vlookup(B4632,'Special Names'!A:B,2,FALSE),B4632),PlayerValues!E:E,0)),"N/A")</f>
        <v>14109</v>
      </c>
      <c r="B4632" s="4" t="s">
        <v>437</v>
      </c>
      <c r="C4632" s="4" t="s">
        <v>287</v>
      </c>
      <c r="D4632" s="94">
        <v>3358.0</v>
      </c>
    </row>
    <row r="4633">
      <c r="A4633" s="40">
        <f t="array" ref="A4633">IFNA(index(PlayerValues!A:A,match(IFNA(vlookup(B4633,'Special Names'!A:B,2,FALSE),B4633),PlayerValues!E:E,0)),"N/A")</f>
        <v>16594</v>
      </c>
      <c r="B4633" s="4" t="s">
        <v>607</v>
      </c>
      <c r="C4633" s="4" t="s">
        <v>278</v>
      </c>
      <c r="D4633" s="94">
        <v>3331.0</v>
      </c>
    </row>
    <row r="4634">
      <c r="A4634" s="40">
        <f t="array" ref="A4634">IFNA(index(PlayerValues!A:A,match(IFNA(vlookup(B4634,'Special Names'!A:B,2,FALSE),B4634),PlayerValues!E:E,0)),"N/A")</f>
        <v>17053</v>
      </c>
      <c r="B4634" s="4" t="s">
        <v>484</v>
      </c>
      <c r="C4634" s="4" t="s">
        <v>278</v>
      </c>
      <c r="D4634" s="94">
        <v>3330.0</v>
      </c>
    </row>
    <row r="4635">
      <c r="A4635" s="40">
        <f t="array" ref="A4635">IFNA(index(PlayerValues!A:A,match(IFNA(vlookup(B4635,'Special Names'!A:B,2,FALSE),B4635),PlayerValues!E:E,0)),"N/A")</f>
        <v>17473</v>
      </c>
      <c r="B4635" s="4" t="s">
        <v>391</v>
      </c>
      <c r="C4635" s="4" t="s">
        <v>278</v>
      </c>
      <c r="D4635" s="94">
        <v>3313.0</v>
      </c>
    </row>
    <row r="4636">
      <c r="A4636" s="40">
        <f t="array" ref="A4636">IFNA(index(PlayerValues!A:A,match(IFNA(vlookup(B4636,'Special Names'!A:B,2,FALSE),B4636),PlayerValues!E:E,0)),"N/A")</f>
        <v>13630</v>
      </c>
      <c r="B4636" s="4" t="s">
        <v>465</v>
      </c>
      <c r="C4636" s="4" t="s">
        <v>287</v>
      </c>
      <c r="D4636" s="94">
        <v>3298.0</v>
      </c>
    </row>
    <row r="4637">
      <c r="A4637" s="40">
        <f t="array" ref="A4637">IFNA(index(PlayerValues!A:A,match(IFNA(vlookup(B4637,'Special Names'!A:B,2,FALSE),B4637),PlayerValues!E:E,0)),"N/A")</f>
        <v>13635</v>
      </c>
      <c r="B4637" s="4" t="s">
        <v>424</v>
      </c>
      <c r="C4637" s="4" t="s">
        <v>287</v>
      </c>
      <c r="D4637" s="94">
        <v>3274.0</v>
      </c>
    </row>
    <row r="4638">
      <c r="A4638" s="40">
        <f t="array" ref="A4638">IFNA(index(PlayerValues!A:A,match(IFNA(vlookup(B4638,'Special Names'!A:B,2,FALSE),B4638),PlayerValues!E:E,0)),"N/A")</f>
        <v>16269</v>
      </c>
      <c r="B4638" s="4" t="s">
        <v>481</v>
      </c>
      <c r="C4638" s="4" t="s">
        <v>298</v>
      </c>
      <c r="D4638" s="94">
        <v>3709.0</v>
      </c>
    </row>
    <row r="4639">
      <c r="A4639" s="40">
        <f t="array" ref="A4639">IFNA(index(PlayerValues!A:A,match(IFNA(vlookup(B4639,'Special Names'!A:B,2,FALSE),B4639),PlayerValues!E:E,0)),"N/A")</f>
        <v>16184</v>
      </c>
      <c r="B4639" s="4" t="s">
        <v>445</v>
      </c>
      <c r="C4639" s="4" t="s">
        <v>287</v>
      </c>
      <c r="D4639" s="94">
        <v>3261.0</v>
      </c>
    </row>
    <row r="4640">
      <c r="A4640" s="40">
        <f t="array" ref="A4640">IFNA(index(PlayerValues!A:A,match(IFNA(vlookup(B4640,'Special Names'!A:B,2,FALSE),B4640),PlayerValues!E:E,0)),"N/A")</f>
        <v>15694</v>
      </c>
      <c r="B4640" s="4" t="s">
        <v>434</v>
      </c>
      <c r="C4640" s="4" t="s">
        <v>283</v>
      </c>
      <c r="D4640" s="94">
        <v>3213.0</v>
      </c>
    </row>
    <row r="4641">
      <c r="A4641" s="40">
        <f t="array" ref="A4641">IFNA(index(PlayerValues!A:A,match(IFNA(vlookup(B4641,'Special Names'!A:B,2,FALSE),B4641),PlayerValues!E:E,0)),"N/A")</f>
        <v>15712</v>
      </c>
      <c r="B4641" s="4" t="s">
        <v>488</v>
      </c>
      <c r="C4641" s="4" t="s">
        <v>278</v>
      </c>
      <c r="D4641" s="94">
        <v>3212.0</v>
      </c>
    </row>
    <row r="4642">
      <c r="A4642" s="40">
        <f t="array" ref="A4642">IFNA(index(PlayerValues!A:A,match(IFNA(vlookup(B4642,'Special Names'!A:B,2,FALSE),B4642),PlayerValues!E:E,0)),"N/A")</f>
        <v>17476</v>
      </c>
      <c r="B4642" s="4" t="s">
        <v>494</v>
      </c>
      <c r="C4642" s="4" t="s">
        <v>278</v>
      </c>
      <c r="D4642" s="94">
        <v>3202.0</v>
      </c>
    </row>
    <row r="4643">
      <c r="A4643" s="40">
        <f t="array" ref="A4643">IFNA(index(PlayerValues!A:A,match(IFNA(vlookup(B4643,'Special Names'!A:B,2,FALSE),B4643),PlayerValues!E:E,0)),"N/A")</f>
        <v>16809</v>
      </c>
      <c r="B4643" s="4" t="s">
        <v>455</v>
      </c>
      <c r="C4643" s="4" t="s">
        <v>287</v>
      </c>
      <c r="D4643" s="94">
        <v>3167.0</v>
      </c>
    </row>
    <row r="4644">
      <c r="A4644" s="40">
        <f t="array" ref="A4644">IFNA(index(PlayerValues!A:A,match(IFNA(vlookup(B4644,'Special Names'!A:B,2,FALSE),B4644),PlayerValues!E:E,0)),"N/A")</f>
        <v>16187</v>
      </c>
      <c r="B4644" s="4" t="s">
        <v>441</v>
      </c>
      <c r="C4644" s="4" t="s">
        <v>287</v>
      </c>
      <c r="D4644" s="94">
        <v>3151.0</v>
      </c>
    </row>
    <row r="4645">
      <c r="A4645" s="40">
        <f t="array" ref="A4645">IFNA(index(PlayerValues!A:A,match(IFNA(vlookup(B4645,'Special Names'!A:B,2,FALSE),B4645),PlayerValues!E:E,0)),"N/A")</f>
        <v>14823</v>
      </c>
      <c r="B4645" s="4" t="s">
        <v>459</v>
      </c>
      <c r="C4645" s="4" t="s">
        <v>278</v>
      </c>
      <c r="D4645" s="94">
        <v>3150.0</v>
      </c>
    </row>
    <row r="4646">
      <c r="A4646" s="40">
        <f t="array" ref="A4646">IFNA(index(PlayerValues!A:A,match(IFNA(vlookup(B4646,'Special Names'!A:B,2,FALSE),B4646),PlayerValues!E:E,0)),"N/A")</f>
        <v>15761</v>
      </c>
      <c r="B4646" s="4" t="s">
        <v>491</v>
      </c>
      <c r="C4646" s="4" t="s">
        <v>287</v>
      </c>
      <c r="D4646" s="94">
        <v>3111.0</v>
      </c>
    </row>
    <row r="4647">
      <c r="A4647" s="40" t="str">
        <f t="array" ref="A4647">IFNA(index(PlayerValues!A:A,match(IFNA(vlookup(B4647,'Special Names'!A:B,2,FALSE),B4647),PlayerValues!E:E,0)),"N/A")</f>
        <v>N/A</v>
      </c>
      <c r="B4647" s="4" t="s">
        <v>108</v>
      </c>
      <c r="C4647" s="4" t="s">
        <v>325</v>
      </c>
      <c r="D4647" s="94">
        <v>3078.0</v>
      </c>
    </row>
    <row r="4648">
      <c r="A4648" s="40" t="str">
        <f t="array" ref="A4648">IFNA(index(PlayerValues!A:A,match(IFNA(vlookup(B4648,'Special Names'!A:B,2,FALSE),B4648),PlayerValues!E:E,0)),"N/A")</f>
        <v>N/A</v>
      </c>
      <c r="B4648" s="4" t="s">
        <v>84</v>
      </c>
      <c r="C4648" s="4" t="s">
        <v>325</v>
      </c>
      <c r="D4648" s="94">
        <v>3074.0</v>
      </c>
    </row>
    <row r="4649">
      <c r="A4649" s="40" t="str">
        <f t="array" ref="A4649">IFNA(index(PlayerValues!A:A,match(IFNA(vlookup(B4649,'Special Names'!A:B,2,FALSE),B4649),PlayerValues!E:E,0)),"N/A")</f>
        <v>N/A</v>
      </c>
      <c r="B4649" s="4" t="s">
        <v>97</v>
      </c>
      <c r="C4649" s="4" t="s">
        <v>325</v>
      </c>
      <c r="D4649" s="94">
        <v>3068.0</v>
      </c>
    </row>
    <row r="4650">
      <c r="A4650" s="40">
        <f t="array" ref="A4650">IFNA(index(PlayerValues!A:A,match(IFNA(vlookup(B4650,'Special Names'!A:B,2,FALSE),B4650),PlayerValues!E:E,0)),"N/A")</f>
        <v>15261</v>
      </c>
      <c r="B4650" s="4" t="s">
        <v>466</v>
      </c>
      <c r="C4650" s="4" t="s">
        <v>278</v>
      </c>
      <c r="D4650" s="94">
        <v>3050.0</v>
      </c>
    </row>
    <row r="4651">
      <c r="A4651" s="40">
        <f t="array" ref="A4651">IFNA(index(PlayerValues!A:A,match(IFNA(vlookup(B4651,'Special Names'!A:B,2,FALSE),B4651),PlayerValues!E:E,0)),"N/A")</f>
        <v>16619</v>
      </c>
      <c r="B4651" s="4" t="s">
        <v>538</v>
      </c>
      <c r="C4651" s="4" t="s">
        <v>287</v>
      </c>
      <c r="D4651" s="94">
        <v>3046.0</v>
      </c>
    </row>
    <row r="4652">
      <c r="A4652" s="40">
        <f t="array" ref="A4652">IFNA(index(PlayerValues!A:A,match(IFNA(vlookup(B4652,'Special Names'!A:B,2,FALSE),B4652),PlayerValues!E:E,0)),"N/A")</f>
        <v>15798</v>
      </c>
      <c r="B4652" s="4" t="s">
        <v>443</v>
      </c>
      <c r="C4652" s="4" t="s">
        <v>298</v>
      </c>
      <c r="D4652" s="94">
        <v>3452.0</v>
      </c>
    </row>
    <row r="4653">
      <c r="A4653" s="40">
        <f t="array" ref="A4653">IFNA(index(PlayerValues!A:A,match(IFNA(vlookup(B4653,'Special Names'!A:B,2,FALSE),B4653),PlayerValues!E:E,0)),"N/A")</f>
        <v>17463</v>
      </c>
      <c r="B4653" s="4" t="s">
        <v>433</v>
      </c>
      <c r="C4653" s="4" t="s">
        <v>283</v>
      </c>
      <c r="D4653" s="94">
        <v>2990.0</v>
      </c>
    </row>
    <row r="4654">
      <c r="A4654" s="40">
        <f t="array" ref="A4654">IFNA(index(PlayerValues!A:A,match(IFNA(vlookup(B4654,'Special Names'!A:B,2,FALSE),B4654),PlayerValues!E:E,0)),"N/A")</f>
        <v>17082</v>
      </c>
      <c r="B4654" s="4" t="s">
        <v>498</v>
      </c>
      <c r="C4654" s="4" t="s">
        <v>287</v>
      </c>
      <c r="D4654" s="94">
        <v>2978.0</v>
      </c>
    </row>
    <row r="4655">
      <c r="A4655" s="40">
        <f t="array" ref="A4655">IFNA(index(PlayerValues!A:A,match(IFNA(vlookup(B4655,'Special Names'!A:B,2,FALSE),B4655),PlayerValues!E:E,0)),"N/A")</f>
        <v>15259</v>
      </c>
      <c r="B4655" s="4" t="s">
        <v>453</v>
      </c>
      <c r="C4655" s="4" t="s">
        <v>278</v>
      </c>
      <c r="D4655" s="94">
        <v>2975.0</v>
      </c>
    </row>
    <row r="4656">
      <c r="A4656" s="40">
        <f t="array" ref="A4656">IFNA(index(PlayerValues!A:A,match(IFNA(vlookup(B4656,'Special Names'!A:B,2,FALSE),B4656),PlayerValues!E:E,0)),"N/A")</f>
        <v>16193</v>
      </c>
      <c r="B4656" s="4" t="s">
        <v>487</v>
      </c>
      <c r="C4656" s="4" t="s">
        <v>287</v>
      </c>
      <c r="D4656" s="94">
        <v>2972.0</v>
      </c>
    </row>
    <row r="4657">
      <c r="A4657" s="40">
        <f t="array" ref="A4657">IFNA(index(PlayerValues!A:A,match(IFNA(vlookup(B4657,'Special Names'!A:B,2,FALSE),B4657),PlayerValues!E:E,0)),"N/A")</f>
        <v>15779</v>
      </c>
      <c r="B4657" s="4" t="s">
        <v>461</v>
      </c>
      <c r="C4657" s="4" t="s">
        <v>287</v>
      </c>
      <c r="D4657" s="94">
        <v>2971.0</v>
      </c>
    </row>
    <row r="4658">
      <c r="A4658" s="40">
        <f t="array" ref="A4658">IFNA(index(PlayerValues!A:A,match(IFNA(vlookup(B4658,'Special Names'!A:B,2,FALSE),B4658),PlayerValues!E:E,0)),"N/A")</f>
        <v>17106</v>
      </c>
      <c r="B4658" s="4" t="s">
        <v>550</v>
      </c>
      <c r="C4658" s="4" t="s">
        <v>298</v>
      </c>
      <c r="D4658" s="94">
        <v>3349.0</v>
      </c>
    </row>
    <row r="4659">
      <c r="A4659" s="40">
        <f t="array" ref="A4659">IFNA(index(PlayerValues!A:A,match(IFNA(vlookup(B4659,'Special Names'!A:B,2,FALSE),B4659),PlayerValues!E:E,0)),"N/A")</f>
        <v>17107</v>
      </c>
      <c r="B4659" s="4" t="s">
        <v>478</v>
      </c>
      <c r="C4659" s="4" t="s">
        <v>298</v>
      </c>
      <c r="D4659" s="94">
        <v>3326.0</v>
      </c>
    </row>
    <row r="4660">
      <c r="A4660" s="40">
        <f t="array" ref="A4660">IFNA(index(PlayerValues!A:A,match(IFNA(vlookup(B4660,'Special Names'!A:B,2,FALSE),B4660),PlayerValues!E:E,0)),"N/A")</f>
        <v>17031</v>
      </c>
      <c r="B4660" s="4" t="s">
        <v>535</v>
      </c>
      <c r="C4660" s="4" t="s">
        <v>283</v>
      </c>
      <c r="D4660" s="94">
        <v>2900.0</v>
      </c>
    </row>
    <row r="4661">
      <c r="A4661" s="40">
        <f t="array" ref="A4661">IFNA(index(PlayerValues!A:A,match(IFNA(vlookup(B4661,'Special Names'!A:B,2,FALSE),B4661),PlayerValues!E:E,0)),"N/A")</f>
        <v>17256</v>
      </c>
      <c r="B4661" s="4" t="s">
        <v>462</v>
      </c>
      <c r="C4661" s="4" t="s">
        <v>278</v>
      </c>
      <c r="D4661" s="94">
        <v>2891.0</v>
      </c>
    </row>
    <row r="4662">
      <c r="A4662" s="40">
        <f t="array" ref="A4662">IFNA(index(PlayerValues!A:A,match(IFNA(vlookup(B4662,'Special Names'!A:B,2,FALSE),B4662),PlayerValues!E:E,0)),"N/A")</f>
        <v>16723</v>
      </c>
      <c r="B4662" s="4" t="s">
        <v>502</v>
      </c>
      <c r="C4662" s="4" t="s">
        <v>298</v>
      </c>
      <c r="D4662" s="94">
        <v>3297.0</v>
      </c>
    </row>
    <row r="4663">
      <c r="A4663" s="40">
        <f t="array" ref="A4663">IFNA(index(PlayerValues!A:A,match(IFNA(vlookup(B4663,'Special Names'!A:B,2,FALSE),B4663),PlayerValues!E:E,0)),"N/A")</f>
        <v>11671</v>
      </c>
      <c r="B4663" s="4" t="s">
        <v>463</v>
      </c>
      <c r="C4663" s="4" t="s">
        <v>287</v>
      </c>
      <c r="D4663" s="94">
        <v>2867.0</v>
      </c>
    </row>
    <row r="4664">
      <c r="A4664" s="40">
        <f t="array" ref="A4664">IFNA(index(PlayerValues!A:A,match(IFNA(vlookup(B4664,'Special Names'!A:B,2,FALSE),B4664),PlayerValues!E:E,0)),"N/A")</f>
        <v>16628</v>
      </c>
      <c r="B4664" s="4" t="s">
        <v>490</v>
      </c>
      <c r="C4664" s="4" t="s">
        <v>287</v>
      </c>
      <c r="D4664" s="94">
        <v>2864.0</v>
      </c>
    </row>
    <row r="4665">
      <c r="A4665" s="40">
        <f t="array" ref="A4665">IFNA(index(PlayerValues!A:A,match(IFNA(vlookup(B4665,'Special Names'!A:B,2,FALSE),B4665),PlayerValues!E:E,0)),"N/A")</f>
        <v>17171</v>
      </c>
      <c r="B4665" s="4" t="s">
        <v>561</v>
      </c>
      <c r="C4665" s="4" t="s">
        <v>287</v>
      </c>
      <c r="D4665" s="94">
        <v>2851.0</v>
      </c>
    </row>
    <row r="4666">
      <c r="A4666" s="40">
        <f t="array" ref="A4666">IFNA(index(PlayerValues!A:A,match(IFNA(vlookup(B4666,'Special Names'!A:B,2,FALSE),B4666),PlayerValues!E:E,0)),"N/A")</f>
        <v>16596</v>
      </c>
      <c r="B4666" s="4" t="s">
        <v>501</v>
      </c>
      <c r="C4666" s="4" t="s">
        <v>278</v>
      </c>
      <c r="D4666" s="94">
        <v>2844.0</v>
      </c>
    </row>
    <row r="4667">
      <c r="A4667" s="40">
        <f t="array" ref="A4667">IFNA(index(PlayerValues!A:A,match(IFNA(vlookup(B4667,'Special Names'!A:B,2,FALSE),B4667),PlayerValues!E:E,0)),"N/A")</f>
        <v>17073</v>
      </c>
      <c r="B4667" s="4" t="s">
        <v>547</v>
      </c>
      <c r="C4667" s="4" t="s">
        <v>287</v>
      </c>
      <c r="D4667" s="94">
        <v>2841.0</v>
      </c>
    </row>
    <row r="4668">
      <c r="A4668" s="40">
        <f t="array" ref="A4668">IFNA(index(PlayerValues!A:A,match(IFNA(vlookup(B4668,'Special Names'!A:B,2,FALSE),B4668),PlayerValues!E:E,0)),"N/A")</f>
        <v>14860</v>
      </c>
      <c r="B4668" s="4" t="s">
        <v>554</v>
      </c>
      <c r="C4668" s="4" t="s">
        <v>287</v>
      </c>
      <c r="D4668" s="94">
        <v>2839.0</v>
      </c>
    </row>
    <row r="4669">
      <c r="A4669" s="40">
        <f t="array" ref="A4669">IFNA(index(PlayerValues!A:A,match(IFNA(vlookup(B4669,'Special Names'!A:B,2,FALSE),B4669),PlayerValues!E:E,0)),"N/A")</f>
        <v>17072</v>
      </c>
      <c r="B4669" s="4" t="s">
        <v>508</v>
      </c>
      <c r="C4669" s="4" t="s">
        <v>287</v>
      </c>
      <c r="D4669" s="94">
        <v>2839.0</v>
      </c>
    </row>
    <row r="4670">
      <c r="A4670" s="40">
        <f t="array" ref="A4670">IFNA(index(PlayerValues!A:A,match(IFNA(vlookup(B4670,'Special Names'!A:B,2,FALSE),B4670),PlayerValues!E:E,0)),"N/A")</f>
        <v>17157</v>
      </c>
      <c r="B4670" s="4" t="s">
        <v>524</v>
      </c>
      <c r="C4670" s="4" t="s">
        <v>287</v>
      </c>
      <c r="D4670" s="94">
        <v>2835.0</v>
      </c>
    </row>
    <row r="4671">
      <c r="A4671" s="40">
        <f t="array" ref="A4671">IFNA(index(PlayerValues!A:A,match(IFNA(vlookup(B4671,'Special Names'!A:B,2,FALSE),B4671),PlayerValues!E:E,0)),"N/A")</f>
        <v>16080</v>
      </c>
      <c r="B4671" s="4" t="s">
        <v>499</v>
      </c>
      <c r="C4671" s="4" t="s">
        <v>287</v>
      </c>
      <c r="D4671" s="94">
        <v>2829.0</v>
      </c>
    </row>
    <row r="4672">
      <c r="A4672" s="40">
        <f t="array" ref="A4672">IFNA(index(PlayerValues!A:A,match(IFNA(vlookup(B4672,'Special Names'!A:B,2,FALSE),B4672),PlayerValues!E:E,0)),"N/A")</f>
        <v>17511</v>
      </c>
      <c r="B4672" s="4" t="s">
        <v>485</v>
      </c>
      <c r="C4672" s="4" t="s">
        <v>287</v>
      </c>
      <c r="D4672" s="94">
        <v>2819.0</v>
      </c>
    </row>
    <row r="4673">
      <c r="A4673" s="40">
        <f t="array" ref="A4673">IFNA(index(PlayerValues!A:A,match(IFNA(vlookup(B4673,'Special Names'!A:B,2,FALSE),B4673),PlayerValues!E:E,0)),"N/A")</f>
        <v>16165</v>
      </c>
      <c r="B4673" s="4" t="s">
        <v>520</v>
      </c>
      <c r="C4673" s="4" t="s">
        <v>278</v>
      </c>
      <c r="D4673" s="94">
        <v>2810.0</v>
      </c>
    </row>
    <row r="4674">
      <c r="A4674" s="40">
        <f t="array" ref="A4674">IFNA(index(PlayerValues!A:A,match(IFNA(vlookup(B4674,'Special Names'!A:B,2,FALSE),B4674),PlayerValues!E:E,0)),"N/A")</f>
        <v>15255</v>
      </c>
      <c r="B4674" s="4" t="s">
        <v>477</v>
      </c>
      <c r="C4674" s="4" t="s">
        <v>278</v>
      </c>
      <c r="D4674" s="94">
        <v>2804.0</v>
      </c>
    </row>
    <row r="4675">
      <c r="A4675" s="40" t="str">
        <f t="array" ref="A4675">IFNA(index(PlayerValues!A:A,match(IFNA(vlookup(B4675,'Special Names'!A:B,2,FALSE),B4675),PlayerValues!E:E,0)),"N/A")</f>
        <v>N/A</v>
      </c>
      <c r="B4675" s="4" t="s">
        <v>85</v>
      </c>
      <c r="C4675" s="4" t="s">
        <v>325</v>
      </c>
      <c r="D4675" s="94">
        <v>2804.0</v>
      </c>
    </row>
    <row r="4676">
      <c r="A4676" s="40">
        <f t="array" ref="A4676">IFNA(index(PlayerValues!A:A,match(IFNA(vlookup(B4676,'Special Names'!A:B,2,FALSE),B4676),PlayerValues!E:E,0)),"N/A")</f>
        <v>17134</v>
      </c>
      <c r="B4676" s="4" t="s">
        <v>548</v>
      </c>
      <c r="C4676" s="4" t="s">
        <v>287</v>
      </c>
      <c r="D4676" s="94">
        <v>2803.0</v>
      </c>
    </row>
    <row r="4677">
      <c r="A4677" s="40" t="str">
        <f t="array" ref="A4677">IFNA(index(PlayerValues!A:A,match(IFNA(vlookup(B4677,'Special Names'!A:B,2,FALSE),B4677),PlayerValues!E:E,0)),"N/A")</f>
        <v>N/A</v>
      </c>
      <c r="B4677" s="4" t="s">
        <v>109</v>
      </c>
      <c r="C4677" s="4" t="s">
        <v>325</v>
      </c>
      <c r="D4677" s="94">
        <v>2799.0</v>
      </c>
    </row>
    <row r="4678">
      <c r="A4678" s="40">
        <f t="array" ref="A4678">IFNA(index(PlayerValues!A:A,match(IFNA(vlookup(B4678,'Special Names'!A:B,2,FALSE),B4678),PlayerValues!E:E,0)),"N/A")</f>
        <v>15241</v>
      </c>
      <c r="B4678" s="4" t="s">
        <v>546</v>
      </c>
      <c r="C4678" s="4" t="s">
        <v>283</v>
      </c>
      <c r="D4678" s="94">
        <v>2797.0</v>
      </c>
    </row>
    <row r="4679">
      <c r="A4679" s="40">
        <f t="array" ref="A4679">IFNA(index(PlayerValues!A:A,match(IFNA(vlookup(B4679,'Special Names'!A:B,2,FALSE),B4679),PlayerValues!E:E,0)),"N/A")</f>
        <v>16649</v>
      </c>
      <c r="B4679" s="4" t="s">
        <v>586</v>
      </c>
      <c r="C4679" s="4" t="s">
        <v>298</v>
      </c>
      <c r="D4679" s="94">
        <v>3215.0</v>
      </c>
    </row>
    <row r="4680">
      <c r="A4680" s="40">
        <f t="array" ref="A4680">IFNA(index(PlayerValues!A:A,match(IFNA(vlookup(B4680,'Special Names'!A:B,2,FALSE),B4680),PlayerValues!E:E,0)),"N/A")</f>
        <v>14071</v>
      </c>
      <c r="B4680" s="4" t="s">
        <v>440</v>
      </c>
      <c r="C4680" s="4" t="s">
        <v>278</v>
      </c>
      <c r="D4680" s="94">
        <v>2791.0</v>
      </c>
    </row>
    <row r="4681">
      <c r="A4681" s="40">
        <f t="array" ref="A4681">IFNA(index(PlayerValues!A:A,match(IFNA(vlookup(B4681,'Special Names'!A:B,2,FALSE),B4681),PlayerValues!E:E,0)),"N/A")</f>
        <v>17080</v>
      </c>
      <c r="B4681" s="4" t="s">
        <v>532</v>
      </c>
      <c r="C4681" s="4" t="s">
        <v>287</v>
      </c>
      <c r="D4681" s="94">
        <v>2782.0</v>
      </c>
    </row>
    <row r="4682">
      <c r="A4682" s="40">
        <f t="array" ref="A4682">IFNA(index(PlayerValues!A:A,match(IFNA(vlookup(B4682,'Special Names'!A:B,2,FALSE),B4682),PlayerValues!E:E,0)),"N/A")</f>
        <v>16626</v>
      </c>
      <c r="B4682" s="4" t="s">
        <v>515</v>
      </c>
      <c r="C4682" s="4" t="s">
        <v>287</v>
      </c>
      <c r="D4682" s="94">
        <v>2766.0</v>
      </c>
    </row>
    <row r="4683">
      <c r="A4683" s="40">
        <f t="array" ref="A4683">IFNA(index(PlayerValues!A:A,match(IFNA(vlookup(B4683,'Special Names'!A:B,2,FALSE),B4683),PlayerValues!E:E,0)),"N/A")</f>
        <v>13163</v>
      </c>
      <c r="B4683" s="4" t="s">
        <v>473</v>
      </c>
      <c r="C4683" s="4" t="s">
        <v>287</v>
      </c>
      <c r="D4683" s="94">
        <v>2764.0</v>
      </c>
    </row>
    <row r="4684">
      <c r="A4684" s="40">
        <f t="array" ref="A4684">IFNA(index(PlayerValues!A:A,match(IFNA(vlookup(B4684,'Special Names'!A:B,2,FALSE),B4684),PlayerValues!E:E,0)),"N/A")</f>
        <v>14800</v>
      </c>
      <c r="B4684" s="4" t="s">
        <v>472</v>
      </c>
      <c r="C4684" s="4" t="s">
        <v>278</v>
      </c>
      <c r="D4684" s="94">
        <v>2759.0</v>
      </c>
    </row>
    <row r="4685">
      <c r="A4685" s="40">
        <f t="array" ref="A4685">IFNA(index(PlayerValues!A:A,match(IFNA(vlookup(B4685,'Special Names'!A:B,2,FALSE),B4685),PlayerValues!E:E,0)),"N/A")</f>
        <v>17098</v>
      </c>
      <c r="B4685" s="4" t="s">
        <v>533</v>
      </c>
      <c r="C4685" s="4" t="s">
        <v>287</v>
      </c>
      <c r="D4685" s="94">
        <v>2742.0</v>
      </c>
    </row>
    <row r="4686">
      <c r="A4686" s="40">
        <f t="array" ref="A4686">IFNA(index(PlayerValues!A:A,match(IFNA(vlookup(B4686,'Special Names'!A:B,2,FALSE),B4686),PlayerValues!E:E,0)),"N/A")</f>
        <v>16747</v>
      </c>
      <c r="B4686" s="4" t="s">
        <v>555</v>
      </c>
      <c r="C4686" s="4" t="s">
        <v>278</v>
      </c>
      <c r="D4686" s="94">
        <v>2738.0</v>
      </c>
    </row>
    <row r="4687">
      <c r="A4687" s="40">
        <f t="array" ref="A4687">IFNA(index(PlayerValues!A:A,match(IFNA(vlookup(B4687,'Special Names'!A:B,2,FALSE),B4687),PlayerValues!E:E,0)),"N/A")</f>
        <v>17047</v>
      </c>
      <c r="B4687" s="4" t="s">
        <v>510</v>
      </c>
      <c r="C4687" s="4" t="s">
        <v>278</v>
      </c>
      <c r="D4687" s="94">
        <v>2724.0</v>
      </c>
    </row>
    <row r="4688">
      <c r="A4688" s="40">
        <f t="array" ref="A4688">IFNA(index(PlayerValues!A:A,match(IFNA(vlookup(B4688,'Special Names'!A:B,2,FALSE),B4688),PlayerValues!E:E,0)),"N/A")</f>
        <v>14840</v>
      </c>
      <c r="B4688" s="4" t="s">
        <v>731</v>
      </c>
      <c r="C4688" s="4" t="s">
        <v>287</v>
      </c>
      <c r="D4688" s="94">
        <v>2693.0</v>
      </c>
    </row>
    <row r="4689">
      <c r="A4689" s="40">
        <f t="array" ref="A4689">IFNA(index(PlayerValues!A:A,match(IFNA(vlookup(B4689,'Special Names'!A:B,2,FALSE),B4689),PlayerValues!E:E,0)),"N/A")</f>
        <v>16597</v>
      </c>
      <c r="B4689" s="4" t="s">
        <v>427</v>
      </c>
      <c r="C4689" s="4" t="s">
        <v>278</v>
      </c>
      <c r="D4689" s="94">
        <v>2692.0</v>
      </c>
    </row>
    <row r="4690">
      <c r="A4690" s="40">
        <f t="array" ref="A4690">IFNA(index(PlayerValues!A:A,match(IFNA(vlookup(B4690,'Special Names'!A:B,2,FALSE),B4690),PlayerValues!E:E,0)),"N/A")</f>
        <v>14085</v>
      </c>
      <c r="B4690" s="4" t="s">
        <v>489</v>
      </c>
      <c r="C4690" s="4" t="s">
        <v>278</v>
      </c>
      <c r="D4690" s="94">
        <v>2685.0</v>
      </c>
    </row>
    <row r="4691">
      <c r="A4691" s="40">
        <f t="array" ref="A4691">IFNA(index(PlayerValues!A:A,match(IFNA(vlookup(B4691,'Special Names'!A:B,2,FALSE),B4691),PlayerValues!E:E,0)),"N/A")</f>
        <v>17048</v>
      </c>
      <c r="B4691" s="4" t="s">
        <v>539</v>
      </c>
      <c r="C4691" s="4" t="s">
        <v>278</v>
      </c>
      <c r="D4691" s="94">
        <v>2683.0</v>
      </c>
    </row>
    <row r="4692">
      <c r="A4692" s="40">
        <f t="array" ref="A4692">IFNA(index(PlayerValues!A:A,match(IFNA(vlookup(B4692,'Special Names'!A:B,2,FALSE),B4692),PlayerValues!E:E,0)),"N/A")</f>
        <v>17505</v>
      </c>
      <c r="B4692" s="4" t="s">
        <v>528</v>
      </c>
      <c r="C4692" s="4" t="s">
        <v>287</v>
      </c>
      <c r="D4692" s="94">
        <v>2675.0</v>
      </c>
    </row>
    <row r="4693">
      <c r="A4693" s="40">
        <f t="array" ref="A4693">IFNA(index(PlayerValues!A:A,match(IFNA(vlookup(B4693,'Special Names'!A:B,2,FALSE),B4693),PlayerValues!E:E,0)),"N/A")</f>
        <v>17507</v>
      </c>
      <c r="B4693" s="4" t="s">
        <v>495</v>
      </c>
      <c r="C4693" s="4" t="s">
        <v>287</v>
      </c>
      <c r="D4693" s="94">
        <v>2661.0</v>
      </c>
    </row>
    <row r="4694">
      <c r="A4694" s="40">
        <f t="array" ref="A4694">IFNA(index(PlayerValues!A:A,match(IFNA(vlookup(B4694,'Special Names'!A:B,2,FALSE),B4694),PlayerValues!E:E,0)),"N/A")</f>
        <v>14833</v>
      </c>
      <c r="B4694" s="4" t="s">
        <v>553</v>
      </c>
      <c r="C4694" s="4" t="s">
        <v>287</v>
      </c>
      <c r="D4694" s="94">
        <v>2647.0</v>
      </c>
    </row>
    <row r="4695">
      <c r="A4695" s="40">
        <f t="array" ref="A4695">IFNA(index(PlayerValues!A:A,match(IFNA(vlookup(B4695,'Special Names'!A:B,2,FALSE),B4695),PlayerValues!E:E,0)),"N/A")</f>
        <v>12186</v>
      </c>
      <c r="B4695" s="4" t="s">
        <v>497</v>
      </c>
      <c r="C4695" s="4" t="s">
        <v>287</v>
      </c>
      <c r="D4695" s="94">
        <v>2628.0</v>
      </c>
    </row>
    <row r="4696">
      <c r="A4696" s="40" t="str">
        <f t="array" ref="A4696">IFNA(index(PlayerValues!A:A,match(IFNA(vlookup(B4696,'Special Names'!A:B,2,FALSE),B4696),PlayerValues!E:E,0)),"N/A")</f>
        <v>N/A</v>
      </c>
      <c r="B4696" s="4" t="s">
        <v>110</v>
      </c>
      <c r="C4696" s="4" t="s">
        <v>325</v>
      </c>
      <c r="D4696" s="94">
        <v>2627.0</v>
      </c>
    </row>
    <row r="4697">
      <c r="A4697" s="40">
        <f t="array" ref="A4697">IFNA(index(PlayerValues!A:A,match(IFNA(vlookup(B4697,'Special Names'!A:B,2,FALSE),B4697),PlayerValues!E:E,0)),"N/A")</f>
        <v>14778</v>
      </c>
      <c r="B4697" s="4" t="s">
        <v>564</v>
      </c>
      <c r="C4697" s="4" t="s">
        <v>283</v>
      </c>
      <c r="D4697" s="94">
        <v>2626.0</v>
      </c>
    </row>
    <row r="4698">
      <c r="A4698" s="40">
        <f t="array" ref="A4698">IFNA(index(PlayerValues!A:A,match(IFNA(vlookup(B4698,'Special Names'!A:B,2,FALSE),B4698),PlayerValues!E:E,0)),"N/A")</f>
        <v>17046</v>
      </c>
      <c r="B4698" s="4" t="s">
        <v>602</v>
      </c>
      <c r="C4698" s="4" t="s">
        <v>278</v>
      </c>
      <c r="D4698" s="94">
        <v>2621.0</v>
      </c>
    </row>
    <row r="4699">
      <c r="A4699" s="40">
        <f t="array" ref="A4699">IFNA(index(PlayerValues!A:A,match(IFNA(vlookup(B4699,'Special Names'!A:B,2,FALSE),B4699),PlayerValues!E:E,0)),"N/A")</f>
        <v>16757</v>
      </c>
      <c r="B4699" s="4" t="s">
        <v>558</v>
      </c>
      <c r="C4699" s="4" t="s">
        <v>278</v>
      </c>
      <c r="D4699" s="94">
        <v>2611.0</v>
      </c>
    </row>
    <row r="4700">
      <c r="A4700" s="40">
        <f t="array" ref="A4700">IFNA(index(PlayerValues!A:A,match(IFNA(vlookup(B4700,'Special Names'!A:B,2,FALSE),B4700),PlayerValues!E:E,0)),"N/A")</f>
        <v>14138</v>
      </c>
      <c r="B4700" s="4" t="s">
        <v>531</v>
      </c>
      <c r="C4700" s="4" t="s">
        <v>298</v>
      </c>
      <c r="D4700" s="94">
        <v>3020.0</v>
      </c>
    </row>
    <row r="4701">
      <c r="A4701" s="40">
        <f t="array" ref="A4701">IFNA(index(PlayerValues!A:A,match(IFNA(vlookup(B4701,'Special Names'!A:B,2,FALSE),B4701),PlayerValues!E:E,0)),"N/A")</f>
        <v>13674</v>
      </c>
      <c r="B4701" s="4" t="s">
        <v>511</v>
      </c>
      <c r="C4701" s="4" t="s">
        <v>298</v>
      </c>
      <c r="D4701" s="94">
        <v>3014.0</v>
      </c>
    </row>
    <row r="4702">
      <c r="A4702" s="40">
        <f t="array" ref="A4702">IFNA(index(PlayerValues!A:A,match(IFNA(vlookup(B4702,'Special Names'!A:B,2,FALSE),B4702),PlayerValues!E:E,0)),"N/A")</f>
        <v>15721</v>
      </c>
      <c r="B4702" s="4" t="s">
        <v>504</v>
      </c>
      <c r="C4702" s="4" t="s">
        <v>278</v>
      </c>
      <c r="D4702" s="94">
        <v>2585.0</v>
      </c>
    </row>
    <row r="4703">
      <c r="A4703" s="40" t="str">
        <f t="array" ref="A4703">IFNA(index(PlayerValues!A:A,match(IFNA(vlookup(B4703,'Special Names'!A:B,2,FALSE),B4703),PlayerValues!E:E,0)),"N/A")</f>
        <v>N/A</v>
      </c>
      <c r="B4703" s="4" t="s">
        <v>557</v>
      </c>
      <c r="C4703" s="4" t="s">
        <v>278</v>
      </c>
      <c r="D4703" s="94">
        <v>2579.0</v>
      </c>
    </row>
    <row r="4704">
      <c r="A4704" s="40">
        <f t="array" ref="A4704">IFNA(index(PlayerValues!A:A,match(IFNA(vlookup(B4704,'Special Names'!A:B,2,FALSE),B4704),PlayerValues!E:E,0)),"N/A")</f>
        <v>17108</v>
      </c>
      <c r="B4704" s="4" t="s">
        <v>542</v>
      </c>
      <c r="C4704" s="4" t="s">
        <v>298</v>
      </c>
      <c r="D4704" s="94">
        <v>2988.0</v>
      </c>
    </row>
    <row r="4705">
      <c r="A4705" s="40">
        <f t="array" ref="A4705">IFNA(index(PlayerValues!A:A,match(IFNA(vlookup(B4705,'Special Names'!A:B,2,FALSE),B4705),PlayerValues!E:E,0)),"N/A")</f>
        <v>13192</v>
      </c>
      <c r="B4705" s="4" t="s">
        <v>563</v>
      </c>
      <c r="C4705" s="4" t="s">
        <v>298</v>
      </c>
      <c r="D4705" s="94">
        <v>2964.0</v>
      </c>
    </row>
    <row r="4706">
      <c r="A4706" s="40">
        <f t="array" ref="A4706">IFNA(index(PlayerValues!A:A,match(IFNA(vlookup(B4706,'Special Names'!A:B,2,FALSE),B4706),PlayerValues!E:E,0)),"N/A")</f>
        <v>16287</v>
      </c>
      <c r="B4706" s="4" t="s">
        <v>516</v>
      </c>
      <c r="C4706" s="4" t="s">
        <v>287</v>
      </c>
      <c r="D4706" s="94">
        <v>2541.0</v>
      </c>
    </row>
    <row r="4707">
      <c r="A4707" s="40">
        <f t="array" ref="A4707">IFNA(index(PlayerValues!A:A,match(IFNA(vlookup(B4707,'Special Names'!A:B,2,FALSE),B4707),PlayerValues!E:E,0)),"N/A")</f>
        <v>17464</v>
      </c>
      <c r="B4707" s="4" t="s">
        <v>828</v>
      </c>
      <c r="C4707" s="4" t="s">
        <v>283</v>
      </c>
      <c r="D4707" s="94">
        <v>2540.0</v>
      </c>
    </row>
    <row r="4708">
      <c r="A4708" s="40">
        <f t="array" ref="A4708">IFNA(index(PlayerValues!A:A,match(IFNA(vlookup(B4708,'Special Names'!A:B,2,FALSE),B4708),PlayerValues!E:E,0)),"N/A")</f>
        <v>16166</v>
      </c>
      <c r="B4708" s="4" t="s">
        <v>567</v>
      </c>
      <c r="C4708" s="4" t="s">
        <v>278</v>
      </c>
      <c r="D4708" s="94">
        <v>2537.0</v>
      </c>
    </row>
    <row r="4709">
      <c r="A4709" s="40">
        <f t="array" ref="A4709">IFNA(index(PlayerValues!A:A,match(IFNA(vlookup(B4709,'Special Names'!A:B,2,FALSE),B4709),PlayerValues!E:E,0)),"N/A")</f>
        <v>14136</v>
      </c>
      <c r="B4709" s="4" t="s">
        <v>536</v>
      </c>
      <c r="C4709" s="4" t="s">
        <v>287</v>
      </c>
      <c r="D4709" s="94">
        <v>2532.0</v>
      </c>
    </row>
    <row r="4710">
      <c r="A4710" s="40">
        <f t="array" ref="A4710">IFNA(index(PlayerValues!A:A,match(IFNA(vlookup(B4710,'Special Names'!A:B,2,FALSE),B4710),PlayerValues!E:E,0)),"N/A")</f>
        <v>13671</v>
      </c>
      <c r="B4710" s="4" t="s">
        <v>506</v>
      </c>
      <c r="C4710" s="4" t="s">
        <v>298</v>
      </c>
      <c r="D4710" s="94">
        <v>2939.0</v>
      </c>
    </row>
    <row r="4711">
      <c r="A4711" s="40">
        <f t="array" ref="A4711">IFNA(index(PlayerValues!A:A,match(IFNA(vlookup(B4711,'Special Names'!A:B,2,FALSE),B4711),PlayerValues!E:E,0)),"N/A")</f>
        <v>17078</v>
      </c>
      <c r="B4711" s="4" t="s">
        <v>543</v>
      </c>
      <c r="C4711" s="4" t="s">
        <v>287</v>
      </c>
      <c r="D4711" s="94">
        <v>2489.0</v>
      </c>
    </row>
    <row r="4712">
      <c r="A4712" s="40">
        <f t="array" ref="A4712">IFNA(index(PlayerValues!A:A,match(IFNA(vlookup(B4712,'Special Names'!A:B,2,FALSE),B4712),PlayerValues!E:E,0)),"N/A")</f>
        <v>15972</v>
      </c>
      <c r="B4712" s="4" t="s">
        <v>469</v>
      </c>
      <c r="C4712" s="4" t="s">
        <v>278</v>
      </c>
      <c r="D4712" s="94">
        <v>2485.0</v>
      </c>
    </row>
    <row r="4713">
      <c r="A4713" s="40">
        <f t="array" ref="A4713">IFNA(index(PlayerValues!A:A,match(IFNA(vlookup(B4713,'Special Names'!A:B,2,FALSE),B4713),PlayerValues!E:E,0)),"N/A")</f>
        <v>17509</v>
      </c>
      <c r="B4713" s="4" t="s">
        <v>551</v>
      </c>
      <c r="C4713" s="4" t="s">
        <v>287</v>
      </c>
      <c r="D4713" s="94">
        <v>2482.0</v>
      </c>
    </row>
    <row r="4714">
      <c r="A4714" s="40">
        <f t="array" ref="A4714">IFNA(index(PlayerValues!A:A,match(IFNA(vlookup(B4714,'Special Names'!A:B,2,FALSE),B4714),PlayerValues!E:E,0)),"N/A")</f>
        <v>17474</v>
      </c>
      <c r="B4714" s="4" t="s">
        <v>513</v>
      </c>
      <c r="C4714" s="4" t="s">
        <v>278</v>
      </c>
      <c r="D4714" s="94">
        <v>2474.0</v>
      </c>
    </row>
    <row r="4715">
      <c r="A4715" s="40">
        <f t="array" ref="A4715">IFNA(index(PlayerValues!A:A,match(IFNA(vlookup(B4715,'Special Names'!A:B,2,FALSE),B4715),PlayerValues!E:E,0)),"N/A")</f>
        <v>16164</v>
      </c>
      <c r="B4715" s="4" t="s">
        <v>512</v>
      </c>
      <c r="C4715" s="4" t="s">
        <v>278</v>
      </c>
      <c r="D4715" s="94">
        <v>2474.0</v>
      </c>
    </row>
    <row r="4716">
      <c r="A4716" s="40">
        <f t="array" ref="A4716">IFNA(index(PlayerValues!A:A,match(IFNA(vlookup(B4716,'Special Names'!A:B,2,FALSE),B4716),PlayerValues!E:E,0)),"N/A")</f>
        <v>16617</v>
      </c>
      <c r="B4716" s="4" t="s">
        <v>541</v>
      </c>
      <c r="C4716" s="4" t="s">
        <v>287</v>
      </c>
      <c r="D4716" s="94">
        <v>2470.0</v>
      </c>
    </row>
    <row r="4717">
      <c r="A4717" s="40">
        <f t="array" ref="A4717">IFNA(index(PlayerValues!A:A,match(IFNA(vlookup(B4717,'Special Names'!A:B,2,FALSE),B4717),PlayerValues!E:E,0)),"N/A")</f>
        <v>16189</v>
      </c>
      <c r="B4717" s="4" t="s">
        <v>582</v>
      </c>
      <c r="C4717" s="4" t="s">
        <v>287</v>
      </c>
      <c r="D4717" s="94">
        <v>2468.0</v>
      </c>
    </row>
    <row r="4718">
      <c r="A4718" s="40" t="str">
        <f t="array" ref="A4718">IFNA(index(PlayerValues!A:A,match(IFNA(vlookup(B4718,'Special Names'!A:B,2,FALSE),B4718),PlayerValues!E:E,0)),"N/A")</f>
        <v>N/A</v>
      </c>
      <c r="B4718" s="4" t="s">
        <v>98</v>
      </c>
      <c r="C4718" s="4" t="s">
        <v>325</v>
      </c>
      <c r="D4718" s="94">
        <v>2453.0</v>
      </c>
    </row>
    <row r="4719">
      <c r="A4719" s="40">
        <f t="array" ref="A4719">IFNA(index(PlayerValues!A:A,match(IFNA(vlookup(B4719,'Special Names'!A:B,2,FALSE),B4719),PlayerValues!E:E,0)),"N/A")</f>
        <v>16152</v>
      </c>
      <c r="B4719" s="4" t="s">
        <v>601</v>
      </c>
      <c r="C4719" s="4" t="s">
        <v>283</v>
      </c>
      <c r="D4719" s="94">
        <v>2430.0</v>
      </c>
    </row>
    <row r="4720">
      <c r="A4720" s="40">
        <f t="array" ref="A4720">IFNA(index(PlayerValues!A:A,match(IFNA(vlookup(B4720,'Special Names'!A:B,2,FALSE),B4720),PlayerValues!E:E,0)),"N/A")</f>
        <v>12616</v>
      </c>
      <c r="B4720" s="4" t="s">
        <v>529</v>
      </c>
      <c r="C4720" s="4" t="s">
        <v>283</v>
      </c>
      <c r="D4720" s="94">
        <v>2427.0</v>
      </c>
    </row>
    <row r="4721">
      <c r="A4721" s="40">
        <f t="array" ref="A4721">IFNA(index(PlayerValues!A:A,match(IFNA(vlookup(B4721,'Special Names'!A:B,2,FALSE),B4721),PlayerValues!E:E,0)),"N/A")</f>
        <v>16204</v>
      </c>
      <c r="B4721" s="4" t="s">
        <v>530</v>
      </c>
      <c r="C4721" s="4" t="s">
        <v>287</v>
      </c>
      <c r="D4721" s="94">
        <v>2411.0</v>
      </c>
    </row>
    <row r="4722">
      <c r="A4722" s="40">
        <f t="array" ref="A4722">IFNA(index(PlayerValues!A:A,match(IFNA(vlookup(B4722,'Special Names'!A:B,2,FALSE),B4722),PlayerValues!E:E,0)),"N/A")</f>
        <v>17506</v>
      </c>
      <c r="B4722" s="4" t="s">
        <v>471</v>
      </c>
      <c r="C4722" s="4" t="s">
        <v>287</v>
      </c>
      <c r="D4722" s="94">
        <v>2398.0</v>
      </c>
    </row>
    <row r="4723">
      <c r="A4723" s="40">
        <f t="array" ref="A4723">IFNA(index(PlayerValues!A:A,match(IFNA(vlookup(B4723,'Special Names'!A:B,2,FALSE),B4723),PlayerValues!E:E,0)),"N/A")</f>
        <v>12676</v>
      </c>
      <c r="B4723" s="4" t="s">
        <v>537</v>
      </c>
      <c r="C4723" s="4" t="s">
        <v>298</v>
      </c>
      <c r="D4723" s="94">
        <v>2792.0</v>
      </c>
    </row>
    <row r="4724">
      <c r="A4724" s="40">
        <f t="array" ref="A4724">IFNA(index(PlayerValues!A:A,match(IFNA(vlookup(B4724,'Special Names'!A:B,2,FALSE),B4724),PlayerValues!E:E,0)),"N/A")</f>
        <v>17033</v>
      </c>
      <c r="B4724" s="4" t="s">
        <v>570</v>
      </c>
      <c r="C4724" s="4" t="s">
        <v>283</v>
      </c>
      <c r="D4724" s="94">
        <v>2383.0</v>
      </c>
    </row>
    <row r="4725">
      <c r="A4725" s="40" t="str">
        <f t="array" ref="A4725">IFNA(index(PlayerValues!A:A,match(IFNA(vlookup(B4725,'Special Names'!A:B,2,FALSE),B4725),PlayerValues!E:E,0)),"N/A")</f>
        <v>N/A</v>
      </c>
      <c r="B4725" s="4" t="s">
        <v>86</v>
      </c>
      <c r="C4725" s="4" t="s">
        <v>325</v>
      </c>
      <c r="D4725" s="94">
        <v>2364.0</v>
      </c>
    </row>
    <row r="4726">
      <c r="A4726" s="40">
        <f t="array" ref="A4726">IFNA(index(PlayerValues!A:A,match(IFNA(vlookup(B4726,'Special Names'!A:B,2,FALSE),B4726),PlayerValues!E:E,0)),"N/A")</f>
        <v>16610</v>
      </c>
      <c r="B4726" s="4" t="s">
        <v>562</v>
      </c>
      <c r="C4726" s="4" t="s">
        <v>278</v>
      </c>
      <c r="D4726" s="94">
        <v>2358.0</v>
      </c>
    </row>
    <row r="4727">
      <c r="A4727" s="40">
        <f t="array" ref="A4727">IFNA(index(PlayerValues!A:A,match(IFNA(vlookup(B4727,'Special Names'!A:B,2,FALSE),B4727),PlayerValues!E:E,0)),"N/A")</f>
        <v>15716</v>
      </c>
      <c r="B4727" s="4" t="s">
        <v>545</v>
      </c>
      <c r="C4727" s="4" t="s">
        <v>278</v>
      </c>
      <c r="D4727" s="94">
        <v>2355.0</v>
      </c>
    </row>
    <row r="4728">
      <c r="A4728" s="40">
        <f t="array" ref="A4728">IFNA(index(PlayerValues!A:A,match(IFNA(vlookup(B4728,'Special Names'!A:B,2,FALSE),B4728),PlayerValues!E:E,0)),"N/A")</f>
        <v>14861</v>
      </c>
      <c r="B4728" s="4" t="s">
        <v>523</v>
      </c>
      <c r="C4728" s="4" t="s">
        <v>298</v>
      </c>
      <c r="D4728" s="94">
        <v>2746.0</v>
      </c>
    </row>
    <row r="4729">
      <c r="A4729" s="40">
        <f t="array" ref="A4729">IFNA(index(PlayerValues!A:A,match(IFNA(vlookup(B4729,'Special Names'!A:B,2,FALSE),B4729),PlayerValues!E:E,0)),"N/A")</f>
        <v>13132</v>
      </c>
      <c r="B4729" s="4" t="s">
        <v>598</v>
      </c>
      <c r="C4729" s="4" t="s">
        <v>278</v>
      </c>
      <c r="D4729" s="94">
        <v>2346.0</v>
      </c>
    </row>
    <row r="4730">
      <c r="A4730" s="40">
        <f t="array" ref="A4730">IFNA(index(PlayerValues!A:A,match(IFNA(vlookup(B4730,'Special Names'!A:B,2,FALSE),B4730),PlayerValues!E:E,0)),"N/A")</f>
        <v>13772</v>
      </c>
      <c r="B4730" s="4" t="s">
        <v>544</v>
      </c>
      <c r="C4730" s="4" t="s">
        <v>298</v>
      </c>
      <c r="D4730" s="94">
        <v>2742.0</v>
      </c>
    </row>
    <row r="4731">
      <c r="A4731" s="40">
        <f t="array" ref="A4731">IFNA(index(PlayerValues!A:A,match(IFNA(vlookup(B4731,'Special Names'!A:B,2,FALSE),B4731),PlayerValues!E:E,0)),"N/A")</f>
        <v>16178</v>
      </c>
      <c r="B4731" s="4" t="s">
        <v>507</v>
      </c>
      <c r="C4731" s="4" t="s">
        <v>278</v>
      </c>
      <c r="D4731" s="94">
        <v>2339.0</v>
      </c>
    </row>
    <row r="4732">
      <c r="A4732" s="40">
        <f t="array" ref="A4732">IFNA(index(PlayerValues!A:A,match(IFNA(vlookup(B4732,'Special Names'!A:B,2,FALSE),B4732),PlayerValues!E:E,0)),"N/A")</f>
        <v>17079</v>
      </c>
      <c r="B4732" s="4" t="s">
        <v>572</v>
      </c>
      <c r="C4732" s="4" t="s">
        <v>287</v>
      </c>
      <c r="D4732" s="94">
        <v>2334.0</v>
      </c>
    </row>
    <row r="4733">
      <c r="A4733" s="40">
        <f t="array" ref="A4733">IFNA(index(PlayerValues!A:A,match(IFNA(vlookup(B4733,'Special Names'!A:B,2,FALSE),B4733),PlayerValues!E:E,0)),"N/A")</f>
        <v>17105</v>
      </c>
      <c r="B4733" s="4" t="s">
        <v>525</v>
      </c>
      <c r="C4733" s="4" t="s">
        <v>298</v>
      </c>
      <c r="D4733" s="94">
        <v>2733.0</v>
      </c>
    </row>
    <row r="4734">
      <c r="A4734" s="40" t="str">
        <f t="array" ref="A4734">IFNA(index(PlayerValues!A:A,match(IFNA(vlookup(B4734,'Special Names'!A:B,2,FALSE),B4734),PlayerValues!E:E,0)),"N/A")</f>
        <v>N/A</v>
      </c>
      <c r="B4734" s="4" t="s">
        <v>99</v>
      </c>
      <c r="C4734" s="4" t="s">
        <v>325</v>
      </c>
      <c r="D4734" s="94">
        <v>2325.0</v>
      </c>
    </row>
    <row r="4735">
      <c r="A4735" s="40">
        <f t="array" ref="A4735">IFNA(index(PlayerValues!A:A,match(IFNA(vlookup(B4735,'Special Names'!A:B,2,FALSE),B4735),PlayerValues!E:E,0)),"N/A")</f>
        <v>15802</v>
      </c>
      <c r="B4735" s="4" t="s">
        <v>566</v>
      </c>
      <c r="C4735" s="4" t="s">
        <v>298</v>
      </c>
      <c r="D4735" s="94">
        <v>2722.0</v>
      </c>
    </row>
    <row r="4736">
      <c r="A4736" s="40">
        <f t="array" ref="A4736">IFNA(index(PlayerValues!A:A,match(IFNA(vlookup(B4736,'Special Names'!A:B,2,FALSE),B4736),PlayerValues!E:E,0)),"N/A")</f>
        <v>17049</v>
      </c>
      <c r="B4736" s="4" t="s">
        <v>624</v>
      </c>
      <c r="C4736" s="4" t="s">
        <v>278</v>
      </c>
      <c r="D4736" s="94">
        <v>2307.0</v>
      </c>
    </row>
    <row r="4737">
      <c r="A4737" s="40">
        <f t="array" ref="A4737">IFNA(index(PlayerValues!A:A,match(IFNA(vlookup(B4737,'Special Names'!A:B,2,FALSE),B4737),PlayerValues!E:E,0)),"N/A")</f>
        <v>12801</v>
      </c>
      <c r="B4737" s="4" t="s">
        <v>722</v>
      </c>
      <c r="C4737" s="4" t="s">
        <v>287</v>
      </c>
      <c r="D4737" s="94">
        <v>2303.0</v>
      </c>
    </row>
    <row r="4738">
      <c r="A4738" s="40">
        <f t="array" ref="A4738">IFNA(index(PlayerValues!A:A,match(IFNA(vlookup(B4738,'Special Names'!A:B,2,FALSE),B4738),PlayerValues!E:E,0)),"N/A")</f>
        <v>16212</v>
      </c>
      <c r="B4738" s="4" t="s">
        <v>568</v>
      </c>
      <c r="C4738" s="4" t="s">
        <v>298</v>
      </c>
      <c r="D4738" s="94">
        <v>2686.0</v>
      </c>
    </row>
    <row r="4739">
      <c r="A4739" s="40">
        <f t="array" ref="A4739">IFNA(index(PlayerValues!A:A,match(IFNA(vlookup(B4739,'Special Names'!A:B,2,FALSE),B4739),PlayerValues!E:E,0)),"N/A")</f>
        <v>16171</v>
      </c>
      <c r="B4739" s="4" t="s">
        <v>618</v>
      </c>
      <c r="C4739" s="4" t="s">
        <v>278</v>
      </c>
      <c r="D4739" s="94">
        <v>2282.0</v>
      </c>
    </row>
    <row r="4740">
      <c r="A4740" s="40">
        <f t="array" ref="A4740">IFNA(index(PlayerValues!A:A,match(IFNA(vlookup(B4740,'Special Names'!A:B,2,FALSE),B4740),PlayerValues!E:E,0)),"N/A")</f>
        <v>17076</v>
      </c>
      <c r="B4740" s="4" t="s">
        <v>585</v>
      </c>
      <c r="C4740" s="4" t="s">
        <v>287</v>
      </c>
      <c r="D4740" s="94">
        <v>2250.0</v>
      </c>
    </row>
    <row r="4741">
      <c r="A4741" s="40">
        <f t="array" ref="A4741">IFNA(index(PlayerValues!A:A,match(IFNA(vlookup(B4741,'Special Names'!A:B,2,FALSE),B4741),PlayerValues!E:E,0)),"N/A")</f>
        <v>16195</v>
      </c>
      <c r="B4741" s="4" t="s">
        <v>509</v>
      </c>
      <c r="C4741" s="4" t="s">
        <v>287</v>
      </c>
      <c r="D4741" s="94">
        <v>2232.0</v>
      </c>
    </row>
    <row r="4742">
      <c r="A4742" s="40">
        <f t="array" ref="A4742">IFNA(index(PlayerValues!A:A,match(IFNA(vlookup(B4742,'Special Names'!A:B,2,FALSE),B4742),PlayerValues!E:E,0)),"N/A")</f>
        <v>16342</v>
      </c>
      <c r="B4742" s="4" t="s">
        <v>583</v>
      </c>
      <c r="C4742" s="4" t="s">
        <v>287</v>
      </c>
      <c r="D4742" s="94">
        <v>2225.0</v>
      </c>
    </row>
    <row r="4743">
      <c r="A4743" s="40">
        <f t="array" ref="A4743">IFNA(index(PlayerValues!A:A,match(IFNA(vlookup(B4743,'Special Names'!A:B,2,FALSE),B4743),PlayerValues!E:E,0)),"N/A")</f>
        <v>17478</v>
      </c>
      <c r="B4743" s="4" t="s">
        <v>527</v>
      </c>
      <c r="C4743" s="4" t="s">
        <v>278</v>
      </c>
      <c r="D4743" s="94">
        <v>2215.0</v>
      </c>
    </row>
    <row r="4744">
      <c r="A4744" s="40">
        <f t="array" ref="A4744">IFNA(index(PlayerValues!A:A,match(IFNA(vlookup(B4744,'Special Names'!A:B,2,FALSE),B4744),PlayerValues!E:E,0)),"N/A")</f>
        <v>17544</v>
      </c>
      <c r="B4744" s="4" t="s">
        <v>470</v>
      </c>
      <c r="C4744" s="4" t="s">
        <v>298</v>
      </c>
      <c r="D4744" s="94">
        <v>2605.0</v>
      </c>
    </row>
    <row r="4745">
      <c r="A4745" s="40">
        <f t="array" ref="A4745">IFNA(index(PlayerValues!A:A,match(IFNA(vlookup(B4745,'Special Names'!A:B,2,FALSE),B4745),PlayerValues!E:E,0)),"N/A")</f>
        <v>16639</v>
      </c>
      <c r="B4745" s="4" t="s">
        <v>599</v>
      </c>
      <c r="C4745" s="4" t="s">
        <v>287</v>
      </c>
      <c r="D4745" s="94">
        <v>2207.0</v>
      </c>
    </row>
    <row r="4746">
      <c r="A4746" s="40">
        <f t="array" ref="A4746">IFNA(index(PlayerValues!A:A,match(IFNA(vlookup(B4746,'Special Names'!A:B,2,FALSE),B4746),PlayerValues!E:E,0)),"N/A")</f>
        <v>17034</v>
      </c>
      <c r="B4746" s="4" t="s">
        <v>643</v>
      </c>
      <c r="C4746" s="4" t="s">
        <v>283</v>
      </c>
      <c r="D4746" s="94">
        <v>2197.0</v>
      </c>
    </row>
    <row r="4747">
      <c r="A4747" s="40" t="str">
        <f t="array" ref="A4747">IFNA(index(PlayerValues!A:A,match(IFNA(vlookup(B4747,'Special Names'!A:B,2,FALSE),B4747),PlayerValues!E:E,0)),"N/A")</f>
        <v>N/A</v>
      </c>
      <c r="B4747" s="4" t="s">
        <v>100</v>
      </c>
      <c r="C4747" s="4" t="s">
        <v>325</v>
      </c>
      <c r="D4747" s="94">
        <v>2192.0</v>
      </c>
    </row>
    <row r="4748">
      <c r="A4748" s="40">
        <f t="array" ref="A4748">IFNA(index(PlayerValues!A:A,match(IFNA(vlookup(B4748,'Special Names'!A:B,2,FALSE),B4748),PlayerValues!E:E,0)),"N/A")</f>
        <v>13319</v>
      </c>
      <c r="B4748" s="4" t="s">
        <v>549</v>
      </c>
      <c r="C4748" s="4" t="s">
        <v>278</v>
      </c>
      <c r="D4748" s="94">
        <v>2190.0</v>
      </c>
    </row>
    <row r="4749">
      <c r="A4749" s="40" t="str">
        <f t="array" ref="A4749">IFNA(index(PlayerValues!A:A,match(IFNA(vlookup(B4749,'Special Names'!A:B,2,FALSE),B4749),PlayerValues!E:E,0)),"N/A")</f>
        <v>N/A</v>
      </c>
      <c r="B4749" s="4" t="s">
        <v>87</v>
      </c>
      <c r="C4749" s="4" t="s">
        <v>325</v>
      </c>
      <c r="D4749" s="94">
        <v>2189.0</v>
      </c>
    </row>
    <row r="4750">
      <c r="A4750" s="40">
        <f t="array" ref="A4750">IFNA(index(PlayerValues!A:A,match(IFNA(vlookup(B4750,'Special Names'!A:B,2,FALSE),B4750),PlayerValues!E:E,0)),"N/A")</f>
        <v>16036</v>
      </c>
      <c r="B4750" s="4" t="s">
        <v>592</v>
      </c>
      <c r="C4750" s="4" t="s">
        <v>298</v>
      </c>
      <c r="D4750" s="94">
        <v>2573.0</v>
      </c>
    </row>
    <row r="4751">
      <c r="A4751" s="40">
        <f t="array" ref="A4751">IFNA(index(PlayerValues!A:A,match(IFNA(vlookup(B4751,'Special Names'!A:B,2,FALSE),B4751),PlayerValues!E:E,0)),"N/A")</f>
        <v>17069</v>
      </c>
      <c r="B4751" s="4" t="s">
        <v>604</v>
      </c>
      <c r="C4751" s="4" t="s">
        <v>278</v>
      </c>
      <c r="D4751" s="94">
        <v>2176.0</v>
      </c>
    </row>
    <row r="4752">
      <c r="A4752" s="40">
        <f t="array" ref="A4752">IFNA(index(PlayerValues!A:A,match(IFNA(vlookup(B4752,'Special Names'!A:B,2,FALSE),B4752),PlayerValues!E:E,0)),"N/A")</f>
        <v>15889</v>
      </c>
      <c r="B4752" s="4" t="s">
        <v>503</v>
      </c>
      <c r="C4752" s="4" t="s">
        <v>298</v>
      </c>
      <c r="D4752" s="94">
        <v>2566.0</v>
      </c>
    </row>
    <row r="4753">
      <c r="A4753" s="40">
        <f t="array" ref="A4753">IFNA(index(PlayerValues!A:A,match(IFNA(vlookup(B4753,'Special Names'!A:B,2,FALSE),B4753),PlayerValues!E:E,0)),"N/A")</f>
        <v>16684</v>
      </c>
      <c r="B4753" s="4" t="s">
        <v>500</v>
      </c>
      <c r="C4753" s="4" t="s">
        <v>287</v>
      </c>
      <c r="D4753" s="94">
        <v>2173.0</v>
      </c>
    </row>
    <row r="4754">
      <c r="A4754" s="40">
        <f t="array" ref="A4754">IFNA(index(PlayerValues!A:A,match(IFNA(vlookup(B4754,'Special Names'!A:B,2,FALSE),B4754),PlayerValues!E:E,0)),"N/A")</f>
        <v>17503</v>
      </c>
      <c r="B4754" s="4" t="s">
        <v>480</v>
      </c>
      <c r="C4754" s="4" t="s">
        <v>287</v>
      </c>
      <c r="D4754" s="94">
        <v>2157.0</v>
      </c>
    </row>
    <row r="4755">
      <c r="A4755" s="40">
        <f t="array" ref="A4755">IFNA(index(PlayerValues!A:A,match(IFNA(vlookup(B4755,'Special Names'!A:B,2,FALSE),B4755),PlayerValues!E:E,0)),"N/A")</f>
        <v>15749</v>
      </c>
      <c r="B4755" s="4" t="s">
        <v>574</v>
      </c>
      <c r="C4755" s="4" t="s">
        <v>278</v>
      </c>
      <c r="D4755" s="94">
        <v>2137.0</v>
      </c>
    </row>
    <row r="4756">
      <c r="A4756" s="40">
        <f t="array" ref="A4756">IFNA(index(PlayerValues!A:A,match(IFNA(vlookup(B4756,'Special Names'!A:B,2,FALSE),B4756),PlayerValues!E:E,0)),"N/A")</f>
        <v>16752</v>
      </c>
      <c r="B4756" s="4" t="s">
        <v>597</v>
      </c>
      <c r="C4756" s="4" t="s">
        <v>278</v>
      </c>
      <c r="D4756" s="94">
        <v>2128.0</v>
      </c>
    </row>
    <row r="4757">
      <c r="A4757" s="40">
        <f t="array" ref="A4757">IFNA(index(PlayerValues!A:A,match(IFNA(vlookup(B4757,'Special Names'!A:B,2,FALSE),B4757),PlayerValues!E:E,0)),"N/A")</f>
        <v>14871</v>
      </c>
      <c r="B4757" s="4" t="s">
        <v>584</v>
      </c>
      <c r="C4757" s="4" t="s">
        <v>298</v>
      </c>
      <c r="D4757" s="94">
        <v>2513.0</v>
      </c>
    </row>
    <row r="4758">
      <c r="A4758" s="40" t="str">
        <f t="array" ref="A4758">IFNA(index(PlayerValues!A:A,match(IFNA(vlookup(B4758,'Special Names'!A:B,2,FALSE),B4758),PlayerValues!E:E,0)),"N/A")</f>
        <v>N/A</v>
      </c>
      <c r="B4758" s="4" t="s">
        <v>112</v>
      </c>
      <c r="C4758" s="4" t="s">
        <v>325</v>
      </c>
      <c r="D4758" s="94">
        <v>2121.0</v>
      </c>
    </row>
    <row r="4759">
      <c r="A4759" s="40">
        <f t="array" ref="A4759">IFNA(index(PlayerValues!A:A,match(IFNA(vlookup(B4759,'Special Names'!A:B,2,FALSE),B4759),PlayerValues!E:E,0)),"N/A")</f>
        <v>16191</v>
      </c>
      <c r="B4759" s="4" t="s">
        <v>666</v>
      </c>
      <c r="C4759" s="4" t="s">
        <v>287</v>
      </c>
      <c r="D4759" s="94">
        <v>2111.0</v>
      </c>
    </row>
    <row r="4760">
      <c r="A4760" s="40">
        <f t="array" ref="A4760">IFNA(index(PlayerValues!A:A,match(IFNA(vlookup(B4760,'Special Names'!A:B,2,FALSE),B4760),PlayerValues!E:E,0)),"N/A")</f>
        <v>17087</v>
      </c>
      <c r="B4760" s="4" t="s">
        <v>600</v>
      </c>
      <c r="C4760" s="4" t="s">
        <v>287</v>
      </c>
      <c r="D4760" s="94">
        <v>2110.0</v>
      </c>
    </row>
    <row r="4761">
      <c r="A4761" s="40">
        <f t="array" ref="A4761">IFNA(index(PlayerValues!A:A,match(IFNA(vlookup(B4761,'Special Names'!A:B,2,FALSE),B4761),PlayerValues!E:E,0)),"N/A")</f>
        <v>16644</v>
      </c>
      <c r="B4761" s="4" t="s">
        <v>640</v>
      </c>
      <c r="C4761" s="4" t="s">
        <v>298</v>
      </c>
      <c r="D4761" s="94">
        <v>2500.0</v>
      </c>
    </row>
    <row r="4762">
      <c r="A4762" s="40">
        <f t="array" ref="A4762">IFNA(index(PlayerValues!A:A,match(IFNA(vlookup(B4762,'Special Names'!A:B,2,FALSE),B4762),PlayerValues!E:E,0)),"N/A")</f>
        <v>16432</v>
      </c>
      <c r="B4762" s="4" t="s">
        <v>620</v>
      </c>
      <c r="C4762" s="4" t="s">
        <v>278</v>
      </c>
      <c r="D4762" s="94">
        <v>2101.0</v>
      </c>
    </row>
    <row r="4763">
      <c r="A4763" s="40">
        <f t="array" ref="A4763">IFNA(index(PlayerValues!A:A,match(IFNA(vlookup(B4763,'Special Names'!A:B,2,FALSE),B4763),PlayerValues!E:E,0)),"N/A")</f>
        <v>14867</v>
      </c>
      <c r="B4763" s="4" t="s">
        <v>591</v>
      </c>
      <c r="C4763" s="4" t="s">
        <v>298</v>
      </c>
      <c r="D4763" s="94">
        <v>2480.0</v>
      </c>
    </row>
    <row r="4764">
      <c r="A4764" s="40" t="str">
        <f t="array" ref="A4764">IFNA(index(PlayerValues!A:A,match(IFNA(vlookup(B4764,'Special Names'!A:B,2,FALSE),B4764),PlayerValues!E:E,0)),"N/A")</f>
        <v>N/A</v>
      </c>
      <c r="B4764" s="4" t="s">
        <v>88</v>
      </c>
      <c r="C4764" s="4" t="s">
        <v>325</v>
      </c>
      <c r="D4764" s="94">
        <v>2085.0</v>
      </c>
    </row>
    <row r="4765">
      <c r="A4765" s="40">
        <f t="array" ref="A4765">IFNA(index(PlayerValues!A:A,match(IFNA(vlookup(B4765,'Special Names'!A:B,2,FALSE),B4765),PlayerValues!E:E,0)),"N/A")</f>
        <v>16643</v>
      </c>
      <c r="B4765" s="4" t="s">
        <v>609</v>
      </c>
      <c r="C4765" s="4" t="s">
        <v>298</v>
      </c>
      <c r="D4765" s="94">
        <v>2474.0</v>
      </c>
    </row>
    <row r="4766">
      <c r="A4766" s="40">
        <f t="array" ref="A4766">IFNA(index(PlayerValues!A:A,match(IFNA(vlookup(B4766,'Special Names'!A:B,2,FALSE),B4766),PlayerValues!E:E,0)),"N/A")</f>
        <v>16174</v>
      </c>
      <c r="B4766" s="4" t="s">
        <v>505</v>
      </c>
      <c r="C4766" s="4" t="s">
        <v>278</v>
      </c>
      <c r="D4766" s="94">
        <v>2081.0</v>
      </c>
    </row>
    <row r="4767">
      <c r="A4767" s="40">
        <f t="array" ref="A4767">IFNA(index(PlayerValues!A:A,match(IFNA(vlookup(B4767,'Special Names'!A:B,2,FALSE),B4767),PlayerValues!E:E,0)),"N/A")</f>
        <v>17482</v>
      </c>
      <c r="B4767" s="4" t="s">
        <v>460</v>
      </c>
      <c r="C4767" s="4" t="s">
        <v>278</v>
      </c>
      <c r="D4767" s="94">
        <v>2072.0</v>
      </c>
    </row>
    <row r="4768">
      <c r="A4768" s="40">
        <f t="array" ref="A4768">IFNA(index(PlayerValues!A:A,match(IFNA(vlookup(B4768,'Special Names'!A:B,2,FALSE),B4768),PlayerValues!E:E,0)),"N/A")</f>
        <v>15238</v>
      </c>
      <c r="B4768" s="4" t="s">
        <v>613</v>
      </c>
      <c r="C4768" s="4" t="s">
        <v>283</v>
      </c>
      <c r="D4768" s="94">
        <v>2058.0</v>
      </c>
    </row>
    <row r="4769">
      <c r="A4769" s="40">
        <f t="array" ref="A4769">IFNA(index(PlayerValues!A:A,match(IFNA(vlookup(B4769,'Special Names'!A:B,2,FALSE),B4769),PlayerValues!E:E,0)),"N/A")</f>
        <v>15331</v>
      </c>
      <c r="B4769" s="4" t="s">
        <v>560</v>
      </c>
      <c r="C4769" s="4" t="s">
        <v>298</v>
      </c>
      <c r="D4769" s="94">
        <v>2423.0</v>
      </c>
    </row>
    <row r="4770">
      <c r="A4770" s="40">
        <f t="array" ref="A4770">IFNA(index(PlayerValues!A:A,match(IFNA(vlookup(B4770,'Special Names'!A:B,2,FALSE),B4770),PlayerValues!E:E,0)),"N/A")</f>
        <v>17517</v>
      </c>
      <c r="B4770" s="4" t="s">
        <v>454</v>
      </c>
      <c r="C4770" s="4" t="s">
        <v>287</v>
      </c>
      <c r="D4770" s="94">
        <v>2029.0</v>
      </c>
    </row>
    <row r="4771">
      <c r="A4771" s="40">
        <f t="array" ref="A4771">IFNA(index(PlayerValues!A:A,match(IFNA(vlookup(B4771,'Special Names'!A:B,2,FALSE),B4771),PlayerValues!E:E,0)),"N/A")</f>
        <v>17056</v>
      </c>
      <c r="B4771" s="4" t="s">
        <v>581</v>
      </c>
      <c r="C4771" s="4" t="s">
        <v>278</v>
      </c>
      <c r="D4771" s="94">
        <v>2025.0</v>
      </c>
    </row>
    <row r="4772">
      <c r="A4772" s="40">
        <f t="array" ref="A4772">IFNA(index(PlayerValues!A:A,match(IFNA(vlookup(B4772,'Special Names'!A:B,2,FALSE),B4772),PlayerValues!E:E,0)),"N/A")</f>
        <v>17512</v>
      </c>
      <c r="B4772" s="4" t="s">
        <v>483</v>
      </c>
      <c r="C4772" s="4" t="s">
        <v>287</v>
      </c>
      <c r="D4772" s="94">
        <v>2023.0</v>
      </c>
    </row>
    <row r="4773">
      <c r="A4773" s="40">
        <f t="array" ref="A4773">IFNA(index(PlayerValues!A:A,match(IFNA(vlookup(B4773,'Special Names'!A:B,2,FALSE),B4773),PlayerValues!E:E,0)),"N/A")</f>
        <v>13146</v>
      </c>
      <c r="B4773" s="4" t="s">
        <v>652</v>
      </c>
      <c r="C4773" s="4" t="s">
        <v>278</v>
      </c>
      <c r="D4773" s="94">
        <v>2013.0</v>
      </c>
    </row>
    <row r="4774">
      <c r="A4774" s="40">
        <f t="array" ref="A4774">IFNA(index(PlayerValues!A:A,match(IFNA(vlookup(B4774,'Special Names'!A:B,2,FALSE),B4774),PlayerValues!E:E,0)),"N/A")</f>
        <v>17547</v>
      </c>
      <c r="B4774" s="4" t="s">
        <v>552</v>
      </c>
      <c r="C4774" s="4" t="s">
        <v>298</v>
      </c>
      <c r="D4774" s="94">
        <v>2394.0</v>
      </c>
    </row>
    <row r="4775">
      <c r="A4775" s="40" t="str">
        <f t="array" ref="A4775">IFNA(index(PlayerValues!A:A,match(IFNA(vlookup(B4775,'Special Names'!A:B,2,FALSE),B4775),PlayerValues!E:E,0)),"N/A")</f>
        <v>N/A</v>
      </c>
      <c r="B4775" s="4" t="s">
        <v>113</v>
      </c>
      <c r="C4775" s="4" t="s">
        <v>325</v>
      </c>
      <c r="D4775" s="94">
        <v>2001.0</v>
      </c>
    </row>
    <row r="4776">
      <c r="A4776" s="40">
        <f t="array" ref="A4776">IFNA(index(PlayerValues!A:A,match(IFNA(vlookup(B4776,'Special Names'!A:B,2,FALSE),B4776),PlayerValues!E:E,0)),"N/A")</f>
        <v>17060</v>
      </c>
      <c r="B4776" s="4" t="s">
        <v>603</v>
      </c>
      <c r="C4776" s="4" t="s">
        <v>278</v>
      </c>
      <c r="D4776" s="94">
        <v>2000.0</v>
      </c>
    </row>
    <row r="4777">
      <c r="A4777" s="40">
        <f t="array" ref="A4777">IFNA(index(PlayerValues!A:A,match(IFNA(vlookup(B4777,'Special Names'!A:B,2,FALSE),B4777),PlayerValues!E:E,0)),"N/A")</f>
        <v>16603</v>
      </c>
      <c r="B4777" s="4" t="s">
        <v>587</v>
      </c>
      <c r="C4777" s="4" t="s">
        <v>278</v>
      </c>
      <c r="D4777" s="94">
        <v>1985.0</v>
      </c>
    </row>
    <row r="4778">
      <c r="A4778" s="40">
        <f t="array" ref="A4778">IFNA(index(PlayerValues!A:A,match(IFNA(vlookup(B4778,'Special Names'!A:B,2,FALSE),B4778),PlayerValues!E:E,0)),"N/A")</f>
        <v>14974</v>
      </c>
      <c r="B4778" s="4" t="s">
        <v>611</v>
      </c>
      <c r="C4778" s="4" t="s">
        <v>287</v>
      </c>
      <c r="D4778" s="94">
        <v>1974.0</v>
      </c>
    </row>
    <row r="4779">
      <c r="A4779" s="40">
        <f t="array" ref="A4779">IFNA(index(PlayerValues!A:A,match(IFNA(vlookup(B4779,'Special Names'!A:B,2,FALSE),B4779),PlayerValues!E:E,0)),"N/A")</f>
        <v>17546</v>
      </c>
      <c r="B4779" s="4" t="s">
        <v>671</v>
      </c>
      <c r="C4779" s="4" t="s">
        <v>298</v>
      </c>
      <c r="D4779" s="94">
        <v>2358.0</v>
      </c>
    </row>
    <row r="4780">
      <c r="A4780" s="40">
        <f t="array" ref="A4780">IFNA(index(PlayerValues!A:A,match(IFNA(vlookup(B4780,'Special Names'!A:B,2,FALSE),B4780),PlayerValues!E:E,0)),"N/A")</f>
        <v>13633</v>
      </c>
      <c r="B4780" s="4" t="s">
        <v>625</v>
      </c>
      <c r="C4780" s="4" t="s">
        <v>287</v>
      </c>
      <c r="D4780" s="94">
        <v>1964.0</v>
      </c>
    </row>
    <row r="4781">
      <c r="A4781" s="40">
        <f t="array" ref="A4781">IFNA(index(PlayerValues!A:A,match(IFNA(vlookup(B4781,'Special Names'!A:B,2,FALSE),B4781),PlayerValues!E:E,0)),"N/A")</f>
        <v>17508</v>
      </c>
      <c r="B4781" s="4" t="s">
        <v>534</v>
      </c>
      <c r="C4781" s="4" t="s">
        <v>287</v>
      </c>
      <c r="D4781" s="94">
        <v>1961.0</v>
      </c>
    </row>
    <row r="4782">
      <c r="A4782" s="40">
        <f t="array" ref="A4782">IFNA(index(PlayerValues!A:A,match(IFNA(vlookup(B4782,'Special Names'!A:B,2,FALSE),B4782),PlayerValues!E:E,0)),"N/A")</f>
        <v>15293</v>
      </c>
      <c r="B4782" s="4" t="s">
        <v>578</v>
      </c>
      <c r="C4782" s="4" t="s">
        <v>287</v>
      </c>
      <c r="D4782" s="94">
        <v>1953.0</v>
      </c>
    </row>
    <row r="4783">
      <c r="A4783" s="40">
        <f t="array" ref="A4783">IFNA(index(PlayerValues!A:A,match(IFNA(vlookup(B4783,'Special Names'!A:B,2,FALSE),B4783),PlayerValues!E:E,0)),"N/A")</f>
        <v>17184</v>
      </c>
      <c r="B4783" s="4" t="s">
        <v>588</v>
      </c>
      <c r="C4783" s="4" t="s">
        <v>287</v>
      </c>
      <c r="D4783" s="94">
        <v>1938.0</v>
      </c>
    </row>
    <row r="4784">
      <c r="A4784" s="40">
        <f t="array" ref="A4784">IFNA(index(PlayerValues!A:A,match(IFNA(vlookup(B4784,'Special Names'!A:B,2,FALSE),B4784),PlayerValues!E:E,0)),"N/A")</f>
        <v>11244</v>
      </c>
      <c r="B4784" s="4" t="s">
        <v>519</v>
      </c>
      <c r="C4784" s="4" t="s">
        <v>298</v>
      </c>
      <c r="D4784" s="94">
        <v>2317.0</v>
      </c>
    </row>
    <row r="4785">
      <c r="A4785" s="40">
        <f t="array" ref="A4785">IFNA(index(PlayerValues!A:A,match(IFNA(vlookup(B4785,'Special Names'!A:B,2,FALSE),B4785),PlayerValues!E:E,0)),"N/A")</f>
        <v>16778</v>
      </c>
      <c r="B4785" s="4" t="s">
        <v>577</v>
      </c>
      <c r="C4785" s="4" t="s">
        <v>287</v>
      </c>
      <c r="D4785" s="94">
        <v>1904.0</v>
      </c>
    </row>
    <row r="4786">
      <c r="A4786" s="40">
        <f t="array" ref="A4786">IFNA(index(PlayerValues!A:A,match(IFNA(vlookup(B4786,'Special Names'!A:B,2,FALSE),B4786),PlayerValues!E:E,0)),"N/A")</f>
        <v>16216</v>
      </c>
      <c r="B4786" s="4" t="s">
        <v>595</v>
      </c>
      <c r="C4786" s="4" t="s">
        <v>298</v>
      </c>
      <c r="D4786" s="94">
        <v>2283.0</v>
      </c>
    </row>
    <row r="4787">
      <c r="A4787" s="40">
        <f t="array" ref="A4787">IFNA(index(PlayerValues!A:A,match(IFNA(vlookup(B4787,'Special Names'!A:B,2,FALSE),B4787),PlayerValues!E:E,0)),"N/A")</f>
        <v>17465</v>
      </c>
      <c r="B4787" s="4" t="s">
        <v>649</v>
      </c>
      <c r="C4787" s="4" t="s">
        <v>283</v>
      </c>
      <c r="D4787" s="94">
        <v>1895.0</v>
      </c>
    </row>
    <row r="4788">
      <c r="A4788" s="40" t="str">
        <f t="array" ref="A4788">IFNA(index(PlayerValues!A:A,match(IFNA(vlookup(B4788,'Special Names'!A:B,2,FALSE),B4788),PlayerValues!E:E,0)),"N/A")</f>
        <v>N/A</v>
      </c>
      <c r="B4788" s="4" t="s">
        <v>114</v>
      </c>
      <c r="C4788" s="4" t="s">
        <v>325</v>
      </c>
      <c r="D4788" s="94">
        <v>1894.0</v>
      </c>
    </row>
    <row r="4789">
      <c r="A4789" s="40">
        <f t="array" ref="A4789">IFNA(index(PlayerValues!A:A,match(IFNA(vlookup(B4789,'Special Names'!A:B,2,FALSE),B4789),PlayerValues!E:E,0)),"N/A")</f>
        <v>13189</v>
      </c>
      <c r="B4789" s="4" t="s">
        <v>626</v>
      </c>
      <c r="C4789" s="4" t="s">
        <v>298</v>
      </c>
      <c r="D4789" s="94">
        <v>2275.0</v>
      </c>
    </row>
    <row r="4790">
      <c r="A4790" s="40">
        <f t="array" ref="A4790">IFNA(index(PlayerValues!A:A,match(IFNA(vlookup(B4790,'Special Names'!A:B,2,FALSE),B4790),PlayerValues!E:E,0)),"N/A")</f>
        <v>15759</v>
      </c>
      <c r="B4790" s="4" t="s">
        <v>662</v>
      </c>
      <c r="C4790" s="4" t="s">
        <v>287</v>
      </c>
      <c r="D4790" s="94">
        <v>1878.0</v>
      </c>
    </row>
    <row r="4791">
      <c r="A4791" s="40">
        <f t="array" ref="A4791">IFNA(index(PlayerValues!A:A,match(IFNA(vlookup(B4791,'Special Names'!A:B,2,FALSE),B4791),PlayerValues!E:E,0)),"N/A")</f>
        <v>16215</v>
      </c>
      <c r="B4791" s="4" t="s">
        <v>637</v>
      </c>
      <c r="C4791" s="4" t="s">
        <v>298</v>
      </c>
      <c r="D4791" s="94">
        <v>2260.0</v>
      </c>
    </row>
    <row r="4792">
      <c r="A4792" s="40">
        <f t="array" ref="A4792">IFNA(index(PlayerValues!A:A,match(IFNA(vlookup(B4792,'Special Names'!A:B,2,FALSE),B4792),PlayerValues!E:E,0)),"N/A")</f>
        <v>17036</v>
      </c>
      <c r="B4792" s="4" t="s">
        <v>617</v>
      </c>
      <c r="C4792" s="4" t="s">
        <v>283</v>
      </c>
      <c r="D4792" s="94">
        <v>1872.0</v>
      </c>
    </row>
    <row r="4793">
      <c r="A4793" s="40">
        <f t="array" ref="A4793">IFNA(index(PlayerValues!A:A,match(IFNA(vlookup(B4793,'Special Names'!A:B,2,FALSE),B4793),PlayerValues!E:E,0)),"N/A")</f>
        <v>16201</v>
      </c>
      <c r="B4793" s="4" t="s">
        <v>589</v>
      </c>
      <c r="C4793" s="4" t="s">
        <v>287</v>
      </c>
      <c r="D4793" s="94">
        <v>1857.0</v>
      </c>
    </row>
    <row r="4794">
      <c r="A4794" s="40">
        <f t="array" ref="A4794">IFNA(index(PlayerValues!A:A,match(IFNA(vlookup(B4794,'Special Names'!A:B,2,FALSE),B4794),PlayerValues!E:E,0)),"N/A")</f>
        <v>15254</v>
      </c>
      <c r="B4794" s="4" t="s">
        <v>633</v>
      </c>
      <c r="C4794" s="4" t="s">
        <v>278</v>
      </c>
      <c r="D4794" s="94">
        <v>1848.0</v>
      </c>
    </row>
    <row r="4795">
      <c r="A4795" s="40">
        <f t="array" ref="A4795">IFNA(index(PlayerValues!A:A,match(IFNA(vlookup(B4795,'Special Names'!A:B,2,FALSE),B4795),PlayerValues!E:E,0)),"N/A")</f>
        <v>16635</v>
      </c>
      <c r="B4795" s="4" t="s">
        <v>645</v>
      </c>
      <c r="C4795" s="4" t="s">
        <v>287</v>
      </c>
      <c r="D4795" s="94">
        <v>1848.0</v>
      </c>
    </row>
    <row r="4796">
      <c r="A4796" s="40">
        <f t="array" ref="A4796">IFNA(index(PlayerValues!A:A,match(IFNA(vlookup(B4796,'Special Names'!A:B,2,FALSE),B4796),PlayerValues!E:E,0)),"N/A")</f>
        <v>17061</v>
      </c>
      <c r="B4796" s="4" t="s">
        <v>580</v>
      </c>
      <c r="C4796" s="4" t="s">
        <v>278</v>
      </c>
      <c r="D4796" s="94">
        <v>1845.0</v>
      </c>
    </row>
    <row r="4797">
      <c r="A4797" s="40">
        <f t="array" ref="A4797">IFNA(index(PlayerValues!A:A,match(IFNA(vlookup(B4797,'Special Names'!A:B,2,FALSE),B4797),PlayerValues!E:E,0)),"N/A")</f>
        <v>16595</v>
      </c>
      <c r="B4797" s="4" t="s">
        <v>664</v>
      </c>
      <c r="C4797" s="4" t="s">
        <v>278</v>
      </c>
      <c r="D4797" s="94">
        <v>1838.0</v>
      </c>
    </row>
    <row r="4798">
      <c r="A4798" s="40">
        <f t="array" ref="A4798">IFNA(index(PlayerValues!A:A,match(IFNA(vlookup(B4798,'Special Names'!A:B,2,FALSE),B4798),PlayerValues!E:E,0)),"N/A")</f>
        <v>17520</v>
      </c>
      <c r="B4798" s="4" t="s">
        <v>518</v>
      </c>
      <c r="C4798" s="4" t="s">
        <v>287</v>
      </c>
      <c r="D4798" s="94">
        <v>1830.0</v>
      </c>
    </row>
    <row r="4799">
      <c r="A4799" s="40">
        <f t="array" ref="A4799">IFNA(index(PlayerValues!A:A,match(IFNA(vlookup(B4799,'Special Names'!A:B,2,FALSE),B4799),PlayerValues!E:E,0)),"N/A")</f>
        <v>15337</v>
      </c>
      <c r="B4799" s="4" t="s">
        <v>655</v>
      </c>
      <c r="C4799" s="4" t="s">
        <v>298</v>
      </c>
      <c r="D4799" s="94">
        <v>2187.0</v>
      </c>
    </row>
    <row r="4800">
      <c r="A4800" s="40">
        <f t="array" ref="A4800">IFNA(index(PlayerValues!A:A,match(IFNA(vlookup(B4800,'Special Names'!A:B,2,FALSE),B4800),PlayerValues!E:E,0)),"N/A")</f>
        <v>17035</v>
      </c>
      <c r="B4800" s="4" t="s">
        <v>650</v>
      </c>
      <c r="C4800" s="4" t="s">
        <v>283</v>
      </c>
      <c r="D4800" s="94">
        <v>1804.0</v>
      </c>
    </row>
    <row r="4801">
      <c r="A4801" s="40" t="str">
        <f t="array" ref="A4801">IFNA(index(PlayerValues!A:A,match(IFNA(vlookup(B4801,'Special Names'!A:B,2,FALSE),B4801),PlayerValues!E:E,0)),"N/A")</f>
        <v>N/A</v>
      </c>
      <c r="B4801" s="4" t="s">
        <v>101</v>
      </c>
      <c r="C4801" s="4" t="s">
        <v>325</v>
      </c>
      <c r="D4801" s="94">
        <v>1801.0</v>
      </c>
    </row>
    <row r="4802">
      <c r="A4802" s="40">
        <f t="array" ref="A4802">IFNA(index(PlayerValues!A:A,match(IFNA(vlookup(B4802,'Special Names'!A:B,2,FALSE),B4802),PlayerValues!E:E,0)),"N/A")</f>
        <v>17481</v>
      </c>
      <c r="B4802" s="4" t="s">
        <v>540</v>
      </c>
      <c r="C4802" s="4" t="s">
        <v>278</v>
      </c>
      <c r="D4802" s="94">
        <v>1801.0</v>
      </c>
    </row>
    <row r="4803">
      <c r="A4803" s="40">
        <f t="array" ref="A4803">IFNA(index(PlayerValues!A:A,match(IFNA(vlookup(B4803,'Special Names'!A:B,2,FALSE),B4803),PlayerValues!E:E,0)),"N/A")</f>
        <v>17545</v>
      </c>
      <c r="B4803" s="4" t="s">
        <v>719</v>
      </c>
      <c r="C4803" s="4" t="s">
        <v>298</v>
      </c>
      <c r="D4803" s="94">
        <v>2179.0</v>
      </c>
    </row>
    <row r="4804">
      <c r="A4804" s="40">
        <f t="array" ref="A4804">IFNA(index(PlayerValues!A:A,match(IFNA(vlookup(B4804,'Special Names'!A:B,2,FALSE),B4804),PlayerValues!E:E,0)),"N/A")</f>
        <v>16788</v>
      </c>
      <c r="B4804" s="4" t="s">
        <v>621</v>
      </c>
      <c r="C4804" s="4" t="s">
        <v>287</v>
      </c>
      <c r="D4804" s="94">
        <v>1795.0</v>
      </c>
    </row>
    <row r="4805">
      <c r="A4805" s="40">
        <f t="array" ref="A4805">IFNA(index(PlayerValues!A:A,match(IFNA(vlookup(B4805,'Special Names'!A:B,2,FALSE),B4805),PlayerValues!E:E,0)),"N/A")</f>
        <v>15786</v>
      </c>
      <c r="B4805" s="4" t="s">
        <v>521</v>
      </c>
      <c r="C4805" s="4" t="s">
        <v>287</v>
      </c>
      <c r="D4805" s="94">
        <v>1790.0</v>
      </c>
    </row>
    <row r="4806">
      <c r="A4806" s="40" t="str">
        <f t="array" ref="A4806">IFNA(index(PlayerValues!A:A,match(IFNA(vlookup(B4806,'Special Names'!A:B,2,FALSE),B4806),PlayerValues!E:E,0)),"N/A")</f>
        <v>N/A</v>
      </c>
      <c r="B4806" s="4" t="s">
        <v>89</v>
      </c>
      <c r="C4806" s="4" t="s">
        <v>325</v>
      </c>
      <c r="D4806" s="94">
        <v>1770.0</v>
      </c>
    </row>
    <row r="4807">
      <c r="A4807" s="40">
        <f t="array" ref="A4807">IFNA(index(PlayerValues!A:A,match(IFNA(vlookup(B4807,'Special Names'!A:B,2,FALSE),B4807),PlayerValues!E:E,0)),"N/A")</f>
        <v>17086</v>
      </c>
      <c r="B4807" s="4" t="s">
        <v>612</v>
      </c>
      <c r="C4807" s="4" t="s">
        <v>287</v>
      </c>
      <c r="D4807" s="94">
        <v>1764.0</v>
      </c>
    </row>
    <row r="4808">
      <c r="A4808" s="40">
        <f t="array" ref="A4808">IFNA(index(PlayerValues!A:A,match(IFNA(vlookup(B4808,'Special Names'!A:B,2,FALSE),B4808),PlayerValues!E:E,0)),"N/A")</f>
        <v>16207</v>
      </c>
      <c r="B4808" s="4" t="s">
        <v>636</v>
      </c>
      <c r="C4808" s="4" t="s">
        <v>287</v>
      </c>
      <c r="D4808" s="94">
        <v>1757.0</v>
      </c>
    </row>
    <row r="4809">
      <c r="A4809" s="40">
        <f t="array" ref="A4809">IFNA(index(PlayerValues!A:A,match(IFNA(vlookup(B4809,'Special Names'!A:B,2,FALSE),B4809),PlayerValues!E:E,0)),"N/A")</f>
        <v>11222</v>
      </c>
      <c r="B4809" s="4" t="s">
        <v>622</v>
      </c>
      <c r="C4809" s="4" t="s">
        <v>287</v>
      </c>
      <c r="D4809" s="94">
        <v>1754.0</v>
      </c>
    </row>
    <row r="4810">
      <c r="A4810" s="40">
        <f t="array" ref="A4810">IFNA(index(PlayerValues!A:A,match(IFNA(vlookup(B4810,'Special Names'!A:B,2,FALSE),B4810),PlayerValues!E:E,0)),"N/A")</f>
        <v>16585</v>
      </c>
      <c r="B4810" s="4" t="s">
        <v>623</v>
      </c>
      <c r="C4810" s="4" t="s">
        <v>283</v>
      </c>
      <c r="D4810" s="94">
        <v>1747.0</v>
      </c>
    </row>
    <row r="4811">
      <c r="A4811" s="40">
        <f t="array" ref="A4811">IFNA(index(PlayerValues!A:A,match(IFNA(vlookup(B4811,'Special Names'!A:B,2,FALSE),B4811),PlayerValues!E:E,0)),"N/A")</f>
        <v>17055</v>
      </c>
      <c r="B4811" s="4" t="s">
        <v>565</v>
      </c>
      <c r="C4811" s="4" t="s">
        <v>278</v>
      </c>
      <c r="D4811" s="94">
        <v>1738.0</v>
      </c>
    </row>
    <row r="4812">
      <c r="A4812" s="40">
        <f t="array" ref="A4812">IFNA(index(PlayerValues!A:A,match(IFNA(vlookup(B4812,'Special Names'!A:B,2,FALSE),B4812),PlayerValues!E:E,0)),"N/A")</f>
        <v>14105</v>
      </c>
      <c r="B4812" s="4" t="s">
        <v>675</v>
      </c>
      <c r="C4812" s="4" t="s">
        <v>287</v>
      </c>
      <c r="D4812" s="94">
        <v>1734.0</v>
      </c>
    </row>
    <row r="4813">
      <c r="A4813" s="40">
        <f t="array" ref="A4813">IFNA(index(PlayerValues!A:A,match(IFNA(vlookup(B4813,'Special Names'!A:B,2,FALSE),B4813),PlayerValues!E:E,0)),"N/A")</f>
        <v>17528</v>
      </c>
      <c r="B4813" s="4" t="s">
        <v>579</v>
      </c>
      <c r="C4813" s="4" t="s">
        <v>287</v>
      </c>
      <c r="D4813" s="94">
        <v>1733.0</v>
      </c>
    </row>
    <row r="4814">
      <c r="A4814" s="40">
        <f t="array" ref="A4814">IFNA(index(PlayerValues!A:A,match(IFNA(vlookup(B4814,'Special Names'!A:B,2,FALSE),B4814),PlayerValues!E:E,0)),"N/A")</f>
        <v>16629</v>
      </c>
      <c r="B4814" s="4" t="s">
        <v>605</v>
      </c>
      <c r="C4814" s="4" t="s">
        <v>287</v>
      </c>
      <c r="D4814" s="94">
        <v>1730.0</v>
      </c>
    </row>
    <row r="4815">
      <c r="A4815" s="40">
        <f t="array" ref="A4815">IFNA(index(PlayerValues!A:A,match(IFNA(vlookup(B4815,'Special Names'!A:B,2,FALSE),B4815),PlayerValues!E:E,0)),"N/A")</f>
        <v>17058</v>
      </c>
      <c r="B4815" s="4" t="s">
        <v>641</v>
      </c>
      <c r="C4815" s="4" t="s">
        <v>278</v>
      </c>
      <c r="D4815" s="94">
        <v>1721.0</v>
      </c>
    </row>
    <row r="4816">
      <c r="A4816" s="40">
        <f t="array" ref="A4816">IFNA(index(PlayerValues!A:A,match(IFNA(vlookup(B4816,'Special Names'!A:B,2,FALSE),B4816),PlayerValues!E:E,0)),"N/A")</f>
        <v>7836</v>
      </c>
      <c r="B4816" s="4" t="s">
        <v>590</v>
      </c>
      <c r="C4816" s="4" t="s">
        <v>283</v>
      </c>
      <c r="D4816" s="94">
        <v>1714.0</v>
      </c>
    </row>
    <row r="4817">
      <c r="A4817" s="40">
        <f t="array" ref="A4817">IFNA(index(PlayerValues!A:A,match(IFNA(vlookup(B4817,'Special Names'!A:B,2,FALSE),B4817),PlayerValues!E:E,0)),"N/A")</f>
        <v>16586</v>
      </c>
      <c r="B4817" s="4" t="s">
        <v>658</v>
      </c>
      <c r="C4817" s="4" t="s">
        <v>283</v>
      </c>
      <c r="D4817" s="94">
        <v>1697.0</v>
      </c>
    </row>
    <row r="4818">
      <c r="A4818" s="40">
        <f t="array" ref="A4818">IFNA(index(PlayerValues!A:A,match(IFNA(vlookup(B4818,'Special Names'!A:B,2,FALSE),B4818),PlayerValues!E:E,0)),"N/A")</f>
        <v>16601</v>
      </c>
      <c r="B4818" s="4" t="s">
        <v>648</v>
      </c>
      <c r="C4818" s="4" t="s">
        <v>278</v>
      </c>
      <c r="D4818" s="94">
        <v>1687.0</v>
      </c>
    </row>
    <row r="4819">
      <c r="A4819" s="40">
        <f t="array" ref="A4819">IFNA(index(PlayerValues!A:A,match(IFNA(vlookup(B4819,'Special Names'!A:B,2,FALSE),B4819),PlayerValues!E:E,0)),"N/A")</f>
        <v>17064</v>
      </c>
      <c r="B4819" s="4" t="s">
        <v>631</v>
      </c>
      <c r="C4819" s="4" t="s">
        <v>278</v>
      </c>
      <c r="D4819" s="94">
        <v>1676.0</v>
      </c>
    </row>
    <row r="4820">
      <c r="A4820" s="40" t="str">
        <f t="array" ref="A4820">IFNA(index(PlayerValues!A:A,match(IFNA(vlookup(B4820,'Special Names'!A:B,2,FALSE),B4820),PlayerValues!E:E,0)),"N/A")</f>
        <v>N/A</v>
      </c>
      <c r="B4820" s="4" t="s">
        <v>102</v>
      </c>
      <c r="C4820" s="4" t="s">
        <v>325</v>
      </c>
      <c r="D4820" s="94">
        <v>1670.0</v>
      </c>
    </row>
    <row r="4821">
      <c r="A4821" s="40">
        <f t="array" ref="A4821">IFNA(index(PlayerValues!A:A,match(IFNA(vlookup(B4821,'Special Names'!A:B,2,FALSE),B4821),PlayerValues!E:E,0)),"N/A")</f>
        <v>10700</v>
      </c>
      <c r="B4821" s="4" t="s">
        <v>596</v>
      </c>
      <c r="C4821" s="4" t="s">
        <v>283</v>
      </c>
      <c r="D4821" s="94">
        <v>1669.0</v>
      </c>
    </row>
    <row r="4822">
      <c r="A4822" s="40">
        <f t="array" ref="A4822">IFNA(index(PlayerValues!A:A,match(IFNA(vlookup(B4822,'Special Names'!A:B,2,FALSE),B4822),PlayerValues!E:E,0)),"N/A")</f>
        <v>15777</v>
      </c>
      <c r="B4822" s="4" t="s">
        <v>694</v>
      </c>
      <c r="C4822" s="4" t="s">
        <v>287</v>
      </c>
      <c r="D4822" s="94">
        <v>1667.0</v>
      </c>
    </row>
    <row r="4823">
      <c r="A4823" s="40">
        <f t="array" ref="A4823">IFNA(index(PlayerValues!A:A,match(IFNA(vlookup(B4823,'Special Names'!A:B,2,FALSE),B4823),PlayerValues!E:E,0)),"N/A")</f>
        <v>15787</v>
      </c>
      <c r="B4823" s="4" t="s">
        <v>610</v>
      </c>
      <c r="C4823" s="4" t="s">
        <v>287</v>
      </c>
      <c r="D4823" s="94">
        <v>1665.0</v>
      </c>
    </row>
    <row r="4824">
      <c r="A4824" s="40">
        <f t="array" ref="A4824">IFNA(index(PlayerValues!A:A,match(IFNA(vlookup(B4824,'Special Names'!A:B,2,FALSE),B4824),PlayerValues!E:E,0)),"N/A")</f>
        <v>13629</v>
      </c>
      <c r="B4824" s="4" t="s">
        <v>619</v>
      </c>
      <c r="C4824" s="4" t="s">
        <v>287</v>
      </c>
      <c r="D4824" s="94">
        <v>1664.0</v>
      </c>
    </row>
    <row r="4825">
      <c r="A4825" s="40">
        <f t="array" ref="A4825">IFNA(index(PlayerValues!A:A,match(IFNA(vlookup(B4825,'Special Names'!A:B,2,FALSE),B4825),PlayerValues!E:E,0)),"N/A")</f>
        <v>15727</v>
      </c>
      <c r="B4825" s="4" t="s">
        <v>730</v>
      </c>
      <c r="C4825" s="4" t="s">
        <v>278</v>
      </c>
      <c r="D4825" s="94">
        <v>1663.0</v>
      </c>
    </row>
    <row r="4826">
      <c r="A4826" s="40">
        <f t="array" ref="A4826">IFNA(index(PlayerValues!A:A,match(IFNA(vlookup(B4826,'Special Names'!A:B,2,FALSE),B4826),PlayerValues!E:E,0)),"N/A")</f>
        <v>16604</v>
      </c>
      <c r="B4826" s="4" t="s">
        <v>476</v>
      </c>
      <c r="C4826" s="4" t="s">
        <v>278</v>
      </c>
      <c r="D4826" s="94">
        <v>1652.0</v>
      </c>
    </row>
    <row r="4827">
      <c r="A4827" s="40">
        <f t="array" ref="A4827">IFNA(index(PlayerValues!A:A,match(IFNA(vlookup(B4827,'Special Names'!A:B,2,FALSE),B4827),PlayerValues!E:E,0)),"N/A")</f>
        <v>17205</v>
      </c>
      <c r="B4827" s="4" t="s">
        <v>665</v>
      </c>
      <c r="C4827" s="4" t="s">
        <v>287</v>
      </c>
      <c r="D4827" s="94">
        <v>1640.0</v>
      </c>
    </row>
    <row r="4828">
      <c r="A4828" s="40" t="str">
        <f t="array" ref="A4828">IFNA(index(PlayerValues!A:A,match(IFNA(vlookup(B4828,'Special Names'!A:B,2,FALSE),B4828),PlayerValues!E:E,0)),"N/A")</f>
        <v>N/A</v>
      </c>
      <c r="B4828" s="4" t="s">
        <v>115</v>
      </c>
      <c r="C4828" s="4" t="s">
        <v>325</v>
      </c>
      <c r="D4828" s="94">
        <v>1640.0</v>
      </c>
    </row>
    <row r="4829">
      <c r="A4829" s="40">
        <f t="array" ref="A4829">IFNA(index(PlayerValues!A:A,match(IFNA(vlookup(B4829,'Special Names'!A:B,2,FALSE),B4829),PlayerValues!E:E,0)),"N/A")</f>
        <v>13131</v>
      </c>
      <c r="B4829" s="4" t="s">
        <v>815</v>
      </c>
      <c r="C4829" s="4" t="s">
        <v>278</v>
      </c>
      <c r="D4829" s="94">
        <v>1635.0</v>
      </c>
    </row>
    <row r="4830">
      <c r="A4830" s="40">
        <f t="array" ref="A4830">IFNA(index(PlayerValues!A:A,match(IFNA(vlookup(B4830,'Special Names'!A:B,2,FALSE),B4830),PlayerValues!E:E,0)),"N/A")</f>
        <v>13164</v>
      </c>
      <c r="B4830" s="4" t="s">
        <v>632</v>
      </c>
      <c r="C4830" s="4" t="s">
        <v>287</v>
      </c>
      <c r="D4830" s="94">
        <v>1629.0</v>
      </c>
    </row>
    <row r="4831">
      <c r="A4831" s="40">
        <f t="array" ref="A4831">IFNA(index(PlayerValues!A:A,match(IFNA(vlookup(B4831,'Special Names'!A:B,2,FALSE),B4831),PlayerValues!E:E,0)),"N/A")</f>
        <v>17234</v>
      </c>
      <c r="B4831" s="4" t="s">
        <v>653</v>
      </c>
      <c r="C4831" s="4" t="s">
        <v>287</v>
      </c>
      <c r="D4831" s="94">
        <v>1628.0</v>
      </c>
    </row>
    <row r="4832">
      <c r="A4832" s="40">
        <f t="array" ref="A4832">IFNA(index(PlayerValues!A:A,match(IFNA(vlookup(B4832,'Special Names'!A:B,2,FALSE),B4832),PlayerValues!E:E,0)),"N/A")</f>
        <v>14143</v>
      </c>
      <c r="B4832" s="4" t="s">
        <v>635</v>
      </c>
      <c r="C4832" s="4" t="s">
        <v>298</v>
      </c>
      <c r="D4832" s="94">
        <v>1995.0</v>
      </c>
    </row>
    <row r="4833">
      <c r="A4833" s="40" t="str">
        <f t="array" ref="A4833">IFNA(index(PlayerValues!A:A,match(IFNA(vlookup(B4833,'Special Names'!A:B,2,FALSE),B4833),PlayerValues!E:E,0)),"N/A")</f>
        <v>N/A</v>
      </c>
      <c r="B4833" s="4" t="s">
        <v>90</v>
      </c>
      <c r="C4833" s="4" t="s">
        <v>325</v>
      </c>
      <c r="D4833" s="94">
        <v>1616.0</v>
      </c>
    </row>
    <row r="4834">
      <c r="A4834" s="40">
        <f t="array" ref="A4834">IFNA(index(PlayerValues!A:A,match(IFNA(vlookup(B4834,'Special Names'!A:B,2,FALSE),B4834),PlayerValues!E:E,0)),"N/A")</f>
        <v>12141</v>
      </c>
      <c r="B4834" s="4" t="s">
        <v>744</v>
      </c>
      <c r="C4834" s="4" t="s">
        <v>283</v>
      </c>
      <c r="D4834" s="94">
        <v>1615.0</v>
      </c>
    </row>
    <row r="4835">
      <c r="A4835" s="40">
        <f t="array" ref="A4835">IFNA(index(PlayerValues!A:A,match(IFNA(vlookup(B4835,'Special Names'!A:B,2,FALSE),B4835),PlayerValues!E:E,0)),"N/A")</f>
        <v>16633</v>
      </c>
      <c r="B4835" s="4" t="s">
        <v>656</v>
      </c>
      <c r="C4835" s="4" t="s">
        <v>287</v>
      </c>
      <c r="D4835" s="94">
        <v>1603.0</v>
      </c>
    </row>
    <row r="4836">
      <c r="A4836" s="40">
        <f t="array" ref="A4836">IFNA(index(PlayerValues!A:A,match(IFNA(vlookup(B4836,'Special Names'!A:B,2,FALSE),B4836),PlayerValues!E:E,0)),"N/A")</f>
        <v>17037</v>
      </c>
      <c r="B4836" s="4" t="s">
        <v>727</v>
      </c>
      <c r="C4836" s="4" t="s">
        <v>283</v>
      </c>
      <c r="D4836" s="94">
        <v>1601.0</v>
      </c>
    </row>
    <row r="4837">
      <c r="A4837" s="40">
        <f t="array" ref="A4837">IFNA(index(PlayerValues!A:A,match(IFNA(vlookup(B4837,'Special Names'!A:B,2,FALSE),B4837),PlayerValues!E:E,0)),"N/A")</f>
        <v>17096</v>
      </c>
      <c r="B4837" s="4" t="s">
        <v>638</v>
      </c>
      <c r="C4837" s="4" t="s">
        <v>287</v>
      </c>
      <c r="D4837" s="94">
        <v>1590.0</v>
      </c>
    </row>
    <row r="4838">
      <c r="A4838" s="40">
        <f t="array" ref="A4838">IFNA(index(PlayerValues!A:A,match(IFNA(vlookup(B4838,'Special Names'!A:B,2,FALSE),B4838),PlayerValues!E:E,0)),"N/A")</f>
        <v>13193</v>
      </c>
      <c r="B4838" s="4" t="s">
        <v>773</v>
      </c>
      <c r="C4838" s="4" t="s">
        <v>298</v>
      </c>
      <c r="D4838" s="94">
        <v>1965.0</v>
      </c>
    </row>
    <row r="4839">
      <c r="A4839" s="40">
        <f t="array" ref="A4839">IFNA(index(PlayerValues!A:A,match(IFNA(vlookup(B4839,'Special Names'!A:B,2,FALSE),B4839),PlayerValues!E:E,0)),"N/A")</f>
        <v>14122</v>
      </c>
      <c r="B4839" s="4" t="s">
        <v>663</v>
      </c>
      <c r="C4839" s="4" t="s">
        <v>287</v>
      </c>
      <c r="D4839" s="94">
        <v>1579.0</v>
      </c>
    </row>
    <row r="4840">
      <c r="A4840" s="40">
        <f t="array" ref="A4840">IFNA(index(PlayerValues!A:A,match(IFNA(vlookup(B4840,'Special Names'!A:B,2,FALSE),B4840),PlayerValues!E:E,0)),"N/A")</f>
        <v>16390</v>
      </c>
      <c r="B4840" s="4" t="s">
        <v>689</v>
      </c>
      <c r="C4840" s="4" t="s">
        <v>278</v>
      </c>
      <c r="D4840" s="94">
        <v>1567.0</v>
      </c>
    </row>
    <row r="4841">
      <c r="A4841" s="40">
        <f t="array" ref="A4841">IFNA(index(PlayerValues!A:A,match(IFNA(vlookup(B4841,'Special Names'!A:B,2,FALSE),B4841),PlayerValues!E:E,0)),"N/A")</f>
        <v>12140</v>
      </c>
      <c r="B4841" s="4" t="s">
        <v>702</v>
      </c>
      <c r="C4841" s="4" t="s">
        <v>283</v>
      </c>
      <c r="D4841" s="94">
        <v>1566.0</v>
      </c>
    </row>
    <row r="4842">
      <c r="A4842" s="40" t="str">
        <f t="array" ref="A4842">IFNA(index(PlayerValues!A:A,match(IFNA(vlookup(B4842,'Special Names'!A:B,2,FALSE),B4842),PlayerValues!E:E,0)),"N/A")</f>
        <v>N/A</v>
      </c>
      <c r="B4842" s="4" t="s">
        <v>91</v>
      </c>
      <c r="C4842" s="4" t="s">
        <v>325</v>
      </c>
      <c r="D4842" s="94">
        <v>1558.0</v>
      </c>
    </row>
    <row r="4843">
      <c r="A4843" s="40">
        <f t="array" ref="A4843">IFNA(index(PlayerValues!A:A,match(IFNA(vlookup(B4843,'Special Names'!A:B,2,FALSE),B4843),PlayerValues!E:E,0)),"N/A")</f>
        <v>16688</v>
      </c>
      <c r="B4843" s="4" t="s">
        <v>688</v>
      </c>
      <c r="C4843" s="4" t="s">
        <v>278</v>
      </c>
      <c r="D4843" s="94">
        <v>1542.0</v>
      </c>
    </row>
    <row r="4844">
      <c r="A4844" s="40">
        <f t="array" ref="A4844">IFNA(index(PlayerValues!A:A,match(IFNA(vlookup(B4844,'Special Names'!A:B,2,FALSE),B4844),PlayerValues!E:E,0)),"N/A")</f>
        <v>15252</v>
      </c>
      <c r="B4844" s="4" t="s">
        <v>715</v>
      </c>
      <c r="C4844" s="4" t="s">
        <v>283</v>
      </c>
      <c r="D4844" s="94">
        <v>1541.0</v>
      </c>
    </row>
    <row r="4845">
      <c r="A4845" s="40">
        <f t="array" ref="A4845">IFNA(index(PlayerValues!A:A,match(IFNA(vlookup(B4845,'Special Names'!A:B,2,FALSE),B4845),PlayerValues!E:E,0)),"N/A")</f>
        <v>15258</v>
      </c>
      <c r="B4845" s="4" t="s">
        <v>757</v>
      </c>
      <c r="C4845" s="4" t="s">
        <v>278</v>
      </c>
      <c r="D4845" s="94">
        <v>1541.0</v>
      </c>
    </row>
    <row r="4846">
      <c r="A4846" s="40">
        <f t="array" ref="A4846">IFNA(index(PlayerValues!A:A,match(IFNA(vlookup(B4846,'Special Names'!A:B,2,FALSE),B4846),PlayerValues!E:E,0)),"N/A")</f>
        <v>14080</v>
      </c>
      <c r="B4846" s="4" t="s">
        <v>716</v>
      </c>
      <c r="C4846" s="4" t="s">
        <v>278</v>
      </c>
      <c r="D4846" s="94">
        <v>1539.0</v>
      </c>
    </row>
    <row r="4847">
      <c r="A4847" s="40" t="str">
        <f t="array" ref="A4847">IFNA(index(PlayerValues!A:A,match(IFNA(vlookup(B4847,'Special Names'!A:B,2,FALSE),B4847),PlayerValues!E:E,0)),"N/A")</f>
        <v>N/A</v>
      </c>
      <c r="B4847" s="4" t="s">
        <v>103</v>
      </c>
      <c r="C4847" s="4" t="s">
        <v>325</v>
      </c>
      <c r="D4847" s="94">
        <v>1532.0</v>
      </c>
    </row>
    <row r="4848">
      <c r="A4848" s="40" t="str">
        <f t="array" ref="A4848">IFNA(index(PlayerValues!A:A,match(IFNA(vlookup(B4848,'Special Names'!A:B,2,FALSE),B4848),PlayerValues!E:E,0)),"N/A")</f>
        <v>N/A</v>
      </c>
      <c r="B4848" s="4" t="s">
        <v>116</v>
      </c>
      <c r="C4848" s="4" t="s">
        <v>325</v>
      </c>
      <c r="D4848" s="94">
        <v>1513.0</v>
      </c>
    </row>
    <row r="4849">
      <c r="A4849" s="40">
        <f t="array" ref="A4849">IFNA(index(PlayerValues!A:A,match(IFNA(vlookup(B4849,'Special Names'!A:B,2,FALSE),B4849),PlayerValues!E:E,0)),"N/A")</f>
        <v>17475</v>
      </c>
      <c r="B4849" s="4" t="s">
        <v>615</v>
      </c>
      <c r="C4849" s="4" t="s">
        <v>278</v>
      </c>
      <c r="D4849" s="94">
        <v>1508.0</v>
      </c>
    </row>
    <row r="4850">
      <c r="A4850" s="40">
        <f t="array" ref="A4850">IFNA(index(PlayerValues!A:A,match(IFNA(vlookup(B4850,'Special Names'!A:B,2,FALSE),B4850),PlayerValues!E:E,0)),"N/A")</f>
        <v>17504</v>
      </c>
      <c r="B4850" s="4" t="s">
        <v>693</v>
      </c>
      <c r="C4850" s="4" t="s">
        <v>287</v>
      </c>
      <c r="D4850" s="94">
        <v>1504.0</v>
      </c>
    </row>
    <row r="4851">
      <c r="A4851" s="40">
        <f t="array" ref="A4851">IFNA(index(PlayerValues!A:A,match(IFNA(vlookup(B4851,'Special Names'!A:B,2,FALSE),B4851),PlayerValues!E:E,0)),"N/A")</f>
        <v>15319</v>
      </c>
      <c r="B4851" s="4" t="s">
        <v>644</v>
      </c>
      <c r="C4851" s="4" t="s">
        <v>287</v>
      </c>
      <c r="D4851" s="94">
        <v>1497.0</v>
      </c>
    </row>
    <row r="4852">
      <c r="A4852" s="40">
        <f t="array" ref="A4852">IFNA(index(PlayerValues!A:A,match(IFNA(vlookup(B4852,'Special Names'!A:B,2,FALSE),B4852),PlayerValues!E:E,0)),"N/A")</f>
        <v>17077</v>
      </c>
      <c r="B4852" s="4" t="s">
        <v>714</v>
      </c>
      <c r="C4852" s="4" t="s">
        <v>287</v>
      </c>
      <c r="D4852" s="94">
        <v>1497.0</v>
      </c>
    </row>
    <row r="4853">
      <c r="A4853" s="40">
        <f t="array" ref="A4853">IFNA(index(PlayerValues!A:A,match(IFNA(vlookup(B4853,'Special Names'!A:B,2,FALSE),B4853),PlayerValues!E:E,0)),"N/A")</f>
        <v>15752</v>
      </c>
      <c r="B4853" s="4" t="s">
        <v>647</v>
      </c>
      <c r="C4853" s="4" t="s">
        <v>287</v>
      </c>
      <c r="D4853" s="94">
        <v>1465.0</v>
      </c>
    </row>
    <row r="4854">
      <c r="A4854" s="40">
        <f t="array" ref="A4854">IFNA(index(PlayerValues!A:A,match(IFNA(vlookup(B4854,'Special Names'!A:B,2,FALSE),B4854),PlayerValues!E:E,0)),"N/A")</f>
        <v>11150</v>
      </c>
      <c r="B4854" s="4" t="s">
        <v>559</v>
      </c>
      <c r="C4854" s="4" t="s">
        <v>283</v>
      </c>
      <c r="D4854" s="94">
        <v>1458.0</v>
      </c>
    </row>
    <row r="4855">
      <c r="A4855" s="40">
        <f t="array" ref="A4855">IFNA(index(PlayerValues!A:A,match(IFNA(vlookup(B4855,'Special Names'!A:B,2,FALSE),B4855),PlayerValues!E:E,0)),"N/A")</f>
        <v>17541</v>
      </c>
      <c r="B4855" s="4" t="s">
        <v>616</v>
      </c>
      <c r="C4855" s="4" t="s">
        <v>287</v>
      </c>
      <c r="D4855" s="94">
        <v>1458.0</v>
      </c>
    </row>
    <row r="4856">
      <c r="A4856" s="40">
        <f t="array" ref="A4856">IFNA(index(PlayerValues!A:A,match(IFNA(vlookup(B4856,'Special Names'!A:B,2,FALSE),B4856),PlayerValues!E:E,0)),"N/A")</f>
        <v>15738</v>
      </c>
      <c r="B4856" s="4" t="s">
        <v>634</v>
      </c>
      <c r="C4856" s="4" t="s">
        <v>278</v>
      </c>
      <c r="D4856" s="94">
        <v>1456.0</v>
      </c>
    </row>
    <row r="4857">
      <c r="A4857" s="40">
        <f t="array" ref="A4857">IFNA(index(PlayerValues!A:A,match(IFNA(vlookup(B4857,'Special Names'!A:B,2,FALSE),B4857),PlayerValues!E:E,0)),"N/A")</f>
        <v>13418</v>
      </c>
      <c r="B4857" s="4" t="s">
        <v>706</v>
      </c>
      <c r="C4857" s="4" t="s">
        <v>287</v>
      </c>
      <c r="D4857" s="94">
        <v>1455.0</v>
      </c>
    </row>
    <row r="4858">
      <c r="A4858" s="40">
        <f t="array" ref="A4858">IFNA(index(PlayerValues!A:A,match(IFNA(vlookup(B4858,'Special Names'!A:B,2,FALSE),B4858),PlayerValues!E:E,0)),"N/A")</f>
        <v>17254</v>
      </c>
      <c r="B4858" s="4" t="s">
        <v>679</v>
      </c>
      <c r="C4858" s="4" t="s">
        <v>287</v>
      </c>
      <c r="D4858" s="94">
        <v>1447.0</v>
      </c>
    </row>
    <row r="4859">
      <c r="A4859" s="40">
        <f t="array" ref="A4859">IFNA(index(PlayerValues!A:A,match(IFNA(vlookup(B4859,'Special Names'!A:B,2,FALSE),B4859),PlayerValues!E:E,0)),"N/A")</f>
        <v>15755</v>
      </c>
      <c r="B4859" s="4" t="s">
        <v>628</v>
      </c>
      <c r="C4859" s="4" t="s">
        <v>287</v>
      </c>
      <c r="D4859" s="94">
        <v>1445.0</v>
      </c>
    </row>
    <row r="4860">
      <c r="A4860" s="40">
        <f t="array" ref="A4860">IFNA(index(PlayerValues!A:A,match(IFNA(vlookup(B4860,'Special Names'!A:B,2,FALSE),B4860),PlayerValues!E:E,0)),"N/A")</f>
        <v>14095</v>
      </c>
      <c r="B4860" s="4" t="s">
        <v>680</v>
      </c>
      <c r="C4860" s="4" t="s">
        <v>278</v>
      </c>
      <c r="D4860" s="94">
        <v>1432.0</v>
      </c>
    </row>
    <row r="4861">
      <c r="A4861" s="40">
        <f t="array" ref="A4861">IFNA(index(PlayerValues!A:A,match(IFNA(vlookup(B4861,'Special Names'!A:B,2,FALSE),B4861),PlayerValues!E:E,0)),"N/A")</f>
        <v>17510</v>
      </c>
      <c r="B4861" s="4" t="s">
        <v>661</v>
      </c>
      <c r="C4861" s="4" t="s">
        <v>287</v>
      </c>
      <c r="D4861" s="94">
        <v>1428.0</v>
      </c>
    </row>
    <row r="4862">
      <c r="A4862" s="40">
        <f t="array" ref="A4862">IFNA(index(PlayerValues!A:A,match(IFNA(vlookup(B4862,'Special Names'!A:B,2,FALSE),B4862),PlayerValues!E:E,0)),"N/A")</f>
        <v>13672</v>
      </c>
      <c r="B4862" s="4" t="s">
        <v>667</v>
      </c>
      <c r="C4862" s="4" t="s">
        <v>298</v>
      </c>
      <c r="D4862" s="94">
        <v>1790.0</v>
      </c>
    </row>
    <row r="4863">
      <c r="A4863" s="40">
        <f t="array" ref="A4863">IFNA(index(PlayerValues!A:A,match(IFNA(vlookup(B4863,'Special Names'!A:B,2,FALSE),B4863),PlayerValues!E:E,0)),"N/A")</f>
        <v>15713</v>
      </c>
      <c r="B4863" s="4" t="s">
        <v>732</v>
      </c>
      <c r="C4863" s="4" t="s">
        <v>278</v>
      </c>
      <c r="D4863" s="94">
        <v>1415.0</v>
      </c>
    </row>
    <row r="4864">
      <c r="A4864" s="40">
        <f t="array" ref="A4864">IFNA(index(PlayerValues!A:A,match(IFNA(vlookup(B4864,'Special Names'!A:B,2,FALSE),B4864),PlayerValues!E:E,0)),"N/A")</f>
        <v>13138</v>
      </c>
      <c r="B4864" s="4" t="s">
        <v>817</v>
      </c>
      <c r="C4864" s="4" t="s">
        <v>278</v>
      </c>
      <c r="D4864" s="94">
        <v>1405.0</v>
      </c>
    </row>
    <row r="4865">
      <c r="A4865" s="40">
        <f t="array" ref="A4865">IFNA(index(PlayerValues!A:A,match(IFNA(vlookup(B4865,'Special Names'!A:B,2,FALSE),B4865),PlayerValues!E:E,0)),"N/A")</f>
        <v>17470</v>
      </c>
      <c r="B4865" s="4" t="s">
        <v>841</v>
      </c>
      <c r="C4865" s="4" t="s">
        <v>283</v>
      </c>
      <c r="D4865" s="94">
        <v>1402.0</v>
      </c>
    </row>
    <row r="4866">
      <c r="A4866" s="40">
        <f t="array" ref="A4866">IFNA(index(PlayerValues!A:A,match(IFNA(vlookup(B4866,'Special Names'!A:B,2,FALSE),B4866),PlayerValues!E:E,0)),"N/A")</f>
        <v>15788</v>
      </c>
      <c r="B4866" s="4" t="s">
        <v>627</v>
      </c>
      <c r="C4866" s="4" t="s">
        <v>287</v>
      </c>
      <c r="D4866" s="94">
        <v>1398.0</v>
      </c>
    </row>
    <row r="4867">
      <c r="A4867" s="40">
        <f t="array" ref="A4867">IFNA(index(PlayerValues!A:A,match(IFNA(vlookup(B4867,'Special Names'!A:B,2,FALSE),B4867),PlayerValues!E:E,0)),"N/A")</f>
        <v>17269</v>
      </c>
      <c r="B4867" s="4" t="s">
        <v>718</v>
      </c>
      <c r="C4867" s="4" t="s">
        <v>287</v>
      </c>
      <c r="D4867" s="94">
        <v>1392.0</v>
      </c>
    </row>
    <row r="4868">
      <c r="A4868" s="40">
        <f t="array" ref="A4868">IFNA(index(PlayerValues!A:A,match(IFNA(vlookup(B4868,'Special Names'!A:B,2,FALSE),B4868),PlayerValues!E:E,0)),"N/A")</f>
        <v>17486</v>
      </c>
      <c r="B4868" s="4" t="s">
        <v>695</v>
      </c>
      <c r="C4868" s="4" t="s">
        <v>278</v>
      </c>
      <c r="D4868" s="94">
        <v>1389.0</v>
      </c>
    </row>
    <row r="4869">
      <c r="A4869" s="40">
        <f t="array" ref="A4869">IFNA(index(PlayerValues!A:A,match(IFNA(vlookup(B4869,'Special Names'!A:B,2,FALSE),B4869),PlayerValues!E:E,0)),"N/A")</f>
        <v>17062</v>
      </c>
      <c r="B4869" s="4" t="s">
        <v>701</v>
      </c>
      <c r="C4869" s="4" t="s">
        <v>278</v>
      </c>
      <c r="D4869" s="94">
        <v>1385.0</v>
      </c>
    </row>
    <row r="4870">
      <c r="A4870" s="40">
        <f t="array" ref="A4870">IFNA(index(PlayerValues!A:A,match(IFNA(vlookup(B4870,'Special Names'!A:B,2,FALSE),B4870),PlayerValues!E:E,0)),"N/A")</f>
        <v>17479</v>
      </c>
      <c r="B4870" s="4" t="s">
        <v>756</v>
      </c>
      <c r="C4870" s="4" t="s">
        <v>278</v>
      </c>
      <c r="D4870" s="94">
        <v>1385.0</v>
      </c>
    </row>
    <row r="4871">
      <c r="A4871" s="40">
        <f t="array" ref="A4871">IFNA(index(PlayerValues!A:A,match(IFNA(vlookup(B4871,'Special Names'!A:B,2,FALSE),B4871),PlayerValues!E:E,0)),"N/A")</f>
        <v>16631</v>
      </c>
      <c r="B4871" s="4" t="s">
        <v>800</v>
      </c>
      <c r="C4871" s="4" t="s">
        <v>287</v>
      </c>
      <c r="D4871" s="94">
        <v>1373.0</v>
      </c>
    </row>
    <row r="4872">
      <c r="A4872" s="40">
        <f t="array" ref="A4872">IFNA(index(PlayerValues!A:A,match(IFNA(vlookup(B4872,'Special Names'!A:B,2,FALSE),B4872),PlayerValues!E:E,0)),"N/A")</f>
        <v>17487</v>
      </c>
      <c r="B4872" s="4" t="s">
        <v>692</v>
      </c>
      <c r="C4872" s="4" t="s">
        <v>278</v>
      </c>
      <c r="D4872" s="94">
        <v>1343.0</v>
      </c>
    </row>
    <row r="4873">
      <c r="A4873" s="40">
        <f t="array" ref="A4873">IFNA(index(PlayerValues!A:A,match(IFNA(vlookup(B4873,'Special Names'!A:B,2,FALSE),B4873),PlayerValues!E:E,0)),"N/A")</f>
        <v>15797</v>
      </c>
      <c r="B4873" s="4" t="s">
        <v>556</v>
      </c>
      <c r="C4873" s="4" t="s">
        <v>298</v>
      </c>
      <c r="D4873" s="94">
        <v>1712.0</v>
      </c>
    </row>
    <row r="4874">
      <c r="A4874" s="40">
        <f t="array" ref="A4874">IFNA(index(PlayerValues!A:A,match(IFNA(vlookup(B4874,'Special Names'!A:B,2,FALSE),B4874),PlayerValues!E:E,0)),"N/A")</f>
        <v>15332</v>
      </c>
      <c r="B4874" s="4" t="s">
        <v>698</v>
      </c>
      <c r="C4874" s="4" t="s">
        <v>298</v>
      </c>
      <c r="D4874" s="94">
        <v>1708.0</v>
      </c>
    </row>
    <row r="4875">
      <c r="A4875" s="40">
        <f t="array" ref="A4875">IFNA(index(PlayerValues!A:A,match(IFNA(vlookup(B4875,'Special Names'!A:B,2,FALSE),B4875),PlayerValues!E:E,0)),"N/A")</f>
        <v>14137</v>
      </c>
      <c r="B4875" s="4" t="s">
        <v>676</v>
      </c>
      <c r="C4875" s="4" t="s">
        <v>298</v>
      </c>
      <c r="D4875" s="94">
        <v>1706.0</v>
      </c>
    </row>
    <row r="4876">
      <c r="A4876" s="40">
        <f t="array" ref="A4876">IFNA(index(PlayerValues!A:A,match(IFNA(vlookup(B4876,'Special Names'!A:B,2,FALSE),B4876),PlayerValues!E:E,0)),"N/A")</f>
        <v>15301</v>
      </c>
      <c r="B4876" s="4" t="s">
        <v>657</v>
      </c>
      <c r="C4876" s="4" t="s">
        <v>287</v>
      </c>
      <c r="D4876" s="94">
        <v>1326.0</v>
      </c>
    </row>
    <row r="4877">
      <c r="A4877" s="40">
        <f t="array" ref="A4877">IFNA(index(PlayerValues!A:A,match(IFNA(vlookup(B4877,'Special Names'!A:B,2,FALSE),B4877),PlayerValues!E:E,0)),"N/A")</f>
        <v>15873</v>
      </c>
      <c r="B4877" s="4" t="s">
        <v>681</v>
      </c>
      <c r="C4877" s="4" t="s">
        <v>298</v>
      </c>
      <c r="D4877" s="94">
        <v>1694.0</v>
      </c>
    </row>
    <row r="4878">
      <c r="A4878" s="40">
        <f t="array" ref="A4878">IFNA(index(PlayerValues!A:A,match(IFNA(vlookup(B4878,'Special Names'!A:B,2,FALSE),B4878),PlayerValues!E:E,0)),"N/A")</f>
        <v>16621</v>
      </c>
      <c r="B4878" s="4" t="s">
        <v>672</v>
      </c>
      <c r="C4878" s="4" t="s">
        <v>287</v>
      </c>
      <c r="D4878" s="94">
        <v>1321.0</v>
      </c>
    </row>
    <row r="4879">
      <c r="A4879" s="40">
        <f t="array" ref="A4879">IFNA(index(PlayerValues!A:A,match(IFNA(vlookup(B4879,'Special Names'!A:B,2,FALSE),B4879),PlayerValues!E:E,0)),"N/A")</f>
        <v>16642</v>
      </c>
      <c r="B4879" s="4" t="s">
        <v>691</v>
      </c>
      <c r="C4879" s="4" t="s">
        <v>298</v>
      </c>
      <c r="D4879" s="94">
        <v>1678.0</v>
      </c>
    </row>
    <row r="4880">
      <c r="A4880" s="40">
        <f t="array" ref="A4880">IFNA(index(PlayerValues!A:A,match(IFNA(vlookup(B4880,'Special Names'!A:B,2,FALSE),B4880),PlayerValues!E:E,0)),"N/A")</f>
        <v>16385</v>
      </c>
      <c r="B4880" s="4" t="s">
        <v>690</v>
      </c>
      <c r="C4880" s="4" t="s">
        <v>278</v>
      </c>
      <c r="D4880" s="94">
        <v>1304.0</v>
      </c>
    </row>
    <row r="4881">
      <c r="A4881" s="40" t="str">
        <f t="array" ref="A4881">IFNA(index(PlayerValues!A:A,match(IFNA(vlookup(B4881,'Special Names'!A:B,2,FALSE),B4881),PlayerValues!E:E,0)),"N/A")</f>
        <v>N/A</v>
      </c>
      <c r="B4881" s="4" t="s">
        <v>117</v>
      </c>
      <c r="C4881" s="4" t="s">
        <v>325</v>
      </c>
      <c r="D4881" s="94">
        <v>1289.0</v>
      </c>
    </row>
    <row r="4882">
      <c r="A4882" s="40">
        <f t="array" ref="A4882">IFNA(index(PlayerValues!A:A,match(IFNA(vlookup(B4882,'Special Names'!A:B,2,FALSE),B4882),PlayerValues!E:E,0)),"N/A")</f>
        <v>17526</v>
      </c>
      <c r="B4882" s="4" t="s">
        <v>760</v>
      </c>
      <c r="C4882" s="4" t="s">
        <v>287</v>
      </c>
      <c r="D4882" s="94">
        <v>1287.0</v>
      </c>
    </row>
    <row r="4883">
      <c r="A4883" s="40">
        <f t="array" ref="A4883">IFNA(index(PlayerValues!A:A,match(IFNA(vlookup(B4883,'Special Names'!A:B,2,FALSE),B4883),PlayerValues!E:E,0)),"N/A")</f>
        <v>14592</v>
      </c>
      <c r="B4883" s="4" t="s">
        <v>705</v>
      </c>
      <c r="C4883" s="4" t="s">
        <v>287</v>
      </c>
      <c r="D4883" s="94">
        <v>1276.0</v>
      </c>
    </row>
    <row r="4884">
      <c r="A4884" s="40">
        <f t="array" ref="A4884">IFNA(index(PlayerValues!A:A,match(IFNA(vlookup(B4884,'Special Names'!A:B,2,FALSE),B4884),PlayerValues!E:E,0)),"N/A")</f>
        <v>16175</v>
      </c>
      <c r="B4884" s="4" t="s">
        <v>654</v>
      </c>
      <c r="C4884" s="4" t="s">
        <v>278</v>
      </c>
      <c r="D4884" s="94">
        <v>1263.0</v>
      </c>
    </row>
    <row r="4885">
      <c r="A4885" s="40">
        <f t="array" ref="A4885">IFNA(index(PlayerValues!A:A,match(IFNA(vlookup(B4885,'Special Names'!A:B,2,FALSE),B4885),PlayerValues!E:E,0)),"N/A")</f>
        <v>15292</v>
      </c>
      <c r="B4885" s="4" t="s">
        <v>682</v>
      </c>
      <c r="C4885" s="4" t="s">
        <v>287</v>
      </c>
      <c r="D4885" s="94">
        <v>1262.0</v>
      </c>
    </row>
    <row r="4886">
      <c r="A4886" s="40">
        <f t="array" ref="A4886">IFNA(index(PlayerValues!A:A,match(IFNA(vlookup(B4886,'Special Names'!A:B,2,FALSE),B4886),PlayerValues!E:E,0)),"N/A")</f>
        <v>14086</v>
      </c>
      <c r="B4886" s="4" t="s">
        <v>639</v>
      </c>
      <c r="C4886" s="4" t="s">
        <v>278</v>
      </c>
      <c r="D4886" s="94">
        <v>1253.0</v>
      </c>
    </row>
    <row r="4887">
      <c r="A4887" s="40">
        <f t="array" ref="A4887">IFNA(index(PlayerValues!A:A,match(IFNA(vlookup(B4887,'Special Names'!A:B,2,FALSE),B4887),PlayerValues!E:E,0)),"N/A")</f>
        <v>14108</v>
      </c>
      <c r="B4887" s="4" t="s">
        <v>673</v>
      </c>
      <c r="C4887" s="4" t="s">
        <v>287</v>
      </c>
      <c r="D4887" s="94">
        <v>1249.0</v>
      </c>
    </row>
    <row r="4888">
      <c r="A4888" s="40">
        <f t="array" ref="A4888">IFNA(index(PlayerValues!A:A,match(IFNA(vlookup(B4888,'Special Names'!A:B,2,FALSE),B4888),PlayerValues!E:E,0)),"N/A")</f>
        <v>16451</v>
      </c>
      <c r="B4888" s="4" t="s">
        <v>769</v>
      </c>
      <c r="C4888" s="4" t="s">
        <v>287</v>
      </c>
      <c r="D4888" s="94">
        <v>1243.0</v>
      </c>
    </row>
    <row r="4889">
      <c r="A4889" s="40">
        <f t="array" ref="A4889">IFNA(index(PlayerValues!A:A,match(IFNA(vlookup(B4889,'Special Names'!A:B,2,FALSE),B4889),PlayerValues!E:E,0)),"N/A")</f>
        <v>15981</v>
      </c>
      <c r="B4889" s="4" t="s">
        <v>729</v>
      </c>
      <c r="C4889" s="4" t="s">
        <v>287</v>
      </c>
      <c r="D4889" s="94">
        <v>1230.0</v>
      </c>
    </row>
    <row r="4890">
      <c r="A4890" s="40">
        <f t="array" ref="A4890">IFNA(index(PlayerValues!A:A,match(IFNA(vlookup(B4890,'Special Names'!A:B,2,FALSE),B4890),PlayerValues!E:E,0)),"N/A")</f>
        <v>16183</v>
      </c>
      <c r="B4890" s="4" t="s">
        <v>678</v>
      </c>
      <c r="C4890" s="4" t="s">
        <v>287</v>
      </c>
      <c r="D4890" s="94">
        <v>1223.0</v>
      </c>
    </row>
    <row r="4891">
      <c r="A4891" s="40">
        <f t="array" ref="A4891">IFNA(index(PlayerValues!A:A,match(IFNA(vlookup(B4891,'Special Names'!A:B,2,FALSE),B4891),PlayerValues!E:E,0)),"N/A")</f>
        <v>12263</v>
      </c>
      <c r="B4891" s="4" t="s">
        <v>697</v>
      </c>
      <c r="C4891" s="4" t="s">
        <v>298</v>
      </c>
      <c r="D4891" s="94">
        <v>1588.0</v>
      </c>
    </row>
    <row r="4892">
      <c r="A4892" s="40">
        <f t="array" ref="A4892">IFNA(index(PlayerValues!A:A,match(IFNA(vlookup(B4892,'Special Names'!A:B,2,FALSE),B4892),PlayerValues!E:E,0)),"N/A")</f>
        <v>16792</v>
      </c>
      <c r="B4892" s="4" t="s">
        <v>704</v>
      </c>
      <c r="C4892" s="4" t="s">
        <v>287</v>
      </c>
      <c r="D4892" s="94">
        <v>1202.0</v>
      </c>
    </row>
    <row r="4893">
      <c r="A4893" s="40">
        <f t="array" ref="A4893">IFNA(index(PlayerValues!A:A,match(IFNA(vlookup(B4893,'Special Names'!A:B,2,FALSE),B4893),PlayerValues!E:E,0)),"N/A")</f>
        <v>16149</v>
      </c>
      <c r="B4893" s="4" t="s">
        <v>740</v>
      </c>
      <c r="C4893" s="4" t="s">
        <v>283</v>
      </c>
      <c r="D4893" s="94">
        <v>1198.0</v>
      </c>
    </row>
    <row r="4894">
      <c r="A4894" s="40">
        <f t="array" ref="A4894">IFNA(index(PlayerValues!A:A,match(IFNA(vlookup(B4894,'Special Names'!A:B,2,FALSE),B4894),PlayerValues!E:E,0)),"N/A")</f>
        <v>17063</v>
      </c>
      <c r="B4894" s="4" t="s">
        <v>686</v>
      </c>
      <c r="C4894" s="4" t="s">
        <v>278</v>
      </c>
      <c r="D4894" s="94">
        <v>1188.0</v>
      </c>
    </row>
    <row r="4895">
      <c r="A4895" s="40">
        <f t="array" ref="A4895">IFNA(index(PlayerValues!A:A,match(IFNA(vlookup(B4895,'Special Names'!A:B,2,FALSE),B4895),PlayerValues!E:E,0)),"N/A")</f>
        <v>15240</v>
      </c>
      <c r="B4895" s="4" t="s">
        <v>751</v>
      </c>
      <c r="C4895" s="4" t="s">
        <v>283</v>
      </c>
      <c r="D4895" s="94">
        <v>1186.0</v>
      </c>
    </row>
    <row r="4896">
      <c r="A4896" s="40">
        <f t="array" ref="A4896">IFNA(index(PlayerValues!A:A,match(IFNA(vlookup(B4896,'Special Names'!A:B,2,FALSE),B4896),PlayerValues!E:E,0)),"N/A")</f>
        <v>15702</v>
      </c>
      <c r="B4896" s="4" t="s">
        <v>723</v>
      </c>
      <c r="C4896" s="4" t="s">
        <v>283</v>
      </c>
      <c r="D4896" s="94">
        <v>1175.0</v>
      </c>
    </row>
    <row r="4897">
      <c r="A4897" s="40">
        <f t="array" ref="A4897">IFNA(index(PlayerValues!A:A,match(IFNA(vlookup(B4897,'Special Names'!A:B,2,FALSE),B4897),PlayerValues!E:E,0)),"N/A")</f>
        <v>16636</v>
      </c>
      <c r="B4897" s="4" t="s">
        <v>699</v>
      </c>
      <c r="C4897" s="4" t="s">
        <v>287</v>
      </c>
      <c r="D4897" s="94">
        <v>1172.0</v>
      </c>
    </row>
    <row r="4898">
      <c r="A4898" s="40">
        <f t="array" ref="A4898">IFNA(index(PlayerValues!A:A,match(IFNA(vlookup(B4898,'Special Names'!A:B,2,FALSE),B4898),PlayerValues!E:E,0)),"N/A")</f>
        <v>16746</v>
      </c>
      <c r="B4898" s="4" t="s">
        <v>709</v>
      </c>
      <c r="C4898" s="4" t="s">
        <v>278</v>
      </c>
      <c r="D4898" s="94">
        <v>1167.0</v>
      </c>
    </row>
    <row r="4899">
      <c r="A4899" s="40">
        <f t="array" ref="A4899">IFNA(index(PlayerValues!A:A,match(IFNA(vlookup(B4899,'Special Names'!A:B,2,FALSE),B4899),PlayerValues!E:E,0)),"N/A")</f>
        <v>16199</v>
      </c>
      <c r="B4899" s="4" t="s">
        <v>687</v>
      </c>
      <c r="C4899" s="4" t="s">
        <v>287</v>
      </c>
      <c r="D4899" s="94">
        <v>1160.0</v>
      </c>
    </row>
    <row r="4900">
      <c r="A4900" s="40">
        <f t="array" ref="A4900">IFNA(index(PlayerValues!A:A,match(IFNA(vlookup(B4900,'Special Names'!A:B,2,FALSE),B4900),PlayerValues!E:E,0)),"N/A")</f>
        <v>16645</v>
      </c>
      <c r="B4900" s="4" t="s">
        <v>651</v>
      </c>
      <c r="C4900" s="4" t="s">
        <v>298</v>
      </c>
      <c r="D4900" s="94">
        <v>1526.0</v>
      </c>
    </row>
    <row r="4901">
      <c r="A4901" s="40">
        <f t="array" ref="A4901">IFNA(index(PlayerValues!A:A,match(IFNA(vlookup(B4901,'Special Names'!A:B,2,FALSE),B4901),PlayerValues!E:E,0)),"N/A")</f>
        <v>16883</v>
      </c>
      <c r="B4901" s="4" t="s">
        <v>683</v>
      </c>
      <c r="C4901" s="4" t="s">
        <v>287</v>
      </c>
      <c r="D4901" s="94">
        <v>1160.0</v>
      </c>
    </row>
    <row r="4902">
      <c r="A4902" s="40">
        <f t="array" ref="A4902">IFNA(index(PlayerValues!A:A,match(IFNA(vlookup(B4902,'Special Names'!A:B,2,FALSE),B4902),PlayerValues!E:E,0)),"N/A")</f>
        <v>12678</v>
      </c>
      <c r="B4902" s="4" t="s">
        <v>703</v>
      </c>
      <c r="C4902" s="4" t="s">
        <v>298</v>
      </c>
      <c r="D4902" s="94">
        <v>1524.0</v>
      </c>
    </row>
    <row r="4903">
      <c r="A4903" s="40">
        <f t="array" ref="A4903">IFNA(index(PlayerValues!A:A,match(IFNA(vlookup(B4903,'Special Names'!A:B,2,FALSE),B4903),PlayerValues!E:E,0)),"N/A")</f>
        <v>14789</v>
      </c>
      <c r="B4903" s="4" t="s">
        <v>721</v>
      </c>
      <c r="C4903" s="4" t="s">
        <v>283</v>
      </c>
      <c r="D4903" s="94">
        <v>1153.0</v>
      </c>
    </row>
    <row r="4904">
      <c r="A4904" s="40">
        <f t="array" ref="A4904">IFNA(index(PlayerValues!A:A,match(IFNA(vlookup(B4904,'Special Names'!A:B,2,FALSE),B4904),PlayerValues!E:E,0)),"N/A")</f>
        <v>17097</v>
      </c>
      <c r="B4904" s="4" t="s">
        <v>659</v>
      </c>
      <c r="C4904" s="4" t="s">
        <v>287</v>
      </c>
      <c r="D4904" s="94">
        <v>1148.0</v>
      </c>
    </row>
    <row r="4905">
      <c r="A4905" s="40">
        <f t="array" ref="A4905">IFNA(index(PlayerValues!A:A,match(IFNA(vlookup(B4905,'Special Names'!A:B,2,FALSE),B4905),PlayerValues!E:E,0)),"N/A")</f>
        <v>17054</v>
      </c>
      <c r="B4905" s="4" t="s">
        <v>670</v>
      </c>
      <c r="C4905" s="4" t="s">
        <v>278</v>
      </c>
      <c r="D4905" s="94">
        <v>1136.0</v>
      </c>
    </row>
    <row r="4906">
      <c r="A4906" s="40">
        <f t="array" ref="A4906">IFNA(index(PlayerValues!A:A,match(IFNA(vlookup(B4906,'Special Names'!A:B,2,FALSE),B4906),PlayerValues!E:E,0)),"N/A")</f>
        <v>17050</v>
      </c>
      <c r="B4906" s="4" t="s">
        <v>713</v>
      </c>
      <c r="C4906" s="4" t="s">
        <v>278</v>
      </c>
      <c r="D4906" s="94">
        <v>1135.0</v>
      </c>
    </row>
    <row r="4907">
      <c r="A4907" s="40">
        <f t="array" ref="A4907">IFNA(index(PlayerValues!A:A,match(IFNA(vlookup(B4907,'Special Names'!A:B,2,FALSE),B4907),PlayerValues!E:E,0)),"N/A")</f>
        <v>15692</v>
      </c>
      <c r="B4907" s="4" t="s">
        <v>750</v>
      </c>
      <c r="C4907" s="4" t="s">
        <v>283</v>
      </c>
      <c r="D4907" s="94">
        <v>1134.0</v>
      </c>
    </row>
    <row r="4908">
      <c r="A4908" s="40">
        <f t="array" ref="A4908">IFNA(index(PlayerValues!A:A,match(IFNA(vlookup(B4908,'Special Names'!A:B,2,FALSE),B4908),PlayerValues!E:E,0)),"N/A")</f>
        <v>14845</v>
      </c>
      <c r="B4908" s="4" t="s">
        <v>717</v>
      </c>
      <c r="C4908" s="4" t="s">
        <v>287</v>
      </c>
      <c r="D4908" s="94">
        <v>1133.0</v>
      </c>
    </row>
    <row r="4909">
      <c r="A4909" s="40">
        <f t="array" ref="A4909">IFNA(index(PlayerValues!A:A,match(IFNA(vlookup(B4909,'Special Names'!A:B,2,FALSE),B4909),PlayerValues!E:E,0)),"N/A")</f>
        <v>16221</v>
      </c>
      <c r="B4909" s="4" t="s">
        <v>725</v>
      </c>
      <c r="C4909" s="4" t="s">
        <v>298</v>
      </c>
      <c r="D4909" s="94">
        <v>1500.0</v>
      </c>
    </row>
    <row r="4910">
      <c r="A4910" s="40">
        <f t="array" ref="A4910">IFNA(index(PlayerValues!A:A,match(IFNA(vlookup(B4910,'Special Names'!A:B,2,FALSE),B4910),PlayerValues!E:E,0)),"N/A")</f>
        <v>17109</v>
      </c>
      <c r="B4910" s="4" t="s">
        <v>707</v>
      </c>
      <c r="C4910" s="4" t="s">
        <v>298</v>
      </c>
      <c r="D4910" s="94">
        <v>1490.0</v>
      </c>
    </row>
    <row r="4911">
      <c r="A4911" s="40">
        <f t="array" ref="A4911">IFNA(index(PlayerValues!A:A,match(IFNA(vlookup(B4911,'Special Names'!A:B,2,FALSE),B4911),PlayerValues!E:E,0)),"N/A")</f>
        <v>13289</v>
      </c>
      <c r="B4911" s="4" t="s">
        <v>746</v>
      </c>
      <c r="C4911" s="4" t="s">
        <v>287</v>
      </c>
      <c r="D4911" s="94">
        <v>1117.0</v>
      </c>
    </row>
    <row r="4912">
      <c r="A4912" s="40">
        <f t="array" ref="A4912">IFNA(index(PlayerValues!A:A,match(IFNA(vlookup(B4912,'Special Names'!A:B,2,FALSE),B4912),PlayerValues!E:E,0)),"N/A")</f>
        <v>16333</v>
      </c>
      <c r="B4912" s="4" t="s">
        <v>711</v>
      </c>
      <c r="C4912" s="4" t="s">
        <v>298</v>
      </c>
      <c r="D4912" s="94">
        <v>1481.0</v>
      </c>
    </row>
    <row r="4913">
      <c r="A4913" s="40">
        <f t="array" ref="A4913">IFNA(index(PlayerValues!A:A,match(IFNA(vlookup(B4913,'Special Names'!A:B,2,FALSE),B4913),PlayerValues!E:E,0)),"N/A")</f>
        <v>15239</v>
      </c>
      <c r="B4913" s="4" t="s">
        <v>802</v>
      </c>
      <c r="C4913" s="4" t="s">
        <v>283</v>
      </c>
      <c r="D4913" s="94">
        <v>1113.0</v>
      </c>
    </row>
    <row r="4914">
      <c r="A4914" s="40">
        <f t="array" ref="A4914">IFNA(index(PlayerValues!A:A,match(IFNA(vlookup(B4914,'Special Names'!A:B,2,FALSE),B4914),PlayerValues!E:E,0)),"N/A")</f>
        <v>17192</v>
      </c>
      <c r="B4914" s="4" t="s">
        <v>677</v>
      </c>
      <c r="C4914" s="4" t="s">
        <v>287</v>
      </c>
      <c r="D4914" s="94">
        <v>1104.0</v>
      </c>
    </row>
    <row r="4915">
      <c r="A4915" s="40">
        <f t="array" ref="A4915">IFNA(index(PlayerValues!A:A,match(IFNA(vlookup(B4915,'Special Names'!A:B,2,FALSE),B4915),PlayerValues!E:E,0)),"N/A")</f>
        <v>15288</v>
      </c>
      <c r="B4915" s="4" t="s">
        <v>700</v>
      </c>
      <c r="C4915" s="4" t="s">
        <v>287</v>
      </c>
      <c r="D4915" s="94">
        <v>1102.0</v>
      </c>
    </row>
    <row r="4916">
      <c r="A4916" s="40">
        <f t="array" ref="A4916">IFNA(index(PlayerValues!A:A,match(IFNA(vlookup(B4916,'Special Names'!A:B,2,FALSE),B4916),PlayerValues!E:E,0)),"N/A")</f>
        <v>16384</v>
      </c>
      <c r="B4916" s="4" t="s">
        <v>696</v>
      </c>
      <c r="C4916" s="4" t="s">
        <v>283</v>
      </c>
      <c r="D4916" s="94">
        <v>1098.0</v>
      </c>
    </row>
    <row r="4917">
      <c r="A4917" s="40">
        <f t="array" ref="A4917">IFNA(index(PlayerValues!A:A,match(IFNA(vlookup(B4917,'Special Names'!A:B,2,FALSE),B4917),PlayerValues!E:E,0)),"N/A")</f>
        <v>17175</v>
      </c>
      <c r="B4917" s="4" t="s">
        <v>747</v>
      </c>
      <c r="C4917" s="4" t="s">
        <v>287</v>
      </c>
      <c r="D4917" s="94">
        <v>1091.0</v>
      </c>
    </row>
    <row r="4918">
      <c r="A4918" s="40">
        <f t="array" ref="A4918">IFNA(index(PlayerValues!A:A,match(IFNA(vlookup(B4918,'Special Names'!A:B,2,FALSE),B4918),PlayerValues!E:E,0)),"N/A")</f>
        <v>15717</v>
      </c>
      <c r="B4918" s="4" t="s">
        <v>745</v>
      </c>
      <c r="C4918" s="4" t="s">
        <v>278</v>
      </c>
      <c r="D4918" s="94">
        <v>1083.0</v>
      </c>
    </row>
    <row r="4919">
      <c r="A4919" s="40">
        <f t="array" ref="A4919">IFNA(index(PlayerValues!A:A,match(IFNA(vlookup(B4919,'Special Names'!A:B,2,FALSE),B4919),PlayerValues!E:E,0)),"N/A")</f>
        <v>15718</v>
      </c>
      <c r="B4919" s="4" t="s">
        <v>753</v>
      </c>
      <c r="C4919" s="4" t="s">
        <v>278</v>
      </c>
      <c r="D4919" s="94">
        <v>1079.0</v>
      </c>
    </row>
    <row r="4920">
      <c r="A4920" s="40">
        <f t="array" ref="A4920">IFNA(index(PlayerValues!A:A,match(IFNA(vlookup(B4920,'Special Names'!A:B,2,FALSE),B4920),PlayerValues!E:E,0)),"N/A")</f>
        <v>16197</v>
      </c>
      <c r="B4920" s="4" t="s">
        <v>726</v>
      </c>
      <c r="C4920" s="4" t="s">
        <v>287</v>
      </c>
      <c r="D4920" s="94">
        <v>1073.0</v>
      </c>
    </row>
    <row r="4921">
      <c r="A4921" s="40">
        <f t="array" ref="A4921">IFNA(index(PlayerValues!A:A,match(IFNA(vlookup(B4921,'Special Names'!A:B,2,FALSE),B4921),PlayerValues!E:E,0)),"N/A")</f>
        <v>16219</v>
      </c>
      <c r="B4921" s="4" t="s">
        <v>739</v>
      </c>
      <c r="C4921" s="4" t="s">
        <v>298</v>
      </c>
      <c r="D4921" s="94">
        <v>1439.0</v>
      </c>
    </row>
    <row r="4922">
      <c r="A4922" s="40">
        <f t="array" ref="A4922">IFNA(index(PlayerValues!A:A,match(IFNA(vlookup(B4922,'Special Names'!A:B,2,FALSE),B4922),PlayerValues!E:E,0)),"N/A")</f>
        <v>13610</v>
      </c>
      <c r="B4922" s="4" t="s">
        <v>825</v>
      </c>
      <c r="C4922" s="4" t="s">
        <v>278</v>
      </c>
      <c r="D4922" s="94">
        <v>1069.0</v>
      </c>
    </row>
    <row r="4923">
      <c r="A4923" s="40">
        <f t="array" ref="A4923">IFNA(index(PlayerValues!A:A,match(IFNA(vlookup(B4923,'Special Names'!A:B,2,FALSE),B4923),PlayerValues!E:E,0)),"N/A")</f>
        <v>15730</v>
      </c>
      <c r="B4923" s="4" t="s">
        <v>734</v>
      </c>
      <c r="C4923" s="4" t="s">
        <v>278</v>
      </c>
      <c r="D4923" s="94">
        <v>1069.0</v>
      </c>
    </row>
    <row r="4924">
      <c r="A4924" s="40">
        <f t="array" ref="A4924">IFNA(index(PlayerValues!A:A,match(IFNA(vlookup(B4924,'Special Names'!A:B,2,FALSE),B4924),PlayerValues!E:E,0)),"N/A")</f>
        <v>16387</v>
      </c>
      <c r="B4924" s="4" t="s">
        <v>646</v>
      </c>
      <c r="C4924" s="4" t="s">
        <v>278</v>
      </c>
      <c r="D4924" s="94">
        <v>1056.0</v>
      </c>
    </row>
    <row r="4925">
      <c r="A4925" s="40">
        <f t="array" ref="A4925">IFNA(index(PlayerValues!A:A,match(IFNA(vlookup(B4925,'Special Names'!A:B,2,FALSE),B4925),PlayerValues!E:E,0)),"N/A")</f>
        <v>16640</v>
      </c>
      <c r="B4925" s="4" t="s">
        <v>712</v>
      </c>
      <c r="C4925" s="4" t="s">
        <v>287</v>
      </c>
      <c r="D4925" s="94">
        <v>1055.0</v>
      </c>
    </row>
    <row r="4926">
      <c r="A4926" s="40">
        <f t="array" ref="A4926">IFNA(index(PlayerValues!A:A,match(IFNA(vlookup(B4926,'Special Names'!A:B,2,FALSE),B4926),PlayerValues!E:E,0)),"N/A")</f>
        <v>14849</v>
      </c>
      <c r="B4926" s="4" t="s">
        <v>733</v>
      </c>
      <c r="C4926" s="4" t="s">
        <v>287</v>
      </c>
      <c r="D4926" s="94">
        <v>1042.0</v>
      </c>
    </row>
    <row r="4927">
      <c r="A4927" s="40">
        <f t="array" ref="A4927">IFNA(index(PlayerValues!A:A,match(IFNA(vlookup(B4927,'Special Names'!A:B,2,FALSE),B4927),PlayerValues!E:E,0)),"N/A")</f>
        <v>14118</v>
      </c>
      <c r="B4927" s="4" t="s">
        <v>771</v>
      </c>
      <c r="C4927" s="4" t="s">
        <v>287</v>
      </c>
      <c r="D4927" s="94">
        <v>1038.0</v>
      </c>
    </row>
    <row r="4928">
      <c r="A4928" s="40">
        <f t="array" ref="A4928">IFNA(index(PlayerValues!A:A,match(IFNA(vlookup(B4928,'Special Names'!A:B,2,FALSE),B4928),PlayerValues!E:E,0)),"N/A")</f>
        <v>15720</v>
      </c>
      <c r="B4928" s="4" t="s">
        <v>795</v>
      </c>
      <c r="C4928" s="4" t="s">
        <v>278</v>
      </c>
      <c r="D4928" s="94">
        <v>1033.0</v>
      </c>
    </row>
    <row r="4929">
      <c r="A4929" s="40">
        <f t="array" ref="A4929">IFNA(index(PlayerValues!A:A,match(IFNA(vlookup(B4929,'Special Names'!A:B,2,FALSE),B4929),PlayerValues!E:E,0)),"N/A")</f>
        <v>15693</v>
      </c>
      <c r="B4929" s="4" t="s">
        <v>755</v>
      </c>
      <c r="C4929" s="4" t="s">
        <v>283</v>
      </c>
      <c r="D4929" s="94">
        <v>1029.0</v>
      </c>
    </row>
    <row r="4930">
      <c r="A4930" s="40">
        <f t="array" ref="A4930">IFNA(index(PlayerValues!A:A,match(IFNA(vlookup(B4930,'Special Names'!A:B,2,FALSE),B4930),PlayerValues!E:E,0)),"N/A")</f>
        <v>15785</v>
      </c>
      <c r="B4930" s="4" t="s">
        <v>763</v>
      </c>
      <c r="C4930" s="4" t="s">
        <v>287</v>
      </c>
      <c r="D4930" s="94">
        <v>1027.0</v>
      </c>
    </row>
    <row r="4931">
      <c r="A4931" s="40">
        <f t="array" ref="A4931">IFNA(index(PlayerValues!A:A,match(IFNA(vlookup(B4931,'Special Names'!A:B,2,FALSE),B4931),PlayerValues!E:E,0)),"N/A")</f>
        <v>13143</v>
      </c>
      <c r="B4931" s="4" t="s">
        <v>786</v>
      </c>
      <c r="C4931" s="4" t="s">
        <v>278</v>
      </c>
      <c r="D4931" s="94">
        <v>1024.0</v>
      </c>
    </row>
    <row r="4932">
      <c r="A4932" s="40">
        <f t="array" ref="A4932">IFNA(index(PlayerValues!A:A,match(IFNA(vlookup(B4932,'Special Names'!A:B,2,FALSE),B4932),PlayerValues!E:E,0)),"N/A")</f>
        <v>15626</v>
      </c>
      <c r="B4932" s="4" t="s">
        <v>766</v>
      </c>
      <c r="C4932" s="4" t="s">
        <v>298</v>
      </c>
      <c r="D4932" s="94">
        <v>1389.0</v>
      </c>
    </row>
    <row r="4933">
      <c r="A4933" s="40">
        <f t="array" ref="A4933">IFNA(index(PlayerValues!A:A,match(IFNA(vlookup(B4933,'Special Names'!A:B,2,FALSE),B4933),PlayerValues!E:E,0)),"N/A")</f>
        <v>16637</v>
      </c>
      <c r="B4933" s="4" t="s">
        <v>736</v>
      </c>
      <c r="C4933" s="4" t="s">
        <v>287</v>
      </c>
      <c r="D4933" s="94">
        <v>1014.0</v>
      </c>
    </row>
    <row r="4934">
      <c r="A4934" s="40">
        <f t="array" ref="A4934">IFNA(index(PlayerValues!A:A,match(IFNA(vlookup(B4934,'Special Names'!A:B,2,FALSE),B4934),PlayerValues!E:E,0)),"N/A")</f>
        <v>15283</v>
      </c>
      <c r="B4934" s="4" t="s">
        <v>844</v>
      </c>
      <c r="C4934" s="4" t="s">
        <v>287</v>
      </c>
      <c r="D4934" s="94">
        <v>1006.0</v>
      </c>
    </row>
    <row r="4935">
      <c r="A4935" s="40">
        <f t="array" ref="A4935">IFNA(index(PlayerValues!A:A,match(IFNA(vlookup(B4935,'Special Names'!A:B,2,FALSE),B4935),PlayerValues!E:E,0)),"N/A")</f>
        <v>17057</v>
      </c>
      <c r="B4935" s="4" t="s">
        <v>708</v>
      </c>
      <c r="C4935" s="4" t="s">
        <v>278</v>
      </c>
      <c r="D4935" s="94">
        <v>1005.0</v>
      </c>
    </row>
    <row r="4936">
      <c r="A4936" s="40">
        <f t="array" ref="A4936">IFNA(index(PlayerValues!A:A,match(IFNA(vlookup(B4936,'Special Names'!A:B,2,FALSE),B4936),PlayerValues!E:E,0)),"N/A")</f>
        <v>17467</v>
      </c>
      <c r="B4936" s="4" t="s">
        <v>575</v>
      </c>
      <c r="C4936" s="4" t="s">
        <v>283</v>
      </c>
      <c r="D4936" s="94">
        <v>1003.0</v>
      </c>
    </row>
    <row r="4937">
      <c r="A4937" s="40">
        <f t="array" ref="A4937">IFNA(index(PlayerValues!A:A,match(IFNA(vlookup(B4937,'Special Names'!A:B,2,FALSE),B4937),PlayerValues!E:E,0)),"N/A")</f>
        <v>16168</v>
      </c>
      <c r="B4937" s="4" t="s">
        <v>738</v>
      </c>
      <c r="C4937" s="4" t="s">
        <v>278</v>
      </c>
      <c r="D4937" s="94">
        <v>1000.0</v>
      </c>
    </row>
    <row r="4938">
      <c r="A4938" s="40">
        <f t="array" ref="A4938">IFNA(index(PlayerValues!A:A,match(IFNA(vlookup(B4938,'Special Names'!A:B,2,FALSE),B4938),PlayerValues!E:E,0)),"N/A")</f>
        <v>16393</v>
      </c>
      <c r="B4938" s="4" t="s">
        <v>768</v>
      </c>
      <c r="C4938" s="4" t="s">
        <v>287</v>
      </c>
      <c r="D4938" s="94">
        <v>998.0</v>
      </c>
    </row>
    <row r="4939">
      <c r="A4939" s="40">
        <f t="array" ref="A4939">IFNA(index(PlayerValues!A:A,match(IFNA(vlookup(B4939,'Special Names'!A:B,2,FALSE),B4939),PlayerValues!E:E,0)),"N/A")</f>
        <v>16648</v>
      </c>
      <c r="B4939" s="4" t="s">
        <v>748</v>
      </c>
      <c r="C4939" s="4" t="s">
        <v>298</v>
      </c>
      <c r="D4939" s="94">
        <v>1366.0</v>
      </c>
    </row>
    <row r="4940">
      <c r="A4940" s="40">
        <f t="array" ref="A4940">IFNA(index(PlayerValues!A:A,match(IFNA(vlookup(B4940,'Special Names'!A:B,2,FALSE),B4940),PlayerValues!E:E,0)),"N/A")</f>
        <v>16159</v>
      </c>
      <c r="B4940" s="4" t="s">
        <v>819</v>
      </c>
      <c r="C4940" s="4" t="s">
        <v>283</v>
      </c>
      <c r="D4940" s="94">
        <v>993.0</v>
      </c>
    </row>
    <row r="4941">
      <c r="A4941" s="40">
        <f t="array" ref="A4941">IFNA(index(PlayerValues!A:A,match(IFNA(vlookup(B4941,'Special Names'!A:B,2,FALSE),B4941),PlayerValues!E:E,0)),"N/A")</f>
        <v>16858</v>
      </c>
      <c r="B4941" s="4" t="s">
        <v>754</v>
      </c>
      <c r="C4941" s="4" t="s">
        <v>287</v>
      </c>
      <c r="D4941" s="94">
        <v>990.0</v>
      </c>
    </row>
    <row r="4942">
      <c r="A4942" s="40">
        <f t="array" ref="A4942">IFNA(index(PlayerValues!A:A,match(IFNA(vlookup(B4942,'Special Names'!A:B,2,FALSE),B4942),PlayerValues!E:E,0)),"N/A")</f>
        <v>15330</v>
      </c>
      <c r="B4942" s="4" t="s">
        <v>749</v>
      </c>
      <c r="C4942" s="4" t="s">
        <v>298</v>
      </c>
      <c r="D4942" s="94">
        <v>1354.0</v>
      </c>
    </row>
    <row r="4943">
      <c r="A4943" s="40">
        <f t="array" ref="A4943">IFNA(index(PlayerValues!A:A,match(IFNA(vlookup(B4943,'Special Names'!A:B,2,FALSE),B4943),PlayerValues!E:E,0)),"N/A")</f>
        <v>16957</v>
      </c>
      <c r="B4943" s="4" t="s">
        <v>806</v>
      </c>
      <c r="C4943" s="4" t="s">
        <v>278</v>
      </c>
      <c r="D4943" s="94">
        <v>961.0</v>
      </c>
    </row>
    <row r="4944">
      <c r="A4944" s="40">
        <f t="array" ref="A4944">IFNA(index(PlayerValues!A:A,match(IFNA(vlookup(B4944,'Special Names'!A:B,2,FALSE),B4944),PlayerValues!E:E,0)),"N/A")</f>
        <v>9064</v>
      </c>
      <c r="B4944" s="4" t="s">
        <v>761</v>
      </c>
      <c r="C4944" s="4" t="s">
        <v>283</v>
      </c>
      <c r="D4944" s="94">
        <v>950.0</v>
      </c>
    </row>
    <row r="4945">
      <c r="A4945" s="40">
        <f t="array" ref="A4945">IFNA(index(PlayerValues!A:A,match(IFNA(vlookup(B4945,'Special Names'!A:B,2,FALSE),B4945),PlayerValues!E:E,0)),"N/A")</f>
        <v>14067</v>
      </c>
      <c r="B4945" s="4" t="s">
        <v>735</v>
      </c>
      <c r="C4945" s="4" t="s">
        <v>283</v>
      </c>
      <c r="D4945" s="94">
        <v>947.0</v>
      </c>
    </row>
    <row r="4946">
      <c r="A4946" s="40">
        <f t="array" ref="A4946">IFNA(index(PlayerValues!A:A,match(IFNA(vlookup(B4946,'Special Names'!A:B,2,FALSE),B4946),PlayerValues!E:E,0)),"N/A")</f>
        <v>15766</v>
      </c>
      <c r="B4946" s="4" t="s">
        <v>759</v>
      </c>
      <c r="C4946" s="4" t="s">
        <v>287</v>
      </c>
      <c r="D4946" s="94">
        <v>946.0</v>
      </c>
    </row>
    <row r="4947">
      <c r="A4947" s="40">
        <f t="array" ref="A4947">IFNA(index(PlayerValues!A:A,match(IFNA(vlookup(B4947,'Special Names'!A:B,2,FALSE),B4947),PlayerValues!E:E,0)),"N/A")</f>
        <v>14852</v>
      </c>
      <c r="B4947" s="4" t="s">
        <v>837</v>
      </c>
      <c r="C4947" s="4" t="s">
        <v>278</v>
      </c>
      <c r="D4947" s="94">
        <v>945.0</v>
      </c>
    </row>
    <row r="4948">
      <c r="A4948" s="40">
        <f t="array" ref="A4948">IFNA(index(PlayerValues!A:A,match(IFNA(vlookup(B4948,'Special Names'!A:B,2,FALSE),B4948),PlayerValues!E:E,0)),"N/A")</f>
        <v>16205</v>
      </c>
      <c r="B4948" s="4" t="s">
        <v>742</v>
      </c>
      <c r="C4948" s="4" t="s">
        <v>287</v>
      </c>
      <c r="D4948" s="94">
        <v>945.0</v>
      </c>
    </row>
    <row r="4949">
      <c r="A4949" s="40">
        <f t="array" ref="A4949">IFNA(index(PlayerValues!A:A,match(IFNA(vlookup(B4949,'Special Names'!A:B,2,FALSE),B4949),PlayerValues!E:E,0)),"N/A")</f>
        <v>17337</v>
      </c>
      <c r="B4949" s="4" t="s">
        <v>793</v>
      </c>
      <c r="C4949" s="4" t="s">
        <v>278</v>
      </c>
      <c r="D4949" s="94">
        <v>942.0</v>
      </c>
    </row>
    <row r="4950">
      <c r="A4950" s="40">
        <f t="array" ref="A4950">IFNA(index(PlayerValues!A:A,match(IFNA(vlookup(B4950,'Special Names'!A:B,2,FALSE),B4950),PlayerValues!E:E,0)),"N/A")</f>
        <v>13156</v>
      </c>
      <c r="B4950" s="4" t="s">
        <v>835</v>
      </c>
      <c r="C4950" s="4" t="s">
        <v>287</v>
      </c>
      <c r="D4950" s="94">
        <v>938.0</v>
      </c>
    </row>
    <row r="4951">
      <c r="A4951" s="40">
        <f t="array" ref="A4951">IFNA(index(PlayerValues!A:A,match(IFNA(vlookup(B4951,'Special Names'!A:B,2,FALSE),B4951),PlayerValues!E:E,0)),"N/A")</f>
        <v>13133</v>
      </c>
      <c r="B4951" s="4" t="s">
        <v>764</v>
      </c>
      <c r="C4951" s="4" t="s">
        <v>278</v>
      </c>
      <c r="D4951" s="94">
        <v>937.0</v>
      </c>
    </row>
    <row r="4952">
      <c r="A4952" s="40">
        <f t="array" ref="A4952">IFNA(index(PlayerValues!A:A,match(IFNA(vlookup(B4952,'Special Names'!A:B,2,FALSE),B4952),PlayerValues!E:E,0)),"N/A")</f>
        <v>14864</v>
      </c>
      <c r="B4952" s="4" t="s">
        <v>789</v>
      </c>
      <c r="C4952" s="4" t="s">
        <v>287</v>
      </c>
      <c r="D4952" s="94">
        <v>932.0</v>
      </c>
    </row>
    <row r="4953">
      <c r="A4953" s="40">
        <f t="array" ref="A4953">IFNA(index(PlayerValues!A:A,match(IFNA(vlookup(B4953,'Special Names'!A:B,2,FALSE),B4953),PlayerValues!E:E,0)),"N/A")</f>
        <v>14057</v>
      </c>
      <c r="B4953" s="4" t="s">
        <v>765</v>
      </c>
      <c r="C4953" s="4" t="s">
        <v>283</v>
      </c>
      <c r="D4953" s="94">
        <v>929.0</v>
      </c>
    </row>
    <row r="4954">
      <c r="A4954" s="40">
        <f t="array" ref="A4954">IFNA(index(PlayerValues!A:A,match(IFNA(vlookup(B4954,'Special Names'!A:B,2,FALSE),B4954),PlayerValues!E:E,0)),"N/A")</f>
        <v>13595</v>
      </c>
      <c r="B4954" s="4" t="s">
        <v>818</v>
      </c>
      <c r="C4954" s="4" t="s">
        <v>283</v>
      </c>
      <c r="D4954" s="94">
        <v>929.0</v>
      </c>
    </row>
    <row r="4955">
      <c r="A4955" s="40">
        <f t="array" ref="A4955">IFNA(index(PlayerValues!A:A,match(IFNA(vlookup(B4955,'Special Names'!A:B,2,FALSE),B4955),PlayerValues!E:E,0)),"N/A")</f>
        <v>15109</v>
      </c>
      <c r="B4955" s="4" t="s">
        <v>728</v>
      </c>
      <c r="C4955" s="4" t="s">
        <v>287</v>
      </c>
      <c r="D4955" s="94">
        <v>927.0</v>
      </c>
    </row>
    <row r="4956">
      <c r="A4956" s="40">
        <f t="array" ref="A4956">IFNA(index(PlayerValues!A:A,match(IFNA(vlookup(B4956,'Special Names'!A:B,2,FALSE),B4956),PlayerValues!E:E,0)),"N/A")</f>
        <v>12785</v>
      </c>
      <c r="B4956" s="4" t="s">
        <v>772</v>
      </c>
      <c r="C4956" s="4" t="s">
        <v>287</v>
      </c>
      <c r="D4956" s="94">
        <v>924.0</v>
      </c>
    </row>
    <row r="4957">
      <c r="A4957" s="40">
        <f t="array" ref="A4957">IFNA(index(PlayerValues!A:A,match(IFNA(vlookup(B4957,'Special Names'!A:B,2,FALSE),B4957),PlayerValues!E:E,0)),"N/A")</f>
        <v>16624</v>
      </c>
      <c r="B4957" s="4" t="s">
        <v>796</v>
      </c>
      <c r="C4957" s="4" t="s">
        <v>287</v>
      </c>
      <c r="D4957" s="94">
        <v>922.0</v>
      </c>
    </row>
    <row r="4958">
      <c r="A4958" s="40">
        <f t="array" ref="A4958">IFNA(index(PlayerValues!A:A,match(IFNA(vlookup(B4958,'Special Names'!A:B,2,FALSE),B4958),PlayerValues!E:E,0)),"N/A")</f>
        <v>14079</v>
      </c>
      <c r="B4958" s="4" t="s">
        <v>830</v>
      </c>
      <c r="C4958" s="4" t="s">
        <v>278</v>
      </c>
      <c r="D4958" s="94">
        <v>919.0</v>
      </c>
    </row>
    <row r="4959">
      <c r="A4959" s="40">
        <f t="array" ref="A4959">IFNA(index(PlayerValues!A:A,match(IFNA(vlookup(B4959,'Special Names'!A:B,2,FALSE),B4959),PlayerValues!E:E,0)),"N/A")</f>
        <v>11247</v>
      </c>
      <c r="B4959" s="4" t="s">
        <v>816</v>
      </c>
      <c r="C4959" s="4" t="s">
        <v>298</v>
      </c>
      <c r="D4959" s="94">
        <v>1280.0</v>
      </c>
    </row>
    <row r="4960">
      <c r="A4960" s="40">
        <f t="array" ref="A4960">IFNA(index(PlayerValues!A:A,match(IFNA(vlookup(B4960,'Special Names'!A:B,2,FALSE),B4960),PlayerValues!E:E,0)),"N/A")</f>
        <v>16176</v>
      </c>
      <c r="B4960" s="4" t="s">
        <v>812</v>
      </c>
      <c r="C4960" s="4" t="s">
        <v>278</v>
      </c>
      <c r="D4960" s="94">
        <v>907.0</v>
      </c>
    </row>
    <row r="4961">
      <c r="A4961" s="40">
        <f t="array" ref="A4961">IFNA(index(PlayerValues!A:A,match(IFNA(vlookup(B4961,'Special Names'!A:B,2,FALSE),B4961),PlayerValues!E:E,0)),"N/A")</f>
        <v>17488</v>
      </c>
      <c r="B4961" s="4" t="s">
        <v>845</v>
      </c>
      <c r="C4961" s="4" t="s">
        <v>278</v>
      </c>
      <c r="D4961" s="94">
        <v>907.0</v>
      </c>
    </row>
    <row r="4962">
      <c r="A4962" s="40">
        <f t="array" ref="A4962">IFNA(index(PlayerValues!A:A,match(IFNA(vlookup(B4962,'Special Names'!A:B,2,FALSE),B4962),PlayerValues!E:E,0)),"N/A")</f>
        <v>15723</v>
      </c>
      <c r="B4962" s="4" t="s">
        <v>798</v>
      </c>
      <c r="C4962" s="4" t="s">
        <v>278</v>
      </c>
      <c r="D4962" s="94">
        <v>904.0</v>
      </c>
    </row>
    <row r="4963">
      <c r="A4963" s="40">
        <f t="array" ref="A4963">IFNA(index(PlayerValues!A:A,match(IFNA(vlookup(B4963,'Special Names'!A:B,2,FALSE),B4963),PlayerValues!E:E,0)),"N/A")</f>
        <v>16773</v>
      </c>
      <c r="B4963" s="4" t="s">
        <v>783</v>
      </c>
      <c r="C4963" s="4" t="s">
        <v>278</v>
      </c>
      <c r="D4963" s="94">
        <v>900.0</v>
      </c>
    </row>
    <row r="4964">
      <c r="A4964" s="40">
        <f t="array" ref="A4964">IFNA(index(PlayerValues!A:A,match(IFNA(vlookup(B4964,'Special Names'!A:B,2,FALSE),B4964),PlayerValues!E:E,0)),"N/A")</f>
        <v>13763</v>
      </c>
      <c r="B4964" s="4" t="s">
        <v>831</v>
      </c>
      <c r="C4964" s="4" t="s">
        <v>298</v>
      </c>
      <c r="D4964" s="94">
        <v>1270.0</v>
      </c>
    </row>
    <row r="4965">
      <c r="A4965" s="40">
        <f t="array" ref="A4965">IFNA(index(PlayerValues!A:A,match(IFNA(vlookup(B4965,'Special Names'!A:B,2,FALSE),B4965),PlayerValues!E:E,0)),"N/A")</f>
        <v>16599</v>
      </c>
      <c r="B4965" s="4" t="s">
        <v>737</v>
      </c>
      <c r="C4965" s="4" t="s">
        <v>278</v>
      </c>
      <c r="D4965" s="94">
        <v>894.0</v>
      </c>
    </row>
    <row r="4966">
      <c r="A4966" s="40">
        <f t="array" ref="A4966">IFNA(index(PlayerValues!A:A,match(IFNA(vlookup(B4966,'Special Names'!A:B,2,FALSE),B4966),PlayerValues!E:E,0)),"N/A")</f>
        <v>11232</v>
      </c>
      <c r="B4966" s="4" t="s">
        <v>826</v>
      </c>
      <c r="C4966" s="4" t="s">
        <v>287</v>
      </c>
      <c r="D4966" s="94">
        <v>878.0</v>
      </c>
    </row>
    <row r="4967">
      <c r="A4967" s="40">
        <f t="array" ref="A4967">IFNA(index(PlayerValues!A:A,match(IFNA(vlookup(B4967,'Special Names'!A:B,2,FALSE),B4967),PlayerValues!E:E,0)),"N/A")</f>
        <v>16686</v>
      </c>
      <c r="B4967" s="4" t="s">
        <v>805</v>
      </c>
      <c r="C4967" s="4" t="s">
        <v>287</v>
      </c>
      <c r="D4967" s="94">
        <v>877.0</v>
      </c>
    </row>
    <row r="4968">
      <c r="A4968" s="40">
        <f t="array" ref="A4968">IFNA(index(PlayerValues!A:A,match(IFNA(vlookup(B4968,'Special Names'!A:B,2,FALSE),B4968),PlayerValues!E:E,0)),"N/A")</f>
        <v>14799</v>
      </c>
      <c r="B4968" s="4" t="s">
        <v>829</v>
      </c>
      <c r="C4968" s="4" t="s">
        <v>278</v>
      </c>
      <c r="D4968" s="94">
        <v>870.0</v>
      </c>
    </row>
    <row r="4969">
      <c r="A4969" s="40">
        <f t="array" ref="A4969">IFNA(index(PlayerValues!A:A,match(IFNA(vlookup(B4969,'Special Names'!A:B,2,FALSE),B4969),PlayerValues!E:E,0)),"N/A")</f>
        <v>15796</v>
      </c>
      <c r="B4969" s="4" t="s">
        <v>794</v>
      </c>
      <c r="C4969" s="4" t="s">
        <v>298</v>
      </c>
      <c r="D4969" s="94">
        <v>1242.0</v>
      </c>
    </row>
    <row r="4970">
      <c r="A4970" s="40">
        <f t="array" ref="A4970">IFNA(index(PlayerValues!A:A,match(IFNA(vlookup(B4970,'Special Names'!A:B,2,FALSE),B4970),PlayerValues!E:E,0)),"N/A")</f>
        <v>15263</v>
      </c>
      <c r="B4970" s="4" t="s">
        <v>804</v>
      </c>
      <c r="C4970" s="4" t="s">
        <v>278</v>
      </c>
      <c r="D4970" s="94">
        <v>869.0</v>
      </c>
    </row>
    <row r="4971">
      <c r="A4971" s="40">
        <f t="array" ref="A4971">IFNA(index(PlayerValues!A:A,match(IFNA(vlookup(B4971,'Special Names'!A:B,2,FALSE),B4971),PlayerValues!E:E,0)),"N/A")</f>
        <v>16416</v>
      </c>
      <c r="B4971" s="4" t="s">
        <v>752</v>
      </c>
      <c r="C4971" s="4" t="s">
        <v>287</v>
      </c>
      <c r="D4971" s="94">
        <v>869.0</v>
      </c>
    </row>
    <row r="4972">
      <c r="A4972" s="40">
        <f t="array" ref="A4972">IFNA(index(PlayerValues!A:A,match(IFNA(vlookup(B4972,'Special Names'!A:B,2,FALSE),B4972),PlayerValues!E:E,0)),"N/A")</f>
        <v>13157</v>
      </c>
      <c r="B4972" s="4" t="s">
        <v>836</v>
      </c>
      <c r="C4972" s="4" t="s">
        <v>287</v>
      </c>
      <c r="D4972" s="94">
        <v>868.0</v>
      </c>
    </row>
    <row r="4973">
      <c r="A4973" s="40">
        <f t="array" ref="A4973">IFNA(index(PlayerValues!A:A,match(IFNA(vlookup(B4973,'Special Names'!A:B,2,FALSE),B4973),PlayerValues!E:E,0)),"N/A")</f>
        <v>16608</v>
      </c>
      <c r="B4973" s="4" t="s">
        <v>629</v>
      </c>
      <c r="C4973" s="4" t="s">
        <v>278</v>
      </c>
      <c r="D4973" s="94">
        <v>860.0</v>
      </c>
    </row>
    <row r="4974">
      <c r="A4974" s="40">
        <f t="array" ref="A4974">IFNA(index(PlayerValues!A:A,match(IFNA(vlookup(B4974,'Special Names'!A:B,2,FALSE),B4974),PlayerValues!E:E,0)),"N/A")</f>
        <v>16751</v>
      </c>
      <c r="B4974" s="4" t="s">
        <v>762</v>
      </c>
      <c r="C4974" s="4" t="s">
        <v>287</v>
      </c>
      <c r="D4974" s="94">
        <v>859.0</v>
      </c>
    </row>
    <row r="4975">
      <c r="A4975" s="40">
        <f t="array" ref="A4975">IFNA(index(PlayerValues!A:A,match(IFNA(vlookup(B4975,'Special Names'!A:B,2,FALSE),B4975),PlayerValues!E:E,0)),"N/A")</f>
        <v>15714</v>
      </c>
      <c r="B4975" s="4" t="s">
        <v>775</v>
      </c>
      <c r="C4975" s="4" t="s">
        <v>278</v>
      </c>
      <c r="D4975" s="94">
        <v>855.0</v>
      </c>
    </row>
    <row r="4976">
      <c r="A4976" s="40">
        <f t="array" ref="A4976">IFNA(index(PlayerValues!A:A,match(IFNA(vlookup(B4976,'Special Names'!A:B,2,FALSE),B4976),PlayerValues!E:E,0)),"N/A")</f>
        <v>15804</v>
      </c>
      <c r="B4976" s="4" t="s">
        <v>821</v>
      </c>
      <c r="C4976" s="4" t="s">
        <v>298</v>
      </c>
      <c r="D4976" s="94">
        <v>1226.0</v>
      </c>
    </row>
    <row r="4977">
      <c r="A4977" s="40">
        <f t="array" ref="A4977">IFNA(index(PlayerValues!A:A,match(IFNA(vlookup(B4977,'Special Names'!A:B,2,FALSE),B4977),PlayerValues!E:E,0)),"N/A")</f>
        <v>16623</v>
      </c>
      <c r="B4977" s="4" t="s">
        <v>803</v>
      </c>
      <c r="C4977" s="4" t="s">
        <v>287</v>
      </c>
      <c r="D4977" s="94">
        <v>847.0</v>
      </c>
    </row>
    <row r="4978">
      <c r="A4978" s="40">
        <f t="array" ref="A4978">IFNA(index(PlayerValues!A:A,match(IFNA(vlookup(B4978,'Special Names'!A:B,2,FALSE),B4978),PlayerValues!E:E,0)),"N/A")</f>
        <v>13172</v>
      </c>
      <c r="B4978" s="4" t="s">
        <v>840</v>
      </c>
      <c r="C4978" s="4" t="s">
        <v>287</v>
      </c>
      <c r="D4978" s="94">
        <v>845.0</v>
      </c>
    </row>
    <row r="4979">
      <c r="A4979" s="40">
        <f t="array" ref="A4979">IFNA(index(PlayerValues!A:A,match(IFNA(vlookup(B4979,'Special Names'!A:B,2,FALSE),B4979),PlayerValues!E:E,0)),"N/A")</f>
        <v>15795</v>
      </c>
      <c r="B4979" s="4" t="s">
        <v>669</v>
      </c>
      <c r="C4979" s="4" t="s">
        <v>298</v>
      </c>
      <c r="D4979" s="94">
        <v>1209.0</v>
      </c>
    </row>
    <row r="4980">
      <c r="A4980" s="40">
        <f t="array" ref="A4980">IFNA(index(PlayerValues!A:A,match(IFNA(vlookup(B4980,'Special Names'!A:B,2,FALSE),B4980),PlayerValues!E:E,0)),"N/A")</f>
        <v>16625</v>
      </c>
      <c r="B4980" s="4" t="s">
        <v>778</v>
      </c>
      <c r="C4980" s="4" t="s">
        <v>287</v>
      </c>
      <c r="D4980" s="94">
        <v>830.0</v>
      </c>
    </row>
    <row r="4981">
      <c r="A4981" s="40">
        <f t="array" ref="A4981">IFNA(index(PlayerValues!A:A,match(IFNA(vlookup(B4981,'Special Names'!A:B,2,FALSE),B4981),PlayerValues!E:E,0)),"N/A")</f>
        <v>14209</v>
      </c>
      <c r="B4981" s="4" t="s">
        <v>809</v>
      </c>
      <c r="C4981" s="4" t="s">
        <v>298</v>
      </c>
      <c r="D4981" s="94">
        <v>1198.0</v>
      </c>
    </row>
    <row r="4982">
      <c r="A4982" s="40">
        <f t="array" ref="A4982">IFNA(index(PlayerValues!A:A,match(IFNA(vlookup(B4982,'Special Names'!A:B,2,FALSE),B4982),PlayerValues!E:E,0)),"N/A")</f>
        <v>15271</v>
      </c>
      <c r="B4982" s="4" t="s">
        <v>741</v>
      </c>
      <c r="C4982" s="4" t="s">
        <v>278</v>
      </c>
      <c r="D4982" s="94">
        <v>810.0</v>
      </c>
    </row>
    <row r="4983">
      <c r="A4983" s="40">
        <f t="array" ref="A4983">IFNA(index(PlayerValues!A:A,match(IFNA(vlookup(B4983,'Special Names'!A:B,2,FALSE),B4983),PlayerValues!E:E,0)),"N/A")</f>
        <v>10413</v>
      </c>
      <c r="B4983" s="4" t="s">
        <v>811</v>
      </c>
      <c r="C4983" s="4" t="s">
        <v>283</v>
      </c>
      <c r="D4983" s="94">
        <v>808.0</v>
      </c>
    </row>
    <row r="4984">
      <c r="A4984" s="40">
        <f t="array" ref="A4984">IFNA(index(PlayerValues!A:A,match(IFNA(vlookup(B4984,'Special Names'!A:B,2,FALSE),B4984),PlayerValues!E:E,0)),"N/A")</f>
        <v>12658</v>
      </c>
      <c r="B4984" s="4" t="s">
        <v>823</v>
      </c>
      <c r="C4984" s="4" t="s">
        <v>287</v>
      </c>
      <c r="D4984" s="94">
        <v>807.0</v>
      </c>
    </row>
    <row r="4985">
      <c r="A4985" s="40">
        <f t="array" ref="A4985">IFNA(index(PlayerValues!A:A,match(IFNA(vlookup(B4985,'Special Names'!A:B,2,FALSE),B4985),PlayerValues!E:E,0)),"N/A")</f>
        <v>16606</v>
      </c>
      <c r="B4985" s="4" t="s">
        <v>743</v>
      </c>
      <c r="C4985" s="4" t="s">
        <v>278</v>
      </c>
      <c r="D4985" s="94">
        <v>800.0</v>
      </c>
    </row>
    <row r="4986">
      <c r="A4986" s="40">
        <f t="array" ref="A4986">IFNA(index(PlayerValues!A:A,match(IFNA(vlookup(B4986,'Special Names'!A:B,2,FALSE),B4986),PlayerValues!E:E,0)),"N/A")</f>
        <v>13176</v>
      </c>
      <c r="B4986" s="4" t="s">
        <v>807</v>
      </c>
      <c r="C4986" s="4" t="s">
        <v>287</v>
      </c>
      <c r="D4986" s="94">
        <v>796.0</v>
      </c>
    </row>
    <row r="4987">
      <c r="A4987" s="40">
        <f t="array" ref="A4987">IFNA(index(PlayerValues!A:A,match(IFNA(vlookup(B4987,'Special Names'!A:B,2,FALSE),B4987),PlayerValues!E:E,0)),"N/A")</f>
        <v>14358</v>
      </c>
      <c r="B4987" s="4" t="s">
        <v>813</v>
      </c>
      <c r="C4987" s="4" t="s">
        <v>283</v>
      </c>
      <c r="D4987" s="94">
        <v>784.0</v>
      </c>
    </row>
    <row r="4988">
      <c r="A4988" s="40">
        <f t="array" ref="A4988">IFNA(index(PlayerValues!A:A,match(IFNA(vlookup(B4988,'Special Names'!A:B,2,FALSE),B4988),PlayerValues!E:E,0)),"N/A")</f>
        <v>15285</v>
      </c>
      <c r="B4988" s="4" t="s">
        <v>792</v>
      </c>
      <c r="C4988" s="4" t="s">
        <v>287</v>
      </c>
      <c r="D4988" s="94">
        <v>784.0</v>
      </c>
    </row>
    <row r="4989">
      <c r="A4989" s="40">
        <f t="array" ref="A4989">IFNA(index(PlayerValues!A:A,match(IFNA(vlookup(B4989,'Special Names'!A:B,2,FALSE),B4989),PlayerValues!E:E,0)),"N/A")</f>
        <v>16413</v>
      </c>
      <c r="B4989" s="4" t="s">
        <v>781</v>
      </c>
      <c r="C4989" s="4" t="s">
        <v>287</v>
      </c>
      <c r="D4989" s="94">
        <v>783.0</v>
      </c>
    </row>
    <row r="4990">
      <c r="A4990" s="40">
        <f t="array" ref="A4990">IFNA(index(PlayerValues!A:A,match(IFNA(vlookup(B4990,'Special Names'!A:B,2,FALSE),B4990),PlayerValues!E:E,0)),"N/A")</f>
        <v>17282</v>
      </c>
      <c r="B4990" s="4" t="s">
        <v>833</v>
      </c>
      <c r="C4990" s="4" t="s">
        <v>283</v>
      </c>
      <c r="D4990" s="94">
        <v>778.0</v>
      </c>
    </row>
    <row r="4991">
      <c r="A4991" s="40">
        <f t="array" ref="A4991">IFNA(index(PlayerValues!A:A,match(IFNA(vlookup(B4991,'Special Names'!A:B,2,FALSE),B4991),PlayerValues!E:E,0)),"N/A")</f>
        <v>16632</v>
      </c>
      <c r="B4991" s="4" t="s">
        <v>842</v>
      </c>
      <c r="C4991" s="4" t="s">
        <v>287</v>
      </c>
      <c r="D4991" s="94">
        <v>771.0</v>
      </c>
    </row>
    <row r="4992">
      <c r="A4992" s="40">
        <f t="array" ref="A4992">IFNA(index(PlayerValues!A:A,match(IFNA(vlookup(B4992,'Special Names'!A:B,2,FALSE),B4992),PlayerValues!E:E,0)),"N/A")</f>
        <v>14805</v>
      </c>
      <c r="B4992" s="4" t="s">
        <v>770</v>
      </c>
      <c r="C4992" s="4" t="s">
        <v>278</v>
      </c>
      <c r="D4992" s="94">
        <v>770.0</v>
      </c>
    </row>
    <row r="4993">
      <c r="A4993" s="40">
        <f t="array" ref="A4993">IFNA(index(PlayerValues!A:A,match(IFNA(vlookup(B4993,'Special Names'!A:B,2,FALSE),B4993),PlayerValues!E:E,0)),"N/A")</f>
        <v>15965</v>
      </c>
      <c r="B4993" s="4" t="s">
        <v>791</v>
      </c>
      <c r="C4993" s="4" t="s">
        <v>278</v>
      </c>
      <c r="D4993" s="94">
        <v>770.0</v>
      </c>
    </row>
    <row r="4994">
      <c r="A4994" s="40">
        <f t="array" ref="A4994">IFNA(index(PlayerValues!A:A,match(IFNA(vlookup(B4994,'Special Names'!A:B,2,FALSE),B4994),PlayerValues!E:E,0)),"N/A")</f>
        <v>16678</v>
      </c>
      <c r="B4994" s="4" t="s">
        <v>758</v>
      </c>
      <c r="C4994" s="4" t="s">
        <v>278</v>
      </c>
      <c r="D4994" s="94">
        <v>758.0</v>
      </c>
    </row>
    <row r="4995">
      <c r="A4995" s="40">
        <f t="array" ref="A4995">IFNA(index(PlayerValues!A:A,match(IFNA(vlookup(B4995,'Special Names'!A:B,2,FALSE),B4995),PlayerValues!E:E,0)),"N/A")</f>
        <v>13424</v>
      </c>
      <c r="B4995" s="4" t="s">
        <v>846</v>
      </c>
      <c r="C4995" s="4" t="s">
        <v>298</v>
      </c>
      <c r="D4995" s="94">
        <v>1116.0</v>
      </c>
    </row>
    <row r="4996">
      <c r="A4996" s="40">
        <f t="array" ref="A4996">IFNA(index(PlayerValues!A:A,match(IFNA(vlookup(B4996,'Special Names'!A:B,2,FALSE),B4996),PlayerValues!E:E,0)),"N/A")</f>
        <v>14223</v>
      </c>
      <c r="B4996" s="4" t="s">
        <v>785</v>
      </c>
      <c r="C4996" s="4" t="s">
        <v>278</v>
      </c>
      <c r="D4996" s="94">
        <v>744.0</v>
      </c>
    </row>
    <row r="4997">
      <c r="A4997" s="40">
        <f t="array" ref="A4997">IFNA(index(PlayerValues!A:A,match(IFNA(vlookup(B4997,'Special Names'!A:B,2,FALSE),B4997),PlayerValues!E:E,0)),"N/A")</f>
        <v>13675</v>
      </c>
      <c r="B4997" s="4" t="s">
        <v>839</v>
      </c>
      <c r="C4997" s="4" t="s">
        <v>298</v>
      </c>
      <c r="D4997" s="94">
        <v>1111.0</v>
      </c>
    </row>
    <row r="4998">
      <c r="A4998" s="40">
        <f t="array" ref="A4998">IFNA(index(PlayerValues!A:A,match(IFNA(vlookup(B4998,'Special Names'!A:B,2,FALSE),B4998),PlayerValues!E:E,0)),"N/A")</f>
        <v>17232</v>
      </c>
      <c r="B4998" s="4" t="s">
        <v>784</v>
      </c>
      <c r="C4998" s="4" t="s">
        <v>287</v>
      </c>
      <c r="D4998" s="94">
        <v>735.0</v>
      </c>
    </row>
    <row r="4999">
      <c r="A4999" s="40">
        <f t="array" ref="A4999">IFNA(index(PlayerValues!A:A,match(IFNA(vlookup(B4999,'Special Names'!A:B,2,FALSE),B4999),PlayerValues!E:E,0)),"N/A")</f>
        <v>13377</v>
      </c>
      <c r="B4999" s="4" t="s">
        <v>847</v>
      </c>
      <c r="C4999" s="4" t="s">
        <v>287</v>
      </c>
      <c r="D4999" s="94">
        <v>728.0</v>
      </c>
    </row>
    <row r="5000">
      <c r="A5000" s="40">
        <f t="array" ref="A5000">IFNA(index(PlayerValues!A:A,match(IFNA(vlookup(B5000,'Special Names'!A:B,2,FALSE),B5000),PlayerValues!E:E,0)),"N/A")</f>
        <v>16170</v>
      </c>
      <c r="B5000" s="4" t="s">
        <v>801</v>
      </c>
      <c r="C5000" s="4" t="s">
        <v>278</v>
      </c>
      <c r="D5000" s="94">
        <v>725.0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>
        <f t="array" ref="A1">IFNA(index(PlayerValues!A:A,match(IFNA(vlookup(B1,'Special Names'!A:B,2,FALSE),B1),PlayerValues!E:E,0)),"N/A")</f>
        <v>16580</v>
      </c>
      <c r="B1" s="4" t="s">
        <v>291</v>
      </c>
      <c r="C1" s="4" t="s">
        <v>283</v>
      </c>
      <c r="D1" s="94">
        <v>9999.0</v>
      </c>
    </row>
    <row r="2">
      <c r="A2" s="40">
        <f t="array" ref="A2">IFNA(index(PlayerValues!A:A,match(IFNA(vlookup(B2,'Special Names'!A:B,2,FALSE),B2),PlayerValues!E:E,0)),"N/A")</f>
        <v>13589</v>
      </c>
      <c r="B2" s="4" t="s">
        <v>282</v>
      </c>
      <c r="C2" s="4" t="s">
        <v>283</v>
      </c>
      <c r="D2" s="94">
        <v>9982.0</v>
      </c>
    </row>
    <row r="3">
      <c r="A3" s="40">
        <f t="array" ref="A3">IFNA(index(PlayerValues!A:A,match(IFNA(vlookup(B3,'Special Names'!A:B,2,FALSE),B3),PlayerValues!E:E,0)),"N/A")</f>
        <v>16185</v>
      </c>
      <c r="B3" s="4" t="s">
        <v>290</v>
      </c>
      <c r="C3" s="4" t="s">
        <v>287</v>
      </c>
      <c r="D3" s="94">
        <v>9833.0</v>
      </c>
    </row>
    <row r="4">
      <c r="A4" s="40">
        <f t="array" ref="A4">IFNA(index(PlayerValues!A:A,match(IFNA(vlookup(B4,'Special Names'!A:B,2,FALSE),B4),PlayerValues!E:E,0)),"N/A")</f>
        <v>16161</v>
      </c>
      <c r="B4" s="4" t="s">
        <v>277</v>
      </c>
      <c r="C4" s="4" t="s">
        <v>278</v>
      </c>
      <c r="D4" s="94">
        <v>9775.0</v>
      </c>
    </row>
    <row r="5">
      <c r="A5" s="40">
        <f t="array" ref="A5">IFNA(index(PlayerValues!A:A,match(IFNA(vlookup(B5,'Special Names'!A:B,2,FALSE),B5),PlayerValues!E:E,0)),"N/A")</f>
        <v>15281</v>
      </c>
      <c r="B5" s="4" t="s">
        <v>286</v>
      </c>
      <c r="C5" s="4" t="s">
        <v>287</v>
      </c>
      <c r="D5" s="94">
        <v>9639.0</v>
      </c>
    </row>
    <row r="6">
      <c r="A6" s="40">
        <f t="array" ref="A6">IFNA(index(PlayerValues!A:A,match(IFNA(vlookup(B6,'Special Names'!A:B,2,FALSE),B6),PlayerValues!E:E,0)),"N/A")</f>
        <v>16211</v>
      </c>
      <c r="B6" s="4" t="s">
        <v>294</v>
      </c>
      <c r="C6" s="4" t="s">
        <v>287</v>
      </c>
      <c r="D6" s="94">
        <v>9591.0</v>
      </c>
    </row>
    <row r="7">
      <c r="A7" s="40">
        <f t="array" ref="A7">IFNA(index(PlayerValues!A:A,match(IFNA(vlookup(B7,'Special Names'!A:B,2,FALSE),B7),PlayerValues!E:E,0)),"N/A")</f>
        <v>16162</v>
      </c>
      <c r="B7" s="4" t="s">
        <v>281</v>
      </c>
      <c r="C7" s="4" t="s">
        <v>278</v>
      </c>
      <c r="D7" s="94">
        <v>9522.0</v>
      </c>
    </row>
    <row r="8">
      <c r="A8" s="40">
        <f t="array" ref="A8">IFNA(index(PlayerValues!A:A,match(IFNA(vlookup(B8,'Special Names'!A:B,2,FALSE),B8),PlayerValues!E:E,0)),"N/A")</f>
        <v>16615</v>
      </c>
      <c r="B8" s="4" t="s">
        <v>309</v>
      </c>
      <c r="C8" s="4" t="s">
        <v>287</v>
      </c>
      <c r="D8" s="94">
        <v>7809.0</v>
      </c>
    </row>
    <row r="9">
      <c r="A9" s="40">
        <f t="array" ref="A9">IFNA(index(PlayerValues!A:A,match(IFNA(vlookup(B9,'Special Names'!A:B,2,FALSE),B9),PlayerValues!E:E,0)),"N/A")</f>
        <v>15794</v>
      </c>
      <c r="B9" s="4" t="s">
        <v>313</v>
      </c>
      <c r="C9" s="4" t="s">
        <v>298</v>
      </c>
      <c r="D9" s="94">
        <v>8509.0</v>
      </c>
    </row>
    <row r="10">
      <c r="A10" s="40">
        <f t="array" ref="A10">IFNA(index(PlayerValues!A:A,match(IFNA(vlookup(B10,'Special Names'!A:B,2,FALSE),B10),PlayerValues!E:E,0)),"N/A")</f>
        <v>16581</v>
      </c>
      <c r="B10" s="4" t="s">
        <v>315</v>
      </c>
      <c r="C10" s="4" t="s">
        <v>283</v>
      </c>
      <c r="D10" s="94">
        <v>7638.0</v>
      </c>
    </row>
    <row r="11">
      <c r="A11" s="40">
        <f t="array" ref="A11">IFNA(index(PlayerValues!A:A,match(IFNA(vlookup(B11,'Special Names'!A:B,2,FALSE),B11),PlayerValues!E:E,0)),"N/A")</f>
        <v>16641</v>
      </c>
      <c r="B11" s="4" t="s">
        <v>297</v>
      </c>
      <c r="C11" s="4" t="s">
        <v>298</v>
      </c>
      <c r="D11" s="94">
        <v>8454.0</v>
      </c>
    </row>
    <row r="12">
      <c r="A12" s="40">
        <f t="array" ref="A12">IFNA(index(PlayerValues!A:A,match(IFNA(vlookup(B12,'Special Names'!A:B,2,FALSE),B12),PlayerValues!E:E,0)),"N/A")</f>
        <v>15287</v>
      </c>
      <c r="B12" s="4" t="s">
        <v>299</v>
      </c>
      <c r="C12" s="4" t="s">
        <v>287</v>
      </c>
      <c r="D12" s="94">
        <v>7596.0</v>
      </c>
    </row>
    <row r="13">
      <c r="A13" s="40">
        <f t="array" ref="A13">IFNA(index(PlayerValues!A:A,match(IFNA(vlookup(B13,'Special Names'!A:B,2,FALSE),B13),PlayerValues!E:E,0)),"N/A")</f>
        <v>14832</v>
      </c>
      <c r="B13" s="4" t="s">
        <v>319</v>
      </c>
      <c r="C13" s="4" t="s">
        <v>287</v>
      </c>
      <c r="D13" s="94">
        <v>7513.0</v>
      </c>
    </row>
    <row r="14">
      <c r="A14" s="40">
        <f t="array" ref="A14">IFNA(index(PlayerValues!A:A,match(IFNA(vlookup(B14,'Special Names'!A:B,2,FALSE),B14),PlayerValues!E:E,0)),"N/A")</f>
        <v>13593</v>
      </c>
      <c r="B14" s="4" t="s">
        <v>305</v>
      </c>
      <c r="C14" s="4" t="s">
        <v>283</v>
      </c>
      <c r="D14" s="94">
        <v>7468.0</v>
      </c>
    </row>
    <row r="15">
      <c r="A15" s="40">
        <f t="array" ref="A15">IFNA(index(PlayerValues!A:A,match(IFNA(vlookup(B15,'Special Names'!A:B,2,FALSE),B15),PlayerValues!E:E,0)),"N/A")</f>
        <v>14836</v>
      </c>
      <c r="B15" s="4" t="s">
        <v>306</v>
      </c>
      <c r="C15" s="4" t="s">
        <v>287</v>
      </c>
      <c r="D15" s="94">
        <v>7419.0</v>
      </c>
    </row>
    <row r="16">
      <c r="A16" s="40">
        <f t="array" ref="A16">IFNA(index(PlayerValues!A:A,match(IFNA(vlookup(B16,'Special Names'!A:B,2,FALSE),B16),PlayerValues!E:E,0)),"N/A")</f>
        <v>14777</v>
      </c>
      <c r="B16" s="4" t="s">
        <v>318</v>
      </c>
      <c r="C16" s="4" t="s">
        <v>283</v>
      </c>
      <c r="D16" s="94">
        <v>7390.0</v>
      </c>
    </row>
    <row r="17">
      <c r="A17" s="40">
        <f t="array" ref="A17">IFNA(index(PlayerValues!A:A,match(IFNA(vlookup(B17,'Special Names'!A:B,2,FALSE),B17),PlayerValues!E:E,0)),"N/A")</f>
        <v>16167</v>
      </c>
      <c r="B17" s="4" t="s">
        <v>323</v>
      </c>
      <c r="C17" s="4" t="s">
        <v>278</v>
      </c>
      <c r="D17" s="94">
        <v>7172.0</v>
      </c>
    </row>
    <row r="18">
      <c r="A18" s="40">
        <f t="array" ref="A18">IFNA(index(PlayerValues!A:A,match(IFNA(vlookup(B18,'Special Names'!A:B,2,FALSE),B18),PlayerValues!E:E,0)),"N/A")</f>
        <v>16579</v>
      </c>
      <c r="B18" s="4" t="s">
        <v>302</v>
      </c>
      <c r="C18" s="4" t="s">
        <v>283</v>
      </c>
      <c r="D18" s="94">
        <v>7074.0</v>
      </c>
    </row>
    <row r="19">
      <c r="A19" s="40">
        <f t="array" ref="A19">IFNA(index(PlayerValues!A:A,match(IFNA(vlookup(B19,'Special Names'!A:B,2,FALSE),B19),PlayerValues!E:E,0)),"N/A")</f>
        <v>15751</v>
      </c>
      <c r="B19" s="4" t="s">
        <v>328</v>
      </c>
      <c r="C19" s="4" t="s">
        <v>287</v>
      </c>
      <c r="D19" s="94">
        <v>7036.0</v>
      </c>
    </row>
    <row r="20">
      <c r="A20" s="40">
        <f t="array" ref="A20">IFNA(index(PlayerValues!A:A,match(IFNA(vlookup(B20,'Special Names'!A:B,2,FALSE),B20),PlayerValues!E:E,0)),"N/A")</f>
        <v>14779</v>
      </c>
      <c r="B20" s="4" t="s">
        <v>327</v>
      </c>
      <c r="C20" s="4" t="s">
        <v>283</v>
      </c>
      <c r="D20" s="94">
        <v>7013.0</v>
      </c>
    </row>
    <row r="21">
      <c r="A21" s="40">
        <f t="array" ref="A21">IFNA(index(PlayerValues!A:A,match(IFNA(vlookup(B21,'Special Names'!A:B,2,FALSE),B21),PlayerValues!E:E,0)),"N/A")</f>
        <v>17042</v>
      </c>
      <c r="B21" s="4" t="s">
        <v>314</v>
      </c>
      <c r="C21" s="4" t="s">
        <v>278</v>
      </c>
      <c r="D21" s="94">
        <v>6914.0</v>
      </c>
    </row>
    <row r="22">
      <c r="A22" s="40">
        <f t="array" ref="A22">IFNA(index(PlayerValues!A:A,match(IFNA(vlookup(B22,'Special Names'!A:B,2,FALSE),B22),PlayerValues!E:E,0)),"N/A")</f>
        <v>13116</v>
      </c>
      <c r="B22" s="4" t="s">
        <v>345</v>
      </c>
      <c r="C22" s="4" t="s">
        <v>283</v>
      </c>
      <c r="D22" s="94">
        <v>6727.0</v>
      </c>
    </row>
    <row r="23">
      <c r="A23" s="40">
        <f t="array" ref="A23">IFNA(index(PlayerValues!A:A,match(IFNA(vlookup(B23,'Special Names'!A:B,2,FALSE),B23),PlayerValues!E:E,0)),"N/A")</f>
        <v>14802</v>
      </c>
      <c r="B23" s="4" t="s">
        <v>332</v>
      </c>
      <c r="C23" s="4" t="s">
        <v>278</v>
      </c>
      <c r="D23" s="94">
        <v>6679.0</v>
      </c>
    </row>
    <row r="24">
      <c r="A24" s="40">
        <f t="array" ref="A24">IFNA(index(PlayerValues!A:A,match(IFNA(vlookup(B24,'Special Names'!A:B,2,FALSE),B24),PlayerValues!E:E,0)),"N/A")</f>
        <v>14783</v>
      </c>
      <c r="B24" s="4" t="s">
        <v>342</v>
      </c>
      <c r="C24" s="4" t="s">
        <v>283</v>
      </c>
      <c r="D24" s="94">
        <v>6557.0</v>
      </c>
    </row>
    <row r="25">
      <c r="A25" s="40">
        <f t="array" ref="A25">IFNA(index(PlayerValues!A:A,match(IFNA(vlookup(B25,'Special Names'!A:B,2,FALSE),B25),PlayerValues!E:E,0)),"N/A")</f>
        <v>17044</v>
      </c>
      <c r="B25" s="4" t="s">
        <v>322</v>
      </c>
      <c r="C25" s="4" t="s">
        <v>278</v>
      </c>
      <c r="D25" s="94">
        <v>6545.0</v>
      </c>
    </row>
    <row r="26">
      <c r="A26" s="40">
        <f t="array" ref="A26">IFNA(index(PlayerValues!A:A,match(IFNA(vlookup(B26,'Special Names'!A:B,2,FALSE),B26),PlayerValues!E:E,0)),"N/A")</f>
        <v>17071</v>
      </c>
      <c r="B26" s="4" t="s">
        <v>341</v>
      </c>
      <c r="C26" s="4" t="s">
        <v>287</v>
      </c>
      <c r="D26" s="94">
        <v>6525.0</v>
      </c>
    </row>
    <row r="27">
      <c r="A27" s="40" t="str">
        <f t="array" ref="A27">IFNA(index(PlayerValues!A:A,match(IFNA(vlookup(B27,'Special Names'!A:B,2,FALSE),B27),PlayerValues!E:E,0)),"N/A")</f>
        <v>N/A</v>
      </c>
      <c r="B27" s="4" t="s">
        <v>92</v>
      </c>
      <c r="C27" s="4" t="s">
        <v>325</v>
      </c>
      <c r="D27" s="94">
        <v>6436.0</v>
      </c>
    </row>
    <row r="28">
      <c r="A28" s="40">
        <f t="array" ref="A28">IFNA(index(PlayerValues!A:A,match(IFNA(vlookup(B28,'Special Names'!A:B,2,FALSE),B28),PlayerValues!E:E,0)),"N/A")</f>
        <v>17043</v>
      </c>
      <c r="B28" s="4" t="s">
        <v>397</v>
      </c>
      <c r="C28" s="4" t="s">
        <v>278</v>
      </c>
      <c r="D28" s="94">
        <v>6392.0</v>
      </c>
    </row>
    <row r="29">
      <c r="A29" s="40">
        <f t="array" ref="A29">IFNA(index(PlayerValues!A:A,match(IFNA(vlookup(B29,'Special Names'!A:B,2,FALSE),B29),PlayerValues!E:E,0)),"N/A")</f>
        <v>17032</v>
      </c>
      <c r="B29" s="4" t="s">
        <v>348</v>
      </c>
      <c r="C29" s="4" t="s">
        <v>283</v>
      </c>
      <c r="D29" s="94">
        <v>6391.0</v>
      </c>
    </row>
    <row r="30">
      <c r="A30" s="40">
        <f t="array" ref="A30">IFNA(index(PlayerValues!A:A,match(IFNA(vlookup(B30,'Special Names'!A:B,2,FALSE),B30),PlayerValues!E:E,0)),"N/A")</f>
        <v>16194</v>
      </c>
      <c r="B30" s="4" t="s">
        <v>398</v>
      </c>
      <c r="C30" s="4" t="s">
        <v>287</v>
      </c>
      <c r="D30" s="94">
        <v>6346.0</v>
      </c>
    </row>
    <row r="31">
      <c r="A31" s="40">
        <f t="array" ref="A31">IFNA(index(PlayerValues!A:A,match(IFNA(vlookup(B31,'Special Names'!A:B,2,FALSE),B31),PlayerValues!E:E,0)),"N/A")</f>
        <v>16582</v>
      </c>
      <c r="B31" s="4" t="s">
        <v>343</v>
      </c>
      <c r="C31" s="4" t="s">
        <v>283</v>
      </c>
      <c r="D31" s="94">
        <v>6320.0</v>
      </c>
    </row>
    <row r="32">
      <c r="A32" s="40">
        <f t="array" ref="A32">IFNA(index(PlayerValues!A:A,match(IFNA(vlookup(B32,'Special Names'!A:B,2,FALSE),B32),PlayerValues!E:E,0)),"N/A")</f>
        <v>15290</v>
      </c>
      <c r="B32" s="4" t="s">
        <v>355</v>
      </c>
      <c r="C32" s="4" t="s">
        <v>287</v>
      </c>
      <c r="D32" s="94">
        <v>6202.0</v>
      </c>
    </row>
    <row r="33">
      <c r="A33" s="40">
        <f t="array" ref="A33">IFNA(index(PlayerValues!A:A,match(IFNA(vlookup(B33,'Special Names'!A:B,2,FALSE),B33),PlayerValues!E:E,0)),"N/A")</f>
        <v>15762</v>
      </c>
      <c r="B33" s="4" t="s">
        <v>337</v>
      </c>
      <c r="C33" s="4" t="s">
        <v>287</v>
      </c>
      <c r="D33" s="94">
        <v>6108.0</v>
      </c>
    </row>
    <row r="34">
      <c r="A34" s="40">
        <f t="array" ref="A34">IFNA(index(PlayerValues!A:A,match(IFNA(vlookup(B34,'Special Names'!A:B,2,FALSE),B34),PlayerValues!E:E,0)),"N/A")</f>
        <v>17081</v>
      </c>
      <c r="B34" s="4" t="s">
        <v>340</v>
      </c>
      <c r="C34" s="4" t="s">
        <v>287</v>
      </c>
      <c r="D34" s="94">
        <v>6099.0</v>
      </c>
    </row>
    <row r="35">
      <c r="A35" s="40">
        <f t="array" ref="A35">IFNA(index(PlayerValues!A:A,match(IFNA(vlookup(B35,'Special Names'!A:B,2,FALSE),B35),PlayerValues!E:E,0)),"N/A")</f>
        <v>15715</v>
      </c>
      <c r="B35" s="4" t="s">
        <v>331</v>
      </c>
      <c r="C35" s="4" t="s">
        <v>278</v>
      </c>
      <c r="D35" s="94">
        <v>6048.0</v>
      </c>
    </row>
    <row r="36">
      <c r="A36" s="40" t="str">
        <f t="array" ref="A36">IFNA(index(PlayerValues!A:A,match(IFNA(vlookup(B36,'Special Names'!A:B,2,FALSE),B36),PlayerValues!E:E,0)),"N/A")</f>
        <v>N/A</v>
      </c>
      <c r="B36" s="4" t="s">
        <v>79</v>
      </c>
      <c r="C36" s="4" t="s">
        <v>325</v>
      </c>
      <c r="D36" s="94">
        <v>5930.0</v>
      </c>
    </row>
    <row r="37">
      <c r="A37" s="40">
        <f t="array" ref="A37">IFNA(index(PlayerValues!A:A,match(IFNA(vlookup(B37,'Special Names'!A:B,2,FALSE),B37),PlayerValues!E:E,0)),"N/A")</f>
        <v>15698</v>
      </c>
      <c r="B37" s="4" t="s">
        <v>358</v>
      </c>
      <c r="C37" s="4" t="s">
        <v>283</v>
      </c>
      <c r="D37" s="94">
        <v>5908.0</v>
      </c>
    </row>
    <row r="38">
      <c r="A38" s="40">
        <f t="array" ref="A38">IFNA(index(PlayerValues!A:A,match(IFNA(vlookup(B38,'Special Names'!A:B,2,FALSE),B38),PlayerValues!E:E,0)),"N/A")</f>
        <v>17102</v>
      </c>
      <c r="B38" s="4" t="s">
        <v>344</v>
      </c>
      <c r="C38" s="4" t="s">
        <v>298</v>
      </c>
      <c r="D38" s="94">
        <v>6530.0</v>
      </c>
    </row>
    <row r="39">
      <c r="A39" s="40">
        <f t="array" ref="A39">IFNA(index(PlayerValues!A:A,match(IFNA(vlookup(B39,'Special Names'!A:B,2,FALSE),B39),PlayerValues!E:E,0)),"N/A")</f>
        <v>15237</v>
      </c>
      <c r="B39" s="4" t="s">
        <v>336</v>
      </c>
      <c r="C39" s="4" t="s">
        <v>283</v>
      </c>
      <c r="D39" s="94">
        <v>5783.0</v>
      </c>
    </row>
    <row r="40">
      <c r="A40" s="40">
        <f t="array" ref="A40">IFNA(index(PlayerValues!A:A,match(IFNA(vlookup(B40,'Special Names'!A:B,2,FALSE),B40),PlayerValues!E:E,0)),"N/A")</f>
        <v>14782</v>
      </c>
      <c r="B40" s="4" t="s">
        <v>385</v>
      </c>
      <c r="C40" s="4" t="s">
        <v>283</v>
      </c>
      <c r="D40" s="94">
        <v>5679.0</v>
      </c>
    </row>
    <row r="41">
      <c r="A41" s="40">
        <f t="array" ref="A41">IFNA(index(PlayerValues!A:A,match(IFNA(vlookup(B41,'Special Names'!A:B,2,FALSE),B41),PlayerValues!E:E,0)),"N/A")</f>
        <v>16598</v>
      </c>
      <c r="B41" s="4" t="s">
        <v>408</v>
      </c>
      <c r="C41" s="4" t="s">
        <v>278</v>
      </c>
      <c r="D41" s="94">
        <v>5667.0</v>
      </c>
    </row>
    <row r="42">
      <c r="A42" s="40">
        <f t="array" ref="A42">IFNA(index(PlayerValues!A:A,match(IFNA(vlookup(B42,'Special Names'!A:B,2,FALSE),B42),PlayerValues!E:E,0)),"N/A")</f>
        <v>15753</v>
      </c>
      <c r="B42" s="4" t="s">
        <v>359</v>
      </c>
      <c r="C42" s="4" t="s">
        <v>287</v>
      </c>
      <c r="D42" s="94">
        <v>5662.0</v>
      </c>
    </row>
    <row r="43">
      <c r="A43" s="40">
        <f t="array" ref="A43">IFNA(index(PlayerValues!A:A,match(IFNA(vlookup(B43,'Special Names'!A:B,2,FALSE),B43),PlayerValues!E:E,0)),"N/A")</f>
        <v>17051</v>
      </c>
      <c r="B43" s="4" t="s">
        <v>386</v>
      </c>
      <c r="C43" s="4" t="s">
        <v>278</v>
      </c>
      <c r="D43" s="94">
        <v>5614.0</v>
      </c>
    </row>
    <row r="44">
      <c r="A44" s="40">
        <f t="array" ref="A44">IFNA(index(PlayerValues!A:A,match(IFNA(vlookup(B44,'Special Names'!A:B,2,FALSE),B44),PlayerValues!E:E,0)),"N/A")</f>
        <v>13130</v>
      </c>
      <c r="B44" s="4" t="s">
        <v>374</v>
      </c>
      <c r="C44" s="4" t="s">
        <v>278</v>
      </c>
      <c r="D44" s="94">
        <v>5503.0</v>
      </c>
    </row>
    <row r="45">
      <c r="A45" s="40">
        <f t="array" ref="A45">IFNA(index(PlayerValues!A:A,match(IFNA(vlookup(B45,'Special Names'!A:B,2,FALSE),B45),PlayerValues!E:E,0)),"N/A")</f>
        <v>15754</v>
      </c>
      <c r="B45" s="4" t="s">
        <v>354</v>
      </c>
      <c r="C45" s="4" t="s">
        <v>287</v>
      </c>
      <c r="D45" s="94">
        <v>5463.0</v>
      </c>
    </row>
    <row r="46">
      <c r="A46" s="40">
        <f t="array" ref="A46">IFNA(index(PlayerValues!A:A,match(IFNA(vlookup(B46,'Special Names'!A:B,2,FALSE),B46),PlayerValues!E:E,0)),"N/A")</f>
        <v>16150</v>
      </c>
      <c r="B46" s="4" t="s">
        <v>414</v>
      </c>
      <c r="C46" s="4" t="s">
        <v>283</v>
      </c>
      <c r="D46" s="94">
        <v>5414.0</v>
      </c>
    </row>
    <row r="47">
      <c r="A47" s="40">
        <f t="array" ref="A47">IFNA(index(PlayerValues!A:A,match(IFNA(vlookup(B47,'Special Names'!A:B,2,FALSE),B47),PlayerValues!E:E,0)),"N/A")</f>
        <v>16616</v>
      </c>
      <c r="B47" s="4" t="s">
        <v>389</v>
      </c>
      <c r="C47" s="4" t="s">
        <v>287</v>
      </c>
      <c r="D47" s="94">
        <v>5295.0</v>
      </c>
    </row>
    <row r="48">
      <c r="A48" s="40" t="str">
        <f t="array" ref="A48">IFNA(index(PlayerValues!A:A,match(IFNA(vlookup(B48,'Special Names'!A:B,2,FALSE),B48),PlayerValues!E:E,0)),"N/A")</f>
        <v>N/A</v>
      </c>
      <c r="B48" s="4" t="s">
        <v>93</v>
      </c>
      <c r="C48" s="4" t="s">
        <v>325</v>
      </c>
      <c r="D48" s="94">
        <v>5262.0</v>
      </c>
    </row>
    <row r="49">
      <c r="A49" s="40">
        <f t="array" ref="A49">IFNA(index(PlayerValues!A:A,match(IFNA(vlookup(B49,'Special Names'!A:B,2,FALSE),B49),PlayerValues!E:E,0)),"N/A")</f>
        <v>16627</v>
      </c>
      <c r="B49" s="4" t="s">
        <v>351</v>
      </c>
      <c r="C49" s="4" t="s">
        <v>287</v>
      </c>
      <c r="D49" s="94">
        <v>5256.0</v>
      </c>
    </row>
    <row r="50">
      <c r="A50" s="40">
        <f t="array" ref="A50">IFNA(index(PlayerValues!A:A,match(IFNA(vlookup(B50,'Special Names'!A:B,2,FALSE),B50),PlayerValues!E:E,0)),"N/A")</f>
        <v>16614</v>
      </c>
      <c r="B50" s="4" t="s">
        <v>403</v>
      </c>
      <c r="C50" s="4" t="s">
        <v>287</v>
      </c>
      <c r="D50" s="94">
        <v>5226.0</v>
      </c>
    </row>
    <row r="51">
      <c r="A51" s="40">
        <f t="array" ref="A51">IFNA(index(PlayerValues!A:A,match(IFNA(vlookup(B51,'Special Names'!A:B,2,FALSE),B51),PlayerValues!E:E,0)),"N/A")</f>
        <v>15708</v>
      </c>
      <c r="B51" s="4" t="s">
        <v>382</v>
      </c>
      <c r="C51" s="4" t="s">
        <v>278</v>
      </c>
      <c r="D51" s="94">
        <v>5178.0</v>
      </c>
    </row>
    <row r="52">
      <c r="A52" s="40">
        <f t="array" ref="A52">IFNA(index(PlayerValues!A:A,match(IFNA(vlookup(B52,'Special Names'!A:B,2,FALSE),B52),PlayerValues!E:E,0)),"N/A")</f>
        <v>12620</v>
      </c>
      <c r="B52" s="4" t="s">
        <v>394</v>
      </c>
      <c r="C52" s="4" t="s">
        <v>283</v>
      </c>
      <c r="D52" s="94">
        <v>5157.0</v>
      </c>
    </row>
    <row r="53">
      <c r="A53" s="40">
        <f t="array" ref="A53">IFNA(index(PlayerValues!A:A,match(IFNA(vlookup(B53,'Special Names'!A:B,2,FALSE),B53),PlayerValues!E:E,0)),"N/A")</f>
        <v>16618</v>
      </c>
      <c r="B53" s="4" t="s">
        <v>411</v>
      </c>
      <c r="C53" s="4" t="s">
        <v>287</v>
      </c>
      <c r="D53" s="94">
        <v>5112.0</v>
      </c>
    </row>
    <row r="54">
      <c r="A54" s="40">
        <f t="array" ref="A54">IFNA(index(PlayerValues!A:A,match(IFNA(vlookup(B54,'Special Names'!A:B,2,FALSE),B54),PlayerValues!E:E,0)),"N/A")</f>
        <v>14835</v>
      </c>
      <c r="B54" s="4" t="s">
        <v>392</v>
      </c>
      <c r="C54" s="4" t="s">
        <v>287</v>
      </c>
      <c r="D54" s="94">
        <v>4958.0</v>
      </c>
    </row>
    <row r="55">
      <c r="A55" s="40" t="str">
        <f t="array" ref="A55">IFNA(index(PlayerValues!A:A,match(IFNA(vlookup(B55,'Special Names'!A:B,2,FALSE),B55),PlayerValues!E:E,0)),"N/A")</f>
        <v>N/A</v>
      </c>
      <c r="B55" s="4" t="s">
        <v>104</v>
      </c>
      <c r="C55" s="4" t="s">
        <v>325</v>
      </c>
      <c r="D55" s="94">
        <v>4881.0</v>
      </c>
    </row>
    <row r="56">
      <c r="A56" s="40">
        <f t="array" ref="A56">IFNA(index(PlayerValues!A:A,match(IFNA(vlookup(B56,'Special Names'!A:B,2,FALSE),B56),PlayerValues!E:E,0)),"N/A")</f>
        <v>13590</v>
      </c>
      <c r="B56" s="4" t="s">
        <v>409</v>
      </c>
      <c r="C56" s="4" t="s">
        <v>283</v>
      </c>
      <c r="D56" s="94">
        <v>4880.0</v>
      </c>
    </row>
    <row r="57">
      <c r="A57" s="40">
        <f t="array" ref="A57">IFNA(index(PlayerValues!A:A,match(IFNA(vlookup(B57,'Special Names'!A:B,2,FALSE),B57),PlayerValues!E:E,0)),"N/A")</f>
        <v>16222</v>
      </c>
      <c r="B57" s="4" t="s">
        <v>393</v>
      </c>
      <c r="C57" s="4" t="s">
        <v>298</v>
      </c>
      <c r="D57" s="94">
        <v>5421.0</v>
      </c>
    </row>
    <row r="58">
      <c r="A58" s="40">
        <f t="array" ref="A58">IFNA(index(PlayerValues!A:A,match(IFNA(vlookup(B58,'Special Names'!A:B,2,FALSE),B58),PlayerValues!E:E,0)),"N/A")</f>
        <v>13604</v>
      </c>
      <c r="B58" s="4" t="s">
        <v>378</v>
      </c>
      <c r="C58" s="4" t="s">
        <v>278</v>
      </c>
      <c r="D58" s="94">
        <v>4849.0</v>
      </c>
    </row>
    <row r="59">
      <c r="A59" s="40">
        <f t="array" ref="A59">IFNA(index(PlayerValues!A:A,match(IFNA(vlookup(B59,'Special Names'!A:B,2,FALSE),B59),PlayerValues!E:E,0)),"N/A")</f>
        <v>15710</v>
      </c>
      <c r="B59" s="4" t="s">
        <v>395</v>
      </c>
      <c r="C59" s="4" t="s">
        <v>278</v>
      </c>
      <c r="D59" s="94">
        <v>4847.0</v>
      </c>
    </row>
    <row r="60">
      <c r="A60" s="40">
        <f t="array" ref="A60">IFNA(index(PlayerValues!A:A,match(IFNA(vlookup(B60,'Special Names'!A:B,2,FALSE),B60),PlayerValues!E:E,0)),"N/A")</f>
        <v>17104</v>
      </c>
      <c r="B60" s="4" t="s">
        <v>333</v>
      </c>
      <c r="C60" s="4" t="s">
        <v>298</v>
      </c>
      <c r="D60" s="94">
        <v>5403.0</v>
      </c>
    </row>
    <row r="61">
      <c r="A61" s="40" t="str">
        <f t="array" ref="A61">IFNA(index(PlayerValues!A:A,match(IFNA(vlookup(B61,'Special Names'!A:B,2,FALSE),B61),PlayerValues!E:E,0)),"N/A")</f>
        <v>N/A</v>
      </c>
      <c r="B61" s="4" t="s">
        <v>80</v>
      </c>
      <c r="C61" s="4" t="s">
        <v>325</v>
      </c>
      <c r="D61" s="94">
        <v>4831.0</v>
      </c>
    </row>
    <row r="62">
      <c r="A62" s="40">
        <f t="array" ref="A62">IFNA(index(PlayerValues!A:A,match(IFNA(vlookup(B62,'Special Names'!A:B,2,FALSE),B62),PlayerValues!E:E,0)),"N/A")</f>
        <v>17068</v>
      </c>
      <c r="B62" s="4" t="s">
        <v>450</v>
      </c>
      <c r="C62" s="4" t="s">
        <v>278</v>
      </c>
      <c r="D62" s="94">
        <v>4828.0</v>
      </c>
    </row>
    <row r="63">
      <c r="A63" s="40">
        <f t="array" ref="A63">IFNA(index(PlayerValues!A:A,match(IFNA(vlookup(B63,'Special Names'!A:B,2,FALSE),B63),PlayerValues!E:E,0)),"N/A")</f>
        <v>17103</v>
      </c>
      <c r="B63" s="4" t="s">
        <v>405</v>
      </c>
      <c r="C63" s="4" t="s">
        <v>298</v>
      </c>
      <c r="D63" s="94">
        <v>5379.0</v>
      </c>
    </row>
    <row r="64">
      <c r="A64" s="40">
        <f t="array" ref="A64">IFNA(index(PlayerValues!A:A,match(IFNA(vlookup(B64,'Special Names'!A:B,2,FALSE),B64),PlayerValues!E:E,0)),"N/A")</f>
        <v>17030</v>
      </c>
      <c r="B64" s="4" t="s">
        <v>406</v>
      </c>
      <c r="C64" s="4" t="s">
        <v>283</v>
      </c>
      <c r="D64" s="94">
        <v>4815.0</v>
      </c>
    </row>
    <row r="65">
      <c r="A65" s="40">
        <f t="array" ref="A65">IFNA(index(PlayerValues!A:A,match(IFNA(vlookup(B65,'Special Names'!A:B,2,FALSE),B65),PlayerValues!E:E,0)),"N/A")</f>
        <v>16181</v>
      </c>
      <c r="B65" s="4" t="s">
        <v>350</v>
      </c>
      <c r="C65" s="4" t="s">
        <v>278</v>
      </c>
      <c r="D65" s="94">
        <v>4811.0</v>
      </c>
    </row>
    <row r="66">
      <c r="A66" s="40">
        <f t="array" ref="A66">IFNA(index(PlayerValues!A:A,match(IFNA(vlookup(B66,'Special Names'!A:B,2,FALSE),B66),PlayerValues!E:E,0)),"N/A")</f>
        <v>17045</v>
      </c>
      <c r="B66" s="4" t="s">
        <v>407</v>
      </c>
      <c r="C66" s="4" t="s">
        <v>278</v>
      </c>
      <c r="D66" s="94">
        <v>4778.0</v>
      </c>
    </row>
    <row r="67">
      <c r="A67" s="40">
        <f t="array" ref="A67">IFNA(index(PlayerValues!A:A,match(IFNA(vlookup(B67,'Special Names'!A:B,2,FALSE),B67),PlayerValues!E:E,0)),"N/A")</f>
        <v>15756</v>
      </c>
      <c r="B67" s="4" t="s">
        <v>399</v>
      </c>
      <c r="C67" s="4" t="s">
        <v>287</v>
      </c>
      <c r="D67" s="94">
        <v>4765.0</v>
      </c>
    </row>
    <row r="68">
      <c r="A68" s="40">
        <f t="array" ref="A68">IFNA(index(PlayerValues!A:A,match(IFNA(vlookup(B68,'Special Names'!A:B,2,FALSE),B68),PlayerValues!E:E,0)),"N/A")</f>
        <v>14104</v>
      </c>
      <c r="B68" s="4" t="s">
        <v>379</v>
      </c>
      <c r="C68" s="4" t="s">
        <v>287</v>
      </c>
      <c r="D68" s="94">
        <v>4750.0</v>
      </c>
    </row>
    <row r="69">
      <c r="A69" s="40">
        <f t="array" ref="A69">IFNA(index(PlayerValues!A:A,match(IFNA(vlookup(B69,'Special Names'!A:B,2,FALSE),B69),PlayerValues!E:E,0)),"N/A")</f>
        <v>17074</v>
      </c>
      <c r="B69" s="4" t="s">
        <v>475</v>
      </c>
      <c r="C69" s="4" t="s">
        <v>287</v>
      </c>
      <c r="D69" s="94">
        <v>4697.0</v>
      </c>
    </row>
    <row r="70">
      <c r="A70" s="40">
        <f t="array" ref="A70">IFNA(index(PlayerValues!A:A,match(IFNA(vlookup(B70,'Special Names'!A:B,2,FALSE),B70),PlayerValues!E:E,0)),"N/A")</f>
        <v>14073</v>
      </c>
      <c r="B70" s="4" t="s">
        <v>464</v>
      </c>
      <c r="C70" s="4" t="s">
        <v>278</v>
      </c>
      <c r="D70" s="94">
        <v>4659.0</v>
      </c>
    </row>
    <row r="71">
      <c r="A71" s="40" t="str">
        <f t="array" ref="A71">IFNA(index(PlayerValues!A:A,match(IFNA(vlookup(B71,'Special Names'!A:B,2,FALSE),B71),PlayerValues!E:E,0)),"N/A")</f>
        <v>N/A</v>
      </c>
      <c r="B71" s="4" t="s">
        <v>94</v>
      </c>
      <c r="C71" s="4" t="s">
        <v>325</v>
      </c>
      <c r="D71" s="94">
        <v>4656.0</v>
      </c>
    </row>
    <row r="72">
      <c r="A72" s="40">
        <f t="array" ref="A72">IFNA(index(PlayerValues!A:A,match(IFNA(vlookup(B72,'Special Names'!A:B,2,FALSE),B72),PlayerValues!E:E,0)),"N/A")</f>
        <v>17070</v>
      </c>
      <c r="B72" s="4" t="s">
        <v>370</v>
      </c>
      <c r="C72" s="4" t="s">
        <v>287</v>
      </c>
      <c r="D72" s="94">
        <v>4652.0</v>
      </c>
    </row>
    <row r="73">
      <c r="A73" s="40">
        <f t="array" ref="A73">IFNA(index(PlayerValues!A:A,match(IFNA(vlookup(B73,'Special Names'!A:B,2,FALSE),B73),PlayerValues!E:E,0)),"N/A")</f>
        <v>13592</v>
      </c>
      <c r="B73" s="4" t="s">
        <v>418</v>
      </c>
      <c r="C73" s="4" t="s">
        <v>283</v>
      </c>
      <c r="D73" s="94">
        <v>4625.0</v>
      </c>
    </row>
    <row r="74">
      <c r="A74" s="40">
        <f t="array" ref="A74">IFNA(index(PlayerValues!A:A,match(IFNA(vlookup(B74,'Special Names'!A:B,2,FALSE),B74),PlayerValues!E:E,0)),"N/A")</f>
        <v>15282</v>
      </c>
      <c r="B74" s="4" t="s">
        <v>364</v>
      </c>
      <c r="C74" s="4" t="s">
        <v>287</v>
      </c>
      <c r="D74" s="94">
        <v>4612.0</v>
      </c>
    </row>
    <row r="75">
      <c r="A75" s="40">
        <f t="array" ref="A75">IFNA(index(PlayerValues!A:A,match(IFNA(vlookup(B75,'Special Names'!A:B,2,FALSE),B75),PlayerValues!E:E,0)),"N/A")</f>
        <v>15284</v>
      </c>
      <c r="B75" s="4" t="s">
        <v>390</v>
      </c>
      <c r="C75" s="4" t="s">
        <v>287</v>
      </c>
      <c r="D75" s="94">
        <v>4597.0</v>
      </c>
    </row>
    <row r="76">
      <c r="A76" s="40">
        <f t="array" ref="A76">IFNA(index(PlayerValues!A:A,match(IFNA(vlookup(B76,'Special Names'!A:B,2,FALSE),B76),PlayerValues!E:E,0)),"N/A")</f>
        <v>12611</v>
      </c>
      <c r="B76" s="4" t="s">
        <v>410</v>
      </c>
      <c r="C76" s="4" t="s">
        <v>283</v>
      </c>
      <c r="D76" s="94">
        <v>4574.0</v>
      </c>
    </row>
    <row r="77">
      <c r="A77" s="40">
        <f t="array" ref="A77">IFNA(index(PlayerValues!A:A,match(IFNA(vlookup(B77,'Special Names'!A:B,2,FALSE),B77),PlayerValues!E:E,0)),"N/A")</f>
        <v>16214</v>
      </c>
      <c r="B77" s="4" t="s">
        <v>413</v>
      </c>
      <c r="C77" s="4" t="s">
        <v>298</v>
      </c>
      <c r="D77" s="94">
        <v>5059.0</v>
      </c>
    </row>
    <row r="78">
      <c r="A78" s="40" t="str">
        <f t="array" ref="A78">IFNA(index(PlayerValues!A:A,match(IFNA(vlookup(B78,'Special Names'!A:B,2,FALSE),B78),PlayerValues!E:E,0)),"N/A")</f>
        <v>N/A</v>
      </c>
      <c r="B78" s="4" t="s">
        <v>81</v>
      </c>
      <c r="C78" s="4" t="s">
        <v>325</v>
      </c>
      <c r="D78" s="94">
        <v>4494.0</v>
      </c>
    </row>
    <row r="79">
      <c r="A79" s="40">
        <f t="array" ref="A79">IFNA(index(PlayerValues!A:A,match(IFNA(vlookup(B79,'Special Names'!A:B,2,FALSE),B79),PlayerValues!E:E,0)),"N/A")</f>
        <v>16148</v>
      </c>
      <c r="B79" s="4" t="s">
        <v>426</v>
      </c>
      <c r="C79" s="4" t="s">
        <v>283</v>
      </c>
      <c r="D79" s="94">
        <v>4409.0</v>
      </c>
    </row>
    <row r="80">
      <c r="A80" s="40" t="str">
        <f t="array" ref="A80">IFNA(index(PlayerValues!A:A,match(IFNA(vlookup(B80,'Special Names'!A:B,2,FALSE),B80),PlayerValues!E:E,0)),"N/A")</f>
        <v>N/A</v>
      </c>
      <c r="B80" s="4" t="s">
        <v>105</v>
      </c>
      <c r="C80" s="4" t="s">
        <v>325</v>
      </c>
      <c r="D80" s="94">
        <v>4399.0</v>
      </c>
    </row>
    <row r="81">
      <c r="A81" s="40">
        <f t="array" ref="A81">IFNA(index(PlayerValues!A:A,match(IFNA(vlookup(B81,'Special Names'!A:B,2,FALSE),B81),PlayerValues!E:E,0)),"N/A")</f>
        <v>15253</v>
      </c>
      <c r="B81" s="4" t="s">
        <v>415</v>
      </c>
      <c r="C81" s="4" t="s">
        <v>278</v>
      </c>
      <c r="D81" s="94">
        <v>4396.0</v>
      </c>
    </row>
    <row r="82">
      <c r="A82" s="40">
        <f t="array" ref="A82">IFNA(index(PlayerValues!A:A,match(IFNA(vlookup(B82,'Special Names'!A:B,2,FALSE),B82),PlayerValues!E:E,0)),"N/A")</f>
        <v>16190</v>
      </c>
      <c r="B82" s="4" t="s">
        <v>371</v>
      </c>
      <c r="C82" s="4" t="s">
        <v>287</v>
      </c>
      <c r="D82" s="94">
        <v>4373.0</v>
      </c>
    </row>
    <row r="83">
      <c r="A83" s="40">
        <f t="array" ref="A83">IFNA(index(PlayerValues!A:A,match(IFNA(vlookup(B83,'Special Names'!A:B,2,FALSE),B83),PlayerValues!E:E,0)),"N/A")</f>
        <v>15256</v>
      </c>
      <c r="B83" s="4" t="s">
        <v>401</v>
      </c>
      <c r="C83" s="4" t="s">
        <v>278</v>
      </c>
      <c r="D83" s="94">
        <v>4331.0</v>
      </c>
    </row>
    <row r="84">
      <c r="A84" s="40">
        <f t="array" ref="A84">IFNA(index(PlayerValues!A:A,match(IFNA(vlookup(B84,'Special Names'!A:B,2,FALSE),B84),PlayerValues!E:E,0)),"N/A")</f>
        <v>16186</v>
      </c>
      <c r="B84" s="4" t="s">
        <v>425</v>
      </c>
      <c r="C84" s="4" t="s">
        <v>287</v>
      </c>
      <c r="D84" s="94">
        <v>4149.0</v>
      </c>
    </row>
    <row r="85">
      <c r="A85" s="40">
        <f t="array" ref="A85">IFNA(index(PlayerValues!A:A,match(IFNA(vlookup(B85,'Special Names'!A:B,2,FALSE),B85),PlayerValues!E:E,0)),"N/A")</f>
        <v>15711</v>
      </c>
      <c r="B85" s="4" t="s">
        <v>349</v>
      </c>
      <c r="C85" s="4" t="s">
        <v>278</v>
      </c>
      <c r="D85" s="94">
        <v>4135.0</v>
      </c>
    </row>
    <row r="86">
      <c r="A86" s="40">
        <f t="array" ref="A86">IFNA(index(PlayerValues!A:A,match(IFNA(vlookup(B86,'Special Names'!A:B,2,FALSE),B86),PlayerValues!E:E,0)),"N/A")</f>
        <v>17099</v>
      </c>
      <c r="B86" s="4" t="s">
        <v>474</v>
      </c>
      <c r="C86" s="4" t="s">
        <v>298</v>
      </c>
      <c r="D86" s="94">
        <v>4570.0</v>
      </c>
    </row>
    <row r="87">
      <c r="A87" s="40">
        <f t="array" ref="A87">IFNA(index(PlayerValues!A:A,match(IFNA(vlookup(B87,'Special Names'!A:B,2,FALSE),B87),PlayerValues!E:E,0)),"N/A")</f>
        <v>15329</v>
      </c>
      <c r="B87" s="4" t="s">
        <v>416</v>
      </c>
      <c r="C87" s="4" t="s">
        <v>298</v>
      </c>
      <c r="D87" s="94">
        <v>4567.0</v>
      </c>
    </row>
    <row r="88">
      <c r="A88" s="40">
        <f t="array" ref="A88">IFNA(index(PlayerValues!A:A,match(IFNA(vlookup(B88,'Special Names'!A:B,2,FALSE),B88),PlayerValues!E:E,0)),"N/A")</f>
        <v>13299</v>
      </c>
      <c r="B88" s="4" t="s">
        <v>448</v>
      </c>
      <c r="C88" s="4" t="s">
        <v>298</v>
      </c>
      <c r="D88" s="94">
        <v>4549.0</v>
      </c>
    </row>
    <row r="89">
      <c r="A89" s="40" t="str">
        <f t="array" ref="A89">IFNA(index(PlayerValues!A:A,match(IFNA(vlookup(B89,'Special Names'!A:B,2,FALSE),B89),PlayerValues!E:E,0)),"N/A")</f>
        <v>N/A</v>
      </c>
      <c r="B89" s="4" t="s">
        <v>107</v>
      </c>
      <c r="C89" s="4" t="s">
        <v>325</v>
      </c>
      <c r="D89" s="94">
        <v>4049.0</v>
      </c>
    </row>
    <row r="90">
      <c r="A90" s="40">
        <f t="array" ref="A90">IFNA(index(PlayerValues!A:A,match(IFNA(vlookup(B90,'Special Names'!A:B,2,FALSE),B90),PlayerValues!E:E,0)),"N/A")</f>
        <v>17066</v>
      </c>
      <c r="B90" s="4" t="s">
        <v>446</v>
      </c>
      <c r="C90" s="4" t="s">
        <v>278</v>
      </c>
      <c r="D90" s="94">
        <v>3964.0</v>
      </c>
    </row>
    <row r="91">
      <c r="A91" s="40">
        <f t="array" ref="A91">IFNA(index(PlayerValues!A:A,match(IFNA(vlookup(B91,'Special Names'!A:B,2,FALSE),B91),PlayerValues!E:E,0)),"N/A")</f>
        <v>14102</v>
      </c>
      <c r="B91" s="4" t="s">
        <v>444</v>
      </c>
      <c r="C91" s="4" t="s">
        <v>287</v>
      </c>
      <c r="D91" s="94">
        <v>3902.0</v>
      </c>
    </row>
    <row r="92">
      <c r="A92" s="40">
        <f t="array" ref="A92">IFNA(index(PlayerValues!A:A,match(IFNA(vlookup(B92,'Special Names'!A:B,2,FALSE),B92),PlayerValues!E:E,0)),"N/A")</f>
        <v>12626</v>
      </c>
      <c r="B92" s="4" t="s">
        <v>419</v>
      </c>
      <c r="C92" s="4" t="s">
        <v>278</v>
      </c>
      <c r="D92" s="94">
        <v>3867.0</v>
      </c>
    </row>
    <row r="93">
      <c r="A93" s="40">
        <f t="array" ref="A93">IFNA(index(PlayerValues!A:A,match(IFNA(vlookup(B93,'Special Names'!A:B,2,FALSE),B93),PlayerValues!E:E,0)),"N/A")</f>
        <v>16622</v>
      </c>
      <c r="B93" s="4" t="s">
        <v>517</v>
      </c>
      <c r="C93" s="4" t="s">
        <v>287</v>
      </c>
      <c r="D93" s="94">
        <v>3854.0</v>
      </c>
    </row>
    <row r="94">
      <c r="A94" s="40">
        <f t="array" ref="A94">IFNA(index(PlayerValues!A:A,match(IFNA(vlookup(B94,'Special Names'!A:B,2,FALSE),B94),PlayerValues!E:E,0)),"N/A")</f>
        <v>9431</v>
      </c>
      <c r="B94" s="4" t="s">
        <v>428</v>
      </c>
      <c r="C94" s="4" t="s">
        <v>283</v>
      </c>
      <c r="D94" s="94">
        <v>3797.0</v>
      </c>
    </row>
    <row r="95">
      <c r="A95" s="40">
        <f t="array" ref="A95">IFNA(index(PlayerValues!A:A,match(IFNA(vlookup(B95,'Special Names'!A:B,2,FALSE),B95),PlayerValues!E:E,0)),"N/A")</f>
        <v>14059</v>
      </c>
      <c r="B95" s="4" t="s">
        <v>435</v>
      </c>
      <c r="C95" s="4" t="s">
        <v>283</v>
      </c>
      <c r="D95" s="94">
        <v>3793.0</v>
      </c>
    </row>
    <row r="96">
      <c r="A96" s="40" t="str">
        <f t="array" ref="A96">IFNA(index(PlayerValues!A:A,match(IFNA(vlookup(B96,'Special Names'!A:B,2,FALSE),B96),PlayerValues!E:E,0)),"N/A")</f>
        <v>N/A</v>
      </c>
      <c r="B96" s="4" t="s">
        <v>95</v>
      </c>
      <c r="C96" s="4" t="s">
        <v>325</v>
      </c>
      <c r="D96" s="94">
        <v>3762.0</v>
      </c>
    </row>
    <row r="97">
      <c r="A97" s="40">
        <f t="array" ref="A97">IFNA(index(PlayerValues!A:A,match(IFNA(vlookup(B97,'Special Names'!A:B,2,FALSE),B97),PlayerValues!E:E,0)),"N/A")</f>
        <v>17083</v>
      </c>
      <c r="B97" s="4" t="s">
        <v>479</v>
      </c>
      <c r="C97" s="4" t="s">
        <v>287</v>
      </c>
      <c r="D97" s="94">
        <v>3746.0</v>
      </c>
    </row>
    <row r="98">
      <c r="A98" s="40">
        <f t="array" ref="A98">IFNA(index(PlayerValues!A:A,match(IFNA(vlookup(B98,'Special Names'!A:B,2,FALSE),B98),PlayerValues!E:E,0)),"N/A")</f>
        <v>15789</v>
      </c>
      <c r="B98" s="4" t="s">
        <v>421</v>
      </c>
      <c r="C98" s="4" t="s">
        <v>287</v>
      </c>
      <c r="D98" s="94">
        <v>3719.0</v>
      </c>
    </row>
    <row r="99">
      <c r="A99" s="40">
        <f t="array" ref="A99">IFNA(index(PlayerValues!A:A,match(IFNA(vlookup(B99,'Special Names'!A:B,2,FALSE),B99),PlayerValues!E:E,0)),"N/A")</f>
        <v>14842</v>
      </c>
      <c r="B99" s="4" t="s">
        <v>456</v>
      </c>
      <c r="C99" s="4" t="s">
        <v>287</v>
      </c>
      <c r="D99" s="94">
        <v>3683.0</v>
      </c>
    </row>
    <row r="100">
      <c r="A100" s="40">
        <f t="array" ref="A100">IFNA(index(PlayerValues!A:A,match(IFNA(vlookup(B100,'Special Names'!A:B,2,FALSE),B100),PlayerValues!E:E,0)),"N/A")</f>
        <v>11675</v>
      </c>
      <c r="B100" s="4" t="s">
        <v>438</v>
      </c>
      <c r="C100" s="4" t="s">
        <v>287</v>
      </c>
      <c r="D100" s="94">
        <v>3675.0</v>
      </c>
    </row>
    <row r="101">
      <c r="A101" s="40">
        <f t="array" ref="A101">IFNA(index(PlayerValues!A:A,match(IFNA(vlookup(B101,'Special Names'!A:B,2,FALSE),B101),PlayerValues!E:E,0)),"N/A")</f>
        <v>17039</v>
      </c>
      <c r="B101" s="4" t="s">
        <v>400</v>
      </c>
      <c r="C101" s="4" t="s">
        <v>283</v>
      </c>
      <c r="D101" s="94">
        <v>3674.0</v>
      </c>
    </row>
    <row r="102">
      <c r="A102" s="40">
        <f t="array" ref="A102">IFNA(index(PlayerValues!A:A,match(IFNA(vlookup(B102,'Special Names'!A:B,2,FALSE),B102),PlayerValues!E:E,0)),"N/A")</f>
        <v>16584</v>
      </c>
      <c r="B102" s="4" t="s">
        <v>569</v>
      </c>
      <c r="C102" s="4" t="s">
        <v>283</v>
      </c>
      <c r="D102" s="94">
        <v>3668.0</v>
      </c>
    </row>
    <row r="103">
      <c r="A103" s="40">
        <f t="array" ref="A103">IFNA(index(PlayerValues!A:A,match(IFNA(vlookup(B103,'Special Names'!A:B,2,FALSE),B103),PlayerValues!E:E,0)),"N/A")</f>
        <v>16583</v>
      </c>
      <c r="B103" s="4" t="s">
        <v>493</v>
      </c>
      <c r="C103" s="4" t="s">
        <v>283</v>
      </c>
      <c r="D103" s="94">
        <v>3660.0</v>
      </c>
    </row>
    <row r="104">
      <c r="A104" s="40" t="str">
        <f t="array" ref="A104">IFNA(index(PlayerValues!A:A,match(IFNA(vlookup(B104,'Special Names'!A:B,2,FALSE),B104),PlayerValues!E:E,0)),"N/A")</f>
        <v>N/A</v>
      </c>
      <c r="B104" s="4" t="s">
        <v>82</v>
      </c>
      <c r="C104" s="4" t="s">
        <v>325</v>
      </c>
      <c r="D104" s="94">
        <v>3651.0</v>
      </c>
    </row>
    <row r="105">
      <c r="A105" s="40">
        <f t="array" ref="A105">IFNA(index(PlayerValues!A:A,match(IFNA(vlookup(B105,'Special Names'!A:B,2,FALSE),B105),PlayerValues!E:E,0)),"N/A")</f>
        <v>15799</v>
      </c>
      <c r="B105" s="4" t="s">
        <v>468</v>
      </c>
      <c r="C105" s="4" t="s">
        <v>298</v>
      </c>
      <c r="D105" s="94">
        <v>4106.0</v>
      </c>
    </row>
    <row r="106">
      <c r="A106" s="40">
        <f t="array" ref="A106">IFNA(index(PlayerValues!A:A,match(IFNA(vlookup(B106,'Special Names'!A:B,2,FALSE),B106),PlayerValues!E:E,0)),"N/A")</f>
        <v>16206</v>
      </c>
      <c r="B106" s="4" t="s">
        <v>431</v>
      </c>
      <c r="C106" s="4" t="s">
        <v>287</v>
      </c>
      <c r="D106" s="94">
        <v>3607.0</v>
      </c>
    </row>
    <row r="107">
      <c r="A107" s="40">
        <f t="array" ref="A107">IFNA(index(PlayerValues!A:A,match(IFNA(vlookup(B107,'Special Names'!A:B,2,FALSE),B107),PlayerValues!E:E,0)),"N/A")</f>
        <v>16620</v>
      </c>
      <c r="B107" s="4" t="s">
        <v>467</v>
      </c>
      <c r="C107" s="4" t="s">
        <v>287</v>
      </c>
      <c r="D107" s="94">
        <v>3581.0</v>
      </c>
    </row>
    <row r="108">
      <c r="A108" s="40">
        <f t="array" ref="A108">IFNA(index(PlayerValues!A:A,match(IFNA(vlookup(B108,'Special Names'!A:B,2,FALSE),B108),PlayerValues!E:E,0)),"N/A")</f>
        <v>17053</v>
      </c>
      <c r="B108" s="4" t="s">
        <v>484</v>
      </c>
      <c r="C108" s="4" t="s">
        <v>278</v>
      </c>
      <c r="D108" s="94">
        <v>3580.0</v>
      </c>
    </row>
    <row r="109">
      <c r="A109" s="40">
        <f t="array" ref="A109">IFNA(index(PlayerValues!A:A,match(IFNA(vlookup(B109,'Special Names'!A:B,2,FALSE),B109),PlayerValues!E:E,0)),"N/A")</f>
        <v>14797</v>
      </c>
      <c r="B109" s="4" t="s">
        <v>420</v>
      </c>
      <c r="C109" s="4" t="s">
        <v>278</v>
      </c>
      <c r="D109" s="94">
        <v>3573.0</v>
      </c>
    </row>
    <row r="110">
      <c r="A110" s="40">
        <f t="array" ref="A110">IFNA(index(PlayerValues!A:A,match(IFNA(vlookup(B110,'Special Names'!A:B,2,FALSE),B110),PlayerValues!E:E,0)),"N/A")</f>
        <v>16169</v>
      </c>
      <c r="B110" s="4" t="s">
        <v>457</v>
      </c>
      <c r="C110" s="4" t="s">
        <v>278</v>
      </c>
      <c r="D110" s="94">
        <v>3569.0</v>
      </c>
    </row>
    <row r="111">
      <c r="A111" s="40">
        <f t="array" ref="A111">IFNA(index(PlayerValues!A:A,match(IFNA(vlookup(B111,'Special Names'!A:B,2,FALSE),B111),PlayerValues!E:E,0)),"N/A")</f>
        <v>15757</v>
      </c>
      <c r="B111" s="4" t="s">
        <v>449</v>
      </c>
      <c r="C111" s="4" t="s">
        <v>287</v>
      </c>
      <c r="D111" s="94">
        <v>3557.0</v>
      </c>
    </row>
    <row r="112">
      <c r="A112" s="40">
        <f t="array" ref="A112">IFNA(index(PlayerValues!A:A,match(IFNA(vlookup(B112,'Special Names'!A:B,2,FALSE),B112),PlayerValues!E:E,0)),"N/A")</f>
        <v>16188</v>
      </c>
      <c r="B112" s="4" t="s">
        <v>439</v>
      </c>
      <c r="C112" s="4" t="s">
        <v>287</v>
      </c>
      <c r="D112" s="94">
        <v>3454.0</v>
      </c>
    </row>
    <row r="113">
      <c r="A113" s="40">
        <f t="array" ref="A113">IFNA(index(PlayerValues!A:A,match(IFNA(vlookup(B113,'Special Names'!A:B,2,FALSE),B113),PlayerValues!E:E,0)),"N/A")</f>
        <v>14056</v>
      </c>
      <c r="B113" s="4" t="s">
        <v>423</v>
      </c>
      <c r="C113" s="4" t="s">
        <v>283</v>
      </c>
      <c r="D113" s="94">
        <v>3430.0</v>
      </c>
    </row>
    <row r="114">
      <c r="A114" s="40">
        <f t="array" ref="A114">IFNA(index(PlayerValues!A:A,match(IFNA(vlookup(B114,'Special Names'!A:B,2,FALSE),B114),PlayerValues!E:E,0)),"N/A")</f>
        <v>17075</v>
      </c>
      <c r="B114" s="4" t="s">
        <v>429</v>
      </c>
      <c r="C114" s="4" t="s">
        <v>287</v>
      </c>
      <c r="D114" s="94">
        <v>3405.0</v>
      </c>
    </row>
    <row r="115">
      <c r="A115" s="40">
        <f t="array" ref="A115">IFNA(index(PlayerValues!A:A,match(IFNA(vlookup(B115,'Special Names'!A:B,2,FALSE),B115),PlayerValues!E:E,0)),"N/A")</f>
        <v>16593</v>
      </c>
      <c r="B115" s="4" t="s">
        <v>442</v>
      </c>
      <c r="C115" s="4" t="s">
        <v>278</v>
      </c>
      <c r="D115" s="94">
        <v>3377.0</v>
      </c>
    </row>
    <row r="116">
      <c r="A116" s="40">
        <f t="array" ref="A116">IFNA(index(PlayerValues!A:A,match(IFNA(vlookup(B116,'Special Names'!A:B,2,FALSE),B116),PlayerValues!E:E,0)),"N/A")</f>
        <v>14823</v>
      </c>
      <c r="B116" s="4" t="s">
        <v>459</v>
      </c>
      <c r="C116" s="4" t="s">
        <v>278</v>
      </c>
      <c r="D116" s="94">
        <v>3354.0</v>
      </c>
    </row>
    <row r="117">
      <c r="A117" s="40">
        <f t="array" ref="A117">IFNA(index(PlayerValues!A:A,match(IFNA(vlookup(B117,'Special Names'!A:B,2,FALSE),B117),PlayerValues!E:E,0)),"N/A")</f>
        <v>16594</v>
      </c>
      <c r="B117" s="4" t="s">
        <v>607</v>
      </c>
      <c r="C117" s="4" t="s">
        <v>278</v>
      </c>
      <c r="D117" s="94">
        <v>3351.0</v>
      </c>
    </row>
    <row r="118">
      <c r="A118" s="40">
        <f t="array" ref="A118">IFNA(index(PlayerValues!A:A,match(IFNA(vlookup(B118,'Special Names'!A:B,2,FALSE),B118),PlayerValues!E:E,0)),"N/A")</f>
        <v>15742</v>
      </c>
      <c r="B118" s="4" t="s">
        <v>447</v>
      </c>
      <c r="C118" s="4" t="s">
        <v>278</v>
      </c>
      <c r="D118" s="94">
        <v>3335.0</v>
      </c>
    </row>
    <row r="119">
      <c r="A119" s="40">
        <f t="array" ref="A119">IFNA(index(PlayerValues!A:A,match(IFNA(vlookup(B119,'Special Names'!A:B,2,FALSE),B119),PlayerValues!E:E,0)),"N/A")</f>
        <v>13630</v>
      </c>
      <c r="B119" s="4" t="s">
        <v>465</v>
      </c>
      <c r="C119" s="4" t="s">
        <v>287</v>
      </c>
      <c r="D119" s="94">
        <v>3316.0</v>
      </c>
    </row>
    <row r="120">
      <c r="A120" s="40">
        <f t="array" ref="A120">IFNA(index(PlayerValues!A:A,match(IFNA(vlookup(B120,'Special Names'!A:B,2,FALSE),B120),PlayerValues!E:E,0)),"N/A")</f>
        <v>15768</v>
      </c>
      <c r="B120" s="4" t="s">
        <v>432</v>
      </c>
      <c r="C120" s="4" t="s">
        <v>287</v>
      </c>
      <c r="D120" s="94">
        <v>3312.0</v>
      </c>
    </row>
    <row r="121">
      <c r="A121" s="40">
        <f t="array" ref="A121">IFNA(index(PlayerValues!A:A,match(IFNA(vlookup(B121,'Special Names'!A:B,2,FALSE),B121),PlayerValues!E:E,0)),"N/A")</f>
        <v>16213</v>
      </c>
      <c r="B121" s="4" t="s">
        <v>458</v>
      </c>
      <c r="C121" s="4" t="s">
        <v>298</v>
      </c>
      <c r="D121" s="94">
        <v>3731.0</v>
      </c>
    </row>
    <row r="122">
      <c r="A122" s="40">
        <f t="array" ref="A122">IFNA(index(PlayerValues!A:A,match(IFNA(vlookup(B122,'Special Names'!A:B,2,FALSE),B122),PlayerValues!E:E,0)),"N/A")</f>
        <v>16619</v>
      </c>
      <c r="B122" s="4" t="s">
        <v>538</v>
      </c>
      <c r="C122" s="4" t="s">
        <v>287</v>
      </c>
      <c r="D122" s="94">
        <v>3281.0</v>
      </c>
    </row>
    <row r="123">
      <c r="A123" s="40">
        <f t="array" ref="A123">IFNA(index(PlayerValues!A:A,match(IFNA(vlookup(B123,'Special Names'!A:B,2,FALSE),B123),PlayerValues!E:E,0)),"N/A")</f>
        <v>14127</v>
      </c>
      <c r="B123" s="4" t="s">
        <v>486</v>
      </c>
      <c r="C123" s="4" t="s">
        <v>287</v>
      </c>
      <c r="D123" s="94">
        <v>3272.0</v>
      </c>
    </row>
    <row r="124">
      <c r="A124" s="40" t="str">
        <f t="array" ref="A124">IFNA(index(PlayerValues!A:A,match(IFNA(vlookup(B124,'Special Names'!A:B,2,FALSE),B124),PlayerValues!E:E,0)),"N/A")</f>
        <v>N/A</v>
      </c>
      <c r="B124" s="4" t="s">
        <v>96</v>
      </c>
      <c r="C124" s="4" t="s">
        <v>325</v>
      </c>
      <c r="D124" s="94">
        <v>3251.0</v>
      </c>
    </row>
    <row r="125">
      <c r="A125" s="40">
        <f t="array" ref="A125">IFNA(index(PlayerValues!A:A,match(IFNA(vlookup(B125,'Special Names'!A:B,2,FALSE),B125),PlayerValues!E:E,0)),"N/A")</f>
        <v>16184</v>
      </c>
      <c r="B125" s="4" t="s">
        <v>445</v>
      </c>
      <c r="C125" s="4" t="s">
        <v>287</v>
      </c>
      <c r="D125" s="94">
        <v>3248.0</v>
      </c>
    </row>
    <row r="126">
      <c r="A126" s="40">
        <f t="array" ref="A126">IFNA(index(PlayerValues!A:A,match(IFNA(vlookup(B126,'Special Names'!A:B,2,FALSE),B126),PlayerValues!E:E,0)),"N/A")</f>
        <v>13635</v>
      </c>
      <c r="B126" s="4" t="s">
        <v>424</v>
      </c>
      <c r="C126" s="4" t="s">
        <v>287</v>
      </c>
      <c r="D126" s="94">
        <v>3197.0</v>
      </c>
    </row>
    <row r="127">
      <c r="A127" s="40" t="str">
        <f t="array" ref="A127">IFNA(index(PlayerValues!A:A,match(IFNA(vlookup(B127,'Special Names'!A:B,2,FALSE),B127),PlayerValues!E:E,0)),"N/A")</f>
        <v>N/A</v>
      </c>
      <c r="B127" s="4" t="s">
        <v>84</v>
      </c>
      <c r="C127" s="4" t="s">
        <v>325</v>
      </c>
      <c r="D127" s="94">
        <v>3193.0</v>
      </c>
    </row>
    <row r="128">
      <c r="A128" s="40">
        <f t="array" ref="A128">IFNA(index(PlayerValues!A:A,match(IFNA(vlookup(B128,'Special Names'!A:B,2,FALSE),B128),PlayerValues!E:E,0)),"N/A")</f>
        <v>17052</v>
      </c>
      <c r="B128" s="4" t="s">
        <v>417</v>
      </c>
      <c r="C128" s="4" t="s">
        <v>278</v>
      </c>
      <c r="D128" s="94">
        <v>3180.0</v>
      </c>
    </row>
    <row r="129">
      <c r="A129" s="40">
        <f t="array" ref="A129">IFNA(index(PlayerValues!A:A,match(IFNA(vlookup(B129,'Special Names'!A:B,2,FALSE),B129),PlayerValues!E:E,0)),"N/A")</f>
        <v>16269</v>
      </c>
      <c r="B129" s="4" t="s">
        <v>481</v>
      </c>
      <c r="C129" s="4" t="s">
        <v>298</v>
      </c>
      <c r="D129" s="94">
        <v>3592.0</v>
      </c>
    </row>
    <row r="130">
      <c r="A130" s="40">
        <f t="array" ref="A130">IFNA(index(PlayerValues!A:A,match(IFNA(vlookup(B130,'Special Names'!A:B,2,FALSE),B130),PlayerValues!E:E,0)),"N/A")</f>
        <v>14109</v>
      </c>
      <c r="B130" s="4" t="s">
        <v>437</v>
      </c>
      <c r="C130" s="4" t="s">
        <v>287</v>
      </c>
      <c r="D130" s="94">
        <v>3142.0</v>
      </c>
    </row>
    <row r="131">
      <c r="A131" s="40">
        <f t="array" ref="A131">IFNA(index(PlayerValues!A:A,match(IFNA(vlookup(B131,'Special Names'!A:B,2,FALSE),B131),PlayerValues!E:E,0)),"N/A")</f>
        <v>16187</v>
      </c>
      <c r="B131" s="4" t="s">
        <v>441</v>
      </c>
      <c r="C131" s="4" t="s">
        <v>287</v>
      </c>
      <c r="D131" s="94">
        <v>3124.0</v>
      </c>
    </row>
    <row r="132">
      <c r="A132" s="40">
        <f t="array" ref="A132">IFNA(index(PlayerValues!A:A,match(IFNA(vlookup(B132,'Special Names'!A:B,2,FALSE),B132),PlayerValues!E:E,0)),"N/A")</f>
        <v>17031</v>
      </c>
      <c r="B132" s="4" t="s">
        <v>535</v>
      </c>
      <c r="C132" s="4" t="s">
        <v>283</v>
      </c>
      <c r="D132" s="94">
        <v>3101.0</v>
      </c>
    </row>
    <row r="133">
      <c r="A133" s="40" t="str">
        <f t="array" ref="A133">IFNA(index(PlayerValues!A:A,match(IFNA(vlookup(B133,'Special Names'!A:B,2,FALSE),B133),PlayerValues!E:E,0)),"N/A")</f>
        <v>N/A</v>
      </c>
      <c r="B133" s="4" t="s">
        <v>108</v>
      </c>
      <c r="C133" s="4" t="s">
        <v>325</v>
      </c>
      <c r="D133" s="94">
        <v>3047.0</v>
      </c>
    </row>
    <row r="134">
      <c r="A134" s="40">
        <f t="array" ref="A134">IFNA(index(PlayerValues!A:A,match(IFNA(vlookup(B134,'Special Names'!A:B,2,FALSE),B134),PlayerValues!E:E,0)),"N/A")</f>
        <v>14860</v>
      </c>
      <c r="B134" s="4" t="s">
        <v>554</v>
      </c>
      <c r="C134" s="4" t="s">
        <v>287</v>
      </c>
      <c r="D134" s="94">
        <v>3002.0</v>
      </c>
    </row>
    <row r="135">
      <c r="A135" s="40" t="str">
        <f t="array" ref="A135">IFNA(index(PlayerValues!A:A,match(IFNA(vlookup(B135,'Special Names'!A:B,2,FALSE),B135),PlayerValues!E:E,0)),"N/A")</f>
        <v>N/A</v>
      </c>
      <c r="B135" s="4" t="s">
        <v>85</v>
      </c>
      <c r="C135" s="4" t="s">
        <v>325</v>
      </c>
      <c r="D135" s="94">
        <v>2996.0</v>
      </c>
    </row>
    <row r="136">
      <c r="A136" s="40">
        <f t="array" ref="A136">IFNA(index(PlayerValues!A:A,match(IFNA(vlookup(B136,'Special Names'!A:B,2,FALSE),B136),PlayerValues!E:E,0)),"N/A")</f>
        <v>16192</v>
      </c>
      <c r="B136" s="4" t="s">
        <v>412</v>
      </c>
      <c r="C136" s="4" t="s">
        <v>287</v>
      </c>
      <c r="D136" s="94">
        <v>2984.0</v>
      </c>
    </row>
    <row r="137">
      <c r="A137" s="40">
        <f t="array" ref="A137">IFNA(index(PlayerValues!A:A,match(IFNA(vlookup(B137,'Special Names'!A:B,2,FALSE),B137),PlayerValues!E:E,0)),"N/A")</f>
        <v>15761</v>
      </c>
      <c r="B137" s="4" t="s">
        <v>491</v>
      </c>
      <c r="C137" s="4" t="s">
        <v>287</v>
      </c>
      <c r="D137" s="94">
        <v>2966.0</v>
      </c>
    </row>
    <row r="138">
      <c r="A138" s="40">
        <f t="array" ref="A138">IFNA(index(PlayerValues!A:A,match(IFNA(vlookup(B138,'Special Names'!A:B,2,FALSE),B138),PlayerValues!E:E,0)),"N/A")</f>
        <v>17106</v>
      </c>
      <c r="B138" s="4" t="s">
        <v>550</v>
      </c>
      <c r="C138" s="4" t="s">
        <v>298</v>
      </c>
      <c r="D138" s="94">
        <v>3379.0</v>
      </c>
    </row>
    <row r="139">
      <c r="A139" s="40" t="str">
        <f t="array" ref="A139">IFNA(index(PlayerValues!A:A,match(IFNA(vlookup(B139,'Special Names'!A:B,2,FALSE),B139),PlayerValues!E:E,0)),"N/A")</f>
        <v>N/A</v>
      </c>
      <c r="B139" s="4" t="s">
        <v>97</v>
      </c>
      <c r="C139" s="4" t="s">
        <v>325</v>
      </c>
      <c r="D139" s="94">
        <v>2941.0</v>
      </c>
    </row>
    <row r="140">
      <c r="A140" s="40">
        <f t="array" ref="A140">IFNA(index(PlayerValues!A:A,match(IFNA(vlookup(B140,'Special Names'!A:B,2,FALSE),B140),PlayerValues!E:E,0)),"N/A")</f>
        <v>16193</v>
      </c>
      <c r="B140" s="4" t="s">
        <v>487</v>
      </c>
      <c r="C140" s="4" t="s">
        <v>287</v>
      </c>
      <c r="D140" s="94">
        <v>2940.0</v>
      </c>
    </row>
    <row r="141">
      <c r="A141" s="40">
        <f t="array" ref="A141">IFNA(index(PlayerValues!A:A,match(IFNA(vlookup(B141,'Special Names'!A:B,2,FALSE),B141),PlayerValues!E:E,0)),"N/A")</f>
        <v>17157</v>
      </c>
      <c r="B141" s="4" t="s">
        <v>524</v>
      </c>
      <c r="C141" s="4" t="s">
        <v>287</v>
      </c>
      <c r="D141" s="94">
        <v>2931.0</v>
      </c>
    </row>
    <row r="142">
      <c r="A142" s="40">
        <f t="array" ref="A142">IFNA(index(PlayerValues!A:A,match(IFNA(vlookup(B142,'Special Names'!A:B,2,FALSE),B142),PlayerValues!E:E,0)),"N/A")</f>
        <v>17171</v>
      </c>
      <c r="B142" s="4" t="s">
        <v>561</v>
      </c>
      <c r="C142" s="4" t="s">
        <v>287</v>
      </c>
      <c r="D142" s="94">
        <v>2930.0</v>
      </c>
    </row>
    <row r="143">
      <c r="A143" s="40">
        <f t="array" ref="A143">IFNA(index(PlayerValues!A:A,match(IFNA(vlookup(B143,'Special Names'!A:B,2,FALSE),B143),PlayerValues!E:E,0)),"N/A")</f>
        <v>15261</v>
      </c>
      <c r="B143" s="4" t="s">
        <v>466</v>
      </c>
      <c r="C143" s="4" t="s">
        <v>278</v>
      </c>
      <c r="D143" s="94">
        <v>2919.0</v>
      </c>
    </row>
    <row r="144">
      <c r="A144" s="40">
        <f t="array" ref="A144">IFNA(index(PlayerValues!A:A,match(IFNA(vlookup(B144,'Special Names'!A:B,2,FALSE),B144),PlayerValues!E:E,0)),"N/A")</f>
        <v>15779</v>
      </c>
      <c r="B144" s="4" t="s">
        <v>461</v>
      </c>
      <c r="C144" s="4" t="s">
        <v>287</v>
      </c>
      <c r="D144" s="94">
        <v>2917.0</v>
      </c>
    </row>
    <row r="145">
      <c r="A145" s="40">
        <f t="array" ref="A145">IFNA(index(PlayerValues!A:A,match(IFNA(vlookup(B145,'Special Names'!A:B,2,FALSE),B145),PlayerValues!E:E,0)),"N/A")</f>
        <v>15712</v>
      </c>
      <c r="B145" s="4" t="s">
        <v>488</v>
      </c>
      <c r="C145" s="4" t="s">
        <v>278</v>
      </c>
      <c r="D145" s="94">
        <v>2907.0</v>
      </c>
    </row>
    <row r="146">
      <c r="A146" s="40">
        <f t="array" ref="A146">IFNA(index(PlayerValues!A:A,match(IFNA(vlookup(B146,'Special Names'!A:B,2,FALSE),B146),PlayerValues!E:E,0)),"N/A")</f>
        <v>17073</v>
      </c>
      <c r="B146" s="4" t="s">
        <v>547</v>
      </c>
      <c r="C146" s="4" t="s">
        <v>287</v>
      </c>
      <c r="D146" s="94">
        <v>2904.0</v>
      </c>
    </row>
    <row r="147">
      <c r="A147" s="40">
        <f t="array" ref="A147">IFNA(index(PlayerValues!A:A,match(IFNA(vlookup(B147,'Special Names'!A:B,2,FALSE),B147),PlayerValues!E:E,0)),"N/A")</f>
        <v>17256</v>
      </c>
      <c r="B147" s="4" t="s">
        <v>462</v>
      </c>
      <c r="C147" s="4" t="s">
        <v>278</v>
      </c>
      <c r="D147" s="94">
        <v>2881.0</v>
      </c>
    </row>
    <row r="148">
      <c r="A148" s="40">
        <f t="array" ref="A148">IFNA(index(PlayerValues!A:A,match(IFNA(vlookup(B148,'Special Names'!A:B,2,FALSE),B148),PlayerValues!E:E,0)),"N/A")</f>
        <v>17080</v>
      </c>
      <c r="B148" s="4" t="s">
        <v>532</v>
      </c>
      <c r="C148" s="4" t="s">
        <v>287</v>
      </c>
      <c r="D148" s="94">
        <v>2836.0</v>
      </c>
    </row>
    <row r="149">
      <c r="A149" s="40">
        <f t="array" ref="A149">IFNA(index(PlayerValues!A:A,match(IFNA(vlookup(B149,'Special Names'!A:B,2,FALSE),B149),PlayerValues!E:E,0)),"N/A")</f>
        <v>11671</v>
      </c>
      <c r="B149" s="4" t="s">
        <v>463</v>
      </c>
      <c r="C149" s="4" t="s">
        <v>287</v>
      </c>
      <c r="D149" s="94">
        <v>2834.0</v>
      </c>
    </row>
    <row r="150">
      <c r="A150" s="40" t="str">
        <f t="array" ref="A150">IFNA(index(PlayerValues!A:A,match(IFNA(vlookup(B150,'Special Names'!A:B,2,FALSE),B150),PlayerValues!E:E,0)),"N/A")</f>
        <v>N/A</v>
      </c>
      <c r="B150" s="4" t="s">
        <v>109</v>
      </c>
      <c r="C150" s="4" t="s">
        <v>325</v>
      </c>
      <c r="D150" s="94">
        <v>2830.0</v>
      </c>
    </row>
    <row r="151">
      <c r="A151" s="40">
        <f t="array" ref="A151">IFNA(index(PlayerValues!A:A,match(IFNA(vlookup(B151,'Special Names'!A:B,2,FALSE),B151),PlayerValues!E:E,0)),"N/A")</f>
        <v>14071</v>
      </c>
      <c r="B151" s="4" t="s">
        <v>440</v>
      </c>
      <c r="C151" s="4" t="s">
        <v>278</v>
      </c>
      <c r="D151" s="94">
        <v>2816.0</v>
      </c>
    </row>
    <row r="152">
      <c r="A152" s="40">
        <f t="array" ref="A152">IFNA(index(PlayerValues!A:A,match(IFNA(vlookup(B152,'Special Names'!A:B,2,FALSE),B152),PlayerValues!E:E,0)),"N/A")</f>
        <v>16626</v>
      </c>
      <c r="B152" s="4" t="s">
        <v>515</v>
      </c>
      <c r="C152" s="4" t="s">
        <v>287</v>
      </c>
      <c r="D152" s="94">
        <v>2814.0</v>
      </c>
    </row>
    <row r="153">
      <c r="A153" s="40">
        <f t="array" ref="A153">IFNA(index(PlayerValues!A:A,match(IFNA(vlookup(B153,'Special Names'!A:B,2,FALSE),B153),PlayerValues!E:E,0)),"N/A")</f>
        <v>16809</v>
      </c>
      <c r="B153" s="4" t="s">
        <v>455</v>
      </c>
      <c r="C153" s="4" t="s">
        <v>287</v>
      </c>
      <c r="D153" s="94">
        <v>2794.0</v>
      </c>
    </row>
    <row r="154">
      <c r="A154" s="40">
        <f t="array" ref="A154">IFNA(index(PlayerValues!A:A,match(IFNA(vlookup(B154,'Special Names'!A:B,2,FALSE),B154),PlayerValues!E:E,0)),"N/A")</f>
        <v>17098</v>
      </c>
      <c r="B154" s="4" t="s">
        <v>533</v>
      </c>
      <c r="C154" s="4" t="s">
        <v>287</v>
      </c>
      <c r="D154" s="94">
        <v>2788.0</v>
      </c>
    </row>
    <row r="155">
      <c r="A155" s="40">
        <f t="array" ref="A155">IFNA(index(PlayerValues!A:A,match(IFNA(vlookup(B155,'Special Names'!A:B,2,FALSE),B155),PlayerValues!E:E,0)),"N/A")</f>
        <v>17082</v>
      </c>
      <c r="B155" s="4" t="s">
        <v>498</v>
      </c>
      <c r="C155" s="4" t="s">
        <v>287</v>
      </c>
      <c r="D155" s="94">
        <v>2787.0</v>
      </c>
    </row>
    <row r="156">
      <c r="A156" s="40">
        <f t="array" ref="A156">IFNA(index(PlayerValues!A:A,match(IFNA(vlookup(B156,'Special Names'!A:B,2,FALSE),B156),PlayerValues!E:E,0)),"N/A")</f>
        <v>15255</v>
      </c>
      <c r="B156" s="4" t="s">
        <v>477</v>
      </c>
      <c r="C156" s="4" t="s">
        <v>278</v>
      </c>
      <c r="D156" s="94">
        <v>2779.0</v>
      </c>
    </row>
    <row r="157">
      <c r="A157" s="40">
        <f t="array" ref="A157">IFNA(index(PlayerValues!A:A,match(IFNA(vlookup(B157,'Special Names'!A:B,2,FALSE),B157),PlayerValues!E:E,0)),"N/A")</f>
        <v>14840</v>
      </c>
      <c r="B157" s="4" t="s">
        <v>731</v>
      </c>
      <c r="C157" s="4" t="s">
        <v>287</v>
      </c>
      <c r="D157" s="94">
        <v>2777.0</v>
      </c>
    </row>
    <row r="158">
      <c r="A158" s="40">
        <f t="array" ref="A158">IFNA(index(PlayerValues!A:A,match(IFNA(vlookup(B158,'Special Names'!A:B,2,FALSE),B158),PlayerValues!E:E,0)),"N/A")</f>
        <v>17046</v>
      </c>
      <c r="B158" s="4" t="s">
        <v>602</v>
      </c>
      <c r="C158" s="4" t="s">
        <v>278</v>
      </c>
      <c r="D158" s="94">
        <v>2776.0</v>
      </c>
    </row>
    <row r="159">
      <c r="A159" s="40">
        <f t="array" ref="A159">IFNA(index(PlayerValues!A:A,match(IFNA(vlookup(B159,'Special Names'!A:B,2,FALSE),B159),PlayerValues!E:E,0)),"N/A")</f>
        <v>16165</v>
      </c>
      <c r="B159" s="4" t="s">
        <v>520</v>
      </c>
      <c r="C159" s="4" t="s">
        <v>278</v>
      </c>
      <c r="D159" s="94">
        <v>2773.0</v>
      </c>
    </row>
    <row r="160">
      <c r="A160" s="40">
        <f t="array" ref="A160">IFNA(index(PlayerValues!A:A,match(IFNA(vlookup(B160,'Special Names'!A:B,2,FALSE),B160),PlayerValues!E:E,0)),"N/A")</f>
        <v>17072</v>
      </c>
      <c r="B160" s="4" t="s">
        <v>508</v>
      </c>
      <c r="C160" s="4" t="s">
        <v>287</v>
      </c>
      <c r="D160" s="94">
        <v>2773.0</v>
      </c>
    </row>
    <row r="161">
      <c r="A161" s="40">
        <f t="array" ref="A161">IFNA(index(PlayerValues!A:A,match(IFNA(vlookup(B161,'Special Names'!A:B,2,FALSE),B161),PlayerValues!E:E,0)),"N/A")</f>
        <v>17047</v>
      </c>
      <c r="B161" s="4" t="s">
        <v>510</v>
      </c>
      <c r="C161" s="4" t="s">
        <v>278</v>
      </c>
      <c r="D161" s="94">
        <v>2772.0</v>
      </c>
    </row>
    <row r="162">
      <c r="A162" s="40">
        <f t="array" ref="A162">IFNA(index(PlayerValues!A:A,match(IFNA(vlookup(B162,'Special Names'!A:B,2,FALSE),B162),PlayerValues!E:E,0)),"N/A")</f>
        <v>15798</v>
      </c>
      <c r="B162" s="4" t="s">
        <v>443</v>
      </c>
      <c r="C162" s="4" t="s">
        <v>298</v>
      </c>
      <c r="D162" s="94">
        <v>3171.0</v>
      </c>
    </row>
    <row r="163">
      <c r="A163" s="40">
        <f t="array" ref="A163">IFNA(index(PlayerValues!A:A,match(IFNA(vlookup(B163,'Special Names'!A:B,2,FALSE),B163),PlayerValues!E:E,0)),"N/A")</f>
        <v>16649</v>
      </c>
      <c r="B163" s="4" t="s">
        <v>586</v>
      </c>
      <c r="C163" s="4" t="s">
        <v>298</v>
      </c>
      <c r="D163" s="94">
        <v>3169.0</v>
      </c>
    </row>
    <row r="164">
      <c r="A164" s="40">
        <f t="array" ref="A164">IFNA(index(PlayerValues!A:A,match(IFNA(vlookup(B164,'Special Names'!A:B,2,FALSE),B164),PlayerValues!E:E,0)),"N/A")</f>
        <v>16080</v>
      </c>
      <c r="B164" s="4" t="s">
        <v>499</v>
      </c>
      <c r="C164" s="4" t="s">
        <v>287</v>
      </c>
      <c r="D164" s="94">
        <v>2750.0</v>
      </c>
    </row>
    <row r="165">
      <c r="A165" s="40">
        <f t="array" ref="A165">IFNA(index(PlayerValues!A:A,match(IFNA(vlookup(B165,'Special Names'!A:B,2,FALSE),B165),PlayerValues!E:E,0)),"N/A")</f>
        <v>16628</v>
      </c>
      <c r="B165" s="4" t="s">
        <v>490</v>
      </c>
      <c r="C165" s="4" t="s">
        <v>287</v>
      </c>
      <c r="D165" s="94">
        <v>2743.0</v>
      </c>
    </row>
    <row r="166">
      <c r="A166" s="40">
        <f t="array" ref="A166">IFNA(index(PlayerValues!A:A,match(IFNA(vlookup(B166,'Special Names'!A:B,2,FALSE),B166),PlayerValues!E:E,0)),"N/A")</f>
        <v>16596</v>
      </c>
      <c r="B166" s="4" t="s">
        <v>501</v>
      </c>
      <c r="C166" s="4" t="s">
        <v>278</v>
      </c>
      <c r="D166" s="94">
        <v>2738.0</v>
      </c>
    </row>
    <row r="167">
      <c r="A167" s="40">
        <f t="array" ref="A167">IFNA(index(PlayerValues!A:A,match(IFNA(vlookup(B167,'Special Names'!A:B,2,FALSE),B167),PlayerValues!E:E,0)),"N/A")</f>
        <v>17134</v>
      </c>
      <c r="B167" s="4" t="s">
        <v>548</v>
      </c>
      <c r="C167" s="4" t="s">
        <v>287</v>
      </c>
      <c r="D167" s="94">
        <v>2731.0</v>
      </c>
    </row>
    <row r="168">
      <c r="A168" s="40">
        <f t="array" ref="A168">IFNA(index(PlayerValues!A:A,match(IFNA(vlookup(B168,'Special Names'!A:B,2,FALSE),B168),PlayerValues!E:E,0)),"N/A")</f>
        <v>16723</v>
      </c>
      <c r="B168" s="4" t="s">
        <v>502</v>
      </c>
      <c r="C168" s="4" t="s">
        <v>298</v>
      </c>
      <c r="D168" s="94">
        <v>3122.0</v>
      </c>
    </row>
    <row r="169">
      <c r="A169" s="40">
        <f t="array" ref="A169">IFNA(index(PlayerValues!A:A,match(IFNA(vlookup(B169,'Special Names'!A:B,2,FALSE),B169),PlayerValues!E:E,0)),"N/A")</f>
        <v>17107</v>
      </c>
      <c r="B169" s="4" t="s">
        <v>478</v>
      </c>
      <c r="C169" s="4" t="s">
        <v>298</v>
      </c>
      <c r="D169" s="94">
        <v>3121.0</v>
      </c>
    </row>
    <row r="170">
      <c r="A170" s="40">
        <f t="array" ref="A170">IFNA(index(PlayerValues!A:A,match(IFNA(vlookup(B170,'Special Names'!A:B,2,FALSE),B170),PlayerValues!E:E,0)),"N/A")</f>
        <v>16747</v>
      </c>
      <c r="B170" s="4" t="s">
        <v>555</v>
      </c>
      <c r="C170" s="4" t="s">
        <v>278</v>
      </c>
      <c r="D170" s="94">
        <v>2709.0</v>
      </c>
    </row>
    <row r="171">
      <c r="A171" s="40">
        <f t="array" ref="A171">IFNA(index(PlayerValues!A:A,match(IFNA(vlookup(B171,'Special Names'!A:B,2,FALSE),B171),PlayerValues!E:E,0)),"N/A")</f>
        <v>15241</v>
      </c>
      <c r="B171" s="4" t="s">
        <v>546</v>
      </c>
      <c r="C171" s="4" t="s">
        <v>283</v>
      </c>
      <c r="D171" s="94">
        <v>2700.0</v>
      </c>
    </row>
    <row r="172">
      <c r="A172" s="40">
        <f t="array" ref="A172">IFNA(index(PlayerValues!A:A,match(IFNA(vlookup(B172,'Special Names'!A:B,2,FALSE),B172),PlayerValues!E:E,0)),"N/A")</f>
        <v>12186</v>
      </c>
      <c r="B172" s="4" t="s">
        <v>497</v>
      </c>
      <c r="C172" s="4" t="s">
        <v>287</v>
      </c>
      <c r="D172" s="94">
        <v>2697.0</v>
      </c>
    </row>
    <row r="173">
      <c r="A173" s="40">
        <f t="array" ref="A173">IFNA(index(PlayerValues!A:A,match(IFNA(vlookup(B173,'Special Names'!A:B,2,FALSE),B173),PlayerValues!E:E,0)),"N/A")</f>
        <v>13163</v>
      </c>
      <c r="B173" s="4" t="s">
        <v>473</v>
      </c>
      <c r="C173" s="4" t="s">
        <v>287</v>
      </c>
      <c r="D173" s="94">
        <v>2690.0</v>
      </c>
    </row>
    <row r="174">
      <c r="A174" s="40" t="str">
        <f t="array" ref="A174">IFNA(index(PlayerValues!A:A,match(IFNA(vlookup(B174,'Special Names'!A:B,2,FALSE),B174),PlayerValues!E:E,0)),"N/A")</f>
        <v>N/A</v>
      </c>
      <c r="B174" s="4" t="s">
        <v>110</v>
      </c>
      <c r="C174" s="4" t="s">
        <v>325</v>
      </c>
      <c r="D174" s="94">
        <v>2664.0</v>
      </c>
    </row>
    <row r="175">
      <c r="A175" s="40">
        <f t="array" ref="A175">IFNA(index(PlayerValues!A:A,match(IFNA(vlookup(B175,'Special Names'!A:B,2,FALSE),B175),PlayerValues!E:E,0)),"N/A")</f>
        <v>14085</v>
      </c>
      <c r="B175" s="4" t="s">
        <v>489</v>
      </c>
      <c r="C175" s="4" t="s">
        <v>278</v>
      </c>
      <c r="D175" s="94">
        <v>2663.0</v>
      </c>
    </row>
    <row r="176">
      <c r="A176" s="40">
        <f t="array" ref="A176">IFNA(index(PlayerValues!A:A,match(IFNA(vlookup(B176,'Special Names'!A:B,2,FALSE),B176),PlayerValues!E:E,0)),"N/A")</f>
        <v>16757</v>
      </c>
      <c r="B176" s="4" t="s">
        <v>558</v>
      </c>
      <c r="C176" s="4" t="s">
        <v>278</v>
      </c>
      <c r="D176" s="94">
        <v>2658.0</v>
      </c>
    </row>
    <row r="177">
      <c r="A177" s="40">
        <f t="array" ref="A177">IFNA(index(PlayerValues!A:A,match(IFNA(vlookup(B177,'Special Names'!A:B,2,FALSE),B177),PlayerValues!E:E,0)),"N/A")</f>
        <v>14138</v>
      </c>
      <c r="B177" s="4" t="s">
        <v>531</v>
      </c>
      <c r="C177" s="4" t="s">
        <v>298</v>
      </c>
      <c r="D177" s="94">
        <v>3034.0</v>
      </c>
    </row>
    <row r="178">
      <c r="A178" s="40">
        <f t="array" ref="A178">IFNA(index(PlayerValues!A:A,match(IFNA(vlookup(B178,'Special Names'!A:B,2,FALSE),B178),PlayerValues!E:E,0)),"N/A")</f>
        <v>17048</v>
      </c>
      <c r="B178" s="4" t="s">
        <v>539</v>
      </c>
      <c r="C178" s="4" t="s">
        <v>278</v>
      </c>
      <c r="D178" s="94">
        <v>2615.0</v>
      </c>
    </row>
    <row r="179">
      <c r="A179" s="40">
        <f t="array" ref="A179">IFNA(index(PlayerValues!A:A,match(IFNA(vlookup(B179,'Special Names'!A:B,2,FALSE),B179),PlayerValues!E:E,0)),"N/A")</f>
        <v>13674</v>
      </c>
      <c r="B179" s="4" t="s">
        <v>511</v>
      </c>
      <c r="C179" s="4" t="s">
        <v>298</v>
      </c>
      <c r="D179" s="94">
        <v>3012.0</v>
      </c>
    </row>
    <row r="180">
      <c r="A180" s="40">
        <f t="array" ref="A180">IFNA(index(PlayerValues!A:A,match(IFNA(vlookup(B180,'Special Names'!A:B,2,FALSE),B180),PlayerValues!E:E,0)),"N/A")</f>
        <v>14778</v>
      </c>
      <c r="B180" s="4" t="s">
        <v>564</v>
      </c>
      <c r="C180" s="4" t="s">
        <v>283</v>
      </c>
      <c r="D180" s="94">
        <v>2611.0</v>
      </c>
    </row>
    <row r="181">
      <c r="A181" s="40">
        <f t="array" ref="A181">IFNA(index(PlayerValues!A:A,match(IFNA(vlookup(B181,'Special Names'!A:B,2,FALSE),B181),PlayerValues!E:E,0)),"N/A")</f>
        <v>14833</v>
      </c>
      <c r="B181" s="4" t="s">
        <v>553</v>
      </c>
      <c r="C181" s="4" t="s">
        <v>287</v>
      </c>
      <c r="D181" s="94">
        <v>2603.0</v>
      </c>
    </row>
    <row r="182">
      <c r="A182" s="40">
        <f t="array" ref="A182">IFNA(index(PlayerValues!A:A,match(IFNA(vlookup(B182,'Special Names'!A:B,2,FALSE),B182),PlayerValues!E:E,0)),"N/A")</f>
        <v>15259</v>
      </c>
      <c r="B182" s="4" t="s">
        <v>453</v>
      </c>
      <c r="C182" s="4" t="s">
        <v>278</v>
      </c>
      <c r="D182" s="94">
        <v>2601.0</v>
      </c>
    </row>
    <row r="183">
      <c r="A183" s="40">
        <f t="array" ref="A183">IFNA(index(PlayerValues!A:A,match(IFNA(vlookup(B183,'Special Names'!A:B,2,FALSE),B183),PlayerValues!E:E,0)),"N/A")</f>
        <v>14800</v>
      </c>
      <c r="B183" s="4" t="s">
        <v>472</v>
      </c>
      <c r="C183" s="4" t="s">
        <v>278</v>
      </c>
      <c r="D183" s="94">
        <v>2599.0</v>
      </c>
    </row>
    <row r="184">
      <c r="A184" s="40">
        <f t="array" ref="A184">IFNA(index(PlayerValues!A:A,match(IFNA(vlookup(B184,'Special Names'!A:B,2,FALSE),B184),PlayerValues!E:E,0)),"N/A")</f>
        <v>16166</v>
      </c>
      <c r="B184" s="4" t="s">
        <v>567</v>
      </c>
      <c r="C184" s="4" t="s">
        <v>278</v>
      </c>
      <c r="D184" s="94">
        <v>2594.0</v>
      </c>
    </row>
    <row r="185">
      <c r="A185" s="40">
        <f t="array" ref="A185">IFNA(index(PlayerValues!A:A,match(IFNA(vlookup(B185,'Special Names'!A:B,2,FALSE),B185),PlayerValues!E:E,0)),"N/A")</f>
        <v>13671</v>
      </c>
      <c r="B185" s="4" t="s">
        <v>506</v>
      </c>
      <c r="C185" s="4" t="s">
        <v>298</v>
      </c>
      <c r="D185" s="94">
        <v>2986.0</v>
      </c>
    </row>
    <row r="186">
      <c r="A186" s="40">
        <f t="array" ref="A186">IFNA(index(PlayerValues!A:A,match(IFNA(vlookup(B186,'Special Names'!A:B,2,FALSE),B186),PlayerValues!E:E,0)),"N/A")</f>
        <v>14136</v>
      </c>
      <c r="B186" s="4" t="s">
        <v>536</v>
      </c>
      <c r="C186" s="4" t="s">
        <v>287</v>
      </c>
      <c r="D186" s="94">
        <v>2583.0</v>
      </c>
    </row>
    <row r="187">
      <c r="A187" s="40">
        <f t="array" ref="A187">IFNA(index(PlayerValues!A:A,match(IFNA(vlookup(B187,'Special Names'!A:B,2,FALSE),B187),PlayerValues!E:E,0)),"N/A")</f>
        <v>15972</v>
      </c>
      <c r="B187" s="4" t="s">
        <v>469</v>
      </c>
      <c r="C187" s="4" t="s">
        <v>278</v>
      </c>
      <c r="D187" s="94">
        <v>2572.0</v>
      </c>
    </row>
    <row r="188">
      <c r="A188" s="40">
        <f t="array" ref="A188">IFNA(index(PlayerValues!A:A,match(IFNA(vlookup(B188,'Special Names'!A:B,2,FALSE),B188),PlayerValues!E:E,0)),"N/A")</f>
        <v>16287</v>
      </c>
      <c r="B188" s="4" t="s">
        <v>516</v>
      </c>
      <c r="C188" s="4" t="s">
        <v>287</v>
      </c>
      <c r="D188" s="94">
        <v>2545.0</v>
      </c>
    </row>
    <row r="189">
      <c r="A189" s="40" t="str">
        <f t="array" ref="A189">IFNA(index(PlayerValues!A:A,match(IFNA(vlookup(B189,'Special Names'!A:B,2,FALSE),B189),PlayerValues!E:E,0)),"N/A")</f>
        <v>N/A</v>
      </c>
      <c r="B189" s="4" t="s">
        <v>557</v>
      </c>
      <c r="C189" s="4" t="s">
        <v>278</v>
      </c>
      <c r="D189" s="94">
        <v>2533.0</v>
      </c>
    </row>
    <row r="190">
      <c r="A190" s="40">
        <f t="array" ref="A190">IFNA(index(PlayerValues!A:A,match(IFNA(vlookup(B190,'Special Names'!A:B,2,FALSE),B190),PlayerValues!E:E,0)),"N/A")</f>
        <v>17108</v>
      </c>
      <c r="B190" s="4" t="s">
        <v>542</v>
      </c>
      <c r="C190" s="4" t="s">
        <v>298</v>
      </c>
      <c r="D190" s="94">
        <v>2886.0</v>
      </c>
    </row>
    <row r="191">
      <c r="A191" s="40">
        <f t="array" ref="A191">IFNA(index(PlayerValues!A:A,match(IFNA(vlookup(B191,'Special Names'!A:B,2,FALSE),B191),PlayerValues!E:E,0)),"N/A")</f>
        <v>17079</v>
      </c>
      <c r="B191" s="4" t="s">
        <v>572</v>
      </c>
      <c r="C191" s="4" t="s">
        <v>287</v>
      </c>
      <c r="D191" s="94">
        <v>2489.0</v>
      </c>
    </row>
    <row r="192">
      <c r="A192" s="40" t="str">
        <f t="array" ref="A192">IFNA(index(PlayerValues!A:A,match(IFNA(vlookup(B192,'Special Names'!A:B,2,FALSE),B192),PlayerValues!E:E,0)),"N/A")</f>
        <v>N/A</v>
      </c>
      <c r="B192" s="4" t="s">
        <v>86</v>
      </c>
      <c r="C192" s="4" t="s">
        <v>325</v>
      </c>
      <c r="D192" s="94">
        <v>2445.0</v>
      </c>
    </row>
    <row r="193">
      <c r="A193" s="40">
        <f t="array" ref="A193">IFNA(index(PlayerValues!A:A,match(IFNA(vlookup(B193,'Special Names'!A:B,2,FALSE),B193),PlayerValues!E:E,0)),"N/A")</f>
        <v>16617</v>
      </c>
      <c r="B193" s="4" t="s">
        <v>541</v>
      </c>
      <c r="C193" s="4" t="s">
        <v>287</v>
      </c>
      <c r="D193" s="94">
        <v>2422.0</v>
      </c>
    </row>
    <row r="194">
      <c r="A194" s="40">
        <f t="array" ref="A194">IFNA(index(PlayerValues!A:A,match(IFNA(vlookup(B194,'Special Names'!A:B,2,FALSE),B194),PlayerValues!E:E,0)),"N/A")</f>
        <v>12676</v>
      </c>
      <c r="B194" s="4" t="s">
        <v>537</v>
      </c>
      <c r="C194" s="4" t="s">
        <v>298</v>
      </c>
      <c r="D194" s="94">
        <v>2804.0</v>
      </c>
    </row>
    <row r="195">
      <c r="A195" s="40">
        <f t="array" ref="A195">IFNA(index(PlayerValues!A:A,match(IFNA(vlookup(B195,'Special Names'!A:B,2,FALSE),B195),PlayerValues!E:E,0)),"N/A")</f>
        <v>15716</v>
      </c>
      <c r="B195" s="4" t="s">
        <v>545</v>
      </c>
      <c r="C195" s="4" t="s">
        <v>278</v>
      </c>
      <c r="D195" s="94">
        <v>2413.0</v>
      </c>
    </row>
    <row r="196">
      <c r="A196" s="40">
        <f t="array" ref="A196">IFNA(index(PlayerValues!A:A,match(IFNA(vlookup(B196,'Special Names'!A:B,2,FALSE),B196),PlayerValues!E:E,0)),"N/A")</f>
        <v>12616</v>
      </c>
      <c r="B196" s="4" t="s">
        <v>529</v>
      </c>
      <c r="C196" s="4" t="s">
        <v>283</v>
      </c>
      <c r="D196" s="94">
        <v>2406.0</v>
      </c>
    </row>
    <row r="197">
      <c r="A197" s="40">
        <f t="array" ref="A197">IFNA(index(PlayerValues!A:A,match(IFNA(vlookup(B197,'Special Names'!A:B,2,FALSE),B197),PlayerValues!E:E,0)),"N/A")</f>
        <v>13192</v>
      </c>
      <c r="B197" s="4" t="s">
        <v>563</v>
      </c>
      <c r="C197" s="4" t="s">
        <v>298</v>
      </c>
      <c r="D197" s="94">
        <v>2795.0</v>
      </c>
    </row>
    <row r="198">
      <c r="A198" s="40">
        <f t="array" ref="A198">IFNA(index(PlayerValues!A:A,match(IFNA(vlookup(B198,'Special Names'!A:B,2,FALSE),B198),PlayerValues!E:E,0)),"N/A")</f>
        <v>17033</v>
      </c>
      <c r="B198" s="4" t="s">
        <v>570</v>
      </c>
      <c r="C198" s="4" t="s">
        <v>283</v>
      </c>
      <c r="D198" s="94">
        <v>2403.0</v>
      </c>
    </row>
    <row r="199">
      <c r="A199" s="40">
        <f t="array" ref="A199">IFNA(index(PlayerValues!A:A,match(IFNA(vlookup(B199,'Special Names'!A:B,2,FALSE),B199),PlayerValues!E:E,0)),"N/A")</f>
        <v>16164</v>
      </c>
      <c r="B199" s="4" t="s">
        <v>512</v>
      </c>
      <c r="C199" s="4" t="s">
        <v>278</v>
      </c>
      <c r="D199" s="94">
        <v>2376.0</v>
      </c>
    </row>
    <row r="200">
      <c r="A200" s="40">
        <f t="array" ref="A200">IFNA(index(PlayerValues!A:A,match(IFNA(vlookup(B200,'Special Names'!A:B,2,FALSE),B200),PlayerValues!E:E,0)),"N/A")</f>
        <v>16597</v>
      </c>
      <c r="B200" s="4" t="s">
        <v>427</v>
      </c>
      <c r="C200" s="4" t="s">
        <v>278</v>
      </c>
      <c r="D200" s="94">
        <v>2376.0</v>
      </c>
    </row>
    <row r="201">
      <c r="A201" s="40" t="str">
        <f t="array" ref="A201">IFNA(index(PlayerValues!A:A,match(IFNA(vlookup(B201,'Special Names'!A:B,2,FALSE),B201),PlayerValues!E:E,0)),"N/A")</f>
        <v>N/A</v>
      </c>
      <c r="B201" s="4" t="s">
        <v>98</v>
      </c>
      <c r="C201" s="4" t="s">
        <v>325</v>
      </c>
      <c r="D201" s="94">
        <v>2375.0</v>
      </c>
    </row>
    <row r="202">
      <c r="A202" s="40">
        <f t="array" ref="A202">IFNA(index(PlayerValues!A:A,match(IFNA(vlookup(B202,'Special Names'!A:B,2,FALSE),B202),PlayerValues!E:E,0)),"N/A")</f>
        <v>16178</v>
      </c>
      <c r="B202" s="4" t="s">
        <v>507</v>
      </c>
      <c r="C202" s="4" t="s">
        <v>278</v>
      </c>
      <c r="D202" s="94">
        <v>2372.0</v>
      </c>
    </row>
    <row r="203">
      <c r="A203" s="40">
        <f t="array" ref="A203">IFNA(index(PlayerValues!A:A,match(IFNA(vlookup(B203,'Special Names'!A:B,2,FALSE),B203),PlayerValues!E:E,0)),"N/A")</f>
        <v>16610</v>
      </c>
      <c r="B203" s="4" t="s">
        <v>562</v>
      </c>
      <c r="C203" s="4" t="s">
        <v>278</v>
      </c>
      <c r="D203" s="94">
        <v>2355.0</v>
      </c>
    </row>
    <row r="204">
      <c r="A204" s="40">
        <f t="array" ref="A204">IFNA(index(PlayerValues!A:A,match(IFNA(vlookup(B204,'Special Names'!A:B,2,FALSE),B204),PlayerValues!E:E,0)),"N/A")</f>
        <v>15721</v>
      </c>
      <c r="B204" s="4" t="s">
        <v>504</v>
      </c>
      <c r="C204" s="4" t="s">
        <v>278</v>
      </c>
      <c r="D204" s="94">
        <v>2350.0</v>
      </c>
    </row>
    <row r="205">
      <c r="A205" s="40">
        <f t="array" ref="A205">IFNA(index(PlayerValues!A:A,match(IFNA(vlookup(B205,'Special Names'!A:B,2,FALSE),B205),PlayerValues!E:E,0)),"N/A")</f>
        <v>16204</v>
      </c>
      <c r="B205" s="4" t="s">
        <v>530</v>
      </c>
      <c r="C205" s="4" t="s">
        <v>287</v>
      </c>
      <c r="D205" s="94">
        <v>2348.0</v>
      </c>
    </row>
    <row r="206">
      <c r="A206" s="40">
        <f t="array" ref="A206">IFNA(index(PlayerValues!A:A,match(IFNA(vlookup(B206,'Special Names'!A:B,2,FALSE),B206),PlayerValues!E:E,0)),"N/A")</f>
        <v>16189</v>
      </c>
      <c r="B206" s="4" t="s">
        <v>582</v>
      </c>
      <c r="C206" s="4" t="s">
        <v>287</v>
      </c>
      <c r="D206" s="94">
        <v>2346.0</v>
      </c>
    </row>
    <row r="207">
      <c r="A207" s="40">
        <f t="array" ref="A207">IFNA(index(PlayerValues!A:A,match(IFNA(vlookup(B207,'Special Names'!A:B,2,FALSE),B207),PlayerValues!E:E,0)),"N/A")</f>
        <v>16152</v>
      </c>
      <c r="B207" s="4" t="s">
        <v>601</v>
      </c>
      <c r="C207" s="4" t="s">
        <v>283</v>
      </c>
      <c r="D207" s="94">
        <v>2326.0</v>
      </c>
    </row>
    <row r="208">
      <c r="A208" s="40">
        <f t="array" ref="A208">IFNA(index(PlayerValues!A:A,match(IFNA(vlookup(B208,'Special Names'!A:B,2,FALSE),B208),PlayerValues!E:E,0)),"N/A")</f>
        <v>13319</v>
      </c>
      <c r="B208" s="4" t="s">
        <v>549</v>
      </c>
      <c r="C208" s="4" t="s">
        <v>278</v>
      </c>
      <c r="D208" s="94">
        <v>2319.0</v>
      </c>
    </row>
    <row r="209">
      <c r="A209" s="40">
        <f t="array" ref="A209">IFNA(index(PlayerValues!A:A,match(IFNA(vlookup(B209,'Special Names'!A:B,2,FALSE),B209),PlayerValues!E:E,0)),"N/A")</f>
        <v>14861</v>
      </c>
      <c r="B209" s="4" t="s">
        <v>523</v>
      </c>
      <c r="C209" s="4" t="s">
        <v>298</v>
      </c>
      <c r="D209" s="94">
        <v>2704.0</v>
      </c>
    </row>
    <row r="210">
      <c r="A210" s="40">
        <f t="array" ref="A210">IFNA(index(PlayerValues!A:A,match(IFNA(vlookup(B210,'Special Names'!A:B,2,FALSE),B210),PlayerValues!E:E,0)),"N/A")</f>
        <v>13132</v>
      </c>
      <c r="B210" s="4" t="s">
        <v>598</v>
      </c>
      <c r="C210" s="4" t="s">
        <v>278</v>
      </c>
      <c r="D210" s="94">
        <v>2314.0</v>
      </c>
    </row>
    <row r="211">
      <c r="A211" s="40">
        <f t="array" ref="A211">IFNA(index(PlayerValues!A:A,match(IFNA(vlookup(B211,'Special Names'!A:B,2,FALSE),B211),PlayerValues!E:E,0)),"N/A")</f>
        <v>17078</v>
      </c>
      <c r="B211" s="4" t="s">
        <v>543</v>
      </c>
      <c r="C211" s="4" t="s">
        <v>287</v>
      </c>
      <c r="D211" s="94">
        <v>2311.0</v>
      </c>
    </row>
    <row r="212">
      <c r="A212" s="40">
        <f t="array" ref="A212">IFNA(index(PlayerValues!A:A,match(IFNA(vlookup(B212,'Special Names'!A:B,2,FALSE),B212),PlayerValues!E:E,0)),"N/A")</f>
        <v>17076</v>
      </c>
      <c r="B212" s="4" t="s">
        <v>585</v>
      </c>
      <c r="C212" s="4" t="s">
        <v>287</v>
      </c>
      <c r="D212" s="94">
        <v>2309.0</v>
      </c>
    </row>
    <row r="213">
      <c r="A213" s="40">
        <f t="array" ref="A213">IFNA(index(PlayerValues!A:A,match(IFNA(vlookup(B213,'Special Names'!A:B,2,FALSE),B213),PlayerValues!E:E,0)),"N/A")</f>
        <v>16639</v>
      </c>
      <c r="B213" s="4" t="s">
        <v>599</v>
      </c>
      <c r="C213" s="4" t="s">
        <v>287</v>
      </c>
      <c r="D213" s="94">
        <v>2303.0</v>
      </c>
    </row>
    <row r="214">
      <c r="A214" s="40">
        <f t="array" ref="A214">IFNA(index(PlayerValues!A:A,match(IFNA(vlookup(B214,'Special Names'!A:B,2,FALSE),B214),PlayerValues!E:E,0)),"N/A")</f>
        <v>17049</v>
      </c>
      <c r="B214" s="4" t="s">
        <v>624</v>
      </c>
      <c r="C214" s="4" t="s">
        <v>278</v>
      </c>
      <c r="D214" s="94">
        <v>2294.0</v>
      </c>
    </row>
    <row r="215">
      <c r="A215" s="40" t="str">
        <f t="array" ref="A215">IFNA(index(PlayerValues!A:A,match(IFNA(vlookup(B215,'Special Names'!A:B,2,FALSE),B215),PlayerValues!E:E,0)),"N/A")</f>
        <v>N/A</v>
      </c>
      <c r="B215" s="4" t="s">
        <v>87</v>
      </c>
      <c r="C215" s="4" t="s">
        <v>325</v>
      </c>
      <c r="D215" s="94">
        <v>2289.0</v>
      </c>
    </row>
    <row r="216">
      <c r="A216" s="40" t="str">
        <f t="array" ref="A216">IFNA(index(PlayerValues!A:A,match(IFNA(vlookup(B216,'Special Names'!A:B,2,FALSE),B216),PlayerValues!E:E,0)),"N/A")</f>
        <v>N/A</v>
      </c>
      <c r="B216" s="4" t="s">
        <v>99</v>
      </c>
      <c r="C216" s="4" t="s">
        <v>325</v>
      </c>
      <c r="D216" s="94">
        <v>2272.0</v>
      </c>
    </row>
    <row r="217">
      <c r="A217" s="40">
        <f t="array" ref="A217">IFNA(index(PlayerValues!A:A,match(IFNA(vlookup(B217,'Special Names'!A:B,2,FALSE),B217),PlayerValues!E:E,0)),"N/A")</f>
        <v>17105</v>
      </c>
      <c r="B217" s="4" t="s">
        <v>525</v>
      </c>
      <c r="C217" s="4" t="s">
        <v>298</v>
      </c>
      <c r="D217" s="94">
        <v>2648.0</v>
      </c>
    </row>
    <row r="218">
      <c r="A218" s="40">
        <f t="array" ref="A218">IFNA(index(PlayerValues!A:A,match(IFNA(vlookup(B218,'Special Names'!A:B,2,FALSE),B218),PlayerValues!E:E,0)),"N/A")</f>
        <v>16195</v>
      </c>
      <c r="B218" s="4" t="s">
        <v>509</v>
      </c>
      <c r="C218" s="4" t="s">
        <v>287</v>
      </c>
      <c r="D218" s="94">
        <v>2256.0</v>
      </c>
    </row>
    <row r="219">
      <c r="A219" s="40">
        <f t="array" ref="A219">IFNA(index(PlayerValues!A:A,match(IFNA(vlookup(B219,'Special Names'!A:B,2,FALSE),B219),PlayerValues!E:E,0)),"N/A")</f>
        <v>16432</v>
      </c>
      <c r="B219" s="4" t="s">
        <v>620</v>
      </c>
      <c r="C219" s="4" t="s">
        <v>278</v>
      </c>
      <c r="D219" s="94">
        <v>2242.0</v>
      </c>
    </row>
    <row r="220">
      <c r="A220" s="40">
        <f t="array" ref="A220">IFNA(index(PlayerValues!A:A,match(IFNA(vlookup(B220,'Special Names'!A:B,2,FALSE),B220),PlayerValues!E:E,0)),"N/A")</f>
        <v>15802</v>
      </c>
      <c r="B220" s="4" t="s">
        <v>566</v>
      </c>
      <c r="C220" s="4" t="s">
        <v>298</v>
      </c>
      <c r="D220" s="94">
        <v>2614.0</v>
      </c>
    </row>
    <row r="221">
      <c r="A221" s="40">
        <f t="array" ref="A221">IFNA(index(PlayerValues!A:A,match(IFNA(vlookup(B221,'Special Names'!A:B,2,FALSE),B221),PlayerValues!E:E,0)),"N/A")</f>
        <v>16171</v>
      </c>
      <c r="B221" s="4" t="s">
        <v>618</v>
      </c>
      <c r="C221" s="4" t="s">
        <v>278</v>
      </c>
      <c r="D221" s="94">
        <v>2230.0</v>
      </c>
    </row>
    <row r="222">
      <c r="A222" s="40">
        <f t="array" ref="A222">IFNA(index(PlayerValues!A:A,match(IFNA(vlookup(B222,'Special Names'!A:B,2,FALSE),B222),PlayerValues!E:E,0)),"N/A")</f>
        <v>13772</v>
      </c>
      <c r="B222" s="4" t="s">
        <v>544</v>
      </c>
      <c r="C222" s="4" t="s">
        <v>298</v>
      </c>
      <c r="D222" s="94">
        <v>2611.0</v>
      </c>
    </row>
    <row r="223">
      <c r="A223" s="40">
        <f t="array" ref="A223">IFNA(index(PlayerValues!A:A,match(IFNA(vlookup(B223,'Special Names'!A:B,2,FALSE),B223),PlayerValues!E:E,0)),"N/A")</f>
        <v>15749</v>
      </c>
      <c r="B223" s="4" t="s">
        <v>574</v>
      </c>
      <c r="C223" s="4" t="s">
        <v>278</v>
      </c>
      <c r="D223" s="94">
        <v>2204.0</v>
      </c>
    </row>
    <row r="224">
      <c r="A224" s="40">
        <f t="array" ref="A224">IFNA(index(PlayerValues!A:A,match(IFNA(vlookup(B224,'Special Names'!A:B,2,FALSE),B224),PlayerValues!E:E,0)),"N/A")</f>
        <v>16174</v>
      </c>
      <c r="B224" s="4" t="s">
        <v>505</v>
      </c>
      <c r="C224" s="4" t="s">
        <v>278</v>
      </c>
      <c r="D224" s="94">
        <v>2200.0</v>
      </c>
    </row>
    <row r="225">
      <c r="A225" s="40">
        <f t="array" ref="A225">IFNA(index(PlayerValues!A:A,match(IFNA(vlookup(B225,'Special Names'!A:B,2,FALSE),B225),PlayerValues!E:E,0)),"N/A")</f>
        <v>16752</v>
      </c>
      <c r="B225" s="4" t="s">
        <v>597</v>
      </c>
      <c r="C225" s="4" t="s">
        <v>278</v>
      </c>
      <c r="D225" s="94">
        <v>2200.0</v>
      </c>
    </row>
    <row r="226">
      <c r="A226" s="40">
        <f t="array" ref="A226">IFNA(index(PlayerValues!A:A,match(IFNA(vlookup(B226,'Special Names'!A:B,2,FALSE),B226),PlayerValues!E:E,0)),"N/A")</f>
        <v>15238</v>
      </c>
      <c r="B226" s="4" t="s">
        <v>613</v>
      </c>
      <c r="C226" s="4" t="s">
        <v>283</v>
      </c>
      <c r="D226" s="94">
        <v>2164.0</v>
      </c>
    </row>
    <row r="227">
      <c r="A227" s="40">
        <f t="array" ref="A227">IFNA(index(PlayerValues!A:A,match(IFNA(vlookup(B227,'Special Names'!A:B,2,FALSE),B227),PlayerValues!E:E,0)),"N/A")</f>
        <v>12801</v>
      </c>
      <c r="B227" s="4" t="s">
        <v>722</v>
      </c>
      <c r="C227" s="4" t="s">
        <v>287</v>
      </c>
      <c r="D227" s="94">
        <v>2159.0</v>
      </c>
    </row>
    <row r="228">
      <c r="A228" s="40" t="str">
        <f t="array" ref="A228">IFNA(index(PlayerValues!A:A,match(IFNA(vlookup(B228,'Special Names'!A:B,2,FALSE),B228),PlayerValues!E:E,0)),"N/A")</f>
        <v>N/A</v>
      </c>
      <c r="B228" s="4" t="s">
        <v>88</v>
      </c>
      <c r="C228" s="4" t="s">
        <v>325</v>
      </c>
      <c r="D228" s="94">
        <v>2158.0</v>
      </c>
    </row>
    <row r="229">
      <c r="A229" s="40">
        <f t="array" ref="A229">IFNA(index(PlayerValues!A:A,match(IFNA(vlookup(B229,'Special Names'!A:B,2,FALSE),B229),PlayerValues!E:E,0)),"N/A")</f>
        <v>16342</v>
      </c>
      <c r="B229" s="4" t="s">
        <v>583</v>
      </c>
      <c r="C229" s="4" t="s">
        <v>287</v>
      </c>
      <c r="D229" s="94">
        <v>2146.0</v>
      </c>
    </row>
    <row r="230">
      <c r="A230" s="40">
        <f t="array" ref="A230">IFNA(index(PlayerValues!A:A,match(IFNA(vlookup(B230,'Special Names'!A:B,2,FALSE),B230),PlayerValues!E:E,0)),"N/A")</f>
        <v>16684</v>
      </c>
      <c r="B230" s="4" t="s">
        <v>500</v>
      </c>
      <c r="C230" s="4" t="s">
        <v>287</v>
      </c>
      <c r="D230" s="94">
        <v>2138.0</v>
      </c>
    </row>
    <row r="231">
      <c r="A231" s="40">
        <f t="array" ref="A231">IFNA(index(PlayerValues!A:A,match(IFNA(vlookup(B231,'Special Names'!A:B,2,FALSE),B231),PlayerValues!E:E,0)),"N/A")</f>
        <v>16212</v>
      </c>
      <c r="B231" s="4" t="s">
        <v>568</v>
      </c>
      <c r="C231" s="4" t="s">
        <v>298</v>
      </c>
      <c r="D231" s="94">
        <v>2516.0</v>
      </c>
    </row>
    <row r="232">
      <c r="A232" s="40">
        <f t="array" ref="A232">IFNA(index(PlayerValues!A:A,match(IFNA(vlookup(B232,'Special Names'!A:B,2,FALSE),B232),PlayerValues!E:E,0)),"N/A")</f>
        <v>16191</v>
      </c>
      <c r="B232" s="4" t="s">
        <v>666</v>
      </c>
      <c r="C232" s="4" t="s">
        <v>287</v>
      </c>
      <c r="D232" s="94">
        <v>2135.0</v>
      </c>
    </row>
    <row r="233">
      <c r="A233" s="40" t="str">
        <f t="array" ref="A233">IFNA(index(PlayerValues!A:A,match(IFNA(vlookup(B233,'Special Names'!A:B,2,FALSE),B233),PlayerValues!E:E,0)),"N/A")</f>
        <v>N/A</v>
      </c>
      <c r="B233" s="4" t="s">
        <v>100</v>
      </c>
      <c r="C233" s="4" t="s">
        <v>325</v>
      </c>
      <c r="D233" s="94">
        <v>2117.0</v>
      </c>
    </row>
    <row r="234">
      <c r="A234" s="40" t="str">
        <f t="array" ref="A234">IFNA(index(PlayerValues!A:A,match(IFNA(vlookup(B234,'Special Names'!A:B,2,FALSE),B234),PlayerValues!E:E,0)),"N/A")</f>
        <v>N/A</v>
      </c>
      <c r="B234" s="4" t="s">
        <v>112</v>
      </c>
      <c r="C234" s="4" t="s">
        <v>325</v>
      </c>
      <c r="D234" s="94">
        <v>2115.0</v>
      </c>
    </row>
    <row r="235">
      <c r="A235" s="40">
        <f t="array" ref="A235">IFNA(index(PlayerValues!A:A,match(IFNA(vlookup(B235,'Special Names'!A:B,2,FALSE),B235),PlayerValues!E:E,0)),"N/A")</f>
        <v>15694</v>
      </c>
      <c r="B235" s="4" t="s">
        <v>434</v>
      </c>
      <c r="C235" s="4" t="s">
        <v>283</v>
      </c>
      <c r="D235" s="94">
        <v>2084.0</v>
      </c>
    </row>
    <row r="236">
      <c r="A236" s="40">
        <f t="array" ref="A236">IFNA(index(PlayerValues!A:A,match(IFNA(vlookup(B236,'Special Names'!A:B,2,FALSE),B236),PlayerValues!E:E,0)),"N/A")</f>
        <v>15889</v>
      </c>
      <c r="B236" s="4" t="s">
        <v>503</v>
      </c>
      <c r="C236" s="4" t="s">
        <v>298</v>
      </c>
      <c r="D236" s="94">
        <v>2457.0</v>
      </c>
    </row>
    <row r="237">
      <c r="A237" s="40">
        <f t="array" ref="A237">IFNA(index(PlayerValues!A:A,match(IFNA(vlookup(B237,'Special Names'!A:B,2,FALSE),B237),PlayerValues!E:E,0)),"N/A")</f>
        <v>16643</v>
      </c>
      <c r="B237" s="4" t="s">
        <v>609</v>
      </c>
      <c r="C237" s="4" t="s">
        <v>298</v>
      </c>
      <c r="D237" s="94">
        <v>2451.0</v>
      </c>
    </row>
    <row r="238">
      <c r="A238" s="40">
        <f t="array" ref="A238">IFNA(index(PlayerValues!A:A,match(IFNA(vlookup(B238,'Special Names'!A:B,2,FALSE),B238),PlayerValues!E:E,0)),"N/A")</f>
        <v>15759</v>
      </c>
      <c r="B238" s="4" t="s">
        <v>662</v>
      </c>
      <c r="C238" s="4" t="s">
        <v>287</v>
      </c>
      <c r="D238" s="94">
        <v>2063.0</v>
      </c>
    </row>
    <row r="239">
      <c r="A239" s="40">
        <f t="array" ref="A239">IFNA(index(PlayerValues!A:A,match(IFNA(vlookup(B239,'Special Names'!A:B,2,FALSE),B239),PlayerValues!E:E,0)),"N/A")</f>
        <v>14867</v>
      </c>
      <c r="B239" s="4" t="s">
        <v>591</v>
      </c>
      <c r="C239" s="4" t="s">
        <v>298</v>
      </c>
      <c r="D239" s="94">
        <v>2415.0</v>
      </c>
    </row>
    <row r="240">
      <c r="A240" s="40">
        <f t="array" ref="A240">IFNA(index(PlayerValues!A:A,match(IFNA(vlookup(B240,'Special Names'!A:B,2,FALSE),B240),PlayerValues!E:E,0)),"N/A")</f>
        <v>15331</v>
      </c>
      <c r="B240" s="4" t="s">
        <v>560</v>
      </c>
      <c r="C240" s="4" t="s">
        <v>298</v>
      </c>
      <c r="D240" s="94">
        <v>2376.0</v>
      </c>
    </row>
    <row r="241">
      <c r="A241" s="40" t="str">
        <f t="array" ref="A241">IFNA(index(PlayerValues!A:A,match(IFNA(vlookup(B241,'Special Names'!A:B,2,FALSE),B241),PlayerValues!E:E,0)),"N/A")</f>
        <v>N/A</v>
      </c>
      <c r="B241" s="4" t="s">
        <v>113</v>
      </c>
      <c r="C241" s="4" t="s">
        <v>325</v>
      </c>
      <c r="D241" s="94">
        <v>2005.0</v>
      </c>
    </row>
    <row r="242">
      <c r="A242" s="40">
        <f t="array" ref="A242">IFNA(index(PlayerValues!A:A,match(IFNA(vlookup(B242,'Special Names'!A:B,2,FALSE),B242),PlayerValues!E:E,0)),"N/A")</f>
        <v>17087</v>
      </c>
      <c r="B242" s="4" t="s">
        <v>600</v>
      </c>
      <c r="C242" s="4" t="s">
        <v>287</v>
      </c>
      <c r="D242" s="94">
        <v>2000.0</v>
      </c>
    </row>
    <row r="243">
      <c r="A243" s="40">
        <f t="array" ref="A243">IFNA(index(PlayerValues!A:A,match(IFNA(vlookup(B243,'Special Names'!A:B,2,FALSE),B243),PlayerValues!E:E,0)),"N/A")</f>
        <v>14974</v>
      </c>
      <c r="B243" s="4" t="s">
        <v>611</v>
      </c>
      <c r="C243" s="4" t="s">
        <v>287</v>
      </c>
      <c r="D243" s="94">
        <v>1985.0</v>
      </c>
    </row>
    <row r="244">
      <c r="A244" s="40">
        <f t="array" ref="A244">IFNA(index(PlayerValues!A:A,match(IFNA(vlookup(B244,'Special Names'!A:B,2,FALSE),B244),PlayerValues!E:E,0)),"N/A")</f>
        <v>15293</v>
      </c>
      <c r="B244" s="4" t="s">
        <v>578</v>
      </c>
      <c r="C244" s="4" t="s">
        <v>287</v>
      </c>
      <c r="D244" s="94">
        <v>1981.0</v>
      </c>
    </row>
    <row r="245">
      <c r="A245" s="40">
        <f t="array" ref="A245">IFNA(index(PlayerValues!A:A,match(IFNA(vlookup(B245,'Special Names'!A:B,2,FALSE),B245),PlayerValues!E:E,0)),"N/A")</f>
        <v>16216</v>
      </c>
      <c r="B245" s="4" t="s">
        <v>595</v>
      </c>
      <c r="C245" s="4" t="s">
        <v>298</v>
      </c>
      <c r="D245" s="94">
        <v>2349.0</v>
      </c>
    </row>
    <row r="246">
      <c r="A246" s="40">
        <f t="array" ref="A246">IFNA(index(PlayerValues!A:A,match(IFNA(vlookup(B246,'Special Names'!A:B,2,FALSE),B246),PlayerValues!E:E,0)),"N/A")</f>
        <v>11244</v>
      </c>
      <c r="B246" s="4" t="s">
        <v>519</v>
      </c>
      <c r="C246" s="4" t="s">
        <v>298</v>
      </c>
      <c r="D246" s="94">
        <v>2338.0</v>
      </c>
    </row>
    <row r="247">
      <c r="A247" s="40">
        <f t="array" ref="A247">IFNA(index(PlayerValues!A:A,match(IFNA(vlookup(B247,'Special Names'!A:B,2,FALSE),B247),PlayerValues!E:E,0)),"N/A")</f>
        <v>16644</v>
      </c>
      <c r="B247" s="4" t="s">
        <v>640</v>
      </c>
      <c r="C247" s="4" t="s">
        <v>298</v>
      </c>
      <c r="D247" s="94">
        <v>2333.0</v>
      </c>
    </row>
    <row r="248">
      <c r="A248" s="40">
        <f t="array" ref="A248">IFNA(index(PlayerValues!A:A,match(IFNA(vlookup(B248,'Special Names'!A:B,2,FALSE),B248),PlayerValues!E:E,0)),"N/A")</f>
        <v>17184</v>
      </c>
      <c r="B248" s="4" t="s">
        <v>588</v>
      </c>
      <c r="C248" s="4" t="s">
        <v>287</v>
      </c>
      <c r="D248" s="94">
        <v>1960.0</v>
      </c>
    </row>
    <row r="249">
      <c r="A249" s="40">
        <f t="array" ref="A249">IFNA(index(PlayerValues!A:A,match(IFNA(vlookup(B249,'Special Names'!A:B,2,FALSE),B249),PlayerValues!E:E,0)),"N/A")</f>
        <v>14871</v>
      </c>
      <c r="B249" s="4" t="s">
        <v>584</v>
      </c>
      <c r="C249" s="4" t="s">
        <v>298</v>
      </c>
      <c r="D249" s="94">
        <v>2327.0</v>
      </c>
    </row>
    <row r="250">
      <c r="A250" s="40">
        <f t="array" ref="A250">IFNA(index(PlayerValues!A:A,match(IFNA(vlookup(B250,'Special Names'!A:B,2,FALSE),B250),PlayerValues!E:E,0)),"N/A")</f>
        <v>13146</v>
      </c>
      <c r="B250" s="4" t="s">
        <v>652</v>
      </c>
      <c r="C250" s="4" t="s">
        <v>278</v>
      </c>
      <c r="D250" s="94">
        <v>1954.0</v>
      </c>
    </row>
    <row r="251">
      <c r="A251" s="40">
        <f t="array" ref="A251">IFNA(index(PlayerValues!A:A,match(IFNA(vlookup(B251,'Special Names'!A:B,2,FALSE),B251),PlayerValues!E:E,0)),"N/A")</f>
        <v>17056</v>
      </c>
      <c r="B251" s="4" t="s">
        <v>581</v>
      </c>
      <c r="C251" s="4" t="s">
        <v>278</v>
      </c>
      <c r="D251" s="94">
        <v>1952.0</v>
      </c>
    </row>
    <row r="252">
      <c r="A252" s="40">
        <f t="array" ref="A252">IFNA(index(PlayerValues!A:A,match(IFNA(vlookup(B252,'Special Names'!A:B,2,FALSE),B252),PlayerValues!E:E,0)),"N/A")</f>
        <v>17034</v>
      </c>
      <c r="B252" s="4" t="s">
        <v>643</v>
      </c>
      <c r="C252" s="4" t="s">
        <v>283</v>
      </c>
      <c r="D252" s="94">
        <v>1942.0</v>
      </c>
    </row>
    <row r="253">
      <c r="A253" s="40">
        <f t="array" ref="A253">IFNA(index(PlayerValues!A:A,match(IFNA(vlookup(B253,'Special Names'!A:B,2,FALSE),B253),PlayerValues!E:E,0)),"N/A")</f>
        <v>16603</v>
      </c>
      <c r="B253" s="4" t="s">
        <v>587</v>
      </c>
      <c r="C253" s="4" t="s">
        <v>278</v>
      </c>
      <c r="D253" s="94">
        <v>1918.0</v>
      </c>
    </row>
    <row r="254">
      <c r="A254" s="40">
        <f t="array" ref="A254">IFNA(index(PlayerValues!A:A,match(IFNA(vlookup(B254,'Special Names'!A:B,2,FALSE),B254),PlayerValues!E:E,0)),"N/A")</f>
        <v>17060</v>
      </c>
      <c r="B254" s="4" t="s">
        <v>603</v>
      </c>
      <c r="C254" s="4" t="s">
        <v>278</v>
      </c>
      <c r="D254" s="94">
        <v>1918.0</v>
      </c>
    </row>
    <row r="255">
      <c r="A255" s="40" t="str">
        <f t="array" ref="A255">IFNA(index(PlayerValues!A:A,match(IFNA(vlookup(B255,'Special Names'!A:B,2,FALSE),B255),PlayerValues!E:E,0)),"N/A")</f>
        <v>N/A</v>
      </c>
      <c r="B255" s="4" t="s">
        <v>114</v>
      </c>
      <c r="C255" s="4" t="s">
        <v>325</v>
      </c>
      <c r="D255" s="94">
        <v>1905.0</v>
      </c>
    </row>
    <row r="256">
      <c r="A256" s="40">
        <f t="array" ref="A256">IFNA(index(PlayerValues!A:A,match(IFNA(vlookup(B256,'Special Names'!A:B,2,FALSE),B256),PlayerValues!E:E,0)),"N/A")</f>
        <v>16635</v>
      </c>
      <c r="B256" s="4" t="s">
        <v>645</v>
      </c>
      <c r="C256" s="4" t="s">
        <v>287</v>
      </c>
      <c r="D256" s="94">
        <v>1899.0</v>
      </c>
    </row>
    <row r="257">
      <c r="A257" s="40">
        <f t="array" ref="A257">IFNA(index(PlayerValues!A:A,match(IFNA(vlookup(B257,'Special Names'!A:B,2,FALSE),B257),PlayerValues!E:E,0)),"N/A")</f>
        <v>16215</v>
      </c>
      <c r="B257" s="4" t="s">
        <v>637</v>
      </c>
      <c r="C257" s="4" t="s">
        <v>298</v>
      </c>
      <c r="D257" s="94">
        <v>2263.0</v>
      </c>
    </row>
    <row r="258">
      <c r="A258" s="40">
        <f t="array" ref="A258">IFNA(index(PlayerValues!A:A,match(IFNA(vlookup(B258,'Special Names'!A:B,2,FALSE),B258),PlayerValues!E:E,0)),"N/A")</f>
        <v>15786</v>
      </c>
      <c r="B258" s="4" t="s">
        <v>521</v>
      </c>
      <c r="C258" s="4" t="s">
        <v>287</v>
      </c>
      <c r="D258" s="94">
        <v>1893.0</v>
      </c>
    </row>
    <row r="259">
      <c r="A259" s="40" t="str">
        <f t="array" ref="A259">IFNA(index(PlayerValues!A:A,match(IFNA(vlookup(B259,'Special Names'!A:B,2,FALSE),B259),PlayerValues!E:E,0)),"N/A")</f>
        <v>N/A</v>
      </c>
      <c r="B259" s="4" t="s">
        <v>89</v>
      </c>
      <c r="C259" s="4" t="s">
        <v>325</v>
      </c>
      <c r="D259" s="94">
        <v>1880.0</v>
      </c>
    </row>
    <row r="260">
      <c r="A260" s="40">
        <f t="array" ref="A260">IFNA(index(PlayerValues!A:A,match(IFNA(vlookup(B260,'Special Names'!A:B,2,FALSE),B260),PlayerValues!E:E,0)),"N/A")</f>
        <v>13189</v>
      </c>
      <c r="B260" s="4" t="s">
        <v>626</v>
      </c>
      <c r="C260" s="4" t="s">
        <v>298</v>
      </c>
      <c r="D260" s="94">
        <v>2244.0</v>
      </c>
    </row>
    <row r="261">
      <c r="A261" s="40">
        <f t="array" ref="A261">IFNA(index(PlayerValues!A:A,match(IFNA(vlookup(B261,'Special Names'!A:B,2,FALSE),B261),PlayerValues!E:E,0)),"N/A")</f>
        <v>16778</v>
      </c>
      <c r="B261" s="4" t="s">
        <v>577</v>
      </c>
      <c r="C261" s="4" t="s">
        <v>287</v>
      </c>
      <c r="D261" s="94">
        <v>1868.0</v>
      </c>
    </row>
    <row r="262">
      <c r="A262" s="40">
        <f t="array" ref="A262">IFNA(index(PlayerValues!A:A,match(IFNA(vlookup(B262,'Special Names'!A:B,2,FALSE),B262),PlayerValues!E:E,0)),"N/A")</f>
        <v>16201</v>
      </c>
      <c r="B262" s="4" t="s">
        <v>589</v>
      </c>
      <c r="C262" s="4" t="s">
        <v>287</v>
      </c>
      <c r="D262" s="94">
        <v>1866.0</v>
      </c>
    </row>
    <row r="263">
      <c r="A263" s="40">
        <f t="array" ref="A263">IFNA(index(PlayerValues!A:A,match(IFNA(vlookup(B263,'Special Names'!A:B,2,FALSE),B263),PlayerValues!E:E,0)),"N/A")</f>
        <v>17069</v>
      </c>
      <c r="B263" s="4" t="s">
        <v>604</v>
      </c>
      <c r="C263" s="4" t="s">
        <v>278</v>
      </c>
      <c r="D263" s="94">
        <v>1864.0</v>
      </c>
    </row>
    <row r="264">
      <c r="A264" s="40">
        <f t="array" ref="A264">IFNA(index(PlayerValues!A:A,match(IFNA(vlookup(B264,'Special Names'!A:B,2,FALSE),B264),PlayerValues!E:E,0)),"N/A")</f>
        <v>15727</v>
      </c>
      <c r="B264" s="4" t="s">
        <v>730</v>
      </c>
      <c r="C264" s="4" t="s">
        <v>278</v>
      </c>
      <c r="D264" s="94">
        <v>1851.0</v>
      </c>
    </row>
    <row r="265">
      <c r="A265" s="40">
        <f t="array" ref="A265">IFNA(index(PlayerValues!A:A,match(IFNA(vlookup(B265,'Special Names'!A:B,2,FALSE),B265),PlayerValues!E:E,0)),"N/A")</f>
        <v>11222</v>
      </c>
      <c r="B265" s="4" t="s">
        <v>622</v>
      </c>
      <c r="C265" s="4" t="s">
        <v>287</v>
      </c>
      <c r="D265" s="94">
        <v>1832.0</v>
      </c>
    </row>
    <row r="266">
      <c r="A266" s="40">
        <f t="array" ref="A266">IFNA(index(PlayerValues!A:A,match(IFNA(vlookup(B266,'Special Names'!A:B,2,FALSE),B266),PlayerValues!E:E,0)),"N/A")</f>
        <v>16207</v>
      </c>
      <c r="B266" s="4" t="s">
        <v>636</v>
      </c>
      <c r="C266" s="4" t="s">
        <v>287</v>
      </c>
      <c r="D266" s="94">
        <v>1826.0</v>
      </c>
    </row>
    <row r="267">
      <c r="A267" s="40">
        <f t="array" ref="A267">IFNA(index(PlayerValues!A:A,match(IFNA(vlookup(B267,'Special Names'!A:B,2,FALSE),B267),PlayerValues!E:E,0)),"N/A")</f>
        <v>14105</v>
      </c>
      <c r="B267" s="4" t="s">
        <v>675</v>
      </c>
      <c r="C267" s="4" t="s">
        <v>287</v>
      </c>
      <c r="D267" s="94">
        <v>1821.0</v>
      </c>
    </row>
    <row r="268">
      <c r="A268" s="40" t="str">
        <f t="array" ref="A268">IFNA(index(PlayerValues!A:A,match(IFNA(vlookup(B268,'Special Names'!A:B,2,FALSE),B268),PlayerValues!E:E,0)),"N/A")</f>
        <v>N/A</v>
      </c>
      <c r="B268" s="4" t="s">
        <v>101</v>
      </c>
      <c r="C268" s="4" t="s">
        <v>325</v>
      </c>
      <c r="D268" s="94">
        <v>1797.0</v>
      </c>
    </row>
    <row r="269">
      <c r="A269" s="40">
        <f t="array" ref="A269">IFNA(index(PlayerValues!A:A,match(IFNA(vlookup(B269,'Special Names'!A:B,2,FALSE),B269),PlayerValues!E:E,0)),"N/A")</f>
        <v>16788</v>
      </c>
      <c r="B269" s="4" t="s">
        <v>621</v>
      </c>
      <c r="C269" s="4" t="s">
        <v>287</v>
      </c>
      <c r="D269" s="94">
        <v>1788.0</v>
      </c>
    </row>
    <row r="270">
      <c r="A270" s="40">
        <f t="array" ref="A270">IFNA(index(PlayerValues!A:A,match(IFNA(vlookup(B270,'Special Names'!A:B,2,FALSE),B270),PlayerValues!E:E,0)),"N/A")</f>
        <v>15254</v>
      </c>
      <c r="B270" s="4" t="s">
        <v>633</v>
      </c>
      <c r="C270" s="4" t="s">
        <v>278</v>
      </c>
      <c r="D270" s="94">
        <v>1775.0</v>
      </c>
    </row>
    <row r="271">
      <c r="A271" s="40">
        <f t="array" ref="A271">IFNA(index(PlayerValues!A:A,match(IFNA(vlookup(B271,'Special Names'!A:B,2,FALSE),B271),PlayerValues!E:E,0)),"N/A")</f>
        <v>16601</v>
      </c>
      <c r="B271" s="4" t="s">
        <v>648</v>
      </c>
      <c r="C271" s="4" t="s">
        <v>278</v>
      </c>
      <c r="D271" s="94">
        <v>1775.0</v>
      </c>
    </row>
    <row r="272">
      <c r="A272" s="40">
        <f t="array" ref="A272">IFNA(index(PlayerValues!A:A,match(IFNA(vlookup(B272,'Special Names'!A:B,2,FALSE),B272),PlayerValues!E:E,0)),"N/A")</f>
        <v>16629</v>
      </c>
      <c r="B272" s="4" t="s">
        <v>605</v>
      </c>
      <c r="C272" s="4" t="s">
        <v>287</v>
      </c>
      <c r="D272" s="94">
        <v>1775.0</v>
      </c>
    </row>
    <row r="273">
      <c r="A273" s="40">
        <f t="array" ref="A273">IFNA(index(PlayerValues!A:A,match(IFNA(vlookup(B273,'Special Names'!A:B,2,FALSE),B273),PlayerValues!E:E,0)),"N/A")</f>
        <v>17061</v>
      </c>
      <c r="B273" s="4" t="s">
        <v>580</v>
      </c>
      <c r="C273" s="4" t="s">
        <v>278</v>
      </c>
      <c r="D273" s="94">
        <v>1766.0</v>
      </c>
    </row>
    <row r="274">
      <c r="A274" s="40">
        <f t="array" ref="A274">IFNA(index(PlayerValues!A:A,match(IFNA(vlookup(B274,'Special Names'!A:B,2,FALSE),B274),PlayerValues!E:E,0)),"N/A")</f>
        <v>14122</v>
      </c>
      <c r="B274" s="4" t="s">
        <v>663</v>
      </c>
      <c r="C274" s="4" t="s">
        <v>287</v>
      </c>
      <c r="D274" s="94">
        <v>1757.0</v>
      </c>
    </row>
    <row r="275">
      <c r="A275" s="40">
        <f t="array" ref="A275">IFNA(index(PlayerValues!A:A,match(IFNA(vlookup(B275,'Special Names'!A:B,2,FALSE),B275),PlayerValues!E:E,0)),"N/A")</f>
        <v>15787</v>
      </c>
      <c r="B275" s="4" t="s">
        <v>610</v>
      </c>
      <c r="C275" s="4" t="s">
        <v>287</v>
      </c>
      <c r="D275" s="94">
        <v>1733.0</v>
      </c>
    </row>
    <row r="276">
      <c r="A276" s="40">
        <f t="array" ref="A276">IFNA(index(PlayerValues!A:A,match(IFNA(vlookup(B276,'Special Names'!A:B,2,FALSE),B276),PlayerValues!E:E,0)),"N/A")</f>
        <v>13633</v>
      </c>
      <c r="B276" s="4" t="s">
        <v>625</v>
      </c>
      <c r="C276" s="4" t="s">
        <v>287</v>
      </c>
      <c r="D276" s="94">
        <v>1730.0</v>
      </c>
    </row>
    <row r="277">
      <c r="A277" s="40">
        <f t="array" ref="A277">IFNA(index(PlayerValues!A:A,match(IFNA(vlookup(B277,'Special Names'!A:B,2,FALSE),B277),PlayerValues!E:E,0)),"N/A")</f>
        <v>7836</v>
      </c>
      <c r="B277" s="4" t="s">
        <v>590</v>
      </c>
      <c r="C277" s="4" t="s">
        <v>283</v>
      </c>
      <c r="D277" s="94">
        <v>1719.0</v>
      </c>
    </row>
    <row r="278">
      <c r="A278" s="40">
        <f t="array" ref="A278">IFNA(index(PlayerValues!A:A,match(IFNA(vlookup(B278,'Special Names'!A:B,2,FALSE),B278),PlayerValues!E:E,0)),"N/A")</f>
        <v>17086</v>
      </c>
      <c r="B278" s="4" t="s">
        <v>612</v>
      </c>
      <c r="C278" s="4" t="s">
        <v>287</v>
      </c>
      <c r="D278" s="94">
        <v>1717.0</v>
      </c>
    </row>
    <row r="279">
      <c r="A279" s="40">
        <f t="array" ref="A279">IFNA(index(PlayerValues!A:A,match(IFNA(vlookup(B279,'Special Names'!A:B,2,FALSE),B279),PlayerValues!E:E,0)),"N/A")</f>
        <v>16585</v>
      </c>
      <c r="B279" s="4" t="s">
        <v>623</v>
      </c>
      <c r="C279" s="4" t="s">
        <v>283</v>
      </c>
      <c r="D279" s="94">
        <v>1712.0</v>
      </c>
    </row>
    <row r="280">
      <c r="A280" s="40">
        <f t="array" ref="A280">IFNA(index(PlayerValues!A:A,match(IFNA(vlookup(B280,'Special Names'!A:B,2,FALSE),B280),PlayerValues!E:E,0)),"N/A")</f>
        <v>12141</v>
      </c>
      <c r="B280" s="4" t="s">
        <v>744</v>
      </c>
      <c r="C280" s="4" t="s">
        <v>283</v>
      </c>
      <c r="D280" s="94">
        <v>1710.0</v>
      </c>
    </row>
    <row r="281">
      <c r="A281" s="40" t="str">
        <f t="array" ref="A281">IFNA(index(PlayerValues!A:A,match(IFNA(vlookup(B281,'Special Names'!A:B,2,FALSE),B281),PlayerValues!E:E,0)),"N/A")</f>
        <v>N/A</v>
      </c>
      <c r="B281" s="4" t="s">
        <v>90</v>
      </c>
      <c r="C281" s="4" t="s">
        <v>325</v>
      </c>
      <c r="D281" s="94">
        <v>1705.0</v>
      </c>
    </row>
    <row r="282">
      <c r="A282" s="40">
        <f t="array" ref="A282">IFNA(index(PlayerValues!A:A,match(IFNA(vlookup(B282,'Special Names'!A:B,2,FALSE),B282),PlayerValues!E:E,0)),"N/A")</f>
        <v>15777</v>
      </c>
      <c r="B282" s="4" t="s">
        <v>694</v>
      </c>
      <c r="C282" s="4" t="s">
        <v>287</v>
      </c>
      <c r="D282" s="94">
        <v>1692.0</v>
      </c>
    </row>
    <row r="283">
      <c r="A283" s="40">
        <f t="array" ref="A283">IFNA(index(PlayerValues!A:A,match(IFNA(vlookup(B283,'Special Names'!A:B,2,FALSE),B283),PlayerValues!E:E,0)),"N/A")</f>
        <v>17058</v>
      </c>
      <c r="B283" s="4" t="s">
        <v>641</v>
      </c>
      <c r="C283" s="4" t="s">
        <v>278</v>
      </c>
      <c r="D283" s="94">
        <v>1686.0</v>
      </c>
    </row>
    <row r="284">
      <c r="A284" s="40">
        <f t="array" ref="A284">IFNA(index(PlayerValues!A:A,match(IFNA(vlookup(B284,'Special Names'!A:B,2,FALSE),B284),PlayerValues!E:E,0)),"N/A")</f>
        <v>16036</v>
      </c>
      <c r="B284" s="4" t="s">
        <v>592</v>
      </c>
      <c r="C284" s="4" t="s">
        <v>298</v>
      </c>
      <c r="D284" s="94">
        <v>2040.0</v>
      </c>
    </row>
    <row r="285">
      <c r="A285" s="40">
        <f t="array" ref="A285">IFNA(index(PlayerValues!A:A,match(IFNA(vlookup(B285,'Special Names'!A:B,2,FALSE),B285),PlayerValues!E:E,0)),"N/A")</f>
        <v>17064</v>
      </c>
      <c r="B285" s="4" t="s">
        <v>631</v>
      </c>
      <c r="C285" s="4" t="s">
        <v>278</v>
      </c>
      <c r="D285" s="94">
        <v>1680.0</v>
      </c>
    </row>
    <row r="286">
      <c r="A286" s="40">
        <f t="array" ref="A286">IFNA(index(PlayerValues!A:A,match(IFNA(vlookup(B286,'Special Names'!A:B,2,FALSE),B286),PlayerValues!E:E,0)),"N/A")</f>
        <v>15258</v>
      </c>
      <c r="B286" s="4" t="s">
        <v>757</v>
      </c>
      <c r="C286" s="4" t="s">
        <v>278</v>
      </c>
      <c r="D286" s="94">
        <v>1676.0</v>
      </c>
    </row>
    <row r="287">
      <c r="A287" s="40">
        <f t="array" ref="A287">IFNA(index(PlayerValues!A:A,match(IFNA(vlookup(B287,'Special Names'!A:B,2,FALSE),B287),PlayerValues!E:E,0)),"N/A")</f>
        <v>17037</v>
      </c>
      <c r="B287" s="4" t="s">
        <v>727</v>
      </c>
      <c r="C287" s="4" t="s">
        <v>283</v>
      </c>
      <c r="D287" s="94">
        <v>1676.0</v>
      </c>
    </row>
    <row r="288">
      <c r="A288" s="40">
        <f t="array" ref="A288">IFNA(index(PlayerValues!A:A,match(IFNA(vlookup(B288,'Special Names'!A:B,2,FALSE),B288),PlayerValues!E:E,0)),"N/A")</f>
        <v>16604</v>
      </c>
      <c r="B288" s="4" t="s">
        <v>476</v>
      </c>
      <c r="C288" s="4" t="s">
        <v>278</v>
      </c>
      <c r="D288" s="94">
        <v>1667.0</v>
      </c>
    </row>
    <row r="289">
      <c r="A289" s="40">
        <f t="array" ref="A289">IFNA(index(PlayerValues!A:A,match(IFNA(vlookup(B289,'Special Names'!A:B,2,FALSE),B289),PlayerValues!E:E,0)),"N/A")</f>
        <v>15337</v>
      </c>
      <c r="B289" s="4" t="s">
        <v>655</v>
      </c>
      <c r="C289" s="4" t="s">
        <v>298</v>
      </c>
      <c r="D289" s="94">
        <v>2023.0</v>
      </c>
    </row>
    <row r="290">
      <c r="A290" s="40">
        <f t="array" ref="A290">IFNA(index(PlayerValues!A:A,match(IFNA(vlookup(B290,'Special Names'!A:B,2,FALSE),B290),PlayerValues!E:E,0)),"N/A")</f>
        <v>16586</v>
      </c>
      <c r="B290" s="4" t="s">
        <v>658</v>
      </c>
      <c r="C290" s="4" t="s">
        <v>283</v>
      </c>
      <c r="D290" s="94">
        <v>1661.0</v>
      </c>
    </row>
    <row r="291">
      <c r="A291" s="40">
        <f t="array" ref="A291">IFNA(index(PlayerValues!A:A,match(IFNA(vlookup(B291,'Special Names'!A:B,2,FALSE),B291),PlayerValues!E:E,0)),"N/A")</f>
        <v>14080</v>
      </c>
      <c r="B291" s="4" t="s">
        <v>716</v>
      </c>
      <c r="C291" s="4" t="s">
        <v>278</v>
      </c>
      <c r="D291" s="94">
        <v>1653.0</v>
      </c>
    </row>
    <row r="292">
      <c r="A292" s="40">
        <f t="array" ref="A292">IFNA(index(PlayerValues!A:A,match(IFNA(vlookup(B292,'Special Names'!A:B,2,FALSE),B292),PlayerValues!E:E,0)),"N/A")</f>
        <v>17036</v>
      </c>
      <c r="B292" s="4" t="s">
        <v>617</v>
      </c>
      <c r="C292" s="4" t="s">
        <v>283</v>
      </c>
      <c r="D292" s="94">
        <v>1647.0</v>
      </c>
    </row>
    <row r="293">
      <c r="A293" s="40">
        <f t="array" ref="A293">IFNA(index(PlayerValues!A:A,match(IFNA(vlookup(B293,'Special Names'!A:B,2,FALSE),B293),PlayerValues!E:E,0)),"N/A")</f>
        <v>13629</v>
      </c>
      <c r="B293" s="4" t="s">
        <v>619</v>
      </c>
      <c r="C293" s="4" t="s">
        <v>287</v>
      </c>
      <c r="D293" s="94">
        <v>1646.0</v>
      </c>
    </row>
    <row r="294">
      <c r="A294" s="40">
        <f t="array" ref="A294">IFNA(index(PlayerValues!A:A,match(IFNA(vlookup(B294,'Special Names'!A:B,2,FALSE),B294),PlayerValues!E:E,0)),"N/A")</f>
        <v>16595</v>
      </c>
      <c r="B294" s="4" t="s">
        <v>664</v>
      </c>
      <c r="C294" s="4" t="s">
        <v>278</v>
      </c>
      <c r="D294" s="94">
        <v>1639.0</v>
      </c>
    </row>
    <row r="295">
      <c r="A295" s="40" t="str">
        <f t="array" ref="A295">IFNA(index(PlayerValues!A:A,match(IFNA(vlookup(B295,'Special Names'!A:B,2,FALSE),B295),PlayerValues!E:E,0)),"N/A")</f>
        <v>N/A</v>
      </c>
      <c r="B295" s="4" t="s">
        <v>102</v>
      </c>
      <c r="C295" s="4" t="s">
        <v>325</v>
      </c>
      <c r="D295" s="94">
        <v>1625.0</v>
      </c>
    </row>
    <row r="296">
      <c r="A296" s="40">
        <f t="array" ref="A296">IFNA(index(PlayerValues!A:A,match(IFNA(vlookup(B296,'Special Names'!A:B,2,FALSE),B296),PlayerValues!E:E,0)),"N/A")</f>
        <v>13138</v>
      </c>
      <c r="B296" s="4" t="s">
        <v>817</v>
      </c>
      <c r="C296" s="4" t="s">
        <v>278</v>
      </c>
      <c r="D296" s="94">
        <v>1613.0</v>
      </c>
    </row>
    <row r="297">
      <c r="A297" s="40">
        <f t="array" ref="A297">IFNA(index(PlayerValues!A:A,match(IFNA(vlookup(B297,'Special Names'!A:B,2,FALSE),B297),PlayerValues!E:E,0)),"N/A")</f>
        <v>17234</v>
      </c>
      <c r="B297" s="4" t="s">
        <v>653</v>
      </c>
      <c r="C297" s="4" t="s">
        <v>287</v>
      </c>
      <c r="D297" s="94">
        <v>1612.0</v>
      </c>
    </row>
    <row r="298">
      <c r="A298" s="40" t="str">
        <f t="array" ref="A298">IFNA(index(PlayerValues!A:A,match(IFNA(vlookup(B298,'Special Names'!A:B,2,FALSE),B298),PlayerValues!E:E,0)),"N/A")</f>
        <v>N/A</v>
      </c>
      <c r="B298" s="4" t="s">
        <v>91</v>
      </c>
      <c r="C298" s="4" t="s">
        <v>325</v>
      </c>
      <c r="D298" s="94">
        <v>1595.0</v>
      </c>
    </row>
    <row r="299">
      <c r="A299" s="40">
        <f t="array" ref="A299">IFNA(index(PlayerValues!A:A,match(IFNA(vlookup(B299,'Special Names'!A:B,2,FALSE),B299),PlayerValues!E:E,0)),"N/A")</f>
        <v>11150</v>
      </c>
      <c r="B299" s="4" t="s">
        <v>559</v>
      </c>
      <c r="C299" s="4" t="s">
        <v>283</v>
      </c>
      <c r="D299" s="94">
        <v>1591.0</v>
      </c>
    </row>
    <row r="300">
      <c r="A300" s="40">
        <f t="array" ref="A300">IFNA(index(PlayerValues!A:A,match(IFNA(vlookup(B300,'Special Names'!A:B,2,FALSE),B300),PlayerValues!E:E,0)),"N/A")</f>
        <v>17096</v>
      </c>
      <c r="B300" s="4" t="s">
        <v>638</v>
      </c>
      <c r="C300" s="4" t="s">
        <v>287</v>
      </c>
      <c r="D300" s="94">
        <v>1584.0</v>
      </c>
    </row>
    <row r="301">
      <c r="A301" s="40">
        <f t="array" ref="A301">IFNA(index(PlayerValues!A:A,match(IFNA(vlookup(B301,'Special Names'!A:B,2,FALSE),B301),PlayerValues!E:E,0)),"N/A")</f>
        <v>14143</v>
      </c>
      <c r="B301" s="4" t="s">
        <v>635</v>
      </c>
      <c r="C301" s="4" t="s">
        <v>298</v>
      </c>
      <c r="D301" s="94">
        <v>1941.0</v>
      </c>
    </row>
    <row r="302">
      <c r="A302" s="40">
        <f t="array" ref="A302">IFNA(index(PlayerValues!A:A,match(IFNA(vlookup(B302,'Special Names'!A:B,2,FALSE),B302),PlayerValues!E:E,0)),"N/A")</f>
        <v>13131</v>
      </c>
      <c r="B302" s="4" t="s">
        <v>815</v>
      </c>
      <c r="C302" s="4" t="s">
        <v>278</v>
      </c>
      <c r="D302" s="94">
        <v>1579.0</v>
      </c>
    </row>
    <row r="303">
      <c r="A303" s="40">
        <f t="array" ref="A303">IFNA(index(PlayerValues!A:A,match(IFNA(vlookup(B303,'Special Names'!A:B,2,FALSE),B303),PlayerValues!E:E,0)),"N/A")</f>
        <v>17055</v>
      </c>
      <c r="B303" s="4" t="s">
        <v>565</v>
      </c>
      <c r="C303" s="4" t="s">
        <v>278</v>
      </c>
      <c r="D303" s="94">
        <v>1570.0</v>
      </c>
    </row>
    <row r="304">
      <c r="A304" s="40">
        <f t="array" ref="A304">IFNA(index(PlayerValues!A:A,match(IFNA(vlookup(B304,'Special Names'!A:B,2,FALSE),B304),PlayerValues!E:E,0)),"N/A")</f>
        <v>13164</v>
      </c>
      <c r="B304" s="4" t="s">
        <v>632</v>
      </c>
      <c r="C304" s="4" t="s">
        <v>287</v>
      </c>
      <c r="D304" s="94">
        <v>1553.0</v>
      </c>
    </row>
    <row r="305">
      <c r="A305" s="40">
        <f t="array" ref="A305">IFNA(index(PlayerValues!A:A,match(IFNA(vlookup(B305,'Special Names'!A:B,2,FALSE),B305),PlayerValues!E:E,0)),"N/A")</f>
        <v>15252</v>
      </c>
      <c r="B305" s="4" t="s">
        <v>715</v>
      </c>
      <c r="C305" s="4" t="s">
        <v>283</v>
      </c>
      <c r="D305" s="94">
        <v>1551.0</v>
      </c>
    </row>
    <row r="306">
      <c r="A306" s="40">
        <f t="array" ref="A306">IFNA(index(PlayerValues!A:A,match(IFNA(vlookup(B306,'Special Names'!A:B,2,FALSE),B306),PlayerValues!E:E,0)),"N/A")</f>
        <v>17205</v>
      </c>
      <c r="B306" s="4" t="s">
        <v>665</v>
      </c>
      <c r="C306" s="4" t="s">
        <v>287</v>
      </c>
      <c r="D306" s="94">
        <v>1546.0</v>
      </c>
    </row>
    <row r="307">
      <c r="A307" s="40">
        <f t="array" ref="A307">IFNA(index(PlayerValues!A:A,match(IFNA(vlookup(B307,'Special Names'!A:B,2,FALSE),B307),PlayerValues!E:E,0)),"N/A")</f>
        <v>13193</v>
      </c>
      <c r="B307" s="4" t="s">
        <v>773</v>
      </c>
      <c r="C307" s="4" t="s">
        <v>298</v>
      </c>
      <c r="D307" s="94">
        <v>1902.0</v>
      </c>
    </row>
    <row r="308">
      <c r="A308" s="40" t="str">
        <f t="array" ref="A308">IFNA(index(PlayerValues!A:A,match(IFNA(vlookup(B308,'Special Names'!A:B,2,FALSE),B308),PlayerValues!E:E,0)),"N/A")</f>
        <v>N/A</v>
      </c>
      <c r="B308" s="4" t="s">
        <v>115</v>
      </c>
      <c r="C308" s="4" t="s">
        <v>325</v>
      </c>
      <c r="D308" s="94">
        <v>1541.0</v>
      </c>
    </row>
    <row r="309">
      <c r="A309" s="40">
        <f t="array" ref="A309">IFNA(index(PlayerValues!A:A,match(IFNA(vlookup(B309,'Special Names'!A:B,2,FALSE),B309),PlayerValues!E:E,0)),"N/A")</f>
        <v>16385</v>
      </c>
      <c r="B309" s="4" t="s">
        <v>690</v>
      </c>
      <c r="C309" s="4" t="s">
        <v>278</v>
      </c>
      <c r="D309" s="94">
        <v>1521.0</v>
      </c>
    </row>
    <row r="310">
      <c r="A310" s="40">
        <f t="array" ref="A310">IFNA(index(PlayerValues!A:A,match(IFNA(vlookup(B310,'Special Names'!A:B,2,FALSE),B310),PlayerValues!E:E,0)),"N/A")</f>
        <v>16633</v>
      </c>
      <c r="B310" s="4" t="s">
        <v>656</v>
      </c>
      <c r="C310" s="4" t="s">
        <v>287</v>
      </c>
      <c r="D310" s="94">
        <v>1520.0</v>
      </c>
    </row>
    <row r="311">
      <c r="A311" s="40" t="str">
        <f t="array" ref="A311">IFNA(index(PlayerValues!A:A,match(IFNA(vlookup(B311,'Special Names'!A:B,2,FALSE),B311),PlayerValues!E:E,0)),"N/A")</f>
        <v>N/A</v>
      </c>
      <c r="B311" s="4" t="s">
        <v>103</v>
      </c>
      <c r="C311" s="4" t="s">
        <v>325</v>
      </c>
      <c r="D311" s="94">
        <v>1516.0</v>
      </c>
    </row>
    <row r="312">
      <c r="A312" s="40">
        <f t="array" ref="A312">IFNA(index(PlayerValues!A:A,match(IFNA(vlookup(B312,'Special Names'!A:B,2,FALSE),B312),PlayerValues!E:E,0)),"N/A")</f>
        <v>12140</v>
      </c>
      <c r="B312" s="4" t="s">
        <v>702</v>
      </c>
      <c r="C312" s="4" t="s">
        <v>283</v>
      </c>
      <c r="D312" s="94">
        <v>1508.0</v>
      </c>
    </row>
    <row r="313">
      <c r="A313" s="40">
        <f t="array" ref="A313">IFNA(index(PlayerValues!A:A,match(IFNA(vlookup(B313,'Special Names'!A:B,2,FALSE),B313),PlayerValues!E:E,0)),"N/A")</f>
        <v>14108</v>
      </c>
      <c r="B313" s="4" t="s">
        <v>673</v>
      </c>
      <c r="C313" s="4" t="s">
        <v>287</v>
      </c>
      <c r="D313" s="94">
        <v>1468.0</v>
      </c>
    </row>
    <row r="314">
      <c r="A314" s="40" t="str">
        <f t="array" ref="A314">IFNA(index(PlayerValues!A:A,match(IFNA(vlookup(B314,'Special Names'!A:B,2,FALSE),B314),PlayerValues!E:E,0)),"N/A")</f>
        <v>N/A</v>
      </c>
      <c r="B314" s="4" t="s">
        <v>116</v>
      </c>
      <c r="C314" s="4" t="s">
        <v>325</v>
      </c>
      <c r="D314" s="94">
        <v>1464.0</v>
      </c>
    </row>
    <row r="315">
      <c r="A315" s="40">
        <f t="array" ref="A315">IFNA(index(PlayerValues!A:A,match(IFNA(vlookup(B315,'Special Names'!A:B,2,FALSE),B315),PlayerValues!E:E,0)),"N/A")</f>
        <v>16390</v>
      </c>
      <c r="B315" s="4" t="s">
        <v>689</v>
      </c>
      <c r="C315" s="4" t="s">
        <v>278</v>
      </c>
      <c r="D315" s="94">
        <v>1460.0</v>
      </c>
    </row>
    <row r="316">
      <c r="A316" s="40">
        <f t="array" ref="A316">IFNA(index(PlayerValues!A:A,match(IFNA(vlookup(B316,'Special Names'!A:B,2,FALSE),B316),PlayerValues!E:E,0)),"N/A")</f>
        <v>16688</v>
      </c>
      <c r="B316" s="4" t="s">
        <v>688</v>
      </c>
      <c r="C316" s="4" t="s">
        <v>278</v>
      </c>
      <c r="D316" s="94">
        <v>1451.0</v>
      </c>
    </row>
    <row r="317">
      <c r="A317" s="40">
        <f t="array" ref="A317">IFNA(index(PlayerValues!A:A,match(IFNA(vlookup(B317,'Special Names'!A:B,2,FALSE),B317),PlayerValues!E:E,0)),"N/A")</f>
        <v>15752</v>
      </c>
      <c r="B317" s="4" t="s">
        <v>647</v>
      </c>
      <c r="C317" s="4" t="s">
        <v>287</v>
      </c>
      <c r="D317" s="94">
        <v>1436.0</v>
      </c>
    </row>
    <row r="318">
      <c r="A318" s="40">
        <f t="array" ref="A318">IFNA(index(PlayerValues!A:A,match(IFNA(vlookup(B318,'Special Names'!A:B,2,FALSE),B318),PlayerValues!E:E,0)),"N/A")</f>
        <v>15738</v>
      </c>
      <c r="B318" s="4" t="s">
        <v>634</v>
      </c>
      <c r="C318" s="4" t="s">
        <v>278</v>
      </c>
      <c r="D318" s="94">
        <v>1428.0</v>
      </c>
    </row>
    <row r="319">
      <c r="A319" s="40">
        <f t="array" ref="A319">IFNA(index(PlayerValues!A:A,match(IFNA(vlookup(B319,'Special Names'!A:B,2,FALSE),B319),PlayerValues!E:E,0)),"N/A")</f>
        <v>15319</v>
      </c>
      <c r="B319" s="4" t="s">
        <v>644</v>
      </c>
      <c r="C319" s="4" t="s">
        <v>287</v>
      </c>
      <c r="D319" s="94">
        <v>1422.0</v>
      </c>
    </row>
    <row r="320">
      <c r="A320" s="40">
        <f t="array" ref="A320">IFNA(index(PlayerValues!A:A,match(IFNA(vlookup(B320,'Special Names'!A:B,2,FALSE),B320),PlayerValues!E:E,0)),"N/A")</f>
        <v>14095</v>
      </c>
      <c r="B320" s="4" t="s">
        <v>680</v>
      </c>
      <c r="C320" s="4" t="s">
        <v>278</v>
      </c>
      <c r="D320" s="94">
        <v>1404.0</v>
      </c>
    </row>
    <row r="321">
      <c r="A321" s="40">
        <f t="array" ref="A321">IFNA(index(PlayerValues!A:A,match(IFNA(vlookup(B321,'Special Names'!A:B,2,FALSE),B321),PlayerValues!E:E,0)),"N/A")</f>
        <v>13418</v>
      </c>
      <c r="B321" s="4" t="s">
        <v>706</v>
      </c>
      <c r="C321" s="4" t="s">
        <v>287</v>
      </c>
      <c r="D321" s="94">
        <v>1404.0</v>
      </c>
    </row>
    <row r="322">
      <c r="A322" s="40">
        <f t="array" ref="A322">IFNA(index(PlayerValues!A:A,match(IFNA(vlookup(B322,'Special Names'!A:B,2,FALSE),B322),PlayerValues!E:E,0)),"N/A")</f>
        <v>17035</v>
      </c>
      <c r="B322" s="4" t="s">
        <v>650</v>
      </c>
      <c r="C322" s="4" t="s">
        <v>283</v>
      </c>
      <c r="D322" s="94">
        <v>1404.0</v>
      </c>
    </row>
    <row r="323">
      <c r="A323" s="40">
        <f t="array" ref="A323">IFNA(index(PlayerValues!A:A,match(IFNA(vlookup(B323,'Special Names'!A:B,2,FALSE),B323),PlayerValues!E:E,0)),"N/A")</f>
        <v>10700</v>
      </c>
      <c r="B323" s="4" t="s">
        <v>596</v>
      </c>
      <c r="C323" s="4" t="s">
        <v>283</v>
      </c>
      <c r="D323" s="94">
        <v>1401.0</v>
      </c>
    </row>
    <row r="324">
      <c r="A324" s="40">
        <f t="array" ref="A324">IFNA(index(PlayerValues!A:A,match(IFNA(vlookup(B324,'Special Names'!A:B,2,FALSE),B324),PlayerValues!E:E,0)),"N/A")</f>
        <v>15755</v>
      </c>
      <c r="B324" s="4" t="s">
        <v>628</v>
      </c>
      <c r="C324" s="4" t="s">
        <v>287</v>
      </c>
      <c r="D324" s="94">
        <v>1399.0</v>
      </c>
    </row>
    <row r="325">
      <c r="A325" s="40">
        <f t="array" ref="A325">IFNA(index(PlayerValues!A:A,match(IFNA(vlookup(B325,'Special Names'!A:B,2,FALSE),B325),PlayerValues!E:E,0)),"N/A")</f>
        <v>17077</v>
      </c>
      <c r="B325" s="4" t="s">
        <v>714</v>
      </c>
      <c r="C325" s="4" t="s">
        <v>287</v>
      </c>
      <c r="D325" s="94">
        <v>1394.0</v>
      </c>
    </row>
    <row r="326">
      <c r="A326" s="40">
        <f t="array" ref="A326">IFNA(index(PlayerValues!A:A,match(IFNA(vlookup(B326,'Special Names'!A:B,2,FALSE),B326),PlayerValues!E:E,0)),"N/A")</f>
        <v>13672</v>
      </c>
      <c r="B326" s="4" t="s">
        <v>667</v>
      </c>
      <c r="C326" s="4" t="s">
        <v>298</v>
      </c>
      <c r="D326" s="94">
        <v>1742.0</v>
      </c>
    </row>
    <row r="327">
      <c r="A327" s="40">
        <f t="array" ref="A327">IFNA(index(PlayerValues!A:A,match(IFNA(vlookup(B327,'Special Names'!A:B,2,FALSE),B327),PlayerValues!E:E,0)),"N/A")</f>
        <v>14137</v>
      </c>
      <c r="B327" s="4" t="s">
        <v>676</v>
      </c>
      <c r="C327" s="4" t="s">
        <v>298</v>
      </c>
      <c r="D327" s="94">
        <v>1737.0</v>
      </c>
    </row>
    <row r="328">
      <c r="A328" s="40">
        <f t="array" ref="A328">IFNA(index(PlayerValues!A:A,match(IFNA(vlookup(B328,'Special Names'!A:B,2,FALSE),B328),PlayerValues!E:E,0)),"N/A")</f>
        <v>15301</v>
      </c>
      <c r="B328" s="4" t="s">
        <v>657</v>
      </c>
      <c r="C328" s="4" t="s">
        <v>287</v>
      </c>
      <c r="D328" s="94">
        <v>1369.0</v>
      </c>
    </row>
    <row r="329">
      <c r="A329" s="40">
        <f t="array" ref="A329">IFNA(index(PlayerValues!A:A,match(IFNA(vlookup(B329,'Special Names'!A:B,2,FALSE),B329),PlayerValues!E:E,0)),"N/A")</f>
        <v>12263</v>
      </c>
      <c r="B329" s="4" t="s">
        <v>697</v>
      </c>
      <c r="C329" s="4" t="s">
        <v>298</v>
      </c>
      <c r="D329" s="94">
        <v>1704.0</v>
      </c>
    </row>
    <row r="330">
      <c r="A330" s="40">
        <f t="array" ref="A330">IFNA(index(PlayerValues!A:A,match(IFNA(vlookup(B330,'Special Names'!A:B,2,FALSE),B330),PlayerValues!E:E,0)),"N/A")</f>
        <v>15788</v>
      </c>
      <c r="B330" s="4" t="s">
        <v>627</v>
      </c>
      <c r="C330" s="4" t="s">
        <v>287</v>
      </c>
      <c r="D330" s="94">
        <v>1338.0</v>
      </c>
    </row>
    <row r="331">
      <c r="A331" s="40">
        <f t="array" ref="A331">IFNA(index(PlayerValues!A:A,match(IFNA(vlookup(B331,'Special Names'!A:B,2,FALSE),B331),PlayerValues!E:E,0)),"N/A")</f>
        <v>15332</v>
      </c>
      <c r="B331" s="4" t="s">
        <v>698</v>
      </c>
      <c r="C331" s="4" t="s">
        <v>298</v>
      </c>
      <c r="D331" s="94">
        <v>1684.0</v>
      </c>
    </row>
    <row r="332">
      <c r="A332" s="40">
        <f t="array" ref="A332">IFNA(index(PlayerValues!A:A,match(IFNA(vlookup(B332,'Special Names'!A:B,2,FALSE),B332),PlayerValues!E:E,0)),"N/A")</f>
        <v>15292</v>
      </c>
      <c r="B332" s="4" t="s">
        <v>682</v>
      </c>
      <c r="C332" s="4" t="s">
        <v>287</v>
      </c>
      <c r="D332" s="94">
        <v>1328.0</v>
      </c>
    </row>
    <row r="333">
      <c r="A333" s="40">
        <f t="array" ref="A333">IFNA(index(PlayerValues!A:A,match(IFNA(vlookup(B333,'Special Names'!A:B,2,FALSE),B333),PlayerValues!E:E,0)),"N/A")</f>
        <v>14592</v>
      </c>
      <c r="B333" s="4" t="s">
        <v>705</v>
      </c>
      <c r="C333" s="4" t="s">
        <v>287</v>
      </c>
      <c r="D333" s="94">
        <v>1327.0</v>
      </c>
    </row>
    <row r="334">
      <c r="A334" s="40">
        <f t="array" ref="A334">IFNA(index(PlayerValues!A:A,match(IFNA(vlookup(B334,'Special Names'!A:B,2,FALSE),B334),PlayerValues!E:E,0)),"N/A")</f>
        <v>15713</v>
      </c>
      <c r="B334" s="4" t="s">
        <v>732</v>
      </c>
      <c r="C334" s="4" t="s">
        <v>278</v>
      </c>
      <c r="D334" s="94">
        <v>1317.0</v>
      </c>
    </row>
    <row r="335">
      <c r="A335" s="40">
        <f t="array" ref="A335">IFNA(index(PlayerValues!A:A,match(IFNA(vlookup(B335,'Special Names'!A:B,2,FALSE),B335),PlayerValues!E:E,0)),"N/A")</f>
        <v>15797</v>
      </c>
      <c r="B335" s="4" t="s">
        <v>556</v>
      </c>
      <c r="C335" s="4" t="s">
        <v>298</v>
      </c>
      <c r="D335" s="94">
        <v>1664.0</v>
      </c>
    </row>
    <row r="336">
      <c r="A336" s="40" t="str">
        <f t="array" ref="A336">IFNA(index(PlayerValues!A:A,match(IFNA(vlookup(B336,'Special Names'!A:B,2,FALSE),B336),PlayerValues!E:E,0)),"N/A")</f>
        <v>N/A</v>
      </c>
      <c r="B336" s="4" t="s">
        <v>117</v>
      </c>
      <c r="C336" s="4" t="s">
        <v>325</v>
      </c>
      <c r="D336" s="94">
        <v>1298.0</v>
      </c>
    </row>
    <row r="337">
      <c r="A337" s="40">
        <f t="array" ref="A337">IFNA(index(PlayerValues!A:A,match(IFNA(vlookup(B337,'Special Names'!A:B,2,FALSE),B337),PlayerValues!E:E,0)),"N/A")</f>
        <v>16175</v>
      </c>
      <c r="B337" s="4" t="s">
        <v>654</v>
      </c>
      <c r="C337" s="4" t="s">
        <v>278</v>
      </c>
      <c r="D337" s="94">
        <v>1295.0</v>
      </c>
    </row>
    <row r="338">
      <c r="A338" s="40">
        <f t="array" ref="A338">IFNA(index(PlayerValues!A:A,match(IFNA(vlookup(B338,'Special Names'!A:B,2,FALSE),B338),PlayerValues!E:E,0)),"N/A")</f>
        <v>15873</v>
      </c>
      <c r="B338" s="4" t="s">
        <v>681</v>
      </c>
      <c r="C338" s="4" t="s">
        <v>298</v>
      </c>
      <c r="D338" s="94">
        <v>1638.0</v>
      </c>
    </row>
    <row r="339">
      <c r="A339" s="40">
        <f t="array" ref="A339">IFNA(index(PlayerValues!A:A,match(IFNA(vlookup(B339,'Special Names'!A:B,2,FALSE),B339),PlayerValues!E:E,0)),"N/A")</f>
        <v>16183</v>
      </c>
      <c r="B339" s="4" t="s">
        <v>678</v>
      </c>
      <c r="C339" s="4" t="s">
        <v>287</v>
      </c>
      <c r="D339" s="94">
        <v>1279.0</v>
      </c>
    </row>
    <row r="340">
      <c r="A340" s="40">
        <f t="array" ref="A340">IFNA(index(PlayerValues!A:A,match(IFNA(vlookup(B340,'Special Names'!A:B,2,FALSE),B340),PlayerValues!E:E,0)),"N/A")</f>
        <v>16642</v>
      </c>
      <c r="B340" s="4" t="s">
        <v>691</v>
      </c>
      <c r="C340" s="4" t="s">
        <v>298</v>
      </c>
      <c r="D340" s="94">
        <v>1624.0</v>
      </c>
    </row>
    <row r="341">
      <c r="A341" s="40">
        <f t="array" ref="A341">IFNA(index(PlayerValues!A:A,match(IFNA(vlookup(B341,'Special Names'!A:B,2,FALSE),B341),PlayerValues!E:E,0)),"N/A")</f>
        <v>16883</v>
      </c>
      <c r="B341" s="4" t="s">
        <v>683</v>
      </c>
      <c r="C341" s="4" t="s">
        <v>287</v>
      </c>
      <c r="D341" s="94">
        <v>1260.0</v>
      </c>
    </row>
    <row r="342">
      <c r="A342" s="40">
        <f t="array" ref="A342">IFNA(index(PlayerValues!A:A,match(IFNA(vlookup(B342,'Special Names'!A:B,2,FALSE),B342),PlayerValues!E:E,0)),"N/A")</f>
        <v>16631</v>
      </c>
      <c r="B342" s="4" t="s">
        <v>800</v>
      </c>
      <c r="C342" s="4" t="s">
        <v>287</v>
      </c>
      <c r="D342" s="94">
        <v>1257.0</v>
      </c>
    </row>
    <row r="343">
      <c r="A343" s="40">
        <f t="array" ref="A343">IFNA(index(PlayerValues!A:A,match(IFNA(vlookup(B343,'Special Names'!A:B,2,FALSE),B343),PlayerValues!E:E,0)),"N/A")</f>
        <v>15981</v>
      </c>
      <c r="B343" s="4" t="s">
        <v>729</v>
      </c>
      <c r="C343" s="4" t="s">
        <v>287</v>
      </c>
      <c r="D343" s="94">
        <v>1251.0</v>
      </c>
    </row>
    <row r="344">
      <c r="A344" s="40">
        <f t="array" ref="A344">IFNA(index(PlayerValues!A:A,match(IFNA(vlookup(B344,'Special Names'!A:B,2,FALSE),B344),PlayerValues!E:E,0)),"N/A")</f>
        <v>16451</v>
      </c>
      <c r="B344" s="4" t="s">
        <v>769</v>
      </c>
      <c r="C344" s="4" t="s">
        <v>287</v>
      </c>
      <c r="D344" s="94">
        <v>1244.0</v>
      </c>
    </row>
    <row r="345">
      <c r="A345" s="40">
        <f t="array" ref="A345">IFNA(index(PlayerValues!A:A,match(IFNA(vlookup(B345,'Special Names'!A:B,2,FALSE),B345),PlayerValues!E:E,0)),"N/A")</f>
        <v>16621</v>
      </c>
      <c r="B345" s="4" t="s">
        <v>672</v>
      </c>
      <c r="C345" s="4" t="s">
        <v>287</v>
      </c>
      <c r="D345" s="94">
        <v>1225.0</v>
      </c>
    </row>
    <row r="346">
      <c r="A346" s="40">
        <f t="array" ref="A346">IFNA(index(PlayerValues!A:A,match(IFNA(vlookup(B346,'Special Names'!A:B,2,FALSE),B346),PlayerValues!E:E,0)),"N/A")</f>
        <v>17269</v>
      </c>
      <c r="B346" s="4" t="s">
        <v>718</v>
      </c>
      <c r="C346" s="4" t="s">
        <v>287</v>
      </c>
      <c r="D346" s="94">
        <v>1222.0</v>
      </c>
    </row>
    <row r="347">
      <c r="A347" s="40">
        <f t="array" ref="A347">IFNA(index(PlayerValues!A:A,match(IFNA(vlookup(B347,'Special Names'!A:B,2,FALSE),B347),PlayerValues!E:E,0)),"N/A")</f>
        <v>14086</v>
      </c>
      <c r="B347" s="4" t="s">
        <v>639</v>
      </c>
      <c r="C347" s="4" t="s">
        <v>278</v>
      </c>
      <c r="D347" s="94">
        <v>1215.0</v>
      </c>
    </row>
    <row r="348">
      <c r="A348" s="40">
        <f t="array" ref="A348">IFNA(index(PlayerValues!A:A,match(IFNA(vlookup(B348,'Special Names'!A:B,2,FALSE),B348),PlayerValues!E:E,0)),"N/A")</f>
        <v>17062</v>
      </c>
      <c r="B348" s="4" t="s">
        <v>701</v>
      </c>
      <c r="C348" s="4" t="s">
        <v>278</v>
      </c>
      <c r="D348" s="94">
        <v>1208.0</v>
      </c>
    </row>
    <row r="349">
      <c r="A349" s="40">
        <f t="array" ref="A349">IFNA(index(PlayerValues!A:A,match(IFNA(vlookup(B349,'Special Names'!A:B,2,FALSE),B349),PlayerValues!E:E,0)),"N/A")</f>
        <v>15692</v>
      </c>
      <c r="B349" s="4" t="s">
        <v>750</v>
      </c>
      <c r="C349" s="4" t="s">
        <v>283</v>
      </c>
      <c r="D349" s="94">
        <v>1194.0</v>
      </c>
    </row>
    <row r="350">
      <c r="A350" s="40">
        <f t="array" ref="A350">IFNA(index(PlayerValues!A:A,match(IFNA(vlookup(B350,'Special Names'!A:B,2,FALSE),B350),PlayerValues!E:E,0)),"N/A")</f>
        <v>16333</v>
      </c>
      <c r="B350" s="4" t="s">
        <v>711</v>
      </c>
      <c r="C350" s="4" t="s">
        <v>298</v>
      </c>
      <c r="D350" s="94">
        <v>1538.0</v>
      </c>
    </row>
    <row r="351">
      <c r="A351" s="40">
        <f t="array" ref="A351">IFNA(index(PlayerValues!A:A,match(IFNA(vlookup(B351,'Special Names'!A:B,2,FALSE),B351),PlayerValues!E:E,0)),"N/A")</f>
        <v>16746</v>
      </c>
      <c r="B351" s="4" t="s">
        <v>709</v>
      </c>
      <c r="C351" s="4" t="s">
        <v>278</v>
      </c>
      <c r="D351" s="94">
        <v>1193.0</v>
      </c>
    </row>
    <row r="352">
      <c r="A352" s="40">
        <f t="array" ref="A352">IFNA(index(PlayerValues!A:A,match(IFNA(vlookup(B352,'Special Names'!A:B,2,FALSE),B352),PlayerValues!E:E,0)),"N/A")</f>
        <v>13610</v>
      </c>
      <c r="B352" s="4" t="s">
        <v>825</v>
      </c>
      <c r="C352" s="4" t="s">
        <v>278</v>
      </c>
      <c r="D352" s="94">
        <v>1183.0</v>
      </c>
    </row>
    <row r="353">
      <c r="A353" s="40">
        <f t="array" ref="A353">IFNA(index(PlayerValues!A:A,match(IFNA(vlookup(B353,'Special Names'!A:B,2,FALSE),B353),PlayerValues!E:E,0)),"N/A")</f>
        <v>17097</v>
      </c>
      <c r="B353" s="4" t="s">
        <v>659</v>
      </c>
      <c r="C353" s="4" t="s">
        <v>287</v>
      </c>
      <c r="D353" s="94">
        <v>1181.0</v>
      </c>
    </row>
    <row r="354">
      <c r="A354" s="40">
        <f t="array" ref="A354">IFNA(index(PlayerValues!A:A,match(IFNA(vlookup(B354,'Special Names'!A:B,2,FALSE),B354),PlayerValues!E:E,0)),"N/A")</f>
        <v>16636</v>
      </c>
      <c r="B354" s="4" t="s">
        <v>699</v>
      </c>
      <c r="C354" s="4" t="s">
        <v>287</v>
      </c>
      <c r="D354" s="94">
        <v>1180.0</v>
      </c>
    </row>
    <row r="355">
      <c r="A355" s="40">
        <f t="array" ref="A355">IFNA(index(PlayerValues!A:A,match(IFNA(vlookup(B355,'Special Names'!A:B,2,FALSE),B355),PlayerValues!E:E,0)),"N/A")</f>
        <v>15240</v>
      </c>
      <c r="B355" s="4" t="s">
        <v>751</v>
      </c>
      <c r="C355" s="4" t="s">
        <v>283</v>
      </c>
      <c r="D355" s="94">
        <v>1179.0</v>
      </c>
    </row>
    <row r="356">
      <c r="A356" s="40">
        <f t="array" ref="A356">IFNA(index(PlayerValues!A:A,match(IFNA(vlookup(B356,'Special Names'!A:B,2,FALSE),B356),PlayerValues!E:E,0)),"N/A")</f>
        <v>13289</v>
      </c>
      <c r="B356" s="4" t="s">
        <v>746</v>
      </c>
      <c r="C356" s="4" t="s">
        <v>287</v>
      </c>
      <c r="D356" s="94">
        <v>1177.0</v>
      </c>
    </row>
    <row r="357">
      <c r="A357" s="40">
        <f t="array" ref="A357">IFNA(index(PlayerValues!A:A,match(IFNA(vlookup(B357,'Special Names'!A:B,2,FALSE),B357),PlayerValues!E:E,0)),"N/A")</f>
        <v>17254</v>
      </c>
      <c r="B357" s="4" t="s">
        <v>679</v>
      </c>
      <c r="C357" s="4" t="s">
        <v>287</v>
      </c>
      <c r="D357" s="94">
        <v>1175.0</v>
      </c>
    </row>
    <row r="358">
      <c r="A358" s="40">
        <f t="array" ref="A358">IFNA(index(PlayerValues!A:A,match(IFNA(vlookup(B358,'Special Names'!A:B,2,FALSE),B358),PlayerValues!E:E,0)),"N/A")</f>
        <v>17050</v>
      </c>
      <c r="B358" s="4" t="s">
        <v>713</v>
      </c>
      <c r="C358" s="4" t="s">
        <v>278</v>
      </c>
      <c r="D358" s="94">
        <v>1168.0</v>
      </c>
    </row>
    <row r="359">
      <c r="A359" s="40">
        <f t="array" ref="A359">IFNA(index(PlayerValues!A:A,match(IFNA(vlookup(B359,'Special Names'!A:B,2,FALSE),B359),PlayerValues!E:E,0)),"N/A")</f>
        <v>15718</v>
      </c>
      <c r="B359" s="4" t="s">
        <v>753</v>
      </c>
      <c r="C359" s="4" t="s">
        <v>278</v>
      </c>
      <c r="D359" s="94">
        <v>1163.0</v>
      </c>
    </row>
    <row r="360">
      <c r="A360" s="40">
        <f t="array" ref="A360">IFNA(index(PlayerValues!A:A,match(IFNA(vlookup(B360,'Special Names'!A:B,2,FALSE),B360),PlayerValues!E:E,0)),"N/A")</f>
        <v>16199</v>
      </c>
      <c r="B360" s="4" t="s">
        <v>687</v>
      </c>
      <c r="C360" s="4" t="s">
        <v>287</v>
      </c>
      <c r="D360" s="94">
        <v>1150.0</v>
      </c>
    </row>
    <row r="361">
      <c r="A361" s="40">
        <f t="array" ref="A361">IFNA(index(PlayerValues!A:A,match(IFNA(vlookup(B361,'Special Names'!A:B,2,FALSE),B361),PlayerValues!E:E,0)),"N/A")</f>
        <v>17054</v>
      </c>
      <c r="B361" s="4" t="s">
        <v>670</v>
      </c>
      <c r="C361" s="4" t="s">
        <v>278</v>
      </c>
      <c r="D361" s="94">
        <v>1145.0</v>
      </c>
    </row>
    <row r="362">
      <c r="A362" s="40">
        <f t="array" ref="A362">IFNA(index(PlayerValues!A:A,match(IFNA(vlookup(B362,'Special Names'!A:B,2,FALSE),B362),PlayerValues!E:E,0)),"N/A")</f>
        <v>15626</v>
      </c>
      <c r="B362" s="4" t="s">
        <v>766</v>
      </c>
      <c r="C362" s="4" t="s">
        <v>298</v>
      </c>
      <c r="D362" s="94">
        <v>1487.0</v>
      </c>
    </row>
    <row r="363">
      <c r="A363" s="40">
        <f t="array" ref="A363">IFNA(index(PlayerValues!A:A,match(IFNA(vlookup(B363,'Special Names'!A:B,2,FALSE),B363),PlayerValues!E:E,0)),"N/A")</f>
        <v>14789</v>
      </c>
      <c r="B363" s="4" t="s">
        <v>721</v>
      </c>
      <c r="C363" s="4" t="s">
        <v>283</v>
      </c>
      <c r="D363" s="94">
        <v>1139.0</v>
      </c>
    </row>
    <row r="364">
      <c r="A364" s="40">
        <f t="array" ref="A364">IFNA(index(PlayerValues!A:A,match(IFNA(vlookup(B364,'Special Names'!A:B,2,FALSE),B364),PlayerValues!E:E,0)),"N/A")</f>
        <v>14845</v>
      </c>
      <c r="B364" s="4" t="s">
        <v>717</v>
      </c>
      <c r="C364" s="4" t="s">
        <v>287</v>
      </c>
      <c r="D364" s="94">
        <v>1136.0</v>
      </c>
    </row>
    <row r="365">
      <c r="A365" s="40">
        <f t="array" ref="A365">IFNA(index(PlayerValues!A:A,match(IFNA(vlookup(B365,'Special Names'!A:B,2,FALSE),B365),PlayerValues!E:E,0)),"N/A")</f>
        <v>16792</v>
      </c>
      <c r="B365" s="4" t="s">
        <v>704</v>
      </c>
      <c r="C365" s="4" t="s">
        <v>287</v>
      </c>
      <c r="D365" s="94">
        <v>1136.0</v>
      </c>
    </row>
    <row r="366">
      <c r="A366" s="40">
        <f t="array" ref="A366">IFNA(index(PlayerValues!A:A,match(IFNA(vlookup(B366,'Special Names'!A:B,2,FALSE),B366),PlayerValues!E:E,0)),"N/A")</f>
        <v>16221</v>
      </c>
      <c r="B366" s="4" t="s">
        <v>725</v>
      </c>
      <c r="C366" s="4" t="s">
        <v>298</v>
      </c>
      <c r="D366" s="94">
        <v>1464.0</v>
      </c>
    </row>
    <row r="367">
      <c r="A367" s="40">
        <f t="array" ref="A367">IFNA(index(PlayerValues!A:A,match(IFNA(vlookup(B367,'Special Names'!A:B,2,FALSE),B367),PlayerValues!E:E,0)),"N/A")</f>
        <v>17175</v>
      </c>
      <c r="B367" s="4" t="s">
        <v>747</v>
      </c>
      <c r="C367" s="4" t="s">
        <v>287</v>
      </c>
      <c r="D367" s="94">
        <v>1118.0</v>
      </c>
    </row>
    <row r="368">
      <c r="A368" s="40">
        <f t="array" ref="A368">IFNA(index(PlayerValues!A:A,match(IFNA(vlookup(B368,'Special Names'!A:B,2,FALSE),B368),PlayerValues!E:E,0)),"N/A")</f>
        <v>15730</v>
      </c>
      <c r="B368" s="4" t="s">
        <v>734</v>
      </c>
      <c r="C368" s="4" t="s">
        <v>278</v>
      </c>
      <c r="D368" s="94">
        <v>1112.0</v>
      </c>
    </row>
    <row r="369">
      <c r="A369" s="40">
        <f t="array" ref="A369">IFNA(index(PlayerValues!A:A,match(IFNA(vlookup(B369,'Special Names'!A:B,2,FALSE),B369),PlayerValues!E:E,0)),"N/A")</f>
        <v>16219</v>
      </c>
      <c r="B369" s="4" t="s">
        <v>739</v>
      </c>
      <c r="C369" s="4" t="s">
        <v>298</v>
      </c>
      <c r="D369" s="94">
        <v>1436.0</v>
      </c>
    </row>
    <row r="370">
      <c r="A370" s="40">
        <f t="array" ref="A370">IFNA(index(PlayerValues!A:A,match(IFNA(vlookup(B370,'Special Names'!A:B,2,FALSE),B370),PlayerValues!E:E,0)),"N/A")</f>
        <v>16387</v>
      </c>
      <c r="B370" s="4" t="s">
        <v>646</v>
      </c>
      <c r="C370" s="4" t="s">
        <v>278</v>
      </c>
      <c r="D370" s="94">
        <v>1090.0</v>
      </c>
    </row>
    <row r="371">
      <c r="A371" s="40">
        <f t="array" ref="A371">IFNA(index(PlayerValues!A:A,match(IFNA(vlookup(B371,'Special Names'!A:B,2,FALSE),B371),PlayerValues!E:E,0)),"N/A")</f>
        <v>16645</v>
      </c>
      <c r="B371" s="4" t="s">
        <v>651</v>
      </c>
      <c r="C371" s="4" t="s">
        <v>298</v>
      </c>
      <c r="D371" s="94">
        <v>1431.0</v>
      </c>
    </row>
    <row r="372">
      <c r="A372" s="40">
        <f t="array" ref="A372">IFNA(index(PlayerValues!A:A,match(IFNA(vlookup(B372,'Special Names'!A:B,2,FALSE),B372),PlayerValues!E:E,0)),"N/A")</f>
        <v>12678</v>
      </c>
      <c r="B372" s="4" t="s">
        <v>703</v>
      </c>
      <c r="C372" s="4" t="s">
        <v>298</v>
      </c>
      <c r="D372" s="94">
        <v>1431.0</v>
      </c>
    </row>
    <row r="373">
      <c r="A373" s="40">
        <f t="array" ref="A373">IFNA(index(PlayerValues!A:A,match(IFNA(vlookup(B373,'Special Names'!A:B,2,FALSE),B373),PlayerValues!E:E,0)),"N/A")</f>
        <v>16149</v>
      </c>
      <c r="B373" s="4" t="s">
        <v>740</v>
      </c>
      <c r="C373" s="4" t="s">
        <v>283</v>
      </c>
      <c r="D373" s="94">
        <v>1080.0</v>
      </c>
    </row>
    <row r="374">
      <c r="A374" s="40">
        <f t="array" ref="A374">IFNA(index(PlayerValues!A:A,match(IFNA(vlookup(B374,'Special Names'!A:B,2,FALSE),B374),PlayerValues!E:E,0)),"N/A")</f>
        <v>15717</v>
      </c>
      <c r="B374" s="4" t="s">
        <v>745</v>
      </c>
      <c r="C374" s="4" t="s">
        <v>278</v>
      </c>
      <c r="D374" s="94">
        <v>1076.0</v>
      </c>
    </row>
    <row r="375">
      <c r="A375" s="40">
        <f t="array" ref="A375">IFNA(index(PlayerValues!A:A,match(IFNA(vlookup(B375,'Special Names'!A:B,2,FALSE),B375),PlayerValues!E:E,0)),"N/A")</f>
        <v>11247</v>
      </c>
      <c r="B375" s="4" t="s">
        <v>816</v>
      </c>
      <c r="C375" s="4" t="s">
        <v>298</v>
      </c>
      <c r="D375" s="94">
        <v>1420.0</v>
      </c>
    </row>
    <row r="376">
      <c r="A376" s="40">
        <f t="array" ref="A376">IFNA(index(PlayerValues!A:A,match(IFNA(vlookup(B376,'Special Names'!A:B,2,FALSE),B376),PlayerValues!E:E,0)),"N/A")</f>
        <v>9064</v>
      </c>
      <c r="B376" s="4" t="s">
        <v>761</v>
      </c>
      <c r="C376" s="4" t="s">
        <v>283</v>
      </c>
      <c r="D376" s="94">
        <v>1068.0</v>
      </c>
    </row>
    <row r="377">
      <c r="A377" s="40">
        <f t="array" ref="A377">IFNA(index(PlayerValues!A:A,match(IFNA(vlookup(B377,'Special Names'!A:B,2,FALSE),B377),PlayerValues!E:E,0)),"N/A")</f>
        <v>15288</v>
      </c>
      <c r="B377" s="4" t="s">
        <v>700</v>
      </c>
      <c r="C377" s="4" t="s">
        <v>287</v>
      </c>
      <c r="D377" s="94">
        <v>1065.0</v>
      </c>
    </row>
    <row r="378">
      <c r="A378" s="40">
        <f t="array" ref="A378">IFNA(index(PlayerValues!A:A,match(IFNA(vlookup(B378,'Special Names'!A:B,2,FALSE),B378),PlayerValues!E:E,0)),"N/A")</f>
        <v>15239</v>
      </c>
      <c r="B378" s="4" t="s">
        <v>802</v>
      </c>
      <c r="C378" s="4" t="s">
        <v>283</v>
      </c>
      <c r="D378" s="94">
        <v>1065.0</v>
      </c>
    </row>
    <row r="379">
      <c r="A379" s="40">
        <f t="array" ref="A379">IFNA(index(PlayerValues!A:A,match(IFNA(vlookup(B379,'Special Names'!A:B,2,FALSE),B379),PlayerValues!E:E,0)),"N/A")</f>
        <v>17063</v>
      </c>
      <c r="B379" s="4" t="s">
        <v>686</v>
      </c>
      <c r="C379" s="4" t="s">
        <v>278</v>
      </c>
      <c r="D379" s="94">
        <v>1062.0</v>
      </c>
    </row>
    <row r="380">
      <c r="A380" s="40">
        <f t="array" ref="A380">IFNA(index(PlayerValues!A:A,match(IFNA(vlookup(B380,'Special Names'!A:B,2,FALSE),B380),PlayerValues!E:E,0)),"N/A")</f>
        <v>16197</v>
      </c>
      <c r="B380" s="4" t="s">
        <v>726</v>
      </c>
      <c r="C380" s="4" t="s">
        <v>287</v>
      </c>
      <c r="D380" s="94">
        <v>1060.0</v>
      </c>
    </row>
    <row r="381">
      <c r="A381" s="40">
        <f t="array" ref="A381">IFNA(index(PlayerValues!A:A,match(IFNA(vlookup(B381,'Special Names'!A:B,2,FALSE),B381),PlayerValues!E:E,0)),"N/A")</f>
        <v>16957</v>
      </c>
      <c r="B381" s="4" t="s">
        <v>806</v>
      </c>
      <c r="C381" s="4" t="s">
        <v>278</v>
      </c>
      <c r="D381" s="94">
        <v>1059.0</v>
      </c>
    </row>
    <row r="382">
      <c r="A382" s="40">
        <f t="array" ref="A382">IFNA(index(PlayerValues!A:A,match(IFNA(vlookup(B382,'Special Names'!A:B,2,FALSE),B382),PlayerValues!E:E,0)),"N/A")</f>
        <v>13143</v>
      </c>
      <c r="B382" s="4" t="s">
        <v>786</v>
      </c>
      <c r="C382" s="4" t="s">
        <v>278</v>
      </c>
      <c r="D382" s="94">
        <v>1053.0</v>
      </c>
    </row>
    <row r="383">
      <c r="A383" s="40">
        <f t="array" ref="A383">IFNA(index(PlayerValues!A:A,match(IFNA(vlookup(B383,'Special Names'!A:B,2,FALSE),B383),PlayerValues!E:E,0)),"N/A")</f>
        <v>17192</v>
      </c>
      <c r="B383" s="4" t="s">
        <v>677</v>
      </c>
      <c r="C383" s="4" t="s">
        <v>287</v>
      </c>
      <c r="D383" s="94">
        <v>1053.0</v>
      </c>
    </row>
    <row r="384">
      <c r="A384" s="40">
        <f t="array" ref="A384">IFNA(index(PlayerValues!A:A,match(IFNA(vlookup(B384,'Special Names'!A:B,2,FALSE),B384),PlayerValues!E:E,0)),"N/A")</f>
        <v>14849</v>
      </c>
      <c r="B384" s="4" t="s">
        <v>733</v>
      </c>
      <c r="C384" s="4" t="s">
        <v>287</v>
      </c>
      <c r="D384" s="94">
        <v>1051.0</v>
      </c>
    </row>
    <row r="385">
      <c r="A385" s="40">
        <f t="array" ref="A385">IFNA(index(PlayerValues!A:A,match(IFNA(vlookup(B385,'Special Names'!A:B,2,FALSE),B385),PlayerValues!E:E,0)),"N/A")</f>
        <v>17109</v>
      </c>
      <c r="B385" s="4" t="s">
        <v>707</v>
      </c>
      <c r="C385" s="4" t="s">
        <v>298</v>
      </c>
      <c r="D385" s="94">
        <v>1394.0</v>
      </c>
    </row>
    <row r="386">
      <c r="A386" s="40">
        <f t="array" ref="A386">IFNA(index(PlayerValues!A:A,match(IFNA(vlookup(B386,'Special Names'!A:B,2,FALSE),B386),PlayerValues!E:E,0)),"N/A")</f>
        <v>15785</v>
      </c>
      <c r="B386" s="4" t="s">
        <v>763</v>
      </c>
      <c r="C386" s="4" t="s">
        <v>287</v>
      </c>
      <c r="D386" s="94">
        <v>1032.0</v>
      </c>
    </row>
    <row r="387">
      <c r="A387" s="40">
        <f t="array" ref="A387">IFNA(index(PlayerValues!A:A,match(IFNA(vlookup(B387,'Special Names'!A:B,2,FALSE),B387),PlayerValues!E:E,0)),"N/A")</f>
        <v>17057</v>
      </c>
      <c r="B387" s="4" t="s">
        <v>708</v>
      </c>
      <c r="C387" s="4" t="s">
        <v>278</v>
      </c>
      <c r="D387" s="94">
        <v>1027.0</v>
      </c>
    </row>
    <row r="388">
      <c r="A388" s="40">
        <f t="array" ref="A388">IFNA(index(PlayerValues!A:A,match(IFNA(vlookup(B388,'Special Names'!A:B,2,FALSE),B388),PlayerValues!E:E,0)),"N/A")</f>
        <v>16637</v>
      </c>
      <c r="B388" s="4" t="s">
        <v>736</v>
      </c>
      <c r="C388" s="4" t="s">
        <v>287</v>
      </c>
      <c r="D388" s="94">
        <v>1017.0</v>
      </c>
    </row>
    <row r="389">
      <c r="A389" s="40">
        <f t="array" ref="A389">IFNA(index(PlayerValues!A:A,match(IFNA(vlookup(B389,'Special Names'!A:B,2,FALSE),B389),PlayerValues!E:E,0)),"N/A")</f>
        <v>16384</v>
      </c>
      <c r="B389" s="4" t="s">
        <v>696</v>
      </c>
      <c r="C389" s="4" t="s">
        <v>283</v>
      </c>
      <c r="D389" s="94">
        <v>1012.0</v>
      </c>
    </row>
    <row r="390">
      <c r="A390" s="40">
        <f t="array" ref="A390">IFNA(index(PlayerValues!A:A,match(IFNA(vlookup(B390,'Special Names'!A:B,2,FALSE),B390),PlayerValues!E:E,0)),"N/A")</f>
        <v>15702</v>
      </c>
      <c r="B390" s="4" t="s">
        <v>723</v>
      </c>
      <c r="C390" s="4" t="s">
        <v>283</v>
      </c>
      <c r="D390" s="94">
        <v>1011.0</v>
      </c>
    </row>
    <row r="391">
      <c r="A391" s="40">
        <f t="array" ref="A391">IFNA(index(PlayerValues!A:A,match(IFNA(vlookup(B391,'Special Names'!A:B,2,FALSE),B391),PlayerValues!E:E,0)),"N/A")</f>
        <v>15693</v>
      </c>
      <c r="B391" s="4" t="s">
        <v>755</v>
      </c>
      <c r="C391" s="4" t="s">
        <v>283</v>
      </c>
      <c r="D391" s="94">
        <v>1009.0</v>
      </c>
    </row>
    <row r="392">
      <c r="A392" s="40">
        <f t="array" ref="A392">IFNA(index(PlayerValues!A:A,match(IFNA(vlookup(B392,'Special Names'!A:B,2,FALSE),B392),PlayerValues!E:E,0)),"N/A")</f>
        <v>10413</v>
      </c>
      <c r="B392" s="4" t="s">
        <v>811</v>
      </c>
      <c r="C392" s="4" t="s">
        <v>283</v>
      </c>
      <c r="D392" s="94">
        <v>1006.0</v>
      </c>
    </row>
    <row r="393">
      <c r="A393" s="40">
        <f t="array" ref="A393">IFNA(index(PlayerValues!A:A,match(IFNA(vlookup(B393,'Special Names'!A:B,2,FALSE),B393),PlayerValues!E:E,0)),"N/A")</f>
        <v>16640</v>
      </c>
      <c r="B393" s="4" t="s">
        <v>712</v>
      </c>
      <c r="C393" s="4" t="s">
        <v>287</v>
      </c>
      <c r="D393" s="94">
        <v>1006.0</v>
      </c>
    </row>
    <row r="394">
      <c r="A394" s="40">
        <f t="array" ref="A394">IFNA(index(PlayerValues!A:A,match(IFNA(vlookup(B394,'Special Names'!A:B,2,FALSE),B394),PlayerValues!E:E,0)),"N/A")</f>
        <v>15720</v>
      </c>
      <c r="B394" s="4" t="s">
        <v>795</v>
      </c>
      <c r="C394" s="4" t="s">
        <v>278</v>
      </c>
      <c r="D394" s="94">
        <v>998.0</v>
      </c>
    </row>
    <row r="395">
      <c r="A395" s="40">
        <f t="array" ref="A395">IFNA(index(PlayerValues!A:A,match(IFNA(vlookup(B395,'Special Names'!A:B,2,FALSE),B395),PlayerValues!E:E,0)),"N/A")</f>
        <v>14118</v>
      </c>
      <c r="B395" s="4" t="s">
        <v>771</v>
      </c>
      <c r="C395" s="4" t="s">
        <v>287</v>
      </c>
      <c r="D395" s="94">
        <v>996.0</v>
      </c>
    </row>
    <row r="396">
      <c r="A396" s="40">
        <f t="array" ref="A396">IFNA(index(PlayerValues!A:A,match(IFNA(vlookup(B396,'Special Names'!A:B,2,FALSE),B396),PlayerValues!E:E,0)),"N/A")</f>
        <v>13133</v>
      </c>
      <c r="B396" s="4" t="s">
        <v>764</v>
      </c>
      <c r="C396" s="4" t="s">
        <v>278</v>
      </c>
      <c r="D396" s="94">
        <v>986.0</v>
      </c>
    </row>
    <row r="397">
      <c r="A397" s="40">
        <f t="array" ref="A397">IFNA(index(PlayerValues!A:A,match(IFNA(vlookup(B397,'Special Names'!A:B,2,FALSE),B397),PlayerValues!E:E,0)),"N/A")</f>
        <v>16858</v>
      </c>
      <c r="B397" s="4" t="s">
        <v>754</v>
      </c>
      <c r="C397" s="4" t="s">
        <v>287</v>
      </c>
      <c r="D397" s="94">
        <v>976.0</v>
      </c>
    </row>
    <row r="398">
      <c r="A398" s="40">
        <f t="array" ref="A398">IFNA(index(PlayerValues!A:A,match(IFNA(vlookup(B398,'Special Names'!A:B,2,FALSE),B398),PlayerValues!E:E,0)),"N/A")</f>
        <v>14852</v>
      </c>
      <c r="B398" s="4" t="s">
        <v>837</v>
      </c>
      <c r="C398" s="4" t="s">
        <v>278</v>
      </c>
      <c r="D398" s="94">
        <v>966.0</v>
      </c>
    </row>
    <row r="399">
      <c r="A399" s="40">
        <f t="array" ref="A399">IFNA(index(PlayerValues!A:A,match(IFNA(vlookup(B399,'Special Names'!A:B,2,FALSE),B399),PlayerValues!E:E,0)),"N/A")</f>
        <v>15330</v>
      </c>
      <c r="B399" s="4" t="s">
        <v>749</v>
      </c>
      <c r="C399" s="4" t="s">
        <v>298</v>
      </c>
      <c r="D399" s="94">
        <v>1303.0</v>
      </c>
    </row>
    <row r="400">
      <c r="A400" s="40">
        <f t="array" ref="A400">IFNA(index(PlayerValues!A:A,match(IFNA(vlookup(B400,'Special Names'!A:B,2,FALSE),B400),PlayerValues!E:E,0)),"N/A")</f>
        <v>17337</v>
      </c>
      <c r="B400" s="4" t="s">
        <v>793</v>
      </c>
      <c r="C400" s="4" t="s">
        <v>278</v>
      </c>
      <c r="D400" s="94">
        <v>958.0</v>
      </c>
    </row>
    <row r="401">
      <c r="A401" s="40">
        <f t="array" ref="A401">IFNA(index(PlayerValues!A:A,match(IFNA(vlookup(B401,'Special Names'!A:B,2,FALSE),B401),PlayerValues!E:E,0)),"N/A")</f>
        <v>14864</v>
      </c>
      <c r="B401" s="4" t="s">
        <v>789</v>
      </c>
      <c r="C401" s="4" t="s">
        <v>287</v>
      </c>
      <c r="D401" s="94">
        <v>956.0</v>
      </c>
    </row>
    <row r="402">
      <c r="A402" s="40">
        <f t="array" ref="A402">IFNA(index(PlayerValues!A:A,match(IFNA(vlookup(B402,'Special Names'!A:B,2,FALSE),B402),PlayerValues!E:E,0)),"N/A")</f>
        <v>16168</v>
      </c>
      <c r="B402" s="4" t="s">
        <v>738</v>
      </c>
      <c r="C402" s="4" t="s">
        <v>278</v>
      </c>
      <c r="D402" s="94">
        <v>955.0</v>
      </c>
    </row>
    <row r="403">
      <c r="A403" s="40">
        <f t="array" ref="A403">IFNA(index(PlayerValues!A:A,match(IFNA(vlookup(B403,'Special Names'!A:B,2,FALSE),B403),PlayerValues!E:E,0)),"N/A")</f>
        <v>13156</v>
      </c>
      <c r="B403" s="4" t="s">
        <v>835</v>
      </c>
      <c r="C403" s="4" t="s">
        <v>287</v>
      </c>
      <c r="D403" s="94">
        <v>954.0</v>
      </c>
    </row>
    <row r="404">
      <c r="A404" s="40">
        <f t="array" ref="A404">IFNA(index(PlayerValues!A:A,match(IFNA(vlookup(B404,'Special Names'!A:B,2,FALSE),B404),PlayerValues!E:E,0)),"N/A")</f>
        <v>15283</v>
      </c>
      <c r="B404" s="4" t="s">
        <v>844</v>
      </c>
      <c r="C404" s="4" t="s">
        <v>287</v>
      </c>
      <c r="D404" s="94">
        <v>953.0</v>
      </c>
    </row>
    <row r="405">
      <c r="A405" s="40">
        <f t="array" ref="A405">IFNA(index(PlayerValues!A:A,match(IFNA(vlookup(B405,'Special Names'!A:B,2,FALSE),B405),PlayerValues!E:E,0)),"N/A")</f>
        <v>15109</v>
      </c>
      <c r="B405" s="4" t="s">
        <v>728</v>
      </c>
      <c r="C405" s="4" t="s">
        <v>287</v>
      </c>
      <c r="D405" s="94">
        <v>948.0</v>
      </c>
    </row>
    <row r="406">
      <c r="A406" s="40">
        <f t="array" ref="A406">IFNA(index(PlayerValues!A:A,match(IFNA(vlookup(B406,'Special Names'!A:B,2,FALSE),B406),PlayerValues!E:E,0)),"N/A")</f>
        <v>13595</v>
      </c>
      <c r="B406" s="4" t="s">
        <v>818</v>
      </c>
      <c r="C406" s="4" t="s">
        <v>283</v>
      </c>
      <c r="D406" s="94">
        <v>939.0</v>
      </c>
    </row>
    <row r="407">
      <c r="A407" s="40">
        <f t="array" ref="A407">IFNA(index(PlayerValues!A:A,match(IFNA(vlookup(B407,'Special Names'!A:B,2,FALSE),B407),PlayerValues!E:E,0)),"N/A")</f>
        <v>16176</v>
      </c>
      <c r="B407" s="4" t="s">
        <v>812</v>
      </c>
      <c r="C407" s="4" t="s">
        <v>278</v>
      </c>
      <c r="D407" s="94">
        <v>938.0</v>
      </c>
    </row>
    <row r="408">
      <c r="A408" s="40">
        <f t="array" ref="A408">IFNA(index(PlayerValues!A:A,match(IFNA(vlookup(B408,'Special Names'!A:B,2,FALSE),B408),PlayerValues!E:E,0)),"N/A")</f>
        <v>15766</v>
      </c>
      <c r="B408" s="4" t="s">
        <v>759</v>
      </c>
      <c r="C408" s="4" t="s">
        <v>287</v>
      </c>
      <c r="D408" s="94">
        <v>935.0</v>
      </c>
    </row>
    <row r="409">
      <c r="A409" s="40">
        <f t="array" ref="A409">IFNA(index(PlayerValues!A:A,match(IFNA(vlookup(B409,'Special Names'!A:B,2,FALSE),B409),PlayerValues!E:E,0)),"N/A")</f>
        <v>16159</v>
      </c>
      <c r="B409" s="4" t="s">
        <v>819</v>
      </c>
      <c r="C409" s="4" t="s">
        <v>283</v>
      </c>
      <c r="D409" s="94">
        <v>931.0</v>
      </c>
    </row>
    <row r="410">
      <c r="A410" s="40">
        <f t="array" ref="A410">IFNA(index(PlayerValues!A:A,match(IFNA(vlookup(B410,'Special Names'!A:B,2,FALSE),B410),PlayerValues!E:E,0)),"N/A")</f>
        <v>11232</v>
      </c>
      <c r="B410" s="4" t="s">
        <v>826</v>
      </c>
      <c r="C410" s="4" t="s">
        <v>287</v>
      </c>
      <c r="D410" s="94">
        <v>927.0</v>
      </c>
    </row>
    <row r="411">
      <c r="A411" s="40">
        <f t="array" ref="A411">IFNA(index(PlayerValues!A:A,match(IFNA(vlookup(B411,'Special Names'!A:B,2,FALSE),B411),PlayerValues!E:E,0)),"N/A")</f>
        <v>13157</v>
      </c>
      <c r="B411" s="4" t="s">
        <v>836</v>
      </c>
      <c r="C411" s="4" t="s">
        <v>287</v>
      </c>
      <c r="D411" s="94">
        <v>922.0</v>
      </c>
    </row>
    <row r="412">
      <c r="A412" s="40">
        <f t="array" ref="A412">IFNA(index(PlayerValues!A:A,match(IFNA(vlookup(B412,'Special Names'!A:B,2,FALSE),B412),PlayerValues!E:E,0)),"N/A")</f>
        <v>16624</v>
      </c>
      <c r="B412" s="4" t="s">
        <v>796</v>
      </c>
      <c r="C412" s="4" t="s">
        <v>287</v>
      </c>
      <c r="D412" s="94">
        <v>917.0</v>
      </c>
    </row>
    <row r="413">
      <c r="A413" s="40">
        <f t="array" ref="A413">IFNA(index(PlayerValues!A:A,match(IFNA(vlookup(B413,'Special Names'!A:B,2,FALSE),B413),PlayerValues!E:E,0)),"N/A")</f>
        <v>14079</v>
      </c>
      <c r="B413" s="4" t="s">
        <v>830</v>
      </c>
      <c r="C413" s="4" t="s">
        <v>278</v>
      </c>
      <c r="D413" s="94">
        <v>914.0</v>
      </c>
    </row>
    <row r="414">
      <c r="A414" s="40">
        <f t="array" ref="A414">IFNA(index(PlayerValues!A:A,match(IFNA(vlookup(B414,'Special Names'!A:B,2,FALSE),B414),PlayerValues!E:E,0)),"N/A")</f>
        <v>13763</v>
      </c>
      <c r="B414" s="4" t="s">
        <v>831</v>
      </c>
      <c r="C414" s="4" t="s">
        <v>298</v>
      </c>
      <c r="D414" s="94">
        <v>1260.0</v>
      </c>
    </row>
    <row r="415">
      <c r="A415" s="40">
        <f t="array" ref="A415">IFNA(index(PlayerValues!A:A,match(IFNA(vlookup(B415,'Special Names'!A:B,2,FALSE),B415),PlayerValues!E:E,0)),"N/A")</f>
        <v>15723</v>
      </c>
      <c r="B415" s="4" t="s">
        <v>798</v>
      </c>
      <c r="C415" s="4" t="s">
        <v>278</v>
      </c>
      <c r="D415" s="94">
        <v>904.0</v>
      </c>
    </row>
    <row r="416">
      <c r="A416" s="40">
        <f t="array" ref="A416">IFNA(index(PlayerValues!A:A,match(IFNA(vlookup(B416,'Special Names'!A:B,2,FALSE),B416),PlayerValues!E:E,0)),"N/A")</f>
        <v>15263</v>
      </c>
      <c r="B416" s="4" t="s">
        <v>804</v>
      </c>
      <c r="C416" s="4" t="s">
        <v>278</v>
      </c>
      <c r="D416" s="94">
        <v>903.0</v>
      </c>
    </row>
    <row r="417">
      <c r="A417" s="40">
        <f t="array" ref="A417">IFNA(index(PlayerValues!A:A,match(IFNA(vlookup(B417,'Special Names'!A:B,2,FALSE),B417),PlayerValues!E:E,0)),"N/A")</f>
        <v>16416</v>
      </c>
      <c r="B417" s="4" t="s">
        <v>752</v>
      </c>
      <c r="C417" s="4" t="s">
        <v>287</v>
      </c>
      <c r="D417" s="94">
        <v>901.0</v>
      </c>
    </row>
    <row r="418">
      <c r="A418" s="40">
        <f t="array" ref="A418">IFNA(index(PlayerValues!A:A,match(IFNA(vlookup(B418,'Special Names'!A:B,2,FALSE),B418),PlayerValues!E:E,0)),"N/A")</f>
        <v>12658</v>
      </c>
      <c r="B418" s="4" t="s">
        <v>823</v>
      </c>
      <c r="C418" s="4" t="s">
        <v>287</v>
      </c>
      <c r="D418" s="94">
        <v>900.0</v>
      </c>
    </row>
    <row r="419">
      <c r="A419" s="40">
        <f t="array" ref="A419">IFNA(index(PlayerValues!A:A,match(IFNA(vlookup(B419,'Special Names'!A:B,2,FALSE),B419),PlayerValues!E:E,0)),"N/A")</f>
        <v>16686</v>
      </c>
      <c r="B419" s="4" t="s">
        <v>805</v>
      </c>
      <c r="C419" s="4" t="s">
        <v>287</v>
      </c>
      <c r="D419" s="94">
        <v>896.0</v>
      </c>
    </row>
    <row r="420">
      <c r="A420" s="40">
        <f t="array" ref="A420">IFNA(index(PlayerValues!A:A,match(IFNA(vlookup(B420,'Special Names'!A:B,2,FALSE),B420),PlayerValues!E:E,0)),"N/A")</f>
        <v>14067</v>
      </c>
      <c r="B420" s="4" t="s">
        <v>735</v>
      </c>
      <c r="C420" s="4" t="s">
        <v>283</v>
      </c>
      <c r="D420" s="94">
        <v>893.0</v>
      </c>
    </row>
    <row r="421">
      <c r="A421" s="40">
        <f t="array" ref="A421">IFNA(index(PlayerValues!A:A,match(IFNA(vlookup(B421,'Special Names'!A:B,2,FALSE),B421),PlayerValues!E:E,0)),"N/A")</f>
        <v>16648</v>
      </c>
      <c r="B421" s="4" t="s">
        <v>748</v>
      </c>
      <c r="C421" s="4" t="s">
        <v>298</v>
      </c>
      <c r="D421" s="94">
        <v>1240.0</v>
      </c>
    </row>
    <row r="422">
      <c r="A422" s="40">
        <f t="array" ref="A422">IFNA(index(PlayerValues!A:A,match(IFNA(vlookup(B422,'Special Names'!A:B,2,FALSE),B422),PlayerValues!E:E,0)),"N/A")</f>
        <v>13176</v>
      </c>
      <c r="B422" s="4" t="s">
        <v>807</v>
      </c>
      <c r="C422" s="4" t="s">
        <v>287</v>
      </c>
      <c r="D422" s="94">
        <v>883.0</v>
      </c>
    </row>
    <row r="423">
      <c r="A423" s="40">
        <f t="array" ref="A423">IFNA(index(PlayerValues!A:A,match(IFNA(vlookup(B423,'Special Names'!A:B,2,FALSE),B423),PlayerValues!E:E,0)),"N/A")</f>
        <v>16393</v>
      </c>
      <c r="B423" s="4" t="s">
        <v>768</v>
      </c>
      <c r="C423" s="4" t="s">
        <v>287</v>
      </c>
      <c r="D423" s="94">
        <v>883.0</v>
      </c>
    </row>
    <row r="424">
      <c r="A424" s="40">
        <f t="array" ref="A424">IFNA(index(PlayerValues!A:A,match(IFNA(vlookup(B424,'Special Names'!A:B,2,FALSE),B424),PlayerValues!E:E,0)),"N/A")</f>
        <v>16205</v>
      </c>
      <c r="B424" s="4" t="s">
        <v>742</v>
      </c>
      <c r="C424" s="4" t="s">
        <v>287</v>
      </c>
      <c r="D424" s="94">
        <v>874.0</v>
      </c>
    </row>
    <row r="425">
      <c r="A425" s="40">
        <f t="array" ref="A425">IFNA(index(PlayerValues!A:A,match(IFNA(vlookup(B425,'Special Names'!A:B,2,FALSE),B425),PlayerValues!E:E,0)),"N/A")</f>
        <v>15714</v>
      </c>
      <c r="B425" s="4" t="s">
        <v>775</v>
      </c>
      <c r="C425" s="4" t="s">
        <v>278</v>
      </c>
      <c r="D425" s="94">
        <v>870.0</v>
      </c>
    </row>
    <row r="426">
      <c r="A426" s="40">
        <f t="array" ref="A426">IFNA(index(PlayerValues!A:A,match(IFNA(vlookup(B426,'Special Names'!A:B,2,FALSE),B426),PlayerValues!E:E,0)),"N/A")</f>
        <v>16625</v>
      </c>
      <c r="B426" s="4" t="s">
        <v>778</v>
      </c>
      <c r="C426" s="4" t="s">
        <v>287</v>
      </c>
      <c r="D426" s="94">
        <v>869.0</v>
      </c>
    </row>
    <row r="427">
      <c r="A427" s="40">
        <f t="array" ref="A427">IFNA(index(PlayerValues!A:A,match(IFNA(vlookup(B427,'Special Names'!A:B,2,FALSE),B427),PlayerValues!E:E,0)),"N/A")</f>
        <v>12785</v>
      </c>
      <c r="B427" s="4" t="s">
        <v>772</v>
      </c>
      <c r="C427" s="4" t="s">
        <v>287</v>
      </c>
      <c r="D427" s="94">
        <v>865.0</v>
      </c>
    </row>
    <row r="428">
      <c r="A428" s="40">
        <f t="array" ref="A428">IFNA(index(PlayerValues!A:A,match(IFNA(vlookup(B428,'Special Names'!A:B,2,FALSE),B428),PlayerValues!E:E,0)),"N/A")</f>
        <v>15796</v>
      </c>
      <c r="B428" s="4" t="s">
        <v>794</v>
      </c>
      <c r="C428" s="4" t="s">
        <v>298</v>
      </c>
      <c r="D428" s="94">
        <v>1212.0</v>
      </c>
    </row>
    <row r="429">
      <c r="A429" s="40">
        <f t="array" ref="A429">IFNA(index(PlayerValues!A:A,match(IFNA(vlookup(B429,'Special Names'!A:B,2,FALSE),B429),PlayerValues!E:E,0)),"N/A")</f>
        <v>13172</v>
      </c>
      <c r="B429" s="4" t="s">
        <v>840</v>
      </c>
      <c r="C429" s="4" t="s">
        <v>287</v>
      </c>
      <c r="D429" s="94">
        <v>858.0</v>
      </c>
    </row>
    <row r="430">
      <c r="A430" s="40">
        <f t="array" ref="A430">IFNA(index(PlayerValues!A:A,match(IFNA(vlookup(B430,'Special Names'!A:B,2,FALSE),B430),PlayerValues!E:E,0)),"N/A")</f>
        <v>16751</v>
      </c>
      <c r="B430" s="4" t="s">
        <v>762</v>
      </c>
      <c r="C430" s="4" t="s">
        <v>287</v>
      </c>
      <c r="D430" s="94">
        <v>850.0</v>
      </c>
    </row>
    <row r="431">
      <c r="A431" s="40">
        <f t="array" ref="A431">IFNA(index(PlayerValues!A:A,match(IFNA(vlookup(B431,'Special Names'!A:B,2,FALSE),B431),PlayerValues!E:E,0)),"N/A")</f>
        <v>14057</v>
      </c>
      <c r="B431" s="4" t="s">
        <v>765</v>
      </c>
      <c r="C431" s="4" t="s">
        <v>283</v>
      </c>
      <c r="D431" s="94">
        <v>848.0</v>
      </c>
    </row>
    <row r="432">
      <c r="A432" s="40">
        <f t="array" ref="A432">IFNA(index(PlayerValues!A:A,match(IFNA(vlookup(B432,'Special Names'!A:B,2,FALSE),B432),PlayerValues!E:E,0)),"N/A")</f>
        <v>16606</v>
      </c>
      <c r="B432" s="4" t="s">
        <v>743</v>
      </c>
      <c r="C432" s="4" t="s">
        <v>278</v>
      </c>
      <c r="D432" s="94">
        <v>844.0</v>
      </c>
    </row>
    <row r="433">
      <c r="A433" s="40">
        <f t="array" ref="A433">IFNA(index(PlayerValues!A:A,match(IFNA(vlookup(B433,'Special Names'!A:B,2,FALSE),B433),PlayerValues!E:E,0)),"N/A")</f>
        <v>16632</v>
      </c>
      <c r="B433" s="4" t="s">
        <v>842</v>
      </c>
      <c r="C433" s="4" t="s">
        <v>287</v>
      </c>
      <c r="D433" s="94">
        <v>836.0</v>
      </c>
    </row>
    <row r="434">
      <c r="A434" s="40">
        <f t="array" ref="A434">IFNA(index(PlayerValues!A:A,match(IFNA(vlookup(B434,'Special Names'!A:B,2,FALSE),B434),PlayerValues!E:E,0)),"N/A")</f>
        <v>14209</v>
      </c>
      <c r="B434" s="4" t="s">
        <v>809</v>
      </c>
      <c r="C434" s="4" t="s">
        <v>298</v>
      </c>
      <c r="D434" s="94">
        <v>1186.0</v>
      </c>
    </row>
    <row r="435">
      <c r="A435" s="40">
        <f t="array" ref="A435">IFNA(index(PlayerValues!A:A,match(IFNA(vlookup(B435,'Special Names'!A:B,2,FALSE),B435),PlayerValues!E:E,0)),"N/A")</f>
        <v>15285</v>
      </c>
      <c r="B435" s="4" t="s">
        <v>792</v>
      </c>
      <c r="C435" s="4" t="s">
        <v>287</v>
      </c>
      <c r="D435" s="94">
        <v>832.0</v>
      </c>
    </row>
    <row r="436">
      <c r="A436" s="40">
        <f t="array" ref="A436">IFNA(index(PlayerValues!A:A,match(IFNA(vlookup(B436,'Special Names'!A:B,2,FALSE),B436),PlayerValues!E:E,0)),"N/A")</f>
        <v>15965</v>
      </c>
      <c r="B436" s="4" t="s">
        <v>791</v>
      </c>
      <c r="C436" s="4" t="s">
        <v>278</v>
      </c>
      <c r="D436" s="94">
        <v>820.0</v>
      </c>
    </row>
    <row r="437">
      <c r="A437" s="40">
        <f t="array" ref="A437">IFNA(index(PlayerValues!A:A,match(IFNA(vlookup(B437,'Special Names'!A:B,2,FALSE),B437),PlayerValues!E:E,0)),"N/A")</f>
        <v>14799</v>
      </c>
      <c r="B437" s="4" t="s">
        <v>829</v>
      </c>
      <c r="C437" s="4" t="s">
        <v>278</v>
      </c>
      <c r="D437" s="94">
        <v>819.0</v>
      </c>
    </row>
    <row r="438">
      <c r="A438" s="40">
        <f t="array" ref="A438">IFNA(index(PlayerValues!A:A,match(IFNA(vlookup(B438,'Special Names'!A:B,2,FALSE),B438),PlayerValues!E:E,0)),"N/A")</f>
        <v>15804</v>
      </c>
      <c r="B438" s="4" t="s">
        <v>821</v>
      </c>
      <c r="C438" s="4" t="s">
        <v>298</v>
      </c>
      <c r="D438" s="94">
        <v>1162.0</v>
      </c>
    </row>
    <row r="439">
      <c r="A439" s="40">
        <f t="array" ref="A439">IFNA(index(PlayerValues!A:A,match(IFNA(vlookup(B439,'Special Names'!A:B,2,FALSE),B439),PlayerValues!E:E,0)),"N/A")</f>
        <v>16599</v>
      </c>
      <c r="B439" s="4" t="s">
        <v>737</v>
      </c>
      <c r="C439" s="4" t="s">
        <v>278</v>
      </c>
      <c r="D439" s="94">
        <v>807.0</v>
      </c>
    </row>
    <row r="440">
      <c r="A440" s="40">
        <f t="array" ref="A440">IFNA(index(PlayerValues!A:A,match(IFNA(vlookup(B440,'Special Names'!A:B,2,FALSE),B440),PlayerValues!E:E,0)),"N/A")</f>
        <v>13424</v>
      </c>
      <c r="B440" s="4" t="s">
        <v>846</v>
      </c>
      <c r="C440" s="4" t="s">
        <v>298</v>
      </c>
      <c r="D440" s="94">
        <v>1156.0</v>
      </c>
    </row>
    <row r="441">
      <c r="A441" s="40">
        <f t="array" ref="A441">IFNA(index(PlayerValues!A:A,match(IFNA(vlookup(B441,'Special Names'!A:B,2,FALSE),B441),PlayerValues!E:E,0)),"N/A")</f>
        <v>12187</v>
      </c>
      <c r="B441" s="4" t="s">
        <v>832</v>
      </c>
      <c r="C441" s="4" t="s">
        <v>287</v>
      </c>
      <c r="D441" s="94">
        <v>805.0</v>
      </c>
    </row>
    <row r="442">
      <c r="A442" s="40">
        <f t="array" ref="A442">IFNA(index(PlayerValues!A:A,match(IFNA(vlookup(B442,'Special Names'!A:B,2,FALSE),B442),PlayerValues!E:E,0)),"N/A")</f>
        <v>15795</v>
      </c>
      <c r="B442" s="4" t="s">
        <v>669</v>
      </c>
      <c r="C442" s="4" t="s">
        <v>298</v>
      </c>
      <c r="D442" s="94">
        <v>1153.0</v>
      </c>
    </row>
    <row r="443">
      <c r="A443" s="40">
        <f t="array" ref="A443">IFNA(index(PlayerValues!A:A,match(IFNA(vlookup(B443,'Special Names'!A:B,2,FALSE),B443),PlayerValues!E:E,0)),"N/A")</f>
        <v>13675</v>
      </c>
      <c r="B443" s="4" t="s">
        <v>839</v>
      </c>
      <c r="C443" s="4" t="s">
        <v>298</v>
      </c>
      <c r="D443" s="94">
        <v>1140.0</v>
      </c>
    </row>
    <row r="444">
      <c r="A444" s="40">
        <f t="array" ref="A444">IFNA(index(PlayerValues!A:A,match(IFNA(vlookup(B444,'Special Names'!A:B,2,FALSE),B444),PlayerValues!E:E,0)),"N/A")</f>
        <v>14870</v>
      </c>
      <c r="B444" s="4" t="s">
        <v>843</v>
      </c>
      <c r="C444" s="4" t="s">
        <v>298</v>
      </c>
      <c r="D444" s="94">
        <v>1141.0</v>
      </c>
    </row>
    <row r="445">
      <c r="A445" s="40">
        <f t="array" ref="A445">IFNA(index(PlayerValues!A:A,match(IFNA(vlookup(B445,'Special Names'!A:B,2,FALSE),B445),PlayerValues!E:E,0)),"N/A")</f>
        <v>16413</v>
      </c>
      <c r="B445" s="4" t="s">
        <v>781</v>
      </c>
      <c r="C445" s="4" t="s">
        <v>287</v>
      </c>
      <c r="D445" s="94">
        <v>782.0</v>
      </c>
    </row>
    <row r="446">
      <c r="A446" s="40">
        <f t="array" ref="A446">IFNA(index(PlayerValues!A:A,match(IFNA(vlookup(B446,'Special Names'!A:B,2,FALSE),B446),PlayerValues!E:E,0)),"N/A")</f>
        <v>13377</v>
      </c>
      <c r="B446" s="4" t="s">
        <v>847</v>
      </c>
      <c r="C446" s="4" t="s">
        <v>287</v>
      </c>
      <c r="D446" s="94">
        <v>779.0</v>
      </c>
    </row>
    <row r="447">
      <c r="A447" s="40">
        <f t="array" ref="A447">IFNA(index(PlayerValues!A:A,match(IFNA(vlookup(B447,'Special Names'!A:B,2,FALSE),B447),PlayerValues!E:E,0)),"N/A")</f>
        <v>14358</v>
      </c>
      <c r="B447" s="4" t="s">
        <v>813</v>
      </c>
      <c r="C447" s="4" t="s">
        <v>283</v>
      </c>
      <c r="D447" s="94">
        <v>778.0</v>
      </c>
    </row>
    <row r="448">
      <c r="A448" s="40">
        <f t="array" ref="A448">IFNA(index(PlayerValues!A:A,match(IFNA(vlookup(B448,'Special Names'!A:B,2,FALSE),B448),PlayerValues!E:E,0)),"N/A")</f>
        <v>14805</v>
      </c>
      <c r="B448" s="4" t="s">
        <v>770</v>
      </c>
      <c r="C448" s="4" t="s">
        <v>278</v>
      </c>
      <c r="D448" s="94">
        <v>776.0</v>
      </c>
    </row>
    <row r="449">
      <c r="A449" s="40">
        <f t="array" ref="A449">IFNA(index(PlayerValues!A:A,match(IFNA(vlookup(B449,'Special Names'!A:B,2,FALSE),B449),PlayerValues!E:E,0)),"N/A")</f>
        <v>16623</v>
      </c>
      <c r="B449" s="4" t="s">
        <v>803</v>
      </c>
      <c r="C449" s="4" t="s">
        <v>287</v>
      </c>
      <c r="D449" s="94">
        <v>767.0</v>
      </c>
    </row>
    <row r="450">
      <c r="A450" s="40">
        <f t="array" ref="A450">IFNA(index(PlayerValues!A:A,match(IFNA(vlookup(B450,'Special Names'!A:B,2,FALSE),B450),PlayerValues!E:E,0)),"N/A")</f>
        <v>15271</v>
      </c>
      <c r="B450" s="4" t="s">
        <v>741</v>
      </c>
      <c r="C450" s="4" t="s">
        <v>278</v>
      </c>
      <c r="D450" s="94">
        <v>762.0</v>
      </c>
    </row>
    <row r="451">
      <c r="A451" s="40">
        <f t="array" ref="A451">IFNA(index(PlayerValues!A:A,match(IFNA(vlookup(B451,'Special Names'!A:B,2,FALSE),B451),PlayerValues!E:E,0)),"N/A")</f>
        <v>16608</v>
      </c>
      <c r="B451" s="4" t="s">
        <v>629</v>
      </c>
      <c r="C451" s="4" t="s">
        <v>278</v>
      </c>
      <c r="D451" s="94">
        <v>741.0</v>
      </c>
    </row>
    <row r="452">
      <c r="A452" s="40">
        <f t="array" ref="A452">IFNA(index(PlayerValues!A:A,match(IFNA(vlookup(B452,'Special Names'!A:B,2,FALSE),B452),PlayerValues!E:E,0)),"N/A")</f>
        <v>14858</v>
      </c>
      <c r="B452" s="4" t="s">
        <v>799</v>
      </c>
      <c r="C452" s="4" t="s">
        <v>287</v>
      </c>
      <c r="D452" s="94">
        <v>733.0</v>
      </c>
    </row>
    <row r="453">
      <c r="A453" s="40">
        <f t="array" ref="A453">IFNA(index(PlayerValues!A:A,match(IFNA(vlookup(B453,'Special Names'!A:B,2,FALSE),B453),PlayerValues!E:E,0)),"N/A")</f>
        <v>16170</v>
      </c>
      <c r="B453" s="4" t="s">
        <v>801</v>
      </c>
      <c r="C453" s="4" t="s">
        <v>278</v>
      </c>
      <c r="D453" s="94">
        <v>727.0</v>
      </c>
    </row>
    <row r="454">
      <c r="A454" s="40">
        <f t="array" ref="A454">IFNA(index(PlayerValues!A:A,match(IFNA(vlookup(B454,'Special Names'!A:B,2,FALSE),B454),PlayerValues!E:E,0)),"N/A")</f>
        <v>17282</v>
      </c>
      <c r="B454" s="4" t="s">
        <v>833</v>
      </c>
      <c r="C454" s="4" t="s">
        <v>283</v>
      </c>
      <c r="D454" s="94">
        <v>726.0</v>
      </c>
    </row>
    <row r="455">
      <c r="A455" s="40">
        <f t="array" ref="A455">IFNA(index(PlayerValues!A:A,match(IFNA(vlookup(B455,'Special Names'!A:B,2,FALSE),B455),PlayerValues!E:E,0)),"N/A")</f>
        <v>15334</v>
      </c>
      <c r="B455" s="4" t="s">
        <v>848</v>
      </c>
      <c r="C455" s="4" t="s">
        <v>298</v>
      </c>
      <c r="D455" s="94">
        <v>1075.0</v>
      </c>
    </row>
    <row r="456">
      <c r="A456" s="40">
        <f t="array" ref="A456">IFNA(index(PlayerValues!A:A,match(IFNA(vlookup(B456,'Special Names'!A:B,2,FALSE),B456),PlayerValues!E:E,0)),"N/A")</f>
        <v>12610</v>
      </c>
      <c r="B456" s="4" t="s">
        <v>838</v>
      </c>
      <c r="C456" s="4" t="s">
        <v>283</v>
      </c>
      <c r="D456" s="94">
        <v>711.0</v>
      </c>
    </row>
    <row r="457">
      <c r="A457" s="40">
        <f t="array" ref="A457">IFNA(index(PlayerValues!A:A,match(IFNA(vlookup(B457,'Special Names'!A:B,2,FALSE),B457),PlayerValues!E:E,0)),"N/A")</f>
        <v>16678</v>
      </c>
      <c r="B457" s="4" t="s">
        <v>758</v>
      </c>
      <c r="C457" s="4" t="s">
        <v>278</v>
      </c>
      <c r="D457" s="94">
        <v>710.0</v>
      </c>
    </row>
    <row r="458">
      <c r="A458" s="40">
        <f t="array" ref="A458">IFNA(index(PlayerValues!A:A,match(IFNA(vlookup(B458,'Special Names'!A:B,2,FALSE),B458),PlayerValues!E:E,0)),"N/A")</f>
        <v>16299</v>
      </c>
      <c r="B458" s="4" t="s">
        <v>787</v>
      </c>
      <c r="C458" s="4" t="s">
        <v>287</v>
      </c>
      <c r="D458" s="94">
        <v>709.0</v>
      </c>
    </row>
    <row r="459">
      <c r="A459" s="40">
        <f t="array" ref="A459">IFNA(index(PlayerValues!A:A,match(IFNA(vlookup(B459,'Special Names'!A:B,2,FALSE),B459),PlayerValues!E:E,0)),"N/A")</f>
        <v>16613</v>
      </c>
      <c r="B459" s="4" t="s">
        <v>782</v>
      </c>
      <c r="C459" s="4" t="s">
        <v>278</v>
      </c>
      <c r="D459" s="94">
        <v>688.0</v>
      </c>
    </row>
    <row r="460">
      <c r="A460" s="40">
        <f t="array" ref="A460">IFNA(index(PlayerValues!A:A,match(IFNA(vlookup(B460,'Special Names'!A:B,2,FALSE),B460),PlayerValues!E:E,0)),"N/A")</f>
        <v>14113</v>
      </c>
      <c r="B460" s="4" t="s">
        <v>788</v>
      </c>
      <c r="C460" s="4" t="s">
        <v>287</v>
      </c>
      <c r="D460" s="94">
        <v>685.0</v>
      </c>
    </row>
    <row r="461">
      <c r="A461" s="40">
        <f t="array" ref="A461">IFNA(index(PlayerValues!A:A,match(IFNA(vlookup(B461,'Special Names'!A:B,2,FALSE),B461),PlayerValues!E:E,0)),"N/A")</f>
        <v>16773</v>
      </c>
      <c r="B461" s="4" t="s">
        <v>783</v>
      </c>
      <c r="C461" s="4" t="s">
        <v>278</v>
      </c>
      <c r="D461" s="94">
        <v>685.0</v>
      </c>
    </row>
    <row r="462">
      <c r="A462" s="40">
        <f t="array" ref="A462">IFNA(index(PlayerValues!A:A,match(IFNA(vlookup(B462,'Special Names'!A:B,2,FALSE),B462),PlayerValues!E:E,0)),"N/A")</f>
        <v>17232</v>
      </c>
      <c r="B462" s="4" t="s">
        <v>784</v>
      </c>
      <c r="C462" s="4" t="s">
        <v>287</v>
      </c>
      <c r="D462" s="94">
        <v>674.0</v>
      </c>
    </row>
    <row r="463">
      <c r="A463" s="40">
        <f t="array" ref="A463">IFNA(index(PlayerValues!A:A,match(IFNA(vlookup(B463,'Special Names'!A:B,2,FALSE),B463),PlayerValues!E:E,0)),"N/A")</f>
        <v>13168</v>
      </c>
      <c r="B463" s="4" t="s">
        <v>849</v>
      </c>
      <c r="C463" s="4" t="s">
        <v>287</v>
      </c>
      <c r="D463" s="94">
        <v>653.0</v>
      </c>
    </row>
    <row r="464">
      <c r="A464" s="40">
        <f t="array" ref="A464">IFNA(index(PlayerValues!A:A,match(IFNA(vlookup(B464,'Special Names'!A:B,2,FALSE),B464),PlayerValues!E:E,0)),"N/A")</f>
        <v>14223</v>
      </c>
      <c r="B464" s="4" t="s">
        <v>785</v>
      </c>
      <c r="C464" s="4" t="s">
        <v>278</v>
      </c>
      <c r="D464" s="94">
        <v>651.0</v>
      </c>
    </row>
    <row r="465">
      <c r="A465" s="40">
        <f t="array" ref="A465">IFNA(index(PlayerValues!A:A,match(IFNA(vlookup(B465,'Special Names'!A:B,2,FALSE),B465),PlayerValues!E:E,0)),"N/A")</f>
        <v>14875</v>
      </c>
      <c r="B465" s="4" t="s">
        <v>820</v>
      </c>
      <c r="C465" s="4" t="s">
        <v>298</v>
      </c>
      <c r="D465" s="94">
        <v>998.0</v>
      </c>
    </row>
    <row r="466">
      <c r="A466" s="40">
        <f t="array" ref="A466">IFNA(index(PlayerValues!A:A,match(IFNA(vlookup(B466,'Special Names'!A:B,2,FALSE),B466),PlayerValues!E:E,0)),"N/A")</f>
        <v>13641</v>
      </c>
      <c r="B466" s="4" t="s">
        <v>808</v>
      </c>
      <c r="C466" s="4" t="s">
        <v>287</v>
      </c>
      <c r="D466" s="94">
        <v>646.0</v>
      </c>
    </row>
    <row r="467">
      <c r="A467" s="40">
        <f t="array" ref="A467">IFNA(index(PlayerValues!A:A,match(IFNA(vlookup(B467,'Special Names'!A:B,2,FALSE),B467),PlayerValues!E:E,0)),"N/A")</f>
        <v>7394</v>
      </c>
      <c r="B467" s="4" t="s">
        <v>850</v>
      </c>
      <c r="C467" s="4" t="s">
        <v>283</v>
      </c>
      <c r="D467" s="94">
        <v>643.0</v>
      </c>
    </row>
    <row r="468">
      <c r="A468" s="40">
        <f t="array" ref="A468">IFNA(index(PlayerValues!A:A,match(IFNA(vlookup(B468,'Special Names'!A:B,2,FALSE),B468),PlayerValues!E:E,0)),"N/A")</f>
        <v>17038</v>
      </c>
      <c r="B468" s="4" t="s">
        <v>774</v>
      </c>
      <c r="C468" s="4" t="s">
        <v>283</v>
      </c>
      <c r="D468" s="94">
        <v>617.0</v>
      </c>
    </row>
    <row r="469">
      <c r="A469" s="40">
        <f t="array" ref="A469">IFNA(index(PlayerValues!A:A,match(IFNA(vlookup(B469,'Special Names'!A:B,2,FALSE),B469),PlayerValues!E:E,0)),"N/A")</f>
        <v>14239</v>
      </c>
      <c r="B469" s="4" t="s">
        <v>824</v>
      </c>
      <c r="C469" s="4" t="s">
        <v>298</v>
      </c>
      <c r="D469" s="94">
        <v>934.0</v>
      </c>
    </row>
    <row r="470">
      <c r="A470" s="40">
        <f t="array" ref="A470">IFNA(index(PlayerValues!A:A,match(IFNA(vlookup(B470,'Special Names'!A:B,2,FALSE),B470),PlayerValues!E:E,0)),"N/A")</f>
        <v>15758</v>
      </c>
      <c r="B470" s="4" t="s">
        <v>724</v>
      </c>
      <c r="C470" s="4" t="s">
        <v>287</v>
      </c>
      <c r="D470" s="94">
        <v>586.0</v>
      </c>
    </row>
    <row r="471">
      <c r="A471" s="40">
        <f t="array" ref="A471">IFNA(index(PlayerValues!A:A,match(IFNA(vlookup(B471,'Special Names'!A:B,2,FALSE),B471),PlayerValues!E:E,0)),"N/A")</f>
        <v>17243</v>
      </c>
      <c r="B471" s="4" t="s">
        <v>810</v>
      </c>
      <c r="C471" s="4" t="s">
        <v>298</v>
      </c>
      <c r="D471" s="94">
        <v>918.0</v>
      </c>
    </row>
    <row r="472">
      <c r="A472" s="40">
        <f t="array" ref="A472">IFNA(index(PlayerValues!A:A,match(IFNA(vlookup(B472,'Special Names'!A:B,2,FALSE),B472),PlayerValues!E:E,0)),"N/A")</f>
        <v>13066</v>
      </c>
      <c r="B472" s="4" t="s">
        <v>822</v>
      </c>
      <c r="C472" s="4" t="s">
        <v>287</v>
      </c>
      <c r="D472" s="94">
        <v>560.0</v>
      </c>
    </row>
    <row r="473">
      <c r="A473" s="40">
        <f t="array" ref="A473">IFNA(index(PlayerValues!A:A,match(IFNA(vlookup(B473,'Special Names'!A:B,2,FALSE),B473),PlayerValues!E:E,0)),"N/A")</f>
        <v>14076</v>
      </c>
      <c r="B473" s="4" t="s">
        <v>790</v>
      </c>
      <c r="C473" s="4" t="s">
        <v>278</v>
      </c>
      <c r="D473" s="94">
        <v>544.0</v>
      </c>
    </row>
    <row r="474">
      <c r="A474" s="40">
        <f t="array" ref="A474">IFNA(index(PlayerValues!A:A,match(IFNA(vlookup(B474,'Special Names'!A:B,2,FALSE),B474),PlayerValues!E:E,0)),"N/A")</f>
        <v>15257</v>
      </c>
      <c r="B474" s="4" t="s">
        <v>851</v>
      </c>
      <c r="C474" s="4" t="s">
        <v>278</v>
      </c>
      <c r="D474" s="94">
        <v>471.0</v>
      </c>
    </row>
    <row r="475">
      <c r="A475" s="40">
        <f t="array" ref="A475">IFNA(index(PlayerValues!A:A,match(IFNA(vlookup(B475,'Special Names'!A:B,2,FALSE),B475),PlayerValues!E:E,0)),"N/A")</f>
        <v>14123</v>
      </c>
      <c r="B475" s="4" t="s">
        <v>852</v>
      </c>
      <c r="C475" s="4" t="s">
        <v>287</v>
      </c>
      <c r="D475" s="94">
        <v>443.0</v>
      </c>
    </row>
    <row r="476">
      <c r="A476" s="40">
        <f t="array" ref="A476">IFNA(index(PlayerValues!A:A,match(IFNA(vlookup(B476,'Special Names'!A:B,2,FALSE),B476),PlayerValues!E:E,0)),"N/A")</f>
        <v>15743</v>
      </c>
      <c r="B476" s="4" t="s">
        <v>780</v>
      </c>
      <c r="C476" s="4" t="s">
        <v>278</v>
      </c>
      <c r="D476" s="94">
        <v>439.0</v>
      </c>
    </row>
    <row r="477">
      <c r="A477" s="40">
        <f t="array" ref="A477">IFNA(index(PlayerValues!A:A,match(IFNA(vlookup(B477,'Special Names'!A:B,2,FALSE),B477),PlayerValues!E:E,0)),"N/A")</f>
        <v>12677</v>
      </c>
      <c r="B477" s="4" t="s">
        <v>853</v>
      </c>
      <c r="C477" s="4" t="s">
        <v>298</v>
      </c>
      <c r="D477" s="94">
        <v>769.0</v>
      </c>
    </row>
    <row r="478">
      <c r="A478" s="40">
        <f t="array" ref="A478">IFNA(index(PlayerValues!A:A,match(IFNA(vlookup(B478,'Special Names'!A:B,2,FALSE),B478),PlayerValues!E:E,0)),"N/A")</f>
        <v>14847</v>
      </c>
      <c r="B478" s="4" t="s">
        <v>854</v>
      </c>
      <c r="C478" s="4" t="s">
        <v>287</v>
      </c>
      <c r="D478" s="94">
        <v>435.0</v>
      </c>
    </row>
    <row r="479">
      <c r="A479" s="40">
        <f t="array" ref="A479">IFNA(index(PlayerValues!A:A,match(IFNA(vlookup(B479,'Special Names'!A:B,2,FALSE),B479),PlayerValues!E:E,0)),"N/A")</f>
        <v>16153</v>
      </c>
      <c r="B479" s="4" t="s">
        <v>776</v>
      </c>
      <c r="C479" s="4" t="s">
        <v>283</v>
      </c>
      <c r="D479" s="94">
        <v>429.0</v>
      </c>
    </row>
    <row r="480">
      <c r="A480" s="40">
        <f t="array" ref="A480">IFNA(index(PlayerValues!A:A,match(IFNA(vlookup(B480,'Special Names'!A:B,2,FALSE),B480),PlayerValues!E:E,0)),"N/A")</f>
        <v>11674</v>
      </c>
      <c r="B480" s="4" t="s">
        <v>855</v>
      </c>
      <c r="C480" s="4" t="s">
        <v>287</v>
      </c>
      <c r="D480" s="94">
        <v>407.0</v>
      </c>
    </row>
    <row r="481">
      <c r="A481" s="40">
        <f t="array" ref="A481">IFNA(index(PlayerValues!A:A,match(IFNA(vlookup(B481,'Special Names'!A:B,2,FALSE),B481),PlayerValues!E:E,0)),"N/A")</f>
        <v>14083</v>
      </c>
      <c r="B481" s="4" t="s">
        <v>856</v>
      </c>
      <c r="C481" s="4" t="s">
        <v>278</v>
      </c>
      <c r="D481" s="94">
        <v>405.0</v>
      </c>
    </row>
    <row r="482">
      <c r="A482" s="40">
        <f t="array" ref="A482">IFNA(index(PlayerValues!A:A,match(IFNA(vlookup(B482,'Special Names'!A:B,2,FALSE),B482),PlayerValues!E:E,0)),"N/A")</f>
        <v>16646</v>
      </c>
      <c r="B482" s="4" t="s">
        <v>857</v>
      </c>
      <c r="C482" s="4" t="s">
        <v>298</v>
      </c>
      <c r="D482" s="94">
        <v>730.0</v>
      </c>
    </row>
    <row r="483">
      <c r="A483" s="40">
        <f t="array" ref="A483">IFNA(index(PlayerValues!A:A,match(IFNA(vlookup(B483,'Special Names'!A:B,2,FALSE),B483),PlayerValues!E:E,0)),"N/A")</f>
        <v>14839</v>
      </c>
      <c r="B483" s="4" t="s">
        <v>858</v>
      </c>
      <c r="C483" s="4" t="s">
        <v>287</v>
      </c>
      <c r="D483" s="94">
        <v>398.0</v>
      </c>
    </row>
    <row r="484">
      <c r="A484" s="40">
        <f t="array" ref="A484">IFNA(index(PlayerValues!A:A,match(IFNA(vlookup(B484,'Special Names'!A:B,2,FALSE),B484),PlayerValues!E:E,0)),"N/A")</f>
        <v>15491</v>
      </c>
      <c r="B484" s="4" t="s">
        <v>859</v>
      </c>
      <c r="C484" s="4" t="s">
        <v>287</v>
      </c>
      <c r="D484" s="94">
        <v>394.0</v>
      </c>
    </row>
    <row r="485">
      <c r="A485" s="40">
        <f t="array" ref="A485">IFNA(index(PlayerValues!A:A,match(IFNA(vlookup(B485,'Special Names'!A:B,2,FALSE),B485),PlayerValues!E:E,0)),"N/A")</f>
        <v>14315</v>
      </c>
      <c r="B485" s="4" t="s">
        <v>860</v>
      </c>
      <c r="C485" s="4" t="s">
        <v>287</v>
      </c>
      <c r="D485" s="94">
        <v>391.0</v>
      </c>
    </row>
    <row r="486">
      <c r="A486" s="40">
        <f t="array" ref="A486">IFNA(index(PlayerValues!A:A,match(IFNA(vlookup(B486,'Special Names'!A:B,2,FALSE),B486),PlayerValues!E:E,0)),"N/A")</f>
        <v>16151</v>
      </c>
      <c r="B486" s="4" t="s">
        <v>861</v>
      </c>
      <c r="C486" s="4" t="s">
        <v>283</v>
      </c>
      <c r="D486" s="94">
        <v>389.0</v>
      </c>
    </row>
    <row r="487">
      <c r="A487" s="40">
        <f t="array" ref="A487">IFNA(index(PlayerValues!A:A,match(IFNA(vlookup(B487,'Special Names'!A:B,2,FALSE),B487),PlayerValues!E:E,0)),"N/A")</f>
        <v>16210</v>
      </c>
      <c r="B487" s="4" t="s">
        <v>862</v>
      </c>
      <c r="C487" s="4" t="s">
        <v>287</v>
      </c>
      <c r="D487" s="94">
        <v>389.0</v>
      </c>
    </row>
    <row r="488">
      <c r="A488" s="40">
        <f t="array" ref="A488">IFNA(index(PlayerValues!A:A,match(IFNA(vlookup(B488,'Special Names'!A:B,2,FALSE),B488),PlayerValues!E:E,0)),"N/A")</f>
        <v>11760</v>
      </c>
      <c r="B488" s="4" t="s">
        <v>863</v>
      </c>
      <c r="C488" s="4" t="s">
        <v>283</v>
      </c>
      <c r="D488" s="94">
        <v>387.0</v>
      </c>
    </row>
    <row r="489">
      <c r="A489" s="40">
        <f t="array" ref="A489">IFNA(index(PlayerValues!A:A,match(IFNA(vlookup(B489,'Special Names'!A:B,2,FALSE),B489),PlayerValues!E:E,0)),"N/A")</f>
        <v>14815</v>
      </c>
      <c r="B489" s="4" t="s">
        <v>864</v>
      </c>
      <c r="C489" s="4" t="s">
        <v>278</v>
      </c>
      <c r="D489" s="94">
        <v>386.0</v>
      </c>
    </row>
    <row r="490">
      <c r="A490" s="40">
        <f t="array" ref="A490">IFNA(index(PlayerValues!A:A,match(IFNA(vlookup(B490,'Special Names'!A:B,2,FALSE),B490),PlayerValues!E:E,0)),"N/A")</f>
        <v>15733</v>
      </c>
      <c r="B490" s="4" t="s">
        <v>865</v>
      </c>
      <c r="C490" s="4" t="s">
        <v>278</v>
      </c>
      <c r="D490" s="94">
        <v>384.0</v>
      </c>
    </row>
    <row r="491">
      <c r="A491" s="40" t="str">
        <f t="array" ref="A491">IFNA(index(PlayerValues!A:A,match(IFNA(vlookup(B491,'Special Names'!A:B,2,FALSE),B491),PlayerValues!E:E,0)),"N/A")</f>
        <v>N/A</v>
      </c>
      <c r="B491" s="4" t="s">
        <v>866</v>
      </c>
      <c r="C491" s="4" t="s">
        <v>287</v>
      </c>
      <c r="D491" s="94">
        <v>383.0</v>
      </c>
    </row>
    <row r="492">
      <c r="A492" s="40">
        <f t="array" ref="A492">IFNA(index(PlayerValues!A:A,match(IFNA(vlookup(B492,'Special Names'!A:B,2,FALSE),B492),PlayerValues!E:E,0)),"N/A")</f>
        <v>16173</v>
      </c>
      <c r="B492" s="4" t="s">
        <v>867</v>
      </c>
      <c r="C492" s="4" t="s">
        <v>278</v>
      </c>
      <c r="D492" s="94">
        <v>380.0</v>
      </c>
    </row>
    <row r="493">
      <c r="A493" s="40">
        <f t="array" ref="A493">IFNA(index(PlayerValues!A:A,match(IFNA(vlookup(B493,'Special Names'!A:B,2,FALSE),B493),PlayerValues!E:E,0)),"N/A")</f>
        <v>10703</v>
      </c>
      <c r="B493" s="4" t="s">
        <v>868</v>
      </c>
      <c r="C493" s="4" t="s">
        <v>283</v>
      </c>
      <c r="D493" s="94">
        <v>369.0</v>
      </c>
    </row>
    <row r="494">
      <c r="A494" s="40">
        <f t="array" ref="A494">IFNA(index(PlayerValues!A:A,match(IFNA(vlookup(B494,'Special Names'!A:B,2,FALSE),B494),PlayerValues!E:E,0)),"N/A")</f>
        <v>16157</v>
      </c>
      <c r="B494" s="4" t="s">
        <v>869</v>
      </c>
      <c r="C494" s="4" t="s">
        <v>287</v>
      </c>
      <c r="D494" s="94">
        <v>369.0</v>
      </c>
    </row>
    <row r="495">
      <c r="A495" s="40">
        <f t="array" ref="A495">IFNA(index(PlayerValues!A:A,match(IFNA(vlookup(B495,'Special Names'!A:B,2,FALSE),B495),PlayerValues!E:E,0)),"N/A")</f>
        <v>15840</v>
      </c>
      <c r="B495" s="4" t="s">
        <v>870</v>
      </c>
      <c r="C495" s="4" t="s">
        <v>298</v>
      </c>
      <c r="D495" s="94">
        <v>702.0</v>
      </c>
    </row>
    <row r="496">
      <c r="A496" s="40">
        <f t="array" ref="A496">IFNA(index(PlayerValues!A:A,match(IFNA(vlookup(B496,'Special Names'!A:B,2,FALSE),B496),PlayerValues!E:E,0)),"N/A")</f>
        <v>16706</v>
      </c>
      <c r="B496" s="4" t="s">
        <v>871</v>
      </c>
      <c r="C496" s="4" t="s">
        <v>298</v>
      </c>
      <c r="D496" s="94">
        <v>698.0</v>
      </c>
    </row>
    <row r="497">
      <c r="A497" s="40">
        <f t="array" ref="A497">IFNA(index(PlayerValues!A:A,match(IFNA(vlookup(B497,'Special Names'!A:B,2,FALSE),B497),PlayerValues!E:E,0)),"N/A")</f>
        <v>13115</v>
      </c>
      <c r="B497" s="4" t="s">
        <v>872</v>
      </c>
      <c r="C497" s="4" t="s">
        <v>283</v>
      </c>
      <c r="D497" s="94">
        <v>360.0</v>
      </c>
    </row>
    <row r="498">
      <c r="A498" s="40">
        <f t="array" ref="A498">IFNA(index(PlayerValues!A:A,match(IFNA(vlookup(B498,'Special Names'!A:B,2,FALSE),B498),PlayerValues!E:E,0)),"N/A")</f>
        <v>14803</v>
      </c>
      <c r="B498" s="4" t="s">
        <v>873</v>
      </c>
      <c r="C498" s="4" t="s">
        <v>278</v>
      </c>
      <c r="D498" s="94">
        <v>360.0</v>
      </c>
    </row>
    <row r="499">
      <c r="A499" s="40" t="str">
        <f t="array" ref="A499">IFNA(index(PlayerValues!A:A,match(IFNA(vlookup(B499,'Special Names'!A:B,2,FALSE),B499),PlayerValues!E:E,0)),"N/A")</f>
        <v>N/A</v>
      </c>
      <c r="B499" s="4" t="s">
        <v>874</v>
      </c>
      <c r="C499" s="4" t="s">
        <v>278</v>
      </c>
      <c r="D499" s="94">
        <v>354.0</v>
      </c>
    </row>
    <row r="500">
      <c r="A500" s="40">
        <f t="array" ref="A500">IFNA(index(PlayerValues!A:A,match(IFNA(vlookup(B500,'Special Names'!A:B,2,FALSE),B500),PlayerValues!E:E,0)),"N/A")</f>
        <v>15696</v>
      </c>
      <c r="B500" s="4" t="s">
        <v>875</v>
      </c>
      <c r="C500" s="4" t="s">
        <v>283</v>
      </c>
      <c r="D500" s="94">
        <v>354.0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</cols>
  <sheetData>
    <row r="1">
      <c r="A1" s="95" t="str">
        <f>IFERROR(__xludf.DUMMYFUNCTION("importrange(""https://docs.google.com/spreadsheets/d/1CK7eYB_4-qer_doF9IR3UJWC7bqyMgMIPnxuVHS5Wlk/edit#gid=648308186"",""A:C"")"),"#REF!")</f>
        <v>#REF!</v>
      </c>
      <c r="B1" s="95"/>
      <c r="C1" s="96"/>
      <c r="D1" s="96"/>
      <c r="E1" s="97"/>
      <c r="F1" s="98"/>
      <c r="G1" s="99"/>
      <c r="H1" s="99"/>
      <c r="I1" s="99"/>
      <c r="J1" s="100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101"/>
    </row>
    <row r="2">
      <c r="A2" s="97"/>
      <c r="B2" s="99"/>
      <c r="C2" s="97"/>
      <c r="D2" s="99"/>
      <c r="E2" s="97"/>
      <c r="F2" s="102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1"/>
    </row>
    <row r="3">
      <c r="A3" s="97"/>
      <c r="B3" s="99"/>
      <c r="C3" s="97"/>
      <c r="D3" s="99"/>
      <c r="E3" s="97"/>
      <c r="F3" s="102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101"/>
    </row>
    <row r="4">
      <c r="A4" s="97"/>
      <c r="B4" s="99"/>
      <c r="C4" s="97"/>
      <c r="D4" s="96"/>
      <c r="E4" s="97"/>
      <c r="F4" s="102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101"/>
    </row>
    <row r="5">
      <c r="A5" s="97"/>
      <c r="B5" s="99"/>
      <c r="C5" s="97"/>
      <c r="D5" s="96"/>
      <c r="E5" s="97"/>
      <c r="F5" s="102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101"/>
    </row>
    <row r="6">
      <c r="A6" s="97"/>
      <c r="B6" s="99"/>
      <c r="C6" s="97"/>
      <c r="D6" s="96"/>
      <c r="E6" s="97"/>
      <c r="F6" s="102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1"/>
    </row>
    <row r="7">
      <c r="A7" s="97"/>
      <c r="B7" s="99"/>
      <c r="C7" s="97"/>
      <c r="D7" s="99"/>
      <c r="E7" s="97"/>
      <c r="F7" s="102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101"/>
    </row>
    <row r="8">
      <c r="A8" s="97"/>
      <c r="B8" s="99"/>
      <c r="C8" s="97"/>
      <c r="D8" s="99"/>
      <c r="E8" s="97"/>
      <c r="F8" s="102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101"/>
    </row>
    <row r="9">
      <c r="A9" s="97"/>
      <c r="B9" s="99"/>
      <c r="C9" s="97"/>
      <c r="D9" s="99"/>
      <c r="E9" s="97"/>
      <c r="F9" s="102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101"/>
    </row>
    <row r="10">
      <c r="A10" s="97"/>
      <c r="B10" s="96"/>
      <c r="C10" s="97"/>
      <c r="D10" s="96"/>
      <c r="E10" s="97"/>
      <c r="F10" s="102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101"/>
    </row>
    <row r="11">
      <c r="A11" s="97"/>
      <c r="B11" s="99"/>
      <c r="C11" s="97"/>
      <c r="D11" s="96"/>
      <c r="E11" s="97"/>
      <c r="F11" s="102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101"/>
    </row>
    <row r="12">
      <c r="A12" s="97"/>
      <c r="B12" s="99"/>
      <c r="C12" s="97"/>
      <c r="D12" s="99"/>
      <c r="E12" s="97"/>
      <c r="F12" s="102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101"/>
    </row>
    <row r="13">
      <c r="A13" s="97"/>
      <c r="B13" s="99"/>
      <c r="C13" s="97"/>
      <c r="D13" s="99"/>
      <c r="E13" s="97"/>
      <c r="F13" s="102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101"/>
    </row>
    <row r="14">
      <c r="A14" s="97"/>
      <c r="B14" s="99"/>
      <c r="C14" s="97"/>
      <c r="D14" s="99"/>
      <c r="E14" s="97"/>
      <c r="F14" s="102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101"/>
    </row>
    <row r="15">
      <c r="A15" s="97"/>
      <c r="B15" s="99"/>
      <c r="C15" s="97"/>
      <c r="D15" s="99"/>
      <c r="E15" s="97"/>
      <c r="F15" s="103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101"/>
    </row>
    <row r="16">
      <c r="A16" s="97"/>
      <c r="B16" s="99"/>
      <c r="C16" s="97"/>
      <c r="D16" s="99"/>
      <c r="E16" s="97"/>
      <c r="F16" s="102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101"/>
    </row>
    <row r="17">
      <c r="A17" s="97"/>
      <c r="B17" s="99"/>
      <c r="C17" s="97"/>
      <c r="D17" s="97"/>
      <c r="E17" s="97"/>
      <c r="F17" s="102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101"/>
    </row>
    <row r="18">
      <c r="A18" s="97"/>
      <c r="B18" s="99"/>
      <c r="C18" s="97"/>
      <c r="D18" s="99"/>
      <c r="E18" s="97"/>
      <c r="F18" s="102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101"/>
    </row>
    <row r="19">
      <c r="A19" s="97"/>
      <c r="B19" s="99"/>
      <c r="C19" s="97"/>
      <c r="D19" s="99"/>
      <c r="E19" s="97"/>
      <c r="F19" s="102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101"/>
    </row>
    <row r="20">
      <c r="A20" s="97"/>
      <c r="B20" s="99"/>
      <c r="C20" s="97"/>
      <c r="D20" s="99"/>
      <c r="E20" s="97"/>
      <c r="F20" s="102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101"/>
    </row>
    <row r="21">
      <c r="A21" s="97"/>
      <c r="B21" s="99"/>
      <c r="C21" s="97"/>
      <c r="D21" s="99"/>
      <c r="E21" s="97"/>
      <c r="F21" s="102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101"/>
    </row>
    <row r="22">
      <c r="A22" s="97"/>
      <c r="B22" s="99"/>
      <c r="C22" s="97"/>
      <c r="D22" s="99"/>
      <c r="E22" s="97"/>
      <c r="F22" s="102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101"/>
    </row>
    <row r="23">
      <c r="A23" s="97"/>
      <c r="B23" s="99"/>
      <c r="C23" s="97"/>
      <c r="D23" s="99"/>
      <c r="E23" s="97"/>
      <c r="F23" s="102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101"/>
    </row>
    <row r="24">
      <c r="A24" s="97"/>
      <c r="B24" s="99"/>
      <c r="C24" s="97"/>
      <c r="D24" s="99"/>
      <c r="E24" s="97"/>
      <c r="F24" s="102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101"/>
    </row>
    <row r="25">
      <c r="A25" s="97"/>
      <c r="B25" s="99"/>
      <c r="C25" s="97"/>
      <c r="D25" s="99"/>
      <c r="E25" s="97"/>
      <c r="F25" s="97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101"/>
    </row>
    <row r="26">
      <c r="A26" s="97"/>
      <c r="B26" s="99"/>
      <c r="C26" s="97"/>
      <c r="D26" s="99"/>
      <c r="E26" s="97"/>
      <c r="F26" s="102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101"/>
    </row>
    <row r="27">
      <c r="A27" s="97"/>
      <c r="B27" s="99"/>
      <c r="C27" s="97"/>
      <c r="D27" s="99"/>
      <c r="E27" s="97"/>
      <c r="F27" s="102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101"/>
    </row>
    <row r="28">
      <c r="A28" s="97"/>
      <c r="B28" s="99"/>
      <c r="C28" s="97"/>
      <c r="D28" s="99"/>
      <c r="E28" s="97"/>
      <c r="F28" s="102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101"/>
    </row>
    <row r="29">
      <c r="A29" s="97"/>
      <c r="B29" s="99"/>
      <c r="C29" s="97"/>
      <c r="D29" s="99"/>
      <c r="E29" s="97"/>
      <c r="F29" s="102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101"/>
    </row>
    <row r="30">
      <c r="A30" s="97"/>
      <c r="B30" s="99"/>
      <c r="C30" s="97"/>
      <c r="D30" s="99"/>
      <c r="E30" s="97"/>
      <c r="F30" s="102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101"/>
    </row>
    <row r="31">
      <c r="A31" s="97"/>
      <c r="B31" s="99"/>
      <c r="C31" s="97"/>
      <c r="D31" s="99"/>
      <c r="E31" s="97"/>
      <c r="F31" s="102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101"/>
    </row>
    <row r="32">
      <c r="A32" s="97"/>
      <c r="B32" s="99"/>
      <c r="C32" s="97"/>
      <c r="D32" s="99"/>
      <c r="E32" s="97"/>
      <c r="F32" s="102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101"/>
    </row>
    <row r="33">
      <c r="A33" s="97"/>
      <c r="B33" s="99"/>
      <c r="C33" s="97"/>
      <c r="D33" s="99"/>
      <c r="E33" s="97"/>
      <c r="F33" s="102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101"/>
    </row>
    <row r="34">
      <c r="A34" s="97"/>
      <c r="B34" s="99"/>
      <c r="C34" s="97"/>
      <c r="D34" s="99"/>
      <c r="E34" s="97"/>
      <c r="F34" s="102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101"/>
    </row>
    <row r="35">
      <c r="A35" s="97"/>
      <c r="B35" s="99"/>
      <c r="C35" s="97"/>
      <c r="D35" s="99"/>
      <c r="E35" s="97"/>
      <c r="F35" s="102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101"/>
    </row>
    <row r="36">
      <c r="A36" s="97"/>
      <c r="B36" s="99"/>
      <c r="C36" s="97"/>
      <c r="D36" s="99"/>
      <c r="E36" s="97"/>
      <c r="F36" s="102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101"/>
    </row>
    <row r="37">
      <c r="A37" s="97"/>
      <c r="B37" s="99"/>
      <c r="C37" s="97"/>
      <c r="D37" s="99"/>
      <c r="E37" s="97"/>
      <c r="F37" s="102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101"/>
    </row>
    <row r="38">
      <c r="A38" s="97"/>
      <c r="B38" s="96"/>
      <c r="C38" s="97"/>
      <c r="D38" s="97"/>
      <c r="E38" s="97"/>
      <c r="F38" s="102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101"/>
    </row>
    <row r="39">
      <c r="A39" s="104"/>
      <c r="B39" s="102"/>
      <c r="C39" s="99"/>
      <c r="D39" s="99"/>
      <c r="E39" s="99"/>
      <c r="F39" s="102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101"/>
    </row>
    <row r="40">
      <c r="A40" s="105"/>
      <c r="B40" s="105"/>
      <c r="C40" s="105"/>
      <c r="D40" s="105"/>
      <c r="E40" s="105"/>
      <c r="F40" s="105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101"/>
    </row>
    <row r="41">
      <c r="A41" s="104"/>
      <c r="B41" s="105"/>
      <c r="C41" s="99"/>
      <c r="D41" s="99"/>
      <c r="E41" s="99"/>
      <c r="F41" s="102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101"/>
    </row>
    <row r="42">
      <c r="A42" s="105"/>
      <c r="B42" s="105"/>
      <c r="C42" s="99"/>
      <c r="D42" s="99"/>
      <c r="E42" s="99"/>
      <c r="F42" s="102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101"/>
    </row>
    <row r="43">
      <c r="A43" s="99"/>
      <c r="B43" s="99"/>
      <c r="C43" s="99"/>
      <c r="D43" s="99"/>
      <c r="E43" s="99"/>
      <c r="F43" s="102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101"/>
    </row>
    <row r="44">
      <c r="A44" s="99"/>
      <c r="B44" s="99"/>
      <c r="C44" s="99"/>
      <c r="D44" s="99"/>
      <c r="E44" s="99"/>
      <c r="F44" s="102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101"/>
    </row>
    <row r="45">
      <c r="A45" s="99"/>
      <c r="B45" s="99"/>
      <c r="C45" s="99"/>
      <c r="D45" s="99"/>
      <c r="E45" s="99"/>
      <c r="F45" s="102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101"/>
    </row>
    <row r="46">
      <c r="A46" s="99"/>
      <c r="B46" s="99"/>
      <c r="C46" s="99"/>
      <c r="D46" s="99"/>
      <c r="E46" s="99"/>
      <c r="F46" s="102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101"/>
    </row>
    <row r="47">
      <c r="A47" s="99"/>
      <c r="B47" s="99"/>
      <c r="C47" s="99"/>
      <c r="D47" s="99"/>
      <c r="E47" s="99"/>
      <c r="F47" s="102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101"/>
    </row>
    <row r="48">
      <c r="A48" s="99"/>
      <c r="B48" s="99"/>
      <c r="C48" s="99"/>
      <c r="D48" s="99"/>
      <c r="E48" s="99"/>
      <c r="F48" s="102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101"/>
    </row>
    <row r="49">
      <c r="A49" s="99"/>
      <c r="B49" s="99"/>
      <c r="C49" s="99"/>
      <c r="D49" s="99"/>
      <c r="E49" s="99"/>
      <c r="F49" s="102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101"/>
    </row>
    <row r="50">
      <c r="A50" s="99"/>
      <c r="B50" s="99"/>
      <c r="C50" s="99"/>
      <c r="D50" s="99"/>
      <c r="E50" s="99"/>
      <c r="F50" s="102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101"/>
    </row>
    <row r="51">
      <c r="A51" s="99"/>
      <c r="B51" s="99"/>
      <c r="C51" s="99"/>
      <c r="D51" s="99"/>
      <c r="E51" s="99"/>
      <c r="F51" s="102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101"/>
    </row>
    <row r="52">
      <c r="A52" s="99"/>
      <c r="B52" s="99"/>
      <c r="C52" s="99"/>
      <c r="D52" s="99"/>
      <c r="E52" s="99"/>
      <c r="F52" s="102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101"/>
    </row>
    <row r="53">
      <c r="A53" s="99"/>
      <c r="B53" s="99"/>
      <c r="C53" s="99"/>
      <c r="D53" s="99"/>
      <c r="E53" s="99"/>
      <c r="F53" s="102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101"/>
    </row>
    <row r="54">
      <c r="A54" s="99"/>
      <c r="B54" s="99"/>
      <c r="C54" s="99"/>
      <c r="D54" s="99"/>
      <c r="E54" s="99"/>
      <c r="F54" s="102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101"/>
    </row>
    <row r="55">
      <c r="A55" s="99"/>
      <c r="B55" s="99"/>
      <c r="C55" s="99"/>
      <c r="D55" s="99"/>
      <c r="E55" s="99"/>
      <c r="F55" s="102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101"/>
    </row>
    <row r="56">
      <c r="A56" s="99"/>
      <c r="B56" s="99"/>
      <c r="C56" s="99"/>
      <c r="D56" s="99"/>
      <c r="E56" s="99"/>
      <c r="F56" s="102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101"/>
    </row>
    <row r="57">
      <c r="A57" s="99"/>
      <c r="B57" s="99"/>
      <c r="C57" s="99"/>
      <c r="D57" s="99"/>
      <c r="E57" s="99"/>
      <c r="F57" s="102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101"/>
    </row>
    <row r="58">
      <c r="A58" s="99"/>
      <c r="B58" s="99"/>
      <c r="C58" s="99"/>
      <c r="D58" s="99"/>
      <c r="E58" s="99"/>
      <c r="F58" s="102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101"/>
    </row>
    <row r="59">
      <c r="A59" s="99"/>
      <c r="B59" s="99"/>
      <c r="C59" s="99"/>
      <c r="D59" s="99"/>
      <c r="E59" s="99"/>
      <c r="F59" s="102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101"/>
    </row>
    <row r="60">
      <c r="A60" s="99"/>
      <c r="B60" s="99"/>
      <c r="C60" s="99"/>
      <c r="D60" s="99"/>
      <c r="E60" s="99"/>
      <c r="F60" s="102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101"/>
    </row>
    <row r="61">
      <c r="A61" s="99"/>
      <c r="B61" s="99"/>
      <c r="C61" s="99"/>
      <c r="D61" s="99"/>
      <c r="E61" s="99"/>
      <c r="F61" s="102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101"/>
    </row>
    <row r="62">
      <c r="A62" s="99"/>
      <c r="B62" s="99"/>
      <c r="C62" s="99"/>
      <c r="D62" s="99"/>
      <c r="E62" s="99"/>
      <c r="F62" s="102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101"/>
    </row>
    <row r="63">
      <c r="A63" s="99"/>
      <c r="B63" s="99"/>
      <c r="C63" s="99"/>
      <c r="D63" s="99"/>
      <c r="E63" s="99"/>
      <c r="F63" s="102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101"/>
    </row>
    <row r="64">
      <c r="A64" s="99"/>
      <c r="B64" s="99"/>
      <c r="C64" s="99"/>
      <c r="D64" s="99"/>
      <c r="E64" s="99"/>
      <c r="F64" s="102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101"/>
    </row>
    <row r="65">
      <c r="A65" s="99"/>
      <c r="B65" s="99"/>
      <c r="C65" s="99"/>
      <c r="D65" s="99"/>
      <c r="E65" s="99"/>
      <c r="F65" s="102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101"/>
    </row>
    <row r="66">
      <c r="A66" s="99"/>
      <c r="B66" s="99"/>
      <c r="C66" s="99"/>
      <c r="D66" s="99"/>
      <c r="E66" s="99"/>
      <c r="F66" s="102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101"/>
    </row>
    <row r="67">
      <c r="A67" s="99"/>
      <c r="B67" s="99"/>
      <c r="C67" s="99"/>
      <c r="D67" s="99"/>
      <c r="E67" s="99"/>
      <c r="F67" s="102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101"/>
    </row>
    <row r="68">
      <c r="A68" s="99"/>
      <c r="B68" s="99"/>
      <c r="C68" s="99"/>
      <c r="D68" s="99"/>
      <c r="E68" s="99"/>
      <c r="F68" s="102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101"/>
    </row>
    <row r="69">
      <c r="A69" s="99"/>
      <c r="B69" s="99"/>
      <c r="C69" s="99"/>
      <c r="D69" s="99"/>
      <c r="E69" s="99"/>
      <c r="F69" s="102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101"/>
    </row>
    <row r="70">
      <c r="A70" s="99"/>
      <c r="B70" s="99"/>
      <c r="C70" s="99"/>
      <c r="D70" s="99"/>
      <c r="E70" s="99"/>
      <c r="F70" s="102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101"/>
    </row>
    <row r="71">
      <c r="A71" s="99"/>
      <c r="B71" s="99"/>
      <c r="C71" s="99"/>
      <c r="D71" s="99"/>
      <c r="E71" s="99"/>
      <c r="F71" s="102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101"/>
    </row>
    <row r="72">
      <c r="A72" s="99"/>
      <c r="B72" s="99"/>
      <c r="C72" s="99"/>
      <c r="D72" s="99"/>
      <c r="E72" s="99"/>
      <c r="F72" s="102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101"/>
    </row>
    <row r="73">
      <c r="A73" s="99"/>
      <c r="B73" s="99"/>
      <c r="C73" s="99"/>
      <c r="D73" s="99"/>
      <c r="E73" s="99"/>
      <c r="F73" s="102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101"/>
    </row>
    <row r="74">
      <c r="A74" s="99"/>
      <c r="B74" s="99"/>
      <c r="C74" s="99"/>
      <c r="D74" s="99"/>
      <c r="E74" s="99"/>
      <c r="F74" s="102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101"/>
    </row>
    <row r="75">
      <c r="A75" s="99"/>
      <c r="B75" s="99"/>
      <c r="C75" s="99"/>
      <c r="D75" s="99"/>
      <c r="E75" s="99"/>
      <c r="F75" s="102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101"/>
    </row>
    <row r="76">
      <c r="A76" s="99"/>
      <c r="B76" s="99"/>
      <c r="C76" s="99"/>
      <c r="D76" s="99"/>
      <c r="E76" s="99"/>
      <c r="F76" s="102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101"/>
    </row>
    <row r="77">
      <c r="A77" s="99"/>
      <c r="B77" s="99"/>
      <c r="C77" s="99"/>
      <c r="D77" s="99"/>
      <c r="E77" s="99"/>
      <c r="F77" s="102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101"/>
    </row>
    <row r="78">
      <c r="A78" s="99"/>
      <c r="B78" s="99"/>
      <c r="C78" s="99"/>
      <c r="D78" s="99"/>
      <c r="E78" s="99"/>
      <c r="F78" s="102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101"/>
    </row>
    <row r="79">
      <c r="A79" s="99"/>
      <c r="B79" s="99"/>
      <c r="C79" s="99"/>
      <c r="D79" s="99"/>
      <c r="E79" s="99"/>
      <c r="F79" s="102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101"/>
    </row>
    <row r="80">
      <c r="A80" s="99"/>
      <c r="B80" s="99"/>
      <c r="C80" s="99"/>
      <c r="D80" s="99"/>
      <c r="E80" s="99"/>
      <c r="F80" s="102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101"/>
    </row>
    <row r="81">
      <c r="A81" s="99"/>
      <c r="B81" s="99"/>
      <c r="C81" s="99"/>
      <c r="D81" s="99"/>
      <c r="E81" s="99"/>
      <c r="F81" s="102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101"/>
    </row>
    <row r="82">
      <c r="A82" s="99"/>
      <c r="B82" s="99"/>
      <c r="C82" s="99"/>
      <c r="D82" s="99"/>
      <c r="E82" s="99"/>
      <c r="F82" s="102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101"/>
    </row>
    <row r="83">
      <c r="A83" s="99"/>
      <c r="B83" s="99"/>
      <c r="C83" s="99"/>
      <c r="D83" s="99"/>
      <c r="E83" s="99"/>
      <c r="F83" s="102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101"/>
    </row>
    <row r="84">
      <c r="A84" s="99"/>
      <c r="B84" s="99"/>
      <c r="C84" s="99"/>
      <c r="D84" s="99"/>
      <c r="E84" s="99"/>
      <c r="F84" s="102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101"/>
    </row>
    <row r="85">
      <c r="A85" s="99"/>
      <c r="B85" s="99"/>
      <c r="C85" s="99"/>
      <c r="D85" s="99"/>
      <c r="E85" s="99"/>
      <c r="F85" s="102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101"/>
    </row>
    <row r="86">
      <c r="A86" s="99"/>
      <c r="B86" s="99"/>
      <c r="C86" s="99"/>
      <c r="D86" s="99"/>
      <c r="E86" s="99"/>
      <c r="F86" s="102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101"/>
    </row>
    <row r="87">
      <c r="A87" s="99"/>
      <c r="B87" s="99"/>
      <c r="C87" s="99"/>
      <c r="D87" s="99"/>
      <c r="E87" s="99"/>
      <c r="F87" s="102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101"/>
    </row>
    <row r="88">
      <c r="A88" s="99"/>
      <c r="B88" s="99"/>
      <c r="C88" s="99"/>
      <c r="D88" s="99"/>
      <c r="E88" s="99"/>
      <c r="F88" s="102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101"/>
    </row>
    <row r="89">
      <c r="A89" s="99"/>
      <c r="B89" s="99"/>
      <c r="C89" s="99"/>
      <c r="D89" s="99"/>
      <c r="E89" s="99"/>
      <c r="F89" s="102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101"/>
    </row>
    <row r="90">
      <c r="A90" s="99"/>
      <c r="B90" s="99"/>
      <c r="C90" s="99"/>
      <c r="D90" s="99"/>
      <c r="E90" s="99"/>
      <c r="F90" s="102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101"/>
    </row>
    <row r="91">
      <c r="A91" s="99"/>
      <c r="B91" s="99"/>
      <c r="C91" s="99"/>
      <c r="D91" s="99"/>
      <c r="E91" s="99"/>
      <c r="F91" s="102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101"/>
    </row>
    <row r="92">
      <c r="A92" s="99"/>
      <c r="B92" s="99"/>
      <c r="C92" s="99"/>
      <c r="D92" s="99"/>
      <c r="E92" s="99"/>
      <c r="F92" s="102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101"/>
    </row>
    <row r="93">
      <c r="A93" s="99"/>
      <c r="B93" s="99"/>
      <c r="C93" s="99"/>
      <c r="D93" s="99"/>
      <c r="E93" s="99"/>
      <c r="F93" s="102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101"/>
    </row>
    <row r="94">
      <c r="A94" s="99"/>
      <c r="B94" s="99"/>
      <c r="C94" s="99"/>
      <c r="D94" s="99"/>
      <c r="E94" s="99"/>
      <c r="F94" s="102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101"/>
    </row>
    <row r="95">
      <c r="A95" s="99"/>
      <c r="B95" s="99"/>
      <c r="C95" s="99"/>
      <c r="D95" s="99"/>
      <c r="E95" s="99"/>
      <c r="F95" s="102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101"/>
    </row>
    <row r="96">
      <c r="A96" s="99"/>
      <c r="B96" s="99"/>
      <c r="C96" s="99"/>
      <c r="D96" s="99"/>
      <c r="E96" s="99"/>
      <c r="F96" s="102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101"/>
    </row>
    <row r="97">
      <c r="A97" s="99"/>
      <c r="B97" s="99"/>
      <c r="C97" s="99"/>
      <c r="D97" s="99"/>
      <c r="E97" s="99"/>
      <c r="F97" s="102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101"/>
    </row>
    <row r="98">
      <c r="A98" s="99"/>
      <c r="B98" s="99"/>
      <c r="C98" s="99"/>
      <c r="D98" s="99"/>
      <c r="E98" s="99"/>
      <c r="F98" s="102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101"/>
    </row>
    <row r="99">
      <c r="A99" s="99"/>
      <c r="B99" s="99"/>
      <c r="C99" s="99"/>
      <c r="D99" s="99"/>
      <c r="E99" s="99"/>
      <c r="F99" s="102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101"/>
    </row>
    <row r="100">
      <c r="A100" s="99"/>
      <c r="B100" s="99"/>
      <c r="C100" s="99"/>
      <c r="D100" s="99"/>
      <c r="E100" s="99"/>
      <c r="F100" s="102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101"/>
    </row>
    <row r="101">
      <c r="A101" s="99"/>
      <c r="B101" s="99"/>
      <c r="C101" s="99"/>
      <c r="D101" s="99"/>
      <c r="E101" s="99"/>
      <c r="F101" s="102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101"/>
    </row>
    <row r="102">
      <c r="A102" s="99"/>
      <c r="B102" s="99"/>
      <c r="C102" s="99"/>
      <c r="D102" s="99"/>
      <c r="E102" s="99"/>
      <c r="F102" s="102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101"/>
    </row>
    <row r="103">
      <c r="A103" s="99"/>
      <c r="B103" s="99"/>
      <c r="C103" s="99"/>
      <c r="D103" s="99"/>
      <c r="E103" s="99"/>
      <c r="F103" s="102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101"/>
    </row>
    <row r="104">
      <c r="A104" s="99"/>
      <c r="B104" s="99"/>
      <c r="C104" s="99"/>
      <c r="D104" s="99"/>
      <c r="E104" s="99"/>
      <c r="F104" s="102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101"/>
    </row>
    <row r="105">
      <c r="A105" s="99"/>
      <c r="B105" s="99"/>
      <c r="C105" s="99"/>
      <c r="D105" s="99"/>
      <c r="E105" s="99"/>
      <c r="F105" s="102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101"/>
    </row>
    <row r="106">
      <c r="A106" s="99"/>
      <c r="B106" s="99"/>
      <c r="C106" s="99"/>
      <c r="D106" s="99"/>
      <c r="E106" s="99"/>
      <c r="F106" s="102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101"/>
    </row>
    <row r="107">
      <c r="A107" s="99"/>
      <c r="B107" s="99"/>
      <c r="C107" s="99"/>
      <c r="D107" s="99"/>
      <c r="E107" s="99"/>
      <c r="F107" s="102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101"/>
    </row>
    <row r="108">
      <c r="A108" s="99"/>
      <c r="B108" s="99"/>
      <c r="C108" s="99"/>
      <c r="D108" s="99"/>
      <c r="E108" s="99"/>
      <c r="F108" s="102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101"/>
    </row>
    <row r="109">
      <c r="A109" s="99"/>
      <c r="B109" s="99"/>
      <c r="C109" s="99"/>
      <c r="D109" s="99"/>
      <c r="E109" s="99"/>
      <c r="F109" s="102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101"/>
    </row>
    <row r="110">
      <c r="A110" s="99"/>
      <c r="B110" s="99"/>
      <c r="C110" s="99"/>
      <c r="D110" s="99"/>
      <c r="E110" s="99"/>
      <c r="F110" s="102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101"/>
    </row>
    <row r="111">
      <c r="A111" s="99"/>
      <c r="B111" s="99"/>
      <c r="C111" s="99"/>
      <c r="D111" s="99"/>
      <c r="E111" s="99"/>
      <c r="F111" s="102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101"/>
    </row>
    <row r="112">
      <c r="A112" s="99"/>
      <c r="B112" s="99"/>
      <c r="C112" s="99"/>
      <c r="D112" s="99"/>
      <c r="E112" s="99"/>
      <c r="F112" s="102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101"/>
    </row>
    <row r="113">
      <c r="A113" s="99"/>
      <c r="B113" s="99"/>
      <c r="C113" s="99"/>
      <c r="D113" s="99"/>
      <c r="E113" s="99"/>
      <c r="F113" s="102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101"/>
    </row>
    <row r="114">
      <c r="A114" s="99"/>
      <c r="B114" s="99"/>
      <c r="C114" s="99"/>
      <c r="D114" s="99"/>
      <c r="E114" s="99"/>
      <c r="F114" s="102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101"/>
    </row>
    <row r="115">
      <c r="A115" s="99"/>
      <c r="B115" s="99"/>
      <c r="C115" s="99"/>
      <c r="D115" s="99"/>
      <c r="E115" s="99"/>
      <c r="F115" s="102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101"/>
    </row>
    <row r="116">
      <c r="A116" s="99"/>
      <c r="B116" s="99"/>
      <c r="C116" s="99"/>
      <c r="D116" s="99"/>
      <c r="E116" s="99"/>
      <c r="F116" s="102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101"/>
    </row>
    <row r="117">
      <c r="A117" s="99"/>
      <c r="B117" s="99"/>
      <c r="C117" s="99"/>
      <c r="D117" s="99"/>
      <c r="E117" s="99"/>
      <c r="F117" s="102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101"/>
    </row>
    <row r="118">
      <c r="A118" s="99"/>
      <c r="B118" s="99"/>
      <c r="C118" s="99"/>
      <c r="D118" s="99"/>
      <c r="E118" s="99"/>
      <c r="F118" s="102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101"/>
    </row>
    <row r="119">
      <c r="A119" s="99"/>
      <c r="B119" s="99"/>
      <c r="C119" s="99"/>
      <c r="D119" s="99"/>
      <c r="E119" s="99"/>
      <c r="F119" s="102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101"/>
    </row>
    <row r="120">
      <c r="A120" s="99"/>
      <c r="B120" s="99"/>
      <c r="C120" s="99"/>
      <c r="D120" s="99"/>
      <c r="E120" s="99"/>
      <c r="F120" s="102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101"/>
    </row>
    <row r="121">
      <c r="A121" s="99"/>
      <c r="B121" s="99"/>
      <c r="C121" s="99"/>
      <c r="D121" s="99"/>
      <c r="E121" s="99"/>
      <c r="F121" s="102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101"/>
    </row>
    <row r="122">
      <c r="A122" s="99"/>
      <c r="B122" s="99"/>
      <c r="C122" s="99"/>
      <c r="D122" s="99"/>
      <c r="E122" s="99"/>
      <c r="F122" s="102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101"/>
    </row>
    <row r="123">
      <c r="A123" s="99"/>
      <c r="B123" s="99"/>
      <c r="C123" s="99"/>
      <c r="D123" s="99"/>
      <c r="E123" s="99"/>
      <c r="F123" s="102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101"/>
    </row>
    <row r="124">
      <c r="A124" s="99"/>
      <c r="B124" s="99"/>
      <c r="C124" s="99"/>
      <c r="D124" s="99"/>
      <c r="E124" s="99"/>
      <c r="F124" s="102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101"/>
    </row>
    <row r="125">
      <c r="A125" s="99"/>
      <c r="B125" s="99"/>
      <c r="C125" s="99"/>
      <c r="D125" s="99"/>
      <c r="E125" s="99"/>
      <c r="F125" s="102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101"/>
    </row>
    <row r="126">
      <c r="A126" s="99"/>
      <c r="B126" s="99"/>
      <c r="C126" s="99"/>
      <c r="D126" s="99"/>
      <c r="E126" s="99"/>
      <c r="F126" s="102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101"/>
    </row>
    <row r="127">
      <c r="A127" s="99"/>
      <c r="B127" s="99"/>
      <c r="C127" s="99"/>
      <c r="D127" s="99"/>
      <c r="E127" s="99"/>
      <c r="F127" s="102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101"/>
    </row>
    <row r="128">
      <c r="A128" s="99"/>
      <c r="B128" s="99"/>
      <c r="C128" s="99"/>
      <c r="D128" s="99"/>
      <c r="E128" s="99"/>
      <c r="F128" s="102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101"/>
    </row>
    <row r="129">
      <c r="A129" s="99"/>
      <c r="B129" s="99"/>
      <c r="C129" s="99"/>
      <c r="D129" s="99"/>
      <c r="E129" s="99"/>
      <c r="F129" s="102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101"/>
    </row>
    <row r="130">
      <c r="A130" s="99"/>
      <c r="B130" s="99"/>
      <c r="C130" s="99"/>
      <c r="D130" s="99"/>
      <c r="E130" s="99"/>
      <c r="F130" s="102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101"/>
    </row>
    <row r="131">
      <c r="A131" s="99"/>
      <c r="B131" s="99"/>
      <c r="C131" s="99"/>
      <c r="D131" s="99"/>
      <c r="E131" s="99"/>
      <c r="F131" s="102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101"/>
    </row>
    <row r="132">
      <c r="A132" s="99"/>
      <c r="B132" s="99"/>
      <c r="C132" s="99"/>
      <c r="D132" s="99"/>
      <c r="E132" s="99"/>
      <c r="F132" s="102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101"/>
    </row>
    <row r="133">
      <c r="A133" s="99"/>
      <c r="B133" s="99"/>
      <c r="C133" s="99"/>
      <c r="D133" s="99"/>
      <c r="E133" s="99"/>
      <c r="F133" s="102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101"/>
    </row>
    <row r="134">
      <c r="A134" s="99"/>
      <c r="B134" s="99"/>
      <c r="C134" s="99"/>
      <c r="D134" s="99"/>
      <c r="E134" s="99"/>
      <c r="F134" s="102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101"/>
    </row>
    <row r="135">
      <c r="A135" s="99"/>
      <c r="B135" s="99"/>
      <c r="C135" s="99"/>
      <c r="D135" s="99"/>
      <c r="E135" s="99"/>
      <c r="F135" s="102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101"/>
    </row>
    <row r="136">
      <c r="A136" s="99"/>
      <c r="B136" s="99"/>
      <c r="C136" s="99"/>
      <c r="D136" s="99"/>
      <c r="E136" s="99"/>
      <c r="F136" s="102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101"/>
    </row>
    <row r="137">
      <c r="A137" s="99"/>
      <c r="B137" s="99"/>
      <c r="C137" s="99"/>
      <c r="D137" s="99"/>
      <c r="E137" s="99"/>
      <c r="F137" s="102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101"/>
    </row>
    <row r="138">
      <c r="A138" s="99"/>
      <c r="B138" s="99"/>
      <c r="C138" s="99"/>
      <c r="D138" s="99"/>
      <c r="E138" s="99"/>
      <c r="F138" s="102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101"/>
    </row>
    <row r="139">
      <c r="A139" s="99"/>
      <c r="B139" s="99"/>
      <c r="C139" s="99"/>
      <c r="D139" s="99"/>
      <c r="E139" s="99"/>
      <c r="F139" s="102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101"/>
    </row>
    <row r="140">
      <c r="A140" s="99"/>
      <c r="B140" s="99"/>
      <c r="C140" s="99"/>
      <c r="D140" s="99"/>
      <c r="E140" s="99"/>
      <c r="F140" s="102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101"/>
    </row>
    <row r="141">
      <c r="A141" s="99"/>
      <c r="B141" s="99"/>
      <c r="C141" s="99"/>
      <c r="D141" s="99"/>
      <c r="E141" s="99"/>
      <c r="F141" s="102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101"/>
    </row>
    <row r="142">
      <c r="A142" s="99"/>
      <c r="B142" s="99"/>
      <c r="C142" s="99"/>
      <c r="D142" s="99"/>
      <c r="E142" s="99"/>
      <c r="F142" s="102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101"/>
    </row>
    <row r="143">
      <c r="A143" s="99"/>
      <c r="B143" s="99"/>
      <c r="C143" s="99"/>
      <c r="D143" s="99"/>
      <c r="E143" s="99"/>
      <c r="F143" s="102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101"/>
    </row>
    <row r="144">
      <c r="A144" s="99"/>
      <c r="B144" s="99"/>
      <c r="C144" s="99"/>
      <c r="D144" s="99"/>
      <c r="E144" s="99"/>
      <c r="F144" s="102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101"/>
    </row>
    <row r="145">
      <c r="A145" s="99"/>
      <c r="B145" s="99"/>
      <c r="C145" s="99"/>
      <c r="D145" s="99"/>
      <c r="E145" s="99"/>
      <c r="F145" s="102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101"/>
    </row>
    <row r="146">
      <c r="A146" s="99"/>
      <c r="B146" s="99"/>
      <c r="C146" s="99"/>
      <c r="D146" s="99"/>
      <c r="E146" s="99"/>
      <c r="F146" s="102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101"/>
    </row>
    <row r="147">
      <c r="A147" s="99"/>
      <c r="B147" s="99"/>
      <c r="C147" s="99"/>
      <c r="D147" s="99"/>
      <c r="E147" s="99"/>
      <c r="F147" s="102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101"/>
    </row>
    <row r="148">
      <c r="A148" s="99"/>
      <c r="B148" s="99"/>
      <c r="C148" s="99"/>
      <c r="D148" s="99"/>
      <c r="E148" s="99"/>
      <c r="F148" s="102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101"/>
    </row>
    <row r="149">
      <c r="A149" s="99"/>
      <c r="B149" s="99"/>
      <c r="C149" s="99"/>
      <c r="D149" s="99"/>
      <c r="E149" s="99"/>
      <c r="F149" s="102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101"/>
    </row>
    <row r="150">
      <c r="A150" s="99"/>
      <c r="B150" s="99"/>
      <c r="C150" s="99"/>
      <c r="D150" s="99"/>
      <c r="E150" s="99"/>
      <c r="F150" s="102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101"/>
    </row>
    <row r="151">
      <c r="A151" s="99"/>
      <c r="B151" s="99"/>
      <c r="C151" s="99"/>
      <c r="D151" s="99"/>
      <c r="E151" s="99"/>
      <c r="F151" s="102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101"/>
    </row>
    <row r="152">
      <c r="A152" s="99"/>
      <c r="B152" s="99"/>
      <c r="C152" s="99"/>
      <c r="D152" s="99"/>
      <c r="E152" s="99"/>
      <c r="F152" s="102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101"/>
    </row>
    <row r="153">
      <c r="A153" s="99"/>
      <c r="B153" s="99"/>
      <c r="C153" s="99"/>
      <c r="D153" s="99"/>
      <c r="E153" s="99"/>
      <c r="F153" s="102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101"/>
    </row>
    <row r="154">
      <c r="A154" s="99"/>
      <c r="B154" s="99"/>
      <c r="C154" s="99"/>
      <c r="D154" s="99"/>
      <c r="E154" s="99"/>
      <c r="F154" s="102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101"/>
    </row>
    <row r="155">
      <c r="A155" s="99"/>
      <c r="B155" s="99"/>
      <c r="C155" s="99"/>
      <c r="D155" s="99"/>
      <c r="E155" s="99"/>
      <c r="F155" s="102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101"/>
    </row>
    <row r="156">
      <c r="A156" s="99"/>
      <c r="B156" s="99"/>
      <c r="C156" s="99"/>
      <c r="D156" s="99"/>
      <c r="E156" s="99"/>
      <c r="F156" s="102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101"/>
    </row>
    <row r="157">
      <c r="A157" s="99"/>
      <c r="B157" s="99"/>
      <c r="C157" s="99"/>
      <c r="D157" s="99"/>
      <c r="E157" s="99"/>
      <c r="F157" s="102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101"/>
    </row>
    <row r="158">
      <c r="A158" s="99"/>
      <c r="B158" s="99"/>
      <c r="C158" s="99"/>
      <c r="D158" s="99"/>
      <c r="E158" s="99"/>
      <c r="F158" s="102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101"/>
    </row>
    <row r="159">
      <c r="A159" s="99"/>
      <c r="B159" s="99"/>
      <c r="C159" s="99"/>
      <c r="D159" s="99"/>
      <c r="E159" s="99"/>
      <c r="F159" s="102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101"/>
    </row>
    <row r="160">
      <c r="A160" s="99"/>
      <c r="B160" s="99"/>
      <c r="C160" s="99"/>
      <c r="D160" s="99"/>
      <c r="E160" s="99"/>
      <c r="F160" s="102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101"/>
    </row>
    <row r="161">
      <c r="A161" s="99"/>
      <c r="B161" s="99"/>
      <c r="C161" s="99"/>
      <c r="D161" s="99"/>
      <c r="E161" s="99"/>
      <c r="F161" s="102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101"/>
    </row>
    <row r="162">
      <c r="A162" s="99"/>
      <c r="B162" s="99"/>
      <c r="C162" s="99"/>
      <c r="D162" s="99"/>
      <c r="E162" s="99"/>
      <c r="F162" s="102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101"/>
    </row>
    <row r="163">
      <c r="A163" s="99"/>
      <c r="B163" s="99"/>
      <c r="C163" s="99"/>
      <c r="D163" s="99"/>
      <c r="E163" s="99"/>
      <c r="F163" s="102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101"/>
    </row>
    <row r="164">
      <c r="A164" s="99"/>
      <c r="B164" s="99"/>
      <c r="C164" s="99"/>
      <c r="D164" s="99"/>
      <c r="E164" s="99"/>
      <c r="F164" s="102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101"/>
    </row>
    <row r="165">
      <c r="A165" s="99"/>
      <c r="B165" s="99"/>
      <c r="C165" s="99"/>
      <c r="D165" s="99"/>
      <c r="E165" s="99"/>
      <c r="F165" s="102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101"/>
    </row>
    <row r="166">
      <c r="A166" s="99"/>
      <c r="B166" s="99"/>
      <c r="C166" s="99"/>
      <c r="D166" s="99"/>
      <c r="E166" s="99"/>
      <c r="F166" s="102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101"/>
    </row>
    <row r="167">
      <c r="A167" s="99"/>
      <c r="B167" s="99"/>
      <c r="C167" s="99"/>
      <c r="D167" s="99"/>
      <c r="E167" s="99"/>
      <c r="F167" s="102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101"/>
    </row>
    <row r="168">
      <c r="A168" s="99"/>
      <c r="B168" s="99"/>
      <c r="C168" s="99"/>
      <c r="D168" s="99"/>
      <c r="E168" s="99"/>
      <c r="F168" s="102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101"/>
    </row>
    <row r="169">
      <c r="A169" s="99"/>
      <c r="B169" s="99"/>
      <c r="C169" s="99"/>
      <c r="D169" s="99"/>
      <c r="E169" s="99"/>
      <c r="F169" s="102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101"/>
    </row>
    <row r="170">
      <c r="A170" s="99"/>
      <c r="B170" s="99"/>
      <c r="C170" s="99"/>
      <c r="D170" s="99"/>
      <c r="E170" s="99"/>
      <c r="F170" s="102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101"/>
    </row>
    <row r="171">
      <c r="A171" s="99"/>
      <c r="B171" s="99"/>
      <c r="C171" s="99"/>
      <c r="D171" s="99"/>
      <c r="E171" s="99"/>
      <c r="F171" s="102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101"/>
    </row>
    <row r="172">
      <c r="A172" s="99"/>
      <c r="B172" s="99"/>
      <c r="C172" s="99"/>
      <c r="D172" s="99"/>
      <c r="E172" s="99"/>
      <c r="F172" s="102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101"/>
    </row>
    <row r="173">
      <c r="A173" s="99"/>
      <c r="B173" s="99"/>
      <c r="C173" s="99"/>
      <c r="D173" s="99"/>
      <c r="E173" s="99"/>
      <c r="F173" s="102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101"/>
    </row>
    <row r="174">
      <c r="A174" s="99"/>
      <c r="B174" s="99"/>
      <c r="C174" s="99"/>
      <c r="D174" s="99"/>
      <c r="E174" s="99"/>
      <c r="F174" s="102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101"/>
    </row>
    <row r="175">
      <c r="A175" s="99"/>
      <c r="B175" s="99"/>
      <c r="C175" s="99"/>
      <c r="D175" s="99"/>
      <c r="E175" s="99"/>
      <c r="F175" s="102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101"/>
    </row>
    <row r="176">
      <c r="A176" s="99"/>
      <c r="B176" s="99"/>
      <c r="C176" s="99"/>
      <c r="D176" s="99"/>
      <c r="E176" s="99"/>
      <c r="F176" s="102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101"/>
    </row>
    <row r="177">
      <c r="A177" s="99"/>
      <c r="B177" s="99"/>
      <c r="C177" s="99"/>
      <c r="D177" s="99"/>
      <c r="E177" s="99"/>
      <c r="F177" s="102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101"/>
    </row>
    <row r="178">
      <c r="A178" s="99"/>
      <c r="B178" s="99"/>
      <c r="C178" s="99"/>
      <c r="D178" s="99"/>
      <c r="E178" s="99"/>
      <c r="F178" s="102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101"/>
    </row>
    <row r="179">
      <c r="A179" s="99"/>
      <c r="B179" s="99"/>
      <c r="C179" s="99"/>
      <c r="D179" s="99"/>
      <c r="E179" s="99"/>
      <c r="F179" s="102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101"/>
    </row>
    <row r="180">
      <c r="A180" s="99"/>
      <c r="B180" s="99"/>
      <c r="C180" s="99"/>
      <c r="D180" s="99"/>
      <c r="E180" s="99"/>
      <c r="F180" s="102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101"/>
    </row>
    <row r="181">
      <c r="A181" s="99"/>
      <c r="B181" s="99"/>
      <c r="C181" s="99"/>
      <c r="D181" s="99"/>
      <c r="E181" s="99"/>
      <c r="F181" s="102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101"/>
    </row>
    <row r="182">
      <c r="A182" s="99"/>
      <c r="B182" s="99"/>
      <c r="C182" s="99"/>
      <c r="D182" s="99"/>
      <c r="E182" s="99"/>
      <c r="F182" s="102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101"/>
    </row>
    <row r="183">
      <c r="A183" s="99"/>
      <c r="B183" s="99"/>
      <c r="C183" s="99"/>
      <c r="D183" s="99"/>
      <c r="E183" s="99"/>
      <c r="F183" s="102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101"/>
    </row>
    <row r="184">
      <c r="A184" s="99"/>
      <c r="B184" s="99"/>
      <c r="C184" s="99"/>
      <c r="D184" s="99"/>
      <c r="E184" s="99"/>
      <c r="F184" s="102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101"/>
    </row>
    <row r="185">
      <c r="A185" s="99"/>
      <c r="B185" s="99"/>
      <c r="C185" s="99"/>
      <c r="D185" s="99"/>
      <c r="E185" s="99"/>
      <c r="F185" s="102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101"/>
    </row>
    <row r="186">
      <c r="A186" s="99"/>
      <c r="B186" s="99"/>
      <c r="C186" s="99"/>
      <c r="D186" s="99"/>
      <c r="E186" s="99"/>
      <c r="F186" s="102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101"/>
    </row>
    <row r="187">
      <c r="A187" s="99"/>
      <c r="B187" s="99"/>
      <c r="C187" s="99"/>
      <c r="D187" s="99"/>
      <c r="E187" s="99"/>
      <c r="F187" s="102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101"/>
    </row>
    <row r="188">
      <c r="A188" s="99"/>
      <c r="B188" s="99"/>
      <c r="C188" s="99"/>
      <c r="D188" s="99"/>
      <c r="E188" s="99"/>
      <c r="F188" s="102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101"/>
    </row>
    <row r="189">
      <c r="A189" s="99"/>
      <c r="B189" s="99"/>
      <c r="C189" s="99"/>
      <c r="D189" s="99"/>
      <c r="E189" s="99"/>
      <c r="F189" s="102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101"/>
    </row>
    <row r="190">
      <c r="A190" s="99"/>
      <c r="B190" s="99"/>
      <c r="C190" s="99"/>
      <c r="D190" s="99"/>
      <c r="E190" s="99"/>
      <c r="F190" s="102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101"/>
    </row>
    <row r="191">
      <c r="A191" s="99"/>
      <c r="B191" s="99"/>
      <c r="C191" s="99"/>
      <c r="D191" s="99"/>
      <c r="E191" s="99"/>
      <c r="F191" s="102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101"/>
    </row>
    <row r="192">
      <c r="A192" s="99"/>
      <c r="B192" s="99"/>
      <c r="C192" s="99"/>
      <c r="D192" s="99"/>
      <c r="E192" s="99"/>
      <c r="F192" s="102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101"/>
    </row>
    <row r="193">
      <c r="A193" s="99"/>
      <c r="B193" s="99"/>
      <c r="C193" s="99"/>
      <c r="D193" s="99"/>
      <c r="E193" s="99"/>
      <c r="F193" s="102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101"/>
    </row>
    <row r="194">
      <c r="A194" s="99"/>
      <c r="B194" s="99"/>
      <c r="C194" s="99"/>
      <c r="D194" s="99"/>
      <c r="E194" s="99"/>
      <c r="F194" s="102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101"/>
    </row>
    <row r="195">
      <c r="A195" s="99"/>
      <c r="B195" s="99"/>
      <c r="C195" s="99"/>
      <c r="D195" s="99"/>
      <c r="E195" s="99"/>
      <c r="F195" s="102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101"/>
    </row>
    <row r="196">
      <c r="A196" s="99"/>
      <c r="B196" s="99"/>
      <c r="C196" s="99"/>
      <c r="D196" s="99"/>
      <c r="E196" s="99"/>
      <c r="F196" s="102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101"/>
    </row>
    <row r="197">
      <c r="A197" s="99"/>
      <c r="B197" s="99"/>
      <c r="C197" s="99"/>
      <c r="D197" s="99"/>
      <c r="E197" s="99"/>
      <c r="F197" s="102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101"/>
    </row>
    <row r="198">
      <c r="A198" s="99"/>
      <c r="B198" s="99"/>
      <c r="C198" s="99"/>
      <c r="D198" s="99"/>
      <c r="E198" s="99"/>
      <c r="F198" s="102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101"/>
    </row>
    <row r="199">
      <c r="A199" s="99"/>
      <c r="B199" s="99"/>
      <c r="C199" s="99"/>
      <c r="D199" s="99"/>
      <c r="E199" s="99"/>
      <c r="F199" s="102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101"/>
    </row>
    <row r="200">
      <c r="A200" s="99"/>
      <c r="B200" s="99"/>
      <c r="C200" s="99"/>
      <c r="D200" s="99"/>
      <c r="E200" s="99"/>
      <c r="F200" s="102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101"/>
    </row>
    <row r="201">
      <c r="A201" s="99"/>
      <c r="B201" s="99"/>
      <c r="C201" s="99"/>
      <c r="D201" s="99"/>
      <c r="E201" s="99"/>
      <c r="F201" s="102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101"/>
    </row>
    <row r="202">
      <c r="A202" s="99"/>
      <c r="B202" s="99"/>
      <c r="C202" s="99"/>
      <c r="D202" s="99"/>
      <c r="E202" s="99"/>
      <c r="F202" s="102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101"/>
    </row>
    <row r="203">
      <c r="A203" s="99"/>
      <c r="B203" s="99"/>
      <c r="C203" s="99"/>
      <c r="D203" s="99"/>
      <c r="E203" s="99"/>
      <c r="F203" s="102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101"/>
    </row>
    <row r="204">
      <c r="A204" s="99"/>
      <c r="B204" s="99"/>
      <c r="C204" s="99"/>
      <c r="D204" s="99"/>
      <c r="E204" s="99"/>
      <c r="F204" s="102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101"/>
    </row>
    <row r="205">
      <c r="A205" s="99"/>
      <c r="B205" s="99"/>
      <c r="C205" s="99"/>
      <c r="D205" s="99"/>
      <c r="E205" s="99"/>
      <c r="F205" s="102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101"/>
    </row>
    <row r="206">
      <c r="A206" s="99"/>
      <c r="B206" s="99"/>
      <c r="C206" s="99"/>
      <c r="D206" s="99"/>
      <c r="E206" s="99"/>
      <c r="F206" s="102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101"/>
    </row>
    <row r="207">
      <c r="A207" s="99"/>
      <c r="B207" s="99"/>
      <c r="C207" s="99"/>
      <c r="D207" s="99"/>
      <c r="E207" s="99"/>
      <c r="F207" s="102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101"/>
    </row>
    <row r="208">
      <c r="A208" s="99"/>
      <c r="B208" s="99"/>
      <c r="C208" s="99"/>
      <c r="D208" s="99"/>
      <c r="E208" s="99"/>
      <c r="F208" s="102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101"/>
    </row>
    <row r="209">
      <c r="A209" s="99"/>
      <c r="B209" s="99"/>
      <c r="C209" s="99"/>
      <c r="D209" s="99"/>
      <c r="E209" s="99"/>
      <c r="F209" s="102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101"/>
    </row>
    <row r="210">
      <c r="A210" s="99"/>
      <c r="B210" s="99"/>
      <c r="C210" s="99"/>
      <c r="D210" s="99"/>
      <c r="E210" s="99"/>
      <c r="F210" s="102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101"/>
    </row>
    <row r="211">
      <c r="A211" s="99"/>
      <c r="B211" s="99"/>
      <c r="C211" s="99"/>
      <c r="D211" s="99"/>
      <c r="E211" s="99"/>
      <c r="F211" s="102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101"/>
    </row>
    <row r="212">
      <c r="A212" s="99"/>
      <c r="B212" s="99"/>
      <c r="C212" s="99"/>
      <c r="D212" s="99"/>
      <c r="E212" s="99"/>
      <c r="F212" s="102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101"/>
    </row>
    <row r="213">
      <c r="A213" s="99"/>
      <c r="B213" s="99"/>
      <c r="C213" s="99"/>
      <c r="D213" s="99"/>
      <c r="E213" s="99"/>
      <c r="F213" s="102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101"/>
    </row>
    <row r="214">
      <c r="A214" s="99"/>
      <c r="B214" s="99"/>
      <c r="C214" s="99"/>
      <c r="D214" s="99"/>
      <c r="E214" s="99"/>
      <c r="F214" s="102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101"/>
    </row>
    <row r="215">
      <c r="A215" s="99"/>
      <c r="B215" s="99"/>
      <c r="C215" s="99"/>
      <c r="D215" s="99"/>
      <c r="E215" s="99"/>
      <c r="F215" s="102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101"/>
    </row>
    <row r="216">
      <c r="A216" s="99"/>
      <c r="B216" s="99"/>
      <c r="C216" s="99"/>
      <c r="D216" s="99"/>
      <c r="E216" s="99"/>
      <c r="F216" s="102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101"/>
    </row>
    <row r="217">
      <c r="A217" s="99"/>
      <c r="B217" s="99"/>
      <c r="C217" s="99"/>
      <c r="D217" s="99"/>
      <c r="E217" s="99"/>
      <c r="F217" s="102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101"/>
    </row>
    <row r="218">
      <c r="A218" s="99"/>
      <c r="B218" s="99"/>
      <c r="C218" s="99"/>
      <c r="D218" s="99"/>
      <c r="E218" s="99"/>
      <c r="F218" s="102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101"/>
    </row>
    <row r="219">
      <c r="A219" s="99"/>
      <c r="B219" s="99"/>
      <c r="C219" s="99"/>
      <c r="D219" s="99"/>
      <c r="E219" s="99"/>
      <c r="F219" s="102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101"/>
    </row>
    <row r="220">
      <c r="A220" s="99"/>
      <c r="B220" s="99"/>
      <c r="C220" s="99"/>
      <c r="D220" s="99"/>
      <c r="E220" s="99"/>
      <c r="F220" s="102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101"/>
    </row>
    <row r="221">
      <c r="A221" s="99"/>
      <c r="B221" s="99"/>
      <c r="C221" s="99"/>
      <c r="D221" s="99"/>
      <c r="E221" s="99"/>
      <c r="F221" s="102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101"/>
    </row>
    <row r="222">
      <c r="A222" s="99"/>
      <c r="B222" s="99"/>
      <c r="C222" s="99"/>
      <c r="D222" s="99"/>
      <c r="E222" s="99"/>
      <c r="F222" s="102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101"/>
    </row>
    <row r="223">
      <c r="A223" s="99"/>
      <c r="B223" s="99"/>
      <c r="C223" s="99"/>
      <c r="D223" s="99"/>
      <c r="E223" s="99"/>
      <c r="F223" s="102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101"/>
    </row>
    <row r="224">
      <c r="A224" s="99"/>
      <c r="B224" s="99"/>
      <c r="C224" s="99"/>
      <c r="D224" s="99"/>
      <c r="E224" s="99"/>
      <c r="F224" s="102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101"/>
    </row>
    <row r="225">
      <c r="A225" s="99"/>
      <c r="B225" s="99"/>
      <c r="C225" s="99"/>
      <c r="D225" s="99"/>
      <c r="E225" s="99"/>
      <c r="F225" s="102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101"/>
    </row>
    <row r="226">
      <c r="A226" s="99"/>
      <c r="B226" s="99"/>
      <c r="C226" s="99"/>
      <c r="D226" s="99"/>
      <c r="E226" s="99"/>
      <c r="F226" s="102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101"/>
    </row>
    <row r="227">
      <c r="A227" s="99"/>
      <c r="B227" s="99"/>
      <c r="C227" s="99"/>
      <c r="D227" s="99"/>
      <c r="E227" s="99"/>
      <c r="F227" s="102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101"/>
    </row>
    <row r="228">
      <c r="A228" s="99"/>
      <c r="B228" s="99"/>
      <c r="C228" s="99"/>
      <c r="D228" s="99"/>
      <c r="E228" s="99"/>
      <c r="F228" s="102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101"/>
    </row>
    <row r="229">
      <c r="A229" s="99"/>
      <c r="B229" s="99"/>
      <c r="C229" s="99"/>
      <c r="D229" s="99"/>
      <c r="E229" s="99"/>
      <c r="F229" s="102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101"/>
    </row>
    <row r="230">
      <c r="A230" s="99"/>
      <c r="B230" s="99"/>
      <c r="C230" s="99"/>
      <c r="D230" s="99"/>
      <c r="E230" s="99"/>
      <c r="F230" s="102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101"/>
    </row>
    <row r="231">
      <c r="A231" s="99"/>
      <c r="B231" s="99"/>
      <c r="C231" s="99"/>
      <c r="D231" s="99"/>
      <c r="E231" s="99"/>
      <c r="F231" s="102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101"/>
    </row>
    <row r="232">
      <c r="A232" s="99"/>
      <c r="B232" s="99"/>
      <c r="C232" s="99"/>
      <c r="D232" s="99"/>
      <c r="E232" s="99"/>
      <c r="F232" s="102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101"/>
    </row>
    <row r="233">
      <c r="A233" s="99"/>
      <c r="B233" s="99"/>
      <c r="C233" s="99"/>
      <c r="D233" s="99"/>
      <c r="E233" s="99"/>
      <c r="F233" s="102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101"/>
    </row>
    <row r="234">
      <c r="A234" s="99"/>
      <c r="B234" s="99"/>
      <c r="C234" s="99"/>
      <c r="D234" s="99"/>
      <c r="E234" s="99"/>
      <c r="F234" s="102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101"/>
    </row>
    <row r="235">
      <c r="A235" s="99"/>
      <c r="B235" s="99"/>
      <c r="C235" s="99"/>
      <c r="D235" s="99"/>
      <c r="E235" s="99"/>
      <c r="F235" s="102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101"/>
    </row>
    <row r="236">
      <c r="A236" s="99"/>
      <c r="B236" s="99"/>
      <c r="C236" s="99"/>
      <c r="D236" s="99"/>
      <c r="E236" s="99"/>
      <c r="F236" s="102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101"/>
    </row>
    <row r="237">
      <c r="A237" s="99"/>
      <c r="B237" s="99"/>
      <c r="C237" s="99"/>
      <c r="D237" s="99"/>
      <c r="E237" s="99"/>
      <c r="F237" s="102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101"/>
    </row>
    <row r="238">
      <c r="A238" s="99"/>
      <c r="B238" s="99"/>
      <c r="C238" s="99"/>
      <c r="D238" s="99"/>
      <c r="E238" s="99"/>
      <c r="F238" s="102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101"/>
    </row>
    <row r="239">
      <c r="A239" s="99"/>
      <c r="B239" s="99"/>
      <c r="C239" s="99"/>
      <c r="D239" s="99"/>
      <c r="E239" s="99"/>
      <c r="F239" s="102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101"/>
    </row>
    <row r="240">
      <c r="A240" s="99"/>
      <c r="B240" s="99"/>
      <c r="C240" s="99"/>
      <c r="D240" s="99"/>
      <c r="E240" s="99"/>
      <c r="F240" s="102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101"/>
    </row>
    <row r="241">
      <c r="A241" s="99"/>
      <c r="B241" s="99"/>
      <c r="C241" s="99"/>
      <c r="D241" s="99"/>
      <c r="E241" s="99"/>
      <c r="F241" s="102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101"/>
    </row>
    <row r="242">
      <c r="A242" s="99"/>
      <c r="B242" s="99"/>
      <c r="C242" s="99"/>
      <c r="D242" s="99"/>
      <c r="E242" s="99"/>
      <c r="F242" s="102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101"/>
    </row>
    <row r="243">
      <c r="A243" s="99"/>
      <c r="B243" s="99"/>
      <c r="C243" s="99"/>
      <c r="D243" s="99"/>
      <c r="E243" s="99"/>
      <c r="F243" s="102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101"/>
    </row>
    <row r="244">
      <c r="A244" s="99"/>
      <c r="B244" s="99"/>
      <c r="C244" s="99"/>
      <c r="D244" s="99"/>
      <c r="E244" s="99"/>
      <c r="F244" s="102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101"/>
    </row>
    <row r="245">
      <c r="A245" s="99"/>
      <c r="B245" s="99"/>
      <c r="C245" s="99"/>
      <c r="D245" s="99"/>
      <c r="E245" s="99"/>
      <c r="F245" s="102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101"/>
    </row>
    <row r="246">
      <c r="A246" s="99"/>
      <c r="B246" s="99"/>
      <c r="C246" s="99"/>
      <c r="D246" s="99"/>
      <c r="E246" s="99"/>
      <c r="F246" s="102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101"/>
    </row>
    <row r="247">
      <c r="A247" s="99"/>
      <c r="B247" s="99"/>
      <c r="C247" s="99"/>
      <c r="D247" s="99"/>
      <c r="E247" s="99"/>
      <c r="F247" s="102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101"/>
    </row>
    <row r="248">
      <c r="A248" s="99"/>
      <c r="B248" s="99"/>
      <c r="C248" s="99"/>
      <c r="D248" s="99"/>
      <c r="E248" s="99"/>
      <c r="F248" s="102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101"/>
    </row>
    <row r="249">
      <c r="A249" s="99"/>
      <c r="B249" s="99"/>
      <c r="C249" s="99"/>
      <c r="D249" s="99"/>
      <c r="E249" s="99"/>
      <c r="F249" s="102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101"/>
    </row>
    <row r="250">
      <c r="A250" s="99"/>
      <c r="B250" s="99"/>
      <c r="C250" s="99"/>
      <c r="D250" s="99"/>
      <c r="E250" s="99"/>
      <c r="F250" s="102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101"/>
    </row>
    <row r="251">
      <c r="A251" s="99"/>
      <c r="B251" s="99"/>
      <c r="C251" s="99"/>
      <c r="D251" s="99"/>
      <c r="E251" s="99"/>
      <c r="F251" s="102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101"/>
    </row>
    <row r="252">
      <c r="A252" s="99"/>
      <c r="B252" s="99"/>
      <c r="C252" s="99"/>
      <c r="D252" s="99"/>
      <c r="E252" s="99"/>
      <c r="F252" s="102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101"/>
    </row>
    <row r="253">
      <c r="A253" s="99"/>
      <c r="B253" s="99"/>
      <c r="C253" s="99"/>
      <c r="D253" s="99"/>
      <c r="E253" s="99"/>
      <c r="F253" s="102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101"/>
    </row>
    <row r="254">
      <c r="A254" s="99"/>
      <c r="B254" s="99"/>
      <c r="C254" s="99"/>
      <c r="D254" s="99"/>
      <c r="E254" s="99"/>
      <c r="F254" s="102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101"/>
    </row>
    <row r="255">
      <c r="A255" s="99"/>
      <c r="B255" s="99"/>
      <c r="C255" s="99"/>
      <c r="D255" s="99"/>
      <c r="E255" s="99"/>
      <c r="F255" s="102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101"/>
    </row>
    <row r="256">
      <c r="A256" s="99"/>
      <c r="B256" s="99"/>
      <c r="C256" s="99"/>
      <c r="D256" s="99"/>
      <c r="E256" s="99"/>
      <c r="F256" s="102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101"/>
    </row>
    <row r="257">
      <c r="A257" s="99"/>
      <c r="B257" s="99"/>
      <c r="C257" s="99"/>
      <c r="D257" s="99"/>
      <c r="E257" s="99"/>
      <c r="F257" s="102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101"/>
    </row>
    <row r="258">
      <c r="A258" s="99"/>
      <c r="B258" s="99"/>
      <c r="C258" s="99"/>
      <c r="D258" s="99"/>
      <c r="E258" s="99"/>
      <c r="F258" s="102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101"/>
    </row>
    <row r="259">
      <c r="A259" s="99"/>
      <c r="B259" s="99"/>
      <c r="C259" s="99"/>
      <c r="D259" s="99"/>
      <c r="E259" s="99"/>
      <c r="F259" s="102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101"/>
    </row>
    <row r="260">
      <c r="A260" s="99"/>
      <c r="B260" s="99"/>
      <c r="C260" s="99"/>
      <c r="D260" s="99"/>
      <c r="E260" s="99"/>
      <c r="F260" s="102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101"/>
    </row>
    <row r="261">
      <c r="A261" s="99"/>
      <c r="B261" s="99"/>
      <c r="C261" s="99"/>
      <c r="D261" s="99"/>
      <c r="E261" s="99"/>
      <c r="F261" s="102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101"/>
    </row>
    <row r="262">
      <c r="A262" s="99"/>
      <c r="B262" s="99"/>
      <c r="C262" s="99"/>
      <c r="D262" s="99"/>
      <c r="E262" s="99"/>
      <c r="F262" s="102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101"/>
    </row>
    <row r="263">
      <c r="A263" s="99"/>
      <c r="B263" s="99"/>
      <c r="C263" s="99"/>
      <c r="D263" s="99"/>
      <c r="E263" s="99"/>
      <c r="F263" s="102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101"/>
    </row>
    <row r="264">
      <c r="A264" s="99"/>
      <c r="B264" s="99"/>
      <c r="C264" s="99"/>
      <c r="D264" s="99"/>
      <c r="E264" s="99"/>
      <c r="F264" s="102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101"/>
    </row>
    <row r="265">
      <c r="A265" s="99"/>
      <c r="B265" s="99"/>
      <c r="C265" s="99"/>
      <c r="D265" s="99"/>
      <c r="E265" s="99"/>
      <c r="F265" s="102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101"/>
    </row>
    <row r="266">
      <c r="A266" s="99"/>
      <c r="B266" s="99"/>
      <c r="C266" s="99"/>
      <c r="D266" s="99"/>
      <c r="E266" s="99"/>
      <c r="F266" s="102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101"/>
    </row>
    <row r="267">
      <c r="A267" s="99"/>
      <c r="B267" s="99"/>
      <c r="C267" s="99"/>
      <c r="D267" s="99"/>
      <c r="E267" s="99"/>
      <c r="F267" s="102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101"/>
    </row>
    <row r="268">
      <c r="A268" s="99"/>
      <c r="B268" s="99"/>
      <c r="C268" s="99"/>
      <c r="D268" s="99"/>
      <c r="E268" s="99"/>
      <c r="F268" s="102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101"/>
    </row>
    <row r="269">
      <c r="A269" s="99"/>
      <c r="B269" s="99"/>
      <c r="C269" s="99"/>
      <c r="D269" s="99"/>
      <c r="E269" s="99"/>
      <c r="F269" s="102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101"/>
    </row>
    <row r="270">
      <c r="A270" s="99"/>
      <c r="B270" s="99"/>
      <c r="C270" s="99"/>
      <c r="D270" s="99"/>
      <c r="E270" s="99"/>
      <c r="F270" s="102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101"/>
    </row>
    <row r="271">
      <c r="A271" s="99"/>
      <c r="B271" s="99"/>
      <c r="C271" s="99"/>
      <c r="D271" s="99"/>
      <c r="E271" s="99"/>
      <c r="F271" s="102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101"/>
    </row>
    <row r="272">
      <c r="A272" s="99"/>
      <c r="B272" s="99"/>
      <c r="C272" s="99"/>
      <c r="D272" s="99"/>
      <c r="E272" s="99"/>
      <c r="F272" s="102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101"/>
    </row>
    <row r="273">
      <c r="A273" s="99"/>
      <c r="B273" s="99"/>
      <c r="C273" s="99"/>
      <c r="D273" s="99"/>
      <c r="E273" s="99"/>
      <c r="F273" s="102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101"/>
    </row>
    <row r="274">
      <c r="A274" s="99"/>
      <c r="B274" s="99"/>
      <c r="C274" s="99"/>
      <c r="D274" s="99"/>
      <c r="E274" s="99"/>
      <c r="F274" s="102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101"/>
    </row>
    <row r="275">
      <c r="A275" s="99"/>
      <c r="B275" s="99"/>
      <c r="C275" s="99"/>
      <c r="D275" s="99"/>
      <c r="E275" s="99"/>
      <c r="F275" s="102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101"/>
    </row>
    <row r="276">
      <c r="A276" s="99"/>
      <c r="B276" s="99"/>
      <c r="C276" s="99"/>
      <c r="D276" s="99"/>
      <c r="E276" s="99"/>
      <c r="F276" s="102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101"/>
    </row>
    <row r="277">
      <c r="A277" s="99"/>
      <c r="B277" s="99"/>
      <c r="C277" s="99"/>
      <c r="D277" s="99"/>
      <c r="E277" s="99"/>
      <c r="F277" s="102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101"/>
    </row>
    <row r="278">
      <c r="A278" s="99"/>
      <c r="B278" s="99"/>
      <c r="C278" s="99"/>
      <c r="D278" s="99"/>
      <c r="E278" s="99"/>
      <c r="F278" s="102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101"/>
    </row>
    <row r="279">
      <c r="A279" s="99"/>
      <c r="B279" s="99"/>
      <c r="C279" s="99"/>
      <c r="D279" s="99"/>
      <c r="E279" s="99"/>
      <c r="F279" s="102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101"/>
    </row>
    <row r="280">
      <c r="A280" s="99"/>
      <c r="B280" s="99"/>
      <c r="C280" s="99"/>
      <c r="D280" s="99"/>
      <c r="E280" s="99"/>
      <c r="F280" s="102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101"/>
    </row>
    <row r="281">
      <c r="A281" s="99"/>
      <c r="B281" s="99"/>
      <c r="C281" s="99"/>
      <c r="D281" s="99"/>
      <c r="E281" s="99"/>
      <c r="F281" s="102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101"/>
    </row>
    <row r="282">
      <c r="A282" s="99"/>
      <c r="B282" s="99"/>
      <c r="C282" s="99"/>
      <c r="D282" s="99"/>
      <c r="E282" s="99"/>
      <c r="F282" s="102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101"/>
    </row>
    <row r="283">
      <c r="A283" s="99"/>
      <c r="B283" s="99"/>
      <c r="C283" s="99"/>
      <c r="D283" s="99"/>
      <c r="E283" s="99"/>
      <c r="F283" s="102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101"/>
    </row>
    <row r="284">
      <c r="A284" s="99"/>
      <c r="B284" s="99"/>
      <c r="C284" s="99"/>
      <c r="D284" s="99"/>
      <c r="E284" s="99"/>
      <c r="F284" s="102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101"/>
    </row>
    <row r="285">
      <c r="A285" s="99"/>
      <c r="B285" s="99"/>
      <c r="C285" s="99"/>
      <c r="D285" s="99"/>
      <c r="E285" s="99"/>
      <c r="F285" s="102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101"/>
    </row>
    <row r="286">
      <c r="A286" s="99"/>
      <c r="B286" s="99"/>
      <c r="C286" s="99"/>
      <c r="D286" s="99"/>
      <c r="E286" s="99"/>
      <c r="F286" s="102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101"/>
    </row>
    <row r="287">
      <c r="A287" s="99"/>
      <c r="B287" s="99"/>
      <c r="C287" s="99"/>
      <c r="D287" s="99"/>
      <c r="E287" s="99"/>
      <c r="F287" s="102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101"/>
    </row>
    <row r="288">
      <c r="A288" s="99"/>
      <c r="B288" s="99"/>
      <c r="C288" s="99"/>
      <c r="D288" s="99"/>
      <c r="E288" s="99"/>
      <c r="F288" s="102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101"/>
    </row>
    <row r="289">
      <c r="A289" s="99"/>
      <c r="B289" s="99"/>
      <c r="C289" s="99"/>
      <c r="D289" s="99"/>
      <c r="E289" s="99"/>
      <c r="F289" s="102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101"/>
    </row>
    <row r="290">
      <c r="A290" s="99"/>
      <c r="B290" s="99"/>
      <c r="C290" s="99"/>
      <c r="D290" s="99"/>
      <c r="E290" s="99"/>
      <c r="F290" s="102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101"/>
    </row>
    <row r="291">
      <c r="A291" s="99"/>
      <c r="B291" s="99"/>
      <c r="C291" s="99"/>
      <c r="D291" s="99"/>
      <c r="E291" s="99"/>
      <c r="F291" s="102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101"/>
    </row>
    <row r="292">
      <c r="A292" s="99"/>
      <c r="B292" s="99"/>
      <c r="C292" s="99"/>
      <c r="D292" s="99"/>
      <c r="E292" s="99"/>
      <c r="F292" s="102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101"/>
    </row>
    <row r="293">
      <c r="A293" s="99"/>
      <c r="B293" s="99"/>
      <c r="C293" s="99"/>
      <c r="D293" s="99"/>
      <c r="E293" s="99"/>
      <c r="F293" s="102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101"/>
    </row>
    <row r="294">
      <c r="A294" s="99"/>
      <c r="B294" s="99"/>
      <c r="C294" s="99"/>
      <c r="D294" s="99"/>
      <c r="E294" s="99"/>
      <c r="F294" s="102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101"/>
    </row>
    <row r="295">
      <c r="A295" s="99"/>
      <c r="B295" s="99"/>
      <c r="C295" s="99"/>
      <c r="D295" s="99"/>
      <c r="E295" s="99"/>
      <c r="F295" s="102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101"/>
    </row>
    <row r="296">
      <c r="A296" s="99"/>
      <c r="B296" s="99"/>
      <c r="C296" s="99"/>
      <c r="D296" s="99"/>
      <c r="E296" s="99"/>
      <c r="F296" s="102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101"/>
    </row>
    <row r="297">
      <c r="A297" s="99"/>
      <c r="B297" s="99"/>
      <c r="C297" s="99"/>
      <c r="D297" s="99"/>
      <c r="E297" s="99"/>
      <c r="F297" s="102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101"/>
    </row>
    <row r="298">
      <c r="A298" s="99"/>
      <c r="B298" s="99"/>
      <c r="C298" s="99"/>
      <c r="D298" s="99"/>
      <c r="E298" s="99"/>
      <c r="F298" s="102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101"/>
    </row>
    <row r="299">
      <c r="A299" s="99"/>
      <c r="B299" s="99"/>
      <c r="C299" s="99"/>
      <c r="D299" s="99"/>
      <c r="E299" s="99"/>
      <c r="F299" s="102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101"/>
    </row>
    <row r="300">
      <c r="A300" s="99"/>
      <c r="B300" s="99"/>
      <c r="C300" s="99"/>
      <c r="D300" s="99"/>
      <c r="E300" s="99"/>
      <c r="F300" s="102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101"/>
    </row>
    <row r="301">
      <c r="A301" s="99"/>
      <c r="B301" s="99"/>
      <c r="C301" s="99"/>
      <c r="D301" s="99"/>
      <c r="E301" s="99"/>
      <c r="F301" s="102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101"/>
    </row>
    <row r="302">
      <c r="A302" s="99"/>
      <c r="B302" s="99"/>
      <c r="C302" s="99"/>
      <c r="D302" s="99"/>
      <c r="E302" s="99"/>
      <c r="F302" s="102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101"/>
    </row>
    <row r="303">
      <c r="A303" s="99"/>
      <c r="B303" s="99"/>
      <c r="C303" s="99"/>
      <c r="D303" s="99"/>
      <c r="E303" s="99"/>
      <c r="F303" s="102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101"/>
    </row>
    <row r="304">
      <c r="A304" s="99"/>
      <c r="B304" s="99"/>
      <c r="C304" s="99"/>
      <c r="D304" s="99"/>
      <c r="E304" s="99"/>
      <c r="F304" s="102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101"/>
    </row>
    <row r="305">
      <c r="A305" s="99"/>
      <c r="B305" s="99"/>
      <c r="C305" s="99"/>
      <c r="D305" s="99"/>
      <c r="E305" s="99"/>
      <c r="F305" s="102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101"/>
    </row>
    <row r="306">
      <c r="A306" s="99"/>
      <c r="B306" s="99"/>
      <c r="C306" s="99"/>
      <c r="D306" s="99"/>
      <c r="E306" s="99"/>
      <c r="F306" s="102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101"/>
    </row>
    <row r="307">
      <c r="A307" s="99"/>
      <c r="B307" s="99"/>
      <c r="C307" s="99"/>
      <c r="D307" s="99"/>
      <c r="E307" s="99"/>
      <c r="F307" s="102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101"/>
    </row>
    <row r="308">
      <c r="A308" s="99"/>
      <c r="B308" s="99"/>
      <c r="C308" s="99"/>
      <c r="D308" s="99"/>
      <c r="E308" s="99"/>
      <c r="F308" s="102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101"/>
    </row>
    <row r="309">
      <c r="A309" s="99"/>
      <c r="B309" s="99"/>
      <c r="C309" s="99"/>
      <c r="D309" s="99"/>
      <c r="E309" s="99"/>
      <c r="F309" s="102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101"/>
    </row>
    <row r="310">
      <c r="A310" s="99"/>
      <c r="B310" s="99"/>
      <c r="C310" s="99"/>
      <c r="D310" s="99"/>
      <c r="E310" s="99"/>
      <c r="F310" s="102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101"/>
    </row>
    <row r="311">
      <c r="A311" s="99"/>
      <c r="B311" s="99"/>
      <c r="C311" s="99"/>
      <c r="D311" s="99"/>
      <c r="E311" s="99"/>
      <c r="F311" s="102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101"/>
    </row>
    <row r="312">
      <c r="A312" s="99"/>
      <c r="B312" s="99"/>
      <c r="C312" s="99"/>
      <c r="D312" s="99"/>
      <c r="E312" s="99"/>
      <c r="F312" s="102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101"/>
    </row>
    <row r="313">
      <c r="A313" s="99"/>
      <c r="B313" s="99"/>
      <c r="C313" s="99"/>
      <c r="D313" s="99"/>
      <c r="E313" s="99"/>
      <c r="F313" s="102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101"/>
    </row>
    <row r="314">
      <c r="A314" s="99"/>
      <c r="B314" s="99"/>
      <c r="C314" s="99"/>
      <c r="D314" s="99"/>
      <c r="E314" s="99"/>
      <c r="F314" s="102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101"/>
    </row>
    <row r="315">
      <c r="A315" s="99"/>
      <c r="B315" s="99"/>
      <c r="C315" s="99"/>
      <c r="D315" s="99"/>
      <c r="E315" s="99"/>
      <c r="F315" s="102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101"/>
    </row>
    <row r="316">
      <c r="A316" s="99"/>
      <c r="B316" s="99"/>
      <c r="C316" s="99"/>
      <c r="D316" s="99"/>
      <c r="E316" s="99"/>
      <c r="F316" s="102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101"/>
    </row>
    <row r="317">
      <c r="A317" s="99"/>
      <c r="B317" s="99"/>
      <c r="C317" s="99"/>
      <c r="D317" s="99"/>
      <c r="E317" s="99"/>
      <c r="F317" s="102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101"/>
    </row>
    <row r="318">
      <c r="A318" s="99"/>
      <c r="B318" s="99"/>
      <c r="C318" s="99"/>
      <c r="D318" s="99"/>
      <c r="E318" s="99"/>
      <c r="F318" s="102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101"/>
    </row>
    <row r="319">
      <c r="A319" s="99"/>
      <c r="B319" s="99"/>
      <c r="C319" s="99"/>
      <c r="D319" s="99"/>
      <c r="E319" s="99"/>
      <c r="F319" s="102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101"/>
    </row>
    <row r="320">
      <c r="A320" s="99"/>
      <c r="B320" s="99"/>
      <c r="C320" s="99"/>
      <c r="D320" s="99"/>
      <c r="E320" s="99"/>
      <c r="F320" s="102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101"/>
    </row>
    <row r="321">
      <c r="A321" s="99"/>
      <c r="B321" s="99"/>
      <c r="C321" s="99"/>
      <c r="D321" s="99"/>
      <c r="E321" s="99"/>
      <c r="F321" s="102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101"/>
    </row>
    <row r="322">
      <c r="A322" s="99"/>
      <c r="B322" s="99"/>
      <c r="C322" s="99"/>
      <c r="D322" s="99"/>
      <c r="E322" s="99"/>
      <c r="F322" s="102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101"/>
    </row>
    <row r="323">
      <c r="A323" s="99"/>
      <c r="B323" s="99"/>
      <c r="C323" s="99"/>
      <c r="D323" s="99"/>
      <c r="E323" s="99"/>
      <c r="F323" s="102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101"/>
    </row>
    <row r="324">
      <c r="A324" s="99"/>
      <c r="B324" s="99"/>
      <c r="C324" s="99"/>
      <c r="D324" s="99"/>
      <c r="E324" s="99"/>
      <c r="F324" s="102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101"/>
    </row>
    <row r="325">
      <c r="A325" s="99"/>
      <c r="B325" s="99"/>
      <c r="C325" s="99"/>
      <c r="D325" s="99"/>
      <c r="E325" s="99"/>
      <c r="F325" s="102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101"/>
    </row>
    <row r="326">
      <c r="A326" s="99"/>
      <c r="B326" s="99"/>
      <c r="C326" s="99"/>
      <c r="D326" s="99"/>
      <c r="E326" s="99"/>
      <c r="F326" s="102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101"/>
    </row>
    <row r="327">
      <c r="A327" s="99"/>
      <c r="B327" s="99"/>
      <c r="C327" s="99"/>
      <c r="D327" s="99"/>
      <c r="E327" s="99"/>
      <c r="F327" s="102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101"/>
    </row>
    <row r="328">
      <c r="A328" s="99"/>
      <c r="B328" s="99"/>
      <c r="C328" s="99"/>
      <c r="D328" s="99"/>
      <c r="E328" s="99"/>
      <c r="F328" s="102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101"/>
    </row>
    <row r="329">
      <c r="A329" s="99"/>
      <c r="B329" s="99"/>
      <c r="C329" s="99"/>
      <c r="D329" s="99"/>
      <c r="E329" s="99"/>
      <c r="F329" s="102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101"/>
    </row>
    <row r="330">
      <c r="A330" s="99"/>
      <c r="B330" s="99"/>
      <c r="C330" s="99"/>
      <c r="D330" s="99"/>
      <c r="E330" s="99"/>
      <c r="F330" s="102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101"/>
    </row>
    <row r="331">
      <c r="A331" s="99"/>
      <c r="B331" s="99"/>
      <c r="C331" s="99"/>
      <c r="D331" s="99"/>
      <c r="E331" s="99"/>
      <c r="F331" s="102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101"/>
    </row>
    <row r="332">
      <c r="A332" s="99"/>
      <c r="B332" s="99"/>
      <c r="C332" s="99"/>
      <c r="D332" s="99"/>
      <c r="E332" s="99"/>
      <c r="F332" s="102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101"/>
    </row>
    <row r="333">
      <c r="A333" s="99"/>
      <c r="B333" s="99"/>
      <c r="C333" s="99"/>
      <c r="D333" s="99"/>
      <c r="E333" s="99"/>
      <c r="F333" s="102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101"/>
    </row>
    <row r="334">
      <c r="A334" s="99"/>
      <c r="B334" s="99"/>
      <c r="C334" s="99"/>
      <c r="D334" s="99"/>
      <c r="E334" s="99"/>
      <c r="F334" s="102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101"/>
    </row>
    <row r="335">
      <c r="A335" s="99"/>
      <c r="B335" s="99"/>
      <c r="C335" s="99"/>
      <c r="D335" s="99"/>
      <c r="E335" s="99"/>
      <c r="F335" s="102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101"/>
    </row>
    <row r="336">
      <c r="A336" s="99"/>
      <c r="B336" s="99"/>
      <c r="C336" s="99"/>
      <c r="D336" s="99"/>
      <c r="E336" s="99"/>
      <c r="F336" s="102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101"/>
    </row>
    <row r="337">
      <c r="A337" s="99"/>
      <c r="B337" s="99"/>
      <c r="C337" s="99"/>
      <c r="D337" s="99"/>
      <c r="E337" s="99"/>
      <c r="F337" s="102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101"/>
    </row>
    <row r="338">
      <c r="A338" s="99"/>
      <c r="B338" s="99"/>
      <c r="C338" s="99"/>
      <c r="D338" s="99"/>
      <c r="E338" s="99"/>
      <c r="F338" s="102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101"/>
    </row>
    <row r="339">
      <c r="A339" s="99"/>
      <c r="B339" s="99"/>
      <c r="C339" s="99"/>
      <c r="D339" s="99"/>
      <c r="E339" s="99"/>
      <c r="F339" s="102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101"/>
    </row>
    <row r="340">
      <c r="A340" s="99"/>
      <c r="B340" s="99"/>
      <c r="C340" s="99"/>
      <c r="D340" s="99"/>
      <c r="E340" s="99"/>
      <c r="F340" s="102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101"/>
    </row>
    <row r="341">
      <c r="A341" s="99"/>
      <c r="B341" s="99"/>
      <c r="C341" s="99"/>
      <c r="D341" s="99"/>
      <c r="E341" s="99"/>
      <c r="F341" s="102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101"/>
    </row>
    <row r="342">
      <c r="A342" s="99"/>
      <c r="B342" s="99"/>
      <c r="C342" s="99"/>
      <c r="D342" s="99"/>
      <c r="E342" s="99"/>
      <c r="F342" s="102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101"/>
    </row>
    <row r="343">
      <c r="A343" s="99"/>
      <c r="B343" s="99"/>
      <c r="C343" s="99"/>
      <c r="D343" s="99"/>
      <c r="E343" s="99"/>
      <c r="F343" s="102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101"/>
    </row>
    <row r="344">
      <c r="A344" s="99"/>
      <c r="B344" s="99"/>
      <c r="C344" s="99"/>
      <c r="D344" s="99"/>
      <c r="E344" s="99"/>
      <c r="F344" s="102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101"/>
    </row>
    <row r="345">
      <c r="A345" s="99"/>
      <c r="B345" s="99"/>
      <c r="C345" s="99"/>
      <c r="D345" s="99"/>
      <c r="E345" s="99"/>
      <c r="F345" s="102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101"/>
    </row>
    <row r="346">
      <c r="A346" s="99"/>
      <c r="B346" s="99"/>
      <c r="C346" s="99"/>
      <c r="D346" s="99"/>
      <c r="E346" s="99"/>
      <c r="F346" s="102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101"/>
    </row>
    <row r="347">
      <c r="A347" s="99"/>
      <c r="B347" s="99"/>
      <c r="C347" s="99"/>
      <c r="D347" s="99"/>
      <c r="E347" s="99"/>
      <c r="F347" s="102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101"/>
    </row>
    <row r="348">
      <c r="A348" s="99"/>
      <c r="B348" s="99"/>
      <c r="C348" s="99"/>
      <c r="D348" s="99"/>
      <c r="E348" s="99"/>
      <c r="F348" s="102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101"/>
    </row>
    <row r="349">
      <c r="A349" s="99"/>
      <c r="B349" s="99"/>
      <c r="C349" s="99"/>
      <c r="D349" s="99"/>
      <c r="E349" s="99"/>
      <c r="F349" s="102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101"/>
    </row>
    <row r="350">
      <c r="A350" s="99"/>
      <c r="B350" s="99"/>
      <c r="C350" s="99"/>
      <c r="D350" s="99"/>
      <c r="E350" s="99"/>
      <c r="F350" s="102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101"/>
    </row>
    <row r="351">
      <c r="A351" s="99"/>
      <c r="B351" s="99"/>
      <c r="C351" s="99"/>
      <c r="D351" s="99"/>
      <c r="E351" s="99"/>
      <c r="F351" s="102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101"/>
    </row>
    <row r="352">
      <c r="A352" s="99"/>
      <c r="B352" s="99"/>
      <c r="C352" s="99"/>
      <c r="D352" s="99"/>
      <c r="E352" s="99"/>
      <c r="F352" s="102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101"/>
    </row>
    <row r="353">
      <c r="A353" s="99"/>
      <c r="B353" s="99"/>
      <c r="C353" s="99"/>
      <c r="D353" s="99"/>
      <c r="E353" s="99"/>
      <c r="F353" s="102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101"/>
    </row>
    <row r="354">
      <c r="A354" s="99"/>
      <c r="B354" s="99"/>
      <c r="C354" s="99"/>
      <c r="D354" s="99"/>
      <c r="E354" s="99"/>
      <c r="F354" s="102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101"/>
    </row>
    <row r="355">
      <c r="A355" s="99"/>
      <c r="B355" s="99"/>
      <c r="C355" s="99"/>
      <c r="D355" s="99"/>
      <c r="E355" s="99"/>
      <c r="F355" s="102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101"/>
    </row>
    <row r="356">
      <c r="A356" s="99"/>
      <c r="B356" s="99"/>
      <c r="C356" s="99"/>
      <c r="D356" s="99"/>
      <c r="E356" s="99"/>
      <c r="F356" s="102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101"/>
    </row>
    <row r="357">
      <c r="A357" s="99"/>
      <c r="B357" s="99"/>
      <c r="C357" s="99"/>
      <c r="D357" s="99"/>
      <c r="E357" s="99"/>
      <c r="F357" s="102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101"/>
    </row>
    <row r="358">
      <c r="A358" s="99"/>
      <c r="B358" s="99"/>
      <c r="C358" s="99"/>
      <c r="D358" s="99"/>
      <c r="E358" s="99"/>
      <c r="F358" s="102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101"/>
    </row>
    <row r="359">
      <c r="A359" s="99"/>
      <c r="B359" s="99"/>
      <c r="C359" s="99"/>
      <c r="D359" s="99"/>
      <c r="E359" s="99"/>
      <c r="F359" s="102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101"/>
    </row>
    <row r="360">
      <c r="A360" s="99"/>
      <c r="B360" s="99"/>
      <c r="C360" s="99"/>
      <c r="D360" s="99"/>
      <c r="E360" s="99"/>
      <c r="F360" s="102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101"/>
    </row>
    <row r="361">
      <c r="A361" s="99"/>
      <c r="B361" s="99"/>
      <c r="C361" s="99"/>
      <c r="D361" s="99"/>
      <c r="E361" s="99"/>
      <c r="F361" s="102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101"/>
    </row>
    <row r="362">
      <c r="A362" s="99"/>
      <c r="B362" s="99"/>
      <c r="C362" s="99"/>
      <c r="D362" s="99"/>
      <c r="E362" s="99"/>
      <c r="F362" s="102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101"/>
    </row>
    <row r="363">
      <c r="A363" s="99"/>
      <c r="B363" s="99"/>
      <c r="C363" s="99"/>
      <c r="D363" s="99"/>
      <c r="E363" s="99"/>
      <c r="F363" s="102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101"/>
    </row>
    <row r="364">
      <c r="A364" s="99"/>
      <c r="B364" s="99"/>
      <c r="C364" s="99"/>
      <c r="D364" s="99"/>
      <c r="E364" s="99"/>
      <c r="F364" s="102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101"/>
    </row>
    <row r="365">
      <c r="A365" s="99"/>
      <c r="B365" s="99"/>
      <c r="C365" s="99"/>
      <c r="D365" s="99"/>
      <c r="E365" s="99"/>
      <c r="F365" s="102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101"/>
    </row>
    <row r="366">
      <c r="A366" s="99"/>
      <c r="B366" s="99"/>
      <c r="C366" s="99"/>
      <c r="D366" s="99"/>
      <c r="E366" s="99"/>
      <c r="F366" s="102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101"/>
    </row>
    <row r="367">
      <c r="A367" s="99"/>
      <c r="B367" s="99"/>
      <c r="C367" s="99"/>
      <c r="D367" s="99"/>
      <c r="E367" s="99"/>
      <c r="F367" s="102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101"/>
    </row>
    <row r="368">
      <c r="A368" s="99"/>
      <c r="B368" s="99"/>
      <c r="C368" s="99"/>
      <c r="D368" s="99"/>
      <c r="E368" s="99"/>
      <c r="F368" s="102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101"/>
    </row>
    <row r="369">
      <c r="A369" s="99"/>
      <c r="B369" s="99"/>
      <c r="C369" s="99"/>
      <c r="D369" s="99"/>
      <c r="E369" s="99"/>
      <c r="F369" s="102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101"/>
    </row>
    <row r="370">
      <c r="A370" s="99"/>
      <c r="B370" s="99"/>
      <c r="C370" s="99"/>
      <c r="D370" s="99"/>
      <c r="E370" s="99"/>
      <c r="F370" s="102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101"/>
    </row>
    <row r="371">
      <c r="A371" s="99"/>
      <c r="B371" s="99"/>
      <c r="C371" s="99"/>
      <c r="D371" s="99"/>
      <c r="E371" s="99"/>
      <c r="F371" s="102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101"/>
    </row>
    <row r="372">
      <c r="A372" s="99"/>
      <c r="B372" s="99"/>
      <c r="C372" s="99"/>
      <c r="D372" s="99"/>
      <c r="E372" s="99"/>
      <c r="F372" s="102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101"/>
    </row>
    <row r="373">
      <c r="A373" s="99"/>
      <c r="B373" s="99"/>
      <c r="C373" s="99"/>
      <c r="D373" s="99"/>
      <c r="E373" s="99"/>
      <c r="F373" s="102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101"/>
    </row>
    <row r="374">
      <c r="A374" s="99"/>
      <c r="B374" s="99"/>
      <c r="C374" s="99"/>
      <c r="D374" s="99"/>
      <c r="E374" s="99"/>
      <c r="F374" s="102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101"/>
    </row>
    <row r="375">
      <c r="A375" s="99"/>
      <c r="B375" s="99"/>
      <c r="C375" s="99"/>
      <c r="D375" s="99"/>
      <c r="E375" s="99"/>
      <c r="F375" s="102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101"/>
    </row>
    <row r="376">
      <c r="A376" s="99"/>
      <c r="B376" s="99"/>
      <c r="C376" s="99"/>
      <c r="D376" s="99"/>
      <c r="E376" s="99"/>
      <c r="F376" s="102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101"/>
    </row>
    <row r="377">
      <c r="A377" s="99"/>
      <c r="B377" s="99"/>
      <c r="C377" s="99"/>
      <c r="D377" s="99"/>
      <c r="E377" s="99"/>
      <c r="F377" s="102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101"/>
    </row>
    <row r="378">
      <c r="A378" s="99"/>
      <c r="B378" s="99"/>
      <c r="C378" s="99"/>
      <c r="D378" s="99"/>
      <c r="E378" s="99"/>
      <c r="F378" s="102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101"/>
    </row>
    <row r="379">
      <c r="A379" s="99"/>
      <c r="B379" s="99"/>
      <c r="C379" s="99"/>
      <c r="D379" s="99"/>
      <c r="E379" s="99"/>
      <c r="F379" s="102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101"/>
    </row>
    <row r="380">
      <c r="A380" s="99"/>
      <c r="B380" s="99"/>
      <c r="C380" s="99"/>
      <c r="D380" s="99"/>
      <c r="E380" s="99"/>
      <c r="F380" s="102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101"/>
    </row>
    <row r="381">
      <c r="A381" s="99"/>
      <c r="B381" s="99"/>
      <c r="C381" s="99"/>
      <c r="D381" s="99"/>
      <c r="E381" s="99"/>
      <c r="F381" s="102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101"/>
    </row>
    <row r="382">
      <c r="A382" s="99"/>
      <c r="B382" s="99"/>
      <c r="C382" s="99"/>
      <c r="D382" s="99"/>
      <c r="E382" s="99"/>
      <c r="F382" s="102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101"/>
    </row>
    <row r="383">
      <c r="A383" s="99"/>
      <c r="B383" s="99"/>
      <c r="C383" s="99"/>
      <c r="D383" s="99"/>
      <c r="E383" s="99"/>
      <c r="F383" s="102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101"/>
    </row>
    <row r="384">
      <c r="A384" s="99"/>
      <c r="B384" s="99"/>
      <c r="C384" s="99"/>
      <c r="D384" s="99"/>
      <c r="E384" s="99"/>
      <c r="F384" s="102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101"/>
    </row>
    <row r="385">
      <c r="A385" s="99"/>
      <c r="B385" s="99"/>
      <c r="C385" s="99"/>
      <c r="D385" s="99"/>
      <c r="E385" s="99"/>
      <c r="F385" s="102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101"/>
    </row>
    <row r="386">
      <c r="A386" s="99"/>
      <c r="B386" s="99"/>
      <c r="C386" s="99"/>
      <c r="D386" s="99"/>
      <c r="E386" s="99"/>
      <c r="F386" s="102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101"/>
    </row>
    <row r="387">
      <c r="A387" s="99"/>
      <c r="B387" s="99"/>
      <c r="C387" s="99"/>
      <c r="D387" s="99"/>
      <c r="E387" s="99"/>
      <c r="F387" s="102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101"/>
    </row>
    <row r="388">
      <c r="A388" s="99"/>
      <c r="B388" s="99"/>
      <c r="C388" s="99"/>
      <c r="D388" s="99"/>
      <c r="E388" s="99"/>
      <c r="F388" s="102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101"/>
    </row>
    <row r="389">
      <c r="A389" s="99"/>
      <c r="B389" s="99"/>
      <c r="C389" s="99"/>
      <c r="D389" s="99"/>
      <c r="E389" s="99"/>
      <c r="F389" s="102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101"/>
    </row>
    <row r="390">
      <c r="A390" s="99"/>
      <c r="B390" s="99"/>
      <c r="C390" s="99"/>
      <c r="D390" s="99"/>
      <c r="E390" s="99"/>
      <c r="F390" s="102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101"/>
    </row>
    <row r="391">
      <c r="A391" s="99"/>
      <c r="B391" s="99"/>
      <c r="C391" s="99"/>
      <c r="D391" s="99"/>
      <c r="E391" s="99"/>
      <c r="F391" s="102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101"/>
    </row>
    <row r="392">
      <c r="A392" s="99"/>
      <c r="B392" s="99"/>
      <c r="C392" s="99"/>
      <c r="D392" s="99"/>
      <c r="E392" s="99"/>
      <c r="F392" s="102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101"/>
    </row>
    <row r="393">
      <c r="A393" s="99"/>
      <c r="B393" s="99"/>
      <c r="C393" s="99"/>
      <c r="D393" s="99"/>
      <c r="E393" s="99"/>
      <c r="F393" s="102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101"/>
    </row>
    <row r="394">
      <c r="A394" s="99"/>
      <c r="B394" s="99"/>
      <c r="C394" s="99"/>
      <c r="D394" s="99"/>
      <c r="E394" s="99"/>
      <c r="F394" s="102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101"/>
    </row>
    <row r="395">
      <c r="A395" s="99"/>
      <c r="B395" s="99"/>
      <c r="C395" s="99"/>
      <c r="D395" s="99"/>
      <c r="E395" s="99"/>
      <c r="F395" s="102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101"/>
    </row>
    <row r="396">
      <c r="A396" s="99"/>
      <c r="B396" s="99"/>
      <c r="C396" s="99"/>
      <c r="D396" s="99"/>
      <c r="E396" s="99"/>
      <c r="F396" s="102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101"/>
    </row>
    <row r="397">
      <c r="A397" s="99"/>
      <c r="B397" s="99"/>
      <c r="C397" s="99"/>
      <c r="D397" s="99"/>
      <c r="E397" s="99"/>
      <c r="F397" s="102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101"/>
    </row>
    <row r="398">
      <c r="A398" s="99"/>
      <c r="B398" s="99"/>
      <c r="C398" s="99"/>
      <c r="D398" s="99"/>
      <c r="E398" s="99"/>
      <c r="F398" s="102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101"/>
    </row>
    <row r="399">
      <c r="A399" s="99"/>
      <c r="B399" s="99"/>
      <c r="C399" s="99"/>
      <c r="D399" s="99"/>
      <c r="E399" s="99"/>
      <c r="F399" s="102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101"/>
    </row>
    <row r="400">
      <c r="A400" s="99"/>
      <c r="B400" s="99"/>
      <c r="C400" s="99"/>
      <c r="D400" s="99"/>
      <c r="E400" s="99"/>
      <c r="F400" s="102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101"/>
    </row>
    <row r="401">
      <c r="A401" s="99"/>
      <c r="B401" s="99"/>
      <c r="C401" s="99"/>
      <c r="D401" s="99"/>
      <c r="E401" s="99"/>
      <c r="F401" s="102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101"/>
    </row>
    <row r="402">
      <c r="A402" s="99"/>
      <c r="B402" s="99"/>
      <c r="C402" s="99"/>
      <c r="D402" s="99"/>
      <c r="E402" s="99"/>
      <c r="F402" s="102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101"/>
    </row>
    <row r="403">
      <c r="A403" s="99"/>
      <c r="B403" s="99"/>
      <c r="C403" s="99"/>
      <c r="D403" s="99"/>
      <c r="E403" s="99"/>
      <c r="F403" s="102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101"/>
    </row>
    <row r="404">
      <c r="A404" s="99"/>
      <c r="B404" s="99"/>
      <c r="C404" s="99"/>
      <c r="D404" s="99"/>
      <c r="E404" s="99"/>
      <c r="F404" s="102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101"/>
    </row>
    <row r="405">
      <c r="A405" s="99"/>
      <c r="B405" s="99"/>
      <c r="C405" s="99"/>
      <c r="D405" s="99"/>
      <c r="E405" s="99"/>
      <c r="F405" s="102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101"/>
    </row>
    <row r="406">
      <c r="A406" s="99"/>
      <c r="B406" s="99"/>
      <c r="C406" s="99"/>
      <c r="D406" s="99"/>
      <c r="E406" s="99"/>
      <c r="F406" s="102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101"/>
    </row>
    <row r="407">
      <c r="A407" s="99"/>
      <c r="B407" s="99"/>
      <c r="C407" s="99"/>
      <c r="D407" s="99"/>
      <c r="E407" s="99"/>
      <c r="F407" s="102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101"/>
    </row>
    <row r="408">
      <c r="A408" s="99"/>
      <c r="B408" s="99"/>
      <c r="C408" s="99"/>
      <c r="D408" s="99"/>
      <c r="E408" s="99"/>
      <c r="F408" s="102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101"/>
    </row>
    <row r="409">
      <c r="A409" s="99"/>
      <c r="B409" s="99"/>
      <c r="C409" s="99"/>
      <c r="D409" s="99"/>
      <c r="E409" s="99"/>
      <c r="F409" s="102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101"/>
    </row>
    <row r="410">
      <c r="A410" s="99"/>
      <c r="B410" s="99"/>
      <c r="C410" s="99"/>
      <c r="D410" s="99"/>
      <c r="E410" s="99"/>
      <c r="F410" s="102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101"/>
    </row>
    <row r="411">
      <c r="A411" s="99"/>
      <c r="B411" s="99"/>
      <c r="C411" s="99"/>
      <c r="D411" s="99"/>
      <c r="E411" s="99"/>
      <c r="F411" s="102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101"/>
    </row>
    <row r="412">
      <c r="A412" s="99"/>
      <c r="B412" s="99"/>
      <c r="C412" s="99"/>
      <c r="D412" s="99"/>
      <c r="E412" s="99"/>
      <c r="F412" s="102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101"/>
    </row>
    <row r="413">
      <c r="A413" s="99"/>
      <c r="B413" s="99"/>
      <c r="C413" s="99"/>
      <c r="D413" s="99"/>
      <c r="E413" s="99"/>
      <c r="F413" s="102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101"/>
    </row>
    <row r="414">
      <c r="A414" s="99"/>
      <c r="B414" s="99"/>
      <c r="C414" s="99"/>
      <c r="D414" s="99"/>
      <c r="E414" s="99"/>
      <c r="F414" s="102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101"/>
    </row>
    <row r="415">
      <c r="A415" s="99"/>
      <c r="B415" s="99"/>
      <c r="C415" s="99"/>
      <c r="D415" s="99"/>
      <c r="E415" s="99"/>
      <c r="F415" s="102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101"/>
    </row>
    <row r="416">
      <c r="A416" s="99"/>
      <c r="B416" s="99"/>
      <c r="C416" s="99"/>
      <c r="D416" s="99"/>
      <c r="E416" s="99"/>
      <c r="F416" s="102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101"/>
    </row>
    <row r="417">
      <c r="A417" s="99"/>
      <c r="B417" s="99"/>
      <c r="C417" s="99"/>
      <c r="D417" s="99"/>
      <c r="E417" s="99"/>
      <c r="F417" s="102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101"/>
    </row>
    <row r="418">
      <c r="A418" s="99"/>
      <c r="B418" s="99"/>
      <c r="C418" s="99"/>
      <c r="D418" s="99"/>
      <c r="E418" s="99"/>
      <c r="F418" s="102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101"/>
    </row>
    <row r="419">
      <c r="A419" s="99"/>
      <c r="B419" s="99"/>
      <c r="C419" s="99"/>
      <c r="D419" s="99"/>
      <c r="E419" s="99"/>
      <c r="F419" s="102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101"/>
    </row>
    <row r="420">
      <c r="A420" s="99"/>
      <c r="B420" s="99"/>
      <c r="C420" s="99"/>
      <c r="D420" s="99"/>
      <c r="E420" s="99"/>
      <c r="F420" s="102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101"/>
    </row>
    <row r="421">
      <c r="A421" s="99"/>
      <c r="B421" s="99"/>
      <c r="C421" s="99"/>
      <c r="D421" s="99"/>
      <c r="E421" s="99"/>
      <c r="F421" s="102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101"/>
    </row>
    <row r="422">
      <c r="A422" s="99"/>
      <c r="B422" s="99"/>
      <c r="C422" s="99"/>
      <c r="D422" s="99"/>
      <c r="E422" s="99"/>
      <c r="F422" s="102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101"/>
    </row>
    <row r="423">
      <c r="A423" s="99"/>
      <c r="B423" s="99"/>
      <c r="C423" s="99"/>
      <c r="D423" s="99"/>
      <c r="E423" s="99"/>
      <c r="F423" s="102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101"/>
    </row>
    <row r="424">
      <c r="A424" s="99"/>
      <c r="B424" s="99"/>
      <c r="C424" s="99"/>
      <c r="D424" s="99"/>
      <c r="E424" s="99"/>
      <c r="F424" s="102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101"/>
    </row>
    <row r="425">
      <c r="A425" s="99"/>
      <c r="B425" s="99"/>
      <c r="C425" s="99"/>
      <c r="D425" s="99"/>
      <c r="E425" s="99"/>
      <c r="F425" s="102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101"/>
    </row>
    <row r="426">
      <c r="A426" s="99"/>
      <c r="B426" s="99"/>
      <c r="C426" s="99"/>
      <c r="D426" s="99"/>
      <c r="E426" s="99"/>
      <c r="F426" s="102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101"/>
    </row>
    <row r="427">
      <c r="A427" s="99"/>
      <c r="B427" s="99"/>
      <c r="C427" s="99"/>
      <c r="D427" s="99"/>
      <c r="E427" s="99"/>
      <c r="F427" s="102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101"/>
    </row>
    <row r="428">
      <c r="A428" s="99"/>
      <c r="B428" s="99"/>
      <c r="C428" s="99"/>
      <c r="D428" s="99"/>
      <c r="E428" s="99"/>
      <c r="F428" s="102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101"/>
    </row>
    <row r="429">
      <c r="A429" s="99"/>
      <c r="B429" s="99"/>
      <c r="C429" s="99"/>
      <c r="D429" s="99"/>
      <c r="E429" s="99"/>
      <c r="F429" s="102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101"/>
    </row>
    <row r="430">
      <c r="A430" s="99"/>
      <c r="B430" s="99"/>
      <c r="C430" s="99"/>
      <c r="D430" s="99"/>
      <c r="E430" s="99"/>
      <c r="F430" s="102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101"/>
    </row>
    <row r="431">
      <c r="A431" s="99"/>
      <c r="B431" s="99"/>
      <c r="C431" s="99"/>
      <c r="D431" s="99"/>
      <c r="E431" s="99"/>
      <c r="F431" s="102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101"/>
    </row>
    <row r="432">
      <c r="A432" s="99"/>
      <c r="B432" s="99"/>
      <c r="C432" s="99"/>
      <c r="D432" s="99"/>
      <c r="E432" s="99"/>
      <c r="F432" s="102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101"/>
    </row>
    <row r="433">
      <c r="A433" s="99"/>
      <c r="B433" s="99"/>
      <c r="C433" s="99"/>
      <c r="D433" s="99"/>
      <c r="E433" s="99"/>
      <c r="F433" s="102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101"/>
    </row>
    <row r="434">
      <c r="A434" s="99"/>
      <c r="B434" s="99"/>
      <c r="C434" s="99"/>
      <c r="D434" s="99"/>
      <c r="E434" s="99"/>
      <c r="F434" s="102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101"/>
    </row>
    <row r="435">
      <c r="A435" s="99"/>
      <c r="B435" s="99"/>
      <c r="C435" s="99"/>
      <c r="D435" s="99"/>
      <c r="E435" s="99"/>
      <c r="F435" s="102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101"/>
    </row>
    <row r="436">
      <c r="A436" s="99"/>
      <c r="B436" s="99"/>
      <c r="C436" s="99"/>
      <c r="D436" s="99"/>
      <c r="E436" s="99"/>
      <c r="F436" s="102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101"/>
    </row>
    <row r="437">
      <c r="A437" s="99"/>
      <c r="B437" s="99"/>
      <c r="C437" s="99"/>
      <c r="D437" s="99"/>
      <c r="E437" s="99"/>
      <c r="F437" s="102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101"/>
    </row>
    <row r="438">
      <c r="A438" s="99"/>
      <c r="B438" s="99"/>
      <c r="C438" s="99"/>
      <c r="D438" s="99"/>
      <c r="E438" s="99"/>
      <c r="F438" s="102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101"/>
    </row>
    <row r="439">
      <c r="A439" s="99"/>
      <c r="B439" s="99"/>
      <c r="C439" s="99"/>
      <c r="D439" s="99"/>
      <c r="E439" s="99"/>
      <c r="F439" s="102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101"/>
    </row>
    <row r="440">
      <c r="A440" s="99"/>
      <c r="B440" s="99"/>
      <c r="C440" s="99"/>
      <c r="D440" s="99"/>
      <c r="E440" s="99"/>
      <c r="F440" s="102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101"/>
    </row>
    <row r="441">
      <c r="A441" s="99"/>
      <c r="B441" s="99"/>
      <c r="C441" s="99"/>
      <c r="D441" s="99"/>
      <c r="E441" s="99"/>
      <c r="F441" s="102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101"/>
    </row>
    <row r="442">
      <c r="A442" s="99"/>
      <c r="B442" s="99"/>
      <c r="C442" s="99"/>
      <c r="D442" s="99"/>
      <c r="E442" s="99"/>
      <c r="F442" s="102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101"/>
    </row>
    <row r="443">
      <c r="A443" s="99"/>
      <c r="B443" s="99"/>
      <c r="C443" s="99"/>
      <c r="D443" s="99"/>
      <c r="E443" s="99"/>
      <c r="F443" s="102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101"/>
    </row>
    <row r="444">
      <c r="A444" s="99"/>
      <c r="B444" s="99"/>
      <c r="C444" s="99"/>
      <c r="D444" s="99"/>
      <c r="E444" s="99"/>
      <c r="F444" s="102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101"/>
    </row>
    <row r="445">
      <c r="A445" s="99"/>
      <c r="B445" s="99"/>
      <c r="C445" s="99"/>
      <c r="D445" s="99"/>
      <c r="E445" s="99"/>
      <c r="F445" s="102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101"/>
    </row>
    <row r="446">
      <c r="A446" s="99"/>
      <c r="B446" s="99"/>
      <c r="C446" s="99"/>
      <c r="D446" s="99"/>
      <c r="E446" s="99"/>
      <c r="F446" s="102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101"/>
    </row>
    <row r="447">
      <c r="A447" s="99"/>
      <c r="B447" s="99"/>
      <c r="C447" s="99"/>
      <c r="D447" s="99"/>
      <c r="E447" s="99"/>
      <c r="F447" s="102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101"/>
    </row>
    <row r="448">
      <c r="A448" s="99"/>
      <c r="B448" s="99"/>
      <c r="C448" s="99"/>
      <c r="D448" s="99"/>
      <c r="E448" s="99"/>
      <c r="F448" s="102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101"/>
    </row>
    <row r="449">
      <c r="A449" s="99"/>
      <c r="B449" s="99"/>
      <c r="C449" s="99"/>
      <c r="D449" s="99"/>
      <c r="E449" s="99"/>
      <c r="F449" s="102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101"/>
    </row>
    <row r="450">
      <c r="A450" s="99"/>
      <c r="B450" s="99"/>
      <c r="C450" s="99"/>
      <c r="D450" s="99"/>
      <c r="E450" s="99"/>
      <c r="F450" s="102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101"/>
    </row>
    <row r="451">
      <c r="A451" s="99"/>
      <c r="B451" s="99"/>
      <c r="C451" s="99"/>
      <c r="D451" s="99"/>
      <c r="E451" s="99"/>
      <c r="F451" s="102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101"/>
    </row>
    <row r="452">
      <c r="A452" s="99"/>
      <c r="B452" s="99"/>
      <c r="C452" s="99"/>
      <c r="D452" s="99"/>
      <c r="E452" s="99"/>
      <c r="F452" s="102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101"/>
    </row>
    <row r="453">
      <c r="A453" s="99"/>
      <c r="B453" s="99"/>
      <c r="C453" s="99"/>
      <c r="D453" s="99"/>
      <c r="E453" s="99"/>
      <c r="F453" s="102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101"/>
    </row>
    <row r="454">
      <c r="A454" s="99"/>
      <c r="B454" s="99"/>
      <c r="C454" s="99"/>
      <c r="D454" s="99"/>
      <c r="E454" s="99"/>
      <c r="F454" s="102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101"/>
    </row>
    <row r="455">
      <c r="A455" s="99"/>
      <c r="B455" s="99"/>
      <c r="C455" s="99"/>
      <c r="D455" s="99"/>
      <c r="E455" s="99"/>
      <c r="F455" s="102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101"/>
    </row>
    <row r="456">
      <c r="A456" s="99"/>
      <c r="B456" s="99"/>
      <c r="C456" s="99"/>
      <c r="D456" s="99"/>
      <c r="E456" s="99"/>
      <c r="F456" s="102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101"/>
    </row>
    <row r="457">
      <c r="A457" s="99"/>
      <c r="B457" s="99"/>
      <c r="C457" s="99"/>
      <c r="D457" s="99"/>
      <c r="E457" s="99"/>
      <c r="F457" s="102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101"/>
    </row>
    <row r="458">
      <c r="A458" s="99"/>
      <c r="B458" s="99"/>
      <c r="C458" s="99"/>
      <c r="D458" s="99"/>
      <c r="E458" s="99"/>
      <c r="F458" s="102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101"/>
    </row>
    <row r="459">
      <c r="A459" s="99"/>
      <c r="B459" s="99"/>
      <c r="C459" s="99"/>
      <c r="D459" s="99"/>
      <c r="E459" s="99"/>
      <c r="F459" s="102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101"/>
    </row>
    <row r="460">
      <c r="A460" s="99"/>
      <c r="B460" s="99"/>
      <c r="C460" s="99"/>
      <c r="D460" s="99"/>
      <c r="E460" s="99"/>
      <c r="F460" s="102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101"/>
    </row>
    <row r="461">
      <c r="A461" s="99"/>
      <c r="B461" s="99"/>
      <c r="C461" s="99"/>
      <c r="D461" s="99"/>
      <c r="E461" s="99"/>
      <c r="F461" s="102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101"/>
    </row>
    <row r="462">
      <c r="A462" s="99"/>
      <c r="B462" s="99"/>
      <c r="C462" s="99"/>
      <c r="D462" s="99"/>
      <c r="E462" s="99"/>
      <c r="F462" s="102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101"/>
    </row>
    <row r="463">
      <c r="A463" s="99"/>
      <c r="B463" s="99"/>
      <c r="C463" s="99"/>
      <c r="D463" s="99"/>
      <c r="E463" s="99"/>
      <c r="F463" s="102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101"/>
    </row>
    <row r="464">
      <c r="A464" s="99"/>
      <c r="B464" s="99"/>
      <c r="C464" s="99"/>
      <c r="D464" s="99"/>
      <c r="E464" s="99"/>
      <c r="F464" s="102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101"/>
    </row>
    <row r="465">
      <c r="A465" s="99"/>
      <c r="B465" s="99"/>
      <c r="C465" s="99"/>
      <c r="D465" s="99"/>
      <c r="E465" s="99"/>
      <c r="F465" s="102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101"/>
    </row>
    <row r="466">
      <c r="A466" s="99"/>
      <c r="B466" s="99"/>
      <c r="C466" s="99"/>
      <c r="D466" s="99"/>
      <c r="E466" s="99"/>
      <c r="F466" s="102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101"/>
    </row>
    <row r="467">
      <c r="A467" s="99"/>
      <c r="B467" s="99"/>
      <c r="C467" s="99"/>
      <c r="D467" s="99"/>
      <c r="E467" s="99"/>
      <c r="F467" s="102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101"/>
    </row>
    <row r="468">
      <c r="A468" s="99"/>
      <c r="B468" s="99"/>
      <c r="C468" s="99"/>
      <c r="D468" s="99"/>
      <c r="E468" s="99"/>
      <c r="F468" s="102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101"/>
    </row>
    <row r="469">
      <c r="A469" s="99"/>
      <c r="B469" s="99"/>
      <c r="C469" s="99"/>
      <c r="D469" s="99"/>
      <c r="E469" s="99"/>
      <c r="F469" s="102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101"/>
    </row>
    <row r="470">
      <c r="A470" s="99"/>
      <c r="B470" s="99"/>
      <c r="C470" s="99"/>
      <c r="D470" s="99"/>
      <c r="E470" s="99"/>
      <c r="F470" s="102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101"/>
    </row>
    <row r="471">
      <c r="A471" s="99"/>
      <c r="B471" s="99"/>
      <c r="C471" s="99"/>
      <c r="D471" s="99"/>
      <c r="E471" s="99"/>
      <c r="F471" s="102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101"/>
    </row>
    <row r="472">
      <c r="A472" s="99"/>
      <c r="B472" s="99"/>
      <c r="C472" s="99"/>
      <c r="D472" s="99"/>
      <c r="E472" s="99"/>
      <c r="F472" s="102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101"/>
    </row>
    <row r="473">
      <c r="A473" s="99"/>
      <c r="B473" s="99"/>
      <c r="C473" s="99"/>
      <c r="D473" s="99"/>
      <c r="E473" s="99"/>
      <c r="F473" s="102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101"/>
    </row>
    <row r="474">
      <c r="A474" s="99"/>
      <c r="B474" s="99"/>
      <c r="C474" s="99"/>
      <c r="D474" s="99"/>
      <c r="E474" s="99"/>
      <c r="F474" s="102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101"/>
    </row>
    <row r="475">
      <c r="A475" s="99"/>
      <c r="B475" s="99"/>
      <c r="C475" s="99"/>
      <c r="D475" s="99"/>
      <c r="E475" s="99"/>
      <c r="F475" s="102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101"/>
    </row>
    <row r="476">
      <c r="A476" s="99"/>
      <c r="B476" s="99"/>
      <c r="C476" s="99"/>
      <c r="D476" s="99"/>
      <c r="E476" s="99"/>
      <c r="F476" s="102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101"/>
    </row>
    <row r="477">
      <c r="A477" s="99"/>
      <c r="B477" s="99"/>
      <c r="C477" s="99"/>
      <c r="D477" s="99"/>
      <c r="E477" s="99"/>
      <c r="F477" s="102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101"/>
    </row>
    <row r="478">
      <c r="A478" s="99"/>
      <c r="B478" s="99"/>
      <c r="C478" s="99"/>
      <c r="D478" s="99"/>
      <c r="E478" s="99"/>
      <c r="F478" s="102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101"/>
    </row>
    <row r="479">
      <c r="A479" s="99"/>
      <c r="B479" s="99"/>
      <c r="C479" s="99"/>
      <c r="D479" s="99"/>
      <c r="E479" s="99"/>
      <c r="F479" s="102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101"/>
    </row>
    <row r="480">
      <c r="A480" s="99"/>
      <c r="B480" s="99"/>
      <c r="C480" s="99"/>
      <c r="D480" s="99"/>
      <c r="E480" s="99"/>
      <c r="F480" s="102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101"/>
    </row>
    <row r="481">
      <c r="A481" s="99"/>
      <c r="B481" s="99"/>
      <c r="C481" s="99"/>
      <c r="D481" s="99"/>
      <c r="E481" s="99"/>
      <c r="F481" s="102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101"/>
    </row>
    <row r="482">
      <c r="A482" s="99"/>
      <c r="B482" s="99"/>
      <c r="C482" s="99"/>
      <c r="D482" s="99"/>
      <c r="E482" s="99"/>
      <c r="F482" s="102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101"/>
    </row>
    <row r="483">
      <c r="A483" s="99"/>
      <c r="B483" s="99"/>
      <c r="C483" s="99"/>
      <c r="D483" s="99"/>
      <c r="E483" s="99"/>
      <c r="F483" s="102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101"/>
    </row>
    <row r="484">
      <c r="A484" s="99"/>
      <c r="B484" s="99"/>
      <c r="C484" s="99"/>
      <c r="D484" s="99"/>
      <c r="E484" s="99"/>
      <c r="F484" s="102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101"/>
    </row>
    <row r="485">
      <c r="A485" s="99"/>
      <c r="B485" s="99"/>
      <c r="C485" s="99"/>
      <c r="D485" s="99"/>
      <c r="E485" s="99"/>
      <c r="F485" s="102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101"/>
    </row>
    <row r="486">
      <c r="A486" s="99"/>
      <c r="B486" s="99"/>
      <c r="C486" s="99"/>
      <c r="D486" s="99"/>
      <c r="E486" s="99"/>
      <c r="F486" s="102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101"/>
    </row>
    <row r="487">
      <c r="A487" s="99"/>
      <c r="B487" s="99"/>
      <c r="C487" s="99"/>
      <c r="D487" s="99"/>
      <c r="E487" s="99"/>
      <c r="F487" s="102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101"/>
    </row>
    <row r="488">
      <c r="A488" s="99"/>
      <c r="B488" s="99"/>
      <c r="C488" s="99"/>
      <c r="D488" s="99"/>
      <c r="E488" s="99"/>
      <c r="F488" s="102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101"/>
    </row>
    <row r="489">
      <c r="A489" s="99"/>
      <c r="B489" s="99"/>
      <c r="C489" s="99"/>
      <c r="D489" s="99"/>
      <c r="E489" s="99"/>
      <c r="F489" s="102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101"/>
    </row>
    <row r="490">
      <c r="A490" s="99"/>
      <c r="B490" s="99"/>
      <c r="C490" s="99"/>
      <c r="D490" s="99"/>
      <c r="E490" s="99"/>
      <c r="F490" s="102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101"/>
    </row>
    <row r="491">
      <c r="A491" s="99"/>
      <c r="B491" s="99"/>
      <c r="C491" s="99"/>
      <c r="D491" s="99"/>
      <c r="E491" s="99"/>
      <c r="F491" s="102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101"/>
    </row>
    <row r="492">
      <c r="A492" s="99"/>
      <c r="B492" s="99"/>
      <c r="C492" s="99"/>
      <c r="D492" s="99"/>
      <c r="E492" s="99"/>
      <c r="F492" s="102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101"/>
    </row>
    <row r="493">
      <c r="A493" s="99"/>
      <c r="B493" s="99"/>
      <c r="C493" s="99"/>
      <c r="D493" s="99"/>
      <c r="E493" s="99"/>
      <c r="F493" s="102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101"/>
    </row>
    <row r="494">
      <c r="A494" s="99"/>
      <c r="B494" s="99"/>
      <c r="C494" s="99"/>
      <c r="D494" s="99"/>
      <c r="E494" s="99"/>
      <c r="F494" s="102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101"/>
    </row>
    <row r="495">
      <c r="A495" s="99"/>
      <c r="B495" s="99"/>
      <c r="C495" s="99"/>
      <c r="D495" s="99"/>
      <c r="E495" s="99"/>
      <c r="F495" s="102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101"/>
    </row>
    <row r="496">
      <c r="A496" s="99"/>
      <c r="B496" s="99"/>
      <c r="C496" s="99"/>
      <c r="D496" s="99"/>
      <c r="E496" s="99"/>
      <c r="F496" s="102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101"/>
    </row>
    <row r="497">
      <c r="A497" s="99"/>
      <c r="B497" s="99"/>
      <c r="C497" s="99"/>
      <c r="D497" s="99"/>
      <c r="E497" s="99"/>
      <c r="F497" s="102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101"/>
    </row>
    <row r="498">
      <c r="A498" s="99"/>
      <c r="B498" s="99"/>
      <c r="C498" s="99"/>
      <c r="D498" s="99"/>
      <c r="E498" s="99"/>
      <c r="F498" s="102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101"/>
    </row>
    <row r="499">
      <c r="A499" s="99"/>
      <c r="B499" s="99"/>
      <c r="C499" s="99"/>
      <c r="D499" s="99"/>
      <c r="E499" s="99"/>
      <c r="F499" s="102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101"/>
    </row>
    <row r="500">
      <c r="A500" s="99"/>
      <c r="B500" s="99"/>
      <c r="C500" s="99"/>
      <c r="D500" s="99"/>
      <c r="E500" s="99"/>
      <c r="F500" s="102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101"/>
    </row>
    <row r="501">
      <c r="A501" s="99"/>
      <c r="B501" s="99"/>
      <c r="C501" s="99"/>
      <c r="D501" s="99"/>
      <c r="E501" s="99"/>
      <c r="F501" s="102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101"/>
    </row>
    <row r="502">
      <c r="A502" s="99"/>
      <c r="B502" s="99"/>
      <c r="C502" s="99"/>
      <c r="D502" s="99"/>
      <c r="E502" s="99"/>
      <c r="F502" s="102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101"/>
    </row>
    <row r="503">
      <c r="A503" s="99"/>
      <c r="B503" s="99"/>
      <c r="C503" s="99"/>
      <c r="D503" s="99"/>
      <c r="E503" s="99"/>
      <c r="F503" s="102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101"/>
    </row>
    <row r="504">
      <c r="A504" s="99"/>
      <c r="B504" s="99"/>
      <c r="C504" s="99"/>
      <c r="D504" s="99"/>
      <c r="E504" s="99"/>
      <c r="F504" s="102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101"/>
    </row>
    <row r="505">
      <c r="A505" s="99"/>
      <c r="B505" s="99"/>
      <c r="C505" s="99"/>
      <c r="D505" s="99"/>
      <c r="E505" s="99"/>
      <c r="F505" s="102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101"/>
    </row>
    <row r="506">
      <c r="A506" s="99"/>
      <c r="B506" s="99"/>
      <c r="C506" s="99"/>
      <c r="D506" s="99"/>
      <c r="E506" s="99"/>
      <c r="F506" s="102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101"/>
    </row>
    <row r="507">
      <c r="A507" s="99"/>
      <c r="B507" s="99"/>
      <c r="C507" s="99"/>
      <c r="D507" s="99"/>
      <c r="E507" s="99"/>
      <c r="F507" s="102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101"/>
    </row>
    <row r="508">
      <c r="A508" s="99"/>
      <c r="B508" s="99"/>
      <c r="C508" s="99"/>
      <c r="D508" s="99"/>
      <c r="E508" s="99"/>
      <c r="F508" s="102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101"/>
    </row>
    <row r="509">
      <c r="A509" s="99"/>
      <c r="B509" s="99"/>
      <c r="C509" s="99"/>
      <c r="D509" s="99"/>
      <c r="E509" s="99"/>
      <c r="F509" s="102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101"/>
    </row>
    <row r="510">
      <c r="A510" s="99"/>
      <c r="B510" s="99"/>
      <c r="C510" s="99"/>
      <c r="D510" s="99"/>
      <c r="E510" s="99"/>
      <c r="F510" s="102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101"/>
    </row>
    <row r="511">
      <c r="A511" s="99"/>
      <c r="B511" s="99"/>
      <c r="C511" s="99"/>
      <c r="D511" s="99"/>
      <c r="E511" s="99"/>
      <c r="F511" s="102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101"/>
    </row>
    <row r="512">
      <c r="A512" s="99"/>
      <c r="B512" s="99"/>
      <c r="C512" s="99"/>
      <c r="D512" s="99"/>
      <c r="E512" s="99"/>
      <c r="F512" s="102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101"/>
    </row>
    <row r="513">
      <c r="A513" s="99"/>
      <c r="B513" s="99"/>
      <c r="C513" s="99"/>
      <c r="D513" s="99"/>
      <c r="E513" s="99"/>
      <c r="F513" s="102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101"/>
    </row>
    <row r="514">
      <c r="A514" s="99"/>
      <c r="B514" s="99"/>
      <c r="C514" s="99"/>
      <c r="D514" s="99"/>
      <c r="E514" s="99"/>
      <c r="F514" s="102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101"/>
    </row>
    <row r="515">
      <c r="A515" s="99"/>
      <c r="B515" s="99"/>
      <c r="C515" s="99"/>
      <c r="D515" s="99"/>
      <c r="E515" s="99"/>
      <c r="F515" s="102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101"/>
    </row>
    <row r="516">
      <c r="A516" s="99"/>
      <c r="B516" s="99"/>
      <c r="C516" s="99"/>
      <c r="D516" s="99"/>
      <c r="E516" s="99"/>
      <c r="F516" s="102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101"/>
    </row>
    <row r="517">
      <c r="A517" s="99"/>
      <c r="B517" s="99"/>
      <c r="C517" s="99"/>
      <c r="D517" s="99"/>
      <c r="E517" s="99"/>
      <c r="F517" s="102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101"/>
    </row>
    <row r="518">
      <c r="A518" s="99"/>
      <c r="B518" s="99"/>
      <c r="C518" s="99"/>
      <c r="D518" s="99"/>
      <c r="E518" s="99"/>
      <c r="F518" s="102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101"/>
    </row>
    <row r="519">
      <c r="A519" s="99"/>
      <c r="B519" s="99"/>
      <c r="C519" s="99"/>
      <c r="D519" s="99"/>
      <c r="E519" s="99"/>
      <c r="F519" s="102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101"/>
    </row>
    <row r="520">
      <c r="A520" s="99"/>
      <c r="B520" s="99"/>
      <c r="C520" s="99"/>
      <c r="D520" s="99"/>
      <c r="E520" s="99"/>
      <c r="F520" s="102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101"/>
    </row>
    <row r="521">
      <c r="A521" s="99"/>
      <c r="B521" s="99"/>
      <c r="C521" s="99"/>
      <c r="D521" s="99"/>
      <c r="E521" s="99"/>
      <c r="F521" s="102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101"/>
    </row>
    <row r="522">
      <c r="A522" s="99"/>
      <c r="B522" s="99"/>
      <c r="C522" s="99"/>
      <c r="D522" s="99"/>
      <c r="E522" s="99"/>
      <c r="F522" s="102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101"/>
    </row>
    <row r="523">
      <c r="A523" s="99"/>
      <c r="B523" s="99"/>
      <c r="C523" s="99"/>
      <c r="D523" s="99"/>
      <c r="E523" s="99"/>
      <c r="F523" s="102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101"/>
    </row>
    <row r="524">
      <c r="A524" s="99"/>
      <c r="B524" s="99"/>
      <c r="C524" s="99"/>
      <c r="D524" s="99"/>
      <c r="E524" s="99"/>
      <c r="F524" s="102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101"/>
    </row>
    <row r="525">
      <c r="A525" s="99"/>
      <c r="B525" s="99"/>
      <c r="C525" s="99"/>
      <c r="D525" s="99"/>
      <c r="E525" s="99"/>
      <c r="F525" s="102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101"/>
    </row>
    <row r="526">
      <c r="A526" s="99"/>
      <c r="B526" s="99"/>
      <c r="C526" s="99"/>
      <c r="D526" s="99"/>
      <c r="E526" s="99"/>
      <c r="F526" s="102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101"/>
    </row>
    <row r="527">
      <c r="A527" s="99"/>
      <c r="B527" s="99"/>
      <c r="C527" s="99"/>
      <c r="D527" s="99"/>
      <c r="E527" s="99"/>
      <c r="F527" s="102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101"/>
    </row>
    <row r="528">
      <c r="A528" s="99"/>
      <c r="B528" s="99"/>
      <c r="C528" s="99"/>
      <c r="D528" s="99"/>
      <c r="E528" s="99"/>
      <c r="F528" s="102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101"/>
    </row>
    <row r="529">
      <c r="A529" s="99"/>
      <c r="B529" s="99"/>
      <c r="C529" s="99"/>
      <c r="D529" s="99"/>
      <c r="E529" s="99"/>
      <c r="F529" s="102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101"/>
    </row>
    <row r="530">
      <c r="A530" s="99"/>
      <c r="B530" s="99"/>
      <c r="C530" s="99"/>
      <c r="D530" s="99"/>
      <c r="E530" s="99"/>
      <c r="F530" s="102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101"/>
    </row>
    <row r="531">
      <c r="A531" s="99"/>
      <c r="B531" s="99"/>
      <c r="C531" s="99"/>
      <c r="D531" s="99"/>
      <c r="E531" s="99"/>
      <c r="F531" s="102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101"/>
    </row>
    <row r="532">
      <c r="A532" s="99"/>
      <c r="B532" s="99"/>
      <c r="C532" s="99"/>
      <c r="D532" s="99"/>
      <c r="E532" s="99"/>
      <c r="F532" s="102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101"/>
    </row>
    <row r="533">
      <c r="A533" s="99"/>
      <c r="B533" s="99"/>
      <c r="C533" s="99"/>
      <c r="D533" s="99"/>
      <c r="E533" s="99"/>
      <c r="F533" s="102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101"/>
    </row>
    <row r="534">
      <c r="A534" s="99"/>
      <c r="B534" s="99"/>
      <c r="C534" s="99"/>
      <c r="D534" s="99"/>
      <c r="E534" s="99"/>
      <c r="F534" s="102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101"/>
    </row>
    <row r="535">
      <c r="A535" s="99"/>
      <c r="B535" s="99"/>
      <c r="C535" s="99"/>
      <c r="D535" s="99"/>
      <c r="E535" s="99"/>
      <c r="F535" s="102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101"/>
    </row>
    <row r="536">
      <c r="A536" s="99"/>
      <c r="B536" s="99"/>
      <c r="C536" s="99"/>
      <c r="D536" s="99"/>
      <c r="E536" s="99"/>
      <c r="F536" s="102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101"/>
    </row>
    <row r="537">
      <c r="A537" s="99"/>
      <c r="B537" s="99"/>
      <c r="C537" s="99"/>
      <c r="D537" s="99"/>
      <c r="E537" s="99"/>
      <c r="F537" s="102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101"/>
    </row>
    <row r="538">
      <c r="A538" s="99"/>
      <c r="B538" s="99"/>
      <c r="C538" s="99"/>
      <c r="D538" s="99"/>
      <c r="E538" s="99"/>
      <c r="F538" s="102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101"/>
    </row>
    <row r="539">
      <c r="A539" s="99"/>
      <c r="B539" s="99"/>
      <c r="C539" s="99"/>
      <c r="D539" s="99"/>
      <c r="E539" s="99"/>
      <c r="F539" s="102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101"/>
    </row>
    <row r="540">
      <c r="A540" s="99"/>
      <c r="B540" s="99"/>
      <c r="C540" s="99"/>
      <c r="D540" s="99"/>
      <c r="E540" s="99"/>
      <c r="F540" s="102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101"/>
    </row>
    <row r="541">
      <c r="A541" s="99"/>
      <c r="B541" s="99"/>
      <c r="C541" s="99"/>
      <c r="D541" s="99"/>
      <c r="E541" s="99"/>
      <c r="F541" s="102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101"/>
    </row>
    <row r="542">
      <c r="A542" s="99"/>
      <c r="B542" s="99"/>
      <c r="C542" s="99"/>
      <c r="D542" s="99"/>
      <c r="E542" s="99"/>
      <c r="F542" s="102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101"/>
    </row>
    <row r="543">
      <c r="A543" s="99"/>
      <c r="B543" s="99"/>
      <c r="C543" s="99"/>
      <c r="D543" s="99"/>
      <c r="E543" s="99"/>
      <c r="F543" s="102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101"/>
    </row>
    <row r="544">
      <c r="A544" s="99"/>
      <c r="B544" s="99"/>
      <c r="C544" s="99"/>
      <c r="D544" s="99"/>
      <c r="E544" s="99"/>
      <c r="F544" s="102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101"/>
    </row>
    <row r="545">
      <c r="A545" s="99"/>
      <c r="B545" s="99"/>
      <c r="C545" s="99"/>
      <c r="D545" s="99"/>
      <c r="E545" s="99"/>
      <c r="F545" s="102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101"/>
    </row>
    <row r="546">
      <c r="A546" s="99"/>
      <c r="B546" s="99"/>
      <c r="C546" s="99"/>
      <c r="D546" s="99"/>
      <c r="E546" s="99"/>
      <c r="F546" s="102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101"/>
    </row>
    <row r="547">
      <c r="A547" s="99"/>
      <c r="B547" s="99"/>
      <c r="C547" s="99"/>
      <c r="D547" s="99"/>
      <c r="E547" s="99"/>
      <c r="F547" s="102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101"/>
    </row>
    <row r="548">
      <c r="A548" s="99"/>
      <c r="B548" s="99"/>
      <c r="C548" s="99"/>
      <c r="D548" s="99"/>
      <c r="E548" s="99"/>
      <c r="F548" s="102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101"/>
    </row>
    <row r="549">
      <c r="A549" s="99"/>
      <c r="B549" s="99"/>
      <c r="C549" s="99"/>
      <c r="D549" s="99"/>
      <c r="E549" s="99"/>
      <c r="F549" s="102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101"/>
    </row>
    <row r="550">
      <c r="A550" s="99"/>
      <c r="B550" s="99"/>
      <c r="C550" s="99"/>
      <c r="D550" s="99"/>
      <c r="E550" s="99"/>
      <c r="F550" s="102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101"/>
    </row>
    <row r="551">
      <c r="A551" s="99"/>
      <c r="B551" s="99"/>
      <c r="C551" s="99"/>
      <c r="D551" s="99"/>
      <c r="E551" s="99"/>
      <c r="F551" s="102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101"/>
    </row>
    <row r="552">
      <c r="A552" s="99"/>
      <c r="B552" s="99"/>
      <c r="C552" s="99"/>
      <c r="D552" s="99"/>
      <c r="E552" s="99"/>
      <c r="F552" s="102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101"/>
    </row>
    <row r="553">
      <c r="A553" s="99"/>
      <c r="B553" s="99"/>
      <c r="C553" s="99"/>
      <c r="D553" s="99"/>
      <c r="E553" s="99"/>
      <c r="F553" s="102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101"/>
    </row>
    <row r="554">
      <c r="A554" s="99"/>
      <c r="B554" s="99"/>
      <c r="C554" s="99"/>
      <c r="D554" s="99"/>
      <c r="E554" s="99"/>
      <c r="F554" s="102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101"/>
    </row>
    <row r="555">
      <c r="A555" s="99"/>
      <c r="B555" s="99"/>
      <c r="C555" s="99"/>
      <c r="D555" s="99"/>
      <c r="E555" s="99"/>
      <c r="F555" s="102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101"/>
    </row>
    <row r="556">
      <c r="A556" s="99"/>
      <c r="B556" s="99"/>
      <c r="C556" s="99"/>
      <c r="D556" s="99"/>
      <c r="E556" s="99"/>
      <c r="F556" s="102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101"/>
    </row>
    <row r="557">
      <c r="A557" s="99"/>
      <c r="B557" s="99"/>
      <c r="C557" s="99"/>
      <c r="D557" s="99"/>
      <c r="E557" s="99"/>
      <c r="F557" s="102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101"/>
    </row>
    <row r="558">
      <c r="A558" s="99"/>
      <c r="B558" s="99"/>
      <c r="C558" s="99"/>
      <c r="D558" s="99"/>
      <c r="E558" s="99"/>
      <c r="F558" s="102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101"/>
    </row>
    <row r="559">
      <c r="A559" s="99"/>
      <c r="B559" s="99"/>
      <c r="C559" s="99"/>
      <c r="D559" s="99"/>
      <c r="E559" s="99"/>
      <c r="F559" s="102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101"/>
    </row>
    <row r="560">
      <c r="A560" s="99"/>
      <c r="B560" s="99"/>
      <c r="C560" s="99"/>
      <c r="D560" s="99"/>
      <c r="E560" s="99"/>
      <c r="F560" s="102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101"/>
    </row>
    <row r="561">
      <c r="A561" s="99"/>
      <c r="B561" s="99"/>
      <c r="C561" s="99"/>
      <c r="D561" s="99"/>
      <c r="E561" s="99"/>
      <c r="F561" s="102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101"/>
    </row>
    <row r="562">
      <c r="A562" s="99"/>
      <c r="B562" s="99"/>
      <c r="C562" s="99"/>
      <c r="D562" s="99"/>
      <c r="E562" s="99"/>
      <c r="F562" s="102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101"/>
    </row>
    <row r="563">
      <c r="A563" s="99"/>
      <c r="B563" s="99"/>
      <c r="C563" s="99"/>
      <c r="D563" s="99"/>
      <c r="E563" s="99"/>
      <c r="F563" s="102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101"/>
    </row>
    <row r="564">
      <c r="A564" s="99"/>
      <c r="B564" s="99"/>
      <c r="C564" s="99"/>
      <c r="D564" s="99"/>
      <c r="E564" s="99"/>
      <c r="F564" s="102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101"/>
    </row>
    <row r="565">
      <c r="A565" s="99"/>
      <c r="B565" s="99"/>
      <c r="C565" s="99"/>
      <c r="D565" s="99"/>
      <c r="E565" s="99"/>
      <c r="F565" s="102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101"/>
    </row>
    <row r="566">
      <c r="A566" s="99"/>
      <c r="B566" s="99"/>
      <c r="C566" s="99"/>
      <c r="D566" s="99"/>
      <c r="E566" s="99"/>
      <c r="F566" s="102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101"/>
    </row>
    <row r="567">
      <c r="A567" s="99"/>
      <c r="B567" s="99"/>
      <c r="C567" s="99"/>
      <c r="D567" s="99"/>
      <c r="E567" s="99"/>
      <c r="F567" s="102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101"/>
    </row>
    <row r="568">
      <c r="A568" s="99"/>
      <c r="B568" s="99"/>
      <c r="C568" s="99"/>
      <c r="D568" s="99"/>
      <c r="E568" s="99"/>
      <c r="F568" s="102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101"/>
    </row>
    <row r="569">
      <c r="A569" s="99"/>
      <c r="B569" s="99"/>
      <c r="C569" s="99"/>
      <c r="D569" s="99"/>
      <c r="E569" s="99"/>
      <c r="F569" s="102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101"/>
    </row>
    <row r="570">
      <c r="A570" s="99"/>
      <c r="B570" s="99"/>
      <c r="C570" s="99"/>
      <c r="D570" s="99"/>
      <c r="E570" s="99"/>
      <c r="F570" s="102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101"/>
    </row>
    <row r="571">
      <c r="A571" s="99"/>
      <c r="B571" s="99"/>
      <c r="C571" s="99"/>
      <c r="D571" s="99"/>
      <c r="E571" s="99"/>
      <c r="F571" s="102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101"/>
    </row>
    <row r="572">
      <c r="A572" s="99"/>
      <c r="B572" s="99"/>
      <c r="C572" s="99"/>
      <c r="D572" s="99"/>
      <c r="E572" s="99"/>
      <c r="F572" s="102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101"/>
    </row>
    <row r="573">
      <c r="A573" s="99"/>
      <c r="B573" s="99"/>
      <c r="C573" s="99"/>
      <c r="D573" s="99"/>
      <c r="E573" s="99"/>
      <c r="F573" s="102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101"/>
    </row>
    <row r="574">
      <c r="A574" s="99"/>
      <c r="B574" s="99"/>
      <c r="C574" s="99"/>
      <c r="D574" s="99"/>
      <c r="E574" s="99"/>
      <c r="F574" s="102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101"/>
    </row>
    <row r="575">
      <c r="A575" s="99"/>
      <c r="B575" s="99"/>
      <c r="C575" s="99"/>
      <c r="D575" s="99"/>
      <c r="E575" s="99"/>
      <c r="F575" s="102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101"/>
    </row>
    <row r="576">
      <c r="A576" s="99"/>
      <c r="B576" s="99"/>
      <c r="C576" s="99"/>
      <c r="D576" s="99"/>
      <c r="E576" s="99"/>
      <c r="F576" s="102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101"/>
    </row>
    <row r="577">
      <c r="A577" s="99"/>
      <c r="B577" s="99"/>
      <c r="C577" s="99"/>
      <c r="D577" s="99"/>
      <c r="E577" s="99"/>
      <c r="F577" s="102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101"/>
    </row>
    <row r="578">
      <c r="A578" s="99"/>
      <c r="B578" s="99"/>
      <c r="C578" s="99"/>
      <c r="D578" s="99"/>
      <c r="E578" s="99"/>
      <c r="F578" s="102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101"/>
    </row>
    <row r="579">
      <c r="A579" s="99"/>
      <c r="B579" s="99"/>
      <c r="C579" s="99"/>
      <c r="D579" s="99"/>
      <c r="E579" s="99"/>
      <c r="F579" s="102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101"/>
    </row>
    <row r="580">
      <c r="A580" s="99"/>
      <c r="B580" s="99"/>
      <c r="C580" s="99"/>
      <c r="D580" s="99"/>
      <c r="E580" s="99"/>
      <c r="F580" s="102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101"/>
    </row>
    <row r="581">
      <c r="A581" s="99"/>
      <c r="B581" s="99"/>
      <c r="C581" s="99"/>
      <c r="D581" s="99"/>
      <c r="E581" s="99"/>
      <c r="F581" s="102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101"/>
    </row>
    <row r="582">
      <c r="A582" s="99"/>
      <c r="B582" s="99"/>
      <c r="C582" s="99"/>
      <c r="D582" s="99"/>
      <c r="E582" s="99"/>
      <c r="F582" s="102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101"/>
    </row>
    <row r="583">
      <c r="A583" s="99"/>
      <c r="B583" s="99"/>
      <c r="C583" s="99"/>
      <c r="D583" s="99"/>
      <c r="E583" s="99"/>
      <c r="F583" s="102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101"/>
    </row>
    <row r="584">
      <c r="A584" s="99"/>
      <c r="B584" s="99"/>
      <c r="C584" s="99"/>
      <c r="D584" s="99"/>
      <c r="E584" s="99"/>
      <c r="F584" s="102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101"/>
    </row>
    <row r="585">
      <c r="A585" s="99"/>
      <c r="B585" s="99"/>
      <c r="C585" s="99"/>
      <c r="D585" s="99"/>
      <c r="E585" s="99"/>
      <c r="F585" s="102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101"/>
    </row>
    <row r="586">
      <c r="A586" s="99"/>
      <c r="B586" s="99"/>
      <c r="C586" s="99"/>
      <c r="D586" s="99"/>
      <c r="E586" s="99"/>
      <c r="F586" s="102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101"/>
    </row>
    <row r="587">
      <c r="A587" s="99"/>
      <c r="B587" s="99"/>
      <c r="C587" s="99"/>
      <c r="D587" s="99"/>
      <c r="E587" s="99"/>
      <c r="F587" s="102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101"/>
    </row>
    <row r="588">
      <c r="A588" s="99"/>
      <c r="B588" s="99"/>
      <c r="C588" s="99"/>
      <c r="D588" s="99"/>
      <c r="E588" s="99"/>
      <c r="F588" s="102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101"/>
    </row>
    <row r="589">
      <c r="A589" s="99"/>
      <c r="B589" s="99"/>
      <c r="C589" s="99"/>
      <c r="D589" s="99"/>
      <c r="E589" s="99"/>
      <c r="F589" s="102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101"/>
    </row>
    <row r="590">
      <c r="A590" s="99"/>
      <c r="B590" s="99"/>
      <c r="C590" s="99"/>
      <c r="D590" s="99"/>
      <c r="E590" s="99"/>
      <c r="F590" s="102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101"/>
    </row>
    <row r="591">
      <c r="A591" s="99"/>
      <c r="B591" s="99"/>
      <c r="C591" s="99"/>
      <c r="D591" s="99"/>
      <c r="E591" s="99"/>
      <c r="F591" s="102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101"/>
    </row>
    <row r="592">
      <c r="A592" s="99"/>
      <c r="B592" s="99"/>
      <c r="C592" s="99"/>
      <c r="D592" s="99"/>
      <c r="E592" s="99"/>
      <c r="F592" s="102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101"/>
    </row>
    <row r="593">
      <c r="A593" s="99"/>
      <c r="B593" s="99"/>
      <c r="C593" s="99"/>
      <c r="D593" s="99"/>
      <c r="E593" s="99"/>
      <c r="F593" s="102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101"/>
    </row>
    <row r="594">
      <c r="A594" s="99"/>
      <c r="B594" s="99"/>
      <c r="C594" s="99"/>
      <c r="D594" s="99"/>
      <c r="E594" s="99"/>
      <c r="F594" s="102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101"/>
    </row>
    <row r="595">
      <c r="A595" s="99"/>
      <c r="B595" s="99"/>
      <c r="C595" s="99"/>
      <c r="D595" s="99"/>
      <c r="E595" s="99"/>
      <c r="F595" s="102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101"/>
    </row>
    <row r="596">
      <c r="A596" s="99"/>
      <c r="B596" s="99"/>
      <c r="C596" s="99"/>
      <c r="D596" s="99"/>
      <c r="E596" s="99"/>
      <c r="F596" s="102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101"/>
    </row>
    <row r="597">
      <c r="A597" s="99"/>
      <c r="B597" s="99"/>
      <c r="C597" s="99"/>
      <c r="D597" s="99"/>
      <c r="E597" s="99"/>
      <c r="F597" s="102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101"/>
    </row>
    <row r="598">
      <c r="A598" s="99"/>
      <c r="B598" s="99"/>
      <c r="C598" s="99"/>
      <c r="D598" s="99"/>
      <c r="E598" s="99"/>
      <c r="F598" s="102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101"/>
    </row>
    <row r="599">
      <c r="A599" s="99"/>
      <c r="B599" s="99"/>
      <c r="C599" s="99"/>
      <c r="D599" s="99"/>
      <c r="E599" s="99"/>
      <c r="F599" s="102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101"/>
    </row>
    <row r="600">
      <c r="A600" s="99"/>
      <c r="B600" s="99"/>
      <c r="C600" s="99"/>
      <c r="D600" s="99"/>
      <c r="E600" s="99"/>
      <c r="F600" s="102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101"/>
    </row>
    <row r="601">
      <c r="A601" s="99"/>
      <c r="B601" s="99"/>
      <c r="C601" s="99"/>
      <c r="D601" s="99"/>
      <c r="E601" s="99"/>
      <c r="F601" s="102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101"/>
    </row>
    <row r="602">
      <c r="A602" s="99"/>
      <c r="B602" s="99"/>
      <c r="C602" s="99"/>
      <c r="D602" s="99"/>
      <c r="E602" s="99"/>
      <c r="F602" s="102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101"/>
    </row>
    <row r="603">
      <c r="A603" s="99"/>
      <c r="B603" s="99"/>
      <c r="C603" s="99"/>
      <c r="D603" s="99"/>
      <c r="E603" s="99"/>
      <c r="F603" s="102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101"/>
    </row>
    <row r="604">
      <c r="A604" s="99"/>
      <c r="B604" s="99"/>
      <c r="C604" s="99"/>
      <c r="D604" s="99"/>
      <c r="E604" s="99"/>
      <c r="F604" s="102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101"/>
    </row>
    <row r="605">
      <c r="A605" s="99"/>
      <c r="B605" s="99"/>
      <c r="C605" s="99"/>
      <c r="D605" s="99"/>
      <c r="E605" s="99"/>
      <c r="F605" s="102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101"/>
    </row>
    <row r="606">
      <c r="A606" s="99"/>
      <c r="B606" s="99"/>
      <c r="C606" s="99"/>
      <c r="D606" s="99"/>
      <c r="E606" s="99"/>
      <c r="F606" s="102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101"/>
    </row>
    <row r="607">
      <c r="A607" s="99"/>
      <c r="B607" s="99"/>
      <c r="C607" s="99"/>
      <c r="D607" s="99"/>
      <c r="E607" s="99"/>
      <c r="F607" s="102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101"/>
    </row>
    <row r="608">
      <c r="A608" s="99"/>
      <c r="B608" s="99"/>
      <c r="C608" s="99"/>
      <c r="D608" s="99"/>
      <c r="E608" s="99"/>
      <c r="F608" s="102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101"/>
    </row>
    <row r="609">
      <c r="A609" s="99"/>
      <c r="B609" s="99"/>
      <c r="C609" s="99"/>
      <c r="D609" s="99"/>
      <c r="E609" s="99"/>
      <c r="F609" s="102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101"/>
    </row>
    <row r="610">
      <c r="A610" s="99"/>
      <c r="B610" s="99"/>
      <c r="C610" s="99"/>
      <c r="D610" s="99"/>
      <c r="E610" s="99"/>
      <c r="F610" s="102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101"/>
    </row>
    <row r="611">
      <c r="A611" s="99"/>
      <c r="B611" s="99"/>
      <c r="C611" s="99"/>
      <c r="D611" s="99"/>
      <c r="E611" s="99"/>
      <c r="F611" s="102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101"/>
    </row>
    <row r="612">
      <c r="A612" s="99"/>
      <c r="B612" s="99"/>
      <c r="C612" s="99"/>
      <c r="D612" s="99"/>
      <c r="E612" s="99"/>
      <c r="F612" s="102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101"/>
    </row>
    <row r="613">
      <c r="A613" s="99"/>
      <c r="B613" s="99"/>
      <c r="C613" s="99"/>
      <c r="D613" s="99"/>
      <c r="E613" s="99"/>
      <c r="F613" s="102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101"/>
    </row>
    <row r="614">
      <c r="A614" s="99"/>
      <c r="B614" s="99"/>
      <c r="C614" s="99"/>
      <c r="D614" s="99"/>
      <c r="E614" s="99"/>
      <c r="F614" s="102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101"/>
    </row>
    <row r="615">
      <c r="A615" s="99"/>
      <c r="B615" s="99"/>
      <c r="C615" s="99"/>
      <c r="D615" s="99"/>
      <c r="E615" s="99"/>
      <c r="F615" s="102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101"/>
    </row>
    <row r="616">
      <c r="A616" s="99"/>
      <c r="B616" s="99"/>
      <c r="C616" s="99"/>
      <c r="D616" s="99"/>
      <c r="E616" s="99"/>
      <c r="F616" s="102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101"/>
    </row>
    <row r="617">
      <c r="A617" s="99"/>
      <c r="B617" s="99"/>
      <c r="C617" s="99"/>
      <c r="D617" s="99"/>
      <c r="E617" s="99"/>
      <c r="F617" s="102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101"/>
    </row>
    <row r="618">
      <c r="A618" s="99"/>
      <c r="B618" s="99"/>
      <c r="C618" s="99"/>
      <c r="D618" s="99"/>
      <c r="E618" s="99"/>
      <c r="F618" s="102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101"/>
    </row>
    <row r="619">
      <c r="A619" s="99"/>
      <c r="B619" s="99"/>
      <c r="C619" s="99"/>
      <c r="D619" s="99"/>
      <c r="E619" s="99"/>
      <c r="F619" s="102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101"/>
    </row>
    <row r="620">
      <c r="A620" s="99"/>
      <c r="B620" s="99"/>
      <c r="C620" s="99"/>
      <c r="D620" s="99"/>
      <c r="E620" s="99"/>
      <c r="F620" s="102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101"/>
    </row>
    <row r="621">
      <c r="A621" s="99"/>
      <c r="B621" s="99"/>
      <c r="C621" s="99"/>
      <c r="D621" s="99"/>
      <c r="E621" s="99"/>
      <c r="F621" s="102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101"/>
    </row>
    <row r="622">
      <c r="A622" s="99"/>
      <c r="B622" s="99"/>
      <c r="C622" s="99"/>
      <c r="D622" s="99"/>
      <c r="E622" s="99"/>
      <c r="F622" s="102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101"/>
    </row>
    <row r="623">
      <c r="A623" s="99"/>
      <c r="B623" s="99"/>
      <c r="C623" s="99"/>
      <c r="D623" s="99"/>
      <c r="E623" s="99"/>
      <c r="F623" s="102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101"/>
    </row>
    <row r="624">
      <c r="A624" s="99"/>
      <c r="B624" s="99"/>
      <c r="C624" s="99"/>
      <c r="D624" s="99"/>
      <c r="E624" s="99"/>
      <c r="F624" s="102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101"/>
    </row>
    <row r="625">
      <c r="A625" s="99"/>
      <c r="B625" s="99"/>
      <c r="C625" s="99"/>
      <c r="D625" s="99"/>
      <c r="E625" s="99"/>
      <c r="F625" s="102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101"/>
    </row>
    <row r="626">
      <c r="A626" s="99"/>
      <c r="B626" s="99"/>
      <c r="C626" s="99"/>
      <c r="D626" s="99"/>
      <c r="E626" s="99"/>
      <c r="F626" s="102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101"/>
    </row>
    <row r="627">
      <c r="A627" s="99"/>
      <c r="B627" s="99"/>
      <c r="C627" s="99"/>
      <c r="D627" s="99"/>
      <c r="E627" s="99"/>
      <c r="F627" s="102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101"/>
    </row>
    <row r="628">
      <c r="A628" s="99"/>
      <c r="B628" s="99"/>
      <c r="C628" s="99"/>
      <c r="D628" s="99"/>
      <c r="E628" s="99"/>
      <c r="F628" s="102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101"/>
    </row>
    <row r="629">
      <c r="A629" s="99"/>
      <c r="B629" s="99"/>
      <c r="C629" s="99"/>
      <c r="D629" s="99"/>
      <c r="E629" s="99"/>
      <c r="F629" s="102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101"/>
    </row>
    <row r="630">
      <c r="A630" s="99"/>
      <c r="B630" s="99"/>
      <c r="C630" s="99"/>
      <c r="D630" s="99"/>
      <c r="E630" s="99"/>
      <c r="F630" s="102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101"/>
    </row>
    <row r="631">
      <c r="A631" s="99"/>
      <c r="B631" s="99"/>
      <c r="C631" s="99"/>
      <c r="D631" s="99"/>
      <c r="E631" s="99"/>
      <c r="F631" s="102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101"/>
    </row>
    <row r="632">
      <c r="A632" s="99"/>
      <c r="B632" s="99"/>
      <c r="C632" s="99"/>
      <c r="D632" s="99"/>
      <c r="E632" s="99"/>
      <c r="F632" s="102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101"/>
    </row>
    <row r="633">
      <c r="A633" s="99"/>
      <c r="B633" s="99"/>
      <c r="C633" s="99"/>
      <c r="D633" s="99"/>
      <c r="E633" s="99"/>
      <c r="F633" s="102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101"/>
    </row>
    <row r="634">
      <c r="A634" s="99"/>
      <c r="B634" s="99"/>
      <c r="C634" s="99"/>
      <c r="D634" s="99"/>
      <c r="E634" s="99"/>
      <c r="F634" s="102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101"/>
    </row>
    <row r="635">
      <c r="A635" s="99"/>
      <c r="B635" s="99"/>
      <c r="C635" s="99"/>
      <c r="D635" s="99"/>
      <c r="E635" s="99"/>
      <c r="F635" s="102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101"/>
    </row>
    <row r="636">
      <c r="A636" s="99"/>
      <c r="B636" s="99"/>
      <c r="C636" s="99"/>
      <c r="D636" s="99"/>
      <c r="E636" s="99"/>
      <c r="F636" s="102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101"/>
    </row>
    <row r="637">
      <c r="A637" s="99"/>
      <c r="B637" s="99"/>
      <c r="C637" s="99"/>
      <c r="D637" s="99"/>
      <c r="E637" s="99"/>
      <c r="F637" s="102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101"/>
    </row>
    <row r="638">
      <c r="A638" s="99"/>
      <c r="B638" s="99"/>
      <c r="C638" s="99"/>
      <c r="D638" s="99"/>
      <c r="E638" s="99"/>
      <c r="F638" s="102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101"/>
    </row>
    <row r="639">
      <c r="A639" s="99"/>
      <c r="B639" s="99"/>
      <c r="C639" s="99"/>
      <c r="D639" s="99"/>
      <c r="E639" s="99"/>
      <c r="F639" s="102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101"/>
    </row>
    <row r="640">
      <c r="A640" s="99"/>
      <c r="B640" s="99"/>
      <c r="C640" s="99"/>
      <c r="D640" s="99"/>
      <c r="E640" s="99"/>
      <c r="F640" s="102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101"/>
    </row>
    <row r="641">
      <c r="A641" s="99"/>
      <c r="B641" s="99"/>
      <c r="C641" s="99"/>
      <c r="D641" s="99"/>
      <c r="E641" s="99"/>
      <c r="F641" s="102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101"/>
    </row>
    <row r="642">
      <c r="A642" s="99"/>
      <c r="B642" s="99"/>
      <c r="C642" s="99"/>
      <c r="D642" s="99"/>
      <c r="E642" s="99"/>
      <c r="F642" s="102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101"/>
    </row>
    <row r="643">
      <c r="A643" s="99"/>
      <c r="B643" s="99"/>
      <c r="C643" s="99"/>
      <c r="D643" s="99"/>
      <c r="E643" s="99"/>
      <c r="F643" s="102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101"/>
    </row>
    <row r="644">
      <c r="A644" s="99"/>
      <c r="B644" s="99"/>
      <c r="C644" s="99"/>
      <c r="D644" s="99"/>
      <c r="E644" s="99"/>
      <c r="F644" s="102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101"/>
    </row>
    <row r="645">
      <c r="A645" s="99"/>
      <c r="B645" s="99"/>
      <c r="C645" s="99"/>
      <c r="D645" s="99"/>
      <c r="E645" s="99"/>
      <c r="F645" s="102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101"/>
    </row>
    <row r="646">
      <c r="A646" s="99"/>
      <c r="B646" s="99"/>
      <c r="C646" s="99"/>
      <c r="D646" s="99"/>
      <c r="E646" s="99"/>
      <c r="F646" s="102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101"/>
    </row>
    <row r="647">
      <c r="A647" s="99"/>
      <c r="B647" s="99"/>
      <c r="C647" s="99"/>
      <c r="D647" s="99"/>
      <c r="E647" s="99"/>
      <c r="F647" s="102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101"/>
    </row>
    <row r="648">
      <c r="A648" s="99"/>
      <c r="B648" s="99"/>
      <c r="C648" s="99"/>
      <c r="D648" s="99"/>
      <c r="E648" s="99"/>
      <c r="F648" s="102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101"/>
    </row>
    <row r="649">
      <c r="A649" s="99"/>
      <c r="B649" s="99"/>
      <c r="C649" s="99"/>
      <c r="D649" s="99"/>
      <c r="E649" s="99"/>
      <c r="F649" s="102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101"/>
    </row>
    <row r="650">
      <c r="A650" s="99"/>
      <c r="B650" s="99"/>
      <c r="C650" s="99"/>
      <c r="D650" s="99"/>
      <c r="E650" s="99"/>
      <c r="F650" s="102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101"/>
    </row>
    <row r="651">
      <c r="A651" s="99"/>
      <c r="B651" s="99"/>
      <c r="C651" s="99"/>
      <c r="D651" s="99"/>
      <c r="E651" s="99"/>
      <c r="F651" s="102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101"/>
    </row>
    <row r="652">
      <c r="A652" s="99"/>
      <c r="B652" s="99"/>
      <c r="C652" s="99"/>
      <c r="D652" s="99"/>
      <c r="E652" s="99"/>
      <c r="F652" s="102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101"/>
    </row>
    <row r="653">
      <c r="A653" s="99"/>
      <c r="B653" s="99"/>
      <c r="C653" s="99"/>
      <c r="D653" s="99"/>
      <c r="E653" s="99"/>
      <c r="F653" s="102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101"/>
    </row>
    <row r="654">
      <c r="A654" s="99"/>
      <c r="B654" s="99"/>
      <c r="C654" s="99"/>
      <c r="D654" s="99"/>
      <c r="E654" s="99"/>
      <c r="F654" s="102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101"/>
    </row>
    <row r="655">
      <c r="A655" s="99"/>
      <c r="B655" s="99"/>
      <c r="C655" s="99"/>
      <c r="D655" s="99"/>
      <c r="E655" s="99"/>
      <c r="F655" s="102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101"/>
    </row>
    <row r="656">
      <c r="A656" s="99"/>
      <c r="B656" s="99"/>
      <c r="C656" s="99"/>
      <c r="D656" s="99"/>
      <c r="E656" s="99"/>
      <c r="F656" s="102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101"/>
    </row>
    <row r="657">
      <c r="A657" s="99"/>
      <c r="B657" s="99"/>
      <c r="C657" s="99"/>
      <c r="D657" s="99"/>
      <c r="E657" s="99"/>
      <c r="F657" s="102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101"/>
    </row>
    <row r="658">
      <c r="A658" s="99"/>
      <c r="B658" s="99"/>
      <c r="C658" s="99"/>
      <c r="D658" s="99"/>
      <c r="E658" s="99"/>
      <c r="F658" s="102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101"/>
    </row>
    <row r="659">
      <c r="A659" s="99"/>
      <c r="B659" s="99"/>
      <c r="C659" s="99"/>
      <c r="D659" s="99"/>
      <c r="E659" s="99"/>
      <c r="F659" s="102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101"/>
    </row>
    <row r="660">
      <c r="A660" s="99"/>
      <c r="B660" s="99"/>
      <c r="C660" s="99"/>
      <c r="D660" s="99"/>
      <c r="E660" s="99"/>
      <c r="F660" s="102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101"/>
    </row>
    <row r="661">
      <c r="A661" s="99"/>
      <c r="B661" s="99"/>
      <c r="C661" s="99"/>
      <c r="D661" s="99"/>
      <c r="E661" s="99"/>
      <c r="F661" s="102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101"/>
    </row>
    <row r="662">
      <c r="A662" s="99"/>
      <c r="B662" s="99"/>
      <c r="C662" s="99"/>
      <c r="D662" s="99"/>
      <c r="E662" s="99"/>
      <c r="F662" s="102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101"/>
    </row>
    <row r="663">
      <c r="A663" s="99"/>
      <c r="B663" s="99"/>
      <c r="C663" s="99"/>
      <c r="D663" s="99"/>
      <c r="E663" s="99"/>
      <c r="F663" s="102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101"/>
    </row>
    <row r="664">
      <c r="A664" s="99"/>
      <c r="B664" s="99"/>
      <c r="C664" s="99"/>
      <c r="D664" s="99"/>
      <c r="E664" s="99"/>
      <c r="F664" s="102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101"/>
    </row>
    <row r="665">
      <c r="A665" s="99"/>
      <c r="B665" s="99"/>
      <c r="C665" s="99"/>
      <c r="D665" s="99"/>
      <c r="E665" s="99"/>
      <c r="F665" s="102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101"/>
    </row>
    <row r="666">
      <c r="A666" s="99"/>
      <c r="B666" s="99"/>
      <c r="C666" s="99"/>
      <c r="D666" s="99"/>
      <c r="E666" s="99"/>
      <c r="F666" s="102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101"/>
    </row>
    <row r="667">
      <c r="A667" s="99"/>
      <c r="B667" s="99"/>
      <c r="C667" s="99"/>
      <c r="D667" s="99"/>
      <c r="E667" s="99"/>
      <c r="F667" s="102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101"/>
    </row>
    <row r="668">
      <c r="A668" s="99"/>
      <c r="B668" s="99"/>
      <c r="C668" s="99"/>
      <c r="D668" s="99"/>
      <c r="E668" s="99"/>
      <c r="F668" s="102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101"/>
    </row>
    <row r="669">
      <c r="A669" s="99"/>
      <c r="B669" s="99"/>
      <c r="C669" s="99"/>
      <c r="D669" s="99"/>
      <c r="E669" s="99"/>
      <c r="F669" s="102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101"/>
    </row>
    <row r="670">
      <c r="A670" s="99"/>
      <c r="B670" s="99"/>
      <c r="C670" s="99"/>
      <c r="D670" s="99"/>
      <c r="E670" s="99"/>
      <c r="F670" s="102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101"/>
    </row>
    <row r="671">
      <c r="A671" s="99"/>
      <c r="B671" s="99"/>
      <c r="C671" s="99"/>
      <c r="D671" s="99"/>
      <c r="E671" s="99"/>
      <c r="F671" s="102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101"/>
    </row>
    <row r="672">
      <c r="A672" s="99"/>
      <c r="B672" s="99"/>
      <c r="C672" s="99"/>
      <c r="D672" s="99"/>
      <c r="E672" s="99"/>
      <c r="F672" s="102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101"/>
    </row>
    <row r="673">
      <c r="A673" s="99"/>
      <c r="B673" s="99"/>
      <c r="C673" s="99"/>
      <c r="D673" s="99"/>
      <c r="E673" s="99"/>
      <c r="F673" s="102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101"/>
    </row>
    <row r="674">
      <c r="A674" s="99"/>
      <c r="B674" s="99"/>
      <c r="C674" s="99"/>
      <c r="D674" s="99"/>
      <c r="E674" s="99"/>
      <c r="F674" s="102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101"/>
    </row>
    <row r="675">
      <c r="A675" s="99"/>
      <c r="B675" s="99"/>
      <c r="C675" s="99"/>
      <c r="D675" s="99"/>
      <c r="E675" s="99"/>
      <c r="F675" s="102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101"/>
    </row>
    <row r="676">
      <c r="A676" s="99"/>
      <c r="B676" s="99"/>
      <c r="C676" s="99"/>
      <c r="D676" s="99"/>
      <c r="E676" s="99"/>
      <c r="F676" s="102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101"/>
    </row>
    <row r="677">
      <c r="A677" s="99"/>
      <c r="B677" s="99"/>
      <c r="C677" s="99"/>
      <c r="D677" s="99"/>
      <c r="E677" s="99"/>
      <c r="F677" s="102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101"/>
    </row>
    <row r="678">
      <c r="A678" s="99"/>
      <c r="B678" s="99"/>
      <c r="C678" s="99"/>
      <c r="D678" s="99"/>
      <c r="E678" s="99"/>
      <c r="F678" s="102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101"/>
    </row>
    <row r="679">
      <c r="A679" s="99"/>
      <c r="B679" s="99"/>
      <c r="C679" s="99"/>
      <c r="D679" s="99"/>
      <c r="E679" s="99"/>
      <c r="F679" s="102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101"/>
    </row>
    <row r="680">
      <c r="A680" s="99"/>
      <c r="B680" s="99"/>
      <c r="C680" s="99"/>
      <c r="D680" s="99"/>
      <c r="E680" s="99"/>
      <c r="F680" s="102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101"/>
    </row>
    <row r="681">
      <c r="A681" s="99"/>
      <c r="B681" s="99"/>
      <c r="C681" s="99"/>
      <c r="D681" s="99"/>
      <c r="E681" s="99"/>
      <c r="F681" s="102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101"/>
    </row>
    <row r="682">
      <c r="A682" s="99"/>
      <c r="B682" s="99"/>
      <c r="C682" s="99"/>
      <c r="D682" s="99"/>
      <c r="E682" s="99"/>
      <c r="F682" s="102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101"/>
    </row>
    <row r="683">
      <c r="A683" s="99"/>
      <c r="B683" s="99"/>
      <c r="C683" s="99"/>
      <c r="D683" s="99"/>
      <c r="E683" s="99"/>
      <c r="F683" s="102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101"/>
    </row>
    <row r="684">
      <c r="A684" s="99"/>
      <c r="B684" s="99"/>
      <c r="C684" s="99"/>
      <c r="D684" s="99"/>
      <c r="E684" s="99"/>
      <c r="F684" s="102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101"/>
    </row>
    <row r="685">
      <c r="A685" s="99"/>
      <c r="B685" s="99"/>
      <c r="C685" s="99"/>
      <c r="D685" s="99"/>
      <c r="E685" s="99"/>
      <c r="F685" s="102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101"/>
    </row>
    <row r="686">
      <c r="A686" s="99"/>
      <c r="B686" s="99"/>
      <c r="C686" s="99"/>
      <c r="D686" s="99"/>
      <c r="E686" s="99"/>
      <c r="F686" s="102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101"/>
    </row>
    <row r="687">
      <c r="A687" s="99"/>
      <c r="B687" s="99"/>
      <c r="C687" s="99"/>
      <c r="D687" s="99"/>
      <c r="E687" s="99"/>
      <c r="F687" s="102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101"/>
    </row>
    <row r="688">
      <c r="A688" s="99"/>
      <c r="B688" s="99"/>
      <c r="C688" s="99"/>
      <c r="D688" s="99"/>
      <c r="E688" s="99"/>
      <c r="F688" s="102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101"/>
    </row>
    <row r="689">
      <c r="A689" s="99"/>
      <c r="B689" s="99"/>
      <c r="C689" s="99"/>
      <c r="D689" s="99"/>
      <c r="E689" s="99"/>
      <c r="F689" s="102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101"/>
    </row>
    <row r="690">
      <c r="A690" s="99"/>
      <c r="B690" s="99"/>
      <c r="C690" s="99"/>
      <c r="D690" s="99"/>
      <c r="E690" s="99"/>
      <c r="F690" s="102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101"/>
    </row>
    <row r="691">
      <c r="A691" s="99"/>
      <c r="B691" s="99"/>
      <c r="C691" s="99"/>
      <c r="D691" s="99"/>
      <c r="E691" s="99"/>
      <c r="F691" s="102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101"/>
    </row>
    <row r="692">
      <c r="A692" s="99"/>
      <c r="B692" s="99"/>
      <c r="C692" s="99"/>
      <c r="D692" s="99"/>
      <c r="E692" s="99"/>
      <c r="F692" s="102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101"/>
    </row>
    <row r="693">
      <c r="A693" s="99"/>
      <c r="B693" s="99"/>
      <c r="C693" s="99"/>
      <c r="D693" s="99"/>
      <c r="E693" s="99"/>
      <c r="F693" s="102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101"/>
    </row>
    <row r="694">
      <c r="A694" s="99"/>
      <c r="B694" s="99"/>
      <c r="C694" s="99"/>
      <c r="D694" s="99"/>
      <c r="E694" s="99"/>
      <c r="F694" s="102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101"/>
    </row>
    <row r="695">
      <c r="A695" s="99"/>
      <c r="B695" s="99"/>
      <c r="C695" s="99"/>
      <c r="D695" s="99"/>
      <c r="E695" s="99"/>
      <c r="F695" s="102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101"/>
    </row>
    <row r="696">
      <c r="A696" s="99"/>
      <c r="B696" s="99"/>
      <c r="C696" s="99"/>
      <c r="D696" s="99"/>
      <c r="E696" s="99"/>
      <c r="F696" s="102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101"/>
    </row>
    <row r="697">
      <c r="A697" s="99"/>
      <c r="B697" s="99"/>
      <c r="C697" s="99"/>
      <c r="D697" s="99"/>
      <c r="E697" s="99"/>
      <c r="F697" s="102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101"/>
    </row>
    <row r="698">
      <c r="A698" s="99"/>
      <c r="B698" s="99"/>
      <c r="C698" s="99"/>
      <c r="D698" s="99"/>
      <c r="E698" s="99"/>
      <c r="F698" s="102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101"/>
    </row>
    <row r="699">
      <c r="A699" s="99"/>
      <c r="B699" s="99"/>
      <c r="C699" s="99"/>
      <c r="D699" s="99"/>
      <c r="E699" s="99"/>
      <c r="F699" s="102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101"/>
    </row>
    <row r="700">
      <c r="A700" s="99"/>
      <c r="B700" s="99"/>
      <c r="C700" s="99"/>
      <c r="D700" s="99"/>
      <c r="E700" s="99"/>
      <c r="F700" s="102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101"/>
    </row>
    <row r="701">
      <c r="A701" s="99"/>
      <c r="B701" s="99"/>
      <c r="C701" s="99"/>
      <c r="D701" s="99"/>
      <c r="E701" s="99"/>
      <c r="F701" s="102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101"/>
    </row>
    <row r="702">
      <c r="A702" s="99"/>
      <c r="B702" s="99"/>
      <c r="C702" s="99"/>
      <c r="D702" s="99"/>
      <c r="E702" s="99"/>
      <c r="F702" s="102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101"/>
    </row>
    <row r="703">
      <c r="A703" s="99"/>
      <c r="B703" s="99"/>
      <c r="C703" s="99"/>
      <c r="D703" s="99"/>
      <c r="E703" s="99"/>
      <c r="F703" s="102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101"/>
    </row>
    <row r="704">
      <c r="A704" s="99"/>
      <c r="B704" s="99"/>
      <c r="C704" s="99"/>
      <c r="D704" s="99"/>
      <c r="E704" s="99"/>
      <c r="F704" s="102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101"/>
    </row>
    <row r="705">
      <c r="A705" s="99"/>
      <c r="B705" s="99"/>
      <c r="C705" s="99"/>
      <c r="D705" s="99"/>
      <c r="E705" s="99"/>
      <c r="F705" s="102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101"/>
    </row>
    <row r="706">
      <c r="A706" s="99"/>
      <c r="B706" s="99"/>
      <c r="C706" s="99"/>
      <c r="D706" s="99"/>
      <c r="E706" s="99"/>
      <c r="F706" s="102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101"/>
    </row>
    <row r="707">
      <c r="A707" s="99"/>
      <c r="B707" s="99"/>
      <c r="C707" s="99"/>
      <c r="D707" s="99"/>
      <c r="E707" s="99"/>
      <c r="F707" s="102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101"/>
    </row>
    <row r="708">
      <c r="A708" s="99"/>
      <c r="B708" s="99"/>
      <c r="C708" s="99"/>
      <c r="D708" s="99"/>
      <c r="E708" s="99"/>
      <c r="F708" s="102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101"/>
    </row>
    <row r="709">
      <c r="A709" s="99"/>
      <c r="B709" s="99"/>
      <c r="C709" s="99"/>
      <c r="D709" s="99"/>
      <c r="E709" s="99"/>
      <c r="F709" s="102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101"/>
    </row>
    <row r="710">
      <c r="A710" s="99"/>
      <c r="B710" s="99"/>
      <c r="C710" s="99"/>
      <c r="D710" s="99"/>
      <c r="E710" s="99"/>
      <c r="F710" s="102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101"/>
    </row>
    <row r="711">
      <c r="A711" s="99"/>
      <c r="B711" s="99"/>
      <c r="C711" s="99"/>
      <c r="D711" s="99"/>
      <c r="E711" s="99"/>
      <c r="F711" s="102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101"/>
    </row>
    <row r="712">
      <c r="A712" s="99"/>
      <c r="B712" s="99"/>
      <c r="C712" s="99"/>
      <c r="D712" s="99"/>
      <c r="E712" s="99"/>
      <c r="F712" s="102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101"/>
    </row>
    <row r="713">
      <c r="A713" s="99"/>
      <c r="B713" s="99"/>
      <c r="C713" s="99"/>
      <c r="D713" s="99"/>
      <c r="E713" s="99"/>
      <c r="F713" s="102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101"/>
    </row>
    <row r="714">
      <c r="A714" s="99"/>
      <c r="B714" s="99"/>
      <c r="C714" s="99"/>
      <c r="D714" s="99"/>
      <c r="E714" s="99"/>
      <c r="F714" s="102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101"/>
    </row>
    <row r="715">
      <c r="A715" s="99"/>
      <c r="B715" s="99"/>
      <c r="C715" s="99"/>
      <c r="D715" s="99"/>
      <c r="E715" s="99"/>
      <c r="F715" s="102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101"/>
    </row>
    <row r="716">
      <c r="A716" s="99"/>
      <c r="B716" s="99"/>
      <c r="C716" s="99"/>
      <c r="D716" s="99"/>
      <c r="E716" s="99"/>
      <c r="F716" s="102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101"/>
    </row>
    <row r="717">
      <c r="A717" s="99"/>
      <c r="B717" s="99"/>
      <c r="C717" s="99"/>
      <c r="D717" s="99"/>
      <c r="E717" s="99"/>
      <c r="F717" s="102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101"/>
    </row>
    <row r="718">
      <c r="A718" s="99"/>
      <c r="B718" s="99"/>
      <c r="C718" s="99"/>
      <c r="D718" s="99"/>
      <c r="E718" s="99"/>
      <c r="F718" s="102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101"/>
    </row>
    <row r="719">
      <c r="A719" s="99"/>
      <c r="B719" s="99"/>
      <c r="C719" s="99"/>
      <c r="D719" s="99"/>
      <c r="E719" s="99"/>
      <c r="F719" s="102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101"/>
    </row>
    <row r="720">
      <c r="A720" s="99"/>
      <c r="B720" s="99"/>
      <c r="C720" s="99"/>
      <c r="D720" s="99"/>
      <c r="E720" s="99"/>
      <c r="F720" s="102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101"/>
    </row>
    <row r="721">
      <c r="A721" s="99"/>
      <c r="B721" s="99"/>
      <c r="C721" s="99"/>
      <c r="D721" s="99"/>
      <c r="E721" s="99"/>
      <c r="F721" s="102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101"/>
    </row>
    <row r="722">
      <c r="A722" s="99"/>
      <c r="B722" s="99"/>
      <c r="C722" s="99"/>
      <c r="D722" s="99"/>
      <c r="E722" s="99"/>
      <c r="F722" s="102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101"/>
    </row>
    <row r="723">
      <c r="A723" s="99"/>
      <c r="B723" s="99"/>
      <c r="C723" s="99"/>
      <c r="D723" s="99"/>
      <c r="E723" s="99"/>
      <c r="F723" s="102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101"/>
    </row>
    <row r="724">
      <c r="A724" s="99"/>
      <c r="B724" s="99"/>
      <c r="C724" s="99"/>
      <c r="D724" s="99"/>
      <c r="E724" s="99"/>
      <c r="F724" s="102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101"/>
    </row>
    <row r="725">
      <c r="A725" s="99"/>
      <c r="B725" s="99"/>
      <c r="C725" s="99"/>
      <c r="D725" s="99"/>
      <c r="E725" s="99"/>
      <c r="F725" s="102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101"/>
    </row>
    <row r="726">
      <c r="A726" s="99"/>
      <c r="B726" s="99"/>
      <c r="C726" s="99"/>
      <c r="D726" s="99"/>
      <c r="E726" s="99"/>
      <c r="F726" s="102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101"/>
    </row>
    <row r="727">
      <c r="A727" s="99"/>
      <c r="B727" s="99"/>
      <c r="C727" s="99"/>
      <c r="D727" s="99"/>
      <c r="E727" s="99"/>
      <c r="F727" s="102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101"/>
    </row>
    <row r="728">
      <c r="A728" s="99"/>
      <c r="B728" s="99"/>
      <c r="C728" s="99"/>
      <c r="D728" s="99"/>
      <c r="E728" s="99"/>
      <c r="F728" s="102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101"/>
    </row>
    <row r="729">
      <c r="A729" s="99"/>
      <c r="B729" s="99"/>
      <c r="C729" s="99"/>
      <c r="D729" s="99"/>
      <c r="E729" s="99"/>
      <c r="F729" s="102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101"/>
    </row>
    <row r="730">
      <c r="A730" s="99"/>
      <c r="B730" s="99"/>
      <c r="C730" s="99"/>
      <c r="D730" s="99"/>
      <c r="E730" s="99"/>
      <c r="F730" s="102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101"/>
    </row>
    <row r="731">
      <c r="A731" s="99"/>
      <c r="B731" s="99"/>
      <c r="C731" s="99"/>
      <c r="D731" s="99"/>
      <c r="E731" s="99"/>
      <c r="F731" s="102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101"/>
    </row>
    <row r="732">
      <c r="A732" s="99"/>
      <c r="B732" s="99"/>
      <c r="C732" s="99"/>
      <c r="D732" s="99"/>
      <c r="E732" s="99"/>
      <c r="F732" s="102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101"/>
    </row>
    <row r="733">
      <c r="A733" s="99"/>
      <c r="B733" s="99"/>
      <c r="C733" s="99"/>
      <c r="D733" s="99"/>
      <c r="E733" s="99"/>
      <c r="F733" s="102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101"/>
    </row>
    <row r="734">
      <c r="A734" s="99"/>
      <c r="B734" s="99"/>
      <c r="C734" s="99"/>
      <c r="D734" s="99"/>
      <c r="E734" s="99"/>
      <c r="F734" s="102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101"/>
    </row>
    <row r="735">
      <c r="A735" s="99"/>
      <c r="B735" s="99"/>
      <c r="C735" s="99"/>
      <c r="D735" s="99"/>
      <c r="E735" s="99"/>
      <c r="F735" s="102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101"/>
    </row>
    <row r="736">
      <c r="A736" s="99"/>
      <c r="B736" s="99"/>
      <c r="C736" s="99"/>
      <c r="D736" s="99"/>
      <c r="E736" s="99"/>
      <c r="F736" s="102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101"/>
    </row>
    <row r="737">
      <c r="A737" s="99"/>
      <c r="B737" s="99"/>
      <c r="C737" s="99"/>
      <c r="D737" s="99"/>
      <c r="E737" s="99"/>
      <c r="F737" s="102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101"/>
    </row>
    <row r="738">
      <c r="A738" s="99"/>
      <c r="B738" s="99"/>
      <c r="C738" s="99"/>
      <c r="D738" s="99"/>
      <c r="E738" s="99"/>
      <c r="F738" s="102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101"/>
    </row>
    <row r="739">
      <c r="A739" s="99"/>
      <c r="B739" s="99"/>
      <c r="C739" s="99"/>
      <c r="D739" s="99"/>
      <c r="E739" s="99"/>
      <c r="F739" s="102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101"/>
    </row>
    <row r="740">
      <c r="A740" s="99"/>
      <c r="B740" s="99"/>
      <c r="C740" s="99"/>
      <c r="D740" s="99"/>
      <c r="E740" s="99"/>
      <c r="F740" s="102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101"/>
    </row>
    <row r="741">
      <c r="A741" s="99"/>
      <c r="B741" s="99"/>
      <c r="C741" s="99"/>
      <c r="D741" s="99"/>
      <c r="E741" s="99"/>
      <c r="F741" s="102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101"/>
    </row>
    <row r="742">
      <c r="A742" s="99"/>
      <c r="B742" s="99"/>
      <c r="C742" s="99"/>
      <c r="D742" s="99"/>
      <c r="E742" s="99"/>
      <c r="F742" s="102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101"/>
    </row>
    <row r="743">
      <c r="A743" s="99"/>
      <c r="B743" s="99"/>
      <c r="C743" s="99"/>
      <c r="D743" s="99"/>
      <c r="E743" s="99"/>
      <c r="F743" s="102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101"/>
    </row>
    <row r="744">
      <c r="A744" s="99"/>
      <c r="B744" s="99"/>
      <c r="C744" s="99"/>
      <c r="D744" s="99"/>
      <c r="E744" s="99"/>
      <c r="F744" s="102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101"/>
    </row>
    <row r="745">
      <c r="A745" s="99"/>
      <c r="B745" s="99"/>
      <c r="C745" s="99"/>
      <c r="D745" s="99"/>
      <c r="E745" s="99"/>
      <c r="F745" s="102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101"/>
    </row>
    <row r="746">
      <c r="A746" s="99"/>
      <c r="B746" s="99"/>
      <c r="C746" s="99"/>
      <c r="D746" s="99"/>
      <c r="E746" s="99"/>
      <c r="F746" s="102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101"/>
    </row>
    <row r="747">
      <c r="A747" s="99"/>
      <c r="B747" s="99"/>
      <c r="C747" s="99"/>
      <c r="D747" s="99"/>
      <c r="E747" s="99"/>
      <c r="F747" s="102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101"/>
    </row>
    <row r="748">
      <c r="A748" s="99"/>
      <c r="B748" s="99"/>
      <c r="C748" s="99"/>
      <c r="D748" s="99"/>
      <c r="E748" s="99"/>
      <c r="F748" s="102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101"/>
    </row>
    <row r="749">
      <c r="A749" s="99"/>
      <c r="B749" s="99"/>
      <c r="C749" s="99"/>
      <c r="D749" s="99"/>
      <c r="E749" s="99"/>
      <c r="F749" s="102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101"/>
    </row>
    <row r="750">
      <c r="A750" s="99"/>
      <c r="B750" s="99"/>
      <c r="C750" s="99"/>
      <c r="D750" s="99"/>
      <c r="E750" s="99"/>
      <c r="F750" s="102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101"/>
    </row>
    <row r="751">
      <c r="A751" s="99"/>
      <c r="B751" s="99"/>
      <c r="C751" s="99"/>
      <c r="D751" s="99"/>
      <c r="E751" s="99"/>
      <c r="F751" s="102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101"/>
    </row>
    <row r="752">
      <c r="A752" s="99"/>
      <c r="B752" s="99"/>
      <c r="C752" s="99"/>
      <c r="D752" s="99"/>
      <c r="E752" s="99"/>
      <c r="F752" s="102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101"/>
    </row>
    <row r="753">
      <c r="A753" s="99"/>
      <c r="B753" s="99"/>
      <c r="C753" s="99"/>
      <c r="D753" s="99"/>
      <c r="E753" s="99"/>
      <c r="F753" s="102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101"/>
    </row>
    <row r="754">
      <c r="A754" s="99"/>
      <c r="B754" s="99"/>
      <c r="C754" s="99"/>
      <c r="D754" s="99"/>
      <c r="E754" s="99"/>
      <c r="F754" s="102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101"/>
    </row>
    <row r="755">
      <c r="A755" s="99"/>
      <c r="B755" s="99"/>
      <c r="C755" s="99"/>
      <c r="D755" s="99"/>
      <c r="E755" s="99"/>
      <c r="F755" s="102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101"/>
    </row>
    <row r="756">
      <c r="A756" s="99"/>
      <c r="B756" s="99"/>
      <c r="C756" s="99"/>
      <c r="D756" s="99"/>
      <c r="E756" s="99"/>
      <c r="F756" s="102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101"/>
    </row>
    <row r="757">
      <c r="A757" s="99"/>
      <c r="B757" s="99"/>
      <c r="C757" s="99"/>
      <c r="D757" s="99"/>
      <c r="E757" s="99"/>
      <c r="F757" s="102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101"/>
    </row>
    <row r="758">
      <c r="A758" s="99"/>
      <c r="B758" s="99"/>
      <c r="C758" s="99"/>
      <c r="D758" s="99"/>
      <c r="E758" s="99"/>
      <c r="F758" s="102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101"/>
    </row>
    <row r="759">
      <c r="A759" s="99"/>
      <c r="B759" s="99"/>
      <c r="C759" s="99"/>
      <c r="D759" s="99"/>
      <c r="E759" s="99"/>
      <c r="F759" s="102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101"/>
    </row>
    <row r="760">
      <c r="A760" s="99"/>
      <c r="B760" s="99"/>
      <c r="C760" s="99"/>
      <c r="D760" s="99"/>
      <c r="E760" s="99"/>
      <c r="F760" s="102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101"/>
    </row>
    <row r="761">
      <c r="A761" s="99"/>
      <c r="B761" s="99"/>
      <c r="C761" s="99"/>
      <c r="D761" s="99"/>
      <c r="E761" s="99"/>
      <c r="F761" s="102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101"/>
    </row>
    <row r="762">
      <c r="A762" s="99"/>
      <c r="B762" s="99"/>
      <c r="C762" s="99"/>
      <c r="D762" s="99"/>
      <c r="E762" s="99"/>
      <c r="F762" s="102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101"/>
    </row>
    <row r="763">
      <c r="A763" s="99"/>
      <c r="B763" s="99"/>
      <c r="C763" s="99"/>
      <c r="D763" s="99"/>
      <c r="E763" s="99"/>
      <c r="F763" s="102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101"/>
    </row>
    <row r="764">
      <c r="A764" s="99"/>
      <c r="B764" s="99"/>
      <c r="C764" s="99"/>
      <c r="D764" s="99"/>
      <c r="E764" s="99"/>
      <c r="F764" s="102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101"/>
    </row>
    <row r="765">
      <c r="A765" s="99"/>
      <c r="B765" s="99"/>
      <c r="C765" s="99"/>
      <c r="D765" s="99"/>
      <c r="E765" s="99"/>
      <c r="F765" s="102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101"/>
    </row>
    <row r="766">
      <c r="A766" s="99"/>
      <c r="B766" s="99"/>
      <c r="C766" s="99"/>
      <c r="D766" s="99"/>
      <c r="E766" s="99"/>
      <c r="F766" s="102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101"/>
    </row>
    <row r="767">
      <c r="A767" s="99"/>
      <c r="B767" s="99"/>
      <c r="C767" s="99"/>
      <c r="D767" s="99"/>
      <c r="E767" s="99"/>
      <c r="F767" s="102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101"/>
    </row>
    <row r="768">
      <c r="A768" s="99"/>
      <c r="B768" s="99"/>
      <c r="C768" s="99"/>
      <c r="D768" s="99"/>
      <c r="E768" s="99"/>
      <c r="F768" s="102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101"/>
    </row>
    <row r="769">
      <c r="A769" s="99"/>
      <c r="B769" s="99"/>
      <c r="C769" s="99"/>
      <c r="D769" s="99"/>
      <c r="E769" s="99"/>
      <c r="F769" s="102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101"/>
    </row>
    <row r="770">
      <c r="A770" s="99"/>
      <c r="B770" s="99"/>
      <c r="C770" s="99"/>
      <c r="D770" s="99"/>
      <c r="E770" s="99"/>
      <c r="F770" s="102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101"/>
    </row>
    <row r="771">
      <c r="A771" s="99"/>
      <c r="B771" s="99"/>
      <c r="C771" s="99"/>
      <c r="D771" s="99"/>
      <c r="E771" s="99"/>
      <c r="F771" s="102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101"/>
    </row>
    <row r="772">
      <c r="A772" s="99"/>
      <c r="B772" s="99"/>
      <c r="C772" s="99"/>
      <c r="D772" s="99"/>
      <c r="E772" s="99"/>
      <c r="F772" s="102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101"/>
    </row>
    <row r="773">
      <c r="A773" s="99"/>
      <c r="B773" s="99"/>
      <c r="C773" s="99"/>
      <c r="D773" s="99"/>
      <c r="E773" s="99"/>
      <c r="F773" s="102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101"/>
    </row>
    <row r="774">
      <c r="A774" s="99"/>
      <c r="B774" s="99"/>
      <c r="C774" s="99"/>
      <c r="D774" s="99"/>
      <c r="E774" s="99"/>
      <c r="F774" s="102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101"/>
    </row>
    <row r="775">
      <c r="A775" s="99"/>
      <c r="B775" s="99"/>
      <c r="C775" s="99"/>
      <c r="D775" s="99"/>
      <c r="E775" s="99"/>
      <c r="F775" s="102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101"/>
    </row>
    <row r="776">
      <c r="A776" s="99"/>
      <c r="B776" s="99"/>
      <c r="C776" s="99"/>
      <c r="D776" s="99"/>
      <c r="E776" s="99"/>
      <c r="F776" s="102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101"/>
    </row>
    <row r="777">
      <c r="A777" s="99"/>
      <c r="B777" s="99"/>
      <c r="C777" s="99"/>
      <c r="D777" s="99"/>
      <c r="E777" s="99"/>
      <c r="F777" s="102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101"/>
    </row>
    <row r="778">
      <c r="A778" s="99"/>
      <c r="B778" s="99"/>
      <c r="C778" s="99"/>
      <c r="D778" s="99"/>
      <c r="E778" s="99"/>
      <c r="F778" s="102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101"/>
    </row>
    <row r="779">
      <c r="A779" s="99"/>
      <c r="B779" s="99"/>
      <c r="C779" s="99"/>
      <c r="D779" s="99"/>
      <c r="E779" s="99"/>
      <c r="F779" s="102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101"/>
    </row>
    <row r="780">
      <c r="A780" s="99"/>
      <c r="B780" s="99"/>
      <c r="C780" s="99"/>
      <c r="D780" s="99"/>
      <c r="E780" s="99"/>
      <c r="F780" s="102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101"/>
    </row>
    <row r="781">
      <c r="A781" s="99"/>
      <c r="B781" s="99"/>
      <c r="C781" s="99"/>
      <c r="D781" s="99"/>
      <c r="E781" s="99"/>
      <c r="F781" s="102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101"/>
    </row>
    <row r="782">
      <c r="A782" s="99"/>
      <c r="B782" s="99"/>
      <c r="C782" s="99"/>
      <c r="D782" s="99"/>
      <c r="E782" s="99"/>
      <c r="F782" s="102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101"/>
    </row>
    <row r="783">
      <c r="A783" s="99"/>
      <c r="B783" s="99"/>
      <c r="C783" s="99"/>
      <c r="D783" s="99"/>
      <c r="E783" s="99"/>
      <c r="F783" s="102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101"/>
    </row>
    <row r="784">
      <c r="A784" s="99"/>
      <c r="B784" s="99"/>
      <c r="C784" s="99"/>
      <c r="D784" s="99"/>
      <c r="E784" s="99"/>
      <c r="F784" s="102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101"/>
    </row>
    <row r="785">
      <c r="A785" s="99"/>
      <c r="B785" s="99"/>
      <c r="C785" s="99"/>
      <c r="D785" s="99"/>
      <c r="E785" s="99"/>
      <c r="F785" s="102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101"/>
    </row>
    <row r="786">
      <c r="A786" s="99"/>
      <c r="B786" s="99"/>
      <c r="C786" s="99"/>
      <c r="D786" s="99"/>
      <c r="E786" s="99"/>
      <c r="F786" s="102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101"/>
    </row>
    <row r="787">
      <c r="A787" s="99"/>
      <c r="B787" s="99"/>
      <c r="C787" s="99"/>
      <c r="D787" s="99"/>
      <c r="E787" s="99"/>
      <c r="F787" s="102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101"/>
    </row>
    <row r="788">
      <c r="A788" s="99"/>
      <c r="B788" s="99"/>
      <c r="C788" s="99"/>
      <c r="D788" s="99"/>
      <c r="E788" s="99"/>
      <c r="F788" s="102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101"/>
    </row>
    <row r="789">
      <c r="A789" s="99"/>
      <c r="B789" s="99"/>
      <c r="C789" s="99"/>
      <c r="D789" s="99"/>
      <c r="E789" s="99"/>
      <c r="F789" s="102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101"/>
    </row>
    <row r="790">
      <c r="A790" s="99"/>
      <c r="B790" s="99"/>
      <c r="C790" s="99"/>
      <c r="D790" s="99"/>
      <c r="E790" s="99"/>
      <c r="F790" s="102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101"/>
    </row>
    <row r="791">
      <c r="A791" s="99"/>
      <c r="B791" s="99"/>
      <c r="C791" s="99"/>
      <c r="D791" s="99"/>
      <c r="E791" s="99"/>
      <c r="F791" s="102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101"/>
    </row>
    <row r="792">
      <c r="A792" s="99"/>
      <c r="B792" s="99"/>
      <c r="C792" s="99"/>
      <c r="D792" s="99"/>
      <c r="E792" s="99"/>
      <c r="F792" s="102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101"/>
    </row>
    <row r="793">
      <c r="A793" s="99"/>
      <c r="B793" s="99"/>
      <c r="C793" s="99"/>
      <c r="D793" s="99"/>
      <c r="E793" s="99"/>
      <c r="F793" s="102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101"/>
    </row>
    <row r="794">
      <c r="A794" s="99"/>
      <c r="B794" s="99"/>
      <c r="C794" s="99"/>
      <c r="D794" s="99"/>
      <c r="E794" s="99"/>
      <c r="F794" s="102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101"/>
    </row>
    <row r="795">
      <c r="A795" s="99"/>
      <c r="B795" s="99"/>
      <c r="C795" s="99"/>
      <c r="D795" s="99"/>
      <c r="E795" s="99"/>
      <c r="F795" s="102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101"/>
    </row>
    <row r="796">
      <c r="A796" s="99"/>
      <c r="B796" s="99"/>
      <c r="C796" s="99"/>
      <c r="D796" s="99"/>
      <c r="E796" s="99"/>
      <c r="F796" s="102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101"/>
    </row>
    <row r="797">
      <c r="A797" s="99"/>
      <c r="B797" s="99"/>
      <c r="C797" s="99"/>
      <c r="D797" s="99"/>
      <c r="E797" s="99"/>
      <c r="F797" s="102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101"/>
    </row>
    <row r="798">
      <c r="A798" s="99"/>
      <c r="B798" s="99"/>
      <c r="C798" s="99"/>
      <c r="D798" s="99"/>
      <c r="E798" s="99"/>
      <c r="F798" s="102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101"/>
    </row>
    <row r="799">
      <c r="A799" s="99"/>
      <c r="B799" s="99"/>
      <c r="C799" s="99"/>
      <c r="D799" s="99"/>
      <c r="E799" s="99"/>
      <c r="F799" s="102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101"/>
    </row>
    <row r="800">
      <c r="A800" s="99"/>
      <c r="B800" s="99"/>
      <c r="C800" s="99"/>
      <c r="D800" s="99"/>
      <c r="E800" s="99"/>
      <c r="F800" s="102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101"/>
    </row>
    <row r="801">
      <c r="A801" s="99"/>
      <c r="B801" s="99"/>
      <c r="C801" s="99"/>
      <c r="D801" s="99"/>
      <c r="E801" s="99"/>
      <c r="F801" s="102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101"/>
    </row>
    <row r="802">
      <c r="A802" s="99"/>
      <c r="B802" s="99"/>
      <c r="C802" s="99"/>
      <c r="D802" s="99"/>
      <c r="E802" s="99"/>
      <c r="F802" s="102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101"/>
    </row>
    <row r="803">
      <c r="A803" s="99"/>
      <c r="B803" s="99"/>
      <c r="C803" s="99"/>
      <c r="D803" s="99"/>
      <c r="E803" s="99"/>
      <c r="F803" s="102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101"/>
    </row>
    <row r="804">
      <c r="A804" s="99"/>
      <c r="B804" s="99"/>
      <c r="C804" s="99"/>
      <c r="D804" s="99"/>
      <c r="E804" s="99"/>
      <c r="F804" s="102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101"/>
    </row>
    <row r="805">
      <c r="A805" s="99"/>
      <c r="B805" s="99"/>
      <c r="C805" s="99"/>
      <c r="D805" s="99"/>
      <c r="E805" s="99"/>
      <c r="F805" s="102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101"/>
    </row>
    <row r="806">
      <c r="A806" s="99"/>
      <c r="B806" s="99"/>
      <c r="C806" s="99"/>
      <c r="D806" s="99"/>
      <c r="E806" s="99"/>
      <c r="F806" s="102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101"/>
    </row>
    <row r="807">
      <c r="A807" s="99"/>
      <c r="B807" s="99"/>
      <c r="C807" s="99"/>
      <c r="D807" s="99"/>
      <c r="E807" s="99"/>
      <c r="F807" s="102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101"/>
    </row>
    <row r="808">
      <c r="A808" s="99"/>
      <c r="B808" s="99"/>
      <c r="C808" s="99"/>
      <c r="D808" s="99"/>
      <c r="E808" s="99"/>
      <c r="F808" s="102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101"/>
    </row>
    <row r="809">
      <c r="A809" s="99"/>
      <c r="B809" s="99"/>
      <c r="C809" s="99"/>
      <c r="D809" s="99"/>
      <c r="E809" s="99"/>
      <c r="F809" s="102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101"/>
    </row>
    <row r="810">
      <c r="A810" s="99"/>
      <c r="B810" s="99"/>
      <c r="C810" s="99"/>
      <c r="D810" s="99"/>
      <c r="E810" s="99"/>
      <c r="F810" s="102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101"/>
    </row>
    <row r="811">
      <c r="A811" s="99"/>
      <c r="B811" s="99"/>
      <c r="C811" s="99"/>
      <c r="D811" s="99"/>
      <c r="E811" s="99"/>
      <c r="F811" s="102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101"/>
    </row>
    <row r="812">
      <c r="A812" s="99"/>
      <c r="B812" s="99"/>
      <c r="C812" s="99"/>
      <c r="D812" s="99"/>
      <c r="E812" s="99"/>
      <c r="F812" s="102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101"/>
    </row>
    <row r="813">
      <c r="A813" s="99"/>
      <c r="B813" s="99"/>
      <c r="C813" s="99"/>
      <c r="D813" s="99"/>
      <c r="E813" s="99"/>
      <c r="F813" s="102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101"/>
    </row>
    <row r="814">
      <c r="A814" s="99"/>
      <c r="B814" s="99"/>
      <c r="C814" s="99"/>
      <c r="D814" s="99"/>
      <c r="E814" s="99"/>
      <c r="F814" s="102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101"/>
    </row>
    <row r="815">
      <c r="A815" s="99"/>
      <c r="B815" s="99"/>
      <c r="C815" s="99"/>
      <c r="D815" s="99"/>
      <c r="E815" s="99"/>
      <c r="F815" s="102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101"/>
    </row>
    <row r="816">
      <c r="A816" s="99"/>
      <c r="B816" s="99"/>
      <c r="C816" s="99"/>
      <c r="D816" s="99"/>
      <c r="E816" s="99"/>
      <c r="F816" s="102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101"/>
    </row>
    <row r="817">
      <c r="A817" s="99"/>
      <c r="B817" s="99"/>
      <c r="C817" s="99"/>
      <c r="D817" s="99"/>
      <c r="E817" s="99"/>
      <c r="F817" s="102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101"/>
    </row>
    <row r="818">
      <c r="A818" s="99"/>
      <c r="B818" s="99"/>
      <c r="C818" s="99"/>
      <c r="D818" s="99"/>
      <c r="E818" s="99"/>
      <c r="F818" s="102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101"/>
    </row>
    <row r="819">
      <c r="A819" s="99"/>
      <c r="B819" s="99"/>
      <c r="C819" s="99"/>
      <c r="D819" s="99"/>
      <c r="E819" s="99"/>
      <c r="F819" s="102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101"/>
    </row>
    <row r="820">
      <c r="A820" s="99"/>
      <c r="B820" s="99"/>
      <c r="C820" s="99"/>
      <c r="D820" s="99"/>
      <c r="E820" s="99"/>
      <c r="F820" s="102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101"/>
    </row>
    <row r="821">
      <c r="A821" s="99"/>
      <c r="B821" s="99"/>
      <c r="C821" s="99"/>
      <c r="D821" s="99"/>
      <c r="E821" s="99"/>
      <c r="F821" s="102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101"/>
    </row>
    <row r="822">
      <c r="A822" s="99"/>
      <c r="B822" s="99"/>
      <c r="C822" s="99"/>
      <c r="D822" s="99"/>
      <c r="E822" s="99"/>
      <c r="F822" s="102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101"/>
    </row>
    <row r="823">
      <c r="A823" s="99"/>
      <c r="B823" s="99"/>
      <c r="C823" s="99"/>
      <c r="D823" s="99"/>
      <c r="E823" s="99"/>
      <c r="F823" s="102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101"/>
    </row>
    <row r="824">
      <c r="A824" s="99"/>
      <c r="B824" s="99"/>
      <c r="C824" s="99"/>
      <c r="D824" s="99"/>
      <c r="E824" s="99"/>
      <c r="F824" s="102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101"/>
    </row>
    <row r="825">
      <c r="A825" s="99"/>
      <c r="B825" s="99"/>
      <c r="C825" s="99"/>
      <c r="D825" s="99"/>
      <c r="E825" s="99"/>
      <c r="F825" s="102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101"/>
    </row>
    <row r="826">
      <c r="A826" s="99"/>
      <c r="B826" s="99"/>
      <c r="C826" s="99"/>
      <c r="D826" s="99"/>
      <c r="E826" s="99"/>
      <c r="F826" s="102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101"/>
    </row>
    <row r="827">
      <c r="A827" s="99"/>
      <c r="B827" s="99"/>
      <c r="C827" s="99"/>
      <c r="D827" s="99"/>
      <c r="E827" s="99"/>
      <c r="F827" s="102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101"/>
    </row>
    <row r="828">
      <c r="A828" s="99"/>
      <c r="B828" s="99"/>
      <c r="C828" s="99"/>
      <c r="D828" s="99"/>
      <c r="E828" s="99"/>
      <c r="F828" s="102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101"/>
    </row>
    <row r="829">
      <c r="A829" s="99"/>
      <c r="B829" s="99"/>
      <c r="C829" s="99"/>
      <c r="D829" s="99"/>
      <c r="E829" s="99"/>
      <c r="F829" s="102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101"/>
    </row>
    <row r="830">
      <c r="A830" s="99"/>
      <c r="B830" s="99"/>
      <c r="C830" s="99"/>
      <c r="D830" s="99"/>
      <c r="E830" s="99"/>
      <c r="F830" s="102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101"/>
    </row>
    <row r="831">
      <c r="A831" s="99"/>
      <c r="B831" s="99"/>
      <c r="C831" s="99"/>
      <c r="D831" s="99"/>
      <c r="E831" s="99"/>
      <c r="F831" s="102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101"/>
    </row>
    <row r="832">
      <c r="A832" s="99"/>
      <c r="B832" s="99"/>
      <c r="C832" s="99"/>
      <c r="D832" s="99"/>
      <c r="E832" s="99"/>
      <c r="F832" s="102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101"/>
    </row>
    <row r="833">
      <c r="A833" s="99"/>
      <c r="B833" s="99"/>
      <c r="C833" s="99"/>
      <c r="D833" s="99"/>
      <c r="E833" s="99"/>
      <c r="F833" s="102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101"/>
    </row>
    <row r="834">
      <c r="A834" s="99"/>
      <c r="B834" s="99"/>
      <c r="C834" s="99"/>
      <c r="D834" s="99"/>
      <c r="E834" s="99"/>
      <c r="F834" s="102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101"/>
    </row>
    <row r="835">
      <c r="A835" s="99"/>
      <c r="B835" s="99"/>
      <c r="C835" s="99"/>
      <c r="D835" s="99"/>
      <c r="E835" s="99"/>
      <c r="F835" s="102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101"/>
    </row>
    <row r="836">
      <c r="A836" s="99"/>
      <c r="B836" s="99"/>
      <c r="C836" s="99"/>
      <c r="D836" s="99"/>
      <c r="E836" s="99"/>
      <c r="F836" s="102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101"/>
    </row>
    <row r="837">
      <c r="A837" s="99"/>
      <c r="B837" s="99"/>
      <c r="C837" s="99"/>
      <c r="D837" s="99"/>
      <c r="E837" s="99"/>
      <c r="F837" s="102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101"/>
    </row>
    <row r="838">
      <c r="A838" s="99"/>
      <c r="B838" s="99"/>
      <c r="C838" s="99"/>
      <c r="D838" s="99"/>
      <c r="E838" s="99"/>
      <c r="F838" s="102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101"/>
    </row>
    <row r="839">
      <c r="A839" s="99"/>
      <c r="B839" s="99"/>
      <c r="C839" s="99"/>
      <c r="D839" s="99"/>
      <c r="E839" s="99"/>
      <c r="F839" s="102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101"/>
    </row>
    <row r="840">
      <c r="A840" s="99"/>
      <c r="B840" s="99"/>
      <c r="C840" s="99"/>
      <c r="D840" s="99"/>
      <c r="E840" s="99"/>
      <c r="F840" s="102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101"/>
    </row>
    <row r="841">
      <c r="A841" s="99"/>
      <c r="B841" s="99"/>
      <c r="C841" s="99"/>
      <c r="D841" s="99"/>
      <c r="E841" s="99"/>
      <c r="F841" s="102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101"/>
    </row>
    <row r="842">
      <c r="A842" s="99"/>
      <c r="B842" s="99"/>
      <c r="C842" s="99"/>
      <c r="D842" s="99"/>
      <c r="E842" s="99"/>
      <c r="F842" s="102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101"/>
    </row>
    <row r="843">
      <c r="A843" s="99"/>
      <c r="B843" s="99"/>
      <c r="C843" s="99"/>
      <c r="D843" s="99"/>
      <c r="E843" s="99"/>
      <c r="F843" s="102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101"/>
    </row>
    <row r="844">
      <c r="A844" s="99"/>
      <c r="B844" s="99"/>
      <c r="C844" s="99"/>
      <c r="D844" s="99"/>
      <c r="E844" s="99"/>
      <c r="F844" s="102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101"/>
    </row>
    <row r="845">
      <c r="A845" s="99"/>
      <c r="B845" s="99"/>
      <c r="C845" s="99"/>
      <c r="D845" s="99"/>
      <c r="E845" s="99"/>
      <c r="F845" s="102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101"/>
    </row>
    <row r="846">
      <c r="A846" s="99"/>
      <c r="B846" s="99"/>
      <c r="C846" s="99"/>
      <c r="D846" s="99"/>
      <c r="E846" s="99"/>
      <c r="F846" s="102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101"/>
    </row>
    <row r="847">
      <c r="A847" s="99"/>
      <c r="B847" s="99"/>
      <c r="C847" s="99"/>
      <c r="D847" s="99"/>
      <c r="E847" s="99"/>
      <c r="F847" s="102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101"/>
    </row>
    <row r="848">
      <c r="A848" s="99"/>
      <c r="B848" s="99"/>
      <c r="C848" s="99"/>
      <c r="D848" s="99"/>
      <c r="E848" s="99"/>
      <c r="F848" s="102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101"/>
    </row>
    <row r="849">
      <c r="A849" s="99"/>
      <c r="B849" s="99"/>
      <c r="C849" s="99"/>
      <c r="D849" s="99"/>
      <c r="E849" s="99"/>
      <c r="F849" s="102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101"/>
    </row>
    <row r="850">
      <c r="A850" s="99"/>
      <c r="B850" s="99"/>
      <c r="C850" s="99"/>
      <c r="D850" s="99"/>
      <c r="E850" s="99"/>
      <c r="F850" s="102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101"/>
    </row>
    <row r="851">
      <c r="A851" s="99"/>
      <c r="B851" s="99"/>
      <c r="C851" s="99"/>
      <c r="D851" s="99"/>
      <c r="E851" s="99"/>
      <c r="F851" s="102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101"/>
    </row>
    <row r="852">
      <c r="A852" s="99"/>
      <c r="B852" s="99"/>
      <c r="C852" s="99"/>
      <c r="D852" s="99"/>
      <c r="E852" s="99"/>
      <c r="F852" s="102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101"/>
    </row>
    <row r="853">
      <c r="A853" s="99"/>
      <c r="B853" s="99"/>
      <c r="C853" s="99"/>
      <c r="D853" s="99"/>
      <c r="E853" s="99"/>
      <c r="F853" s="102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101"/>
    </row>
    <row r="854">
      <c r="A854" s="99"/>
      <c r="B854" s="99"/>
      <c r="C854" s="99"/>
      <c r="D854" s="99"/>
      <c r="E854" s="99"/>
      <c r="F854" s="102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101"/>
    </row>
    <row r="855">
      <c r="A855" s="99"/>
      <c r="B855" s="99"/>
      <c r="C855" s="99"/>
      <c r="D855" s="99"/>
      <c r="E855" s="99"/>
      <c r="F855" s="102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101"/>
    </row>
    <row r="856">
      <c r="A856" s="99"/>
      <c r="B856" s="99"/>
      <c r="C856" s="99"/>
      <c r="D856" s="99"/>
      <c r="E856" s="99"/>
      <c r="F856" s="102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101"/>
    </row>
    <row r="857">
      <c r="A857" s="99"/>
      <c r="B857" s="99"/>
      <c r="C857" s="99"/>
      <c r="D857" s="99"/>
      <c r="E857" s="99"/>
      <c r="F857" s="102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101"/>
    </row>
    <row r="858">
      <c r="A858" s="99"/>
      <c r="B858" s="99"/>
      <c r="C858" s="99"/>
      <c r="D858" s="99"/>
      <c r="E858" s="99"/>
      <c r="F858" s="102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101"/>
    </row>
    <row r="859">
      <c r="A859" s="99"/>
      <c r="B859" s="99"/>
      <c r="C859" s="99"/>
      <c r="D859" s="99"/>
      <c r="E859" s="99"/>
      <c r="F859" s="102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101"/>
    </row>
    <row r="860">
      <c r="A860" s="99"/>
      <c r="B860" s="99"/>
      <c r="C860" s="99"/>
      <c r="D860" s="99"/>
      <c r="E860" s="99"/>
      <c r="F860" s="102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101"/>
    </row>
    <row r="861">
      <c r="A861" s="99"/>
      <c r="B861" s="99"/>
      <c r="C861" s="99"/>
      <c r="D861" s="99"/>
      <c r="E861" s="99"/>
      <c r="F861" s="102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101"/>
    </row>
    <row r="862">
      <c r="A862" s="99"/>
      <c r="B862" s="99"/>
      <c r="C862" s="99"/>
      <c r="D862" s="99"/>
      <c r="E862" s="99"/>
      <c r="F862" s="102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101"/>
    </row>
    <row r="863">
      <c r="A863" s="99"/>
      <c r="B863" s="99"/>
      <c r="C863" s="99"/>
      <c r="D863" s="99"/>
      <c r="E863" s="99"/>
      <c r="F863" s="102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101"/>
    </row>
    <row r="864">
      <c r="A864" s="99"/>
      <c r="B864" s="99"/>
      <c r="C864" s="99"/>
      <c r="D864" s="99"/>
      <c r="E864" s="99"/>
      <c r="F864" s="102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101"/>
    </row>
    <row r="865">
      <c r="A865" s="99"/>
      <c r="B865" s="99"/>
      <c r="C865" s="99"/>
      <c r="D865" s="99"/>
      <c r="E865" s="99"/>
      <c r="F865" s="102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101"/>
    </row>
    <row r="866">
      <c r="A866" s="99"/>
      <c r="B866" s="99"/>
      <c r="C866" s="99"/>
      <c r="D866" s="99"/>
      <c r="E866" s="99"/>
      <c r="F866" s="102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101"/>
    </row>
    <row r="867">
      <c r="A867" s="99"/>
      <c r="B867" s="99"/>
      <c r="C867" s="99"/>
      <c r="D867" s="99"/>
      <c r="E867" s="99"/>
      <c r="F867" s="102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101"/>
    </row>
    <row r="868">
      <c r="A868" s="99"/>
      <c r="B868" s="99"/>
      <c r="C868" s="99"/>
      <c r="D868" s="99"/>
      <c r="E868" s="99"/>
      <c r="F868" s="102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101"/>
    </row>
    <row r="869">
      <c r="A869" s="99"/>
      <c r="B869" s="99"/>
      <c r="C869" s="99"/>
      <c r="D869" s="99"/>
      <c r="E869" s="99"/>
      <c r="F869" s="102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101"/>
    </row>
    <row r="870">
      <c r="A870" s="99"/>
      <c r="B870" s="99"/>
      <c r="C870" s="99"/>
      <c r="D870" s="99"/>
      <c r="E870" s="99"/>
      <c r="F870" s="102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101"/>
    </row>
    <row r="871">
      <c r="A871" s="99"/>
      <c r="B871" s="99"/>
      <c r="C871" s="99"/>
      <c r="D871" s="99"/>
      <c r="E871" s="99"/>
      <c r="F871" s="102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101"/>
    </row>
    <row r="872">
      <c r="A872" s="99"/>
      <c r="B872" s="99"/>
      <c r="C872" s="99"/>
      <c r="D872" s="99"/>
      <c r="E872" s="99"/>
      <c r="F872" s="102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101"/>
    </row>
    <row r="873">
      <c r="A873" s="99"/>
      <c r="B873" s="99"/>
      <c r="C873" s="99"/>
      <c r="D873" s="99"/>
      <c r="E873" s="99"/>
      <c r="F873" s="102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101"/>
    </row>
    <row r="874">
      <c r="A874" s="99"/>
      <c r="B874" s="99"/>
      <c r="C874" s="99"/>
      <c r="D874" s="99"/>
      <c r="E874" s="99"/>
      <c r="F874" s="102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101"/>
    </row>
    <row r="875">
      <c r="A875" s="99"/>
      <c r="B875" s="99"/>
      <c r="C875" s="99"/>
      <c r="D875" s="99"/>
      <c r="E875" s="99"/>
      <c r="F875" s="102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101"/>
    </row>
    <row r="876">
      <c r="A876" s="99"/>
      <c r="B876" s="99"/>
      <c r="C876" s="99"/>
      <c r="D876" s="99"/>
      <c r="E876" s="99"/>
      <c r="F876" s="102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101"/>
    </row>
    <row r="877">
      <c r="A877" s="99"/>
      <c r="B877" s="99"/>
      <c r="C877" s="99"/>
      <c r="D877" s="99"/>
      <c r="E877" s="99"/>
      <c r="F877" s="102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101"/>
    </row>
    <row r="878">
      <c r="A878" s="99"/>
      <c r="B878" s="99"/>
      <c r="C878" s="99"/>
      <c r="D878" s="99"/>
      <c r="E878" s="99"/>
      <c r="F878" s="102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101"/>
    </row>
    <row r="879">
      <c r="A879" s="99"/>
      <c r="B879" s="99"/>
      <c r="C879" s="99"/>
      <c r="D879" s="99"/>
      <c r="E879" s="99"/>
      <c r="F879" s="102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101"/>
    </row>
    <row r="880">
      <c r="A880" s="99"/>
      <c r="B880" s="99"/>
      <c r="C880" s="99"/>
      <c r="D880" s="99"/>
      <c r="E880" s="99"/>
      <c r="F880" s="102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101"/>
    </row>
    <row r="881">
      <c r="A881" s="99"/>
      <c r="B881" s="99"/>
      <c r="C881" s="99"/>
      <c r="D881" s="99"/>
      <c r="E881" s="99"/>
      <c r="F881" s="102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101"/>
    </row>
    <row r="882">
      <c r="A882" s="99"/>
      <c r="B882" s="99"/>
      <c r="C882" s="99"/>
      <c r="D882" s="99"/>
      <c r="E882" s="99"/>
      <c r="F882" s="102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101"/>
    </row>
    <row r="883">
      <c r="A883" s="99"/>
      <c r="B883" s="99"/>
      <c r="C883" s="99"/>
      <c r="D883" s="99"/>
      <c r="E883" s="99"/>
      <c r="F883" s="102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101"/>
    </row>
    <row r="884">
      <c r="A884" s="99"/>
      <c r="B884" s="99"/>
      <c r="C884" s="99"/>
      <c r="D884" s="99"/>
      <c r="E884" s="99"/>
      <c r="F884" s="102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101"/>
    </row>
    <row r="885">
      <c r="A885" s="99"/>
      <c r="B885" s="99"/>
      <c r="C885" s="99"/>
      <c r="D885" s="99"/>
      <c r="E885" s="99"/>
      <c r="F885" s="102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101"/>
    </row>
    <row r="886">
      <c r="A886" s="99"/>
      <c r="B886" s="99"/>
      <c r="C886" s="99"/>
      <c r="D886" s="99"/>
      <c r="E886" s="99"/>
      <c r="F886" s="102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101"/>
    </row>
    <row r="887">
      <c r="A887" s="99"/>
      <c r="B887" s="99"/>
      <c r="C887" s="99"/>
      <c r="D887" s="99"/>
      <c r="E887" s="99"/>
      <c r="F887" s="102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101"/>
    </row>
    <row r="888">
      <c r="A888" s="99"/>
      <c r="B888" s="99"/>
      <c r="C888" s="99"/>
      <c r="D888" s="99"/>
      <c r="E888" s="99"/>
      <c r="F888" s="102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101"/>
    </row>
    <row r="889">
      <c r="A889" s="99"/>
      <c r="B889" s="99"/>
      <c r="C889" s="99"/>
      <c r="D889" s="99"/>
      <c r="E889" s="99"/>
      <c r="F889" s="102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101"/>
    </row>
    <row r="890">
      <c r="A890" s="99"/>
      <c r="B890" s="99"/>
      <c r="C890" s="99"/>
      <c r="D890" s="99"/>
      <c r="E890" s="99"/>
      <c r="F890" s="102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101"/>
    </row>
    <row r="891">
      <c r="A891" s="99"/>
      <c r="B891" s="99"/>
      <c r="C891" s="99"/>
      <c r="D891" s="99"/>
      <c r="E891" s="99"/>
      <c r="F891" s="102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101"/>
    </row>
    <row r="892">
      <c r="A892" s="99"/>
      <c r="B892" s="99"/>
      <c r="C892" s="99"/>
      <c r="D892" s="99"/>
      <c r="E892" s="99"/>
      <c r="F892" s="102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101"/>
    </row>
    <row r="893">
      <c r="A893" s="99"/>
      <c r="B893" s="99"/>
      <c r="C893" s="99"/>
      <c r="D893" s="99"/>
      <c r="E893" s="99"/>
      <c r="F893" s="102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101"/>
    </row>
    <row r="894">
      <c r="A894" s="99"/>
      <c r="B894" s="99"/>
      <c r="C894" s="99"/>
      <c r="D894" s="99"/>
      <c r="E894" s="99"/>
      <c r="F894" s="102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101"/>
    </row>
  </sheetData>
  <drawing r:id="rId1"/>
</worksheet>
</file>